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Mi unidad/Deporte/Futbol sala/Movistar Inter/2025-26/"/>
    </mc:Choice>
  </mc:AlternateContent>
  <xr:revisionPtr revIDLastSave="0" documentId="13_ncr:1_{2EAB5F5E-C91D-6E4F-BA66-493B9584CF85}" xr6:coauthVersionLast="47" xr6:coauthVersionMax="47" xr10:uidLastSave="{00000000-0000-0000-0000-000000000000}"/>
  <bookViews>
    <workbookView xWindow="860" yWindow="600" windowWidth="27280" windowHeight="17400" activeTab="5" xr2:uid="{F0804C4D-8DBE-BB46-ADE7-CC2E49C0E31E}"/>
  </bookViews>
  <sheets>
    <sheet name="INPUT" sheetId="44" r:id="rId1"/>
    <sheet name="PESO SEMANA" sheetId="45" r:id="rId2"/>
    <sheet name="BD PESO" sheetId="51" r:id="rId3"/>
    <sheet name="RPE v2" sheetId="46" r:id="rId4"/>
    <sheet name="RECUENTO" sheetId="54" r:id="rId5"/>
    <sheet name="SEMANAL v2" sheetId="53" r:id="rId6"/>
    <sheet name="PSE v2" sheetId="49" r:id="rId7"/>
    <sheet name="WELLNESS v2" sheetId="50" r:id="rId8"/>
    <sheet name="WELLNESS DIARIO" sheetId="58" r:id="rId9"/>
    <sheet name="_LISTAS_PESO" sheetId="55" state="hidden" r:id="rId10"/>
    <sheet name="_LISTAS_WELLNESS" sheetId="56" state="hidden" r:id="rId11"/>
    <sheet name="_Lunes" sheetId="59" state="hidden" r:id="rId12"/>
  </sheets>
  <definedNames>
    <definedName name="_1__xlnm.Criteria">#REF!</definedName>
    <definedName name="_10__xlnm.Print_Area_13">#REF!</definedName>
    <definedName name="_11__xlnm.Print_Area_14">#REF!</definedName>
    <definedName name="_12__xlnm.Print_Area_15">#REF!</definedName>
    <definedName name="_13__xlnm.Print_Area_16">#REF!</definedName>
    <definedName name="_14__xlnm.Print_Area_2">#REF!</definedName>
    <definedName name="_15__xlnm.Print_Area_3">#REF!</definedName>
    <definedName name="_16__xlnm.Print_Area_4">#REF!</definedName>
    <definedName name="_17__xlnm.Print_Area_5">#REF!</definedName>
    <definedName name="_18__xlnm.Print_Area_6">#REF!</definedName>
    <definedName name="_19__xlnm.Print_Area_7">#REF!</definedName>
    <definedName name="_2__xlnm.Database">#REF!</definedName>
    <definedName name="_20__xlnm.Print_Area_8">#REF!</definedName>
    <definedName name="_21__xlnm.Print_Area_9">#REF!</definedName>
    <definedName name="_3__xlnm.Extract">#REF!</definedName>
    <definedName name="_4__xlnm.Print_Area">#REF!</definedName>
    <definedName name="_6__xlnm.Print_Area_1">#REF!</definedName>
    <definedName name="_7__xlnm.Print_Area_10">#REF!</definedName>
    <definedName name="_8__xlnm.Print_Area_11">#REF!</definedName>
    <definedName name="_9__xlnm.Print_Area_12">#REF!</definedName>
    <definedName name="DATOS">#REF!</definedName>
    <definedName name="L_Categorias">#REF!</definedName>
    <definedName name="L_GrupContenidos">#REF!</definedName>
    <definedName name="L_Macro">#REF!</definedName>
    <definedName name="L_Micros">#REF!</definedName>
    <definedName name="ListaLunes">_Lunes!$A$1:$A$366</definedName>
    <definedName name="M3_Competicion">#REF!</definedName>
    <definedName name="M3_Manteni">#REF!</definedName>
    <definedName name="M3_Preparatorio">#REF!</definedName>
    <definedName name="M3_TransDirigi">#REF!</definedName>
    <definedName name="M3_TransEspecial">#REF!</definedName>
    <definedName name="M4_Competicion">#REF!</definedName>
    <definedName name="M4_Manteni">#REF!</definedName>
    <definedName name="M4_Preparatorio">#REF!</definedName>
    <definedName name="M4_TransDirigi">#REF!</definedName>
    <definedName name="M4_TransEspecial">#REF!</definedName>
    <definedName name="M5_Competicion">#REF!</definedName>
    <definedName name="M5_Manteni">#REF!</definedName>
    <definedName name="M5_Preparatorio">#REF!</definedName>
    <definedName name="M5_TransDirigi">#REF!</definedName>
    <definedName name="M5_TransEspecial">#REF!</definedName>
    <definedName name="M6_Competicion">#REF!</definedName>
    <definedName name="M6_Manteni">#REF!</definedName>
    <definedName name="M6_Preparatorio">#REF!</definedName>
    <definedName name="M6_TransDirigi">#REF!</definedName>
    <definedName name="M6_TransEspecial">#REF!</definedName>
    <definedName name="M7_Competicion">#REF!</definedName>
    <definedName name="M7_Manteni">#REF!</definedName>
    <definedName name="M7_Preparatorio">#REF!</definedName>
    <definedName name="M7_TransDirigi">#REF!</definedName>
    <definedName name="M7_TransEspecial">#REF!</definedName>
    <definedName name="M7_TransManten">#REF!</definedName>
    <definedName name="MORPHOTYPE">#REF!</definedName>
    <definedName name="Plan_ConteMicro">#REF!</definedName>
    <definedName name="Plan_Contesesion">#REF!</definedName>
    <definedName name="Plan_Temp">#REF!</definedName>
    <definedName name="RangoModelMicro">INDIRECT(#REF!)</definedName>
    <definedName name="T_CargaOrientaEjercicio">#REF!</definedName>
    <definedName name="T_Cont1">OFFSET(#REF!,0,0,COUNTA(#REF!),3)</definedName>
    <definedName name="T_Cont2">OFFSET(#REF!,0,0,COUNTA(#REF!),3)</definedName>
    <definedName name="T_Cont3">OFFSET(#REF!,0,0,IF(COUNTA(#REF!)=0,1,COUNTA(#REF!)),3)</definedName>
    <definedName name="T_Cont4">OFFSET(#REF!,0,0,IF(COUNTA(#REF!)=0,1,COUNTA(#REF!)),3)</definedName>
    <definedName name="T_Cont5">OFFSET(#REF!,0,0,IF(COUNTA(#REF!)=0,1,COUNTA(#REF!)),3)</definedName>
    <definedName name="T_Contenidos">#REF!</definedName>
    <definedName name="T_DiaSemana">#REF!</definedName>
    <definedName name="T_FilaIniCatContenido">#REF!</definedName>
    <definedName name="T_MicValor">#REF!</definedName>
    <definedName name="VColumMicro1">IF(#REF!="","",MATCH(#REF!,#REF!,0))</definedName>
    <definedName name="VColumMicro2">IF(#REF!="","",MATCH(#REF!,#REF!,0))</definedName>
    <definedName name="VCont1">MATCH("*",OFFSET(#REF!,15,MATCH(#REF!,#REF!,0)-1,62,1),0)+15</definedName>
    <definedName name="VCont16">MATCH("*",OFFSET(#REF!,15,MATCH(#REF!,#REF!,0)-1,62,1),0)+15</definedName>
    <definedName name="VCont17">MATCH("*",OFFSET(#REF!,VCont16,MATCH(#REF!,#REF!,0)-1,62,1),0)+VCont16</definedName>
    <definedName name="VCont18">MATCH("*",OFFSET(#REF!,VCont17,MATCH(#REF!,#REF!,0)-1,62,1),0)+VCont17</definedName>
    <definedName name="VCont19">MATCH("*",OFFSET(#REF!,VCont18,MATCH(#REF!,#REF!,0)-1,62,1),0)+VCont18</definedName>
    <definedName name="VCont2">MATCH("*",OFFSET(#REF!,[0]!VCont1,MATCH(#REF!,#REF!,0)-1,62,1),0)+[0]!VCont1</definedName>
    <definedName name="VCont20">MATCH("*",OFFSET(#REF!,VCont19,MATCH(#REF!,#REF!,0)-1,62,1),0)+VCont19</definedName>
    <definedName name="VCont21">MATCH("*",OFFSET(#REF!,VCont20,MATCH(#REF!,#REF!,0)-1,62,1),0)+VCont20</definedName>
    <definedName name="VCont22">MATCH("*",OFFSET(#REF!,VCont21,MATCH(#REF!,#REF!,0)-1,62,1),0)+VCont21</definedName>
    <definedName name="VCont23">MATCH("*",OFFSET(#REF!,VCont22,MATCH(#REF!,#REF!,0)-1,62,1),0)+VCont22</definedName>
    <definedName name="VCont3">MATCH("*",OFFSET(#REF!,VCont2,MATCH(#REF!,#REF!,0)-1,62,1),0)+VCont2</definedName>
    <definedName name="VCont4">MATCH("*",OFFSET(#REF!,VCont3,MATCH(#REF!,#REF!,0)-1,62,1),0)+VCont3</definedName>
    <definedName name="VCont5">MATCH("*",OFFSET(#REF!,VCont4,MATCH(#REF!,#REF!,0)-1,62,1),0)+VCont4</definedName>
    <definedName name="VCont6">MATCH("*",OFFSET(#REF!,VCont5,MATCH(#REF!,#REF!,0)-1,62,1),0)+VCont5</definedName>
    <definedName name="VCont7">MATCH("*",OFFSET(#REF!,VCont6,MATCH(#REF!,#REF!,0)-1,62,1),0)+VCont6</definedName>
    <definedName name="VCont8">MATCH("*",OFFSET(#REF!,VCont7,MATCH(#REF!,#REF!,0)-1,62,1),0)+VCont7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53" l="1" a="1"/>
  <c r="B20" i="53" s="1"/>
  <c r="C20" i="53" a="1"/>
  <c r="C20" i="53" s="1"/>
  <c r="D20" i="53" a="1"/>
  <c r="D20" i="53" s="1"/>
  <c r="E20" i="53" a="1"/>
  <c r="E20" i="53" s="1"/>
  <c r="F20" i="53" a="1"/>
  <c r="F20" i="53" s="1"/>
  <c r="G20" i="53" a="1"/>
  <c r="G20" i="53" s="1"/>
  <c r="H20" i="53" a="1"/>
  <c r="H20" i="53" s="1"/>
  <c r="I20" i="53" a="1"/>
  <c r="I20" i="53" s="1"/>
  <c r="J20" i="53" a="1"/>
  <c r="J20" i="53" s="1"/>
  <c r="K20" i="53" a="1"/>
  <c r="K20" i="53" s="1"/>
  <c r="L20" i="53" a="1"/>
  <c r="L20" i="53" s="1"/>
  <c r="M20" i="53" a="1"/>
  <c r="M20" i="53" s="1"/>
  <c r="N20" i="53" a="1"/>
  <c r="N20" i="53" s="1"/>
  <c r="O20" i="53" a="1"/>
  <c r="O20" i="53" s="1"/>
  <c r="P20" i="53" a="1"/>
  <c r="P20" i="53" s="1"/>
  <c r="Q20" i="53" a="1"/>
  <c r="Q20" i="53" s="1"/>
  <c r="R20" i="53" a="1"/>
  <c r="R20" i="53" s="1"/>
  <c r="S20" i="53" a="1"/>
  <c r="S20" i="53" s="1"/>
  <c r="T20" i="53" a="1"/>
  <c r="T20" i="53" s="1"/>
  <c r="U20" i="53" a="1"/>
  <c r="U20" i="53" s="1"/>
  <c r="V20" i="53" a="1"/>
  <c r="V20" i="53" s="1"/>
  <c r="W20" i="53" a="1"/>
  <c r="W20" i="53" s="1"/>
  <c r="X20" i="53" a="1"/>
  <c r="X20" i="53" s="1"/>
  <c r="Y20" i="53" a="1"/>
  <c r="Y20" i="53" s="1"/>
  <c r="Z20" i="53" a="1"/>
  <c r="Z20" i="53" s="1"/>
  <c r="AA20" i="53" a="1"/>
  <c r="AA20" i="53" s="1"/>
  <c r="AB20" i="53" a="1"/>
  <c r="AB20" i="53" s="1"/>
  <c r="AC20" i="53" a="1"/>
  <c r="AC20" i="53" s="1"/>
  <c r="AD20" i="53" a="1"/>
  <c r="AD20" i="53" s="1"/>
  <c r="AE20" i="53" a="1"/>
  <c r="AE20" i="53" s="1"/>
  <c r="AF20" i="53" a="1"/>
  <c r="AF20" i="53" s="1"/>
  <c r="AG20" i="53" a="1"/>
  <c r="AG20" i="53" s="1"/>
  <c r="AH20" i="53" a="1"/>
  <c r="AH20" i="53" s="1"/>
  <c r="AI20" i="53" a="1"/>
  <c r="AI20" i="53" s="1"/>
  <c r="AJ20" i="53" a="1"/>
  <c r="AJ20" i="53" s="1"/>
  <c r="AK20" i="53" a="1"/>
  <c r="AK20" i="53" s="1"/>
  <c r="AL20" i="53" a="1"/>
  <c r="AL20" i="53" s="1"/>
  <c r="AM20" i="53" a="1"/>
  <c r="AM20" i="53" s="1"/>
  <c r="AN20" i="53" a="1"/>
  <c r="AN20" i="53" s="1"/>
  <c r="AO20" i="53" a="1"/>
  <c r="AO20" i="53" s="1"/>
  <c r="AP20" i="53" a="1"/>
  <c r="AP20" i="53" s="1"/>
  <c r="AQ20" i="53" a="1"/>
  <c r="AQ20" i="53" s="1"/>
  <c r="AR20" i="53" a="1"/>
  <c r="AR20" i="53" s="1"/>
  <c r="AS20" i="53" a="1"/>
  <c r="AS20" i="53" s="1"/>
  <c r="AT20" i="53" a="1"/>
  <c r="AT20" i="53" s="1"/>
  <c r="AU20" i="53" a="1"/>
  <c r="AU20" i="53" s="1"/>
  <c r="AV20" i="53" a="1"/>
  <c r="AV20" i="53" s="1"/>
  <c r="AW20" i="53" a="1"/>
  <c r="AW20" i="53" s="1"/>
  <c r="B19" i="53" a="1"/>
  <c r="B19" i="53" s="1"/>
  <c r="C19" i="53" a="1"/>
  <c r="C19" i="53" s="1"/>
  <c r="D19" i="53" a="1"/>
  <c r="D19" i="53" s="1"/>
  <c r="E19" i="53" a="1"/>
  <c r="E19" i="53" s="1"/>
  <c r="F19" i="53" a="1"/>
  <c r="F19" i="53" s="1"/>
  <c r="G19" i="53" a="1"/>
  <c r="G19" i="53" s="1"/>
  <c r="H19" i="53" a="1"/>
  <c r="H19" i="53" s="1"/>
  <c r="I19" i="53" a="1"/>
  <c r="I19" i="53" s="1"/>
  <c r="J19" i="53" a="1"/>
  <c r="J19" i="53" s="1"/>
  <c r="K19" i="53" a="1"/>
  <c r="K19" i="53" s="1"/>
  <c r="L19" i="53" a="1"/>
  <c r="L19" i="53" s="1"/>
  <c r="M19" i="53" a="1"/>
  <c r="M19" i="53" s="1"/>
  <c r="N19" i="53" a="1"/>
  <c r="N19" i="53" s="1"/>
  <c r="O19" i="53" a="1"/>
  <c r="O19" i="53" s="1"/>
  <c r="P19" i="53" a="1"/>
  <c r="P19" i="53" s="1"/>
  <c r="Q19" i="53" a="1"/>
  <c r="Q19" i="53" s="1"/>
  <c r="R19" i="53" a="1"/>
  <c r="R19" i="53" s="1"/>
  <c r="S19" i="53" a="1"/>
  <c r="S19" i="53" s="1"/>
  <c r="T19" i="53" a="1"/>
  <c r="T19" i="53" s="1"/>
  <c r="U19" i="53" a="1"/>
  <c r="U19" i="53" s="1"/>
  <c r="V19" i="53" a="1"/>
  <c r="V19" i="53" s="1"/>
  <c r="W19" i="53" a="1"/>
  <c r="W19" i="53" s="1"/>
  <c r="X19" i="53" a="1"/>
  <c r="X19" i="53" s="1"/>
  <c r="Y19" i="53" a="1"/>
  <c r="Y19" i="53" s="1"/>
  <c r="Z19" i="53" a="1"/>
  <c r="Z19" i="53" s="1"/>
  <c r="AA19" i="53" a="1"/>
  <c r="AA19" i="53" s="1"/>
  <c r="AB19" i="53" a="1"/>
  <c r="AB19" i="53" s="1"/>
  <c r="AC19" i="53" a="1"/>
  <c r="AC19" i="53" s="1"/>
  <c r="AD19" i="53" a="1"/>
  <c r="AD19" i="53" s="1"/>
  <c r="AE19" i="53" a="1"/>
  <c r="AE19" i="53" s="1"/>
  <c r="AF19" i="53" a="1"/>
  <c r="AF19" i="53" s="1"/>
  <c r="AG19" i="53" a="1"/>
  <c r="AG19" i="53" s="1"/>
  <c r="AH19" i="53" a="1"/>
  <c r="AH19" i="53" s="1"/>
  <c r="AI19" i="53" a="1"/>
  <c r="AI19" i="53" s="1"/>
  <c r="AJ19" i="53" a="1"/>
  <c r="AJ19" i="53" s="1"/>
  <c r="AK19" i="53" a="1"/>
  <c r="AK19" i="53" s="1"/>
  <c r="AL19" i="53" a="1"/>
  <c r="AL19" i="53" s="1"/>
  <c r="AM19" i="53" a="1"/>
  <c r="AM19" i="53" s="1"/>
  <c r="AN19" i="53" a="1"/>
  <c r="AN19" i="53" s="1"/>
  <c r="AO19" i="53" a="1"/>
  <c r="AO19" i="53" s="1"/>
  <c r="AP19" i="53" a="1"/>
  <c r="AP19" i="53" s="1"/>
  <c r="AQ19" i="53" a="1"/>
  <c r="AQ19" i="53" s="1"/>
  <c r="AR19" i="53" a="1"/>
  <c r="AR19" i="53" s="1"/>
  <c r="AS19" i="53" a="1"/>
  <c r="AS19" i="53" s="1"/>
  <c r="AT19" i="53" a="1"/>
  <c r="AT19" i="53" s="1"/>
  <c r="AU19" i="53" a="1"/>
  <c r="AU19" i="53" s="1"/>
  <c r="AV19" i="53" a="1"/>
  <c r="AV19" i="53" s="1"/>
  <c r="AW19" i="53" a="1"/>
  <c r="AW19" i="53" s="1"/>
  <c r="B18" i="53" a="1"/>
  <c r="B18" i="53" s="1"/>
  <c r="C18" i="53" a="1"/>
  <c r="C18" i="53" s="1"/>
  <c r="D18" i="53" a="1"/>
  <c r="D18" i="53" s="1"/>
  <c r="E18" i="53" a="1"/>
  <c r="E18" i="53" s="1"/>
  <c r="F18" i="53" a="1"/>
  <c r="F18" i="53" s="1"/>
  <c r="G18" i="53" a="1"/>
  <c r="G18" i="53" s="1"/>
  <c r="H18" i="53" a="1"/>
  <c r="H18" i="53" s="1"/>
  <c r="I18" i="53" a="1"/>
  <c r="I18" i="53" s="1"/>
  <c r="J18" i="53" a="1"/>
  <c r="J18" i="53" s="1"/>
  <c r="K18" i="53" a="1"/>
  <c r="K18" i="53" s="1"/>
  <c r="L18" i="53" a="1"/>
  <c r="L18" i="53" s="1"/>
  <c r="M18" i="53" a="1"/>
  <c r="M18" i="53" s="1"/>
  <c r="N18" i="53" a="1"/>
  <c r="N18" i="53" s="1"/>
  <c r="O18" i="53" a="1"/>
  <c r="O18" i="53" s="1"/>
  <c r="P18" i="53" a="1"/>
  <c r="P18" i="53" s="1"/>
  <c r="Q18" i="53" a="1"/>
  <c r="Q18" i="53" s="1"/>
  <c r="R18" i="53" a="1"/>
  <c r="R18" i="53" s="1"/>
  <c r="S18" i="53" a="1"/>
  <c r="S18" i="53" s="1"/>
  <c r="T18" i="53" a="1"/>
  <c r="T18" i="53" s="1"/>
  <c r="U18" i="53" a="1"/>
  <c r="U18" i="53" s="1"/>
  <c r="V18" i="53" a="1"/>
  <c r="V18" i="53" s="1"/>
  <c r="W18" i="53" a="1"/>
  <c r="W18" i="53" s="1"/>
  <c r="X18" i="53" a="1"/>
  <c r="X18" i="53" s="1"/>
  <c r="Y18" i="53" a="1"/>
  <c r="Y18" i="53" s="1"/>
  <c r="Z18" i="53" a="1"/>
  <c r="Z18" i="53" s="1"/>
  <c r="AA18" i="53" a="1"/>
  <c r="AA18" i="53" s="1"/>
  <c r="AB18" i="53" a="1"/>
  <c r="AB18" i="53" s="1"/>
  <c r="AC18" i="53" a="1"/>
  <c r="AC18" i="53" s="1"/>
  <c r="AD18" i="53" a="1"/>
  <c r="AD18" i="53" s="1"/>
  <c r="AE18" i="53" a="1"/>
  <c r="AE18" i="53" s="1"/>
  <c r="AF18" i="53" a="1"/>
  <c r="AF18" i="53" s="1"/>
  <c r="AG18" i="53" a="1"/>
  <c r="AG18" i="53" s="1"/>
  <c r="AH18" i="53" a="1"/>
  <c r="AH18" i="53" s="1"/>
  <c r="AI18" i="53" a="1"/>
  <c r="AI18" i="53" s="1"/>
  <c r="AJ18" i="53" a="1"/>
  <c r="AJ18" i="53" s="1"/>
  <c r="AK18" i="53" a="1"/>
  <c r="AK18" i="53" s="1"/>
  <c r="AL18" i="53" a="1"/>
  <c r="AL18" i="53" s="1"/>
  <c r="AM18" i="53" a="1"/>
  <c r="AM18" i="53" s="1"/>
  <c r="AN18" i="53" a="1"/>
  <c r="AN18" i="53" s="1"/>
  <c r="AO18" i="53" a="1"/>
  <c r="AO18" i="53" s="1"/>
  <c r="AP18" i="53" a="1"/>
  <c r="AP18" i="53" s="1"/>
  <c r="AQ18" i="53" a="1"/>
  <c r="AQ18" i="53" s="1"/>
  <c r="AR18" i="53" a="1"/>
  <c r="AR18" i="53" s="1"/>
  <c r="AS18" i="53" a="1"/>
  <c r="AS18" i="53" s="1"/>
  <c r="AT18" i="53" a="1"/>
  <c r="AT18" i="53" s="1"/>
  <c r="AU18" i="53" a="1"/>
  <c r="AU18" i="53" s="1"/>
  <c r="AV18" i="53" a="1"/>
  <c r="AV18" i="53" s="1"/>
  <c r="AW18" i="53" a="1"/>
  <c r="AW18" i="53" s="1"/>
  <c r="B17" i="53" a="1"/>
  <c r="B17" i="53" s="1"/>
  <c r="C17" i="53" a="1"/>
  <c r="C17" i="53" s="1"/>
  <c r="D17" i="53" a="1"/>
  <c r="D17" i="53" s="1"/>
  <c r="E17" i="53" a="1"/>
  <c r="E17" i="53" s="1"/>
  <c r="F17" i="53" a="1"/>
  <c r="F17" i="53" s="1"/>
  <c r="G17" i="53" a="1"/>
  <c r="G17" i="53" s="1"/>
  <c r="H17" i="53" a="1"/>
  <c r="H17" i="53" s="1"/>
  <c r="I17" i="53" a="1"/>
  <c r="I17" i="53" s="1"/>
  <c r="J17" i="53" a="1"/>
  <c r="J17" i="53" s="1"/>
  <c r="K17" i="53" a="1"/>
  <c r="K17" i="53" s="1"/>
  <c r="L17" i="53" a="1"/>
  <c r="L17" i="53" s="1"/>
  <c r="M17" i="53" a="1"/>
  <c r="M17" i="53" s="1"/>
  <c r="N17" i="53" a="1"/>
  <c r="N17" i="53" s="1"/>
  <c r="O17" i="53" a="1"/>
  <c r="O17" i="53" s="1"/>
  <c r="P17" i="53" a="1"/>
  <c r="P17" i="53" s="1"/>
  <c r="Q17" i="53" a="1"/>
  <c r="Q17" i="53" s="1"/>
  <c r="R17" i="53" a="1"/>
  <c r="R17" i="53" s="1"/>
  <c r="S17" i="53" a="1"/>
  <c r="S17" i="53" s="1"/>
  <c r="T17" i="53" a="1"/>
  <c r="T17" i="53" s="1"/>
  <c r="U17" i="53" a="1"/>
  <c r="U17" i="53" s="1"/>
  <c r="V17" i="53" a="1"/>
  <c r="V17" i="53" s="1"/>
  <c r="W17" i="53" a="1"/>
  <c r="W17" i="53" s="1"/>
  <c r="X17" i="53" a="1"/>
  <c r="X17" i="53" s="1"/>
  <c r="Y17" i="53" a="1"/>
  <c r="Y17" i="53" s="1"/>
  <c r="Z17" i="53" a="1"/>
  <c r="Z17" i="53" s="1"/>
  <c r="AA17" i="53" a="1"/>
  <c r="AA17" i="53" s="1"/>
  <c r="AB17" i="53" a="1"/>
  <c r="AB17" i="53" s="1"/>
  <c r="AC17" i="53" a="1"/>
  <c r="AC17" i="53" s="1"/>
  <c r="AD17" i="53" a="1"/>
  <c r="AD17" i="53" s="1"/>
  <c r="AE17" i="53" a="1"/>
  <c r="AE17" i="53" s="1"/>
  <c r="AF17" i="53" a="1"/>
  <c r="AF17" i="53" s="1"/>
  <c r="AG17" i="53" a="1"/>
  <c r="AG17" i="53" s="1"/>
  <c r="AH17" i="53" a="1"/>
  <c r="AH17" i="53" s="1"/>
  <c r="AI17" i="53" a="1"/>
  <c r="AI17" i="53" s="1"/>
  <c r="AJ17" i="53" a="1"/>
  <c r="AJ17" i="53" s="1"/>
  <c r="AK17" i="53" a="1"/>
  <c r="AK17" i="53" s="1"/>
  <c r="AL17" i="53" a="1"/>
  <c r="AL17" i="53" s="1"/>
  <c r="AM17" i="53" a="1"/>
  <c r="AM17" i="53" s="1"/>
  <c r="AN17" i="53" a="1"/>
  <c r="AN17" i="53" s="1"/>
  <c r="AO17" i="53" a="1"/>
  <c r="AO17" i="53" s="1"/>
  <c r="AP17" i="53" a="1"/>
  <c r="AP17" i="53" s="1"/>
  <c r="AQ17" i="53" a="1"/>
  <c r="AQ17" i="53" s="1"/>
  <c r="AR17" i="53" a="1"/>
  <c r="AR17" i="53" s="1"/>
  <c r="AS17" i="53" a="1"/>
  <c r="AS17" i="53" s="1"/>
  <c r="AT17" i="53" a="1"/>
  <c r="AT17" i="53" s="1"/>
  <c r="AU17" i="53" a="1"/>
  <c r="AU17" i="53" s="1"/>
  <c r="AV17" i="53" a="1"/>
  <c r="AV17" i="53" s="1"/>
  <c r="AW17" i="53" a="1"/>
  <c r="AW17" i="53" s="1"/>
  <c r="B16" i="53" a="1"/>
  <c r="B16" i="53" s="1"/>
  <c r="C16" i="53" a="1"/>
  <c r="C16" i="53" s="1"/>
  <c r="D16" i="53" a="1"/>
  <c r="D16" i="53" s="1"/>
  <c r="E16" i="53" a="1"/>
  <c r="E16" i="53" s="1"/>
  <c r="F16" i="53" a="1"/>
  <c r="F16" i="53" s="1"/>
  <c r="G16" i="53" a="1"/>
  <c r="G16" i="53" s="1"/>
  <c r="H16" i="53" a="1"/>
  <c r="H16" i="53" s="1"/>
  <c r="I16" i="53" a="1"/>
  <c r="I16" i="53" s="1"/>
  <c r="J16" i="53" a="1"/>
  <c r="J16" i="53" s="1"/>
  <c r="K16" i="53" a="1"/>
  <c r="K16" i="53" s="1"/>
  <c r="L16" i="53" a="1"/>
  <c r="L16" i="53" s="1"/>
  <c r="M16" i="53" a="1"/>
  <c r="M16" i="53" s="1"/>
  <c r="N16" i="53" a="1"/>
  <c r="N16" i="53" s="1"/>
  <c r="O16" i="53" a="1"/>
  <c r="O16" i="53" s="1"/>
  <c r="P16" i="53" a="1"/>
  <c r="P16" i="53" s="1"/>
  <c r="Q16" i="53" a="1"/>
  <c r="Q16" i="53" s="1"/>
  <c r="R16" i="53" a="1"/>
  <c r="R16" i="53" s="1"/>
  <c r="S16" i="53" a="1"/>
  <c r="S16" i="53" s="1"/>
  <c r="T16" i="53" a="1"/>
  <c r="T16" i="53" s="1"/>
  <c r="U16" i="53" a="1"/>
  <c r="U16" i="53" s="1"/>
  <c r="V16" i="53" a="1"/>
  <c r="V16" i="53" s="1"/>
  <c r="W16" i="53" a="1"/>
  <c r="W16" i="53" s="1"/>
  <c r="X16" i="53" a="1"/>
  <c r="X16" i="53" s="1"/>
  <c r="Y16" i="53" a="1"/>
  <c r="Y16" i="53" s="1"/>
  <c r="Z16" i="53" a="1"/>
  <c r="Z16" i="53" s="1"/>
  <c r="AA16" i="53" a="1"/>
  <c r="AA16" i="53" s="1"/>
  <c r="AB16" i="53" a="1"/>
  <c r="AB16" i="53" s="1"/>
  <c r="AC16" i="53" a="1"/>
  <c r="AC16" i="53" s="1"/>
  <c r="AD16" i="53" a="1"/>
  <c r="AD16" i="53" s="1"/>
  <c r="AE16" i="53" a="1"/>
  <c r="AE16" i="53" s="1"/>
  <c r="AF16" i="53" a="1"/>
  <c r="AF16" i="53" s="1"/>
  <c r="AG16" i="53" a="1"/>
  <c r="AG16" i="53" s="1"/>
  <c r="AH16" i="53" a="1"/>
  <c r="AH16" i="53" s="1"/>
  <c r="AI16" i="53" a="1"/>
  <c r="AI16" i="53" s="1"/>
  <c r="AJ16" i="53" a="1"/>
  <c r="AJ16" i="53" s="1"/>
  <c r="AK16" i="53" a="1"/>
  <c r="AK16" i="53" s="1"/>
  <c r="AL16" i="53" a="1"/>
  <c r="AL16" i="53" s="1"/>
  <c r="AM16" i="53" a="1"/>
  <c r="AM16" i="53" s="1"/>
  <c r="AN16" i="53" a="1"/>
  <c r="AN16" i="53" s="1"/>
  <c r="AO16" i="53" a="1"/>
  <c r="AO16" i="53" s="1"/>
  <c r="AP16" i="53" a="1"/>
  <c r="AP16" i="53" s="1"/>
  <c r="AQ16" i="53" a="1"/>
  <c r="AQ16" i="53" s="1"/>
  <c r="AR16" i="53" a="1"/>
  <c r="AR16" i="53" s="1"/>
  <c r="AS16" i="53" a="1"/>
  <c r="AS16" i="53" s="1"/>
  <c r="AT16" i="53" a="1"/>
  <c r="AT16" i="53" s="1"/>
  <c r="AU16" i="53" a="1"/>
  <c r="AU16" i="53" s="1"/>
  <c r="AV16" i="53" a="1"/>
  <c r="AV16" i="53" s="1"/>
  <c r="AW16" i="53" a="1"/>
  <c r="AW16" i="53" s="1"/>
  <c r="B15" i="53" a="1"/>
  <c r="B15" i="53" s="1"/>
  <c r="C15" i="53" a="1"/>
  <c r="C15" i="53" s="1"/>
  <c r="D15" i="53" a="1"/>
  <c r="D15" i="53" s="1"/>
  <c r="E15" i="53" a="1"/>
  <c r="E15" i="53" s="1"/>
  <c r="F15" i="53" a="1"/>
  <c r="F15" i="53" s="1"/>
  <c r="G15" i="53" a="1"/>
  <c r="G15" i="53" s="1"/>
  <c r="H15" i="53" a="1"/>
  <c r="H15" i="53" s="1"/>
  <c r="I15" i="53" a="1"/>
  <c r="I15" i="53" s="1"/>
  <c r="J15" i="53" a="1"/>
  <c r="J15" i="53" s="1"/>
  <c r="K15" i="53" a="1"/>
  <c r="K15" i="53" s="1"/>
  <c r="L15" i="53" a="1"/>
  <c r="L15" i="53" s="1"/>
  <c r="M15" i="53" a="1"/>
  <c r="M15" i="53" s="1"/>
  <c r="N15" i="53" a="1"/>
  <c r="N15" i="53" s="1"/>
  <c r="O15" i="53" a="1"/>
  <c r="O15" i="53" s="1"/>
  <c r="P15" i="53" a="1"/>
  <c r="P15" i="53" s="1"/>
  <c r="Q15" i="53" a="1"/>
  <c r="Q15" i="53" s="1"/>
  <c r="R15" i="53" a="1"/>
  <c r="R15" i="53" s="1"/>
  <c r="S15" i="53" a="1"/>
  <c r="S15" i="53" s="1"/>
  <c r="T15" i="53" a="1"/>
  <c r="T15" i="53" s="1"/>
  <c r="U15" i="53" a="1"/>
  <c r="U15" i="53" s="1"/>
  <c r="V15" i="53" a="1"/>
  <c r="V15" i="53" s="1"/>
  <c r="W15" i="53" a="1"/>
  <c r="W15" i="53" s="1"/>
  <c r="X15" i="53" a="1"/>
  <c r="X15" i="53" s="1"/>
  <c r="Y15" i="53" a="1"/>
  <c r="Y15" i="53" s="1"/>
  <c r="Z15" i="53" a="1"/>
  <c r="Z15" i="53" s="1"/>
  <c r="AA15" i="53" a="1"/>
  <c r="AA15" i="53" s="1"/>
  <c r="AB15" i="53" a="1"/>
  <c r="AB15" i="53" s="1"/>
  <c r="AC15" i="53" a="1"/>
  <c r="AC15" i="53" s="1"/>
  <c r="AD15" i="53" a="1"/>
  <c r="AD15" i="53" s="1"/>
  <c r="AE15" i="53" a="1"/>
  <c r="AE15" i="53" s="1"/>
  <c r="AF15" i="53" a="1"/>
  <c r="AF15" i="53" s="1"/>
  <c r="AG15" i="53" a="1"/>
  <c r="AG15" i="53" s="1"/>
  <c r="AH15" i="53" a="1"/>
  <c r="AH15" i="53" s="1"/>
  <c r="AI15" i="53" a="1"/>
  <c r="AI15" i="53" s="1"/>
  <c r="AJ15" i="53" a="1"/>
  <c r="AJ15" i="53" s="1"/>
  <c r="AK15" i="53" a="1"/>
  <c r="AK15" i="53" s="1"/>
  <c r="AL15" i="53" a="1"/>
  <c r="AL15" i="53" s="1"/>
  <c r="AM15" i="53" a="1"/>
  <c r="AM15" i="53" s="1"/>
  <c r="AN15" i="53" a="1"/>
  <c r="AN15" i="53" s="1"/>
  <c r="AO15" i="53" a="1"/>
  <c r="AO15" i="53" s="1"/>
  <c r="AP15" i="53" a="1"/>
  <c r="AP15" i="53" s="1"/>
  <c r="AQ15" i="53" a="1"/>
  <c r="AQ15" i="53" s="1"/>
  <c r="AR15" i="53" a="1"/>
  <c r="AR15" i="53" s="1"/>
  <c r="AS15" i="53" a="1"/>
  <c r="AS15" i="53" s="1"/>
  <c r="AT15" i="53" a="1"/>
  <c r="AT15" i="53" s="1"/>
  <c r="AU15" i="53" a="1"/>
  <c r="AU15" i="53" s="1"/>
  <c r="AV15" i="53" a="1"/>
  <c r="AV15" i="53" s="1"/>
  <c r="AW15" i="53" a="1"/>
  <c r="AW15" i="53" s="1"/>
  <c r="B14" i="53" a="1"/>
  <c r="B14" i="53" s="1"/>
  <c r="C14" i="53" a="1"/>
  <c r="C14" i="53" s="1"/>
  <c r="D14" i="53" a="1"/>
  <c r="D14" i="53" s="1"/>
  <c r="E14" i="53" a="1"/>
  <c r="E14" i="53" s="1"/>
  <c r="F14" i="53" a="1"/>
  <c r="F14" i="53" s="1"/>
  <c r="G14" i="53" a="1"/>
  <c r="G14" i="53" s="1"/>
  <c r="H14" i="53" a="1"/>
  <c r="H14" i="53" s="1"/>
  <c r="I14" i="53" a="1"/>
  <c r="I14" i="53" s="1"/>
  <c r="J14" i="53" a="1"/>
  <c r="J14" i="53" s="1"/>
  <c r="K14" i="53" a="1"/>
  <c r="K14" i="53" s="1"/>
  <c r="L14" i="53" a="1"/>
  <c r="L14" i="53" s="1"/>
  <c r="M14" i="53" a="1"/>
  <c r="M14" i="53" s="1"/>
  <c r="N14" i="53" a="1"/>
  <c r="N14" i="53" s="1"/>
  <c r="O14" i="53" a="1"/>
  <c r="O14" i="53" s="1"/>
  <c r="P14" i="53" a="1"/>
  <c r="P14" i="53" s="1"/>
  <c r="Q14" i="53" a="1"/>
  <c r="Q14" i="53" s="1"/>
  <c r="R14" i="53" a="1"/>
  <c r="R14" i="53" s="1"/>
  <c r="S14" i="53" a="1"/>
  <c r="S14" i="53" s="1"/>
  <c r="T14" i="53" a="1"/>
  <c r="T14" i="53" s="1"/>
  <c r="U14" i="53" a="1"/>
  <c r="U14" i="53" s="1"/>
  <c r="V14" i="53" a="1"/>
  <c r="V14" i="53" s="1"/>
  <c r="W14" i="53" a="1"/>
  <c r="W14" i="53" s="1"/>
  <c r="X14" i="53" a="1"/>
  <c r="X14" i="53" s="1"/>
  <c r="Y14" i="53" a="1"/>
  <c r="Y14" i="53" s="1"/>
  <c r="Z14" i="53" a="1"/>
  <c r="Z14" i="53" s="1"/>
  <c r="AA14" i="53" a="1"/>
  <c r="AA14" i="53" s="1"/>
  <c r="AB14" i="53" a="1"/>
  <c r="AB14" i="53" s="1"/>
  <c r="AC14" i="53" a="1"/>
  <c r="AC14" i="53" s="1"/>
  <c r="AD14" i="53" a="1"/>
  <c r="AD14" i="53" s="1"/>
  <c r="AE14" i="53" a="1"/>
  <c r="AE14" i="53" s="1"/>
  <c r="AF14" i="53" a="1"/>
  <c r="AF14" i="53" s="1"/>
  <c r="AG14" i="53" a="1"/>
  <c r="AG14" i="53" s="1"/>
  <c r="AH14" i="53" a="1"/>
  <c r="AH14" i="53" s="1"/>
  <c r="AI14" i="53" a="1"/>
  <c r="AI14" i="53" s="1"/>
  <c r="AJ14" i="53" a="1"/>
  <c r="AJ14" i="53" s="1"/>
  <c r="AK14" i="53" a="1"/>
  <c r="AK14" i="53" s="1"/>
  <c r="AL14" i="53" a="1"/>
  <c r="AL14" i="53" s="1"/>
  <c r="AM14" i="53" a="1"/>
  <c r="AM14" i="53" s="1"/>
  <c r="AN14" i="53" a="1"/>
  <c r="AN14" i="53" s="1"/>
  <c r="AO14" i="53" a="1"/>
  <c r="AO14" i="53" s="1"/>
  <c r="AP14" i="53" a="1"/>
  <c r="AP14" i="53" s="1"/>
  <c r="AQ14" i="53" a="1"/>
  <c r="AQ14" i="53" s="1"/>
  <c r="AR14" i="53" a="1"/>
  <c r="AR14" i="53" s="1"/>
  <c r="AS14" i="53" a="1"/>
  <c r="AS14" i="53" s="1"/>
  <c r="AT14" i="53" a="1"/>
  <c r="AT14" i="53" s="1"/>
  <c r="AU14" i="53" a="1"/>
  <c r="AU14" i="53" s="1"/>
  <c r="AV14" i="53" a="1"/>
  <c r="AV14" i="53" s="1"/>
  <c r="AW14" i="53" a="1"/>
  <c r="AW14" i="53" s="1"/>
  <c r="B9" i="53" a="1"/>
  <c r="B9" i="53" s="1"/>
  <c r="B13" i="53" s="1"/>
  <c r="C9" i="53" a="1"/>
  <c r="C9" i="53" s="1"/>
  <c r="D9" i="53" a="1"/>
  <c r="D9" i="53" s="1"/>
  <c r="E9" i="53" a="1"/>
  <c r="E9" i="53" s="1"/>
  <c r="F9" i="53" a="1"/>
  <c r="F9" i="53" s="1"/>
  <c r="G9" i="53" a="1"/>
  <c r="G9" i="53" s="1"/>
  <c r="H9" i="53" a="1"/>
  <c r="H9" i="53" s="1"/>
  <c r="I9" i="53" a="1"/>
  <c r="I9" i="53" s="1"/>
  <c r="J9" i="53" a="1"/>
  <c r="J9" i="53" s="1"/>
  <c r="K9" i="53" a="1"/>
  <c r="K9" i="53" s="1"/>
  <c r="L9" i="53" a="1"/>
  <c r="L9" i="53" s="1"/>
  <c r="M9" i="53" a="1"/>
  <c r="M9" i="53" s="1"/>
  <c r="N9" i="53" a="1"/>
  <c r="N9" i="53" s="1"/>
  <c r="O9" i="53" a="1"/>
  <c r="O9" i="53" s="1"/>
  <c r="P9" i="53" a="1"/>
  <c r="P9" i="53" s="1"/>
  <c r="Q9" i="53" a="1"/>
  <c r="Q9" i="53" s="1"/>
  <c r="R9" i="53" a="1"/>
  <c r="R9" i="53" s="1"/>
  <c r="S9" i="53" a="1"/>
  <c r="S9" i="53" s="1"/>
  <c r="T9" i="53" a="1"/>
  <c r="T9" i="53" s="1"/>
  <c r="U9" i="53" a="1"/>
  <c r="U9" i="53" s="1"/>
  <c r="V9" i="53" a="1"/>
  <c r="V9" i="53" s="1"/>
  <c r="W9" i="53" a="1"/>
  <c r="W9" i="53" s="1"/>
  <c r="X9" i="53" a="1"/>
  <c r="X9" i="53" s="1"/>
  <c r="Y9" i="53" a="1"/>
  <c r="Y9" i="53" s="1"/>
  <c r="Z9" i="53" a="1"/>
  <c r="Z9" i="53" s="1"/>
  <c r="AA9" i="53" a="1"/>
  <c r="AA9" i="53" s="1"/>
  <c r="AB9" i="53" a="1"/>
  <c r="AB9" i="53" s="1"/>
  <c r="AC9" i="53" a="1"/>
  <c r="AC9" i="53" s="1"/>
  <c r="AD9" i="53" a="1"/>
  <c r="AD9" i="53" s="1"/>
  <c r="AE9" i="53" a="1"/>
  <c r="AE9" i="53" s="1"/>
  <c r="AF9" i="53" a="1"/>
  <c r="AF9" i="53" s="1"/>
  <c r="AG9" i="53" a="1"/>
  <c r="AG9" i="53" s="1"/>
  <c r="AH9" i="53" a="1"/>
  <c r="AH9" i="53" s="1"/>
  <c r="AI9" i="53" a="1"/>
  <c r="AI9" i="53" s="1"/>
  <c r="AJ9" i="53" a="1"/>
  <c r="AJ9" i="53" s="1"/>
  <c r="AK9" i="53" a="1"/>
  <c r="AK9" i="53" s="1"/>
  <c r="AL9" i="53" a="1"/>
  <c r="AL9" i="53" s="1"/>
  <c r="AM9" i="53" a="1"/>
  <c r="AM9" i="53" s="1"/>
  <c r="AN9" i="53" a="1"/>
  <c r="AN9" i="53" s="1"/>
  <c r="AO9" i="53" a="1"/>
  <c r="AO9" i="53" s="1"/>
  <c r="AP9" i="53" a="1"/>
  <c r="AP9" i="53" s="1"/>
  <c r="AQ9" i="53" a="1"/>
  <c r="AQ9" i="53" s="1"/>
  <c r="AR9" i="53" a="1"/>
  <c r="AR9" i="53" s="1"/>
  <c r="AS9" i="53" a="1"/>
  <c r="AS9" i="53" s="1"/>
  <c r="AT9" i="53" a="1"/>
  <c r="AT9" i="53" s="1"/>
  <c r="AU9" i="53" a="1"/>
  <c r="AU9" i="53" s="1"/>
  <c r="AV9" i="53" a="1"/>
  <c r="AV9" i="53" s="1"/>
  <c r="AW9" i="53" a="1"/>
  <c r="AW9" i="53" s="1"/>
  <c r="B8" i="53" a="1"/>
  <c r="B8" i="53" s="1"/>
  <c r="C8" i="53" a="1"/>
  <c r="C8" i="53" s="1"/>
  <c r="D8" i="53" a="1"/>
  <c r="D8" i="53" s="1"/>
  <c r="E8" i="53" a="1"/>
  <c r="E8" i="53" s="1"/>
  <c r="F8" i="53" a="1"/>
  <c r="F8" i="53" s="1"/>
  <c r="G8" i="53" a="1"/>
  <c r="G8" i="53" s="1"/>
  <c r="H8" i="53" a="1"/>
  <c r="H8" i="53" s="1"/>
  <c r="I8" i="53" a="1"/>
  <c r="I8" i="53" s="1"/>
  <c r="J8" i="53" a="1"/>
  <c r="J8" i="53" s="1"/>
  <c r="K8" i="53" a="1"/>
  <c r="K8" i="53" s="1"/>
  <c r="L8" i="53" a="1"/>
  <c r="L8" i="53" s="1"/>
  <c r="M8" i="53" a="1"/>
  <c r="M8" i="53" s="1"/>
  <c r="N8" i="53" a="1"/>
  <c r="N8" i="53" s="1"/>
  <c r="O8" i="53" a="1"/>
  <c r="O8" i="53" s="1"/>
  <c r="P8" i="53" a="1"/>
  <c r="P8" i="53" s="1"/>
  <c r="Q8" i="53" a="1"/>
  <c r="Q8" i="53" s="1"/>
  <c r="R8" i="53" a="1"/>
  <c r="R8" i="53" s="1"/>
  <c r="S8" i="53" a="1"/>
  <c r="S8" i="53" s="1"/>
  <c r="T8" i="53" a="1"/>
  <c r="T8" i="53" s="1"/>
  <c r="U8" i="53" a="1"/>
  <c r="U8" i="53" s="1"/>
  <c r="V8" i="53" a="1"/>
  <c r="V8" i="53" s="1"/>
  <c r="W8" i="53" a="1"/>
  <c r="W8" i="53" s="1"/>
  <c r="X8" i="53" a="1"/>
  <c r="X8" i="53" s="1"/>
  <c r="Y8" i="53" a="1"/>
  <c r="Y8" i="53" s="1"/>
  <c r="Z8" i="53" a="1"/>
  <c r="Z8" i="53" s="1"/>
  <c r="AA8" i="53" a="1"/>
  <c r="AA8" i="53" s="1"/>
  <c r="AB8" i="53" a="1"/>
  <c r="AB8" i="53" s="1"/>
  <c r="AC8" i="53" a="1"/>
  <c r="AC8" i="53" s="1"/>
  <c r="AD8" i="53" a="1"/>
  <c r="AD8" i="53" s="1"/>
  <c r="AE8" i="53" a="1"/>
  <c r="AE8" i="53" s="1"/>
  <c r="AF8" i="53" a="1"/>
  <c r="AF8" i="53" s="1"/>
  <c r="AG8" i="53" a="1"/>
  <c r="AG8" i="53" s="1"/>
  <c r="AH8" i="53" a="1"/>
  <c r="AH8" i="53" s="1"/>
  <c r="AI8" i="53" a="1"/>
  <c r="AI8" i="53" s="1"/>
  <c r="AJ8" i="53" a="1"/>
  <c r="AJ8" i="53" s="1"/>
  <c r="AK8" i="53" a="1"/>
  <c r="AK8" i="53" s="1"/>
  <c r="AL8" i="53" a="1"/>
  <c r="AL8" i="53" s="1"/>
  <c r="AM8" i="53" a="1"/>
  <c r="AM8" i="53" s="1"/>
  <c r="AN8" i="53" a="1"/>
  <c r="AN8" i="53" s="1"/>
  <c r="AO8" i="53" a="1"/>
  <c r="AO8" i="53" s="1"/>
  <c r="AP8" i="53" a="1"/>
  <c r="AP8" i="53" s="1"/>
  <c r="AQ8" i="53" a="1"/>
  <c r="AQ8" i="53" s="1"/>
  <c r="AR8" i="53" a="1"/>
  <c r="AR8" i="53" s="1"/>
  <c r="AS8" i="53" a="1"/>
  <c r="AS8" i="53" s="1"/>
  <c r="AT8" i="53" a="1"/>
  <c r="AT8" i="53" s="1"/>
  <c r="AU8" i="53" a="1"/>
  <c r="AU8" i="53" s="1"/>
  <c r="AV8" i="53" a="1"/>
  <c r="AV8" i="53" s="1"/>
  <c r="AW8" i="53" a="1"/>
  <c r="AW8" i="53" s="1"/>
  <c r="C34" i="46"/>
  <c r="D34" i="46"/>
  <c r="E34" i="46"/>
  <c r="F34" i="46"/>
  <c r="G34" i="46"/>
  <c r="H34" i="46"/>
  <c r="I34" i="46"/>
  <c r="J34" i="46"/>
  <c r="K34" i="46"/>
  <c r="L34" i="46"/>
  <c r="M34" i="46"/>
  <c r="N34" i="46"/>
  <c r="O34" i="46"/>
  <c r="P34" i="46"/>
  <c r="C30" i="49"/>
  <c r="D30" i="49"/>
  <c r="E30" i="49"/>
  <c r="F30" i="49"/>
  <c r="G30" i="49"/>
  <c r="H30" i="49"/>
  <c r="I30" i="49"/>
  <c r="J30" i="49"/>
  <c r="K30" i="49"/>
  <c r="L30" i="49"/>
  <c r="M30" i="49"/>
  <c r="N30" i="49"/>
  <c r="O30" i="49"/>
  <c r="P30" i="49"/>
  <c r="Q30" i="49"/>
  <c r="R30" i="49"/>
  <c r="S30" i="49"/>
  <c r="T30" i="49"/>
  <c r="U30" i="49"/>
  <c r="V30" i="49"/>
  <c r="W30" i="49"/>
  <c r="X30" i="49"/>
  <c r="Y30" i="49"/>
  <c r="Z30" i="49"/>
  <c r="AA30" i="49"/>
  <c r="AB30" i="49"/>
  <c r="AC30" i="49"/>
  <c r="AD30" i="49"/>
  <c r="AE30" i="49"/>
  <c r="AF30" i="49"/>
  <c r="AG30" i="49"/>
  <c r="AH30" i="49"/>
  <c r="AI30" i="49"/>
  <c r="AJ30" i="49"/>
  <c r="AK30" i="49"/>
  <c r="AL30" i="49"/>
  <c r="AM30" i="49"/>
  <c r="AN30" i="49"/>
  <c r="AO30" i="49"/>
  <c r="AP30" i="49"/>
  <c r="AQ30" i="49"/>
  <c r="AR30" i="49"/>
  <c r="AS30" i="49"/>
  <c r="AT30" i="49"/>
  <c r="AU30" i="49"/>
  <c r="AV30" i="49"/>
  <c r="AW30" i="49"/>
  <c r="AX30" i="49"/>
  <c r="AY30" i="49"/>
  <c r="AZ30" i="49"/>
  <c r="R8518" i="44"/>
  <c r="R8519" i="44"/>
  <c r="R8520" i="44"/>
  <c r="R8521" i="44"/>
  <c r="R8522" i="44"/>
  <c r="R8523" i="44"/>
  <c r="R8524" i="44"/>
  <c r="R8525" i="44"/>
  <c r="R8526" i="44"/>
  <c r="R8527" i="44"/>
  <c r="R8528" i="44"/>
  <c r="R8529" i="44"/>
  <c r="R8530" i="44"/>
  <c r="R8531" i="44"/>
  <c r="R8532" i="44"/>
  <c r="R8533" i="44"/>
  <c r="R8534" i="44"/>
  <c r="R8535" i="44"/>
  <c r="R8536" i="44"/>
  <c r="R8537" i="44"/>
  <c r="R8538" i="44"/>
  <c r="R8539" i="44"/>
  <c r="R8540" i="44"/>
  <c r="R8541" i="44"/>
  <c r="R8542" i="44"/>
  <c r="R8543" i="44"/>
  <c r="R8544" i="44"/>
  <c r="R8545" i="44"/>
  <c r="R8546" i="44"/>
  <c r="R8547" i="44"/>
  <c r="R8548" i="44"/>
  <c r="R8549" i="44"/>
  <c r="R8550" i="44"/>
  <c r="R8551" i="44"/>
  <c r="R8552" i="44"/>
  <c r="R8553" i="44"/>
  <c r="R8554" i="44"/>
  <c r="R8555" i="44"/>
  <c r="R8556" i="44"/>
  <c r="R8557" i="44"/>
  <c r="R8558" i="44"/>
  <c r="R8559" i="44"/>
  <c r="R8560" i="44"/>
  <c r="R8561" i="44"/>
  <c r="R8562" i="44"/>
  <c r="R8563" i="44"/>
  <c r="R8564" i="44"/>
  <c r="R8565" i="44"/>
  <c r="R8566" i="44"/>
  <c r="R8567" i="44"/>
  <c r="R8568" i="44"/>
  <c r="R8569" i="44"/>
  <c r="R8570" i="44"/>
  <c r="R8571" i="44"/>
  <c r="R8572" i="44"/>
  <c r="R8573" i="44"/>
  <c r="R8574" i="44"/>
  <c r="R8575" i="44"/>
  <c r="R8576" i="44"/>
  <c r="R8577" i="44"/>
  <c r="R8578" i="44"/>
  <c r="R8579" i="44"/>
  <c r="R8580" i="44"/>
  <c r="R8581" i="44"/>
  <c r="R8582" i="44"/>
  <c r="R8583" i="44"/>
  <c r="R8584" i="44"/>
  <c r="R8585" i="44"/>
  <c r="R8586" i="44"/>
  <c r="R8587" i="44"/>
  <c r="R8588" i="44"/>
  <c r="R8589" i="44"/>
  <c r="R8590" i="44"/>
  <c r="R8591" i="44"/>
  <c r="R8592" i="44"/>
  <c r="R8593" i="44"/>
  <c r="R8594" i="44"/>
  <c r="R8595" i="44"/>
  <c r="R8596" i="44"/>
  <c r="R8597" i="44"/>
  <c r="R8598" i="44"/>
  <c r="R8599" i="44"/>
  <c r="R8600" i="44"/>
  <c r="R8601" i="44"/>
  <c r="R8602" i="44"/>
  <c r="R8603" i="44"/>
  <c r="R8604" i="44"/>
  <c r="R8605" i="44"/>
  <c r="R8606" i="44"/>
  <c r="R8607" i="44"/>
  <c r="R8608" i="44"/>
  <c r="R8609" i="44"/>
  <c r="R8610" i="44"/>
  <c r="R8611" i="44"/>
  <c r="R8612" i="44"/>
  <c r="R8613" i="44"/>
  <c r="R8614" i="44"/>
  <c r="R8615" i="44"/>
  <c r="R8616" i="44"/>
  <c r="R8617" i="44"/>
  <c r="R8618" i="44"/>
  <c r="R8619" i="44"/>
  <c r="R8620" i="44"/>
  <c r="R8621" i="44"/>
  <c r="R8622" i="44"/>
  <c r="R8623" i="44"/>
  <c r="R8624" i="44"/>
  <c r="R8625" i="44"/>
  <c r="R8626" i="44"/>
  <c r="R8627" i="44"/>
  <c r="R8628" i="44"/>
  <c r="R8629" i="44"/>
  <c r="R8630" i="44"/>
  <c r="R8631" i="44"/>
  <c r="R8632" i="44"/>
  <c r="R8633" i="44"/>
  <c r="R8634" i="44"/>
  <c r="R8635" i="44"/>
  <c r="R8636" i="44"/>
  <c r="R8637" i="44"/>
  <c r="R8638" i="44"/>
  <c r="R8639" i="44"/>
  <c r="R8640" i="44"/>
  <c r="R8641" i="44"/>
  <c r="R8642" i="44"/>
  <c r="R8643" i="44"/>
  <c r="R8644" i="44"/>
  <c r="R8645" i="44"/>
  <c r="R8646" i="44"/>
  <c r="R8647" i="44"/>
  <c r="R8648" i="44"/>
  <c r="R8649" i="44"/>
  <c r="R8650" i="44"/>
  <c r="R8651" i="44"/>
  <c r="R8652" i="44"/>
  <c r="R8653" i="44"/>
  <c r="R8654" i="44"/>
  <c r="R8655" i="44"/>
  <c r="R8656" i="44"/>
  <c r="R8657" i="44"/>
  <c r="R8658" i="44"/>
  <c r="R8659" i="44"/>
  <c r="R8660" i="44"/>
  <c r="R8661" i="44"/>
  <c r="R8662" i="44"/>
  <c r="R8663" i="44"/>
  <c r="R8664" i="44"/>
  <c r="R8665" i="44"/>
  <c r="R8666" i="44"/>
  <c r="R8667" i="44"/>
  <c r="R8668" i="44"/>
  <c r="R8669" i="44"/>
  <c r="R8670" i="44"/>
  <c r="R8671" i="44"/>
  <c r="R8672" i="44"/>
  <c r="R8673" i="44"/>
  <c r="R8674" i="44"/>
  <c r="R8675" i="44"/>
  <c r="R8676" i="44"/>
  <c r="R8677" i="44"/>
  <c r="R8678" i="44"/>
  <c r="R8679" i="44"/>
  <c r="R8680" i="44"/>
  <c r="R8681" i="44"/>
  <c r="R8682" i="44"/>
  <c r="R8683" i="44"/>
  <c r="R8684" i="44"/>
  <c r="R8685" i="44"/>
  <c r="R8686" i="44"/>
  <c r="R8687" i="44"/>
  <c r="R8688" i="44"/>
  <c r="R8689" i="44"/>
  <c r="R8690" i="44"/>
  <c r="R8691" i="44"/>
  <c r="R8692" i="44"/>
  <c r="R8693" i="44"/>
  <c r="R8694" i="44"/>
  <c r="R8695" i="44"/>
  <c r="R8696" i="44"/>
  <c r="R8697" i="44"/>
  <c r="R8698" i="44"/>
  <c r="R8699" i="44"/>
  <c r="R8700" i="44"/>
  <c r="R8701" i="44"/>
  <c r="R8702" i="44"/>
  <c r="R8703" i="44"/>
  <c r="R8704" i="44"/>
  <c r="R8705" i="44"/>
  <c r="R8706" i="44"/>
  <c r="R8707" i="44"/>
  <c r="R8708" i="44"/>
  <c r="R8709" i="44"/>
  <c r="R8710" i="44"/>
  <c r="R8711" i="44"/>
  <c r="R8712" i="44"/>
  <c r="R8713" i="44"/>
  <c r="R8714" i="44"/>
  <c r="R8715" i="44"/>
  <c r="R8716" i="44"/>
  <c r="R8717" i="44"/>
  <c r="R8718" i="44"/>
  <c r="R8719" i="44"/>
  <c r="R8720" i="44"/>
  <c r="R8721" i="44"/>
  <c r="R8722" i="44"/>
  <c r="R8723" i="44"/>
  <c r="R8724" i="44"/>
  <c r="R8725" i="44"/>
  <c r="R8726" i="44"/>
  <c r="R8727" i="44"/>
  <c r="R8728" i="44"/>
  <c r="R8729" i="44"/>
  <c r="R8730" i="44"/>
  <c r="R8731" i="44"/>
  <c r="R8732" i="44"/>
  <c r="R8733" i="44"/>
  <c r="R8734" i="44"/>
  <c r="R8735" i="44"/>
  <c r="R8736" i="44"/>
  <c r="R8737" i="44"/>
  <c r="R8738" i="44"/>
  <c r="R8739" i="44"/>
  <c r="R8740" i="44"/>
  <c r="R8741" i="44"/>
  <c r="R8742" i="44"/>
  <c r="R8743" i="44"/>
  <c r="R8744" i="44"/>
  <c r="R8745" i="44"/>
  <c r="R8746" i="44"/>
  <c r="R8747" i="44"/>
  <c r="R8748" i="44"/>
  <c r="R8749" i="44"/>
  <c r="R8750" i="44"/>
  <c r="R8751" i="44"/>
  <c r="R8752" i="44"/>
  <c r="R8753" i="44"/>
  <c r="R8754" i="44"/>
  <c r="R8755" i="44"/>
  <c r="R8756" i="44"/>
  <c r="R8757" i="44"/>
  <c r="R8758" i="44"/>
  <c r="R8759" i="44"/>
  <c r="R8760" i="44"/>
  <c r="R8761" i="44"/>
  <c r="R8762" i="44"/>
  <c r="R8763" i="44"/>
  <c r="R8764" i="44"/>
  <c r="R8765" i="44"/>
  <c r="R8766" i="44"/>
  <c r="R8767" i="44"/>
  <c r="R8768" i="44"/>
  <c r="R8769" i="44"/>
  <c r="R8770" i="44"/>
  <c r="R8771" i="44"/>
  <c r="R8772" i="44"/>
  <c r="R8773" i="44"/>
  <c r="R8774" i="44"/>
  <c r="R8775" i="44"/>
  <c r="R8776" i="44"/>
  <c r="R8777" i="44"/>
  <c r="R8778" i="44"/>
  <c r="R8779" i="44"/>
  <c r="R8780" i="44"/>
  <c r="R8781" i="44"/>
  <c r="R8782" i="44"/>
  <c r="R8783" i="44"/>
  <c r="R8784" i="44"/>
  <c r="R8785" i="44"/>
  <c r="R8786" i="44"/>
  <c r="R8787" i="44"/>
  <c r="R8788" i="44"/>
  <c r="R8789" i="44"/>
  <c r="R8790" i="44"/>
  <c r="R8791" i="44"/>
  <c r="R8792" i="44"/>
  <c r="R8793" i="44"/>
  <c r="R8794" i="44"/>
  <c r="R8795" i="44"/>
  <c r="R8796" i="44"/>
  <c r="R8797" i="44"/>
  <c r="R8798" i="44"/>
  <c r="R8799" i="44"/>
  <c r="R8800" i="44"/>
  <c r="R8801" i="44"/>
  <c r="R8802" i="44"/>
  <c r="R8803" i="44"/>
  <c r="R8804" i="44"/>
  <c r="R8805" i="44"/>
  <c r="R8806" i="44"/>
  <c r="R8807" i="44"/>
  <c r="R8808" i="44"/>
  <c r="R8809" i="44"/>
  <c r="R8810" i="44"/>
  <c r="R8811" i="44"/>
  <c r="R8812" i="44"/>
  <c r="R8813" i="44"/>
  <c r="R8814" i="44"/>
  <c r="R8815" i="44"/>
  <c r="R8816" i="44"/>
  <c r="R8817" i="44"/>
  <c r="R8818" i="44"/>
  <c r="R8819" i="44"/>
  <c r="R8820" i="44"/>
  <c r="R8821" i="44"/>
  <c r="R8822" i="44"/>
  <c r="R8823" i="44"/>
  <c r="R8824" i="44"/>
  <c r="R8825" i="44"/>
  <c r="R8826" i="44"/>
  <c r="R8827" i="44"/>
  <c r="R8828" i="44"/>
  <c r="R8829" i="44"/>
  <c r="R8830" i="44"/>
  <c r="R8831" i="44"/>
  <c r="R8832" i="44"/>
  <c r="R8833" i="44"/>
  <c r="R8834" i="44"/>
  <c r="R8835" i="44"/>
  <c r="R8836" i="44"/>
  <c r="R8837" i="44"/>
  <c r="R8838" i="44"/>
  <c r="R8839" i="44"/>
  <c r="R8840" i="44"/>
  <c r="R8841" i="44"/>
  <c r="R8842" i="44"/>
  <c r="R8843" i="44"/>
  <c r="R8844" i="44"/>
  <c r="R8845" i="44"/>
  <c r="R8846" i="44"/>
  <c r="R8847" i="44"/>
  <c r="R8848" i="44"/>
  <c r="R8849" i="44"/>
  <c r="R8850" i="44"/>
  <c r="R8851" i="44"/>
  <c r="R8852" i="44"/>
  <c r="R8853" i="44"/>
  <c r="R8854" i="44"/>
  <c r="R8855" i="44"/>
  <c r="R8856" i="44"/>
  <c r="R8857" i="44"/>
  <c r="R8858" i="44"/>
  <c r="R8859" i="44"/>
  <c r="R8860" i="44"/>
  <c r="R8861" i="44"/>
  <c r="R8862" i="44"/>
  <c r="R8863" i="44"/>
  <c r="R8864" i="44"/>
  <c r="R8865" i="44"/>
  <c r="R8866" i="44"/>
  <c r="R8867" i="44"/>
  <c r="R8868" i="44"/>
  <c r="R8869" i="44"/>
  <c r="R8870" i="44"/>
  <c r="R8871" i="44"/>
  <c r="R8872" i="44"/>
  <c r="R8873" i="44"/>
  <c r="R8874" i="44"/>
  <c r="R8875" i="44"/>
  <c r="R8876" i="44"/>
  <c r="R8877" i="44"/>
  <c r="R8878" i="44"/>
  <c r="R8879" i="44"/>
  <c r="R8880" i="44"/>
  <c r="R8881" i="44"/>
  <c r="R8882" i="44"/>
  <c r="R8883" i="44"/>
  <c r="R8884" i="44"/>
  <c r="R8885" i="44"/>
  <c r="R8886" i="44"/>
  <c r="R8887" i="44"/>
  <c r="R8888" i="44"/>
  <c r="R8889" i="44"/>
  <c r="R8890" i="44"/>
  <c r="R8891" i="44"/>
  <c r="R8892" i="44"/>
  <c r="R8893" i="44"/>
  <c r="R8894" i="44"/>
  <c r="R8895" i="44"/>
  <c r="R8896" i="44"/>
  <c r="R8897" i="44"/>
  <c r="R8898" i="44"/>
  <c r="R8899" i="44"/>
  <c r="R8900" i="44"/>
  <c r="R8901" i="44"/>
  <c r="R8902" i="44"/>
  <c r="R8903" i="44"/>
  <c r="R8904" i="44"/>
  <c r="R8905" i="44"/>
  <c r="R8906" i="44"/>
  <c r="R8907" i="44"/>
  <c r="R8908" i="44"/>
  <c r="R8909" i="44"/>
  <c r="R8910" i="44"/>
  <c r="R8911" i="44"/>
  <c r="R8912" i="44"/>
  <c r="R8913" i="44"/>
  <c r="R8914" i="44"/>
  <c r="R8915" i="44"/>
  <c r="R8916" i="44"/>
  <c r="R8917" i="44"/>
  <c r="R8918" i="44"/>
  <c r="R8919" i="44"/>
  <c r="R8920" i="44"/>
  <c r="R8921" i="44"/>
  <c r="R8922" i="44"/>
  <c r="R8923" i="44"/>
  <c r="R8924" i="44"/>
  <c r="R8925" i="44"/>
  <c r="R8926" i="44"/>
  <c r="R8927" i="44"/>
  <c r="R8928" i="44"/>
  <c r="R8929" i="44"/>
  <c r="R8930" i="44"/>
  <c r="R8931" i="44"/>
  <c r="R8932" i="44"/>
  <c r="R8933" i="44"/>
  <c r="R8934" i="44"/>
  <c r="R8935" i="44"/>
  <c r="R8936" i="44"/>
  <c r="R8937" i="44"/>
  <c r="R8938" i="44"/>
  <c r="R8939" i="44"/>
  <c r="R8940" i="44"/>
  <c r="R8941" i="44"/>
  <c r="R8942" i="44"/>
  <c r="R8943" i="44"/>
  <c r="R8944" i="44"/>
  <c r="R8945" i="44"/>
  <c r="R8946" i="44"/>
  <c r="R8947" i="44"/>
  <c r="R8948" i="44"/>
  <c r="R8949" i="44"/>
  <c r="R8950" i="44"/>
  <c r="R8951" i="44"/>
  <c r="R8952" i="44"/>
  <c r="R8953" i="44"/>
  <c r="R8954" i="44"/>
  <c r="R8955" i="44"/>
  <c r="R8956" i="44"/>
  <c r="R8957" i="44"/>
  <c r="R8958" i="44"/>
  <c r="R8959" i="44"/>
  <c r="R8960" i="44"/>
  <c r="R8961" i="44"/>
  <c r="R8962" i="44"/>
  <c r="R8963" i="44"/>
  <c r="R8964" i="44"/>
  <c r="R8965" i="44"/>
  <c r="R8966" i="44"/>
  <c r="R8967" i="44"/>
  <c r="R8968" i="44"/>
  <c r="R8969" i="44"/>
  <c r="R8970" i="44"/>
  <c r="R8971" i="44"/>
  <c r="R8972" i="44"/>
  <c r="R8973" i="44"/>
  <c r="R8974" i="44"/>
  <c r="R8975" i="44"/>
  <c r="R8976" i="44"/>
  <c r="R8977" i="44"/>
  <c r="R8978" i="44"/>
  <c r="R8979" i="44"/>
  <c r="R8980" i="44"/>
  <c r="R8981" i="44"/>
  <c r="R8982" i="44"/>
  <c r="R8983" i="44"/>
  <c r="R8984" i="44"/>
  <c r="R8985" i="44"/>
  <c r="R8986" i="44"/>
  <c r="R8987" i="44"/>
  <c r="R8988" i="44"/>
  <c r="R8989" i="44"/>
  <c r="R8990" i="44"/>
  <c r="R8991" i="44"/>
  <c r="R8992" i="44"/>
  <c r="R8993" i="44"/>
  <c r="R8994" i="44"/>
  <c r="R8995" i="44"/>
  <c r="R8996" i="44"/>
  <c r="R8997" i="44"/>
  <c r="R8998" i="44"/>
  <c r="R8999" i="44"/>
  <c r="R9000" i="44"/>
  <c r="R9001" i="44"/>
  <c r="R9002" i="44"/>
  <c r="R9003" i="44"/>
  <c r="R9004" i="44"/>
  <c r="R9005" i="44"/>
  <c r="R9006" i="44"/>
  <c r="R9007" i="44"/>
  <c r="R9008" i="44"/>
  <c r="R9009" i="44"/>
  <c r="R9010" i="44"/>
  <c r="R9011" i="44"/>
  <c r="R9012" i="44"/>
  <c r="R9013" i="44"/>
  <c r="R9014" i="44"/>
  <c r="R9015" i="44"/>
  <c r="R9016" i="44"/>
  <c r="R9017" i="44"/>
  <c r="R9018" i="44"/>
  <c r="R9019" i="44"/>
  <c r="R9020" i="44"/>
  <c r="R9021" i="44"/>
  <c r="R9022" i="44"/>
  <c r="R9023" i="44"/>
  <c r="R9024" i="44"/>
  <c r="R9025" i="44"/>
  <c r="R9026" i="44"/>
  <c r="R9027" i="44"/>
  <c r="R9028" i="44"/>
  <c r="R9029" i="44"/>
  <c r="R9030" i="44"/>
  <c r="R9031" i="44"/>
  <c r="R9032" i="44"/>
  <c r="R9033" i="44"/>
  <c r="R9034" i="44"/>
  <c r="R9035" i="44"/>
  <c r="R9036" i="44"/>
  <c r="R9037" i="44"/>
  <c r="R9038" i="44"/>
  <c r="R9039" i="44"/>
  <c r="R9040" i="44"/>
  <c r="R9041" i="44"/>
  <c r="R9042" i="44"/>
  <c r="R9043" i="44"/>
  <c r="R9044" i="44"/>
  <c r="R9045" i="44"/>
  <c r="R9046" i="44"/>
  <c r="R9047" i="44"/>
  <c r="R9048" i="44"/>
  <c r="R9049" i="44"/>
  <c r="R9050" i="44"/>
  <c r="R9051" i="44"/>
  <c r="R9052" i="44"/>
  <c r="R9053" i="44"/>
  <c r="R9054" i="44"/>
  <c r="R9055" i="44"/>
  <c r="R9056" i="44"/>
  <c r="R9057" i="44"/>
  <c r="R9058" i="44"/>
  <c r="R9059" i="44"/>
  <c r="R9060" i="44"/>
  <c r="R9061" i="44"/>
  <c r="R9062" i="44"/>
  <c r="R9063" i="44"/>
  <c r="R9064" i="44"/>
  <c r="R9065" i="44"/>
  <c r="R9066" i="44"/>
  <c r="R9067" i="44"/>
  <c r="R9068" i="44"/>
  <c r="R9069" i="44"/>
  <c r="R9070" i="44"/>
  <c r="R9071" i="44"/>
  <c r="R9072" i="44"/>
  <c r="R9073" i="44"/>
  <c r="R9074" i="44"/>
  <c r="R9075" i="44"/>
  <c r="R9076" i="44"/>
  <c r="R9077" i="44"/>
  <c r="R9078" i="44"/>
  <c r="R9079" i="44"/>
  <c r="R9080" i="44"/>
  <c r="R9081" i="44"/>
  <c r="R9082" i="44"/>
  <c r="R9083" i="44"/>
  <c r="R9084" i="44"/>
  <c r="R9085" i="44"/>
  <c r="R9086" i="44"/>
  <c r="R9087" i="44"/>
  <c r="R9088" i="44"/>
  <c r="R9089" i="44"/>
  <c r="R9090" i="44"/>
  <c r="R9091" i="44"/>
  <c r="R9092" i="44"/>
  <c r="R9093" i="44"/>
  <c r="R9094" i="44"/>
  <c r="R9095" i="44"/>
  <c r="R9096" i="44"/>
  <c r="R9097" i="44"/>
  <c r="R9098" i="44"/>
  <c r="R9099" i="44"/>
  <c r="R9100" i="44"/>
  <c r="R9101" i="44"/>
  <c r="R9102" i="44"/>
  <c r="R9103" i="44"/>
  <c r="R9104" i="44"/>
  <c r="R9105" i="44"/>
  <c r="R9106" i="44"/>
  <c r="R9107" i="44"/>
  <c r="R9108" i="44"/>
  <c r="R9109" i="44"/>
  <c r="R9110" i="44"/>
  <c r="R9111" i="44"/>
  <c r="R9112" i="44"/>
  <c r="R9113" i="44"/>
  <c r="R9114" i="44"/>
  <c r="R9115" i="44"/>
  <c r="R9116" i="44"/>
  <c r="R9117" i="44"/>
  <c r="R9118" i="44"/>
  <c r="R9119" i="44"/>
  <c r="R9120" i="44"/>
  <c r="R9121" i="44"/>
  <c r="R9122" i="44"/>
  <c r="R9123" i="44"/>
  <c r="R9124" i="44"/>
  <c r="R9125" i="44"/>
  <c r="R9126" i="44"/>
  <c r="R9127" i="44"/>
  <c r="R9128" i="44"/>
  <c r="R9129" i="44"/>
  <c r="R9130" i="44"/>
  <c r="R9131" i="44"/>
  <c r="R9132" i="44"/>
  <c r="R9133" i="44"/>
  <c r="R9134" i="44"/>
  <c r="R9135" i="44"/>
  <c r="R9136" i="44"/>
  <c r="R9137" i="44"/>
  <c r="R9138" i="44"/>
  <c r="R9139" i="44"/>
  <c r="R9140" i="44"/>
  <c r="R9141" i="44"/>
  <c r="R9142" i="44"/>
  <c r="R9143" i="44"/>
  <c r="R9144" i="44"/>
  <c r="R9145" i="44"/>
  <c r="R9146" i="44"/>
  <c r="R9147" i="44"/>
  <c r="R9148" i="44"/>
  <c r="R9149" i="44"/>
  <c r="R9150" i="44"/>
  <c r="R9151" i="44"/>
  <c r="R9152" i="44"/>
  <c r="R9153" i="44"/>
  <c r="R9154" i="44"/>
  <c r="R9155" i="44"/>
  <c r="R9156" i="44"/>
  <c r="R9157" i="44"/>
  <c r="R9158" i="44"/>
  <c r="R9159" i="44"/>
  <c r="R9160" i="44"/>
  <c r="R9161" i="44"/>
  <c r="R9162" i="44"/>
  <c r="R9163" i="44"/>
  <c r="R9164" i="44"/>
  <c r="R9165" i="44"/>
  <c r="R9166" i="44"/>
  <c r="R9167" i="44"/>
  <c r="R9168" i="44"/>
  <c r="R9169" i="44"/>
  <c r="R9170" i="44"/>
  <c r="R9171" i="44"/>
  <c r="R9172" i="44"/>
  <c r="R9173" i="44"/>
  <c r="R9174" i="44"/>
  <c r="R9175" i="44"/>
  <c r="R9176" i="44"/>
  <c r="R9177" i="44"/>
  <c r="R9178" i="44"/>
  <c r="R9179" i="44"/>
  <c r="R9180" i="44"/>
  <c r="R9181" i="44"/>
  <c r="R9182" i="44"/>
  <c r="R9183" i="44"/>
  <c r="R9184" i="44"/>
  <c r="R9185" i="44"/>
  <c r="R9186" i="44"/>
  <c r="R9187" i="44"/>
  <c r="R9188" i="44"/>
  <c r="R9189" i="44"/>
  <c r="R9190" i="44"/>
  <c r="R9191" i="44"/>
  <c r="R9192" i="44"/>
  <c r="R9193" i="44"/>
  <c r="R9194" i="44"/>
  <c r="R9195" i="44"/>
  <c r="R9196" i="44"/>
  <c r="R9197" i="44"/>
  <c r="R9198" i="44"/>
  <c r="R9199" i="44"/>
  <c r="R9200" i="44"/>
  <c r="R9201" i="44"/>
  <c r="R9202" i="44"/>
  <c r="R9203" i="44"/>
  <c r="R9204" i="44"/>
  <c r="R9205" i="44"/>
  <c r="R9206" i="44"/>
  <c r="R9207" i="44"/>
  <c r="R9208" i="44"/>
  <c r="R9209" i="44"/>
  <c r="R9210" i="44"/>
  <c r="R9211" i="44"/>
  <c r="R9212" i="44"/>
  <c r="R9213" i="44"/>
  <c r="R9214" i="44"/>
  <c r="R9215" i="44"/>
  <c r="R9216" i="44"/>
  <c r="R9217" i="44"/>
  <c r="R9218" i="44"/>
  <c r="R9219" i="44"/>
  <c r="R9220" i="44"/>
  <c r="R9221" i="44"/>
  <c r="R9222" i="44"/>
  <c r="R9223" i="44"/>
  <c r="R9224" i="44"/>
  <c r="R9225" i="44"/>
  <c r="R9226" i="44"/>
  <c r="R9227" i="44"/>
  <c r="R9228" i="44"/>
  <c r="R9229" i="44"/>
  <c r="R9230" i="44"/>
  <c r="R9231" i="44"/>
  <c r="R9232" i="44"/>
  <c r="R9233" i="44"/>
  <c r="R9234" i="44"/>
  <c r="R9235" i="44"/>
  <c r="R9236" i="44"/>
  <c r="R9237" i="44"/>
  <c r="R9238" i="44"/>
  <c r="R9239" i="44"/>
  <c r="R9240" i="44"/>
  <c r="R9241" i="44"/>
  <c r="R9242" i="44"/>
  <c r="R9243" i="44"/>
  <c r="R9244" i="44"/>
  <c r="R9245" i="44"/>
  <c r="R9246" i="44"/>
  <c r="R9247" i="44"/>
  <c r="R9248" i="44"/>
  <c r="R9249" i="44"/>
  <c r="R9250" i="44"/>
  <c r="R9251" i="44"/>
  <c r="R9252" i="44"/>
  <c r="R9253" i="44"/>
  <c r="R9254" i="44"/>
  <c r="R9255" i="44"/>
  <c r="R9256" i="44"/>
  <c r="R9257" i="44"/>
  <c r="R9258" i="44"/>
  <c r="R9259" i="44"/>
  <c r="R9260" i="44"/>
  <c r="R9261" i="44"/>
  <c r="R9262" i="44"/>
  <c r="R9263" i="44"/>
  <c r="R9264" i="44"/>
  <c r="R9265" i="44"/>
  <c r="R9266" i="44"/>
  <c r="R9267" i="44"/>
  <c r="R9268" i="44"/>
  <c r="R9269" i="44"/>
  <c r="R9270" i="44"/>
  <c r="R9271" i="44"/>
  <c r="R9272" i="44"/>
  <c r="R9273" i="44"/>
  <c r="R9274" i="44"/>
  <c r="R9275" i="44"/>
  <c r="R9276" i="44"/>
  <c r="R9277" i="44"/>
  <c r="R9278" i="44"/>
  <c r="R9279" i="44"/>
  <c r="R9280" i="44"/>
  <c r="R9281" i="44"/>
  <c r="R9282" i="44"/>
  <c r="R9283" i="44"/>
  <c r="R9284" i="44"/>
  <c r="R9285" i="44"/>
  <c r="R9286" i="44"/>
  <c r="R9287" i="44"/>
  <c r="R9288" i="44"/>
  <c r="R9289" i="44"/>
  <c r="R9290" i="44"/>
  <c r="R9291" i="44"/>
  <c r="R9292" i="44"/>
  <c r="R9293" i="44"/>
  <c r="R9294" i="44"/>
  <c r="R9295" i="44"/>
  <c r="R9296" i="44"/>
  <c r="R9297" i="44"/>
  <c r="R9298" i="44"/>
  <c r="R9299" i="44"/>
  <c r="R9300" i="44"/>
  <c r="R9301" i="44"/>
  <c r="R9302" i="44"/>
  <c r="R9303" i="44"/>
  <c r="R9304" i="44"/>
  <c r="R9305" i="44"/>
  <c r="R9306" i="44"/>
  <c r="R9307" i="44"/>
  <c r="R9308" i="44"/>
  <c r="R9309" i="44"/>
  <c r="R9310" i="44"/>
  <c r="R9311" i="44"/>
  <c r="R9312" i="44"/>
  <c r="R9313" i="44"/>
  <c r="R9314" i="44"/>
  <c r="R9315" i="44"/>
  <c r="R9316" i="44"/>
  <c r="R9317" i="44"/>
  <c r="R9318" i="44"/>
  <c r="R9319" i="44"/>
  <c r="R9320" i="44"/>
  <c r="R9321" i="44"/>
  <c r="R9322" i="44"/>
  <c r="R9323" i="44"/>
  <c r="R9324" i="44"/>
  <c r="R9325" i="44"/>
  <c r="R9326" i="44"/>
  <c r="R9327" i="44"/>
  <c r="R9328" i="44"/>
  <c r="R9329" i="44"/>
  <c r="R9330" i="44"/>
  <c r="R9331" i="44"/>
  <c r="R9332" i="44"/>
  <c r="R9333" i="44"/>
  <c r="R9334" i="44"/>
  <c r="R9335" i="44"/>
  <c r="R9336" i="44"/>
  <c r="R9337" i="44"/>
  <c r="R9338" i="44"/>
  <c r="R9339" i="44"/>
  <c r="R9340" i="44"/>
  <c r="R9341" i="44"/>
  <c r="R9342" i="44"/>
  <c r="R9343" i="44"/>
  <c r="R9344" i="44"/>
  <c r="R9345" i="44"/>
  <c r="R9346" i="44"/>
  <c r="R9347" i="44"/>
  <c r="R9348" i="44"/>
  <c r="R9349" i="44"/>
  <c r="R9350" i="44"/>
  <c r="R9351" i="44"/>
  <c r="R9352" i="44"/>
  <c r="R9353" i="44"/>
  <c r="R9354" i="44"/>
  <c r="R9355" i="44"/>
  <c r="R9356" i="44"/>
  <c r="R9357" i="44"/>
  <c r="R9358" i="44"/>
  <c r="R9359" i="44"/>
  <c r="R9360" i="44"/>
  <c r="R9361" i="44"/>
  <c r="R9362" i="44"/>
  <c r="R9363" i="44"/>
  <c r="R9364" i="44"/>
  <c r="R9365" i="44"/>
  <c r="R9366" i="44"/>
  <c r="R9367" i="44"/>
  <c r="R9368" i="44"/>
  <c r="R9369" i="44"/>
  <c r="R9370" i="44"/>
  <c r="R9371" i="44"/>
  <c r="R9372" i="44"/>
  <c r="R9373" i="44"/>
  <c r="R9374" i="44"/>
  <c r="R9375" i="44"/>
  <c r="R9376" i="44"/>
  <c r="R9377" i="44"/>
  <c r="R9378" i="44"/>
  <c r="R9379" i="44"/>
  <c r="R9380" i="44"/>
  <c r="R9381" i="44"/>
  <c r="R9382" i="44"/>
  <c r="R9383" i="44"/>
  <c r="R9384" i="44"/>
  <c r="R9385" i="44"/>
  <c r="R9386" i="44"/>
  <c r="R9387" i="44"/>
  <c r="R9388" i="44"/>
  <c r="R9389" i="44"/>
  <c r="R9390" i="44"/>
  <c r="R9391" i="44"/>
  <c r="R9392" i="44"/>
  <c r="R9393" i="44"/>
  <c r="R9394" i="44"/>
  <c r="R9395" i="44"/>
  <c r="R9396" i="44"/>
  <c r="R9397" i="44"/>
  <c r="R9398" i="44"/>
  <c r="R9399" i="44"/>
  <c r="R9400" i="44"/>
  <c r="R9401" i="44"/>
  <c r="R9402" i="44"/>
  <c r="R9403" i="44"/>
  <c r="R9404" i="44"/>
  <c r="R9405" i="44"/>
  <c r="R9406" i="44"/>
  <c r="R9407" i="44"/>
  <c r="R9408" i="44"/>
  <c r="R9409" i="44"/>
  <c r="R9410" i="44"/>
  <c r="R9411" i="44"/>
  <c r="R9412" i="44"/>
  <c r="R9413" i="44"/>
  <c r="R9414" i="44"/>
  <c r="R9415" i="44"/>
  <c r="R9416" i="44"/>
  <c r="R9417" i="44"/>
  <c r="R9418" i="44"/>
  <c r="R9419" i="44"/>
  <c r="R9420" i="44"/>
  <c r="R9421" i="44"/>
  <c r="R9422" i="44"/>
  <c r="R9423" i="44"/>
  <c r="R9424" i="44"/>
  <c r="R9425" i="44"/>
  <c r="R9426" i="44"/>
  <c r="R9427" i="44"/>
  <c r="R9428" i="44"/>
  <c r="R9429" i="44"/>
  <c r="R9430" i="44"/>
  <c r="R9431" i="44"/>
  <c r="R9432" i="44"/>
  <c r="R9433" i="44"/>
  <c r="R9434" i="44"/>
  <c r="R9435" i="44"/>
  <c r="R9436" i="44"/>
  <c r="R9437" i="44"/>
  <c r="R9438" i="44"/>
  <c r="R9439" i="44"/>
  <c r="R9440" i="44"/>
  <c r="R9441" i="44"/>
  <c r="R9442" i="44"/>
  <c r="R9443" i="44"/>
  <c r="R9444" i="44"/>
  <c r="R9445" i="44"/>
  <c r="R9446" i="44"/>
  <c r="R9447" i="44"/>
  <c r="R9448" i="44"/>
  <c r="R9449" i="44"/>
  <c r="R9450" i="44"/>
  <c r="R9451" i="44"/>
  <c r="R9452" i="44"/>
  <c r="R9453" i="44"/>
  <c r="R9454" i="44"/>
  <c r="R9455" i="44"/>
  <c r="R9456" i="44"/>
  <c r="R9457" i="44"/>
  <c r="R9458" i="44"/>
  <c r="R9459" i="44"/>
  <c r="R9460" i="44"/>
  <c r="R9461" i="44"/>
  <c r="R9462" i="44"/>
  <c r="R9463" i="44"/>
  <c r="R9464" i="44"/>
  <c r="R9465" i="44"/>
  <c r="R9466" i="44"/>
  <c r="R9467" i="44"/>
  <c r="R9468" i="44"/>
  <c r="R9469" i="44"/>
  <c r="R9470" i="44"/>
  <c r="R9471" i="44"/>
  <c r="R9472" i="44"/>
  <c r="R9473" i="44"/>
  <c r="R9474" i="44"/>
  <c r="R9475" i="44"/>
  <c r="R9476" i="44"/>
  <c r="R9477" i="44"/>
  <c r="R9478" i="44"/>
  <c r="R9479" i="44"/>
  <c r="R9480" i="44"/>
  <c r="R9481" i="44"/>
  <c r="R9482" i="44"/>
  <c r="R9483" i="44"/>
  <c r="R9484" i="44"/>
  <c r="R9485" i="44"/>
  <c r="R9486" i="44"/>
  <c r="R9487" i="44"/>
  <c r="R9488" i="44"/>
  <c r="R9489" i="44"/>
  <c r="R9490" i="44"/>
  <c r="R9491" i="44"/>
  <c r="R9492" i="44"/>
  <c r="R9493" i="44"/>
  <c r="R9494" i="44"/>
  <c r="R9495" i="44"/>
  <c r="R9496" i="44"/>
  <c r="R9497" i="44"/>
  <c r="R9498" i="44"/>
  <c r="R9499" i="44"/>
  <c r="R9500" i="44"/>
  <c r="R9501" i="44"/>
  <c r="R9502" i="44"/>
  <c r="R9503" i="44"/>
  <c r="R9504" i="44"/>
  <c r="R9505" i="44"/>
  <c r="R9506" i="44"/>
  <c r="R9507" i="44"/>
  <c r="R9508" i="44"/>
  <c r="R9509" i="44"/>
  <c r="R9510" i="44"/>
  <c r="R9511" i="44"/>
  <c r="R9512" i="44"/>
  <c r="R9513" i="44"/>
  <c r="R9514" i="44"/>
  <c r="R9515" i="44"/>
  <c r="R9516" i="44"/>
  <c r="R9517" i="44"/>
  <c r="R9518" i="44"/>
  <c r="R9519" i="44"/>
  <c r="R9520" i="44"/>
  <c r="R9521" i="44"/>
  <c r="R9522" i="44"/>
  <c r="R9523" i="44"/>
  <c r="R9524" i="44"/>
  <c r="R9525" i="44"/>
  <c r="R9526" i="44"/>
  <c r="R9527" i="44"/>
  <c r="R9528" i="44"/>
  <c r="R9529" i="44"/>
  <c r="R9530" i="44"/>
  <c r="R9531" i="44"/>
  <c r="R9532" i="44"/>
  <c r="R9533" i="44"/>
  <c r="R9534" i="44"/>
  <c r="R9535" i="44"/>
  <c r="R9536" i="44"/>
  <c r="R9537" i="44"/>
  <c r="R9538" i="44"/>
  <c r="R9539" i="44"/>
  <c r="R9540" i="44"/>
  <c r="R9541" i="44"/>
  <c r="R9542" i="44"/>
  <c r="R9543" i="44"/>
  <c r="R9544" i="44"/>
  <c r="R9545" i="44"/>
  <c r="R9546" i="44"/>
  <c r="R9547" i="44"/>
  <c r="R9548" i="44"/>
  <c r="R9549" i="44"/>
  <c r="R9550" i="44"/>
  <c r="R9551" i="44"/>
  <c r="R9552" i="44"/>
  <c r="R9553" i="44"/>
  <c r="R9554" i="44"/>
  <c r="R9555" i="44"/>
  <c r="R9556" i="44"/>
  <c r="R9557" i="44"/>
  <c r="R9558" i="44"/>
  <c r="R9559" i="44"/>
  <c r="R9560" i="44"/>
  <c r="R9561" i="44"/>
  <c r="R9562" i="44"/>
  <c r="R9563" i="44"/>
  <c r="R9564" i="44"/>
  <c r="R9565" i="44"/>
  <c r="R9566" i="44"/>
  <c r="R9567" i="44"/>
  <c r="R9568" i="44"/>
  <c r="R9569" i="44"/>
  <c r="R9570" i="44"/>
  <c r="R9571" i="44"/>
  <c r="R9572" i="44"/>
  <c r="R9573" i="44"/>
  <c r="R9574" i="44"/>
  <c r="R9575" i="44"/>
  <c r="R9576" i="44"/>
  <c r="R9577" i="44"/>
  <c r="R9578" i="44"/>
  <c r="R9579" i="44"/>
  <c r="R9580" i="44"/>
  <c r="R9581" i="44"/>
  <c r="R9582" i="44"/>
  <c r="R9583" i="44"/>
  <c r="R9584" i="44"/>
  <c r="R9585" i="44"/>
  <c r="R9586" i="44"/>
  <c r="R9587" i="44"/>
  <c r="R9588" i="44"/>
  <c r="R9589" i="44"/>
  <c r="R9590" i="44"/>
  <c r="R9591" i="44"/>
  <c r="R9592" i="44"/>
  <c r="R9593" i="44"/>
  <c r="R9594" i="44"/>
  <c r="R9595" i="44"/>
  <c r="R9596" i="44"/>
  <c r="R9597" i="44"/>
  <c r="R9598" i="44"/>
  <c r="R9599" i="44"/>
  <c r="R9600" i="44"/>
  <c r="R9601" i="44"/>
  <c r="R9602" i="44"/>
  <c r="R9603" i="44"/>
  <c r="R9604" i="44"/>
  <c r="R9605" i="44"/>
  <c r="R9606" i="44"/>
  <c r="R9607" i="44"/>
  <c r="R9608" i="44"/>
  <c r="R9609" i="44"/>
  <c r="R9610" i="44"/>
  <c r="R9611" i="44"/>
  <c r="R9612" i="44"/>
  <c r="R9613" i="44"/>
  <c r="R9614" i="44"/>
  <c r="R9615" i="44"/>
  <c r="R9616" i="44"/>
  <c r="R9617" i="44"/>
  <c r="R9618" i="44"/>
  <c r="R9619" i="44"/>
  <c r="R9620" i="44"/>
  <c r="R9621" i="44"/>
  <c r="R9622" i="44"/>
  <c r="R9623" i="44"/>
  <c r="R9624" i="44"/>
  <c r="R9625" i="44"/>
  <c r="R9626" i="44"/>
  <c r="R9627" i="44"/>
  <c r="R9628" i="44"/>
  <c r="R9629" i="44"/>
  <c r="R9630" i="44"/>
  <c r="R9631" i="44"/>
  <c r="R9632" i="44"/>
  <c r="R9633" i="44"/>
  <c r="R9634" i="44"/>
  <c r="R9635" i="44"/>
  <c r="R9636" i="44"/>
  <c r="R9637" i="44"/>
  <c r="R9638" i="44"/>
  <c r="R9639" i="44"/>
  <c r="R9640" i="44"/>
  <c r="R9641" i="44"/>
  <c r="R9642" i="44"/>
  <c r="R9643" i="44"/>
  <c r="R9644" i="44"/>
  <c r="R9645" i="44"/>
  <c r="R9646" i="44"/>
  <c r="R9647" i="44"/>
  <c r="R9648" i="44"/>
  <c r="R9649" i="44"/>
  <c r="R9650" i="44"/>
  <c r="R9651" i="44"/>
  <c r="R9652" i="44"/>
  <c r="R9653" i="44"/>
  <c r="R9654" i="44"/>
  <c r="R9655" i="44"/>
  <c r="R9656" i="44"/>
  <c r="R9657" i="44"/>
  <c r="R9658" i="44"/>
  <c r="R9659" i="44"/>
  <c r="R9660" i="44"/>
  <c r="R9661" i="44"/>
  <c r="R9662" i="44"/>
  <c r="R9663" i="44"/>
  <c r="R9664" i="44"/>
  <c r="R9665" i="44"/>
  <c r="R9666" i="44"/>
  <c r="R9667" i="44"/>
  <c r="R9668" i="44"/>
  <c r="R9669" i="44"/>
  <c r="R9670" i="44"/>
  <c r="R9671" i="44"/>
  <c r="R9672" i="44"/>
  <c r="R9673" i="44"/>
  <c r="R9674" i="44"/>
  <c r="R9675" i="44"/>
  <c r="R9676" i="44"/>
  <c r="R9677" i="44"/>
  <c r="R9678" i="44"/>
  <c r="R9679" i="44"/>
  <c r="R9680" i="44"/>
  <c r="R9681" i="44"/>
  <c r="R9682" i="44"/>
  <c r="R9683" i="44"/>
  <c r="R9684" i="44"/>
  <c r="R9685" i="44"/>
  <c r="R9686" i="44"/>
  <c r="R9687" i="44"/>
  <c r="R9688" i="44"/>
  <c r="R9689" i="44"/>
  <c r="R9690" i="44"/>
  <c r="R9691" i="44"/>
  <c r="R9692" i="44"/>
  <c r="R9693" i="44"/>
  <c r="R9694" i="44"/>
  <c r="R9695" i="44"/>
  <c r="R9696" i="44"/>
  <c r="R9697" i="44"/>
  <c r="R9698" i="44"/>
  <c r="R9699" i="44"/>
  <c r="R9700" i="44"/>
  <c r="R9701" i="44"/>
  <c r="R9702" i="44"/>
  <c r="R9703" i="44"/>
  <c r="R9704" i="44"/>
  <c r="R9705" i="44"/>
  <c r="R9706" i="44"/>
  <c r="R9707" i="44"/>
  <c r="R9708" i="44"/>
  <c r="R9709" i="44"/>
  <c r="R9710" i="44"/>
  <c r="R9711" i="44"/>
  <c r="R9712" i="44"/>
  <c r="R9713" i="44"/>
  <c r="R9714" i="44"/>
  <c r="R9715" i="44"/>
  <c r="R9716" i="44"/>
  <c r="R9717" i="44"/>
  <c r="R9718" i="44"/>
  <c r="R9719" i="44"/>
  <c r="R9720" i="44"/>
  <c r="R9721" i="44"/>
  <c r="R9722" i="44"/>
  <c r="R9723" i="44"/>
  <c r="R9724" i="44"/>
  <c r="R9725" i="44"/>
  <c r="R9726" i="44"/>
  <c r="R9727" i="44"/>
  <c r="R9728" i="44"/>
  <c r="R9729" i="44"/>
  <c r="R9730" i="44"/>
  <c r="R9731" i="44"/>
  <c r="R9732" i="44"/>
  <c r="R9733" i="44"/>
  <c r="R9734" i="44"/>
  <c r="R9735" i="44"/>
  <c r="R9736" i="44"/>
  <c r="R9737" i="44"/>
  <c r="R9738" i="44"/>
  <c r="R9739" i="44"/>
  <c r="R9740" i="44"/>
  <c r="R9741" i="44"/>
  <c r="R9742" i="44"/>
  <c r="R9743" i="44"/>
  <c r="R9744" i="44"/>
  <c r="R9745" i="44"/>
  <c r="R9746" i="44"/>
  <c r="R9747" i="44"/>
  <c r="R9748" i="44"/>
  <c r="R9749" i="44"/>
  <c r="R9750" i="44"/>
  <c r="R9751" i="44"/>
  <c r="R9752" i="44"/>
  <c r="R9753" i="44"/>
  <c r="R9754" i="44"/>
  <c r="R9755" i="44"/>
  <c r="R9756" i="44"/>
  <c r="R9757" i="44"/>
  <c r="R9758" i="44"/>
  <c r="R9759" i="44"/>
  <c r="R9760" i="44"/>
  <c r="R9761" i="44"/>
  <c r="R9762" i="44"/>
  <c r="R9763" i="44"/>
  <c r="R9764" i="44"/>
  <c r="R9765" i="44"/>
  <c r="R9766" i="44"/>
  <c r="R9767" i="44"/>
  <c r="R9768" i="44"/>
  <c r="R9769" i="44"/>
  <c r="R9770" i="44"/>
  <c r="R9771" i="44"/>
  <c r="R9772" i="44"/>
  <c r="R9773" i="44"/>
  <c r="R9774" i="44"/>
  <c r="R9775" i="44"/>
  <c r="R9776" i="44"/>
  <c r="R9777" i="44"/>
  <c r="R9778" i="44"/>
  <c r="R9779" i="44"/>
  <c r="R9780" i="44"/>
  <c r="R9781" i="44"/>
  <c r="R9782" i="44"/>
  <c r="R9783" i="44"/>
  <c r="R9784" i="44"/>
  <c r="R9785" i="44"/>
  <c r="R9786" i="44"/>
  <c r="R9787" i="44"/>
  <c r="R9788" i="44"/>
  <c r="R9789" i="44"/>
  <c r="R9790" i="44"/>
  <c r="R9791" i="44"/>
  <c r="R9792" i="44"/>
  <c r="R9793" i="44"/>
  <c r="R9794" i="44"/>
  <c r="R9795" i="44"/>
  <c r="R9796" i="44"/>
  <c r="R9797" i="44"/>
  <c r="R9798" i="44"/>
  <c r="R9799" i="44"/>
  <c r="R9800" i="44"/>
  <c r="R9801" i="44"/>
  <c r="R9802" i="44"/>
  <c r="R9803" i="44"/>
  <c r="R9804" i="44"/>
  <c r="R9805" i="44"/>
  <c r="R9806" i="44"/>
  <c r="R9807" i="44"/>
  <c r="R9808" i="44"/>
  <c r="R9809" i="44"/>
  <c r="R9810" i="44"/>
  <c r="R9811" i="44"/>
  <c r="R9812" i="44"/>
  <c r="R9813" i="44"/>
  <c r="R9814" i="44"/>
  <c r="R9815" i="44"/>
  <c r="R9816" i="44"/>
  <c r="R9817" i="44"/>
  <c r="R9818" i="44"/>
  <c r="R9819" i="44"/>
  <c r="R9820" i="44"/>
  <c r="R9821" i="44"/>
  <c r="R9822" i="44"/>
  <c r="R9823" i="44"/>
  <c r="R9824" i="44"/>
  <c r="R9825" i="44"/>
  <c r="R9826" i="44"/>
  <c r="R9827" i="44"/>
  <c r="R9828" i="44"/>
  <c r="R9829" i="44"/>
  <c r="R9830" i="44"/>
  <c r="R9831" i="44"/>
  <c r="R9832" i="44"/>
  <c r="R9833" i="44"/>
  <c r="R9834" i="44"/>
  <c r="R9835" i="44"/>
  <c r="R9836" i="44"/>
  <c r="R9837" i="44"/>
  <c r="R9838" i="44"/>
  <c r="R9839" i="44"/>
  <c r="R9840" i="44"/>
  <c r="R9841" i="44"/>
  <c r="R9842" i="44"/>
  <c r="R9843" i="44"/>
  <c r="R9844" i="44"/>
  <c r="R9845" i="44"/>
  <c r="R9846" i="44"/>
  <c r="R9847" i="44"/>
  <c r="R9848" i="44"/>
  <c r="R9849" i="44"/>
  <c r="R9850" i="44"/>
  <c r="R9851" i="44"/>
  <c r="R9852" i="44"/>
  <c r="R9853" i="44"/>
  <c r="R9854" i="44"/>
  <c r="R9855" i="44"/>
  <c r="R9856" i="44"/>
  <c r="R9857" i="44"/>
  <c r="R9858" i="44"/>
  <c r="R9859" i="44"/>
  <c r="R9860" i="44"/>
  <c r="R9861" i="44"/>
  <c r="R9862" i="44"/>
  <c r="R9863" i="44"/>
  <c r="R9864" i="44"/>
  <c r="R9865" i="44"/>
  <c r="R9866" i="44"/>
  <c r="R9867" i="44"/>
  <c r="R9868" i="44"/>
  <c r="R9869" i="44"/>
  <c r="R9870" i="44"/>
  <c r="R9871" i="44"/>
  <c r="R9872" i="44"/>
  <c r="R9873" i="44"/>
  <c r="R9874" i="44"/>
  <c r="R9875" i="44"/>
  <c r="R9876" i="44"/>
  <c r="R9877" i="44"/>
  <c r="R9878" i="44"/>
  <c r="R9879" i="44"/>
  <c r="R9880" i="44"/>
  <c r="R9881" i="44"/>
  <c r="R9882" i="44"/>
  <c r="R9883" i="44"/>
  <c r="R9884" i="44"/>
  <c r="R9885" i="44"/>
  <c r="R9886" i="44"/>
  <c r="R9887" i="44"/>
  <c r="R9888" i="44"/>
  <c r="R9889" i="44"/>
  <c r="R9890" i="44"/>
  <c r="R9891" i="44"/>
  <c r="R9892" i="44"/>
  <c r="R9893" i="44"/>
  <c r="R9894" i="44"/>
  <c r="R9895" i="44"/>
  <c r="R9896" i="44"/>
  <c r="R9897" i="44"/>
  <c r="R9898" i="44"/>
  <c r="R9899" i="44"/>
  <c r="R9900" i="44"/>
  <c r="R9901" i="44"/>
  <c r="R9902" i="44"/>
  <c r="R9903" i="44"/>
  <c r="R9904" i="44"/>
  <c r="R9905" i="44"/>
  <c r="R9906" i="44"/>
  <c r="R9907" i="44"/>
  <c r="R9908" i="44"/>
  <c r="R9909" i="44"/>
  <c r="R9910" i="44"/>
  <c r="R9911" i="44"/>
  <c r="R9912" i="44"/>
  <c r="R9913" i="44"/>
  <c r="R9914" i="44"/>
  <c r="R9915" i="44"/>
  <c r="R9916" i="44"/>
  <c r="R9917" i="44"/>
  <c r="R9918" i="44"/>
  <c r="R9919" i="44"/>
  <c r="R9920" i="44"/>
  <c r="R9921" i="44"/>
  <c r="R9922" i="44"/>
  <c r="R9923" i="44"/>
  <c r="R9924" i="44"/>
  <c r="R9925" i="44"/>
  <c r="R9926" i="44"/>
  <c r="R9927" i="44"/>
  <c r="R9928" i="44"/>
  <c r="R9929" i="44"/>
  <c r="R9930" i="44"/>
  <c r="R9931" i="44"/>
  <c r="R9932" i="44"/>
  <c r="R9933" i="44"/>
  <c r="R9934" i="44"/>
  <c r="R9935" i="44"/>
  <c r="R9936" i="44"/>
  <c r="R9937" i="44"/>
  <c r="R9938" i="44"/>
  <c r="R9939" i="44"/>
  <c r="R9940" i="44"/>
  <c r="R9941" i="44"/>
  <c r="R9942" i="44"/>
  <c r="R9943" i="44"/>
  <c r="R9944" i="44"/>
  <c r="R9945" i="44"/>
  <c r="R9946" i="44"/>
  <c r="R9947" i="44"/>
  <c r="R9948" i="44"/>
  <c r="R9949" i="44"/>
  <c r="R9950" i="44"/>
  <c r="R9951" i="44"/>
  <c r="R9952" i="44"/>
  <c r="R9953" i="44"/>
  <c r="R9954" i="44"/>
  <c r="R9955" i="44"/>
  <c r="R9956" i="44"/>
  <c r="R9957" i="44"/>
  <c r="R9958" i="44"/>
  <c r="R9959" i="44"/>
  <c r="R9960" i="44"/>
  <c r="R9961" i="44"/>
  <c r="R9962" i="44"/>
  <c r="R9963" i="44"/>
  <c r="R9964" i="44"/>
  <c r="R9965" i="44"/>
  <c r="R9966" i="44"/>
  <c r="R9967" i="44"/>
  <c r="R9968" i="44"/>
  <c r="R9969" i="44"/>
  <c r="R9970" i="44"/>
  <c r="R9971" i="44"/>
  <c r="R9972" i="44"/>
  <c r="R9973" i="44"/>
  <c r="R9974" i="44"/>
  <c r="R9975" i="44"/>
  <c r="R9976" i="44"/>
  <c r="R9977" i="44"/>
  <c r="R9978" i="44"/>
  <c r="R9979" i="44"/>
  <c r="R9980" i="44"/>
  <c r="R9981" i="44"/>
  <c r="R9982" i="44"/>
  <c r="R9983" i="44"/>
  <c r="R9984" i="44"/>
  <c r="R9985" i="44"/>
  <c r="R9986" i="44"/>
  <c r="R9987" i="44"/>
  <c r="R9988" i="44"/>
  <c r="R9989" i="44"/>
  <c r="R9990" i="44"/>
  <c r="R9991" i="44"/>
  <c r="R9992" i="44"/>
  <c r="R9993" i="44"/>
  <c r="R9994" i="44"/>
  <c r="R9995" i="44"/>
  <c r="R9996" i="44"/>
  <c r="R9997" i="44"/>
  <c r="R9998" i="44"/>
  <c r="R9999" i="44"/>
  <c r="R10000" i="44"/>
  <c r="R7018" i="44"/>
  <c r="R7019" i="44"/>
  <c r="R7020" i="44"/>
  <c r="R7021" i="44"/>
  <c r="R7022" i="44"/>
  <c r="R7023" i="44"/>
  <c r="R7024" i="44"/>
  <c r="R7025" i="44"/>
  <c r="R7026" i="44"/>
  <c r="R7027" i="44"/>
  <c r="R7028" i="44"/>
  <c r="R7029" i="44"/>
  <c r="R7030" i="44"/>
  <c r="R7031" i="44"/>
  <c r="R7032" i="44"/>
  <c r="R7033" i="44"/>
  <c r="R7034" i="44"/>
  <c r="R7035" i="44"/>
  <c r="R7036" i="44"/>
  <c r="R7037" i="44"/>
  <c r="R7038" i="44"/>
  <c r="R7039" i="44"/>
  <c r="R7040" i="44"/>
  <c r="R7041" i="44"/>
  <c r="R7042" i="44"/>
  <c r="R7043" i="44"/>
  <c r="R7044" i="44"/>
  <c r="R7045" i="44"/>
  <c r="R7046" i="44"/>
  <c r="R7047" i="44"/>
  <c r="R7048" i="44"/>
  <c r="R7049" i="44"/>
  <c r="R7050" i="44"/>
  <c r="R7051" i="44"/>
  <c r="R7052" i="44"/>
  <c r="R7053" i="44"/>
  <c r="R7054" i="44"/>
  <c r="R7055" i="44"/>
  <c r="R7056" i="44"/>
  <c r="R7057" i="44"/>
  <c r="R7058" i="44"/>
  <c r="R7059" i="44"/>
  <c r="R7060" i="44"/>
  <c r="R7061" i="44"/>
  <c r="R7062" i="44"/>
  <c r="R7063" i="44"/>
  <c r="R7064" i="44"/>
  <c r="R7065" i="44"/>
  <c r="R7066" i="44"/>
  <c r="R7067" i="44"/>
  <c r="R7068" i="44"/>
  <c r="R7069" i="44"/>
  <c r="R7070" i="44"/>
  <c r="R7071" i="44"/>
  <c r="R7072" i="44"/>
  <c r="R7073" i="44"/>
  <c r="R7074" i="44"/>
  <c r="R7075" i="44"/>
  <c r="R7076" i="44"/>
  <c r="R7077" i="44"/>
  <c r="R7078" i="44"/>
  <c r="R7079" i="44"/>
  <c r="R7080" i="44"/>
  <c r="R7081" i="44"/>
  <c r="R7082" i="44"/>
  <c r="R7083" i="44"/>
  <c r="R7084" i="44"/>
  <c r="R7085" i="44"/>
  <c r="R7086" i="44"/>
  <c r="R7087" i="44"/>
  <c r="R7088" i="44"/>
  <c r="R7089" i="44"/>
  <c r="R7090" i="44"/>
  <c r="R7091" i="44"/>
  <c r="R7092" i="44"/>
  <c r="R7093" i="44"/>
  <c r="R7094" i="44"/>
  <c r="R7095" i="44"/>
  <c r="R7096" i="44"/>
  <c r="R7097" i="44"/>
  <c r="R7098" i="44"/>
  <c r="R7099" i="44"/>
  <c r="R7100" i="44"/>
  <c r="R7101" i="44"/>
  <c r="R7102" i="44"/>
  <c r="R7103" i="44"/>
  <c r="R7104" i="44"/>
  <c r="R7105" i="44"/>
  <c r="R7106" i="44"/>
  <c r="R7107" i="44"/>
  <c r="R7108" i="44"/>
  <c r="R7109" i="44"/>
  <c r="R7110" i="44"/>
  <c r="R7111" i="44"/>
  <c r="R7112" i="44"/>
  <c r="R7113" i="44"/>
  <c r="R7114" i="44"/>
  <c r="R7115" i="44"/>
  <c r="R7116" i="44"/>
  <c r="R7117" i="44"/>
  <c r="R7118" i="44"/>
  <c r="R7119" i="44"/>
  <c r="R7120" i="44"/>
  <c r="R7121" i="44"/>
  <c r="R7122" i="44"/>
  <c r="R7123" i="44"/>
  <c r="R7124" i="44"/>
  <c r="R7125" i="44"/>
  <c r="R7126" i="44"/>
  <c r="R7127" i="44"/>
  <c r="R7128" i="44"/>
  <c r="R7129" i="44"/>
  <c r="R7130" i="44"/>
  <c r="R7131" i="44"/>
  <c r="R7132" i="44"/>
  <c r="R7133" i="44"/>
  <c r="R7134" i="44"/>
  <c r="R7135" i="44"/>
  <c r="R7136" i="44"/>
  <c r="R7137" i="44"/>
  <c r="R7138" i="44"/>
  <c r="R7139" i="44"/>
  <c r="R7140" i="44"/>
  <c r="R7141" i="44"/>
  <c r="R7142" i="44"/>
  <c r="R7143" i="44"/>
  <c r="R7144" i="44"/>
  <c r="R7145" i="44"/>
  <c r="R7146" i="44"/>
  <c r="R7147" i="44"/>
  <c r="R7148" i="44"/>
  <c r="R7149" i="44"/>
  <c r="R7150" i="44"/>
  <c r="R7151" i="44"/>
  <c r="R7152" i="44"/>
  <c r="R7153" i="44"/>
  <c r="R7154" i="44"/>
  <c r="R7155" i="44"/>
  <c r="R7156" i="44"/>
  <c r="R7157" i="44"/>
  <c r="R7158" i="44"/>
  <c r="R7159" i="44"/>
  <c r="R7160" i="44"/>
  <c r="R7161" i="44"/>
  <c r="R7162" i="44"/>
  <c r="R7163" i="44"/>
  <c r="R7164" i="44"/>
  <c r="R7165" i="44"/>
  <c r="R7166" i="44"/>
  <c r="R7167" i="44"/>
  <c r="R7168" i="44"/>
  <c r="R7169" i="44"/>
  <c r="R7170" i="44"/>
  <c r="R7171" i="44"/>
  <c r="R7172" i="44"/>
  <c r="R7173" i="44"/>
  <c r="R7174" i="44"/>
  <c r="R7175" i="44"/>
  <c r="R7176" i="44"/>
  <c r="R7177" i="44"/>
  <c r="R7178" i="44"/>
  <c r="R7179" i="44"/>
  <c r="R7180" i="44"/>
  <c r="R7181" i="44"/>
  <c r="R7182" i="44"/>
  <c r="R7183" i="44"/>
  <c r="R7184" i="44"/>
  <c r="R7185" i="44"/>
  <c r="R7186" i="44"/>
  <c r="R7187" i="44"/>
  <c r="R7188" i="44"/>
  <c r="R7189" i="44"/>
  <c r="R7190" i="44"/>
  <c r="R7191" i="44"/>
  <c r="R7192" i="44"/>
  <c r="R7193" i="44"/>
  <c r="R7194" i="44"/>
  <c r="R7195" i="44"/>
  <c r="R7196" i="44"/>
  <c r="R7197" i="44"/>
  <c r="R7198" i="44"/>
  <c r="R7199" i="44"/>
  <c r="R7200" i="44"/>
  <c r="R7201" i="44"/>
  <c r="R7202" i="44"/>
  <c r="R7203" i="44"/>
  <c r="R7204" i="44"/>
  <c r="R7205" i="44"/>
  <c r="R7206" i="44"/>
  <c r="R7207" i="44"/>
  <c r="R7208" i="44"/>
  <c r="R7209" i="44"/>
  <c r="R7210" i="44"/>
  <c r="R7211" i="44"/>
  <c r="R7212" i="44"/>
  <c r="R7213" i="44"/>
  <c r="R7214" i="44"/>
  <c r="R7215" i="44"/>
  <c r="R7216" i="44"/>
  <c r="R7217" i="44"/>
  <c r="R7218" i="44"/>
  <c r="R7219" i="44"/>
  <c r="R7220" i="44"/>
  <c r="R7221" i="44"/>
  <c r="R7222" i="44"/>
  <c r="R7223" i="44"/>
  <c r="R7224" i="44"/>
  <c r="R7225" i="44"/>
  <c r="R7226" i="44"/>
  <c r="R7227" i="44"/>
  <c r="R7228" i="44"/>
  <c r="R7229" i="44"/>
  <c r="R7230" i="44"/>
  <c r="R7231" i="44"/>
  <c r="R7232" i="44"/>
  <c r="R7233" i="44"/>
  <c r="R7234" i="44"/>
  <c r="R7235" i="44"/>
  <c r="R7236" i="44"/>
  <c r="R7237" i="44"/>
  <c r="R7238" i="44"/>
  <c r="R7239" i="44"/>
  <c r="R7240" i="44"/>
  <c r="R7241" i="44"/>
  <c r="R7242" i="44"/>
  <c r="R7243" i="44"/>
  <c r="R7244" i="44"/>
  <c r="R7245" i="44"/>
  <c r="R7246" i="44"/>
  <c r="R7247" i="44"/>
  <c r="R7248" i="44"/>
  <c r="R7249" i="44"/>
  <c r="R7250" i="44"/>
  <c r="R7251" i="44"/>
  <c r="R7252" i="44"/>
  <c r="R7253" i="44"/>
  <c r="R7254" i="44"/>
  <c r="R7255" i="44"/>
  <c r="R7256" i="44"/>
  <c r="R7257" i="44"/>
  <c r="R7258" i="44"/>
  <c r="R7259" i="44"/>
  <c r="R7260" i="44"/>
  <c r="R7261" i="44"/>
  <c r="R7262" i="44"/>
  <c r="R7263" i="44"/>
  <c r="R7264" i="44"/>
  <c r="R7265" i="44"/>
  <c r="R7266" i="44"/>
  <c r="R7267" i="44"/>
  <c r="R7268" i="44"/>
  <c r="R7269" i="44"/>
  <c r="R7270" i="44"/>
  <c r="R7271" i="44"/>
  <c r="R7272" i="44"/>
  <c r="R7273" i="44"/>
  <c r="R7274" i="44"/>
  <c r="R7275" i="44"/>
  <c r="R7276" i="44"/>
  <c r="R7277" i="44"/>
  <c r="R7278" i="44"/>
  <c r="R7279" i="44"/>
  <c r="R7280" i="44"/>
  <c r="R7281" i="44"/>
  <c r="R7282" i="44"/>
  <c r="R7283" i="44"/>
  <c r="R7284" i="44"/>
  <c r="R7285" i="44"/>
  <c r="R7286" i="44"/>
  <c r="R7287" i="44"/>
  <c r="R7288" i="44"/>
  <c r="R7289" i="44"/>
  <c r="R7290" i="44"/>
  <c r="R7291" i="44"/>
  <c r="R7292" i="44"/>
  <c r="R7293" i="44"/>
  <c r="R7294" i="44"/>
  <c r="R7295" i="44"/>
  <c r="R7296" i="44"/>
  <c r="R7297" i="44"/>
  <c r="R7298" i="44"/>
  <c r="R7299" i="44"/>
  <c r="R7300" i="44"/>
  <c r="R7301" i="44"/>
  <c r="R7302" i="44"/>
  <c r="R7303" i="44"/>
  <c r="R7304" i="44"/>
  <c r="R7305" i="44"/>
  <c r="R7306" i="44"/>
  <c r="R7307" i="44"/>
  <c r="R7308" i="44"/>
  <c r="R7309" i="44"/>
  <c r="R7310" i="44"/>
  <c r="R7311" i="44"/>
  <c r="R7312" i="44"/>
  <c r="R7313" i="44"/>
  <c r="R7314" i="44"/>
  <c r="R7315" i="44"/>
  <c r="R7316" i="44"/>
  <c r="R7317" i="44"/>
  <c r="R7318" i="44"/>
  <c r="R7319" i="44"/>
  <c r="R7320" i="44"/>
  <c r="R7321" i="44"/>
  <c r="R7322" i="44"/>
  <c r="R7323" i="44"/>
  <c r="R7324" i="44"/>
  <c r="R7325" i="44"/>
  <c r="R7326" i="44"/>
  <c r="R7327" i="44"/>
  <c r="R7328" i="44"/>
  <c r="R7329" i="44"/>
  <c r="R7330" i="44"/>
  <c r="R7331" i="44"/>
  <c r="R7332" i="44"/>
  <c r="R7333" i="44"/>
  <c r="R7334" i="44"/>
  <c r="R7335" i="44"/>
  <c r="R7336" i="44"/>
  <c r="R7337" i="44"/>
  <c r="R7338" i="44"/>
  <c r="R7339" i="44"/>
  <c r="R7340" i="44"/>
  <c r="R7341" i="44"/>
  <c r="R7342" i="44"/>
  <c r="R7343" i="44"/>
  <c r="R7344" i="44"/>
  <c r="R7345" i="44"/>
  <c r="R7346" i="44"/>
  <c r="R7347" i="44"/>
  <c r="R7348" i="44"/>
  <c r="R7349" i="44"/>
  <c r="R7350" i="44"/>
  <c r="R7351" i="44"/>
  <c r="R7352" i="44"/>
  <c r="R7353" i="44"/>
  <c r="R7354" i="44"/>
  <c r="R7355" i="44"/>
  <c r="R7356" i="44"/>
  <c r="R7357" i="44"/>
  <c r="R7358" i="44"/>
  <c r="R7359" i="44"/>
  <c r="R7360" i="44"/>
  <c r="R7361" i="44"/>
  <c r="R7362" i="44"/>
  <c r="R7363" i="44"/>
  <c r="R7364" i="44"/>
  <c r="R7365" i="44"/>
  <c r="R7366" i="44"/>
  <c r="R7367" i="44"/>
  <c r="R7368" i="44"/>
  <c r="R7369" i="44"/>
  <c r="R7370" i="44"/>
  <c r="R7371" i="44"/>
  <c r="R7372" i="44"/>
  <c r="R7373" i="44"/>
  <c r="R7374" i="44"/>
  <c r="R7375" i="44"/>
  <c r="R7376" i="44"/>
  <c r="R7377" i="44"/>
  <c r="R7378" i="44"/>
  <c r="R7379" i="44"/>
  <c r="R7380" i="44"/>
  <c r="R7381" i="44"/>
  <c r="R7382" i="44"/>
  <c r="R7383" i="44"/>
  <c r="R7384" i="44"/>
  <c r="R7385" i="44"/>
  <c r="R7386" i="44"/>
  <c r="R7387" i="44"/>
  <c r="R7388" i="44"/>
  <c r="R7389" i="44"/>
  <c r="R7390" i="44"/>
  <c r="R7391" i="44"/>
  <c r="R7392" i="44"/>
  <c r="R7393" i="44"/>
  <c r="R7394" i="44"/>
  <c r="R7395" i="44"/>
  <c r="R7396" i="44"/>
  <c r="R7397" i="44"/>
  <c r="R7398" i="44"/>
  <c r="R7399" i="44"/>
  <c r="R7400" i="44"/>
  <c r="R7401" i="44"/>
  <c r="R7402" i="44"/>
  <c r="R7403" i="44"/>
  <c r="R7404" i="44"/>
  <c r="R7405" i="44"/>
  <c r="R7406" i="44"/>
  <c r="R7407" i="44"/>
  <c r="R7408" i="44"/>
  <c r="R7409" i="44"/>
  <c r="R7410" i="44"/>
  <c r="R7411" i="44"/>
  <c r="R7412" i="44"/>
  <c r="R7413" i="44"/>
  <c r="R7414" i="44"/>
  <c r="R7415" i="44"/>
  <c r="R7416" i="44"/>
  <c r="R7417" i="44"/>
  <c r="R7418" i="44"/>
  <c r="R7419" i="44"/>
  <c r="R7420" i="44"/>
  <c r="R7421" i="44"/>
  <c r="R7422" i="44"/>
  <c r="R7423" i="44"/>
  <c r="R7424" i="44"/>
  <c r="R7425" i="44"/>
  <c r="R7426" i="44"/>
  <c r="R7427" i="44"/>
  <c r="R7428" i="44"/>
  <c r="R7429" i="44"/>
  <c r="R7430" i="44"/>
  <c r="R7431" i="44"/>
  <c r="R7432" i="44"/>
  <c r="R7433" i="44"/>
  <c r="R7434" i="44"/>
  <c r="R7435" i="44"/>
  <c r="R7436" i="44"/>
  <c r="R7437" i="44"/>
  <c r="R7438" i="44"/>
  <c r="R7439" i="44"/>
  <c r="R7440" i="44"/>
  <c r="R7441" i="44"/>
  <c r="R7442" i="44"/>
  <c r="R7443" i="44"/>
  <c r="R7444" i="44"/>
  <c r="R7445" i="44"/>
  <c r="R7446" i="44"/>
  <c r="R7447" i="44"/>
  <c r="R7448" i="44"/>
  <c r="R7449" i="44"/>
  <c r="R7450" i="44"/>
  <c r="R7451" i="44"/>
  <c r="R7452" i="44"/>
  <c r="R7453" i="44"/>
  <c r="R7454" i="44"/>
  <c r="R7455" i="44"/>
  <c r="R7456" i="44"/>
  <c r="R7457" i="44"/>
  <c r="R7458" i="44"/>
  <c r="R7459" i="44"/>
  <c r="R7460" i="44"/>
  <c r="R7461" i="44"/>
  <c r="R7462" i="44"/>
  <c r="R7463" i="44"/>
  <c r="R7464" i="44"/>
  <c r="R7465" i="44"/>
  <c r="R7466" i="44"/>
  <c r="R7467" i="44"/>
  <c r="R7468" i="44"/>
  <c r="R7469" i="44"/>
  <c r="R7470" i="44"/>
  <c r="R7471" i="44"/>
  <c r="R7472" i="44"/>
  <c r="R7473" i="44"/>
  <c r="R7474" i="44"/>
  <c r="R7475" i="44"/>
  <c r="R7476" i="44"/>
  <c r="R7477" i="44"/>
  <c r="R7478" i="44"/>
  <c r="R7479" i="44"/>
  <c r="R7480" i="44"/>
  <c r="R7481" i="44"/>
  <c r="R7482" i="44"/>
  <c r="R7483" i="44"/>
  <c r="R7484" i="44"/>
  <c r="R7485" i="44"/>
  <c r="R7486" i="44"/>
  <c r="R7487" i="44"/>
  <c r="R7488" i="44"/>
  <c r="R7489" i="44"/>
  <c r="R7490" i="44"/>
  <c r="R7491" i="44"/>
  <c r="R7492" i="44"/>
  <c r="R7493" i="44"/>
  <c r="R7494" i="44"/>
  <c r="R7495" i="44"/>
  <c r="R7496" i="44"/>
  <c r="R7497" i="44"/>
  <c r="R7498" i="44"/>
  <c r="R7499" i="44"/>
  <c r="R7500" i="44"/>
  <c r="R7501" i="44"/>
  <c r="R7502" i="44"/>
  <c r="R7503" i="44"/>
  <c r="R7504" i="44"/>
  <c r="R7505" i="44"/>
  <c r="R7506" i="44"/>
  <c r="R7507" i="44"/>
  <c r="R7508" i="44"/>
  <c r="R7509" i="44"/>
  <c r="R7510" i="44"/>
  <c r="R7511" i="44"/>
  <c r="R7512" i="44"/>
  <c r="R7513" i="44"/>
  <c r="R7514" i="44"/>
  <c r="R7515" i="44"/>
  <c r="R7516" i="44"/>
  <c r="R7517" i="44"/>
  <c r="R7518" i="44"/>
  <c r="R7519" i="44"/>
  <c r="R7520" i="44"/>
  <c r="R7521" i="44"/>
  <c r="R7522" i="44"/>
  <c r="R7523" i="44"/>
  <c r="R7524" i="44"/>
  <c r="R7525" i="44"/>
  <c r="R7526" i="44"/>
  <c r="R7527" i="44"/>
  <c r="R7528" i="44"/>
  <c r="R7529" i="44"/>
  <c r="R7530" i="44"/>
  <c r="R7531" i="44"/>
  <c r="R7532" i="44"/>
  <c r="R7533" i="44"/>
  <c r="R7534" i="44"/>
  <c r="R7535" i="44"/>
  <c r="R7536" i="44"/>
  <c r="R7537" i="44"/>
  <c r="R7538" i="44"/>
  <c r="R7539" i="44"/>
  <c r="R7540" i="44"/>
  <c r="R7541" i="44"/>
  <c r="R7542" i="44"/>
  <c r="R7543" i="44"/>
  <c r="R7544" i="44"/>
  <c r="R7545" i="44"/>
  <c r="R7546" i="44"/>
  <c r="R7547" i="44"/>
  <c r="R7548" i="44"/>
  <c r="R7549" i="44"/>
  <c r="R7550" i="44"/>
  <c r="R7551" i="44"/>
  <c r="R7552" i="44"/>
  <c r="R7553" i="44"/>
  <c r="R7554" i="44"/>
  <c r="R7555" i="44"/>
  <c r="R7556" i="44"/>
  <c r="R7557" i="44"/>
  <c r="R7558" i="44"/>
  <c r="R7559" i="44"/>
  <c r="R7560" i="44"/>
  <c r="R7561" i="44"/>
  <c r="R7562" i="44"/>
  <c r="R7563" i="44"/>
  <c r="R7564" i="44"/>
  <c r="R7565" i="44"/>
  <c r="R7566" i="44"/>
  <c r="R7567" i="44"/>
  <c r="R7568" i="44"/>
  <c r="R7569" i="44"/>
  <c r="R7570" i="44"/>
  <c r="R7571" i="44"/>
  <c r="R7572" i="44"/>
  <c r="R7573" i="44"/>
  <c r="R7574" i="44"/>
  <c r="R7575" i="44"/>
  <c r="R7576" i="44"/>
  <c r="R7577" i="44"/>
  <c r="R7578" i="44"/>
  <c r="R7579" i="44"/>
  <c r="R7580" i="44"/>
  <c r="R7581" i="44"/>
  <c r="R7582" i="44"/>
  <c r="R7583" i="44"/>
  <c r="R7584" i="44"/>
  <c r="R7585" i="44"/>
  <c r="R7586" i="44"/>
  <c r="R7587" i="44"/>
  <c r="R7588" i="44"/>
  <c r="R7589" i="44"/>
  <c r="R7590" i="44"/>
  <c r="R7591" i="44"/>
  <c r="R7592" i="44"/>
  <c r="R7593" i="44"/>
  <c r="R7594" i="44"/>
  <c r="R7595" i="44"/>
  <c r="R7596" i="44"/>
  <c r="R7597" i="44"/>
  <c r="R7598" i="44"/>
  <c r="R7599" i="44"/>
  <c r="R7600" i="44"/>
  <c r="R7601" i="44"/>
  <c r="R7602" i="44"/>
  <c r="R7603" i="44"/>
  <c r="R7604" i="44"/>
  <c r="R7605" i="44"/>
  <c r="R7606" i="44"/>
  <c r="R7607" i="44"/>
  <c r="R7608" i="44"/>
  <c r="R7609" i="44"/>
  <c r="R7610" i="44"/>
  <c r="R7611" i="44"/>
  <c r="R7612" i="44"/>
  <c r="R7613" i="44"/>
  <c r="R7614" i="44"/>
  <c r="R7615" i="44"/>
  <c r="R7616" i="44"/>
  <c r="R7617" i="44"/>
  <c r="R7618" i="44"/>
  <c r="R7619" i="44"/>
  <c r="R7620" i="44"/>
  <c r="R7621" i="44"/>
  <c r="R7622" i="44"/>
  <c r="R7623" i="44"/>
  <c r="R7624" i="44"/>
  <c r="R7625" i="44"/>
  <c r="R7626" i="44"/>
  <c r="R7627" i="44"/>
  <c r="R7628" i="44"/>
  <c r="R7629" i="44"/>
  <c r="R7630" i="44"/>
  <c r="R7631" i="44"/>
  <c r="R7632" i="44"/>
  <c r="R7633" i="44"/>
  <c r="R7634" i="44"/>
  <c r="R7635" i="44"/>
  <c r="R7636" i="44"/>
  <c r="R7637" i="44"/>
  <c r="R7638" i="44"/>
  <c r="R7639" i="44"/>
  <c r="R7640" i="44"/>
  <c r="R7641" i="44"/>
  <c r="R7642" i="44"/>
  <c r="R7643" i="44"/>
  <c r="R7644" i="44"/>
  <c r="R7645" i="44"/>
  <c r="R7646" i="44"/>
  <c r="R7647" i="44"/>
  <c r="R7648" i="44"/>
  <c r="R7649" i="44"/>
  <c r="R7650" i="44"/>
  <c r="R7651" i="44"/>
  <c r="R7652" i="44"/>
  <c r="R7653" i="44"/>
  <c r="R7654" i="44"/>
  <c r="R7655" i="44"/>
  <c r="R7656" i="44"/>
  <c r="R7657" i="44"/>
  <c r="R7658" i="44"/>
  <c r="R7659" i="44"/>
  <c r="R7660" i="44"/>
  <c r="R7661" i="44"/>
  <c r="R7662" i="44"/>
  <c r="R7663" i="44"/>
  <c r="R7664" i="44"/>
  <c r="R7665" i="44"/>
  <c r="R7666" i="44"/>
  <c r="R7667" i="44"/>
  <c r="R7668" i="44"/>
  <c r="R7669" i="44"/>
  <c r="R7670" i="44"/>
  <c r="R7671" i="44"/>
  <c r="R7672" i="44"/>
  <c r="R7673" i="44"/>
  <c r="R7674" i="44"/>
  <c r="R7675" i="44"/>
  <c r="R7676" i="44"/>
  <c r="R7677" i="44"/>
  <c r="R7678" i="44"/>
  <c r="R7679" i="44"/>
  <c r="R7680" i="44"/>
  <c r="R7681" i="44"/>
  <c r="R7682" i="44"/>
  <c r="R7683" i="44"/>
  <c r="R7684" i="44"/>
  <c r="R7685" i="44"/>
  <c r="R7686" i="44"/>
  <c r="R7687" i="44"/>
  <c r="R7688" i="44"/>
  <c r="R7689" i="44"/>
  <c r="R7690" i="44"/>
  <c r="R7691" i="44"/>
  <c r="R7692" i="44"/>
  <c r="R7693" i="44"/>
  <c r="R7694" i="44"/>
  <c r="R7695" i="44"/>
  <c r="R7696" i="44"/>
  <c r="R7697" i="44"/>
  <c r="R7698" i="44"/>
  <c r="R7699" i="44"/>
  <c r="R7700" i="44"/>
  <c r="R7701" i="44"/>
  <c r="R7702" i="44"/>
  <c r="R7703" i="44"/>
  <c r="R7704" i="44"/>
  <c r="R7705" i="44"/>
  <c r="R7706" i="44"/>
  <c r="R7707" i="44"/>
  <c r="R7708" i="44"/>
  <c r="R7709" i="44"/>
  <c r="R7710" i="44"/>
  <c r="R7711" i="44"/>
  <c r="R7712" i="44"/>
  <c r="R7713" i="44"/>
  <c r="R7714" i="44"/>
  <c r="R7715" i="44"/>
  <c r="R7716" i="44"/>
  <c r="R7717" i="44"/>
  <c r="R7718" i="44"/>
  <c r="R7719" i="44"/>
  <c r="R7720" i="44"/>
  <c r="R7721" i="44"/>
  <c r="R7722" i="44"/>
  <c r="R7723" i="44"/>
  <c r="R7724" i="44"/>
  <c r="R7725" i="44"/>
  <c r="R7726" i="44"/>
  <c r="R7727" i="44"/>
  <c r="R7728" i="44"/>
  <c r="R7729" i="44"/>
  <c r="R7730" i="44"/>
  <c r="R7731" i="44"/>
  <c r="R7732" i="44"/>
  <c r="R7733" i="44"/>
  <c r="R7734" i="44"/>
  <c r="R7735" i="44"/>
  <c r="R7736" i="44"/>
  <c r="R7737" i="44"/>
  <c r="R7738" i="44"/>
  <c r="R7739" i="44"/>
  <c r="R7740" i="44"/>
  <c r="R7741" i="44"/>
  <c r="R7742" i="44"/>
  <c r="R7743" i="44"/>
  <c r="R7744" i="44"/>
  <c r="R7745" i="44"/>
  <c r="R7746" i="44"/>
  <c r="R7747" i="44"/>
  <c r="R7748" i="44"/>
  <c r="R7749" i="44"/>
  <c r="R7750" i="44"/>
  <c r="R7751" i="44"/>
  <c r="R7752" i="44"/>
  <c r="R7753" i="44"/>
  <c r="R7754" i="44"/>
  <c r="R7755" i="44"/>
  <c r="R7756" i="44"/>
  <c r="R7757" i="44"/>
  <c r="R7758" i="44"/>
  <c r="R7759" i="44"/>
  <c r="R7760" i="44"/>
  <c r="R7761" i="44"/>
  <c r="R7762" i="44"/>
  <c r="R7763" i="44"/>
  <c r="R7764" i="44"/>
  <c r="R7765" i="44"/>
  <c r="R7766" i="44"/>
  <c r="R7767" i="44"/>
  <c r="R7768" i="44"/>
  <c r="R7769" i="44"/>
  <c r="R7770" i="44"/>
  <c r="R7771" i="44"/>
  <c r="R7772" i="44"/>
  <c r="R7773" i="44"/>
  <c r="R7774" i="44"/>
  <c r="R7775" i="44"/>
  <c r="R7776" i="44"/>
  <c r="R7777" i="44"/>
  <c r="R7778" i="44"/>
  <c r="R7779" i="44"/>
  <c r="R7780" i="44"/>
  <c r="R7781" i="44"/>
  <c r="R7782" i="44"/>
  <c r="R7783" i="44"/>
  <c r="R7784" i="44"/>
  <c r="R7785" i="44"/>
  <c r="R7786" i="44"/>
  <c r="R7787" i="44"/>
  <c r="R7788" i="44"/>
  <c r="R7789" i="44"/>
  <c r="R7790" i="44"/>
  <c r="R7791" i="44"/>
  <c r="R7792" i="44"/>
  <c r="R7793" i="44"/>
  <c r="R7794" i="44"/>
  <c r="R7795" i="44"/>
  <c r="R7796" i="44"/>
  <c r="R7797" i="44"/>
  <c r="R7798" i="44"/>
  <c r="R7799" i="44"/>
  <c r="R7800" i="44"/>
  <c r="R7801" i="44"/>
  <c r="R7802" i="44"/>
  <c r="R7803" i="44"/>
  <c r="R7804" i="44"/>
  <c r="R7805" i="44"/>
  <c r="R7806" i="44"/>
  <c r="R7807" i="44"/>
  <c r="R7808" i="44"/>
  <c r="R7809" i="44"/>
  <c r="R7810" i="44"/>
  <c r="R7811" i="44"/>
  <c r="R7812" i="44"/>
  <c r="R7813" i="44"/>
  <c r="R7814" i="44"/>
  <c r="R7815" i="44"/>
  <c r="R7816" i="44"/>
  <c r="R7817" i="44"/>
  <c r="R7818" i="44"/>
  <c r="R7819" i="44"/>
  <c r="R7820" i="44"/>
  <c r="R7821" i="44"/>
  <c r="R7822" i="44"/>
  <c r="R7823" i="44"/>
  <c r="R7824" i="44"/>
  <c r="R7825" i="44"/>
  <c r="R7826" i="44"/>
  <c r="R7827" i="44"/>
  <c r="R7828" i="44"/>
  <c r="R7829" i="44"/>
  <c r="R7830" i="44"/>
  <c r="R7831" i="44"/>
  <c r="R7832" i="44"/>
  <c r="R7833" i="44"/>
  <c r="R7834" i="44"/>
  <c r="R7835" i="44"/>
  <c r="R7836" i="44"/>
  <c r="R7837" i="44"/>
  <c r="R7838" i="44"/>
  <c r="R7839" i="44"/>
  <c r="R7840" i="44"/>
  <c r="R7841" i="44"/>
  <c r="R7842" i="44"/>
  <c r="R7843" i="44"/>
  <c r="R7844" i="44"/>
  <c r="R7845" i="44"/>
  <c r="R7846" i="44"/>
  <c r="R7847" i="44"/>
  <c r="R7848" i="44"/>
  <c r="R7849" i="44"/>
  <c r="R7850" i="44"/>
  <c r="R7851" i="44"/>
  <c r="R7852" i="44"/>
  <c r="R7853" i="44"/>
  <c r="R7854" i="44"/>
  <c r="R7855" i="44"/>
  <c r="R7856" i="44"/>
  <c r="R7857" i="44"/>
  <c r="R7858" i="44"/>
  <c r="R7859" i="44"/>
  <c r="R7860" i="44"/>
  <c r="R7861" i="44"/>
  <c r="R7862" i="44"/>
  <c r="R7863" i="44"/>
  <c r="R7864" i="44"/>
  <c r="R7865" i="44"/>
  <c r="R7866" i="44"/>
  <c r="R7867" i="44"/>
  <c r="R7868" i="44"/>
  <c r="R7869" i="44"/>
  <c r="R7870" i="44"/>
  <c r="R7871" i="44"/>
  <c r="R7872" i="44"/>
  <c r="R7873" i="44"/>
  <c r="R7874" i="44"/>
  <c r="R7875" i="44"/>
  <c r="R7876" i="44"/>
  <c r="R7877" i="44"/>
  <c r="R7878" i="44"/>
  <c r="R7879" i="44"/>
  <c r="R7880" i="44"/>
  <c r="R7881" i="44"/>
  <c r="R7882" i="44"/>
  <c r="R7883" i="44"/>
  <c r="R7884" i="44"/>
  <c r="R7885" i="44"/>
  <c r="R7886" i="44"/>
  <c r="R7887" i="44"/>
  <c r="R7888" i="44"/>
  <c r="R7889" i="44"/>
  <c r="R7890" i="44"/>
  <c r="R7891" i="44"/>
  <c r="R7892" i="44"/>
  <c r="R7893" i="44"/>
  <c r="R7894" i="44"/>
  <c r="R7895" i="44"/>
  <c r="R7896" i="44"/>
  <c r="R7897" i="44"/>
  <c r="R7898" i="44"/>
  <c r="R7899" i="44"/>
  <c r="R7900" i="44"/>
  <c r="R7901" i="44"/>
  <c r="R7902" i="44"/>
  <c r="R7903" i="44"/>
  <c r="R7904" i="44"/>
  <c r="R7905" i="44"/>
  <c r="R7906" i="44"/>
  <c r="R7907" i="44"/>
  <c r="R7908" i="44"/>
  <c r="R7909" i="44"/>
  <c r="R7910" i="44"/>
  <c r="R7911" i="44"/>
  <c r="R7912" i="44"/>
  <c r="R7913" i="44"/>
  <c r="R7914" i="44"/>
  <c r="R7915" i="44"/>
  <c r="R7916" i="44"/>
  <c r="R7917" i="44"/>
  <c r="R7918" i="44"/>
  <c r="R7919" i="44"/>
  <c r="R7920" i="44"/>
  <c r="R7921" i="44"/>
  <c r="R7922" i="44"/>
  <c r="R7923" i="44"/>
  <c r="R7924" i="44"/>
  <c r="R7925" i="44"/>
  <c r="R7926" i="44"/>
  <c r="R7927" i="44"/>
  <c r="R7928" i="44"/>
  <c r="R7929" i="44"/>
  <c r="R7930" i="44"/>
  <c r="R7931" i="44"/>
  <c r="R7932" i="44"/>
  <c r="R7933" i="44"/>
  <c r="R7934" i="44"/>
  <c r="R7935" i="44"/>
  <c r="R7936" i="44"/>
  <c r="R7937" i="44"/>
  <c r="R7938" i="44"/>
  <c r="R7939" i="44"/>
  <c r="R7940" i="44"/>
  <c r="R7941" i="44"/>
  <c r="R7942" i="44"/>
  <c r="R7943" i="44"/>
  <c r="R7944" i="44"/>
  <c r="R7945" i="44"/>
  <c r="R7946" i="44"/>
  <c r="R7947" i="44"/>
  <c r="R7948" i="44"/>
  <c r="R7949" i="44"/>
  <c r="R7950" i="44"/>
  <c r="R7951" i="44"/>
  <c r="R7952" i="44"/>
  <c r="R7953" i="44"/>
  <c r="R7954" i="44"/>
  <c r="R7955" i="44"/>
  <c r="R7956" i="44"/>
  <c r="R7957" i="44"/>
  <c r="R7958" i="44"/>
  <c r="R7959" i="44"/>
  <c r="R7960" i="44"/>
  <c r="R7961" i="44"/>
  <c r="R7962" i="44"/>
  <c r="R7963" i="44"/>
  <c r="R7964" i="44"/>
  <c r="R7965" i="44"/>
  <c r="R7966" i="44"/>
  <c r="R7967" i="44"/>
  <c r="R7968" i="44"/>
  <c r="R7969" i="44"/>
  <c r="R7970" i="44"/>
  <c r="R7971" i="44"/>
  <c r="R7972" i="44"/>
  <c r="R7973" i="44"/>
  <c r="R7974" i="44"/>
  <c r="R7975" i="44"/>
  <c r="R7976" i="44"/>
  <c r="R7977" i="44"/>
  <c r="R7978" i="44"/>
  <c r="R7979" i="44"/>
  <c r="R7980" i="44"/>
  <c r="R7981" i="44"/>
  <c r="R7982" i="44"/>
  <c r="R7983" i="44"/>
  <c r="R7984" i="44"/>
  <c r="R7985" i="44"/>
  <c r="R7986" i="44"/>
  <c r="R7987" i="44"/>
  <c r="R7988" i="44"/>
  <c r="R7989" i="44"/>
  <c r="R7990" i="44"/>
  <c r="R7991" i="44"/>
  <c r="R7992" i="44"/>
  <c r="R7993" i="44"/>
  <c r="R7994" i="44"/>
  <c r="R7995" i="44"/>
  <c r="R7996" i="44"/>
  <c r="R7997" i="44"/>
  <c r="R7998" i="44"/>
  <c r="R7999" i="44"/>
  <c r="R8000" i="44"/>
  <c r="R8001" i="44"/>
  <c r="R8002" i="44"/>
  <c r="R8003" i="44"/>
  <c r="R8004" i="44"/>
  <c r="R8005" i="44"/>
  <c r="R8006" i="44"/>
  <c r="R8007" i="44"/>
  <c r="R8008" i="44"/>
  <c r="R8009" i="44"/>
  <c r="R8010" i="44"/>
  <c r="R8011" i="44"/>
  <c r="R8012" i="44"/>
  <c r="R8013" i="44"/>
  <c r="R8014" i="44"/>
  <c r="R8015" i="44"/>
  <c r="R8016" i="44"/>
  <c r="R8017" i="44"/>
  <c r="R8018" i="44"/>
  <c r="R8019" i="44"/>
  <c r="R8020" i="44"/>
  <c r="R8021" i="44"/>
  <c r="R8022" i="44"/>
  <c r="R8023" i="44"/>
  <c r="R8024" i="44"/>
  <c r="R8025" i="44"/>
  <c r="R8026" i="44"/>
  <c r="R8027" i="44"/>
  <c r="R8028" i="44"/>
  <c r="R8029" i="44"/>
  <c r="R8030" i="44"/>
  <c r="R8031" i="44"/>
  <c r="R8032" i="44"/>
  <c r="R8033" i="44"/>
  <c r="R8034" i="44"/>
  <c r="R8035" i="44"/>
  <c r="R8036" i="44"/>
  <c r="R8037" i="44"/>
  <c r="R8038" i="44"/>
  <c r="R8039" i="44"/>
  <c r="R8040" i="44"/>
  <c r="R8041" i="44"/>
  <c r="R8042" i="44"/>
  <c r="R8043" i="44"/>
  <c r="R8044" i="44"/>
  <c r="R8045" i="44"/>
  <c r="R8046" i="44"/>
  <c r="R8047" i="44"/>
  <c r="R8048" i="44"/>
  <c r="R8049" i="44"/>
  <c r="R8050" i="44"/>
  <c r="R8051" i="44"/>
  <c r="R8052" i="44"/>
  <c r="R8053" i="44"/>
  <c r="R8054" i="44"/>
  <c r="R8055" i="44"/>
  <c r="R8056" i="44"/>
  <c r="R8057" i="44"/>
  <c r="R8058" i="44"/>
  <c r="R8059" i="44"/>
  <c r="R8060" i="44"/>
  <c r="R8061" i="44"/>
  <c r="R8062" i="44"/>
  <c r="R8063" i="44"/>
  <c r="R8064" i="44"/>
  <c r="R8065" i="44"/>
  <c r="R8066" i="44"/>
  <c r="R8067" i="44"/>
  <c r="R8068" i="44"/>
  <c r="R8069" i="44"/>
  <c r="R8070" i="44"/>
  <c r="R8071" i="44"/>
  <c r="R8072" i="44"/>
  <c r="R8073" i="44"/>
  <c r="R8074" i="44"/>
  <c r="R8075" i="44"/>
  <c r="R8076" i="44"/>
  <c r="R8077" i="44"/>
  <c r="R8078" i="44"/>
  <c r="R8079" i="44"/>
  <c r="R8080" i="44"/>
  <c r="R8081" i="44"/>
  <c r="R8082" i="44"/>
  <c r="R8083" i="44"/>
  <c r="R8084" i="44"/>
  <c r="R8085" i="44"/>
  <c r="R8086" i="44"/>
  <c r="R8087" i="44"/>
  <c r="R8088" i="44"/>
  <c r="R8089" i="44"/>
  <c r="R8090" i="44"/>
  <c r="R8091" i="44"/>
  <c r="R8092" i="44"/>
  <c r="R8093" i="44"/>
  <c r="R8094" i="44"/>
  <c r="R8095" i="44"/>
  <c r="R8096" i="44"/>
  <c r="R8097" i="44"/>
  <c r="R8098" i="44"/>
  <c r="R8099" i="44"/>
  <c r="R8100" i="44"/>
  <c r="R8101" i="44"/>
  <c r="R8102" i="44"/>
  <c r="R8103" i="44"/>
  <c r="R8104" i="44"/>
  <c r="R8105" i="44"/>
  <c r="R8106" i="44"/>
  <c r="R8107" i="44"/>
  <c r="R8108" i="44"/>
  <c r="R8109" i="44"/>
  <c r="R8110" i="44"/>
  <c r="R8111" i="44"/>
  <c r="R8112" i="44"/>
  <c r="R8113" i="44"/>
  <c r="R8114" i="44"/>
  <c r="R8115" i="44"/>
  <c r="R8116" i="44"/>
  <c r="R8117" i="44"/>
  <c r="R8118" i="44"/>
  <c r="R8119" i="44"/>
  <c r="R8120" i="44"/>
  <c r="R8121" i="44"/>
  <c r="R8122" i="44"/>
  <c r="R8123" i="44"/>
  <c r="R8124" i="44"/>
  <c r="R8125" i="44"/>
  <c r="R8126" i="44"/>
  <c r="R8127" i="44"/>
  <c r="R8128" i="44"/>
  <c r="R8129" i="44"/>
  <c r="R8130" i="44"/>
  <c r="R8131" i="44"/>
  <c r="R8132" i="44"/>
  <c r="R8133" i="44"/>
  <c r="R8134" i="44"/>
  <c r="R8135" i="44"/>
  <c r="R8136" i="44"/>
  <c r="R8137" i="44"/>
  <c r="R8138" i="44"/>
  <c r="R8139" i="44"/>
  <c r="R8140" i="44"/>
  <c r="R8141" i="44"/>
  <c r="R8142" i="44"/>
  <c r="R8143" i="44"/>
  <c r="R8144" i="44"/>
  <c r="R8145" i="44"/>
  <c r="R8146" i="44"/>
  <c r="R8147" i="44"/>
  <c r="R8148" i="44"/>
  <c r="R8149" i="44"/>
  <c r="R8150" i="44"/>
  <c r="R8151" i="44"/>
  <c r="R8152" i="44"/>
  <c r="R8153" i="44"/>
  <c r="R8154" i="44"/>
  <c r="R8155" i="44"/>
  <c r="R8156" i="44"/>
  <c r="R8157" i="44"/>
  <c r="R8158" i="44"/>
  <c r="R8159" i="44"/>
  <c r="R8160" i="44"/>
  <c r="R8161" i="44"/>
  <c r="R8162" i="44"/>
  <c r="R8163" i="44"/>
  <c r="R8164" i="44"/>
  <c r="R8165" i="44"/>
  <c r="R8166" i="44"/>
  <c r="R8167" i="44"/>
  <c r="R8168" i="44"/>
  <c r="R8169" i="44"/>
  <c r="R8170" i="44"/>
  <c r="R8171" i="44"/>
  <c r="R8172" i="44"/>
  <c r="R8173" i="44"/>
  <c r="R8174" i="44"/>
  <c r="R8175" i="44"/>
  <c r="R8176" i="44"/>
  <c r="R8177" i="44"/>
  <c r="R8178" i="44"/>
  <c r="R8179" i="44"/>
  <c r="R8180" i="44"/>
  <c r="R8181" i="44"/>
  <c r="R8182" i="44"/>
  <c r="R8183" i="44"/>
  <c r="R8184" i="44"/>
  <c r="R8185" i="44"/>
  <c r="R8186" i="44"/>
  <c r="R8187" i="44"/>
  <c r="R8188" i="44"/>
  <c r="R8189" i="44"/>
  <c r="R8190" i="44"/>
  <c r="R8191" i="44"/>
  <c r="R8192" i="44"/>
  <c r="R8193" i="44"/>
  <c r="R8194" i="44"/>
  <c r="R8195" i="44"/>
  <c r="R8196" i="44"/>
  <c r="R8197" i="44"/>
  <c r="R8198" i="44"/>
  <c r="R8199" i="44"/>
  <c r="R8200" i="44"/>
  <c r="R8201" i="44"/>
  <c r="R8202" i="44"/>
  <c r="R8203" i="44"/>
  <c r="R8204" i="44"/>
  <c r="R8205" i="44"/>
  <c r="R8206" i="44"/>
  <c r="R8207" i="44"/>
  <c r="R8208" i="44"/>
  <c r="R8209" i="44"/>
  <c r="R8210" i="44"/>
  <c r="R8211" i="44"/>
  <c r="R8212" i="44"/>
  <c r="R8213" i="44"/>
  <c r="R8214" i="44"/>
  <c r="R8215" i="44"/>
  <c r="R8216" i="44"/>
  <c r="R8217" i="44"/>
  <c r="R8218" i="44"/>
  <c r="R8219" i="44"/>
  <c r="R8220" i="44"/>
  <c r="R8221" i="44"/>
  <c r="R8222" i="44"/>
  <c r="R8223" i="44"/>
  <c r="R8224" i="44"/>
  <c r="R8225" i="44"/>
  <c r="R8226" i="44"/>
  <c r="R8227" i="44"/>
  <c r="R8228" i="44"/>
  <c r="R8229" i="44"/>
  <c r="R8230" i="44"/>
  <c r="R8231" i="44"/>
  <c r="R8232" i="44"/>
  <c r="R8233" i="44"/>
  <c r="R8234" i="44"/>
  <c r="R8235" i="44"/>
  <c r="R8236" i="44"/>
  <c r="R8237" i="44"/>
  <c r="R8238" i="44"/>
  <c r="R8239" i="44"/>
  <c r="R8240" i="44"/>
  <c r="R8241" i="44"/>
  <c r="R8242" i="44"/>
  <c r="R8243" i="44"/>
  <c r="R8244" i="44"/>
  <c r="R8245" i="44"/>
  <c r="R8246" i="44"/>
  <c r="R8247" i="44"/>
  <c r="R8248" i="44"/>
  <c r="R8249" i="44"/>
  <c r="R8250" i="44"/>
  <c r="R8251" i="44"/>
  <c r="R8252" i="44"/>
  <c r="R8253" i="44"/>
  <c r="R8254" i="44"/>
  <c r="R8255" i="44"/>
  <c r="R8256" i="44"/>
  <c r="R8257" i="44"/>
  <c r="R8258" i="44"/>
  <c r="R8259" i="44"/>
  <c r="R8260" i="44"/>
  <c r="R8261" i="44"/>
  <c r="R8262" i="44"/>
  <c r="R8263" i="44"/>
  <c r="R8264" i="44"/>
  <c r="R8265" i="44"/>
  <c r="R8266" i="44"/>
  <c r="R8267" i="44"/>
  <c r="R8268" i="44"/>
  <c r="R8269" i="44"/>
  <c r="R8270" i="44"/>
  <c r="R8271" i="44"/>
  <c r="R8272" i="44"/>
  <c r="R8273" i="44"/>
  <c r="R8274" i="44"/>
  <c r="R8275" i="44"/>
  <c r="R8276" i="44"/>
  <c r="R8277" i="44"/>
  <c r="R8278" i="44"/>
  <c r="R8279" i="44"/>
  <c r="R8280" i="44"/>
  <c r="R8281" i="44"/>
  <c r="R8282" i="44"/>
  <c r="R8283" i="44"/>
  <c r="R8284" i="44"/>
  <c r="R8285" i="44"/>
  <c r="R8286" i="44"/>
  <c r="R8287" i="44"/>
  <c r="R8288" i="44"/>
  <c r="R8289" i="44"/>
  <c r="R8290" i="44"/>
  <c r="R8291" i="44"/>
  <c r="R8292" i="44"/>
  <c r="R8293" i="44"/>
  <c r="R8294" i="44"/>
  <c r="R8295" i="44"/>
  <c r="R8296" i="44"/>
  <c r="R8297" i="44"/>
  <c r="R8298" i="44"/>
  <c r="R8299" i="44"/>
  <c r="R8300" i="44"/>
  <c r="R8301" i="44"/>
  <c r="R8302" i="44"/>
  <c r="R8303" i="44"/>
  <c r="R8304" i="44"/>
  <c r="R8305" i="44"/>
  <c r="R8306" i="44"/>
  <c r="R8307" i="44"/>
  <c r="R8308" i="44"/>
  <c r="R8309" i="44"/>
  <c r="R8310" i="44"/>
  <c r="R8311" i="44"/>
  <c r="R8312" i="44"/>
  <c r="R8313" i="44"/>
  <c r="R8314" i="44"/>
  <c r="R8315" i="44"/>
  <c r="R8316" i="44"/>
  <c r="R8317" i="44"/>
  <c r="R8318" i="44"/>
  <c r="R8319" i="44"/>
  <c r="R8320" i="44"/>
  <c r="R8321" i="44"/>
  <c r="R8322" i="44"/>
  <c r="R8323" i="44"/>
  <c r="R8324" i="44"/>
  <c r="R8325" i="44"/>
  <c r="R8326" i="44"/>
  <c r="R8327" i="44"/>
  <c r="R8328" i="44"/>
  <c r="R8329" i="44"/>
  <c r="R8330" i="44"/>
  <c r="R8331" i="44"/>
  <c r="R8332" i="44"/>
  <c r="R8333" i="44"/>
  <c r="R8334" i="44"/>
  <c r="R8335" i="44"/>
  <c r="R8336" i="44"/>
  <c r="R8337" i="44"/>
  <c r="R8338" i="44"/>
  <c r="R8339" i="44"/>
  <c r="R8340" i="44"/>
  <c r="R8341" i="44"/>
  <c r="R8342" i="44"/>
  <c r="R8343" i="44"/>
  <c r="R8344" i="44"/>
  <c r="R8345" i="44"/>
  <c r="R8346" i="44"/>
  <c r="R8347" i="44"/>
  <c r="R8348" i="44"/>
  <c r="R8349" i="44"/>
  <c r="R8350" i="44"/>
  <c r="R8351" i="44"/>
  <c r="R8352" i="44"/>
  <c r="R8353" i="44"/>
  <c r="R8354" i="44"/>
  <c r="R8355" i="44"/>
  <c r="R8356" i="44"/>
  <c r="R8357" i="44"/>
  <c r="R8358" i="44"/>
  <c r="R8359" i="44"/>
  <c r="R8360" i="44"/>
  <c r="R8361" i="44"/>
  <c r="R8362" i="44"/>
  <c r="R8363" i="44"/>
  <c r="R8364" i="44"/>
  <c r="R8365" i="44"/>
  <c r="R8366" i="44"/>
  <c r="R8367" i="44"/>
  <c r="R8368" i="44"/>
  <c r="R8369" i="44"/>
  <c r="R8370" i="44"/>
  <c r="R8371" i="44"/>
  <c r="R8372" i="44"/>
  <c r="R8373" i="44"/>
  <c r="R8374" i="44"/>
  <c r="R8375" i="44"/>
  <c r="R8376" i="44"/>
  <c r="R8377" i="44"/>
  <c r="R8378" i="44"/>
  <c r="R8379" i="44"/>
  <c r="R8380" i="44"/>
  <c r="R8381" i="44"/>
  <c r="R8382" i="44"/>
  <c r="R8383" i="44"/>
  <c r="R8384" i="44"/>
  <c r="R8385" i="44"/>
  <c r="R8386" i="44"/>
  <c r="R8387" i="44"/>
  <c r="R8388" i="44"/>
  <c r="R8389" i="44"/>
  <c r="R8390" i="44"/>
  <c r="R8391" i="44"/>
  <c r="R8392" i="44"/>
  <c r="R8393" i="44"/>
  <c r="R8394" i="44"/>
  <c r="R8395" i="44"/>
  <c r="R8396" i="44"/>
  <c r="R8397" i="44"/>
  <c r="R8398" i="44"/>
  <c r="R8399" i="44"/>
  <c r="R8400" i="44"/>
  <c r="R8401" i="44"/>
  <c r="R8402" i="44"/>
  <c r="R8403" i="44"/>
  <c r="R8404" i="44"/>
  <c r="R8405" i="44"/>
  <c r="R8406" i="44"/>
  <c r="R8407" i="44"/>
  <c r="R8408" i="44"/>
  <c r="R8409" i="44"/>
  <c r="R8410" i="44"/>
  <c r="R8411" i="44"/>
  <c r="R8412" i="44"/>
  <c r="R8413" i="44"/>
  <c r="R8414" i="44"/>
  <c r="R8415" i="44"/>
  <c r="R8416" i="44"/>
  <c r="R8417" i="44"/>
  <c r="R8418" i="44"/>
  <c r="R8419" i="44"/>
  <c r="R8420" i="44"/>
  <c r="R8421" i="44"/>
  <c r="R8422" i="44"/>
  <c r="R8423" i="44"/>
  <c r="R8424" i="44"/>
  <c r="R8425" i="44"/>
  <c r="R8426" i="44"/>
  <c r="R8427" i="44"/>
  <c r="R8428" i="44"/>
  <c r="R8429" i="44"/>
  <c r="R8430" i="44"/>
  <c r="R8431" i="44"/>
  <c r="R8432" i="44"/>
  <c r="R8433" i="44"/>
  <c r="R8434" i="44"/>
  <c r="R8435" i="44"/>
  <c r="R8436" i="44"/>
  <c r="R8437" i="44"/>
  <c r="R8438" i="44"/>
  <c r="R8439" i="44"/>
  <c r="R8440" i="44"/>
  <c r="R8441" i="44"/>
  <c r="R8442" i="44"/>
  <c r="R8443" i="44"/>
  <c r="R8444" i="44"/>
  <c r="R8445" i="44"/>
  <c r="R8446" i="44"/>
  <c r="R8447" i="44"/>
  <c r="R8448" i="44"/>
  <c r="R8449" i="44"/>
  <c r="R8450" i="44"/>
  <c r="R8451" i="44"/>
  <c r="R8452" i="44"/>
  <c r="R8453" i="44"/>
  <c r="R8454" i="44"/>
  <c r="R8455" i="44"/>
  <c r="R8456" i="44"/>
  <c r="R8457" i="44"/>
  <c r="R8458" i="44"/>
  <c r="R8459" i="44"/>
  <c r="R8460" i="44"/>
  <c r="R8461" i="44"/>
  <c r="R8462" i="44"/>
  <c r="R8463" i="44"/>
  <c r="R8464" i="44"/>
  <c r="R8465" i="44"/>
  <c r="R8466" i="44"/>
  <c r="R8467" i="44"/>
  <c r="R8468" i="44"/>
  <c r="R8469" i="44"/>
  <c r="R8470" i="44"/>
  <c r="R8471" i="44"/>
  <c r="R8472" i="44"/>
  <c r="R8473" i="44"/>
  <c r="R8474" i="44"/>
  <c r="R8475" i="44"/>
  <c r="R8476" i="44"/>
  <c r="R8477" i="44"/>
  <c r="R8478" i="44"/>
  <c r="R8479" i="44"/>
  <c r="R8480" i="44"/>
  <c r="R8481" i="44"/>
  <c r="R8482" i="44"/>
  <c r="R8483" i="44"/>
  <c r="R8484" i="44"/>
  <c r="R8485" i="44"/>
  <c r="R8486" i="44"/>
  <c r="R8487" i="44"/>
  <c r="R8488" i="44"/>
  <c r="R8489" i="44"/>
  <c r="R8490" i="44"/>
  <c r="R8491" i="44"/>
  <c r="R8492" i="44"/>
  <c r="R8493" i="44"/>
  <c r="R8494" i="44"/>
  <c r="R8495" i="44"/>
  <c r="R8496" i="44"/>
  <c r="R8497" i="44"/>
  <c r="R8498" i="44"/>
  <c r="R8499" i="44"/>
  <c r="R8500" i="44"/>
  <c r="R8501" i="44"/>
  <c r="R8502" i="44"/>
  <c r="R8503" i="44"/>
  <c r="R8504" i="44"/>
  <c r="R8505" i="44"/>
  <c r="R8506" i="44"/>
  <c r="R8507" i="44"/>
  <c r="R8508" i="44"/>
  <c r="R8509" i="44"/>
  <c r="R8510" i="44"/>
  <c r="R8511" i="44"/>
  <c r="R8512" i="44"/>
  <c r="R8513" i="44"/>
  <c r="R8514" i="44"/>
  <c r="R8515" i="44"/>
  <c r="R8516" i="44"/>
  <c r="R8517" i="44"/>
  <c r="R5518" i="44"/>
  <c r="R5519" i="44"/>
  <c r="R5520" i="44"/>
  <c r="R5521" i="44"/>
  <c r="R5522" i="44"/>
  <c r="R5523" i="44"/>
  <c r="R5524" i="44"/>
  <c r="R5525" i="44"/>
  <c r="R5526" i="44"/>
  <c r="R5527" i="44"/>
  <c r="R5528" i="44"/>
  <c r="R5529" i="44"/>
  <c r="R5530" i="44"/>
  <c r="R5531" i="44"/>
  <c r="R5532" i="44"/>
  <c r="R5533" i="44"/>
  <c r="R5534" i="44"/>
  <c r="R5535" i="44"/>
  <c r="R5536" i="44"/>
  <c r="R5537" i="44"/>
  <c r="R5538" i="44"/>
  <c r="R5539" i="44"/>
  <c r="R5540" i="44"/>
  <c r="R5541" i="44"/>
  <c r="R5542" i="44"/>
  <c r="R5543" i="44"/>
  <c r="R5544" i="44"/>
  <c r="R5545" i="44"/>
  <c r="R5546" i="44"/>
  <c r="R5547" i="44"/>
  <c r="R5548" i="44"/>
  <c r="R5549" i="44"/>
  <c r="R5550" i="44"/>
  <c r="R5551" i="44"/>
  <c r="R5552" i="44"/>
  <c r="R5553" i="44"/>
  <c r="R5554" i="44"/>
  <c r="R5555" i="44"/>
  <c r="R5556" i="44"/>
  <c r="R5557" i="44"/>
  <c r="R5558" i="44"/>
  <c r="R5559" i="44"/>
  <c r="R5560" i="44"/>
  <c r="R5561" i="44"/>
  <c r="R5562" i="44"/>
  <c r="R5563" i="44"/>
  <c r="R5564" i="44"/>
  <c r="R5565" i="44"/>
  <c r="R5566" i="44"/>
  <c r="R5567" i="44"/>
  <c r="R5568" i="44"/>
  <c r="R5569" i="44"/>
  <c r="R5570" i="44"/>
  <c r="R5571" i="44"/>
  <c r="R5572" i="44"/>
  <c r="R5573" i="44"/>
  <c r="R5574" i="44"/>
  <c r="R5575" i="44"/>
  <c r="R5576" i="44"/>
  <c r="R5577" i="44"/>
  <c r="R5578" i="44"/>
  <c r="R5579" i="44"/>
  <c r="R5580" i="44"/>
  <c r="R5581" i="44"/>
  <c r="R5582" i="44"/>
  <c r="R5583" i="44"/>
  <c r="R5584" i="44"/>
  <c r="R5585" i="44"/>
  <c r="R5586" i="44"/>
  <c r="R5587" i="44"/>
  <c r="R5588" i="44"/>
  <c r="R5589" i="44"/>
  <c r="R5590" i="44"/>
  <c r="R5591" i="44"/>
  <c r="R5592" i="44"/>
  <c r="R5593" i="44"/>
  <c r="R5594" i="44"/>
  <c r="R5595" i="44"/>
  <c r="R5596" i="44"/>
  <c r="R5597" i="44"/>
  <c r="R5598" i="44"/>
  <c r="R5599" i="44"/>
  <c r="R5600" i="44"/>
  <c r="R5601" i="44"/>
  <c r="R5602" i="44"/>
  <c r="R5603" i="44"/>
  <c r="R5604" i="44"/>
  <c r="R5605" i="44"/>
  <c r="R5606" i="44"/>
  <c r="R5607" i="44"/>
  <c r="R5608" i="44"/>
  <c r="R5609" i="44"/>
  <c r="R5610" i="44"/>
  <c r="R5611" i="44"/>
  <c r="R5612" i="44"/>
  <c r="R5613" i="44"/>
  <c r="R5614" i="44"/>
  <c r="R5615" i="44"/>
  <c r="R5616" i="44"/>
  <c r="R5617" i="44"/>
  <c r="R5618" i="44"/>
  <c r="R5619" i="44"/>
  <c r="R5620" i="44"/>
  <c r="R5621" i="44"/>
  <c r="R5622" i="44"/>
  <c r="R5623" i="44"/>
  <c r="R5624" i="44"/>
  <c r="R5625" i="44"/>
  <c r="R5626" i="44"/>
  <c r="R5627" i="44"/>
  <c r="R5628" i="44"/>
  <c r="R5629" i="44"/>
  <c r="R5630" i="44"/>
  <c r="R5631" i="44"/>
  <c r="R5632" i="44"/>
  <c r="R5633" i="44"/>
  <c r="R5634" i="44"/>
  <c r="R5635" i="44"/>
  <c r="R5636" i="44"/>
  <c r="R5637" i="44"/>
  <c r="R5638" i="44"/>
  <c r="R5639" i="44"/>
  <c r="R5640" i="44"/>
  <c r="R5641" i="44"/>
  <c r="R5642" i="44"/>
  <c r="R5643" i="44"/>
  <c r="R5644" i="44"/>
  <c r="R5645" i="44"/>
  <c r="R5646" i="44"/>
  <c r="R5647" i="44"/>
  <c r="R5648" i="44"/>
  <c r="R5649" i="44"/>
  <c r="R5650" i="44"/>
  <c r="R5651" i="44"/>
  <c r="R5652" i="44"/>
  <c r="R5653" i="44"/>
  <c r="R5654" i="44"/>
  <c r="R5655" i="44"/>
  <c r="R5656" i="44"/>
  <c r="R5657" i="44"/>
  <c r="R5658" i="44"/>
  <c r="R5659" i="44"/>
  <c r="R5660" i="44"/>
  <c r="R5661" i="44"/>
  <c r="R5662" i="44"/>
  <c r="R5663" i="44"/>
  <c r="R5664" i="44"/>
  <c r="R5665" i="44"/>
  <c r="R5666" i="44"/>
  <c r="R5667" i="44"/>
  <c r="R5668" i="44"/>
  <c r="R5669" i="44"/>
  <c r="R5670" i="44"/>
  <c r="R5671" i="44"/>
  <c r="R5672" i="44"/>
  <c r="R5673" i="44"/>
  <c r="R5674" i="44"/>
  <c r="R5675" i="44"/>
  <c r="R5676" i="44"/>
  <c r="R5677" i="44"/>
  <c r="R5678" i="44"/>
  <c r="R5679" i="44"/>
  <c r="R5680" i="44"/>
  <c r="R5681" i="44"/>
  <c r="R5682" i="44"/>
  <c r="R5683" i="44"/>
  <c r="R5684" i="44"/>
  <c r="R5685" i="44"/>
  <c r="R5686" i="44"/>
  <c r="R5687" i="44"/>
  <c r="R5688" i="44"/>
  <c r="R5689" i="44"/>
  <c r="R5690" i="44"/>
  <c r="R5691" i="44"/>
  <c r="R5692" i="44"/>
  <c r="R5693" i="44"/>
  <c r="R5694" i="44"/>
  <c r="R5695" i="44"/>
  <c r="R5696" i="44"/>
  <c r="R5697" i="44"/>
  <c r="R5698" i="44"/>
  <c r="R5699" i="44"/>
  <c r="R5700" i="44"/>
  <c r="R5701" i="44"/>
  <c r="R5702" i="44"/>
  <c r="R5703" i="44"/>
  <c r="R5704" i="44"/>
  <c r="R5705" i="44"/>
  <c r="R5706" i="44"/>
  <c r="R5707" i="44"/>
  <c r="R5708" i="44"/>
  <c r="R5709" i="44"/>
  <c r="R5710" i="44"/>
  <c r="R5711" i="44"/>
  <c r="R5712" i="44"/>
  <c r="R5713" i="44"/>
  <c r="R5714" i="44"/>
  <c r="R5715" i="44"/>
  <c r="R5716" i="44"/>
  <c r="R5717" i="44"/>
  <c r="R5718" i="44"/>
  <c r="R5719" i="44"/>
  <c r="R5720" i="44"/>
  <c r="R5721" i="44"/>
  <c r="R5722" i="44"/>
  <c r="R5723" i="44"/>
  <c r="R5724" i="44"/>
  <c r="R5725" i="44"/>
  <c r="R5726" i="44"/>
  <c r="R5727" i="44"/>
  <c r="R5728" i="44"/>
  <c r="R5729" i="44"/>
  <c r="R5730" i="44"/>
  <c r="R5731" i="44"/>
  <c r="R5732" i="44"/>
  <c r="R5733" i="44"/>
  <c r="R5734" i="44"/>
  <c r="R5735" i="44"/>
  <c r="R5736" i="44"/>
  <c r="R5737" i="44"/>
  <c r="R5738" i="44"/>
  <c r="R5739" i="44"/>
  <c r="R5740" i="44"/>
  <c r="R5741" i="44"/>
  <c r="R5742" i="44"/>
  <c r="R5743" i="44"/>
  <c r="R5744" i="44"/>
  <c r="R5745" i="44"/>
  <c r="R5746" i="44"/>
  <c r="R5747" i="44"/>
  <c r="R5748" i="44"/>
  <c r="R5749" i="44"/>
  <c r="R5750" i="44"/>
  <c r="R5751" i="44"/>
  <c r="R5752" i="44"/>
  <c r="R5753" i="44"/>
  <c r="R5754" i="44"/>
  <c r="R5755" i="44"/>
  <c r="R5756" i="44"/>
  <c r="R5757" i="44"/>
  <c r="R5758" i="44"/>
  <c r="R5759" i="44"/>
  <c r="R5760" i="44"/>
  <c r="R5761" i="44"/>
  <c r="R5762" i="44"/>
  <c r="R5763" i="44"/>
  <c r="R5764" i="44"/>
  <c r="R5765" i="44"/>
  <c r="R5766" i="44"/>
  <c r="R5767" i="44"/>
  <c r="R5768" i="44"/>
  <c r="R5769" i="44"/>
  <c r="R5770" i="44"/>
  <c r="R5771" i="44"/>
  <c r="R5772" i="44"/>
  <c r="R5773" i="44"/>
  <c r="R5774" i="44"/>
  <c r="R5775" i="44"/>
  <c r="R5776" i="44"/>
  <c r="R5777" i="44"/>
  <c r="R5778" i="44"/>
  <c r="R5779" i="44"/>
  <c r="R5780" i="44"/>
  <c r="R5781" i="44"/>
  <c r="R5782" i="44"/>
  <c r="R5783" i="44"/>
  <c r="R5784" i="44"/>
  <c r="R5785" i="44"/>
  <c r="R5786" i="44"/>
  <c r="R5787" i="44"/>
  <c r="R5788" i="44"/>
  <c r="R5789" i="44"/>
  <c r="R5790" i="44"/>
  <c r="R5791" i="44"/>
  <c r="R5792" i="44"/>
  <c r="R5793" i="44"/>
  <c r="R5794" i="44"/>
  <c r="R5795" i="44"/>
  <c r="R5796" i="44"/>
  <c r="R5797" i="44"/>
  <c r="R5798" i="44"/>
  <c r="R5799" i="44"/>
  <c r="R5800" i="44"/>
  <c r="R5801" i="44"/>
  <c r="R5802" i="44"/>
  <c r="R5803" i="44"/>
  <c r="R5804" i="44"/>
  <c r="R5805" i="44"/>
  <c r="R5806" i="44"/>
  <c r="R5807" i="44"/>
  <c r="R5808" i="44"/>
  <c r="R5809" i="44"/>
  <c r="R5810" i="44"/>
  <c r="R5811" i="44"/>
  <c r="R5812" i="44"/>
  <c r="R5813" i="44"/>
  <c r="R5814" i="44"/>
  <c r="R5815" i="44"/>
  <c r="R5816" i="44"/>
  <c r="R5817" i="44"/>
  <c r="R5818" i="44"/>
  <c r="R5819" i="44"/>
  <c r="R5820" i="44"/>
  <c r="R5821" i="44"/>
  <c r="R5822" i="44"/>
  <c r="R5823" i="44"/>
  <c r="R5824" i="44"/>
  <c r="R5825" i="44"/>
  <c r="R5826" i="44"/>
  <c r="R5827" i="44"/>
  <c r="R5828" i="44"/>
  <c r="R5829" i="44"/>
  <c r="R5830" i="44"/>
  <c r="R5831" i="44"/>
  <c r="R5832" i="44"/>
  <c r="R5833" i="44"/>
  <c r="R5834" i="44"/>
  <c r="R5835" i="44"/>
  <c r="R5836" i="44"/>
  <c r="R5837" i="44"/>
  <c r="R5838" i="44"/>
  <c r="R5839" i="44"/>
  <c r="R5840" i="44"/>
  <c r="R5841" i="44"/>
  <c r="R5842" i="44"/>
  <c r="R5843" i="44"/>
  <c r="R5844" i="44"/>
  <c r="R5845" i="44"/>
  <c r="R5846" i="44"/>
  <c r="R5847" i="44"/>
  <c r="R5848" i="44"/>
  <c r="R5849" i="44"/>
  <c r="R5850" i="44"/>
  <c r="R5851" i="44"/>
  <c r="R5852" i="44"/>
  <c r="R5853" i="44"/>
  <c r="R5854" i="44"/>
  <c r="R5855" i="44"/>
  <c r="R5856" i="44"/>
  <c r="R5857" i="44"/>
  <c r="R5858" i="44"/>
  <c r="R5859" i="44"/>
  <c r="R5860" i="44"/>
  <c r="R5861" i="44"/>
  <c r="R5862" i="44"/>
  <c r="R5863" i="44"/>
  <c r="R5864" i="44"/>
  <c r="R5865" i="44"/>
  <c r="R5866" i="44"/>
  <c r="R5867" i="44"/>
  <c r="R5868" i="44"/>
  <c r="R5869" i="44"/>
  <c r="R5870" i="44"/>
  <c r="R5871" i="44"/>
  <c r="R5872" i="44"/>
  <c r="R5873" i="44"/>
  <c r="R5874" i="44"/>
  <c r="R5875" i="44"/>
  <c r="R5876" i="44"/>
  <c r="R5877" i="44"/>
  <c r="R5878" i="44"/>
  <c r="R5879" i="44"/>
  <c r="R5880" i="44"/>
  <c r="R5881" i="44"/>
  <c r="R5882" i="44"/>
  <c r="R5883" i="44"/>
  <c r="R5884" i="44"/>
  <c r="R5885" i="44"/>
  <c r="R5886" i="44"/>
  <c r="R5887" i="44"/>
  <c r="R5888" i="44"/>
  <c r="R5889" i="44"/>
  <c r="R5890" i="44"/>
  <c r="R5891" i="44"/>
  <c r="R5892" i="44"/>
  <c r="R5893" i="44"/>
  <c r="R5894" i="44"/>
  <c r="R5895" i="44"/>
  <c r="R5896" i="44"/>
  <c r="R5897" i="44"/>
  <c r="R5898" i="44"/>
  <c r="R5899" i="44"/>
  <c r="R5900" i="44"/>
  <c r="R5901" i="44"/>
  <c r="R5902" i="44"/>
  <c r="R5903" i="44"/>
  <c r="R5904" i="44"/>
  <c r="R5905" i="44"/>
  <c r="R5906" i="44"/>
  <c r="R5907" i="44"/>
  <c r="R5908" i="44"/>
  <c r="R5909" i="44"/>
  <c r="R5910" i="44"/>
  <c r="R5911" i="44"/>
  <c r="R5912" i="44"/>
  <c r="R5913" i="44"/>
  <c r="R5914" i="44"/>
  <c r="R5915" i="44"/>
  <c r="R5916" i="44"/>
  <c r="R5917" i="44"/>
  <c r="R5918" i="44"/>
  <c r="R5919" i="44"/>
  <c r="R5920" i="44"/>
  <c r="R5921" i="44"/>
  <c r="R5922" i="44"/>
  <c r="R5923" i="44"/>
  <c r="R5924" i="44"/>
  <c r="R5925" i="44"/>
  <c r="R5926" i="44"/>
  <c r="R5927" i="44"/>
  <c r="R5928" i="44"/>
  <c r="R5929" i="44"/>
  <c r="R5930" i="44"/>
  <c r="R5931" i="44"/>
  <c r="R5932" i="44"/>
  <c r="R5933" i="44"/>
  <c r="R5934" i="44"/>
  <c r="R5935" i="44"/>
  <c r="R5936" i="44"/>
  <c r="R5937" i="44"/>
  <c r="R5938" i="44"/>
  <c r="R5939" i="44"/>
  <c r="R5940" i="44"/>
  <c r="R5941" i="44"/>
  <c r="R5942" i="44"/>
  <c r="R5943" i="44"/>
  <c r="R5944" i="44"/>
  <c r="R5945" i="44"/>
  <c r="R5946" i="44"/>
  <c r="R5947" i="44"/>
  <c r="R5948" i="44"/>
  <c r="R5949" i="44"/>
  <c r="R5950" i="44"/>
  <c r="R5951" i="44"/>
  <c r="R5952" i="44"/>
  <c r="R5953" i="44"/>
  <c r="R5954" i="44"/>
  <c r="R5955" i="44"/>
  <c r="R5956" i="44"/>
  <c r="R5957" i="44"/>
  <c r="R5958" i="44"/>
  <c r="R5959" i="44"/>
  <c r="R5960" i="44"/>
  <c r="R5961" i="44"/>
  <c r="R5962" i="44"/>
  <c r="R5963" i="44"/>
  <c r="R5964" i="44"/>
  <c r="R5965" i="44"/>
  <c r="R5966" i="44"/>
  <c r="R5967" i="44"/>
  <c r="R5968" i="44"/>
  <c r="R5969" i="44"/>
  <c r="R5970" i="44"/>
  <c r="R5971" i="44"/>
  <c r="R5972" i="44"/>
  <c r="R5973" i="44"/>
  <c r="R5974" i="44"/>
  <c r="R5975" i="44"/>
  <c r="R5976" i="44"/>
  <c r="R5977" i="44"/>
  <c r="R5978" i="44"/>
  <c r="R5979" i="44"/>
  <c r="R5980" i="44"/>
  <c r="R5981" i="44"/>
  <c r="R5982" i="44"/>
  <c r="R5983" i="44"/>
  <c r="R5984" i="44"/>
  <c r="R5985" i="44"/>
  <c r="R5986" i="44"/>
  <c r="R5987" i="44"/>
  <c r="R5988" i="44"/>
  <c r="R5989" i="44"/>
  <c r="R5990" i="44"/>
  <c r="R5991" i="44"/>
  <c r="R5992" i="44"/>
  <c r="R5993" i="44"/>
  <c r="R5994" i="44"/>
  <c r="R5995" i="44"/>
  <c r="R5996" i="44"/>
  <c r="R5997" i="44"/>
  <c r="R5998" i="44"/>
  <c r="R5999" i="44"/>
  <c r="R6000" i="44"/>
  <c r="R6001" i="44"/>
  <c r="R6002" i="44"/>
  <c r="R6003" i="44"/>
  <c r="R6004" i="44"/>
  <c r="R6005" i="44"/>
  <c r="R6006" i="44"/>
  <c r="R6007" i="44"/>
  <c r="R6008" i="44"/>
  <c r="R6009" i="44"/>
  <c r="R6010" i="44"/>
  <c r="R6011" i="44"/>
  <c r="R6012" i="44"/>
  <c r="R6013" i="44"/>
  <c r="R6014" i="44"/>
  <c r="R6015" i="44"/>
  <c r="R6016" i="44"/>
  <c r="R6017" i="44"/>
  <c r="R6018" i="44"/>
  <c r="R6019" i="44"/>
  <c r="R6020" i="44"/>
  <c r="R6021" i="44"/>
  <c r="R6022" i="44"/>
  <c r="R6023" i="44"/>
  <c r="R6024" i="44"/>
  <c r="R6025" i="44"/>
  <c r="R6026" i="44"/>
  <c r="R6027" i="44"/>
  <c r="R6028" i="44"/>
  <c r="R6029" i="44"/>
  <c r="R6030" i="44"/>
  <c r="R6031" i="44"/>
  <c r="R6032" i="44"/>
  <c r="R6033" i="44"/>
  <c r="R6034" i="44"/>
  <c r="R6035" i="44"/>
  <c r="R6036" i="44"/>
  <c r="R6037" i="44"/>
  <c r="R6038" i="44"/>
  <c r="R6039" i="44"/>
  <c r="R6040" i="44"/>
  <c r="R6041" i="44"/>
  <c r="R6042" i="44"/>
  <c r="R6043" i="44"/>
  <c r="R6044" i="44"/>
  <c r="R6045" i="44"/>
  <c r="R6046" i="44"/>
  <c r="R6047" i="44"/>
  <c r="R6048" i="44"/>
  <c r="R6049" i="44"/>
  <c r="R6050" i="44"/>
  <c r="R6051" i="44"/>
  <c r="R6052" i="44"/>
  <c r="R6053" i="44"/>
  <c r="R6054" i="44"/>
  <c r="R6055" i="44"/>
  <c r="R6056" i="44"/>
  <c r="R6057" i="44"/>
  <c r="R6058" i="44"/>
  <c r="R6059" i="44"/>
  <c r="R6060" i="44"/>
  <c r="R6061" i="44"/>
  <c r="R6062" i="44"/>
  <c r="R6063" i="44"/>
  <c r="R6064" i="44"/>
  <c r="R6065" i="44"/>
  <c r="R6066" i="44"/>
  <c r="R6067" i="44"/>
  <c r="R6068" i="44"/>
  <c r="R6069" i="44"/>
  <c r="R6070" i="44"/>
  <c r="R6071" i="44"/>
  <c r="R6072" i="44"/>
  <c r="R6073" i="44"/>
  <c r="R6074" i="44"/>
  <c r="R6075" i="44"/>
  <c r="R6076" i="44"/>
  <c r="R6077" i="44"/>
  <c r="R6078" i="44"/>
  <c r="R6079" i="44"/>
  <c r="R6080" i="44"/>
  <c r="R6081" i="44"/>
  <c r="R6082" i="44"/>
  <c r="R6083" i="44"/>
  <c r="R6084" i="44"/>
  <c r="R6085" i="44"/>
  <c r="R6086" i="44"/>
  <c r="R6087" i="44"/>
  <c r="R6088" i="44"/>
  <c r="R6089" i="44"/>
  <c r="R6090" i="44"/>
  <c r="R6091" i="44"/>
  <c r="R6092" i="44"/>
  <c r="R6093" i="44"/>
  <c r="R6094" i="44"/>
  <c r="R6095" i="44"/>
  <c r="R6096" i="44"/>
  <c r="R6097" i="44"/>
  <c r="R6098" i="44"/>
  <c r="R6099" i="44"/>
  <c r="R6100" i="44"/>
  <c r="R6101" i="44"/>
  <c r="R6102" i="44"/>
  <c r="R6103" i="44"/>
  <c r="R6104" i="44"/>
  <c r="R6105" i="44"/>
  <c r="R6106" i="44"/>
  <c r="R6107" i="44"/>
  <c r="R6108" i="44"/>
  <c r="R6109" i="44"/>
  <c r="R6110" i="44"/>
  <c r="R6111" i="44"/>
  <c r="R6112" i="44"/>
  <c r="R6113" i="44"/>
  <c r="R6114" i="44"/>
  <c r="R6115" i="44"/>
  <c r="R6116" i="44"/>
  <c r="R6117" i="44"/>
  <c r="R6118" i="44"/>
  <c r="R6119" i="44"/>
  <c r="R6120" i="44"/>
  <c r="R6121" i="44"/>
  <c r="R6122" i="44"/>
  <c r="R6123" i="44"/>
  <c r="R6124" i="44"/>
  <c r="R6125" i="44"/>
  <c r="R6126" i="44"/>
  <c r="R6127" i="44"/>
  <c r="R6128" i="44"/>
  <c r="R6129" i="44"/>
  <c r="R6130" i="44"/>
  <c r="R6131" i="44"/>
  <c r="R6132" i="44"/>
  <c r="R6133" i="44"/>
  <c r="R6134" i="44"/>
  <c r="R6135" i="44"/>
  <c r="R6136" i="44"/>
  <c r="R6137" i="44"/>
  <c r="R6138" i="44"/>
  <c r="R6139" i="44"/>
  <c r="R6140" i="44"/>
  <c r="R6141" i="44"/>
  <c r="R6142" i="44"/>
  <c r="R6143" i="44"/>
  <c r="R6144" i="44"/>
  <c r="R6145" i="44"/>
  <c r="R6146" i="44"/>
  <c r="R6147" i="44"/>
  <c r="R6148" i="44"/>
  <c r="R6149" i="44"/>
  <c r="R6150" i="44"/>
  <c r="R6151" i="44"/>
  <c r="R6152" i="44"/>
  <c r="R6153" i="44"/>
  <c r="R6154" i="44"/>
  <c r="R6155" i="44"/>
  <c r="R6156" i="44"/>
  <c r="R6157" i="44"/>
  <c r="R6158" i="44"/>
  <c r="R6159" i="44"/>
  <c r="R6160" i="44"/>
  <c r="R6161" i="44"/>
  <c r="R6162" i="44"/>
  <c r="R6163" i="44"/>
  <c r="R6164" i="44"/>
  <c r="R6165" i="44"/>
  <c r="R6166" i="44"/>
  <c r="R6167" i="44"/>
  <c r="R6168" i="44"/>
  <c r="R6169" i="44"/>
  <c r="R6170" i="44"/>
  <c r="R6171" i="44"/>
  <c r="R6172" i="44"/>
  <c r="R6173" i="44"/>
  <c r="R6174" i="44"/>
  <c r="R6175" i="44"/>
  <c r="R6176" i="44"/>
  <c r="R6177" i="44"/>
  <c r="R6178" i="44"/>
  <c r="R6179" i="44"/>
  <c r="R6180" i="44"/>
  <c r="R6181" i="44"/>
  <c r="R6182" i="44"/>
  <c r="R6183" i="44"/>
  <c r="R6184" i="44"/>
  <c r="R6185" i="44"/>
  <c r="R6186" i="44"/>
  <c r="R6187" i="44"/>
  <c r="R6188" i="44"/>
  <c r="R6189" i="44"/>
  <c r="R6190" i="44"/>
  <c r="R6191" i="44"/>
  <c r="R6192" i="44"/>
  <c r="R6193" i="44"/>
  <c r="R6194" i="44"/>
  <c r="R6195" i="44"/>
  <c r="R6196" i="44"/>
  <c r="R6197" i="44"/>
  <c r="R6198" i="44"/>
  <c r="R6199" i="44"/>
  <c r="R6200" i="44"/>
  <c r="R6201" i="44"/>
  <c r="R6202" i="44"/>
  <c r="R6203" i="44"/>
  <c r="R6204" i="44"/>
  <c r="R6205" i="44"/>
  <c r="R6206" i="44"/>
  <c r="R6207" i="44"/>
  <c r="R6208" i="44"/>
  <c r="R6209" i="44"/>
  <c r="R6210" i="44"/>
  <c r="R6211" i="44"/>
  <c r="R6212" i="44"/>
  <c r="R6213" i="44"/>
  <c r="R6214" i="44"/>
  <c r="R6215" i="44"/>
  <c r="R6216" i="44"/>
  <c r="R6217" i="44"/>
  <c r="R6218" i="44"/>
  <c r="R6219" i="44"/>
  <c r="R6220" i="44"/>
  <c r="R6221" i="44"/>
  <c r="R6222" i="44"/>
  <c r="R6223" i="44"/>
  <c r="R6224" i="44"/>
  <c r="R6225" i="44"/>
  <c r="R6226" i="44"/>
  <c r="R6227" i="44"/>
  <c r="R6228" i="44"/>
  <c r="R6229" i="44"/>
  <c r="R6230" i="44"/>
  <c r="R6231" i="44"/>
  <c r="R6232" i="44"/>
  <c r="R6233" i="44"/>
  <c r="R6234" i="44"/>
  <c r="R6235" i="44"/>
  <c r="R6236" i="44"/>
  <c r="R6237" i="44"/>
  <c r="R6238" i="44"/>
  <c r="R6239" i="44"/>
  <c r="R6240" i="44"/>
  <c r="R6241" i="44"/>
  <c r="R6242" i="44"/>
  <c r="R6243" i="44"/>
  <c r="R6244" i="44"/>
  <c r="R6245" i="44"/>
  <c r="R6246" i="44"/>
  <c r="R6247" i="44"/>
  <c r="R6248" i="44"/>
  <c r="R6249" i="44"/>
  <c r="R6250" i="44"/>
  <c r="R6251" i="44"/>
  <c r="R6252" i="44"/>
  <c r="R6253" i="44"/>
  <c r="R6254" i="44"/>
  <c r="R6255" i="44"/>
  <c r="R6256" i="44"/>
  <c r="R6257" i="44"/>
  <c r="R6258" i="44"/>
  <c r="R6259" i="44"/>
  <c r="R6260" i="44"/>
  <c r="R6261" i="44"/>
  <c r="R6262" i="44"/>
  <c r="R6263" i="44"/>
  <c r="R6264" i="44"/>
  <c r="R6265" i="44"/>
  <c r="R6266" i="44"/>
  <c r="R6267" i="44"/>
  <c r="R6268" i="44"/>
  <c r="R6269" i="44"/>
  <c r="R6270" i="44"/>
  <c r="R6271" i="44"/>
  <c r="R6272" i="44"/>
  <c r="R6273" i="44"/>
  <c r="R6274" i="44"/>
  <c r="R6275" i="44"/>
  <c r="R6276" i="44"/>
  <c r="R6277" i="44"/>
  <c r="R6278" i="44"/>
  <c r="R6279" i="44"/>
  <c r="R6280" i="44"/>
  <c r="R6281" i="44"/>
  <c r="R6282" i="44"/>
  <c r="R6283" i="44"/>
  <c r="R6284" i="44"/>
  <c r="R6285" i="44"/>
  <c r="R6286" i="44"/>
  <c r="R6287" i="44"/>
  <c r="R6288" i="44"/>
  <c r="R6289" i="44"/>
  <c r="R6290" i="44"/>
  <c r="R6291" i="44"/>
  <c r="R6292" i="44"/>
  <c r="R6293" i="44"/>
  <c r="R6294" i="44"/>
  <c r="R6295" i="44"/>
  <c r="R6296" i="44"/>
  <c r="R6297" i="44"/>
  <c r="R6298" i="44"/>
  <c r="R6299" i="44"/>
  <c r="R6300" i="44"/>
  <c r="R6301" i="44"/>
  <c r="R6302" i="44"/>
  <c r="R6303" i="44"/>
  <c r="R6304" i="44"/>
  <c r="R6305" i="44"/>
  <c r="R6306" i="44"/>
  <c r="R6307" i="44"/>
  <c r="R6308" i="44"/>
  <c r="R6309" i="44"/>
  <c r="R6310" i="44"/>
  <c r="R6311" i="44"/>
  <c r="R6312" i="44"/>
  <c r="R6313" i="44"/>
  <c r="R6314" i="44"/>
  <c r="R6315" i="44"/>
  <c r="R6316" i="44"/>
  <c r="R6317" i="44"/>
  <c r="R6318" i="44"/>
  <c r="R6319" i="44"/>
  <c r="R6320" i="44"/>
  <c r="R6321" i="44"/>
  <c r="R6322" i="44"/>
  <c r="R6323" i="44"/>
  <c r="R6324" i="44"/>
  <c r="R6325" i="44"/>
  <c r="R6326" i="44"/>
  <c r="R6327" i="44"/>
  <c r="R6328" i="44"/>
  <c r="R6329" i="44"/>
  <c r="R6330" i="44"/>
  <c r="R6331" i="44"/>
  <c r="R6332" i="44"/>
  <c r="R6333" i="44"/>
  <c r="R6334" i="44"/>
  <c r="R6335" i="44"/>
  <c r="R6336" i="44"/>
  <c r="R6337" i="44"/>
  <c r="R6338" i="44"/>
  <c r="R6339" i="44"/>
  <c r="R6340" i="44"/>
  <c r="R6341" i="44"/>
  <c r="R6342" i="44"/>
  <c r="R6343" i="44"/>
  <c r="R6344" i="44"/>
  <c r="R6345" i="44"/>
  <c r="R6346" i="44"/>
  <c r="R6347" i="44"/>
  <c r="R6348" i="44"/>
  <c r="R6349" i="44"/>
  <c r="R6350" i="44"/>
  <c r="R6351" i="44"/>
  <c r="R6352" i="44"/>
  <c r="R6353" i="44"/>
  <c r="R6354" i="44"/>
  <c r="R6355" i="44"/>
  <c r="R6356" i="44"/>
  <c r="R6357" i="44"/>
  <c r="R6358" i="44"/>
  <c r="R6359" i="44"/>
  <c r="R6360" i="44"/>
  <c r="R6361" i="44"/>
  <c r="R6362" i="44"/>
  <c r="R6363" i="44"/>
  <c r="R6364" i="44"/>
  <c r="R6365" i="44"/>
  <c r="R6366" i="44"/>
  <c r="R6367" i="44"/>
  <c r="R6368" i="44"/>
  <c r="R6369" i="44"/>
  <c r="R6370" i="44"/>
  <c r="R6371" i="44"/>
  <c r="R6372" i="44"/>
  <c r="R6373" i="44"/>
  <c r="R6374" i="44"/>
  <c r="R6375" i="44"/>
  <c r="R6376" i="44"/>
  <c r="R6377" i="44"/>
  <c r="R6378" i="44"/>
  <c r="R6379" i="44"/>
  <c r="R6380" i="44"/>
  <c r="R6381" i="44"/>
  <c r="R6382" i="44"/>
  <c r="R6383" i="44"/>
  <c r="R6384" i="44"/>
  <c r="R6385" i="44"/>
  <c r="R6386" i="44"/>
  <c r="R6387" i="44"/>
  <c r="R6388" i="44"/>
  <c r="R6389" i="44"/>
  <c r="R6390" i="44"/>
  <c r="R6391" i="44"/>
  <c r="R6392" i="44"/>
  <c r="R6393" i="44"/>
  <c r="R6394" i="44"/>
  <c r="R6395" i="44"/>
  <c r="R6396" i="44"/>
  <c r="R6397" i="44"/>
  <c r="R6398" i="44"/>
  <c r="R6399" i="44"/>
  <c r="R6400" i="44"/>
  <c r="R6401" i="44"/>
  <c r="R6402" i="44"/>
  <c r="R6403" i="44"/>
  <c r="R6404" i="44"/>
  <c r="R6405" i="44"/>
  <c r="R6406" i="44"/>
  <c r="R6407" i="44"/>
  <c r="R6408" i="44"/>
  <c r="R6409" i="44"/>
  <c r="R6410" i="44"/>
  <c r="R6411" i="44"/>
  <c r="R6412" i="44"/>
  <c r="R6413" i="44"/>
  <c r="R6414" i="44"/>
  <c r="R6415" i="44"/>
  <c r="R6416" i="44"/>
  <c r="R6417" i="44"/>
  <c r="R6418" i="44"/>
  <c r="R6419" i="44"/>
  <c r="R6420" i="44"/>
  <c r="R6421" i="44"/>
  <c r="R6422" i="44"/>
  <c r="R6423" i="44"/>
  <c r="R6424" i="44"/>
  <c r="R6425" i="44"/>
  <c r="R6426" i="44"/>
  <c r="R6427" i="44"/>
  <c r="R6428" i="44"/>
  <c r="R6429" i="44"/>
  <c r="R6430" i="44"/>
  <c r="R6431" i="44"/>
  <c r="R6432" i="44"/>
  <c r="R6433" i="44"/>
  <c r="R6434" i="44"/>
  <c r="R6435" i="44"/>
  <c r="R6436" i="44"/>
  <c r="R6437" i="44"/>
  <c r="R6438" i="44"/>
  <c r="R6439" i="44"/>
  <c r="R6440" i="44"/>
  <c r="R6441" i="44"/>
  <c r="R6442" i="44"/>
  <c r="R6443" i="44"/>
  <c r="R6444" i="44"/>
  <c r="R6445" i="44"/>
  <c r="R6446" i="44"/>
  <c r="R6447" i="44"/>
  <c r="R6448" i="44"/>
  <c r="R6449" i="44"/>
  <c r="R6450" i="44"/>
  <c r="R6451" i="44"/>
  <c r="R6452" i="44"/>
  <c r="R6453" i="44"/>
  <c r="R6454" i="44"/>
  <c r="R6455" i="44"/>
  <c r="R6456" i="44"/>
  <c r="R6457" i="44"/>
  <c r="R6458" i="44"/>
  <c r="R6459" i="44"/>
  <c r="R6460" i="44"/>
  <c r="R6461" i="44"/>
  <c r="R6462" i="44"/>
  <c r="R6463" i="44"/>
  <c r="R6464" i="44"/>
  <c r="R6465" i="44"/>
  <c r="R6466" i="44"/>
  <c r="R6467" i="44"/>
  <c r="R6468" i="44"/>
  <c r="R6469" i="44"/>
  <c r="R6470" i="44"/>
  <c r="R6471" i="44"/>
  <c r="R6472" i="44"/>
  <c r="R6473" i="44"/>
  <c r="R6474" i="44"/>
  <c r="R6475" i="44"/>
  <c r="R6476" i="44"/>
  <c r="R6477" i="44"/>
  <c r="R6478" i="44"/>
  <c r="R6479" i="44"/>
  <c r="R6480" i="44"/>
  <c r="R6481" i="44"/>
  <c r="R6482" i="44"/>
  <c r="R6483" i="44"/>
  <c r="R6484" i="44"/>
  <c r="R6485" i="44"/>
  <c r="R6486" i="44"/>
  <c r="R6487" i="44"/>
  <c r="R6488" i="44"/>
  <c r="R6489" i="44"/>
  <c r="R6490" i="44"/>
  <c r="R6491" i="44"/>
  <c r="R6492" i="44"/>
  <c r="R6493" i="44"/>
  <c r="R6494" i="44"/>
  <c r="R6495" i="44"/>
  <c r="R6496" i="44"/>
  <c r="R6497" i="44"/>
  <c r="R6498" i="44"/>
  <c r="R6499" i="44"/>
  <c r="R6500" i="44"/>
  <c r="R6501" i="44"/>
  <c r="R6502" i="44"/>
  <c r="R6503" i="44"/>
  <c r="R6504" i="44"/>
  <c r="R6505" i="44"/>
  <c r="R6506" i="44"/>
  <c r="R6507" i="44"/>
  <c r="R6508" i="44"/>
  <c r="R6509" i="44"/>
  <c r="R6510" i="44"/>
  <c r="R6511" i="44"/>
  <c r="R6512" i="44"/>
  <c r="R6513" i="44"/>
  <c r="R6514" i="44"/>
  <c r="R6515" i="44"/>
  <c r="R6516" i="44"/>
  <c r="R6517" i="44"/>
  <c r="R6518" i="44"/>
  <c r="R6519" i="44"/>
  <c r="R6520" i="44"/>
  <c r="R6521" i="44"/>
  <c r="R6522" i="44"/>
  <c r="R6523" i="44"/>
  <c r="R6524" i="44"/>
  <c r="R6525" i="44"/>
  <c r="R6526" i="44"/>
  <c r="R6527" i="44"/>
  <c r="R6528" i="44"/>
  <c r="R6529" i="44"/>
  <c r="R6530" i="44"/>
  <c r="R6531" i="44"/>
  <c r="R6532" i="44"/>
  <c r="R6533" i="44"/>
  <c r="R6534" i="44"/>
  <c r="R6535" i="44"/>
  <c r="R6536" i="44"/>
  <c r="R6537" i="44"/>
  <c r="R6538" i="44"/>
  <c r="R6539" i="44"/>
  <c r="R6540" i="44"/>
  <c r="R6541" i="44"/>
  <c r="R6542" i="44"/>
  <c r="R6543" i="44"/>
  <c r="R6544" i="44"/>
  <c r="R6545" i="44"/>
  <c r="R6546" i="44"/>
  <c r="R6547" i="44"/>
  <c r="R6548" i="44"/>
  <c r="R6549" i="44"/>
  <c r="R6550" i="44"/>
  <c r="R6551" i="44"/>
  <c r="R6552" i="44"/>
  <c r="R6553" i="44"/>
  <c r="R6554" i="44"/>
  <c r="R6555" i="44"/>
  <c r="R6556" i="44"/>
  <c r="R6557" i="44"/>
  <c r="R6558" i="44"/>
  <c r="R6559" i="44"/>
  <c r="R6560" i="44"/>
  <c r="R6561" i="44"/>
  <c r="R6562" i="44"/>
  <c r="R6563" i="44"/>
  <c r="R6564" i="44"/>
  <c r="R6565" i="44"/>
  <c r="R6566" i="44"/>
  <c r="R6567" i="44"/>
  <c r="R6568" i="44"/>
  <c r="R6569" i="44"/>
  <c r="R6570" i="44"/>
  <c r="R6571" i="44"/>
  <c r="R6572" i="44"/>
  <c r="R6573" i="44"/>
  <c r="R6574" i="44"/>
  <c r="R6575" i="44"/>
  <c r="R6576" i="44"/>
  <c r="R6577" i="44"/>
  <c r="R6578" i="44"/>
  <c r="R6579" i="44"/>
  <c r="R6580" i="44"/>
  <c r="R6581" i="44"/>
  <c r="R6582" i="44"/>
  <c r="R6583" i="44"/>
  <c r="R6584" i="44"/>
  <c r="R6585" i="44"/>
  <c r="R6586" i="44"/>
  <c r="R6587" i="44"/>
  <c r="R6588" i="44"/>
  <c r="R6589" i="44"/>
  <c r="R6590" i="44"/>
  <c r="R6591" i="44"/>
  <c r="R6592" i="44"/>
  <c r="R6593" i="44"/>
  <c r="R6594" i="44"/>
  <c r="R6595" i="44"/>
  <c r="R6596" i="44"/>
  <c r="R6597" i="44"/>
  <c r="R6598" i="44"/>
  <c r="R6599" i="44"/>
  <c r="R6600" i="44"/>
  <c r="R6601" i="44"/>
  <c r="R6602" i="44"/>
  <c r="R6603" i="44"/>
  <c r="R6604" i="44"/>
  <c r="R6605" i="44"/>
  <c r="R6606" i="44"/>
  <c r="R6607" i="44"/>
  <c r="R6608" i="44"/>
  <c r="R6609" i="44"/>
  <c r="R6610" i="44"/>
  <c r="R6611" i="44"/>
  <c r="R6612" i="44"/>
  <c r="R6613" i="44"/>
  <c r="R6614" i="44"/>
  <c r="R6615" i="44"/>
  <c r="R6616" i="44"/>
  <c r="R6617" i="44"/>
  <c r="R6618" i="44"/>
  <c r="R6619" i="44"/>
  <c r="R6620" i="44"/>
  <c r="R6621" i="44"/>
  <c r="R6622" i="44"/>
  <c r="R6623" i="44"/>
  <c r="R6624" i="44"/>
  <c r="R6625" i="44"/>
  <c r="R6626" i="44"/>
  <c r="R6627" i="44"/>
  <c r="R6628" i="44"/>
  <c r="R6629" i="44"/>
  <c r="R6630" i="44"/>
  <c r="R6631" i="44"/>
  <c r="R6632" i="44"/>
  <c r="R6633" i="44"/>
  <c r="R6634" i="44"/>
  <c r="R6635" i="44"/>
  <c r="R6636" i="44"/>
  <c r="R6637" i="44"/>
  <c r="R6638" i="44"/>
  <c r="R6639" i="44"/>
  <c r="R6640" i="44"/>
  <c r="R6641" i="44"/>
  <c r="R6642" i="44"/>
  <c r="R6643" i="44"/>
  <c r="R6644" i="44"/>
  <c r="R6645" i="44"/>
  <c r="R6646" i="44"/>
  <c r="R6647" i="44"/>
  <c r="R6648" i="44"/>
  <c r="R6649" i="44"/>
  <c r="R6650" i="44"/>
  <c r="R6651" i="44"/>
  <c r="R6652" i="44"/>
  <c r="R6653" i="44"/>
  <c r="R6654" i="44"/>
  <c r="R6655" i="44"/>
  <c r="R6656" i="44"/>
  <c r="R6657" i="44"/>
  <c r="R6658" i="44"/>
  <c r="R6659" i="44"/>
  <c r="R6660" i="44"/>
  <c r="R6661" i="44"/>
  <c r="R6662" i="44"/>
  <c r="R6663" i="44"/>
  <c r="R6664" i="44"/>
  <c r="R6665" i="44"/>
  <c r="R6666" i="44"/>
  <c r="R6667" i="44"/>
  <c r="R6668" i="44"/>
  <c r="R6669" i="44"/>
  <c r="R6670" i="44"/>
  <c r="R6671" i="44"/>
  <c r="R6672" i="44"/>
  <c r="R6673" i="44"/>
  <c r="R6674" i="44"/>
  <c r="R6675" i="44"/>
  <c r="R6676" i="44"/>
  <c r="R6677" i="44"/>
  <c r="R6678" i="44"/>
  <c r="R6679" i="44"/>
  <c r="R6680" i="44"/>
  <c r="R6681" i="44"/>
  <c r="R6682" i="44"/>
  <c r="R6683" i="44"/>
  <c r="R6684" i="44"/>
  <c r="R6685" i="44"/>
  <c r="R6686" i="44"/>
  <c r="R6687" i="44"/>
  <c r="R6688" i="44"/>
  <c r="R6689" i="44"/>
  <c r="R6690" i="44"/>
  <c r="R6691" i="44"/>
  <c r="R6692" i="44"/>
  <c r="R6693" i="44"/>
  <c r="R6694" i="44"/>
  <c r="R6695" i="44"/>
  <c r="R6696" i="44"/>
  <c r="R6697" i="44"/>
  <c r="R6698" i="44"/>
  <c r="R6699" i="44"/>
  <c r="R6700" i="44"/>
  <c r="R6701" i="44"/>
  <c r="R6702" i="44"/>
  <c r="R6703" i="44"/>
  <c r="R6704" i="44"/>
  <c r="R6705" i="44"/>
  <c r="R6706" i="44"/>
  <c r="R6707" i="44"/>
  <c r="R6708" i="44"/>
  <c r="R6709" i="44"/>
  <c r="R6710" i="44"/>
  <c r="R6711" i="44"/>
  <c r="R6712" i="44"/>
  <c r="R6713" i="44"/>
  <c r="R6714" i="44"/>
  <c r="R6715" i="44"/>
  <c r="R6716" i="44"/>
  <c r="R6717" i="44"/>
  <c r="R6718" i="44"/>
  <c r="R6719" i="44"/>
  <c r="R6720" i="44"/>
  <c r="R6721" i="44"/>
  <c r="R6722" i="44"/>
  <c r="R6723" i="44"/>
  <c r="R6724" i="44"/>
  <c r="R6725" i="44"/>
  <c r="R6726" i="44"/>
  <c r="R6727" i="44"/>
  <c r="R6728" i="44"/>
  <c r="R6729" i="44"/>
  <c r="R6730" i="44"/>
  <c r="R6731" i="44"/>
  <c r="R6732" i="44"/>
  <c r="R6733" i="44"/>
  <c r="R6734" i="44"/>
  <c r="R6735" i="44"/>
  <c r="R6736" i="44"/>
  <c r="R6737" i="44"/>
  <c r="R6738" i="44"/>
  <c r="R6739" i="44"/>
  <c r="R6740" i="44"/>
  <c r="R6741" i="44"/>
  <c r="R6742" i="44"/>
  <c r="R6743" i="44"/>
  <c r="R6744" i="44"/>
  <c r="R6745" i="44"/>
  <c r="R6746" i="44"/>
  <c r="R6747" i="44"/>
  <c r="R6748" i="44"/>
  <c r="R6749" i="44"/>
  <c r="R6750" i="44"/>
  <c r="R6751" i="44"/>
  <c r="R6752" i="44"/>
  <c r="R6753" i="44"/>
  <c r="R6754" i="44"/>
  <c r="R6755" i="44"/>
  <c r="R6756" i="44"/>
  <c r="R6757" i="44"/>
  <c r="R6758" i="44"/>
  <c r="R6759" i="44"/>
  <c r="R6760" i="44"/>
  <c r="R6761" i="44"/>
  <c r="R6762" i="44"/>
  <c r="R6763" i="44"/>
  <c r="R6764" i="44"/>
  <c r="R6765" i="44"/>
  <c r="R6766" i="44"/>
  <c r="R6767" i="44"/>
  <c r="R6768" i="44"/>
  <c r="R6769" i="44"/>
  <c r="R6770" i="44"/>
  <c r="R6771" i="44"/>
  <c r="R6772" i="44"/>
  <c r="R6773" i="44"/>
  <c r="R6774" i="44"/>
  <c r="R6775" i="44"/>
  <c r="R6776" i="44"/>
  <c r="R6777" i="44"/>
  <c r="R6778" i="44"/>
  <c r="R6779" i="44"/>
  <c r="R6780" i="44"/>
  <c r="R6781" i="44"/>
  <c r="R6782" i="44"/>
  <c r="R6783" i="44"/>
  <c r="R6784" i="44"/>
  <c r="R6785" i="44"/>
  <c r="R6786" i="44"/>
  <c r="R6787" i="44"/>
  <c r="R6788" i="44"/>
  <c r="R6789" i="44"/>
  <c r="R6790" i="44"/>
  <c r="R6791" i="44"/>
  <c r="R6792" i="44"/>
  <c r="R6793" i="44"/>
  <c r="R6794" i="44"/>
  <c r="R6795" i="44"/>
  <c r="R6796" i="44"/>
  <c r="R6797" i="44"/>
  <c r="R6798" i="44"/>
  <c r="R6799" i="44"/>
  <c r="R6800" i="44"/>
  <c r="R6801" i="44"/>
  <c r="R6802" i="44"/>
  <c r="R6803" i="44"/>
  <c r="R6804" i="44"/>
  <c r="R6805" i="44"/>
  <c r="R6806" i="44"/>
  <c r="R6807" i="44"/>
  <c r="R6808" i="44"/>
  <c r="R6809" i="44"/>
  <c r="R6810" i="44"/>
  <c r="R6811" i="44"/>
  <c r="R6812" i="44"/>
  <c r="R6813" i="44"/>
  <c r="R6814" i="44"/>
  <c r="R6815" i="44"/>
  <c r="R6816" i="44"/>
  <c r="R6817" i="44"/>
  <c r="R6818" i="44"/>
  <c r="R6819" i="44"/>
  <c r="R6820" i="44"/>
  <c r="R6821" i="44"/>
  <c r="R6822" i="44"/>
  <c r="R6823" i="44"/>
  <c r="R6824" i="44"/>
  <c r="R6825" i="44"/>
  <c r="R6826" i="44"/>
  <c r="R6827" i="44"/>
  <c r="R6828" i="44"/>
  <c r="R6829" i="44"/>
  <c r="R6830" i="44"/>
  <c r="R6831" i="44"/>
  <c r="R6832" i="44"/>
  <c r="R6833" i="44"/>
  <c r="R6834" i="44"/>
  <c r="R6835" i="44"/>
  <c r="R6836" i="44"/>
  <c r="R6837" i="44"/>
  <c r="R6838" i="44"/>
  <c r="R6839" i="44"/>
  <c r="R6840" i="44"/>
  <c r="R6841" i="44"/>
  <c r="R6842" i="44"/>
  <c r="R6843" i="44"/>
  <c r="R6844" i="44"/>
  <c r="R6845" i="44"/>
  <c r="R6846" i="44"/>
  <c r="R6847" i="44"/>
  <c r="R6848" i="44"/>
  <c r="R6849" i="44"/>
  <c r="R6850" i="44"/>
  <c r="R6851" i="44"/>
  <c r="R6852" i="44"/>
  <c r="R6853" i="44"/>
  <c r="R6854" i="44"/>
  <c r="R6855" i="44"/>
  <c r="R6856" i="44"/>
  <c r="R6857" i="44"/>
  <c r="R6858" i="44"/>
  <c r="R6859" i="44"/>
  <c r="R6860" i="44"/>
  <c r="R6861" i="44"/>
  <c r="R6862" i="44"/>
  <c r="R6863" i="44"/>
  <c r="R6864" i="44"/>
  <c r="R6865" i="44"/>
  <c r="R6866" i="44"/>
  <c r="R6867" i="44"/>
  <c r="R6868" i="44"/>
  <c r="R6869" i="44"/>
  <c r="R6870" i="44"/>
  <c r="R6871" i="44"/>
  <c r="R6872" i="44"/>
  <c r="R6873" i="44"/>
  <c r="R6874" i="44"/>
  <c r="R6875" i="44"/>
  <c r="R6876" i="44"/>
  <c r="R6877" i="44"/>
  <c r="R6878" i="44"/>
  <c r="R6879" i="44"/>
  <c r="R6880" i="44"/>
  <c r="R6881" i="44"/>
  <c r="R6882" i="44"/>
  <c r="R6883" i="44"/>
  <c r="R6884" i="44"/>
  <c r="R6885" i="44"/>
  <c r="R6886" i="44"/>
  <c r="R6887" i="44"/>
  <c r="R6888" i="44"/>
  <c r="R6889" i="44"/>
  <c r="R6890" i="44"/>
  <c r="R6891" i="44"/>
  <c r="R6892" i="44"/>
  <c r="R6893" i="44"/>
  <c r="R6894" i="44"/>
  <c r="R6895" i="44"/>
  <c r="R6896" i="44"/>
  <c r="R6897" i="44"/>
  <c r="R6898" i="44"/>
  <c r="R6899" i="44"/>
  <c r="R6900" i="44"/>
  <c r="R6901" i="44"/>
  <c r="R6902" i="44"/>
  <c r="R6903" i="44"/>
  <c r="R6904" i="44"/>
  <c r="R6905" i="44"/>
  <c r="R6906" i="44"/>
  <c r="R6907" i="44"/>
  <c r="R6908" i="44"/>
  <c r="R6909" i="44"/>
  <c r="R6910" i="44"/>
  <c r="R6911" i="44"/>
  <c r="R6912" i="44"/>
  <c r="R6913" i="44"/>
  <c r="R6914" i="44"/>
  <c r="R6915" i="44"/>
  <c r="R6916" i="44"/>
  <c r="R6917" i="44"/>
  <c r="R6918" i="44"/>
  <c r="R6919" i="44"/>
  <c r="R6920" i="44"/>
  <c r="R6921" i="44"/>
  <c r="R6922" i="44"/>
  <c r="R6923" i="44"/>
  <c r="R6924" i="44"/>
  <c r="R6925" i="44"/>
  <c r="R6926" i="44"/>
  <c r="R6927" i="44"/>
  <c r="R6928" i="44"/>
  <c r="R6929" i="44"/>
  <c r="R6930" i="44"/>
  <c r="R6931" i="44"/>
  <c r="R6932" i="44"/>
  <c r="R6933" i="44"/>
  <c r="R6934" i="44"/>
  <c r="R6935" i="44"/>
  <c r="R6936" i="44"/>
  <c r="R6937" i="44"/>
  <c r="R6938" i="44"/>
  <c r="R6939" i="44"/>
  <c r="R6940" i="44"/>
  <c r="R6941" i="44"/>
  <c r="R6942" i="44"/>
  <c r="R6943" i="44"/>
  <c r="R6944" i="44"/>
  <c r="R6945" i="44"/>
  <c r="R6946" i="44"/>
  <c r="R6947" i="44"/>
  <c r="R6948" i="44"/>
  <c r="R6949" i="44"/>
  <c r="R6950" i="44"/>
  <c r="R6951" i="44"/>
  <c r="R6952" i="44"/>
  <c r="R6953" i="44"/>
  <c r="R6954" i="44"/>
  <c r="R6955" i="44"/>
  <c r="R6956" i="44"/>
  <c r="R6957" i="44"/>
  <c r="R6958" i="44"/>
  <c r="R6959" i="44"/>
  <c r="R6960" i="44"/>
  <c r="R6961" i="44"/>
  <c r="R6962" i="44"/>
  <c r="R6963" i="44"/>
  <c r="R6964" i="44"/>
  <c r="R6965" i="44"/>
  <c r="R6966" i="44"/>
  <c r="R6967" i="44"/>
  <c r="R6968" i="44"/>
  <c r="R6969" i="44"/>
  <c r="R6970" i="44"/>
  <c r="R6971" i="44"/>
  <c r="R6972" i="44"/>
  <c r="R6973" i="44"/>
  <c r="R6974" i="44"/>
  <c r="R6975" i="44"/>
  <c r="R6976" i="44"/>
  <c r="R6977" i="44"/>
  <c r="R6978" i="44"/>
  <c r="R6979" i="44"/>
  <c r="R6980" i="44"/>
  <c r="R6981" i="44"/>
  <c r="R6982" i="44"/>
  <c r="R6983" i="44"/>
  <c r="R6984" i="44"/>
  <c r="R6985" i="44"/>
  <c r="R6986" i="44"/>
  <c r="R6987" i="44"/>
  <c r="R6988" i="44"/>
  <c r="R6989" i="44"/>
  <c r="R6990" i="44"/>
  <c r="R6991" i="44"/>
  <c r="R6992" i="44"/>
  <c r="R6993" i="44"/>
  <c r="R6994" i="44"/>
  <c r="R6995" i="44"/>
  <c r="R6996" i="44"/>
  <c r="R6997" i="44"/>
  <c r="R6998" i="44"/>
  <c r="R6999" i="44"/>
  <c r="R7000" i="44"/>
  <c r="R7001" i="44"/>
  <c r="R7002" i="44"/>
  <c r="R7003" i="44"/>
  <c r="R7004" i="44"/>
  <c r="R7005" i="44"/>
  <c r="R7006" i="44"/>
  <c r="R7007" i="44"/>
  <c r="R7008" i="44"/>
  <c r="R7009" i="44"/>
  <c r="R7010" i="44"/>
  <c r="R7011" i="44"/>
  <c r="R7012" i="44"/>
  <c r="R7013" i="44"/>
  <c r="R7014" i="44"/>
  <c r="R7015" i="44"/>
  <c r="R7016" i="44"/>
  <c r="R7017" i="44"/>
  <c r="R4018" i="44"/>
  <c r="R4019" i="44"/>
  <c r="R4020" i="44"/>
  <c r="R4021" i="44"/>
  <c r="R4022" i="44"/>
  <c r="R4023" i="44"/>
  <c r="R4024" i="44"/>
  <c r="R4025" i="44"/>
  <c r="R4026" i="44"/>
  <c r="R4027" i="44"/>
  <c r="R4028" i="44"/>
  <c r="R4029" i="44"/>
  <c r="R4030" i="44"/>
  <c r="R4031" i="44"/>
  <c r="R4032" i="44"/>
  <c r="R4033" i="44"/>
  <c r="R4034" i="44"/>
  <c r="R4035" i="44"/>
  <c r="R4036" i="44"/>
  <c r="R4037" i="44"/>
  <c r="R4038" i="44"/>
  <c r="R4039" i="44"/>
  <c r="R4040" i="44"/>
  <c r="R4041" i="44"/>
  <c r="R4042" i="44"/>
  <c r="R4043" i="44"/>
  <c r="R4044" i="44"/>
  <c r="R4045" i="44"/>
  <c r="R4046" i="44"/>
  <c r="R4047" i="44"/>
  <c r="R4048" i="44"/>
  <c r="R4049" i="44"/>
  <c r="R4050" i="44"/>
  <c r="R4051" i="44"/>
  <c r="R4052" i="44"/>
  <c r="R4053" i="44"/>
  <c r="R4054" i="44"/>
  <c r="R4055" i="44"/>
  <c r="R4056" i="44"/>
  <c r="R4057" i="44"/>
  <c r="R4058" i="44"/>
  <c r="R4059" i="44"/>
  <c r="R4060" i="44"/>
  <c r="R4061" i="44"/>
  <c r="R4062" i="44"/>
  <c r="R4063" i="44"/>
  <c r="R4064" i="44"/>
  <c r="R4065" i="44"/>
  <c r="R4066" i="44"/>
  <c r="R4067" i="44"/>
  <c r="R4068" i="44"/>
  <c r="R4069" i="44"/>
  <c r="R4070" i="44"/>
  <c r="R4071" i="44"/>
  <c r="R4072" i="44"/>
  <c r="R4073" i="44"/>
  <c r="R4074" i="44"/>
  <c r="R4075" i="44"/>
  <c r="R4076" i="44"/>
  <c r="R4077" i="44"/>
  <c r="R4078" i="44"/>
  <c r="R4079" i="44"/>
  <c r="R4080" i="44"/>
  <c r="R4081" i="44"/>
  <c r="R4082" i="44"/>
  <c r="R4083" i="44"/>
  <c r="R4084" i="44"/>
  <c r="R4085" i="44"/>
  <c r="R4086" i="44"/>
  <c r="R4087" i="44"/>
  <c r="R4088" i="44"/>
  <c r="R4089" i="44"/>
  <c r="R4090" i="44"/>
  <c r="R4091" i="44"/>
  <c r="R4092" i="44"/>
  <c r="R4093" i="44"/>
  <c r="R4094" i="44"/>
  <c r="R4095" i="44"/>
  <c r="R4096" i="44"/>
  <c r="R4097" i="44"/>
  <c r="R4098" i="44"/>
  <c r="R4099" i="44"/>
  <c r="R4100" i="44"/>
  <c r="R4101" i="44"/>
  <c r="R4102" i="44"/>
  <c r="R4103" i="44"/>
  <c r="R4104" i="44"/>
  <c r="R4105" i="44"/>
  <c r="R4106" i="44"/>
  <c r="R4107" i="44"/>
  <c r="R4108" i="44"/>
  <c r="R4109" i="44"/>
  <c r="R4110" i="44"/>
  <c r="R4111" i="44"/>
  <c r="R4112" i="44"/>
  <c r="R4113" i="44"/>
  <c r="R4114" i="44"/>
  <c r="R4115" i="44"/>
  <c r="R4116" i="44"/>
  <c r="R4117" i="44"/>
  <c r="R4118" i="44"/>
  <c r="R4119" i="44"/>
  <c r="R4120" i="44"/>
  <c r="R4121" i="44"/>
  <c r="R4122" i="44"/>
  <c r="R4123" i="44"/>
  <c r="R4124" i="44"/>
  <c r="R4125" i="44"/>
  <c r="R4126" i="44"/>
  <c r="R4127" i="44"/>
  <c r="R4128" i="44"/>
  <c r="R4129" i="44"/>
  <c r="R4130" i="44"/>
  <c r="R4131" i="44"/>
  <c r="R4132" i="44"/>
  <c r="R4133" i="44"/>
  <c r="R4134" i="44"/>
  <c r="R4135" i="44"/>
  <c r="R4136" i="44"/>
  <c r="R4137" i="44"/>
  <c r="R4138" i="44"/>
  <c r="R4139" i="44"/>
  <c r="R4140" i="44"/>
  <c r="R4141" i="44"/>
  <c r="R4142" i="44"/>
  <c r="R4143" i="44"/>
  <c r="R4144" i="44"/>
  <c r="R4145" i="44"/>
  <c r="R4146" i="44"/>
  <c r="R4147" i="44"/>
  <c r="R4148" i="44"/>
  <c r="R4149" i="44"/>
  <c r="R4150" i="44"/>
  <c r="R4151" i="44"/>
  <c r="R4152" i="44"/>
  <c r="R4153" i="44"/>
  <c r="R4154" i="44"/>
  <c r="R4155" i="44"/>
  <c r="R4156" i="44"/>
  <c r="R4157" i="44"/>
  <c r="R4158" i="44"/>
  <c r="R4159" i="44"/>
  <c r="R4160" i="44"/>
  <c r="R4161" i="44"/>
  <c r="R4162" i="44"/>
  <c r="R4163" i="44"/>
  <c r="R4164" i="44"/>
  <c r="R4165" i="44"/>
  <c r="R4166" i="44"/>
  <c r="R4167" i="44"/>
  <c r="R4168" i="44"/>
  <c r="R4169" i="44"/>
  <c r="R4170" i="44"/>
  <c r="R4171" i="44"/>
  <c r="R4172" i="44"/>
  <c r="R4173" i="44"/>
  <c r="R4174" i="44"/>
  <c r="R4175" i="44"/>
  <c r="R4176" i="44"/>
  <c r="R4177" i="44"/>
  <c r="R4178" i="44"/>
  <c r="R4179" i="44"/>
  <c r="R4180" i="44"/>
  <c r="R4181" i="44"/>
  <c r="R4182" i="44"/>
  <c r="R4183" i="44"/>
  <c r="R4184" i="44"/>
  <c r="R4185" i="44"/>
  <c r="R4186" i="44"/>
  <c r="R4187" i="44"/>
  <c r="R4188" i="44"/>
  <c r="R4189" i="44"/>
  <c r="R4190" i="44"/>
  <c r="R4191" i="44"/>
  <c r="R4192" i="44"/>
  <c r="R4193" i="44"/>
  <c r="R4194" i="44"/>
  <c r="R4195" i="44"/>
  <c r="R4196" i="44"/>
  <c r="R4197" i="44"/>
  <c r="R4198" i="44"/>
  <c r="R4199" i="44"/>
  <c r="R4200" i="44"/>
  <c r="R4201" i="44"/>
  <c r="R4202" i="44"/>
  <c r="R4203" i="44"/>
  <c r="R4204" i="44"/>
  <c r="R4205" i="44"/>
  <c r="R4206" i="44"/>
  <c r="R4207" i="44"/>
  <c r="R4208" i="44"/>
  <c r="R4209" i="44"/>
  <c r="R4210" i="44"/>
  <c r="R4211" i="44"/>
  <c r="R4212" i="44"/>
  <c r="R4213" i="44"/>
  <c r="R4214" i="44"/>
  <c r="R4215" i="44"/>
  <c r="R4216" i="44"/>
  <c r="R4217" i="44"/>
  <c r="R4218" i="44"/>
  <c r="R4219" i="44"/>
  <c r="R4220" i="44"/>
  <c r="R4221" i="44"/>
  <c r="R4222" i="44"/>
  <c r="R4223" i="44"/>
  <c r="R4224" i="44"/>
  <c r="R4225" i="44"/>
  <c r="R4226" i="44"/>
  <c r="R4227" i="44"/>
  <c r="R4228" i="44"/>
  <c r="R4229" i="44"/>
  <c r="R4230" i="44"/>
  <c r="R4231" i="44"/>
  <c r="R4232" i="44"/>
  <c r="R4233" i="44"/>
  <c r="R4234" i="44"/>
  <c r="R4235" i="44"/>
  <c r="R4236" i="44"/>
  <c r="R4237" i="44"/>
  <c r="R4238" i="44"/>
  <c r="R4239" i="44"/>
  <c r="R4240" i="44"/>
  <c r="R4241" i="44"/>
  <c r="R4242" i="44"/>
  <c r="R4243" i="44"/>
  <c r="R4244" i="44"/>
  <c r="R4245" i="44"/>
  <c r="R4246" i="44"/>
  <c r="R4247" i="44"/>
  <c r="R4248" i="44"/>
  <c r="R4249" i="44"/>
  <c r="R4250" i="44"/>
  <c r="R4251" i="44"/>
  <c r="R4252" i="44"/>
  <c r="R4253" i="44"/>
  <c r="R4254" i="44"/>
  <c r="R4255" i="44"/>
  <c r="R4256" i="44"/>
  <c r="R4257" i="44"/>
  <c r="R4258" i="44"/>
  <c r="R4259" i="44"/>
  <c r="R4260" i="44"/>
  <c r="R4261" i="44"/>
  <c r="R4262" i="44"/>
  <c r="R4263" i="44"/>
  <c r="R4264" i="44"/>
  <c r="R4265" i="44"/>
  <c r="R4266" i="44"/>
  <c r="R4267" i="44"/>
  <c r="R4268" i="44"/>
  <c r="R4269" i="44"/>
  <c r="R4270" i="44"/>
  <c r="R4271" i="44"/>
  <c r="R4272" i="44"/>
  <c r="R4273" i="44"/>
  <c r="R4274" i="44"/>
  <c r="R4275" i="44"/>
  <c r="R4276" i="44"/>
  <c r="R4277" i="44"/>
  <c r="R4278" i="44"/>
  <c r="R4279" i="44"/>
  <c r="R4280" i="44"/>
  <c r="R4281" i="44"/>
  <c r="R4282" i="44"/>
  <c r="R4283" i="44"/>
  <c r="R4284" i="44"/>
  <c r="R4285" i="44"/>
  <c r="R4286" i="44"/>
  <c r="R4287" i="44"/>
  <c r="R4288" i="44"/>
  <c r="R4289" i="44"/>
  <c r="R4290" i="44"/>
  <c r="R4291" i="44"/>
  <c r="R4292" i="44"/>
  <c r="R4293" i="44"/>
  <c r="R4294" i="44"/>
  <c r="R4295" i="44"/>
  <c r="R4296" i="44"/>
  <c r="R4297" i="44"/>
  <c r="R4298" i="44"/>
  <c r="R4299" i="44"/>
  <c r="R4300" i="44"/>
  <c r="R4301" i="44"/>
  <c r="R4302" i="44"/>
  <c r="R4303" i="44"/>
  <c r="R4304" i="44"/>
  <c r="R4305" i="44"/>
  <c r="R4306" i="44"/>
  <c r="R4307" i="44"/>
  <c r="R4308" i="44"/>
  <c r="R4309" i="44"/>
  <c r="R4310" i="44"/>
  <c r="R4311" i="44"/>
  <c r="R4312" i="44"/>
  <c r="R4313" i="44"/>
  <c r="R4314" i="44"/>
  <c r="R4315" i="44"/>
  <c r="R4316" i="44"/>
  <c r="R4317" i="44"/>
  <c r="R4318" i="44"/>
  <c r="R4319" i="44"/>
  <c r="R4320" i="44"/>
  <c r="R4321" i="44"/>
  <c r="R4322" i="44"/>
  <c r="R4323" i="44"/>
  <c r="R4324" i="44"/>
  <c r="R4325" i="44"/>
  <c r="R4326" i="44"/>
  <c r="R4327" i="44"/>
  <c r="R4328" i="44"/>
  <c r="R4329" i="44"/>
  <c r="R4330" i="44"/>
  <c r="R4331" i="44"/>
  <c r="R4332" i="44"/>
  <c r="R4333" i="44"/>
  <c r="R4334" i="44"/>
  <c r="R4335" i="44"/>
  <c r="R4336" i="44"/>
  <c r="R4337" i="44"/>
  <c r="R4338" i="44"/>
  <c r="R4339" i="44"/>
  <c r="R4340" i="44"/>
  <c r="R4341" i="44"/>
  <c r="R4342" i="44"/>
  <c r="R4343" i="44"/>
  <c r="R4344" i="44"/>
  <c r="R4345" i="44"/>
  <c r="R4346" i="44"/>
  <c r="R4347" i="44"/>
  <c r="R4348" i="44"/>
  <c r="R4349" i="44"/>
  <c r="R4350" i="44"/>
  <c r="R4351" i="44"/>
  <c r="R4352" i="44"/>
  <c r="R4353" i="44"/>
  <c r="R4354" i="44"/>
  <c r="R4355" i="44"/>
  <c r="R4356" i="44"/>
  <c r="R4357" i="44"/>
  <c r="R4358" i="44"/>
  <c r="R4359" i="44"/>
  <c r="R4360" i="44"/>
  <c r="R4361" i="44"/>
  <c r="R4362" i="44"/>
  <c r="R4363" i="44"/>
  <c r="R4364" i="44"/>
  <c r="R4365" i="44"/>
  <c r="R4366" i="44"/>
  <c r="R4367" i="44"/>
  <c r="R4368" i="44"/>
  <c r="R4369" i="44"/>
  <c r="R4370" i="44"/>
  <c r="R4371" i="44"/>
  <c r="R4372" i="44"/>
  <c r="R4373" i="44"/>
  <c r="R4374" i="44"/>
  <c r="R4375" i="44"/>
  <c r="R4376" i="44"/>
  <c r="R4377" i="44"/>
  <c r="R4378" i="44"/>
  <c r="R4379" i="44"/>
  <c r="R4380" i="44"/>
  <c r="R4381" i="44"/>
  <c r="R4382" i="44"/>
  <c r="R4383" i="44"/>
  <c r="R4384" i="44"/>
  <c r="R4385" i="44"/>
  <c r="R4386" i="44"/>
  <c r="R4387" i="44"/>
  <c r="R4388" i="44"/>
  <c r="R4389" i="44"/>
  <c r="R4390" i="44"/>
  <c r="R4391" i="44"/>
  <c r="R4392" i="44"/>
  <c r="R4393" i="44"/>
  <c r="R4394" i="44"/>
  <c r="R4395" i="44"/>
  <c r="R4396" i="44"/>
  <c r="R4397" i="44"/>
  <c r="R4398" i="44"/>
  <c r="R4399" i="44"/>
  <c r="R4400" i="44"/>
  <c r="R4401" i="44"/>
  <c r="R4402" i="44"/>
  <c r="R4403" i="44"/>
  <c r="R4404" i="44"/>
  <c r="R4405" i="44"/>
  <c r="R4406" i="44"/>
  <c r="R4407" i="44"/>
  <c r="R4408" i="44"/>
  <c r="R4409" i="44"/>
  <c r="R4410" i="44"/>
  <c r="R4411" i="44"/>
  <c r="R4412" i="44"/>
  <c r="R4413" i="44"/>
  <c r="R4414" i="44"/>
  <c r="R4415" i="44"/>
  <c r="R4416" i="44"/>
  <c r="R4417" i="44"/>
  <c r="R4418" i="44"/>
  <c r="R4419" i="44"/>
  <c r="R4420" i="44"/>
  <c r="R4421" i="44"/>
  <c r="R4422" i="44"/>
  <c r="R4423" i="44"/>
  <c r="R4424" i="44"/>
  <c r="R4425" i="44"/>
  <c r="R4426" i="44"/>
  <c r="R4427" i="44"/>
  <c r="R4428" i="44"/>
  <c r="R4429" i="44"/>
  <c r="R4430" i="44"/>
  <c r="R4431" i="44"/>
  <c r="R4432" i="44"/>
  <c r="R4433" i="44"/>
  <c r="R4434" i="44"/>
  <c r="R4435" i="44"/>
  <c r="R4436" i="44"/>
  <c r="R4437" i="44"/>
  <c r="R4438" i="44"/>
  <c r="R4439" i="44"/>
  <c r="R4440" i="44"/>
  <c r="R4441" i="44"/>
  <c r="R4442" i="44"/>
  <c r="R4443" i="44"/>
  <c r="R4444" i="44"/>
  <c r="R4445" i="44"/>
  <c r="R4446" i="44"/>
  <c r="R4447" i="44"/>
  <c r="R4448" i="44"/>
  <c r="R4449" i="44"/>
  <c r="R4450" i="44"/>
  <c r="R4451" i="44"/>
  <c r="R4452" i="44"/>
  <c r="R4453" i="44"/>
  <c r="R4454" i="44"/>
  <c r="R4455" i="44"/>
  <c r="R4456" i="44"/>
  <c r="R4457" i="44"/>
  <c r="R4458" i="44"/>
  <c r="R4459" i="44"/>
  <c r="R4460" i="44"/>
  <c r="R4461" i="44"/>
  <c r="R4462" i="44"/>
  <c r="R4463" i="44"/>
  <c r="R4464" i="44"/>
  <c r="R4465" i="44"/>
  <c r="R4466" i="44"/>
  <c r="R4467" i="44"/>
  <c r="R4468" i="44"/>
  <c r="R4469" i="44"/>
  <c r="R4470" i="44"/>
  <c r="R4471" i="44"/>
  <c r="R4472" i="44"/>
  <c r="R4473" i="44"/>
  <c r="R4474" i="44"/>
  <c r="R4475" i="44"/>
  <c r="R4476" i="44"/>
  <c r="R4477" i="44"/>
  <c r="R4478" i="44"/>
  <c r="R4479" i="44"/>
  <c r="R4480" i="44"/>
  <c r="R4481" i="44"/>
  <c r="R4482" i="44"/>
  <c r="R4483" i="44"/>
  <c r="R4484" i="44"/>
  <c r="R4485" i="44"/>
  <c r="R4486" i="44"/>
  <c r="R4487" i="44"/>
  <c r="R4488" i="44"/>
  <c r="R4489" i="44"/>
  <c r="R4490" i="44"/>
  <c r="R4491" i="44"/>
  <c r="R4492" i="44"/>
  <c r="R4493" i="44"/>
  <c r="R4494" i="44"/>
  <c r="R4495" i="44"/>
  <c r="R4496" i="44"/>
  <c r="R4497" i="44"/>
  <c r="R4498" i="44"/>
  <c r="R4499" i="44"/>
  <c r="R4500" i="44"/>
  <c r="R4501" i="44"/>
  <c r="R4502" i="44"/>
  <c r="R4503" i="44"/>
  <c r="R4504" i="44"/>
  <c r="R4505" i="44"/>
  <c r="R4506" i="44"/>
  <c r="R4507" i="44"/>
  <c r="R4508" i="44"/>
  <c r="R4509" i="44"/>
  <c r="R4510" i="44"/>
  <c r="R4511" i="44"/>
  <c r="R4512" i="44"/>
  <c r="R4513" i="44"/>
  <c r="R4514" i="44"/>
  <c r="R4515" i="44"/>
  <c r="R4516" i="44"/>
  <c r="R4517" i="44"/>
  <c r="R4518" i="44"/>
  <c r="R4519" i="44"/>
  <c r="R4520" i="44"/>
  <c r="R4521" i="44"/>
  <c r="R4522" i="44"/>
  <c r="R4523" i="44"/>
  <c r="R4524" i="44"/>
  <c r="R4525" i="44"/>
  <c r="R4526" i="44"/>
  <c r="R4527" i="44"/>
  <c r="R4528" i="44"/>
  <c r="R4529" i="44"/>
  <c r="R4530" i="44"/>
  <c r="R4531" i="44"/>
  <c r="R4532" i="44"/>
  <c r="R4533" i="44"/>
  <c r="R4534" i="44"/>
  <c r="R4535" i="44"/>
  <c r="R4536" i="44"/>
  <c r="R4537" i="44"/>
  <c r="R4538" i="44"/>
  <c r="R4539" i="44"/>
  <c r="R4540" i="44"/>
  <c r="R4541" i="44"/>
  <c r="R4542" i="44"/>
  <c r="R4543" i="44"/>
  <c r="R4544" i="44"/>
  <c r="R4545" i="44"/>
  <c r="R4546" i="44"/>
  <c r="R4547" i="44"/>
  <c r="R4548" i="44"/>
  <c r="R4549" i="44"/>
  <c r="R4550" i="44"/>
  <c r="R4551" i="44"/>
  <c r="R4552" i="44"/>
  <c r="R4553" i="44"/>
  <c r="R4554" i="44"/>
  <c r="R4555" i="44"/>
  <c r="R4556" i="44"/>
  <c r="R4557" i="44"/>
  <c r="R4558" i="44"/>
  <c r="R4559" i="44"/>
  <c r="R4560" i="44"/>
  <c r="R4561" i="44"/>
  <c r="R4562" i="44"/>
  <c r="R4563" i="44"/>
  <c r="R4564" i="44"/>
  <c r="R4565" i="44"/>
  <c r="R4566" i="44"/>
  <c r="R4567" i="44"/>
  <c r="R4568" i="44"/>
  <c r="R4569" i="44"/>
  <c r="R4570" i="44"/>
  <c r="R4571" i="44"/>
  <c r="R4572" i="44"/>
  <c r="R4573" i="44"/>
  <c r="R4574" i="44"/>
  <c r="R4575" i="44"/>
  <c r="R4576" i="44"/>
  <c r="R4577" i="44"/>
  <c r="R4578" i="44"/>
  <c r="R4579" i="44"/>
  <c r="R4580" i="44"/>
  <c r="R4581" i="44"/>
  <c r="R4582" i="44"/>
  <c r="R4583" i="44"/>
  <c r="R4584" i="44"/>
  <c r="R4585" i="44"/>
  <c r="R4586" i="44"/>
  <c r="R4587" i="44"/>
  <c r="R4588" i="44"/>
  <c r="R4589" i="44"/>
  <c r="R4590" i="44"/>
  <c r="R4591" i="44"/>
  <c r="R4592" i="44"/>
  <c r="R4593" i="44"/>
  <c r="R4594" i="44"/>
  <c r="R4595" i="44"/>
  <c r="R4596" i="44"/>
  <c r="R4597" i="44"/>
  <c r="R4598" i="44"/>
  <c r="R4599" i="44"/>
  <c r="R4600" i="44"/>
  <c r="R4601" i="44"/>
  <c r="R4602" i="44"/>
  <c r="R4603" i="44"/>
  <c r="R4604" i="44"/>
  <c r="R4605" i="44"/>
  <c r="R4606" i="44"/>
  <c r="R4607" i="44"/>
  <c r="R4608" i="44"/>
  <c r="R4609" i="44"/>
  <c r="R4610" i="44"/>
  <c r="R4611" i="44"/>
  <c r="R4612" i="44"/>
  <c r="R4613" i="44"/>
  <c r="R4614" i="44"/>
  <c r="R4615" i="44"/>
  <c r="R4616" i="44"/>
  <c r="R4617" i="44"/>
  <c r="R4618" i="44"/>
  <c r="R4619" i="44"/>
  <c r="R4620" i="44"/>
  <c r="R4621" i="44"/>
  <c r="R4622" i="44"/>
  <c r="R4623" i="44"/>
  <c r="R4624" i="44"/>
  <c r="R4625" i="44"/>
  <c r="R4626" i="44"/>
  <c r="R4627" i="44"/>
  <c r="R4628" i="44"/>
  <c r="R4629" i="44"/>
  <c r="R4630" i="44"/>
  <c r="R4631" i="44"/>
  <c r="R4632" i="44"/>
  <c r="R4633" i="44"/>
  <c r="R4634" i="44"/>
  <c r="R4635" i="44"/>
  <c r="R4636" i="44"/>
  <c r="R4637" i="44"/>
  <c r="R4638" i="44"/>
  <c r="R4639" i="44"/>
  <c r="R4640" i="44"/>
  <c r="R4641" i="44"/>
  <c r="R4642" i="44"/>
  <c r="R4643" i="44"/>
  <c r="R4644" i="44"/>
  <c r="R4645" i="44"/>
  <c r="R4646" i="44"/>
  <c r="R4647" i="44"/>
  <c r="R4648" i="44"/>
  <c r="R4649" i="44"/>
  <c r="R4650" i="44"/>
  <c r="R4651" i="44"/>
  <c r="R4652" i="44"/>
  <c r="R4653" i="44"/>
  <c r="R4654" i="44"/>
  <c r="R4655" i="44"/>
  <c r="R4656" i="44"/>
  <c r="R4657" i="44"/>
  <c r="R4658" i="44"/>
  <c r="R4659" i="44"/>
  <c r="R4660" i="44"/>
  <c r="R4661" i="44"/>
  <c r="R4662" i="44"/>
  <c r="R4663" i="44"/>
  <c r="R4664" i="44"/>
  <c r="R4665" i="44"/>
  <c r="R4666" i="44"/>
  <c r="R4667" i="44"/>
  <c r="R4668" i="44"/>
  <c r="R4669" i="44"/>
  <c r="R4670" i="44"/>
  <c r="R4671" i="44"/>
  <c r="R4672" i="44"/>
  <c r="R4673" i="44"/>
  <c r="R4674" i="44"/>
  <c r="R4675" i="44"/>
  <c r="R4676" i="44"/>
  <c r="R4677" i="44"/>
  <c r="R4678" i="44"/>
  <c r="R4679" i="44"/>
  <c r="R4680" i="44"/>
  <c r="R4681" i="44"/>
  <c r="R4682" i="44"/>
  <c r="R4683" i="44"/>
  <c r="R4684" i="44"/>
  <c r="R4685" i="44"/>
  <c r="R4686" i="44"/>
  <c r="R4687" i="44"/>
  <c r="R4688" i="44"/>
  <c r="R4689" i="44"/>
  <c r="R4690" i="44"/>
  <c r="R4691" i="44"/>
  <c r="R4692" i="44"/>
  <c r="R4693" i="44"/>
  <c r="R4694" i="44"/>
  <c r="R4695" i="44"/>
  <c r="R4696" i="44"/>
  <c r="R4697" i="44"/>
  <c r="R4698" i="44"/>
  <c r="R4699" i="44"/>
  <c r="R4700" i="44"/>
  <c r="R4701" i="44"/>
  <c r="R4702" i="44"/>
  <c r="R4703" i="44"/>
  <c r="R4704" i="44"/>
  <c r="R4705" i="44"/>
  <c r="R4706" i="44"/>
  <c r="R4707" i="44"/>
  <c r="R4708" i="44"/>
  <c r="R4709" i="44"/>
  <c r="R4710" i="44"/>
  <c r="R4711" i="44"/>
  <c r="R4712" i="44"/>
  <c r="R4713" i="44"/>
  <c r="R4714" i="44"/>
  <c r="R4715" i="44"/>
  <c r="R4716" i="44"/>
  <c r="R4717" i="44"/>
  <c r="R4718" i="44"/>
  <c r="R4719" i="44"/>
  <c r="R4720" i="44"/>
  <c r="R4721" i="44"/>
  <c r="R4722" i="44"/>
  <c r="R4723" i="44"/>
  <c r="R4724" i="44"/>
  <c r="R4725" i="44"/>
  <c r="R4726" i="44"/>
  <c r="R4727" i="44"/>
  <c r="R4728" i="44"/>
  <c r="R4729" i="44"/>
  <c r="R4730" i="44"/>
  <c r="R4731" i="44"/>
  <c r="R4732" i="44"/>
  <c r="R4733" i="44"/>
  <c r="R4734" i="44"/>
  <c r="R4735" i="44"/>
  <c r="R4736" i="44"/>
  <c r="R4737" i="44"/>
  <c r="R4738" i="44"/>
  <c r="R4739" i="44"/>
  <c r="R4740" i="44"/>
  <c r="R4741" i="44"/>
  <c r="R4742" i="44"/>
  <c r="R4743" i="44"/>
  <c r="R4744" i="44"/>
  <c r="R4745" i="44"/>
  <c r="R4746" i="44"/>
  <c r="R4747" i="44"/>
  <c r="R4748" i="44"/>
  <c r="R4749" i="44"/>
  <c r="R4750" i="44"/>
  <c r="R4751" i="44"/>
  <c r="R4752" i="44"/>
  <c r="R4753" i="44"/>
  <c r="R4754" i="44"/>
  <c r="R4755" i="44"/>
  <c r="R4756" i="44"/>
  <c r="R4757" i="44"/>
  <c r="R4758" i="44"/>
  <c r="R4759" i="44"/>
  <c r="R4760" i="44"/>
  <c r="R4761" i="44"/>
  <c r="R4762" i="44"/>
  <c r="R4763" i="44"/>
  <c r="R4764" i="44"/>
  <c r="R4765" i="44"/>
  <c r="R4766" i="44"/>
  <c r="R4767" i="44"/>
  <c r="R4768" i="44"/>
  <c r="R4769" i="44"/>
  <c r="R4770" i="44"/>
  <c r="R4771" i="44"/>
  <c r="R4772" i="44"/>
  <c r="R4773" i="44"/>
  <c r="R4774" i="44"/>
  <c r="R4775" i="44"/>
  <c r="R4776" i="44"/>
  <c r="R4777" i="44"/>
  <c r="R4778" i="44"/>
  <c r="R4779" i="44"/>
  <c r="R4780" i="44"/>
  <c r="R4781" i="44"/>
  <c r="R4782" i="44"/>
  <c r="R4783" i="44"/>
  <c r="R4784" i="44"/>
  <c r="R4785" i="44"/>
  <c r="R4786" i="44"/>
  <c r="R4787" i="44"/>
  <c r="R4788" i="44"/>
  <c r="R4789" i="44"/>
  <c r="R4790" i="44"/>
  <c r="R4791" i="44"/>
  <c r="R4792" i="44"/>
  <c r="R4793" i="44"/>
  <c r="R4794" i="44"/>
  <c r="R4795" i="44"/>
  <c r="R4796" i="44"/>
  <c r="R4797" i="44"/>
  <c r="R4798" i="44"/>
  <c r="R4799" i="44"/>
  <c r="R4800" i="44"/>
  <c r="R4801" i="44"/>
  <c r="R4802" i="44"/>
  <c r="R4803" i="44"/>
  <c r="R4804" i="44"/>
  <c r="R4805" i="44"/>
  <c r="R4806" i="44"/>
  <c r="R4807" i="44"/>
  <c r="R4808" i="44"/>
  <c r="R4809" i="44"/>
  <c r="R4810" i="44"/>
  <c r="R4811" i="44"/>
  <c r="R4812" i="44"/>
  <c r="R4813" i="44"/>
  <c r="R4814" i="44"/>
  <c r="R4815" i="44"/>
  <c r="R4816" i="44"/>
  <c r="R4817" i="44"/>
  <c r="R4818" i="44"/>
  <c r="R4819" i="44"/>
  <c r="R4820" i="44"/>
  <c r="R4821" i="44"/>
  <c r="R4822" i="44"/>
  <c r="R4823" i="44"/>
  <c r="R4824" i="44"/>
  <c r="R4825" i="44"/>
  <c r="R4826" i="44"/>
  <c r="R4827" i="44"/>
  <c r="R4828" i="44"/>
  <c r="R4829" i="44"/>
  <c r="R4830" i="44"/>
  <c r="R4831" i="44"/>
  <c r="R4832" i="44"/>
  <c r="R4833" i="44"/>
  <c r="R4834" i="44"/>
  <c r="R4835" i="44"/>
  <c r="R4836" i="44"/>
  <c r="R4837" i="44"/>
  <c r="R4838" i="44"/>
  <c r="R4839" i="44"/>
  <c r="R4840" i="44"/>
  <c r="R4841" i="44"/>
  <c r="R4842" i="44"/>
  <c r="R4843" i="44"/>
  <c r="R4844" i="44"/>
  <c r="R4845" i="44"/>
  <c r="R4846" i="44"/>
  <c r="R4847" i="44"/>
  <c r="R4848" i="44"/>
  <c r="R4849" i="44"/>
  <c r="R4850" i="44"/>
  <c r="R4851" i="44"/>
  <c r="R4852" i="44"/>
  <c r="R4853" i="44"/>
  <c r="R4854" i="44"/>
  <c r="R4855" i="44"/>
  <c r="R4856" i="44"/>
  <c r="R4857" i="44"/>
  <c r="R4858" i="44"/>
  <c r="R4859" i="44"/>
  <c r="R4860" i="44"/>
  <c r="R4861" i="44"/>
  <c r="R4862" i="44"/>
  <c r="R4863" i="44"/>
  <c r="R4864" i="44"/>
  <c r="R4865" i="44"/>
  <c r="R4866" i="44"/>
  <c r="R4867" i="44"/>
  <c r="R4868" i="44"/>
  <c r="R4869" i="44"/>
  <c r="R4870" i="44"/>
  <c r="R4871" i="44"/>
  <c r="R4872" i="44"/>
  <c r="R4873" i="44"/>
  <c r="R4874" i="44"/>
  <c r="R4875" i="44"/>
  <c r="R4876" i="44"/>
  <c r="R4877" i="44"/>
  <c r="R4878" i="44"/>
  <c r="R4879" i="44"/>
  <c r="R4880" i="44"/>
  <c r="R4881" i="44"/>
  <c r="R4882" i="44"/>
  <c r="R4883" i="44"/>
  <c r="R4884" i="44"/>
  <c r="R4885" i="44"/>
  <c r="R4886" i="44"/>
  <c r="R4887" i="44"/>
  <c r="R4888" i="44"/>
  <c r="R4889" i="44"/>
  <c r="R4890" i="44"/>
  <c r="R4891" i="44"/>
  <c r="R4892" i="44"/>
  <c r="R4893" i="44"/>
  <c r="R4894" i="44"/>
  <c r="R4895" i="44"/>
  <c r="R4896" i="44"/>
  <c r="R4897" i="44"/>
  <c r="R4898" i="44"/>
  <c r="R4899" i="44"/>
  <c r="R4900" i="44"/>
  <c r="R4901" i="44"/>
  <c r="R4902" i="44"/>
  <c r="R4903" i="44"/>
  <c r="R4904" i="44"/>
  <c r="R4905" i="44"/>
  <c r="R4906" i="44"/>
  <c r="R4907" i="44"/>
  <c r="R4908" i="44"/>
  <c r="R4909" i="44"/>
  <c r="R4910" i="44"/>
  <c r="R4911" i="44"/>
  <c r="R4912" i="44"/>
  <c r="R4913" i="44"/>
  <c r="R4914" i="44"/>
  <c r="R4915" i="44"/>
  <c r="R4916" i="44"/>
  <c r="R4917" i="44"/>
  <c r="R4918" i="44"/>
  <c r="R4919" i="44"/>
  <c r="R4920" i="44"/>
  <c r="R4921" i="44"/>
  <c r="R4922" i="44"/>
  <c r="R4923" i="44"/>
  <c r="R4924" i="44"/>
  <c r="R4925" i="44"/>
  <c r="R4926" i="44"/>
  <c r="R4927" i="44"/>
  <c r="R4928" i="44"/>
  <c r="R4929" i="44"/>
  <c r="R4930" i="44"/>
  <c r="R4931" i="44"/>
  <c r="R4932" i="44"/>
  <c r="R4933" i="44"/>
  <c r="R4934" i="44"/>
  <c r="R4935" i="44"/>
  <c r="R4936" i="44"/>
  <c r="R4937" i="44"/>
  <c r="R4938" i="44"/>
  <c r="R4939" i="44"/>
  <c r="R4940" i="44"/>
  <c r="R4941" i="44"/>
  <c r="R4942" i="44"/>
  <c r="R4943" i="44"/>
  <c r="R4944" i="44"/>
  <c r="R4945" i="44"/>
  <c r="R4946" i="44"/>
  <c r="R4947" i="44"/>
  <c r="R4948" i="44"/>
  <c r="R4949" i="44"/>
  <c r="R4950" i="44"/>
  <c r="R4951" i="44"/>
  <c r="R4952" i="44"/>
  <c r="R4953" i="44"/>
  <c r="R4954" i="44"/>
  <c r="R4955" i="44"/>
  <c r="R4956" i="44"/>
  <c r="R4957" i="44"/>
  <c r="R4958" i="44"/>
  <c r="R4959" i="44"/>
  <c r="R4960" i="44"/>
  <c r="R4961" i="44"/>
  <c r="R4962" i="44"/>
  <c r="R4963" i="44"/>
  <c r="R4964" i="44"/>
  <c r="R4965" i="44"/>
  <c r="R4966" i="44"/>
  <c r="R4967" i="44"/>
  <c r="R4968" i="44"/>
  <c r="R4969" i="44"/>
  <c r="R4970" i="44"/>
  <c r="R4971" i="44"/>
  <c r="R4972" i="44"/>
  <c r="R4973" i="44"/>
  <c r="R4974" i="44"/>
  <c r="R4975" i="44"/>
  <c r="R4976" i="44"/>
  <c r="R4977" i="44"/>
  <c r="R4978" i="44"/>
  <c r="R4979" i="44"/>
  <c r="R4980" i="44"/>
  <c r="R4981" i="44"/>
  <c r="R4982" i="44"/>
  <c r="R4983" i="44"/>
  <c r="R4984" i="44"/>
  <c r="R4985" i="44"/>
  <c r="R4986" i="44"/>
  <c r="R4987" i="44"/>
  <c r="R4988" i="44"/>
  <c r="R4989" i="44"/>
  <c r="R4990" i="44"/>
  <c r="R4991" i="44"/>
  <c r="R4992" i="44"/>
  <c r="R4993" i="44"/>
  <c r="R4994" i="44"/>
  <c r="R4995" i="44"/>
  <c r="R4996" i="44"/>
  <c r="R4997" i="44"/>
  <c r="R4998" i="44"/>
  <c r="R4999" i="44"/>
  <c r="R5000" i="44"/>
  <c r="R5001" i="44"/>
  <c r="R5002" i="44"/>
  <c r="R5003" i="44"/>
  <c r="R5004" i="44"/>
  <c r="R5005" i="44"/>
  <c r="R5006" i="44"/>
  <c r="R5007" i="44"/>
  <c r="R5008" i="44"/>
  <c r="R5009" i="44"/>
  <c r="R5010" i="44"/>
  <c r="R5011" i="44"/>
  <c r="R5012" i="44"/>
  <c r="R5013" i="44"/>
  <c r="R5014" i="44"/>
  <c r="R5015" i="44"/>
  <c r="R5016" i="44"/>
  <c r="R5017" i="44"/>
  <c r="R5018" i="44"/>
  <c r="R5019" i="44"/>
  <c r="R5020" i="44"/>
  <c r="R5021" i="44"/>
  <c r="R5022" i="44"/>
  <c r="R5023" i="44"/>
  <c r="R5024" i="44"/>
  <c r="R5025" i="44"/>
  <c r="R5026" i="44"/>
  <c r="R5027" i="44"/>
  <c r="R5028" i="44"/>
  <c r="R5029" i="44"/>
  <c r="R5030" i="44"/>
  <c r="R5031" i="44"/>
  <c r="R5032" i="44"/>
  <c r="R5033" i="44"/>
  <c r="R5034" i="44"/>
  <c r="R5035" i="44"/>
  <c r="R5036" i="44"/>
  <c r="R5037" i="44"/>
  <c r="R5038" i="44"/>
  <c r="R5039" i="44"/>
  <c r="R5040" i="44"/>
  <c r="R5041" i="44"/>
  <c r="R5042" i="44"/>
  <c r="R5043" i="44"/>
  <c r="R5044" i="44"/>
  <c r="R5045" i="44"/>
  <c r="R5046" i="44"/>
  <c r="R5047" i="44"/>
  <c r="R5048" i="44"/>
  <c r="R5049" i="44"/>
  <c r="R5050" i="44"/>
  <c r="R5051" i="44"/>
  <c r="R5052" i="44"/>
  <c r="R5053" i="44"/>
  <c r="R5054" i="44"/>
  <c r="R5055" i="44"/>
  <c r="R5056" i="44"/>
  <c r="R5057" i="44"/>
  <c r="R5058" i="44"/>
  <c r="R5059" i="44"/>
  <c r="R5060" i="44"/>
  <c r="R5061" i="44"/>
  <c r="R5062" i="44"/>
  <c r="R5063" i="44"/>
  <c r="R5064" i="44"/>
  <c r="R5065" i="44"/>
  <c r="R5066" i="44"/>
  <c r="R5067" i="44"/>
  <c r="R5068" i="44"/>
  <c r="R5069" i="44"/>
  <c r="R5070" i="44"/>
  <c r="R5071" i="44"/>
  <c r="R5072" i="44"/>
  <c r="R5073" i="44"/>
  <c r="R5074" i="44"/>
  <c r="R5075" i="44"/>
  <c r="R5076" i="44"/>
  <c r="R5077" i="44"/>
  <c r="R5078" i="44"/>
  <c r="R5079" i="44"/>
  <c r="R5080" i="44"/>
  <c r="R5081" i="44"/>
  <c r="R5082" i="44"/>
  <c r="R5083" i="44"/>
  <c r="R5084" i="44"/>
  <c r="R5085" i="44"/>
  <c r="R5086" i="44"/>
  <c r="R5087" i="44"/>
  <c r="R5088" i="44"/>
  <c r="R5089" i="44"/>
  <c r="R5090" i="44"/>
  <c r="R5091" i="44"/>
  <c r="R5092" i="44"/>
  <c r="R5093" i="44"/>
  <c r="R5094" i="44"/>
  <c r="R5095" i="44"/>
  <c r="R5096" i="44"/>
  <c r="R5097" i="44"/>
  <c r="R5098" i="44"/>
  <c r="R5099" i="44"/>
  <c r="R5100" i="44"/>
  <c r="R5101" i="44"/>
  <c r="R5102" i="44"/>
  <c r="R5103" i="44"/>
  <c r="R5104" i="44"/>
  <c r="R5105" i="44"/>
  <c r="R5106" i="44"/>
  <c r="R5107" i="44"/>
  <c r="R5108" i="44"/>
  <c r="R5109" i="44"/>
  <c r="R5110" i="44"/>
  <c r="R5111" i="44"/>
  <c r="R5112" i="44"/>
  <c r="R5113" i="44"/>
  <c r="R5114" i="44"/>
  <c r="R5115" i="44"/>
  <c r="R5116" i="44"/>
  <c r="R5117" i="44"/>
  <c r="R5118" i="44"/>
  <c r="R5119" i="44"/>
  <c r="R5120" i="44"/>
  <c r="R5121" i="44"/>
  <c r="R5122" i="44"/>
  <c r="R5123" i="44"/>
  <c r="R5124" i="44"/>
  <c r="R5125" i="44"/>
  <c r="R5126" i="44"/>
  <c r="R5127" i="44"/>
  <c r="R5128" i="44"/>
  <c r="R5129" i="44"/>
  <c r="R5130" i="44"/>
  <c r="R5131" i="44"/>
  <c r="R5132" i="44"/>
  <c r="R5133" i="44"/>
  <c r="R5134" i="44"/>
  <c r="R5135" i="44"/>
  <c r="R5136" i="44"/>
  <c r="R5137" i="44"/>
  <c r="R5138" i="44"/>
  <c r="R5139" i="44"/>
  <c r="R5140" i="44"/>
  <c r="R5141" i="44"/>
  <c r="R5142" i="44"/>
  <c r="R5143" i="44"/>
  <c r="R5144" i="44"/>
  <c r="R5145" i="44"/>
  <c r="R5146" i="44"/>
  <c r="R5147" i="44"/>
  <c r="R5148" i="44"/>
  <c r="R5149" i="44"/>
  <c r="R5150" i="44"/>
  <c r="R5151" i="44"/>
  <c r="R5152" i="44"/>
  <c r="R5153" i="44"/>
  <c r="R5154" i="44"/>
  <c r="R5155" i="44"/>
  <c r="R5156" i="44"/>
  <c r="R5157" i="44"/>
  <c r="R5158" i="44"/>
  <c r="R5159" i="44"/>
  <c r="R5160" i="44"/>
  <c r="R5161" i="44"/>
  <c r="R5162" i="44"/>
  <c r="R5163" i="44"/>
  <c r="R5164" i="44"/>
  <c r="R5165" i="44"/>
  <c r="R5166" i="44"/>
  <c r="R5167" i="44"/>
  <c r="R5168" i="44"/>
  <c r="R5169" i="44"/>
  <c r="R5170" i="44"/>
  <c r="R5171" i="44"/>
  <c r="R5172" i="44"/>
  <c r="R5173" i="44"/>
  <c r="R5174" i="44"/>
  <c r="R5175" i="44"/>
  <c r="R5176" i="44"/>
  <c r="R5177" i="44"/>
  <c r="R5178" i="44"/>
  <c r="R5179" i="44"/>
  <c r="R5180" i="44"/>
  <c r="R5181" i="44"/>
  <c r="R5182" i="44"/>
  <c r="R5183" i="44"/>
  <c r="R5184" i="44"/>
  <c r="R5185" i="44"/>
  <c r="R5186" i="44"/>
  <c r="R5187" i="44"/>
  <c r="R5188" i="44"/>
  <c r="R5189" i="44"/>
  <c r="R5190" i="44"/>
  <c r="R5191" i="44"/>
  <c r="R5192" i="44"/>
  <c r="R5193" i="44"/>
  <c r="R5194" i="44"/>
  <c r="R5195" i="44"/>
  <c r="R5196" i="44"/>
  <c r="R5197" i="44"/>
  <c r="R5198" i="44"/>
  <c r="R5199" i="44"/>
  <c r="R5200" i="44"/>
  <c r="R5201" i="44"/>
  <c r="R5202" i="44"/>
  <c r="R5203" i="44"/>
  <c r="R5204" i="44"/>
  <c r="R5205" i="44"/>
  <c r="R5206" i="44"/>
  <c r="R5207" i="44"/>
  <c r="R5208" i="44"/>
  <c r="R5209" i="44"/>
  <c r="R5210" i="44"/>
  <c r="R5211" i="44"/>
  <c r="R5212" i="44"/>
  <c r="R5213" i="44"/>
  <c r="R5214" i="44"/>
  <c r="R5215" i="44"/>
  <c r="R5216" i="44"/>
  <c r="R5217" i="44"/>
  <c r="R5218" i="44"/>
  <c r="R5219" i="44"/>
  <c r="R5220" i="44"/>
  <c r="R5221" i="44"/>
  <c r="R5222" i="44"/>
  <c r="R5223" i="44"/>
  <c r="R5224" i="44"/>
  <c r="R5225" i="44"/>
  <c r="R5226" i="44"/>
  <c r="R5227" i="44"/>
  <c r="R5228" i="44"/>
  <c r="R5229" i="44"/>
  <c r="R5230" i="44"/>
  <c r="R5231" i="44"/>
  <c r="R5232" i="44"/>
  <c r="R5233" i="44"/>
  <c r="R5234" i="44"/>
  <c r="R5235" i="44"/>
  <c r="R5236" i="44"/>
  <c r="R5237" i="44"/>
  <c r="R5238" i="44"/>
  <c r="R5239" i="44"/>
  <c r="R5240" i="44"/>
  <c r="R5241" i="44"/>
  <c r="R5242" i="44"/>
  <c r="R5243" i="44"/>
  <c r="R5244" i="44"/>
  <c r="R5245" i="44"/>
  <c r="R5246" i="44"/>
  <c r="R5247" i="44"/>
  <c r="R5248" i="44"/>
  <c r="R5249" i="44"/>
  <c r="R5250" i="44"/>
  <c r="R5251" i="44"/>
  <c r="R5252" i="44"/>
  <c r="R5253" i="44"/>
  <c r="R5254" i="44"/>
  <c r="R5255" i="44"/>
  <c r="R5256" i="44"/>
  <c r="R5257" i="44"/>
  <c r="R5258" i="44"/>
  <c r="R5259" i="44"/>
  <c r="R5260" i="44"/>
  <c r="R5261" i="44"/>
  <c r="R5262" i="44"/>
  <c r="R5263" i="44"/>
  <c r="R5264" i="44"/>
  <c r="R5265" i="44"/>
  <c r="R5266" i="44"/>
  <c r="R5267" i="44"/>
  <c r="R5268" i="44"/>
  <c r="R5269" i="44"/>
  <c r="R5270" i="44"/>
  <c r="R5271" i="44"/>
  <c r="R5272" i="44"/>
  <c r="R5273" i="44"/>
  <c r="R5274" i="44"/>
  <c r="R5275" i="44"/>
  <c r="R5276" i="44"/>
  <c r="R5277" i="44"/>
  <c r="R5278" i="44"/>
  <c r="R5279" i="44"/>
  <c r="R5280" i="44"/>
  <c r="R5281" i="44"/>
  <c r="R5282" i="44"/>
  <c r="R5283" i="44"/>
  <c r="R5284" i="44"/>
  <c r="R5285" i="44"/>
  <c r="R5286" i="44"/>
  <c r="R5287" i="44"/>
  <c r="R5288" i="44"/>
  <c r="R5289" i="44"/>
  <c r="R5290" i="44"/>
  <c r="R5291" i="44"/>
  <c r="R5292" i="44"/>
  <c r="R5293" i="44"/>
  <c r="R5294" i="44"/>
  <c r="R5295" i="44"/>
  <c r="R5296" i="44"/>
  <c r="R5297" i="44"/>
  <c r="R5298" i="44"/>
  <c r="R5299" i="44"/>
  <c r="R5300" i="44"/>
  <c r="R5301" i="44"/>
  <c r="R5302" i="44"/>
  <c r="R5303" i="44"/>
  <c r="R5304" i="44"/>
  <c r="R5305" i="44"/>
  <c r="R5306" i="44"/>
  <c r="R5307" i="44"/>
  <c r="R5308" i="44"/>
  <c r="R5309" i="44"/>
  <c r="R5310" i="44"/>
  <c r="R5311" i="44"/>
  <c r="R5312" i="44"/>
  <c r="R5313" i="44"/>
  <c r="R5314" i="44"/>
  <c r="R5315" i="44"/>
  <c r="R5316" i="44"/>
  <c r="R5317" i="44"/>
  <c r="R5318" i="44"/>
  <c r="R5319" i="44"/>
  <c r="R5320" i="44"/>
  <c r="R5321" i="44"/>
  <c r="R5322" i="44"/>
  <c r="R5323" i="44"/>
  <c r="R5324" i="44"/>
  <c r="R5325" i="44"/>
  <c r="R5326" i="44"/>
  <c r="R5327" i="44"/>
  <c r="R5328" i="44"/>
  <c r="R5329" i="44"/>
  <c r="R5330" i="44"/>
  <c r="R5331" i="44"/>
  <c r="R5332" i="44"/>
  <c r="R5333" i="44"/>
  <c r="R5334" i="44"/>
  <c r="R5335" i="44"/>
  <c r="R5336" i="44"/>
  <c r="R5337" i="44"/>
  <c r="R5338" i="44"/>
  <c r="R5339" i="44"/>
  <c r="R5340" i="44"/>
  <c r="R5341" i="44"/>
  <c r="R5342" i="44"/>
  <c r="R5343" i="44"/>
  <c r="R5344" i="44"/>
  <c r="R5345" i="44"/>
  <c r="R5346" i="44"/>
  <c r="R5347" i="44"/>
  <c r="R5348" i="44"/>
  <c r="R5349" i="44"/>
  <c r="R5350" i="44"/>
  <c r="R5351" i="44"/>
  <c r="R5352" i="44"/>
  <c r="R5353" i="44"/>
  <c r="R5354" i="44"/>
  <c r="R5355" i="44"/>
  <c r="R5356" i="44"/>
  <c r="R5357" i="44"/>
  <c r="R5358" i="44"/>
  <c r="R5359" i="44"/>
  <c r="R5360" i="44"/>
  <c r="R5361" i="44"/>
  <c r="R5362" i="44"/>
  <c r="R5363" i="44"/>
  <c r="R5364" i="44"/>
  <c r="R5365" i="44"/>
  <c r="R5366" i="44"/>
  <c r="R5367" i="44"/>
  <c r="R5368" i="44"/>
  <c r="R5369" i="44"/>
  <c r="R5370" i="44"/>
  <c r="R5371" i="44"/>
  <c r="R5372" i="44"/>
  <c r="R5373" i="44"/>
  <c r="R5374" i="44"/>
  <c r="R5375" i="44"/>
  <c r="R5376" i="44"/>
  <c r="R5377" i="44"/>
  <c r="R5378" i="44"/>
  <c r="R5379" i="44"/>
  <c r="R5380" i="44"/>
  <c r="R5381" i="44"/>
  <c r="R5382" i="44"/>
  <c r="R5383" i="44"/>
  <c r="R5384" i="44"/>
  <c r="R5385" i="44"/>
  <c r="R5386" i="44"/>
  <c r="R5387" i="44"/>
  <c r="R5388" i="44"/>
  <c r="R5389" i="44"/>
  <c r="R5390" i="44"/>
  <c r="R5391" i="44"/>
  <c r="R5392" i="44"/>
  <c r="R5393" i="44"/>
  <c r="R5394" i="44"/>
  <c r="R5395" i="44"/>
  <c r="R5396" i="44"/>
  <c r="R5397" i="44"/>
  <c r="R5398" i="44"/>
  <c r="R5399" i="44"/>
  <c r="R5400" i="44"/>
  <c r="R5401" i="44"/>
  <c r="R5402" i="44"/>
  <c r="R5403" i="44"/>
  <c r="R5404" i="44"/>
  <c r="R5405" i="44"/>
  <c r="R5406" i="44"/>
  <c r="R5407" i="44"/>
  <c r="R5408" i="44"/>
  <c r="R5409" i="44"/>
  <c r="R5410" i="44"/>
  <c r="R5411" i="44"/>
  <c r="R5412" i="44"/>
  <c r="R5413" i="44"/>
  <c r="R5414" i="44"/>
  <c r="R5415" i="44"/>
  <c r="R5416" i="44"/>
  <c r="R5417" i="44"/>
  <c r="R5418" i="44"/>
  <c r="R5419" i="44"/>
  <c r="R5420" i="44"/>
  <c r="R5421" i="44"/>
  <c r="R5422" i="44"/>
  <c r="R5423" i="44"/>
  <c r="R5424" i="44"/>
  <c r="R5425" i="44"/>
  <c r="R5426" i="44"/>
  <c r="R5427" i="44"/>
  <c r="R5428" i="44"/>
  <c r="R5429" i="44"/>
  <c r="R5430" i="44"/>
  <c r="R5431" i="44"/>
  <c r="R5432" i="44"/>
  <c r="R5433" i="44"/>
  <c r="R5434" i="44"/>
  <c r="R5435" i="44"/>
  <c r="R5436" i="44"/>
  <c r="R5437" i="44"/>
  <c r="R5438" i="44"/>
  <c r="R5439" i="44"/>
  <c r="R5440" i="44"/>
  <c r="R5441" i="44"/>
  <c r="R5442" i="44"/>
  <c r="R5443" i="44"/>
  <c r="R5444" i="44"/>
  <c r="R5445" i="44"/>
  <c r="R5446" i="44"/>
  <c r="R5447" i="44"/>
  <c r="R5448" i="44"/>
  <c r="R5449" i="44"/>
  <c r="R5450" i="44"/>
  <c r="R5451" i="44"/>
  <c r="R5452" i="44"/>
  <c r="R5453" i="44"/>
  <c r="R5454" i="44"/>
  <c r="R5455" i="44"/>
  <c r="R5456" i="44"/>
  <c r="R5457" i="44"/>
  <c r="R5458" i="44"/>
  <c r="R5459" i="44"/>
  <c r="R5460" i="44"/>
  <c r="R5461" i="44"/>
  <c r="R5462" i="44"/>
  <c r="R5463" i="44"/>
  <c r="R5464" i="44"/>
  <c r="R5465" i="44"/>
  <c r="R5466" i="44"/>
  <c r="R5467" i="44"/>
  <c r="R5468" i="44"/>
  <c r="R5469" i="44"/>
  <c r="R5470" i="44"/>
  <c r="R5471" i="44"/>
  <c r="R5472" i="44"/>
  <c r="R5473" i="44"/>
  <c r="R5474" i="44"/>
  <c r="R5475" i="44"/>
  <c r="R5476" i="44"/>
  <c r="R5477" i="44"/>
  <c r="R5478" i="44"/>
  <c r="R5479" i="44"/>
  <c r="R5480" i="44"/>
  <c r="R5481" i="44"/>
  <c r="R5482" i="44"/>
  <c r="R5483" i="44"/>
  <c r="R5484" i="44"/>
  <c r="R5485" i="44"/>
  <c r="R5486" i="44"/>
  <c r="R5487" i="44"/>
  <c r="R5488" i="44"/>
  <c r="R5489" i="44"/>
  <c r="R5490" i="44"/>
  <c r="R5491" i="44"/>
  <c r="R5492" i="44"/>
  <c r="R5493" i="44"/>
  <c r="R5494" i="44"/>
  <c r="R5495" i="44"/>
  <c r="R5496" i="44"/>
  <c r="R5497" i="44"/>
  <c r="R5498" i="44"/>
  <c r="R5499" i="44"/>
  <c r="R5500" i="44"/>
  <c r="R5501" i="44"/>
  <c r="R5502" i="44"/>
  <c r="R5503" i="44"/>
  <c r="R5504" i="44"/>
  <c r="R5505" i="44"/>
  <c r="R5506" i="44"/>
  <c r="R5507" i="44"/>
  <c r="R5508" i="44"/>
  <c r="R5509" i="44"/>
  <c r="R5510" i="44"/>
  <c r="R5511" i="44"/>
  <c r="R5512" i="44"/>
  <c r="R5513" i="44"/>
  <c r="R5514" i="44"/>
  <c r="R5515" i="44"/>
  <c r="R5516" i="44"/>
  <c r="R5517" i="44"/>
  <c r="R2518" i="44"/>
  <c r="R2519" i="44"/>
  <c r="R2520" i="44"/>
  <c r="R2521" i="44"/>
  <c r="R2522" i="44"/>
  <c r="R2523" i="44"/>
  <c r="R2524" i="44"/>
  <c r="R2525" i="44"/>
  <c r="R2526" i="44"/>
  <c r="R2527" i="44"/>
  <c r="R2528" i="44"/>
  <c r="R2529" i="44"/>
  <c r="R2530" i="44"/>
  <c r="R2531" i="44"/>
  <c r="R2532" i="44"/>
  <c r="R2533" i="44"/>
  <c r="R2534" i="44"/>
  <c r="R2535" i="44"/>
  <c r="R2536" i="44"/>
  <c r="R2537" i="44"/>
  <c r="R2538" i="44"/>
  <c r="R2539" i="44"/>
  <c r="R2540" i="44"/>
  <c r="R2541" i="44"/>
  <c r="R2542" i="44"/>
  <c r="R2543" i="44"/>
  <c r="R2544" i="44"/>
  <c r="R2545" i="44"/>
  <c r="R2546" i="44"/>
  <c r="R2547" i="44"/>
  <c r="R2548" i="44"/>
  <c r="R2549" i="44"/>
  <c r="R2550" i="44"/>
  <c r="R2551" i="44"/>
  <c r="R2552" i="44"/>
  <c r="R2553" i="44"/>
  <c r="R2554" i="44"/>
  <c r="R2555" i="44"/>
  <c r="R2556" i="44"/>
  <c r="R2557" i="44"/>
  <c r="R2558" i="44"/>
  <c r="R2559" i="44"/>
  <c r="R2560" i="44"/>
  <c r="R2561" i="44"/>
  <c r="R2562" i="44"/>
  <c r="R2563" i="44"/>
  <c r="R2564" i="44"/>
  <c r="R2565" i="44"/>
  <c r="R2566" i="44"/>
  <c r="R2567" i="44"/>
  <c r="R2568" i="44"/>
  <c r="R2569" i="44"/>
  <c r="R2570" i="44"/>
  <c r="R2571" i="44"/>
  <c r="R2572" i="44"/>
  <c r="R2573" i="44"/>
  <c r="R2574" i="44"/>
  <c r="R2575" i="44"/>
  <c r="R2576" i="44"/>
  <c r="R2577" i="44"/>
  <c r="R2578" i="44"/>
  <c r="R2579" i="44"/>
  <c r="R2580" i="44"/>
  <c r="R2581" i="44"/>
  <c r="R2582" i="44"/>
  <c r="R2583" i="44"/>
  <c r="R2584" i="44"/>
  <c r="R2585" i="44"/>
  <c r="R2586" i="44"/>
  <c r="R2587" i="44"/>
  <c r="R2588" i="44"/>
  <c r="R2589" i="44"/>
  <c r="R2590" i="44"/>
  <c r="R2591" i="44"/>
  <c r="R2592" i="44"/>
  <c r="R2593" i="44"/>
  <c r="R2594" i="44"/>
  <c r="R2595" i="44"/>
  <c r="R2596" i="44"/>
  <c r="R2597" i="44"/>
  <c r="R2598" i="44"/>
  <c r="R2599" i="44"/>
  <c r="R2600" i="44"/>
  <c r="R2601" i="44"/>
  <c r="R2602" i="44"/>
  <c r="R2603" i="44"/>
  <c r="R2604" i="44"/>
  <c r="R2605" i="44"/>
  <c r="R2606" i="44"/>
  <c r="R2607" i="44"/>
  <c r="R2608" i="44"/>
  <c r="R2609" i="44"/>
  <c r="R2610" i="44"/>
  <c r="R2611" i="44"/>
  <c r="R2612" i="44"/>
  <c r="R2613" i="44"/>
  <c r="R2614" i="44"/>
  <c r="R2615" i="44"/>
  <c r="R2616" i="44"/>
  <c r="R2617" i="44"/>
  <c r="R2618" i="44"/>
  <c r="R2619" i="44"/>
  <c r="R2620" i="44"/>
  <c r="R2621" i="44"/>
  <c r="R2622" i="44"/>
  <c r="R2623" i="44"/>
  <c r="R2624" i="44"/>
  <c r="R2625" i="44"/>
  <c r="R2626" i="44"/>
  <c r="R2627" i="44"/>
  <c r="R2628" i="44"/>
  <c r="R2629" i="44"/>
  <c r="R2630" i="44"/>
  <c r="R2631" i="44"/>
  <c r="R2632" i="44"/>
  <c r="R2633" i="44"/>
  <c r="R2634" i="44"/>
  <c r="R2635" i="44"/>
  <c r="R2636" i="44"/>
  <c r="R2637" i="44"/>
  <c r="R2638" i="44"/>
  <c r="R2639" i="44"/>
  <c r="R2640" i="44"/>
  <c r="R2641" i="44"/>
  <c r="R2642" i="44"/>
  <c r="R2643" i="44"/>
  <c r="R2644" i="44"/>
  <c r="R2645" i="44"/>
  <c r="R2646" i="44"/>
  <c r="R2647" i="44"/>
  <c r="R2648" i="44"/>
  <c r="R2649" i="44"/>
  <c r="R2650" i="44"/>
  <c r="R2651" i="44"/>
  <c r="R2652" i="44"/>
  <c r="R2653" i="44"/>
  <c r="R2654" i="44"/>
  <c r="R2655" i="44"/>
  <c r="R2656" i="44"/>
  <c r="R2657" i="44"/>
  <c r="R2658" i="44"/>
  <c r="R2659" i="44"/>
  <c r="R2660" i="44"/>
  <c r="R2661" i="44"/>
  <c r="R2662" i="44"/>
  <c r="R2663" i="44"/>
  <c r="R2664" i="44"/>
  <c r="R2665" i="44"/>
  <c r="R2666" i="44"/>
  <c r="R2667" i="44"/>
  <c r="R2668" i="44"/>
  <c r="R2669" i="44"/>
  <c r="R2670" i="44"/>
  <c r="R2671" i="44"/>
  <c r="R2672" i="44"/>
  <c r="R2673" i="44"/>
  <c r="R2674" i="44"/>
  <c r="R2675" i="44"/>
  <c r="R2676" i="44"/>
  <c r="R2677" i="44"/>
  <c r="R2678" i="44"/>
  <c r="R2679" i="44"/>
  <c r="R2680" i="44"/>
  <c r="R2681" i="44"/>
  <c r="R2682" i="44"/>
  <c r="R2683" i="44"/>
  <c r="R2684" i="44"/>
  <c r="R2685" i="44"/>
  <c r="R2686" i="44"/>
  <c r="R2687" i="44"/>
  <c r="R2688" i="44"/>
  <c r="R2689" i="44"/>
  <c r="R2690" i="44"/>
  <c r="R2691" i="44"/>
  <c r="R2692" i="44"/>
  <c r="R2693" i="44"/>
  <c r="R2694" i="44"/>
  <c r="R2695" i="44"/>
  <c r="R2696" i="44"/>
  <c r="R2697" i="44"/>
  <c r="R2698" i="44"/>
  <c r="R2699" i="44"/>
  <c r="R2700" i="44"/>
  <c r="R2701" i="44"/>
  <c r="R2702" i="44"/>
  <c r="R2703" i="44"/>
  <c r="R2704" i="44"/>
  <c r="R2705" i="44"/>
  <c r="R2706" i="44"/>
  <c r="R2707" i="44"/>
  <c r="R2708" i="44"/>
  <c r="R2709" i="44"/>
  <c r="R2710" i="44"/>
  <c r="R2711" i="44"/>
  <c r="R2712" i="44"/>
  <c r="R2713" i="44"/>
  <c r="R2714" i="44"/>
  <c r="R2715" i="44"/>
  <c r="R2716" i="44"/>
  <c r="R2717" i="44"/>
  <c r="R2718" i="44"/>
  <c r="R2719" i="44"/>
  <c r="R2720" i="44"/>
  <c r="R2721" i="44"/>
  <c r="R2722" i="44"/>
  <c r="R2723" i="44"/>
  <c r="R2724" i="44"/>
  <c r="R2725" i="44"/>
  <c r="R2726" i="44"/>
  <c r="R2727" i="44"/>
  <c r="R2728" i="44"/>
  <c r="R2729" i="44"/>
  <c r="R2730" i="44"/>
  <c r="R2731" i="44"/>
  <c r="R2732" i="44"/>
  <c r="R2733" i="44"/>
  <c r="R2734" i="44"/>
  <c r="R2735" i="44"/>
  <c r="R2736" i="44"/>
  <c r="R2737" i="44"/>
  <c r="R2738" i="44"/>
  <c r="R2739" i="44"/>
  <c r="R2740" i="44"/>
  <c r="R2741" i="44"/>
  <c r="R2742" i="44"/>
  <c r="R2743" i="44"/>
  <c r="R2744" i="44"/>
  <c r="R2745" i="44"/>
  <c r="R2746" i="44"/>
  <c r="R2747" i="44"/>
  <c r="R2748" i="44"/>
  <c r="R2749" i="44"/>
  <c r="R2750" i="44"/>
  <c r="R2751" i="44"/>
  <c r="R2752" i="44"/>
  <c r="R2753" i="44"/>
  <c r="R2754" i="44"/>
  <c r="R2755" i="44"/>
  <c r="R2756" i="44"/>
  <c r="R2757" i="44"/>
  <c r="R2758" i="44"/>
  <c r="R2759" i="44"/>
  <c r="R2760" i="44"/>
  <c r="R2761" i="44"/>
  <c r="R2762" i="44"/>
  <c r="R2763" i="44"/>
  <c r="R2764" i="44"/>
  <c r="R2765" i="44"/>
  <c r="R2766" i="44"/>
  <c r="R2767" i="44"/>
  <c r="R2768" i="44"/>
  <c r="R2769" i="44"/>
  <c r="R2770" i="44"/>
  <c r="R2771" i="44"/>
  <c r="R2772" i="44"/>
  <c r="R2773" i="44"/>
  <c r="R2774" i="44"/>
  <c r="R2775" i="44"/>
  <c r="R2776" i="44"/>
  <c r="R2777" i="44"/>
  <c r="R2778" i="44"/>
  <c r="R2779" i="44"/>
  <c r="R2780" i="44"/>
  <c r="R2781" i="44"/>
  <c r="R2782" i="44"/>
  <c r="R2783" i="44"/>
  <c r="R2784" i="44"/>
  <c r="R2785" i="44"/>
  <c r="R2786" i="44"/>
  <c r="R2787" i="44"/>
  <c r="R2788" i="44"/>
  <c r="R2789" i="44"/>
  <c r="R2790" i="44"/>
  <c r="R2791" i="44"/>
  <c r="R2792" i="44"/>
  <c r="R2793" i="44"/>
  <c r="R2794" i="44"/>
  <c r="R2795" i="44"/>
  <c r="R2796" i="44"/>
  <c r="R2797" i="44"/>
  <c r="R2798" i="44"/>
  <c r="R2799" i="44"/>
  <c r="R2800" i="44"/>
  <c r="R2801" i="44"/>
  <c r="R2802" i="44"/>
  <c r="R2803" i="44"/>
  <c r="R2804" i="44"/>
  <c r="R2805" i="44"/>
  <c r="R2806" i="44"/>
  <c r="R2807" i="44"/>
  <c r="R2808" i="44"/>
  <c r="R2809" i="44"/>
  <c r="R2810" i="44"/>
  <c r="R2811" i="44"/>
  <c r="R2812" i="44"/>
  <c r="R2813" i="44"/>
  <c r="R2814" i="44"/>
  <c r="R2815" i="44"/>
  <c r="R2816" i="44"/>
  <c r="R2817" i="44"/>
  <c r="R2818" i="44"/>
  <c r="R2819" i="44"/>
  <c r="R2820" i="44"/>
  <c r="R2821" i="44"/>
  <c r="R2822" i="44"/>
  <c r="R2823" i="44"/>
  <c r="R2824" i="44"/>
  <c r="R2825" i="44"/>
  <c r="R2826" i="44"/>
  <c r="R2827" i="44"/>
  <c r="R2828" i="44"/>
  <c r="R2829" i="44"/>
  <c r="R2830" i="44"/>
  <c r="R2831" i="44"/>
  <c r="R2832" i="44"/>
  <c r="R2833" i="44"/>
  <c r="R2834" i="44"/>
  <c r="R2835" i="44"/>
  <c r="R2836" i="44"/>
  <c r="R2837" i="44"/>
  <c r="R2838" i="44"/>
  <c r="R2839" i="44"/>
  <c r="R2840" i="44"/>
  <c r="R2841" i="44"/>
  <c r="R2842" i="44"/>
  <c r="R2843" i="44"/>
  <c r="R2844" i="44"/>
  <c r="R2845" i="44"/>
  <c r="R2846" i="44"/>
  <c r="R2847" i="44"/>
  <c r="R2848" i="44"/>
  <c r="R2849" i="44"/>
  <c r="R2850" i="44"/>
  <c r="R2851" i="44"/>
  <c r="R2852" i="44"/>
  <c r="R2853" i="44"/>
  <c r="R2854" i="44"/>
  <c r="R2855" i="44"/>
  <c r="R2856" i="44"/>
  <c r="R2857" i="44"/>
  <c r="R2858" i="44"/>
  <c r="R2859" i="44"/>
  <c r="R2860" i="44"/>
  <c r="R2861" i="44"/>
  <c r="R2862" i="44"/>
  <c r="R2863" i="44"/>
  <c r="R2864" i="44"/>
  <c r="R2865" i="44"/>
  <c r="R2866" i="44"/>
  <c r="R2867" i="44"/>
  <c r="R2868" i="44"/>
  <c r="R2869" i="44"/>
  <c r="R2870" i="44"/>
  <c r="R2871" i="44"/>
  <c r="R2872" i="44"/>
  <c r="R2873" i="44"/>
  <c r="R2874" i="44"/>
  <c r="R2875" i="44"/>
  <c r="R2876" i="44"/>
  <c r="R2877" i="44"/>
  <c r="R2878" i="44"/>
  <c r="R2879" i="44"/>
  <c r="R2880" i="44"/>
  <c r="R2881" i="44"/>
  <c r="R2882" i="44"/>
  <c r="R2883" i="44"/>
  <c r="R2884" i="44"/>
  <c r="R2885" i="44"/>
  <c r="R2886" i="44"/>
  <c r="R2887" i="44"/>
  <c r="R2888" i="44"/>
  <c r="R2889" i="44"/>
  <c r="R2890" i="44"/>
  <c r="R2891" i="44"/>
  <c r="R2892" i="44"/>
  <c r="R2893" i="44"/>
  <c r="R2894" i="44"/>
  <c r="R2895" i="44"/>
  <c r="R2896" i="44"/>
  <c r="R2897" i="44"/>
  <c r="R2898" i="44"/>
  <c r="R2899" i="44"/>
  <c r="R2900" i="44"/>
  <c r="R2901" i="44"/>
  <c r="R2902" i="44"/>
  <c r="R2903" i="44"/>
  <c r="R2904" i="44"/>
  <c r="R2905" i="44"/>
  <c r="R2906" i="44"/>
  <c r="R2907" i="44"/>
  <c r="R2908" i="44"/>
  <c r="R2909" i="44"/>
  <c r="R2910" i="44"/>
  <c r="R2911" i="44"/>
  <c r="R2912" i="44"/>
  <c r="R2913" i="44"/>
  <c r="R2914" i="44"/>
  <c r="R2915" i="44"/>
  <c r="R2916" i="44"/>
  <c r="R2917" i="44"/>
  <c r="R2918" i="44"/>
  <c r="R2919" i="44"/>
  <c r="R2920" i="44"/>
  <c r="R2921" i="44"/>
  <c r="R2922" i="44"/>
  <c r="R2923" i="44"/>
  <c r="R2924" i="44"/>
  <c r="R2925" i="44"/>
  <c r="R2926" i="44"/>
  <c r="R2927" i="44"/>
  <c r="R2928" i="44"/>
  <c r="R2929" i="44"/>
  <c r="R2930" i="44"/>
  <c r="R2931" i="44"/>
  <c r="R2932" i="44"/>
  <c r="R2933" i="44"/>
  <c r="R2934" i="44"/>
  <c r="R2935" i="44"/>
  <c r="R2936" i="44"/>
  <c r="R2937" i="44"/>
  <c r="R2938" i="44"/>
  <c r="R2939" i="44"/>
  <c r="R2940" i="44"/>
  <c r="R2941" i="44"/>
  <c r="R2942" i="44"/>
  <c r="R2943" i="44"/>
  <c r="R2944" i="44"/>
  <c r="R2945" i="44"/>
  <c r="R2946" i="44"/>
  <c r="R2947" i="44"/>
  <c r="R2948" i="44"/>
  <c r="R2949" i="44"/>
  <c r="R2950" i="44"/>
  <c r="R2951" i="44"/>
  <c r="R2952" i="44"/>
  <c r="R2953" i="44"/>
  <c r="R2954" i="44"/>
  <c r="R2955" i="44"/>
  <c r="R2956" i="44"/>
  <c r="R2957" i="44"/>
  <c r="R2958" i="44"/>
  <c r="R2959" i="44"/>
  <c r="R2960" i="44"/>
  <c r="R2961" i="44"/>
  <c r="R2962" i="44"/>
  <c r="R2963" i="44"/>
  <c r="R2964" i="44"/>
  <c r="R2965" i="44"/>
  <c r="R2966" i="44"/>
  <c r="R2967" i="44"/>
  <c r="R2968" i="44"/>
  <c r="R2969" i="44"/>
  <c r="R2970" i="44"/>
  <c r="R2971" i="44"/>
  <c r="R2972" i="44"/>
  <c r="R2973" i="44"/>
  <c r="R2974" i="44"/>
  <c r="R2975" i="44"/>
  <c r="R2976" i="44"/>
  <c r="R2977" i="44"/>
  <c r="R2978" i="44"/>
  <c r="R2979" i="44"/>
  <c r="R2980" i="44"/>
  <c r="R2981" i="44"/>
  <c r="R2982" i="44"/>
  <c r="R2983" i="44"/>
  <c r="R2984" i="44"/>
  <c r="R2985" i="44"/>
  <c r="R2986" i="44"/>
  <c r="R2987" i="44"/>
  <c r="R2988" i="44"/>
  <c r="R2989" i="44"/>
  <c r="R2990" i="44"/>
  <c r="R2991" i="44"/>
  <c r="R2992" i="44"/>
  <c r="R2993" i="44"/>
  <c r="R2994" i="44"/>
  <c r="R2995" i="44"/>
  <c r="R2996" i="44"/>
  <c r="R2997" i="44"/>
  <c r="R2998" i="44"/>
  <c r="R2999" i="44"/>
  <c r="R3000" i="44"/>
  <c r="R3001" i="44"/>
  <c r="R3002" i="44"/>
  <c r="R3003" i="44"/>
  <c r="R3004" i="44"/>
  <c r="R3005" i="44"/>
  <c r="R3006" i="44"/>
  <c r="R3007" i="44"/>
  <c r="R3008" i="44"/>
  <c r="R3009" i="44"/>
  <c r="R3010" i="44"/>
  <c r="R3011" i="44"/>
  <c r="R3012" i="44"/>
  <c r="R3013" i="44"/>
  <c r="R3014" i="44"/>
  <c r="R3015" i="44"/>
  <c r="R3016" i="44"/>
  <c r="R3017" i="44"/>
  <c r="R3018" i="44"/>
  <c r="R3019" i="44"/>
  <c r="R3020" i="44"/>
  <c r="R3021" i="44"/>
  <c r="R3022" i="44"/>
  <c r="R3023" i="44"/>
  <c r="R3024" i="44"/>
  <c r="R3025" i="44"/>
  <c r="R3026" i="44"/>
  <c r="R3027" i="44"/>
  <c r="R3028" i="44"/>
  <c r="R3029" i="44"/>
  <c r="R3030" i="44"/>
  <c r="R3031" i="44"/>
  <c r="R3032" i="44"/>
  <c r="R3033" i="44"/>
  <c r="R3034" i="44"/>
  <c r="R3035" i="44"/>
  <c r="R3036" i="44"/>
  <c r="R3037" i="44"/>
  <c r="R3038" i="44"/>
  <c r="R3039" i="44"/>
  <c r="R3040" i="44"/>
  <c r="R3041" i="44"/>
  <c r="R3042" i="44"/>
  <c r="R3043" i="44"/>
  <c r="R3044" i="44"/>
  <c r="R3045" i="44"/>
  <c r="R3046" i="44"/>
  <c r="R3047" i="44"/>
  <c r="R3048" i="44"/>
  <c r="R3049" i="44"/>
  <c r="R3050" i="44"/>
  <c r="R3051" i="44"/>
  <c r="R3052" i="44"/>
  <c r="R3053" i="44"/>
  <c r="R3054" i="44"/>
  <c r="R3055" i="44"/>
  <c r="R3056" i="44"/>
  <c r="R3057" i="44"/>
  <c r="R3058" i="44"/>
  <c r="R3059" i="44"/>
  <c r="R3060" i="44"/>
  <c r="R3061" i="44"/>
  <c r="R3062" i="44"/>
  <c r="R3063" i="44"/>
  <c r="R3064" i="44"/>
  <c r="R3065" i="44"/>
  <c r="R3066" i="44"/>
  <c r="R3067" i="44"/>
  <c r="R3068" i="44"/>
  <c r="R3069" i="44"/>
  <c r="R3070" i="44"/>
  <c r="R3071" i="44"/>
  <c r="R3072" i="44"/>
  <c r="R3073" i="44"/>
  <c r="R3074" i="44"/>
  <c r="R3075" i="44"/>
  <c r="R3076" i="44"/>
  <c r="R3077" i="44"/>
  <c r="R3078" i="44"/>
  <c r="R3079" i="44"/>
  <c r="R3080" i="44"/>
  <c r="R3081" i="44"/>
  <c r="R3082" i="44"/>
  <c r="R3083" i="44"/>
  <c r="R3084" i="44"/>
  <c r="R3085" i="44"/>
  <c r="R3086" i="44"/>
  <c r="R3087" i="44"/>
  <c r="R3088" i="44"/>
  <c r="R3089" i="44"/>
  <c r="R3090" i="44"/>
  <c r="R3091" i="44"/>
  <c r="R3092" i="44"/>
  <c r="R3093" i="44"/>
  <c r="R3094" i="44"/>
  <c r="R3095" i="44"/>
  <c r="R3096" i="44"/>
  <c r="R3097" i="44"/>
  <c r="R3098" i="44"/>
  <c r="R3099" i="44"/>
  <c r="R3100" i="44"/>
  <c r="R3101" i="44"/>
  <c r="R3102" i="44"/>
  <c r="R3103" i="44"/>
  <c r="R3104" i="44"/>
  <c r="R3105" i="44"/>
  <c r="R3106" i="44"/>
  <c r="R3107" i="44"/>
  <c r="R3108" i="44"/>
  <c r="R3109" i="44"/>
  <c r="R3110" i="44"/>
  <c r="R3111" i="44"/>
  <c r="R3112" i="44"/>
  <c r="R3113" i="44"/>
  <c r="R3114" i="44"/>
  <c r="R3115" i="44"/>
  <c r="R3116" i="44"/>
  <c r="R3117" i="44"/>
  <c r="R3118" i="44"/>
  <c r="R3119" i="44"/>
  <c r="R3120" i="44"/>
  <c r="R3121" i="44"/>
  <c r="R3122" i="44"/>
  <c r="R3123" i="44"/>
  <c r="R3124" i="44"/>
  <c r="R3125" i="44"/>
  <c r="R3126" i="44"/>
  <c r="R3127" i="44"/>
  <c r="R3128" i="44"/>
  <c r="R3129" i="44"/>
  <c r="R3130" i="44"/>
  <c r="R3131" i="44"/>
  <c r="R3132" i="44"/>
  <c r="R3133" i="44"/>
  <c r="R3134" i="44"/>
  <c r="R3135" i="44"/>
  <c r="R3136" i="44"/>
  <c r="R3137" i="44"/>
  <c r="R3138" i="44"/>
  <c r="R3139" i="44"/>
  <c r="R3140" i="44"/>
  <c r="R3141" i="44"/>
  <c r="R3142" i="44"/>
  <c r="R3143" i="44"/>
  <c r="R3144" i="44"/>
  <c r="R3145" i="44"/>
  <c r="R3146" i="44"/>
  <c r="R3147" i="44"/>
  <c r="R3148" i="44"/>
  <c r="R3149" i="44"/>
  <c r="R3150" i="44"/>
  <c r="R3151" i="44"/>
  <c r="R3152" i="44"/>
  <c r="R3153" i="44"/>
  <c r="R3154" i="44"/>
  <c r="R3155" i="44"/>
  <c r="R3156" i="44"/>
  <c r="R3157" i="44"/>
  <c r="R3158" i="44"/>
  <c r="R3159" i="44"/>
  <c r="R3160" i="44"/>
  <c r="R3161" i="44"/>
  <c r="R3162" i="44"/>
  <c r="R3163" i="44"/>
  <c r="R3164" i="44"/>
  <c r="R3165" i="44"/>
  <c r="R3166" i="44"/>
  <c r="R3167" i="44"/>
  <c r="R3168" i="44"/>
  <c r="R3169" i="44"/>
  <c r="R3170" i="44"/>
  <c r="R3171" i="44"/>
  <c r="R3172" i="44"/>
  <c r="R3173" i="44"/>
  <c r="R3174" i="44"/>
  <c r="R3175" i="44"/>
  <c r="R3176" i="44"/>
  <c r="R3177" i="44"/>
  <c r="R3178" i="44"/>
  <c r="R3179" i="44"/>
  <c r="R3180" i="44"/>
  <c r="R3181" i="44"/>
  <c r="R3182" i="44"/>
  <c r="R3183" i="44"/>
  <c r="R3184" i="44"/>
  <c r="R3185" i="44"/>
  <c r="R3186" i="44"/>
  <c r="R3187" i="44"/>
  <c r="R3188" i="44"/>
  <c r="R3189" i="44"/>
  <c r="R3190" i="44"/>
  <c r="R3191" i="44"/>
  <c r="R3192" i="44"/>
  <c r="R3193" i="44"/>
  <c r="R3194" i="44"/>
  <c r="R3195" i="44"/>
  <c r="R3196" i="44"/>
  <c r="R3197" i="44"/>
  <c r="R3198" i="44"/>
  <c r="R3199" i="44"/>
  <c r="R3200" i="44"/>
  <c r="R3201" i="44"/>
  <c r="R3202" i="44"/>
  <c r="R3203" i="44"/>
  <c r="R3204" i="44"/>
  <c r="R3205" i="44"/>
  <c r="R3206" i="44"/>
  <c r="R3207" i="44"/>
  <c r="R3208" i="44"/>
  <c r="R3209" i="44"/>
  <c r="R3210" i="44"/>
  <c r="R3211" i="44"/>
  <c r="R3212" i="44"/>
  <c r="R3213" i="44"/>
  <c r="R3214" i="44"/>
  <c r="R3215" i="44"/>
  <c r="R3216" i="44"/>
  <c r="R3217" i="44"/>
  <c r="R3218" i="44"/>
  <c r="R3219" i="44"/>
  <c r="R3220" i="44"/>
  <c r="R3221" i="44"/>
  <c r="R3222" i="44"/>
  <c r="R3223" i="44"/>
  <c r="R3224" i="44"/>
  <c r="R3225" i="44"/>
  <c r="R3226" i="44"/>
  <c r="R3227" i="44"/>
  <c r="R3228" i="44"/>
  <c r="R3229" i="44"/>
  <c r="R3230" i="44"/>
  <c r="R3231" i="44"/>
  <c r="R3232" i="44"/>
  <c r="R3233" i="44"/>
  <c r="R3234" i="44"/>
  <c r="R3235" i="44"/>
  <c r="R3236" i="44"/>
  <c r="R3237" i="44"/>
  <c r="R3238" i="44"/>
  <c r="R3239" i="44"/>
  <c r="R3240" i="44"/>
  <c r="R3241" i="44"/>
  <c r="R3242" i="44"/>
  <c r="R3243" i="44"/>
  <c r="R3244" i="44"/>
  <c r="R3245" i="44"/>
  <c r="R3246" i="44"/>
  <c r="R3247" i="44"/>
  <c r="R3248" i="44"/>
  <c r="R3249" i="44"/>
  <c r="R3250" i="44"/>
  <c r="R3251" i="44"/>
  <c r="R3252" i="44"/>
  <c r="R3253" i="44"/>
  <c r="R3254" i="44"/>
  <c r="R3255" i="44"/>
  <c r="R3256" i="44"/>
  <c r="R3257" i="44"/>
  <c r="R3258" i="44"/>
  <c r="R3259" i="44"/>
  <c r="R3260" i="44"/>
  <c r="R3261" i="44"/>
  <c r="R3262" i="44"/>
  <c r="R3263" i="44"/>
  <c r="R3264" i="44"/>
  <c r="R3265" i="44"/>
  <c r="R3266" i="44"/>
  <c r="R3267" i="44"/>
  <c r="R3268" i="44"/>
  <c r="R3269" i="44"/>
  <c r="R3270" i="44"/>
  <c r="R3271" i="44"/>
  <c r="R3272" i="44"/>
  <c r="R3273" i="44"/>
  <c r="R3274" i="44"/>
  <c r="R3275" i="44"/>
  <c r="R3276" i="44"/>
  <c r="R3277" i="44"/>
  <c r="R3278" i="44"/>
  <c r="R3279" i="44"/>
  <c r="R3280" i="44"/>
  <c r="R3281" i="44"/>
  <c r="R3282" i="44"/>
  <c r="R3283" i="44"/>
  <c r="R3284" i="44"/>
  <c r="R3285" i="44"/>
  <c r="R3286" i="44"/>
  <c r="R3287" i="44"/>
  <c r="R3288" i="44"/>
  <c r="R3289" i="44"/>
  <c r="R3290" i="44"/>
  <c r="R3291" i="44"/>
  <c r="R3292" i="44"/>
  <c r="R3293" i="44"/>
  <c r="R3294" i="44"/>
  <c r="R3295" i="44"/>
  <c r="R3296" i="44"/>
  <c r="R3297" i="44"/>
  <c r="R3298" i="44"/>
  <c r="R3299" i="44"/>
  <c r="R3300" i="44"/>
  <c r="R3301" i="44"/>
  <c r="R3302" i="44"/>
  <c r="R3303" i="44"/>
  <c r="R3304" i="44"/>
  <c r="R3305" i="44"/>
  <c r="R3306" i="44"/>
  <c r="R3307" i="44"/>
  <c r="R3308" i="44"/>
  <c r="R3309" i="44"/>
  <c r="R3310" i="44"/>
  <c r="R3311" i="44"/>
  <c r="R3312" i="44"/>
  <c r="R3313" i="44"/>
  <c r="R3314" i="44"/>
  <c r="R3315" i="44"/>
  <c r="R3316" i="44"/>
  <c r="R3317" i="44"/>
  <c r="R3318" i="44"/>
  <c r="R3319" i="44"/>
  <c r="R3320" i="44"/>
  <c r="R3321" i="44"/>
  <c r="R3322" i="44"/>
  <c r="R3323" i="44"/>
  <c r="R3324" i="44"/>
  <c r="R3325" i="44"/>
  <c r="R3326" i="44"/>
  <c r="R3327" i="44"/>
  <c r="R3328" i="44"/>
  <c r="R3329" i="44"/>
  <c r="R3330" i="44"/>
  <c r="R3331" i="44"/>
  <c r="R3332" i="44"/>
  <c r="R3333" i="44"/>
  <c r="R3334" i="44"/>
  <c r="R3335" i="44"/>
  <c r="R3336" i="44"/>
  <c r="R3337" i="44"/>
  <c r="R3338" i="44"/>
  <c r="R3339" i="44"/>
  <c r="R3340" i="44"/>
  <c r="R3341" i="44"/>
  <c r="R3342" i="44"/>
  <c r="R3343" i="44"/>
  <c r="R3344" i="44"/>
  <c r="R3345" i="44"/>
  <c r="R3346" i="44"/>
  <c r="R3347" i="44"/>
  <c r="R3348" i="44"/>
  <c r="R3349" i="44"/>
  <c r="R3350" i="44"/>
  <c r="R3351" i="44"/>
  <c r="R3352" i="44"/>
  <c r="R3353" i="44"/>
  <c r="R3354" i="44"/>
  <c r="R3355" i="44"/>
  <c r="R3356" i="44"/>
  <c r="R3357" i="44"/>
  <c r="R3358" i="44"/>
  <c r="R3359" i="44"/>
  <c r="R3360" i="44"/>
  <c r="R3361" i="44"/>
  <c r="R3362" i="44"/>
  <c r="R3363" i="44"/>
  <c r="R3364" i="44"/>
  <c r="R3365" i="44"/>
  <c r="R3366" i="44"/>
  <c r="R3367" i="44"/>
  <c r="R3368" i="44"/>
  <c r="R3369" i="44"/>
  <c r="R3370" i="44"/>
  <c r="R3371" i="44"/>
  <c r="R3372" i="44"/>
  <c r="R3373" i="44"/>
  <c r="R3374" i="44"/>
  <c r="R3375" i="44"/>
  <c r="R3376" i="44"/>
  <c r="R3377" i="44"/>
  <c r="R3378" i="44"/>
  <c r="R3379" i="44"/>
  <c r="R3380" i="44"/>
  <c r="R3381" i="44"/>
  <c r="R3382" i="44"/>
  <c r="R3383" i="44"/>
  <c r="R3384" i="44"/>
  <c r="R3385" i="44"/>
  <c r="R3386" i="44"/>
  <c r="R3387" i="44"/>
  <c r="R3388" i="44"/>
  <c r="R3389" i="44"/>
  <c r="R3390" i="44"/>
  <c r="R3391" i="44"/>
  <c r="R3392" i="44"/>
  <c r="R3393" i="44"/>
  <c r="R3394" i="44"/>
  <c r="R3395" i="44"/>
  <c r="R3396" i="44"/>
  <c r="R3397" i="44"/>
  <c r="R3398" i="44"/>
  <c r="R3399" i="44"/>
  <c r="R3400" i="44"/>
  <c r="R3401" i="44"/>
  <c r="R3402" i="44"/>
  <c r="R3403" i="44"/>
  <c r="R3404" i="44"/>
  <c r="R3405" i="44"/>
  <c r="R3406" i="44"/>
  <c r="R3407" i="44"/>
  <c r="R3408" i="44"/>
  <c r="R3409" i="44"/>
  <c r="R3410" i="44"/>
  <c r="R3411" i="44"/>
  <c r="R3412" i="44"/>
  <c r="R3413" i="44"/>
  <c r="R3414" i="44"/>
  <c r="R3415" i="44"/>
  <c r="R3416" i="44"/>
  <c r="R3417" i="44"/>
  <c r="R3418" i="44"/>
  <c r="R3419" i="44"/>
  <c r="R3420" i="44"/>
  <c r="R3421" i="44"/>
  <c r="R3422" i="44"/>
  <c r="R3423" i="44"/>
  <c r="R3424" i="44"/>
  <c r="R3425" i="44"/>
  <c r="R3426" i="44"/>
  <c r="R3427" i="44"/>
  <c r="R3428" i="44"/>
  <c r="R3429" i="44"/>
  <c r="R3430" i="44"/>
  <c r="R3431" i="44"/>
  <c r="R3432" i="44"/>
  <c r="R3433" i="44"/>
  <c r="R3434" i="44"/>
  <c r="R3435" i="44"/>
  <c r="R3436" i="44"/>
  <c r="R3437" i="44"/>
  <c r="R3438" i="44"/>
  <c r="R3439" i="44"/>
  <c r="R3440" i="44"/>
  <c r="R3441" i="44"/>
  <c r="R3442" i="44"/>
  <c r="R3443" i="44"/>
  <c r="R3444" i="44"/>
  <c r="R3445" i="44"/>
  <c r="R3446" i="44"/>
  <c r="R3447" i="44"/>
  <c r="R3448" i="44"/>
  <c r="R3449" i="44"/>
  <c r="R3450" i="44"/>
  <c r="R3451" i="44"/>
  <c r="R3452" i="44"/>
  <c r="R3453" i="44"/>
  <c r="R3454" i="44"/>
  <c r="R3455" i="44"/>
  <c r="R3456" i="44"/>
  <c r="R3457" i="44"/>
  <c r="R3458" i="44"/>
  <c r="R3459" i="44"/>
  <c r="R3460" i="44"/>
  <c r="R3461" i="44"/>
  <c r="R3462" i="44"/>
  <c r="R3463" i="44"/>
  <c r="R3464" i="44"/>
  <c r="R3465" i="44"/>
  <c r="R3466" i="44"/>
  <c r="R3467" i="44"/>
  <c r="R3468" i="44"/>
  <c r="R3469" i="44"/>
  <c r="R3470" i="44"/>
  <c r="R3471" i="44"/>
  <c r="R3472" i="44"/>
  <c r="R3473" i="44"/>
  <c r="R3474" i="44"/>
  <c r="R3475" i="44"/>
  <c r="R3476" i="44"/>
  <c r="R3477" i="44"/>
  <c r="R3478" i="44"/>
  <c r="R3479" i="44"/>
  <c r="R3480" i="44"/>
  <c r="R3481" i="44"/>
  <c r="R3482" i="44"/>
  <c r="R3483" i="44"/>
  <c r="R3484" i="44"/>
  <c r="R3485" i="44"/>
  <c r="R3486" i="44"/>
  <c r="R3487" i="44"/>
  <c r="R3488" i="44"/>
  <c r="R3489" i="44"/>
  <c r="R3490" i="44"/>
  <c r="R3491" i="44"/>
  <c r="R3492" i="44"/>
  <c r="R3493" i="44"/>
  <c r="R3494" i="44"/>
  <c r="R3495" i="44"/>
  <c r="R3496" i="44"/>
  <c r="R3497" i="44"/>
  <c r="R3498" i="44"/>
  <c r="R3499" i="44"/>
  <c r="R3500" i="44"/>
  <c r="R3501" i="44"/>
  <c r="R3502" i="44"/>
  <c r="R3503" i="44"/>
  <c r="R3504" i="44"/>
  <c r="R3505" i="44"/>
  <c r="R3506" i="44"/>
  <c r="R3507" i="44"/>
  <c r="R3508" i="44"/>
  <c r="R3509" i="44"/>
  <c r="R3510" i="44"/>
  <c r="R3511" i="44"/>
  <c r="R3512" i="44"/>
  <c r="R3513" i="44"/>
  <c r="R3514" i="44"/>
  <c r="R3515" i="44"/>
  <c r="R3516" i="44"/>
  <c r="R3517" i="44"/>
  <c r="R3518" i="44"/>
  <c r="R3519" i="44"/>
  <c r="R3520" i="44"/>
  <c r="R3521" i="44"/>
  <c r="R3522" i="44"/>
  <c r="R3523" i="44"/>
  <c r="R3524" i="44"/>
  <c r="R3525" i="44"/>
  <c r="R3526" i="44"/>
  <c r="R3527" i="44"/>
  <c r="R3528" i="44"/>
  <c r="R3529" i="44"/>
  <c r="R3530" i="44"/>
  <c r="R3531" i="44"/>
  <c r="R3532" i="44"/>
  <c r="R3533" i="44"/>
  <c r="R3534" i="44"/>
  <c r="R3535" i="44"/>
  <c r="R3536" i="44"/>
  <c r="R3537" i="44"/>
  <c r="R3538" i="44"/>
  <c r="R3539" i="44"/>
  <c r="R3540" i="44"/>
  <c r="R3541" i="44"/>
  <c r="R3542" i="44"/>
  <c r="R3543" i="44"/>
  <c r="R3544" i="44"/>
  <c r="R3545" i="44"/>
  <c r="R3546" i="44"/>
  <c r="R3547" i="44"/>
  <c r="R3548" i="44"/>
  <c r="R3549" i="44"/>
  <c r="R3550" i="44"/>
  <c r="R3551" i="44"/>
  <c r="R3552" i="44"/>
  <c r="R3553" i="44"/>
  <c r="R3554" i="44"/>
  <c r="R3555" i="44"/>
  <c r="R3556" i="44"/>
  <c r="R3557" i="44"/>
  <c r="R3558" i="44"/>
  <c r="R3559" i="44"/>
  <c r="R3560" i="44"/>
  <c r="R3561" i="44"/>
  <c r="R3562" i="44"/>
  <c r="R3563" i="44"/>
  <c r="R3564" i="44"/>
  <c r="R3565" i="44"/>
  <c r="R3566" i="44"/>
  <c r="R3567" i="44"/>
  <c r="R3568" i="44"/>
  <c r="R3569" i="44"/>
  <c r="R3570" i="44"/>
  <c r="R3571" i="44"/>
  <c r="R3572" i="44"/>
  <c r="R3573" i="44"/>
  <c r="R3574" i="44"/>
  <c r="R3575" i="44"/>
  <c r="R3576" i="44"/>
  <c r="R3577" i="44"/>
  <c r="R3578" i="44"/>
  <c r="R3579" i="44"/>
  <c r="R3580" i="44"/>
  <c r="R3581" i="44"/>
  <c r="R3582" i="44"/>
  <c r="R3583" i="44"/>
  <c r="R3584" i="44"/>
  <c r="R3585" i="44"/>
  <c r="R3586" i="44"/>
  <c r="R3587" i="44"/>
  <c r="R3588" i="44"/>
  <c r="R3589" i="44"/>
  <c r="R3590" i="44"/>
  <c r="R3591" i="44"/>
  <c r="R3592" i="44"/>
  <c r="R3593" i="44"/>
  <c r="R3594" i="44"/>
  <c r="R3595" i="44"/>
  <c r="R3596" i="44"/>
  <c r="R3597" i="44"/>
  <c r="R3598" i="44"/>
  <c r="R3599" i="44"/>
  <c r="R3600" i="44"/>
  <c r="R3601" i="44"/>
  <c r="R3602" i="44"/>
  <c r="R3603" i="44"/>
  <c r="R3604" i="44"/>
  <c r="R3605" i="44"/>
  <c r="R3606" i="44"/>
  <c r="R3607" i="44"/>
  <c r="R3608" i="44"/>
  <c r="R3609" i="44"/>
  <c r="R3610" i="44"/>
  <c r="R3611" i="44"/>
  <c r="R3612" i="44"/>
  <c r="R3613" i="44"/>
  <c r="R3614" i="44"/>
  <c r="R3615" i="44"/>
  <c r="R3616" i="44"/>
  <c r="R3617" i="44"/>
  <c r="R3618" i="44"/>
  <c r="R3619" i="44"/>
  <c r="R3620" i="44"/>
  <c r="R3621" i="44"/>
  <c r="R3622" i="44"/>
  <c r="R3623" i="44"/>
  <c r="R3624" i="44"/>
  <c r="R3625" i="44"/>
  <c r="R3626" i="44"/>
  <c r="R3627" i="44"/>
  <c r="R3628" i="44"/>
  <c r="R3629" i="44"/>
  <c r="R3630" i="44"/>
  <c r="R3631" i="44"/>
  <c r="R3632" i="44"/>
  <c r="R3633" i="44"/>
  <c r="R3634" i="44"/>
  <c r="R3635" i="44"/>
  <c r="R3636" i="44"/>
  <c r="R3637" i="44"/>
  <c r="R3638" i="44"/>
  <c r="R3639" i="44"/>
  <c r="R3640" i="44"/>
  <c r="R3641" i="44"/>
  <c r="R3642" i="44"/>
  <c r="R3643" i="44"/>
  <c r="R3644" i="44"/>
  <c r="R3645" i="44"/>
  <c r="R3646" i="44"/>
  <c r="R3647" i="44"/>
  <c r="R3648" i="44"/>
  <c r="R3649" i="44"/>
  <c r="R3650" i="44"/>
  <c r="R3651" i="44"/>
  <c r="R3652" i="44"/>
  <c r="R3653" i="44"/>
  <c r="R3654" i="44"/>
  <c r="R3655" i="44"/>
  <c r="R3656" i="44"/>
  <c r="R3657" i="44"/>
  <c r="R3658" i="44"/>
  <c r="R3659" i="44"/>
  <c r="R3660" i="44"/>
  <c r="R3661" i="44"/>
  <c r="R3662" i="44"/>
  <c r="R3663" i="44"/>
  <c r="R3664" i="44"/>
  <c r="R3665" i="44"/>
  <c r="R3666" i="44"/>
  <c r="R3667" i="44"/>
  <c r="R3668" i="44"/>
  <c r="R3669" i="44"/>
  <c r="R3670" i="44"/>
  <c r="R3671" i="44"/>
  <c r="R3672" i="44"/>
  <c r="R3673" i="44"/>
  <c r="R3674" i="44"/>
  <c r="R3675" i="44"/>
  <c r="R3676" i="44"/>
  <c r="R3677" i="44"/>
  <c r="R3678" i="44"/>
  <c r="R3679" i="44"/>
  <c r="R3680" i="44"/>
  <c r="R3681" i="44"/>
  <c r="R3682" i="44"/>
  <c r="R3683" i="44"/>
  <c r="R3684" i="44"/>
  <c r="R3685" i="44"/>
  <c r="R3686" i="44"/>
  <c r="R3687" i="44"/>
  <c r="R3688" i="44"/>
  <c r="R3689" i="44"/>
  <c r="R3690" i="44"/>
  <c r="R3691" i="44"/>
  <c r="R3692" i="44"/>
  <c r="R3693" i="44"/>
  <c r="R3694" i="44"/>
  <c r="R3695" i="44"/>
  <c r="R3696" i="44"/>
  <c r="R3697" i="44"/>
  <c r="R3698" i="44"/>
  <c r="R3699" i="44"/>
  <c r="R3700" i="44"/>
  <c r="R3701" i="44"/>
  <c r="R3702" i="44"/>
  <c r="R3703" i="44"/>
  <c r="R3704" i="44"/>
  <c r="R3705" i="44"/>
  <c r="R3706" i="44"/>
  <c r="R3707" i="44"/>
  <c r="R3708" i="44"/>
  <c r="R3709" i="44"/>
  <c r="R3710" i="44"/>
  <c r="R3711" i="44"/>
  <c r="R3712" i="44"/>
  <c r="R3713" i="44"/>
  <c r="R3714" i="44"/>
  <c r="R3715" i="44"/>
  <c r="R3716" i="44"/>
  <c r="R3717" i="44"/>
  <c r="R3718" i="44"/>
  <c r="R3719" i="44"/>
  <c r="R3720" i="44"/>
  <c r="R3721" i="44"/>
  <c r="R3722" i="44"/>
  <c r="R3723" i="44"/>
  <c r="R3724" i="44"/>
  <c r="R3725" i="44"/>
  <c r="R3726" i="44"/>
  <c r="R3727" i="44"/>
  <c r="R3728" i="44"/>
  <c r="R3729" i="44"/>
  <c r="R3730" i="44"/>
  <c r="R3731" i="44"/>
  <c r="R3732" i="44"/>
  <c r="R3733" i="44"/>
  <c r="R3734" i="44"/>
  <c r="R3735" i="44"/>
  <c r="R3736" i="44"/>
  <c r="R3737" i="44"/>
  <c r="R3738" i="44"/>
  <c r="R3739" i="44"/>
  <c r="R3740" i="44"/>
  <c r="R3741" i="44"/>
  <c r="R3742" i="44"/>
  <c r="R3743" i="44"/>
  <c r="R3744" i="44"/>
  <c r="R3745" i="44"/>
  <c r="R3746" i="44"/>
  <c r="R3747" i="44"/>
  <c r="R3748" i="44"/>
  <c r="R3749" i="44"/>
  <c r="R3750" i="44"/>
  <c r="R3751" i="44"/>
  <c r="R3752" i="44"/>
  <c r="R3753" i="44"/>
  <c r="R3754" i="44"/>
  <c r="R3755" i="44"/>
  <c r="R3756" i="44"/>
  <c r="R3757" i="44"/>
  <c r="R3758" i="44"/>
  <c r="R3759" i="44"/>
  <c r="R3760" i="44"/>
  <c r="R3761" i="44"/>
  <c r="R3762" i="44"/>
  <c r="R3763" i="44"/>
  <c r="R3764" i="44"/>
  <c r="R3765" i="44"/>
  <c r="R3766" i="44"/>
  <c r="R3767" i="44"/>
  <c r="R3768" i="44"/>
  <c r="R3769" i="44"/>
  <c r="R3770" i="44"/>
  <c r="R3771" i="44"/>
  <c r="R3772" i="44"/>
  <c r="R3773" i="44"/>
  <c r="R3774" i="44"/>
  <c r="R3775" i="44"/>
  <c r="R3776" i="44"/>
  <c r="R3777" i="44"/>
  <c r="R3778" i="44"/>
  <c r="R3779" i="44"/>
  <c r="R3780" i="44"/>
  <c r="R3781" i="44"/>
  <c r="R3782" i="44"/>
  <c r="R3783" i="44"/>
  <c r="R3784" i="44"/>
  <c r="R3785" i="44"/>
  <c r="R3786" i="44"/>
  <c r="R3787" i="44"/>
  <c r="R3788" i="44"/>
  <c r="R3789" i="44"/>
  <c r="R3790" i="44"/>
  <c r="R3791" i="44"/>
  <c r="R3792" i="44"/>
  <c r="R3793" i="44"/>
  <c r="R3794" i="44"/>
  <c r="R3795" i="44"/>
  <c r="R3796" i="44"/>
  <c r="R3797" i="44"/>
  <c r="R3798" i="44"/>
  <c r="R3799" i="44"/>
  <c r="R3800" i="44"/>
  <c r="R3801" i="44"/>
  <c r="R3802" i="44"/>
  <c r="R3803" i="44"/>
  <c r="R3804" i="44"/>
  <c r="R3805" i="44"/>
  <c r="R3806" i="44"/>
  <c r="R3807" i="44"/>
  <c r="R3808" i="44"/>
  <c r="R3809" i="44"/>
  <c r="R3810" i="44"/>
  <c r="R3811" i="44"/>
  <c r="R3812" i="44"/>
  <c r="R3813" i="44"/>
  <c r="R3814" i="44"/>
  <c r="R3815" i="44"/>
  <c r="R3816" i="44"/>
  <c r="R3817" i="44"/>
  <c r="R3818" i="44"/>
  <c r="R3819" i="44"/>
  <c r="R3820" i="44"/>
  <c r="R3821" i="44"/>
  <c r="R3822" i="44"/>
  <c r="R3823" i="44"/>
  <c r="R3824" i="44"/>
  <c r="R3825" i="44"/>
  <c r="R3826" i="44"/>
  <c r="R3827" i="44"/>
  <c r="R3828" i="44"/>
  <c r="R3829" i="44"/>
  <c r="R3830" i="44"/>
  <c r="R3831" i="44"/>
  <c r="R3832" i="44"/>
  <c r="R3833" i="44"/>
  <c r="R3834" i="44"/>
  <c r="R3835" i="44"/>
  <c r="R3836" i="44"/>
  <c r="R3837" i="44"/>
  <c r="R3838" i="44"/>
  <c r="R3839" i="44"/>
  <c r="R3840" i="44"/>
  <c r="R3841" i="44"/>
  <c r="R3842" i="44"/>
  <c r="R3843" i="44"/>
  <c r="R3844" i="44"/>
  <c r="R3845" i="44"/>
  <c r="R3846" i="44"/>
  <c r="R3847" i="44"/>
  <c r="R3848" i="44"/>
  <c r="R3849" i="44"/>
  <c r="R3850" i="44"/>
  <c r="R3851" i="44"/>
  <c r="R3852" i="44"/>
  <c r="R3853" i="44"/>
  <c r="R3854" i="44"/>
  <c r="R3855" i="44"/>
  <c r="R3856" i="44"/>
  <c r="R3857" i="44"/>
  <c r="R3858" i="44"/>
  <c r="R3859" i="44"/>
  <c r="R3860" i="44"/>
  <c r="R3861" i="44"/>
  <c r="R3862" i="44"/>
  <c r="R3863" i="44"/>
  <c r="R3864" i="44"/>
  <c r="R3865" i="44"/>
  <c r="R3866" i="44"/>
  <c r="R3867" i="44"/>
  <c r="R3868" i="44"/>
  <c r="R3869" i="44"/>
  <c r="R3870" i="44"/>
  <c r="R3871" i="44"/>
  <c r="R3872" i="44"/>
  <c r="R3873" i="44"/>
  <c r="R3874" i="44"/>
  <c r="R3875" i="44"/>
  <c r="R3876" i="44"/>
  <c r="R3877" i="44"/>
  <c r="R3878" i="44"/>
  <c r="R3879" i="44"/>
  <c r="R3880" i="44"/>
  <c r="R3881" i="44"/>
  <c r="R3882" i="44"/>
  <c r="R3883" i="44"/>
  <c r="R3884" i="44"/>
  <c r="R3885" i="44"/>
  <c r="R3886" i="44"/>
  <c r="R3887" i="44"/>
  <c r="R3888" i="44"/>
  <c r="R3889" i="44"/>
  <c r="R3890" i="44"/>
  <c r="R3891" i="44"/>
  <c r="R3892" i="44"/>
  <c r="R3893" i="44"/>
  <c r="R3894" i="44"/>
  <c r="R3895" i="44"/>
  <c r="R3896" i="44"/>
  <c r="R3897" i="44"/>
  <c r="R3898" i="44"/>
  <c r="R3899" i="44"/>
  <c r="R3900" i="44"/>
  <c r="R3901" i="44"/>
  <c r="R3902" i="44"/>
  <c r="R3903" i="44"/>
  <c r="R3904" i="44"/>
  <c r="R3905" i="44"/>
  <c r="R3906" i="44"/>
  <c r="R3907" i="44"/>
  <c r="R3908" i="44"/>
  <c r="R3909" i="44"/>
  <c r="R3910" i="44"/>
  <c r="R3911" i="44"/>
  <c r="R3912" i="44"/>
  <c r="R3913" i="44"/>
  <c r="R3914" i="44"/>
  <c r="R3915" i="44"/>
  <c r="R3916" i="44"/>
  <c r="R3917" i="44"/>
  <c r="R3918" i="44"/>
  <c r="R3919" i="44"/>
  <c r="R3920" i="44"/>
  <c r="R3921" i="44"/>
  <c r="R3922" i="44"/>
  <c r="R3923" i="44"/>
  <c r="R3924" i="44"/>
  <c r="R3925" i="44"/>
  <c r="R3926" i="44"/>
  <c r="R3927" i="44"/>
  <c r="R3928" i="44"/>
  <c r="R3929" i="44"/>
  <c r="R3930" i="44"/>
  <c r="R3931" i="44"/>
  <c r="R3932" i="44"/>
  <c r="R3933" i="44"/>
  <c r="R3934" i="44"/>
  <c r="R3935" i="44"/>
  <c r="R3936" i="44"/>
  <c r="R3937" i="44"/>
  <c r="R3938" i="44"/>
  <c r="R3939" i="44"/>
  <c r="R3940" i="44"/>
  <c r="R3941" i="44"/>
  <c r="R3942" i="44"/>
  <c r="R3943" i="44"/>
  <c r="R3944" i="44"/>
  <c r="R3945" i="44"/>
  <c r="R3946" i="44"/>
  <c r="R3947" i="44"/>
  <c r="R3948" i="44"/>
  <c r="R3949" i="44"/>
  <c r="R3950" i="44"/>
  <c r="R3951" i="44"/>
  <c r="R3952" i="44"/>
  <c r="R3953" i="44"/>
  <c r="R3954" i="44"/>
  <c r="R3955" i="44"/>
  <c r="R3956" i="44"/>
  <c r="R3957" i="44"/>
  <c r="R3958" i="44"/>
  <c r="R3959" i="44"/>
  <c r="R3960" i="44"/>
  <c r="R3961" i="44"/>
  <c r="R3962" i="44"/>
  <c r="R3963" i="44"/>
  <c r="R3964" i="44"/>
  <c r="R3965" i="44"/>
  <c r="R3966" i="44"/>
  <c r="R3967" i="44"/>
  <c r="R3968" i="44"/>
  <c r="R3969" i="44"/>
  <c r="R3970" i="44"/>
  <c r="R3971" i="44"/>
  <c r="R3972" i="44"/>
  <c r="R3973" i="44"/>
  <c r="R3974" i="44"/>
  <c r="R3975" i="44"/>
  <c r="R3976" i="44"/>
  <c r="R3977" i="44"/>
  <c r="R3978" i="44"/>
  <c r="R3979" i="44"/>
  <c r="R3980" i="44"/>
  <c r="R3981" i="44"/>
  <c r="R3982" i="44"/>
  <c r="R3983" i="44"/>
  <c r="R3984" i="44"/>
  <c r="R3985" i="44"/>
  <c r="R3986" i="44"/>
  <c r="R3987" i="44"/>
  <c r="R3988" i="44"/>
  <c r="R3989" i="44"/>
  <c r="R3990" i="44"/>
  <c r="R3991" i="44"/>
  <c r="R3992" i="44"/>
  <c r="R3993" i="44"/>
  <c r="R3994" i="44"/>
  <c r="R3995" i="44"/>
  <c r="R3996" i="44"/>
  <c r="R3997" i="44"/>
  <c r="R3998" i="44"/>
  <c r="R3999" i="44"/>
  <c r="R4000" i="44"/>
  <c r="R4001" i="44"/>
  <c r="R4002" i="44"/>
  <c r="R4003" i="44"/>
  <c r="R4004" i="44"/>
  <c r="R4005" i="44"/>
  <c r="R4006" i="44"/>
  <c r="R4007" i="44"/>
  <c r="R4008" i="44"/>
  <c r="R4009" i="44"/>
  <c r="R4010" i="44"/>
  <c r="R4011" i="44"/>
  <c r="R4012" i="44"/>
  <c r="R4013" i="44"/>
  <c r="R4014" i="44"/>
  <c r="R4015" i="44"/>
  <c r="R4016" i="44"/>
  <c r="R4017" i="44"/>
  <c r="I25" i="54"/>
  <c r="I23" i="54"/>
  <c r="BB30" i="49"/>
  <c r="BA30" i="49"/>
  <c r="C5" i="49" a="1"/>
  <c r="C5" i="49" s="1"/>
  <c r="D5" i="49" a="1"/>
  <c r="D5" i="49"/>
  <c r="E5" i="49" a="1"/>
  <c r="E5" i="49" s="1"/>
  <c r="F5" i="49" a="1"/>
  <c r="F5" i="49" s="1"/>
  <c r="G5" i="49" a="1"/>
  <c r="G5" i="49" s="1"/>
  <c r="H5" i="49" a="1"/>
  <c r="H5" i="49" s="1"/>
  <c r="I5" i="49" a="1"/>
  <c r="I5" i="49"/>
  <c r="J5" i="49" a="1"/>
  <c r="J5" i="49" s="1"/>
  <c r="K5" i="49" a="1"/>
  <c r="K5" i="49" s="1"/>
  <c r="L5" i="49" a="1"/>
  <c r="L5" i="49" s="1"/>
  <c r="M5" i="49" a="1"/>
  <c r="M5" i="49" s="1"/>
  <c r="N5" i="49" a="1"/>
  <c r="N5" i="49" s="1"/>
  <c r="O5" i="49" a="1"/>
  <c r="O5" i="49" s="1"/>
  <c r="P5" i="49" a="1"/>
  <c r="P5" i="49"/>
  <c r="Q5" i="49" a="1"/>
  <c r="Q5" i="49" s="1"/>
  <c r="R5" i="49" a="1"/>
  <c r="R5" i="49"/>
  <c r="S5" i="49" a="1"/>
  <c r="S5" i="49" s="1"/>
  <c r="T5" i="49" a="1"/>
  <c r="T5" i="49" s="1"/>
  <c r="U5" i="49" a="1"/>
  <c r="U5" i="49" s="1"/>
  <c r="V5" i="49" a="1"/>
  <c r="V5" i="49" s="1"/>
  <c r="W5" i="49" a="1"/>
  <c r="W5" i="49" s="1"/>
  <c r="X5" i="49" a="1"/>
  <c r="X5" i="49"/>
  <c r="Y5" i="49" a="1"/>
  <c r="Y5" i="49" s="1"/>
  <c r="Z5" i="49" a="1"/>
  <c r="Z5" i="49" s="1"/>
  <c r="AA5" i="49" a="1"/>
  <c r="AA5" i="49" s="1"/>
  <c r="AB5" i="49" a="1"/>
  <c r="AB5" i="49" s="1"/>
  <c r="AC5" i="49" a="1"/>
  <c r="AC5" i="49" s="1"/>
  <c r="AD5" i="49" a="1"/>
  <c r="AD5" i="49" s="1"/>
  <c r="AE5" i="49" a="1"/>
  <c r="AE5" i="49" s="1"/>
  <c r="AF5" i="49" a="1"/>
  <c r="AF5" i="49"/>
  <c r="AG5" i="49" a="1"/>
  <c r="AG5" i="49"/>
  <c r="AH5" i="49" a="1"/>
  <c r="AH5" i="49"/>
  <c r="AI5" i="49" a="1"/>
  <c r="AI5" i="49" s="1"/>
  <c r="AJ5" i="49" a="1"/>
  <c r="AJ5" i="49" s="1"/>
  <c r="AK5" i="49" a="1"/>
  <c r="AK5" i="49" s="1"/>
  <c r="AL5" i="49" a="1"/>
  <c r="AL5" i="49" s="1"/>
  <c r="AM5" i="49" a="1"/>
  <c r="AM5" i="49" s="1"/>
  <c r="AN5" i="49" a="1"/>
  <c r="AN5" i="49" s="1"/>
  <c r="AO5" i="49" a="1"/>
  <c r="AO5" i="49"/>
  <c r="AP5" i="49" a="1"/>
  <c r="AP5" i="49"/>
  <c r="AQ5" i="49" a="1"/>
  <c r="AQ5" i="49" s="1"/>
  <c r="AR5" i="49" a="1"/>
  <c r="AR5" i="49" s="1"/>
  <c r="AS5" i="49" a="1"/>
  <c r="AS5" i="49" s="1"/>
  <c r="AT5" i="49" a="1"/>
  <c r="AT5" i="49" s="1"/>
  <c r="AU5" i="49" a="1"/>
  <c r="AU5" i="49" s="1"/>
  <c r="AV5" i="49" a="1"/>
  <c r="AV5" i="49" s="1"/>
  <c r="AW5" i="49" a="1"/>
  <c r="AW5" i="49" s="1"/>
  <c r="AX5" i="49" a="1"/>
  <c r="AX5" i="49"/>
  <c r="AY5" i="49" a="1"/>
  <c r="AY5" i="49" s="1"/>
  <c r="AZ5" i="49" a="1"/>
  <c r="AZ5" i="49" s="1"/>
  <c r="BA5" i="49" a="1"/>
  <c r="BA5" i="49" s="1"/>
  <c r="BB5" i="49" a="1"/>
  <c r="BB5" i="49" s="1"/>
  <c r="C6" i="49" a="1"/>
  <c r="C6" i="49" s="1"/>
  <c r="D6" i="49" a="1"/>
  <c r="D6" i="49" s="1"/>
  <c r="E6" i="49" a="1"/>
  <c r="E6" i="49"/>
  <c r="F6" i="49" a="1"/>
  <c r="F6" i="49" s="1"/>
  <c r="G6" i="49" a="1"/>
  <c r="G6" i="49" s="1"/>
  <c r="H6" i="49" a="1"/>
  <c r="H6" i="49" s="1"/>
  <c r="I6" i="49" a="1"/>
  <c r="I6" i="49" s="1"/>
  <c r="J6" i="49" a="1"/>
  <c r="J6" i="49" s="1"/>
  <c r="K6" i="49" a="1"/>
  <c r="K6" i="49" s="1"/>
  <c r="L6" i="49" a="1"/>
  <c r="L6" i="49"/>
  <c r="M6" i="49" a="1"/>
  <c r="M6" i="49"/>
  <c r="N6" i="49" a="1"/>
  <c r="N6" i="49"/>
  <c r="O6" i="49" a="1"/>
  <c r="O6" i="49" s="1"/>
  <c r="P6" i="49" a="1"/>
  <c r="P6" i="49" s="1"/>
  <c r="Q6" i="49" a="1"/>
  <c r="Q6" i="49" s="1"/>
  <c r="R6" i="49" a="1"/>
  <c r="R6" i="49" s="1"/>
  <c r="S6" i="49" a="1"/>
  <c r="S6" i="49" s="1"/>
  <c r="T6" i="49" a="1"/>
  <c r="T6" i="49" s="1"/>
  <c r="U6" i="49" a="1"/>
  <c r="U6" i="49"/>
  <c r="V6" i="49" a="1"/>
  <c r="V6" i="49"/>
  <c r="W6" i="49" a="1"/>
  <c r="W6" i="49" s="1"/>
  <c r="X6" i="49" a="1"/>
  <c r="X6" i="49" s="1"/>
  <c r="Y6" i="49" a="1"/>
  <c r="Y6" i="49" s="1"/>
  <c r="Z6" i="49" a="1"/>
  <c r="Z6" i="49" s="1"/>
  <c r="AA6" i="49" a="1"/>
  <c r="AA6" i="49" s="1"/>
  <c r="AB6" i="49" a="1"/>
  <c r="AB6" i="49"/>
  <c r="AC6" i="49" a="1"/>
  <c r="AC6" i="49" s="1"/>
  <c r="AD6" i="49" a="1"/>
  <c r="AD6" i="49" s="1"/>
  <c r="AE6" i="49" a="1"/>
  <c r="AE6" i="49" s="1"/>
  <c r="AF6" i="49" a="1"/>
  <c r="AF6" i="49" s="1"/>
  <c r="AG6" i="49" a="1"/>
  <c r="AG6" i="49" s="1"/>
  <c r="AH6" i="49" a="1"/>
  <c r="AH6" i="49" s="1"/>
  <c r="AI6" i="49" a="1"/>
  <c r="AI6" i="49" s="1"/>
  <c r="AJ6" i="49" a="1"/>
  <c r="AJ6" i="49"/>
  <c r="AK6" i="49" a="1"/>
  <c r="AK6" i="49" s="1"/>
  <c r="AL6" i="49" a="1"/>
  <c r="AL6" i="49" s="1"/>
  <c r="AM6" i="49" a="1"/>
  <c r="AM6" i="49" s="1"/>
  <c r="AN6" i="49" a="1"/>
  <c r="AN6" i="49" s="1"/>
  <c r="AO6" i="49" a="1"/>
  <c r="AO6" i="49" s="1"/>
  <c r="AP6" i="49" a="1"/>
  <c r="AP6" i="49" s="1"/>
  <c r="AQ6" i="49" a="1"/>
  <c r="AQ6" i="49" s="1"/>
  <c r="AR6" i="49" a="1"/>
  <c r="AR6" i="49"/>
  <c r="AS6" i="49" a="1"/>
  <c r="AS6" i="49"/>
  <c r="AT6" i="49" a="1"/>
  <c r="AT6" i="49" s="1"/>
  <c r="AU6" i="49" a="1"/>
  <c r="AU6" i="49" s="1"/>
  <c r="AV6" i="49" a="1"/>
  <c r="AV6" i="49" s="1"/>
  <c r="AW6" i="49" a="1"/>
  <c r="AW6" i="49" s="1"/>
  <c r="AX6" i="49" a="1"/>
  <c r="AX6" i="49" s="1"/>
  <c r="AY6" i="49" a="1"/>
  <c r="AY6" i="49" s="1"/>
  <c r="AZ6" i="49" a="1"/>
  <c r="AZ6" i="49" s="1"/>
  <c r="BA6" i="49" a="1"/>
  <c r="BA6" i="49" s="1"/>
  <c r="BB6" i="49" a="1"/>
  <c r="BB6" i="49"/>
  <c r="C7" i="49" a="1"/>
  <c r="C7" i="49" s="1"/>
  <c r="D7" i="49" a="1"/>
  <c r="D7" i="49" s="1"/>
  <c r="E7" i="49" a="1"/>
  <c r="E7" i="49" s="1"/>
  <c r="F7" i="49" a="1"/>
  <c r="F7" i="49" s="1"/>
  <c r="G7" i="49" a="1"/>
  <c r="G7" i="49" s="1"/>
  <c r="H7" i="49" a="1"/>
  <c r="H7" i="49"/>
  <c r="I7" i="49" a="1"/>
  <c r="I7" i="49" s="1"/>
  <c r="J7" i="49" a="1"/>
  <c r="J7" i="49"/>
  <c r="K7" i="49" a="1"/>
  <c r="K7" i="49" s="1"/>
  <c r="L7" i="49" a="1"/>
  <c r="L7" i="49" s="1"/>
  <c r="M7" i="49" a="1"/>
  <c r="M7" i="49" s="1"/>
  <c r="N7" i="49" a="1"/>
  <c r="N7" i="49" s="1"/>
  <c r="O7" i="49" a="1"/>
  <c r="O7" i="49" s="1"/>
  <c r="P7" i="49" a="1"/>
  <c r="P7" i="49"/>
  <c r="Q7" i="49" a="1"/>
  <c r="Q7" i="49"/>
  <c r="R7" i="49" a="1"/>
  <c r="R7" i="49" s="1"/>
  <c r="S7" i="49" a="1"/>
  <c r="S7" i="49" s="1"/>
  <c r="T7" i="49" a="1"/>
  <c r="T7" i="49" s="1"/>
  <c r="U7" i="49" a="1"/>
  <c r="U7" i="49" s="1"/>
  <c r="V7" i="49" a="1"/>
  <c r="V7" i="49" s="1"/>
  <c r="W7" i="49" a="1"/>
  <c r="W7" i="49" s="1"/>
  <c r="X7" i="49" a="1"/>
  <c r="X7" i="49" s="1"/>
  <c r="Y7" i="49" a="1"/>
  <c r="Y7" i="49"/>
  <c r="Z7" i="49" a="1"/>
  <c r="Z7" i="49"/>
  <c r="AA7" i="49" a="1"/>
  <c r="AA7" i="49" s="1"/>
  <c r="AB7" i="49" a="1"/>
  <c r="AB7" i="49" s="1"/>
  <c r="AC7" i="49" a="1"/>
  <c r="AC7" i="49" s="1"/>
  <c r="AD7" i="49" a="1"/>
  <c r="AD7" i="49" s="1"/>
  <c r="AE7" i="49" a="1"/>
  <c r="AE7" i="49" s="1"/>
  <c r="AF7" i="49" a="1"/>
  <c r="AF7" i="49" s="1"/>
  <c r="AG7" i="49" a="1"/>
  <c r="AG7" i="49" s="1"/>
  <c r="AH7" i="49" a="1"/>
  <c r="AH7" i="49"/>
  <c r="AI7" i="49" a="1"/>
  <c r="AI7" i="49" s="1"/>
  <c r="AJ7" i="49" a="1"/>
  <c r="AJ7" i="49" s="1"/>
  <c r="AK7" i="49" a="1"/>
  <c r="AK7" i="49" s="1"/>
  <c r="AL7" i="49" a="1"/>
  <c r="AL7" i="49" s="1"/>
  <c r="AM7" i="49" a="1"/>
  <c r="AM7" i="49" s="1"/>
  <c r="AN7" i="49" a="1"/>
  <c r="AN7" i="49" s="1"/>
  <c r="AO7" i="49" a="1"/>
  <c r="AO7" i="49" s="1"/>
  <c r="AP7" i="49" a="1"/>
  <c r="AP7" i="49" s="1"/>
  <c r="AQ7" i="49" a="1"/>
  <c r="AQ7" i="49" s="1"/>
  <c r="AR7" i="49" a="1"/>
  <c r="AR7" i="49" s="1"/>
  <c r="AS7" i="49" a="1"/>
  <c r="AS7" i="49" s="1"/>
  <c r="AT7" i="49" a="1"/>
  <c r="AT7" i="49"/>
  <c r="AU7" i="49" a="1"/>
  <c r="AU7" i="49" s="1"/>
  <c r="AV7" i="49" a="1"/>
  <c r="AV7" i="49"/>
  <c r="AW7" i="49" a="1"/>
  <c r="AW7" i="49" s="1"/>
  <c r="AX7" i="49" a="1"/>
  <c r="AX7" i="49" s="1"/>
  <c r="AY7" i="49" a="1"/>
  <c r="AY7" i="49" s="1"/>
  <c r="AZ7" i="49" a="1"/>
  <c r="AZ7" i="49" s="1"/>
  <c r="BA7" i="49" a="1"/>
  <c r="BA7" i="49" s="1"/>
  <c r="BB7" i="49" a="1"/>
  <c r="BB7" i="49" s="1"/>
  <c r="C8" i="49" a="1"/>
  <c r="C8" i="49" s="1"/>
  <c r="D8" i="49" a="1"/>
  <c r="D8" i="49" s="1"/>
  <c r="E8" i="49" a="1"/>
  <c r="E8" i="49" s="1"/>
  <c r="F8" i="49" a="1"/>
  <c r="F8" i="49" s="1"/>
  <c r="G8" i="49" a="1"/>
  <c r="G8" i="49" s="1"/>
  <c r="H8" i="49" a="1"/>
  <c r="H8" i="49"/>
  <c r="I8" i="49" a="1"/>
  <c r="I8" i="49" s="1"/>
  <c r="J8" i="49" a="1"/>
  <c r="J8" i="49" s="1"/>
  <c r="K8" i="49" a="1"/>
  <c r="K8" i="49" s="1"/>
  <c r="L8" i="49" a="1"/>
  <c r="L8" i="49" s="1"/>
  <c r="M8" i="49" a="1"/>
  <c r="M8" i="49"/>
  <c r="N8" i="49" a="1"/>
  <c r="N8" i="49"/>
  <c r="O8" i="49" a="1"/>
  <c r="O8" i="49" s="1"/>
  <c r="P8" i="49" a="1"/>
  <c r="P8" i="49" s="1"/>
  <c r="Q8" i="49" a="1"/>
  <c r="Q8" i="49"/>
  <c r="R8" i="49" a="1"/>
  <c r="R8" i="49" s="1"/>
  <c r="S8" i="49" a="1"/>
  <c r="S8" i="49" s="1"/>
  <c r="T8" i="49" a="1"/>
  <c r="T8" i="49" s="1"/>
  <c r="U8" i="49" a="1"/>
  <c r="U8" i="49" s="1"/>
  <c r="V8" i="49" a="1"/>
  <c r="V8" i="49" s="1"/>
  <c r="W8" i="49" a="1"/>
  <c r="W8" i="49" s="1"/>
  <c r="X8" i="49" a="1"/>
  <c r="X8" i="49" s="1"/>
  <c r="Y8" i="49" a="1"/>
  <c r="Y8" i="49" s="1"/>
  <c r="Z8" i="49" a="1"/>
  <c r="Z8" i="49"/>
  <c r="AA8" i="49" a="1"/>
  <c r="AA8" i="49" s="1"/>
  <c r="AB8" i="49" a="1"/>
  <c r="AB8" i="49"/>
  <c r="AC8" i="49" a="1"/>
  <c r="AC8" i="49" s="1"/>
  <c r="AD8" i="49" a="1"/>
  <c r="AD8" i="49" s="1"/>
  <c r="AE8" i="49" a="1"/>
  <c r="AE8" i="49" s="1"/>
  <c r="AF8" i="49" a="1"/>
  <c r="AF8" i="49" s="1"/>
  <c r="AG8" i="49" a="1"/>
  <c r="AG8" i="49" s="1"/>
  <c r="AH8" i="49" a="1"/>
  <c r="AH8" i="49" s="1"/>
  <c r="AI8" i="49" a="1"/>
  <c r="AI8" i="49" s="1"/>
  <c r="AJ8" i="49" a="1"/>
  <c r="AJ8" i="49" s="1"/>
  <c r="AK8" i="49" a="1"/>
  <c r="AK8" i="49"/>
  <c r="AL8" i="49" a="1"/>
  <c r="AL8" i="49" s="1"/>
  <c r="AM8" i="49" a="1"/>
  <c r="AM8" i="49" s="1"/>
  <c r="AN8" i="49" a="1"/>
  <c r="AN8" i="49"/>
  <c r="AO8" i="49" a="1"/>
  <c r="AO8" i="49" s="1"/>
  <c r="AP8" i="49" a="1"/>
  <c r="AP8" i="49" s="1"/>
  <c r="AQ8" i="49" a="1"/>
  <c r="AQ8" i="49" s="1"/>
  <c r="AR8" i="49" a="1"/>
  <c r="AR8" i="49" s="1"/>
  <c r="AS8" i="49" a="1"/>
  <c r="AS8" i="49" s="1"/>
  <c r="AT8" i="49" a="1"/>
  <c r="AT8" i="49"/>
  <c r="AU8" i="49" a="1"/>
  <c r="AU8" i="49" s="1"/>
  <c r="AV8" i="49" a="1"/>
  <c r="AV8" i="49" s="1"/>
  <c r="AW8" i="49" a="1"/>
  <c r="AW8" i="49"/>
  <c r="AX8" i="49" a="1"/>
  <c r="AX8" i="49" s="1"/>
  <c r="AY8" i="49" a="1"/>
  <c r="AY8" i="49" s="1"/>
  <c r="AZ8" i="49" a="1"/>
  <c r="AZ8" i="49" s="1"/>
  <c r="BA8" i="49" a="1"/>
  <c r="BA8" i="49" s="1"/>
  <c r="BB8" i="49" a="1"/>
  <c r="BB8" i="49" s="1"/>
  <c r="C9" i="49" a="1"/>
  <c r="C9" i="49" s="1"/>
  <c r="D9" i="49" a="1"/>
  <c r="D9" i="49" s="1"/>
  <c r="E9" i="49" a="1"/>
  <c r="E9" i="49" s="1"/>
  <c r="F9" i="49" a="1"/>
  <c r="F9" i="49"/>
  <c r="G9" i="49" a="1"/>
  <c r="G9" i="49" s="1"/>
  <c r="H9" i="49" a="1"/>
  <c r="H9" i="49" s="1"/>
  <c r="I9" i="49" a="1"/>
  <c r="I9" i="49" s="1"/>
  <c r="J9" i="49" a="1"/>
  <c r="J9" i="49" s="1"/>
  <c r="K9" i="49" a="1"/>
  <c r="K9" i="49" s="1"/>
  <c r="L9" i="49" a="1"/>
  <c r="L9" i="49" s="1"/>
  <c r="M9" i="49" a="1"/>
  <c r="M9" i="49" s="1"/>
  <c r="N9" i="49" a="1"/>
  <c r="N9" i="49" s="1"/>
  <c r="O9" i="49" a="1"/>
  <c r="O9" i="49" s="1"/>
  <c r="P9" i="49" a="1"/>
  <c r="P9" i="49"/>
  <c r="Q9" i="49" a="1"/>
  <c r="Q9" i="49" s="1"/>
  <c r="R9" i="49" a="1"/>
  <c r="R9" i="49" s="1"/>
  <c r="S9" i="49" a="1"/>
  <c r="S9" i="49" s="1"/>
  <c r="T9" i="49" a="1"/>
  <c r="T9" i="49"/>
  <c r="U9" i="49" a="1"/>
  <c r="U9" i="49" s="1"/>
  <c r="V9" i="49" a="1"/>
  <c r="V9" i="49" s="1"/>
  <c r="W9" i="49" a="1"/>
  <c r="W9" i="49" s="1"/>
  <c r="X9" i="49" a="1"/>
  <c r="X9" i="49" s="1"/>
  <c r="Y9" i="49" a="1"/>
  <c r="Y9" i="49"/>
  <c r="Z9" i="49" a="1"/>
  <c r="Z9" i="49"/>
  <c r="AA9" i="49" a="1"/>
  <c r="AA9" i="49" s="1"/>
  <c r="AB9" i="49" a="1"/>
  <c r="AB9" i="49" s="1"/>
  <c r="AC9" i="49" a="1"/>
  <c r="AC9" i="49"/>
  <c r="AD9" i="49" a="1"/>
  <c r="AD9" i="49" s="1"/>
  <c r="AE9" i="49" a="1"/>
  <c r="AE9" i="49" s="1"/>
  <c r="AF9" i="49" a="1"/>
  <c r="AF9" i="49"/>
  <c r="AG9" i="49" a="1"/>
  <c r="AG9" i="49" s="1"/>
  <c r="AH9" i="49" a="1"/>
  <c r="AH9" i="49"/>
  <c r="AI9" i="49" a="1"/>
  <c r="AI9" i="49" s="1"/>
  <c r="AJ9" i="49" a="1"/>
  <c r="AJ9" i="49" s="1"/>
  <c r="AK9" i="49" a="1"/>
  <c r="AK9" i="49" s="1"/>
  <c r="AL9" i="49" a="1"/>
  <c r="AL9" i="49"/>
  <c r="AM9" i="49" a="1"/>
  <c r="AM9" i="49" s="1"/>
  <c r="AN9" i="49" a="1"/>
  <c r="AN9" i="49" s="1"/>
  <c r="AO9" i="49" a="1"/>
  <c r="AO9" i="49" s="1"/>
  <c r="AP9" i="49" a="1"/>
  <c r="AP9" i="49" s="1"/>
  <c r="AQ9" i="49" a="1"/>
  <c r="AQ9" i="49" s="1"/>
  <c r="AR9" i="49" a="1"/>
  <c r="AR9" i="49" s="1"/>
  <c r="AS9" i="49" a="1"/>
  <c r="AS9" i="49" s="1"/>
  <c r="AT9" i="49" a="1"/>
  <c r="AT9" i="49" s="1"/>
  <c r="AU9" i="49" a="1"/>
  <c r="AU9" i="49" s="1"/>
  <c r="AV9" i="49" a="1"/>
  <c r="AV9" i="49"/>
  <c r="AW9" i="49" a="1"/>
  <c r="AW9" i="49"/>
  <c r="AX9" i="49" a="1"/>
  <c r="AX9" i="49" s="1"/>
  <c r="AY9" i="49" a="1"/>
  <c r="AY9" i="49" s="1"/>
  <c r="AZ9" i="49" a="1"/>
  <c r="AZ9" i="49"/>
  <c r="BA9" i="49" a="1"/>
  <c r="BA9" i="49" s="1"/>
  <c r="BB9" i="49" a="1"/>
  <c r="BB9" i="49" s="1"/>
  <c r="C10" i="49" a="1"/>
  <c r="C10" i="49" s="1"/>
  <c r="D10" i="49" a="1"/>
  <c r="D10" i="49" s="1"/>
  <c r="E10" i="49" a="1"/>
  <c r="E10" i="49" s="1"/>
  <c r="F10" i="49" a="1"/>
  <c r="F10" i="49" s="1"/>
  <c r="G10" i="49" a="1"/>
  <c r="G10" i="49" s="1"/>
  <c r="H10" i="49" a="1"/>
  <c r="H10" i="49" s="1"/>
  <c r="I10" i="49" a="1"/>
  <c r="I10" i="49"/>
  <c r="J10" i="49" a="1"/>
  <c r="J10" i="49" s="1"/>
  <c r="K10" i="49" a="1"/>
  <c r="K10" i="49" s="1"/>
  <c r="L10" i="49" a="1"/>
  <c r="L10" i="49"/>
  <c r="M10" i="49" a="1"/>
  <c r="M10" i="49" s="1"/>
  <c r="N10" i="49" a="1"/>
  <c r="N10" i="49"/>
  <c r="O10" i="49" a="1"/>
  <c r="O10" i="49" s="1"/>
  <c r="P10" i="49" a="1"/>
  <c r="P10" i="49" s="1"/>
  <c r="Q10" i="49" a="1"/>
  <c r="Q10" i="49" s="1"/>
  <c r="R10" i="49" a="1"/>
  <c r="R10" i="49"/>
  <c r="S10" i="49" a="1"/>
  <c r="S10" i="49" s="1"/>
  <c r="T10" i="49" a="1"/>
  <c r="T10" i="49" s="1"/>
  <c r="U10" i="49" a="1"/>
  <c r="U10" i="49" s="1"/>
  <c r="V10" i="49" a="1"/>
  <c r="V10" i="49" s="1"/>
  <c r="W10" i="49" a="1"/>
  <c r="W10" i="49" s="1"/>
  <c r="X10" i="49" a="1"/>
  <c r="X10" i="49" s="1"/>
  <c r="Y10" i="49" a="1"/>
  <c r="Y10" i="49" s="1"/>
  <c r="Z10" i="49" a="1"/>
  <c r="Z10" i="49" s="1"/>
  <c r="AA10" i="49" a="1"/>
  <c r="AA10" i="49" s="1"/>
  <c r="AB10" i="49" a="1"/>
  <c r="AB10" i="49" s="1"/>
  <c r="AC10" i="49" a="1"/>
  <c r="AC10" i="49"/>
  <c r="AD10" i="49" a="1"/>
  <c r="AD10" i="49" s="1"/>
  <c r="AE10" i="49" a="1"/>
  <c r="AE10" i="49" s="1"/>
  <c r="AF10" i="49" a="1"/>
  <c r="AF10" i="49"/>
  <c r="AG10" i="49" a="1"/>
  <c r="AG10" i="49" s="1"/>
  <c r="AH10" i="49" a="1"/>
  <c r="AH10" i="49" s="1"/>
  <c r="AI10" i="49" a="1"/>
  <c r="AI10" i="49" s="1"/>
  <c r="AJ10" i="49" a="1"/>
  <c r="AJ10" i="49" s="1"/>
  <c r="AK10" i="49" a="1"/>
  <c r="AK10" i="49" s="1"/>
  <c r="AL10" i="49" a="1"/>
  <c r="AL10" i="49" s="1"/>
  <c r="AM10" i="49" a="1"/>
  <c r="AM10" i="49" s="1"/>
  <c r="AN10" i="49" a="1"/>
  <c r="AN10" i="49" s="1"/>
  <c r="AO10" i="49" a="1"/>
  <c r="AO10" i="49"/>
  <c r="AP10" i="49" a="1"/>
  <c r="AP10" i="49" s="1"/>
  <c r="AQ10" i="49" a="1"/>
  <c r="AQ10" i="49" s="1"/>
  <c r="AR10" i="49" a="1"/>
  <c r="AR10" i="49" s="1"/>
  <c r="AS10" i="49" a="1"/>
  <c r="AS10" i="49" s="1"/>
  <c r="AT10" i="49" a="1"/>
  <c r="AT10" i="49" s="1"/>
  <c r="AU10" i="49" a="1"/>
  <c r="AU10" i="49" s="1"/>
  <c r="AV10" i="49" a="1"/>
  <c r="AV10" i="49" s="1"/>
  <c r="AW10" i="49" a="1"/>
  <c r="AW10" i="49" s="1"/>
  <c r="AX10" i="49" a="1"/>
  <c r="AX10" i="49"/>
  <c r="AY10" i="49" a="1"/>
  <c r="AY10" i="49" s="1"/>
  <c r="AZ10" i="49" a="1"/>
  <c r="AZ10" i="49" s="1"/>
  <c r="BA10" i="49" a="1"/>
  <c r="BA10" i="49" s="1"/>
  <c r="BB10" i="49" a="1"/>
  <c r="BB10" i="49" s="1"/>
  <c r="C11" i="49" a="1"/>
  <c r="C11" i="49" s="1"/>
  <c r="D11" i="49" a="1"/>
  <c r="D11" i="49" s="1"/>
  <c r="E11" i="49" a="1"/>
  <c r="E11" i="49" s="1"/>
  <c r="F11" i="49" a="1"/>
  <c r="F11" i="49" s="1"/>
  <c r="G11" i="49" a="1"/>
  <c r="G11" i="49" s="1"/>
  <c r="H11" i="49" a="1"/>
  <c r="H11" i="49" s="1"/>
  <c r="I11" i="49" a="1"/>
  <c r="I11" i="49" s="1"/>
  <c r="J11" i="49" a="1"/>
  <c r="J11" i="49"/>
  <c r="K11" i="49" a="1"/>
  <c r="K11" i="49" s="1"/>
  <c r="L11" i="49" a="1"/>
  <c r="L11" i="49"/>
  <c r="M11" i="49" a="1"/>
  <c r="M11" i="49" s="1"/>
  <c r="N11" i="49" a="1"/>
  <c r="N11" i="49" s="1"/>
  <c r="O11" i="49" a="1"/>
  <c r="O11" i="49" s="1"/>
  <c r="P11" i="49" a="1"/>
  <c r="P11" i="49" s="1"/>
  <c r="Q11" i="49" a="1"/>
  <c r="Q11" i="49" s="1"/>
  <c r="R11" i="49" a="1"/>
  <c r="R11" i="49" s="1"/>
  <c r="S11" i="49" a="1"/>
  <c r="S11" i="49" s="1"/>
  <c r="T11" i="49" a="1"/>
  <c r="T11" i="49" s="1"/>
  <c r="U11" i="49" a="1"/>
  <c r="U11" i="49"/>
  <c r="V11" i="49" a="1"/>
  <c r="V11" i="49" s="1"/>
  <c r="W11" i="49" a="1"/>
  <c r="W11" i="49" s="1"/>
  <c r="X11" i="49" a="1"/>
  <c r="X11" i="49"/>
  <c r="Y11" i="49" a="1"/>
  <c r="Y11" i="49" s="1"/>
  <c r="Z11" i="49" a="1"/>
  <c r="Z11" i="49"/>
  <c r="AA11" i="49" a="1"/>
  <c r="AA11" i="49" s="1"/>
  <c r="AB11" i="49" a="1"/>
  <c r="AB11" i="49"/>
  <c r="AC11" i="49" a="1"/>
  <c r="AC11" i="49" s="1"/>
  <c r="AD11" i="49" a="1"/>
  <c r="AD11" i="49"/>
  <c r="AE11" i="49" a="1"/>
  <c r="AE11" i="49" s="1"/>
  <c r="AF11" i="49" a="1"/>
  <c r="AF11" i="49" s="1"/>
  <c r="AG11" i="49" a="1"/>
  <c r="AG11" i="49"/>
  <c r="AH11" i="49" a="1"/>
  <c r="AH11" i="49"/>
  <c r="AI11" i="49" a="1"/>
  <c r="AI11" i="49" s="1"/>
  <c r="AJ11" i="49" a="1"/>
  <c r="AJ11" i="49" s="1"/>
  <c r="AK11" i="49" a="1"/>
  <c r="AK11" i="49" s="1"/>
  <c r="AL11" i="49" a="1"/>
  <c r="AL11" i="49" s="1"/>
  <c r="AM11" i="49" a="1"/>
  <c r="AM11" i="49" s="1"/>
  <c r="AN11" i="49" a="1"/>
  <c r="AN11" i="49"/>
  <c r="AO11" i="49" a="1"/>
  <c r="AO11" i="49" s="1"/>
  <c r="AP11" i="49" a="1"/>
  <c r="AP11" i="49"/>
  <c r="AQ11" i="49" a="1"/>
  <c r="AQ11" i="49" s="1"/>
  <c r="AR11" i="49" a="1"/>
  <c r="AR11" i="49" s="1"/>
  <c r="AS11" i="49" a="1"/>
  <c r="AS11" i="49" s="1"/>
  <c r="AT11" i="49" a="1"/>
  <c r="AT11" i="49" s="1"/>
  <c r="AU11" i="49" a="1"/>
  <c r="AU11" i="49" s="1"/>
  <c r="AV11" i="49" a="1"/>
  <c r="AV11" i="49" s="1"/>
  <c r="AW11" i="49" a="1"/>
  <c r="AW11" i="49"/>
  <c r="AX11" i="49" a="1"/>
  <c r="AX11" i="49" s="1"/>
  <c r="AY11" i="49" a="1"/>
  <c r="AY11" i="49" s="1"/>
  <c r="AZ11" i="49" a="1"/>
  <c r="AZ11" i="49" s="1"/>
  <c r="BA11" i="49" a="1"/>
  <c r="BA11" i="49" s="1"/>
  <c r="BB11" i="49" a="1"/>
  <c r="BB11" i="49" s="1"/>
  <c r="C12" i="49" a="1"/>
  <c r="C12" i="49" s="1"/>
  <c r="D12" i="49" a="1"/>
  <c r="D12" i="49"/>
  <c r="E12" i="49" a="1"/>
  <c r="E12" i="49" s="1"/>
  <c r="F12" i="49" a="1"/>
  <c r="F12" i="49"/>
  <c r="G12" i="49" a="1"/>
  <c r="G12" i="49" s="1"/>
  <c r="H12" i="49" a="1"/>
  <c r="H12" i="49" s="1"/>
  <c r="I12" i="49" a="1"/>
  <c r="I12" i="49" s="1"/>
  <c r="J12" i="49" a="1"/>
  <c r="J12" i="49" s="1"/>
  <c r="K12" i="49" a="1"/>
  <c r="K12" i="49" s="1"/>
  <c r="L12" i="49" a="1"/>
  <c r="L12" i="49" s="1"/>
  <c r="M12" i="49" a="1"/>
  <c r="M12" i="49"/>
  <c r="N12" i="49" a="1"/>
  <c r="N12" i="49" s="1"/>
  <c r="O12" i="49" a="1"/>
  <c r="O12" i="49" s="1"/>
  <c r="P12" i="49" a="1"/>
  <c r="P12" i="49" s="1"/>
  <c r="Q12" i="49" a="1"/>
  <c r="Q12" i="49" s="1"/>
  <c r="R12" i="49" a="1"/>
  <c r="R12" i="49" s="1"/>
  <c r="S12" i="49" a="1"/>
  <c r="S12" i="49" s="1"/>
  <c r="T12" i="49" a="1"/>
  <c r="T12" i="49"/>
  <c r="U12" i="49" a="1"/>
  <c r="U12" i="49" s="1"/>
  <c r="V12" i="49" a="1"/>
  <c r="V12" i="49"/>
  <c r="W12" i="49" a="1"/>
  <c r="W12" i="49" s="1"/>
  <c r="X12" i="49" a="1"/>
  <c r="X12" i="49" s="1"/>
  <c r="Y12" i="49" a="1"/>
  <c r="Y12" i="49" s="1"/>
  <c r="Z12" i="49" a="1"/>
  <c r="Z12" i="49" s="1"/>
  <c r="AA12" i="49" a="1"/>
  <c r="AA12" i="49" s="1"/>
  <c r="AB12" i="49" a="1"/>
  <c r="AB12" i="49" s="1"/>
  <c r="AC12" i="49" a="1"/>
  <c r="AC12" i="49"/>
  <c r="AD12" i="49" a="1"/>
  <c r="AD12" i="49" s="1"/>
  <c r="AE12" i="49" a="1"/>
  <c r="AE12" i="49" s="1"/>
  <c r="AF12" i="49" a="1"/>
  <c r="AF12" i="49" s="1"/>
  <c r="AG12" i="49" a="1"/>
  <c r="AG12" i="49" s="1"/>
  <c r="AH12" i="49" a="1"/>
  <c r="AH12" i="49" s="1"/>
  <c r="AI12" i="49" a="1"/>
  <c r="AI12" i="49" s="1"/>
  <c r="AJ12" i="49" a="1"/>
  <c r="AJ12" i="49"/>
  <c r="AK12" i="49" a="1"/>
  <c r="AK12" i="49" s="1"/>
  <c r="AL12" i="49" a="1"/>
  <c r="AL12" i="49"/>
  <c r="AM12" i="49" a="1"/>
  <c r="AM12" i="49" s="1"/>
  <c r="AN12" i="49" a="1"/>
  <c r="AN12" i="49" s="1"/>
  <c r="AO12" i="49" a="1"/>
  <c r="AO12" i="49" s="1"/>
  <c r="AP12" i="49" a="1"/>
  <c r="AP12" i="49"/>
  <c r="AQ12" i="49" a="1"/>
  <c r="AQ12" i="49" s="1"/>
  <c r="AR12" i="49" a="1"/>
  <c r="AR12" i="49" s="1"/>
  <c r="AS12" i="49" a="1"/>
  <c r="AS12" i="49"/>
  <c r="AT12" i="49" a="1"/>
  <c r="AT12" i="49" s="1"/>
  <c r="AU12" i="49" a="1"/>
  <c r="AU12" i="49" s="1"/>
  <c r="AV12" i="49" a="1"/>
  <c r="AV12" i="49" s="1"/>
  <c r="AW12" i="49" a="1"/>
  <c r="AW12" i="49" s="1"/>
  <c r="AX12" i="49" a="1"/>
  <c r="AX12" i="49" s="1"/>
  <c r="AY12" i="49" a="1"/>
  <c r="AY12" i="49" s="1"/>
  <c r="AZ12" i="49" a="1"/>
  <c r="AZ12" i="49"/>
  <c r="BA12" i="49" a="1"/>
  <c r="BA12" i="49" s="1"/>
  <c r="BB12" i="49" a="1"/>
  <c r="BB12" i="49"/>
  <c r="C13" i="49" a="1"/>
  <c r="C13" i="49" s="1"/>
  <c r="D13" i="49" a="1"/>
  <c r="D13" i="49" s="1"/>
  <c r="E13" i="49" a="1"/>
  <c r="E13" i="49" s="1"/>
  <c r="F13" i="49" a="1"/>
  <c r="F13" i="49" s="1"/>
  <c r="G13" i="49" a="1"/>
  <c r="G13" i="49" s="1"/>
  <c r="H13" i="49" a="1"/>
  <c r="H13" i="49" s="1"/>
  <c r="I13" i="49" a="1"/>
  <c r="I13" i="49"/>
  <c r="J13" i="49" a="1"/>
  <c r="J13" i="49" s="1"/>
  <c r="K13" i="49" a="1"/>
  <c r="K13" i="49" s="1"/>
  <c r="L13" i="49" a="1"/>
  <c r="L13" i="49" s="1"/>
  <c r="M13" i="49" a="1"/>
  <c r="M13" i="49" s="1"/>
  <c r="N13" i="49" a="1"/>
  <c r="N13" i="49" s="1"/>
  <c r="O13" i="49" a="1"/>
  <c r="O13" i="49" s="1"/>
  <c r="P13" i="49" a="1"/>
  <c r="P13" i="49" s="1"/>
  <c r="Q13" i="49" a="1"/>
  <c r="Q13" i="49"/>
  <c r="R13" i="49" a="1"/>
  <c r="R13" i="49"/>
  <c r="S13" i="49" a="1"/>
  <c r="S13" i="49" s="1"/>
  <c r="T13" i="49" a="1"/>
  <c r="T13" i="49"/>
  <c r="U13" i="49" a="1"/>
  <c r="U13" i="49" s="1"/>
  <c r="V13" i="49" a="1"/>
  <c r="V13" i="49" s="1"/>
  <c r="W13" i="49" a="1"/>
  <c r="W13" i="49" s="1"/>
  <c r="X13" i="49" a="1"/>
  <c r="X13" i="49" s="1"/>
  <c r="Y13" i="49" a="1"/>
  <c r="Y13" i="49" s="1"/>
  <c r="Z13" i="49" a="1"/>
  <c r="Z13" i="49" s="1"/>
  <c r="AA13" i="49" a="1"/>
  <c r="AA13" i="49" s="1"/>
  <c r="AB13" i="49" a="1"/>
  <c r="AB13" i="49" s="1"/>
  <c r="AC13" i="49" a="1"/>
  <c r="AC13" i="49"/>
  <c r="AD13" i="49" a="1"/>
  <c r="AD13" i="49" s="1"/>
  <c r="AE13" i="49" a="1"/>
  <c r="AE13" i="49" s="1"/>
  <c r="AF13" i="49" a="1"/>
  <c r="AF13" i="49"/>
  <c r="AG13" i="49" a="1"/>
  <c r="AG13" i="49" s="1"/>
  <c r="AH13" i="49" a="1"/>
  <c r="AH13" i="49" s="1"/>
  <c r="AI13" i="49" a="1"/>
  <c r="AI13" i="49" s="1"/>
  <c r="AJ13" i="49" a="1"/>
  <c r="AJ13" i="49" s="1"/>
  <c r="AK13" i="49" a="1"/>
  <c r="AK13" i="49" s="1"/>
  <c r="AL13" i="49" a="1"/>
  <c r="AL13" i="49"/>
  <c r="AM13" i="49" a="1"/>
  <c r="AM13" i="49" s="1"/>
  <c r="AN13" i="49" a="1"/>
  <c r="AN13" i="49" s="1"/>
  <c r="AO13" i="49" a="1"/>
  <c r="AO13" i="49"/>
  <c r="AP13" i="49" a="1"/>
  <c r="AP13" i="49" s="1"/>
  <c r="AQ13" i="49" a="1"/>
  <c r="AQ13" i="49" s="1"/>
  <c r="AR13" i="49" a="1"/>
  <c r="AR13" i="49" s="1"/>
  <c r="AS13" i="49" a="1"/>
  <c r="AS13" i="49" s="1"/>
  <c r="AT13" i="49" a="1"/>
  <c r="AT13" i="49" s="1"/>
  <c r="AU13" i="49" a="1"/>
  <c r="AU13" i="49" s="1"/>
  <c r="AV13" i="49" a="1"/>
  <c r="AV13" i="49" s="1"/>
  <c r="AW13" i="49" a="1"/>
  <c r="AW13" i="49" s="1"/>
  <c r="AX13" i="49" a="1"/>
  <c r="AX13" i="49"/>
  <c r="AY13" i="49" a="1"/>
  <c r="AY13" i="49" s="1"/>
  <c r="AZ13" i="49" a="1"/>
  <c r="AZ13" i="49"/>
  <c r="BA13" i="49" a="1"/>
  <c r="BA13" i="49" s="1"/>
  <c r="BB13" i="49" a="1"/>
  <c r="BB13" i="49" s="1"/>
  <c r="C14" i="49" a="1"/>
  <c r="C14" i="49" s="1"/>
  <c r="D14" i="49" a="1"/>
  <c r="D14" i="49" s="1"/>
  <c r="E14" i="49" a="1"/>
  <c r="E14" i="49" s="1"/>
  <c r="F14" i="49" a="1"/>
  <c r="F14" i="49" s="1"/>
  <c r="G14" i="49" a="1"/>
  <c r="G14" i="49" s="1"/>
  <c r="H14" i="49" a="1"/>
  <c r="H14" i="49" s="1"/>
  <c r="I14" i="49" a="1"/>
  <c r="I14" i="49"/>
  <c r="J14" i="49" a="1"/>
  <c r="J14" i="49" s="1"/>
  <c r="K14" i="49" a="1"/>
  <c r="K14" i="49" s="1"/>
  <c r="L14" i="49" a="1"/>
  <c r="L14" i="49"/>
  <c r="M14" i="49" a="1"/>
  <c r="M14" i="49" s="1"/>
  <c r="N14" i="49" a="1"/>
  <c r="N14" i="49" s="1"/>
  <c r="O14" i="49" a="1"/>
  <c r="O14" i="49" s="1"/>
  <c r="P14" i="49" a="1"/>
  <c r="P14" i="49" s="1"/>
  <c r="Q14" i="49" a="1"/>
  <c r="Q14" i="49" s="1"/>
  <c r="R14" i="49" a="1"/>
  <c r="R14" i="49"/>
  <c r="S14" i="49" a="1"/>
  <c r="S14" i="49" s="1"/>
  <c r="T14" i="49" a="1"/>
  <c r="T14" i="49" s="1"/>
  <c r="U14" i="49" a="1"/>
  <c r="U14" i="49"/>
  <c r="V14" i="49" a="1"/>
  <c r="V14" i="49" s="1"/>
  <c r="W14" i="49" a="1"/>
  <c r="W14" i="49" s="1"/>
  <c r="X14" i="49" a="1"/>
  <c r="X14" i="49" s="1"/>
  <c r="Y14" i="49" a="1"/>
  <c r="Y14" i="49" s="1"/>
  <c r="Z14" i="49" a="1"/>
  <c r="Z14" i="49" s="1"/>
  <c r="AA14" i="49" a="1"/>
  <c r="AA14" i="49" s="1"/>
  <c r="AB14" i="49" a="1"/>
  <c r="AB14" i="49" s="1"/>
  <c r="AC14" i="49" a="1"/>
  <c r="AC14" i="49" s="1"/>
  <c r="AD14" i="49" a="1"/>
  <c r="AD14" i="49"/>
  <c r="AE14" i="49" a="1"/>
  <c r="AE14" i="49" s="1"/>
  <c r="AF14" i="49" a="1"/>
  <c r="AF14" i="49"/>
  <c r="AG14" i="49" a="1"/>
  <c r="AG14" i="49" s="1"/>
  <c r="AH14" i="49" a="1"/>
  <c r="AH14" i="49" s="1"/>
  <c r="AI14" i="49" a="1"/>
  <c r="AI14" i="49" s="1"/>
  <c r="AJ14" i="49" a="1"/>
  <c r="AJ14" i="49" s="1"/>
  <c r="AK14" i="49" a="1"/>
  <c r="AK14" i="49" s="1"/>
  <c r="AL14" i="49" a="1"/>
  <c r="AL14" i="49" s="1"/>
  <c r="AM14" i="49" a="1"/>
  <c r="AM14" i="49" s="1"/>
  <c r="AN14" i="49" a="1"/>
  <c r="AN14" i="49" s="1"/>
  <c r="AO14" i="49" a="1"/>
  <c r="AO14" i="49"/>
  <c r="AP14" i="49" a="1"/>
  <c r="AP14" i="49" s="1"/>
  <c r="AQ14" i="49" a="1"/>
  <c r="AQ14" i="49" s="1"/>
  <c r="AR14" i="49" a="1"/>
  <c r="AR14" i="49"/>
  <c r="AS14" i="49" a="1"/>
  <c r="AS14" i="49" s="1"/>
  <c r="AT14" i="49" a="1"/>
  <c r="AT14" i="49" s="1"/>
  <c r="AU14" i="49" a="1"/>
  <c r="AU14" i="49" s="1"/>
  <c r="AV14" i="49" a="1"/>
  <c r="AV14" i="49"/>
  <c r="AW14" i="49" a="1"/>
  <c r="AW14" i="49" s="1"/>
  <c r="AX14" i="49" a="1"/>
  <c r="AX14" i="49"/>
  <c r="AY14" i="49" a="1"/>
  <c r="AY14" i="49" s="1"/>
  <c r="AZ14" i="49" a="1"/>
  <c r="AZ14" i="49" s="1"/>
  <c r="BA14" i="49" a="1"/>
  <c r="BA14" i="49"/>
  <c r="BB14" i="49" a="1"/>
  <c r="BB14" i="49" s="1"/>
  <c r="C15" i="49" a="1"/>
  <c r="C15" i="49" s="1"/>
  <c r="D15" i="49" a="1"/>
  <c r="D15" i="49" s="1"/>
  <c r="E15" i="49" a="1"/>
  <c r="E15" i="49" s="1"/>
  <c r="F15" i="49" a="1"/>
  <c r="F15" i="49" s="1"/>
  <c r="G15" i="49" a="1"/>
  <c r="G15" i="49" s="1"/>
  <c r="H15" i="49" a="1"/>
  <c r="H15" i="49" s="1"/>
  <c r="I15" i="49" a="1"/>
  <c r="I15" i="49" s="1"/>
  <c r="J15" i="49" a="1"/>
  <c r="J15" i="49"/>
  <c r="K15" i="49" a="1"/>
  <c r="K15" i="49" s="1"/>
  <c r="L15" i="49" a="1"/>
  <c r="L15" i="49"/>
  <c r="M15" i="49" a="1"/>
  <c r="M15" i="49" s="1"/>
  <c r="N15" i="49" a="1"/>
  <c r="N15" i="49"/>
  <c r="O15" i="49" a="1"/>
  <c r="O15" i="49" s="1"/>
  <c r="P15" i="49" a="1"/>
  <c r="P15" i="49" s="1"/>
  <c r="Q15" i="49" a="1"/>
  <c r="Q15" i="49" s="1"/>
  <c r="R15" i="49" a="1"/>
  <c r="R15" i="49" s="1"/>
  <c r="S15" i="49" a="1"/>
  <c r="S15" i="49" s="1"/>
  <c r="T15" i="49" a="1"/>
  <c r="T15" i="49" s="1"/>
  <c r="U15" i="49" a="1"/>
  <c r="U15" i="49"/>
  <c r="V15" i="49" a="1"/>
  <c r="V15" i="49" s="1"/>
  <c r="W15" i="49" a="1"/>
  <c r="W15" i="49" s="1"/>
  <c r="X15" i="49" a="1"/>
  <c r="X15" i="49"/>
  <c r="Y15" i="49" a="1"/>
  <c r="Y15" i="49" s="1"/>
  <c r="Z15" i="49" a="1"/>
  <c r="Z15" i="49"/>
  <c r="AA15" i="49" a="1"/>
  <c r="AA15" i="49" s="1"/>
  <c r="AB15" i="49" a="1"/>
  <c r="AB15" i="49"/>
  <c r="AC15" i="49" a="1"/>
  <c r="AC15" i="49" s="1"/>
  <c r="AD15" i="49" a="1"/>
  <c r="AD15" i="49"/>
  <c r="AE15" i="49" a="1"/>
  <c r="AE15" i="49" s="1"/>
  <c r="AF15" i="49" a="1"/>
  <c r="AF15" i="49" s="1"/>
  <c r="AG15" i="49" a="1"/>
  <c r="AG15" i="49" s="1"/>
  <c r="AH15" i="49" a="1"/>
  <c r="AH15" i="49" s="1"/>
  <c r="AI15" i="49" a="1"/>
  <c r="AI15" i="49" s="1"/>
  <c r="AJ15" i="49" a="1"/>
  <c r="AJ15" i="49" s="1"/>
  <c r="AK15" i="49" a="1"/>
  <c r="AK15" i="49" s="1"/>
  <c r="AL15" i="49" a="1"/>
  <c r="AL15" i="49"/>
  <c r="AM15" i="49" a="1"/>
  <c r="AM15" i="49" s="1"/>
  <c r="AN15" i="49" a="1"/>
  <c r="AN15" i="49" s="1"/>
  <c r="AO15" i="49" a="1"/>
  <c r="AO15" i="49" s="1"/>
  <c r="AP15" i="49" a="1"/>
  <c r="AP15" i="49" s="1"/>
  <c r="AQ15" i="49" a="1"/>
  <c r="AQ15" i="49" s="1"/>
  <c r="AR15" i="49" a="1"/>
  <c r="AR15" i="49" s="1"/>
  <c r="AS15" i="49" a="1"/>
  <c r="AS15" i="49"/>
  <c r="AT15" i="49" a="1"/>
  <c r="AT15" i="49" s="1"/>
  <c r="AU15" i="49" a="1"/>
  <c r="AU15" i="49"/>
  <c r="AV15" i="49" a="1"/>
  <c r="AV15" i="49" s="1"/>
  <c r="AW15" i="49" a="1"/>
  <c r="AW15" i="49" s="1"/>
  <c r="AX15" i="49" a="1"/>
  <c r="AX15" i="49" s="1"/>
  <c r="AY15" i="49" a="1"/>
  <c r="AY15" i="49" s="1"/>
  <c r="AZ15" i="49" a="1"/>
  <c r="AZ15" i="49" s="1"/>
  <c r="BA15" i="49" a="1"/>
  <c r="BA15" i="49" s="1"/>
  <c r="BB15" i="49" a="1"/>
  <c r="BB15" i="49"/>
  <c r="C16" i="49" a="1"/>
  <c r="C16" i="49" s="1"/>
  <c r="D16" i="49" a="1"/>
  <c r="D16" i="49" s="1"/>
  <c r="E16" i="49" a="1"/>
  <c r="E16" i="49" s="1"/>
  <c r="F16" i="49" a="1"/>
  <c r="F16" i="49" s="1"/>
  <c r="G16" i="49" a="1"/>
  <c r="G16" i="49" s="1"/>
  <c r="H16" i="49" a="1"/>
  <c r="H16" i="49" s="1"/>
  <c r="I16" i="49" a="1"/>
  <c r="I16" i="49"/>
  <c r="J16" i="49" a="1"/>
  <c r="J16" i="49" s="1"/>
  <c r="K16" i="49" a="1"/>
  <c r="K16" i="49"/>
  <c r="L16" i="49" a="1"/>
  <c r="L16" i="49" s="1"/>
  <c r="M16" i="49" a="1"/>
  <c r="M16" i="49" s="1"/>
  <c r="N16" i="49" a="1"/>
  <c r="N16" i="49" s="1"/>
  <c r="O16" i="49" a="1"/>
  <c r="O16" i="49" s="1"/>
  <c r="P16" i="49" a="1"/>
  <c r="P16" i="49" s="1"/>
  <c r="Q16" i="49" a="1"/>
  <c r="Q16" i="49" s="1"/>
  <c r="R16" i="49" a="1"/>
  <c r="R16" i="49"/>
  <c r="S16" i="49" a="1"/>
  <c r="S16" i="49" s="1"/>
  <c r="T16" i="49" a="1"/>
  <c r="T16" i="49" s="1"/>
  <c r="U16" i="49" a="1"/>
  <c r="U16" i="49" s="1"/>
  <c r="V16" i="49" a="1"/>
  <c r="V16" i="49" s="1"/>
  <c r="W16" i="49" a="1"/>
  <c r="W16" i="49" s="1"/>
  <c r="X16" i="49" a="1"/>
  <c r="X16" i="49" s="1"/>
  <c r="Y16" i="49" a="1"/>
  <c r="Y16" i="49"/>
  <c r="Z16" i="49" a="1"/>
  <c r="Z16" i="49" s="1"/>
  <c r="AA16" i="49" a="1"/>
  <c r="AA16" i="49"/>
  <c r="AB16" i="49" a="1"/>
  <c r="AB16" i="49" s="1"/>
  <c r="AC16" i="49" a="1"/>
  <c r="AC16" i="49" s="1"/>
  <c r="AD16" i="49" a="1"/>
  <c r="AD16" i="49" s="1"/>
  <c r="AE16" i="49" a="1"/>
  <c r="AE16" i="49" s="1"/>
  <c r="AF16" i="49" a="1"/>
  <c r="AF16" i="49" s="1"/>
  <c r="AG16" i="49" a="1"/>
  <c r="AG16" i="49" s="1"/>
  <c r="AH16" i="49" a="1"/>
  <c r="AH16" i="49"/>
  <c r="AI16" i="49" a="1"/>
  <c r="AI16" i="49" s="1"/>
  <c r="AJ16" i="49" a="1"/>
  <c r="AJ16" i="49" s="1"/>
  <c r="AK16" i="49" a="1"/>
  <c r="AK16" i="49" s="1"/>
  <c r="AL16" i="49" a="1"/>
  <c r="AL16" i="49" s="1"/>
  <c r="AM16" i="49" a="1"/>
  <c r="AM16" i="49" s="1"/>
  <c r="AN16" i="49" a="1"/>
  <c r="AN16" i="49" s="1"/>
  <c r="AO16" i="49" a="1"/>
  <c r="AO16" i="49"/>
  <c r="AP16" i="49" a="1"/>
  <c r="AP16" i="49" s="1"/>
  <c r="AQ16" i="49" a="1"/>
  <c r="AQ16" i="49"/>
  <c r="AR16" i="49" a="1"/>
  <c r="AR16" i="49" s="1"/>
  <c r="AS16" i="49" a="1"/>
  <c r="AS16" i="49" s="1"/>
  <c r="AT16" i="49" a="1"/>
  <c r="AT16" i="49" s="1"/>
  <c r="AU16" i="49" a="1"/>
  <c r="AU16" i="49" s="1"/>
  <c r="AV16" i="49" a="1"/>
  <c r="AV16" i="49" s="1"/>
  <c r="AW16" i="49" a="1"/>
  <c r="AW16" i="49"/>
  <c r="AX16" i="49" a="1"/>
  <c r="AX16" i="49"/>
  <c r="AY16" i="49" a="1"/>
  <c r="AY16" i="49" s="1"/>
  <c r="AZ16" i="49" a="1"/>
  <c r="AZ16" i="49" s="1"/>
  <c r="BA16" i="49" a="1"/>
  <c r="BA16" i="49" s="1"/>
  <c r="BB16" i="49" a="1"/>
  <c r="BB16" i="49" s="1"/>
  <c r="C17" i="49" a="1"/>
  <c r="C17" i="49" s="1"/>
  <c r="D17" i="49" a="1"/>
  <c r="D17" i="49" s="1"/>
  <c r="E17" i="49" a="1"/>
  <c r="E17" i="49"/>
  <c r="F17" i="49" a="1"/>
  <c r="F17" i="49"/>
  <c r="G17" i="49" a="1"/>
  <c r="G17" i="49"/>
  <c r="H17" i="49" a="1"/>
  <c r="H17" i="49" s="1"/>
  <c r="I17" i="49" a="1"/>
  <c r="I17" i="49" s="1"/>
  <c r="J17" i="49" a="1"/>
  <c r="J17" i="49" s="1"/>
  <c r="K17" i="49" a="1"/>
  <c r="K17" i="49" s="1"/>
  <c r="L17" i="49" a="1"/>
  <c r="L17" i="49" s="1"/>
  <c r="M17" i="49" a="1"/>
  <c r="M17" i="49" s="1"/>
  <c r="N17" i="49" a="1"/>
  <c r="N17" i="49"/>
  <c r="O17" i="49" a="1"/>
  <c r="O17" i="49"/>
  <c r="P17" i="49" a="1"/>
  <c r="P17" i="49" s="1"/>
  <c r="Q17" i="49" a="1"/>
  <c r="Q17" i="49" s="1"/>
  <c r="R17" i="49" a="1"/>
  <c r="R17" i="49" s="1"/>
  <c r="S17" i="49" a="1"/>
  <c r="S17" i="49" s="1"/>
  <c r="T17" i="49" a="1"/>
  <c r="T17" i="49" s="1"/>
  <c r="U17" i="49" a="1"/>
  <c r="U17" i="49"/>
  <c r="V17" i="49" a="1"/>
  <c r="V17" i="49" s="1"/>
  <c r="W17" i="49" a="1"/>
  <c r="W17" i="49"/>
  <c r="X17" i="49" a="1"/>
  <c r="X17" i="49" s="1"/>
  <c r="Y17" i="49" a="1"/>
  <c r="Y17" i="49" s="1"/>
  <c r="Z17" i="49" a="1"/>
  <c r="Z17" i="49" s="1"/>
  <c r="AA17" i="49" a="1"/>
  <c r="AA17" i="49" s="1"/>
  <c r="AB17" i="49" a="1"/>
  <c r="AB17" i="49" s="1"/>
  <c r="AC17" i="49" a="1"/>
  <c r="AC17" i="49" s="1"/>
  <c r="AD17" i="49" a="1"/>
  <c r="AD17" i="49"/>
  <c r="AE17" i="49" a="1"/>
  <c r="AE17" i="49" s="1"/>
  <c r="AF17" i="49" a="1"/>
  <c r="AF17" i="49" s="1"/>
  <c r="AG17" i="49" a="1"/>
  <c r="AG17" i="49" s="1"/>
  <c r="AH17" i="49" a="1"/>
  <c r="AH17" i="49" s="1"/>
  <c r="AI17" i="49" a="1"/>
  <c r="AI17" i="49" s="1"/>
  <c r="AJ17" i="49" a="1"/>
  <c r="AJ17" i="49" s="1"/>
  <c r="AK17" i="49" a="1"/>
  <c r="AK17" i="49"/>
  <c r="AL17" i="49" a="1"/>
  <c r="AL17" i="49"/>
  <c r="AM17" i="49" a="1"/>
  <c r="AM17" i="49"/>
  <c r="AN17" i="49" a="1"/>
  <c r="AN17" i="49" s="1"/>
  <c r="AO17" i="49" a="1"/>
  <c r="AO17" i="49" s="1"/>
  <c r="AP17" i="49" a="1"/>
  <c r="AP17" i="49" s="1"/>
  <c r="AQ17" i="49" a="1"/>
  <c r="AQ17" i="49" s="1"/>
  <c r="AR17" i="49" a="1"/>
  <c r="AR17" i="49" s="1"/>
  <c r="AS17" i="49" a="1"/>
  <c r="AS17" i="49" s="1"/>
  <c r="AT17" i="49" a="1"/>
  <c r="AT17" i="49"/>
  <c r="AU17" i="49" a="1"/>
  <c r="AU17" i="49"/>
  <c r="AV17" i="49" a="1"/>
  <c r="AV17" i="49" s="1"/>
  <c r="AW17" i="49" a="1"/>
  <c r="AW17" i="49" s="1"/>
  <c r="AX17" i="49" a="1"/>
  <c r="AX17" i="49" s="1"/>
  <c r="AY17" i="49" a="1"/>
  <c r="AY17" i="49" s="1"/>
  <c r="AZ17" i="49" a="1"/>
  <c r="AZ17" i="49" s="1"/>
  <c r="BA17" i="49" a="1"/>
  <c r="BA17" i="49"/>
  <c r="BB17" i="49" a="1"/>
  <c r="BB17" i="49" s="1"/>
  <c r="C18" i="49" a="1"/>
  <c r="C18" i="49"/>
  <c r="D18" i="49" a="1"/>
  <c r="D18" i="49" s="1"/>
  <c r="E18" i="49" a="1"/>
  <c r="E18" i="49" s="1"/>
  <c r="F18" i="49" a="1"/>
  <c r="F18" i="49" s="1"/>
  <c r="G18" i="49" a="1"/>
  <c r="G18" i="49" s="1"/>
  <c r="H18" i="49" a="1"/>
  <c r="H18" i="49" s="1"/>
  <c r="I18" i="49" a="1"/>
  <c r="I18" i="49" s="1"/>
  <c r="J18" i="49" a="1"/>
  <c r="J18" i="49"/>
  <c r="K18" i="49" a="1"/>
  <c r="K18" i="49" s="1"/>
  <c r="L18" i="49" a="1"/>
  <c r="L18" i="49" s="1"/>
  <c r="M18" i="49" a="1"/>
  <c r="M18" i="49" s="1"/>
  <c r="N18" i="49" a="1"/>
  <c r="N18" i="49" s="1"/>
  <c r="O18" i="49" a="1"/>
  <c r="O18" i="49" s="1"/>
  <c r="P18" i="49" a="1"/>
  <c r="P18" i="49" s="1"/>
  <c r="Q18" i="49" a="1"/>
  <c r="Q18" i="49"/>
  <c r="R18" i="49" a="1"/>
  <c r="R18" i="49"/>
  <c r="S18" i="49" a="1"/>
  <c r="S18" i="49"/>
  <c r="T18" i="49" a="1"/>
  <c r="T18" i="49" s="1"/>
  <c r="U18" i="49" a="1"/>
  <c r="U18" i="49" s="1"/>
  <c r="V18" i="49" a="1"/>
  <c r="V18" i="49" s="1"/>
  <c r="W18" i="49" a="1"/>
  <c r="W18" i="49" s="1"/>
  <c r="X18" i="49" a="1"/>
  <c r="X18" i="49" s="1"/>
  <c r="Y18" i="49" a="1"/>
  <c r="Y18" i="49" s="1"/>
  <c r="Z18" i="49" a="1"/>
  <c r="Z18" i="49"/>
  <c r="AA18" i="49" a="1"/>
  <c r="AA18" i="49"/>
  <c r="AB18" i="49" a="1"/>
  <c r="AB18" i="49" s="1"/>
  <c r="AC18" i="49" a="1"/>
  <c r="AC18" i="49" s="1"/>
  <c r="AD18" i="49" a="1"/>
  <c r="AD18" i="49" s="1"/>
  <c r="AE18" i="49" a="1"/>
  <c r="AE18" i="49" s="1"/>
  <c r="AF18" i="49" a="1"/>
  <c r="AF18" i="49" s="1"/>
  <c r="AG18" i="49" a="1"/>
  <c r="AG18" i="49"/>
  <c r="AH18" i="49" a="1"/>
  <c r="AH18" i="49" s="1"/>
  <c r="AI18" i="49" a="1"/>
  <c r="AI18" i="49"/>
  <c r="AJ18" i="49" a="1"/>
  <c r="AJ18" i="49" s="1"/>
  <c r="AK18" i="49" a="1"/>
  <c r="AK18" i="49" s="1"/>
  <c r="AL18" i="49" a="1"/>
  <c r="AL18" i="49" s="1"/>
  <c r="AM18" i="49" a="1"/>
  <c r="AM18" i="49" s="1"/>
  <c r="AN18" i="49" a="1"/>
  <c r="AN18" i="49" s="1"/>
  <c r="AO18" i="49" a="1"/>
  <c r="AO18" i="49"/>
  <c r="AP18" i="49" a="1"/>
  <c r="AP18" i="49"/>
  <c r="AQ18" i="49" a="1"/>
  <c r="AQ18" i="49" s="1"/>
  <c r="AR18" i="49" a="1"/>
  <c r="AR18" i="49" s="1"/>
  <c r="AS18" i="49" a="1"/>
  <c r="AS18" i="49" s="1"/>
  <c r="AT18" i="49" a="1"/>
  <c r="AT18" i="49" s="1"/>
  <c r="AU18" i="49" a="1"/>
  <c r="AU18" i="49" s="1"/>
  <c r="AV18" i="49" a="1"/>
  <c r="AV18" i="49" s="1"/>
  <c r="AW18" i="49" a="1"/>
  <c r="AW18" i="49"/>
  <c r="AX18" i="49" a="1"/>
  <c r="AX18" i="49" s="1"/>
  <c r="AY18" i="49" a="1"/>
  <c r="AY18" i="49"/>
  <c r="AZ18" i="49" a="1"/>
  <c r="AZ18" i="49" s="1"/>
  <c r="BA18" i="49" a="1"/>
  <c r="BA18" i="49" s="1"/>
  <c r="BB18" i="49" a="1"/>
  <c r="BB18" i="49" s="1"/>
  <c r="C19" i="49" a="1"/>
  <c r="C19" i="49" s="1"/>
  <c r="D19" i="49" a="1"/>
  <c r="D19" i="49" s="1"/>
  <c r="E19" i="49" a="1"/>
  <c r="E19" i="49" s="1"/>
  <c r="F19" i="49" a="1"/>
  <c r="F19" i="49"/>
  <c r="G19" i="49" a="1"/>
  <c r="G19" i="49"/>
  <c r="H19" i="49" a="1"/>
  <c r="H19" i="49" s="1"/>
  <c r="I19" i="49" a="1"/>
  <c r="I19" i="49" s="1"/>
  <c r="J19" i="49" a="1"/>
  <c r="J19" i="49" s="1"/>
  <c r="K19" i="49" a="1"/>
  <c r="K19" i="49" s="1"/>
  <c r="L19" i="49" a="1"/>
  <c r="L19" i="49" s="1"/>
  <c r="M19" i="49" a="1"/>
  <c r="M19" i="49"/>
  <c r="N19" i="49" a="1"/>
  <c r="N19" i="49" s="1"/>
  <c r="O19" i="49" a="1"/>
  <c r="O19" i="49"/>
  <c r="P19" i="49" a="1"/>
  <c r="P19" i="49" s="1"/>
  <c r="Q19" i="49" a="1"/>
  <c r="Q19" i="49" s="1"/>
  <c r="R19" i="49" a="1"/>
  <c r="R19" i="49" s="1"/>
  <c r="S19" i="49" a="1"/>
  <c r="S19" i="49" s="1"/>
  <c r="T19" i="49" a="1"/>
  <c r="T19" i="49" s="1"/>
  <c r="U19" i="49" a="1"/>
  <c r="U19" i="49"/>
  <c r="V19" i="49" a="1"/>
  <c r="V19" i="49"/>
  <c r="W19" i="49" a="1"/>
  <c r="W19" i="49" s="1"/>
  <c r="X19" i="49" a="1"/>
  <c r="X19" i="49" s="1"/>
  <c r="Y19" i="49" a="1"/>
  <c r="Y19" i="49" s="1"/>
  <c r="Z19" i="49" a="1"/>
  <c r="Z19" i="49" s="1"/>
  <c r="AA19" i="49" a="1"/>
  <c r="AA19" i="49" s="1"/>
  <c r="AB19" i="49" a="1"/>
  <c r="AB19" i="49" s="1"/>
  <c r="AC19" i="49" a="1"/>
  <c r="AC19" i="49"/>
  <c r="AD19" i="49" a="1"/>
  <c r="AD19" i="49"/>
  <c r="AE19" i="49" a="1"/>
  <c r="AE19" i="49"/>
  <c r="AF19" i="49" a="1"/>
  <c r="AF19" i="49" s="1"/>
  <c r="AG19" i="49" a="1"/>
  <c r="AG19" i="49" s="1"/>
  <c r="AH19" i="49" a="1"/>
  <c r="AH19" i="49" s="1"/>
  <c r="AI19" i="49" a="1"/>
  <c r="AI19" i="49" s="1"/>
  <c r="AJ19" i="49" a="1"/>
  <c r="AJ19" i="49" s="1"/>
  <c r="AK19" i="49" a="1"/>
  <c r="AK19" i="49" s="1"/>
  <c r="AL19" i="49" a="1"/>
  <c r="AL19" i="49"/>
  <c r="AM19" i="49" a="1"/>
  <c r="AM19" i="49"/>
  <c r="AN19" i="49" a="1"/>
  <c r="AN19" i="49" s="1"/>
  <c r="AO19" i="49" a="1"/>
  <c r="AO19" i="49" s="1"/>
  <c r="AP19" i="49" a="1"/>
  <c r="AP19" i="49" s="1"/>
  <c r="AQ19" i="49" a="1"/>
  <c r="AQ19" i="49" s="1"/>
  <c r="AR19" i="49" a="1"/>
  <c r="AR19" i="49" s="1"/>
  <c r="AS19" i="49" a="1"/>
  <c r="AS19" i="49"/>
  <c r="AT19" i="49" a="1"/>
  <c r="AT19" i="49"/>
  <c r="AU19" i="49" a="1"/>
  <c r="AU19" i="49"/>
  <c r="AV19" i="49" a="1"/>
  <c r="AV19" i="49" s="1"/>
  <c r="AW19" i="49" a="1"/>
  <c r="AW19" i="49" s="1"/>
  <c r="AX19" i="49" a="1"/>
  <c r="AX19" i="49" s="1"/>
  <c r="AY19" i="49" a="1"/>
  <c r="AY19" i="49" s="1"/>
  <c r="AZ19" i="49" a="1"/>
  <c r="AZ19" i="49" s="1"/>
  <c r="BA19" i="49" a="1"/>
  <c r="BA19" i="49"/>
  <c r="BB19" i="49" a="1"/>
  <c r="BB19" i="49"/>
  <c r="C20" i="49" a="1"/>
  <c r="C20" i="49" s="1"/>
  <c r="D20" i="49" a="1"/>
  <c r="D20" i="49" s="1"/>
  <c r="E20" i="49" a="1"/>
  <c r="E20" i="49" s="1"/>
  <c r="F20" i="49" a="1"/>
  <c r="F20" i="49" s="1"/>
  <c r="G20" i="49" a="1"/>
  <c r="G20" i="49" s="1"/>
  <c r="H20" i="49" a="1"/>
  <c r="H20" i="49" s="1"/>
  <c r="I20" i="49" a="1"/>
  <c r="I20" i="49"/>
  <c r="J20" i="49" a="1"/>
  <c r="J20" i="49"/>
  <c r="K20" i="49" a="1"/>
  <c r="K20" i="49"/>
  <c r="L20" i="49" a="1"/>
  <c r="L20" i="49" s="1"/>
  <c r="M20" i="49" a="1"/>
  <c r="M20" i="49" s="1"/>
  <c r="N20" i="49" a="1"/>
  <c r="N20" i="49" s="1"/>
  <c r="O20" i="49" a="1"/>
  <c r="O20" i="49" s="1"/>
  <c r="P20" i="49" a="1"/>
  <c r="P20" i="49" s="1"/>
  <c r="Q20" i="49" a="1"/>
  <c r="Q20" i="49" s="1"/>
  <c r="R20" i="49" a="1"/>
  <c r="R20" i="49"/>
  <c r="S20" i="49" a="1"/>
  <c r="S20" i="49"/>
  <c r="T20" i="49" a="1"/>
  <c r="T20" i="49" s="1"/>
  <c r="U20" i="49" a="1"/>
  <c r="U20" i="49" s="1"/>
  <c r="V20" i="49" a="1"/>
  <c r="V20" i="49" s="1"/>
  <c r="W20" i="49" a="1"/>
  <c r="W20" i="49" s="1"/>
  <c r="X20" i="49" a="1"/>
  <c r="X20" i="49" s="1"/>
  <c r="Y20" i="49" a="1"/>
  <c r="Y20" i="49"/>
  <c r="Z20" i="49" a="1"/>
  <c r="Z20" i="49" s="1"/>
  <c r="AA20" i="49" a="1"/>
  <c r="AA20" i="49"/>
  <c r="AB20" i="49" a="1"/>
  <c r="AB20" i="49" s="1"/>
  <c r="AC20" i="49" a="1"/>
  <c r="AC20" i="49" s="1"/>
  <c r="AD20" i="49" a="1"/>
  <c r="AD20" i="49" s="1"/>
  <c r="AE20" i="49" a="1"/>
  <c r="AE20" i="49" s="1"/>
  <c r="AF20" i="49" a="1"/>
  <c r="AF20" i="49" s="1"/>
  <c r="AG20" i="49" a="1"/>
  <c r="AG20" i="49"/>
  <c r="AH20" i="49" a="1"/>
  <c r="AH20" i="49"/>
  <c r="AI20" i="49" a="1"/>
  <c r="AI20" i="49" s="1"/>
  <c r="AJ20" i="49" a="1"/>
  <c r="AJ20" i="49" s="1"/>
  <c r="AK20" i="49" a="1"/>
  <c r="AK20" i="49" s="1"/>
  <c r="AL20" i="49" a="1"/>
  <c r="AL20" i="49" s="1"/>
  <c r="AM20" i="49" a="1"/>
  <c r="AM20" i="49" s="1"/>
  <c r="AN20" i="49" a="1"/>
  <c r="AN20" i="49" s="1"/>
  <c r="AO20" i="49" a="1"/>
  <c r="AO20" i="49"/>
  <c r="AP20" i="49" a="1"/>
  <c r="AP20" i="49"/>
  <c r="AQ20" i="49" a="1"/>
  <c r="AQ20" i="49"/>
  <c r="AR20" i="49" a="1"/>
  <c r="AR20" i="49" s="1"/>
  <c r="AS20" i="49" a="1"/>
  <c r="AS20" i="49"/>
  <c r="AT20" i="49" a="1"/>
  <c r="AT20" i="49" s="1"/>
  <c r="AU20" i="49" a="1"/>
  <c r="AU20" i="49" s="1"/>
  <c r="AV20" i="49" a="1"/>
  <c r="AV20" i="49" s="1"/>
  <c r="AW20" i="49" a="1"/>
  <c r="AW20" i="49" s="1"/>
  <c r="AX20" i="49" a="1"/>
  <c r="AX20" i="49" s="1"/>
  <c r="AY20" i="49" a="1"/>
  <c r="AY20" i="49"/>
  <c r="AZ20" i="49" a="1"/>
  <c r="AZ20" i="49" s="1"/>
  <c r="BA20" i="49" a="1"/>
  <c r="BA20" i="49"/>
  <c r="BB20" i="49" a="1"/>
  <c r="BB20" i="49"/>
  <c r="C21" i="49" a="1"/>
  <c r="C21" i="49" s="1"/>
  <c r="D21" i="49" a="1"/>
  <c r="D21" i="49" s="1"/>
  <c r="E21" i="49" a="1"/>
  <c r="E21" i="49" s="1"/>
  <c r="F21" i="49" a="1"/>
  <c r="F21" i="49" s="1"/>
  <c r="G21" i="49" a="1"/>
  <c r="G21" i="49" s="1"/>
  <c r="H21" i="49" a="1"/>
  <c r="H21" i="49" s="1"/>
  <c r="I21" i="49" a="1"/>
  <c r="I21" i="49" s="1"/>
  <c r="J21" i="49" a="1"/>
  <c r="J21" i="49" s="1"/>
  <c r="K21" i="49" a="1"/>
  <c r="K21" i="49"/>
  <c r="L21" i="49" a="1"/>
  <c r="L21" i="49" s="1"/>
  <c r="M21" i="49" a="1"/>
  <c r="M21" i="49"/>
  <c r="N21" i="49" a="1"/>
  <c r="N21" i="49"/>
  <c r="O21" i="49" a="1"/>
  <c r="O21" i="49" s="1"/>
  <c r="P21" i="49" a="1"/>
  <c r="P21" i="49" s="1"/>
  <c r="Q21" i="49" a="1"/>
  <c r="Q21" i="49" s="1"/>
  <c r="R21" i="49" a="1"/>
  <c r="R21" i="49" s="1"/>
  <c r="S21" i="49" a="1"/>
  <c r="S21" i="49" s="1"/>
  <c r="T21" i="49" a="1"/>
  <c r="T21" i="49" s="1"/>
  <c r="U21" i="49" a="1"/>
  <c r="U21" i="49" s="1"/>
  <c r="V21" i="49" a="1"/>
  <c r="V21" i="49"/>
  <c r="W21" i="49" a="1"/>
  <c r="W21" i="49" s="1"/>
  <c r="X21" i="49" a="1"/>
  <c r="X21" i="49" s="1"/>
  <c r="Y21" i="49" a="1"/>
  <c r="Y21" i="49"/>
  <c r="Z21" i="49" a="1"/>
  <c r="Z21" i="49" s="1"/>
  <c r="AA21" i="49" a="1"/>
  <c r="AA21" i="49" s="1"/>
  <c r="AB21" i="49" a="1"/>
  <c r="AB21" i="49" s="1"/>
  <c r="AC21" i="49" a="1"/>
  <c r="AC21" i="49" s="1"/>
  <c r="AD21" i="49" a="1"/>
  <c r="AD21" i="49" s="1"/>
  <c r="AE21" i="49" a="1"/>
  <c r="AE21" i="49" s="1"/>
  <c r="AF21" i="49" a="1"/>
  <c r="AF21" i="49" s="1"/>
  <c r="AG21" i="49" a="1"/>
  <c r="AG21" i="49" s="1"/>
  <c r="AH21" i="49" a="1"/>
  <c r="AH21" i="49"/>
  <c r="AI21" i="49" a="1"/>
  <c r="AI21" i="49" s="1"/>
  <c r="AJ21" i="49" a="1"/>
  <c r="AJ21" i="49" s="1"/>
  <c r="AK21" i="49" a="1"/>
  <c r="AK21" i="49"/>
  <c r="AL21" i="49" a="1"/>
  <c r="AL21" i="49" s="1"/>
  <c r="AM21" i="49" a="1"/>
  <c r="AM21" i="49" s="1"/>
  <c r="AN21" i="49" a="1"/>
  <c r="AN21" i="49" s="1"/>
  <c r="AO21" i="49" a="1"/>
  <c r="AO21" i="49" s="1"/>
  <c r="AP21" i="49" a="1"/>
  <c r="AP21" i="49" s="1"/>
  <c r="AQ21" i="49" a="1"/>
  <c r="AQ21" i="49"/>
  <c r="AR21" i="49" a="1"/>
  <c r="AR21" i="49" s="1"/>
  <c r="AS21" i="49" a="1"/>
  <c r="AS21" i="49"/>
  <c r="AT21" i="49" a="1"/>
  <c r="AT21" i="49" s="1"/>
  <c r="AU21" i="49" a="1"/>
  <c r="AU21" i="49" s="1"/>
  <c r="AV21" i="49" a="1"/>
  <c r="AV21" i="49" s="1"/>
  <c r="AW21" i="49" a="1"/>
  <c r="AW21" i="49" s="1"/>
  <c r="AX21" i="49" a="1"/>
  <c r="AX21" i="49" s="1"/>
  <c r="AY21" i="49" a="1"/>
  <c r="AY21" i="49" s="1"/>
  <c r="AZ21" i="49" a="1"/>
  <c r="AZ21" i="49" s="1"/>
  <c r="BA21" i="49" a="1"/>
  <c r="BA21" i="49" s="1"/>
  <c r="BB21" i="49" a="1"/>
  <c r="BB21" i="49" s="1"/>
  <c r="C22" i="49" a="1"/>
  <c r="C22" i="49" s="1"/>
  <c r="D22" i="49" a="1"/>
  <c r="D22" i="49" s="1"/>
  <c r="E22" i="49" a="1"/>
  <c r="E22" i="49"/>
  <c r="F22" i="49" a="1"/>
  <c r="F22" i="49" s="1"/>
  <c r="G22" i="49" a="1"/>
  <c r="G22" i="49" s="1"/>
  <c r="H22" i="49" a="1"/>
  <c r="H22" i="49" s="1"/>
  <c r="I22" i="49" a="1"/>
  <c r="I22" i="49" s="1"/>
  <c r="J22" i="49" a="1"/>
  <c r="J22" i="49" s="1"/>
  <c r="K22" i="49" a="1"/>
  <c r="K22" i="49" s="1"/>
  <c r="L22" i="49" a="1"/>
  <c r="L22" i="49" s="1"/>
  <c r="M22" i="49" a="1"/>
  <c r="M22" i="49" s="1"/>
  <c r="N22" i="49" a="1"/>
  <c r="N22" i="49"/>
  <c r="O22" i="49" a="1"/>
  <c r="O22" i="49" s="1"/>
  <c r="P22" i="49" a="1"/>
  <c r="P22" i="49" s="1"/>
  <c r="Q22" i="49" a="1"/>
  <c r="Q22" i="49"/>
  <c r="R22" i="49" a="1"/>
  <c r="R22" i="49" s="1"/>
  <c r="S22" i="49" a="1"/>
  <c r="S22" i="49" s="1"/>
  <c r="T22" i="49" a="1"/>
  <c r="T22" i="49" s="1"/>
  <c r="U22" i="49" a="1"/>
  <c r="U22" i="49" s="1"/>
  <c r="V22" i="49" a="1"/>
  <c r="V22" i="49" s="1"/>
  <c r="W22" i="49" a="1"/>
  <c r="W22" i="49"/>
  <c r="X22" i="49" a="1"/>
  <c r="X22" i="49" s="1"/>
  <c r="Y22" i="49" a="1"/>
  <c r="Y22" i="49" s="1"/>
  <c r="Z22" i="49" a="1"/>
  <c r="Z22" i="49"/>
  <c r="AA22" i="49" a="1"/>
  <c r="AA22" i="49" s="1"/>
  <c r="AB22" i="49" a="1"/>
  <c r="AB22" i="49" s="1"/>
  <c r="AC22" i="49" a="1"/>
  <c r="AC22" i="49" s="1"/>
  <c r="AD22" i="49" a="1"/>
  <c r="AD22" i="49" s="1"/>
  <c r="AE22" i="49" a="1"/>
  <c r="AE22" i="49" s="1"/>
  <c r="AF22" i="49" a="1"/>
  <c r="AF22" i="49" s="1"/>
  <c r="AG22" i="49" a="1"/>
  <c r="AG22" i="49" s="1"/>
  <c r="AH22" i="49" a="1"/>
  <c r="AH22" i="49"/>
  <c r="AI22" i="49" a="1"/>
  <c r="AI22" i="49"/>
  <c r="AJ22" i="49" a="1"/>
  <c r="AJ22" i="49" s="1"/>
  <c r="AK22" i="49" a="1"/>
  <c r="AK22" i="49"/>
  <c r="AL22" i="49" a="1"/>
  <c r="AL22" i="49" s="1"/>
  <c r="AM22" i="49" a="1"/>
  <c r="AM22" i="49" s="1"/>
  <c r="AN22" i="49" a="1"/>
  <c r="AN22" i="49" s="1"/>
  <c r="AO22" i="49" a="1"/>
  <c r="AO22" i="49" s="1"/>
  <c r="AP22" i="49" a="1"/>
  <c r="AP22" i="49" s="1"/>
  <c r="AQ22" i="49" a="1"/>
  <c r="AQ22" i="49"/>
  <c r="AR22" i="49" a="1"/>
  <c r="AR22" i="49" s="1"/>
  <c r="AS22" i="49" a="1"/>
  <c r="AS22" i="49" s="1"/>
  <c r="AT22" i="49" a="1"/>
  <c r="AT22" i="49"/>
  <c r="AU22" i="49" a="1"/>
  <c r="AU22" i="49" s="1"/>
  <c r="AV22" i="49" a="1"/>
  <c r="AV22" i="49" s="1"/>
  <c r="AW22" i="49" a="1"/>
  <c r="AW22" i="49"/>
  <c r="AX22" i="49" a="1"/>
  <c r="AX22" i="49" s="1"/>
  <c r="AY22" i="49" a="1"/>
  <c r="AY22" i="49" s="1"/>
  <c r="AZ22" i="49" a="1"/>
  <c r="AZ22" i="49" s="1"/>
  <c r="BA22" i="49" a="1"/>
  <c r="BA22" i="49" s="1"/>
  <c r="BB22" i="49" a="1"/>
  <c r="BB22" i="49" s="1"/>
  <c r="C23" i="49" a="1"/>
  <c r="C23" i="49"/>
  <c r="D23" i="49" a="1"/>
  <c r="D23" i="49" s="1"/>
  <c r="E23" i="49" a="1"/>
  <c r="E23" i="49" s="1"/>
  <c r="F23" i="49" a="1"/>
  <c r="F23" i="49" s="1"/>
  <c r="G23" i="49" a="1"/>
  <c r="G23" i="49" s="1"/>
  <c r="H23" i="49" a="1"/>
  <c r="H23" i="49" s="1"/>
  <c r="I23" i="49" a="1"/>
  <c r="I23" i="49" s="1"/>
  <c r="J23" i="49" a="1"/>
  <c r="J23" i="49" s="1"/>
  <c r="K23" i="49" a="1"/>
  <c r="K23" i="49"/>
  <c r="L23" i="49" a="1"/>
  <c r="L23" i="49" s="1"/>
  <c r="M23" i="49" a="1"/>
  <c r="M23" i="49" s="1"/>
  <c r="N23" i="49" a="1"/>
  <c r="N23" i="49" s="1"/>
  <c r="O23" i="49" a="1"/>
  <c r="O23" i="49"/>
  <c r="P23" i="49" a="1"/>
  <c r="P23" i="49" s="1"/>
  <c r="Q23" i="49" a="1"/>
  <c r="Q23" i="49"/>
  <c r="R23" i="49" a="1"/>
  <c r="R23" i="49" s="1"/>
  <c r="S23" i="49" a="1"/>
  <c r="S23" i="49" s="1"/>
  <c r="T23" i="49" a="1"/>
  <c r="T23" i="49" s="1"/>
  <c r="U23" i="49" a="1"/>
  <c r="U23" i="49" s="1"/>
  <c r="V23" i="49" a="1"/>
  <c r="V23" i="49" s="1"/>
  <c r="W23" i="49" a="1"/>
  <c r="W23" i="49" s="1"/>
  <c r="X23" i="49" a="1"/>
  <c r="X23" i="49" s="1"/>
  <c r="Y23" i="49" a="1"/>
  <c r="Y23" i="49" s="1"/>
  <c r="Z23" i="49" a="1"/>
  <c r="Z23" i="49"/>
  <c r="AA23" i="49" a="1"/>
  <c r="AA23" i="49" s="1"/>
  <c r="AB23" i="49" a="1"/>
  <c r="AB23" i="49" s="1"/>
  <c r="AC23" i="49" a="1"/>
  <c r="AC23" i="49"/>
  <c r="AD23" i="49" a="1"/>
  <c r="AD23" i="49" s="1"/>
  <c r="AE23" i="49" a="1"/>
  <c r="AE23" i="49" s="1"/>
  <c r="AF23" i="49" a="1"/>
  <c r="AF23" i="49" s="1"/>
  <c r="AG23" i="49" a="1"/>
  <c r="AG23" i="49" s="1"/>
  <c r="AH23" i="49" a="1"/>
  <c r="AH23" i="49"/>
  <c r="AI23" i="49" a="1"/>
  <c r="AI23" i="49"/>
  <c r="AJ23" i="49" a="1"/>
  <c r="AJ23" i="49" s="1"/>
  <c r="AK23" i="49" a="1"/>
  <c r="AK23" i="49" s="1"/>
  <c r="AL23" i="49" a="1"/>
  <c r="AL23" i="49"/>
  <c r="AM23" i="49" a="1"/>
  <c r="AM23" i="49" s="1"/>
  <c r="AN23" i="49" a="1"/>
  <c r="AN23" i="49" s="1"/>
  <c r="AO23" i="49" a="1"/>
  <c r="AO23" i="49" s="1"/>
  <c r="AP23" i="49" a="1"/>
  <c r="AP23" i="49" s="1"/>
  <c r="AQ23" i="49" a="1"/>
  <c r="AQ23" i="49"/>
  <c r="AR23" i="49" a="1"/>
  <c r="AR23" i="49" s="1"/>
  <c r="AS23" i="49" a="1"/>
  <c r="AS23" i="49" s="1"/>
  <c r="AT23" i="49" a="1"/>
  <c r="AT23" i="49" s="1"/>
  <c r="AU23" i="49" a="1"/>
  <c r="AU23" i="49"/>
  <c r="AV23" i="49" a="1"/>
  <c r="AV23" i="49" s="1"/>
  <c r="AW23" i="49" a="1"/>
  <c r="AW23" i="49"/>
  <c r="AX23" i="49" a="1"/>
  <c r="AX23" i="49" s="1"/>
  <c r="AY23" i="49" a="1"/>
  <c r="AY23" i="49" s="1"/>
  <c r="AZ23" i="49" a="1"/>
  <c r="AZ23" i="49" s="1"/>
  <c r="BA23" i="49" a="1"/>
  <c r="BA23" i="49" s="1"/>
  <c r="BB23" i="49" a="1"/>
  <c r="BB23" i="49" s="1"/>
  <c r="C24" i="49" a="1"/>
  <c r="C24" i="49" s="1"/>
  <c r="D24" i="49" a="1"/>
  <c r="D24" i="49" s="1"/>
  <c r="E24" i="49" a="1"/>
  <c r="E24" i="49" s="1"/>
  <c r="F24" i="49" a="1"/>
  <c r="F24" i="49"/>
  <c r="G24" i="49" a="1"/>
  <c r="G24" i="49" s="1"/>
  <c r="H24" i="49" a="1"/>
  <c r="H24" i="49" s="1"/>
  <c r="I24" i="49" a="1"/>
  <c r="I24" i="49"/>
  <c r="J24" i="49" a="1"/>
  <c r="J24" i="49" s="1"/>
  <c r="K24" i="49" a="1"/>
  <c r="K24" i="49" s="1"/>
  <c r="L24" i="49" a="1"/>
  <c r="L24" i="49" s="1"/>
  <c r="M24" i="49" a="1"/>
  <c r="M24" i="49" s="1"/>
  <c r="N24" i="49" a="1"/>
  <c r="N24" i="49" s="1"/>
  <c r="O24" i="49" a="1"/>
  <c r="O24" i="49"/>
  <c r="P24" i="49" a="1"/>
  <c r="P24" i="49" s="1"/>
  <c r="Q24" i="49" a="1"/>
  <c r="Q24" i="49" s="1"/>
  <c r="R24" i="49" a="1"/>
  <c r="R24" i="49"/>
  <c r="S24" i="49" a="1"/>
  <c r="S24" i="49" s="1"/>
  <c r="T24" i="49" a="1"/>
  <c r="T24" i="49" s="1"/>
  <c r="U24" i="49" a="1"/>
  <c r="U24" i="49" s="1"/>
  <c r="V24" i="49" a="1"/>
  <c r="V24" i="49" s="1"/>
  <c r="W24" i="49" a="1"/>
  <c r="W24" i="49"/>
  <c r="X24" i="49" a="1"/>
  <c r="X24" i="49" s="1"/>
  <c r="Y24" i="49" a="1"/>
  <c r="Y24" i="49" s="1"/>
  <c r="Z24" i="49" a="1"/>
  <c r="Z24" i="49" s="1"/>
  <c r="AA24" i="49" a="1"/>
  <c r="AA24" i="49"/>
  <c r="AB24" i="49" a="1"/>
  <c r="AB24" i="49" s="1"/>
  <c r="AC24" i="49" a="1"/>
  <c r="AC24" i="49"/>
  <c r="AD24" i="49" a="1"/>
  <c r="AD24" i="49" s="1"/>
  <c r="AE24" i="49" a="1"/>
  <c r="AE24" i="49" s="1"/>
  <c r="AF24" i="49" a="1"/>
  <c r="AF24" i="49" s="1"/>
  <c r="AG24" i="49" a="1"/>
  <c r="AG24" i="49" s="1"/>
  <c r="AH24" i="49" a="1"/>
  <c r="AH24" i="49" s="1"/>
  <c r="AI24" i="49" a="1"/>
  <c r="AI24" i="49" s="1"/>
  <c r="AJ24" i="49" a="1"/>
  <c r="AJ24" i="49" s="1"/>
  <c r="AK24" i="49" a="1"/>
  <c r="AK24" i="49"/>
  <c r="AL24" i="49" a="1"/>
  <c r="AL24" i="49"/>
  <c r="AM24" i="49" a="1"/>
  <c r="AM24" i="49" s="1"/>
  <c r="AN24" i="49" a="1"/>
  <c r="AN24" i="49" s="1"/>
  <c r="AO24" i="49" a="1"/>
  <c r="AO24" i="49"/>
  <c r="AP24" i="49" a="1"/>
  <c r="AP24" i="49" s="1"/>
  <c r="AQ24" i="49" a="1"/>
  <c r="AQ24" i="49" s="1"/>
  <c r="AR24" i="49" a="1"/>
  <c r="AR24" i="49" s="1"/>
  <c r="AS24" i="49" a="1"/>
  <c r="AS24" i="49" s="1"/>
  <c r="AT24" i="49" a="1"/>
  <c r="AT24" i="49"/>
  <c r="AU24" i="49" a="1"/>
  <c r="AU24" i="49"/>
  <c r="AV24" i="49" a="1"/>
  <c r="AV24" i="49" s="1"/>
  <c r="AW24" i="49" a="1"/>
  <c r="AW24" i="49" s="1"/>
  <c r="AX24" i="49" a="1"/>
  <c r="AX24" i="49"/>
  <c r="AY24" i="49" a="1"/>
  <c r="AY24" i="49" s="1"/>
  <c r="AZ24" i="49" a="1"/>
  <c r="AZ24" i="49" s="1"/>
  <c r="BA24" i="49" a="1"/>
  <c r="BA24" i="49" s="1"/>
  <c r="BB24" i="49" a="1"/>
  <c r="BB24" i="49" s="1"/>
  <c r="C25" i="49" a="1"/>
  <c r="C25" i="49" s="1"/>
  <c r="D25" i="49" a="1"/>
  <c r="D25" i="49" s="1"/>
  <c r="E25" i="49" a="1"/>
  <c r="E25" i="49" s="1"/>
  <c r="F25" i="49" a="1"/>
  <c r="F25" i="49" s="1"/>
  <c r="G25" i="49" a="1"/>
  <c r="G25" i="49"/>
  <c r="H25" i="49" a="1"/>
  <c r="H25" i="49" s="1"/>
  <c r="I25" i="49" a="1"/>
  <c r="I25" i="49"/>
  <c r="J25" i="49" a="1"/>
  <c r="J25" i="49" s="1"/>
  <c r="K25" i="49" a="1"/>
  <c r="K25" i="49" s="1"/>
  <c r="L25" i="49" a="1"/>
  <c r="L25" i="49" s="1"/>
  <c r="M25" i="49" a="1"/>
  <c r="M25" i="49" s="1"/>
  <c r="N25" i="49" a="1"/>
  <c r="N25" i="49" s="1"/>
  <c r="O25" i="49" a="1"/>
  <c r="O25" i="49" s="1"/>
  <c r="P25" i="49" a="1"/>
  <c r="P25" i="49" s="1"/>
  <c r="Q25" i="49" a="1"/>
  <c r="Q25" i="49"/>
  <c r="R25" i="49" a="1"/>
  <c r="R25" i="49"/>
  <c r="S25" i="49" a="1"/>
  <c r="S25" i="49" s="1"/>
  <c r="T25" i="49" a="1"/>
  <c r="T25" i="49" s="1"/>
  <c r="U25" i="49" a="1"/>
  <c r="U25" i="49"/>
  <c r="V25" i="49" a="1"/>
  <c r="V25" i="49" s="1"/>
  <c r="W25" i="49" a="1"/>
  <c r="W25" i="49" s="1"/>
  <c r="X25" i="49" a="1"/>
  <c r="X25" i="49" s="1"/>
  <c r="Y25" i="49" a="1"/>
  <c r="Y25" i="49" s="1"/>
  <c r="Z25" i="49" a="1"/>
  <c r="Z25" i="49" s="1"/>
  <c r="AA25" i="49" a="1"/>
  <c r="AA25" i="49"/>
  <c r="AB25" i="49" a="1"/>
  <c r="AB25" i="49" s="1"/>
  <c r="AC25" i="49" a="1"/>
  <c r="AC25" i="49" s="1"/>
  <c r="AD25" i="49" a="1"/>
  <c r="AD25" i="49" s="1"/>
  <c r="AE25" i="49" a="1"/>
  <c r="AE25" i="49"/>
  <c r="AF25" i="49" a="1"/>
  <c r="AF25" i="49" s="1"/>
  <c r="AG25" i="49" a="1"/>
  <c r="AG25" i="49" s="1"/>
  <c r="AH25" i="49" a="1"/>
  <c r="AH25" i="49" s="1"/>
  <c r="AI25" i="49" a="1"/>
  <c r="AI25" i="49" s="1"/>
  <c r="AJ25" i="49" a="1"/>
  <c r="AJ25" i="49" s="1"/>
  <c r="AK25" i="49" a="1"/>
  <c r="AK25" i="49" s="1"/>
  <c r="AL25" i="49" a="1"/>
  <c r="AL25" i="49" s="1"/>
  <c r="AM25" i="49" a="1"/>
  <c r="AM25" i="49" s="1"/>
  <c r="AN25" i="49" a="1"/>
  <c r="AN25" i="49" s="1"/>
  <c r="AO25" i="49" a="1"/>
  <c r="AO25" i="49" s="1"/>
  <c r="AP25" i="49" a="1"/>
  <c r="AP25" i="49" s="1"/>
  <c r="AQ25" i="49" a="1"/>
  <c r="AQ25" i="49" s="1"/>
  <c r="AR25" i="49" a="1"/>
  <c r="AR25" i="49" s="1"/>
  <c r="AS25" i="49" a="1"/>
  <c r="AS25" i="49" s="1"/>
  <c r="AT25" i="49" a="1"/>
  <c r="AT25" i="49" s="1"/>
  <c r="AU25" i="49" a="1"/>
  <c r="AU25" i="49" s="1"/>
  <c r="AV25" i="49" a="1"/>
  <c r="AV25" i="49" s="1"/>
  <c r="AW25" i="49" a="1"/>
  <c r="AW25" i="49" s="1"/>
  <c r="AX25" i="49" a="1"/>
  <c r="AX25" i="49" s="1"/>
  <c r="AY25" i="49" a="1"/>
  <c r="AY25" i="49" s="1"/>
  <c r="AZ25" i="49" a="1"/>
  <c r="AZ25" i="49" s="1"/>
  <c r="BA25" i="49" a="1"/>
  <c r="BA25" i="49" s="1"/>
  <c r="BB25" i="49" a="1"/>
  <c r="BB25" i="49" s="1"/>
  <c r="C26" i="49" a="1"/>
  <c r="C26" i="49" s="1"/>
  <c r="D26" i="49" a="1"/>
  <c r="D26" i="49" s="1"/>
  <c r="E26" i="49" a="1"/>
  <c r="E26" i="49" s="1"/>
  <c r="F26" i="49" a="1"/>
  <c r="F26" i="49" s="1"/>
  <c r="G26" i="49" a="1"/>
  <c r="G26" i="49" s="1"/>
  <c r="H26" i="49" a="1"/>
  <c r="H26" i="49" s="1"/>
  <c r="I26" i="49" a="1"/>
  <c r="I26" i="49" s="1"/>
  <c r="J26" i="49" a="1"/>
  <c r="J26" i="49" s="1"/>
  <c r="K26" i="49" a="1"/>
  <c r="K26" i="49" s="1"/>
  <c r="L26" i="49" a="1"/>
  <c r="L26" i="49" s="1"/>
  <c r="M26" i="49" a="1"/>
  <c r="M26" i="49" s="1"/>
  <c r="N26" i="49" a="1"/>
  <c r="N26" i="49" s="1"/>
  <c r="O26" i="49" a="1"/>
  <c r="O26" i="49" s="1"/>
  <c r="P26" i="49" a="1"/>
  <c r="P26" i="49" s="1"/>
  <c r="Q26" i="49" a="1"/>
  <c r="Q26" i="49" s="1"/>
  <c r="R26" i="49" a="1"/>
  <c r="R26" i="49" s="1"/>
  <c r="S26" i="49" a="1"/>
  <c r="S26" i="49" s="1"/>
  <c r="T26" i="49" a="1"/>
  <c r="T26" i="49" s="1"/>
  <c r="U26" i="49" a="1"/>
  <c r="U26" i="49" s="1"/>
  <c r="V26" i="49" a="1"/>
  <c r="V26" i="49" s="1"/>
  <c r="W26" i="49" a="1"/>
  <c r="W26" i="49" s="1"/>
  <c r="X26" i="49" a="1"/>
  <c r="X26" i="49" s="1"/>
  <c r="Y26" i="49" a="1"/>
  <c r="Y26" i="49" s="1"/>
  <c r="Z26" i="49" a="1"/>
  <c r="Z26" i="49" s="1"/>
  <c r="AA26" i="49" a="1"/>
  <c r="AA26" i="49" s="1"/>
  <c r="AB26" i="49" a="1"/>
  <c r="AB26" i="49" s="1"/>
  <c r="AC26" i="49" a="1"/>
  <c r="AC26" i="49" s="1"/>
  <c r="AD26" i="49" a="1"/>
  <c r="AD26" i="49" s="1"/>
  <c r="AE26" i="49" a="1"/>
  <c r="AE26" i="49" s="1"/>
  <c r="AF26" i="49" a="1"/>
  <c r="AF26" i="49" s="1"/>
  <c r="AG26" i="49" a="1"/>
  <c r="AG26" i="49" s="1"/>
  <c r="AH26" i="49" a="1"/>
  <c r="AH26" i="49" s="1"/>
  <c r="AI26" i="49" a="1"/>
  <c r="AI26" i="49" s="1"/>
  <c r="AJ26" i="49" a="1"/>
  <c r="AJ26" i="49" s="1"/>
  <c r="AK26" i="49" a="1"/>
  <c r="AK26" i="49" s="1"/>
  <c r="AL26" i="49" a="1"/>
  <c r="AL26" i="49" s="1"/>
  <c r="AM26" i="49" a="1"/>
  <c r="AM26" i="49" s="1"/>
  <c r="AN26" i="49" a="1"/>
  <c r="AN26" i="49" s="1"/>
  <c r="AO26" i="49" a="1"/>
  <c r="AO26" i="49" s="1"/>
  <c r="AP26" i="49" a="1"/>
  <c r="AP26" i="49" s="1"/>
  <c r="AQ26" i="49" a="1"/>
  <c r="AQ26" i="49" s="1"/>
  <c r="AR26" i="49" a="1"/>
  <c r="AR26" i="49" s="1"/>
  <c r="AS26" i="49" a="1"/>
  <c r="AS26" i="49" s="1"/>
  <c r="AT26" i="49" a="1"/>
  <c r="AT26" i="49" s="1"/>
  <c r="AU26" i="49" a="1"/>
  <c r="AU26" i="49" s="1"/>
  <c r="AV26" i="49" a="1"/>
  <c r="AV26" i="49" s="1"/>
  <c r="AW26" i="49" a="1"/>
  <c r="AW26" i="49" s="1"/>
  <c r="AX26" i="49" a="1"/>
  <c r="AX26" i="49" s="1"/>
  <c r="AY26" i="49" a="1"/>
  <c r="AY26" i="49" s="1"/>
  <c r="AZ26" i="49" a="1"/>
  <c r="AZ26" i="49" s="1"/>
  <c r="BA26" i="49" a="1"/>
  <c r="BA26" i="49" s="1"/>
  <c r="BB26" i="49" a="1"/>
  <c r="BB26" i="49" s="1"/>
  <c r="C27" i="49" a="1"/>
  <c r="C27" i="49" s="1"/>
  <c r="D27" i="49" a="1"/>
  <c r="D27" i="49" s="1"/>
  <c r="E27" i="49" a="1"/>
  <c r="E27" i="49" s="1"/>
  <c r="F27" i="49" a="1"/>
  <c r="F27" i="49" s="1"/>
  <c r="G27" i="49" a="1"/>
  <c r="G27" i="49" s="1"/>
  <c r="H27" i="49" a="1"/>
  <c r="H27" i="49" s="1"/>
  <c r="I27" i="49" a="1"/>
  <c r="I27" i="49" s="1"/>
  <c r="J27" i="49" a="1"/>
  <c r="J27" i="49" s="1"/>
  <c r="K27" i="49" a="1"/>
  <c r="K27" i="49" s="1"/>
  <c r="L27" i="49" a="1"/>
  <c r="L27" i="49" s="1"/>
  <c r="M27" i="49" a="1"/>
  <c r="M27" i="49" s="1"/>
  <c r="N27" i="49" a="1"/>
  <c r="N27" i="49" s="1"/>
  <c r="O27" i="49" a="1"/>
  <c r="O27" i="49" s="1"/>
  <c r="P27" i="49" a="1"/>
  <c r="P27" i="49" s="1"/>
  <c r="Q27" i="49" a="1"/>
  <c r="Q27" i="49" s="1"/>
  <c r="R27" i="49" a="1"/>
  <c r="R27" i="49" s="1"/>
  <c r="S27" i="49" a="1"/>
  <c r="S27" i="49" s="1"/>
  <c r="T27" i="49" a="1"/>
  <c r="T27" i="49" s="1"/>
  <c r="U27" i="49" a="1"/>
  <c r="U27" i="49" s="1"/>
  <c r="V27" i="49" a="1"/>
  <c r="V27" i="49" s="1"/>
  <c r="W27" i="49" a="1"/>
  <c r="W27" i="49" s="1"/>
  <c r="X27" i="49" a="1"/>
  <c r="X27" i="49" s="1"/>
  <c r="Y27" i="49" a="1"/>
  <c r="Y27" i="49" s="1"/>
  <c r="Z27" i="49" a="1"/>
  <c r="Z27" i="49" s="1"/>
  <c r="AA27" i="49" a="1"/>
  <c r="AA27" i="49" s="1"/>
  <c r="AB27" i="49" a="1"/>
  <c r="AB27" i="49" s="1"/>
  <c r="AC27" i="49" a="1"/>
  <c r="AC27" i="49" s="1"/>
  <c r="AD27" i="49" a="1"/>
  <c r="AD27" i="49" s="1"/>
  <c r="AE27" i="49" a="1"/>
  <c r="AE27" i="49" s="1"/>
  <c r="AF27" i="49" a="1"/>
  <c r="AF27" i="49" s="1"/>
  <c r="AG27" i="49" a="1"/>
  <c r="AG27" i="49" s="1"/>
  <c r="AH27" i="49" a="1"/>
  <c r="AH27" i="49" s="1"/>
  <c r="AI27" i="49" a="1"/>
  <c r="AI27" i="49" s="1"/>
  <c r="AJ27" i="49" a="1"/>
  <c r="AJ27" i="49" s="1"/>
  <c r="AK27" i="49" a="1"/>
  <c r="AK27" i="49" s="1"/>
  <c r="AL27" i="49" a="1"/>
  <c r="AL27" i="49" s="1"/>
  <c r="AM27" i="49" a="1"/>
  <c r="AM27" i="49" s="1"/>
  <c r="AN27" i="49" a="1"/>
  <c r="AN27" i="49" s="1"/>
  <c r="AO27" i="49" a="1"/>
  <c r="AO27" i="49" s="1"/>
  <c r="AP27" i="49" a="1"/>
  <c r="AP27" i="49" s="1"/>
  <c r="AQ27" i="49" a="1"/>
  <c r="AQ27" i="49" s="1"/>
  <c r="AR27" i="49" a="1"/>
  <c r="AR27" i="49" s="1"/>
  <c r="AS27" i="49" a="1"/>
  <c r="AS27" i="49" s="1"/>
  <c r="AT27" i="49" a="1"/>
  <c r="AT27" i="49" s="1"/>
  <c r="AU27" i="49" a="1"/>
  <c r="AU27" i="49" s="1"/>
  <c r="AV27" i="49" a="1"/>
  <c r="AV27" i="49" s="1"/>
  <c r="AW27" i="49" a="1"/>
  <c r="AW27" i="49" s="1"/>
  <c r="AX27" i="49" a="1"/>
  <c r="AX27" i="49" s="1"/>
  <c r="AY27" i="49" a="1"/>
  <c r="AY27" i="49" s="1"/>
  <c r="AZ27" i="49" a="1"/>
  <c r="AZ27" i="49" s="1"/>
  <c r="BA27" i="49" a="1"/>
  <c r="BA27" i="49" s="1"/>
  <c r="BB27" i="49" a="1"/>
  <c r="BB27" i="49" s="1"/>
  <c r="C28" i="49" a="1"/>
  <c r="C28" i="49" s="1"/>
  <c r="D28" i="49" a="1"/>
  <c r="D28" i="49" s="1"/>
  <c r="E28" i="49" a="1"/>
  <c r="E28" i="49" s="1"/>
  <c r="F28" i="49" a="1"/>
  <c r="F28" i="49" s="1"/>
  <c r="G28" i="49" a="1"/>
  <c r="G28" i="49" s="1"/>
  <c r="H28" i="49" a="1"/>
  <c r="H28" i="49" s="1"/>
  <c r="I28" i="49" a="1"/>
  <c r="I28" i="49" s="1"/>
  <c r="J28" i="49" a="1"/>
  <c r="J28" i="49" s="1"/>
  <c r="K28" i="49" a="1"/>
  <c r="K28" i="49" s="1"/>
  <c r="L28" i="49" a="1"/>
  <c r="L28" i="49" s="1"/>
  <c r="M28" i="49" a="1"/>
  <c r="M28" i="49" s="1"/>
  <c r="N28" i="49" a="1"/>
  <c r="N28" i="49" s="1"/>
  <c r="O28" i="49" a="1"/>
  <c r="O28" i="49" s="1"/>
  <c r="P28" i="49" a="1"/>
  <c r="P28" i="49" s="1"/>
  <c r="Q28" i="49" a="1"/>
  <c r="Q28" i="49" s="1"/>
  <c r="R28" i="49" a="1"/>
  <c r="R28" i="49" s="1"/>
  <c r="S28" i="49" a="1"/>
  <c r="S28" i="49" s="1"/>
  <c r="T28" i="49" a="1"/>
  <c r="T28" i="49" s="1"/>
  <c r="U28" i="49" a="1"/>
  <c r="U28" i="49" s="1"/>
  <c r="V28" i="49" a="1"/>
  <c r="V28" i="49" s="1"/>
  <c r="W28" i="49" a="1"/>
  <c r="W28" i="49" s="1"/>
  <c r="X28" i="49" a="1"/>
  <c r="X28" i="49" s="1"/>
  <c r="Y28" i="49" a="1"/>
  <c r="Y28" i="49" s="1"/>
  <c r="Z28" i="49" a="1"/>
  <c r="Z28" i="49" s="1"/>
  <c r="AA28" i="49" a="1"/>
  <c r="AA28" i="49" s="1"/>
  <c r="AB28" i="49" a="1"/>
  <c r="AB28" i="49" s="1"/>
  <c r="AC28" i="49" a="1"/>
  <c r="AC28" i="49" s="1"/>
  <c r="AD28" i="49" a="1"/>
  <c r="AD28" i="49" s="1"/>
  <c r="AE28" i="49" a="1"/>
  <c r="AE28" i="49" s="1"/>
  <c r="AF28" i="49" a="1"/>
  <c r="AF28" i="49" s="1"/>
  <c r="AG28" i="49" a="1"/>
  <c r="AG28" i="49" s="1"/>
  <c r="AH28" i="49" a="1"/>
  <c r="AH28" i="49" s="1"/>
  <c r="AI28" i="49" a="1"/>
  <c r="AI28" i="49" s="1"/>
  <c r="AJ28" i="49" a="1"/>
  <c r="AJ28" i="49" s="1"/>
  <c r="AK28" i="49" a="1"/>
  <c r="AK28" i="49" s="1"/>
  <c r="AL28" i="49" a="1"/>
  <c r="AL28" i="49" s="1"/>
  <c r="AM28" i="49" a="1"/>
  <c r="AM28" i="49" s="1"/>
  <c r="AN28" i="49" a="1"/>
  <c r="AN28" i="49" s="1"/>
  <c r="AO28" i="49" a="1"/>
  <c r="AO28" i="49" s="1"/>
  <c r="AP28" i="49" a="1"/>
  <c r="AP28" i="49" s="1"/>
  <c r="AQ28" i="49" a="1"/>
  <c r="AQ28" i="49" s="1"/>
  <c r="AR28" i="49" a="1"/>
  <c r="AR28" i="49" s="1"/>
  <c r="AS28" i="49" a="1"/>
  <c r="AS28" i="49" s="1"/>
  <c r="AT28" i="49" a="1"/>
  <c r="AT28" i="49" s="1"/>
  <c r="AU28" i="49" a="1"/>
  <c r="AU28" i="49" s="1"/>
  <c r="AV28" i="49" a="1"/>
  <c r="AV28" i="49" s="1"/>
  <c r="AW28" i="49" a="1"/>
  <c r="AW28" i="49" s="1"/>
  <c r="AX28" i="49" a="1"/>
  <c r="AX28" i="49" s="1"/>
  <c r="AY28" i="49" a="1"/>
  <c r="AY28" i="49" s="1"/>
  <c r="AZ28" i="49" a="1"/>
  <c r="AZ28" i="49" s="1"/>
  <c r="BA28" i="49" a="1"/>
  <c r="BA28" i="49" s="1"/>
  <c r="BB28" i="49" a="1"/>
  <c r="BB28" i="49" s="1"/>
  <c r="C29" i="49" a="1"/>
  <c r="C29" i="49" s="1"/>
  <c r="D29" i="49" a="1"/>
  <c r="D29" i="49" s="1"/>
  <c r="E29" i="49" a="1"/>
  <c r="E29" i="49" s="1"/>
  <c r="F29" i="49" a="1"/>
  <c r="F29" i="49" s="1"/>
  <c r="G29" i="49" a="1"/>
  <c r="G29" i="49" s="1"/>
  <c r="H29" i="49" a="1"/>
  <c r="H29" i="49" s="1"/>
  <c r="I29" i="49" a="1"/>
  <c r="I29" i="49" s="1"/>
  <c r="J29" i="49" a="1"/>
  <c r="J29" i="49" s="1"/>
  <c r="K29" i="49" a="1"/>
  <c r="K29" i="49" s="1"/>
  <c r="L29" i="49" a="1"/>
  <c r="L29" i="49" s="1"/>
  <c r="M29" i="49" a="1"/>
  <c r="M29" i="49" s="1"/>
  <c r="N29" i="49" a="1"/>
  <c r="N29" i="49" s="1"/>
  <c r="O29" i="49" a="1"/>
  <c r="O29" i="49" s="1"/>
  <c r="P29" i="49" a="1"/>
  <c r="P29" i="49" s="1"/>
  <c r="Q29" i="49" a="1"/>
  <c r="Q29" i="49" s="1"/>
  <c r="R29" i="49" a="1"/>
  <c r="R29" i="49" s="1"/>
  <c r="S29" i="49" a="1"/>
  <c r="S29" i="49" s="1"/>
  <c r="T29" i="49" a="1"/>
  <c r="T29" i="49" s="1"/>
  <c r="U29" i="49" a="1"/>
  <c r="U29" i="49" s="1"/>
  <c r="V29" i="49" a="1"/>
  <c r="V29" i="49" s="1"/>
  <c r="W29" i="49" a="1"/>
  <c r="W29" i="49" s="1"/>
  <c r="X29" i="49" a="1"/>
  <c r="X29" i="49" s="1"/>
  <c r="Y29" i="49" a="1"/>
  <c r="Y29" i="49" s="1"/>
  <c r="Z29" i="49" a="1"/>
  <c r="Z29" i="49" s="1"/>
  <c r="AA29" i="49" a="1"/>
  <c r="AA29" i="49" s="1"/>
  <c r="AB29" i="49" a="1"/>
  <c r="AB29" i="49" s="1"/>
  <c r="AC29" i="49" a="1"/>
  <c r="AC29" i="49" s="1"/>
  <c r="AD29" i="49" a="1"/>
  <c r="AD29" i="49" s="1"/>
  <c r="AE29" i="49" a="1"/>
  <c r="AE29" i="49" s="1"/>
  <c r="AF29" i="49" a="1"/>
  <c r="AF29" i="49" s="1"/>
  <c r="AG29" i="49" a="1"/>
  <c r="AG29" i="49" s="1"/>
  <c r="AH29" i="49" a="1"/>
  <c r="AH29" i="49" s="1"/>
  <c r="AI29" i="49" a="1"/>
  <c r="AI29" i="49" s="1"/>
  <c r="AJ29" i="49" a="1"/>
  <c r="AJ29" i="49" s="1"/>
  <c r="AK29" i="49" a="1"/>
  <c r="AK29" i="49" s="1"/>
  <c r="AL29" i="49" a="1"/>
  <c r="AL29" i="49" s="1"/>
  <c r="AM29" i="49" a="1"/>
  <c r="AM29" i="49" s="1"/>
  <c r="AN29" i="49" a="1"/>
  <c r="AN29" i="49" s="1"/>
  <c r="AO29" i="49" a="1"/>
  <c r="AO29" i="49" s="1"/>
  <c r="AP29" i="49" a="1"/>
  <c r="AP29" i="49" s="1"/>
  <c r="AQ29" i="49" a="1"/>
  <c r="AQ29" i="49" s="1"/>
  <c r="AR29" i="49" a="1"/>
  <c r="AR29" i="49" s="1"/>
  <c r="AS29" i="49" a="1"/>
  <c r="AS29" i="49" s="1"/>
  <c r="AT29" i="49" a="1"/>
  <c r="AT29" i="49" s="1"/>
  <c r="AU29" i="49" a="1"/>
  <c r="AU29" i="49" s="1"/>
  <c r="AV29" i="49" a="1"/>
  <c r="AV29" i="49" s="1"/>
  <c r="AW29" i="49" a="1"/>
  <c r="AW29" i="49" s="1"/>
  <c r="AX29" i="49" a="1"/>
  <c r="AX29" i="49" s="1"/>
  <c r="AY29" i="49" a="1"/>
  <c r="AY29" i="49" s="1"/>
  <c r="AZ29" i="49" a="1"/>
  <c r="AZ29" i="49" s="1"/>
  <c r="BA29" i="49" a="1"/>
  <c r="BA29" i="49" s="1"/>
  <c r="BB29" i="49" a="1"/>
  <c r="BB29" i="49" s="1"/>
  <c r="E3" i="49"/>
  <c r="F3" i="49" s="1"/>
  <c r="G3" i="49" s="1"/>
  <c r="H3" i="49" s="1"/>
  <c r="I3" i="49" s="1"/>
  <c r="J3" i="49" s="1"/>
  <c r="K3" i="49" s="1"/>
  <c r="L3" i="49" s="1"/>
  <c r="M3" i="49" s="1"/>
  <c r="N3" i="49" s="1"/>
  <c r="O3" i="49" s="1"/>
  <c r="P3" i="49" s="1"/>
  <c r="Q3" i="49" s="1"/>
  <c r="R3" i="49" s="1"/>
  <c r="S3" i="49" s="1"/>
  <c r="T3" i="49" s="1"/>
  <c r="U3" i="49" s="1"/>
  <c r="V3" i="49" s="1"/>
  <c r="W3" i="49" s="1"/>
  <c r="X3" i="49" s="1"/>
  <c r="Y3" i="49" s="1"/>
  <c r="Z3" i="49" s="1"/>
  <c r="AA3" i="49" s="1"/>
  <c r="AB3" i="49" s="1"/>
  <c r="AC3" i="49" s="1"/>
  <c r="AD3" i="49" s="1"/>
  <c r="AE3" i="49" s="1"/>
  <c r="AF3" i="49" s="1"/>
  <c r="AG3" i="49" s="1"/>
  <c r="AH3" i="49" s="1"/>
  <c r="AI3" i="49" s="1"/>
  <c r="AJ3" i="49" s="1"/>
  <c r="AK3" i="49" s="1"/>
  <c r="AL3" i="49" s="1"/>
  <c r="AM3" i="49" s="1"/>
  <c r="AN3" i="49" s="1"/>
  <c r="AO3" i="49" s="1"/>
  <c r="AP3" i="49" s="1"/>
  <c r="AQ3" i="49" s="1"/>
  <c r="AR3" i="49" s="1"/>
  <c r="D3" i="49"/>
  <c r="C3" i="49"/>
  <c r="B2" i="49"/>
  <c r="D4" i="53"/>
  <c r="E4" i="53" s="1"/>
  <c r="C4" i="53"/>
  <c r="C5" i="53" s="1"/>
  <c r="D5" i="53"/>
  <c r="B7" i="53" a="1"/>
  <c r="B7" i="53" s="1"/>
  <c r="B5" i="53"/>
  <c r="X29" i="54" a="1"/>
  <c r="X29" i="54" s="1"/>
  <c r="X28" i="54" a="1"/>
  <c r="X28" i="54" s="1"/>
  <c r="X27" i="54" a="1"/>
  <c r="X27" i="54" s="1"/>
  <c r="X26" i="54" a="1"/>
  <c r="X26" i="54" s="1"/>
  <c r="X25" i="54" a="1"/>
  <c r="X25" i="54" s="1"/>
  <c r="X24" i="54" a="1"/>
  <c r="X24" i="54" s="1"/>
  <c r="X23" i="54" a="1"/>
  <c r="X23" i="54" s="1"/>
  <c r="X22" i="54" a="1"/>
  <c r="X22" i="54" s="1"/>
  <c r="X21" i="54" a="1"/>
  <c r="X21" i="54" s="1"/>
  <c r="X20" i="54" a="1"/>
  <c r="X20" i="54" s="1"/>
  <c r="X19" i="54" a="1"/>
  <c r="X19" i="54" s="1"/>
  <c r="X18" i="54" a="1"/>
  <c r="X18" i="54" s="1"/>
  <c r="X17" i="54" a="1"/>
  <c r="X17" i="54" s="1"/>
  <c r="X16" i="54" a="1"/>
  <c r="X16" i="54" s="1"/>
  <c r="X15" i="54" a="1"/>
  <c r="X15" i="54" s="1"/>
  <c r="X14" i="54" a="1"/>
  <c r="X14" i="54" s="1"/>
  <c r="X13" i="54" a="1"/>
  <c r="X13" i="54" s="1"/>
  <c r="X12" i="54" a="1"/>
  <c r="X12" i="54" s="1"/>
  <c r="X11" i="54" a="1"/>
  <c r="X11" i="54" s="1"/>
  <c r="X10" i="54" a="1"/>
  <c r="X10" i="54" s="1"/>
  <c r="X9" i="54" a="1"/>
  <c r="X9" i="54" s="1"/>
  <c r="X8" i="54" a="1"/>
  <c r="X8" i="54" s="1"/>
  <c r="X7" i="54" a="1"/>
  <c r="X7" i="54" s="1"/>
  <c r="X6" i="54" a="1"/>
  <c r="X6" i="54" s="1"/>
  <c r="X5" i="54" a="1"/>
  <c r="X5" i="54" s="1"/>
  <c r="L31" i="46" a="1"/>
  <c r="L31" i="46" s="1"/>
  <c r="J31" i="46" a="1"/>
  <c r="J31" i="46" s="1"/>
  <c r="H31" i="46" a="1"/>
  <c r="H31" i="46" s="1"/>
  <c r="L30" i="46" a="1"/>
  <c r="L30" i="46" s="1"/>
  <c r="J30" i="46" a="1"/>
  <c r="J30" i="46" s="1"/>
  <c r="H30" i="46" a="1"/>
  <c r="H30" i="46" s="1"/>
  <c r="L29" i="46" a="1"/>
  <c r="L29" i="46" s="1"/>
  <c r="J29" i="46" a="1"/>
  <c r="J29" i="46" s="1"/>
  <c r="H29" i="46" a="1"/>
  <c r="H29" i="46" s="1"/>
  <c r="L28" i="46" a="1"/>
  <c r="L28" i="46" s="1"/>
  <c r="J28" i="46" a="1"/>
  <c r="J28" i="46" s="1"/>
  <c r="H28" i="46" a="1"/>
  <c r="H28" i="46" s="1"/>
  <c r="L27" i="46" a="1"/>
  <c r="L27" i="46" s="1"/>
  <c r="J27" i="46" a="1"/>
  <c r="J27" i="46" s="1"/>
  <c r="H27" i="46" a="1"/>
  <c r="H27" i="46" s="1"/>
  <c r="L26" i="46" a="1"/>
  <c r="L26" i="46" s="1"/>
  <c r="J26" i="46" a="1"/>
  <c r="J26" i="46" s="1"/>
  <c r="H26" i="46" a="1"/>
  <c r="H26" i="46" s="1"/>
  <c r="L25" i="46" a="1"/>
  <c r="L25" i="46" s="1"/>
  <c r="J25" i="46" a="1"/>
  <c r="J25" i="46" s="1"/>
  <c r="H25" i="46" a="1"/>
  <c r="H25" i="46" s="1"/>
  <c r="L21" i="46" a="1"/>
  <c r="L21" i="46" s="1"/>
  <c r="J21" i="46" a="1"/>
  <c r="J21" i="46" s="1"/>
  <c r="H21" i="46" a="1"/>
  <c r="H21" i="46" s="1"/>
  <c r="D2" i="46"/>
  <c r="B2" i="46"/>
  <c r="EV20" i="58" a="1"/>
  <c r="EV20" i="58" s="1"/>
  <c r="EW20" i="58" a="1"/>
  <c r="EW20" i="58" s="1"/>
  <c r="EX20" i="58" a="1"/>
  <c r="EX20" i="58" s="1"/>
  <c r="EY20" i="58" a="1"/>
  <c r="EY20" i="58" s="1"/>
  <c r="EZ20" i="58" a="1"/>
  <c r="EZ20" i="58" s="1"/>
  <c r="FA20" i="58" a="1"/>
  <c r="FA20" i="58" s="1"/>
  <c r="FB20" i="58" a="1"/>
  <c r="FB20" i="58" s="1"/>
  <c r="FC20" i="58" a="1"/>
  <c r="FC20" i="58" s="1"/>
  <c r="FD20" i="58" a="1"/>
  <c r="FD20" i="58" s="1"/>
  <c r="FE20" i="58" a="1"/>
  <c r="FE20" i="58" s="1"/>
  <c r="FF20" i="58" a="1"/>
  <c r="FF20" i="58" s="1"/>
  <c r="FG20" i="58" a="1"/>
  <c r="FG20" i="58" s="1"/>
  <c r="FH20" i="58" a="1"/>
  <c r="FH20" i="58" s="1"/>
  <c r="FI20" i="58" a="1"/>
  <c r="FI20" i="58" s="1"/>
  <c r="FJ20" i="58" a="1"/>
  <c r="FJ20" i="58" s="1"/>
  <c r="FK20" i="58" a="1"/>
  <c r="FK20" i="58" s="1"/>
  <c r="FL20" i="58" a="1"/>
  <c r="FL20" i="58" s="1"/>
  <c r="FM20" i="58" a="1"/>
  <c r="FM20" i="58" s="1"/>
  <c r="FN20" i="58" a="1"/>
  <c r="FN20" i="58" s="1"/>
  <c r="FO20" i="58" a="1"/>
  <c r="FO20" i="58" s="1"/>
  <c r="FP20" i="58" a="1"/>
  <c r="FP20" i="58" s="1"/>
  <c r="FQ20" i="58" a="1"/>
  <c r="FQ20" i="58" s="1"/>
  <c r="FR20" i="58" a="1"/>
  <c r="FR20" i="58" s="1"/>
  <c r="FS20" i="58" a="1"/>
  <c r="FS20" i="58" s="1"/>
  <c r="FT20" i="58" a="1"/>
  <c r="FT20" i="58" s="1"/>
  <c r="FU20" i="58" a="1"/>
  <c r="FU20" i="58" s="1"/>
  <c r="FV20" i="58" a="1"/>
  <c r="FV20" i="58" s="1"/>
  <c r="FW20" i="58" a="1"/>
  <c r="FW20" i="58" s="1"/>
  <c r="FX20" i="58" a="1"/>
  <c r="FX20" i="58" s="1"/>
  <c r="FY20" i="58" a="1"/>
  <c r="FY20" i="58" s="1"/>
  <c r="FZ20" i="58" a="1"/>
  <c r="FZ20" i="58" s="1"/>
  <c r="GA20" i="58" a="1"/>
  <c r="GA20" i="58" s="1"/>
  <c r="GB20" i="58" a="1"/>
  <c r="GB20" i="58" s="1"/>
  <c r="GC20" i="58" a="1"/>
  <c r="GC20" i="58" s="1"/>
  <c r="GD20" i="58" a="1"/>
  <c r="GD20" i="58" s="1"/>
  <c r="GE20" i="58" a="1"/>
  <c r="GE20" i="58" s="1"/>
  <c r="GF20" i="58" a="1"/>
  <c r="GF20" i="58" s="1"/>
  <c r="GG20" i="58" a="1"/>
  <c r="GG20" i="58" s="1"/>
  <c r="GH20" i="58" a="1"/>
  <c r="GH20" i="58" s="1"/>
  <c r="GI20" i="58" a="1"/>
  <c r="GI20" i="58" s="1"/>
  <c r="CX20" i="58" a="1"/>
  <c r="CX20" i="58" s="1"/>
  <c r="CY20" i="58" a="1"/>
  <c r="CY20" i="58" s="1"/>
  <c r="CZ20" i="58" a="1"/>
  <c r="CZ20" i="58" s="1"/>
  <c r="DA20" i="58" a="1"/>
  <c r="DA20" i="58" s="1"/>
  <c r="DB20" i="58" a="1"/>
  <c r="DB20" i="58" s="1"/>
  <c r="DC20" i="58" a="1"/>
  <c r="DC20" i="58" s="1"/>
  <c r="DD20" i="58" a="1"/>
  <c r="DD20" i="58" s="1"/>
  <c r="DE20" i="58" a="1"/>
  <c r="DE20" i="58" s="1"/>
  <c r="DF20" i="58" a="1"/>
  <c r="DF20" i="58" s="1"/>
  <c r="DG20" i="58" a="1"/>
  <c r="DG20" i="58" s="1"/>
  <c r="DH20" i="58" a="1"/>
  <c r="DH20" i="58" s="1"/>
  <c r="DI20" i="58" a="1"/>
  <c r="DI20" i="58" s="1"/>
  <c r="DJ20" i="58" a="1"/>
  <c r="DJ20" i="58" s="1"/>
  <c r="DK20" i="58" a="1"/>
  <c r="DK20" i="58" s="1"/>
  <c r="DL20" i="58" a="1"/>
  <c r="DL20" i="58" s="1"/>
  <c r="DM20" i="58" a="1"/>
  <c r="DM20" i="58" s="1"/>
  <c r="DN20" i="58" a="1"/>
  <c r="DN20" i="58" s="1"/>
  <c r="DO20" i="58" a="1"/>
  <c r="DO20" i="58" s="1"/>
  <c r="DP20" i="58" a="1"/>
  <c r="DP20" i="58" s="1"/>
  <c r="DQ20" i="58" a="1"/>
  <c r="DQ20" i="58" s="1"/>
  <c r="DR20" i="58" a="1"/>
  <c r="DR20" i="58" s="1"/>
  <c r="DS20" i="58" a="1"/>
  <c r="DS20" i="58" s="1"/>
  <c r="DT20" i="58" a="1"/>
  <c r="DT20" i="58" s="1"/>
  <c r="DU20" i="58" a="1"/>
  <c r="DU20" i="58" s="1"/>
  <c r="DV20" i="58" a="1"/>
  <c r="DV20" i="58" s="1"/>
  <c r="DW20" i="58" a="1"/>
  <c r="DW20" i="58" s="1"/>
  <c r="DX20" i="58" a="1"/>
  <c r="DX20" i="58" s="1"/>
  <c r="DY20" i="58" a="1"/>
  <c r="DY20" i="58" s="1"/>
  <c r="DZ20" i="58" a="1"/>
  <c r="DZ20" i="58" s="1"/>
  <c r="EA20" i="58" a="1"/>
  <c r="EA20" i="58" s="1"/>
  <c r="EB20" i="58" a="1"/>
  <c r="EB20" i="58" s="1"/>
  <c r="EC20" i="58" a="1"/>
  <c r="EC20" i="58" s="1"/>
  <c r="ED20" i="58" a="1"/>
  <c r="ED20" i="58" s="1"/>
  <c r="EE20" i="58" a="1"/>
  <c r="EE20" i="58" s="1"/>
  <c r="EF20" i="58" a="1"/>
  <c r="EF20" i="58" s="1"/>
  <c r="EG20" i="58" a="1"/>
  <c r="EG20" i="58" s="1"/>
  <c r="EH20" i="58" a="1"/>
  <c r="EH20" i="58" s="1"/>
  <c r="EI20" i="58" a="1"/>
  <c r="EI20" i="58" s="1"/>
  <c r="EJ20" i="58" a="1"/>
  <c r="EJ20" i="58" s="1"/>
  <c r="EK20" i="58" a="1"/>
  <c r="EK20" i="58" s="1"/>
  <c r="EL20" i="58" a="1"/>
  <c r="EL20" i="58" s="1"/>
  <c r="EM20" i="58" a="1"/>
  <c r="EM20" i="58" s="1"/>
  <c r="EN20" i="58" a="1"/>
  <c r="EN20" i="58" s="1"/>
  <c r="EO20" i="58" a="1"/>
  <c r="EO20" i="58" s="1"/>
  <c r="EP20" i="58" a="1"/>
  <c r="EP20" i="58" s="1"/>
  <c r="EQ20" i="58" a="1"/>
  <c r="EQ20" i="58" s="1"/>
  <c r="ER20" i="58" a="1"/>
  <c r="ER20" i="58" s="1"/>
  <c r="ES20" i="58" a="1"/>
  <c r="ES20" i="58" s="1"/>
  <c r="ET20" i="58" a="1"/>
  <c r="ET20" i="58" s="1"/>
  <c r="EU20" i="58" a="1"/>
  <c r="EU20" i="58" s="1"/>
  <c r="AZ20" i="58" a="1"/>
  <c r="AZ20" i="58" s="1"/>
  <c r="BA20" i="58" a="1"/>
  <c r="BA20" i="58" s="1"/>
  <c r="BB20" i="58" a="1"/>
  <c r="BB20" i="58" s="1"/>
  <c r="BC20" i="58" a="1"/>
  <c r="BC20" i="58" s="1"/>
  <c r="BD20" i="58" a="1"/>
  <c r="BD20" i="58" s="1"/>
  <c r="BE20" i="58" a="1"/>
  <c r="BE20" i="58" s="1"/>
  <c r="BF20" i="58" a="1"/>
  <c r="BF20" i="58" s="1"/>
  <c r="BG20" i="58" a="1"/>
  <c r="BG20" i="58" s="1"/>
  <c r="BH20" i="58" a="1"/>
  <c r="BH20" i="58" s="1"/>
  <c r="BI20" i="58" a="1"/>
  <c r="BI20" i="58" s="1"/>
  <c r="BJ20" i="58" a="1"/>
  <c r="BJ20" i="58" s="1"/>
  <c r="BK20" i="58" a="1"/>
  <c r="BK20" i="58" s="1"/>
  <c r="BL20" i="58" a="1"/>
  <c r="BL20" i="58" s="1"/>
  <c r="BM20" i="58" a="1"/>
  <c r="BM20" i="58" s="1"/>
  <c r="BN20" i="58" a="1"/>
  <c r="BN20" i="58" s="1"/>
  <c r="BO20" i="58" a="1"/>
  <c r="BO20" i="58" s="1"/>
  <c r="BP20" i="58" a="1"/>
  <c r="BP20" i="58" s="1"/>
  <c r="BQ20" i="58" a="1"/>
  <c r="BQ20" i="58" s="1"/>
  <c r="BR20" i="58" a="1"/>
  <c r="BR20" i="58" s="1"/>
  <c r="BS20" i="58" a="1"/>
  <c r="BS20" i="58" s="1"/>
  <c r="BT20" i="58" a="1"/>
  <c r="BT20" i="58" s="1"/>
  <c r="BU20" i="58" a="1"/>
  <c r="BU20" i="58" s="1"/>
  <c r="BV20" i="58" a="1"/>
  <c r="BV20" i="58" s="1"/>
  <c r="BW20" i="58" a="1"/>
  <c r="BW20" i="58" s="1"/>
  <c r="BX20" i="58" a="1"/>
  <c r="BX20" i="58" s="1"/>
  <c r="BY20" i="58" a="1"/>
  <c r="BY20" i="58" s="1"/>
  <c r="BZ20" i="58" a="1"/>
  <c r="BZ20" i="58" s="1"/>
  <c r="CA20" i="58" a="1"/>
  <c r="CA20" i="58" s="1"/>
  <c r="CB20" i="58" a="1"/>
  <c r="CB20" i="58" s="1"/>
  <c r="CC20" i="58" a="1"/>
  <c r="CC20" i="58" s="1"/>
  <c r="CD20" i="58" a="1"/>
  <c r="CD20" i="58" s="1"/>
  <c r="CE20" i="58" a="1"/>
  <c r="CE20" i="58" s="1"/>
  <c r="CF20" i="58" a="1"/>
  <c r="CF20" i="58" s="1"/>
  <c r="CG20" i="58" a="1"/>
  <c r="CG20" i="58" s="1"/>
  <c r="CH20" i="58" a="1"/>
  <c r="CH20" i="58" s="1"/>
  <c r="CI20" i="58" a="1"/>
  <c r="CI20" i="58" s="1"/>
  <c r="CJ20" i="58" a="1"/>
  <c r="CJ20" i="58" s="1"/>
  <c r="CK20" i="58" a="1"/>
  <c r="CK20" i="58" s="1"/>
  <c r="CL20" i="58" a="1"/>
  <c r="CL20" i="58" s="1"/>
  <c r="CM20" i="58" a="1"/>
  <c r="CM20" i="58" s="1"/>
  <c r="CN20" i="58" a="1"/>
  <c r="CN20" i="58" s="1"/>
  <c r="CO20" i="58" a="1"/>
  <c r="CO20" i="58" s="1"/>
  <c r="CP20" i="58" a="1"/>
  <c r="CP20" i="58" s="1"/>
  <c r="CQ20" i="58" a="1"/>
  <c r="CQ20" i="58" s="1"/>
  <c r="CR20" i="58" a="1"/>
  <c r="CR20" i="58" s="1"/>
  <c r="CS20" i="58" a="1"/>
  <c r="CS20" i="58" s="1"/>
  <c r="CT20" i="58" a="1"/>
  <c r="CT20" i="58" s="1"/>
  <c r="CU20" i="58" a="1"/>
  <c r="CU20" i="58" s="1"/>
  <c r="CV20" i="58" a="1"/>
  <c r="CV20" i="58" s="1"/>
  <c r="CW20" i="58" a="1"/>
  <c r="CW20" i="58" s="1"/>
  <c r="B20" i="58" a="1"/>
  <c r="B20" i="58" s="1"/>
  <c r="C20" i="58" a="1"/>
  <c r="C20" i="58" s="1"/>
  <c r="D20" i="58" a="1"/>
  <c r="D20" i="58" s="1"/>
  <c r="E20" i="58" a="1"/>
  <c r="E20" i="58" s="1"/>
  <c r="F20" i="58" a="1"/>
  <c r="F20" i="58" s="1"/>
  <c r="G20" i="58" a="1"/>
  <c r="G20" i="58" s="1"/>
  <c r="H20" i="58" a="1"/>
  <c r="H20" i="58" s="1"/>
  <c r="I20" i="58" a="1"/>
  <c r="I20" i="58" s="1"/>
  <c r="J20" i="58" a="1"/>
  <c r="J20" i="58" s="1"/>
  <c r="K20" i="58" a="1"/>
  <c r="K20" i="58" s="1"/>
  <c r="L20" i="58" a="1"/>
  <c r="L20" i="58" s="1"/>
  <c r="M20" i="58" a="1"/>
  <c r="M20" i="58" s="1"/>
  <c r="N20" i="58" a="1"/>
  <c r="N20" i="58" s="1"/>
  <c r="O20" i="58" a="1"/>
  <c r="O20" i="58" s="1"/>
  <c r="P20" i="58" a="1"/>
  <c r="P20" i="58" s="1"/>
  <c r="Q20" i="58" a="1"/>
  <c r="Q20" i="58" s="1"/>
  <c r="R20" i="58" a="1"/>
  <c r="R20" i="58" s="1"/>
  <c r="S20" i="58" a="1"/>
  <c r="S20" i="58" s="1"/>
  <c r="T20" i="58" a="1"/>
  <c r="T20" i="58" s="1"/>
  <c r="U20" i="58" a="1"/>
  <c r="U20" i="58" s="1"/>
  <c r="V20" i="58" a="1"/>
  <c r="V20" i="58" s="1"/>
  <c r="W20" i="58" a="1"/>
  <c r="W20" i="58" s="1"/>
  <c r="X20" i="58" a="1"/>
  <c r="X20" i="58" s="1"/>
  <c r="Y20" i="58" a="1"/>
  <c r="Y20" i="58" s="1"/>
  <c r="Z20" i="58" a="1"/>
  <c r="Z20" i="58" s="1"/>
  <c r="AA20" i="58" a="1"/>
  <c r="AA20" i="58" s="1"/>
  <c r="AB20" i="58" a="1"/>
  <c r="AB20" i="58" s="1"/>
  <c r="AC20" i="58" a="1"/>
  <c r="AC20" i="58" s="1"/>
  <c r="AD20" i="58" a="1"/>
  <c r="AD20" i="58" s="1"/>
  <c r="AE20" i="58" a="1"/>
  <c r="AE20" i="58" s="1"/>
  <c r="AF20" i="58" a="1"/>
  <c r="AF20" i="58" s="1"/>
  <c r="AG20" i="58" a="1"/>
  <c r="AG20" i="58" s="1"/>
  <c r="AH20" i="58" a="1"/>
  <c r="AH20" i="58" s="1"/>
  <c r="AI20" i="58" a="1"/>
  <c r="AI20" i="58" s="1"/>
  <c r="AJ20" i="58" a="1"/>
  <c r="AJ20" i="58" s="1"/>
  <c r="AK20" i="58" a="1"/>
  <c r="AK20" i="58" s="1"/>
  <c r="AL20" i="58" a="1"/>
  <c r="AL20" i="58" s="1"/>
  <c r="AM20" i="58" a="1"/>
  <c r="AM20" i="58" s="1"/>
  <c r="AN20" i="58" a="1"/>
  <c r="AN20" i="58" s="1"/>
  <c r="AO20" i="58" a="1"/>
  <c r="AO20" i="58" s="1"/>
  <c r="AP20" i="58" a="1"/>
  <c r="AP20" i="58" s="1"/>
  <c r="AQ20" i="58" a="1"/>
  <c r="AQ20" i="58" s="1"/>
  <c r="AR20" i="58" a="1"/>
  <c r="AR20" i="58" s="1"/>
  <c r="AS20" i="58" a="1"/>
  <c r="AS20" i="58" s="1"/>
  <c r="AT20" i="58" a="1"/>
  <c r="AT20" i="58" s="1"/>
  <c r="AU20" i="58" a="1"/>
  <c r="AU20" i="58" s="1"/>
  <c r="AV20" i="58" a="1"/>
  <c r="AV20" i="58" s="1"/>
  <c r="AW20" i="58" a="1"/>
  <c r="AW20" i="58" s="1"/>
  <c r="AX20" i="58" a="1"/>
  <c r="AX20" i="58" s="1"/>
  <c r="AY20" i="58" a="1"/>
  <c r="AY20" i="58" s="1"/>
  <c r="EV19" i="58" a="1"/>
  <c r="EV19" i="58" s="1"/>
  <c r="EW19" i="58" a="1"/>
  <c r="EW19" i="58" s="1"/>
  <c r="EX19" i="58" a="1"/>
  <c r="EX19" i="58" s="1"/>
  <c r="EY19" i="58" a="1"/>
  <c r="EY19" i="58" s="1"/>
  <c r="EZ19" i="58" a="1"/>
  <c r="EZ19" i="58" s="1"/>
  <c r="FA19" i="58" a="1"/>
  <c r="FA19" i="58" s="1"/>
  <c r="FB19" i="58" a="1"/>
  <c r="FB19" i="58" s="1"/>
  <c r="FC19" i="58" a="1"/>
  <c r="FC19" i="58" s="1"/>
  <c r="FD19" i="58" a="1"/>
  <c r="FD19" i="58" s="1"/>
  <c r="FE19" i="58" a="1"/>
  <c r="FE19" i="58" s="1"/>
  <c r="FF19" i="58" a="1"/>
  <c r="FF19" i="58" s="1"/>
  <c r="FG19" i="58" a="1"/>
  <c r="FG19" i="58" s="1"/>
  <c r="FH19" i="58" a="1"/>
  <c r="FH19" i="58" s="1"/>
  <c r="FI19" i="58" a="1"/>
  <c r="FI19" i="58" s="1"/>
  <c r="FJ19" i="58" a="1"/>
  <c r="FJ19" i="58" s="1"/>
  <c r="FK19" i="58" a="1"/>
  <c r="FK19" i="58" s="1"/>
  <c r="FL19" i="58" a="1"/>
  <c r="FL19" i="58" s="1"/>
  <c r="FM19" i="58" a="1"/>
  <c r="FM19" i="58" s="1"/>
  <c r="FN19" i="58" a="1"/>
  <c r="FN19" i="58" s="1"/>
  <c r="FO19" i="58" a="1"/>
  <c r="FO19" i="58" s="1"/>
  <c r="FP19" i="58" a="1"/>
  <c r="FP19" i="58" s="1"/>
  <c r="FQ19" i="58" a="1"/>
  <c r="FQ19" i="58" s="1"/>
  <c r="FR19" i="58" a="1"/>
  <c r="FR19" i="58" s="1"/>
  <c r="FS19" i="58" a="1"/>
  <c r="FS19" i="58" s="1"/>
  <c r="FT19" i="58" a="1"/>
  <c r="FT19" i="58" s="1"/>
  <c r="FU19" i="58" a="1"/>
  <c r="FU19" i="58" s="1"/>
  <c r="FV19" i="58" a="1"/>
  <c r="FV19" i="58" s="1"/>
  <c r="FW19" i="58" a="1"/>
  <c r="FW19" i="58" s="1"/>
  <c r="FX19" i="58" a="1"/>
  <c r="FX19" i="58" s="1"/>
  <c r="FY19" i="58" a="1"/>
  <c r="FY19" i="58" s="1"/>
  <c r="FZ19" i="58" a="1"/>
  <c r="FZ19" i="58" s="1"/>
  <c r="GA19" i="58" a="1"/>
  <c r="GA19" i="58" s="1"/>
  <c r="GB19" i="58" a="1"/>
  <c r="GB19" i="58" s="1"/>
  <c r="GC19" i="58" a="1"/>
  <c r="GC19" i="58" s="1"/>
  <c r="GD19" i="58" a="1"/>
  <c r="GD19" i="58" s="1"/>
  <c r="GE19" i="58" a="1"/>
  <c r="GE19" i="58" s="1"/>
  <c r="GF19" i="58" a="1"/>
  <c r="GF19" i="58" s="1"/>
  <c r="GG19" i="58" a="1"/>
  <c r="GG19" i="58" s="1"/>
  <c r="GH19" i="58" a="1"/>
  <c r="GH19" i="58" s="1"/>
  <c r="GI19" i="58" a="1"/>
  <c r="GI19" i="58" s="1"/>
  <c r="CX19" i="58" a="1"/>
  <c r="CX19" i="58" s="1"/>
  <c r="CY19" i="58" a="1"/>
  <c r="CY19" i="58" s="1"/>
  <c r="CZ19" i="58" a="1"/>
  <c r="CZ19" i="58" s="1"/>
  <c r="DA19" i="58" a="1"/>
  <c r="DA19" i="58" s="1"/>
  <c r="DB19" i="58" a="1"/>
  <c r="DB19" i="58" s="1"/>
  <c r="DC19" i="58" a="1"/>
  <c r="DC19" i="58" s="1"/>
  <c r="DD19" i="58" a="1"/>
  <c r="DD19" i="58" s="1"/>
  <c r="DE19" i="58" a="1"/>
  <c r="DE19" i="58" s="1"/>
  <c r="DF19" i="58" a="1"/>
  <c r="DF19" i="58" s="1"/>
  <c r="DG19" i="58" a="1"/>
  <c r="DG19" i="58" s="1"/>
  <c r="DH19" i="58" a="1"/>
  <c r="DH19" i="58" s="1"/>
  <c r="DI19" i="58" a="1"/>
  <c r="DI19" i="58" s="1"/>
  <c r="DJ19" i="58" a="1"/>
  <c r="DJ19" i="58" s="1"/>
  <c r="DK19" i="58" a="1"/>
  <c r="DK19" i="58" s="1"/>
  <c r="DL19" i="58" a="1"/>
  <c r="DL19" i="58" s="1"/>
  <c r="DM19" i="58" a="1"/>
  <c r="DM19" i="58" s="1"/>
  <c r="DN19" i="58" a="1"/>
  <c r="DN19" i="58" s="1"/>
  <c r="DO19" i="58" a="1"/>
  <c r="DO19" i="58" s="1"/>
  <c r="DP19" i="58" a="1"/>
  <c r="DP19" i="58" s="1"/>
  <c r="DQ19" i="58" a="1"/>
  <c r="DQ19" i="58" s="1"/>
  <c r="DR19" i="58" a="1"/>
  <c r="DR19" i="58" s="1"/>
  <c r="DS19" i="58" a="1"/>
  <c r="DS19" i="58" s="1"/>
  <c r="DT19" i="58" a="1"/>
  <c r="DT19" i="58" s="1"/>
  <c r="DU19" i="58" a="1"/>
  <c r="DU19" i="58" s="1"/>
  <c r="DV19" i="58" a="1"/>
  <c r="DV19" i="58" s="1"/>
  <c r="DW19" i="58" a="1"/>
  <c r="DW19" i="58" s="1"/>
  <c r="DX19" i="58" a="1"/>
  <c r="DX19" i="58" s="1"/>
  <c r="DY19" i="58" a="1"/>
  <c r="DY19" i="58" s="1"/>
  <c r="DZ19" i="58" a="1"/>
  <c r="DZ19" i="58" s="1"/>
  <c r="EA19" i="58" a="1"/>
  <c r="EA19" i="58" s="1"/>
  <c r="EB19" i="58" a="1"/>
  <c r="EB19" i="58" s="1"/>
  <c r="EC19" i="58" a="1"/>
  <c r="EC19" i="58" s="1"/>
  <c r="ED19" i="58" a="1"/>
  <c r="ED19" i="58" s="1"/>
  <c r="EE19" i="58" a="1"/>
  <c r="EE19" i="58" s="1"/>
  <c r="EF19" i="58" a="1"/>
  <c r="EF19" i="58" s="1"/>
  <c r="EG19" i="58" a="1"/>
  <c r="EG19" i="58" s="1"/>
  <c r="EH19" i="58" a="1"/>
  <c r="EH19" i="58" s="1"/>
  <c r="EI19" i="58" a="1"/>
  <c r="EI19" i="58" s="1"/>
  <c r="EJ19" i="58" a="1"/>
  <c r="EJ19" i="58" s="1"/>
  <c r="EK19" i="58" a="1"/>
  <c r="EK19" i="58" s="1"/>
  <c r="EL19" i="58" a="1"/>
  <c r="EL19" i="58" s="1"/>
  <c r="EM19" i="58" a="1"/>
  <c r="EM19" i="58" s="1"/>
  <c r="EN19" i="58" a="1"/>
  <c r="EN19" i="58" s="1"/>
  <c r="EO19" i="58" a="1"/>
  <c r="EO19" i="58" s="1"/>
  <c r="EP19" i="58" a="1"/>
  <c r="EP19" i="58" s="1"/>
  <c r="EQ19" i="58" a="1"/>
  <c r="EQ19" i="58" s="1"/>
  <c r="ER19" i="58" a="1"/>
  <c r="ER19" i="58" s="1"/>
  <c r="ES19" i="58" a="1"/>
  <c r="ES19" i="58" s="1"/>
  <c r="ET19" i="58" a="1"/>
  <c r="ET19" i="58" s="1"/>
  <c r="EU19" i="58" a="1"/>
  <c r="EU19" i="58" s="1"/>
  <c r="AZ19" i="58" a="1"/>
  <c r="AZ19" i="58" s="1"/>
  <c r="BA19" i="58" a="1"/>
  <c r="BA19" i="58" s="1"/>
  <c r="BB19" i="58" a="1"/>
  <c r="BB19" i="58" s="1"/>
  <c r="BC19" i="58" a="1"/>
  <c r="BC19" i="58" s="1"/>
  <c r="BD19" i="58" a="1"/>
  <c r="BD19" i="58" s="1"/>
  <c r="BE19" i="58" a="1"/>
  <c r="BE19" i="58" s="1"/>
  <c r="BF19" i="58" a="1"/>
  <c r="BF19" i="58" s="1"/>
  <c r="BG19" i="58" a="1"/>
  <c r="BG19" i="58" s="1"/>
  <c r="BH19" i="58" a="1"/>
  <c r="BH19" i="58" s="1"/>
  <c r="BI19" i="58" a="1"/>
  <c r="BI19" i="58" s="1"/>
  <c r="BJ19" i="58" a="1"/>
  <c r="BJ19" i="58" s="1"/>
  <c r="BK19" i="58" a="1"/>
  <c r="BK19" i="58" s="1"/>
  <c r="BL19" i="58" a="1"/>
  <c r="BL19" i="58" s="1"/>
  <c r="BM19" i="58" a="1"/>
  <c r="BM19" i="58" s="1"/>
  <c r="BN19" i="58" a="1"/>
  <c r="BN19" i="58" s="1"/>
  <c r="BO19" i="58" a="1"/>
  <c r="BO19" i="58" s="1"/>
  <c r="BP19" i="58" a="1"/>
  <c r="BP19" i="58" s="1"/>
  <c r="BQ19" i="58" a="1"/>
  <c r="BQ19" i="58" s="1"/>
  <c r="BR19" i="58" a="1"/>
  <c r="BR19" i="58" s="1"/>
  <c r="BS19" i="58" a="1"/>
  <c r="BS19" i="58" s="1"/>
  <c r="BT19" i="58" a="1"/>
  <c r="BT19" i="58" s="1"/>
  <c r="BU19" i="58" a="1"/>
  <c r="BU19" i="58" s="1"/>
  <c r="BV19" i="58" a="1"/>
  <c r="BV19" i="58" s="1"/>
  <c r="BW19" i="58" a="1"/>
  <c r="BW19" i="58" s="1"/>
  <c r="BX19" i="58" a="1"/>
  <c r="BX19" i="58" s="1"/>
  <c r="BY19" i="58" a="1"/>
  <c r="BY19" i="58" s="1"/>
  <c r="BZ19" i="58" a="1"/>
  <c r="BZ19" i="58" s="1"/>
  <c r="CA19" i="58" a="1"/>
  <c r="CA19" i="58" s="1"/>
  <c r="CB19" i="58" a="1"/>
  <c r="CB19" i="58" s="1"/>
  <c r="CC19" i="58" a="1"/>
  <c r="CC19" i="58" s="1"/>
  <c r="CD19" i="58" a="1"/>
  <c r="CD19" i="58" s="1"/>
  <c r="CE19" i="58" a="1"/>
  <c r="CE19" i="58" s="1"/>
  <c r="CF19" i="58" a="1"/>
  <c r="CF19" i="58" s="1"/>
  <c r="CG19" i="58" a="1"/>
  <c r="CG19" i="58" s="1"/>
  <c r="CH19" i="58" a="1"/>
  <c r="CH19" i="58" s="1"/>
  <c r="CI19" i="58" a="1"/>
  <c r="CI19" i="58" s="1"/>
  <c r="CJ19" i="58" a="1"/>
  <c r="CJ19" i="58" s="1"/>
  <c r="CK19" i="58" a="1"/>
  <c r="CK19" i="58" s="1"/>
  <c r="CL19" i="58" a="1"/>
  <c r="CL19" i="58" s="1"/>
  <c r="CM19" i="58" a="1"/>
  <c r="CM19" i="58" s="1"/>
  <c r="CN19" i="58" a="1"/>
  <c r="CN19" i="58" s="1"/>
  <c r="CO19" i="58" a="1"/>
  <c r="CO19" i="58" s="1"/>
  <c r="CP19" i="58" a="1"/>
  <c r="CP19" i="58" s="1"/>
  <c r="CQ19" i="58" a="1"/>
  <c r="CQ19" i="58" s="1"/>
  <c r="CR19" i="58" a="1"/>
  <c r="CR19" i="58" s="1"/>
  <c r="CS19" i="58" a="1"/>
  <c r="CS19" i="58" s="1"/>
  <c r="CT19" i="58" a="1"/>
  <c r="CT19" i="58" s="1"/>
  <c r="CU19" i="58" a="1"/>
  <c r="CU19" i="58" s="1"/>
  <c r="CV19" i="58" a="1"/>
  <c r="CV19" i="58" s="1"/>
  <c r="CW19" i="58" a="1"/>
  <c r="CW19" i="58" s="1"/>
  <c r="B19" i="58" a="1"/>
  <c r="B19" i="58" s="1"/>
  <c r="C19" i="58" a="1"/>
  <c r="C19" i="58" s="1"/>
  <c r="D19" i="58" a="1"/>
  <c r="D19" i="58" s="1"/>
  <c r="E19" i="58" a="1"/>
  <c r="E19" i="58" s="1"/>
  <c r="F19" i="58" a="1"/>
  <c r="F19" i="58" s="1"/>
  <c r="G19" i="58" a="1"/>
  <c r="G19" i="58" s="1"/>
  <c r="H19" i="58" a="1"/>
  <c r="H19" i="58" s="1"/>
  <c r="I19" i="58" a="1"/>
  <c r="I19" i="58" s="1"/>
  <c r="J19" i="58" a="1"/>
  <c r="J19" i="58" s="1"/>
  <c r="K19" i="58" a="1"/>
  <c r="K19" i="58" s="1"/>
  <c r="L19" i="58" a="1"/>
  <c r="L19" i="58" s="1"/>
  <c r="M19" i="58" a="1"/>
  <c r="M19" i="58" s="1"/>
  <c r="N19" i="58" a="1"/>
  <c r="N19" i="58" s="1"/>
  <c r="O19" i="58" a="1"/>
  <c r="O19" i="58" s="1"/>
  <c r="P19" i="58" a="1"/>
  <c r="P19" i="58" s="1"/>
  <c r="Q19" i="58" a="1"/>
  <c r="Q19" i="58" s="1"/>
  <c r="R19" i="58" a="1"/>
  <c r="R19" i="58" s="1"/>
  <c r="S19" i="58" a="1"/>
  <c r="S19" i="58" s="1"/>
  <c r="T19" i="58" a="1"/>
  <c r="T19" i="58" s="1"/>
  <c r="U19" i="58" a="1"/>
  <c r="U19" i="58" s="1"/>
  <c r="V19" i="58" a="1"/>
  <c r="V19" i="58" s="1"/>
  <c r="W19" i="58" a="1"/>
  <c r="W19" i="58" s="1"/>
  <c r="X19" i="58" a="1"/>
  <c r="X19" i="58" s="1"/>
  <c r="Y19" i="58" a="1"/>
  <c r="Y19" i="58" s="1"/>
  <c r="Z19" i="58" a="1"/>
  <c r="Z19" i="58" s="1"/>
  <c r="AA19" i="58" a="1"/>
  <c r="AA19" i="58" s="1"/>
  <c r="AB19" i="58" a="1"/>
  <c r="AB19" i="58" s="1"/>
  <c r="AC19" i="58" a="1"/>
  <c r="AC19" i="58" s="1"/>
  <c r="AD19" i="58" a="1"/>
  <c r="AD19" i="58" s="1"/>
  <c r="AE19" i="58" a="1"/>
  <c r="AE19" i="58" s="1"/>
  <c r="AF19" i="58" a="1"/>
  <c r="AF19" i="58" s="1"/>
  <c r="AG19" i="58" a="1"/>
  <c r="AG19" i="58" s="1"/>
  <c r="AH19" i="58" a="1"/>
  <c r="AH19" i="58" s="1"/>
  <c r="AI19" i="58" a="1"/>
  <c r="AI19" i="58" s="1"/>
  <c r="AJ19" i="58" a="1"/>
  <c r="AJ19" i="58" s="1"/>
  <c r="AK19" i="58" a="1"/>
  <c r="AK19" i="58" s="1"/>
  <c r="AL19" i="58" a="1"/>
  <c r="AL19" i="58" s="1"/>
  <c r="AM19" i="58" a="1"/>
  <c r="AM19" i="58" s="1"/>
  <c r="AN19" i="58" a="1"/>
  <c r="AN19" i="58" s="1"/>
  <c r="AO19" i="58" a="1"/>
  <c r="AO19" i="58" s="1"/>
  <c r="AP19" i="58" a="1"/>
  <c r="AP19" i="58" s="1"/>
  <c r="AQ19" i="58" a="1"/>
  <c r="AQ19" i="58" s="1"/>
  <c r="AR19" i="58" a="1"/>
  <c r="AR19" i="58" s="1"/>
  <c r="AS19" i="58" a="1"/>
  <c r="AS19" i="58" s="1"/>
  <c r="AT19" i="58" a="1"/>
  <c r="AT19" i="58" s="1"/>
  <c r="AU19" i="58" a="1"/>
  <c r="AU19" i="58" s="1"/>
  <c r="AV19" i="58" a="1"/>
  <c r="AV19" i="58" s="1"/>
  <c r="AW19" i="58" a="1"/>
  <c r="AW19" i="58" s="1"/>
  <c r="AX19" i="58" a="1"/>
  <c r="AX19" i="58" s="1"/>
  <c r="AY19" i="58" a="1"/>
  <c r="AY19" i="58" s="1"/>
  <c r="EV18" i="58" a="1"/>
  <c r="EV18" i="58" s="1"/>
  <c r="EW18" i="58" a="1"/>
  <c r="EW18" i="58" s="1"/>
  <c r="EX18" i="58" a="1"/>
  <c r="EX18" i="58" s="1"/>
  <c r="EY18" i="58" a="1"/>
  <c r="EY18" i="58" s="1"/>
  <c r="EZ18" i="58" a="1"/>
  <c r="EZ18" i="58" s="1"/>
  <c r="FA18" i="58" a="1"/>
  <c r="FA18" i="58" s="1"/>
  <c r="FB18" i="58" a="1"/>
  <c r="FB18" i="58" s="1"/>
  <c r="FC18" i="58" a="1"/>
  <c r="FC18" i="58" s="1"/>
  <c r="FD18" i="58" a="1"/>
  <c r="FD18" i="58" s="1"/>
  <c r="FE18" i="58" a="1"/>
  <c r="FE18" i="58" s="1"/>
  <c r="FF18" i="58" a="1"/>
  <c r="FF18" i="58" s="1"/>
  <c r="FG18" i="58" a="1"/>
  <c r="FG18" i="58" s="1"/>
  <c r="FH18" i="58" a="1"/>
  <c r="FH18" i="58" s="1"/>
  <c r="FI18" i="58" a="1"/>
  <c r="FI18" i="58" s="1"/>
  <c r="FJ18" i="58" a="1"/>
  <c r="FJ18" i="58" s="1"/>
  <c r="FK18" i="58" a="1"/>
  <c r="FK18" i="58" s="1"/>
  <c r="FL18" i="58" a="1"/>
  <c r="FL18" i="58" s="1"/>
  <c r="FM18" i="58" a="1"/>
  <c r="FM18" i="58" s="1"/>
  <c r="FN18" i="58" a="1"/>
  <c r="FN18" i="58" s="1"/>
  <c r="FO18" i="58" a="1"/>
  <c r="FO18" i="58" s="1"/>
  <c r="FP18" i="58" a="1"/>
  <c r="FP18" i="58" s="1"/>
  <c r="FQ18" i="58" a="1"/>
  <c r="FQ18" i="58" s="1"/>
  <c r="FR18" i="58" a="1"/>
  <c r="FR18" i="58" s="1"/>
  <c r="FS18" i="58" a="1"/>
  <c r="FS18" i="58" s="1"/>
  <c r="FT18" i="58" a="1"/>
  <c r="FT18" i="58" s="1"/>
  <c r="FU18" i="58" a="1"/>
  <c r="FU18" i="58" s="1"/>
  <c r="FV18" i="58" a="1"/>
  <c r="FV18" i="58" s="1"/>
  <c r="FW18" i="58" a="1"/>
  <c r="FW18" i="58" s="1"/>
  <c r="FX18" i="58" a="1"/>
  <c r="FX18" i="58" s="1"/>
  <c r="FY18" i="58" a="1"/>
  <c r="FY18" i="58" s="1"/>
  <c r="FZ18" i="58" a="1"/>
  <c r="FZ18" i="58" s="1"/>
  <c r="GA18" i="58" a="1"/>
  <c r="GA18" i="58" s="1"/>
  <c r="GB18" i="58" a="1"/>
  <c r="GB18" i="58" s="1"/>
  <c r="GC18" i="58" a="1"/>
  <c r="GC18" i="58" s="1"/>
  <c r="GD18" i="58" a="1"/>
  <c r="GD18" i="58" s="1"/>
  <c r="GE18" i="58" a="1"/>
  <c r="GE18" i="58" s="1"/>
  <c r="GF18" i="58" a="1"/>
  <c r="GF18" i="58" s="1"/>
  <c r="GG18" i="58" a="1"/>
  <c r="GG18" i="58" s="1"/>
  <c r="GH18" i="58" a="1"/>
  <c r="GH18" i="58" s="1"/>
  <c r="GI18" i="58" a="1"/>
  <c r="GI18" i="58" s="1"/>
  <c r="CX18" i="58" a="1"/>
  <c r="CX18" i="58" s="1"/>
  <c r="CY18" i="58" a="1"/>
  <c r="CY18" i="58" s="1"/>
  <c r="CZ18" i="58" a="1"/>
  <c r="CZ18" i="58" s="1"/>
  <c r="DA18" i="58" a="1"/>
  <c r="DA18" i="58" s="1"/>
  <c r="DB18" i="58" a="1"/>
  <c r="DB18" i="58" s="1"/>
  <c r="DC18" i="58" a="1"/>
  <c r="DC18" i="58" s="1"/>
  <c r="DD18" i="58" a="1"/>
  <c r="DD18" i="58" s="1"/>
  <c r="DE18" i="58" a="1"/>
  <c r="DE18" i="58" s="1"/>
  <c r="DF18" i="58" a="1"/>
  <c r="DF18" i="58" s="1"/>
  <c r="DG18" i="58" a="1"/>
  <c r="DG18" i="58" s="1"/>
  <c r="DH18" i="58" a="1"/>
  <c r="DH18" i="58" s="1"/>
  <c r="DI18" i="58" a="1"/>
  <c r="DI18" i="58" s="1"/>
  <c r="DJ18" i="58" a="1"/>
  <c r="DJ18" i="58" s="1"/>
  <c r="DK18" i="58" a="1"/>
  <c r="DK18" i="58" s="1"/>
  <c r="DL18" i="58" a="1"/>
  <c r="DL18" i="58" s="1"/>
  <c r="DM18" i="58" a="1"/>
  <c r="DM18" i="58" s="1"/>
  <c r="DN18" i="58" a="1"/>
  <c r="DN18" i="58" s="1"/>
  <c r="DO18" i="58" a="1"/>
  <c r="DO18" i="58" s="1"/>
  <c r="DP18" i="58" a="1"/>
  <c r="DP18" i="58" s="1"/>
  <c r="DQ18" i="58" a="1"/>
  <c r="DQ18" i="58" s="1"/>
  <c r="DR18" i="58" a="1"/>
  <c r="DR18" i="58" s="1"/>
  <c r="DS18" i="58" a="1"/>
  <c r="DS18" i="58" s="1"/>
  <c r="DT18" i="58" a="1"/>
  <c r="DT18" i="58" s="1"/>
  <c r="DU18" i="58" a="1"/>
  <c r="DU18" i="58" s="1"/>
  <c r="DV18" i="58" a="1"/>
  <c r="DV18" i="58" s="1"/>
  <c r="DW18" i="58" a="1"/>
  <c r="DW18" i="58" s="1"/>
  <c r="DX18" i="58" a="1"/>
  <c r="DX18" i="58" s="1"/>
  <c r="DY18" i="58" a="1"/>
  <c r="DY18" i="58" s="1"/>
  <c r="DZ18" i="58" a="1"/>
  <c r="DZ18" i="58" s="1"/>
  <c r="EA18" i="58" a="1"/>
  <c r="EA18" i="58" s="1"/>
  <c r="EB18" i="58" a="1"/>
  <c r="EB18" i="58" s="1"/>
  <c r="EC18" i="58" a="1"/>
  <c r="EC18" i="58" s="1"/>
  <c r="ED18" i="58" a="1"/>
  <c r="ED18" i="58" s="1"/>
  <c r="EE18" i="58" a="1"/>
  <c r="EE18" i="58" s="1"/>
  <c r="EF18" i="58" a="1"/>
  <c r="EF18" i="58" s="1"/>
  <c r="EG18" i="58" a="1"/>
  <c r="EG18" i="58" s="1"/>
  <c r="EH18" i="58" a="1"/>
  <c r="EH18" i="58" s="1"/>
  <c r="EI18" i="58" a="1"/>
  <c r="EI18" i="58" s="1"/>
  <c r="EJ18" i="58" a="1"/>
  <c r="EJ18" i="58" s="1"/>
  <c r="EK18" i="58" a="1"/>
  <c r="EK18" i="58" s="1"/>
  <c r="EL18" i="58" a="1"/>
  <c r="EL18" i="58" s="1"/>
  <c r="EM18" i="58" a="1"/>
  <c r="EM18" i="58" s="1"/>
  <c r="EN18" i="58" a="1"/>
  <c r="EN18" i="58" s="1"/>
  <c r="EO18" i="58" a="1"/>
  <c r="EO18" i="58" s="1"/>
  <c r="EP18" i="58" a="1"/>
  <c r="EP18" i="58" s="1"/>
  <c r="EQ18" i="58" a="1"/>
  <c r="EQ18" i="58" s="1"/>
  <c r="ER18" i="58" a="1"/>
  <c r="ER18" i="58" s="1"/>
  <c r="ES18" i="58" a="1"/>
  <c r="ES18" i="58" s="1"/>
  <c r="ET18" i="58" a="1"/>
  <c r="ET18" i="58" s="1"/>
  <c r="EU18" i="58" a="1"/>
  <c r="EU18" i="58" s="1"/>
  <c r="AZ18" i="58" a="1"/>
  <c r="AZ18" i="58" s="1"/>
  <c r="BA18" i="58" a="1"/>
  <c r="BA18" i="58" s="1"/>
  <c r="BB18" i="58" a="1"/>
  <c r="BB18" i="58" s="1"/>
  <c r="BC18" i="58" a="1"/>
  <c r="BC18" i="58" s="1"/>
  <c r="BD18" i="58" a="1"/>
  <c r="BD18" i="58" s="1"/>
  <c r="BE18" i="58" a="1"/>
  <c r="BE18" i="58" s="1"/>
  <c r="BF18" i="58" a="1"/>
  <c r="BF18" i="58" s="1"/>
  <c r="BG18" i="58" a="1"/>
  <c r="BG18" i="58" s="1"/>
  <c r="BH18" i="58" a="1"/>
  <c r="BH18" i="58" s="1"/>
  <c r="BI18" i="58" a="1"/>
  <c r="BI18" i="58" s="1"/>
  <c r="BJ18" i="58" a="1"/>
  <c r="BJ18" i="58" s="1"/>
  <c r="BK18" i="58" a="1"/>
  <c r="BK18" i="58" s="1"/>
  <c r="BL18" i="58" a="1"/>
  <c r="BL18" i="58" s="1"/>
  <c r="BM18" i="58" a="1"/>
  <c r="BM18" i="58" s="1"/>
  <c r="BN18" i="58" a="1"/>
  <c r="BN18" i="58" s="1"/>
  <c r="BO18" i="58" a="1"/>
  <c r="BO18" i="58" s="1"/>
  <c r="BP18" i="58" a="1"/>
  <c r="BP18" i="58" s="1"/>
  <c r="BQ18" i="58" a="1"/>
  <c r="BQ18" i="58" s="1"/>
  <c r="BR18" i="58" a="1"/>
  <c r="BR18" i="58" s="1"/>
  <c r="BS18" i="58" a="1"/>
  <c r="BS18" i="58" s="1"/>
  <c r="BT18" i="58" a="1"/>
  <c r="BT18" i="58" s="1"/>
  <c r="BU18" i="58" a="1"/>
  <c r="BU18" i="58" s="1"/>
  <c r="BV18" i="58" a="1"/>
  <c r="BV18" i="58" s="1"/>
  <c r="BW18" i="58" a="1"/>
  <c r="BW18" i="58" s="1"/>
  <c r="BX18" i="58" a="1"/>
  <c r="BX18" i="58" s="1"/>
  <c r="BY18" i="58" a="1"/>
  <c r="BY18" i="58" s="1"/>
  <c r="BZ18" i="58" a="1"/>
  <c r="BZ18" i="58" s="1"/>
  <c r="CA18" i="58" a="1"/>
  <c r="CA18" i="58"/>
  <c r="CB18" i="58" a="1"/>
  <c r="CB18" i="58" s="1"/>
  <c r="CC18" i="58" a="1"/>
  <c r="CC18" i="58" s="1"/>
  <c r="CD18" i="58" a="1"/>
  <c r="CD18" i="58" s="1"/>
  <c r="CE18" i="58" a="1"/>
  <c r="CE18" i="58" s="1"/>
  <c r="CF18" i="58" a="1"/>
  <c r="CF18" i="58" s="1"/>
  <c r="CG18" i="58" a="1"/>
  <c r="CG18" i="58" s="1"/>
  <c r="CH18" i="58" a="1"/>
  <c r="CH18" i="58" s="1"/>
  <c r="CI18" i="58" a="1"/>
  <c r="CI18" i="58" s="1"/>
  <c r="CJ18" i="58" a="1"/>
  <c r="CJ18" i="58" s="1"/>
  <c r="CK18" i="58" a="1"/>
  <c r="CK18" i="58" s="1"/>
  <c r="CL18" i="58" a="1"/>
  <c r="CL18" i="58" s="1"/>
  <c r="CM18" i="58" a="1"/>
  <c r="CM18" i="58" s="1"/>
  <c r="CN18" i="58" a="1"/>
  <c r="CN18" i="58" s="1"/>
  <c r="CO18" i="58" a="1"/>
  <c r="CO18" i="58" s="1"/>
  <c r="CP18" i="58" a="1"/>
  <c r="CP18" i="58" s="1"/>
  <c r="CQ18" i="58" a="1"/>
  <c r="CQ18" i="58" s="1"/>
  <c r="CR18" i="58" a="1"/>
  <c r="CR18" i="58"/>
  <c r="CS18" i="58" a="1"/>
  <c r="CS18" i="58" s="1"/>
  <c r="CT18" i="58" a="1"/>
  <c r="CT18" i="58" s="1"/>
  <c r="CU18" i="58" a="1"/>
  <c r="CU18" i="58" s="1"/>
  <c r="CV18" i="58" a="1"/>
  <c r="CV18" i="58" s="1"/>
  <c r="CW18" i="58" a="1"/>
  <c r="CW18" i="58" s="1"/>
  <c r="B18" i="58" a="1"/>
  <c r="B18" i="58" s="1"/>
  <c r="C18" i="58" a="1"/>
  <c r="C18" i="58" s="1"/>
  <c r="D18" i="58" a="1"/>
  <c r="D18" i="58" s="1"/>
  <c r="E18" i="58" a="1"/>
  <c r="E18" i="58" s="1"/>
  <c r="F18" i="58" a="1"/>
  <c r="F18" i="58" s="1"/>
  <c r="G18" i="58" a="1"/>
  <c r="G18" i="58" s="1"/>
  <c r="H18" i="58" a="1"/>
  <c r="H18" i="58" s="1"/>
  <c r="I18" i="58" a="1"/>
  <c r="I18" i="58" s="1"/>
  <c r="J18" i="58" a="1"/>
  <c r="J18" i="58" s="1"/>
  <c r="K18" i="58" a="1"/>
  <c r="K18" i="58" s="1"/>
  <c r="L18" i="58" a="1"/>
  <c r="L18" i="58" s="1"/>
  <c r="M18" i="58" a="1"/>
  <c r="M18" i="58" s="1"/>
  <c r="N18" i="58" a="1"/>
  <c r="N18" i="58" s="1"/>
  <c r="O18" i="58" a="1"/>
  <c r="O18" i="58" s="1"/>
  <c r="P18" i="58" a="1"/>
  <c r="P18" i="58" s="1"/>
  <c r="Q18" i="58" a="1"/>
  <c r="Q18" i="58" s="1"/>
  <c r="R18" i="58" a="1"/>
  <c r="R18" i="58" s="1"/>
  <c r="S18" i="58" a="1"/>
  <c r="S18" i="58" s="1"/>
  <c r="T18" i="58" a="1"/>
  <c r="T18" i="58" s="1"/>
  <c r="U18" i="58" a="1"/>
  <c r="U18" i="58" s="1"/>
  <c r="V18" i="58" a="1"/>
  <c r="V18" i="58" s="1"/>
  <c r="W18" i="58" a="1"/>
  <c r="W18" i="58" s="1"/>
  <c r="X18" i="58" a="1"/>
  <c r="X18" i="58" s="1"/>
  <c r="Y18" i="58" a="1"/>
  <c r="Y18" i="58" s="1"/>
  <c r="Z18" i="58" a="1"/>
  <c r="Z18" i="58" s="1"/>
  <c r="AA18" i="58" a="1"/>
  <c r="AA18" i="58" s="1"/>
  <c r="AB18" i="58" a="1"/>
  <c r="AB18" i="58" s="1"/>
  <c r="AC18" i="58" a="1"/>
  <c r="AC18" i="58" s="1"/>
  <c r="AD18" i="58" a="1"/>
  <c r="AD18" i="58" s="1"/>
  <c r="AE18" i="58" a="1"/>
  <c r="AE18" i="58" s="1"/>
  <c r="AF18" i="58" a="1"/>
  <c r="AF18" i="58" s="1"/>
  <c r="AG18" i="58" a="1"/>
  <c r="AG18" i="58" s="1"/>
  <c r="AH18" i="58" a="1"/>
  <c r="AH18" i="58" s="1"/>
  <c r="AI18" i="58" a="1"/>
  <c r="AI18" i="58" s="1"/>
  <c r="AJ18" i="58" a="1"/>
  <c r="AJ18" i="58" s="1"/>
  <c r="AK18" i="58" a="1"/>
  <c r="AK18" i="58" s="1"/>
  <c r="AL18" i="58" a="1"/>
  <c r="AL18" i="58" s="1"/>
  <c r="AM18" i="58" a="1"/>
  <c r="AM18" i="58" s="1"/>
  <c r="AN18" i="58" a="1"/>
  <c r="AN18" i="58" s="1"/>
  <c r="AO18" i="58" a="1"/>
  <c r="AO18" i="58" s="1"/>
  <c r="AP18" i="58" a="1"/>
  <c r="AP18" i="58" s="1"/>
  <c r="AQ18" i="58" a="1"/>
  <c r="AQ18" i="58" s="1"/>
  <c r="AR18" i="58" a="1"/>
  <c r="AR18" i="58" s="1"/>
  <c r="AS18" i="58" a="1"/>
  <c r="AS18" i="58" s="1"/>
  <c r="AT18" i="58" a="1"/>
  <c r="AT18" i="58" s="1"/>
  <c r="AU18" i="58" a="1"/>
  <c r="AU18" i="58" s="1"/>
  <c r="AV18" i="58" a="1"/>
  <c r="AV18" i="58" s="1"/>
  <c r="AW18" i="58" a="1"/>
  <c r="AW18" i="58" s="1"/>
  <c r="AX18" i="58" a="1"/>
  <c r="AX18" i="58" s="1"/>
  <c r="AY18" i="58" a="1"/>
  <c r="AY18" i="58" s="1"/>
  <c r="EV17" i="58" a="1"/>
  <c r="EV17" i="58" s="1"/>
  <c r="EW17" i="58" a="1"/>
  <c r="EW17" i="58" s="1"/>
  <c r="EX17" i="58" a="1"/>
  <c r="EX17" i="58" s="1"/>
  <c r="EY17" i="58" a="1"/>
  <c r="EY17" i="58" s="1"/>
  <c r="EZ17" i="58" a="1"/>
  <c r="EZ17" i="58" s="1"/>
  <c r="FA17" i="58" a="1"/>
  <c r="FA17" i="58" s="1"/>
  <c r="FB17" i="58" a="1"/>
  <c r="FB17" i="58" s="1"/>
  <c r="FC17" i="58" a="1"/>
  <c r="FC17" i="58" s="1"/>
  <c r="FD17" i="58" a="1"/>
  <c r="FD17" i="58" s="1"/>
  <c r="FE17" i="58" a="1"/>
  <c r="FE17" i="58" s="1"/>
  <c r="FF17" i="58" a="1"/>
  <c r="FF17" i="58" s="1"/>
  <c r="FG17" i="58" a="1"/>
  <c r="FG17" i="58" s="1"/>
  <c r="FH17" i="58" a="1"/>
  <c r="FH17" i="58" s="1"/>
  <c r="FI17" i="58" a="1"/>
  <c r="FI17" i="58" s="1"/>
  <c r="FJ17" i="58" a="1"/>
  <c r="FJ17" i="58" s="1"/>
  <c r="FK17" i="58" a="1"/>
  <c r="FK17" i="58" s="1"/>
  <c r="FL17" i="58" a="1"/>
  <c r="FL17" i="58" s="1"/>
  <c r="FM17" i="58" a="1"/>
  <c r="FM17" i="58" s="1"/>
  <c r="FN17" i="58" a="1"/>
  <c r="FN17" i="58" s="1"/>
  <c r="FO17" i="58" a="1"/>
  <c r="FO17" i="58" s="1"/>
  <c r="FP17" i="58" a="1"/>
  <c r="FP17" i="58" s="1"/>
  <c r="FQ17" i="58" a="1"/>
  <c r="FQ17" i="58" s="1"/>
  <c r="FR17" i="58" a="1"/>
  <c r="FR17" i="58" s="1"/>
  <c r="FS17" i="58" a="1"/>
  <c r="FS17" i="58" s="1"/>
  <c r="FT17" i="58" a="1"/>
  <c r="FT17" i="58" s="1"/>
  <c r="FU17" i="58" a="1"/>
  <c r="FU17" i="58" s="1"/>
  <c r="FV17" i="58" a="1"/>
  <c r="FV17" i="58" s="1"/>
  <c r="FW17" i="58" a="1"/>
  <c r="FW17" i="58" s="1"/>
  <c r="FX17" i="58" a="1"/>
  <c r="FX17" i="58" s="1"/>
  <c r="FY17" i="58" a="1"/>
  <c r="FY17" i="58" s="1"/>
  <c r="FZ17" i="58" a="1"/>
  <c r="FZ17" i="58" s="1"/>
  <c r="GA17" i="58" a="1"/>
  <c r="GA17" i="58" s="1"/>
  <c r="GB17" i="58" a="1"/>
  <c r="GB17" i="58" s="1"/>
  <c r="GC17" i="58" a="1"/>
  <c r="GC17" i="58" s="1"/>
  <c r="GD17" i="58" a="1"/>
  <c r="GD17" i="58" s="1"/>
  <c r="GE17" i="58" a="1"/>
  <c r="GE17" i="58" s="1"/>
  <c r="GF17" i="58" a="1"/>
  <c r="GF17" i="58" s="1"/>
  <c r="GG17" i="58" a="1"/>
  <c r="GG17" i="58" s="1"/>
  <c r="GH17" i="58" a="1"/>
  <c r="GH17" i="58" s="1"/>
  <c r="GI17" i="58" a="1"/>
  <c r="GI17" i="58" s="1"/>
  <c r="CX17" i="58" a="1"/>
  <c r="CX17" i="58" s="1"/>
  <c r="CY17" i="58" a="1"/>
  <c r="CY17" i="58" s="1"/>
  <c r="CZ17" i="58" a="1"/>
  <c r="CZ17" i="58" s="1"/>
  <c r="DA17" i="58" a="1"/>
  <c r="DA17" i="58" s="1"/>
  <c r="DB17" i="58" a="1"/>
  <c r="DB17" i="58" s="1"/>
  <c r="DC17" i="58" a="1"/>
  <c r="DC17" i="58" s="1"/>
  <c r="DD17" i="58" a="1"/>
  <c r="DD17" i="58" s="1"/>
  <c r="DE17" i="58" a="1"/>
  <c r="DE17" i="58"/>
  <c r="DF17" i="58" a="1"/>
  <c r="DF17" i="58" s="1"/>
  <c r="DG17" i="58" a="1"/>
  <c r="DG17" i="58" s="1"/>
  <c r="DH17" i="58" a="1"/>
  <c r="DH17" i="58" s="1"/>
  <c r="DI17" i="58" a="1"/>
  <c r="DI17" i="58" s="1"/>
  <c r="DJ17" i="58" a="1"/>
  <c r="DJ17" i="58" s="1"/>
  <c r="DK17" i="58" a="1"/>
  <c r="DK17" i="58" s="1"/>
  <c r="DL17" i="58" a="1"/>
  <c r="DL17" i="58" s="1"/>
  <c r="DM17" i="58" a="1"/>
  <c r="DM17" i="58" s="1"/>
  <c r="DN17" i="58" a="1"/>
  <c r="DN17" i="58" s="1"/>
  <c r="DO17" i="58" a="1"/>
  <c r="DO17" i="58" s="1"/>
  <c r="DP17" i="58" a="1"/>
  <c r="DP17" i="58" s="1"/>
  <c r="DQ17" i="58" a="1"/>
  <c r="DQ17" i="58" s="1"/>
  <c r="DR17" i="58" a="1"/>
  <c r="DR17" i="58" s="1"/>
  <c r="DS17" i="58" a="1"/>
  <c r="DS17" i="58" s="1"/>
  <c r="DT17" i="58" a="1"/>
  <c r="DT17" i="58" s="1"/>
  <c r="DU17" i="58" a="1"/>
  <c r="DU17" i="58" s="1"/>
  <c r="DV17" i="58" a="1"/>
  <c r="DV17" i="58" s="1"/>
  <c r="DW17" i="58" a="1"/>
  <c r="DW17" i="58" s="1"/>
  <c r="DX17" i="58" a="1"/>
  <c r="DX17" i="58" s="1"/>
  <c r="DY17" i="58" a="1"/>
  <c r="DY17" i="58" s="1"/>
  <c r="DZ17" i="58" a="1"/>
  <c r="DZ17" i="58" s="1"/>
  <c r="EA17" i="58" a="1"/>
  <c r="EA17" i="58" s="1"/>
  <c r="EB17" i="58" a="1"/>
  <c r="EB17" i="58" s="1"/>
  <c r="EC17" i="58" a="1"/>
  <c r="EC17" i="58" s="1"/>
  <c r="ED17" i="58" a="1"/>
  <c r="ED17" i="58" s="1"/>
  <c r="EE17" i="58" a="1"/>
  <c r="EE17" i="58" s="1"/>
  <c r="EF17" i="58" a="1"/>
  <c r="EF17" i="58" s="1"/>
  <c r="EG17" i="58" a="1"/>
  <c r="EG17" i="58" s="1"/>
  <c r="EH17" i="58" a="1"/>
  <c r="EH17" i="58" s="1"/>
  <c r="EI17" i="58" a="1"/>
  <c r="EI17" i="58" s="1"/>
  <c r="EJ17" i="58" a="1"/>
  <c r="EJ17" i="58" s="1"/>
  <c r="EK17" i="58" a="1"/>
  <c r="EK17" i="58" s="1"/>
  <c r="EL17" i="58" a="1"/>
  <c r="EL17" i="58" s="1"/>
  <c r="EM17" i="58" a="1"/>
  <c r="EM17" i="58" s="1"/>
  <c r="EN17" i="58" a="1"/>
  <c r="EN17" i="58" s="1"/>
  <c r="EO17" i="58" a="1"/>
  <c r="EO17" i="58" s="1"/>
  <c r="EP17" i="58" a="1"/>
  <c r="EP17" i="58" s="1"/>
  <c r="EQ17" i="58" a="1"/>
  <c r="EQ17" i="58" s="1"/>
  <c r="ER17" i="58" a="1"/>
  <c r="ER17" i="58" s="1"/>
  <c r="ES17" i="58" a="1"/>
  <c r="ES17" i="58" s="1"/>
  <c r="ET17" i="58" a="1"/>
  <c r="ET17" i="58" s="1"/>
  <c r="EU17" i="58" a="1"/>
  <c r="EU17" i="58" s="1"/>
  <c r="AZ17" i="58" a="1"/>
  <c r="AZ17" i="58" s="1"/>
  <c r="BA17" i="58" a="1"/>
  <c r="BA17" i="58" s="1"/>
  <c r="BB17" i="58" a="1"/>
  <c r="BB17" i="58" s="1"/>
  <c r="BC17" i="58" a="1"/>
  <c r="BC17" i="58" s="1"/>
  <c r="BD17" i="58" a="1"/>
  <c r="BD17" i="58" s="1"/>
  <c r="BE17" i="58" a="1"/>
  <c r="BE17" i="58" s="1"/>
  <c r="BF17" i="58" a="1"/>
  <c r="BF17" i="58" s="1"/>
  <c r="BG17" i="58" a="1"/>
  <c r="BG17" i="58" s="1"/>
  <c r="BH17" i="58" a="1"/>
  <c r="BH17" i="58" s="1"/>
  <c r="BI17" i="58" a="1"/>
  <c r="BI17" i="58" s="1"/>
  <c r="BJ17" i="58" a="1"/>
  <c r="BJ17" i="58" s="1"/>
  <c r="BK17" i="58" a="1"/>
  <c r="BK17" i="58" s="1"/>
  <c r="BL17" i="58" a="1"/>
  <c r="BL17" i="58" s="1"/>
  <c r="BM17" i="58" a="1"/>
  <c r="BM17" i="58" s="1"/>
  <c r="BN17" i="58" a="1"/>
  <c r="BN17" i="58" s="1"/>
  <c r="BO17" i="58" a="1"/>
  <c r="BO17" i="58" s="1"/>
  <c r="BP17" i="58" a="1"/>
  <c r="BP17" i="58" s="1"/>
  <c r="BQ17" i="58" a="1"/>
  <c r="BQ17" i="58" s="1"/>
  <c r="BR17" i="58" a="1"/>
  <c r="BR17" i="58" s="1"/>
  <c r="BS17" i="58" a="1"/>
  <c r="BS17" i="58" s="1"/>
  <c r="BT17" i="58" a="1"/>
  <c r="BT17" i="58" s="1"/>
  <c r="BU17" i="58" a="1"/>
  <c r="BU17" i="58" s="1"/>
  <c r="BV17" i="58" a="1"/>
  <c r="BV17" i="58" s="1"/>
  <c r="BW17" i="58" a="1"/>
  <c r="BW17" i="58" s="1"/>
  <c r="BX17" i="58" a="1"/>
  <c r="BX17" i="58" s="1"/>
  <c r="BY17" i="58" a="1"/>
  <c r="BY17" i="58" s="1"/>
  <c r="BZ17" i="58" a="1"/>
  <c r="BZ17" i="58" s="1"/>
  <c r="CA17" i="58" a="1"/>
  <c r="CA17" i="58" s="1"/>
  <c r="CB17" i="58" a="1"/>
  <c r="CB17" i="58" s="1"/>
  <c r="CC17" i="58" a="1"/>
  <c r="CC17" i="58" s="1"/>
  <c r="CD17" i="58" a="1"/>
  <c r="CD17" i="58" s="1"/>
  <c r="CE17" i="58" a="1"/>
  <c r="CE17" i="58" s="1"/>
  <c r="CF17" i="58" a="1"/>
  <c r="CF17" i="58" s="1"/>
  <c r="CG17" i="58" a="1"/>
  <c r="CG17" i="58" s="1"/>
  <c r="CH17" i="58" a="1"/>
  <c r="CH17" i="58" s="1"/>
  <c r="CI17" i="58" a="1"/>
  <c r="CI17" i="58" s="1"/>
  <c r="CJ17" i="58" a="1"/>
  <c r="CJ17" i="58" s="1"/>
  <c r="CK17" i="58" a="1"/>
  <c r="CK17" i="58" s="1"/>
  <c r="CL17" i="58" a="1"/>
  <c r="CL17" i="58" s="1"/>
  <c r="CM17" i="58" a="1"/>
  <c r="CM17" i="58" s="1"/>
  <c r="CN17" i="58" a="1"/>
  <c r="CN17" i="58" s="1"/>
  <c r="CO17" i="58" a="1"/>
  <c r="CO17" i="58" s="1"/>
  <c r="CP17" i="58" a="1"/>
  <c r="CP17" i="58" s="1"/>
  <c r="CQ17" i="58" a="1"/>
  <c r="CQ17" i="58" s="1"/>
  <c r="CR17" i="58" a="1"/>
  <c r="CR17" i="58" s="1"/>
  <c r="CS17" i="58" a="1"/>
  <c r="CS17" i="58" s="1"/>
  <c r="CT17" i="58" a="1"/>
  <c r="CT17" i="58" s="1"/>
  <c r="CU17" i="58" a="1"/>
  <c r="CU17" i="58" s="1"/>
  <c r="CV17" i="58" a="1"/>
  <c r="CV17" i="58" s="1"/>
  <c r="CW17" i="58" a="1"/>
  <c r="CW17" i="58" s="1"/>
  <c r="B17" i="58" a="1"/>
  <c r="B17" i="58" s="1"/>
  <c r="C17" i="58" a="1"/>
  <c r="C17" i="58" s="1"/>
  <c r="D17" i="58" a="1"/>
  <c r="D17" i="58" s="1"/>
  <c r="E17" i="58" a="1"/>
  <c r="E17" i="58" s="1"/>
  <c r="F17" i="58" a="1"/>
  <c r="F17" i="58" s="1"/>
  <c r="G17" i="58" a="1"/>
  <c r="G17" i="58" s="1"/>
  <c r="H17" i="58" a="1"/>
  <c r="H17" i="58" s="1"/>
  <c r="I17" i="58" a="1"/>
  <c r="I17" i="58" s="1"/>
  <c r="J17" i="58" a="1"/>
  <c r="J17" i="58" s="1"/>
  <c r="K17" i="58" a="1"/>
  <c r="K17" i="58" s="1"/>
  <c r="L17" i="58" a="1"/>
  <c r="L17" i="58" s="1"/>
  <c r="M17" i="58" a="1"/>
  <c r="M17" i="58" s="1"/>
  <c r="N17" i="58" a="1"/>
  <c r="N17" i="58" s="1"/>
  <c r="O17" i="58" a="1"/>
  <c r="O17" i="58" s="1"/>
  <c r="P17" i="58" a="1"/>
  <c r="P17" i="58" s="1"/>
  <c r="Q17" i="58" a="1"/>
  <c r="Q17" i="58" s="1"/>
  <c r="R17" i="58" a="1"/>
  <c r="R17" i="58" s="1"/>
  <c r="S17" i="58" a="1"/>
  <c r="S17" i="58" s="1"/>
  <c r="T17" i="58" a="1"/>
  <c r="T17" i="58" s="1"/>
  <c r="U17" i="58" a="1"/>
  <c r="U17" i="58" s="1"/>
  <c r="V17" i="58" a="1"/>
  <c r="V17" i="58" s="1"/>
  <c r="W17" i="58" a="1"/>
  <c r="W17" i="58" s="1"/>
  <c r="X17" i="58" a="1"/>
  <c r="X17" i="58" s="1"/>
  <c r="Y17" i="58" a="1"/>
  <c r="Y17" i="58" s="1"/>
  <c r="Z17" i="58" a="1"/>
  <c r="Z17" i="58" s="1"/>
  <c r="AA17" i="58" a="1"/>
  <c r="AA17" i="58" s="1"/>
  <c r="AB17" i="58" a="1"/>
  <c r="AB17" i="58" s="1"/>
  <c r="AC17" i="58" a="1"/>
  <c r="AC17" i="58" s="1"/>
  <c r="AD17" i="58" a="1"/>
  <c r="AD17" i="58" s="1"/>
  <c r="AE17" i="58" a="1"/>
  <c r="AE17" i="58" s="1"/>
  <c r="AF17" i="58" a="1"/>
  <c r="AF17" i="58" s="1"/>
  <c r="AG17" i="58" a="1"/>
  <c r="AG17" i="58" s="1"/>
  <c r="AH17" i="58" a="1"/>
  <c r="AH17" i="58" s="1"/>
  <c r="AI17" i="58" a="1"/>
  <c r="AI17" i="58" s="1"/>
  <c r="AJ17" i="58" a="1"/>
  <c r="AJ17" i="58" s="1"/>
  <c r="AK17" i="58" a="1"/>
  <c r="AK17" i="58" s="1"/>
  <c r="AL17" i="58" a="1"/>
  <c r="AL17" i="58" s="1"/>
  <c r="AM17" i="58" a="1"/>
  <c r="AM17" i="58" s="1"/>
  <c r="AN17" i="58" a="1"/>
  <c r="AN17" i="58" s="1"/>
  <c r="AO17" i="58" a="1"/>
  <c r="AO17" i="58" s="1"/>
  <c r="AP17" i="58" a="1"/>
  <c r="AP17" i="58" s="1"/>
  <c r="AQ17" i="58" a="1"/>
  <c r="AQ17" i="58" s="1"/>
  <c r="AR17" i="58" a="1"/>
  <c r="AR17" i="58" s="1"/>
  <c r="AS17" i="58" a="1"/>
  <c r="AS17" i="58" s="1"/>
  <c r="AT17" i="58" a="1"/>
  <c r="AT17" i="58" s="1"/>
  <c r="AU17" i="58" a="1"/>
  <c r="AU17" i="58" s="1"/>
  <c r="AV17" i="58" a="1"/>
  <c r="AV17" i="58" s="1"/>
  <c r="AW17" i="58" a="1"/>
  <c r="AW17" i="58" s="1"/>
  <c r="AX17" i="58" a="1"/>
  <c r="AX17" i="58" s="1"/>
  <c r="AY17" i="58" a="1"/>
  <c r="AY17" i="58" s="1"/>
  <c r="EV16" i="58" a="1"/>
  <c r="EV16" i="58" s="1"/>
  <c r="EW16" i="58" a="1"/>
  <c r="EW16" i="58" s="1"/>
  <c r="EX16" i="58" a="1"/>
  <c r="EX16" i="58" s="1"/>
  <c r="EY16" i="58" a="1"/>
  <c r="EY16" i="58" s="1"/>
  <c r="EZ16" i="58" a="1"/>
  <c r="EZ16" i="58" s="1"/>
  <c r="FA16" i="58" a="1"/>
  <c r="FA16" i="58" s="1"/>
  <c r="FB16" i="58" a="1"/>
  <c r="FB16" i="58" s="1"/>
  <c r="FC16" i="58" a="1"/>
  <c r="FC16" i="58" s="1"/>
  <c r="FD16" i="58" a="1"/>
  <c r="FD16" i="58" s="1"/>
  <c r="FE16" i="58" a="1"/>
  <c r="FE16" i="58" s="1"/>
  <c r="FF16" i="58" a="1"/>
  <c r="FF16" i="58" s="1"/>
  <c r="FG16" i="58" a="1"/>
  <c r="FG16" i="58" s="1"/>
  <c r="FH16" i="58" a="1"/>
  <c r="FH16" i="58" s="1"/>
  <c r="FI16" i="58" a="1"/>
  <c r="FI16" i="58" s="1"/>
  <c r="FJ16" i="58" a="1"/>
  <c r="FJ16" i="58" s="1"/>
  <c r="FK16" i="58" a="1"/>
  <c r="FK16" i="58" s="1"/>
  <c r="FL16" i="58" a="1"/>
  <c r="FL16" i="58" s="1"/>
  <c r="FM16" i="58" a="1"/>
  <c r="FM16" i="58" s="1"/>
  <c r="FN16" i="58" a="1"/>
  <c r="FN16" i="58" s="1"/>
  <c r="FO16" i="58" a="1"/>
  <c r="FO16" i="58" s="1"/>
  <c r="FP16" i="58" a="1"/>
  <c r="FP16" i="58" s="1"/>
  <c r="FQ16" i="58" a="1"/>
  <c r="FQ16" i="58" s="1"/>
  <c r="FR16" i="58" a="1"/>
  <c r="FR16" i="58" s="1"/>
  <c r="FS16" i="58" a="1"/>
  <c r="FS16" i="58" s="1"/>
  <c r="FT16" i="58" a="1"/>
  <c r="FT16" i="58" s="1"/>
  <c r="FU16" i="58" a="1"/>
  <c r="FU16" i="58" s="1"/>
  <c r="FV16" i="58" a="1"/>
  <c r="FV16" i="58" s="1"/>
  <c r="FW16" i="58" a="1"/>
  <c r="FW16" i="58" s="1"/>
  <c r="FX16" i="58" a="1"/>
  <c r="FX16" i="58" s="1"/>
  <c r="FY16" i="58" a="1"/>
  <c r="FY16" i="58" s="1"/>
  <c r="FZ16" i="58" a="1"/>
  <c r="FZ16" i="58" s="1"/>
  <c r="GA16" i="58" a="1"/>
  <c r="GA16" i="58" s="1"/>
  <c r="GB16" i="58" a="1"/>
  <c r="GB16" i="58" s="1"/>
  <c r="GC16" i="58" a="1"/>
  <c r="GC16" i="58" s="1"/>
  <c r="GD16" i="58" a="1"/>
  <c r="GD16" i="58" s="1"/>
  <c r="GE16" i="58" a="1"/>
  <c r="GE16" i="58" s="1"/>
  <c r="GF16" i="58" a="1"/>
  <c r="GF16" i="58" s="1"/>
  <c r="GG16" i="58" a="1"/>
  <c r="GG16" i="58" s="1"/>
  <c r="GH16" i="58" a="1"/>
  <c r="GH16" i="58" s="1"/>
  <c r="GI16" i="58" a="1"/>
  <c r="GI16" i="58" s="1"/>
  <c r="CX16" i="58" a="1"/>
  <c r="CX16" i="58" s="1"/>
  <c r="CY16" i="58" a="1"/>
  <c r="CY16" i="58" s="1"/>
  <c r="CZ16" i="58" a="1"/>
  <c r="CZ16" i="58" s="1"/>
  <c r="DA16" i="58" a="1"/>
  <c r="DA16" i="58" s="1"/>
  <c r="DB16" i="58" a="1"/>
  <c r="DB16" i="58" s="1"/>
  <c r="DC16" i="58" a="1"/>
  <c r="DC16" i="58" s="1"/>
  <c r="DD16" i="58" a="1"/>
  <c r="DD16" i="58" s="1"/>
  <c r="DE16" i="58" a="1"/>
  <c r="DE16" i="58" s="1"/>
  <c r="DF16" i="58" a="1"/>
  <c r="DF16" i="58" s="1"/>
  <c r="DG16" i="58" a="1"/>
  <c r="DG16" i="58" s="1"/>
  <c r="DH16" i="58" a="1"/>
  <c r="DH16" i="58" s="1"/>
  <c r="DI16" i="58" a="1"/>
  <c r="DI16" i="58" s="1"/>
  <c r="DJ16" i="58" a="1"/>
  <c r="DJ16" i="58" s="1"/>
  <c r="DK16" i="58" a="1"/>
  <c r="DK16" i="58" s="1"/>
  <c r="DL16" i="58" a="1"/>
  <c r="DL16" i="58" s="1"/>
  <c r="DM16" i="58" a="1"/>
  <c r="DM16" i="58" s="1"/>
  <c r="DN16" i="58" a="1"/>
  <c r="DN16" i="58" s="1"/>
  <c r="DO16" i="58" a="1"/>
  <c r="DO16" i="58" s="1"/>
  <c r="DP16" i="58" a="1"/>
  <c r="DP16" i="58" s="1"/>
  <c r="DQ16" i="58" a="1"/>
  <c r="DQ16" i="58" s="1"/>
  <c r="DR16" i="58" a="1"/>
  <c r="DR16" i="58" s="1"/>
  <c r="DS16" i="58" a="1"/>
  <c r="DS16" i="58" s="1"/>
  <c r="DT16" i="58" a="1"/>
  <c r="DT16" i="58" s="1"/>
  <c r="DU16" i="58" a="1"/>
  <c r="DU16" i="58" s="1"/>
  <c r="DV16" i="58" a="1"/>
  <c r="DV16" i="58" s="1"/>
  <c r="DW16" i="58" a="1"/>
  <c r="DW16" i="58" s="1"/>
  <c r="DX16" i="58" a="1"/>
  <c r="DX16" i="58" s="1"/>
  <c r="DY16" i="58" a="1"/>
  <c r="DY16" i="58" s="1"/>
  <c r="DZ16" i="58" a="1"/>
  <c r="DZ16" i="58" s="1"/>
  <c r="EA16" i="58" a="1"/>
  <c r="EA16" i="58" s="1"/>
  <c r="EB16" i="58" a="1"/>
  <c r="EB16" i="58" s="1"/>
  <c r="EC16" i="58" a="1"/>
  <c r="EC16" i="58" s="1"/>
  <c r="ED16" i="58" a="1"/>
  <c r="ED16" i="58" s="1"/>
  <c r="EE16" i="58" a="1"/>
  <c r="EE16" i="58" s="1"/>
  <c r="EF16" i="58" a="1"/>
  <c r="EF16" i="58" s="1"/>
  <c r="EG16" i="58" a="1"/>
  <c r="EG16" i="58" s="1"/>
  <c r="EH16" i="58" a="1"/>
  <c r="EH16" i="58" s="1"/>
  <c r="EI16" i="58" a="1"/>
  <c r="EI16" i="58" s="1"/>
  <c r="EJ16" i="58" a="1"/>
  <c r="EJ16" i="58" s="1"/>
  <c r="EK16" i="58" a="1"/>
  <c r="EK16" i="58" s="1"/>
  <c r="EL16" i="58" a="1"/>
  <c r="EL16" i="58" s="1"/>
  <c r="EM16" i="58" a="1"/>
  <c r="EM16" i="58" s="1"/>
  <c r="EN16" i="58" a="1"/>
  <c r="EN16" i="58" s="1"/>
  <c r="EO16" i="58" a="1"/>
  <c r="EO16" i="58" s="1"/>
  <c r="EP16" i="58" a="1"/>
  <c r="EP16" i="58" s="1"/>
  <c r="EQ16" i="58" a="1"/>
  <c r="EQ16" i="58" s="1"/>
  <c r="ER16" i="58" a="1"/>
  <c r="ER16" i="58" s="1"/>
  <c r="ES16" i="58" a="1"/>
  <c r="ES16" i="58" s="1"/>
  <c r="ET16" i="58" a="1"/>
  <c r="ET16" i="58" s="1"/>
  <c r="EU16" i="58" a="1"/>
  <c r="EU16" i="58" s="1"/>
  <c r="AZ16" i="58" a="1"/>
  <c r="AZ16" i="58" s="1"/>
  <c r="BA16" i="58" a="1"/>
  <c r="BA16" i="58" s="1"/>
  <c r="BB16" i="58" a="1"/>
  <c r="BB16" i="58" s="1"/>
  <c r="BC16" i="58" a="1"/>
  <c r="BC16" i="58" s="1"/>
  <c r="BD16" i="58" a="1"/>
  <c r="BD16" i="58" s="1"/>
  <c r="BE16" i="58" a="1"/>
  <c r="BE16" i="58" s="1"/>
  <c r="BF16" i="58" a="1"/>
  <c r="BF16" i="58" s="1"/>
  <c r="BG16" i="58" a="1"/>
  <c r="BG16" i="58" s="1"/>
  <c r="BH16" i="58" a="1"/>
  <c r="BH16" i="58" s="1"/>
  <c r="BI16" i="58" a="1"/>
  <c r="BI16" i="58" s="1"/>
  <c r="BJ16" i="58" a="1"/>
  <c r="BJ16" i="58" s="1"/>
  <c r="BK16" i="58" a="1"/>
  <c r="BK16" i="58" s="1"/>
  <c r="BL16" i="58" a="1"/>
  <c r="BL16" i="58" s="1"/>
  <c r="BM16" i="58" a="1"/>
  <c r="BM16" i="58" s="1"/>
  <c r="BN16" i="58" a="1"/>
  <c r="BN16" i="58" s="1"/>
  <c r="BO16" i="58" a="1"/>
  <c r="BO16" i="58" s="1"/>
  <c r="BP16" i="58" a="1"/>
  <c r="BP16" i="58" s="1"/>
  <c r="BQ16" i="58" a="1"/>
  <c r="BQ16" i="58" s="1"/>
  <c r="BR16" i="58" a="1"/>
  <c r="BR16" i="58" s="1"/>
  <c r="BS16" i="58" a="1"/>
  <c r="BS16" i="58" s="1"/>
  <c r="BT16" i="58" a="1"/>
  <c r="BT16" i="58" s="1"/>
  <c r="BU16" i="58" a="1"/>
  <c r="BU16" i="58" s="1"/>
  <c r="BV16" i="58" a="1"/>
  <c r="BV16" i="58" s="1"/>
  <c r="BW16" i="58" a="1"/>
  <c r="BW16" i="58" s="1"/>
  <c r="BX16" i="58" a="1"/>
  <c r="BX16" i="58" s="1"/>
  <c r="BY16" i="58" a="1"/>
  <c r="BY16" i="58" s="1"/>
  <c r="BZ16" i="58" a="1"/>
  <c r="BZ16" i="58" s="1"/>
  <c r="CA16" i="58" a="1"/>
  <c r="CA16" i="58" s="1"/>
  <c r="CB16" i="58" a="1"/>
  <c r="CB16" i="58" s="1"/>
  <c r="CC16" i="58" a="1"/>
  <c r="CC16" i="58" s="1"/>
  <c r="CD16" i="58" a="1"/>
  <c r="CD16" i="58" s="1"/>
  <c r="CE16" i="58" a="1"/>
  <c r="CE16" i="58" s="1"/>
  <c r="CF16" i="58" a="1"/>
  <c r="CF16" i="58" s="1"/>
  <c r="CG16" i="58" a="1"/>
  <c r="CG16" i="58" s="1"/>
  <c r="CH16" i="58" a="1"/>
  <c r="CH16" i="58" s="1"/>
  <c r="CI16" i="58" a="1"/>
  <c r="CI16" i="58" s="1"/>
  <c r="CJ16" i="58" a="1"/>
  <c r="CJ16" i="58" s="1"/>
  <c r="CK16" i="58" a="1"/>
  <c r="CK16" i="58" s="1"/>
  <c r="CL16" i="58" a="1"/>
  <c r="CL16" i="58" s="1"/>
  <c r="CM16" i="58" a="1"/>
  <c r="CM16" i="58" s="1"/>
  <c r="CN16" i="58" a="1"/>
  <c r="CN16" i="58" s="1"/>
  <c r="CO16" i="58" a="1"/>
  <c r="CO16" i="58" s="1"/>
  <c r="CP16" i="58" a="1"/>
  <c r="CP16" i="58" s="1"/>
  <c r="CQ16" i="58" a="1"/>
  <c r="CQ16" i="58" s="1"/>
  <c r="CR16" i="58" a="1"/>
  <c r="CR16" i="58" s="1"/>
  <c r="CS16" i="58" a="1"/>
  <c r="CS16" i="58" s="1"/>
  <c r="CT16" i="58" a="1"/>
  <c r="CT16" i="58" s="1"/>
  <c r="CU16" i="58" a="1"/>
  <c r="CU16" i="58" s="1"/>
  <c r="CV16" i="58" a="1"/>
  <c r="CV16" i="58" s="1"/>
  <c r="CW16" i="58" a="1"/>
  <c r="CW16" i="58" s="1"/>
  <c r="B16" i="58" a="1"/>
  <c r="B16" i="58" s="1"/>
  <c r="C16" i="58" a="1"/>
  <c r="C16" i="58" s="1"/>
  <c r="D16" i="58" a="1"/>
  <c r="D16" i="58" s="1"/>
  <c r="E16" i="58" a="1"/>
  <c r="E16" i="58" s="1"/>
  <c r="F16" i="58" a="1"/>
  <c r="F16" i="58" s="1"/>
  <c r="G16" i="58" a="1"/>
  <c r="G16" i="58" s="1"/>
  <c r="H16" i="58" a="1"/>
  <c r="H16" i="58" s="1"/>
  <c r="I16" i="58" a="1"/>
  <c r="I16" i="58" s="1"/>
  <c r="J16" i="58" a="1"/>
  <c r="J16" i="58" s="1"/>
  <c r="K16" i="58" a="1"/>
  <c r="K16" i="58" s="1"/>
  <c r="L16" i="58" a="1"/>
  <c r="L16" i="58" s="1"/>
  <c r="M16" i="58" a="1"/>
  <c r="M16" i="58" s="1"/>
  <c r="N16" i="58" a="1"/>
  <c r="N16" i="58" s="1"/>
  <c r="O16" i="58" a="1"/>
  <c r="O16" i="58" s="1"/>
  <c r="P16" i="58" a="1"/>
  <c r="P16" i="58" s="1"/>
  <c r="Q16" i="58" a="1"/>
  <c r="Q16" i="58" s="1"/>
  <c r="R16" i="58" a="1"/>
  <c r="R16" i="58" s="1"/>
  <c r="S16" i="58" a="1"/>
  <c r="S16" i="58" s="1"/>
  <c r="T16" i="58" a="1"/>
  <c r="T16" i="58" s="1"/>
  <c r="U16" i="58" a="1"/>
  <c r="U16" i="58" s="1"/>
  <c r="V16" i="58" a="1"/>
  <c r="V16" i="58" s="1"/>
  <c r="W16" i="58" a="1"/>
  <c r="W16" i="58" s="1"/>
  <c r="X16" i="58" a="1"/>
  <c r="X16" i="58" s="1"/>
  <c r="Y16" i="58" a="1"/>
  <c r="Y16" i="58" s="1"/>
  <c r="Z16" i="58" a="1"/>
  <c r="Z16" i="58" s="1"/>
  <c r="AA16" i="58" a="1"/>
  <c r="AA16" i="58" s="1"/>
  <c r="AB16" i="58" a="1"/>
  <c r="AB16" i="58" s="1"/>
  <c r="AC16" i="58" a="1"/>
  <c r="AC16" i="58" s="1"/>
  <c r="AD16" i="58" a="1"/>
  <c r="AD16" i="58" s="1"/>
  <c r="AE16" i="58" a="1"/>
  <c r="AE16" i="58" s="1"/>
  <c r="AF16" i="58" a="1"/>
  <c r="AF16" i="58" s="1"/>
  <c r="AG16" i="58" a="1"/>
  <c r="AG16" i="58" s="1"/>
  <c r="AH16" i="58" a="1"/>
  <c r="AH16" i="58" s="1"/>
  <c r="AI16" i="58" a="1"/>
  <c r="AI16" i="58" s="1"/>
  <c r="AJ16" i="58" a="1"/>
  <c r="AJ16" i="58" s="1"/>
  <c r="AK16" i="58" a="1"/>
  <c r="AK16" i="58" s="1"/>
  <c r="AL16" i="58" a="1"/>
  <c r="AL16" i="58" s="1"/>
  <c r="AM16" i="58" a="1"/>
  <c r="AM16" i="58" s="1"/>
  <c r="AN16" i="58" a="1"/>
  <c r="AN16" i="58" s="1"/>
  <c r="AO16" i="58" a="1"/>
  <c r="AO16" i="58" s="1"/>
  <c r="AP16" i="58" a="1"/>
  <c r="AP16" i="58" s="1"/>
  <c r="AQ16" i="58" a="1"/>
  <c r="AQ16" i="58" s="1"/>
  <c r="AR16" i="58" a="1"/>
  <c r="AR16" i="58" s="1"/>
  <c r="AS16" i="58" a="1"/>
  <c r="AS16" i="58" s="1"/>
  <c r="AT16" i="58" a="1"/>
  <c r="AT16" i="58" s="1"/>
  <c r="AU16" i="58" a="1"/>
  <c r="AU16" i="58" s="1"/>
  <c r="AV16" i="58" a="1"/>
  <c r="AV16" i="58" s="1"/>
  <c r="AW16" i="58" a="1"/>
  <c r="AW16" i="58" s="1"/>
  <c r="AX16" i="58" a="1"/>
  <c r="AX16" i="58" s="1"/>
  <c r="AY16" i="58" a="1"/>
  <c r="AY16" i="58" s="1"/>
  <c r="EV15" i="58" a="1"/>
  <c r="EV15" i="58" s="1"/>
  <c r="EW15" i="58" a="1"/>
  <c r="EW15" i="58" s="1"/>
  <c r="EX15" i="58" a="1"/>
  <c r="EX15" i="58" s="1"/>
  <c r="EY15" i="58" a="1"/>
  <c r="EY15" i="58" s="1"/>
  <c r="EZ15" i="58" a="1"/>
  <c r="EZ15" i="58" s="1"/>
  <c r="FA15" i="58" a="1"/>
  <c r="FA15" i="58" s="1"/>
  <c r="FB15" i="58" a="1"/>
  <c r="FB15" i="58" s="1"/>
  <c r="FC15" i="58" a="1"/>
  <c r="FC15" i="58" s="1"/>
  <c r="FD15" i="58" a="1"/>
  <c r="FD15" i="58" s="1"/>
  <c r="FE15" i="58" a="1"/>
  <c r="FE15" i="58" s="1"/>
  <c r="FF15" i="58" a="1"/>
  <c r="FF15" i="58" s="1"/>
  <c r="FG15" i="58" a="1"/>
  <c r="FG15" i="58" s="1"/>
  <c r="FH15" i="58" a="1"/>
  <c r="FH15" i="58" s="1"/>
  <c r="FI15" i="58" a="1"/>
  <c r="FI15" i="58" s="1"/>
  <c r="FJ15" i="58" a="1"/>
  <c r="FJ15" i="58" s="1"/>
  <c r="FK15" i="58" a="1"/>
  <c r="FK15" i="58" s="1"/>
  <c r="FL15" i="58" a="1"/>
  <c r="FL15" i="58" s="1"/>
  <c r="FM15" i="58" a="1"/>
  <c r="FM15" i="58" s="1"/>
  <c r="FN15" i="58" a="1"/>
  <c r="FN15" i="58" s="1"/>
  <c r="FO15" i="58" a="1"/>
  <c r="FO15" i="58" s="1"/>
  <c r="FP15" i="58" a="1"/>
  <c r="FP15" i="58" s="1"/>
  <c r="FQ15" i="58" a="1"/>
  <c r="FQ15" i="58" s="1"/>
  <c r="FR15" i="58" a="1"/>
  <c r="FR15" i="58" s="1"/>
  <c r="FS15" i="58" a="1"/>
  <c r="FS15" i="58" s="1"/>
  <c r="FT15" i="58" a="1"/>
  <c r="FT15" i="58" s="1"/>
  <c r="FU15" i="58" a="1"/>
  <c r="FU15" i="58" s="1"/>
  <c r="FV15" i="58" a="1"/>
  <c r="FV15" i="58" s="1"/>
  <c r="FW15" i="58" a="1"/>
  <c r="FW15" i="58" s="1"/>
  <c r="FX15" i="58" a="1"/>
  <c r="FX15" i="58" s="1"/>
  <c r="FY15" i="58" a="1"/>
  <c r="FY15" i="58" s="1"/>
  <c r="FZ15" i="58" a="1"/>
  <c r="FZ15" i="58" s="1"/>
  <c r="GA15" i="58" a="1"/>
  <c r="GA15" i="58" s="1"/>
  <c r="GB15" i="58" a="1"/>
  <c r="GB15" i="58" s="1"/>
  <c r="GC15" i="58" a="1"/>
  <c r="GC15" i="58" s="1"/>
  <c r="GD15" i="58" a="1"/>
  <c r="GD15" i="58" s="1"/>
  <c r="GE15" i="58" a="1"/>
  <c r="GE15" i="58" s="1"/>
  <c r="GF15" i="58" a="1"/>
  <c r="GF15" i="58" s="1"/>
  <c r="GG15" i="58" a="1"/>
  <c r="GG15" i="58" s="1"/>
  <c r="GH15" i="58" a="1"/>
  <c r="GH15" i="58" s="1"/>
  <c r="GI15" i="58" a="1"/>
  <c r="GI15" i="58" s="1"/>
  <c r="CX15" i="58" a="1"/>
  <c r="CX15" i="58" s="1"/>
  <c r="CY15" i="58" a="1"/>
  <c r="CY15" i="58" s="1"/>
  <c r="CZ15" i="58" a="1"/>
  <c r="CZ15" i="58" s="1"/>
  <c r="DA15" i="58" a="1"/>
  <c r="DA15" i="58" s="1"/>
  <c r="DB15" i="58" a="1"/>
  <c r="DB15" i="58" s="1"/>
  <c r="DC15" i="58" a="1"/>
  <c r="DC15" i="58" s="1"/>
  <c r="DD15" i="58" a="1"/>
  <c r="DD15" i="58" s="1"/>
  <c r="DE15" i="58" a="1"/>
  <c r="DE15" i="58" s="1"/>
  <c r="DF15" i="58" a="1"/>
  <c r="DF15" i="58" s="1"/>
  <c r="DG15" i="58" a="1"/>
  <c r="DG15" i="58" s="1"/>
  <c r="DH15" i="58" a="1"/>
  <c r="DH15" i="58" s="1"/>
  <c r="DI15" i="58" a="1"/>
  <c r="DI15" i="58" s="1"/>
  <c r="DJ15" i="58" a="1"/>
  <c r="DJ15" i="58" s="1"/>
  <c r="DK15" i="58" a="1"/>
  <c r="DK15" i="58" s="1"/>
  <c r="DL15" i="58" a="1"/>
  <c r="DL15" i="58" s="1"/>
  <c r="DM15" i="58" a="1"/>
  <c r="DM15" i="58" s="1"/>
  <c r="DN15" i="58" a="1"/>
  <c r="DN15" i="58" s="1"/>
  <c r="DO15" i="58" a="1"/>
  <c r="DO15" i="58" s="1"/>
  <c r="DP15" i="58" a="1"/>
  <c r="DP15" i="58" s="1"/>
  <c r="DQ15" i="58" a="1"/>
  <c r="DQ15" i="58" s="1"/>
  <c r="DR15" i="58" a="1"/>
  <c r="DR15" i="58" s="1"/>
  <c r="DS15" i="58" a="1"/>
  <c r="DS15" i="58" s="1"/>
  <c r="DT15" i="58" a="1"/>
  <c r="DT15" i="58" s="1"/>
  <c r="DU15" i="58" a="1"/>
  <c r="DU15" i="58" s="1"/>
  <c r="DV15" i="58" a="1"/>
  <c r="DV15" i="58" s="1"/>
  <c r="DW15" i="58" a="1"/>
  <c r="DW15" i="58" s="1"/>
  <c r="DX15" i="58" a="1"/>
  <c r="DX15" i="58" s="1"/>
  <c r="DY15" i="58" a="1"/>
  <c r="DY15" i="58" s="1"/>
  <c r="DZ15" i="58" a="1"/>
  <c r="DZ15" i="58" s="1"/>
  <c r="EA15" i="58" a="1"/>
  <c r="EA15" i="58" s="1"/>
  <c r="EB15" i="58" a="1"/>
  <c r="EB15" i="58" s="1"/>
  <c r="EC15" i="58" a="1"/>
  <c r="EC15" i="58" s="1"/>
  <c r="ED15" i="58" a="1"/>
  <c r="ED15" i="58" s="1"/>
  <c r="EE15" i="58" a="1"/>
  <c r="EE15" i="58" s="1"/>
  <c r="EF15" i="58" a="1"/>
  <c r="EF15" i="58" s="1"/>
  <c r="EG15" i="58" a="1"/>
  <c r="EG15" i="58" s="1"/>
  <c r="EH15" i="58" a="1"/>
  <c r="EH15" i="58" s="1"/>
  <c r="EI15" i="58" a="1"/>
  <c r="EI15" i="58" s="1"/>
  <c r="EJ15" i="58" a="1"/>
  <c r="EJ15" i="58" s="1"/>
  <c r="EK15" i="58" a="1"/>
  <c r="EK15" i="58" s="1"/>
  <c r="EL15" i="58" a="1"/>
  <c r="EL15" i="58" s="1"/>
  <c r="EM15" i="58" a="1"/>
  <c r="EM15" i="58" s="1"/>
  <c r="EN15" i="58" a="1"/>
  <c r="EN15" i="58" s="1"/>
  <c r="EO15" i="58" a="1"/>
  <c r="EO15" i="58" s="1"/>
  <c r="EP15" i="58" a="1"/>
  <c r="EP15" i="58" s="1"/>
  <c r="EQ15" i="58" a="1"/>
  <c r="EQ15" i="58" s="1"/>
  <c r="ER15" i="58" a="1"/>
  <c r="ER15" i="58" s="1"/>
  <c r="ES15" i="58" a="1"/>
  <c r="ES15" i="58" s="1"/>
  <c r="ET15" i="58" a="1"/>
  <c r="ET15" i="58" s="1"/>
  <c r="EU15" i="58" a="1"/>
  <c r="EU15" i="58" s="1"/>
  <c r="AZ15" i="58" a="1"/>
  <c r="AZ15" i="58" s="1"/>
  <c r="BA15" i="58" a="1"/>
  <c r="BA15" i="58" s="1"/>
  <c r="BB15" i="58" a="1"/>
  <c r="BB15" i="58" s="1"/>
  <c r="BC15" i="58" a="1"/>
  <c r="BC15" i="58" s="1"/>
  <c r="BD15" i="58" a="1"/>
  <c r="BD15" i="58" s="1"/>
  <c r="BE15" i="58" a="1"/>
  <c r="BE15" i="58" s="1"/>
  <c r="BF15" i="58" a="1"/>
  <c r="BF15" i="58" s="1"/>
  <c r="BG15" i="58" a="1"/>
  <c r="BG15" i="58" s="1"/>
  <c r="BH15" i="58" a="1"/>
  <c r="BH15" i="58" s="1"/>
  <c r="BI15" i="58" a="1"/>
  <c r="BI15" i="58" s="1"/>
  <c r="BJ15" i="58" a="1"/>
  <c r="BJ15" i="58" s="1"/>
  <c r="BK15" i="58" a="1"/>
  <c r="BK15" i="58" s="1"/>
  <c r="BL15" i="58" a="1"/>
  <c r="BL15" i="58" s="1"/>
  <c r="BM15" i="58" a="1"/>
  <c r="BM15" i="58" s="1"/>
  <c r="BN15" i="58" a="1"/>
  <c r="BN15" i="58" s="1"/>
  <c r="BO15" i="58" a="1"/>
  <c r="BO15" i="58" s="1"/>
  <c r="BP15" i="58" a="1"/>
  <c r="BP15" i="58" s="1"/>
  <c r="BQ15" i="58" a="1"/>
  <c r="BQ15" i="58" s="1"/>
  <c r="BR15" i="58" a="1"/>
  <c r="BR15" i="58" s="1"/>
  <c r="BS15" i="58" a="1"/>
  <c r="BS15" i="58" s="1"/>
  <c r="BT15" i="58" a="1"/>
  <c r="BT15" i="58" s="1"/>
  <c r="BU15" i="58" a="1"/>
  <c r="BU15" i="58" s="1"/>
  <c r="BV15" i="58" a="1"/>
  <c r="BV15" i="58" s="1"/>
  <c r="BW15" i="58" a="1"/>
  <c r="BW15" i="58" s="1"/>
  <c r="BX15" i="58" a="1"/>
  <c r="BX15" i="58" s="1"/>
  <c r="BY15" i="58" a="1"/>
  <c r="BY15" i="58" s="1"/>
  <c r="BZ15" i="58" a="1"/>
  <c r="BZ15" i="58" s="1"/>
  <c r="CA15" i="58" a="1"/>
  <c r="CA15" i="58" s="1"/>
  <c r="CB15" i="58" a="1"/>
  <c r="CB15" i="58" s="1"/>
  <c r="CC15" i="58" a="1"/>
  <c r="CC15" i="58" s="1"/>
  <c r="CD15" i="58" a="1"/>
  <c r="CD15" i="58" s="1"/>
  <c r="CE15" i="58" a="1"/>
  <c r="CE15" i="58" s="1"/>
  <c r="CF15" i="58" a="1"/>
  <c r="CF15" i="58" s="1"/>
  <c r="CG15" i="58" a="1"/>
  <c r="CG15" i="58" s="1"/>
  <c r="CH15" i="58" a="1"/>
  <c r="CH15" i="58" s="1"/>
  <c r="CI15" i="58" a="1"/>
  <c r="CI15" i="58" s="1"/>
  <c r="CJ15" i="58" a="1"/>
  <c r="CJ15" i="58" s="1"/>
  <c r="CK15" i="58" a="1"/>
  <c r="CK15" i="58" s="1"/>
  <c r="CL15" i="58" a="1"/>
  <c r="CL15" i="58" s="1"/>
  <c r="CM15" i="58" a="1"/>
  <c r="CM15" i="58" s="1"/>
  <c r="CN15" i="58" a="1"/>
  <c r="CN15" i="58" s="1"/>
  <c r="CO15" i="58" a="1"/>
  <c r="CO15" i="58" s="1"/>
  <c r="CP15" i="58" a="1"/>
  <c r="CP15" i="58" s="1"/>
  <c r="CQ15" i="58" a="1"/>
  <c r="CQ15" i="58" s="1"/>
  <c r="CR15" i="58" a="1"/>
  <c r="CR15" i="58" s="1"/>
  <c r="CS15" i="58" a="1"/>
  <c r="CS15" i="58" s="1"/>
  <c r="CT15" i="58" a="1"/>
  <c r="CT15" i="58" s="1"/>
  <c r="CU15" i="58" a="1"/>
  <c r="CU15" i="58" s="1"/>
  <c r="CV15" i="58" a="1"/>
  <c r="CV15" i="58" s="1"/>
  <c r="CW15" i="58" a="1"/>
  <c r="CW15" i="58" s="1"/>
  <c r="B15" i="58" a="1"/>
  <c r="B15" i="58" s="1"/>
  <c r="C15" i="58" a="1"/>
  <c r="C15" i="58" s="1"/>
  <c r="D15" i="58" a="1"/>
  <c r="D15" i="58" s="1"/>
  <c r="E15" i="58" a="1"/>
  <c r="E15" i="58" s="1"/>
  <c r="F15" i="58" a="1"/>
  <c r="F15" i="58" s="1"/>
  <c r="G15" i="58" a="1"/>
  <c r="G15" i="58" s="1"/>
  <c r="H15" i="58" a="1"/>
  <c r="H15" i="58" s="1"/>
  <c r="I15" i="58" a="1"/>
  <c r="I15" i="58" s="1"/>
  <c r="J15" i="58" a="1"/>
  <c r="J15" i="58" s="1"/>
  <c r="K15" i="58" a="1"/>
  <c r="K15" i="58" s="1"/>
  <c r="L15" i="58" a="1"/>
  <c r="L15" i="58" s="1"/>
  <c r="M15" i="58" a="1"/>
  <c r="M15" i="58" s="1"/>
  <c r="N15" i="58" a="1"/>
  <c r="N15" i="58" s="1"/>
  <c r="O15" i="58" a="1"/>
  <c r="O15" i="58" s="1"/>
  <c r="P15" i="58" a="1"/>
  <c r="P15" i="58" s="1"/>
  <c r="Q15" i="58" a="1"/>
  <c r="Q15" i="58" s="1"/>
  <c r="R15" i="58" a="1"/>
  <c r="R15" i="58"/>
  <c r="S15" i="58" a="1"/>
  <c r="S15" i="58" s="1"/>
  <c r="T15" i="58" a="1"/>
  <c r="T15" i="58" s="1"/>
  <c r="U15" i="58" a="1"/>
  <c r="U15" i="58" s="1"/>
  <c r="V15" i="58" a="1"/>
  <c r="V15" i="58" s="1"/>
  <c r="W15" i="58" a="1"/>
  <c r="W15" i="58" s="1"/>
  <c r="X15" i="58" a="1"/>
  <c r="X15" i="58" s="1"/>
  <c r="Y15" i="58" a="1"/>
  <c r="Y15" i="58" s="1"/>
  <c r="Z15" i="58" a="1"/>
  <c r="Z15" i="58" s="1"/>
  <c r="AA15" i="58" a="1"/>
  <c r="AA15" i="58" s="1"/>
  <c r="AB15" i="58" a="1"/>
  <c r="AB15" i="58" s="1"/>
  <c r="AC15" i="58" a="1"/>
  <c r="AC15" i="58" s="1"/>
  <c r="AD15" i="58" a="1"/>
  <c r="AD15" i="58" s="1"/>
  <c r="AE15" i="58" a="1"/>
  <c r="AE15" i="58" s="1"/>
  <c r="AF15" i="58" a="1"/>
  <c r="AF15" i="58" s="1"/>
  <c r="AG15" i="58" a="1"/>
  <c r="AG15" i="58" s="1"/>
  <c r="AH15" i="58" a="1"/>
  <c r="AH15" i="58" s="1"/>
  <c r="AI15" i="58" a="1"/>
  <c r="AI15" i="58" s="1"/>
  <c r="AJ15" i="58" a="1"/>
  <c r="AJ15" i="58" s="1"/>
  <c r="AK15" i="58" a="1"/>
  <c r="AK15" i="58" s="1"/>
  <c r="AL15" i="58" a="1"/>
  <c r="AL15" i="58" s="1"/>
  <c r="AM15" i="58" a="1"/>
  <c r="AM15" i="58" s="1"/>
  <c r="AN15" i="58" a="1"/>
  <c r="AN15" i="58" s="1"/>
  <c r="AO15" i="58" a="1"/>
  <c r="AO15" i="58" s="1"/>
  <c r="AP15" i="58" a="1"/>
  <c r="AP15" i="58" s="1"/>
  <c r="AQ15" i="58" a="1"/>
  <c r="AQ15" i="58" s="1"/>
  <c r="AR15" i="58" a="1"/>
  <c r="AR15" i="58" s="1"/>
  <c r="AS15" i="58" a="1"/>
  <c r="AS15" i="58" s="1"/>
  <c r="AT15" i="58" a="1"/>
  <c r="AT15" i="58" s="1"/>
  <c r="AU15" i="58" a="1"/>
  <c r="AU15" i="58" s="1"/>
  <c r="AV15" i="58" a="1"/>
  <c r="AV15" i="58" s="1"/>
  <c r="AW15" i="58" a="1"/>
  <c r="AW15" i="58" s="1"/>
  <c r="AX15" i="58" a="1"/>
  <c r="AX15" i="58" s="1"/>
  <c r="AY15" i="58" a="1"/>
  <c r="AY15" i="58" s="1"/>
  <c r="EV14" i="58" a="1"/>
  <c r="EV14" i="58" s="1"/>
  <c r="EW14" i="58" a="1"/>
  <c r="EW14" i="58" s="1"/>
  <c r="EX14" i="58" a="1"/>
  <c r="EX14" i="58" s="1"/>
  <c r="EY14" i="58" a="1"/>
  <c r="EY14" i="58" s="1"/>
  <c r="EZ14" i="58" a="1"/>
  <c r="EZ14" i="58" s="1"/>
  <c r="FA14" i="58" a="1"/>
  <c r="FA14" i="58" s="1"/>
  <c r="FB14" i="58" a="1"/>
  <c r="FB14" i="58" s="1"/>
  <c r="FC14" i="58" a="1"/>
  <c r="FC14" i="58" s="1"/>
  <c r="FD14" i="58" a="1"/>
  <c r="FD14" i="58" s="1"/>
  <c r="FE14" i="58" a="1"/>
  <c r="FE14" i="58" s="1"/>
  <c r="FF14" i="58" a="1"/>
  <c r="FF14" i="58" s="1"/>
  <c r="FG14" i="58" a="1"/>
  <c r="FG14" i="58" s="1"/>
  <c r="FH14" i="58" a="1"/>
  <c r="FH14" i="58" s="1"/>
  <c r="FI14" i="58" a="1"/>
  <c r="FI14" i="58" s="1"/>
  <c r="FJ14" i="58" a="1"/>
  <c r="FJ14" i="58" s="1"/>
  <c r="FK14" i="58" a="1"/>
  <c r="FK14" i="58" s="1"/>
  <c r="FL14" i="58" a="1"/>
  <c r="FL14" i="58" s="1"/>
  <c r="FM14" i="58" a="1"/>
  <c r="FM14" i="58" s="1"/>
  <c r="FN14" i="58" a="1"/>
  <c r="FN14" i="58" s="1"/>
  <c r="FO14" i="58" a="1"/>
  <c r="FO14" i="58" s="1"/>
  <c r="FP14" i="58" a="1"/>
  <c r="FP14" i="58" s="1"/>
  <c r="FQ14" i="58" a="1"/>
  <c r="FQ14" i="58" s="1"/>
  <c r="FR14" i="58" a="1"/>
  <c r="FR14" i="58" s="1"/>
  <c r="FS14" i="58" a="1"/>
  <c r="FS14" i="58" s="1"/>
  <c r="FT14" i="58" a="1"/>
  <c r="FT14" i="58" s="1"/>
  <c r="FU14" i="58" a="1"/>
  <c r="FU14" i="58" s="1"/>
  <c r="FV14" i="58" a="1"/>
  <c r="FV14" i="58" s="1"/>
  <c r="FW14" i="58" a="1"/>
  <c r="FW14" i="58" s="1"/>
  <c r="FX14" i="58" a="1"/>
  <c r="FX14" i="58" s="1"/>
  <c r="FY14" i="58" a="1"/>
  <c r="FY14" i="58" s="1"/>
  <c r="FZ14" i="58" a="1"/>
  <c r="FZ14" i="58" s="1"/>
  <c r="GA14" i="58" a="1"/>
  <c r="GA14" i="58" s="1"/>
  <c r="GB14" i="58" a="1"/>
  <c r="GB14" i="58" s="1"/>
  <c r="GC14" i="58" a="1"/>
  <c r="GC14" i="58" s="1"/>
  <c r="GD14" i="58" a="1"/>
  <c r="GD14" i="58" s="1"/>
  <c r="GE14" i="58" a="1"/>
  <c r="GE14" i="58" s="1"/>
  <c r="GF14" i="58" a="1"/>
  <c r="GF14" i="58" s="1"/>
  <c r="GG14" i="58" a="1"/>
  <c r="GG14" i="58" s="1"/>
  <c r="GH14" i="58" a="1"/>
  <c r="GH14" i="58" s="1"/>
  <c r="GI14" i="58" a="1"/>
  <c r="GI14" i="58" s="1"/>
  <c r="CX14" i="58" a="1"/>
  <c r="CX14" i="58" s="1"/>
  <c r="CY14" i="58" a="1"/>
  <c r="CY14" i="58" s="1"/>
  <c r="CZ14" i="58" a="1"/>
  <c r="CZ14" i="58" s="1"/>
  <c r="DA14" i="58" a="1"/>
  <c r="DA14" i="58" s="1"/>
  <c r="DB14" i="58" a="1"/>
  <c r="DB14" i="58" s="1"/>
  <c r="DC14" i="58" a="1"/>
  <c r="DC14" i="58" s="1"/>
  <c r="DD14" i="58" a="1"/>
  <c r="DD14" i="58" s="1"/>
  <c r="DE14" i="58" a="1"/>
  <c r="DE14" i="58" s="1"/>
  <c r="DF14" i="58" a="1"/>
  <c r="DF14" i="58" s="1"/>
  <c r="DG14" i="58" a="1"/>
  <c r="DG14" i="58" s="1"/>
  <c r="DH14" i="58" a="1"/>
  <c r="DH14" i="58" s="1"/>
  <c r="DI14" i="58" a="1"/>
  <c r="DI14" i="58" s="1"/>
  <c r="DJ14" i="58" a="1"/>
  <c r="DJ14" i="58" s="1"/>
  <c r="DK14" i="58" a="1"/>
  <c r="DK14" i="58"/>
  <c r="DL14" i="58" a="1"/>
  <c r="DL14" i="58" s="1"/>
  <c r="DM14" i="58" a="1"/>
  <c r="DM14" i="58" s="1"/>
  <c r="DN14" i="58" a="1"/>
  <c r="DN14" i="58" s="1"/>
  <c r="DO14" i="58" a="1"/>
  <c r="DO14" i="58" s="1"/>
  <c r="DP14" i="58" a="1"/>
  <c r="DP14" i="58" s="1"/>
  <c r="DQ14" i="58" a="1"/>
  <c r="DQ14" i="58" s="1"/>
  <c r="DR14" i="58" a="1"/>
  <c r="DR14" i="58" s="1"/>
  <c r="DS14" i="58" a="1"/>
  <c r="DS14" i="58" s="1"/>
  <c r="DT14" i="58" a="1"/>
  <c r="DT14" i="58" s="1"/>
  <c r="DU14" i="58" a="1"/>
  <c r="DU14" i="58" s="1"/>
  <c r="DV14" i="58" a="1"/>
  <c r="DV14" i="58" s="1"/>
  <c r="DW14" i="58" a="1"/>
  <c r="DW14" i="58" s="1"/>
  <c r="DX14" i="58" a="1"/>
  <c r="DX14" i="58" s="1"/>
  <c r="DY14" i="58" a="1"/>
  <c r="DY14" i="58" s="1"/>
  <c r="DZ14" i="58" a="1"/>
  <c r="DZ14" i="58" s="1"/>
  <c r="EA14" i="58" a="1"/>
  <c r="EA14" i="58" s="1"/>
  <c r="EB14" i="58" a="1"/>
  <c r="EB14" i="58" s="1"/>
  <c r="EC14" i="58" a="1"/>
  <c r="EC14" i="58" s="1"/>
  <c r="ED14" i="58" a="1"/>
  <c r="ED14" i="58" s="1"/>
  <c r="EE14" i="58" a="1"/>
  <c r="EE14" i="58" s="1"/>
  <c r="EF14" i="58" a="1"/>
  <c r="EF14" i="58" s="1"/>
  <c r="EG14" i="58" a="1"/>
  <c r="EG14" i="58" s="1"/>
  <c r="EH14" i="58" a="1"/>
  <c r="EH14" i="58" s="1"/>
  <c r="EI14" i="58" a="1"/>
  <c r="EI14" i="58" s="1"/>
  <c r="EJ14" i="58" a="1"/>
  <c r="EJ14" i="58" s="1"/>
  <c r="EK14" i="58" a="1"/>
  <c r="EK14" i="58" s="1"/>
  <c r="EL14" i="58" a="1"/>
  <c r="EL14" i="58" s="1"/>
  <c r="EM14" i="58" a="1"/>
  <c r="EM14" i="58" s="1"/>
  <c r="EN14" i="58" a="1"/>
  <c r="EN14" i="58" s="1"/>
  <c r="EO14" i="58" a="1"/>
  <c r="EO14" i="58" s="1"/>
  <c r="EP14" i="58" a="1"/>
  <c r="EP14" i="58" s="1"/>
  <c r="EQ14" i="58" a="1"/>
  <c r="EQ14" i="58" s="1"/>
  <c r="ER14" i="58" a="1"/>
  <c r="ER14" i="58" s="1"/>
  <c r="ES14" i="58" a="1"/>
  <c r="ES14" i="58" s="1"/>
  <c r="ET14" i="58" a="1"/>
  <c r="ET14" i="58" s="1"/>
  <c r="EU14" i="58" a="1"/>
  <c r="EU14" i="58" s="1"/>
  <c r="AZ14" i="58" a="1"/>
  <c r="AZ14" i="58" s="1"/>
  <c r="BA14" i="58" a="1"/>
  <c r="BA14" i="58" s="1"/>
  <c r="BB14" i="58" a="1"/>
  <c r="BB14" i="58" s="1"/>
  <c r="BC14" i="58" a="1"/>
  <c r="BC14" i="58" s="1"/>
  <c r="BD14" i="58" a="1"/>
  <c r="BD14" i="58" s="1"/>
  <c r="BE14" i="58" a="1"/>
  <c r="BE14" i="58" s="1"/>
  <c r="BF14" i="58" a="1"/>
  <c r="BF14" i="58" s="1"/>
  <c r="BG14" i="58" a="1"/>
  <c r="BG14" i="58" s="1"/>
  <c r="BH14" i="58" a="1"/>
  <c r="BH14" i="58" s="1"/>
  <c r="BI14" i="58" a="1"/>
  <c r="BI14" i="58" s="1"/>
  <c r="BJ14" i="58" a="1"/>
  <c r="BJ14" i="58" s="1"/>
  <c r="BK14" i="58" a="1"/>
  <c r="BK14" i="58" s="1"/>
  <c r="BL14" i="58" a="1"/>
  <c r="BL14" i="58" s="1"/>
  <c r="BM14" i="58" a="1"/>
  <c r="BM14" i="58" s="1"/>
  <c r="BN14" i="58" a="1"/>
  <c r="BN14" i="58" s="1"/>
  <c r="BO14" i="58" a="1"/>
  <c r="BO14" i="58" s="1"/>
  <c r="BP14" i="58" a="1"/>
  <c r="BP14" i="58" s="1"/>
  <c r="BQ14" i="58" a="1"/>
  <c r="BQ14" i="58" s="1"/>
  <c r="BR14" i="58" a="1"/>
  <c r="BR14" i="58" s="1"/>
  <c r="BS14" i="58" a="1"/>
  <c r="BS14" i="58" s="1"/>
  <c r="BT14" i="58" a="1"/>
  <c r="BT14" i="58" s="1"/>
  <c r="BU14" i="58" a="1"/>
  <c r="BU14" i="58" s="1"/>
  <c r="BV14" i="58" a="1"/>
  <c r="BV14" i="58" s="1"/>
  <c r="BW14" i="58" a="1"/>
  <c r="BW14" i="58" s="1"/>
  <c r="BX14" i="58" a="1"/>
  <c r="BX14" i="58" s="1"/>
  <c r="BY14" i="58" a="1"/>
  <c r="BY14" i="58" s="1"/>
  <c r="BZ14" i="58" a="1"/>
  <c r="BZ14" i="58" s="1"/>
  <c r="CA14" i="58" a="1"/>
  <c r="CA14" i="58" s="1"/>
  <c r="CB14" i="58" a="1"/>
  <c r="CB14" i="58" s="1"/>
  <c r="CC14" i="58" a="1"/>
  <c r="CC14" i="58" s="1"/>
  <c r="CD14" i="58" a="1"/>
  <c r="CD14" i="58" s="1"/>
  <c r="CE14" i="58" a="1"/>
  <c r="CE14" i="58" s="1"/>
  <c r="CF14" i="58" a="1"/>
  <c r="CF14" i="58" s="1"/>
  <c r="CG14" i="58" a="1"/>
  <c r="CG14" i="58" s="1"/>
  <c r="CH14" i="58" a="1"/>
  <c r="CH14" i="58" s="1"/>
  <c r="CI14" i="58" a="1"/>
  <c r="CI14" i="58" s="1"/>
  <c r="CJ14" i="58" a="1"/>
  <c r="CJ14" i="58" s="1"/>
  <c r="CK14" i="58" a="1"/>
  <c r="CK14" i="58" s="1"/>
  <c r="CL14" i="58" a="1"/>
  <c r="CL14" i="58" s="1"/>
  <c r="CM14" i="58" a="1"/>
  <c r="CM14" i="58" s="1"/>
  <c r="CN14" i="58" a="1"/>
  <c r="CN14" i="58" s="1"/>
  <c r="CO14" i="58" a="1"/>
  <c r="CO14" i="58" s="1"/>
  <c r="CP14" i="58" a="1"/>
  <c r="CP14" i="58" s="1"/>
  <c r="CQ14" i="58" a="1"/>
  <c r="CQ14" i="58" s="1"/>
  <c r="CR14" i="58" a="1"/>
  <c r="CR14" i="58" s="1"/>
  <c r="CS14" i="58" a="1"/>
  <c r="CS14" i="58" s="1"/>
  <c r="CT14" i="58" a="1"/>
  <c r="CT14" i="58" s="1"/>
  <c r="CU14" i="58" a="1"/>
  <c r="CU14" i="58" s="1"/>
  <c r="CV14" i="58" a="1"/>
  <c r="CV14" i="58" s="1"/>
  <c r="CW14" i="58" a="1"/>
  <c r="CW14" i="58" s="1"/>
  <c r="B14" i="58" a="1"/>
  <c r="B14" i="58" s="1"/>
  <c r="C14" i="58" a="1"/>
  <c r="C14" i="58" s="1"/>
  <c r="D14" i="58" a="1"/>
  <c r="D14" i="58" s="1"/>
  <c r="E14" i="58" a="1"/>
  <c r="E14" i="58" s="1"/>
  <c r="F14" i="58" a="1"/>
  <c r="F14" i="58" s="1"/>
  <c r="G14" i="58" a="1"/>
  <c r="G14" i="58" s="1"/>
  <c r="H14" i="58" a="1"/>
  <c r="H14" i="58" s="1"/>
  <c r="I14" i="58" a="1"/>
  <c r="I14" i="58" s="1"/>
  <c r="J14" i="58" a="1"/>
  <c r="J14" i="58" s="1"/>
  <c r="K14" i="58" a="1"/>
  <c r="K14" i="58" s="1"/>
  <c r="L14" i="58" a="1"/>
  <c r="L14" i="58" s="1"/>
  <c r="M14" i="58" a="1"/>
  <c r="M14" i="58" s="1"/>
  <c r="N14" i="58" a="1"/>
  <c r="N14" i="58" s="1"/>
  <c r="O14" i="58" a="1"/>
  <c r="O14" i="58" s="1"/>
  <c r="P14" i="58" a="1"/>
  <c r="P14" i="58" s="1"/>
  <c r="Q14" i="58" a="1"/>
  <c r="Q14" i="58" s="1"/>
  <c r="R14" i="58" a="1"/>
  <c r="R14" i="58" s="1"/>
  <c r="S14" i="58" a="1"/>
  <c r="S14" i="58" s="1"/>
  <c r="T14" i="58" a="1"/>
  <c r="T14" i="58" s="1"/>
  <c r="U14" i="58" a="1"/>
  <c r="U14" i="58" s="1"/>
  <c r="V14" i="58" a="1"/>
  <c r="V14" i="58" s="1"/>
  <c r="W14" i="58" a="1"/>
  <c r="W14" i="58" s="1"/>
  <c r="X14" i="58" a="1"/>
  <c r="X14" i="58" s="1"/>
  <c r="Y14" i="58" a="1"/>
  <c r="Y14" i="58" s="1"/>
  <c r="Z14" i="58" a="1"/>
  <c r="Z14" i="58" s="1"/>
  <c r="AA14" i="58" a="1"/>
  <c r="AA14" i="58" s="1"/>
  <c r="AB14" i="58" a="1"/>
  <c r="AB14" i="58" s="1"/>
  <c r="AC14" i="58" a="1"/>
  <c r="AC14" i="58" s="1"/>
  <c r="AD14" i="58" a="1"/>
  <c r="AD14" i="58" s="1"/>
  <c r="AE14" i="58" a="1"/>
  <c r="AE14" i="58" s="1"/>
  <c r="AF14" i="58" a="1"/>
  <c r="AF14" i="58" s="1"/>
  <c r="AG14" i="58" a="1"/>
  <c r="AG14" i="58" s="1"/>
  <c r="AH14" i="58" a="1"/>
  <c r="AH14" i="58" s="1"/>
  <c r="AI14" i="58" a="1"/>
  <c r="AI14" i="58" s="1"/>
  <c r="AJ14" i="58" a="1"/>
  <c r="AJ14" i="58" s="1"/>
  <c r="AK14" i="58" a="1"/>
  <c r="AK14" i="58" s="1"/>
  <c r="AL14" i="58" a="1"/>
  <c r="AL14" i="58" s="1"/>
  <c r="AM14" i="58" a="1"/>
  <c r="AM14" i="58" s="1"/>
  <c r="AN14" i="58" a="1"/>
  <c r="AN14" i="58" s="1"/>
  <c r="AO14" i="58" a="1"/>
  <c r="AO14" i="58" s="1"/>
  <c r="AP14" i="58" a="1"/>
  <c r="AP14" i="58" s="1"/>
  <c r="AQ14" i="58" a="1"/>
  <c r="AQ14" i="58" s="1"/>
  <c r="AR14" i="58" a="1"/>
  <c r="AR14" i="58" s="1"/>
  <c r="AS14" i="58" a="1"/>
  <c r="AS14" i="58" s="1"/>
  <c r="AT14" i="58" a="1"/>
  <c r="AT14" i="58" s="1"/>
  <c r="AU14" i="58" a="1"/>
  <c r="AU14" i="58" s="1"/>
  <c r="AV14" i="58" a="1"/>
  <c r="AV14" i="58" s="1"/>
  <c r="AW14" i="58" a="1"/>
  <c r="AW14" i="58" s="1"/>
  <c r="AX14" i="58" a="1"/>
  <c r="AX14" i="58" s="1"/>
  <c r="AY14" i="58" a="1"/>
  <c r="AY14" i="58" s="1"/>
  <c r="EV13" i="58" a="1"/>
  <c r="EV13" i="58" s="1"/>
  <c r="EW13" i="58" a="1"/>
  <c r="EW13" i="58" s="1"/>
  <c r="EX13" i="58" a="1"/>
  <c r="EX13" i="58" s="1"/>
  <c r="EY13" i="58" a="1"/>
  <c r="EY13" i="58" s="1"/>
  <c r="EZ13" i="58" a="1"/>
  <c r="EZ13" i="58" s="1"/>
  <c r="FA13" i="58" a="1"/>
  <c r="FA13" i="58" s="1"/>
  <c r="FB13" i="58" a="1"/>
  <c r="FB13" i="58" s="1"/>
  <c r="FC13" i="58" a="1"/>
  <c r="FC13" i="58" s="1"/>
  <c r="FD13" i="58" a="1"/>
  <c r="FD13" i="58" s="1"/>
  <c r="FE13" i="58" a="1"/>
  <c r="FE13" i="58" s="1"/>
  <c r="FF13" i="58" a="1"/>
  <c r="FF13" i="58" s="1"/>
  <c r="FG13" i="58" a="1"/>
  <c r="FG13" i="58" s="1"/>
  <c r="FH13" i="58" a="1"/>
  <c r="FH13" i="58" s="1"/>
  <c r="FI13" i="58" a="1"/>
  <c r="FI13" i="58" s="1"/>
  <c r="FJ13" i="58" a="1"/>
  <c r="FJ13" i="58" s="1"/>
  <c r="FK13" i="58" a="1"/>
  <c r="FK13" i="58" s="1"/>
  <c r="FL13" i="58" a="1"/>
  <c r="FL13" i="58" s="1"/>
  <c r="FM13" i="58" a="1"/>
  <c r="FM13" i="58" s="1"/>
  <c r="FN13" i="58" a="1"/>
  <c r="FN13" i="58" s="1"/>
  <c r="FO13" i="58" a="1"/>
  <c r="FO13" i="58" s="1"/>
  <c r="FP13" i="58" a="1"/>
  <c r="FP13" i="58" s="1"/>
  <c r="FQ13" i="58" a="1"/>
  <c r="FQ13" i="58" s="1"/>
  <c r="FR13" i="58" a="1"/>
  <c r="FR13" i="58" s="1"/>
  <c r="FS13" i="58" a="1"/>
  <c r="FS13" i="58" s="1"/>
  <c r="FT13" i="58" a="1"/>
  <c r="FT13" i="58" s="1"/>
  <c r="FU13" i="58" a="1"/>
  <c r="FU13" i="58" s="1"/>
  <c r="FV13" i="58" a="1"/>
  <c r="FV13" i="58" s="1"/>
  <c r="FW13" i="58" a="1"/>
  <c r="FW13" i="58" s="1"/>
  <c r="FX13" i="58" a="1"/>
  <c r="FX13" i="58" s="1"/>
  <c r="FY13" i="58" a="1"/>
  <c r="FY13" i="58" s="1"/>
  <c r="FZ13" i="58" a="1"/>
  <c r="FZ13" i="58" s="1"/>
  <c r="GA13" i="58" a="1"/>
  <c r="GA13" i="58" s="1"/>
  <c r="GB13" i="58" a="1"/>
  <c r="GB13" i="58" s="1"/>
  <c r="GC13" i="58" a="1"/>
  <c r="GC13" i="58" s="1"/>
  <c r="GD13" i="58" a="1"/>
  <c r="GD13" i="58" s="1"/>
  <c r="GE13" i="58" a="1"/>
  <c r="GE13" i="58" s="1"/>
  <c r="GF13" i="58" a="1"/>
  <c r="GF13" i="58" s="1"/>
  <c r="GG13" i="58" a="1"/>
  <c r="GG13" i="58" s="1"/>
  <c r="GH13" i="58" a="1"/>
  <c r="GH13" i="58" s="1"/>
  <c r="GI13" i="58" a="1"/>
  <c r="GI13" i="58" s="1"/>
  <c r="CX13" i="58" a="1"/>
  <c r="CX13" i="58" s="1"/>
  <c r="CY13" i="58" a="1"/>
  <c r="CY13" i="58" s="1"/>
  <c r="CZ13" i="58" a="1"/>
  <c r="CZ13" i="58" s="1"/>
  <c r="DA13" i="58" a="1"/>
  <c r="DA13" i="58" s="1"/>
  <c r="DB13" i="58" a="1"/>
  <c r="DB13" i="58" s="1"/>
  <c r="DC13" i="58" a="1"/>
  <c r="DC13" i="58" s="1"/>
  <c r="DD13" i="58" a="1"/>
  <c r="DD13" i="58" s="1"/>
  <c r="DE13" i="58" a="1"/>
  <c r="DE13" i="58" s="1"/>
  <c r="DF13" i="58" a="1"/>
  <c r="DF13" i="58" s="1"/>
  <c r="DG13" i="58" a="1"/>
  <c r="DG13" i="58" s="1"/>
  <c r="DH13" i="58" a="1"/>
  <c r="DH13" i="58" s="1"/>
  <c r="DI13" i="58" a="1"/>
  <c r="DI13" i="58" s="1"/>
  <c r="DJ13" i="58" a="1"/>
  <c r="DJ13" i="58" s="1"/>
  <c r="DK13" i="58" a="1"/>
  <c r="DK13" i="58" s="1"/>
  <c r="DL13" i="58" a="1"/>
  <c r="DL13" i="58" s="1"/>
  <c r="DM13" i="58" a="1"/>
  <c r="DM13" i="58" s="1"/>
  <c r="DN13" i="58" a="1"/>
  <c r="DN13" i="58" s="1"/>
  <c r="DO13" i="58" a="1"/>
  <c r="DO13" i="58" s="1"/>
  <c r="DP13" i="58" a="1"/>
  <c r="DP13" i="58" s="1"/>
  <c r="DQ13" i="58" a="1"/>
  <c r="DQ13" i="58" s="1"/>
  <c r="DR13" i="58" a="1"/>
  <c r="DR13" i="58" s="1"/>
  <c r="DS13" i="58" a="1"/>
  <c r="DS13" i="58" s="1"/>
  <c r="DT13" i="58" a="1"/>
  <c r="DT13" i="58" s="1"/>
  <c r="DU13" i="58" a="1"/>
  <c r="DU13" i="58" s="1"/>
  <c r="DV13" i="58" a="1"/>
  <c r="DV13" i="58" s="1"/>
  <c r="DW13" i="58" a="1"/>
  <c r="DW13" i="58" s="1"/>
  <c r="DX13" i="58" a="1"/>
  <c r="DX13" i="58" s="1"/>
  <c r="DY13" i="58" a="1"/>
  <c r="DY13" i="58" s="1"/>
  <c r="DZ13" i="58" a="1"/>
  <c r="DZ13" i="58" s="1"/>
  <c r="EA13" i="58" a="1"/>
  <c r="EA13" i="58" s="1"/>
  <c r="EB13" i="58" a="1"/>
  <c r="EB13" i="58" s="1"/>
  <c r="EC13" i="58" a="1"/>
  <c r="EC13" i="58" s="1"/>
  <c r="ED13" i="58" a="1"/>
  <c r="ED13" i="58" s="1"/>
  <c r="EE13" i="58" a="1"/>
  <c r="EE13" i="58" s="1"/>
  <c r="EF13" i="58" a="1"/>
  <c r="EF13" i="58" s="1"/>
  <c r="EG13" i="58" a="1"/>
  <c r="EG13" i="58" s="1"/>
  <c r="EH13" i="58" a="1"/>
  <c r="EH13" i="58" s="1"/>
  <c r="EI13" i="58" a="1"/>
  <c r="EI13" i="58" s="1"/>
  <c r="EJ13" i="58" a="1"/>
  <c r="EJ13" i="58" s="1"/>
  <c r="EK13" i="58" a="1"/>
  <c r="EK13" i="58" s="1"/>
  <c r="EL13" i="58" a="1"/>
  <c r="EL13" i="58" s="1"/>
  <c r="EM13" i="58" a="1"/>
  <c r="EM13" i="58" s="1"/>
  <c r="EN13" i="58" a="1"/>
  <c r="EN13" i="58" s="1"/>
  <c r="EO13" i="58" a="1"/>
  <c r="EO13" i="58" s="1"/>
  <c r="EP13" i="58" a="1"/>
  <c r="EP13" i="58" s="1"/>
  <c r="EQ13" i="58" a="1"/>
  <c r="EQ13" i="58" s="1"/>
  <c r="ER13" i="58" a="1"/>
  <c r="ER13" i="58" s="1"/>
  <c r="ES13" i="58" a="1"/>
  <c r="ES13" i="58" s="1"/>
  <c r="ET13" i="58" a="1"/>
  <c r="ET13" i="58" s="1"/>
  <c r="EU13" i="58" a="1"/>
  <c r="EU13" i="58" s="1"/>
  <c r="AZ13" i="58" a="1"/>
  <c r="AZ13" i="58" s="1"/>
  <c r="BA13" i="58" a="1"/>
  <c r="BA13" i="58" s="1"/>
  <c r="BB13" i="58" a="1"/>
  <c r="BB13" i="58" s="1"/>
  <c r="BC13" i="58" a="1"/>
  <c r="BC13" i="58" s="1"/>
  <c r="BD13" i="58" a="1"/>
  <c r="BD13" i="58" s="1"/>
  <c r="BE13" i="58" a="1"/>
  <c r="BE13" i="58" s="1"/>
  <c r="BF13" i="58" a="1"/>
  <c r="BF13" i="58" s="1"/>
  <c r="BG13" i="58" a="1"/>
  <c r="BG13" i="58" s="1"/>
  <c r="BH13" i="58" a="1"/>
  <c r="BH13" i="58" s="1"/>
  <c r="BI13" i="58" a="1"/>
  <c r="BI13" i="58" s="1"/>
  <c r="BJ13" i="58" a="1"/>
  <c r="BJ13" i="58" s="1"/>
  <c r="BK13" i="58" a="1"/>
  <c r="BK13" i="58" s="1"/>
  <c r="BL13" i="58" a="1"/>
  <c r="BL13" i="58" s="1"/>
  <c r="BM13" i="58" a="1"/>
  <c r="BM13" i="58" s="1"/>
  <c r="BN13" i="58" a="1"/>
  <c r="BN13" i="58" s="1"/>
  <c r="BO13" i="58" a="1"/>
  <c r="BO13" i="58" s="1"/>
  <c r="BP13" i="58" a="1"/>
  <c r="BP13" i="58" s="1"/>
  <c r="BQ13" i="58" a="1"/>
  <c r="BQ13" i="58" s="1"/>
  <c r="BR13" i="58" a="1"/>
  <c r="BR13" i="58" s="1"/>
  <c r="BS13" i="58" a="1"/>
  <c r="BS13" i="58" s="1"/>
  <c r="BT13" i="58" a="1"/>
  <c r="BT13" i="58" s="1"/>
  <c r="BU13" i="58" a="1"/>
  <c r="BU13" i="58" s="1"/>
  <c r="BV13" i="58" a="1"/>
  <c r="BV13" i="58" s="1"/>
  <c r="BW13" i="58" a="1"/>
  <c r="BW13" i="58" s="1"/>
  <c r="BX13" i="58" a="1"/>
  <c r="BX13" i="58" s="1"/>
  <c r="BY13" i="58" a="1"/>
  <c r="BY13" i="58" s="1"/>
  <c r="BZ13" i="58" a="1"/>
  <c r="BZ13" i="58" s="1"/>
  <c r="CA13" i="58" a="1"/>
  <c r="CA13" i="58" s="1"/>
  <c r="CB13" i="58" a="1"/>
  <c r="CB13" i="58" s="1"/>
  <c r="CC13" i="58" a="1"/>
  <c r="CC13" i="58" s="1"/>
  <c r="CD13" i="58" a="1"/>
  <c r="CD13" i="58" s="1"/>
  <c r="CE13" i="58" a="1"/>
  <c r="CE13" i="58" s="1"/>
  <c r="CF13" i="58" a="1"/>
  <c r="CF13" i="58" s="1"/>
  <c r="CG13" i="58" a="1"/>
  <c r="CG13" i="58" s="1"/>
  <c r="CH13" i="58" a="1"/>
  <c r="CH13" i="58" s="1"/>
  <c r="CI13" i="58" a="1"/>
  <c r="CI13" i="58" s="1"/>
  <c r="CJ13" i="58" a="1"/>
  <c r="CJ13" i="58" s="1"/>
  <c r="CK13" i="58" a="1"/>
  <c r="CK13" i="58" s="1"/>
  <c r="CL13" i="58" a="1"/>
  <c r="CL13" i="58" s="1"/>
  <c r="CM13" i="58" a="1"/>
  <c r="CM13" i="58" s="1"/>
  <c r="CN13" i="58" a="1"/>
  <c r="CN13" i="58" s="1"/>
  <c r="CO13" i="58" a="1"/>
  <c r="CO13" i="58" s="1"/>
  <c r="CP13" i="58" a="1"/>
  <c r="CP13" i="58" s="1"/>
  <c r="CQ13" i="58" a="1"/>
  <c r="CQ13" i="58" s="1"/>
  <c r="CR13" i="58" a="1"/>
  <c r="CR13" i="58" s="1"/>
  <c r="CS13" i="58" a="1"/>
  <c r="CS13" i="58" s="1"/>
  <c r="CT13" i="58" a="1"/>
  <c r="CT13" i="58" s="1"/>
  <c r="CU13" i="58" a="1"/>
  <c r="CU13" i="58" s="1"/>
  <c r="CV13" i="58" a="1"/>
  <c r="CV13" i="58" s="1"/>
  <c r="CW13" i="58" a="1"/>
  <c r="CW13" i="58" s="1"/>
  <c r="B13" i="58" a="1"/>
  <c r="B13" i="58" s="1"/>
  <c r="C13" i="58" a="1"/>
  <c r="C13" i="58" s="1"/>
  <c r="D13" i="58" a="1"/>
  <c r="D13" i="58" s="1"/>
  <c r="E13" i="58" a="1"/>
  <c r="E13" i="58" s="1"/>
  <c r="F13" i="58" a="1"/>
  <c r="F13" i="58" s="1"/>
  <c r="G13" i="58" a="1"/>
  <c r="G13" i="58" s="1"/>
  <c r="H13" i="58" a="1"/>
  <c r="H13" i="58" s="1"/>
  <c r="I13" i="58" a="1"/>
  <c r="I13" i="58" s="1"/>
  <c r="J13" i="58" a="1"/>
  <c r="J13" i="58" s="1"/>
  <c r="K13" i="58" a="1"/>
  <c r="K13" i="58" s="1"/>
  <c r="L13" i="58" a="1"/>
  <c r="L13" i="58" s="1"/>
  <c r="M13" i="58" a="1"/>
  <c r="M13" i="58" s="1"/>
  <c r="N13" i="58" a="1"/>
  <c r="N13" i="58" s="1"/>
  <c r="O13" i="58" a="1"/>
  <c r="O13" i="58" s="1"/>
  <c r="P13" i="58" a="1"/>
  <c r="P13" i="58" s="1"/>
  <c r="Q13" i="58" a="1"/>
  <c r="Q13" i="58" s="1"/>
  <c r="R13" i="58" a="1"/>
  <c r="R13" i="58" s="1"/>
  <c r="S13" i="58" a="1"/>
  <c r="S13" i="58" s="1"/>
  <c r="T13" i="58" a="1"/>
  <c r="T13" i="58" s="1"/>
  <c r="U13" i="58" a="1"/>
  <c r="U13" i="58" s="1"/>
  <c r="V13" i="58" a="1"/>
  <c r="V13" i="58" s="1"/>
  <c r="W13" i="58" a="1"/>
  <c r="W13" i="58" s="1"/>
  <c r="X13" i="58" a="1"/>
  <c r="X13" i="58" s="1"/>
  <c r="Y13" i="58" a="1"/>
  <c r="Y13" i="58" s="1"/>
  <c r="Z13" i="58" a="1"/>
  <c r="Z13" i="58" s="1"/>
  <c r="AA13" i="58" a="1"/>
  <c r="AA13" i="58" s="1"/>
  <c r="AB13" i="58" a="1"/>
  <c r="AB13" i="58" s="1"/>
  <c r="AC13" i="58" a="1"/>
  <c r="AC13" i="58" s="1"/>
  <c r="AD13" i="58" a="1"/>
  <c r="AD13" i="58" s="1"/>
  <c r="AE13" i="58" a="1"/>
  <c r="AE13" i="58" s="1"/>
  <c r="AF13" i="58" a="1"/>
  <c r="AF13" i="58" s="1"/>
  <c r="AG13" i="58" a="1"/>
  <c r="AG13" i="58" s="1"/>
  <c r="AH13" i="58" a="1"/>
  <c r="AH13" i="58" s="1"/>
  <c r="AI13" i="58" a="1"/>
  <c r="AI13" i="58" s="1"/>
  <c r="AJ13" i="58" a="1"/>
  <c r="AJ13" i="58" s="1"/>
  <c r="AK13" i="58" a="1"/>
  <c r="AK13" i="58" s="1"/>
  <c r="AL13" i="58" a="1"/>
  <c r="AL13" i="58" s="1"/>
  <c r="AM13" i="58" a="1"/>
  <c r="AM13" i="58" s="1"/>
  <c r="AN13" i="58" a="1"/>
  <c r="AN13" i="58" s="1"/>
  <c r="AO13" i="58" a="1"/>
  <c r="AO13" i="58" s="1"/>
  <c r="AP13" i="58" a="1"/>
  <c r="AP13" i="58" s="1"/>
  <c r="AQ13" i="58" a="1"/>
  <c r="AQ13" i="58" s="1"/>
  <c r="AR13" i="58" a="1"/>
  <c r="AR13" i="58" s="1"/>
  <c r="AS13" i="58" a="1"/>
  <c r="AS13" i="58" s="1"/>
  <c r="AT13" i="58" a="1"/>
  <c r="AT13" i="58" s="1"/>
  <c r="AU13" i="58" a="1"/>
  <c r="AU13" i="58" s="1"/>
  <c r="AV13" i="58" a="1"/>
  <c r="AV13" i="58" s="1"/>
  <c r="AW13" i="58" a="1"/>
  <c r="AW13" i="58" s="1"/>
  <c r="AX13" i="58" a="1"/>
  <c r="AX13" i="58" s="1"/>
  <c r="AY13" i="58" a="1"/>
  <c r="AY13" i="58" s="1"/>
  <c r="EV12" i="58" a="1"/>
  <c r="EV12" i="58" s="1"/>
  <c r="EW12" i="58" a="1"/>
  <c r="EW12" i="58" s="1"/>
  <c r="EX12" i="58" a="1"/>
  <c r="EX12" i="58" s="1"/>
  <c r="EY12" i="58" a="1"/>
  <c r="EY12" i="58" s="1"/>
  <c r="EZ12" i="58" a="1"/>
  <c r="EZ12" i="58" s="1"/>
  <c r="FA12" i="58" a="1"/>
  <c r="FA12" i="58" s="1"/>
  <c r="FB12" i="58" a="1"/>
  <c r="FB12" i="58" s="1"/>
  <c r="FC12" i="58" a="1"/>
  <c r="FC12" i="58" s="1"/>
  <c r="FD12" i="58" a="1"/>
  <c r="FD12" i="58" s="1"/>
  <c r="FE12" i="58" a="1"/>
  <c r="FE12" i="58" s="1"/>
  <c r="FF12" i="58" a="1"/>
  <c r="FF12" i="58" s="1"/>
  <c r="FG12" i="58" a="1"/>
  <c r="FG12" i="58" s="1"/>
  <c r="FH12" i="58" a="1"/>
  <c r="FH12" i="58" s="1"/>
  <c r="FI12" i="58" a="1"/>
  <c r="FI12" i="58" s="1"/>
  <c r="FJ12" i="58" a="1"/>
  <c r="FJ12" i="58" s="1"/>
  <c r="FK12" i="58" a="1"/>
  <c r="FK12" i="58" s="1"/>
  <c r="FL12" i="58" a="1"/>
  <c r="FL12" i="58" s="1"/>
  <c r="FM12" i="58" a="1"/>
  <c r="FM12" i="58" s="1"/>
  <c r="FN12" i="58" a="1"/>
  <c r="FN12" i="58" s="1"/>
  <c r="FO12" i="58" a="1"/>
  <c r="FO12" i="58" s="1"/>
  <c r="FP12" i="58" a="1"/>
  <c r="FP12" i="58" s="1"/>
  <c r="FQ12" i="58" a="1"/>
  <c r="FQ12" i="58" s="1"/>
  <c r="FR12" i="58" a="1"/>
  <c r="FR12" i="58" s="1"/>
  <c r="FS12" i="58" a="1"/>
  <c r="FS12" i="58" s="1"/>
  <c r="FT12" i="58" a="1"/>
  <c r="FT12" i="58" s="1"/>
  <c r="FU12" i="58" a="1"/>
  <c r="FU12" i="58" s="1"/>
  <c r="FV12" i="58" a="1"/>
  <c r="FV12" i="58" s="1"/>
  <c r="FW12" i="58" a="1"/>
  <c r="FW12" i="58" s="1"/>
  <c r="FX12" i="58" a="1"/>
  <c r="FX12" i="58" s="1"/>
  <c r="FY12" i="58" a="1"/>
  <c r="FY12" i="58" s="1"/>
  <c r="FZ12" i="58" a="1"/>
  <c r="FZ12" i="58" s="1"/>
  <c r="GA12" i="58" a="1"/>
  <c r="GA12" i="58" s="1"/>
  <c r="GB12" i="58" a="1"/>
  <c r="GB12" i="58" s="1"/>
  <c r="GC12" i="58" a="1"/>
  <c r="GC12" i="58" s="1"/>
  <c r="GD12" i="58" a="1"/>
  <c r="GD12" i="58" s="1"/>
  <c r="GE12" i="58" a="1"/>
  <c r="GE12" i="58" s="1"/>
  <c r="GF12" i="58" a="1"/>
  <c r="GF12" i="58" s="1"/>
  <c r="GG12" i="58" a="1"/>
  <c r="GG12" i="58" s="1"/>
  <c r="GH12" i="58" a="1"/>
  <c r="GH12" i="58" s="1"/>
  <c r="GI12" i="58" a="1"/>
  <c r="GI12" i="58" s="1"/>
  <c r="CX12" i="58" a="1"/>
  <c r="CX12" i="58" s="1"/>
  <c r="CY12" i="58" a="1"/>
  <c r="CY12" i="58" s="1"/>
  <c r="CZ12" i="58" a="1"/>
  <c r="CZ12" i="58" s="1"/>
  <c r="DA12" i="58" a="1"/>
  <c r="DA12" i="58" s="1"/>
  <c r="DB12" i="58" a="1"/>
  <c r="DB12" i="58" s="1"/>
  <c r="DC12" i="58" a="1"/>
  <c r="DC12" i="58" s="1"/>
  <c r="DD12" i="58" a="1"/>
  <c r="DD12" i="58" s="1"/>
  <c r="DE12" i="58" a="1"/>
  <c r="DE12" i="58" s="1"/>
  <c r="DF12" i="58" a="1"/>
  <c r="DF12" i="58" s="1"/>
  <c r="DG12" i="58" a="1"/>
  <c r="DG12" i="58" s="1"/>
  <c r="DH12" i="58" a="1"/>
  <c r="DH12" i="58" s="1"/>
  <c r="DI12" i="58" a="1"/>
  <c r="DI12" i="58" s="1"/>
  <c r="DJ12" i="58" a="1"/>
  <c r="DJ12" i="58" s="1"/>
  <c r="DK12" i="58" a="1"/>
  <c r="DK12" i="58" s="1"/>
  <c r="DL12" i="58" a="1"/>
  <c r="DL12" i="58" s="1"/>
  <c r="DM12" i="58" a="1"/>
  <c r="DM12" i="58" s="1"/>
  <c r="DN12" i="58" a="1"/>
  <c r="DN12" i="58" s="1"/>
  <c r="DO12" i="58" a="1"/>
  <c r="DO12" i="58" s="1"/>
  <c r="DP12" i="58" a="1"/>
  <c r="DP12" i="58" s="1"/>
  <c r="DQ12" i="58" a="1"/>
  <c r="DQ12" i="58" s="1"/>
  <c r="DR12" i="58" a="1"/>
  <c r="DR12" i="58" s="1"/>
  <c r="DS12" i="58" a="1"/>
  <c r="DS12" i="58" s="1"/>
  <c r="DT12" i="58" a="1"/>
  <c r="DT12" i="58" s="1"/>
  <c r="DU12" i="58" a="1"/>
  <c r="DU12" i="58" s="1"/>
  <c r="DV12" i="58" a="1"/>
  <c r="DV12" i="58" s="1"/>
  <c r="DW12" i="58" a="1"/>
  <c r="DW12" i="58" s="1"/>
  <c r="DX12" i="58" a="1"/>
  <c r="DX12" i="58" s="1"/>
  <c r="DY12" i="58" a="1"/>
  <c r="DY12" i="58" s="1"/>
  <c r="DZ12" i="58" a="1"/>
  <c r="DZ12" i="58" s="1"/>
  <c r="EA12" i="58" a="1"/>
  <c r="EA12" i="58" s="1"/>
  <c r="EB12" i="58" a="1"/>
  <c r="EB12" i="58" s="1"/>
  <c r="EC12" i="58" a="1"/>
  <c r="EC12" i="58" s="1"/>
  <c r="ED12" i="58" a="1"/>
  <c r="ED12" i="58" s="1"/>
  <c r="EE12" i="58" a="1"/>
  <c r="EE12" i="58" s="1"/>
  <c r="EF12" i="58" a="1"/>
  <c r="EF12" i="58" s="1"/>
  <c r="EG12" i="58" a="1"/>
  <c r="EG12" i="58" s="1"/>
  <c r="EH12" i="58" a="1"/>
  <c r="EH12" i="58" s="1"/>
  <c r="EI12" i="58" a="1"/>
  <c r="EI12" i="58" s="1"/>
  <c r="EJ12" i="58" a="1"/>
  <c r="EJ12" i="58" s="1"/>
  <c r="EK12" i="58" a="1"/>
  <c r="EK12" i="58" s="1"/>
  <c r="EL12" i="58" a="1"/>
  <c r="EL12" i="58" s="1"/>
  <c r="EM12" i="58" a="1"/>
  <c r="EM12" i="58" s="1"/>
  <c r="EN12" i="58" a="1"/>
  <c r="EN12" i="58" s="1"/>
  <c r="EO12" i="58" a="1"/>
  <c r="EO12" i="58" s="1"/>
  <c r="EP12" i="58" a="1"/>
  <c r="EP12" i="58" s="1"/>
  <c r="EQ12" i="58" a="1"/>
  <c r="EQ12" i="58" s="1"/>
  <c r="ER12" i="58" a="1"/>
  <c r="ER12" i="58" s="1"/>
  <c r="ES12" i="58" a="1"/>
  <c r="ES12" i="58" s="1"/>
  <c r="ET12" i="58" a="1"/>
  <c r="ET12" i="58" s="1"/>
  <c r="EU12" i="58" a="1"/>
  <c r="EU12" i="58" s="1"/>
  <c r="AZ12" i="58" a="1"/>
  <c r="AZ12" i="58" s="1"/>
  <c r="BA12" i="58" a="1"/>
  <c r="BA12" i="58" s="1"/>
  <c r="BB12" i="58" a="1"/>
  <c r="BB12" i="58" s="1"/>
  <c r="BC12" i="58" a="1"/>
  <c r="BC12" i="58" s="1"/>
  <c r="BD12" i="58" a="1"/>
  <c r="BD12" i="58" s="1"/>
  <c r="BE12" i="58" a="1"/>
  <c r="BE12" i="58" s="1"/>
  <c r="BF12" i="58" a="1"/>
  <c r="BF12" i="58" s="1"/>
  <c r="BG12" i="58" a="1"/>
  <c r="BG12" i="58" s="1"/>
  <c r="BH12" i="58" a="1"/>
  <c r="BH12" i="58" s="1"/>
  <c r="BI12" i="58" a="1"/>
  <c r="BI12" i="58" s="1"/>
  <c r="BJ12" i="58" a="1"/>
  <c r="BJ12" i="58" s="1"/>
  <c r="BK12" i="58" a="1"/>
  <c r="BK12" i="58" s="1"/>
  <c r="BL12" i="58" a="1"/>
  <c r="BL12" i="58" s="1"/>
  <c r="BM12" i="58" a="1"/>
  <c r="BM12" i="58" s="1"/>
  <c r="BN12" i="58" a="1"/>
  <c r="BN12" i="58" s="1"/>
  <c r="BO12" i="58" a="1"/>
  <c r="BO12" i="58" s="1"/>
  <c r="BP12" i="58" a="1"/>
  <c r="BP12" i="58" s="1"/>
  <c r="BQ12" i="58" a="1"/>
  <c r="BQ12" i="58" s="1"/>
  <c r="BR12" i="58" a="1"/>
  <c r="BR12" i="58" s="1"/>
  <c r="BS12" i="58" a="1"/>
  <c r="BS12" i="58" s="1"/>
  <c r="BT12" i="58" a="1"/>
  <c r="BT12" i="58" s="1"/>
  <c r="BU12" i="58" a="1"/>
  <c r="BU12" i="58" s="1"/>
  <c r="BV12" i="58" a="1"/>
  <c r="BV12" i="58" s="1"/>
  <c r="BW12" i="58" a="1"/>
  <c r="BW12" i="58" s="1"/>
  <c r="BX12" i="58" a="1"/>
  <c r="BX12" i="58" s="1"/>
  <c r="BY12" i="58" a="1"/>
  <c r="BY12" i="58" s="1"/>
  <c r="BZ12" i="58" a="1"/>
  <c r="BZ12" i="58" s="1"/>
  <c r="CA12" i="58" a="1"/>
  <c r="CA12" i="58" s="1"/>
  <c r="CB12" i="58" a="1"/>
  <c r="CB12" i="58" s="1"/>
  <c r="CC12" i="58" a="1"/>
  <c r="CC12" i="58" s="1"/>
  <c r="CD12" i="58" a="1"/>
  <c r="CD12" i="58" s="1"/>
  <c r="CE12" i="58" a="1"/>
  <c r="CE12" i="58" s="1"/>
  <c r="CF12" i="58" a="1"/>
  <c r="CF12" i="58" s="1"/>
  <c r="CG12" i="58" a="1"/>
  <c r="CG12" i="58" s="1"/>
  <c r="CH12" i="58" a="1"/>
  <c r="CH12" i="58" s="1"/>
  <c r="CI12" i="58" a="1"/>
  <c r="CI12" i="58" s="1"/>
  <c r="CJ12" i="58" a="1"/>
  <c r="CJ12" i="58" s="1"/>
  <c r="CK12" i="58" a="1"/>
  <c r="CK12" i="58" s="1"/>
  <c r="CL12" i="58" a="1"/>
  <c r="CL12" i="58" s="1"/>
  <c r="CM12" i="58" a="1"/>
  <c r="CM12" i="58" s="1"/>
  <c r="CN12" i="58" a="1"/>
  <c r="CN12" i="58" s="1"/>
  <c r="CO12" i="58" a="1"/>
  <c r="CO12" i="58" s="1"/>
  <c r="CP12" i="58" a="1"/>
  <c r="CP12" i="58" s="1"/>
  <c r="CQ12" i="58" a="1"/>
  <c r="CQ12" i="58" s="1"/>
  <c r="CR12" i="58" a="1"/>
  <c r="CR12" i="58" s="1"/>
  <c r="CS12" i="58" a="1"/>
  <c r="CS12" i="58" s="1"/>
  <c r="CT12" i="58" a="1"/>
  <c r="CT12" i="58" s="1"/>
  <c r="CU12" i="58" a="1"/>
  <c r="CU12" i="58" s="1"/>
  <c r="CV12" i="58" a="1"/>
  <c r="CV12" i="58" s="1"/>
  <c r="CW12" i="58" a="1"/>
  <c r="CW12" i="58" s="1"/>
  <c r="B12" i="58" a="1"/>
  <c r="B12" i="58" s="1"/>
  <c r="C12" i="58" a="1"/>
  <c r="C12" i="58" s="1"/>
  <c r="D12" i="58" a="1"/>
  <c r="D12" i="58" s="1"/>
  <c r="E12" i="58" a="1"/>
  <c r="E12" i="58" s="1"/>
  <c r="F12" i="58" a="1"/>
  <c r="F12" i="58" s="1"/>
  <c r="G12" i="58" a="1"/>
  <c r="G12" i="58" s="1"/>
  <c r="H12" i="58" a="1"/>
  <c r="H12" i="58" s="1"/>
  <c r="I12" i="58" a="1"/>
  <c r="I12" i="58" s="1"/>
  <c r="J12" i="58" a="1"/>
  <c r="J12" i="58" s="1"/>
  <c r="K12" i="58" a="1"/>
  <c r="K12" i="58" s="1"/>
  <c r="L12" i="58" a="1"/>
  <c r="L12" i="58" s="1"/>
  <c r="M12" i="58" a="1"/>
  <c r="M12" i="58" s="1"/>
  <c r="N12" i="58" a="1"/>
  <c r="N12" i="58" s="1"/>
  <c r="O12" i="58" a="1"/>
  <c r="O12" i="58" s="1"/>
  <c r="P12" i="58" a="1"/>
  <c r="P12" i="58" s="1"/>
  <c r="Q12" i="58" a="1"/>
  <c r="Q12" i="58" s="1"/>
  <c r="R12" i="58" a="1"/>
  <c r="R12" i="58" s="1"/>
  <c r="S12" i="58" a="1"/>
  <c r="S12" i="58" s="1"/>
  <c r="T12" i="58" a="1"/>
  <c r="T12" i="58" s="1"/>
  <c r="U12" i="58" a="1"/>
  <c r="U12" i="58" s="1"/>
  <c r="V12" i="58" a="1"/>
  <c r="V12" i="58" s="1"/>
  <c r="W12" i="58" a="1"/>
  <c r="W12" i="58" s="1"/>
  <c r="X12" i="58" a="1"/>
  <c r="X12" i="58" s="1"/>
  <c r="Y12" i="58" a="1"/>
  <c r="Y12" i="58" s="1"/>
  <c r="Z12" i="58" a="1"/>
  <c r="Z12" i="58" s="1"/>
  <c r="AA12" i="58" a="1"/>
  <c r="AA12" i="58" s="1"/>
  <c r="AB12" i="58" a="1"/>
  <c r="AB12" i="58" s="1"/>
  <c r="AC12" i="58" a="1"/>
  <c r="AC12" i="58" s="1"/>
  <c r="AD12" i="58" a="1"/>
  <c r="AD12" i="58" s="1"/>
  <c r="AE12" i="58" a="1"/>
  <c r="AE12" i="58" s="1"/>
  <c r="AF12" i="58" a="1"/>
  <c r="AF12" i="58" s="1"/>
  <c r="AG12" i="58" a="1"/>
  <c r="AG12" i="58" s="1"/>
  <c r="AH12" i="58" a="1"/>
  <c r="AH12" i="58" s="1"/>
  <c r="AI12" i="58" a="1"/>
  <c r="AI12" i="58" s="1"/>
  <c r="AJ12" i="58" a="1"/>
  <c r="AJ12" i="58" s="1"/>
  <c r="AK12" i="58" a="1"/>
  <c r="AK12" i="58" s="1"/>
  <c r="AL12" i="58" a="1"/>
  <c r="AL12" i="58" s="1"/>
  <c r="AM12" i="58" a="1"/>
  <c r="AM12" i="58" s="1"/>
  <c r="AN12" i="58" a="1"/>
  <c r="AN12" i="58" s="1"/>
  <c r="AO12" i="58" a="1"/>
  <c r="AO12" i="58" s="1"/>
  <c r="AP12" i="58" a="1"/>
  <c r="AP12" i="58" s="1"/>
  <c r="AQ12" i="58" a="1"/>
  <c r="AQ12" i="58" s="1"/>
  <c r="AR12" i="58" a="1"/>
  <c r="AR12" i="58" s="1"/>
  <c r="AS12" i="58" a="1"/>
  <c r="AS12" i="58" s="1"/>
  <c r="AT12" i="58" a="1"/>
  <c r="AT12" i="58" s="1"/>
  <c r="AU12" i="58" a="1"/>
  <c r="AU12" i="58" s="1"/>
  <c r="AV12" i="58" a="1"/>
  <c r="AV12" i="58" s="1"/>
  <c r="AW12" i="58" a="1"/>
  <c r="AW12" i="58" s="1"/>
  <c r="AX12" i="58" a="1"/>
  <c r="AX12" i="58" s="1"/>
  <c r="AY12" i="58" a="1"/>
  <c r="AY12" i="58" s="1"/>
  <c r="EV11" i="58" a="1"/>
  <c r="EV11" i="58" s="1"/>
  <c r="EW11" i="58" a="1"/>
  <c r="EW11" i="58" s="1"/>
  <c r="EX11" i="58" a="1"/>
  <c r="EX11" i="58" s="1"/>
  <c r="EY11" i="58" a="1"/>
  <c r="EY11" i="58" s="1"/>
  <c r="EZ11" i="58" a="1"/>
  <c r="EZ11" i="58" s="1"/>
  <c r="FA11" i="58" a="1"/>
  <c r="FA11" i="58" s="1"/>
  <c r="FB11" i="58" a="1"/>
  <c r="FB11" i="58" s="1"/>
  <c r="FC11" i="58" a="1"/>
  <c r="FC11" i="58" s="1"/>
  <c r="FD11" i="58" a="1"/>
  <c r="FD11" i="58" s="1"/>
  <c r="FE11" i="58" a="1"/>
  <c r="FE11" i="58" s="1"/>
  <c r="FF11" i="58" a="1"/>
  <c r="FF11" i="58" s="1"/>
  <c r="FG11" i="58" a="1"/>
  <c r="FG11" i="58" s="1"/>
  <c r="FH11" i="58" a="1"/>
  <c r="FH11" i="58" s="1"/>
  <c r="FI11" i="58" a="1"/>
  <c r="FI11" i="58" s="1"/>
  <c r="FJ11" i="58" a="1"/>
  <c r="FJ11" i="58" s="1"/>
  <c r="FK11" i="58" a="1"/>
  <c r="FK11" i="58" s="1"/>
  <c r="FL11" i="58" a="1"/>
  <c r="FL11" i="58"/>
  <c r="FM11" i="58" a="1"/>
  <c r="FM11" i="58" s="1"/>
  <c r="FN11" i="58" a="1"/>
  <c r="FN11" i="58" s="1"/>
  <c r="FO11" i="58" a="1"/>
  <c r="FO11" i="58" s="1"/>
  <c r="FP11" i="58" a="1"/>
  <c r="FP11" i="58" s="1"/>
  <c r="FQ11" i="58" a="1"/>
  <c r="FQ11" i="58" s="1"/>
  <c r="FR11" i="58" a="1"/>
  <c r="FR11" i="58" s="1"/>
  <c r="FS11" i="58" a="1"/>
  <c r="FS11" i="58" s="1"/>
  <c r="FT11" i="58" a="1"/>
  <c r="FT11" i="58" s="1"/>
  <c r="FU11" i="58" a="1"/>
  <c r="FU11" i="58" s="1"/>
  <c r="FV11" i="58" a="1"/>
  <c r="FV11" i="58" s="1"/>
  <c r="FW11" i="58" a="1"/>
  <c r="FW11" i="58" s="1"/>
  <c r="FX11" i="58" a="1"/>
  <c r="FX11" i="58" s="1"/>
  <c r="FY11" i="58" a="1"/>
  <c r="FY11" i="58" s="1"/>
  <c r="FZ11" i="58" a="1"/>
  <c r="FZ11" i="58" s="1"/>
  <c r="GA11" i="58" a="1"/>
  <c r="GA11" i="58" s="1"/>
  <c r="GB11" i="58" a="1"/>
  <c r="GB11" i="58" s="1"/>
  <c r="GC11" i="58" a="1"/>
  <c r="GC11" i="58" s="1"/>
  <c r="GD11" i="58" a="1"/>
  <c r="GD11" i="58" s="1"/>
  <c r="GE11" i="58" a="1"/>
  <c r="GE11" i="58" s="1"/>
  <c r="GF11" i="58" a="1"/>
  <c r="GF11" i="58" s="1"/>
  <c r="GG11" i="58" a="1"/>
  <c r="GG11" i="58" s="1"/>
  <c r="GH11" i="58" a="1"/>
  <c r="GH11" i="58" s="1"/>
  <c r="GI11" i="58" a="1"/>
  <c r="GI11" i="58" s="1"/>
  <c r="CX11" i="58" a="1"/>
  <c r="CX11" i="58" s="1"/>
  <c r="CY11" i="58" a="1"/>
  <c r="CY11" i="58" s="1"/>
  <c r="CZ11" i="58" a="1"/>
  <c r="CZ11" i="58" s="1"/>
  <c r="DA11" i="58" a="1"/>
  <c r="DA11" i="58" s="1"/>
  <c r="DB11" i="58" a="1"/>
  <c r="DB11" i="58" s="1"/>
  <c r="DC11" i="58" a="1"/>
  <c r="DC11" i="58" s="1"/>
  <c r="DD11" i="58" a="1"/>
  <c r="DD11" i="58" s="1"/>
  <c r="DE11" i="58" a="1"/>
  <c r="DE11" i="58" s="1"/>
  <c r="DF11" i="58" a="1"/>
  <c r="DF11" i="58" s="1"/>
  <c r="DG11" i="58" a="1"/>
  <c r="DG11" i="58" s="1"/>
  <c r="DH11" i="58" a="1"/>
  <c r="DH11" i="58" s="1"/>
  <c r="DI11" i="58" a="1"/>
  <c r="DI11" i="58" s="1"/>
  <c r="DJ11" i="58" a="1"/>
  <c r="DJ11" i="58" s="1"/>
  <c r="DK11" i="58" a="1"/>
  <c r="DK11" i="58" s="1"/>
  <c r="DL11" i="58" a="1"/>
  <c r="DL11" i="58" s="1"/>
  <c r="DM11" i="58" a="1"/>
  <c r="DM11" i="58" s="1"/>
  <c r="DN11" i="58" a="1"/>
  <c r="DN11" i="58" s="1"/>
  <c r="DO11" i="58" a="1"/>
  <c r="DO11" i="58" s="1"/>
  <c r="DP11" i="58" a="1"/>
  <c r="DP11" i="58" s="1"/>
  <c r="DQ11" i="58" a="1"/>
  <c r="DQ11" i="58" s="1"/>
  <c r="DR11" i="58" a="1"/>
  <c r="DR11" i="58" s="1"/>
  <c r="DS11" i="58" a="1"/>
  <c r="DS11" i="58" s="1"/>
  <c r="DT11" i="58" a="1"/>
  <c r="DT11" i="58" s="1"/>
  <c r="DU11" i="58" a="1"/>
  <c r="DU11" i="58" s="1"/>
  <c r="DV11" i="58" a="1"/>
  <c r="DV11" i="58" s="1"/>
  <c r="DW11" i="58" a="1"/>
  <c r="DW11" i="58" s="1"/>
  <c r="DX11" i="58" a="1"/>
  <c r="DX11" i="58" s="1"/>
  <c r="DY11" i="58" a="1"/>
  <c r="DY11" i="58" s="1"/>
  <c r="DZ11" i="58" a="1"/>
  <c r="DZ11" i="58" s="1"/>
  <c r="EA11" i="58" a="1"/>
  <c r="EA11" i="58" s="1"/>
  <c r="EB11" i="58" a="1"/>
  <c r="EB11" i="58" s="1"/>
  <c r="EC11" i="58" a="1"/>
  <c r="EC11" i="58" s="1"/>
  <c r="ED11" i="58" a="1"/>
  <c r="ED11" i="58" s="1"/>
  <c r="EE11" i="58" a="1"/>
  <c r="EE11" i="58" s="1"/>
  <c r="EF11" i="58" a="1"/>
  <c r="EF11" i="58" s="1"/>
  <c r="EG11" i="58" a="1"/>
  <c r="EG11" i="58" s="1"/>
  <c r="EH11" i="58" a="1"/>
  <c r="EH11" i="58" s="1"/>
  <c r="EI11" i="58" a="1"/>
  <c r="EI11" i="58" s="1"/>
  <c r="EJ11" i="58" a="1"/>
  <c r="EJ11" i="58" s="1"/>
  <c r="EK11" i="58" a="1"/>
  <c r="EK11" i="58" s="1"/>
  <c r="EL11" i="58" a="1"/>
  <c r="EL11" i="58" s="1"/>
  <c r="EM11" i="58" a="1"/>
  <c r="EM11" i="58" s="1"/>
  <c r="EN11" i="58" a="1"/>
  <c r="EN11" i="58" s="1"/>
  <c r="EO11" i="58" a="1"/>
  <c r="EO11" i="58" s="1"/>
  <c r="EP11" i="58" a="1"/>
  <c r="EP11" i="58" s="1"/>
  <c r="EQ11" i="58" a="1"/>
  <c r="EQ11" i="58" s="1"/>
  <c r="ER11" i="58" a="1"/>
  <c r="ER11" i="58" s="1"/>
  <c r="ES11" i="58" a="1"/>
  <c r="ES11" i="58" s="1"/>
  <c r="ET11" i="58" a="1"/>
  <c r="ET11" i="58" s="1"/>
  <c r="EU11" i="58" a="1"/>
  <c r="EU11" i="58" s="1"/>
  <c r="AZ11" i="58" a="1"/>
  <c r="AZ11" i="58" s="1"/>
  <c r="BA11" i="58" a="1"/>
  <c r="BA11" i="58" s="1"/>
  <c r="BB11" i="58" a="1"/>
  <c r="BB11" i="58" s="1"/>
  <c r="BC11" i="58" a="1"/>
  <c r="BC11" i="58" s="1"/>
  <c r="BD11" i="58" a="1"/>
  <c r="BD11" i="58" s="1"/>
  <c r="BE11" i="58" a="1"/>
  <c r="BE11" i="58" s="1"/>
  <c r="BF11" i="58" a="1"/>
  <c r="BF11" i="58" s="1"/>
  <c r="BG11" i="58" a="1"/>
  <c r="BG11" i="58" s="1"/>
  <c r="BH11" i="58" a="1"/>
  <c r="BH11" i="58" s="1"/>
  <c r="BI11" i="58" a="1"/>
  <c r="BI11" i="58" s="1"/>
  <c r="BJ11" i="58" a="1"/>
  <c r="BJ11" i="58" s="1"/>
  <c r="BK11" i="58" a="1"/>
  <c r="BK11" i="58" s="1"/>
  <c r="BL11" i="58" a="1"/>
  <c r="BL11" i="58" s="1"/>
  <c r="BM11" i="58" a="1"/>
  <c r="BM11" i="58" s="1"/>
  <c r="BN11" i="58" a="1"/>
  <c r="BN11" i="58" s="1"/>
  <c r="BO11" i="58" a="1"/>
  <c r="BO11" i="58" s="1"/>
  <c r="BP11" i="58" a="1"/>
  <c r="BP11" i="58" s="1"/>
  <c r="BQ11" i="58" a="1"/>
  <c r="BQ11" i="58" s="1"/>
  <c r="BR11" i="58" a="1"/>
  <c r="BR11" i="58" s="1"/>
  <c r="BS11" i="58" a="1"/>
  <c r="BS11" i="58" s="1"/>
  <c r="BT11" i="58" a="1"/>
  <c r="BT11" i="58" s="1"/>
  <c r="BU11" i="58" a="1"/>
  <c r="BU11" i="58" s="1"/>
  <c r="BV11" i="58" a="1"/>
  <c r="BV11" i="58" s="1"/>
  <c r="BW11" i="58" a="1"/>
  <c r="BW11" i="58" s="1"/>
  <c r="BX11" i="58" a="1"/>
  <c r="BX11" i="58" s="1"/>
  <c r="BY11" i="58" a="1"/>
  <c r="BY11" i="58" s="1"/>
  <c r="BZ11" i="58" a="1"/>
  <c r="BZ11" i="58" s="1"/>
  <c r="CA11" i="58" a="1"/>
  <c r="CA11" i="58" s="1"/>
  <c r="CB11" i="58" a="1"/>
  <c r="CB11" i="58" s="1"/>
  <c r="CC11" i="58" a="1"/>
  <c r="CC11" i="58" s="1"/>
  <c r="CD11" i="58" a="1"/>
  <c r="CD11" i="58" s="1"/>
  <c r="CE11" i="58" a="1"/>
  <c r="CE11" i="58" s="1"/>
  <c r="CF11" i="58" a="1"/>
  <c r="CF11" i="58" s="1"/>
  <c r="CG11" i="58" a="1"/>
  <c r="CG11" i="58" s="1"/>
  <c r="CH11" i="58" a="1"/>
  <c r="CH11" i="58" s="1"/>
  <c r="CI11" i="58" a="1"/>
  <c r="CI11" i="58" s="1"/>
  <c r="CJ11" i="58" a="1"/>
  <c r="CJ11" i="58" s="1"/>
  <c r="CK11" i="58" a="1"/>
  <c r="CK11" i="58" s="1"/>
  <c r="CL11" i="58" a="1"/>
  <c r="CL11" i="58" s="1"/>
  <c r="CM11" i="58" a="1"/>
  <c r="CM11" i="58" s="1"/>
  <c r="CN11" i="58" a="1"/>
  <c r="CN11" i="58" s="1"/>
  <c r="CO11" i="58" a="1"/>
  <c r="CO11" i="58" s="1"/>
  <c r="CP11" i="58" a="1"/>
  <c r="CP11" i="58" s="1"/>
  <c r="CQ11" i="58" a="1"/>
  <c r="CQ11" i="58" s="1"/>
  <c r="CR11" i="58" a="1"/>
  <c r="CR11" i="58" s="1"/>
  <c r="CS11" i="58" a="1"/>
  <c r="CS11" i="58" s="1"/>
  <c r="CT11" i="58" a="1"/>
  <c r="CT11" i="58" s="1"/>
  <c r="CU11" i="58" a="1"/>
  <c r="CU11" i="58" s="1"/>
  <c r="CV11" i="58" a="1"/>
  <c r="CV11" i="58" s="1"/>
  <c r="CW11" i="58" a="1"/>
  <c r="CW11" i="58" s="1"/>
  <c r="B11" i="58" a="1"/>
  <c r="B11" i="58" s="1"/>
  <c r="C11" i="58" a="1"/>
  <c r="C11" i="58" s="1"/>
  <c r="D11" i="58" a="1"/>
  <c r="D11" i="58" s="1"/>
  <c r="E11" i="58" a="1"/>
  <c r="E11" i="58" s="1"/>
  <c r="F11" i="58" a="1"/>
  <c r="F11" i="58" s="1"/>
  <c r="G11" i="58" a="1"/>
  <c r="G11" i="58" s="1"/>
  <c r="H11" i="58" a="1"/>
  <c r="H11" i="58" s="1"/>
  <c r="I11" i="58" a="1"/>
  <c r="I11" i="58" s="1"/>
  <c r="J11" i="58" a="1"/>
  <c r="J11" i="58" s="1"/>
  <c r="K11" i="58" a="1"/>
  <c r="K11" i="58" s="1"/>
  <c r="L11" i="58" a="1"/>
  <c r="L11" i="58" s="1"/>
  <c r="M11" i="58" a="1"/>
  <c r="M11" i="58" s="1"/>
  <c r="N11" i="58" a="1"/>
  <c r="N11" i="58" s="1"/>
  <c r="O11" i="58" a="1"/>
  <c r="O11" i="58" s="1"/>
  <c r="P11" i="58" a="1"/>
  <c r="P11" i="58" s="1"/>
  <c r="Q11" i="58" a="1"/>
  <c r="Q11" i="58" s="1"/>
  <c r="R11" i="58" a="1"/>
  <c r="R11" i="58" s="1"/>
  <c r="S11" i="58" a="1"/>
  <c r="S11" i="58" s="1"/>
  <c r="T11" i="58" a="1"/>
  <c r="T11" i="58" s="1"/>
  <c r="U11" i="58" a="1"/>
  <c r="U11" i="58" s="1"/>
  <c r="V11" i="58" a="1"/>
  <c r="V11" i="58" s="1"/>
  <c r="W11" i="58" a="1"/>
  <c r="W11" i="58" s="1"/>
  <c r="X11" i="58" a="1"/>
  <c r="X11" i="58" s="1"/>
  <c r="Y11" i="58" a="1"/>
  <c r="Y11" i="58" s="1"/>
  <c r="Z11" i="58" a="1"/>
  <c r="Z11" i="58" s="1"/>
  <c r="AA11" i="58" a="1"/>
  <c r="AA11" i="58" s="1"/>
  <c r="AB11" i="58" a="1"/>
  <c r="AB11" i="58" s="1"/>
  <c r="AC11" i="58" a="1"/>
  <c r="AC11" i="58" s="1"/>
  <c r="AD11" i="58" a="1"/>
  <c r="AD11" i="58" s="1"/>
  <c r="AE11" i="58" a="1"/>
  <c r="AE11" i="58" s="1"/>
  <c r="AF11" i="58" a="1"/>
  <c r="AF11" i="58" s="1"/>
  <c r="AG11" i="58" a="1"/>
  <c r="AG11" i="58" s="1"/>
  <c r="AH11" i="58" a="1"/>
  <c r="AH11" i="58" s="1"/>
  <c r="AI11" i="58" a="1"/>
  <c r="AI11" i="58" s="1"/>
  <c r="AJ11" i="58" a="1"/>
  <c r="AJ11" i="58" s="1"/>
  <c r="AK11" i="58" a="1"/>
  <c r="AK11" i="58" s="1"/>
  <c r="AL11" i="58" a="1"/>
  <c r="AL11" i="58" s="1"/>
  <c r="AM11" i="58" a="1"/>
  <c r="AM11" i="58" s="1"/>
  <c r="AN11" i="58" a="1"/>
  <c r="AN11" i="58" s="1"/>
  <c r="AO11" i="58" a="1"/>
  <c r="AO11" i="58" s="1"/>
  <c r="AP11" i="58" a="1"/>
  <c r="AP11" i="58" s="1"/>
  <c r="AQ11" i="58" a="1"/>
  <c r="AQ11" i="58" s="1"/>
  <c r="AR11" i="58" a="1"/>
  <c r="AR11" i="58" s="1"/>
  <c r="AS11" i="58" a="1"/>
  <c r="AS11" i="58" s="1"/>
  <c r="AT11" i="58" a="1"/>
  <c r="AT11" i="58" s="1"/>
  <c r="AU11" i="58" a="1"/>
  <c r="AU11" i="58" s="1"/>
  <c r="AV11" i="58" a="1"/>
  <c r="AV11" i="58" s="1"/>
  <c r="AW11" i="58" a="1"/>
  <c r="AW11" i="58" s="1"/>
  <c r="AX11" i="58" a="1"/>
  <c r="AX11" i="58" s="1"/>
  <c r="AY11" i="58" a="1"/>
  <c r="AY11" i="58" s="1"/>
  <c r="EV10" i="58" a="1"/>
  <c r="EV10" i="58" s="1"/>
  <c r="EW10" i="58" a="1"/>
  <c r="EW10" i="58" s="1"/>
  <c r="EX10" i="58" a="1"/>
  <c r="EX10" i="58" s="1"/>
  <c r="EY10" i="58" a="1"/>
  <c r="EY10" i="58" s="1"/>
  <c r="EZ10" i="58" a="1"/>
  <c r="EZ10" i="58" s="1"/>
  <c r="FA10" i="58" a="1"/>
  <c r="FA10" i="58" s="1"/>
  <c r="FB10" i="58" a="1"/>
  <c r="FB10" i="58" s="1"/>
  <c r="FC10" i="58" a="1"/>
  <c r="FC10" i="58" s="1"/>
  <c r="FD10" i="58" a="1"/>
  <c r="FD10" i="58" s="1"/>
  <c r="FE10" i="58" a="1"/>
  <c r="FE10" i="58" s="1"/>
  <c r="FF10" i="58" a="1"/>
  <c r="FF10" i="58" s="1"/>
  <c r="FG10" i="58" a="1"/>
  <c r="FG10" i="58" s="1"/>
  <c r="FH10" i="58" a="1"/>
  <c r="FH10" i="58" s="1"/>
  <c r="FI10" i="58" a="1"/>
  <c r="FI10" i="58" s="1"/>
  <c r="FJ10" i="58" a="1"/>
  <c r="FJ10" i="58" s="1"/>
  <c r="FK10" i="58" a="1"/>
  <c r="FK10" i="58" s="1"/>
  <c r="FL10" i="58" a="1"/>
  <c r="FL10" i="58" s="1"/>
  <c r="FM10" i="58" a="1"/>
  <c r="FM10" i="58" s="1"/>
  <c r="FN10" i="58" a="1"/>
  <c r="FN10" i="58" s="1"/>
  <c r="FO10" i="58" a="1"/>
  <c r="FO10" i="58" s="1"/>
  <c r="FP10" i="58" a="1"/>
  <c r="FP10" i="58" s="1"/>
  <c r="FQ10" i="58" a="1"/>
  <c r="FQ10" i="58" s="1"/>
  <c r="FR10" i="58" a="1"/>
  <c r="FR10" i="58" s="1"/>
  <c r="FS10" i="58" a="1"/>
  <c r="FS10" i="58" s="1"/>
  <c r="FT10" i="58" a="1"/>
  <c r="FT10" i="58" s="1"/>
  <c r="FU10" i="58" a="1"/>
  <c r="FU10" i="58" s="1"/>
  <c r="FV10" i="58" a="1"/>
  <c r="FV10" i="58" s="1"/>
  <c r="FW10" i="58" a="1"/>
  <c r="FW10" i="58" s="1"/>
  <c r="FX10" i="58" a="1"/>
  <c r="FX10" i="58" s="1"/>
  <c r="FY10" i="58" a="1"/>
  <c r="FY10" i="58" s="1"/>
  <c r="FZ10" i="58" a="1"/>
  <c r="FZ10" i="58" s="1"/>
  <c r="GA10" i="58" a="1"/>
  <c r="GA10" i="58" s="1"/>
  <c r="GB10" i="58" a="1"/>
  <c r="GB10" i="58" s="1"/>
  <c r="GC10" i="58" a="1"/>
  <c r="GC10" i="58" s="1"/>
  <c r="GD10" i="58" a="1"/>
  <c r="GD10" i="58" s="1"/>
  <c r="GE10" i="58" a="1"/>
  <c r="GE10" i="58" s="1"/>
  <c r="GF10" i="58" a="1"/>
  <c r="GF10" i="58" s="1"/>
  <c r="GG10" i="58" a="1"/>
  <c r="GG10" i="58" s="1"/>
  <c r="GH10" i="58" a="1"/>
  <c r="GH10" i="58" s="1"/>
  <c r="GI10" i="58" a="1"/>
  <c r="GI10" i="58" s="1"/>
  <c r="CX10" i="58" a="1"/>
  <c r="CX10" i="58" s="1"/>
  <c r="CY10" i="58" a="1"/>
  <c r="CY10" i="58" s="1"/>
  <c r="CZ10" i="58" a="1"/>
  <c r="CZ10" i="58" s="1"/>
  <c r="DA10" i="58" a="1"/>
  <c r="DA10" i="58" s="1"/>
  <c r="DB10" i="58" a="1"/>
  <c r="DB10" i="58" s="1"/>
  <c r="DC10" i="58" a="1"/>
  <c r="DC10" i="58" s="1"/>
  <c r="DD10" i="58" a="1"/>
  <c r="DD10" i="58" s="1"/>
  <c r="DE10" i="58" a="1"/>
  <c r="DE10" i="58" s="1"/>
  <c r="DF10" i="58" a="1"/>
  <c r="DF10" i="58" s="1"/>
  <c r="DG10" i="58" a="1"/>
  <c r="DG10" i="58" s="1"/>
  <c r="DH10" i="58" a="1"/>
  <c r="DH10" i="58" s="1"/>
  <c r="DI10" i="58" a="1"/>
  <c r="DI10" i="58" s="1"/>
  <c r="DJ10" i="58" a="1"/>
  <c r="DJ10" i="58" s="1"/>
  <c r="DK10" i="58" a="1"/>
  <c r="DK10" i="58" s="1"/>
  <c r="DL10" i="58" a="1"/>
  <c r="DL10" i="58"/>
  <c r="DM10" i="58" a="1"/>
  <c r="DM10" i="58" s="1"/>
  <c r="DN10" i="58" a="1"/>
  <c r="DN10" i="58" s="1"/>
  <c r="DO10" i="58" a="1"/>
  <c r="DO10" i="58" s="1"/>
  <c r="DP10" i="58" a="1"/>
  <c r="DP10" i="58" s="1"/>
  <c r="DQ10" i="58" a="1"/>
  <c r="DQ10" i="58" s="1"/>
  <c r="DR10" i="58" a="1"/>
  <c r="DR10" i="58" s="1"/>
  <c r="DS10" i="58" a="1"/>
  <c r="DS10" i="58" s="1"/>
  <c r="DT10" i="58" a="1"/>
  <c r="DT10" i="58" s="1"/>
  <c r="DU10" i="58" a="1"/>
  <c r="DU10" i="58" s="1"/>
  <c r="DV10" i="58" a="1"/>
  <c r="DV10" i="58" s="1"/>
  <c r="DW10" i="58" a="1"/>
  <c r="DW10" i="58" s="1"/>
  <c r="DX10" i="58" a="1"/>
  <c r="DX10" i="58" s="1"/>
  <c r="DY10" i="58" a="1"/>
  <c r="DY10" i="58" s="1"/>
  <c r="DZ10" i="58" a="1"/>
  <c r="DZ10" i="58" s="1"/>
  <c r="EA10" i="58" a="1"/>
  <c r="EA10" i="58" s="1"/>
  <c r="EB10" i="58" a="1"/>
  <c r="EB10" i="58" s="1"/>
  <c r="EC10" i="58" a="1"/>
  <c r="EC10" i="58" s="1"/>
  <c r="ED10" i="58" a="1"/>
  <c r="ED10" i="58" s="1"/>
  <c r="EE10" i="58" a="1"/>
  <c r="EE10" i="58" s="1"/>
  <c r="EF10" i="58" a="1"/>
  <c r="EF10" i="58" s="1"/>
  <c r="EG10" i="58" a="1"/>
  <c r="EG10" i="58" s="1"/>
  <c r="EH10" i="58" a="1"/>
  <c r="EH10" i="58" s="1"/>
  <c r="EI10" i="58" a="1"/>
  <c r="EI10" i="58" s="1"/>
  <c r="EJ10" i="58" a="1"/>
  <c r="EJ10" i="58" s="1"/>
  <c r="EK10" i="58" a="1"/>
  <c r="EK10" i="58" s="1"/>
  <c r="EL10" i="58" a="1"/>
  <c r="EL10" i="58" s="1"/>
  <c r="EM10" i="58" a="1"/>
  <c r="EM10" i="58" s="1"/>
  <c r="EN10" i="58" a="1"/>
  <c r="EN10" i="58" s="1"/>
  <c r="EO10" i="58" a="1"/>
  <c r="EO10" i="58" s="1"/>
  <c r="EP10" i="58" a="1"/>
  <c r="EP10" i="58" s="1"/>
  <c r="EQ10" i="58" a="1"/>
  <c r="EQ10" i="58" s="1"/>
  <c r="ER10" i="58" a="1"/>
  <c r="ER10" i="58" s="1"/>
  <c r="ES10" i="58" a="1"/>
  <c r="ES10" i="58" s="1"/>
  <c r="ET10" i="58" a="1"/>
  <c r="ET10" i="58" s="1"/>
  <c r="EU10" i="58" a="1"/>
  <c r="EU10" i="58" s="1"/>
  <c r="AZ10" i="58" a="1"/>
  <c r="AZ10" i="58" s="1"/>
  <c r="BA10" i="58" a="1"/>
  <c r="BA10" i="58" s="1"/>
  <c r="BB10" i="58" a="1"/>
  <c r="BB10" i="58" s="1"/>
  <c r="BC10" i="58" a="1"/>
  <c r="BC10" i="58" s="1"/>
  <c r="BD10" i="58" a="1"/>
  <c r="BD10" i="58" s="1"/>
  <c r="BE10" i="58" a="1"/>
  <c r="BE10" i="58"/>
  <c r="BF10" i="58" a="1"/>
  <c r="BF10" i="58" s="1"/>
  <c r="BG10" i="58" a="1"/>
  <c r="BG10" i="58" s="1"/>
  <c r="BH10" i="58" a="1"/>
  <c r="BH10" i="58" s="1"/>
  <c r="BI10" i="58" a="1"/>
  <c r="BI10" i="58" s="1"/>
  <c r="BJ10" i="58" a="1"/>
  <c r="BJ10" i="58" s="1"/>
  <c r="BK10" i="58" a="1"/>
  <c r="BK10" i="58" s="1"/>
  <c r="BL10" i="58" a="1"/>
  <c r="BL10" i="58" s="1"/>
  <c r="BM10" i="58" a="1"/>
  <c r="BM10" i="58" s="1"/>
  <c r="BN10" i="58" a="1"/>
  <c r="BN10" i="58" s="1"/>
  <c r="BO10" i="58" a="1"/>
  <c r="BO10" i="58" s="1"/>
  <c r="BP10" i="58" a="1"/>
  <c r="BP10" i="58" s="1"/>
  <c r="BQ10" i="58" a="1"/>
  <c r="BQ10" i="58" s="1"/>
  <c r="BR10" i="58" a="1"/>
  <c r="BR10" i="58" s="1"/>
  <c r="BS10" i="58" a="1"/>
  <c r="BS10" i="58" s="1"/>
  <c r="BT10" i="58" a="1"/>
  <c r="BT10" i="58" s="1"/>
  <c r="BU10" i="58" a="1"/>
  <c r="BU10" i="58"/>
  <c r="BV10" i="58" a="1"/>
  <c r="BV10" i="58" s="1"/>
  <c r="BW10" i="58" a="1"/>
  <c r="BW10" i="58" s="1"/>
  <c r="BX10" i="58" a="1"/>
  <c r="BX10" i="58" s="1"/>
  <c r="BY10" i="58" a="1"/>
  <c r="BY10" i="58" s="1"/>
  <c r="BZ10" i="58" a="1"/>
  <c r="BZ10" i="58" s="1"/>
  <c r="CA10" i="58" a="1"/>
  <c r="CA10" i="58" s="1"/>
  <c r="CB10" i="58" a="1"/>
  <c r="CB10" i="58" s="1"/>
  <c r="CC10" i="58" a="1"/>
  <c r="CC10" i="58" s="1"/>
  <c r="CD10" i="58" a="1"/>
  <c r="CD10" i="58" s="1"/>
  <c r="CE10" i="58" a="1"/>
  <c r="CE10" i="58" s="1"/>
  <c r="CF10" i="58" a="1"/>
  <c r="CF10" i="58" s="1"/>
  <c r="CG10" i="58" a="1"/>
  <c r="CG10" i="58" s="1"/>
  <c r="CH10" i="58" a="1"/>
  <c r="CH10" i="58" s="1"/>
  <c r="CI10" i="58" a="1"/>
  <c r="CI10" i="58" s="1"/>
  <c r="CJ10" i="58" a="1"/>
  <c r="CJ10" i="58" s="1"/>
  <c r="CK10" i="58" a="1"/>
  <c r="CK10" i="58" s="1"/>
  <c r="CL10" i="58" a="1"/>
  <c r="CL10" i="58" s="1"/>
  <c r="CM10" i="58" a="1"/>
  <c r="CM10" i="58" s="1"/>
  <c r="CN10" i="58" a="1"/>
  <c r="CN10" i="58" s="1"/>
  <c r="CO10" i="58" a="1"/>
  <c r="CO10" i="58" s="1"/>
  <c r="CP10" i="58" a="1"/>
  <c r="CP10" i="58" s="1"/>
  <c r="CQ10" i="58" a="1"/>
  <c r="CQ10" i="58" s="1"/>
  <c r="CR10" i="58" a="1"/>
  <c r="CR10" i="58" s="1"/>
  <c r="CS10" i="58" a="1"/>
  <c r="CS10" i="58" s="1"/>
  <c r="CT10" i="58" a="1"/>
  <c r="CT10" i="58" s="1"/>
  <c r="CU10" i="58" a="1"/>
  <c r="CU10" i="58" s="1"/>
  <c r="CV10" i="58" a="1"/>
  <c r="CV10" i="58" s="1"/>
  <c r="CW10" i="58" a="1"/>
  <c r="CW10" i="58" s="1"/>
  <c r="B10" i="58" a="1"/>
  <c r="B10" i="58" s="1"/>
  <c r="C10" i="58" a="1"/>
  <c r="C10" i="58" s="1"/>
  <c r="D10" i="58" a="1"/>
  <c r="D10" i="58" s="1"/>
  <c r="E10" i="58" a="1"/>
  <c r="E10" i="58" s="1"/>
  <c r="F10" i="58" a="1"/>
  <c r="F10" i="58" s="1"/>
  <c r="G10" i="58" a="1"/>
  <c r="G10" i="58" s="1"/>
  <c r="H10" i="58" a="1"/>
  <c r="H10" i="58" s="1"/>
  <c r="I10" i="58" a="1"/>
  <c r="I10" i="58" s="1"/>
  <c r="J10" i="58" a="1"/>
  <c r="J10" i="58" s="1"/>
  <c r="K10" i="58" a="1"/>
  <c r="K10" i="58" s="1"/>
  <c r="L10" i="58" a="1"/>
  <c r="L10" i="58" s="1"/>
  <c r="M10" i="58" a="1"/>
  <c r="M10" i="58" s="1"/>
  <c r="N10" i="58" a="1"/>
  <c r="N10" i="58" s="1"/>
  <c r="O10" i="58" a="1"/>
  <c r="O10" i="58" s="1"/>
  <c r="P10" i="58" a="1"/>
  <c r="P10" i="58" s="1"/>
  <c r="Q10" i="58" a="1"/>
  <c r="Q10" i="58" s="1"/>
  <c r="R10" i="58" a="1"/>
  <c r="R10" i="58" s="1"/>
  <c r="S10" i="58" a="1"/>
  <c r="S10" i="58" s="1"/>
  <c r="T10" i="58" a="1"/>
  <c r="T10" i="58" s="1"/>
  <c r="U10" i="58" a="1"/>
  <c r="U10" i="58" s="1"/>
  <c r="V10" i="58" a="1"/>
  <c r="V10" i="58" s="1"/>
  <c r="W10" i="58" a="1"/>
  <c r="W10" i="58" s="1"/>
  <c r="X10" i="58" a="1"/>
  <c r="X10" i="58" s="1"/>
  <c r="Y10" i="58" a="1"/>
  <c r="Y10" i="58" s="1"/>
  <c r="Z10" i="58" a="1"/>
  <c r="Z10" i="58" s="1"/>
  <c r="AA10" i="58" a="1"/>
  <c r="AA10" i="58" s="1"/>
  <c r="AB10" i="58" a="1"/>
  <c r="AB10" i="58" s="1"/>
  <c r="AC10" i="58" a="1"/>
  <c r="AC10" i="58" s="1"/>
  <c r="AD10" i="58" a="1"/>
  <c r="AD10" i="58" s="1"/>
  <c r="AE10" i="58" a="1"/>
  <c r="AE10" i="58" s="1"/>
  <c r="AF10" i="58" a="1"/>
  <c r="AF10" i="58" s="1"/>
  <c r="AG10" i="58" a="1"/>
  <c r="AG10" i="58" s="1"/>
  <c r="AH10" i="58" a="1"/>
  <c r="AH10" i="58" s="1"/>
  <c r="AI10" i="58" a="1"/>
  <c r="AI10" i="58" s="1"/>
  <c r="AJ10" i="58" a="1"/>
  <c r="AJ10" i="58" s="1"/>
  <c r="AK10" i="58" a="1"/>
  <c r="AK10" i="58" s="1"/>
  <c r="AL10" i="58" a="1"/>
  <c r="AL10" i="58" s="1"/>
  <c r="AM10" i="58" a="1"/>
  <c r="AM10" i="58" s="1"/>
  <c r="AN10" i="58" a="1"/>
  <c r="AN10" i="58" s="1"/>
  <c r="AO10" i="58" a="1"/>
  <c r="AO10" i="58" s="1"/>
  <c r="AP10" i="58" a="1"/>
  <c r="AP10" i="58" s="1"/>
  <c r="AQ10" i="58" a="1"/>
  <c r="AQ10" i="58" s="1"/>
  <c r="AR10" i="58" a="1"/>
  <c r="AR10" i="58" s="1"/>
  <c r="AS10" i="58" a="1"/>
  <c r="AS10" i="58" s="1"/>
  <c r="AT10" i="58" a="1"/>
  <c r="AT10" i="58" s="1"/>
  <c r="AU10" i="58" a="1"/>
  <c r="AU10" i="58" s="1"/>
  <c r="AV10" i="58" a="1"/>
  <c r="AV10" i="58" s="1"/>
  <c r="AW10" i="58" a="1"/>
  <c r="AW10" i="58" s="1"/>
  <c r="AX10" i="58" a="1"/>
  <c r="AX10" i="58" s="1"/>
  <c r="AY10" i="58" a="1"/>
  <c r="AY10" i="58" s="1"/>
  <c r="EV9" i="58" a="1"/>
  <c r="EV9" i="58" s="1"/>
  <c r="EW9" i="58" a="1"/>
  <c r="EW9" i="58" s="1"/>
  <c r="EX9" i="58" a="1"/>
  <c r="EX9" i="58" s="1"/>
  <c r="EY9" i="58" a="1"/>
  <c r="EY9" i="58" s="1"/>
  <c r="EZ9" i="58" a="1"/>
  <c r="EZ9" i="58" s="1"/>
  <c r="FA9" i="58" a="1"/>
  <c r="FA9" i="58" s="1"/>
  <c r="FB9" i="58" a="1"/>
  <c r="FB9" i="58" s="1"/>
  <c r="FC9" i="58" a="1"/>
  <c r="FC9" i="58" s="1"/>
  <c r="FD9" i="58" a="1"/>
  <c r="FD9" i="58" s="1"/>
  <c r="FE9" i="58" a="1"/>
  <c r="FE9" i="58" s="1"/>
  <c r="FF9" i="58" a="1"/>
  <c r="FF9" i="58" s="1"/>
  <c r="FG9" i="58" a="1"/>
  <c r="FG9" i="58" s="1"/>
  <c r="FH9" i="58" a="1"/>
  <c r="FH9" i="58" s="1"/>
  <c r="FI9" i="58" a="1"/>
  <c r="FI9" i="58" s="1"/>
  <c r="FJ9" i="58" a="1"/>
  <c r="FJ9" i="58" s="1"/>
  <c r="FK9" i="58" a="1"/>
  <c r="FK9" i="58" s="1"/>
  <c r="FL9" i="58" a="1"/>
  <c r="FL9" i="58" s="1"/>
  <c r="FM9" i="58" a="1"/>
  <c r="FM9" i="58" s="1"/>
  <c r="FN9" i="58" a="1"/>
  <c r="FN9" i="58" s="1"/>
  <c r="FO9" i="58" a="1"/>
  <c r="FO9" i="58" s="1"/>
  <c r="FP9" i="58" a="1"/>
  <c r="FP9" i="58" s="1"/>
  <c r="FQ9" i="58" a="1"/>
  <c r="FQ9" i="58" s="1"/>
  <c r="FR9" i="58" a="1"/>
  <c r="FR9" i="58" s="1"/>
  <c r="FS9" i="58" a="1"/>
  <c r="FS9" i="58" s="1"/>
  <c r="FT9" i="58" a="1"/>
  <c r="FT9" i="58" s="1"/>
  <c r="FU9" i="58" a="1"/>
  <c r="FU9" i="58" s="1"/>
  <c r="FV9" i="58" a="1"/>
  <c r="FV9" i="58" s="1"/>
  <c r="FW9" i="58" a="1"/>
  <c r="FW9" i="58" s="1"/>
  <c r="FX9" i="58" a="1"/>
  <c r="FX9" i="58" s="1"/>
  <c r="FY9" i="58" a="1"/>
  <c r="FY9" i="58" s="1"/>
  <c r="FZ9" i="58" a="1"/>
  <c r="FZ9" i="58" s="1"/>
  <c r="GA9" i="58" a="1"/>
  <c r="GA9" i="58" s="1"/>
  <c r="GB9" i="58" a="1"/>
  <c r="GB9" i="58" s="1"/>
  <c r="GC9" i="58" a="1"/>
  <c r="GC9" i="58" s="1"/>
  <c r="GD9" i="58" a="1"/>
  <c r="GD9" i="58" s="1"/>
  <c r="GE9" i="58" a="1"/>
  <c r="GE9" i="58" s="1"/>
  <c r="GF9" i="58" a="1"/>
  <c r="GF9" i="58" s="1"/>
  <c r="GG9" i="58" a="1"/>
  <c r="GG9" i="58" s="1"/>
  <c r="GH9" i="58" a="1"/>
  <c r="GH9" i="58" s="1"/>
  <c r="GI9" i="58" a="1"/>
  <c r="GI9" i="58" s="1"/>
  <c r="CX9" i="58" a="1"/>
  <c r="CX9" i="58" s="1"/>
  <c r="CY9" i="58" a="1"/>
  <c r="CY9" i="58" s="1"/>
  <c r="CZ9" i="58" a="1"/>
  <c r="CZ9" i="58" s="1"/>
  <c r="DA9" i="58" a="1"/>
  <c r="DA9" i="58" s="1"/>
  <c r="DB9" i="58" a="1"/>
  <c r="DB9" i="58" s="1"/>
  <c r="DC9" i="58" a="1"/>
  <c r="DC9" i="58" s="1"/>
  <c r="DD9" i="58" a="1"/>
  <c r="DD9" i="58" s="1"/>
  <c r="DE9" i="58" a="1"/>
  <c r="DE9" i="58" s="1"/>
  <c r="DF9" i="58" a="1"/>
  <c r="DF9" i="58" s="1"/>
  <c r="DG9" i="58" a="1"/>
  <c r="DG9" i="58" s="1"/>
  <c r="DH9" i="58" a="1"/>
  <c r="DH9" i="58" s="1"/>
  <c r="DI9" i="58" a="1"/>
  <c r="DI9" i="58" s="1"/>
  <c r="DJ9" i="58" a="1"/>
  <c r="DJ9" i="58" s="1"/>
  <c r="DK9" i="58" a="1"/>
  <c r="DK9" i="58" s="1"/>
  <c r="DL9" i="58" a="1"/>
  <c r="DL9" i="58" s="1"/>
  <c r="DM9" i="58" a="1"/>
  <c r="DM9" i="58" s="1"/>
  <c r="DN9" i="58" a="1"/>
  <c r="DN9" i="58" s="1"/>
  <c r="DO9" i="58" a="1"/>
  <c r="DO9" i="58" s="1"/>
  <c r="DP9" i="58" a="1"/>
  <c r="DP9" i="58" s="1"/>
  <c r="DQ9" i="58" a="1"/>
  <c r="DQ9" i="58" s="1"/>
  <c r="DR9" i="58" a="1"/>
  <c r="DR9" i="58" s="1"/>
  <c r="DS9" i="58" a="1"/>
  <c r="DS9" i="58" s="1"/>
  <c r="DT9" i="58" a="1"/>
  <c r="DT9" i="58" s="1"/>
  <c r="DU9" i="58" a="1"/>
  <c r="DU9" i="58"/>
  <c r="DV9" i="58" a="1"/>
  <c r="DV9" i="58" s="1"/>
  <c r="DW9" i="58" a="1"/>
  <c r="DW9" i="58" s="1"/>
  <c r="DX9" i="58" a="1"/>
  <c r="DX9" i="58" s="1"/>
  <c r="DY9" i="58" a="1"/>
  <c r="DY9" i="58" s="1"/>
  <c r="DZ9" i="58" a="1"/>
  <c r="DZ9" i="58" s="1"/>
  <c r="EA9" i="58" a="1"/>
  <c r="EA9" i="58" s="1"/>
  <c r="EB9" i="58" a="1"/>
  <c r="EB9" i="58" s="1"/>
  <c r="EC9" i="58" a="1"/>
  <c r="EC9" i="58" s="1"/>
  <c r="ED9" i="58" a="1"/>
  <c r="ED9" i="58" s="1"/>
  <c r="EE9" i="58" a="1"/>
  <c r="EE9" i="58" s="1"/>
  <c r="EF9" i="58" a="1"/>
  <c r="EF9" i="58" s="1"/>
  <c r="EG9" i="58" a="1"/>
  <c r="EG9" i="58" s="1"/>
  <c r="EH9" i="58" a="1"/>
  <c r="EH9" i="58" s="1"/>
  <c r="EI9" i="58" a="1"/>
  <c r="EI9" i="58" s="1"/>
  <c r="EJ9" i="58" a="1"/>
  <c r="EJ9" i="58" s="1"/>
  <c r="EK9" i="58" a="1"/>
  <c r="EK9" i="58" s="1"/>
  <c r="EL9" i="58" a="1"/>
  <c r="EL9" i="58" s="1"/>
  <c r="EM9" i="58" a="1"/>
  <c r="EM9" i="58" s="1"/>
  <c r="EN9" i="58" a="1"/>
  <c r="EN9" i="58" s="1"/>
  <c r="EO9" i="58" a="1"/>
  <c r="EO9" i="58" s="1"/>
  <c r="EP9" i="58" a="1"/>
  <c r="EP9" i="58" s="1"/>
  <c r="EQ9" i="58" a="1"/>
  <c r="EQ9" i="58" s="1"/>
  <c r="ER9" i="58" a="1"/>
  <c r="ER9" i="58" s="1"/>
  <c r="ES9" i="58" a="1"/>
  <c r="ES9" i="58"/>
  <c r="ET9" i="58" a="1"/>
  <c r="ET9" i="58" s="1"/>
  <c r="EU9" i="58" a="1"/>
  <c r="EU9" i="58" s="1"/>
  <c r="AZ9" i="58" a="1"/>
  <c r="AZ9" i="58" s="1"/>
  <c r="BA9" i="58" a="1"/>
  <c r="BA9" i="58" s="1"/>
  <c r="BB9" i="58" a="1"/>
  <c r="BB9" i="58" s="1"/>
  <c r="BC9" i="58" a="1"/>
  <c r="BC9" i="58" s="1"/>
  <c r="BD9" i="58" a="1"/>
  <c r="BD9" i="58" s="1"/>
  <c r="BE9" i="58" a="1"/>
  <c r="BE9" i="58" s="1"/>
  <c r="BF9" i="58" a="1"/>
  <c r="BF9" i="58" s="1"/>
  <c r="BG9" i="58" a="1"/>
  <c r="BG9" i="58" s="1"/>
  <c r="BH9" i="58" a="1"/>
  <c r="BH9" i="58" s="1"/>
  <c r="BI9" i="58" a="1"/>
  <c r="BI9" i="58" s="1"/>
  <c r="BJ9" i="58" a="1"/>
  <c r="BJ9" i="58" s="1"/>
  <c r="BK9" i="58" a="1"/>
  <c r="BK9" i="58" s="1"/>
  <c r="BL9" i="58" a="1"/>
  <c r="BL9" i="58" s="1"/>
  <c r="BM9" i="58" a="1"/>
  <c r="BM9" i="58" s="1"/>
  <c r="BN9" i="58" a="1"/>
  <c r="BN9" i="58" s="1"/>
  <c r="BO9" i="58" a="1"/>
  <c r="BO9" i="58" s="1"/>
  <c r="BP9" i="58" a="1"/>
  <c r="BP9" i="58" s="1"/>
  <c r="BQ9" i="58" a="1"/>
  <c r="BQ9" i="58" s="1"/>
  <c r="BR9" i="58" a="1"/>
  <c r="BR9" i="58" s="1"/>
  <c r="BS9" i="58" a="1"/>
  <c r="BS9" i="58" s="1"/>
  <c r="BT9" i="58" a="1"/>
  <c r="BT9" i="58" s="1"/>
  <c r="BU9" i="58" a="1"/>
  <c r="BU9" i="58" s="1"/>
  <c r="BV9" i="58" a="1"/>
  <c r="BV9" i="58" s="1"/>
  <c r="BW9" i="58" a="1"/>
  <c r="BW9" i="58" s="1"/>
  <c r="BX9" i="58" a="1"/>
  <c r="BX9" i="58" s="1"/>
  <c r="BY9" i="58" a="1"/>
  <c r="BY9" i="58" s="1"/>
  <c r="BZ9" i="58" a="1"/>
  <c r="BZ9" i="58" s="1"/>
  <c r="CA9" i="58" a="1"/>
  <c r="CA9" i="58" s="1"/>
  <c r="CB9" i="58" a="1"/>
  <c r="CB9" i="58" s="1"/>
  <c r="CC9" i="58" a="1"/>
  <c r="CC9" i="58" s="1"/>
  <c r="CD9" i="58" a="1"/>
  <c r="CD9" i="58" s="1"/>
  <c r="CE9" i="58" a="1"/>
  <c r="CE9" i="58" s="1"/>
  <c r="CF9" i="58" a="1"/>
  <c r="CF9" i="58" s="1"/>
  <c r="CG9" i="58" a="1"/>
  <c r="CG9" i="58" s="1"/>
  <c r="CH9" i="58" a="1"/>
  <c r="CH9" i="58" s="1"/>
  <c r="CI9" i="58" a="1"/>
  <c r="CI9" i="58" s="1"/>
  <c r="CJ9" i="58" a="1"/>
  <c r="CJ9" i="58" s="1"/>
  <c r="CK9" i="58" a="1"/>
  <c r="CK9" i="58" s="1"/>
  <c r="CL9" i="58" a="1"/>
  <c r="CL9" i="58" s="1"/>
  <c r="CM9" i="58" a="1"/>
  <c r="CM9" i="58" s="1"/>
  <c r="CN9" i="58" a="1"/>
  <c r="CN9" i="58" s="1"/>
  <c r="CO9" i="58" a="1"/>
  <c r="CO9" i="58" s="1"/>
  <c r="CP9" i="58" a="1"/>
  <c r="CP9" i="58" s="1"/>
  <c r="CQ9" i="58" a="1"/>
  <c r="CQ9" i="58" s="1"/>
  <c r="CR9" i="58" a="1"/>
  <c r="CR9" i="58" s="1"/>
  <c r="CS9" i="58" a="1"/>
  <c r="CS9" i="58" s="1"/>
  <c r="CT9" i="58" a="1"/>
  <c r="CT9" i="58" s="1"/>
  <c r="CU9" i="58" a="1"/>
  <c r="CU9" i="58" s="1"/>
  <c r="CV9" i="58" a="1"/>
  <c r="CV9" i="58" s="1"/>
  <c r="CW9" i="58" a="1"/>
  <c r="CW9" i="58" s="1"/>
  <c r="B9" i="58" a="1"/>
  <c r="B9" i="58" s="1"/>
  <c r="C9" i="58" a="1"/>
  <c r="C9" i="58" s="1"/>
  <c r="D9" i="58" a="1"/>
  <c r="D9" i="58" s="1"/>
  <c r="E9" i="58" a="1"/>
  <c r="E9" i="58" s="1"/>
  <c r="F9" i="58" a="1"/>
  <c r="F9" i="58" s="1"/>
  <c r="G9" i="58" a="1"/>
  <c r="G9" i="58" s="1"/>
  <c r="H9" i="58" a="1"/>
  <c r="H9" i="58" s="1"/>
  <c r="I9" i="58" a="1"/>
  <c r="I9" i="58" s="1"/>
  <c r="J9" i="58" a="1"/>
  <c r="J9" i="58" s="1"/>
  <c r="K9" i="58" a="1"/>
  <c r="K9" i="58" s="1"/>
  <c r="L9" i="58" a="1"/>
  <c r="L9" i="58" s="1"/>
  <c r="M9" i="58" a="1"/>
  <c r="M9" i="58" s="1"/>
  <c r="N9" i="58" a="1"/>
  <c r="N9" i="58" s="1"/>
  <c r="O9" i="58" a="1"/>
  <c r="O9" i="58" s="1"/>
  <c r="P9" i="58" a="1"/>
  <c r="P9" i="58" s="1"/>
  <c r="Q9" i="58" a="1"/>
  <c r="Q9" i="58" s="1"/>
  <c r="R9" i="58" a="1"/>
  <c r="R9" i="58" s="1"/>
  <c r="S9" i="58" a="1"/>
  <c r="S9" i="58" s="1"/>
  <c r="T9" i="58" a="1"/>
  <c r="T9" i="58" s="1"/>
  <c r="U9" i="58" a="1"/>
  <c r="U9" i="58" s="1"/>
  <c r="V9" i="58" a="1"/>
  <c r="V9" i="58" s="1"/>
  <c r="W9" i="58" a="1"/>
  <c r="W9" i="58" s="1"/>
  <c r="X9" i="58" a="1"/>
  <c r="X9" i="58" s="1"/>
  <c r="Y9" i="58" a="1"/>
  <c r="Y9" i="58" s="1"/>
  <c r="Z9" i="58" a="1"/>
  <c r="Z9" i="58" s="1"/>
  <c r="AA9" i="58" a="1"/>
  <c r="AA9" i="58" s="1"/>
  <c r="AB9" i="58" a="1"/>
  <c r="AB9" i="58" s="1"/>
  <c r="AC9" i="58" a="1"/>
  <c r="AC9" i="58" s="1"/>
  <c r="AD9" i="58" a="1"/>
  <c r="AD9" i="58" s="1"/>
  <c r="AE9" i="58" a="1"/>
  <c r="AE9" i="58"/>
  <c r="AF9" i="58" a="1"/>
  <c r="AF9" i="58" s="1"/>
  <c r="AG9" i="58" a="1"/>
  <c r="AG9" i="58" s="1"/>
  <c r="AH9" i="58" a="1"/>
  <c r="AH9" i="58" s="1"/>
  <c r="AI9" i="58" a="1"/>
  <c r="AI9" i="58" s="1"/>
  <c r="AJ9" i="58" a="1"/>
  <c r="AJ9" i="58" s="1"/>
  <c r="AK9" i="58" a="1"/>
  <c r="AK9" i="58" s="1"/>
  <c r="AL9" i="58" a="1"/>
  <c r="AL9" i="58" s="1"/>
  <c r="AM9" i="58" a="1"/>
  <c r="AM9" i="58" s="1"/>
  <c r="AN9" i="58" a="1"/>
  <c r="AN9" i="58" s="1"/>
  <c r="AO9" i="58" a="1"/>
  <c r="AO9" i="58" s="1"/>
  <c r="AP9" i="58" a="1"/>
  <c r="AP9" i="58" s="1"/>
  <c r="AQ9" i="58" a="1"/>
  <c r="AQ9" i="58" s="1"/>
  <c r="AR9" i="58" a="1"/>
  <c r="AR9" i="58" s="1"/>
  <c r="AS9" i="58" a="1"/>
  <c r="AS9" i="58" s="1"/>
  <c r="AT9" i="58" a="1"/>
  <c r="AT9" i="58" s="1"/>
  <c r="AU9" i="58" a="1"/>
  <c r="AU9" i="58" s="1"/>
  <c r="AV9" i="58" a="1"/>
  <c r="AV9" i="58" s="1"/>
  <c r="AW9" i="58" a="1"/>
  <c r="AW9" i="58" s="1"/>
  <c r="AX9" i="58" a="1"/>
  <c r="AX9" i="58" s="1"/>
  <c r="AY9" i="58" a="1"/>
  <c r="AY9" i="58" s="1"/>
  <c r="EV8" i="58" a="1"/>
  <c r="EV8" i="58" s="1"/>
  <c r="EW8" i="58" a="1"/>
  <c r="EW8" i="58" s="1"/>
  <c r="EX8" i="58" a="1"/>
  <c r="EX8" i="58" s="1"/>
  <c r="EY8" i="58" a="1"/>
  <c r="EY8" i="58" s="1"/>
  <c r="EZ8" i="58" a="1"/>
  <c r="EZ8" i="58" s="1"/>
  <c r="FA8" i="58" a="1"/>
  <c r="FA8" i="58" s="1"/>
  <c r="FB8" i="58" a="1"/>
  <c r="FB8" i="58" s="1"/>
  <c r="FC8" i="58" a="1"/>
  <c r="FC8" i="58" s="1"/>
  <c r="FD8" i="58" a="1"/>
  <c r="FD8" i="58" s="1"/>
  <c r="FE8" i="58" a="1"/>
  <c r="FE8" i="58" s="1"/>
  <c r="FF8" i="58" a="1"/>
  <c r="FF8" i="58" s="1"/>
  <c r="FG8" i="58" a="1"/>
  <c r="FG8" i="58" s="1"/>
  <c r="FH8" i="58" a="1"/>
  <c r="FH8" i="58" s="1"/>
  <c r="FI8" i="58" a="1"/>
  <c r="FI8" i="58" s="1"/>
  <c r="FJ8" i="58" a="1"/>
  <c r="FJ8" i="58" s="1"/>
  <c r="FK8" i="58" a="1"/>
  <c r="FK8" i="58" s="1"/>
  <c r="FL8" i="58" a="1"/>
  <c r="FL8" i="58" s="1"/>
  <c r="FM8" i="58" a="1"/>
  <c r="FM8" i="58" s="1"/>
  <c r="FN8" i="58" a="1"/>
  <c r="FN8" i="58" s="1"/>
  <c r="FO8" i="58" a="1"/>
  <c r="FO8" i="58" s="1"/>
  <c r="FP8" i="58" a="1"/>
  <c r="FP8" i="58" s="1"/>
  <c r="FQ8" i="58" a="1"/>
  <c r="FQ8" i="58" s="1"/>
  <c r="FR8" i="58" a="1"/>
  <c r="FR8" i="58" s="1"/>
  <c r="FS8" i="58" a="1"/>
  <c r="FS8" i="58" s="1"/>
  <c r="FT8" i="58" a="1"/>
  <c r="FT8" i="58" s="1"/>
  <c r="FU8" i="58" a="1"/>
  <c r="FU8" i="58" s="1"/>
  <c r="FV8" i="58" a="1"/>
  <c r="FV8" i="58" s="1"/>
  <c r="FW8" i="58" a="1"/>
  <c r="FW8" i="58" s="1"/>
  <c r="FX8" i="58" a="1"/>
  <c r="FX8" i="58" s="1"/>
  <c r="FY8" i="58" a="1"/>
  <c r="FY8" i="58" s="1"/>
  <c r="FZ8" i="58" a="1"/>
  <c r="FZ8" i="58" s="1"/>
  <c r="GA8" i="58" a="1"/>
  <c r="GA8" i="58" s="1"/>
  <c r="GB8" i="58" a="1"/>
  <c r="GB8" i="58" s="1"/>
  <c r="GC8" i="58" a="1"/>
  <c r="GC8" i="58" s="1"/>
  <c r="GD8" i="58" a="1"/>
  <c r="GD8" i="58" s="1"/>
  <c r="GE8" i="58" a="1"/>
  <c r="GE8" i="58" s="1"/>
  <c r="GF8" i="58" a="1"/>
  <c r="GF8" i="58" s="1"/>
  <c r="GG8" i="58" a="1"/>
  <c r="GG8" i="58" s="1"/>
  <c r="GH8" i="58" a="1"/>
  <c r="GH8" i="58" s="1"/>
  <c r="GI8" i="58" a="1"/>
  <c r="GI8" i="58" s="1"/>
  <c r="CX8" i="58" a="1"/>
  <c r="CX8" i="58" s="1"/>
  <c r="CY8" i="58" a="1"/>
  <c r="CY8" i="58" s="1"/>
  <c r="CZ8" i="58" a="1"/>
  <c r="CZ8" i="58" s="1"/>
  <c r="DA8" i="58" a="1"/>
  <c r="DA8" i="58" s="1"/>
  <c r="DB8" i="58" a="1"/>
  <c r="DB8" i="58" s="1"/>
  <c r="DC8" i="58" a="1"/>
  <c r="DC8" i="58" s="1"/>
  <c r="DD8" i="58" a="1"/>
  <c r="DD8" i="58" s="1"/>
  <c r="DE8" i="58" a="1"/>
  <c r="DE8" i="58" s="1"/>
  <c r="DF8" i="58" a="1"/>
  <c r="DF8" i="58" s="1"/>
  <c r="DG8" i="58" a="1"/>
  <c r="DG8" i="58" s="1"/>
  <c r="DH8" i="58" a="1"/>
  <c r="DH8" i="58" s="1"/>
  <c r="DI8" i="58" a="1"/>
  <c r="DI8" i="58" s="1"/>
  <c r="DJ8" i="58" a="1"/>
  <c r="DJ8" i="58" s="1"/>
  <c r="DK8" i="58" a="1"/>
  <c r="DK8" i="58" s="1"/>
  <c r="DL8" i="58" a="1"/>
  <c r="DL8" i="58" s="1"/>
  <c r="DM8" i="58" a="1"/>
  <c r="DM8" i="58" s="1"/>
  <c r="DN8" i="58" a="1"/>
  <c r="DN8" i="58" s="1"/>
  <c r="DO8" i="58" a="1"/>
  <c r="DO8" i="58" s="1"/>
  <c r="DP8" i="58" a="1"/>
  <c r="DP8" i="58" s="1"/>
  <c r="DQ8" i="58" a="1"/>
  <c r="DQ8" i="58" s="1"/>
  <c r="DR8" i="58" a="1"/>
  <c r="DR8" i="58" s="1"/>
  <c r="DS8" i="58" a="1"/>
  <c r="DS8" i="58" s="1"/>
  <c r="DT8" i="58" a="1"/>
  <c r="DT8" i="58" s="1"/>
  <c r="DU8" i="58" a="1"/>
  <c r="DU8" i="58" s="1"/>
  <c r="DV8" i="58" a="1"/>
  <c r="DV8" i="58" s="1"/>
  <c r="DW8" i="58" a="1"/>
  <c r="DW8" i="58" s="1"/>
  <c r="DX8" i="58" a="1"/>
  <c r="DX8" i="58" s="1"/>
  <c r="DY8" i="58" a="1"/>
  <c r="DY8" i="58" s="1"/>
  <c r="DZ8" i="58" a="1"/>
  <c r="DZ8" i="58" s="1"/>
  <c r="EA8" i="58" a="1"/>
  <c r="EA8" i="58" s="1"/>
  <c r="EB8" i="58" a="1"/>
  <c r="EB8" i="58" s="1"/>
  <c r="EC8" i="58" a="1"/>
  <c r="EC8" i="58" s="1"/>
  <c r="ED8" i="58" a="1"/>
  <c r="ED8" i="58" s="1"/>
  <c r="EE8" i="58" a="1"/>
  <c r="EE8" i="58" s="1"/>
  <c r="EF8" i="58" a="1"/>
  <c r="EF8" i="58" s="1"/>
  <c r="EG8" i="58" a="1"/>
  <c r="EG8" i="58" s="1"/>
  <c r="EH8" i="58" a="1"/>
  <c r="EH8" i="58" s="1"/>
  <c r="EI8" i="58" a="1"/>
  <c r="EI8" i="58" s="1"/>
  <c r="EJ8" i="58" a="1"/>
  <c r="EJ8" i="58" s="1"/>
  <c r="EK8" i="58" a="1"/>
  <c r="EK8" i="58" s="1"/>
  <c r="EL8" i="58" a="1"/>
  <c r="EL8" i="58" s="1"/>
  <c r="EM8" i="58" a="1"/>
  <c r="EM8" i="58" s="1"/>
  <c r="EN8" i="58" a="1"/>
  <c r="EN8" i="58" s="1"/>
  <c r="EO8" i="58" a="1"/>
  <c r="EO8" i="58" s="1"/>
  <c r="EP8" i="58" a="1"/>
  <c r="EP8" i="58" s="1"/>
  <c r="EQ8" i="58" a="1"/>
  <c r="EQ8" i="58" s="1"/>
  <c r="ER8" i="58" a="1"/>
  <c r="ER8" i="58" s="1"/>
  <c r="ES8" i="58" a="1"/>
  <c r="ES8" i="58" s="1"/>
  <c r="ET8" i="58" a="1"/>
  <c r="ET8" i="58" s="1"/>
  <c r="EU8" i="58" a="1"/>
  <c r="EU8" i="58" s="1"/>
  <c r="AZ8" i="58" a="1"/>
  <c r="AZ8" i="58" s="1"/>
  <c r="BA8" i="58" a="1"/>
  <c r="BA8" i="58" s="1"/>
  <c r="BB8" i="58" a="1"/>
  <c r="BB8" i="58" s="1"/>
  <c r="BC8" i="58" a="1"/>
  <c r="BC8" i="58" s="1"/>
  <c r="BD8" i="58" a="1"/>
  <c r="BD8" i="58" s="1"/>
  <c r="BE8" i="58" a="1"/>
  <c r="BE8" i="58" s="1"/>
  <c r="BF8" i="58" a="1"/>
  <c r="BF8" i="58" s="1"/>
  <c r="BG8" i="58" a="1"/>
  <c r="BG8" i="58" s="1"/>
  <c r="BH8" i="58" a="1"/>
  <c r="BH8" i="58" s="1"/>
  <c r="BI8" i="58" a="1"/>
  <c r="BI8" i="58" s="1"/>
  <c r="BJ8" i="58" a="1"/>
  <c r="BJ8" i="58" s="1"/>
  <c r="BK8" i="58" a="1"/>
  <c r="BK8" i="58" s="1"/>
  <c r="BL8" i="58" a="1"/>
  <c r="BL8" i="58" s="1"/>
  <c r="BM8" i="58" a="1"/>
  <c r="BM8" i="58" s="1"/>
  <c r="BN8" i="58" a="1"/>
  <c r="BN8" i="58" s="1"/>
  <c r="BO8" i="58" a="1"/>
  <c r="BO8" i="58" s="1"/>
  <c r="BP8" i="58" a="1"/>
  <c r="BP8" i="58" s="1"/>
  <c r="BQ8" i="58" a="1"/>
  <c r="BQ8" i="58" s="1"/>
  <c r="BR8" i="58" a="1"/>
  <c r="BR8" i="58" s="1"/>
  <c r="BS8" i="58" a="1"/>
  <c r="BS8" i="58" s="1"/>
  <c r="BT8" i="58" a="1"/>
  <c r="BT8" i="58" s="1"/>
  <c r="BU8" i="58" a="1"/>
  <c r="BU8" i="58" s="1"/>
  <c r="BV8" i="58" a="1"/>
  <c r="BV8" i="58" s="1"/>
  <c r="BW8" i="58" a="1"/>
  <c r="BW8" i="58" s="1"/>
  <c r="BX8" i="58" a="1"/>
  <c r="BX8" i="58" s="1"/>
  <c r="BY8" i="58" a="1"/>
  <c r="BY8" i="58" s="1"/>
  <c r="BZ8" i="58" a="1"/>
  <c r="BZ8" i="58" s="1"/>
  <c r="CA8" i="58" a="1"/>
  <c r="CA8" i="58" s="1"/>
  <c r="CB8" i="58" a="1"/>
  <c r="CB8" i="58" s="1"/>
  <c r="CC8" i="58" a="1"/>
  <c r="CC8" i="58" s="1"/>
  <c r="CD8" i="58" a="1"/>
  <c r="CD8" i="58" s="1"/>
  <c r="CE8" i="58" a="1"/>
  <c r="CE8" i="58" s="1"/>
  <c r="CF8" i="58" a="1"/>
  <c r="CF8" i="58" s="1"/>
  <c r="CG8" i="58" a="1"/>
  <c r="CG8" i="58" s="1"/>
  <c r="CH8" i="58" a="1"/>
  <c r="CH8" i="58" s="1"/>
  <c r="CI8" i="58" a="1"/>
  <c r="CI8" i="58" s="1"/>
  <c r="CJ8" i="58" a="1"/>
  <c r="CJ8" i="58" s="1"/>
  <c r="CK8" i="58" a="1"/>
  <c r="CK8" i="58" s="1"/>
  <c r="CL8" i="58" a="1"/>
  <c r="CL8" i="58" s="1"/>
  <c r="CM8" i="58" a="1"/>
  <c r="CM8" i="58" s="1"/>
  <c r="CN8" i="58" a="1"/>
  <c r="CN8" i="58" s="1"/>
  <c r="CO8" i="58" a="1"/>
  <c r="CO8" i="58" s="1"/>
  <c r="CP8" i="58" a="1"/>
  <c r="CP8" i="58" s="1"/>
  <c r="CQ8" i="58" a="1"/>
  <c r="CQ8" i="58" s="1"/>
  <c r="CR8" i="58" a="1"/>
  <c r="CR8" i="58" s="1"/>
  <c r="CS8" i="58" a="1"/>
  <c r="CS8" i="58" s="1"/>
  <c r="CT8" i="58" a="1"/>
  <c r="CT8" i="58" s="1"/>
  <c r="CU8" i="58" a="1"/>
  <c r="CU8" i="58" s="1"/>
  <c r="CV8" i="58" a="1"/>
  <c r="CV8" i="58" s="1"/>
  <c r="CW8" i="58" a="1"/>
  <c r="CW8" i="58" s="1"/>
  <c r="B8" i="58" a="1"/>
  <c r="B8" i="58" s="1"/>
  <c r="C8" i="58" a="1"/>
  <c r="C8" i="58" s="1"/>
  <c r="D8" i="58" a="1"/>
  <c r="D8" i="58" s="1"/>
  <c r="E8" i="58" a="1"/>
  <c r="E8" i="58" s="1"/>
  <c r="F8" i="58" a="1"/>
  <c r="F8" i="58" s="1"/>
  <c r="G8" i="58" a="1"/>
  <c r="G8" i="58" s="1"/>
  <c r="H8" i="58" a="1"/>
  <c r="H8" i="58" s="1"/>
  <c r="I8" i="58" a="1"/>
  <c r="I8" i="58" s="1"/>
  <c r="J8" i="58" a="1"/>
  <c r="J8" i="58" s="1"/>
  <c r="K8" i="58" a="1"/>
  <c r="K8" i="58" s="1"/>
  <c r="L8" i="58" a="1"/>
  <c r="L8" i="58" s="1"/>
  <c r="M8" i="58" a="1"/>
  <c r="M8" i="58" s="1"/>
  <c r="N8" i="58" a="1"/>
  <c r="N8" i="58" s="1"/>
  <c r="O8" i="58" a="1"/>
  <c r="O8" i="58" s="1"/>
  <c r="P8" i="58" a="1"/>
  <c r="P8" i="58" s="1"/>
  <c r="Q8" i="58" a="1"/>
  <c r="Q8" i="58" s="1"/>
  <c r="R8" i="58" a="1"/>
  <c r="R8" i="58" s="1"/>
  <c r="S8" i="58" a="1"/>
  <c r="S8" i="58" s="1"/>
  <c r="T8" i="58" a="1"/>
  <c r="T8" i="58" s="1"/>
  <c r="U8" i="58" a="1"/>
  <c r="U8" i="58" s="1"/>
  <c r="V8" i="58" a="1"/>
  <c r="V8" i="58" s="1"/>
  <c r="W8" i="58" a="1"/>
  <c r="W8" i="58" s="1"/>
  <c r="X8" i="58" a="1"/>
  <c r="X8" i="58" s="1"/>
  <c r="Y8" i="58" a="1"/>
  <c r="Y8" i="58" s="1"/>
  <c r="Z8" i="58" a="1"/>
  <c r="Z8" i="58" s="1"/>
  <c r="AA8" i="58" a="1"/>
  <c r="AA8" i="58" s="1"/>
  <c r="AB8" i="58" a="1"/>
  <c r="AB8" i="58" s="1"/>
  <c r="AC8" i="58" a="1"/>
  <c r="AC8" i="58" s="1"/>
  <c r="AD8" i="58" a="1"/>
  <c r="AD8" i="58" s="1"/>
  <c r="AE8" i="58" a="1"/>
  <c r="AE8" i="58" s="1"/>
  <c r="AF8" i="58" a="1"/>
  <c r="AF8" i="58" s="1"/>
  <c r="AG8" i="58" a="1"/>
  <c r="AG8" i="58" s="1"/>
  <c r="AH8" i="58" a="1"/>
  <c r="AH8" i="58" s="1"/>
  <c r="AI8" i="58" a="1"/>
  <c r="AI8" i="58" s="1"/>
  <c r="AJ8" i="58" a="1"/>
  <c r="AJ8" i="58" s="1"/>
  <c r="AK8" i="58" a="1"/>
  <c r="AK8" i="58" s="1"/>
  <c r="AL8" i="58" a="1"/>
  <c r="AL8" i="58" s="1"/>
  <c r="AM8" i="58" a="1"/>
  <c r="AM8" i="58" s="1"/>
  <c r="AN8" i="58" a="1"/>
  <c r="AN8" i="58" s="1"/>
  <c r="AO8" i="58" a="1"/>
  <c r="AO8" i="58" s="1"/>
  <c r="AP8" i="58" a="1"/>
  <c r="AP8" i="58" s="1"/>
  <c r="AQ8" i="58" a="1"/>
  <c r="AQ8" i="58" s="1"/>
  <c r="AR8" i="58" a="1"/>
  <c r="AR8" i="58" s="1"/>
  <c r="AS8" i="58" a="1"/>
  <c r="AS8" i="58" s="1"/>
  <c r="AT8" i="58" a="1"/>
  <c r="AT8" i="58" s="1"/>
  <c r="AU8" i="58" a="1"/>
  <c r="AU8" i="58" s="1"/>
  <c r="AV8" i="58" a="1"/>
  <c r="AV8" i="58" s="1"/>
  <c r="AW8" i="58" a="1"/>
  <c r="AW8" i="58" s="1"/>
  <c r="AX8" i="58" a="1"/>
  <c r="AX8" i="58" s="1"/>
  <c r="AY8" i="58" a="1"/>
  <c r="AY8" i="58" s="1"/>
  <c r="EV7" i="58" a="1"/>
  <c r="EV7" i="58" s="1"/>
  <c r="EW7" i="58" a="1"/>
  <c r="EW7" i="58" s="1"/>
  <c r="EX7" i="58" a="1"/>
  <c r="EX7" i="58" s="1"/>
  <c r="EY7" i="58" a="1"/>
  <c r="EY7" i="58" s="1"/>
  <c r="EZ7" i="58" a="1"/>
  <c r="EZ7" i="58" s="1"/>
  <c r="FA7" i="58" a="1"/>
  <c r="FA7" i="58" s="1"/>
  <c r="FB7" i="58" a="1"/>
  <c r="FB7" i="58" s="1"/>
  <c r="FC7" i="58" a="1"/>
  <c r="FC7" i="58" s="1"/>
  <c r="FD7" i="58" a="1"/>
  <c r="FD7" i="58" s="1"/>
  <c r="FE7" i="58" a="1"/>
  <c r="FE7" i="58" s="1"/>
  <c r="FF7" i="58" a="1"/>
  <c r="FF7" i="58" s="1"/>
  <c r="FG7" i="58" a="1"/>
  <c r="FG7" i="58" s="1"/>
  <c r="FH7" i="58" a="1"/>
  <c r="FH7" i="58" s="1"/>
  <c r="FI7" i="58" a="1"/>
  <c r="FI7" i="58" s="1"/>
  <c r="FJ7" i="58" a="1"/>
  <c r="FJ7" i="58" s="1"/>
  <c r="FK7" i="58" a="1"/>
  <c r="FK7" i="58" s="1"/>
  <c r="FL7" i="58" a="1"/>
  <c r="FL7" i="58" s="1"/>
  <c r="FM7" i="58" a="1"/>
  <c r="FM7" i="58" s="1"/>
  <c r="FN7" i="58" a="1"/>
  <c r="FN7" i="58" s="1"/>
  <c r="FO7" i="58" a="1"/>
  <c r="FO7" i="58" s="1"/>
  <c r="FP7" i="58" a="1"/>
  <c r="FP7" i="58" s="1"/>
  <c r="FQ7" i="58" a="1"/>
  <c r="FQ7" i="58" s="1"/>
  <c r="FR7" i="58" a="1"/>
  <c r="FR7" i="58" s="1"/>
  <c r="FS7" i="58" a="1"/>
  <c r="FS7" i="58" s="1"/>
  <c r="FT7" i="58" a="1"/>
  <c r="FT7" i="58" s="1"/>
  <c r="FU7" i="58" a="1"/>
  <c r="FU7" i="58" s="1"/>
  <c r="FV7" i="58" a="1"/>
  <c r="FV7" i="58" s="1"/>
  <c r="FW7" i="58" a="1"/>
  <c r="FW7" i="58" s="1"/>
  <c r="FX7" i="58" a="1"/>
  <c r="FX7" i="58" s="1"/>
  <c r="FY7" i="58" a="1"/>
  <c r="FY7" i="58" s="1"/>
  <c r="FZ7" i="58" a="1"/>
  <c r="FZ7" i="58" s="1"/>
  <c r="GA7" i="58" a="1"/>
  <c r="GA7" i="58" s="1"/>
  <c r="GB7" i="58" a="1"/>
  <c r="GB7" i="58" s="1"/>
  <c r="GC7" i="58" a="1"/>
  <c r="GC7" i="58" s="1"/>
  <c r="GD7" i="58" a="1"/>
  <c r="GD7" i="58" s="1"/>
  <c r="GE7" i="58" a="1"/>
  <c r="GE7" i="58" s="1"/>
  <c r="GF7" i="58" a="1"/>
  <c r="GF7" i="58" s="1"/>
  <c r="GG7" i="58" a="1"/>
  <c r="GG7" i="58" s="1"/>
  <c r="GH7" i="58" a="1"/>
  <c r="GH7" i="58" s="1"/>
  <c r="GI7" i="58" a="1"/>
  <c r="GI7" i="58" s="1"/>
  <c r="CX7" i="58" a="1"/>
  <c r="CX7" i="58" s="1"/>
  <c r="CY7" i="58" a="1"/>
  <c r="CY7" i="58" s="1"/>
  <c r="CZ7" i="58" a="1"/>
  <c r="CZ7" i="58" s="1"/>
  <c r="DA7" i="58" a="1"/>
  <c r="DA7" i="58" s="1"/>
  <c r="DB7" i="58" a="1"/>
  <c r="DB7" i="58" s="1"/>
  <c r="DC7" i="58" a="1"/>
  <c r="DC7" i="58" s="1"/>
  <c r="DD7" i="58" a="1"/>
  <c r="DD7" i="58" s="1"/>
  <c r="DE7" i="58" a="1"/>
  <c r="DE7" i="58" s="1"/>
  <c r="DF7" i="58" a="1"/>
  <c r="DF7" i="58" s="1"/>
  <c r="DG7" i="58" a="1"/>
  <c r="DG7" i="58" s="1"/>
  <c r="DH7" i="58" a="1"/>
  <c r="DH7" i="58" s="1"/>
  <c r="DI7" i="58" a="1"/>
  <c r="DI7" i="58" s="1"/>
  <c r="DJ7" i="58" a="1"/>
  <c r="DJ7" i="58" s="1"/>
  <c r="DK7" i="58" a="1"/>
  <c r="DK7" i="58" s="1"/>
  <c r="DL7" i="58" a="1"/>
  <c r="DL7" i="58" s="1"/>
  <c r="DM7" i="58" a="1"/>
  <c r="DM7" i="58" s="1"/>
  <c r="DN7" i="58" a="1"/>
  <c r="DN7" i="58" s="1"/>
  <c r="DO7" i="58" a="1"/>
  <c r="DO7" i="58" s="1"/>
  <c r="DP7" i="58" a="1"/>
  <c r="DP7" i="58" s="1"/>
  <c r="DQ7" i="58" a="1"/>
  <c r="DQ7" i="58" s="1"/>
  <c r="DR7" i="58" a="1"/>
  <c r="DR7" i="58" s="1"/>
  <c r="DS7" i="58" a="1"/>
  <c r="DS7" i="58" s="1"/>
  <c r="DT7" i="58" a="1"/>
  <c r="DT7" i="58" s="1"/>
  <c r="DU7" i="58" a="1"/>
  <c r="DU7" i="58" s="1"/>
  <c r="DV7" i="58" a="1"/>
  <c r="DV7" i="58" s="1"/>
  <c r="DW7" i="58" a="1"/>
  <c r="DW7" i="58" s="1"/>
  <c r="DX7" i="58" a="1"/>
  <c r="DX7" i="58" s="1"/>
  <c r="DY7" i="58" a="1"/>
  <c r="DY7" i="58" s="1"/>
  <c r="DZ7" i="58" a="1"/>
  <c r="DZ7" i="58" s="1"/>
  <c r="EA7" i="58" a="1"/>
  <c r="EA7" i="58" s="1"/>
  <c r="EB7" i="58" a="1"/>
  <c r="EB7" i="58" s="1"/>
  <c r="EC7" i="58" a="1"/>
  <c r="EC7" i="58" s="1"/>
  <c r="ED7" i="58" a="1"/>
  <c r="ED7" i="58" s="1"/>
  <c r="EE7" i="58" a="1"/>
  <c r="EE7" i="58" s="1"/>
  <c r="EF7" i="58" a="1"/>
  <c r="EF7" i="58" s="1"/>
  <c r="EG7" i="58" a="1"/>
  <c r="EG7" i="58" s="1"/>
  <c r="EH7" i="58" a="1"/>
  <c r="EH7" i="58" s="1"/>
  <c r="EI7" i="58" a="1"/>
  <c r="EI7" i="58" s="1"/>
  <c r="EJ7" i="58" a="1"/>
  <c r="EJ7" i="58" s="1"/>
  <c r="EK7" i="58" a="1"/>
  <c r="EK7" i="58" s="1"/>
  <c r="EL7" i="58" a="1"/>
  <c r="EL7" i="58" s="1"/>
  <c r="EM7" i="58" a="1"/>
  <c r="EM7" i="58" s="1"/>
  <c r="EN7" i="58" a="1"/>
  <c r="EN7" i="58" s="1"/>
  <c r="EO7" i="58" a="1"/>
  <c r="EO7" i="58" s="1"/>
  <c r="EP7" i="58" a="1"/>
  <c r="EP7" i="58" s="1"/>
  <c r="EQ7" i="58" a="1"/>
  <c r="EQ7" i="58" s="1"/>
  <c r="ER7" i="58" a="1"/>
  <c r="ER7" i="58" s="1"/>
  <c r="ES7" i="58" a="1"/>
  <c r="ES7" i="58" s="1"/>
  <c r="ET7" i="58" a="1"/>
  <c r="ET7" i="58" s="1"/>
  <c r="EU7" i="58" a="1"/>
  <c r="EU7" i="58" s="1"/>
  <c r="AZ7" i="58" a="1"/>
  <c r="AZ7" i="58" s="1"/>
  <c r="BA7" i="58" a="1"/>
  <c r="BA7" i="58" s="1"/>
  <c r="BB7" i="58" a="1"/>
  <c r="BB7" i="58" s="1"/>
  <c r="BC7" i="58" a="1"/>
  <c r="BC7" i="58" s="1"/>
  <c r="BD7" i="58" a="1"/>
  <c r="BD7" i="58" s="1"/>
  <c r="BE7" i="58" a="1"/>
  <c r="BE7" i="58" s="1"/>
  <c r="BF7" i="58" a="1"/>
  <c r="BF7" i="58" s="1"/>
  <c r="BG7" i="58" a="1"/>
  <c r="BG7" i="58" s="1"/>
  <c r="BH7" i="58" a="1"/>
  <c r="BH7" i="58" s="1"/>
  <c r="BI7" i="58" a="1"/>
  <c r="BI7" i="58" s="1"/>
  <c r="BJ7" i="58" a="1"/>
  <c r="BJ7" i="58" s="1"/>
  <c r="BK7" i="58" a="1"/>
  <c r="BK7" i="58" s="1"/>
  <c r="BL7" i="58" a="1"/>
  <c r="BL7" i="58" s="1"/>
  <c r="BM7" i="58" a="1"/>
  <c r="BM7" i="58" s="1"/>
  <c r="BN7" i="58" a="1"/>
  <c r="BN7" i="58" s="1"/>
  <c r="BO7" i="58" a="1"/>
  <c r="BO7" i="58" s="1"/>
  <c r="BP7" i="58" a="1"/>
  <c r="BP7" i="58" s="1"/>
  <c r="BQ7" i="58" a="1"/>
  <c r="BQ7" i="58" s="1"/>
  <c r="BR7" i="58" a="1"/>
  <c r="BR7" i="58" s="1"/>
  <c r="BS7" i="58" a="1"/>
  <c r="BS7" i="58" s="1"/>
  <c r="BT7" i="58" a="1"/>
  <c r="BT7" i="58" s="1"/>
  <c r="BU7" i="58" a="1"/>
  <c r="BU7" i="58" s="1"/>
  <c r="BV7" i="58" a="1"/>
  <c r="BV7" i="58" s="1"/>
  <c r="BW7" i="58" a="1"/>
  <c r="BW7" i="58" s="1"/>
  <c r="BX7" i="58" a="1"/>
  <c r="BX7" i="58" s="1"/>
  <c r="BY7" i="58" a="1"/>
  <c r="BY7" i="58" s="1"/>
  <c r="BZ7" i="58" a="1"/>
  <c r="BZ7" i="58" s="1"/>
  <c r="CA7" i="58" a="1"/>
  <c r="CA7" i="58" s="1"/>
  <c r="CB7" i="58" a="1"/>
  <c r="CB7" i="58" s="1"/>
  <c r="CC7" i="58" a="1"/>
  <c r="CC7" i="58" s="1"/>
  <c r="CD7" i="58" a="1"/>
  <c r="CD7" i="58" s="1"/>
  <c r="CE7" i="58" a="1"/>
  <c r="CE7" i="58" s="1"/>
  <c r="CF7" i="58" a="1"/>
  <c r="CF7" i="58" s="1"/>
  <c r="CG7" i="58" a="1"/>
  <c r="CG7" i="58" s="1"/>
  <c r="CH7" i="58" a="1"/>
  <c r="CH7" i="58" s="1"/>
  <c r="CI7" i="58" a="1"/>
  <c r="CI7" i="58" s="1"/>
  <c r="CJ7" i="58" a="1"/>
  <c r="CJ7" i="58" s="1"/>
  <c r="CK7" i="58" a="1"/>
  <c r="CK7" i="58" s="1"/>
  <c r="CL7" i="58" a="1"/>
  <c r="CL7" i="58" s="1"/>
  <c r="CM7" i="58" a="1"/>
  <c r="CM7" i="58" s="1"/>
  <c r="CN7" i="58" a="1"/>
  <c r="CN7" i="58" s="1"/>
  <c r="CO7" i="58" a="1"/>
  <c r="CO7" i="58" s="1"/>
  <c r="CP7" i="58" a="1"/>
  <c r="CP7" i="58" s="1"/>
  <c r="CQ7" i="58" a="1"/>
  <c r="CQ7" i="58" s="1"/>
  <c r="CR7" i="58" a="1"/>
  <c r="CR7" i="58" s="1"/>
  <c r="CS7" i="58" a="1"/>
  <c r="CS7" i="58" s="1"/>
  <c r="CT7" i="58" a="1"/>
  <c r="CT7" i="58" s="1"/>
  <c r="CU7" i="58" a="1"/>
  <c r="CU7" i="58" s="1"/>
  <c r="CV7" i="58" a="1"/>
  <c r="CV7" i="58" s="1"/>
  <c r="CW7" i="58" a="1"/>
  <c r="CW7" i="58" s="1"/>
  <c r="B7" i="58" a="1"/>
  <c r="B7" i="58" s="1"/>
  <c r="C7" i="58" a="1"/>
  <c r="C7" i="58" s="1"/>
  <c r="D7" i="58" a="1"/>
  <c r="D7" i="58" s="1"/>
  <c r="E7" i="58" a="1"/>
  <c r="E7" i="58" s="1"/>
  <c r="F7" i="58" a="1"/>
  <c r="F7" i="58" s="1"/>
  <c r="G7" i="58" a="1"/>
  <c r="G7" i="58" s="1"/>
  <c r="H7" i="58" a="1"/>
  <c r="H7" i="58" s="1"/>
  <c r="I7" i="58" a="1"/>
  <c r="I7" i="58" s="1"/>
  <c r="J7" i="58" a="1"/>
  <c r="J7" i="58" s="1"/>
  <c r="K7" i="58" a="1"/>
  <c r="K7" i="58" s="1"/>
  <c r="L7" i="58" a="1"/>
  <c r="L7" i="58" s="1"/>
  <c r="M7" i="58" a="1"/>
  <c r="M7" i="58" s="1"/>
  <c r="N7" i="58" a="1"/>
  <c r="N7" i="58" s="1"/>
  <c r="O7" i="58" a="1"/>
  <c r="O7" i="58" s="1"/>
  <c r="P7" i="58" a="1"/>
  <c r="P7" i="58" s="1"/>
  <c r="Q7" i="58" a="1"/>
  <c r="Q7" i="58" s="1"/>
  <c r="R7" i="58" a="1"/>
  <c r="R7" i="58" s="1"/>
  <c r="S7" i="58" a="1"/>
  <c r="S7" i="58" s="1"/>
  <c r="T7" i="58" a="1"/>
  <c r="T7" i="58" s="1"/>
  <c r="U7" i="58" a="1"/>
  <c r="U7" i="58" s="1"/>
  <c r="V7" i="58" a="1"/>
  <c r="V7" i="58" s="1"/>
  <c r="W7" i="58" a="1"/>
  <c r="W7" i="58" s="1"/>
  <c r="X7" i="58" a="1"/>
  <c r="X7" i="58" s="1"/>
  <c r="Y7" i="58" a="1"/>
  <c r="Y7" i="58" s="1"/>
  <c r="Z7" i="58" a="1"/>
  <c r="Z7" i="58" s="1"/>
  <c r="AA7" i="58" a="1"/>
  <c r="AA7" i="58" s="1"/>
  <c r="AB7" i="58" a="1"/>
  <c r="AB7" i="58" s="1"/>
  <c r="AC7" i="58" a="1"/>
  <c r="AC7" i="58" s="1"/>
  <c r="AD7" i="58" a="1"/>
  <c r="AD7" i="58" s="1"/>
  <c r="AE7" i="58" a="1"/>
  <c r="AE7" i="58" s="1"/>
  <c r="AF7" i="58" a="1"/>
  <c r="AF7" i="58" s="1"/>
  <c r="AG7" i="58" a="1"/>
  <c r="AG7" i="58" s="1"/>
  <c r="AH7" i="58" a="1"/>
  <c r="AH7" i="58" s="1"/>
  <c r="AI7" i="58" a="1"/>
  <c r="AI7" i="58" s="1"/>
  <c r="AJ7" i="58" a="1"/>
  <c r="AJ7" i="58" s="1"/>
  <c r="AK7" i="58" a="1"/>
  <c r="AK7" i="58" s="1"/>
  <c r="AL7" i="58" a="1"/>
  <c r="AL7" i="58" s="1"/>
  <c r="AM7" i="58" a="1"/>
  <c r="AM7" i="58" s="1"/>
  <c r="AN7" i="58" a="1"/>
  <c r="AN7" i="58" s="1"/>
  <c r="AO7" i="58" a="1"/>
  <c r="AO7" i="58" s="1"/>
  <c r="AP7" i="58" a="1"/>
  <c r="AP7" i="58" s="1"/>
  <c r="AQ7" i="58" a="1"/>
  <c r="AQ7" i="58" s="1"/>
  <c r="AR7" i="58" a="1"/>
  <c r="AR7" i="58" s="1"/>
  <c r="AS7" i="58" a="1"/>
  <c r="AS7" i="58" s="1"/>
  <c r="AT7" i="58" a="1"/>
  <c r="AT7" i="58" s="1"/>
  <c r="AU7" i="58" a="1"/>
  <c r="AU7" i="58" s="1"/>
  <c r="AV7" i="58" a="1"/>
  <c r="AV7" i="58" s="1"/>
  <c r="AW7" i="58" a="1"/>
  <c r="AW7" i="58" s="1"/>
  <c r="AX7" i="58" a="1"/>
  <c r="AX7" i="58" s="1"/>
  <c r="AY7" i="58" a="1"/>
  <c r="AY7" i="58" s="1"/>
  <c r="EV6" i="58" a="1"/>
  <c r="EV6" i="58" s="1"/>
  <c r="EW6" i="58" a="1"/>
  <c r="EW6" i="58" s="1"/>
  <c r="EX6" i="58" a="1"/>
  <c r="EX6" i="58" s="1"/>
  <c r="EY6" i="58" a="1"/>
  <c r="EY6" i="58" s="1"/>
  <c r="EZ6" i="58" a="1"/>
  <c r="EZ6" i="58" s="1"/>
  <c r="FA6" i="58" a="1"/>
  <c r="FA6" i="58" s="1"/>
  <c r="FB6" i="58" a="1"/>
  <c r="FB6" i="58" s="1"/>
  <c r="FC6" i="58" a="1"/>
  <c r="FC6" i="58" s="1"/>
  <c r="FD6" i="58" a="1"/>
  <c r="FD6" i="58" s="1"/>
  <c r="FE6" i="58" a="1"/>
  <c r="FE6" i="58" s="1"/>
  <c r="FF6" i="58" a="1"/>
  <c r="FF6" i="58" s="1"/>
  <c r="FG6" i="58" a="1"/>
  <c r="FG6" i="58" s="1"/>
  <c r="FH6" i="58" a="1"/>
  <c r="FH6" i="58" s="1"/>
  <c r="FI6" i="58" a="1"/>
  <c r="FI6" i="58" s="1"/>
  <c r="FJ6" i="58" a="1"/>
  <c r="FJ6" i="58" s="1"/>
  <c r="FK6" i="58" a="1"/>
  <c r="FK6" i="58" s="1"/>
  <c r="FL6" i="58" a="1"/>
  <c r="FL6" i="58" s="1"/>
  <c r="FM6" i="58" a="1"/>
  <c r="FM6" i="58" s="1"/>
  <c r="FN6" i="58" a="1"/>
  <c r="FN6" i="58" s="1"/>
  <c r="FO6" i="58" a="1"/>
  <c r="FO6" i="58" s="1"/>
  <c r="FP6" i="58" a="1"/>
  <c r="FP6" i="58" s="1"/>
  <c r="FQ6" i="58" a="1"/>
  <c r="FQ6" i="58" s="1"/>
  <c r="FR6" i="58" a="1"/>
  <c r="FR6" i="58" s="1"/>
  <c r="FS6" i="58" a="1"/>
  <c r="FS6" i="58" s="1"/>
  <c r="FT6" i="58" a="1"/>
  <c r="FT6" i="58" s="1"/>
  <c r="FU6" i="58" a="1"/>
  <c r="FU6" i="58"/>
  <c r="FV6" i="58" a="1"/>
  <c r="FV6" i="58" s="1"/>
  <c r="FW6" i="58" a="1"/>
  <c r="FW6" i="58" s="1"/>
  <c r="FX6" i="58" a="1"/>
  <c r="FX6" i="58" s="1"/>
  <c r="FY6" i="58" a="1"/>
  <c r="FY6" i="58" s="1"/>
  <c r="FZ6" i="58" a="1"/>
  <c r="FZ6" i="58" s="1"/>
  <c r="GA6" i="58" a="1"/>
  <c r="GA6" i="58" s="1"/>
  <c r="GB6" i="58" a="1"/>
  <c r="GB6" i="58" s="1"/>
  <c r="GC6" i="58" a="1"/>
  <c r="GC6" i="58" s="1"/>
  <c r="GD6" i="58" a="1"/>
  <c r="GD6" i="58" s="1"/>
  <c r="GE6" i="58" a="1"/>
  <c r="GE6" i="58" s="1"/>
  <c r="GF6" i="58" a="1"/>
  <c r="GF6" i="58" s="1"/>
  <c r="GG6" i="58" a="1"/>
  <c r="GG6" i="58" s="1"/>
  <c r="GH6" i="58" a="1"/>
  <c r="GH6" i="58" s="1"/>
  <c r="GI6" i="58" a="1"/>
  <c r="GI6" i="58" s="1"/>
  <c r="CX6" i="58" a="1"/>
  <c r="CX6" i="58" s="1"/>
  <c r="CY6" i="58" a="1"/>
  <c r="CY6" i="58" s="1"/>
  <c r="CZ6" i="58" a="1"/>
  <c r="CZ6" i="58" s="1"/>
  <c r="DA6" i="58" a="1"/>
  <c r="DA6" i="58" s="1"/>
  <c r="DB6" i="58" a="1"/>
  <c r="DB6" i="58" s="1"/>
  <c r="DC6" i="58" a="1"/>
  <c r="DC6" i="58" s="1"/>
  <c r="DD6" i="58" a="1"/>
  <c r="DD6" i="58" s="1"/>
  <c r="DE6" i="58" a="1"/>
  <c r="DE6" i="58" s="1"/>
  <c r="DF6" i="58" a="1"/>
  <c r="DF6" i="58" s="1"/>
  <c r="DG6" i="58" a="1"/>
  <c r="DG6" i="58" s="1"/>
  <c r="DH6" i="58" a="1"/>
  <c r="DH6" i="58" s="1"/>
  <c r="DI6" i="58" a="1"/>
  <c r="DI6" i="58" s="1"/>
  <c r="DJ6" i="58" a="1"/>
  <c r="DJ6" i="58" s="1"/>
  <c r="DK6" i="58" a="1"/>
  <c r="DK6" i="58" s="1"/>
  <c r="DL6" i="58" a="1"/>
  <c r="DL6" i="58" s="1"/>
  <c r="DM6" i="58" a="1"/>
  <c r="DM6" i="58"/>
  <c r="DN6" i="58" a="1"/>
  <c r="DN6" i="58" s="1"/>
  <c r="DO6" i="58" a="1"/>
  <c r="DO6" i="58" s="1"/>
  <c r="DP6" i="58" a="1"/>
  <c r="DP6" i="58" s="1"/>
  <c r="DQ6" i="58" a="1"/>
  <c r="DQ6" i="58" s="1"/>
  <c r="DR6" i="58" a="1"/>
  <c r="DR6" i="58" s="1"/>
  <c r="DS6" i="58" a="1"/>
  <c r="DS6" i="58" s="1"/>
  <c r="DT6" i="58" a="1"/>
  <c r="DT6" i="58" s="1"/>
  <c r="DU6" i="58" a="1"/>
  <c r="DU6" i="58" s="1"/>
  <c r="DV6" i="58" a="1"/>
  <c r="DV6" i="58" s="1"/>
  <c r="DW6" i="58" a="1"/>
  <c r="DW6" i="58" s="1"/>
  <c r="DX6" i="58" a="1"/>
  <c r="DX6" i="58" s="1"/>
  <c r="DY6" i="58" a="1"/>
  <c r="DY6" i="58" s="1"/>
  <c r="DZ6" i="58" a="1"/>
  <c r="DZ6" i="58" s="1"/>
  <c r="EA6" i="58" a="1"/>
  <c r="EA6" i="58" s="1"/>
  <c r="EB6" i="58" a="1"/>
  <c r="EB6" i="58" s="1"/>
  <c r="EC6" i="58" a="1"/>
  <c r="EC6" i="58" s="1"/>
  <c r="ED6" i="58" a="1"/>
  <c r="ED6" i="58" s="1"/>
  <c r="EE6" i="58" a="1"/>
  <c r="EE6" i="58" s="1"/>
  <c r="EF6" i="58" a="1"/>
  <c r="EF6" i="58" s="1"/>
  <c r="EG6" i="58" a="1"/>
  <c r="EG6" i="58" s="1"/>
  <c r="EH6" i="58" a="1"/>
  <c r="EH6" i="58" s="1"/>
  <c r="EI6" i="58" a="1"/>
  <c r="EI6" i="58" s="1"/>
  <c r="EJ6" i="58" a="1"/>
  <c r="EJ6" i="58" s="1"/>
  <c r="EK6" i="58" a="1"/>
  <c r="EK6" i="58" s="1"/>
  <c r="EL6" i="58" a="1"/>
  <c r="EL6" i="58" s="1"/>
  <c r="EM6" i="58" a="1"/>
  <c r="EM6" i="58" s="1"/>
  <c r="EN6" i="58" a="1"/>
  <c r="EN6" i="58" s="1"/>
  <c r="EO6" i="58" a="1"/>
  <c r="EO6" i="58" s="1"/>
  <c r="EP6" i="58" a="1"/>
  <c r="EP6" i="58" s="1"/>
  <c r="EQ6" i="58" a="1"/>
  <c r="EQ6" i="58" s="1"/>
  <c r="ER6" i="58" a="1"/>
  <c r="ER6" i="58" s="1"/>
  <c r="ES6" i="58" a="1"/>
  <c r="ES6" i="58" s="1"/>
  <c r="ET6" i="58" a="1"/>
  <c r="ET6" i="58" s="1"/>
  <c r="EU6" i="58" a="1"/>
  <c r="EU6" i="58"/>
  <c r="AZ6" i="58" a="1"/>
  <c r="AZ6" i="58" s="1"/>
  <c r="BA6" i="58" a="1"/>
  <c r="BA6" i="58" s="1"/>
  <c r="BB6" i="58" a="1"/>
  <c r="BB6" i="58" s="1"/>
  <c r="BC6" i="58" a="1"/>
  <c r="BC6" i="58" s="1"/>
  <c r="BD6" i="58" a="1"/>
  <c r="BD6" i="58" s="1"/>
  <c r="BE6" i="58" a="1"/>
  <c r="BE6" i="58" s="1"/>
  <c r="BF6" i="58" a="1"/>
  <c r="BF6" i="58" s="1"/>
  <c r="BG6" i="58" a="1"/>
  <c r="BG6" i="58" s="1"/>
  <c r="BH6" i="58" a="1"/>
  <c r="BH6" i="58" s="1"/>
  <c r="BI6" i="58" a="1"/>
  <c r="BI6" i="58" s="1"/>
  <c r="BJ6" i="58" a="1"/>
  <c r="BJ6" i="58" s="1"/>
  <c r="BK6" i="58" a="1"/>
  <c r="BK6" i="58" s="1"/>
  <c r="BL6" i="58" a="1"/>
  <c r="BL6" i="58" s="1"/>
  <c r="BM6" i="58" a="1"/>
  <c r="BM6" i="58" s="1"/>
  <c r="BN6" i="58" a="1"/>
  <c r="BN6" i="58" s="1"/>
  <c r="BO6" i="58" a="1"/>
  <c r="BO6" i="58" s="1"/>
  <c r="BP6" i="58" a="1"/>
  <c r="BP6" i="58" s="1"/>
  <c r="BQ6" i="58" a="1"/>
  <c r="BQ6" i="58" s="1"/>
  <c r="BR6" i="58" a="1"/>
  <c r="BR6" i="58" s="1"/>
  <c r="BS6" i="58" a="1"/>
  <c r="BS6" i="58" s="1"/>
  <c r="BT6" i="58" a="1"/>
  <c r="BT6" i="58" s="1"/>
  <c r="BU6" i="58" a="1"/>
  <c r="BU6" i="58" s="1"/>
  <c r="BV6" i="58" a="1"/>
  <c r="BV6" i="58" s="1"/>
  <c r="BW6" i="58" a="1"/>
  <c r="BW6" i="58" s="1"/>
  <c r="BX6" i="58" a="1"/>
  <c r="BX6" i="58" s="1"/>
  <c r="BY6" i="58" a="1"/>
  <c r="BY6" i="58" s="1"/>
  <c r="BZ6" i="58" a="1"/>
  <c r="BZ6" i="58" s="1"/>
  <c r="CA6" i="58" a="1"/>
  <c r="CA6" i="58" s="1"/>
  <c r="CB6" i="58" a="1"/>
  <c r="CB6" i="58" s="1"/>
  <c r="CC6" i="58" a="1"/>
  <c r="CC6" i="58" s="1"/>
  <c r="CD6" i="58" a="1"/>
  <c r="CD6" i="58" s="1"/>
  <c r="CE6" i="58" a="1"/>
  <c r="CE6" i="58" s="1"/>
  <c r="CF6" i="58" a="1"/>
  <c r="CF6" i="58" s="1"/>
  <c r="CG6" i="58" a="1"/>
  <c r="CG6" i="58" s="1"/>
  <c r="CH6" i="58" a="1"/>
  <c r="CH6" i="58" s="1"/>
  <c r="CI6" i="58" a="1"/>
  <c r="CI6" i="58" s="1"/>
  <c r="CJ6" i="58" a="1"/>
  <c r="CJ6" i="58" s="1"/>
  <c r="CK6" i="58" a="1"/>
  <c r="CK6" i="58" s="1"/>
  <c r="CL6" i="58" a="1"/>
  <c r="CL6" i="58" s="1"/>
  <c r="CM6" i="58" a="1"/>
  <c r="CM6" i="58" s="1"/>
  <c r="CN6" i="58" a="1"/>
  <c r="CN6" i="58" s="1"/>
  <c r="CO6" i="58" a="1"/>
  <c r="CO6" i="58" s="1"/>
  <c r="CP6" i="58" a="1"/>
  <c r="CP6" i="58" s="1"/>
  <c r="CQ6" i="58" a="1"/>
  <c r="CQ6" i="58" s="1"/>
  <c r="CR6" i="58" a="1"/>
  <c r="CR6" i="58" s="1"/>
  <c r="CS6" i="58" a="1"/>
  <c r="CS6" i="58" s="1"/>
  <c r="CT6" i="58" a="1"/>
  <c r="CT6" i="58" s="1"/>
  <c r="CU6" i="58" a="1"/>
  <c r="CU6" i="58" s="1"/>
  <c r="CV6" i="58" a="1"/>
  <c r="CV6" i="58" s="1"/>
  <c r="CW6" i="58" a="1"/>
  <c r="CW6" i="58" s="1"/>
  <c r="B6" i="58" a="1"/>
  <c r="B6" i="58" s="1"/>
  <c r="C6" i="58" a="1"/>
  <c r="C6" i="58" s="1"/>
  <c r="D6" i="58" a="1"/>
  <c r="D6" i="58" s="1"/>
  <c r="E6" i="58" a="1"/>
  <c r="E6" i="58" s="1"/>
  <c r="F6" i="58" a="1"/>
  <c r="F6" i="58" s="1"/>
  <c r="G6" i="58" a="1"/>
  <c r="G6" i="58" s="1"/>
  <c r="H6" i="58" a="1"/>
  <c r="H6" i="58"/>
  <c r="I6" i="58" a="1"/>
  <c r="I6" i="58" s="1"/>
  <c r="J6" i="58" a="1"/>
  <c r="J6" i="58" s="1"/>
  <c r="K6" i="58" a="1"/>
  <c r="K6" i="58" s="1"/>
  <c r="L6" i="58" a="1"/>
  <c r="L6" i="58" s="1"/>
  <c r="M6" i="58" a="1"/>
  <c r="M6" i="58" s="1"/>
  <c r="N6" i="58" a="1"/>
  <c r="N6" i="58" s="1"/>
  <c r="O6" i="58" a="1"/>
  <c r="O6" i="58" s="1"/>
  <c r="P6" i="58" a="1"/>
  <c r="P6" i="58" s="1"/>
  <c r="Q6" i="58" a="1"/>
  <c r="Q6" i="58" s="1"/>
  <c r="R6" i="58" a="1"/>
  <c r="R6" i="58" s="1"/>
  <c r="S6" i="58" a="1"/>
  <c r="S6" i="58" s="1"/>
  <c r="T6" i="58" a="1"/>
  <c r="T6" i="58" s="1"/>
  <c r="U6" i="58" a="1"/>
  <c r="U6" i="58" s="1"/>
  <c r="V6" i="58" a="1"/>
  <c r="V6" i="58" s="1"/>
  <c r="W6" i="58" a="1"/>
  <c r="W6" i="58" s="1"/>
  <c r="X6" i="58" a="1"/>
  <c r="X6" i="58" s="1"/>
  <c r="Y6" i="58" a="1"/>
  <c r="Y6" i="58" s="1"/>
  <c r="Z6" i="58" a="1"/>
  <c r="Z6" i="58" s="1"/>
  <c r="AA6" i="58" a="1"/>
  <c r="AA6" i="58" s="1"/>
  <c r="AB6" i="58" a="1"/>
  <c r="AB6" i="58" s="1"/>
  <c r="AC6" i="58" a="1"/>
  <c r="AC6" i="58" s="1"/>
  <c r="AD6" i="58" a="1"/>
  <c r="AD6" i="58" s="1"/>
  <c r="AE6" i="58" a="1"/>
  <c r="AE6" i="58" s="1"/>
  <c r="AF6" i="58" a="1"/>
  <c r="AF6" i="58" s="1"/>
  <c r="AG6" i="58" a="1"/>
  <c r="AG6" i="58" s="1"/>
  <c r="AH6" i="58" a="1"/>
  <c r="AH6" i="58" s="1"/>
  <c r="AI6" i="58" a="1"/>
  <c r="AI6" i="58" s="1"/>
  <c r="AJ6" i="58" a="1"/>
  <c r="AJ6" i="58" s="1"/>
  <c r="AK6" i="58" a="1"/>
  <c r="AK6" i="58" s="1"/>
  <c r="AL6" i="58" a="1"/>
  <c r="AL6" i="58" s="1"/>
  <c r="AM6" i="58" a="1"/>
  <c r="AM6" i="58" s="1"/>
  <c r="AN6" i="58" a="1"/>
  <c r="AN6" i="58" s="1"/>
  <c r="AO6" i="58" a="1"/>
  <c r="AO6" i="58" s="1"/>
  <c r="AP6" i="58" a="1"/>
  <c r="AP6" i="58" s="1"/>
  <c r="AQ6" i="58" a="1"/>
  <c r="AQ6" i="58" s="1"/>
  <c r="AR6" i="58" a="1"/>
  <c r="AR6" i="58" s="1"/>
  <c r="AS6" i="58" a="1"/>
  <c r="AS6" i="58" s="1"/>
  <c r="AT6" i="58" a="1"/>
  <c r="AT6" i="58" s="1"/>
  <c r="AU6" i="58" a="1"/>
  <c r="AU6" i="58" s="1"/>
  <c r="AV6" i="58" a="1"/>
  <c r="AV6" i="58" s="1"/>
  <c r="AW6" i="58" a="1"/>
  <c r="AW6" i="58" s="1"/>
  <c r="AX6" i="58" a="1"/>
  <c r="AX6" i="58" s="1"/>
  <c r="AY6" i="58" a="1"/>
  <c r="AY6" i="58" s="1"/>
  <c r="EV5" i="58" a="1"/>
  <c r="EV5" i="58" s="1"/>
  <c r="EW5" i="58" a="1"/>
  <c r="EW5" i="58" s="1"/>
  <c r="EX5" i="58" a="1"/>
  <c r="EX5" i="58" s="1"/>
  <c r="EY5" i="58" a="1"/>
  <c r="EY5" i="58" s="1"/>
  <c r="EZ5" i="58" a="1"/>
  <c r="EZ5" i="58" s="1"/>
  <c r="FA5" i="58" a="1"/>
  <c r="FA5" i="58" s="1"/>
  <c r="FB5" i="58" a="1"/>
  <c r="FB5" i="58" s="1"/>
  <c r="FC5" i="58" a="1"/>
  <c r="FC5" i="58" s="1"/>
  <c r="FD5" i="58" a="1"/>
  <c r="FD5" i="58" s="1"/>
  <c r="FE5" i="58" a="1"/>
  <c r="FE5" i="58" s="1"/>
  <c r="FF5" i="58" a="1"/>
  <c r="FF5" i="58" s="1"/>
  <c r="FG5" i="58" a="1"/>
  <c r="FG5" i="58" s="1"/>
  <c r="FH5" i="58" a="1"/>
  <c r="FH5" i="58" s="1"/>
  <c r="FI5" i="58" a="1"/>
  <c r="FI5" i="58" s="1"/>
  <c r="FJ5" i="58" a="1"/>
  <c r="FJ5" i="58" s="1"/>
  <c r="FK5" i="58" a="1"/>
  <c r="FK5" i="58" s="1"/>
  <c r="FL5" i="58" a="1"/>
  <c r="FL5" i="58" s="1"/>
  <c r="FM5" i="58" a="1"/>
  <c r="FM5" i="58" s="1"/>
  <c r="FN5" i="58" a="1"/>
  <c r="FN5" i="58" s="1"/>
  <c r="FO5" i="58" a="1"/>
  <c r="FO5" i="58" s="1"/>
  <c r="FP5" i="58" a="1"/>
  <c r="FP5" i="58" s="1"/>
  <c r="FQ5" i="58" a="1"/>
  <c r="FQ5" i="58" s="1"/>
  <c r="FR5" i="58" a="1"/>
  <c r="FR5" i="58" s="1"/>
  <c r="FS5" i="58" a="1"/>
  <c r="FS5" i="58" s="1"/>
  <c r="FT5" i="58" a="1"/>
  <c r="FT5" i="58" s="1"/>
  <c r="FU5" i="58" a="1"/>
  <c r="FU5" i="58" s="1"/>
  <c r="FV5" i="58" a="1"/>
  <c r="FV5" i="58" s="1"/>
  <c r="FW5" i="58" a="1"/>
  <c r="FW5" i="58" s="1"/>
  <c r="FX5" i="58" a="1"/>
  <c r="FX5" i="58" s="1"/>
  <c r="FY5" i="58" a="1"/>
  <c r="FY5" i="58" s="1"/>
  <c r="FZ5" i="58" a="1"/>
  <c r="FZ5" i="58" s="1"/>
  <c r="GA5" i="58" a="1"/>
  <c r="GA5" i="58" s="1"/>
  <c r="GB5" i="58" a="1"/>
  <c r="GB5" i="58" s="1"/>
  <c r="GC5" i="58" a="1"/>
  <c r="GC5" i="58" s="1"/>
  <c r="GD5" i="58" a="1"/>
  <c r="GD5" i="58" s="1"/>
  <c r="GE5" i="58" a="1"/>
  <c r="GE5" i="58" s="1"/>
  <c r="GF5" i="58" a="1"/>
  <c r="GF5" i="58" s="1"/>
  <c r="GG5" i="58" a="1"/>
  <c r="GG5" i="58" s="1"/>
  <c r="GH5" i="58" a="1"/>
  <c r="GH5" i="58" s="1"/>
  <c r="GI5" i="58" a="1"/>
  <c r="GI5" i="58" s="1"/>
  <c r="CX5" i="58" a="1"/>
  <c r="CX5" i="58" s="1"/>
  <c r="CY5" i="58" a="1"/>
  <c r="CY5" i="58" s="1"/>
  <c r="CZ5" i="58" a="1"/>
  <c r="CZ5" i="58" s="1"/>
  <c r="DA5" i="58" a="1"/>
  <c r="DA5" i="58" s="1"/>
  <c r="DB5" i="58" a="1"/>
  <c r="DB5" i="58" s="1"/>
  <c r="DC5" i="58" a="1"/>
  <c r="DC5" i="58" s="1"/>
  <c r="DD5" i="58" a="1"/>
  <c r="DD5" i="58" s="1"/>
  <c r="DE5" i="58" a="1"/>
  <c r="DE5" i="58" s="1"/>
  <c r="DF5" i="58" a="1"/>
  <c r="DF5" i="58" s="1"/>
  <c r="DG5" i="58" a="1"/>
  <c r="DG5" i="58" s="1"/>
  <c r="DH5" i="58" a="1"/>
  <c r="DH5" i="58" s="1"/>
  <c r="DI5" i="58" a="1"/>
  <c r="DI5" i="58" s="1"/>
  <c r="DJ5" i="58" a="1"/>
  <c r="DJ5" i="58" s="1"/>
  <c r="DK5" i="58" a="1"/>
  <c r="DK5" i="58" s="1"/>
  <c r="DL5" i="58" a="1"/>
  <c r="DL5" i="58" s="1"/>
  <c r="DM5" i="58" a="1"/>
  <c r="DM5" i="58" s="1"/>
  <c r="DN5" i="58" a="1"/>
  <c r="DN5" i="58" s="1"/>
  <c r="DO5" i="58" a="1"/>
  <c r="DO5" i="58" s="1"/>
  <c r="DP5" i="58" a="1"/>
  <c r="DP5" i="58" s="1"/>
  <c r="DQ5" i="58" a="1"/>
  <c r="DQ5" i="58" s="1"/>
  <c r="DR5" i="58" a="1"/>
  <c r="DR5" i="58" s="1"/>
  <c r="DS5" i="58" a="1"/>
  <c r="DS5" i="58" s="1"/>
  <c r="DT5" i="58" a="1"/>
  <c r="DT5" i="58" s="1"/>
  <c r="DU5" i="58" a="1"/>
  <c r="DU5" i="58" s="1"/>
  <c r="DV5" i="58" a="1"/>
  <c r="DV5" i="58"/>
  <c r="DW5" i="58" a="1"/>
  <c r="DW5" i="58" s="1"/>
  <c r="DX5" i="58" a="1"/>
  <c r="DX5" i="58" s="1"/>
  <c r="DY5" i="58" a="1"/>
  <c r="DY5" i="58" s="1"/>
  <c r="DZ5" i="58" a="1"/>
  <c r="DZ5" i="58" s="1"/>
  <c r="EA5" i="58" a="1"/>
  <c r="EA5" i="58" s="1"/>
  <c r="EB5" i="58" a="1"/>
  <c r="EB5" i="58"/>
  <c r="EC5" i="58" a="1"/>
  <c r="EC5" i="58" s="1"/>
  <c r="ED5" i="58" a="1"/>
  <c r="ED5" i="58" s="1"/>
  <c r="EE5" i="58" a="1"/>
  <c r="EE5" i="58" s="1"/>
  <c r="EF5" i="58" a="1"/>
  <c r="EF5" i="58" s="1"/>
  <c r="EG5" i="58" a="1"/>
  <c r="EG5" i="58" s="1"/>
  <c r="EH5" i="58" a="1"/>
  <c r="EH5" i="58" s="1"/>
  <c r="EI5" i="58" a="1"/>
  <c r="EI5" i="58" s="1"/>
  <c r="EJ5" i="58" a="1"/>
  <c r="EJ5" i="58" s="1"/>
  <c r="EK5" i="58" a="1"/>
  <c r="EK5" i="58" s="1"/>
  <c r="EL5" i="58" a="1"/>
  <c r="EL5" i="58" s="1"/>
  <c r="EM5" i="58" a="1"/>
  <c r="EM5" i="58" s="1"/>
  <c r="EN5" i="58" a="1"/>
  <c r="EN5" i="58" s="1"/>
  <c r="EO5" i="58" a="1"/>
  <c r="EO5" i="58" s="1"/>
  <c r="EP5" i="58" a="1"/>
  <c r="EP5" i="58" s="1"/>
  <c r="EQ5" i="58" a="1"/>
  <c r="EQ5" i="58" s="1"/>
  <c r="ER5" i="58" a="1"/>
  <c r="ER5" i="58" s="1"/>
  <c r="ES5" i="58" a="1"/>
  <c r="ES5" i="58" s="1"/>
  <c r="ET5" i="58" a="1"/>
  <c r="ET5" i="58" s="1"/>
  <c r="EU5" i="58" a="1"/>
  <c r="EU5" i="58" s="1"/>
  <c r="AZ5" i="58" a="1"/>
  <c r="AZ5" i="58" s="1"/>
  <c r="BA5" i="58" a="1"/>
  <c r="BA5" i="58" s="1"/>
  <c r="BB5" i="58" a="1"/>
  <c r="BB5" i="58"/>
  <c r="BC5" i="58" a="1"/>
  <c r="BC5" i="58" s="1"/>
  <c r="BD5" i="58" a="1"/>
  <c r="BD5" i="58" s="1"/>
  <c r="BE5" i="58" a="1"/>
  <c r="BE5" i="58"/>
  <c r="BF5" i="58" a="1"/>
  <c r="BF5" i="58" s="1"/>
  <c r="BG5" i="58" a="1"/>
  <c r="BG5" i="58" s="1"/>
  <c r="BH5" i="58" a="1"/>
  <c r="BH5" i="58" s="1"/>
  <c r="BI5" i="58" a="1"/>
  <c r="BI5" i="58" s="1"/>
  <c r="BJ5" i="58" a="1"/>
  <c r="BJ5" i="58" s="1"/>
  <c r="BK5" i="58" a="1"/>
  <c r="BK5" i="58" s="1"/>
  <c r="BL5" i="58" a="1"/>
  <c r="BL5" i="58" s="1"/>
  <c r="BM5" i="58" a="1"/>
  <c r="BM5" i="58" s="1"/>
  <c r="BN5" i="58" a="1"/>
  <c r="BN5" i="58" s="1"/>
  <c r="BO5" i="58" a="1"/>
  <c r="BO5" i="58" s="1"/>
  <c r="BP5" i="58" a="1"/>
  <c r="BP5" i="58" s="1"/>
  <c r="BQ5" i="58" a="1"/>
  <c r="BQ5" i="58" s="1"/>
  <c r="BR5" i="58" a="1"/>
  <c r="BR5" i="58" s="1"/>
  <c r="BS5" i="58" a="1"/>
  <c r="BS5" i="58" s="1"/>
  <c r="BT5" i="58" a="1"/>
  <c r="BT5" i="58" s="1"/>
  <c r="BU5" i="58" a="1"/>
  <c r="BU5" i="58" s="1"/>
  <c r="BV5" i="58" a="1"/>
  <c r="BV5" i="58" s="1"/>
  <c r="BW5" i="58" a="1"/>
  <c r="BW5" i="58" s="1"/>
  <c r="BX5" i="58" a="1"/>
  <c r="BX5" i="58" s="1"/>
  <c r="BY5" i="58" a="1"/>
  <c r="BY5" i="58" s="1"/>
  <c r="BZ5" i="58" a="1"/>
  <c r="BZ5" i="58" s="1"/>
  <c r="CA5" i="58" a="1"/>
  <c r="CA5" i="58" s="1"/>
  <c r="CB5" i="58" a="1"/>
  <c r="CB5" i="58" s="1"/>
  <c r="CC5" i="58" a="1"/>
  <c r="CC5" i="58" s="1"/>
  <c r="CD5" i="58" a="1"/>
  <c r="CD5" i="58" s="1"/>
  <c r="CE5" i="58" a="1"/>
  <c r="CE5" i="58" s="1"/>
  <c r="CF5" i="58" a="1"/>
  <c r="CF5" i="58" s="1"/>
  <c r="CG5" i="58" a="1"/>
  <c r="CG5" i="58" s="1"/>
  <c r="CH5" i="58" a="1"/>
  <c r="CH5" i="58" s="1"/>
  <c r="CI5" i="58" a="1"/>
  <c r="CI5" i="58" s="1"/>
  <c r="CJ5" i="58" a="1"/>
  <c r="CJ5" i="58" s="1"/>
  <c r="CK5" i="58" a="1"/>
  <c r="CK5" i="58" s="1"/>
  <c r="CL5" i="58" a="1"/>
  <c r="CL5" i="58" s="1"/>
  <c r="CM5" i="58" a="1"/>
  <c r="CM5" i="58" s="1"/>
  <c r="CN5" i="58" a="1"/>
  <c r="CN5" i="58" s="1"/>
  <c r="CO5" i="58" a="1"/>
  <c r="CO5" i="58" s="1"/>
  <c r="CP5" i="58" a="1"/>
  <c r="CP5" i="58" s="1"/>
  <c r="CQ5" i="58" a="1"/>
  <c r="CQ5" i="58" s="1"/>
  <c r="CR5" i="58" a="1"/>
  <c r="CR5" i="58" s="1"/>
  <c r="CS5" i="58" a="1"/>
  <c r="CS5" i="58" s="1"/>
  <c r="CT5" i="58" a="1"/>
  <c r="CT5" i="58" s="1"/>
  <c r="CU5" i="58" a="1"/>
  <c r="CU5" i="58" s="1"/>
  <c r="CV5" i="58" a="1"/>
  <c r="CV5" i="58" s="1"/>
  <c r="CW5" i="58" a="1"/>
  <c r="CW5" i="58" s="1"/>
  <c r="B5" i="58" a="1"/>
  <c r="B5" i="58" s="1"/>
  <c r="C5" i="58" a="1"/>
  <c r="C5" i="58" s="1"/>
  <c r="D5" i="58" a="1"/>
  <c r="D5" i="58" s="1"/>
  <c r="E5" i="58" a="1"/>
  <c r="E5" i="58" s="1"/>
  <c r="F5" i="58" a="1"/>
  <c r="F5" i="58" s="1"/>
  <c r="G5" i="58" a="1"/>
  <c r="G5" i="58" s="1"/>
  <c r="H5" i="58" a="1"/>
  <c r="H5" i="58" s="1"/>
  <c r="I5" i="58" a="1"/>
  <c r="I5" i="58" s="1"/>
  <c r="J5" i="58" a="1"/>
  <c r="J5" i="58" s="1"/>
  <c r="K5" i="58" a="1"/>
  <c r="K5" i="58" s="1"/>
  <c r="L5" i="58" a="1"/>
  <c r="L5" i="58" s="1"/>
  <c r="M5" i="58" a="1"/>
  <c r="M5" i="58" s="1"/>
  <c r="N5" i="58" a="1"/>
  <c r="N5" i="58" s="1"/>
  <c r="O5" i="58" a="1"/>
  <c r="O5" i="58" s="1"/>
  <c r="P5" i="58" a="1"/>
  <c r="P5" i="58" s="1"/>
  <c r="Q5" i="58" a="1"/>
  <c r="Q5" i="58" s="1"/>
  <c r="R5" i="58" a="1"/>
  <c r="R5" i="58" s="1"/>
  <c r="S5" i="58" a="1"/>
  <c r="S5" i="58" s="1"/>
  <c r="T5" i="58" a="1"/>
  <c r="T5" i="58" s="1"/>
  <c r="U5" i="58" a="1"/>
  <c r="U5" i="58" s="1"/>
  <c r="V5" i="58" a="1"/>
  <c r="V5" i="58" s="1"/>
  <c r="W5" i="58" a="1"/>
  <c r="W5" i="58" s="1"/>
  <c r="X5" i="58" a="1"/>
  <c r="X5" i="58" s="1"/>
  <c r="Y5" i="58" a="1"/>
  <c r="Y5" i="58" s="1"/>
  <c r="Z5" i="58" a="1"/>
  <c r="Z5" i="58" s="1"/>
  <c r="AA5" i="58" a="1"/>
  <c r="AA5" i="58" s="1"/>
  <c r="AB5" i="58" a="1"/>
  <c r="AB5" i="58" s="1"/>
  <c r="AC5" i="58" a="1"/>
  <c r="AC5" i="58" s="1"/>
  <c r="AD5" i="58" a="1"/>
  <c r="AD5" i="58" s="1"/>
  <c r="AE5" i="58" a="1"/>
  <c r="AE5" i="58" s="1"/>
  <c r="AF5" i="58" a="1"/>
  <c r="AF5" i="58" s="1"/>
  <c r="AG5" i="58" a="1"/>
  <c r="AG5" i="58" s="1"/>
  <c r="AH5" i="58" a="1"/>
  <c r="AH5" i="58" s="1"/>
  <c r="AI5" i="58" a="1"/>
  <c r="AI5" i="58" s="1"/>
  <c r="AJ5" i="58" a="1"/>
  <c r="AJ5" i="58" s="1"/>
  <c r="AK5" i="58" a="1"/>
  <c r="AK5" i="58" s="1"/>
  <c r="AL5" i="58" a="1"/>
  <c r="AL5" i="58" s="1"/>
  <c r="AM5" i="58" a="1"/>
  <c r="AM5" i="58" s="1"/>
  <c r="AN5" i="58" a="1"/>
  <c r="AN5" i="58" s="1"/>
  <c r="AO5" i="58" a="1"/>
  <c r="AO5" i="58" s="1"/>
  <c r="AP5" i="58" a="1"/>
  <c r="AP5" i="58" s="1"/>
  <c r="AQ5" i="58" a="1"/>
  <c r="AQ5" i="58" s="1"/>
  <c r="AR5" i="58" a="1"/>
  <c r="AR5" i="58" s="1"/>
  <c r="AS5" i="58" a="1"/>
  <c r="AS5" i="58" s="1"/>
  <c r="AT5" i="58" a="1"/>
  <c r="AT5" i="58" s="1"/>
  <c r="AU5" i="58" a="1"/>
  <c r="AU5" i="58" s="1"/>
  <c r="AV5" i="58" a="1"/>
  <c r="AV5" i="58" s="1"/>
  <c r="AW5" i="58" a="1"/>
  <c r="AW5" i="58" s="1"/>
  <c r="AX5" i="58" a="1"/>
  <c r="AX5" i="58" s="1"/>
  <c r="AY5" i="58" a="1"/>
  <c r="AY5" i="58" s="1"/>
  <c r="EV4" i="58" a="1"/>
  <c r="EV4" i="58" s="1"/>
  <c r="EW4" i="58" a="1"/>
  <c r="EW4" i="58" s="1"/>
  <c r="EX4" i="58" a="1"/>
  <c r="EX4" i="58" s="1"/>
  <c r="EY4" i="58" a="1"/>
  <c r="EY4" i="58" s="1"/>
  <c r="EZ4" i="58" a="1"/>
  <c r="EZ4" i="58" s="1"/>
  <c r="FA4" i="58" a="1"/>
  <c r="FA4" i="58" s="1"/>
  <c r="FB4" i="58" a="1"/>
  <c r="FB4" i="58" s="1"/>
  <c r="FC4" i="58" a="1"/>
  <c r="FC4" i="58" s="1"/>
  <c r="FD4" i="58" a="1"/>
  <c r="FD4" i="58" s="1"/>
  <c r="FE4" i="58" a="1"/>
  <c r="FE4" i="58" s="1"/>
  <c r="FF4" i="58" a="1"/>
  <c r="FF4" i="58" s="1"/>
  <c r="FG4" i="58" a="1"/>
  <c r="FG4" i="58" s="1"/>
  <c r="FH4" i="58" a="1"/>
  <c r="FH4" i="58" s="1"/>
  <c r="FI4" i="58" a="1"/>
  <c r="FI4" i="58" s="1"/>
  <c r="FJ4" i="58" a="1"/>
  <c r="FJ4" i="58" s="1"/>
  <c r="FK4" i="58" a="1"/>
  <c r="FK4" i="58" s="1"/>
  <c r="FL4" i="58" a="1"/>
  <c r="FL4" i="58" s="1"/>
  <c r="FM4" i="58" a="1"/>
  <c r="FM4" i="58" s="1"/>
  <c r="FN4" i="58" a="1"/>
  <c r="FN4" i="58" s="1"/>
  <c r="FO4" i="58" a="1"/>
  <c r="FO4" i="58" s="1"/>
  <c r="FP4" i="58" a="1"/>
  <c r="FP4" i="58" s="1"/>
  <c r="FQ4" i="58" a="1"/>
  <c r="FQ4" i="58" s="1"/>
  <c r="FR4" i="58" a="1"/>
  <c r="FR4" i="58" s="1"/>
  <c r="FS4" i="58" a="1"/>
  <c r="FS4" i="58" s="1"/>
  <c r="FT4" i="58" a="1"/>
  <c r="FT4" i="58" s="1"/>
  <c r="FU4" i="58" a="1"/>
  <c r="FU4" i="58" s="1"/>
  <c r="FV4" i="58" a="1"/>
  <c r="FV4" i="58" s="1"/>
  <c r="FW4" i="58" a="1"/>
  <c r="FW4" i="58" s="1"/>
  <c r="FX4" i="58" a="1"/>
  <c r="FX4" i="58" s="1"/>
  <c r="FY4" i="58" a="1"/>
  <c r="FY4" i="58" s="1"/>
  <c r="FZ4" i="58" a="1"/>
  <c r="FZ4" i="58" s="1"/>
  <c r="GA4" i="58" a="1"/>
  <c r="GA4" i="58" s="1"/>
  <c r="GB4" i="58" a="1"/>
  <c r="GB4" i="58" s="1"/>
  <c r="GC4" i="58" a="1"/>
  <c r="GC4" i="58" s="1"/>
  <c r="GD4" i="58" a="1"/>
  <c r="GD4" i="58" s="1"/>
  <c r="GE4" i="58" a="1"/>
  <c r="GE4" i="58" s="1"/>
  <c r="GF4" i="58" a="1"/>
  <c r="GF4" i="58" s="1"/>
  <c r="GG4" i="58" a="1"/>
  <c r="GG4" i="58" s="1"/>
  <c r="GH4" i="58" a="1"/>
  <c r="GH4" i="58" s="1"/>
  <c r="GI4" i="58" a="1"/>
  <c r="GI4" i="58" s="1"/>
  <c r="CX4" i="58" a="1"/>
  <c r="CX4" i="58" s="1"/>
  <c r="CY4" i="58" a="1"/>
  <c r="CY4" i="58" s="1"/>
  <c r="CZ4" i="58" a="1"/>
  <c r="CZ4" i="58" s="1"/>
  <c r="DA4" i="58" a="1"/>
  <c r="DA4" i="58" s="1"/>
  <c r="DB4" i="58" a="1"/>
  <c r="DB4" i="58" s="1"/>
  <c r="DC4" i="58" a="1"/>
  <c r="DC4" i="58" s="1"/>
  <c r="DD4" i="58" a="1"/>
  <c r="DD4" i="58" s="1"/>
  <c r="DE4" i="58" a="1"/>
  <c r="DE4" i="58" s="1"/>
  <c r="DF4" i="58" a="1"/>
  <c r="DF4" i="58" s="1"/>
  <c r="DG4" i="58" a="1"/>
  <c r="DG4" i="58" s="1"/>
  <c r="DH4" i="58" a="1"/>
  <c r="DH4" i="58" s="1"/>
  <c r="DI4" i="58" a="1"/>
  <c r="DI4" i="58" s="1"/>
  <c r="DJ4" i="58" a="1"/>
  <c r="DJ4" i="58" s="1"/>
  <c r="DK4" i="58" a="1"/>
  <c r="DK4" i="58" s="1"/>
  <c r="DL4" i="58" a="1"/>
  <c r="DL4" i="58" s="1"/>
  <c r="DM4" i="58" a="1"/>
  <c r="DM4" i="58" s="1"/>
  <c r="DN4" i="58" a="1"/>
  <c r="DN4" i="58" s="1"/>
  <c r="DO4" i="58" a="1"/>
  <c r="DO4" i="58" s="1"/>
  <c r="DP4" i="58" a="1"/>
  <c r="DP4" i="58" s="1"/>
  <c r="DQ4" i="58" a="1"/>
  <c r="DQ4" i="58" s="1"/>
  <c r="DR4" i="58" a="1"/>
  <c r="DR4" i="58" s="1"/>
  <c r="DS4" i="58" a="1"/>
  <c r="DS4" i="58" s="1"/>
  <c r="DT4" i="58" a="1"/>
  <c r="DT4" i="58" s="1"/>
  <c r="DU4" i="58" a="1"/>
  <c r="DU4" i="58" s="1"/>
  <c r="DV4" i="58" a="1"/>
  <c r="DV4" i="58" s="1"/>
  <c r="DW4" i="58" a="1"/>
  <c r="DW4" i="58" s="1"/>
  <c r="DX4" i="58" a="1"/>
  <c r="DX4" i="58" s="1"/>
  <c r="DY4" i="58" a="1"/>
  <c r="DY4" i="58" s="1"/>
  <c r="DZ4" i="58" a="1"/>
  <c r="DZ4" i="58" s="1"/>
  <c r="EA4" i="58" a="1"/>
  <c r="EA4" i="58" s="1"/>
  <c r="EB4" i="58" a="1"/>
  <c r="EB4" i="58" s="1"/>
  <c r="EC4" i="58" a="1"/>
  <c r="EC4" i="58" s="1"/>
  <c r="ED4" i="58" a="1"/>
  <c r="ED4" i="58" s="1"/>
  <c r="EE4" i="58" a="1"/>
  <c r="EE4" i="58" s="1"/>
  <c r="EF4" i="58" a="1"/>
  <c r="EF4" i="58" s="1"/>
  <c r="EG4" i="58" a="1"/>
  <c r="EG4" i="58" s="1"/>
  <c r="EH4" i="58" a="1"/>
  <c r="EH4" i="58" s="1"/>
  <c r="EI4" i="58" a="1"/>
  <c r="EI4" i="58" s="1"/>
  <c r="EJ4" i="58" a="1"/>
  <c r="EJ4" i="58" s="1"/>
  <c r="EK4" i="58" a="1"/>
  <c r="EK4" i="58" s="1"/>
  <c r="EL4" i="58" a="1"/>
  <c r="EL4" i="58" s="1"/>
  <c r="EM4" i="58" a="1"/>
  <c r="EM4" i="58" s="1"/>
  <c r="EN4" i="58" a="1"/>
  <c r="EN4" i="58" s="1"/>
  <c r="EO4" i="58" a="1"/>
  <c r="EO4" i="58" s="1"/>
  <c r="EP4" i="58" a="1"/>
  <c r="EP4" i="58" s="1"/>
  <c r="EQ4" i="58" a="1"/>
  <c r="EQ4" i="58" s="1"/>
  <c r="ER4" i="58" a="1"/>
  <c r="ER4" i="58" s="1"/>
  <c r="ES4" i="58" a="1"/>
  <c r="ES4" i="58" s="1"/>
  <c r="ET4" i="58" a="1"/>
  <c r="ET4" i="58" s="1"/>
  <c r="EU4" i="58" a="1"/>
  <c r="EU4" i="58" s="1"/>
  <c r="AZ4" i="58" a="1"/>
  <c r="AZ4" i="58" s="1"/>
  <c r="BA4" i="58" a="1"/>
  <c r="BA4" i="58" s="1"/>
  <c r="BB4" i="58" a="1"/>
  <c r="BB4" i="58" s="1"/>
  <c r="BC4" i="58" a="1"/>
  <c r="BC4" i="58" s="1"/>
  <c r="BD4" i="58" a="1"/>
  <c r="BD4" i="58" s="1"/>
  <c r="BE4" i="58" a="1"/>
  <c r="BE4" i="58" s="1"/>
  <c r="BF4" i="58" a="1"/>
  <c r="BF4" i="58" s="1"/>
  <c r="BG4" i="58" a="1"/>
  <c r="BG4" i="58" s="1"/>
  <c r="BH4" i="58" a="1"/>
  <c r="BH4" i="58" s="1"/>
  <c r="BI4" i="58" a="1"/>
  <c r="BI4" i="58" s="1"/>
  <c r="BJ4" i="58" a="1"/>
  <c r="BJ4" i="58" s="1"/>
  <c r="BK4" i="58" a="1"/>
  <c r="BK4" i="58" s="1"/>
  <c r="BL4" i="58" a="1"/>
  <c r="BL4" i="58" s="1"/>
  <c r="BM4" i="58" a="1"/>
  <c r="BM4" i="58" s="1"/>
  <c r="BN4" i="58" a="1"/>
  <c r="BN4" i="58" s="1"/>
  <c r="BO4" i="58" a="1"/>
  <c r="BO4" i="58" s="1"/>
  <c r="BP4" i="58" a="1"/>
  <c r="BP4" i="58" s="1"/>
  <c r="BQ4" i="58" a="1"/>
  <c r="BQ4" i="58" s="1"/>
  <c r="BR4" i="58" a="1"/>
  <c r="BR4" i="58" s="1"/>
  <c r="BS4" i="58" a="1"/>
  <c r="BS4" i="58" s="1"/>
  <c r="BT4" i="58" a="1"/>
  <c r="BT4" i="58" s="1"/>
  <c r="BU4" i="58" a="1"/>
  <c r="BU4" i="58" s="1"/>
  <c r="BV4" i="58" a="1"/>
  <c r="BV4" i="58" s="1"/>
  <c r="BW4" i="58" a="1"/>
  <c r="BW4" i="58" s="1"/>
  <c r="BX4" i="58" a="1"/>
  <c r="BX4" i="58" s="1"/>
  <c r="BY4" i="58" a="1"/>
  <c r="BY4" i="58" s="1"/>
  <c r="BZ4" i="58" a="1"/>
  <c r="BZ4" i="58" s="1"/>
  <c r="CA4" i="58" a="1"/>
  <c r="CA4" i="58" s="1"/>
  <c r="CB4" i="58" a="1"/>
  <c r="CB4" i="58" s="1"/>
  <c r="CC4" i="58" a="1"/>
  <c r="CC4" i="58" s="1"/>
  <c r="CD4" i="58" a="1"/>
  <c r="CD4" i="58" s="1"/>
  <c r="CE4" i="58" a="1"/>
  <c r="CE4" i="58" s="1"/>
  <c r="CF4" i="58" a="1"/>
  <c r="CF4" i="58" s="1"/>
  <c r="CG4" i="58" a="1"/>
  <c r="CG4" i="58" s="1"/>
  <c r="CH4" i="58" a="1"/>
  <c r="CH4" i="58" s="1"/>
  <c r="CI4" i="58" a="1"/>
  <c r="CI4" i="58" s="1"/>
  <c r="CJ4" i="58" a="1"/>
  <c r="CJ4" i="58" s="1"/>
  <c r="CK4" i="58" a="1"/>
  <c r="CK4" i="58" s="1"/>
  <c r="CL4" i="58" a="1"/>
  <c r="CL4" i="58" s="1"/>
  <c r="CM4" i="58" a="1"/>
  <c r="CM4" i="58" s="1"/>
  <c r="CN4" i="58" a="1"/>
  <c r="CN4" i="58" s="1"/>
  <c r="CO4" i="58" a="1"/>
  <c r="CO4" i="58" s="1"/>
  <c r="CP4" i="58" a="1"/>
  <c r="CP4" i="58" s="1"/>
  <c r="CQ4" i="58" a="1"/>
  <c r="CQ4" i="58" s="1"/>
  <c r="CR4" i="58" a="1"/>
  <c r="CR4" i="58" s="1"/>
  <c r="CS4" i="58" a="1"/>
  <c r="CS4" i="58" s="1"/>
  <c r="CT4" i="58" a="1"/>
  <c r="CT4" i="58" s="1"/>
  <c r="CU4" i="58" a="1"/>
  <c r="CU4" i="58" s="1"/>
  <c r="CV4" i="58" a="1"/>
  <c r="CV4" i="58" s="1"/>
  <c r="CW4" i="58" a="1"/>
  <c r="CW4" i="58" s="1"/>
  <c r="B4" i="58" a="1"/>
  <c r="B4" i="58" s="1"/>
  <c r="C4" i="58" a="1"/>
  <c r="C4" i="58" s="1"/>
  <c r="D4" i="58" a="1"/>
  <c r="D4" i="58" s="1"/>
  <c r="E4" i="58" a="1"/>
  <c r="E4" i="58" s="1"/>
  <c r="F4" i="58" a="1"/>
  <c r="F4" i="58" s="1"/>
  <c r="G4" i="58" a="1"/>
  <c r="G4" i="58" s="1"/>
  <c r="H4" i="58" a="1"/>
  <c r="H4" i="58" s="1"/>
  <c r="I4" i="58" a="1"/>
  <c r="I4" i="58" s="1"/>
  <c r="J4" i="58" a="1"/>
  <c r="J4" i="58" s="1"/>
  <c r="K4" i="58" a="1"/>
  <c r="K4" i="58" s="1"/>
  <c r="L4" i="58" a="1"/>
  <c r="L4" i="58" s="1"/>
  <c r="M4" i="58" a="1"/>
  <c r="M4" i="58" s="1"/>
  <c r="N4" i="58" a="1"/>
  <c r="N4" i="58" s="1"/>
  <c r="O4" i="58" a="1"/>
  <c r="O4" i="58" s="1"/>
  <c r="P4" i="58" a="1"/>
  <c r="P4" i="58" s="1"/>
  <c r="Q4" i="58" a="1"/>
  <c r="Q4" i="58" s="1"/>
  <c r="R4" i="58" a="1"/>
  <c r="R4" i="58" s="1"/>
  <c r="S4" i="58" a="1"/>
  <c r="S4" i="58" s="1"/>
  <c r="T4" i="58" a="1"/>
  <c r="T4" i="58" s="1"/>
  <c r="U4" i="58" a="1"/>
  <c r="U4" i="58" s="1"/>
  <c r="V4" i="58" a="1"/>
  <c r="V4" i="58" s="1"/>
  <c r="W4" i="58" a="1"/>
  <c r="W4" i="58" s="1"/>
  <c r="X4" i="58" a="1"/>
  <c r="X4" i="58" s="1"/>
  <c r="Y4" i="58" a="1"/>
  <c r="Y4" i="58" s="1"/>
  <c r="Z4" i="58" a="1"/>
  <c r="Z4" i="58" s="1"/>
  <c r="AA4" i="58" a="1"/>
  <c r="AA4" i="58" s="1"/>
  <c r="AB4" i="58" a="1"/>
  <c r="AB4" i="58" s="1"/>
  <c r="AC4" i="58" a="1"/>
  <c r="AC4" i="58" s="1"/>
  <c r="AD4" i="58" a="1"/>
  <c r="AD4" i="58" s="1"/>
  <c r="AE4" i="58" a="1"/>
  <c r="AE4" i="58" s="1"/>
  <c r="AF4" i="58" a="1"/>
  <c r="AF4" i="58" s="1"/>
  <c r="AG4" i="58" a="1"/>
  <c r="AG4" i="58" s="1"/>
  <c r="AH4" i="58" a="1"/>
  <c r="AH4" i="58" s="1"/>
  <c r="AI4" i="58" a="1"/>
  <c r="AI4" i="58" s="1"/>
  <c r="AJ4" i="58" a="1"/>
  <c r="AJ4" i="58" s="1"/>
  <c r="AK4" i="58" a="1"/>
  <c r="AK4" i="58" s="1"/>
  <c r="AL4" i="58" a="1"/>
  <c r="AL4" i="58" s="1"/>
  <c r="AM4" i="58" a="1"/>
  <c r="AM4" i="58" s="1"/>
  <c r="AN4" i="58" a="1"/>
  <c r="AN4" i="58" s="1"/>
  <c r="AO4" i="58" a="1"/>
  <c r="AO4" i="58" s="1"/>
  <c r="AP4" i="58" a="1"/>
  <c r="AP4" i="58" s="1"/>
  <c r="AQ4" i="58" a="1"/>
  <c r="AQ4" i="58" s="1"/>
  <c r="AR4" i="58" a="1"/>
  <c r="AR4" i="58" s="1"/>
  <c r="AS4" i="58" a="1"/>
  <c r="AS4" i="58" s="1"/>
  <c r="AT4" i="58" a="1"/>
  <c r="AT4" i="58" s="1"/>
  <c r="AU4" i="58" a="1"/>
  <c r="AU4" i="58" s="1"/>
  <c r="AV4" i="58" a="1"/>
  <c r="AV4" i="58" s="1"/>
  <c r="AW4" i="58" a="1"/>
  <c r="AW4" i="58" s="1"/>
  <c r="AX4" i="58" a="1"/>
  <c r="AX4" i="58" s="1"/>
  <c r="AY4" i="58" a="1"/>
  <c r="AY4" i="58" s="1"/>
  <c r="EV3" i="58" a="1"/>
  <c r="EV3" i="58" s="1"/>
  <c r="EW3" i="58" a="1"/>
  <c r="EW3" i="58" s="1"/>
  <c r="EX3" i="58" a="1"/>
  <c r="EX3" i="58" s="1"/>
  <c r="EY3" i="58" a="1"/>
  <c r="EY3" i="58" s="1"/>
  <c r="EZ3" i="58" a="1"/>
  <c r="EZ3" i="58" s="1"/>
  <c r="FA3" i="58" a="1"/>
  <c r="FA3" i="58" s="1"/>
  <c r="FB3" i="58" a="1"/>
  <c r="FB3" i="58" s="1"/>
  <c r="FC3" i="58" a="1"/>
  <c r="FC3" i="58" s="1"/>
  <c r="FD3" i="58" a="1"/>
  <c r="FD3" i="58" s="1"/>
  <c r="FE3" i="58" a="1"/>
  <c r="FE3" i="58" s="1"/>
  <c r="FF3" i="58" a="1"/>
  <c r="FF3" i="58" s="1"/>
  <c r="FG3" i="58" a="1"/>
  <c r="FG3" i="58" s="1"/>
  <c r="FH3" i="58" a="1"/>
  <c r="FH3" i="58" s="1"/>
  <c r="FI3" i="58" a="1"/>
  <c r="FI3" i="58" s="1"/>
  <c r="FJ3" i="58" a="1"/>
  <c r="FJ3" i="58" s="1"/>
  <c r="FK3" i="58" a="1"/>
  <c r="FK3" i="58" s="1"/>
  <c r="FL3" i="58" a="1"/>
  <c r="FL3" i="58" s="1"/>
  <c r="FM3" i="58" a="1"/>
  <c r="FM3" i="58" s="1"/>
  <c r="FN3" i="58" a="1"/>
  <c r="FN3" i="58" s="1"/>
  <c r="FO3" i="58" a="1"/>
  <c r="FO3" i="58" s="1"/>
  <c r="FP3" i="58" a="1"/>
  <c r="FP3" i="58" s="1"/>
  <c r="FQ3" i="58" a="1"/>
  <c r="FQ3" i="58" s="1"/>
  <c r="FR3" i="58" a="1"/>
  <c r="FR3" i="58" s="1"/>
  <c r="FS3" i="58" a="1"/>
  <c r="FS3" i="58" s="1"/>
  <c r="FT3" i="58" a="1"/>
  <c r="FT3" i="58" s="1"/>
  <c r="FU3" i="58" a="1"/>
  <c r="FU3" i="58" s="1"/>
  <c r="FV3" i="58" a="1"/>
  <c r="FV3" i="58" s="1"/>
  <c r="FW3" i="58" a="1"/>
  <c r="FW3" i="58" s="1"/>
  <c r="FX3" i="58" a="1"/>
  <c r="FX3" i="58" s="1"/>
  <c r="FY3" i="58" a="1"/>
  <c r="FY3" i="58" s="1"/>
  <c r="FZ3" i="58" a="1"/>
  <c r="FZ3" i="58" s="1"/>
  <c r="GA3" i="58" a="1"/>
  <c r="GA3" i="58" s="1"/>
  <c r="GB3" i="58" a="1"/>
  <c r="GB3" i="58" s="1"/>
  <c r="GC3" i="58" a="1"/>
  <c r="GC3" i="58" s="1"/>
  <c r="GD3" i="58" a="1"/>
  <c r="GD3" i="58" s="1"/>
  <c r="GE3" i="58" a="1"/>
  <c r="GE3" i="58" s="1"/>
  <c r="GF3" i="58" a="1"/>
  <c r="GF3" i="58" s="1"/>
  <c r="GG3" i="58" a="1"/>
  <c r="GG3" i="58" s="1"/>
  <c r="GH3" i="58" a="1"/>
  <c r="GH3" i="58" s="1"/>
  <c r="GI3" i="58" a="1"/>
  <c r="GI3" i="58" s="1"/>
  <c r="CX3" i="58" a="1"/>
  <c r="CX3" i="58" s="1"/>
  <c r="CY3" i="58" a="1"/>
  <c r="CY3" i="58" s="1"/>
  <c r="CZ3" i="58" a="1"/>
  <c r="CZ3" i="58" s="1"/>
  <c r="DA3" i="58" a="1"/>
  <c r="DA3" i="58" s="1"/>
  <c r="DB3" i="58" a="1"/>
  <c r="DB3" i="58" s="1"/>
  <c r="DC3" i="58" a="1"/>
  <c r="DC3" i="58" s="1"/>
  <c r="DD3" i="58" a="1"/>
  <c r="DD3" i="58" s="1"/>
  <c r="DE3" i="58" a="1"/>
  <c r="DE3" i="58" s="1"/>
  <c r="DF3" i="58" a="1"/>
  <c r="DF3" i="58" s="1"/>
  <c r="DG3" i="58" a="1"/>
  <c r="DG3" i="58" s="1"/>
  <c r="DH3" i="58" a="1"/>
  <c r="DH3" i="58" s="1"/>
  <c r="DI3" i="58" a="1"/>
  <c r="DI3" i="58" s="1"/>
  <c r="DJ3" i="58" a="1"/>
  <c r="DJ3" i="58" s="1"/>
  <c r="DK3" i="58" a="1"/>
  <c r="DK3" i="58" s="1"/>
  <c r="DL3" i="58" a="1"/>
  <c r="DL3" i="58" s="1"/>
  <c r="DM3" i="58" a="1"/>
  <c r="DM3" i="58" s="1"/>
  <c r="DN3" i="58" a="1"/>
  <c r="DN3" i="58" s="1"/>
  <c r="DO3" i="58" a="1"/>
  <c r="DO3" i="58" s="1"/>
  <c r="DP3" i="58" a="1"/>
  <c r="DP3" i="58" s="1"/>
  <c r="DQ3" i="58" a="1"/>
  <c r="DQ3" i="58" s="1"/>
  <c r="DR3" i="58" a="1"/>
  <c r="DR3" i="58" s="1"/>
  <c r="DS3" i="58" a="1"/>
  <c r="DS3" i="58" s="1"/>
  <c r="DT3" i="58" a="1"/>
  <c r="DT3" i="58" s="1"/>
  <c r="DU3" i="58" a="1"/>
  <c r="DU3" i="58" s="1"/>
  <c r="DV3" i="58" a="1"/>
  <c r="DV3" i="58" s="1"/>
  <c r="DW3" i="58" a="1"/>
  <c r="DW3" i="58" s="1"/>
  <c r="DX3" i="58" a="1"/>
  <c r="DX3" i="58" s="1"/>
  <c r="DY3" i="58" a="1"/>
  <c r="DY3" i="58" s="1"/>
  <c r="DZ3" i="58" a="1"/>
  <c r="DZ3" i="58" s="1"/>
  <c r="EA3" i="58" a="1"/>
  <c r="EA3" i="58" s="1"/>
  <c r="EB3" i="58" a="1"/>
  <c r="EB3" i="58" s="1"/>
  <c r="EC3" i="58" a="1"/>
  <c r="EC3" i="58" s="1"/>
  <c r="ED3" i="58" a="1"/>
  <c r="ED3" i="58" s="1"/>
  <c r="EE3" i="58" a="1"/>
  <c r="EE3" i="58" s="1"/>
  <c r="EF3" i="58" a="1"/>
  <c r="EF3" i="58" s="1"/>
  <c r="EG3" i="58" a="1"/>
  <c r="EG3" i="58" s="1"/>
  <c r="EH3" i="58" a="1"/>
  <c r="EH3" i="58" s="1"/>
  <c r="EI3" i="58" a="1"/>
  <c r="EI3" i="58" s="1"/>
  <c r="EJ3" i="58" a="1"/>
  <c r="EJ3" i="58" s="1"/>
  <c r="EK3" i="58" a="1"/>
  <c r="EK3" i="58" s="1"/>
  <c r="EL3" i="58" a="1"/>
  <c r="EL3" i="58" s="1"/>
  <c r="EM3" i="58" a="1"/>
  <c r="EM3" i="58" s="1"/>
  <c r="EN3" i="58" a="1"/>
  <c r="EN3" i="58" s="1"/>
  <c r="EO3" i="58" a="1"/>
  <c r="EO3" i="58" s="1"/>
  <c r="EP3" i="58" a="1"/>
  <c r="EP3" i="58" s="1"/>
  <c r="EQ3" i="58" a="1"/>
  <c r="EQ3" i="58" s="1"/>
  <c r="ER3" i="58" a="1"/>
  <c r="ER3" i="58" s="1"/>
  <c r="ES3" i="58" a="1"/>
  <c r="ES3" i="58" s="1"/>
  <c r="ET3" i="58" a="1"/>
  <c r="ET3" i="58" s="1"/>
  <c r="EU3" i="58" a="1"/>
  <c r="EU3" i="58" s="1"/>
  <c r="AZ3" i="58" a="1"/>
  <c r="AZ3" i="58" s="1"/>
  <c r="BA3" i="58" a="1"/>
  <c r="BA3" i="58" s="1"/>
  <c r="BB3" i="58" a="1"/>
  <c r="BB3" i="58" s="1"/>
  <c r="BC3" i="58" a="1"/>
  <c r="BC3" i="58" s="1"/>
  <c r="BD3" i="58" a="1"/>
  <c r="BD3" i="58" s="1"/>
  <c r="BE3" i="58" a="1"/>
  <c r="BE3" i="58" s="1"/>
  <c r="BF3" i="58" a="1"/>
  <c r="BF3" i="58" s="1"/>
  <c r="BG3" i="58" a="1"/>
  <c r="BG3" i="58" s="1"/>
  <c r="BH3" i="58" a="1"/>
  <c r="BH3" i="58" s="1"/>
  <c r="BI3" i="58" a="1"/>
  <c r="BI3" i="58" s="1"/>
  <c r="BJ3" i="58" a="1"/>
  <c r="BJ3" i="58" s="1"/>
  <c r="BK3" i="58" a="1"/>
  <c r="BK3" i="58" s="1"/>
  <c r="BL3" i="58" a="1"/>
  <c r="BL3" i="58" s="1"/>
  <c r="BM3" i="58" a="1"/>
  <c r="BM3" i="58" s="1"/>
  <c r="BN3" i="58" a="1"/>
  <c r="BN3" i="58" s="1"/>
  <c r="BO3" i="58" a="1"/>
  <c r="BO3" i="58" s="1"/>
  <c r="BP3" i="58" a="1"/>
  <c r="BP3" i="58" s="1"/>
  <c r="BQ3" i="58" a="1"/>
  <c r="BQ3" i="58" s="1"/>
  <c r="BR3" i="58" a="1"/>
  <c r="BR3" i="58" s="1"/>
  <c r="BS3" i="58" a="1"/>
  <c r="BS3" i="58" s="1"/>
  <c r="BT3" i="58" a="1"/>
  <c r="BT3" i="58" s="1"/>
  <c r="BU3" i="58" a="1"/>
  <c r="BU3" i="58" s="1"/>
  <c r="BV3" i="58" a="1"/>
  <c r="BV3" i="58" s="1"/>
  <c r="BW3" i="58" a="1"/>
  <c r="BW3" i="58" s="1"/>
  <c r="BX3" i="58" a="1"/>
  <c r="BX3" i="58" s="1"/>
  <c r="BY3" i="58" a="1"/>
  <c r="BY3" i="58" s="1"/>
  <c r="BZ3" i="58" a="1"/>
  <c r="BZ3" i="58" s="1"/>
  <c r="CA3" i="58" a="1"/>
  <c r="CA3" i="58" s="1"/>
  <c r="CB3" i="58" a="1"/>
  <c r="CB3" i="58" s="1"/>
  <c r="CC3" i="58" a="1"/>
  <c r="CC3" i="58" s="1"/>
  <c r="CD3" i="58" a="1"/>
  <c r="CD3" i="58" s="1"/>
  <c r="CE3" i="58" a="1"/>
  <c r="CE3" i="58" s="1"/>
  <c r="CF3" i="58" a="1"/>
  <c r="CF3" i="58" s="1"/>
  <c r="CG3" i="58" a="1"/>
  <c r="CG3" i="58" s="1"/>
  <c r="CH3" i="58" a="1"/>
  <c r="CH3" i="58" s="1"/>
  <c r="CI3" i="58" a="1"/>
  <c r="CI3" i="58" s="1"/>
  <c r="CJ3" i="58" a="1"/>
  <c r="CJ3" i="58" s="1"/>
  <c r="CK3" i="58" a="1"/>
  <c r="CK3" i="58" s="1"/>
  <c r="CL3" i="58" a="1"/>
  <c r="CL3" i="58" s="1"/>
  <c r="CM3" i="58" a="1"/>
  <c r="CM3" i="58" s="1"/>
  <c r="CN3" i="58" a="1"/>
  <c r="CN3" i="58" s="1"/>
  <c r="CO3" i="58" a="1"/>
  <c r="CO3" i="58" s="1"/>
  <c r="CP3" i="58" a="1"/>
  <c r="CP3" i="58" s="1"/>
  <c r="CQ3" i="58" a="1"/>
  <c r="CQ3" i="58" s="1"/>
  <c r="CR3" i="58" a="1"/>
  <c r="CR3" i="58" s="1"/>
  <c r="CS3" i="58" a="1"/>
  <c r="CS3" i="58" s="1"/>
  <c r="CT3" i="58" a="1"/>
  <c r="CT3" i="58" s="1"/>
  <c r="CU3" i="58" a="1"/>
  <c r="CU3" i="58" s="1"/>
  <c r="CV3" i="58" a="1"/>
  <c r="CV3" i="58" s="1"/>
  <c r="CW3" i="58" a="1"/>
  <c r="CW3" i="58" s="1"/>
  <c r="B3" i="58" a="1"/>
  <c r="B3" i="58" s="1"/>
  <c r="C3" i="58" a="1"/>
  <c r="C3" i="58" s="1"/>
  <c r="D3" i="58" a="1"/>
  <c r="D3" i="58" s="1"/>
  <c r="E3" i="58" a="1"/>
  <c r="E3" i="58" s="1"/>
  <c r="F3" i="58" a="1"/>
  <c r="F3" i="58" s="1"/>
  <c r="G3" i="58" a="1"/>
  <c r="G3" i="58" s="1"/>
  <c r="H3" i="58" a="1"/>
  <c r="H3" i="58" s="1"/>
  <c r="I3" i="58" a="1"/>
  <c r="I3" i="58" s="1"/>
  <c r="J3" i="58" a="1"/>
  <c r="J3" i="58" s="1"/>
  <c r="K3" i="58" a="1"/>
  <c r="K3" i="58" s="1"/>
  <c r="L3" i="58" a="1"/>
  <c r="L3" i="58" s="1"/>
  <c r="M3" i="58" a="1"/>
  <c r="M3" i="58" s="1"/>
  <c r="N3" i="58" a="1"/>
  <c r="N3" i="58" s="1"/>
  <c r="O3" i="58" a="1"/>
  <c r="O3" i="58" s="1"/>
  <c r="P3" i="58" a="1"/>
  <c r="P3" i="58" s="1"/>
  <c r="Q3" i="58" a="1"/>
  <c r="Q3" i="58" s="1"/>
  <c r="R3" i="58" a="1"/>
  <c r="R3" i="58" s="1"/>
  <c r="S3" i="58" a="1"/>
  <c r="S3" i="58" s="1"/>
  <c r="T3" i="58" a="1"/>
  <c r="T3" i="58" s="1"/>
  <c r="U3" i="58" a="1"/>
  <c r="U3" i="58" s="1"/>
  <c r="V3" i="58" a="1"/>
  <c r="V3" i="58" s="1"/>
  <c r="W3" i="58" a="1"/>
  <c r="W3" i="58" s="1"/>
  <c r="X3" i="58" a="1"/>
  <c r="X3" i="58" s="1"/>
  <c r="Y3" i="58" a="1"/>
  <c r="Y3" i="58" s="1"/>
  <c r="Z3" i="58" a="1"/>
  <c r="Z3" i="58" s="1"/>
  <c r="AA3" i="58" a="1"/>
  <c r="AA3" i="58" s="1"/>
  <c r="AB3" i="58" a="1"/>
  <c r="AB3" i="58" s="1"/>
  <c r="AC3" i="58" a="1"/>
  <c r="AC3" i="58" s="1"/>
  <c r="AD3" i="58" a="1"/>
  <c r="AD3" i="58" s="1"/>
  <c r="AE3" i="58" a="1"/>
  <c r="AE3" i="58" s="1"/>
  <c r="AF3" i="58" a="1"/>
  <c r="AF3" i="58" s="1"/>
  <c r="AG3" i="58" a="1"/>
  <c r="AG3" i="58" s="1"/>
  <c r="AH3" i="58" a="1"/>
  <c r="AH3" i="58" s="1"/>
  <c r="AI3" i="58" a="1"/>
  <c r="AI3" i="58" s="1"/>
  <c r="AJ3" i="58" a="1"/>
  <c r="AJ3" i="58" s="1"/>
  <c r="AK3" i="58" a="1"/>
  <c r="AK3" i="58" s="1"/>
  <c r="AL3" i="58" a="1"/>
  <c r="AL3" i="58" s="1"/>
  <c r="AM3" i="58" a="1"/>
  <c r="AM3" i="58" s="1"/>
  <c r="AN3" i="58" a="1"/>
  <c r="AN3" i="58" s="1"/>
  <c r="AO3" i="58" a="1"/>
  <c r="AO3" i="58" s="1"/>
  <c r="AP3" i="58" a="1"/>
  <c r="AP3" i="58" s="1"/>
  <c r="AQ3" i="58" a="1"/>
  <c r="AQ3" i="58" s="1"/>
  <c r="AR3" i="58" a="1"/>
  <c r="AR3" i="58" s="1"/>
  <c r="AS3" i="58" a="1"/>
  <c r="AS3" i="58" s="1"/>
  <c r="AT3" i="58" a="1"/>
  <c r="AT3" i="58" s="1"/>
  <c r="AU3" i="58" a="1"/>
  <c r="AU3" i="58" s="1"/>
  <c r="AV3" i="58" a="1"/>
  <c r="AV3" i="58" s="1"/>
  <c r="AW3" i="58" a="1"/>
  <c r="AW3" i="58" s="1"/>
  <c r="AX3" i="58" a="1"/>
  <c r="AX3" i="58" s="1"/>
  <c r="AY3" i="58" a="1"/>
  <c r="AY3" i="58" s="1"/>
  <c r="AL29" i="50"/>
  <c r="AL28" i="50"/>
  <c r="AL27" i="50"/>
  <c r="AL26" i="50"/>
  <c r="AL25" i="50"/>
  <c r="AL24" i="50"/>
  <c r="AL23" i="50"/>
  <c r="AL22" i="50"/>
  <c r="AL21" i="50"/>
  <c r="AL20" i="50"/>
  <c r="AL19" i="50"/>
  <c r="AL18" i="50"/>
  <c r="AL17" i="50"/>
  <c r="AL16" i="50"/>
  <c r="AL15" i="50"/>
  <c r="AL14" i="50"/>
  <c r="AL13" i="50"/>
  <c r="AL12" i="50"/>
  <c r="AL11" i="50"/>
  <c r="AL10" i="50"/>
  <c r="AL9" i="50"/>
  <c r="AL8" i="50"/>
  <c r="AL7" i="50"/>
  <c r="AL6" i="50"/>
  <c r="AL5" i="50"/>
  <c r="AJ29" i="50" a="1"/>
  <c r="AJ29" i="50"/>
  <c r="AI29" i="50" a="1"/>
  <c r="AI29" i="50" s="1"/>
  <c r="AH29" i="50" a="1"/>
  <c r="AH29" i="50" s="1"/>
  <c r="AG29" i="50" a="1"/>
  <c r="AG29" i="50" s="1"/>
  <c r="AK29" i="50" s="1"/>
  <c r="AE29" i="50" a="1"/>
  <c r="AE29" i="50" s="1"/>
  <c r="AD29" i="50" a="1"/>
  <c r="AD29" i="50"/>
  <c r="AC29" i="50" a="1"/>
  <c r="AC29" i="50"/>
  <c r="AB29" i="50" a="1"/>
  <c r="AB29" i="50" s="1"/>
  <c r="Z29" i="50" a="1"/>
  <c r="Z29" i="50" s="1"/>
  <c r="Y29" i="50" a="1"/>
  <c r="Y29" i="50" s="1"/>
  <c r="X29" i="50" a="1"/>
  <c r="X29" i="50" s="1"/>
  <c r="W29" i="50" a="1"/>
  <c r="W29" i="50"/>
  <c r="AA29" i="50" s="1"/>
  <c r="U29" i="50" a="1"/>
  <c r="U29" i="50"/>
  <c r="T29" i="50" a="1"/>
  <c r="T29" i="50"/>
  <c r="S29" i="50" a="1"/>
  <c r="S29" i="50" s="1"/>
  <c r="R29" i="50" a="1"/>
  <c r="R29" i="50" s="1"/>
  <c r="P29" i="50" a="1"/>
  <c r="P29" i="50" s="1"/>
  <c r="O29" i="50" a="1"/>
  <c r="O29" i="50" s="1"/>
  <c r="N29" i="50" a="1"/>
  <c r="N29" i="50"/>
  <c r="M29" i="50" a="1"/>
  <c r="M29" i="50" s="1"/>
  <c r="K29" i="50" a="1"/>
  <c r="K29" i="50"/>
  <c r="J29" i="50" a="1"/>
  <c r="J29" i="50" s="1"/>
  <c r="I29" i="50" a="1"/>
  <c r="I29" i="50" s="1"/>
  <c r="H29" i="50" a="1"/>
  <c r="H29" i="50" s="1"/>
  <c r="L29" i="50" s="1"/>
  <c r="F29" i="50" a="1"/>
  <c r="F29" i="50" s="1"/>
  <c r="E29" i="50" a="1"/>
  <c r="E29" i="50"/>
  <c r="D29" i="50" a="1"/>
  <c r="D29" i="50" s="1"/>
  <c r="C29" i="50" a="1"/>
  <c r="C29" i="50" s="1"/>
  <c r="AJ28" i="50" a="1"/>
  <c r="AJ28" i="50" s="1"/>
  <c r="AI28" i="50" a="1"/>
  <c r="AI28" i="50"/>
  <c r="AH28" i="50" a="1"/>
  <c r="AH28" i="50" s="1"/>
  <c r="AG28" i="50" a="1"/>
  <c r="AG28" i="50" s="1"/>
  <c r="AE28" i="50" a="1"/>
  <c r="AE28" i="50" s="1"/>
  <c r="AD28" i="50" a="1"/>
  <c r="AD28" i="50" s="1"/>
  <c r="AC28" i="50" a="1"/>
  <c r="AC28" i="50" s="1"/>
  <c r="AB28" i="50" a="1"/>
  <c r="AB28" i="50"/>
  <c r="AF28" i="50" s="1"/>
  <c r="Z28" i="50" a="1"/>
  <c r="Z28" i="50"/>
  <c r="Y28" i="50" a="1"/>
  <c r="Y28" i="50" s="1"/>
  <c r="X28" i="50" a="1"/>
  <c r="X28" i="50" s="1"/>
  <c r="W28" i="50" a="1"/>
  <c r="W28" i="50" s="1"/>
  <c r="AA28" i="50" s="1"/>
  <c r="U28" i="50" a="1"/>
  <c r="U28" i="50" s="1"/>
  <c r="T28" i="50" a="1"/>
  <c r="T28" i="50" s="1"/>
  <c r="S28" i="50" a="1"/>
  <c r="S28" i="50"/>
  <c r="R28" i="50" a="1"/>
  <c r="R28" i="50" s="1"/>
  <c r="P28" i="50" a="1"/>
  <c r="P28" i="50" s="1"/>
  <c r="O28" i="50" a="1"/>
  <c r="O28" i="50" s="1"/>
  <c r="N28" i="50" a="1"/>
  <c r="N28" i="50" s="1"/>
  <c r="M28" i="50" a="1"/>
  <c r="M28" i="50"/>
  <c r="K28" i="50" a="1"/>
  <c r="K28" i="50" s="1"/>
  <c r="J28" i="50" a="1"/>
  <c r="J28" i="50"/>
  <c r="I28" i="50" a="1"/>
  <c r="I28" i="50" s="1"/>
  <c r="H28" i="50" a="1"/>
  <c r="H28" i="50" s="1"/>
  <c r="F28" i="50" a="1"/>
  <c r="F28" i="50" s="1"/>
  <c r="E28" i="50" a="1"/>
  <c r="E28" i="50" s="1"/>
  <c r="D28" i="50" a="1"/>
  <c r="D28" i="50"/>
  <c r="C28" i="50" a="1"/>
  <c r="C28" i="50" s="1"/>
  <c r="AJ27" i="50" a="1"/>
  <c r="AJ27" i="50" s="1"/>
  <c r="AI27" i="50" a="1"/>
  <c r="AI27" i="50" s="1"/>
  <c r="AH27" i="50" a="1"/>
  <c r="AH27" i="50" s="1"/>
  <c r="AG27" i="50" a="1"/>
  <c r="AG27" i="50"/>
  <c r="AK27" i="50" s="1"/>
  <c r="AE27" i="50" a="1"/>
  <c r="AE27" i="50"/>
  <c r="AD27" i="50" a="1"/>
  <c r="AD27" i="50" s="1"/>
  <c r="AC27" i="50" a="1"/>
  <c r="AC27" i="50" s="1"/>
  <c r="AB27" i="50" a="1"/>
  <c r="AB27" i="50" s="1"/>
  <c r="Z27" i="50" a="1"/>
  <c r="Z27" i="50" s="1"/>
  <c r="Y27" i="50" a="1"/>
  <c r="Y27" i="50" s="1"/>
  <c r="X27" i="50" a="1"/>
  <c r="X27" i="50"/>
  <c r="W27" i="50" a="1"/>
  <c r="W27" i="50" s="1"/>
  <c r="AA27" i="50" s="1"/>
  <c r="U27" i="50" a="1"/>
  <c r="U27" i="50" s="1"/>
  <c r="T27" i="50" a="1"/>
  <c r="T27" i="50" s="1"/>
  <c r="S27" i="50" a="1"/>
  <c r="S27" i="50" s="1"/>
  <c r="R27" i="50" a="1"/>
  <c r="R27" i="50"/>
  <c r="P27" i="50" a="1"/>
  <c r="P27" i="50" s="1"/>
  <c r="O27" i="50" a="1"/>
  <c r="O27" i="50"/>
  <c r="N27" i="50" a="1"/>
  <c r="N27" i="50" s="1"/>
  <c r="M27" i="50" a="1"/>
  <c r="M27" i="50" s="1"/>
  <c r="K27" i="50" a="1"/>
  <c r="K27" i="50" s="1"/>
  <c r="J27" i="50" a="1"/>
  <c r="J27" i="50" s="1"/>
  <c r="I27" i="50" a="1"/>
  <c r="I27" i="50"/>
  <c r="H27" i="50" a="1"/>
  <c r="H27" i="50" s="1"/>
  <c r="L27" i="50" s="1"/>
  <c r="F27" i="50" a="1"/>
  <c r="F27" i="50"/>
  <c r="E27" i="50" a="1"/>
  <c r="E27" i="50" s="1"/>
  <c r="D27" i="50" a="1"/>
  <c r="D27" i="50" s="1"/>
  <c r="C27" i="50" a="1"/>
  <c r="C27" i="50" s="1"/>
  <c r="AJ26" i="50" a="1"/>
  <c r="AJ26" i="50"/>
  <c r="AI26" i="50" a="1"/>
  <c r="AI26" i="50" s="1"/>
  <c r="AH26" i="50" a="1"/>
  <c r="AH26" i="50" s="1"/>
  <c r="AG26" i="50" a="1"/>
  <c r="AG26" i="50" s="1"/>
  <c r="AK26" i="50" s="1"/>
  <c r="AE26" i="50" a="1"/>
  <c r="AE26" i="50" s="1"/>
  <c r="AD26" i="50" a="1"/>
  <c r="AD26" i="50" s="1"/>
  <c r="AC26" i="50" a="1"/>
  <c r="AC26" i="50"/>
  <c r="AB26" i="50" a="1"/>
  <c r="AB26" i="50" s="1"/>
  <c r="AF26" i="50" s="1"/>
  <c r="Z26" i="50" a="1"/>
  <c r="Z26" i="50" s="1"/>
  <c r="Y26" i="50" a="1"/>
  <c r="Y26" i="50" s="1"/>
  <c r="X26" i="50" a="1"/>
  <c r="X26" i="50" s="1"/>
  <c r="W26" i="50" a="1"/>
  <c r="W26" i="50"/>
  <c r="U26" i="50" a="1"/>
  <c r="U26" i="50" s="1"/>
  <c r="T26" i="50" a="1"/>
  <c r="T26" i="50"/>
  <c r="S26" i="50" a="1"/>
  <c r="S26" i="50" s="1"/>
  <c r="R26" i="50" a="1"/>
  <c r="R26" i="50" s="1"/>
  <c r="V26" i="50" s="1"/>
  <c r="P26" i="50" a="1"/>
  <c r="P26" i="50" s="1"/>
  <c r="O26" i="50" a="1"/>
  <c r="O26" i="50" s="1"/>
  <c r="N26" i="50" a="1"/>
  <c r="N26" i="50"/>
  <c r="M26" i="50" a="1"/>
  <c r="M26" i="50" s="1"/>
  <c r="K26" i="50" a="1"/>
  <c r="K26" i="50"/>
  <c r="J26" i="50" a="1"/>
  <c r="J26" i="50" s="1"/>
  <c r="I26" i="50" a="1"/>
  <c r="I26" i="50" s="1"/>
  <c r="H26" i="50" a="1"/>
  <c r="H26" i="50" s="1"/>
  <c r="F26" i="50" a="1"/>
  <c r="F26" i="50" s="1"/>
  <c r="E26" i="50" a="1"/>
  <c r="E26" i="50"/>
  <c r="D26" i="50" a="1"/>
  <c r="D26" i="50" s="1"/>
  <c r="C26" i="50" a="1"/>
  <c r="C26" i="50" s="1"/>
  <c r="AJ25" i="50" a="1"/>
  <c r="AJ25" i="50" s="1"/>
  <c r="AI25" i="50" a="1"/>
  <c r="AI25" i="50" s="1"/>
  <c r="AH25" i="50" a="1"/>
  <c r="AH25" i="50"/>
  <c r="AG25" i="50" a="1"/>
  <c r="AG25" i="50" s="1"/>
  <c r="AE25" i="50" a="1"/>
  <c r="AE25" i="50" s="1"/>
  <c r="AD25" i="50" a="1"/>
  <c r="AD25" i="50" s="1"/>
  <c r="AC25" i="50" a="1"/>
  <c r="AC25" i="50" s="1"/>
  <c r="AB25" i="50" a="1"/>
  <c r="AB25" i="50"/>
  <c r="AF25" i="50" s="1"/>
  <c r="Z25" i="50" a="1"/>
  <c r="Z25" i="50" s="1"/>
  <c r="Y25" i="50" a="1"/>
  <c r="Y25" i="50"/>
  <c r="X25" i="50" a="1"/>
  <c r="X25" i="50" s="1"/>
  <c r="W25" i="50" a="1"/>
  <c r="W25" i="50" s="1"/>
  <c r="AA25" i="50" s="1"/>
  <c r="U25" i="50" a="1"/>
  <c r="U25" i="50" s="1"/>
  <c r="T25" i="50" a="1"/>
  <c r="T25" i="50" s="1"/>
  <c r="S25" i="50" a="1"/>
  <c r="S25" i="50" s="1"/>
  <c r="R25" i="50" a="1"/>
  <c r="R25" i="50" s="1"/>
  <c r="P25" i="50" a="1"/>
  <c r="P25" i="50"/>
  <c r="O25" i="50" a="1"/>
  <c r="O25" i="50" s="1"/>
  <c r="N25" i="50" a="1"/>
  <c r="N25" i="50" s="1"/>
  <c r="M25" i="50" a="1"/>
  <c r="M25" i="50" s="1"/>
  <c r="K25" i="50" a="1"/>
  <c r="K25" i="50" s="1"/>
  <c r="J25" i="50" a="1"/>
  <c r="J25" i="50" s="1"/>
  <c r="I25" i="50" a="1"/>
  <c r="I25" i="50" s="1"/>
  <c r="H25" i="50" a="1"/>
  <c r="H25" i="50" s="1"/>
  <c r="F25" i="50" a="1"/>
  <c r="F25" i="50" s="1"/>
  <c r="E25" i="50" a="1"/>
  <c r="E25" i="50" s="1"/>
  <c r="D25" i="50" a="1"/>
  <c r="D25" i="50" s="1"/>
  <c r="C25" i="50" a="1"/>
  <c r="C25" i="50"/>
  <c r="AJ24" i="50" a="1"/>
  <c r="AJ24" i="50" s="1"/>
  <c r="AI24" i="50" a="1"/>
  <c r="AI24" i="50" s="1"/>
  <c r="AH24" i="50" a="1"/>
  <c r="AH24" i="50" s="1"/>
  <c r="AG24" i="50" a="1"/>
  <c r="AG24" i="50" s="1"/>
  <c r="AE24" i="50" a="1"/>
  <c r="AE24" i="50" s="1"/>
  <c r="AD24" i="50" a="1"/>
  <c r="AD24" i="50"/>
  <c r="AC24" i="50" a="1"/>
  <c r="AC24" i="50" s="1"/>
  <c r="AB24" i="50" a="1"/>
  <c r="AB24" i="50" s="1"/>
  <c r="AF24" i="50" s="1"/>
  <c r="Z24" i="50" a="1"/>
  <c r="Z24" i="50" s="1"/>
  <c r="Y24" i="50" a="1"/>
  <c r="Y24" i="50" s="1"/>
  <c r="X24" i="50" a="1"/>
  <c r="X24" i="50" s="1"/>
  <c r="W24" i="50" a="1"/>
  <c r="W24" i="50" s="1"/>
  <c r="AA24" i="50" s="1"/>
  <c r="U24" i="50" a="1"/>
  <c r="U24" i="50"/>
  <c r="T24" i="50" a="1"/>
  <c r="T24" i="50" s="1"/>
  <c r="S24" i="50" a="1"/>
  <c r="S24" i="50" s="1"/>
  <c r="R24" i="50" a="1"/>
  <c r="R24" i="50" s="1"/>
  <c r="P24" i="50" a="1"/>
  <c r="P24" i="50" s="1"/>
  <c r="O24" i="50" a="1"/>
  <c r="O24" i="50" s="1"/>
  <c r="N24" i="50" a="1"/>
  <c r="N24" i="50" s="1"/>
  <c r="M24" i="50" a="1"/>
  <c r="M24" i="50" s="1"/>
  <c r="Q24" i="50" s="1"/>
  <c r="K24" i="50" a="1"/>
  <c r="K24" i="50" s="1"/>
  <c r="J24" i="50" a="1"/>
  <c r="J24" i="50" s="1"/>
  <c r="I24" i="50" a="1"/>
  <c r="I24" i="50" s="1"/>
  <c r="H24" i="50" a="1"/>
  <c r="H24" i="50"/>
  <c r="F24" i="50" a="1"/>
  <c r="F24" i="50" s="1"/>
  <c r="E24" i="50" a="1"/>
  <c r="E24" i="50" s="1"/>
  <c r="D24" i="50" a="1"/>
  <c r="D24" i="50"/>
  <c r="C24" i="50" a="1"/>
  <c r="C24" i="50" s="1"/>
  <c r="AJ23" i="50" a="1"/>
  <c r="AJ23" i="50" s="1"/>
  <c r="AI23" i="50" a="1"/>
  <c r="AI23" i="50"/>
  <c r="AH23" i="50" a="1"/>
  <c r="AH23" i="50" s="1"/>
  <c r="AG23" i="50" a="1"/>
  <c r="AG23" i="50" s="1"/>
  <c r="AE23" i="50" a="1"/>
  <c r="AE23" i="50"/>
  <c r="AD23" i="50" a="1"/>
  <c r="AD23" i="50" s="1"/>
  <c r="AC23" i="50" a="1"/>
  <c r="AC23" i="50" s="1"/>
  <c r="AB23" i="50" a="1"/>
  <c r="AB23" i="50" s="1"/>
  <c r="Z23" i="50" a="1"/>
  <c r="Z23" i="50"/>
  <c r="Y23" i="50" a="1"/>
  <c r="Y23" i="50" s="1"/>
  <c r="X23" i="50" a="1"/>
  <c r="X23" i="50" s="1"/>
  <c r="W23" i="50" a="1"/>
  <c r="W23" i="50" s="1"/>
  <c r="U23" i="50" a="1"/>
  <c r="U23" i="50" s="1"/>
  <c r="T23" i="50" a="1"/>
  <c r="T23" i="50" s="1"/>
  <c r="S23" i="50" a="1"/>
  <c r="S23" i="50" s="1"/>
  <c r="R23" i="50" a="1"/>
  <c r="R23" i="50"/>
  <c r="P23" i="50" a="1"/>
  <c r="P23" i="50" s="1"/>
  <c r="O23" i="50" a="1"/>
  <c r="O23" i="50" s="1"/>
  <c r="N23" i="50" a="1"/>
  <c r="N23" i="50" s="1"/>
  <c r="M23" i="50" a="1"/>
  <c r="M23" i="50"/>
  <c r="Q23" i="50" s="1"/>
  <c r="K23" i="50" a="1"/>
  <c r="K23" i="50" s="1"/>
  <c r="J23" i="50" a="1"/>
  <c r="J23" i="50" s="1"/>
  <c r="I23" i="50" a="1"/>
  <c r="I23" i="50"/>
  <c r="H23" i="50" a="1"/>
  <c r="H23" i="50" s="1"/>
  <c r="L23" i="50" s="1"/>
  <c r="F23" i="50" a="1"/>
  <c r="F23" i="50" s="1"/>
  <c r="E23" i="50" a="1"/>
  <c r="E23" i="50" s="1"/>
  <c r="D23" i="50" a="1"/>
  <c r="D23" i="50"/>
  <c r="C23" i="50" a="1"/>
  <c r="C23" i="50" s="1"/>
  <c r="AJ22" i="50" a="1"/>
  <c r="AJ22" i="50"/>
  <c r="AI22" i="50" a="1"/>
  <c r="AI22" i="50" s="1"/>
  <c r="AH22" i="50" a="1"/>
  <c r="AH22" i="50" s="1"/>
  <c r="AG22" i="50" a="1"/>
  <c r="AG22" i="50" s="1"/>
  <c r="AK22" i="50" s="1"/>
  <c r="AE22" i="50" a="1"/>
  <c r="AE22" i="50"/>
  <c r="AD22" i="50" a="1"/>
  <c r="AD22" i="50" s="1"/>
  <c r="AC22" i="50" a="1"/>
  <c r="AC22" i="50" s="1"/>
  <c r="AB22" i="50" a="1"/>
  <c r="AB22" i="50" s="1"/>
  <c r="AF22" i="50" s="1"/>
  <c r="Z22" i="50" a="1"/>
  <c r="Z22" i="50" s="1"/>
  <c r="Y22" i="50" a="1"/>
  <c r="Y22" i="50" s="1"/>
  <c r="X22" i="50" a="1"/>
  <c r="X22" i="50" s="1"/>
  <c r="W22" i="50" a="1"/>
  <c r="W22" i="50"/>
  <c r="U22" i="50" a="1"/>
  <c r="U22" i="50" s="1"/>
  <c r="T22" i="50" a="1"/>
  <c r="T22" i="50" s="1"/>
  <c r="S22" i="50" a="1"/>
  <c r="S22" i="50" s="1"/>
  <c r="R22" i="50" a="1"/>
  <c r="R22" i="50"/>
  <c r="P22" i="50" a="1"/>
  <c r="P22" i="50" s="1"/>
  <c r="O22" i="50" a="1"/>
  <c r="O22" i="50" s="1"/>
  <c r="N22" i="50" a="1"/>
  <c r="N22" i="50"/>
  <c r="M22" i="50" a="1"/>
  <c r="M22" i="50" s="1"/>
  <c r="K22" i="50" a="1"/>
  <c r="K22" i="50" s="1"/>
  <c r="J22" i="50" a="1"/>
  <c r="J22" i="50" s="1"/>
  <c r="I22" i="50" a="1"/>
  <c r="I22" i="50"/>
  <c r="H22" i="50" a="1"/>
  <c r="H22" i="50" s="1"/>
  <c r="L22" i="50" s="1"/>
  <c r="F22" i="50" a="1"/>
  <c r="F22" i="50" s="1"/>
  <c r="E22" i="50" a="1"/>
  <c r="E22" i="50"/>
  <c r="D22" i="50" a="1"/>
  <c r="D22" i="50" s="1"/>
  <c r="C22" i="50" a="1"/>
  <c r="C22" i="50" s="1"/>
  <c r="AJ21" i="50" a="1"/>
  <c r="AJ21" i="50"/>
  <c r="AI21" i="50" a="1"/>
  <c r="AI21" i="50" s="1"/>
  <c r="AH21" i="50" a="1"/>
  <c r="AH21" i="50" s="1"/>
  <c r="AG21" i="50" a="1"/>
  <c r="AG21" i="50" s="1"/>
  <c r="AE21" i="50" a="1"/>
  <c r="AE21" i="50" s="1"/>
  <c r="AD21" i="50" a="1"/>
  <c r="AD21" i="50" s="1"/>
  <c r="AC21" i="50" a="1"/>
  <c r="AC21" i="50" s="1"/>
  <c r="AB21" i="50" a="1"/>
  <c r="AB21" i="50"/>
  <c r="AF21" i="50" s="1"/>
  <c r="Z21" i="50" a="1"/>
  <c r="Z21" i="50" s="1"/>
  <c r="Y21" i="50" a="1"/>
  <c r="Y21" i="50" s="1"/>
  <c r="X21" i="50" a="1"/>
  <c r="X21" i="50" s="1"/>
  <c r="W21" i="50" a="1"/>
  <c r="W21" i="50"/>
  <c r="U21" i="50" a="1"/>
  <c r="U21" i="50" s="1"/>
  <c r="T21" i="50" a="1"/>
  <c r="T21" i="50" s="1"/>
  <c r="S21" i="50" a="1"/>
  <c r="S21" i="50"/>
  <c r="R21" i="50" a="1"/>
  <c r="R21" i="50" s="1"/>
  <c r="P21" i="50" a="1"/>
  <c r="P21" i="50" s="1"/>
  <c r="O21" i="50" a="1"/>
  <c r="O21" i="50" s="1"/>
  <c r="N21" i="50" a="1"/>
  <c r="N21" i="50"/>
  <c r="M21" i="50" a="1"/>
  <c r="M21" i="50" s="1"/>
  <c r="Q21" i="50" s="1"/>
  <c r="K21" i="50" a="1"/>
  <c r="K21" i="50" s="1"/>
  <c r="J21" i="50" a="1"/>
  <c r="J21" i="50"/>
  <c r="I21" i="50" a="1"/>
  <c r="I21" i="50" s="1"/>
  <c r="H21" i="50" a="1"/>
  <c r="H21" i="50" s="1"/>
  <c r="F21" i="50" a="1"/>
  <c r="F21" i="50" s="1"/>
  <c r="E21" i="50" a="1"/>
  <c r="E21" i="50"/>
  <c r="D21" i="50" a="1"/>
  <c r="D21" i="50" s="1"/>
  <c r="C21" i="50" a="1"/>
  <c r="C21" i="50" s="1"/>
  <c r="AJ20" i="50" a="1"/>
  <c r="AJ20" i="50" s="1"/>
  <c r="AI20" i="50" a="1"/>
  <c r="AI20" i="50" s="1"/>
  <c r="AH20" i="50" a="1"/>
  <c r="AH20" i="50" s="1"/>
  <c r="AG20" i="50" a="1"/>
  <c r="AG20" i="50"/>
  <c r="AK20" i="50" s="1"/>
  <c r="AE20" i="50" a="1"/>
  <c r="AE20" i="50" s="1"/>
  <c r="AD20" i="50" a="1"/>
  <c r="AD20" i="50" s="1"/>
  <c r="AC20" i="50" a="1"/>
  <c r="AC20" i="50" s="1"/>
  <c r="AB20" i="50" a="1"/>
  <c r="AB20" i="50"/>
  <c r="Z20" i="50" a="1"/>
  <c r="Z20" i="50" s="1"/>
  <c r="Y20" i="50" a="1"/>
  <c r="Y20" i="50" s="1"/>
  <c r="X20" i="50" a="1"/>
  <c r="X20" i="50"/>
  <c r="W20" i="50" a="1"/>
  <c r="W20" i="50" s="1"/>
  <c r="AA20" i="50" s="1"/>
  <c r="U20" i="50" a="1"/>
  <c r="U20" i="50" s="1"/>
  <c r="T20" i="50" a="1"/>
  <c r="T20" i="50" s="1"/>
  <c r="S20" i="50" a="1"/>
  <c r="S20" i="50"/>
  <c r="R20" i="50" a="1"/>
  <c r="R20" i="50" s="1"/>
  <c r="P20" i="50" a="1"/>
  <c r="P20" i="50" s="1"/>
  <c r="O20" i="50" a="1"/>
  <c r="O20" i="50"/>
  <c r="N20" i="50" a="1"/>
  <c r="N20" i="50" s="1"/>
  <c r="M20" i="50" a="1"/>
  <c r="M20" i="50" s="1"/>
  <c r="K20" i="50" a="1"/>
  <c r="K20" i="50" s="1"/>
  <c r="J20" i="50" a="1"/>
  <c r="J20" i="50"/>
  <c r="I20" i="50" a="1"/>
  <c r="I20" i="50" s="1"/>
  <c r="H20" i="50" a="1"/>
  <c r="H20" i="50" s="1"/>
  <c r="F20" i="50" a="1"/>
  <c r="F20" i="50"/>
  <c r="E20" i="50" a="1"/>
  <c r="E20" i="50" s="1"/>
  <c r="D20" i="50" a="1"/>
  <c r="D20" i="50" s="1"/>
  <c r="C20" i="50" a="1"/>
  <c r="C20" i="50" s="1"/>
  <c r="AJ19" i="50" a="1"/>
  <c r="AJ19" i="50" s="1"/>
  <c r="AI19" i="50" a="1"/>
  <c r="AI19" i="50" s="1"/>
  <c r="AH19" i="50" a="1"/>
  <c r="AH19" i="50" s="1"/>
  <c r="AG19" i="50" a="1"/>
  <c r="AG19" i="50"/>
  <c r="AK19" i="50" s="1"/>
  <c r="AE19" i="50" a="1"/>
  <c r="AE19" i="50" s="1"/>
  <c r="AD19" i="50" a="1"/>
  <c r="AD19" i="50" s="1"/>
  <c r="AC19" i="50" a="1"/>
  <c r="AC19" i="50"/>
  <c r="AB19" i="50" a="1"/>
  <c r="AB19" i="50" s="1"/>
  <c r="AF19" i="50" s="1"/>
  <c r="Z19" i="50" a="1"/>
  <c r="Z19" i="50" s="1"/>
  <c r="Y19" i="50" a="1"/>
  <c r="Y19" i="50" s="1"/>
  <c r="X19" i="50" a="1"/>
  <c r="X19" i="50"/>
  <c r="W19" i="50" a="1"/>
  <c r="W19" i="50" s="1"/>
  <c r="U19" i="50" a="1"/>
  <c r="U19" i="50" s="1"/>
  <c r="T19" i="50" a="1"/>
  <c r="T19" i="50"/>
  <c r="S19" i="50" a="1"/>
  <c r="S19" i="50" s="1"/>
  <c r="R19" i="50" a="1"/>
  <c r="R19" i="50" s="1"/>
  <c r="V19" i="50" s="1"/>
  <c r="P19" i="50" a="1"/>
  <c r="P19" i="50" s="1"/>
  <c r="O19" i="50" a="1"/>
  <c r="O19" i="50"/>
  <c r="N19" i="50" a="1"/>
  <c r="N19" i="50" s="1"/>
  <c r="M19" i="50" a="1"/>
  <c r="M19" i="50" s="1"/>
  <c r="K19" i="50" a="1"/>
  <c r="K19" i="50"/>
  <c r="J19" i="50" a="1"/>
  <c r="J19" i="50" s="1"/>
  <c r="I19" i="50" a="1"/>
  <c r="I19" i="50" s="1"/>
  <c r="H19" i="50" a="1"/>
  <c r="H19" i="50" s="1"/>
  <c r="F19" i="50" a="1"/>
  <c r="F19" i="50"/>
  <c r="E19" i="50" a="1"/>
  <c r="E19" i="50" s="1"/>
  <c r="D19" i="50" a="1"/>
  <c r="D19" i="50" s="1"/>
  <c r="C19" i="50" a="1"/>
  <c r="C19" i="50" s="1"/>
  <c r="AJ18" i="50" a="1"/>
  <c r="AJ18" i="50" s="1"/>
  <c r="AI18" i="50" a="1"/>
  <c r="AI18" i="50" s="1"/>
  <c r="AH18" i="50" a="1"/>
  <c r="AH18" i="50"/>
  <c r="AG18" i="50" a="1"/>
  <c r="AG18" i="50"/>
  <c r="AE18" i="50" a="1"/>
  <c r="AE18" i="50" s="1"/>
  <c r="AD18" i="50" a="1"/>
  <c r="AD18" i="50" s="1"/>
  <c r="AC18" i="50" a="1"/>
  <c r="AC18" i="50"/>
  <c r="AB18" i="50" a="1"/>
  <c r="AB18" i="50" s="1"/>
  <c r="Z18" i="50" a="1"/>
  <c r="Z18" i="50" s="1"/>
  <c r="Y18" i="50" a="1"/>
  <c r="Y18" i="50"/>
  <c r="X18" i="50" a="1"/>
  <c r="X18" i="50"/>
  <c r="W18" i="50" a="1"/>
  <c r="W18" i="50" s="1"/>
  <c r="AA18" i="50" s="1"/>
  <c r="U18" i="50" a="1"/>
  <c r="U18" i="50" s="1"/>
  <c r="T18" i="50" a="1"/>
  <c r="T18" i="50"/>
  <c r="S18" i="50" a="1"/>
  <c r="S18" i="50" s="1"/>
  <c r="R18" i="50" a="1"/>
  <c r="R18" i="50" s="1"/>
  <c r="P18" i="50" a="1"/>
  <c r="P18" i="50"/>
  <c r="O18" i="50" a="1"/>
  <c r="O18" i="50"/>
  <c r="N18" i="50" a="1"/>
  <c r="N18" i="50" s="1"/>
  <c r="M18" i="50" a="1"/>
  <c r="M18" i="50" s="1"/>
  <c r="K18" i="50" a="1"/>
  <c r="K18" i="50"/>
  <c r="J18" i="50" a="1"/>
  <c r="J18" i="50" s="1"/>
  <c r="I18" i="50" a="1"/>
  <c r="I18" i="50" s="1"/>
  <c r="H18" i="50" a="1"/>
  <c r="H18" i="50" s="1"/>
  <c r="L18" i="50" s="1"/>
  <c r="F18" i="50" a="1"/>
  <c r="F18" i="50"/>
  <c r="E18" i="50" a="1"/>
  <c r="E18" i="50" s="1"/>
  <c r="D18" i="50" a="1"/>
  <c r="D18" i="50" s="1"/>
  <c r="C18" i="50" a="1"/>
  <c r="C18" i="50"/>
  <c r="AJ17" i="50" a="1"/>
  <c r="AJ17" i="50" s="1"/>
  <c r="AI17" i="50" a="1"/>
  <c r="AI17" i="50" s="1"/>
  <c r="AH17" i="50" a="1"/>
  <c r="AH17" i="50"/>
  <c r="AG17" i="50" a="1"/>
  <c r="AG17" i="50" s="1"/>
  <c r="AE17" i="50" a="1"/>
  <c r="AE17" i="50" s="1"/>
  <c r="AD17" i="50" a="1"/>
  <c r="AD17" i="50"/>
  <c r="AC17" i="50" a="1"/>
  <c r="AC17" i="50"/>
  <c r="AB17" i="50" a="1"/>
  <c r="AB17" i="50" s="1"/>
  <c r="AF17" i="50" s="1"/>
  <c r="Z17" i="50" a="1"/>
  <c r="Z17" i="50" s="1"/>
  <c r="Y17" i="50" a="1"/>
  <c r="Y17" i="50"/>
  <c r="X17" i="50" a="1"/>
  <c r="X17" i="50" s="1"/>
  <c r="W17" i="50" a="1"/>
  <c r="W17" i="50" s="1"/>
  <c r="AA17" i="50" s="1"/>
  <c r="U17" i="50" a="1"/>
  <c r="U17" i="50"/>
  <c r="T17" i="50" a="1"/>
  <c r="T17" i="50"/>
  <c r="S17" i="50" a="1"/>
  <c r="S17" i="50" s="1"/>
  <c r="R17" i="50" a="1"/>
  <c r="R17" i="50" s="1"/>
  <c r="V17" i="50" s="1"/>
  <c r="P17" i="50" a="1"/>
  <c r="P17" i="50"/>
  <c r="O17" i="50" a="1"/>
  <c r="O17" i="50" s="1"/>
  <c r="N17" i="50" a="1"/>
  <c r="N17" i="50" s="1"/>
  <c r="M17" i="50" a="1"/>
  <c r="M17" i="50" s="1"/>
  <c r="K17" i="50" a="1"/>
  <c r="K17" i="50"/>
  <c r="J17" i="50" a="1"/>
  <c r="J17" i="50" s="1"/>
  <c r="I17" i="50" a="1"/>
  <c r="I17" i="50" s="1"/>
  <c r="H17" i="50" a="1"/>
  <c r="H17" i="50"/>
  <c r="F17" i="50" a="1"/>
  <c r="F17" i="50" s="1"/>
  <c r="E17" i="50" a="1"/>
  <c r="E17" i="50" s="1"/>
  <c r="D17" i="50" a="1"/>
  <c r="D17" i="50" s="1"/>
  <c r="C17" i="50" a="1"/>
  <c r="C17" i="50" s="1"/>
  <c r="AJ16" i="50" a="1"/>
  <c r="AJ16" i="50" s="1"/>
  <c r="AI16" i="50" a="1"/>
  <c r="AI16" i="50"/>
  <c r="AH16" i="50" a="1"/>
  <c r="AH16" i="50"/>
  <c r="AG16" i="50" a="1"/>
  <c r="AG16" i="50" s="1"/>
  <c r="AK16" i="50" s="1"/>
  <c r="AE16" i="50" a="1"/>
  <c r="AE16" i="50" s="1"/>
  <c r="AD16" i="50" a="1"/>
  <c r="AD16" i="50" s="1"/>
  <c r="AC16" i="50" a="1"/>
  <c r="AC16" i="50" s="1"/>
  <c r="AB16" i="50" a="1"/>
  <c r="AB16" i="50" s="1"/>
  <c r="AF16" i="50" s="1"/>
  <c r="Z16" i="50" a="1"/>
  <c r="Z16" i="50"/>
  <c r="Y16" i="50" a="1"/>
  <c r="Y16" i="50"/>
  <c r="X16" i="50" a="1"/>
  <c r="X16" i="50" s="1"/>
  <c r="W16" i="50" a="1"/>
  <c r="W16" i="50" s="1"/>
  <c r="U16" i="50" a="1"/>
  <c r="U16" i="50" s="1"/>
  <c r="T16" i="50" a="1"/>
  <c r="T16" i="50" s="1"/>
  <c r="S16" i="50" a="1"/>
  <c r="S16" i="50" s="1"/>
  <c r="R16" i="50" a="1"/>
  <c r="R16" i="50" s="1"/>
  <c r="P16" i="50" a="1"/>
  <c r="P16" i="50"/>
  <c r="O16" i="50" a="1"/>
  <c r="O16" i="50" s="1"/>
  <c r="N16" i="50" a="1"/>
  <c r="N16" i="50" s="1"/>
  <c r="M16" i="50" a="1"/>
  <c r="M16" i="50"/>
  <c r="Q16" i="50" s="1"/>
  <c r="K16" i="50" a="1"/>
  <c r="K16" i="50" s="1"/>
  <c r="J16" i="50" a="1"/>
  <c r="J16" i="50" s="1"/>
  <c r="I16" i="50" a="1"/>
  <c r="I16" i="50" s="1"/>
  <c r="H16" i="50" a="1"/>
  <c r="H16" i="50" s="1"/>
  <c r="F16" i="50" a="1"/>
  <c r="F16" i="50" s="1"/>
  <c r="E16" i="50" a="1"/>
  <c r="E16" i="50" s="1"/>
  <c r="D16" i="50" a="1"/>
  <c r="D16" i="50"/>
  <c r="C16" i="50" a="1"/>
  <c r="C16" i="50"/>
  <c r="AJ15" i="50" a="1"/>
  <c r="AJ15" i="50" s="1"/>
  <c r="AI15" i="50" a="1"/>
  <c r="AI15" i="50" s="1"/>
  <c r="AH15" i="50" a="1"/>
  <c r="AH15" i="50" s="1"/>
  <c r="AG15" i="50" a="1"/>
  <c r="AG15" i="50" s="1"/>
  <c r="AE15" i="50" a="1"/>
  <c r="AE15" i="50"/>
  <c r="AD15" i="50" a="1"/>
  <c r="AD15" i="50"/>
  <c r="AC15" i="50" a="1"/>
  <c r="AC15" i="50" s="1"/>
  <c r="AB15" i="50" a="1"/>
  <c r="AB15" i="50" s="1"/>
  <c r="Z15" i="50" a="1"/>
  <c r="Z15" i="50" s="1"/>
  <c r="Y15" i="50" a="1"/>
  <c r="Y15" i="50" s="1"/>
  <c r="X15" i="50" a="1"/>
  <c r="X15" i="50" s="1"/>
  <c r="W15" i="50" a="1"/>
  <c r="W15" i="50" s="1"/>
  <c r="AA15" i="50" s="1"/>
  <c r="U15" i="50" a="1"/>
  <c r="U15" i="50"/>
  <c r="T15" i="50" a="1"/>
  <c r="T15" i="50" s="1"/>
  <c r="S15" i="50" a="1"/>
  <c r="S15" i="50" s="1"/>
  <c r="R15" i="50" a="1"/>
  <c r="R15" i="50"/>
  <c r="P15" i="50" a="1"/>
  <c r="P15" i="50" s="1"/>
  <c r="O15" i="50" a="1"/>
  <c r="O15" i="50" s="1"/>
  <c r="N15" i="50" a="1"/>
  <c r="N15" i="50" s="1"/>
  <c r="M15" i="50" a="1"/>
  <c r="M15" i="50" s="1"/>
  <c r="K15" i="50" a="1"/>
  <c r="K15" i="50" s="1"/>
  <c r="J15" i="50" a="1"/>
  <c r="J15" i="50" s="1"/>
  <c r="I15" i="50" a="1"/>
  <c r="I15" i="50"/>
  <c r="H15" i="50" a="1"/>
  <c r="H15" i="50"/>
  <c r="F15" i="50" a="1"/>
  <c r="F15" i="50" s="1"/>
  <c r="E15" i="50" a="1"/>
  <c r="E15" i="50" s="1"/>
  <c r="D15" i="50" a="1"/>
  <c r="D15" i="50" s="1"/>
  <c r="C15" i="50" a="1"/>
  <c r="C15" i="50" s="1"/>
  <c r="AJ14" i="50" a="1"/>
  <c r="AJ14" i="50"/>
  <c r="AI14" i="50" a="1"/>
  <c r="AI14" i="50"/>
  <c r="AH14" i="50" a="1"/>
  <c r="AH14" i="50" s="1"/>
  <c r="AG14" i="50" a="1"/>
  <c r="AG14" i="50" s="1"/>
  <c r="AE14" i="50" a="1"/>
  <c r="AE14" i="50" s="1"/>
  <c r="AD14" i="50" a="1"/>
  <c r="AD14" i="50" s="1"/>
  <c r="AC14" i="50" a="1"/>
  <c r="AC14" i="50" s="1"/>
  <c r="AB14" i="50" a="1"/>
  <c r="AB14" i="50" s="1"/>
  <c r="Z14" i="50" a="1"/>
  <c r="Z14" i="50"/>
  <c r="Y14" i="50" a="1"/>
  <c r="Y14" i="50" s="1"/>
  <c r="X14" i="50" a="1"/>
  <c r="X14" i="50" s="1"/>
  <c r="W14" i="50" a="1"/>
  <c r="W14" i="50"/>
  <c r="AA14" i="50" s="1"/>
  <c r="U14" i="50" a="1"/>
  <c r="U14" i="50" s="1"/>
  <c r="T14" i="50" a="1"/>
  <c r="T14" i="50" s="1"/>
  <c r="S14" i="50" a="1"/>
  <c r="S14" i="50" s="1"/>
  <c r="R14" i="50" a="1"/>
  <c r="R14" i="50" s="1"/>
  <c r="V14" i="50" s="1"/>
  <c r="P14" i="50" a="1"/>
  <c r="P14" i="50" s="1"/>
  <c r="O14" i="50" a="1"/>
  <c r="O14" i="50" s="1"/>
  <c r="N14" i="50" a="1"/>
  <c r="N14" i="50"/>
  <c r="M14" i="50" a="1"/>
  <c r="M14" i="50"/>
  <c r="K14" i="50" a="1"/>
  <c r="K14" i="50" s="1"/>
  <c r="J14" i="50" a="1"/>
  <c r="J14" i="50" s="1"/>
  <c r="I14" i="50" a="1"/>
  <c r="I14" i="50" s="1"/>
  <c r="H14" i="50" a="1"/>
  <c r="H14" i="50" s="1"/>
  <c r="F14" i="50" a="1"/>
  <c r="F14" i="50" s="1"/>
  <c r="E14" i="50" a="1"/>
  <c r="E14" i="50"/>
  <c r="D14" i="50" a="1"/>
  <c r="D14" i="50"/>
  <c r="C14" i="50" a="1"/>
  <c r="C14" i="50" s="1"/>
  <c r="AJ13" i="50" a="1"/>
  <c r="AJ13" i="50" s="1"/>
  <c r="AI13" i="50" a="1"/>
  <c r="AI13" i="50" s="1"/>
  <c r="AH13" i="50" a="1"/>
  <c r="AH13" i="50" s="1"/>
  <c r="AG13" i="50" a="1"/>
  <c r="AG13" i="50" s="1"/>
  <c r="AE13" i="50" a="1"/>
  <c r="AE13" i="50"/>
  <c r="AD13" i="50" a="1"/>
  <c r="AD13" i="50" s="1"/>
  <c r="AC13" i="50" a="1"/>
  <c r="AC13" i="50" s="1"/>
  <c r="AB13" i="50" a="1"/>
  <c r="AB13" i="50"/>
  <c r="AF13" i="50" s="1"/>
  <c r="Z13" i="50" a="1"/>
  <c r="Z13" i="50" s="1"/>
  <c r="Y13" i="50" a="1"/>
  <c r="Y13" i="50" s="1"/>
  <c r="X13" i="50" a="1"/>
  <c r="X13" i="50" s="1"/>
  <c r="W13" i="50" a="1"/>
  <c r="W13" i="50" s="1"/>
  <c r="U13" i="50" a="1"/>
  <c r="U13" i="50" s="1"/>
  <c r="T13" i="50" a="1"/>
  <c r="T13" i="50" s="1"/>
  <c r="S13" i="50" a="1"/>
  <c r="S13" i="50"/>
  <c r="R13" i="50" a="1"/>
  <c r="R13" i="50"/>
  <c r="V13" i="50" s="1"/>
  <c r="P13" i="50" a="1"/>
  <c r="P13" i="50" s="1"/>
  <c r="O13" i="50" a="1"/>
  <c r="O13" i="50" s="1"/>
  <c r="N13" i="50" a="1"/>
  <c r="N13" i="50" s="1"/>
  <c r="M13" i="50" a="1"/>
  <c r="M13" i="50" s="1"/>
  <c r="Q13" i="50" s="1"/>
  <c r="K13" i="50" a="1"/>
  <c r="K13" i="50" s="1"/>
  <c r="J13" i="50" a="1"/>
  <c r="J13" i="50"/>
  <c r="I13" i="50" a="1"/>
  <c r="I13" i="50"/>
  <c r="H13" i="50" a="1"/>
  <c r="H13" i="50" s="1"/>
  <c r="F13" i="50" a="1"/>
  <c r="F13" i="50" s="1"/>
  <c r="E13" i="50" a="1"/>
  <c r="E13" i="50" s="1"/>
  <c r="D13" i="50" a="1"/>
  <c r="D13" i="50" s="1"/>
  <c r="C13" i="50" a="1"/>
  <c r="C13" i="50" s="1"/>
  <c r="AJ12" i="50" a="1"/>
  <c r="AJ12" i="50"/>
  <c r="AI12" i="50" a="1"/>
  <c r="AI12" i="50" s="1"/>
  <c r="AH12" i="50" a="1"/>
  <c r="AH12" i="50" s="1"/>
  <c r="AG12" i="50" a="1"/>
  <c r="AG12" i="50"/>
  <c r="AK12" i="50" s="1"/>
  <c r="AE12" i="50" a="1"/>
  <c r="AE12" i="50" s="1"/>
  <c r="AD12" i="50" a="1"/>
  <c r="AD12" i="50" s="1"/>
  <c r="AC12" i="50" a="1"/>
  <c r="AC12" i="50" s="1"/>
  <c r="AB12" i="50" a="1"/>
  <c r="AB12" i="50" s="1"/>
  <c r="Z12" i="50" a="1"/>
  <c r="Z12" i="50" s="1"/>
  <c r="Y12" i="50" a="1"/>
  <c r="Y12" i="50" s="1"/>
  <c r="X12" i="50" a="1"/>
  <c r="X12" i="50"/>
  <c r="W12" i="50" a="1"/>
  <c r="W12" i="50"/>
  <c r="AA12" i="50" s="1"/>
  <c r="U12" i="50" a="1"/>
  <c r="U12" i="50" s="1"/>
  <c r="T12" i="50" a="1"/>
  <c r="T12" i="50" s="1"/>
  <c r="S12" i="50" a="1"/>
  <c r="S12" i="50" s="1"/>
  <c r="R12" i="50" a="1"/>
  <c r="R12" i="50" s="1"/>
  <c r="P12" i="50" a="1"/>
  <c r="P12" i="50" s="1"/>
  <c r="O12" i="50" a="1"/>
  <c r="O12" i="50"/>
  <c r="N12" i="50" a="1"/>
  <c r="N12" i="50"/>
  <c r="Q12" i="50" s="1"/>
  <c r="M12" i="50" a="1"/>
  <c r="M12" i="50"/>
  <c r="K12" i="50" a="1"/>
  <c r="K12" i="50" s="1"/>
  <c r="J12" i="50" a="1"/>
  <c r="J12" i="50"/>
  <c r="I12" i="50" a="1"/>
  <c r="I12" i="50"/>
  <c r="H12" i="50" a="1"/>
  <c r="H12" i="50" s="1"/>
  <c r="L12" i="50" s="1"/>
  <c r="F12" i="50" a="1"/>
  <c r="F12" i="50"/>
  <c r="E12" i="50" a="1"/>
  <c r="E12" i="50" s="1"/>
  <c r="D12" i="50" a="1"/>
  <c r="D12" i="50" s="1"/>
  <c r="C12" i="50" a="1"/>
  <c r="C12" i="50" s="1"/>
  <c r="AJ11" i="50" a="1"/>
  <c r="AJ11" i="50"/>
  <c r="AI11" i="50" a="1"/>
  <c r="AI11" i="50"/>
  <c r="AH11" i="50" a="1"/>
  <c r="AH11" i="50" s="1"/>
  <c r="AG11" i="50" a="1"/>
  <c r="AG11" i="50"/>
  <c r="AK11" i="50" s="1"/>
  <c r="AE11" i="50" a="1"/>
  <c r="AE11" i="50" s="1"/>
  <c r="AD11" i="50" a="1"/>
  <c r="AD11" i="50"/>
  <c r="AC11" i="50" a="1"/>
  <c r="AC11" i="50"/>
  <c r="AB11" i="50" a="1"/>
  <c r="AB11" i="50" s="1"/>
  <c r="AF11" i="50" s="1"/>
  <c r="Z11" i="50" a="1"/>
  <c r="Z11" i="50"/>
  <c r="Y11" i="50" a="1"/>
  <c r="Y11" i="50" s="1"/>
  <c r="X11" i="50" a="1"/>
  <c r="X11" i="50" s="1"/>
  <c r="W11" i="50" a="1"/>
  <c r="W11" i="50" s="1"/>
  <c r="AA11" i="50" s="1"/>
  <c r="U11" i="50" a="1"/>
  <c r="U11" i="50"/>
  <c r="T11" i="50" a="1"/>
  <c r="T11" i="50"/>
  <c r="S11" i="50" a="1"/>
  <c r="S11" i="50" s="1"/>
  <c r="R11" i="50" a="1"/>
  <c r="R11" i="50" s="1"/>
  <c r="V11" i="50" s="1"/>
  <c r="P11" i="50" a="1"/>
  <c r="P11" i="50" s="1"/>
  <c r="O11" i="50" a="1"/>
  <c r="O11" i="50" s="1"/>
  <c r="N11" i="50" a="1"/>
  <c r="N11" i="50" s="1"/>
  <c r="M11" i="50" a="1"/>
  <c r="M11" i="50"/>
  <c r="K11" i="50" a="1"/>
  <c r="K11" i="50"/>
  <c r="J11" i="50" a="1"/>
  <c r="J11" i="50" s="1"/>
  <c r="I11" i="50" a="1"/>
  <c r="I11" i="50" s="1"/>
  <c r="H11" i="50" a="1"/>
  <c r="H11" i="50"/>
  <c r="F11" i="50" a="1"/>
  <c r="F11" i="50" s="1"/>
  <c r="E11" i="50" a="1"/>
  <c r="E11" i="50" s="1"/>
  <c r="D11" i="50" a="1"/>
  <c r="D11" i="50"/>
  <c r="C11" i="50" a="1"/>
  <c r="C11" i="50" s="1"/>
  <c r="AJ10" i="50" a="1"/>
  <c r="AJ10" i="50" s="1"/>
  <c r="AI10" i="50" a="1"/>
  <c r="AI10" i="50"/>
  <c r="AH10" i="50" a="1"/>
  <c r="AH10" i="50"/>
  <c r="AG10" i="50" a="1"/>
  <c r="AG10" i="50" s="1"/>
  <c r="AK10" i="50" s="1"/>
  <c r="AE10" i="50" a="1"/>
  <c r="AE10" i="50"/>
  <c r="AD10" i="50" a="1"/>
  <c r="AD10" i="50" s="1"/>
  <c r="AC10" i="50" a="1"/>
  <c r="AC10" i="50" s="1"/>
  <c r="AB10" i="50" a="1"/>
  <c r="AB10" i="50" s="1"/>
  <c r="Z10" i="50" a="1"/>
  <c r="Z10" i="50"/>
  <c r="Y10" i="50" a="1"/>
  <c r="Y10" i="50"/>
  <c r="X10" i="50" a="1"/>
  <c r="X10" i="50" s="1"/>
  <c r="W10" i="50" a="1"/>
  <c r="W10" i="50" s="1"/>
  <c r="U10" i="50" a="1"/>
  <c r="U10" i="50" s="1"/>
  <c r="T10" i="50" a="1"/>
  <c r="T10" i="50" s="1"/>
  <c r="S10" i="50" a="1"/>
  <c r="S10" i="50" s="1"/>
  <c r="R10" i="50" a="1"/>
  <c r="R10" i="50" s="1"/>
  <c r="P10" i="50" a="1"/>
  <c r="P10" i="50"/>
  <c r="O10" i="50" a="1"/>
  <c r="O10" i="50" s="1"/>
  <c r="N10" i="50" a="1"/>
  <c r="N10" i="50" s="1"/>
  <c r="M10" i="50" a="1"/>
  <c r="M10" i="50"/>
  <c r="K10" i="50" a="1"/>
  <c r="K10" i="50" s="1"/>
  <c r="J10" i="50" a="1"/>
  <c r="J10" i="50" s="1"/>
  <c r="I10" i="50" a="1"/>
  <c r="I10" i="50" s="1"/>
  <c r="H10" i="50" a="1"/>
  <c r="H10" i="50" s="1"/>
  <c r="F10" i="50" a="1"/>
  <c r="F10" i="50" s="1"/>
  <c r="E10" i="50" a="1"/>
  <c r="E10" i="50" s="1"/>
  <c r="D10" i="50" a="1"/>
  <c r="D10" i="50"/>
  <c r="C10" i="50" a="1"/>
  <c r="C10" i="50"/>
  <c r="AM10" i="50" s="1"/>
  <c r="AJ9" i="50" a="1"/>
  <c r="AJ9" i="50" s="1"/>
  <c r="AI9" i="50" a="1"/>
  <c r="AI9" i="50" s="1"/>
  <c r="AH9" i="50" a="1"/>
  <c r="AH9" i="50" s="1"/>
  <c r="AG9" i="50" a="1"/>
  <c r="AG9" i="50" s="1"/>
  <c r="AE9" i="50" a="1"/>
  <c r="AE9" i="50"/>
  <c r="AD9" i="50" a="1"/>
  <c r="AD9" i="50"/>
  <c r="AC9" i="50" a="1"/>
  <c r="AC9" i="50" s="1"/>
  <c r="AB9" i="50" a="1"/>
  <c r="AB9" i="50" s="1"/>
  <c r="AF9" i="50" s="1"/>
  <c r="Z9" i="50" a="1"/>
  <c r="Z9" i="50" s="1"/>
  <c r="Y9" i="50" a="1"/>
  <c r="Y9" i="50" s="1"/>
  <c r="X9" i="50" a="1"/>
  <c r="X9" i="50" s="1"/>
  <c r="W9" i="50" a="1"/>
  <c r="W9" i="50" s="1"/>
  <c r="U9" i="50" a="1"/>
  <c r="U9" i="50"/>
  <c r="T9" i="50" a="1"/>
  <c r="T9" i="50" s="1"/>
  <c r="S9" i="50" a="1"/>
  <c r="S9" i="50" s="1"/>
  <c r="R9" i="50" a="1"/>
  <c r="R9" i="50"/>
  <c r="P9" i="50" a="1"/>
  <c r="P9" i="50" s="1"/>
  <c r="O9" i="50" a="1"/>
  <c r="O9" i="50" s="1"/>
  <c r="N9" i="50" a="1"/>
  <c r="N9" i="50" s="1"/>
  <c r="M9" i="50" a="1"/>
  <c r="M9" i="50" s="1"/>
  <c r="Q9" i="50" s="1"/>
  <c r="K9" i="50" a="1"/>
  <c r="K9" i="50" s="1"/>
  <c r="J9" i="50" a="1"/>
  <c r="J9" i="50" s="1"/>
  <c r="I9" i="50" a="1"/>
  <c r="I9" i="50"/>
  <c r="H9" i="50" a="1"/>
  <c r="H9" i="50"/>
  <c r="L9" i="50" s="1"/>
  <c r="F9" i="50" a="1"/>
  <c r="F9" i="50" s="1"/>
  <c r="E9" i="50" a="1"/>
  <c r="E9" i="50" s="1"/>
  <c r="D9" i="50" a="1"/>
  <c r="D9" i="50" s="1"/>
  <c r="C9" i="50" a="1"/>
  <c r="C9" i="50" s="1"/>
  <c r="AJ8" i="50" a="1"/>
  <c r="AJ8" i="50"/>
  <c r="AI8" i="50" a="1"/>
  <c r="AI8" i="50"/>
  <c r="AH8" i="50" a="1"/>
  <c r="AH8" i="50" s="1"/>
  <c r="AG8" i="50" a="1"/>
  <c r="AG8" i="50" s="1"/>
  <c r="AK8" i="50" s="1"/>
  <c r="AE8" i="50" a="1"/>
  <c r="AE8" i="50" s="1"/>
  <c r="AD8" i="50" a="1"/>
  <c r="AD8" i="50" s="1"/>
  <c r="AC8" i="50" a="1"/>
  <c r="AC8" i="50" s="1"/>
  <c r="AB8" i="50" a="1"/>
  <c r="AB8" i="50" s="1"/>
  <c r="Z8" i="50" a="1"/>
  <c r="Z8" i="50"/>
  <c r="Y8" i="50" a="1"/>
  <c r="Y8" i="50" s="1"/>
  <c r="X8" i="50" a="1"/>
  <c r="X8" i="50" s="1"/>
  <c r="W8" i="50" a="1"/>
  <c r="W8" i="50"/>
  <c r="U8" i="50" a="1"/>
  <c r="U8" i="50" s="1"/>
  <c r="T8" i="50" a="1"/>
  <c r="T8" i="50" s="1"/>
  <c r="S8" i="50" a="1"/>
  <c r="S8" i="50" s="1"/>
  <c r="R8" i="50" a="1"/>
  <c r="R8" i="50" s="1"/>
  <c r="P8" i="50" a="1"/>
  <c r="P8" i="50" s="1"/>
  <c r="O8" i="50" a="1"/>
  <c r="O8" i="50" s="1"/>
  <c r="N8" i="50" a="1"/>
  <c r="N8" i="50"/>
  <c r="M8" i="50" a="1"/>
  <c r="M8" i="50"/>
  <c r="K8" i="50" a="1"/>
  <c r="K8" i="50" s="1"/>
  <c r="J8" i="50" a="1"/>
  <c r="J8" i="50" s="1"/>
  <c r="I8" i="50" a="1"/>
  <c r="I8" i="50" s="1"/>
  <c r="H8" i="50" a="1"/>
  <c r="H8" i="50" s="1"/>
  <c r="L8" i="50" s="1"/>
  <c r="F8" i="50" a="1"/>
  <c r="F8" i="50" s="1"/>
  <c r="E8" i="50" a="1"/>
  <c r="E8" i="50"/>
  <c r="D8" i="50" a="1"/>
  <c r="D8" i="50"/>
  <c r="C8" i="50" a="1"/>
  <c r="C8" i="50" s="1"/>
  <c r="AJ7" i="50" a="1"/>
  <c r="AJ7" i="50" s="1"/>
  <c r="AI7" i="50" a="1"/>
  <c r="AI7" i="50" s="1"/>
  <c r="AH7" i="50" a="1"/>
  <c r="AH7" i="50" s="1"/>
  <c r="AG7" i="50" a="1"/>
  <c r="AG7" i="50" s="1"/>
  <c r="AE7" i="50" a="1"/>
  <c r="AE7" i="50"/>
  <c r="AD7" i="50" a="1"/>
  <c r="AD7" i="50" s="1"/>
  <c r="AC7" i="50" a="1"/>
  <c r="AC7" i="50" s="1"/>
  <c r="AB7" i="50" a="1"/>
  <c r="AB7" i="50"/>
  <c r="AF7" i="50" s="1"/>
  <c r="Z7" i="50" a="1"/>
  <c r="Z7" i="50" s="1"/>
  <c r="Y7" i="50" a="1"/>
  <c r="Y7" i="50" s="1"/>
  <c r="X7" i="50" a="1"/>
  <c r="X7" i="50" s="1"/>
  <c r="W7" i="50" a="1"/>
  <c r="W7" i="50" s="1"/>
  <c r="U7" i="50" a="1"/>
  <c r="U7" i="50" s="1"/>
  <c r="T7" i="50" a="1"/>
  <c r="T7" i="50" s="1"/>
  <c r="S7" i="50" a="1"/>
  <c r="S7" i="50"/>
  <c r="R7" i="50" a="1"/>
  <c r="R7" i="50"/>
  <c r="P7" i="50" a="1"/>
  <c r="P7" i="50" s="1"/>
  <c r="O7" i="50" a="1"/>
  <c r="O7" i="50" s="1"/>
  <c r="N7" i="50" a="1"/>
  <c r="N7" i="50" s="1"/>
  <c r="M7" i="50" a="1"/>
  <c r="M7" i="50" s="1"/>
  <c r="K7" i="50" a="1"/>
  <c r="K7" i="50" s="1"/>
  <c r="J7" i="50" a="1"/>
  <c r="J7" i="50"/>
  <c r="I7" i="50" a="1"/>
  <c r="I7" i="50"/>
  <c r="H7" i="50" a="1"/>
  <c r="H7" i="50" s="1"/>
  <c r="L7" i="50" s="1"/>
  <c r="F7" i="50" a="1"/>
  <c r="F7" i="50" s="1"/>
  <c r="E7" i="50" a="1"/>
  <c r="E7" i="50" s="1"/>
  <c r="D7" i="50" a="1"/>
  <c r="D7" i="50" s="1"/>
  <c r="C7" i="50" a="1"/>
  <c r="C7" i="50" s="1"/>
  <c r="AJ6" i="50" a="1"/>
  <c r="AJ6" i="50"/>
  <c r="AI6" i="50" a="1"/>
  <c r="AI6" i="50" s="1"/>
  <c r="AH6" i="50" a="1"/>
  <c r="AH6" i="50" s="1"/>
  <c r="AG6" i="50" a="1"/>
  <c r="AG6" i="50"/>
  <c r="AE6" i="50" a="1"/>
  <c r="AE6" i="50" s="1"/>
  <c r="AD6" i="50" a="1"/>
  <c r="AD6" i="50" s="1"/>
  <c r="AC6" i="50" a="1"/>
  <c r="AC6" i="50" s="1"/>
  <c r="AB6" i="50" a="1"/>
  <c r="AB6" i="50" s="1"/>
  <c r="Z6" i="50" a="1"/>
  <c r="Z6" i="50" s="1"/>
  <c r="Y6" i="50" a="1"/>
  <c r="Y6" i="50" s="1"/>
  <c r="X6" i="50" a="1"/>
  <c r="X6" i="50"/>
  <c r="W6" i="50" a="1"/>
  <c r="W6" i="50"/>
  <c r="AA6" i="50" s="1"/>
  <c r="U6" i="50" a="1"/>
  <c r="U6" i="50" s="1"/>
  <c r="T6" i="50" a="1"/>
  <c r="T6" i="50" s="1"/>
  <c r="S6" i="50" a="1"/>
  <c r="S6" i="50" s="1"/>
  <c r="R6" i="50" a="1"/>
  <c r="R6" i="50" s="1"/>
  <c r="P6" i="50" a="1"/>
  <c r="P6" i="50" s="1"/>
  <c r="O6" i="50" a="1"/>
  <c r="O6" i="50"/>
  <c r="N6" i="50" a="1"/>
  <c r="N6" i="50"/>
  <c r="M6" i="50" a="1"/>
  <c r="M6" i="50" s="1"/>
  <c r="K6" i="50" a="1"/>
  <c r="K6" i="50" s="1"/>
  <c r="J6" i="50" a="1"/>
  <c r="J6" i="50" s="1"/>
  <c r="I6" i="50" a="1"/>
  <c r="I6" i="50" s="1"/>
  <c r="H6" i="50" a="1"/>
  <c r="H6" i="50" s="1"/>
  <c r="F6" i="50" a="1"/>
  <c r="F6" i="50"/>
  <c r="E6" i="50" a="1"/>
  <c r="E6" i="50"/>
  <c r="D6" i="50" a="1"/>
  <c r="D6" i="50" s="1"/>
  <c r="C6" i="50" a="1"/>
  <c r="C6" i="50" s="1"/>
  <c r="AJ5" i="50" a="1"/>
  <c r="AJ5" i="50" s="1"/>
  <c r="AI5" i="50" a="1"/>
  <c r="AI5" i="50" s="1"/>
  <c r="AH5" i="50" a="1"/>
  <c r="AH5" i="50" s="1"/>
  <c r="AG5" i="50" a="1"/>
  <c r="AG5" i="50" s="1"/>
  <c r="AK5" i="50" s="1"/>
  <c r="AE5" i="50" a="1"/>
  <c r="AE5" i="50" s="1"/>
  <c r="AD5" i="50" a="1"/>
  <c r="AD5" i="50" s="1"/>
  <c r="AF5" i="50" s="1"/>
  <c r="AC5" i="50" a="1"/>
  <c r="AC5" i="50"/>
  <c r="AB5" i="50" a="1"/>
  <c r="AB5" i="50"/>
  <c r="Z5" i="50" a="1"/>
  <c r="Z5" i="50" s="1"/>
  <c r="Y5" i="50" a="1"/>
  <c r="Y5" i="50" s="1"/>
  <c r="X5" i="50" a="1"/>
  <c r="X5" i="50" s="1"/>
  <c r="W5" i="50" a="1"/>
  <c r="W5" i="50" s="1"/>
  <c r="U5" i="50" a="1"/>
  <c r="U5" i="50" s="1"/>
  <c r="T5" i="50" a="1"/>
  <c r="T5" i="50"/>
  <c r="S5" i="50" a="1"/>
  <c r="S5" i="50"/>
  <c r="R5" i="50" a="1"/>
  <c r="R5" i="50" s="1"/>
  <c r="V5" i="50" s="1"/>
  <c r="P5" i="50" a="1"/>
  <c r="P5" i="50" s="1"/>
  <c r="O5" i="50" a="1"/>
  <c r="O5" i="50"/>
  <c r="N5" i="50" a="1"/>
  <c r="N5" i="50" s="1"/>
  <c r="M5" i="50" a="1"/>
  <c r="M5" i="50" s="1"/>
  <c r="Q5" i="50" s="1"/>
  <c r="K5" i="50" a="1"/>
  <c r="K5" i="50"/>
  <c r="J5" i="50" a="1"/>
  <c r="J5" i="50"/>
  <c r="I5" i="50" a="1"/>
  <c r="I5" i="50" s="1"/>
  <c r="H5" i="50" a="1"/>
  <c r="H5" i="50" s="1"/>
  <c r="L5" i="50" s="1"/>
  <c r="F5" i="50" a="1"/>
  <c r="F5" i="50"/>
  <c r="E5" i="50" a="1"/>
  <c r="E5" i="50" s="1"/>
  <c r="D5" i="50" a="1"/>
  <c r="D5" i="50" s="1"/>
  <c r="C5" i="50" a="1"/>
  <c r="C5" i="50" s="1"/>
  <c r="AG3" i="50"/>
  <c r="AB3" i="50"/>
  <c r="W3" i="50"/>
  <c r="R3" i="50"/>
  <c r="M3" i="50"/>
  <c r="H3" i="50"/>
  <c r="C3" i="50"/>
  <c r="A2" i="56" a="1"/>
  <c r="A2" i="56" s="1"/>
  <c r="C2" i="56" s="1" a="1"/>
  <c r="C2" i="56" s="1"/>
  <c r="A2008" i="51"/>
  <c r="A2009" i="51"/>
  <c r="A2010" i="51"/>
  <c r="A2011" i="51"/>
  <c r="A2012" i="51"/>
  <c r="A2013" i="51"/>
  <c r="A2014" i="51"/>
  <c r="A2015" i="51"/>
  <c r="A2016" i="51"/>
  <c r="A2017" i="51"/>
  <c r="A2018" i="51"/>
  <c r="A2019" i="51"/>
  <c r="A2020" i="51"/>
  <c r="A2021" i="51"/>
  <c r="A2022" i="51"/>
  <c r="A2023" i="51"/>
  <c r="A2024" i="51"/>
  <c r="A2025" i="51"/>
  <c r="A2026" i="51"/>
  <c r="A2027" i="51"/>
  <c r="A2028" i="51"/>
  <c r="A2029" i="51"/>
  <c r="A2030" i="51"/>
  <c r="A2031" i="51"/>
  <c r="A2032" i="51"/>
  <c r="A2033" i="51"/>
  <c r="A2034" i="51"/>
  <c r="A2035" i="51"/>
  <c r="A2036" i="51"/>
  <c r="A2037" i="51"/>
  <c r="A2038" i="51"/>
  <c r="A2039" i="51"/>
  <c r="A2040" i="51"/>
  <c r="A2041" i="51"/>
  <c r="A2042" i="51"/>
  <c r="A2043" i="51"/>
  <c r="A2044" i="51"/>
  <c r="A2045" i="51"/>
  <c r="A2046" i="51"/>
  <c r="A2047" i="51"/>
  <c r="A2048" i="51"/>
  <c r="A2049" i="51"/>
  <c r="A2050" i="51"/>
  <c r="A2051" i="51"/>
  <c r="A2052" i="51"/>
  <c r="A2053" i="51"/>
  <c r="A2054" i="51"/>
  <c r="A2055" i="51"/>
  <c r="A2056" i="51"/>
  <c r="A2057" i="51"/>
  <c r="A2058" i="51"/>
  <c r="A2059" i="51"/>
  <c r="A2060" i="51"/>
  <c r="A2061" i="51"/>
  <c r="A2062" i="51"/>
  <c r="A2063" i="51"/>
  <c r="A2064" i="51"/>
  <c r="A2065" i="51"/>
  <c r="A2066" i="51"/>
  <c r="A2067" i="51"/>
  <c r="A2068" i="51"/>
  <c r="A2069" i="51"/>
  <c r="A2070" i="51"/>
  <c r="A2071" i="51"/>
  <c r="A2072" i="51"/>
  <c r="A2073" i="51"/>
  <c r="A2074" i="51"/>
  <c r="A2075" i="51"/>
  <c r="A2076" i="51"/>
  <c r="A2077" i="51"/>
  <c r="A2078" i="51"/>
  <c r="A2079" i="51"/>
  <c r="A2080" i="51"/>
  <c r="A2081" i="51"/>
  <c r="A2082" i="51"/>
  <c r="A2083" i="51"/>
  <c r="A2084" i="51"/>
  <c r="A2085" i="51"/>
  <c r="A2086" i="51"/>
  <c r="A2087" i="51"/>
  <c r="A2088" i="51"/>
  <c r="A2089" i="51"/>
  <c r="A2090" i="51"/>
  <c r="A2091" i="51"/>
  <c r="A2092" i="51"/>
  <c r="A2093" i="51"/>
  <c r="A2094" i="51"/>
  <c r="A2095" i="51"/>
  <c r="A2096" i="51"/>
  <c r="A2097" i="51"/>
  <c r="A2098" i="51"/>
  <c r="A2099" i="51"/>
  <c r="A2100" i="51"/>
  <c r="A2101" i="51"/>
  <c r="A2102" i="51"/>
  <c r="A2103" i="51"/>
  <c r="A2104" i="51"/>
  <c r="A2105" i="51"/>
  <c r="A2106" i="51"/>
  <c r="A2107" i="51"/>
  <c r="A2108" i="51"/>
  <c r="A2109" i="51"/>
  <c r="A2110" i="51"/>
  <c r="A2111" i="51"/>
  <c r="A2112" i="51"/>
  <c r="A2113" i="51"/>
  <c r="A2114" i="51"/>
  <c r="A2115" i="51"/>
  <c r="A2116" i="51"/>
  <c r="A2117" i="51"/>
  <c r="A2118" i="51"/>
  <c r="A2119" i="51"/>
  <c r="A2120" i="51"/>
  <c r="A2121" i="51"/>
  <c r="A2122" i="51"/>
  <c r="A2123" i="51"/>
  <c r="A2124" i="51"/>
  <c r="A2125" i="51"/>
  <c r="A2126" i="51"/>
  <c r="A2127" i="51"/>
  <c r="A2128" i="51"/>
  <c r="A2129" i="51"/>
  <c r="A2130" i="51"/>
  <c r="A2131" i="51"/>
  <c r="A2132" i="51"/>
  <c r="A2133" i="51"/>
  <c r="A2134" i="51"/>
  <c r="A2135" i="51"/>
  <c r="A2136" i="51"/>
  <c r="A2137" i="51"/>
  <c r="A2138" i="51"/>
  <c r="A2139" i="51"/>
  <c r="A2140" i="51"/>
  <c r="A2141" i="51"/>
  <c r="A2142" i="51"/>
  <c r="A2143" i="51"/>
  <c r="A2144" i="51"/>
  <c r="A2145" i="51"/>
  <c r="A2146" i="51"/>
  <c r="A2147" i="51"/>
  <c r="A2148" i="51"/>
  <c r="A2149" i="51"/>
  <c r="A2150" i="51"/>
  <c r="A2151" i="51"/>
  <c r="A2152" i="51"/>
  <c r="A2153" i="51"/>
  <c r="A2154" i="51"/>
  <c r="A2155" i="51"/>
  <c r="A2156" i="51"/>
  <c r="A2157" i="51"/>
  <c r="A2158" i="51"/>
  <c r="A2159" i="51"/>
  <c r="A2160" i="51"/>
  <c r="A2161" i="51"/>
  <c r="A2162" i="51"/>
  <c r="A2163" i="51"/>
  <c r="A2164" i="51"/>
  <c r="A2165" i="51"/>
  <c r="A2166" i="51"/>
  <c r="A2167" i="51"/>
  <c r="A2168" i="51"/>
  <c r="A2169" i="51"/>
  <c r="A2170" i="51"/>
  <c r="A2171" i="51"/>
  <c r="A2172" i="51"/>
  <c r="A2173" i="51"/>
  <c r="A2174" i="51"/>
  <c r="A2175" i="51"/>
  <c r="A2176" i="51"/>
  <c r="A2177" i="51"/>
  <c r="A2178" i="51"/>
  <c r="A2179" i="51"/>
  <c r="A2180" i="51"/>
  <c r="A2181" i="51"/>
  <c r="A2182" i="51"/>
  <c r="A2183" i="51"/>
  <c r="A2184" i="51"/>
  <c r="A2185" i="51"/>
  <c r="A2186" i="51"/>
  <c r="A2187" i="51"/>
  <c r="A2188" i="51"/>
  <c r="A2189" i="51"/>
  <c r="A2190" i="51"/>
  <c r="A2191" i="51"/>
  <c r="A2192" i="51"/>
  <c r="A2193" i="51"/>
  <c r="A2194" i="51"/>
  <c r="A2195" i="51"/>
  <c r="A2196" i="51"/>
  <c r="A2197" i="51"/>
  <c r="A2198" i="51"/>
  <c r="A2199" i="51"/>
  <c r="A2200" i="51"/>
  <c r="A2201" i="51"/>
  <c r="A2202" i="51"/>
  <c r="A2203" i="51"/>
  <c r="A2204" i="51"/>
  <c r="A2205" i="51"/>
  <c r="A2206" i="51"/>
  <c r="A2207" i="51"/>
  <c r="A2208" i="51"/>
  <c r="A2209" i="51"/>
  <c r="A2210" i="51"/>
  <c r="A2211" i="51"/>
  <c r="A2212" i="51"/>
  <c r="A2213" i="51"/>
  <c r="A2214" i="51"/>
  <c r="A2215" i="51"/>
  <c r="A2216" i="51"/>
  <c r="A2217" i="51"/>
  <c r="A2218" i="51"/>
  <c r="A2219" i="51"/>
  <c r="A2220" i="51"/>
  <c r="A2221" i="51"/>
  <c r="A2222" i="51"/>
  <c r="A2223" i="51"/>
  <c r="A2224" i="51"/>
  <c r="A2225" i="51"/>
  <c r="A2226" i="51"/>
  <c r="A2227" i="51"/>
  <c r="A2228" i="51"/>
  <c r="A2229" i="51"/>
  <c r="A2230" i="51"/>
  <c r="A2231" i="51"/>
  <c r="A2232" i="51"/>
  <c r="A2233" i="51"/>
  <c r="A2234" i="51"/>
  <c r="A2235" i="51"/>
  <c r="A2236" i="51"/>
  <c r="A2237" i="51"/>
  <c r="A2238" i="51"/>
  <c r="A2239" i="51"/>
  <c r="A2240" i="51"/>
  <c r="A2241" i="51"/>
  <c r="A2242" i="51"/>
  <c r="A2243" i="51"/>
  <c r="A2244" i="51"/>
  <c r="A2245" i="51"/>
  <c r="A2246" i="51"/>
  <c r="A2247" i="51"/>
  <c r="A2248" i="51"/>
  <c r="A2249" i="51"/>
  <c r="A2250" i="51"/>
  <c r="A2251" i="51"/>
  <c r="A2252" i="51"/>
  <c r="A2253" i="51"/>
  <c r="A2254" i="51"/>
  <c r="A2255" i="51"/>
  <c r="A2256" i="51"/>
  <c r="A2257" i="51"/>
  <c r="A2258" i="51"/>
  <c r="A2259" i="51"/>
  <c r="A2260" i="51"/>
  <c r="A2261" i="51"/>
  <c r="A2262" i="51"/>
  <c r="A2263" i="51"/>
  <c r="A2264" i="51"/>
  <c r="A2265" i="51"/>
  <c r="A2266" i="51"/>
  <c r="A2267" i="51"/>
  <c r="A2268" i="51"/>
  <c r="A2269" i="51"/>
  <c r="A2270" i="51"/>
  <c r="A2271" i="51"/>
  <c r="A2272" i="51"/>
  <c r="A2273" i="51"/>
  <c r="A2274" i="51"/>
  <c r="A2275" i="51"/>
  <c r="A2276" i="51"/>
  <c r="A2277" i="51"/>
  <c r="A2278" i="51"/>
  <c r="A2279" i="51"/>
  <c r="A2280" i="51"/>
  <c r="A2281" i="51"/>
  <c r="A2282" i="51"/>
  <c r="A2283" i="51"/>
  <c r="A2284" i="51"/>
  <c r="A2285" i="51"/>
  <c r="A2286" i="51"/>
  <c r="A2287" i="51"/>
  <c r="A2288" i="51"/>
  <c r="A2289" i="51"/>
  <c r="A2290" i="51"/>
  <c r="A2291" i="51"/>
  <c r="A2292" i="51"/>
  <c r="A2293" i="51"/>
  <c r="A2294" i="51"/>
  <c r="A2295" i="51"/>
  <c r="A2296" i="51"/>
  <c r="A2297" i="51"/>
  <c r="A2298" i="51"/>
  <c r="A2299" i="51"/>
  <c r="A2300" i="51"/>
  <c r="A2301" i="51"/>
  <c r="A2302" i="51"/>
  <c r="A2303" i="51"/>
  <c r="A2304" i="51"/>
  <c r="A2305" i="51"/>
  <c r="A2306" i="51"/>
  <c r="A2307" i="51"/>
  <c r="A2308" i="51"/>
  <c r="A2309" i="51"/>
  <c r="A2310" i="51"/>
  <c r="A2311" i="51"/>
  <c r="A2312" i="51"/>
  <c r="A2313" i="51"/>
  <c r="A2314" i="51"/>
  <c r="A2315" i="51"/>
  <c r="A2316" i="51"/>
  <c r="A2317" i="51"/>
  <c r="A2318" i="51"/>
  <c r="A2319" i="51"/>
  <c r="A2320" i="51"/>
  <c r="A2321" i="51"/>
  <c r="A2322" i="51"/>
  <c r="A2323" i="51"/>
  <c r="A2324" i="51"/>
  <c r="A2325" i="51"/>
  <c r="A2326" i="51"/>
  <c r="A2327" i="51"/>
  <c r="A2328" i="51"/>
  <c r="A2329" i="51"/>
  <c r="A2330" i="51"/>
  <c r="A2331" i="51"/>
  <c r="A2332" i="51"/>
  <c r="A2333" i="51"/>
  <c r="A2334" i="51"/>
  <c r="A2335" i="51"/>
  <c r="A2336" i="51"/>
  <c r="A2337" i="51"/>
  <c r="A2338" i="51"/>
  <c r="A2339" i="51"/>
  <c r="A2340" i="51"/>
  <c r="A2341" i="51"/>
  <c r="A2342" i="51"/>
  <c r="A2343" i="51"/>
  <c r="A2344" i="51"/>
  <c r="A2345" i="51"/>
  <c r="A2346" i="51"/>
  <c r="A2347" i="51"/>
  <c r="A2348" i="51"/>
  <c r="A2349" i="51"/>
  <c r="A2350" i="51"/>
  <c r="A2351" i="51"/>
  <c r="A2352" i="51"/>
  <c r="A2353" i="51"/>
  <c r="A2354" i="51"/>
  <c r="A2355" i="51"/>
  <c r="A2356" i="51"/>
  <c r="A2357" i="51"/>
  <c r="A2358" i="51"/>
  <c r="A2359" i="51"/>
  <c r="A2360" i="51"/>
  <c r="A2361" i="51"/>
  <c r="A2362" i="51"/>
  <c r="A2363" i="51"/>
  <c r="A2364" i="51"/>
  <c r="A2365" i="51"/>
  <c r="A2366" i="51"/>
  <c r="A2367" i="51"/>
  <c r="A2368" i="51"/>
  <c r="A2369" i="51"/>
  <c r="A2370" i="51"/>
  <c r="A2371" i="51"/>
  <c r="A2372" i="51"/>
  <c r="A2373" i="51"/>
  <c r="A2374" i="51"/>
  <c r="A2375" i="51"/>
  <c r="A2376" i="51"/>
  <c r="A2377" i="51"/>
  <c r="A2378" i="51"/>
  <c r="A2379" i="51"/>
  <c r="A2380" i="51"/>
  <c r="A2381" i="51"/>
  <c r="A2382" i="51"/>
  <c r="A2383" i="51"/>
  <c r="A2384" i="51"/>
  <c r="A2385" i="51"/>
  <c r="A2386" i="51"/>
  <c r="A2387" i="51"/>
  <c r="A2388" i="51"/>
  <c r="A2389" i="51"/>
  <c r="A2390" i="51"/>
  <c r="A2391" i="51"/>
  <c r="A2392" i="51"/>
  <c r="A2393" i="51"/>
  <c r="A2394" i="51"/>
  <c r="A2395" i="51"/>
  <c r="A2396" i="51"/>
  <c r="A2397" i="51"/>
  <c r="A2398" i="51"/>
  <c r="A2399" i="51"/>
  <c r="A2400" i="51"/>
  <c r="A2401" i="51"/>
  <c r="A2402" i="51"/>
  <c r="A2403" i="51"/>
  <c r="A2404" i="51"/>
  <c r="A2405" i="51"/>
  <c r="A2406" i="51"/>
  <c r="A2407" i="51"/>
  <c r="A2408" i="51"/>
  <c r="A2409" i="51"/>
  <c r="A2410" i="51"/>
  <c r="A2411" i="51"/>
  <c r="A2412" i="51"/>
  <c r="A2413" i="51"/>
  <c r="A2414" i="51"/>
  <c r="A2415" i="51"/>
  <c r="A2416" i="51"/>
  <c r="A2417" i="51"/>
  <c r="A2418" i="51"/>
  <c r="A2419" i="51"/>
  <c r="A2420" i="51"/>
  <c r="A2421" i="51"/>
  <c r="A2422" i="51"/>
  <c r="A2423" i="51"/>
  <c r="A2424" i="51"/>
  <c r="A2425" i="51"/>
  <c r="A2426" i="51"/>
  <c r="A2427" i="51"/>
  <c r="A2428" i="51"/>
  <c r="A2429" i="51"/>
  <c r="A2430" i="51"/>
  <c r="A2431" i="51"/>
  <c r="A2432" i="51"/>
  <c r="A2433" i="51"/>
  <c r="A2434" i="51"/>
  <c r="A2435" i="51"/>
  <c r="A2436" i="51"/>
  <c r="A2437" i="51"/>
  <c r="A2438" i="51"/>
  <c r="A2439" i="51"/>
  <c r="A2440" i="51"/>
  <c r="A2441" i="51"/>
  <c r="A2442" i="51"/>
  <c r="A2443" i="51"/>
  <c r="A2444" i="51"/>
  <c r="A2445" i="51"/>
  <c r="A2446" i="51"/>
  <c r="A2447" i="51"/>
  <c r="A2448" i="51"/>
  <c r="A2449" i="51"/>
  <c r="A2450" i="51"/>
  <c r="A2451" i="51"/>
  <c r="A2452" i="51"/>
  <c r="A2453" i="51"/>
  <c r="A2454" i="51"/>
  <c r="A2455" i="51"/>
  <c r="A2456" i="51"/>
  <c r="A2457" i="51"/>
  <c r="A2458" i="51"/>
  <c r="A2459" i="51"/>
  <c r="A2460" i="51"/>
  <c r="A2461" i="51"/>
  <c r="A2462" i="51"/>
  <c r="A2463" i="51"/>
  <c r="A2464" i="51"/>
  <c r="A2465" i="51"/>
  <c r="A2466" i="51"/>
  <c r="A2467" i="51"/>
  <c r="A2468" i="51"/>
  <c r="A2469" i="51"/>
  <c r="A2470" i="51"/>
  <c r="A2471" i="51"/>
  <c r="A2472" i="51"/>
  <c r="A2473" i="51"/>
  <c r="A2474" i="51"/>
  <c r="A2475" i="51"/>
  <c r="A2476" i="51"/>
  <c r="A2477" i="51"/>
  <c r="A2478" i="51"/>
  <c r="A2479" i="51"/>
  <c r="A2480" i="51"/>
  <c r="A2481" i="51"/>
  <c r="A2482" i="51"/>
  <c r="A2483" i="51"/>
  <c r="A2484" i="51"/>
  <c r="A2485" i="51"/>
  <c r="A2486" i="51"/>
  <c r="A2487" i="51"/>
  <c r="A2488" i="51"/>
  <c r="A2489" i="51"/>
  <c r="A2490" i="51"/>
  <c r="A2491" i="51"/>
  <c r="A2492" i="51"/>
  <c r="A2493" i="51"/>
  <c r="A2494" i="51"/>
  <c r="A2495" i="51"/>
  <c r="A2496" i="51"/>
  <c r="A2497" i="51"/>
  <c r="A2498" i="51"/>
  <c r="A2499" i="51"/>
  <c r="A2500" i="51"/>
  <c r="A2501" i="51"/>
  <c r="A2502" i="51"/>
  <c r="A2503" i="51"/>
  <c r="A2504" i="51"/>
  <c r="A2505" i="51"/>
  <c r="A2506" i="51"/>
  <c r="A2507" i="51"/>
  <c r="A2508" i="51"/>
  <c r="A2509" i="51"/>
  <c r="A2510" i="51"/>
  <c r="A2511" i="51"/>
  <c r="A2512" i="51"/>
  <c r="A2513" i="51"/>
  <c r="A2514" i="51"/>
  <c r="A2515" i="51"/>
  <c r="A2516" i="51"/>
  <c r="A2517" i="51"/>
  <c r="A2518" i="51"/>
  <c r="A2519" i="51"/>
  <c r="A2520" i="51"/>
  <c r="A2521" i="51"/>
  <c r="A2522" i="51"/>
  <c r="A2523" i="51"/>
  <c r="A2524" i="51"/>
  <c r="A2525" i="51"/>
  <c r="A2526" i="51"/>
  <c r="A2527" i="51"/>
  <c r="A2528" i="51"/>
  <c r="A2529" i="51"/>
  <c r="A2530" i="51"/>
  <c r="A2531" i="51"/>
  <c r="A2532" i="51"/>
  <c r="A2533" i="51"/>
  <c r="A2534" i="51"/>
  <c r="A2535" i="51"/>
  <c r="A2536" i="51"/>
  <c r="A2537" i="51"/>
  <c r="A2538" i="51"/>
  <c r="A2539" i="51"/>
  <c r="A2540" i="51"/>
  <c r="A2541" i="51"/>
  <c r="A2542" i="51"/>
  <c r="A2543" i="51"/>
  <c r="A2544" i="51"/>
  <c r="A2545" i="51"/>
  <c r="A2546" i="51"/>
  <c r="A2547" i="51"/>
  <c r="A2548" i="51"/>
  <c r="A2549" i="51"/>
  <c r="A2550" i="51"/>
  <c r="A2551" i="51"/>
  <c r="A2552" i="51"/>
  <c r="A2553" i="51"/>
  <c r="A2554" i="51"/>
  <c r="A2555" i="51"/>
  <c r="A2556" i="51"/>
  <c r="A2557" i="51"/>
  <c r="A2558" i="51"/>
  <c r="A2559" i="51"/>
  <c r="A2560" i="51"/>
  <c r="A2561" i="51"/>
  <c r="A2562" i="51"/>
  <c r="A2563" i="51"/>
  <c r="A2564" i="51"/>
  <c r="A2565" i="51"/>
  <c r="A2566" i="51"/>
  <c r="A2567" i="51"/>
  <c r="A2568" i="51"/>
  <c r="A2569" i="51"/>
  <c r="A2570" i="51"/>
  <c r="A2571" i="51"/>
  <c r="A2572" i="51"/>
  <c r="A2573" i="51"/>
  <c r="A2574" i="51"/>
  <c r="A2575" i="51"/>
  <c r="A2576" i="51"/>
  <c r="A2577" i="51"/>
  <c r="A2578" i="51"/>
  <c r="A2579" i="51"/>
  <c r="A2580" i="51"/>
  <c r="A2581" i="51"/>
  <c r="A2582" i="51"/>
  <c r="A2583" i="51"/>
  <c r="A2584" i="51"/>
  <c r="A2585" i="51"/>
  <c r="A2586" i="51"/>
  <c r="A2587" i="51"/>
  <c r="A2588" i="51"/>
  <c r="A2589" i="51"/>
  <c r="A2590" i="51"/>
  <c r="A2591" i="51"/>
  <c r="A2592" i="51"/>
  <c r="A2593" i="51"/>
  <c r="A2594" i="51"/>
  <c r="A2595" i="51"/>
  <c r="A2596" i="51"/>
  <c r="A2597" i="51"/>
  <c r="A2598" i="51"/>
  <c r="A2599" i="51"/>
  <c r="A2600" i="51"/>
  <c r="A2601" i="51"/>
  <c r="A2602" i="51"/>
  <c r="A2603" i="51"/>
  <c r="A2604" i="51"/>
  <c r="A2605" i="51"/>
  <c r="A2606" i="51"/>
  <c r="A2607" i="51"/>
  <c r="A2608" i="51"/>
  <c r="A2609" i="51"/>
  <c r="A2610" i="51"/>
  <c r="A2611" i="51"/>
  <c r="A2612" i="51"/>
  <c r="A2613" i="51"/>
  <c r="A2614" i="51"/>
  <c r="A2615" i="51"/>
  <c r="A2616" i="51"/>
  <c r="A2617" i="51"/>
  <c r="A2618" i="51"/>
  <c r="A2619" i="51"/>
  <c r="A2620" i="51"/>
  <c r="A2621" i="51"/>
  <c r="A2622" i="51"/>
  <c r="A2623" i="51"/>
  <c r="A2624" i="51"/>
  <c r="A2625" i="51"/>
  <c r="A2626" i="51"/>
  <c r="A2627" i="51"/>
  <c r="A2628" i="51"/>
  <c r="A2629" i="51"/>
  <c r="A2630" i="51"/>
  <c r="A2631" i="51"/>
  <c r="A2632" i="51"/>
  <c r="A2633" i="51"/>
  <c r="A2634" i="51"/>
  <c r="A2635" i="51"/>
  <c r="A2636" i="51"/>
  <c r="A2637" i="51"/>
  <c r="A2638" i="51"/>
  <c r="A2639" i="51"/>
  <c r="A2640" i="51"/>
  <c r="A2641" i="51"/>
  <c r="A2642" i="51"/>
  <c r="A2643" i="51"/>
  <c r="A2644" i="51"/>
  <c r="A2645" i="51"/>
  <c r="A2646" i="51"/>
  <c r="A2647" i="51"/>
  <c r="A2648" i="51"/>
  <c r="A2649" i="51"/>
  <c r="A2650" i="51"/>
  <c r="A2651" i="51"/>
  <c r="A2652" i="51"/>
  <c r="A2653" i="51"/>
  <c r="A2654" i="51"/>
  <c r="A2655" i="51"/>
  <c r="A2656" i="51"/>
  <c r="A2657" i="51"/>
  <c r="A2658" i="51"/>
  <c r="A2659" i="51"/>
  <c r="A2660" i="51"/>
  <c r="A2661" i="51"/>
  <c r="A2662" i="51"/>
  <c r="A2663" i="51"/>
  <c r="A2664" i="51"/>
  <c r="A2665" i="51"/>
  <c r="A2666" i="51"/>
  <c r="A2667" i="51"/>
  <c r="A2668" i="51"/>
  <c r="A2669" i="51"/>
  <c r="A2670" i="51"/>
  <c r="A2671" i="51"/>
  <c r="A2672" i="51"/>
  <c r="A2673" i="51"/>
  <c r="A2674" i="51"/>
  <c r="A2675" i="51"/>
  <c r="A2676" i="51"/>
  <c r="A2677" i="51"/>
  <c r="A2678" i="51"/>
  <c r="A2679" i="51"/>
  <c r="A2680" i="51"/>
  <c r="A2681" i="51"/>
  <c r="A2682" i="51"/>
  <c r="A2683" i="51"/>
  <c r="A2684" i="51"/>
  <c r="A2685" i="51"/>
  <c r="A2686" i="51"/>
  <c r="A2687" i="51"/>
  <c r="A2688" i="51"/>
  <c r="A2689" i="51"/>
  <c r="A2690" i="51"/>
  <c r="A2691" i="51"/>
  <c r="A2692" i="51"/>
  <c r="A2693" i="51"/>
  <c r="A2694" i="51"/>
  <c r="A2695" i="51"/>
  <c r="A2696" i="51"/>
  <c r="A2697" i="51"/>
  <c r="A2698" i="51"/>
  <c r="A2699" i="51"/>
  <c r="A2700" i="51"/>
  <c r="A2701" i="51"/>
  <c r="A2702" i="51"/>
  <c r="A2703" i="51"/>
  <c r="A2704" i="51"/>
  <c r="A2705" i="51"/>
  <c r="A2706" i="51"/>
  <c r="A2707" i="51"/>
  <c r="A2708" i="51"/>
  <c r="A2709" i="51"/>
  <c r="A2710" i="51"/>
  <c r="A2711" i="51"/>
  <c r="A2712" i="51"/>
  <c r="A2713" i="51"/>
  <c r="A2714" i="51"/>
  <c r="A2715" i="51"/>
  <c r="A2716" i="51"/>
  <c r="A2717" i="51"/>
  <c r="A2718" i="51"/>
  <c r="A2719" i="51"/>
  <c r="A2720" i="51"/>
  <c r="A2721" i="51"/>
  <c r="A2722" i="51"/>
  <c r="A2723" i="51"/>
  <c r="A2724" i="51"/>
  <c r="A2725" i="51"/>
  <c r="A2726" i="51"/>
  <c r="A2727" i="51"/>
  <c r="A2728" i="51"/>
  <c r="A2729" i="51"/>
  <c r="A2730" i="51"/>
  <c r="A2731" i="51"/>
  <c r="A2732" i="51"/>
  <c r="A2733" i="51"/>
  <c r="A2734" i="51"/>
  <c r="A2735" i="51"/>
  <c r="A2736" i="51"/>
  <c r="A2737" i="51"/>
  <c r="A2738" i="51"/>
  <c r="A2739" i="51"/>
  <c r="A2740" i="51"/>
  <c r="A2741" i="51"/>
  <c r="A2742" i="51"/>
  <c r="A2743" i="51"/>
  <c r="A2744" i="51"/>
  <c r="A2745" i="51"/>
  <c r="A2746" i="51"/>
  <c r="A2747" i="51"/>
  <c r="A2748" i="51"/>
  <c r="A2749" i="51"/>
  <c r="A2750" i="51"/>
  <c r="A2751" i="51"/>
  <c r="A2752" i="51"/>
  <c r="A2753" i="51"/>
  <c r="A2754" i="51"/>
  <c r="A2755" i="51"/>
  <c r="A2756" i="51"/>
  <c r="A2757" i="51"/>
  <c r="A2758" i="51"/>
  <c r="A2759" i="51"/>
  <c r="A2760" i="51"/>
  <c r="A2761" i="51"/>
  <c r="A2762" i="51"/>
  <c r="A2763" i="51"/>
  <c r="A2764" i="51"/>
  <c r="A2765" i="51"/>
  <c r="A2766" i="51"/>
  <c r="A2767" i="51"/>
  <c r="A2768" i="51"/>
  <c r="A2769" i="51"/>
  <c r="A2770" i="51"/>
  <c r="A2771" i="51"/>
  <c r="A2772" i="51"/>
  <c r="A2773" i="51"/>
  <c r="A2774" i="51"/>
  <c r="A2775" i="51"/>
  <c r="A2776" i="51"/>
  <c r="A2777" i="51"/>
  <c r="A2778" i="51"/>
  <c r="A2779" i="51"/>
  <c r="A2780" i="51"/>
  <c r="A2781" i="51"/>
  <c r="A2782" i="51"/>
  <c r="A2783" i="51"/>
  <c r="A2784" i="51"/>
  <c r="A2785" i="51"/>
  <c r="A2786" i="51"/>
  <c r="A2787" i="51"/>
  <c r="A2788" i="51"/>
  <c r="A2789" i="51"/>
  <c r="A2790" i="51"/>
  <c r="A2791" i="51"/>
  <c r="A2792" i="51"/>
  <c r="A2793" i="51"/>
  <c r="A2794" i="51"/>
  <c r="A2795" i="51"/>
  <c r="A2796" i="51"/>
  <c r="A2797" i="51"/>
  <c r="A2798" i="51"/>
  <c r="A2799" i="51"/>
  <c r="A2800" i="51"/>
  <c r="A2801" i="51"/>
  <c r="A2802" i="51"/>
  <c r="A2803" i="51"/>
  <c r="A2804" i="51"/>
  <c r="A2805" i="51"/>
  <c r="A2806" i="51"/>
  <c r="A2807" i="51"/>
  <c r="A2808" i="51"/>
  <c r="A2809" i="51"/>
  <c r="A2810" i="51"/>
  <c r="A2811" i="51"/>
  <c r="A2812" i="51"/>
  <c r="A2813" i="51"/>
  <c r="A2814" i="51"/>
  <c r="A2815" i="51"/>
  <c r="A2816" i="51"/>
  <c r="A2817" i="51"/>
  <c r="A2818" i="51"/>
  <c r="A2819" i="51"/>
  <c r="A2820" i="51"/>
  <c r="A2821" i="51"/>
  <c r="A2822" i="51"/>
  <c r="A2823" i="51"/>
  <c r="A2824" i="51"/>
  <c r="A2825" i="51"/>
  <c r="A2826" i="51"/>
  <c r="A2827" i="51"/>
  <c r="A2828" i="51"/>
  <c r="A2829" i="51"/>
  <c r="A2830" i="51"/>
  <c r="A2831" i="51"/>
  <c r="A2832" i="51"/>
  <c r="A2833" i="51"/>
  <c r="A2834" i="51"/>
  <c r="A2835" i="51"/>
  <c r="A2836" i="51"/>
  <c r="A2837" i="51"/>
  <c r="A2838" i="51"/>
  <c r="A2839" i="51"/>
  <c r="A2840" i="51"/>
  <c r="A2841" i="51"/>
  <c r="A2842" i="51"/>
  <c r="A2843" i="51"/>
  <c r="A2844" i="51"/>
  <c r="A2845" i="51"/>
  <c r="A2846" i="51"/>
  <c r="A2847" i="51"/>
  <c r="A2848" i="51"/>
  <c r="A2849" i="51"/>
  <c r="A2850" i="51"/>
  <c r="A2851" i="51"/>
  <c r="A2852" i="51"/>
  <c r="A2853" i="51"/>
  <c r="A2854" i="51"/>
  <c r="A2855" i="51"/>
  <c r="A2856" i="51"/>
  <c r="A2857" i="51"/>
  <c r="A2858" i="51"/>
  <c r="A2859" i="51"/>
  <c r="A2860" i="51"/>
  <c r="A2861" i="51"/>
  <c r="A2862" i="51"/>
  <c r="A2863" i="51"/>
  <c r="A2864" i="51"/>
  <c r="A2865" i="51"/>
  <c r="A2866" i="51"/>
  <c r="A2867" i="51"/>
  <c r="A2868" i="51"/>
  <c r="A2869" i="51"/>
  <c r="A2870" i="51"/>
  <c r="A2871" i="51"/>
  <c r="A2872" i="51"/>
  <c r="A2873" i="51"/>
  <c r="A2874" i="51"/>
  <c r="A2875" i="51"/>
  <c r="A2876" i="51"/>
  <c r="A2877" i="51"/>
  <c r="A2878" i="51"/>
  <c r="A2879" i="51"/>
  <c r="A2880" i="51"/>
  <c r="A2881" i="51"/>
  <c r="A2882" i="51"/>
  <c r="A2883" i="51"/>
  <c r="A2884" i="51"/>
  <c r="A2885" i="51"/>
  <c r="A2886" i="51"/>
  <c r="A2887" i="51"/>
  <c r="A2888" i="51"/>
  <c r="A2889" i="51"/>
  <c r="A2890" i="51"/>
  <c r="A2891" i="51"/>
  <c r="A2892" i="51"/>
  <c r="A2893" i="51"/>
  <c r="A2894" i="51"/>
  <c r="A2895" i="51"/>
  <c r="A2896" i="51"/>
  <c r="A2897" i="51"/>
  <c r="A2898" i="51"/>
  <c r="A2899" i="51"/>
  <c r="A2900" i="51"/>
  <c r="A2901" i="51"/>
  <c r="A2902" i="51"/>
  <c r="A2903" i="51"/>
  <c r="A2904" i="51"/>
  <c r="A2905" i="51"/>
  <c r="A2906" i="51"/>
  <c r="A2907" i="51"/>
  <c r="A2908" i="51"/>
  <c r="A2909" i="51"/>
  <c r="A2910" i="51"/>
  <c r="A2911" i="51"/>
  <c r="A2912" i="51"/>
  <c r="A2913" i="51"/>
  <c r="A2914" i="51"/>
  <c r="A2915" i="51"/>
  <c r="A2916" i="51"/>
  <c r="A2917" i="51"/>
  <c r="A2918" i="51"/>
  <c r="A2919" i="51"/>
  <c r="A2920" i="51"/>
  <c r="A2921" i="51"/>
  <c r="A2922" i="51"/>
  <c r="A2923" i="51"/>
  <c r="A2924" i="51"/>
  <c r="A2925" i="51"/>
  <c r="A2926" i="51"/>
  <c r="A2927" i="51"/>
  <c r="A2928" i="51"/>
  <c r="A2929" i="51"/>
  <c r="A2930" i="51"/>
  <c r="A2931" i="51"/>
  <c r="A2932" i="51"/>
  <c r="A2933" i="51"/>
  <c r="A2934" i="51"/>
  <c r="A2935" i="51"/>
  <c r="A2936" i="51"/>
  <c r="A2937" i="51"/>
  <c r="A2938" i="51"/>
  <c r="A2939" i="51"/>
  <c r="A2940" i="51"/>
  <c r="A2941" i="51"/>
  <c r="A2942" i="51"/>
  <c r="A2943" i="51"/>
  <c r="A2944" i="51"/>
  <c r="A2945" i="51"/>
  <c r="A2946" i="51"/>
  <c r="A2947" i="51"/>
  <c r="A2948" i="51"/>
  <c r="A2949" i="51"/>
  <c r="A2950" i="51"/>
  <c r="A2951" i="51"/>
  <c r="A2952" i="51"/>
  <c r="A2953" i="51"/>
  <c r="A2954" i="51"/>
  <c r="A2955" i="51"/>
  <c r="A2956" i="51"/>
  <c r="A2957" i="51"/>
  <c r="A2958" i="51"/>
  <c r="A2959" i="51"/>
  <c r="A2960" i="51"/>
  <c r="A2961" i="51"/>
  <c r="A2962" i="51"/>
  <c r="A2963" i="51"/>
  <c r="A2964" i="51"/>
  <c r="A2965" i="51"/>
  <c r="A2966" i="51"/>
  <c r="A2967" i="51"/>
  <c r="A2968" i="51"/>
  <c r="A2969" i="51"/>
  <c r="A2970" i="51"/>
  <c r="A2971" i="51"/>
  <c r="A2972" i="51"/>
  <c r="A2973" i="51"/>
  <c r="A2974" i="51"/>
  <c r="A2975" i="51"/>
  <c r="A2976" i="51"/>
  <c r="A2977" i="51"/>
  <c r="A2978" i="51"/>
  <c r="A2979" i="51"/>
  <c r="A2980" i="51"/>
  <c r="A2981" i="51"/>
  <c r="A2982" i="51"/>
  <c r="A2983" i="51"/>
  <c r="A2984" i="51"/>
  <c r="A2985" i="51"/>
  <c r="A2986" i="51"/>
  <c r="A2987" i="51"/>
  <c r="A2988" i="51"/>
  <c r="A2989" i="51"/>
  <c r="A2990" i="51"/>
  <c r="A2991" i="51"/>
  <c r="A2992" i="51"/>
  <c r="A2993" i="51"/>
  <c r="A2994" i="51"/>
  <c r="A2995" i="51"/>
  <c r="A2996" i="51"/>
  <c r="A2997" i="51"/>
  <c r="A2998" i="51"/>
  <c r="A2999" i="51"/>
  <c r="A3000" i="51"/>
  <c r="A3001" i="51"/>
  <c r="A3002" i="51"/>
  <c r="A3003" i="51"/>
  <c r="A3004" i="51"/>
  <c r="A3005" i="51"/>
  <c r="A3006" i="51"/>
  <c r="A3007" i="51"/>
  <c r="A3008" i="51"/>
  <c r="A3009" i="51"/>
  <c r="A3010" i="51"/>
  <c r="A3011" i="51"/>
  <c r="A3012" i="51"/>
  <c r="A3013" i="51"/>
  <c r="A3014" i="51"/>
  <c r="A3015" i="51"/>
  <c r="A3016" i="51"/>
  <c r="A3017" i="51"/>
  <c r="A3018" i="51"/>
  <c r="A3019" i="51"/>
  <c r="A3020" i="51"/>
  <c r="A3021" i="51"/>
  <c r="A3022" i="51"/>
  <c r="A3023" i="51"/>
  <c r="A3024" i="51"/>
  <c r="A3025" i="51"/>
  <c r="A3026" i="51"/>
  <c r="A3027" i="51"/>
  <c r="A3028" i="51"/>
  <c r="A3029" i="51"/>
  <c r="A3030" i="51"/>
  <c r="A3031" i="51"/>
  <c r="A3032" i="51"/>
  <c r="A3033" i="51"/>
  <c r="A3034" i="51"/>
  <c r="A3035" i="51"/>
  <c r="A3036" i="51"/>
  <c r="A3037" i="51"/>
  <c r="A3038" i="51"/>
  <c r="A3039" i="51"/>
  <c r="A3040" i="51"/>
  <c r="A3041" i="51"/>
  <c r="A3042" i="51"/>
  <c r="A3043" i="51"/>
  <c r="A3044" i="51"/>
  <c r="A3045" i="51"/>
  <c r="A3046" i="51"/>
  <c r="A3047" i="51"/>
  <c r="A3048" i="51"/>
  <c r="A3049" i="51"/>
  <c r="A3050" i="51"/>
  <c r="A3051" i="51"/>
  <c r="A3052" i="51"/>
  <c r="A3053" i="51"/>
  <c r="A3054" i="51"/>
  <c r="A3055" i="51"/>
  <c r="A3056" i="51"/>
  <c r="A3057" i="51"/>
  <c r="A3058" i="51"/>
  <c r="A3059" i="51"/>
  <c r="A3060" i="51"/>
  <c r="A3061" i="51"/>
  <c r="A3062" i="51"/>
  <c r="A3063" i="51"/>
  <c r="A3064" i="51"/>
  <c r="A3065" i="51"/>
  <c r="A3066" i="51"/>
  <c r="A3067" i="51"/>
  <c r="A3068" i="51"/>
  <c r="A3069" i="51"/>
  <c r="A3070" i="51"/>
  <c r="A3071" i="51"/>
  <c r="A3072" i="51"/>
  <c r="A3073" i="51"/>
  <c r="A3074" i="51"/>
  <c r="A3075" i="51"/>
  <c r="A3076" i="51"/>
  <c r="A3077" i="51"/>
  <c r="A3078" i="51"/>
  <c r="A3079" i="51"/>
  <c r="A3080" i="51"/>
  <c r="A3081" i="51"/>
  <c r="A3082" i="51"/>
  <c r="A3083" i="51"/>
  <c r="A3084" i="51"/>
  <c r="A3085" i="51"/>
  <c r="A3086" i="51"/>
  <c r="A3087" i="51"/>
  <c r="A3088" i="51"/>
  <c r="A3089" i="51"/>
  <c r="A3090" i="51"/>
  <c r="A3091" i="51"/>
  <c r="A3092" i="51"/>
  <c r="A3093" i="51"/>
  <c r="A3094" i="51"/>
  <c r="A3095" i="51"/>
  <c r="A3096" i="51"/>
  <c r="A3097" i="51"/>
  <c r="A3098" i="51"/>
  <c r="A3099" i="51"/>
  <c r="A3100" i="51"/>
  <c r="A3101" i="51"/>
  <c r="A3102" i="51"/>
  <c r="A3103" i="51"/>
  <c r="A3104" i="51"/>
  <c r="A3105" i="51"/>
  <c r="A3106" i="51"/>
  <c r="A3107" i="51"/>
  <c r="A3108" i="51"/>
  <c r="A3109" i="51"/>
  <c r="A3110" i="51"/>
  <c r="A3111" i="51"/>
  <c r="A3112" i="51"/>
  <c r="A3113" i="51"/>
  <c r="A3114" i="51"/>
  <c r="A3115" i="51"/>
  <c r="A3116" i="51"/>
  <c r="A3117" i="51"/>
  <c r="A3118" i="51"/>
  <c r="A3119" i="51"/>
  <c r="A3120" i="51"/>
  <c r="A3121" i="51"/>
  <c r="A3122" i="51"/>
  <c r="A3123" i="51"/>
  <c r="A3124" i="51"/>
  <c r="A3125" i="51"/>
  <c r="A3126" i="51"/>
  <c r="A3127" i="51"/>
  <c r="A3128" i="51"/>
  <c r="A3129" i="51"/>
  <c r="A3130" i="51"/>
  <c r="A3131" i="51"/>
  <c r="A3132" i="51"/>
  <c r="A3133" i="51"/>
  <c r="A3134" i="51"/>
  <c r="A3135" i="51"/>
  <c r="A3136" i="51"/>
  <c r="A3137" i="51"/>
  <c r="A3138" i="51"/>
  <c r="A3139" i="51"/>
  <c r="A3140" i="51"/>
  <c r="A3141" i="51"/>
  <c r="A3142" i="51"/>
  <c r="A3143" i="51"/>
  <c r="A3144" i="51"/>
  <c r="A3145" i="51"/>
  <c r="A3146" i="51"/>
  <c r="A3147" i="51"/>
  <c r="A3148" i="51"/>
  <c r="A3149" i="51"/>
  <c r="A3150" i="51"/>
  <c r="A3151" i="51"/>
  <c r="A3152" i="51"/>
  <c r="A3153" i="51"/>
  <c r="A3154" i="51"/>
  <c r="A3155" i="51"/>
  <c r="A3156" i="51"/>
  <c r="A3157" i="51"/>
  <c r="A3158" i="51"/>
  <c r="A3159" i="51"/>
  <c r="A3160" i="51"/>
  <c r="A3161" i="51"/>
  <c r="A3162" i="51"/>
  <c r="A3163" i="51"/>
  <c r="A3164" i="51"/>
  <c r="A3165" i="51"/>
  <c r="A3166" i="51"/>
  <c r="A3167" i="51"/>
  <c r="A3168" i="51"/>
  <c r="A3169" i="51"/>
  <c r="A3170" i="51"/>
  <c r="A3171" i="51"/>
  <c r="A3172" i="51"/>
  <c r="A3173" i="51"/>
  <c r="A3174" i="51"/>
  <c r="A3175" i="51"/>
  <c r="A3176" i="51"/>
  <c r="A3177" i="51"/>
  <c r="A3178" i="51"/>
  <c r="A3179" i="51"/>
  <c r="A3180" i="51"/>
  <c r="A3181" i="51"/>
  <c r="A3182" i="51"/>
  <c r="A3183" i="51"/>
  <c r="A3184" i="51"/>
  <c r="A3185" i="51"/>
  <c r="A3186" i="51"/>
  <c r="A3187" i="51"/>
  <c r="A3188" i="51"/>
  <c r="A3189" i="51"/>
  <c r="A3190" i="51"/>
  <c r="A3191" i="51"/>
  <c r="A3192" i="51"/>
  <c r="A3193" i="51"/>
  <c r="A3194" i="51"/>
  <c r="A3195" i="51"/>
  <c r="A3196" i="51"/>
  <c r="A3197" i="51"/>
  <c r="A3198" i="51"/>
  <c r="A3199" i="51"/>
  <c r="A3200" i="51"/>
  <c r="A3201" i="51"/>
  <c r="A3202" i="51"/>
  <c r="A3203" i="51"/>
  <c r="A3204" i="51"/>
  <c r="A3205" i="51"/>
  <c r="A3206" i="51"/>
  <c r="A3207" i="51"/>
  <c r="A3208" i="51"/>
  <c r="A3209" i="51"/>
  <c r="A3210" i="51"/>
  <c r="A3211" i="51"/>
  <c r="A3212" i="51"/>
  <c r="A3213" i="51"/>
  <c r="A3214" i="51"/>
  <c r="A3215" i="51"/>
  <c r="A3216" i="51"/>
  <c r="A3217" i="51"/>
  <c r="A3218" i="51"/>
  <c r="A3219" i="51"/>
  <c r="A3220" i="51"/>
  <c r="A3221" i="51"/>
  <c r="A3222" i="51"/>
  <c r="A3223" i="51"/>
  <c r="A3224" i="51"/>
  <c r="A3225" i="51"/>
  <c r="A3226" i="51"/>
  <c r="A3227" i="51"/>
  <c r="A3228" i="51"/>
  <c r="A3229" i="51"/>
  <c r="A3230" i="51"/>
  <c r="A3231" i="51"/>
  <c r="A3232" i="51"/>
  <c r="A3233" i="51"/>
  <c r="A3234" i="51"/>
  <c r="A3235" i="51"/>
  <c r="A3236" i="51"/>
  <c r="A3237" i="51"/>
  <c r="A3238" i="51"/>
  <c r="A3239" i="51"/>
  <c r="A3240" i="51"/>
  <c r="A3241" i="51"/>
  <c r="A3242" i="51"/>
  <c r="A3243" i="51"/>
  <c r="A3244" i="51"/>
  <c r="A3245" i="51"/>
  <c r="A3246" i="51"/>
  <c r="A3247" i="51"/>
  <c r="A3248" i="51"/>
  <c r="A3249" i="51"/>
  <c r="A3250" i="51"/>
  <c r="A3251" i="51"/>
  <c r="A3252" i="51"/>
  <c r="A3253" i="51"/>
  <c r="A3254" i="51"/>
  <c r="A3255" i="51"/>
  <c r="A3256" i="51"/>
  <c r="A3257" i="51"/>
  <c r="A3258" i="51"/>
  <c r="A3259" i="51"/>
  <c r="A3260" i="51"/>
  <c r="A3261" i="51"/>
  <c r="A3262" i="51"/>
  <c r="A3263" i="51"/>
  <c r="A3264" i="51"/>
  <c r="A3265" i="51"/>
  <c r="A3266" i="51"/>
  <c r="A3267" i="51"/>
  <c r="A3268" i="51"/>
  <c r="A3269" i="51"/>
  <c r="A3270" i="51"/>
  <c r="A3271" i="51"/>
  <c r="A3272" i="51"/>
  <c r="A3273" i="51"/>
  <c r="A3274" i="51"/>
  <c r="A3275" i="51"/>
  <c r="A3276" i="51"/>
  <c r="A3277" i="51"/>
  <c r="A3278" i="51"/>
  <c r="A3279" i="51"/>
  <c r="A3280" i="51"/>
  <c r="A3281" i="51"/>
  <c r="A3282" i="51"/>
  <c r="A3283" i="51"/>
  <c r="A3284" i="51"/>
  <c r="A3285" i="51"/>
  <c r="A3286" i="51"/>
  <c r="A3287" i="51"/>
  <c r="A3288" i="51"/>
  <c r="A3289" i="51"/>
  <c r="A3290" i="51"/>
  <c r="A3291" i="51"/>
  <c r="A3292" i="51"/>
  <c r="A3293" i="51"/>
  <c r="A3294" i="51"/>
  <c r="A3295" i="51"/>
  <c r="A3296" i="51"/>
  <c r="A3297" i="51"/>
  <c r="A3298" i="51"/>
  <c r="A3299" i="51"/>
  <c r="A3300" i="51"/>
  <c r="A3301" i="51"/>
  <c r="A3302" i="51"/>
  <c r="A3303" i="51"/>
  <c r="A3304" i="51"/>
  <c r="A3305" i="51"/>
  <c r="A3306" i="51"/>
  <c r="A3307" i="51"/>
  <c r="A3308" i="51"/>
  <c r="A3309" i="51"/>
  <c r="A3310" i="51"/>
  <c r="A3311" i="51"/>
  <c r="A3312" i="51"/>
  <c r="A3313" i="51"/>
  <c r="A3314" i="51"/>
  <c r="A3315" i="51"/>
  <c r="A3316" i="51"/>
  <c r="A3317" i="51"/>
  <c r="A3318" i="51"/>
  <c r="A3319" i="51"/>
  <c r="A3320" i="51"/>
  <c r="A3321" i="51"/>
  <c r="A3322" i="51"/>
  <c r="A3323" i="51"/>
  <c r="A3324" i="51"/>
  <c r="A3325" i="51"/>
  <c r="A3326" i="51"/>
  <c r="A3327" i="51"/>
  <c r="A3328" i="51"/>
  <c r="A3329" i="51"/>
  <c r="A3330" i="51"/>
  <c r="A3331" i="51"/>
  <c r="A3332" i="51"/>
  <c r="A3333" i="51"/>
  <c r="A3334" i="51"/>
  <c r="A3335" i="51"/>
  <c r="A3336" i="51"/>
  <c r="A3337" i="51"/>
  <c r="A3338" i="51"/>
  <c r="A3339" i="51"/>
  <c r="A3340" i="51"/>
  <c r="A3341" i="51"/>
  <c r="A3342" i="51"/>
  <c r="A3343" i="51"/>
  <c r="A3344" i="51"/>
  <c r="A3345" i="51"/>
  <c r="A3346" i="51"/>
  <c r="A3347" i="51"/>
  <c r="A3348" i="51"/>
  <c r="A3349" i="51"/>
  <c r="A3350" i="51"/>
  <c r="A3351" i="51"/>
  <c r="A3352" i="51"/>
  <c r="A3353" i="51"/>
  <c r="A3354" i="51"/>
  <c r="A3355" i="51"/>
  <c r="A3356" i="51"/>
  <c r="A3357" i="51"/>
  <c r="A3358" i="51"/>
  <c r="A3359" i="51"/>
  <c r="A3360" i="51"/>
  <c r="A3361" i="51"/>
  <c r="A3362" i="51"/>
  <c r="A3363" i="51"/>
  <c r="A3364" i="51"/>
  <c r="A3365" i="51"/>
  <c r="A3366" i="51"/>
  <c r="A3367" i="51"/>
  <c r="A3368" i="51"/>
  <c r="A3369" i="51"/>
  <c r="A3370" i="51"/>
  <c r="A3371" i="51"/>
  <c r="A3372" i="51"/>
  <c r="A3373" i="51"/>
  <c r="A3374" i="51"/>
  <c r="A3375" i="51"/>
  <c r="A3376" i="51"/>
  <c r="A3377" i="51"/>
  <c r="A3378" i="51"/>
  <c r="A3379" i="51"/>
  <c r="A3380" i="51"/>
  <c r="A3381" i="51"/>
  <c r="A3382" i="51"/>
  <c r="A3383" i="51"/>
  <c r="A3384" i="51"/>
  <c r="A3385" i="51"/>
  <c r="A3386" i="51"/>
  <c r="A3387" i="51"/>
  <c r="A3388" i="51"/>
  <c r="A3389" i="51"/>
  <c r="A3390" i="51"/>
  <c r="A3391" i="51"/>
  <c r="A3392" i="51"/>
  <c r="A3393" i="51"/>
  <c r="A3394" i="51"/>
  <c r="A3395" i="51"/>
  <c r="A3396" i="51"/>
  <c r="A3397" i="51"/>
  <c r="A3398" i="51"/>
  <c r="A3399" i="51"/>
  <c r="A3400" i="51"/>
  <c r="A3401" i="51"/>
  <c r="A3402" i="51"/>
  <c r="A3403" i="51"/>
  <c r="A3404" i="51"/>
  <c r="A3405" i="51"/>
  <c r="A3406" i="51"/>
  <c r="A3407" i="51"/>
  <c r="A3408" i="51"/>
  <c r="A3409" i="51"/>
  <c r="A3410" i="51"/>
  <c r="A3411" i="51"/>
  <c r="A3412" i="51"/>
  <c r="A3413" i="51"/>
  <c r="A3414" i="51"/>
  <c r="A3415" i="51"/>
  <c r="A3416" i="51"/>
  <c r="A3417" i="51"/>
  <c r="A3418" i="51"/>
  <c r="A3419" i="51"/>
  <c r="A3420" i="51"/>
  <c r="A3421" i="51"/>
  <c r="A3422" i="51"/>
  <c r="A3423" i="51"/>
  <c r="A3424" i="51"/>
  <c r="A3425" i="51"/>
  <c r="A3426" i="51"/>
  <c r="A3427" i="51"/>
  <c r="A3428" i="51"/>
  <c r="A3429" i="51"/>
  <c r="A3430" i="51"/>
  <c r="A3431" i="51"/>
  <c r="A3432" i="51"/>
  <c r="A3433" i="51"/>
  <c r="A3434" i="51"/>
  <c r="A3435" i="51"/>
  <c r="A3436" i="51"/>
  <c r="A3437" i="51"/>
  <c r="A3438" i="51"/>
  <c r="A3439" i="51"/>
  <c r="A3440" i="51"/>
  <c r="A3441" i="51"/>
  <c r="A3442" i="51"/>
  <c r="A3443" i="51"/>
  <c r="A3444" i="51"/>
  <c r="A3445" i="51"/>
  <c r="A3446" i="51"/>
  <c r="A3447" i="51"/>
  <c r="A3448" i="51"/>
  <c r="A3449" i="51"/>
  <c r="A3450" i="51"/>
  <c r="A3451" i="51"/>
  <c r="A3452" i="51"/>
  <c r="A3453" i="51"/>
  <c r="A3454" i="51"/>
  <c r="A3455" i="51"/>
  <c r="A3456" i="51"/>
  <c r="A3457" i="51"/>
  <c r="A3458" i="51"/>
  <c r="A3459" i="51"/>
  <c r="A3460" i="51"/>
  <c r="A3461" i="51"/>
  <c r="A3462" i="51"/>
  <c r="A3463" i="51"/>
  <c r="A3464" i="51"/>
  <c r="A3465" i="51"/>
  <c r="A3466" i="51"/>
  <c r="A3467" i="51"/>
  <c r="A3468" i="51"/>
  <c r="A3469" i="51"/>
  <c r="A3470" i="51"/>
  <c r="A3471" i="51"/>
  <c r="A3472" i="51"/>
  <c r="A3473" i="51"/>
  <c r="A3474" i="51"/>
  <c r="A3475" i="51"/>
  <c r="A3476" i="51"/>
  <c r="A3477" i="51"/>
  <c r="A3478" i="51"/>
  <c r="A3479" i="51"/>
  <c r="A3480" i="51"/>
  <c r="A3481" i="51"/>
  <c r="A3482" i="51"/>
  <c r="A3483" i="51"/>
  <c r="A3484" i="51"/>
  <c r="A3485" i="51"/>
  <c r="A3486" i="51"/>
  <c r="A3487" i="51"/>
  <c r="A3488" i="51"/>
  <c r="A3489" i="51"/>
  <c r="A3490" i="51"/>
  <c r="A3491" i="51"/>
  <c r="A3492" i="51"/>
  <c r="A3493" i="51"/>
  <c r="A3494" i="51"/>
  <c r="A3495" i="51"/>
  <c r="A3496" i="51"/>
  <c r="A3497" i="51"/>
  <c r="A3498" i="51"/>
  <c r="A3499" i="51"/>
  <c r="A3500" i="51"/>
  <c r="A3501" i="51"/>
  <c r="A3502" i="51"/>
  <c r="A3503" i="51"/>
  <c r="A3504" i="51"/>
  <c r="A3505" i="51"/>
  <c r="A3506" i="51"/>
  <c r="A3507" i="51"/>
  <c r="A3508" i="51"/>
  <c r="A3509" i="51"/>
  <c r="A3510" i="51"/>
  <c r="A3511" i="51"/>
  <c r="A3512" i="51"/>
  <c r="A3513" i="51"/>
  <c r="A3514" i="51"/>
  <c r="A3515" i="51"/>
  <c r="A3516" i="51"/>
  <c r="A3517" i="51"/>
  <c r="A3518" i="51"/>
  <c r="A3519" i="51"/>
  <c r="A3520" i="51"/>
  <c r="A3521" i="51"/>
  <c r="A3522" i="51"/>
  <c r="A3523" i="51"/>
  <c r="A3524" i="51"/>
  <c r="A3525" i="51"/>
  <c r="A3526" i="51"/>
  <c r="A3527" i="51"/>
  <c r="A3528" i="51"/>
  <c r="A3529" i="51"/>
  <c r="A3530" i="51"/>
  <c r="A3531" i="51"/>
  <c r="A3532" i="51"/>
  <c r="A3533" i="51"/>
  <c r="A3534" i="51"/>
  <c r="A3535" i="51"/>
  <c r="A3536" i="51"/>
  <c r="A3537" i="51"/>
  <c r="A3538" i="51"/>
  <c r="A3539" i="51"/>
  <c r="A3540" i="51"/>
  <c r="A3541" i="51"/>
  <c r="A3542" i="51"/>
  <c r="A3543" i="51"/>
  <c r="A3544" i="51"/>
  <c r="A3545" i="51"/>
  <c r="A3546" i="51"/>
  <c r="A3547" i="51"/>
  <c r="A3548" i="51"/>
  <c r="A3549" i="51"/>
  <c r="A3550" i="51"/>
  <c r="A3551" i="51"/>
  <c r="A3552" i="51"/>
  <c r="A3553" i="51"/>
  <c r="A3554" i="51"/>
  <c r="A3555" i="51"/>
  <c r="A3556" i="51"/>
  <c r="A3557" i="51"/>
  <c r="A3558" i="51"/>
  <c r="A3559" i="51"/>
  <c r="A3560" i="51"/>
  <c r="A3561" i="51"/>
  <c r="A3562" i="51"/>
  <c r="A3563" i="51"/>
  <c r="A3564" i="51"/>
  <c r="A3565" i="51"/>
  <c r="A3566" i="51"/>
  <c r="A3567" i="51"/>
  <c r="A3568" i="51"/>
  <c r="A3569" i="51"/>
  <c r="A3570" i="51"/>
  <c r="A3571" i="51"/>
  <c r="A3572" i="51"/>
  <c r="A3573" i="51"/>
  <c r="A3574" i="51"/>
  <c r="A3575" i="51"/>
  <c r="A3576" i="51"/>
  <c r="A3577" i="51"/>
  <c r="A3578" i="51"/>
  <c r="A3579" i="51"/>
  <c r="A3580" i="51"/>
  <c r="A3581" i="51"/>
  <c r="A3582" i="51"/>
  <c r="A3583" i="51"/>
  <c r="A3584" i="51"/>
  <c r="A3585" i="51"/>
  <c r="A3586" i="51"/>
  <c r="A3587" i="51"/>
  <c r="A3588" i="51"/>
  <c r="A3589" i="51"/>
  <c r="A3590" i="51"/>
  <c r="A3591" i="51"/>
  <c r="A3592" i="51"/>
  <c r="A3593" i="51"/>
  <c r="A3594" i="51"/>
  <c r="A3595" i="51"/>
  <c r="A3596" i="51"/>
  <c r="A3597" i="51"/>
  <c r="A3598" i="51"/>
  <c r="A3599" i="51"/>
  <c r="A3600" i="51"/>
  <c r="A3601" i="51"/>
  <c r="A3602" i="51"/>
  <c r="A3603" i="51"/>
  <c r="A3604" i="51"/>
  <c r="A3605" i="51"/>
  <c r="A3606" i="51"/>
  <c r="A3607" i="51"/>
  <c r="A3608" i="51"/>
  <c r="A3609" i="51"/>
  <c r="A3610" i="51"/>
  <c r="A3611" i="51"/>
  <c r="A3612" i="51"/>
  <c r="A3613" i="51"/>
  <c r="A3614" i="51"/>
  <c r="A3615" i="51"/>
  <c r="A3616" i="51"/>
  <c r="A3617" i="51"/>
  <c r="A3618" i="51"/>
  <c r="A3619" i="51"/>
  <c r="A3620" i="51"/>
  <c r="A3621" i="51"/>
  <c r="A3622" i="51"/>
  <c r="A3623" i="51"/>
  <c r="A3624" i="51"/>
  <c r="A3625" i="51"/>
  <c r="A3626" i="51"/>
  <c r="A3627" i="51"/>
  <c r="A3628" i="51"/>
  <c r="A3629" i="51"/>
  <c r="A3630" i="51"/>
  <c r="A3631" i="51"/>
  <c r="A3632" i="51"/>
  <c r="A3633" i="51"/>
  <c r="A3634" i="51"/>
  <c r="A3635" i="51"/>
  <c r="A3636" i="51"/>
  <c r="A3637" i="51"/>
  <c r="A3638" i="51"/>
  <c r="A3639" i="51"/>
  <c r="A3640" i="51"/>
  <c r="A3641" i="51"/>
  <c r="A3642" i="51"/>
  <c r="A3643" i="51"/>
  <c r="A3644" i="51"/>
  <c r="A3645" i="51"/>
  <c r="A3646" i="51"/>
  <c r="A3647" i="51"/>
  <c r="A3648" i="51"/>
  <c r="A3649" i="51"/>
  <c r="A3650" i="51"/>
  <c r="A3651" i="51"/>
  <c r="A3652" i="51"/>
  <c r="A3653" i="51"/>
  <c r="A3654" i="51"/>
  <c r="A3655" i="51"/>
  <c r="A3656" i="51"/>
  <c r="A3657" i="51"/>
  <c r="A3658" i="51"/>
  <c r="A3659" i="51"/>
  <c r="A3660" i="51"/>
  <c r="A3661" i="51"/>
  <c r="A3662" i="51"/>
  <c r="A3663" i="51"/>
  <c r="A3664" i="51"/>
  <c r="A3665" i="51"/>
  <c r="A3666" i="51"/>
  <c r="A3667" i="51"/>
  <c r="A3668" i="51"/>
  <c r="A3669" i="51"/>
  <c r="A3670" i="51"/>
  <c r="A3671" i="51"/>
  <c r="A3672" i="51"/>
  <c r="A3673" i="51"/>
  <c r="A3674" i="51"/>
  <c r="A3675" i="51"/>
  <c r="A3676" i="51"/>
  <c r="A3677" i="51"/>
  <c r="A3678" i="51"/>
  <c r="A3679" i="51"/>
  <c r="A3680" i="51"/>
  <c r="A3681" i="51"/>
  <c r="A3682" i="51"/>
  <c r="A3683" i="51"/>
  <c r="A3684" i="51"/>
  <c r="A3685" i="51"/>
  <c r="A3686" i="51"/>
  <c r="A3687" i="51"/>
  <c r="A3688" i="51"/>
  <c r="A3689" i="51"/>
  <c r="A3690" i="51"/>
  <c r="A3691" i="51"/>
  <c r="A3692" i="51"/>
  <c r="A3693" i="51"/>
  <c r="A3694" i="51"/>
  <c r="A3695" i="51"/>
  <c r="A3696" i="51"/>
  <c r="A3697" i="51"/>
  <c r="A3698" i="51"/>
  <c r="A3699" i="51"/>
  <c r="A3700" i="51"/>
  <c r="A3701" i="51"/>
  <c r="A3702" i="51"/>
  <c r="A3703" i="51"/>
  <c r="A3704" i="51"/>
  <c r="A3705" i="51"/>
  <c r="A3706" i="51"/>
  <c r="A3707" i="51"/>
  <c r="A3708" i="51"/>
  <c r="A3709" i="51"/>
  <c r="A3710" i="51"/>
  <c r="A3711" i="51"/>
  <c r="A3712" i="51"/>
  <c r="A3713" i="51"/>
  <c r="A3714" i="51"/>
  <c r="A3715" i="51"/>
  <c r="A3716" i="51"/>
  <c r="A3717" i="51"/>
  <c r="A3718" i="51"/>
  <c r="A3719" i="51"/>
  <c r="A3720" i="51"/>
  <c r="A3721" i="51"/>
  <c r="A3722" i="51"/>
  <c r="A3723" i="51"/>
  <c r="A3724" i="51"/>
  <c r="A3725" i="51"/>
  <c r="A3726" i="51"/>
  <c r="A3727" i="51"/>
  <c r="A3728" i="51"/>
  <c r="A3729" i="51"/>
  <c r="A3730" i="51"/>
  <c r="A3731" i="51"/>
  <c r="A3732" i="51"/>
  <c r="A3733" i="51"/>
  <c r="A3734" i="51"/>
  <c r="A3735" i="51"/>
  <c r="A3736" i="51"/>
  <c r="A3737" i="51"/>
  <c r="A3738" i="51"/>
  <c r="A3739" i="51"/>
  <c r="A3740" i="51"/>
  <c r="A3741" i="51"/>
  <c r="A3742" i="51"/>
  <c r="A3743" i="51"/>
  <c r="A3744" i="51"/>
  <c r="A3745" i="51"/>
  <c r="A3746" i="51"/>
  <c r="A3747" i="51"/>
  <c r="A3748" i="51"/>
  <c r="A3749" i="51"/>
  <c r="A3750" i="51"/>
  <c r="A3751" i="51"/>
  <c r="A3752" i="51"/>
  <c r="A3753" i="51"/>
  <c r="A3754" i="51"/>
  <c r="A3755" i="51"/>
  <c r="A3756" i="51"/>
  <c r="A3757" i="51"/>
  <c r="A3758" i="51"/>
  <c r="A3759" i="51"/>
  <c r="A3760" i="51"/>
  <c r="A3761" i="51"/>
  <c r="A3762" i="51"/>
  <c r="A3763" i="51"/>
  <c r="A3764" i="51"/>
  <c r="A3765" i="51"/>
  <c r="A3766" i="51"/>
  <c r="A3767" i="51"/>
  <c r="A3768" i="51"/>
  <c r="A3769" i="51"/>
  <c r="A3770" i="51"/>
  <c r="A3771" i="51"/>
  <c r="A3772" i="51"/>
  <c r="A3773" i="51"/>
  <c r="A3774" i="51"/>
  <c r="A3775" i="51"/>
  <c r="A3776" i="51"/>
  <c r="A3777" i="51"/>
  <c r="A3778" i="51"/>
  <c r="A3779" i="51"/>
  <c r="A3780" i="51"/>
  <c r="A3781" i="51"/>
  <c r="A3782" i="51"/>
  <c r="A3783" i="51"/>
  <c r="A3784" i="51"/>
  <c r="A3785" i="51"/>
  <c r="A3786" i="51"/>
  <c r="A3787" i="51"/>
  <c r="A3788" i="51"/>
  <c r="A3789" i="51"/>
  <c r="A3790" i="51"/>
  <c r="A3791" i="51"/>
  <c r="A3792" i="51"/>
  <c r="A3793" i="51"/>
  <c r="A3794" i="51"/>
  <c r="A3795" i="51"/>
  <c r="A3796" i="51"/>
  <c r="A3797" i="51"/>
  <c r="A3798" i="51"/>
  <c r="A3799" i="51"/>
  <c r="A3800" i="51"/>
  <c r="A3801" i="51"/>
  <c r="A3802" i="51"/>
  <c r="A3803" i="51"/>
  <c r="A3804" i="51"/>
  <c r="A3805" i="51"/>
  <c r="A3806" i="51"/>
  <c r="A3807" i="51"/>
  <c r="A3808" i="51"/>
  <c r="A3809" i="51"/>
  <c r="A3810" i="51"/>
  <c r="A3811" i="51"/>
  <c r="A3812" i="51"/>
  <c r="A3813" i="51"/>
  <c r="A3814" i="51"/>
  <c r="A3815" i="51"/>
  <c r="A3816" i="51"/>
  <c r="A3817" i="51"/>
  <c r="A3818" i="51"/>
  <c r="A3819" i="51"/>
  <c r="A3820" i="51"/>
  <c r="A3821" i="51"/>
  <c r="A3822" i="51"/>
  <c r="A3823" i="51"/>
  <c r="A3824" i="51"/>
  <c r="A3825" i="51"/>
  <c r="A3826" i="51"/>
  <c r="A3827" i="51"/>
  <c r="A3828" i="51"/>
  <c r="A3829" i="51"/>
  <c r="A3830" i="51"/>
  <c r="A3831" i="51"/>
  <c r="A3832" i="51"/>
  <c r="A3833" i="51"/>
  <c r="A3834" i="51"/>
  <c r="A3835" i="51"/>
  <c r="A3836" i="51"/>
  <c r="A3837" i="51"/>
  <c r="A3838" i="51"/>
  <c r="A3839" i="51"/>
  <c r="A3840" i="51"/>
  <c r="A3841" i="51"/>
  <c r="A3842" i="51"/>
  <c r="A3843" i="51"/>
  <c r="A3844" i="51"/>
  <c r="A3845" i="51"/>
  <c r="A3846" i="51"/>
  <c r="A3847" i="51"/>
  <c r="A3848" i="51"/>
  <c r="A3849" i="51"/>
  <c r="A3850" i="51"/>
  <c r="A3851" i="51"/>
  <c r="A3852" i="51"/>
  <c r="A3853" i="51"/>
  <c r="A3854" i="51"/>
  <c r="A3855" i="51"/>
  <c r="A3856" i="51"/>
  <c r="A3857" i="51"/>
  <c r="A3858" i="51"/>
  <c r="A3859" i="51"/>
  <c r="A3860" i="51"/>
  <c r="A3861" i="51"/>
  <c r="A3862" i="51"/>
  <c r="A3863" i="51"/>
  <c r="A3864" i="51"/>
  <c r="A3865" i="51"/>
  <c r="A3866" i="51"/>
  <c r="A3867" i="51"/>
  <c r="A3868" i="51"/>
  <c r="A3869" i="51"/>
  <c r="A3870" i="51"/>
  <c r="A3871" i="51"/>
  <c r="A3872" i="51"/>
  <c r="A3873" i="51"/>
  <c r="A3874" i="51"/>
  <c r="A3875" i="51"/>
  <c r="A3876" i="51"/>
  <c r="A3877" i="51"/>
  <c r="A3878" i="51"/>
  <c r="A3879" i="51"/>
  <c r="A3880" i="51"/>
  <c r="A3881" i="51"/>
  <c r="A3882" i="51"/>
  <c r="A3883" i="51"/>
  <c r="A3884" i="51"/>
  <c r="A3885" i="51"/>
  <c r="A3886" i="51"/>
  <c r="A3887" i="51"/>
  <c r="A3888" i="51"/>
  <c r="A3889" i="51"/>
  <c r="A3890" i="51"/>
  <c r="A3891" i="51"/>
  <c r="A3892" i="51"/>
  <c r="A3893" i="51"/>
  <c r="A3894" i="51"/>
  <c r="A3895" i="51"/>
  <c r="A3896" i="51"/>
  <c r="A3897" i="51"/>
  <c r="A3898" i="51"/>
  <c r="A3899" i="51"/>
  <c r="A3900" i="51"/>
  <c r="A3901" i="51"/>
  <c r="A3902" i="51"/>
  <c r="A3903" i="51"/>
  <c r="A3904" i="51"/>
  <c r="A3905" i="51"/>
  <c r="A3906" i="51"/>
  <c r="A3907" i="51"/>
  <c r="A3908" i="51"/>
  <c r="A3909" i="51"/>
  <c r="A3910" i="51"/>
  <c r="A3911" i="51"/>
  <c r="A3912" i="51"/>
  <c r="A3913" i="51"/>
  <c r="A3914" i="51"/>
  <c r="A3915" i="51"/>
  <c r="A3916" i="51"/>
  <c r="A3917" i="51"/>
  <c r="A3918" i="51"/>
  <c r="A3919" i="51"/>
  <c r="A3920" i="51"/>
  <c r="A3921" i="51"/>
  <c r="A3922" i="51"/>
  <c r="A3923" i="51"/>
  <c r="A3924" i="51"/>
  <c r="A3925" i="51"/>
  <c r="A3926" i="51"/>
  <c r="A3927" i="51"/>
  <c r="A3928" i="51"/>
  <c r="A3929" i="51"/>
  <c r="A3930" i="51"/>
  <c r="A3931" i="51"/>
  <c r="A3932" i="51"/>
  <c r="A3933" i="51"/>
  <c r="A3934" i="51"/>
  <c r="A3935" i="51"/>
  <c r="A3936" i="51"/>
  <c r="A3937" i="51"/>
  <c r="A3938" i="51"/>
  <c r="A3939" i="51"/>
  <c r="A3940" i="51"/>
  <c r="A3941" i="51"/>
  <c r="A3942" i="51"/>
  <c r="A3943" i="51"/>
  <c r="A3944" i="51"/>
  <c r="A3945" i="51"/>
  <c r="A3946" i="51"/>
  <c r="A3947" i="51"/>
  <c r="A3948" i="51"/>
  <c r="A3949" i="51"/>
  <c r="A3950" i="51"/>
  <c r="A3951" i="51"/>
  <c r="A3952" i="51"/>
  <c r="A3953" i="51"/>
  <c r="A3954" i="51"/>
  <c r="A3955" i="51"/>
  <c r="A3956" i="51"/>
  <c r="A3957" i="51"/>
  <c r="A3958" i="51"/>
  <c r="A3959" i="51"/>
  <c r="A3960" i="51"/>
  <c r="A3961" i="51"/>
  <c r="A3962" i="51"/>
  <c r="A3963" i="51"/>
  <c r="A3964" i="51"/>
  <c r="A3965" i="51"/>
  <c r="A3966" i="51"/>
  <c r="A3967" i="51"/>
  <c r="A3968" i="51"/>
  <c r="A3969" i="51"/>
  <c r="A3970" i="51"/>
  <c r="A3971" i="51"/>
  <c r="A3972" i="51"/>
  <c r="A3973" i="51"/>
  <c r="A3974" i="51"/>
  <c r="A3975" i="51"/>
  <c r="A3976" i="51"/>
  <c r="A3977" i="51"/>
  <c r="A3978" i="51"/>
  <c r="A3979" i="51"/>
  <c r="A3980" i="51"/>
  <c r="A3981" i="51"/>
  <c r="A3982" i="51"/>
  <c r="A3983" i="51"/>
  <c r="A3984" i="51"/>
  <c r="A3985" i="51"/>
  <c r="A3986" i="51"/>
  <c r="A3987" i="51"/>
  <c r="A3988" i="51"/>
  <c r="A3989" i="51"/>
  <c r="A3990" i="51"/>
  <c r="A3991" i="51"/>
  <c r="A3992" i="51"/>
  <c r="A3993" i="51"/>
  <c r="A3994" i="51"/>
  <c r="A3995" i="51"/>
  <c r="A3996" i="51"/>
  <c r="A3997" i="51"/>
  <c r="A3998" i="51"/>
  <c r="A3999" i="51"/>
  <c r="A4000" i="51"/>
  <c r="A4001" i="51"/>
  <c r="A4002" i="51"/>
  <c r="A4003" i="51"/>
  <c r="A4004" i="51"/>
  <c r="A4005" i="51"/>
  <c r="A4006" i="51"/>
  <c r="A4007" i="51"/>
  <c r="A4008" i="51"/>
  <c r="A4009" i="51"/>
  <c r="A4010" i="51"/>
  <c r="A4011" i="51"/>
  <c r="A4012" i="51"/>
  <c r="A4013" i="51"/>
  <c r="A4014" i="51"/>
  <c r="A4015" i="51"/>
  <c r="A4016" i="51"/>
  <c r="A4017" i="51"/>
  <c r="A4018" i="51"/>
  <c r="A4019" i="51"/>
  <c r="A4020" i="51"/>
  <c r="A4021" i="51"/>
  <c r="A4022" i="51"/>
  <c r="A4023" i="51"/>
  <c r="A4024" i="51"/>
  <c r="A4025" i="51"/>
  <c r="A4026" i="51"/>
  <c r="A4027" i="51"/>
  <c r="A4028" i="51"/>
  <c r="A4029" i="51"/>
  <c r="A4030" i="51"/>
  <c r="A4031" i="51"/>
  <c r="A4032" i="51"/>
  <c r="A4033" i="51"/>
  <c r="A4034" i="51"/>
  <c r="A4035" i="51"/>
  <c r="A4036" i="51"/>
  <c r="A4037" i="51"/>
  <c r="A4038" i="51"/>
  <c r="A4039" i="51"/>
  <c r="A4040" i="51"/>
  <c r="A4041" i="51"/>
  <c r="A4042" i="51"/>
  <c r="A4043" i="51"/>
  <c r="A4044" i="51"/>
  <c r="A4045" i="51"/>
  <c r="A4046" i="51"/>
  <c r="A4047" i="51"/>
  <c r="A4048" i="51"/>
  <c r="A4049" i="51"/>
  <c r="A4050" i="51"/>
  <c r="A4051" i="51"/>
  <c r="A4052" i="51"/>
  <c r="A4053" i="51"/>
  <c r="A4054" i="51"/>
  <c r="A4055" i="51"/>
  <c r="A4056" i="51"/>
  <c r="A4057" i="51"/>
  <c r="A4058" i="51"/>
  <c r="A4059" i="51"/>
  <c r="A4060" i="51"/>
  <c r="A4061" i="51"/>
  <c r="A4062" i="51"/>
  <c r="A4063" i="51"/>
  <c r="A4064" i="51"/>
  <c r="A4065" i="51"/>
  <c r="A4066" i="51"/>
  <c r="A4067" i="51"/>
  <c r="A4068" i="51"/>
  <c r="A4069" i="51"/>
  <c r="A4070" i="51"/>
  <c r="A4071" i="51"/>
  <c r="A4072" i="51"/>
  <c r="A4073" i="51"/>
  <c r="A4074" i="51"/>
  <c r="A4075" i="51"/>
  <c r="A4076" i="51"/>
  <c r="A4077" i="51"/>
  <c r="A4078" i="51"/>
  <c r="A4079" i="51"/>
  <c r="A4080" i="51"/>
  <c r="A4081" i="51"/>
  <c r="A4082" i="51"/>
  <c r="A4083" i="51"/>
  <c r="A4084" i="51"/>
  <c r="A4085" i="51"/>
  <c r="A4086" i="51"/>
  <c r="A4087" i="51"/>
  <c r="A4088" i="51"/>
  <c r="A4089" i="51"/>
  <c r="A4090" i="51"/>
  <c r="A4091" i="51"/>
  <c r="A4092" i="51"/>
  <c r="A4093" i="51"/>
  <c r="A4094" i="51"/>
  <c r="A4095" i="51"/>
  <c r="A4096" i="51"/>
  <c r="A4097" i="51"/>
  <c r="A4098" i="51"/>
  <c r="A4099" i="51"/>
  <c r="A4100" i="51"/>
  <c r="A4101" i="51"/>
  <c r="A4102" i="51"/>
  <c r="A4103" i="51"/>
  <c r="A4104" i="51"/>
  <c r="A4105" i="51"/>
  <c r="A4106" i="51"/>
  <c r="A4107" i="51"/>
  <c r="A4108" i="51"/>
  <c r="A4109" i="51"/>
  <c r="A4110" i="51"/>
  <c r="A4111" i="51"/>
  <c r="A4112" i="51"/>
  <c r="A4113" i="51"/>
  <c r="A4114" i="51"/>
  <c r="A4115" i="51"/>
  <c r="A4116" i="51"/>
  <c r="A4117" i="51"/>
  <c r="A4118" i="51"/>
  <c r="A4119" i="51"/>
  <c r="A4120" i="51"/>
  <c r="A4121" i="51"/>
  <c r="A4122" i="51"/>
  <c r="A4123" i="51"/>
  <c r="A4124" i="51"/>
  <c r="A4125" i="51"/>
  <c r="A4126" i="51"/>
  <c r="A4127" i="51"/>
  <c r="A4128" i="51"/>
  <c r="A4129" i="51"/>
  <c r="A4130" i="51"/>
  <c r="A4131" i="51"/>
  <c r="A4132" i="51"/>
  <c r="A4133" i="51"/>
  <c r="A4134" i="51"/>
  <c r="A4135" i="51"/>
  <c r="A4136" i="51"/>
  <c r="A4137" i="51"/>
  <c r="A4138" i="51"/>
  <c r="A4139" i="51"/>
  <c r="A4140" i="51"/>
  <c r="A4141" i="51"/>
  <c r="A4142" i="51"/>
  <c r="A4143" i="51"/>
  <c r="A4144" i="51"/>
  <c r="A4145" i="51"/>
  <c r="A4146" i="51"/>
  <c r="A4147" i="51"/>
  <c r="A4148" i="51"/>
  <c r="A4149" i="51"/>
  <c r="A4150" i="51"/>
  <c r="A4151" i="51"/>
  <c r="A4152" i="51"/>
  <c r="A4153" i="51"/>
  <c r="A4154" i="51"/>
  <c r="A4155" i="51"/>
  <c r="A4156" i="51"/>
  <c r="A4157" i="51"/>
  <c r="A4158" i="51"/>
  <c r="A4159" i="51"/>
  <c r="A4160" i="51"/>
  <c r="A4161" i="51"/>
  <c r="A4162" i="51"/>
  <c r="A4163" i="51"/>
  <c r="A4164" i="51"/>
  <c r="A4165" i="51"/>
  <c r="A4166" i="51"/>
  <c r="A4167" i="51"/>
  <c r="A4168" i="51"/>
  <c r="A4169" i="51"/>
  <c r="A4170" i="51"/>
  <c r="A4171" i="51"/>
  <c r="A4172" i="51"/>
  <c r="A4173" i="51"/>
  <c r="A4174" i="51"/>
  <c r="A4175" i="51"/>
  <c r="A4176" i="51"/>
  <c r="A4177" i="51"/>
  <c r="A4178" i="51"/>
  <c r="A4179" i="51"/>
  <c r="A4180" i="51"/>
  <c r="A4181" i="51"/>
  <c r="A4182" i="51"/>
  <c r="A4183" i="51"/>
  <c r="A4184" i="51"/>
  <c r="A4185" i="51"/>
  <c r="A4186" i="51"/>
  <c r="A4187" i="51"/>
  <c r="A4188" i="51"/>
  <c r="A4189" i="51"/>
  <c r="A4190" i="51"/>
  <c r="A4191" i="51"/>
  <c r="A4192" i="51"/>
  <c r="A4193" i="51"/>
  <c r="A4194" i="51"/>
  <c r="A4195" i="51"/>
  <c r="A4196" i="51"/>
  <c r="A4197" i="51"/>
  <c r="A4198" i="51"/>
  <c r="A4199" i="51"/>
  <c r="A4200" i="51"/>
  <c r="A4201" i="51"/>
  <c r="A4202" i="51"/>
  <c r="A4203" i="51"/>
  <c r="A4204" i="51"/>
  <c r="A4205" i="51"/>
  <c r="A4206" i="51"/>
  <c r="A4207" i="51"/>
  <c r="A4208" i="51"/>
  <c r="A4209" i="51"/>
  <c r="A4210" i="51"/>
  <c r="A4211" i="51"/>
  <c r="A4212" i="51"/>
  <c r="A4213" i="51"/>
  <c r="A4214" i="51"/>
  <c r="A4215" i="51"/>
  <c r="A4216" i="51"/>
  <c r="A4217" i="51"/>
  <c r="A4218" i="51"/>
  <c r="A4219" i="51"/>
  <c r="A4220" i="51"/>
  <c r="A4221" i="51"/>
  <c r="A4222" i="51"/>
  <c r="A4223" i="51"/>
  <c r="A4224" i="51"/>
  <c r="A4225" i="51"/>
  <c r="A4226" i="51"/>
  <c r="A4227" i="51"/>
  <c r="A4228" i="51"/>
  <c r="A4229" i="51"/>
  <c r="A4230" i="51"/>
  <c r="A4231" i="51"/>
  <c r="A4232" i="51"/>
  <c r="A4233" i="51"/>
  <c r="A4234" i="51"/>
  <c r="A4235" i="51"/>
  <c r="A4236" i="51"/>
  <c r="A4237" i="51"/>
  <c r="A4238" i="51"/>
  <c r="A4239" i="51"/>
  <c r="A4240" i="51"/>
  <c r="A4241" i="51"/>
  <c r="A4242" i="51"/>
  <c r="A4243" i="51"/>
  <c r="A4244" i="51"/>
  <c r="A4245" i="51"/>
  <c r="A4246" i="51"/>
  <c r="A4247" i="51"/>
  <c r="A4248" i="51"/>
  <c r="A4249" i="51"/>
  <c r="A4250" i="51"/>
  <c r="A4251" i="51"/>
  <c r="A4252" i="51"/>
  <c r="A4253" i="51"/>
  <c r="A4254" i="51"/>
  <c r="A4255" i="51"/>
  <c r="A4256" i="51"/>
  <c r="A4257" i="51"/>
  <c r="A4258" i="51"/>
  <c r="A4259" i="51"/>
  <c r="A4260" i="51"/>
  <c r="A4261" i="51"/>
  <c r="A4262" i="51"/>
  <c r="A4263" i="51"/>
  <c r="A4264" i="51"/>
  <c r="A4265" i="51"/>
  <c r="A4266" i="51"/>
  <c r="A4267" i="51"/>
  <c r="A4268" i="51"/>
  <c r="A4269" i="51"/>
  <c r="A4270" i="51"/>
  <c r="A4271" i="51"/>
  <c r="A4272" i="51"/>
  <c r="A4273" i="51"/>
  <c r="A4274" i="51"/>
  <c r="A4275" i="51"/>
  <c r="A4276" i="51"/>
  <c r="A4277" i="51"/>
  <c r="A4278" i="51"/>
  <c r="A4279" i="51"/>
  <c r="A4280" i="51"/>
  <c r="A4281" i="51"/>
  <c r="A4282" i="51"/>
  <c r="A4283" i="51"/>
  <c r="A4284" i="51"/>
  <c r="A4285" i="51"/>
  <c r="A4286" i="51"/>
  <c r="A4287" i="51"/>
  <c r="A4288" i="51"/>
  <c r="A4289" i="51"/>
  <c r="A4290" i="51"/>
  <c r="A4291" i="51"/>
  <c r="A4292" i="51"/>
  <c r="A4293" i="51"/>
  <c r="A4294" i="51"/>
  <c r="A4295" i="51"/>
  <c r="A4296" i="51"/>
  <c r="A4297" i="51"/>
  <c r="A4298" i="51"/>
  <c r="A4299" i="51"/>
  <c r="A4300" i="51"/>
  <c r="A4301" i="51"/>
  <c r="A4302" i="51"/>
  <c r="A4303" i="51"/>
  <c r="A4304" i="51"/>
  <c r="A4305" i="51"/>
  <c r="A4306" i="51"/>
  <c r="A4307" i="51"/>
  <c r="A4308" i="51"/>
  <c r="A4309" i="51"/>
  <c r="A4310" i="51"/>
  <c r="A4311" i="51"/>
  <c r="A4312" i="51"/>
  <c r="A4313" i="51"/>
  <c r="A4314" i="51"/>
  <c r="A4315" i="51"/>
  <c r="A4316" i="51"/>
  <c r="A4317" i="51"/>
  <c r="A4318" i="51"/>
  <c r="A4319" i="51"/>
  <c r="A4320" i="51"/>
  <c r="A4321" i="51"/>
  <c r="A4322" i="51"/>
  <c r="A4323" i="51"/>
  <c r="A4324" i="51"/>
  <c r="A4325" i="51"/>
  <c r="A4326" i="51"/>
  <c r="A4327" i="51"/>
  <c r="A4328" i="51"/>
  <c r="A4329" i="51"/>
  <c r="A4330" i="51"/>
  <c r="A4331" i="51"/>
  <c r="A4332" i="51"/>
  <c r="A4333" i="51"/>
  <c r="A4334" i="51"/>
  <c r="A4335" i="51"/>
  <c r="A4336" i="51"/>
  <c r="A4337" i="51"/>
  <c r="A4338" i="51"/>
  <c r="A4339" i="51"/>
  <c r="A4340" i="51"/>
  <c r="A4341" i="51"/>
  <c r="A4342" i="51"/>
  <c r="A4343" i="51"/>
  <c r="A4344" i="51"/>
  <c r="A4345" i="51"/>
  <c r="A4346" i="51"/>
  <c r="A4347" i="51"/>
  <c r="A4348" i="51"/>
  <c r="A4349" i="51"/>
  <c r="A4350" i="51"/>
  <c r="A4351" i="51"/>
  <c r="A4352" i="51"/>
  <c r="A4353" i="51"/>
  <c r="A4354" i="51"/>
  <c r="A4355" i="51"/>
  <c r="A4356" i="51"/>
  <c r="A4357" i="51"/>
  <c r="A4358" i="51"/>
  <c r="A4359" i="51"/>
  <c r="A4360" i="51"/>
  <c r="A4361" i="51"/>
  <c r="A4362" i="51"/>
  <c r="A4363" i="51"/>
  <c r="A4364" i="51"/>
  <c r="A4365" i="51"/>
  <c r="A4366" i="51"/>
  <c r="A4367" i="51"/>
  <c r="A4368" i="51"/>
  <c r="A4369" i="51"/>
  <c r="A4370" i="51"/>
  <c r="A4371" i="51"/>
  <c r="A4372" i="51"/>
  <c r="A4373" i="51"/>
  <c r="A4374" i="51"/>
  <c r="A4375" i="51"/>
  <c r="A4376" i="51"/>
  <c r="A4377" i="51"/>
  <c r="A4378" i="51"/>
  <c r="A4379" i="51"/>
  <c r="A4380" i="51"/>
  <c r="A4381" i="51"/>
  <c r="A4382" i="51"/>
  <c r="A4383" i="51"/>
  <c r="A4384" i="51"/>
  <c r="A4385" i="51"/>
  <c r="A4386" i="51"/>
  <c r="A4387" i="51"/>
  <c r="A4388" i="51"/>
  <c r="A4389" i="51"/>
  <c r="A4390" i="51"/>
  <c r="A4391" i="51"/>
  <c r="A4392" i="51"/>
  <c r="A4393" i="51"/>
  <c r="A4394" i="51"/>
  <c r="A4395" i="51"/>
  <c r="A4396" i="51"/>
  <c r="A4397" i="51"/>
  <c r="A4398" i="51"/>
  <c r="A4399" i="51"/>
  <c r="A4400" i="51"/>
  <c r="A4401" i="51"/>
  <c r="A4402" i="51"/>
  <c r="A4403" i="51"/>
  <c r="A4404" i="51"/>
  <c r="A4405" i="51"/>
  <c r="A4406" i="51"/>
  <c r="A4407" i="51"/>
  <c r="A4408" i="51"/>
  <c r="A4409" i="51"/>
  <c r="A4410" i="51"/>
  <c r="A4411" i="51"/>
  <c r="A4412" i="51"/>
  <c r="A4413" i="51"/>
  <c r="A4414" i="51"/>
  <c r="A4415" i="51"/>
  <c r="A4416" i="51"/>
  <c r="A4417" i="51"/>
  <c r="A4418" i="51"/>
  <c r="A4419" i="51"/>
  <c r="A4420" i="51"/>
  <c r="A4421" i="51"/>
  <c r="A4422" i="51"/>
  <c r="A4423" i="51"/>
  <c r="A4424" i="51"/>
  <c r="A4425" i="51"/>
  <c r="A4426" i="51"/>
  <c r="A4427" i="51"/>
  <c r="A4428" i="51"/>
  <c r="A4429" i="51"/>
  <c r="A4430" i="51"/>
  <c r="A4431" i="51"/>
  <c r="A4432" i="51"/>
  <c r="A4433" i="51"/>
  <c r="A4434" i="51"/>
  <c r="A4435" i="51"/>
  <c r="A4436" i="51"/>
  <c r="A4437" i="51"/>
  <c r="A4438" i="51"/>
  <c r="A4439" i="51"/>
  <c r="A4440" i="51"/>
  <c r="A4441" i="51"/>
  <c r="A4442" i="51"/>
  <c r="A4443" i="51"/>
  <c r="A4444" i="51"/>
  <c r="A4445" i="51"/>
  <c r="A4446" i="51"/>
  <c r="A4447" i="51"/>
  <c r="A4448" i="51"/>
  <c r="A4449" i="51"/>
  <c r="A4450" i="51"/>
  <c r="A4451" i="51"/>
  <c r="A4452" i="51"/>
  <c r="A4453" i="51"/>
  <c r="A4454" i="51"/>
  <c r="A4455" i="51"/>
  <c r="A4456" i="51"/>
  <c r="A4457" i="51"/>
  <c r="A4458" i="51"/>
  <c r="A4459" i="51"/>
  <c r="A4460" i="51"/>
  <c r="A4461" i="51"/>
  <c r="A4462" i="51"/>
  <c r="A4463" i="51"/>
  <c r="A4464" i="51"/>
  <c r="A4465" i="51"/>
  <c r="A4466" i="51"/>
  <c r="A4467" i="51"/>
  <c r="A4468" i="51"/>
  <c r="A4469" i="51"/>
  <c r="A4470" i="51"/>
  <c r="A4471" i="51"/>
  <c r="A4472" i="51"/>
  <c r="A4473" i="51"/>
  <c r="A4474" i="51"/>
  <c r="A4475" i="51"/>
  <c r="A4476" i="51"/>
  <c r="A4477" i="51"/>
  <c r="A4478" i="51"/>
  <c r="A4479" i="51"/>
  <c r="A4480" i="51"/>
  <c r="A4481" i="51"/>
  <c r="A4482" i="51"/>
  <c r="A4483" i="51"/>
  <c r="A4484" i="51"/>
  <c r="A4485" i="51"/>
  <c r="A4486" i="51"/>
  <c r="A4487" i="51"/>
  <c r="A4488" i="51"/>
  <c r="A4489" i="51"/>
  <c r="A4490" i="51"/>
  <c r="A4491" i="51"/>
  <c r="A4492" i="51"/>
  <c r="A4493" i="51"/>
  <c r="A4494" i="51"/>
  <c r="A4495" i="51"/>
  <c r="A4496" i="51"/>
  <c r="A4497" i="51"/>
  <c r="A4498" i="51"/>
  <c r="A4499" i="51"/>
  <c r="A4500" i="51"/>
  <c r="A4501" i="51"/>
  <c r="A4502" i="51"/>
  <c r="A4503" i="51"/>
  <c r="A4504" i="51"/>
  <c r="A4505" i="51"/>
  <c r="A4506" i="51"/>
  <c r="A4507" i="51"/>
  <c r="A4508" i="51"/>
  <c r="A4509" i="51"/>
  <c r="A4510" i="51"/>
  <c r="A4511" i="51"/>
  <c r="A4512" i="51"/>
  <c r="A4513" i="51"/>
  <c r="A4514" i="51"/>
  <c r="A4515" i="51"/>
  <c r="A4516" i="51"/>
  <c r="A4517" i="51"/>
  <c r="A4518" i="51"/>
  <c r="A4519" i="51"/>
  <c r="A4520" i="51"/>
  <c r="A4521" i="51"/>
  <c r="A4522" i="51"/>
  <c r="A4523" i="51"/>
  <c r="A4524" i="51"/>
  <c r="A4525" i="51"/>
  <c r="A4526" i="51"/>
  <c r="A4527" i="51"/>
  <c r="A4528" i="51"/>
  <c r="A4529" i="51"/>
  <c r="A4530" i="51"/>
  <c r="A4531" i="51"/>
  <c r="A4532" i="51"/>
  <c r="A4533" i="51"/>
  <c r="A4534" i="51"/>
  <c r="A4535" i="51"/>
  <c r="A4536" i="51"/>
  <c r="A4537" i="51"/>
  <c r="A4538" i="51"/>
  <c r="A4539" i="51"/>
  <c r="A4540" i="51"/>
  <c r="A4541" i="51"/>
  <c r="A4542" i="51"/>
  <c r="A4543" i="51"/>
  <c r="A4544" i="51"/>
  <c r="A4545" i="51"/>
  <c r="A4546" i="51"/>
  <c r="A4547" i="51"/>
  <c r="A4548" i="51"/>
  <c r="A4549" i="51"/>
  <c r="A4550" i="51"/>
  <c r="A4551" i="51"/>
  <c r="A4552" i="51"/>
  <c r="A4553" i="51"/>
  <c r="A4554" i="51"/>
  <c r="A4555" i="51"/>
  <c r="A4556" i="51"/>
  <c r="A4557" i="51"/>
  <c r="A4558" i="51"/>
  <c r="A4559" i="51"/>
  <c r="A4560" i="51"/>
  <c r="A4561" i="51"/>
  <c r="A4562" i="51"/>
  <c r="A4563" i="51"/>
  <c r="A4564" i="51"/>
  <c r="A4565" i="51"/>
  <c r="A4566" i="51"/>
  <c r="A4567" i="51"/>
  <c r="A4568" i="51"/>
  <c r="A4569" i="51"/>
  <c r="A4570" i="51"/>
  <c r="A4571" i="51"/>
  <c r="A4572" i="51"/>
  <c r="A4573" i="51"/>
  <c r="A4574" i="51"/>
  <c r="A4575" i="51"/>
  <c r="A4576" i="51"/>
  <c r="A4577" i="51"/>
  <c r="A4578" i="51"/>
  <c r="A4579" i="51"/>
  <c r="A4580" i="51"/>
  <c r="A4581" i="51"/>
  <c r="A4582" i="51"/>
  <c r="A4583" i="51"/>
  <c r="A4584" i="51"/>
  <c r="A4585" i="51"/>
  <c r="A4586" i="51"/>
  <c r="A4587" i="51"/>
  <c r="A4588" i="51"/>
  <c r="A4589" i="51"/>
  <c r="A4590" i="51"/>
  <c r="A4591" i="51"/>
  <c r="A4592" i="51"/>
  <c r="A4593" i="51"/>
  <c r="A4594" i="51"/>
  <c r="A4595" i="51"/>
  <c r="A4596" i="51"/>
  <c r="A4597" i="51"/>
  <c r="A4598" i="51"/>
  <c r="A4599" i="51"/>
  <c r="A4600" i="51"/>
  <c r="A4601" i="51"/>
  <c r="A4602" i="51"/>
  <c r="A4603" i="51"/>
  <c r="A4604" i="51"/>
  <c r="A4605" i="51"/>
  <c r="A4606" i="51"/>
  <c r="A4607" i="51"/>
  <c r="A4608" i="51"/>
  <c r="A4609" i="51"/>
  <c r="A4610" i="51"/>
  <c r="A4611" i="51"/>
  <c r="A4612" i="51"/>
  <c r="A4613" i="51"/>
  <c r="A4614" i="51"/>
  <c r="A4615" i="51"/>
  <c r="A4616" i="51"/>
  <c r="A4617" i="51"/>
  <c r="A4618" i="51"/>
  <c r="A4619" i="51"/>
  <c r="A4620" i="51"/>
  <c r="A4621" i="51"/>
  <c r="A4622" i="51"/>
  <c r="A4623" i="51"/>
  <c r="A4624" i="51"/>
  <c r="A4625" i="51"/>
  <c r="A4626" i="51"/>
  <c r="A4627" i="51"/>
  <c r="A4628" i="51"/>
  <c r="A4629" i="51"/>
  <c r="A4630" i="51"/>
  <c r="A4631" i="51"/>
  <c r="A4632" i="51"/>
  <c r="A4633" i="51"/>
  <c r="A4634" i="51"/>
  <c r="A4635" i="51"/>
  <c r="A4636" i="51"/>
  <c r="A4637" i="51"/>
  <c r="A4638" i="51"/>
  <c r="A4639" i="51"/>
  <c r="A4640" i="51"/>
  <c r="A4641" i="51"/>
  <c r="A4642" i="51"/>
  <c r="A4643" i="51"/>
  <c r="A4644" i="51"/>
  <c r="A4645" i="51"/>
  <c r="A4646" i="51"/>
  <c r="A4647" i="51"/>
  <c r="A4648" i="51"/>
  <c r="A4649" i="51"/>
  <c r="A4650" i="51"/>
  <c r="A4651" i="51"/>
  <c r="A4652" i="51"/>
  <c r="A4653" i="51"/>
  <c r="A4654" i="51"/>
  <c r="A4655" i="51"/>
  <c r="A4656" i="51"/>
  <c r="A4657" i="51"/>
  <c r="A4658" i="51"/>
  <c r="A4659" i="51"/>
  <c r="A4660" i="51"/>
  <c r="A4661" i="51"/>
  <c r="A4662" i="51"/>
  <c r="A4663" i="51"/>
  <c r="A4664" i="51"/>
  <c r="A4665" i="51"/>
  <c r="A4666" i="51"/>
  <c r="A4667" i="51"/>
  <c r="A4668" i="51"/>
  <c r="A4669" i="51"/>
  <c r="A4670" i="51"/>
  <c r="A4671" i="51"/>
  <c r="A4672" i="51"/>
  <c r="A4673" i="51"/>
  <c r="A4674" i="51"/>
  <c r="A4675" i="51"/>
  <c r="A4676" i="51"/>
  <c r="A4677" i="51"/>
  <c r="A4678" i="51"/>
  <c r="A4679" i="51"/>
  <c r="A4680" i="51"/>
  <c r="A4681" i="51"/>
  <c r="A4682" i="51"/>
  <c r="A4683" i="51"/>
  <c r="A4684" i="51"/>
  <c r="A4685" i="51"/>
  <c r="A4686" i="51"/>
  <c r="A4687" i="51"/>
  <c r="A4688" i="51"/>
  <c r="A4689" i="51"/>
  <c r="A4690" i="51"/>
  <c r="A4691" i="51"/>
  <c r="A4692" i="51"/>
  <c r="A4693" i="51"/>
  <c r="A4694" i="51"/>
  <c r="A4695" i="51"/>
  <c r="A4696" i="51"/>
  <c r="A4697" i="51"/>
  <c r="A4698" i="51"/>
  <c r="A4699" i="51"/>
  <c r="A4700" i="51"/>
  <c r="A4701" i="51"/>
  <c r="A4702" i="51"/>
  <c r="A4703" i="51"/>
  <c r="A4704" i="51"/>
  <c r="A4705" i="51"/>
  <c r="A4706" i="51"/>
  <c r="A4707" i="51"/>
  <c r="A4708" i="51"/>
  <c r="A4709" i="51"/>
  <c r="A4710" i="51"/>
  <c r="A4711" i="51"/>
  <c r="A4712" i="51"/>
  <c r="A4713" i="51"/>
  <c r="A4714" i="51"/>
  <c r="A4715" i="51"/>
  <c r="A4716" i="51"/>
  <c r="A4717" i="51"/>
  <c r="A4718" i="51"/>
  <c r="A4719" i="51"/>
  <c r="A4720" i="51"/>
  <c r="A4721" i="51"/>
  <c r="A4722" i="51"/>
  <c r="A4723" i="51"/>
  <c r="A4724" i="51"/>
  <c r="A4725" i="51"/>
  <c r="A4726" i="51"/>
  <c r="A4727" i="51"/>
  <c r="A4728" i="51"/>
  <c r="A4729" i="51"/>
  <c r="A4730" i="51"/>
  <c r="A4731" i="51"/>
  <c r="A4732" i="51"/>
  <c r="A4733" i="51"/>
  <c r="A4734" i="51"/>
  <c r="A4735" i="51"/>
  <c r="A4736" i="51"/>
  <c r="A4737" i="51"/>
  <c r="A4738" i="51"/>
  <c r="A4739" i="51"/>
  <c r="A4740" i="51"/>
  <c r="A4741" i="51"/>
  <c r="A4742" i="51"/>
  <c r="A4743" i="51"/>
  <c r="A4744" i="51"/>
  <c r="A4745" i="51"/>
  <c r="A4746" i="51"/>
  <c r="A4747" i="51"/>
  <c r="A4748" i="51"/>
  <c r="A4749" i="51"/>
  <c r="A4750" i="51"/>
  <c r="A4751" i="51"/>
  <c r="A4752" i="51"/>
  <c r="A4753" i="51"/>
  <c r="A4754" i="51"/>
  <c r="A4755" i="51"/>
  <c r="A4756" i="51"/>
  <c r="A4757" i="51"/>
  <c r="A4758" i="51"/>
  <c r="A4759" i="51"/>
  <c r="A4760" i="51"/>
  <c r="A4761" i="51"/>
  <c r="A4762" i="51"/>
  <c r="A4763" i="51"/>
  <c r="A4764" i="51"/>
  <c r="A4765" i="51"/>
  <c r="A4766" i="51"/>
  <c r="A4767" i="51"/>
  <c r="A4768" i="51"/>
  <c r="A4769" i="51"/>
  <c r="A4770" i="51"/>
  <c r="A4771" i="51"/>
  <c r="A4772" i="51"/>
  <c r="A4773" i="51"/>
  <c r="A4774" i="51"/>
  <c r="A4775" i="51"/>
  <c r="A4776" i="51"/>
  <c r="A4777" i="51"/>
  <c r="A4778" i="51"/>
  <c r="A4779" i="51"/>
  <c r="A4780" i="51"/>
  <c r="A4781" i="51"/>
  <c r="A4782" i="51"/>
  <c r="A4783" i="51"/>
  <c r="A4784" i="51"/>
  <c r="A4785" i="51"/>
  <c r="A4786" i="51"/>
  <c r="A4787" i="51"/>
  <c r="A4788" i="51"/>
  <c r="A4789" i="51"/>
  <c r="A4790" i="51"/>
  <c r="A4791" i="51"/>
  <c r="A4792" i="51"/>
  <c r="A4793" i="51"/>
  <c r="A4794" i="51"/>
  <c r="A4795" i="51"/>
  <c r="A4796" i="51"/>
  <c r="A4797" i="51"/>
  <c r="A4798" i="51"/>
  <c r="A4799" i="51"/>
  <c r="A4800" i="51"/>
  <c r="A4801" i="51"/>
  <c r="A4802" i="51"/>
  <c r="A4803" i="51"/>
  <c r="A4804" i="51"/>
  <c r="A4805" i="51"/>
  <c r="A4806" i="51"/>
  <c r="A4807" i="51"/>
  <c r="A4808" i="51"/>
  <c r="A4809" i="51"/>
  <c r="A4810" i="51"/>
  <c r="A4811" i="51"/>
  <c r="A4812" i="51"/>
  <c r="A4813" i="51"/>
  <c r="A4814" i="51"/>
  <c r="A4815" i="51"/>
  <c r="A4816" i="51"/>
  <c r="A4817" i="51"/>
  <c r="A4818" i="51"/>
  <c r="A4819" i="51"/>
  <c r="A4820" i="51"/>
  <c r="A4821" i="51"/>
  <c r="A4822" i="51"/>
  <c r="A4823" i="51"/>
  <c r="A4824" i="51"/>
  <c r="A4825" i="51"/>
  <c r="A4826" i="51"/>
  <c r="A4827" i="51"/>
  <c r="A4828" i="51"/>
  <c r="A4829" i="51"/>
  <c r="A4830" i="51"/>
  <c r="A4831" i="51"/>
  <c r="A4832" i="51"/>
  <c r="A4833" i="51"/>
  <c r="A4834" i="51"/>
  <c r="A4835" i="51"/>
  <c r="A4836" i="51"/>
  <c r="A4837" i="51"/>
  <c r="A4838" i="51"/>
  <c r="A4839" i="51"/>
  <c r="A4840" i="51"/>
  <c r="A4841" i="51"/>
  <c r="A4842" i="51"/>
  <c r="A4843" i="51"/>
  <c r="A4844" i="51"/>
  <c r="A4845" i="51"/>
  <c r="A4846" i="51"/>
  <c r="A4847" i="51"/>
  <c r="A4848" i="51"/>
  <c r="A4849" i="51"/>
  <c r="A4850" i="51"/>
  <c r="A4851" i="51"/>
  <c r="A4852" i="51"/>
  <c r="A4853" i="51"/>
  <c r="A4854" i="51"/>
  <c r="A4855" i="51"/>
  <c r="A4856" i="51"/>
  <c r="A4857" i="51"/>
  <c r="A4858" i="51"/>
  <c r="A4859" i="51"/>
  <c r="A4860" i="51"/>
  <c r="A4861" i="51"/>
  <c r="A4862" i="51"/>
  <c r="A4863" i="51"/>
  <c r="A4864" i="51"/>
  <c r="A4865" i="51"/>
  <c r="A4866" i="51"/>
  <c r="A4867" i="51"/>
  <c r="A4868" i="51"/>
  <c r="A4869" i="51"/>
  <c r="A4870" i="51"/>
  <c r="A4871" i="51"/>
  <c r="A4872" i="51"/>
  <c r="A4873" i="51"/>
  <c r="A4874" i="51"/>
  <c r="A4875" i="51"/>
  <c r="A4876" i="51"/>
  <c r="A4877" i="51"/>
  <c r="A4878" i="51"/>
  <c r="A4879" i="51"/>
  <c r="A4880" i="51"/>
  <c r="A4881" i="51"/>
  <c r="A4882" i="51"/>
  <c r="A4883" i="51"/>
  <c r="A4884" i="51"/>
  <c r="A4885" i="51"/>
  <c r="A4886" i="51"/>
  <c r="A4887" i="51"/>
  <c r="A4888" i="51"/>
  <c r="A4889" i="51"/>
  <c r="A4890" i="51"/>
  <c r="A4891" i="51"/>
  <c r="A4892" i="51"/>
  <c r="A4893" i="51"/>
  <c r="A4894" i="51"/>
  <c r="A4895" i="51"/>
  <c r="A4896" i="51"/>
  <c r="A4897" i="51"/>
  <c r="A4898" i="51"/>
  <c r="A4899" i="51"/>
  <c r="A4900" i="51"/>
  <c r="A4901" i="51"/>
  <c r="A4902" i="51"/>
  <c r="A4903" i="51"/>
  <c r="A4904" i="51"/>
  <c r="A4905" i="51"/>
  <c r="A4906" i="51"/>
  <c r="A4907" i="51"/>
  <c r="A4908" i="51"/>
  <c r="A4909" i="51"/>
  <c r="A4910" i="51"/>
  <c r="A4911" i="51"/>
  <c r="A4912" i="51"/>
  <c r="A4913" i="51"/>
  <c r="A4914" i="51"/>
  <c r="A4915" i="51"/>
  <c r="A4916" i="51"/>
  <c r="A4917" i="51"/>
  <c r="A4918" i="51"/>
  <c r="A4919" i="51"/>
  <c r="A4920" i="51"/>
  <c r="A4921" i="51"/>
  <c r="A4922" i="51"/>
  <c r="A4923" i="51"/>
  <c r="A4924" i="51"/>
  <c r="A4925" i="51"/>
  <c r="A4926" i="51"/>
  <c r="A4927" i="51"/>
  <c r="A4928" i="51"/>
  <c r="A4929" i="51"/>
  <c r="A4930" i="51"/>
  <c r="A4931" i="51"/>
  <c r="A4932" i="51"/>
  <c r="A4933" i="51"/>
  <c r="A4934" i="51"/>
  <c r="A4935" i="51"/>
  <c r="A4936" i="51"/>
  <c r="A4937" i="51"/>
  <c r="A4938" i="51"/>
  <c r="A4939" i="51"/>
  <c r="A4940" i="51"/>
  <c r="A4941" i="51"/>
  <c r="A4942" i="51"/>
  <c r="A4943" i="51"/>
  <c r="A4944" i="51"/>
  <c r="A4945" i="51"/>
  <c r="A4946" i="51"/>
  <c r="A4947" i="51"/>
  <c r="A4948" i="51"/>
  <c r="A4949" i="51"/>
  <c r="A4950" i="51"/>
  <c r="A4951" i="51"/>
  <c r="A4952" i="51"/>
  <c r="A4953" i="51"/>
  <c r="A4954" i="51"/>
  <c r="A4955" i="51"/>
  <c r="A4956" i="51"/>
  <c r="A4957" i="51"/>
  <c r="A4958" i="51"/>
  <c r="A4959" i="51"/>
  <c r="A4960" i="51"/>
  <c r="A4961" i="51"/>
  <c r="A4962" i="51"/>
  <c r="A4963" i="51"/>
  <c r="A4964" i="51"/>
  <c r="A4965" i="51"/>
  <c r="A4966" i="51"/>
  <c r="A4967" i="51"/>
  <c r="A4968" i="51"/>
  <c r="A4969" i="51"/>
  <c r="A4970" i="51"/>
  <c r="A4971" i="51"/>
  <c r="A4972" i="51"/>
  <c r="A4973" i="51"/>
  <c r="A4974" i="51"/>
  <c r="A4975" i="51"/>
  <c r="A4976" i="51"/>
  <c r="A4977" i="51"/>
  <c r="A4978" i="51"/>
  <c r="A4979" i="51"/>
  <c r="A4980" i="51"/>
  <c r="A4981" i="51"/>
  <c r="A4982" i="51"/>
  <c r="A4983" i="51"/>
  <c r="A4984" i="51"/>
  <c r="A4985" i="51"/>
  <c r="A4986" i="51"/>
  <c r="A4987" i="51"/>
  <c r="A4988" i="51"/>
  <c r="A4989" i="51"/>
  <c r="A4990" i="51"/>
  <c r="A4991" i="51"/>
  <c r="A4992" i="51"/>
  <c r="A4993" i="51"/>
  <c r="A4994" i="51"/>
  <c r="A4995" i="51"/>
  <c r="A4996" i="51"/>
  <c r="A4997" i="51"/>
  <c r="A4998" i="51"/>
  <c r="A4999" i="51"/>
  <c r="A5000" i="51"/>
  <c r="A5001" i="51"/>
  <c r="A5002" i="51"/>
  <c r="A5003" i="51"/>
  <c r="A5004" i="51"/>
  <c r="A5005" i="51"/>
  <c r="A5006" i="51"/>
  <c r="A5007" i="51"/>
  <c r="B2008" i="51"/>
  <c r="B2009" i="51"/>
  <c r="B2010" i="51"/>
  <c r="B2011" i="51"/>
  <c r="B2012" i="51"/>
  <c r="B2013" i="51"/>
  <c r="B2014" i="51"/>
  <c r="B2015" i="51"/>
  <c r="B2016" i="51"/>
  <c r="B2017" i="51"/>
  <c r="B2018" i="51"/>
  <c r="B2019" i="51"/>
  <c r="B2020" i="51"/>
  <c r="B2021" i="51"/>
  <c r="B2022" i="51"/>
  <c r="B2023" i="51"/>
  <c r="B2024" i="51"/>
  <c r="B2025" i="51"/>
  <c r="B2026" i="51"/>
  <c r="B2027" i="51"/>
  <c r="B2028" i="51"/>
  <c r="B2029" i="51"/>
  <c r="B2030" i="51"/>
  <c r="B2031" i="51"/>
  <c r="B2032" i="51"/>
  <c r="B2033" i="51"/>
  <c r="B2034" i="51"/>
  <c r="B2035" i="51"/>
  <c r="B2036" i="51"/>
  <c r="B2037" i="51"/>
  <c r="B2038" i="51"/>
  <c r="B2039" i="51"/>
  <c r="B2040" i="51"/>
  <c r="B2041" i="51"/>
  <c r="B2042" i="51"/>
  <c r="B2043" i="51"/>
  <c r="B2044" i="51"/>
  <c r="B2045" i="51"/>
  <c r="B2046" i="51"/>
  <c r="B2047" i="51"/>
  <c r="B2048" i="51"/>
  <c r="B2049" i="51"/>
  <c r="B2050" i="51"/>
  <c r="B2051" i="51"/>
  <c r="B2052" i="51"/>
  <c r="B2053" i="51"/>
  <c r="B2054" i="51"/>
  <c r="B2055" i="51"/>
  <c r="B2056" i="51"/>
  <c r="B2057" i="51"/>
  <c r="B2058" i="51"/>
  <c r="B2059" i="51"/>
  <c r="B2060" i="51"/>
  <c r="B2061" i="51"/>
  <c r="B2062" i="51"/>
  <c r="B2063" i="51"/>
  <c r="B2064" i="51"/>
  <c r="B2065" i="51"/>
  <c r="B2066" i="51"/>
  <c r="B2067" i="51"/>
  <c r="B2068" i="51"/>
  <c r="B2069" i="51"/>
  <c r="B2070" i="51"/>
  <c r="B2071" i="51"/>
  <c r="B2072" i="51"/>
  <c r="B2073" i="51"/>
  <c r="B2074" i="51"/>
  <c r="B2075" i="51"/>
  <c r="B2076" i="51"/>
  <c r="B2077" i="51"/>
  <c r="B2078" i="51"/>
  <c r="B2079" i="51"/>
  <c r="B2080" i="51"/>
  <c r="B2081" i="51"/>
  <c r="B2082" i="51"/>
  <c r="B2083" i="51"/>
  <c r="B2084" i="51"/>
  <c r="B2085" i="51"/>
  <c r="B2086" i="51"/>
  <c r="B2087" i="51"/>
  <c r="B2088" i="51"/>
  <c r="B2089" i="51"/>
  <c r="B2090" i="51"/>
  <c r="B2091" i="51"/>
  <c r="B2092" i="51"/>
  <c r="B2093" i="51"/>
  <c r="B2094" i="51"/>
  <c r="B2095" i="51"/>
  <c r="B2096" i="51"/>
  <c r="B2097" i="51"/>
  <c r="B2098" i="51"/>
  <c r="B2099" i="51"/>
  <c r="B2100" i="51"/>
  <c r="B2101" i="51"/>
  <c r="B2102" i="51"/>
  <c r="B2103" i="51"/>
  <c r="B2104" i="51"/>
  <c r="B2105" i="51"/>
  <c r="B2106" i="51"/>
  <c r="B2107" i="51"/>
  <c r="B2108" i="51"/>
  <c r="B2109" i="51"/>
  <c r="B2110" i="51"/>
  <c r="B2111" i="51"/>
  <c r="B2112" i="51"/>
  <c r="B2113" i="51"/>
  <c r="B2114" i="51"/>
  <c r="B2115" i="51"/>
  <c r="B2116" i="51"/>
  <c r="B2117" i="51"/>
  <c r="B2118" i="51"/>
  <c r="B2119" i="51"/>
  <c r="B2120" i="51"/>
  <c r="B2121" i="51"/>
  <c r="B2122" i="51"/>
  <c r="B2123" i="51"/>
  <c r="B2124" i="51"/>
  <c r="B2125" i="51"/>
  <c r="B2126" i="51"/>
  <c r="B2127" i="51"/>
  <c r="B2128" i="51"/>
  <c r="B2129" i="51"/>
  <c r="B2130" i="51"/>
  <c r="B2131" i="51"/>
  <c r="B2132" i="51"/>
  <c r="B2133" i="51"/>
  <c r="B2134" i="51"/>
  <c r="B2135" i="51"/>
  <c r="B2136" i="51"/>
  <c r="B2137" i="51"/>
  <c r="B2138" i="51"/>
  <c r="B2139" i="51"/>
  <c r="B2140" i="51"/>
  <c r="B2141" i="51"/>
  <c r="B2142" i="51"/>
  <c r="B2143" i="51"/>
  <c r="B2144" i="51"/>
  <c r="B2145" i="51"/>
  <c r="B2146" i="51"/>
  <c r="B2147" i="51"/>
  <c r="B2148" i="51"/>
  <c r="B2149" i="51"/>
  <c r="B2150" i="51"/>
  <c r="B2151" i="51"/>
  <c r="B2152" i="51"/>
  <c r="B2153" i="51"/>
  <c r="B2154" i="51"/>
  <c r="B2155" i="51"/>
  <c r="B2156" i="51"/>
  <c r="B2157" i="51"/>
  <c r="B2158" i="51"/>
  <c r="B2159" i="51"/>
  <c r="B2160" i="51"/>
  <c r="B2161" i="51"/>
  <c r="B2162" i="51"/>
  <c r="B2163" i="51"/>
  <c r="B2164" i="51"/>
  <c r="B2165" i="51"/>
  <c r="B2166" i="51"/>
  <c r="B2167" i="51"/>
  <c r="B2168" i="51"/>
  <c r="B2169" i="51"/>
  <c r="B2170" i="51"/>
  <c r="B2171" i="51"/>
  <c r="B2172" i="51"/>
  <c r="B2173" i="51"/>
  <c r="B2174" i="51"/>
  <c r="B2175" i="51"/>
  <c r="B2176" i="51"/>
  <c r="B2177" i="51"/>
  <c r="B2178" i="51"/>
  <c r="B2179" i="51"/>
  <c r="B2180" i="51"/>
  <c r="B2181" i="51"/>
  <c r="B2182" i="51"/>
  <c r="B2183" i="51"/>
  <c r="B2184" i="51"/>
  <c r="B2185" i="51"/>
  <c r="B2186" i="51"/>
  <c r="B2187" i="51"/>
  <c r="B2188" i="51"/>
  <c r="B2189" i="51"/>
  <c r="B2190" i="51"/>
  <c r="B2191" i="51"/>
  <c r="B2192" i="51"/>
  <c r="B2193" i="51"/>
  <c r="B2194" i="51"/>
  <c r="B2195" i="51"/>
  <c r="B2196" i="51"/>
  <c r="B2197" i="51"/>
  <c r="B2198" i="51"/>
  <c r="B2199" i="51"/>
  <c r="B2200" i="51"/>
  <c r="B2201" i="51"/>
  <c r="B2202" i="51"/>
  <c r="B2203" i="51"/>
  <c r="B2204" i="51"/>
  <c r="B2205" i="51"/>
  <c r="B2206" i="51"/>
  <c r="B2207" i="51"/>
  <c r="B2208" i="51"/>
  <c r="B2209" i="51"/>
  <c r="B2210" i="51"/>
  <c r="B2211" i="51"/>
  <c r="B2212" i="51"/>
  <c r="B2213" i="51"/>
  <c r="B2214" i="51"/>
  <c r="B2215" i="51"/>
  <c r="B2216" i="51"/>
  <c r="B2217" i="51"/>
  <c r="B2218" i="51"/>
  <c r="B2219" i="51"/>
  <c r="B2220" i="51"/>
  <c r="B2221" i="51"/>
  <c r="B2222" i="51"/>
  <c r="B2223" i="51"/>
  <c r="B2224" i="51"/>
  <c r="B2225" i="51"/>
  <c r="B2226" i="51"/>
  <c r="B2227" i="51"/>
  <c r="B2228" i="51"/>
  <c r="B2229" i="51"/>
  <c r="B2230" i="51"/>
  <c r="B2231" i="51"/>
  <c r="B2232" i="51"/>
  <c r="B2233" i="51"/>
  <c r="B2234" i="51"/>
  <c r="B2235" i="51"/>
  <c r="B2236" i="51"/>
  <c r="B2237" i="51"/>
  <c r="B2238" i="51"/>
  <c r="B2239" i="51"/>
  <c r="B2240" i="51"/>
  <c r="B2241" i="51"/>
  <c r="B2242" i="51"/>
  <c r="B2243" i="51"/>
  <c r="B2244" i="51"/>
  <c r="B2245" i="51"/>
  <c r="B2246" i="51"/>
  <c r="B2247" i="51"/>
  <c r="B2248" i="51"/>
  <c r="B2249" i="51"/>
  <c r="B2250" i="51"/>
  <c r="B2251" i="51"/>
  <c r="B2252" i="51"/>
  <c r="B2253" i="51"/>
  <c r="B2254" i="51"/>
  <c r="B2255" i="51"/>
  <c r="B2256" i="51"/>
  <c r="B2257" i="51"/>
  <c r="B2258" i="51"/>
  <c r="B2259" i="51"/>
  <c r="B2260" i="51"/>
  <c r="B2261" i="51"/>
  <c r="B2262" i="51"/>
  <c r="B2263" i="51"/>
  <c r="B2264" i="51"/>
  <c r="B2265" i="51"/>
  <c r="B2266" i="51"/>
  <c r="B2267" i="51"/>
  <c r="B2268" i="51"/>
  <c r="B2269" i="51"/>
  <c r="B2270" i="51"/>
  <c r="B2271" i="51"/>
  <c r="B2272" i="51"/>
  <c r="B2273" i="51"/>
  <c r="B2274" i="51"/>
  <c r="B2275" i="51"/>
  <c r="B2276" i="51"/>
  <c r="B2277" i="51"/>
  <c r="B2278" i="51"/>
  <c r="B2279" i="51"/>
  <c r="B2280" i="51"/>
  <c r="B2281" i="51"/>
  <c r="B2282" i="51"/>
  <c r="B2283" i="51"/>
  <c r="B2284" i="51"/>
  <c r="B2285" i="51"/>
  <c r="B2286" i="51"/>
  <c r="B2287" i="51"/>
  <c r="B2288" i="51"/>
  <c r="B2289" i="51"/>
  <c r="B2290" i="51"/>
  <c r="B2291" i="51"/>
  <c r="B2292" i="51"/>
  <c r="B2293" i="51"/>
  <c r="B2294" i="51"/>
  <c r="B2295" i="51"/>
  <c r="B2296" i="51"/>
  <c r="B2297" i="51"/>
  <c r="B2298" i="51"/>
  <c r="B2299" i="51"/>
  <c r="B2300" i="51"/>
  <c r="B2301" i="51"/>
  <c r="B2302" i="51"/>
  <c r="B2303" i="51"/>
  <c r="B2304" i="51"/>
  <c r="B2305" i="51"/>
  <c r="B2306" i="51"/>
  <c r="B2307" i="51"/>
  <c r="B2308" i="51"/>
  <c r="B2309" i="51"/>
  <c r="B2310" i="51"/>
  <c r="B2311" i="51"/>
  <c r="B2312" i="51"/>
  <c r="B2313" i="51"/>
  <c r="B2314" i="51"/>
  <c r="B2315" i="51"/>
  <c r="B2316" i="51"/>
  <c r="B2317" i="51"/>
  <c r="B2318" i="51"/>
  <c r="B2319" i="51"/>
  <c r="B2320" i="51"/>
  <c r="B2321" i="51"/>
  <c r="B2322" i="51"/>
  <c r="B2323" i="51"/>
  <c r="B2324" i="51"/>
  <c r="B2325" i="51"/>
  <c r="B2326" i="51"/>
  <c r="B2327" i="51"/>
  <c r="B2328" i="51"/>
  <c r="B2329" i="51"/>
  <c r="B2330" i="51"/>
  <c r="B2331" i="51"/>
  <c r="B2332" i="51"/>
  <c r="B2333" i="51"/>
  <c r="B2334" i="51"/>
  <c r="B2335" i="51"/>
  <c r="B2336" i="51"/>
  <c r="B2337" i="51"/>
  <c r="B2338" i="51"/>
  <c r="B2339" i="51"/>
  <c r="B2340" i="51"/>
  <c r="B2341" i="51"/>
  <c r="B2342" i="51"/>
  <c r="B2343" i="51"/>
  <c r="B2344" i="51"/>
  <c r="B2345" i="51"/>
  <c r="B2346" i="51"/>
  <c r="B2347" i="51"/>
  <c r="B2348" i="51"/>
  <c r="B2349" i="51"/>
  <c r="B2350" i="51"/>
  <c r="B2351" i="51"/>
  <c r="B2352" i="51"/>
  <c r="B2353" i="51"/>
  <c r="B2354" i="51"/>
  <c r="B2355" i="51"/>
  <c r="B2356" i="51"/>
  <c r="B2357" i="51"/>
  <c r="B2358" i="51"/>
  <c r="B2359" i="51"/>
  <c r="B2360" i="51"/>
  <c r="B2361" i="51"/>
  <c r="B2362" i="51"/>
  <c r="B2363" i="51"/>
  <c r="B2364" i="51"/>
  <c r="B2365" i="51"/>
  <c r="B2366" i="51"/>
  <c r="B2367" i="51"/>
  <c r="B2368" i="51"/>
  <c r="B2369" i="51"/>
  <c r="B2370" i="51"/>
  <c r="B2371" i="51"/>
  <c r="B2372" i="51"/>
  <c r="B2373" i="51"/>
  <c r="B2374" i="51"/>
  <c r="B2375" i="51"/>
  <c r="B2376" i="51"/>
  <c r="B2377" i="51"/>
  <c r="B2378" i="51"/>
  <c r="B2379" i="51"/>
  <c r="B2380" i="51"/>
  <c r="B2381" i="51"/>
  <c r="B2382" i="51"/>
  <c r="B2383" i="51"/>
  <c r="B2384" i="51"/>
  <c r="B2385" i="51"/>
  <c r="B2386" i="51"/>
  <c r="B2387" i="51"/>
  <c r="B2388" i="51"/>
  <c r="B2389" i="51"/>
  <c r="B2390" i="51"/>
  <c r="B2391" i="51"/>
  <c r="B2392" i="51"/>
  <c r="B2393" i="51"/>
  <c r="B2394" i="51"/>
  <c r="B2395" i="51"/>
  <c r="B2396" i="51"/>
  <c r="B2397" i="51"/>
  <c r="B2398" i="51"/>
  <c r="B2399" i="51"/>
  <c r="B2400" i="51"/>
  <c r="B2401" i="51"/>
  <c r="B2402" i="51"/>
  <c r="B2403" i="51"/>
  <c r="B2404" i="51"/>
  <c r="B2405" i="51"/>
  <c r="B2406" i="51"/>
  <c r="B2407" i="51"/>
  <c r="B2408" i="51"/>
  <c r="B2409" i="51"/>
  <c r="B2410" i="51"/>
  <c r="B2411" i="51"/>
  <c r="B2412" i="51"/>
  <c r="B2413" i="51"/>
  <c r="B2414" i="51"/>
  <c r="B2415" i="51"/>
  <c r="B2416" i="51"/>
  <c r="B2417" i="51"/>
  <c r="B2418" i="51"/>
  <c r="B2419" i="51"/>
  <c r="B2420" i="51"/>
  <c r="B2421" i="51"/>
  <c r="B2422" i="51"/>
  <c r="B2423" i="51"/>
  <c r="B2424" i="51"/>
  <c r="B2425" i="51"/>
  <c r="B2426" i="51"/>
  <c r="B2427" i="51"/>
  <c r="B2428" i="51"/>
  <c r="B2429" i="51"/>
  <c r="B2430" i="51"/>
  <c r="B2431" i="51"/>
  <c r="B2432" i="51"/>
  <c r="B2433" i="51"/>
  <c r="B2434" i="51"/>
  <c r="B2435" i="51"/>
  <c r="B2436" i="51"/>
  <c r="B2437" i="51"/>
  <c r="B2438" i="51"/>
  <c r="B2439" i="51"/>
  <c r="B2440" i="51"/>
  <c r="B2441" i="51"/>
  <c r="B2442" i="51"/>
  <c r="B2443" i="51"/>
  <c r="B2444" i="51"/>
  <c r="B2445" i="51"/>
  <c r="B2446" i="51"/>
  <c r="B2447" i="51"/>
  <c r="B2448" i="51"/>
  <c r="B2449" i="51"/>
  <c r="B2450" i="51"/>
  <c r="B2451" i="51"/>
  <c r="B2452" i="51"/>
  <c r="B2453" i="51"/>
  <c r="B2454" i="51"/>
  <c r="B2455" i="51"/>
  <c r="B2456" i="51"/>
  <c r="B2457" i="51"/>
  <c r="B2458" i="51"/>
  <c r="B2459" i="51"/>
  <c r="B2460" i="51"/>
  <c r="B2461" i="51"/>
  <c r="B2462" i="51"/>
  <c r="B2463" i="51"/>
  <c r="B2464" i="51"/>
  <c r="B2465" i="51"/>
  <c r="B2466" i="51"/>
  <c r="B2467" i="51"/>
  <c r="B2468" i="51"/>
  <c r="B2469" i="51"/>
  <c r="B2470" i="51"/>
  <c r="B2471" i="51"/>
  <c r="B2472" i="51"/>
  <c r="B2473" i="51"/>
  <c r="B2474" i="51"/>
  <c r="B2475" i="51"/>
  <c r="B2476" i="51"/>
  <c r="B2477" i="51"/>
  <c r="B2478" i="51"/>
  <c r="B2479" i="51"/>
  <c r="B2480" i="51"/>
  <c r="B2481" i="51"/>
  <c r="B2482" i="51"/>
  <c r="B2483" i="51"/>
  <c r="B2484" i="51"/>
  <c r="B2485" i="51"/>
  <c r="B2486" i="51"/>
  <c r="B2487" i="51"/>
  <c r="B2488" i="51"/>
  <c r="B2489" i="51"/>
  <c r="B2490" i="51"/>
  <c r="B2491" i="51"/>
  <c r="B2492" i="51"/>
  <c r="B2493" i="51"/>
  <c r="B2494" i="51"/>
  <c r="B2495" i="51"/>
  <c r="B2496" i="51"/>
  <c r="B2497" i="51"/>
  <c r="B2498" i="51"/>
  <c r="B2499" i="51"/>
  <c r="B2500" i="51"/>
  <c r="B2501" i="51"/>
  <c r="B2502" i="51"/>
  <c r="B2503" i="51"/>
  <c r="B2504" i="51"/>
  <c r="B2505" i="51"/>
  <c r="B2506" i="51"/>
  <c r="B2507" i="51"/>
  <c r="B2508" i="51"/>
  <c r="B2509" i="51"/>
  <c r="B2510" i="51"/>
  <c r="B2511" i="51"/>
  <c r="B2512" i="51"/>
  <c r="B2513" i="51"/>
  <c r="B2514" i="51"/>
  <c r="B2515" i="51"/>
  <c r="B2516" i="51"/>
  <c r="B2517" i="51"/>
  <c r="B2518" i="51"/>
  <c r="B2519" i="51"/>
  <c r="B2520" i="51"/>
  <c r="B2521" i="51"/>
  <c r="B2522" i="51"/>
  <c r="B2523" i="51"/>
  <c r="B2524" i="51"/>
  <c r="B2525" i="51"/>
  <c r="B2526" i="51"/>
  <c r="B2527" i="51"/>
  <c r="B2528" i="51"/>
  <c r="B2529" i="51"/>
  <c r="B2530" i="51"/>
  <c r="B2531" i="51"/>
  <c r="B2532" i="51"/>
  <c r="B2533" i="51"/>
  <c r="B2534" i="51"/>
  <c r="B2535" i="51"/>
  <c r="B2536" i="51"/>
  <c r="B2537" i="51"/>
  <c r="B2538" i="51"/>
  <c r="B2539" i="51"/>
  <c r="B2540" i="51"/>
  <c r="B2541" i="51"/>
  <c r="B2542" i="51"/>
  <c r="B2543" i="51"/>
  <c r="B2544" i="51"/>
  <c r="B2545" i="51"/>
  <c r="B2546" i="51"/>
  <c r="B2547" i="51"/>
  <c r="B2548" i="51"/>
  <c r="B2549" i="51"/>
  <c r="B2550" i="51"/>
  <c r="B2551" i="51"/>
  <c r="B2552" i="51"/>
  <c r="B2553" i="51"/>
  <c r="B2554" i="51"/>
  <c r="B2555" i="51"/>
  <c r="B2556" i="51"/>
  <c r="B2557" i="51"/>
  <c r="B2558" i="51"/>
  <c r="B2559" i="51"/>
  <c r="B2560" i="51"/>
  <c r="B2561" i="51"/>
  <c r="B2562" i="51"/>
  <c r="B2563" i="51"/>
  <c r="B2564" i="51"/>
  <c r="B2565" i="51"/>
  <c r="B2566" i="51"/>
  <c r="B2567" i="51"/>
  <c r="B2568" i="51"/>
  <c r="B2569" i="51"/>
  <c r="B2570" i="51"/>
  <c r="B2571" i="51"/>
  <c r="B2572" i="51"/>
  <c r="B2573" i="51"/>
  <c r="B2574" i="51"/>
  <c r="B2575" i="51"/>
  <c r="B2576" i="51"/>
  <c r="B2577" i="51"/>
  <c r="B2578" i="51"/>
  <c r="B2579" i="51"/>
  <c r="B2580" i="51"/>
  <c r="B2581" i="51"/>
  <c r="B2582" i="51"/>
  <c r="B2583" i="51"/>
  <c r="B2584" i="51"/>
  <c r="B2585" i="51"/>
  <c r="B2586" i="51"/>
  <c r="B2587" i="51"/>
  <c r="B2588" i="51"/>
  <c r="B2589" i="51"/>
  <c r="B2590" i="51"/>
  <c r="B2591" i="51"/>
  <c r="B2592" i="51"/>
  <c r="B2593" i="51"/>
  <c r="B2594" i="51"/>
  <c r="B2595" i="51"/>
  <c r="B2596" i="51"/>
  <c r="B2597" i="51"/>
  <c r="B2598" i="51"/>
  <c r="B2599" i="51"/>
  <c r="B2600" i="51"/>
  <c r="B2601" i="51"/>
  <c r="B2602" i="51"/>
  <c r="B2603" i="51"/>
  <c r="B2604" i="51"/>
  <c r="B2605" i="51"/>
  <c r="B2606" i="51"/>
  <c r="B2607" i="51"/>
  <c r="B2608" i="51"/>
  <c r="B2609" i="51"/>
  <c r="B2610" i="51"/>
  <c r="B2611" i="51"/>
  <c r="B2612" i="51"/>
  <c r="B2613" i="51"/>
  <c r="B2614" i="51"/>
  <c r="B2615" i="51"/>
  <c r="B2616" i="51"/>
  <c r="B2617" i="51"/>
  <c r="B2618" i="51"/>
  <c r="B2619" i="51"/>
  <c r="B2620" i="51"/>
  <c r="B2621" i="51"/>
  <c r="B2622" i="51"/>
  <c r="B2623" i="51"/>
  <c r="B2624" i="51"/>
  <c r="B2625" i="51"/>
  <c r="B2626" i="51"/>
  <c r="B2627" i="51"/>
  <c r="B2628" i="51"/>
  <c r="B2629" i="51"/>
  <c r="B2630" i="51"/>
  <c r="B2631" i="51"/>
  <c r="B2632" i="51"/>
  <c r="B2633" i="51"/>
  <c r="B2634" i="51"/>
  <c r="B2635" i="51"/>
  <c r="B2636" i="51"/>
  <c r="B2637" i="51"/>
  <c r="B2638" i="51"/>
  <c r="B2639" i="51"/>
  <c r="B2640" i="51"/>
  <c r="B2641" i="51"/>
  <c r="B2642" i="51"/>
  <c r="B2643" i="51"/>
  <c r="B2644" i="51"/>
  <c r="B2645" i="51"/>
  <c r="B2646" i="51"/>
  <c r="B2647" i="51"/>
  <c r="B2648" i="51"/>
  <c r="B2649" i="51"/>
  <c r="B2650" i="51"/>
  <c r="B2651" i="51"/>
  <c r="B2652" i="51"/>
  <c r="B2653" i="51"/>
  <c r="B2654" i="51"/>
  <c r="B2655" i="51"/>
  <c r="B2656" i="51"/>
  <c r="B2657" i="51"/>
  <c r="B2658" i="51"/>
  <c r="B2659" i="51"/>
  <c r="B2660" i="51"/>
  <c r="B2661" i="51"/>
  <c r="B2662" i="51"/>
  <c r="B2663" i="51"/>
  <c r="B2664" i="51"/>
  <c r="B2665" i="51"/>
  <c r="B2666" i="51"/>
  <c r="B2667" i="51"/>
  <c r="B2668" i="51"/>
  <c r="B2669" i="51"/>
  <c r="B2670" i="51"/>
  <c r="B2671" i="51"/>
  <c r="B2672" i="51"/>
  <c r="B2673" i="51"/>
  <c r="B2674" i="51"/>
  <c r="B2675" i="51"/>
  <c r="B2676" i="51"/>
  <c r="B2677" i="51"/>
  <c r="B2678" i="51"/>
  <c r="B2679" i="51"/>
  <c r="B2680" i="51"/>
  <c r="B2681" i="51"/>
  <c r="B2682" i="51"/>
  <c r="B2683" i="51"/>
  <c r="B2684" i="51"/>
  <c r="B2685" i="51"/>
  <c r="B2686" i="51"/>
  <c r="B2687" i="51"/>
  <c r="B2688" i="51"/>
  <c r="B2689" i="51"/>
  <c r="B2690" i="51"/>
  <c r="B2691" i="51"/>
  <c r="B2692" i="51"/>
  <c r="B2693" i="51"/>
  <c r="B2694" i="51"/>
  <c r="B2695" i="51"/>
  <c r="B2696" i="51"/>
  <c r="B2697" i="51"/>
  <c r="B2698" i="51"/>
  <c r="B2699" i="51"/>
  <c r="B2700" i="51"/>
  <c r="B2701" i="51"/>
  <c r="B2702" i="51"/>
  <c r="B2703" i="51"/>
  <c r="B2704" i="51"/>
  <c r="B2705" i="51"/>
  <c r="B2706" i="51"/>
  <c r="B2707" i="51"/>
  <c r="B2708" i="51"/>
  <c r="B2709" i="51"/>
  <c r="B2710" i="51"/>
  <c r="B2711" i="51"/>
  <c r="B2712" i="51"/>
  <c r="B2713" i="51"/>
  <c r="B2714" i="51"/>
  <c r="B2715" i="51"/>
  <c r="B2716" i="51"/>
  <c r="B2717" i="51"/>
  <c r="B2718" i="51"/>
  <c r="B2719" i="51"/>
  <c r="B2720" i="51"/>
  <c r="B2721" i="51"/>
  <c r="B2722" i="51"/>
  <c r="B2723" i="51"/>
  <c r="B2724" i="51"/>
  <c r="B2725" i="51"/>
  <c r="B2726" i="51"/>
  <c r="B2727" i="51"/>
  <c r="B2728" i="51"/>
  <c r="B2729" i="51"/>
  <c r="B2730" i="51"/>
  <c r="B2731" i="51"/>
  <c r="B2732" i="51"/>
  <c r="B2733" i="51"/>
  <c r="B2734" i="51"/>
  <c r="B2735" i="51"/>
  <c r="B2736" i="51"/>
  <c r="B2737" i="51"/>
  <c r="B2738" i="51"/>
  <c r="B2739" i="51"/>
  <c r="B2740" i="51"/>
  <c r="B2741" i="51"/>
  <c r="B2742" i="51"/>
  <c r="B2743" i="51"/>
  <c r="B2744" i="51"/>
  <c r="B2745" i="51"/>
  <c r="B2746" i="51"/>
  <c r="B2747" i="51"/>
  <c r="B2748" i="51"/>
  <c r="B2749" i="51"/>
  <c r="B2750" i="51"/>
  <c r="B2751" i="51"/>
  <c r="B2752" i="51"/>
  <c r="B2753" i="51"/>
  <c r="B2754" i="51"/>
  <c r="B2755" i="51"/>
  <c r="B2756" i="51"/>
  <c r="B2757" i="51"/>
  <c r="B2758" i="51"/>
  <c r="B2759" i="51"/>
  <c r="B2760" i="51"/>
  <c r="B2761" i="51"/>
  <c r="B2762" i="51"/>
  <c r="B2763" i="51"/>
  <c r="B2764" i="51"/>
  <c r="B2765" i="51"/>
  <c r="B2766" i="51"/>
  <c r="B2767" i="51"/>
  <c r="B2768" i="51"/>
  <c r="B2769" i="51"/>
  <c r="B2770" i="51"/>
  <c r="B2771" i="51"/>
  <c r="B2772" i="51"/>
  <c r="B2773" i="51"/>
  <c r="B2774" i="51"/>
  <c r="B2775" i="51"/>
  <c r="B2776" i="51"/>
  <c r="B2777" i="51"/>
  <c r="B2778" i="51"/>
  <c r="B2779" i="51"/>
  <c r="B2780" i="51"/>
  <c r="B2781" i="51"/>
  <c r="B2782" i="51"/>
  <c r="B2783" i="51"/>
  <c r="B2784" i="51"/>
  <c r="B2785" i="51"/>
  <c r="B2786" i="51"/>
  <c r="B2787" i="51"/>
  <c r="B2788" i="51"/>
  <c r="B2789" i="51"/>
  <c r="B2790" i="51"/>
  <c r="B2791" i="51"/>
  <c r="B2792" i="51"/>
  <c r="B2793" i="51"/>
  <c r="B2794" i="51"/>
  <c r="B2795" i="51"/>
  <c r="B2796" i="51"/>
  <c r="B2797" i="51"/>
  <c r="B2798" i="51"/>
  <c r="B2799" i="51"/>
  <c r="B2800" i="51"/>
  <c r="B2801" i="51"/>
  <c r="B2802" i="51"/>
  <c r="B2803" i="51"/>
  <c r="B2804" i="51"/>
  <c r="B2805" i="51"/>
  <c r="B2806" i="51"/>
  <c r="B2807" i="51"/>
  <c r="B2808" i="51"/>
  <c r="B2809" i="51"/>
  <c r="B2810" i="51"/>
  <c r="B2811" i="51"/>
  <c r="B2812" i="51"/>
  <c r="B2813" i="51"/>
  <c r="B2814" i="51"/>
  <c r="B2815" i="51"/>
  <c r="B2816" i="51"/>
  <c r="B2817" i="51"/>
  <c r="B2818" i="51"/>
  <c r="B2819" i="51"/>
  <c r="B2820" i="51"/>
  <c r="B2821" i="51"/>
  <c r="B2822" i="51"/>
  <c r="B2823" i="51"/>
  <c r="B2824" i="51"/>
  <c r="B2825" i="51"/>
  <c r="B2826" i="51"/>
  <c r="B2827" i="51"/>
  <c r="B2828" i="51"/>
  <c r="B2829" i="51"/>
  <c r="B2830" i="51"/>
  <c r="B2831" i="51"/>
  <c r="B2832" i="51"/>
  <c r="B2833" i="51"/>
  <c r="B2834" i="51"/>
  <c r="B2835" i="51"/>
  <c r="B2836" i="51"/>
  <c r="B2837" i="51"/>
  <c r="B2838" i="51"/>
  <c r="B2839" i="51"/>
  <c r="B2840" i="51"/>
  <c r="B2841" i="51"/>
  <c r="B2842" i="51"/>
  <c r="B2843" i="51"/>
  <c r="B2844" i="51"/>
  <c r="B2845" i="51"/>
  <c r="B2846" i="51"/>
  <c r="B2847" i="51"/>
  <c r="B2848" i="51"/>
  <c r="B2849" i="51"/>
  <c r="B2850" i="51"/>
  <c r="B2851" i="51"/>
  <c r="B2852" i="51"/>
  <c r="B2853" i="51"/>
  <c r="B2854" i="51"/>
  <c r="B2855" i="51"/>
  <c r="B2856" i="51"/>
  <c r="B2857" i="51"/>
  <c r="B2858" i="51"/>
  <c r="B2859" i="51"/>
  <c r="B2860" i="51"/>
  <c r="B2861" i="51"/>
  <c r="B2862" i="51"/>
  <c r="B2863" i="51"/>
  <c r="B2864" i="51"/>
  <c r="B2865" i="51"/>
  <c r="B2866" i="51"/>
  <c r="B2867" i="51"/>
  <c r="B2868" i="51"/>
  <c r="B2869" i="51"/>
  <c r="B2870" i="51"/>
  <c r="B2871" i="51"/>
  <c r="B2872" i="51"/>
  <c r="B2873" i="51"/>
  <c r="B2874" i="51"/>
  <c r="B2875" i="51"/>
  <c r="B2876" i="51"/>
  <c r="B2877" i="51"/>
  <c r="B2878" i="51"/>
  <c r="B2879" i="51"/>
  <c r="B2880" i="51"/>
  <c r="B2881" i="51"/>
  <c r="B2882" i="51"/>
  <c r="B2883" i="51"/>
  <c r="B2884" i="51"/>
  <c r="B2885" i="51"/>
  <c r="B2886" i="51"/>
  <c r="B2887" i="51"/>
  <c r="B2888" i="51"/>
  <c r="B2889" i="51"/>
  <c r="B2890" i="51"/>
  <c r="B2891" i="51"/>
  <c r="B2892" i="51"/>
  <c r="B2893" i="51"/>
  <c r="B2894" i="51"/>
  <c r="B2895" i="51"/>
  <c r="B2896" i="51"/>
  <c r="B2897" i="51"/>
  <c r="B2898" i="51"/>
  <c r="B2899" i="51"/>
  <c r="B2900" i="51"/>
  <c r="B2901" i="51"/>
  <c r="B2902" i="51"/>
  <c r="B2903" i="51"/>
  <c r="B2904" i="51"/>
  <c r="B2905" i="51"/>
  <c r="B2906" i="51"/>
  <c r="B2907" i="51"/>
  <c r="B2908" i="51"/>
  <c r="B2909" i="51"/>
  <c r="B2910" i="51"/>
  <c r="B2911" i="51"/>
  <c r="B2912" i="51"/>
  <c r="B2913" i="51"/>
  <c r="B2914" i="51"/>
  <c r="B2915" i="51"/>
  <c r="B2916" i="51"/>
  <c r="B2917" i="51"/>
  <c r="B2918" i="51"/>
  <c r="B2919" i="51"/>
  <c r="B2920" i="51"/>
  <c r="B2921" i="51"/>
  <c r="B2922" i="51"/>
  <c r="B2923" i="51"/>
  <c r="B2924" i="51"/>
  <c r="B2925" i="51"/>
  <c r="B2926" i="51"/>
  <c r="B2927" i="51"/>
  <c r="B2928" i="51"/>
  <c r="B2929" i="51"/>
  <c r="B2930" i="51"/>
  <c r="B2931" i="51"/>
  <c r="B2932" i="51"/>
  <c r="B2933" i="51"/>
  <c r="B2934" i="51"/>
  <c r="B2935" i="51"/>
  <c r="B2936" i="51"/>
  <c r="B2937" i="51"/>
  <c r="B2938" i="51"/>
  <c r="B2939" i="51"/>
  <c r="B2940" i="51"/>
  <c r="B2941" i="51"/>
  <c r="B2942" i="51"/>
  <c r="B2943" i="51"/>
  <c r="B2944" i="51"/>
  <c r="B2945" i="51"/>
  <c r="B2946" i="51"/>
  <c r="B2947" i="51"/>
  <c r="B2948" i="51"/>
  <c r="B2949" i="51"/>
  <c r="B2950" i="51"/>
  <c r="B2951" i="51"/>
  <c r="B2952" i="51"/>
  <c r="B2953" i="51"/>
  <c r="B2954" i="51"/>
  <c r="B2955" i="51"/>
  <c r="B2956" i="51"/>
  <c r="B2957" i="51"/>
  <c r="B2958" i="51"/>
  <c r="B2959" i="51"/>
  <c r="B2960" i="51"/>
  <c r="B2961" i="51"/>
  <c r="B2962" i="51"/>
  <c r="B2963" i="51"/>
  <c r="B2964" i="51"/>
  <c r="B2965" i="51"/>
  <c r="B2966" i="51"/>
  <c r="B2967" i="51"/>
  <c r="B2968" i="51"/>
  <c r="B2969" i="51"/>
  <c r="B2970" i="51"/>
  <c r="B2971" i="51"/>
  <c r="B2972" i="51"/>
  <c r="B2973" i="51"/>
  <c r="B2974" i="51"/>
  <c r="B2975" i="51"/>
  <c r="B2976" i="51"/>
  <c r="B2977" i="51"/>
  <c r="B2978" i="51"/>
  <c r="B2979" i="51"/>
  <c r="B2980" i="51"/>
  <c r="B2981" i="51"/>
  <c r="B2982" i="51"/>
  <c r="B2983" i="51"/>
  <c r="B2984" i="51"/>
  <c r="B2985" i="51"/>
  <c r="B2986" i="51"/>
  <c r="B2987" i="51"/>
  <c r="B2988" i="51"/>
  <c r="B2989" i="51"/>
  <c r="B2990" i="51"/>
  <c r="B2991" i="51"/>
  <c r="B2992" i="51"/>
  <c r="B2993" i="51"/>
  <c r="B2994" i="51"/>
  <c r="B2995" i="51"/>
  <c r="B2996" i="51"/>
  <c r="B2997" i="51"/>
  <c r="B2998" i="51"/>
  <c r="B2999" i="51"/>
  <c r="B3000" i="51"/>
  <c r="B3001" i="51"/>
  <c r="B3002" i="51"/>
  <c r="B3003" i="51"/>
  <c r="B3004" i="51"/>
  <c r="B3005" i="51"/>
  <c r="B3006" i="51"/>
  <c r="B3007" i="51"/>
  <c r="B3008" i="51"/>
  <c r="B3009" i="51"/>
  <c r="B3010" i="51"/>
  <c r="B3011" i="51"/>
  <c r="B3012" i="51"/>
  <c r="B3013" i="51"/>
  <c r="B3014" i="51"/>
  <c r="B3015" i="51"/>
  <c r="B3016" i="51"/>
  <c r="B3017" i="51"/>
  <c r="B3018" i="51"/>
  <c r="B3019" i="51"/>
  <c r="B3020" i="51"/>
  <c r="B3021" i="51"/>
  <c r="B3022" i="51"/>
  <c r="B3023" i="51"/>
  <c r="B3024" i="51"/>
  <c r="B3025" i="51"/>
  <c r="B3026" i="51"/>
  <c r="B3027" i="51"/>
  <c r="B3028" i="51"/>
  <c r="B3029" i="51"/>
  <c r="B3030" i="51"/>
  <c r="B3031" i="51"/>
  <c r="B3032" i="51"/>
  <c r="B3033" i="51"/>
  <c r="B3034" i="51"/>
  <c r="B3035" i="51"/>
  <c r="B3036" i="51"/>
  <c r="B3037" i="51"/>
  <c r="B3038" i="51"/>
  <c r="B3039" i="51"/>
  <c r="B3040" i="51"/>
  <c r="B3041" i="51"/>
  <c r="B3042" i="51"/>
  <c r="B3043" i="51"/>
  <c r="B3044" i="51"/>
  <c r="B3045" i="51"/>
  <c r="B3046" i="51"/>
  <c r="B3047" i="51"/>
  <c r="B3048" i="51"/>
  <c r="B3049" i="51"/>
  <c r="B3050" i="51"/>
  <c r="B3051" i="51"/>
  <c r="B3052" i="51"/>
  <c r="B3053" i="51"/>
  <c r="B3054" i="51"/>
  <c r="B3055" i="51"/>
  <c r="B3056" i="51"/>
  <c r="B3057" i="51"/>
  <c r="B3058" i="51"/>
  <c r="B3059" i="51"/>
  <c r="B3060" i="51"/>
  <c r="B3061" i="51"/>
  <c r="B3062" i="51"/>
  <c r="B3063" i="51"/>
  <c r="B3064" i="51"/>
  <c r="B3065" i="51"/>
  <c r="B3066" i="51"/>
  <c r="B3067" i="51"/>
  <c r="B3068" i="51"/>
  <c r="B3069" i="51"/>
  <c r="B3070" i="51"/>
  <c r="B3071" i="51"/>
  <c r="B3072" i="51"/>
  <c r="B3073" i="51"/>
  <c r="B3074" i="51"/>
  <c r="B3075" i="51"/>
  <c r="B3076" i="51"/>
  <c r="B3077" i="51"/>
  <c r="B3078" i="51"/>
  <c r="B3079" i="51"/>
  <c r="B3080" i="51"/>
  <c r="B3081" i="51"/>
  <c r="B3082" i="51"/>
  <c r="B3083" i="51"/>
  <c r="B3084" i="51"/>
  <c r="B3085" i="51"/>
  <c r="B3086" i="51"/>
  <c r="B3087" i="51"/>
  <c r="B3088" i="51"/>
  <c r="B3089" i="51"/>
  <c r="B3090" i="51"/>
  <c r="B3091" i="51"/>
  <c r="B3092" i="51"/>
  <c r="B3093" i="51"/>
  <c r="B3094" i="51"/>
  <c r="B3095" i="51"/>
  <c r="B3096" i="51"/>
  <c r="B3097" i="51"/>
  <c r="B3098" i="51"/>
  <c r="B3099" i="51"/>
  <c r="B3100" i="51"/>
  <c r="B3101" i="51"/>
  <c r="B3102" i="51"/>
  <c r="B3103" i="51"/>
  <c r="B3104" i="51"/>
  <c r="B3105" i="51"/>
  <c r="B3106" i="51"/>
  <c r="B3107" i="51"/>
  <c r="B3108" i="51"/>
  <c r="B3109" i="51"/>
  <c r="B3110" i="51"/>
  <c r="B3111" i="51"/>
  <c r="B3112" i="51"/>
  <c r="B3113" i="51"/>
  <c r="B3114" i="51"/>
  <c r="B3115" i="51"/>
  <c r="B3116" i="51"/>
  <c r="B3117" i="51"/>
  <c r="B3118" i="51"/>
  <c r="B3119" i="51"/>
  <c r="B3120" i="51"/>
  <c r="B3121" i="51"/>
  <c r="B3122" i="51"/>
  <c r="B3123" i="51"/>
  <c r="B3124" i="51"/>
  <c r="B3125" i="51"/>
  <c r="B3126" i="51"/>
  <c r="B3127" i="51"/>
  <c r="B3128" i="51"/>
  <c r="B3129" i="51"/>
  <c r="B3130" i="51"/>
  <c r="B3131" i="51"/>
  <c r="B3132" i="51"/>
  <c r="B3133" i="51"/>
  <c r="B3134" i="51"/>
  <c r="B3135" i="51"/>
  <c r="B3136" i="51"/>
  <c r="B3137" i="51"/>
  <c r="B3138" i="51"/>
  <c r="B3139" i="51"/>
  <c r="B3140" i="51"/>
  <c r="B3141" i="51"/>
  <c r="B3142" i="51"/>
  <c r="B3143" i="51"/>
  <c r="B3144" i="51"/>
  <c r="B3145" i="51"/>
  <c r="B3146" i="51"/>
  <c r="B3147" i="51"/>
  <c r="B3148" i="51"/>
  <c r="B3149" i="51"/>
  <c r="B3150" i="51"/>
  <c r="B3151" i="51"/>
  <c r="B3152" i="51"/>
  <c r="B3153" i="51"/>
  <c r="B3154" i="51"/>
  <c r="B3155" i="51"/>
  <c r="B3156" i="51"/>
  <c r="B3157" i="51"/>
  <c r="B3158" i="51"/>
  <c r="B3159" i="51"/>
  <c r="B3160" i="51"/>
  <c r="B3161" i="51"/>
  <c r="B3162" i="51"/>
  <c r="B3163" i="51"/>
  <c r="B3164" i="51"/>
  <c r="B3165" i="51"/>
  <c r="B3166" i="51"/>
  <c r="B3167" i="51"/>
  <c r="B3168" i="51"/>
  <c r="B3169" i="51"/>
  <c r="B3170" i="51"/>
  <c r="B3171" i="51"/>
  <c r="B3172" i="51"/>
  <c r="B3173" i="51"/>
  <c r="B3174" i="51"/>
  <c r="B3175" i="51"/>
  <c r="B3176" i="51"/>
  <c r="B3177" i="51"/>
  <c r="B3178" i="51"/>
  <c r="B3179" i="51"/>
  <c r="B3180" i="51"/>
  <c r="B3181" i="51"/>
  <c r="B3182" i="51"/>
  <c r="B3183" i="51"/>
  <c r="B3184" i="51"/>
  <c r="B3185" i="51"/>
  <c r="B3186" i="51"/>
  <c r="B3187" i="51"/>
  <c r="B3188" i="51"/>
  <c r="B3189" i="51"/>
  <c r="B3190" i="51"/>
  <c r="B3191" i="51"/>
  <c r="B3192" i="51"/>
  <c r="B3193" i="51"/>
  <c r="B3194" i="51"/>
  <c r="B3195" i="51"/>
  <c r="B3196" i="51"/>
  <c r="B3197" i="51"/>
  <c r="B3198" i="51"/>
  <c r="B3199" i="51"/>
  <c r="B3200" i="51"/>
  <c r="B3201" i="51"/>
  <c r="B3202" i="51"/>
  <c r="B3203" i="51"/>
  <c r="B3204" i="51"/>
  <c r="B3205" i="51"/>
  <c r="B3206" i="51"/>
  <c r="B3207" i="51"/>
  <c r="B3208" i="51"/>
  <c r="B3209" i="51"/>
  <c r="B3210" i="51"/>
  <c r="B3211" i="51"/>
  <c r="B3212" i="51"/>
  <c r="B3213" i="51"/>
  <c r="B3214" i="51"/>
  <c r="B3215" i="51"/>
  <c r="B3216" i="51"/>
  <c r="B3217" i="51"/>
  <c r="B3218" i="51"/>
  <c r="B3219" i="51"/>
  <c r="B3220" i="51"/>
  <c r="B3221" i="51"/>
  <c r="B3222" i="51"/>
  <c r="B3223" i="51"/>
  <c r="B3224" i="51"/>
  <c r="B3225" i="51"/>
  <c r="B3226" i="51"/>
  <c r="B3227" i="51"/>
  <c r="B3228" i="51"/>
  <c r="B3229" i="51"/>
  <c r="B3230" i="51"/>
  <c r="B3231" i="51"/>
  <c r="B3232" i="51"/>
  <c r="B3233" i="51"/>
  <c r="B3234" i="51"/>
  <c r="B3235" i="51"/>
  <c r="B3236" i="51"/>
  <c r="B3237" i="51"/>
  <c r="B3238" i="51"/>
  <c r="B3239" i="51"/>
  <c r="B3240" i="51"/>
  <c r="B3241" i="51"/>
  <c r="B3242" i="51"/>
  <c r="B3243" i="51"/>
  <c r="B3244" i="51"/>
  <c r="B3245" i="51"/>
  <c r="B3246" i="51"/>
  <c r="B3247" i="51"/>
  <c r="B3248" i="51"/>
  <c r="B3249" i="51"/>
  <c r="B3250" i="51"/>
  <c r="B3251" i="51"/>
  <c r="B3252" i="51"/>
  <c r="B3253" i="51"/>
  <c r="B3254" i="51"/>
  <c r="B3255" i="51"/>
  <c r="B3256" i="51"/>
  <c r="B3257" i="51"/>
  <c r="B3258" i="51"/>
  <c r="B3259" i="51"/>
  <c r="B3260" i="51"/>
  <c r="B3261" i="51"/>
  <c r="B3262" i="51"/>
  <c r="B3263" i="51"/>
  <c r="B3264" i="51"/>
  <c r="B3265" i="51"/>
  <c r="B3266" i="51"/>
  <c r="B3267" i="51"/>
  <c r="B3268" i="51"/>
  <c r="B3269" i="51"/>
  <c r="B3270" i="51"/>
  <c r="B3271" i="51"/>
  <c r="B3272" i="51"/>
  <c r="B3273" i="51"/>
  <c r="B3274" i="51"/>
  <c r="B3275" i="51"/>
  <c r="B3276" i="51"/>
  <c r="B3277" i="51"/>
  <c r="B3278" i="51"/>
  <c r="B3279" i="51"/>
  <c r="B3280" i="51"/>
  <c r="B3281" i="51"/>
  <c r="B3282" i="51"/>
  <c r="B3283" i="51"/>
  <c r="B3284" i="51"/>
  <c r="B3285" i="51"/>
  <c r="B3286" i="51"/>
  <c r="B3287" i="51"/>
  <c r="B3288" i="51"/>
  <c r="B3289" i="51"/>
  <c r="B3290" i="51"/>
  <c r="B3291" i="51"/>
  <c r="B3292" i="51"/>
  <c r="B3293" i="51"/>
  <c r="B3294" i="51"/>
  <c r="B3295" i="51"/>
  <c r="B3296" i="51"/>
  <c r="B3297" i="51"/>
  <c r="B3298" i="51"/>
  <c r="B3299" i="51"/>
  <c r="B3300" i="51"/>
  <c r="B3301" i="51"/>
  <c r="B3302" i="51"/>
  <c r="B3303" i="51"/>
  <c r="B3304" i="51"/>
  <c r="B3305" i="51"/>
  <c r="B3306" i="51"/>
  <c r="B3307" i="51"/>
  <c r="B3308" i="51"/>
  <c r="B3309" i="51"/>
  <c r="B3310" i="51"/>
  <c r="B3311" i="51"/>
  <c r="B3312" i="51"/>
  <c r="B3313" i="51"/>
  <c r="B3314" i="51"/>
  <c r="B3315" i="51"/>
  <c r="B3316" i="51"/>
  <c r="B3317" i="51"/>
  <c r="B3318" i="51"/>
  <c r="B3319" i="51"/>
  <c r="B3320" i="51"/>
  <c r="B3321" i="51"/>
  <c r="B3322" i="51"/>
  <c r="B3323" i="51"/>
  <c r="B3324" i="51"/>
  <c r="B3325" i="51"/>
  <c r="B3326" i="51"/>
  <c r="B3327" i="51"/>
  <c r="B3328" i="51"/>
  <c r="B3329" i="51"/>
  <c r="B3330" i="51"/>
  <c r="B3331" i="51"/>
  <c r="B3332" i="51"/>
  <c r="B3333" i="51"/>
  <c r="B3334" i="51"/>
  <c r="B3335" i="51"/>
  <c r="B3336" i="51"/>
  <c r="B3337" i="51"/>
  <c r="B3338" i="51"/>
  <c r="B3339" i="51"/>
  <c r="B3340" i="51"/>
  <c r="B3341" i="51"/>
  <c r="B3342" i="51"/>
  <c r="B3343" i="51"/>
  <c r="B3344" i="51"/>
  <c r="B3345" i="51"/>
  <c r="B3346" i="51"/>
  <c r="B3347" i="51"/>
  <c r="B3348" i="51"/>
  <c r="B3349" i="51"/>
  <c r="B3350" i="51"/>
  <c r="B3351" i="51"/>
  <c r="B3352" i="51"/>
  <c r="B3353" i="51"/>
  <c r="B3354" i="51"/>
  <c r="B3355" i="51"/>
  <c r="B3356" i="51"/>
  <c r="B3357" i="51"/>
  <c r="B3358" i="51"/>
  <c r="B3359" i="51"/>
  <c r="B3360" i="51"/>
  <c r="B3361" i="51"/>
  <c r="B3362" i="51"/>
  <c r="B3363" i="51"/>
  <c r="B3364" i="51"/>
  <c r="B3365" i="51"/>
  <c r="B3366" i="51"/>
  <c r="B3367" i="51"/>
  <c r="B3368" i="51"/>
  <c r="B3369" i="51"/>
  <c r="B3370" i="51"/>
  <c r="B3371" i="51"/>
  <c r="B3372" i="51"/>
  <c r="B3373" i="51"/>
  <c r="B3374" i="51"/>
  <c r="B3375" i="51"/>
  <c r="B3376" i="51"/>
  <c r="B3377" i="51"/>
  <c r="B3378" i="51"/>
  <c r="B3379" i="51"/>
  <c r="B3380" i="51"/>
  <c r="B3381" i="51"/>
  <c r="B3382" i="51"/>
  <c r="B3383" i="51"/>
  <c r="B3384" i="51"/>
  <c r="B3385" i="51"/>
  <c r="B3386" i="51"/>
  <c r="B3387" i="51"/>
  <c r="B3388" i="51"/>
  <c r="B3389" i="51"/>
  <c r="B3390" i="51"/>
  <c r="B3391" i="51"/>
  <c r="B3392" i="51"/>
  <c r="B3393" i="51"/>
  <c r="B3394" i="51"/>
  <c r="B3395" i="51"/>
  <c r="B3396" i="51"/>
  <c r="B3397" i="51"/>
  <c r="B3398" i="51"/>
  <c r="B3399" i="51"/>
  <c r="B3400" i="51"/>
  <c r="B3401" i="51"/>
  <c r="B3402" i="51"/>
  <c r="B3403" i="51"/>
  <c r="B3404" i="51"/>
  <c r="B3405" i="51"/>
  <c r="B3406" i="51"/>
  <c r="B3407" i="51"/>
  <c r="B3408" i="51"/>
  <c r="B3409" i="51"/>
  <c r="B3410" i="51"/>
  <c r="B3411" i="51"/>
  <c r="B3412" i="51"/>
  <c r="B3413" i="51"/>
  <c r="B3414" i="51"/>
  <c r="B3415" i="51"/>
  <c r="B3416" i="51"/>
  <c r="B3417" i="51"/>
  <c r="B3418" i="51"/>
  <c r="B3419" i="51"/>
  <c r="B3420" i="51"/>
  <c r="B3421" i="51"/>
  <c r="B3422" i="51"/>
  <c r="B3423" i="51"/>
  <c r="B3424" i="51"/>
  <c r="B3425" i="51"/>
  <c r="B3426" i="51"/>
  <c r="B3427" i="51"/>
  <c r="B3428" i="51"/>
  <c r="B3429" i="51"/>
  <c r="B3430" i="51"/>
  <c r="B3431" i="51"/>
  <c r="B3432" i="51"/>
  <c r="B3433" i="51"/>
  <c r="B3434" i="51"/>
  <c r="B3435" i="51"/>
  <c r="B3436" i="51"/>
  <c r="B3437" i="51"/>
  <c r="B3438" i="51"/>
  <c r="B3439" i="51"/>
  <c r="B3440" i="51"/>
  <c r="B3441" i="51"/>
  <c r="B3442" i="51"/>
  <c r="B3443" i="51"/>
  <c r="B3444" i="51"/>
  <c r="B3445" i="51"/>
  <c r="B3446" i="51"/>
  <c r="B3447" i="51"/>
  <c r="B3448" i="51"/>
  <c r="B3449" i="51"/>
  <c r="B3450" i="51"/>
  <c r="B3451" i="51"/>
  <c r="B3452" i="51"/>
  <c r="B3453" i="51"/>
  <c r="B3454" i="51"/>
  <c r="B3455" i="51"/>
  <c r="B3456" i="51"/>
  <c r="B3457" i="51"/>
  <c r="B3458" i="51"/>
  <c r="B3459" i="51"/>
  <c r="B3460" i="51"/>
  <c r="B3461" i="51"/>
  <c r="B3462" i="51"/>
  <c r="B3463" i="51"/>
  <c r="B3464" i="51"/>
  <c r="B3465" i="51"/>
  <c r="B3466" i="51"/>
  <c r="B3467" i="51"/>
  <c r="B3468" i="51"/>
  <c r="B3469" i="51"/>
  <c r="B3470" i="51"/>
  <c r="B3471" i="51"/>
  <c r="B3472" i="51"/>
  <c r="B3473" i="51"/>
  <c r="B3474" i="51"/>
  <c r="B3475" i="51"/>
  <c r="B3476" i="51"/>
  <c r="B3477" i="51"/>
  <c r="B3478" i="51"/>
  <c r="B3479" i="51"/>
  <c r="B3480" i="51"/>
  <c r="B3481" i="51"/>
  <c r="B3482" i="51"/>
  <c r="B3483" i="51"/>
  <c r="B3484" i="51"/>
  <c r="B3485" i="51"/>
  <c r="B3486" i="51"/>
  <c r="B3487" i="51"/>
  <c r="B3488" i="51"/>
  <c r="B3489" i="51"/>
  <c r="B3490" i="51"/>
  <c r="B3491" i="51"/>
  <c r="B3492" i="51"/>
  <c r="B3493" i="51"/>
  <c r="B3494" i="51"/>
  <c r="B3495" i="51"/>
  <c r="B3496" i="51"/>
  <c r="B3497" i="51"/>
  <c r="B3498" i="51"/>
  <c r="B3499" i="51"/>
  <c r="B3500" i="51"/>
  <c r="B3501" i="51"/>
  <c r="B3502" i="51"/>
  <c r="B3503" i="51"/>
  <c r="B3504" i="51"/>
  <c r="B3505" i="51"/>
  <c r="B3506" i="51"/>
  <c r="B3507" i="51"/>
  <c r="B3508" i="51"/>
  <c r="B3509" i="51"/>
  <c r="B3510" i="51"/>
  <c r="B3511" i="51"/>
  <c r="B3512" i="51"/>
  <c r="B3513" i="51"/>
  <c r="B3514" i="51"/>
  <c r="B3515" i="51"/>
  <c r="B3516" i="51"/>
  <c r="B3517" i="51"/>
  <c r="B3518" i="51"/>
  <c r="B3519" i="51"/>
  <c r="B3520" i="51"/>
  <c r="B3521" i="51"/>
  <c r="B3522" i="51"/>
  <c r="B3523" i="51"/>
  <c r="B3524" i="51"/>
  <c r="B3525" i="51"/>
  <c r="B3526" i="51"/>
  <c r="B3527" i="51"/>
  <c r="B3528" i="51"/>
  <c r="B3529" i="51"/>
  <c r="B3530" i="51"/>
  <c r="B3531" i="51"/>
  <c r="B3532" i="51"/>
  <c r="B3533" i="51"/>
  <c r="B3534" i="51"/>
  <c r="B3535" i="51"/>
  <c r="B3536" i="51"/>
  <c r="B3537" i="51"/>
  <c r="B3538" i="51"/>
  <c r="B3539" i="51"/>
  <c r="B3540" i="51"/>
  <c r="B3541" i="51"/>
  <c r="B3542" i="51"/>
  <c r="B3543" i="51"/>
  <c r="B3544" i="51"/>
  <c r="B3545" i="51"/>
  <c r="B3546" i="51"/>
  <c r="B3547" i="51"/>
  <c r="B3548" i="51"/>
  <c r="B3549" i="51"/>
  <c r="B3550" i="51"/>
  <c r="B3551" i="51"/>
  <c r="B3552" i="51"/>
  <c r="B3553" i="51"/>
  <c r="B3554" i="51"/>
  <c r="B3555" i="51"/>
  <c r="B3556" i="51"/>
  <c r="B3557" i="51"/>
  <c r="B3558" i="51"/>
  <c r="B3559" i="51"/>
  <c r="B3560" i="51"/>
  <c r="B3561" i="51"/>
  <c r="B3562" i="51"/>
  <c r="B3563" i="51"/>
  <c r="B3564" i="51"/>
  <c r="B3565" i="51"/>
  <c r="B3566" i="51"/>
  <c r="B3567" i="51"/>
  <c r="B3568" i="51"/>
  <c r="B3569" i="51"/>
  <c r="B3570" i="51"/>
  <c r="B3571" i="51"/>
  <c r="B3572" i="51"/>
  <c r="B3573" i="51"/>
  <c r="B3574" i="51"/>
  <c r="B3575" i="51"/>
  <c r="B3576" i="51"/>
  <c r="B3577" i="51"/>
  <c r="B3578" i="51"/>
  <c r="B3579" i="51"/>
  <c r="B3580" i="51"/>
  <c r="B3581" i="51"/>
  <c r="B3582" i="51"/>
  <c r="B3583" i="51"/>
  <c r="B3584" i="51"/>
  <c r="B3585" i="51"/>
  <c r="B3586" i="51"/>
  <c r="B3587" i="51"/>
  <c r="B3588" i="51"/>
  <c r="B3589" i="51"/>
  <c r="B3590" i="51"/>
  <c r="B3591" i="51"/>
  <c r="B3592" i="51"/>
  <c r="B3593" i="51"/>
  <c r="B3594" i="51"/>
  <c r="B3595" i="51"/>
  <c r="B3596" i="51"/>
  <c r="B3597" i="51"/>
  <c r="B3598" i="51"/>
  <c r="B3599" i="51"/>
  <c r="B3600" i="51"/>
  <c r="B3601" i="51"/>
  <c r="B3602" i="51"/>
  <c r="B3603" i="51"/>
  <c r="B3604" i="51"/>
  <c r="B3605" i="51"/>
  <c r="B3606" i="51"/>
  <c r="B3607" i="51"/>
  <c r="B3608" i="51"/>
  <c r="B3609" i="51"/>
  <c r="B3610" i="51"/>
  <c r="B3611" i="51"/>
  <c r="B3612" i="51"/>
  <c r="B3613" i="51"/>
  <c r="B3614" i="51"/>
  <c r="B3615" i="51"/>
  <c r="B3616" i="51"/>
  <c r="B3617" i="51"/>
  <c r="B3618" i="51"/>
  <c r="B3619" i="51"/>
  <c r="B3620" i="51"/>
  <c r="B3621" i="51"/>
  <c r="B3622" i="51"/>
  <c r="B3623" i="51"/>
  <c r="B3624" i="51"/>
  <c r="B3625" i="51"/>
  <c r="B3626" i="51"/>
  <c r="B3627" i="51"/>
  <c r="B3628" i="51"/>
  <c r="B3629" i="51"/>
  <c r="B3630" i="51"/>
  <c r="B3631" i="51"/>
  <c r="B3632" i="51"/>
  <c r="B3633" i="51"/>
  <c r="B3634" i="51"/>
  <c r="B3635" i="51"/>
  <c r="B3636" i="51"/>
  <c r="B3637" i="51"/>
  <c r="B3638" i="51"/>
  <c r="B3639" i="51"/>
  <c r="B3640" i="51"/>
  <c r="B3641" i="51"/>
  <c r="B3642" i="51"/>
  <c r="B3643" i="51"/>
  <c r="B3644" i="51"/>
  <c r="B3645" i="51"/>
  <c r="B3646" i="51"/>
  <c r="B3647" i="51"/>
  <c r="B3648" i="51"/>
  <c r="B3649" i="51"/>
  <c r="B3650" i="51"/>
  <c r="B3651" i="51"/>
  <c r="B3652" i="51"/>
  <c r="B3653" i="51"/>
  <c r="B3654" i="51"/>
  <c r="B3655" i="51"/>
  <c r="B3656" i="51"/>
  <c r="B3657" i="51"/>
  <c r="B3658" i="51"/>
  <c r="B3659" i="51"/>
  <c r="B3660" i="51"/>
  <c r="B3661" i="51"/>
  <c r="B3662" i="51"/>
  <c r="B3663" i="51"/>
  <c r="B3664" i="51"/>
  <c r="B3665" i="51"/>
  <c r="B3666" i="51"/>
  <c r="B3667" i="51"/>
  <c r="B3668" i="51"/>
  <c r="B3669" i="51"/>
  <c r="B3670" i="51"/>
  <c r="B3671" i="51"/>
  <c r="B3672" i="51"/>
  <c r="B3673" i="51"/>
  <c r="B3674" i="51"/>
  <c r="B3675" i="51"/>
  <c r="B3676" i="51"/>
  <c r="B3677" i="51"/>
  <c r="B3678" i="51"/>
  <c r="B3679" i="51"/>
  <c r="B3680" i="51"/>
  <c r="B3681" i="51"/>
  <c r="B3682" i="51"/>
  <c r="B3683" i="51"/>
  <c r="B3684" i="51"/>
  <c r="B3685" i="51"/>
  <c r="B3686" i="51"/>
  <c r="B3687" i="51"/>
  <c r="B3688" i="51"/>
  <c r="B3689" i="51"/>
  <c r="B3690" i="51"/>
  <c r="B3691" i="51"/>
  <c r="B3692" i="51"/>
  <c r="B3693" i="51"/>
  <c r="B3694" i="51"/>
  <c r="B3695" i="51"/>
  <c r="B3696" i="51"/>
  <c r="B3697" i="51"/>
  <c r="B3698" i="51"/>
  <c r="B3699" i="51"/>
  <c r="B3700" i="51"/>
  <c r="B3701" i="51"/>
  <c r="B3702" i="51"/>
  <c r="B3703" i="51"/>
  <c r="B3704" i="51"/>
  <c r="B3705" i="51"/>
  <c r="B3706" i="51"/>
  <c r="B3707" i="51"/>
  <c r="B3708" i="51"/>
  <c r="B3709" i="51"/>
  <c r="B3710" i="51"/>
  <c r="B3711" i="51"/>
  <c r="B3712" i="51"/>
  <c r="B3713" i="51"/>
  <c r="B3714" i="51"/>
  <c r="B3715" i="51"/>
  <c r="B3716" i="51"/>
  <c r="B3717" i="51"/>
  <c r="B3718" i="51"/>
  <c r="B3719" i="51"/>
  <c r="B3720" i="51"/>
  <c r="B3721" i="51"/>
  <c r="B3722" i="51"/>
  <c r="B3723" i="51"/>
  <c r="B3724" i="51"/>
  <c r="B3725" i="51"/>
  <c r="B3726" i="51"/>
  <c r="B3727" i="51"/>
  <c r="B3728" i="51"/>
  <c r="B3729" i="51"/>
  <c r="B3730" i="51"/>
  <c r="B3731" i="51"/>
  <c r="B3732" i="51"/>
  <c r="B3733" i="51"/>
  <c r="B3734" i="51"/>
  <c r="B3735" i="51"/>
  <c r="B3736" i="51"/>
  <c r="B3737" i="51"/>
  <c r="B3738" i="51"/>
  <c r="B3739" i="51"/>
  <c r="B3740" i="51"/>
  <c r="B3741" i="51"/>
  <c r="B3742" i="51"/>
  <c r="B3743" i="51"/>
  <c r="B3744" i="51"/>
  <c r="B3745" i="51"/>
  <c r="B3746" i="51"/>
  <c r="B3747" i="51"/>
  <c r="B3748" i="51"/>
  <c r="B3749" i="51"/>
  <c r="B3750" i="51"/>
  <c r="B3751" i="51"/>
  <c r="B3752" i="51"/>
  <c r="B3753" i="51"/>
  <c r="B3754" i="51"/>
  <c r="B3755" i="51"/>
  <c r="B3756" i="51"/>
  <c r="B3757" i="51"/>
  <c r="B3758" i="51"/>
  <c r="B3759" i="51"/>
  <c r="B3760" i="51"/>
  <c r="B3761" i="51"/>
  <c r="B3762" i="51"/>
  <c r="B3763" i="51"/>
  <c r="B3764" i="51"/>
  <c r="B3765" i="51"/>
  <c r="B3766" i="51"/>
  <c r="B3767" i="51"/>
  <c r="B3768" i="51"/>
  <c r="B3769" i="51"/>
  <c r="B3770" i="51"/>
  <c r="B3771" i="51"/>
  <c r="B3772" i="51"/>
  <c r="B3773" i="51"/>
  <c r="B3774" i="51"/>
  <c r="B3775" i="51"/>
  <c r="B3776" i="51"/>
  <c r="B3777" i="51"/>
  <c r="B3778" i="51"/>
  <c r="B3779" i="51"/>
  <c r="B3780" i="51"/>
  <c r="B3781" i="51"/>
  <c r="B3782" i="51"/>
  <c r="B3783" i="51"/>
  <c r="B3784" i="51"/>
  <c r="B3785" i="51"/>
  <c r="B3786" i="51"/>
  <c r="B3787" i="51"/>
  <c r="B3788" i="51"/>
  <c r="B3789" i="51"/>
  <c r="B3790" i="51"/>
  <c r="B3791" i="51"/>
  <c r="B3792" i="51"/>
  <c r="B3793" i="51"/>
  <c r="B3794" i="51"/>
  <c r="B3795" i="51"/>
  <c r="B3796" i="51"/>
  <c r="B3797" i="51"/>
  <c r="B3798" i="51"/>
  <c r="B3799" i="51"/>
  <c r="B3800" i="51"/>
  <c r="B3801" i="51"/>
  <c r="B3802" i="51"/>
  <c r="B3803" i="51"/>
  <c r="B3804" i="51"/>
  <c r="B3805" i="51"/>
  <c r="B3806" i="51"/>
  <c r="B3807" i="51"/>
  <c r="B3808" i="51"/>
  <c r="B3809" i="51"/>
  <c r="B3810" i="51"/>
  <c r="B3811" i="51"/>
  <c r="B3812" i="51"/>
  <c r="B3813" i="51"/>
  <c r="B3814" i="51"/>
  <c r="B3815" i="51"/>
  <c r="B3816" i="51"/>
  <c r="B3817" i="51"/>
  <c r="B3818" i="51"/>
  <c r="B3819" i="51"/>
  <c r="B3820" i="51"/>
  <c r="B3821" i="51"/>
  <c r="B3822" i="51"/>
  <c r="B3823" i="51"/>
  <c r="B3824" i="51"/>
  <c r="B3825" i="51"/>
  <c r="B3826" i="51"/>
  <c r="B3827" i="51"/>
  <c r="B3828" i="51"/>
  <c r="B3829" i="51"/>
  <c r="B3830" i="51"/>
  <c r="B3831" i="51"/>
  <c r="B3832" i="51"/>
  <c r="B3833" i="51"/>
  <c r="B3834" i="51"/>
  <c r="B3835" i="51"/>
  <c r="B3836" i="51"/>
  <c r="B3837" i="51"/>
  <c r="B3838" i="51"/>
  <c r="B3839" i="51"/>
  <c r="B3840" i="51"/>
  <c r="B3841" i="51"/>
  <c r="B3842" i="51"/>
  <c r="B3843" i="51"/>
  <c r="B3844" i="51"/>
  <c r="B3845" i="51"/>
  <c r="B3846" i="51"/>
  <c r="B3847" i="51"/>
  <c r="B3848" i="51"/>
  <c r="B3849" i="51"/>
  <c r="B3850" i="51"/>
  <c r="B3851" i="51"/>
  <c r="B3852" i="51"/>
  <c r="B3853" i="51"/>
  <c r="B3854" i="51"/>
  <c r="B3855" i="51"/>
  <c r="B3856" i="51"/>
  <c r="B3857" i="51"/>
  <c r="B3858" i="51"/>
  <c r="B3859" i="51"/>
  <c r="B3860" i="51"/>
  <c r="B3861" i="51"/>
  <c r="B3862" i="51"/>
  <c r="B3863" i="51"/>
  <c r="B3864" i="51"/>
  <c r="B3865" i="51"/>
  <c r="B3866" i="51"/>
  <c r="B3867" i="51"/>
  <c r="B3868" i="51"/>
  <c r="B3869" i="51"/>
  <c r="B3870" i="51"/>
  <c r="B3871" i="51"/>
  <c r="B3872" i="51"/>
  <c r="B3873" i="51"/>
  <c r="B3874" i="51"/>
  <c r="B3875" i="51"/>
  <c r="B3876" i="51"/>
  <c r="B3877" i="51"/>
  <c r="B3878" i="51"/>
  <c r="B3879" i="51"/>
  <c r="B3880" i="51"/>
  <c r="B3881" i="51"/>
  <c r="B3882" i="51"/>
  <c r="B3883" i="51"/>
  <c r="B3884" i="51"/>
  <c r="B3885" i="51"/>
  <c r="B3886" i="51"/>
  <c r="B3887" i="51"/>
  <c r="B3888" i="51"/>
  <c r="B3889" i="51"/>
  <c r="B3890" i="51"/>
  <c r="B3891" i="51"/>
  <c r="B3892" i="51"/>
  <c r="B3893" i="51"/>
  <c r="B3894" i="51"/>
  <c r="B3895" i="51"/>
  <c r="B3896" i="51"/>
  <c r="B3897" i="51"/>
  <c r="B3898" i="51"/>
  <c r="B3899" i="51"/>
  <c r="B3900" i="51"/>
  <c r="B3901" i="51"/>
  <c r="B3902" i="51"/>
  <c r="B3903" i="51"/>
  <c r="B3904" i="51"/>
  <c r="B3905" i="51"/>
  <c r="B3906" i="51"/>
  <c r="B3907" i="51"/>
  <c r="B3908" i="51"/>
  <c r="B3909" i="51"/>
  <c r="B3910" i="51"/>
  <c r="B3911" i="51"/>
  <c r="B3912" i="51"/>
  <c r="B3913" i="51"/>
  <c r="B3914" i="51"/>
  <c r="B3915" i="51"/>
  <c r="B3916" i="51"/>
  <c r="B3917" i="51"/>
  <c r="B3918" i="51"/>
  <c r="B3919" i="51"/>
  <c r="B3920" i="51"/>
  <c r="B3921" i="51"/>
  <c r="B3922" i="51"/>
  <c r="B3923" i="51"/>
  <c r="B3924" i="51"/>
  <c r="B3925" i="51"/>
  <c r="B3926" i="51"/>
  <c r="B3927" i="51"/>
  <c r="B3928" i="51"/>
  <c r="B3929" i="51"/>
  <c r="B3930" i="51"/>
  <c r="B3931" i="51"/>
  <c r="B3932" i="51"/>
  <c r="B3933" i="51"/>
  <c r="B3934" i="51"/>
  <c r="B3935" i="51"/>
  <c r="B3936" i="51"/>
  <c r="B3937" i="51"/>
  <c r="B3938" i="51"/>
  <c r="B3939" i="51"/>
  <c r="B3940" i="51"/>
  <c r="B3941" i="51"/>
  <c r="B3942" i="51"/>
  <c r="B3943" i="51"/>
  <c r="B3944" i="51"/>
  <c r="B3945" i="51"/>
  <c r="B3946" i="51"/>
  <c r="B3947" i="51"/>
  <c r="B3948" i="51"/>
  <c r="B3949" i="51"/>
  <c r="B3950" i="51"/>
  <c r="B3951" i="51"/>
  <c r="B3952" i="51"/>
  <c r="B3953" i="51"/>
  <c r="B3954" i="51"/>
  <c r="B3955" i="51"/>
  <c r="B3956" i="51"/>
  <c r="B3957" i="51"/>
  <c r="B3958" i="51"/>
  <c r="B3959" i="51"/>
  <c r="B3960" i="51"/>
  <c r="B3961" i="51"/>
  <c r="B3962" i="51"/>
  <c r="B3963" i="51"/>
  <c r="B3964" i="51"/>
  <c r="B3965" i="51"/>
  <c r="B3966" i="51"/>
  <c r="B3967" i="51"/>
  <c r="B3968" i="51"/>
  <c r="B3969" i="51"/>
  <c r="B3970" i="51"/>
  <c r="B3971" i="51"/>
  <c r="B3972" i="51"/>
  <c r="B3973" i="51"/>
  <c r="B3974" i="51"/>
  <c r="B3975" i="51"/>
  <c r="B3976" i="51"/>
  <c r="B3977" i="51"/>
  <c r="B3978" i="51"/>
  <c r="B3979" i="51"/>
  <c r="B3980" i="51"/>
  <c r="B3981" i="51"/>
  <c r="B3982" i="51"/>
  <c r="B3983" i="51"/>
  <c r="B3984" i="51"/>
  <c r="B3985" i="51"/>
  <c r="B3986" i="51"/>
  <c r="B3987" i="51"/>
  <c r="B3988" i="51"/>
  <c r="B3989" i="51"/>
  <c r="B3990" i="51"/>
  <c r="B3991" i="51"/>
  <c r="B3992" i="51"/>
  <c r="B3993" i="51"/>
  <c r="B3994" i="51"/>
  <c r="B3995" i="51"/>
  <c r="B3996" i="51"/>
  <c r="B3997" i="51"/>
  <c r="B3998" i="51"/>
  <c r="B3999" i="51"/>
  <c r="B4000" i="51"/>
  <c r="B4001" i="51"/>
  <c r="B4002" i="51"/>
  <c r="B4003" i="51"/>
  <c r="B4004" i="51"/>
  <c r="B4005" i="51"/>
  <c r="B4006" i="51"/>
  <c r="B4007" i="51"/>
  <c r="B4008" i="51"/>
  <c r="B4009" i="51"/>
  <c r="B4010" i="51"/>
  <c r="B4011" i="51"/>
  <c r="B4012" i="51"/>
  <c r="B4013" i="51"/>
  <c r="B4014" i="51"/>
  <c r="B4015" i="51"/>
  <c r="B4016" i="51"/>
  <c r="B4017" i="51"/>
  <c r="B4018" i="51"/>
  <c r="B4019" i="51"/>
  <c r="B4020" i="51"/>
  <c r="B4021" i="51"/>
  <c r="B4022" i="51"/>
  <c r="B4023" i="51"/>
  <c r="B4024" i="51"/>
  <c r="B4025" i="51"/>
  <c r="B4026" i="51"/>
  <c r="B4027" i="51"/>
  <c r="B4028" i="51"/>
  <c r="B4029" i="51"/>
  <c r="B4030" i="51"/>
  <c r="B4031" i="51"/>
  <c r="B4032" i="51"/>
  <c r="B4033" i="51"/>
  <c r="B4034" i="51"/>
  <c r="B4035" i="51"/>
  <c r="B4036" i="51"/>
  <c r="B4037" i="51"/>
  <c r="B4038" i="51"/>
  <c r="B4039" i="51"/>
  <c r="B4040" i="51"/>
  <c r="B4041" i="51"/>
  <c r="B4042" i="51"/>
  <c r="B4043" i="51"/>
  <c r="B4044" i="51"/>
  <c r="B4045" i="51"/>
  <c r="B4046" i="51"/>
  <c r="B4047" i="51"/>
  <c r="B4048" i="51"/>
  <c r="B4049" i="51"/>
  <c r="B4050" i="51"/>
  <c r="B4051" i="51"/>
  <c r="B4052" i="51"/>
  <c r="B4053" i="51"/>
  <c r="B4054" i="51"/>
  <c r="B4055" i="51"/>
  <c r="B4056" i="51"/>
  <c r="B4057" i="51"/>
  <c r="B4058" i="51"/>
  <c r="B4059" i="51"/>
  <c r="B4060" i="51"/>
  <c r="B4061" i="51"/>
  <c r="B4062" i="51"/>
  <c r="B4063" i="51"/>
  <c r="B4064" i="51"/>
  <c r="B4065" i="51"/>
  <c r="B4066" i="51"/>
  <c r="B4067" i="51"/>
  <c r="B4068" i="51"/>
  <c r="B4069" i="51"/>
  <c r="B4070" i="51"/>
  <c r="B4071" i="51"/>
  <c r="B4072" i="51"/>
  <c r="B4073" i="51"/>
  <c r="B4074" i="51"/>
  <c r="B4075" i="51"/>
  <c r="B4076" i="51"/>
  <c r="B4077" i="51"/>
  <c r="B4078" i="51"/>
  <c r="B4079" i="51"/>
  <c r="B4080" i="51"/>
  <c r="B4081" i="51"/>
  <c r="B4082" i="51"/>
  <c r="B4083" i="51"/>
  <c r="B4084" i="51"/>
  <c r="B4085" i="51"/>
  <c r="B4086" i="51"/>
  <c r="B4087" i="51"/>
  <c r="B4088" i="51"/>
  <c r="B4089" i="51"/>
  <c r="B4090" i="51"/>
  <c r="B4091" i="51"/>
  <c r="B4092" i="51"/>
  <c r="B4093" i="51"/>
  <c r="B4094" i="51"/>
  <c r="B4095" i="51"/>
  <c r="B4096" i="51"/>
  <c r="B4097" i="51"/>
  <c r="B4098" i="51"/>
  <c r="B4099" i="51"/>
  <c r="B4100" i="51"/>
  <c r="B4101" i="51"/>
  <c r="B4102" i="51"/>
  <c r="B4103" i="51"/>
  <c r="B4104" i="51"/>
  <c r="B4105" i="51"/>
  <c r="B4106" i="51"/>
  <c r="B4107" i="51"/>
  <c r="B4108" i="51"/>
  <c r="B4109" i="51"/>
  <c r="B4110" i="51"/>
  <c r="B4111" i="51"/>
  <c r="B4112" i="51"/>
  <c r="B4113" i="51"/>
  <c r="B4114" i="51"/>
  <c r="B4115" i="51"/>
  <c r="B4116" i="51"/>
  <c r="B4117" i="51"/>
  <c r="B4118" i="51"/>
  <c r="B4119" i="51"/>
  <c r="B4120" i="51"/>
  <c r="B4121" i="51"/>
  <c r="B4122" i="51"/>
  <c r="B4123" i="51"/>
  <c r="B4124" i="51"/>
  <c r="B4125" i="51"/>
  <c r="B4126" i="51"/>
  <c r="B4127" i="51"/>
  <c r="B4128" i="51"/>
  <c r="B4129" i="51"/>
  <c r="B4130" i="51"/>
  <c r="B4131" i="51"/>
  <c r="B4132" i="51"/>
  <c r="B4133" i="51"/>
  <c r="B4134" i="51"/>
  <c r="B4135" i="51"/>
  <c r="B4136" i="51"/>
  <c r="B4137" i="51"/>
  <c r="B4138" i="51"/>
  <c r="B4139" i="51"/>
  <c r="B4140" i="51"/>
  <c r="B4141" i="51"/>
  <c r="B4142" i="51"/>
  <c r="B4143" i="51"/>
  <c r="B4144" i="51"/>
  <c r="B4145" i="51"/>
  <c r="B4146" i="51"/>
  <c r="B4147" i="51"/>
  <c r="B4148" i="51"/>
  <c r="B4149" i="51"/>
  <c r="B4150" i="51"/>
  <c r="B4151" i="51"/>
  <c r="B4152" i="51"/>
  <c r="B4153" i="51"/>
  <c r="B4154" i="51"/>
  <c r="B4155" i="51"/>
  <c r="B4156" i="51"/>
  <c r="B4157" i="51"/>
  <c r="B4158" i="51"/>
  <c r="B4159" i="51"/>
  <c r="B4160" i="51"/>
  <c r="B4161" i="51"/>
  <c r="B4162" i="51"/>
  <c r="B4163" i="51"/>
  <c r="B4164" i="51"/>
  <c r="B4165" i="51"/>
  <c r="B4166" i="51"/>
  <c r="B4167" i="51"/>
  <c r="B4168" i="51"/>
  <c r="B4169" i="51"/>
  <c r="B4170" i="51"/>
  <c r="B4171" i="51"/>
  <c r="B4172" i="51"/>
  <c r="B4173" i="51"/>
  <c r="B4174" i="51"/>
  <c r="B4175" i="51"/>
  <c r="B4176" i="51"/>
  <c r="B4177" i="51"/>
  <c r="B4178" i="51"/>
  <c r="B4179" i="51"/>
  <c r="B4180" i="51"/>
  <c r="B4181" i="51"/>
  <c r="B4182" i="51"/>
  <c r="B4183" i="51"/>
  <c r="B4184" i="51"/>
  <c r="B4185" i="51"/>
  <c r="B4186" i="51"/>
  <c r="B4187" i="51"/>
  <c r="B4188" i="51"/>
  <c r="B4189" i="51"/>
  <c r="B4190" i="51"/>
  <c r="B4191" i="51"/>
  <c r="B4192" i="51"/>
  <c r="B4193" i="51"/>
  <c r="B4194" i="51"/>
  <c r="B4195" i="51"/>
  <c r="B4196" i="51"/>
  <c r="B4197" i="51"/>
  <c r="B4198" i="51"/>
  <c r="B4199" i="51"/>
  <c r="B4200" i="51"/>
  <c r="B4201" i="51"/>
  <c r="B4202" i="51"/>
  <c r="B4203" i="51"/>
  <c r="B4204" i="51"/>
  <c r="B4205" i="51"/>
  <c r="B4206" i="51"/>
  <c r="B4207" i="51"/>
  <c r="B4208" i="51"/>
  <c r="B4209" i="51"/>
  <c r="B4210" i="51"/>
  <c r="B4211" i="51"/>
  <c r="B4212" i="51"/>
  <c r="B4213" i="51"/>
  <c r="B4214" i="51"/>
  <c r="B4215" i="51"/>
  <c r="B4216" i="51"/>
  <c r="B4217" i="51"/>
  <c r="B4218" i="51"/>
  <c r="B4219" i="51"/>
  <c r="B4220" i="51"/>
  <c r="B4221" i="51"/>
  <c r="B4222" i="51"/>
  <c r="B4223" i="51"/>
  <c r="B4224" i="51"/>
  <c r="B4225" i="51"/>
  <c r="B4226" i="51"/>
  <c r="B4227" i="51"/>
  <c r="B4228" i="51"/>
  <c r="B4229" i="51"/>
  <c r="B4230" i="51"/>
  <c r="B4231" i="51"/>
  <c r="B4232" i="51"/>
  <c r="B4233" i="51"/>
  <c r="B4234" i="51"/>
  <c r="B4235" i="51"/>
  <c r="B4236" i="51"/>
  <c r="B4237" i="51"/>
  <c r="B4238" i="51"/>
  <c r="B4239" i="51"/>
  <c r="B4240" i="51"/>
  <c r="B4241" i="51"/>
  <c r="B4242" i="51"/>
  <c r="B4243" i="51"/>
  <c r="B4244" i="51"/>
  <c r="B4245" i="51"/>
  <c r="B4246" i="51"/>
  <c r="B4247" i="51"/>
  <c r="B4248" i="51"/>
  <c r="B4249" i="51"/>
  <c r="B4250" i="51"/>
  <c r="B4251" i="51"/>
  <c r="B4252" i="51"/>
  <c r="B4253" i="51"/>
  <c r="B4254" i="51"/>
  <c r="B4255" i="51"/>
  <c r="B4256" i="51"/>
  <c r="B4257" i="51"/>
  <c r="B4258" i="51"/>
  <c r="B4259" i="51"/>
  <c r="B4260" i="51"/>
  <c r="B4261" i="51"/>
  <c r="B4262" i="51"/>
  <c r="B4263" i="51"/>
  <c r="B4264" i="51"/>
  <c r="B4265" i="51"/>
  <c r="B4266" i="51"/>
  <c r="B4267" i="51"/>
  <c r="B4268" i="51"/>
  <c r="B4269" i="51"/>
  <c r="B4270" i="51"/>
  <c r="B4271" i="51"/>
  <c r="B4272" i="51"/>
  <c r="B4273" i="51"/>
  <c r="B4274" i="51"/>
  <c r="B4275" i="51"/>
  <c r="B4276" i="51"/>
  <c r="B4277" i="51"/>
  <c r="B4278" i="51"/>
  <c r="B4279" i="51"/>
  <c r="B4280" i="51"/>
  <c r="B4281" i="51"/>
  <c r="B4282" i="51"/>
  <c r="B4283" i="51"/>
  <c r="B4284" i="51"/>
  <c r="B4285" i="51"/>
  <c r="B4286" i="51"/>
  <c r="B4287" i="51"/>
  <c r="B4288" i="51"/>
  <c r="B4289" i="51"/>
  <c r="B4290" i="51"/>
  <c r="B4291" i="51"/>
  <c r="B4292" i="51"/>
  <c r="B4293" i="51"/>
  <c r="B4294" i="51"/>
  <c r="B4295" i="51"/>
  <c r="B4296" i="51"/>
  <c r="B4297" i="51"/>
  <c r="B4298" i="51"/>
  <c r="B4299" i="51"/>
  <c r="B4300" i="51"/>
  <c r="B4301" i="51"/>
  <c r="B4302" i="51"/>
  <c r="B4303" i="51"/>
  <c r="B4304" i="51"/>
  <c r="B4305" i="51"/>
  <c r="B4306" i="51"/>
  <c r="B4307" i="51"/>
  <c r="B4308" i="51"/>
  <c r="B4309" i="51"/>
  <c r="B4310" i="51"/>
  <c r="B4311" i="51"/>
  <c r="B4312" i="51"/>
  <c r="B4313" i="51"/>
  <c r="B4314" i="51"/>
  <c r="B4315" i="51"/>
  <c r="B4316" i="51"/>
  <c r="B4317" i="51"/>
  <c r="B4318" i="51"/>
  <c r="B4319" i="51"/>
  <c r="B4320" i="51"/>
  <c r="B4321" i="51"/>
  <c r="B4322" i="51"/>
  <c r="B4323" i="51"/>
  <c r="B4324" i="51"/>
  <c r="B4325" i="51"/>
  <c r="B4326" i="51"/>
  <c r="B4327" i="51"/>
  <c r="B4328" i="51"/>
  <c r="B4329" i="51"/>
  <c r="B4330" i="51"/>
  <c r="B4331" i="51"/>
  <c r="B4332" i="51"/>
  <c r="B4333" i="51"/>
  <c r="B4334" i="51"/>
  <c r="B4335" i="51"/>
  <c r="B4336" i="51"/>
  <c r="B4337" i="51"/>
  <c r="B4338" i="51"/>
  <c r="B4339" i="51"/>
  <c r="B4340" i="51"/>
  <c r="B4341" i="51"/>
  <c r="B4342" i="51"/>
  <c r="B4343" i="51"/>
  <c r="B4344" i="51"/>
  <c r="B4345" i="51"/>
  <c r="B4346" i="51"/>
  <c r="B4347" i="51"/>
  <c r="B4348" i="51"/>
  <c r="B4349" i="51"/>
  <c r="B4350" i="51"/>
  <c r="B4351" i="51"/>
  <c r="B4352" i="51"/>
  <c r="B4353" i="51"/>
  <c r="B4354" i="51"/>
  <c r="B4355" i="51"/>
  <c r="B4356" i="51"/>
  <c r="B4357" i="51"/>
  <c r="B4358" i="51"/>
  <c r="B4359" i="51"/>
  <c r="B4360" i="51"/>
  <c r="B4361" i="51"/>
  <c r="B4362" i="51"/>
  <c r="B4363" i="51"/>
  <c r="B4364" i="51"/>
  <c r="B4365" i="51"/>
  <c r="B4366" i="51"/>
  <c r="B4367" i="51"/>
  <c r="B4368" i="51"/>
  <c r="B4369" i="51"/>
  <c r="B4370" i="51"/>
  <c r="B4371" i="51"/>
  <c r="B4372" i="51"/>
  <c r="B4373" i="51"/>
  <c r="B4374" i="51"/>
  <c r="B4375" i="51"/>
  <c r="B4376" i="51"/>
  <c r="B4377" i="51"/>
  <c r="B4378" i="51"/>
  <c r="B4379" i="51"/>
  <c r="B4380" i="51"/>
  <c r="B4381" i="51"/>
  <c r="B4382" i="51"/>
  <c r="B4383" i="51"/>
  <c r="B4384" i="51"/>
  <c r="B4385" i="51"/>
  <c r="B4386" i="51"/>
  <c r="B4387" i="51"/>
  <c r="B4388" i="51"/>
  <c r="B4389" i="51"/>
  <c r="B4390" i="51"/>
  <c r="B4391" i="51"/>
  <c r="B4392" i="51"/>
  <c r="B4393" i="51"/>
  <c r="B4394" i="51"/>
  <c r="B4395" i="51"/>
  <c r="B4396" i="51"/>
  <c r="B4397" i="51"/>
  <c r="B4398" i="51"/>
  <c r="B4399" i="51"/>
  <c r="B4400" i="51"/>
  <c r="B4401" i="51"/>
  <c r="B4402" i="51"/>
  <c r="B4403" i="51"/>
  <c r="B4404" i="51"/>
  <c r="B4405" i="51"/>
  <c r="B4406" i="51"/>
  <c r="B4407" i="51"/>
  <c r="B4408" i="51"/>
  <c r="B4409" i="51"/>
  <c r="B4410" i="51"/>
  <c r="B4411" i="51"/>
  <c r="B4412" i="51"/>
  <c r="B4413" i="51"/>
  <c r="B4414" i="51"/>
  <c r="B4415" i="51"/>
  <c r="B4416" i="51"/>
  <c r="B4417" i="51"/>
  <c r="B4418" i="51"/>
  <c r="B4419" i="51"/>
  <c r="B4420" i="51"/>
  <c r="B4421" i="51"/>
  <c r="B4422" i="51"/>
  <c r="B4423" i="51"/>
  <c r="B4424" i="51"/>
  <c r="B4425" i="51"/>
  <c r="B4426" i="51"/>
  <c r="B4427" i="51"/>
  <c r="B4428" i="51"/>
  <c r="B4429" i="51"/>
  <c r="B4430" i="51"/>
  <c r="B4431" i="51"/>
  <c r="B4432" i="51"/>
  <c r="B4433" i="51"/>
  <c r="B4434" i="51"/>
  <c r="B4435" i="51"/>
  <c r="B4436" i="51"/>
  <c r="B4437" i="51"/>
  <c r="B4438" i="51"/>
  <c r="B4439" i="51"/>
  <c r="B4440" i="51"/>
  <c r="B4441" i="51"/>
  <c r="B4442" i="51"/>
  <c r="B4443" i="51"/>
  <c r="B4444" i="51"/>
  <c r="B4445" i="51"/>
  <c r="B4446" i="51"/>
  <c r="B4447" i="51"/>
  <c r="B4448" i="51"/>
  <c r="B4449" i="51"/>
  <c r="B4450" i="51"/>
  <c r="B4451" i="51"/>
  <c r="B4452" i="51"/>
  <c r="B4453" i="51"/>
  <c r="B4454" i="51"/>
  <c r="B4455" i="51"/>
  <c r="B4456" i="51"/>
  <c r="B4457" i="51"/>
  <c r="B4458" i="51"/>
  <c r="B4459" i="51"/>
  <c r="B4460" i="51"/>
  <c r="B4461" i="51"/>
  <c r="B4462" i="51"/>
  <c r="B4463" i="51"/>
  <c r="B4464" i="51"/>
  <c r="B4465" i="51"/>
  <c r="B4466" i="51"/>
  <c r="B4467" i="51"/>
  <c r="B4468" i="51"/>
  <c r="B4469" i="51"/>
  <c r="B4470" i="51"/>
  <c r="B4471" i="51"/>
  <c r="B4472" i="51"/>
  <c r="B4473" i="51"/>
  <c r="B4474" i="51"/>
  <c r="B4475" i="51"/>
  <c r="B4476" i="51"/>
  <c r="B4477" i="51"/>
  <c r="B4478" i="51"/>
  <c r="B4479" i="51"/>
  <c r="B4480" i="51"/>
  <c r="B4481" i="51"/>
  <c r="B4482" i="51"/>
  <c r="B4483" i="51"/>
  <c r="B4484" i="51"/>
  <c r="B4485" i="51"/>
  <c r="B4486" i="51"/>
  <c r="B4487" i="51"/>
  <c r="B4488" i="51"/>
  <c r="B4489" i="51"/>
  <c r="B4490" i="51"/>
  <c r="B4491" i="51"/>
  <c r="B4492" i="51"/>
  <c r="B4493" i="51"/>
  <c r="B4494" i="51"/>
  <c r="B4495" i="51"/>
  <c r="B4496" i="51"/>
  <c r="B4497" i="51"/>
  <c r="B4498" i="51"/>
  <c r="B4499" i="51"/>
  <c r="B4500" i="51"/>
  <c r="B4501" i="51"/>
  <c r="B4502" i="51"/>
  <c r="B4503" i="51"/>
  <c r="B4504" i="51"/>
  <c r="B4505" i="51"/>
  <c r="B4506" i="51"/>
  <c r="B4507" i="51"/>
  <c r="B4508" i="51"/>
  <c r="B4509" i="51"/>
  <c r="B4510" i="51"/>
  <c r="B4511" i="51"/>
  <c r="B4512" i="51"/>
  <c r="B4513" i="51"/>
  <c r="B4514" i="51"/>
  <c r="B4515" i="51"/>
  <c r="B4516" i="51"/>
  <c r="B4517" i="51"/>
  <c r="B4518" i="51"/>
  <c r="B4519" i="51"/>
  <c r="B4520" i="51"/>
  <c r="B4521" i="51"/>
  <c r="B4522" i="51"/>
  <c r="B4523" i="51"/>
  <c r="B4524" i="51"/>
  <c r="B4525" i="51"/>
  <c r="B4526" i="51"/>
  <c r="B4527" i="51"/>
  <c r="B4528" i="51"/>
  <c r="B4529" i="51"/>
  <c r="B4530" i="51"/>
  <c r="B4531" i="51"/>
  <c r="B4532" i="51"/>
  <c r="B4533" i="51"/>
  <c r="B4534" i="51"/>
  <c r="B4535" i="51"/>
  <c r="B4536" i="51"/>
  <c r="B4537" i="51"/>
  <c r="B4538" i="51"/>
  <c r="B4539" i="51"/>
  <c r="B4540" i="51"/>
  <c r="B4541" i="51"/>
  <c r="B4542" i="51"/>
  <c r="B4543" i="51"/>
  <c r="B4544" i="51"/>
  <c r="B4545" i="51"/>
  <c r="B4546" i="51"/>
  <c r="B4547" i="51"/>
  <c r="B4548" i="51"/>
  <c r="B4549" i="51"/>
  <c r="B4550" i="51"/>
  <c r="B4551" i="51"/>
  <c r="B4552" i="51"/>
  <c r="B4553" i="51"/>
  <c r="B4554" i="51"/>
  <c r="B4555" i="51"/>
  <c r="B4556" i="51"/>
  <c r="B4557" i="51"/>
  <c r="B4558" i="51"/>
  <c r="B4559" i="51"/>
  <c r="B4560" i="51"/>
  <c r="B4561" i="51"/>
  <c r="B4562" i="51"/>
  <c r="B4563" i="51"/>
  <c r="B4564" i="51"/>
  <c r="B4565" i="51"/>
  <c r="B4566" i="51"/>
  <c r="B4567" i="51"/>
  <c r="B4568" i="51"/>
  <c r="B4569" i="51"/>
  <c r="B4570" i="51"/>
  <c r="B4571" i="51"/>
  <c r="B4572" i="51"/>
  <c r="B4573" i="51"/>
  <c r="B4574" i="51"/>
  <c r="B4575" i="51"/>
  <c r="B4576" i="51"/>
  <c r="B4577" i="51"/>
  <c r="B4578" i="51"/>
  <c r="B4579" i="51"/>
  <c r="B4580" i="51"/>
  <c r="B4581" i="51"/>
  <c r="B4582" i="51"/>
  <c r="B4583" i="51"/>
  <c r="B4584" i="51"/>
  <c r="B4585" i="51"/>
  <c r="B4586" i="51"/>
  <c r="B4587" i="51"/>
  <c r="B4588" i="51"/>
  <c r="B4589" i="51"/>
  <c r="B4590" i="51"/>
  <c r="B4591" i="51"/>
  <c r="B4592" i="51"/>
  <c r="B4593" i="51"/>
  <c r="B4594" i="51"/>
  <c r="B4595" i="51"/>
  <c r="B4596" i="51"/>
  <c r="B4597" i="51"/>
  <c r="B4598" i="51"/>
  <c r="B4599" i="51"/>
  <c r="B4600" i="51"/>
  <c r="B4601" i="51"/>
  <c r="B4602" i="51"/>
  <c r="B4603" i="51"/>
  <c r="B4604" i="51"/>
  <c r="B4605" i="51"/>
  <c r="B4606" i="51"/>
  <c r="B4607" i="51"/>
  <c r="B4608" i="51"/>
  <c r="B4609" i="51"/>
  <c r="B4610" i="51"/>
  <c r="B4611" i="51"/>
  <c r="B4612" i="51"/>
  <c r="B4613" i="51"/>
  <c r="B4614" i="51"/>
  <c r="B4615" i="51"/>
  <c r="B4616" i="51"/>
  <c r="B4617" i="51"/>
  <c r="B4618" i="51"/>
  <c r="B4619" i="51"/>
  <c r="B4620" i="51"/>
  <c r="B4621" i="51"/>
  <c r="B4622" i="51"/>
  <c r="B4623" i="51"/>
  <c r="B4624" i="51"/>
  <c r="B4625" i="51"/>
  <c r="B4626" i="51"/>
  <c r="B4627" i="51"/>
  <c r="B4628" i="51"/>
  <c r="B4629" i="51"/>
  <c r="B4630" i="51"/>
  <c r="B4631" i="51"/>
  <c r="B4632" i="51"/>
  <c r="B4633" i="51"/>
  <c r="B4634" i="51"/>
  <c r="B4635" i="51"/>
  <c r="B4636" i="51"/>
  <c r="B4637" i="51"/>
  <c r="B4638" i="51"/>
  <c r="B4639" i="51"/>
  <c r="B4640" i="51"/>
  <c r="B4641" i="51"/>
  <c r="B4642" i="51"/>
  <c r="B4643" i="51"/>
  <c r="B4644" i="51"/>
  <c r="B4645" i="51"/>
  <c r="B4646" i="51"/>
  <c r="B4647" i="51"/>
  <c r="B4648" i="51"/>
  <c r="B4649" i="51"/>
  <c r="B4650" i="51"/>
  <c r="B4651" i="51"/>
  <c r="B4652" i="51"/>
  <c r="B4653" i="51"/>
  <c r="B4654" i="51"/>
  <c r="B4655" i="51"/>
  <c r="B4656" i="51"/>
  <c r="B4657" i="51"/>
  <c r="B4658" i="51"/>
  <c r="B4659" i="51"/>
  <c r="B4660" i="51"/>
  <c r="B4661" i="51"/>
  <c r="B4662" i="51"/>
  <c r="B4663" i="51"/>
  <c r="B4664" i="51"/>
  <c r="B4665" i="51"/>
  <c r="B4666" i="51"/>
  <c r="B4667" i="51"/>
  <c r="B4668" i="51"/>
  <c r="B4669" i="51"/>
  <c r="B4670" i="51"/>
  <c r="B4671" i="51"/>
  <c r="B4672" i="51"/>
  <c r="B4673" i="51"/>
  <c r="B4674" i="51"/>
  <c r="B4675" i="51"/>
  <c r="B4676" i="51"/>
  <c r="B4677" i="51"/>
  <c r="B4678" i="51"/>
  <c r="B4679" i="51"/>
  <c r="B4680" i="51"/>
  <c r="B4681" i="51"/>
  <c r="B4682" i="51"/>
  <c r="B4683" i="51"/>
  <c r="B4684" i="51"/>
  <c r="B4685" i="51"/>
  <c r="B4686" i="51"/>
  <c r="B4687" i="51"/>
  <c r="B4688" i="51"/>
  <c r="B4689" i="51"/>
  <c r="B4690" i="51"/>
  <c r="B4691" i="51"/>
  <c r="B4692" i="51"/>
  <c r="B4693" i="51"/>
  <c r="B4694" i="51"/>
  <c r="B4695" i="51"/>
  <c r="B4696" i="51"/>
  <c r="B4697" i="51"/>
  <c r="B4698" i="51"/>
  <c r="B4699" i="51"/>
  <c r="B4700" i="51"/>
  <c r="B4701" i="51"/>
  <c r="B4702" i="51"/>
  <c r="B4703" i="51"/>
  <c r="B4704" i="51"/>
  <c r="B4705" i="51"/>
  <c r="B4706" i="51"/>
  <c r="B4707" i="51"/>
  <c r="B4708" i="51"/>
  <c r="B4709" i="51"/>
  <c r="B4710" i="51"/>
  <c r="B4711" i="51"/>
  <c r="B4712" i="51"/>
  <c r="B4713" i="51"/>
  <c r="B4714" i="51"/>
  <c r="B4715" i="51"/>
  <c r="B4716" i="51"/>
  <c r="B4717" i="51"/>
  <c r="B4718" i="51"/>
  <c r="B4719" i="51"/>
  <c r="B4720" i="51"/>
  <c r="B4721" i="51"/>
  <c r="B4722" i="51"/>
  <c r="B4723" i="51"/>
  <c r="B4724" i="51"/>
  <c r="B4725" i="51"/>
  <c r="B4726" i="51"/>
  <c r="B4727" i="51"/>
  <c r="B4728" i="51"/>
  <c r="B4729" i="51"/>
  <c r="B4730" i="51"/>
  <c r="B4731" i="51"/>
  <c r="B4732" i="51"/>
  <c r="B4733" i="51"/>
  <c r="B4734" i="51"/>
  <c r="B4735" i="51"/>
  <c r="B4736" i="51"/>
  <c r="B4737" i="51"/>
  <c r="B4738" i="51"/>
  <c r="B4739" i="51"/>
  <c r="B4740" i="51"/>
  <c r="B4741" i="51"/>
  <c r="B4742" i="51"/>
  <c r="B4743" i="51"/>
  <c r="B4744" i="51"/>
  <c r="B4745" i="51"/>
  <c r="B4746" i="51"/>
  <c r="B4747" i="51"/>
  <c r="B4748" i="51"/>
  <c r="B4749" i="51"/>
  <c r="B4750" i="51"/>
  <c r="B4751" i="51"/>
  <c r="B4752" i="51"/>
  <c r="B4753" i="51"/>
  <c r="B4754" i="51"/>
  <c r="B4755" i="51"/>
  <c r="B4756" i="51"/>
  <c r="B4757" i="51"/>
  <c r="B4758" i="51"/>
  <c r="B4759" i="51"/>
  <c r="B4760" i="51"/>
  <c r="B4761" i="51"/>
  <c r="B4762" i="51"/>
  <c r="B4763" i="51"/>
  <c r="B4764" i="51"/>
  <c r="B4765" i="51"/>
  <c r="B4766" i="51"/>
  <c r="B4767" i="51"/>
  <c r="B4768" i="51"/>
  <c r="B4769" i="51"/>
  <c r="B4770" i="51"/>
  <c r="B4771" i="51"/>
  <c r="B4772" i="51"/>
  <c r="B4773" i="51"/>
  <c r="B4774" i="51"/>
  <c r="B4775" i="51"/>
  <c r="B4776" i="51"/>
  <c r="B4777" i="51"/>
  <c r="B4778" i="51"/>
  <c r="B4779" i="51"/>
  <c r="B4780" i="51"/>
  <c r="B4781" i="51"/>
  <c r="B4782" i="51"/>
  <c r="B4783" i="51"/>
  <c r="B4784" i="51"/>
  <c r="B4785" i="51"/>
  <c r="B4786" i="51"/>
  <c r="B4787" i="51"/>
  <c r="B4788" i="51"/>
  <c r="B4789" i="51"/>
  <c r="B4790" i="51"/>
  <c r="B4791" i="51"/>
  <c r="B4792" i="51"/>
  <c r="B4793" i="51"/>
  <c r="B4794" i="51"/>
  <c r="B4795" i="51"/>
  <c r="B4796" i="51"/>
  <c r="B4797" i="51"/>
  <c r="B4798" i="51"/>
  <c r="B4799" i="51"/>
  <c r="B4800" i="51"/>
  <c r="B4801" i="51"/>
  <c r="B4802" i="51"/>
  <c r="B4803" i="51"/>
  <c r="B4804" i="51"/>
  <c r="B4805" i="51"/>
  <c r="B4806" i="51"/>
  <c r="B4807" i="51"/>
  <c r="B4808" i="51"/>
  <c r="B4809" i="51"/>
  <c r="B4810" i="51"/>
  <c r="B4811" i="51"/>
  <c r="B4812" i="51"/>
  <c r="B4813" i="51"/>
  <c r="B4814" i="51"/>
  <c r="B4815" i="51"/>
  <c r="B4816" i="51"/>
  <c r="B4817" i="51"/>
  <c r="B4818" i="51"/>
  <c r="B4819" i="51"/>
  <c r="B4820" i="51"/>
  <c r="B4821" i="51"/>
  <c r="B4822" i="51"/>
  <c r="B4823" i="51"/>
  <c r="B4824" i="51"/>
  <c r="B4825" i="51"/>
  <c r="B4826" i="51"/>
  <c r="B4827" i="51"/>
  <c r="B4828" i="51"/>
  <c r="B4829" i="51"/>
  <c r="B4830" i="51"/>
  <c r="B4831" i="51"/>
  <c r="B4832" i="51"/>
  <c r="B4833" i="51"/>
  <c r="B4834" i="51"/>
  <c r="B4835" i="51"/>
  <c r="B4836" i="51"/>
  <c r="B4837" i="51"/>
  <c r="B4838" i="51"/>
  <c r="B4839" i="51"/>
  <c r="B4840" i="51"/>
  <c r="B4841" i="51"/>
  <c r="B4842" i="51"/>
  <c r="B4843" i="51"/>
  <c r="B4844" i="51"/>
  <c r="B4845" i="51"/>
  <c r="B4846" i="51"/>
  <c r="B4847" i="51"/>
  <c r="B4848" i="51"/>
  <c r="B4849" i="51"/>
  <c r="B4850" i="51"/>
  <c r="B4851" i="51"/>
  <c r="B4852" i="51"/>
  <c r="B4853" i="51"/>
  <c r="B4854" i="51"/>
  <c r="B4855" i="51"/>
  <c r="B4856" i="51"/>
  <c r="B4857" i="51"/>
  <c r="B4858" i="51"/>
  <c r="B4859" i="51"/>
  <c r="B4860" i="51"/>
  <c r="B4861" i="51"/>
  <c r="B4862" i="51"/>
  <c r="B4863" i="51"/>
  <c r="B4864" i="51"/>
  <c r="B4865" i="51"/>
  <c r="B4866" i="51"/>
  <c r="B4867" i="51"/>
  <c r="B4868" i="51"/>
  <c r="B4869" i="51"/>
  <c r="B4870" i="51"/>
  <c r="B4871" i="51"/>
  <c r="B4872" i="51"/>
  <c r="B4873" i="51"/>
  <c r="B4874" i="51"/>
  <c r="B4875" i="51"/>
  <c r="B4876" i="51"/>
  <c r="B4877" i="51"/>
  <c r="B4878" i="51"/>
  <c r="B4879" i="51"/>
  <c r="B4880" i="51"/>
  <c r="B4881" i="51"/>
  <c r="B4882" i="51"/>
  <c r="B4883" i="51"/>
  <c r="B4884" i="51"/>
  <c r="B4885" i="51"/>
  <c r="B4886" i="51"/>
  <c r="B4887" i="51"/>
  <c r="B4888" i="51"/>
  <c r="B4889" i="51"/>
  <c r="B4890" i="51"/>
  <c r="B4891" i="51"/>
  <c r="B4892" i="51"/>
  <c r="B4893" i="51"/>
  <c r="B4894" i="51"/>
  <c r="B4895" i="51"/>
  <c r="B4896" i="51"/>
  <c r="B4897" i="51"/>
  <c r="B4898" i="51"/>
  <c r="B4899" i="51"/>
  <c r="B4900" i="51"/>
  <c r="B4901" i="51"/>
  <c r="B4902" i="51"/>
  <c r="B4903" i="51"/>
  <c r="B4904" i="51"/>
  <c r="B4905" i="51"/>
  <c r="B4906" i="51"/>
  <c r="B4907" i="51"/>
  <c r="B4908" i="51"/>
  <c r="B4909" i="51"/>
  <c r="B4910" i="51"/>
  <c r="B4911" i="51"/>
  <c r="B4912" i="51"/>
  <c r="B4913" i="51"/>
  <c r="B4914" i="51"/>
  <c r="B4915" i="51"/>
  <c r="B4916" i="51"/>
  <c r="B4917" i="51"/>
  <c r="B4918" i="51"/>
  <c r="B4919" i="51"/>
  <c r="B4920" i="51"/>
  <c r="B4921" i="51"/>
  <c r="B4922" i="51"/>
  <c r="B4923" i="51"/>
  <c r="B4924" i="51"/>
  <c r="B4925" i="51"/>
  <c r="B4926" i="51"/>
  <c r="B4927" i="51"/>
  <c r="B4928" i="51"/>
  <c r="B4929" i="51"/>
  <c r="B4930" i="51"/>
  <c r="B4931" i="51"/>
  <c r="B4932" i="51"/>
  <c r="B4933" i="51"/>
  <c r="B4934" i="51"/>
  <c r="B4935" i="51"/>
  <c r="B4936" i="51"/>
  <c r="B4937" i="51"/>
  <c r="B4938" i="51"/>
  <c r="B4939" i="51"/>
  <c r="B4940" i="51"/>
  <c r="B4941" i="51"/>
  <c r="B4942" i="51"/>
  <c r="B4943" i="51"/>
  <c r="B4944" i="51"/>
  <c r="B4945" i="51"/>
  <c r="B4946" i="51"/>
  <c r="B4947" i="51"/>
  <c r="B4948" i="51"/>
  <c r="B4949" i="51"/>
  <c r="B4950" i="51"/>
  <c r="B4951" i="51"/>
  <c r="B4952" i="51"/>
  <c r="B4953" i="51"/>
  <c r="B4954" i="51"/>
  <c r="B4955" i="51"/>
  <c r="B4956" i="51"/>
  <c r="B4957" i="51"/>
  <c r="B4958" i="51"/>
  <c r="B4959" i="51"/>
  <c r="B4960" i="51"/>
  <c r="B4961" i="51"/>
  <c r="B4962" i="51"/>
  <c r="B4963" i="51"/>
  <c r="B4964" i="51"/>
  <c r="B4965" i="51"/>
  <c r="B4966" i="51"/>
  <c r="B4967" i="51"/>
  <c r="B4968" i="51"/>
  <c r="B4969" i="51"/>
  <c r="B4970" i="51"/>
  <c r="B4971" i="51"/>
  <c r="B4972" i="51"/>
  <c r="B4973" i="51"/>
  <c r="B4974" i="51"/>
  <c r="B4975" i="51"/>
  <c r="B4976" i="51"/>
  <c r="B4977" i="51"/>
  <c r="B4978" i="51"/>
  <c r="B4979" i="51"/>
  <c r="B4980" i="51"/>
  <c r="B4981" i="51"/>
  <c r="B4982" i="51"/>
  <c r="B4983" i="51"/>
  <c r="B4984" i="51"/>
  <c r="B4985" i="51"/>
  <c r="B4986" i="51"/>
  <c r="B4987" i="51"/>
  <c r="B4988" i="51"/>
  <c r="B4989" i="51"/>
  <c r="B4990" i="51"/>
  <c r="B4991" i="51"/>
  <c r="B4992" i="51"/>
  <c r="B4993" i="51"/>
  <c r="B4994" i="51"/>
  <c r="B4995" i="51"/>
  <c r="B4996" i="51"/>
  <c r="B4997" i="51"/>
  <c r="B4998" i="51"/>
  <c r="B4999" i="51"/>
  <c r="B5000" i="51"/>
  <c r="B5001" i="51"/>
  <c r="B5002" i="51"/>
  <c r="B5003" i="51"/>
  <c r="B5004" i="51"/>
  <c r="B5005" i="51"/>
  <c r="B5006" i="51"/>
  <c r="B5007" i="51"/>
  <c r="C2008" i="51"/>
  <c r="C2009" i="51"/>
  <c r="C2010" i="51"/>
  <c r="C2011" i="51"/>
  <c r="C2012" i="51"/>
  <c r="C2013" i="51"/>
  <c r="C2014" i="51"/>
  <c r="C2015" i="51"/>
  <c r="C2016" i="51"/>
  <c r="C2017" i="51"/>
  <c r="C2018" i="51"/>
  <c r="C2019" i="51"/>
  <c r="C2020" i="51"/>
  <c r="C2021" i="51"/>
  <c r="C2022" i="51"/>
  <c r="C2023" i="51"/>
  <c r="C2024" i="51"/>
  <c r="C2025" i="51"/>
  <c r="C2026" i="51"/>
  <c r="C2027" i="51"/>
  <c r="C2028" i="51"/>
  <c r="C2029" i="51"/>
  <c r="C2030" i="51"/>
  <c r="C2031" i="51"/>
  <c r="C2032" i="51"/>
  <c r="C2033" i="51"/>
  <c r="C2034" i="51"/>
  <c r="C2035" i="51"/>
  <c r="C2036" i="51"/>
  <c r="C2037" i="51"/>
  <c r="C2038" i="51"/>
  <c r="C2039" i="51"/>
  <c r="C2040" i="51"/>
  <c r="C2041" i="51"/>
  <c r="C2042" i="51"/>
  <c r="C2043" i="51"/>
  <c r="C2044" i="51"/>
  <c r="C2045" i="51"/>
  <c r="C2046" i="51"/>
  <c r="C2047" i="51"/>
  <c r="C2048" i="51"/>
  <c r="C2049" i="51"/>
  <c r="C2050" i="51"/>
  <c r="C2051" i="51"/>
  <c r="C2052" i="51"/>
  <c r="C2053" i="51"/>
  <c r="C2054" i="51"/>
  <c r="C2055" i="51"/>
  <c r="C2056" i="51"/>
  <c r="C2057" i="51"/>
  <c r="C2058" i="51"/>
  <c r="C2059" i="51"/>
  <c r="C2060" i="51"/>
  <c r="C2061" i="51"/>
  <c r="C2062" i="51"/>
  <c r="C2063" i="51"/>
  <c r="C2064" i="51"/>
  <c r="C2065" i="51"/>
  <c r="C2066" i="51"/>
  <c r="C2067" i="51"/>
  <c r="C2068" i="51"/>
  <c r="C2069" i="51"/>
  <c r="C2070" i="51"/>
  <c r="C2071" i="51"/>
  <c r="C2072" i="51"/>
  <c r="C2073" i="51"/>
  <c r="C2074" i="51"/>
  <c r="C2075" i="51"/>
  <c r="C2076" i="51"/>
  <c r="C2077" i="51"/>
  <c r="C2078" i="51"/>
  <c r="C2079" i="51"/>
  <c r="C2080" i="51"/>
  <c r="C2081" i="51"/>
  <c r="C2082" i="51"/>
  <c r="C2083" i="51"/>
  <c r="C2084" i="51"/>
  <c r="C2085" i="51"/>
  <c r="C2086" i="51"/>
  <c r="C2087" i="51"/>
  <c r="C2088" i="51"/>
  <c r="C2089" i="51"/>
  <c r="C2090" i="51"/>
  <c r="C2091" i="51"/>
  <c r="C2092" i="51"/>
  <c r="C2093" i="51"/>
  <c r="C2094" i="51"/>
  <c r="C2095" i="51"/>
  <c r="C2096" i="51"/>
  <c r="C2097" i="51"/>
  <c r="C2098" i="51"/>
  <c r="C2099" i="51"/>
  <c r="C2100" i="51"/>
  <c r="C2101" i="51"/>
  <c r="C2102" i="51"/>
  <c r="C2103" i="51"/>
  <c r="C2104" i="51"/>
  <c r="C2105" i="51"/>
  <c r="C2106" i="51"/>
  <c r="C2107" i="51"/>
  <c r="C2108" i="51"/>
  <c r="C2109" i="51"/>
  <c r="C2110" i="51"/>
  <c r="C2111" i="51"/>
  <c r="C2112" i="51"/>
  <c r="C2113" i="51"/>
  <c r="C2114" i="51"/>
  <c r="C2115" i="51"/>
  <c r="C2116" i="51"/>
  <c r="C2117" i="51"/>
  <c r="C2118" i="51"/>
  <c r="C2119" i="51"/>
  <c r="C2120" i="51"/>
  <c r="C2121" i="51"/>
  <c r="C2122" i="51"/>
  <c r="C2123" i="51"/>
  <c r="C2124" i="51"/>
  <c r="C2125" i="51"/>
  <c r="C2126" i="51"/>
  <c r="C2127" i="51"/>
  <c r="C2128" i="51"/>
  <c r="C2129" i="51"/>
  <c r="C2130" i="51"/>
  <c r="C2131" i="51"/>
  <c r="C2132" i="51"/>
  <c r="C2133" i="51"/>
  <c r="C2134" i="51"/>
  <c r="C2135" i="51"/>
  <c r="C2136" i="51"/>
  <c r="C2137" i="51"/>
  <c r="C2138" i="51"/>
  <c r="C2139" i="51"/>
  <c r="C2140" i="51"/>
  <c r="C2141" i="51"/>
  <c r="C2142" i="51"/>
  <c r="C2143" i="51"/>
  <c r="C2144" i="51"/>
  <c r="C2145" i="51"/>
  <c r="C2146" i="51"/>
  <c r="C2147" i="51"/>
  <c r="C2148" i="51"/>
  <c r="C2149" i="51"/>
  <c r="C2150" i="51"/>
  <c r="C2151" i="51"/>
  <c r="C2152" i="51"/>
  <c r="C2153" i="51"/>
  <c r="C2154" i="51"/>
  <c r="C2155" i="51"/>
  <c r="C2156" i="51"/>
  <c r="C2157" i="51"/>
  <c r="C2158" i="51"/>
  <c r="C2159" i="51"/>
  <c r="C2160" i="51"/>
  <c r="C2161" i="51"/>
  <c r="C2162" i="51"/>
  <c r="C2163" i="51"/>
  <c r="C2164" i="51"/>
  <c r="C2165" i="51"/>
  <c r="C2166" i="51"/>
  <c r="C2167" i="51"/>
  <c r="C2168" i="51"/>
  <c r="C2169" i="51"/>
  <c r="C2170" i="51"/>
  <c r="C2171" i="51"/>
  <c r="C2172" i="51"/>
  <c r="C2173" i="51"/>
  <c r="C2174" i="51"/>
  <c r="C2175" i="51"/>
  <c r="C2176" i="51"/>
  <c r="C2177" i="51"/>
  <c r="C2178" i="51"/>
  <c r="C2179" i="51"/>
  <c r="C2180" i="51"/>
  <c r="C2181" i="51"/>
  <c r="C2182" i="51"/>
  <c r="C2183" i="51"/>
  <c r="C2184" i="51"/>
  <c r="C2185" i="51"/>
  <c r="C2186" i="51"/>
  <c r="C2187" i="51"/>
  <c r="C2188" i="51"/>
  <c r="C2189" i="51"/>
  <c r="C2190" i="51"/>
  <c r="C2191" i="51"/>
  <c r="C2192" i="51"/>
  <c r="C2193" i="51"/>
  <c r="C2194" i="51"/>
  <c r="C2195" i="51"/>
  <c r="C2196" i="51"/>
  <c r="C2197" i="51"/>
  <c r="C2198" i="51"/>
  <c r="C2199" i="51"/>
  <c r="C2200" i="51"/>
  <c r="C2201" i="51"/>
  <c r="C2202" i="51"/>
  <c r="C2203" i="51"/>
  <c r="C2204" i="51"/>
  <c r="C2205" i="51"/>
  <c r="C2206" i="51"/>
  <c r="C2207" i="51"/>
  <c r="C2208" i="51"/>
  <c r="C2209" i="51"/>
  <c r="C2210" i="51"/>
  <c r="C2211" i="51"/>
  <c r="C2212" i="51"/>
  <c r="C2213" i="51"/>
  <c r="C2214" i="51"/>
  <c r="C2215" i="51"/>
  <c r="C2216" i="51"/>
  <c r="C2217" i="51"/>
  <c r="C2218" i="51"/>
  <c r="C2219" i="51"/>
  <c r="C2220" i="51"/>
  <c r="C2221" i="51"/>
  <c r="C2222" i="51"/>
  <c r="C2223" i="51"/>
  <c r="C2224" i="51"/>
  <c r="C2225" i="51"/>
  <c r="C2226" i="51"/>
  <c r="C2227" i="51"/>
  <c r="C2228" i="51"/>
  <c r="C2229" i="51"/>
  <c r="C2230" i="51"/>
  <c r="C2231" i="51"/>
  <c r="C2232" i="51"/>
  <c r="C2233" i="51"/>
  <c r="C2234" i="51"/>
  <c r="C2235" i="51"/>
  <c r="C2236" i="51"/>
  <c r="C2237" i="51"/>
  <c r="C2238" i="51"/>
  <c r="C2239" i="51"/>
  <c r="C2240" i="51"/>
  <c r="C2241" i="51"/>
  <c r="C2242" i="51"/>
  <c r="C2243" i="51"/>
  <c r="C2244" i="51"/>
  <c r="C2245" i="51"/>
  <c r="C2246" i="51"/>
  <c r="C2247" i="51"/>
  <c r="C2248" i="51"/>
  <c r="C2249" i="51"/>
  <c r="C2250" i="51"/>
  <c r="C2251" i="51"/>
  <c r="C2252" i="51"/>
  <c r="C2253" i="51"/>
  <c r="C2254" i="51"/>
  <c r="C2255" i="51"/>
  <c r="C2256" i="51"/>
  <c r="C2257" i="51"/>
  <c r="C2258" i="51"/>
  <c r="C2259" i="51"/>
  <c r="C2260" i="51"/>
  <c r="C2261" i="51"/>
  <c r="C2262" i="51"/>
  <c r="C2263" i="51"/>
  <c r="C2264" i="51"/>
  <c r="C2265" i="51"/>
  <c r="C2266" i="51"/>
  <c r="C2267" i="51"/>
  <c r="C2268" i="51"/>
  <c r="C2269" i="51"/>
  <c r="C2270" i="51"/>
  <c r="C2271" i="51"/>
  <c r="C2272" i="51"/>
  <c r="C2273" i="51"/>
  <c r="C2274" i="51"/>
  <c r="C2275" i="51"/>
  <c r="C2276" i="51"/>
  <c r="C2277" i="51"/>
  <c r="C2278" i="51"/>
  <c r="C2279" i="51"/>
  <c r="C2280" i="51"/>
  <c r="C2281" i="51"/>
  <c r="C2282" i="51"/>
  <c r="C2283" i="51"/>
  <c r="C2284" i="51"/>
  <c r="C2285" i="51"/>
  <c r="C2286" i="51"/>
  <c r="C2287" i="51"/>
  <c r="C2288" i="51"/>
  <c r="C2289" i="51"/>
  <c r="C2290" i="51"/>
  <c r="C2291" i="51"/>
  <c r="C2292" i="51"/>
  <c r="C2293" i="51"/>
  <c r="C2294" i="51"/>
  <c r="C2295" i="51"/>
  <c r="C2296" i="51"/>
  <c r="C2297" i="51"/>
  <c r="C2298" i="51"/>
  <c r="C2299" i="51"/>
  <c r="C2300" i="51"/>
  <c r="C2301" i="51"/>
  <c r="C2302" i="51"/>
  <c r="C2303" i="51"/>
  <c r="C2304" i="51"/>
  <c r="C2305" i="51"/>
  <c r="C2306" i="51"/>
  <c r="C2307" i="51"/>
  <c r="C2308" i="51"/>
  <c r="C2309" i="51"/>
  <c r="C2310" i="51"/>
  <c r="C2311" i="51"/>
  <c r="C2312" i="51"/>
  <c r="C2313" i="51"/>
  <c r="C2314" i="51"/>
  <c r="C2315" i="51"/>
  <c r="C2316" i="51"/>
  <c r="C2317" i="51"/>
  <c r="C2318" i="51"/>
  <c r="C2319" i="51"/>
  <c r="C2320" i="51"/>
  <c r="C2321" i="51"/>
  <c r="C2322" i="51"/>
  <c r="C2323" i="51"/>
  <c r="C2324" i="51"/>
  <c r="C2325" i="51"/>
  <c r="C2326" i="51"/>
  <c r="C2327" i="51"/>
  <c r="C2328" i="51"/>
  <c r="C2329" i="51"/>
  <c r="C2330" i="51"/>
  <c r="C2331" i="51"/>
  <c r="C2332" i="51"/>
  <c r="C2333" i="51"/>
  <c r="C2334" i="51"/>
  <c r="C2335" i="51"/>
  <c r="C2336" i="51"/>
  <c r="C2337" i="51"/>
  <c r="C2338" i="51"/>
  <c r="C2339" i="51"/>
  <c r="C2340" i="51"/>
  <c r="C2341" i="51"/>
  <c r="C2342" i="51"/>
  <c r="C2343" i="51"/>
  <c r="C2344" i="51"/>
  <c r="C2345" i="51"/>
  <c r="C2346" i="51"/>
  <c r="C2347" i="51"/>
  <c r="C2348" i="51"/>
  <c r="C2349" i="51"/>
  <c r="C2350" i="51"/>
  <c r="C2351" i="51"/>
  <c r="C2352" i="51"/>
  <c r="C2353" i="51"/>
  <c r="C2354" i="51"/>
  <c r="C2355" i="51"/>
  <c r="C2356" i="51"/>
  <c r="C2357" i="51"/>
  <c r="C2358" i="51"/>
  <c r="C2359" i="51"/>
  <c r="C2360" i="51"/>
  <c r="C2361" i="51"/>
  <c r="C2362" i="51"/>
  <c r="C2363" i="51"/>
  <c r="C2364" i="51"/>
  <c r="C2365" i="51"/>
  <c r="C2366" i="51"/>
  <c r="C2367" i="51"/>
  <c r="C2368" i="51"/>
  <c r="C2369" i="51"/>
  <c r="C2370" i="51"/>
  <c r="C2371" i="51"/>
  <c r="C2372" i="51"/>
  <c r="C2373" i="51"/>
  <c r="C2374" i="51"/>
  <c r="C2375" i="51"/>
  <c r="C2376" i="51"/>
  <c r="C2377" i="51"/>
  <c r="C2378" i="51"/>
  <c r="C2379" i="51"/>
  <c r="C2380" i="51"/>
  <c r="C2381" i="51"/>
  <c r="C2382" i="51"/>
  <c r="C2383" i="51"/>
  <c r="C2384" i="51"/>
  <c r="C2385" i="51"/>
  <c r="C2386" i="51"/>
  <c r="C2387" i="51"/>
  <c r="C2388" i="51"/>
  <c r="C2389" i="51"/>
  <c r="C2390" i="51"/>
  <c r="C2391" i="51"/>
  <c r="C2392" i="51"/>
  <c r="C2393" i="51"/>
  <c r="C2394" i="51"/>
  <c r="C2395" i="51"/>
  <c r="C2396" i="51"/>
  <c r="C2397" i="51"/>
  <c r="C2398" i="51"/>
  <c r="C2399" i="51"/>
  <c r="C2400" i="51"/>
  <c r="C2401" i="51"/>
  <c r="C2402" i="51"/>
  <c r="C2403" i="51"/>
  <c r="C2404" i="51"/>
  <c r="C2405" i="51"/>
  <c r="C2406" i="51"/>
  <c r="C2407" i="51"/>
  <c r="C2408" i="51"/>
  <c r="C2409" i="51"/>
  <c r="C2410" i="51"/>
  <c r="C2411" i="51"/>
  <c r="C2412" i="51"/>
  <c r="C2413" i="51"/>
  <c r="C2414" i="51"/>
  <c r="C2415" i="51"/>
  <c r="C2416" i="51"/>
  <c r="C2417" i="51"/>
  <c r="C2418" i="51"/>
  <c r="C2419" i="51"/>
  <c r="C2420" i="51"/>
  <c r="C2421" i="51"/>
  <c r="C2422" i="51"/>
  <c r="C2423" i="51"/>
  <c r="C2424" i="51"/>
  <c r="C2425" i="51"/>
  <c r="C2426" i="51"/>
  <c r="C2427" i="51"/>
  <c r="C2428" i="51"/>
  <c r="C2429" i="51"/>
  <c r="C2430" i="51"/>
  <c r="C2431" i="51"/>
  <c r="C2432" i="51"/>
  <c r="C2433" i="51"/>
  <c r="C2434" i="51"/>
  <c r="C2435" i="51"/>
  <c r="C2436" i="51"/>
  <c r="C2437" i="51"/>
  <c r="C2438" i="51"/>
  <c r="C2439" i="51"/>
  <c r="C2440" i="51"/>
  <c r="C2441" i="51"/>
  <c r="C2442" i="51"/>
  <c r="C2443" i="51"/>
  <c r="C2444" i="51"/>
  <c r="C2445" i="51"/>
  <c r="C2446" i="51"/>
  <c r="C2447" i="51"/>
  <c r="C2448" i="51"/>
  <c r="C2449" i="51"/>
  <c r="C2450" i="51"/>
  <c r="C2451" i="51"/>
  <c r="C2452" i="51"/>
  <c r="C2453" i="51"/>
  <c r="C2454" i="51"/>
  <c r="C2455" i="51"/>
  <c r="C2456" i="51"/>
  <c r="C2457" i="51"/>
  <c r="C2458" i="51"/>
  <c r="C2459" i="51"/>
  <c r="C2460" i="51"/>
  <c r="C2461" i="51"/>
  <c r="C2462" i="51"/>
  <c r="C2463" i="51"/>
  <c r="C2464" i="51"/>
  <c r="C2465" i="51"/>
  <c r="C2466" i="51"/>
  <c r="C2467" i="51"/>
  <c r="C2468" i="51"/>
  <c r="C2469" i="51"/>
  <c r="C2470" i="51"/>
  <c r="C2471" i="51"/>
  <c r="C2472" i="51"/>
  <c r="C2473" i="51"/>
  <c r="C2474" i="51"/>
  <c r="C2475" i="51"/>
  <c r="C2476" i="51"/>
  <c r="C2477" i="51"/>
  <c r="C2478" i="51"/>
  <c r="C2479" i="51"/>
  <c r="C2480" i="51"/>
  <c r="C2481" i="51"/>
  <c r="C2482" i="51"/>
  <c r="C2483" i="51"/>
  <c r="C2484" i="51"/>
  <c r="C2485" i="51"/>
  <c r="C2486" i="51"/>
  <c r="C2487" i="51"/>
  <c r="C2488" i="51"/>
  <c r="C2489" i="51"/>
  <c r="C2490" i="51"/>
  <c r="C2491" i="51"/>
  <c r="C2492" i="51"/>
  <c r="C2493" i="51"/>
  <c r="C2494" i="51"/>
  <c r="C2495" i="51"/>
  <c r="C2496" i="51"/>
  <c r="C2497" i="51"/>
  <c r="C2498" i="51"/>
  <c r="C2499" i="51"/>
  <c r="C2500" i="51"/>
  <c r="C2501" i="51"/>
  <c r="C2502" i="51"/>
  <c r="C2503" i="51"/>
  <c r="C2504" i="51"/>
  <c r="C2505" i="51"/>
  <c r="C2506" i="51"/>
  <c r="C2507" i="51"/>
  <c r="C2508" i="51"/>
  <c r="C2509" i="51"/>
  <c r="C2510" i="51"/>
  <c r="C2511" i="51"/>
  <c r="C2512" i="51"/>
  <c r="C2513" i="51"/>
  <c r="C2514" i="51"/>
  <c r="C2515" i="51"/>
  <c r="C2516" i="51"/>
  <c r="C2517" i="51"/>
  <c r="C2518" i="51"/>
  <c r="C2519" i="51"/>
  <c r="C2520" i="51"/>
  <c r="C2521" i="51"/>
  <c r="C2522" i="51"/>
  <c r="C2523" i="51"/>
  <c r="C2524" i="51"/>
  <c r="C2525" i="51"/>
  <c r="C2526" i="51"/>
  <c r="C2527" i="51"/>
  <c r="C2528" i="51"/>
  <c r="C2529" i="51"/>
  <c r="C2530" i="51"/>
  <c r="C2531" i="51"/>
  <c r="C2532" i="51"/>
  <c r="C2533" i="51"/>
  <c r="C2534" i="51"/>
  <c r="C2535" i="51"/>
  <c r="C2536" i="51"/>
  <c r="C2537" i="51"/>
  <c r="C2538" i="51"/>
  <c r="C2539" i="51"/>
  <c r="C2540" i="51"/>
  <c r="C2541" i="51"/>
  <c r="C2542" i="51"/>
  <c r="C2543" i="51"/>
  <c r="C2544" i="51"/>
  <c r="C2545" i="51"/>
  <c r="C2546" i="51"/>
  <c r="C2547" i="51"/>
  <c r="C2548" i="51"/>
  <c r="C2549" i="51"/>
  <c r="C2550" i="51"/>
  <c r="C2551" i="51"/>
  <c r="C2552" i="51"/>
  <c r="C2553" i="51"/>
  <c r="C2554" i="51"/>
  <c r="C2555" i="51"/>
  <c r="C2556" i="51"/>
  <c r="C2557" i="51"/>
  <c r="C2558" i="51"/>
  <c r="C2559" i="51"/>
  <c r="C2560" i="51"/>
  <c r="C2561" i="51"/>
  <c r="C2562" i="51"/>
  <c r="C2563" i="51"/>
  <c r="C2564" i="51"/>
  <c r="C2565" i="51"/>
  <c r="C2566" i="51"/>
  <c r="C2567" i="51"/>
  <c r="C2568" i="51"/>
  <c r="C2569" i="51"/>
  <c r="C2570" i="51"/>
  <c r="C2571" i="51"/>
  <c r="C2572" i="51"/>
  <c r="C2573" i="51"/>
  <c r="C2574" i="51"/>
  <c r="C2575" i="51"/>
  <c r="C2576" i="51"/>
  <c r="C2577" i="51"/>
  <c r="C2578" i="51"/>
  <c r="C2579" i="51"/>
  <c r="C2580" i="51"/>
  <c r="C2581" i="51"/>
  <c r="C2582" i="51"/>
  <c r="C2583" i="51"/>
  <c r="C2584" i="51"/>
  <c r="C2585" i="51"/>
  <c r="C2586" i="51"/>
  <c r="C2587" i="51"/>
  <c r="C2588" i="51"/>
  <c r="C2589" i="51"/>
  <c r="C2590" i="51"/>
  <c r="C2591" i="51"/>
  <c r="C2592" i="51"/>
  <c r="C2593" i="51"/>
  <c r="C2594" i="51"/>
  <c r="C2595" i="51"/>
  <c r="C2596" i="51"/>
  <c r="C2597" i="51"/>
  <c r="C2598" i="51"/>
  <c r="C2599" i="51"/>
  <c r="C2600" i="51"/>
  <c r="C2601" i="51"/>
  <c r="C2602" i="51"/>
  <c r="C2603" i="51"/>
  <c r="C2604" i="51"/>
  <c r="C2605" i="51"/>
  <c r="C2606" i="51"/>
  <c r="C2607" i="51"/>
  <c r="C2608" i="51"/>
  <c r="C2609" i="51"/>
  <c r="C2610" i="51"/>
  <c r="C2611" i="51"/>
  <c r="C2612" i="51"/>
  <c r="C2613" i="51"/>
  <c r="C2614" i="51"/>
  <c r="C2615" i="51"/>
  <c r="C2616" i="51"/>
  <c r="C2617" i="51"/>
  <c r="C2618" i="51"/>
  <c r="C2619" i="51"/>
  <c r="C2620" i="51"/>
  <c r="C2621" i="51"/>
  <c r="C2622" i="51"/>
  <c r="C2623" i="51"/>
  <c r="C2624" i="51"/>
  <c r="C2625" i="51"/>
  <c r="C2626" i="51"/>
  <c r="C2627" i="51"/>
  <c r="C2628" i="51"/>
  <c r="C2629" i="51"/>
  <c r="C2630" i="51"/>
  <c r="C2631" i="51"/>
  <c r="C2632" i="51"/>
  <c r="C2633" i="51"/>
  <c r="C2634" i="51"/>
  <c r="C2635" i="51"/>
  <c r="C2636" i="51"/>
  <c r="C2637" i="51"/>
  <c r="C2638" i="51"/>
  <c r="C2639" i="51"/>
  <c r="C2640" i="51"/>
  <c r="C2641" i="51"/>
  <c r="C2642" i="51"/>
  <c r="C2643" i="51"/>
  <c r="C2644" i="51"/>
  <c r="C2645" i="51"/>
  <c r="C2646" i="51"/>
  <c r="C2647" i="51"/>
  <c r="C2648" i="51"/>
  <c r="C2649" i="51"/>
  <c r="C2650" i="51"/>
  <c r="C2651" i="51"/>
  <c r="C2652" i="51"/>
  <c r="C2653" i="51"/>
  <c r="C2654" i="51"/>
  <c r="C2655" i="51"/>
  <c r="C2656" i="51"/>
  <c r="C2657" i="51"/>
  <c r="C2658" i="51"/>
  <c r="C2659" i="51"/>
  <c r="C2660" i="51"/>
  <c r="C2661" i="51"/>
  <c r="C2662" i="51"/>
  <c r="C2663" i="51"/>
  <c r="C2664" i="51"/>
  <c r="C2665" i="51"/>
  <c r="C2666" i="51"/>
  <c r="C2667" i="51"/>
  <c r="C2668" i="51"/>
  <c r="C2669" i="51"/>
  <c r="C2670" i="51"/>
  <c r="C2671" i="51"/>
  <c r="C2672" i="51"/>
  <c r="C2673" i="51"/>
  <c r="C2674" i="51"/>
  <c r="C2675" i="51"/>
  <c r="C2676" i="51"/>
  <c r="C2677" i="51"/>
  <c r="C2678" i="51"/>
  <c r="C2679" i="51"/>
  <c r="C2680" i="51"/>
  <c r="C2681" i="51"/>
  <c r="C2682" i="51"/>
  <c r="C2683" i="51"/>
  <c r="C2684" i="51"/>
  <c r="C2685" i="51"/>
  <c r="C2686" i="51"/>
  <c r="C2687" i="51"/>
  <c r="C2688" i="51"/>
  <c r="C2689" i="51"/>
  <c r="C2690" i="51"/>
  <c r="C2691" i="51"/>
  <c r="C2692" i="51"/>
  <c r="C2693" i="51"/>
  <c r="C2694" i="51"/>
  <c r="C2695" i="51"/>
  <c r="C2696" i="51"/>
  <c r="C2697" i="51"/>
  <c r="C2698" i="51"/>
  <c r="C2699" i="51"/>
  <c r="C2700" i="51"/>
  <c r="C2701" i="51"/>
  <c r="C2702" i="51"/>
  <c r="C2703" i="51"/>
  <c r="C2704" i="51"/>
  <c r="C2705" i="51"/>
  <c r="C2706" i="51"/>
  <c r="C2707" i="51"/>
  <c r="C2708" i="51"/>
  <c r="C2709" i="51"/>
  <c r="C2710" i="51"/>
  <c r="C2711" i="51"/>
  <c r="C2712" i="51"/>
  <c r="C2713" i="51"/>
  <c r="C2714" i="51"/>
  <c r="C2715" i="51"/>
  <c r="C2716" i="51"/>
  <c r="C2717" i="51"/>
  <c r="C2718" i="51"/>
  <c r="C2719" i="51"/>
  <c r="C2720" i="51"/>
  <c r="C2721" i="51"/>
  <c r="C2722" i="51"/>
  <c r="C2723" i="51"/>
  <c r="C2724" i="51"/>
  <c r="C2725" i="51"/>
  <c r="C2726" i="51"/>
  <c r="C2727" i="51"/>
  <c r="C2728" i="51"/>
  <c r="C2729" i="51"/>
  <c r="C2730" i="51"/>
  <c r="C2731" i="51"/>
  <c r="C2732" i="51"/>
  <c r="C2733" i="51"/>
  <c r="C2734" i="51"/>
  <c r="C2735" i="51"/>
  <c r="C2736" i="51"/>
  <c r="C2737" i="51"/>
  <c r="C2738" i="51"/>
  <c r="C2739" i="51"/>
  <c r="C2740" i="51"/>
  <c r="C2741" i="51"/>
  <c r="C2742" i="51"/>
  <c r="C2743" i="51"/>
  <c r="C2744" i="51"/>
  <c r="C2745" i="51"/>
  <c r="C2746" i="51"/>
  <c r="C2747" i="51"/>
  <c r="C2748" i="51"/>
  <c r="C2749" i="51"/>
  <c r="C2750" i="51"/>
  <c r="C2751" i="51"/>
  <c r="C2752" i="51"/>
  <c r="C2753" i="51"/>
  <c r="C2754" i="51"/>
  <c r="C2755" i="51"/>
  <c r="C2756" i="51"/>
  <c r="C2757" i="51"/>
  <c r="C2758" i="51"/>
  <c r="C2759" i="51"/>
  <c r="C2760" i="51"/>
  <c r="C2761" i="51"/>
  <c r="C2762" i="51"/>
  <c r="C2763" i="51"/>
  <c r="C2764" i="51"/>
  <c r="C2765" i="51"/>
  <c r="C2766" i="51"/>
  <c r="C2767" i="51"/>
  <c r="C2768" i="51"/>
  <c r="C2769" i="51"/>
  <c r="C2770" i="51"/>
  <c r="C2771" i="51"/>
  <c r="C2772" i="51"/>
  <c r="C2773" i="51"/>
  <c r="C2774" i="51"/>
  <c r="C2775" i="51"/>
  <c r="C2776" i="51"/>
  <c r="C2777" i="51"/>
  <c r="C2778" i="51"/>
  <c r="C2779" i="51"/>
  <c r="C2780" i="51"/>
  <c r="C2781" i="51"/>
  <c r="C2782" i="51"/>
  <c r="C2783" i="51"/>
  <c r="C2784" i="51"/>
  <c r="C2785" i="51"/>
  <c r="C2786" i="51"/>
  <c r="C2787" i="51"/>
  <c r="C2788" i="51"/>
  <c r="C2789" i="51"/>
  <c r="C2790" i="51"/>
  <c r="C2791" i="51"/>
  <c r="C2792" i="51"/>
  <c r="C2793" i="51"/>
  <c r="C2794" i="51"/>
  <c r="C2795" i="51"/>
  <c r="C2796" i="51"/>
  <c r="C2797" i="51"/>
  <c r="C2798" i="51"/>
  <c r="C2799" i="51"/>
  <c r="C2800" i="51"/>
  <c r="C2801" i="51"/>
  <c r="C2802" i="51"/>
  <c r="C2803" i="51"/>
  <c r="C2804" i="51"/>
  <c r="C2805" i="51"/>
  <c r="C2806" i="51"/>
  <c r="C2807" i="51"/>
  <c r="C2808" i="51"/>
  <c r="C2809" i="51"/>
  <c r="C2810" i="51"/>
  <c r="C2811" i="51"/>
  <c r="C2812" i="51"/>
  <c r="C2813" i="51"/>
  <c r="C2814" i="51"/>
  <c r="C2815" i="51"/>
  <c r="C2816" i="51"/>
  <c r="C2817" i="51"/>
  <c r="C2818" i="51"/>
  <c r="C2819" i="51"/>
  <c r="C2820" i="51"/>
  <c r="C2821" i="51"/>
  <c r="C2822" i="51"/>
  <c r="C2823" i="51"/>
  <c r="C2824" i="51"/>
  <c r="C2825" i="51"/>
  <c r="C2826" i="51"/>
  <c r="C2827" i="51"/>
  <c r="C2828" i="51"/>
  <c r="C2829" i="51"/>
  <c r="C2830" i="51"/>
  <c r="C2831" i="51"/>
  <c r="C2832" i="51"/>
  <c r="C2833" i="51"/>
  <c r="C2834" i="51"/>
  <c r="C2835" i="51"/>
  <c r="C2836" i="51"/>
  <c r="C2837" i="51"/>
  <c r="C2838" i="51"/>
  <c r="C2839" i="51"/>
  <c r="C2840" i="51"/>
  <c r="C2841" i="51"/>
  <c r="C2842" i="51"/>
  <c r="C2843" i="51"/>
  <c r="C2844" i="51"/>
  <c r="C2845" i="51"/>
  <c r="C2846" i="51"/>
  <c r="C2847" i="51"/>
  <c r="C2848" i="51"/>
  <c r="C2849" i="51"/>
  <c r="C2850" i="51"/>
  <c r="C2851" i="51"/>
  <c r="C2852" i="51"/>
  <c r="C2853" i="51"/>
  <c r="C2854" i="51"/>
  <c r="C2855" i="51"/>
  <c r="C2856" i="51"/>
  <c r="C2857" i="51"/>
  <c r="C2858" i="51"/>
  <c r="C2859" i="51"/>
  <c r="C2860" i="51"/>
  <c r="C2861" i="51"/>
  <c r="C2862" i="51"/>
  <c r="C2863" i="51"/>
  <c r="C2864" i="51"/>
  <c r="C2865" i="51"/>
  <c r="C2866" i="51"/>
  <c r="C2867" i="51"/>
  <c r="C2868" i="51"/>
  <c r="C2869" i="51"/>
  <c r="C2870" i="51"/>
  <c r="C2871" i="51"/>
  <c r="C2872" i="51"/>
  <c r="C2873" i="51"/>
  <c r="C2874" i="51"/>
  <c r="C2875" i="51"/>
  <c r="C2876" i="51"/>
  <c r="C2877" i="51"/>
  <c r="C2878" i="51"/>
  <c r="C2879" i="51"/>
  <c r="C2880" i="51"/>
  <c r="C2881" i="51"/>
  <c r="C2882" i="51"/>
  <c r="C2883" i="51"/>
  <c r="C2884" i="51"/>
  <c r="C2885" i="51"/>
  <c r="C2886" i="51"/>
  <c r="C2887" i="51"/>
  <c r="C2888" i="51"/>
  <c r="C2889" i="51"/>
  <c r="C2890" i="51"/>
  <c r="C2891" i="51"/>
  <c r="C2892" i="51"/>
  <c r="C2893" i="51"/>
  <c r="C2894" i="51"/>
  <c r="C2895" i="51"/>
  <c r="C2896" i="51"/>
  <c r="C2897" i="51"/>
  <c r="C2898" i="51"/>
  <c r="C2899" i="51"/>
  <c r="C2900" i="51"/>
  <c r="C2901" i="51"/>
  <c r="C2902" i="51"/>
  <c r="C2903" i="51"/>
  <c r="C2904" i="51"/>
  <c r="C2905" i="51"/>
  <c r="C2906" i="51"/>
  <c r="C2907" i="51"/>
  <c r="C2908" i="51"/>
  <c r="C2909" i="51"/>
  <c r="C2910" i="51"/>
  <c r="C2911" i="51"/>
  <c r="C2912" i="51"/>
  <c r="C2913" i="51"/>
  <c r="C2914" i="51"/>
  <c r="C2915" i="51"/>
  <c r="C2916" i="51"/>
  <c r="C2917" i="51"/>
  <c r="C2918" i="51"/>
  <c r="C2919" i="51"/>
  <c r="C2920" i="51"/>
  <c r="C2921" i="51"/>
  <c r="C2922" i="51"/>
  <c r="C2923" i="51"/>
  <c r="C2924" i="51"/>
  <c r="C2925" i="51"/>
  <c r="C2926" i="51"/>
  <c r="C2927" i="51"/>
  <c r="C2928" i="51"/>
  <c r="C2929" i="51"/>
  <c r="C2930" i="51"/>
  <c r="C2931" i="51"/>
  <c r="C2932" i="51"/>
  <c r="C2933" i="51"/>
  <c r="C2934" i="51"/>
  <c r="C2935" i="51"/>
  <c r="C2936" i="51"/>
  <c r="C2937" i="51"/>
  <c r="C2938" i="51"/>
  <c r="C2939" i="51"/>
  <c r="C2940" i="51"/>
  <c r="C2941" i="51"/>
  <c r="C2942" i="51"/>
  <c r="C2943" i="51"/>
  <c r="C2944" i="51"/>
  <c r="C2945" i="51"/>
  <c r="C2946" i="51"/>
  <c r="C2947" i="51"/>
  <c r="C2948" i="51"/>
  <c r="C2949" i="51"/>
  <c r="C2950" i="51"/>
  <c r="C2951" i="51"/>
  <c r="C2952" i="51"/>
  <c r="C2953" i="51"/>
  <c r="C2954" i="51"/>
  <c r="C2955" i="51"/>
  <c r="C2956" i="51"/>
  <c r="C2957" i="51"/>
  <c r="C2958" i="51"/>
  <c r="C2959" i="51"/>
  <c r="C2960" i="51"/>
  <c r="C2961" i="51"/>
  <c r="C2962" i="51"/>
  <c r="C2963" i="51"/>
  <c r="C2964" i="51"/>
  <c r="C2965" i="51"/>
  <c r="C2966" i="51"/>
  <c r="C2967" i="51"/>
  <c r="C2968" i="51"/>
  <c r="C2969" i="51"/>
  <c r="C2970" i="51"/>
  <c r="C2971" i="51"/>
  <c r="C2972" i="51"/>
  <c r="C2973" i="51"/>
  <c r="C2974" i="51"/>
  <c r="C2975" i="51"/>
  <c r="C2976" i="51"/>
  <c r="C2977" i="51"/>
  <c r="C2978" i="51"/>
  <c r="C2979" i="51"/>
  <c r="C2980" i="51"/>
  <c r="C2981" i="51"/>
  <c r="C2982" i="51"/>
  <c r="C2983" i="51"/>
  <c r="C2984" i="51"/>
  <c r="C2985" i="51"/>
  <c r="C2986" i="51"/>
  <c r="C2987" i="51"/>
  <c r="C2988" i="51"/>
  <c r="C2989" i="51"/>
  <c r="C2990" i="51"/>
  <c r="C2991" i="51"/>
  <c r="C2992" i="51"/>
  <c r="C2993" i="51"/>
  <c r="C2994" i="51"/>
  <c r="C2995" i="51"/>
  <c r="C2996" i="51"/>
  <c r="C2997" i="51"/>
  <c r="C2998" i="51"/>
  <c r="C2999" i="51"/>
  <c r="C3000" i="51"/>
  <c r="C3001" i="51"/>
  <c r="C3002" i="51"/>
  <c r="C3003" i="51"/>
  <c r="C3004" i="51"/>
  <c r="C3005" i="51"/>
  <c r="C3006" i="51"/>
  <c r="C3007" i="51"/>
  <c r="C3008" i="51"/>
  <c r="C3009" i="51"/>
  <c r="C3010" i="51"/>
  <c r="C3011" i="51"/>
  <c r="C3012" i="51"/>
  <c r="C3013" i="51"/>
  <c r="C3014" i="51"/>
  <c r="C3015" i="51"/>
  <c r="C3016" i="51"/>
  <c r="C3017" i="51"/>
  <c r="C3018" i="51"/>
  <c r="C3019" i="51"/>
  <c r="C3020" i="51"/>
  <c r="C3021" i="51"/>
  <c r="C3022" i="51"/>
  <c r="C3023" i="51"/>
  <c r="C3024" i="51"/>
  <c r="C3025" i="51"/>
  <c r="C3026" i="51"/>
  <c r="C3027" i="51"/>
  <c r="C3028" i="51"/>
  <c r="C3029" i="51"/>
  <c r="C3030" i="51"/>
  <c r="C3031" i="51"/>
  <c r="C3032" i="51"/>
  <c r="C3033" i="51"/>
  <c r="C3034" i="51"/>
  <c r="C3035" i="51"/>
  <c r="C3036" i="51"/>
  <c r="C3037" i="51"/>
  <c r="C3038" i="51"/>
  <c r="C3039" i="51"/>
  <c r="C3040" i="51"/>
  <c r="C3041" i="51"/>
  <c r="C3042" i="51"/>
  <c r="C3043" i="51"/>
  <c r="C3044" i="51"/>
  <c r="C3045" i="51"/>
  <c r="C3046" i="51"/>
  <c r="C3047" i="51"/>
  <c r="C3048" i="51"/>
  <c r="C3049" i="51"/>
  <c r="C3050" i="51"/>
  <c r="C3051" i="51"/>
  <c r="C3052" i="51"/>
  <c r="C3053" i="51"/>
  <c r="C3054" i="51"/>
  <c r="C3055" i="51"/>
  <c r="C3056" i="51"/>
  <c r="C3057" i="51"/>
  <c r="C3058" i="51"/>
  <c r="C3059" i="51"/>
  <c r="C3060" i="51"/>
  <c r="C3061" i="51"/>
  <c r="C3062" i="51"/>
  <c r="C3063" i="51"/>
  <c r="C3064" i="51"/>
  <c r="C3065" i="51"/>
  <c r="C3066" i="51"/>
  <c r="C3067" i="51"/>
  <c r="C3068" i="51"/>
  <c r="C3069" i="51"/>
  <c r="C3070" i="51"/>
  <c r="C3071" i="51"/>
  <c r="C3072" i="51"/>
  <c r="C3073" i="51"/>
  <c r="C3074" i="51"/>
  <c r="C3075" i="51"/>
  <c r="C3076" i="51"/>
  <c r="C3077" i="51"/>
  <c r="C3078" i="51"/>
  <c r="C3079" i="51"/>
  <c r="C3080" i="51"/>
  <c r="C3081" i="51"/>
  <c r="C3082" i="51"/>
  <c r="C3083" i="51"/>
  <c r="C3084" i="51"/>
  <c r="C3085" i="51"/>
  <c r="C3086" i="51"/>
  <c r="C3087" i="51"/>
  <c r="C3088" i="51"/>
  <c r="C3089" i="51"/>
  <c r="C3090" i="51"/>
  <c r="C3091" i="51"/>
  <c r="C3092" i="51"/>
  <c r="C3093" i="51"/>
  <c r="C3094" i="51"/>
  <c r="C3095" i="51"/>
  <c r="C3096" i="51"/>
  <c r="C3097" i="51"/>
  <c r="C3098" i="51"/>
  <c r="C3099" i="51"/>
  <c r="C3100" i="51"/>
  <c r="C3101" i="51"/>
  <c r="C3102" i="51"/>
  <c r="C3103" i="51"/>
  <c r="C3104" i="51"/>
  <c r="C3105" i="51"/>
  <c r="C3106" i="51"/>
  <c r="C3107" i="51"/>
  <c r="C3108" i="51"/>
  <c r="C3109" i="51"/>
  <c r="C3110" i="51"/>
  <c r="C3111" i="51"/>
  <c r="C3112" i="51"/>
  <c r="C3113" i="51"/>
  <c r="C3114" i="51"/>
  <c r="C3115" i="51"/>
  <c r="C3116" i="51"/>
  <c r="C3117" i="51"/>
  <c r="C3118" i="51"/>
  <c r="C3119" i="51"/>
  <c r="C3120" i="51"/>
  <c r="C3121" i="51"/>
  <c r="C3122" i="51"/>
  <c r="C3123" i="51"/>
  <c r="C3124" i="51"/>
  <c r="C3125" i="51"/>
  <c r="C3126" i="51"/>
  <c r="C3127" i="51"/>
  <c r="C3128" i="51"/>
  <c r="C3129" i="51"/>
  <c r="C3130" i="51"/>
  <c r="C3131" i="51"/>
  <c r="C3132" i="51"/>
  <c r="C3133" i="51"/>
  <c r="C3134" i="51"/>
  <c r="C3135" i="51"/>
  <c r="C3136" i="51"/>
  <c r="C3137" i="51"/>
  <c r="C3138" i="51"/>
  <c r="C3139" i="51"/>
  <c r="C3140" i="51"/>
  <c r="C3141" i="51"/>
  <c r="C3142" i="51"/>
  <c r="C3143" i="51"/>
  <c r="C3144" i="51"/>
  <c r="C3145" i="51"/>
  <c r="C3146" i="51"/>
  <c r="C3147" i="51"/>
  <c r="C3148" i="51"/>
  <c r="C3149" i="51"/>
  <c r="C3150" i="51"/>
  <c r="C3151" i="51"/>
  <c r="C3152" i="51"/>
  <c r="C3153" i="51"/>
  <c r="C3154" i="51"/>
  <c r="C3155" i="51"/>
  <c r="C3156" i="51"/>
  <c r="C3157" i="51"/>
  <c r="C3158" i="51"/>
  <c r="C3159" i="51"/>
  <c r="C3160" i="51"/>
  <c r="C3161" i="51"/>
  <c r="C3162" i="51"/>
  <c r="C3163" i="51"/>
  <c r="C3164" i="51"/>
  <c r="C3165" i="51"/>
  <c r="C3166" i="51"/>
  <c r="C3167" i="51"/>
  <c r="C3168" i="51"/>
  <c r="C3169" i="51"/>
  <c r="C3170" i="51"/>
  <c r="C3171" i="51"/>
  <c r="C3172" i="51"/>
  <c r="C3173" i="51"/>
  <c r="C3174" i="51"/>
  <c r="C3175" i="51"/>
  <c r="C3176" i="51"/>
  <c r="C3177" i="51"/>
  <c r="C3178" i="51"/>
  <c r="C3179" i="51"/>
  <c r="C3180" i="51"/>
  <c r="C3181" i="51"/>
  <c r="C3182" i="51"/>
  <c r="C3183" i="51"/>
  <c r="C3184" i="51"/>
  <c r="C3185" i="51"/>
  <c r="C3186" i="51"/>
  <c r="C3187" i="51"/>
  <c r="C3188" i="51"/>
  <c r="C3189" i="51"/>
  <c r="C3190" i="51"/>
  <c r="C3191" i="51"/>
  <c r="C3192" i="51"/>
  <c r="C3193" i="51"/>
  <c r="C3194" i="51"/>
  <c r="C3195" i="51"/>
  <c r="C3196" i="51"/>
  <c r="C3197" i="51"/>
  <c r="C3198" i="51"/>
  <c r="C3199" i="51"/>
  <c r="C3200" i="51"/>
  <c r="C3201" i="51"/>
  <c r="C3202" i="51"/>
  <c r="C3203" i="51"/>
  <c r="C3204" i="51"/>
  <c r="C3205" i="51"/>
  <c r="C3206" i="51"/>
  <c r="C3207" i="51"/>
  <c r="C3208" i="51"/>
  <c r="C3209" i="51"/>
  <c r="C3210" i="51"/>
  <c r="C3211" i="51"/>
  <c r="C3212" i="51"/>
  <c r="C3213" i="51"/>
  <c r="C3214" i="51"/>
  <c r="C3215" i="51"/>
  <c r="C3216" i="51"/>
  <c r="C3217" i="51"/>
  <c r="C3218" i="51"/>
  <c r="C3219" i="51"/>
  <c r="C3220" i="51"/>
  <c r="C3221" i="51"/>
  <c r="C3222" i="51"/>
  <c r="C3223" i="51"/>
  <c r="C3224" i="51"/>
  <c r="C3225" i="51"/>
  <c r="C3226" i="51"/>
  <c r="C3227" i="51"/>
  <c r="C3228" i="51"/>
  <c r="C3229" i="51"/>
  <c r="C3230" i="51"/>
  <c r="C3231" i="51"/>
  <c r="C3232" i="51"/>
  <c r="C3233" i="51"/>
  <c r="C3234" i="51"/>
  <c r="C3235" i="51"/>
  <c r="C3236" i="51"/>
  <c r="C3237" i="51"/>
  <c r="C3238" i="51"/>
  <c r="C3239" i="51"/>
  <c r="C3240" i="51"/>
  <c r="C3241" i="51"/>
  <c r="C3242" i="51"/>
  <c r="C3243" i="51"/>
  <c r="C3244" i="51"/>
  <c r="C3245" i="51"/>
  <c r="C3246" i="51"/>
  <c r="C3247" i="51"/>
  <c r="C3248" i="51"/>
  <c r="C3249" i="51"/>
  <c r="C3250" i="51"/>
  <c r="C3251" i="51"/>
  <c r="C3252" i="51"/>
  <c r="C3253" i="51"/>
  <c r="C3254" i="51"/>
  <c r="C3255" i="51"/>
  <c r="C3256" i="51"/>
  <c r="C3257" i="51"/>
  <c r="C3258" i="51"/>
  <c r="C3259" i="51"/>
  <c r="C3260" i="51"/>
  <c r="C3261" i="51"/>
  <c r="C3262" i="51"/>
  <c r="C3263" i="51"/>
  <c r="C3264" i="51"/>
  <c r="C3265" i="51"/>
  <c r="C3266" i="51"/>
  <c r="C3267" i="51"/>
  <c r="C3268" i="51"/>
  <c r="C3269" i="51"/>
  <c r="C3270" i="51"/>
  <c r="C3271" i="51"/>
  <c r="C3272" i="51"/>
  <c r="C3273" i="51"/>
  <c r="C3274" i="51"/>
  <c r="C3275" i="51"/>
  <c r="C3276" i="51"/>
  <c r="C3277" i="51"/>
  <c r="C3278" i="51"/>
  <c r="C3279" i="51"/>
  <c r="C3280" i="51"/>
  <c r="C3281" i="51"/>
  <c r="C3282" i="51"/>
  <c r="C3283" i="51"/>
  <c r="C3284" i="51"/>
  <c r="C3285" i="51"/>
  <c r="C3286" i="51"/>
  <c r="C3287" i="51"/>
  <c r="C3288" i="51"/>
  <c r="C3289" i="51"/>
  <c r="C3290" i="51"/>
  <c r="C3291" i="51"/>
  <c r="C3292" i="51"/>
  <c r="C3293" i="51"/>
  <c r="C3294" i="51"/>
  <c r="C3295" i="51"/>
  <c r="C3296" i="51"/>
  <c r="C3297" i="51"/>
  <c r="C3298" i="51"/>
  <c r="C3299" i="51"/>
  <c r="C3300" i="51"/>
  <c r="C3301" i="51"/>
  <c r="C3302" i="51"/>
  <c r="C3303" i="51"/>
  <c r="C3304" i="51"/>
  <c r="C3305" i="51"/>
  <c r="C3306" i="51"/>
  <c r="C3307" i="51"/>
  <c r="C3308" i="51"/>
  <c r="C3309" i="51"/>
  <c r="C3310" i="51"/>
  <c r="C3311" i="51"/>
  <c r="C3312" i="51"/>
  <c r="C3313" i="51"/>
  <c r="C3314" i="51"/>
  <c r="C3315" i="51"/>
  <c r="C3316" i="51"/>
  <c r="C3317" i="51"/>
  <c r="C3318" i="51"/>
  <c r="C3319" i="51"/>
  <c r="C3320" i="51"/>
  <c r="C3321" i="51"/>
  <c r="C3322" i="51"/>
  <c r="C3323" i="51"/>
  <c r="C3324" i="51"/>
  <c r="C3325" i="51"/>
  <c r="C3326" i="51"/>
  <c r="C3327" i="51"/>
  <c r="C3328" i="51"/>
  <c r="C3329" i="51"/>
  <c r="C3330" i="51"/>
  <c r="C3331" i="51"/>
  <c r="C3332" i="51"/>
  <c r="C3333" i="51"/>
  <c r="C3334" i="51"/>
  <c r="C3335" i="51"/>
  <c r="C3336" i="51"/>
  <c r="C3337" i="51"/>
  <c r="C3338" i="51"/>
  <c r="C3339" i="51"/>
  <c r="C3340" i="51"/>
  <c r="C3341" i="51"/>
  <c r="C3342" i="51"/>
  <c r="C3343" i="51"/>
  <c r="C3344" i="51"/>
  <c r="C3345" i="51"/>
  <c r="C3346" i="51"/>
  <c r="C3347" i="51"/>
  <c r="C3348" i="51"/>
  <c r="C3349" i="51"/>
  <c r="C3350" i="51"/>
  <c r="C3351" i="51"/>
  <c r="C3352" i="51"/>
  <c r="C3353" i="51"/>
  <c r="C3354" i="51"/>
  <c r="C3355" i="51"/>
  <c r="C3356" i="51"/>
  <c r="C3357" i="51"/>
  <c r="C3358" i="51"/>
  <c r="C3359" i="51"/>
  <c r="C3360" i="51"/>
  <c r="C3361" i="51"/>
  <c r="C3362" i="51"/>
  <c r="C3363" i="51"/>
  <c r="C3364" i="51"/>
  <c r="C3365" i="51"/>
  <c r="C3366" i="51"/>
  <c r="C3367" i="51"/>
  <c r="C3368" i="51"/>
  <c r="C3369" i="51"/>
  <c r="C3370" i="51"/>
  <c r="C3371" i="51"/>
  <c r="C3372" i="51"/>
  <c r="C3373" i="51"/>
  <c r="C3374" i="51"/>
  <c r="C3375" i="51"/>
  <c r="C3376" i="51"/>
  <c r="C3377" i="51"/>
  <c r="C3378" i="51"/>
  <c r="C3379" i="51"/>
  <c r="C3380" i="51"/>
  <c r="C3381" i="51"/>
  <c r="C3382" i="51"/>
  <c r="C3383" i="51"/>
  <c r="C3384" i="51"/>
  <c r="C3385" i="51"/>
  <c r="C3386" i="51"/>
  <c r="C3387" i="51"/>
  <c r="C3388" i="51"/>
  <c r="C3389" i="51"/>
  <c r="C3390" i="51"/>
  <c r="C3391" i="51"/>
  <c r="C3392" i="51"/>
  <c r="C3393" i="51"/>
  <c r="C3394" i="51"/>
  <c r="C3395" i="51"/>
  <c r="C3396" i="51"/>
  <c r="C3397" i="51"/>
  <c r="C3398" i="51"/>
  <c r="C3399" i="51"/>
  <c r="C3400" i="51"/>
  <c r="C3401" i="51"/>
  <c r="C3402" i="51"/>
  <c r="C3403" i="51"/>
  <c r="C3404" i="51"/>
  <c r="C3405" i="51"/>
  <c r="C3406" i="51"/>
  <c r="C3407" i="51"/>
  <c r="C3408" i="51"/>
  <c r="C3409" i="51"/>
  <c r="C3410" i="51"/>
  <c r="C3411" i="51"/>
  <c r="C3412" i="51"/>
  <c r="C3413" i="51"/>
  <c r="C3414" i="51"/>
  <c r="C3415" i="51"/>
  <c r="C3416" i="51"/>
  <c r="C3417" i="51"/>
  <c r="C3418" i="51"/>
  <c r="C3419" i="51"/>
  <c r="C3420" i="51"/>
  <c r="C3421" i="51"/>
  <c r="C3422" i="51"/>
  <c r="C3423" i="51"/>
  <c r="C3424" i="51"/>
  <c r="C3425" i="51"/>
  <c r="C3426" i="51"/>
  <c r="C3427" i="51"/>
  <c r="C3428" i="51"/>
  <c r="C3429" i="51"/>
  <c r="C3430" i="51"/>
  <c r="C3431" i="51"/>
  <c r="C3432" i="51"/>
  <c r="C3433" i="51"/>
  <c r="C3434" i="51"/>
  <c r="C3435" i="51"/>
  <c r="C3436" i="51"/>
  <c r="C3437" i="51"/>
  <c r="C3438" i="51"/>
  <c r="C3439" i="51"/>
  <c r="C3440" i="51"/>
  <c r="C3441" i="51"/>
  <c r="C3442" i="51"/>
  <c r="C3443" i="51"/>
  <c r="C3444" i="51"/>
  <c r="C3445" i="51"/>
  <c r="C3446" i="51"/>
  <c r="C3447" i="51"/>
  <c r="C3448" i="51"/>
  <c r="C3449" i="51"/>
  <c r="C3450" i="51"/>
  <c r="C3451" i="51"/>
  <c r="C3452" i="51"/>
  <c r="C3453" i="51"/>
  <c r="C3454" i="51"/>
  <c r="C3455" i="51"/>
  <c r="C3456" i="51"/>
  <c r="C3457" i="51"/>
  <c r="C3458" i="51"/>
  <c r="C3459" i="51"/>
  <c r="C3460" i="51"/>
  <c r="C3461" i="51"/>
  <c r="C3462" i="51"/>
  <c r="C3463" i="51"/>
  <c r="C3464" i="51"/>
  <c r="C3465" i="51"/>
  <c r="C3466" i="51"/>
  <c r="C3467" i="51"/>
  <c r="C3468" i="51"/>
  <c r="C3469" i="51"/>
  <c r="C3470" i="51"/>
  <c r="C3471" i="51"/>
  <c r="C3472" i="51"/>
  <c r="C3473" i="51"/>
  <c r="C3474" i="51"/>
  <c r="C3475" i="51"/>
  <c r="C3476" i="51"/>
  <c r="C3477" i="51"/>
  <c r="C3478" i="51"/>
  <c r="C3479" i="51"/>
  <c r="C3480" i="51"/>
  <c r="C3481" i="51"/>
  <c r="C3482" i="51"/>
  <c r="C3483" i="51"/>
  <c r="C3484" i="51"/>
  <c r="C3485" i="51"/>
  <c r="C3486" i="51"/>
  <c r="C3487" i="51"/>
  <c r="C3488" i="51"/>
  <c r="C3489" i="51"/>
  <c r="C3490" i="51"/>
  <c r="C3491" i="51"/>
  <c r="C3492" i="51"/>
  <c r="C3493" i="51"/>
  <c r="C3494" i="51"/>
  <c r="C3495" i="51"/>
  <c r="C3496" i="51"/>
  <c r="C3497" i="51"/>
  <c r="C3498" i="51"/>
  <c r="C3499" i="51"/>
  <c r="C3500" i="51"/>
  <c r="C3501" i="51"/>
  <c r="C3502" i="51"/>
  <c r="C3503" i="51"/>
  <c r="C3504" i="51"/>
  <c r="C3505" i="51"/>
  <c r="C3506" i="51"/>
  <c r="C3507" i="51"/>
  <c r="C3508" i="51"/>
  <c r="C3509" i="51"/>
  <c r="C3510" i="51"/>
  <c r="C3511" i="51"/>
  <c r="C3512" i="51"/>
  <c r="C3513" i="51"/>
  <c r="C3514" i="51"/>
  <c r="C3515" i="51"/>
  <c r="C3516" i="51"/>
  <c r="C3517" i="51"/>
  <c r="C3518" i="51"/>
  <c r="C3519" i="51"/>
  <c r="C3520" i="51"/>
  <c r="C3521" i="51"/>
  <c r="C3522" i="51"/>
  <c r="C3523" i="51"/>
  <c r="C3524" i="51"/>
  <c r="C3525" i="51"/>
  <c r="C3526" i="51"/>
  <c r="C3527" i="51"/>
  <c r="C3528" i="51"/>
  <c r="C3529" i="51"/>
  <c r="C3530" i="51"/>
  <c r="C3531" i="51"/>
  <c r="C3532" i="51"/>
  <c r="C3533" i="51"/>
  <c r="C3534" i="51"/>
  <c r="C3535" i="51"/>
  <c r="C3536" i="51"/>
  <c r="C3537" i="51"/>
  <c r="C3538" i="51"/>
  <c r="C3539" i="51"/>
  <c r="C3540" i="51"/>
  <c r="C3541" i="51"/>
  <c r="C3542" i="51"/>
  <c r="C3543" i="51"/>
  <c r="C3544" i="51"/>
  <c r="C3545" i="51"/>
  <c r="C3546" i="51"/>
  <c r="C3547" i="51"/>
  <c r="C3548" i="51"/>
  <c r="C3549" i="51"/>
  <c r="C3550" i="51"/>
  <c r="C3551" i="51"/>
  <c r="C3552" i="51"/>
  <c r="C3553" i="51"/>
  <c r="C3554" i="51"/>
  <c r="C3555" i="51"/>
  <c r="C3556" i="51"/>
  <c r="C3557" i="51"/>
  <c r="C3558" i="51"/>
  <c r="C3559" i="51"/>
  <c r="C3560" i="51"/>
  <c r="C3561" i="51"/>
  <c r="C3562" i="51"/>
  <c r="C3563" i="51"/>
  <c r="C3564" i="51"/>
  <c r="C3565" i="51"/>
  <c r="C3566" i="51"/>
  <c r="C3567" i="51"/>
  <c r="C3568" i="51"/>
  <c r="C3569" i="51"/>
  <c r="C3570" i="51"/>
  <c r="C3571" i="51"/>
  <c r="C3572" i="51"/>
  <c r="C3573" i="51"/>
  <c r="C3574" i="51"/>
  <c r="C3575" i="51"/>
  <c r="C3576" i="51"/>
  <c r="C3577" i="51"/>
  <c r="C3578" i="51"/>
  <c r="C3579" i="51"/>
  <c r="C3580" i="51"/>
  <c r="C3581" i="51"/>
  <c r="C3582" i="51"/>
  <c r="C3583" i="51"/>
  <c r="C3584" i="51"/>
  <c r="C3585" i="51"/>
  <c r="C3586" i="51"/>
  <c r="C3587" i="51"/>
  <c r="C3588" i="51"/>
  <c r="C3589" i="51"/>
  <c r="C3590" i="51"/>
  <c r="C3591" i="51"/>
  <c r="C3592" i="51"/>
  <c r="C3593" i="51"/>
  <c r="C3594" i="51"/>
  <c r="C3595" i="51"/>
  <c r="C3596" i="51"/>
  <c r="C3597" i="51"/>
  <c r="C3598" i="51"/>
  <c r="C3599" i="51"/>
  <c r="C3600" i="51"/>
  <c r="C3601" i="51"/>
  <c r="C3602" i="51"/>
  <c r="C3603" i="51"/>
  <c r="C3604" i="51"/>
  <c r="C3605" i="51"/>
  <c r="C3606" i="51"/>
  <c r="C3607" i="51"/>
  <c r="C3608" i="51"/>
  <c r="C3609" i="51"/>
  <c r="C3610" i="51"/>
  <c r="C3611" i="51"/>
  <c r="C3612" i="51"/>
  <c r="C3613" i="51"/>
  <c r="C3614" i="51"/>
  <c r="C3615" i="51"/>
  <c r="C3616" i="51"/>
  <c r="C3617" i="51"/>
  <c r="C3618" i="51"/>
  <c r="C3619" i="51"/>
  <c r="C3620" i="51"/>
  <c r="C3621" i="51"/>
  <c r="C3622" i="51"/>
  <c r="C3623" i="51"/>
  <c r="C3624" i="51"/>
  <c r="C3625" i="51"/>
  <c r="C3626" i="51"/>
  <c r="C3627" i="51"/>
  <c r="C3628" i="51"/>
  <c r="C3629" i="51"/>
  <c r="C3630" i="51"/>
  <c r="C3631" i="51"/>
  <c r="C3632" i="51"/>
  <c r="C3633" i="51"/>
  <c r="C3634" i="51"/>
  <c r="C3635" i="51"/>
  <c r="C3636" i="51"/>
  <c r="C3637" i="51"/>
  <c r="C3638" i="51"/>
  <c r="C3639" i="51"/>
  <c r="C3640" i="51"/>
  <c r="C3641" i="51"/>
  <c r="C3642" i="51"/>
  <c r="C3643" i="51"/>
  <c r="C3644" i="51"/>
  <c r="C3645" i="51"/>
  <c r="C3646" i="51"/>
  <c r="C3647" i="51"/>
  <c r="C3648" i="51"/>
  <c r="C3649" i="51"/>
  <c r="C3650" i="51"/>
  <c r="C3651" i="51"/>
  <c r="C3652" i="51"/>
  <c r="C3653" i="51"/>
  <c r="C3654" i="51"/>
  <c r="C3655" i="51"/>
  <c r="C3656" i="51"/>
  <c r="C3657" i="51"/>
  <c r="C3658" i="51"/>
  <c r="C3659" i="51"/>
  <c r="C3660" i="51"/>
  <c r="C3661" i="51"/>
  <c r="C3662" i="51"/>
  <c r="C3663" i="51"/>
  <c r="C3664" i="51"/>
  <c r="C3665" i="51"/>
  <c r="C3666" i="51"/>
  <c r="C3667" i="51"/>
  <c r="C3668" i="51"/>
  <c r="C3669" i="51"/>
  <c r="C3670" i="51"/>
  <c r="C3671" i="51"/>
  <c r="C3672" i="51"/>
  <c r="C3673" i="51"/>
  <c r="C3674" i="51"/>
  <c r="C3675" i="51"/>
  <c r="C3676" i="51"/>
  <c r="C3677" i="51"/>
  <c r="C3678" i="51"/>
  <c r="C3679" i="51"/>
  <c r="C3680" i="51"/>
  <c r="C3681" i="51"/>
  <c r="C3682" i="51"/>
  <c r="C3683" i="51"/>
  <c r="C3684" i="51"/>
  <c r="C3685" i="51"/>
  <c r="C3686" i="51"/>
  <c r="C3687" i="51"/>
  <c r="C3688" i="51"/>
  <c r="C3689" i="51"/>
  <c r="C3690" i="51"/>
  <c r="C3691" i="51"/>
  <c r="C3692" i="51"/>
  <c r="C3693" i="51"/>
  <c r="C3694" i="51"/>
  <c r="C3695" i="51"/>
  <c r="C3696" i="51"/>
  <c r="C3697" i="51"/>
  <c r="C3698" i="51"/>
  <c r="C3699" i="51"/>
  <c r="C3700" i="51"/>
  <c r="C3701" i="51"/>
  <c r="C3702" i="51"/>
  <c r="C3703" i="51"/>
  <c r="C3704" i="51"/>
  <c r="C3705" i="51"/>
  <c r="C3706" i="51"/>
  <c r="C3707" i="51"/>
  <c r="C3708" i="51"/>
  <c r="C3709" i="51"/>
  <c r="C3710" i="51"/>
  <c r="C3711" i="51"/>
  <c r="C3712" i="51"/>
  <c r="C3713" i="51"/>
  <c r="C3714" i="51"/>
  <c r="C3715" i="51"/>
  <c r="C3716" i="51"/>
  <c r="C3717" i="51"/>
  <c r="C3718" i="51"/>
  <c r="C3719" i="51"/>
  <c r="C3720" i="51"/>
  <c r="C3721" i="51"/>
  <c r="C3722" i="51"/>
  <c r="C3723" i="51"/>
  <c r="C3724" i="51"/>
  <c r="C3725" i="51"/>
  <c r="C3726" i="51"/>
  <c r="C3727" i="51"/>
  <c r="C3728" i="51"/>
  <c r="C3729" i="51"/>
  <c r="C3730" i="51"/>
  <c r="C3731" i="51"/>
  <c r="C3732" i="51"/>
  <c r="C3733" i="51"/>
  <c r="C3734" i="51"/>
  <c r="C3735" i="51"/>
  <c r="C3736" i="51"/>
  <c r="C3737" i="51"/>
  <c r="C3738" i="51"/>
  <c r="C3739" i="51"/>
  <c r="C3740" i="51"/>
  <c r="C3741" i="51"/>
  <c r="C3742" i="51"/>
  <c r="C3743" i="51"/>
  <c r="C3744" i="51"/>
  <c r="C3745" i="51"/>
  <c r="C3746" i="51"/>
  <c r="C3747" i="51"/>
  <c r="C3748" i="51"/>
  <c r="C3749" i="51"/>
  <c r="C3750" i="51"/>
  <c r="C3751" i="51"/>
  <c r="C3752" i="51"/>
  <c r="C3753" i="51"/>
  <c r="C3754" i="51"/>
  <c r="C3755" i="51"/>
  <c r="C3756" i="51"/>
  <c r="C3757" i="51"/>
  <c r="C3758" i="51"/>
  <c r="C3759" i="51"/>
  <c r="C3760" i="51"/>
  <c r="C3761" i="51"/>
  <c r="C3762" i="51"/>
  <c r="C3763" i="51"/>
  <c r="C3764" i="51"/>
  <c r="C3765" i="51"/>
  <c r="C3766" i="51"/>
  <c r="C3767" i="51"/>
  <c r="C3768" i="51"/>
  <c r="C3769" i="51"/>
  <c r="C3770" i="51"/>
  <c r="C3771" i="51"/>
  <c r="C3772" i="51"/>
  <c r="C3773" i="51"/>
  <c r="C3774" i="51"/>
  <c r="C3775" i="51"/>
  <c r="C3776" i="51"/>
  <c r="C3777" i="51"/>
  <c r="C3778" i="51"/>
  <c r="C3779" i="51"/>
  <c r="C3780" i="51"/>
  <c r="C3781" i="51"/>
  <c r="C3782" i="51"/>
  <c r="C3783" i="51"/>
  <c r="C3784" i="51"/>
  <c r="C3785" i="51"/>
  <c r="C3786" i="51"/>
  <c r="C3787" i="51"/>
  <c r="C3788" i="51"/>
  <c r="C3789" i="51"/>
  <c r="C3790" i="51"/>
  <c r="C3791" i="51"/>
  <c r="C3792" i="51"/>
  <c r="C3793" i="51"/>
  <c r="C3794" i="51"/>
  <c r="C3795" i="51"/>
  <c r="C3796" i="51"/>
  <c r="C3797" i="51"/>
  <c r="C3798" i="51"/>
  <c r="C3799" i="51"/>
  <c r="C3800" i="51"/>
  <c r="C3801" i="51"/>
  <c r="C3802" i="51"/>
  <c r="C3803" i="51"/>
  <c r="C3804" i="51"/>
  <c r="C3805" i="51"/>
  <c r="C3806" i="51"/>
  <c r="C3807" i="51"/>
  <c r="C3808" i="51"/>
  <c r="C3809" i="51"/>
  <c r="C3810" i="51"/>
  <c r="C3811" i="51"/>
  <c r="C3812" i="51"/>
  <c r="C3813" i="51"/>
  <c r="C3814" i="51"/>
  <c r="C3815" i="51"/>
  <c r="C3816" i="51"/>
  <c r="C3817" i="51"/>
  <c r="C3818" i="51"/>
  <c r="C3819" i="51"/>
  <c r="C3820" i="51"/>
  <c r="C3821" i="51"/>
  <c r="C3822" i="51"/>
  <c r="C3823" i="51"/>
  <c r="C3824" i="51"/>
  <c r="C3825" i="51"/>
  <c r="C3826" i="51"/>
  <c r="C3827" i="51"/>
  <c r="C3828" i="51"/>
  <c r="C3829" i="51"/>
  <c r="C3830" i="51"/>
  <c r="C3831" i="51"/>
  <c r="C3832" i="51"/>
  <c r="C3833" i="51"/>
  <c r="C3834" i="51"/>
  <c r="C3835" i="51"/>
  <c r="C3836" i="51"/>
  <c r="C3837" i="51"/>
  <c r="C3838" i="51"/>
  <c r="C3839" i="51"/>
  <c r="C3840" i="51"/>
  <c r="C3841" i="51"/>
  <c r="C3842" i="51"/>
  <c r="C3843" i="51"/>
  <c r="C3844" i="51"/>
  <c r="C3845" i="51"/>
  <c r="C3846" i="51"/>
  <c r="C3847" i="51"/>
  <c r="C3848" i="51"/>
  <c r="C3849" i="51"/>
  <c r="C3850" i="51"/>
  <c r="C3851" i="51"/>
  <c r="C3852" i="51"/>
  <c r="C3853" i="51"/>
  <c r="C3854" i="51"/>
  <c r="C3855" i="51"/>
  <c r="C3856" i="51"/>
  <c r="C3857" i="51"/>
  <c r="C3858" i="51"/>
  <c r="C3859" i="51"/>
  <c r="C3860" i="51"/>
  <c r="C3861" i="51"/>
  <c r="C3862" i="51"/>
  <c r="C3863" i="51"/>
  <c r="C3864" i="51"/>
  <c r="C3865" i="51"/>
  <c r="C3866" i="51"/>
  <c r="C3867" i="51"/>
  <c r="C3868" i="51"/>
  <c r="C3869" i="51"/>
  <c r="C3870" i="51"/>
  <c r="C3871" i="51"/>
  <c r="C3872" i="51"/>
  <c r="C3873" i="51"/>
  <c r="C3874" i="51"/>
  <c r="C3875" i="51"/>
  <c r="C3876" i="51"/>
  <c r="C3877" i="51"/>
  <c r="C3878" i="51"/>
  <c r="C3879" i="51"/>
  <c r="C3880" i="51"/>
  <c r="C3881" i="51"/>
  <c r="C3882" i="51"/>
  <c r="C3883" i="51"/>
  <c r="C3884" i="51"/>
  <c r="C3885" i="51"/>
  <c r="C3886" i="51"/>
  <c r="C3887" i="51"/>
  <c r="C3888" i="51"/>
  <c r="C3889" i="51"/>
  <c r="C3890" i="51"/>
  <c r="C3891" i="51"/>
  <c r="C3892" i="51"/>
  <c r="C3893" i="51"/>
  <c r="C3894" i="51"/>
  <c r="C3895" i="51"/>
  <c r="C3896" i="51"/>
  <c r="C3897" i="51"/>
  <c r="C3898" i="51"/>
  <c r="C3899" i="51"/>
  <c r="C3900" i="51"/>
  <c r="C3901" i="51"/>
  <c r="C3902" i="51"/>
  <c r="C3903" i="51"/>
  <c r="C3904" i="51"/>
  <c r="C3905" i="51"/>
  <c r="C3906" i="51"/>
  <c r="C3907" i="51"/>
  <c r="C3908" i="51"/>
  <c r="C3909" i="51"/>
  <c r="C3910" i="51"/>
  <c r="C3911" i="51"/>
  <c r="C3912" i="51"/>
  <c r="C3913" i="51"/>
  <c r="C3914" i="51"/>
  <c r="C3915" i="51"/>
  <c r="C3916" i="51"/>
  <c r="C3917" i="51"/>
  <c r="C3918" i="51"/>
  <c r="C3919" i="51"/>
  <c r="C3920" i="51"/>
  <c r="C3921" i="51"/>
  <c r="C3922" i="51"/>
  <c r="C3923" i="51"/>
  <c r="C3924" i="51"/>
  <c r="C3925" i="51"/>
  <c r="C3926" i="51"/>
  <c r="C3927" i="51"/>
  <c r="C3928" i="51"/>
  <c r="C3929" i="51"/>
  <c r="C3930" i="51"/>
  <c r="C3931" i="51"/>
  <c r="C3932" i="51"/>
  <c r="C3933" i="51"/>
  <c r="C3934" i="51"/>
  <c r="C3935" i="51"/>
  <c r="C3936" i="51"/>
  <c r="C3937" i="51"/>
  <c r="C3938" i="51"/>
  <c r="C3939" i="51"/>
  <c r="C3940" i="51"/>
  <c r="C3941" i="51"/>
  <c r="C3942" i="51"/>
  <c r="C3943" i="51"/>
  <c r="C3944" i="51"/>
  <c r="C3945" i="51"/>
  <c r="C3946" i="51"/>
  <c r="C3947" i="51"/>
  <c r="C3948" i="51"/>
  <c r="C3949" i="51"/>
  <c r="C3950" i="51"/>
  <c r="C3951" i="51"/>
  <c r="C3952" i="51"/>
  <c r="C3953" i="51"/>
  <c r="C3954" i="51"/>
  <c r="C3955" i="51"/>
  <c r="C3956" i="51"/>
  <c r="C3957" i="51"/>
  <c r="C3958" i="51"/>
  <c r="C3959" i="51"/>
  <c r="C3960" i="51"/>
  <c r="C3961" i="51"/>
  <c r="C3962" i="51"/>
  <c r="C3963" i="51"/>
  <c r="C3964" i="51"/>
  <c r="C3965" i="51"/>
  <c r="C3966" i="51"/>
  <c r="C3967" i="51"/>
  <c r="C3968" i="51"/>
  <c r="C3969" i="51"/>
  <c r="C3970" i="51"/>
  <c r="C3971" i="51"/>
  <c r="C3972" i="51"/>
  <c r="C3973" i="51"/>
  <c r="C3974" i="51"/>
  <c r="C3975" i="51"/>
  <c r="C3976" i="51"/>
  <c r="C3977" i="51"/>
  <c r="C3978" i="51"/>
  <c r="C3979" i="51"/>
  <c r="C3980" i="51"/>
  <c r="C3981" i="51"/>
  <c r="C3982" i="51"/>
  <c r="C3983" i="51"/>
  <c r="C3984" i="51"/>
  <c r="C3985" i="51"/>
  <c r="C3986" i="51"/>
  <c r="C3987" i="51"/>
  <c r="C3988" i="51"/>
  <c r="C3989" i="51"/>
  <c r="C3990" i="51"/>
  <c r="C3991" i="51"/>
  <c r="C3992" i="51"/>
  <c r="C3993" i="51"/>
  <c r="C3994" i="51"/>
  <c r="C3995" i="51"/>
  <c r="C3996" i="51"/>
  <c r="C3997" i="51"/>
  <c r="C3998" i="51"/>
  <c r="C3999" i="51"/>
  <c r="C4000" i="51"/>
  <c r="C4001" i="51"/>
  <c r="C4002" i="51"/>
  <c r="C4003" i="51"/>
  <c r="C4004" i="51"/>
  <c r="C4005" i="51"/>
  <c r="C4006" i="51"/>
  <c r="C4007" i="51"/>
  <c r="C4008" i="51"/>
  <c r="C4009" i="51"/>
  <c r="C4010" i="51"/>
  <c r="C4011" i="51"/>
  <c r="C4012" i="51"/>
  <c r="C4013" i="51"/>
  <c r="C4014" i="51"/>
  <c r="C4015" i="51"/>
  <c r="C4016" i="51"/>
  <c r="C4017" i="51"/>
  <c r="C4018" i="51"/>
  <c r="C4019" i="51"/>
  <c r="C4020" i="51"/>
  <c r="C4021" i="51"/>
  <c r="C4022" i="51"/>
  <c r="C4023" i="51"/>
  <c r="C4024" i="51"/>
  <c r="C4025" i="51"/>
  <c r="C4026" i="51"/>
  <c r="C4027" i="51"/>
  <c r="C4028" i="51"/>
  <c r="C4029" i="51"/>
  <c r="C4030" i="51"/>
  <c r="C4031" i="51"/>
  <c r="C4032" i="51"/>
  <c r="C4033" i="51"/>
  <c r="C4034" i="51"/>
  <c r="C4035" i="51"/>
  <c r="C4036" i="51"/>
  <c r="C4037" i="51"/>
  <c r="C4038" i="51"/>
  <c r="C4039" i="51"/>
  <c r="C4040" i="51"/>
  <c r="C4041" i="51"/>
  <c r="C4042" i="51"/>
  <c r="C4043" i="51"/>
  <c r="C4044" i="51"/>
  <c r="C4045" i="51"/>
  <c r="C4046" i="51"/>
  <c r="C4047" i="51"/>
  <c r="C4048" i="51"/>
  <c r="C4049" i="51"/>
  <c r="C4050" i="51"/>
  <c r="C4051" i="51"/>
  <c r="C4052" i="51"/>
  <c r="C4053" i="51"/>
  <c r="C4054" i="51"/>
  <c r="C4055" i="51"/>
  <c r="C4056" i="51"/>
  <c r="C4057" i="51"/>
  <c r="C4058" i="51"/>
  <c r="C4059" i="51"/>
  <c r="C4060" i="51"/>
  <c r="C4061" i="51"/>
  <c r="C4062" i="51"/>
  <c r="C4063" i="51"/>
  <c r="C4064" i="51"/>
  <c r="C4065" i="51"/>
  <c r="C4066" i="51"/>
  <c r="C4067" i="51"/>
  <c r="C4068" i="51"/>
  <c r="C4069" i="51"/>
  <c r="C4070" i="51"/>
  <c r="C4071" i="51"/>
  <c r="C4072" i="51"/>
  <c r="C4073" i="51"/>
  <c r="C4074" i="51"/>
  <c r="C4075" i="51"/>
  <c r="C4076" i="51"/>
  <c r="C4077" i="51"/>
  <c r="C4078" i="51"/>
  <c r="C4079" i="51"/>
  <c r="C4080" i="51"/>
  <c r="C4081" i="51"/>
  <c r="C4082" i="51"/>
  <c r="C4083" i="51"/>
  <c r="C4084" i="51"/>
  <c r="C4085" i="51"/>
  <c r="C4086" i="51"/>
  <c r="C4087" i="51"/>
  <c r="C4088" i="51"/>
  <c r="C4089" i="51"/>
  <c r="C4090" i="51"/>
  <c r="C4091" i="51"/>
  <c r="C4092" i="51"/>
  <c r="C4093" i="51"/>
  <c r="C4094" i="51"/>
  <c r="C4095" i="51"/>
  <c r="C4096" i="51"/>
  <c r="C4097" i="51"/>
  <c r="C4098" i="51"/>
  <c r="C4099" i="51"/>
  <c r="C4100" i="51"/>
  <c r="C4101" i="51"/>
  <c r="C4102" i="51"/>
  <c r="C4103" i="51"/>
  <c r="C4104" i="51"/>
  <c r="C4105" i="51"/>
  <c r="C4106" i="51"/>
  <c r="C4107" i="51"/>
  <c r="C4108" i="51"/>
  <c r="C4109" i="51"/>
  <c r="C4110" i="51"/>
  <c r="C4111" i="51"/>
  <c r="C4112" i="51"/>
  <c r="C4113" i="51"/>
  <c r="C4114" i="51"/>
  <c r="C4115" i="51"/>
  <c r="C4116" i="51"/>
  <c r="C4117" i="51"/>
  <c r="C4118" i="51"/>
  <c r="C4119" i="51"/>
  <c r="C4120" i="51"/>
  <c r="C4121" i="51"/>
  <c r="C4122" i="51"/>
  <c r="C4123" i="51"/>
  <c r="C4124" i="51"/>
  <c r="C4125" i="51"/>
  <c r="C4126" i="51"/>
  <c r="C4127" i="51"/>
  <c r="C4128" i="51"/>
  <c r="C4129" i="51"/>
  <c r="C4130" i="51"/>
  <c r="C4131" i="51"/>
  <c r="C4132" i="51"/>
  <c r="C4133" i="51"/>
  <c r="C4134" i="51"/>
  <c r="C4135" i="51"/>
  <c r="C4136" i="51"/>
  <c r="C4137" i="51"/>
  <c r="C4138" i="51"/>
  <c r="C4139" i="51"/>
  <c r="C4140" i="51"/>
  <c r="C4141" i="51"/>
  <c r="C4142" i="51"/>
  <c r="C4143" i="51"/>
  <c r="C4144" i="51"/>
  <c r="C4145" i="51"/>
  <c r="C4146" i="51"/>
  <c r="C4147" i="51"/>
  <c r="C4148" i="51"/>
  <c r="C4149" i="51"/>
  <c r="C4150" i="51"/>
  <c r="C4151" i="51"/>
  <c r="C4152" i="51"/>
  <c r="C4153" i="51"/>
  <c r="C4154" i="51"/>
  <c r="C4155" i="51"/>
  <c r="C4156" i="51"/>
  <c r="C4157" i="51"/>
  <c r="C4158" i="51"/>
  <c r="C4159" i="51"/>
  <c r="C4160" i="51"/>
  <c r="C4161" i="51"/>
  <c r="C4162" i="51"/>
  <c r="C4163" i="51"/>
  <c r="C4164" i="51"/>
  <c r="C4165" i="51"/>
  <c r="C4166" i="51"/>
  <c r="C4167" i="51"/>
  <c r="C4168" i="51"/>
  <c r="C4169" i="51"/>
  <c r="C4170" i="51"/>
  <c r="C4171" i="51"/>
  <c r="C4172" i="51"/>
  <c r="C4173" i="51"/>
  <c r="C4174" i="51"/>
  <c r="C4175" i="51"/>
  <c r="C4176" i="51"/>
  <c r="C4177" i="51"/>
  <c r="C4178" i="51"/>
  <c r="C4179" i="51"/>
  <c r="C4180" i="51"/>
  <c r="C4181" i="51"/>
  <c r="C4182" i="51"/>
  <c r="C4183" i="51"/>
  <c r="C4184" i="51"/>
  <c r="C4185" i="51"/>
  <c r="C4186" i="51"/>
  <c r="C4187" i="51"/>
  <c r="C4188" i="51"/>
  <c r="C4189" i="51"/>
  <c r="C4190" i="51"/>
  <c r="C4191" i="51"/>
  <c r="C4192" i="51"/>
  <c r="C4193" i="51"/>
  <c r="C4194" i="51"/>
  <c r="C4195" i="51"/>
  <c r="C4196" i="51"/>
  <c r="C4197" i="51"/>
  <c r="C4198" i="51"/>
  <c r="C4199" i="51"/>
  <c r="C4200" i="51"/>
  <c r="C4201" i="51"/>
  <c r="C4202" i="51"/>
  <c r="C4203" i="51"/>
  <c r="C4204" i="51"/>
  <c r="C4205" i="51"/>
  <c r="C4206" i="51"/>
  <c r="C4207" i="51"/>
  <c r="C4208" i="51"/>
  <c r="C4209" i="51"/>
  <c r="C4210" i="51"/>
  <c r="C4211" i="51"/>
  <c r="C4212" i="51"/>
  <c r="C4213" i="51"/>
  <c r="C4214" i="51"/>
  <c r="C4215" i="51"/>
  <c r="C4216" i="51"/>
  <c r="C4217" i="51"/>
  <c r="C4218" i="51"/>
  <c r="C4219" i="51"/>
  <c r="C4220" i="51"/>
  <c r="C4221" i="51"/>
  <c r="C4222" i="51"/>
  <c r="C4223" i="51"/>
  <c r="C4224" i="51"/>
  <c r="C4225" i="51"/>
  <c r="C4226" i="51"/>
  <c r="C4227" i="51"/>
  <c r="C4228" i="51"/>
  <c r="C4229" i="51"/>
  <c r="C4230" i="51"/>
  <c r="C4231" i="51"/>
  <c r="C4232" i="51"/>
  <c r="C4233" i="51"/>
  <c r="C4234" i="51"/>
  <c r="C4235" i="51"/>
  <c r="C4236" i="51"/>
  <c r="C4237" i="51"/>
  <c r="C4238" i="51"/>
  <c r="C4239" i="51"/>
  <c r="C4240" i="51"/>
  <c r="C4241" i="51"/>
  <c r="C4242" i="51"/>
  <c r="C4243" i="51"/>
  <c r="C4244" i="51"/>
  <c r="C4245" i="51"/>
  <c r="C4246" i="51"/>
  <c r="C4247" i="51"/>
  <c r="C4248" i="51"/>
  <c r="C4249" i="51"/>
  <c r="C4250" i="51"/>
  <c r="C4251" i="51"/>
  <c r="C4252" i="51"/>
  <c r="C4253" i="51"/>
  <c r="C4254" i="51"/>
  <c r="C4255" i="51"/>
  <c r="C4256" i="51"/>
  <c r="C4257" i="51"/>
  <c r="C4258" i="51"/>
  <c r="C4259" i="51"/>
  <c r="C4260" i="51"/>
  <c r="C4261" i="51"/>
  <c r="C4262" i="51"/>
  <c r="C4263" i="51"/>
  <c r="C4264" i="51"/>
  <c r="C4265" i="51"/>
  <c r="C4266" i="51"/>
  <c r="C4267" i="51"/>
  <c r="C4268" i="51"/>
  <c r="C4269" i="51"/>
  <c r="C4270" i="51"/>
  <c r="C4271" i="51"/>
  <c r="C4272" i="51"/>
  <c r="C4273" i="51"/>
  <c r="C4274" i="51"/>
  <c r="C4275" i="51"/>
  <c r="C4276" i="51"/>
  <c r="C4277" i="51"/>
  <c r="C4278" i="51"/>
  <c r="C4279" i="51"/>
  <c r="C4280" i="51"/>
  <c r="C4281" i="51"/>
  <c r="C4282" i="51"/>
  <c r="C4283" i="51"/>
  <c r="C4284" i="51"/>
  <c r="C4285" i="51"/>
  <c r="C4286" i="51"/>
  <c r="C4287" i="51"/>
  <c r="C4288" i="51"/>
  <c r="C4289" i="51"/>
  <c r="C4290" i="51"/>
  <c r="C4291" i="51"/>
  <c r="C4292" i="51"/>
  <c r="C4293" i="51"/>
  <c r="C4294" i="51"/>
  <c r="C4295" i="51"/>
  <c r="C4296" i="51"/>
  <c r="C4297" i="51"/>
  <c r="C4298" i="51"/>
  <c r="C4299" i="51"/>
  <c r="C4300" i="51"/>
  <c r="C4301" i="51"/>
  <c r="C4302" i="51"/>
  <c r="C4303" i="51"/>
  <c r="C4304" i="51"/>
  <c r="C4305" i="51"/>
  <c r="C4306" i="51"/>
  <c r="C4307" i="51"/>
  <c r="C4308" i="51"/>
  <c r="C4309" i="51"/>
  <c r="C4310" i="51"/>
  <c r="C4311" i="51"/>
  <c r="C4312" i="51"/>
  <c r="C4313" i="51"/>
  <c r="C4314" i="51"/>
  <c r="C4315" i="51"/>
  <c r="C4316" i="51"/>
  <c r="C4317" i="51"/>
  <c r="C4318" i="51"/>
  <c r="C4319" i="51"/>
  <c r="C4320" i="51"/>
  <c r="C4321" i="51"/>
  <c r="C4322" i="51"/>
  <c r="C4323" i="51"/>
  <c r="C4324" i="51"/>
  <c r="C4325" i="51"/>
  <c r="C4326" i="51"/>
  <c r="C4327" i="51"/>
  <c r="C4328" i="51"/>
  <c r="C4329" i="51"/>
  <c r="C4330" i="51"/>
  <c r="C4331" i="51"/>
  <c r="C4332" i="51"/>
  <c r="C4333" i="51"/>
  <c r="C4334" i="51"/>
  <c r="C4335" i="51"/>
  <c r="C4336" i="51"/>
  <c r="C4337" i="51"/>
  <c r="C4338" i="51"/>
  <c r="C4339" i="51"/>
  <c r="C4340" i="51"/>
  <c r="C4341" i="51"/>
  <c r="C4342" i="51"/>
  <c r="C4343" i="51"/>
  <c r="C4344" i="51"/>
  <c r="C4345" i="51"/>
  <c r="C4346" i="51"/>
  <c r="C4347" i="51"/>
  <c r="C4348" i="51"/>
  <c r="C4349" i="51"/>
  <c r="C4350" i="51"/>
  <c r="C4351" i="51"/>
  <c r="C4352" i="51"/>
  <c r="C4353" i="51"/>
  <c r="C4354" i="51"/>
  <c r="C4355" i="51"/>
  <c r="C4356" i="51"/>
  <c r="C4357" i="51"/>
  <c r="C4358" i="51"/>
  <c r="C4359" i="51"/>
  <c r="C4360" i="51"/>
  <c r="C4361" i="51"/>
  <c r="C4362" i="51"/>
  <c r="C4363" i="51"/>
  <c r="C4364" i="51"/>
  <c r="C4365" i="51"/>
  <c r="C4366" i="51"/>
  <c r="C4367" i="51"/>
  <c r="C4368" i="51"/>
  <c r="C4369" i="51"/>
  <c r="C4370" i="51"/>
  <c r="C4371" i="51"/>
  <c r="C4372" i="51"/>
  <c r="C4373" i="51"/>
  <c r="C4374" i="51"/>
  <c r="C4375" i="51"/>
  <c r="C4376" i="51"/>
  <c r="C4377" i="51"/>
  <c r="C4378" i="51"/>
  <c r="C4379" i="51"/>
  <c r="C4380" i="51"/>
  <c r="C4381" i="51"/>
  <c r="C4382" i="51"/>
  <c r="C4383" i="51"/>
  <c r="C4384" i="51"/>
  <c r="C4385" i="51"/>
  <c r="C4386" i="51"/>
  <c r="C4387" i="51"/>
  <c r="C4388" i="51"/>
  <c r="C4389" i="51"/>
  <c r="C4390" i="51"/>
  <c r="C4391" i="51"/>
  <c r="C4392" i="51"/>
  <c r="C4393" i="51"/>
  <c r="C4394" i="51"/>
  <c r="C4395" i="51"/>
  <c r="C4396" i="51"/>
  <c r="C4397" i="51"/>
  <c r="C4398" i="51"/>
  <c r="C4399" i="51"/>
  <c r="C4400" i="51"/>
  <c r="C4401" i="51"/>
  <c r="C4402" i="51"/>
  <c r="C4403" i="51"/>
  <c r="C4404" i="51"/>
  <c r="C4405" i="51"/>
  <c r="C4406" i="51"/>
  <c r="C4407" i="51"/>
  <c r="C4408" i="51"/>
  <c r="C4409" i="51"/>
  <c r="C4410" i="51"/>
  <c r="C4411" i="51"/>
  <c r="C4412" i="51"/>
  <c r="C4413" i="51"/>
  <c r="C4414" i="51"/>
  <c r="C4415" i="51"/>
  <c r="C4416" i="51"/>
  <c r="C4417" i="51"/>
  <c r="C4418" i="51"/>
  <c r="C4419" i="51"/>
  <c r="C4420" i="51"/>
  <c r="C4421" i="51"/>
  <c r="C4422" i="51"/>
  <c r="C4423" i="51"/>
  <c r="C4424" i="51"/>
  <c r="C4425" i="51"/>
  <c r="C4426" i="51"/>
  <c r="C4427" i="51"/>
  <c r="C4428" i="51"/>
  <c r="C4429" i="51"/>
  <c r="C4430" i="51"/>
  <c r="C4431" i="51"/>
  <c r="C4432" i="51"/>
  <c r="C4433" i="51"/>
  <c r="C4434" i="51"/>
  <c r="C4435" i="51"/>
  <c r="C4436" i="51"/>
  <c r="C4437" i="51"/>
  <c r="C4438" i="51"/>
  <c r="C4439" i="51"/>
  <c r="C4440" i="51"/>
  <c r="C4441" i="51"/>
  <c r="C4442" i="51"/>
  <c r="C4443" i="51"/>
  <c r="C4444" i="51"/>
  <c r="C4445" i="51"/>
  <c r="C4446" i="51"/>
  <c r="C4447" i="51"/>
  <c r="C4448" i="51"/>
  <c r="C4449" i="51"/>
  <c r="C4450" i="51"/>
  <c r="C4451" i="51"/>
  <c r="C4452" i="51"/>
  <c r="C4453" i="51"/>
  <c r="C4454" i="51"/>
  <c r="C4455" i="51"/>
  <c r="C4456" i="51"/>
  <c r="C4457" i="51"/>
  <c r="C4458" i="51"/>
  <c r="C4459" i="51"/>
  <c r="C4460" i="51"/>
  <c r="C4461" i="51"/>
  <c r="C4462" i="51"/>
  <c r="C4463" i="51"/>
  <c r="C4464" i="51"/>
  <c r="C4465" i="51"/>
  <c r="C4466" i="51"/>
  <c r="C4467" i="51"/>
  <c r="C4468" i="51"/>
  <c r="C4469" i="51"/>
  <c r="C4470" i="51"/>
  <c r="C4471" i="51"/>
  <c r="C4472" i="51"/>
  <c r="C4473" i="51"/>
  <c r="C4474" i="51"/>
  <c r="C4475" i="51"/>
  <c r="C4476" i="51"/>
  <c r="C4477" i="51"/>
  <c r="C4478" i="51"/>
  <c r="C4479" i="51"/>
  <c r="C4480" i="51"/>
  <c r="C4481" i="51"/>
  <c r="C4482" i="51"/>
  <c r="C4483" i="51"/>
  <c r="C4484" i="51"/>
  <c r="C4485" i="51"/>
  <c r="C4486" i="51"/>
  <c r="C4487" i="51"/>
  <c r="C4488" i="51"/>
  <c r="C4489" i="51"/>
  <c r="C4490" i="51"/>
  <c r="C4491" i="51"/>
  <c r="C4492" i="51"/>
  <c r="C4493" i="51"/>
  <c r="C4494" i="51"/>
  <c r="C4495" i="51"/>
  <c r="C4496" i="51"/>
  <c r="C4497" i="51"/>
  <c r="C4498" i="51"/>
  <c r="C4499" i="51"/>
  <c r="C4500" i="51"/>
  <c r="C4501" i="51"/>
  <c r="C4502" i="51"/>
  <c r="C4503" i="51"/>
  <c r="C4504" i="51"/>
  <c r="C4505" i="51"/>
  <c r="C4506" i="51"/>
  <c r="C4507" i="51"/>
  <c r="C4508" i="51"/>
  <c r="C4509" i="51"/>
  <c r="C4510" i="51"/>
  <c r="C4511" i="51"/>
  <c r="C4512" i="51"/>
  <c r="C4513" i="51"/>
  <c r="C4514" i="51"/>
  <c r="C4515" i="51"/>
  <c r="C4516" i="51"/>
  <c r="C4517" i="51"/>
  <c r="C4518" i="51"/>
  <c r="C4519" i="51"/>
  <c r="C4520" i="51"/>
  <c r="C4521" i="51"/>
  <c r="C4522" i="51"/>
  <c r="C4523" i="51"/>
  <c r="C4524" i="51"/>
  <c r="C4525" i="51"/>
  <c r="C4526" i="51"/>
  <c r="C4527" i="51"/>
  <c r="C4528" i="51"/>
  <c r="C4529" i="51"/>
  <c r="C4530" i="51"/>
  <c r="C4531" i="51"/>
  <c r="C4532" i="51"/>
  <c r="C4533" i="51"/>
  <c r="C4534" i="51"/>
  <c r="C4535" i="51"/>
  <c r="C4536" i="51"/>
  <c r="C4537" i="51"/>
  <c r="C4538" i="51"/>
  <c r="C4539" i="51"/>
  <c r="C4540" i="51"/>
  <c r="C4541" i="51"/>
  <c r="C4542" i="51"/>
  <c r="C4543" i="51"/>
  <c r="C4544" i="51"/>
  <c r="C4545" i="51"/>
  <c r="C4546" i="51"/>
  <c r="C4547" i="51"/>
  <c r="C4548" i="51"/>
  <c r="C4549" i="51"/>
  <c r="C4550" i="51"/>
  <c r="C4551" i="51"/>
  <c r="C4552" i="51"/>
  <c r="C4553" i="51"/>
  <c r="C4554" i="51"/>
  <c r="C4555" i="51"/>
  <c r="C4556" i="51"/>
  <c r="C4557" i="51"/>
  <c r="C4558" i="51"/>
  <c r="C4559" i="51"/>
  <c r="C4560" i="51"/>
  <c r="C4561" i="51"/>
  <c r="C4562" i="51"/>
  <c r="C4563" i="51"/>
  <c r="C4564" i="51"/>
  <c r="C4565" i="51"/>
  <c r="C4566" i="51"/>
  <c r="C4567" i="51"/>
  <c r="C4568" i="51"/>
  <c r="C4569" i="51"/>
  <c r="C4570" i="51"/>
  <c r="C4571" i="51"/>
  <c r="C4572" i="51"/>
  <c r="C4573" i="51"/>
  <c r="C4574" i="51"/>
  <c r="C4575" i="51"/>
  <c r="C4576" i="51"/>
  <c r="C4577" i="51"/>
  <c r="C4578" i="51"/>
  <c r="C4579" i="51"/>
  <c r="C4580" i="51"/>
  <c r="C4581" i="51"/>
  <c r="C4582" i="51"/>
  <c r="C4583" i="51"/>
  <c r="C4584" i="51"/>
  <c r="C4585" i="51"/>
  <c r="C4586" i="51"/>
  <c r="C4587" i="51"/>
  <c r="C4588" i="51"/>
  <c r="C4589" i="51"/>
  <c r="C4590" i="51"/>
  <c r="C4591" i="51"/>
  <c r="C4592" i="51"/>
  <c r="C4593" i="51"/>
  <c r="C4594" i="51"/>
  <c r="C4595" i="51"/>
  <c r="C4596" i="51"/>
  <c r="C4597" i="51"/>
  <c r="C4598" i="51"/>
  <c r="C4599" i="51"/>
  <c r="C4600" i="51"/>
  <c r="C4601" i="51"/>
  <c r="C4602" i="51"/>
  <c r="C4603" i="51"/>
  <c r="C4604" i="51"/>
  <c r="C4605" i="51"/>
  <c r="C4606" i="51"/>
  <c r="C4607" i="51"/>
  <c r="C4608" i="51"/>
  <c r="C4609" i="51"/>
  <c r="C4610" i="51"/>
  <c r="C4611" i="51"/>
  <c r="C4612" i="51"/>
  <c r="C4613" i="51"/>
  <c r="C4614" i="51"/>
  <c r="C4615" i="51"/>
  <c r="C4616" i="51"/>
  <c r="C4617" i="51"/>
  <c r="C4618" i="51"/>
  <c r="C4619" i="51"/>
  <c r="C4620" i="51"/>
  <c r="C4621" i="51"/>
  <c r="C4622" i="51"/>
  <c r="C4623" i="51"/>
  <c r="C4624" i="51"/>
  <c r="C4625" i="51"/>
  <c r="C4626" i="51"/>
  <c r="C4627" i="51"/>
  <c r="C4628" i="51"/>
  <c r="C4629" i="51"/>
  <c r="C4630" i="51"/>
  <c r="C4631" i="51"/>
  <c r="C4632" i="51"/>
  <c r="C4633" i="51"/>
  <c r="C4634" i="51"/>
  <c r="C4635" i="51"/>
  <c r="C4636" i="51"/>
  <c r="C4637" i="51"/>
  <c r="C4638" i="51"/>
  <c r="C4639" i="51"/>
  <c r="C4640" i="51"/>
  <c r="C4641" i="51"/>
  <c r="C4642" i="51"/>
  <c r="C4643" i="51"/>
  <c r="C4644" i="51"/>
  <c r="C4645" i="51"/>
  <c r="C4646" i="51"/>
  <c r="C4647" i="51"/>
  <c r="C4648" i="51"/>
  <c r="C4649" i="51"/>
  <c r="C4650" i="51"/>
  <c r="C4651" i="51"/>
  <c r="C4652" i="51"/>
  <c r="C4653" i="51"/>
  <c r="C4654" i="51"/>
  <c r="C4655" i="51"/>
  <c r="C4656" i="51"/>
  <c r="C4657" i="51"/>
  <c r="C4658" i="51"/>
  <c r="C4659" i="51"/>
  <c r="C4660" i="51"/>
  <c r="C4661" i="51"/>
  <c r="C4662" i="51"/>
  <c r="C4663" i="51"/>
  <c r="C4664" i="51"/>
  <c r="C4665" i="51"/>
  <c r="C4666" i="51"/>
  <c r="C4667" i="51"/>
  <c r="C4668" i="51"/>
  <c r="C4669" i="51"/>
  <c r="C4670" i="51"/>
  <c r="C4671" i="51"/>
  <c r="C4672" i="51"/>
  <c r="C4673" i="51"/>
  <c r="C4674" i="51"/>
  <c r="C4675" i="51"/>
  <c r="C4676" i="51"/>
  <c r="C4677" i="51"/>
  <c r="C4678" i="51"/>
  <c r="C4679" i="51"/>
  <c r="C4680" i="51"/>
  <c r="C4681" i="51"/>
  <c r="C4682" i="51"/>
  <c r="C4683" i="51"/>
  <c r="C4684" i="51"/>
  <c r="C4685" i="51"/>
  <c r="C4686" i="51"/>
  <c r="C4687" i="51"/>
  <c r="C4688" i="51"/>
  <c r="C4689" i="51"/>
  <c r="C4690" i="51"/>
  <c r="C4691" i="51"/>
  <c r="C4692" i="51"/>
  <c r="C4693" i="51"/>
  <c r="C4694" i="51"/>
  <c r="C4695" i="51"/>
  <c r="C4696" i="51"/>
  <c r="C4697" i="51"/>
  <c r="C4698" i="51"/>
  <c r="C4699" i="51"/>
  <c r="C4700" i="51"/>
  <c r="C4701" i="51"/>
  <c r="C4702" i="51"/>
  <c r="C4703" i="51"/>
  <c r="C4704" i="51"/>
  <c r="C4705" i="51"/>
  <c r="C4706" i="51"/>
  <c r="C4707" i="51"/>
  <c r="C4708" i="51"/>
  <c r="C4709" i="51"/>
  <c r="C4710" i="51"/>
  <c r="C4711" i="51"/>
  <c r="C4712" i="51"/>
  <c r="C4713" i="51"/>
  <c r="C4714" i="51"/>
  <c r="C4715" i="51"/>
  <c r="C4716" i="51"/>
  <c r="C4717" i="51"/>
  <c r="C4718" i="51"/>
  <c r="C4719" i="51"/>
  <c r="C4720" i="51"/>
  <c r="C4721" i="51"/>
  <c r="C4722" i="51"/>
  <c r="C4723" i="51"/>
  <c r="C4724" i="51"/>
  <c r="C4725" i="51"/>
  <c r="C4726" i="51"/>
  <c r="C4727" i="51"/>
  <c r="C4728" i="51"/>
  <c r="C4729" i="51"/>
  <c r="C4730" i="51"/>
  <c r="C4731" i="51"/>
  <c r="C4732" i="51"/>
  <c r="C4733" i="51"/>
  <c r="C4734" i="51"/>
  <c r="C4735" i="51"/>
  <c r="C4736" i="51"/>
  <c r="C4737" i="51"/>
  <c r="C4738" i="51"/>
  <c r="C4739" i="51"/>
  <c r="C4740" i="51"/>
  <c r="C4741" i="51"/>
  <c r="C4742" i="51"/>
  <c r="C4743" i="51"/>
  <c r="C4744" i="51"/>
  <c r="C4745" i="51"/>
  <c r="C4746" i="51"/>
  <c r="C4747" i="51"/>
  <c r="C4748" i="51"/>
  <c r="C4749" i="51"/>
  <c r="C4750" i="51"/>
  <c r="C4751" i="51"/>
  <c r="C4752" i="51"/>
  <c r="C4753" i="51"/>
  <c r="C4754" i="51"/>
  <c r="C4755" i="51"/>
  <c r="C4756" i="51"/>
  <c r="C4757" i="51"/>
  <c r="C4758" i="51"/>
  <c r="C4759" i="51"/>
  <c r="C4760" i="51"/>
  <c r="C4761" i="51"/>
  <c r="C4762" i="51"/>
  <c r="C4763" i="51"/>
  <c r="C4764" i="51"/>
  <c r="C4765" i="51"/>
  <c r="C4766" i="51"/>
  <c r="C4767" i="51"/>
  <c r="C4768" i="51"/>
  <c r="C4769" i="51"/>
  <c r="C4770" i="51"/>
  <c r="C4771" i="51"/>
  <c r="C4772" i="51"/>
  <c r="C4773" i="51"/>
  <c r="C4774" i="51"/>
  <c r="C4775" i="51"/>
  <c r="C4776" i="51"/>
  <c r="C4777" i="51"/>
  <c r="C4778" i="51"/>
  <c r="C4779" i="51"/>
  <c r="C4780" i="51"/>
  <c r="C4781" i="51"/>
  <c r="C4782" i="51"/>
  <c r="C4783" i="51"/>
  <c r="C4784" i="51"/>
  <c r="C4785" i="51"/>
  <c r="C4786" i="51"/>
  <c r="C4787" i="51"/>
  <c r="C4788" i="51"/>
  <c r="C4789" i="51"/>
  <c r="C4790" i="51"/>
  <c r="C4791" i="51"/>
  <c r="C4792" i="51"/>
  <c r="C4793" i="51"/>
  <c r="C4794" i="51"/>
  <c r="C4795" i="51"/>
  <c r="C4796" i="51"/>
  <c r="C4797" i="51"/>
  <c r="C4798" i="51"/>
  <c r="C4799" i="51"/>
  <c r="C4800" i="51"/>
  <c r="C4801" i="51"/>
  <c r="C4802" i="51"/>
  <c r="C4803" i="51"/>
  <c r="C4804" i="51"/>
  <c r="C4805" i="51"/>
  <c r="C4806" i="51"/>
  <c r="C4807" i="51"/>
  <c r="C4808" i="51"/>
  <c r="C4809" i="51"/>
  <c r="C4810" i="51"/>
  <c r="C4811" i="51"/>
  <c r="C4812" i="51"/>
  <c r="C4813" i="51"/>
  <c r="C4814" i="51"/>
  <c r="C4815" i="51"/>
  <c r="C4816" i="51"/>
  <c r="C4817" i="51"/>
  <c r="C4818" i="51"/>
  <c r="C4819" i="51"/>
  <c r="C4820" i="51"/>
  <c r="C4821" i="51"/>
  <c r="C4822" i="51"/>
  <c r="C4823" i="51"/>
  <c r="C4824" i="51"/>
  <c r="C4825" i="51"/>
  <c r="C4826" i="51"/>
  <c r="C4827" i="51"/>
  <c r="C4828" i="51"/>
  <c r="C4829" i="51"/>
  <c r="C4830" i="51"/>
  <c r="C4831" i="51"/>
  <c r="C4832" i="51"/>
  <c r="C4833" i="51"/>
  <c r="C4834" i="51"/>
  <c r="C4835" i="51"/>
  <c r="C4836" i="51"/>
  <c r="C4837" i="51"/>
  <c r="C4838" i="51"/>
  <c r="C4839" i="51"/>
  <c r="C4840" i="51"/>
  <c r="C4841" i="51"/>
  <c r="C4842" i="51"/>
  <c r="C4843" i="51"/>
  <c r="C4844" i="51"/>
  <c r="C4845" i="51"/>
  <c r="C4846" i="51"/>
  <c r="C4847" i="51"/>
  <c r="C4848" i="51"/>
  <c r="C4849" i="51"/>
  <c r="C4850" i="51"/>
  <c r="C4851" i="51"/>
  <c r="C4852" i="51"/>
  <c r="C4853" i="51"/>
  <c r="C4854" i="51"/>
  <c r="C4855" i="51"/>
  <c r="C4856" i="51"/>
  <c r="C4857" i="51"/>
  <c r="C4858" i="51"/>
  <c r="C4859" i="51"/>
  <c r="C4860" i="51"/>
  <c r="C4861" i="51"/>
  <c r="C4862" i="51"/>
  <c r="C4863" i="51"/>
  <c r="C4864" i="51"/>
  <c r="C4865" i="51"/>
  <c r="C4866" i="51"/>
  <c r="C4867" i="51"/>
  <c r="C4868" i="51"/>
  <c r="C4869" i="51"/>
  <c r="C4870" i="51"/>
  <c r="C4871" i="51"/>
  <c r="C4872" i="51"/>
  <c r="C4873" i="51"/>
  <c r="C4874" i="51"/>
  <c r="C4875" i="51"/>
  <c r="C4876" i="51"/>
  <c r="C4877" i="51"/>
  <c r="C4878" i="51"/>
  <c r="C4879" i="51"/>
  <c r="C4880" i="51"/>
  <c r="C4881" i="51"/>
  <c r="C4882" i="51"/>
  <c r="C4883" i="51"/>
  <c r="C4884" i="51"/>
  <c r="C4885" i="51"/>
  <c r="C4886" i="51"/>
  <c r="C4887" i="51"/>
  <c r="C4888" i="51"/>
  <c r="C4889" i="51"/>
  <c r="C4890" i="51"/>
  <c r="C4891" i="51"/>
  <c r="C4892" i="51"/>
  <c r="C4893" i="51"/>
  <c r="C4894" i="51"/>
  <c r="C4895" i="51"/>
  <c r="C4896" i="51"/>
  <c r="C4897" i="51"/>
  <c r="C4898" i="51"/>
  <c r="C4899" i="51"/>
  <c r="C4900" i="51"/>
  <c r="C4901" i="51"/>
  <c r="C4902" i="51"/>
  <c r="C4903" i="51"/>
  <c r="C4904" i="51"/>
  <c r="C4905" i="51"/>
  <c r="C4906" i="51"/>
  <c r="C4907" i="51"/>
  <c r="C4908" i="51"/>
  <c r="C4909" i="51"/>
  <c r="C4910" i="51"/>
  <c r="C4911" i="51"/>
  <c r="C4912" i="51"/>
  <c r="C4913" i="51"/>
  <c r="C4914" i="51"/>
  <c r="C4915" i="51"/>
  <c r="C4916" i="51"/>
  <c r="C4917" i="51"/>
  <c r="C4918" i="51"/>
  <c r="C4919" i="51"/>
  <c r="C4920" i="51"/>
  <c r="C4921" i="51"/>
  <c r="C4922" i="51"/>
  <c r="C4923" i="51"/>
  <c r="C4924" i="51"/>
  <c r="C4925" i="51"/>
  <c r="C4926" i="51"/>
  <c r="C4927" i="51"/>
  <c r="C4928" i="51"/>
  <c r="C4929" i="51"/>
  <c r="C4930" i="51"/>
  <c r="C4931" i="51"/>
  <c r="C4932" i="51"/>
  <c r="C4933" i="51"/>
  <c r="C4934" i="51"/>
  <c r="C4935" i="51"/>
  <c r="C4936" i="51"/>
  <c r="C4937" i="51"/>
  <c r="C4938" i="51"/>
  <c r="C4939" i="51"/>
  <c r="C4940" i="51"/>
  <c r="C4941" i="51"/>
  <c r="C4942" i="51"/>
  <c r="C4943" i="51"/>
  <c r="C4944" i="51"/>
  <c r="C4945" i="51"/>
  <c r="C4946" i="51"/>
  <c r="C4947" i="51"/>
  <c r="C4948" i="51"/>
  <c r="C4949" i="51"/>
  <c r="C4950" i="51"/>
  <c r="C4951" i="51"/>
  <c r="C4952" i="51"/>
  <c r="C4953" i="51"/>
  <c r="C4954" i="51"/>
  <c r="C4955" i="51"/>
  <c r="C4956" i="51"/>
  <c r="C4957" i="51"/>
  <c r="C4958" i="51"/>
  <c r="C4959" i="51"/>
  <c r="C4960" i="51"/>
  <c r="C4961" i="51"/>
  <c r="C4962" i="51"/>
  <c r="C4963" i="51"/>
  <c r="C4964" i="51"/>
  <c r="C4965" i="51"/>
  <c r="C4966" i="51"/>
  <c r="C4967" i="51"/>
  <c r="C4968" i="51"/>
  <c r="C4969" i="51"/>
  <c r="C4970" i="51"/>
  <c r="C4971" i="51"/>
  <c r="C4972" i="51"/>
  <c r="C4973" i="51"/>
  <c r="C4974" i="51"/>
  <c r="C4975" i="51"/>
  <c r="C4976" i="51"/>
  <c r="C4977" i="51"/>
  <c r="C4978" i="51"/>
  <c r="C4979" i="51"/>
  <c r="C4980" i="51"/>
  <c r="C4981" i="51"/>
  <c r="C4982" i="51"/>
  <c r="C4983" i="51"/>
  <c r="C4984" i="51"/>
  <c r="C4985" i="51"/>
  <c r="C4986" i="51"/>
  <c r="C4987" i="51"/>
  <c r="C4988" i="51"/>
  <c r="C4989" i="51"/>
  <c r="C4990" i="51"/>
  <c r="C4991" i="51"/>
  <c r="C4992" i="51"/>
  <c r="C4993" i="51"/>
  <c r="C4994" i="51"/>
  <c r="C4995" i="51"/>
  <c r="C4996" i="51"/>
  <c r="C4997" i="51"/>
  <c r="C4998" i="51"/>
  <c r="C4999" i="51"/>
  <c r="C5000" i="51"/>
  <c r="C5001" i="51"/>
  <c r="C5002" i="51"/>
  <c r="C5003" i="51"/>
  <c r="C5004" i="51"/>
  <c r="C5005" i="51"/>
  <c r="C5006" i="51"/>
  <c r="C5007" i="51"/>
  <c r="D2008" i="51"/>
  <c r="D2009" i="51"/>
  <c r="D2010" i="51"/>
  <c r="D2011" i="51"/>
  <c r="D2012" i="51"/>
  <c r="D2013" i="51"/>
  <c r="D2014" i="51"/>
  <c r="D2015" i="51"/>
  <c r="D2016" i="51"/>
  <c r="D2017" i="51"/>
  <c r="D2018" i="51"/>
  <c r="D2019" i="51"/>
  <c r="D2020" i="51"/>
  <c r="D2021" i="51"/>
  <c r="D2022" i="51"/>
  <c r="D2023" i="51"/>
  <c r="D2024" i="51"/>
  <c r="D2025" i="51"/>
  <c r="D2026" i="51"/>
  <c r="D2027" i="51"/>
  <c r="D2028" i="51"/>
  <c r="D2029" i="51"/>
  <c r="D2030" i="51"/>
  <c r="D2031" i="51"/>
  <c r="D2032" i="51"/>
  <c r="D2033" i="51"/>
  <c r="D2034" i="51"/>
  <c r="D2035" i="51"/>
  <c r="D2036" i="51"/>
  <c r="D2037" i="51"/>
  <c r="D2038" i="51"/>
  <c r="D2039" i="51"/>
  <c r="D2040" i="51"/>
  <c r="D2041" i="51"/>
  <c r="D2042" i="51"/>
  <c r="D2043" i="51"/>
  <c r="D2044" i="51"/>
  <c r="D2045" i="51"/>
  <c r="D2046" i="51"/>
  <c r="D2047" i="51"/>
  <c r="D2048" i="51"/>
  <c r="D2049" i="51"/>
  <c r="D2050" i="51"/>
  <c r="D2051" i="51"/>
  <c r="D2052" i="51"/>
  <c r="D2053" i="51"/>
  <c r="D2054" i="51"/>
  <c r="D2055" i="51"/>
  <c r="D2056" i="51"/>
  <c r="D2057" i="51"/>
  <c r="D2058" i="51"/>
  <c r="D2059" i="51"/>
  <c r="D2060" i="51"/>
  <c r="D2061" i="51"/>
  <c r="D2062" i="51"/>
  <c r="D2063" i="51"/>
  <c r="D2064" i="51"/>
  <c r="D2065" i="51"/>
  <c r="D2066" i="51"/>
  <c r="D2067" i="51"/>
  <c r="D2068" i="51"/>
  <c r="D2069" i="51"/>
  <c r="D2070" i="51"/>
  <c r="D2071" i="51"/>
  <c r="D2072" i="51"/>
  <c r="D2073" i="51"/>
  <c r="D2074" i="51"/>
  <c r="D2075" i="51"/>
  <c r="D2076" i="51"/>
  <c r="D2077" i="51"/>
  <c r="D2078" i="51"/>
  <c r="D2079" i="51"/>
  <c r="D2080" i="51"/>
  <c r="D2081" i="51"/>
  <c r="D2082" i="51"/>
  <c r="D2083" i="51"/>
  <c r="D2084" i="51"/>
  <c r="D2085" i="51"/>
  <c r="D2086" i="51"/>
  <c r="D2087" i="51"/>
  <c r="D2088" i="51"/>
  <c r="D2089" i="51"/>
  <c r="D2090" i="51"/>
  <c r="D2091" i="51"/>
  <c r="D2092" i="51"/>
  <c r="D2093" i="51"/>
  <c r="D2094" i="51"/>
  <c r="D2095" i="51"/>
  <c r="D2096" i="51"/>
  <c r="D2097" i="51"/>
  <c r="D2098" i="51"/>
  <c r="D2099" i="51"/>
  <c r="D2100" i="51"/>
  <c r="D2101" i="51"/>
  <c r="D2102" i="51"/>
  <c r="D2103" i="51"/>
  <c r="D2104" i="51"/>
  <c r="D2105" i="51"/>
  <c r="D2106" i="51"/>
  <c r="D2107" i="51"/>
  <c r="D2108" i="51"/>
  <c r="D2109" i="51"/>
  <c r="D2110" i="51"/>
  <c r="D2111" i="51"/>
  <c r="D2112" i="51"/>
  <c r="D2113" i="51"/>
  <c r="D2114" i="51"/>
  <c r="D2115" i="51"/>
  <c r="D2116" i="51"/>
  <c r="D2117" i="51"/>
  <c r="D2118" i="51"/>
  <c r="D2119" i="51"/>
  <c r="D2120" i="51"/>
  <c r="D2121" i="51"/>
  <c r="D2122" i="51"/>
  <c r="D2123" i="51"/>
  <c r="D2124" i="51"/>
  <c r="D2125" i="51"/>
  <c r="D2126" i="51"/>
  <c r="D2127" i="51"/>
  <c r="D2128" i="51"/>
  <c r="D2129" i="51"/>
  <c r="D2130" i="51"/>
  <c r="D2131" i="51"/>
  <c r="D2132" i="51"/>
  <c r="D2133" i="51"/>
  <c r="D2134" i="51"/>
  <c r="D2135" i="51"/>
  <c r="D2136" i="51"/>
  <c r="D2137" i="51"/>
  <c r="D2138" i="51"/>
  <c r="D2139" i="51"/>
  <c r="D2140" i="51"/>
  <c r="D2141" i="51"/>
  <c r="D2142" i="51"/>
  <c r="D2143" i="51"/>
  <c r="D2144" i="51"/>
  <c r="D2145" i="51"/>
  <c r="D2146" i="51"/>
  <c r="D2147" i="51"/>
  <c r="D2148" i="51"/>
  <c r="D2149" i="51"/>
  <c r="D2150" i="51"/>
  <c r="D2151" i="51"/>
  <c r="D2152" i="51"/>
  <c r="D2153" i="51"/>
  <c r="D2154" i="51"/>
  <c r="D2155" i="51"/>
  <c r="D2156" i="51"/>
  <c r="D2157" i="51"/>
  <c r="D2158" i="51"/>
  <c r="D2159" i="51"/>
  <c r="D2160" i="51"/>
  <c r="D2161" i="51"/>
  <c r="D2162" i="51"/>
  <c r="D2163" i="51"/>
  <c r="D2164" i="51"/>
  <c r="D2165" i="51"/>
  <c r="D2166" i="51"/>
  <c r="D2167" i="51"/>
  <c r="D2168" i="51"/>
  <c r="D2169" i="51"/>
  <c r="D2170" i="51"/>
  <c r="D2171" i="51"/>
  <c r="D2172" i="51"/>
  <c r="D2173" i="51"/>
  <c r="D2174" i="51"/>
  <c r="D2175" i="51"/>
  <c r="D2176" i="51"/>
  <c r="D2177" i="51"/>
  <c r="D2178" i="51"/>
  <c r="D2179" i="51"/>
  <c r="D2180" i="51"/>
  <c r="D2181" i="51"/>
  <c r="D2182" i="51"/>
  <c r="D2183" i="51"/>
  <c r="D2184" i="51"/>
  <c r="D2185" i="51"/>
  <c r="D2186" i="51"/>
  <c r="D2187" i="51"/>
  <c r="D2188" i="51"/>
  <c r="D2189" i="51"/>
  <c r="D2190" i="51"/>
  <c r="D2191" i="51"/>
  <c r="D2192" i="51"/>
  <c r="D2193" i="51"/>
  <c r="D2194" i="51"/>
  <c r="D2195" i="51"/>
  <c r="D2196" i="51"/>
  <c r="D2197" i="51"/>
  <c r="D2198" i="51"/>
  <c r="D2199" i="51"/>
  <c r="D2200" i="51"/>
  <c r="D2201" i="51"/>
  <c r="D2202" i="51"/>
  <c r="D2203" i="51"/>
  <c r="D2204" i="51"/>
  <c r="D2205" i="51"/>
  <c r="D2206" i="51"/>
  <c r="D2207" i="51"/>
  <c r="D2208" i="51"/>
  <c r="D2209" i="51"/>
  <c r="D2210" i="51"/>
  <c r="D2211" i="51"/>
  <c r="D2212" i="51"/>
  <c r="D2213" i="51"/>
  <c r="D2214" i="51"/>
  <c r="D2215" i="51"/>
  <c r="D2216" i="51"/>
  <c r="D2217" i="51"/>
  <c r="D2218" i="51"/>
  <c r="D2219" i="51"/>
  <c r="D2220" i="51"/>
  <c r="D2221" i="51"/>
  <c r="D2222" i="51"/>
  <c r="D2223" i="51"/>
  <c r="D2224" i="51"/>
  <c r="D2225" i="51"/>
  <c r="D2226" i="51"/>
  <c r="D2227" i="51"/>
  <c r="D2228" i="51"/>
  <c r="D2229" i="51"/>
  <c r="D2230" i="51"/>
  <c r="D2231" i="51"/>
  <c r="D2232" i="51"/>
  <c r="D2233" i="51"/>
  <c r="D2234" i="51"/>
  <c r="D2235" i="51"/>
  <c r="D2236" i="51"/>
  <c r="D2237" i="51"/>
  <c r="D2238" i="51"/>
  <c r="D2239" i="51"/>
  <c r="D2240" i="51"/>
  <c r="D2241" i="51"/>
  <c r="D2242" i="51"/>
  <c r="D2243" i="51"/>
  <c r="D2244" i="51"/>
  <c r="D2245" i="51"/>
  <c r="D2246" i="51"/>
  <c r="D2247" i="51"/>
  <c r="D2248" i="51"/>
  <c r="D2249" i="51"/>
  <c r="D2250" i="51"/>
  <c r="D2251" i="51"/>
  <c r="D2252" i="51"/>
  <c r="D2253" i="51"/>
  <c r="D2254" i="51"/>
  <c r="D2255" i="51"/>
  <c r="D2256" i="51"/>
  <c r="D2257" i="51"/>
  <c r="D2258" i="51"/>
  <c r="D2259" i="51"/>
  <c r="D2260" i="51"/>
  <c r="D2261" i="51"/>
  <c r="D2262" i="51"/>
  <c r="D2263" i="51"/>
  <c r="D2264" i="51"/>
  <c r="D2265" i="51"/>
  <c r="D2266" i="51"/>
  <c r="D2267" i="51"/>
  <c r="D2268" i="51"/>
  <c r="D2269" i="51"/>
  <c r="D2270" i="51"/>
  <c r="D2271" i="51"/>
  <c r="D2272" i="51"/>
  <c r="D2273" i="51"/>
  <c r="D2274" i="51"/>
  <c r="D2275" i="51"/>
  <c r="D2276" i="51"/>
  <c r="D2277" i="51"/>
  <c r="D2278" i="51"/>
  <c r="D2279" i="51"/>
  <c r="D2280" i="51"/>
  <c r="D2281" i="51"/>
  <c r="D2282" i="51"/>
  <c r="D2283" i="51"/>
  <c r="D2284" i="51"/>
  <c r="D2285" i="51"/>
  <c r="D2286" i="51"/>
  <c r="D2287" i="51"/>
  <c r="D2288" i="51"/>
  <c r="D2289" i="51"/>
  <c r="D2290" i="51"/>
  <c r="D2291" i="51"/>
  <c r="D2292" i="51"/>
  <c r="D2293" i="51"/>
  <c r="D2294" i="51"/>
  <c r="D2295" i="51"/>
  <c r="D2296" i="51"/>
  <c r="D2297" i="51"/>
  <c r="D2298" i="51"/>
  <c r="D2299" i="51"/>
  <c r="D2300" i="51"/>
  <c r="D2301" i="51"/>
  <c r="D2302" i="51"/>
  <c r="D2303" i="51"/>
  <c r="D2304" i="51"/>
  <c r="D2305" i="51"/>
  <c r="D2306" i="51"/>
  <c r="D2307" i="51"/>
  <c r="D2308" i="51"/>
  <c r="D2309" i="51"/>
  <c r="D2310" i="51"/>
  <c r="D2311" i="51"/>
  <c r="D2312" i="51"/>
  <c r="D2313" i="51"/>
  <c r="D2314" i="51"/>
  <c r="D2315" i="51"/>
  <c r="D2316" i="51"/>
  <c r="D2317" i="51"/>
  <c r="D2318" i="51"/>
  <c r="D2319" i="51"/>
  <c r="D2320" i="51"/>
  <c r="D2321" i="51"/>
  <c r="D2322" i="51"/>
  <c r="D2323" i="51"/>
  <c r="D2324" i="51"/>
  <c r="D2325" i="51"/>
  <c r="D2326" i="51"/>
  <c r="D2327" i="51"/>
  <c r="D2328" i="51"/>
  <c r="D2329" i="51"/>
  <c r="D2330" i="51"/>
  <c r="D2331" i="51"/>
  <c r="D2332" i="51"/>
  <c r="D2333" i="51"/>
  <c r="D2334" i="51"/>
  <c r="D2335" i="51"/>
  <c r="D2336" i="51"/>
  <c r="D2337" i="51"/>
  <c r="D2338" i="51"/>
  <c r="D2339" i="51"/>
  <c r="D2340" i="51"/>
  <c r="D2341" i="51"/>
  <c r="D2342" i="51"/>
  <c r="D2343" i="51"/>
  <c r="D2344" i="51"/>
  <c r="D2345" i="51"/>
  <c r="D2346" i="51"/>
  <c r="D2347" i="51"/>
  <c r="D2348" i="51"/>
  <c r="D2349" i="51"/>
  <c r="D2350" i="51"/>
  <c r="D2351" i="51"/>
  <c r="D2352" i="51"/>
  <c r="D2353" i="51"/>
  <c r="D2354" i="51"/>
  <c r="D2355" i="51"/>
  <c r="D2356" i="51"/>
  <c r="D2357" i="51"/>
  <c r="D2358" i="51"/>
  <c r="D2359" i="51"/>
  <c r="D2360" i="51"/>
  <c r="D2361" i="51"/>
  <c r="D2362" i="51"/>
  <c r="D2363" i="51"/>
  <c r="D2364" i="51"/>
  <c r="D2365" i="51"/>
  <c r="D2366" i="51"/>
  <c r="D2367" i="51"/>
  <c r="D2368" i="51"/>
  <c r="D2369" i="51"/>
  <c r="D2370" i="51"/>
  <c r="D2371" i="51"/>
  <c r="D2372" i="51"/>
  <c r="D2373" i="51"/>
  <c r="D2374" i="51"/>
  <c r="D2375" i="51"/>
  <c r="D2376" i="51"/>
  <c r="D2377" i="51"/>
  <c r="D2378" i="51"/>
  <c r="D2379" i="51"/>
  <c r="D2380" i="51"/>
  <c r="D2381" i="51"/>
  <c r="D2382" i="51"/>
  <c r="D2383" i="51"/>
  <c r="D2384" i="51"/>
  <c r="D2385" i="51"/>
  <c r="D2386" i="51"/>
  <c r="D2387" i="51"/>
  <c r="D2388" i="51"/>
  <c r="D2389" i="51"/>
  <c r="D2390" i="51"/>
  <c r="D2391" i="51"/>
  <c r="D2392" i="51"/>
  <c r="D2393" i="51"/>
  <c r="D2394" i="51"/>
  <c r="D2395" i="51"/>
  <c r="D2396" i="51"/>
  <c r="D2397" i="51"/>
  <c r="D2398" i="51"/>
  <c r="D2399" i="51"/>
  <c r="D2400" i="51"/>
  <c r="D2401" i="51"/>
  <c r="D2402" i="51"/>
  <c r="D2403" i="51"/>
  <c r="D2404" i="51"/>
  <c r="D2405" i="51"/>
  <c r="D2406" i="51"/>
  <c r="D2407" i="51"/>
  <c r="D2408" i="51"/>
  <c r="D2409" i="51"/>
  <c r="D2410" i="51"/>
  <c r="D2411" i="51"/>
  <c r="D2412" i="51"/>
  <c r="D2413" i="51"/>
  <c r="D2414" i="51"/>
  <c r="D2415" i="51"/>
  <c r="D2416" i="51"/>
  <c r="D2417" i="51"/>
  <c r="D2418" i="51"/>
  <c r="D2419" i="51"/>
  <c r="D2420" i="51"/>
  <c r="D2421" i="51"/>
  <c r="D2422" i="51"/>
  <c r="D2423" i="51"/>
  <c r="D2424" i="51"/>
  <c r="D2425" i="51"/>
  <c r="D2426" i="51"/>
  <c r="D2427" i="51"/>
  <c r="D2428" i="51"/>
  <c r="D2429" i="51"/>
  <c r="D2430" i="51"/>
  <c r="D2431" i="51"/>
  <c r="D2432" i="51"/>
  <c r="D2433" i="51"/>
  <c r="D2434" i="51"/>
  <c r="D2435" i="51"/>
  <c r="D2436" i="51"/>
  <c r="D2437" i="51"/>
  <c r="D2438" i="51"/>
  <c r="D2439" i="51"/>
  <c r="D2440" i="51"/>
  <c r="D2441" i="51"/>
  <c r="D2442" i="51"/>
  <c r="D2443" i="51"/>
  <c r="D2444" i="51"/>
  <c r="D2445" i="51"/>
  <c r="D2446" i="51"/>
  <c r="D2447" i="51"/>
  <c r="D2448" i="51"/>
  <c r="D2449" i="51"/>
  <c r="D2450" i="51"/>
  <c r="D2451" i="51"/>
  <c r="D2452" i="51"/>
  <c r="D2453" i="51"/>
  <c r="D2454" i="51"/>
  <c r="D2455" i="51"/>
  <c r="D2456" i="51"/>
  <c r="D2457" i="51"/>
  <c r="D2458" i="51"/>
  <c r="D2459" i="51"/>
  <c r="D2460" i="51"/>
  <c r="D2461" i="51"/>
  <c r="D2462" i="51"/>
  <c r="D2463" i="51"/>
  <c r="D2464" i="51"/>
  <c r="D2465" i="51"/>
  <c r="D2466" i="51"/>
  <c r="D2467" i="51"/>
  <c r="D2468" i="51"/>
  <c r="D2469" i="51"/>
  <c r="D2470" i="51"/>
  <c r="D2471" i="51"/>
  <c r="D2472" i="51"/>
  <c r="D2473" i="51"/>
  <c r="D2474" i="51"/>
  <c r="D2475" i="51"/>
  <c r="D2476" i="51"/>
  <c r="D2477" i="51"/>
  <c r="D2478" i="51"/>
  <c r="D2479" i="51"/>
  <c r="D2480" i="51"/>
  <c r="D2481" i="51"/>
  <c r="D2482" i="51"/>
  <c r="D2483" i="51"/>
  <c r="D2484" i="51"/>
  <c r="D2485" i="51"/>
  <c r="D2486" i="51"/>
  <c r="D2487" i="51"/>
  <c r="D2488" i="51"/>
  <c r="D2489" i="51"/>
  <c r="D2490" i="51"/>
  <c r="D2491" i="51"/>
  <c r="D2492" i="51"/>
  <c r="D2493" i="51"/>
  <c r="D2494" i="51"/>
  <c r="D2495" i="51"/>
  <c r="D2496" i="51"/>
  <c r="D2497" i="51"/>
  <c r="D2498" i="51"/>
  <c r="D2499" i="51"/>
  <c r="D2500" i="51"/>
  <c r="D2501" i="51"/>
  <c r="D2502" i="51"/>
  <c r="D2503" i="51"/>
  <c r="D2504" i="51"/>
  <c r="D2505" i="51"/>
  <c r="D2506" i="51"/>
  <c r="D2507" i="51"/>
  <c r="D2508" i="51"/>
  <c r="D2509" i="51"/>
  <c r="D2510" i="51"/>
  <c r="D2511" i="51"/>
  <c r="D2512" i="51"/>
  <c r="D2513" i="51"/>
  <c r="D2514" i="51"/>
  <c r="D2515" i="51"/>
  <c r="D2516" i="51"/>
  <c r="D2517" i="51"/>
  <c r="D2518" i="51"/>
  <c r="D2519" i="51"/>
  <c r="D2520" i="51"/>
  <c r="D2521" i="51"/>
  <c r="D2522" i="51"/>
  <c r="D2523" i="51"/>
  <c r="D2524" i="51"/>
  <c r="D2525" i="51"/>
  <c r="D2526" i="51"/>
  <c r="D2527" i="51"/>
  <c r="D2528" i="51"/>
  <c r="D2529" i="51"/>
  <c r="D2530" i="51"/>
  <c r="D2531" i="51"/>
  <c r="D2532" i="51"/>
  <c r="D2533" i="51"/>
  <c r="D2534" i="51"/>
  <c r="D2535" i="51"/>
  <c r="D2536" i="51"/>
  <c r="D2537" i="51"/>
  <c r="D2538" i="51"/>
  <c r="D2539" i="51"/>
  <c r="D2540" i="51"/>
  <c r="D2541" i="51"/>
  <c r="D2542" i="51"/>
  <c r="D2543" i="51"/>
  <c r="D2544" i="51"/>
  <c r="D2545" i="51"/>
  <c r="D2546" i="51"/>
  <c r="D2547" i="51"/>
  <c r="D2548" i="51"/>
  <c r="D2549" i="51"/>
  <c r="D2550" i="51"/>
  <c r="D2551" i="51"/>
  <c r="D2552" i="51"/>
  <c r="D2553" i="51"/>
  <c r="D2554" i="51"/>
  <c r="D2555" i="51"/>
  <c r="D2556" i="51"/>
  <c r="D2557" i="51"/>
  <c r="D2558" i="51"/>
  <c r="D2559" i="51"/>
  <c r="D2560" i="51"/>
  <c r="D2561" i="51"/>
  <c r="D2562" i="51"/>
  <c r="D2563" i="51"/>
  <c r="D2564" i="51"/>
  <c r="D2565" i="51"/>
  <c r="D2566" i="51"/>
  <c r="D2567" i="51"/>
  <c r="D2568" i="51"/>
  <c r="D2569" i="51"/>
  <c r="D2570" i="51"/>
  <c r="D2571" i="51"/>
  <c r="D2572" i="51"/>
  <c r="D2573" i="51"/>
  <c r="D2574" i="51"/>
  <c r="D2575" i="51"/>
  <c r="D2576" i="51"/>
  <c r="D2577" i="51"/>
  <c r="D2578" i="51"/>
  <c r="D2579" i="51"/>
  <c r="D2580" i="51"/>
  <c r="D2581" i="51"/>
  <c r="D2582" i="51"/>
  <c r="D2583" i="51"/>
  <c r="D2584" i="51"/>
  <c r="D2585" i="51"/>
  <c r="D2586" i="51"/>
  <c r="D2587" i="51"/>
  <c r="D2588" i="51"/>
  <c r="D2589" i="51"/>
  <c r="D2590" i="51"/>
  <c r="D2591" i="51"/>
  <c r="D2592" i="51"/>
  <c r="D2593" i="51"/>
  <c r="D2594" i="51"/>
  <c r="D2595" i="51"/>
  <c r="D2596" i="51"/>
  <c r="D2597" i="51"/>
  <c r="D2598" i="51"/>
  <c r="D2599" i="51"/>
  <c r="D2600" i="51"/>
  <c r="D2601" i="51"/>
  <c r="D2602" i="51"/>
  <c r="D2603" i="51"/>
  <c r="D2604" i="51"/>
  <c r="D2605" i="51"/>
  <c r="D2606" i="51"/>
  <c r="D2607" i="51"/>
  <c r="D2608" i="51"/>
  <c r="D2609" i="51"/>
  <c r="D2610" i="51"/>
  <c r="D2611" i="51"/>
  <c r="D2612" i="51"/>
  <c r="D2613" i="51"/>
  <c r="D2614" i="51"/>
  <c r="D2615" i="51"/>
  <c r="D2616" i="51"/>
  <c r="D2617" i="51"/>
  <c r="D2618" i="51"/>
  <c r="D2619" i="51"/>
  <c r="D2620" i="51"/>
  <c r="D2621" i="51"/>
  <c r="D2622" i="51"/>
  <c r="D2623" i="51"/>
  <c r="D2624" i="51"/>
  <c r="D2625" i="51"/>
  <c r="D2626" i="51"/>
  <c r="D2627" i="51"/>
  <c r="D2628" i="51"/>
  <c r="D2629" i="51"/>
  <c r="D2630" i="51"/>
  <c r="D2631" i="51"/>
  <c r="D2632" i="51"/>
  <c r="D2633" i="51"/>
  <c r="D2634" i="51"/>
  <c r="D2635" i="51"/>
  <c r="D2636" i="51"/>
  <c r="D2637" i="51"/>
  <c r="D2638" i="51"/>
  <c r="D2639" i="51"/>
  <c r="D2640" i="51"/>
  <c r="D2641" i="51"/>
  <c r="D2642" i="51"/>
  <c r="D2643" i="51"/>
  <c r="D2644" i="51"/>
  <c r="D2645" i="51"/>
  <c r="D2646" i="51"/>
  <c r="D2647" i="51"/>
  <c r="D2648" i="51"/>
  <c r="D2649" i="51"/>
  <c r="D2650" i="51"/>
  <c r="D2651" i="51"/>
  <c r="D2652" i="51"/>
  <c r="D2653" i="51"/>
  <c r="D2654" i="51"/>
  <c r="D2655" i="51"/>
  <c r="D2656" i="51"/>
  <c r="D2657" i="51"/>
  <c r="D2658" i="51"/>
  <c r="D2659" i="51"/>
  <c r="D2660" i="51"/>
  <c r="D2661" i="51"/>
  <c r="D2662" i="51"/>
  <c r="D2663" i="51"/>
  <c r="D2664" i="51"/>
  <c r="D2665" i="51"/>
  <c r="D2666" i="51"/>
  <c r="D2667" i="51"/>
  <c r="D2668" i="51"/>
  <c r="D2669" i="51"/>
  <c r="D2670" i="51"/>
  <c r="D2671" i="51"/>
  <c r="D2672" i="51"/>
  <c r="D2673" i="51"/>
  <c r="D2674" i="51"/>
  <c r="D2675" i="51"/>
  <c r="D2676" i="51"/>
  <c r="D2677" i="51"/>
  <c r="D2678" i="51"/>
  <c r="D2679" i="51"/>
  <c r="D2680" i="51"/>
  <c r="D2681" i="51"/>
  <c r="D2682" i="51"/>
  <c r="D2683" i="51"/>
  <c r="D2684" i="51"/>
  <c r="D2685" i="51"/>
  <c r="D2686" i="51"/>
  <c r="D2687" i="51"/>
  <c r="D2688" i="51"/>
  <c r="D2689" i="51"/>
  <c r="D2690" i="51"/>
  <c r="D2691" i="51"/>
  <c r="D2692" i="51"/>
  <c r="D2693" i="51"/>
  <c r="D2694" i="51"/>
  <c r="D2695" i="51"/>
  <c r="D2696" i="51"/>
  <c r="D2697" i="51"/>
  <c r="D2698" i="51"/>
  <c r="D2699" i="51"/>
  <c r="D2700" i="51"/>
  <c r="D2701" i="51"/>
  <c r="D2702" i="51"/>
  <c r="D2703" i="51"/>
  <c r="D2704" i="51"/>
  <c r="D2705" i="51"/>
  <c r="D2706" i="51"/>
  <c r="D2707" i="51"/>
  <c r="D2708" i="51"/>
  <c r="D2709" i="51"/>
  <c r="D2710" i="51"/>
  <c r="D2711" i="51"/>
  <c r="D2712" i="51"/>
  <c r="D2713" i="51"/>
  <c r="D2714" i="51"/>
  <c r="D2715" i="51"/>
  <c r="D2716" i="51"/>
  <c r="D2717" i="51"/>
  <c r="D2718" i="51"/>
  <c r="D2719" i="51"/>
  <c r="D2720" i="51"/>
  <c r="D2721" i="51"/>
  <c r="D2722" i="51"/>
  <c r="D2723" i="51"/>
  <c r="D2724" i="51"/>
  <c r="D2725" i="51"/>
  <c r="D2726" i="51"/>
  <c r="D2727" i="51"/>
  <c r="D2728" i="51"/>
  <c r="D2729" i="51"/>
  <c r="D2730" i="51"/>
  <c r="D2731" i="51"/>
  <c r="D2732" i="51"/>
  <c r="D2733" i="51"/>
  <c r="D2734" i="51"/>
  <c r="D2735" i="51"/>
  <c r="D2736" i="51"/>
  <c r="D2737" i="51"/>
  <c r="D2738" i="51"/>
  <c r="D2739" i="51"/>
  <c r="D2740" i="51"/>
  <c r="D2741" i="51"/>
  <c r="D2742" i="51"/>
  <c r="D2743" i="51"/>
  <c r="D2744" i="51"/>
  <c r="D2745" i="51"/>
  <c r="D2746" i="51"/>
  <c r="D2747" i="51"/>
  <c r="D2748" i="51"/>
  <c r="D2749" i="51"/>
  <c r="D2750" i="51"/>
  <c r="D2751" i="51"/>
  <c r="D2752" i="51"/>
  <c r="D2753" i="51"/>
  <c r="D2754" i="51"/>
  <c r="D2755" i="51"/>
  <c r="D2756" i="51"/>
  <c r="D2757" i="51"/>
  <c r="D2758" i="51"/>
  <c r="D2759" i="51"/>
  <c r="D2760" i="51"/>
  <c r="D2761" i="51"/>
  <c r="D2762" i="51"/>
  <c r="D2763" i="51"/>
  <c r="D2764" i="51"/>
  <c r="D2765" i="51"/>
  <c r="D2766" i="51"/>
  <c r="D2767" i="51"/>
  <c r="D2768" i="51"/>
  <c r="D2769" i="51"/>
  <c r="D2770" i="51"/>
  <c r="D2771" i="51"/>
  <c r="D2772" i="51"/>
  <c r="D2773" i="51"/>
  <c r="D2774" i="51"/>
  <c r="D2775" i="51"/>
  <c r="D2776" i="51"/>
  <c r="D2777" i="51"/>
  <c r="D2778" i="51"/>
  <c r="D2779" i="51"/>
  <c r="D2780" i="51"/>
  <c r="D2781" i="51"/>
  <c r="D2782" i="51"/>
  <c r="D2783" i="51"/>
  <c r="D2784" i="51"/>
  <c r="D2785" i="51"/>
  <c r="D2786" i="51"/>
  <c r="D2787" i="51"/>
  <c r="D2788" i="51"/>
  <c r="D2789" i="51"/>
  <c r="D2790" i="51"/>
  <c r="D2791" i="51"/>
  <c r="D2792" i="51"/>
  <c r="D2793" i="51"/>
  <c r="D2794" i="51"/>
  <c r="D2795" i="51"/>
  <c r="D2796" i="51"/>
  <c r="D2797" i="51"/>
  <c r="D2798" i="51"/>
  <c r="D2799" i="51"/>
  <c r="D2800" i="51"/>
  <c r="D2801" i="51"/>
  <c r="D2802" i="51"/>
  <c r="D2803" i="51"/>
  <c r="D2804" i="51"/>
  <c r="D2805" i="51"/>
  <c r="D2806" i="51"/>
  <c r="D2807" i="51"/>
  <c r="D2808" i="51"/>
  <c r="D2809" i="51"/>
  <c r="D2810" i="51"/>
  <c r="D2811" i="51"/>
  <c r="D2812" i="51"/>
  <c r="D2813" i="51"/>
  <c r="D2814" i="51"/>
  <c r="D2815" i="51"/>
  <c r="D2816" i="51"/>
  <c r="D2817" i="51"/>
  <c r="D2818" i="51"/>
  <c r="D2819" i="51"/>
  <c r="D2820" i="51"/>
  <c r="D2821" i="51"/>
  <c r="D2822" i="51"/>
  <c r="D2823" i="51"/>
  <c r="D2824" i="51"/>
  <c r="D2825" i="51"/>
  <c r="D2826" i="51"/>
  <c r="D2827" i="51"/>
  <c r="D2828" i="51"/>
  <c r="D2829" i="51"/>
  <c r="D2830" i="51"/>
  <c r="D2831" i="51"/>
  <c r="D2832" i="51"/>
  <c r="D2833" i="51"/>
  <c r="D2834" i="51"/>
  <c r="D2835" i="51"/>
  <c r="D2836" i="51"/>
  <c r="D2837" i="51"/>
  <c r="D2838" i="51"/>
  <c r="D2839" i="51"/>
  <c r="D2840" i="51"/>
  <c r="D2841" i="51"/>
  <c r="D2842" i="51"/>
  <c r="D2843" i="51"/>
  <c r="D2844" i="51"/>
  <c r="D2845" i="51"/>
  <c r="D2846" i="51"/>
  <c r="D2847" i="51"/>
  <c r="D2848" i="51"/>
  <c r="D2849" i="51"/>
  <c r="D2850" i="51"/>
  <c r="D2851" i="51"/>
  <c r="D2852" i="51"/>
  <c r="D2853" i="51"/>
  <c r="D2854" i="51"/>
  <c r="D2855" i="51"/>
  <c r="D2856" i="51"/>
  <c r="D2857" i="51"/>
  <c r="D2858" i="51"/>
  <c r="D2859" i="51"/>
  <c r="D2860" i="51"/>
  <c r="D2861" i="51"/>
  <c r="D2862" i="51"/>
  <c r="D2863" i="51"/>
  <c r="D2864" i="51"/>
  <c r="D2865" i="51"/>
  <c r="D2866" i="51"/>
  <c r="D2867" i="51"/>
  <c r="D2868" i="51"/>
  <c r="D2869" i="51"/>
  <c r="D2870" i="51"/>
  <c r="D2871" i="51"/>
  <c r="D2872" i="51"/>
  <c r="D2873" i="51"/>
  <c r="D2874" i="51"/>
  <c r="D2875" i="51"/>
  <c r="D2876" i="51"/>
  <c r="D2877" i="51"/>
  <c r="D2878" i="51"/>
  <c r="D2879" i="51"/>
  <c r="D2880" i="51"/>
  <c r="D2881" i="51"/>
  <c r="D2882" i="51"/>
  <c r="D2883" i="51"/>
  <c r="D2884" i="51"/>
  <c r="D2885" i="51"/>
  <c r="D2886" i="51"/>
  <c r="D2887" i="51"/>
  <c r="D2888" i="51"/>
  <c r="D2889" i="51"/>
  <c r="D2890" i="51"/>
  <c r="D2891" i="51"/>
  <c r="D2892" i="51"/>
  <c r="D2893" i="51"/>
  <c r="D2894" i="51"/>
  <c r="D2895" i="51"/>
  <c r="D2896" i="51"/>
  <c r="D2897" i="51"/>
  <c r="D2898" i="51"/>
  <c r="D2899" i="51"/>
  <c r="D2900" i="51"/>
  <c r="D2901" i="51"/>
  <c r="D2902" i="51"/>
  <c r="D2903" i="51"/>
  <c r="D2904" i="51"/>
  <c r="D2905" i="51"/>
  <c r="D2906" i="51"/>
  <c r="D2907" i="51"/>
  <c r="D2908" i="51"/>
  <c r="D2909" i="51"/>
  <c r="D2910" i="51"/>
  <c r="D2911" i="51"/>
  <c r="D2912" i="51"/>
  <c r="D2913" i="51"/>
  <c r="D2914" i="51"/>
  <c r="D2915" i="51"/>
  <c r="D2916" i="51"/>
  <c r="D2917" i="51"/>
  <c r="D2918" i="51"/>
  <c r="D2919" i="51"/>
  <c r="D2920" i="51"/>
  <c r="D2921" i="51"/>
  <c r="D2922" i="51"/>
  <c r="D2923" i="51"/>
  <c r="D2924" i="51"/>
  <c r="D2925" i="51"/>
  <c r="D2926" i="51"/>
  <c r="D2927" i="51"/>
  <c r="D2928" i="51"/>
  <c r="D2929" i="51"/>
  <c r="D2930" i="51"/>
  <c r="D2931" i="51"/>
  <c r="D2932" i="51"/>
  <c r="D2933" i="51"/>
  <c r="D2934" i="51"/>
  <c r="D2935" i="51"/>
  <c r="D2936" i="51"/>
  <c r="D2937" i="51"/>
  <c r="D2938" i="51"/>
  <c r="D2939" i="51"/>
  <c r="D2940" i="51"/>
  <c r="D2941" i="51"/>
  <c r="D2942" i="51"/>
  <c r="D2943" i="51"/>
  <c r="D2944" i="51"/>
  <c r="D2945" i="51"/>
  <c r="D2946" i="51"/>
  <c r="D2947" i="51"/>
  <c r="D2948" i="51"/>
  <c r="D2949" i="51"/>
  <c r="D2950" i="51"/>
  <c r="D2951" i="51"/>
  <c r="D2952" i="51"/>
  <c r="D2953" i="51"/>
  <c r="D2954" i="51"/>
  <c r="D2955" i="51"/>
  <c r="D2956" i="51"/>
  <c r="D2957" i="51"/>
  <c r="D2958" i="51"/>
  <c r="D2959" i="51"/>
  <c r="D2960" i="51"/>
  <c r="D2961" i="51"/>
  <c r="D2962" i="51"/>
  <c r="D2963" i="51"/>
  <c r="D2964" i="51"/>
  <c r="D2965" i="51"/>
  <c r="D2966" i="51"/>
  <c r="D2967" i="51"/>
  <c r="D2968" i="51"/>
  <c r="D2969" i="51"/>
  <c r="D2970" i="51"/>
  <c r="D2971" i="51"/>
  <c r="D2972" i="51"/>
  <c r="D2973" i="51"/>
  <c r="D2974" i="51"/>
  <c r="D2975" i="51"/>
  <c r="D2976" i="51"/>
  <c r="D2977" i="51"/>
  <c r="D2978" i="51"/>
  <c r="D2979" i="51"/>
  <c r="D2980" i="51"/>
  <c r="D2981" i="51"/>
  <c r="D2982" i="51"/>
  <c r="D2983" i="51"/>
  <c r="D2984" i="51"/>
  <c r="D2985" i="51"/>
  <c r="D2986" i="51"/>
  <c r="D2987" i="51"/>
  <c r="D2988" i="51"/>
  <c r="D2989" i="51"/>
  <c r="D2990" i="51"/>
  <c r="D2991" i="51"/>
  <c r="D2992" i="51"/>
  <c r="D2993" i="51"/>
  <c r="D2994" i="51"/>
  <c r="D2995" i="51"/>
  <c r="D2996" i="51"/>
  <c r="D2997" i="51"/>
  <c r="D2998" i="51"/>
  <c r="D2999" i="51"/>
  <c r="D3000" i="51"/>
  <c r="D3001" i="51"/>
  <c r="D3002" i="51"/>
  <c r="D3003" i="51"/>
  <c r="D3004" i="51"/>
  <c r="D3005" i="51"/>
  <c r="D3006" i="51"/>
  <c r="D3007" i="51"/>
  <c r="D3008" i="51"/>
  <c r="D3009" i="51"/>
  <c r="D3010" i="51"/>
  <c r="D3011" i="51"/>
  <c r="D3012" i="51"/>
  <c r="D3013" i="51"/>
  <c r="D3014" i="51"/>
  <c r="D3015" i="51"/>
  <c r="D3016" i="51"/>
  <c r="D3017" i="51"/>
  <c r="D3018" i="51"/>
  <c r="D3019" i="51"/>
  <c r="D3020" i="51"/>
  <c r="D3021" i="51"/>
  <c r="D3022" i="51"/>
  <c r="D3023" i="51"/>
  <c r="D3024" i="51"/>
  <c r="D3025" i="51"/>
  <c r="D3026" i="51"/>
  <c r="D3027" i="51"/>
  <c r="D3028" i="51"/>
  <c r="D3029" i="51"/>
  <c r="D3030" i="51"/>
  <c r="D3031" i="51"/>
  <c r="D3032" i="51"/>
  <c r="D3033" i="51"/>
  <c r="D3034" i="51"/>
  <c r="D3035" i="51"/>
  <c r="D3036" i="51"/>
  <c r="D3037" i="51"/>
  <c r="D3038" i="51"/>
  <c r="D3039" i="51"/>
  <c r="D3040" i="51"/>
  <c r="D3041" i="51"/>
  <c r="D3042" i="51"/>
  <c r="D3043" i="51"/>
  <c r="D3044" i="51"/>
  <c r="D3045" i="51"/>
  <c r="D3046" i="51"/>
  <c r="D3047" i="51"/>
  <c r="D3048" i="51"/>
  <c r="D3049" i="51"/>
  <c r="D3050" i="51"/>
  <c r="D3051" i="51"/>
  <c r="D3052" i="51"/>
  <c r="D3053" i="51"/>
  <c r="D3054" i="51"/>
  <c r="D3055" i="51"/>
  <c r="D3056" i="51"/>
  <c r="D3057" i="51"/>
  <c r="D3058" i="51"/>
  <c r="D3059" i="51"/>
  <c r="D3060" i="51"/>
  <c r="D3061" i="51"/>
  <c r="D3062" i="51"/>
  <c r="D3063" i="51"/>
  <c r="D3064" i="51"/>
  <c r="D3065" i="51"/>
  <c r="D3066" i="51"/>
  <c r="D3067" i="51"/>
  <c r="D3068" i="51"/>
  <c r="D3069" i="51"/>
  <c r="D3070" i="51"/>
  <c r="D3071" i="51"/>
  <c r="D3072" i="51"/>
  <c r="D3073" i="51"/>
  <c r="D3074" i="51"/>
  <c r="D3075" i="51"/>
  <c r="D3076" i="51"/>
  <c r="D3077" i="51"/>
  <c r="D3078" i="51"/>
  <c r="D3079" i="51"/>
  <c r="D3080" i="51"/>
  <c r="D3081" i="51"/>
  <c r="D3082" i="51"/>
  <c r="D3083" i="51"/>
  <c r="D3084" i="51"/>
  <c r="D3085" i="51"/>
  <c r="D3086" i="51"/>
  <c r="D3087" i="51"/>
  <c r="D3088" i="51"/>
  <c r="D3089" i="51"/>
  <c r="D3090" i="51"/>
  <c r="D3091" i="51"/>
  <c r="D3092" i="51"/>
  <c r="D3093" i="51"/>
  <c r="D3094" i="51"/>
  <c r="D3095" i="51"/>
  <c r="D3096" i="51"/>
  <c r="D3097" i="51"/>
  <c r="D3098" i="51"/>
  <c r="D3099" i="51"/>
  <c r="D3100" i="51"/>
  <c r="D3101" i="51"/>
  <c r="D3102" i="51"/>
  <c r="D3103" i="51"/>
  <c r="D3104" i="51"/>
  <c r="D3105" i="51"/>
  <c r="D3106" i="51"/>
  <c r="D3107" i="51"/>
  <c r="D3108" i="51"/>
  <c r="D3109" i="51"/>
  <c r="D3110" i="51"/>
  <c r="D3111" i="51"/>
  <c r="D3112" i="51"/>
  <c r="D3113" i="51"/>
  <c r="D3114" i="51"/>
  <c r="D3115" i="51"/>
  <c r="D3116" i="51"/>
  <c r="D3117" i="51"/>
  <c r="D3118" i="51"/>
  <c r="D3119" i="51"/>
  <c r="D3120" i="51"/>
  <c r="D3121" i="51"/>
  <c r="D3122" i="51"/>
  <c r="D3123" i="51"/>
  <c r="D3124" i="51"/>
  <c r="D3125" i="51"/>
  <c r="D3126" i="51"/>
  <c r="D3127" i="51"/>
  <c r="D3128" i="51"/>
  <c r="D3129" i="51"/>
  <c r="D3130" i="51"/>
  <c r="D3131" i="51"/>
  <c r="D3132" i="51"/>
  <c r="D3133" i="51"/>
  <c r="D3134" i="51"/>
  <c r="D3135" i="51"/>
  <c r="D3136" i="51"/>
  <c r="D3137" i="51"/>
  <c r="D3138" i="51"/>
  <c r="D3139" i="51"/>
  <c r="D3140" i="51"/>
  <c r="D3141" i="51"/>
  <c r="D3142" i="51"/>
  <c r="D3143" i="51"/>
  <c r="D3144" i="51"/>
  <c r="D3145" i="51"/>
  <c r="D3146" i="51"/>
  <c r="D3147" i="51"/>
  <c r="D3148" i="51"/>
  <c r="D3149" i="51"/>
  <c r="D3150" i="51"/>
  <c r="D3151" i="51"/>
  <c r="D3152" i="51"/>
  <c r="D3153" i="51"/>
  <c r="D3154" i="51"/>
  <c r="D3155" i="51"/>
  <c r="D3156" i="51"/>
  <c r="D3157" i="51"/>
  <c r="D3158" i="51"/>
  <c r="D3159" i="51"/>
  <c r="D3160" i="51"/>
  <c r="D3161" i="51"/>
  <c r="D3162" i="51"/>
  <c r="D3163" i="51"/>
  <c r="D3164" i="51"/>
  <c r="D3165" i="51"/>
  <c r="D3166" i="51"/>
  <c r="D3167" i="51"/>
  <c r="D3168" i="51"/>
  <c r="D3169" i="51"/>
  <c r="D3170" i="51"/>
  <c r="D3171" i="51"/>
  <c r="D3172" i="51"/>
  <c r="D3173" i="51"/>
  <c r="D3174" i="51"/>
  <c r="D3175" i="51"/>
  <c r="D3176" i="51"/>
  <c r="D3177" i="51"/>
  <c r="D3178" i="51"/>
  <c r="D3179" i="51"/>
  <c r="D3180" i="51"/>
  <c r="D3181" i="51"/>
  <c r="D3182" i="51"/>
  <c r="D3183" i="51"/>
  <c r="D3184" i="51"/>
  <c r="D3185" i="51"/>
  <c r="D3186" i="51"/>
  <c r="D3187" i="51"/>
  <c r="D3188" i="51"/>
  <c r="D3189" i="51"/>
  <c r="D3190" i="51"/>
  <c r="D3191" i="51"/>
  <c r="D3192" i="51"/>
  <c r="D3193" i="51"/>
  <c r="D3194" i="51"/>
  <c r="D3195" i="51"/>
  <c r="D3196" i="51"/>
  <c r="D3197" i="51"/>
  <c r="D3198" i="51"/>
  <c r="D3199" i="51"/>
  <c r="D3200" i="51"/>
  <c r="D3201" i="51"/>
  <c r="D3202" i="51"/>
  <c r="D3203" i="51"/>
  <c r="D3204" i="51"/>
  <c r="D3205" i="51"/>
  <c r="D3206" i="51"/>
  <c r="D3207" i="51"/>
  <c r="D3208" i="51"/>
  <c r="D3209" i="51"/>
  <c r="D3210" i="51"/>
  <c r="D3211" i="51"/>
  <c r="D3212" i="51"/>
  <c r="D3213" i="51"/>
  <c r="D3214" i="51"/>
  <c r="D3215" i="51"/>
  <c r="D3216" i="51"/>
  <c r="D3217" i="51"/>
  <c r="D3218" i="51"/>
  <c r="D3219" i="51"/>
  <c r="D3220" i="51"/>
  <c r="D3221" i="51"/>
  <c r="D3222" i="51"/>
  <c r="D3223" i="51"/>
  <c r="D3224" i="51"/>
  <c r="D3225" i="51"/>
  <c r="D3226" i="51"/>
  <c r="D3227" i="51"/>
  <c r="D3228" i="51"/>
  <c r="D3229" i="51"/>
  <c r="D3230" i="51"/>
  <c r="D3231" i="51"/>
  <c r="D3232" i="51"/>
  <c r="D3233" i="51"/>
  <c r="D3234" i="51"/>
  <c r="D3235" i="51"/>
  <c r="D3236" i="51"/>
  <c r="D3237" i="51"/>
  <c r="D3238" i="51"/>
  <c r="D3239" i="51"/>
  <c r="D3240" i="51"/>
  <c r="D3241" i="51"/>
  <c r="D3242" i="51"/>
  <c r="D3243" i="51"/>
  <c r="D3244" i="51"/>
  <c r="D3245" i="51"/>
  <c r="D3246" i="51"/>
  <c r="D3247" i="51"/>
  <c r="D3248" i="51"/>
  <c r="D3249" i="51"/>
  <c r="D3250" i="51"/>
  <c r="D3251" i="51"/>
  <c r="D3252" i="51"/>
  <c r="D3253" i="51"/>
  <c r="D3254" i="51"/>
  <c r="D3255" i="51"/>
  <c r="D3256" i="51"/>
  <c r="D3257" i="51"/>
  <c r="D3258" i="51"/>
  <c r="D3259" i="51"/>
  <c r="D3260" i="51"/>
  <c r="D3261" i="51"/>
  <c r="D3262" i="51"/>
  <c r="D3263" i="51"/>
  <c r="D3264" i="51"/>
  <c r="D3265" i="51"/>
  <c r="D3266" i="51"/>
  <c r="D3267" i="51"/>
  <c r="D3268" i="51"/>
  <c r="D3269" i="51"/>
  <c r="D3270" i="51"/>
  <c r="D3271" i="51"/>
  <c r="D3272" i="51"/>
  <c r="D3273" i="51"/>
  <c r="D3274" i="51"/>
  <c r="D3275" i="51"/>
  <c r="D3276" i="51"/>
  <c r="D3277" i="51"/>
  <c r="D3278" i="51"/>
  <c r="D3279" i="51"/>
  <c r="D3280" i="51"/>
  <c r="D3281" i="51"/>
  <c r="D3282" i="51"/>
  <c r="D3283" i="51"/>
  <c r="D3284" i="51"/>
  <c r="D3285" i="51"/>
  <c r="D3286" i="51"/>
  <c r="D3287" i="51"/>
  <c r="D3288" i="51"/>
  <c r="D3289" i="51"/>
  <c r="D3290" i="51"/>
  <c r="D3291" i="51"/>
  <c r="D3292" i="51"/>
  <c r="D3293" i="51"/>
  <c r="D3294" i="51"/>
  <c r="D3295" i="51"/>
  <c r="D3296" i="51"/>
  <c r="D3297" i="51"/>
  <c r="D3298" i="51"/>
  <c r="D3299" i="51"/>
  <c r="D3300" i="51"/>
  <c r="D3301" i="51"/>
  <c r="D3302" i="51"/>
  <c r="D3303" i="51"/>
  <c r="D3304" i="51"/>
  <c r="D3305" i="51"/>
  <c r="D3306" i="51"/>
  <c r="D3307" i="51"/>
  <c r="D3308" i="51"/>
  <c r="D3309" i="51"/>
  <c r="D3310" i="51"/>
  <c r="D3311" i="51"/>
  <c r="D3312" i="51"/>
  <c r="D3313" i="51"/>
  <c r="D3314" i="51"/>
  <c r="D3315" i="51"/>
  <c r="D3316" i="51"/>
  <c r="D3317" i="51"/>
  <c r="D3318" i="51"/>
  <c r="D3319" i="51"/>
  <c r="D3320" i="51"/>
  <c r="D3321" i="51"/>
  <c r="D3322" i="51"/>
  <c r="D3323" i="51"/>
  <c r="D3324" i="51"/>
  <c r="D3325" i="51"/>
  <c r="D3326" i="51"/>
  <c r="D3327" i="51"/>
  <c r="D3328" i="51"/>
  <c r="D3329" i="51"/>
  <c r="D3330" i="51"/>
  <c r="D3331" i="51"/>
  <c r="D3332" i="51"/>
  <c r="D3333" i="51"/>
  <c r="D3334" i="51"/>
  <c r="D3335" i="51"/>
  <c r="D3336" i="51"/>
  <c r="D3337" i="51"/>
  <c r="D3338" i="51"/>
  <c r="D3339" i="51"/>
  <c r="D3340" i="51"/>
  <c r="D3341" i="51"/>
  <c r="D3342" i="51"/>
  <c r="D3343" i="51"/>
  <c r="D3344" i="51"/>
  <c r="D3345" i="51"/>
  <c r="D3346" i="51"/>
  <c r="D3347" i="51"/>
  <c r="D3348" i="51"/>
  <c r="D3349" i="51"/>
  <c r="D3350" i="51"/>
  <c r="D3351" i="51"/>
  <c r="D3352" i="51"/>
  <c r="D3353" i="51"/>
  <c r="D3354" i="51"/>
  <c r="D3355" i="51"/>
  <c r="D3356" i="51"/>
  <c r="D3357" i="51"/>
  <c r="D3358" i="51"/>
  <c r="D3359" i="51"/>
  <c r="D3360" i="51"/>
  <c r="D3361" i="51"/>
  <c r="D3362" i="51"/>
  <c r="D3363" i="51"/>
  <c r="D3364" i="51"/>
  <c r="D3365" i="51"/>
  <c r="D3366" i="51"/>
  <c r="D3367" i="51"/>
  <c r="D3368" i="51"/>
  <c r="D3369" i="51"/>
  <c r="D3370" i="51"/>
  <c r="D3371" i="51"/>
  <c r="D3372" i="51"/>
  <c r="D3373" i="51"/>
  <c r="D3374" i="51"/>
  <c r="D3375" i="51"/>
  <c r="D3376" i="51"/>
  <c r="D3377" i="51"/>
  <c r="D3378" i="51"/>
  <c r="D3379" i="51"/>
  <c r="D3380" i="51"/>
  <c r="D3381" i="51"/>
  <c r="D3382" i="51"/>
  <c r="D3383" i="51"/>
  <c r="D3384" i="51"/>
  <c r="D3385" i="51"/>
  <c r="D3386" i="51"/>
  <c r="D3387" i="51"/>
  <c r="D3388" i="51"/>
  <c r="D3389" i="51"/>
  <c r="D3390" i="51"/>
  <c r="D3391" i="51"/>
  <c r="D3392" i="51"/>
  <c r="D3393" i="51"/>
  <c r="D3394" i="51"/>
  <c r="D3395" i="51"/>
  <c r="D3396" i="51"/>
  <c r="D3397" i="51"/>
  <c r="D3398" i="51"/>
  <c r="D3399" i="51"/>
  <c r="D3400" i="51"/>
  <c r="D3401" i="51"/>
  <c r="D3402" i="51"/>
  <c r="D3403" i="51"/>
  <c r="D3404" i="51"/>
  <c r="D3405" i="51"/>
  <c r="D3406" i="51"/>
  <c r="D3407" i="51"/>
  <c r="D3408" i="51"/>
  <c r="D3409" i="51"/>
  <c r="D3410" i="51"/>
  <c r="D3411" i="51"/>
  <c r="D3412" i="51"/>
  <c r="D3413" i="51"/>
  <c r="D3414" i="51"/>
  <c r="D3415" i="51"/>
  <c r="D3416" i="51"/>
  <c r="D3417" i="51"/>
  <c r="D3418" i="51"/>
  <c r="D3419" i="51"/>
  <c r="D3420" i="51"/>
  <c r="D3421" i="51"/>
  <c r="D3422" i="51"/>
  <c r="D3423" i="51"/>
  <c r="D3424" i="51"/>
  <c r="D3425" i="51"/>
  <c r="D3426" i="51"/>
  <c r="D3427" i="51"/>
  <c r="D3428" i="51"/>
  <c r="D3429" i="51"/>
  <c r="D3430" i="51"/>
  <c r="D3431" i="51"/>
  <c r="D3432" i="51"/>
  <c r="D3433" i="51"/>
  <c r="D3434" i="51"/>
  <c r="D3435" i="51"/>
  <c r="D3436" i="51"/>
  <c r="D3437" i="51"/>
  <c r="D3438" i="51"/>
  <c r="D3439" i="51"/>
  <c r="D3440" i="51"/>
  <c r="D3441" i="51"/>
  <c r="D3442" i="51"/>
  <c r="D3443" i="51"/>
  <c r="D3444" i="51"/>
  <c r="D3445" i="51"/>
  <c r="D3446" i="51"/>
  <c r="D3447" i="51"/>
  <c r="D3448" i="51"/>
  <c r="D3449" i="51"/>
  <c r="D3450" i="51"/>
  <c r="D3451" i="51"/>
  <c r="D3452" i="51"/>
  <c r="D3453" i="51"/>
  <c r="D3454" i="51"/>
  <c r="D3455" i="51"/>
  <c r="D3456" i="51"/>
  <c r="D3457" i="51"/>
  <c r="D3458" i="51"/>
  <c r="D3459" i="51"/>
  <c r="D3460" i="51"/>
  <c r="D3461" i="51"/>
  <c r="D3462" i="51"/>
  <c r="D3463" i="51"/>
  <c r="D3464" i="51"/>
  <c r="D3465" i="51"/>
  <c r="D3466" i="51"/>
  <c r="D3467" i="51"/>
  <c r="D3468" i="51"/>
  <c r="D3469" i="51"/>
  <c r="D3470" i="51"/>
  <c r="D3471" i="51"/>
  <c r="D3472" i="51"/>
  <c r="D3473" i="51"/>
  <c r="D3474" i="51"/>
  <c r="D3475" i="51"/>
  <c r="D3476" i="51"/>
  <c r="D3477" i="51"/>
  <c r="D3478" i="51"/>
  <c r="D3479" i="51"/>
  <c r="D3480" i="51"/>
  <c r="D3481" i="51"/>
  <c r="D3482" i="51"/>
  <c r="D3483" i="51"/>
  <c r="D3484" i="51"/>
  <c r="D3485" i="51"/>
  <c r="D3486" i="51"/>
  <c r="D3487" i="51"/>
  <c r="D3488" i="51"/>
  <c r="D3489" i="51"/>
  <c r="D3490" i="51"/>
  <c r="D3491" i="51"/>
  <c r="D3492" i="51"/>
  <c r="D3493" i="51"/>
  <c r="D3494" i="51"/>
  <c r="D3495" i="51"/>
  <c r="D3496" i="51"/>
  <c r="D3497" i="51"/>
  <c r="D3498" i="51"/>
  <c r="D3499" i="51"/>
  <c r="D3500" i="51"/>
  <c r="D3501" i="51"/>
  <c r="D3502" i="51"/>
  <c r="D3503" i="51"/>
  <c r="D3504" i="51"/>
  <c r="D3505" i="51"/>
  <c r="D3506" i="51"/>
  <c r="D3507" i="51"/>
  <c r="D3508" i="51"/>
  <c r="D3509" i="51"/>
  <c r="D3510" i="51"/>
  <c r="D3511" i="51"/>
  <c r="D3512" i="51"/>
  <c r="D3513" i="51"/>
  <c r="D3514" i="51"/>
  <c r="D3515" i="51"/>
  <c r="D3516" i="51"/>
  <c r="D3517" i="51"/>
  <c r="D3518" i="51"/>
  <c r="D3519" i="51"/>
  <c r="D3520" i="51"/>
  <c r="D3521" i="51"/>
  <c r="D3522" i="51"/>
  <c r="D3523" i="51"/>
  <c r="D3524" i="51"/>
  <c r="D3525" i="51"/>
  <c r="D3526" i="51"/>
  <c r="D3527" i="51"/>
  <c r="D3528" i="51"/>
  <c r="D3529" i="51"/>
  <c r="D3530" i="51"/>
  <c r="D3531" i="51"/>
  <c r="D3532" i="51"/>
  <c r="D3533" i="51"/>
  <c r="D3534" i="51"/>
  <c r="D3535" i="51"/>
  <c r="D3536" i="51"/>
  <c r="D3537" i="51"/>
  <c r="D3538" i="51"/>
  <c r="D3539" i="51"/>
  <c r="D3540" i="51"/>
  <c r="D3541" i="51"/>
  <c r="D3542" i="51"/>
  <c r="D3543" i="51"/>
  <c r="D3544" i="51"/>
  <c r="D3545" i="51"/>
  <c r="D3546" i="51"/>
  <c r="D3547" i="51"/>
  <c r="D3548" i="51"/>
  <c r="D3549" i="51"/>
  <c r="D3550" i="51"/>
  <c r="D3551" i="51"/>
  <c r="D3552" i="51"/>
  <c r="D3553" i="51"/>
  <c r="D3554" i="51"/>
  <c r="D3555" i="51"/>
  <c r="D3556" i="51"/>
  <c r="D3557" i="51"/>
  <c r="D3558" i="51"/>
  <c r="D3559" i="51"/>
  <c r="D3560" i="51"/>
  <c r="D3561" i="51"/>
  <c r="D3562" i="51"/>
  <c r="D3563" i="51"/>
  <c r="D3564" i="51"/>
  <c r="D3565" i="51"/>
  <c r="D3566" i="51"/>
  <c r="D3567" i="51"/>
  <c r="D3568" i="51"/>
  <c r="D3569" i="51"/>
  <c r="D3570" i="51"/>
  <c r="D3571" i="51"/>
  <c r="D3572" i="51"/>
  <c r="D3573" i="51"/>
  <c r="D3574" i="51"/>
  <c r="D3575" i="51"/>
  <c r="D3576" i="51"/>
  <c r="D3577" i="51"/>
  <c r="D3578" i="51"/>
  <c r="D3579" i="51"/>
  <c r="D3580" i="51"/>
  <c r="D3581" i="51"/>
  <c r="D3582" i="51"/>
  <c r="D3583" i="51"/>
  <c r="D3584" i="51"/>
  <c r="D3585" i="51"/>
  <c r="D3586" i="51"/>
  <c r="D3587" i="51"/>
  <c r="D3588" i="51"/>
  <c r="D3589" i="51"/>
  <c r="D3590" i="51"/>
  <c r="D3591" i="51"/>
  <c r="D3592" i="51"/>
  <c r="D3593" i="51"/>
  <c r="D3594" i="51"/>
  <c r="D3595" i="51"/>
  <c r="D3596" i="51"/>
  <c r="D3597" i="51"/>
  <c r="D3598" i="51"/>
  <c r="D3599" i="51"/>
  <c r="D3600" i="51"/>
  <c r="D3601" i="51"/>
  <c r="D3602" i="51"/>
  <c r="D3603" i="51"/>
  <c r="D3604" i="51"/>
  <c r="D3605" i="51"/>
  <c r="D3606" i="51"/>
  <c r="D3607" i="51"/>
  <c r="D3608" i="51"/>
  <c r="D3609" i="51"/>
  <c r="D3610" i="51"/>
  <c r="D3611" i="51"/>
  <c r="D3612" i="51"/>
  <c r="D3613" i="51"/>
  <c r="D3614" i="51"/>
  <c r="D3615" i="51"/>
  <c r="D3616" i="51"/>
  <c r="D3617" i="51"/>
  <c r="D3618" i="51"/>
  <c r="D3619" i="51"/>
  <c r="D3620" i="51"/>
  <c r="D3621" i="51"/>
  <c r="D3622" i="51"/>
  <c r="D3623" i="51"/>
  <c r="D3624" i="51"/>
  <c r="D3625" i="51"/>
  <c r="D3626" i="51"/>
  <c r="D3627" i="51"/>
  <c r="D3628" i="51"/>
  <c r="D3629" i="51"/>
  <c r="D3630" i="51"/>
  <c r="D3631" i="51"/>
  <c r="D3632" i="51"/>
  <c r="D3633" i="51"/>
  <c r="D3634" i="51"/>
  <c r="D3635" i="51"/>
  <c r="D3636" i="51"/>
  <c r="D3637" i="51"/>
  <c r="D3638" i="51"/>
  <c r="D3639" i="51"/>
  <c r="D3640" i="51"/>
  <c r="D3641" i="51"/>
  <c r="D3642" i="51"/>
  <c r="D3643" i="51"/>
  <c r="D3644" i="51"/>
  <c r="D3645" i="51"/>
  <c r="D3646" i="51"/>
  <c r="D3647" i="51"/>
  <c r="D3648" i="51"/>
  <c r="D3649" i="51"/>
  <c r="D3650" i="51"/>
  <c r="D3651" i="51"/>
  <c r="D3652" i="51"/>
  <c r="D3653" i="51"/>
  <c r="D3654" i="51"/>
  <c r="D3655" i="51"/>
  <c r="D3656" i="51"/>
  <c r="D3657" i="51"/>
  <c r="D3658" i="51"/>
  <c r="D3659" i="51"/>
  <c r="D3660" i="51"/>
  <c r="D3661" i="51"/>
  <c r="D3662" i="51"/>
  <c r="D3663" i="51"/>
  <c r="D3664" i="51"/>
  <c r="D3665" i="51"/>
  <c r="D3666" i="51"/>
  <c r="D3667" i="51"/>
  <c r="D3668" i="51"/>
  <c r="D3669" i="51"/>
  <c r="D3670" i="51"/>
  <c r="D3671" i="51"/>
  <c r="D3672" i="51"/>
  <c r="D3673" i="51"/>
  <c r="D3674" i="51"/>
  <c r="D3675" i="51"/>
  <c r="D3676" i="51"/>
  <c r="D3677" i="51"/>
  <c r="D3678" i="51"/>
  <c r="D3679" i="51"/>
  <c r="D3680" i="51"/>
  <c r="D3681" i="51"/>
  <c r="D3682" i="51"/>
  <c r="D3683" i="51"/>
  <c r="D3684" i="51"/>
  <c r="D3685" i="51"/>
  <c r="D3686" i="51"/>
  <c r="D3687" i="51"/>
  <c r="D3688" i="51"/>
  <c r="D3689" i="51"/>
  <c r="D3690" i="51"/>
  <c r="D3691" i="51"/>
  <c r="D3692" i="51"/>
  <c r="D3693" i="51"/>
  <c r="D3694" i="51"/>
  <c r="D3695" i="51"/>
  <c r="D3696" i="51"/>
  <c r="D3697" i="51"/>
  <c r="D3698" i="51"/>
  <c r="D3699" i="51"/>
  <c r="D3700" i="51"/>
  <c r="D3701" i="51"/>
  <c r="D3702" i="51"/>
  <c r="D3703" i="51"/>
  <c r="D3704" i="51"/>
  <c r="D3705" i="51"/>
  <c r="D3706" i="51"/>
  <c r="D3707" i="51"/>
  <c r="D3708" i="51"/>
  <c r="D3709" i="51"/>
  <c r="D3710" i="51"/>
  <c r="D3711" i="51"/>
  <c r="D3712" i="51"/>
  <c r="D3713" i="51"/>
  <c r="D3714" i="51"/>
  <c r="D3715" i="51"/>
  <c r="D3716" i="51"/>
  <c r="D3717" i="51"/>
  <c r="D3718" i="51"/>
  <c r="D3719" i="51"/>
  <c r="D3720" i="51"/>
  <c r="D3721" i="51"/>
  <c r="D3722" i="51"/>
  <c r="D3723" i="51"/>
  <c r="D3724" i="51"/>
  <c r="D3725" i="51"/>
  <c r="D3726" i="51"/>
  <c r="D3727" i="51"/>
  <c r="D3728" i="51"/>
  <c r="D3729" i="51"/>
  <c r="D3730" i="51"/>
  <c r="D3731" i="51"/>
  <c r="D3732" i="51"/>
  <c r="D3733" i="51"/>
  <c r="D3734" i="51"/>
  <c r="D3735" i="51"/>
  <c r="D3736" i="51"/>
  <c r="D3737" i="51"/>
  <c r="D3738" i="51"/>
  <c r="D3739" i="51"/>
  <c r="D3740" i="51"/>
  <c r="D3741" i="51"/>
  <c r="D3742" i="51"/>
  <c r="D3743" i="51"/>
  <c r="D3744" i="51"/>
  <c r="D3745" i="51"/>
  <c r="D3746" i="51"/>
  <c r="D3747" i="51"/>
  <c r="D3748" i="51"/>
  <c r="D3749" i="51"/>
  <c r="D3750" i="51"/>
  <c r="D3751" i="51"/>
  <c r="D3752" i="51"/>
  <c r="D3753" i="51"/>
  <c r="D3754" i="51"/>
  <c r="D3755" i="51"/>
  <c r="D3756" i="51"/>
  <c r="D3757" i="51"/>
  <c r="D3758" i="51"/>
  <c r="D3759" i="51"/>
  <c r="D3760" i="51"/>
  <c r="D3761" i="51"/>
  <c r="D3762" i="51"/>
  <c r="D3763" i="51"/>
  <c r="D3764" i="51"/>
  <c r="D3765" i="51"/>
  <c r="D3766" i="51"/>
  <c r="D3767" i="51"/>
  <c r="D3768" i="51"/>
  <c r="D3769" i="51"/>
  <c r="D3770" i="51"/>
  <c r="D3771" i="51"/>
  <c r="D3772" i="51"/>
  <c r="D3773" i="51"/>
  <c r="D3774" i="51"/>
  <c r="D3775" i="51"/>
  <c r="D3776" i="51"/>
  <c r="D3777" i="51"/>
  <c r="D3778" i="51"/>
  <c r="D3779" i="51"/>
  <c r="D3780" i="51"/>
  <c r="D3781" i="51"/>
  <c r="D3782" i="51"/>
  <c r="D3783" i="51"/>
  <c r="D3784" i="51"/>
  <c r="D3785" i="51"/>
  <c r="D3786" i="51"/>
  <c r="D3787" i="51"/>
  <c r="D3788" i="51"/>
  <c r="D3789" i="51"/>
  <c r="D3790" i="51"/>
  <c r="D3791" i="51"/>
  <c r="D3792" i="51"/>
  <c r="D3793" i="51"/>
  <c r="D3794" i="51"/>
  <c r="D3795" i="51"/>
  <c r="D3796" i="51"/>
  <c r="D3797" i="51"/>
  <c r="D3798" i="51"/>
  <c r="D3799" i="51"/>
  <c r="D3800" i="51"/>
  <c r="D3801" i="51"/>
  <c r="D3802" i="51"/>
  <c r="D3803" i="51"/>
  <c r="D3804" i="51"/>
  <c r="D3805" i="51"/>
  <c r="D3806" i="51"/>
  <c r="D3807" i="51"/>
  <c r="D3808" i="51"/>
  <c r="D3809" i="51"/>
  <c r="D3810" i="51"/>
  <c r="D3811" i="51"/>
  <c r="D3812" i="51"/>
  <c r="D3813" i="51"/>
  <c r="D3814" i="51"/>
  <c r="D3815" i="51"/>
  <c r="D3816" i="51"/>
  <c r="D3817" i="51"/>
  <c r="D3818" i="51"/>
  <c r="D3819" i="51"/>
  <c r="D3820" i="51"/>
  <c r="D3821" i="51"/>
  <c r="D3822" i="51"/>
  <c r="D3823" i="51"/>
  <c r="D3824" i="51"/>
  <c r="D3825" i="51"/>
  <c r="D3826" i="51"/>
  <c r="D3827" i="51"/>
  <c r="D3828" i="51"/>
  <c r="D3829" i="51"/>
  <c r="D3830" i="51"/>
  <c r="D3831" i="51"/>
  <c r="D3832" i="51"/>
  <c r="D3833" i="51"/>
  <c r="D3834" i="51"/>
  <c r="D3835" i="51"/>
  <c r="D3836" i="51"/>
  <c r="D3837" i="51"/>
  <c r="D3838" i="51"/>
  <c r="D3839" i="51"/>
  <c r="D3840" i="51"/>
  <c r="D3841" i="51"/>
  <c r="D3842" i="51"/>
  <c r="D3843" i="51"/>
  <c r="D3844" i="51"/>
  <c r="D3845" i="51"/>
  <c r="D3846" i="51"/>
  <c r="D3847" i="51"/>
  <c r="D3848" i="51"/>
  <c r="D3849" i="51"/>
  <c r="D3850" i="51"/>
  <c r="D3851" i="51"/>
  <c r="D3852" i="51"/>
  <c r="D3853" i="51"/>
  <c r="D3854" i="51"/>
  <c r="D3855" i="51"/>
  <c r="D3856" i="51"/>
  <c r="D3857" i="51"/>
  <c r="D3858" i="51"/>
  <c r="D3859" i="51"/>
  <c r="D3860" i="51"/>
  <c r="D3861" i="51"/>
  <c r="D3862" i="51"/>
  <c r="D3863" i="51"/>
  <c r="D3864" i="51"/>
  <c r="D3865" i="51"/>
  <c r="D3866" i="51"/>
  <c r="D3867" i="51"/>
  <c r="D3868" i="51"/>
  <c r="D3869" i="51"/>
  <c r="D3870" i="51"/>
  <c r="D3871" i="51"/>
  <c r="D3872" i="51"/>
  <c r="D3873" i="51"/>
  <c r="D3874" i="51"/>
  <c r="D3875" i="51"/>
  <c r="D3876" i="51"/>
  <c r="D3877" i="51"/>
  <c r="D3878" i="51"/>
  <c r="D3879" i="51"/>
  <c r="D3880" i="51"/>
  <c r="D3881" i="51"/>
  <c r="D3882" i="51"/>
  <c r="D3883" i="51"/>
  <c r="D3884" i="51"/>
  <c r="D3885" i="51"/>
  <c r="D3886" i="51"/>
  <c r="D3887" i="51"/>
  <c r="D3888" i="51"/>
  <c r="D3889" i="51"/>
  <c r="D3890" i="51"/>
  <c r="D3891" i="51"/>
  <c r="D3892" i="51"/>
  <c r="D3893" i="51"/>
  <c r="D3894" i="51"/>
  <c r="D3895" i="51"/>
  <c r="D3896" i="51"/>
  <c r="D3897" i="51"/>
  <c r="D3898" i="51"/>
  <c r="D3899" i="51"/>
  <c r="D3900" i="51"/>
  <c r="D3901" i="51"/>
  <c r="D3902" i="51"/>
  <c r="D3903" i="51"/>
  <c r="D3904" i="51"/>
  <c r="D3905" i="51"/>
  <c r="D3906" i="51"/>
  <c r="D3907" i="51"/>
  <c r="D3908" i="51"/>
  <c r="D3909" i="51"/>
  <c r="D3910" i="51"/>
  <c r="D3911" i="51"/>
  <c r="D3912" i="51"/>
  <c r="D3913" i="51"/>
  <c r="D3914" i="51"/>
  <c r="D3915" i="51"/>
  <c r="D3916" i="51"/>
  <c r="D3917" i="51"/>
  <c r="D3918" i="51"/>
  <c r="D3919" i="51"/>
  <c r="D3920" i="51"/>
  <c r="D3921" i="51"/>
  <c r="D3922" i="51"/>
  <c r="D3923" i="51"/>
  <c r="D3924" i="51"/>
  <c r="D3925" i="51"/>
  <c r="D3926" i="51"/>
  <c r="D3927" i="51"/>
  <c r="D3928" i="51"/>
  <c r="D3929" i="51"/>
  <c r="D3930" i="51"/>
  <c r="D3931" i="51"/>
  <c r="D3932" i="51"/>
  <c r="D3933" i="51"/>
  <c r="D3934" i="51"/>
  <c r="D3935" i="51"/>
  <c r="D3936" i="51"/>
  <c r="D3937" i="51"/>
  <c r="D3938" i="51"/>
  <c r="D3939" i="51"/>
  <c r="D3940" i="51"/>
  <c r="D3941" i="51"/>
  <c r="D3942" i="51"/>
  <c r="D3943" i="51"/>
  <c r="D3944" i="51"/>
  <c r="D3945" i="51"/>
  <c r="D3946" i="51"/>
  <c r="D3947" i="51"/>
  <c r="D3948" i="51"/>
  <c r="D3949" i="51"/>
  <c r="D3950" i="51"/>
  <c r="D3951" i="51"/>
  <c r="D3952" i="51"/>
  <c r="D3953" i="51"/>
  <c r="D3954" i="51"/>
  <c r="D3955" i="51"/>
  <c r="D3956" i="51"/>
  <c r="D3957" i="51"/>
  <c r="D3958" i="51"/>
  <c r="D3959" i="51"/>
  <c r="D3960" i="51"/>
  <c r="D3961" i="51"/>
  <c r="D3962" i="51"/>
  <c r="D3963" i="51"/>
  <c r="D3964" i="51"/>
  <c r="D3965" i="51"/>
  <c r="D3966" i="51"/>
  <c r="D3967" i="51"/>
  <c r="D3968" i="51"/>
  <c r="D3969" i="51"/>
  <c r="D3970" i="51"/>
  <c r="D3971" i="51"/>
  <c r="D3972" i="51"/>
  <c r="D3973" i="51"/>
  <c r="D3974" i="51"/>
  <c r="D3975" i="51"/>
  <c r="D3976" i="51"/>
  <c r="D3977" i="51"/>
  <c r="D3978" i="51"/>
  <c r="D3979" i="51"/>
  <c r="D3980" i="51"/>
  <c r="D3981" i="51"/>
  <c r="D3982" i="51"/>
  <c r="D3983" i="51"/>
  <c r="D3984" i="51"/>
  <c r="D3985" i="51"/>
  <c r="D3986" i="51"/>
  <c r="D3987" i="51"/>
  <c r="D3988" i="51"/>
  <c r="D3989" i="51"/>
  <c r="D3990" i="51"/>
  <c r="D3991" i="51"/>
  <c r="D3992" i="51"/>
  <c r="D3993" i="51"/>
  <c r="D3994" i="51"/>
  <c r="D3995" i="51"/>
  <c r="D3996" i="51"/>
  <c r="D3997" i="51"/>
  <c r="D3998" i="51"/>
  <c r="D3999" i="51"/>
  <c r="D4000" i="51"/>
  <c r="D4001" i="51"/>
  <c r="D4002" i="51"/>
  <c r="D4003" i="51"/>
  <c r="D4004" i="51"/>
  <c r="D4005" i="51"/>
  <c r="D4006" i="51"/>
  <c r="D4007" i="51"/>
  <c r="D4008" i="51"/>
  <c r="D4009" i="51"/>
  <c r="D4010" i="51"/>
  <c r="D4011" i="51"/>
  <c r="D4012" i="51"/>
  <c r="D4013" i="51"/>
  <c r="D4014" i="51"/>
  <c r="D4015" i="51"/>
  <c r="D4016" i="51"/>
  <c r="D4017" i="51"/>
  <c r="D4018" i="51"/>
  <c r="D4019" i="51"/>
  <c r="D4020" i="51"/>
  <c r="D4021" i="51"/>
  <c r="D4022" i="51"/>
  <c r="D4023" i="51"/>
  <c r="D4024" i="51"/>
  <c r="D4025" i="51"/>
  <c r="D4026" i="51"/>
  <c r="D4027" i="51"/>
  <c r="D4028" i="51"/>
  <c r="D4029" i="51"/>
  <c r="D4030" i="51"/>
  <c r="D4031" i="51"/>
  <c r="D4032" i="51"/>
  <c r="D4033" i="51"/>
  <c r="D4034" i="51"/>
  <c r="D4035" i="51"/>
  <c r="D4036" i="51"/>
  <c r="D4037" i="51"/>
  <c r="D4038" i="51"/>
  <c r="D4039" i="51"/>
  <c r="D4040" i="51"/>
  <c r="D4041" i="51"/>
  <c r="D4042" i="51"/>
  <c r="D4043" i="51"/>
  <c r="D4044" i="51"/>
  <c r="D4045" i="51"/>
  <c r="D4046" i="51"/>
  <c r="D4047" i="51"/>
  <c r="D4048" i="51"/>
  <c r="D4049" i="51"/>
  <c r="D4050" i="51"/>
  <c r="D4051" i="51"/>
  <c r="D4052" i="51"/>
  <c r="D4053" i="51"/>
  <c r="D4054" i="51"/>
  <c r="D4055" i="51"/>
  <c r="D4056" i="51"/>
  <c r="D4057" i="51"/>
  <c r="D4058" i="51"/>
  <c r="D4059" i="51"/>
  <c r="D4060" i="51"/>
  <c r="D4061" i="51"/>
  <c r="D4062" i="51"/>
  <c r="D4063" i="51"/>
  <c r="D4064" i="51"/>
  <c r="D4065" i="51"/>
  <c r="D4066" i="51"/>
  <c r="D4067" i="51"/>
  <c r="D4068" i="51"/>
  <c r="D4069" i="51"/>
  <c r="D4070" i="51"/>
  <c r="D4071" i="51"/>
  <c r="D4072" i="51"/>
  <c r="D4073" i="51"/>
  <c r="D4074" i="51"/>
  <c r="D4075" i="51"/>
  <c r="D4076" i="51"/>
  <c r="D4077" i="51"/>
  <c r="D4078" i="51"/>
  <c r="D4079" i="51"/>
  <c r="D4080" i="51"/>
  <c r="D4081" i="51"/>
  <c r="D4082" i="51"/>
  <c r="D4083" i="51"/>
  <c r="D4084" i="51"/>
  <c r="D4085" i="51"/>
  <c r="D4086" i="51"/>
  <c r="D4087" i="51"/>
  <c r="D4088" i="51"/>
  <c r="D4089" i="51"/>
  <c r="D4090" i="51"/>
  <c r="D4091" i="51"/>
  <c r="D4092" i="51"/>
  <c r="D4093" i="51"/>
  <c r="D4094" i="51"/>
  <c r="D4095" i="51"/>
  <c r="D4096" i="51"/>
  <c r="D4097" i="51"/>
  <c r="D4098" i="51"/>
  <c r="D4099" i="51"/>
  <c r="D4100" i="51"/>
  <c r="D4101" i="51"/>
  <c r="D4102" i="51"/>
  <c r="D4103" i="51"/>
  <c r="D4104" i="51"/>
  <c r="D4105" i="51"/>
  <c r="D4106" i="51"/>
  <c r="D4107" i="51"/>
  <c r="D4108" i="51"/>
  <c r="D4109" i="51"/>
  <c r="D4110" i="51"/>
  <c r="D4111" i="51"/>
  <c r="D4112" i="51"/>
  <c r="D4113" i="51"/>
  <c r="D4114" i="51"/>
  <c r="D4115" i="51"/>
  <c r="D4116" i="51"/>
  <c r="D4117" i="51"/>
  <c r="D4118" i="51"/>
  <c r="D4119" i="51"/>
  <c r="D4120" i="51"/>
  <c r="D4121" i="51"/>
  <c r="D4122" i="51"/>
  <c r="D4123" i="51"/>
  <c r="D4124" i="51"/>
  <c r="D4125" i="51"/>
  <c r="D4126" i="51"/>
  <c r="D4127" i="51"/>
  <c r="D4128" i="51"/>
  <c r="D4129" i="51"/>
  <c r="D4130" i="51"/>
  <c r="D4131" i="51"/>
  <c r="D4132" i="51"/>
  <c r="D4133" i="51"/>
  <c r="D4134" i="51"/>
  <c r="D4135" i="51"/>
  <c r="D4136" i="51"/>
  <c r="D4137" i="51"/>
  <c r="D4138" i="51"/>
  <c r="D4139" i="51"/>
  <c r="D4140" i="51"/>
  <c r="D4141" i="51"/>
  <c r="D4142" i="51"/>
  <c r="D4143" i="51"/>
  <c r="D4144" i="51"/>
  <c r="D4145" i="51"/>
  <c r="D4146" i="51"/>
  <c r="D4147" i="51"/>
  <c r="D4148" i="51"/>
  <c r="D4149" i="51"/>
  <c r="D4150" i="51"/>
  <c r="D4151" i="51"/>
  <c r="D4152" i="51"/>
  <c r="D4153" i="51"/>
  <c r="D4154" i="51"/>
  <c r="D4155" i="51"/>
  <c r="D4156" i="51"/>
  <c r="D4157" i="51"/>
  <c r="D4158" i="51"/>
  <c r="D4159" i="51"/>
  <c r="D4160" i="51"/>
  <c r="D4161" i="51"/>
  <c r="D4162" i="51"/>
  <c r="D4163" i="51"/>
  <c r="D4164" i="51"/>
  <c r="D4165" i="51"/>
  <c r="D4166" i="51"/>
  <c r="D4167" i="51"/>
  <c r="D4168" i="51"/>
  <c r="D4169" i="51"/>
  <c r="D4170" i="51"/>
  <c r="D4171" i="51"/>
  <c r="D4172" i="51"/>
  <c r="D4173" i="51"/>
  <c r="D4174" i="51"/>
  <c r="D4175" i="51"/>
  <c r="D4176" i="51"/>
  <c r="D4177" i="51"/>
  <c r="D4178" i="51"/>
  <c r="D4179" i="51"/>
  <c r="D4180" i="51"/>
  <c r="D4181" i="51"/>
  <c r="D4182" i="51"/>
  <c r="D4183" i="51"/>
  <c r="D4184" i="51"/>
  <c r="D4185" i="51"/>
  <c r="D4186" i="51"/>
  <c r="D4187" i="51"/>
  <c r="D4188" i="51"/>
  <c r="D4189" i="51"/>
  <c r="D4190" i="51"/>
  <c r="D4191" i="51"/>
  <c r="D4192" i="51"/>
  <c r="D4193" i="51"/>
  <c r="D4194" i="51"/>
  <c r="D4195" i="51"/>
  <c r="D4196" i="51"/>
  <c r="D4197" i="51"/>
  <c r="D4198" i="51"/>
  <c r="D4199" i="51"/>
  <c r="D4200" i="51"/>
  <c r="D4201" i="51"/>
  <c r="D4202" i="51"/>
  <c r="D4203" i="51"/>
  <c r="D4204" i="51"/>
  <c r="D4205" i="51"/>
  <c r="D4206" i="51"/>
  <c r="D4207" i="51"/>
  <c r="D4208" i="51"/>
  <c r="D4209" i="51"/>
  <c r="D4210" i="51"/>
  <c r="D4211" i="51"/>
  <c r="D4212" i="51"/>
  <c r="D4213" i="51"/>
  <c r="D4214" i="51"/>
  <c r="D4215" i="51"/>
  <c r="D4216" i="51"/>
  <c r="D4217" i="51"/>
  <c r="D4218" i="51"/>
  <c r="D4219" i="51"/>
  <c r="D4220" i="51"/>
  <c r="D4221" i="51"/>
  <c r="D4222" i="51"/>
  <c r="D4223" i="51"/>
  <c r="D4224" i="51"/>
  <c r="D4225" i="51"/>
  <c r="D4226" i="51"/>
  <c r="D4227" i="51"/>
  <c r="D4228" i="51"/>
  <c r="D4229" i="51"/>
  <c r="D4230" i="51"/>
  <c r="D4231" i="51"/>
  <c r="D4232" i="51"/>
  <c r="D4233" i="51"/>
  <c r="D4234" i="51"/>
  <c r="D4235" i="51"/>
  <c r="D4236" i="51"/>
  <c r="D4237" i="51"/>
  <c r="D4238" i="51"/>
  <c r="D4239" i="51"/>
  <c r="D4240" i="51"/>
  <c r="D4241" i="51"/>
  <c r="D4242" i="51"/>
  <c r="D4243" i="51"/>
  <c r="D4244" i="51"/>
  <c r="D4245" i="51"/>
  <c r="D4246" i="51"/>
  <c r="D4247" i="51"/>
  <c r="D4248" i="51"/>
  <c r="D4249" i="51"/>
  <c r="D4250" i="51"/>
  <c r="D4251" i="51"/>
  <c r="D4252" i="51"/>
  <c r="D4253" i="51"/>
  <c r="D4254" i="51"/>
  <c r="D4255" i="51"/>
  <c r="D4256" i="51"/>
  <c r="D4257" i="51"/>
  <c r="D4258" i="51"/>
  <c r="D4259" i="51"/>
  <c r="D4260" i="51"/>
  <c r="D4261" i="51"/>
  <c r="D4262" i="51"/>
  <c r="D4263" i="51"/>
  <c r="D4264" i="51"/>
  <c r="D4265" i="51"/>
  <c r="D4266" i="51"/>
  <c r="D4267" i="51"/>
  <c r="D4268" i="51"/>
  <c r="D4269" i="51"/>
  <c r="D4270" i="51"/>
  <c r="D4271" i="51"/>
  <c r="D4272" i="51"/>
  <c r="D4273" i="51"/>
  <c r="D4274" i="51"/>
  <c r="D4275" i="51"/>
  <c r="D4276" i="51"/>
  <c r="D4277" i="51"/>
  <c r="D4278" i="51"/>
  <c r="D4279" i="51"/>
  <c r="D4280" i="51"/>
  <c r="D4281" i="51"/>
  <c r="D4282" i="51"/>
  <c r="D4283" i="51"/>
  <c r="D4284" i="51"/>
  <c r="D4285" i="51"/>
  <c r="D4286" i="51"/>
  <c r="D4287" i="51"/>
  <c r="D4288" i="51"/>
  <c r="D4289" i="51"/>
  <c r="D4290" i="51"/>
  <c r="D4291" i="51"/>
  <c r="D4292" i="51"/>
  <c r="D4293" i="51"/>
  <c r="D4294" i="51"/>
  <c r="D4295" i="51"/>
  <c r="D4296" i="51"/>
  <c r="D4297" i="51"/>
  <c r="D4298" i="51"/>
  <c r="D4299" i="51"/>
  <c r="D4300" i="51"/>
  <c r="D4301" i="51"/>
  <c r="D4302" i="51"/>
  <c r="D4303" i="51"/>
  <c r="D4304" i="51"/>
  <c r="D4305" i="51"/>
  <c r="D4306" i="51"/>
  <c r="D4307" i="51"/>
  <c r="D4308" i="51"/>
  <c r="D4309" i="51"/>
  <c r="D4310" i="51"/>
  <c r="D4311" i="51"/>
  <c r="D4312" i="51"/>
  <c r="D4313" i="51"/>
  <c r="D4314" i="51"/>
  <c r="D4315" i="51"/>
  <c r="D4316" i="51"/>
  <c r="D4317" i="51"/>
  <c r="D4318" i="51"/>
  <c r="D4319" i="51"/>
  <c r="D4320" i="51"/>
  <c r="D4321" i="51"/>
  <c r="D4322" i="51"/>
  <c r="D4323" i="51"/>
  <c r="D4324" i="51"/>
  <c r="D4325" i="51"/>
  <c r="D4326" i="51"/>
  <c r="D4327" i="51"/>
  <c r="D4328" i="51"/>
  <c r="D4329" i="51"/>
  <c r="D4330" i="51"/>
  <c r="D4331" i="51"/>
  <c r="D4332" i="51"/>
  <c r="D4333" i="51"/>
  <c r="D4334" i="51"/>
  <c r="D4335" i="51"/>
  <c r="D4336" i="51"/>
  <c r="D4337" i="51"/>
  <c r="D4338" i="51"/>
  <c r="D4339" i="51"/>
  <c r="D4340" i="51"/>
  <c r="D4341" i="51"/>
  <c r="D4342" i="51"/>
  <c r="D4343" i="51"/>
  <c r="D4344" i="51"/>
  <c r="D4345" i="51"/>
  <c r="D4346" i="51"/>
  <c r="D4347" i="51"/>
  <c r="D4348" i="51"/>
  <c r="D4349" i="51"/>
  <c r="D4350" i="51"/>
  <c r="D4351" i="51"/>
  <c r="D4352" i="51"/>
  <c r="D4353" i="51"/>
  <c r="D4354" i="51"/>
  <c r="D4355" i="51"/>
  <c r="D4356" i="51"/>
  <c r="D4357" i="51"/>
  <c r="D4358" i="51"/>
  <c r="D4359" i="51"/>
  <c r="D4360" i="51"/>
  <c r="D4361" i="51"/>
  <c r="D4362" i="51"/>
  <c r="D4363" i="51"/>
  <c r="D4364" i="51"/>
  <c r="D4365" i="51"/>
  <c r="D4366" i="51"/>
  <c r="D4367" i="51"/>
  <c r="D4368" i="51"/>
  <c r="D4369" i="51"/>
  <c r="D4370" i="51"/>
  <c r="D4371" i="51"/>
  <c r="D4372" i="51"/>
  <c r="D4373" i="51"/>
  <c r="D4374" i="51"/>
  <c r="D4375" i="51"/>
  <c r="D4376" i="51"/>
  <c r="D4377" i="51"/>
  <c r="D4378" i="51"/>
  <c r="D4379" i="51"/>
  <c r="D4380" i="51"/>
  <c r="D4381" i="51"/>
  <c r="D4382" i="51"/>
  <c r="D4383" i="51"/>
  <c r="D4384" i="51"/>
  <c r="D4385" i="51"/>
  <c r="D4386" i="51"/>
  <c r="D4387" i="51"/>
  <c r="D4388" i="51"/>
  <c r="D4389" i="51"/>
  <c r="D4390" i="51"/>
  <c r="D4391" i="51"/>
  <c r="D4392" i="51"/>
  <c r="D4393" i="51"/>
  <c r="D4394" i="51"/>
  <c r="D4395" i="51"/>
  <c r="D4396" i="51"/>
  <c r="D4397" i="51"/>
  <c r="D4398" i="51"/>
  <c r="D4399" i="51"/>
  <c r="D4400" i="51"/>
  <c r="D4401" i="51"/>
  <c r="D4402" i="51"/>
  <c r="D4403" i="51"/>
  <c r="D4404" i="51"/>
  <c r="D4405" i="51"/>
  <c r="D4406" i="51"/>
  <c r="D4407" i="51"/>
  <c r="D4408" i="51"/>
  <c r="D4409" i="51"/>
  <c r="D4410" i="51"/>
  <c r="D4411" i="51"/>
  <c r="D4412" i="51"/>
  <c r="D4413" i="51"/>
  <c r="D4414" i="51"/>
  <c r="D4415" i="51"/>
  <c r="D4416" i="51"/>
  <c r="D4417" i="51"/>
  <c r="D4418" i="51"/>
  <c r="D4419" i="51"/>
  <c r="D4420" i="51"/>
  <c r="D4421" i="51"/>
  <c r="D4422" i="51"/>
  <c r="D4423" i="51"/>
  <c r="D4424" i="51"/>
  <c r="D4425" i="51"/>
  <c r="D4426" i="51"/>
  <c r="D4427" i="51"/>
  <c r="D4428" i="51"/>
  <c r="D4429" i="51"/>
  <c r="D4430" i="51"/>
  <c r="D4431" i="51"/>
  <c r="D4432" i="51"/>
  <c r="D4433" i="51"/>
  <c r="D4434" i="51"/>
  <c r="D4435" i="51"/>
  <c r="D4436" i="51"/>
  <c r="D4437" i="51"/>
  <c r="D4438" i="51"/>
  <c r="D4439" i="51"/>
  <c r="D4440" i="51"/>
  <c r="D4441" i="51"/>
  <c r="D4442" i="51"/>
  <c r="D4443" i="51"/>
  <c r="D4444" i="51"/>
  <c r="D4445" i="51"/>
  <c r="D4446" i="51"/>
  <c r="D4447" i="51"/>
  <c r="D4448" i="51"/>
  <c r="D4449" i="51"/>
  <c r="D4450" i="51"/>
  <c r="D4451" i="51"/>
  <c r="D4452" i="51"/>
  <c r="D4453" i="51"/>
  <c r="D4454" i="51"/>
  <c r="D4455" i="51"/>
  <c r="D4456" i="51"/>
  <c r="D4457" i="51"/>
  <c r="D4458" i="51"/>
  <c r="D4459" i="51"/>
  <c r="D4460" i="51"/>
  <c r="D4461" i="51"/>
  <c r="D4462" i="51"/>
  <c r="D4463" i="51"/>
  <c r="D4464" i="51"/>
  <c r="D4465" i="51"/>
  <c r="D4466" i="51"/>
  <c r="D4467" i="51"/>
  <c r="D4468" i="51"/>
  <c r="D4469" i="51"/>
  <c r="D4470" i="51"/>
  <c r="D4471" i="51"/>
  <c r="D4472" i="51"/>
  <c r="D4473" i="51"/>
  <c r="D4474" i="51"/>
  <c r="D4475" i="51"/>
  <c r="D4476" i="51"/>
  <c r="D4477" i="51"/>
  <c r="D4478" i="51"/>
  <c r="D4479" i="51"/>
  <c r="D4480" i="51"/>
  <c r="D4481" i="51"/>
  <c r="D4482" i="51"/>
  <c r="D4483" i="51"/>
  <c r="D4484" i="51"/>
  <c r="D4485" i="51"/>
  <c r="D4486" i="51"/>
  <c r="D4487" i="51"/>
  <c r="D4488" i="51"/>
  <c r="D4489" i="51"/>
  <c r="D4490" i="51"/>
  <c r="D4491" i="51"/>
  <c r="D4492" i="51"/>
  <c r="D4493" i="51"/>
  <c r="D4494" i="51"/>
  <c r="D4495" i="51"/>
  <c r="D4496" i="51"/>
  <c r="D4497" i="51"/>
  <c r="D4498" i="51"/>
  <c r="D4499" i="51"/>
  <c r="D4500" i="51"/>
  <c r="D4501" i="51"/>
  <c r="D4502" i="51"/>
  <c r="D4503" i="51"/>
  <c r="D4504" i="51"/>
  <c r="D4505" i="51"/>
  <c r="D4506" i="51"/>
  <c r="D4507" i="51"/>
  <c r="D4508" i="51"/>
  <c r="D4509" i="51"/>
  <c r="D4510" i="51"/>
  <c r="D4511" i="51"/>
  <c r="D4512" i="51"/>
  <c r="D4513" i="51"/>
  <c r="D4514" i="51"/>
  <c r="D4515" i="51"/>
  <c r="D4516" i="51"/>
  <c r="D4517" i="51"/>
  <c r="D4518" i="51"/>
  <c r="D4519" i="51"/>
  <c r="D4520" i="51"/>
  <c r="D4521" i="51"/>
  <c r="D4522" i="51"/>
  <c r="D4523" i="51"/>
  <c r="D4524" i="51"/>
  <c r="D4525" i="51"/>
  <c r="D4526" i="51"/>
  <c r="D4527" i="51"/>
  <c r="D4528" i="51"/>
  <c r="D4529" i="51"/>
  <c r="D4530" i="51"/>
  <c r="D4531" i="51"/>
  <c r="D4532" i="51"/>
  <c r="D4533" i="51"/>
  <c r="D4534" i="51"/>
  <c r="D4535" i="51"/>
  <c r="D4536" i="51"/>
  <c r="D4537" i="51"/>
  <c r="D4538" i="51"/>
  <c r="D4539" i="51"/>
  <c r="D4540" i="51"/>
  <c r="D4541" i="51"/>
  <c r="D4542" i="51"/>
  <c r="D4543" i="51"/>
  <c r="D4544" i="51"/>
  <c r="D4545" i="51"/>
  <c r="D4546" i="51"/>
  <c r="D4547" i="51"/>
  <c r="D4548" i="51"/>
  <c r="D4549" i="51"/>
  <c r="D4550" i="51"/>
  <c r="D4551" i="51"/>
  <c r="D4552" i="51"/>
  <c r="D4553" i="51"/>
  <c r="D4554" i="51"/>
  <c r="D4555" i="51"/>
  <c r="D4556" i="51"/>
  <c r="D4557" i="51"/>
  <c r="D4558" i="51"/>
  <c r="D4559" i="51"/>
  <c r="D4560" i="51"/>
  <c r="D4561" i="51"/>
  <c r="D4562" i="51"/>
  <c r="D4563" i="51"/>
  <c r="D4564" i="51"/>
  <c r="D4565" i="51"/>
  <c r="D4566" i="51"/>
  <c r="D4567" i="51"/>
  <c r="D4568" i="51"/>
  <c r="D4569" i="51"/>
  <c r="D4570" i="51"/>
  <c r="D4571" i="51"/>
  <c r="D4572" i="51"/>
  <c r="D4573" i="51"/>
  <c r="D4574" i="51"/>
  <c r="D4575" i="51"/>
  <c r="D4576" i="51"/>
  <c r="D4577" i="51"/>
  <c r="D4578" i="51"/>
  <c r="D4579" i="51"/>
  <c r="D4580" i="51"/>
  <c r="D4581" i="51"/>
  <c r="D4582" i="51"/>
  <c r="D4583" i="51"/>
  <c r="D4584" i="51"/>
  <c r="D4585" i="51"/>
  <c r="D4586" i="51"/>
  <c r="D4587" i="51"/>
  <c r="D4588" i="51"/>
  <c r="D4589" i="51"/>
  <c r="D4590" i="51"/>
  <c r="D4591" i="51"/>
  <c r="D4592" i="51"/>
  <c r="D4593" i="51"/>
  <c r="D4594" i="51"/>
  <c r="D4595" i="51"/>
  <c r="D4596" i="51"/>
  <c r="D4597" i="51"/>
  <c r="D4598" i="51"/>
  <c r="D4599" i="51"/>
  <c r="D4600" i="51"/>
  <c r="D4601" i="51"/>
  <c r="D4602" i="51"/>
  <c r="D4603" i="51"/>
  <c r="D4604" i="51"/>
  <c r="D4605" i="51"/>
  <c r="D4606" i="51"/>
  <c r="D4607" i="51"/>
  <c r="D4608" i="51"/>
  <c r="D4609" i="51"/>
  <c r="D4610" i="51"/>
  <c r="D4611" i="51"/>
  <c r="D4612" i="51"/>
  <c r="D4613" i="51"/>
  <c r="D4614" i="51"/>
  <c r="D4615" i="51"/>
  <c r="D4616" i="51"/>
  <c r="D4617" i="51"/>
  <c r="D4618" i="51"/>
  <c r="D4619" i="51"/>
  <c r="D4620" i="51"/>
  <c r="D4621" i="51"/>
  <c r="D4622" i="51"/>
  <c r="D4623" i="51"/>
  <c r="D4624" i="51"/>
  <c r="D4625" i="51"/>
  <c r="D4626" i="51"/>
  <c r="D4627" i="51"/>
  <c r="D4628" i="51"/>
  <c r="D4629" i="51"/>
  <c r="D4630" i="51"/>
  <c r="D4631" i="51"/>
  <c r="D4632" i="51"/>
  <c r="D4633" i="51"/>
  <c r="D4634" i="51"/>
  <c r="D4635" i="51"/>
  <c r="D4636" i="51"/>
  <c r="D4637" i="51"/>
  <c r="D4638" i="51"/>
  <c r="D4639" i="51"/>
  <c r="D4640" i="51"/>
  <c r="D4641" i="51"/>
  <c r="D4642" i="51"/>
  <c r="D4643" i="51"/>
  <c r="D4644" i="51"/>
  <c r="D4645" i="51"/>
  <c r="D4646" i="51"/>
  <c r="D4647" i="51"/>
  <c r="D4648" i="51"/>
  <c r="D4649" i="51"/>
  <c r="D4650" i="51"/>
  <c r="D4651" i="51"/>
  <c r="D4652" i="51"/>
  <c r="D4653" i="51"/>
  <c r="D4654" i="51"/>
  <c r="D4655" i="51"/>
  <c r="D4656" i="51"/>
  <c r="D4657" i="51"/>
  <c r="D4658" i="51"/>
  <c r="D4659" i="51"/>
  <c r="D4660" i="51"/>
  <c r="D4661" i="51"/>
  <c r="D4662" i="51"/>
  <c r="D4663" i="51"/>
  <c r="D4664" i="51"/>
  <c r="D4665" i="51"/>
  <c r="D4666" i="51"/>
  <c r="D4667" i="51"/>
  <c r="D4668" i="51"/>
  <c r="D4669" i="51"/>
  <c r="D4670" i="51"/>
  <c r="D4671" i="51"/>
  <c r="D4672" i="51"/>
  <c r="D4673" i="51"/>
  <c r="D4674" i="51"/>
  <c r="D4675" i="51"/>
  <c r="D4676" i="51"/>
  <c r="D4677" i="51"/>
  <c r="D4678" i="51"/>
  <c r="D4679" i="51"/>
  <c r="D4680" i="51"/>
  <c r="D4681" i="51"/>
  <c r="D4682" i="51"/>
  <c r="D4683" i="51"/>
  <c r="D4684" i="51"/>
  <c r="D4685" i="51"/>
  <c r="D4686" i="51"/>
  <c r="D4687" i="51"/>
  <c r="D4688" i="51"/>
  <c r="D4689" i="51"/>
  <c r="D4690" i="51"/>
  <c r="D4691" i="51"/>
  <c r="D4692" i="51"/>
  <c r="D4693" i="51"/>
  <c r="D4694" i="51"/>
  <c r="D4695" i="51"/>
  <c r="D4696" i="51"/>
  <c r="D4697" i="51"/>
  <c r="D4698" i="51"/>
  <c r="D4699" i="51"/>
  <c r="D4700" i="51"/>
  <c r="D4701" i="51"/>
  <c r="D4702" i="51"/>
  <c r="D4703" i="51"/>
  <c r="D4704" i="51"/>
  <c r="D4705" i="51"/>
  <c r="D4706" i="51"/>
  <c r="D4707" i="51"/>
  <c r="D4708" i="51"/>
  <c r="D4709" i="51"/>
  <c r="D4710" i="51"/>
  <c r="D4711" i="51"/>
  <c r="D4712" i="51"/>
  <c r="D4713" i="51"/>
  <c r="D4714" i="51"/>
  <c r="D4715" i="51"/>
  <c r="D4716" i="51"/>
  <c r="D4717" i="51"/>
  <c r="D4718" i="51"/>
  <c r="D4719" i="51"/>
  <c r="D4720" i="51"/>
  <c r="D4721" i="51"/>
  <c r="D4722" i="51"/>
  <c r="D4723" i="51"/>
  <c r="D4724" i="51"/>
  <c r="D4725" i="51"/>
  <c r="D4726" i="51"/>
  <c r="D4727" i="51"/>
  <c r="D4728" i="51"/>
  <c r="D4729" i="51"/>
  <c r="D4730" i="51"/>
  <c r="D4731" i="51"/>
  <c r="D4732" i="51"/>
  <c r="D4733" i="51"/>
  <c r="D4734" i="51"/>
  <c r="D4735" i="51"/>
  <c r="D4736" i="51"/>
  <c r="D4737" i="51"/>
  <c r="D4738" i="51"/>
  <c r="D4739" i="51"/>
  <c r="D4740" i="51"/>
  <c r="D4741" i="51"/>
  <c r="D4742" i="51"/>
  <c r="D4743" i="51"/>
  <c r="D4744" i="51"/>
  <c r="D4745" i="51"/>
  <c r="D4746" i="51"/>
  <c r="D4747" i="51"/>
  <c r="D4748" i="51"/>
  <c r="D4749" i="51"/>
  <c r="D4750" i="51"/>
  <c r="D4751" i="51"/>
  <c r="D4752" i="51"/>
  <c r="D4753" i="51"/>
  <c r="D4754" i="51"/>
  <c r="D4755" i="51"/>
  <c r="D4756" i="51"/>
  <c r="D4757" i="51"/>
  <c r="D4758" i="51"/>
  <c r="D4759" i="51"/>
  <c r="D4760" i="51"/>
  <c r="D4761" i="51"/>
  <c r="D4762" i="51"/>
  <c r="D4763" i="51"/>
  <c r="D4764" i="51"/>
  <c r="D4765" i="51"/>
  <c r="D4766" i="51"/>
  <c r="D4767" i="51"/>
  <c r="D4768" i="51"/>
  <c r="D4769" i="51"/>
  <c r="D4770" i="51"/>
  <c r="D4771" i="51"/>
  <c r="D4772" i="51"/>
  <c r="D4773" i="51"/>
  <c r="D4774" i="51"/>
  <c r="D4775" i="51"/>
  <c r="D4776" i="51"/>
  <c r="D4777" i="51"/>
  <c r="D4778" i="51"/>
  <c r="D4779" i="51"/>
  <c r="D4780" i="51"/>
  <c r="D4781" i="51"/>
  <c r="D4782" i="51"/>
  <c r="D4783" i="51"/>
  <c r="D4784" i="51"/>
  <c r="D4785" i="51"/>
  <c r="D4786" i="51"/>
  <c r="D4787" i="51"/>
  <c r="D4788" i="51"/>
  <c r="D4789" i="51"/>
  <c r="D4790" i="51"/>
  <c r="D4791" i="51"/>
  <c r="D4792" i="51"/>
  <c r="D4793" i="51"/>
  <c r="D4794" i="51"/>
  <c r="D4795" i="51"/>
  <c r="D4796" i="51"/>
  <c r="D4797" i="51"/>
  <c r="D4798" i="51"/>
  <c r="D4799" i="51"/>
  <c r="D4800" i="51"/>
  <c r="D4801" i="51"/>
  <c r="D4802" i="51"/>
  <c r="D4803" i="51"/>
  <c r="D4804" i="51"/>
  <c r="D4805" i="51"/>
  <c r="D4806" i="51"/>
  <c r="D4807" i="51"/>
  <c r="D4808" i="51"/>
  <c r="D4809" i="51"/>
  <c r="D4810" i="51"/>
  <c r="D4811" i="51"/>
  <c r="D4812" i="51"/>
  <c r="D4813" i="51"/>
  <c r="D4814" i="51"/>
  <c r="D4815" i="51"/>
  <c r="D4816" i="51"/>
  <c r="D4817" i="51"/>
  <c r="D4818" i="51"/>
  <c r="D4819" i="51"/>
  <c r="D4820" i="51"/>
  <c r="D4821" i="51"/>
  <c r="D4822" i="51"/>
  <c r="D4823" i="51"/>
  <c r="D4824" i="51"/>
  <c r="D4825" i="51"/>
  <c r="D4826" i="51"/>
  <c r="D4827" i="51"/>
  <c r="D4828" i="51"/>
  <c r="D4829" i="51"/>
  <c r="D4830" i="51"/>
  <c r="D4831" i="51"/>
  <c r="D4832" i="51"/>
  <c r="D4833" i="51"/>
  <c r="D4834" i="51"/>
  <c r="D4835" i="51"/>
  <c r="D4836" i="51"/>
  <c r="D4837" i="51"/>
  <c r="D4838" i="51"/>
  <c r="D4839" i="51"/>
  <c r="D4840" i="51"/>
  <c r="D4841" i="51"/>
  <c r="D4842" i="51"/>
  <c r="D4843" i="51"/>
  <c r="D4844" i="51"/>
  <c r="D4845" i="51"/>
  <c r="D4846" i="51"/>
  <c r="D4847" i="51"/>
  <c r="D4848" i="51"/>
  <c r="D4849" i="51"/>
  <c r="D4850" i="51"/>
  <c r="D4851" i="51"/>
  <c r="D4852" i="51"/>
  <c r="D4853" i="51"/>
  <c r="D4854" i="51"/>
  <c r="D4855" i="51"/>
  <c r="D4856" i="51"/>
  <c r="D4857" i="51"/>
  <c r="D4858" i="51"/>
  <c r="D4859" i="51"/>
  <c r="D4860" i="51"/>
  <c r="D4861" i="51"/>
  <c r="D4862" i="51"/>
  <c r="D4863" i="51"/>
  <c r="D4864" i="51"/>
  <c r="D4865" i="51"/>
  <c r="D4866" i="51"/>
  <c r="D4867" i="51"/>
  <c r="D4868" i="51"/>
  <c r="D4869" i="51"/>
  <c r="D4870" i="51"/>
  <c r="D4871" i="51"/>
  <c r="D4872" i="51"/>
  <c r="D4873" i="51"/>
  <c r="D4874" i="51"/>
  <c r="D4875" i="51"/>
  <c r="D4876" i="51"/>
  <c r="D4877" i="51"/>
  <c r="D4878" i="51"/>
  <c r="D4879" i="51"/>
  <c r="D4880" i="51"/>
  <c r="D4881" i="51"/>
  <c r="D4882" i="51"/>
  <c r="D4883" i="51"/>
  <c r="D4884" i="51"/>
  <c r="D4885" i="51"/>
  <c r="D4886" i="51"/>
  <c r="D4887" i="51"/>
  <c r="D4888" i="51"/>
  <c r="D4889" i="51"/>
  <c r="D4890" i="51"/>
  <c r="D4891" i="51"/>
  <c r="D4892" i="51"/>
  <c r="D4893" i="51"/>
  <c r="D4894" i="51"/>
  <c r="D4895" i="51"/>
  <c r="D4896" i="51"/>
  <c r="D4897" i="51"/>
  <c r="D4898" i="51"/>
  <c r="D4899" i="51"/>
  <c r="D4900" i="51"/>
  <c r="D4901" i="51"/>
  <c r="D4902" i="51"/>
  <c r="D4903" i="51"/>
  <c r="D4904" i="51"/>
  <c r="D4905" i="51"/>
  <c r="D4906" i="51"/>
  <c r="D4907" i="51"/>
  <c r="D4908" i="51"/>
  <c r="D4909" i="51"/>
  <c r="D4910" i="51"/>
  <c r="D4911" i="51"/>
  <c r="D4912" i="51"/>
  <c r="D4913" i="51"/>
  <c r="D4914" i="51"/>
  <c r="D4915" i="51"/>
  <c r="D4916" i="51"/>
  <c r="D4917" i="51"/>
  <c r="D4918" i="51"/>
  <c r="D4919" i="51"/>
  <c r="D4920" i="51"/>
  <c r="D4921" i="51"/>
  <c r="D4922" i="51"/>
  <c r="D4923" i="51"/>
  <c r="D4924" i="51"/>
  <c r="D4925" i="51"/>
  <c r="D4926" i="51"/>
  <c r="D4927" i="51"/>
  <c r="D4928" i="51"/>
  <c r="D4929" i="51"/>
  <c r="D4930" i="51"/>
  <c r="D4931" i="51"/>
  <c r="D4932" i="51"/>
  <c r="D4933" i="51"/>
  <c r="D4934" i="51"/>
  <c r="D4935" i="51"/>
  <c r="D4936" i="51"/>
  <c r="D4937" i="51"/>
  <c r="D4938" i="51"/>
  <c r="D4939" i="51"/>
  <c r="D4940" i="51"/>
  <c r="D4941" i="51"/>
  <c r="D4942" i="51"/>
  <c r="D4943" i="51"/>
  <c r="D4944" i="51"/>
  <c r="D4945" i="51"/>
  <c r="D4946" i="51"/>
  <c r="D4947" i="51"/>
  <c r="D4948" i="51"/>
  <c r="D4949" i="51"/>
  <c r="D4950" i="51"/>
  <c r="D4951" i="51"/>
  <c r="D4952" i="51"/>
  <c r="D4953" i="51"/>
  <c r="D4954" i="51"/>
  <c r="D4955" i="51"/>
  <c r="D4956" i="51"/>
  <c r="D4957" i="51"/>
  <c r="D4958" i="51"/>
  <c r="D4959" i="51"/>
  <c r="D4960" i="51"/>
  <c r="D4961" i="51"/>
  <c r="D4962" i="51"/>
  <c r="D4963" i="51"/>
  <c r="D4964" i="51"/>
  <c r="D4965" i="51"/>
  <c r="D4966" i="51"/>
  <c r="D4967" i="51"/>
  <c r="D4968" i="51"/>
  <c r="D4969" i="51"/>
  <c r="D4970" i="51"/>
  <c r="D4971" i="51"/>
  <c r="D4972" i="51"/>
  <c r="D4973" i="51"/>
  <c r="D4974" i="51"/>
  <c r="D4975" i="51"/>
  <c r="D4976" i="51"/>
  <c r="D4977" i="51"/>
  <c r="D4978" i="51"/>
  <c r="D4979" i="51"/>
  <c r="D4980" i="51"/>
  <c r="D4981" i="51"/>
  <c r="D4982" i="51"/>
  <c r="D4983" i="51"/>
  <c r="D4984" i="51"/>
  <c r="D4985" i="51"/>
  <c r="D4986" i="51"/>
  <c r="D4987" i="51"/>
  <c r="D4988" i="51"/>
  <c r="D4989" i="51"/>
  <c r="D4990" i="51"/>
  <c r="D4991" i="51"/>
  <c r="D4992" i="51"/>
  <c r="D4993" i="51"/>
  <c r="D4994" i="51"/>
  <c r="D4995" i="51"/>
  <c r="D4996" i="51"/>
  <c r="D4997" i="51"/>
  <c r="D4998" i="51"/>
  <c r="D4999" i="51"/>
  <c r="D5000" i="51"/>
  <c r="D5001" i="51"/>
  <c r="D5002" i="51"/>
  <c r="D5003" i="51"/>
  <c r="D5004" i="51"/>
  <c r="D5005" i="51"/>
  <c r="D5006" i="51"/>
  <c r="D5007" i="51"/>
  <c r="E2008" i="51"/>
  <c r="E2009" i="51"/>
  <c r="E2010" i="51"/>
  <c r="E2011" i="51"/>
  <c r="E2012" i="51"/>
  <c r="E2013" i="51"/>
  <c r="E2014" i="51"/>
  <c r="E2015" i="51"/>
  <c r="E2016" i="51"/>
  <c r="E2017" i="51"/>
  <c r="E2018" i="51"/>
  <c r="E2019" i="51"/>
  <c r="E2020" i="51"/>
  <c r="E2021" i="51"/>
  <c r="E2022" i="51"/>
  <c r="E2023" i="51"/>
  <c r="E2024" i="51"/>
  <c r="E2025" i="51"/>
  <c r="E2026" i="51"/>
  <c r="E2027" i="51"/>
  <c r="E2028" i="51"/>
  <c r="E2029" i="51"/>
  <c r="E2030" i="51"/>
  <c r="E2031" i="51"/>
  <c r="E2032" i="51"/>
  <c r="E2033" i="51"/>
  <c r="E2034" i="51"/>
  <c r="E2035" i="51"/>
  <c r="E2036" i="51"/>
  <c r="E2037" i="51"/>
  <c r="E2038" i="51"/>
  <c r="E2039" i="51"/>
  <c r="E2040" i="51"/>
  <c r="E2041" i="51"/>
  <c r="E2042" i="51"/>
  <c r="E2043" i="51"/>
  <c r="E2044" i="51"/>
  <c r="E2045" i="51"/>
  <c r="E2046" i="51"/>
  <c r="E2047" i="51"/>
  <c r="E2048" i="51"/>
  <c r="E2049" i="51"/>
  <c r="E2050" i="51"/>
  <c r="E2051" i="51"/>
  <c r="E2052" i="51"/>
  <c r="E2053" i="51"/>
  <c r="E2054" i="51"/>
  <c r="E2055" i="51"/>
  <c r="E2056" i="51"/>
  <c r="E2057" i="51"/>
  <c r="E2058" i="51"/>
  <c r="E2059" i="51"/>
  <c r="E2060" i="51"/>
  <c r="E2061" i="51"/>
  <c r="E2062" i="51"/>
  <c r="E2063" i="51"/>
  <c r="E2064" i="51"/>
  <c r="E2065" i="51"/>
  <c r="E2066" i="51"/>
  <c r="E2067" i="51"/>
  <c r="E2068" i="51"/>
  <c r="E2069" i="51"/>
  <c r="E2070" i="51"/>
  <c r="E2071" i="51"/>
  <c r="E2072" i="51"/>
  <c r="E2073" i="51"/>
  <c r="E2074" i="51"/>
  <c r="E2075" i="51"/>
  <c r="E2076" i="51"/>
  <c r="E2077" i="51"/>
  <c r="E2078" i="51"/>
  <c r="E2079" i="51"/>
  <c r="E2080" i="51"/>
  <c r="E2081" i="51"/>
  <c r="E2082" i="51"/>
  <c r="E2083" i="51"/>
  <c r="E2084" i="51"/>
  <c r="E2085" i="51"/>
  <c r="E2086" i="51"/>
  <c r="E2087" i="51"/>
  <c r="E2088" i="51"/>
  <c r="E2089" i="51"/>
  <c r="E2090" i="51"/>
  <c r="E2091" i="51"/>
  <c r="E2092" i="51"/>
  <c r="E2093" i="51"/>
  <c r="E2094" i="51"/>
  <c r="E2095" i="51"/>
  <c r="E2096" i="51"/>
  <c r="E2097" i="51"/>
  <c r="E2098" i="51"/>
  <c r="E2099" i="51"/>
  <c r="E2100" i="51"/>
  <c r="E2101" i="51"/>
  <c r="E2102" i="51"/>
  <c r="E2103" i="51"/>
  <c r="E2104" i="51"/>
  <c r="E2105" i="51"/>
  <c r="E2106" i="51"/>
  <c r="E2107" i="51"/>
  <c r="E2108" i="51"/>
  <c r="E2109" i="51"/>
  <c r="E2110" i="51"/>
  <c r="E2111" i="51"/>
  <c r="E2112" i="51"/>
  <c r="E2113" i="51"/>
  <c r="E2114" i="51"/>
  <c r="E2115" i="51"/>
  <c r="E2116" i="51"/>
  <c r="E2117" i="51"/>
  <c r="E2118" i="51"/>
  <c r="E2119" i="51"/>
  <c r="E2120" i="51"/>
  <c r="E2121" i="51"/>
  <c r="E2122" i="51"/>
  <c r="E2123" i="51"/>
  <c r="E2124" i="51"/>
  <c r="E2125" i="51"/>
  <c r="E2126" i="51"/>
  <c r="E2127" i="51"/>
  <c r="E2128" i="51"/>
  <c r="E2129" i="51"/>
  <c r="E2130" i="51"/>
  <c r="E2131" i="51"/>
  <c r="E2132" i="51"/>
  <c r="E2133" i="51"/>
  <c r="E2134" i="51"/>
  <c r="E2135" i="51"/>
  <c r="E2136" i="51"/>
  <c r="E2137" i="51"/>
  <c r="E2138" i="51"/>
  <c r="E2139" i="51"/>
  <c r="E2140" i="51"/>
  <c r="E2141" i="51"/>
  <c r="E2142" i="51"/>
  <c r="E2143" i="51"/>
  <c r="E2144" i="51"/>
  <c r="E2145" i="51"/>
  <c r="E2146" i="51"/>
  <c r="E2147" i="51"/>
  <c r="E2148" i="51"/>
  <c r="E2149" i="51"/>
  <c r="E2150" i="51"/>
  <c r="E2151" i="51"/>
  <c r="E2152" i="51"/>
  <c r="E2153" i="51"/>
  <c r="E2154" i="51"/>
  <c r="E2155" i="51"/>
  <c r="E2156" i="51"/>
  <c r="E2157" i="51"/>
  <c r="E2158" i="51"/>
  <c r="E2159" i="51"/>
  <c r="E2160" i="51"/>
  <c r="E2161" i="51"/>
  <c r="E2162" i="51"/>
  <c r="E2163" i="51"/>
  <c r="E2164" i="51"/>
  <c r="E2165" i="51"/>
  <c r="E2166" i="51"/>
  <c r="E2167" i="51"/>
  <c r="E2168" i="51"/>
  <c r="E2169" i="51"/>
  <c r="E2170" i="51"/>
  <c r="E2171" i="51"/>
  <c r="E2172" i="51"/>
  <c r="E2173" i="51"/>
  <c r="E2174" i="51"/>
  <c r="E2175" i="51"/>
  <c r="E2176" i="51"/>
  <c r="E2177" i="51"/>
  <c r="E2178" i="51"/>
  <c r="E2179" i="51"/>
  <c r="E2180" i="51"/>
  <c r="E2181" i="51"/>
  <c r="E2182" i="51"/>
  <c r="E2183" i="51"/>
  <c r="E2184" i="51"/>
  <c r="E2185" i="51"/>
  <c r="E2186" i="51"/>
  <c r="E2187" i="51"/>
  <c r="E2188" i="51"/>
  <c r="E2189" i="51"/>
  <c r="E2190" i="51"/>
  <c r="E2191" i="51"/>
  <c r="E2192" i="51"/>
  <c r="E2193" i="51"/>
  <c r="E2194" i="51"/>
  <c r="E2195" i="51"/>
  <c r="E2196" i="51"/>
  <c r="E2197" i="51"/>
  <c r="E2198" i="51"/>
  <c r="E2199" i="51"/>
  <c r="E2200" i="51"/>
  <c r="E2201" i="51"/>
  <c r="E2202" i="51"/>
  <c r="E2203" i="51"/>
  <c r="E2204" i="51"/>
  <c r="E2205" i="51"/>
  <c r="E2206" i="51"/>
  <c r="E2207" i="51"/>
  <c r="E2208" i="51"/>
  <c r="E2209" i="51"/>
  <c r="E2210" i="51"/>
  <c r="E2211" i="51"/>
  <c r="E2212" i="51"/>
  <c r="E2213" i="51"/>
  <c r="E2214" i="51"/>
  <c r="E2215" i="51"/>
  <c r="E2216" i="51"/>
  <c r="E2217" i="51"/>
  <c r="E2218" i="51"/>
  <c r="E2219" i="51"/>
  <c r="E2220" i="51"/>
  <c r="E2221" i="51"/>
  <c r="E2222" i="51"/>
  <c r="E2223" i="51"/>
  <c r="E2224" i="51"/>
  <c r="E2225" i="51"/>
  <c r="E2226" i="51"/>
  <c r="E2227" i="51"/>
  <c r="E2228" i="51"/>
  <c r="E2229" i="51"/>
  <c r="E2230" i="51"/>
  <c r="E2231" i="51"/>
  <c r="E2232" i="51"/>
  <c r="E2233" i="51"/>
  <c r="E2234" i="51"/>
  <c r="E2235" i="51"/>
  <c r="E2236" i="51"/>
  <c r="E2237" i="51"/>
  <c r="E2238" i="51"/>
  <c r="E2239" i="51"/>
  <c r="E2240" i="51"/>
  <c r="E2241" i="51"/>
  <c r="E2242" i="51"/>
  <c r="E2243" i="51"/>
  <c r="E2244" i="51"/>
  <c r="E2245" i="51"/>
  <c r="E2246" i="51"/>
  <c r="E2247" i="51"/>
  <c r="E2248" i="51"/>
  <c r="E2249" i="51"/>
  <c r="E2250" i="51"/>
  <c r="E2251" i="51"/>
  <c r="E2252" i="51"/>
  <c r="E2253" i="51"/>
  <c r="E2254" i="51"/>
  <c r="E2255" i="51"/>
  <c r="E2256" i="51"/>
  <c r="E2257" i="51"/>
  <c r="E2258" i="51"/>
  <c r="E2259" i="51"/>
  <c r="E2260" i="51"/>
  <c r="E2261" i="51"/>
  <c r="E2262" i="51"/>
  <c r="E2263" i="51"/>
  <c r="E2264" i="51"/>
  <c r="E2265" i="51"/>
  <c r="E2266" i="51"/>
  <c r="E2267" i="51"/>
  <c r="E2268" i="51"/>
  <c r="E2269" i="51"/>
  <c r="E2270" i="51"/>
  <c r="E2271" i="51"/>
  <c r="E2272" i="51"/>
  <c r="E2273" i="51"/>
  <c r="E2274" i="51"/>
  <c r="E2275" i="51"/>
  <c r="E2276" i="51"/>
  <c r="E2277" i="51"/>
  <c r="E2278" i="51"/>
  <c r="E2279" i="51"/>
  <c r="E2280" i="51"/>
  <c r="E2281" i="51"/>
  <c r="E2282" i="51"/>
  <c r="E2283" i="51"/>
  <c r="E2284" i="51"/>
  <c r="E2285" i="51"/>
  <c r="E2286" i="51"/>
  <c r="E2287" i="51"/>
  <c r="E2288" i="51"/>
  <c r="E2289" i="51"/>
  <c r="E2290" i="51"/>
  <c r="E2291" i="51"/>
  <c r="E2292" i="51"/>
  <c r="E2293" i="51"/>
  <c r="E2294" i="51"/>
  <c r="E2295" i="51"/>
  <c r="E2296" i="51"/>
  <c r="E2297" i="51"/>
  <c r="E2298" i="51"/>
  <c r="E2299" i="51"/>
  <c r="E2300" i="51"/>
  <c r="E2301" i="51"/>
  <c r="E2302" i="51"/>
  <c r="E2303" i="51"/>
  <c r="E2304" i="51"/>
  <c r="E2305" i="51"/>
  <c r="E2306" i="51"/>
  <c r="E2307" i="51"/>
  <c r="E2308" i="51"/>
  <c r="E2309" i="51"/>
  <c r="E2310" i="51"/>
  <c r="E2311" i="51"/>
  <c r="E2312" i="51"/>
  <c r="E2313" i="51"/>
  <c r="E2314" i="51"/>
  <c r="E2315" i="51"/>
  <c r="E2316" i="51"/>
  <c r="E2317" i="51"/>
  <c r="E2318" i="51"/>
  <c r="E2319" i="51"/>
  <c r="E2320" i="51"/>
  <c r="E2321" i="51"/>
  <c r="E2322" i="51"/>
  <c r="E2323" i="51"/>
  <c r="E2324" i="51"/>
  <c r="E2325" i="51"/>
  <c r="E2326" i="51"/>
  <c r="E2327" i="51"/>
  <c r="E2328" i="51"/>
  <c r="E2329" i="51"/>
  <c r="E2330" i="51"/>
  <c r="E2331" i="51"/>
  <c r="E2332" i="51"/>
  <c r="E2333" i="51"/>
  <c r="E2334" i="51"/>
  <c r="E2335" i="51"/>
  <c r="E2336" i="51"/>
  <c r="E2337" i="51"/>
  <c r="E2338" i="51"/>
  <c r="E2339" i="51"/>
  <c r="E2340" i="51"/>
  <c r="E2341" i="51"/>
  <c r="E2342" i="51"/>
  <c r="E2343" i="51"/>
  <c r="E2344" i="51"/>
  <c r="E2345" i="51"/>
  <c r="E2346" i="51"/>
  <c r="E2347" i="51"/>
  <c r="E2348" i="51"/>
  <c r="E2349" i="51"/>
  <c r="E2350" i="51"/>
  <c r="E2351" i="51"/>
  <c r="E2352" i="51"/>
  <c r="E2353" i="51"/>
  <c r="E2354" i="51"/>
  <c r="E2355" i="51"/>
  <c r="E2356" i="51"/>
  <c r="E2357" i="51"/>
  <c r="E2358" i="51"/>
  <c r="E2359" i="51"/>
  <c r="E2360" i="51"/>
  <c r="E2361" i="51"/>
  <c r="E2362" i="51"/>
  <c r="E2363" i="51"/>
  <c r="E2364" i="51"/>
  <c r="E2365" i="51"/>
  <c r="E2366" i="51"/>
  <c r="E2367" i="51"/>
  <c r="E2368" i="51"/>
  <c r="E2369" i="51"/>
  <c r="E2370" i="51"/>
  <c r="E2371" i="51"/>
  <c r="E2372" i="51"/>
  <c r="E2373" i="51"/>
  <c r="E2374" i="51"/>
  <c r="E2375" i="51"/>
  <c r="E2376" i="51"/>
  <c r="E2377" i="51"/>
  <c r="E2378" i="51"/>
  <c r="E2379" i="51"/>
  <c r="E2380" i="51"/>
  <c r="E2381" i="51"/>
  <c r="E2382" i="51"/>
  <c r="E2383" i="51"/>
  <c r="E2384" i="51"/>
  <c r="E2385" i="51"/>
  <c r="E2386" i="51"/>
  <c r="E2387" i="51"/>
  <c r="E2388" i="51"/>
  <c r="E2389" i="51"/>
  <c r="E2390" i="51"/>
  <c r="E2391" i="51"/>
  <c r="E2392" i="51"/>
  <c r="E2393" i="51"/>
  <c r="E2394" i="51"/>
  <c r="E2395" i="51"/>
  <c r="E2396" i="51"/>
  <c r="E2397" i="51"/>
  <c r="E2398" i="51"/>
  <c r="E2399" i="51"/>
  <c r="E2400" i="51"/>
  <c r="E2401" i="51"/>
  <c r="E2402" i="51"/>
  <c r="E2403" i="51"/>
  <c r="E2404" i="51"/>
  <c r="E2405" i="51"/>
  <c r="E2406" i="51"/>
  <c r="E2407" i="51"/>
  <c r="E2408" i="51"/>
  <c r="E2409" i="51"/>
  <c r="E2410" i="51"/>
  <c r="E2411" i="51"/>
  <c r="E2412" i="51"/>
  <c r="E2413" i="51"/>
  <c r="E2414" i="51"/>
  <c r="E2415" i="51"/>
  <c r="E2416" i="51"/>
  <c r="E2417" i="51"/>
  <c r="E2418" i="51"/>
  <c r="E2419" i="51"/>
  <c r="E2420" i="51"/>
  <c r="E2421" i="51"/>
  <c r="E2422" i="51"/>
  <c r="E2423" i="51"/>
  <c r="E2424" i="51"/>
  <c r="E2425" i="51"/>
  <c r="E2426" i="51"/>
  <c r="E2427" i="51"/>
  <c r="E2428" i="51"/>
  <c r="E2429" i="51"/>
  <c r="E2430" i="51"/>
  <c r="E2431" i="51"/>
  <c r="E2432" i="51"/>
  <c r="E2433" i="51"/>
  <c r="E2434" i="51"/>
  <c r="E2435" i="51"/>
  <c r="E2436" i="51"/>
  <c r="E2437" i="51"/>
  <c r="E2438" i="51"/>
  <c r="E2439" i="51"/>
  <c r="E2440" i="51"/>
  <c r="E2441" i="51"/>
  <c r="E2442" i="51"/>
  <c r="E2443" i="51"/>
  <c r="E2444" i="51"/>
  <c r="E2445" i="51"/>
  <c r="E2446" i="51"/>
  <c r="E2447" i="51"/>
  <c r="E2448" i="51"/>
  <c r="E2449" i="51"/>
  <c r="E2450" i="51"/>
  <c r="E2451" i="51"/>
  <c r="E2452" i="51"/>
  <c r="E2453" i="51"/>
  <c r="E2454" i="51"/>
  <c r="E2455" i="51"/>
  <c r="E2456" i="51"/>
  <c r="E2457" i="51"/>
  <c r="E2458" i="51"/>
  <c r="E2459" i="51"/>
  <c r="E2460" i="51"/>
  <c r="E2461" i="51"/>
  <c r="E2462" i="51"/>
  <c r="E2463" i="51"/>
  <c r="E2464" i="51"/>
  <c r="E2465" i="51"/>
  <c r="E2466" i="51"/>
  <c r="E2467" i="51"/>
  <c r="E2468" i="51"/>
  <c r="E2469" i="51"/>
  <c r="E2470" i="51"/>
  <c r="E2471" i="51"/>
  <c r="E2472" i="51"/>
  <c r="E2473" i="51"/>
  <c r="E2474" i="51"/>
  <c r="E2475" i="51"/>
  <c r="E2476" i="51"/>
  <c r="E2477" i="51"/>
  <c r="E2478" i="51"/>
  <c r="E2479" i="51"/>
  <c r="E2480" i="51"/>
  <c r="E2481" i="51"/>
  <c r="E2482" i="51"/>
  <c r="E2483" i="51"/>
  <c r="E2484" i="51"/>
  <c r="E2485" i="51"/>
  <c r="E2486" i="51"/>
  <c r="E2487" i="51"/>
  <c r="E2488" i="51"/>
  <c r="E2489" i="51"/>
  <c r="E2490" i="51"/>
  <c r="E2491" i="51"/>
  <c r="E2492" i="51"/>
  <c r="E2493" i="51"/>
  <c r="E2494" i="51"/>
  <c r="E2495" i="51"/>
  <c r="E2496" i="51"/>
  <c r="E2497" i="51"/>
  <c r="E2498" i="51"/>
  <c r="E2499" i="51"/>
  <c r="E2500" i="51"/>
  <c r="E2501" i="51"/>
  <c r="E2502" i="51"/>
  <c r="E2503" i="51"/>
  <c r="E2504" i="51"/>
  <c r="E2505" i="51"/>
  <c r="E2506" i="51"/>
  <c r="E2507" i="51"/>
  <c r="E2508" i="51"/>
  <c r="E2509" i="51"/>
  <c r="E2510" i="51"/>
  <c r="E2511" i="51"/>
  <c r="E2512" i="51"/>
  <c r="E2513" i="51"/>
  <c r="E2514" i="51"/>
  <c r="E2515" i="51"/>
  <c r="E2516" i="51"/>
  <c r="E2517" i="51"/>
  <c r="E2518" i="51"/>
  <c r="E2519" i="51"/>
  <c r="E2520" i="51"/>
  <c r="E2521" i="51"/>
  <c r="E2522" i="51"/>
  <c r="E2523" i="51"/>
  <c r="E2524" i="51"/>
  <c r="E2525" i="51"/>
  <c r="E2526" i="51"/>
  <c r="E2527" i="51"/>
  <c r="E2528" i="51"/>
  <c r="E2529" i="51"/>
  <c r="E2530" i="51"/>
  <c r="E2531" i="51"/>
  <c r="E2532" i="51"/>
  <c r="E2533" i="51"/>
  <c r="E2534" i="51"/>
  <c r="E2535" i="51"/>
  <c r="E2536" i="51"/>
  <c r="E2537" i="51"/>
  <c r="E2538" i="51"/>
  <c r="E2539" i="51"/>
  <c r="E2540" i="51"/>
  <c r="E2541" i="51"/>
  <c r="E2542" i="51"/>
  <c r="E2543" i="51"/>
  <c r="E2544" i="51"/>
  <c r="E2545" i="51"/>
  <c r="E2546" i="51"/>
  <c r="E2547" i="51"/>
  <c r="E2548" i="51"/>
  <c r="E2549" i="51"/>
  <c r="E2550" i="51"/>
  <c r="E2551" i="51"/>
  <c r="E2552" i="51"/>
  <c r="E2553" i="51"/>
  <c r="E2554" i="51"/>
  <c r="E2555" i="51"/>
  <c r="E2556" i="51"/>
  <c r="E2557" i="51"/>
  <c r="E2558" i="51"/>
  <c r="E2559" i="51"/>
  <c r="E2560" i="51"/>
  <c r="E2561" i="51"/>
  <c r="E2562" i="51"/>
  <c r="E2563" i="51"/>
  <c r="E2564" i="51"/>
  <c r="E2565" i="51"/>
  <c r="E2566" i="51"/>
  <c r="E2567" i="51"/>
  <c r="E2568" i="51"/>
  <c r="E2569" i="51"/>
  <c r="E2570" i="51"/>
  <c r="E2571" i="51"/>
  <c r="E2572" i="51"/>
  <c r="E2573" i="51"/>
  <c r="E2574" i="51"/>
  <c r="E2575" i="51"/>
  <c r="E2576" i="51"/>
  <c r="E2577" i="51"/>
  <c r="E2578" i="51"/>
  <c r="E2579" i="51"/>
  <c r="E2580" i="51"/>
  <c r="E2581" i="51"/>
  <c r="E2582" i="51"/>
  <c r="E2583" i="51"/>
  <c r="E2584" i="51"/>
  <c r="E2585" i="51"/>
  <c r="E2586" i="51"/>
  <c r="E2587" i="51"/>
  <c r="E2588" i="51"/>
  <c r="E2589" i="51"/>
  <c r="E2590" i="51"/>
  <c r="E2591" i="51"/>
  <c r="E2592" i="51"/>
  <c r="E2593" i="51"/>
  <c r="E2594" i="51"/>
  <c r="E2595" i="51"/>
  <c r="E2596" i="51"/>
  <c r="E2597" i="51"/>
  <c r="E2598" i="51"/>
  <c r="E2599" i="51"/>
  <c r="E2600" i="51"/>
  <c r="E2601" i="51"/>
  <c r="E2602" i="51"/>
  <c r="E2603" i="51"/>
  <c r="E2604" i="51"/>
  <c r="E2605" i="51"/>
  <c r="E2606" i="51"/>
  <c r="E2607" i="51"/>
  <c r="E2608" i="51"/>
  <c r="E2609" i="51"/>
  <c r="E2610" i="51"/>
  <c r="E2611" i="51"/>
  <c r="E2612" i="51"/>
  <c r="E2613" i="51"/>
  <c r="E2614" i="51"/>
  <c r="E2615" i="51"/>
  <c r="E2616" i="51"/>
  <c r="E2617" i="51"/>
  <c r="E2618" i="51"/>
  <c r="E2619" i="51"/>
  <c r="E2620" i="51"/>
  <c r="E2621" i="51"/>
  <c r="E2622" i="51"/>
  <c r="E2623" i="51"/>
  <c r="E2624" i="51"/>
  <c r="E2625" i="51"/>
  <c r="E2626" i="51"/>
  <c r="E2627" i="51"/>
  <c r="E2628" i="51"/>
  <c r="E2629" i="51"/>
  <c r="E2630" i="51"/>
  <c r="E2631" i="51"/>
  <c r="E2632" i="51"/>
  <c r="E2633" i="51"/>
  <c r="E2634" i="51"/>
  <c r="E2635" i="51"/>
  <c r="E2636" i="51"/>
  <c r="E2637" i="51"/>
  <c r="E2638" i="51"/>
  <c r="E2639" i="51"/>
  <c r="E2640" i="51"/>
  <c r="E2641" i="51"/>
  <c r="E2642" i="51"/>
  <c r="E2643" i="51"/>
  <c r="E2644" i="51"/>
  <c r="E2645" i="51"/>
  <c r="E2646" i="51"/>
  <c r="E2647" i="51"/>
  <c r="E2648" i="51"/>
  <c r="E2649" i="51"/>
  <c r="E2650" i="51"/>
  <c r="E2651" i="51"/>
  <c r="E2652" i="51"/>
  <c r="E2653" i="51"/>
  <c r="E2654" i="51"/>
  <c r="E2655" i="51"/>
  <c r="E2656" i="51"/>
  <c r="E2657" i="51"/>
  <c r="E2658" i="51"/>
  <c r="E2659" i="51"/>
  <c r="E2660" i="51"/>
  <c r="E2661" i="51"/>
  <c r="E2662" i="51"/>
  <c r="E2663" i="51"/>
  <c r="E2664" i="51"/>
  <c r="E2665" i="51"/>
  <c r="E2666" i="51"/>
  <c r="E2667" i="51"/>
  <c r="E2668" i="51"/>
  <c r="E2669" i="51"/>
  <c r="E2670" i="51"/>
  <c r="E2671" i="51"/>
  <c r="E2672" i="51"/>
  <c r="E2673" i="51"/>
  <c r="E2674" i="51"/>
  <c r="E2675" i="51"/>
  <c r="E2676" i="51"/>
  <c r="E2677" i="51"/>
  <c r="E2678" i="51"/>
  <c r="E2679" i="51"/>
  <c r="E2680" i="51"/>
  <c r="E2681" i="51"/>
  <c r="E2682" i="51"/>
  <c r="E2683" i="51"/>
  <c r="E2684" i="51"/>
  <c r="E2685" i="51"/>
  <c r="E2686" i="51"/>
  <c r="E2687" i="51"/>
  <c r="E2688" i="51"/>
  <c r="E2689" i="51"/>
  <c r="E2690" i="51"/>
  <c r="E2691" i="51"/>
  <c r="E2692" i="51"/>
  <c r="E2693" i="51"/>
  <c r="E2694" i="51"/>
  <c r="E2695" i="51"/>
  <c r="E2696" i="51"/>
  <c r="E2697" i="51"/>
  <c r="E2698" i="51"/>
  <c r="E2699" i="51"/>
  <c r="E2700" i="51"/>
  <c r="E2701" i="51"/>
  <c r="E2702" i="51"/>
  <c r="E2703" i="51"/>
  <c r="E2704" i="51"/>
  <c r="E2705" i="51"/>
  <c r="E2706" i="51"/>
  <c r="E2707" i="51"/>
  <c r="E2708" i="51"/>
  <c r="E2709" i="51"/>
  <c r="E2710" i="51"/>
  <c r="E2711" i="51"/>
  <c r="E2712" i="51"/>
  <c r="E2713" i="51"/>
  <c r="E2714" i="51"/>
  <c r="E2715" i="51"/>
  <c r="E2716" i="51"/>
  <c r="E2717" i="51"/>
  <c r="E2718" i="51"/>
  <c r="E2719" i="51"/>
  <c r="E2720" i="51"/>
  <c r="E2721" i="51"/>
  <c r="E2722" i="51"/>
  <c r="E2723" i="51"/>
  <c r="E2724" i="51"/>
  <c r="E2725" i="51"/>
  <c r="E2726" i="51"/>
  <c r="E2727" i="51"/>
  <c r="E2728" i="51"/>
  <c r="E2729" i="51"/>
  <c r="E2730" i="51"/>
  <c r="E2731" i="51"/>
  <c r="E2732" i="51"/>
  <c r="E2733" i="51"/>
  <c r="E2734" i="51"/>
  <c r="E2735" i="51"/>
  <c r="E2736" i="51"/>
  <c r="E2737" i="51"/>
  <c r="E2738" i="51"/>
  <c r="E2739" i="51"/>
  <c r="E2740" i="51"/>
  <c r="E2741" i="51"/>
  <c r="E2742" i="51"/>
  <c r="E2743" i="51"/>
  <c r="E2744" i="51"/>
  <c r="E2745" i="51"/>
  <c r="E2746" i="51"/>
  <c r="E2747" i="51"/>
  <c r="E2748" i="51"/>
  <c r="E2749" i="51"/>
  <c r="E2750" i="51"/>
  <c r="E2751" i="51"/>
  <c r="E2752" i="51"/>
  <c r="E2753" i="51"/>
  <c r="E2754" i="51"/>
  <c r="E2755" i="51"/>
  <c r="E2756" i="51"/>
  <c r="E2757" i="51"/>
  <c r="E2758" i="51"/>
  <c r="E2759" i="51"/>
  <c r="E2760" i="51"/>
  <c r="E2761" i="51"/>
  <c r="E2762" i="51"/>
  <c r="E2763" i="51"/>
  <c r="E2764" i="51"/>
  <c r="E2765" i="51"/>
  <c r="E2766" i="51"/>
  <c r="E2767" i="51"/>
  <c r="E2768" i="51"/>
  <c r="E2769" i="51"/>
  <c r="E2770" i="51"/>
  <c r="E2771" i="51"/>
  <c r="E2772" i="51"/>
  <c r="E2773" i="51"/>
  <c r="E2774" i="51"/>
  <c r="E2775" i="51"/>
  <c r="E2776" i="51"/>
  <c r="E2777" i="51"/>
  <c r="E2778" i="51"/>
  <c r="E2779" i="51"/>
  <c r="E2780" i="51"/>
  <c r="E2781" i="51"/>
  <c r="E2782" i="51"/>
  <c r="E2783" i="51"/>
  <c r="E2784" i="51"/>
  <c r="E2785" i="51"/>
  <c r="E2786" i="51"/>
  <c r="E2787" i="51"/>
  <c r="E2788" i="51"/>
  <c r="E2789" i="51"/>
  <c r="E2790" i="51"/>
  <c r="E2791" i="51"/>
  <c r="E2792" i="51"/>
  <c r="E2793" i="51"/>
  <c r="E2794" i="51"/>
  <c r="E2795" i="51"/>
  <c r="E2796" i="51"/>
  <c r="E2797" i="51"/>
  <c r="E2798" i="51"/>
  <c r="E2799" i="51"/>
  <c r="E2800" i="51"/>
  <c r="E2801" i="51"/>
  <c r="E2802" i="51"/>
  <c r="E2803" i="51"/>
  <c r="E2804" i="51"/>
  <c r="E2805" i="51"/>
  <c r="E2806" i="51"/>
  <c r="E2807" i="51"/>
  <c r="E2808" i="51"/>
  <c r="E2809" i="51"/>
  <c r="E2810" i="51"/>
  <c r="E2811" i="51"/>
  <c r="E2812" i="51"/>
  <c r="E2813" i="51"/>
  <c r="E2814" i="51"/>
  <c r="E2815" i="51"/>
  <c r="E2816" i="51"/>
  <c r="E2817" i="51"/>
  <c r="E2818" i="51"/>
  <c r="E2819" i="51"/>
  <c r="E2820" i="51"/>
  <c r="E2821" i="51"/>
  <c r="E2822" i="51"/>
  <c r="E2823" i="51"/>
  <c r="E2824" i="51"/>
  <c r="E2825" i="51"/>
  <c r="E2826" i="51"/>
  <c r="E2827" i="51"/>
  <c r="E2828" i="51"/>
  <c r="E2829" i="51"/>
  <c r="E2830" i="51"/>
  <c r="E2831" i="51"/>
  <c r="E2832" i="51"/>
  <c r="E2833" i="51"/>
  <c r="E2834" i="51"/>
  <c r="E2835" i="51"/>
  <c r="E2836" i="51"/>
  <c r="E2837" i="51"/>
  <c r="E2838" i="51"/>
  <c r="E2839" i="51"/>
  <c r="E2840" i="51"/>
  <c r="E2841" i="51"/>
  <c r="E2842" i="51"/>
  <c r="E2843" i="51"/>
  <c r="E2844" i="51"/>
  <c r="E2845" i="51"/>
  <c r="E2846" i="51"/>
  <c r="E2847" i="51"/>
  <c r="E2848" i="51"/>
  <c r="E2849" i="51"/>
  <c r="E2850" i="51"/>
  <c r="E2851" i="51"/>
  <c r="E2852" i="51"/>
  <c r="E2853" i="51"/>
  <c r="E2854" i="51"/>
  <c r="E2855" i="51"/>
  <c r="E2856" i="51"/>
  <c r="E2857" i="51"/>
  <c r="E2858" i="51"/>
  <c r="E2859" i="51"/>
  <c r="E2860" i="51"/>
  <c r="E2861" i="51"/>
  <c r="E2862" i="51"/>
  <c r="E2863" i="51"/>
  <c r="E2864" i="51"/>
  <c r="E2865" i="51"/>
  <c r="E2866" i="51"/>
  <c r="E2867" i="51"/>
  <c r="E2868" i="51"/>
  <c r="E2869" i="51"/>
  <c r="E2870" i="51"/>
  <c r="E2871" i="51"/>
  <c r="E2872" i="51"/>
  <c r="E2873" i="51"/>
  <c r="E2874" i="51"/>
  <c r="E2875" i="51"/>
  <c r="E2876" i="51"/>
  <c r="E2877" i="51"/>
  <c r="E2878" i="51"/>
  <c r="E2879" i="51"/>
  <c r="E2880" i="51"/>
  <c r="E2881" i="51"/>
  <c r="E2882" i="51"/>
  <c r="E2883" i="51"/>
  <c r="E2884" i="51"/>
  <c r="E2885" i="51"/>
  <c r="E2886" i="51"/>
  <c r="E2887" i="51"/>
  <c r="E2888" i="51"/>
  <c r="E2889" i="51"/>
  <c r="E2890" i="51"/>
  <c r="E2891" i="51"/>
  <c r="E2892" i="51"/>
  <c r="E2893" i="51"/>
  <c r="E2894" i="51"/>
  <c r="E2895" i="51"/>
  <c r="E2896" i="51"/>
  <c r="E2897" i="51"/>
  <c r="E2898" i="51"/>
  <c r="E2899" i="51"/>
  <c r="E2900" i="51"/>
  <c r="E2901" i="51"/>
  <c r="E2902" i="51"/>
  <c r="E2903" i="51"/>
  <c r="E2904" i="51"/>
  <c r="E2905" i="51"/>
  <c r="E2906" i="51"/>
  <c r="E2907" i="51"/>
  <c r="E2908" i="51"/>
  <c r="E2909" i="51"/>
  <c r="E2910" i="51"/>
  <c r="E2911" i="51"/>
  <c r="E2912" i="51"/>
  <c r="E2913" i="51"/>
  <c r="E2914" i="51"/>
  <c r="E2915" i="51"/>
  <c r="E2916" i="51"/>
  <c r="E2917" i="51"/>
  <c r="E2918" i="51"/>
  <c r="E2919" i="51"/>
  <c r="E2920" i="51"/>
  <c r="E2921" i="51"/>
  <c r="E2922" i="51"/>
  <c r="E2923" i="51"/>
  <c r="E2924" i="51"/>
  <c r="E2925" i="51"/>
  <c r="E2926" i="51"/>
  <c r="E2927" i="51"/>
  <c r="E2928" i="51"/>
  <c r="E2929" i="51"/>
  <c r="E2930" i="51"/>
  <c r="E2931" i="51"/>
  <c r="E2932" i="51"/>
  <c r="E2933" i="51"/>
  <c r="E2934" i="51"/>
  <c r="E2935" i="51"/>
  <c r="E2936" i="51"/>
  <c r="E2937" i="51"/>
  <c r="E2938" i="51"/>
  <c r="E2939" i="51"/>
  <c r="E2940" i="51"/>
  <c r="E2941" i="51"/>
  <c r="E2942" i="51"/>
  <c r="E2943" i="51"/>
  <c r="E2944" i="51"/>
  <c r="E2945" i="51"/>
  <c r="E2946" i="51"/>
  <c r="E2947" i="51"/>
  <c r="E2948" i="51"/>
  <c r="E2949" i="51"/>
  <c r="E2950" i="51"/>
  <c r="E2951" i="51"/>
  <c r="E2952" i="51"/>
  <c r="E2953" i="51"/>
  <c r="E2954" i="51"/>
  <c r="E2955" i="51"/>
  <c r="E2956" i="51"/>
  <c r="E2957" i="51"/>
  <c r="E2958" i="51"/>
  <c r="E2959" i="51"/>
  <c r="E2960" i="51"/>
  <c r="E2961" i="51"/>
  <c r="E2962" i="51"/>
  <c r="E2963" i="51"/>
  <c r="E2964" i="51"/>
  <c r="E2965" i="51"/>
  <c r="E2966" i="51"/>
  <c r="E2967" i="51"/>
  <c r="E2968" i="51"/>
  <c r="E2969" i="51"/>
  <c r="E2970" i="51"/>
  <c r="E2971" i="51"/>
  <c r="E2972" i="51"/>
  <c r="E2973" i="51"/>
  <c r="E2974" i="51"/>
  <c r="E2975" i="51"/>
  <c r="E2976" i="51"/>
  <c r="E2977" i="51"/>
  <c r="E2978" i="51"/>
  <c r="E2979" i="51"/>
  <c r="E2980" i="51"/>
  <c r="E2981" i="51"/>
  <c r="E2982" i="51"/>
  <c r="E2983" i="51"/>
  <c r="E2984" i="51"/>
  <c r="E2985" i="51"/>
  <c r="E2986" i="51"/>
  <c r="E2987" i="51"/>
  <c r="E2988" i="51"/>
  <c r="E2989" i="51"/>
  <c r="E2990" i="51"/>
  <c r="E2991" i="51"/>
  <c r="E2992" i="51"/>
  <c r="E2993" i="51"/>
  <c r="E2994" i="51"/>
  <c r="E2995" i="51"/>
  <c r="E2996" i="51"/>
  <c r="E2997" i="51"/>
  <c r="E2998" i="51"/>
  <c r="E2999" i="51"/>
  <c r="E3000" i="51"/>
  <c r="E3001" i="51"/>
  <c r="E3002" i="51"/>
  <c r="E3003" i="51"/>
  <c r="E3004" i="51"/>
  <c r="E3005" i="51"/>
  <c r="E3006" i="51"/>
  <c r="E3007" i="51"/>
  <c r="E3008" i="51"/>
  <c r="E3009" i="51"/>
  <c r="E3010" i="51"/>
  <c r="E3011" i="51"/>
  <c r="E3012" i="51"/>
  <c r="E3013" i="51"/>
  <c r="E3014" i="51"/>
  <c r="E3015" i="51"/>
  <c r="E3016" i="51"/>
  <c r="E3017" i="51"/>
  <c r="E3018" i="51"/>
  <c r="E3019" i="51"/>
  <c r="E3020" i="51"/>
  <c r="E3021" i="51"/>
  <c r="E3022" i="51"/>
  <c r="E3023" i="51"/>
  <c r="E3024" i="51"/>
  <c r="E3025" i="51"/>
  <c r="E3026" i="51"/>
  <c r="E3027" i="51"/>
  <c r="E3028" i="51"/>
  <c r="E3029" i="51"/>
  <c r="E3030" i="51"/>
  <c r="E3031" i="51"/>
  <c r="E3032" i="51"/>
  <c r="E3033" i="51"/>
  <c r="E3034" i="51"/>
  <c r="E3035" i="51"/>
  <c r="E3036" i="51"/>
  <c r="E3037" i="51"/>
  <c r="E3038" i="51"/>
  <c r="E3039" i="51"/>
  <c r="E3040" i="51"/>
  <c r="E3041" i="51"/>
  <c r="E3042" i="51"/>
  <c r="E3043" i="51"/>
  <c r="E3044" i="51"/>
  <c r="E3045" i="51"/>
  <c r="E3046" i="51"/>
  <c r="E3047" i="51"/>
  <c r="E3048" i="51"/>
  <c r="E3049" i="51"/>
  <c r="E3050" i="51"/>
  <c r="E3051" i="51"/>
  <c r="E3052" i="51"/>
  <c r="E3053" i="51"/>
  <c r="E3054" i="51"/>
  <c r="E3055" i="51"/>
  <c r="E3056" i="51"/>
  <c r="E3057" i="51"/>
  <c r="E3058" i="51"/>
  <c r="E3059" i="51"/>
  <c r="E3060" i="51"/>
  <c r="E3061" i="51"/>
  <c r="E3062" i="51"/>
  <c r="E3063" i="51"/>
  <c r="E3064" i="51"/>
  <c r="E3065" i="51"/>
  <c r="E3066" i="51"/>
  <c r="E3067" i="51"/>
  <c r="E3068" i="51"/>
  <c r="E3069" i="51"/>
  <c r="E3070" i="51"/>
  <c r="E3071" i="51"/>
  <c r="E3072" i="51"/>
  <c r="E3073" i="51"/>
  <c r="E3074" i="51"/>
  <c r="E3075" i="51"/>
  <c r="E3076" i="51"/>
  <c r="E3077" i="51"/>
  <c r="E3078" i="51"/>
  <c r="E3079" i="51"/>
  <c r="E3080" i="51"/>
  <c r="E3081" i="51"/>
  <c r="E3082" i="51"/>
  <c r="E3083" i="51"/>
  <c r="E3084" i="51"/>
  <c r="E3085" i="51"/>
  <c r="E3086" i="51"/>
  <c r="E3087" i="51"/>
  <c r="E3088" i="51"/>
  <c r="E3089" i="51"/>
  <c r="E3090" i="51"/>
  <c r="E3091" i="51"/>
  <c r="E3092" i="51"/>
  <c r="E3093" i="51"/>
  <c r="E3094" i="51"/>
  <c r="E3095" i="51"/>
  <c r="E3096" i="51"/>
  <c r="E3097" i="51"/>
  <c r="E3098" i="51"/>
  <c r="E3099" i="51"/>
  <c r="E3100" i="51"/>
  <c r="E3101" i="51"/>
  <c r="E3102" i="51"/>
  <c r="E3103" i="51"/>
  <c r="E3104" i="51"/>
  <c r="E3105" i="51"/>
  <c r="E3106" i="51"/>
  <c r="E3107" i="51"/>
  <c r="E3108" i="51"/>
  <c r="E3109" i="51"/>
  <c r="E3110" i="51"/>
  <c r="E3111" i="51"/>
  <c r="E3112" i="51"/>
  <c r="E3113" i="51"/>
  <c r="E3114" i="51"/>
  <c r="E3115" i="51"/>
  <c r="E3116" i="51"/>
  <c r="E3117" i="51"/>
  <c r="E3118" i="51"/>
  <c r="E3119" i="51"/>
  <c r="E3120" i="51"/>
  <c r="E3121" i="51"/>
  <c r="E3122" i="51"/>
  <c r="E3123" i="51"/>
  <c r="E3124" i="51"/>
  <c r="E3125" i="51"/>
  <c r="E3126" i="51"/>
  <c r="E3127" i="51"/>
  <c r="E3128" i="51"/>
  <c r="E3129" i="51"/>
  <c r="E3130" i="51"/>
  <c r="E3131" i="51"/>
  <c r="E3132" i="51"/>
  <c r="E3133" i="51"/>
  <c r="E3134" i="51"/>
  <c r="E3135" i="51"/>
  <c r="E3136" i="51"/>
  <c r="E3137" i="51"/>
  <c r="E3138" i="51"/>
  <c r="E3139" i="51"/>
  <c r="E3140" i="51"/>
  <c r="E3141" i="51"/>
  <c r="E3142" i="51"/>
  <c r="E3143" i="51"/>
  <c r="E3144" i="51"/>
  <c r="E3145" i="51"/>
  <c r="E3146" i="51"/>
  <c r="E3147" i="51"/>
  <c r="E3148" i="51"/>
  <c r="E3149" i="51"/>
  <c r="E3150" i="51"/>
  <c r="E3151" i="51"/>
  <c r="E3152" i="51"/>
  <c r="E3153" i="51"/>
  <c r="E3154" i="51"/>
  <c r="E3155" i="51"/>
  <c r="E3156" i="51"/>
  <c r="E3157" i="51"/>
  <c r="E3158" i="51"/>
  <c r="E3159" i="51"/>
  <c r="E3160" i="51"/>
  <c r="E3161" i="51"/>
  <c r="E3162" i="51"/>
  <c r="E3163" i="51"/>
  <c r="E3164" i="51"/>
  <c r="E3165" i="51"/>
  <c r="E3166" i="51"/>
  <c r="E3167" i="51"/>
  <c r="E3168" i="51"/>
  <c r="E3169" i="51"/>
  <c r="E3170" i="51"/>
  <c r="E3171" i="51"/>
  <c r="E3172" i="51"/>
  <c r="E3173" i="51"/>
  <c r="E3174" i="51"/>
  <c r="E3175" i="51"/>
  <c r="E3176" i="51"/>
  <c r="E3177" i="51"/>
  <c r="E3178" i="51"/>
  <c r="E3179" i="51"/>
  <c r="E3180" i="51"/>
  <c r="E3181" i="51"/>
  <c r="E3182" i="51"/>
  <c r="E3183" i="51"/>
  <c r="E3184" i="51"/>
  <c r="E3185" i="51"/>
  <c r="E3186" i="51"/>
  <c r="E3187" i="51"/>
  <c r="E3188" i="51"/>
  <c r="E3189" i="51"/>
  <c r="E3190" i="51"/>
  <c r="E3191" i="51"/>
  <c r="E3192" i="51"/>
  <c r="E3193" i="51"/>
  <c r="E3194" i="51"/>
  <c r="E3195" i="51"/>
  <c r="E3196" i="51"/>
  <c r="E3197" i="51"/>
  <c r="E3198" i="51"/>
  <c r="E3199" i="51"/>
  <c r="E3200" i="51"/>
  <c r="E3201" i="51"/>
  <c r="E3202" i="51"/>
  <c r="E3203" i="51"/>
  <c r="E3204" i="51"/>
  <c r="E3205" i="51"/>
  <c r="E3206" i="51"/>
  <c r="E3207" i="51"/>
  <c r="E3208" i="51"/>
  <c r="E3209" i="51"/>
  <c r="E3210" i="51"/>
  <c r="E3211" i="51"/>
  <c r="E3212" i="51"/>
  <c r="E3213" i="51"/>
  <c r="E3214" i="51"/>
  <c r="E3215" i="51"/>
  <c r="E3216" i="51"/>
  <c r="E3217" i="51"/>
  <c r="E3218" i="51"/>
  <c r="E3219" i="51"/>
  <c r="E3220" i="51"/>
  <c r="E3221" i="51"/>
  <c r="E3222" i="51"/>
  <c r="E3223" i="51"/>
  <c r="E3224" i="51"/>
  <c r="E3225" i="51"/>
  <c r="E3226" i="51"/>
  <c r="E3227" i="51"/>
  <c r="E3228" i="51"/>
  <c r="E3229" i="51"/>
  <c r="E3230" i="51"/>
  <c r="E3231" i="51"/>
  <c r="E3232" i="51"/>
  <c r="E3233" i="51"/>
  <c r="E3234" i="51"/>
  <c r="E3235" i="51"/>
  <c r="E3236" i="51"/>
  <c r="E3237" i="51"/>
  <c r="E3238" i="51"/>
  <c r="E3239" i="51"/>
  <c r="E3240" i="51"/>
  <c r="E3241" i="51"/>
  <c r="E3242" i="51"/>
  <c r="E3243" i="51"/>
  <c r="E3244" i="51"/>
  <c r="E3245" i="51"/>
  <c r="E3246" i="51"/>
  <c r="E3247" i="51"/>
  <c r="E3248" i="51"/>
  <c r="E3249" i="51"/>
  <c r="E3250" i="51"/>
  <c r="E3251" i="51"/>
  <c r="E3252" i="51"/>
  <c r="E3253" i="51"/>
  <c r="E3254" i="51"/>
  <c r="E3255" i="51"/>
  <c r="E3256" i="51"/>
  <c r="E3257" i="51"/>
  <c r="E3258" i="51"/>
  <c r="E3259" i="51"/>
  <c r="E3260" i="51"/>
  <c r="E3261" i="51"/>
  <c r="E3262" i="51"/>
  <c r="E3263" i="51"/>
  <c r="E3264" i="51"/>
  <c r="E3265" i="51"/>
  <c r="E3266" i="51"/>
  <c r="E3267" i="51"/>
  <c r="E3268" i="51"/>
  <c r="E3269" i="51"/>
  <c r="E3270" i="51"/>
  <c r="E3271" i="51"/>
  <c r="E3272" i="51"/>
  <c r="E3273" i="51"/>
  <c r="E3274" i="51"/>
  <c r="E3275" i="51"/>
  <c r="E3276" i="51"/>
  <c r="E3277" i="51"/>
  <c r="E3278" i="51"/>
  <c r="E3279" i="51"/>
  <c r="E3280" i="51"/>
  <c r="E3281" i="51"/>
  <c r="E3282" i="51"/>
  <c r="E3283" i="51"/>
  <c r="E3284" i="51"/>
  <c r="E3285" i="51"/>
  <c r="E3286" i="51"/>
  <c r="E3287" i="51"/>
  <c r="E3288" i="51"/>
  <c r="E3289" i="51"/>
  <c r="E3290" i="51"/>
  <c r="E3291" i="51"/>
  <c r="E3292" i="51"/>
  <c r="E3293" i="51"/>
  <c r="E3294" i="51"/>
  <c r="E3295" i="51"/>
  <c r="E3296" i="51"/>
  <c r="E3297" i="51"/>
  <c r="E3298" i="51"/>
  <c r="E3299" i="51"/>
  <c r="E3300" i="51"/>
  <c r="E3301" i="51"/>
  <c r="E3302" i="51"/>
  <c r="E3303" i="51"/>
  <c r="E3304" i="51"/>
  <c r="E3305" i="51"/>
  <c r="E3306" i="51"/>
  <c r="E3307" i="51"/>
  <c r="E3308" i="51"/>
  <c r="E3309" i="51"/>
  <c r="E3310" i="51"/>
  <c r="E3311" i="51"/>
  <c r="E3312" i="51"/>
  <c r="E3313" i="51"/>
  <c r="E3314" i="51"/>
  <c r="E3315" i="51"/>
  <c r="E3316" i="51"/>
  <c r="E3317" i="51"/>
  <c r="E3318" i="51"/>
  <c r="E3319" i="51"/>
  <c r="E3320" i="51"/>
  <c r="E3321" i="51"/>
  <c r="E3322" i="51"/>
  <c r="E3323" i="51"/>
  <c r="E3324" i="51"/>
  <c r="E3325" i="51"/>
  <c r="E3326" i="51"/>
  <c r="E3327" i="51"/>
  <c r="E3328" i="51"/>
  <c r="E3329" i="51"/>
  <c r="E3330" i="51"/>
  <c r="E3331" i="51"/>
  <c r="E3332" i="51"/>
  <c r="E3333" i="51"/>
  <c r="E3334" i="51"/>
  <c r="E3335" i="51"/>
  <c r="E3336" i="51"/>
  <c r="E3337" i="51"/>
  <c r="E3338" i="51"/>
  <c r="E3339" i="51"/>
  <c r="E3340" i="51"/>
  <c r="E3341" i="51"/>
  <c r="E3342" i="51"/>
  <c r="E3343" i="51"/>
  <c r="E3344" i="51"/>
  <c r="E3345" i="51"/>
  <c r="E3346" i="51"/>
  <c r="E3347" i="51"/>
  <c r="E3348" i="51"/>
  <c r="E3349" i="51"/>
  <c r="E3350" i="51"/>
  <c r="E3351" i="51"/>
  <c r="E3352" i="51"/>
  <c r="E3353" i="51"/>
  <c r="E3354" i="51"/>
  <c r="E3355" i="51"/>
  <c r="E3356" i="51"/>
  <c r="E3357" i="51"/>
  <c r="E3358" i="51"/>
  <c r="E3359" i="51"/>
  <c r="E3360" i="51"/>
  <c r="E3361" i="51"/>
  <c r="E3362" i="51"/>
  <c r="E3363" i="51"/>
  <c r="E3364" i="51"/>
  <c r="E3365" i="51"/>
  <c r="E3366" i="51"/>
  <c r="E3367" i="51"/>
  <c r="E3368" i="51"/>
  <c r="E3369" i="51"/>
  <c r="E3370" i="51"/>
  <c r="E3371" i="51"/>
  <c r="E3372" i="51"/>
  <c r="E3373" i="51"/>
  <c r="E3374" i="51"/>
  <c r="E3375" i="51"/>
  <c r="E3376" i="51"/>
  <c r="E3377" i="51"/>
  <c r="E3378" i="51"/>
  <c r="E3379" i="51"/>
  <c r="E3380" i="51"/>
  <c r="E3381" i="51"/>
  <c r="E3382" i="51"/>
  <c r="E3383" i="51"/>
  <c r="E3384" i="51"/>
  <c r="E3385" i="51"/>
  <c r="E3386" i="51"/>
  <c r="E3387" i="51"/>
  <c r="E3388" i="51"/>
  <c r="E3389" i="51"/>
  <c r="E3390" i="51"/>
  <c r="E3391" i="51"/>
  <c r="E3392" i="51"/>
  <c r="E3393" i="51"/>
  <c r="E3394" i="51"/>
  <c r="E3395" i="51"/>
  <c r="E3396" i="51"/>
  <c r="E3397" i="51"/>
  <c r="E3398" i="51"/>
  <c r="E3399" i="51"/>
  <c r="E3400" i="51"/>
  <c r="E3401" i="51"/>
  <c r="E3402" i="51"/>
  <c r="E3403" i="51"/>
  <c r="E3404" i="51"/>
  <c r="E3405" i="51"/>
  <c r="E3406" i="51"/>
  <c r="E3407" i="51"/>
  <c r="E3408" i="51"/>
  <c r="E3409" i="51"/>
  <c r="E3410" i="51"/>
  <c r="E3411" i="51"/>
  <c r="E3412" i="51"/>
  <c r="E3413" i="51"/>
  <c r="E3414" i="51"/>
  <c r="E3415" i="51"/>
  <c r="E3416" i="51"/>
  <c r="E3417" i="51"/>
  <c r="E3418" i="51"/>
  <c r="E3419" i="51"/>
  <c r="E3420" i="51"/>
  <c r="E3421" i="51"/>
  <c r="E3422" i="51"/>
  <c r="E3423" i="51"/>
  <c r="E3424" i="51"/>
  <c r="E3425" i="51"/>
  <c r="E3426" i="51"/>
  <c r="E3427" i="51"/>
  <c r="E3428" i="51"/>
  <c r="E3429" i="51"/>
  <c r="E3430" i="51"/>
  <c r="E3431" i="51"/>
  <c r="E3432" i="51"/>
  <c r="E3433" i="51"/>
  <c r="E3434" i="51"/>
  <c r="E3435" i="51"/>
  <c r="E3436" i="51"/>
  <c r="E3437" i="51"/>
  <c r="E3438" i="51"/>
  <c r="E3439" i="51"/>
  <c r="E3440" i="51"/>
  <c r="E3441" i="51"/>
  <c r="E3442" i="51"/>
  <c r="E3443" i="51"/>
  <c r="E3444" i="51"/>
  <c r="E3445" i="51"/>
  <c r="E3446" i="51"/>
  <c r="E3447" i="51"/>
  <c r="E3448" i="51"/>
  <c r="E3449" i="51"/>
  <c r="E3450" i="51"/>
  <c r="E3451" i="51"/>
  <c r="E3452" i="51"/>
  <c r="E3453" i="51"/>
  <c r="E3454" i="51"/>
  <c r="E3455" i="51"/>
  <c r="E3456" i="51"/>
  <c r="E3457" i="51"/>
  <c r="E3458" i="51"/>
  <c r="E3459" i="51"/>
  <c r="E3460" i="51"/>
  <c r="E3461" i="51"/>
  <c r="E3462" i="51"/>
  <c r="E3463" i="51"/>
  <c r="E3464" i="51"/>
  <c r="E3465" i="51"/>
  <c r="E3466" i="51"/>
  <c r="E3467" i="51"/>
  <c r="E3468" i="51"/>
  <c r="E3469" i="51"/>
  <c r="E3470" i="51"/>
  <c r="E3471" i="51"/>
  <c r="E3472" i="51"/>
  <c r="E3473" i="51"/>
  <c r="E3474" i="51"/>
  <c r="E3475" i="51"/>
  <c r="E3476" i="51"/>
  <c r="E3477" i="51"/>
  <c r="E3478" i="51"/>
  <c r="E3479" i="51"/>
  <c r="E3480" i="51"/>
  <c r="E3481" i="51"/>
  <c r="E3482" i="51"/>
  <c r="E3483" i="51"/>
  <c r="E3484" i="51"/>
  <c r="E3485" i="51"/>
  <c r="E3486" i="51"/>
  <c r="E3487" i="51"/>
  <c r="E3488" i="51"/>
  <c r="E3489" i="51"/>
  <c r="E3490" i="51"/>
  <c r="E3491" i="51"/>
  <c r="E3492" i="51"/>
  <c r="E3493" i="51"/>
  <c r="E3494" i="51"/>
  <c r="E3495" i="51"/>
  <c r="E3496" i="51"/>
  <c r="E3497" i="51"/>
  <c r="E3498" i="51"/>
  <c r="E3499" i="51"/>
  <c r="E3500" i="51"/>
  <c r="E3501" i="51"/>
  <c r="E3502" i="51"/>
  <c r="E3503" i="51"/>
  <c r="E3504" i="51"/>
  <c r="E3505" i="51"/>
  <c r="E3506" i="51"/>
  <c r="E3507" i="51"/>
  <c r="E3508" i="51"/>
  <c r="E3509" i="51"/>
  <c r="E3510" i="51"/>
  <c r="E3511" i="51"/>
  <c r="E3512" i="51"/>
  <c r="E3513" i="51"/>
  <c r="E3514" i="51"/>
  <c r="E3515" i="51"/>
  <c r="E3516" i="51"/>
  <c r="E3517" i="51"/>
  <c r="E3518" i="51"/>
  <c r="E3519" i="51"/>
  <c r="E3520" i="51"/>
  <c r="E3521" i="51"/>
  <c r="E3522" i="51"/>
  <c r="E3523" i="51"/>
  <c r="E3524" i="51"/>
  <c r="E3525" i="51"/>
  <c r="E3526" i="51"/>
  <c r="E3527" i="51"/>
  <c r="E3528" i="51"/>
  <c r="E3529" i="51"/>
  <c r="E3530" i="51"/>
  <c r="E3531" i="51"/>
  <c r="E3532" i="51"/>
  <c r="E3533" i="51"/>
  <c r="E3534" i="51"/>
  <c r="E3535" i="51"/>
  <c r="E3536" i="51"/>
  <c r="E3537" i="51"/>
  <c r="E3538" i="51"/>
  <c r="E3539" i="51"/>
  <c r="E3540" i="51"/>
  <c r="E3541" i="51"/>
  <c r="E3542" i="51"/>
  <c r="E3543" i="51"/>
  <c r="E3544" i="51"/>
  <c r="E3545" i="51"/>
  <c r="E3546" i="51"/>
  <c r="E3547" i="51"/>
  <c r="E3548" i="51"/>
  <c r="E3549" i="51"/>
  <c r="E3550" i="51"/>
  <c r="E3551" i="51"/>
  <c r="E3552" i="51"/>
  <c r="E3553" i="51"/>
  <c r="E3554" i="51"/>
  <c r="E3555" i="51"/>
  <c r="E3556" i="51"/>
  <c r="E3557" i="51"/>
  <c r="E3558" i="51"/>
  <c r="E3559" i="51"/>
  <c r="E3560" i="51"/>
  <c r="E3561" i="51"/>
  <c r="E3562" i="51"/>
  <c r="E3563" i="51"/>
  <c r="E3564" i="51"/>
  <c r="E3565" i="51"/>
  <c r="E3566" i="51"/>
  <c r="E3567" i="51"/>
  <c r="E3568" i="51"/>
  <c r="E3569" i="51"/>
  <c r="E3570" i="51"/>
  <c r="E3571" i="51"/>
  <c r="E3572" i="51"/>
  <c r="E3573" i="51"/>
  <c r="E3574" i="51"/>
  <c r="E3575" i="51"/>
  <c r="E3576" i="51"/>
  <c r="E3577" i="51"/>
  <c r="E3578" i="51"/>
  <c r="E3579" i="51"/>
  <c r="E3580" i="51"/>
  <c r="E3581" i="51"/>
  <c r="E3582" i="51"/>
  <c r="E3583" i="51"/>
  <c r="E3584" i="51"/>
  <c r="E3585" i="51"/>
  <c r="E3586" i="51"/>
  <c r="E3587" i="51"/>
  <c r="E3588" i="51"/>
  <c r="E3589" i="51"/>
  <c r="E3590" i="51"/>
  <c r="E3591" i="51"/>
  <c r="E3592" i="51"/>
  <c r="E3593" i="51"/>
  <c r="E3594" i="51"/>
  <c r="E3595" i="51"/>
  <c r="E3596" i="51"/>
  <c r="E3597" i="51"/>
  <c r="E3598" i="51"/>
  <c r="E3599" i="51"/>
  <c r="E3600" i="51"/>
  <c r="E3601" i="51"/>
  <c r="E3602" i="51"/>
  <c r="E3603" i="51"/>
  <c r="E3604" i="51"/>
  <c r="E3605" i="51"/>
  <c r="E3606" i="51"/>
  <c r="E3607" i="51"/>
  <c r="E3608" i="51"/>
  <c r="E3609" i="51"/>
  <c r="E3610" i="51"/>
  <c r="E3611" i="51"/>
  <c r="E3612" i="51"/>
  <c r="E3613" i="51"/>
  <c r="E3614" i="51"/>
  <c r="E3615" i="51"/>
  <c r="E3616" i="51"/>
  <c r="E3617" i="51"/>
  <c r="E3618" i="51"/>
  <c r="E3619" i="51"/>
  <c r="E3620" i="51"/>
  <c r="E3621" i="51"/>
  <c r="E3622" i="51"/>
  <c r="E3623" i="51"/>
  <c r="E3624" i="51"/>
  <c r="E3625" i="51"/>
  <c r="E3626" i="51"/>
  <c r="E3627" i="51"/>
  <c r="E3628" i="51"/>
  <c r="E3629" i="51"/>
  <c r="E3630" i="51"/>
  <c r="E3631" i="51"/>
  <c r="E3632" i="51"/>
  <c r="E3633" i="51"/>
  <c r="E3634" i="51"/>
  <c r="E3635" i="51"/>
  <c r="E3636" i="51"/>
  <c r="E3637" i="51"/>
  <c r="E3638" i="51"/>
  <c r="E3639" i="51"/>
  <c r="E3640" i="51"/>
  <c r="E3641" i="51"/>
  <c r="E3642" i="51"/>
  <c r="E3643" i="51"/>
  <c r="E3644" i="51"/>
  <c r="E3645" i="51"/>
  <c r="E3646" i="51"/>
  <c r="E3647" i="51"/>
  <c r="E3648" i="51"/>
  <c r="E3649" i="51"/>
  <c r="E3650" i="51"/>
  <c r="E3651" i="51"/>
  <c r="E3652" i="51"/>
  <c r="E3653" i="51"/>
  <c r="E3654" i="51"/>
  <c r="E3655" i="51"/>
  <c r="E3656" i="51"/>
  <c r="E3657" i="51"/>
  <c r="E3658" i="51"/>
  <c r="E3659" i="51"/>
  <c r="E3660" i="51"/>
  <c r="E3661" i="51"/>
  <c r="E3662" i="51"/>
  <c r="E3663" i="51"/>
  <c r="E3664" i="51"/>
  <c r="E3665" i="51"/>
  <c r="E3666" i="51"/>
  <c r="E3667" i="51"/>
  <c r="E3668" i="51"/>
  <c r="E3669" i="51"/>
  <c r="E3670" i="51"/>
  <c r="E3671" i="51"/>
  <c r="E3672" i="51"/>
  <c r="E3673" i="51"/>
  <c r="E3674" i="51"/>
  <c r="E3675" i="51"/>
  <c r="E3676" i="51"/>
  <c r="E3677" i="51"/>
  <c r="E3678" i="51"/>
  <c r="E3679" i="51"/>
  <c r="E3680" i="51"/>
  <c r="E3681" i="51"/>
  <c r="E3682" i="51"/>
  <c r="E3683" i="51"/>
  <c r="E3684" i="51"/>
  <c r="E3685" i="51"/>
  <c r="E3686" i="51"/>
  <c r="E3687" i="51"/>
  <c r="E3688" i="51"/>
  <c r="E3689" i="51"/>
  <c r="E3690" i="51"/>
  <c r="E3691" i="51"/>
  <c r="E3692" i="51"/>
  <c r="E3693" i="51"/>
  <c r="E3694" i="51"/>
  <c r="E3695" i="51"/>
  <c r="E3696" i="51"/>
  <c r="E3697" i="51"/>
  <c r="E3698" i="51"/>
  <c r="E3699" i="51"/>
  <c r="E3700" i="51"/>
  <c r="E3701" i="51"/>
  <c r="E3702" i="51"/>
  <c r="E3703" i="51"/>
  <c r="E3704" i="51"/>
  <c r="E3705" i="51"/>
  <c r="E3706" i="51"/>
  <c r="E3707" i="51"/>
  <c r="E3708" i="51"/>
  <c r="E3709" i="51"/>
  <c r="E3710" i="51"/>
  <c r="E3711" i="51"/>
  <c r="E3712" i="51"/>
  <c r="E3713" i="51"/>
  <c r="E3714" i="51"/>
  <c r="E3715" i="51"/>
  <c r="E3716" i="51"/>
  <c r="E3717" i="51"/>
  <c r="E3718" i="51"/>
  <c r="E3719" i="51"/>
  <c r="E3720" i="51"/>
  <c r="E3721" i="51"/>
  <c r="E3722" i="51"/>
  <c r="E3723" i="51"/>
  <c r="E3724" i="51"/>
  <c r="E3725" i="51"/>
  <c r="E3726" i="51"/>
  <c r="E3727" i="51"/>
  <c r="E3728" i="51"/>
  <c r="E3729" i="51"/>
  <c r="E3730" i="51"/>
  <c r="E3731" i="51"/>
  <c r="E3732" i="51"/>
  <c r="E3733" i="51"/>
  <c r="E3734" i="51"/>
  <c r="E3735" i="51"/>
  <c r="E3736" i="51"/>
  <c r="E3737" i="51"/>
  <c r="E3738" i="51"/>
  <c r="E3739" i="51"/>
  <c r="E3740" i="51"/>
  <c r="E3741" i="51"/>
  <c r="E3742" i="51"/>
  <c r="E3743" i="51"/>
  <c r="E3744" i="51"/>
  <c r="E3745" i="51"/>
  <c r="E3746" i="51"/>
  <c r="E3747" i="51"/>
  <c r="E3748" i="51"/>
  <c r="E3749" i="51"/>
  <c r="E3750" i="51"/>
  <c r="E3751" i="51"/>
  <c r="E3752" i="51"/>
  <c r="E3753" i="51"/>
  <c r="E3754" i="51"/>
  <c r="E3755" i="51"/>
  <c r="E3756" i="51"/>
  <c r="E3757" i="51"/>
  <c r="E3758" i="51"/>
  <c r="E3759" i="51"/>
  <c r="E3760" i="51"/>
  <c r="E3761" i="51"/>
  <c r="E3762" i="51"/>
  <c r="E3763" i="51"/>
  <c r="E3764" i="51"/>
  <c r="E3765" i="51"/>
  <c r="E3766" i="51"/>
  <c r="E3767" i="51"/>
  <c r="E3768" i="51"/>
  <c r="E3769" i="51"/>
  <c r="E3770" i="51"/>
  <c r="E3771" i="51"/>
  <c r="E3772" i="51"/>
  <c r="E3773" i="51"/>
  <c r="E3774" i="51"/>
  <c r="E3775" i="51"/>
  <c r="E3776" i="51"/>
  <c r="E3777" i="51"/>
  <c r="E3778" i="51"/>
  <c r="E3779" i="51"/>
  <c r="E3780" i="51"/>
  <c r="E3781" i="51"/>
  <c r="E3782" i="51"/>
  <c r="E3783" i="51"/>
  <c r="E3784" i="51"/>
  <c r="E3785" i="51"/>
  <c r="E3786" i="51"/>
  <c r="E3787" i="51"/>
  <c r="E3788" i="51"/>
  <c r="E3789" i="51"/>
  <c r="E3790" i="51"/>
  <c r="E3791" i="51"/>
  <c r="E3792" i="51"/>
  <c r="E3793" i="51"/>
  <c r="E3794" i="51"/>
  <c r="E3795" i="51"/>
  <c r="E3796" i="51"/>
  <c r="E3797" i="51"/>
  <c r="E3798" i="51"/>
  <c r="E3799" i="51"/>
  <c r="E3800" i="51"/>
  <c r="E3801" i="51"/>
  <c r="E3802" i="51"/>
  <c r="E3803" i="51"/>
  <c r="E3804" i="51"/>
  <c r="E3805" i="51"/>
  <c r="E3806" i="51"/>
  <c r="E3807" i="51"/>
  <c r="E3808" i="51"/>
  <c r="E3809" i="51"/>
  <c r="E3810" i="51"/>
  <c r="E3811" i="51"/>
  <c r="E3812" i="51"/>
  <c r="E3813" i="51"/>
  <c r="E3814" i="51"/>
  <c r="E3815" i="51"/>
  <c r="E3816" i="51"/>
  <c r="E3817" i="51"/>
  <c r="E3818" i="51"/>
  <c r="E3819" i="51"/>
  <c r="E3820" i="51"/>
  <c r="E3821" i="51"/>
  <c r="E3822" i="51"/>
  <c r="E3823" i="51"/>
  <c r="E3824" i="51"/>
  <c r="E3825" i="51"/>
  <c r="E3826" i="51"/>
  <c r="E3827" i="51"/>
  <c r="E3828" i="51"/>
  <c r="E3829" i="51"/>
  <c r="E3830" i="51"/>
  <c r="E3831" i="51"/>
  <c r="E3832" i="51"/>
  <c r="E3833" i="51"/>
  <c r="E3834" i="51"/>
  <c r="E3835" i="51"/>
  <c r="E3836" i="51"/>
  <c r="E3837" i="51"/>
  <c r="E3838" i="51"/>
  <c r="E3839" i="51"/>
  <c r="E3840" i="51"/>
  <c r="E3841" i="51"/>
  <c r="E3842" i="51"/>
  <c r="E3843" i="51"/>
  <c r="E3844" i="51"/>
  <c r="E3845" i="51"/>
  <c r="E3846" i="51"/>
  <c r="E3847" i="51"/>
  <c r="E3848" i="51"/>
  <c r="E3849" i="51"/>
  <c r="E3850" i="51"/>
  <c r="E3851" i="51"/>
  <c r="E3852" i="51"/>
  <c r="E3853" i="51"/>
  <c r="E3854" i="51"/>
  <c r="E3855" i="51"/>
  <c r="E3856" i="51"/>
  <c r="E3857" i="51"/>
  <c r="E3858" i="51"/>
  <c r="E3859" i="51"/>
  <c r="E3860" i="51"/>
  <c r="E3861" i="51"/>
  <c r="E3862" i="51"/>
  <c r="E3863" i="51"/>
  <c r="E3864" i="51"/>
  <c r="E3865" i="51"/>
  <c r="E3866" i="51"/>
  <c r="E3867" i="51"/>
  <c r="E3868" i="51"/>
  <c r="E3869" i="51"/>
  <c r="E3870" i="51"/>
  <c r="E3871" i="51"/>
  <c r="E3872" i="51"/>
  <c r="E3873" i="51"/>
  <c r="E3874" i="51"/>
  <c r="E3875" i="51"/>
  <c r="E3876" i="51"/>
  <c r="E3877" i="51"/>
  <c r="E3878" i="51"/>
  <c r="E3879" i="51"/>
  <c r="E3880" i="51"/>
  <c r="E3881" i="51"/>
  <c r="E3882" i="51"/>
  <c r="E3883" i="51"/>
  <c r="E3884" i="51"/>
  <c r="E3885" i="51"/>
  <c r="E3886" i="51"/>
  <c r="E3887" i="51"/>
  <c r="E3888" i="51"/>
  <c r="E3889" i="51"/>
  <c r="E3890" i="51"/>
  <c r="E3891" i="51"/>
  <c r="E3892" i="51"/>
  <c r="E3893" i="51"/>
  <c r="E3894" i="51"/>
  <c r="E3895" i="51"/>
  <c r="E3896" i="51"/>
  <c r="E3897" i="51"/>
  <c r="E3898" i="51"/>
  <c r="E3899" i="51"/>
  <c r="E3900" i="51"/>
  <c r="E3901" i="51"/>
  <c r="E3902" i="51"/>
  <c r="E3903" i="51"/>
  <c r="E3904" i="51"/>
  <c r="E3905" i="51"/>
  <c r="E3906" i="51"/>
  <c r="E3907" i="51"/>
  <c r="E3908" i="51"/>
  <c r="E3909" i="51"/>
  <c r="E3910" i="51"/>
  <c r="E3911" i="51"/>
  <c r="E3912" i="51"/>
  <c r="E3913" i="51"/>
  <c r="E3914" i="51"/>
  <c r="E3915" i="51"/>
  <c r="E3916" i="51"/>
  <c r="E3917" i="51"/>
  <c r="E3918" i="51"/>
  <c r="E3919" i="51"/>
  <c r="E3920" i="51"/>
  <c r="E3921" i="51"/>
  <c r="E3922" i="51"/>
  <c r="E3923" i="51"/>
  <c r="E3924" i="51"/>
  <c r="E3925" i="51"/>
  <c r="E3926" i="51"/>
  <c r="E3927" i="51"/>
  <c r="E3928" i="51"/>
  <c r="E3929" i="51"/>
  <c r="E3930" i="51"/>
  <c r="E3931" i="51"/>
  <c r="E3932" i="51"/>
  <c r="E3933" i="51"/>
  <c r="E3934" i="51"/>
  <c r="E3935" i="51"/>
  <c r="E3936" i="51"/>
  <c r="E3937" i="51"/>
  <c r="E3938" i="51"/>
  <c r="E3939" i="51"/>
  <c r="E3940" i="51"/>
  <c r="E3941" i="51"/>
  <c r="E3942" i="51"/>
  <c r="E3943" i="51"/>
  <c r="E3944" i="51"/>
  <c r="E3945" i="51"/>
  <c r="E3946" i="51"/>
  <c r="E3947" i="51"/>
  <c r="E3948" i="51"/>
  <c r="E3949" i="51"/>
  <c r="E3950" i="51"/>
  <c r="E3951" i="51"/>
  <c r="E3952" i="51"/>
  <c r="E3953" i="51"/>
  <c r="E3954" i="51"/>
  <c r="E3955" i="51"/>
  <c r="E3956" i="51"/>
  <c r="E3957" i="51"/>
  <c r="E3958" i="51"/>
  <c r="E3959" i="51"/>
  <c r="E3960" i="51"/>
  <c r="E3961" i="51"/>
  <c r="E3962" i="51"/>
  <c r="E3963" i="51"/>
  <c r="E3964" i="51"/>
  <c r="E3965" i="51"/>
  <c r="E3966" i="51"/>
  <c r="E3967" i="51"/>
  <c r="E3968" i="51"/>
  <c r="E3969" i="51"/>
  <c r="E3970" i="51"/>
  <c r="E3971" i="51"/>
  <c r="E3972" i="51"/>
  <c r="E3973" i="51"/>
  <c r="E3974" i="51"/>
  <c r="E3975" i="51"/>
  <c r="E3976" i="51"/>
  <c r="E3977" i="51"/>
  <c r="E3978" i="51"/>
  <c r="E3979" i="51"/>
  <c r="E3980" i="51"/>
  <c r="E3981" i="51"/>
  <c r="E3982" i="51"/>
  <c r="E3983" i="51"/>
  <c r="E3984" i="51"/>
  <c r="E3985" i="51"/>
  <c r="E3986" i="51"/>
  <c r="E3987" i="51"/>
  <c r="E3988" i="51"/>
  <c r="E3989" i="51"/>
  <c r="E3990" i="51"/>
  <c r="E3991" i="51"/>
  <c r="E3992" i="51"/>
  <c r="E3993" i="51"/>
  <c r="E3994" i="51"/>
  <c r="E3995" i="51"/>
  <c r="E3996" i="51"/>
  <c r="E3997" i="51"/>
  <c r="E3998" i="51"/>
  <c r="E3999" i="51"/>
  <c r="E4000" i="51"/>
  <c r="E4001" i="51"/>
  <c r="E4002" i="51"/>
  <c r="E4003" i="51"/>
  <c r="E4004" i="51"/>
  <c r="E4005" i="51"/>
  <c r="E4006" i="51"/>
  <c r="E4007" i="51"/>
  <c r="E4008" i="51"/>
  <c r="E4009" i="51"/>
  <c r="E4010" i="51"/>
  <c r="E4011" i="51"/>
  <c r="E4012" i="51"/>
  <c r="E4013" i="51"/>
  <c r="E4014" i="51"/>
  <c r="E4015" i="51"/>
  <c r="E4016" i="51"/>
  <c r="E4017" i="51"/>
  <c r="E4018" i="51"/>
  <c r="E4019" i="51"/>
  <c r="E4020" i="51"/>
  <c r="E4021" i="51"/>
  <c r="E4022" i="51"/>
  <c r="E4023" i="51"/>
  <c r="E4024" i="51"/>
  <c r="E4025" i="51"/>
  <c r="E4026" i="51"/>
  <c r="E4027" i="51"/>
  <c r="E4028" i="51"/>
  <c r="E4029" i="51"/>
  <c r="E4030" i="51"/>
  <c r="E4031" i="51"/>
  <c r="E4032" i="51"/>
  <c r="E4033" i="51"/>
  <c r="E4034" i="51"/>
  <c r="E4035" i="51"/>
  <c r="E4036" i="51"/>
  <c r="E4037" i="51"/>
  <c r="E4038" i="51"/>
  <c r="E4039" i="51"/>
  <c r="E4040" i="51"/>
  <c r="E4041" i="51"/>
  <c r="E4042" i="51"/>
  <c r="E4043" i="51"/>
  <c r="E4044" i="51"/>
  <c r="E4045" i="51"/>
  <c r="E4046" i="51"/>
  <c r="E4047" i="51"/>
  <c r="E4048" i="51"/>
  <c r="E4049" i="51"/>
  <c r="E4050" i="51"/>
  <c r="E4051" i="51"/>
  <c r="E4052" i="51"/>
  <c r="E4053" i="51"/>
  <c r="E4054" i="51"/>
  <c r="E4055" i="51"/>
  <c r="E4056" i="51"/>
  <c r="E4057" i="51"/>
  <c r="E4058" i="51"/>
  <c r="E4059" i="51"/>
  <c r="E4060" i="51"/>
  <c r="E4061" i="51"/>
  <c r="E4062" i="51"/>
  <c r="E4063" i="51"/>
  <c r="E4064" i="51"/>
  <c r="E4065" i="51"/>
  <c r="E4066" i="51"/>
  <c r="E4067" i="51"/>
  <c r="E4068" i="51"/>
  <c r="E4069" i="51"/>
  <c r="E4070" i="51"/>
  <c r="E4071" i="51"/>
  <c r="E4072" i="51"/>
  <c r="E4073" i="51"/>
  <c r="E4074" i="51"/>
  <c r="E4075" i="51"/>
  <c r="E4076" i="51"/>
  <c r="E4077" i="51"/>
  <c r="E4078" i="51"/>
  <c r="E4079" i="51"/>
  <c r="E4080" i="51"/>
  <c r="E4081" i="51"/>
  <c r="E4082" i="51"/>
  <c r="E4083" i="51"/>
  <c r="E4084" i="51"/>
  <c r="E4085" i="51"/>
  <c r="E4086" i="51"/>
  <c r="E4087" i="51"/>
  <c r="E4088" i="51"/>
  <c r="E4089" i="51"/>
  <c r="E4090" i="51"/>
  <c r="E4091" i="51"/>
  <c r="E4092" i="51"/>
  <c r="E4093" i="51"/>
  <c r="E4094" i="51"/>
  <c r="E4095" i="51"/>
  <c r="E4096" i="51"/>
  <c r="E4097" i="51"/>
  <c r="E4098" i="51"/>
  <c r="E4099" i="51"/>
  <c r="E4100" i="51"/>
  <c r="E4101" i="51"/>
  <c r="E4102" i="51"/>
  <c r="E4103" i="51"/>
  <c r="E4104" i="51"/>
  <c r="E4105" i="51"/>
  <c r="E4106" i="51"/>
  <c r="E4107" i="51"/>
  <c r="E4108" i="51"/>
  <c r="E4109" i="51"/>
  <c r="E4110" i="51"/>
  <c r="E4111" i="51"/>
  <c r="E4112" i="51"/>
  <c r="E4113" i="51"/>
  <c r="E4114" i="51"/>
  <c r="E4115" i="51"/>
  <c r="E4116" i="51"/>
  <c r="E4117" i="51"/>
  <c r="E4118" i="51"/>
  <c r="E4119" i="51"/>
  <c r="E4120" i="51"/>
  <c r="E4121" i="51"/>
  <c r="E4122" i="51"/>
  <c r="E4123" i="51"/>
  <c r="E4124" i="51"/>
  <c r="E4125" i="51"/>
  <c r="E4126" i="51"/>
  <c r="E4127" i="51"/>
  <c r="E4128" i="51"/>
  <c r="E4129" i="51"/>
  <c r="E4130" i="51"/>
  <c r="E4131" i="51"/>
  <c r="E4132" i="51"/>
  <c r="E4133" i="51"/>
  <c r="E4134" i="51"/>
  <c r="E4135" i="51"/>
  <c r="E4136" i="51"/>
  <c r="E4137" i="51"/>
  <c r="E4138" i="51"/>
  <c r="E4139" i="51"/>
  <c r="E4140" i="51"/>
  <c r="E4141" i="51"/>
  <c r="E4142" i="51"/>
  <c r="E4143" i="51"/>
  <c r="E4144" i="51"/>
  <c r="E4145" i="51"/>
  <c r="E4146" i="51"/>
  <c r="E4147" i="51"/>
  <c r="E4148" i="51"/>
  <c r="E4149" i="51"/>
  <c r="E4150" i="51"/>
  <c r="E4151" i="51"/>
  <c r="E4152" i="51"/>
  <c r="E4153" i="51"/>
  <c r="E4154" i="51"/>
  <c r="E4155" i="51"/>
  <c r="E4156" i="51"/>
  <c r="E4157" i="51"/>
  <c r="E4158" i="51"/>
  <c r="E4159" i="51"/>
  <c r="E4160" i="51"/>
  <c r="E4161" i="51"/>
  <c r="E4162" i="51"/>
  <c r="E4163" i="51"/>
  <c r="E4164" i="51"/>
  <c r="E4165" i="51"/>
  <c r="E4166" i="51"/>
  <c r="E4167" i="51"/>
  <c r="E4168" i="51"/>
  <c r="E4169" i="51"/>
  <c r="E4170" i="51"/>
  <c r="E4171" i="51"/>
  <c r="E4172" i="51"/>
  <c r="E4173" i="51"/>
  <c r="E4174" i="51"/>
  <c r="E4175" i="51"/>
  <c r="E4176" i="51"/>
  <c r="E4177" i="51"/>
  <c r="E4178" i="51"/>
  <c r="E4179" i="51"/>
  <c r="E4180" i="51"/>
  <c r="E4181" i="51"/>
  <c r="E4182" i="51"/>
  <c r="E4183" i="51"/>
  <c r="E4184" i="51"/>
  <c r="E4185" i="51"/>
  <c r="E4186" i="51"/>
  <c r="E4187" i="51"/>
  <c r="E4188" i="51"/>
  <c r="E4189" i="51"/>
  <c r="E4190" i="51"/>
  <c r="E4191" i="51"/>
  <c r="E4192" i="51"/>
  <c r="E4193" i="51"/>
  <c r="E4194" i="51"/>
  <c r="E4195" i="51"/>
  <c r="E4196" i="51"/>
  <c r="E4197" i="51"/>
  <c r="E4198" i="51"/>
  <c r="E4199" i="51"/>
  <c r="E4200" i="51"/>
  <c r="E4201" i="51"/>
  <c r="E4202" i="51"/>
  <c r="E4203" i="51"/>
  <c r="E4204" i="51"/>
  <c r="E4205" i="51"/>
  <c r="E4206" i="51"/>
  <c r="E4207" i="51"/>
  <c r="E4208" i="51"/>
  <c r="E4209" i="51"/>
  <c r="E4210" i="51"/>
  <c r="E4211" i="51"/>
  <c r="E4212" i="51"/>
  <c r="E4213" i="51"/>
  <c r="E4214" i="51"/>
  <c r="E4215" i="51"/>
  <c r="E4216" i="51"/>
  <c r="E4217" i="51"/>
  <c r="E4218" i="51"/>
  <c r="E4219" i="51"/>
  <c r="E4220" i="51"/>
  <c r="E4221" i="51"/>
  <c r="E4222" i="51"/>
  <c r="E4223" i="51"/>
  <c r="E4224" i="51"/>
  <c r="E4225" i="51"/>
  <c r="E4226" i="51"/>
  <c r="E4227" i="51"/>
  <c r="E4228" i="51"/>
  <c r="E4229" i="51"/>
  <c r="E4230" i="51"/>
  <c r="E4231" i="51"/>
  <c r="E4232" i="51"/>
  <c r="E4233" i="51"/>
  <c r="E4234" i="51"/>
  <c r="E4235" i="51"/>
  <c r="E4236" i="51"/>
  <c r="E4237" i="51"/>
  <c r="E4238" i="51"/>
  <c r="E4239" i="51"/>
  <c r="E4240" i="51"/>
  <c r="E4241" i="51"/>
  <c r="E4242" i="51"/>
  <c r="E4243" i="51"/>
  <c r="E4244" i="51"/>
  <c r="E4245" i="51"/>
  <c r="E4246" i="51"/>
  <c r="E4247" i="51"/>
  <c r="E4248" i="51"/>
  <c r="E4249" i="51"/>
  <c r="E4250" i="51"/>
  <c r="E4251" i="51"/>
  <c r="E4252" i="51"/>
  <c r="E4253" i="51"/>
  <c r="E4254" i="51"/>
  <c r="E4255" i="51"/>
  <c r="E4256" i="51"/>
  <c r="E4257" i="51"/>
  <c r="E4258" i="51"/>
  <c r="E4259" i="51"/>
  <c r="E4260" i="51"/>
  <c r="E4261" i="51"/>
  <c r="E4262" i="51"/>
  <c r="E4263" i="51"/>
  <c r="E4264" i="51"/>
  <c r="E4265" i="51"/>
  <c r="E4266" i="51"/>
  <c r="E4267" i="51"/>
  <c r="E4268" i="51"/>
  <c r="E4269" i="51"/>
  <c r="E4270" i="51"/>
  <c r="E4271" i="51"/>
  <c r="E4272" i="51"/>
  <c r="E4273" i="51"/>
  <c r="E4274" i="51"/>
  <c r="E4275" i="51"/>
  <c r="E4276" i="51"/>
  <c r="E4277" i="51"/>
  <c r="E4278" i="51"/>
  <c r="E4279" i="51"/>
  <c r="E4280" i="51"/>
  <c r="E4281" i="51"/>
  <c r="E4282" i="51"/>
  <c r="E4283" i="51"/>
  <c r="E4284" i="51"/>
  <c r="E4285" i="51"/>
  <c r="E4286" i="51"/>
  <c r="E4287" i="51"/>
  <c r="E4288" i="51"/>
  <c r="E4289" i="51"/>
  <c r="E4290" i="51"/>
  <c r="E4291" i="51"/>
  <c r="E4292" i="51"/>
  <c r="E4293" i="51"/>
  <c r="E4294" i="51"/>
  <c r="E4295" i="51"/>
  <c r="E4296" i="51"/>
  <c r="E4297" i="51"/>
  <c r="E4298" i="51"/>
  <c r="E4299" i="51"/>
  <c r="E4300" i="51"/>
  <c r="E4301" i="51"/>
  <c r="E4302" i="51"/>
  <c r="E4303" i="51"/>
  <c r="E4304" i="51"/>
  <c r="E4305" i="51"/>
  <c r="E4306" i="51"/>
  <c r="E4307" i="51"/>
  <c r="E4308" i="51"/>
  <c r="E4309" i="51"/>
  <c r="E4310" i="51"/>
  <c r="E4311" i="51"/>
  <c r="E4312" i="51"/>
  <c r="E4313" i="51"/>
  <c r="E4314" i="51"/>
  <c r="E4315" i="51"/>
  <c r="E4316" i="51"/>
  <c r="E4317" i="51"/>
  <c r="E4318" i="51"/>
  <c r="E4319" i="51"/>
  <c r="E4320" i="51"/>
  <c r="E4321" i="51"/>
  <c r="E4322" i="51"/>
  <c r="E4323" i="51"/>
  <c r="E4324" i="51"/>
  <c r="E4325" i="51"/>
  <c r="E4326" i="51"/>
  <c r="E4327" i="51"/>
  <c r="E4328" i="51"/>
  <c r="E4329" i="51"/>
  <c r="E4330" i="51"/>
  <c r="E4331" i="51"/>
  <c r="E4332" i="51"/>
  <c r="E4333" i="51"/>
  <c r="E4334" i="51"/>
  <c r="E4335" i="51"/>
  <c r="E4336" i="51"/>
  <c r="E4337" i="51"/>
  <c r="E4338" i="51"/>
  <c r="E4339" i="51"/>
  <c r="E4340" i="51"/>
  <c r="E4341" i="51"/>
  <c r="E4342" i="51"/>
  <c r="E4343" i="51"/>
  <c r="E4344" i="51"/>
  <c r="E4345" i="51"/>
  <c r="E4346" i="51"/>
  <c r="E4347" i="51"/>
  <c r="E4348" i="51"/>
  <c r="E4349" i="51"/>
  <c r="E4350" i="51"/>
  <c r="E4351" i="51"/>
  <c r="E4352" i="51"/>
  <c r="E4353" i="51"/>
  <c r="E4354" i="51"/>
  <c r="E4355" i="51"/>
  <c r="E4356" i="51"/>
  <c r="E4357" i="51"/>
  <c r="E4358" i="51"/>
  <c r="E4359" i="51"/>
  <c r="E4360" i="51"/>
  <c r="E4361" i="51"/>
  <c r="E4362" i="51"/>
  <c r="E4363" i="51"/>
  <c r="E4364" i="51"/>
  <c r="E4365" i="51"/>
  <c r="E4366" i="51"/>
  <c r="E4367" i="51"/>
  <c r="E4368" i="51"/>
  <c r="E4369" i="51"/>
  <c r="E4370" i="51"/>
  <c r="E4371" i="51"/>
  <c r="E4372" i="51"/>
  <c r="E4373" i="51"/>
  <c r="E4374" i="51"/>
  <c r="E4375" i="51"/>
  <c r="E4376" i="51"/>
  <c r="E4377" i="51"/>
  <c r="E4378" i="51"/>
  <c r="E4379" i="51"/>
  <c r="E4380" i="51"/>
  <c r="E4381" i="51"/>
  <c r="E4382" i="51"/>
  <c r="E4383" i="51"/>
  <c r="E4384" i="51"/>
  <c r="E4385" i="51"/>
  <c r="E4386" i="51"/>
  <c r="E4387" i="51"/>
  <c r="E4388" i="51"/>
  <c r="E4389" i="51"/>
  <c r="E4390" i="51"/>
  <c r="E4391" i="51"/>
  <c r="E4392" i="51"/>
  <c r="E4393" i="51"/>
  <c r="E4394" i="51"/>
  <c r="E4395" i="51"/>
  <c r="E4396" i="51"/>
  <c r="E4397" i="51"/>
  <c r="E4398" i="51"/>
  <c r="E4399" i="51"/>
  <c r="E4400" i="51"/>
  <c r="E4401" i="51"/>
  <c r="E4402" i="51"/>
  <c r="E4403" i="51"/>
  <c r="E4404" i="51"/>
  <c r="E4405" i="51"/>
  <c r="E4406" i="51"/>
  <c r="E4407" i="51"/>
  <c r="E4408" i="51"/>
  <c r="E4409" i="51"/>
  <c r="E4410" i="51"/>
  <c r="E4411" i="51"/>
  <c r="E4412" i="51"/>
  <c r="E4413" i="51"/>
  <c r="E4414" i="51"/>
  <c r="E4415" i="51"/>
  <c r="E4416" i="51"/>
  <c r="E4417" i="51"/>
  <c r="E4418" i="51"/>
  <c r="E4419" i="51"/>
  <c r="E4420" i="51"/>
  <c r="E4421" i="51"/>
  <c r="E4422" i="51"/>
  <c r="E4423" i="51"/>
  <c r="E4424" i="51"/>
  <c r="E4425" i="51"/>
  <c r="E4426" i="51"/>
  <c r="E4427" i="51"/>
  <c r="E4428" i="51"/>
  <c r="E4429" i="51"/>
  <c r="E4430" i="51"/>
  <c r="E4431" i="51"/>
  <c r="E4432" i="51"/>
  <c r="E4433" i="51"/>
  <c r="E4434" i="51"/>
  <c r="E4435" i="51"/>
  <c r="E4436" i="51"/>
  <c r="E4437" i="51"/>
  <c r="E4438" i="51"/>
  <c r="E4439" i="51"/>
  <c r="E4440" i="51"/>
  <c r="E4441" i="51"/>
  <c r="E4442" i="51"/>
  <c r="E4443" i="51"/>
  <c r="E4444" i="51"/>
  <c r="E4445" i="51"/>
  <c r="E4446" i="51"/>
  <c r="E4447" i="51"/>
  <c r="E4448" i="51"/>
  <c r="E4449" i="51"/>
  <c r="E4450" i="51"/>
  <c r="E4451" i="51"/>
  <c r="E4452" i="51"/>
  <c r="E4453" i="51"/>
  <c r="E4454" i="51"/>
  <c r="E4455" i="51"/>
  <c r="E4456" i="51"/>
  <c r="E4457" i="51"/>
  <c r="E4458" i="51"/>
  <c r="E4459" i="51"/>
  <c r="E4460" i="51"/>
  <c r="E4461" i="51"/>
  <c r="E4462" i="51"/>
  <c r="E4463" i="51"/>
  <c r="E4464" i="51"/>
  <c r="E4465" i="51"/>
  <c r="E4466" i="51"/>
  <c r="E4467" i="51"/>
  <c r="E4468" i="51"/>
  <c r="E4469" i="51"/>
  <c r="E4470" i="51"/>
  <c r="E4471" i="51"/>
  <c r="E4472" i="51"/>
  <c r="E4473" i="51"/>
  <c r="E4474" i="51"/>
  <c r="E4475" i="51"/>
  <c r="E4476" i="51"/>
  <c r="E4477" i="51"/>
  <c r="E4478" i="51"/>
  <c r="E4479" i="51"/>
  <c r="E4480" i="51"/>
  <c r="E4481" i="51"/>
  <c r="E4482" i="51"/>
  <c r="E4483" i="51"/>
  <c r="E4484" i="51"/>
  <c r="E4485" i="51"/>
  <c r="E4486" i="51"/>
  <c r="E4487" i="51"/>
  <c r="E4488" i="51"/>
  <c r="E4489" i="51"/>
  <c r="E4490" i="51"/>
  <c r="E4491" i="51"/>
  <c r="E4492" i="51"/>
  <c r="E4493" i="51"/>
  <c r="E4494" i="51"/>
  <c r="E4495" i="51"/>
  <c r="E4496" i="51"/>
  <c r="E4497" i="51"/>
  <c r="E4498" i="51"/>
  <c r="E4499" i="51"/>
  <c r="E4500" i="51"/>
  <c r="E4501" i="51"/>
  <c r="E4502" i="51"/>
  <c r="E4503" i="51"/>
  <c r="E4504" i="51"/>
  <c r="E4505" i="51"/>
  <c r="E4506" i="51"/>
  <c r="E4507" i="51"/>
  <c r="E4508" i="51"/>
  <c r="E4509" i="51"/>
  <c r="E4510" i="51"/>
  <c r="E4511" i="51"/>
  <c r="E4512" i="51"/>
  <c r="E4513" i="51"/>
  <c r="E4514" i="51"/>
  <c r="E4515" i="51"/>
  <c r="E4516" i="51"/>
  <c r="E4517" i="51"/>
  <c r="E4518" i="51"/>
  <c r="E4519" i="51"/>
  <c r="E4520" i="51"/>
  <c r="E4521" i="51"/>
  <c r="E4522" i="51"/>
  <c r="E4523" i="51"/>
  <c r="E4524" i="51"/>
  <c r="E4525" i="51"/>
  <c r="E4526" i="51"/>
  <c r="E4527" i="51"/>
  <c r="E4528" i="51"/>
  <c r="E4529" i="51"/>
  <c r="E4530" i="51"/>
  <c r="E4531" i="51"/>
  <c r="E4532" i="51"/>
  <c r="E4533" i="51"/>
  <c r="E4534" i="51"/>
  <c r="E4535" i="51"/>
  <c r="E4536" i="51"/>
  <c r="E4537" i="51"/>
  <c r="E4538" i="51"/>
  <c r="E4539" i="51"/>
  <c r="E4540" i="51"/>
  <c r="E4541" i="51"/>
  <c r="E4542" i="51"/>
  <c r="E4543" i="51"/>
  <c r="E4544" i="51"/>
  <c r="E4545" i="51"/>
  <c r="E4546" i="51"/>
  <c r="E4547" i="51"/>
  <c r="E4548" i="51"/>
  <c r="E4549" i="51"/>
  <c r="E4550" i="51"/>
  <c r="E4551" i="51"/>
  <c r="E4552" i="51"/>
  <c r="E4553" i="51"/>
  <c r="E4554" i="51"/>
  <c r="E4555" i="51"/>
  <c r="E4556" i="51"/>
  <c r="E4557" i="51"/>
  <c r="E4558" i="51"/>
  <c r="E4559" i="51"/>
  <c r="E4560" i="51"/>
  <c r="E4561" i="51"/>
  <c r="E4562" i="51"/>
  <c r="E4563" i="51"/>
  <c r="E4564" i="51"/>
  <c r="E4565" i="51"/>
  <c r="E4566" i="51"/>
  <c r="E4567" i="51"/>
  <c r="E4568" i="51"/>
  <c r="E4569" i="51"/>
  <c r="E4570" i="51"/>
  <c r="E4571" i="51"/>
  <c r="E4572" i="51"/>
  <c r="E4573" i="51"/>
  <c r="E4574" i="51"/>
  <c r="E4575" i="51"/>
  <c r="E4576" i="51"/>
  <c r="E4577" i="51"/>
  <c r="E4578" i="51"/>
  <c r="E4579" i="51"/>
  <c r="E4580" i="51"/>
  <c r="E4581" i="51"/>
  <c r="E4582" i="51"/>
  <c r="E4583" i="51"/>
  <c r="E4584" i="51"/>
  <c r="E4585" i="51"/>
  <c r="E4586" i="51"/>
  <c r="E4587" i="51"/>
  <c r="E4588" i="51"/>
  <c r="E4589" i="51"/>
  <c r="E4590" i="51"/>
  <c r="E4591" i="51"/>
  <c r="E4592" i="51"/>
  <c r="E4593" i="51"/>
  <c r="E4594" i="51"/>
  <c r="E4595" i="51"/>
  <c r="E4596" i="51"/>
  <c r="E4597" i="51"/>
  <c r="E4598" i="51"/>
  <c r="E4599" i="51"/>
  <c r="E4600" i="51"/>
  <c r="E4601" i="51"/>
  <c r="E4602" i="51"/>
  <c r="E4603" i="51"/>
  <c r="E4604" i="51"/>
  <c r="E4605" i="51"/>
  <c r="E4606" i="51"/>
  <c r="E4607" i="51"/>
  <c r="E4608" i="51"/>
  <c r="E4609" i="51"/>
  <c r="E4610" i="51"/>
  <c r="E4611" i="51"/>
  <c r="E4612" i="51"/>
  <c r="E4613" i="51"/>
  <c r="E4614" i="51"/>
  <c r="E4615" i="51"/>
  <c r="E4616" i="51"/>
  <c r="E4617" i="51"/>
  <c r="E4618" i="51"/>
  <c r="E4619" i="51"/>
  <c r="E4620" i="51"/>
  <c r="E4621" i="51"/>
  <c r="E4622" i="51"/>
  <c r="E4623" i="51"/>
  <c r="E4624" i="51"/>
  <c r="E4625" i="51"/>
  <c r="E4626" i="51"/>
  <c r="E4627" i="51"/>
  <c r="E4628" i="51"/>
  <c r="E4629" i="51"/>
  <c r="E4630" i="51"/>
  <c r="E4631" i="51"/>
  <c r="E4632" i="51"/>
  <c r="E4633" i="51"/>
  <c r="E4634" i="51"/>
  <c r="E4635" i="51"/>
  <c r="E4636" i="51"/>
  <c r="E4637" i="51"/>
  <c r="E4638" i="51"/>
  <c r="E4639" i="51"/>
  <c r="E4640" i="51"/>
  <c r="E4641" i="51"/>
  <c r="E4642" i="51"/>
  <c r="E4643" i="51"/>
  <c r="E4644" i="51"/>
  <c r="E4645" i="51"/>
  <c r="E4646" i="51"/>
  <c r="E4647" i="51"/>
  <c r="E4648" i="51"/>
  <c r="E4649" i="51"/>
  <c r="E4650" i="51"/>
  <c r="E4651" i="51"/>
  <c r="E4652" i="51"/>
  <c r="E4653" i="51"/>
  <c r="E4654" i="51"/>
  <c r="E4655" i="51"/>
  <c r="E4656" i="51"/>
  <c r="E4657" i="51"/>
  <c r="E4658" i="51"/>
  <c r="E4659" i="51"/>
  <c r="E4660" i="51"/>
  <c r="E4661" i="51"/>
  <c r="E4662" i="51"/>
  <c r="E4663" i="51"/>
  <c r="E4664" i="51"/>
  <c r="E4665" i="51"/>
  <c r="E4666" i="51"/>
  <c r="E4667" i="51"/>
  <c r="E4668" i="51"/>
  <c r="E4669" i="51"/>
  <c r="E4670" i="51"/>
  <c r="E4671" i="51"/>
  <c r="E4672" i="51"/>
  <c r="E4673" i="51"/>
  <c r="E4674" i="51"/>
  <c r="E4675" i="51"/>
  <c r="E4676" i="51"/>
  <c r="E4677" i="51"/>
  <c r="E4678" i="51"/>
  <c r="E4679" i="51"/>
  <c r="E4680" i="51"/>
  <c r="E4681" i="51"/>
  <c r="E4682" i="51"/>
  <c r="E4683" i="51"/>
  <c r="E4684" i="51"/>
  <c r="E4685" i="51"/>
  <c r="E4686" i="51"/>
  <c r="E4687" i="51"/>
  <c r="E4688" i="51"/>
  <c r="E4689" i="51"/>
  <c r="E4690" i="51"/>
  <c r="E4691" i="51"/>
  <c r="E4692" i="51"/>
  <c r="E4693" i="51"/>
  <c r="E4694" i="51"/>
  <c r="E4695" i="51"/>
  <c r="E4696" i="51"/>
  <c r="E4697" i="51"/>
  <c r="E4698" i="51"/>
  <c r="E4699" i="51"/>
  <c r="E4700" i="51"/>
  <c r="E4701" i="51"/>
  <c r="E4702" i="51"/>
  <c r="E4703" i="51"/>
  <c r="E4704" i="51"/>
  <c r="E4705" i="51"/>
  <c r="E4706" i="51"/>
  <c r="E4707" i="51"/>
  <c r="E4708" i="51"/>
  <c r="E4709" i="51"/>
  <c r="E4710" i="51"/>
  <c r="E4711" i="51"/>
  <c r="E4712" i="51"/>
  <c r="E4713" i="51"/>
  <c r="E4714" i="51"/>
  <c r="E4715" i="51"/>
  <c r="E4716" i="51"/>
  <c r="E4717" i="51"/>
  <c r="E4718" i="51"/>
  <c r="E4719" i="51"/>
  <c r="E4720" i="51"/>
  <c r="E4721" i="51"/>
  <c r="E4722" i="51"/>
  <c r="E4723" i="51"/>
  <c r="E4724" i="51"/>
  <c r="E4725" i="51"/>
  <c r="E4726" i="51"/>
  <c r="E4727" i="51"/>
  <c r="E4728" i="51"/>
  <c r="E4729" i="51"/>
  <c r="E4730" i="51"/>
  <c r="E4731" i="51"/>
  <c r="E4732" i="51"/>
  <c r="E4733" i="51"/>
  <c r="E4734" i="51"/>
  <c r="E4735" i="51"/>
  <c r="E4736" i="51"/>
  <c r="E4737" i="51"/>
  <c r="E4738" i="51"/>
  <c r="E4739" i="51"/>
  <c r="E4740" i="51"/>
  <c r="E4741" i="51"/>
  <c r="E4742" i="51"/>
  <c r="E4743" i="51"/>
  <c r="E4744" i="51"/>
  <c r="E4745" i="51"/>
  <c r="E4746" i="51"/>
  <c r="E4747" i="51"/>
  <c r="E4748" i="51"/>
  <c r="E4749" i="51"/>
  <c r="E4750" i="51"/>
  <c r="E4751" i="51"/>
  <c r="E4752" i="51"/>
  <c r="E4753" i="51"/>
  <c r="E4754" i="51"/>
  <c r="E4755" i="51"/>
  <c r="E4756" i="51"/>
  <c r="E4757" i="51"/>
  <c r="E4758" i="51"/>
  <c r="E4759" i="51"/>
  <c r="E4760" i="51"/>
  <c r="E4761" i="51"/>
  <c r="E4762" i="51"/>
  <c r="E4763" i="51"/>
  <c r="E4764" i="51"/>
  <c r="E4765" i="51"/>
  <c r="E4766" i="51"/>
  <c r="E4767" i="51"/>
  <c r="E4768" i="51"/>
  <c r="E4769" i="51"/>
  <c r="E4770" i="51"/>
  <c r="E4771" i="51"/>
  <c r="E4772" i="51"/>
  <c r="E4773" i="51"/>
  <c r="E4774" i="51"/>
  <c r="E4775" i="51"/>
  <c r="E4776" i="51"/>
  <c r="E4777" i="51"/>
  <c r="E4778" i="51"/>
  <c r="E4779" i="51"/>
  <c r="E4780" i="51"/>
  <c r="E4781" i="51"/>
  <c r="E4782" i="51"/>
  <c r="E4783" i="51"/>
  <c r="E4784" i="51"/>
  <c r="E4785" i="51"/>
  <c r="E4786" i="51"/>
  <c r="E4787" i="51"/>
  <c r="E4788" i="51"/>
  <c r="E4789" i="51"/>
  <c r="E4790" i="51"/>
  <c r="E4791" i="51"/>
  <c r="E4792" i="51"/>
  <c r="E4793" i="51"/>
  <c r="E4794" i="51"/>
  <c r="E4795" i="51"/>
  <c r="E4796" i="51"/>
  <c r="E4797" i="51"/>
  <c r="E4798" i="51"/>
  <c r="E4799" i="51"/>
  <c r="E4800" i="51"/>
  <c r="E4801" i="51"/>
  <c r="E4802" i="51"/>
  <c r="E4803" i="51"/>
  <c r="E4804" i="51"/>
  <c r="E4805" i="51"/>
  <c r="E4806" i="51"/>
  <c r="E4807" i="51"/>
  <c r="E4808" i="51"/>
  <c r="E4809" i="51"/>
  <c r="E4810" i="51"/>
  <c r="E4811" i="51"/>
  <c r="E4812" i="51"/>
  <c r="E4813" i="51"/>
  <c r="E4814" i="51"/>
  <c r="E4815" i="51"/>
  <c r="E4816" i="51"/>
  <c r="E4817" i="51"/>
  <c r="E4818" i="51"/>
  <c r="E4819" i="51"/>
  <c r="E4820" i="51"/>
  <c r="E4821" i="51"/>
  <c r="E4822" i="51"/>
  <c r="E4823" i="51"/>
  <c r="E4824" i="51"/>
  <c r="E4825" i="51"/>
  <c r="E4826" i="51"/>
  <c r="E4827" i="51"/>
  <c r="E4828" i="51"/>
  <c r="E4829" i="51"/>
  <c r="E4830" i="51"/>
  <c r="E4831" i="51"/>
  <c r="E4832" i="51"/>
  <c r="E4833" i="51"/>
  <c r="E4834" i="51"/>
  <c r="E4835" i="51"/>
  <c r="E4836" i="51"/>
  <c r="E4837" i="51"/>
  <c r="E4838" i="51"/>
  <c r="E4839" i="51"/>
  <c r="E4840" i="51"/>
  <c r="E4841" i="51"/>
  <c r="E4842" i="51"/>
  <c r="E4843" i="51"/>
  <c r="E4844" i="51"/>
  <c r="E4845" i="51"/>
  <c r="E4846" i="51"/>
  <c r="E4847" i="51"/>
  <c r="E4848" i="51"/>
  <c r="E4849" i="51"/>
  <c r="E4850" i="51"/>
  <c r="E4851" i="51"/>
  <c r="E4852" i="51"/>
  <c r="E4853" i="51"/>
  <c r="E4854" i="51"/>
  <c r="E4855" i="51"/>
  <c r="E4856" i="51"/>
  <c r="E4857" i="51"/>
  <c r="E4858" i="51"/>
  <c r="E4859" i="51"/>
  <c r="E4860" i="51"/>
  <c r="E4861" i="51"/>
  <c r="E4862" i="51"/>
  <c r="E4863" i="51"/>
  <c r="E4864" i="51"/>
  <c r="E4865" i="51"/>
  <c r="E4866" i="51"/>
  <c r="E4867" i="51"/>
  <c r="E4868" i="51"/>
  <c r="E4869" i="51"/>
  <c r="E4870" i="51"/>
  <c r="E4871" i="51"/>
  <c r="E4872" i="51"/>
  <c r="E4873" i="51"/>
  <c r="E4874" i="51"/>
  <c r="E4875" i="51"/>
  <c r="E4876" i="51"/>
  <c r="E4877" i="51"/>
  <c r="E4878" i="51"/>
  <c r="E4879" i="51"/>
  <c r="E4880" i="51"/>
  <c r="E4881" i="51"/>
  <c r="E4882" i="51"/>
  <c r="E4883" i="51"/>
  <c r="E4884" i="51"/>
  <c r="E4885" i="51"/>
  <c r="E4886" i="51"/>
  <c r="E4887" i="51"/>
  <c r="E4888" i="51"/>
  <c r="E4889" i="51"/>
  <c r="E4890" i="51"/>
  <c r="E4891" i="51"/>
  <c r="E4892" i="51"/>
  <c r="E4893" i="51"/>
  <c r="E4894" i="51"/>
  <c r="E4895" i="51"/>
  <c r="E4896" i="51"/>
  <c r="E4897" i="51"/>
  <c r="E4898" i="51"/>
  <c r="E4899" i="51"/>
  <c r="E4900" i="51"/>
  <c r="E4901" i="51"/>
  <c r="E4902" i="51"/>
  <c r="E4903" i="51"/>
  <c r="E4904" i="51"/>
  <c r="E4905" i="51"/>
  <c r="E4906" i="51"/>
  <c r="E4907" i="51"/>
  <c r="E4908" i="51"/>
  <c r="E4909" i="51"/>
  <c r="E4910" i="51"/>
  <c r="E4911" i="51"/>
  <c r="E4912" i="51"/>
  <c r="E4913" i="51"/>
  <c r="E4914" i="51"/>
  <c r="E4915" i="51"/>
  <c r="E4916" i="51"/>
  <c r="E4917" i="51"/>
  <c r="E4918" i="51"/>
  <c r="E4919" i="51"/>
  <c r="E4920" i="51"/>
  <c r="E4921" i="51"/>
  <c r="E4922" i="51"/>
  <c r="E4923" i="51"/>
  <c r="E4924" i="51"/>
  <c r="E4925" i="51"/>
  <c r="E4926" i="51"/>
  <c r="E4927" i="51"/>
  <c r="E4928" i="51"/>
  <c r="E4929" i="51"/>
  <c r="E4930" i="51"/>
  <c r="E4931" i="51"/>
  <c r="E4932" i="51"/>
  <c r="E4933" i="51"/>
  <c r="E4934" i="51"/>
  <c r="E4935" i="51"/>
  <c r="E4936" i="51"/>
  <c r="E4937" i="51"/>
  <c r="E4938" i="51"/>
  <c r="E4939" i="51"/>
  <c r="E4940" i="51"/>
  <c r="E4941" i="51"/>
  <c r="E4942" i="51"/>
  <c r="E4943" i="51"/>
  <c r="E4944" i="51"/>
  <c r="E4945" i="51"/>
  <c r="E4946" i="51"/>
  <c r="E4947" i="51"/>
  <c r="E4948" i="51"/>
  <c r="E4949" i="51"/>
  <c r="E4950" i="51"/>
  <c r="E4951" i="51"/>
  <c r="E4952" i="51"/>
  <c r="E4953" i="51"/>
  <c r="E4954" i="51"/>
  <c r="E4955" i="51"/>
  <c r="E4956" i="51"/>
  <c r="E4957" i="51"/>
  <c r="E4958" i="51"/>
  <c r="E4959" i="51"/>
  <c r="E4960" i="51"/>
  <c r="E4961" i="51"/>
  <c r="E4962" i="51"/>
  <c r="E4963" i="51"/>
  <c r="E4964" i="51"/>
  <c r="E4965" i="51"/>
  <c r="E4966" i="51"/>
  <c r="E4967" i="51"/>
  <c r="E4968" i="51"/>
  <c r="E4969" i="51"/>
  <c r="E4970" i="51"/>
  <c r="E4971" i="51"/>
  <c r="E4972" i="51"/>
  <c r="E4973" i="51"/>
  <c r="E4974" i="51"/>
  <c r="E4975" i="51"/>
  <c r="E4976" i="51"/>
  <c r="E4977" i="51"/>
  <c r="E4978" i="51"/>
  <c r="E4979" i="51"/>
  <c r="E4980" i="51"/>
  <c r="E4981" i="51"/>
  <c r="E4982" i="51"/>
  <c r="E4983" i="51"/>
  <c r="E4984" i="51"/>
  <c r="E4985" i="51"/>
  <c r="E4986" i="51"/>
  <c r="E4987" i="51"/>
  <c r="E4988" i="51"/>
  <c r="E4989" i="51"/>
  <c r="E4990" i="51"/>
  <c r="E4991" i="51"/>
  <c r="E4992" i="51"/>
  <c r="E4993" i="51"/>
  <c r="E4994" i="51"/>
  <c r="E4995" i="51"/>
  <c r="E4996" i="51"/>
  <c r="E4997" i="51"/>
  <c r="E4998" i="51"/>
  <c r="E4999" i="51"/>
  <c r="E5000" i="51"/>
  <c r="E5001" i="51"/>
  <c r="E5002" i="51"/>
  <c r="E5003" i="51"/>
  <c r="E5004" i="51"/>
  <c r="E5005" i="51"/>
  <c r="E5006" i="51"/>
  <c r="E5007" i="51"/>
  <c r="F2008" i="51"/>
  <c r="F2009" i="51"/>
  <c r="F2010" i="51"/>
  <c r="F2011" i="51"/>
  <c r="F2012" i="51"/>
  <c r="F2013" i="51"/>
  <c r="F2014" i="51"/>
  <c r="F2015" i="51"/>
  <c r="F2016" i="51"/>
  <c r="F2017" i="51"/>
  <c r="F2018" i="51"/>
  <c r="F2019" i="51"/>
  <c r="F2020" i="51"/>
  <c r="F2021" i="51"/>
  <c r="F2022" i="51"/>
  <c r="F2023" i="51"/>
  <c r="F2024" i="51"/>
  <c r="F2025" i="51"/>
  <c r="F2026" i="51"/>
  <c r="F2027" i="51"/>
  <c r="F2028" i="51"/>
  <c r="F2029" i="51"/>
  <c r="F2030" i="51"/>
  <c r="F2031" i="51"/>
  <c r="F2032" i="51"/>
  <c r="F2033" i="51"/>
  <c r="F2034" i="51"/>
  <c r="F2035" i="51"/>
  <c r="F2036" i="51"/>
  <c r="F2037" i="51"/>
  <c r="F2038" i="51"/>
  <c r="F2039" i="51"/>
  <c r="F2040" i="51"/>
  <c r="F2041" i="51"/>
  <c r="F2042" i="51"/>
  <c r="F2043" i="51"/>
  <c r="F2044" i="51"/>
  <c r="F2045" i="51"/>
  <c r="F2046" i="51"/>
  <c r="F2047" i="51"/>
  <c r="F2048" i="51"/>
  <c r="F2049" i="51"/>
  <c r="F2050" i="51"/>
  <c r="F2051" i="51"/>
  <c r="F2052" i="51"/>
  <c r="F2053" i="51"/>
  <c r="F2054" i="51"/>
  <c r="F2055" i="51"/>
  <c r="F2056" i="51"/>
  <c r="F2057" i="51"/>
  <c r="F2058" i="51"/>
  <c r="F2059" i="51"/>
  <c r="F2060" i="51"/>
  <c r="F2061" i="51"/>
  <c r="F2062" i="51"/>
  <c r="F2063" i="51"/>
  <c r="F2064" i="51"/>
  <c r="F2065" i="51"/>
  <c r="F2066" i="51"/>
  <c r="F2067" i="51"/>
  <c r="F2068" i="51"/>
  <c r="F2069" i="51"/>
  <c r="F2070" i="51"/>
  <c r="F2071" i="51"/>
  <c r="F2072" i="51"/>
  <c r="F2073" i="51"/>
  <c r="F2074" i="51"/>
  <c r="F2075" i="51"/>
  <c r="F2076" i="51"/>
  <c r="F2077" i="51"/>
  <c r="F2078" i="51"/>
  <c r="F2079" i="51"/>
  <c r="F2080" i="51"/>
  <c r="F2081" i="51"/>
  <c r="F2082" i="51"/>
  <c r="F2083" i="51"/>
  <c r="F2084" i="51"/>
  <c r="F2085" i="51"/>
  <c r="F2086" i="51"/>
  <c r="F2087" i="51"/>
  <c r="F2088" i="51"/>
  <c r="F2089" i="51"/>
  <c r="F2090" i="51"/>
  <c r="F2091" i="51"/>
  <c r="F2092" i="51"/>
  <c r="F2093" i="51"/>
  <c r="F2094" i="51"/>
  <c r="F2095" i="51"/>
  <c r="F2096" i="51"/>
  <c r="F2097" i="51"/>
  <c r="F2098" i="51"/>
  <c r="F2099" i="51"/>
  <c r="F2100" i="51"/>
  <c r="F2101" i="51"/>
  <c r="F2102" i="51"/>
  <c r="F2103" i="51"/>
  <c r="F2104" i="51"/>
  <c r="F2105" i="51"/>
  <c r="F2106" i="51"/>
  <c r="F2107" i="51"/>
  <c r="F2108" i="51"/>
  <c r="F2109" i="51"/>
  <c r="F2110" i="51"/>
  <c r="F2111" i="51"/>
  <c r="F2112" i="51"/>
  <c r="F2113" i="51"/>
  <c r="F2114" i="51"/>
  <c r="F2115" i="51"/>
  <c r="F2116" i="51"/>
  <c r="F2117" i="51"/>
  <c r="F2118" i="51"/>
  <c r="F2119" i="51"/>
  <c r="F2120" i="51"/>
  <c r="F2121" i="51"/>
  <c r="F2122" i="51"/>
  <c r="F2123" i="51"/>
  <c r="F2124" i="51"/>
  <c r="F2125" i="51"/>
  <c r="F2126" i="51"/>
  <c r="F2127" i="51"/>
  <c r="F2128" i="51"/>
  <c r="F2129" i="51"/>
  <c r="F2130" i="51"/>
  <c r="F2131" i="51"/>
  <c r="F2132" i="51"/>
  <c r="F2133" i="51"/>
  <c r="F2134" i="51"/>
  <c r="F2135" i="51"/>
  <c r="F2136" i="51"/>
  <c r="F2137" i="51"/>
  <c r="F2138" i="51"/>
  <c r="F2139" i="51"/>
  <c r="F2140" i="51"/>
  <c r="F2141" i="51"/>
  <c r="F2142" i="51"/>
  <c r="F2143" i="51"/>
  <c r="F2144" i="51"/>
  <c r="F2145" i="51"/>
  <c r="F2146" i="51"/>
  <c r="F2147" i="51"/>
  <c r="F2148" i="51"/>
  <c r="F2149" i="51"/>
  <c r="F2150" i="51"/>
  <c r="F2151" i="51"/>
  <c r="F2152" i="51"/>
  <c r="F2153" i="51"/>
  <c r="F2154" i="51"/>
  <c r="F2155" i="51"/>
  <c r="F2156" i="51"/>
  <c r="F2157" i="51"/>
  <c r="F2158" i="51"/>
  <c r="F2159" i="51"/>
  <c r="F2160" i="51"/>
  <c r="F2161" i="51"/>
  <c r="F2162" i="51"/>
  <c r="F2163" i="51"/>
  <c r="F2164" i="51"/>
  <c r="F2165" i="51"/>
  <c r="F2166" i="51"/>
  <c r="F2167" i="51"/>
  <c r="F2168" i="51"/>
  <c r="F2169" i="51"/>
  <c r="F2170" i="51"/>
  <c r="F2171" i="51"/>
  <c r="F2172" i="51"/>
  <c r="F2173" i="51"/>
  <c r="F2174" i="51"/>
  <c r="F2175" i="51"/>
  <c r="F2176" i="51"/>
  <c r="F2177" i="51"/>
  <c r="F2178" i="51"/>
  <c r="F2179" i="51"/>
  <c r="F2180" i="51"/>
  <c r="F2181" i="51"/>
  <c r="F2182" i="51"/>
  <c r="F2183" i="51"/>
  <c r="F2184" i="51"/>
  <c r="F2185" i="51"/>
  <c r="F2186" i="51"/>
  <c r="F2187" i="51"/>
  <c r="F2188" i="51"/>
  <c r="F2189" i="51"/>
  <c r="F2190" i="51"/>
  <c r="F2191" i="51"/>
  <c r="F2192" i="51"/>
  <c r="F2193" i="51"/>
  <c r="F2194" i="51"/>
  <c r="F2195" i="51"/>
  <c r="F2196" i="51"/>
  <c r="F2197" i="51"/>
  <c r="F2198" i="51"/>
  <c r="F2199" i="51"/>
  <c r="F2200" i="51"/>
  <c r="F2201" i="51"/>
  <c r="F2202" i="51"/>
  <c r="F2203" i="51"/>
  <c r="F2204" i="51"/>
  <c r="F2205" i="51"/>
  <c r="F2206" i="51"/>
  <c r="F2207" i="51"/>
  <c r="F2208" i="51"/>
  <c r="F2209" i="51"/>
  <c r="F2210" i="51"/>
  <c r="F2211" i="51"/>
  <c r="F2212" i="51"/>
  <c r="F2213" i="51"/>
  <c r="F2214" i="51"/>
  <c r="F2215" i="51"/>
  <c r="F2216" i="51"/>
  <c r="F2217" i="51"/>
  <c r="F2218" i="51"/>
  <c r="F2219" i="51"/>
  <c r="F2220" i="51"/>
  <c r="F2221" i="51"/>
  <c r="F2222" i="51"/>
  <c r="F2223" i="51"/>
  <c r="F2224" i="51"/>
  <c r="F2225" i="51"/>
  <c r="F2226" i="51"/>
  <c r="F2227" i="51"/>
  <c r="F2228" i="51"/>
  <c r="F2229" i="51"/>
  <c r="F2230" i="51"/>
  <c r="F2231" i="51"/>
  <c r="F2232" i="51"/>
  <c r="F2233" i="51"/>
  <c r="F2234" i="51"/>
  <c r="F2235" i="51"/>
  <c r="F2236" i="51"/>
  <c r="F2237" i="51"/>
  <c r="F2238" i="51"/>
  <c r="F2239" i="51"/>
  <c r="F2240" i="51"/>
  <c r="F2241" i="51"/>
  <c r="F2242" i="51"/>
  <c r="F2243" i="51"/>
  <c r="F2244" i="51"/>
  <c r="F2245" i="51"/>
  <c r="F2246" i="51"/>
  <c r="F2247" i="51"/>
  <c r="F2248" i="51"/>
  <c r="F2249" i="51"/>
  <c r="F2250" i="51"/>
  <c r="F2251" i="51"/>
  <c r="F2252" i="51"/>
  <c r="F2253" i="51"/>
  <c r="F2254" i="51"/>
  <c r="F2255" i="51"/>
  <c r="F2256" i="51"/>
  <c r="F2257" i="51"/>
  <c r="F2258" i="51"/>
  <c r="F2259" i="51"/>
  <c r="F2260" i="51"/>
  <c r="F2261" i="51"/>
  <c r="F2262" i="51"/>
  <c r="F2263" i="51"/>
  <c r="F2264" i="51"/>
  <c r="F2265" i="51"/>
  <c r="F2266" i="51"/>
  <c r="F2267" i="51"/>
  <c r="F2268" i="51"/>
  <c r="F2269" i="51"/>
  <c r="F2270" i="51"/>
  <c r="F2271" i="51"/>
  <c r="F2272" i="51"/>
  <c r="F2273" i="51"/>
  <c r="F2274" i="51"/>
  <c r="F2275" i="51"/>
  <c r="F2276" i="51"/>
  <c r="F2277" i="51"/>
  <c r="F2278" i="51"/>
  <c r="F2279" i="51"/>
  <c r="F2280" i="51"/>
  <c r="F2281" i="51"/>
  <c r="F2282" i="51"/>
  <c r="F2283" i="51"/>
  <c r="F2284" i="51"/>
  <c r="F2285" i="51"/>
  <c r="F2286" i="51"/>
  <c r="F2287" i="51"/>
  <c r="F2288" i="51"/>
  <c r="F2289" i="51"/>
  <c r="F2290" i="51"/>
  <c r="F2291" i="51"/>
  <c r="F2292" i="51"/>
  <c r="F2293" i="51"/>
  <c r="F2294" i="51"/>
  <c r="F2295" i="51"/>
  <c r="F2296" i="51"/>
  <c r="F2297" i="51"/>
  <c r="F2298" i="51"/>
  <c r="F2299" i="51"/>
  <c r="F2300" i="51"/>
  <c r="F2301" i="51"/>
  <c r="F2302" i="51"/>
  <c r="F2303" i="51"/>
  <c r="F2304" i="51"/>
  <c r="F2305" i="51"/>
  <c r="F2306" i="51"/>
  <c r="F2307" i="51"/>
  <c r="F2308" i="51"/>
  <c r="F2309" i="51"/>
  <c r="F2310" i="51"/>
  <c r="F2311" i="51"/>
  <c r="F2312" i="51"/>
  <c r="F2313" i="51"/>
  <c r="F2314" i="51"/>
  <c r="F2315" i="51"/>
  <c r="F2316" i="51"/>
  <c r="F2317" i="51"/>
  <c r="F2318" i="51"/>
  <c r="F2319" i="51"/>
  <c r="F2320" i="51"/>
  <c r="F2321" i="51"/>
  <c r="F2322" i="51"/>
  <c r="F2323" i="51"/>
  <c r="F2324" i="51"/>
  <c r="F2325" i="51"/>
  <c r="F2326" i="51"/>
  <c r="F2327" i="51"/>
  <c r="F2328" i="51"/>
  <c r="F2329" i="51"/>
  <c r="F2330" i="51"/>
  <c r="F2331" i="51"/>
  <c r="F2332" i="51"/>
  <c r="F2333" i="51"/>
  <c r="F2334" i="51"/>
  <c r="F2335" i="51"/>
  <c r="F2336" i="51"/>
  <c r="F2337" i="51"/>
  <c r="F2338" i="51"/>
  <c r="F2339" i="51"/>
  <c r="F2340" i="51"/>
  <c r="F2341" i="51"/>
  <c r="F2342" i="51"/>
  <c r="F2343" i="51"/>
  <c r="F2344" i="51"/>
  <c r="F2345" i="51"/>
  <c r="F2346" i="51"/>
  <c r="F2347" i="51"/>
  <c r="F2348" i="51"/>
  <c r="F2349" i="51"/>
  <c r="F2350" i="51"/>
  <c r="F2351" i="51"/>
  <c r="F2352" i="51"/>
  <c r="F2353" i="51"/>
  <c r="F2354" i="51"/>
  <c r="F2355" i="51"/>
  <c r="F2356" i="51"/>
  <c r="F2357" i="51"/>
  <c r="F2358" i="51"/>
  <c r="F2359" i="51"/>
  <c r="F2360" i="51"/>
  <c r="F2361" i="51"/>
  <c r="F2362" i="51"/>
  <c r="F2363" i="51"/>
  <c r="F2364" i="51"/>
  <c r="F2365" i="51"/>
  <c r="F2366" i="51"/>
  <c r="F2367" i="51"/>
  <c r="F2368" i="51"/>
  <c r="F2369" i="51"/>
  <c r="F2370" i="51"/>
  <c r="F2371" i="51"/>
  <c r="F2372" i="51"/>
  <c r="F2373" i="51"/>
  <c r="F2374" i="51"/>
  <c r="F2375" i="51"/>
  <c r="F2376" i="51"/>
  <c r="F2377" i="51"/>
  <c r="F2378" i="51"/>
  <c r="F2379" i="51"/>
  <c r="F2380" i="51"/>
  <c r="F2381" i="51"/>
  <c r="F2382" i="51"/>
  <c r="F2383" i="51"/>
  <c r="F2384" i="51"/>
  <c r="F2385" i="51"/>
  <c r="F2386" i="51"/>
  <c r="F2387" i="51"/>
  <c r="F2388" i="51"/>
  <c r="F2389" i="51"/>
  <c r="F2390" i="51"/>
  <c r="F2391" i="51"/>
  <c r="F2392" i="51"/>
  <c r="F2393" i="51"/>
  <c r="F2394" i="51"/>
  <c r="F2395" i="51"/>
  <c r="F2396" i="51"/>
  <c r="F2397" i="51"/>
  <c r="F2398" i="51"/>
  <c r="F2399" i="51"/>
  <c r="F2400" i="51"/>
  <c r="F2401" i="51"/>
  <c r="F2402" i="51"/>
  <c r="F2403" i="51"/>
  <c r="F2404" i="51"/>
  <c r="F2405" i="51"/>
  <c r="F2406" i="51"/>
  <c r="F2407" i="51"/>
  <c r="F2408" i="51"/>
  <c r="F2409" i="51"/>
  <c r="F2410" i="51"/>
  <c r="F2411" i="51"/>
  <c r="F2412" i="51"/>
  <c r="F2413" i="51"/>
  <c r="F2414" i="51"/>
  <c r="F2415" i="51"/>
  <c r="F2416" i="51"/>
  <c r="F2417" i="51"/>
  <c r="F2418" i="51"/>
  <c r="F2419" i="51"/>
  <c r="F2420" i="51"/>
  <c r="F2421" i="51"/>
  <c r="F2422" i="51"/>
  <c r="F2423" i="51"/>
  <c r="F2424" i="51"/>
  <c r="F2425" i="51"/>
  <c r="F2426" i="51"/>
  <c r="F2427" i="51"/>
  <c r="F2428" i="51"/>
  <c r="F2429" i="51"/>
  <c r="F2430" i="51"/>
  <c r="F2431" i="51"/>
  <c r="F2432" i="51"/>
  <c r="F2433" i="51"/>
  <c r="F2434" i="51"/>
  <c r="F2435" i="51"/>
  <c r="F2436" i="51"/>
  <c r="F2437" i="51"/>
  <c r="F2438" i="51"/>
  <c r="F2439" i="51"/>
  <c r="F2440" i="51"/>
  <c r="F2441" i="51"/>
  <c r="F2442" i="51"/>
  <c r="F2443" i="51"/>
  <c r="F2444" i="51"/>
  <c r="F2445" i="51"/>
  <c r="F2446" i="51"/>
  <c r="F2447" i="51"/>
  <c r="F2448" i="51"/>
  <c r="F2449" i="51"/>
  <c r="F2450" i="51"/>
  <c r="F2451" i="51"/>
  <c r="F2452" i="51"/>
  <c r="F2453" i="51"/>
  <c r="F2454" i="51"/>
  <c r="F2455" i="51"/>
  <c r="F2456" i="51"/>
  <c r="F2457" i="51"/>
  <c r="F2458" i="51"/>
  <c r="F2459" i="51"/>
  <c r="F2460" i="51"/>
  <c r="F2461" i="51"/>
  <c r="F2462" i="51"/>
  <c r="F2463" i="51"/>
  <c r="F2464" i="51"/>
  <c r="F2465" i="51"/>
  <c r="F2466" i="51"/>
  <c r="F2467" i="51"/>
  <c r="F2468" i="51"/>
  <c r="F2469" i="51"/>
  <c r="F2470" i="51"/>
  <c r="F2471" i="51"/>
  <c r="F2472" i="51"/>
  <c r="F2473" i="51"/>
  <c r="F2474" i="51"/>
  <c r="F2475" i="51"/>
  <c r="F2476" i="51"/>
  <c r="F2477" i="51"/>
  <c r="F2478" i="51"/>
  <c r="F2479" i="51"/>
  <c r="F2480" i="51"/>
  <c r="F2481" i="51"/>
  <c r="F2482" i="51"/>
  <c r="F2483" i="51"/>
  <c r="F2484" i="51"/>
  <c r="F2485" i="51"/>
  <c r="F2486" i="51"/>
  <c r="F2487" i="51"/>
  <c r="F2488" i="51"/>
  <c r="F2489" i="51"/>
  <c r="F2490" i="51"/>
  <c r="F2491" i="51"/>
  <c r="F2492" i="51"/>
  <c r="F2493" i="51"/>
  <c r="F2494" i="51"/>
  <c r="F2495" i="51"/>
  <c r="F2496" i="51"/>
  <c r="F2497" i="51"/>
  <c r="F2498" i="51"/>
  <c r="F2499" i="51"/>
  <c r="F2500" i="51"/>
  <c r="F2501" i="51"/>
  <c r="F2502" i="51"/>
  <c r="F2503" i="51"/>
  <c r="F2504" i="51"/>
  <c r="F2505" i="51"/>
  <c r="F2506" i="51"/>
  <c r="F2507" i="51"/>
  <c r="F2508" i="51"/>
  <c r="F2509" i="51"/>
  <c r="F2510" i="51"/>
  <c r="F2511" i="51"/>
  <c r="F2512" i="51"/>
  <c r="F2513" i="51"/>
  <c r="F2514" i="51"/>
  <c r="F2515" i="51"/>
  <c r="F2516" i="51"/>
  <c r="F2517" i="51"/>
  <c r="F2518" i="51"/>
  <c r="F2519" i="51"/>
  <c r="F2520" i="51"/>
  <c r="F2521" i="51"/>
  <c r="F2522" i="51"/>
  <c r="F2523" i="51"/>
  <c r="F2524" i="51"/>
  <c r="F2525" i="51"/>
  <c r="F2526" i="51"/>
  <c r="F2527" i="51"/>
  <c r="F2528" i="51"/>
  <c r="F2529" i="51"/>
  <c r="F2530" i="51"/>
  <c r="F2531" i="51"/>
  <c r="F2532" i="51"/>
  <c r="F2533" i="51"/>
  <c r="F2534" i="51"/>
  <c r="F2535" i="51"/>
  <c r="F2536" i="51"/>
  <c r="F2537" i="51"/>
  <c r="F2538" i="51"/>
  <c r="F2539" i="51"/>
  <c r="F2540" i="51"/>
  <c r="F2541" i="51"/>
  <c r="F2542" i="51"/>
  <c r="F2543" i="51"/>
  <c r="F2544" i="51"/>
  <c r="F2545" i="51"/>
  <c r="F2546" i="51"/>
  <c r="F2547" i="51"/>
  <c r="F2548" i="51"/>
  <c r="F2549" i="51"/>
  <c r="F2550" i="51"/>
  <c r="F2551" i="51"/>
  <c r="F2552" i="51"/>
  <c r="F2553" i="51"/>
  <c r="F2554" i="51"/>
  <c r="F2555" i="51"/>
  <c r="F2556" i="51"/>
  <c r="F2557" i="51"/>
  <c r="F2558" i="51"/>
  <c r="F2559" i="51"/>
  <c r="F2560" i="51"/>
  <c r="F2561" i="51"/>
  <c r="F2562" i="51"/>
  <c r="F2563" i="51"/>
  <c r="F2564" i="51"/>
  <c r="F2565" i="51"/>
  <c r="F2566" i="51"/>
  <c r="F2567" i="51"/>
  <c r="F2568" i="51"/>
  <c r="F2569" i="51"/>
  <c r="F2570" i="51"/>
  <c r="F2571" i="51"/>
  <c r="F2572" i="51"/>
  <c r="F2573" i="51"/>
  <c r="F2574" i="51"/>
  <c r="F2575" i="51"/>
  <c r="F2576" i="51"/>
  <c r="F2577" i="51"/>
  <c r="F2578" i="51"/>
  <c r="F2579" i="51"/>
  <c r="F2580" i="51"/>
  <c r="F2581" i="51"/>
  <c r="F2582" i="51"/>
  <c r="F2583" i="51"/>
  <c r="F2584" i="51"/>
  <c r="F2585" i="51"/>
  <c r="F2586" i="51"/>
  <c r="F2587" i="51"/>
  <c r="F2588" i="51"/>
  <c r="F2589" i="51"/>
  <c r="F2590" i="51"/>
  <c r="F2591" i="51"/>
  <c r="F2592" i="51"/>
  <c r="F2593" i="51"/>
  <c r="F2594" i="51"/>
  <c r="F2595" i="51"/>
  <c r="F2596" i="51"/>
  <c r="F2597" i="51"/>
  <c r="F2598" i="51"/>
  <c r="F2599" i="51"/>
  <c r="F2600" i="51"/>
  <c r="F2601" i="51"/>
  <c r="F2602" i="51"/>
  <c r="F2603" i="51"/>
  <c r="F2604" i="51"/>
  <c r="F2605" i="51"/>
  <c r="F2606" i="51"/>
  <c r="F2607" i="51"/>
  <c r="F2608" i="51"/>
  <c r="F2609" i="51"/>
  <c r="F2610" i="51"/>
  <c r="F2611" i="51"/>
  <c r="F2612" i="51"/>
  <c r="F2613" i="51"/>
  <c r="F2614" i="51"/>
  <c r="F2615" i="51"/>
  <c r="F2616" i="51"/>
  <c r="F2617" i="51"/>
  <c r="F2618" i="51"/>
  <c r="F2619" i="51"/>
  <c r="F2620" i="51"/>
  <c r="F2621" i="51"/>
  <c r="F2622" i="51"/>
  <c r="F2623" i="51"/>
  <c r="F2624" i="51"/>
  <c r="F2625" i="51"/>
  <c r="F2626" i="51"/>
  <c r="F2627" i="51"/>
  <c r="F2628" i="51"/>
  <c r="F2629" i="51"/>
  <c r="F2630" i="51"/>
  <c r="F2631" i="51"/>
  <c r="F2632" i="51"/>
  <c r="F2633" i="51"/>
  <c r="F2634" i="51"/>
  <c r="F2635" i="51"/>
  <c r="F2636" i="51"/>
  <c r="F2637" i="51"/>
  <c r="F2638" i="51"/>
  <c r="F2639" i="51"/>
  <c r="F2640" i="51"/>
  <c r="F2641" i="51"/>
  <c r="F2642" i="51"/>
  <c r="F2643" i="51"/>
  <c r="F2644" i="51"/>
  <c r="F2645" i="51"/>
  <c r="F2646" i="51"/>
  <c r="F2647" i="51"/>
  <c r="F2648" i="51"/>
  <c r="F2649" i="51"/>
  <c r="F2650" i="51"/>
  <c r="F2651" i="51"/>
  <c r="F2652" i="51"/>
  <c r="F2653" i="51"/>
  <c r="F2654" i="51"/>
  <c r="F2655" i="51"/>
  <c r="F2656" i="51"/>
  <c r="F2657" i="51"/>
  <c r="F2658" i="51"/>
  <c r="F2659" i="51"/>
  <c r="F2660" i="51"/>
  <c r="F2661" i="51"/>
  <c r="F2662" i="51"/>
  <c r="F2663" i="51"/>
  <c r="F2664" i="51"/>
  <c r="F2665" i="51"/>
  <c r="F2666" i="51"/>
  <c r="F2667" i="51"/>
  <c r="F2668" i="51"/>
  <c r="F2669" i="51"/>
  <c r="F2670" i="51"/>
  <c r="F2671" i="51"/>
  <c r="F2672" i="51"/>
  <c r="F2673" i="51"/>
  <c r="F2674" i="51"/>
  <c r="F2675" i="51"/>
  <c r="F2676" i="51"/>
  <c r="F2677" i="51"/>
  <c r="F2678" i="51"/>
  <c r="F2679" i="51"/>
  <c r="F2680" i="51"/>
  <c r="F2681" i="51"/>
  <c r="F2682" i="51"/>
  <c r="F2683" i="51"/>
  <c r="F2684" i="51"/>
  <c r="F2685" i="51"/>
  <c r="F2686" i="51"/>
  <c r="F2687" i="51"/>
  <c r="F2688" i="51"/>
  <c r="F2689" i="51"/>
  <c r="F2690" i="51"/>
  <c r="F2691" i="51"/>
  <c r="F2692" i="51"/>
  <c r="F2693" i="51"/>
  <c r="F2694" i="51"/>
  <c r="F2695" i="51"/>
  <c r="F2696" i="51"/>
  <c r="F2697" i="51"/>
  <c r="F2698" i="51"/>
  <c r="F2699" i="51"/>
  <c r="F2700" i="51"/>
  <c r="F2701" i="51"/>
  <c r="F2702" i="51"/>
  <c r="F2703" i="51"/>
  <c r="F2704" i="51"/>
  <c r="F2705" i="51"/>
  <c r="F2706" i="51"/>
  <c r="F2707" i="51"/>
  <c r="F2708" i="51"/>
  <c r="F2709" i="51"/>
  <c r="F2710" i="51"/>
  <c r="F2711" i="51"/>
  <c r="F2712" i="51"/>
  <c r="F2713" i="51"/>
  <c r="F2714" i="51"/>
  <c r="F2715" i="51"/>
  <c r="F2716" i="51"/>
  <c r="F2717" i="51"/>
  <c r="F2718" i="51"/>
  <c r="F2719" i="51"/>
  <c r="F2720" i="51"/>
  <c r="F2721" i="51"/>
  <c r="F2722" i="51"/>
  <c r="F2723" i="51"/>
  <c r="F2724" i="51"/>
  <c r="F2725" i="51"/>
  <c r="F2726" i="51"/>
  <c r="F2727" i="51"/>
  <c r="F2728" i="51"/>
  <c r="F2729" i="51"/>
  <c r="F2730" i="51"/>
  <c r="F2731" i="51"/>
  <c r="F2732" i="51"/>
  <c r="F2733" i="51"/>
  <c r="F2734" i="51"/>
  <c r="F2735" i="51"/>
  <c r="F2736" i="51"/>
  <c r="F2737" i="51"/>
  <c r="F2738" i="51"/>
  <c r="F2739" i="51"/>
  <c r="F2740" i="51"/>
  <c r="F2741" i="51"/>
  <c r="F2742" i="51"/>
  <c r="F2743" i="51"/>
  <c r="F2744" i="51"/>
  <c r="F2745" i="51"/>
  <c r="F2746" i="51"/>
  <c r="F2747" i="51"/>
  <c r="F2748" i="51"/>
  <c r="F2749" i="51"/>
  <c r="F2750" i="51"/>
  <c r="F2751" i="51"/>
  <c r="F2752" i="51"/>
  <c r="F2753" i="51"/>
  <c r="F2754" i="51"/>
  <c r="F2755" i="51"/>
  <c r="F2756" i="51"/>
  <c r="F2757" i="51"/>
  <c r="F2758" i="51"/>
  <c r="F2759" i="51"/>
  <c r="F2760" i="51"/>
  <c r="F2761" i="51"/>
  <c r="F2762" i="51"/>
  <c r="F2763" i="51"/>
  <c r="F2764" i="51"/>
  <c r="F2765" i="51"/>
  <c r="F2766" i="51"/>
  <c r="F2767" i="51"/>
  <c r="F2768" i="51"/>
  <c r="F2769" i="51"/>
  <c r="F2770" i="51"/>
  <c r="F2771" i="51"/>
  <c r="F2772" i="51"/>
  <c r="F2773" i="51"/>
  <c r="F2774" i="51"/>
  <c r="F2775" i="51"/>
  <c r="F2776" i="51"/>
  <c r="F2777" i="51"/>
  <c r="F2778" i="51"/>
  <c r="F2779" i="51"/>
  <c r="F2780" i="51"/>
  <c r="F2781" i="51"/>
  <c r="F2782" i="51"/>
  <c r="F2783" i="51"/>
  <c r="F2784" i="51"/>
  <c r="F2785" i="51"/>
  <c r="F2786" i="51"/>
  <c r="F2787" i="51"/>
  <c r="F2788" i="51"/>
  <c r="F2789" i="51"/>
  <c r="F2790" i="51"/>
  <c r="F2791" i="51"/>
  <c r="F2792" i="51"/>
  <c r="F2793" i="51"/>
  <c r="F2794" i="51"/>
  <c r="F2795" i="51"/>
  <c r="F2796" i="51"/>
  <c r="F2797" i="51"/>
  <c r="F2798" i="51"/>
  <c r="F2799" i="51"/>
  <c r="F2800" i="51"/>
  <c r="F2801" i="51"/>
  <c r="F2802" i="51"/>
  <c r="F2803" i="51"/>
  <c r="F2804" i="51"/>
  <c r="F2805" i="51"/>
  <c r="F2806" i="51"/>
  <c r="F2807" i="51"/>
  <c r="F2808" i="51"/>
  <c r="F2809" i="51"/>
  <c r="F2810" i="51"/>
  <c r="F2811" i="51"/>
  <c r="F2812" i="51"/>
  <c r="F2813" i="51"/>
  <c r="F2814" i="51"/>
  <c r="F2815" i="51"/>
  <c r="F2816" i="51"/>
  <c r="F2817" i="51"/>
  <c r="F2818" i="51"/>
  <c r="F2819" i="51"/>
  <c r="F2820" i="51"/>
  <c r="F2821" i="51"/>
  <c r="F2822" i="51"/>
  <c r="F2823" i="51"/>
  <c r="F2824" i="51"/>
  <c r="F2825" i="51"/>
  <c r="F2826" i="51"/>
  <c r="F2827" i="51"/>
  <c r="F2828" i="51"/>
  <c r="F2829" i="51"/>
  <c r="F2830" i="51"/>
  <c r="F2831" i="51"/>
  <c r="F2832" i="51"/>
  <c r="F2833" i="51"/>
  <c r="F2834" i="51"/>
  <c r="F2835" i="51"/>
  <c r="F2836" i="51"/>
  <c r="F2837" i="51"/>
  <c r="F2838" i="51"/>
  <c r="F2839" i="51"/>
  <c r="F2840" i="51"/>
  <c r="F2841" i="51"/>
  <c r="F2842" i="51"/>
  <c r="F2843" i="51"/>
  <c r="F2844" i="51"/>
  <c r="F2845" i="51"/>
  <c r="F2846" i="51"/>
  <c r="F2847" i="51"/>
  <c r="F2848" i="51"/>
  <c r="F2849" i="51"/>
  <c r="F2850" i="51"/>
  <c r="F2851" i="51"/>
  <c r="F2852" i="51"/>
  <c r="F2853" i="51"/>
  <c r="F2854" i="51"/>
  <c r="F2855" i="51"/>
  <c r="F2856" i="51"/>
  <c r="F2857" i="51"/>
  <c r="F2858" i="51"/>
  <c r="F2859" i="51"/>
  <c r="F2860" i="51"/>
  <c r="F2861" i="51"/>
  <c r="F2862" i="51"/>
  <c r="F2863" i="51"/>
  <c r="F2864" i="51"/>
  <c r="F2865" i="51"/>
  <c r="F2866" i="51"/>
  <c r="F2867" i="51"/>
  <c r="F2868" i="51"/>
  <c r="F2869" i="51"/>
  <c r="F2870" i="51"/>
  <c r="F2871" i="51"/>
  <c r="F2872" i="51"/>
  <c r="F2873" i="51"/>
  <c r="F2874" i="51"/>
  <c r="F2875" i="51"/>
  <c r="F2876" i="51"/>
  <c r="F2877" i="51"/>
  <c r="F2878" i="51"/>
  <c r="F2879" i="51"/>
  <c r="F2880" i="51"/>
  <c r="F2881" i="51"/>
  <c r="F2882" i="51"/>
  <c r="F2883" i="51"/>
  <c r="F2884" i="51"/>
  <c r="F2885" i="51"/>
  <c r="F2886" i="51"/>
  <c r="F2887" i="51"/>
  <c r="F2888" i="51"/>
  <c r="F2889" i="51"/>
  <c r="F2890" i="51"/>
  <c r="F2891" i="51"/>
  <c r="F2892" i="51"/>
  <c r="F2893" i="51"/>
  <c r="F2894" i="51"/>
  <c r="F2895" i="51"/>
  <c r="F2896" i="51"/>
  <c r="F2897" i="51"/>
  <c r="F2898" i="51"/>
  <c r="F2899" i="51"/>
  <c r="F2900" i="51"/>
  <c r="F2901" i="51"/>
  <c r="F2902" i="51"/>
  <c r="F2903" i="51"/>
  <c r="F2904" i="51"/>
  <c r="F2905" i="51"/>
  <c r="F2906" i="51"/>
  <c r="F2907" i="51"/>
  <c r="F2908" i="51"/>
  <c r="F2909" i="51"/>
  <c r="F2910" i="51"/>
  <c r="F2911" i="51"/>
  <c r="F2912" i="51"/>
  <c r="F2913" i="51"/>
  <c r="F2914" i="51"/>
  <c r="F2915" i="51"/>
  <c r="F2916" i="51"/>
  <c r="F2917" i="51"/>
  <c r="F2918" i="51"/>
  <c r="F2919" i="51"/>
  <c r="F2920" i="51"/>
  <c r="F2921" i="51"/>
  <c r="F2922" i="51"/>
  <c r="F2923" i="51"/>
  <c r="F2924" i="51"/>
  <c r="F2925" i="51"/>
  <c r="F2926" i="51"/>
  <c r="F2927" i="51"/>
  <c r="F2928" i="51"/>
  <c r="F2929" i="51"/>
  <c r="F2930" i="51"/>
  <c r="F2931" i="51"/>
  <c r="F2932" i="51"/>
  <c r="F2933" i="51"/>
  <c r="F2934" i="51"/>
  <c r="F2935" i="51"/>
  <c r="F2936" i="51"/>
  <c r="F2937" i="51"/>
  <c r="F2938" i="51"/>
  <c r="F2939" i="51"/>
  <c r="F2940" i="51"/>
  <c r="F2941" i="51"/>
  <c r="F2942" i="51"/>
  <c r="F2943" i="51"/>
  <c r="F2944" i="51"/>
  <c r="F2945" i="51"/>
  <c r="F2946" i="51"/>
  <c r="F2947" i="51"/>
  <c r="F2948" i="51"/>
  <c r="F2949" i="51"/>
  <c r="F2950" i="51"/>
  <c r="F2951" i="51"/>
  <c r="F2952" i="51"/>
  <c r="F2953" i="51"/>
  <c r="F2954" i="51"/>
  <c r="F2955" i="51"/>
  <c r="F2956" i="51"/>
  <c r="F2957" i="51"/>
  <c r="F2958" i="51"/>
  <c r="F2959" i="51"/>
  <c r="F2960" i="51"/>
  <c r="F2961" i="51"/>
  <c r="F2962" i="51"/>
  <c r="F2963" i="51"/>
  <c r="F2964" i="51"/>
  <c r="F2965" i="51"/>
  <c r="F2966" i="51"/>
  <c r="F2967" i="51"/>
  <c r="F2968" i="51"/>
  <c r="F2969" i="51"/>
  <c r="F2970" i="51"/>
  <c r="F2971" i="51"/>
  <c r="F2972" i="51"/>
  <c r="F2973" i="51"/>
  <c r="F2974" i="51"/>
  <c r="F2975" i="51"/>
  <c r="F2976" i="51"/>
  <c r="F2977" i="51"/>
  <c r="F2978" i="51"/>
  <c r="F2979" i="51"/>
  <c r="F2980" i="51"/>
  <c r="F2981" i="51"/>
  <c r="F2982" i="51"/>
  <c r="F2983" i="51"/>
  <c r="F2984" i="51"/>
  <c r="F2985" i="51"/>
  <c r="F2986" i="51"/>
  <c r="F2987" i="51"/>
  <c r="F2988" i="51"/>
  <c r="F2989" i="51"/>
  <c r="F2990" i="51"/>
  <c r="F2991" i="51"/>
  <c r="F2992" i="51"/>
  <c r="F2993" i="51"/>
  <c r="F2994" i="51"/>
  <c r="F2995" i="51"/>
  <c r="F2996" i="51"/>
  <c r="F2997" i="51"/>
  <c r="F2998" i="51"/>
  <c r="F2999" i="51"/>
  <c r="F3000" i="51"/>
  <c r="F3001" i="51"/>
  <c r="F3002" i="51"/>
  <c r="F3003" i="51"/>
  <c r="F3004" i="51"/>
  <c r="F3005" i="51"/>
  <c r="F3006" i="51"/>
  <c r="F3007" i="51"/>
  <c r="F3008" i="51"/>
  <c r="F3009" i="51"/>
  <c r="F3010" i="51"/>
  <c r="F3011" i="51"/>
  <c r="F3012" i="51"/>
  <c r="F3013" i="51"/>
  <c r="F3014" i="51"/>
  <c r="F3015" i="51"/>
  <c r="F3016" i="51"/>
  <c r="F3017" i="51"/>
  <c r="F3018" i="51"/>
  <c r="F3019" i="51"/>
  <c r="F3020" i="51"/>
  <c r="F3021" i="51"/>
  <c r="F3022" i="51"/>
  <c r="F3023" i="51"/>
  <c r="F3024" i="51"/>
  <c r="F3025" i="51"/>
  <c r="F3026" i="51"/>
  <c r="F3027" i="51"/>
  <c r="F3028" i="51"/>
  <c r="F3029" i="51"/>
  <c r="F3030" i="51"/>
  <c r="F3031" i="51"/>
  <c r="F3032" i="51"/>
  <c r="F3033" i="51"/>
  <c r="F3034" i="51"/>
  <c r="F3035" i="51"/>
  <c r="F3036" i="51"/>
  <c r="F3037" i="51"/>
  <c r="F3038" i="51"/>
  <c r="F3039" i="51"/>
  <c r="F3040" i="51"/>
  <c r="F3041" i="51"/>
  <c r="F3042" i="51"/>
  <c r="F3043" i="51"/>
  <c r="F3044" i="51"/>
  <c r="F3045" i="51"/>
  <c r="F3046" i="51"/>
  <c r="F3047" i="51"/>
  <c r="F3048" i="51"/>
  <c r="F3049" i="51"/>
  <c r="F3050" i="51"/>
  <c r="F3051" i="51"/>
  <c r="F3052" i="51"/>
  <c r="F3053" i="51"/>
  <c r="F3054" i="51"/>
  <c r="F3055" i="51"/>
  <c r="F3056" i="51"/>
  <c r="F3057" i="51"/>
  <c r="F3058" i="51"/>
  <c r="F3059" i="51"/>
  <c r="F3060" i="51"/>
  <c r="F3061" i="51"/>
  <c r="F3062" i="51"/>
  <c r="F3063" i="51"/>
  <c r="F3064" i="51"/>
  <c r="F3065" i="51"/>
  <c r="F3066" i="51"/>
  <c r="F3067" i="51"/>
  <c r="F3068" i="51"/>
  <c r="F3069" i="51"/>
  <c r="F3070" i="51"/>
  <c r="F3071" i="51"/>
  <c r="F3072" i="51"/>
  <c r="F3073" i="51"/>
  <c r="F3074" i="51"/>
  <c r="F3075" i="51"/>
  <c r="F3076" i="51"/>
  <c r="F3077" i="51"/>
  <c r="F3078" i="51"/>
  <c r="F3079" i="51"/>
  <c r="F3080" i="51"/>
  <c r="F3081" i="51"/>
  <c r="F3082" i="51"/>
  <c r="F3083" i="51"/>
  <c r="F3084" i="51"/>
  <c r="F3085" i="51"/>
  <c r="F3086" i="51"/>
  <c r="F3087" i="51"/>
  <c r="F3088" i="51"/>
  <c r="F3089" i="51"/>
  <c r="F3090" i="51"/>
  <c r="F3091" i="51"/>
  <c r="F3092" i="51"/>
  <c r="F3093" i="51"/>
  <c r="F3094" i="51"/>
  <c r="F3095" i="51"/>
  <c r="F3096" i="51"/>
  <c r="F3097" i="51"/>
  <c r="F3098" i="51"/>
  <c r="F3099" i="51"/>
  <c r="F3100" i="51"/>
  <c r="F3101" i="51"/>
  <c r="F3102" i="51"/>
  <c r="F3103" i="51"/>
  <c r="F3104" i="51"/>
  <c r="F3105" i="51"/>
  <c r="F3106" i="51"/>
  <c r="F3107" i="51"/>
  <c r="F3108" i="51"/>
  <c r="F3109" i="51"/>
  <c r="F3110" i="51"/>
  <c r="F3111" i="51"/>
  <c r="F3112" i="51"/>
  <c r="F3113" i="51"/>
  <c r="F3114" i="51"/>
  <c r="F3115" i="51"/>
  <c r="F3116" i="51"/>
  <c r="F3117" i="51"/>
  <c r="F3118" i="51"/>
  <c r="F3119" i="51"/>
  <c r="F3120" i="51"/>
  <c r="F3121" i="51"/>
  <c r="F3122" i="51"/>
  <c r="F3123" i="51"/>
  <c r="F3124" i="51"/>
  <c r="F3125" i="51"/>
  <c r="F3126" i="51"/>
  <c r="F3127" i="51"/>
  <c r="F3128" i="51"/>
  <c r="F3129" i="51"/>
  <c r="F3130" i="51"/>
  <c r="F3131" i="51"/>
  <c r="F3132" i="51"/>
  <c r="F3133" i="51"/>
  <c r="F3134" i="51"/>
  <c r="F3135" i="51"/>
  <c r="F3136" i="51"/>
  <c r="F3137" i="51"/>
  <c r="F3138" i="51"/>
  <c r="F3139" i="51"/>
  <c r="F3140" i="51"/>
  <c r="F3141" i="51"/>
  <c r="F3142" i="51"/>
  <c r="F3143" i="51"/>
  <c r="F3144" i="51"/>
  <c r="F3145" i="51"/>
  <c r="F3146" i="51"/>
  <c r="F3147" i="51"/>
  <c r="F3148" i="51"/>
  <c r="F3149" i="51"/>
  <c r="F3150" i="51"/>
  <c r="F3151" i="51"/>
  <c r="F3152" i="51"/>
  <c r="F3153" i="51"/>
  <c r="F3154" i="51"/>
  <c r="F3155" i="51"/>
  <c r="F3156" i="51"/>
  <c r="F3157" i="51"/>
  <c r="F3158" i="51"/>
  <c r="F3159" i="51"/>
  <c r="F3160" i="51"/>
  <c r="F3161" i="51"/>
  <c r="F3162" i="51"/>
  <c r="F3163" i="51"/>
  <c r="F3164" i="51"/>
  <c r="F3165" i="51"/>
  <c r="F3166" i="51"/>
  <c r="F3167" i="51"/>
  <c r="F3168" i="51"/>
  <c r="F3169" i="51"/>
  <c r="F3170" i="51"/>
  <c r="F3171" i="51"/>
  <c r="F3172" i="51"/>
  <c r="F3173" i="51"/>
  <c r="F3174" i="51"/>
  <c r="F3175" i="51"/>
  <c r="F3176" i="51"/>
  <c r="F3177" i="51"/>
  <c r="F3178" i="51"/>
  <c r="F3179" i="51"/>
  <c r="F3180" i="51"/>
  <c r="F3181" i="51"/>
  <c r="F3182" i="51"/>
  <c r="F3183" i="51"/>
  <c r="F3184" i="51"/>
  <c r="F3185" i="51"/>
  <c r="F3186" i="51"/>
  <c r="F3187" i="51"/>
  <c r="F3188" i="51"/>
  <c r="F3189" i="51"/>
  <c r="F3190" i="51"/>
  <c r="F3191" i="51"/>
  <c r="F3192" i="51"/>
  <c r="F3193" i="51"/>
  <c r="F3194" i="51"/>
  <c r="F3195" i="51"/>
  <c r="F3196" i="51"/>
  <c r="F3197" i="51"/>
  <c r="F3198" i="51"/>
  <c r="F3199" i="51"/>
  <c r="F3200" i="51"/>
  <c r="F3201" i="51"/>
  <c r="F3202" i="51"/>
  <c r="F3203" i="51"/>
  <c r="F3204" i="51"/>
  <c r="F3205" i="51"/>
  <c r="F3206" i="51"/>
  <c r="F3207" i="51"/>
  <c r="F3208" i="51"/>
  <c r="F3209" i="51"/>
  <c r="F3210" i="51"/>
  <c r="F3211" i="51"/>
  <c r="F3212" i="51"/>
  <c r="F3213" i="51"/>
  <c r="F3214" i="51"/>
  <c r="F3215" i="51"/>
  <c r="F3216" i="51"/>
  <c r="F3217" i="51"/>
  <c r="F3218" i="51"/>
  <c r="F3219" i="51"/>
  <c r="F3220" i="51"/>
  <c r="F3221" i="51"/>
  <c r="F3222" i="51"/>
  <c r="F3223" i="51"/>
  <c r="F3224" i="51"/>
  <c r="F3225" i="51"/>
  <c r="F3226" i="51"/>
  <c r="F3227" i="51"/>
  <c r="F3228" i="51"/>
  <c r="F3229" i="51"/>
  <c r="F3230" i="51"/>
  <c r="F3231" i="51"/>
  <c r="F3232" i="51"/>
  <c r="F3233" i="51"/>
  <c r="F3234" i="51"/>
  <c r="F3235" i="51"/>
  <c r="F3236" i="51"/>
  <c r="F3237" i="51"/>
  <c r="F3238" i="51"/>
  <c r="F3239" i="51"/>
  <c r="F3240" i="51"/>
  <c r="F3241" i="51"/>
  <c r="F3242" i="51"/>
  <c r="F3243" i="51"/>
  <c r="F3244" i="51"/>
  <c r="F3245" i="51"/>
  <c r="F3246" i="51"/>
  <c r="F3247" i="51"/>
  <c r="F3248" i="51"/>
  <c r="F3249" i="51"/>
  <c r="F3250" i="51"/>
  <c r="F3251" i="51"/>
  <c r="F3252" i="51"/>
  <c r="F3253" i="51"/>
  <c r="F3254" i="51"/>
  <c r="F3255" i="51"/>
  <c r="F3256" i="51"/>
  <c r="F3257" i="51"/>
  <c r="F3258" i="51"/>
  <c r="F3259" i="51"/>
  <c r="F3260" i="51"/>
  <c r="F3261" i="51"/>
  <c r="F3262" i="51"/>
  <c r="F3263" i="51"/>
  <c r="F3264" i="51"/>
  <c r="F3265" i="51"/>
  <c r="F3266" i="51"/>
  <c r="F3267" i="51"/>
  <c r="F3268" i="51"/>
  <c r="F3269" i="51"/>
  <c r="F3270" i="51"/>
  <c r="F3271" i="51"/>
  <c r="F3272" i="51"/>
  <c r="F3273" i="51"/>
  <c r="F3274" i="51"/>
  <c r="F3275" i="51"/>
  <c r="F3276" i="51"/>
  <c r="F3277" i="51"/>
  <c r="F3278" i="51"/>
  <c r="F3279" i="51"/>
  <c r="F3280" i="51"/>
  <c r="F3281" i="51"/>
  <c r="F3282" i="51"/>
  <c r="F3283" i="51"/>
  <c r="F3284" i="51"/>
  <c r="F3285" i="51"/>
  <c r="F3286" i="51"/>
  <c r="F3287" i="51"/>
  <c r="F3288" i="51"/>
  <c r="F3289" i="51"/>
  <c r="F3290" i="51"/>
  <c r="F3291" i="51"/>
  <c r="F3292" i="51"/>
  <c r="F3293" i="51"/>
  <c r="F3294" i="51"/>
  <c r="F3295" i="51"/>
  <c r="F3296" i="51"/>
  <c r="F3297" i="51"/>
  <c r="F3298" i="51"/>
  <c r="F3299" i="51"/>
  <c r="F3300" i="51"/>
  <c r="F3301" i="51"/>
  <c r="F3302" i="51"/>
  <c r="F3303" i="51"/>
  <c r="F3304" i="51"/>
  <c r="F3305" i="51"/>
  <c r="F3306" i="51"/>
  <c r="F3307" i="51"/>
  <c r="F3308" i="51"/>
  <c r="F3309" i="51"/>
  <c r="F3310" i="51"/>
  <c r="F3311" i="51"/>
  <c r="F3312" i="51"/>
  <c r="F3313" i="51"/>
  <c r="F3314" i="51"/>
  <c r="F3315" i="51"/>
  <c r="F3316" i="51"/>
  <c r="F3317" i="51"/>
  <c r="F3318" i="51"/>
  <c r="F3319" i="51"/>
  <c r="F3320" i="51"/>
  <c r="F3321" i="51"/>
  <c r="F3322" i="51"/>
  <c r="F3323" i="51"/>
  <c r="F3324" i="51"/>
  <c r="F3325" i="51"/>
  <c r="F3326" i="51"/>
  <c r="F3327" i="51"/>
  <c r="F3328" i="51"/>
  <c r="F3329" i="51"/>
  <c r="F3330" i="51"/>
  <c r="F3331" i="51"/>
  <c r="F3332" i="51"/>
  <c r="F3333" i="51"/>
  <c r="F3334" i="51"/>
  <c r="F3335" i="51"/>
  <c r="F3336" i="51"/>
  <c r="F3337" i="51"/>
  <c r="F3338" i="51"/>
  <c r="F3339" i="51"/>
  <c r="F3340" i="51"/>
  <c r="F3341" i="51"/>
  <c r="F3342" i="51"/>
  <c r="F3343" i="51"/>
  <c r="F3344" i="51"/>
  <c r="F3345" i="51"/>
  <c r="F3346" i="51"/>
  <c r="F3347" i="51"/>
  <c r="F3348" i="51"/>
  <c r="F3349" i="51"/>
  <c r="F3350" i="51"/>
  <c r="F3351" i="51"/>
  <c r="F3352" i="51"/>
  <c r="F3353" i="51"/>
  <c r="F3354" i="51"/>
  <c r="F3355" i="51"/>
  <c r="F3356" i="51"/>
  <c r="F3357" i="51"/>
  <c r="F3358" i="51"/>
  <c r="F3359" i="51"/>
  <c r="F3360" i="51"/>
  <c r="F3361" i="51"/>
  <c r="F3362" i="51"/>
  <c r="F3363" i="51"/>
  <c r="F3364" i="51"/>
  <c r="F3365" i="51"/>
  <c r="F3366" i="51"/>
  <c r="F3367" i="51"/>
  <c r="F3368" i="51"/>
  <c r="F3369" i="51"/>
  <c r="F3370" i="51"/>
  <c r="F3371" i="51"/>
  <c r="F3372" i="51"/>
  <c r="F3373" i="51"/>
  <c r="F3374" i="51"/>
  <c r="F3375" i="51"/>
  <c r="F3376" i="51"/>
  <c r="F3377" i="51"/>
  <c r="F3378" i="51"/>
  <c r="F3379" i="51"/>
  <c r="F3380" i="51"/>
  <c r="F3381" i="51"/>
  <c r="F3382" i="51"/>
  <c r="F3383" i="51"/>
  <c r="F3384" i="51"/>
  <c r="F3385" i="51"/>
  <c r="F3386" i="51"/>
  <c r="F3387" i="51"/>
  <c r="F3388" i="51"/>
  <c r="F3389" i="51"/>
  <c r="F3390" i="51"/>
  <c r="F3391" i="51"/>
  <c r="F3392" i="51"/>
  <c r="F3393" i="51"/>
  <c r="F3394" i="51"/>
  <c r="F3395" i="51"/>
  <c r="F3396" i="51"/>
  <c r="F3397" i="51"/>
  <c r="F3398" i="51"/>
  <c r="F3399" i="51"/>
  <c r="F3400" i="51"/>
  <c r="F3401" i="51"/>
  <c r="F3402" i="51"/>
  <c r="F3403" i="51"/>
  <c r="F3404" i="51"/>
  <c r="F3405" i="51"/>
  <c r="F3406" i="51"/>
  <c r="F3407" i="51"/>
  <c r="F3408" i="51"/>
  <c r="F3409" i="51"/>
  <c r="F3410" i="51"/>
  <c r="F3411" i="51"/>
  <c r="F3412" i="51"/>
  <c r="F3413" i="51"/>
  <c r="F3414" i="51"/>
  <c r="F3415" i="51"/>
  <c r="F3416" i="51"/>
  <c r="F3417" i="51"/>
  <c r="F3418" i="51"/>
  <c r="F3419" i="51"/>
  <c r="F3420" i="51"/>
  <c r="F3421" i="51"/>
  <c r="F3422" i="51"/>
  <c r="F3423" i="51"/>
  <c r="F3424" i="51"/>
  <c r="F3425" i="51"/>
  <c r="F3426" i="51"/>
  <c r="F3427" i="51"/>
  <c r="F3428" i="51"/>
  <c r="F3429" i="51"/>
  <c r="F3430" i="51"/>
  <c r="F3431" i="51"/>
  <c r="F3432" i="51"/>
  <c r="F3433" i="51"/>
  <c r="F3434" i="51"/>
  <c r="F3435" i="51"/>
  <c r="F3436" i="51"/>
  <c r="F3437" i="51"/>
  <c r="F3438" i="51"/>
  <c r="F3439" i="51"/>
  <c r="F3440" i="51"/>
  <c r="F3441" i="51"/>
  <c r="F3442" i="51"/>
  <c r="F3443" i="51"/>
  <c r="F3444" i="51"/>
  <c r="F3445" i="51"/>
  <c r="F3446" i="51"/>
  <c r="F3447" i="51"/>
  <c r="F3448" i="51"/>
  <c r="F3449" i="51"/>
  <c r="F3450" i="51"/>
  <c r="F3451" i="51"/>
  <c r="F3452" i="51"/>
  <c r="F3453" i="51"/>
  <c r="F3454" i="51"/>
  <c r="F3455" i="51"/>
  <c r="F3456" i="51"/>
  <c r="F3457" i="51"/>
  <c r="F3458" i="51"/>
  <c r="F3459" i="51"/>
  <c r="F3460" i="51"/>
  <c r="F3461" i="51"/>
  <c r="F3462" i="51"/>
  <c r="F3463" i="51"/>
  <c r="F3464" i="51"/>
  <c r="F3465" i="51"/>
  <c r="F3466" i="51"/>
  <c r="F3467" i="51"/>
  <c r="F3468" i="51"/>
  <c r="F3469" i="51"/>
  <c r="F3470" i="51"/>
  <c r="F3471" i="51"/>
  <c r="F3472" i="51"/>
  <c r="F3473" i="51"/>
  <c r="F3474" i="51"/>
  <c r="F3475" i="51"/>
  <c r="F3476" i="51"/>
  <c r="F3477" i="51"/>
  <c r="F3478" i="51"/>
  <c r="F3479" i="51"/>
  <c r="F3480" i="51"/>
  <c r="F3481" i="51"/>
  <c r="F3482" i="51"/>
  <c r="F3483" i="51"/>
  <c r="F3484" i="51"/>
  <c r="F3485" i="51"/>
  <c r="F3486" i="51"/>
  <c r="F3487" i="51"/>
  <c r="F3488" i="51"/>
  <c r="F3489" i="51"/>
  <c r="F3490" i="51"/>
  <c r="F3491" i="51"/>
  <c r="F3492" i="51"/>
  <c r="F3493" i="51"/>
  <c r="F3494" i="51"/>
  <c r="F3495" i="51"/>
  <c r="F3496" i="51"/>
  <c r="F3497" i="51"/>
  <c r="F3498" i="51"/>
  <c r="F3499" i="51"/>
  <c r="F3500" i="51"/>
  <c r="F3501" i="51"/>
  <c r="F3502" i="51"/>
  <c r="F3503" i="51"/>
  <c r="F3504" i="51"/>
  <c r="F3505" i="51"/>
  <c r="F3506" i="51"/>
  <c r="F3507" i="51"/>
  <c r="F3508" i="51"/>
  <c r="F3509" i="51"/>
  <c r="F3510" i="51"/>
  <c r="F3511" i="51"/>
  <c r="F3512" i="51"/>
  <c r="F3513" i="51"/>
  <c r="F3514" i="51"/>
  <c r="F3515" i="51"/>
  <c r="F3516" i="51"/>
  <c r="F3517" i="51"/>
  <c r="F3518" i="51"/>
  <c r="F3519" i="51"/>
  <c r="F3520" i="51"/>
  <c r="F3521" i="51"/>
  <c r="F3522" i="51"/>
  <c r="F3523" i="51"/>
  <c r="F3524" i="51"/>
  <c r="F3525" i="51"/>
  <c r="F3526" i="51"/>
  <c r="F3527" i="51"/>
  <c r="F3528" i="51"/>
  <c r="F3529" i="51"/>
  <c r="F3530" i="51"/>
  <c r="F3531" i="51"/>
  <c r="F3532" i="51"/>
  <c r="F3533" i="51"/>
  <c r="F3534" i="51"/>
  <c r="F3535" i="51"/>
  <c r="F3536" i="51"/>
  <c r="F3537" i="51"/>
  <c r="F3538" i="51"/>
  <c r="F3539" i="51"/>
  <c r="F3540" i="51"/>
  <c r="F3541" i="51"/>
  <c r="F3542" i="51"/>
  <c r="F3543" i="51"/>
  <c r="F3544" i="51"/>
  <c r="F3545" i="51"/>
  <c r="F3546" i="51"/>
  <c r="F3547" i="51"/>
  <c r="F3548" i="51"/>
  <c r="F3549" i="51"/>
  <c r="F3550" i="51"/>
  <c r="F3551" i="51"/>
  <c r="F3552" i="51"/>
  <c r="F3553" i="51"/>
  <c r="F3554" i="51"/>
  <c r="F3555" i="51"/>
  <c r="F3556" i="51"/>
  <c r="F3557" i="51"/>
  <c r="F3558" i="51"/>
  <c r="F3559" i="51"/>
  <c r="F3560" i="51"/>
  <c r="F3561" i="51"/>
  <c r="F3562" i="51"/>
  <c r="F3563" i="51"/>
  <c r="F3564" i="51"/>
  <c r="F3565" i="51"/>
  <c r="F3566" i="51"/>
  <c r="F3567" i="51"/>
  <c r="F3568" i="51"/>
  <c r="F3569" i="51"/>
  <c r="F3570" i="51"/>
  <c r="F3571" i="51"/>
  <c r="F3572" i="51"/>
  <c r="F3573" i="51"/>
  <c r="F3574" i="51"/>
  <c r="F3575" i="51"/>
  <c r="F3576" i="51"/>
  <c r="F3577" i="51"/>
  <c r="F3578" i="51"/>
  <c r="F3579" i="51"/>
  <c r="F3580" i="51"/>
  <c r="F3581" i="51"/>
  <c r="F3582" i="51"/>
  <c r="F3583" i="51"/>
  <c r="F3584" i="51"/>
  <c r="F3585" i="51"/>
  <c r="F3586" i="51"/>
  <c r="F3587" i="51"/>
  <c r="F3588" i="51"/>
  <c r="F3589" i="51"/>
  <c r="F3590" i="51"/>
  <c r="F3591" i="51"/>
  <c r="F3592" i="51"/>
  <c r="F3593" i="51"/>
  <c r="F3594" i="51"/>
  <c r="F3595" i="51"/>
  <c r="F3596" i="51"/>
  <c r="F3597" i="51"/>
  <c r="F3598" i="51"/>
  <c r="F3599" i="51"/>
  <c r="F3600" i="51"/>
  <c r="F3601" i="51"/>
  <c r="F3602" i="51"/>
  <c r="F3603" i="51"/>
  <c r="F3604" i="51"/>
  <c r="F3605" i="51"/>
  <c r="F3606" i="51"/>
  <c r="F3607" i="51"/>
  <c r="F3608" i="51"/>
  <c r="F3609" i="51"/>
  <c r="F3610" i="51"/>
  <c r="F3611" i="51"/>
  <c r="F3612" i="51"/>
  <c r="F3613" i="51"/>
  <c r="F3614" i="51"/>
  <c r="F3615" i="51"/>
  <c r="F3616" i="51"/>
  <c r="F3617" i="51"/>
  <c r="F3618" i="51"/>
  <c r="F3619" i="51"/>
  <c r="F3620" i="51"/>
  <c r="F3621" i="51"/>
  <c r="F3622" i="51"/>
  <c r="F3623" i="51"/>
  <c r="F3624" i="51"/>
  <c r="F3625" i="51"/>
  <c r="F3626" i="51"/>
  <c r="F3627" i="51"/>
  <c r="F3628" i="51"/>
  <c r="F3629" i="51"/>
  <c r="F3630" i="51"/>
  <c r="F3631" i="51"/>
  <c r="F3632" i="51"/>
  <c r="F3633" i="51"/>
  <c r="F3634" i="51"/>
  <c r="F3635" i="51"/>
  <c r="F3636" i="51"/>
  <c r="F3637" i="51"/>
  <c r="F3638" i="51"/>
  <c r="F3639" i="51"/>
  <c r="F3640" i="51"/>
  <c r="F3641" i="51"/>
  <c r="F3642" i="51"/>
  <c r="F3643" i="51"/>
  <c r="F3644" i="51"/>
  <c r="F3645" i="51"/>
  <c r="F3646" i="51"/>
  <c r="F3647" i="51"/>
  <c r="F3648" i="51"/>
  <c r="F3649" i="51"/>
  <c r="F3650" i="51"/>
  <c r="F3651" i="51"/>
  <c r="F3652" i="51"/>
  <c r="F3653" i="51"/>
  <c r="F3654" i="51"/>
  <c r="F3655" i="51"/>
  <c r="F3656" i="51"/>
  <c r="F3657" i="51"/>
  <c r="F3658" i="51"/>
  <c r="F3659" i="51"/>
  <c r="F3660" i="51"/>
  <c r="F3661" i="51"/>
  <c r="F3662" i="51"/>
  <c r="F3663" i="51"/>
  <c r="F3664" i="51"/>
  <c r="F3665" i="51"/>
  <c r="F3666" i="51"/>
  <c r="F3667" i="51"/>
  <c r="F3668" i="51"/>
  <c r="F3669" i="51"/>
  <c r="F3670" i="51"/>
  <c r="F3671" i="51"/>
  <c r="F3672" i="51"/>
  <c r="F3673" i="51"/>
  <c r="F3674" i="51"/>
  <c r="F3675" i="51"/>
  <c r="F3676" i="51"/>
  <c r="F3677" i="51"/>
  <c r="F3678" i="51"/>
  <c r="F3679" i="51"/>
  <c r="F3680" i="51"/>
  <c r="F3681" i="51"/>
  <c r="F3682" i="51"/>
  <c r="F3683" i="51"/>
  <c r="F3684" i="51"/>
  <c r="F3685" i="51"/>
  <c r="F3686" i="51"/>
  <c r="F3687" i="51"/>
  <c r="F3688" i="51"/>
  <c r="F3689" i="51"/>
  <c r="F3690" i="51"/>
  <c r="F3691" i="51"/>
  <c r="F3692" i="51"/>
  <c r="F3693" i="51"/>
  <c r="F3694" i="51"/>
  <c r="F3695" i="51"/>
  <c r="F3696" i="51"/>
  <c r="F3697" i="51"/>
  <c r="F3698" i="51"/>
  <c r="F3699" i="51"/>
  <c r="F3700" i="51"/>
  <c r="F3701" i="51"/>
  <c r="F3702" i="51"/>
  <c r="F3703" i="51"/>
  <c r="F3704" i="51"/>
  <c r="F3705" i="51"/>
  <c r="F3706" i="51"/>
  <c r="F3707" i="51"/>
  <c r="F3708" i="51"/>
  <c r="F3709" i="51"/>
  <c r="F3710" i="51"/>
  <c r="F3711" i="51"/>
  <c r="F3712" i="51"/>
  <c r="F3713" i="51"/>
  <c r="F3714" i="51"/>
  <c r="F3715" i="51"/>
  <c r="F3716" i="51"/>
  <c r="F3717" i="51"/>
  <c r="F3718" i="51"/>
  <c r="F3719" i="51"/>
  <c r="F3720" i="51"/>
  <c r="F3721" i="51"/>
  <c r="F3722" i="51"/>
  <c r="F3723" i="51"/>
  <c r="F3724" i="51"/>
  <c r="F3725" i="51"/>
  <c r="F3726" i="51"/>
  <c r="F3727" i="51"/>
  <c r="F3728" i="51"/>
  <c r="F3729" i="51"/>
  <c r="F3730" i="51"/>
  <c r="F3731" i="51"/>
  <c r="F3732" i="51"/>
  <c r="F3733" i="51"/>
  <c r="F3734" i="51"/>
  <c r="F3735" i="51"/>
  <c r="F3736" i="51"/>
  <c r="F3737" i="51"/>
  <c r="F3738" i="51"/>
  <c r="F3739" i="51"/>
  <c r="F3740" i="51"/>
  <c r="F3741" i="51"/>
  <c r="F3742" i="51"/>
  <c r="F3743" i="51"/>
  <c r="F3744" i="51"/>
  <c r="F3745" i="51"/>
  <c r="F3746" i="51"/>
  <c r="F3747" i="51"/>
  <c r="F3748" i="51"/>
  <c r="F3749" i="51"/>
  <c r="F3750" i="51"/>
  <c r="F3751" i="51"/>
  <c r="F3752" i="51"/>
  <c r="F3753" i="51"/>
  <c r="F3754" i="51"/>
  <c r="F3755" i="51"/>
  <c r="F3756" i="51"/>
  <c r="F3757" i="51"/>
  <c r="F3758" i="51"/>
  <c r="F3759" i="51"/>
  <c r="F3760" i="51"/>
  <c r="F3761" i="51"/>
  <c r="F3762" i="51"/>
  <c r="F3763" i="51"/>
  <c r="F3764" i="51"/>
  <c r="F3765" i="51"/>
  <c r="F3766" i="51"/>
  <c r="F3767" i="51"/>
  <c r="F3768" i="51"/>
  <c r="F3769" i="51"/>
  <c r="F3770" i="51"/>
  <c r="F3771" i="51"/>
  <c r="F3772" i="51"/>
  <c r="F3773" i="51"/>
  <c r="F3774" i="51"/>
  <c r="F3775" i="51"/>
  <c r="F3776" i="51"/>
  <c r="F3777" i="51"/>
  <c r="F3778" i="51"/>
  <c r="F3779" i="51"/>
  <c r="F3780" i="51"/>
  <c r="F3781" i="51"/>
  <c r="F3782" i="51"/>
  <c r="F3783" i="51"/>
  <c r="F3784" i="51"/>
  <c r="F3785" i="51"/>
  <c r="F3786" i="51"/>
  <c r="F3787" i="51"/>
  <c r="F3788" i="51"/>
  <c r="F3789" i="51"/>
  <c r="F3790" i="51"/>
  <c r="F3791" i="51"/>
  <c r="F3792" i="51"/>
  <c r="F3793" i="51"/>
  <c r="F3794" i="51"/>
  <c r="F3795" i="51"/>
  <c r="F3796" i="51"/>
  <c r="F3797" i="51"/>
  <c r="F3798" i="51"/>
  <c r="F3799" i="51"/>
  <c r="F3800" i="51"/>
  <c r="F3801" i="51"/>
  <c r="F3802" i="51"/>
  <c r="F3803" i="51"/>
  <c r="F3804" i="51"/>
  <c r="F3805" i="51"/>
  <c r="F3806" i="51"/>
  <c r="F3807" i="51"/>
  <c r="F3808" i="51"/>
  <c r="F3809" i="51"/>
  <c r="F3810" i="51"/>
  <c r="F3811" i="51"/>
  <c r="F3812" i="51"/>
  <c r="F3813" i="51"/>
  <c r="F3814" i="51"/>
  <c r="F3815" i="51"/>
  <c r="F3816" i="51"/>
  <c r="F3817" i="51"/>
  <c r="F3818" i="51"/>
  <c r="F3819" i="51"/>
  <c r="F3820" i="51"/>
  <c r="F3821" i="51"/>
  <c r="F3822" i="51"/>
  <c r="F3823" i="51"/>
  <c r="F3824" i="51"/>
  <c r="F3825" i="51"/>
  <c r="F3826" i="51"/>
  <c r="F3827" i="51"/>
  <c r="F3828" i="51"/>
  <c r="F3829" i="51"/>
  <c r="F3830" i="51"/>
  <c r="F3831" i="51"/>
  <c r="F3832" i="51"/>
  <c r="F3833" i="51"/>
  <c r="F3834" i="51"/>
  <c r="F3835" i="51"/>
  <c r="F3836" i="51"/>
  <c r="F3837" i="51"/>
  <c r="F3838" i="51"/>
  <c r="F3839" i="51"/>
  <c r="F3840" i="51"/>
  <c r="F3841" i="51"/>
  <c r="F3842" i="51"/>
  <c r="F3843" i="51"/>
  <c r="F3844" i="51"/>
  <c r="F3845" i="51"/>
  <c r="F3846" i="51"/>
  <c r="F3847" i="51"/>
  <c r="F3848" i="51"/>
  <c r="F3849" i="51"/>
  <c r="F3850" i="51"/>
  <c r="F3851" i="51"/>
  <c r="F3852" i="51"/>
  <c r="F3853" i="51"/>
  <c r="F3854" i="51"/>
  <c r="F3855" i="51"/>
  <c r="F3856" i="51"/>
  <c r="F3857" i="51"/>
  <c r="F3858" i="51"/>
  <c r="F3859" i="51"/>
  <c r="F3860" i="51"/>
  <c r="F3861" i="51"/>
  <c r="F3862" i="51"/>
  <c r="F3863" i="51"/>
  <c r="F3864" i="51"/>
  <c r="F3865" i="51"/>
  <c r="F3866" i="51"/>
  <c r="F3867" i="51"/>
  <c r="F3868" i="51"/>
  <c r="F3869" i="51"/>
  <c r="F3870" i="51"/>
  <c r="F3871" i="51"/>
  <c r="F3872" i="51"/>
  <c r="F3873" i="51"/>
  <c r="F3874" i="51"/>
  <c r="F3875" i="51"/>
  <c r="F3876" i="51"/>
  <c r="F3877" i="51"/>
  <c r="F3878" i="51"/>
  <c r="F3879" i="51"/>
  <c r="F3880" i="51"/>
  <c r="F3881" i="51"/>
  <c r="F3882" i="51"/>
  <c r="F3883" i="51"/>
  <c r="F3884" i="51"/>
  <c r="F3885" i="51"/>
  <c r="F3886" i="51"/>
  <c r="F3887" i="51"/>
  <c r="F3888" i="51"/>
  <c r="F3889" i="51"/>
  <c r="F3890" i="51"/>
  <c r="F3891" i="51"/>
  <c r="F3892" i="51"/>
  <c r="F3893" i="51"/>
  <c r="F3894" i="51"/>
  <c r="F3895" i="51"/>
  <c r="F3896" i="51"/>
  <c r="F3897" i="51"/>
  <c r="F3898" i="51"/>
  <c r="F3899" i="51"/>
  <c r="F3900" i="51"/>
  <c r="F3901" i="51"/>
  <c r="F3902" i="51"/>
  <c r="F3903" i="51"/>
  <c r="F3904" i="51"/>
  <c r="F3905" i="51"/>
  <c r="F3906" i="51"/>
  <c r="F3907" i="51"/>
  <c r="F3908" i="51"/>
  <c r="F3909" i="51"/>
  <c r="F3910" i="51"/>
  <c r="F3911" i="51"/>
  <c r="F3912" i="51"/>
  <c r="F3913" i="51"/>
  <c r="F3914" i="51"/>
  <c r="F3915" i="51"/>
  <c r="F3916" i="51"/>
  <c r="F3917" i="51"/>
  <c r="F3918" i="51"/>
  <c r="F3919" i="51"/>
  <c r="F3920" i="51"/>
  <c r="F3921" i="51"/>
  <c r="F3922" i="51"/>
  <c r="F3923" i="51"/>
  <c r="F3924" i="51"/>
  <c r="F3925" i="51"/>
  <c r="F3926" i="51"/>
  <c r="F3927" i="51"/>
  <c r="F3928" i="51"/>
  <c r="F3929" i="51"/>
  <c r="F3930" i="51"/>
  <c r="F3931" i="51"/>
  <c r="F3932" i="51"/>
  <c r="F3933" i="51"/>
  <c r="F3934" i="51"/>
  <c r="F3935" i="51"/>
  <c r="F3936" i="51"/>
  <c r="F3937" i="51"/>
  <c r="F3938" i="51"/>
  <c r="F3939" i="51"/>
  <c r="F3940" i="51"/>
  <c r="F3941" i="51"/>
  <c r="F3942" i="51"/>
  <c r="F3943" i="51"/>
  <c r="F3944" i="51"/>
  <c r="F3945" i="51"/>
  <c r="F3946" i="51"/>
  <c r="F3947" i="51"/>
  <c r="F3948" i="51"/>
  <c r="F3949" i="51"/>
  <c r="F3950" i="51"/>
  <c r="F3951" i="51"/>
  <c r="F3952" i="51"/>
  <c r="F3953" i="51"/>
  <c r="F3954" i="51"/>
  <c r="F3955" i="51"/>
  <c r="F3956" i="51"/>
  <c r="F3957" i="51"/>
  <c r="F3958" i="51"/>
  <c r="F3959" i="51"/>
  <c r="F3960" i="51"/>
  <c r="F3961" i="51"/>
  <c r="F3962" i="51"/>
  <c r="F3963" i="51"/>
  <c r="F3964" i="51"/>
  <c r="F3965" i="51"/>
  <c r="F3966" i="51"/>
  <c r="F3967" i="51"/>
  <c r="F3968" i="51"/>
  <c r="F3969" i="51"/>
  <c r="F3970" i="51"/>
  <c r="F3971" i="51"/>
  <c r="F3972" i="51"/>
  <c r="F3973" i="51"/>
  <c r="F3974" i="51"/>
  <c r="F3975" i="51"/>
  <c r="F3976" i="51"/>
  <c r="F3977" i="51"/>
  <c r="F3978" i="51"/>
  <c r="F3979" i="51"/>
  <c r="F3980" i="51"/>
  <c r="F3981" i="51"/>
  <c r="F3982" i="51"/>
  <c r="F3983" i="51"/>
  <c r="F3984" i="51"/>
  <c r="F3985" i="51"/>
  <c r="F3986" i="51"/>
  <c r="F3987" i="51"/>
  <c r="F3988" i="51"/>
  <c r="F3989" i="51"/>
  <c r="F3990" i="51"/>
  <c r="F3991" i="51"/>
  <c r="F3992" i="51"/>
  <c r="F3993" i="51"/>
  <c r="F3994" i="51"/>
  <c r="F3995" i="51"/>
  <c r="F3996" i="51"/>
  <c r="F3997" i="51"/>
  <c r="F3998" i="51"/>
  <c r="F3999" i="51"/>
  <c r="F4000" i="51"/>
  <c r="F4001" i="51"/>
  <c r="F4002" i="51"/>
  <c r="F4003" i="51"/>
  <c r="F4004" i="51"/>
  <c r="F4005" i="51"/>
  <c r="F4006" i="51"/>
  <c r="F4007" i="51"/>
  <c r="F4008" i="51"/>
  <c r="F4009" i="51"/>
  <c r="F4010" i="51"/>
  <c r="F4011" i="51"/>
  <c r="F4012" i="51"/>
  <c r="F4013" i="51"/>
  <c r="F4014" i="51"/>
  <c r="F4015" i="51"/>
  <c r="F4016" i="51"/>
  <c r="F4017" i="51"/>
  <c r="F4018" i="51"/>
  <c r="F4019" i="51"/>
  <c r="F4020" i="51"/>
  <c r="F4021" i="51"/>
  <c r="F4022" i="51"/>
  <c r="F4023" i="51"/>
  <c r="F4024" i="51"/>
  <c r="F4025" i="51"/>
  <c r="F4026" i="51"/>
  <c r="F4027" i="51"/>
  <c r="F4028" i="51"/>
  <c r="F4029" i="51"/>
  <c r="F4030" i="51"/>
  <c r="F4031" i="51"/>
  <c r="F4032" i="51"/>
  <c r="F4033" i="51"/>
  <c r="F4034" i="51"/>
  <c r="F4035" i="51"/>
  <c r="F4036" i="51"/>
  <c r="F4037" i="51"/>
  <c r="F4038" i="51"/>
  <c r="F4039" i="51"/>
  <c r="F4040" i="51"/>
  <c r="F4041" i="51"/>
  <c r="F4042" i="51"/>
  <c r="F4043" i="51"/>
  <c r="F4044" i="51"/>
  <c r="F4045" i="51"/>
  <c r="F4046" i="51"/>
  <c r="F4047" i="51"/>
  <c r="F4048" i="51"/>
  <c r="F4049" i="51"/>
  <c r="F4050" i="51"/>
  <c r="F4051" i="51"/>
  <c r="F4052" i="51"/>
  <c r="F4053" i="51"/>
  <c r="F4054" i="51"/>
  <c r="F4055" i="51"/>
  <c r="F4056" i="51"/>
  <c r="F4057" i="51"/>
  <c r="F4058" i="51"/>
  <c r="F4059" i="51"/>
  <c r="F4060" i="51"/>
  <c r="F4061" i="51"/>
  <c r="F4062" i="51"/>
  <c r="F4063" i="51"/>
  <c r="F4064" i="51"/>
  <c r="F4065" i="51"/>
  <c r="F4066" i="51"/>
  <c r="F4067" i="51"/>
  <c r="F4068" i="51"/>
  <c r="F4069" i="51"/>
  <c r="F4070" i="51"/>
  <c r="F4071" i="51"/>
  <c r="F4072" i="51"/>
  <c r="F4073" i="51"/>
  <c r="F4074" i="51"/>
  <c r="F4075" i="51"/>
  <c r="F4076" i="51"/>
  <c r="F4077" i="51"/>
  <c r="F4078" i="51"/>
  <c r="F4079" i="51"/>
  <c r="F4080" i="51"/>
  <c r="F4081" i="51"/>
  <c r="F4082" i="51"/>
  <c r="F4083" i="51"/>
  <c r="F4084" i="51"/>
  <c r="F4085" i="51"/>
  <c r="F4086" i="51"/>
  <c r="F4087" i="51"/>
  <c r="F4088" i="51"/>
  <c r="F4089" i="51"/>
  <c r="F4090" i="51"/>
  <c r="F4091" i="51"/>
  <c r="F4092" i="51"/>
  <c r="F4093" i="51"/>
  <c r="F4094" i="51"/>
  <c r="F4095" i="51"/>
  <c r="F4096" i="51"/>
  <c r="F4097" i="51"/>
  <c r="F4098" i="51"/>
  <c r="F4099" i="51"/>
  <c r="F4100" i="51"/>
  <c r="F4101" i="51"/>
  <c r="F4102" i="51"/>
  <c r="F4103" i="51"/>
  <c r="F4104" i="51"/>
  <c r="F4105" i="51"/>
  <c r="F4106" i="51"/>
  <c r="F4107" i="51"/>
  <c r="F4108" i="51"/>
  <c r="F4109" i="51"/>
  <c r="F4110" i="51"/>
  <c r="F4111" i="51"/>
  <c r="F4112" i="51"/>
  <c r="F4113" i="51"/>
  <c r="F4114" i="51"/>
  <c r="F4115" i="51"/>
  <c r="F4116" i="51"/>
  <c r="F4117" i="51"/>
  <c r="F4118" i="51"/>
  <c r="F4119" i="51"/>
  <c r="F4120" i="51"/>
  <c r="F4121" i="51"/>
  <c r="F4122" i="51"/>
  <c r="F4123" i="51"/>
  <c r="F4124" i="51"/>
  <c r="F4125" i="51"/>
  <c r="F4126" i="51"/>
  <c r="F4127" i="51"/>
  <c r="F4128" i="51"/>
  <c r="F4129" i="51"/>
  <c r="F4130" i="51"/>
  <c r="F4131" i="51"/>
  <c r="F4132" i="51"/>
  <c r="F4133" i="51"/>
  <c r="F4134" i="51"/>
  <c r="F4135" i="51"/>
  <c r="F4136" i="51"/>
  <c r="F4137" i="51"/>
  <c r="F4138" i="51"/>
  <c r="F4139" i="51"/>
  <c r="F4140" i="51"/>
  <c r="F4141" i="51"/>
  <c r="F4142" i="51"/>
  <c r="F4143" i="51"/>
  <c r="F4144" i="51"/>
  <c r="F4145" i="51"/>
  <c r="F4146" i="51"/>
  <c r="F4147" i="51"/>
  <c r="F4148" i="51"/>
  <c r="F4149" i="51"/>
  <c r="F4150" i="51"/>
  <c r="F4151" i="51"/>
  <c r="F4152" i="51"/>
  <c r="F4153" i="51"/>
  <c r="F4154" i="51"/>
  <c r="F4155" i="51"/>
  <c r="F4156" i="51"/>
  <c r="F4157" i="51"/>
  <c r="F4158" i="51"/>
  <c r="F4159" i="51"/>
  <c r="F4160" i="51"/>
  <c r="F4161" i="51"/>
  <c r="F4162" i="51"/>
  <c r="F4163" i="51"/>
  <c r="F4164" i="51"/>
  <c r="F4165" i="51"/>
  <c r="F4166" i="51"/>
  <c r="F4167" i="51"/>
  <c r="F4168" i="51"/>
  <c r="F4169" i="51"/>
  <c r="F4170" i="51"/>
  <c r="F4171" i="51"/>
  <c r="F4172" i="51"/>
  <c r="F4173" i="51"/>
  <c r="F4174" i="51"/>
  <c r="F4175" i="51"/>
  <c r="F4176" i="51"/>
  <c r="F4177" i="51"/>
  <c r="F4178" i="51"/>
  <c r="F4179" i="51"/>
  <c r="F4180" i="51"/>
  <c r="F4181" i="51"/>
  <c r="F4182" i="51"/>
  <c r="F4183" i="51"/>
  <c r="F4184" i="51"/>
  <c r="F4185" i="51"/>
  <c r="F4186" i="51"/>
  <c r="F4187" i="51"/>
  <c r="F4188" i="51"/>
  <c r="F4189" i="51"/>
  <c r="F4190" i="51"/>
  <c r="F4191" i="51"/>
  <c r="F4192" i="51"/>
  <c r="F4193" i="51"/>
  <c r="F4194" i="51"/>
  <c r="F4195" i="51"/>
  <c r="F4196" i="51"/>
  <c r="F4197" i="51"/>
  <c r="F4198" i="51"/>
  <c r="F4199" i="51"/>
  <c r="F4200" i="51"/>
  <c r="F4201" i="51"/>
  <c r="F4202" i="51"/>
  <c r="F4203" i="51"/>
  <c r="F4204" i="51"/>
  <c r="F4205" i="51"/>
  <c r="F4206" i="51"/>
  <c r="F4207" i="51"/>
  <c r="F4208" i="51"/>
  <c r="F4209" i="51"/>
  <c r="F4210" i="51"/>
  <c r="F4211" i="51"/>
  <c r="F4212" i="51"/>
  <c r="F4213" i="51"/>
  <c r="F4214" i="51"/>
  <c r="F4215" i="51"/>
  <c r="F4216" i="51"/>
  <c r="F4217" i="51"/>
  <c r="F4218" i="51"/>
  <c r="F4219" i="51"/>
  <c r="F4220" i="51"/>
  <c r="F4221" i="51"/>
  <c r="F4222" i="51"/>
  <c r="F4223" i="51"/>
  <c r="F4224" i="51"/>
  <c r="F4225" i="51"/>
  <c r="F4226" i="51"/>
  <c r="F4227" i="51"/>
  <c r="F4228" i="51"/>
  <c r="F4229" i="51"/>
  <c r="F4230" i="51"/>
  <c r="F4231" i="51"/>
  <c r="F4232" i="51"/>
  <c r="F4233" i="51"/>
  <c r="F4234" i="51"/>
  <c r="F4235" i="51"/>
  <c r="F4236" i="51"/>
  <c r="F4237" i="51"/>
  <c r="F4238" i="51"/>
  <c r="F4239" i="51"/>
  <c r="F4240" i="51"/>
  <c r="F4241" i="51"/>
  <c r="F4242" i="51"/>
  <c r="F4243" i="51"/>
  <c r="F4244" i="51"/>
  <c r="F4245" i="51"/>
  <c r="F4246" i="51"/>
  <c r="F4247" i="51"/>
  <c r="F4248" i="51"/>
  <c r="F4249" i="51"/>
  <c r="F4250" i="51"/>
  <c r="F4251" i="51"/>
  <c r="F4252" i="51"/>
  <c r="F4253" i="51"/>
  <c r="F4254" i="51"/>
  <c r="F4255" i="51"/>
  <c r="F4256" i="51"/>
  <c r="F4257" i="51"/>
  <c r="F4258" i="51"/>
  <c r="F4259" i="51"/>
  <c r="F4260" i="51"/>
  <c r="F4261" i="51"/>
  <c r="F4262" i="51"/>
  <c r="F4263" i="51"/>
  <c r="F4264" i="51"/>
  <c r="F4265" i="51"/>
  <c r="F4266" i="51"/>
  <c r="F4267" i="51"/>
  <c r="F4268" i="51"/>
  <c r="F4269" i="51"/>
  <c r="F4270" i="51"/>
  <c r="F4271" i="51"/>
  <c r="F4272" i="51"/>
  <c r="F4273" i="51"/>
  <c r="F4274" i="51"/>
  <c r="F4275" i="51"/>
  <c r="F4276" i="51"/>
  <c r="F4277" i="51"/>
  <c r="F4278" i="51"/>
  <c r="F4279" i="51"/>
  <c r="F4280" i="51"/>
  <c r="F4281" i="51"/>
  <c r="F4282" i="51"/>
  <c r="F4283" i="51"/>
  <c r="F4284" i="51"/>
  <c r="F4285" i="51"/>
  <c r="F4286" i="51"/>
  <c r="F4287" i="51"/>
  <c r="F4288" i="51"/>
  <c r="F4289" i="51"/>
  <c r="F4290" i="51"/>
  <c r="F4291" i="51"/>
  <c r="F4292" i="51"/>
  <c r="F4293" i="51"/>
  <c r="F4294" i="51"/>
  <c r="F4295" i="51"/>
  <c r="F4296" i="51"/>
  <c r="F4297" i="51"/>
  <c r="F4298" i="51"/>
  <c r="F4299" i="51"/>
  <c r="F4300" i="51"/>
  <c r="F4301" i="51"/>
  <c r="F4302" i="51"/>
  <c r="F4303" i="51"/>
  <c r="F4304" i="51"/>
  <c r="F4305" i="51"/>
  <c r="F4306" i="51"/>
  <c r="F4307" i="51"/>
  <c r="F4308" i="51"/>
  <c r="F4309" i="51"/>
  <c r="F4310" i="51"/>
  <c r="F4311" i="51"/>
  <c r="F4312" i="51"/>
  <c r="F4313" i="51"/>
  <c r="F4314" i="51"/>
  <c r="F4315" i="51"/>
  <c r="F4316" i="51"/>
  <c r="F4317" i="51"/>
  <c r="F4318" i="51"/>
  <c r="F4319" i="51"/>
  <c r="F4320" i="51"/>
  <c r="F4321" i="51"/>
  <c r="F4322" i="51"/>
  <c r="F4323" i="51"/>
  <c r="F4324" i="51"/>
  <c r="F4325" i="51"/>
  <c r="F4326" i="51"/>
  <c r="F4327" i="51"/>
  <c r="F4328" i="51"/>
  <c r="F4329" i="51"/>
  <c r="F4330" i="51"/>
  <c r="F4331" i="51"/>
  <c r="F4332" i="51"/>
  <c r="F4333" i="51"/>
  <c r="F4334" i="51"/>
  <c r="F4335" i="51"/>
  <c r="F4336" i="51"/>
  <c r="F4337" i="51"/>
  <c r="F4338" i="51"/>
  <c r="F4339" i="51"/>
  <c r="F4340" i="51"/>
  <c r="F4341" i="51"/>
  <c r="F4342" i="51"/>
  <c r="F4343" i="51"/>
  <c r="F4344" i="51"/>
  <c r="F4345" i="51"/>
  <c r="F4346" i="51"/>
  <c r="F4347" i="51"/>
  <c r="F4348" i="51"/>
  <c r="F4349" i="51"/>
  <c r="F4350" i="51"/>
  <c r="F4351" i="51"/>
  <c r="F4352" i="51"/>
  <c r="F4353" i="51"/>
  <c r="F4354" i="51"/>
  <c r="F4355" i="51"/>
  <c r="F4356" i="51"/>
  <c r="F4357" i="51"/>
  <c r="F4358" i="51"/>
  <c r="F4359" i="51"/>
  <c r="F4360" i="51"/>
  <c r="F4361" i="51"/>
  <c r="F4362" i="51"/>
  <c r="F4363" i="51"/>
  <c r="F4364" i="51"/>
  <c r="F4365" i="51"/>
  <c r="F4366" i="51"/>
  <c r="F4367" i="51"/>
  <c r="F4368" i="51"/>
  <c r="F4369" i="51"/>
  <c r="F4370" i="51"/>
  <c r="F4371" i="51"/>
  <c r="F4372" i="51"/>
  <c r="F4373" i="51"/>
  <c r="F4374" i="51"/>
  <c r="F4375" i="51"/>
  <c r="F4376" i="51"/>
  <c r="F4377" i="51"/>
  <c r="F4378" i="51"/>
  <c r="F4379" i="51"/>
  <c r="F4380" i="51"/>
  <c r="F4381" i="51"/>
  <c r="F4382" i="51"/>
  <c r="F4383" i="51"/>
  <c r="F4384" i="51"/>
  <c r="F4385" i="51"/>
  <c r="F4386" i="51"/>
  <c r="F4387" i="51"/>
  <c r="F4388" i="51"/>
  <c r="F4389" i="51"/>
  <c r="F4390" i="51"/>
  <c r="F4391" i="51"/>
  <c r="F4392" i="51"/>
  <c r="F4393" i="51"/>
  <c r="F4394" i="51"/>
  <c r="F4395" i="51"/>
  <c r="F4396" i="51"/>
  <c r="F4397" i="51"/>
  <c r="F4398" i="51"/>
  <c r="F4399" i="51"/>
  <c r="F4400" i="51"/>
  <c r="F4401" i="51"/>
  <c r="F4402" i="51"/>
  <c r="F4403" i="51"/>
  <c r="F4404" i="51"/>
  <c r="F4405" i="51"/>
  <c r="F4406" i="51"/>
  <c r="F4407" i="51"/>
  <c r="F4408" i="51"/>
  <c r="F4409" i="51"/>
  <c r="F4410" i="51"/>
  <c r="F4411" i="51"/>
  <c r="F4412" i="51"/>
  <c r="F4413" i="51"/>
  <c r="F4414" i="51"/>
  <c r="F4415" i="51"/>
  <c r="F4416" i="51"/>
  <c r="F4417" i="51"/>
  <c r="F4418" i="51"/>
  <c r="F4419" i="51"/>
  <c r="F4420" i="51"/>
  <c r="F4421" i="51"/>
  <c r="F4422" i="51"/>
  <c r="F4423" i="51"/>
  <c r="F4424" i="51"/>
  <c r="F4425" i="51"/>
  <c r="F4426" i="51"/>
  <c r="F4427" i="51"/>
  <c r="F4428" i="51"/>
  <c r="F4429" i="51"/>
  <c r="F4430" i="51"/>
  <c r="F4431" i="51"/>
  <c r="F4432" i="51"/>
  <c r="F4433" i="51"/>
  <c r="F4434" i="51"/>
  <c r="F4435" i="51"/>
  <c r="F4436" i="51"/>
  <c r="F4437" i="51"/>
  <c r="F4438" i="51"/>
  <c r="F4439" i="51"/>
  <c r="F4440" i="51"/>
  <c r="F4441" i="51"/>
  <c r="F4442" i="51"/>
  <c r="F4443" i="51"/>
  <c r="F4444" i="51"/>
  <c r="F4445" i="51"/>
  <c r="F4446" i="51"/>
  <c r="F4447" i="51"/>
  <c r="F4448" i="51"/>
  <c r="F4449" i="51"/>
  <c r="F4450" i="51"/>
  <c r="F4451" i="51"/>
  <c r="F4452" i="51"/>
  <c r="F4453" i="51"/>
  <c r="F4454" i="51"/>
  <c r="F4455" i="51"/>
  <c r="F4456" i="51"/>
  <c r="F4457" i="51"/>
  <c r="F4458" i="51"/>
  <c r="F4459" i="51"/>
  <c r="F4460" i="51"/>
  <c r="F4461" i="51"/>
  <c r="F4462" i="51"/>
  <c r="F4463" i="51"/>
  <c r="F4464" i="51"/>
  <c r="F4465" i="51"/>
  <c r="F4466" i="51"/>
  <c r="F4467" i="51"/>
  <c r="F4468" i="51"/>
  <c r="F4469" i="51"/>
  <c r="F4470" i="51"/>
  <c r="F4471" i="51"/>
  <c r="F4472" i="51"/>
  <c r="F4473" i="51"/>
  <c r="F4474" i="51"/>
  <c r="F4475" i="51"/>
  <c r="F4476" i="51"/>
  <c r="F4477" i="51"/>
  <c r="F4478" i="51"/>
  <c r="F4479" i="51"/>
  <c r="F4480" i="51"/>
  <c r="F4481" i="51"/>
  <c r="F4482" i="51"/>
  <c r="F4483" i="51"/>
  <c r="F4484" i="51"/>
  <c r="F4485" i="51"/>
  <c r="F4486" i="51"/>
  <c r="F4487" i="51"/>
  <c r="F4488" i="51"/>
  <c r="F4489" i="51"/>
  <c r="F4490" i="51"/>
  <c r="F4491" i="51"/>
  <c r="F4492" i="51"/>
  <c r="F4493" i="51"/>
  <c r="F4494" i="51"/>
  <c r="F4495" i="51"/>
  <c r="F4496" i="51"/>
  <c r="F4497" i="51"/>
  <c r="F4498" i="51"/>
  <c r="F4499" i="51"/>
  <c r="F4500" i="51"/>
  <c r="F4501" i="51"/>
  <c r="F4502" i="51"/>
  <c r="F4503" i="51"/>
  <c r="F4504" i="51"/>
  <c r="F4505" i="51"/>
  <c r="F4506" i="51"/>
  <c r="F4507" i="51"/>
  <c r="F4508" i="51"/>
  <c r="F4509" i="51"/>
  <c r="F4510" i="51"/>
  <c r="F4511" i="51"/>
  <c r="F4512" i="51"/>
  <c r="F4513" i="51"/>
  <c r="F4514" i="51"/>
  <c r="F4515" i="51"/>
  <c r="F4516" i="51"/>
  <c r="F4517" i="51"/>
  <c r="F4518" i="51"/>
  <c r="F4519" i="51"/>
  <c r="F4520" i="51"/>
  <c r="F4521" i="51"/>
  <c r="F4522" i="51"/>
  <c r="F4523" i="51"/>
  <c r="F4524" i="51"/>
  <c r="F4525" i="51"/>
  <c r="F4526" i="51"/>
  <c r="F4527" i="51"/>
  <c r="F4528" i="51"/>
  <c r="F4529" i="51"/>
  <c r="F4530" i="51"/>
  <c r="F4531" i="51"/>
  <c r="F4532" i="51"/>
  <c r="F4533" i="51"/>
  <c r="F4534" i="51"/>
  <c r="F4535" i="51"/>
  <c r="F4536" i="51"/>
  <c r="F4537" i="51"/>
  <c r="F4538" i="51"/>
  <c r="F4539" i="51"/>
  <c r="F4540" i="51"/>
  <c r="F4541" i="51"/>
  <c r="F4542" i="51"/>
  <c r="F4543" i="51"/>
  <c r="F4544" i="51"/>
  <c r="F4545" i="51"/>
  <c r="F4546" i="51"/>
  <c r="F4547" i="51"/>
  <c r="F4548" i="51"/>
  <c r="F4549" i="51"/>
  <c r="F4550" i="51"/>
  <c r="F4551" i="51"/>
  <c r="F4552" i="51"/>
  <c r="F4553" i="51"/>
  <c r="F4554" i="51"/>
  <c r="F4555" i="51"/>
  <c r="F4556" i="51"/>
  <c r="F4557" i="51"/>
  <c r="F4558" i="51"/>
  <c r="F4559" i="51"/>
  <c r="F4560" i="51"/>
  <c r="F4561" i="51"/>
  <c r="F4562" i="51"/>
  <c r="F4563" i="51"/>
  <c r="F4564" i="51"/>
  <c r="F4565" i="51"/>
  <c r="F4566" i="51"/>
  <c r="F4567" i="51"/>
  <c r="F4568" i="51"/>
  <c r="F4569" i="51"/>
  <c r="F4570" i="51"/>
  <c r="F4571" i="51"/>
  <c r="F4572" i="51"/>
  <c r="F4573" i="51"/>
  <c r="F4574" i="51"/>
  <c r="F4575" i="51"/>
  <c r="F4576" i="51"/>
  <c r="F4577" i="51"/>
  <c r="F4578" i="51"/>
  <c r="F4579" i="51"/>
  <c r="F4580" i="51"/>
  <c r="F4581" i="51"/>
  <c r="F4582" i="51"/>
  <c r="F4583" i="51"/>
  <c r="F4584" i="51"/>
  <c r="F4585" i="51"/>
  <c r="F4586" i="51"/>
  <c r="F4587" i="51"/>
  <c r="F4588" i="51"/>
  <c r="F4589" i="51"/>
  <c r="F4590" i="51"/>
  <c r="F4591" i="51"/>
  <c r="F4592" i="51"/>
  <c r="F4593" i="51"/>
  <c r="F4594" i="51"/>
  <c r="F4595" i="51"/>
  <c r="F4596" i="51"/>
  <c r="F4597" i="51"/>
  <c r="F4598" i="51"/>
  <c r="F4599" i="51"/>
  <c r="F4600" i="51"/>
  <c r="F4601" i="51"/>
  <c r="F4602" i="51"/>
  <c r="F4603" i="51"/>
  <c r="F4604" i="51"/>
  <c r="F4605" i="51"/>
  <c r="F4606" i="51"/>
  <c r="F4607" i="51"/>
  <c r="F4608" i="51"/>
  <c r="F4609" i="51"/>
  <c r="F4610" i="51"/>
  <c r="F4611" i="51"/>
  <c r="F4612" i="51"/>
  <c r="F4613" i="51"/>
  <c r="F4614" i="51"/>
  <c r="F4615" i="51"/>
  <c r="F4616" i="51"/>
  <c r="F4617" i="51"/>
  <c r="F4618" i="51"/>
  <c r="F4619" i="51"/>
  <c r="F4620" i="51"/>
  <c r="F4621" i="51"/>
  <c r="F4622" i="51"/>
  <c r="F4623" i="51"/>
  <c r="F4624" i="51"/>
  <c r="F4625" i="51"/>
  <c r="F4626" i="51"/>
  <c r="F4627" i="51"/>
  <c r="F4628" i="51"/>
  <c r="F4629" i="51"/>
  <c r="F4630" i="51"/>
  <c r="F4631" i="51"/>
  <c r="F4632" i="51"/>
  <c r="F4633" i="51"/>
  <c r="F4634" i="51"/>
  <c r="F4635" i="51"/>
  <c r="F4636" i="51"/>
  <c r="F4637" i="51"/>
  <c r="F4638" i="51"/>
  <c r="F4639" i="51"/>
  <c r="F4640" i="51"/>
  <c r="F4641" i="51"/>
  <c r="F4642" i="51"/>
  <c r="F4643" i="51"/>
  <c r="F4644" i="51"/>
  <c r="F4645" i="51"/>
  <c r="F4646" i="51"/>
  <c r="F4647" i="51"/>
  <c r="F4648" i="51"/>
  <c r="F4649" i="51"/>
  <c r="F4650" i="51"/>
  <c r="F4651" i="51"/>
  <c r="F4652" i="51"/>
  <c r="F4653" i="51"/>
  <c r="F4654" i="51"/>
  <c r="F4655" i="51"/>
  <c r="F4656" i="51"/>
  <c r="F4657" i="51"/>
  <c r="F4658" i="51"/>
  <c r="F4659" i="51"/>
  <c r="F4660" i="51"/>
  <c r="F4661" i="51"/>
  <c r="F4662" i="51"/>
  <c r="F4663" i="51"/>
  <c r="F4664" i="51"/>
  <c r="F4665" i="51"/>
  <c r="F4666" i="51"/>
  <c r="F4667" i="51"/>
  <c r="F4668" i="51"/>
  <c r="F4669" i="51"/>
  <c r="F4670" i="51"/>
  <c r="F4671" i="51"/>
  <c r="F4672" i="51"/>
  <c r="F4673" i="51"/>
  <c r="F4674" i="51"/>
  <c r="F4675" i="51"/>
  <c r="F4676" i="51"/>
  <c r="F4677" i="51"/>
  <c r="F4678" i="51"/>
  <c r="F4679" i="51"/>
  <c r="F4680" i="51"/>
  <c r="F4681" i="51"/>
  <c r="F4682" i="51"/>
  <c r="F4683" i="51"/>
  <c r="F4684" i="51"/>
  <c r="F4685" i="51"/>
  <c r="F4686" i="51"/>
  <c r="F4687" i="51"/>
  <c r="F4688" i="51"/>
  <c r="F4689" i="51"/>
  <c r="F4690" i="51"/>
  <c r="F4691" i="51"/>
  <c r="F4692" i="51"/>
  <c r="F4693" i="51"/>
  <c r="F4694" i="51"/>
  <c r="F4695" i="51"/>
  <c r="F4696" i="51"/>
  <c r="F4697" i="51"/>
  <c r="F4698" i="51"/>
  <c r="F4699" i="51"/>
  <c r="F4700" i="51"/>
  <c r="F4701" i="51"/>
  <c r="F4702" i="51"/>
  <c r="F4703" i="51"/>
  <c r="F4704" i="51"/>
  <c r="F4705" i="51"/>
  <c r="F4706" i="51"/>
  <c r="F4707" i="51"/>
  <c r="F4708" i="51"/>
  <c r="F4709" i="51"/>
  <c r="F4710" i="51"/>
  <c r="F4711" i="51"/>
  <c r="F4712" i="51"/>
  <c r="F4713" i="51"/>
  <c r="F4714" i="51"/>
  <c r="F4715" i="51"/>
  <c r="F4716" i="51"/>
  <c r="F4717" i="51"/>
  <c r="F4718" i="51"/>
  <c r="F4719" i="51"/>
  <c r="F4720" i="51"/>
  <c r="F4721" i="51"/>
  <c r="F4722" i="51"/>
  <c r="F4723" i="51"/>
  <c r="F4724" i="51"/>
  <c r="F4725" i="51"/>
  <c r="F4726" i="51"/>
  <c r="F4727" i="51"/>
  <c r="F4728" i="51"/>
  <c r="F4729" i="51"/>
  <c r="F4730" i="51"/>
  <c r="F4731" i="51"/>
  <c r="F4732" i="51"/>
  <c r="F4733" i="51"/>
  <c r="F4734" i="51"/>
  <c r="F4735" i="51"/>
  <c r="F4736" i="51"/>
  <c r="F4737" i="51"/>
  <c r="F4738" i="51"/>
  <c r="F4739" i="51"/>
  <c r="F4740" i="51"/>
  <c r="F4741" i="51"/>
  <c r="F4742" i="51"/>
  <c r="F4743" i="51"/>
  <c r="F4744" i="51"/>
  <c r="F4745" i="51"/>
  <c r="F4746" i="51"/>
  <c r="F4747" i="51"/>
  <c r="F4748" i="51"/>
  <c r="F4749" i="51"/>
  <c r="F4750" i="51"/>
  <c r="F4751" i="51"/>
  <c r="F4752" i="51"/>
  <c r="F4753" i="51"/>
  <c r="F4754" i="51"/>
  <c r="F4755" i="51"/>
  <c r="F4756" i="51"/>
  <c r="F4757" i="51"/>
  <c r="F4758" i="51"/>
  <c r="F4759" i="51"/>
  <c r="F4760" i="51"/>
  <c r="F4761" i="51"/>
  <c r="F4762" i="51"/>
  <c r="F4763" i="51"/>
  <c r="F4764" i="51"/>
  <c r="F4765" i="51"/>
  <c r="F4766" i="51"/>
  <c r="F4767" i="51"/>
  <c r="F4768" i="51"/>
  <c r="F4769" i="51"/>
  <c r="F4770" i="51"/>
  <c r="F4771" i="51"/>
  <c r="F4772" i="51"/>
  <c r="F4773" i="51"/>
  <c r="F4774" i="51"/>
  <c r="F4775" i="51"/>
  <c r="F4776" i="51"/>
  <c r="F4777" i="51"/>
  <c r="F4778" i="51"/>
  <c r="F4779" i="51"/>
  <c r="F4780" i="51"/>
  <c r="F4781" i="51"/>
  <c r="F4782" i="51"/>
  <c r="F4783" i="51"/>
  <c r="F4784" i="51"/>
  <c r="F4785" i="51"/>
  <c r="F4786" i="51"/>
  <c r="F4787" i="51"/>
  <c r="F4788" i="51"/>
  <c r="F4789" i="51"/>
  <c r="F4790" i="51"/>
  <c r="F4791" i="51"/>
  <c r="F4792" i="51"/>
  <c r="F4793" i="51"/>
  <c r="F4794" i="51"/>
  <c r="F4795" i="51"/>
  <c r="F4796" i="51"/>
  <c r="F4797" i="51"/>
  <c r="F4798" i="51"/>
  <c r="F4799" i="51"/>
  <c r="F4800" i="51"/>
  <c r="F4801" i="51"/>
  <c r="F4802" i="51"/>
  <c r="F4803" i="51"/>
  <c r="F4804" i="51"/>
  <c r="F4805" i="51"/>
  <c r="F4806" i="51"/>
  <c r="F4807" i="51"/>
  <c r="F4808" i="51"/>
  <c r="F4809" i="51"/>
  <c r="F4810" i="51"/>
  <c r="F4811" i="51"/>
  <c r="F4812" i="51"/>
  <c r="F4813" i="51"/>
  <c r="F4814" i="51"/>
  <c r="F4815" i="51"/>
  <c r="F4816" i="51"/>
  <c r="F4817" i="51"/>
  <c r="F4818" i="51"/>
  <c r="F4819" i="51"/>
  <c r="F4820" i="51"/>
  <c r="F4821" i="51"/>
  <c r="F4822" i="51"/>
  <c r="F4823" i="51"/>
  <c r="F4824" i="51"/>
  <c r="F4825" i="51"/>
  <c r="F4826" i="51"/>
  <c r="F4827" i="51"/>
  <c r="F4828" i="51"/>
  <c r="F4829" i="51"/>
  <c r="F4830" i="51"/>
  <c r="F4831" i="51"/>
  <c r="F4832" i="51"/>
  <c r="F4833" i="51"/>
  <c r="F4834" i="51"/>
  <c r="F4835" i="51"/>
  <c r="F4836" i="51"/>
  <c r="F4837" i="51"/>
  <c r="F4838" i="51"/>
  <c r="F4839" i="51"/>
  <c r="F4840" i="51"/>
  <c r="F4841" i="51"/>
  <c r="F4842" i="51"/>
  <c r="F4843" i="51"/>
  <c r="F4844" i="51"/>
  <c r="F4845" i="51"/>
  <c r="F4846" i="51"/>
  <c r="F4847" i="51"/>
  <c r="F4848" i="51"/>
  <c r="F4849" i="51"/>
  <c r="F4850" i="51"/>
  <c r="F4851" i="51"/>
  <c r="F4852" i="51"/>
  <c r="F4853" i="51"/>
  <c r="F4854" i="51"/>
  <c r="F4855" i="51"/>
  <c r="F4856" i="51"/>
  <c r="F4857" i="51"/>
  <c r="F4858" i="51"/>
  <c r="F4859" i="51"/>
  <c r="F4860" i="51"/>
  <c r="F4861" i="51"/>
  <c r="F4862" i="51"/>
  <c r="F4863" i="51"/>
  <c r="F4864" i="51"/>
  <c r="F4865" i="51"/>
  <c r="F4866" i="51"/>
  <c r="F4867" i="51"/>
  <c r="F4868" i="51"/>
  <c r="F4869" i="51"/>
  <c r="F4870" i="51"/>
  <c r="F4871" i="51"/>
  <c r="F4872" i="51"/>
  <c r="F4873" i="51"/>
  <c r="F4874" i="51"/>
  <c r="F4875" i="51"/>
  <c r="F4876" i="51"/>
  <c r="F4877" i="51"/>
  <c r="F4878" i="51"/>
  <c r="F4879" i="51"/>
  <c r="F4880" i="51"/>
  <c r="F4881" i="51"/>
  <c r="F4882" i="51"/>
  <c r="F4883" i="51"/>
  <c r="F4884" i="51"/>
  <c r="F4885" i="51"/>
  <c r="F4886" i="51"/>
  <c r="F4887" i="51"/>
  <c r="F4888" i="51"/>
  <c r="F4889" i="51"/>
  <c r="F4890" i="51"/>
  <c r="F4891" i="51"/>
  <c r="F4892" i="51"/>
  <c r="F4893" i="51"/>
  <c r="F4894" i="51"/>
  <c r="F4895" i="51"/>
  <c r="F4896" i="51"/>
  <c r="F4897" i="51"/>
  <c r="F4898" i="51"/>
  <c r="F4899" i="51"/>
  <c r="F4900" i="51"/>
  <c r="F4901" i="51"/>
  <c r="F4902" i="51"/>
  <c r="F4903" i="51"/>
  <c r="F4904" i="51"/>
  <c r="F4905" i="51"/>
  <c r="F4906" i="51"/>
  <c r="F4907" i="51"/>
  <c r="F4908" i="51"/>
  <c r="F4909" i="51"/>
  <c r="F4910" i="51"/>
  <c r="F4911" i="51"/>
  <c r="F4912" i="51"/>
  <c r="F4913" i="51"/>
  <c r="F4914" i="51"/>
  <c r="F4915" i="51"/>
  <c r="F4916" i="51"/>
  <c r="F4917" i="51"/>
  <c r="F4918" i="51"/>
  <c r="F4919" i="51"/>
  <c r="F4920" i="51"/>
  <c r="F4921" i="51"/>
  <c r="F4922" i="51"/>
  <c r="F4923" i="51"/>
  <c r="F4924" i="51"/>
  <c r="F4925" i="51"/>
  <c r="F4926" i="51"/>
  <c r="F4927" i="51"/>
  <c r="F4928" i="51"/>
  <c r="F4929" i="51"/>
  <c r="F4930" i="51"/>
  <c r="F4931" i="51"/>
  <c r="F4932" i="51"/>
  <c r="F4933" i="51"/>
  <c r="F4934" i="51"/>
  <c r="F4935" i="51"/>
  <c r="F4936" i="51"/>
  <c r="F4937" i="51"/>
  <c r="F4938" i="51"/>
  <c r="F4939" i="51"/>
  <c r="F4940" i="51"/>
  <c r="F4941" i="51"/>
  <c r="F4942" i="51"/>
  <c r="F4943" i="51"/>
  <c r="F4944" i="51"/>
  <c r="F4945" i="51"/>
  <c r="F4946" i="51"/>
  <c r="F4947" i="51"/>
  <c r="F4948" i="51"/>
  <c r="F4949" i="51"/>
  <c r="F4950" i="51"/>
  <c r="F4951" i="51"/>
  <c r="F4952" i="51"/>
  <c r="F4953" i="51"/>
  <c r="F4954" i="51"/>
  <c r="F4955" i="51"/>
  <c r="F4956" i="51"/>
  <c r="F4957" i="51"/>
  <c r="F4958" i="51"/>
  <c r="F4959" i="51"/>
  <c r="F4960" i="51"/>
  <c r="F4961" i="51"/>
  <c r="F4962" i="51"/>
  <c r="F4963" i="51"/>
  <c r="F4964" i="51"/>
  <c r="F4965" i="51"/>
  <c r="F4966" i="51"/>
  <c r="F4967" i="51"/>
  <c r="F4968" i="51"/>
  <c r="F4969" i="51"/>
  <c r="F4970" i="51"/>
  <c r="F4971" i="51"/>
  <c r="F4972" i="51"/>
  <c r="F4973" i="51"/>
  <c r="F4974" i="51"/>
  <c r="F4975" i="51"/>
  <c r="F4976" i="51"/>
  <c r="F4977" i="51"/>
  <c r="F4978" i="51"/>
  <c r="F4979" i="51"/>
  <c r="F4980" i="51"/>
  <c r="F4981" i="51"/>
  <c r="F4982" i="51"/>
  <c r="F4983" i="51"/>
  <c r="F4984" i="51"/>
  <c r="F4985" i="51"/>
  <c r="F4986" i="51"/>
  <c r="F4987" i="51"/>
  <c r="F4988" i="51"/>
  <c r="F4989" i="51"/>
  <c r="F4990" i="51"/>
  <c r="F4991" i="51"/>
  <c r="F4992" i="51"/>
  <c r="F4993" i="51"/>
  <c r="F4994" i="51"/>
  <c r="F4995" i="51"/>
  <c r="F4996" i="51"/>
  <c r="F4997" i="51"/>
  <c r="F4998" i="51"/>
  <c r="F4999" i="51"/>
  <c r="F5000" i="51"/>
  <c r="F5001" i="51"/>
  <c r="F5002" i="51"/>
  <c r="F5003" i="51"/>
  <c r="F5004" i="51"/>
  <c r="F5005" i="51"/>
  <c r="F5006" i="51"/>
  <c r="F5007" i="51"/>
  <c r="G2008" i="51" a="1"/>
  <c r="G2008" i="51" s="1"/>
  <c r="G2009" i="51" a="1"/>
  <c r="G2009" i="51" s="1"/>
  <c r="G2010" i="51" a="1"/>
  <c r="G2010" i="51"/>
  <c r="G2011" i="51" a="1"/>
  <c r="G2011" i="51" s="1"/>
  <c r="G2012" i="51" a="1"/>
  <c r="G2012" i="51" s="1"/>
  <c r="G2013" i="51" a="1"/>
  <c r="G2013" i="51" s="1"/>
  <c r="G2014" i="51" a="1"/>
  <c r="G2014" i="51" s="1"/>
  <c r="G2015" i="51" a="1"/>
  <c r="G2015" i="51" s="1"/>
  <c r="G2016" i="51" a="1"/>
  <c r="G2016" i="51" s="1"/>
  <c r="G2017" i="51" a="1"/>
  <c r="G2017" i="51" s="1"/>
  <c r="G2018" i="51" a="1"/>
  <c r="G2018" i="51" s="1"/>
  <c r="G2019" i="51" a="1"/>
  <c r="G2019" i="51" s="1"/>
  <c r="G2020" i="51" a="1"/>
  <c r="G2020" i="51" s="1"/>
  <c r="G2021" i="51" a="1"/>
  <c r="G2021" i="51" s="1"/>
  <c r="G2022" i="51" a="1"/>
  <c r="G2022" i="51" s="1"/>
  <c r="G2023" i="51" a="1"/>
  <c r="G2023" i="51" s="1"/>
  <c r="G2024" i="51" a="1"/>
  <c r="G2024" i="51" s="1"/>
  <c r="G2025" i="51" a="1"/>
  <c r="G2025" i="51" s="1"/>
  <c r="G2026" i="51" a="1"/>
  <c r="G2026" i="51" s="1"/>
  <c r="G2027" i="51" a="1"/>
  <c r="G2027" i="51" s="1"/>
  <c r="G2028" i="51" a="1"/>
  <c r="G2028" i="51" s="1"/>
  <c r="G2029" i="51" a="1"/>
  <c r="G2029" i="51"/>
  <c r="G2030" i="51" a="1"/>
  <c r="G2030" i="51" s="1"/>
  <c r="G2031" i="51" a="1"/>
  <c r="G2031" i="51"/>
  <c r="G2032" i="51" a="1"/>
  <c r="G2032" i="51" s="1"/>
  <c r="G2033" i="51" a="1"/>
  <c r="G2033" i="51" s="1"/>
  <c r="G2034" i="51" a="1"/>
  <c r="G2034" i="51" s="1"/>
  <c r="G2035" i="51" a="1"/>
  <c r="G2035" i="51" s="1"/>
  <c r="G2036" i="51" a="1"/>
  <c r="G2036" i="51" s="1"/>
  <c r="G2037" i="51" a="1"/>
  <c r="G2037" i="51"/>
  <c r="G2038" i="51" a="1"/>
  <c r="G2038" i="51" s="1"/>
  <c r="G2039" i="51" a="1"/>
  <c r="G2039" i="51" s="1"/>
  <c r="G2040" i="51" a="1"/>
  <c r="G2040" i="51" s="1"/>
  <c r="G2041" i="51" a="1"/>
  <c r="G2041" i="51" s="1"/>
  <c r="G2042" i="51" a="1"/>
  <c r="G2042" i="51" s="1"/>
  <c r="G2043" i="51" a="1"/>
  <c r="G2043" i="51" s="1"/>
  <c r="G2044" i="51" a="1"/>
  <c r="G2044" i="51" s="1"/>
  <c r="G2045" i="51" a="1"/>
  <c r="G2045" i="51" s="1"/>
  <c r="G2046" i="51" a="1"/>
  <c r="G2046" i="51"/>
  <c r="G2047" i="51" a="1"/>
  <c r="G2047" i="51"/>
  <c r="G2048" i="51" a="1"/>
  <c r="G2048" i="51" s="1"/>
  <c r="G2049" i="51" a="1"/>
  <c r="G2049" i="51" s="1"/>
  <c r="G2050" i="51" a="1"/>
  <c r="G2050" i="51" s="1"/>
  <c r="G2051" i="51" a="1"/>
  <c r="G2051" i="51"/>
  <c r="G2052" i="51" a="1"/>
  <c r="G2052" i="51" s="1"/>
  <c r="G2053" i="51" a="1"/>
  <c r="G2053" i="51" s="1"/>
  <c r="G2054" i="51" a="1"/>
  <c r="G2054" i="51" s="1"/>
  <c r="G2055" i="51" a="1"/>
  <c r="G2055" i="51" s="1"/>
  <c r="G2056" i="51" a="1"/>
  <c r="G2056" i="51" s="1"/>
  <c r="G2057" i="51" a="1"/>
  <c r="G2057" i="51" s="1"/>
  <c r="G2058" i="51" a="1"/>
  <c r="G2058" i="51" s="1"/>
  <c r="G2059" i="51" a="1"/>
  <c r="G2059" i="51" s="1"/>
  <c r="G2060" i="51" a="1"/>
  <c r="G2060" i="51" s="1"/>
  <c r="G2061" i="51" a="1"/>
  <c r="G2061" i="51" s="1"/>
  <c r="G2062" i="51" a="1"/>
  <c r="G2062" i="51" s="1"/>
  <c r="G2063" i="51" a="1"/>
  <c r="G2063" i="51"/>
  <c r="G2064" i="51" a="1"/>
  <c r="G2064" i="51" s="1"/>
  <c r="G2065" i="51" a="1"/>
  <c r="G2065" i="51" s="1"/>
  <c r="G2066" i="51" a="1"/>
  <c r="G2066" i="51" s="1"/>
  <c r="G2067" i="51" a="1"/>
  <c r="G2067" i="51" s="1"/>
  <c r="G2068" i="51" a="1"/>
  <c r="G2068" i="51" s="1"/>
  <c r="G2069" i="51" a="1"/>
  <c r="G2069" i="51" s="1"/>
  <c r="G2070" i="51" a="1"/>
  <c r="G2070" i="51"/>
  <c r="G2071" i="51" a="1"/>
  <c r="G2071" i="51" s="1"/>
  <c r="G2072" i="51" a="1"/>
  <c r="G2072" i="51" s="1"/>
  <c r="G2073" i="51" a="1"/>
  <c r="G2073" i="51" s="1"/>
  <c r="G2074" i="51" a="1"/>
  <c r="G2074" i="51" s="1"/>
  <c r="G2075" i="51" a="1"/>
  <c r="G2075" i="51" s="1"/>
  <c r="G2076" i="51" a="1"/>
  <c r="G2076" i="51" s="1"/>
  <c r="G2077" i="51" a="1"/>
  <c r="G2077" i="51"/>
  <c r="G2078" i="51" a="1"/>
  <c r="G2078" i="51"/>
  <c r="G2079" i="51" a="1"/>
  <c r="G2079" i="51" s="1"/>
  <c r="G2080" i="51" a="1"/>
  <c r="G2080" i="51" s="1"/>
  <c r="G2081" i="51" a="1"/>
  <c r="G2081" i="51" s="1"/>
  <c r="G2082" i="51" a="1"/>
  <c r="G2082" i="51" s="1"/>
  <c r="G2083" i="51" a="1"/>
  <c r="G2083" i="51"/>
  <c r="G2084" i="51" a="1"/>
  <c r="G2084" i="51" s="1"/>
  <c r="G2085" i="51" a="1"/>
  <c r="G2085" i="51" s="1"/>
  <c r="G2086" i="51" a="1"/>
  <c r="G2086" i="51"/>
  <c r="G2087" i="51" a="1"/>
  <c r="G2087" i="51"/>
  <c r="G2088" i="51" a="1"/>
  <c r="G2088" i="51" s="1"/>
  <c r="G2089" i="51" a="1"/>
  <c r="G2089" i="51" s="1"/>
  <c r="G2090" i="51" a="1"/>
  <c r="G2090" i="51" s="1"/>
  <c r="G2091" i="51" a="1"/>
  <c r="G2091" i="51" s="1"/>
  <c r="G2092" i="51" a="1"/>
  <c r="G2092" i="51" s="1"/>
  <c r="G2093" i="51" a="1"/>
  <c r="G2093" i="51" s="1"/>
  <c r="G2094" i="51" a="1"/>
  <c r="G2094" i="51" s="1"/>
  <c r="G2095" i="51" a="1"/>
  <c r="G2095" i="51" s="1"/>
  <c r="G2096" i="51" a="1"/>
  <c r="G2096" i="51" s="1"/>
  <c r="G2097" i="51" a="1"/>
  <c r="G2097" i="51" s="1"/>
  <c r="G2098" i="51" a="1"/>
  <c r="G2098" i="51" s="1"/>
  <c r="G2099" i="51" a="1"/>
  <c r="G2099" i="51" s="1"/>
  <c r="G2100" i="51" a="1"/>
  <c r="G2100" i="51" s="1"/>
  <c r="G2101" i="51" a="1"/>
  <c r="G2101" i="51"/>
  <c r="G2102" i="51" a="1"/>
  <c r="G2102" i="51"/>
  <c r="G2103" i="51" a="1"/>
  <c r="G2103" i="51" s="1"/>
  <c r="G2104" i="51" a="1"/>
  <c r="G2104" i="51" s="1"/>
  <c r="G2105" i="51" a="1"/>
  <c r="G2105" i="51" s="1"/>
  <c r="G2106" i="51" a="1"/>
  <c r="G2106" i="51" s="1"/>
  <c r="G2107" i="51" a="1"/>
  <c r="G2107" i="51" s="1"/>
  <c r="G2108" i="51" a="1"/>
  <c r="G2108" i="51" s="1"/>
  <c r="G2109" i="51" a="1"/>
  <c r="G2109" i="51"/>
  <c r="G2110" i="51" a="1"/>
  <c r="G2110" i="51" s="1"/>
  <c r="G2111" i="51" a="1"/>
  <c r="G2111" i="51"/>
  <c r="G2112" i="51" a="1"/>
  <c r="G2112" i="51" s="1"/>
  <c r="G2113" i="51" a="1"/>
  <c r="G2113" i="51" s="1"/>
  <c r="G2114" i="51" a="1"/>
  <c r="G2114" i="51" s="1"/>
  <c r="G2115" i="51" a="1"/>
  <c r="G2115" i="51" s="1"/>
  <c r="G2116" i="51" a="1"/>
  <c r="G2116" i="51" s="1"/>
  <c r="G2117" i="51" a="1"/>
  <c r="G2117" i="51" s="1"/>
  <c r="G2118" i="51" a="1"/>
  <c r="G2118" i="51"/>
  <c r="G2119" i="51" a="1"/>
  <c r="G2119" i="51"/>
  <c r="G2120" i="51" a="1"/>
  <c r="G2120" i="51" s="1"/>
  <c r="G2121" i="51" a="1"/>
  <c r="G2121" i="51"/>
  <c r="G2122" i="51" a="1"/>
  <c r="G2122" i="51" s="1"/>
  <c r="G2123" i="51" a="1"/>
  <c r="G2123" i="51" s="1"/>
  <c r="G2124" i="51" a="1"/>
  <c r="G2124" i="51" s="1"/>
  <c r="G2125" i="51" a="1"/>
  <c r="G2125" i="51" s="1"/>
  <c r="G2126" i="51" a="1"/>
  <c r="G2126" i="51" s="1"/>
  <c r="G2127" i="51" a="1"/>
  <c r="G2127" i="51"/>
  <c r="G2128" i="51" a="1"/>
  <c r="G2128" i="51" s="1"/>
  <c r="G2129" i="51" a="1"/>
  <c r="G2129" i="51" s="1"/>
  <c r="G2130" i="51" a="1"/>
  <c r="G2130" i="51" s="1"/>
  <c r="G2131" i="51" a="1"/>
  <c r="G2131" i="51" s="1"/>
  <c r="G2132" i="51" a="1"/>
  <c r="G2132" i="51" s="1"/>
  <c r="G2133" i="51" a="1"/>
  <c r="G2133" i="51"/>
  <c r="G2134" i="51" a="1"/>
  <c r="G2134" i="51"/>
  <c r="G2135" i="51" a="1"/>
  <c r="G2135" i="51" s="1"/>
  <c r="G2136" i="51" a="1"/>
  <c r="G2136" i="51" s="1"/>
  <c r="G2137" i="51" a="1"/>
  <c r="G2137" i="51" s="1"/>
  <c r="G2138" i="51" a="1"/>
  <c r="G2138" i="51" s="1"/>
  <c r="G2139" i="51" a="1"/>
  <c r="G2139" i="51" s="1"/>
  <c r="G2140" i="51" a="1"/>
  <c r="G2140" i="51" s="1"/>
  <c r="G2141" i="51" a="1"/>
  <c r="G2141" i="51" s="1"/>
  <c r="G2142" i="51" a="1"/>
  <c r="G2142" i="51"/>
  <c r="G2143" i="51" a="1"/>
  <c r="G2143" i="51"/>
  <c r="G2144" i="51" a="1"/>
  <c r="G2144" i="51" s="1"/>
  <c r="G2145" i="51" a="1"/>
  <c r="G2145" i="51" s="1"/>
  <c r="G2146" i="51" a="1"/>
  <c r="G2146" i="51" s="1"/>
  <c r="G2147" i="51" a="1"/>
  <c r="G2147" i="51" s="1"/>
  <c r="G2148" i="51" a="1"/>
  <c r="G2148" i="51" s="1"/>
  <c r="G2149" i="51" a="1"/>
  <c r="G2149" i="51" s="1"/>
  <c r="G2150" i="51" a="1"/>
  <c r="G2150" i="51"/>
  <c r="G2151" i="51" a="1"/>
  <c r="G2151" i="51" s="1"/>
  <c r="G2152" i="51" a="1"/>
  <c r="G2152" i="51" s="1"/>
  <c r="G2153" i="51" a="1"/>
  <c r="G2153" i="51" s="1"/>
  <c r="G2154" i="51" a="1"/>
  <c r="G2154" i="51" s="1"/>
  <c r="G2155" i="51" a="1"/>
  <c r="G2155" i="51" s="1"/>
  <c r="G2156" i="51" a="1"/>
  <c r="G2156" i="51" s="1"/>
  <c r="G2157" i="51" a="1"/>
  <c r="G2157" i="51"/>
  <c r="G2158" i="51" a="1"/>
  <c r="G2158" i="51" s="1"/>
  <c r="G2159" i="51" a="1"/>
  <c r="G2159" i="51"/>
  <c r="G2160" i="51" a="1"/>
  <c r="G2160" i="51" s="1"/>
  <c r="G2161" i="51" a="1"/>
  <c r="G2161" i="51" s="1"/>
  <c r="G2162" i="51" a="1"/>
  <c r="G2162" i="51" s="1"/>
  <c r="G2163" i="51" a="1"/>
  <c r="G2163" i="51" s="1"/>
  <c r="G2164" i="51" a="1"/>
  <c r="G2164" i="51" s="1"/>
  <c r="G2165" i="51" a="1"/>
  <c r="G2165" i="51"/>
  <c r="G2166" i="51" a="1"/>
  <c r="G2166" i="51" s="1"/>
  <c r="G2167" i="51" a="1"/>
  <c r="G2167" i="51" s="1"/>
  <c r="G2168" i="51" a="1"/>
  <c r="G2168" i="51" s="1"/>
  <c r="G2169" i="51" a="1"/>
  <c r="G2169" i="51" s="1"/>
  <c r="G2170" i="51" a="1"/>
  <c r="G2170" i="51" s="1"/>
  <c r="G2171" i="51" a="1"/>
  <c r="G2171" i="51" s="1"/>
  <c r="G2172" i="51" a="1"/>
  <c r="G2172" i="51" s="1"/>
  <c r="G2173" i="51" a="1"/>
  <c r="G2173" i="51"/>
  <c r="G2174" i="51" a="1"/>
  <c r="G2174" i="51"/>
  <c r="G2175" i="51" a="1"/>
  <c r="G2175" i="51"/>
  <c r="G2176" i="51" a="1"/>
  <c r="G2176" i="51" s="1"/>
  <c r="G2177" i="51" a="1"/>
  <c r="G2177" i="51" s="1"/>
  <c r="G2178" i="51" a="1"/>
  <c r="G2178" i="51" s="1"/>
  <c r="G2179" i="51" a="1"/>
  <c r="G2179" i="51"/>
  <c r="G2180" i="51" a="1"/>
  <c r="G2180" i="51" s="1"/>
  <c r="G2181" i="51" a="1"/>
  <c r="G2181" i="51" s="1"/>
  <c r="G2182" i="51" a="1"/>
  <c r="G2182" i="51" s="1"/>
  <c r="G2183" i="51" a="1"/>
  <c r="G2183" i="51"/>
  <c r="G2184" i="51" a="1"/>
  <c r="G2184" i="51" s="1"/>
  <c r="G2185" i="51" a="1"/>
  <c r="G2185" i="51" s="1"/>
  <c r="G2186" i="51" a="1"/>
  <c r="G2186" i="51" s="1"/>
  <c r="G2187" i="51" a="1"/>
  <c r="G2187" i="51" s="1"/>
  <c r="G2188" i="51" a="1"/>
  <c r="G2188" i="51" s="1"/>
  <c r="G2189" i="51" a="1"/>
  <c r="G2189" i="51" s="1"/>
  <c r="G2190" i="51" a="1"/>
  <c r="G2190" i="51" s="1"/>
  <c r="G2191" i="51" a="1"/>
  <c r="G2191" i="51"/>
  <c r="G2192" i="51" a="1"/>
  <c r="G2192" i="51" s="1"/>
  <c r="G2193" i="51" a="1"/>
  <c r="G2193" i="51" s="1"/>
  <c r="G2194" i="51" a="1"/>
  <c r="G2194" i="51" s="1"/>
  <c r="G2195" i="51" a="1"/>
  <c r="G2195" i="51" s="1"/>
  <c r="G2196" i="51" a="1"/>
  <c r="G2196" i="51" s="1"/>
  <c r="G2197" i="51" a="1"/>
  <c r="G2197" i="51" s="1"/>
  <c r="G2198" i="51" a="1"/>
  <c r="G2198" i="51"/>
  <c r="G2199" i="51" a="1"/>
  <c r="G2199" i="51" s="1"/>
  <c r="G2200" i="51" a="1"/>
  <c r="G2200" i="51" s="1"/>
  <c r="G2201" i="51" a="1"/>
  <c r="G2201" i="51" s="1"/>
  <c r="G2202" i="51" a="1"/>
  <c r="G2202" i="51" s="1"/>
  <c r="G2203" i="51" a="1"/>
  <c r="G2203" i="51" s="1"/>
  <c r="G2204" i="51" a="1"/>
  <c r="G2204" i="51" s="1"/>
  <c r="G2205" i="51" a="1"/>
  <c r="G2205" i="51"/>
  <c r="G2206" i="51" a="1"/>
  <c r="G2206" i="51"/>
  <c r="G2207" i="51" a="1"/>
  <c r="G2207" i="51" s="1"/>
  <c r="G2208" i="51" a="1"/>
  <c r="G2208" i="51" s="1"/>
  <c r="G2209" i="51" a="1"/>
  <c r="G2209" i="51" s="1"/>
  <c r="G2210" i="51" a="1"/>
  <c r="G2210" i="51" s="1"/>
  <c r="G2211" i="51" a="1"/>
  <c r="G2211" i="51"/>
  <c r="G2212" i="51" a="1"/>
  <c r="G2212" i="51" s="1"/>
  <c r="G2213" i="51" a="1"/>
  <c r="G2213" i="51" s="1"/>
  <c r="G2214" i="51" a="1"/>
  <c r="G2214" i="51"/>
  <c r="G2215" i="51" a="1"/>
  <c r="G2215" i="51"/>
  <c r="G2216" i="51" a="1"/>
  <c r="G2216" i="51" s="1"/>
  <c r="G2217" i="51" a="1"/>
  <c r="G2217" i="51" s="1"/>
  <c r="G2218" i="51" a="1"/>
  <c r="G2218" i="51" s="1"/>
  <c r="G2219" i="51" a="1"/>
  <c r="G2219" i="51" s="1"/>
  <c r="G2220" i="51" a="1"/>
  <c r="G2220" i="51" s="1"/>
  <c r="G2221" i="51" a="1"/>
  <c r="G2221" i="51" s="1"/>
  <c r="G2222" i="51" a="1"/>
  <c r="G2222" i="51" s="1"/>
  <c r="G2223" i="51" a="1"/>
  <c r="G2223" i="51" s="1"/>
  <c r="G2224" i="51" a="1"/>
  <c r="G2224" i="51" s="1"/>
  <c r="G2225" i="51" a="1"/>
  <c r="G2225" i="51" s="1"/>
  <c r="G2226" i="51" a="1"/>
  <c r="G2226" i="51" s="1"/>
  <c r="G2227" i="51" a="1"/>
  <c r="G2227" i="51" s="1"/>
  <c r="G2228" i="51" a="1"/>
  <c r="G2228" i="51" s="1"/>
  <c r="G2229" i="51" a="1"/>
  <c r="G2229" i="51"/>
  <c r="G2230" i="51" a="1"/>
  <c r="G2230" i="51"/>
  <c r="G2231" i="51" a="1"/>
  <c r="G2231" i="51" s="1"/>
  <c r="G2232" i="51" a="1"/>
  <c r="G2232" i="51" s="1"/>
  <c r="G2233" i="51" a="1"/>
  <c r="G2233" i="51" s="1"/>
  <c r="G2234" i="51" a="1"/>
  <c r="G2234" i="51" s="1"/>
  <c r="G2235" i="51" a="1"/>
  <c r="G2235" i="51" s="1"/>
  <c r="G2236" i="51" a="1"/>
  <c r="G2236" i="51" s="1"/>
  <c r="G2237" i="51" a="1"/>
  <c r="G2237" i="51"/>
  <c r="G2238" i="51" a="1"/>
  <c r="G2238" i="51" s="1"/>
  <c r="G2239" i="51" a="1"/>
  <c r="G2239" i="51"/>
  <c r="G2240" i="51" a="1"/>
  <c r="G2240" i="51" s="1"/>
  <c r="G2241" i="51" a="1"/>
  <c r="G2241" i="51" s="1"/>
  <c r="G2242" i="51" a="1"/>
  <c r="G2242" i="51" s="1"/>
  <c r="G2243" i="51" a="1"/>
  <c r="G2243" i="51" s="1"/>
  <c r="G2244" i="51" a="1"/>
  <c r="G2244" i="51" s="1"/>
  <c r="G2245" i="51" a="1"/>
  <c r="G2245" i="51" s="1"/>
  <c r="G2246" i="51" a="1"/>
  <c r="G2246" i="51"/>
  <c r="G2247" i="51" a="1"/>
  <c r="G2247" i="51"/>
  <c r="G2248" i="51" a="1"/>
  <c r="G2248" i="51" s="1"/>
  <c r="G2249" i="51" a="1"/>
  <c r="G2249" i="51"/>
  <c r="G2250" i="51" a="1"/>
  <c r="G2250" i="51" s="1"/>
  <c r="G2251" i="51" a="1"/>
  <c r="G2251" i="51" s="1"/>
  <c r="G2252" i="51" a="1"/>
  <c r="G2252" i="51" s="1"/>
  <c r="G2253" i="51" a="1"/>
  <c r="G2253" i="51" s="1"/>
  <c r="G2254" i="51" a="1"/>
  <c r="G2254" i="51" s="1"/>
  <c r="G2255" i="51" a="1"/>
  <c r="G2255" i="51" s="1"/>
  <c r="G2256" i="51" a="1"/>
  <c r="G2256" i="51" s="1"/>
  <c r="G2257" i="51" a="1"/>
  <c r="G2257" i="51"/>
  <c r="G2258" i="51" a="1"/>
  <c r="G2258" i="51"/>
  <c r="G2259" i="51" a="1"/>
  <c r="G2259" i="51" s="1"/>
  <c r="G2260" i="51" a="1"/>
  <c r="G2260" i="51" s="1"/>
  <c r="G2261" i="51" a="1"/>
  <c r="G2261" i="51" s="1"/>
  <c r="G2262" i="51" a="1"/>
  <c r="G2262" i="51" s="1"/>
  <c r="G2263" i="51" a="1"/>
  <c r="G2263" i="51" s="1"/>
  <c r="G2264" i="51" a="1"/>
  <c r="G2264" i="51" s="1"/>
  <c r="G2265" i="51" a="1"/>
  <c r="G2265" i="51" s="1"/>
  <c r="G2266" i="51" a="1"/>
  <c r="G2266" i="51"/>
  <c r="G2267" i="51" a="1"/>
  <c r="G2267" i="51"/>
  <c r="G2268" i="51" a="1"/>
  <c r="G2268" i="51" s="1"/>
  <c r="G2269" i="51" a="1"/>
  <c r="G2269" i="51" s="1"/>
  <c r="G2270" i="51" a="1"/>
  <c r="G2270" i="51" s="1"/>
  <c r="G2271" i="51" a="1"/>
  <c r="G2271" i="51" s="1"/>
  <c r="G2272" i="51" a="1"/>
  <c r="G2272" i="51" s="1"/>
  <c r="G2273" i="51" a="1"/>
  <c r="G2273" i="51" s="1"/>
  <c r="G2274" i="51" a="1"/>
  <c r="G2274" i="51" s="1"/>
  <c r="G2275" i="51" a="1"/>
  <c r="G2275" i="51" s="1"/>
  <c r="G2276" i="51" a="1"/>
  <c r="G2276" i="51" s="1"/>
  <c r="G2277" i="51" a="1"/>
  <c r="G2277" i="51" s="1"/>
  <c r="G2278" i="51" a="1"/>
  <c r="G2278" i="51" s="1"/>
  <c r="G2279" i="51" a="1"/>
  <c r="G2279" i="51" s="1"/>
  <c r="G2280" i="51" a="1"/>
  <c r="G2280" i="51" s="1"/>
  <c r="G2281" i="51" a="1"/>
  <c r="G2281" i="51" s="1"/>
  <c r="G2282" i="51" a="1"/>
  <c r="G2282" i="51" s="1"/>
  <c r="G2283" i="51" a="1"/>
  <c r="G2283" i="51" s="1"/>
  <c r="G2284" i="51" a="1"/>
  <c r="G2284" i="51" s="1"/>
  <c r="G2285" i="51" a="1"/>
  <c r="G2285" i="51"/>
  <c r="G2286" i="51" a="1"/>
  <c r="G2286" i="51" s="1"/>
  <c r="G2287" i="51" a="1"/>
  <c r="G2287" i="51" s="1"/>
  <c r="G2288" i="51" a="1"/>
  <c r="G2288" i="51" s="1"/>
  <c r="G2289" i="51" a="1"/>
  <c r="G2289" i="51" s="1"/>
  <c r="G2290" i="51" a="1"/>
  <c r="G2290" i="51" s="1"/>
  <c r="G2291" i="51" a="1"/>
  <c r="G2291" i="51"/>
  <c r="G2292" i="51" a="1"/>
  <c r="G2292" i="51" s="1"/>
  <c r="G2293" i="51" a="1"/>
  <c r="G2293" i="51"/>
  <c r="G2294" i="51" a="1"/>
  <c r="G2294" i="51" s="1"/>
  <c r="G2295" i="51" a="1"/>
  <c r="G2295" i="51" s="1"/>
  <c r="G2296" i="51" a="1"/>
  <c r="G2296" i="51" s="1"/>
  <c r="G2297" i="51" a="1"/>
  <c r="G2297" i="51" s="1"/>
  <c r="G2298" i="51" a="1"/>
  <c r="G2298" i="51" s="1"/>
  <c r="G2299" i="51" a="1"/>
  <c r="G2299" i="51" s="1"/>
  <c r="G2300" i="51" a="1"/>
  <c r="G2300" i="51" s="1"/>
  <c r="G2301" i="51" a="1"/>
  <c r="G2301" i="51" s="1"/>
  <c r="G2302" i="51" a="1"/>
  <c r="G2302" i="51" s="1"/>
  <c r="G2303" i="51" a="1"/>
  <c r="G2303" i="51" s="1"/>
  <c r="G2304" i="51" a="1"/>
  <c r="G2304" i="51" s="1"/>
  <c r="G2305" i="51" a="1"/>
  <c r="G2305" i="51"/>
  <c r="G2306" i="51" a="1"/>
  <c r="G2306" i="51" s="1"/>
  <c r="G2307" i="51" a="1"/>
  <c r="G2307" i="51"/>
  <c r="G2308" i="51" a="1"/>
  <c r="G2308" i="51" s="1"/>
  <c r="G2309" i="51" a="1"/>
  <c r="G2309" i="51" s="1"/>
  <c r="G2310" i="51" a="1"/>
  <c r="G2310" i="51" s="1"/>
  <c r="G2311" i="51" a="1"/>
  <c r="G2311" i="51"/>
  <c r="G2312" i="51" a="1"/>
  <c r="G2312" i="51" s="1"/>
  <c r="G2313" i="51" a="1"/>
  <c r="G2313" i="51" s="1"/>
  <c r="G2314" i="51" a="1"/>
  <c r="G2314" i="51" s="1"/>
  <c r="G2315" i="51" a="1"/>
  <c r="G2315" i="51" s="1"/>
  <c r="G2316" i="51" a="1"/>
  <c r="G2316" i="51" s="1"/>
  <c r="G2317" i="51" a="1"/>
  <c r="G2317" i="51" s="1"/>
  <c r="G2318" i="51" a="1"/>
  <c r="G2318" i="51" s="1"/>
  <c r="G2319" i="51" a="1"/>
  <c r="G2319" i="51" s="1"/>
  <c r="G2320" i="51" a="1"/>
  <c r="G2320" i="51" s="1"/>
  <c r="G2321" i="51" a="1"/>
  <c r="G2321" i="51" s="1"/>
  <c r="G2322" i="51" a="1"/>
  <c r="G2322" i="51" s="1"/>
  <c r="G2323" i="51" a="1"/>
  <c r="G2323" i="51" s="1"/>
  <c r="G2324" i="51" a="1"/>
  <c r="G2324" i="51" s="1"/>
  <c r="G2325" i="51" a="1"/>
  <c r="G2325" i="51" s="1"/>
  <c r="G2326" i="51" a="1"/>
  <c r="G2326" i="51" s="1"/>
  <c r="G2327" i="51" a="1"/>
  <c r="G2327" i="51" s="1"/>
  <c r="G2328" i="51" a="1"/>
  <c r="G2328" i="51" s="1"/>
  <c r="G2329" i="51" a="1"/>
  <c r="G2329" i="51" s="1"/>
  <c r="G2330" i="51" a="1"/>
  <c r="G2330" i="51"/>
  <c r="G2331" i="51" a="1"/>
  <c r="G2331" i="51" s="1"/>
  <c r="G2332" i="51" a="1"/>
  <c r="G2332" i="51" s="1"/>
  <c r="G2333" i="51" a="1"/>
  <c r="G2333" i="51" s="1"/>
  <c r="G2334" i="51" a="1"/>
  <c r="G2334" i="51"/>
  <c r="G2335" i="51" a="1"/>
  <c r="G2335" i="51" s="1"/>
  <c r="G2336" i="51" a="1"/>
  <c r="G2336" i="51" s="1"/>
  <c r="G2337" i="51" a="1"/>
  <c r="G2337" i="51" s="1"/>
  <c r="G2338" i="51" a="1"/>
  <c r="G2338" i="51" s="1"/>
  <c r="G2339" i="51" a="1"/>
  <c r="G2339" i="51"/>
  <c r="G2340" i="51" a="1"/>
  <c r="G2340" i="51" s="1"/>
  <c r="G2341" i="51" a="1"/>
  <c r="G2341" i="51" s="1"/>
  <c r="G2342" i="51" a="1"/>
  <c r="G2342" i="51"/>
  <c r="G2343" i="51" a="1"/>
  <c r="G2343" i="51"/>
  <c r="G2344" i="51" a="1"/>
  <c r="G2344" i="51" s="1"/>
  <c r="G2345" i="51" a="1"/>
  <c r="G2345" i="51"/>
  <c r="G2346" i="51" a="1"/>
  <c r="G2346" i="51"/>
  <c r="G2347" i="51" a="1"/>
  <c r="G2347" i="51" s="1"/>
  <c r="G2348" i="51" a="1"/>
  <c r="G2348" i="51" s="1"/>
  <c r="G2349" i="51" a="1"/>
  <c r="G2349" i="51" s="1"/>
  <c r="G2350" i="51" a="1"/>
  <c r="G2350" i="51" s="1"/>
  <c r="G2351" i="51" a="1"/>
  <c r="G2351" i="51" s="1"/>
  <c r="G2352" i="51" a="1"/>
  <c r="G2352" i="51" s="1"/>
  <c r="G2353" i="51" a="1"/>
  <c r="G2353" i="51"/>
  <c r="G2354" i="51" a="1"/>
  <c r="G2354" i="51" s="1"/>
  <c r="G2355" i="51" a="1"/>
  <c r="G2355" i="51" s="1"/>
  <c r="G2356" i="51" a="1"/>
  <c r="G2356" i="51"/>
  <c r="G2357" i="51" a="1"/>
  <c r="G2357" i="51" s="1"/>
  <c r="G2358" i="51" a="1"/>
  <c r="G2358" i="51" s="1"/>
  <c r="G2359" i="51" a="1"/>
  <c r="G2359" i="51" s="1"/>
  <c r="G2360" i="51" a="1"/>
  <c r="G2360" i="51" s="1"/>
  <c r="G2361" i="51" a="1"/>
  <c r="G2361" i="51" s="1"/>
  <c r="G2362" i="51" a="1"/>
  <c r="G2362" i="51" s="1"/>
  <c r="G2363" i="51" a="1"/>
  <c r="G2363" i="51" s="1"/>
  <c r="G2364" i="51" a="1"/>
  <c r="G2364" i="51" s="1"/>
  <c r="G2365" i="51" a="1"/>
  <c r="G2365" i="51" s="1"/>
  <c r="G2366" i="51" a="1"/>
  <c r="G2366" i="51" s="1"/>
  <c r="G2367" i="51" a="1"/>
  <c r="G2367" i="51"/>
  <c r="G2368" i="51" a="1"/>
  <c r="G2368" i="51" s="1"/>
  <c r="G2369" i="51" a="1"/>
  <c r="G2369" i="51" s="1"/>
  <c r="G2370" i="51" a="1"/>
  <c r="G2370" i="51" s="1"/>
  <c r="G2371" i="51" a="1"/>
  <c r="G2371" i="51"/>
  <c r="G2372" i="51" a="1"/>
  <c r="G2372" i="51"/>
  <c r="G2373" i="51" a="1"/>
  <c r="G2373" i="51" s="1"/>
  <c r="G2374" i="51" a="1"/>
  <c r="G2374" i="51" s="1"/>
  <c r="G2375" i="51" a="1"/>
  <c r="G2375" i="51" s="1"/>
  <c r="G2376" i="51" a="1"/>
  <c r="G2376" i="51" s="1"/>
  <c r="G2377" i="51" a="1"/>
  <c r="G2377" i="51" s="1"/>
  <c r="G2378" i="51" a="1"/>
  <c r="G2378" i="51" s="1"/>
  <c r="G2379" i="51" a="1"/>
  <c r="G2379" i="51" s="1"/>
  <c r="G2380" i="51" a="1"/>
  <c r="G2380" i="51"/>
  <c r="G2381" i="51" a="1"/>
  <c r="G2381" i="51"/>
  <c r="G2382" i="51" a="1"/>
  <c r="G2382" i="51" s="1"/>
  <c r="G2383" i="51" a="1"/>
  <c r="G2383" i="51" s="1"/>
  <c r="G2384" i="51" a="1"/>
  <c r="G2384" i="51" s="1"/>
  <c r="G2385" i="51" a="1"/>
  <c r="G2385" i="51"/>
  <c r="G2386" i="51" a="1"/>
  <c r="G2386" i="51" s="1"/>
  <c r="G2387" i="51" a="1"/>
  <c r="G2387" i="51" s="1"/>
  <c r="G2388" i="51" a="1"/>
  <c r="G2388" i="51" s="1"/>
  <c r="G2389" i="51" a="1"/>
  <c r="G2389" i="51"/>
  <c r="G2390" i="51" a="1"/>
  <c r="G2390" i="51" s="1"/>
  <c r="G2391" i="51" a="1"/>
  <c r="G2391" i="51"/>
  <c r="G2392" i="51" a="1"/>
  <c r="G2392" i="51" s="1"/>
  <c r="G2393" i="51" a="1"/>
  <c r="G2393" i="51" s="1"/>
  <c r="G2394" i="51" a="1"/>
  <c r="G2394" i="51" s="1"/>
  <c r="G2395" i="51" a="1"/>
  <c r="G2395" i="51"/>
  <c r="G2396" i="51" a="1"/>
  <c r="G2396" i="51" s="1"/>
  <c r="G2397" i="51" a="1"/>
  <c r="G2397" i="51" s="1"/>
  <c r="G2398" i="51" a="1"/>
  <c r="G2398" i="51" s="1"/>
  <c r="G2399" i="51" a="1"/>
  <c r="G2399" i="51" s="1"/>
  <c r="G2400" i="51" a="1"/>
  <c r="G2400" i="51"/>
  <c r="G2401" i="51" a="1"/>
  <c r="G2401" i="51" s="1"/>
  <c r="G2402" i="51" a="1"/>
  <c r="G2402" i="51" s="1"/>
  <c r="G2403" i="51" a="1"/>
  <c r="G2403" i="51" s="1"/>
  <c r="G2404" i="51" a="1"/>
  <c r="G2404" i="51"/>
  <c r="G2405" i="51" a="1"/>
  <c r="G2405" i="51" s="1"/>
  <c r="G2406" i="51" a="1"/>
  <c r="G2406" i="51" s="1"/>
  <c r="G2407" i="51" a="1"/>
  <c r="G2407" i="51" s="1"/>
  <c r="G2408" i="51" a="1"/>
  <c r="G2408" i="51" s="1"/>
  <c r="G2409" i="51" a="1"/>
  <c r="G2409" i="51" s="1"/>
  <c r="G2410" i="51" a="1"/>
  <c r="G2410" i="51" s="1"/>
  <c r="G2411" i="51" a="1"/>
  <c r="G2411" i="51" s="1"/>
  <c r="G2412" i="51" a="1"/>
  <c r="G2412" i="51"/>
  <c r="G2413" i="51" a="1"/>
  <c r="G2413" i="51"/>
  <c r="G2414" i="51" a="1"/>
  <c r="G2414" i="51" s="1"/>
  <c r="G2415" i="51" a="1"/>
  <c r="G2415" i="51" s="1"/>
  <c r="G2416" i="51" a="1"/>
  <c r="G2416" i="51" s="1"/>
  <c r="G2417" i="51" a="1"/>
  <c r="G2417" i="51" s="1"/>
  <c r="G2418" i="51" a="1"/>
  <c r="G2418" i="51" s="1"/>
  <c r="G2419" i="51" a="1"/>
  <c r="G2419" i="51" s="1"/>
  <c r="G2420" i="51" a="1"/>
  <c r="G2420" i="51"/>
  <c r="G2421" i="51" a="1"/>
  <c r="G2421" i="51" s="1"/>
  <c r="G2422" i="51" a="1"/>
  <c r="G2422" i="51" s="1"/>
  <c r="G2423" i="51" a="1"/>
  <c r="G2423" i="51"/>
  <c r="G2424" i="51" a="1"/>
  <c r="G2424" i="51" s="1"/>
  <c r="G2425" i="51" a="1"/>
  <c r="G2425" i="51" s="1"/>
  <c r="G2426" i="51" a="1"/>
  <c r="G2426" i="51" s="1"/>
  <c r="G2427" i="51" a="1"/>
  <c r="G2427" i="51" s="1"/>
  <c r="G2428" i="51" a="1"/>
  <c r="G2428" i="51" s="1"/>
  <c r="G2429" i="51" a="1"/>
  <c r="G2429" i="51"/>
  <c r="G2430" i="51" a="1"/>
  <c r="G2430" i="51" s="1"/>
  <c r="G2431" i="51" a="1"/>
  <c r="G2431" i="51" s="1"/>
  <c r="G2432" i="51" a="1"/>
  <c r="G2432" i="51" s="1"/>
  <c r="G2433" i="51" a="1"/>
  <c r="G2433" i="51" s="1"/>
  <c r="G2434" i="51" a="1"/>
  <c r="G2434" i="51" s="1"/>
  <c r="G2435" i="51" a="1"/>
  <c r="G2435" i="51"/>
  <c r="G2436" i="51" a="1"/>
  <c r="G2436" i="51" s="1"/>
  <c r="G2437" i="51" a="1"/>
  <c r="G2437" i="51" s="1"/>
  <c r="G2438" i="51" a="1"/>
  <c r="G2438" i="51" s="1"/>
  <c r="G2439" i="51" a="1"/>
  <c r="G2439" i="51" s="1"/>
  <c r="G2440" i="51" a="1"/>
  <c r="G2440" i="51" s="1"/>
  <c r="G2441" i="51" a="1"/>
  <c r="G2441" i="51"/>
  <c r="G2442" i="51" a="1"/>
  <c r="G2442" i="51" s="1"/>
  <c r="G2443" i="51" a="1"/>
  <c r="G2443" i="51"/>
  <c r="G2444" i="51" a="1"/>
  <c r="G2444" i="51" s="1"/>
  <c r="G2445" i="51" a="1"/>
  <c r="G2445" i="51" s="1"/>
  <c r="G2446" i="51" a="1"/>
  <c r="G2446" i="51" s="1"/>
  <c r="G2447" i="51" a="1"/>
  <c r="G2447" i="51" s="1"/>
  <c r="G2448" i="51" a="1"/>
  <c r="G2448" i="51" s="1"/>
  <c r="G2449" i="51" a="1"/>
  <c r="G2449" i="51" s="1"/>
  <c r="G2450" i="51" a="1"/>
  <c r="G2450" i="51" s="1"/>
  <c r="G2451" i="51" a="1"/>
  <c r="G2451" i="51" s="1"/>
  <c r="G2452" i="51" a="1"/>
  <c r="G2452" i="51" s="1"/>
  <c r="G2453" i="51" a="1"/>
  <c r="G2453" i="51"/>
  <c r="G2454" i="51" a="1"/>
  <c r="G2454" i="51" s="1"/>
  <c r="G2455" i="51" a="1"/>
  <c r="G2455" i="51" s="1"/>
  <c r="G2456" i="51" a="1"/>
  <c r="G2456" i="51" s="1"/>
  <c r="G2457" i="51" a="1"/>
  <c r="G2457" i="51" s="1"/>
  <c r="G2458" i="51" a="1"/>
  <c r="G2458" i="51" s="1"/>
  <c r="G2459" i="51" a="1"/>
  <c r="G2459" i="51"/>
  <c r="G2460" i="51" a="1"/>
  <c r="G2460" i="51" s="1"/>
  <c r="G2461" i="51" a="1"/>
  <c r="G2461" i="51" s="1"/>
  <c r="G2462" i="51" a="1"/>
  <c r="G2462" i="51" s="1"/>
  <c r="G2463" i="51" a="1"/>
  <c r="G2463" i="51" s="1"/>
  <c r="G2464" i="51" a="1"/>
  <c r="G2464" i="51"/>
  <c r="G2465" i="51" a="1"/>
  <c r="G2465" i="51" s="1"/>
  <c r="G2466" i="51" a="1"/>
  <c r="G2466" i="51" s="1"/>
  <c r="G2467" i="51" a="1"/>
  <c r="G2467" i="51" s="1"/>
  <c r="G2468" i="51" a="1"/>
  <c r="G2468" i="51"/>
  <c r="G2469" i="51" a="1"/>
  <c r="G2469" i="51" s="1"/>
  <c r="G2470" i="51" a="1"/>
  <c r="G2470" i="51" s="1"/>
  <c r="G2471" i="51" a="1"/>
  <c r="G2471" i="51" s="1"/>
  <c r="G2472" i="51" a="1"/>
  <c r="G2472" i="51" s="1"/>
  <c r="G2473" i="51" a="1"/>
  <c r="G2473" i="51" s="1"/>
  <c r="G2474" i="51" a="1"/>
  <c r="G2474" i="51" s="1"/>
  <c r="G2475" i="51" a="1"/>
  <c r="G2475" i="51" s="1"/>
  <c r="G2476" i="51" a="1"/>
  <c r="G2476" i="51"/>
  <c r="G2477" i="51" a="1"/>
  <c r="G2477" i="51"/>
  <c r="G2478" i="51" a="1"/>
  <c r="G2478" i="51" s="1"/>
  <c r="G2479" i="51" a="1"/>
  <c r="G2479" i="51" s="1"/>
  <c r="G2480" i="51" a="1"/>
  <c r="G2480" i="51" s="1"/>
  <c r="G2481" i="51" a="1"/>
  <c r="G2481" i="51" s="1"/>
  <c r="G2482" i="51" a="1"/>
  <c r="G2482" i="51" s="1"/>
  <c r="G2483" i="51" a="1"/>
  <c r="G2483" i="51" s="1"/>
  <c r="G2484" i="51" a="1"/>
  <c r="G2484" i="51"/>
  <c r="G2485" i="51" a="1"/>
  <c r="G2485" i="51" s="1"/>
  <c r="G2486" i="51" a="1"/>
  <c r="G2486" i="51" s="1"/>
  <c r="G2487" i="51" a="1"/>
  <c r="G2487" i="51"/>
  <c r="G2488" i="51" a="1"/>
  <c r="G2488" i="51" s="1"/>
  <c r="G2489" i="51" a="1"/>
  <c r="G2489" i="51" s="1"/>
  <c r="G2490" i="51" a="1"/>
  <c r="G2490" i="51" s="1"/>
  <c r="G2491" i="51" a="1"/>
  <c r="G2491" i="51" s="1"/>
  <c r="G2492" i="51" a="1"/>
  <c r="G2492" i="51" s="1"/>
  <c r="G2493" i="51" a="1"/>
  <c r="G2493" i="51"/>
  <c r="G2494" i="51" a="1"/>
  <c r="G2494" i="51" s="1"/>
  <c r="G2495" i="51" a="1"/>
  <c r="G2495" i="51" s="1"/>
  <c r="G2496" i="51" a="1"/>
  <c r="G2496" i="51" s="1"/>
  <c r="G2497" i="51" a="1"/>
  <c r="G2497" i="51" s="1"/>
  <c r="G2498" i="51" a="1"/>
  <c r="G2498" i="51" s="1"/>
  <c r="G2499" i="51" a="1"/>
  <c r="G2499" i="51" s="1"/>
  <c r="G2500" i="51" a="1"/>
  <c r="G2500" i="51" s="1"/>
  <c r="G2501" i="51" a="1"/>
  <c r="G2501" i="51" s="1"/>
  <c r="G2502" i="51" a="1"/>
  <c r="G2502" i="51" s="1"/>
  <c r="G2503" i="51" a="1"/>
  <c r="G2503" i="51" s="1"/>
  <c r="G2504" i="51" a="1"/>
  <c r="G2504" i="51" s="1"/>
  <c r="G2505" i="51" a="1"/>
  <c r="G2505" i="51" s="1"/>
  <c r="G2506" i="51" a="1"/>
  <c r="G2506" i="51" s="1"/>
  <c r="G2507" i="51" a="1"/>
  <c r="G2507" i="51"/>
  <c r="G2508" i="51" a="1"/>
  <c r="G2508" i="51" s="1"/>
  <c r="G2509" i="51" a="1"/>
  <c r="G2509" i="51" s="1"/>
  <c r="G2510" i="51" a="1"/>
  <c r="G2510" i="51" s="1"/>
  <c r="G2511" i="51" a="1"/>
  <c r="G2511" i="51" s="1"/>
  <c r="G2512" i="51" a="1"/>
  <c r="G2512" i="51" s="1"/>
  <c r="G2513" i="51" a="1"/>
  <c r="G2513" i="51" s="1"/>
  <c r="G2514" i="51" a="1"/>
  <c r="G2514" i="51" s="1"/>
  <c r="G2515" i="51" a="1"/>
  <c r="G2515" i="51" s="1"/>
  <c r="G2516" i="51" a="1"/>
  <c r="G2516" i="51" s="1"/>
  <c r="G2517" i="51" a="1"/>
  <c r="G2517" i="51"/>
  <c r="G2518" i="51" a="1"/>
  <c r="G2518" i="51" s="1"/>
  <c r="G2519" i="51" a="1"/>
  <c r="G2519" i="51" s="1"/>
  <c r="G2520" i="51" a="1"/>
  <c r="G2520" i="51" s="1"/>
  <c r="G2521" i="51" a="1"/>
  <c r="G2521" i="51" s="1"/>
  <c r="G2522" i="51" a="1"/>
  <c r="G2522" i="51" s="1"/>
  <c r="G2523" i="51" a="1"/>
  <c r="G2523" i="51"/>
  <c r="G2524" i="51" a="1"/>
  <c r="G2524" i="51" s="1"/>
  <c r="G2525" i="51" a="1"/>
  <c r="G2525" i="51" s="1"/>
  <c r="G2526" i="51" a="1"/>
  <c r="G2526" i="51" s="1"/>
  <c r="G2527" i="51" a="1"/>
  <c r="G2527" i="51" s="1"/>
  <c r="G2528" i="51" a="1"/>
  <c r="G2528" i="51"/>
  <c r="G2529" i="51" a="1"/>
  <c r="G2529" i="51" s="1"/>
  <c r="G2530" i="51" a="1"/>
  <c r="G2530" i="51" s="1"/>
  <c r="G2531" i="51" a="1"/>
  <c r="G2531" i="51" s="1"/>
  <c r="G2532" i="51" a="1"/>
  <c r="G2532" i="51"/>
  <c r="G2533" i="51" a="1"/>
  <c r="G2533" i="51" s="1"/>
  <c r="G2534" i="51" a="1"/>
  <c r="G2534" i="51" s="1"/>
  <c r="G2535" i="51" a="1"/>
  <c r="G2535" i="51" s="1"/>
  <c r="G2536" i="51" a="1"/>
  <c r="G2536" i="51" s="1"/>
  <c r="G2537" i="51" a="1"/>
  <c r="G2537" i="51" s="1"/>
  <c r="G2538" i="51" a="1"/>
  <c r="G2538" i="51" s="1"/>
  <c r="G2539" i="51" a="1"/>
  <c r="G2539" i="51" s="1"/>
  <c r="G2540" i="51" a="1"/>
  <c r="G2540" i="51"/>
  <c r="G2541" i="51" a="1"/>
  <c r="G2541" i="51" s="1"/>
  <c r="G2542" i="51" a="1"/>
  <c r="G2542" i="51" s="1"/>
  <c r="G2543" i="51" a="1"/>
  <c r="G2543" i="51" s="1"/>
  <c r="G2544" i="51" a="1"/>
  <c r="G2544" i="51" s="1"/>
  <c r="G2545" i="51" a="1"/>
  <c r="G2545" i="51" s="1"/>
  <c r="G2546" i="51" a="1"/>
  <c r="G2546" i="51" s="1"/>
  <c r="G2547" i="51" a="1"/>
  <c r="G2547" i="51" s="1"/>
  <c r="G2548" i="51" a="1"/>
  <c r="G2548" i="51" s="1"/>
  <c r="G2549" i="51" a="1"/>
  <c r="G2549" i="51" s="1"/>
  <c r="G2550" i="51" a="1"/>
  <c r="G2550" i="51" s="1"/>
  <c r="G2551" i="51" a="1"/>
  <c r="G2551" i="51"/>
  <c r="G2552" i="51" a="1"/>
  <c r="G2552" i="51" s="1"/>
  <c r="G2553" i="51" a="1"/>
  <c r="G2553" i="51" s="1"/>
  <c r="G2554" i="51" a="1"/>
  <c r="G2554" i="51" s="1"/>
  <c r="G2555" i="51" a="1"/>
  <c r="G2555" i="51" s="1"/>
  <c r="G2556" i="51" a="1"/>
  <c r="G2556" i="51" s="1"/>
  <c r="G2557" i="51" a="1"/>
  <c r="G2557" i="51"/>
  <c r="G2558" i="51" a="1"/>
  <c r="G2558" i="51" s="1"/>
  <c r="G2559" i="51" a="1"/>
  <c r="G2559" i="51" s="1"/>
  <c r="G2560" i="51" a="1"/>
  <c r="G2560" i="51" s="1"/>
  <c r="G2561" i="51" a="1"/>
  <c r="G2561" i="51" s="1"/>
  <c r="G2562" i="51" a="1"/>
  <c r="G2562" i="51" s="1"/>
  <c r="G2563" i="51" a="1"/>
  <c r="G2563" i="51"/>
  <c r="G2564" i="51" a="1"/>
  <c r="G2564" i="51" s="1"/>
  <c r="G2565" i="51" a="1"/>
  <c r="G2565" i="51" s="1"/>
  <c r="G2566" i="51" a="1"/>
  <c r="G2566" i="51" s="1"/>
  <c r="G2567" i="51" a="1"/>
  <c r="G2567" i="51" s="1"/>
  <c r="G2568" i="51" a="1"/>
  <c r="G2568" i="51" s="1"/>
  <c r="G2569" i="51" a="1"/>
  <c r="G2569" i="51" s="1"/>
  <c r="G2570" i="51" a="1"/>
  <c r="G2570" i="51" s="1"/>
  <c r="G2571" i="51" a="1"/>
  <c r="G2571" i="51" s="1"/>
  <c r="G2572" i="51" a="1"/>
  <c r="G2572" i="51"/>
  <c r="G2573" i="51" a="1"/>
  <c r="G2573" i="51" s="1"/>
  <c r="G2574" i="51" a="1"/>
  <c r="G2574" i="51"/>
  <c r="G2575" i="51" a="1"/>
  <c r="G2575" i="51" s="1"/>
  <c r="G2576" i="51" a="1"/>
  <c r="G2576" i="51" s="1"/>
  <c r="G2577" i="51" a="1"/>
  <c r="G2577" i="51" s="1"/>
  <c r="G2578" i="51" a="1"/>
  <c r="G2578" i="51" s="1"/>
  <c r="G2579" i="51" a="1"/>
  <c r="G2579" i="51" s="1"/>
  <c r="G2580" i="51" a="1"/>
  <c r="G2580" i="51" s="1"/>
  <c r="G2581" i="51" a="1"/>
  <c r="G2581" i="51" s="1"/>
  <c r="G2582" i="51" a="1"/>
  <c r="G2582" i="51" s="1"/>
  <c r="G2583" i="51" a="1"/>
  <c r="G2583" i="51" s="1"/>
  <c r="G2584" i="51" a="1"/>
  <c r="G2584" i="51"/>
  <c r="G2585" i="51" a="1"/>
  <c r="G2585" i="51" s="1"/>
  <c r="G2586" i="51" a="1"/>
  <c r="G2586" i="51" s="1"/>
  <c r="G2587" i="51" a="1"/>
  <c r="G2587" i="51" s="1"/>
  <c r="G2588" i="51" a="1"/>
  <c r="G2588" i="51" s="1"/>
  <c r="G2589" i="51" a="1"/>
  <c r="G2589" i="51" s="1"/>
  <c r="G2590" i="51" a="1"/>
  <c r="G2590" i="51"/>
  <c r="G2591" i="51" a="1"/>
  <c r="G2591" i="51" s="1"/>
  <c r="G2592" i="51" a="1"/>
  <c r="G2592" i="51" s="1"/>
  <c r="G2593" i="51" a="1"/>
  <c r="G2593" i="51" s="1"/>
  <c r="G2594" i="51" a="1"/>
  <c r="G2594" i="51" s="1"/>
  <c r="G2595" i="51" a="1"/>
  <c r="G2595" i="51" s="1"/>
  <c r="G2596" i="51" a="1"/>
  <c r="G2596" i="51" s="1"/>
  <c r="G2597" i="51" a="1"/>
  <c r="G2597" i="51" s="1"/>
  <c r="G2598" i="51" a="1"/>
  <c r="G2598" i="51" s="1"/>
  <c r="G2599" i="51" a="1"/>
  <c r="G2599" i="51" s="1"/>
  <c r="G2600" i="51" a="1"/>
  <c r="G2600" i="51" s="1"/>
  <c r="G2601" i="51" a="1"/>
  <c r="G2601" i="51" s="1"/>
  <c r="G2602" i="51" a="1"/>
  <c r="G2602" i="51" s="1"/>
  <c r="G2603" i="51" a="1"/>
  <c r="G2603" i="51" s="1"/>
  <c r="G2604" i="51" a="1"/>
  <c r="G2604" i="51"/>
  <c r="G2605" i="51" a="1"/>
  <c r="G2605" i="51" s="1"/>
  <c r="G2606" i="51" a="1"/>
  <c r="G2606" i="51" s="1"/>
  <c r="G2607" i="51" a="1"/>
  <c r="G2607" i="51" s="1"/>
  <c r="G2608" i="51" a="1"/>
  <c r="G2608" i="51" s="1"/>
  <c r="G2609" i="51" a="1"/>
  <c r="G2609" i="51" s="1"/>
  <c r="G2610" i="51" a="1"/>
  <c r="G2610" i="51" s="1"/>
  <c r="G2611" i="51" a="1"/>
  <c r="G2611" i="51" s="1"/>
  <c r="G2612" i="51" a="1"/>
  <c r="G2612" i="51" s="1"/>
  <c r="G2613" i="51" a="1"/>
  <c r="G2613" i="51" s="1"/>
  <c r="G2614" i="51" a="1"/>
  <c r="G2614" i="51" s="1"/>
  <c r="G2615" i="51" a="1"/>
  <c r="G2615" i="51" s="1"/>
  <c r="G2616" i="51" a="1"/>
  <c r="G2616" i="51" s="1"/>
  <c r="G2617" i="51" a="1"/>
  <c r="G2617" i="51" s="1"/>
  <c r="G2618" i="51" a="1"/>
  <c r="G2618" i="51" s="1"/>
  <c r="G2619" i="51" a="1"/>
  <c r="G2619" i="51" s="1"/>
  <c r="G2620" i="51" a="1"/>
  <c r="G2620" i="51" s="1"/>
  <c r="G2621" i="51" a="1"/>
  <c r="G2621" i="51" s="1"/>
  <c r="G2622" i="51" a="1"/>
  <c r="G2622" i="51" s="1"/>
  <c r="G2623" i="51" a="1"/>
  <c r="G2623" i="51" s="1"/>
  <c r="G2624" i="51" a="1"/>
  <c r="G2624" i="51" s="1"/>
  <c r="G2625" i="51" a="1"/>
  <c r="G2625" i="51" s="1"/>
  <c r="G2626" i="51" a="1"/>
  <c r="G2626" i="51" s="1"/>
  <c r="G2627" i="51" a="1"/>
  <c r="G2627" i="51" s="1"/>
  <c r="G2628" i="51" a="1"/>
  <c r="G2628" i="51" s="1"/>
  <c r="G2629" i="51" a="1"/>
  <c r="G2629" i="51"/>
  <c r="G2630" i="51" a="1"/>
  <c r="G2630" i="51" s="1"/>
  <c r="G2631" i="51" a="1"/>
  <c r="G2631" i="51" s="1"/>
  <c r="G2632" i="51" a="1"/>
  <c r="G2632" i="51" s="1"/>
  <c r="G2633" i="51" a="1"/>
  <c r="G2633" i="51" s="1"/>
  <c r="G2634" i="51" a="1"/>
  <c r="G2634" i="51"/>
  <c r="G2635" i="51" a="1"/>
  <c r="G2635" i="51" s="1"/>
  <c r="G2636" i="51" a="1"/>
  <c r="G2636" i="51"/>
  <c r="G2637" i="51" a="1"/>
  <c r="G2637" i="51" s="1"/>
  <c r="G2638" i="51" a="1"/>
  <c r="G2638" i="51" s="1"/>
  <c r="G2639" i="51" a="1"/>
  <c r="G2639" i="51" s="1"/>
  <c r="G2640" i="51" a="1"/>
  <c r="G2640" i="51" s="1"/>
  <c r="G2641" i="51" a="1"/>
  <c r="G2641" i="51" s="1"/>
  <c r="G2642" i="51" a="1"/>
  <c r="G2642" i="51" s="1"/>
  <c r="G2643" i="51" a="1"/>
  <c r="G2643" i="51" s="1"/>
  <c r="G2644" i="51" a="1"/>
  <c r="G2644" i="51" s="1"/>
  <c r="G2645" i="51" a="1"/>
  <c r="G2645" i="51" s="1"/>
  <c r="G2646" i="51" a="1"/>
  <c r="G2646" i="51" s="1"/>
  <c r="G2647" i="51" a="1"/>
  <c r="G2647" i="51" s="1"/>
  <c r="G2648" i="51" a="1"/>
  <c r="G2648" i="51"/>
  <c r="G2649" i="51" a="1"/>
  <c r="G2649" i="51" s="1"/>
  <c r="G2650" i="51" a="1"/>
  <c r="G2650" i="51" s="1"/>
  <c r="G2651" i="51" a="1"/>
  <c r="G2651" i="51" s="1"/>
  <c r="G2652" i="51" a="1"/>
  <c r="G2652" i="51" s="1"/>
  <c r="G2653" i="51" a="1"/>
  <c r="G2653" i="51" s="1"/>
  <c r="G2654" i="51" a="1"/>
  <c r="G2654" i="51"/>
  <c r="G2655" i="51" a="1"/>
  <c r="G2655" i="51" s="1"/>
  <c r="G2656" i="51" a="1"/>
  <c r="G2656" i="51" s="1"/>
  <c r="G2657" i="51" a="1"/>
  <c r="G2657" i="51" s="1"/>
  <c r="G2658" i="51" a="1"/>
  <c r="G2658" i="51" s="1"/>
  <c r="G2659" i="51" a="1"/>
  <c r="G2659" i="51" s="1"/>
  <c r="G2660" i="51" a="1"/>
  <c r="G2660" i="51" s="1"/>
  <c r="G2661" i="51" a="1"/>
  <c r="G2661" i="51"/>
  <c r="G2662" i="51" a="1"/>
  <c r="G2662" i="51" s="1"/>
  <c r="G2663" i="51" a="1"/>
  <c r="G2663" i="51" s="1"/>
  <c r="G2664" i="51" a="1"/>
  <c r="G2664" i="51" s="1"/>
  <c r="G2665" i="51" a="1"/>
  <c r="G2665" i="51" s="1"/>
  <c r="G2666" i="51" a="1"/>
  <c r="G2666" i="51" s="1"/>
  <c r="G2667" i="51" a="1"/>
  <c r="G2667" i="51" s="1"/>
  <c r="G2668" i="51" a="1"/>
  <c r="G2668" i="51" s="1"/>
  <c r="G2669" i="51" a="1"/>
  <c r="G2669" i="51" s="1"/>
  <c r="G2670" i="51" a="1"/>
  <c r="G2670" i="51" s="1"/>
  <c r="G2671" i="51" a="1"/>
  <c r="G2671" i="51" s="1"/>
  <c r="G2672" i="51" a="1"/>
  <c r="G2672" i="51" s="1"/>
  <c r="G2673" i="51" a="1"/>
  <c r="G2673" i="51" s="1"/>
  <c r="G2674" i="51" a="1"/>
  <c r="G2674" i="51" s="1"/>
  <c r="G2675" i="51" a="1"/>
  <c r="G2675" i="51" s="1"/>
  <c r="G2676" i="51" a="1"/>
  <c r="G2676" i="51" s="1"/>
  <c r="G2677" i="51" a="1"/>
  <c r="G2677" i="51" s="1"/>
  <c r="G2678" i="51" a="1"/>
  <c r="G2678" i="51" s="1"/>
  <c r="G2679" i="51" a="1"/>
  <c r="G2679" i="51" s="1"/>
  <c r="G2680" i="51" a="1"/>
  <c r="G2680" i="51"/>
  <c r="G2681" i="51" a="1"/>
  <c r="G2681" i="51" s="1"/>
  <c r="G2682" i="51" a="1"/>
  <c r="G2682" i="51" s="1"/>
  <c r="G2683" i="51" a="1"/>
  <c r="G2683" i="51" s="1"/>
  <c r="G2684" i="51" a="1"/>
  <c r="G2684" i="51"/>
  <c r="G2685" i="51" a="1"/>
  <c r="G2685" i="51" s="1"/>
  <c r="G2686" i="51" a="1"/>
  <c r="G2686" i="51"/>
  <c r="G2687" i="51" a="1"/>
  <c r="G2687" i="51" s="1"/>
  <c r="G2688" i="51" a="1"/>
  <c r="G2688" i="51" s="1"/>
  <c r="G2689" i="51" a="1"/>
  <c r="G2689" i="51" s="1"/>
  <c r="G2690" i="51" a="1"/>
  <c r="G2690" i="51" s="1"/>
  <c r="G2691" i="51" a="1"/>
  <c r="G2691" i="51" s="1"/>
  <c r="G2692" i="51" a="1"/>
  <c r="G2692" i="51" s="1"/>
  <c r="G2693" i="51" a="1"/>
  <c r="G2693" i="51" s="1"/>
  <c r="G2694" i="51" a="1"/>
  <c r="G2694" i="51" s="1"/>
  <c r="G2695" i="51" a="1"/>
  <c r="G2695" i="51" s="1"/>
  <c r="G2696" i="51" a="1"/>
  <c r="G2696" i="51" s="1"/>
  <c r="G2697" i="51" a="1"/>
  <c r="G2697" i="51" s="1"/>
  <c r="G2698" i="51" a="1"/>
  <c r="G2698" i="51"/>
  <c r="G2699" i="51" a="1"/>
  <c r="G2699" i="51" s="1"/>
  <c r="G2700" i="51" a="1"/>
  <c r="G2700" i="51" s="1"/>
  <c r="G2701" i="51" a="1"/>
  <c r="G2701" i="51" s="1"/>
  <c r="G2702" i="51" a="1"/>
  <c r="G2702" i="51"/>
  <c r="G2703" i="51" a="1"/>
  <c r="G2703" i="51" s="1"/>
  <c r="G2704" i="51" a="1"/>
  <c r="G2704" i="51" s="1"/>
  <c r="G2705" i="51" a="1"/>
  <c r="G2705" i="51" s="1"/>
  <c r="G2706" i="51" a="1"/>
  <c r="G2706" i="51" s="1"/>
  <c r="G2707" i="51" a="1"/>
  <c r="G2707" i="51" s="1"/>
  <c r="G2708" i="51" a="1"/>
  <c r="G2708" i="51" s="1"/>
  <c r="G2709" i="51" a="1"/>
  <c r="G2709" i="51"/>
  <c r="G2710" i="51" a="1"/>
  <c r="G2710" i="51" s="1"/>
  <c r="G2711" i="51" a="1"/>
  <c r="G2711" i="51" s="1"/>
  <c r="G2712" i="51" a="1"/>
  <c r="G2712" i="51" s="1"/>
  <c r="G2713" i="51" a="1"/>
  <c r="G2713" i="51" s="1"/>
  <c r="G2714" i="51" a="1"/>
  <c r="G2714" i="51" s="1"/>
  <c r="G2715" i="51" a="1"/>
  <c r="G2715" i="51" s="1"/>
  <c r="G2716" i="51" a="1"/>
  <c r="G2716" i="51" s="1"/>
  <c r="G2717" i="51" a="1"/>
  <c r="G2717" i="51" s="1"/>
  <c r="G2718" i="51" a="1"/>
  <c r="G2718" i="51" s="1"/>
  <c r="G2719" i="51" a="1"/>
  <c r="G2719" i="51" s="1"/>
  <c r="G2720" i="51" a="1"/>
  <c r="G2720" i="51" s="1"/>
  <c r="G2721" i="51" a="1"/>
  <c r="G2721" i="51"/>
  <c r="G2722" i="51" a="1"/>
  <c r="G2722" i="51" s="1"/>
  <c r="G2723" i="51" a="1"/>
  <c r="G2723" i="51" s="1"/>
  <c r="G2724" i="51" a="1"/>
  <c r="G2724" i="51" s="1"/>
  <c r="G2725" i="51" a="1"/>
  <c r="G2725" i="51" s="1"/>
  <c r="G2726" i="51" a="1"/>
  <c r="G2726" i="51" s="1"/>
  <c r="G2727" i="51" a="1"/>
  <c r="G2727" i="51" s="1"/>
  <c r="G2728" i="51" a="1"/>
  <c r="G2728" i="51" s="1"/>
  <c r="G2729" i="51" a="1"/>
  <c r="G2729" i="51" s="1"/>
  <c r="G2730" i="51" a="1"/>
  <c r="G2730" i="51"/>
  <c r="G2731" i="51" a="1"/>
  <c r="G2731" i="51" s="1"/>
  <c r="G2732" i="51" a="1"/>
  <c r="G2732" i="51" s="1"/>
  <c r="G2733" i="51" a="1"/>
  <c r="G2733" i="51" s="1"/>
  <c r="G2734" i="51" a="1"/>
  <c r="G2734" i="51" s="1"/>
  <c r="G2735" i="51" a="1"/>
  <c r="G2735" i="51" s="1"/>
  <c r="G2736" i="51" a="1"/>
  <c r="G2736" i="51" s="1"/>
  <c r="G2737" i="51" a="1"/>
  <c r="G2737" i="51" s="1"/>
  <c r="G2738" i="51" a="1"/>
  <c r="G2738" i="51" s="1"/>
  <c r="G2739" i="51" a="1"/>
  <c r="G2739" i="51" s="1"/>
  <c r="G2740" i="51" a="1"/>
  <c r="G2740" i="51" s="1"/>
  <c r="G2741" i="51" a="1"/>
  <c r="G2741" i="51" s="1"/>
  <c r="G2742" i="51" a="1"/>
  <c r="G2742" i="51" s="1"/>
  <c r="G2743" i="51" a="1"/>
  <c r="G2743" i="51" s="1"/>
  <c r="G2744" i="51" a="1"/>
  <c r="G2744" i="51" s="1"/>
  <c r="G2745" i="51" a="1"/>
  <c r="G2745" i="51" s="1"/>
  <c r="G2746" i="51" a="1"/>
  <c r="G2746" i="51" s="1"/>
  <c r="G2747" i="51" a="1"/>
  <c r="G2747" i="51" s="1"/>
  <c r="G2748" i="51" a="1"/>
  <c r="G2748" i="51"/>
  <c r="G2749" i="51" a="1"/>
  <c r="G2749" i="51" s="1"/>
  <c r="G2750" i="51" a="1"/>
  <c r="G2750" i="51" s="1"/>
  <c r="G2751" i="51" a="1"/>
  <c r="G2751" i="51" s="1"/>
  <c r="G2752" i="51" a="1"/>
  <c r="G2752" i="51" s="1"/>
  <c r="G2753" i="51" a="1"/>
  <c r="G2753" i="51" s="1"/>
  <c r="G2754" i="51" a="1"/>
  <c r="G2754" i="51" s="1"/>
  <c r="G2755" i="51" a="1"/>
  <c r="G2755" i="51" s="1"/>
  <c r="G2756" i="51" a="1"/>
  <c r="G2756" i="51" s="1"/>
  <c r="G2757" i="51" a="1"/>
  <c r="G2757" i="51" s="1"/>
  <c r="G2758" i="51" a="1"/>
  <c r="G2758" i="51" s="1"/>
  <c r="G2759" i="51" a="1"/>
  <c r="G2759" i="51" s="1"/>
  <c r="G2760" i="51" a="1"/>
  <c r="G2760" i="51" s="1"/>
  <c r="G2761" i="51" a="1"/>
  <c r="G2761" i="51" s="1"/>
  <c r="G2762" i="51" a="1"/>
  <c r="G2762" i="51" s="1"/>
  <c r="G2763" i="51" a="1"/>
  <c r="G2763" i="51" s="1"/>
  <c r="G2764" i="51" a="1"/>
  <c r="G2764" i="51" s="1"/>
  <c r="G2765" i="51" a="1"/>
  <c r="G2765" i="51" s="1"/>
  <c r="G2766" i="51" a="1"/>
  <c r="G2766" i="51"/>
  <c r="G2767" i="51" a="1"/>
  <c r="G2767" i="51" s="1"/>
  <c r="G2768" i="51" a="1"/>
  <c r="G2768" i="51" s="1"/>
  <c r="G2769" i="51" a="1"/>
  <c r="G2769" i="51" s="1"/>
  <c r="G2770" i="51" a="1"/>
  <c r="G2770" i="51" s="1"/>
  <c r="G2771" i="51" a="1"/>
  <c r="G2771" i="51" s="1"/>
  <c r="G2772" i="51" a="1"/>
  <c r="G2772" i="51" s="1"/>
  <c r="G2773" i="51" a="1"/>
  <c r="G2773" i="51"/>
  <c r="G2774" i="51" a="1"/>
  <c r="G2774" i="51" s="1"/>
  <c r="G2775" i="51" a="1"/>
  <c r="G2775" i="51" s="1"/>
  <c r="G2776" i="51" a="1"/>
  <c r="G2776" i="51" s="1"/>
  <c r="G2777" i="51" a="1"/>
  <c r="G2777" i="51" s="1"/>
  <c r="G2778" i="51" a="1"/>
  <c r="G2778" i="51" s="1"/>
  <c r="G2779" i="51" a="1"/>
  <c r="G2779" i="51" s="1"/>
  <c r="G2780" i="51" a="1"/>
  <c r="G2780" i="51"/>
  <c r="G2781" i="51" a="1"/>
  <c r="G2781" i="51" s="1"/>
  <c r="G2782" i="51" a="1"/>
  <c r="G2782" i="51" s="1"/>
  <c r="G2783" i="51" a="1"/>
  <c r="G2783" i="51" s="1"/>
  <c r="G2784" i="51" a="1"/>
  <c r="G2784" i="51" s="1"/>
  <c r="G2785" i="51" a="1"/>
  <c r="G2785" i="51"/>
  <c r="G2786" i="51" a="1"/>
  <c r="G2786" i="51" s="1"/>
  <c r="G2787" i="51" a="1"/>
  <c r="G2787" i="51" s="1"/>
  <c r="G2788" i="51" a="1"/>
  <c r="G2788" i="51" s="1"/>
  <c r="G2789" i="51" a="1"/>
  <c r="G2789" i="51" s="1"/>
  <c r="G2790" i="51" a="1"/>
  <c r="G2790" i="51" s="1"/>
  <c r="G2791" i="51" a="1"/>
  <c r="G2791" i="51" s="1"/>
  <c r="G2792" i="51" a="1"/>
  <c r="G2792" i="51" s="1"/>
  <c r="G2793" i="51" a="1"/>
  <c r="G2793" i="51" s="1"/>
  <c r="G2794" i="51" a="1"/>
  <c r="G2794" i="51" s="1"/>
  <c r="G2795" i="51" a="1"/>
  <c r="G2795" i="51" s="1"/>
  <c r="G2796" i="51" a="1"/>
  <c r="G2796" i="51"/>
  <c r="G2797" i="51" a="1"/>
  <c r="G2797" i="51" s="1"/>
  <c r="G2798" i="51" a="1"/>
  <c r="G2798" i="51"/>
  <c r="G2799" i="51" a="1"/>
  <c r="G2799" i="51" s="1"/>
  <c r="G2800" i="51" a="1"/>
  <c r="G2800" i="51" s="1"/>
  <c r="G2801" i="51" a="1"/>
  <c r="G2801" i="51" s="1"/>
  <c r="G2802" i="51" a="1"/>
  <c r="G2802" i="51" s="1"/>
  <c r="G2803" i="51" a="1"/>
  <c r="G2803" i="51" s="1"/>
  <c r="G2804" i="51" a="1"/>
  <c r="G2804" i="51" s="1"/>
  <c r="G2805" i="51" a="1"/>
  <c r="G2805" i="51"/>
  <c r="G2806" i="51" a="1"/>
  <c r="G2806" i="51" s="1"/>
  <c r="G2807" i="51" a="1"/>
  <c r="G2807" i="51" s="1"/>
  <c r="G2808" i="51" a="1"/>
  <c r="G2808" i="51" s="1"/>
  <c r="G2809" i="51" a="1"/>
  <c r="G2809" i="51" s="1"/>
  <c r="G2810" i="51" a="1"/>
  <c r="G2810" i="51" s="1"/>
  <c r="G2811" i="51" a="1"/>
  <c r="G2811" i="51" s="1"/>
  <c r="G2812" i="51" a="1"/>
  <c r="G2812" i="51" s="1"/>
  <c r="G2813" i="51" a="1"/>
  <c r="G2813" i="51" s="1"/>
  <c r="G2814" i="51" a="1"/>
  <c r="G2814" i="51" s="1"/>
  <c r="G2815" i="51" a="1"/>
  <c r="G2815" i="51" s="1"/>
  <c r="G2816" i="51" a="1"/>
  <c r="G2816" i="51" s="1"/>
  <c r="G2817" i="51" a="1"/>
  <c r="G2817" i="51"/>
  <c r="G2818" i="51" a="1"/>
  <c r="G2818" i="51" s="1"/>
  <c r="G2819" i="51" a="1"/>
  <c r="G2819" i="51" s="1"/>
  <c r="G2820" i="51" a="1"/>
  <c r="G2820" i="51" s="1"/>
  <c r="G2821" i="51" a="1"/>
  <c r="G2821" i="51"/>
  <c r="G2822" i="51" a="1"/>
  <c r="G2822" i="51" s="1"/>
  <c r="G2823" i="51" a="1"/>
  <c r="G2823" i="51" s="1"/>
  <c r="G2824" i="51" a="1"/>
  <c r="G2824" i="51" s="1"/>
  <c r="G2825" i="51" a="1"/>
  <c r="G2825" i="51" s="1"/>
  <c r="G2826" i="51" a="1"/>
  <c r="G2826" i="51" s="1"/>
  <c r="G2827" i="51" a="1"/>
  <c r="G2827" i="51" s="1"/>
  <c r="G2828" i="51" a="1"/>
  <c r="G2828" i="51" s="1"/>
  <c r="G2829" i="51" a="1"/>
  <c r="G2829" i="51" s="1"/>
  <c r="G2830" i="51" a="1"/>
  <c r="G2830" i="51" s="1"/>
  <c r="G2831" i="51" a="1"/>
  <c r="G2831" i="51" s="1"/>
  <c r="G2832" i="51" a="1"/>
  <c r="G2832" i="51" s="1"/>
  <c r="G2833" i="51" a="1"/>
  <c r="G2833" i="51" s="1"/>
  <c r="G2834" i="51" a="1"/>
  <c r="G2834" i="51" s="1"/>
  <c r="G2835" i="51" a="1"/>
  <c r="G2835" i="51" s="1"/>
  <c r="G2836" i="51" a="1"/>
  <c r="G2836" i="51" s="1"/>
  <c r="G2837" i="51" a="1"/>
  <c r="G2837" i="51" s="1"/>
  <c r="G2838" i="51" a="1"/>
  <c r="G2838" i="51" s="1"/>
  <c r="G2839" i="51" a="1"/>
  <c r="G2839" i="51" s="1"/>
  <c r="G2840" i="51" a="1"/>
  <c r="G2840" i="51"/>
  <c r="G2841" i="51" a="1"/>
  <c r="G2841" i="51" s="1"/>
  <c r="G2842" i="51" a="1"/>
  <c r="G2842" i="51" s="1"/>
  <c r="G2843" i="51" a="1"/>
  <c r="G2843" i="51" s="1"/>
  <c r="G2844" i="51" a="1"/>
  <c r="G2844" i="51" s="1"/>
  <c r="G2845" i="51" a="1"/>
  <c r="G2845" i="51" s="1"/>
  <c r="G2846" i="51" a="1"/>
  <c r="G2846" i="51"/>
  <c r="G2847" i="51" a="1"/>
  <c r="G2847" i="51" s="1"/>
  <c r="G2848" i="51" a="1"/>
  <c r="G2848" i="51" s="1"/>
  <c r="G2849" i="51" a="1"/>
  <c r="G2849" i="51" s="1"/>
  <c r="G2850" i="51" a="1"/>
  <c r="G2850" i="51" s="1"/>
  <c r="G2851" i="51" a="1"/>
  <c r="G2851" i="51" s="1"/>
  <c r="G2852" i="51" a="1"/>
  <c r="G2852" i="51" s="1"/>
  <c r="G2853" i="51" a="1"/>
  <c r="G2853" i="51" s="1"/>
  <c r="G2854" i="51" a="1"/>
  <c r="G2854" i="51" s="1"/>
  <c r="G2855" i="51" a="1"/>
  <c r="G2855" i="51" s="1"/>
  <c r="G2856" i="51" a="1"/>
  <c r="G2856" i="51" s="1"/>
  <c r="G2857" i="51" a="1"/>
  <c r="G2857" i="51" s="1"/>
  <c r="G2858" i="51" a="1"/>
  <c r="G2858" i="51" s="1"/>
  <c r="G2859" i="51" a="1"/>
  <c r="G2859" i="51" s="1"/>
  <c r="G2860" i="51" a="1"/>
  <c r="G2860" i="51"/>
  <c r="G2861" i="51" a="1"/>
  <c r="G2861" i="51" s="1"/>
  <c r="G2862" i="51" a="1"/>
  <c r="G2862" i="51" s="1"/>
  <c r="G2863" i="51" a="1"/>
  <c r="G2863" i="51" s="1"/>
  <c r="G2864" i="51" a="1"/>
  <c r="G2864" i="51" s="1"/>
  <c r="G2865" i="51" a="1"/>
  <c r="G2865" i="51" s="1"/>
  <c r="G2866" i="51" a="1"/>
  <c r="G2866" i="51" s="1"/>
  <c r="G2867" i="51" a="1"/>
  <c r="G2867" i="51" s="1"/>
  <c r="G2868" i="51" a="1"/>
  <c r="G2868" i="51" s="1"/>
  <c r="G2869" i="51" a="1"/>
  <c r="G2869" i="51" s="1"/>
  <c r="G2870" i="51" a="1"/>
  <c r="G2870" i="51" s="1"/>
  <c r="G2871" i="51" a="1"/>
  <c r="G2871" i="51" s="1"/>
  <c r="G2872" i="51" a="1"/>
  <c r="G2872" i="51" s="1"/>
  <c r="G2873" i="51" a="1"/>
  <c r="G2873" i="51" s="1"/>
  <c r="G2874" i="51" a="1"/>
  <c r="G2874" i="51" s="1"/>
  <c r="G2875" i="51" a="1"/>
  <c r="G2875" i="51" s="1"/>
  <c r="G2876" i="51" a="1"/>
  <c r="G2876" i="51"/>
  <c r="G2877" i="51" a="1"/>
  <c r="G2877" i="51" s="1"/>
  <c r="G2878" i="51" a="1"/>
  <c r="G2878" i="51" s="1"/>
  <c r="G2879" i="51" a="1"/>
  <c r="G2879" i="51" s="1"/>
  <c r="G2880" i="51" a="1"/>
  <c r="G2880" i="51" s="1"/>
  <c r="G2881" i="51" a="1"/>
  <c r="G2881" i="51" s="1"/>
  <c r="G2882" i="51" a="1"/>
  <c r="G2882" i="51" s="1"/>
  <c r="G2883" i="51" a="1"/>
  <c r="G2883" i="51" s="1"/>
  <c r="G2884" i="51" a="1"/>
  <c r="G2884" i="51" s="1"/>
  <c r="G2885" i="51" a="1"/>
  <c r="G2885" i="51"/>
  <c r="G2886" i="51" a="1"/>
  <c r="G2886" i="51" s="1"/>
  <c r="G2887" i="51" a="1"/>
  <c r="G2887" i="51" s="1"/>
  <c r="G2888" i="51" a="1"/>
  <c r="G2888" i="51"/>
  <c r="G2889" i="51" a="1"/>
  <c r="G2889" i="51" s="1"/>
  <c r="G2890" i="51" a="1"/>
  <c r="G2890" i="51" s="1"/>
  <c r="G2891" i="51" a="1"/>
  <c r="G2891" i="51" s="1"/>
  <c r="G2892" i="51" a="1"/>
  <c r="G2892" i="51"/>
  <c r="G2893" i="51" a="1"/>
  <c r="G2893" i="51" s="1"/>
  <c r="G2894" i="51" a="1"/>
  <c r="G2894" i="51" s="1"/>
  <c r="G2895" i="51" a="1"/>
  <c r="G2895" i="51" s="1"/>
  <c r="G2896" i="51" a="1"/>
  <c r="G2896" i="51" s="1"/>
  <c r="G2897" i="51" a="1"/>
  <c r="G2897" i="51"/>
  <c r="G2898" i="51" a="1"/>
  <c r="G2898" i="51" s="1"/>
  <c r="G2899" i="51" a="1"/>
  <c r="G2899" i="51" s="1"/>
  <c r="G2900" i="51" a="1"/>
  <c r="G2900" i="51" s="1"/>
  <c r="G2901" i="51" a="1"/>
  <c r="G2901" i="51" s="1"/>
  <c r="G2902" i="51" a="1"/>
  <c r="G2902" i="51" s="1"/>
  <c r="G2903" i="51" a="1"/>
  <c r="G2903" i="51" s="1"/>
  <c r="G2904" i="51" a="1"/>
  <c r="G2904" i="51" s="1"/>
  <c r="G2905" i="51" a="1"/>
  <c r="G2905" i="51" s="1"/>
  <c r="G2906" i="51" a="1"/>
  <c r="G2906" i="51" s="1"/>
  <c r="G2907" i="51" a="1"/>
  <c r="G2907" i="51" s="1"/>
  <c r="G2908" i="51" a="1"/>
  <c r="G2908" i="51"/>
  <c r="G2909" i="51" a="1"/>
  <c r="G2909" i="51" s="1"/>
  <c r="G2910" i="51" a="1"/>
  <c r="G2910" i="51" s="1"/>
  <c r="G2911" i="51" a="1"/>
  <c r="G2911" i="51" s="1"/>
  <c r="G2912" i="51" a="1"/>
  <c r="G2912" i="51" s="1"/>
  <c r="G2913" i="51" a="1"/>
  <c r="G2913" i="51" s="1"/>
  <c r="G2914" i="51" a="1"/>
  <c r="G2914" i="51" s="1"/>
  <c r="G2915" i="51" a="1"/>
  <c r="G2915" i="51" s="1"/>
  <c r="G2916" i="51" a="1"/>
  <c r="G2916" i="51" s="1"/>
  <c r="G2917" i="51" a="1"/>
  <c r="G2917" i="51" s="1"/>
  <c r="G2918" i="51" a="1"/>
  <c r="G2918" i="51" s="1"/>
  <c r="G2919" i="51" a="1"/>
  <c r="G2919" i="51" s="1"/>
  <c r="G2920" i="51" a="1"/>
  <c r="G2920" i="51" s="1"/>
  <c r="G2921" i="51" a="1"/>
  <c r="G2921" i="51" s="1"/>
  <c r="G2922" i="51" a="1"/>
  <c r="G2922" i="51"/>
  <c r="G2923" i="51" a="1"/>
  <c r="G2923" i="51" s="1"/>
  <c r="G2924" i="51" a="1"/>
  <c r="G2924" i="51" s="1"/>
  <c r="G2925" i="51" a="1"/>
  <c r="G2925" i="51"/>
  <c r="G2926" i="51" a="1"/>
  <c r="G2926" i="51" s="1"/>
  <c r="G2927" i="51" a="1"/>
  <c r="G2927" i="51" s="1"/>
  <c r="G2928" i="51" a="1"/>
  <c r="G2928" i="51" s="1"/>
  <c r="G2929" i="51" a="1"/>
  <c r="G2929" i="51" s="1"/>
  <c r="G2930" i="51" a="1"/>
  <c r="G2930" i="51" s="1"/>
  <c r="G2931" i="51" a="1"/>
  <c r="G2931" i="51" s="1"/>
  <c r="G2932" i="51" a="1"/>
  <c r="G2932" i="51" s="1"/>
  <c r="G2933" i="51" a="1"/>
  <c r="G2933" i="51" s="1"/>
  <c r="G2934" i="51" a="1"/>
  <c r="G2934" i="51"/>
  <c r="G2935" i="51" a="1"/>
  <c r="G2935" i="51" s="1"/>
  <c r="G2936" i="51" a="1"/>
  <c r="G2936" i="51" s="1"/>
  <c r="G2937" i="51" a="1"/>
  <c r="G2937" i="51" s="1"/>
  <c r="G2938" i="51" a="1"/>
  <c r="G2938" i="51" s="1"/>
  <c r="G2939" i="51" a="1"/>
  <c r="G2939" i="51" s="1"/>
  <c r="G2940" i="51" a="1"/>
  <c r="G2940" i="51" s="1"/>
  <c r="G2941" i="51" a="1"/>
  <c r="G2941" i="51" s="1"/>
  <c r="G2942" i="51" a="1"/>
  <c r="G2942" i="51" s="1"/>
  <c r="G2943" i="51" a="1"/>
  <c r="G2943" i="51" s="1"/>
  <c r="G2944" i="51" a="1"/>
  <c r="G2944" i="51"/>
  <c r="G2945" i="51" a="1"/>
  <c r="G2945" i="51" s="1"/>
  <c r="G2946" i="51" a="1"/>
  <c r="G2946" i="51" s="1"/>
  <c r="G2947" i="51" a="1"/>
  <c r="G2947" i="51" s="1"/>
  <c r="G2948" i="51" a="1"/>
  <c r="G2948" i="51" s="1"/>
  <c r="G2949" i="51" a="1"/>
  <c r="G2949" i="51"/>
  <c r="G2950" i="51" a="1"/>
  <c r="G2950" i="51" s="1"/>
  <c r="G2951" i="51" a="1"/>
  <c r="G2951" i="51" s="1"/>
  <c r="G2952" i="51" a="1"/>
  <c r="G2952" i="51" s="1"/>
  <c r="G2953" i="51" a="1"/>
  <c r="G2953" i="51"/>
  <c r="G2954" i="51" a="1"/>
  <c r="G2954" i="51"/>
  <c r="G2955" i="51" a="1"/>
  <c r="G2955" i="51" s="1"/>
  <c r="G2956" i="51" a="1"/>
  <c r="G2956" i="51" s="1"/>
  <c r="G2957" i="51" a="1"/>
  <c r="G2957" i="51" s="1"/>
  <c r="G2958" i="51" a="1"/>
  <c r="G2958" i="51"/>
  <c r="G2959" i="51" a="1"/>
  <c r="G2959" i="51" s="1"/>
  <c r="G2960" i="51" a="1"/>
  <c r="G2960" i="51"/>
  <c r="G2961" i="51" a="1"/>
  <c r="G2961" i="51" s="1"/>
  <c r="G2962" i="51" a="1"/>
  <c r="G2962" i="51" s="1"/>
  <c r="G2963" i="51" a="1"/>
  <c r="G2963" i="51" s="1"/>
  <c r="G2964" i="51" a="1"/>
  <c r="G2964" i="51" s="1"/>
  <c r="G2965" i="51" a="1"/>
  <c r="G2965" i="51" s="1"/>
  <c r="G2966" i="51" a="1"/>
  <c r="G2966" i="51"/>
  <c r="G2967" i="51" a="1"/>
  <c r="G2967" i="51" s="1"/>
  <c r="G2968" i="51" a="1"/>
  <c r="G2968" i="51" s="1"/>
  <c r="G2969" i="51" a="1"/>
  <c r="G2969" i="51"/>
  <c r="G2970" i="51" a="1"/>
  <c r="G2970" i="51" s="1"/>
  <c r="G2971" i="51" a="1"/>
  <c r="G2971" i="51" s="1"/>
  <c r="G2972" i="51" a="1"/>
  <c r="G2972" i="51" s="1"/>
  <c r="G2973" i="51" a="1"/>
  <c r="G2973" i="51" s="1"/>
  <c r="G2974" i="51" a="1"/>
  <c r="G2974" i="51" s="1"/>
  <c r="G2975" i="51" a="1"/>
  <c r="G2975" i="51" s="1"/>
  <c r="G2976" i="51" a="1"/>
  <c r="G2976" i="51" s="1"/>
  <c r="G2977" i="51" a="1"/>
  <c r="G2977" i="51"/>
  <c r="G2978" i="51" a="1"/>
  <c r="G2978" i="51" s="1"/>
  <c r="G2979" i="51" a="1"/>
  <c r="G2979" i="51" s="1"/>
  <c r="G2980" i="51" a="1"/>
  <c r="G2980" i="51"/>
  <c r="G2981" i="51" a="1"/>
  <c r="G2981" i="51"/>
  <c r="G2982" i="51" a="1"/>
  <c r="G2982" i="51" s="1"/>
  <c r="G2983" i="51" a="1"/>
  <c r="G2983" i="51" s="1"/>
  <c r="G2984" i="51" a="1"/>
  <c r="G2984" i="51" s="1"/>
  <c r="G2985" i="51" a="1"/>
  <c r="G2985" i="51" s="1"/>
  <c r="G2986" i="51" a="1"/>
  <c r="G2986" i="51" s="1"/>
  <c r="G2987" i="51" a="1"/>
  <c r="G2987" i="51" s="1"/>
  <c r="G2988" i="51" a="1"/>
  <c r="G2988" i="51" s="1"/>
  <c r="G2989" i="51" a="1"/>
  <c r="G2989" i="51" s="1"/>
  <c r="G2990" i="51" a="1"/>
  <c r="G2990" i="51" s="1"/>
  <c r="G2991" i="51" a="1"/>
  <c r="G2991" i="51" s="1"/>
  <c r="G2992" i="51" a="1"/>
  <c r="G2992" i="51"/>
  <c r="G2993" i="51" a="1"/>
  <c r="G2993" i="51" s="1"/>
  <c r="G2994" i="51" a="1"/>
  <c r="G2994" i="51" s="1"/>
  <c r="G2995" i="51" a="1"/>
  <c r="G2995" i="51" s="1"/>
  <c r="G2996" i="51" a="1"/>
  <c r="G2996" i="51" s="1"/>
  <c r="G2997" i="51" a="1"/>
  <c r="G2997" i="51" s="1"/>
  <c r="G2998" i="51" a="1"/>
  <c r="G2998" i="51"/>
  <c r="G2999" i="51" a="1"/>
  <c r="G2999" i="51" s="1"/>
  <c r="G3000" i="51" a="1"/>
  <c r="G3000" i="51" s="1"/>
  <c r="G3001" i="51" a="1"/>
  <c r="G3001" i="51" s="1"/>
  <c r="G3002" i="51" a="1"/>
  <c r="G3002" i="51" s="1"/>
  <c r="G3003" i="51" a="1"/>
  <c r="G3003" i="51" s="1"/>
  <c r="G3004" i="51" a="1"/>
  <c r="G3004" i="51"/>
  <c r="G3005" i="51" a="1"/>
  <c r="G3005" i="51" s="1"/>
  <c r="G3006" i="51" a="1"/>
  <c r="G3006" i="51" s="1"/>
  <c r="G3007" i="51" a="1"/>
  <c r="G3007" i="51" s="1"/>
  <c r="G3008" i="51" a="1"/>
  <c r="G3008" i="51"/>
  <c r="G3009" i="51" a="1"/>
  <c r="G3009" i="51"/>
  <c r="G3010" i="51" a="1"/>
  <c r="G3010" i="51" s="1"/>
  <c r="G3011" i="51" a="1"/>
  <c r="G3011" i="51" s="1"/>
  <c r="G3012" i="51" a="1"/>
  <c r="G3012" i="51" s="1"/>
  <c r="G3013" i="51" a="1"/>
  <c r="G3013" i="51" s="1"/>
  <c r="G3014" i="51" a="1"/>
  <c r="G3014" i="51" s="1"/>
  <c r="G3015" i="51" a="1"/>
  <c r="G3015" i="51" s="1"/>
  <c r="G3016" i="51" a="1"/>
  <c r="G3016" i="51" s="1"/>
  <c r="G3017" i="51" a="1"/>
  <c r="G3017" i="51"/>
  <c r="G3018" i="51" a="1"/>
  <c r="G3018" i="51"/>
  <c r="G3019" i="51" a="1"/>
  <c r="G3019" i="51" s="1"/>
  <c r="G3020" i="51" a="1"/>
  <c r="G3020" i="51" s="1"/>
  <c r="G3021" i="51" a="1"/>
  <c r="G3021" i="51" s="1"/>
  <c r="G3022" i="51" a="1"/>
  <c r="G3022" i="51" s="1"/>
  <c r="G3023" i="51" a="1"/>
  <c r="G3023" i="51" s="1"/>
  <c r="G3024" i="51" a="1"/>
  <c r="G3024" i="51" s="1"/>
  <c r="G3025" i="51" a="1"/>
  <c r="G3025" i="51" s="1"/>
  <c r="G3026" i="51" a="1"/>
  <c r="G3026" i="51"/>
  <c r="G3027" i="51" a="1"/>
  <c r="G3027" i="51" s="1"/>
  <c r="G3028" i="51" a="1"/>
  <c r="G3028" i="51" s="1"/>
  <c r="G3029" i="51" a="1"/>
  <c r="G3029" i="51" s="1"/>
  <c r="G3030" i="51" a="1"/>
  <c r="G3030" i="51"/>
  <c r="G3031" i="51" a="1"/>
  <c r="G3031" i="51" s="1"/>
  <c r="G3032" i="51" a="1"/>
  <c r="G3032" i="51"/>
  <c r="G3033" i="51" a="1"/>
  <c r="G3033" i="51" s="1"/>
  <c r="G3034" i="51" a="1"/>
  <c r="G3034" i="51" s="1"/>
  <c r="G3035" i="51" a="1"/>
  <c r="G3035" i="51" s="1"/>
  <c r="G3036" i="51" a="1"/>
  <c r="G3036" i="51"/>
  <c r="G3037" i="51" a="1"/>
  <c r="G3037" i="51" s="1"/>
  <c r="G3038" i="51" a="1"/>
  <c r="G3038" i="51" s="1"/>
  <c r="G3039" i="51" a="1"/>
  <c r="G3039" i="51" s="1"/>
  <c r="G3040" i="51" a="1"/>
  <c r="G3040" i="51" s="1"/>
  <c r="G3041" i="51" a="1"/>
  <c r="G3041" i="51" s="1"/>
  <c r="G3042" i="51" a="1"/>
  <c r="G3042" i="51" s="1"/>
  <c r="G3043" i="51" a="1"/>
  <c r="G3043" i="51" s="1"/>
  <c r="G3044" i="51" a="1"/>
  <c r="G3044" i="51"/>
  <c r="G3045" i="51" a="1"/>
  <c r="G3045" i="51" s="1"/>
  <c r="G3046" i="51" a="1"/>
  <c r="G3046" i="51" s="1"/>
  <c r="G3047" i="51" a="1"/>
  <c r="G3047" i="51" s="1"/>
  <c r="G3048" i="51" a="1"/>
  <c r="G3048" i="51" s="1"/>
  <c r="G3049" i="51" a="1"/>
  <c r="G3049" i="51"/>
  <c r="G3050" i="51" a="1"/>
  <c r="G3050" i="51" s="1"/>
  <c r="G3051" i="51" a="1"/>
  <c r="G3051" i="51" s="1"/>
  <c r="G3052" i="51" a="1"/>
  <c r="G3052" i="51" s="1"/>
  <c r="G3053" i="51" a="1"/>
  <c r="G3053" i="51"/>
  <c r="G3054" i="51" a="1"/>
  <c r="G3054" i="51"/>
  <c r="G3055" i="51" a="1"/>
  <c r="G3055" i="51" s="1"/>
  <c r="G3056" i="51" a="1"/>
  <c r="G3056" i="51" s="1"/>
  <c r="G3057" i="51" a="1"/>
  <c r="G3057" i="51" s="1"/>
  <c r="G3058" i="51" a="1"/>
  <c r="G3058" i="51" s="1"/>
  <c r="G3059" i="51" a="1"/>
  <c r="G3059" i="51" s="1"/>
  <c r="G3060" i="51" a="1"/>
  <c r="G3060" i="51" s="1"/>
  <c r="G3061" i="51" a="1"/>
  <c r="G3061" i="51" s="1"/>
  <c r="G3062" i="51" a="1"/>
  <c r="G3062" i="51" s="1"/>
  <c r="G3063" i="51" a="1"/>
  <c r="G3063" i="51" s="1"/>
  <c r="G3064" i="51" a="1"/>
  <c r="G3064" i="51" s="1"/>
  <c r="G3065" i="51" a="1"/>
  <c r="G3065" i="51" s="1"/>
  <c r="G3066" i="51" a="1"/>
  <c r="G3066" i="51" s="1"/>
  <c r="G3067" i="51" a="1"/>
  <c r="G3067" i="51" s="1"/>
  <c r="G3068" i="51" a="1"/>
  <c r="G3068" i="51" s="1"/>
  <c r="G3069" i="51" a="1"/>
  <c r="G3069" i="51" s="1"/>
  <c r="G3070" i="51" a="1"/>
  <c r="G3070" i="51" s="1"/>
  <c r="G3071" i="51" a="1"/>
  <c r="G3071" i="51" s="1"/>
  <c r="G3072" i="51" a="1"/>
  <c r="G3072" i="51" s="1"/>
  <c r="G3073" i="51" a="1"/>
  <c r="G3073" i="51"/>
  <c r="G3074" i="51" a="1"/>
  <c r="G3074" i="51" s="1"/>
  <c r="G3075" i="51" a="1"/>
  <c r="G3075" i="51" s="1"/>
  <c r="G3076" i="51" a="1"/>
  <c r="G3076" i="51" s="1"/>
  <c r="G3077" i="51" a="1"/>
  <c r="G3077" i="51" s="1"/>
  <c r="G3078" i="51" a="1"/>
  <c r="G3078" i="51" s="1"/>
  <c r="G3079" i="51" a="1"/>
  <c r="G3079" i="51" s="1"/>
  <c r="G3080" i="51" a="1"/>
  <c r="G3080" i="51" s="1"/>
  <c r="G3081" i="51" a="1"/>
  <c r="G3081" i="51"/>
  <c r="G3082" i="51" a="1"/>
  <c r="G3082" i="51" s="1"/>
  <c r="G3083" i="51" a="1"/>
  <c r="G3083" i="51" s="1"/>
  <c r="G3084" i="51" a="1"/>
  <c r="G3084" i="51" s="1"/>
  <c r="G3085" i="51" a="1"/>
  <c r="G3085" i="51"/>
  <c r="G3086" i="51" a="1"/>
  <c r="G3086" i="51" s="1"/>
  <c r="G3087" i="51" a="1"/>
  <c r="G3087" i="51" s="1"/>
  <c r="G3088" i="51" a="1"/>
  <c r="G3088" i="51" s="1"/>
  <c r="G3089" i="51" a="1"/>
  <c r="G3089" i="51" s="1"/>
  <c r="G3090" i="51" a="1"/>
  <c r="G3090" i="51"/>
  <c r="G3091" i="51" a="1"/>
  <c r="G3091" i="51" s="1"/>
  <c r="G3092" i="51" a="1"/>
  <c r="G3092" i="51" s="1"/>
  <c r="G3093" i="51" a="1"/>
  <c r="G3093" i="51" s="1"/>
  <c r="G3094" i="51" a="1"/>
  <c r="G3094" i="51" s="1"/>
  <c r="G3095" i="51" a="1"/>
  <c r="G3095" i="51" s="1"/>
  <c r="G3096" i="51" a="1"/>
  <c r="G3096" i="51" s="1"/>
  <c r="G3097" i="51" a="1"/>
  <c r="G3097" i="51" s="1"/>
  <c r="G3098" i="51" a="1"/>
  <c r="G3098" i="51" s="1"/>
  <c r="G3099" i="51" a="1"/>
  <c r="G3099" i="51" s="1"/>
  <c r="G3100" i="51" a="1"/>
  <c r="G3100" i="51" s="1"/>
  <c r="G3101" i="51" a="1"/>
  <c r="G3101" i="51" s="1"/>
  <c r="G3102" i="51" a="1"/>
  <c r="G3102" i="51" s="1"/>
  <c r="G3103" i="51" a="1"/>
  <c r="G3103" i="51" s="1"/>
  <c r="G3104" i="51" a="1"/>
  <c r="G3104" i="51"/>
  <c r="G3105" i="51" a="1"/>
  <c r="G3105" i="51" s="1"/>
  <c r="G3106" i="51" a="1"/>
  <c r="G3106" i="51" s="1"/>
  <c r="G3107" i="51" a="1"/>
  <c r="G3107" i="51" s="1"/>
  <c r="G3108" i="51" a="1"/>
  <c r="G3108" i="51"/>
  <c r="G3109" i="51" a="1"/>
  <c r="G3109" i="51" s="1"/>
  <c r="G3110" i="51" a="1"/>
  <c r="G3110" i="51" s="1"/>
  <c r="G3111" i="51" a="1"/>
  <c r="G3111" i="51" s="1"/>
  <c r="G3112" i="51" a="1"/>
  <c r="G3112" i="51"/>
  <c r="G3113" i="51" a="1"/>
  <c r="G3113" i="51"/>
  <c r="G3114" i="51" a="1"/>
  <c r="G3114" i="51" s="1"/>
  <c r="G3115" i="51" a="1"/>
  <c r="G3115" i="51"/>
  <c r="G3116" i="51" a="1"/>
  <c r="G3116" i="51" s="1"/>
  <c r="G3117" i="51" a="1"/>
  <c r="G3117" i="51" s="1"/>
  <c r="G3118" i="51" a="1"/>
  <c r="G3118" i="51" s="1"/>
  <c r="G3119" i="51" a="1"/>
  <c r="G3119" i="51" s="1"/>
  <c r="G3120" i="51" a="1"/>
  <c r="G3120" i="51" s="1"/>
  <c r="G3121" i="51" a="1"/>
  <c r="G3121" i="51"/>
  <c r="G3122" i="51" a="1"/>
  <c r="G3122" i="51" s="1"/>
  <c r="G3123" i="51" a="1"/>
  <c r="G3123" i="51" s="1"/>
  <c r="G3124" i="51" a="1"/>
  <c r="G3124" i="51" s="1"/>
  <c r="G3125" i="51" a="1"/>
  <c r="G3125" i="51" s="1"/>
  <c r="G3126" i="51" a="1"/>
  <c r="G3126" i="51" s="1"/>
  <c r="G3127" i="51" a="1"/>
  <c r="G3127" i="51" s="1"/>
  <c r="G3128" i="51" a="1"/>
  <c r="G3128" i="51" s="1"/>
  <c r="G3129" i="51" a="1"/>
  <c r="G3129" i="51" s="1"/>
  <c r="G3130" i="51" a="1"/>
  <c r="G3130" i="51" s="1"/>
  <c r="G3131" i="51" a="1"/>
  <c r="G3131" i="51" s="1"/>
  <c r="G3132" i="51" a="1"/>
  <c r="G3132" i="51" s="1"/>
  <c r="G3133" i="51" a="1"/>
  <c r="G3133" i="51"/>
  <c r="G3134" i="51" a="1"/>
  <c r="G3134" i="51" s="1"/>
  <c r="G3135" i="51" a="1"/>
  <c r="G3135" i="51"/>
  <c r="G3136" i="51" a="1"/>
  <c r="G3136" i="51"/>
  <c r="G3137" i="51" a="1"/>
  <c r="G3137" i="51" s="1"/>
  <c r="G3138" i="51" a="1"/>
  <c r="G3138" i="51" s="1"/>
  <c r="G3139" i="51" a="1"/>
  <c r="G3139" i="51" s="1"/>
  <c r="G3140" i="51" a="1"/>
  <c r="G3140" i="51" s="1"/>
  <c r="G3141" i="51" a="1"/>
  <c r="G3141" i="51" s="1"/>
  <c r="G3142" i="51" a="1"/>
  <c r="G3142" i="51" s="1"/>
  <c r="G3143" i="51" a="1"/>
  <c r="G3143" i="51" s="1"/>
  <c r="G3144" i="51" a="1"/>
  <c r="G3144" i="51"/>
  <c r="G3145" i="51" a="1"/>
  <c r="G3145" i="51" s="1"/>
  <c r="G3146" i="51" a="1"/>
  <c r="G3146" i="51" s="1"/>
  <c r="G3147" i="51" a="1"/>
  <c r="G3147" i="51" s="1"/>
  <c r="G3148" i="51" a="1"/>
  <c r="G3148" i="51" s="1"/>
  <c r="G3149" i="51" a="1"/>
  <c r="G3149" i="51" s="1"/>
  <c r="G3150" i="51" a="1"/>
  <c r="G3150" i="51" s="1"/>
  <c r="G3151" i="51" a="1"/>
  <c r="G3151" i="51" s="1"/>
  <c r="G3152" i="51" a="1"/>
  <c r="G3152" i="51" s="1"/>
  <c r="G3153" i="51" a="1"/>
  <c r="G3153" i="51" s="1"/>
  <c r="G3154" i="51" a="1"/>
  <c r="G3154" i="51" s="1"/>
  <c r="G3155" i="51" a="1"/>
  <c r="G3155" i="51" s="1"/>
  <c r="G3156" i="51" a="1"/>
  <c r="G3156" i="51"/>
  <c r="G3157" i="51" a="1"/>
  <c r="G3157" i="51" s="1"/>
  <c r="G3158" i="51" a="1"/>
  <c r="G3158" i="51" s="1"/>
  <c r="G3159" i="51" a="1"/>
  <c r="G3159" i="51"/>
  <c r="G3160" i="51" a="1"/>
  <c r="G3160" i="51" s="1"/>
  <c r="G3161" i="51" a="1"/>
  <c r="G3161" i="51" s="1"/>
  <c r="G3162" i="51" a="1"/>
  <c r="G3162" i="51" s="1"/>
  <c r="G3163" i="51" a="1"/>
  <c r="G3163" i="51" s="1"/>
  <c r="G3164" i="51" a="1"/>
  <c r="G3164" i="51" s="1"/>
  <c r="G3165" i="51" a="1"/>
  <c r="G3165" i="51" s="1"/>
  <c r="G3166" i="51" a="1"/>
  <c r="G3166" i="51" s="1"/>
  <c r="G3167" i="51" a="1"/>
  <c r="G3167" i="51"/>
  <c r="G3168" i="51" a="1"/>
  <c r="G3168" i="51" s="1"/>
  <c r="G3169" i="51" a="1"/>
  <c r="G3169" i="51" s="1"/>
  <c r="G3170" i="51" a="1"/>
  <c r="G3170" i="51" s="1"/>
  <c r="G3171" i="51" a="1"/>
  <c r="G3171" i="51"/>
  <c r="G3172" i="51" a="1"/>
  <c r="G3172" i="51" s="1"/>
  <c r="G3173" i="51" a="1"/>
  <c r="G3173" i="51" s="1"/>
  <c r="G3174" i="51" a="1"/>
  <c r="G3174" i="51" s="1"/>
  <c r="G3175" i="51" a="1"/>
  <c r="G3175" i="51" s="1"/>
  <c r="G3176" i="51" a="1"/>
  <c r="G3176" i="51"/>
  <c r="G3177" i="51" a="1"/>
  <c r="G3177" i="51"/>
  <c r="G3178" i="51" a="1"/>
  <c r="G3178" i="51" s="1"/>
  <c r="G3179" i="51" a="1"/>
  <c r="G3179" i="51"/>
  <c r="G3180" i="51" a="1"/>
  <c r="G3180" i="51" s="1"/>
  <c r="G3181" i="51" a="1"/>
  <c r="G3181" i="51" s="1"/>
  <c r="G3182" i="51" a="1"/>
  <c r="G3182" i="51" s="1"/>
  <c r="G3183" i="51" a="1"/>
  <c r="G3183" i="51" s="1"/>
  <c r="G3184" i="51" a="1"/>
  <c r="G3184" i="51" s="1"/>
  <c r="G3185" i="51" a="1"/>
  <c r="G3185" i="51"/>
  <c r="G3186" i="51" a="1"/>
  <c r="G3186" i="51" s="1"/>
  <c r="G3187" i="51" a="1"/>
  <c r="G3187" i="51" s="1"/>
  <c r="G3188" i="51" a="1"/>
  <c r="G3188" i="51" s="1"/>
  <c r="G3189" i="51" a="1"/>
  <c r="G3189" i="51" s="1"/>
  <c r="G3190" i="51" a="1"/>
  <c r="G3190" i="51" s="1"/>
  <c r="G3191" i="51" a="1"/>
  <c r="G3191" i="51" s="1"/>
  <c r="G3192" i="51" a="1"/>
  <c r="G3192" i="51" s="1"/>
  <c r="G3193" i="51" a="1"/>
  <c r="G3193" i="51" s="1"/>
  <c r="G3194" i="51" a="1"/>
  <c r="G3194" i="51" s="1"/>
  <c r="G3195" i="51" a="1"/>
  <c r="G3195" i="51" s="1"/>
  <c r="G3196" i="51" a="1"/>
  <c r="G3196" i="51" s="1"/>
  <c r="G3197" i="51" a="1"/>
  <c r="G3197" i="51" s="1"/>
  <c r="G3198" i="51" a="1"/>
  <c r="G3198" i="51" s="1"/>
  <c r="G3199" i="51" a="1"/>
  <c r="G3199" i="51"/>
  <c r="G3200" i="51" a="1"/>
  <c r="G3200" i="51"/>
  <c r="G3201" i="51" a="1"/>
  <c r="G3201" i="51" s="1"/>
  <c r="G3202" i="51" a="1"/>
  <c r="G3202" i="51" s="1"/>
  <c r="G3203" i="51" a="1"/>
  <c r="G3203" i="51" s="1"/>
  <c r="G3204" i="51" a="1"/>
  <c r="G3204" i="51" s="1"/>
  <c r="G3205" i="51" a="1"/>
  <c r="G3205" i="51" s="1"/>
  <c r="G3206" i="51" a="1"/>
  <c r="G3206" i="51" s="1"/>
  <c r="G3207" i="51" a="1"/>
  <c r="G3207" i="51" s="1"/>
  <c r="G3208" i="51" a="1"/>
  <c r="G3208" i="51"/>
  <c r="G3209" i="51" a="1"/>
  <c r="G3209" i="51" s="1"/>
  <c r="G3210" i="51" a="1"/>
  <c r="G3210" i="51" s="1"/>
  <c r="G3211" i="51" a="1"/>
  <c r="G3211" i="51" s="1"/>
  <c r="G3212" i="51" a="1"/>
  <c r="G3212" i="51" s="1"/>
  <c r="G3213" i="51" a="1"/>
  <c r="G3213" i="51" s="1"/>
  <c r="G3214" i="51" a="1"/>
  <c r="G3214" i="51" s="1"/>
  <c r="G3215" i="51" a="1"/>
  <c r="G3215" i="51"/>
  <c r="G3216" i="51" a="1"/>
  <c r="G3216" i="51" s="1"/>
  <c r="G3217" i="51" a="1"/>
  <c r="G3217" i="51"/>
  <c r="G3218" i="51" a="1"/>
  <c r="G3218" i="51" s="1"/>
  <c r="G3219" i="51" a="1"/>
  <c r="G3219" i="51" s="1"/>
  <c r="G3220" i="51" a="1"/>
  <c r="G3220" i="51" s="1"/>
  <c r="G3221" i="51" a="1"/>
  <c r="G3221" i="51"/>
  <c r="G3222" i="51" a="1"/>
  <c r="G3222" i="51" s="1"/>
  <c r="G3223" i="51" a="1"/>
  <c r="G3223" i="51" s="1"/>
  <c r="G3224" i="51" a="1"/>
  <c r="G3224" i="51" s="1"/>
  <c r="G3225" i="51" a="1"/>
  <c r="G3225" i="51" s="1"/>
  <c r="G3226" i="51" a="1"/>
  <c r="G3226" i="51" s="1"/>
  <c r="G3227" i="51" a="1"/>
  <c r="G3227" i="51" s="1"/>
  <c r="G3228" i="51" a="1"/>
  <c r="G3228" i="51" s="1"/>
  <c r="G3229" i="51" a="1"/>
  <c r="G3229" i="51" s="1"/>
  <c r="G3230" i="51" a="1"/>
  <c r="G3230" i="51" s="1"/>
  <c r="G3231" i="51" a="1"/>
  <c r="G3231" i="51" s="1"/>
  <c r="G3232" i="51" a="1"/>
  <c r="G3232" i="51"/>
  <c r="G3233" i="51" a="1"/>
  <c r="G3233" i="51"/>
  <c r="G3234" i="51" a="1"/>
  <c r="G3234" i="51" s="1"/>
  <c r="G3235" i="51" a="1"/>
  <c r="G3235" i="51" s="1"/>
  <c r="G3236" i="51" a="1"/>
  <c r="G3236" i="51" s="1"/>
  <c r="G3237" i="51" a="1"/>
  <c r="G3237" i="51" s="1"/>
  <c r="G3238" i="51" a="1"/>
  <c r="G3238" i="51" s="1"/>
  <c r="G3239" i="51" a="1"/>
  <c r="G3239" i="51" s="1"/>
  <c r="G3240" i="51" a="1"/>
  <c r="G3240" i="51" s="1"/>
  <c r="G3241" i="51" a="1"/>
  <c r="G3241" i="51" s="1"/>
  <c r="G3242" i="51" a="1"/>
  <c r="G3242" i="51" s="1"/>
  <c r="G3243" i="51" a="1"/>
  <c r="G3243" i="51" s="1"/>
  <c r="G3244" i="51" a="1"/>
  <c r="G3244" i="51"/>
  <c r="G3245" i="51" a="1"/>
  <c r="G3245" i="51" s="1"/>
  <c r="G3246" i="51" a="1"/>
  <c r="G3246" i="51" s="1"/>
  <c r="G3247" i="51" a="1"/>
  <c r="G3247" i="51" s="1"/>
  <c r="G3248" i="51" a="1"/>
  <c r="G3248" i="51" s="1"/>
  <c r="G3249" i="51" a="1"/>
  <c r="G3249" i="51" s="1"/>
  <c r="G3250" i="51" a="1"/>
  <c r="G3250" i="51" s="1"/>
  <c r="G3251" i="51" a="1"/>
  <c r="G3251" i="51" s="1"/>
  <c r="G3252" i="51" a="1"/>
  <c r="G3252" i="51" s="1"/>
  <c r="G3253" i="51" a="1"/>
  <c r="G3253" i="51"/>
  <c r="G3254" i="51" a="1"/>
  <c r="G3254" i="51" s="1"/>
  <c r="G3255" i="51" a="1"/>
  <c r="G3255" i="51"/>
  <c r="G3256" i="51" a="1"/>
  <c r="G3256" i="51"/>
  <c r="G3257" i="51" a="1"/>
  <c r="G3257" i="51" s="1"/>
  <c r="G3258" i="51" a="1"/>
  <c r="G3258" i="51" s="1"/>
  <c r="G3259" i="51" a="1"/>
  <c r="G3259" i="51" s="1"/>
  <c r="G3260" i="51" a="1"/>
  <c r="G3260" i="51" s="1"/>
  <c r="G3261" i="51" a="1"/>
  <c r="G3261" i="51"/>
  <c r="G3262" i="51" a="1"/>
  <c r="G3262" i="51" s="1"/>
  <c r="G3263" i="51" a="1"/>
  <c r="G3263" i="51" s="1"/>
  <c r="G3264" i="51" a="1"/>
  <c r="G3264" i="51"/>
  <c r="G3265" i="51" a="1"/>
  <c r="G3265" i="51" s="1"/>
  <c r="G3266" i="51" a="1"/>
  <c r="G3266" i="51" s="1"/>
  <c r="G3267" i="51" a="1"/>
  <c r="G3267" i="51"/>
  <c r="G3268" i="51" a="1"/>
  <c r="G3268" i="51" s="1"/>
  <c r="G3269" i="51" a="1"/>
  <c r="G3269" i="51" s="1"/>
  <c r="G3270" i="51" a="1"/>
  <c r="G3270" i="51" s="1"/>
  <c r="G3271" i="51" a="1"/>
  <c r="G3271" i="51" s="1"/>
  <c r="G3272" i="51" a="1"/>
  <c r="G3272" i="51"/>
  <c r="G3273" i="51" a="1"/>
  <c r="G3273" i="51"/>
  <c r="G3274" i="51" a="1"/>
  <c r="G3274" i="51" s="1"/>
  <c r="G3275" i="51" a="1"/>
  <c r="G3275" i="51"/>
  <c r="G3276" i="51" a="1"/>
  <c r="G3276" i="51" s="1"/>
  <c r="G3277" i="51" a="1"/>
  <c r="G3277" i="51" s="1"/>
  <c r="G3278" i="51" a="1"/>
  <c r="G3278" i="51" s="1"/>
  <c r="G3279" i="51" a="1"/>
  <c r="G3279" i="51" s="1"/>
  <c r="G3280" i="51" a="1"/>
  <c r="G3280" i="51" s="1"/>
  <c r="G3281" i="51" a="1"/>
  <c r="G3281" i="51"/>
  <c r="G3282" i="51" a="1"/>
  <c r="G3282" i="51" s="1"/>
  <c r="G3283" i="51" a="1"/>
  <c r="G3283" i="51" s="1"/>
  <c r="G3284" i="51" a="1"/>
  <c r="G3284" i="51"/>
  <c r="G3285" i="51" a="1"/>
  <c r="G3285" i="51"/>
  <c r="G3286" i="51" a="1"/>
  <c r="G3286" i="51" s="1"/>
  <c r="G3287" i="51" a="1"/>
  <c r="G3287" i="51" s="1"/>
  <c r="G3288" i="51" a="1"/>
  <c r="G3288" i="51" s="1"/>
  <c r="G3289" i="51" a="1"/>
  <c r="G3289" i="51" s="1"/>
  <c r="G3290" i="51" a="1"/>
  <c r="G3290" i="51" s="1"/>
  <c r="G3291" i="51" a="1"/>
  <c r="G3291" i="51" s="1"/>
  <c r="G3292" i="51" a="1"/>
  <c r="G3292" i="51" s="1"/>
  <c r="G3293" i="51" a="1"/>
  <c r="G3293" i="51" s="1"/>
  <c r="G3294" i="51" a="1"/>
  <c r="G3294" i="51" s="1"/>
  <c r="G3295" i="51" a="1"/>
  <c r="G3295" i="51"/>
  <c r="G3296" i="51" a="1"/>
  <c r="G3296" i="51" s="1"/>
  <c r="G3297" i="51" a="1"/>
  <c r="G3297" i="51"/>
  <c r="G3298" i="51" a="1"/>
  <c r="G3298" i="51" s="1"/>
  <c r="G3299" i="51" a="1"/>
  <c r="G3299" i="51" s="1"/>
  <c r="G3300" i="51" a="1"/>
  <c r="G3300" i="51" s="1"/>
  <c r="G3301" i="51" a="1"/>
  <c r="G3301" i="51" s="1"/>
  <c r="G3302" i="51" a="1"/>
  <c r="G3302" i="51" s="1"/>
  <c r="G3303" i="51" a="1"/>
  <c r="G3303" i="51" s="1"/>
  <c r="G3304" i="51" a="1"/>
  <c r="G3304" i="51" s="1"/>
  <c r="G3305" i="51" a="1"/>
  <c r="G3305" i="51" s="1"/>
  <c r="G3306" i="51" a="1"/>
  <c r="G3306" i="51" s="1"/>
  <c r="G3307" i="51" a="1"/>
  <c r="G3307" i="51" s="1"/>
  <c r="G3308" i="51" a="1"/>
  <c r="G3308" i="51"/>
  <c r="G3309" i="51" a="1"/>
  <c r="G3309" i="51" s="1"/>
  <c r="G3310" i="51" a="1"/>
  <c r="G3310" i="51" s="1"/>
  <c r="G3311" i="51" a="1"/>
  <c r="G3311" i="51"/>
  <c r="G3312" i="51" a="1"/>
  <c r="G3312" i="51" s="1"/>
  <c r="G3313" i="51" a="1"/>
  <c r="G3313" i="51"/>
  <c r="G3314" i="51" a="1"/>
  <c r="G3314" i="51" s="1"/>
  <c r="G3315" i="51" a="1"/>
  <c r="G3315" i="51" s="1"/>
  <c r="G3316" i="51" a="1"/>
  <c r="G3316" i="51" s="1"/>
  <c r="G3317" i="51" a="1"/>
  <c r="G3317" i="51" s="1"/>
  <c r="G3318" i="51" a="1"/>
  <c r="G3318" i="51" s="1"/>
  <c r="G3319" i="51" a="1"/>
  <c r="G3319" i="51"/>
  <c r="G3320" i="51" a="1"/>
  <c r="G3320" i="51"/>
  <c r="G3321" i="51" a="1"/>
  <c r="G3321" i="51" s="1"/>
  <c r="G3322" i="51" a="1"/>
  <c r="G3322" i="51" s="1"/>
  <c r="G3323" i="51" a="1"/>
  <c r="G3323" i="51" s="1"/>
  <c r="G3324" i="51" a="1"/>
  <c r="G3324" i="51" s="1"/>
  <c r="G3325" i="51" a="1"/>
  <c r="G3325" i="51" s="1"/>
  <c r="G3326" i="51" a="1"/>
  <c r="G3326" i="51" s="1"/>
  <c r="G3327" i="51" a="1"/>
  <c r="G3327" i="51"/>
  <c r="G3328" i="51" a="1"/>
  <c r="G3328" i="51"/>
  <c r="G3329" i="51" a="1"/>
  <c r="G3329" i="51" s="1"/>
  <c r="G3330" i="51" a="1"/>
  <c r="G3330" i="51" s="1"/>
  <c r="G3331" i="51" a="1"/>
  <c r="G3331" i="51" s="1"/>
  <c r="G3332" i="51" a="1"/>
  <c r="G3332" i="51" s="1"/>
  <c r="G3333" i="51" a="1"/>
  <c r="G3333" i="51"/>
  <c r="G3334" i="51" a="1"/>
  <c r="G3334" i="51" s="1"/>
  <c r="G3335" i="51" a="1"/>
  <c r="G3335" i="51" s="1"/>
  <c r="G3336" i="51" a="1"/>
  <c r="G3336" i="51" s="1"/>
  <c r="G3337" i="51" a="1"/>
  <c r="G3337" i="51" s="1"/>
  <c r="G3338" i="51" a="1"/>
  <c r="G3338" i="51" s="1"/>
  <c r="G3339" i="51" a="1"/>
  <c r="G3339" i="51" s="1"/>
  <c r="G3340" i="51" a="1"/>
  <c r="G3340" i="51" s="1"/>
  <c r="G3341" i="51" a="1"/>
  <c r="G3341" i="51" s="1"/>
  <c r="G3342" i="51" a="1"/>
  <c r="G3342" i="51" s="1"/>
  <c r="G3343" i="51" a="1"/>
  <c r="G3343" i="51" s="1"/>
  <c r="G3344" i="51" a="1"/>
  <c r="G3344" i="51" s="1"/>
  <c r="G3345" i="51" a="1"/>
  <c r="G3345" i="51" s="1"/>
  <c r="G3346" i="51" a="1"/>
  <c r="G3346" i="51" s="1"/>
  <c r="G3347" i="51" a="1"/>
  <c r="G3347" i="51" s="1"/>
  <c r="G3348" i="51" a="1"/>
  <c r="G3348" i="51" s="1"/>
  <c r="G3349" i="51" a="1"/>
  <c r="G3349" i="51"/>
  <c r="G3350" i="51" a="1"/>
  <c r="G3350" i="51" s="1"/>
  <c r="G3351" i="51" a="1"/>
  <c r="G3351" i="51" s="1"/>
  <c r="G3352" i="51" a="1"/>
  <c r="G3352" i="51" s="1"/>
  <c r="G3353" i="51" a="1"/>
  <c r="G3353" i="51" s="1"/>
  <c r="G3354" i="51" a="1"/>
  <c r="G3354" i="51" s="1"/>
  <c r="G3355" i="51" a="1"/>
  <c r="G3355" i="51" s="1"/>
  <c r="G3356" i="51" a="1"/>
  <c r="G3356" i="51" s="1"/>
  <c r="G3357" i="51" a="1"/>
  <c r="G3357" i="51" s="1"/>
  <c r="G3358" i="51" a="1"/>
  <c r="G3358" i="51" s="1"/>
  <c r="G3359" i="51" a="1"/>
  <c r="G3359" i="51" s="1"/>
  <c r="G3360" i="51" a="1"/>
  <c r="G3360" i="51" s="1"/>
  <c r="G3361" i="51" a="1"/>
  <c r="G3361" i="51" s="1"/>
  <c r="G3362" i="51" a="1"/>
  <c r="G3362" i="51" s="1"/>
  <c r="G3363" i="51" a="1"/>
  <c r="G3363" i="51" s="1"/>
  <c r="G3364" i="51" a="1"/>
  <c r="G3364" i="51" s="1"/>
  <c r="G3365" i="51" a="1"/>
  <c r="G3365" i="51" s="1"/>
  <c r="G3366" i="51" a="1"/>
  <c r="G3366" i="51" s="1"/>
  <c r="G3367" i="51" a="1"/>
  <c r="G3367" i="51" s="1"/>
  <c r="G3368" i="51" a="1"/>
  <c r="G3368" i="51" s="1"/>
  <c r="G3369" i="51" a="1"/>
  <c r="G3369" i="51"/>
  <c r="G3370" i="51" a="1"/>
  <c r="G3370" i="51" s="1"/>
  <c r="G3371" i="51" a="1"/>
  <c r="G3371" i="51" s="1"/>
  <c r="G3372" i="51" a="1"/>
  <c r="G3372" i="51" s="1"/>
  <c r="G3373" i="51" a="1"/>
  <c r="G3373" i="51" s="1"/>
  <c r="G3374" i="51" a="1"/>
  <c r="G3374" i="51" s="1"/>
  <c r="G3375" i="51" a="1"/>
  <c r="G3375" i="51" s="1"/>
  <c r="G3376" i="51" a="1"/>
  <c r="G3376" i="51" s="1"/>
  <c r="G3377" i="51" a="1"/>
  <c r="G3377" i="51" s="1"/>
  <c r="G3378" i="51" a="1"/>
  <c r="G3378" i="51" s="1"/>
  <c r="G3379" i="51" a="1"/>
  <c r="G3379" i="51" s="1"/>
  <c r="G3380" i="51" a="1"/>
  <c r="G3380" i="51"/>
  <c r="G3381" i="51" a="1"/>
  <c r="G3381" i="51" s="1"/>
  <c r="G3382" i="51" a="1"/>
  <c r="G3382" i="51" s="1"/>
  <c r="G3383" i="51" a="1"/>
  <c r="G3383" i="51"/>
  <c r="G3384" i="51" a="1"/>
  <c r="G3384" i="51" s="1"/>
  <c r="G3385" i="51" a="1"/>
  <c r="G3385" i="51" s="1"/>
  <c r="G3386" i="51" a="1"/>
  <c r="G3386" i="51" s="1"/>
  <c r="G3387" i="51" a="1"/>
  <c r="G3387" i="51" s="1"/>
  <c r="G3388" i="51" a="1"/>
  <c r="G3388" i="51" s="1"/>
  <c r="G3389" i="51" a="1"/>
  <c r="G3389" i="51" s="1"/>
  <c r="G3390" i="51" a="1"/>
  <c r="G3390" i="51" s="1"/>
  <c r="G3391" i="51" a="1"/>
  <c r="G3391" i="51" s="1"/>
  <c r="G3392" i="51" a="1"/>
  <c r="G3392" i="51"/>
  <c r="G3393" i="51" a="1"/>
  <c r="G3393" i="51" s="1"/>
  <c r="G3394" i="51" a="1"/>
  <c r="G3394" i="51" s="1"/>
  <c r="G3395" i="51" a="1"/>
  <c r="G3395" i="51" s="1"/>
  <c r="G3396" i="51" a="1"/>
  <c r="G3396" i="51" s="1"/>
  <c r="G3397" i="51" a="1"/>
  <c r="G3397" i="51" s="1"/>
  <c r="G3398" i="51" a="1"/>
  <c r="G3398" i="51" s="1"/>
  <c r="G3399" i="51" a="1"/>
  <c r="G3399" i="51" s="1"/>
  <c r="G3400" i="51" a="1"/>
  <c r="G3400" i="51" s="1"/>
  <c r="G3401" i="51" a="1"/>
  <c r="G3401" i="51"/>
  <c r="G3402" i="51" a="1"/>
  <c r="G3402" i="51" s="1"/>
  <c r="G3403" i="51" a="1"/>
  <c r="G3403" i="51" s="1"/>
  <c r="G3404" i="51" a="1"/>
  <c r="G3404" i="51"/>
  <c r="G3405" i="51" a="1"/>
  <c r="G3405" i="51" s="1"/>
  <c r="G3406" i="51" a="1"/>
  <c r="G3406" i="51" s="1"/>
  <c r="G3407" i="51" a="1"/>
  <c r="G3407" i="51" s="1"/>
  <c r="G3408" i="51" a="1"/>
  <c r="G3408" i="51" s="1"/>
  <c r="G3409" i="51" a="1"/>
  <c r="G3409" i="51" s="1"/>
  <c r="G3410" i="51" a="1"/>
  <c r="G3410" i="51" s="1"/>
  <c r="G3411" i="51" a="1"/>
  <c r="G3411" i="51" s="1"/>
  <c r="G3412" i="51" a="1"/>
  <c r="G3412" i="51"/>
  <c r="G3413" i="51" a="1"/>
  <c r="G3413" i="51"/>
  <c r="G3414" i="51" a="1"/>
  <c r="G3414" i="51" s="1"/>
  <c r="G3415" i="51" a="1"/>
  <c r="G3415" i="51" s="1"/>
  <c r="G3416" i="51" a="1"/>
  <c r="G3416" i="51" s="1"/>
  <c r="G3417" i="51" a="1"/>
  <c r="G3417" i="51" s="1"/>
  <c r="G3418" i="51" a="1"/>
  <c r="G3418" i="51" s="1"/>
  <c r="G3419" i="51" a="1"/>
  <c r="G3419" i="51" s="1"/>
  <c r="G3420" i="51" a="1"/>
  <c r="G3420" i="51" s="1"/>
  <c r="G3421" i="51" a="1"/>
  <c r="G3421" i="51" s="1"/>
  <c r="G3422" i="51" a="1"/>
  <c r="G3422" i="51" s="1"/>
  <c r="G3423" i="51" a="1"/>
  <c r="G3423" i="51" s="1"/>
  <c r="G3424" i="51" a="1"/>
  <c r="G3424" i="51" s="1"/>
  <c r="G3425" i="51" a="1"/>
  <c r="G3425" i="51" s="1"/>
  <c r="G3426" i="51" a="1"/>
  <c r="G3426" i="51" s="1"/>
  <c r="G3427" i="51" a="1"/>
  <c r="G3427" i="51" s="1"/>
  <c r="G3428" i="51" a="1"/>
  <c r="G3428" i="51" s="1"/>
  <c r="G3429" i="51" a="1"/>
  <c r="G3429" i="51" s="1"/>
  <c r="G3430" i="51" a="1"/>
  <c r="G3430" i="51" s="1"/>
  <c r="G3431" i="51" a="1"/>
  <c r="G3431" i="51" s="1"/>
  <c r="G3432" i="51" a="1"/>
  <c r="G3432" i="51" s="1"/>
  <c r="G3433" i="51" a="1"/>
  <c r="G3433" i="51"/>
  <c r="G3434" i="51" a="1"/>
  <c r="G3434" i="51" s="1"/>
  <c r="G3435" i="51" a="1"/>
  <c r="G3435" i="51" s="1"/>
  <c r="G3436" i="51" a="1"/>
  <c r="G3436" i="51" s="1"/>
  <c r="G3437" i="51" a="1"/>
  <c r="G3437" i="51" s="1"/>
  <c r="G3438" i="51" a="1"/>
  <c r="G3438" i="51" s="1"/>
  <c r="G3439" i="51" a="1"/>
  <c r="G3439" i="51" s="1"/>
  <c r="G3440" i="51" a="1"/>
  <c r="G3440" i="51" s="1"/>
  <c r="G3441" i="51" a="1"/>
  <c r="G3441" i="51" s="1"/>
  <c r="G3442" i="51" a="1"/>
  <c r="G3442" i="51" s="1"/>
  <c r="G3443" i="51" a="1"/>
  <c r="G3443" i="51" s="1"/>
  <c r="G3444" i="51" a="1"/>
  <c r="G3444" i="51"/>
  <c r="G3445" i="51" a="1"/>
  <c r="G3445" i="51"/>
  <c r="G3446" i="51" a="1"/>
  <c r="G3446" i="51" s="1"/>
  <c r="G3447" i="51" a="1"/>
  <c r="G3447" i="51" s="1"/>
  <c r="G3448" i="51" a="1"/>
  <c r="G3448" i="51" s="1"/>
  <c r="G3449" i="51" a="1"/>
  <c r="G3449" i="51" s="1"/>
  <c r="G3450" i="51" a="1"/>
  <c r="G3450" i="51" s="1"/>
  <c r="G3451" i="51" a="1"/>
  <c r="G3451" i="51" s="1"/>
  <c r="G3452" i="51" a="1"/>
  <c r="G3452" i="51" s="1"/>
  <c r="G3453" i="51" a="1"/>
  <c r="G3453" i="51"/>
  <c r="G3454" i="51" a="1"/>
  <c r="G3454" i="51" s="1"/>
  <c r="G3455" i="51" a="1"/>
  <c r="G3455" i="51" s="1"/>
  <c r="G3456" i="51" a="1"/>
  <c r="G3456" i="51"/>
  <c r="G3457" i="51" a="1"/>
  <c r="G3457" i="51"/>
  <c r="G3458" i="51" a="1"/>
  <c r="G3458" i="51" s="1"/>
  <c r="G3459" i="51" a="1"/>
  <c r="G3459" i="51" s="1"/>
  <c r="G3460" i="51" a="1"/>
  <c r="G3460" i="51" s="1"/>
  <c r="G3461" i="51" a="1"/>
  <c r="G3461" i="51" s="1"/>
  <c r="G3462" i="51" a="1"/>
  <c r="G3462" i="51" s="1"/>
  <c r="G3463" i="51" a="1"/>
  <c r="G3463" i="51" s="1"/>
  <c r="G3464" i="51" a="1"/>
  <c r="G3464" i="51" s="1"/>
  <c r="G3465" i="51" a="1"/>
  <c r="G3465" i="51"/>
  <c r="G3466" i="51" a="1"/>
  <c r="G3466" i="51" s="1"/>
  <c r="G3467" i="51" a="1"/>
  <c r="G3467" i="51" s="1"/>
  <c r="G3468" i="51" a="1"/>
  <c r="G3468" i="51" s="1"/>
  <c r="G3469" i="51" a="1"/>
  <c r="G3469" i="51" s="1"/>
  <c r="G3470" i="51" a="1"/>
  <c r="G3470" i="51" s="1"/>
  <c r="G3471" i="51" a="1"/>
  <c r="G3471" i="51" s="1"/>
  <c r="G3472" i="51" a="1"/>
  <c r="G3472" i="51" s="1"/>
  <c r="G3473" i="51" a="1"/>
  <c r="G3473" i="51" s="1"/>
  <c r="G3474" i="51" a="1"/>
  <c r="G3474" i="51" s="1"/>
  <c r="G3475" i="51" a="1"/>
  <c r="G3475" i="51" s="1"/>
  <c r="G3476" i="51" a="1"/>
  <c r="G3476" i="51"/>
  <c r="G3477" i="51" a="1"/>
  <c r="G3477" i="51"/>
  <c r="G3478" i="51" a="1"/>
  <c r="G3478" i="51" s="1"/>
  <c r="G3479" i="51" a="1"/>
  <c r="G3479" i="51" s="1"/>
  <c r="G3480" i="51" a="1"/>
  <c r="G3480" i="51" s="1"/>
  <c r="G3481" i="51" a="1"/>
  <c r="G3481" i="51" s="1"/>
  <c r="G3482" i="51" a="1"/>
  <c r="G3482" i="51" s="1"/>
  <c r="G3483" i="51" a="1"/>
  <c r="G3483" i="51" s="1"/>
  <c r="G3484" i="51" a="1"/>
  <c r="G3484" i="51" s="1"/>
  <c r="G3485" i="51" a="1"/>
  <c r="G3485" i="51"/>
  <c r="G3486" i="51" a="1"/>
  <c r="G3486" i="51" s="1"/>
  <c r="G3487" i="51" a="1"/>
  <c r="G3487" i="51" s="1"/>
  <c r="G3488" i="51" a="1"/>
  <c r="G3488" i="51"/>
  <c r="G3489" i="51" a="1"/>
  <c r="G3489" i="51" s="1"/>
  <c r="G3490" i="51" a="1"/>
  <c r="G3490" i="51" s="1"/>
  <c r="G3491" i="51" a="1"/>
  <c r="G3491" i="51"/>
  <c r="G3492" i="51" a="1"/>
  <c r="G3492" i="51" s="1"/>
  <c r="G3493" i="51" a="1"/>
  <c r="G3493" i="51" s="1"/>
  <c r="G3494" i="51" a="1"/>
  <c r="G3494" i="51" s="1"/>
  <c r="G3495" i="51" a="1"/>
  <c r="G3495" i="51" s="1"/>
  <c r="G3496" i="51" a="1"/>
  <c r="G3496" i="51" s="1"/>
  <c r="G3497" i="51" a="1"/>
  <c r="G3497" i="51" s="1"/>
  <c r="G3498" i="51" a="1"/>
  <c r="G3498" i="51" s="1"/>
  <c r="G3499" i="51" a="1"/>
  <c r="G3499" i="51"/>
  <c r="G3500" i="51" a="1"/>
  <c r="G3500" i="51"/>
  <c r="G3501" i="51" a="1"/>
  <c r="G3501" i="51" s="1"/>
  <c r="G3502" i="51" a="1"/>
  <c r="G3502" i="51" s="1"/>
  <c r="G3503" i="51" a="1"/>
  <c r="G3503" i="51"/>
  <c r="G3504" i="51" a="1"/>
  <c r="G3504" i="51" s="1"/>
  <c r="G3505" i="51" a="1"/>
  <c r="G3505" i="51" s="1"/>
  <c r="G3506" i="51" a="1"/>
  <c r="G3506" i="51" s="1"/>
  <c r="G3507" i="51" a="1"/>
  <c r="G3507" i="51" s="1"/>
  <c r="G3508" i="51" a="1"/>
  <c r="G3508" i="51"/>
  <c r="G3509" i="51" a="1"/>
  <c r="G3509" i="51" s="1"/>
  <c r="G3510" i="51" a="1"/>
  <c r="G3510" i="51" s="1"/>
  <c r="G3511" i="51" a="1"/>
  <c r="G3511" i="51" s="1"/>
  <c r="G3512" i="51" a="1"/>
  <c r="G3512" i="51" s="1"/>
  <c r="G3513" i="51" a="1"/>
  <c r="G3513" i="51" s="1"/>
  <c r="G3514" i="51" a="1"/>
  <c r="G3514" i="51" s="1"/>
  <c r="G3515" i="51" a="1"/>
  <c r="G3515" i="51" s="1"/>
  <c r="G3516" i="51" a="1"/>
  <c r="G3516" i="51" s="1"/>
  <c r="G3517" i="51" a="1"/>
  <c r="G3517" i="51" s="1"/>
  <c r="G3518" i="51" a="1"/>
  <c r="G3518" i="51" s="1"/>
  <c r="G3519" i="51" a="1"/>
  <c r="G3519" i="51" s="1"/>
  <c r="G3520" i="51" a="1"/>
  <c r="G3520" i="51" s="1"/>
  <c r="G3521" i="51" a="1"/>
  <c r="G3521" i="51" s="1"/>
  <c r="G3522" i="51" a="1"/>
  <c r="G3522" i="51" s="1"/>
  <c r="G3523" i="51" a="1"/>
  <c r="G3523" i="51" s="1"/>
  <c r="G3524" i="51" a="1"/>
  <c r="G3524" i="51" s="1"/>
  <c r="G3525" i="51" a="1"/>
  <c r="G3525" i="51" s="1"/>
  <c r="G3526" i="51" a="1"/>
  <c r="G3526" i="51" s="1"/>
  <c r="G3527" i="51" a="1"/>
  <c r="G3527" i="51" s="1"/>
  <c r="G3528" i="51" a="1"/>
  <c r="G3528" i="51" s="1"/>
  <c r="G3529" i="51" a="1"/>
  <c r="G3529" i="51"/>
  <c r="G3530" i="51" a="1"/>
  <c r="G3530" i="51" s="1"/>
  <c r="G3531" i="51" a="1"/>
  <c r="G3531" i="51" s="1"/>
  <c r="G3532" i="51" a="1"/>
  <c r="G3532" i="51" s="1"/>
  <c r="G3533" i="51" a="1"/>
  <c r="G3533" i="51" s="1"/>
  <c r="G3534" i="51" a="1"/>
  <c r="G3534" i="51" s="1"/>
  <c r="G3535" i="51" a="1"/>
  <c r="G3535" i="51" s="1"/>
  <c r="G3536" i="51" a="1"/>
  <c r="G3536" i="51" s="1"/>
  <c r="G3537" i="51" a="1"/>
  <c r="G3537" i="51" s="1"/>
  <c r="G3538" i="51" a="1"/>
  <c r="G3538" i="51" s="1"/>
  <c r="G3539" i="51" a="1"/>
  <c r="G3539" i="51" s="1"/>
  <c r="G3540" i="51" a="1"/>
  <c r="G3540" i="51"/>
  <c r="G3541" i="51" a="1"/>
  <c r="G3541" i="51" s="1"/>
  <c r="G3542" i="51" a="1"/>
  <c r="G3542" i="51" s="1"/>
  <c r="G3543" i="51" a="1"/>
  <c r="G3543" i="51"/>
  <c r="G3544" i="51" a="1"/>
  <c r="G3544" i="51" s="1"/>
  <c r="G3545" i="51" a="1"/>
  <c r="G3545" i="51" s="1"/>
  <c r="G3546" i="51" a="1"/>
  <c r="G3546" i="51" s="1"/>
  <c r="G3547" i="51" a="1"/>
  <c r="G3547" i="51" s="1"/>
  <c r="G3548" i="51" a="1"/>
  <c r="G3548" i="51" s="1"/>
  <c r="G3549" i="51" a="1"/>
  <c r="G3549" i="51" s="1"/>
  <c r="G3550" i="51" a="1"/>
  <c r="G3550" i="51" s="1"/>
  <c r="G3551" i="51" a="1"/>
  <c r="G3551" i="51" s="1"/>
  <c r="G3552" i="51" a="1"/>
  <c r="G3552" i="51" s="1"/>
  <c r="G3553" i="51" a="1"/>
  <c r="G3553" i="51" s="1"/>
  <c r="G3554" i="51" a="1"/>
  <c r="G3554" i="51" s="1"/>
  <c r="G3555" i="51" a="1"/>
  <c r="G3555" i="51"/>
  <c r="G3556" i="51" a="1"/>
  <c r="G3556" i="51" s="1"/>
  <c r="G3557" i="51" a="1"/>
  <c r="G3557" i="51" s="1"/>
  <c r="G3558" i="51" a="1"/>
  <c r="G3558" i="51" s="1"/>
  <c r="G3559" i="51" a="1"/>
  <c r="G3559" i="51" s="1"/>
  <c r="G3560" i="51" a="1"/>
  <c r="G3560" i="51" s="1"/>
  <c r="G3561" i="51" a="1"/>
  <c r="G3561" i="51" s="1"/>
  <c r="G3562" i="51" a="1"/>
  <c r="G3562" i="51" s="1"/>
  <c r="G3563" i="51" a="1"/>
  <c r="G3563" i="51"/>
  <c r="G3564" i="51" a="1"/>
  <c r="G3564" i="51"/>
  <c r="G3565" i="51" a="1"/>
  <c r="G3565" i="51" s="1"/>
  <c r="G3566" i="51" a="1"/>
  <c r="G3566" i="51" s="1"/>
  <c r="G3567" i="51" a="1"/>
  <c r="G3567" i="51" s="1"/>
  <c r="G3568" i="51" a="1"/>
  <c r="G3568" i="51" s="1"/>
  <c r="G3569" i="51" a="1"/>
  <c r="G3569" i="51" s="1"/>
  <c r="G3570" i="51" a="1"/>
  <c r="G3570" i="51" s="1"/>
  <c r="G3571" i="51" a="1"/>
  <c r="G3571" i="51" s="1"/>
  <c r="G3572" i="51" a="1"/>
  <c r="G3572" i="51" s="1"/>
  <c r="G3573" i="51" a="1"/>
  <c r="G3573" i="51" s="1"/>
  <c r="G3574" i="51" a="1"/>
  <c r="G3574" i="51" s="1"/>
  <c r="G3575" i="51" a="1"/>
  <c r="G3575" i="51"/>
  <c r="G3576" i="51" a="1"/>
  <c r="G3576" i="51" s="1"/>
  <c r="G3577" i="51" a="1"/>
  <c r="G3577" i="51" s="1"/>
  <c r="G3578" i="51" a="1"/>
  <c r="G3578" i="51" s="1"/>
  <c r="G3579" i="51" a="1"/>
  <c r="G3579" i="51" s="1"/>
  <c r="G3580" i="51" a="1"/>
  <c r="G3580" i="51" s="1"/>
  <c r="G3581" i="51" a="1"/>
  <c r="G3581" i="51" s="1"/>
  <c r="G3582" i="51" a="1"/>
  <c r="G3582" i="51" s="1"/>
  <c r="G3583" i="51" a="1"/>
  <c r="G3583" i="51" s="1"/>
  <c r="G3584" i="51" a="1"/>
  <c r="G3584" i="51"/>
  <c r="G3585" i="51" a="1"/>
  <c r="G3585" i="51" s="1"/>
  <c r="G3586" i="51" a="1"/>
  <c r="G3586" i="51" s="1"/>
  <c r="G3587" i="51" a="1"/>
  <c r="G3587" i="51"/>
  <c r="G3588" i="51" a="1"/>
  <c r="G3588" i="51" s="1"/>
  <c r="G3589" i="51" a="1"/>
  <c r="G3589" i="51" s="1"/>
  <c r="G3590" i="51" a="1"/>
  <c r="G3590" i="51" s="1"/>
  <c r="G3591" i="51" a="1"/>
  <c r="G3591" i="51" s="1"/>
  <c r="G3592" i="51" a="1"/>
  <c r="G3592" i="51" s="1"/>
  <c r="G3593" i="51" a="1"/>
  <c r="G3593" i="51" s="1"/>
  <c r="G3594" i="51" a="1"/>
  <c r="G3594" i="51" s="1"/>
  <c r="G3595" i="51" a="1"/>
  <c r="G3595" i="51"/>
  <c r="G3596" i="51" a="1"/>
  <c r="G3596" i="51"/>
  <c r="G3597" i="51" a="1"/>
  <c r="G3597" i="51" s="1"/>
  <c r="G3598" i="51" a="1"/>
  <c r="G3598" i="51" s="1"/>
  <c r="G3599" i="51" a="1"/>
  <c r="G3599" i="51" s="1"/>
  <c r="G3600" i="51" a="1"/>
  <c r="G3600" i="51" s="1"/>
  <c r="G3601" i="51" a="1"/>
  <c r="G3601" i="51" s="1"/>
  <c r="G3602" i="51" a="1"/>
  <c r="G3602" i="51" s="1"/>
  <c r="G3603" i="51" a="1"/>
  <c r="G3603" i="51" s="1"/>
  <c r="G3604" i="51" a="1"/>
  <c r="G3604" i="51" s="1"/>
  <c r="G3605" i="51" a="1"/>
  <c r="G3605" i="51" s="1"/>
  <c r="G3606" i="51" a="1"/>
  <c r="G3606" i="51" s="1"/>
  <c r="G3607" i="51" a="1"/>
  <c r="G3607" i="51" s="1"/>
  <c r="G3608" i="51" a="1"/>
  <c r="G3608" i="51" s="1"/>
  <c r="G3609" i="51" a="1"/>
  <c r="G3609" i="51" s="1"/>
  <c r="G3610" i="51" a="1"/>
  <c r="G3610" i="51" s="1"/>
  <c r="G3611" i="51" a="1"/>
  <c r="G3611" i="51" s="1"/>
  <c r="G3612" i="51" a="1"/>
  <c r="G3612" i="51" s="1"/>
  <c r="G3613" i="51" a="1"/>
  <c r="G3613" i="51" s="1"/>
  <c r="G3614" i="51" a="1"/>
  <c r="G3614" i="51" s="1"/>
  <c r="G3615" i="51" a="1"/>
  <c r="G3615" i="51" s="1"/>
  <c r="G3616" i="51" a="1"/>
  <c r="G3616" i="51" s="1"/>
  <c r="G3617" i="51" a="1"/>
  <c r="G3617" i="51" s="1"/>
  <c r="G3618" i="51" a="1"/>
  <c r="G3618" i="51" s="1"/>
  <c r="G3619" i="51" a="1"/>
  <c r="G3619" i="51" s="1"/>
  <c r="G3620" i="51" a="1"/>
  <c r="G3620" i="51" s="1"/>
  <c r="G3621" i="51" a="1"/>
  <c r="G3621" i="51" s="1"/>
  <c r="G3622" i="51" a="1"/>
  <c r="G3622" i="51" s="1"/>
  <c r="G3623" i="51" a="1"/>
  <c r="G3623" i="51" s="1"/>
  <c r="G3624" i="51" a="1"/>
  <c r="G3624" i="51" s="1"/>
  <c r="G3625" i="51" a="1"/>
  <c r="G3625" i="51"/>
  <c r="G3626" i="51" a="1"/>
  <c r="G3626" i="51" s="1"/>
  <c r="G3627" i="51" a="1"/>
  <c r="G3627" i="51"/>
  <c r="G3628" i="51" a="1"/>
  <c r="G3628" i="51" s="1"/>
  <c r="G3629" i="51" a="1"/>
  <c r="G3629" i="51" s="1"/>
  <c r="G3630" i="51" a="1"/>
  <c r="G3630" i="51" s="1"/>
  <c r="G3631" i="51" a="1"/>
  <c r="G3631" i="51" s="1"/>
  <c r="G3632" i="51" a="1"/>
  <c r="G3632" i="51" s="1"/>
  <c r="G3633" i="51" a="1"/>
  <c r="G3633" i="51" s="1"/>
  <c r="G3634" i="51" a="1"/>
  <c r="G3634" i="51" s="1"/>
  <c r="G3635" i="51" a="1"/>
  <c r="G3635" i="51" s="1"/>
  <c r="G3636" i="51" a="1"/>
  <c r="G3636" i="51"/>
  <c r="G3637" i="51" a="1"/>
  <c r="G3637" i="51"/>
  <c r="G3638" i="51" a="1"/>
  <c r="G3638" i="51" s="1"/>
  <c r="G3639" i="51" a="1"/>
  <c r="G3639" i="51"/>
  <c r="G3640" i="51" a="1"/>
  <c r="G3640" i="51" s="1"/>
  <c r="G3641" i="51" a="1"/>
  <c r="G3641" i="51" s="1"/>
  <c r="G3642" i="51" a="1"/>
  <c r="G3642" i="51" s="1"/>
  <c r="G3643" i="51" a="1"/>
  <c r="G3643" i="51" s="1"/>
  <c r="G3644" i="51" a="1"/>
  <c r="G3644" i="51" s="1"/>
  <c r="G3645" i="51" a="1"/>
  <c r="G3645" i="51"/>
  <c r="G3646" i="51" a="1"/>
  <c r="G3646" i="51" s="1"/>
  <c r="G3647" i="51" a="1"/>
  <c r="G3647" i="51" s="1"/>
  <c r="G3648" i="51" a="1"/>
  <c r="G3648" i="51"/>
  <c r="G3649" i="51" a="1"/>
  <c r="G3649" i="51" s="1"/>
  <c r="G3650" i="51" a="1"/>
  <c r="G3650" i="51" s="1"/>
  <c r="G3651" i="51" a="1"/>
  <c r="G3651" i="51" s="1"/>
  <c r="G3652" i="51" a="1"/>
  <c r="G3652" i="51" s="1"/>
  <c r="G3653" i="51" a="1"/>
  <c r="G3653" i="51" s="1"/>
  <c r="G3654" i="51" a="1"/>
  <c r="G3654" i="51" s="1"/>
  <c r="G3655" i="51" a="1"/>
  <c r="G3655" i="51" s="1"/>
  <c r="G3656" i="51" a="1"/>
  <c r="G3656" i="51" s="1"/>
  <c r="G3657" i="51" a="1"/>
  <c r="G3657" i="51" s="1"/>
  <c r="G3658" i="51" a="1"/>
  <c r="G3658" i="51" s="1"/>
  <c r="G3659" i="51" a="1"/>
  <c r="G3659" i="51"/>
  <c r="G3660" i="51" a="1"/>
  <c r="G3660" i="51"/>
  <c r="G3661" i="51" a="1"/>
  <c r="G3661" i="51" s="1"/>
  <c r="G3662" i="51" a="1"/>
  <c r="G3662" i="51" s="1"/>
  <c r="G3663" i="51" a="1"/>
  <c r="G3663" i="51" s="1"/>
  <c r="G3664" i="51" a="1"/>
  <c r="G3664" i="51" s="1"/>
  <c r="G3665" i="51" a="1"/>
  <c r="G3665" i="51" s="1"/>
  <c r="G3666" i="51" a="1"/>
  <c r="G3666" i="51" s="1"/>
  <c r="G3667" i="51" a="1"/>
  <c r="G3667" i="51" s="1"/>
  <c r="G3668" i="51" a="1"/>
  <c r="G3668" i="51" s="1"/>
  <c r="G3669" i="51" a="1"/>
  <c r="G3669" i="51" s="1"/>
  <c r="G3670" i="51" a="1"/>
  <c r="G3670" i="51" s="1"/>
  <c r="G3671" i="51" a="1"/>
  <c r="G3671" i="51"/>
  <c r="G3672" i="51" a="1"/>
  <c r="G3672" i="51" s="1"/>
  <c r="G3673" i="51" a="1"/>
  <c r="G3673" i="51" s="1"/>
  <c r="G3674" i="51" a="1"/>
  <c r="G3674" i="51" s="1"/>
  <c r="G3675" i="51" a="1"/>
  <c r="G3675" i="51" s="1"/>
  <c r="G3676" i="51" a="1"/>
  <c r="G3676" i="51" s="1"/>
  <c r="G3677" i="51" a="1"/>
  <c r="G3677" i="51"/>
  <c r="G3678" i="51" a="1"/>
  <c r="G3678" i="51" s="1"/>
  <c r="G3679" i="51" a="1"/>
  <c r="G3679" i="51" s="1"/>
  <c r="G3680" i="51" a="1"/>
  <c r="G3680" i="51" s="1"/>
  <c r="G3681" i="51" a="1"/>
  <c r="G3681" i="51" s="1"/>
  <c r="G3682" i="51" a="1"/>
  <c r="G3682" i="51" s="1"/>
  <c r="G3683" i="51" a="1"/>
  <c r="G3683" i="51"/>
  <c r="G3684" i="51" a="1"/>
  <c r="G3684" i="51" s="1"/>
  <c r="G3685" i="51" a="1"/>
  <c r="G3685" i="51" s="1"/>
  <c r="G3686" i="51" a="1"/>
  <c r="G3686" i="51" s="1"/>
  <c r="G3687" i="51" a="1"/>
  <c r="G3687" i="51" s="1"/>
  <c r="G3688" i="51" a="1"/>
  <c r="G3688" i="51" s="1"/>
  <c r="G3689" i="51" a="1"/>
  <c r="G3689" i="51"/>
  <c r="G3690" i="51" a="1"/>
  <c r="G3690" i="51" s="1"/>
  <c r="G3691" i="51" a="1"/>
  <c r="G3691" i="51" s="1"/>
  <c r="G3692" i="51" a="1"/>
  <c r="G3692" i="51" s="1"/>
  <c r="G3693" i="51" a="1"/>
  <c r="G3693" i="51" s="1"/>
  <c r="G3694" i="51" a="1"/>
  <c r="G3694" i="51" s="1"/>
  <c r="G3695" i="51" a="1"/>
  <c r="G3695" i="51" s="1"/>
  <c r="G3696" i="51" a="1"/>
  <c r="G3696" i="51" s="1"/>
  <c r="G3697" i="51" a="1"/>
  <c r="G3697" i="51" s="1"/>
  <c r="G3698" i="51" a="1"/>
  <c r="G3698" i="51" s="1"/>
  <c r="G3699" i="51" a="1"/>
  <c r="G3699" i="51" s="1"/>
  <c r="G3700" i="51" a="1"/>
  <c r="G3700" i="51"/>
  <c r="G3701" i="51" a="1"/>
  <c r="G3701" i="51" s="1"/>
  <c r="G3702" i="51" a="1"/>
  <c r="G3702" i="51" s="1"/>
  <c r="G3703" i="51" a="1"/>
  <c r="G3703" i="51" s="1"/>
  <c r="G3704" i="51" a="1"/>
  <c r="G3704" i="51" s="1"/>
  <c r="G3705" i="51" a="1"/>
  <c r="G3705" i="51" s="1"/>
  <c r="G3706" i="51" a="1"/>
  <c r="G3706" i="51" s="1"/>
  <c r="G3707" i="51" a="1"/>
  <c r="G3707" i="51" s="1"/>
  <c r="G3708" i="51" a="1"/>
  <c r="G3708" i="51" s="1"/>
  <c r="G3709" i="51" a="1"/>
  <c r="G3709" i="51"/>
  <c r="G3710" i="51" a="1"/>
  <c r="G3710" i="51" s="1"/>
  <c r="G3711" i="51" a="1"/>
  <c r="G3711" i="51" s="1"/>
  <c r="G3712" i="51" a="1"/>
  <c r="G3712" i="51"/>
  <c r="G3713" i="51" a="1"/>
  <c r="G3713" i="51" s="1"/>
  <c r="G3714" i="51" a="1"/>
  <c r="G3714" i="51" s="1"/>
  <c r="G3715" i="51" a="1"/>
  <c r="G3715" i="51"/>
  <c r="G3716" i="51" a="1"/>
  <c r="G3716" i="51" s="1"/>
  <c r="G3717" i="51" a="1"/>
  <c r="G3717" i="51" s="1"/>
  <c r="G3718" i="51" a="1"/>
  <c r="G3718" i="51" s="1"/>
  <c r="G3719" i="51" a="1"/>
  <c r="G3719" i="51" s="1"/>
  <c r="G3720" i="51" a="1"/>
  <c r="G3720" i="51" s="1"/>
  <c r="G3721" i="51" a="1"/>
  <c r="G3721" i="51"/>
  <c r="G3722" i="51" a="1"/>
  <c r="G3722" i="51" s="1"/>
  <c r="G3723" i="51" a="1"/>
  <c r="G3723" i="51"/>
  <c r="G3724" i="51" a="1"/>
  <c r="G3724" i="51"/>
  <c r="G3725" i="51" a="1"/>
  <c r="G3725" i="51" s="1"/>
  <c r="G3726" i="51" a="1"/>
  <c r="G3726" i="51" s="1"/>
  <c r="G3727" i="51" a="1"/>
  <c r="G3727" i="51" s="1"/>
  <c r="G3728" i="51" a="1"/>
  <c r="G3728" i="51" s="1"/>
  <c r="G3729" i="51" a="1"/>
  <c r="G3729" i="51" s="1"/>
  <c r="G3730" i="51" a="1"/>
  <c r="G3730" i="51" s="1"/>
  <c r="G3731" i="51" a="1"/>
  <c r="G3731" i="51" s="1"/>
  <c r="G3732" i="51" a="1"/>
  <c r="G3732" i="51" s="1"/>
  <c r="G3733" i="51" a="1"/>
  <c r="G3733" i="51"/>
  <c r="G3734" i="51" a="1"/>
  <c r="G3734" i="51" s="1"/>
  <c r="G3735" i="51" a="1"/>
  <c r="G3735" i="51"/>
  <c r="G3736" i="51" a="1"/>
  <c r="G3736" i="51" s="1"/>
  <c r="G3737" i="51" a="1"/>
  <c r="G3737" i="51" s="1"/>
  <c r="G3738" i="51" a="1"/>
  <c r="G3738" i="51" s="1"/>
  <c r="G3739" i="51" a="1"/>
  <c r="G3739" i="51" s="1"/>
  <c r="G3740" i="51" a="1"/>
  <c r="G3740" i="51" s="1"/>
  <c r="G3741" i="51" a="1"/>
  <c r="G3741" i="51" s="1"/>
  <c r="G3742" i="51" a="1"/>
  <c r="G3742" i="51" s="1"/>
  <c r="G3743" i="51" a="1"/>
  <c r="G3743" i="51" s="1"/>
  <c r="G3744" i="51" a="1"/>
  <c r="G3744" i="51" s="1"/>
  <c r="G3745" i="51" a="1"/>
  <c r="G3745" i="51" s="1"/>
  <c r="G3746" i="51" a="1"/>
  <c r="G3746" i="51" s="1"/>
  <c r="G3747" i="51" a="1"/>
  <c r="G3747" i="51" s="1"/>
  <c r="G3748" i="51" a="1"/>
  <c r="G3748" i="51" s="1"/>
  <c r="G3749" i="51" a="1"/>
  <c r="G3749" i="51" s="1"/>
  <c r="G3750" i="51" a="1"/>
  <c r="G3750" i="51" s="1"/>
  <c r="G3751" i="51" a="1"/>
  <c r="G3751" i="51" s="1"/>
  <c r="G3752" i="51" a="1"/>
  <c r="G3752" i="51" s="1"/>
  <c r="G3753" i="51" a="1"/>
  <c r="G3753" i="51"/>
  <c r="G3754" i="51" a="1"/>
  <c r="G3754" i="51" s="1"/>
  <c r="G3755" i="51" a="1"/>
  <c r="G3755" i="51" s="1"/>
  <c r="G3756" i="51" a="1"/>
  <c r="G3756" i="51" s="1"/>
  <c r="G3757" i="51" a="1"/>
  <c r="G3757" i="51" s="1"/>
  <c r="G3758" i="51" a="1"/>
  <c r="G3758" i="51" s="1"/>
  <c r="G3759" i="51" a="1"/>
  <c r="G3759" i="51" s="1"/>
  <c r="G3760" i="51" a="1"/>
  <c r="G3760" i="51" s="1"/>
  <c r="G3761" i="51" a="1"/>
  <c r="G3761" i="51" s="1"/>
  <c r="G3762" i="51" a="1"/>
  <c r="G3762" i="51" s="1"/>
  <c r="G3763" i="51" a="1"/>
  <c r="G3763" i="51" s="1"/>
  <c r="G3764" i="51" a="1"/>
  <c r="G3764" i="51"/>
  <c r="G3765" i="51" a="1"/>
  <c r="G3765" i="51"/>
  <c r="G3766" i="51" a="1"/>
  <c r="G3766" i="51" s="1"/>
  <c r="G3767" i="51" a="1"/>
  <c r="G3767" i="51" s="1"/>
  <c r="G3768" i="51" a="1"/>
  <c r="G3768" i="51" s="1"/>
  <c r="G3769" i="51" a="1"/>
  <c r="G3769" i="51" s="1"/>
  <c r="G3770" i="51" a="1"/>
  <c r="G3770" i="51" s="1"/>
  <c r="G3771" i="51" a="1"/>
  <c r="G3771" i="51" s="1"/>
  <c r="G3772" i="51" a="1"/>
  <c r="G3772" i="51" s="1"/>
  <c r="G3773" i="51" a="1"/>
  <c r="G3773" i="51"/>
  <c r="G3774" i="51" a="1"/>
  <c r="G3774" i="51" s="1"/>
  <c r="G3775" i="51" a="1"/>
  <c r="G3775" i="51" s="1"/>
  <c r="G3776" i="51" a="1"/>
  <c r="G3776" i="51"/>
  <c r="G3777" i="51" a="1"/>
  <c r="G3777" i="51" s="1"/>
  <c r="G3778" i="51" a="1"/>
  <c r="G3778" i="51" s="1"/>
  <c r="G3779" i="51" a="1"/>
  <c r="G3779" i="51"/>
  <c r="G3780" i="51" a="1"/>
  <c r="G3780" i="51" s="1"/>
  <c r="G3781" i="51" a="1"/>
  <c r="G3781" i="51" s="1"/>
  <c r="G3782" i="51" a="1"/>
  <c r="G3782" i="51" s="1"/>
  <c r="G3783" i="51" a="1"/>
  <c r="G3783" i="51" s="1"/>
  <c r="G3784" i="51" a="1"/>
  <c r="G3784" i="51" s="1"/>
  <c r="G3785" i="51" a="1"/>
  <c r="G3785" i="51" s="1"/>
  <c r="G3786" i="51" a="1"/>
  <c r="G3786" i="51" s="1"/>
  <c r="G3787" i="51" a="1"/>
  <c r="G3787" i="51"/>
  <c r="G3788" i="51" a="1"/>
  <c r="G3788" i="51"/>
  <c r="G3789" i="51" a="1"/>
  <c r="G3789" i="51" s="1"/>
  <c r="G3790" i="51" a="1"/>
  <c r="G3790" i="51" s="1"/>
  <c r="G3791" i="51" a="1"/>
  <c r="G3791" i="51" s="1"/>
  <c r="G3792" i="51" a="1"/>
  <c r="G3792" i="51" s="1"/>
  <c r="G3793" i="51" a="1"/>
  <c r="G3793" i="51" s="1"/>
  <c r="G3794" i="51" a="1"/>
  <c r="G3794" i="51" s="1"/>
  <c r="G3795" i="51" a="1"/>
  <c r="G3795" i="51" s="1"/>
  <c r="G3796" i="51" a="1"/>
  <c r="G3796" i="51"/>
  <c r="G3797" i="51" a="1"/>
  <c r="G3797" i="51" s="1"/>
  <c r="G3798" i="51" a="1"/>
  <c r="G3798" i="51" s="1"/>
  <c r="G3799" i="51" a="1"/>
  <c r="G3799" i="51" s="1"/>
  <c r="G3800" i="51" a="1"/>
  <c r="G3800" i="51" s="1"/>
  <c r="G3801" i="51" a="1"/>
  <c r="G3801" i="51" s="1"/>
  <c r="G3802" i="51" a="1"/>
  <c r="G3802" i="51" s="1"/>
  <c r="G3803" i="51" a="1"/>
  <c r="G3803" i="51" s="1"/>
  <c r="G3804" i="51" a="1"/>
  <c r="G3804" i="51" s="1"/>
  <c r="G3805" i="51" a="1"/>
  <c r="G3805" i="51" s="1"/>
  <c r="G3806" i="51" a="1"/>
  <c r="G3806" i="51" s="1"/>
  <c r="G3807" i="51" a="1"/>
  <c r="G3807" i="51" s="1"/>
  <c r="G3808" i="51" a="1"/>
  <c r="G3808" i="51"/>
  <c r="G3809" i="51" a="1"/>
  <c r="G3809" i="51" s="1"/>
  <c r="G3810" i="51" a="1"/>
  <c r="G3810" i="51" s="1"/>
  <c r="G3811" i="51" a="1"/>
  <c r="G3811" i="51" s="1"/>
  <c r="G3812" i="51" a="1"/>
  <c r="G3812" i="51" s="1"/>
  <c r="G3813" i="51" a="1"/>
  <c r="G3813" i="51" s="1"/>
  <c r="G3814" i="51" a="1"/>
  <c r="G3814" i="51" s="1"/>
  <c r="G3815" i="51" a="1"/>
  <c r="G3815" i="51" s="1"/>
  <c r="G3816" i="51" a="1"/>
  <c r="G3816" i="51" s="1"/>
  <c r="G3817" i="51" a="1"/>
  <c r="G3817" i="51"/>
  <c r="G3818" i="51" a="1"/>
  <c r="G3818" i="51" s="1"/>
  <c r="G3819" i="51" a="1"/>
  <c r="G3819" i="51" s="1"/>
  <c r="G3820" i="51" a="1"/>
  <c r="G3820" i="51"/>
  <c r="G3821" i="51" a="1"/>
  <c r="G3821" i="51" s="1"/>
  <c r="G3822" i="51" a="1"/>
  <c r="G3822" i="51" s="1"/>
  <c r="G3823" i="51" a="1"/>
  <c r="G3823" i="51" s="1"/>
  <c r="G3824" i="51" a="1"/>
  <c r="G3824" i="51" s="1"/>
  <c r="G3825" i="51" a="1"/>
  <c r="G3825" i="51" s="1"/>
  <c r="G3826" i="51" a="1"/>
  <c r="G3826" i="51" s="1"/>
  <c r="G3827" i="51" a="1"/>
  <c r="G3827" i="51" s="1"/>
  <c r="G3828" i="51" a="1"/>
  <c r="G3828" i="51"/>
  <c r="G3829" i="51" a="1"/>
  <c r="G3829" i="51"/>
  <c r="G3830" i="51" a="1"/>
  <c r="G3830" i="51" s="1"/>
  <c r="G3831" i="51" a="1"/>
  <c r="G3831" i="51" s="1"/>
  <c r="G3832" i="51" a="1"/>
  <c r="G3832" i="51" s="1"/>
  <c r="G3833" i="51" a="1"/>
  <c r="G3833" i="51" s="1"/>
  <c r="G3834" i="51" a="1"/>
  <c r="G3834" i="51" s="1"/>
  <c r="G3835" i="51" a="1"/>
  <c r="G3835" i="51" s="1"/>
  <c r="G3836" i="51" a="1"/>
  <c r="G3836" i="51" s="1"/>
  <c r="G3837" i="51" a="1"/>
  <c r="G3837" i="51"/>
  <c r="G3838" i="51" a="1"/>
  <c r="G3838" i="51" s="1"/>
  <c r="G3839" i="51" a="1"/>
  <c r="G3839" i="51" s="1"/>
  <c r="G3840" i="51" a="1"/>
  <c r="G3840" i="51"/>
  <c r="G3841" i="51" a="1"/>
  <c r="G3841" i="51" s="1"/>
  <c r="G3842" i="51" a="1"/>
  <c r="G3842" i="51" s="1"/>
  <c r="G3843" i="51" a="1"/>
  <c r="G3843" i="51" s="1"/>
  <c r="G3844" i="51" a="1"/>
  <c r="G3844" i="51" s="1"/>
  <c r="G3845" i="51" a="1"/>
  <c r="G3845" i="51" s="1"/>
  <c r="G3846" i="51" a="1"/>
  <c r="G3846" i="51" s="1"/>
  <c r="G3847" i="51" a="1"/>
  <c r="G3847" i="51" s="1"/>
  <c r="G3848" i="51" a="1"/>
  <c r="G3848" i="51" s="1"/>
  <c r="G3849" i="51" a="1"/>
  <c r="G3849" i="51" s="1"/>
  <c r="G3850" i="51" a="1"/>
  <c r="G3850" i="51" s="1"/>
  <c r="G3851" i="51" a="1"/>
  <c r="G3851" i="51"/>
  <c r="G3852" i="51" a="1"/>
  <c r="G3852" i="51"/>
  <c r="G3853" i="51" a="1"/>
  <c r="G3853" i="51" s="1"/>
  <c r="G3854" i="51" a="1"/>
  <c r="G3854" i="51" s="1"/>
  <c r="G3855" i="51" a="1"/>
  <c r="G3855" i="51" s="1"/>
  <c r="G3856" i="51" a="1"/>
  <c r="G3856" i="51" s="1"/>
  <c r="G3857" i="51" a="1"/>
  <c r="G3857" i="51" s="1"/>
  <c r="G3858" i="51" a="1"/>
  <c r="G3858" i="51" s="1"/>
  <c r="G3859" i="51" a="1"/>
  <c r="G3859" i="51" s="1"/>
  <c r="G3860" i="51" a="1"/>
  <c r="G3860" i="51" s="1"/>
  <c r="G3861" i="51" a="1"/>
  <c r="G3861" i="51" s="1"/>
  <c r="G3862" i="51" a="1"/>
  <c r="G3862" i="51" s="1"/>
  <c r="G3863" i="51" a="1"/>
  <c r="G3863" i="51" s="1"/>
  <c r="G3864" i="51" a="1"/>
  <c r="G3864" i="51" s="1"/>
  <c r="G3865" i="51" a="1"/>
  <c r="G3865" i="51" s="1"/>
  <c r="G3866" i="51" a="1"/>
  <c r="G3866" i="51" s="1"/>
  <c r="G3867" i="51" a="1"/>
  <c r="G3867" i="51" s="1"/>
  <c r="G3868" i="51" a="1"/>
  <c r="G3868" i="51" s="1"/>
  <c r="G3869" i="51" a="1"/>
  <c r="G3869" i="51" s="1"/>
  <c r="G3870" i="51" a="1"/>
  <c r="G3870" i="51" s="1"/>
  <c r="G3871" i="51" a="1"/>
  <c r="G3871" i="51" s="1"/>
  <c r="G3872" i="51" a="1"/>
  <c r="G3872" i="51" s="1"/>
  <c r="G3873" i="51" a="1"/>
  <c r="G3873" i="51" s="1"/>
  <c r="G3874" i="51" a="1"/>
  <c r="G3874" i="51" s="1"/>
  <c r="G3875" i="51" a="1"/>
  <c r="G3875" i="51" s="1"/>
  <c r="G3876" i="51" a="1"/>
  <c r="G3876" i="51" s="1"/>
  <c r="G3877" i="51" a="1"/>
  <c r="G3877" i="51" s="1"/>
  <c r="G3878" i="51" a="1"/>
  <c r="G3878" i="51" s="1"/>
  <c r="G3879" i="51" a="1"/>
  <c r="G3879" i="51" s="1"/>
  <c r="G3880" i="51" a="1"/>
  <c r="G3880" i="51" s="1"/>
  <c r="G3881" i="51" a="1"/>
  <c r="G3881" i="51"/>
  <c r="G3882" i="51" a="1"/>
  <c r="G3882" i="51" s="1"/>
  <c r="G3883" i="51" a="1"/>
  <c r="G3883" i="51"/>
  <c r="G3884" i="51" a="1"/>
  <c r="G3884" i="51" s="1"/>
  <c r="G3885" i="51" a="1"/>
  <c r="G3885" i="51" s="1"/>
  <c r="G3886" i="51" a="1"/>
  <c r="G3886" i="51" s="1"/>
  <c r="G3887" i="51" a="1"/>
  <c r="G3887" i="51" s="1"/>
  <c r="G3888" i="51" a="1"/>
  <c r="G3888" i="51" s="1"/>
  <c r="G3889" i="51" a="1"/>
  <c r="G3889" i="51" s="1"/>
  <c r="G3890" i="51" a="1"/>
  <c r="G3890" i="51" s="1"/>
  <c r="G3891" i="51" a="1"/>
  <c r="G3891" i="51" s="1"/>
  <c r="G3892" i="51" a="1"/>
  <c r="G3892" i="51"/>
  <c r="G3893" i="51" a="1"/>
  <c r="G3893" i="51" s="1"/>
  <c r="G3894" i="51" a="1"/>
  <c r="G3894" i="51" s="1"/>
  <c r="G3895" i="51" a="1"/>
  <c r="G3895" i="51"/>
  <c r="G3896" i="51" a="1"/>
  <c r="G3896" i="51" s="1"/>
  <c r="G3897" i="51" a="1"/>
  <c r="G3897" i="51" s="1"/>
  <c r="G3898" i="51" a="1"/>
  <c r="G3898" i="51" s="1"/>
  <c r="G3899" i="51" a="1"/>
  <c r="G3899" i="51" s="1"/>
  <c r="G3900" i="51" a="1"/>
  <c r="G3900" i="51" s="1"/>
  <c r="G3901" i="51" a="1"/>
  <c r="G3901" i="51"/>
  <c r="G3902" i="51" a="1"/>
  <c r="G3902" i="51" s="1"/>
  <c r="G3903" i="51" a="1"/>
  <c r="G3903" i="51" s="1"/>
  <c r="G3904" i="51" a="1"/>
  <c r="G3904" i="51"/>
  <c r="G3905" i="51" a="1"/>
  <c r="G3905" i="51" s="1"/>
  <c r="G3906" i="51" a="1"/>
  <c r="G3906" i="51" s="1"/>
  <c r="G3907" i="51" a="1"/>
  <c r="G3907" i="51" s="1"/>
  <c r="G3908" i="51" a="1"/>
  <c r="G3908" i="51" s="1"/>
  <c r="G3909" i="51" a="1"/>
  <c r="G3909" i="51" s="1"/>
  <c r="G3910" i="51" a="1"/>
  <c r="G3910" i="51" s="1"/>
  <c r="G3911" i="51" a="1"/>
  <c r="G3911" i="51" s="1"/>
  <c r="G3912" i="51" a="1"/>
  <c r="G3912" i="51" s="1"/>
  <c r="G3913" i="51" a="1"/>
  <c r="G3913" i="51" s="1"/>
  <c r="G3914" i="51" a="1"/>
  <c r="G3914" i="51" s="1"/>
  <c r="G3915" i="51" a="1"/>
  <c r="G3915" i="51"/>
  <c r="G3916" i="51" a="1"/>
  <c r="G3916" i="51" s="1"/>
  <c r="G3917" i="51" a="1"/>
  <c r="G3917" i="51" s="1"/>
  <c r="G3918" i="51" a="1"/>
  <c r="G3918" i="51" s="1"/>
  <c r="G3919" i="51" a="1"/>
  <c r="G3919" i="51" s="1"/>
  <c r="G3920" i="51" a="1"/>
  <c r="G3920" i="51" s="1"/>
  <c r="G3921" i="51" a="1"/>
  <c r="G3921" i="51" s="1"/>
  <c r="G3922" i="51" a="1"/>
  <c r="G3922" i="51" s="1"/>
  <c r="G3923" i="51" a="1"/>
  <c r="G3923" i="51" s="1"/>
  <c r="G3924" i="51" a="1"/>
  <c r="G3924" i="51" s="1"/>
  <c r="G3925" i="51" a="1"/>
  <c r="G3925" i="51" s="1"/>
  <c r="G3926" i="51" a="1"/>
  <c r="G3926" i="51" s="1"/>
  <c r="G3927" i="51" a="1"/>
  <c r="G3927" i="51" s="1"/>
  <c r="G3928" i="51" a="1"/>
  <c r="G3928" i="51" s="1"/>
  <c r="G3929" i="51" a="1"/>
  <c r="G3929" i="51" s="1"/>
  <c r="G3930" i="51" a="1"/>
  <c r="G3930" i="51" s="1"/>
  <c r="G3931" i="51" a="1"/>
  <c r="G3931" i="51" s="1"/>
  <c r="G3932" i="51" a="1"/>
  <c r="G3932" i="51" s="1"/>
  <c r="G3933" i="51" a="1"/>
  <c r="G3933" i="51"/>
  <c r="G3934" i="51" a="1"/>
  <c r="G3934" i="51" s="1"/>
  <c r="G3935" i="51" a="1"/>
  <c r="G3935" i="51" s="1"/>
  <c r="G3936" i="51" a="1"/>
  <c r="G3936" i="51" s="1"/>
  <c r="G3937" i="51" a="1"/>
  <c r="G3937" i="51" s="1"/>
  <c r="G3938" i="51" a="1"/>
  <c r="G3938" i="51" s="1"/>
  <c r="G3939" i="51" a="1"/>
  <c r="G3939" i="51" s="1"/>
  <c r="G3940" i="51" a="1"/>
  <c r="G3940" i="51"/>
  <c r="G3941" i="51" a="1"/>
  <c r="G3941" i="51" s="1"/>
  <c r="G3942" i="51" a="1"/>
  <c r="G3942" i="51" s="1"/>
  <c r="G3943" i="51" a="1"/>
  <c r="G3943" i="51" s="1"/>
  <c r="G3944" i="51" a="1"/>
  <c r="G3944" i="51" s="1"/>
  <c r="G3945" i="51" a="1"/>
  <c r="G3945" i="51" s="1"/>
  <c r="G3946" i="51" a="1"/>
  <c r="G3946" i="51"/>
  <c r="G3947" i="51" a="1"/>
  <c r="G3947" i="51" s="1"/>
  <c r="G3948" i="51" a="1"/>
  <c r="G3948" i="51" s="1"/>
  <c r="G3949" i="51" a="1"/>
  <c r="G3949" i="51" s="1"/>
  <c r="G3950" i="51" a="1"/>
  <c r="G3950" i="51" s="1"/>
  <c r="G3951" i="51" a="1"/>
  <c r="G3951" i="51" s="1"/>
  <c r="G3952" i="51" a="1"/>
  <c r="G3952" i="51" s="1"/>
  <c r="G3953" i="51" a="1"/>
  <c r="G3953" i="51" s="1"/>
  <c r="G3954" i="51" a="1"/>
  <c r="G3954" i="51" s="1"/>
  <c r="G3955" i="51" a="1"/>
  <c r="G3955" i="51" s="1"/>
  <c r="G3956" i="51" a="1"/>
  <c r="G3956" i="51"/>
  <c r="G3957" i="51" a="1"/>
  <c r="G3957" i="51" s="1"/>
  <c r="G3958" i="51" a="1"/>
  <c r="G3958" i="51" s="1"/>
  <c r="G3959" i="51" a="1"/>
  <c r="G3959" i="51" s="1"/>
  <c r="G3960" i="51" a="1"/>
  <c r="G3960" i="51" s="1"/>
  <c r="G3961" i="51" a="1"/>
  <c r="G3961" i="51" s="1"/>
  <c r="G3962" i="51" a="1"/>
  <c r="G3962" i="51" s="1"/>
  <c r="G3963" i="51" a="1"/>
  <c r="G3963" i="51"/>
  <c r="G3964" i="51" a="1"/>
  <c r="G3964" i="51" s="1"/>
  <c r="G3965" i="51" a="1"/>
  <c r="G3965" i="51" s="1"/>
  <c r="G3966" i="51" a="1"/>
  <c r="G3966" i="51" s="1"/>
  <c r="G3967" i="51" a="1"/>
  <c r="G3967" i="51" s="1"/>
  <c r="G3968" i="51" a="1"/>
  <c r="G3968" i="51" s="1"/>
  <c r="G3969" i="51" a="1"/>
  <c r="G3969" i="51" s="1"/>
  <c r="G3970" i="51" a="1"/>
  <c r="G3970" i="51"/>
  <c r="G3971" i="51" a="1"/>
  <c r="G3971" i="51" s="1"/>
  <c r="G3972" i="51" a="1"/>
  <c r="G3972" i="51" s="1"/>
  <c r="G3973" i="51" a="1"/>
  <c r="G3973" i="51" s="1"/>
  <c r="G3974" i="51" a="1"/>
  <c r="G3974" i="51" s="1"/>
  <c r="G3975" i="51" a="1"/>
  <c r="G3975" i="51" s="1"/>
  <c r="G3976" i="51" a="1"/>
  <c r="G3976" i="51" s="1"/>
  <c r="G3977" i="51" a="1"/>
  <c r="G3977" i="51" s="1"/>
  <c r="G3978" i="51" a="1"/>
  <c r="G3978" i="51"/>
  <c r="G3979" i="51" a="1"/>
  <c r="G3979" i="51"/>
  <c r="G3980" i="51" a="1"/>
  <c r="G3980" i="51" s="1"/>
  <c r="G3981" i="51" a="1"/>
  <c r="G3981" i="51" s="1"/>
  <c r="G3982" i="51" a="1"/>
  <c r="G3982" i="51" s="1"/>
  <c r="G3983" i="51" a="1"/>
  <c r="G3983" i="51" s="1"/>
  <c r="G3984" i="51" a="1"/>
  <c r="G3984" i="51" s="1"/>
  <c r="G3985" i="51" a="1"/>
  <c r="G3985" i="51" s="1"/>
  <c r="G3986" i="51" a="1"/>
  <c r="G3986" i="51"/>
  <c r="G3987" i="51" a="1"/>
  <c r="G3987" i="51" s="1"/>
  <c r="G3988" i="51" a="1"/>
  <c r="G3988" i="51" s="1"/>
  <c r="G3989" i="51" a="1"/>
  <c r="G3989" i="51" s="1"/>
  <c r="G3990" i="51" a="1"/>
  <c r="G3990" i="51" s="1"/>
  <c r="G3991" i="51" a="1"/>
  <c r="G3991" i="51" s="1"/>
  <c r="G3992" i="51" a="1"/>
  <c r="G3992" i="51" s="1"/>
  <c r="G3993" i="51" a="1"/>
  <c r="G3993" i="51" s="1"/>
  <c r="G3994" i="51" a="1"/>
  <c r="G3994" i="51" s="1"/>
  <c r="G3995" i="51" a="1"/>
  <c r="G3995" i="51" s="1"/>
  <c r="G3996" i="51" a="1"/>
  <c r="G3996" i="51"/>
  <c r="G3997" i="51" a="1"/>
  <c r="G3997" i="51" s="1"/>
  <c r="G3998" i="51" a="1"/>
  <c r="G3998" i="51" s="1"/>
  <c r="G3999" i="51" a="1"/>
  <c r="G3999" i="51" s="1"/>
  <c r="G4000" i="51" a="1"/>
  <c r="G4000" i="51" s="1"/>
  <c r="G4001" i="51" a="1"/>
  <c r="G4001" i="51" s="1"/>
  <c r="G4002" i="51" a="1"/>
  <c r="G4002" i="51" s="1"/>
  <c r="G4003" i="51" a="1"/>
  <c r="G4003" i="51" s="1"/>
  <c r="G4004" i="51" a="1"/>
  <c r="G4004" i="51" s="1"/>
  <c r="G4005" i="51" a="1"/>
  <c r="G4005" i="51" s="1"/>
  <c r="G4006" i="51" a="1"/>
  <c r="G4006" i="51" s="1"/>
  <c r="G4007" i="51" a="1"/>
  <c r="G4007" i="51" s="1"/>
  <c r="G4008" i="51" a="1"/>
  <c r="G4008" i="51" s="1"/>
  <c r="G4009" i="51" a="1"/>
  <c r="G4009" i="51" s="1"/>
  <c r="G4010" i="51" a="1"/>
  <c r="G4010" i="51" s="1"/>
  <c r="G4011" i="51" a="1"/>
  <c r="G4011" i="51" s="1"/>
  <c r="G4012" i="51" a="1"/>
  <c r="G4012" i="51" s="1"/>
  <c r="G4013" i="51" a="1"/>
  <c r="G4013" i="51" s="1"/>
  <c r="G4014" i="51" a="1"/>
  <c r="G4014" i="51" s="1"/>
  <c r="G4015" i="51" a="1"/>
  <c r="G4015" i="51" s="1"/>
  <c r="G4016" i="51" a="1"/>
  <c r="G4016" i="51" s="1"/>
  <c r="G4017" i="51" a="1"/>
  <c r="G4017" i="51" s="1"/>
  <c r="G4018" i="51" a="1"/>
  <c r="G4018" i="51" s="1"/>
  <c r="G4019" i="51" a="1"/>
  <c r="G4019" i="51"/>
  <c r="G4020" i="51" a="1"/>
  <c r="G4020" i="51" s="1"/>
  <c r="G4021" i="51" a="1"/>
  <c r="G4021" i="51" s="1"/>
  <c r="G4022" i="51" a="1"/>
  <c r="G4022" i="51" s="1"/>
  <c r="G4023" i="51" a="1"/>
  <c r="G4023" i="51" s="1"/>
  <c r="G4024" i="51" a="1"/>
  <c r="G4024" i="51" s="1"/>
  <c r="G4025" i="51" a="1"/>
  <c r="G4025" i="51" s="1"/>
  <c r="G4026" i="51" a="1"/>
  <c r="G4026" i="51" s="1"/>
  <c r="G4027" i="51" a="1"/>
  <c r="G4027" i="51" s="1"/>
  <c r="G4028" i="51" a="1"/>
  <c r="G4028" i="51" s="1"/>
  <c r="G4029" i="51" a="1"/>
  <c r="G4029" i="51" s="1"/>
  <c r="G4030" i="51" a="1"/>
  <c r="G4030" i="51" s="1"/>
  <c r="G4031" i="51" a="1"/>
  <c r="G4031" i="51" s="1"/>
  <c r="G4032" i="51" a="1"/>
  <c r="G4032" i="51" s="1"/>
  <c r="G4033" i="51" a="1"/>
  <c r="G4033" i="51" s="1"/>
  <c r="G4034" i="51" a="1"/>
  <c r="G4034" i="51" s="1"/>
  <c r="G4035" i="51" a="1"/>
  <c r="G4035" i="51" s="1"/>
  <c r="G4036" i="51" a="1"/>
  <c r="G4036" i="51" s="1"/>
  <c r="G4037" i="51" a="1"/>
  <c r="G4037" i="51" s="1"/>
  <c r="G4038" i="51" a="1"/>
  <c r="G4038" i="51" s="1"/>
  <c r="G4039" i="51" a="1"/>
  <c r="G4039" i="51" s="1"/>
  <c r="G4040" i="51" a="1"/>
  <c r="G4040" i="51" s="1"/>
  <c r="G4041" i="51" a="1"/>
  <c r="G4041" i="51" s="1"/>
  <c r="G4042" i="51" a="1"/>
  <c r="G4042" i="51"/>
  <c r="G4043" i="51" a="1"/>
  <c r="G4043" i="51" s="1"/>
  <c r="G4044" i="51" a="1"/>
  <c r="G4044" i="51" s="1"/>
  <c r="G4045" i="51" a="1"/>
  <c r="G4045" i="51" s="1"/>
  <c r="G4046" i="51" a="1"/>
  <c r="G4046" i="51" s="1"/>
  <c r="G4047" i="51" a="1"/>
  <c r="G4047" i="51" s="1"/>
  <c r="G4048" i="51" a="1"/>
  <c r="G4048" i="51" s="1"/>
  <c r="G4049" i="51" a="1"/>
  <c r="G4049" i="51" s="1"/>
  <c r="G4050" i="51" a="1"/>
  <c r="G4050" i="51" s="1"/>
  <c r="G4051" i="51" a="1"/>
  <c r="G4051" i="51" s="1"/>
  <c r="G4052" i="51" a="1"/>
  <c r="G4052" i="51"/>
  <c r="G4053" i="51" a="1"/>
  <c r="G4053" i="51" s="1"/>
  <c r="G4054" i="51" a="1"/>
  <c r="G4054" i="51" s="1"/>
  <c r="G4055" i="51" a="1"/>
  <c r="G4055" i="51" s="1"/>
  <c r="G4056" i="51" a="1"/>
  <c r="G4056" i="51" s="1"/>
  <c r="G4057" i="51" a="1"/>
  <c r="G4057" i="51" s="1"/>
  <c r="G4058" i="51" a="1"/>
  <c r="G4058" i="51" s="1"/>
  <c r="G4059" i="51" a="1"/>
  <c r="G4059" i="51"/>
  <c r="G4060" i="51" a="1"/>
  <c r="G4060" i="51" s="1"/>
  <c r="G4061" i="51" a="1"/>
  <c r="G4061" i="51" s="1"/>
  <c r="G4062" i="51" a="1"/>
  <c r="G4062" i="51" s="1"/>
  <c r="G4063" i="51" a="1"/>
  <c r="G4063" i="51" s="1"/>
  <c r="G4064" i="51" a="1"/>
  <c r="G4064" i="51" s="1"/>
  <c r="G4065" i="51" a="1"/>
  <c r="G4065" i="51" s="1"/>
  <c r="G4066" i="51" a="1"/>
  <c r="G4066" i="51" s="1"/>
  <c r="G4067" i="51" a="1"/>
  <c r="G4067" i="51" s="1"/>
  <c r="G4068" i="51" a="1"/>
  <c r="G4068" i="51" s="1"/>
  <c r="G4069" i="51" a="1"/>
  <c r="G4069" i="51" s="1"/>
  <c r="G4070" i="51" a="1"/>
  <c r="G4070" i="51" s="1"/>
  <c r="G4071" i="51" a="1"/>
  <c r="G4071" i="51" s="1"/>
  <c r="G4072" i="51" a="1"/>
  <c r="G4072" i="51" s="1"/>
  <c r="G4073" i="51" a="1"/>
  <c r="G4073" i="51" s="1"/>
  <c r="G4074" i="51" a="1"/>
  <c r="G4074" i="51" s="1"/>
  <c r="G4075" i="51" a="1"/>
  <c r="G4075" i="51" s="1"/>
  <c r="G4076" i="51" a="1"/>
  <c r="G4076" i="51" s="1"/>
  <c r="G4077" i="51" a="1"/>
  <c r="G4077" i="51" s="1"/>
  <c r="G4078" i="51" a="1"/>
  <c r="G4078" i="51" s="1"/>
  <c r="G4079" i="51" a="1"/>
  <c r="G4079" i="51" s="1"/>
  <c r="G4080" i="51" a="1"/>
  <c r="G4080" i="51" s="1"/>
  <c r="G4081" i="51" a="1"/>
  <c r="G4081" i="51" s="1"/>
  <c r="G4082" i="51" a="1"/>
  <c r="G4082" i="51" s="1"/>
  <c r="G4083" i="51" a="1"/>
  <c r="G4083" i="51" s="1"/>
  <c r="G4084" i="51" a="1"/>
  <c r="G4084" i="51" s="1"/>
  <c r="G4085" i="51" a="1"/>
  <c r="G4085" i="51" s="1"/>
  <c r="G4086" i="51" a="1"/>
  <c r="G4086" i="51" s="1"/>
  <c r="G4087" i="51" a="1"/>
  <c r="G4087" i="51" s="1"/>
  <c r="G4088" i="51" a="1"/>
  <c r="G4088" i="51" s="1"/>
  <c r="G4089" i="51" a="1"/>
  <c r="G4089" i="51" s="1"/>
  <c r="G4090" i="51" a="1"/>
  <c r="G4090" i="51" s="1"/>
  <c r="G4091" i="51" a="1"/>
  <c r="G4091" i="51" s="1"/>
  <c r="G4092" i="51" a="1"/>
  <c r="G4092" i="51" s="1"/>
  <c r="G4093" i="51" a="1"/>
  <c r="G4093" i="51" s="1"/>
  <c r="G4094" i="51" a="1"/>
  <c r="G4094" i="51" s="1"/>
  <c r="G4095" i="51" a="1"/>
  <c r="G4095" i="51" s="1"/>
  <c r="G4096" i="51" a="1"/>
  <c r="G4096" i="51" s="1"/>
  <c r="G4097" i="51" a="1"/>
  <c r="G4097" i="51" s="1"/>
  <c r="G4098" i="51" a="1"/>
  <c r="G4098" i="51"/>
  <c r="G4099" i="51" a="1"/>
  <c r="G4099" i="51" s="1"/>
  <c r="G4100" i="51" a="1"/>
  <c r="G4100" i="51" s="1"/>
  <c r="G4101" i="51" a="1"/>
  <c r="G4101" i="51" s="1"/>
  <c r="G4102" i="51" a="1"/>
  <c r="G4102" i="51" s="1"/>
  <c r="G4103" i="51" a="1"/>
  <c r="G4103" i="51" s="1"/>
  <c r="G4104" i="51" a="1"/>
  <c r="G4104" i="51" s="1"/>
  <c r="G4105" i="51" a="1"/>
  <c r="G4105" i="51" s="1"/>
  <c r="G4106" i="51" a="1"/>
  <c r="G4106" i="51" s="1"/>
  <c r="G4107" i="51" a="1"/>
  <c r="G4107" i="51" s="1"/>
  <c r="G4108" i="51" a="1"/>
  <c r="G4108" i="51" s="1"/>
  <c r="G4109" i="51" a="1"/>
  <c r="G4109" i="51" s="1"/>
  <c r="G4110" i="51" a="1"/>
  <c r="G4110" i="51" s="1"/>
  <c r="G4111" i="51" a="1"/>
  <c r="G4111" i="51" s="1"/>
  <c r="G4112" i="51" a="1"/>
  <c r="G4112" i="51" s="1"/>
  <c r="G4113" i="51" a="1"/>
  <c r="G4113" i="51" s="1"/>
  <c r="G4114" i="51" a="1"/>
  <c r="G4114" i="51" s="1"/>
  <c r="G4115" i="51" a="1"/>
  <c r="G4115" i="51" s="1"/>
  <c r="G4116" i="51" a="1"/>
  <c r="G4116" i="51" s="1"/>
  <c r="G4117" i="51" a="1"/>
  <c r="G4117" i="51" s="1"/>
  <c r="G4118" i="51" a="1"/>
  <c r="G4118" i="51" s="1"/>
  <c r="G4119" i="51" a="1"/>
  <c r="G4119" i="51" s="1"/>
  <c r="G4120" i="51" a="1"/>
  <c r="G4120" i="51" s="1"/>
  <c r="G4121" i="51" a="1"/>
  <c r="G4121" i="51" s="1"/>
  <c r="G4122" i="51" a="1"/>
  <c r="G4122" i="51" s="1"/>
  <c r="G4123" i="51" a="1"/>
  <c r="G4123" i="51" s="1"/>
  <c r="G4124" i="51" a="1"/>
  <c r="G4124" i="51" s="1"/>
  <c r="G4125" i="51" a="1"/>
  <c r="G4125" i="51" s="1"/>
  <c r="G4126" i="51" a="1"/>
  <c r="G4126" i="51" s="1"/>
  <c r="G4127" i="51" a="1"/>
  <c r="G4127" i="51" s="1"/>
  <c r="G4128" i="51" a="1"/>
  <c r="G4128" i="51" s="1"/>
  <c r="G4129" i="51" a="1"/>
  <c r="G4129" i="51" s="1"/>
  <c r="G4130" i="51" a="1"/>
  <c r="G4130" i="51" s="1"/>
  <c r="G4131" i="51" a="1"/>
  <c r="G4131" i="51" s="1"/>
  <c r="G4132" i="51" a="1"/>
  <c r="G4132" i="51" s="1"/>
  <c r="G4133" i="51" a="1"/>
  <c r="G4133" i="51" s="1"/>
  <c r="G4134" i="51" a="1"/>
  <c r="G4134" i="51" s="1"/>
  <c r="G4135" i="51" a="1"/>
  <c r="G4135" i="51" s="1"/>
  <c r="G4136" i="51" a="1"/>
  <c r="G4136" i="51" s="1"/>
  <c r="G4137" i="51" a="1"/>
  <c r="G4137" i="51" s="1"/>
  <c r="G4138" i="51" a="1"/>
  <c r="G4138" i="51"/>
  <c r="G4139" i="51" a="1"/>
  <c r="G4139" i="51" s="1"/>
  <c r="G4140" i="51" a="1"/>
  <c r="G4140" i="51" s="1"/>
  <c r="G4141" i="51" a="1"/>
  <c r="G4141" i="51" s="1"/>
  <c r="G4142" i="51" a="1"/>
  <c r="G4142" i="51" s="1"/>
  <c r="G4143" i="51" a="1"/>
  <c r="G4143" i="51" s="1"/>
  <c r="G4144" i="51" a="1"/>
  <c r="G4144" i="51" s="1"/>
  <c r="G4145" i="51" a="1"/>
  <c r="G4145" i="51" s="1"/>
  <c r="G4146" i="51" a="1"/>
  <c r="G4146" i="51" s="1"/>
  <c r="G4147" i="51" a="1"/>
  <c r="G4147" i="51" s="1"/>
  <c r="G4148" i="51" a="1"/>
  <c r="G4148" i="51" s="1"/>
  <c r="G4149" i="51" a="1"/>
  <c r="G4149" i="51" s="1"/>
  <c r="G4150" i="51" a="1"/>
  <c r="G4150" i="51" s="1"/>
  <c r="G4151" i="51" a="1"/>
  <c r="G4151" i="51" s="1"/>
  <c r="G4152" i="51" a="1"/>
  <c r="G4152" i="51" s="1"/>
  <c r="G4153" i="51" a="1"/>
  <c r="G4153" i="51" s="1"/>
  <c r="G4154" i="51" a="1"/>
  <c r="G4154" i="51" s="1"/>
  <c r="G4155" i="51" a="1"/>
  <c r="G4155" i="51" s="1"/>
  <c r="G4156" i="51" a="1"/>
  <c r="G4156" i="51"/>
  <c r="G4157" i="51" a="1"/>
  <c r="G4157" i="51" s="1"/>
  <c r="G4158" i="51" a="1"/>
  <c r="G4158" i="51" s="1"/>
  <c r="G4159" i="51" a="1"/>
  <c r="G4159" i="51" s="1"/>
  <c r="G4160" i="51" a="1"/>
  <c r="G4160" i="51" s="1"/>
  <c r="G4161" i="51" a="1"/>
  <c r="G4161" i="51" s="1"/>
  <c r="G4162" i="51" a="1"/>
  <c r="G4162" i="51"/>
  <c r="G4163" i="51" a="1"/>
  <c r="G4163" i="51" s="1"/>
  <c r="G4164" i="51" a="1"/>
  <c r="G4164" i="51" s="1"/>
  <c r="G4165" i="51" a="1"/>
  <c r="G4165" i="51" s="1"/>
  <c r="G4166" i="51" a="1"/>
  <c r="G4166" i="51" s="1"/>
  <c r="G4167" i="51" a="1"/>
  <c r="G4167" i="51" s="1"/>
  <c r="G4168" i="51" a="1"/>
  <c r="G4168" i="51" s="1"/>
  <c r="G4169" i="51" a="1"/>
  <c r="G4169" i="51" s="1"/>
  <c r="G4170" i="51" a="1"/>
  <c r="G4170" i="51"/>
  <c r="G4171" i="51" a="1"/>
  <c r="G4171" i="51" s="1"/>
  <c r="G4172" i="51" a="1"/>
  <c r="G4172" i="51" s="1"/>
  <c r="G4173" i="51" a="1"/>
  <c r="G4173" i="51" s="1"/>
  <c r="G4174" i="51" a="1"/>
  <c r="G4174" i="51" s="1"/>
  <c r="G4175" i="51" a="1"/>
  <c r="G4175" i="51" s="1"/>
  <c r="G4176" i="51" a="1"/>
  <c r="G4176" i="51" s="1"/>
  <c r="G4177" i="51" a="1"/>
  <c r="G4177" i="51" s="1"/>
  <c r="G4178" i="51" a="1"/>
  <c r="G4178" i="51" s="1"/>
  <c r="G4179" i="51" a="1"/>
  <c r="G4179" i="51" s="1"/>
  <c r="G4180" i="51" a="1"/>
  <c r="G4180" i="51"/>
  <c r="G4181" i="51" a="1"/>
  <c r="G4181" i="51" s="1"/>
  <c r="G4182" i="51" a="1"/>
  <c r="G4182" i="51" s="1"/>
  <c r="G4183" i="51" a="1"/>
  <c r="G4183" i="51" s="1"/>
  <c r="G4184" i="51" a="1"/>
  <c r="G4184" i="51" s="1"/>
  <c r="G4185" i="51" a="1"/>
  <c r="G4185" i="51" s="1"/>
  <c r="G4186" i="51" a="1"/>
  <c r="G4186" i="51" s="1"/>
  <c r="G4187" i="51" a="1"/>
  <c r="G4187" i="51" s="1"/>
  <c r="G4188" i="51" a="1"/>
  <c r="G4188" i="51" s="1"/>
  <c r="G4189" i="51" a="1"/>
  <c r="G4189" i="51" s="1"/>
  <c r="G4190" i="51" a="1"/>
  <c r="G4190" i="51" s="1"/>
  <c r="G4191" i="51" a="1"/>
  <c r="G4191" i="51" s="1"/>
  <c r="G4192" i="51" a="1"/>
  <c r="G4192" i="51" s="1"/>
  <c r="G4193" i="51" a="1"/>
  <c r="G4193" i="51" s="1"/>
  <c r="G4194" i="51" a="1"/>
  <c r="G4194" i="51" s="1"/>
  <c r="G4195" i="51" a="1"/>
  <c r="G4195" i="51" s="1"/>
  <c r="G4196" i="51" a="1"/>
  <c r="G4196" i="51" s="1"/>
  <c r="G4197" i="51" a="1"/>
  <c r="G4197" i="51" s="1"/>
  <c r="G4198" i="51" a="1"/>
  <c r="G4198" i="51" s="1"/>
  <c r="G4199" i="51" a="1"/>
  <c r="G4199" i="51" s="1"/>
  <c r="G4200" i="51" a="1"/>
  <c r="G4200" i="51" s="1"/>
  <c r="G4201" i="51" a="1"/>
  <c r="G4201" i="51" s="1"/>
  <c r="G4202" i="51" a="1"/>
  <c r="G4202" i="51" s="1"/>
  <c r="G4203" i="51" a="1"/>
  <c r="G4203" i="51" s="1"/>
  <c r="G4204" i="51" a="1"/>
  <c r="G4204" i="51" s="1"/>
  <c r="G4205" i="51" a="1"/>
  <c r="G4205" i="51" s="1"/>
  <c r="G4206" i="51" a="1"/>
  <c r="G4206" i="51" s="1"/>
  <c r="G4207" i="51" a="1"/>
  <c r="G4207" i="51" s="1"/>
  <c r="G4208" i="51" a="1"/>
  <c r="G4208" i="51" s="1"/>
  <c r="G4209" i="51" a="1"/>
  <c r="G4209" i="51" s="1"/>
  <c r="G4210" i="51" a="1"/>
  <c r="G4210" i="51" s="1"/>
  <c r="G4211" i="51" a="1"/>
  <c r="G4211" i="51" s="1"/>
  <c r="G4212" i="51" a="1"/>
  <c r="G4212" i="51"/>
  <c r="G4213" i="51" a="1"/>
  <c r="G4213" i="51" s="1"/>
  <c r="G4214" i="51" a="1"/>
  <c r="G4214" i="51" s="1"/>
  <c r="G4215" i="51" a="1"/>
  <c r="G4215" i="51" s="1"/>
  <c r="G4216" i="51" a="1"/>
  <c r="G4216" i="51" s="1"/>
  <c r="G4217" i="51" a="1"/>
  <c r="G4217" i="51" s="1"/>
  <c r="G4218" i="51" a="1"/>
  <c r="G4218" i="51" s="1"/>
  <c r="G4219" i="51" a="1"/>
  <c r="G4219" i="51"/>
  <c r="G4220" i="51" a="1"/>
  <c r="G4220" i="51" s="1"/>
  <c r="G4221" i="51" a="1"/>
  <c r="G4221" i="51" s="1"/>
  <c r="G4222" i="51" a="1"/>
  <c r="G4222" i="51" s="1"/>
  <c r="G4223" i="51" a="1"/>
  <c r="G4223" i="51" s="1"/>
  <c r="G4224" i="51" a="1"/>
  <c r="G4224" i="51" s="1"/>
  <c r="G4225" i="51" a="1"/>
  <c r="G4225" i="51" s="1"/>
  <c r="G4226" i="51" a="1"/>
  <c r="G4226" i="51"/>
  <c r="G4227" i="51" a="1"/>
  <c r="G4227" i="51" s="1"/>
  <c r="G4228" i="51" a="1"/>
  <c r="G4228" i="51" s="1"/>
  <c r="G4229" i="51" a="1"/>
  <c r="G4229" i="51" s="1"/>
  <c r="G4230" i="51" a="1"/>
  <c r="G4230" i="51" s="1"/>
  <c r="G4231" i="51" a="1"/>
  <c r="G4231" i="51" s="1"/>
  <c r="G4232" i="51" a="1"/>
  <c r="G4232" i="51" s="1"/>
  <c r="G4233" i="51" a="1"/>
  <c r="G4233" i="51" s="1"/>
  <c r="G4234" i="51" a="1"/>
  <c r="G4234" i="51"/>
  <c r="G4235" i="51" a="1"/>
  <c r="G4235" i="51"/>
  <c r="G4236" i="51" a="1"/>
  <c r="G4236" i="51" s="1"/>
  <c r="G4237" i="51" a="1"/>
  <c r="G4237" i="51" s="1"/>
  <c r="G4238" i="51" a="1"/>
  <c r="G4238" i="51" s="1"/>
  <c r="G4239" i="51" a="1"/>
  <c r="G4239" i="51" s="1"/>
  <c r="G4240" i="51" a="1"/>
  <c r="G4240" i="51" s="1"/>
  <c r="G4241" i="51" a="1"/>
  <c r="G4241" i="51" s="1"/>
  <c r="G4242" i="51" a="1"/>
  <c r="G4242" i="51" s="1"/>
  <c r="G4243" i="51" a="1"/>
  <c r="G4243" i="51" s="1"/>
  <c r="G4244" i="51" a="1"/>
  <c r="G4244" i="51" s="1"/>
  <c r="G4245" i="51" a="1"/>
  <c r="G4245" i="51" s="1"/>
  <c r="G4246" i="51" a="1"/>
  <c r="G4246" i="51" s="1"/>
  <c r="G4247" i="51" a="1"/>
  <c r="G4247" i="51" s="1"/>
  <c r="G4248" i="51" a="1"/>
  <c r="G4248" i="51" s="1"/>
  <c r="G4249" i="51" a="1"/>
  <c r="G4249" i="51" s="1"/>
  <c r="G4250" i="51" a="1"/>
  <c r="G4250" i="51" s="1"/>
  <c r="G4251" i="51" a="1"/>
  <c r="G4251" i="51" s="1"/>
  <c r="G4252" i="51" a="1"/>
  <c r="G4252" i="51"/>
  <c r="G4253" i="51" a="1"/>
  <c r="G4253" i="51" s="1"/>
  <c r="G4254" i="51" a="1"/>
  <c r="G4254" i="51" s="1"/>
  <c r="G4255" i="51" a="1"/>
  <c r="G4255" i="51" s="1"/>
  <c r="G4256" i="51" a="1"/>
  <c r="G4256" i="51" s="1"/>
  <c r="G4257" i="51" a="1"/>
  <c r="G4257" i="51" s="1"/>
  <c r="G4258" i="51" a="1"/>
  <c r="G4258" i="51" s="1"/>
  <c r="G4259" i="51" a="1"/>
  <c r="G4259" i="51" s="1"/>
  <c r="G4260" i="51" a="1"/>
  <c r="G4260" i="51" s="1"/>
  <c r="G4261" i="51" a="1"/>
  <c r="G4261" i="51" s="1"/>
  <c r="G4262" i="51" a="1"/>
  <c r="G4262" i="51" s="1"/>
  <c r="G4263" i="51" a="1"/>
  <c r="G4263" i="51" s="1"/>
  <c r="G4264" i="51" a="1"/>
  <c r="G4264" i="51" s="1"/>
  <c r="G4265" i="51" a="1"/>
  <c r="G4265" i="51" s="1"/>
  <c r="G4266" i="51" a="1"/>
  <c r="G4266" i="51" s="1"/>
  <c r="G4267" i="51" a="1"/>
  <c r="G4267" i="51" s="1"/>
  <c r="G4268" i="51" a="1"/>
  <c r="G4268" i="51" s="1"/>
  <c r="G4269" i="51" a="1"/>
  <c r="G4269" i="51" s="1"/>
  <c r="G4270" i="51" a="1"/>
  <c r="G4270" i="51" s="1"/>
  <c r="G4271" i="51" a="1"/>
  <c r="G4271" i="51" s="1"/>
  <c r="G4272" i="51" a="1"/>
  <c r="G4272" i="51" s="1"/>
  <c r="G4273" i="51" a="1"/>
  <c r="G4273" i="51" s="1"/>
  <c r="G4274" i="51" a="1"/>
  <c r="G4274" i="51" s="1"/>
  <c r="G4275" i="51" a="1"/>
  <c r="G4275" i="51"/>
  <c r="G4276" i="51" a="1"/>
  <c r="G4276" i="51" s="1"/>
  <c r="G4277" i="51" a="1"/>
  <c r="G4277" i="51" s="1"/>
  <c r="G4278" i="51" a="1"/>
  <c r="G4278" i="51" s="1"/>
  <c r="G4279" i="51" a="1"/>
  <c r="G4279" i="51" s="1"/>
  <c r="G4280" i="51" a="1"/>
  <c r="G4280" i="51" s="1"/>
  <c r="G4281" i="51" a="1"/>
  <c r="G4281" i="51" s="1"/>
  <c r="G4282" i="51" a="1"/>
  <c r="G4282" i="51" s="1"/>
  <c r="G4283" i="51" a="1"/>
  <c r="G4283" i="51" s="1"/>
  <c r="G4284" i="51" a="1"/>
  <c r="G4284" i="51" s="1"/>
  <c r="G4285" i="51" a="1"/>
  <c r="G4285" i="51" s="1"/>
  <c r="G4286" i="51" a="1"/>
  <c r="G4286" i="51" s="1"/>
  <c r="G4287" i="51" a="1"/>
  <c r="G4287" i="51" s="1"/>
  <c r="G4288" i="51" a="1"/>
  <c r="G4288" i="51" s="1"/>
  <c r="G4289" i="51" a="1"/>
  <c r="G4289" i="51" s="1"/>
  <c r="G4290" i="51" a="1"/>
  <c r="G4290" i="51"/>
  <c r="G4291" i="51" a="1"/>
  <c r="G4291" i="51" s="1"/>
  <c r="G4292" i="51" a="1"/>
  <c r="G4292" i="51" s="1"/>
  <c r="G4293" i="51" a="1"/>
  <c r="G4293" i="51" s="1"/>
  <c r="G4294" i="51" a="1"/>
  <c r="G4294" i="51" s="1"/>
  <c r="G4295" i="51" a="1"/>
  <c r="G4295" i="51" s="1"/>
  <c r="G4296" i="51" a="1"/>
  <c r="G4296" i="51" s="1"/>
  <c r="G4297" i="51" a="1"/>
  <c r="G4297" i="51" s="1"/>
  <c r="G4298" i="51" a="1"/>
  <c r="G4298" i="51" s="1"/>
  <c r="G4299" i="51" a="1"/>
  <c r="G4299" i="51" s="1"/>
  <c r="G4300" i="51" a="1"/>
  <c r="G4300" i="51" s="1"/>
  <c r="G4301" i="51" a="1"/>
  <c r="G4301" i="51" s="1"/>
  <c r="G4302" i="51" a="1"/>
  <c r="G4302" i="51" s="1"/>
  <c r="G4303" i="51" a="1"/>
  <c r="G4303" i="51" s="1"/>
  <c r="G4304" i="51" a="1"/>
  <c r="G4304" i="51" s="1"/>
  <c r="G4305" i="51" a="1"/>
  <c r="G4305" i="51" s="1"/>
  <c r="G4306" i="51" a="1"/>
  <c r="G4306" i="51" s="1"/>
  <c r="G4307" i="51" a="1"/>
  <c r="G4307" i="51" s="1"/>
  <c r="G4308" i="51" a="1"/>
  <c r="G4308" i="51"/>
  <c r="G4309" i="51" a="1"/>
  <c r="G4309" i="51" s="1"/>
  <c r="G4310" i="51" a="1"/>
  <c r="G4310" i="51" s="1"/>
  <c r="G4311" i="51" a="1"/>
  <c r="G4311" i="51" s="1"/>
  <c r="G4312" i="51" a="1"/>
  <c r="G4312" i="51" s="1"/>
  <c r="G4313" i="51" a="1"/>
  <c r="G4313" i="51" s="1"/>
  <c r="G4314" i="51" a="1"/>
  <c r="G4314" i="51" s="1"/>
  <c r="G4315" i="51" a="1"/>
  <c r="G4315" i="51"/>
  <c r="G4316" i="51" a="1"/>
  <c r="G4316" i="51" s="1"/>
  <c r="G4317" i="51" a="1"/>
  <c r="G4317" i="51" s="1"/>
  <c r="G4318" i="51" a="1"/>
  <c r="G4318" i="51" s="1"/>
  <c r="G4319" i="51" a="1"/>
  <c r="G4319" i="51" s="1"/>
  <c r="G4320" i="51" a="1"/>
  <c r="G4320" i="51" s="1"/>
  <c r="G4321" i="51" a="1"/>
  <c r="G4321" i="51" s="1"/>
  <c r="G4322" i="51" a="1"/>
  <c r="G4322" i="51" s="1"/>
  <c r="G4323" i="51" a="1"/>
  <c r="G4323" i="51" s="1"/>
  <c r="G4324" i="51" a="1"/>
  <c r="G4324" i="51" s="1"/>
  <c r="G4325" i="51" a="1"/>
  <c r="G4325" i="51" s="1"/>
  <c r="G4326" i="51" a="1"/>
  <c r="G4326" i="51" s="1"/>
  <c r="G4327" i="51" a="1"/>
  <c r="G4327" i="51" s="1"/>
  <c r="G4328" i="51" a="1"/>
  <c r="G4328" i="51" s="1"/>
  <c r="G4329" i="51" a="1"/>
  <c r="G4329" i="51" s="1"/>
  <c r="G4330" i="51" a="1"/>
  <c r="G4330" i="51" s="1"/>
  <c r="G4331" i="51" a="1"/>
  <c r="G4331" i="51" s="1"/>
  <c r="G4332" i="51" a="1"/>
  <c r="G4332" i="51" s="1"/>
  <c r="G4333" i="51" a="1"/>
  <c r="G4333" i="51" s="1"/>
  <c r="G4334" i="51" a="1"/>
  <c r="G4334" i="51" s="1"/>
  <c r="G4335" i="51" a="1"/>
  <c r="G4335" i="51" s="1"/>
  <c r="G4336" i="51" a="1"/>
  <c r="G4336" i="51" s="1"/>
  <c r="G4337" i="51" a="1"/>
  <c r="G4337" i="51" s="1"/>
  <c r="G4338" i="51" a="1"/>
  <c r="G4338" i="51" s="1"/>
  <c r="G4339" i="51" a="1"/>
  <c r="G4339" i="51"/>
  <c r="G4340" i="51" a="1"/>
  <c r="G4340" i="51" s="1"/>
  <c r="G4341" i="51" a="1"/>
  <c r="G4341" i="51" s="1"/>
  <c r="G4342" i="51" a="1"/>
  <c r="G4342" i="51" s="1"/>
  <c r="G4343" i="51" a="1"/>
  <c r="G4343" i="51" s="1"/>
  <c r="G4344" i="51" a="1"/>
  <c r="G4344" i="51" s="1"/>
  <c r="G4345" i="51" a="1"/>
  <c r="G4345" i="51" s="1"/>
  <c r="G4346" i="51" a="1"/>
  <c r="G4346" i="51" s="1"/>
  <c r="G4347" i="51" a="1"/>
  <c r="G4347" i="51" s="1"/>
  <c r="G4348" i="51" a="1"/>
  <c r="G4348" i="51"/>
  <c r="G4349" i="51" a="1"/>
  <c r="G4349" i="51" s="1"/>
  <c r="G4350" i="51" a="1"/>
  <c r="G4350" i="51" s="1"/>
  <c r="G4351" i="51" a="1"/>
  <c r="G4351" i="51" s="1"/>
  <c r="G4352" i="51" a="1"/>
  <c r="G4352" i="51" s="1"/>
  <c r="G4353" i="51" a="1"/>
  <c r="G4353" i="51" s="1"/>
  <c r="G4354" i="51" a="1"/>
  <c r="G4354" i="51" s="1"/>
  <c r="G4355" i="51" a="1"/>
  <c r="G4355" i="51" s="1"/>
  <c r="G4356" i="51" a="1"/>
  <c r="G4356" i="51" s="1"/>
  <c r="G4357" i="51" a="1"/>
  <c r="G4357" i="51" s="1"/>
  <c r="G4358" i="51" a="1"/>
  <c r="G4358" i="51" s="1"/>
  <c r="G4359" i="51" a="1"/>
  <c r="G4359" i="51" s="1"/>
  <c r="G4360" i="51" a="1"/>
  <c r="G4360" i="51" s="1"/>
  <c r="G4361" i="51" a="1"/>
  <c r="G4361" i="51" s="1"/>
  <c r="G4362" i="51" a="1"/>
  <c r="G4362" i="51" s="1"/>
  <c r="G4363" i="51" a="1"/>
  <c r="G4363" i="51" s="1"/>
  <c r="G4364" i="51" a="1"/>
  <c r="G4364" i="51" s="1"/>
  <c r="G4365" i="51" a="1"/>
  <c r="G4365" i="51" s="1"/>
  <c r="G4366" i="51" a="1"/>
  <c r="G4366" i="51" s="1"/>
  <c r="G4367" i="51" a="1"/>
  <c r="G4367" i="51" s="1"/>
  <c r="G4368" i="51" a="1"/>
  <c r="G4368" i="51" s="1"/>
  <c r="G4369" i="51" a="1"/>
  <c r="G4369" i="51" s="1"/>
  <c r="G4370" i="51" a="1"/>
  <c r="G4370" i="51" s="1"/>
  <c r="G4371" i="51" a="1"/>
  <c r="G4371" i="51" s="1"/>
  <c r="G4372" i="51" a="1"/>
  <c r="G4372" i="51" s="1"/>
  <c r="G4373" i="51" a="1"/>
  <c r="G4373" i="51" s="1"/>
  <c r="G4374" i="51" a="1"/>
  <c r="G4374" i="51" s="1"/>
  <c r="G4375" i="51" a="1"/>
  <c r="G4375" i="51" s="1"/>
  <c r="G4376" i="51" a="1"/>
  <c r="G4376" i="51" s="1"/>
  <c r="G4377" i="51" a="1"/>
  <c r="G4377" i="51" s="1"/>
  <c r="G4378" i="51" a="1"/>
  <c r="G4378" i="51" s="1"/>
  <c r="G4379" i="51" a="1"/>
  <c r="G4379" i="51"/>
  <c r="G4380" i="51" a="1"/>
  <c r="G4380" i="51" s="1"/>
  <c r="G4381" i="51" a="1"/>
  <c r="G4381" i="51" s="1"/>
  <c r="G4382" i="51" a="1"/>
  <c r="G4382" i="51" s="1"/>
  <c r="G4383" i="51" a="1"/>
  <c r="G4383" i="51" s="1"/>
  <c r="G4384" i="51" a="1"/>
  <c r="G4384" i="51" s="1"/>
  <c r="G4385" i="51" a="1"/>
  <c r="G4385" i="51" s="1"/>
  <c r="G4386" i="51" a="1"/>
  <c r="G4386" i="51" s="1"/>
  <c r="G4387" i="51" a="1"/>
  <c r="G4387" i="51" s="1"/>
  <c r="G4388" i="51" a="1"/>
  <c r="G4388" i="51" s="1"/>
  <c r="G4389" i="51" a="1"/>
  <c r="G4389" i="51" s="1"/>
  <c r="G4390" i="51" a="1"/>
  <c r="G4390" i="51"/>
  <c r="G4391" i="51" a="1"/>
  <c r="G4391" i="51" s="1"/>
  <c r="G4392" i="51" a="1"/>
  <c r="G4392" i="51" s="1"/>
  <c r="G4393" i="51" a="1"/>
  <c r="G4393" i="51" s="1"/>
  <c r="G4394" i="51" a="1"/>
  <c r="G4394" i="51" s="1"/>
  <c r="G4395" i="51" a="1"/>
  <c r="G4395" i="51" s="1"/>
  <c r="G4396" i="51" a="1"/>
  <c r="G4396" i="51" s="1"/>
  <c r="G4397" i="51" a="1"/>
  <c r="G4397" i="51" s="1"/>
  <c r="G4398" i="51" a="1"/>
  <c r="G4398" i="51" s="1"/>
  <c r="G4399" i="51" a="1"/>
  <c r="G4399" i="51" s="1"/>
  <c r="G4400" i="51" a="1"/>
  <c r="G4400" i="51" s="1"/>
  <c r="G4401" i="51" a="1"/>
  <c r="G4401" i="51" s="1"/>
  <c r="G4402" i="51" a="1"/>
  <c r="G4402" i="51" s="1"/>
  <c r="G4403" i="51" a="1"/>
  <c r="G4403" i="51" s="1"/>
  <c r="G4404" i="51" a="1"/>
  <c r="G4404" i="51" s="1"/>
  <c r="G4405" i="51" a="1"/>
  <c r="G4405" i="51" s="1"/>
  <c r="G4406" i="51" a="1"/>
  <c r="G4406" i="51" s="1"/>
  <c r="G4407" i="51" a="1"/>
  <c r="G4407" i="51" s="1"/>
  <c r="G4408" i="51" a="1"/>
  <c r="G4408" i="51" s="1"/>
  <c r="G4409" i="51" a="1"/>
  <c r="G4409" i="51" s="1"/>
  <c r="G4410" i="51" a="1"/>
  <c r="G4410" i="51" s="1"/>
  <c r="G4411" i="51" a="1"/>
  <c r="G4411" i="51" s="1"/>
  <c r="G4412" i="51" a="1"/>
  <c r="G4412" i="51" s="1"/>
  <c r="G4413" i="51" a="1"/>
  <c r="G4413" i="51" s="1"/>
  <c r="G4414" i="51" a="1"/>
  <c r="G4414" i="51" s="1"/>
  <c r="G4415" i="51" a="1"/>
  <c r="G4415" i="51"/>
  <c r="G4416" i="51" a="1"/>
  <c r="G4416" i="51" s="1"/>
  <c r="G4417" i="51" a="1"/>
  <c r="G4417" i="51" s="1"/>
  <c r="G4418" i="51" a="1"/>
  <c r="G4418" i="51" s="1"/>
  <c r="G4419" i="51" a="1"/>
  <c r="G4419" i="51" s="1"/>
  <c r="G4420" i="51" a="1"/>
  <c r="G4420" i="51" s="1"/>
  <c r="G4421" i="51" a="1"/>
  <c r="G4421" i="51" s="1"/>
  <c r="G4422" i="51" a="1"/>
  <c r="G4422" i="51" s="1"/>
  <c r="G4423" i="51" a="1"/>
  <c r="G4423" i="51" s="1"/>
  <c r="G4424" i="51" a="1"/>
  <c r="G4424" i="51" s="1"/>
  <c r="G4425" i="51" a="1"/>
  <c r="G4425" i="51" s="1"/>
  <c r="G4426" i="51" a="1"/>
  <c r="G4426" i="51" s="1"/>
  <c r="G4427" i="51" a="1"/>
  <c r="G4427" i="51" s="1"/>
  <c r="G4428" i="51" a="1"/>
  <c r="G4428" i="51" s="1"/>
  <c r="G4429" i="51" a="1"/>
  <c r="G4429" i="51" s="1"/>
  <c r="G4430" i="51" a="1"/>
  <c r="G4430" i="51" s="1"/>
  <c r="G4431" i="51" a="1"/>
  <c r="G4431" i="51" s="1"/>
  <c r="G4432" i="51" a="1"/>
  <c r="G4432" i="51"/>
  <c r="G4433" i="51" a="1"/>
  <c r="G4433" i="51" s="1"/>
  <c r="G4434" i="51" a="1"/>
  <c r="G4434" i="51" s="1"/>
  <c r="G4435" i="51" a="1"/>
  <c r="G4435" i="51" s="1"/>
  <c r="G4436" i="51" a="1"/>
  <c r="G4436" i="51" s="1"/>
  <c r="G4437" i="51" a="1"/>
  <c r="G4437" i="51" s="1"/>
  <c r="G4438" i="51" a="1"/>
  <c r="G4438" i="51" s="1"/>
  <c r="G4439" i="51" a="1"/>
  <c r="G4439" i="51" s="1"/>
  <c r="G4440" i="51" a="1"/>
  <c r="G4440" i="51" s="1"/>
  <c r="G4441" i="51" a="1"/>
  <c r="G4441" i="51" s="1"/>
  <c r="G4442" i="51" a="1"/>
  <c r="G4442" i="51" s="1"/>
  <c r="G4443" i="51" a="1"/>
  <c r="G4443" i="51" s="1"/>
  <c r="G4444" i="51" a="1"/>
  <c r="G4444" i="51" s="1"/>
  <c r="G4445" i="51" a="1"/>
  <c r="G4445" i="51" s="1"/>
  <c r="G4446" i="51" a="1"/>
  <c r="G4446" i="51" s="1"/>
  <c r="G4447" i="51" a="1"/>
  <c r="G4447" i="51" s="1"/>
  <c r="G4448" i="51" a="1"/>
  <c r="G4448" i="51" s="1"/>
  <c r="G4449" i="51" a="1"/>
  <c r="G4449" i="51" s="1"/>
  <c r="G4450" i="51" a="1"/>
  <c r="G4450" i="51" s="1"/>
  <c r="G4451" i="51" a="1"/>
  <c r="G4451" i="51" s="1"/>
  <c r="G4452" i="51" a="1"/>
  <c r="G4452" i="51" s="1"/>
  <c r="G4453" i="51" a="1"/>
  <c r="G4453" i="51" s="1"/>
  <c r="G4454" i="51" a="1"/>
  <c r="G4454" i="51" s="1"/>
  <c r="G4455" i="51" a="1"/>
  <c r="G4455" i="51" s="1"/>
  <c r="G4456" i="51" a="1"/>
  <c r="G4456" i="51" s="1"/>
  <c r="G4457" i="51" a="1"/>
  <c r="G4457" i="51" s="1"/>
  <c r="G4458" i="51" a="1"/>
  <c r="G4458" i="51" s="1"/>
  <c r="G4459" i="51" a="1"/>
  <c r="G4459" i="51" s="1"/>
  <c r="G4460" i="51" a="1"/>
  <c r="G4460" i="51" s="1"/>
  <c r="G4461" i="51" a="1"/>
  <c r="G4461" i="51" s="1"/>
  <c r="G4462" i="51" a="1"/>
  <c r="G4462" i="51"/>
  <c r="G4463" i="51" a="1"/>
  <c r="G4463" i="51" s="1"/>
  <c r="G4464" i="51" a="1"/>
  <c r="G4464" i="51" s="1"/>
  <c r="G4465" i="51" a="1"/>
  <c r="G4465" i="51" s="1"/>
  <c r="G4466" i="51" a="1"/>
  <c r="G4466" i="51" s="1"/>
  <c r="G4467" i="51" a="1"/>
  <c r="G4467" i="51" s="1"/>
  <c r="G4468" i="51" a="1"/>
  <c r="G4468" i="51" s="1"/>
  <c r="G4469" i="51" a="1"/>
  <c r="G4469" i="51" s="1"/>
  <c r="G4470" i="51" a="1"/>
  <c r="G4470" i="51" s="1"/>
  <c r="G4471" i="51" a="1"/>
  <c r="G4471" i="51" s="1"/>
  <c r="G4472" i="51" a="1"/>
  <c r="G4472" i="51" s="1"/>
  <c r="G4473" i="51" a="1"/>
  <c r="G4473" i="51" s="1"/>
  <c r="G4474" i="51" a="1"/>
  <c r="G4474" i="51" s="1"/>
  <c r="G4475" i="51" a="1"/>
  <c r="G4475" i="51" s="1"/>
  <c r="G4476" i="51" a="1"/>
  <c r="G4476" i="51" s="1"/>
  <c r="G4477" i="51" a="1"/>
  <c r="G4477" i="51" s="1"/>
  <c r="G4478" i="51" a="1"/>
  <c r="G4478" i="51" s="1"/>
  <c r="G4479" i="51" a="1"/>
  <c r="G4479" i="51"/>
  <c r="G4480" i="51" a="1"/>
  <c r="G4480" i="51" s="1"/>
  <c r="G4481" i="51" a="1"/>
  <c r="G4481" i="51" s="1"/>
  <c r="G4482" i="51" a="1"/>
  <c r="G4482" i="51" s="1"/>
  <c r="G4483" i="51" a="1"/>
  <c r="G4483" i="51" s="1"/>
  <c r="G4484" i="51" a="1"/>
  <c r="G4484" i="51" s="1"/>
  <c r="G4485" i="51" a="1"/>
  <c r="G4485" i="51" s="1"/>
  <c r="G4486" i="51" a="1"/>
  <c r="G4486" i="51" s="1"/>
  <c r="G4487" i="51" a="1"/>
  <c r="G4487" i="51" s="1"/>
  <c r="G4488" i="51" a="1"/>
  <c r="G4488" i="51"/>
  <c r="G4489" i="51" a="1"/>
  <c r="G4489" i="51" s="1"/>
  <c r="G4490" i="51" a="1"/>
  <c r="G4490" i="51" s="1"/>
  <c r="G4491" i="51" a="1"/>
  <c r="G4491" i="51" s="1"/>
  <c r="G4492" i="51" a="1"/>
  <c r="G4492" i="51" s="1"/>
  <c r="G4493" i="51" a="1"/>
  <c r="G4493" i="51" s="1"/>
  <c r="G4494" i="51" a="1"/>
  <c r="G4494" i="51" s="1"/>
  <c r="G4495" i="51" a="1"/>
  <c r="G4495" i="51" s="1"/>
  <c r="G4496" i="51" a="1"/>
  <c r="G4496" i="51" s="1"/>
  <c r="G4497" i="51" a="1"/>
  <c r="G4497" i="51" s="1"/>
  <c r="G4498" i="51" a="1"/>
  <c r="G4498" i="51" s="1"/>
  <c r="G4499" i="51" a="1"/>
  <c r="G4499" i="51" s="1"/>
  <c r="G4500" i="51" a="1"/>
  <c r="G4500" i="51" s="1"/>
  <c r="G4501" i="51" a="1"/>
  <c r="G4501" i="51" s="1"/>
  <c r="G4502" i="51" a="1"/>
  <c r="G4502" i="51" s="1"/>
  <c r="G4503" i="51" a="1"/>
  <c r="G4503" i="51" s="1"/>
  <c r="G4504" i="51" a="1"/>
  <c r="G4504" i="51" s="1"/>
  <c r="G4505" i="51" a="1"/>
  <c r="G4505" i="51" s="1"/>
  <c r="G4506" i="51" a="1"/>
  <c r="G4506" i="51" s="1"/>
  <c r="G4507" i="51" a="1"/>
  <c r="G4507" i="51" s="1"/>
  <c r="G4508" i="51" a="1"/>
  <c r="G4508" i="51" s="1"/>
  <c r="G4509" i="51" a="1"/>
  <c r="G4509" i="51" s="1"/>
  <c r="G4510" i="51" a="1"/>
  <c r="G4510" i="51" s="1"/>
  <c r="G4511" i="51" a="1"/>
  <c r="G4511" i="51" s="1"/>
  <c r="G4512" i="51" a="1"/>
  <c r="G4512" i="51" s="1"/>
  <c r="G4513" i="51" a="1"/>
  <c r="G4513" i="51" s="1"/>
  <c r="G4514" i="51" a="1"/>
  <c r="G4514" i="51" s="1"/>
  <c r="G4515" i="51" a="1"/>
  <c r="G4515" i="51" s="1"/>
  <c r="G4516" i="51" a="1"/>
  <c r="G4516" i="51" s="1"/>
  <c r="G4517" i="51" a="1"/>
  <c r="G4517" i="51" s="1"/>
  <c r="G4518" i="51" a="1"/>
  <c r="G4518" i="51"/>
  <c r="G4519" i="51" a="1"/>
  <c r="G4519" i="51" s="1"/>
  <c r="G4520" i="51" a="1"/>
  <c r="G4520" i="51" s="1"/>
  <c r="G4521" i="51" a="1"/>
  <c r="G4521" i="51" s="1"/>
  <c r="G4522" i="51" a="1"/>
  <c r="G4522" i="51" s="1"/>
  <c r="G4523" i="51" a="1"/>
  <c r="G4523" i="51" s="1"/>
  <c r="G4524" i="51" a="1"/>
  <c r="G4524" i="51" s="1"/>
  <c r="G4525" i="51" a="1"/>
  <c r="G4525" i="51" s="1"/>
  <c r="G4526" i="51" a="1"/>
  <c r="G4526" i="51" s="1"/>
  <c r="G4527" i="51" a="1"/>
  <c r="G4527" i="51" s="1"/>
  <c r="G4528" i="51" a="1"/>
  <c r="G4528" i="51" s="1"/>
  <c r="G4529" i="51" a="1"/>
  <c r="G4529" i="51" s="1"/>
  <c r="G4530" i="51" a="1"/>
  <c r="G4530" i="51" s="1"/>
  <c r="G4531" i="51" a="1"/>
  <c r="G4531" i="51" s="1"/>
  <c r="G4532" i="51" a="1"/>
  <c r="G4532" i="51" s="1"/>
  <c r="G4533" i="51" a="1"/>
  <c r="G4533" i="51" s="1"/>
  <c r="G4534" i="51" a="1"/>
  <c r="G4534" i="51" s="1"/>
  <c r="G4535" i="51" a="1"/>
  <c r="G4535" i="51"/>
  <c r="G4536" i="51" a="1"/>
  <c r="G4536" i="51" s="1"/>
  <c r="G4537" i="51" a="1"/>
  <c r="G4537" i="51" s="1"/>
  <c r="G4538" i="51" a="1"/>
  <c r="G4538" i="51" s="1"/>
  <c r="G4539" i="51" a="1"/>
  <c r="G4539" i="51" s="1"/>
  <c r="G4540" i="51" a="1"/>
  <c r="G4540" i="51" s="1"/>
  <c r="G4541" i="51" a="1"/>
  <c r="G4541" i="51" s="1"/>
  <c r="G4542" i="51" a="1"/>
  <c r="G4542" i="51" s="1"/>
  <c r="G4543" i="51" a="1"/>
  <c r="G4543" i="51" s="1"/>
  <c r="G4544" i="51" a="1"/>
  <c r="G4544" i="51" s="1"/>
  <c r="G4545" i="51" a="1"/>
  <c r="G4545" i="51" s="1"/>
  <c r="G4546" i="51" a="1"/>
  <c r="G4546" i="51" s="1"/>
  <c r="G4547" i="51" a="1"/>
  <c r="G4547" i="51" s="1"/>
  <c r="G4548" i="51" a="1"/>
  <c r="G4548" i="51" s="1"/>
  <c r="G4549" i="51" a="1"/>
  <c r="G4549" i="51" s="1"/>
  <c r="G4550" i="51" a="1"/>
  <c r="G4550" i="51" s="1"/>
  <c r="G4551" i="51" a="1"/>
  <c r="G4551" i="51" s="1"/>
  <c r="G4552" i="51" a="1"/>
  <c r="G4552" i="51" s="1"/>
  <c r="G4553" i="51" a="1"/>
  <c r="G4553" i="51" s="1"/>
  <c r="G4554" i="51" a="1"/>
  <c r="G4554" i="51" s="1"/>
  <c r="G4555" i="51" a="1"/>
  <c r="G4555" i="51" s="1"/>
  <c r="G4556" i="51" a="1"/>
  <c r="G4556" i="51" s="1"/>
  <c r="G4557" i="51" a="1"/>
  <c r="G4557" i="51" s="1"/>
  <c r="G4558" i="51" a="1"/>
  <c r="G4558" i="51" s="1"/>
  <c r="G4559" i="51" a="1"/>
  <c r="G4559" i="51" s="1"/>
  <c r="G4560" i="51" a="1"/>
  <c r="G4560" i="51"/>
  <c r="G4561" i="51" a="1"/>
  <c r="G4561" i="51" s="1"/>
  <c r="G4562" i="51" a="1"/>
  <c r="G4562" i="51" s="1"/>
  <c r="G4563" i="51" a="1"/>
  <c r="G4563" i="51" s="1"/>
  <c r="G4564" i="51" a="1"/>
  <c r="G4564" i="51" s="1"/>
  <c r="G4565" i="51" a="1"/>
  <c r="G4565" i="51" s="1"/>
  <c r="G4566" i="51" a="1"/>
  <c r="G4566" i="51" s="1"/>
  <c r="G4567" i="51" a="1"/>
  <c r="G4567" i="51" s="1"/>
  <c r="G4568" i="51" a="1"/>
  <c r="G4568" i="51" s="1"/>
  <c r="G4569" i="51" a="1"/>
  <c r="G4569" i="51" s="1"/>
  <c r="G4570" i="51" a="1"/>
  <c r="G4570" i="51" s="1"/>
  <c r="G4571" i="51" a="1"/>
  <c r="G4571" i="51" s="1"/>
  <c r="G4572" i="51" a="1"/>
  <c r="G4572" i="51" s="1"/>
  <c r="G4573" i="51" a="1"/>
  <c r="G4573" i="51" s="1"/>
  <c r="G4574" i="51" a="1"/>
  <c r="G4574" i="51" s="1"/>
  <c r="G4575" i="51" a="1"/>
  <c r="G4575" i="51" s="1"/>
  <c r="G4576" i="51" a="1"/>
  <c r="G4576" i="51" s="1"/>
  <c r="G4577" i="51" a="1"/>
  <c r="G4577" i="51" s="1"/>
  <c r="G4578" i="51" a="1"/>
  <c r="G4578" i="51" s="1"/>
  <c r="G4579" i="51" a="1"/>
  <c r="G4579" i="51" s="1"/>
  <c r="G4580" i="51" a="1"/>
  <c r="G4580" i="51" s="1"/>
  <c r="G4581" i="51" a="1"/>
  <c r="G4581" i="51" s="1"/>
  <c r="G4582" i="51" a="1"/>
  <c r="G4582" i="51" s="1"/>
  <c r="G4583" i="51" a="1"/>
  <c r="G4583" i="51" s="1"/>
  <c r="G4584" i="51" a="1"/>
  <c r="G4584" i="51" s="1"/>
  <c r="G4585" i="51" a="1"/>
  <c r="G4585" i="51" s="1"/>
  <c r="G4586" i="51" a="1"/>
  <c r="G4586" i="51" s="1"/>
  <c r="G4587" i="51" a="1"/>
  <c r="G4587" i="51" s="1"/>
  <c r="G4588" i="51" a="1"/>
  <c r="G4588" i="51" s="1"/>
  <c r="G4589" i="51" a="1"/>
  <c r="G4589" i="51" s="1"/>
  <c r="G4590" i="51" a="1"/>
  <c r="G4590" i="51"/>
  <c r="G4591" i="51" a="1"/>
  <c r="G4591" i="51" s="1"/>
  <c r="G4592" i="51" a="1"/>
  <c r="G4592" i="51" s="1"/>
  <c r="G4593" i="51" a="1"/>
  <c r="G4593" i="51" s="1"/>
  <c r="G4594" i="51" a="1"/>
  <c r="G4594" i="51" s="1"/>
  <c r="G4595" i="51" a="1"/>
  <c r="G4595" i="51" s="1"/>
  <c r="G4596" i="51" a="1"/>
  <c r="G4596" i="51" s="1"/>
  <c r="G4597" i="51" a="1"/>
  <c r="G4597" i="51" s="1"/>
  <c r="G4598" i="51" a="1"/>
  <c r="G4598" i="51" s="1"/>
  <c r="G4599" i="51" a="1"/>
  <c r="G4599" i="51" s="1"/>
  <c r="G4600" i="51" a="1"/>
  <c r="G4600" i="51" s="1"/>
  <c r="G4601" i="51" a="1"/>
  <c r="G4601" i="51" s="1"/>
  <c r="G4602" i="51" a="1"/>
  <c r="G4602" i="51" s="1"/>
  <c r="G4603" i="51" a="1"/>
  <c r="G4603" i="51" s="1"/>
  <c r="G4604" i="51" a="1"/>
  <c r="G4604" i="51" s="1"/>
  <c r="G4605" i="51" a="1"/>
  <c r="G4605" i="51" s="1"/>
  <c r="G4606" i="51" a="1"/>
  <c r="G4606" i="51" s="1"/>
  <c r="G4607" i="51" a="1"/>
  <c r="G4607" i="51"/>
  <c r="G4608" i="51" a="1"/>
  <c r="G4608" i="51" s="1"/>
  <c r="G4609" i="51" a="1"/>
  <c r="G4609" i="51" s="1"/>
  <c r="G4610" i="51" a="1"/>
  <c r="G4610" i="51" s="1"/>
  <c r="G4611" i="51" a="1"/>
  <c r="G4611" i="51" s="1"/>
  <c r="G4612" i="51" a="1"/>
  <c r="G4612" i="51" s="1"/>
  <c r="G4613" i="51" a="1"/>
  <c r="G4613" i="51" s="1"/>
  <c r="G4614" i="51" a="1"/>
  <c r="G4614" i="51" s="1"/>
  <c r="G4615" i="51" a="1"/>
  <c r="G4615" i="51" s="1"/>
  <c r="G4616" i="51" a="1"/>
  <c r="G4616" i="51" s="1"/>
  <c r="G4617" i="51" a="1"/>
  <c r="G4617" i="51" s="1"/>
  <c r="G4618" i="51" a="1"/>
  <c r="G4618" i="51" s="1"/>
  <c r="G4619" i="51" a="1"/>
  <c r="G4619" i="51" s="1"/>
  <c r="G4620" i="51" a="1"/>
  <c r="G4620" i="51" s="1"/>
  <c r="G4621" i="51" a="1"/>
  <c r="G4621" i="51" s="1"/>
  <c r="G4622" i="51" a="1"/>
  <c r="G4622" i="51" s="1"/>
  <c r="G4623" i="51" a="1"/>
  <c r="G4623" i="51" s="1"/>
  <c r="G4624" i="51" a="1"/>
  <c r="G4624" i="51"/>
  <c r="G4625" i="51" a="1"/>
  <c r="G4625" i="51" s="1"/>
  <c r="G4626" i="51" a="1"/>
  <c r="G4626" i="51" s="1"/>
  <c r="G4627" i="51" a="1"/>
  <c r="G4627" i="51" s="1"/>
  <c r="G4628" i="51" a="1"/>
  <c r="G4628" i="51" s="1"/>
  <c r="G4629" i="51" a="1"/>
  <c r="G4629" i="51" s="1"/>
  <c r="G4630" i="51" a="1"/>
  <c r="G4630" i="51" s="1"/>
  <c r="G4631" i="51" a="1"/>
  <c r="G4631" i="51" s="1"/>
  <c r="G4632" i="51" a="1"/>
  <c r="G4632" i="51" s="1"/>
  <c r="G4633" i="51" a="1"/>
  <c r="G4633" i="51" s="1"/>
  <c r="G4634" i="51" a="1"/>
  <c r="G4634" i="51" s="1"/>
  <c r="G4635" i="51" a="1"/>
  <c r="G4635" i="51" s="1"/>
  <c r="G4636" i="51" a="1"/>
  <c r="G4636" i="51" s="1"/>
  <c r="G4637" i="51" a="1"/>
  <c r="G4637" i="51" s="1"/>
  <c r="G4638" i="51" a="1"/>
  <c r="G4638" i="51" s="1"/>
  <c r="G4639" i="51" a="1"/>
  <c r="G4639" i="51" s="1"/>
  <c r="G4640" i="51" a="1"/>
  <c r="G4640" i="51" s="1"/>
  <c r="G4641" i="51" a="1"/>
  <c r="G4641" i="51" s="1"/>
  <c r="G4642" i="51" a="1"/>
  <c r="G4642" i="51" s="1"/>
  <c r="G4643" i="51" a="1"/>
  <c r="G4643" i="51" s="1"/>
  <c r="G4644" i="51" a="1"/>
  <c r="G4644" i="51" s="1"/>
  <c r="G4645" i="51" a="1"/>
  <c r="G4645" i="51" s="1"/>
  <c r="G4646" i="51" a="1"/>
  <c r="G4646" i="51" s="1"/>
  <c r="G4647" i="51" a="1"/>
  <c r="G4647" i="51" s="1"/>
  <c r="G4648" i="51" a="1"/>
  <c r="G4648" i="51" s="1"/>
  <c r="G4649" i="51" a="1"/>
  <c r="G4649" i="51" s="1"/>
  <c r="G4650" i="51" a="1"/>
  <c r="G4650" i="51" s="1"/>
  <c r="G4651" i="51" a="1"/>
  <c r="G4651" i="51" s="1"/>
  <c r="G4652" i="51" a="1"/>
  <c r="G4652" i="51" s="1"/>
  <c r="G4653" i="51" a="1"/>
  <c r="G4653" i="51" s="1"/>
  <c r="G4654" i="51" a="1"/>
  <c r="G4654" i="51"/>
  <c r="G4655" i="51" a="1"/>
  <c r="G4655" i="51" s="1"/>
  <c r="G4656" i="51" a="1"/>
  <c r="G4656" i="51" s="1"/>
  <c r="G4657" i="51" a="1"/>
  <c r="G4657" i="51" s="1"/>
  <c r="G4658" i="51" a="1"/>
  <c r="G4658" i="51" s="1"/>
  <c r="G4659" i="51" a="1"/>
  <c r="G4659" i="51" s="1"/>
  <c r="G4660" i="51" a="1"/>
  <c r="G4660" i="51" s="1"/>
  <c r="G4661" i="51" a="1"/>
  <c r="G4661" i="51" s="1"/>
  <c r="G4662" i="51" a="1"/>
  <c r="G4662" i="51" s="1"/>
  <c r="G4663" i="51" a="1"/>
  <c r="G4663" i="51"/>
  <c r="G4664" i="51" a="1"/>
  <c r="G4664" i="51" s="1"/>
  <c r="G4665" i="51" a="1"/>
  <c r="G4665" i="51" s="1"/>
  <c r="G4666" i="51" a="1"/>
  <c r="G4666" i="51" s="1"/>
  <c r="G4667" i="51" a="1"/>
  <c r="G4667" i="51" s="1"/>
  <c r="G4668" i="51" a="1"/>
  <c r="G4668" i="51" s="1"/>
  <c r="G4669" i="51" a="1"/>
  <c r="G4669" i="51" s="1"/>
  <c r="G4670" i="51" a="1"/>
  <c r="G4670" i="51" s="1"/>
  <c r="G4671" i="51" a="1"/>
  <c r="G4671" i="51" s="1"/>
  <c r="G4672" i="51" a="1"/>
  <c r="G4672" i="51" s="1"/>
  <c r="G4673" i="51" a="1"/>
  <c r="G4673" i="51" s="1"/>
  <c r="G4674" i="51" a="1"/>
  <c r="G4674" i="51" s="1"/>
  <c r="G4675" i="51" a="1"/>
  <c r="G4675" i="51" s="1"/>
  <c r="G4676" i="51" a="1"/>
  <c r="G4676" i="51" s="1"/>
  <c r="G4677" i="51" a="1"/>
  <c r="G4677" i="51" s="1"/>
  <c r="G4678" i="51" a="1"/>
  <c r="G4678" i="51" s="1"/>
  <c r="G4679" i="51" a="1"/>
  <c r="G4679" i="51" s="1"/>
  <c r="G4680" i="51" a="1"/>
  <c r="G4680" i="51"/>
  <c r="G4681" i="51" a="1"/>
  <c r="G4681" i="51" s="1"/>
  <c r="G4682" i="51" a="1"/>
  <c r="G4682" i="51" s="1"/>
  <c r="G4683" i="51" a="1"/>
  <c r="G4683" i="51" s="1"/>
  <c r="G4684" i="51" a="1"/>
  <c r="G4684" i="51" s="1"/>
  <c r="G4685" i="51" a="1"/>
  <c r="G4685" i="51" s="1"/>
  <c r="G4686" i="51" a="1"/>
  <c r="G4686" i="51" s="1"/>
  <c r="G4687" i="51" a="1"/>
  <c r="G4687" i="51" s="1"/>
  <c r="G4688" i="51" a="1"/>
  <c r="G4688" i="51"/>
  <c r="G4689" i="51" a="1"/>
  <c r="G4689" i="51" s="1"/>
  <c r="G4690" i="51" a="1"/>
  <c r="G4690" i="51" s="1"/>
  <c r="G4691" i="51" a="1"/>
  <c r="G4691" i="51" s="1"/>
  <c r="G4692" i="51" a="1"/>
  <c r="G4692" i="51" s="1"/>
  <c r="G4693" i="51" a="1"/>
  <c r="G4693" i="51" s="1"/>
  <c r="G4694" i="51" a="1"/>
  <c r="G4694" i="51" s="1"/>
  <c r="G4695" i="51" a="1"/>
  <c r="G4695" i="51" s="1"/>
  <c r="G4696" i="51" a="1"/>
  <c r="G4696" i="51" s="1"/>
  <c r="G4697" i="51" a="1"/>
  <c r="G4697" i="51" s="1"/>
  <c r="G4698" i="51" a="1"/>
  <c r="G4698" i="51" s="1"/>
  <c r="G4699" i="51" a="1"/>
  <c r="G4699" i="51" s="1"/>
  <c r="G4700" i="51" a="1"/>
  <c r="G4700" i="51" s="1"/>
  <c r="G4701" i="51" a="1"/>
  <c r="G4701" i="51" s="1"/>
  <c r="G4702" i="51" a="1"/>
  <c r="G4702" i="51" s="1"/>
  <c r="G4703" i="51" a="1"/>
  <c r="G4703" i="51" s="1"/>
  <c r="G4704" i="51" a="1"/>
  <c r="G4704" i="51" s="1"/>
  <c r="G4705" i="51" a="1"/>
  <c r="G4705" i="51" s="1"/>
  <c r="G4706" i="51" a="1"/>
  <c r="G4706" i="51" s="1"/>
  <c r="G4707" i="51" a="1"/>
  <c r="G4707" i="51" s="1"/>
  <c r="G4708" i="51" a="1"/>
  <c r="G4708" i="51" s="1"/>
  <c r="G4709" i="51" a="1"/>
  <c r="G4709" i="51" s="1"/>
  <c r="G4710" i="51" a="1"/>
  <c r="G4710" i="51"/>
  <c r="G4711" i="51" a="1"/>
  <c r="G4711" i="51" s="1"/>
  <c r="G4712" i="51" a="1"/>
  <c r="G4712" i="51" s="1"/>
  <c r="G4713" i="51" a="1"/>
  <c r="G4713" i="51" s="1"/>
  <c r="G4714" i="51" a="1"/>
  <c r="G4714" i="51" s="1"/>
  <c r="G4715" i="51" a="1"/>
  <c r="G4715" i="51" s="1"/>
  <c r="G4716" i="51" a="1"/>
  <c r="G4716" i="51" s="1"/>
  <c r="G4717" i="51" a="1"/>
  <c r="G4717" i="51" s="1"/>
  <c r="G4718" i="51" a="1"/>
  <c r="G4718" i="51"/>
  <c r="G4719" i="51" a="1"/>
  <c r="G4719" i="51" s="1"/>
  <c r="G4720" i="51" a="1"/>
  <c r="G4720" i="51" s="1"/>
  <c r="G4721" i="51" a="1"/>
  <c r="G4721" i="51" s="1"/>
  <c r="G4722" i="51" a="1"/>
  <c r="G4722" i="51" s="1"/>
  <c r="G4723" i="51" a="1"/>
  <c r="G4723" i="51" s="1"/>
  <c r="G4724" i="51" a="1"/>
  <c r="G4724" i="51" s="1"/>
  <c r="G4725" i="51" a="1"/>
  <c r="G4725" i="51" s="1"/>
  <c r="G4726" i="51" a="1"/>
  <c r="G4726" i="51" s="1"/>
  <c r="G4727" i="51" a="1"/>
  <c r="G4727" i="51"/>
  <c r="G4728" i="51" a="1"/>
  <c r="G4728" i="51" s="1"/>
  <c r="G4729" i="51" a="1"/>
  <c r="G4729" i="51" s="1"/>
  <c r="G4730" i="51" a="1"/>
  <c r="G4730" i="51" s="1"/>
  <c r="G4731" i="51" a="1"/>
  <c r="G4731" i="51" s="1"/>
  <c r="G4732" i="51" a="1"/>
  <c r="G4732" i="51" s="1"/>
  <c r="G4733" i="51" a="1"/>
  <c r="G4733" i="51" s="1"/>
  <c r="G4734" i="51" a="1"/>
  <c r="G4734" i="51" s="1"/>
  <c r="G4735" i="51" a="1"/>
  <c r="G4735" i="51" s="1"/>
  <c r="G4736" i="51" a="1"/>
  <c r="G4736" i="51" s="1"/>
  <c r="G4737" i="51" a="1"/>
  <c r="G4737" i="51" s="1"/>
  <c r="G4738" i="51" a="1"/>
  <c r="G4738" i="51" s="1"/>
  <c r="G4739" i="51" a="1"/>
  <c r="G4739" i="51" s="1"/>
  <c r="G4740" i="51" a="1"/>
  <c r="G4740" i="51" s="1"/>
  <c r="G4741" i="51" a="1"/>
  <c r="G4741" i="51" s="1"/>
  <c r="G4742" i="51" a="1"/>
  <c r="G4742" i="51" s="1"/>
  <c r="G4743" i="51" a="1"/>
  <c r="G4743" i="51" s="1"/>
  <c r="G4744" i="51" a="1"/>
  <c r="G4744" i="51" s="1"/>
  <c r="G4745" i="51" a="1"/>
  <c r="G4745" i="51" s="1"/>
  <c r="G4746" i="51" a="1"/>
  <c r="G4746" i="51" s="1"/>
  <c r="G4747" i="51" a="1"/>
  <c r="G4747" i="51" s="1"/>
  <c r="G4748" i="51" a="1"/>
  <c r="G4748" i="51" s="1"/>
  <c r="G4749" i="51" a="1"/>
  <c r="G4749" i="51" s="1"/>
  <c r="G4750" i="51" a="1"/>
  <c r="G4750" i="51" s="1"/>
  <c r="G4751" i="51" a="1"/>
  <c r="G4751" i="51" s="1"/>
  <c r="G4752" i="51" a="1"/>
  <c r="G4752" i="51" s="1"/>
  <c r="G4753" i="51" a="1"/>
  <c r="G4753" i="51" s="1"/>
  <c r="G4754" i="51" a="1"/>
  <c r="G4754" i="51" s="1"/>
  <c r="G4755" i="51" a="1"/>
  <c r="G4755" i="51" s="1"/>
  <c r="G4756" i="51" a="1"/>
  <c r="G4756" i="51" s="1"/>
  <c r="G4757" i="51" a="1"/>
  <c r="G4757" i="51" s="1"/>
  <c r="G4758" i="51" a="1"/>
  <c r="G4758" i="51" s="1"/>
  <c r="G4759" i="51" a="1"/>
  <c r="G4759" i="51" s="1"/>
  <c r="G4760" i="51" a="1"/>
  <c r="G4760" i="51" s="1"/>
  <c r="G4761" i="51" a="1"/>
  <c r="G4761" i="51" s="1"/>
  <c r="G4762" i="51" a="1"/>
  <c r="G4762" i="51" s="1"/>
  <c r="G4763" i="51" a="1"/>
  <c r="G4763" i="51" s="1"/>
  <c r="G4764" i="51" a="1"/>
  <c r="G4764" i="51" s="1"/>
  <c r="G4765" i="51" a="1"/>
  <c r="G4765" i="51" s="1"/>
  <c r="G4766" i="51" a="1"/>
  <c r="G4766" i="51" s="1"/>
  <c r="G4767" i="51" a="1"/>
  <c r="G4767" i="51" s="1"/>
  <c r="G4768" i="51" a="1"/>
  <c r="G4768" i="51" s="1"/>
  <c r="G4769" i="51" a="1"/>
  <c r="G4769" i="51" s="1"/>
  <c r="G4770" i="51" a="1"/>
  <c r="G4770" i="51" s="1"/>
  <c r="G4771" i="51" a="1"/>
  <c r="G4771" i="51" s="1"/>
  <c r="G4772" i="51" a="1"/>
  <c r="G4772" i="51" s="1"/>
  <c r="G4773" i="51" a="1"/>
  <c r="G4773" i="51" s="1"/>
  <c r="G4774" i="51" a="1"/>
  <c r="G4774" i="51" s="1"/>
  <c r="G4775" i="51" a="1"/>
  <c r="G4775" i="51" s="1"/>
  <c r="G4776" i="51" a="1"/>
  <c r="G4776" i="51" s="1"/>
  <c r="G4777" i="51" a="1"/>
  <c r="G4777" i="51" s="1"/>
  <c r="G4778" i="51" a="1"/>
  <c r="G4778" i="51" s="1"/>
  <c r="G4779" i="51" a="1"/>
  <c r="G4779" i="51" s="1"/>
  <c r="G4780" i="51" a="1"/>
  <c r="G4780" i="51" s="1"/>
  <c r="G4781" i="51" a="1"/>
  <c r="G4781" i="51" s="1"/>
  <c r="G4782" i="51" a="1"/>
  <c r="G4782" i="51" s="1"/>
  <c r="G4783" i="51" a="1"/>
  <c r="G4783" i="51" s="1"/>
  <c r="G4784" i="51" a="1"/>
  <c r="G4784" i="51" s="1"/>
  <c r="G4785" i="51" a="1"/>
  <c r="G4785" i="51" s="1"/>
  <c r="G4786" i="51" a="1"/>
  <c r="G4786" i="51" s="1"/>
  <c r="G4787" i="51" a="1"/>
  <c r="G4787" i="51" s="1"/>
  <c r="G4788" i="51" a="1"/>
  <c r="G4788" i="51" s="1"/>
  <c r="G4789" i="51" a="1"/>
  <c r="G4789" i="51" s="1"/>
  <c r="G4790" i="51" a="1"/>
  <c r="G4790" i="51" s="1"/>
  <c r="G4791" i="51" a="1"/>
  <c r="G4791" i="51"/>
  <c r="G4792" i="51" a="1"/>
  <c r="G4792" i="51" s="1"/>
  <c r="G4793" i="51" a="1"/>
  <c r="G4793" i="51" s="1"/>
  <c r="G4794" i="51" a="1"/>
  <c r="G4794" i="51" s="1"/>
  <c r="G4795" i="51" a="1"/>
  <c r="G4795" i="51" s="1"/>
  <c r="G4796" i="51" a="1"/>
  <c r="G4796" i="51" s="1"/>
  <c r="G4797" i="51" a="1"/>
  <c r="G4797" i="51" s="1"/>
  <c r="G4798" i="51" a="1"/>
  <c r="G4798" i="51" s="1"/>
  <c r="G4799" i="51" a="1"/>
  <c r="G4799" i="51" s="1"/>
  <c r="G4800" i="51" a="1"/>
  <c r="G4800" i="51" s="1"/>
  <c r="G4801" i="51" a="1"/>
  <c r="G4801" i="51" s="1"/>
  <c r="G4802" i="51" a="1"/>
  <c r="G4802" i="51" s="1"/>
  <c r="G4803" i="51" a="1"/>
  <c r="G4803" i="51" s="1"/>
  <c r="G4804" i="51" a="1"/>
  <c r="G4804" i="51" s="1"/>
  <c r="G4805" i="51" a="1"/>
  <c r="G4805" i="51" s="1"/>
  <c r="G4806" i="51" a="1"/>
  <c r="G4806" i="51" s="1"/>
  <c r="G4807" i="51" a="1"/>
  <c r="G4807" i="51" s="1"/>
  <c r="G4808" i="51" a="1"/>
  <c r="G4808" i="51" s="1"/>
  <c r="G4809" i="51" a="1"/>
  <c r="G4809" i="51" s="1"/>
  <c r="G4810" i="51" a="1"/>
  <c r="G4810" i="51" s="1"/>
  <c r="G4811" i="51" a="1"/>
  <c r="G4811" i="51" s="1"/>
  <c r="G4812" i="51" a="1"/>
  <c r="G4812" i="51" s="1"/>
  <c r="G4813" i="51" a="1"/>
  <c r="G4813" i="51" s="1"/>
  <c r="G4814" i="51" a="1"/>
  <c r="G4814" i="51" s="1"/>
  <c r="G4815" i="51" a="1"/>
  <c r="G4815" i="51" s="1"/>
  <c r="G4816" i="51" a="1"/>
  <c r="G4816" i="51"/>
  <c r="G4817" i="51" a="1"/>
  <c r="G4817" i="51" s="1"/>
  <c r="G4818" i="51" a="1"/>
  <c r="G4818" i="51" s="1"/>
  <c r="G4819" i="51" a="1"/>
  <c r="G4819" i="51" s="1"/>
  <c r="G4820" i="51" a="1"/>
  <c r="G4820" i="51" s="1"/>
  <c r="G4821" i="51" a="1"/>
  <c r="G4821" i="51" s="1"/>
  <c r="G4822" i="51" a="1"/>
  <c r="G4822" i="51" s="1"/>
  <c r="G4823" i="51" a="1"/>
  <c r="G4823" i="51" s="1"/>
  <c r="G4824" i="51" a="1"/>
  <c r="G4824" i="51" s="1"/>
  <c r="G4825" i="51" a="1"/>
  <c r="G4825" i="51" s="1"/>
  <c r="G4826" i="51" a="1"/>
  <c r="G4826" i="51" s="1"/>
  <c r="G4827" i="51" a="1"/>
  <c r="G4827" i="51" s="1"/>
  <c r="G4828" i="51" a="1"/>
  <c r="G4828" i="51" s="1"/>
  <c r="G4829" i="51" a="1"/>
  <c r="G4829" i="51" s="1"/>
  <c r="G4830" i="51" a="1"/>
  <c r="G4830" i="51" s="1"/>
  <c r="G4831" i="51" a="1"/>
  <c r="G4831" i="51" s="1"/>
  <c r="G4832" i="51" a="1"/>
  <c r="G4832" i="51" s="1"/>
  <c r="G4833" i="51" a="1"/>
  <c r="G4833" i="51" s="1"/>
  <c r="G4834" i="51" a="1"/>
  <c r="G4834" i="51" s="1"/>
  <c r="G4835" i="51" a="1"/>
  <c r="G4835" i="51" s="1"/>
  <c r="G4836" i="51" a="1"/>
  <c r="G4836" i="51" s="1"/>
  <c r="G4837" i="51" a="1"/>
  <c r="G4837" i="51" s="1"/>
  <c r="G4838" i="51" a="1"/>
  <c r="G4838" i="51" s="1"/>
  <c r="G4839" i="51" a="1"/>
  <c r="G4839" i="51" s="1"/>
  <c r="G4840" i="51" a="1"/>
  <c r="G4840" i="51" s="1"/>
  <c r="G4841" i="51" a="1"/>
  <c r="G4841" i="51" s="1"/>
  <c r="G4842" i="51" a="1"/>
  <c r="G4842" i="51" s="1"/>
  <c r="G4843" i="51" a="1"/>
  <c r="G4843" i="51" s="1"/>
  <c r="G4844" i="51" a="1"/>
  <c r="G4844" i="51" s="1"/>
  <c r="G4845" i="51" a="1"/>
  <c r="G4845" i="51" s="1"/>
  <c r="G4846" i="51" a="1"/>
  <c r="G4846" i="51"/>
  <c r="G4847" i="51" a="1"/>
  <c r="G4847" i="51" s="1"/>
  <c r="G4848" i="51" a="1"/>
  <c r="G4848" i="51" s="1"/>
  <c r="G4849" i="51" a="1"/>
  <c r="G4849" i="51" s="1"/>
  <c r="G4850" i="51" a="1"/>
  <c r="G4850" i="51" s="1"/>
  <c r="G4851" i="51" a="1"/>
  <c r="G4851" i="51" s="1"/>
  <c r="G4852" i="51" a="1"/>
  <c r="G4852" i="51" s="1"/>
  <c r="G4853" i="51" a="1"/>
  <c r="G4853" i="51" s="1"/>
  <c r="G4854" i="51" a="1"/>
  <c r="G4854" i="51" s="1"/>
  <c r="G4855" i="51" a="1"/>
  <c r="G4855" i="51" s="1"/>
  <c r="G4856" i="51" a="1"/>
  <c r="G4856" i="51" s="1"/>
  <c r="G4857" i="51" a="1"/>
  <c r="G4857" i="51" s="1"/>
  <c r="G4858" i="51" a="1"/>
  <c r="G4858" i="51" s="1"/>
  <c r="G4859" i="51" a="1"/>
  <c r="G4859" i="51" s="1"/>
  <c r="G4860" i="51" a="1"/>
  <c r="G4860" i="51" s="1"/>
  <c r="G4861" i="51" a="1"/>
  <c r="G4861" i="51" s="1"/>
  <c r="G4862" i="51" a="1"/>
  <c r="G4862" i="51" s="1"/>
  <c r="G4863" i="51" a="1"/>
  <c r="G4863" i="51"/>
  <c r="G4864" i="51" a="1"/>
  <c r="G4864" i="51" s="1"/>
  <c r="G4865" i="51" a="1"/>
  <c r="G4865" i="51" s="1"/>
  <c r="G4866" i="51" a="1"/>
  <c r="G4866" i="51" s="1"/>
  <c r="G4867" i="51" a="1"/>
  <c r="G4867" i="51" s="1"/>
  <c r="G4868" i="51" a="1"/>
  <c r="G4868" i="51" s="1"/>
  <c r="G4869" i="51" a="1"/>
  <c r="G4869" i="51" s="1"/>
  <c r="G4870" i="51" a="1"/>
  <c r="G4870" i="51" s="1"/>
  <c r="G4871" i="51" a="1"/>
  <c r="G4871" i="51" s="1"/>
  <c r="G4872" i="51" a="1"/>
  <c r="G4872" i="51" s="1"/>
  <c r="G4873" i="51" a="1"/>
  <c r="G4873" i="51" s="1"/>
  <c r="G4874" i="51" a="1"/>
  <c r="G4874" i="51" s="1"/>
  <c r="G4875" i="51" a="1"/>
  <c r="G4875" i="51" s="1"/>
  <c r="G4876" i="51" a="1"/>
  <c r="G4876" i="51" s="1"/>
  <c r="G4877" i="51" a="1"/>
  <c r="G4877" i="51" s="1"/>
  <c r="G4878" i="51" a="1"/>
  <c r="G4878" i="51" s="1"/>
  <c r="G4879" i="51" a="1"/>
  <c r="G4879" i="51" s="1"/>
  <c r="G4880" i="51" a="1"/>
  <c r="G4880" i="51"/>
  <c r="G4881" i="51" a="1"/>
  <c r="G4881" i="51" s="1"/>
  <c r="G4882" i="51" a="1"/>
  <c r="G4882" i="51" s="1"/>
  <c r="G4883" i="51" a="1"/>
  <c r="G4883" i="51" s="1"/>
  <c r="G4884" i="51" a="1"/>
  <c r="G4884" i="51" s="1"/>
  <c r="G4885" i="51" a="1"/>
  <c r="G4885" i="51" s="1"/>
  <c r="G4886" i="51" a="1"/>
  <c r="G4886" i="51" s="1"/>
  <c r="G4887" i="51" a="1"/>
  <c r="G4887" i="51" s="1"/>
  <c r="G4888" i="51" a="1"/>
  <c r="G4888" i="51" s="1"/>
  <c r="G4889" i="51" a="1"/>
  <c r="G4889" i="51" s="1"/>
  <c r="G4890" i="51" a="1"/>
  <c r="G4890" i="51" s="1"/>
  <c r="G4891" i="51" a="1"/>
  <c r="G4891" i="51" s="1"/>
  <c r="G4892" i="51" a="1"/>
  <c r="G4892" i="51" s="1"/>
  <c r="G4893" i="51" a="1"/>
  <c r="G4893" i="51" s="1"/>
  <c r="G4894" i="51" a="1"/>
  <c r="G4894" i="51" s="1"/>
  <c r="G4895" i="51" a="1"/>
  <c r="G4895" i="51" s="1"/>
  <c r="G4896" i="51" a="1"/>
  <c r="G4896" i="51" s="1"/>
  <c r="G4897" i="51" a="1"/>
  <c r="G4897" i="51" s="1"/>
  <c r="G4898" i="51" a="1"/>
  <c r="G4898" i="51" s="1"/>
  <c r="G4899" i="51" a="1"/>
  <c r="G4899" i="51" s="1"/>
  <c r="G4900" i="51" a="1"/>
  <c r="G4900" i="51" s="1"/>
  <c r="G4901" i="51" a="1"/>
  <c r="G4901" i="51" s="1"/>
  <c r="G4902" i="51" a="1"/>
  <c r="G4902" i="51" s="1"/>
  <c r="G4903" i="51" a="1"/>
  <c r="G4903" i="51" s="1"/>
  <c r="G4904" i="51" a="1"/>
  <c r="G4904" i="51" s="1"/>
  <c r="G4905" i="51" a="1"/>
  <c r="G4905" i="51" s="1"/>
  <c r="G4906" i="51" a="1"/>
  <c r="G4906" i="51" s="1"/>
  <c r="G4907" i="51" a="1"/>
  <c r="G4907" i="51" s="1"/>
  <c r="G4908" i="51" a="1"/>
  <c r="G4908" i="51" s="1"/>
  <c r="G4909" i="51" a="1"/>
  <c r="G4909" i="51" s="1"/>
  <c r="G4910" i="51" a="1"/>
  <c r="G4910" i="51"/>
  <c r="G4911" i="51" a="1"/>
  <c r="G4911" i="51" s="1"/>
  <c r="G4912" i="51" a="1"/>
  <c r="G4912" i="51" s="1"/>
  <c r="G4913" i="51" a="1"/>
  <c r="G4913" i="51" s="1"/>
  <c r="G4914" i="51" a="1"/>
  <c r="G4914" i="51" s="1"/>
  <c r="G4915" i="51" a="1"/>
  <c r="G4915" i="51" s="1"/>
  <c r="G4916" i="51" a="1"/>
  <c r="G4916" i="51" s="1"/>
  <c r="G4917" i="51" a="1"/>
  <c r="G4917" i="51" s="1"/>
  <c r="G4918" i="51" a="1"/>
  <c r="G4918" i="51" s="1"/>
  <c r="G4919" i="51" a="1"/>
  <c r="G4919" i="51"/>
  <c r="G4920" i="51" a="1"/>
  <c r="G4920" i="51" s="1"/>
  <c r="G4921" i="51" a="1"/>
  <c r="G4921" i="51" s="1"/>
  <c r="G4922" i="51" a="1"/>
  <c r="G4922" i="51" s="1"/>
  <c r="G4923" i="51" a="1"/>
  <c r="G4923" i="51" s="1"/>
  <c r="G4924" i="51" a="1"/>
  <c r="G4924" i="51" s="1"/>
  <c r="G4925" i="51" a="1"/>
  <c r="G4925" i="51" s="1"/>
  <c r="G4926" i="51" a="1"/>
  <c r="G4926" i="51" s="1"/>
  <c r="G4927" i="51" a="1"/>
  <c r="G4927" i="51" s="1"/>
  <c r="G4928" i="51" a="1"/>
  <c r="G4928" i="51" s="1"/>
  <c r="G4929" i="51" a="1"/>
  <c r="G4929" i="51" s="1"/>
  <c r="G4930" i="51" a="1"/>
  <c r="G4930" i="51" s="1"/>
  <c r="G4931" i="51" a="1"/>
  <c r="G4931" i="51" s="1"/>
  <c r="G4932" i="51" a="1"/>
  <c r="G4932" i="51" s="1"/>
  <c r="G4933" i="51" a="1"/>
  <c r="G4933" i="51" s="1"/>
  <c r="G4934" i="51" a="1"/>
  <c r="G4934" i="51" s="1"/>
  <c r="G4935" i="51" a="1"/>
  <c r="G4935" i="51" s="1"/>
  <c r="G4936" i="51" a="1"/>
  <c r="G4936" i="51"/>
  <c r="G4937" i="51" a="1"/>
  <c r="G4937" i="51" s="1"/>
  <c r="G4938" i="51" a="1"/>
  <c r="G4938" i="51" s="1"/>
  <c r="G4939" i="51" a="1"/>
  <c r="G4939" i="51" s="1"/>
  <c r="G4940" i="51" a="1"/>
  <c r="G4940" i="51" s="1"/>
  <c r="G4941" i="51" a="1"/>
  <c r="G4941" i="51" s="1"/>
  <c r="G4942" i="51" a="1"/>
  <c r="G4942" i="51" s="1"/>
  <c r="G4943" i="51" a="1"/>
  <c r="G4943" i="51" s="1"/>
  <c r="G4944" i="51" a="1"/>
  <c r="G4944" i="51"/>
  <c r="G4945" i="51" a="1"/>
  <c r="G4945" i="51" s="1"/>
  <c r="G4946" i="51" a="1"/>
  <c r="G4946" i="51" s="1"/>
  <c r="G4947" i="51" a="1"/>
  <c r="G4947" i="51" s="1"/>
  <c r="G4948" i="51" a="1"/>
  <c r="G4948" i="51" s="1"/>
  <c r="G4949" i="51" a="1"/>
  <c r="G4949" i="51" s="1"/>
  <c r="G4950" i="51" a="1"/>
  <c r="G4950" i="51" s="1"/>
  <c r="G4951" i="51" a="1"/>
  <c r="G4951" i="51" s="1"/>
  <c r="G4952" i="51" a="1"/>
  <c r="G4952" i="51" s="1"/>
  <c r="G4953" i="51" a="1"/>
  <c r="G4953" i="51" s="1"/>
  <c r="G4954" i="51" a="1"/>
  <c r="G4954" i="51" s="1"/>
  <c r="G4955" i="51" a="1"/>
  <c r="G4955" i="51" s="1"/>
  <c r="G4956" i="51" a="1"/>
  <c r="G4956" i="51" s="1"/>
  <c r="G4957" i="51" a="1"/>
  <c r="G4957" i="51" s="1"/>
  <c r="G4958" i="51" a="1"/>
  <c r="G4958" i="51" s="1"/>
  <c r="G4959" i="51" a="1"/>
  <c r="G4959" i="51" s="1"/>
  <c r="G4960" i="51" a="1"/>
  <c r="G4960" i="51" s="1"/>
  <c r="G4961" i="51" a="1"/>
  <c r="G4961" i="51" s="1"/>
  <c r="G4962" i="51" a="1"/>
  <c r="G4962" i="51" s="1"/>
  <c r="G4963" i="51" a="1"/>
  <c r="G4963" i="51" s="1"/>
  <c r="G4964" i="51" a="1"/>
  <c r="G4964" i="51" s="1"/>
  <c r="G4965" i="51" a="1"/>
  <c r="G4965" i="51" s="1"/>
  <c r="G4966" i="51" a="1"/>
  <c r="G4966" i="51"/>
  <c r="G4967" i="51" a="1"/>
  <c r="G4967" i="51" s="1"/>
  <c r="G4968" i="51" a="1"/>
  <c r="G4968" i="51" s="1"/>
  <c r="G4969" i="51" a="1"/>
  <c r="G4969" i="51" s="1"/>
  <c r="G4970" i="51" a="1"/>
  <c r="G4970" i="51" s="1"/>
  <c r="G4971" i="51" a="1"/>
  <c r="G4971" i="51" s="1"/>
  <c r="G4972" i="51" a="1"/>
  <c r="G4972" i="51" s="1"/>
  <c r="G4973" i="51" a="1"/>
  <c r="G4973" i="51" s="1"/>
  <c r="G4974" i="51" a="1"/>
  <c r="G4974" i="51"/>
  <c r="G4975" i="51" a="1"/>
  <c r="G4975" i="51" s="1"/>
  <c r="G4976" i="51" a="1"/>
  <c r="G4976" i="51" s="1"/>
  <c r="G4977" i="51" a="1"/>
  <c r="G4977" i="51" s="1"/>
  <c r="G4978" i="51" a="1"/>
  <c r="G4978" i="51" s="1"/>
  <c r="G4979" i="51" a="1"/>
  <c r="G4979" i="51" s="1"/>
  <c r="G4980" i="51" a="1"/>
  <c r="G4980" i="51" s="1"/>
  <c r="G4981" i="51" a="1"/>
  <c r="G4981" i="51" s="1"/>
  <c r="G4982" i="51" a="1"/>
  <c r="G4982" i="51" s="1"/>
  <c r="G4983" i="51" a="1"/>
  <c r="G4983" i="51"/>
  <c r="G4984" i="51" a="1"/>
  <c r="G4984" i="51" s="1"/>
  <c r="G4985" i="51" a="1"/>
  <c r="G4985" i="51" s="1"/>
  <c r="G4986" i="51" a="1"/>
  <c r="G4986" i="51" s="1"/>
  <c r="G4987" i="51" a="1"/>
  <c r="G4987" i="51" s="1"/>
  <c r="G4988" i="51" a="1"/>
  <c r="G4988" i="51" s="1"/>
  <c r="G4989" i="51" a="1"/>
  <c r="G4989" i="51" s="1"/>
  <c r="G4990" i="51" a="1"/>
  <c r="G4990" i="51" s="1"/>
  <c r="G4991" i="51" a="1"/>
  <c r="G4991" i="51" s="1"/>
  <c r="G4992" i="51" a="1"/>
  <c r="G4992" i="51" s="1"/>
  <c r="G4993" i="51" a="1"/>
  <c r="G4993" i="51" s="1"/>
  <c r="G4994" i="51" a="1"/>
  <c r="G4994" i="51" s="1"/>
  <c r="G4995" i="51" a="1"/>
  <c r="G4995" i="51" s="1"/>
  <c r="G4996" i="51" a="1"/>
  <c r="G4996" i="51" s="1"/>
  <c r="G4997" i="51" a="1"/>
  <c r="G4997" i="51" s="1"/>
  <c r="G4998" i="51" a="1"/>
  <c r="G4998" i="51" s="1"/>
  <c r="G4999" i="51" a="1"/>
  <c r="G4999" i="51" s="1"/>
  <c r="G5000" i="51" a="1"/>
  <c r="G5000" i="51" s="1"/>
  <c r="G5001" i="51" a="1"/>
  <c r="G5001" i="51" s="1"/>
  <c r="G5002" i="51" a="1"/>
  <c r="G5002" i="51" s="1"/>
  <c r="G5003" i="51" a="1"/>
  <c r="G5003" i="51" s="1"/>
  <c r="G5004" i="51" a="1"/>
  <c r="G5004" i="51" s="1"/>
  <c r="G5005" i="51" a="1"/>
  <c r="G5005" i="51" s="1"/>
  <c r="G5006" i="51" a="1"/>
  <c r="G5006" i="51" s="1"/>
  <c r="G5007" i="51" a="1"/>
  <c r="G5007" i="51" s="1"/>
  <c r="H2008" i="51" a="1"/>
  <c r="H2008" i="51" s="1"/>
  <c r="H2009" i="51" a="1"/>
  <c r="H2009" i="51" s="1"/>
  <c r="H2010" i="51" a="1"/>
  <c r="H2010" i="51" s="1"/>
  <c r="H2011" i="51" a="1"/>
  <c r="H2011" i="51" s="1"/>
  <c r="H2012" i="51" a="1"/>
  <c r="H2012" i="51" s="1"/>
  <c r="H2013" i="51" a="1"/>
  <c r="H2013" i="51" s="1"/>
  <c r="H2014" i="51" a="1"/>
  <c r="H2014" i="51" s="1"/>
  <c r="H2015" i="51" a="1"/>
  <c r="H2015" i="51" s="1"/>
  <c r="H2016" i="51" a="1"/>
  <c r="H2016" i="51" s="1"/>
  <c r="H2017" i="51" a="1"/>
  <c r="H2017" i="51" s="1"/>
  <c r="H2018" i="51" a="1"/>
  <c r="H2018" i="51" s="1"/>
  <c r="H2019" i="51" a="1"/>
  <c r="H2019" i="51" s="1"/>
  <c r="H2020" i="51" a="1"/>
  <c r="H2020" i="51" s="1"/>
  <c r="H2021" i="51" a="1"/>
  <c r="H2021" i="51" s="1"/>
  <c r="H2022" i="51" a="1"/>
  <c r="H2022" i="51" s="1"/>
  <c r="H2023" i="51" a="1"/>
  <c r="H2023" i="51" s="1"/>
  <c r="H2024" i="51" a="1"/>
  <c r="H2024" i="51" s="1"/>
  <c r="H2025" i="51" a="1"/>
  <c r="H2025" i="51" s="1"/>
  <c r="H2026" i="51" a="1"/>
  <c r="H2026" i="51" s="1"/>
  <c r="H2027" i="51" a="1"/>
  <c r="H2027" i="51" s="1"/>
  <c r="H2028" i="51" a="1"/>
  <c r="H2028" i="51" s="1"/>
  <c r="H2029" i="51" a="1"/>
  <c r="H2029" i="51" s="1"/>
  <c r="H2030" i="51" a="1"/>
  <c r="H2030" i="51" s="1"/>
  <c r="H2031" i="51" a="1"/>
  <c r="H2031" i="51" s="1"/>
  <c r="H2032" i="51" a="1"/>
  <c r="H2032" i="51" s="1"/>
  <c r="H2033" i="51" a="1"/>
  <c r="H2033" i="51" s="1"/>
  <c r="H2034" i="51" a="1"/>
  <c r="H2034" i="51" s="1"/>
  <c r="H2035" i="51" a="1"/>
  <c r="H2035" i="51" s="1"/>
  <c r="H2036" i="51" a="1"/>
  <c r="H2036" i="51" s="1"/>
  <c r="H2037" i="51" a="1"/>
  <c r="H2037" i="51" s="1"/>
  <c r="H2038" i="51" a="1"/>
  <c r="H2038" i="51"/>
  <c r="H2039" i="51" a="1"/>
  <c r="H2039" i="51" s="1"/>
  <c r="H2040" i="51" a="1"/>
  <c r="H2040" i="51" s="1"/>
  <c r="H2041" i="51" a="1"/>
  <c r="H2041" i="51" s="1"/>
  <c r="H2042" i="51" a="1"/>
  <c r="H2042" i="51" s="1"/>
  <c r="H2043" i="51" a="1"/>
  <c r="H2043" i="51" s="1"/>
  <c r="H2044" i="51" a="1"/>
  <c r="H2044" i="51" s="1"/>
  <c r="H2045" i="51" a="1"/>
  <c r="H2045" i="51" s="1"/>
  <c r="H2046" i="51" a="1"/>
  <c r="H2046" i="51" s="1"/>
  <c r="H2047" i="51" a="1"/>
  <c r="H2047" i="51" s="1"/>
  <c r="H2048" i="51" a="1"/>
  <c r="H2048" i="51" s="1"/>
  <c r="H2049" i="51" a="1"/>
  <c r="H2049" i="51" s="1"/>
  <c r="H2050" i="51" a="1"/>
  <c r="H2050" i="51" s="1"/>
  <c r="H2051" i="51" a="1"/>
  <c r="H2051" i="51" s="1"/>
  <c r="H2052" i="51" a="1"/>
  <c r="H2052" i="51" s="1"/>
  <c r="H2053" i="51" a="1"/>
  <c r="H2053" i="51" s="1"/>
  <c r="H2054" i="51" a="1"/>
  <c r="H2054" i="51" s="1"/>
  <c r="H2055" i="51" a="1"/>
  <c r="H2055" i="51"/>
  <c r="H2056" i="51" a="1"/>
  <c r="H2056" i="51" s="1"/>
  <c r="H2057" i="51" a="1"/>
  <c r="H2057" i="51" s="1"/>
  <c r="H2058" i="51" a="1"/>
  <c r="H2058" i="51" s="1"/>
  <c r="H2059" i="51" a="1"/>
  <c r="H2059" i="51" s="1"/>
  <c r="H2060" i="51" a="1"/>
  <c r="H2060" i="51" s="1"/>
  <c r="H2061" i="51" a="1"/>
  <c r="H2061" i="51" s="1"/>
  <c r="H2062" i="51" a="1"/>
  <c r="H2062" i="51" s="1"/>
  <c r="H2063" i="51" a="1"/>
  <c r="H2063" i="51" s="1"/>
  <c r="H2064" i="51" a="1"/>
  <c r="H2064" i="51"/>
  <c r="H2065" i="51" a="1"/>
  <c r="H2065" i="51" s="1"/>
  <c r="H2066" i="51" a="1"/>
  <c r="H2066" i="51" s="1"/>
  <c r="H2067" i="51" a="1"/>
  <c r="H2067" i="51" s="1"/>
  <c r="H2068" i="51" a="1"/>
  <c r="H2068" i="51" s="1"/>
  <c r="H2069" i="51" a="1"/>
  <c r="H2069" i="51" s="1"/>
  <c r="H2070" i="51" a="1"/>
  <c r="H2070" i="51" s="1"/>
  <c r="H2071" i="51" a="1"/>
  <c r="H2071" i="51" s="1"/>
  <c r="H2072" i="51" a="1"/>
  <c r="H2072" i="51" s="1"/>
  <c r="H2073" i="51" a="1"/>
  <c r="H2073" i="51" s="1"/>
  <c r="H2074" i="51" a="1"/>
  <c r="H2074" i="51" s="1"/>
  <c r="H2075" i="51" a="1"/>
  <c r="H2075" i="51" s="1"/>
  <c r="H2076" i="51" a="1"/>
  <c r="H2076" i="51" s="1"/>
  <c r="H2077" i="51" a="1"/>
  <c r="H2077" i="51" s="1"/>
  <c r="H2078" i="51" a="1"/>
  <c r="H2078" i="51" s="1"/>
  <c r="H2079" i="51" a="1"/>
  <c r="H2079" i="51" s="1"/>
  <c r="H2080" i="51" a="1"/>
  <c r="H2080" i="51" s="1"/>
  <c r="H2081" i="51" a="1"/>
  <c r="H2081" i="51" s="1"/>
  <c r="H2082" i="51" a="1"/>
  <c r="H2082" i="51" s="1"/>
  <c r="H2083" i="51" a="1"/>
  <c r="H2083" i="51" s="1"/>
  <c r="H2084" i="51" a="1"/>
  <c r="H2084" i="51" s="1"/>
  <c r="H2085" i="51" a="1"/>
  <c r="H2085" i="51" s="1"/>
  <c r="H2086" i="51" a="1"/>
  <c r="H2086" i="51" s="1"/>
  <c r="H2087" i="51" a="1"/>
  <c r="H2087" i="51" s="1"/>
  <c r="H2088" i="51" a="1"/>
  <c r="H2088" i="51" s="1"/>
  <c r="H2089" i="51" a="1"/>
  <c r="H2089" i="51" s="1"/>
  <c r="H2090" i="51" a="1"/>
  <c r="H2090" i="51" s="1"/>
  <c r="H2091" i="51" a="1"/>
  <c r="H2091" i="51" s="1"/>
  <c r="H2092" i="51" a="1"/>
  <c r="H2092" i="51" s="1"/>
  <c r="H2093" i="51" a="1"/>
  <c r="H2093" i="51" s="1"/>
  <c r="H2094" i="51" a="1"/>
  <c r="H2094" i="51" s="1"/>
  <c r="H2095" i="51" a="1"/>
  <c r="H2095" i="51" s="1"/>
  <c r="H2096" i="51" a="1"/>
  <c r="H2096" i="51" s="1"/>
  <c r="H2097" i="51" a="1"/>
  <c r="H2097" i="51" s="1"/>
  <c r="H2098" i="51" a="1"/>
  <c r="H2098" i="51" s="1"/>
  <c r="H2099" i="51" a="1"/>
  <c r="H2099" i="51" s="1"/>
  <c r="H2100" i="51" a="1"/>
  <c r="H2100" i="51" s="1"/>
  <c r="H2101" i="51" a="1"/>
  <c r="H2101" i="51" s="1"/>
  <c r="H2102" i="51" a="1"/>
  <c r="H2102" i="51"/>
  <c r="H2103" i="51" a="1"/>
  <c r="H2103" i="51" s="1"/>
  <c r="H2104" i="51" a="1"/>
  <c r="H2104" i="51" s="1"/>
  <c r="H2105" i="51" a="1"/>
  <c r="H2105" i="51" s="1"/>
  <c r="H2106" i="51" a="1"/>
  <c r="H2106" i="51" s="1"/>
  <c r="H2107" i="51" a="1"/>
  <c r="H2107" i="51" s="1"/>
  <c r="H2108" i="51" a="1"/>
  <c r="H2108" i="51" s="1"/>
  <c r="H2109" i="51" a="1"/>
  <c r="H2109" i="51" s="1"/>
  <c r="H2110" i="51" a="1"/>
  <c r="H2110" i="51" s="1"/>
  <c r="H2111" i="51" a="1"/>
  <c r="H2111" i="51" s="1"/>
  <c r="H2112" i="51" a="1"/>
  <c r="H2112" i="51" s="1"/>
  <c r="H2113" i="51" a="1"/>
  <c r="H2113" i="51" s="1"/>
  <c r="H2114" i="51" a="1"/>
  <c r="H2114" i="51" s="1"/>
  <c r="H2115" i="51" a="1"/>
  <c r="H2115" i="51" s="1"/>
  <c r="H2116" i="51" a="1"/>
  <c r="H2116" i="51" s="1"/>
  <c r="H2117" i="51" a="1"/>
  <c r="H2117" i="51" s="1"/>
  <c r="H2118" i="51" a="1"/>
  <c r="H2118" i="51" s="1"/>
  <c r="H2119" i="51" a="1"/>
  <c r="H2119" i="51"/>
  <c r="H2120" i="51" a="1"/>
  <c r="H2120" i="51" s="1"/>
  <c r="H2121" i="51" a="1"/>
  <c r="H2121" i="51" s="1"/>
  <c r="H2122" i="51" a="1"/>
  <c r="H2122" i="51" s="1"/>
  <c r="H2123" i="51" a="1"/>
  <c r="H2123" i="51" s="1"/>
  <c r="H2124" i="51" a="1"/>
  <c r="H2124" i="51" s="1"/>
  <c r="H2125" i="51" a="1"/>
  <c r="H2125" i="51" s="1"/>
  <c r="H2126" i="51" a="1"/>
  <c r="H2126" i="51" s="1"/>
  <c r="H2127" i="51" a="1"/>
  <c r="H2127" i="51" s="1"/>
  <c r="H2128" i="51" a="1"/>
  <c r="H2128" i="51"/>
  <c r="H2129" i="51" a="1"/>
  <c r="H2129" i="51" s="1"/>
  <c r="H2130" i="51" a="1"/>
  <c r="H2130" i="51" s="1"/>
  <c r="H2131" i="51" a="1"/>
  <c r="H2131" i="51" s="1"/>
  <c r="H2132" i="51" a="1"/>
  <c r="H2132" i="51" s="1"/>
  <c r="H2133" i="51" a="1"/>
  <c r="H2133" i="51" s="1"/>
  <c r="H2134" i="51" a="1"/>
  <c r="H2134" i="51" s="1"/>
  <c r="H2135" i="51" a="1"/>
  <c r="H2135" i="51" s="1"/>
  <c r="H2136" i="51" a="1"/>
  <c r="H2136" i="51" s="1"/>
  <c r="H2137" i="51" a="1"/>
  <c r="H2137" i="51" s="1"/>
  <c r="H2138" i="51" a="1"/>
  <c r="H2138" i="51" s="1"/>
  <c r="H2139" i="51" a="1"/>
  <c r="H2139" i="51" s="1"/>
  <c r="H2140" i="51" a="1"/>
  <c r="H2140" i="51" s="1"/>
  <c r="H2141" i="51" a="1"/>
  <c r="H2141" i="51" s="1"/>
  <c r="H2142" i="51" a="1"/>
  <c r="H2142" i="51" s="1"/>
  <c r="H2143" i="51" a="1"/>
  <c r="H2143" i="51" s="1"/>
  <c r="H2144" i="51" a="1"/>
  <c r="H2144" i="51" s="1"/>
  <c r="H2145" i="51" a="1"/>
  <c r="H2145" i="51" s="1"/>
  <c r="H2146" i="51" a="1"/>
  <c r="H2146" i="51" s="1"/>
  <c r="H2147" i="51" a="1"/>
  <c r="H2147" i="51" s="1"/>
  <c r="H2148" i="51" a="1"/>
  <c r="H2148" i="51" s="1"/>
  <c r="H2149" i="51" a="1"/>
  <c r="H2149" i="51" s="1"/>
  <c r="H2150" i="51" a="1"/>
  <c r="H2150" i="51" s="1"/>
  <c r="H2151" i="51" a="1"/>
  <c r="H2151" i="51" s="1"/>
  <c r="H2152" i="51" a="1"/>
  <c r="H2152" i="51" s="1"/>
  <c r="H2153" i="51" a="1"/>
  <c r="H2153" i="51" s="1"/>
  <c r="H2154" i="51" a="1"/>
  <c r="H2154" i="51" s="1"/>
  <c r="H2155" i="51" a="1"/>
  <c r="H2155" i="51" s="1"/>
  <c r="H2156" i="51" a="1"/>
  <c r="H2156" i="51" s="1"/>
  <c r="H2157" i="51" a="1"/>
  <c r="H2157" i="51" s="1"/>
  <c r="H2158" i="51" a="1"/>
  <c r="H2158" i="51" s="1"/>
  <c r="H2159" i="51" a="1"/>
  <c r="H2159" i="51" s="1"/>
  <c r="H2160" i="51" a="1"/>
  <c r="H2160" i="51" s="1"/>
  <c r="H2161" i="51" a="1"/>
  <c r="H2161" i="51" s="1"/>
  <c r="H2162" i="51" a="1"/>
  <c r="H2162" i="51" s="1"/>
  <c r="H2163" i="51" a="1"/>
  <c r="H2163" i="51" s="1"/>
  <c r="H2164" i="51" a="1"/>
  <c r="H2164" i="51" s="1"/>
  <c r="H2165" i="51" a="1"/>
  <c r="H2165" i="51" s="1"/>
  <c r="H2166" i="51" a="1"/>
  <c r="H2166" i="51"/>
  <c r="H2167" i="51" a="1"/>
  <c r="H2167" i="51" s="1"/>
  <c r="H2168" i="51" a="1"/>
  <c r="H2168" i="51" s="1"/>
  <c r="H2169" i="51" a="1"/>
  <c r="H2169" i="51" s="1"/>
  <c r="H2170" i="51" a="1"/>
  <c r="H2170" i="51" s="1"/>
  <c r="H2171" i="51" a="1"/>
  <c r="H2171" i="51" s="1"/>
  <c r="H2172" i="51" a="1"/>
  <c r="H2172" i="51" s="1"/>
  <c r="H2173" i="51" a="1"/>
  <c r="H2173" i="51" s="1"/>
  <c r="H2174" i="51" a="1"/>
  <c r="H2174" i="51" s="1"/>
  <c r="H2175" i="51" a="1"/>
  <c r="H2175" i="51" s="1"/>
  <c r="H2176" i="51" a="1"/>
  <c r="H2176" i="51" s="1"/>
  <c r="H2177" i="51" a="1"/>
  <c r="H2177" i="51" s="1"/>
  <c r="H2178" i="51" a="1"/>
  <c r="H2178" i="51" s="1"/>
  <c r="H2179" i="51" a="1"/>
  <c r="H2179" i="51" s="1"/>
  <c r="H2180" i="51" a="1"/>
  <c r="H2180" i="51" s="1"/>
  <c r="H2181" i="51" a="1"/>
  <c r="H2181" i="51" s="1"/>
  <c r="H2182" i="51" a="1"/>
  <c r="H2182" i="51" s="1"/>
  <c r="H2183" i="51" a="1"/>
  <c r="H2183" i="51"/>
  <c r="H2184" i="51" a="1"/>
  <c r="H2184" i="51" s="1"/>
  <c r="H2185" i="51" a="1"/>
  <c r="H2185" i="51" s="1"/>
  <c r="H2186" i="51" a="1"/>
  <c r="H2186" i="51" s="1"/>
  <c r="H2187" i="51" a="1"/>
  <c r="H2187" i="51" s="1"/>
  <c r="H2188" i="51" a="1"/>
  <c r="H2188" i="51" s="1"/>
  <c r="H2189" i="51" a="1"/>
  <c r="H2189" i="51" s="1"/>
  <c r="H2190" i="51" a="1"/>
  <c r="H2190" i="51" s="1"/>
  <c r="H2191" i="51" a="1"/>
  <c r="H2191" i="51" s="1"/>
  <c r="H2192" i="51" a="1"/>
  <c r="H2192" i="51"/>
  <c r="H2193" i="51" a="1"/>
  <c r="H2193" i="51" s="1"/>
  <c r="H2194" i="51" a="1"/>
  <c r="H2194" i="51" s="1"/>
  <c r="H2195" i="51" a="1"/>
  <c r="H2195" i="51" s="1"/>
  <c r="H2196" i="51" a="1"/>
  <c r="H2196" i="51" s="1"/>
  <c r="H2197" i="51" a="1"/>
  <c r="H2197" i="51" s="1"/>
  <c r="H2198" i="51" a="1"/>
  <c r="H2198" i="51" s="1"/>
  <c r="H2199" i="51" a="1"/>
  <c r="H2199" i="51" s="1"/>
  <c r="H2200" i="51" a="1"/>
  <c r="H2200" i="51" s="1"/>
  <c r="H2201" i="51" a="1"/>
  <c r="H2201" i="51" s="1"/>
  <c r="H2202" i="51" a="1"/>
  <c r="H2202" i="51" s="1"/>
  <c r="H2203" i="51" a="1"/>
  <c r="H2203" i="51" s="1"/>
  <c r="H2204" i="51" a="1"/>
  <c r="H2204" i="51" s="1"/>
  <c r="H2205" i="51" a="1"/>
  <c r="H2205" i="51" s="1"/>
  <c r="H2206" i="51" a="1"/>
  <c r="H2206" i="51" s="1"/>
  <c r="H2207" i="51" a="1"/>
  <c r="H2207" i="51" s="1"/>
  <c r="H2208" i="51" a="1"/>
  <c r="H2208" i="51" s="1"/>
  <c r="H2209" i="51" a="1"/>
  <c r="H2209" i="51" s="1"/>
  <c r="H2210" i="51" a="1"/>
  <c r="H2210" i="51" s="1"/>
  <c r="H2211" i="51" a="1"/>
  <c r="H2211" i="51" s="1"/>
  <c r="H2212" i="51" a="1"/>
  <c r="H2212" i="51" s="1"/>
  <c r="H2213" i="51" a="1"/>
  <c r="H2213" i="51" s="1"/>
  <c r="H2214" i="51" a="1"/>
  <c r="H2214" i="51" s="1"/>
  <c r="H2215" i="51" a="1"/>
  <c r="H2215" i="51" s="1"/>
  <c r="H2216" i="51" a="1"/>
  <c r="H2216" i="51" s="1"/>
  <c r="H2217" i="51" a="1"/>
  <c r="H2217" i="51" s="1"/>
  <c r="H2218" i="51" a="1"/>
  <c r="H2218" i="51" s="1"/>
  <c r="H2219" i="51" a="1"/>
  <c r="H2219" i="51" s="1"/>
  <c r="H2220" i="51" a="1"/>
  <c r="H2220" i="51" s="1"/>
  <c r="H2221" i="51" a="1"/>
  <c r="H2221" i="51" s="1"/>
  <c r="H2222" i="51" a="1"/>
  <c r="H2222" i="51" s="1"/>
  <c r="H2223" i="51" a="1"/>
  <c r="H2223" i="51" s="1"/>
  <c r="H2224" i="51" a="1"/>
  <c r="H2224" i="51" s="1"/>
  <c r="H2225" i="51" a="1"/>
  <c r="H2225" i="51" s="1"/>
  <c r="H2226" i="51" a="1"/>
  <c r="H2226" i="51" s="1"/>
  <c r="H2227" i="51" a="1"/>
  <c r="H2227" i="51" s="1"/>
  <c r="H2228" i="51" a="1"/>
  <c r="H2228" i="51" s="1"/>
  <c r="H2229" i="51" a="1"/>
  <c r="H2229" i="51" s="1"/>
  <c r="H2230" i="51" a="1"/>
  <c r="H2230" i="51"/>
  <c r="H2231" i="51" a="1"/>
  <c r="H2231" i="51" s="1"/>
  <c r="H2232" i="51" a="1"/>
  <c r="H2232" i="51" s="1"/>
  <c r="H2233" i="51" a="1"/>
  <c r="H2233" i="51" s="1"/>
  <c r="H2234" i="51" a="1"/>
  <c r="H2234" i="51" s="1"/>
  <c r="H2235" i="51" a="1"/>
  <c r="H2235" i="51" s="1"/>
  <c r="H2236" i="51" a="1"/>
  <c r="H2236" i="51" s="1"/>
  <c r="H2237" i="51" a="1"/>
  <c r="H2237" i="51" s="1"/>
  <c r="H2238" i="51" a="1"/>
  <c r="H2238" i="51" s="1"/>
  <c r="H2239" i="51" a="1"/>
  <c r="H2239" i="51" s="1"/>
  <c r="H2240" i="51" a="1"/>
  <c r="H2240" i="51" s="1"/>
  <c r="H2241" i="51" a="1"/>
  <c r="H2241" i="51" s="1"/>
  <c r="H2242" i="51" a="1"/>
  <c r="H2242" i="51" s="1"/>
  <c r="H2243" i="51" a="1"/>
  <c r="H2243" i="51" s="1"/>
  <c r="H2244" i="51" a="1"/>
  <c r="H2244" i="51" s="1"/>
  <c r="H2245" i="51" a="1"/>
  <c r="H2245" i="51" s="1"/>
  <c r="H2246" i="51" a="1"/>
  <c r="H2246" i="51" s="1"/>
  <c r="H2247" i="51" a="1"/>
  <c r="H2247" i="51"/>
  <c r="H2248" i="51" a="1"/>
  <c r="H2248" i="51" s="1"/>
  <c r="H2249" i="51" a="1"/>
  <c r="H2249" i="51" s="1"/>
  <c r="H2250" i="51" a="1"/>
  <c r="H2250" i="51" s="1"/>
  <c r="H2251" i="51" a="1"/>
  <c r="H2251" i="51" s="1"/>
  <c r="H2252" i="51" a="1"/>
  <c r="H2252" i="51" s="1"/>
  <c r="H2253" i="51" a="1"/>
  <c r="H2253" i="51" s="1"/>
  <c r="H2254" i="51" a="1"/>
  <c r="H2254" i="51" s="1"/>
  <c r="H2255" i="51" a="1"/>
  <c r="H2255" i="51" s="1"/>
  <c r="H2256" i="51" a="1"/>
  <c r="H2256" i="51" s="1"/>
  <c r="H2257" i="51" a="1"/>
  <c r="H2257" i="51" s="1"/>
  <c r="H2258" i="51" a="1"/>
  <c r="H2258" i="51"/>
  <c r="H2259" i="51" a="1"/>
  <c r="H2259" i="51" s="1"/>
  <c r="H2260" i="51" a="1"/>
  <c r="H2260" i="51" s="1"/>
  <c r="H2261" i="51" a="1"/>
  <c r="H2261" i="51" s="1"/>
  <c r="H2262" i="51" a="1"/>
  <c r="H2262" i="51" s="1"/>
  <c r="H2263" i="51" a="1"/>
  <c r="H2263" i="51" s="1"/>
  <c r="H2264" i="51" a="1"/>
  <c r="H2264" i="51" s="1"/>
  <c r="H2265" i="51" a="1"/>
  <c r="H2265" i="51" s="1"/>
  <c r="H2266" i="51" a="1"/>
  <c r="H2266" i="51" s="1"/>
  <c r="H2267" i="51" a="1"/>
  <c r="H2267" i="51" s="1"/>
  <c r="H2268" i="51" a="1"/>
  <c r="H2268" i="51" s="1"/>
  <c r="H2269" i="51" a="1"/>
  <c r="H2269" i="51" s="1"/>
  <c r="H2270" i="51" a="1"/>
  <c r="H2270" i="51" s="1"/>
  <c r="H2271" i="51" a="1"/>
  <c r="H2271" i="51" s="1"/>
  <c r="H2272" i="51" a="1"/>
  <c r="H2272" i="51" s="1"/>
  <c r="H2273" i="51" a="1"/>
  <c r="H2273" i="51" s="1"/>
  <c r="H2274" i="51" a="1"/>
  <c r="H2274" i="51" s="1"/>
  <c r="H2275" i="51" a="1"/>
  <c r="H2275" i="51" s="1"/>
  <c r="H2276" i="51" a="1"/>
  <c r="H2276" i="51"/>
  <c r="H2277" i="51" a="1"/>
  <c r="H2277" i="51" s="1"/>
  <c r="H2278" i="51" a="1"/>
  <c r="H2278" i="51" s="1"/>
  <c r="H2279" i="51" a="1"/>
  <c r="H2279" i="51" s="1"/>
  <c r="H2280" i="51" a="1"/>
  <c r="H2280" i="51" s="1"/>
  <c r="H2281" i="51" a="1"/>
  <c r="H2281" i="51" s="1"/>
  <c r="H2282" i="51" a="1"/>
  <c r="H2282" i="51" s="1"/>
  <c r="H2283" i="51" a="1"/>
  <c r="H2283" i="51" s="1"/>
  <c r="H2284" i="51" a="1"/>
  <c r="H2284" i="51" s="1"/>
  <c r="H2285" i="51" a="1"/>
  <c r="H2285" i="51" s="1"/>
  <c r="H2286" i="51" a="1"/>
  <c r="H2286" i="51" s="1"/>
  <c r="H2287" i="51" a="1"/>
  <c r="H2287" i="51" s="1"/>
  <c r="H2288" i="51" a="1"/>
  <c r="H2288" i="51" s="1"/>
  <c r="H2289" i="51" a="1"/>
  <c r="H2289" i="51" s="1"/>
  <c r="H2290" i="51" a="1"/>
  <c r="H2290" i="51" s="1"/>
  <c r="H2291" i="51" a="1"/>
  <c r="H2291" i="51" s="1"/>
  <c r="H2292" i="51" a="1"/>
  <c r="H2292" i="51" s="1"/>
  <c r="H2293" i="51" a="1"/>
  <c r="H2293" i="51" s="1"/>
  <c r="H2294" i="51" a="1"/>
  <c r="H2294" i="51" s="1"/>
  <c r="H2295" i="51" a="1"/>
  <c r="H2295" i="51" s="1"/>
  <c r="H2296" i="51" a="1"/>
  <c r="H2296" i="51" s="1"/>
  <c r="H2297" i="51" a="1"/>
  <c r="H2297" i="51" s="1"/>
  <c r="H2298" i="51" a="1"/>
  <c r="H2298" i="51" s="1"/>
  <c r="H2299" i="51" a="1"/>
  <c r="H2299" i="51" s="1"/>
  <c r="H2300" i="51" a="1"/>
  <c r="H2300" i="51" s="1"/>
  <c r="H2301" i="51" a="1"/>
  <c r="H2301" i="51" s="1"/>
  <c r="H2302" i="51" a="1"/>
  <c r="H2302" i="51" s="1"/>
  <c r="H2303" i="51" a="1"/>
  <c r="H2303" i="51" s="1"/>
  <c r="H2304" i="51" a="1"/>
  <c r="H2304" i="51" s="1"/>
  <c r="H2305" i="51" a="1"/>
  <c r="H2305" i="51" s="1"/>
  <c r="H2306" i="51" a="1"/>
  <c r="H2306" i="51" s="1"/>
  <c r="H2307" i="51" a="1"/>
  <c r="H2307" i="51" s="1"/>
  <c r="H2308" i="51" a="1"/>
  <c r="H2308" i="51" s="1"/>
  <c r="H2309" i="51" a="1"/>
  <c r="H2309" i="51" s="1"/>
  <c r="H2310" i="51" a="1"/>
  <c r="H2310" i="51" s="1"/>
  <c r="H2311" i="51" a="1"/>
  <c r="H2311" i="51" s="1"/>
  <c r="H2312" i="51" a="1"/>
  <c r="H2312" i="51" s="1"/>
  <c r="H2313" i="51" a="1"/>
  <c r="H2313" i="51" s="1"/>
  <c r="H2314" i="51" a="1"/>
  <c r="H2314" i="51" s="1"/>
  <c r="H2315" i="51" a="1"/>
  <c r="H2315" i="51" s="1"/>
  <c r="H2316" i="51" a="1"/>
  <c r="H2316" i="51" s="1"/>
  <c r="H2317" i="51" a="1"/>
  <c r="H2317" i="51" s="1"/>
  <c r="H2318" i="51" a="1"/>
  <c r="H2318" i="51" s="1"/>
  <c r="H2319" i="51" a="1"/>
  <c r="H2319" i="51" s="1"/>
  <c r="H2320" i="51" a="1"/>
  <c r="H2320" i="51" s="1"/>
  <c r="H2321" i="51" a="1"/>
  <c r="H2321" i="51" s="1"/>
  <c r="H2322" i="51" a="1"/>
  <c r="H2322" i="51" s="1"/>
  <c r="H2323" i="51" a="1"/>
  <c r="H2323" i="51" s="1"/>
  <c r="H2324" i="51" a="1"/>
  <c r="H2324" i="51"/>
  <c r="H2325" i="51" a="1"/>
  <c r="H2325" i="51" s="1"/>
  <c r="H2326" i="51" a="1"/>
  <c r="H2326" i="51" s="1"/>
  <c r="H2327" i="51" a="1"/>
  <c r="H2327" i="51" s="1"/>
  <c r="H2328" i="51" a="1"/>
  <c r="H2328" i="51" s="1"/>
  <c r="H2329" i="51" a="1"/>
  <c r="H2329" i="51" s="1"/>
  <c r="H2330" i="51" a="1"/>
  <c r="H2330" i="51"/>
  <c r="H2331" i="51" a="1"/>
  <c r="H2331" i="51" s="1"/>
  <c r="H2332" i="51" a="1"/>
  <c r="H2332" i="51" s="1"/>
  <c r="H2333" i="51" a="1"/>
  <c r="H2333" i="51" s="1"/>
  <c r="H2334" i="51" a="1"/>
  <c r="H2334" i="51" s="1"/>
  <c r="H2335" i="51" a="1"/>
  <c r="H2335" i="51" s="1"/>
  <c r="H2336" i="51" a="1"/>
  <c r="H2336" i="51" s="1"/>
  <c r="H2337" i="51" a="1"/>
  <c r="H2337" i="51" s="1"/>
  <c r="H2338" i="51" a="1"/>
  <c r="H2338" i="51" s="1"/>
  <c r="H2339" i="51" a="1"/>
  <c r="H2339" i="51" s="1"/>
  <c r="H2340" i="51" a="1"/>
  <c r="H2340" i="51" s="1"/>
  <c r="H2341" i="51" a="1"/>
  <c r="H2341" i="51" s="1"/>
  <c r="H2342" i="51" a="1"/>
  <c r="H2342" i="51" s="1"/>
  <c r="H2343" i="51" a="1"/>
  <c r="H2343" i="51" s="1"/>
  <c r="H2344" i="51" a="1"/>
  <c r="H2344" i="51" s="1"/>
  <c r="H2345" i="51" a="1"/>
  <c r="H2345" i="51" s="1"/>
  <c r="H2346" i="51" a="1"/>
  <c r="H2346" i="51" s="1"/>
  <c r="H2347" i="51" a="1"/>
  <c r="H2347" i="51" s="1"/>
  <c r="H2348" i="51" a="1"/>
  <c r="H2348" i="51" s="1"/>
  <c r="H2349" i="51" a="1"/>
  <c r="H2349" i="51" s="1"/>
  <c r="H2350" i="51" a="1"/>
  <c r="H2350" i="51" s="1"/>
  <c r="H2351" i="51" a="1"/>
  <c r="H2351" i="51" s="1"/>
  <c r="H2352" i="51" a="1"/>
  <c r="H2352" i="51" s="1"/>
  <c r="H2353" i="51" a="1"/>
  <c r="H2353" i="51" s="1"/>
  <c r="H2354" i="51" a="1"/>
  <c r="H2354" i="51" s="1"/>
  <c r="H2355" i="51" a="1"/>
  <c r="H2355" i="51" s="1"/>
  <c r="H2356" i="51" a="1"/>
  <c r="H2356" i="51" s="1"/>
  <c r="H2357" i="51" a="1"/>
  <c r="H2357" i="51" s="1"/>
  <c r="H2358" i="51" a="1"/>
  <c r="H2358" i="51" s="1"/>
  <c r="H2359" i="51" a="1"/>
  <c r="H2359" i="51"/>
  <c r="H2360" i="51" a="1"/>
  <c r="H2360" i="51" s="1"/>
  <c r="H2361" i="51" a="1"/>
  <c r="H2361" i="51" s="1"/>
  <c r="H2362" i="51" a="1"/>
  <c r="H2362" i="51" s="1"/>
  <c r="H2363" i="51" a="1"/>
  <c r="H2363" i="51"/>
  <c r="H2364" i="51" a="1"/>
  <c r="H2364" i="51" s="1"/>
  <c r="H2365" i="51" a="1"/>
  <c r="H2365" i="51" s="1"/>
  <c r="H2366" i="51" a="1"/>
  <c r="H2366" i="51" s="1"/>
  <c r="H2367" i="51" a="1"/>
  <c r="H2367" i="51" s="1"/>
  <c r="H2368" i="51" a="1"/>
  <c r="H2368" i="51" s="1"/>
  <c r="H2369" i="51" a="1"/>
  <c r="H2369" i="51" s="1"/>
  <c r="H2370" i="51" a="1"/>
  <c r="H2370" i="51" s="1"/>
  <c r="H2371" i="51" a="1"/>
  <c r="H2371" i="51" s="1"/>
  <c r="H2372" i="51" a="1"/>
  <c r="H2372" i="51" s="1"/>
  <c r="H2373" i="51" a="1"/>
  <c r="H2373" i="51" s="1"/>
  <c r="H2374" i="51" a="1"/>
  <c r="H2374" i="51" s="1"/>
  <c r="H2375" i="51" a="1"/>
  <c r="H2375" i="51" s="1"/>
  <c r="H2376" i="51" a="1"/>
  <c r="H2376" i="51" s="1"/>
  <c r="H2377" i="51" a="1"/>
  <c r="H2377" i="51" s="1"/>
  <c r="H2378" i="51" a="1"/>
  <c r="H2378" i="51" s="1"/>
  <c r="H2379" i="51" a="1"/>
  <c r="H2379" i="51" s="1"/>
  <c r="H2380" i="51" a="1"/>
  <c r="H2380" i="51" s="1"/>
  <c r="H2381" i="51" a="1"/>
  <c r="H2381" i="51" s="1"/>
  <c r="H2382" i="51" a="1"/>
  <c r="H2382" i="51" s="1"/>
  <c r="H2383" i="51" a="1"/>
  <c r="H2383" i="51" s="1"/>
  <c r="H2384" i="51" a="1"/>
  <c r="H2384" i="51" s="1"/>
  <c r="H2385" i="51" a="1"/>
  <c r="H2385" i="51" s="1"/>
  <c r="H2386" i="51" a="1"/>
  <c r="H2386" i="51" s="1"/>
  <c r="H2387" i="51" a="1"/>
  <c r="H2387" i="51" s="1"/>
  <c r="H2388" i="51" a="1"/>
  <c r="H2388" i="51" s="1"/>
  <c r="H2389" i="51" a="1"/>
  <c r="H2389" i="51" s="1"/>
  <c r="H2390" i="51" a="1"/>
  <c r="H2390" i="51" s="1"/>
  <c r="H2391" i="51" a="1"/>
  <c r="H2391" i="51" s="1"/>
  <c r="H2392" i="51" a="1"/>
  <c r="H2392" i="51" s="1"/>
  <c r="H2393" i="51" a="1"/>
  <c r="H2393" i="51" s="1"/>
  <c r="H2394" i="51" a="1"/>
  <c r="H2394" i="51" s="1"/>
  <c r="H2395" i="51" a="1"/>
  <c r="H2395" i="51" s="1"/>
  <c r="H2396" i="51" a="1"/>
  <c r="H2396" i="51" s="1"/>
  <c r="H2397" i="51" a="1"/>
  <c r="H2397" i="51" s="1"/>
  <c r="H2398" i="51" a="1"/>
  <c r="H2398" i="51" s="1"/>
  <c r="H2399" i="51" a="1"/>
  <c r="H2399" i="51" s="1"/>
  <c r="H2400" i="51" a="1"/>
  <c r="H2400" i="51" s="1"/>
  <c r="H2401" i="51" a="1"/>
  <c r="H2401" i="51" s="1"/>
  <c r="H2402" i="51" a="1"/>
  <c r="H2402" i="51" s="1"/>
  <c r="H2403" i="51" a="1"/>
  <c r="H2403" i="51" s="1"/>
  <c r="H2404" i="51" a="1"/>
  <c r="H2404" i="51" s="1"/>
  <c r="H2405" i="51" a="1"/>
  <c r="H2405" i="51" s="1"/>
  <c r="H2406" i="51" a="1"/>
  <c r="H2406" i="51" s="1"/>
  <c r="H2407" i="51" a="1"/>
  <c r="H2407" i="51" s="1"/>
  <c r="H2408" i="51" a="1"/>
  <c r="H2408" i="51" s="1"/>
  <c r="H2409" i="51" a="1"/>
  <c r="H2409" i="51" s="1"/>
  <c r="H2410" i="51" a="1"/>
  <c r="H2410" i="51" s="1"/>
  <c r="H2411" i="51" a="1"/>
  <c r="H2411" i="51" s="1"/>
  <c r="H2412" i="51" a="1"/>
  <c r="H2412" i="51"/>
  <c r="H2413" i="51" a="1"/>
  <c r="H2413" i="51" s="1"/>
  <c r="H2414" i="51" a="1"/>
  <c r="H2414" i="51" s="1"/>
  <c r="H2415" i="51" a="1"/>
  <c r="H2415" i="51" s="1"/>
  <c r="H2416" i="51" a="1"/>
  <c r="H2416" i="51" s="1"/>
  <c r="H2417" i="51" a="1"/>
  <c r="H2417" i="51" s="1"/>
  <c r="H2418" i="51" a="1"/>
  <c r="H2418" i="51" s="1"/>
  <c r="H2419" i="51" a="1"/>
  <c r="H2419" i="51" s="1"/>
  <c r="H2420" i="51" a="1"/>
  <c r="H2420" i="51" s="1"/>
  <c r="H2421" i="51" a="1"/>
  <c r="H2421" i="51" s="1"/>
  <c r="H2422" i="51" a="1"/>
  <c r="H2422" i="51" s="1"/>
  <c r="H2423" i="51" a="1"/>
  <c r="H2423" i="51" s="1"/>
  <c r="H2424" i="51" a="1"/>
  <c r="H2424" i="51" s="1"/>
  <c r="H2425" i="51" a="1"/>
  <c r="H2425" i="51" s="1"/>
  <c r="H2426" i="51" a="1"/>
  <c r="H2426" i="51"/>
  <c r="H2427" i="51" a="1"/>
  <c r="H2427" i="51" s="1"/>
  <c r="H2428" i="51" a="1"/>
  <c r="H2428" i="51" s="1"/>
  <c r="H2429" i="51" a="1"/>
  <c r="H2429" i="51" s="1"/>
  <c r="H2430" i="51" a="1"/>
  <c r="H2430" i="51" s="1"/>
  <c r="H2431" i="51" a="1"/>
  <c r="H2431" i="51" s="1"/>
  <c r="H2432" i="51" a="1"/>
  <c r="H2432" i="51" s="1"/>
  <c r="H2433" i="51" a="1"/>
  <c r="H2433" i="51" s="1"/>
  <c r="H2434" i="51" a="1"/>
  <c r="H2434" i="51" s="1"/>
  <c r="H2435" i="51" a="1"/>
  <c r="H2435" i="51"/>
  <c r="H2436" i="51" a="1"/>
  <c r="H2436" i="51"/>
  <c r="H2437" i="51" a="1"/>
  <c r="H2437" i="51" s="1"/>
  <c r="H2438" i="51" a="1"/>
  <c r="H2438" i="51" s="1"/>
  <c r="H2439" i="51" a="1"/>
  <c r="H2439" i="51" s="1"/>
  <c r="H2440" i="51" a="1"/>
  <c r="H2440" i="51" s="1"/>
  <c r="H2441" i="51" a="1"/>
  <c r="H2441" i="51" s="1"/>
  <c r="H2442" i="51" a="1"/>
  <c r="H2442" i="51" s="1"/>
  <c r="H2443" i="51" a="1"/>
  <c r="H2443" i="51" s="1"/>
  <c r="H2444" i="51" a="1"/>
  <c r="H2444" i="51" s="1"/>
  <c r="H2445" i="51" a="1"/>
  <c r="H2445" i="51" s="1"/>
  <c r="H2446" i="51" a="1"/>
  <c r="H2446" i="51"/>
  <c r="H2447" i="51" a="1"/>
  <c r="H2447" i="51" s="1"/>
  <c r="H2448" i="51" a="1"/>
  <c r="H2448" i="51" s="1"/>
  <c r="H2449" i="51" a="1"/>
  <c r="H2449" i="51" s="1"/>
  <c r="H2450" i="51" a="1"/>
  <c r="H2450" i="51" s="1"/>
  <c r="H2451" i="51" a="1"/>
  <c r="H2451" i="51" s="1"/>
  <c r="H2452" i="51" a="1"/>
  <c r="H2452" i="51" s="1"/>
  <c r="H2453" i="51" a="1"/>
  <c r="H2453" i="51" s="1"/>
  <c r="H2454" i="51" a="1"/>
  <c r="H2454" i="51" s="1"/>
  <c r="H2455" i="51" a="1"/>
  <c r="H2455" i="51" s="1"/>
  <c r="H2456" i="51" a="1"/>
  <c r="H2456" i="51" s="1"/>
  <c r="H2457" i="51" a="1"/>
  <c r="H2457" i="51" s="1"/>
  <c r="H2458" i="51" a="1"/>
  <c r="H2458" i="51" s="1"/>
  <c r="H2459" i="51" a="1"/>
  <c r="H2459" i="51" s="1"/>
  <c r="H2460" i="51" a="1"/>
  <c r="H2460" i="51" s="1"/>
  <c r="H2461" i="51" a="1"/>
  <c r="H2461" i="51" s="1"/>
  <c r="H2462" i="51" a="1"/>
  <c r="H2462" i="51" s="1"/>
  <c r="H2463" i="51" a="1"/>
  <c r="H2463" i="51" s="1"/>
  <c r="H2464" i="51" a="1"/>
  <c r="H2464" i="51" s="1"/>
  <c r="H2465" i="51" a="1"/>
  <c r="H2465" i="51" s="1"/>
  <c r="H2466" i="51" a="1"/>
  <c r="H2466" i="51" s="1"/>
  <c r="H2467" i="51" a="1"/>
  <c r="H2467" i="51" s="1"/>
  <c r="H2468" i="51" a="1"/>
  <c r="H2468" i="51" s="1"/>
  <c r="H2469" i="51" a="1"/>
  <c r="H2469" i="51" s="1"/>
  <c r="H2470" i="51" a="1"/>
  <c r="H2470" i="51" s="1"/>
  <c r="H2471" i="51" a="1"/>
  <c r="H2471" i="51" s="1"/>
  <c r="H2472" i="51" a="1"/>
  <c r="H2472" i="51" s="1"/>
  <c r="H2473" i="51" a="1"/>
  <c r="H2473" i="51" s="1"/>
  <c r="H2474" i="51" a="1"/>
  <c r="H2474" i="51" s="1"/>
  <c r="H2475" i="51" a="1"/>
  <c r="H2475" i="51" s="1"/>
  <c r="H2476" i="51" a="1"/>
  <c r="H2476" i="51" s="1"/>
  <c r="H2477" i="51" a="1"/>
  <c r="H2477" i="51" s="1"/>
  <c r="H2478" i="51" a="1"/>
  <c r="H2478" i="51" s="1"/>
  <c r="H2479" i="51" a="1"/>
  <c r="H2479" i="51" s="1"/>
  <c r="H2480" i="51" a="1"/>
  <c r="H2480" i="51" s="1"/>
  <c r="H2481" i="51" a="1"/>
  <c r="H2481" i="51" s="1"/>
  <c r="H2482" i="51" a="1"/>
  <c r="H2482" i="51" s="1"/>
  <c r="H2483" i="51" a="1"/>
  <c r="H2483" i="51" s="1"/>
  <c r="H2484" i="51" a="1"/>
  <c r="H2484" i="51" s="1"/>
  <c r="H2485" i="51" a="1"/>
  <c r="H2485" i="51" s="1"/>
  <c r="H2486" i="51" a="1"/>
  <c r="H2486" i="51" s="1"/>
  <c r="H2487" i="51" a="1"/>
  <c r="H2487" i="51" s="1"/>
  <c r="H2488" i="51" a="1"/>
  <c r="H2488" i="51" s="1"/>
  <c r="H2489" i="51" a="1"/>
  <c r="H2489" i="51" s="1"/>
  <c r="H2490" i="51" a="1"/>
  <c r="H2490" i="51" s="1"/>
  <c r="H2491" i="51" a="1"/>
  <c r="H2491" i="51" s="1"/>
  <c r="H2492" i="51" a="1"/>
  <c r="H2492" i="51" s="1"/>
  <c r="H2493" i="51" a="1"/>
  <c r="H2493" i="51" s="1"/>
  <c r="H2494" i="51" a="1"/>
  <c r="H2494" i="51" s="1"/>
  <c r="H2495" i="51" a="1"/>
  <c r="H2495" i="51" s="1"/>
  <c r="H2496" i="51" a="1"/>
  <c r="H2496" i="51"/>
  <c r="H2497" i="51" a="1"/>
  <c r="H2497" i="51" s="1"/>
  <c r="H2498" i="51" a="1"/>
  <c r="H2498" i="51" s="1"/>
  <c r="H2499" i="51" a="1"/>
  <c r="H2499" i="51" s="1"/>
  <c r="H2500" i="51" a="1"/>
  <c r="H2500" i="51"/>
  <c r="H2501" i="51" a="1"/>
  <c r="H2501" i="51" s="1"/>
  <c r="H2502" i="51" a="1"/>
  <c r="H2502" i="51" s="1"/>
  <c r="H2503" i="51" a="1"/>
  <c r="H2503" i="51" s="1"/>
  <c r="H2504" i="51" a="1"/>
  <c r="H2504" i="51" s="1"/>
  <c r="H2505" i="51" a="1"/>
  <c r="H2505" i="51" s="1"/>
  <c r="H2506" i="51" a="1"/>
  <c r="H2506" i="51" s="1"/>
  <c r="H2507" i="51" a="1"/>
  <c r="H2507" i="51" s="1"/>
  <c r="H2508" i="51" a="1"/>
  <c r="H2508" i="51" s="1"/>
  <c r="H2509" i="51" a="1"/>
  <c r="H2509" i="51" s="1"/>
  <c r="H2510" i="51" a="1"/>
  <c r="H2510" i="51" s="1"/>
  <c r="H2511" i="51" a="1"/>
  <c r="H2511" i="51" s="1"/>
  <c r="H2512" i="51" a="1"/>
  <c r="H2512" i="51" s="1"/>
  <c r="H2513" i="51" a="1"/>
  <c r="H2513" i="51" s="1"/>
  <c r="H2514" i="51" a="1"/>
  <c r="H2514" i="51" s="1"/>
  <c r="H2515" i="51" a="1"/>
  <c r="H2515" i="51" s="1"/>
  <c r="H2516" i="51" a="1"/>
  <c r="H2516" i="51" s="1"/>
  <c r="H2517" i="51" a="1"/>
  <c r="H2517" i="51" s="1"/>
  <c r="H2518" i="51" a="1"/>
  <c r="H2518" i="51" s="1"/>
  <c r="H2519" i="51" a="1"/>
  <c r="H2519" i="51" s="1"/>
  <c r="H2520" i="51" a="1"/>
  <c r="H2520" i="51" s="1"/>
  <c r="H2521" i="51" a="1"/>
  <c r="H2521" i="51" s="1"/>
  <c r="H2522" i="51" a="1"/>
  <c r="H2522" i="51" s="1"/>
  <c r="H2523" i="51" a="1"/>
  <c r="H2523" i="51" s="1"/>
  <c r="H2524" i="51" a="1"/>
  <c r="H2524" i="51" s="1"/>
  <c r="H2525" i="51" a="1"/>
  <c r="H2525" i="51" s="1"/>
  <c r="H2526" i="51" a="1"/>
  <c r="H2526" i="51" s="1"/>
  <c r="H2527" i="51" a="1"/>
  <c r="H2527" i="51" s="1"/>
  <c r="H2528" i="51" a="1"/>
  <c r="H2528" i="51" s="1"/>
  <c r="H2529" i="51" a="1"/>
  <c r="H2529" i="51" s="1"/>
  <c r="H2530" i="51" a="1"/>
  <c r="H2530" i="51" s="1"/>
  <c r="H2531" i="51" a="1"/>
  <c r="H2531" i="51" s="1"/>
  <c r="H2532" i="51" a="1"/>
  <c r="H2532" i="51" s="1"/>
  <c r="H2533" i="51" a="1"/>
  <c r="H2533" i="51" s="1"/>
  <c r="H2534" i="51" a="1"/>
  <c r="H2534" i="51" s="1"/>
  <c r="H2535" i="51" a="1"/>
  <c r="H2535" i="51" s="1"/>
  <c r="H2536" i="51" a="1"/>
  <c r="H2536" i="51" s="1"/>
  <c r="H2537" i="51" a="1"/>
  <c r="H2537" i="51" s="1"/>
  <c r="H2538" i="51" a="1"/>
  <c r="H2538" i="51" s="1"/>
  <c r="H2539" i="51" a="1"/>
  <c r="H2539" i="51" s="1"/>
  <c r="H2540" i="51" a="1"/>
  <c r="H2540" i="51" s="1"/>
  <c r="H2541" i="51" a="1"/>
  <c r="H2541" i="51" s="1"/>
  <c r="H2542" i="51" a="1"/>
  <c r="H2542" i="51" s="1"/>
  <c r="H2543" i="51" a="1"/>
  <c r="H2543" i="51" s="1"/>
  <c r="H2544" i="51" a="1"/>
  <c r="H2544" i="51" s="1"/>
  <c r="H2545" i="51" a="1"/>
  <c r="H2545" i="51" s="1"/>
  <c r="H2546" i="51" a="1"/>
  <c r="H2546" i="51" s="1"/>
  <c r="H2547" i="51" a="1"/>
  <c r="H2547" i="51" s="1"/>
  <c r="H2548" i="51" a="1"/>
  <c r="H2548" i="51" s="1"/>
  <c r="H2549" i="51" a="1"/>
  <c r="H2549" i="51" s="1"/>
  <c r="H2550" i="51" a="1"/>
  <c r="H2550" i="51" s="1"/>
  <c r="H2551" i="51" a="1"/>
  <c r="H2551" i="51"/>
  <c r="H2552" i="51" a="1"/>
  <c r="H2552" i="51" s="1"/>
  <c r="H2553" i="51" a="1"/>
  <c r="H2553" i="51" s="1"/>
  <c r="H2554" i="51" a="1"/>
  <c r="H2554" i="51"/>
  <c r="H2555" i="51" a="1"/>
  <c r="H2555" i="51" s="1"/>
  <c r="H2556" i="51" a="1"/>
  <c r="H2556" i="51"/>
  <c r="H2557" i="51" a="1"/>
  <c r="H2557" i="51" s="1"/>
  <c r="H2558" i="51" a="1"/>
  <c r="H2558" i="51" s="1"/>
  <c r="H2559" i="51" a="1"/>
  <c r="H2559" i="51" s="1"/>
  <c r="H2560" i="51" a="1"/>
  <c r="H2560" i="51" s="1"/>
  <c r="H2561" i="51" a="1"/>
  <c r="H2561" i="51" s="1"/>
  <c r="H2562" i="51" a="1"/>
  <c r="H2562" i="51" s="1"/>
  <c r="H2563" i="51" a="1"/>
  <c r="H2563" i="51" s="1"/>
  <c r="H2564" i="51" a="1"/>
  <c r="H2564" i="51" s="1"/>
  <c r="H2565" i="51" a="1"/>
  <c r="H2565" i="51" s="1"/>
  <c r="H2566" i="51" a="1"/>
  <c r="H2566" i="51" s="1"/>
  <c r="H2567" i="51" a="1"/>
  <c r="H2567" i="51" s="1"/>
  <c r="H2568" i="51" a="1"/>
  <c r="H2568" i="51" s="1"/>
  <c r="H2569" i="51" a="1"/>
  <c r="H2569" i="51" s="1"/>
  <c r="H2570" i="51" a="1"/>
  <c r="H2570" i="51"/>
  <c r="H2571" i="51" a="1"/>
  <c r="H2571" i="51" s="1"/>
  <c r="H2572" i="51" a="1"/>
  <c r="H2572" i="51" s="1"/>
  <c r="H2573" i="51" a="1"/>
  <c r="H2573" i="51" s="1"/>
  <c r="H2574" i="51" a="1"/>
  <c r="H2574" i="51" s="1"/>
  <c r="H2575" i="51" a="1"/>
  <c r="H2575" i="51" s="1"/>
  <c r="H2576" i="51" a="1"/>
  <c r="H2576" i="51" s="1"/>
  <c r="H2577" i="51" a="1"/>
  <c r="H2577" i="51" s="1"/>
  <c r="H2578" i="51" a="1"/>
  <c r="H2578" i="51" s="1"/>
  <c r="H2579" i="51" a="1"/>
  <c r="H2579" i="51" s="1"/>
  <c r="H2580" i="51" a="1"/>
  <c r="H2580" i="51" s="1"/>
  <c r="H2581" i="51" a="1"/>
  <c r="H2581" i="51" s="1"/>
  <c r="H2582" i="51" a="1"/>
  <c r="H2582" i="51" s="1"/>
  <c r="H2583" i="51" a="1"/>
  <c r="H2583" i="51" s="1"/>
  <c r="H2584" i="51" a="1"/>
  <c r="H2584" i="51" s="1"/>
  <c r="H2585" i="51" a="1"/>
  <c r="H2585" i="51" s="1"/>
  <c r="H2586" i="51" a="1"/>
  <c r="H2586" i="51" s="1"/>
  <c r="H2587" i="51" a="1"/>
  <c r="H2587" i="51" s="1"/>
  <c r="H2588" i="51" a="1"/>
  <c r="H2588" i="51" s="1"/>
  <c r="H2589" i="51" a="1"/>
  <c r="H2589" i="51" s="1"/>
  <c r="H2590" i="51" a="1"/>
  <c r="H2590" i="51" s="1"/>
  <c r="H2591" i="51" a="1"/>
  <c r="H2591" i="51" s="1"/>
  <c r="H2592" i="51" a="1"/>
  <c r="H2592" i="51" s="1"/>
  <c r="H2593" i="51" a="1"/>
  <c r="H2593" i="51" s="1"/>
  <c r="H2594" i="51" a="1"/>
  <c r="H2594" i="51" s="1"/>
  <c r="H2595" i="51" a="1"/>
  <c r="H2595" i="51"/>
  <c r="H2596" i="51" a="1"/>
  <c r="H2596" i="51" s="1"/>
  <c r="H2597" i="51" a="1"/>
  <c r="H2597" i="51" s="1"/>
  <c r="H2598" i="51" a="1"/>
  <c r="H2598" i="51" s="1"/>
  <c r="H2599" i="51" a="1"/>
  <c r="H2599" i="51" s="1"/>
  <c r="H2600" i="51" a="1"/>
  <c r="H2600" i="51" s="1"/>
  <c r="H2601" i="51" a="1"/>
  <c r="H2601" i="51" s="1"/>
  <c r="H2602" i="51" a="1"/>
  <c r="H2602" i="51" s="1"/>
  <c r="H2603" i="51" a="1"/>
  <c r="H2603" i="51" s="1"/>
  <c r="H2604" i="51" a="1"/>
  <c r="H2604" i="51" s="1"/>
  <c r="H2605" i="51" a="1"/>
  <c r="H2605" i="51" s="1"/>
  <c r="H2606" i="51" a="1"/>
  <c r="H2606" i="51" s="1"/>
  <c r="H2607" i="51" a="1"/>
  <c r="H2607" i="51" s="1"/>
  <c r="H2608" i="51" a="1"/>
  <c r="H2608" i="51" s="1"/>
  <c r="H2609" i="51" a="1"/>
  <c r="H2609" i="51" s="1"/>
  <c r="H2610" i="51" a="1"/>
  <c r="H2610" i="51" s="1"/>
  <c r="H2611" i="51" a="1"/>
  <c r="H2611" i="51" s="1"/>
  <c r="H2612" i="51" a="1"/>
  <c r="H2612" i="51" s="1"/>
  <c r="H2613" i="51" a="1"/>
  <c r="H2613" i="51" s="1"/>
  <c r="H2614" i="51" a="1"/>
  <c r="H2614" i="51" s="1"/>
  <c r="H2615" i="51" a="1"/>
  <c r="H2615" i="51" s="1"/>
  <c r="H2616" i="51" a="1"/>
  <c r="H2616" i="51" s="1"/>
  <c r="H2617" i="51" a="1"/>
  <c r="H2617" i="51" s="1"/>
  <c r="H2618" i="51" a="1"/>
  <c r="H2618" i="51" s="1"/>
  <c r="H2619" i="51" a="1"/>
  <c r="H2619" i="51" s="1"/>
  <c r="H2620" i="51" a="1"/>
  <c r="H2620" i="51"/>
  <c r="H2621" i="51" a="1"/>
  <c r="H2621" i="51" s="1"/>
  <c r="H2622" i="51" a="1"/>
  <c r="H2622" i="51" s="1"/>
  <c r="H2623" i="51" a="1"/>
  <c r="H2623" i="51" s="1"/>
  <c r="H2624" i="51" a="1"/>
  <c r="H2624" i="51" s="1"/>
  <c r="H2625" i="51" a="1"/>
  <c r="H2625" i="51" s="1"/>
  <c r="H2626" i="51" a="1"/>
  <c r="H2626" i="51" s="1"/>
  <c r="H2627" i="51" a="1"/>
  <c r="H2627" i="51" s="1"/>
  <c r="H2628" i="51" a="1"/>
  <c r="H2628" i="51" s="1"/>
  <c r="H2629" i="51" a="1"/>
  <c r="H2629" i="51" s="1"/>
  <c r="H2630" i="51" a="1"/>
  <c r="H2630" i="51" s="1"/>
  <c r="H2631" i="51" a="1"/>
  <c r="H2631" i="51" s="1"/>
  <c r="H2632" i="51" a="1"/>
  <c r="H2632" i="51" s="1"/>
  <c r="H2633" i="51" a="1"/>
  <c r="H2633" i="51" s="1"/>
  <c r="H2634" i="51" a="1"/>
  <c r="H2634" i="51"/>
  <c r="H2635" i="51" a="1"/>
  <c r="H2635" i="51" s="1"/>
  <c r="H2636" i="51" a="1"/>
  <c r="H2636" i="51" s="1"/>
  <c r="H2637" i="51" a="1"/>
  <c r="H2637" i="51" s="1"/>
  <c r="H2638" i="51" a="1"/>
  <c r="H2638" i="51" s="1"/>
  <c r="H2639" i="51" a="1"/>
  <c r="H2639" i="51" s="1"/>
  <c r="H2640" i="51" a="1"/>
  <c r="H2640" i="51" s="1"/>
  <c r="H2641" i="51" a="1"/>
  <c r="H2641" i="51" s="1"/>
  <c r="H2642" i="51" a="1"/>
  <c r="H2642" i="51" s="1"/>
  <c r="H2643" i="51" a="1"/>
  <c r="H2643" i="51"/>
  <c r="H2644" i="51" a="1"/>
  <c r="H2644" i="51" s="1"/>
  <c r="H2645" i="51" a="1"/>
  <c r="H2645" i="51" s="1"/>
  <c r="H2646" i="51" a="1"/>
  <c r="H2646" i="51" s="1"/>
  <c r="H2647" i="51" a="1"/>
  <c r="H2647" i="51" s="1"/>
  <c r="H2648" i="51" a="1"/>
  <c r="H2648" i="51" s="1"/>
  <c r="H2649" i="51" a="1"/>
  <c r="H2649" i="51" s="1"/>
  <c r="H2650" i="51" a="1"/>
  <c r="H2650" i="51"/>
  <c r="H2651" i="51" a="1"/>
  <c r="H2651" i="51" s="1"/>
  <c r="H2652" i="51" a="1"/>
  <c r="H2652" i="51" s="1"/>
  <c r="H2653" i="51" a="1"/>
  <c r="H2653" i="51" s="1"/>
  <c r="H2654" i="51" a="1"/>
  <c r="H2654" i="51"/>
  <c r="H2655" i="51" a="1"/>
  <c r="H2655" i="51" s="1"/>
  <c r="H2656" i="51" a="1"/>
  <c r="H2656" i="51" s="1"/>
  <c r="H2657" i="51" a="1"/>
  <c r="H2657" i="51" s="1"/>
  <c r="H2658" i="51" a="1"/>
  <c r="H2658" i="51" s="1"/>
  <c r="H2659" i="51" a="1"/>
  <c r="H2659" i="51" s="1"/>
  <c r="H2660" i="51" a="1"/>
  <c r="H2660" i="51" s="1"/>
  <c r="H2661" i="51" a="1"/>
  <c r="H2661" i="51" s="1"/>
  <c r="H2662" i="51" a="1"/>
  <c r="H2662" i="51" s="1"/>
  <c r="H2663" i="51" a="1"/>
  <c r="H2663" i="51" s="1"/>
  <c r="H2664" i="51" a="1"/>
  <c r="H2664" i="51" s="1"/>
  <c r="H2665" i="51" a="1"/>
  <c r="H2665" i="51" s="1"/>
  <c r="H2666" i="51" a="1"/>
  <c r="H2666" i="51" s="1"/>
  <c r="H2667" i="51" a="1"/>
  <c r="H2667" i="51" s="1"/>
  <c r="H2668" i="51" a="1"/>
  <c r="H2668" i="51"/>
  <c r="H2669" i="51" a="1"/>
  <c r="H2669" i="51" s="1"/>
  <c r="H2670" i="51" a="1"/>
  <c r="H2670" i="51" s="1"/>
  <c r="H2671" i="51" a="1"/>
  <c r="H2671" i="51" s="1"/>
  <c r="H2672" i="51" a="1"/>
  <c r="H2672" i="51" s="1"/>
  <c r="H2673" i="51" a="1"/>
  <c r="H2673" i="51" s="1"/>
  <c r="H2674" i="51" a="1"/>
  <c r="H2674" i="51" s="1"/>
  <c r="H2675" i="51" a="1"/>
  <c r="H2675" i="51" s="1"/>
  <c r="H2676" i="51" a="1"/>
  <c r="H2676" i="51" s="1"/>
  <c r="H2677" i="51" a="1"/>
  <c r="H2677" i="51" s="1"/>
  <c r="H2678" i="51" a="1"/>
  <c r="H2678" i="51" s="1"/>
  <c r="H2679" i="51" a="1"/>
  <c r="H2679" i="51" s="1"/>
  <c r="H2680" i="51" a="1"/>
  <c r="H2680" i="51" s="1"/>
  <c r="H2681" i="51" a="1"/>
  <c r="H2681" i="51" s="1"/>
  <c r="H2682" i="51" a="1"/>
  <c r="H2682" i="51" s="1"/>
  <c r="H2683" i="51" a="1"/>
  <c r="H2683" i="51" s="1"/>
  <c r="H2684" i="51" a="1"/>
  <c r="H2684" i="51"/>
  <c r="H2685" i="51" a="1"/>
  <c r="H2685" i="51" s="1"/>
  <c r="H2686" i="51" a="1"/>
  <c r="H2686" i="51" s="1"/>
  <c r="H2687" i="51" a="1"/>
  <c r="H2687" i="51" s="1"/>
  <c r="H2688" i="51" a="1"/>
  <c r="H2688" i="51" s="1"/>
  <c r="H2689" i="51" a="1"/>
  <c r="H2689" i="51" s="1"/>
  <c r="H2690" i="51" a="1"/>
  <c r="H2690" i="51" s="1"/>
  <c r="H2691" i="51" a="1"/>
  <c r="H2691" i="51" s="1"/>
  <c r="H2692" i="51" a="1"/>
  <c r="H2692" i="51" s="1"/>
  <c r="H2693" i="51" a="1"/>
  <c r="H2693" i="51" s="1"/>
  <c r="H2694" i="51" a="1"/>
  <c r="H2694" i="51" s="1"/>
  <c r="H2695" i="51" a="1"/>
  <c r="H2695" i="51"/>
  <c r="H2696" i="51" a="1"/>
  <c r="H2696" i="51" s="1"/>
  <c r="H2697" i="51" a="1"/>
  <c r="H2697" i="51" s="1"/>
  <c r="H2698" i="51" a="1"/>
  <c r="H2698" i="51"/>
  <c r="H2699" i="51" a="1"/>
  <c r="H2699" i="51" s="1"/>
  <c r="H2700" i="51" a="1"/>
  <c r="H2700" i="51" s="1"/>
  <c r="H2701" i="51" a="1"/>
  <c r="H2701" i="51" s="1"/>
  <c r="H2702" i="51" a="1"/>
  <c r="H2702" i="51" s="1"/>
  <c r="H2703" i="51" a="1"/>
  <c r="H2703" i="51" s="1"/>
  <c r="H2704" i="51" a="1"/>
  <c r="H2704" i="51"/>
  <c r="H2705" i="51" a="1"/>
  <c r="H2705" i="51" s="1"/>
  <c r="H2706" i="51" a="1"/>
  <c r="H2706" i="51" s="1"/>
  <c r="H2707" i="51" a="1"/>
  <c r="H2707" i="51" s="1"/>
  <c r="H2708" i="51" a="1"/>
  <c r="H2708" i="51" s="1"/>
  <c r="H2709" i="51" a="1"/>
  <c r="H2709" i="51" s="1"/>
  <c r="H2710" i="51" a="1"/>
  <c r="H2710" i="51" s="1"/>
  <c r="H2711" i="51" a="1"/>
  <c r="H2711" i="51" s="1"/>
  <c r="H2712" i="51" a="1"/>
  <c r="H2712" i="51" s="1"/>
  <c r="H2713" i="51" a="1"/>
  <c r="H2713" i="51" s="1"/>
  <c r="H2714" i="51" a="1"/>
  <c r="H2714" i="51" s="1"/>
  <c r="H2715" i="51" a="1"/>
  <c r="H2715" i="51" s="1"/>
  <c r="H2716" i="51" a="1"/>
  <c r="H2716" i="51" s="1"/>
  <c r="H2717" i="51" a="1"/>
  <c r="H2717" i="51" s="1"/>
  <c r="H2718" i="51" a="1"/>
  <c r="H2718" i="51"/>
  <c r="H2719" i="51" a="1"/>
  <c r="H2719" i="51" s="1"/>
  <c r="H2720" i="51" a="1"/>
  <c r="H2720" i="51" s="1"/>
  <c r="H2721" i="51" a="1"/>
  <c r="H2721" i="51" s="1"/>
  <c r="H2722" i="51" a="1"/>
  <c r="H2722" i="51" s="1"/>
  <c r="H2723" i="51" a="1"/>
  <c r="H2723" i="51" s="1"/>
  <c r="H2724" i="51" a="1"/>
  <c r="H2724" i="51" s="1"/>
  <c r="H2725" i="51" a="1"/>
  <c r="H2725" i="51" s="1"/>
  <c r="H2726" i="51" a="1"/>
  <c r="H2726" i="51" s="1"/>
  <c r="H2727" i="51" a="1"/>
  <c r="H2727" i="51" s="1"/>
  <c r="H2728" i="51" a="1"/>
  <c r="H2728" i="51" s="1"/>
  <c r="H2729" i="51" a="1"/>
  <c r="H2729" i="51" s="1"/>
  <c r="H2730" i="51" a="1"/>
  <c r="H2730" i="51" s="1"/>
  <c r="H2731" i="51" a="1"/>
  <c r="H2731" i="51" s="1"/>
  <c r="H2732" i="51" a="1"/>
  <c r="H2732" i="51"/>
  <c r="H2733" i="51" a="1"/>
  <c r="H2733" i="51" s="1"/>
  <c r="H2734" i="51" a="1"/>
  <c r="H2734" i="51" s="1"/>
  <c r="H2735" i="51" a="1"/>
  <c r="H2735" i="51" s="1"/>
  <c r="H2736" i="51" a="1"/>
  <c r="H2736" i="51" s="1"/>
  <c r="H2737" i="51" a="1"/>
  <c r="H2737" i="51" s="1"/>
  <c r="H2738" i="51" a="1"/>
  <c r="H2738" i="51" s="1"/>
  <c r="H2739" i="51" a="1"/>
  <c r="H2739" i="51" s="1"/>
  <c r="H2740" i="51" a="1"/>
  <c r="H2740" i="51" s="1"/>
  <c r="H2741" i="51" a="1"/>
  <c r="H2741" i="51" s="1"/>
  <c r="H2742" i="51" a="1"/>
  <c r="H2742" i="51" s="1"/>
  <c r="H2743" i="51" a="1"/>
  <c r="H2743" i="51" s="1"/>
  <c r="H2744" i="51" a="1"/>
  <c r="H2744" i="51" s="1"/>
  <c r="H2745" i="51" a="1"/>
  <c r="H2745" i="51" s="1"/>
  <c r="H2746" i="51" a="1"/>
  <c r="H2746" i="51" s="1"/>
  <c r="H2747" i="51" a="1"/>
  <c r="H2747" i="51" s="1"/>
  <c r="H2748" i="51" a="1"/>
  <c r="H2748" i="51" s="1"/>
  <c r="H2749" i="51" a="1"/>
  <c r="H2749" i="51" s="1"/>
  <c r="H2750" i="51" a="1"/>
  <c r="H2750" i="51" s="1"/>
  <c r="H2751" i="51" a="1"/>
  <c r="H2751" i="51" s="1"/>
  <c r="H2752" i="51" a="1"/>
  <c r="H2752" i="51" s="1"/>
  <c r="H2753" i="51" a="1"/>
  <c r="H2753" i="51" s="1"/>
  <c r="H2754" i="51" a="1"/>
  <c r="H2754" i="51" s="1"/>
  <c r="H2755" i="51" a="1"/>
  <c r="H2755" i="51" s="1"/>
  <c r="H2756" i="51" a="1"/>
  <c r="H2756" i="51" s="1"/>
  <c r="H2757" i="51" a="1"/>
  <c r="H2757" i="51" s="1"/>
  <c r="H2758" i="51" a="1"/>
  <c r="H2758" i="51" s="1"/>
  <c r="H2759" i="51" a="1"/>
  <c r="H2759" i="51" s="1"/>
  <c r="H2760" i="51" a="1"/>
  <c r="H2760" i="51" s="1"/>
  <c r="H2761" i="51" a="1"/>
  <c r="H2761" i="51" s="1"/>
  <c r="H2762" i="51" a="1"/>
  <c r="H2762" i="51" s="1"/>
  <c r="H2763" i="51" a="1"/>
  <c r="H2763" i="51" s="1"/>
  <c r="H2764" i="51" a="1"/>
  <c r="H2764" i="51" s="1"/>
  <c r="H2765" i="51" a="1"/>
  <c r="H2765" i="51" s="1"/>
  <c r="H2766" i="51" a="1"/>
  <c r="H2766" i="51" s="1"/>
  <c r="H2767" i="51" a="1"/>
  <c r="H2767" i="51" s="1"/>
  <c r="H2768" i="51" a="1"/>
  <c r="H2768" i="51"/>
  <c r="H2769" i="51" a="1"/>
  <c r="H2769" i="51" s="1"/>
  <c r="H2770" i="51" a="1"/>
  <c r="H2770" i="51" s="1"/>
  <c r="H2771" i="51" a="1"/>
  <c r="H2771" i="51"/>
  <c r="H2772" i="51" a="1"/>
  <c r="H2772" i="51" s="1"/>
  <c r="H2773" i="51" a="1"/>
  <c r="H2773" i="51" s="1"/>
  <c r="H2774" i="51" a="1"/>
  <c r="H2774" i="51" s="1"/>
  <c r="H2775" i="51" a="1"/>
  <c r="H2775" i="51" s="1"/>
  <c r="H2776" i="51" a="1"/>
  <c r="H2776" i="51" s="1"/>
  <c r="H2777" i="51" a="1"/>
  <c r="H2777" i="51" s="1"/>
  <c r="H2778" i="51" a="1"/>
  <c r="H2778" i="51"/>
  <c r="H2779" i="51" a="1"/>
  <c r="H2779" i="51" s="1"/>
  <c r="H2780" i="51" a="1"/>
  <c r="H2780" i="51" s="1"/>
  <c r="H2781" i="51" a="1"/>
  <c r="H2781" i="51" s="1"/>
  <c r="H2782" i="51" a="1"/>
  <c r="H2782" i="51" s="1"/>
  <c r="H2783" i="51" a="1"/>
  <c r="H2783" i="51" s="1"/>
  <c r="H2784" i="51" a="1"/>
  <c r="H2784" i="51" s="1"/>
  <c r="H2785" i="51" a="1"/>
  <c r="H2785" i="51" s="1"/>
  <c r="H2786" i="51" a="1"/>
  <c r="H2786" i="51" s="1"/>
  <c r="H2787" i="51" a="1"/>
  <c r="H2787" i="51"/>
  <c r="H2788" i="51" a="1"/>
  <c r="H2788" i="51" s="1"/>
  <c r="H2789" i="51" a="1"/>
  <c r="H2789" i="51" s="1"/>
  <c r="H2790" i="51" a="1"/>
  <c r="H2790" i="51" s="1"/>
  <c r="H2791" i="51" a="1"/>
  <c r="H2791" i="51" s="1"/>
  <c r="H2792" i="51" a="1"/>
  <c r="H2792" i="51" s="1"/>
  <c r="H2793" i="51" a="1"/>
  <c r="H2793" i="51" s="1"/>
  <c r="H2794" i="51" a="1"/>
  <c r="H2794" i="51" s="1"/>
  <c r="H2795" i="51" a="1"/>
  <c r="H2795" i="51" s="1"/>
  <c r="H2796" i="51" a="1"/>
  <c r="H2796" i="51" s="1"/>
  <c r="H2797" i="51" a="1"/>
  <c r="H2797" i="51" s="1"/>
  <c r="H2798" i="51" a="1"/>
  <c r="H2798" i="51" s="1"/>
  <c r="H2799" i="51" a="1"/>
  <c r="H2799" i="51" s="1"/>
  <c r="H2800" i="51" a="1"/>
  <c r="H2800" i="51" s="1"/>
  <c r="H2801" i="51" a="1"/>
  <c r="H2801" i="51" s="1"/>
  <c r="H2802" i="51" a="1"/>
  <c r="H2802" i="51" s="1"/>
  <c r="H2803" i="51" a="1"/>
  <c r="H2803" i="51" s="1"/>
  <c r="H2804" i="51" a="1"/>
  <c r="H2804" i="51" s="1"/>
  <c r="H2805" i="51" a="1"/>
  <c r="H2805" i="51" s="1"/>
  <c r="H2806" i="51" a="1"/>
  <c r="H2806" i="51" s="1"/>
  <c r="H2807" i="51" a="1"/>
  <c r="H2807" i="51" s="1"/>
  <c r="H2808" i="51" a="1"/>
  <c r="H2808" i="51" s="1"/>
  <c r="H2809" i="51" a="1"/>
  <c r="H2809" i="51" s="1"/>
  <c r="H2810" i="51" a="1"/>
  <c r="H2810" i="51" s="1"/>
  <c r="H2811" i="51" a="1"/>
  <c r="H2811" i="51" s="1"/>
  <c r="H2812" i="51" a="1"/>
  <c r="H2812" i="51" s="1"/>
  <c r="H2813" i="51" a="1"/>
  <c r="H2813" i="51" s="1"/>
  <c r="H2814" i="51" a="1"/>
  <c r="H2814" i="51"/>
  <c r="H2815" i="51" a="1"/>
  <c r="H2815" i="51" s="1"/>
  <c r="H2816" i="51" a="1"/>
  <c r="H2816" i="51" s="1"/>
  <c r="H2817" i="51" a="1"/>
  <c r="H2817" i="51" s="1"/>
  <c r="H2818" i="51" a="1"/>
  <c r="H2818" i="51" s="1"/>
  <c r="H2819" i="51" a="1"/>
  <c r="H2819" i="51"/>
  <c r="H2820" i="51" a="1"/>
  <c r="H2820" i="51"/>
  <c r="H2821" i="51" a="1"/>
  <c r="H2821" i="51" s="1"/>
  <c r="H2822" i="51" a="1"/>
  <c r="H2822" i="51" s="1"/>
  <c r="H2823" i="51" a="1"/>
  <c r="H2823" i="51"/>
  <c r="H2824" i="51" a="1"/>
  <c r="H2824" i="51" s="1"/>
  <c r="H2825" i="51" a="1"/>
  <c r="H2825" i="51" s="1"/>
  <c r="H2826" i="51" a="1"/>
  <c r="H2826" i="51"/>
  <c r="H2827" i="51" a="1"/>
  <c r="H2827" i="51" s="1"/>
  <c r="H2828" i="51" a="1"/>
  <c r="H2828" i="51" s="1"/>
  <c r="H2829" i="51" a="1"/>
  <c r="H2829" i="51" s="1"/>
  <c r="H2830" i="51" a="1"/>
  <c r="H2830" i="51" s="1"/>
  <c r="H2831" i="51" a="1"/>
  <c r="H2831" i="51" s="1"/>
  <c r="H2832" i="51" a="1"/>
  <c r="H2832" i="51" s="1"/>
  <c r="H2833" i="51" a="1"/>
  <c r="H2833" i="51" s="1"/>
  <c r="H2834" i="51" a="1"/>
  <c r="H2834" i="51" s="1"/>
  <c r="H2835" i="51" a="1"/>
  <c r="H2835" i="51" s="1"/>
  <c r="H2836" i="51" a="1"/>
  <c r="H2836" i="51" s="1"/>
  <c r="H2837" i="51" a="1"/>
  <c r="H2837" i="51" s="1"/>
  <c r="H2838" i="51" a="1"/>
  <c r="H2838" i="51" s="1"/>
  <c r="H2839" i="51" a="1"/>
  <c r="H2839" i="51" s="1"/>
  <c r="H2840" i="51" a="1"/>
  <c r="H2840" i="51" s="1"/>
  <c r="H2841" i="51" a="1"/>
  <c r="H2841" i="51" s="1"/>
  <c r="H2842" i="51" a="1"/>
  <c r="H2842" i="51" s="1"/>
  <c r="H2843" i="51" a="1"/>
  <c r="H2843" i="51" s="1"/>
  <c r="H2844" i="51" a="1"/>
  <c r="H2844" i="51"/>
  <c r="H2845" i="51" a="1"/>
  <c r="H2845" i="51" s="1"/>
  <c r="H2846" i="51" a="1"/>
  <c r="H2846" i="51" s="1"/>
  <c r="H2847" i="51" a="1"/>
  <c r="H2847" i="51" s="1"/>
  <c r="H2848" i="51" a="1"/>
  <c r="H2848" i="51" s="1"/>
  <c r="H2849" i="51" a="1"/>
  <c r="H2849" i="51" s="1"/>
  <c r="H2850" i="51" a="1"/>
  <c r="H2850" i="51" s="1"/>
  <c r="H2851" i="51" a="1"/>
  <c r="H2851" i="51"/>
  <c r="H2852" i="51" a="1"/>
  <c r="H2852" i="51" s="1"/>
  <c r="H2853" i="51" a="1"/>
  <c r="H2853" i="51" s="1"/>
  <c r="H2854" i="51" a="1"/>
  <c r="H2854" i="51" s="1"/>
  <c r="H2855" i="51" a="1"/>
  <c r="H2855" i="51" s="1"/>
  <c r="H2856" i="51" a="1"/>
  <c r="H2856" i="51" s="1"/>
  <c r="H2857" i="51" a="1"/>
  <c r="H2857" i="51" s="1"/>
  <c r="H2858" i="51" a="1"/>
  <c r="H2858" i="51" s="1"/>
  <c r="H2859" i="51" a="1"/>
  <c r="H2859" i="51" s="1"/>
  <c r="H2860" i="51" a="1"/>
  <c r="H2860" i="51" s="1"/>
  <c r="H2861" i="51" a="1"/>
  <c r="H2861" i="51" s="1"/>
  <c r="H2862" i="51" a="1"/>
  <c r="H2862" i="51" s="1"/>
  <c r="H2863" i="51" a="1"/>
  <c r="H2863" i="51" s="1"/>
  <c r="H2864" i="51" a="1"/>
  <c r="H2864" i="51"/>
  <c r="H2865" i="51" a="1"/>
  <c r="H2865" i="51" s="1"/>
  <c r="H2866" i="51" a="1"/>
  <c r="H2866" i="51" s="1"/>
  <c r="H2867" i="51" a="1"/>
  <c r="H2867" i="51"/>
  <c r="H2868" i="51" a="1"/>
  <c r="H2868" i="51" s="1"/>
  <c r="H2869" i="51" a="1"/>
  <c r="H2869" i="51" s="1"/>
  <c r="H2870" i="51" a="1"/>
  <c r="H2870" i="51" s="1"/>
  <c r="H2871" i="51" a="1"/>
  <c r="H2871" i="51" s="1"/>
  <c r="H2872" i="51" a="1"/>
  <c r="H2872" i="51" s="1"/>
  <c r="H2873" i="51" a="1"/>
  <c r="H2873" i="51" s="1"/>
  <c r="H2874" i="51" a="1"/>
  <c r="H2874" i="51"/>
  <c r="H2875" i="51" a="1"/>
  <c r="H2875" i="51" s="1"/>
  <c r="H2876" i="51" a="1"/>
  <c r="H2876" i="51"/>
  <c r="H2877" i="51" a="1"/>
  <c r="H2877" i="51" s="1"/>
  <c r="H2878" i="51" a="1"/>
  <c r="H2878" i="51"/>
  <c r="H2879" i="51" a="1"/>
  <c r="H2879" i="51" s="1"/>
  <c r="H2880" i="51" a="1"/>
  <c r="H2880" i="51" s="1"/>
  <c r="H2881" i="51" a="1"/>
  <c r="H2881" i="51" s="1"/>
  <c r="H2882" i="51" a="1"/>
  <c r="H2882" i="51" s="1"/>
  <c r="H2883" i="51" a="1"/>
  <c r="H2883" i="51"/>
  <c r="H2884" i="51" a="1"/>
  <c r="H2884" i="51" s="1"/>
  <c r="H2885" i="51" a="1"/>
  <c r="H2885" i="51" s="1"/>
  <c r="H2886" i="51" a="1"/>
  <c r="H2886" i="51" s="1"/>
  <c r="H2887" i="51" a="1"/>
  <c r="H2887" i="51" s="1"/>
  <c r="H2888" i="51" a="1"/>
  <c r="H2888" i="51" s="1"/>
  <c r="H2889" i="51" a="1"/>
  <c r="H2889" i="51" s="1"/>
  <c r="H2890" i="51" a="1"/>
  <c r="H2890" i="51" s="1"/>
  <c r="H2891" i="51" a="1"/>
  <c r="H2891" i="51" s="1"/>
  <c r="H2892" i="51" a="1"/>
  <c r="H2892" i="51"/>
  <c r="H2893" i="51" a="1"/>
  <c r="H2893" i="51" s="1"/>
  <c r="H2894" i="51" a="1"/>
  <c r="H2894" i="51" s="1"/>
  <c r="H2895" i="51" a="1"/>
  <c r="H2895" i="51" s="1"/>
  <c r="H2896" i="51" a="1"/>
  <c r="H2896" i="51" s="1"/>
  <c r="H2897" i="51" a="1"/>
  <c r="H2897" i="51" s="1"/>
  <c r="H2898" i="51" a="1"/>
  <c r="H2898" i="51" s="1"/>
  <c r="H2899" i="51" a="1"/>
  <c r="H2899" i="51"/>
  <c r="H2900" i="51" a="1"/>
  <c r="H2900" i="51" s="1"/>
  <c r="H2901" i="51" a="1"/>
  <c r="H2901" i="51" s="1"/>
  <c r="H2902" i="51" a="1"/>
  <c r="H2902" i="51" s="1"/>
  <c r="H2903" i="51" a="1"/>
  <c r="H2903" i="51" s="1"/>
  <c r="H2904" i="51" a="1"/>
  <c r="H2904" i="51" s="1"/>
  <c r="H2905" i="51" a="1"/>
  <c r="H2905" i="51" s="1"/>
  <c r="H2906" i="51" a="1"/>
  <c r="H2906" i="51" s="1"/>
  <c r="H2907" i="51" a="1"/>
  <c r="H2907" i="51" s="1"/>
  <c r="H2908" i="51" a="1"/>
  <c r="H2908" i="51"/>
  <c r="H2909" i="51" a="1"/>
  <c r="H2909" i="51" s="1"/>
  <c r="H2910" i="51" a="1"/>
  <c r="H2910" i="51" s="1"/>
  <c r="H2911" i="51" a="1"/>
  <c r="H2911" i="51" s="1"/>
  <c r="H2912" i="51" a="1"/>
  <c r="H2912" i="51" s="1"/>
  <c r="H2913" i="51" a="1"/>
  <c r="H2913" i="51" s="1"/>
  <c r="H2914" i="51" a="1"/>
  <c r="H2914" i="51" s="1"/>
  <c r="H2915" i="51" a="1"/>
  <c r="H2915" i="51" s="1"/>
  <c r="H2916" i="51" a="1"/>
  <c r="H2916" i="51" s="1"/>
  <c r="H2917" i="51" a="1"/>
  <c r="H2917" i="51" s="1"/>
  <c r="H2918" i="51" a="1"/>
  <c r="H2918" i="51" s="1"/>
  <c r="H2919" i="51" a="1"/>
  <c r="H2919" i="51"/>
  <c r="H2920" i="51" a="1"/>
  <c r="H2920" i="51" s="1"/>
  <c r="H2921" i="51" a="1"/>
  <c r="H2921" i="51" s="1"/>
  <c r="H2922" i="51" a="1"/>
  <c r="H2922" i="51"/>
  <c r="H2923" i="51" a="1"/>
  <c r="H2923" i="51" s="1"/>
  <c r="H2924" i="51" a="1"/>
  <c r="H2924" i="51" s="1"/>
  <c r="H2925" i="51" a="1"/>
  <c r="H2925" i="51" s="1"/>
  <c r="H2926" i="51" a="1"/>
  <c r="H2926" i="51" s="1"/>
  <c r="H2927" i="51" a="1"/>
  <c r="H2927" i="51" s="1"/>
  <c r="H2928" i="51" a="1"/>
  <c r="H2928" i="51"/>
  <c r="H2929" i="51" a="1"/>
  <c r="H2929" i="51" s="1"/>
  <c r="H2930" i="51" a="1"/>
  <c r="H2930" i="51" s="1"/>
  <c r="H2931" i="51" a="1"/>
  <c r="H2931" i="51"/>
  <c r="H2932" i="51" a="1"/>
  <c r="H2932" i="51" s="1"/>
  <c r="H2933" i="51" a="1"/>
  <c r="H2933" i="51" s="1"/>
  <c r="H2934" i="51" a="1"/>
  <c r="H2934" i="51" s="1"/>
  <c r="H2935" i="51" a="1"/>
  <c r="H2935" i="51" s="1"/>
  <c r="H2936" i="51" a="1"/>
  <c r="H2936" i="51" s="1"/>
  <c r="H2937" i="51" a="1"/>
  <c r="H2937" i="51" s="1"/>
  <c r="H2938" i="51" a="1"/>
  <c r="H2938" i="51" s="1"/>
  <c r="H2939" i="51" a="1"/>
  <c r="H2939" i="51" s="1"/>
  <c r="H2940" i="51" a="1"/>
  <c r="H2940" i="51" s="1"/>
  <c r="H2941" i="51" a="1"/>
  <c r="H2941" i="51" s="1"/>
  <c r="H2942" i="51" a="1"/>
  <c r="H2942" i="51"/>
  <c r="H2943" i="51" a="1"/>
  <c r="H2943" i="51" s="1"/>
  <c r="H2944" i="51" a="1"/>
  <c r="H2944" i="51" s="1"/>
  <c r="H2945" i="51" a="1"/>
  <c r="H2945" i="51" s="1"/>
  <c r="H2946" i="51" a="1"/>
  <c r="H2946" i="51" s="1"/>
  <c r="H2947" i="51" a="1"/>
  <c r="H2947" i="51" s="1"/>
  <c r="H2948" i="51" a="1"/>
  <c r="H2948" i="51" s="1"/>
  <c r="H2949" i="51" a="1"/>
  <c r="H2949" i="51" s="1"/>
  <c r="H2950" i="51" a="1"/>
  <c r="H2950" i="51" s="1"/>
  <c r="H2951" i="51" a="1"/>
  <c r="H2951" i="51" s="1"/>
  <c r="H2952" i="51" a="1"/>
  <c r="H2952" i="51" s="1"/>
  <c r="H2953" i="51" a="1"/>
  <c r="H2953" i="51" s="1"/>
  <c r="H2954" i="51" a="1"/>
  <c r="H2954" i="51" s="1"/>
  <c r="H2955" i="51" a="1"/>
  <c r="H2955" i="51" s="1"/>
  <c r="H2956" i="51" a="1"/>
  <c r="H2956" i="51" s="1"/>
  <c r="H2957" i="51" a="1"/>
  <c r="H2957" i="51" s="1"/>
  <c r="H2958" i="51" a="1"/>
  <c r="H2958" i="51" s="1"/>
  <c r="H2959" i="51" a="1"/>
  <c r="H2959" i="51" s="1"/>
  <c r="H2960" i="51" a="1"/>
  <c r="H2960" i="51" s="1"/>
  <c r="H2961" i="51" a="1"/>
  <c r="H2961" i="51" s="1"/>
  <c r="H2962" i="51" a="1"/>
  <c r="H2962" i="51" s="1"/>
  <c r="H2963" i="51" a="1"/>
  <c r="H2963" i="51" s="1"/>
  <c r="H2964" i="51" a="1"/>
  <c r="H2964" i="51" s="1"/>
  <c r="H2965" i="51" a="1"/>
  <c r="H2965" i="51" s="1"/>
  <c r="H2966" i="51" a="1"/>
  <c r="H2966" i="51" s="1"/>
  <c r="H2967" i="51" a="1"/>
  <c r="H2967" i="51" s="1"/>
  <c r="H2968" i="51" a="1"/>
  <c r="H2968" i="51" s="1"/>
  <c r="H2969" i="51" a="1"/>
  <c r="H2969" i="51" s="1"/>
  <c r="H2970" i="51" a="1"/>
  <c r="H2970" i="51" s="1"/>
  <c r="H2971" i="51" a="1"/>
  <c r="H2971" i="51" s="1"/>
  <c r="H2972" i="51" a="1"/>
  <c r="H2972" i="51" s="1"/>
  <c r="H2973" i="51" a="1"/>
  <c r="H2973" i="51" s="1"/>
  <c r="H2974" i="51" a="1"/>
  <c r="H2974" i="51" s="1"/>
  <c r="H2975" i="51" a="1"/>
  <c r="H2975" i="51" s="1"/>
  <c r="H2976" i="51" a="1"/>
  <c r="H2976" i="51" s="1"/>
  <c r="H2977" i="51" a="1"/>
  <c r="H2977" i="51" s="1"/>
  <c r="H2978" i="51" a="1"/>
  <c r="H2978" i="51" s="1"/>
  <c r="H2979" i="51" a="1"/>
  <c r="H2979" i="51" s="1"/>
  <c r="H2980" i="51" a="1"/>
  <c r="H2980" i="51" s="1"/>
  <c r="H2981" i="51" a="1"/>
  <c r="H2981" i="51" s="1"/>
  <c r="H2982" i="51" a="1"/>
  <c r="H2982" i="51" s="1"/>
  <c r="H2983" i="51" a="1"/>
  <c r="H2983" i="51"/>
  <c r="H2984" i="51" a="1"/>
  <c r="H2984" i="51" s="1"/>
  <c r="H2985" i="51" a="1"/>
  <c r="H2985" i="51" s="1"/>
  <c r="H2986" i="51" a="1"/>
  <c r="H2986" i="51" s="1"/>
  <c r="H2987" i="51" a="1"/>
  <c r="H2987" i="51" s="1"/>
  <c r="H2988" i="51" a="1"/>
  <c r="H2988" i="51" s="1"/>
  <c r="H2989" i="51" a="1"/>
  <c r="H2989" i="51" s="1"/>
  <c r="H2990" i="51" a="1"/>
  <c r="H2990" i="51" s="1"/>
  <c r="H2991" i="51" a="1"/>
  <c r="H2991" i="51" s="1"/>
  <c r="H2992" i="51" a="1"/>
  <c r="H2992" i="51" s="1"/>
  <c r="H2993" i="51" a="1"/>
  <c r="H2993" i="51" s="1"/>
  <c r="H2994" i="51" a="1"/>
  <c r="H2994" i="51" s="1"/>
  <c r="H2995" i="51" a="1"/>
  <c r="H2995" i="51"/>
  <c r="H2996" i="51" a="1"/>
  <c r="H2996" i="51" s="1"/>
  <c r="H2997" i="51" a="1"/>
  <c r="H2997" i="51" s="1"/>
  <c r="H2998" i="51" a="1"/>
  <c r="H2998" i="51" s="1"/>
  <c r="H2999" i="51" a="1"/>
  <c r="H2999" i="51" s="1"/>
  <c r="H3000" i="51" a="1"/>
  <c r="H3000" i="51" s="1"/>
  <c r="H3001" i="51" a="1"/>
  <c r="H3001" i="51" s="1"/>
  <c r="H3002" i="51" a="1"/>
  <c r="H3002" i="51"/>
  <c r="H3003" i="51" a="1"/>
  <c r="H3003" i="51" s="1"/>
  <c r="H3004" i="51" a="1"/>
  <c r="H3004" i="51" s="1"/>
  <c r="H3005" i="51" a="1"/>
  <c r="H3005" i="51" s="1"/>
  <c r="H3006" i="51" a="1"/>
  <c r="H3006" i="51" s="1"/>
  <c r="H3007" i="51" a="1"/>
  <c r="H3007" i="51" s="1"/>
  <c r="H3008" i="51" a="1"/>
  <c r="H3008" i="51" s="1"/>
  <c r="H3009" i="51" a="1"/>
  <c r="H3009" i="51" s="1"/>
  <c r="H3010" i="51" a="1"/>
  <c r="H3010" i="51" s="1"/>
  <c r="H3011" i="51" a="1"/>
  <c r="H3011" i="51"/>
  <c r="H3012" i="51" a="1"/>
  <c r="H3012" i="51" s="1"/>
  <c r="H3013" i="51" a="1"/>
  <c r="H3013" i="51" s="1"/>
  <c r="H3014" i="51" a="1"/>
  <c r="H3014" i="51" s="1"/>
  <c r="H3015" i="51" a="1"/>
  <c r="H3015" i="51" s="1"/>
  <c r="H3016" i="51" a="1"/>
  <c r="H3016" i="51" s="1"/>
  <c r="H3017" i="51" a="1"/>
  <c r="H3017" i="51" s="1"/>
  <c r="H3018" i="51" a="1"/>
  <c r="H3018" i="51" s="1"/>
  <c r="H3019" i="51" a="1"/>
  <c r="H3019" i="51" s="1"/>
  <c r="H3020" i="51" a="1"/>
  <c r="H3020" i="51" s="1"/>
  <c r="H3021" i="51" a="1"/>
  <c r="H3021" i="51" s="1"/>
  <c r="H3022" i="51" a="1"/>
  <c r="H3022" i="51" s="1"/>
  <c r="H3023" i="51" a="1"/>
  <c r="H3023" i="51" s="1"/>
  <c r="H3024" i="51" a="1"/>
  <c r="H3024" i="51" s="1"/>
  <c r="H3025" i="51" a="1"/>
  <c r="H3025" i="51" s="1"/>
  <c r="H3026" i="51" a="1"/>
  <c r="H3026" i="51" s="1"/>
  <c r="H3027" i="51" a="1"/>
  <c r="H3027" i="51" s="1"/>
  <c r="H3028" i="51" a="1"/>
  <c r="H3028" i="51" s="1"/>
  <c r="H3029" i="51" a="1"/>
  <c r="H3029" i="51" s="1"/>
  <c r="H3030" i="51" a="1"/>
  <c r="H3030" i="51" s="1"/>
  <c r="H3031" i="51" a="1"/>
  <c r="H3031" i="51" s="1"/>
  <c r="H3032" i="51" a="1"/>
  <c r="H3032" i="51" s="1"/>
  <c r="H3033" i="51" a="1"/>
  <c r="H3033" i="51" s="1"/>
  <c r="H3034" i="51" a="1"/>
  <c r="H3034" i="51" s="1"/>
  <c r="H3035" i="51" a="1"/>
  <c r="H3035" i="51" s="1"/>
  <c r="H3036" i="51" a="1"/>
  <c r="H3036" i="51"/>
  <c r="H3037" i="51" a="1"/>
  <c r="H3037" i="51" s="1"/>
  <c r="H3038" i="51" a="1"/>
  <c r="H3038" i="51"/>
  <c r="H3039" i="51" a="1"/>
  <c r="H3039" i="51" s="1"/>
  <c r="H3040" i="51" a="1"/>
  <c r="H3040" i="51" s="1"/>
  <c r="H3041" i="51" a="1"/>
  <c r="H3041" i="51" s="1"/>
  <c r="H3042" i="51" a="1"/>
  <c r="H3042" i="51" s="1"/>
  <c r="H3043" i="51" a="1"/>
  <c r="H3043" i="51" s="1"/>
  <c r="H3044" i="51" a="1"/>
  <c r="H3044" i="51" s="1"/>
  <c r="H3045" i="51" a="1"/>
  <c r="H3045" i="51" s="1"/>
  <c r="H3046" i="51" a="1"/>
  <c r="H3046" i="51" s="1"/>
  <c r="H3047" i="51" a="1"/>
  <c r="H3047" i="51"/>
  <c r="H3048" i="51" a="1"/>
  <c r="H3048" i="51" s="1"/>
  <c r="H3049" i="51" a="1"/>
  <c r="H3049" i="51" s="1"/>
  <c r="H3050" i="51" a="1"/>
  <c r="H3050" i="51"/>
  <c r="H3051" i="51" a="1"/>
  <c r="H3051" i="51" s="1"/>
  <c r="H3052" i="51" a="1"/>
  <c r="H3052" i="51" s="1"/>
  <c r="H3053" i="51" a="1"/>
  <c r="H3053" i="51" s="1"/>
  <c r="H3054" i="51" a="1"/>
  <c r="H3054" i="51" s="1"/>
  <c r="H3055" i="51" a="1"/>
  <c r="H3055" i="51" s="1"/>
  <c r="H3056" i="51" a="1"/>
  <c r="H3056" i="51" s="1"/>
  <c r="H3057" i="51" a="1"/>
  <c r="H3057" i="51" s="1"/>
  <c r="H3058" i="51" a="1"/>
  <c r="H3058" i="51" s="1"/>
  <c r="H3059" i="51" a="1"/>
  <c r="H3059" i="51"/>
  <c r="H3060" i="51" a="1"/>
  <c r="H3060" i="51" s="1"/>
  <c r="H3061" i="51" a="1"/>
  <c r="H3061" i="51" s="1"/>
  <c r="H3062" i="51" a="1"/>
  <c r="H3062" i="51" s="1"/>
  <c r="H3063" i="51" a="1"/>
  <c r="H3063" i="51" s="1"/>
  <c r="H3064" i="51" a="1"/>
  <c r="H3064" i="51" s="1"/>
  <c r="H3065" i="51" a="1"/>
  <c r="H3065" i="51" s="1"/>
  <c r="H3066" i="51" a="1"/>
  <c r="H3066" i="51"/>
  <c r="H3067" i="51" a="1"/>
  <c r="H3067" i="51" s="1"/>
  <c r="H3068" i="51" a="1"/>
  <c r="H3068" i="51" s="1"/>
  <c r="H3069" i="51" a="1"/>
  <c r="H3069" i="51" s="1"/>
  <c r="H3070" i="51" a="1"/>
  <c r="H3070" i="51"/>
  <c r="H3071" i="51" a="1"/>
  <c r="H3071" i="51" s="1"/>
  <c r="H3072" i="51" a="1"/>
  <c r="H3072" i="51" s="1"/>
  <c r="H3073" i="51" a="1"/>
  <c r="H3073" i="51" s="1"/>
  <c r="H3074" i="51" a="1"/>
  <c r="H3074" i="51" s="1"/>
  <c r="H3075" i="51" a="1"/>
  <c r="H3075" i="51" s="1"/>
  <c r="H3076" i="51" a="1"/>
  <c r="H3076" i="51" s="1"/>
  <c r="H3077" i="51" a="1"/>
  <c r="H3077" i="51" s="1"/>
  <c r="H3078" i="51" a="1"/>
  <c r="H3078" i="51" s="1"/>
  <c r="H3079" i="51" a="1"/>
  <c r="H3079" i="51" s="1"/>
  <c r="H3080" i="51" a="1"/>
  <c r="H3080" i="51" s="1"/>
  <c r="H3081" i="51" a="1"/>
  <c r="H3081" i="51" s="1"/>
  <c r="H3082" i="51" a="1"/>
  <c r="H3082" i="51"/>
  <c r="H3083" i="51" a="1"/>
  <c r="H3083" i="51" s="1"/>
  <c r="H3084" i="51" a="1"/>
  <c r="H3084" i="51"/>
  <c r="H3085" i="51" a="1"/>
  <c r="H3085" i="51" s="1"/>
  <c r="H3086" i="51" a="1"/>
  <c r="H3086" i="51" s="1"/>
  <c r="H3087" i="51" a="1"/>
  <c r="H3087" i="51" s="1"/>
  <c r="H3088" i="51" a="1"/>
  <c r="H3088" i="51"/>
  <c r="H3089" i="51" a="1"/>
  <c r="H3089" i="51" s="1"/>
  <c r="H3090" i="51" a="1"/>
  <c r="H3090" i="51" s="1"/>
  <c r="H3091" i="51" a="1"/>
  <c r="H3091" i="51" s="1"/>
  <c r="H3092" i="51" a="1"/>
  <c r="H3092" i="51" s="1"/>
  <c r="H3093" i="51" a="1"/>
  <c r="H3093" i="51" s="1"/>
  <c r="H3094" i="51" a="1"/>
  <c r="H3094" i="51" s="1"/>
  <c r="H3095" i="51" a="1"/>
  <c r="H3095" i="51" s="1"/>
  <c r="H3096" i="51" a="1"/>
  <c r="H3096" i="51" s="1"/>
  <c r="H3097" i="51" a="1"/>
  <c r="H3097" i="51" s="1"/>
  <c r="H3098" i="51" a="1"/>
  <c r="H3098" i="51" s="1"/>
  <c r="H3099" i="51" a="1"/>
  <c r="H3099" i="51" s="1"/>
  <c r="H3100" i="51" a="1"/>
  <c r="H3100" i="51" s="1"/>
  <c r="H3101" i="51" a="1"/>
  <c r="H3101" i="51" s="1"/>
  <c r="H3102" i="51" a="1"/>
  <c r="H3102" i="51" s="1"/>
  <c r="H3103" i="51" a="1"/>
  <c r="H3103" i="51" s="1"/>
  <c r="H3104" i="51" a="1"/>
  <c r="H3104" i="51" s="1"/>
  <c r="H3105" i="51" a="1"/>
  <c r="H3105" i="51" s="1"/>
  <c r="H3106" i="51" a="1"/>
  <c r="H3106" i="51" s="1"/>
  <c r="H3107" i="51" a="1"/>
  <c r="H3107" i="51"/>
  <c r="H3108" i="51" a="1"/>
  <c r="H3108" i="51" s="1"/>
  <c r="H3109" i="51" a="1"/>
  <c r="H3109" i="51" s="1"/>
  <c r="H3110" i="51" a="1"/>
  <c r="H3110" i="51" s="1"/>
  <c r="H3111" i="51" a="1"/>
  <c r="H3111" i="51" s="1"/>
  <c r="H3112" i="51" a="1"/>
  <c r="H3112" i="51" s="1"/>
  <c r="H3113" i="51" a="1"/>
  <c r="H3113" i="51" s="1"/>
  <c r="H3114" i="51" a="1"/>
  <c r="H3114" i="51" s="1"/>
  <c r="H3115" i="51" a="1"/>
  <c r="H3115" i="51" s="1"/>
  <c r="H3116" i="51" a="1"/>
  <c r="H3116" i="51" s="1"/>
  <c r="H3117" i="51" a="1"/>
  <c r="H3117" i="51" s="1"/>
  <c r="H3118" i="51" a="1"/>
  <c r="H3118" i="51" s="1"/>
  <c r="H3119" i="51" a="1"/>
  <c r="H3119" i="51" s="1"/>
  <c r="H3120" i="51" a="1"/>
  <c r="H3120" i="51"/>
  <c r="H3121" i="51" a="1"/>
  <c r="H3121" i="51" s="1"/>
  <c r="H3122" i="51" a="1"/>
  <c r="H3122" i="51" s="1"/>
  <c r="H3123" i="51" a="1"/>
  <c r="H3123" i="51"/>
  <c r="H3124" i="51" a="1"/>
  <c r="H3124" i="51" s="1"/>
  <c r="H3125" i="51" a="1"/>
  <c r="H3125" i="51" s="1"/>
  <c r="H3126" i="51" a="1"/>
  <c r="H3126" i="51" s="1"/>
  <c r="H3127" i="51" a="1"/>
  <c r="H3127" i="51" s="1"/>
  <c r="H3128" i="51" a="1"/>
  <c r="H3128" i="51" s="1"/>
  <c r="H3129" i="51" a="1"/>
  <c r="H3129" i="51" s="1"/>
  <c r="H3130" i="51" a="1"/>
  <c r="H3130" i="51"/>
  <c r="H3131" i="51" a="1"/>
  <c r="H3131" i="51" s="1"/>
  <c r="H3132" i="51" a="1"/>
  <c r="H3132" i="51"/>
  <c r="H3133" i="51" a="1"/>
  <c r="H3133" i="51" s="1"/>
  <c r="H3134" i="51" a="1"/>
  <c r="H3134" i="51"/>
  <c r="H3135" i="51" a="1"/>
  <c r="H3135" i="51" s="1"/>
  <c r="H3136" i="51" a="1"/>
  <c r="H3136" i="51" s="1"/>
  <c r="H3137" i="51" a="1"/>
  <c r="H3137" i="51" s="1"/>
  <c r="H3138" i="51" a="1"/>
  <c r="H3138" i="51" s="1"/>
  <c r="H3139" i="51" a="1"/>
  <c r="H3139" i="51"/>
  <c r="H3140" i="51" a="1"/>
  <c r="H3140" i="51" s="1"/>
  <c r="H3141" i="51" a="1"/>
  <c r="H3141" i="51" s="1"/>
  <c r="H3142" i="51" a="1"/>
  <c r="H3142" i="51" s="1"/>
  <c r="H3143" i="51" a="1"/>
  <c r="H3143" i="51" s="1"/>
  <c r="H3144" i="51" a="1"/>
  <c r="H3144" i="51" s="1"/>
  <c r="H3145" i="51" a="1"/>
  <c r="H3145" i="51" s="1"/>
  <c r="H3146" i="51" a="1"/>
  <c r="H3146" i="51" s="1"/>
  <c r="H3147" i="51" a="1"/>
  <c r="H3147" i="51" s="1"/>
  <c r="H3148" i="51" a="1"/>
  <c r="H3148" i="51"/>
  <c r="H3149" i="51" a="1"/>
  <c r="H3149" i="51" s="1"/>
  <c r="H3150" i="51" a="1"/>
  <c r="H3150" i="51" s="1"/>
  <c r="H3151" i="51" a="1"/>
  <c r="H3151" i="51" s="1"/>
  <c r="H3152" i="51" a="1"/>
  <c r="H3152" i="51" s="1"/>
  <c r="H3153" i="51" a="1"/>
  <c r="H3153" i="51" s="1"/>
  <c r="H3154" i="51" a="1"/>
  <c r="H3154" i="51" s="1"/>
  <c r="H3155" i="51" a="1"/>
  <c r="H3155" i="51" s="1"/>
  <c r="H3156" i="51" a="1"/>
  <c r="H3156" i="51" s="1"/>
  <c r="H3157" i="51" a="1"/>
  <c r="H3157" i="51" s="1"/>
  <c r="H3158" i="51" a="1"/>
  <c r="H3158" i="51" s="1"/>
  <c r="H3159" i="51" a="1"/>
  <c r="H3159" i="51" s="1"/>
  <c r="H3160" i="51" a="1"/>
  <c r="H3160" i="51" s="1"/>
  <c r="H3161" i="51" a="1"/>
  <c r="H3161" i="51" s="1"/>
  <c r="H3162" i="51" a="1"/>
  <c r="H3162" i="51" s="1"/>
  <c r="H3163" i="51" a="1"/>
  <c r="H3163" i="51" s="1"/>
  <c r="H3164" i="51" a="1"/>
  <c r="H3164" i="51"/>
  <c r="H3165" i="51" a="1"/>
  <c r="H3165" i="51" s="1"/>
  <c r="H3166" i="51" a="1"/>
  <c r="H3166" i="51" s="1"/>
  <c r="H3167" i="51" a="1"/>
  <c r="H3167" i="51" s="1"/>
  <c r="H3168" i="51" a="1"/>
  <c r="H3168" i="51" s="1"/>
  <c r="H3169" i="51" a="1"/>
  <c r="H3169" i="51" s="1"/>
  <c r="H3170" i="51" a="1"/>
  <c r="H3170" i="51" s="1"/>
  <c r="H3171" i="51" a="1"/>
  <c r="H3171" i="51" s="1"/>
  <c r="H3172" i="51" a="1"/>
  <c r="H3172" i="51" s="1"/>
  <c r="H3173" i="51" a="1"/>
  <c r="H3173" i="51" s="1"/>
  <c r="H3174" i="51" a="1"/>
  <c r="H3174" i="51" s="1"/>
  <c r="H3175" i="51" a="1"/>
  <c r="H3175" i="51"/>
  <c r="H3176" i="51" a="1"/>
  <c r="H3176" i="51" s="1"/>
  <c r="H3177" i="51" a="1"/>
  <c r="H3177" i="51" s="1"/>
  <c r="H3178" i="51" a="1"/>
  <c r="H3178" i="51"/>
  <c r="H3179" i="51" a="1"/>
  <c r="H3179" i="51" s="1"/>
  <c r="H3180" i="51" a="1"/>
  <c r="H3180" i="51" s="1"/>
  <c r="H3181" i="51" a="1"/>
  <c r="H3181" i="51" s="1"/>
  <c r="H3182" i="51" a="1"/>
  <c r="H3182" i="51" s="1"/>
  <c r="H3183" i="51" a="1"/>
  <c r="H3183" i="51" s="1"/>
  <c r="H3184" i="51" a="1"/>
  <c r="H3184" i="51" s="1"/>
  <c r="H3185" i="51" a="1"/>
  <c r="H3185" i="51" s="1"/>
  <c r="H3186" i="51" a="1"/>
  <c r="H3186" i="51" s="1"/>
  <c r="H3187" i="51" a="1"/>
  <c r="H3187" i="51" s="1"/>
  <c r="H3188" i="51" a="1"/>
  <c r="H3188" i="51" s="1"/>
  <c r="H3189" i="51" a="1"/>
  <c r="H3189" i="51" s="1"/>
  <c r="H3190" i="51" a="1"/>
  <c r="H3190" i="51" s="1"/>
  <c r="H3191" i="51" a="1"/>
  <c r="H3191" i="51" s="1"/>
  <c r="H3192" i="51" a="1"/>
  <c r="H3192" i="51" s="1"/>
  <c r="H3193" i="51" a="1"/>
  <c r="H3193" i="51" s="1"/>
  <c r="H3194" i="51" a="1"/>
  <c r="H3194" i="51" s="1"/>
  <c r="H3195" i="51" a="1"/>
  <c r="H3195" i="51" s="1"/>
  <c r="H3196" i="51" a="1"/>
  <c r="H3196" i="51" s="1"/>
  <c r="H3197" i="51" a="1"/>
  <c r="H3197" i="51" s="1"/>
  <c r="H3198" i="51" a="1"/>
  <c r="H3198" i="51" s="1"/>
  <c r="H3199" i="51" a="1"/>
  <c r="H3199" i="51" s="1"/>
  <c r="H3200" i="51" a="1"/>
  <c r="H3200" i="51" s="1"/>
  <c r="H3201" i="51" a="1"/>
  <c r="H3201" i="51" s="1"/>
  <c r="H3202" i="51" a="1"/>
  <c r="H3202" i="51" s="1"/>
  <c r="H3203" i="51" a="1"/>
  <c r="H3203" i="51"/>
  <c r="H3204" i="51" a="1"/>
  <c r="H3204" i="51" s="1"/>
  <c r="H3205" i="51" a="1"/>
  <c r="H3205" i="51" s="1"/>
  <c r="H3206" i="51" a="1"/>
  <c r="H3206" i="51" s="1"/>
  <c r="H3207" i="51" a="1"/>
  <c r="H3207" i="51" s="1"/>
  <c r="H3208" i="51" a="1"/>
  <c r="H3208" i="51" s="1"/>
  <c r="H3209" i="51" a="1"/>
  <c r="H3209" i="51" s="1"/>
  <c r="H3210" i="51" a="1"/>
  <c r="H3210" i="51" s="1"/>
  <c r="H3211" i="51" a="1"/>
  <c r="H3211" i="51" s="1"/>
  <c r="H3212" i="51" a="1"/>
  <c r="H3212" i="51" s="1"/>
  <c r="H3213" i="51" a="1"/>
  <c r="H3213" i="51" s="1"/>
  <c r="H3214" i="51" a="1"/>
  <c r="H3214" i="51" s="1"/>
  <c r="H3215" i="51" a="1"/>
  <c r="H3215" i="51" s="1"/>
  <c r="H3216" i="51" a="1"/>
  <c r="H3216" i="51" s="1"/>
  <c r="H3217" i="51" a="1"/>
  <c r="H3217" i="51" s="1"/>
  <c r="H3218" i="51" a="1"/>
  <c r="H3218" i="51" s="1"/>
  <c r="H3219" i="51" a="1"/>
  <c r="H3219" i="51" s="1"/>
  <c r="H3220" i="51" a="1"/>
  <c r="H3220" i="51" s="1"/>
  <c r="H3221" i="51" a="1"/>
  <c r="H3221" i="51" s="1"/>
  <c r="H3222" i="51" a="1"/>
  <c r="H3222" i="51" s="1"/>
  <c r="H3223" i="51" a="1"/>
  <c r="H3223" i="51" s="1"/>
  <c r="H3224" i="51" a="1"/>
  <c r="H3224" i="51" s="1"/>
  <c r="H3225" i="51" a="1"/>
  <c r="H3225" i="51" s="1"/>
  <c r="H3226" i="51" a="1"/>
  <c r="H3226" i="51" s="1"/>
  <c r="H3227" i="51" a="1"/>
  <c r="H3227" i="51" s="1"/>
  <c r="H3228" i="51" a="1"/>
  <c r="H3228" i="51" s="1"/>
  <c r="H3229" i="51" a="1"/>
  <c r="H3229" i="51" s="1"/>
  <c r="H3230" i="51" a="1"/>
  <c r="H3230" i="51" s="1"/>
  <c r="H3231" i="51" a="1"/>
  <c r="H3231" i="51" s="1"/>
  <c r="H3232" i="51" a="1"/>
  <c r="H3232" i="51" s="1"/>
  <c r="H3233" i="51" a="1"/>
  <c r="H3233" i="51" s="1"/>
  <c r="H3234" i="51" a="1"/>
  <c r="H3234" i="51" s="1"/>
  <c r="H3235" i="51" a="1"/>
  <c r="H3235" i="51" s="1"/>
  <c r="H3236" i="51" a="1"/>
  <c r="H3236" i="51" s="1"/>
  <c r="H3237" i="51" a="1"/>
  <c r="H3237" i="51" s="1"/>
  <c r="H3238" i="51" a="1"/>
  <c r="H3238" i="51" s="1"/>
  <c r="H3239" i="51" a="1"/>
  <c r="H3239" i="51" s="1"/>
  <c r="H3240" i="51" a="1"/>
  <c r="H3240" i="51" s="1"/>
  <c r="H3241" i="51" a="1"/>
  <c r="H3241" i="51" s="1"/>
  <c r="H3242" i="51" a="1"/>
  <c r="H3242" i="51" s="1"/>
  <c r="H3243" i="51" a="1"/>
  <c r="H3243" i="51" s="1"/>
  <c r="H3244" i="51" a="1"/>
  <c r="H3244" i="51"/>
  <c r="H3245" i="51" a="1"/>
  <c r="H3245" i="51" s="1"/>
  <c r="H3246" i="51" a="1"/>
  <c r="H3246" i="51" s="1"/>
  <c r="H3247" i="51" a="1"/>
  <c r="H3247" i="51" s="1"/>
  <c r="H3248" i="51" a="1"/>
  <c r="H3248" i="51" s="1"/>
  <c r="H3249" i="51" a="1"/>
  <c r="H3249" i="51" s="1"/>
  <c r="H3250" i="51" a="1"/>
  <c r="H3250" i="51" s="1"/>
  <c r="H3251" i="51" a="1"/>
  <c r="H3251" i="51" s="1"/>
  <c r="H3252" i="51" a="1"/>
  <c r="H3252" i="51" s="1"/>
  <c r="H3253" i="51" a="1"/>
  <c r="H3253" i="51" s="1"/>
  <c r="H3254" i="51" a="1"/>
  <c r="H3254" i="51" s="1"/>
  <c r="H3255" i="51" a="1"/>
  <c r="H3255" i="51" s="1"/>
  <c r="H3256" i="51" a="1"/>
  <c r="H3256" i="51" s="1"/>
  <c r="H3257" i="51" a="1"/>
  <c r="H3257" i="51" s="1"/>
  <c r="H3258" i="51" a="1"/>
  <c r="H3258" i="51" s="1"/>
  <c r="H3259" i="51" a="1"/>
  <c r="H3259" i="51" s="1"/>
  <c r="H3260" i="51" a="1"/>
  <c r="H3260" i="51" s="1"/>
  <c r="H3261" i="51" a="1"/>
  <c r="H3261" i="51" s="1"/>
  <c r="H3262" i="51" a="1"/>
  <c r="H3262" i="51" s="1"/>
  <c r="H3263" i="51" a="1"/>
  <c r="H3263" i="51" s="1"/>
  <c r="H3264" i="51" a="1"/>
  <c r="H3264" i="51" s="1"/>
  <c r="H3265" i="51" a="1"/>
  <c r="H3265" i="51" s="1"/>
  <c r="H3266" i="51" a="1"/>
  <c r="H3266" i="51" s="1"/>
  <c r="H3267" i="51" a="1"/>
  <c r="H3267" i="51"/>
  <c r="H3268" i="51" a="1"/>
  <c r="H3268" i="51" s="1"/>
  <c r="H3269" i="51" a="1"/>
  <c r="H3269" i="51" s="1"/>
  <c r="H3270" i="51" a="1"/>
  <c r="H3270" i="51" s="1"/>
  <c r="H3271" i="51" a="1"/>
  <c r="H3271" i="51" s="1"/>
  <c r="H3272" i="51" a="1"/>
  <c r="H3272" i="51" s="1"/>
  <c r="H3273" i="51" a="1"/>
  <c r="H3273" i="51" s="1"/>
  <c r="H3274" i="51" a="1"/>
  <c r="H3274" i="51" s="1"/>
  <c r="H3275" i="51" a="1"/>
  <c r="H3275" i="51" s="1"/>
  <c r="H3276" i="51" a="1"/>
  <c r="H3276" i="51" s="1"/>
  <c r="H3277" i="51" a="1"/>
  <c r="H3277" i="51" s="1"/>
  <c r="H3278" i="51" a="1"/>
  <c r="H3278" i="51" s="1"/>
  <c r="H3279" i="51" a="1"/>
  <c r="H3279" i="51" s="1"/>
  <c r="H3280" i="51" a="1"/>
  <c r="H3280" i="51" s="1"/>
  <c r="H3281" i="51" a="1"/>
  <c r="H3281" i="51" s="1"/>
  <c r="H3282" i="51" a="1"/>
  <c r="H3282" i="51" s="1"/>
  <c r="H3283" i="51" a="1"/>
  <c r="H3283" i="51" s="1"/>
  <c r="H3284" i="51" a="1"/>
  <c r="H3284" i="51" s="1"/>
  <c r="H3285" i="51" a="1"/>
  <c r="H3285" i="51" s="1"/>
  <c r="H3286" i="51" a="1"/>
  <c r="H3286" i="51" s="1"/>
  <c r="H3287" i="51" a="1"/>
  <c r="H3287" i="51" s="1"/>
  <c r="H3288" i="51" a="1"/>
  <c r="H3288" i="51" s="1"/>
  <c r="H3289" i="51" a="1"/>
  <c r="H3289" i="51" s="1"/>
  <c r="H3290" i="51" a="1"/>
  <c r="H3290" i="51" s="1"/>
  <c r="H3291" i="51" a="1"/>
  <c r="H3291" i="51" s="1"/>
  <c r="H3292" i="51" a="1"/>
  <c r="H3292" i="51" s="1"/>
  <c r="H3293" i="51" a="1"/>
  <c r="H3293" i="51" s="1"/>
  <c r="H3294" i="51" a="1"/>
  <c r="H3294" i="51" s="1"/>
  <c r="H3295" i="51" a="1"/>
  <c r="H3295" i="51" s="1"/>
  <c r="H3296" i="51" a="1"/>
  <c r="H3296" i="51" s="1"/>
  <c r="H3297" i="51" a="1"/>
  <c r="H3297" i="51" s="1"/>
  <c r="H3298" i="51" a="1"/>
  <c r="H3298" i="51" s="1"/>
  <c r="H3299" i="51" a="1"/>
  <c r="H3299" i="51" s="1"/>
  <c r="H3300" i="51" a="1"/>
  <c r="H3300" i="51" s="1"/>
  <c r="H3301" i="51" a="1"/>
  <c r="H3301" i="51" s="1"/>
  <c r="H3302" i="51" a="1"/>
  <c r="H3302" i="51" s="1"/>
  <c r="H3303" i="51" a="1"/>
  <c r="H3303" i="51"/>
  <c r="H3304" i="51" a="1"/>
  <c r="H3304" i="51" s="1"/>
  <c r="H3305" i="51" a="1"/>
  <c r="H3305" i="51" s="1"/>
  <c r="H3306" i="51" a="1"/>
  <c r="H3306" i="51" s="1"/>
  <c r="H3307" i="51" a="1"/>
  <c r="H3307" i="51" s="1"/>
  <c r="H3308" i="51" a="1"/>
  <c r="H3308" i="51" s="1"/>
  <c r="H3309" i="51" a="1"/>
  <c r="H3309" i="51" s="1"/>
  <c r="H3310" i="51" a="1"/>
  <c r="H3310" i="51" s="1"/>
  <c r="H3311" i="51" a="1"/>
  <c r="H3311" i="51" s="1"/>
  <c r="H3312" i="51" a="1"/>
  <c r="H3312" i="51" s="1"/>
  <c r="H3313" i="51" a="1"/>
  <c r="H3313" i="51" s="1"/>
  <c r="H3314" i="51" a="1"/>
  <c r="H3314" i="51" s="1"/>
  <c r="H3315" i="51" a="1"/>
  <c r="H3315" i="51"/>
  <c r="H3316" i="51" a="1"/>
  <c r="H3316" i="51" s="1"/>
  <c r="H3317" i="51" a="1"/>
  <c r="H3317" i="51" s="1"/>
  <c r="H3318" i="51" a="1"/>
  <c r="H3318" i="51" s="1"/>
  <c r="H3319" i="51" a="1"/>
  <c r="H3319" i="51" s="1"/>
  <c r="H3320" i="51" a="1"/>
  <c r="H3320" i="51" s="1"/>
  <c r="H3321" i="51" a="1"/>
  <c r="H3321" i="51" s="1"/>
  <c r="H3322" i="51" a="1"/>
  <c r="H3322" i="51"/>
  <c r="H3323" i="51" a="1"/>
  <c r="H3323" i="51" s="1"/>
  <c r="H3324" i="51" a="1"/>
  <c r="H3324" i="51" s="1"/>
  <c r="H3325" i="51" a="1"/>
  <c r="H3325" i="51" s="1"/>
  <c r="H3326" i="51" a="1"/>
  <c r="H3326" i="51" s="1"/>
  <c r="H3327" i="51" a="1"/>
  <c r="H3327" i="51" s="1"/>
  <c r="H3328" i="51" a="1"/>
  <c r="H3328" i="51" s="1"/>
  <c r="H3329" i="51" a="1"/>
  <c r="H3329" i="51" s="1"/>
  <c r="H3330" i="51" a="1"/>
  <c r="H3330" i="51" s="1"/>
  <c r="H3331" i="51" a="1"/>
  <c r="H3331" i="51" s="1"/>
  <c r="H3332" i="51" a="1"/>
  <c r="H3332" i="51" s="1"/>
  <c r="H3333" i="51" a="1"/>
  <c r="H3333" i="51" s="1"/>
  <c r="H3334" i="51" a="1"/>
  <c r="H3334" i="51" s="1"/>
  <c r="H3335" i="51" a="1"/>
  <c r="H3335" i="51" s="1"/>
  <c r="H3336" i="51" a="1"/>
  <c r="H3336" i="51" s="1"/>
  <c r="H3337" i="51" a="1"/>
  <c r="H3337" i="51" s="1"/>
  <c r="H3338" i="51" a="1"/>
  <c r="H3338" i="51" s="1"/>
  <c r="H3339" i="51" a="1"/>
  <c r="H3339" i="51" s="1"/>
  <c r="H3340" i="51" a="1"/>
  <c r="H3340" i="51" s="1"/>
  <c r="H3341" i="51" a="1"/>
  <c r="H3341" i="51" s="1"/>
  <c r="H3342" i="51" a="1"/>
  <c r="H3342" i="51" s="1"/>
  <c r="H3343" i="51" a="1"/>
  <c r="H3343" i="51" s="1"/>
  <c r="H3344" i="51" a="1"/>
  <c r="H3344" i="51" s="1"/>
  <c r="H3345" i="51" a="1"/>
  <c r="H3345" i="51" s="1"/>
  <c r="H3346" i="51" a="1"/>
  <c r="H3346" i="51" s="1"/>
  <c r="H3347" i="51" a="1"/>
  <c r="H3347" i="51" s="1"/>
  <c r="H3348" i="51" a="1"/>
  <c r="H3348" i="51" s="1"/>
  <c r="H3349" i="51" a="1"/>
  <c r="H3349" i="51" s="1"/>
  <c r="H3350" i="51" a="1"/>
  <c r="H3350" i="51" s="1"/>
  <c r="H3351" i="51" a="1"/>
  <c r="H3351" i="51" s="1"/>
  <c r="H3352" i="51" a="1"/>
  <c r="H3352" i="51" s="1"/>
  <c r="H3353" i="51" a="1"/>
  <c r="H3353" i="51" s="1"/>
  <c r="H3354" i="51" a="1"/>
  <c r="H3354" i="51" s="1"/>
  <c r="H3355" i="51" a="1"/>
  <c r="H3355" i="51" s="1"/>
  <c r="H3356" i="51" a="1"/>
  <c r="H3356" i="51" s="1"/>
  <c r="H3357" i="51" a="1"/>
  <c r="H3357" i="51" s="1"/>
  <c r="H3358" i="51" a="1"/>
  <c r="H3358" i="51" s="1"/>
  <c r="H3359" i="51" a="1"/>
  <c r="H3359" i="51" s="1"/>
  <c r="H3360" i="51" a="1"/>
  <c r="H3360" i="51" s="1"/>
  <c r="H3361" i="51" a="1"/>
  <c r="H3361" i="51" s="1"/>
  <c r="H3362" i="51" a="1"/>
  <c r="H3362" i="51" s="1"/>
  <c r="H3363" i="51" a="1"/>
  <c r="H3363" i="51" s="1"/>
  <c r="H3364" i="51" a="1"/>
  <c r="H3364" i="51" s="1"/>
  <c r="H3365" i="51" a="1"/>
  <c r="H3365" i="51" s="1"/>
  <c r="H3366" i="51" a="1"/>
  <c r="H3366" i="51" s="1"/>
  <c r="H3367" i="51" a="1"/>
  <c r="H3367" i="51"/>
  <c r="H3368" i="51" a="1"/>
  <c r="H3368" i="51" s="1"/>
  <c r="H3369" i="51" a="1"/>
  <c r="H3369" i="51" s="1"/>
  <c r="H3370" i="51" a="1"/>
  <c r="H3370" i="51"/>
  <c r="H3371" i="51" a="1"/>
  <c r="H3371" i="51" s="1"/>
  <c r="H3372" i="51" a="1"/>
  <c r="H3372" i="51" s="1"/>
  <c r="H3373" i="51" a="1"/>
  <c r="H3373" i="51" s="1"/>
  <c r="H3374" i="51" a="1"/>
  <c r="H3374" i="51" s="1"/>
  <c r="H3375" i="51" a="1"/>
  <c r="H3375" i="51" s="1"/>
  <c r="H3376" i="51" a="1"/>
  <c r="H3376" i="51" s="1"/>
  <c r="H3377" i="51" a="1"/>
  <c r="H3377" i="51" s="1"/>
  <c r="H3378" i="51" a="1"/>
  <c r="H3378" i="51" s="1"/>
  <c r="H3379" i="51" a="1"/>
  <c r="H3379" i="51" s="1"/>
  <c r="H3380" i="51" a="1"/>
  <c r="H3380" i="51" s="1"/>
  <c r="H3381" i="51" a="1"/>
  <c r="H3381" i="51" s="1"/>
  <c r="H3382" i="51" a="1"/>
  <c r="H3382" i="51" s="1"/>
  <c r="H3383" i="51" a="1"/>
  <c r="H3383" i="51" s="1"/>
  <c r="H3384" i="51" a="1"/>
  <c r="H3384" i="51" s="1"/>
  <c r="H3385" i="51" a="1"/>
  <c r="H3385" i="51" s="1"/>
  <c r="H3386" i="51" a="1"/>
  <c r="H3386" i="51" s="1"/>
  <c r="H3387" i="51" a="1"/>
  <c r="H3387" i="51" s="1"/>
  <c r="H3388" i="51" a="1"/>
  <c r="H3388" i="51" s="1"/>
  <c r="H3389" i="51" a="1"/>
  <c r="H3389" i="51" s="1"/>
  <c r="H3390" i="51" a="1"/>
  <c r="H3390" i="51"/>
  <c r="H3391" i="51" a="1"/>
  <c r="H3391" i="51" s="1"/>
  <c r="H3392" i="51" a="1"/>
  <c r="H3392" i="51" s="1"/>
  <c r="H3393" i="51" a="1"/>
  <c r="H3393" i="51" s="1"/>
  <c r="H3394" i="51" a="1"/>
  <c r="H3394" i="51" s="1"/>
  <c r="H3395" i="51" a="1"/>
  <c r="H3395" i="51" s="1"/>
  <c r="H3396" i="51" a="1"/>
  <c r="H3396" i="51" s="1"/>
  <c r="H3397" i="51" a="1"/>
  <c r="H3397" i="51" s="1"/>
  <c r="H3398" i="51" a="1"/>
  <c r="H3398" i="51" s="1"/>
  <c r="H3399" i="51" a="1"/>
  <c r="H3399" i="51" s="1"/>
  <c r="H3400" i="51" a="1"/>
  <c r="H3400" i="51" s="1"/>
  <c r="H3401" i="51" a="1"/>
  <c r="H3401" i="51" s="1"/>
  <c r="H3402" i="51" a="1"/>
  <c r="H3402" i="51" s="1"/>
  <c r="H3403" i="51" a="1"/>
  <c r="H3403" i="51" s="1"/>
  <c r="H3404" i="51" a="1"/>
  <c r="H3404" i="51"/>
  <c r="H3405" i="51" a="1"/>
  <c r="H3405" i="51" s="1"/>
  <c r="H3406" i="51" a="1"/>
  <c r="H3406" i="51" s="1"/>
  <c r="H3407" i="51" a="1"/>
  <c r="H3407" i="51" s="1"/>
  <c r="H3408" i="51" a="1"/>
  <c r="H3408" i="51" s="1"/>
  <c r="H3409" i="51" a="1"/>
  <c r="H3409" i="51" s="1"/>
  <c r="H3410" i="51" a="1"/>
  <c r="H3410" i="51" s="1"/>
  <c r="H3411" i="51" a="1"/>
  <c r="H3411" i="51" s="1"/>
  <c r="H3412" i="51" a="1"/>
  <c r="H3412" i="51" s="1"/>
  <c r="H3413" i="51" a="1"/>
  <c r="H3413" i="51" s="1"/>
  <c r="H3414" i="51" a="1"/>
  <c r="H3414" i="51" s="1"/>
  <c r="H3415" i="51" a="1"/>
  <c r="H3415" i="51" s="1"/>
  <c r="H3416" i="51" a="1"/>
  <c r="H3416" i="51" s="1"/>
  <c r="H3417" i="51" a="1"/>
  <c r="H3417" i="51" s="1"/>
  <c r="H3418" i="51" a="1"/>
  <c r="H3418" i="51" s="1"/>
  <c r="H3419" i="51" a="1"/>
  <c r="H3419" i="51" s="1"/>
  <c r="H3420" i="51" a="1"/>
  <c r="H3420" i="51" s="1"/>
  <c r="H3421" i="51" a="1"/>
  <c r="H3421" i="51" s="1"/>
  <c r="H3422" i="51" a="1"/>
  <c r="H3422" i="51" s="1"/>
  <c r="H3423" i="51" a="1"/>
  <c r="H3423" i="51" s="1"/>
  <c r="H3424" i="51" a="1"/>
  <c r="H3424" i="51" s="1"/>
  <c r="H3425" i="51" a="1"/>
  <c r="H3425" i="51" s="1"/>
  <c r="H3426" i="51" a="1"/>
  <c r="H3426" i="51" s="1"/>
  <c r="H3427" i="51" a="1"/>
  <c r="H3427" i="51" s="1"/>
  <c r="H3428" i="51" a="1"/>
  <c r="H3428" i="51" s="1"/>
  <c r="H3429" i="51" a="1"/>
  <c r="H3429" i="51" s="1"/>
  <c r="H3430" i="51" a="1"/>
  <c r="H3430" i="51" s="1"/>
  <c r="H3431" i="51" a="1"/>
  <c r="H3431" i="51" s="1"/>
  <c r="H3432" i="51" a="1"/>
  <c r="H3432" i="51" s="1"/>
  <c r="H3433" i="51" a="1"/>
  <c r="H3433" i="51" s="1"/>
  <c r="H3434" i="51" a="1"/>
  <c r="H3434" i="51"/>
  <c r="H3435" i="51" a="1"/>
  <c r="H3435" i="51" s="1"/>
  <c r="H3436" i="51" a="1"/>
  <c r="H3436" i="51" s="1"/>
  <c r="H3437" i="51" a="1"/>
  <c r="H3437" i="51" s="1"/>
  <c r="H3438" i="51" a="1"/>
  <c r="H3438" i="51" s="1"/>
  <c r="H3439" i="51" a="1"/>
  <c r="H3439" i="51" s="1"/>
  <c r="H3440" i="51" a="1"/>
  <c r="H3440" i="51"/>
  <c r="H3441" i="51" a="1"/>
  <c r="H3441" i="51" s="1"/>
  <c r="H3442" i="51" a="1"/>
  <c r="H3442" i="51" s="1"/>
  <c r="H3443" i="51" a="1"/>
  <c r="H3443" i="51" s="1"/>
  <c r="H3444" i="51" a="1"/>
  <c r="H3444" i="51" s="1"/>
  <c r="H3445" i="51" a="1"/>
  <c r="H3445" i="51" s="1"/>
  <c r="H3446" i="51" a="1"/>
  <c r="H3446" i="51" s="1"/>
  <c r="H3447" i="51" a="1"/>
  <c r="H3447" i="51" s="1"/>
  <c r="H3448" i="51" a="1"/>
  <c r="H3448" i="51" s="1"/>
  <c r="H3449" i="51" a="1"/>
  <c r="H3449" i="51" s="1"/>
  <c r="H3450" i="51" a="1"/>
  <c r="H3450" i="51" s="1"/>
  <c r="H3451" i="51" a="1"/>
  <c r="H3451" i="51" s="1"/>
  <c r="H3452" i="51" a="1"/>
  <c r="H3452" i="51" s="1"/>
  <c r="H3453" i="51" a="1"/>
  <c r="H3453" i="51" s="1"/>
  <c r="H3454" i="51" a="1"/>
  <c r="H3454" i="51" s="1"/>
  <c r="H3455" i="51" a="1"/>
  <c r="H3455" i="51" s="1"/>
  <c r="H3456" i="51" a="1"/>
  <c r="H3456" i="51" s="1"/>
  <c r="H3457" i="51" a="1"/>
  <c r="H3457" i="51" s="1"/>
  <c r="H3458" i="51" a="1"/>
  <c r="H3458" i="51" s="1"/>
  <c r="H3459" i="51" a="1"/>
  <c r="H3459" i="51"/>
  <c r="H3460" i="51" a="1"/>
  <c r="H3460" i="51" s="1"/>
  <c r="H3461" i="51" a="1"/>
  <c r="H3461" i="51" s="1"/>
  <c r="H3462" i="51" a="1"/>
  <c r="H3462" i="51" s="1"/>
  <c r="H3463" i="51" a="1"/>
  <c r="H3463" i="51" s="1"/>
  <c r="H3464" i="51" a="1"/>
  <c r="H3464" i="51" s="1"/>
  <c r="H3465" i="51" a="1"/>
  <c r="H3465" i="51" s="1"/>
  <c r="H3466" i="51" a="1"/>
  <c r="H3466" i="51" s="1"/>
  <c r="H3467" i="51" a="1"/>
  <c r="H3467" i="51" s="1"/>
  <c r="H3468" i="51" a="1"/>
  <c r="H3468" i="51" s="1"/>
  <c r="H3469" i="51" a="1"/>
  <c r="H3469" i="51" s="1"/>
  <c r="H3470" i="51" a="1"/>
  <c r="H3470" i="51" s="1"/>
  <c r="H3471" i="51" a="1"/>
  <c r="H3471" i="51" s="1"/>
  <c r="H3472" i="51" a="1"/>
  <c r="H3472" i="51" s="1"/>
  <c r="H3473" i="51" a="1"/>
  <c r="H3473" i="51" s="1"/>
  <c r="H3474" i="51" a="1"/>
  <c r="H3474" i="51" s="1"/>
  <c r="H3475" i="51" a="1"/>
  <c r="H3475" i="51" s="1"/>
  <c r="H3476" i="51" a="1"/>
  <c r="H3476" i="51" s="1"/>
  <c r="H3477" i="51" a="1"/>
  <c r="H3477" i="51" s="1"/>
  <c r="H3478" i="51" a="1"/>
  <c r="H3478" i="51" s="1"/>
  <c r="H3479" i="51" a="1"/>
  <c r="H3479" i="51" s="1"/>
  <c r="H3480" i="51" a="1"/>
  <c r="H3480" i="51" s="1"/>
  <c r="H3481" i="51" a="1"/>
  <c r="H3481" i="51" s="1"/>
  <c r="H3482" i="51" a="1"/>
  <c r="H3482" i="51" s="1"/>
  <c r="H3483" i="51" a="1"/>
  <c r="H3483" i="51" s="1"/>
  <c r="H3484" i="51" a="1"/>
  <c r="H3484" i="51" s="1"/>
  <c r="H3485" i="51" a="1"/>
  <c r="H3485" i="51" s="1"/>
  <c r="H3486" i="51" a="1"/>
  <c r="H3486" i="51" s="1"/>
  <c r="H3487" i="51" a="1"/>
  <c r="H3487" i="51" s="1"/>
  <c r="H3488" i="51" a="1"/>
  <c r="H3488" i="51" s="1"/>
  <c r="H3489" i="51" a="1"/>
  <c r="H3489" i="51" s="1"/>
  <c r="H3490" i="51" a="1"/>
  <c r="H3490" i="51" s="1"/>
  <c r="H3491" i="51" a="1"/>
  <c r="H3491" i="51" s="1"/>
  <c r="H3492" i="51" a="1"/>
  <c r="H3492" i="51" s="1"/>
  <c r="H3493" i="51" a="1"/>
  <c r="H3493" i="51" s="1"/>
  <c r="H3494" i="51" a="1"/>
  <c r="H3494" i="51" s="1"/>
  <c r="H3495" i="51" a="1"/>
  <c r="H3495" i="51" s="1"/>
  <c r="H3496" i="51" a="1"/>
  <c r="H3496" i="51" s="1"/>
  <c r="H3497" i="51" a="1"/>
  <c r="H3497" i="51" s="1"/>
  <c r="H3498" i="51" a="1"/>
  <c r="H3498" i="51" s="1"/>
  <c r="H3499" i="51" a="1"/>
  <c r="H3499" i="51" s="1"/>
  <c r="H3500" i="51" a="1"/>
  <c r="H3500" i="51"/>
  <c r="H3501" i="51" a="1"/>
  <c r="H3501" i="51" s="1"/>
  <c r="H3502" i="51" a="1"/>
  <c r="H3502" i="51" s="1"/>
  <c r="H3503" i="51" a="1"/>
  <c r="H3503" i="51" s="1"/>
  <c r="H3504" i="51" a="1"/>
  <c r="H3504" i="51" s="1"/>
  <c r="H3505" i="51" a="1"/>
  <c r="H3505" i="51" s="1"/>
  <c r="H3506" i="51" a="1"/>
  <c r="H3506" i="51" s="1"/>
  <c r="H3507" i="51" a="1"/>
  <c r="H3507" i="51" s="1"/>
  <c r="H3508" i="51" a="1"/>
  <c r="H3508" i="51" s="1"/>
  <c r="H3509" i="51" a="1"/>
  <c r="H3509" i="51" s="1"/>
  <c r="H3510" i="51" a="1"/>
  <c r="H3510" i="51" s="1"/>
  <c r="H3511" i="51" a="1"/>
  <c r="H3511" i="51" s="1"/>
  <c r="H3512" i="51" a="1"/>
  <c r="H3512" i="51" s="1"/>
  <c r="H3513" i="51" a="1"/>
  <c r="H3513" i="51" s="1"/>
  <c r="H3514" i="51" a="1"/>
  <c r="H3514" i="51" s="1"/>
  <c r="H3515" i="51" a="1"/>
  <c r="H3515" i="51" s="1"/>
  <c r="H3516" i="51" a="1"/>
  <c r="H3516" i="51" s="1"/>
  <c r="H3517" i="51" a="1"/>
  <c r="H3517" i="51" s="1"/>
  <c r="H3518" i="51" a="1"/>
  <c r="H3518" i="51" s="1"/>
  <c r="H3519" i="51" a="1"/>
  <c r="H3519" i="51" s="1"/>
  <c r="H3520" i="51" a="1"/>
  <c r="H3520" i="51" s="1"/>
  <c r="H3521" i="51" a="1"/>
  <c r="H3521" i="51" s="1"/>
  <c r="H3522" i="51" a="1"/>
  <c r="H3522" i="51" s="1"/>
  <c r="H3523" i="51" a="1"/>
  <c r="H3523" i="51"/>
  <c r="H3524" i="51" a="1"/>
  <c r="H3524" i="51" s="1"/>
  <c r="H3525" i="51" a="1"/>
  <c r="H3525" i="51" s="1"/>
  <c r="H3526" i="51" a="1"/>
  <c r="H3526" i="51" s="1"/>
  <c r="H3527" i="51" a="1"/>
  <c r="H3527" i="51" s="1"/>
  <c r="H3528" i="51" a="1"/>
  <c r="H3528" i="51" s="1"/>
  <c r="H3529" i="51" a="1"/>
  <c r="H3529" i="51" s="1"/>
  <c r="H3530" i="51" a="1"/>
  <c r="H3530" i="51" s="1"/>
  <c r="H3531" i="51" a="1"/>
  <c r="H3531" i="51" s="1"/>
  <c r="H3532" i="51" a="1"/>
  <c r="H3532" i="51" s="1"/>
  <c r="H3533" i="51" a="1"/>
  <c r="H3533" i="51" s="1"/>
  <c r="H3534" i="51" a="1"/>
  <c r="H3534" i="51" s="1"/>
  <c r="H3535" i="51" a="1"/>
  <c r="H3535" i="51" s="1"/>
  <c r="H3536" i="51" a="1"/>
  <c r="H3536" i="51" s="1"/>
  <c r="H3537" i="51" a="1"/>
  <c r="H3537" i="51" s="1"/>
  <c r="H3538" i="51" a="1"/>
  <c r="H3538" i="51" s="1"/>
  <c r="H3539" i="51" a="1"/>
  <c r="H3539" i="51" s="1"/>
  <c r="H3540" i="51" a="1"/>
  <c r="H3540" i="51" s="1"/>
  <c r="H3541" i="51" a="1"/>
  <c r="H3541" i="51" s="1"/>
  <c r="H3542" i="51" a="1"/>
  <c r="H3542" i="51" s="1"/>
  <c r="H3543" i="51" a="1"/>
  <c r="H3543" i="51" s="1"/>
  <c r="H3544" i="51" a="1"/>
  <c r="H3544" i="51" s="1"/>
  <c r="H3545" i="51" a="1"/>
  <c r="H3545" i="51" s="1"/>
  <c r="H3546" i="51" a="1"/>
  <c r="H3546" i="51" s="1"/>
  <c r="H3547" i="51" a="1"/>
  <c r="H3547" i="51" s="1"/>
  <c r="H3548" i="51" a="1"/>
  <c r="H3548" i="51"/>
  <c r="H3549" i="51" a="1"/>
  <c r="H3549" i="51" s="1"/>
  <c r="H3550" i="51" a="1"/>
  <c r="H3550" i="51" s="1"/>
  <c r="H3551" i="51" a="1"/>
  <c r="H3551" i="51" s="1"/>
  <c r="H3552" i="51" a="1"/>
  <c r="H3552" i="51" s="1"/>
  <c r="H3553" i="51" a="1"/>
  <c r="H3553" i="51" s="1"/>
  <c r="H3554" i="51" a="1"/>
  <c r="H3554" i="51" s="1"/>
  <c r="H3555" i="51" a="1"/>
  <c r="H3555" i="51" s="1"/>
  <c r="H3556" i="51" a="1"/>
  <c r="H3556" i="51" s="1"/>
  <c r="H3557" i="51" a="1"/>
  <c r="H3557" i="51" s="1"/>
  <c r="H3558" i="51" a="1"/>
  <c r="H3558" i="51" s="1"/>
  <c r="H3559" i="51" a="1"/>
  <c r="H3559" i="51"/>
  <c r="H3560" i="51" a="1"/>
  <c r="H3560" i="51" s="1"/>
  <c r="H3561" i="51" a="1"/>
  <c r="H3561" i="51" s="1"/>
  <c r="H3562" i="51" a="1"/>
  <c r="H3562" i="51" s="1"/>
  <c r="H3563" i="51" a="1"/>
  <c r="H3563" i="51" s="1"/>
  <c r="H3564" i="51" a="1"/>
  <c r="H3564" i="51" s="1"/>
  <c r="H3565" i="51" a="1"/>
  <c r="H3565" i="51" s="1"/>
  <c r="H3566" i="51" a="1"/>
  <c r="H3566" i="51" s="1"/>
  <c r="H3567" i="51" a="1"/>
  <c r="H3567" i="51" s="1"/>
  <c r="H3568" i="51" a="1"/>
  <c r="H3568" i="51" s="1"/>
  <c r="H3569" i="51" a="1"/>
  <c r="H3569" i="51" s="1"/>
  <c r="H3570" i="51" a="1"/>
  <c r="H3570" i="51" s="1"/>
  <c r="H3571" i="51" a="1"/>
  <c r="H3571" i="51"/>
  <c r="H3572" i="51" a="1"/>
  <c r="H3572" i="51" s="1"/>
  <c r="H3573" i="51" a="1"/>
  <c r="H3573" i="51" s="1"/>
  <c r="H3574" i="51" a="1"/>
  <c r="H3574" i="51" s="1"/>
  <c r="H3575" i="51" a="1"/>
  <c r="H3575" i="51" s="1"/>
  <c r="H3576" i="51" a="1"/>
  <c r="H3576" i="51" s="1"/>
  <c r="H3577" i="51" a="1"/>
  <c r="H3577" i="51" s="1"/>
  <c r="H3578" i="51" a="1"/>
  <c r="H3578" i="51"/>
  <c r="H3579" i="51" a="1"/>
  <c r="H3579" i="51" s="1"/>
  <c r="H3580" i="51" a="1"/>
  <c r="H3580" i="51" s="1"/>
  <c r="H3581" i="51" a="1"/>
  <c r="H3581" i="51" s="1"/>
  <c r="H3582" i="51" a="1"/>
  <c r="H3582" i="51" s="1"/>
  <c r="H3583" i="51" a="1"/>
  <c r="H3583" i="51" s="1"/>
  <c r="H3584" i="51" a="1"/>
  <c r="H3584" i="51" s="1"/>
  <c r="H3585" i="51" a="1"/>
  <c r="H3585" i="51" s="1"/>
  <c r="H3586" i="51" a="1"/>
  <c r="H3586" i="51" s="1"/>
  <c r="H3587" i="51" a="1"/>
  <c r="H3587" i="51" s="1"/>
  <c r="H3588" i="51" a="1"/>
  <c r="H3588" i="51" s="1"/>
  <c r="H3589" i="51" a="1"/>
  <c r="H3589" i="51" s="1"/>
  <c r="H3590" i="51" a="1"/>
  <c r="H3590" i="51" s="1"/>
  <c r="H3591" i="51" a="1"/>
  <c r="H3591" i="51" s="1"/>
  <c r="H3592" i="51" a="1"/>
  <c r="H3592" i="51" s="1"/>
  <c r="H3593" i="51" a="1"/>
  <c r="H3593" i="51" s="1"/>
  <c r="H3594" i="51" a="1"/>
  <c r="H3594" i="51" s="1"/>
  <c r="H3595" i="51" a="1"/>
  <c r="H3595" i="51" s="1"/>
  <c r="H3596" i="51" a="1"/>
  <c r="H3596" i="51" s="1"/>
  <c r="H3597" i="51" a="1"/>
  <c r="H3597" i="51" s="1"/>
  <c r="H3598" i="51" a="1"/>
  <c r="H3598" i="51" s="1"/>
  <c r="H3599" i="51" a="1"/>
  <c r="H3599" i="51" s="1"/>
  <c r="H3600" i="51" a="1"/>
  <c r="H3600" i="51" s="1"/>
  <c r="H3601" i="51" a="1"/>
  <c r="H3601" i="51" s="1"/>
  <c r="H3602" i="51" a="1"/>
  <c r="H3602" i="51" s="1"/>
  <c r="H3603" i="51" a="1"/>
  <c r="H3603" i="51" s="1"/>
  <c r="H3604" i="51" a="1"/>
  <c r="H3604" i="51" s="1"/>
  <c r="H3605" i="51" a="1"/>
  <c r="H3605" i="51" s="1"/>
  <c r="H3606" i="51" a="1"/>
  <c r="H3606" i="51" s="1"/>
  <c r="H3607" i="51" a="1"/>
  <c r="H3607" i="51" s="1"/>
  <c r="H3608" i="51" a="1"/>
  <c r="H3608" i="51" s="1"/>
  <c r="H3609" i="51" a="1"/>
  <c r="H3609" i="51" s="1"/>
  <c r="H3610" i="51" a="1"/>
  <c r="H3610" i="51" s="1"/>
  <c r="H3611" i="51" a="1"/>
  <c r="H3611" i="51" s="1"/>
  <c r="H3612" i="51" a="1"/>
  <c r="H3612" i="51" s="1"/>
  <c r="H3613" i="51" a="1"/>
  <c r="H3613" i="51" s="1"/>
  <c r="H3614" i="51" a="1"/>
  <c r="H3614" i="51" s="1"/>
  <c r="H3615" i="51" a="1"/>
  <c r="H3615" i="51" s="1"/>
  <c r="H3616" i="51" a="1"/>
  <c r="H3616" i="51" s="1"/>
  <c r="H3617" i="51" a="1"/>
  <c r="H3617" i="51" s="1"/>
  <c r="H3618" i="51" a="1"/>
  <c r="H3618" i="51" s="1"/>
  <c r="H3619" i="51" a="1"/>
  <c r="H3619" i="51"/>
  <c r="H3620" i="51" a="1"/>
  <c r="H3620" i="51" s="1"/>
  <c r="H3621" i="51" a="1"/>
  <c r="H3621" i="51" s="1"/>
  <c r="H3622" i="51" a="1"/>
  <c r="H3622" i="51" s="1"/>
  <c r="H3623" i="51" a="1"/>
  <c r="H3623" i="51"/>
  <c r="H3624" i="51" a="1"/>
  <c r="H3624" i="51" s="1"/>
  <c r="H3625" i="51" a="1"/>
  <c r="H3625" i="51" s="1"/>
  <c r="H3626" i="51" a="1"/>
  <c r="H3626" i="51"/>
  <c r="H3627" i="51" a="1"/>
  <c r="H3627" i="51" s="1"/>
  <c r="H3628" i="51" a="1"/>
  <c r="H3628" i="51" s="1"/>
  <c r="H3629" i="51" a="1"/>
  <c r="H3629" i="51" s="1"/>
  <c r="H3630" i="51" a="1"/>
  <c r="H3630" i="51" s="1"/>
  <c r="H3631" i="51" a="1"/>
  <c r="H3631" i="51" s="1"/>
  <c r="H3632" i="51" a="1"/>
  <c r="H3632" i="51"/>
  <c r="H3633" i="51" a="1"/>
  <c r="H3633" i="51" s="1"/>
  <c r="H3634" i="51" a="1"/>
  <c r="H3634" i="51" s="1"/>
  <c r="H3635" i="51" a="1"/>
  <c r="H3635" i="51" s="1"/>
  <c r="H3636" i="51" a="1"/>
  <c r="H3636" i="51" s="1"/>
  <c r="H3637" i="51" a="1"/>
  <c r="H3637" i="51" s="1"/>
  <c r="H3638" i="51" a="1"/>
  <c r="H3638" i="51" s="1"/>
  <c r="H3639" i="51" a="1"/>
  <c r="H3639" i="51" s="1"/>
  <c r="H3640" i="51" a="1"/>
  <c r="H3640" i="51" s="1"/>
  <c r="H3641" i="51" a="1"/>
  <c r="H3641" i="51" s="1"/>
  <c r="H3642" i="51" a="1"/>
  <c r="H3642" i="51" s="1"/>
  <c r="H3643" i="51" a="1"/>
  <c r="H3643" i="51" s="1"/>
  <c r="H3644" i="51" a="1"/>
  <c r="H3644" i="51" s="1"/>
  <c r="H3645" i="51" a="1"/>
  <c r="H3645" i="51" s="1"/>
  <c r="H3646" i="51" a="1"/>
  <c r="H3646" i="51"/>
  <c r="H3647" i="51" a="1"/>
  <c r="H3647" i="51" s="1"/>
  <c r="H3648" i="51" a="1"/>
  <c r="H3648" i="51" s="1"/>
  <c r="H3649" i="51" a="1"/>
  <c r="H3649" i="51" s="1"/>
  <c r="H3650" i="51" a="1"/>
  <c r="H3650" i="51" s="1"/>
  <c r="H3651" i="51" a="1"/>
  <c r="H3651" i="51"/>
  <c r="H3652" i="51" a="1"/>
  <c r="H3652" i="51" s="1"/>
  <c r="H3653" i="51" a="1"/>
  <c r="H3653" i="51" s="1"/>
  <c r="H3654" i="51" a="1"/>
  <c r="H3654" i="51" s="1"/>
  <c r="H3655" i="51" a="1"/>
  <c r="H3655" i="51" s="1"/>
  <c r="H3656" i="51" a="1"/>
  <c r="H3656" i="51" s="1"/>
  <c r="H3657" i="51" a="1"/>
  <c r="H3657" i="51" s="1"/>
  <c r="H3658" i="51" a="1"/>
  <c r="H3658" i="51" s="1"/>
  <c r="H3659" i="51" a="1"/>
  <c r="H3659" i="51" s="1"/>
  <c r="H3660" i="51" a="1"/>
  <c r="H3660" i="51"/>
  <c r="H3661" i="51" a="1"/>
  <c r="H3661" i="51" s="1"/>
  <c r="H3662" i="51" a="1"/>
  <c r="H3662" i="51" s="1"/>
  <c r="H3663" i="51" a="1"/>
  <c r="H3663" i="51" s="1"/>
  <c r="H3664" i="51" a="1"/>
  <c r="H3664" i="51" s="1"/>
  <c r="H3665" i="51" a="1"/>
  <c r="H3665" i="51" s="1"/>
  <c r="H3666" i="51" a="1"/>
  <c r="H3666" i="51" s="1"/>
  <c r="H3667" i="51" a="1"/>
  <c r="H3667" i="51" s="1"/>
  <c r="H3668" i="51" a="1"/>
  <c r="H3668" i="51" s="1"/>
  <c r="H3669" i="51" a="1"/>
  <c r="H3669" i="51" s="1"/>
  <c r="H3670" i="51" a="1"/>
  <c r="H3670" i="51" s="1"/>
  <c r="H3671" i="51" a="1"/>
  <c r="H3671" i="51" s="1"/>
  <c r="H3672" i="51" a="1"/>
  <c r="H3672" i="51" s="1"/>
  <c r="H3673" i="51" a="1"/>
  <c r="H3673" i="51" s="1"/>
  <c r="H3674" i="51" a="1"/>
  <c r="H3674" i="51" s="1"/>
  <c r="H3675" i="51" a="1"/>
  <c r="H3675" i="51" s="1"/>
  <c r="H3676" i="51" a="1"/>
  <c r="H3676" i="51" s="1"/>
  <c r="H3677" i="51" a="1"/>
  <c r="H3677" i="51" s="1"/>
  <c r="H3678" i="51" a="1"/>
  <c r="H3678" i="51" s="1"/>
  <c r="H3679" i="51" a="1"/>
  <c r="H3679" i="51" s="1"/>
  <c r="H3680" i="51" a="1"/>
  <c r="H3680" i="51" s="1"/>
  <c r="H3681" i="51" a="1"/>
  <c r="H3681" i="51" s="1"/>
  <c r="H3682" i="51" a="1"/>
  <c r="H3682" i="51" s="1"/>
  <c r="H3683" i="51" a="1"/>
  <c r="H3683" i="51" s="1"/>
  <c r="H3684" i="51" a="1"/>
  <c r="H3684" i="51" s="1"/>
  <c r="H3685" i="51" a="1"/>
  <c r="H3685" i="51" s="1"/>
  <c r="H3686" i="51" a="1"/>
  <c r="H3686" i="51" s="1"/>
  <c r="H3687" i="51" a="1"/>
  <c r="H3687" i="51" s="1"/>
  <c r="H3688" i="51" a="1"/>
  <c r="H3688" i="51" s="1"/>
  <c r="H3689" i="51" a="1"/>
  <c r="H3689" i="51" s="1"/>
  <c r="H3690" i="51" a="1"/>
  <c r="H3690" i="51"/>
  <c r="H3691" i="51" a="1"/>
  <c r="H3691" i="51" s="1"/>
  <c r="H3692" i="51" a="1"/>
  <c r="H3692" i="51" s="1"/>
  <c r="H3693" i="51" a="1"/>
  <c r="H3693" i="51" s="1"/>
  <c r="H3694" i="51" a="1"/>
  <c r="H3694" i="51" s="1"/>
  <c r="H3695" i="51" a="1"/>
  <c r="H3695" i="51" s="1"/>
  <c r="H3696" i="51" a="1"/>
  <c r="H3696" i="51"/>
  <c r="H3697" i="51" a="1"/>
  <c r="H3697" i="51" s="1"/>
  <c r="H3698" i="51" a="1"/>
  <c r="H3698" i="51" s="1"/>
  <c r="H3699" i="51" a="1"/>
  <c r="H3699" i="51" s="1"/>
  <c r="H3700" i="51" a="1"/>
  <c r="H3700" i="51" s="1"/>
  <c r="H3701" i="51" a="1"/>
  <c r="H3701" i="51" s="1"/>
  <c r="H3702" i="51" a="1"/>
  <c r="H3702" i="51" s="1"/>
  <c r="H3703" i="51" a="1"/>
  <c r="H3703" i="51" s="1"/>
  <c r="H3704" i="51" a="1"/>
  <c r="H3704" i="51" s="1"/>
  <c r="H3705" i="51" a="1"/>
  <c r="H3705" i="51" s="1"/>
  <c r="H3706" i="51" a="1"/>
  <c r="H3706" i="51" s="1"/>
  <c r="H3707" i="51" a="1"/>
  <c r="H3707" i="51" s="1"/>
  <c r="H3708" i="51" a="1"/>
  <c r="H3708" i="51" s="1"/>
  <c r="H3709" i="51" a="1"/>
  <c r="H3709" i="51" s="1"/>
  <c r="H3710" i="51" a="1"/>
  <c r="H3710" i="51"/>
  <c r="H3711" i="51" a="1"/>
  <c r="H3711" i="51" s="1"/>
  <c r="H3712" i="51" a="1"/>
  <c r="H3712" i="51" s="1"/>
  <c r="H3713" i="51" a="1"/>
  <c r="H3713" i="51" s="1"/>
  <c r="H3714" i="51" a="1"/>
  <c r="H3714" i="51" s="1"/>
  <c r="H3715" i="51" a="1"/>
  <c r="H3715" i="51"/>
  <c r="H3716" i="51" a="1"/>
  <c r="H3716" i="51" s="1"/>
  <c r="H3717" i="51" a="1"/>
  <c r="H3717" i="51" s="1"/>
  <c r="H3718" i="51" a="1"/>
  <c r="H3718" i="51" s="1"/>
  <c r="H3719" i="51" a="1"/>
  <c r="H3719" i="51" s="1"/>
  <c r="H3720" i="51" a="1"/>
  <c r="H3720" i="51" s="1"/>
  <c r="H3721" i="51" a="1"/>
  <c r="H3721" i="51" s="1"/>
  <c r="H3722" i="51" a="1"/>
  <c r="H3722" i="51" s="1"/>
  <c r="H3723" i="51" a="1"/>
  <c r="H3723" i="51" s="1"/>
  <c r="H3724" i="51" a="1"/>
  <c r="H3724" i="51" s="1"/>
  <c r="H3725" i="51" a="1"/>
  <c r="H3725" i="51" s="1"/>
  <c r="H3726" i="51" a="1"/>
  <c r="H3726" i="51" s="1"/>
  <c r="H3727" i="51" a="1"/>
  <c r="H3727" i="51" s="1"/>
  <c r="H3728" i="51" a="1"/>
  <c r="H3728" i="51" s="1"/>
  <c r="H3729" i="51" a="1"/>
  <c r="H3729" i="51" s="1"/>
  <c r="H3730" i="51" a="1"/>
  <c r="H3730" i="51" s="1"/>
  <c r="H3731" i="51" a="1"/>
  <c r="H3731" i="51" s="1"/>
  <c r="H3732" i="51" a="1"/>
  <c r="H3732" i="51" s="1"/>
  <c r="H3733" i="51" a="1"/>
  <c r="H3733" i="51" s="1"/>
  <c r="H3734" i="51" a="1"/>
  <c r="H3734" i="51" s="1"/>
  <c r="H3735" i="51" a="1"/>
  <c r="H3735" i="51" s="1"/>
  <c r="H3736" i="51" a="1"/>
  <c r="H3736" i="51" s="1"/>
  <c r="H3737" i="51" a="1"/>
  <c r="H3737" i="51" s="1"/>
  <c r="H3738" i="51" a="1"/>
  <c r="H3738" i="51" s="1"/>
  <c r="H3739" i="51" a="1"/>
  <c r="H3739" i="51" s="1"/>
  <c r="H3740" i="51" a="1"/>
  <c r="H3740" i="51" s="1"/>
  <c r="H3741" i="51" a="1"/>
  <c r="H3741" i="51" s="1"/>
  <c r="H3742" i="51" a="1"/>
  <c r="H3742" i="51" s="1"/>
  <c r="H3743" i="51" a="1"/>
  <c r="H3743" i="51" s="1"/>
  <c r="H3744" i="51" a="1"/>
  <c r="H3744" i="51" s="1"/>
  <c r="H3745" i="51" a="1"/>
  <c r="H3745" i="51" s="1"/>
  <c r="H3746" i="51" a="1"/>
  <c r="H3746" i="51" s="1"/>
  <c r="H3747" i="51" a="1"/>
  <c r="H3747" i="51" s="1"/>
  <c r="H3748" i="51" a="1"/>
  <c r="H3748" i="51" s="1"/>
  <c r="H3749" i="51" a="1"/>
  <c r="H3749" i="51" s="1"/>
  <c r="H3750" i="51" a="1"/>
  <c r="H3750" i="51" s="1"/>
  <c r="H3751" i="51" a="1"/>
  <c r="H3751" i="51" s="1"/>
  <c r="H3752" i="51" a="1"/>
  <c r="H3752" i="51" s="1"/>
  <c r="H3753" i="51" a="1"/>
  <c r="H3753" i="51" s="1"/>
  <c r="H3754" i="51" a="1"/>
  <c r="H3754" i="51" s="1"/>
  <c r="H3755" i="51" a="1"/>
  <c r="H3755" i="51" s="1"/>
  <c r="H3756" i="51" a="1"/>
  <c r="H3756" i="51"/>
  <c r="H3757" i="51" a="1"/>
  <c r="H3757" i="51" s="1"/>
  <c r="H3758" i="51" a="1"/>
  <c r="H3758" i="51" s="1"/>
  <c r="H3759" i="51" a="1"/>
  <c r="H3759" i="51" s="1"/>
  <c r="H3760" i="51" a="1"/>
  <c r="H3760" i="51" s="1"/>
  <c r="H3761" i="51" a="1"/>
  <c r="H3761" i="51" s="1"/>
  <c r="H3762" i="51" a="1"/>
  <c r="H3762" i="51" s="1"/>
  <c r="H3763" i="51" a="1"/>
  <c r="H3763" i="51" s="1"/>
  <c r="H3764" i="51" a="1"/>
  <c r="H3764" i="51" s="1"/>
  <c r="H3765" i="51" a="1"/>
  <c r="H3765" i="51" s="1"/>
  <c r="H3766" i="51" a="1"/>
  <c r="H3766" i="51" s="1"/>
  <c r="H3767" i="51" a="1"/>
  <c r="H3767" i="51" s="1"/>
  <c r="H3768" i="51" a="1"/>
  <c r="H3768" i="51" s="1"/>
  <c r="H3769" i="51" a="1"/>
  <c r="H3769" i="51" s="1"/>
  <c r="H3770" i="51" a="1"/>
  <c r="H3770" i="51" s="1"/>
  <c r="H3771" i="51" a="1"/>
  <c r="H3771" i="51" s="1"/>
  <c r="H3772" i="51" a="1"/>
  <c r="H3772" i="51" s="1"/>
  <c r="H3773" i="51" a="1"/>
  <c r="H3773" i="51" s="1"/>
  <c r="H3774" i="51" a="1"/>
  <c r="H3774" i="51" s="1"/>
  <c r="H3775" i="51" a="1"/>
  <c r="H3775" i="51" s="1"/>
  <c r="H3776" i="51" a="1"/>
  <c r="H3776" i="51" s="1"/>
  <c r="H3777" i="51" a="1"/>
  <c r="H3777" i="51" s="1"/>
  <c r="H3778" i="51" a="1"/>
  <c r="H3778" i="51" s="1"/>
  <c r="H3779" i="51" a="1"/>
  <c r="H3779" i="51"/>
  <c r="H3780" i="51" a="1"/>
  <c r="H3780" i="51" s="1"/>
  <c r="H3781" i="51" a="1"/>
  <c r="H3781" i="51" s="1"/>
  <c r="H3782" i="51" a="1"/>
  <c r="H3782" i="51" s="1"/>
  <c r="H3783" i="51" a="1"/>
  <c r="H3783" i="51" s="1"/>
  <c r="H3784" i="51" a="1"/>
  <c r="H3784" i="51" s="1"/>
  <c r="H3785" i="51" a="1"/>
  <c r="H3785" i="51" s="1"/>
  <c r="H3786" i="51" a="1"/>
  <c r="H3786" i="51" s="1"/>
  <c r="H3787" i="51" a="1"/>
  <c r="H3787" i="51" s="1"/>
  <c r="H3788" i="51" a="1"/>
  <c r="H3788" i="51" s="1"/>
  <c r="H3789" i="51" a="1"/>
  <c r="H3789" i="51" s="1"/>
  <c r="H3790" i="51" a="1"/>
  <c r="H3790" i="51" s="1"/>
  <c r="H3791" i="51" a="1"/>
  <c r="H3791" i="51" s="1"/>
  <c r="H3792" i="51" a="1"/>
  <c r="H3792" i="51" s="1"/>
  <c r="H3793" i="51" a="1"/>
  <c r="H3793" i="51" s="1"/>
  <c r="H3794" i="51" a="1"/>
  <c r="H3794" i="51" s="1"/>
  <c r="H3795" i="51" a="1"/>
  <c r="H3795" i="51" s="1"/>
  <c r="H3796" i="51" a="1"/>
  <c r="H3796" i="51" s="1"/>
  <c r="H3797" i="51" a="1"/>
  <c r="H3797" i="51" s="1"/>
  <c r="H3798" i="51" a="1"/>
  <c r="H3798" i="51" s="1"/>
  <c r="H3799" i="51" a="1"/>
  <c r="H3799" i="51" s="1"/>
  <c r="H3800" i="51" a="1"/>
  <c r="H3800" i="51" s="1"/>
  <c r="H3801" i="51" a="1"/>
  <c r="H3801" i="51" s="1"/>
  <c r="H3802" i="51" a="1"/>
  <c r="H3802" i="51" s="1"/>
  <c r="H3803" i="51" a="1"/>
  <c r="H3803" i="51" s="1"/>
  <c r="H3804" i="51" a="1"/>
  <c r="H3804" i="51" s="1"/>
  <c r="H3805" i="51" a="1"/>
  <c r="H3805" i="51" s="1"/>
  <c r="H3806" i="51" a="1"/>
  <c r="H3806" i="51" s="1"/>
  <c r="H3807" i="51" a="1"/>
  <c r="H3807" i="51" s="1"/>
  <c r="H3808" i="51" a="1"/>
  <c r="H3808" i="51" s="1"/>
  <c r="H3809" i="51" a="1"/>
  <c r="H3809" i="51" s="1"/>
  <c r="H3810" i="51" a="1"/>
  <c r="H3810" i="51" s="1"/>
  <c r="H3811" i="51" a="1"/>
  <c r="H3811" i="51" s="1"/>
  <c r="H3812" i="51" a="1"/>
  <c r="H3812" i="51" s="1"/>
  <c r="H3813" i="51" a="1"/>
  <c r="H3813" i="51" s="1"/>
  <c r="H3814" i="51" a="1"/>
  <c r="H3814" i="51" s="1"/>
  <c r="H3815" i="51" a="1"/>
  <c r="H3815" i="51"/>
  <c r="H3816" i="51" a="1"/>
  <c r="H3816" i="51" s="1"/>
  <c r="H3817" i="51" a="1"/>
  <c r="H3817" i="51" s="1"/>
  <c r="H3818" i="51" a="1"/>
  <c r="H3818" i="51" s="1"/>
  <c r="H3819" i="51" a="1"/>
  <c r="H3819" i="51" s="1"/>
  <c r="H3820" i="51" a="1"/>
  <c r="H3820" i="51" s="1"/>
  <c r="H3821" i="51" a="1"/>
  <c r="H3821" i="51" s="1"/>
  <c r="H3822" i="51" a="1"/>
  <c r="H3822" i="51" s="1"/>
  <c r="H3823" i="51" a="1"/>
  <c r="H3823" i="51" s="1"/>
  <c r="H3824" i="51" a="1"/>
  <c r="H3824" i="51" s="1"/>
  <c r="H3825" i="51" a="1"/>
  <c r="H3825" i="51" s="1"/>
  <c r="H3826" i="51" a="1"/>
  <c r="H3826" i="51" s="1"/>
  <c r="H3827" i="51" a="1"/>
  <c r="H3827" i="51"/>
  <c r="H3828" i="51" a="1"/>
  <c r="H3828" i="51" s="1"/>
  <c r="H3829" i="51" a="1"/>
  <c r="H3829" i="51" s="1"/>
  <c r="H3830" i="51" a="1"/>
  <c r="H3830" i="51" s="1"/>
  <c r="H3831" i="51" a="1"/>
  <c r="H3831" i="51" s="1"/>
  <c r="H3832" i="51" a="1"/>
  <c r="H3832" i="51" s="1"/>
  <c r="H3833" i="51" a="1"/>
  <c r="H3833" i="51" s="1"/>
  <c r="H3834" i="51" a="1"/>
  <c r="H3834" i="51"/>
  <c r="H3835" i="51" a="1"/>
  <c r="H3835" i="51" s="1"/>
  <c r="H3836" i="51" a="1"/>
  <c r="H3836" i="51" s="1"/>
  <c r="H3837" i="51" a="1"/>
  <c r="H3837" i="51" s="1"/>
  <c r="H3838" i="51" a="1"/>
  <c r="H3838" i="51" s="1"/>
  <c r="H3839" i="51" a="1"/>
  <c r="H3839" i="51" s="1"/>
  <c r="H3840" i="51" a="1"/>
  <c r="H3840" i="51" s="1"/>
  <c r="H3841" i="51" a="1"/>
  <c r="H3841" i="51" s="1"/>
  <c r="H3842" i="51" a="1"/>
  <c r="H3842" i="51" s="1"/>
  <c r="H3843" i="51" a="1"/>
  <c r="H3843" i="51" s="1"/>
  <c r="H3844" i="51" a="1"/>
  <c r="H3844" i="51" s="1"/>
  <c r="H3845" i="51" a="1"/>
  <c r="H3845" i="51" s="1"/>
  <c r="H3846" i="51" a="1"/>
  <c r="H3846" i="51" s="1"/>
  <c r="H3847" i="51" a="1"/>
  <c r="H3847" i="51" s="1"/>
  <c r="H3848" i="51" a="1"/>
  <c r="H3848" i="51" s="1"/>
  <c r="H3849" i="51" a="1"/>
  <c r="H3849" i="51" s="1"/>
  <c r="H3850" i="51" a="1"/>
  <c r="H3850" i="51"/>
  <c r="H3851" i="51" a="1"/>
  <c r="H3851" i="51" s="1"/>
  <c r="H3852" i="51" a="1"/>
  <c r="H3852" i="51" s="1"/>
  <c r="H3853" i="51" a="1"/>
  <c r="H3853" i="51" s="1"/>
  <c r="H3854" i="51" a="1"/>
  <c r="H3854" i="51" s="1"/>
  <c r="H3855" i="51" a="1"/>
  <c r="H3855" i="51" s="1"/>
  <c r="H3856" i="51" a="1"/>
  <c r="H3856" i="51" s="1"/>
  <c r="H3857" i="51" a="1"/>
  <c r="H3857" i="51" s="1"/>
  <c r="H3858" i="51" a="1"/>
  <c r="H3858" i="51" s="1"/>
  <c r="H3859" i="51" a="1"/>
  <c r="H3859" i="51"/>
  <c r="H3860" i="51" a="1"/>
  <c r="H3860" i="51" s="1"/>
  <c r="H3861" i="51" a="1"/>
  <c r="H3861" i="51" s="1"/>
  <c r="H3862" i="51" a="1"/>
  <c r="H3862" i="51" s="1"/>
  <c r="H3863" i="51" a="1"/>
  <c r="H3863" i="51" s="1"/>
  <c r="H3864" i="51" a="1"/>
  <c r="H3864" i="51" s="1"/>
  <c r="H3865" i="51" a="1"/>
  <c r="H3865" i="51" s="1"/>
  <c r="H3866" i="51" a="1"/>
  <c r="H3866" i="51" s="1"/>
  <c r="H3867" i="51" a="1"/>
  <c r="H3867" i="51" s="1"/>
  <c r="H3868" i="51" a="1"/>
  <c r="H3868" i="51" s="1"/>
  <c r="H3869" i="51" a="1"/>
  <c r="H3869" i="51" s="1"/>
  <c r="H3870" i="51" a="1"/>
  <c r="H3870" i="51"/>
  <c r="H3871" i="51" a="1"/>
  <c r="H3871" i="51" s="1"/>
  <c r="H3872" i="51" a="1"/>
  <c r="H3872" i="51" s="1"/>
  <c r="H3873" i="51" a="1"/>
  <c r="H3873" i="51" s="1"/>
  <c r="H3874" i="51" a="1"/>
  <c r="H3874" i="51" s="1"/>
  <c r="H3875" i="51" a="1"/>
  <c r="H3875" i="51" s="1"/>
  <c r="H3876" i="51" a="1"/>
  <c r="H3876" i="51" s="1"/>
  <c r="H3877" i="51" a="1"/>
  <c r="H3877" i="51" s="1"/>
  <c r="H3878" i="51" a="1"/>
  <c r="H3878" i="51" s="1"/>
  <c r="H3879" i="51" a="1"/>
  <c r="H3879" i="51" s="1"/>
  <c r="H3880" i="51" a="1"/>
  <c r="H3880" i="51" s="1"/>
  <c r="H3881" i="51" a="1"/>
  <c r="H3881" i="51" s="1"/>
  <c r="H3882" i="51" a="1"/>
  <c r="H3882" i="51" s="1"/>
  <c r="H3883" i="51" a="1"/>
  <c r="H3883" i="51" s="1"/>
  <c r="H3884" i="51" a="1"/>
  <c r="H3884" i="51" s="1"/>
  <c r="H3885" i="51" a="1"/>
  <c r="H3885" i="51" s="1"/>
  <c r="H3886" i="51" a="1"/>
  <c r="H3886" i="51" s="1"/>
  <c r="H3887" i="51" a="1"/>
  <c r="H3887" i="51" s="1"/>
  <c r="H3888" i="51" a="1"/>
  <c r="H3888" i="51" s="1"/>
  <c r="H3889" i="51" a="1"/>
  <c r="H3889" i="51" s="1"/>
  <c r="H3890" i="51" a="1"/>
  <c r="H3890" i="51"/>
  <c r="H3891" i="51" a="1"/>
  <c r="H3891" i="51" s="1"/>
  <c r="H3892" i="51" a="1"/>
  <c r="H3892" i="51" s="1"/>
  <c r="H3893" i="51" a="1"/>
  <c r="H3893" i="51"/>
  <c r="H3894" i="51" a="1"/>
  <c r="H3894" i="51" s="1"/>
  <c r="H3895" i="51" a="1"/>
  <c r="H3895" i="51" s="1"/>
  <c r="H3896" i="51" a="1"/>
  <c r="H3896" i="51" s="1"/>
  <c r="H3897" i="51" a="1"/>
  <c r="H3897" i="51" s="1"/>
  <c r="H3898" i="51" a="1"/>
  <c r="H3898" i="51" s="1"/>
  <c r="H3899" i="51" a="1"/>
  <c r="H3899" i="51" s="1"/>
  <c r="H3900" i="51" a="1"/>
  <c r="H3900" i="51" s="1"/>
  <c r="H3901" i="51" a="1"/>
  <c r="H3901" i="51" s="1"/>
  <c r="H3902" i="51" a="1"/>
  <c r="H3902" i="51" s="1"/>
  <c r="H3903" i="51" a="1"/>
  <c r="H3903" i="51" s="1"/>
  <c r="H3904" i="51" a="1"/>
  <c r="H3904" i="51" s="1"/>
  <c r="H3905" i="51" a="1"/>
  <c r="H3905" i="51" s="1"/>
  <c r="H3906" i="51" a="1"/>
  <c r="H3906" i="51" s="1"/>
  <c r="H3907" i="51" a="1"/>
  <c r="H3907" i="51" s="1"/>
  <c r="H3908" i="51" a="1"/>
  <c r="H3908" i="51" s="1"/>
  <c r="H3909" i="51" a="1"/>
  <c r="H3909" i="51" s="1"/>
  <c r="H3910" i="51" a="1"/>
  <c r="H3910" i="51" s="1"/>
  <c r="H3911" i="51" a="1"/>
  <c r="H3911" i="51" s="1"/>
  <c r="H3912" i="51" a="1"/>
  <c r="H3912" i="51" s="1"/>
  <c r="H3913" i="51" a="1"/>
  <c r="H3913" i="51" s="1"/>
  <c r="H3914" i="51" a="1"/>
  <c r="H3914" i="51" s="1"/>
  <c r="H3915" i="51" a="1"/>
  <c r="H3915" i="51" s="1"/>
  <c r="H3916" i="51" a="1"/>
  <c r="H3916" i="51" s="1"/>
  <c r="H3917" i="51" a="1"/>
  <c r="H3917" i="51" s="1"/>
  <c r="H3918" i="51" a="1"/>
  <c r="H3918" i="51" s="1"/>
  <c r="H3919" i="51" a="1"/>
  <c r="H3919" i="51" s="1"/>
  <c r="H3920" i="51" a="1"/>
  <c r="H3920" i="51"/>
  <c r="H3921" i="51" a="1"/>
  <c r="H3921" i="51" s="1"/>
  <c r="H3922" i="51" a="1"/>
  <c r="H3922" i="51" s="1"/>
  <c r="H3923" i="51" a="1"/>
  <c r="H3923" i="51" s="1"/>
  <c r="H3924" i="51" a="1"/>
  <c r="H3924" i="51" s="1"/>
  <c r="H3925" i="51" a="1"/>
  <c r="H3925" i="51" s="1"/>
  <c r="H3926" i="51" a="1"/>
  <c r="H3926" i="51" s="1"/>
  <c r="H3927" i="51" a="1"/>
  <c r="H3927" i="51" s="1"/>
  <c r="H3928" i="51" a="1"/>
  <c r="H3928" i="51" s="1"/>
  <c r="H3929" i="51" a="1"/>
  <c r="H3929" i="51" s="1"/>
  <c r="H3930" i="51" a="1"/>
  <c r="H3930" i="51" s="1"/>
  <c r="H3931" i="51" a="1"/>
  <c r="H3931" i="51" s="1"/>
  <c r="H3932" i="51" a="1"/>
  <c r="H3932" i="51" s="1"/>
  <c r="H3933" i="51" a="1"/>
  <c r="H3933" i="51" s="1"/>
  <c r="H3934" i="51" a="1"/>
  <c r="H3934" i="51"/>
  <c r="H3935" i="51" a="1"/>
  <c r="H3935" i="51" s="1"/>
  <c r="H3936" i="51" a="1"/>
  <c r="H3936" i="51"/>
  <c r="H3937" i="51" a="1"/>
  <c r="H3937" i="51" s="1"/>
  <c r="H3938" i="51" a="1"/>
  <c r="H3938" i="51" s="1"/>
  <c r="H3939" i="51" a="1"/>
  <c r="H3939" i="51" s="1"/>
  <c r="H3940" i="51" a="1"/>
  <c r="H3940" i="51" s="1"/>
  <c r="H3941" i="51" a="1"/>
  <c r="H3941" i="51" s="1"/>
  <c r="H3942" i="51" a="1"/>
  <c r="H3942" i="51" s="1"/>
  <c r="H3943" i="51" a="1"/>
  <c r="H3943" i="51" s="1"/>
  <c r="H3944" i="51" a="1"/>
  <c r="H3944" i="51" s="1"/>
  <c r="H3945" i="51" a="1"/>
  <c r="H3945" i="51" s="1"/>
  <c r="H3946" i="51" a="1"/>
  <c r="H3946" i="51" s="1"/>
  <c r="H3947" i="51" a="1"/>
  <c r="H3947" i="51" s="1"/>
  <c r="H3948" i="51" a="1"/>
  <c r="H3948" i="51" s="1"/>
  <c r="H3949" i="51" a="1"/>
  <c r="H3949" i="51" s="1"/>
  <c r="H3950" i="51" a="1"/>
  <c r="H3950" i="51" s="1"/>
  <c r="H3951" i="51" a="1"/>
  <c r="H3951" i="51" s="1"/>
  <c r="H3952" i="51" a="1"/>
  <c r="H3952" i="51" s="1"/>
  <c r="H3953" i="51" a="1"/>
  <c r="H3953" i="51" s="1"/>
  <c r="H3954" i="51" a="1"/>
  <c r="H3954" i="51" s="1"/>
  <c r="H3955" i="51" a="1"/>
  <c r="H3955" i="51" s="1"/>
  <c r="H3956" i="51" a="1"/>
  <c r="H3956" i="51" s="1"/>
  <c r="H3957" i="51" a="1"/>
  <c r="H3957" i="51"/>
  <c r="H3958" i="51" a="1"/>
  <c r="H3958" i="51" s="1"/>
  <c r="H3959" i="51" a="1"/>
  <c r="H3959" i="51" s="1"/>
  <c r="H3960" i="51" a="1"/>
  <c r="H3960" i="51" s="1"/>
  <c r="H3961" i="51" a="1"/>
  <c r="H3961" i="51"/>
  <c r="H3962" i="51" a="1"/>
  <c r="H3962" i="51" s="1"/>
  <c r="H3963" i="51" a="1"/>
  <c r="H3963" i="51" s="1"/>
  <c r="H3964" i="51" a="1"/>
  <c r="H3964" i="51" s="1"/>
  <c r="H3965" i="51" a="1"/>
  <c r="H3965" i="51" s="1"/>
  <c r="H3966" i="51" a="1"/>
  <c r="H3966" i="51" s="1"/>
  <c r="H3967" i="51" a="1"/>
  <c r="H3967" i="51" s="1"/>
  <c r="H3968" i="51" a="1"/>
  <c r="H3968" i="51"/>
  <c r="H3969" i="51" a="1"/>
  <c r="H3969" i="51" s="1"/>
  <c r="H3970" i="51" a="1"/>
  <c r="H3970" i="51" s="1"/>
  <c r="H3971" i="51" a="1"/>
  <c r="H3971" i="51" s="1"/>
  <c r="H3972" i="51" a="1"/>
  <c r="H3972" i="51" s="1"/>
  <c r="H3973" i="51" a="1"/>
  <c r="H3973" i="51" s="1"/>
  <c r="H3974" i="51" a="1"/>
  <c r="H3974" i="51" s="1"/>
  <c r="H3975" i="51" a="1"/>
  <c r="H3975" i="51" s="1"/>
  <c r="H3976" i="51" a="1"/>
  <c r="H3976" i="51" s="1"/>
  <c r="H3977" i="51" a="1"/>
  <c r="H3977" i="51" s="1"/>
  <c r="H3978" i="51" a="1"/>
  <c r="H3978" i="51" s="1"/>
  <c r="H3979" i="51" a="1"/>
  <c r="H3979" i="51" s="1"/>
  <c r="H3980" i="51" a="1"/>
  <c r="H3980" i="51"/>
  <c r="H3981" i="51" a="1"/>
  <c r="H3981" i="51" s="1"/>
  <c r="H3982" i="51" a="1"/>
  <c r="H3982" i="51" s="1"/>
  <c r="H3983" i="51" a="1"/>
  <c r="H3983" i="51" s="1"/>
  <c r="H3984" i="51" a="1"/>
  <c r="H3984" i="51" s="1"/>
  <c r="H3985" i="51" a="1"/>
  <c r="H3985" i="51" s="1"/>
  <c r="H3986" i="51" a="1"/>
  <c r="H3986" i="51"/>
  <c r="H3987" i="51" a="1"/>
  <c r="H3987" i="51" s="1"/>
  <c r="H3988" i="51" a="1"/>
  <c r="H3988" i="51" s="1"/>
  <c r="H3989" i="51" a="1"/>
  <c r="H3989" i="51" s="1"/>
  <c r="H3990" i="51" a="1"/>
  <c r="H3990" i="51" s="1"/>
  <c r="H3991" i="51" a="1"/>
  <c r="H3991" i="51" s="1"/>
  <c r="H3992" i="51" a="1"/>
  <c r="H3992" i="51" s="1"/>
  <c r="H3993" i="51" a="1"/>
  <c r="H3993" i="51"/>
  <c r="H3994" i="51" a="1"/>
  <c r="H3994" i="51" s="1"/>
  <c r="H3995" i="51" a="1"/>
  <c r="H3995" i="51" s="1"/>
  <c r="H3996" i="51" a="1"/>
  <c r="H3996" i="51" s="1"/>
  <c r="H3997" i="51" a="1"/>
  <c r="H3997" i="51" s="1"/>
  <c r="H3998" i="51" a="1"/>
  <c r="H3998" i="51" s="1"/>
  <c r="H3999" i="51" a="1"/>
  <c r="H3999" i="51" s="1"/>
  <c r="H4000" i="51" a="1"/>
  <c r="H4000" i="51" s="1"/>
  <c r="H4001" i="51" a="1"/>
  <c r="H4001" i="51" s="1"/>
  <c r="H4002" i="51" a="1"/>
  <c r="H4002" i="51" s="1"/>
  <c r="H4003" i="51" a="1"/>
  <c r="H4003" i="51" s="1"/>
  <c r="H4004" i="51" a="1"/>
  <c r="H4004" i="51" s="1"/>
  <c r="H4005" i="51" a="1"/>
  <c r="H4005" i="51" s="1"/>
  <c r="H4006" i="51" a="1"/>
  <c r="H4006" i="51" s="1"/>
  <c r="H4007" i="51" a="1"/>
  <c r="H4007" i="51" s="1"/>
  <c r="H4008" i="51" a="1"/>
  <c r="H4008" i="51" s="1"/>
  <c r="H4009" i="51" a="1"/>
  <c r="H4009" i="51" s="1"/>
  <c r="H4010" i="51" a="1"/>
  <c r="H4010" i="51" s="1"/>
  <c r="H4011" i="51" a="1"/>
  <c r="H4011" i="51" s="1"/>
  <c r="H4012" i="51" a="1"/>
  <c r="H4012" i="51" s="1"/>
  <c r="H4013" i="51" a="1"/>
  <c r="H4013" i="51" s="1"/>
  <c r="H4014" i="51" a="1"/>
  <c r="H4014" i="51" s="1"/>
  <c r="H4015" i="51" a="1"/>
  <c r="H4015" i="51" s="1"/>
  <c r="H4016" i="51" a="1"/>
  <c r="H4016" i="51" s="1"/>
  <c r="H4017" i="51" a="1"/>
  <c r="H4017" i="51" s="1"/>
  <c r="H4018" i="51" a="1"/>
  <c r="H4018" i="51" s="1"/>
  <c r="H4019" i="51" a="1"/>
  <c r="H4019" i="51" s="1"/>
  <c r="H4020" i="51" a="1"/>
  <c r="H4020" i="51" s="1"/>
  <c r="H4021" i="51" a="1"/>
  <c r="H4021" i="51" s="1"/>
  <c r="H4022" i="51" a="1"/>
  <c r="H4022" i="51" s="1"/>
  <c r="H4023" i="51" a="1"/>
  <c r="H4023" i="51" s="1"/>
  <c r="H4024" i="51" a="1"/>
  <c r="H4024" i="51" s="1"/>
  <c r="H4025" i="51" a="1"/>
  <c r="H4025" i="51" s="1"/>
  <c r="H4026" i="51" a="1"/>
  <c r="H4026" i="51" s="1"/>
  <c r="H4027" i="51" a="1"/>
  <c r="H4027" i="51" s="1"/>
  <c r="H4028" i="51" a="1"/>
  <c r="H4028" i="51" s="1"/>
  <c r="H4029" i="51" a="1"/>
  <c r="H4029" i="51" s="1"/>
  <c r="H4030" i="51" a="1"/>
  <c r="H4030" i="51"/>
  <c r="H4031" i="51" a="1"/>
  <c r="H4031" i="51" s="1"/>
  <c r="H4032" i="51" a="1"/>
  <c r="H4032" i="51" s="1"/>
  <c r="H4033" i="51" a="1"/>
  <c r="H4033" i="51" s="1"/>
  <c r="H4034" i="51" a="1"/>
  <c r="H4034" i="51" s="1"/>
  <c r="H4035" i="51" a="1"/>
  <c r="H4035" i="51" s="1"/>
  <c r="H4036" i="51" a="1"/>
  <c r="H4036" i="51" s="1"/>
  <c r="H4037" i="51" a="1"/>
  <c r="H4037" i="51" s="1"/>
  <c r="H4038" i="51" a="1"/>
  <c r="H4038" i="51" s="1"/>
  <c r="H4039" i="51" a="1"/>
  <c r="H4039" i="51" s="1"/>
  <c r="H4040" i="51" a="1"/>
  <c r="H4040" i="51" s="1"/>
  <c r="H4041" i="51" a="1"/>
  <c r="H4041" i="51" s="1"/>
  <c r="H4042" i="51" a="1"/>
  <c r="H4042" i="51" s="1"/>
  <c r="H4043" i="51" a="1"/>
  <c r="H4043" i="51" s="1"/>
  <c r="H4044" i="51" a="1"/>
  <c r="H4044" i="51" s="1"/>
  <c r="H4045" i="51" a="1"/>
  <c r="H4045" i="51" s="1"/>
  <c r="H4046" i="51" a="1"/>
  <c r="H4046" i="51" s="1"/>
  <c r="H4047" i="51" a="1"/>
  <c r="H4047" i="51" s="1"/>
  <c r="H4048" i="51" a="1"/>
  <c r="H4048" i="51" s="1"/>
  <c r="H4049" i="51" a="1"/>
  <c r="H4049" i="51" s="1"/>
  <c r="H4050" i="51" a="1"/>
  <c r="H4050" i="51" s="1"/>
  <c r="H4051" i="51" a="1"/>
  <c r="H4051" i="51" s="1"/>
  <c r="H4052" i="51" a="1"/>
  <c r="H4052" i="51" s="1"/>
  <c r="H4053" i="51" a="1"/>
  <c r="H4053" i="51"/>
  <c r="H4054" i="51" a="1"/>
  <c r="H4054" i="51" s="1"/>
  <c r="H4055" i="51" a="1"/>
  <c r="H4055" i="51" s="1"/>
  <c r="H4056" i="51" a="1"/>
  <c r="H4056" i="51" s="1"/>
  <c r="H4057" i="51" a="1"/>
  <c r="H4057" i="51" s="1"/>
  <c r="H4058" i="51" a="1"/>
  <c r="H4058" i="51" s="1"/>
  <c r="H4059" i="51" a="1"/>
  <c r="H4059" i="51" s="1"/>
  <c r="H4060" i="51" a="1"/>
  <c r="H4060" i="51" s="1"/>
  <c r="H4061" i="51" a="1"/>
  <c r="H4061" i="51" s="1"/>
  <c r="H4062" i="51" a="1"/>
  <c r="H4062" i="51" s="1"/>
  <c r="H4063" i="51" a="1"/>
  <c r="H4063" i="51" s="1"/>
  <c r="H4064" i="51" a="1"/>
  <c r="H4064" i="51" s="1"/>
  <c r="H4065" i="51" a="1"/>
  <c r="H4065" i="51" s="1"/>
  <c r="H4066" i="51" a="1"/>
  <c r="H4066" i="51" s="1"/>
  <c r="H4067" i="51" a="1"/>
  <c r="H4067" i="51" s="1"/>
  <c r="H4068" i="51" a="1"/>
  <c r="H4068" i="51" s="1"/>
  <c r="H4069" i="51" a="1"/>
  <c r="H4069" i="51" s="1"/>
  <c r="H4070" i="51" a="1"/>
  <c r="H4070" i="51" s="1"/>
  <c r="H4071" i="51" a="1"/>
  <c r="H4071" i="51" s="1"/>
  <c r="H4072" i="51" a="1"/>
  <c r="H4072" i="51" s="1"/>
  <c r="H4073" i="51" a="1"/>
  <c r="H4073" i="51" s="1"/>
  <c r="H4074" i="51" a="1"/>
  <c r="H4074" i="51" s="1"/>
  <c r="H4075" i="51" a="1"/>
  <c r="H4075" i="51" s="1"/>
  <c r="H4076" i="51" a="1"/>
  <c r="H4076" i="51" s="1"/>
  <c r="H4077" i="51" a="1"/>
  <c r="H4077" i="51" s="1"/>
  <c r="H4078" i="51" a="1"/>
  <c r="H4078" i="51" s="1"/>
  <c r="H4079" i="51" a="1"/>
  <c r="H4079" i="51" s="1"/>
  <c r="H4080" i="51" a="1"/>
  <c r="H4080" i="51" s="1"/>
  <c r="H4081" i="51" a="1"/>
  <c r="H4081" i="51" s="1"/>
  <c r="H4082" i="51" a="1"/>
  <c r="H4082" i="51" s="1"/>
  <c r="H4083" i="51" a="1"/>
  <c r="H4083" i="51" s="1"/>
  <c r="H4084" i="51" a="1"/>
  <c r="H4084" i="51" s="1"/>
  <c r="H4085" i="51" a="1"/>
  <c r="H4085" i="51" s="1"/>
  <c r="H4086" i="51" a="1"/>
  <c r="H4086" i="51" s="1"/>
  <c r="H4087" i="51" a="1"/>
  <c r="H4087" i="51" s="1"/>
  <c r="H4088" i="51" a="1"/>
  <c r="H4088" i="51" s="1"/>
  <c r="H4089" i="51" a="1"/>
  <c r="H4089" i="51" s="1"/>
  <c r="H4090" i="51" a="1"/>
  <c r="H4090" i="51" s="1"/>
  <c r="H4091" i="51" a="1"/>
  <c r="H4091" i="51" s="1"/>
  <c r="H4092" i="51" a="1"/>
  <c r="H4092" i="51" s="1"/>
  <c r="H4093" i="51" a="1"/>
  <c r="H4093" i="51" s="1"/>
  <c r="H4094" i="51" a="1"/>
  <c r="H4094" i="51" s="1"/>
  <c r="H4095" i="51" a="1"/>
  <c r="H4095" i="51" s="1"/>
  <c r="H4096" i="51" a="1"/>
  <c r="H4096" i="51" s="1"/>
  <c r="H4097" i="51" a="1"/>
  <c r="H4097" i="51" s="1"/>
  <c r="H4098" i="51" a="1"/>
  <c r="H4098" i="51" s="1"/>
  <c r="H4099" i="51" a="1"/>
  <c r="H4099" i="51" s="1"/>
  <c r="H4100" i="51" a="1"/>
  <c r="H4100" i="51" s="1"/>
  <c r="H4101" i="51" a="1"/>
  <c r="H4101" i="51" s="1"/>
  <c r="H4102" i="51" a="1"/>
  <c r="H4102" i="51" s="1"/>
  <c r="H4103" i="51" a="1"/>
  <c r="H4103" i="51" s="1"/>
  <c r="H4104" i="51" a="1"/>
  <c r="H4104" i="51" s="1"/>
  <c r="H4105" i="51" a="1"/>
  <c r="H4105" i="51" s="1"/>
  <c r="H4106" i="51" a="1"/>
  <c r="H4106" i="51" s="1"/>
  <c r="H4107" i="51" a="1"/>
  <c r="H4107" i="51" s="1"/>
  <c r="H4108" i="51" a="1"/>
  <c r="H4108" i="51" s="1"/>
  <c r="H4109" i="51" a="1"/>
  <c r="H4109" i="51" s="1"/>
  <c r="H4110" i="51" a="1"/>
  <c r="H4110" i="51" s="1"/>
  <c r="H4111" i="51" a="1"/>
  <c r="H4111" i="51" s="1"/>
  <c r="H4112" i="51" a="1"/>
  <c r="H4112" i="51" s="1"/>
  <c r="H4113" i="51" a="1"/>
  <c r="H4113" i="51" s="1"/>
  <c r="H4114" i="51" a="1"/>
  <c r="H4114" i="51" s="1"/>
  <c r="H4115" i="51" a="1"/>
  <c r="H4115" i="51" s="1"/>
  <c r="H4116" i="51" a="1"/>
  <c r="H4116" i="51" s="1"/>
  <c r="H4117" i="51" a="1"/>
  <c r="H4117" i="51" s="1"/>
  <c r="H4118" i="51" a="1"/>
  <c r="H4118" i="51" s="1"/>
  <c r="H4119" i="51" a="1"/>
  <c r="H4119" i="51" s="1"/>
  <c r="H4120" i="51" a="1"/>
  <c r="H4120" i="51" s="1"/>
  <c r="H4121" i="51" a="1"/>
  <c r="H4121" i="51" s="1"/>
  <c r="H4122" i="51" a="1"/>
  <c r="H4122" i="51" s="1"/>
  <c r="H4123" i="51" a="1"/>
  <c r="H4123" i="51" s="1"/>
  <c r="H4124" i="51" a="1"/>
  <c r="H4124" i="51" s="1"/>
  <c r="H4125" i="51" a="1"/>
  <c r="H4125" i="51" s="1"/>
  <c r="H4126" i="51" a="1"/>
  <c r="H4126" i="51" s="1"/>
  <c r="H4127" i="51" a="1"/>
  <c r="H4127" i="51" s="1"/>
  <c r="H4128" i="51" a="1"/>
  <c r="H4128" i="51" s="1"/>
  <c r="H4129" i="51" a="1"/>
  <c r="H4129" i="51" s="1"/>
  <c r="H4130" i="51" a="1"/>
  <c r="H4130" i="51" s="1"/>
  <c r="H4131" i="51" a="1"/>
  <c r="H4131" i="51" s="1"/>
  <c r="H4132" i="51" a="1"/>
  <c r="H4132" i="51" s="1"/>
  <c r="H4133" i="51" a="1"/>
  <c r="H4133" i="51" s="1"/>
  <c r="H4134" i="51" a="1"/>
  <c r="H4134" i="51" s="1"/>
  <c r="H4135" i="51" a="1"/>
  <c r="H4135" i="51" s="1"/>
  <c r="H4136" i="51" a="1"/>
  <c r="H4136" i="51" s="1"/>
  <c r="H4137" i="51" a="1"/>
  <c r="H4137" i="51" s="1"/>
  <c r="H4138" i="51" a="1"/>
  <c r="H4138" i="51" s="1"/>
  <c r="H4139" i="51" a="1"/>
  <c r="H4139" i="51" s="1"/>
  <c r="H4140" i="51" a="1"/>
  <c r="H4140" i="51" s="1"/>
  <c r="H4141" i="51" a="1"/>
  <c r="H4141" i="51" s="1"/>
  <c r="H4142" i="51" a="1"/>
  <c r="H4142" i="51" s="1"/>
  <c r="H4143" i="51" a="1"/>
  <c r="H4143" i="51" s="1"/>
  <c r="H4144" i="51" a="1"/>
  <c r="H4144" i="51" s="1"/>
  <c r="H4145" i="51" a="1"/>
  <c r="H4145" i="51" s="1"/>
  <c r="H4146" i="51" a="1"/>
  <c r="H4146" i="51" s="1"/>
  <c r="H4147" i="51" a="1"/>
  <c r="H4147" i="51" s="1"/>
  <c r="H4148" i="51" a="1"/>
  <c r="H4148" i="51" s="1"/>
  <c r="H4149" i="51" a="1"/>
  <c r="H4149" i="51" s="1"/>
  <c r="H4150" i="51" a="1"/>
  <c r="H4150" i="51" s="1"/>
  <c r="H4151" i="51" a="1"/>
  <c r="H4151" i="51" s="1"/>
  <c r="H4152" i="51" a="1"/>
  <c r="H4152" i="51" s="1"/>
  <c r="H4153" i="51" a="1"/>
  <c r="H4153" i="51" s="1"/>
  <c r="H4154" i="51" a="1"/>
  <c r="H4154" i="51" s="1"/>
  <c r="H4155" i="51" a="1"/>
  <c r="H4155" i="51" s="1"/>
  <c r="H4156" i="51" a="1"/>
  <c r="H4156" i="51" s="1"/>
  <c r="H4157" i="51" a="1"/>
  <c r="H4157" i="51" s="1"/>
  <c r="H4158" i="51" a="1"/>
  <c r="H4158" i="51" s="1"/>
  <c r="H4159" i="51" a="1"/>
  <c r="H4159" i="51" s="1"/>
  <c r="H4160" i="51" a="1"/>
  <c r="H4160" i="51" s="1"/>
  <c r="H4161" i="51" a="1"/>
  <c r="H4161" i="51" s="1"/>
  <c r="H4162" i="51" a="1"/>
  <c r="H4162" i="51" s="1"/>
  <c r="H4163" i="51" a="1"/>
  <c r="H4163" i="51" s="1"/>
  <c r="H4164" i="51" a="1"/>
  <c r="H4164" i="51" s="1"/>
  <c r="H4165" i="51" a="1"/>
  <c r="H4165" i="51" s="1"/>
  <c r="H4166" i="51" a="1"/>
  <c r="H4166" i="51" s="1"/>
  <c r="H4167" i="51" a="1"/>
  <c r="H4167" i="51" s="1"/>
  <c r="H4168" i="51" a="1"/>
  <c r="H4168" i="51" s="1"/>
  <c r="H4169" i="51" a="1"/>
  <c r="H4169" i="51" s="1"/>
  <c r="H4170" i="51" a="1"/>
  <c r="H4170" i="51" s="1"/>
  <c r="H4171" i="51" a="1"/>
  <c r="H4171" i="51" s="1"/>
  <c r="H4172" i="51" a="1"/>
  <c r="H4172" i="51" s="1"/>
  <c r="H4173" i="51" a="1"/>
  <c r="H4173" i="51" s="1"/>
  <c r="H4174" i="51" a="1"/>
  <c r="H4174" i="51" s="1"/>
  <c r="H4175" i="51" a="1"/>
  <c r="H4175" i="51" s="1"/>
  <c r="H4176" i="51" a="1"/>
  <c r="H4176" i="51" s="1"/>
  <c r="H4177" i="51" a="1"/>
  <c r="H4177" i="51" s="1"/>
  <c r="H4178" i="51" a="1"/>
  <c r="H4178" i="51" s="1"/>
  <c r="H4179" i="51" a="1"/>
  <c r="H4179" i="51" s="1"/>
  <c r="H4180" i="51" a="1"/>
  <c r="H4180" i="51" s="1"/>
  <c r="H4181" i="51" a="1"/>
  <c r="H4181" i="51" s="1"/>
  <c r="H4182" i="51" a="1"/>
  <c r="H4182" i="51" s="1"/>
  <c r="H4183" i="51" a="1"/>
  <c r="H4183" i="51" s="1"/>
  <c r="H4184" i="51" a="1"/>
  <c r="H4184" i="51" s="1"/>
  <c r="H4185" i="51" a="1"/>
  <c r="H4185" i="51" s="1"/>
  <c r="H4186" i="51" a="1"/>
  <c r="H4186" i="51" s="1"/>
  <c r="H4187" i="51" a="1"/>
  <c r="H4187" i="51" s="1"/>
  <c r="H4188" i="51" a="1"/>
  <c r="H4188" i="51" s="1"/>
  <c r="H4189" i="51" a="1"/>
  <c r="H4189" i="51" s="1"/>
  <c r="H4190" i="51" a="1"/>
  <c r="H4190" i="51" s="1"/>
  <c r="H4191" i="51" a="1"/>
  <c r="H4191" i="51" s="1"/>
  <c r="H4192" i="51" a="1"/>
  <c r="H4192" i="51" s="1"/>
  <c r="H4193" i="51" a="1"/>
  <c r="H4193" i="51" s="1"/>
  <c r="H4194" i="51" a="1"/>
  <c r="H4194" i="51" s="1"/>
  <c r="H4195" i="51" a="1"/>
  <c r="H4195" i="51" s="1"/>
  <c r="H4196" i="51" a="1"/>
  <c r="H4196" i="51" s="1"/>
  <c r="H4197" i="51" a="1"/>
  <c r="H4197" i="51" s="1"/>
  <c r="H4198" i="51" a="1"/>
  <c r="H4198" i="51" s="1"/>
  <c r="H4199" i="51" a="1"/>
  <c r="H4199" i="51" s="1"/>
  <c r="H4200" i="51" a="1"/>
  <c r="H4200" i="51" s="1"/>
  <c r="H4201" i="51" a="1"/>
  <c r="H4201" i="51" s="1"/>
  <c r="H4202" i="51" a="1"/>
  <c r="H4202" i="51" s="1"/>
  <c r="H4203" i="51" a="1"/>
  <c r="H4203" i="51" s="1"/>
  <c r="H4204" i="51" a="1"/>
  <c r="H4204" i="51" s="1"/>
  <c r="H4205" i="51" a="1"/>
  <c r="H4205" i="51" s="1"/>
  <c r="H4206" i="51" a="1"/>
  <c r="H4206" i="51" s="1"/>
  <c r="H4207" i="51" a="1"/>
  <c r="H4207" i="51" s="1"/>
  <c r="H4208" i="51" a="1"/>
  <c r="H4208" i="51" s="1"/>
  <c r="H4209" i="51" a="1"/>
  <c r="H4209" i="51" s="1"/>
  <c r="H4210" i="51" a="1"/>
  <c r="H4210" i="51" s="1"/>
  <c r="H4211" i="51" a="1"/>
  <c r="H4211" i="51" s="1"/>
  <c r="H4212" i="51" a="1"/>
  <c r="H4212" i="51" s="1"/>
  <c r="H4213" i="51" a="1"/>
  <c r="H4213" i="51" s="1"/>
  <c r="H4214" i="51" a="1"/>
  <c r="H4214" i="51" s="1"/>
  <c r="H4215" i="51" a="1"/>
  <c r="H4215" i="51" s="1"/>
  <c r="H4216" i="51" a="1"/>
  <c r="H4216" i="51" s="1"/>
  <c r="H4217" i="51" a="1"/>
  <c r="H4217" i="51" s="1"/>
  <c r="H4218" i="51" a="1"/>
  <c r="H4218" i="51" s="1"/>
  <c r="H4219" i="51" a="1"/>
  <c r="H4219" i="51" s="1"/>
  <c r="H4220" i="51" a="1"/>
  <c r="H4220" i="51" s="1"/>
  <c r="H4221" i="51" a="1"/>
  <c r="H4221" i="51" s="1"/>
  <c r="H4222" i="51" a="1"/>
  <c r="H4222" i="51" s="1"/>
  <c r="H4223" i="51" a="1"/>
  <c r="H4223" i="51" s="1"/>
  <c r="H4224" i="51" a="1"/>
  <c r="H4224" i="51" s="1"/>
  <c r="H4225" i="51" a="1"/>
  <c r="H4225" i="51" s="1"/>
  <c r="H4226" i="51" a="1"/>
  <c r="H4226" i="51" s="1"/>
  <c r="H4227" i="51" a="1"/>
  <c r="H4227" i="51" s="1"/>
  <c r="H4228" i="51" a="1"/>
  <c r="H4228" i="51" s="1"/>
  <c r="H4229" i="51" a="1"/>
  <c r="H4229" i="51" s="1"/>
  <c r="H4230" i="51" a="1"/>
  <c r="H4230" i="51" s="1"/>
  <c r="H4231" i="51" a="1"/>
  <c r="H4231" i="51" s="1"/>
  <c r="H4232" i="51" a="1"/>
  <c r="H4232" i="51" s="1"/>
  <c r="H4233" i="51" a="1"/>
  <c r="H4233" i="51" s="1"/>
  <c r="H4234" i="51" a="1"/>
  <c r="H4234" i="51" s="1"/>
  <c r="H4235" i="51" a="1"/>
  <c r="H4235" i="51" s="1"/>
  <c r="H4236" i="51" a="1"/>
  <c r="H4236" i="51" s="1"/>
  <c r="H4237" i="51" a="1"/>
  <c r="H4237" i="51" s="1"/>
  <c r="H4238" i="51" a="1"/>
  <c r="H4238" i="51" s="1"/>
  <c r="H4239" i="51" a="1"/>
  <c r="H4239" i="51" s="1"/>
  <c r="H4240" i="51" a="1"/>
  <c r="H4240" i="51" s="1"/>
  <c r="H4241" i="51" a="1"/>
  <c r="H4241" i="51" s="1"/>
  <c r="H4242" i="51" a="1"/>
  <c r="H4242" i="51" s="1"/>
  <c r="H4243" i="51" a="1"/>
  <c r="H4243" i="51" s="1"/>
  <c r="H4244" i="51" a="1"/>
  <c r="H4244" i="51" s="1"/>
  <c r="H4245" i="51" a="1"/>
  <c r="H4245" i="51" s="1"/>
  <c r="H4246" i="51" a="1"/>
  <c r="H4246" i="51" s="1"/>
  <c r="H4247" i="51" a="1"/>
  <c r="H4247" i="51" s="1"/>
  <c r="H4248" i="51" a="1"/>
  <c r="H4248" i="51" s="1"/>
  <c r="H4249" i="51" a="1"/>
  <c r="H4249" i="51" s="1"/>
  <c r="H4250" i="51" a="1"/>
  <c r="H4250" i="51" s="1"/>
  <c r="H4251" i="51" a="1"/>
  <c r="H4251" i="51" s="1"/>
  <c r="H4252" i="51" a="1"/>
  <c r="H4252" i="51" s="1"/>
  <c r="H4253" i="51" a="1"/>
  <c r="H4253" i="51" s="1"/>
  <c r="H4254" i="51" a="1"/>
  <c r="H4254" i="51" s="1"/>
  <c r="H4255" i="51" a="1"/>
  <c r="H4255" i="51" s="1"/>
  <c r="H4256" i="51" a="1"/>
  <c r="H4256" i="51" s="1"/>
  <c r="H4257" i="51" a="1"/>
  <c r="H4257" i="51" s="1"/>
  <c r="H4258" i="51" a="1"/>
  <c r="H4258" i="51" s="1"/>
  <c r="H4259" i="51" a="1"/>
  <c r="H4259" i="51" s="1"/>
  <c r="H4260" i="51" a="1"/>
  <c r="H4260" i="51" s="1"/>
  <c r="H4261" i="51" a="1"/>
  <c r="H4261" i="51" s="1"/>
  <c r="H4262" i="51" a="1"/>
  <c r="H4262" i="51" s="1"/>
  <c r="H4263" i="51" a="1"/>
  <c r="H4263" i="51" s="1"/>
  <c r="H4264" i="51" a="1"/>
  <c r="H4264" i="51" s="1"/>
  <c r="H4265" i="51" a="1"/>
  <c r="H4265" i="51" s="1"/>
  <c r="H4266" i="51" a="1"/>
  <c r="H4266" i="51" s="1"/>
  <c r="H4267" i="51" a="1"/>
  <c r="H4267" i="51" s="1"/>
  <c r="H4268" i="51" a="1"/>
  <c r="H4268" i="51" s="1"/>
  <c r="H4269" i="51" a="1"/>
  <c r="H4269" i="51" s="1"/>
  <c r="H4270" i="51" a="1"/>
  <c r="H4270" i="51" s="1"/>
  <c r="H4271" i="51" a="1"/>
  <c r="H4271" i="51" s="1"/>
  <c r="H4272" i="51" a="1"/>
  <c r="H4272" i="51" s="1"/>
  <c r="H4273" i="51" a="1"/>
  <c r="H4273" i="51" s="1"/>
  <c r="H4274" i="51" a="1"/>
  <c r="H4274" i="51" s="1"/>
  <c r="H4275" i="51" a="1"/>
  <c r="H4275" i="51" s="1"/>
  <c r="H4276" i="51" a="1"/>
  <c r="H4276" i="51" s="1"/>
  <c r="H4277" i="51" a="1"/>
  <c r="H4277" i="51" s="1"/>
  <c r="H4278" i="51" a="1"/>
  <c r="H4278" i="51" s="1"/>
  <c r="H4279" i="51" a="1"/>
  <c r="H4279" i="51" s="1"/>
  <c r="H4280" i="51" a="1"/>
  <c r="H4280" i="51" s="1"/>
  <c r="H4281" i="51" a="1"/>
  <c r="H4281" i="51" s="1"/>
  <c r="H4282" i="51" a="1"/>
  <c r="H4282" i="51" s="1"/>
  <c r="H4283" i="51" a="1"/>
  <c r="H4283" i="51" s="1"/>
  <c r="H4284" i="51" a="1"/>
  <c r="H4284" i="51" s="1"/>
  <c r="H4285" i="51" a="1"/>
  <c r="H4285" i="51" s="1"/>
  <c r="H4286" i="51" a="1"/>
  <c r="H4286" i="51" s="1"/>
  <c r="H4287" i="51" a="1"/>
  <c r="H4287" i="51" s="1"/>
  <c r="H4288" i="51" a="1"/>
  <c r="H4288" i="51" s="1"/>
  <c r="H4289" i="51" a="1"/>
  <c r="H4289" i="51" s="1"/>
  <c r="H4290" i="51" a="1"/>
  <c r="H4290" i="51" s="1"/>
  <c r="H4291" i="51" a="1"/>
  <c r="H4291" i="51" s="1"/>
  <c r="H4292" i="51" a="1"/>
  <c r="H4292" i="51" s="1"/>
  <c r="H4293" i="51" a="1"/>
  <c r="H4293" i="51" s="1"/>
  <c r="H4294" i="51" a="1"/>
  <c r="H4294" i="51" s="1"/>
  <c r="H4295" i="51" a="1"/>
  <c r="H4295" i="51" s="1"/>
  <c r="H4296" i="51" a="1"/>
  <c r="H4296" i="51" s="1"/>
  <c r="H4297" i="51" a="1"/>
  <c r="H4297" i="51" s="1"/>
  <c r="H4298" i="51" a="1"/>
  <c r="H4298" i="51" s="1"/>
  <c r="H4299" i="51" a="1"/>
  <c r="H4299" i="51" s="1"/>
  <c r="H4300" i="51" a="1"/>
  <c r="H4300" i="51" s="1"/>
  <c r="H4301" i="51" a="1"/>
  <c r="H4301" i="51" s="1"/>
  <c r="H4302" i="51" a="1"/>
  <c r="H4302" i="51" s="1"/>
  <c r="H4303" i="51" a="1"/>
  <c r="H4303" i="51" s="1"/>
  <c r="H4304" i="51" a="1"/>
  <c r="H4304" i="51" s="1"/>
  <c r="H4305" i="51" a="1"/>
  <c r="H4305" i="51" s="1"/>
  <c r="H4306" i="51" a="1"/>
  <c r="H4306" i="51" s="1"/>
  <c r="H4307" i="51" a="1"/>
  <c r="H4307" i="51" s="1"/>
  <c r="H4308" i="51" a="1"/>
  <c r="H4308" i="51" s="1"/>
  <c r="H4309" i="51" a="1"/>
  <c r="H4309" i="51" s="1"/>
  <c r="H4310" i="51" a="1"/>
  <c r="H4310" i="51" s="1"/>
  <c r="H4311" i="51" a="1"/>
  <c r="H4311" i="51" s="1"/>
  <c r="H4312" i="51" a="1"/>
  <c r="H4312" i="51" s="1"/>
  <c r="H4313" i="51" a="1"/>
  <c r="H4313" i="51" s="1"/>
  <c r="H4314" i="51" a="1"/>
  <c r="H4314" i="51" s="1"/>
  <c r="H4315" i="51" a="1"/>
  <c r="H4315" i="51" s="1"/>
  <c r="H4316" i="51" a="1"/>
  <c r="H4316" i="51" s="1"/>
  <c r="H4317" i="51" a="1"/>
  <c r="H4317" i="51" s="1"/>
  <c r="H4318" i="51" a="1"/>
  <c r="H4318" i="51" s="1"/>
  <c r="H4319" i="51" a="1"/>
  <c r="H4319" i="51" s="1"/>
  <c r="H4320" i="51" a="1"/>
  <c r="H4320" i="51" s="1"/>
  <c r="H4321" i="51" a="1"/>
  <c r="H4321" i="51" s="1"/>
  <c r="H4322" i="51" a="1"/>
  <c r="H4322" i="51" s="1"/>
  <c r="H4323" i="51" a="1"/>
  <c r="H4323" i="51" s="1"/>
  <c r="H4324" i="51" a="1"/>
  <c r="H4324" i="51" s="1"/>
  <c r="H4325" i="51" a="1"/>
  <c r="H4325" i="51" s="1"/>
  <c r="H4326" i="51" a="1"/>
  <c r="H4326" i="51" s="1"/>
  <c r="H4327" i="51" a="1"/>
  <c r="H4327" i="51" s="1"/>
  <c r="H4328" i="51" a="1"/>
  <c r="H4328" i="51" s="1"/>
  <c r="H4329" i="51" a="1"/>
  <c r="H4329" i="51" s="1"/>
  <c r="H4330" i="51" a="1"/>
  <c r="H4330" i="51" s="1"/>
  <c r="H4331" i="51" a="1"/>
  <c r="H4331" i="51" s="1"/>
  <c r="H4332" i="51" a="1"/>
  <c r="H4332" i="51" s="1"/>
  <c r="H4333" i="51" a="1"/>
  <c r="H4333" i="51" s="1"/>
  <c r="H4334" i="51" a="1"/>
  <c r="H4334" i="51" s="1"/>
  <c r="H4335" i="51" a="1"/>
  <c r="H4335" i="51" s="1"/>
  <c r="H4336" i="51" a="1"/>
  <c r="H4336" i="51" s="1"/>
  <c r="H4337" i="51" a="1"/>
  <c r="H4337" i="51" s="1"/>
  <c r="H4338" i="51" a="1"/>
  <c r="H4338" i="51" s="1"/>
  <c r="H4339" i="51" a="1"/>
  <c r="H4339" i="51" s="1"/>
  <c r="H4340" i="51" a="1"/>
  <c r="H4340" i="51" s="1"/>
  <c r="H4341" i="51" a="1"/>
  <c r="H4341" i="51" s="1"/>
  <c r="H4342" i="51" a="1"/>
  <c r="H4342" i="51" s="1"/>
  <c r="H4343" i="51" a="1"/>
  <c r="H4343" i="51" s="1"/>
  <c r="H4344" i="51" a="1"/>
  <c r="H4344" i="51" s="1"/>
  <c r="H4345" i="51" a="1"/>
  <c r="H4345" i="51" s="1"/>
  <c r="H4346" i="51" a="1"/>
  <c r="H4346" i="51" s="1"/>
  <c r="H4347" i="51" a="1"/>
  <c r="H4347" i="51" s="1"/>
  <c r="H4348" i="51" a="1"/>
  <c r="H4348" i="51" s="1"/>
  <c r="H4349" i="51" a="1"/>
  <c r="H4349" i="51" s="1"/>
  <c r="H4350" i="51" a="1"/>
  <c r="H4350" i="51" s="1"/>
  <c r="H4351" i="51" a="1"/>
  <c r="H4351" i="51" s="1"/>
  <c r="H4352" i="51" a="1"/>
  <c r="H4352" i="51" s="1"/>
  <c r="H4353" i="51" a="1"/>
  <c r="H4353" i="51" s="1"/>
  <c r="H4354" i="51" a="1"/>
  <c r="H4354" i="51" s="1"/>
  <c r="H4355" i="51" a="1"/>
  <c r="H4355" i="51" s="1"/>
  <c r="H4356" i="51" a="1"/>
  <c r="H4356" i="51" s="1"/>
  <c r="H4357" i="51" a="1"/>
  <c r="H4357" i="51" s="1"/>
  <c r="H4358" i="51" a="1"/>
  <c r="H4358" i="51" s="1"/>
  <c r="H4359" i="51" a="1"/>
  <c r="H4359" i="51" s="1"/>
  <c r="H4360" i="51" a="1"/>
  <c r="H4360" i="51" s="1"/>
  <c r="H4361" i="51" a="1"/>
  <c r="H4361" i="51" s="1"/>
  <c r="H4362" i="51" a="1"/>
  <c r="H4362" i="51" s="1"/>
  <c r="H4363" i="51" a="1"/>
  <c r="H4363" i="51" s="1"/>
  <c r="H4364" i="51" a="1"/>
  <c r="H4364" i="51" s="1"/>
  <c r="H4365" i="51" a="1"/>
  <c r="H4365" i="51" s="1"/>
  <c r="H4366" i="51" a="1"/>
  <c r="H4366" i="51" s="1"/>
  <c r="H4367" i="51" a="1"/>
  <c r="H4367" i="51" s="1"/>
  <c r="H4368" i="51" a="1"/>
  <c r="H4368" i="51" s="1"/>
  <c r="H4369" i="51" a="1"/>
  <c r="H4369" i="51" s="1"/>
  <c r="H4370" i="51" a="1"/>
  <c r="H4370" i="51" s="1"/>
  <c r="H4371" i="51" a="1"/>
  <c r="H4371" i="51" s="1"/>
  <c r="H4372" i="51" a="1"/>
  <c r="H4372" i="51" s="1"/>
  <c r="H4373" i="51" a="1"/>
  <c r="H4373" i="51" s="1"/>
  <c r="H4374" i="51" a="1"/>
  <c r="H4374" i="51" s="1"/>
  <c r="H4375" i="51" a="1"/>
  <c r="H4375" i="51" s="1"/>
  <c r="H4376" i="51" a="1"/>
  <c r="H4376" i="51" s="1"/>
  <c r="H4377" i="51" a="1"/>
  <c r="H4377" i="51" s="1"/>
  <c r="H4378" i="51" a="1"/>
  <c r="H4378" i="51" s="1"/>
  <c r="H4379" i="51" a="1"/>
  <c r="H4379" i="51" s="1"/>
  <c r="H4380" i="51" a="1"/>
  <c r="H4380" i="51" s="1"/>
  <c r="H4381" i="51" a="1"/>
  <c r="H4381" i="51" s="1"/>
  <c r="H4382" i="51" a="1"/>
  <c r="H4382" i="51" s="1"/>
  <c r="H4383" i="51" a="1"/>
  <c r="H4383" i="51" s="1"/>
  <c r="H4384" i="51" a="1"/>
  <c r="H4384" i="51" s="1"/>
  <c r="H4385" i="51" a="1"/>
  <c r="H4385" i="51" s="1"/>
  <c r="H4386" i="51" a="1"/>
  <c r="H4386" i="51" s="1"/>
  <c r="H4387" i="51" a="1"/>
  <c r="H4387" i="51" s="1"/>
  <c r="H4388" i="51" a="1"/>
  <c r="H4388" i="51" s="1"/>
  <c r="H4389" i="51" a="1"/>
  <c r="H4389" i="51" s="1"/>
  <c r="H4390" i="51" a="1"/>
  <c r="H4390" i="51" s="1"/>
  <c r="H4391" i="51" a="1"/>
  <c r="H4391" i="51" s="1"/>
  <c r="H4392" i="51" a="1"/>
  <c r="H4392" i="51" s="1"/>
  <c r="H4393" i="51" a="1"/>
  <c r="H4393" i="51" s="1"/>
  <c r="H4394" i="51" a="1"/>
  <c r="H4394" i="51" s="1"/>
  <c r="H4395" i="51" a="1"/>
  <c r="H4395" i="51" s="1"/>
  <c r="H4396" i="51" a="1"/>
  <c r="H4396" i="51" s="1"/>
  <c r="H4397" i="51" a="1"/>
  <c r="H4397" i="51" s="1"/>
  <c r="H4398" i="51" a="1"/>
  <c r="H4398" i="51" s="1"/>
  <c r="H4399" i="51" a="1"/>
  <c r="H4399" i="51" s="1"/>
  <c r="H4400" i="51" a="1"/>
  <c r="H4400" i="51" s="1"/>
  <c r="H4401" i="51" a="1"/>
  <c r="H4401" i="51" s="1"/>
  <c r="H4402" i="51" a="1"/>
  <c r="H4402" i="51" s="1"/>
  <c r="H4403" i="51" a="1"/>
  <c r="H4403" i="51" s="1"/>
  <c r="H4404" i="51" a="1"/>
  <c r="H4404" i="51" s="1"/>
  <c r="H4405" i="51" a="1"/>
  <c r="H4405" i="51" s="1"/>
  <c r="H4406" i="51" a="1"/>
  <c r="H4406" i="51" s="1"/>
  <c r="H4407" i="51" a="1"/>
  <c r="H4407" i="51" s="1"/>
  <c r="H4408" i="51" a="1"/>
  <c r="H4408" i="51" s="1"/>
  <c r="H4409" i="51" a="1"/>
  <c r="H4409" i="51" s="1"/>
  <c r="H4410" i="51" a="1"/>
  <c r="H4410" i="51" s="1"/>
  <c r="H4411" i="51" a="1"/>
  <c r="H4411" i="51" s="1"/>
  <c r="H4412" i="51" a="1"/>
  <c r="H4412" i="51" s="1"/>
  <c r="H4413" i="51" a="1"/>
  <c r="H4413" i="51" s="1"/>
  <c r="H4414" i="51" a="1"/>
  <c r="H4414" i="51" s="1"/>
  <c r="H4415" i="51" a="1"/>
  <c r="H4415" i="51" s="1"/>
  <c r="H4416" i="51" a="1"/>
  <c r="H4416" i="51" s="1"/>
  <c r="H4417" i="51" a="1"/>
  <c r="H4417" i="51" s="1"/>
  <c r="H4418" i="51" a="1"/>
  <c r="H4418" i="51" s="1"/>
  <c r="H4419" i="51" a="1"/>
  <c r="H4419" i="51" s="1"/>
  <c r="H4420" i="51" a="1"/>
  <c r="H4420" i="51" s="1"/>
  <c r="H4421" i="51" a="1"/>
  <c r="H4421" i="51" s="1"/>
  <c r="H4422" i="51" a="1"/>
  <c r="H4422" i="51" s="1"/>
  <c r="H4423" i="51" a="1"/>
  <c r="H4423" i="51" s="1"/>
  <c r="H4424" i="51" a="1"/>
  <c r="H4424" i="51" s="1"/>
  <c r="H4425" i="51" a="1"/>
  <c r="H4425" i="51" s="1"/>
  <c r="H4426" i="51" a="1"/>
  <c r="H4426" i="51" s="1"/>
  <c r="H4427" i="51" a="1"/>
  <c r="H4427" i="51" s="1"/>
  <c r="H4428" i="51" a="1"/>
  <c r="H4428" i="51" s="1"/>
  <c r="H4429" i="51" a="1"/>
  <c r="H4429" i="51" s="1"/>
  <c r="H4430" i="51" a="1"/>
  <c r="H4430" i="51" s="1"/>
  <c r="H4431" i="51" a="1"/>
  <c r="H4431" i="51" s="1"/>
  <c r="H4432" i="51" a="1"/>
  <c r="H4432" i="51" s="1"/>
  <c r="H4433" i="51" a="1"/>
  <c r="H4433" i="51" s="1"/>
  <c r="H4434" i="51" a="1"/>
  <c r="H4434" i="51" s="1"/>
  <c r="H4435" i="51" a="1"/>
  <c r="H4435" i="51" s="1"/>
  <c r="H4436" i="51" a="1"/>
  <c r="H4436" i="51" s="1"/>
  <c r="H4437" i="51" a="1"/>
  <c r="H4437" i="51" s="1"/>
  <c r="H4438" i="51" a="1"/>
  <c r="H4438" i="51" s="1"/>
  <c r="H4439" i="51" a="1"/>
  <c r="H4439" i="51" s="1"/>
  <c r="H4440" i="51" a="1"/>
  <c r="H4440" i="51" s="1"/>
  <c r="H4441" i="51" a="1"/>
  <c r="H4441" i="51" s="1"/>
  <c r="H4442" i="51" a="1"/>
  <c r="H4442" i="51" s="1"/>
  <c r="H4443" i="51" a="1"/>
  <c r="H4443" i="51" s="1"/>
  <c r="H4444" i="51" a="1"/>
  <c r="H4444" i="51" s="1"/>
  <c r="H4445" i="51" a="1"/>
  <c r="H4445" i="51" s="1"/>
  <c r="H4446" i="51" a="1"/>
  <c r="H4446" i="51" s="1"/>
  <c r="H4447" i="51" a="1"/>
  <c r="H4447" i="51" s="1"/>
  <c r="H4448" i="51" a="1"/>
  <c r="H4448" i="51" s="1"/>
  <c r="H4449" i="51" a="1"/>
  <c r="H4449" i="51" s="1"/>
  <c r="H4450" i="51" a="1"/>
  <c r="H4450" i="51" s="1"/>
  <c r="H4451" i="51" a="1"/>
  <c r="H4451" i="51" s="1"/>
  <c r="H4452" i="51" a="1"/>
  <c r="H4452" i="51" s="1"/>
  <c r="H4453" i="51" a="1"/>
  <c r="H4453" i="51" s="1"/>
  <c r="H4454" i="51" a="1"/>
  <c r="H4454" i="51" s="1"/>
  <c r="H4455" i="51" a="1"/>
  <c r="H4455" i="51" s="1"/>
  <c r="H4456" i="51" a="1"/>
  <c r="H4456" i="51" s="1"/>
  <c r="H4457" i="51" a="1"/>
  <c r="H4457" i="51" s="1"/>
  <c r="H4458" i="51" a="1"/>
  <c r="H4458" i="51" s="1"/>
  <c r="H4459" i="51" a="1"/>
  <c r="H4459" i="51" s="1"/>
  <c r="H4460" i="51" a="1"/>
  <c r="H4460" i="51" s="1"/>
  <c r="H4461" i="51" a="1"/>
  <c r="H4461" i="51" s="1"/>
  <c r="H4462" i="51" a="1"/>
  <c r="H4462" i="51" s="1"/>
  <c r="H4463" i="51" a="1"/>
  <c r="H4463" i="51" s="1"/>
  <c r="H4464" i="51" a="1"/>
  <c r="H4464" i="51" s="1"/>
  <c r="H4465" i="51" a="1"/>
  <c r="H4465" i="51" s="1"/>
  <c r="H4466" i="51" a="1"/>
  <c r="H4466" i="51" s="1"/>
  <c r="H4467" i="51" a="1"/>
  <c r="H4467" i="51" s="1"/>
  <c r="H4468" i="51" a="1"/>
  <c r="H4468" i="51" s="1"/>
  <c r="H4469" i="51" a="1"/>
  <c r="H4469" i="51" s="1"/>
  <c r="H4470" i="51" a="1"/>
  <c r="H4470" i="51" s="1"/>
  <c r="H4471" i="51" a="1"/>
  <c r="H4471" i="51" s="1"/>
  <c r="H4472" i="51" a="1"/>
  <c r="H4472" i="51" s="1"/>
  <c r="H4473" i="51" a="1"/>
  <c r="H4473" i="51" s="1"/>
  <c r="H4474" i="51" a="1"/>
  <c r="H4474" i="51" s="1"/>
  <c r="H4475" i="51" a="1"/>
  <c r="H4475" i="51" s="1"/>
  <c r="H4476" i="51" a="1"/>
  <c r="H4476" i="51" s="1"/>
  <c r="H4477" i="51" a="1"/>
  <c r="H4477" i="51" s="1"/>
  <c r="H4478" i="51" a="1"/>
  <c r="H4478" i="51" s="1"/>
  <c r="H4479" i="51" a="1"/>
  <c r="H4479" i="51" s="1"/>
  <c r="H4480" i="51" a="1"/>
  <c r="H4480" i="51" s="1"/>
  <c r="H4481" i="51" a="1"/>
  <c r="H4481" i="51" s="1"/>
  <c r="H4482" i="51" a="1"/>
  <c r="H4482" i="51" s="1"/>
  <c r="H4483" i="51" a="1"/>
  <c r="H4483" i="51" s="1"/>
  <c r="H4484" i="51" a="1"/>
  <c r="H4484" i="51" s="1"/>
  <c r="H4485" i="51" a="1"/>
  <c r="H4485" i="51" s="1"/>
  <c r="H4486" i="51" a="1"/>
  <c r="H4486" i="51" s="1"/>
  <c r="H4487" i="51" a="1"/>
  <c r="H4487" i="51" s="1"/>
  <c r="H4488" i="51" a="1"/>
  <c r="H4488" i="51" s="1"/>
  <c r="H4489" i="51" a="1"/>
  <c r="H4489" i="51" s="1"/>
  <c r="H4490" i="51" a="1"/>
  <c r="H4490" i="51" s="1"/>
  <c r="H4491" i="51" a="1"/>
  <c r="H4491" i="51" s="1"/>
  <c r="H4492" i="51" a="1"/>
  <c r="H4492" i="51" s="1"/>
  <c r="H4493" i="51" a="1"/>
  <c r="H4493" i="51" s="1"/>
  <c r="H4494" i="51" a="1"/>
  <c r="H4494" i="51" s="1"/>
  <c r="H4495" i="51" a="1"/>
  <c r="H4495" i="51" s="1"/>
  <c r="H4496" i="51" a="1"/>
  <c r="H4496" i="51" s="1"/>
  <c r="H4497" i="51" a="1"/>
  <c r="H4497" i="51" s="1"/>
  <c r="H4498" i="51" a="1"/>
  <c r="H4498" i="51" s="1"/>
  <c r="H4499" i="51" a="1"/>
  <c r="H4499" i="51" s="1"/>
  <c r="H4500" i="51" a="1"/>
  <c r="H4500" i="51" s="1"/>
  <c r="H4501" i="51" a="1"/>
  <c r="H4501" i="51" s="1"/>
  <c r="H4502" i="51" a="1"/>
  <c r="H4502" i="51" s="1"/>
  <c r="H4503" i="51" a="1"/>
  <c r="H4503" i="51" s="1"/>
  <c r="H4504" i="51" a="1"/>
  <c r="H4504" i="51" s="1"/>
  <c r="H4505" i="51" a="1"/>
  <c r="H4505" i="51" s="1"/>
  <c r="H4506" i="51" a="1"/>
  <c r="H4506" i="51" s="1"/>
  <c r="H4507" i="51" a="1"/>
  <c r="H4507" i="51" s="1"/>
  <c r="H4508" i="51" a="1"/>
  <c r="H4508" i="51" s="1"/>
  <c r="H4509" i="51" a="1"/>
  <c r="H4509" i="51" s="1"/>
  <c r="H4510" i="51" a="1"/>
  <c r="H4510" i="51" s="1"/>
  <c r="H4511" i="51" a="1"/>
  <c r="H4511" i="51" s="1"/>
  <c r="H4512" i="51" a="1"/>
  <c r="H4512" i="51" s="1"/>
  <c r="H4513" i="51" a="1"/>
  <c r="H4513" i="51" s="1"/>
  <c r="H4514" i="51" a="1"/>
  <c r="H4514" i="51" s="1"/>
  <c r="H4515" i="51" a="1"/>
  <c r="H4515" i="51" s="1"/>
  <c r="H4516" i="51" a="1"/>
  <c r="H4516" i="51" s="1"/>
  <c r="H4517" i="51" a="1"/>
  <c r="H4517" i="51" s="1"/>
  <c r="H4518" i="51" a="1"/>
  <c r="H4518" i="51" s="1"/>
  <c r="H4519" i="51" a="1"/>
  <c r="H4519" i="51" s="1"/>
  <c r="H4520" i="51" a="1"/>
  <c r="H4520" i="51" s="1"/>
  <c r="H4521" i="51" a="1"/>
  <c r="H4521" i="51" s="1"/>
  <c r="H4522" i="51" a="1"/>
  <c r="H4522" i="51" s="1"/>
  <c r="H4523" i="51" a="1"/>
  <c r="H4523" i="51" s="1"/>
  <c r="H4524" i="51" a="1"/>
  <c r="H4524" i="51" s="1"/>
  <c r="H4525" i="51" a="1"/>
  <c r="H4525" i="51" s="1"/>
  <c r="H4526" i="51" a="1"/>
  <c r="H4526" i="51" s="1"/>
  <c r="H4527" i="51" a="1"/>
  <c r="H4527" i="51" s="1"/>
  <c r="H4528" i="51" a="1"/>
  <c r="H4528" i="51" s="1"/>
  <c r="H4529" i="51" a="1"/>
  <c r="H4529" i="51" s="1"/>
  <c r="H4530" i="51" a="1"/>
  <c r="H4530" i="51" s="1"/>
  <c r="H4531" i="51" a="1"/>
  <c r="H4531" i="51" s="1"/>
  <c r="H4532" i="51" a="1"/>
  <c r="H4532" i="51" s="1"/>
  <c r="H4533" i="51" a="1"/>
  <c r="H4533" i="51" s="1"/>
  <c r="H4534" i="51" a="1"/>
  <c r="H4534" i="51" s="1"/>
  <c r="H4535" i="51" a="1"/>
  <c r="H4535" i="51" s="1"/>
  <c r="H4536" i="51" a="1"/>
  <c r="H4536" i="51" s="1"/>
  <c r="H4537" i="51" a="1"/>
  <c r="H4537" i="51" s="1"/>
  <c r="H4538" i="51" a="1"/>
  <c r="H4538" i="51" s="1"/>
  <c r="H4539" i="51" a="1"/>
  <c r="H4539" i="51" s="1"/>
  <c r="H4540" i="51" a="1"/>
  <c r="H4540" i="51" s="1"/>
  <c r="H4541" i="51" a="1"/>
  <c r="H4541" i="51" s="1"/>
  <c r="H4542" i="51" a="1"/>
  <c r="H4542" i="51" s="1"/>
  <c r="H4543" i="51" a="1"/>
  <c r="H4543" i="51" s="1"/>
  <c r="H4544" i="51" a="1"/>
  <c r="H4544" i="51" s="1"/>
  <c r="H4545" i="51" a="1"/>
  <c r="H4545" i="51" s="1"/>
  <c r="H4546" i="51" a="1"/>
  <c r="H4546" i="51" s="1"/>
  <c r="H4547" i="51" a="1"/>
  <c r="H4547" i="51" s="1"/>
  <c r="H4548" i="51" a="1"/>
  <c r="H4548" i="51" s="1"/>
  <c r="H4549" i="51" a="1"/>
  <c r="H4549" i="51" s="1"/>
  <c r="H4550" i="51" a="1"/>
  <c r="H4550" i="51" s="1"/>
  <c r="H4551" i="51" a="1"/>
  <c r="H4551" i="51" s="1"/>
  <c r="H4552" i="51" a="1"/>
  <c r="H4552" i="51" s="1"/>
  <c r="H4553" i="51" a="1"/>
  <c r="H4553" i="51" s="1"/>
  <c r="H4554" i="51" a="1"/>
  <c r="H4554" i="51" s="1"/>
  <c r="H4555" i="51" a="1"/>
  <c r="H4555" i="51" s="1"/>
  <c r="H4556" i="51" a="1"/>
  <c r="H4556" i="51" s="1"/>
  <c r="H4557" i="51" a="1"/>
  <c r="H4557" i="51" s="1"/>
  <c r="H4558" i="51" a="1"/>
  <c r="H4558" i="51" s="1"/>
  <c r="H4559" i="51" a="1"/>
  <c r="H4559" i="51" s="1"/>
  <c r="H4560" i="51" a="1"/>
  <c r="H4560" i="51" s="1"/>
  <c r="H4561" i="51" a="1"/>
  <c r="H4561" i="51" s="1"/>
  <c r="H4562" i="51" a="1"/>
  <c r="H4562" i="51" s="1"/>
  <c r="H4563" i="51" a="1"/>
  <c r="H4563" i="51" s="1"/>
  <c r="H4564" i="51" a="1"/>
  <c r="H4564" i="51" s="1"/>
  <c r="H4565" i="51" a="1"/>
  <c r="H4565" i="51" s="1"/>
  <c r="H4566" i="51" a="1"/>
  <c r="H4566" i="51" s="1"/>
  <c r="H4567" i="51" a="1"/>
  <c r="H4567" i="51" s="1"/>
  <c r="H4568" i="51" a="1"/>
  <c r="H4568" i="51" s="1"/>
  <c r="H4569" i="51" a="1"/>
  <c r="H4569" i="51" s="1"/>
  <c r="H4570" i="51" a="1"/>
  <c r="H4570" i="51" s="1"/>
  <c r="H4571" i="51" a="1"/>
  <c r="H4571" i="51" s="1"/>
  <c r="H4572" i="51" a="1"/>
  <c r="H4572" i="51" s="1"/>
  <c r="H4573" i="51" a="1"/>
  <c r="H4573" i="51" s="1"/>
  <c r="H4574" i="51" a="1"/>
  <c r="H4574" i="51" s="1"/>
  <c r="H4575" i="51" a="1"/>
  <c r="H4575" i="51" s="1"/>
  <c r="H4576" i="51" a="1"/>
  <c r="H4576" i="51" s="1"/>
  <c r="H4577" i="51" a="1"/>
  <c r="H4577" i="51" s="1"/>
  <c r="H4578" i="51" a="1"/>
  <c r="H4578" i="51" s="1"/>
  <c r="H4579" i="51" a="1"/>
  <c r="H4579" i="51" s="1"/>
  <c r="H4580" i="51" a="1"/>
  <c r="H4580" i="51" s="1"/>
  <c r="H4581" i="51" a="1"/>
  <c r="H4581" i="51" s="1"/>
  <c r="H4582" i="51" a="1"/>
  <c r="H4582" i="51" s="1"/>
  <c r="H4583" i="51" a="1"/>
  <c r="H4583" i="51" s="1"/>
  <c r="H4584" i="51" a="1"/>
  <c r="H4584" i="51" s="1"/>
  <c r="H4585" i="51" a="1"/>
  <c r="H4585" i="51" s="1"/>
  <c r="H4586" i="51" a="1"/>
  <c r="H4586" i="51" s="1"/>
  <c r="H4587" i="51" a="1"/>
  <c r="H4587" i="51" s="1"/>
  <c r="H4588" i="51" a="1"/>
  <c r="H4588" i="51" s="1"/>
  <c r="H4589" i="51" a="1"/>
  <c r="H4589" i="51" s="1"/>
  <c r="H4590" i="51" a="1"/>
  <c r="H4590" i="51" s="1"/>
  <c r="H4591" i="51" a="1"/>
  <c r="H4591" i="51" s="1"/>
  <c r="H4592" i="51" a="1"/>
  <c r="H4592" i="51" s="1"/>
  <c r="H4593" i="51" a="1"/>
  <c r="H4593" i="51" s="1"/>
  <c r="H4594" i="51" a="1"/>
  <c r="H4594" i="51" s="1"/>
  <c r="H4595" i="51" a="1"/>
  <c r="H4595" i="51" s="1"/>
  <c r="H4596" i="51" a="1"/>
  <c r="H4596" i="51" s="1"/>
  <c r="H4597" i="51" a="1"/>
  <c r="H4597" i="51" s="1"/>
  <c r="H4598" i="51" a="1"/>
  <c r="H4598" i="51" s="1"/>
  <c r="H4599" i="51" a="1"/>
  <c r="H4599" i="51" s="1"/>
  <c r="H4600" i="51" a="1"/>
  <c r="H4600" i="51" s="1"/>
  <c r="H4601" i="51" a="1"/>
  <c r="H4601" i="51" s="1"/>
  <c r="H4602" i="51" a="1"/>
  <c r="H4602" i="51" s="1"/>
  <c r="H4603" i="51" a="1"/>
  <c r="H4603" i="51" s="1"/>
  <c r="H4604" i="51" a="1"/>
  <c r="H4604" i="51" s="1"/>
  <c r="H4605" i="51" a="1"/>
  <c r="H4605" i="51" s="1"/>
  <c r="H4606" i="51" a="1"/>
  <c r="H4606" i="51" s="1"/>
  <c r="H4607" i="51" a="1"/>
  <c r="H4607" i="51" s="1"/>
  <c r="H4608" i="51" a="1"/>
  <c r="H4608" i="51" s="1"/>
  <c r="H4609" i="51" a="1"/>
  <c r="H4609" i="51" s="1"/>
  <c r="H4610" i="51" a="1"/>
  <c r="H4610" i="51" s="1"/>
  <c r="H4611" i="51" a="1"/>
  <c r="H4611" i="51" s="1"/>
  <c r="H4612" i="51" a="1"/>
  <c r="H4612" i="51" s="1"/>
  <c r="H4613" i="51" a="1"/>
  <c r="H4613" i="51" s="1"/>
  <c r="H4614" i="51" a="1"/>
  <c r="H4614" i="51" s="1"/>
  <c r="H4615" i="51" a="1"/>
  <c r="H4615" i="51" s="1"/>
  <c r="H4616" i="51" a="1"/>
  <c r="H4616" i="51" s="1"/>
  <c r="H4617" i="51" a="1"/>
  <c r="H4617" i="51" s="1"/>
  <c r="H4618" i="51" a="1"/>
  <c r="H4618" i="51" s="1"/>
  <c r="H4619" i="51" a="1"/>
  <c r="H4619" i="51" s="1"/>
  <c r="H4620" i="51" a="1"/>
  <c r="H4620" i="51" s="1"/>
  <c r="H4621" i="51" a="1"/>
  <c r="H4621" i="51" s="1"/>
  <c r="H4622" i="51" a="1"/>
  <c r="H4622" i="51" s="1"/>
  <c r="H4623" i="51" a="1"/>
  <c r="H4623" i="51" s="1"/>
  <c r="H4624" i="51" a="1"/>
  <c r="H4624" i="51" s="1"/>
  <c r="H4625" i="51" a="1"/>
  <c r="H4625" i="51" s="1"/>
  <c r="H4626" i="51" a="1"/>
  <c r="H4626" i="51" s="1"/>
  <c r="H4627" i="51" a="1"/>
  <c r="H4627" i="51" s="1"/>
  <c r="H4628" i="51" a="1"/>
  <c r="H4628" i="51" s="1"/>
  <c r="H4629" i="51" a="1"/>
  <c r="H4629" i="51" s="1"/>
  <c r="H4630" i="51" a="1"/>
  <c r="H4630" i="51" s="1"/>
  <c r="H4631" i="51" a="1"/>
  <c r="H4631" i="51" s="1"/>
  <c r="H4632" i="51" a="1"/>
  <c r="H4632" i="51" s="1"/>
  <c r="H4633" i="51" a="1"/>
  <c r="H4633" i="51" s="1"/>
  <c r="H4634" i="51" a="1"/>
  <c r="H4634" i="51" s="1"/>
  <c r="H4635" i="51" a="1"/>
  <c r="H4635" i="51" s="1"/>
  <c r="H4636" i="51" a="1"/>
  <c r="H4636" i="51" s="1"/>
  <c r="H4637" i="51" a="1"/>
  <c r="H4637" i="51" s="1"/>
  <c r="H4638" i="51" a="1"/>
  <c r="H4638" i="51" s="1"/>
  <c r="H4639" i="51" a="1"/>
  <c r="H4639" i="51" s="1"/>
  <c r="H4640" i="51" a="1"/>
  <c r="H4640" i="51" s="1"/>
  <c r="H4641" i="51" a="1"/>
  <c r="H4641" i="51" s="1"/>
  <c r="H4642" i="51" a="1"/>
  <c r="H4642" i="51" s="1"/>
  <c r="H4643" i="51" a="1"/>
  <c r="H4643" i="51" s="1"/>
  <c r="H4644" i="51" a="1"/>
  <c r="H4644" i="51" s="1"/>
  <c r="H4645" i="51" a="1"/>
  <c r="H4645" i="51" s="1"/>
  <c r="H4646" i="51" a="1"/>
  <c r="H4646" i="51" s="1"/>
  <c r="H4647" i="51" a="1"/>
  <c r="H4647" i="51" s="1"/>
  <c r="H4648" i="51" a="1"/>
  <c r="H4648" i="51" s="1"/>
  <c r="H4649" i="51" a="1"/>
  <c r="H4649" i="51" s="1"/>
  <c r="H4650" i="51" a="1"/>
  <c r="H4650" i="51" s="1"/>
  <c r="H4651" i="51" a="1"/>
  <c r="H4651" i="51" s="1"/>
  <c r="H4652" i="51" a="1"/>
  <c r="H4652" i="51" s="1"/>
  <c r="H4653" i="51" a="1"/>
  <c r="H4653" i="51" s="1"/>
  <c r="H4654" i="51" a="1"/>
  <c r="H4654" i="51" s="1"/>
  <c r="H4655" i="51" a="1"/>
  <c r="H4655" i="51" s="1"/>
  <c r="H4656" i="51" a="1"/>
  <c r="H4656" i="51" s="1"/>
  <c r="H4657" i="51" a="1"/>
  <c r="H4657" i="51" s="1"/>
  <c r="H4658" i="51" a="1"/>
  <c r="H4658" i="51" s="1"/>
  <c r="H4659" i="51" a="1"/>
  <c r="H4659" i="51" s="1"/>
  <c r="H4660" i="51" a="1"/>
  <c r="H4660" i="51" s="1"/>
  <c r="H4661" i="51" a="1"/>
  <c r="H4661" i="51" s="1"/>
  <c r="H4662" i="51" a="1"/>
  <c r="H4662" i="51" s="1"/>
  <c r="H4663" i="51" a="1"/>
  <c r="H4663" i="51" s="1"/>
  <c r="H4664" i="51" a="1"/>
  <c r="H4664" i="51" s="1"/>
  <c r="H4665" i="51" a="1"/>
  <c r="H4665" i="51" s="1"/>
  <c r="H4666" i="51" a="1"/>
  <c r="H4666" i="51" s="1"/>
  <c r="H4667" i="51" a="1"/>
  <c r="H4667" i="51" s="1"/>
  <c r="H4668" i="51" a="1"/>
  <c r="H4668" i="51" s="1"/>
  <c r="H4669" i="51" a="1"/>
  <c r="H4669" i="51" s="1"/>
  <c r="H4670" i="51" a="1"/>
  <c r="H4670" i="51" s="1"/>
  <c r="H4671" i="51" a="1"/>
  <c r="H4671" i="51" s="1"/>
  <c r="H4672" i="51" a="1"/>
  <c r="H4672" i="51" s="1"/>
  <c r="H4673" i="51" a="1"/>
  <c r="H4673" i="51" s="1"/>
  <c r="H4674" i="51" a="1"/>
  <c r="H4674" i="51" s="1"/>
  <c r="H4675" i="51" a="1"/>
  <c r="H4675" i="51" s="1"/>
  <c r="H4676" i="51" a="1"/>
  <c r="H4676" i="51" s="1"/>
  <c r="H4677" i="51" a="1"/>
  <c r="H4677" i="51" s="1"/>
  <c r="H4678" i="51" a="1"/>
  <c r="H4678" i="51" s="1"/>
  <c r="H4679" i="51" a="1"/>
  <c r="H4679" i="51" s="1"/>
  <c r="H4680" i="51" a="1"/>
  <c r="H4680" i="51" s="1"/>
  <c r="H4681" i="51" a="1"/>
  <c r="H4681" i="51" s="1"/>
  <c r="H4682" i="51" a="1"/>
  <c r="H4682" i="51" s="1"/>
  <c r="H4683" i="51" a="1"/>
  <c r="H4683" i="51" s="1"/>
  <c r="H4684" i="51" a="1"/>
  <c r="H4684" i="51" s="1"/>
  <c r="H4685" i="51" a="1"/>
  <c r="H4685" i="51" s="1"/>
  <c r="H4686" i="51" a="1"/>
  <c r="H4686" i="51" s="1"/>
  <c r="H4687" i="51" a="1"/>
  <c r="H4687" i="51" s="1"/>
  <c r="H4688" i="51" a="1"/>
  <c r="H4688" i="51" s="1"/>
  <c r="H4689" i="51" a="1"/>
  <c r="H4689" i="51"/>
  <c r="H4690" i="51" a="1"/>
  <c r="H4690" i="51" s="1"/>
  <c r="H4691" i="51" a="1"/>
  <c r="H4691" i="51" s="1"/>
  <c r="H4692" i="51" a="1"/>
  <c r="H4692" i="51" s="1"/>
  <c r="H4693" i="51" a="1"/>
  <c r="H4693" i="51" s="1"/>
  <c r="H4694" i="51" a="1"/>
  <c r="H4694" i="51" s="1"/>
  <c r="H4695" i="51" a="1"/>
  <c r="H4695" i="51" s="1"/>
  <c r="H4696" i="51" a="1"/>
  <c r="H4696" i="51" s="1"/>
  <c r="H4697" i="51" a="1"/>
  <c r="H4697" i="51" s="1"/>
  <c r="H4698" i="51" a="1"/>
  <c r="H4698" i="51" s="1"/>
  <c r="H4699" i="51" a="1"/>
  <c r="H4699" i="51" s="1"/>
  <c r="H4700" i="51" a="1"/>
  <c r="H4700" i="51" s="1"/>
  <c r="H4701" i="51" a="1"/>
  <c r="H4701" i="51" s="1"/>
  <c r="H4702" i="51" a="1"/>
  <c r="H4702" i="51" s="1"/>
  <c r="H4703" i="51" a="1"/>
  <c r="H4703" i="51"/>
  <c r="H4704" i="51" a="1"/>
  <c r="H4704" i="51" s="1"/>
  <c r="H4705" i="51" a="1"/>
  <c r="H4705" i="51" s="1"/>
  <c r="H4706" i="51" a="1"/>
  <c r="H4706" i="51" s="1"/>
  <c r="H4707" i="51" a="1"/>
  <c r="H4707" i="51" s="1"/>
  <c r="H4708" i="51" a="1"/>
  <c r="H4708" i="51" s="1"/>
  <c r="H4709" i="51" a="1"/>
  <c r="H4709" i="51" s="1"/>
  <c r="H4710" i="51" a="1"/>
  <c r="H4710" i="51" s="1"/>
  <c r="H4711" i="51" a="1"/>
  <c r="H4711" i="51" s="1"/>
  <c r="H4712" i="51" a="1"/>
  <c r="H4712" i="51" s="1"/>
  <c r="H4713" i="51" a="1"/>
  <c r="H4713" i="51" s="1"/>
  <c r="H4714" i="51" a="1"/>
  <c r="H4714" i="51" s="1"/>
  <c r="H4715" i="51" a="1"/>
  <c r="H4715" i="51" s="1"/>
  <c r="H4716" i="51" a="1"/>
  <c r="H4716" i="51" s="1"/>
  <c r="H4717" i="51" a="1"/>
  <c r="H4717" i="51" s="1"/>
  <c r="H4718" i="51" a="1"/>
  <c r="H4718" i="51" s="1"/>
  <c r="H4719" i="51" a="1"/>
  <c r="H4719" i="51" s="1"/>
  <c r="H4720" i="51" a="1"/>
  <c r="H4720" i="51"/>
  <c r="H4721" i="51" a="1"/>
  <c r="H4721" i="51" s="1"/>
  <c r="H4722" i="51" a="1"/>
  <c r="H4722" i="51" s="1"/>
  <c r="H4723" i="51" a="1"/>
  <c r="H4723" i="51" s="1"/>
  <c r="H4724" i="51" a="1"/>
  <c r="H4724" i="51" s="1"/>
  <c r="H4725" i="51" a="1"/>
  <c r="H4725" i="51" s="1"/>
  <c r="H4726" i="51" a="1"/>
  <c r="H4726" i="51" s="1"/>
  <c r="H4727" i="51" a="1"/>
  <c r="H4727" i="51" s="1"/>
  <c r="H4728" i="51" a="1"/>
  <c r="H4728" i="51" s="1"/>
  <c r="H4729" i="51" a="1"/>
  <c r="H4729" i="51" s="1"/>
  <c r="H4730" i="51" a="1"/>
  <c r="H4730" i="51" s="1"/>
  <c r="H4731" i="51" a="1"/>
  <c r="H4731" i="51" s="1"/>
  <c r="H4732" i="51" a="1"/>
  <c r="H4732" i="51" s="1"/>
  <c r="H4733" i="51" a="1"/>
  <c r="H4733" i="51" s="1"/>
  <c r="H4734" i="51" a="1"/>
  <c r="H4734" i="51" s="1"/>
  <c r="H4735" i="51" a="1"/>
  <c r="H4735" i="51" s="1"/>
  <c r="H4736" i="51" a="1"/>
  <c r="H4736" i="51"/>
  <c r="H4737" i="51" a="1"/>
  <c r="H4737" i="51" s="1"/>
  <c r="H4738" i="51" a="1"/>
  <c r="H4738" i="51" s="1"/>
  <c r="H4739" i="51" a="1"/>
  <c r="H4739" i="51"/>
  <c r="H4740" i="51" a="1"/>
  <c r="H4740" i="51" s="1"/>
  <c r="H4741" i="51" a="1"/>
  <c r="H4741" i="51" s="1"/>
  <c r="H4742" i="51" a="1"/>
  <c r="H4742" i="51" s="1"/>
  <c r="H4743" i="51" a="1"/>
  <c r="H4743" i="51" s="1"/>
  <c r="H4744" i="51" a="1"/>
  <c r="H4744" i="51" s="1"/>
  <c r="H4745" i="51" a="1"/>
  <c r="H4745" i="51"/>
  <c r="H4746" i="51" a="1"/>
  <c r="H4746" i="51" s="1"/>
  <c r="H4747" i="51" a="1"/>
  <c r="H4747" i="51" s="1"/>
  <c r="H4748" i="51" a="1"/>
  <c r="H4748" i="51" s="1"/>
  <c r="H4749" i="51" a="1"/>
  <c r="H4749" i="51" s="1"/>
  <c r="H4750" i="51" a="1"/>
  <c r="H4750" i="51" s="1"/>
  <c r="H4751" i="51" a="1"/>
  <c r="H4751" i="51" s="1"/>
  <c r="H4752" i="51" a="1"/>
  <c r="H4752" i="51" s="1"/>
  <c r="H4753" i="51" a="1"/>
  <c r="H4753" i="51" s="1"/>
  <c r="H4754" i="51" a="1"/>
  <c r="H4754" i="51" s="1"/>
  <c r="H4755" i="51" a="1"/>
  <c r="H4755" i="51"/>
  <c r="H4756" i="51" a="1"/>
  <c r="H4756" i="51" s="1"/>
  <c r="H4757" i="51" a="1"/>
  <c r="H4757" i="51"/>
  <c r="H4758" i="51" a="1"/>
  <c r="H4758" i="51" s="1"/>
  <c r="H4759" i="51" a="1"/>
  <c r="H4759" i="51" s="1"/>
  <c r="H4760" i="51" a="1"/>
  <c r="H4760" i="51" s="1"/>
  <c r="H4761" i="51" a="1"/>
  <c r="H4761" i="51" s="1"/>
  <c r="H4762" i="51" a="1"/>
  <c r="H4762" i="51" s="1"/>
  <c r="H4763" i="51" a="1"/>
  <c r="H4763" i="51" s="1"/>
  <c r="H4764" i="51" a="1"/>
  <c r="H4764" i="51"/>
  <c r="H4765" i="51" a="1"/>
  <c r="H4765" i="51" s="1"/>
  <c r="H4766" i="51" a="1"/>
  <c r="H4766" i="51" s="1"/>
  <c r="H4767" i="51" a="1"/>
  <c r="H4767" i="51" s="1"/>
  <c r="H4768" i="51" a="1"/>
  <c r="H4768" i="51" s="1"/>
  <c r="H4769" i="51" a="1"/>
  <c r="H4769" i="51" s="1"/>
  <c r="H4770" i="51" a="1"/>
  <c r="H4770" i="51" s="1"/>
  <c r="H4771" i="51" a="1"/>
  <c r="H4771" i="51" s="1"/>
  <c r="H4772" i="51" a="1"/>
  <c r="H4772" i="51" s="1"/>
  <c r="H4773" i="51" a="1"/>
  <c r="H4773" i="51" s="1"/>
  <c r="H4774" i="51" a="1"/>
  <c r="H4774" i="51" s="1"/>
  <c r="H4775" i="51" a="1"/>
  <c r="H4775" i="51" s="1"/>
  <c r="H4776" i="51" a="1"/>
  <c r="H4776" i="51" s="1"/>
  <c r="H4777" i="51" a="1"/>
  <c r="H4777" i="51" s="1"/>
  <c r="H4778" i="51" a="1"/>
  <c r="H4778" i="51" s="1"/>
  <c r="H4779" i="51" a="1"/>
  <c r="H4779" i="51" s="1"/>
  <c r="H4780" i="51" a="1"/>
  <c r="H4780" i="51"/>
  <c r="H4781" i="51" a="1"/>
  <c r="H4781" i="51" s="1"/>
  <c r="H4782" i="51" a="1"/>
  <c r="H4782" i="51" s="1"/>
  <c r="H4783" i="51" a="1"/>
  <c r="H4783" i="51" s="1"/>
  <c r="H4784" i="51" a="1"/>
  <c r="H4784" i="51" s="1"/>
  <c r="H4785" i="51" a="1"/>
  <c r="H4785" i="51" s="1"/>
  <c r="H4786" i="51" a="1"/>
  <c r="H4786" i="51" s="1"/>
  <c r="H4787" i="51" a="1"/>
  <c r="H4787" i="51" s="1"/>
  <c r="H4788" i="51" a="1"/>
  <c r="H4788" i="51"/>
  <c r="H4789" i="51" a="1"/>
  <c r="H4789" i="51" s="1"/>
  <c r="H4790" i="51" a="1"/>
  <c r="H4790" i="51" s="1"/>
  <c r="H4791" i="51" a="1"/>
  <c r="H4791" i="51" s="1"/>
  <c r="H4792" i="51" a="1"/>
  <c r="H4792" i="51" s="1"/>
  <c r="H4793" i="51" a="1"/>
  <c r="H4793" i="51" s="1"/>
  <c r="H4794" i="51" a="1"/>
  <c r="H4794" i="51" s="1"/>
  <c r="H4795" i="51" a="1"/>
  <c r="H4795" i="51" s="1"/>
  <c r="H4796" i="51" a="1"/>
  <c r="H4796" i="51" s="1"/>
  <c r="H4797" i="51" a="1"/>
  <c r="H4797" i="51"/>
  <c r="H4798" i="51" a="1"/>
  <c r="H4798" i="51" s="1"/>
  <c r="H4799" i="51" a="1"/>
  <c r="H4799" i="51" s="1"/>
  <c r="H4800" i="51" a="1"/>
  <c r="H4800" i="51"/>
  <c r="H4801" i="51" a="1"/>
  <c r="H4801" i="51" s="1"/>
  <c r="H4802" i="51" a="1"/>
  <c r="H4802" i="51" s="1"/>
  <c r="H4803" i="51" a="1"/>
  <c r="H4803" i="51"/>
  <c r="H4804" i="51" a="1"/>
  <c r="H4804" i="51" s="1"/>
  <c r="H4805" i="51" a="1"/>
  <c r="H4805" i="51" s="1"/>
  <c r="H4806" i="51" a="1"/>
  <c r="H4806" i="51" s="1"/>
  <c r="H4807" i="51" a="1"/>
  <c r="H4807" i="51" s="1"/>
  <c r="H4808" i="51" a="1"/>
  <c r="H4808" i="51" s="1"/>
  <c r="H4809" i="51" a="1"/>
  <c r="H4809" i="51"/>
  <c r="H4810" i="51" a="1"/>
  <c r="H4810" i="51" s="1"/>
  <c r="H4811" i="51" a="1"/>
  <c r="H4811" i="51"/>
  <c r="H4812" i="51" a="1"/>
  <c r="H4812" i="51"/>
  <c r="H4813" i="51" a="1"/>
  <c r="H4813" i="51" s="1"/>
  <c r="H4814" i="51" a="1"/>
  <c r="H4814" i="51" s="1"/>
  <c r="H4815" i="51" a="1"/>
  <c r="H4815" i="51" s="1"/>
  <c r="H4816" i="51" a="1"/>
  <c r="H4816" i="51" s="1"/>
  <c r="H4817" i="51" a="1"/>
  <c r="H4817" i="51" s="1"/>
  <c r="H4818" i="51" a="1"/>
  <c r="H4818" i="51" s="1"/>
  <c r="H4819" i="51" a="1"/>
  <c r="H4819" i="51"/>
  <c r="H4820" i="51" a="1"/>
  <c r="H4820" i="51" s="1"/>
  <c r="H4821" i="51" a="1"/>
  <c r="H4821" i="51"/>
  <c r="H4822" i="51" a="1"/>
  <c r="H4822" i="51" s="1"/>
  <c r="H4823" i="51" a="1"/>
  <c r="H4823" i="51"/>
  <c r="H4824" i="51" a="1"/>
  <c r="H4824" i="51" s="1"/>
  <c r="H4825" i="51" a="1"/>
  <c r="H4825" i="51" s="1"/>
  <c r="H4826" i="51" a="1"/>
  <c r="H4826" i="51" s="1"/>
  <c r="H4827" i="51" a="1"/>
  <c r="H4827" i="51" s="1"/>
  <c r="H4828" i="51" a="1"/>
  <c r="H4828" i="51" s="1"/>
  <c r="H4829" i="51" a="1"/>
  <c r="H4829" i="51"/>
  <c r="H4830" i="51" a="1"/>
  <c r="H4830" i="51" s="1"/>
  <c r="H4831" i="51" a="1"/>
  <c r="H4831" i="51" s="1"/>
  <c r="H4832" i="51" a="1"/>
  <c r="H4832" i="51" s="1"/>
  <c r="H4833" i="51" a="1"/>
  <c r="H4833" i="51"/>
  <c r="H4834" i="51" a="1"/>
  <c r="H4834" i="51" s="1"/>
  <c r="H4835" i="51" a="1"/>
  <c r="H4835" i="51" s="1"/>
  <c r="H4836" i="51" a="1"/>
  <c r="H4836" i="51" s="1"/>
  <c r="H4837" i="51" a="1"/>
  <c r="H4837" i="51"/>
  <c r="H4838" i="51" a="1"/>
  <c r="H4838" i="51" s="1"/>
  <c r="H4839" i="51" a="1"/>
  <c r="H4839" i="51"/>
  <c r="H4840" i="51" a="1"/>
  <c r="H4840" i="51" s="1"/>
  <c r="H4841" i="51" a="1"/>
  <c r="H4841" i="51" s="1"/>
  <c r="H4842" i="51" a="1"/>
  <c r="H4842" i="51" s="1"/>
  <c r="H4843" i="51" a="1"/>
  <c r="H4843" i="51" s="1"/>
  <c r="H4844" i="51" a="1"/>
  <c r="H4844" i="51" s="1"/>
  <c r="H4845" i="51" a="1"/>
  <c r="H4845" i="51" s="1"/>
  <c r="H4846" i="51" a="1"/>
  <c r="H4846" i="51" s="1"/>
  <c r="H4847" i="51" a="1"/>
  <c r="H4847" i="51" s="1"/>
  <c r="H4848" i="51" a="1"/>
  <c r="H4848" i="51" s="1"/>
  <c r="H4849" i="51" a="1"/>
  <c r="H4849" i="51" s="1"/>
  <c r="H4850" i="51" a="1"/>
  <c r="H4850" i="51" s="1"/>
  <c r="H4851" i="51" a="1"/>
  <c r="H4851" i="51" s="1"/>
  <c r="H4852" i="51" a="1"/>
  <c r="H4852" i="51"/>
  <c r="H4853" i="51" a="1"/>
  <c r="H4853" i="51" s="1"/>
  <c r="H4854" i="51" a="1"/>
  <c r="H4854" i="51" s="1"/>
  <c r="H4855" i="51" a="1"/>
  <c r="H4855" i="51"/>
  <c r="H4856" i="51" a="1"/>
  <c r="H4856" i="51" s="1"/>
  <c r="H4857" i="51" a="1"/>
  <c r="H4857" i="51" s="1"/>
  <c r="H4858" i="51" a="1"/>
  <c r="H4858" i="51" s="1"/>
  <c r="H4859" i="51" a="1"/>
  <c r="H4859" i="51" s="1"/>
  <c r="H4860" i="51" a="1"/>
  <c r="H4860" i="51" s="1"/>
  <c r="H4861" i="51" a="1"/>
  <c r="H4861" i="51" s="1"/>
  <c r="H4862" i="51" a="1"/>
  <c r="H4862" i="51" s="1"/>
  <c r="H4863" i="51" a="1"/>
  <c r="H4863" i="51" s="1"/>
  <c r="H4864" i="51" a="1"/>
  <c r="H4864" i="51" s="1"/>
  <c r="H4865" i="51" a="1"/>
  <c r="H4865" i="51" s="1"/>
  <c r="H4866" i="51" a="1"/>
  <c r="H4866" i="51" s="1"/>
  <c r="H4867" i="51" a="1"/>
  <c r="H4867" i="51" s="1"/>
  <c r="H4868" i="51" a="1"/>
  <c r="H4868" i="51" s="1"/>
  <c r="H4869" i="51" a="1"/>
  <c r="H4869" i="51"/>
  <c r="H4870" i="51" a="1"/>
  <c r="H4870" i="51" s="1"/>
  <c r="H4871" i="51" a="1"/>
  <c r="H4871" i="51" s="1"/>
  <c r="H4872" i="51" a="1"/>
  <c r="H4872" i="51" s="1"/>
  <c r="H4873" i="51" a="1"/>
  <c r="H4873" i="51" s="1"/>
  <c r="H4874" i="51" a="1"/>
  <c r="H4874" i="51" s="1"/>
  <c r="H4875" i="51" a="1"/>
  <c r="H4875" i="51" s="1"/>
  <c r="H4876" i="51" a="1"/>
  <c r="H4876" i="51" s="1"/>
  <c r="H4877" i="51" a="1"/>
  <c r="H4877" i="51"/>
  <c r="H4878" i="51" a="1"/>
  <c r="H4878" i="51" s="1"/>
  <c r="H4879" i="51" a="1"/>
  <c r="H4879" i="51" s="1"/>
  <c r="H4880" i="51" a="1"/>
  <c r="H4880" i="51" s="1"/>
  <c r="H4881" i="51" a="1"/>
  <c r="H4881" i="51" s="1"/>
  <c r="H4882" i="51" a="1"/>
  <c r="H4882" i="51" s="1"/>
  <c r="H4883" i="51" a="1"/>
  <c r="H4883" i="51" s="1"/>
  <c r="H4884" i="51" a="1"/>
  <c r="H4884" i="51" s="1"/>
  <c r="H4885" i="51" a="1"/>
  <c r="H4885" i="51" s="1"/>
  <c r="H4886" i="51" a="1"/>
  <c r="H4886" i="51" s="1"/>
  <c r="H4887" i="51" a="1"/>
  <c r="H4887" i="51"/>
  <c r="H4888" i="51" a="1"/>
  <c r="H4888" i="51" s="1"/>
  <c r="H4889" i="51" a="1"/>
  <c r="H4889" i="51" s="1"/>
  <c r="H4890" i="51" a="1"/>
  <c r="H4890" i="51" s="1"/>
  <c r="H4891" i="51" a="1"/>
  <c r="H4891" i="51"/>
  <c r="H4892" i="51" a="1"/>
  <c r="H4892" i="51" s="1"/>
  <c r="H4893" i="51" a="1"/>
  <c r="H4893" i="51"/>
  <c r="H4894" i="51" a="1"/>
  <c r="H4894" i="51" s="1"/>
  <c r="H4895" i="51" a="1"/>
  <c r="H4895" i="51" s="1"/>
  <c r="H4896" i="51" a="1"/>
  <c r="H4896" i="51"/>
  <c r="H4897" i="51" a="1"/>
  <c r="H4897" i="51" s="1"/>
  <c r="H4898" i="51" a="1"/>
  <c r="H4898" i="51" s="1"/>
  <c r="H4899" i="51" a="1"/>
  <c r="H4899" i="51" s="1"/>
  <c r="H4900" i="51" a="1"/>
  <c r="H4900" i="51" s="1"/>
  <c r="H4901" i="51" a="1"/>
  <c r="H4901" i="51" s="1"/>
  <c r="H4902" i="51" a="1"/>
  <c r="H4902" i="51" s="1"/>
  <c r="H4903" i="51" a="1"/>
  <c r="H4903" i="51" s="1"/>
  <c r="H4904" i="51" a="1"/>
  <c r="H4904" i="51" s="1"/>
  <c r="H4905" i="51" a="1"/>
  <c r="H4905" i="51" s="1"/>
  <c r="H4906" i="51" a="1"/>
  <c r="H4906" i="51" s="1"/>
  <c r="H4907" i="51" a="1"/>
  <c r="H4907" i="51" s="1"/>
  <c r="H4908" i="51" a="1"/>
  <c r="H4908" i="51"/>
  <c r="H4909" i="51" a="1"/>
  <c r="H4909" i="51" s="1"/>
  <c r="H4910" i="51" a="1"/>
  <c r="H4910" i="51" s="1"/>
  <c r="H4911" i="51" a="1"/>
  <c r="H4911" i="51" s="1"/>
  <c r="H4912" i="51" a="1"/>
  <c r="H4912" i="51" s="1"/>
  <c r="H4913" i="51" a="1"/>
  <c r="H4913" i="51" s="1"/>
  <c r="H4914" i="51" a="1"/>
  <c r="H4914" i="51" s="1"/>
  <c r="H4915" i="51" a="1"/>
  <c r="H4915" i="51"/>
  <c r="H4916" i="51" a="1"/>
  <c r="H4916" i="51" s="1"/>
  <c r="H4917" i="51" a="1"/>
  <c r="H4917" i="51" s="1"/>
  <c r="H4918" i="51" a="1"/>
  <c r="H4918" i="51" s="1"/>
  <c r="H4919" i="51" a="1"/>
  <c r="H4919" i="51" s="1"/>
  <c r="H4920" i="51" a="1"/>
  <c r="H4920" i="51" s="1"/>
  <c r="H4921" i="51" a="1"/>
  <c r="H4921" i="51" s="1"/>
  <c r="H4922" i="51" a="1"/>
  <c r="H4922" i="51" s="1"/>
  <c r="H4923" i="51" a="1"/>
  <c r="H4923" i="51" s="1"/>
  <c r="H4924" i="51" a="1"/>
  <c r="H4924" i="51" s="1"/>
  <c r="H4925" i="51" a="1"/>
  <c r="H4925" i="51"/>
  <c r="H4926" i="51" a="1"/>
  <c r="H4926" i="51" s="1"/>
  <c r="H4927" i="51" a="1"/>
  <c r="H4927" i="51" s="1"/>
  <c r="H4928" i="51" a="1"/>
  <c r="H4928" i="51"/>
  <c r="H4929" i="51" a="1"/>
  <c r="H4929" i="51" s="1"/>
  <c r="H4930" i="51" a="1"/>
  <c r="H4930" i="51" s="1"/>
  <c r="H4931" i="51" a="1"/>
  <c r="H4931" i="51"/>
  <c r="H4932" i="51" a="1"/>
  <c r="H4932" i="51" s="1"/>
  <c r="H4933" i="51" a="1"/>
  <c r="H4933" i="51"/>
  <c r="H4934" i="51" a="1"/>
  <c r="H4934" i="51" s="1"/>
  <c r="H4935" i="51" a="1"/>
  <c r="H4935" i="51"/>
  <c r="H4936" i="51" a="1"/>
  <c r="H4936" i="51" s="1"/>
  <c r="H4937" i="51" a="1"/>
  <c r="H4937" i="51" s="1"/>
  <c r="H4938" i="51" a="1"/>
  <c r="H4938" i="51" s="1"/>
  <c r="H4939" i="51" a="1"/>
  <c r="H4939" i="51" s="1"/>
  <c r="H4940" i="51" a="1"/>
  <c r="H4940" i="51"/>
  <c r="H4941" i="51" a="1"/>
  <c r="H4941" i="51" s="1"/>
  <c r="H4942" i="51" a="1"/>
  <c r="H4942" i="51" s="1"/>
  <c r="H4943" i="51" a="1"/>
  <c r="H4943" i="51" s="1"/>
  <c r="H4944" i="51" a="1"/>
  <c r="H4944" i="51" s="1"/>
  <c r="H4945" i="51" a="1"/>
  <c r="H4945" i="51" s="1"/>
  <c r="H4946" i="51" a="1"/>
  <c r="H4946" i="51" s="1"/>
  <c r="H4947" i="51" a="1"/>
  <c r="H4947" i="51" s="1"/>
  <c r="H4948" i="51" a="1"/>
  <c r="H4948" i="51" s="1"/>
  <c r="H4949" i="51" a="1"/>
  <c r="H4949" i="51"/>
  <c r="H4950" i="51" a="1"/>
  <c r="H4950" i="51" s="1"/>
  <c r="H4951" i="51" a="1"/>
  <c r="H4951" i="51" s="1"/>
  <c r="H4952" i="51" a="1"/>
  <c r="H4952" i="51" s="1"/>
  <c r="H4953" i="51" a="1"/>
  <c r="H4953" i="51" s="1"/>
  <c r="H4954" i="51" a="1"/>
  <c r="H4954" i="51" s="1"/>
  <c r="H4955" i="51" a="1"/>
  <c r="H4955" i="51" s="1"/>
  <c r="H4956" i="51" a="1"/>
  <c r="H4956" i="51"/>
  <c r="H4957" i="51" a="1"/>
  <c r="H4957" i="51" s="1"/>
  <c r="H4958" i="51" a="1"/>
  <c r="H4958" i="51" s="1"/>
  <c r="H4959" i="51" a="1"/>
  <c r="H4959" i="51" s="1"/>
  <c r="H4960" i="51" a="1"/>
  <c r="H4960" i="51" s="1"/>
  <c r="H4961" i="51" a="1"/>
  <c r="H4961" i="51" s="1"/>
  <c r="H4962" i="51" a="1"/>
  <c r="H4962" i="51" s="1"/>
  <c r="H4963" i="51" a="1"/>
  <c r="H4963" i="51" s="1"/>
  <c r="H4964" i="51" a="1"/>
  <c r="H4964" i="51"/>
  <c r="H4965" i="51" a="1"/>
  <c r="H4965" i="51" s="1"/>
  <c r="H4966" i="51" a="1"/>
  <c r="H4966" i="51" s="1"/>
  <c r="H4967" i="51" a="1"/>
  <c r="H4967" i="51"/>
  <c r="H4968" i="51" a="1"/>
  <c r="H4968" i="51" s="1"/>
  <c r="H4969" i="51" a="1"/>
  <c r="H4969" i="51" s="1"/>
  <c r="H4970" i="51" a="1"/>
  <c r="H4970" i="51" s="1"/>
  <c r="H4971" i="51" a="1"/>
  <c r="H4971" i="51" s="1"/>
  <c r="H4972" i="51" a="1"/>
  <c r="H4972" i="51" s="1"/>
  <c r="H4973" i="51" a="1"/>
  <c r="H4973" i="51" s="1"/>
  <c r="H4974" i="51" a="1"/>
  <c r="H4974" i="51" s="1"/>
  <c r="H4975" i="51" a="1"/>
  <c r="H4975" i="51" s="1"/>
  <c r="H4976" i="51" a="1"/>
  <c r="H4976" i="51"/>
  <c r="H4977" i="51" a="1"/>
  <c r="H4977" i="51" s="1"/>
  <c r="H4978" i="51" a="1"/>
  <c r="H4978" i="51" s="1"/>
  <c r="H4979" i="51" a="1"/>
  <c r="H4979" i="51" s="1"/>
  <c r="H4980" i="51" a="1"/>
  <c r="H4980" i="51"/>
  <c r="H4981" i="51" a="1"/>
  <c r="H4981" i="51" s="1"/>
  <c r="H4982" i="51" a="1"/>
  <c r="H4982" i="51" s="1"/>
  <c r="H4983" i="51" a="1"/>
  <c r="H4983" i="51" s="1"/>
  <c r="H4984" i="51" a="1"/>
  <c r="H4984" i="51" s="1"/>
  <c r="H4985" i="51" a="1"/>
  <c r="H4985" i="51"/>
  <c r="H4986" i="51" a="1"/>
  <c r="H4986" i="51" s="1"/>
  <c r="H4987" i="51" a="1"/>
  <c r="H4987" i="51"/>
  <c r="H4988" i="51" a="1"/>
  <c r="H4988" i="51" s="1"/>
  <c r="H4989" i="51" a="1"/>
  <c r="H4989" i="51"/>
  <c r="H4990" i="51" a="1"/>
  <c r="H4990" i="51" s="1"/>
  <c r="H4991" i="51" a="1"/>
  <c r="H4991" i="51" s="1"/>
  <c r="H4992" i="51" a="1"/>
  <c r="H4992" i="51"/>
  <c r="H4993" i="51" a="1"/>
  <c r="H4993" i="51" s="1"/>
  <c r="H4994" i="51" a="1"/>
  <c r="H4994" i="51" s="1"/>
  <c r="H4995" i="51" a="1"/>
  <c r="H4995" i="51"/>
  <c r="H4996" i="51" a="1"/>
  <c r="H4996" i="51" s="1"/>
  <c r="H4997" i="51" a="1"/>
  <c r="H4997" i="51" s="1"/>
  <c r="H4998" i="51" a="1"/>
  <c r="H4998" i="51" s="1"/>
  <c r="H4999" i="51" a="1"/>
  <c r="H4999" i="51" s="1"/>
  <c r="H5000" i="51" a="1"/>
  <c r="H5000" i="51" s="1"/>
  <c r="H5001" i="51" a="1"/>
  <c r="H5001" i="51" s="1"/>
  <c r="H5002" i="51" a="1"/>
  <c r="H5002" i="51" s="1"/>
  <c r="H5003" i="51" a="1"/>
  <c r="H5003" i="51" s="1"/>
  <c r="H5004" i="51" a="1"/>
  <c r="H5004" i="51" s="1"/>
  <c r="H5005" i="51" a="1"/>
  <c r="H5005" i="51"/>
  <c r="H5006" i="51" a="1"/>
  <c r="H5006" i="51" s="1"/>
  <c r="H5007" i="51" a="1"/>
  <c r="H5007" i="51" s="1"/>
  <c r="I2008" i="51"/>
  <c r="I2009" i="51"/>
  <c r="I2010" i="51"/>
  <c r="I2011" i="51"/>
  <c r="I2012" i="51"/>
  <c r="I2013" i="51"/>
  <c r="I2014" i="51"/>
  <c r="I2015" i="51"/>
  <c r="I2016" i="51"/>
  <c r="I2017" i="51"/>
  <c r="I2018" i="51"/>
  <c r="I2019" i="51"/>
  <c r="I2020" i="51"/>
  <c r="I2021" i="51"/>
  <c r="I2022" i="51"/>
  <c r="I2023" i="51"/>
  <c r="I2024" i="51"/>
  <c r="I2025" i="51"/>
  <c r="I2026" i="51"/>
  <c r="I2027" i="51"/>
  <c r="I2028" i="51"/>
  <c r="I2029" i="51"/>
  <c r="I2030" i="51"/>
  <c r="I2031" i="51"/>
  <c r="I2032" i="51"/>
  <c r="I2033" i="51"/>
  <c r="I2034" i="51"/>
  <c r="I2035" i="51"/>
  <c r="I2036" i="51"/>
  <c r="I2037" i="51"/>
  <c r="I2038" i="51"/>
  <c r="I2039" i="51"/>
  <c r="I2040" i="51"/>
  <c r="I2041" i="51"/>
  <c r="I2042" i="51"/>
  <c r="I2043" i="51"/>
  <c r="I2044" i="51"/>
  <c r="I2045" i="51"/>
  <c r="I2046" i="51"/>
  <c r="I2047" i="51"/>
  <c r="I2048" i="51"/>
  <c r="I2049" i="51"/>
  <c r="I2050" i="51"/>
  <c r="I2051" i="51"/>
  <c r="I2052" i="51"/>
  <c r="I2053" i="51"/>
  <c r="I2054" i="51"/>
  <c r="I2055" i="51"/>
  <c r="I2056" i="51"/>
  <c r="I2057" i="51"/>
  <c r="I2058" i="51"/>
  <c r="I2059" i="51"/>
  <c r="I2060" i="51"/>
  <c r="I2061" i="51"/>
  <c r="I2062" i="51"/>
  <c r="I2063" i="51"/>
  <c r="I2064" i="51"/>
  <c r="I2065" i="51"/>
  <c r="I2066" i="51"/>
  <c r="I2067" i="51"/>
  <c r="I2068" i="51"/>
  <c r="I2069" i="51"/>
  <c r="I2070" i="51"/>
  <c r="I2071" i="51"/>
  <c r="I2072" i="51"/>
  <c r="I2073" i="51"/>
  <c r="I2074" i="51"/>
  <c r="I2075" i="51"/>
  <c r="I2076" i="51"/>
  <c r="I2077" i="51"/>
  <c r="I2078" i="51"/>
  <c r="I2079" i="51"/>
  <c r="I2080" i="51"/>
  <c r="I2081" i="51"/>
  <c r="I2082" i="51"/>
  <c r="I2083" i="51"/>
  <c r="I2084" i="51"/>
  <c r="I2085" i="51"/>
  <c r="I2086" i="51"/>
  <c r="I2087" i="51"/>
  <c r="I2088" i="51"/>
  <c r="I2089" i="51"/>
  <c r="I2090" i="51"/>
  <c r="I2091" i="51"/>
  <c r="I2092" i="51"/>
  <c r="I2093" i="51"/>
  <c r="I2094" i="51"/>
  <c r="I2095" i="51"/>
  <c r="I2096" i="51"/>
  <c r="I2097" i="51"/>
  <c r="I2098" i="51"/>
  <c r="I2099" i="51"/>
  <c r="I2100" i="51"/>
  <c r="I2101" i="51"/>
  <c r="I2102" i="51"/>
  <c r="I2103" i="51"/>
  <c r="I2104" i="51"/>
  <c r="I2105" i="51"/>
  <c r="I2106" i="51"/>
  <c r="I2107" i="51"/>
  <c r="I2108" i="51"/>
  <c r="I2109" i="51"/>
  <c r="I2110" i="51"/>
  <c r="I2111" i="51"/>
  <c r="I2112" i="51"/>
  <c r="I2113" i="51"/>
  <c r="I2114" i="51"/>
  <c r="I2115" i="51"/>
  <c r="I2116" i="51"/>
  <c r="I2117" i="51"/>
  <c r="I2118" i="51"/>
  <c r="I2119" i="51"/>
  <c r="I2120" i="51"/>
  <c r="I2121" i="51"/>
  <c r="I2122" i="51"/>
  <c r="I2123" i="51"/>
  <c r="I2124" i="51"/>
  <c r="I2125" i="51"/>
  <c r="I2126" i="51"/>
  <c r="I2127" i="51"/>
  <c r="I2128" i="51"/>
  <c r="I2129" i="51"/>
  <c r="I2130" i="51"/>
  <c r="I2131" i="51"/>
  <c r="I2132" i="51"/>
  <c r="I2133" i="51"/>
  <c r="I2134" i="51"/>
  <c r="I2135" i="51"/>
  <c r="I2136" i="51"/>
  <c r="I2137" i="51"/>
  <c r="I2138" i="51"/>
  <c r="I2139" i="51"/>
  <c r="I2140" i="51"/>
  <c r="I2141" i="51"/>
  <c r="I2142" i="51"/>
  <c r="I2143" i="51"/>
  <c r="I2144" i="51"/>
  <c r="I2145" i="51"/>
  <c r="I2146" i="51"/>
  <c r="I2147" i="51"/>
  <c r="I2148" i="51"/>
  <c r="I2149" i="51"/>
  <c r="I2150" i="51"/>
  <c r="I2151" i="51"/>
  <c r="I2152" i="51"/>
  <c r="I2153" i="51"/>
  <c r="I2154" i="51"/>
  <c r="I2155" i="51"/>
  <c r="I2156" i="51"/>
  <c r="I2157" i="51"/>
  <c r="I2158" i="51"/>
  <c r="I2159" i="51"/>
  <c r="I2160" i="51"/>
  <c r="I2161" i="51"/>
  <c r="I2162" i="51"/>
  <c r="I2163" i="51"/>
  <c r="I2164" i="51"/>
  <c r="I2165" i="51"/>
  <c r="I2166" i="51"/>
  <c r="I2167" i="51"/>
  <c r="I2168" i="51"/>
  <c r="I2169" i="51"/>
  <c r="I2170" i="51"/>
  <c r="I2171" i="51"/>
  <c r="I2172" i="51"/>
  <c r="I2173" i="51"/>
  <c r="I2174" i="51"/>
  <c r="I2175" i="51"/>
  <c r="I2176" i="51"/>
  <c r="I2177" i="51"/>
  <c r="I2178" i="51"/>
  <c r="I2179" i="51"/>
  <c r="I2180" i="51"/>
  <c r="I2181" i="51"/>
  <c r="I2182" i="51"/>
  <c r="I2183" i="51"/>
  <c r="I2184" i="51"/>
  <c r="I2185" i="51"/>
  <c r="I2186" i="51"/>
  <c r="I2187" i="51"/>
  <c r="I2188" i="51"/>
  <c r="I2189" i="51"/>
  <c r="I2190" i="51"/>
  <c r="I2191" i="51"/>
  <c r="I2192" i="51"/>
  <c r="I2193" i="51"/>
  <c r="I2194" i="51"/>
  <c r="I2195" i="51"/>
  <c r="I2196" i="51"/>
  <c r="I2197" i="51"/>
  <c r="I2198" i="51"/>
  <c r="I2199" i="51"/>
  <c r="I2200" i="51"/>
  <c r="I2201" i="51"/>
  <c r="I2202" i="51"/>
  <c r="I2203" i="51"/>
  <c r="I2204" i="51"/>
  <c r="I2205" i="51"/>
  <c r="I2206" i="51"/>
  <c r="I2207" i="51"/>
  <c r="I2208" i="51"/>
  <c r="I2209" i="51"/>
  <c r="I2210" i="51"/>
  <c r="I2211" i="51"/>
  <c r="I2212" i="51"/>
  <c r="I2213" i="51"/>
  <c r="I2214" i="51"/>
  <c r="I2215" i="51"/>
  <c r="I2216" i="51"/>
  <c r="I2217" i="51"/>
  <c r="I2218" i="51"/>
  <c r="I2219" i="51"/>
  <c r="I2220" i="51"/>
  <c r="I2221" i="51"/>
  <c r="I2222" i="51"/>
  <c r="I2223" i="51"/>
  <c r="I2224" i="51"/>
  <c r="I2225" i="51"/>
  <c r="I2226" i="51"/>
  <c r="I2227" i="51"/>
  <c r="I2228" i="51"/>
  <c r="I2229" i="51"/>
  <c r="I2230" i="51"/>
  <c r="I2231" i="51"/>
  <c r="I2232" i="51"/>
  <c r="I2233" i="51"/>
  <c r="I2234" i="51"/>
  <c r="I2235" i="51"/>
  <c r="I2236" i="51"/>
  <c r="I2237" i="51"/>
  <c r="I2238" i="51"/>
  <c r="I2239" i="51"/>
  <c r="I2240" i="51"/>
  <c r="I2241" i="51"/>
  <c r="I2242" i="51"/>
  <c r="I2243" i="51"/>
  <c r="I2244" i="51"/>
  <c r="I2245" i="51"/>
  <c r="I2246" i="51"/>
  <c r="I2247" i="51"/>
  <c r="I2248" i="51"/>
  <c r="I2249" i="51"/>
  <c r="I2250" i="51"/>
  <c r="I2251" i="51"/>
  <c r="I2252" i="51"/>
  <c r="I2253" i="51"/>
  <c r="I2254" i="51"/>
  <c r="I2255" i="51"/>
  <c r="I2256" i="51"/>
  <c r="I2257" i="51"/>
  <c r="I2258" i="51"/>
  <c r="I2259" i="51"/>
  <c r="I2260" i="51"/>
  <c r="I2261" i="51"/>
  <c r="I2262" i="51"/>
  <c r="I2263" i="51"/>
  <c r="I2264" i="51"/>
  <c r="I2265" i="51"/>
  <c r="I2266" i="51"/>
  <c r="I2267" i="51"/>
  <c r="I2268" i="51"/>
  <c r="I2269" i="51"/>
  <c r="I2270" i="51"/>
  <c r="I2271" i="51"/>
  <c r="I2272" i="51"/>
  <c r="I2273" i="51"/>
  <c r="I2274" i="51"/>
  <c r="I2275" i="51"/>
  <c r="I2276" i="51"/>
  <c r="I2277" i="51"/>
  <c r="I2278" i="51"/>
  <c r="I2279" i="51"/>
  <c r="I2280" i="51"/>
  <c r="I2281" i="51"/>
  <c r="I2282" i="51"/>
  <c r="I2283" i="51"/>
  <c r="I2284" i="51"/>
  <c r="I2285" i="51"/>
  <c r="I2286" i="51"/>
  <c r="I2287" i="51"/>
  <c r="I2288" i="51"/>
  <c r="I2289" i="51"/>
  <c r="I2290" i="51"/>
  <c r="I2291" i="51"/>
  <c r="I2292" i="51"/>
  <c r="I2293" i="51"/>
  <c r="I2294" i="51"/>
  <c r="I2295" i="51"/>
  <c r="I2296" i="51"/>
  <c r="I2297" i="51"/>
  <c r="I2298" i="51"/>
  <c r="I2299" i="51"/>
  <c r="I2300" i="51"/>
  <c r="I2301" i="51"/>
  <c r="I2302" i="51"/>
  <c r="I2303" i="51"/>
  <c r="I2304" i="51"/>
  <c r="I2305" i="51"/>
  <c r="I2306" i="51"/>
  <c r="I2307" i="51"/>
  <c r="I2308" i="51"/>
  <c r="I2309" i="51"/>
  <c r="I2310" i="51"/>
  <c r="I2311" i="51"/>
  <c r="I2312" i="51"/>
  <c r="I2313" i="51"/>
  <c r="I2314" i="51"/>
  <c r="I2315" i="51"/>
  <c r="I2316" i="51"/>
  <c r="I2317" i="51"/>
  <c r="I2318" i="51"/>
  <c r="I2319" i="51"/>
  <c r="I2320" i="51"/>
  <c r="I2321" i="51"/>
  <c r="I2322" i="51"/>
  <c r="I2323" i="51"/>
  <c r="I2324" i="51"/>
  <c r="I2325" i="51"/>
  <c r="I2326" i="51"/>
  <c r="I2327" i="51"/>
  <c r="I2328" i="51"/>
  <c r="I2329" i="51"/>
  <c r="I2330" i="51"/>
  <c r="I2331" i="51"/>
  <c r="I2332" i="51"/>
  <c r="I2333" i="51"/>
  <c r="I2334" i="51"/>
  <c r="I2335" i="51"/>
  <c r="I2336" i="51"/>
  <c r="I2337" i="51"/>
  <c r="I2338" i="51"/>
  <c r="I2339" i="51"/>
  <c r="I2340" i="51"/>
  <c r="I2341" i="51"/>
  <c r="I2342" i="51"/>
  <c r="I2343" i="51"/>
  <c r="I2344" i="51"/>
  <c r="I2345" i="51"/>
  <c r="I2346" i="51"/>
  <c r="I2347" i="51"/>
  <c r="I2348" i="51"/>
  <c r="I2349" i="51"/>
  <c r="I2350" i="51"/>
  <c r="I2351" i="51"/>
  <c r="I2352" i="51"/>
  <c r="I2353" i="51"/>
  <c r="I2354" i="51"/>
  <c r="I2355" i="51"/>
  <c r="I2356" i="51"/>
  <c r="I2357" i="51"/>
  <c r="I2358" i="51"/>
  <c r="I2359" i="51"/>
  <c r="I2360" i="51"/>
  <c r="I2361" i="51"/>
  <c r="I2362" i="51"/>
  <c r="I2363" i="51"/>
  <c r="I2364" i="51"/>
  <c r="I2365" i="51"/>
  <c r="I2366" i="51"/>
  <c r="I2367" i="51"/>
  <c r="I2368" i="51"/>
  <c r="I2369" i="51"/>
  <c r="I2370" i="51"/>
  <c r="I2371" i="51"/>
  <c r="I2372" i="51"/>
  <c r="I2373" i="51"/>
  <c r="I2374" i="51"/>
  <c r="I2375" i="51"/>
  <c r="I2376" i="51"/>
  <c r="I2377" i="51"/>
  <c r="I2378" i="51"/>
  <c r="I2379" i="51"/>
  <c r="I2380" i="51"/>
  <c r="I2381" i="51"/>
  <c r="I2382" i="51"/>
  <c r="I2383" i="51"/>
  <c r="I2384" i="51"/>
  <c r="I2385" i="51"/>
  <c r="I2386" i="51"/>
  <c r="I2387" i="51"/>
  <c r="I2388" i="51"/>
  <c r="I2389" i="51"/>
  <c r="I2390" i="51"/>
  <c r="I2391" i="51"/>
  <c r="I2392" i="51"/>
  <c r="I2393" i="51"/>
  <c r="I2394" i="51"/>
  <c r="I2395" i="51"/>
  <c r="I2396" i="51"/>
  <c r="I2397" i="51"/>
  <c r="I2398" i="51"/>
  <c r="I2399" i="51"/>
  <c r="I2400" i="51"/>
  <c r="I2401" i="51"/>
  <c r="I2402" i="51"/>
  <c r="I2403" i="51"/>
  <c r="I2404" i="51"/>
  <c r="I2405" i="51"/>
  <c r="I2406" i="51"/>
  <c r="I2407" i="51"/>
  <c r="I2408" i="51"/>
  <c r="I2409" i="51"/>
  <c r="I2410" i="51"/>
  <c r="I2411" i="51"/>
  <c r="I2412" i="51"/>
  <c r="I2413" i="51"/>
  <c r="I2414" i="51"/>
  <c r="I2415" i="51"/>
  <c r="I2416" i="51"/>
  <c r="I2417" i="51"/>
  <c r="I2418" i="51"/>
  <c r="I2419" i="51"/>
  <c r="I2420" i="51"/>
  <c r="I2421" i="51"/>
  <c r="I2422" i="51"/>
  <c r="I2423" i="51"/>
  <c r="I2424" i="51"/>
  <c r="I2425" i="51"/>
  <c r="I2426" i="51"/>
  <c r="I2427" i="51"/>
  <c r="I2428" i="51"/>
  <c r="I2429" i="51"/>
  <c r="I2430" i="51"/>
  <c r="I2431" i="51"/>
  <c r="I2432" i="51"/>
  <c r="I2433" i="51"/>
  <c r="I2434" i="51"/>
  <c r="I2435" i="51"/>
  <c r="I2436" i="51"/>
  <c r="I2437" i="51"/>
  <c r="I2438" i="51"/>
  <c r="I2439" i="51"/>
  <c r="I2440" i="51"/>
  <c r="I2441" i="51"/>
  <c r="I2442" i="51"/>
  <c r="I2443" i="51"/>
  <c r="I2444" i="51"/>
  <c r="I2445" i="51"/>
  <c r="I2446" i="51"/>
  <c r="I2447" i="51"/>
  <c r="I2448" i="51"/>
  <c r="I2449" i="51"/>
  <c r="I2450" i="51"/>
  <c r="I2451" i="51"/>
  <c r="I2452" i="51"/>
  <c r="I2453" i="51"/>
  <c r="I2454" i="51"/>
  <c r="I2455" i="51"/>
  <c r="I2456" i="51"/>
  <c r="I2457" i="51"/>
  <c r="I2458" i="51"/>
  <c r="I2459" i="51"/>
  <c r="I2460" i="51"/>
  <c r="I2461" i="51"/>
  <c r="I2462" i="51"/>
  <c r="I2463" i="51"/>
  <c r="I2464" i="51"/>
  <c r="I2465" i="51"/>
  <c r="I2466" i="51"/>
  <c r="I2467" i="51"/>
  <c r="I2468" i="51"/>
  <c r="I2469" i="51"/>
  <c r="I2470" i="51"/>
  <c r="I2471" i="51"/>
  <c r="I2472" i="51"/>
  <c r="I2473" i="51"/>
  <c r="I2474" i="51"/>
  <c r="I2475" i="51"/>
  <c r="I2476" i="51"/>
  <c r="I2477" i="51"/>
  <c r="I2478" i="51"/>
  <c r="I2479" i="51"/>
  <c r="I2480" i="51"/>
  <c r="I2481" i="51"/>
  <c r="I2482" i="51"/>
  <c r="I2483" i="51"/>
  <c r="I2484" i="51"/>
  <c r="I2485" i="51"/>
  <c r="I2486" i="51"/>
  <c r="I2487" i="51"/>
  <c r="I2488" i="51"/>
  <c r="I2489" i="51"/>
  <c r="I2490" i="51"/>
  <c r="I2491" i="51"/>
  <c r="I2492" i="51"/>
  <c r="I2493" i="51"/>
  <c r="I2494" i="51"/>
  <c r="I2495" i="51"/>
  <c r="I2496" i="51"/>
  <c r="I2497" i="51"/>
  <c r="I2498" i="51"/>
  <c r="I2499" i="51"/>
  <c r="I2500" i="51"/>
  <c r="I2501" i="51"/>
  <c r="I2502" i="51"/>
  <c r="I2503" i="51"/>
  <c r="I2504" i="51"/>
  <c r="I2505" i="51"/>
  <c r="I2506" i="51"/>
  <c r="I2507" i="51"/>
  <c r="I2508" i="51"/>
  <c r="I2509" i="51"/>
  <c r="I2510" i="51"/>
  <c r="I2511" i="51"/>
  <c r="I2512" i="51"/>
  <c r="I2513" i="51"/>
  <c r="I2514" i="51"/>
  <c r="I2515" i="51"/>
  <c r="I2516" i="51"/>
  <c r="I2517" i="51"/>
  <c r="I2518" i="51"/>
  <c r="I2519" i="51"/>
  <c r="I2520" i="51"/>
  <c r="I2521" i="51"/>
  <c r="I2522" i="51"/>
  <c r="I2523" i="51"/>
  <c r="I2524" i="51"/>
  <c r="I2525" i="51"/>
  <c r="I2526" i="51"/>
  <c r="I2527" i="51"/>
  <c r="I2528" i="51"/>
  <c r="I2529" i="51"/>
  <c r="I2530" i="51"/>
  <c r="I2531" i="51"/>
  <c r="I2532" i="51"/>
  <c r="I2533" i="51"/>
  <c r="I2534" i="51"/>
  <c r="I2535" i="51"/>
  <c r="I2536" i="51"/>
  <c r="I2537" i="51"/>
  <c r="I2538" i="51"/>
  <c r="I2539" i="51"/>
  <c r="I2540" i="51"/>
  <c r="I2541" i="51"/>
  <c r="I2542" i="51"/>
  <c r="I2543" i="51"/>
  <c r="I2544" i="51"/>
  <c r="I2545" i="51"/>
  <c r="I2546" i="51"/>
  <c r="I2547" i="51"/>
  <c r="I2548" i="51"/>
  <c r="I2549" i="51"/>
  <c r="I2550" i="51"/>
  <c r="I2551" i="51"/>
  <c r="I2552" i="51"/>
  <c r="I2553" i="51"/>
  <c r="I2554" i="51"/>
  <c r="I2555" i="51"/>
  <c r="I2556" i="51"/>
  <c r="I2557" i="51"/>
  <c r="I2558" i="51"/>
  <c r="I2559" i="51"/>
  <c r="I2560" i="51"/>
  <c r="I2561" i="51"/>
  <c r="I2562" i="51"/>
  <c r="I2563" i="51"/>
  <c r="I2564" i="51"/>
  <c r="I2565" i="51"/>
  <c r="I2566" i="51"/>
  <c r="I2567" i="51"/>
  <c r="I2568" i="51"/>
  <c r="I2569" i="51"/>
  <c r="I2570" i="51"/>
  <c r="I2571" i="51"/>
  <c r="I2572" i="51"/>
  <c r="I2573" i="51"/>
  <c r="I2574" i="51"/>
  <c r="I2575" i="51"/>
  <c r="I2576" i="51"/>
  <c r="I2577" i="51"/>
  <c r="I2578" i="51"/>
  <c r="I2579" i="51"/>
  <c r="I2580" i="51"/>
  <c r="I2581" i="51"/>
  <c r="I2582" i="51"/>
  <c r="I2583" i="51"/>
  <c r="I2584" i="51"/>
  <c r="I2585" i="51"/>
  <c r="I2586" i="51"/>
  <c r="I2587" i="51"/>
  <c r="I2588" i="51"/>
  <c r="I2589" i="51"/>
  <c r="I2590" i="51"/>
  <c r="I2591" i="51"/>
  <c r="I2592" i="51"/>
  <c r="I2593" i="51"/>
  <c r="I2594" i="51"/>
  <c r="I2595" i="51"/>
  <c r="I2596" i="51"/>
  <c r="I2597" i="51"/>
  <c r="I2598" i="51"/>
  <c r="I2599" i="51"/>
  <c r="I2600" i="51"/>
  <c r="I2601" i="51"/>
  <c r="I2602" i="51"/>
  <c r="I2603" i="51"/>
  <c r="I2604" i="51"/>
  <c r="I2605" i="51"/>
  <c r="I2606" i="51"/>
  <c r="I2607" i="51"/>
  <c r="I2608" i="51"/>
  <c r="I2609" i="51"/>
  <c r="I2610" i="51"/>
  <c r="I2611" i="51"/>
  <c r="I2612" i="51"/>
  <c r="I2613" i="51"/>
  <c r="I2614" i="51"/>
  <c r="I2615" i="51"/>
  <c r="I2616" i="51"/>
  <c r="I2617" i="51"/>
  <c r="I2618" i="51"/>
  <c r="I2619" i="51"/>
  <c r="I2620" i="51"/>
  <c r="I2621" i="51"/>
  <c r="I2622" i="51"/>
  <c r="I2623" i="51"/>
  <c r="I2624" i="51"/>
  <c r="I2625" i="51"/>
  <c r="I2626" i="51"/>
  <c r="I2627" i="51"/>
  <c r="I2628" i="51"/>
  <c r="I2629" i="51"/>
  <c r="I2630" i="51"/>
  <c r="I2631" i="51"/>
  <c r="I2632" i="51"/>
  <c r="I2633" i="51"/>
  <c r="I2634" i="51"/>
  <c r="I2635" i="51"/>
  <c r="I2636" i="51"/>
  <c r="I2637" i="51"/>
  <c r="I2638" i="51"/>
  <c r="I2639" i="51"/>
  <c r="I2640" i="51"/>
  <c r="I2641" i="51"/>
  <c r="I2642" i="51"/>
  <c r="I2643" i="51"/>
  <c r="I2644" i="51"/>
  <c r="I2645" i="51"/>
  <c r="I2646" i="51"/>
  <c r="I2647" i="51"/>
  <c r="I2648" i="51"/>
  <c r="I2649" i="51"/>
  <c r="I2650" i="51"/>
  <c r="I2651" i="51"/>
  <c r="I2652" i="51"/>
  <c r="I2653" i="51"/>
  <c r="I2654" i="51"/>
  <c r="I2655" i="51"/>
  <c r="I2656" i="51"/>
  <c r="I2657" i="51"/>
  <c r="I2658" i="51"/>
  <c r="I2659" i="51"/>
  <c r="I2660" i="51"/>
  <c r="I2661" i="51"/>
  <c r="I2662" i="51"/>
  <c r="I2663" i="51"/>
  <c r="I2664" i="51"/>
  <c r="I2665" i="51"/>
  <c r="I2666" i="51"/>
  <c r="I2667" i="51"/>
  <c r="I2668" i="51"/>
  <c r="I2669" i="51"/>
  <c r="I2670" i="51"/>
  <c r="I2671" i="51"/>
  <c r="I2672" i="51"/>
  <c r="I2673" i="51"/>
  <c r="I2674" i="51"/>
  <c r="I2675" i="51"/>
  <c r="I2676" i="51"/>
  <c r="I2677" i="51"/>
  <c r="I2678" i="51"/>
  <c r="I2679" i="51"/>
  <c r="I2680" i="51"/>
  <c r="I2681" i="51"/>
  <c r="I2682" i="51"/>
  <c r="I2683" i="51"/>
  <c r="I2684" i="51"/>
  <c r="I2685" i="51"/>
  <c r="I2686" i="51"/>
  <c r="I2687" i="51"/>
  <c r="I2688" i="51"/>
  <c r="I2689" i="51"/>
  <c r="I2690" i="51"/>
  <c r="I2691" i="51"/>
  <c r="I2692" i="51"/>
  <c r="I2693" i="51"/>
  <c r="I2694" i="51"/>
  <c r="I2695" i="51"/>
  <c r="I2696" i="51"/>
  <c r="I2697" i="51"/>
  <c r="I2698" i="51"/>
  <c r="I2699" i="51"/>
  <c r="I2700" i="51"/>
  <c r="I2701" i="51"/>
  <c r="I2702" i="51"/>
  <c r="I2703" i="51"/>
  <c r="I2704" i="51"/>
  <c r="I2705" i="51"/>
  <c r="I2706" i="51"/>
  <c r="I2707" i="51"/>
  <c r="I2708" i="51"/>
  <c r="I2709" i="51"/>
  <c r="I2710" i="51"/>
  <c r="I2711" i="51"/>
  <c r="I2712" i="51"/>
  <c r="I2713" i="51"/>
  <c r="I2714" i="51"/>
  <c r="I2715" i="51"/>
  <c r="I2716" i="51"/>
  <c r="I2717" i="51"/>
  <c r="I2718" i="51"/>
  <c r="I2719" i="51"/>
  <c r="I2720" i="51"/>
  <c r="I2721" i="51"/>
  <c r="I2722" i="51"/>
  <c r="I2723" i="51"/>
  <c r="I2724" i="51"/>
  <c r="I2725" i="51"/>
  <c r="I2726" i="51"/>
  <c r="I2727" i="51"/>
  <c r="I2728" i="51"/>
  <c r="I2729" i="51"/>
  <c r="I2730" i="51"/>
  <c r="I2731" i="51"/>
  <c r="I2732" i="51"/>
  <c r="I2733" i="51"/>
  <c r="I2734" i="51"/>
  <c r="I2735" i="51"/>
  <c r="I2736" i="51"/>
  <c r="I2737" i="51"/>
  <c r="I2738" i="51"/>
  <c r="I2739" i="51"/>
  <c r="I2740" i="51"/>
  <c r="I2741" i="51"/>
  <c r="I2742" i="51"/>
  <c r="I2743" i="51"/>
  <c r="I2744" i="51"/>
  <c r="I2745" i="51"/>
  <c r="I2746" i="51"/>
  <c r="I2747" i="51"/>
  <c r="I2748" i="51"/>
  <c r="I2749" i="51"/>
  <c r="I2750" i="51"/>
  <c r="I2751" i="51"/>
  <c r="I2752" i="51"/>
  <c r="I2753" i="51"/>
  <c r="I2754" i="51"/>
  <c r="I2755" i="51"/>
  <c r="I2756" i="51"/>
  <c r="I2757" i="51"/>
  <c r="I2758" i="51"/>
  <c r="I2759" i="51"/>
  <c r="I2760" i="51"/>
  <c r="I2761" i="51"/>
  <c r="I2762" i="51"/>
  <c r="I2763" i="51"/>
  <c r="I2764" i="51"/>
  <c r="I2765" i="51"/>
  <c r="I2766" i="51"/>
  <c r="I2767" i="51"/>
  <c r="I2768" i="51"/>
  <c r="I2769" i="51"/>
  <c r="I2770" i="51"/>
  <c r="I2771" i="51"/>
  <c r="I2772" i="51"/>
  <c r="I2773" i="51"/>
  <c r="I2774" i="51"/>
  <c r="I2775" i="51"/>
  <c r="I2776" i="51"/>
  <c r="I2777" i="51"/>
  <c r="I2778" i="51"/>
  <c r="I2779" i="51"/>
  <c r="I2780" i="51"/>
  <c r="I2781" i="51"/>
  <c r="I2782" i="51"/>
  <c r="I2783" i="51"/>
  <c r="I2784" i="51"/>
  <c r="I2785" i="51"/>
  <c r="I2786" i="51"/>
  <c r="I2787" i="51"/>
  <c r="I2788" i="51"/>
  <c r="I2789" i="51"/>
  <c r="I2790" i="51"/>
  <c r="I2791" i="51"/>
  <c r="I2792" i="51"/>
  <c r="I2793" i="51"/>
  <c r="I2794" i="51"/>
  <c r="I2795" i="51"/>
  <c r="I2796" i="51"/>
  <c r="I2797" i="51"/>
  <c r="I2798" i="51"/>
  <c r="I2799" i="51"/>
  <c r="I2800" i="51"/>
  <c r="I2801" i="51"/>
  <c r="I2802" i="51"/>
  <c r="I2803" i="51"/>
  <c r="I2804" i="51"/>
  <c r="I2805" i="51"/>
  <c r="I2806" i="51"/>
  <c r="I2807" i="51"/>
  <c r="I2808" i="51"/>
  <c r="I2809" i="51"/>
  <c r="I2810" i="51"/>
  <c r="I2811" i="51"/>
  <c r="I2812" i="51"/>
  <c r="I2813" i="51"/>
  <c r="I2814" i="51"/>
  <c r="I2815" i="51"/>
  <c r="I2816" i="51"/>
  <c r="I2817" i="51"/>
  <c r="I2818" i="51"/>
  <c r="I2819" i="51"/>
  <c r="I2820" i="51"/>
  <c r="I2821" i="51"/>
  <c r="I2822" i="51"/>
  <c r="I2823" i="51"/>
  <c r="I2824" i="51"/>
  <c r="I2825" i="51"/>
  <c r="I2826" i="51"/>
  <c r="I2827" i="51"/>
  <c r="I2828" i="51"/>
  <c r="I2829" i="51"/>
  <c r="I2830" i="51"/>
  <c r="I2831" i="51"/>
  <c r="I2832" i="51"/>
  <c r="I2833" i="51"/>
  <c r="I2834" i="51"/>
  <c r="I2835" i="51"/>
  <c r="I2836" i="51"/>
  <c r="I2837" i="51"/>
  <c r="I2838" i="51"/>
  <c r="I2839" i="51"/>
  <c r="I2840" i="51"/>
  <c r="I2841" i="51"/>
  <c r="I2842" i="51"/>
  <c r="I2843" i="51"/>
  <c r="I2844" i="51"/>
  <c r="I2845" i="51"/>
  <c r="I2846" i="51"/>
  <c r="I2847" i="51"/>
  <c r="I2848" i="51"/>
  <c r="I2849" i="51"/>
  <c r="I2850" i="51"/>
  <c r="I2851" i="51"/>
  <c r="I2852" i="51"/>
  <c r="I2853" i="51"/>
  <c r="I2854" i="51"/>
  <c r="I2855" i="51"/>
  <c r="I2856" i="51"/>
  <c r="I2857" i="51"/>
  <c r="I2858" i="51"/>
  <c r="I2859" i="51"/>
  <c r="I2860" i="51"/>
  <c r="I2861" i="51"/>
  <c r="I2862" i="51"/>
  <c r="I2863" i="51"/>
  <c r="I2864" i="51"/>
  <c r="I2865" i="51"/>
  <c r="I2866" i="51"/>
  <c r="I2867" i="51"/>
  <c r="I2868" i="51"/>
  <c r="I2869" i="51"/>
  <c r="I2870" i="51"/>
  <c r="I2871" i="51"/>
  <c r="I2872" i="51"/>
  <c r="I2873" i="51"/>
  <c r="I2874" i="51"/>
  <c r="I2875" i="51"/>
  <c r="I2876" i="51"/>
  <c r="I2877" i="51"/>
  <c r="I2878" i="51"/>
  <c r="I2879" i="51"/>
  <c r="I2880" i="51"/>
  <c r="I2881" i="51"/>
  <c r="I2882" i="51"/>
  <c r="I2883" i="51"/>
  <c r="I2884" i="51"/>
  <c r="I2885" i="51"/>
  <c r="I2886" i="51"/>
  <c r="I2887" i="51"/>
  <c r="I2888" i="51"/>
  <c r="I2889" i="51"/>
  <c r="I2890" i="51"/>
  <c r="I2891" i="51"/>
  <c r="I2892" i="51"/>
  <c r="I2893" i="51"/>
  <c r="I2894" i="51"/>
  <c r="I2895" i="51"/>
  <c r="I2896" i="51"/>
  <c r="I2897" i="51"/>
  <c r="I2898" i="51"/>
  <c r="I2899" i="51"/>
  <c r="I2900" i="51"/>
  <c r="I2901" i="51"/>
  <c r="I2902" i="51"/>
  <c r="I2903" i="51"/>
  <c r="I2904" i="51"/>
  <c r="I2905" i="51"/>
  <c r="I2906" i="51"/>
  <c r="I2907" i="51"/>
  <c r="I2908" i="51"/>
  <c r="I2909" i="51"/>
  <c r="I2910" i="51"/>
  <c r="I2911" i="51"/>
  <c r="I2912" i="51"/>
  <c r="I2913" i="51"/>
  <c r="I2914" i="51"/>
  <c r="I2915" i="51"/>
  <c r="I2916" i="51"/>
  <c r="I2917" i="51"/>
  <c r="I2918" i="51"/>
  <c r="I2919" i="51"/>
  <c r="I2920" i="51"/>
  <c r="I2921" i="51"/>
  <c r="I2922" i="51"/>
  <c r="I2923" i="51"/>
  <c r="I2924" i="51"/>
  <c r="I2925" i="51"/>
  <c r="I2926" i="51"/>
  <c r="I2927" i="51"/>
  <c r="I2928" i="51"/>
  <c r="I2929" i="51"/>
  <c r="I2930" i="51"/>
  <c r="I2931" i="51"/>
  <c r="I2932" i="51"/>
  <c r="I2933" i="51"/>
  <c r="I2934" i="51"/>
  <c r="I2935" i="51"/>
  <c r="I2936" i="51"/>
  <c r="I2937" i="51"/>
  <c r="I2938" i="51"/>
  <c r="I2939" i="51"/>
  <c r="I2940" i="51"/>
  <c r="I2941" i="51"/>
  <c r="I2942" i="51"/>
  <c r="I2943" i="51"/>
  <c r="I2944" i="51"/>
  <c r="I2945" i="51"/>
  <c r="I2946" i="51"/>
  <c r="I2947" i="51"/>
  <c r="I2948" i="51"/>
  <c r="I2949" i="51"/>
  <c r="I2950" i="51"/>
  <c r="I2951" i="51"/>
  <c r="I2952" i="51"/>
  <c r="I2953" i="51"/>
  <c r="I2954" i="51"/>
  <c r="I2955" i="51"/>
  <c r="I2956" i="51"/>
  <c r="I2957" i="51"/>
  <c r="I2958" i="51"/>
  <c r="I2959" i="51"/>
  <c r="I2960" i="51"/>
  <c r="I2961" i="51"/>
  <c r="I2962" i="51"/>
  <c r="I2963" i="51"/>
  <c r="I2964" i="51"/>
  <c r="I2965" i="51"/>
  <c r="I2966" i="51"/>
  <c r="I2967" i="51"/>
  <c r="I2968" i="51"/>
  <c r="I2969" i="51"/>
  <c r="I2970" i="51"/>
  <c r="I2971" i="51"/>
  <c r="I2972" i="51"/>
  <c r="I2973" i="51"/>
  <c r="I2974" i="51"/>
  <c r="I2975" i="51"/>
  <c r="I2976" i="51"/>
  <c r="I2977" i="51"/>
  <c r="I2978" i="51"/>
  <c r="I2979" i="51"/>
  <c r="I2980" i="51"/>
  <c r="I2981" i="51"/>
  <c r="I2982" i="51"/>
  <c r="I2983" i="51"/>
  <c r="I2984" i="51"/>
  <c r="I2985" i="51"/>
  <c r="I2986" i="51"/>
  <c r="I2987" i="51"/>
  <c r="I2988" i="51"/>
  <c r="I2989" i="51"/>
  <c r="I2990" i="51"/>
  <c r="I2991" i="51"/>
  <c r="I2992" i="51"/>
  <c r="I2993" i="51"/>
  <c r="I2994" i="51"/>
  <c r="I2995" i="51"/>
  <c r="I2996" i="51"/>
  <c r="I2997" i="51"/>
  <c r="I2998" i="51"/>
  <c r="I2999" i="51"/>
  <c r="I3000" i="51"/>
  <c r="I3001" i="51"/>
  <c r="I3002" i="51"/>
  <c r="I3003" i="51"/>
  <c r="I3004" i="51"/>
  <c r="I3005" i="51"/>
  <c r="I3006" i="51"/>
  <c r="I3007" i="51"/>
  <c r="I3008" i="51"/>
  <c r="I3009" i="51"/>
  <c r="I3010" i="51"/>
  <c r="I3011" i="51"/>
  <c r="I3012" i="51"/>
  <c r="I3013" i="51"/>
  <c r="I3014" i="51"/>
  <c r="I3015" i="51"/>
  <c r="I3016" i="51"/>
  <c r="I3017" i="51"/>
  <c r="I3018" i="51"/>
  <c r="I3019" i="51"/>
  <c r="I3020" i="51"/>
  <c r="I3021" i="51"/>
  <c r="I3022" i="51"/>
  <c r="I3023" i="51"/>
  <c r="I3024" i="51"/>
  <c r="I3025" i="51"/>
  <c r="I3026" i="51"/>
  <c r="I3027" i="51"/>
  <c r="I3028" i="51"/>
  <c r="I3029" i="51"/>
  <c r="I3030" i="51"/>
  <c r="I3031" i="51"/>
  <c r="I3032" i="51"/>
  <c r="I3033" i="51"/>
  <c r="I3034" i="51"/>
  <c r="I3035" i="51"/>
  <c r="I3036" i="51"/>
  <c r="I3037" i="51"/>
  <c r="I3038" i="51"/>
  <c r="I3039" i="51"/>
  <c r="I3040" i="51"/>
  <c r="I3041" i="51"/>
  <c r="I3042" i="51"/>
  <c r="I3043" i="51"/>
  <c r="I3044" i="51"/>
  <c r="I3045" i="51"/>
  <c r="I3046" i="51"/>
  <c r="I3047" i="51"/>
  <c r="I3048" i="51"/>
  <c r="I3049" i="51"/>
  <c r="I3050" i="51"/>
  <c r="I3051" i="51"/>
  <c r="I3052" i="51"/>
  <c r="I3053" i="51"/>
  <c r="I3054" i="51"/>
  <c r="I3055" i="51"/>
  <c r="I3056" i="51"/>
  <c r="I3057" i="51"/>
  <c r="I3058" i="51"/>
  <c r="I3059" i="51"/>
  <c r="I3060" i="51"/>
  <c r="I3061" i="51"/>
  <c r="I3062" i="51"/>
  <c r="I3063" i="51"/>
  <c r="I3064" i="51"/>
  <c r="I3065" i="51"/>
  <c r="I3066" i="51"/>
  <c r="I3067" i="51"/>
  <c r="I3068" i="51"/>
  <c r="I3069" i="51"/>
  <c r="I3070" i="51"/>
  <c r="I3071" i="51"/>
  <c r="I3072" i="51"/>
  <c r="I3073" i="51"/>
  <c r="I3074" i="51"/>
  <c r="I3075" i="51"/>
  <c r="I3076" i="51"/>
  <c r="I3077" i="51"/>
  <c r="I3078" i="51"/>
  <c r="I3079" i="51"/>
  <c r="I3080" i="51"/>
  <c r="I3081" i="51"/>
  <c r="I3082" i="51"/>
  <c r="I3083" i="51"/>
  <c r="I3084" i="51"/>
  <c r="I3085" i="51"/>
  <c r="I3086" i="51"/>
  <c r="I3087" i="51"/>
  <c r="I3088" i="51"/>
  <c r="I3089" i="51"/>
  <c r="I3090" i="51"/>
  <c r="I3091" i="51"/>
  <c r="I3092" i="51"/>
  <c r="I3093" i="51"/>
  <c r="I3094" i="51"/>
  <c r="I3095" i="51"/>
  <c r="I3096" i="51"/>
  <c r="I3097" i="51"/>
  <c r="I3098" i="51"/>
  <c r="I3099" i="51"/>
  <c r="I3100" i="51"/>
  <c r="I3101" i="51"/>
  <c r="I3102" i="51"/>
  <c r="I3103" i="51"/>
  <c r="I3104" i="51"/>
  <c r="I3105" i="51"/>
  <c r="I3106" i="51"/>
  <c r="I3107" i="51"/>
  <c r="I3108" i="51"/>
  <c r="I3109" i="51"/>
  <c r="I3110" i="51"/>
  <c r="I3111" i="51"/>
  <c r="I3112" i="51"/>
  <c r="I3113" i="51"/>
  <c r="I3114" i="51"/>
  <c r="I3115" i="51"/>
  <c r="I3116" i="51"/>
  <c r="I3117" i="51"/>
  <c r="I3118" i="51"/>
  <c r="I3119" i="51"/>
  <c r="I3120" i="51"/>
  <c r="I3121" i="51"/>
  <c r="I3122" i="51"/>
  <c r="I3123" i="51"/>
  <c r="I3124" i="51"/>
  <c r="I3125" i="51"/>
  <c r="I3126" i="51"/>
  <c r="I3127" i="51"/>
  <c r="I3128" i="51"/>
  <c r="I3129" i="51"/>
  <c r="I3130" i="51"/>
  <c r="I3131" i="51"/>
  <c r="I3132" i="51"/>
  <c r="I3133" i="51"/>
  <c r="I3134" i="51"/>
  <c r="I3135" i="51"/>
  <c r="I3136" i="51"/>
  <c r="I3137" i="51"/>
  <c r="I3138" i="51"/>
  <c r="I3139" i="51"/>
  <c r="I3140" i="51"/>
  <c r="I3141" i="51"/>
  <c r="I3142" i="51"/>
  <c r="I3143" i="51"/>
  <c r="I3144" i="51"/>
  <c r="I3145" i="51"/>
  <c r="I3146" i="51"/>
  <c r="I3147" i="51"/>
  <c r="I3148" i="51"/>
  <c r="I3149" i="51"/>
  <c r="I3150" i="51"/>
  <c r="I3151" i="51"/>
  <c r="I3152" i="51"/>
  <c r="I3153" i="51"/>
  <c r="I3154" i="51"/>
  <c r="I3155" i="51"/>
  <c r="I3156" i="51"/>
  <c r="I3157" i="51"/>
  <c r="I3158" i="51"/>
  <c r="I3159" i="51"/>
  <c r="I3160" i="51"/>
  <c r="I3161" i="51"/>
  <c r="I3162" i="51"/>
  <c r="I3163" i="51"/>
  <c r="I3164" i="51"/>
  <c r="I3165" i="51"/>
  <c r="I3166" i="51"/>
  <c r="I3167" i="51"/>
  <c r="I3168" i="51"/>
  <c r="I3169" i="51"/>
  <c r="I3170" i="51"/>
  <c r="I3171" i="51"/>
  <c r="I3172" i="51"/>
  <c r="I3173" i="51"/>
  <c r="I3174" i="51"/>
  <c r="I3175" i="51"/>
  <c r="I3176" i="51"/>
  <c r="I3177" i="51"/>
  <c r="I3178" i="51"/>
  <c r="I3179" i="51"/>
  <c r="I3180" i="51"/>
  <c r="I3181" i="51"/>
  <c r="I3182" i="51"/>
  <c r="I3183" i="51"/>
  <c r="I3184" i="51"/>
  <c r="I3185" i="51"/>
  <c r="I3186" i="51"/>
  <c r="I3187" i="51"/>
  <c r="I3188" i="51"/>
  <c r="I3189" i="51"/>
  <c r="I3190" i="51"/>
  <c r="I3191" i="51"/>
  <c r="I3192" i="51"/>
  <c r="I3193" i="51"/>
  <c r="I3194" i="51"/>
  <c r="I3195" i="51"/>
  <c r="I3196" i="51"/>
  <c r="I3197" i="51"/>
  <c r="I3198" i="51"/>
  <c r="I3199" i="51"/>
  <c r="I3200" i="51"/>
  <c r="I3201" i="51"/>
  <c r="I3202" i="51"/>
  <c r="I3203" i="51"/>
  <c r="I3204" i="51"/>
  <c r="I3205" i="51"/>
  <c r="I3206" i="51"/>
  <c r="I3207" i="51"/>
  <c r="I3208" i="51"/>
  <c r="I3209" i="51"/>
  <c r="I3210" i="51"/>
  <c r="I3211" i="51"/>
  <c r="I3212" i="51"/>
  <c r="I3213" i="51"/>
  <c r="I3214" i="51"/>
  <c r="I3215" i="51"/>
  <c r="I3216" i="51"/>
  <c r="I3217" i="51"/>
  <c r="I3218" i="51"/>
  <c r="I3219" i="51"/>
  <c r="I3220" i="51"/>
  <c r="I3221" i="51"/>
  <c r="I3222" i="51"/>
  <c r="I3223" i="51"/>
  <c r="I3224" i="51"/>
  <c r="I3225" i="51"/>
  <c r="I3226" i="51"/>
  <c r="I3227" i="51"/>
  <c r="I3228" i="51"/>
  <c r="I3229" i="51"/>
  <c r="I3230" i="51"/>
  <c r="I3231" i="51"/>
  <c r="I3232" i="51"/>
  <c r="I3233" i="51"/>
  <c r="I3234" i="51"/>
  <c r="I3235" i="51"/>
  <c r="I3236" i="51"/>
  <c r="I3237" i="51"/>
  <c r="I3238" i="51"/>
  <c r="I3239" i="51"/>
  <c r="I3240" i="51"/>
  <c r="I3241" i="51"/>
  <c r="I3242" i="51"/>
  <c r="I3243" i="51"/>
  <c r="I3244" i="51"/>
  <c r="I3245" i="51"/>
  <c r="I3246" i="51"/>
  <c r="I3247" i="51"/>
  <c r="I3248" i="51"/>
  <c r="I3249" i="51"/>
  <c r="I3250" i="51"/>
  <c r="I3251" i="51"/>
  <c r="I3252" i="51"/>
  <c r="I3253" i="51"/>
  <c r="I3254" i="51"/>
  <c r="I3255" i="51"/>
  <c r="I3256" i="51"/>
  <c r="I3257" i="51"/>
  <c r="I3258" i="51"/>
  <c r="I3259" i="51"/>
  <c r="I3260" i="51"/>
  <c r="I3261" i="51"/>
  <c r="I3262" i="51"/>
  <c r="I3263" i="51"/>
  <c r="I3264" i="51"/>
  <c r="I3265" i="51"/>
  <c r="I3266" i="51"/>
  <c r="I3267" i="51"/>
  <c r="I3268" i="51"/>
  <c r="I3269" i="51"/>
  <c r="I3270" i="51"/>
  <c r="I3271" i="51"/>
  <c r="I3272" i="51"/>
  <c r="I3273" i="51"/>
  <c r="I3274" i="51"/>
  <c r="I3275" i="51"/>
  <c r="I3276" i="51"/>
  <c r="I3277" i="51"/>
  <c r="I3278" i="51"/>
  <c r="I3279" i="51"/>
  <c r="I3280" i="51"/>
  <c r="I3281" i="51"/>
  <c r="I3282" i="51"/>
  <c r="I3283" i="51"/>
  <c r="I3284" i="51"/>
  <c r="I3285" i="51"/>
  <c r="I3286" i="51"/>
  <c r="I3287" i="51"/>
  <c r="I3288" i="51"/>
  <c r="I3289" i="51"/>
  <c r="I3290" i="51"/>
  <c r="I3291" i="51"/>
  <c r="I3292" i="51"/>
  <c r="I3293" i="51"/>
  <c r="I3294" i="51"/>
  <c r="I3295" i="51"/>
  <c r="I3296" i="51"/>
  <c r="I3297" i="51"/>
  <c r="I3298" i="51"/>
  <c r="I3299" i="51"/>
  <c r="I3300" i="51"/>
  <c r="I3301" i="51"/>
  <c r="I3302" i="51"/>
  <c r="I3303" i="51"/>
  <c r="I3304" i="51"/>
  <c r="I3305" i="51"/>
  <c r="I3306" i="51"/>
  <c r="I3307" i="51"/>
  <c r="I3308" i="51"/>
  <c r="I3309" i="51"/>
  <c r="I3310" i="51"/>
  <c r="I3311" i="51"/>
  <c r="I3312" i="51"/>
  <c r="I3313" i="51"/>
  <c r="I3314" i="51"/>
  <c r="I3315" i="51"/>
  <c r="I3316" i="51"/>
  <c r="I3317" i="51"/>
  <c r="I3318" i="51"/>
  <c r="I3319" i="51"/>
  <c r="I3320" i="51"/>
  <c r="I3321" i="51"/>
  <c r="I3322" i="51"/>
  <c r="I3323" i="51"/>
  <c r="I3324" i="51"/>
  <c r="I3325" i="51"/>
  <c r="I3326" i="51"/>
  <c r="I3327" i="51"/>
  <c r="I3328" i="51"/>
  <c r="I3329" i="51"/>
  <c r="I3330" i="51"/>
  <c r="I3331" i="51"/>
  <c r="I3332" i="51"/>
  <c r="I3333" i="51"/>
  <c r="I3334" i="51"/>
  <c r="I3335" i="51"/>
  <c r="I3336" i="51"/>
  <c r="I3337" i="51"/>
  <c r="I3338" i="51"/>
  <c r="I3339" i="51"/>
  <c r="I3340" i="51"/>
  <c r="I3341" i="51"/>
  <c r="I3342" i="51"/>
  <c r="I3343" i="51"/>
  <c r="I3344" i="51"/>
  <c r="I3345" i="51"/>
  <c r="I3346" i="51"/>
  <c r="I3347" i="51"/>
  <c r="I3348" i="51"/>
  <c r="I3349" i="51"/>
  <c r="I3350" i="51"/>
  <c r="I3351" i="51"/>
  <c r="I3352" i="51"/>
  <c r="I3353" i="51"/>
  <c r="I3354" i="51"/>
  <c r="I3355" i="51"/>
  <c r="I3356" i="51"/>
  <c r="I3357" i="51"/>
  <c r="I3358" i="51"/>
  <c r="I3359" i="51"/>
  <c r="I3360" i="51"/>
  <c r="I3361" i="51"/>
  <c r="I3362" i="51"/>
  <c r="I3363" i="51"/>
  <c r="I3364" i="51"/>
  <c r="I3365" i="51"/>
  <c r="I3366" i="51"/>
  <c r="I3367" i="51"/>
  <c r="I3368" i="51"/>
  <c r="I3369" i="51"/>
  <c r="I3370" i="51"/>
  <c r="I3371" i="51"/>
  <c r="I3372" i="51"/>
  <c r="I3373" i="51"/>
  <c r="I3374" i="51"/>
  <c r="I3375" i="51"/>
  <c r="I3376" i="51"/>
  <c r="I3377" i="51"/>
  <c r="I3378" i="51"/>
  <c r="I3379" i="51"/>
  <c r="I3380" i="51"/>
  <c r="I3381" i="51"/>
  <c r="I3382" i="51"/>
  <c r="I3383" i="51"/>
  <c r="I3384" i="51"/>
  <c r="I3385" i="51"/>
  <c r="I3386" i="51"/>
  <c r="I3387" i="51"/>
  <c r="I3388" i="51"/>
  <c r="I3389" i="51"/>
  <c r="I3390" i="51"/>
  <c r="I3391" i="51"/>
  <c r="I3392" i="51"/>
  <c r="I3393" i="51"/>
  <c r="I3394" i="51"/>
  <c r="I3395" i="51"/>
  <c r="I3396" i="51"/>
  <c r="I3397" i="51"/>
  <c r="I3398" i="51"/>
  <c r="I3399" i="51"/>
  <c r="I3400" i="51"/>
  <c r="I3401" i="51"/>
  <c r="I3402" i="51"/>
  <c r="I3403" i="51"/>
  <c r="I3404" i="51"/>
  <c r="I3405" i="51"/>
  <c r="I3406" i="51"/>
  <c r="I3407" i="51"/>
  <c r="I3408" i="51"/>
  <c r="I3409" i="51"/>
  <c r="I3410" i="51"/>
  <c r="I3411" i="51"/>
  <c r="I3412" i="51"/>
  <c r="I3413" i="51"/>
  <c r="I3414" i="51"/>
  <c r="I3415" i="51"/>
  <c r="I3416" i="51"/>
  <c r="I3417" i="51"/>
  <c r="I3418" i="51"/>
  <c r="I3419" i="51"/>
  <c r="I3420" i="51"/>
  <c r="I3421" i="51"/>
  <c r="I3422" i="51"/>
  <c r="I3423" i="51"/>
  <c r="I3424" i="51"/>
  <c r="I3425" i="51"/>
  <c r="I3426" i="51"/>
  <c r="I3427" i="51"/>
  <c r="I3428" i="51"/>
  <c r="I3429" i="51"/>
  <c r="I3430" i="51"/>
  <c r="I3431" i="51"/>
  <c r="I3432" i="51"/>
  <c r="I3433" i="51"/>
  <c r="I3434" i="51"/>
  <c r="I3435" i="51"/>
  <c r="I3436" i="51"/>
  <c r="I3437" i="51"/>
  <c r="I3438" i="51"/>
  <c r="I3439" i="51"/>
  <c r="I3440" i="51"/>
  <c r="I3441" i="51"/>
  <c r="I3442" i="51"/>
  <c r="I3443" i="51"/>
  <c r="I3444" i="51"/>
  <c r="I3445" i="51"/>
  <c r="I3446" i="51"/>
  <c r="I3447" i="51"/>
  <c r="I3448" i="51"/>
  <c r="I3449" i="51"/>
  <c r="I3450" i="51"/>
  <c r="I3451" i="51"/>
  <c r="I3452" i="51"/>
  <c r="I3453" i="51"/>
  <c r="I3454" i="51"/>
  <c r="I3455" i="51"/>
  <c r="I3456" i="51"/>
  <c r="I3457" i="51"/>
  <c r="I3458" i="51"/>
  <c r="I3459" i="51"/>
  <c r="I3460" i="51"/>
  <c r="I3461" i="51"/>
  <c r="I3462" i="51"/>
  <c r="I3463" i="51"/>
  <c r="I3464" i="51"/>
  <c r="I3465" i="51"/>
  <c r="I3466" i="51"/>
  <c r="I3467" i="51"/>
  <c r="I3468" i="51"/>
  <c r="I3469" i="51"/>
  <c r="I3470" i="51"/>
  <c r="I3471" i="51"/>
  <c r="I3472" i="51"/>
  <c r="I3473" i="51"/>
  <c r="I3474" i="51"/>
  <c r="I3475" i="51"/>
  <c r="I3476" i="51"/>
  <c r="I3477" i="51"/>
  <c r="I3478" i="51"/>
  <c r="I3479" i="51"/>
  <c r="I3480" i="51"/>
  <c r="I3481" i="51"/>
  <c r="I3482" i="51"/>
  <c r="I3483" i="51"/>
  <c r="I3484" i="51"/>
  <c r="I3485" i="51"/>
  <c r="I3486" i="51"/>
  <c r="I3487" i="51"/>
  <c r="I3488" i="51"/>
  <c r="I3489" i="51"/>
  <c r="I3490" i="51"/>
  <c r="I3491" i="51"/>
  <c r="I3492" i="51"/>
  <c r="I3493" i="51"/>
  <c r="I3494" i="51"/>
  <c r="I3495" i="51"/>
  <c r="I3496" i="51"/>
  <c r="I3497" i="51"/>
  <c r="I3498" i="51"/>
  <c r="I3499" i="51"/>
  <c r="I3500" i="51"/>
  <c r="I3501" i="51"/>
  <c r="I3502" i="51"/>
  <c r="I3503" i="51"/>
  <c r="I3504" i="51"/>
  <c r="I3505" i="51"/>
  <c r="I3506" i="51"/>
  <c r="I3507" i="51"/>
  <c r="I3508" i="51"/>
  <c r="I3509" i="51"/>
  <c r="I3510" i="51"/>
  <c r="I3511" i="51"/>
  <c r="I3512" i="51"/>
  <c r="I3513" i="51"/>
  <c r="I3514" i="51"/>
  <c r="I3515" i="51"/>
  <c r="I3516" i="51"/>
  <c r="I3517" i="51"/>
  <c r="I3518" i="51"/>
  <c r="I3519" i="51"/>
  <c r="I3520" i="51"/>
  <c r="I3521" i="51"/>
  <c r="I3522" i="51"/>
  <c r="I3523" i="51"/>
  <c r="I3524" i="51"/>
  <c r="I3525" i="51"/>
  <c r="I3526" i="51"/>
  <c r="I3527" i="51"/>
  <c r="I3528" i="51"/>
  <c r="I3529" i="51"/>
  <c r="I3530" i="51"/>
  <c r="I3531" i="51"/>
  <c r="I3532" i="51"/>
  <c r="I3533" i="51"/>
  <c r="I3534" i="51"/>
  <c r="I3535" i="51"/>
  <c r="I3536" i="51"/>
  <c r="I3537" i="51"/>
  <c r="I3538" i="51"/>
  <c r="I3539" i="51"/>
  <c r="I3540" i="51"/>
  <c r="I3541" i="51"/>
  <c r="I3542" i="51"/>
  <c r="I3543" i="51"/>
  <c r="I3544" i="51"/>
  <c r="I3545" i="51"/>
  <c r="I3546" i="51"/>
  <c r="I3547" i="51"/>
  <c r="I3548" i="51"/>
  <c r="I3549" i="51"/>
  <c r="I3550" i="51"/>
  <c r="I3551" i="51"/>
  <c r="I3552" i="51"/>
  <c r="I3553" i="51"/>
  <c r="I3554" i="51"/>
  <c r="I3555" i="51"/>
  <c r="I3556" i="51"/>
  <c r="I3557" i="51"/>
  <c r="I3558" i="51"/>
  <c r="I3559" i="51"/>
  <c r="I3560" i="51"/>
  <c r="I3561" i="51"/>
  <c r="I3562" i="51"/>
  <c r="I3563" i="51"/>
  <c r="I3564" i="51"/>
  <c r="I3565" i="51"/>
  <c r="I3566" i="51"/>
  <c r="I3567" i="51"/>
  <c r="I3568" i="51"/>
  <c r="I3569" i="51"/>
  <c r="I3570" i="51"/>
  <c r="I3571" i="51"/>
  <c r="I3572" i="51"/>
  <c r="I3573" i="51"/>
  <c r="I3574" i="51"/>
  <c r="I3575" i="51"/>
  <c r="I3576" i="51"/>
  <c r="I3577" i="51"/>
  <c r="I3578" i="51"/>
  <c r="I3579" i="51"/>
  <c r="I3580" i="51"/>
  <c r="I3581" i="51"/>
  <c r="I3582" i="51"/>
  <c r="I3583" i="51"/>
  <c r="I3584" i="51"/>
  <c r="I3585" i="51"/>
  <c r="I3586" i="51"/>
  <c r="I3587" i="51"/>
  <c r="I3588" i="51"/>
  <c r="I3589" i="51"/>
  <c r="I3590" i="51"/>
  <c r="I3591" i="51"/>
  <c r="I3592" i="51"/>
  <c r="I3593" i="51"/>
  <c r="I3594" i="51"/>
  <c r="I3595" i="51"/>
  <c r="I3596" i="51"/>
  <c r="I3597" i="51"/>
  <c r="I3598" i="51"/>
  <c r="I3599" i="51"/>
  <c r="I3600" i="51"/>
  <c r="I3601" i="51"/>
  <c r="I3602" i="51"/>
  <c r="I3603" i="51"/>
  <c r="I3604" i="51"/>
  <c r="I3605" i="51"/>
  <c r="I3606" i="51"/>
  <c r="I3607" i="51"/>
  <c r="I3608" i="51"/>
  <c r="I3609" i="51"/>
  <c r="I3610" i="51"/>
  <c r="I3611" i="51"/>
  <c r="I3612" i="51"/>
  <c r="I3613" i="51"/>
  <c r="I3614" i="51"/>
  <c r="I3615" i="51"/>
  <c r="I3616" i="51"/>
  <c r="I3617" i="51"/>
  <c r="I3618" i="51"/>
  <c r="I3619" i="51"/>
  <c r="I3620" i="51"/>
  <c r="I3621" i="51"/>
  <c r="I3622" i="51"/>
  <c r="I3623" i="51"/>
  <c r="I3624" i="51"/>
  <c r="I3625" i="51"/>
  <c r="I3626" i="51"/>
  <c r="I3627" i="51"/>
  <c r="I3628" i="51"/>
  <c r="I3629" i="51"/>
  <c r="I3630" i="51"/>
  <c r="I3631" i="51"/>
  <c r="I3632" i="51"/>
  <c r="I3633" i="51"/>
  <c r="I3634" i="51"/>
  <c r="I3635" i="51"/>
  <c r="I3636" i="51"/>
  <c r="I3637" i="51"/>
  <c r="I3638" i="51"/>
  <c r="I3639" i="51"/>
  <c r="I3640" i="51"/>
  <c r="I3641" i="51"/>
  <c r="I3642" i="51"/>
  <c r="I3643" i="51"/>
  <c r="I3644" i="51"/>
  <c r="I3645" i="51"/>
  <c r="I3646" i="51"/>
  <c r="I3647" i="51"/>
  <c r="I3648" i="51"/>
  <c r="I3649" i="51"/>
  <c r="I3650" i="51"/>
  <c r="I3651" i="51"/>
  <c r="I3652" i="51"/>
  <c r="I3653" i="51"/>
  <c r="I3654" i="51"/>
  <c r="I3655" i="51"/>
  <c r="I3656" i="51"/>
  <c r="I3657" i="51"/>
  <c r="I3658" i="51"/>
  <c r="I3659" i="51"/>
  <c r="I3660" i="51"/>
  <c r="I3661" i="51"/>
  <c r="I3662" i="51"/>
  <c r="I3663" i="51"/>
  <c r="I3664" i="51"/>
  <c r="I3665" i="51"/>
  <c r="I3666" i="51"/>
  <c r="I3667" i="51"/>
  <c r="I3668" i="51"/>
  <c r="I3669" i="51"/>
  <c r="I3670" i="51"/>
  <c r="I3671" i="51"/>
  <c r="I3672" i="51"/>
  <c r="I3673" i="51"/>
  <c r="I3674" i="51"/>
  <c r="I3675" i="51"/>
  <c r="I3676" i="51"/>
  <c r="I3677" i="51"/>
  <c r="I3678" i="51"/>
  <c r="I3679" i="51"/>
  <c r="I3680" i="51"/>
  <c r="I3681" i="51"/>
  <c r="I3682" i="51"/>
  <c r="I3683" i="51"/>
  <c r="I3684" i="51"/>
  <c r="I3685" i="51"/>
  <c r="I3686" i="51"/>
  <c r="I3687" i="51"/>
  <c r="I3688" i="51"/>
  <c r="I3689" i="51"/>
  <c r="I3690" i="51"/>
  <c r="I3691" i="51"/>
  <c r="I3692" i="51"/>
  <c r="I3693" i="51"/>
  <c r="I3694" i="51"/>
  <c r="I3695" i="51"/>
  <c r="I3696" i="51"/>
  <c r="I3697" i="51"/>
  <c r="I3698" i="51"/>
  <c r="I3699" i="51"/>
  <c r="I3700" i="51"/>
  <c r="I3701" i="51"/>
  <c r="I3702" i="51"/>
  <c r="I3703" i="51"/>
  <c r="I3704" i="51"/>
  <c r="I3705" i="51"/>
  <c r="I3706" i="51"/>
  <c r="I3707" i="51"/>
  <c r="I3708" i="51"/>
  <c r="I3709" i="51"/>
  <c r="I3710" i="51"/>
  <c r="I3711" i="51"/>
  <c r="I3712" i="51"/>
  <c r="I3713" i="51"/>
  <c r="I3714" i="51"/>
  <c r="I3715" i="51"/>
  <c r="I3716" i="51"/>
  <c r="I3717" i="51"/>
  <c r="I3718" i="51"/>
  <c r="I3719" i="51"/>
  <c r="I3720" i="51"/>
  <c r="I3721" i="51"/>
  <c r="I3722" i="51"/>
  <c r="I3723" i="51"/>
  <c r="I3724" i="51"/>
  <c r="I3725" i="51"/>
  <c r="I3726" i="51"/>
  <c r="I3727" i="51"/>
  <c r="I3728" i="51"/>
  <c r="I3729" i="51"/>
  <c r="I3730" i="51"/>
  <c r="I3731" i="51"/>
  <c r="I3732" i="51"/>
  <c r="I3733" i="51"/>
  <c r="I3734" i="51"/>
  <c r="I3735" i="51"/>
  <c r="I3736" i="51"/>
  <c r="I3737" i="51"/>
  <c r="I3738" i="51"/>
  <c r="I3739" i="51"/>
  <c r="I3740" i="51"/>
  <c r="I3741" i="51"/>
  <c r="I3742" i="51"/>
  <c r="I3743" i="51"/>
  <c r="I3744" i="51"/>
  <c r="I3745" i="51"/>
  <c r="I3746" i="51"/>
  <c r="I3747" i="51"/>
  <c r="I3748" i="51"/>
  <c r="I3749" i="51"/>
  <c r="I3750" i="51"/>
  <c r="I3751" i="51"/>
  <c r="I3752" i="51"/>
  <c r="I3753" i="51"/>
  <c r="I3754" i="51"/>
  <c r="I3755" i="51"/>
  <c r="I3756" i="51"/>
  <c r="I3757" i="51"/>
  <c r="I3758" i="51"/>
  <c r="I3759" i="51"/>
  <c r="I3760" i="51"/>
  <c r="I3761" i="51"/>
  <c r="I3762" i="51"/>
  <c r="I3763" i="51"/>
  <c r="I3764" i="51"/>
  <c r="I3765" i="51"/>
  <c r="I3766" i="51"/>
  <c r="I3767" i="51"/>
  <c r="I3768" i="51"/>
  <c r="I3769" i="51"/>
  <c r="I3770" i="51"/>
  <c r="I3771" i="51"/>
  <c r="I3772" i="51"/>
  <c r="I3773" i="51"/>
  <c r="I3774" i="51"/>
  <c r="I3775" i="51"/>
  <c r="I3776" i="51"/>
  <c r="I3777" i="51"/>
  <c r="I3778" i="51"/>
  <c r="I3779" i="51"/>
  <c r="I3780" i="51"/>
  <c r="I3781" i="51"/>
  <c r="I3782" i="51"/>
  <c r="I3783" i="51"/>
  <c r="I3784" i="51"/>
  <c r="I3785" i="51"/>
  <c r="I3786" i="51"/>
  <c r="I3787" i="51"/>
  <c r="I3788" i="51"/>
  <c r="I3789" i="51"/>
  <c r="I3790" i="51"/>
  <c r="I3791" i="51"/>
  <c r="I3792" i="51"/>
  <c r="I3793" i="51"/>
  <c r="I3794" i="51"/>
  <c r="I3795" i="51"/>
  <c r="I3796" i="51"/>
  <c r="I3797" i="51"/>
  <c r="I3798" i="51"/>
  <c r="I3799" i="51"/>
  <c r="I3800" i="51"/>
  <c r="I3801" i="51"/>
  <c r="I3802" i="51"/>
  <c r="I3803" i="51"/>
  <c r="I3804" i="51"/>
  <c r="I3805" i="51"/>
  <c r="I3806" i="51"/>
  <c r="I3807" i="51"/>
  <c r="I3808" i="51"/>
  <c r="I3809" i="51"/>
  <c r="I3810" i="51"/>
  <c r="I3811" i="51"/>
  <c r="I3812" i="51"/>
  <c r="I3813" i="51"/>
  <c r="I3814" i="51"/>
  <c r="I3815" i="51"/>
  <c r="I3816" i="51"/>
  <c r="I3817" i="51"/>
  <c r="I3818" i="51"/>
  <c r="I3819" i="51"/>
  <c r="I3820" i="51"/>
  <c r="I3821" i="51"/>
  <c r="I3822" i="51"/>
  <c r="I3823" i="51"/>
  <c r="I3824" i="51"/>
  <c r="I3825" i="51"/>
  <c r="I3826" i="51"/>
  <c r="I3827" i="51"/>
  <c r="I3828" i="51"/>
  <c r="I3829" i="51"/>
  <c r="I3830" i="51"/>
  <c r="I3831" i="51"/>
  <c r="I3832" i="51"/>
  <c r="I3833" i="51"/>
  <c r="I3834" i="51"/>
  <c r="I3835" i="51"/>
  <c r="I3836" i="51"/>
  <c r="I3837" i="51"/>
  <c r="I3838" i="51"/>
  <c r="I3839" i="51"/>
  <c r="I3840" i="51"/>
  <c r="I3841" i="51"/>
  <c r="I3842" i="51"/>
  <c r="I3843" i="51"/>
  <c r="I3844" i="51"/>
  <c r="I3845" i="51"/>
  <c r="I3846" i="51"/>
  <c r="I3847" i="51"/>
  <c r="I3848" i="51"/>
  <c r="I3849" i="51"/>
  <c r="I3850" i="51"/>
  <c r="I3851" i="51"/>
  <c r="I3852" i="51"/>
  <c r="I3853" i="51"/>
  <c r="I3854" i="51"/>
  <c r="I3855" i="51"/>
  <c r="I3856" i="51"/>
  <c r="I3857" i="51"/>
  <c r="I3858" i="51"/>
  <c r="I3859" i="51"/>
  <c r="I3860" i="51"/>
  <c r="I3861" i="51"/>
  <c r="I3862" i="51"/>
  <c r="I3863" i="51"/>
  <c r="I3864" i="51"/>
  <c r="I3865" i="51"/>
  <c r="I3866" i="51"/>
  <c r="I3867" i="51"/>
  <c r="I3868" i="51"/>
  <c r="I3869" i="51"/>
  <c r="I3870" i="51"/>
  <c r="I3871" i="51"/>
  <c r="I3872" i="51"/>
  <c r="I3873" i="51"/>
  <c r="I3874" i="51"/>
  <c r="I3875" i="51"/>
  <c r="I3876" i="51"/>
  <c r="I3877" i="51"/>
  <c r="I3878" i="51"/>
  <c r="I3879" i="51"/>
  <c r="I3880" i="51"/>
  <c r="I3881" i="51"/>
  <c r="I3882" i="51"/>
  <c r="I3883" i="51"/>
  <c r="I3884" i="51"/>
  <c r="I3885" i="51"/>
  <c r="I3886" i="51"/>
  <c r="I3887" i="51"/>
  <c r="I3888" i="51"/>
  <c r="I3889" i="51"/>
  <c r="I3890" i="51"/>
  <c r="I3891" i="51"/>
  <c r="I3892" i="51"/>
  <c r="I3893" i="51"/>
  <c r="I3894" i="51"/>
  <c r="I3895" i="51"/>
  <c r="I3896" i="51"/>
  <c r="I3897" i="51"/>
  <c r="I3898" i="51"/>
  <c r="I3899" i="51"/>
  <c r="I3900" i="51"/>
  <c r="I3901" i="51"/>
  <c r="I3902" i="51"/>
  <c r="I3903" i="51"/>
  <c r="I3904" i="51"/>
  <c r="I3905" i="51"/>
  <c r="I3906" i="51"/>
  <c r="I3907" i="51"/>
  <c r="I3908" i="51"/>
  <c r="I3909" i="51"/>
  <c r="I3910" i="51"/>
  <c r="I3911" i="51"/>
  <c r="I3912" i="51"/>
  <c r="I3913" i="51"/>
  <c r="I3914" i="51"/>
  <c r="I3915" i="51"/>
  <c r="I3916" i="51"/>
  <c r="I3917" i="51"/>
  <c r="I3918" i="51"/>
  <c r="I3919" i="51"/>
  <c r="I3920" i="51"/>
  <c r="I3921" i="51"/>
  <c r="I3922" i="51"/>
  <c r="I3923" i="51"/>
  <c r="I3924" i="51"/>
  <c r="I3925" i="51"/>
  <c r="I3926" i="51"/>
  <c r="I3927" i="51"/>
  <c r="I3928" i="51"/>
  <c r="I3929" i="51"/>
  <c r="I3930" i="51"/>
  <c r="I3931" i="51"/>
  <c r="I3932" i="51"/>
  <c r="I3933" i="51"/>
  <c r="I3934" i="51"/>
  <c r="I3935" i="51"/>
  <c r="I3936" i="51"/>
  <c r="I3937" i="51"/>
  <c r="I3938" i="51"/>
  <c r="I3939" i="51"/>
  <c r="I3940" i="51"/>
  <c r="I3941" i="51"/>
  <c r="I3942" i="51"/>
  <c r="I3943" i="51"/>
  <c r="I3944" i="51"/>
  <c r="I3945" i="51"/>
  <c r="I3946" i="51"/>
  <c r="I3947" i="51"/>
  <c r="I3948" i="51"/>
  <c r="I3949" i="51"/>
  <c r="I3950" i="51"/>
  <c r="I3951" i="51"/>
  <c r="I3952" i="51"/>
  <c r="I3953" i="51"/>
  <c r="I3954" i="51"/>
  <c r="I3955" i="51"/>
  <c r="I3956" i="51"/>
  <c r="I3957" i="51"/>
  <c r="I3958" i="51"/>
  <c r="I3959" i="51"/>
  <c r="I3960" i="51"/>
  <c r="I3961" i="51"/>
  <c r="I3962" i="51"/>
  <c r="I3963" i="51"/>
  <c r="I3964" i="51"/>
  <c r="I3965" i="51"/>
  <c r="I3966" i="51"/>
  <c r="I3967" i="51"/>
  <c r="I3968" i="51"/>
  <c r="I3969" i="51"/>
  <c r="I3970" i="51"/>
  <c r="I3971" i="51"/>
  <c r="I3972" i="51"/>
  <c r="I3973" i="51"/>
  <c r="I3974" i="51"/>
  <c r="I3975" i="51"/>
  <c r="I3976" i="51"/>
  <c r="I3977" i="51"/>
  <c r="I3978" i="51"/>
  <c r="I3979" i="51"/>
  <c r="I3980" i="51"/>
  <c r="I3981" i="51"/>
  <c r="I3982" i="51"/>
  <c r="I3983" i="51"/>
  <c r="I3984" i="51"/>
  <c r="I3985" i="51"/>
  <c r="I3986" i="51"/>
  <c r="I3987" i="51"/>
  <c r="I3988" i="51"/>
  <c r="I3989" i="51"/>
  <c r="I3990" i="51"/>
  <c r="I3991" i="51"/>
  <c r="I3992" i="51"/>
  <c r="I3993" i="51"/>
  <c r="I3994" i="51"/>
  <c r="I3995" i="51"/>
  <c r="I3996" i="51"/>
  <c r="I3997" i="51"/>
  <c r="I3998" i="51"/>
  <c r="I3999" i="51"/>
  <c r="I4000" i="51"/>
  <c r="I4001" i="51"/>
  <c r="I4002" i="51"/>
  <c r="I4003" i="51"/>
  <c r="I4004" i="51"/>
  <c r="I4005" i="51"/>
  <c r="I4006" i="51"/>
  <c r="I4007" i="51"/>
  <c r="I4008" i="51"/>
  <c r="I4009" i="51"/>
  <c r="I4010" i="51"/>
  <c r="I4011" i="51"/>
  <c r="I4012" i="51"/>
  <c r="I4013" i="51"/>
  <c r="I4014" i="51"/>
  <c r="I4015" i="51"/>
  <c r="I4016" i="51"/>
  <c r="I4017" i="51"/>
  <c r="I4018" i="51"/>
  <c r="I4019" i="51"/>
  <c r="I4020" i="51"/>
  <c r="I4021" i="51"/>
  <c r="I4022" i="51"/>
  <c r="I4023" i="51"/>
  <c r="I4024" i="51"/>
  <c r="I4025" i="51"/>
  <c r="I4026" i="51"/>
  <c r="I4027" i="51"/>
  <c r="I4028" i="51"/>
  <c r="I4029" i="51"/>
  <c r="I4030" i="51"/>
  <c r="I4031" i="51"/>
  <c r="I4032" i="51"/>
  <c r="I4033" i="51"/>
  <c r="I4034" i="51"/>
  <c r="I4035" i="51"/>
  <c r="I4036" i="51"/>
  <c r="I4037" i="51"/>
  <c r="I4038" i="51"/>
  <c r="I4039" i="51"/>
  <c r="I4040" i="51"/>
  <c r="I4041" i="51"/>
  <c r="I4042" i="51"/>
  <c r="I4043" i="51"/>
  <c r="I4044" i="51"/>
  <c r="I4045" i="51"/>
  <c r="I4046" i="51"/>
  <c r="I4047" i="51"/>
  <c r="I4048" i="51"/>
  <c r="I4049" i="51"/>
  <c r="I4050" i="51"/>
  <c r="I4051" i="51"/>
  <c r="I4052" i="51"/>
  <c r="I4053" i="51"/>
  <c r="I4054" i="51"/>
  <c r="I4055" i="51"/>
  <c r="I4056" i="51"/>
  <c r="I4057" i="51"/>
  <c r="I4058" i="51"/>
  <c r="I4059" i="51"/>
  <c r="I4060" i="51"/>
  <c r="I4061" i="51"/>
  <c r="I4062" i="51"/>
  <c r="I4063" i="51"/>
  <c r="I4064" i="51"/>
  <c r="I4065" i="51"/>
  <c r="I4066" i="51"/>
  <c r="I4067" i="51"/>
  <c r="I4068" i="51"/>
  <c r="I4069" i="51"/>
  <c r="I4070" i="51"/>
  <c r="I4071" i="51"/>
  <c r="I4072" i="51"/>
  <c r="I4073" i="51"/>
  <c r="I4074" i="51"/>
  <c r="I4075" i="51"/>
  <c r="I4076" i="51"/>
  <c r="I4077" i="51"/>
  <c r="I4078" i="51"/>
  <c r="I4079" i="51"/>
  <c r="I4080" i="51"/>
  <c r="I4081" i="51"/>
  <c r="I4082" i="51"/>
  <c r="I4083" i="51"/>
  <c r="I4084" i="51"/>
  <c r="I4085" i="51"/>
  <c r="I4086" i="51"/>
  <c r="I4087" i="51"/>
  <c r="I4088" i="51"/>
  <c r="I4089" i="51"/>
  <c r="I4090" i="51"/>
  <c r="I4091" i="51"/>
  <c r="I4092" i="51"/>
  <c r="I4093" i="51"/>
  <c r="I4094" i="51"/>
  <c r="I4095" i="51"/>
  <c r="I4096" i="51"/>
  <c r="I4097" i="51"/>
  <c r="I4098" i="51"/>
  <c r="I4099" i="51"/>
  <c r="I4100" i="51"/>
  <c r="I4101" i="51"/>
  <c r="I4102" i="51"/>
  <c r="I4103" i="51"/>
  <c r="I4104" i="51"/>
  <c r="I4105" i="51"/>
  <c r="I4106" i="51"/>
  <c r="I4107" i="51"/>
  <c r="I4108" i="51"/>
  <c r="I4109" i="51"/>
  <c r="I4110" i="51"/>
  <c r="I4111" i="51"/>
  <c r="I4112" i="51"/>
  <c r="I4113" i="51"/>
  <c r="I4114" i="51"/>
  <c r="I4115" i="51"/>
  <c r="I4116" i="51"/>
  <c r="I4117" i="51"/>
  <c r="I4118" i="51"/>
  <c r="I4119" i="51"/>
  <c r="I4120" i="51"/>
  <c r="I4121" i="51"/>
  <c r="I4122" i="51"/>
  <c r="I4123" i="51"/>
  <c r="I4124" i="51"/>
  <c r="I4125" i="51"/>
  <c r="I4126" i="51"/>
  <c r="I4127" i="51"/>
  <c r="I4128" i="51"/>
  <c r="I4129" i="51"/>
  <c r="I4130" i="51"/>
  <c r="I4131" i="51"/>
  <c r="I4132" i="51"/>
  <c r="I4133" i="51"/>
  <c r="I4134" i="51"/>
  <c r="I4135" i="51"/>
  <c r="I4136" i="51"/>
  <c r="I4137" i="51"/>
  <c r="I4138" i="51"/>
  <c r="I4139" i="51"/>
  <c r="I4140" i="51"/>
  <c r="I4141" i="51"/>
  <c r="I4142" i="51"/>
  <c r="I4143" i="51"/>
  <c r="I4144" i="51"/>
  <c r="I4145" i="51"/>
  <c r="I4146" i="51"/>
  <c r="I4147" i="51"/>
  <c r="I4148" i="51"/>
  <c r="I4149" i="51"/>
  <c r="I4150" i="51"/>
  <c r="I4151" i="51"/>
  <c r="I4152" i="51"/>
  <c r="I4153" i="51"/>
  <c r="I4154" i="51"/>
  <c r="I4155" i="51"/>
  <c r="I4156" i="51"/>
  <c r="I4157" i="51"/>
  <c r="I4158" i="51"/>
  <c r="I4159" i="51"/>
  <c r="I4160" i="51"/>
  <c r="I4161" i="51"/>
  <c r="I4162" i="51"/>
  <c r="I4163" i="51"/>
  <c r="I4164" i="51"/>
  <c r="I4165" i="51"/>
  <c r="I4166" i="51"/>
  <c r="I4167" i="51"/>
  <c r="I4168" i="51"/>
  <c r="I4169" i="51"/>
  <c r="I4170" i="51"/>
  <c r="I4171" i="51"/>
  <c r="I4172" i="51"/>
  <c r="I4173" i="51"/>
  <c r="I4174" i="51"/>
  <c r="I4175" i="51"/>
  <c r="I4176" i="51"/>
  <c r="I4177" i="51"/>
  <c r="I4178" i="51"/>
  <c r="I4179" i="51"/>
  <c r="I4180" i="51"/>
  <c r="I4181" i="51"/>
  <c r="I4182" i="51"/>
  <c r="I4183" i="51"/>
  <c r="I4184" i="51"/>
  <c r="I4185" i="51"/>
  <c r="I4186" i="51"/>
  <c r="I4187" i="51"/>
  <c r="I4188" i="51"/>
  <c r="I4189" i="51"/>
  <c r="I4190" i="51"/>
  <c r="I4191" i="51"/>
  <c r="I4192" i="51"/>
  <c r="I4193" i="51"/>
  <c r="I4194" i="51"/>
  <c r="I4195" i="51"/>
  <c r="I4196" i="51"/>
  <c r="I4197" i="51"/>
  <c r="I4198" i="51"/>
  <c r="I4199" i="51"/>
  <c r="I4200" i="51"/>
  <c r="I4201" i="51"/>
  <c r="I4202" i="51"/>
  <c r="I4203" i="51"/>
  <c r="I4204" i="51"/>
  <c r="I4205" i="51"/>
  <c r="I4206" i="51"/>
  <c r="I4207" i="51"/>
  <c r="I4208" i="51"/>
  <c r="I4209" i="51"/>
  <c r="I4210" i="51"/>
  <c r="I4211" i="51"/>
  <c r="I4212" i="51"/>
  <c r="I4213" i="51"/>
  <c r="I4214" i="51"/>
  <c r="I4215" i="51"/>
  <c r="I4216" i="51"/>
  <c r="I4217" i="51"/>
  <c r="I4218" i="51"/>
  <c r="I4219" i="51"/>
  <c r="I4220" i="51"/>
  <c r="I4221" i="51"/>
  <c r="I4222" i="51"/>
  <c r="I4223" i="51"/>
  <c r="I4224" i="51"/>
  <c r="I4225" i="51"/>
  <c r="I4226" i="51"/>
  <c r="I4227" i="51"/>
  <c r="I4228" i="51"/>
  <c r="I4229" i="51"/>
  <c r="I4230" i="51"/>
  <c r="I4231" i="51"/>
  <c r="I4232" i="51"/>
  <c r="I4233" i="51"/>
  <c r="I4234" i="51"/>
  <c r="I4235" i="51"/>
  <c r="I4236" i="51"/>
  <c r="I4237" i="51"/>
  <c r="I4238" i="51"/>
  <c r="I4239" i="51"/>
  <c r="I4240" i="51"/>
  <c r="I4241" i="51"/>
  <c r="I4242" i="51"/>
  <c r="I4243" i="51"/>
  <c r="I4244" i="51"/>
  <c r="I4245" i="51"/>
  <c r="I4246" i="51"/>
  <c r="I4247" i="51"/>
  <c r="I4248" i="51"/>
  <c r="I4249" i="51"/>
  <c r="I4250" i="51"/>
  <c r="I4251" i="51"/>
  <c r="I4252" i="51"/>
  <c r="I4253" i="51"/>
  <c r="I4254" i="51"/>
  <c r="I4255" i="51"/>
  <c r="I4256" i="51"/>
  <c r="I4257" i="51"/>
  <c r="I4258" i="51"/>
  <c r="I4259" i="51"/>
  <c r="I4260" i="51"/>
  <c r="I4261" i="51"/>
  <c r="I4262" i="51"/>
  <c r="I4263" i="51"/>
  <c r="I4264" i="51"/>
  <c r="I4265" i="51"/>
  <c r="I4266" i="51"/>
  <c r="I4267" i="51"/>
  <c r="I4268" i="51"/>
  <c r="I4269" i="51"/>
  <c r="I4270" i="51"/>
  <c r="I4271" i="51"/>
  <c r="I4272" i="51"/>
  <c r="I4273" i="51"/>
  <c r="I4274" i="51"/>
  <c r="I4275" i="51"/>
  <c r="I4276" i="51"/>
  <c r="I4277" i="51"/>
  <c r="I4278" i="51"/>
  <c r="I4279" i="51"/>
  <c r="I4280" i="51"/>
  <c r="I4281" i="51"/>
  <c r="I4282" i="51"/>
  <c r="I4283" i="51"/>
  <c r="I4284" i="51"/>
  <c r="I4285" i="51"/>
  <c r="I4286" i="51"/>
  <c r="I4287" i="51"/>
  <c r="I4288" i="51"/>
  <c r="I4289" i="51"/>
  <c r="I4290" i="51"/>
  <c r="I4291" i="51"/>
  <c r="I4292" i="51"/>
  <c r="I4293" i="51"/>
  <c r="I4294" i="51"/>
  <c r="I4295" i="51"/>
  <c r="I4296" i="51"/>
  <c r="I4297" i="51"/>
  <c r="I4298" i="51"/>
  <c r="I4299" i="51"/>
  <c r="I4300" i="51"/>
  <c r="I4301" i="51"/>
  <c r="I4302" i="51"/>
  <c r="I4303" i="51"/>
  <c r="I4304" i="51"/>
  <c r="I4305" i="51"/>
  <c r="I4306" i="51"/>
  <c r="I4307" i="51"/>
  <c r="I4308" i="51"/>
  <c r="I4309" i="51"/>
  <c r="I4310" i="51"/>
  <c r="I4311" i="51"/>
  <c r="I4312" i="51"/>
  <c r="I4313" i="51"/>
  <c r="I4314" i="51"/>
  <c r="I4315" i="51"/>
  <c r="I4316" i="51"/>
  <c r="I4317" i="51"/>
  <c r="I4318" i="51"/>
  <c r="I4319" i="51"/>
  <c r="I4320" i="51"/>
  <c r="I4321" i="51"/>
  <c r="I4322" i="51"/>
  <c r="I4323" i="51"/>
  <c r="I4324" i="51"/>
  <c r="I4325" i="51"/>
  <c r="I4326" i="51"/>
  <c r="I4327" i="51"/>
  <c r="I4328" i="51"/>
  <c r="I4329" i="51"/>
  <c r="I4330" i="51"/>
  <c r="I4331" i="51"/>
  <c r="I4332" i="51"/>
  <c r="I4333" i="51"/>
  <c r="I4334" i="51"/>
  <c r="I4335" i="51"/>
  <c r="I4336" i="51"/>
  <c r="I4337" i="51"/>
  <c r="I4338" i="51"/>
  <c r="I4339" i="51"/>
  <c r="I4340" i="51"/>
  <c r="I4341" i="51"/>
  <c r="I4342" i="51"/>
  <c r="I4343" i="51"/>
  <c r="I4344" i="51"/>
  <c r="I4345" i="51"/>
  <c r="I4346" i="51"/>
  <c r="I4347" i="51"/>
  <c r="I4348" i="51"/>
  <c r="I4349" i="51"/>
  <c r="I4350" i="51"/>
  <c r="I4351" i="51"/>
  <c r="I4352" i="51"/>
  <c r="I4353" i="51"/>
  <c r="I4354" i="51"/>
  <c r="I4355" i="51"/>
  <c r="I4356" i="51"/>
  <c r="I4357" i="51"/>
  <c r="I4358" i="51"/>
  <c r="I4359" i="51"/>
  <c r="I4360" i="51"/>
  <c r="I4361" i="51"/>
  <c r="I4362" i="51"/>
  <c r="I4363" i="51"/>
  <c r="I4364" i="51"/>
  <c r="I4365" i="51"/>
  <c r="I4366" i="51"/>
  <c r="I4367" i="51"/>
  <c r="I4368" i="51"/>
  <c r="I4369" i="51"/>
  <c r="I4370" i="51"/>
  <c r="I4371" i="51"/>
  <c r="I4372" i="51"/>
  <c r="I4373" i="51"/>
  <c r="I4374" i="51"/>
  <c r="I4375" i="51"/>
  <c r="I4376" i="51"/>
  <c r="I4377" i="51"/>
  <c r="I4378" i="51"/>
  <c r="I4379" i="51"/>
  <c r="I4380" i="51"/>
  <c r="I4381" i="51"/>
  <c r="I4382" i="51"/>
  <c r="I4383" i="51"/>
  <c r="I4384" i="51"/>
  <c r="I4385" i="51"/>
  <c r="I4386" i="51"/>
  <c r="I4387" i="51"/>
  <c r="I4388" i="51"/>
  <c r="I4389" i="51"/>
  <c r="I4390" i="51"/>
  <c r="I4391" i="51"/>
  <c r="I4392" i="51"/>
  <c r="I4393" i="51"/>
  <c r="I4394" i="51"/>
  <c r="I4395" i="51"/>
  <c r="I4396" i="51"/>
  <c r="I4397" i="51"/>
  <c r="I4398" i="51"/>
  <c r="I4399" i="51"/>
  <c r="I4400" i="51"/>
  <c r="I4401" i="51"/>
  <c r="I4402" i="51"/>
  <c r="I4403" i="51"/>
  <c r="I4404" i="51"/>
  <c r="I4405" i="51"/>
  <c r="I4406" i="51"/>
  <c r="I4407" i="51"/>
  <c r="I4408" i="51"/>
  <c r="I4409" i="51"/>
  <c r="I4410" i="51"/>
  <c r="I4411" i="51"/>
  <c r="I4412" i="51"/>
  <c r="I4413" i="51"/>
  <c r="I4414" i="51"/>
  <c r="I4415" i="51"/>
  <c r="I4416" i="51"/>
  <c r="I4417" i="51"/>
  <c r="I4418" i="51"/>
  <c r="I4419" i="51"/>
  <c r="I4420" i="51"/>
  <c r="I4421" i="51"/>
  <c r="I4422" i="51"/>
  <c r="I4423" i="51"/>
  <c r="I4424" i="51"/>
  <c r="I4425" i="51"/>
  <c r="I4426" i="51"/>
  <c r="I4427" i="51"/>
  <c r="I4428" i="51"/>
  <c r="I4429" i="51"/>
  <c r="I4430" i="51"/>
  <c r="I4431" i="51"/>
  <c r="I4432" i="51"/>
  <c r="I4433" i="51"/>
  <c r="I4434" i="51"/>
  <c r="I4435" i="51"/>
  <c r="I4436" i="51"/>
  <c r="I4437" i="51"/>
  <c r="I4438" i="51"/>
  <c r="I4439" i="51"/>
  <c r="I4440" i="51"/>
  <c r="I4441" i="51"/>
  <c r="I4442" i="51"/>
  <c r="I4443" i="51"/>
  <c r="I4444" i="51"/>
  <c r="I4445" i="51"/>
  <c r="I4446" i="51"/>
  <c r="I4447" i="51"/>
  <c r="I4448" i="51"/>
  <c r="I4449" i="51"/>
  <c r="I4450" i="51"/>
  <c r="I4451" i="51"/>
  <c r="I4452" i="51"/>
  <c r="I4453" i="51"/>
  <c r="I4454" i="51"/>
  <c r="I4455" i="51"/>
  <c r="I4456" i="51"/>
  <c r="I4457" i="51"/>
  <c r="I4458" i="51"/>
  <c r="I4459" i="51"/>
  <c r="I4460" i="51"/>
  <c r="I4461" i="51"/>
  <c r="I4462" i="51"/>
  <c r="I4463" i="51"/>
  <c r="I4464" i="51"/>
  <c r="I4465" i="51"/>
  <c r="I4466" i="51"/>
  <c r="I4467" i="51"/>
  <c r="I4468" i="51"/>
  <c r="I4469" i="51"/>
  <c r="I4470" i="51"/>
  <c r="I4471" i="51"/>
  <c r="I4472" i="51"/>
  <c r="I4473" i="51"/>
  <c r="I4474" i="51"/>
  <c r="I4475" i="51"/>
  <c r="I4476" i="51"/>
  <c r="I4477" i="51"/>
  <c r="I4478" i="51"/>
  <c r="I4479" i="51"/>
  <c r="I4480" i="51"/>
  <c r="I4481" i="51"/>
  <c r="I4482" i="51"/>
  <c r="I4483" i="51"/>
  <c r="I4484" i="51"/>
  <c r="I4485" i="51"/>
  <c r="I4486" i="51"/>
  <c r="I4487" i="51"/>
  <c r="I4488" i="51"/>
  <c r="I4489" i="51"/>
  <c r="I4490" i="51"/>
  <c r="I4491" i="51"/>
  <c r="I4492" i="51"/>
  <c r="I4493" i="51"/>
  <c r="I4494" i="51"/>
  <c r="I4495" i="51"/>
  <c r="I4496" i="51"/>
  <c r="I4497" i="51"/>
  <c r="I4498" i="51"/>
  <c r="I4499" i="51"/>
  <c r="I4500" i="51"/>
  <c r="I4501" i="51"/>
  <c r="I4502" i="51"/>
  <c r="I4503" i="51"/>
  <c r="I4504" i="51"/>
  <c r="I4505" i="51"/>
  <c r="I4506" i="51"/>
  <c r="I4507" i="51"/>
  <c r="I4508" i="51"/>
  <c r="I4509" i="51"/>
  <c r="I4510" i="51"/>
  <c r="I4511" i="51"/>
  <c r="I4512" i="51"/>
  <c r="I4513" i="51"/>
  <c r="I4514" i="51"/>
  <c r="I4515" i="51"/>
  <c r="I4516" i="51"/>
  <c r="I4517" i="51"/>
  <c r="I4518" i="51"/>
  <c r="I4519" i="51"/>
  <c r="I4520" i="51"/>
  <c r="I4521" i="51"/>
  <c r="I4522" i="51"/>
  <c r="I4523" i="51"/>
  <c r="I4524" i="51"/>
  <c r="I4525" i="51"/>
  <c r="I4526" i="51"/>
  <c r="I4527" i="51"/>
  <c r="I4528" i="51"/>
  <c r="I4529" i="51"/>
  <c r="I4530" i="51"/>
  <c r="I4531" i="51"/>
  <c r="I4532" i="51"/>
  <c r="I4533" i="51"/>
  <c r="I4534" i="51"/>
  <c r="I4535" i="51"/>
  <c r="I4536" i="51"/>
  <c r="I4537" i="51"/>
  <c r="I4538" i="51"/>
  <c r="I4539" i="51"/>
  <c r="I4540" i="51"/>
  <c r="I4541" i="51"/>
  <c r="I4542" i="51"/>
  <c r="I4543" i="51"/>
  <c r="I4544" i="51"/>
  <c r="I4545" i="51"/>
  <c r="I4546" i="51"/>
  <c r="I4547" i="51"/>
  <c r="I4548" i="51"/>
  <c r="I4549" i="51"/>
  <c r="I4550" i="51"/>
  <c r="I4551" i="51"/>
  <c r="I4552" i="51"/>
  <c r="I4553" i="51"/>
  <c r="I4554" i="51"/>
  <c r="I4555" i="51"/>
  <c r="I4556" i="51"/>
  <c r="I4557" i="51"/>
  <c r="I4558" i="51"/>
  <c r="I4559" i="51"/>
  <c r="I4560" i="51"/>
  <c r="I4561" i="51"/>
  <c r="I4562" i="51"/>
  <c r="I4563" i="51"/>
  <c r="I4564" i="51"/>
  <c r="I4565" i="51"/>
  <c r="I4566" i="51"/>
  <c r="I4567" i="51"/>
  <c r="I4568" i="51"/>
  <c r="I4569" i="51"/>
  <c r="I4570" i="51"/>
  <c r="I4571" i="51"/>
  <c r="I4572" i="51"/>
  <c r="I4573" i="51"/>
  <c r="I4574" i="51"/>
  <c r="I4575" i="51"/>
  <c r="I4576" i="51"/>
  <c r="I4577" i="51"/>
  <c r="I4578" i="51"/>
  <c r="I4579" i="51"/>
  <c r="I4580" i="51"/>
  <c r="I4581" i="51"/>
  <c r="I4582" i="51"/>
  <c r="I4583" i="51"/>
  <c r="I4584" i="51"/>
  <c r="I4585" i="51"/>
  <c r="I4586" i="51"/>
  <c r="I4587" i="51"/>
  <c r="I4588" i="51"/>
  <c r="I4589" i="51"/>
  <c r="I4590" i="51"/>
  <c r="I4591" i="51"/>
  <c r="I4592" i="51"/>
  <c r="I4593" i="51"/>
  <c r="I4594" i="51"/>
  <c r="I4595" i="51"/>
  <c r="I4596" i="51"/>
  <c r="I4597" i="51"/>
  <c r="I4598" i="51"/>
  <c r="I4599" i="51"/>
  <c r="I4600" i="51"/>
  <c r="I4601" i="51"/>
  <c r="I4602" i="51"/>
  <c r="I4603" i="51"/>
  <c r="I4604" i="51"/>
  <c r="I4605" i="51"/>
  <c r="I4606" i="51"/>
  <c r="I4607" i="51"/>
  <c r="I4608" i="51"/>
  <c r="I4609" i="51"/>
  <c r="I4610" i="51"/>
  <c r="I4611" i="51"/>
  <c r="I4612" i="51"/>
  <c r="I4613" i="51"/>
  <c r="I4614" i="51"/>
  <c r="I4615" i="51"/>
  <c r="I4616" i="51"/>
  <c r="I4617" i="51"/>
  <c r="I4618" i="51"/>
  <c r="I4619" i="51"/>
  <c r="I4620" i="51"/>
  <c r="I4621" i="51"/>
  <c r="I4622" i="51"/>
  <c r="I4623" i="51"/>
  <c r="I4624" i="51"/>
  <c r="I4625" i="51"/>
  <c r="I4626" i="51"/>
  <c r="I4627" i="51"/>
  <c r="I4628" i="51"/>
  <c r="I4629" i="51"/>
  <c r="I4630" i="51"/>
  <c r="I4631" i="51"/>
  <c r="I4632" i="51"/>
  <c r="I4633" i="51"/>
  <c r="I4634" i="51"/>
  <c r="I4635" i="51"/>
  <c r="I4636" i="51"/>
  <c r="I4637" i="51"/>
  <c r="I4638" i="51"/>
  <c r="I4639" i="51"/>
  <c r="I4640" i="51"/>
  <c r="I4641" i="51"/>
  <c r="I4642" i="51"/>
  <c r="I4643" i="51"/>
  <c r="I4644" i="51"/>
  <c r="I4645" i="51"/>
  <c r="I4646" i="51"/>
  <c r="I4647" i="51"/>
  <c r="I4648" i="51"/>
  <c r="I4649" i="51"/>
  <c r="I4650" i="51"/>
  <c r="I4651" i="51"/>
  <c r="I4652" i="51"/>
  <c r="I4653" i="51"/>
  <c r="I4654" i="51"/>
  <c r="I4655" i="51"/>
  <c r="I4656" i="51"/>
  <c r="I4657" i="51"/>
  <c r="I4658" i="51"/>
  <c r="I4659" i="51"/>
  <c r="I4660" i="51"/>
  <c r="I4661" i="51"/>
  <c r="I4662" i="51"/>
  <c r="I4663" i="51"/>
  <c r="I4664" i="51"/>
  <c r="I4665" i="51"/>
  <c r="I4666" i="51"/>
  <c r="I4667" i="51"/>
  <c r="I4668" i="51"/>
  <c r="I4669" i="51"/>
  <c r="I4670" i="51"/>
  <c r="I4671" i="51"/>
  <c r="I4672" i="51"/>
  <c r="I4673" i="51"/>
  <c r="I4674" i="51"/>
  <c r="I4675" i="51"/>
  <c r="I4676" i="51"/>
  <c r="I4677" i="51"/>
  <c r="I4678" i="51"/>
  <c r="I4679" i="51"/>
  <c r="I4680" i="51"/>
  <c r="I4681" i="51"/>
  <c r="I4682" i="51"/>
  <c r="I4683" i="51"/>
  <c r="I4684" i="51"/>
  <c r="I4685" i="51"/>
  <c r="I4686" i="51"/>
  <c r="I4687" i="51"/>
  <c r="I4688" i="51"/>
  <c r="I4689" i="51"/>
  <c r="I4690" i="51"/>
  <c r="I4691" i="51"/>
  <c r="I4692" i="51"/>
  <c r="I4693" i="51"/>
  <c r="I4694" i="51"/>
  <c r="I4695" i="51"/>
  <c r="I4696" i="51"/>
  <c r="I4697" i="51"/>
  <c r="I4698" i="51"/>
  <c r="I4699" i="51"/>
  <c r="I4700" i="51"/>
  <c r="I4701" i="51"/>
  <c r="I4702" i="51"/>
  <c r="I4703" i="51"/>
  <c r="I4704" i="51"/>
  <c r="I4705" i="51"/>
  <c r="I4706" i="51"/>
  <c r="I4707" i="51"/>
  <c r="I4708" i="51"/>
  <c r="I4709" i="51"/>
  <c r="I4710" i="51"/>
  <c r="I4711" i="51"/>
  <c r="I4712" i="51"/>
  <c r="I4713" i="51"/>
  <c r="I4714" i="51"/>
  <c r="I4715" i="51"/>
  <c r="I4716" i="51"/>
  <c r="I4717" i="51"/>
  <c r="I4718" i="51"/>
  <c r="I4719" i="51"/>
  <c r="I4720" i="51"/>
  <c r="I4721" i="51"/>
  <c r="I4722" i="51"/>
  <c r="I4723" i="51"/>
  <c r="I4724" i="51"/>
  <c r="I4725" i="51"/>
  <c r="I4726" i="51"/>
  <c r="I4727" i="51"/>
  <c r="I4728" i="51"/>
  <c r="I4729" i="51"/>
  <c r="I4730" i="51"/>
  <c r="I4731" i="51"/>
  <c r="I4732" i="51"/>
  <c r="I4733" i="51"/>
  <c r="I4734" i="51"/>
  <c r="I4735" i="51"/>
  <c r="I4736" i="51"/>
  <c r="I4737" i="51"/>
  <c r="I4738" i="51"/>
  <c r="I4739" i="51"/>
  <c r="I4740" i="51"/>
  <c r="I4741" i="51"/>
  <c r="I4742" i="51"/>
  <c r="I4743" i="51"/>
  <c r="I4744" i="51"/>
  <c r="I4745" i="51"/>
  <c r="I4746" i="51"/>
  <c r="I4747" i="51"/>
  <c r="I4748" i="51"/>
  <c r="I4749" i="51"/>
  <c r="I4750" i="51"/>
  <c r="I4751" i="51"/>
  <c r="I4752" i="51"/>
  <c r="I4753" i="51"/>
  <c r="I4754" i="51"/>
  <c r="I4755" i="51"/>
  <c r="I4756" i="51"/>
  <c r="I4757" i="51"/>
  <c r="I4758" i="51"/>
  <c r="I4759" i="51"/>
  <c r="I4760" i="51"/>
  <c r="I4761" i="51"/>
  <c r="I4762" i="51"/>
  <c r="I4763" i="51"/>
  <c r="I4764" i="51"/>
  <c r="I4765" i="51"/>
  <c r="I4766" i="51"/>
  <c r="I4767" i="51"/>
  <c r="I4768" i="51"/>
  <c r="I4769" i="51"/>
  <c r="I4770" i="51"/>
  <c r="I4771" i="51"/>
  <c r="I4772" i="51"/>
  <c r="I4773" i="51"/>
  <c r="I4774" i="51"/>
  <c r="I4775" i="51"/>
  <c r="I4776" i="51"/>
  <c r="I4777" i="51"/>
  <c r="I4778" i="51"/>
  <c r="I4779" i="51"/>
  <c r="I4780" i="51"/>
  <c r="I4781" i="51"/>
  <c r="I4782" i="51"/>
  <c r="I4783" i="51"/>
  <c r="I4784" i="51"/>
  <c r="I4785" i="51"/>
  <c r="I4786" i="51"/>
  <c r="I4787" i="51"/>
  <c r="I4788" i="51"/>
  <c r="I4789" i="51"/>
  <c r="I4790" i="51"/>
  <c r="I4791" i="51"/>
  <c r="I4792" i="51"/>
  <c r="I4793" i="51"/>
  <c r="I4794" i="51"/>
  <c r="I4795" i="51"/>
  <c r="I4796" i="51"/>
  <c r="I4797" i="51"/>
  <c r="I4798" i="51"/>
  <c r="I4799" i="51"/>
  <c r="I4800" i="51"/>
  <c r="I4801" i="51"/>
  <c r="I4802" i="51"/>
  <c r="I4803" i="51"/>
  <c r="I4804" i="51"/>
  <c r="I4805" i="51"/>
  <c r="I4806" i="51"/>
  <c r="I4807" i="51"/>
  <c r="I4808" i="51"/>
  <c r="I4809" i="51"/>
  <c r="I4810" i="51"/>
  <c r="I4811" i="51"/>
  <c r="I4812" i="51"/>
  <c r="I4813" i="51"/>
  <c r="I4814" i="51"/>
  <c r="I4815" i="51"/>
  <c r="I4816" i="51"/>
  <c r="I4817" i="51"/>
  <c r="I4818" i="51"/>
  <c r="I4819" i="51"/>
  <c r="I4820" i="51"/>
  <c r="I4821" i="51"/>
  <c r="I4822" i="51"/>
  <c r="I4823" i="51"/>
  <c r="I4824" i="51"/>
  <c r="I4825" i="51"/>
  <c r="I4826" i="51"/>
  <c r="I4827" i="51"/>
  <c r="I4828" i="51"/>
  <c r="I4829" i="51"/>
  <c r="I4830" i="51"/>
  <c r="I4831" i="51"/>
  <c r="I4832" i="51"/>
  <c r="I4833" i="51"/>
  <c r="I4834" i="51"/>
  <c r="I4835" i="51"/>
  <c r="I4836" i="51"/>
  <c r="I4837" i="51"/>
  <c r="I4838" i="51"/>
  <c r="I4839" i="51"/>
  <c r="I4840" i="51"/>
  <c r="I4841" i="51"/>
  <c r="I4842" i="51"/>
  <c r="I4843" i="51"/>
  <c r="I4844" i="51"/>
  <c r="I4845" i="51"/>
  <c r="I4846" i="51"/>
  <c r="I4847" i="51"/>
  <c r="I4848" i="51"/>
  <c r="I4849" i="51"/>
  <c r="I4850" i="51"/>
  <c r="I4851" i="51"/>
  <c r="I4852" i="51"/>
  <c r="I4853" i="51"/>
  <c r="I4854" i="51"/>
  <c r="I4855" i="51"/>
  <c r="I4856" i="51"/>
  <c r="I4857" i="51"/>
  <c r="I4858" i="51"/>
  <c r="I4859" i="51"/>
  <c r="I4860" i="51"/>
  <c r="I4861" i="51"/>
  <c r="I4862" i="51"/>
  <c r="I4863" i="51"/>
  <c r="I4864" i="51"/>
  <c r="I4865" i="51"/>
  <c r="I4866" i="51"/>
  <c r="I4867" i="51"/>
  <c r="I4868" i="51"/>
  <c r="I4869" i="51"/>
  <c r="I4870" i="51"/>
  <c r="I4871" i="51"/>
  <c r="I4872" i="51"/>
  <c r="I4873" i="51"/>
  <c r="I4874" i="51"/>
  <c r="I4875" i="51"/>
  <c r="I4876" i="51"/>
  <c r="I4877" i="51"/>
  <c r="I4878" i="51"/>
  <c r="I4879" i="51"/>
  <c r="I4880" i="51"/>
  <c r="I4881" i="51"/>
  <c r="I4882" i="51"/>
  <c r="I4883" i="51"/>
  <c r="I4884" i="51"/>
  <c r="I4885" i="51"/>
  <c r="I4886" i="51"/>
  <c r="I4887" i="51"/>
  <c r="I4888" i="51"/>
  <c r="I4889" i="51"/>
  <c r="I4890" i="51"/>
  <c r="I4891" i="51"/>
  <c r="I4892" i="51"/>
  <c r="I4893" i="51"/>
  <c r="I4894" i="51"/>
  <c r="I4895" i="51"/>
  <c r="I4896" i="51"/>
  <c r="I4897" i="51"/>
  <c r="I4898" i="51"/>
  <c r="I4899" i="51"/>
  <c r="I4900" i="51"/>
  <c r="I4901" i="51"/>
  <c r="I4902" i="51"/>
  <c r="I4903" i="51"/>
  <c r="I4904" i="51"/>
  <c r="I4905" i="51"/>
  <c r="I4906" i="51"/>
  <c r="I4907" i="51"/>
  <c r="I4908" i="51"/>
  <c r="I4909" i="51"/>
  <c r="I4910" i="51"/>
  <c r="I4911" i="51"/>
  <c r="I4912" i="51"/>
  <c r="I4913" i="51"/>
  <c r="I4914" i="51"/>
  <c r="I4915" i="51"/>
  <c r="I4916" i="51"/>
  <c r="I4917" i="51"/>
  <c r="I4918" i="51"/>
  <c r="I4919" i="51"/>
  <c r="I4920" i="51"/>
  <c r="I4921" i="51"/>
  <c r="I4922" i="51"/>
  <c r="I4923" i="51"/>
  <c r="I4924" i="51"/>
  <c r="I4925" i="51"/>
  <c r="I4926" i="51"/>
  <c r="I4927" i="51"/>
  <c r="I4928" i="51"/>
  <c r="I4929" i="51"/>
  <c r="I4930" i="51"/>
  <c r="I4931" i="51"/>
  <c r="I4932" i="51"/>
  <c r="I4933" i="51"/>
  <c r="I4934" i="51"/>
  <c r="I4935" i="51"/>
  <c r="I4936" i="51"/>
  <c r="I4937" i="51"/>
  <c r="I4938" i="51"/>
  <c r="I4939" i="51"/>
  <c r="I4940" i="51"/>
  <c r="I4941" i="51"/>
  <c r="I4942" i="51"/>
  <c r="I4943" i="51"/>
  <c r="I4944" i="51"/>
  <c r="I4945" i="51"/>
  <c r="I4946" i="51"/>
  <c r="I4947" i="51"/>
  <c r="I4948" i="51"/>
  <c r="I4949" i="51"/>
  <c r="I4950" i="51"/>
  <c r="I4951" i="51"/>
  <c r="I4952" i="51"/>
  <c r="I4953" i="51"/>
  <c r="I4954" i="51"/>
  <c r="I4955" i="51"/>
  <c r="I4956" i="51"/>
  <c r="I4957" i="51"/>
  <c r="I4958" i="51"/>
  <c r="I4959" i="51"/>
  <c r="I4960" i="51"/>
  <c r="I4961" i="51"/>
  <c r="I4962" i="51"/>
  <c r="I4963" i="51"/>
  <c r="I4964" i="51"/>
  <c r="I4965" i="51"/>
  <c r="I4966" i="51"/>
  <c r="I4967" i="51"/>
  <c r="I4968" i="51"/>
  <c r="I4969" i="51"/>
  <c r="I4970" i="51"/>
  <c r="I4971" i="51"/>
  <c r="I4972" i="51"/>
  <c r="I4973" i="51"/>
  <c r="I4974" i="51"/>
  <c r="I4975" i="51"/>
  <c r="I4976" i="51"/>
  <c r="I4977" i="51"/>
  <c r="I4978" i="51"/>
  <c r="I4979" i="51"/>
  <c r="I4980" i="51"/>
  <c r="I4981" i="51"/>
  <c r="I4982" i="51"/>
  <c r="I4983" i="51"/>
  <c r="I4984" i="51"/>
  <c r="I4985" i="51"/>
  <c r="I4986" i="51"/>
  <c r="I4987" i="51"/>
  <c r="I4988" i="51"/>
  <c r="I4989" i="51"/>
  <c r="I4990" i="51"/>
  <c r="I4991" i="51"/>
  <c r="I4992" i="51"/>
  <c r="I4993" i="51"/>
  <c r="I4994" i="51"/>
  <c r="I4995" i="51"/>
  <c r="I4996" i="51"/>
  <c r="I4997" i="51"/>
  <c r="I4998" i="51"/>
  <c r="I4999" i="51"/>
  <c r="I5000" i="51"/>
  <c r="I5001" i="51"/>
  <c r="I5002" i="51"/>
  <c r="I5003" i="51"/>
  <c r="I5004" i="51"/>
  <c r="I5005" i="51"/>
  <c r="I5006" i="51"/>
  <c r="I5007" i="51"/>
  <c r="J2008" i="51"/>
  <c r="J2009" i="51"/>
  <c r="J2010" i="51"/>
  <c r="J2011" i="51"/>
  <c r="J2012" i="51"/>
  <c r="J2013" i="51"/>
  <c r="J2014" i="51"/>
  <c r="J2015" i="51"/>
  <c r="J2016" i="51"/>
  <c r="J2017" i="51"/>
  <c r="J2018" i="51"/>
  <c r="J2019" i="51"/>
  <c r="J2020" i="51"/>
  <c r="J2021" i="51"/>
  <c r="J2022" i="51"/>
  <c r="J2023" i="51"/>
  <c r="J2024" i="51"/>
  <c r="J2025" i="51"/>
  <c r="J2026" i="51"/>
  <c r="J2027" i="51"/>
  <c r="J2028" i="51"/>
  <c r="J2029" i="51"/>
  <c r="J2030" i="51"/>
  <c r="J2031" i="51"/>
  <c r="J2032" i="51"/>
  <c r="J2033" i="51"/>
  <c r="J2034" i="51"/>
  <c r="J2035" i="51"/>
  <c r="J2036" i="51"/>
  <c r="J2037" i="51"/>
  <c r="J2038" i="51"/>
  <c r="J2039" i="51"/>
  <c r="J2040" i="51"/>
  <c r="J2041" i="51"/>
  <c r="J2042" i="51"/>
  <c r="J2043" i="51"/>
  <c r="J2044" i="51"/>
  <c r="J2045" i="51"/>
  <c r="J2046" i="51"/>
  <c r="J2047" i="51"/>
  <c r="J2048" i="51"/>
  <c r="J2049" i="51"/>
  <c r="J2050" i="51"/>
  <c r="J2051" i="51"/>
  <c r="J2052" i="51"/>
  <c r="J2053" i="51"/>
  <c r="J2054" i="51"/>
  <c r="J2055" i="51"/>
  <c r="J2056" i="51"/>
  <c r="J2057" i="51"/>
  <c r="J2058" i="51"/>
  <c r="J2059" i="51"/>
  <c r="J2060" i="51"/>
  <c r="J2061" i="51"/>
  <c r="J2062" i="51"/>
  <c r="J2063" i="51"/>
  <c r="J2064" i="51"/>
  <c r="J2065" i="51"/>
  <c r="J2066" i="51"/>
  <c r="J2067" i="51"/>
  <c r="J2068" i="51"/>
  <c r="J2069" i="51"/>
  <c r="J2070" i="51"/>
  <c r="J2071" i="51"/>
  <c r="J2072" i="51"/>
  <c r="J2073" i="51"/>
  <c r="J2074" i="51"/>
  <c r="J2075" i="51"/>
  <c r="J2076" i="51"/>
  <c r="J2077" i="51"/>
  <c r="J2078" i="51"/>
  <c r="J2079" i="51"/>
  <c r="J2080" i="51"/>
  <c r="J2081" i="51"/>
  <c r="J2082" i="51"/>
  <c r="J2083" i="51"/>
  <c r="J2084" i="51"/>
  <c r="J2085" i="51"/>
  <c r="J2086" i="51"/>
  <c r="J2087" i="51"/>
  <c r="J2088" i="51"/>
  <c r="J2089" i="51"/>
  <c r="J2090" i="51"/>
  <c r="J2091" i="51"/>
  <c r="J2092" i="51"/>
  <c r="J2093" i="51"/>
  <c r="J2094" i="51"/>
  <c r="J2095" i="51"/>
  <c r="J2096" i="51"/>
  <c r="J2097" i="51"/>
  <c r="J2098" i="51"/>
  <c r="J2099" i="51"/>
  <c r="J2100" i="51"/>
  <c r="J2101" i="51"/>
  <c r="J2102" i="51"/>
  <c r="J2103" i="51"/>
  <c r="J2104" i="51"/>
  <c r="J2105" i="51"/>
  <c r="J2106" i="51"/>
  <c r="J2107" i="51"/>
  <c r="J2108" i="51"/>
  <c r="J2109" i="51"/>
  <c r="J2110" i="51"/>
  <c r="J2111" i="51"/>
  <c r="J2112" i="51"/>
  <c r="J2113" i="51"/>
  <c r="J2114" i="51"/>
  <c r="J2115" i="51"/>
  <c r="J2116" i="51"/>
  <c r="J2117" i="51"/>
  <c r="J2118" i="51"/>
  <c r="J2119" i="51"/>
  <c r="J2120" i="51"/>
  <c r="J2121" i="51"/>
  <c r="J2122" i="51"/>
  <c r="J2123" i="51"/>
  <c r="J2124" i="51"/>
  <c r="J2125" i="51"/>
  <c r="J2126" i="51"/>
  <c r="J2127" i="51"/>
  <c r="J2128" i="51"/>
  <c r="J2129" i="51"/>
  <c r="J2130" i="51"/>
  <c r="J2131" i="51"/>
  <c r="J2132" i="51"/>
  <c r="J2133" i="51"/>
  <c r="J2134" i="51"/>
  <c r="J2135" i="51"/>
  <c r="J2136" i="51"/>
  <c r="J2137" i="51"/>
  <c r="J2138" i="51"/>
  <c r="J2139" i="51"/>
  <c r="J2140" i="51"/>
  <c r="J2141" i="51"/>
  <c r="J2142" i="51"/>
  <c r="J2143" i="51"/>
  <c r="J2144" i="51"/>
  <c r="J2145" i="51"/>
  <c r="J2146" i="51"/>
  <c r="J2147" i="51"/>
  <c r="J2148" i="51"/>
  <c r="J2149" i="51"/>
  <c r="J2150" i="51"/>
  <c r="J2151" i="51"/>
  <c r="J2152" i="51"/>
  <c r="J2153" i="51"/>
  <c r="J2154" i="51"/>
  <c r="J2155" i="51"/>
  <c r="J2156" i="51"/>
  <c r="J2157" i="51"/>
  <c r="J2158" i="51"/>
  <c r="J2159" i="51"/>
  <c r="J2160" i="51"/>
  <c r="J2161" i="51"/>
  <c r="J2162" i="51"/>
  <c r="J2163" i="51"/>
  <c r="J2164" i="51"/>
  <c r="J2165" i="51"/>
  <c r="J2166" i="51"/>
  <c r="J2167" i="51"/>
  <c r="J2168" i="51"/>
  <c r="J2169" i="51"/>
  <c r="J2170" i="51"/>
  <c r="J2171" i="51"/>
  <c r="J2172" i="51"/>
  <c r="J2173" i="51"/>
  <c r="J2174" i="51"/>
  <c r="J2175" i="51"/>
  <c r="J2176" i="51"/>
  <c r="J2177" i="51"/>
  <c r="J2178" i="51"/>
  <c r="J2179" i="51"/>
  <c r="J2180" i="51"/>
  <c r="J2181" i="51"/>
  <c r="J2182" i="51"/>
  <c r="J2183" i="51"/>
  <c r="J2184" i="51"/>
  <c r="J2185" i="51"/>
  <c r="J2186" i="51"/>
  <c r="J2187" i="51"/>
  <c r="J2188" i="51"/>
  <c r="J2189" i="51"/>
  <c r="J2190" i="51"/>
  <c r="J2191" i="51"/>
  <c r="J2192" i="51"/>
  <c r="J2193" i="51"/>
  <c r="J2194" i="51"/>
  <c r="J2195" i="51"/>
  <c r="J2196" i="51"/>
  <c r="J2197" i="51"/>
  <c r="J2198" i="51"/>
  <c r="J2199" i="51"/>
  <c r="J2200" i="51"/>
  <c r="J2201" i="51"/>
  <c r="J2202" i="51"/>
  <c r="J2203" i="51"/>
  <c r="J2204" i="51"/>
  <c r="J2205" i="51"/>
  <c r="J2206" i="51"/>
  <c r="J2207" i="51"/>
  <c r="J2208" i="51"/>
  <c r="J2209" i="51"/>
  <c r="J2210" i="51"/>
  <c r="J2211" i="51"/>
  <c r="J2212" i="51"/>
  <c r="J2213" i="51"/>
  <c r="J2214" i="51"/>
  <c r="J2215" i="51"/>
  <c r="J2216" i="51"/>
  <c r="J2217" i="51"/>
  <c r="J2218" i="51"/>
  <c r="J2219" i="51"/>
  <c r="J2220" i="51"/>
  <c r="J2221" i="51"/>
  <c r="J2222" i="51"/>
  <c r="J2223" i="51"/>
  <c r="J2224" i="51"/>
  <c r="J2225" i="51"/>
  <c r="J2226" i="51"/>
  <c r="J2227" i="51"/>
  <c r="J2228" i="51"/>
  <c r="J2229" i="51"/>
  <c r="J2230" i="51"/>
  <c r="J2231" i="51"/>
  <c r="J2232" i="51"/>
  <c r="J2233" i="51"/>
  <c r="J2234" i="51"/>
  <c r="J2235" i="51"/>
  <c r="J2236" i="51"/>
  <c r="J2237" i="51"/>
  <c r="J2238" i="51"/>
  <c r="J2239" i="51"/>
  <c r="J2240" i="51"/>
  <c r="J2241" i="51"/>
  <c r="J2242" i="51"/>
  <c r="J2243" i="51"/>
  <c r="J2244" i="51"/>
  <c r="J2245" i="51"/>
  <c r="J2246" i="51"/>
  <c r="J2247" i="51"/>
  <c r="J2248" i="51"/>
  <c r="J2249" i="51"/>
  <c r="J2250" i="51"/>
  <c r="J2251" i="51"/>
  <c r="J2252" i="51"/>
  <c r="J2253" i="51"/>
  <c r="J2254" i="51"/>
  <c r="J2255" i="51"/>
  <c r="J2256" i="51"/>
  <c r="J2257" i="51"/>
  <c r="J2258" i="51"/>
  <c r="J2259" i="51"/>
  <c r="J2260" i="51"/>
  <c r="J2261" i="51"/>
  <c r="J2262" i="51"/>
  <c r="J2263" i="51"/>
  <c r="J2264" i="51"/>
  <c r="J2265" i="51"/>
  <c r="J2266" i="51"/>
  <c r="J2267" i="51"/>
  <c r="J2268" i="51"/>
  <c r="J2269" i="51"/>
  <c r="J2270" i="51"/>
  <c r="J2271" i="51"/>
  <c r="J2272" i="51"/>
  <c r="J2273" i="51"/>
  <c r="J2274" i="51"/>
  <c r="J2275" i="51"/>
  <c r="J2276" i="51"/>
  <c r="J2277" i="51"/>
  <c r="J2278" i="51"/>
  <c r="J2279" i="51"/>
  <c r="J2280" i="51"/>
  <c r="J2281" i="51"/>
  <c r="J2282" i="51"/>
  <c r="J2283" i="51"/>
  <c r="J2284" i="51"/>
  <c r="J2285" i="51"/>
  <c r="J2286" i="51"/>
  <c r="J2287" i="51"/>
  <c r="J2288" i="51"/>
  <c r="J2289" i="51"/>
  <c r="J2290" i="51"/>
  <c r="J2291" i="51"/>
  <c r="J2292" i="51"/>
  <c r="J2293" i="51"/>
  <c r="J2294" i="51"/>
  <c r="J2295" i="51"/>
  <c r="J2296" i="51"/>
  <c r="J2297" i="51"/>
  <c r="J2298" i="51"/>
  <c r="J2299" i="51"/>
  <c r="J2300" i="51"/>
  <c r="J2301" i="51"/>
  <c r="J2302" i="51"/>
  <c r="J2303" i="51"/>
  <c r="J2304" i="51"/>
  <c r="J2305" i="51"/>
  <c r="J2306" i="51"/>
  <c r="J2307" i="51"/>
  <c r="J2308" i="51"/>
  <c r="J2309" i="51"/>
  <c r="J2310" i="51"/>
  <c r="J2311" i="51"/>
  <c r="J2312" i="51"/>
  <c r="J2313" i="51"/>
  <c r="J2314" i="51"/>
  <c r="J2315" i="51"/>
  <c r="J2316" i="51"/>
  <c r="J2317" i="51"/>
  <c r="J2318" i="51"/>
  <c r="J2319" i="51"/>
  <c r="J2320" i="51"/>
  <c r="J2321" i="51"/>
  <c r="J2322" i="51"/>
  <c r="J2323" i="51"/>
  <c r="J2324" i="51"/>
  <c r="J2325" i="51"/>
  <c r="J2326" i="51"/>
  <c r="J2327" i="51"/>
  <c r="J2328" i="51"/>
  <c r="J2329" i="51"/>
  <c r="J2330" i="51"/>
  <c r="J2331" i="51"/>
  <c r="J2332" i="51"/>
  <c r="J2333" i="51"/>
  <c r="J2334" i="51"/>
  <c r="J2335" i="51"/>
  <c r="J2336" i="51"/>
  <c r="J2337" i="51"/>
  <c r="J2338" i="51"/>
  <c r="J2339" i="51"/>
  <c r="J2340" i="51"/>
  <c r="J2341" i="51"/>
  <c r="J2342" i="51"/>
  <c r="J2343" i="51"/>
  <c r="J2344" i="51"/>
  <c r="J2345" i="51"/>
  <c r="J2346" i="51"/>
  <c r="J2347" i="51"/>
  <c r="J2348" i="51"/>
  <c r="J2349" i="51"/>
  <c r="J2350" i="51"/>
  <c r="J2351" i="51"/>
  <c r="J2352" i="51"/>
  <c r="J2353" i="51"/>
  <c r="J2354" i="51"/>
  <c r="J2355" i="51"/>
  <c r="J2356" i="51"/>
  <c r="J2357" i="51"/>
  <c r="J2358" i="51"/>
  <c r="J2359" i="51"/>
  <c r="J2360" i="51"/>
  <c r="J2361" i="51"/>
  <c r="J2362" i="51"/>
  <c r="J2363" i="51"/>
  <c r="J2364" i="51"/>
  <c r="J2365" i="51"/>
  <c r="J2366" i="51"/>
  <c r="J2367" i="51"/>
  <c r="J2368" i="51"/>
  <c r="J2369" i="51"/>
  <c r="J2370" i="51"/>
  <c r="J2371" i="51"/>
  <c r="J2372" i="51"/>
  <c r="J2373" i="51"/>
  <c r="J2374" i="51"/>
  <c r="J2375" i="51"/>
  <c r="J2376" i="51"/>
  <c r="J2377" i="51"/>
  <c r="J2378" i="51"/>
  <c r="J2379" i="51"/>
  <c r="J2380" i="51"/>
  <c r="J2381" i="51"/>
  <c r="J2382" i="51"/>
  <c r="J2383" i="51"/>
  <c r="J2384" i="51"/>
  <c r="J2385" i="51"/>
  <c r="J2386" i="51"/>
  <c r="J2387" i="51"/>
  <c r="J2388" i="51"/>
  <c r="J2389" i="51"/>
  <c r="J2390" i="51"/>
  <c r="J2391" i="51"/>
  <c r="J2392" i="51"/>
  <c r="J2393" i="51"/>
  <c r="J2394" i="51"/>
  <c r="J2395" i="51"/>
  <c r="J2396" i="51"/>
  <c r="J2397" i="51"/>
  <c r="J2398" i="51"/>
  <c r="J2399" i="51"/>
  <c r="J2400" i="51"/>
  <c r="J2401" i="51"/>
  <c r="J2402" i="51"/>
  <c r="J2403" i="51"/>
  <c r="J2404" i="51"/>
  <c r="J2405" i="51"/>
  <c r="J2406" i="51"/>
  <c r="J2407" i="51"/>
  <c r="J2408" i="51"/>
  <c r="J2409" i="51"/>
  <c r="J2410" i="51"/>
  <c r="J2411" i="51"/>
  <c r="J2412" i="51"/>
  <c r="J2413" i="51"/>
  <c r="J2414" i="51"/>
  <c r="J2415" i="51"/>
  <c r="J2416" i="51"/>
  <c r="J2417" i="51"/>
  <c r="J2418" i="51"/>
  <c r="J2419" i="51"/>
  <c r="J2420" i="51"/>
  <c r="J2421" i="51"/>
  <c r="J2422" i="51"/>
  <c r="J2423" i="51"/>
  <c r="J2424" i="51"/>
  <c r="J2425" i="51"/>
  <c r="J2426" i="51"/>
  <c r="J2427" i="51"/>
  <c r="J2428" i="51"/>
  <c r="J2429" i="51"/>
  <c r="J2430" i="51"/>
  <c r="J2431" i="51"/>
  <c r="J2432" i="51"/>
  <c r="J2433" i="51"/>
  <c r="J2434" i="51"/>
  <c r="J2435" i="51"/>
  <c r="J2436" i="51"/>
  <c r="J2437" i="51"/>
  <c r="J2438" i="51"/>
  <c r="J2439" i="51"/>
  <c r="J2440" i="51"/>
  <c r="J2441" i="51"/>
  <c r="J2442" i="51"/>
  <c r="J2443" i="51"/>
  <c r="J2444" i="51"/>
  <c r="J2445" i="51"/>
  <c r="J2446" i="51"/>
  <c r="J2447" i="51"/>
  <c r="J2448" i="51"/>
  <c r="J2449" i="51"/>
  <c r="J2450" i="51"/>
  <c r="J2451" i="51"/>
  <c r="J2452" i="51"/>
  <c r="J2453" i="51"/>
  <c r="J2454" i="51"/>
  <c r="J2455" i="51"/>
  <c r="J2456" i="51"/>
  <c r="J2457" i="51"/>
  <c r="J2458" i="51"/>
  <c r="J2459" i="51"/>
  <c r="J2460" i="51"/>
  <c r="J2461" i="51"/>
  <c r="J2462" i="51"/>
  <c r="J2463" i="51"/>
  <c r="J2464" i="51"/>
  <c r="J2465" i="51"/>
  <c r="J2466" i="51"/>
  <c r="J2467" i="51"/>
  <c r="J2468" i="51"/>
  <c r="J2469" i="51"/>
  <c r="J2470" i="51"/>
  <c r="J2471" i="51"/>
  <c r="J2472" i="51"/>
  <c r="J2473" i="51"/>
  <c r="J2474" i="51"/>
  <c r="J2475" i="51"/>
  <c r="J2476" i="51"/>
  <c r="J2477" i="51"/>
  <c r="J2478" i="51"/>
  <c r="J2479" i="51"/>
  <c r="J2480" i="51"/>
  <c r="J2481" i="51"/>
  <c r="J2482" i="51"/>
  <c r="J2483" i="51"/>
  <c r="J2484" i="51"/>
  <c r="J2485" i="51"/>
  <c r="J2486" i="51"/>
  <c r="J2487" i="51"/>
  <c r="J2488" i="51"/>
  <c r="J2489" i="51"/>
  <c r="J2490" i="51"/>
  <c r="J2491" i="51"/>
  <c r="J2492" i="51"/>
  <c r="J2493" i="51"/>
  <c r="J2494" i="51"/>
  <c r="J2495" i="51"/>
  <c r="J2496" i="51"/>
  <c r="J2497" i="51"/>
  <c r="J2498" i="51"/>
  <c r="J2499" i="51"/>
  <c r="J2500" i="51"/>
  <c r="J2501" i="51"/>
  <c r="J2502" i="51"/>
  <c r="J2503" i="51"/>
  <c r="J2504" i="51"/>
  <c r="J2505" i="51"/>
  <c r="J2506" i="51"/>
  <c r="J2507" i="51"/>
  <c r="J2508" i="51"/>
  <c r="J2509" i="51"/>
  <c r="J2510" i="51"/>
  <c r="J2511" i="51"/>
  <c r="J2512" i="51"/>
  <c r="J2513" i="51"/>
  <c r="J2514" i="51"/>
  <c r="J2515" i="51"/>
  <c r="J2516" i="51"/>
  <c r="J2517" i="51"/>
  <c r="J2518" i="51"/>
  <c r="J2519" i="51"/>
  <c r="J2520" i="51"/>
  <c r="J2521" i="51"/>
  <c r="J2522" i="51"/>
  <c r="J2523" i="51"/>
  <c r="J2524" i="51"/>
  <c r="J2525" i="51"/>
  <c r="J2526" i="51"/>
  <c r="J2527" i="51"/>
  <c r="J2528" i="51"/>
  <c r="J2529" i="51"/>
  <c r="J2530" i="51"/>
  <c r="J2531" i="51"/>
  <c r="J2532" i="51"/>
  <c r="J2533" i="51"/>
  <c r="J2534" i="51"/>
  <c r="J2535" i="51"/>
  <c r="J2536" i="51"/>
  <c r="J2537" i="51"/>
  <c r="J2538" i="51"/>
  <c r="J2539" i="51"/>
  <c r="J2540" i="51"/>
  <c r="J2541" i="51"/>
  <c r="J2542" i="51"/>
  <c r="J2543" i="51"/>
  <c r="J2544" i="51"/>
  <c r="J2545" i="51"/>
  <c r="J2546" i="51"/>
  <c r="J2547" i="51"/>
  <c r="J2548" i="51"/>
  <c r="J2549" i="51"/>
  <c r="J2550" i="51"/>
  <c r="J2551" i="51"/>
  <c r="J2552" i="51"/>
  <c r="J2553" i="51"/>
  <c r="J2554" i="51"/>
  <c r="J2555" i="51"/>
  <c r="J2556" i="51"/>
  <c r="J2557" i="51"/>
  <c r="J2558" i="51"/>
  <c r="J2559" i="51"/>
  <c r="J2560" i="51"/>
  <c r="J2561" i="51"/>
  <c r="J2562" i="51"/>
  <c r="J2563" i="51"/>
  <c r="J2564" i="51"/>
  <c r="J2565" i="51"/>
  <c r="J2566" i="51"/>
  <c r="J2567" i="51"/>
  <c r="J2568" i="51"/>
  <c r="J2569" i="51"/>
  <c r="J2570" i="51"/>
  <c r="J2571" i="51"/>
  <c r="J2572" i="51"/>
  <c r="J2573" i="51"/>
  <c r="J2574" i="51"/>
  <c r="J2575" i="51"/>
  <c r="J2576" i="51"/>
  <c r="J2577" i="51"/>
  <c r="J2578" i="51"/>
  <c r="J2579" i="51"/>
  <c r="J2580" i="51"/>
  <c r="J2581" i="51"/>
  <c r="J2582" i="51"/>
  <c r="J2583" i="51"/>
  <c r="J2584" i="51"/>
  <c r="J2585" i="51"/>
  <c r="J2586" i="51"/>
  <c r="J2587" i="51"/>
  <c r="J2588" i="51"/>
  <c r="J2589" i="51"/>
  <c r="J2590" i="51"/>
  <c r="J2591" i="51"/>
  <c r="J2592" i="51"/>
  <c r="J2593" i="51"/>
  <c r="J2594" i="51"/>
  <c r="J2595" i="51"/>
  <c r="J2596" i="51"/>
  <c r="J2597" i="51"/>
  <c r="J2598" i="51"/>
  <c r="J2599" i="51"/>
  <c r="J2600" i="51"/>
  <c r="J2601" i="51"/>
  <c r="J2602" i="51"/>
  <c r="J2603" i="51"/>
  <c r="J2604" i="51"/>
  <c r="J2605" i="51"/>
  <c r="J2606" i="51"/>
  <c r="J2607" i="51"/>
  <c r="J2608" i="51"/>
  <c r="J2609" i="51"/>
  <c r="J2610" i="51"/>
  <c r="J2611" i="51"/>
  <c r="J2612" i="51"/>
  <c r="J2613" i="51"/>
  <c r="J2614" i="51"/>
  <c r="J2615" i="51"/>
  <c r="J2616" i="51"/>
  <c r="J2617" i="51"/>
  <c r="J2618" i="51"/>
  <c r="J2619" i="51"/>
  <c r="J2620" i="51"/>
  <c r="J2621" i="51"/>
  <c r="J2622" i="51"/>
  <c r="J2623" i="51"/>
  <c r="J2624" i="51"/>
  <c r="J2625" i="51"/>
  <c r="J2626" i="51"/>
  <c r="J2627" i="51"/>
  <c r="J2628" i="51"/>
  <c r="J2629" i="51"/>
  <c r="J2630" i="51"/>
  <c r="J2631" i="51"/>
  <c r="J2632" i="51"/>
  <c r="J2633" i="51"/>
  <c r="J2634" i="51"/>
  <c r="J2635" i="51"/>
  <c r="J2636" i="51"/>
  <c r="J2637" i="51"/>
  <c r="J2638" i="51"/>
  <c r="J2639" i="51"/>
  <c r="J2640" i="51"/>
  <c r="J2641" i="51"/>
  <c r="J2642" i="51"/>
  <c r="J2643" i="51"/>
  <c r="J2644" i="51"/>
  <c r="J2645" i="51"/>
  <c r="J2646" i="51"/>
  <c r="J2647" i="51"/>
  <c r="J2648" i="51"/>
  <c r="J2649" i="51"/>
  <c r="J2650" i="51"/>
  <c r="J2651" i="51"/>
  <c r="J2652" i="51"/>
  <c r="J2653" i="51"/>
  <c r="J2654" i="51"/>
  <c r="J2655" i="51"/>
  <c r="J2656" i="51"/>
  <c r="J2657" i="51"/>
  <c r="J2658" i="51"/>
  <c r="J2659" i="51"/>
  <c r="J2660" i="51"/>
  <c r="J2661" i="51"/>
  <c r="J2662" i="51"/>
  <c r="J2663" i="51"/>
  <c r="J2664" i="51"/>
  <c r="J2665" i="51"/>
  <c r="J2666" i="51"/>
  <c r="J2667" i="51"/>
  <c r="J2668" i="51"/>
  <c r="J2669" i="51"/>
  <c r="J2670" i="51"/>
  <c r="J2671" i="51"/>
  <c r="J2672" i="51"/>
  <c r="J2673" i="51"/>
  <c r="J2674" i="51"/>
  <c r="J2675" i="51"/>
  <c r="J2676" i="51"/>
  <c r="J2677" i="51"/>
  <c r="J2678" i="51"/>
  <c r="J2679" i="51"/>
  <c r="J2680" i="51"/>
  <c r="J2681" i="51"/>
  <c r="J2682" i="51"/>
  <c r="J2683" i="51"/>
  <c r="J2684" i="51"/>
  <c r="J2685" i="51"/>
  <c r="J2686" i="51"/>
  <c r="J2687" i="51"/>
  <c r="J2688" i="51"/>
  <c r="J2689" i="51"/>
  <c r="J2690" i="51"/>
  <c r="J2691" i="51"/>
  <c r="J2692" i="51"/>
  <c r="J2693" i="51"/>
  <c r="J2694" i="51"/>
  <c r="J2695" i="51"/>
  <c r="J2696" i="51"/>
  <c r="J2697" i="51"/>
  <c r="J2698" i="51"/>
  <c r="J2699" i="51"/>
  <c r="J2700" i="51"/>
  <c r="J2701" i="51"/>
  <c r="J2702" i="51"/>
  <c r="J2703" i="51"/>
  <c r="J2704" i="51"/>
  <c r="J2705" i="51"/>
  <c r="J2706" i="51"/>
  <c r="J2707" i="51"/>
  <c r="J2708" i="51"/>
  <c r="J2709" i="51"/>
  <c r="J2710" i="51"/>
  <c r="J2711" i="51"/>
  <c r="J2712" i="51"/>
  <c r="J2713" i="51"/>
  <c r="J2714" i="51"/>
  <c r="J2715" i="51"/>
  <c r="J2716" i="51"/>
  <c r="J2717" i="51"/>
  <c r="J2718" i="51"/>
  <c r="J2719" i="51"/>
  <c r="J2720" i="51"/>
  <c r="J2721" i="51"/>
  <c r="J2722" i="51"/>
  <c r="J2723" i="51"/>
  <c r="J2724" i="51"/>
  <c r="J2725" i="51"/>
  <c r="J2726" i="51"/>
  <c r="J2727" i="51"/>
  <c r="J2728" i="51"/>
  <c r="J2729" i="51"/>
  <c r="J2730" i="51"/>
  <c r="J2731" i="51"/>
  <c r="J2732" i="51"/>
  <c r="J2733" i="51"/>
  <c r="J2734" i="51"/>
  <c r="J2735" i="51"/>
  <c r="J2736" i="51"/>
  <c r="J2737" i="51"/>
  <c r="J2738" i="51"/>
  <c r="J2739" i="51"/>
  <c r="J2740" i="51"/>
  <c r="J2741" i="51"/>
  <c r="J2742" i="51"/>
  <c r="J2743" i="51"/>
  <c r="J2744" i="51"/>
  <c r="J2745" i="51"/>
  <c r="J2746" i="51"/>
  <c r="J2747" i="51"/>
  <c r="J2748" i="51"/>
  <c r="J2749" i="51"/>
  <c r="J2750" i="51"/>
  <c r="J2751" i="51"/>
  <c r="J2752" i="51"/>
  <c r="J2753" i="51"/>
  <c r="J2754" i="51"/>
  <c r="J2755" i="51"/>
  <c r="J2756" i="51"/>
  <c r="J2757" i="51"/>
  <c r="J2758" i="51"/>
  <c r="J2759" i="51"/>
  <c r="J2760" i="51"/>
  <c r="J2761" i="51"/>
  <c r="J2762" i="51"/>
  <c r="J2763" i="51"/>
  <c r="J2764" i="51"/>
  <c r="J2765" i="51"/>
  <c r="J2766" i="51"/>
  <c r="J2767" i="51"/>
  <c r="J2768" i="51"/>
  <c r="J2769" i="51"/>
  <c r="J2770" i="51"/>
  <c r="J2771" i="51"/>
  <c r="J2772" i="51"/>
  <c r="J2773" i="51"/>
  <c r="J2774" i="51"/>
  <c r="J2775" i="51"/>
  <c r="J2776" i="51"/>
  <c r="J2777" i="51"/>
  <c r="J2778" i="51"/>
  <c r="J2779" i="51"/>
  <c r="J2780" i="51"/>
  <c r="J2781" i="51"/>
  <c r="J2782" i="51"/>
  <c r="J2783" i="51"/>
  <c r="J2784" i="51"/>
  <c r="J2785" i="51"/>
  <c r="J2786" i="51"/>
  <c r="J2787" i="51"/>
  <c r="J2788" i="51"/>
  <c r="J2789" i="51"/>
  <c r="J2790" i="51"/>
  <c r="J2791" i="51"/>
  <c r="J2792" i="51"/>
  <c r="J2793" i="51"/>
  <c r="J2794" i="51"/>
  <c r="J2795" i="51"/>
  <c r="J2796" i="51"/>
  <c r="J2797" i="51"/>
  <c r="J2798" i="51"/>
  <c r="J2799" i="51"/>
  <c r="J2800" i="51"/>
  <c r="J2801" i="51"/>
  <c r="J2802" i="51"/>
  <c r="J2803" i="51"/>
  <c r="J2804" i="51"/>
  <c r="J2805" i="51"/>
  <c r="J2806" i="51"/>
  <c r="J2807" i="51"/>
  <c r="J2808" i="51"/>
  <c r="J2809" i="51"/>
  <c r="J2810" i="51"/>
  <c r="J2811" i="51"/>
  <c r="J2812" i="51"/>
  <c r="J2813" i="51"/>
  <c r="J2814" i="51"/>
  <c r="J2815" i="51"/>
  <c r="J2816" i="51"/>
  <c r="J2817" i="51"/>
  <c r="J2818" i="51"/>
  <c r="J2819" i="51"/>
  <c r="J2820" i="51"/>
  <c r="J2821" i="51"/>
  <c r="J2822" i="51"/>
  <c r="J2823" i="51"/>
  <c r="J2824" i="51"/>
  <c r="J2825" i="51"/>
  <c r="J2826" i="51"/>
  <c r="J2827" i="51"/>
  <c r="J2828" i="51"/>
  <c r="J2829" i="51"/>
  <c r="J2830" i="51"/>
  <c r="J2831" i="51"/>
  <c r="J2832" i="51"/>
  <c r="J2833" i="51"/>
  <c r="J2834" i="51"/>
  <c r="J2835" i="51"/>
  <c r="J2836" i="51"/>
  <c r="J2837" i="51"/>
  <c r="J2838" i="51"/>
  <c r="J2839" i="51"/>
  <c r="J2840" i="51"/>
  <c r="J2841" i="51"/>
  <c r="J2842" i="51"/>
  <c r="J2843" i="51"/>
  <c r="J2844" i="51"/>
  <c r="J2845" i="51"/>
  <c r="J2846" i="51"/>
  <c r="J2847" i="51"/>
  <c r="J2848" i="51"/>
  <c r="J2849" i="51"/>
  <c r="J2850" i="51"/>
  <c r="J2851" i="51"/>
  <c r="J2852" i="51"/>
  <c r="J2853" i="51"/>
  <c r="J2854" i="51"/>
  <c r="J2855" i="51"/>
  <c r="J2856" i="51"/>
  <c r="J2857" i="51"/>
  <c r="J2858" i="51"/>
  <c r="J2859" i="51"/>
  <c r="J2860" i="51"/>
  <c r="J2861" i="51"/>
  <c r="J2862" i="51"/>
  <c r="J2863" i="51"/>
  <c r="J2864" i="51"/>
  <c r="J2865" i="51"/>
  <c r="J2866" i="51"/>
  <c r="J2867" i="51"/>
  <c r="J2868" i="51"/>
  <c r="J2869" i="51"/>
  <c r="J2870" i="51"/>
  <c r="J2871" i="51"/>
  <c r="J2872" i="51"/>
  <c r="J2873" i="51"/>
  <c r="J2874" i="51"/>
  <c r="J2875" i="51"/>
  <c r="J2876" i="51"/>
  <c r="J2877" i="51"/>
  <c r="J2878" i="51"/>
  <c r="J2879" i="51"/>
  <c r="J2880" i="51"/>
  <c r="J2881" i="51"/>
  <c r="J2882" i="51"/>
  <c r="J2883" i="51"/>
  <c r="J2884" i="51"/>
  <c r="J2885" i="51"/>
  <c r="J2886" i="51"/>
  <c r="J2887" i="51"/>
  <c r="J2888" i="51"/>
  <c r="J2889" i="51"/>
  <c r="J2890" i="51"/>
  <c r="J2891" i="51"/>
  <c r="J2892" i="51"/>
  <c r="J2893" i="51"/>
  <c r="J2894" i="51"/>
  <c r="J2895" i="51"/>
  <c r="J2896" i="51"/>
  <c r="J2897" i="51"/>
  <c r="J2898" i="51"/>
  <c r="J2899" i="51"/>
  <c r="J2900" i="51"/>
  <c r="J2901" i="51"/>
  <c r="J2902" i="51"/>
  <c r="J2903" i="51"/>
  <c r="J2904" i="51"/>
  <c r="J2905" i="51"/>
  <c r="J2906" i="51"/>
  <c r="J2907" i="51"/>
  <c r="J2908" i="51"/>
  <c r="J2909" i="51"/>
  <c r="J2910" i="51"/>
  <c r="J2911" i="51"/>
  <c r="J2912" i="51"/>
  <c r="J2913" i="51"/>
  <c r="J2914" i="51"/>
  <c r="J2915" i="51"/>
  <c r="J2916" i="51"/>
  <c r="J2917" i="51"/>
  <c r="J2918" i="51"/>
  <c r="J2919" i="51"/>
  <c r="J2920" i="51"/>
  <c r="J2921" i="51"/>
  <c r="J2922" i="51"/>
  <c r="J2923" i="51"/>
  <c r="J2924" i="51"/>
  <c r="J2925" i="51"/>
  <c r="J2926" i="51"/>
  <c r="J2927" i="51"/>
  <c r="J2928" i="51"/>
  <c r="J2929" i="51"/>
  <c r="J2930" i="51"/>
  <c r="J2931" i="51"/>
  <c r="J2932" i="51"/>
  <c r="J2933" i="51"/>
  <c r="J2934" i="51"/>
  <c r="J2935" i="51"/>
  <c r="J2936" i="51"/>
  <c r="J2937" i="51"/>
  <c r="J2938" i="51"/>
  <c r="J2939" i="51"/>
  <c r="J2940" i="51"/>
  <c r="J2941" i="51"/>
  <c r="J2942" i="51"/>
  <c r="J2943" i="51"/>
  <c r="J2944" i="51"/>
  <c r="J2945" i="51"/>
  <c r="J2946" i="51"/>
  <c r="J2947" i="51"/>
  <c r="J2948" i="51"/>
  <c r="J2949" i="51"/>
  <c r="J2950" i="51"/>
  <c r="J2951" i="51"/>
  <c r="J2952" i="51"/>
  <c r="J2953" i="51"/>
  <c r="J2954" i="51"/>
  <c r="J2955" i="51"/>
  <c r="J2956" i="51"/>
  <c r="J2957" i="51"/>
  <c r="J2958" i="51"/>
  <c r="J2959" i="51"/>
  <c r="J2960" i="51"/>
  <c r="J2961" i="51"/>
  <c r="J2962" i="51"/>
  <c r="J2963" i="51"/>
  <c r="J2964" i="51"/>
  <c r="J2965" i="51"/>
  <c r="J2966" i="51"/>
  <c r="J2967" i="51"/>
  <c r="J2968" i="51"/>
  <c r="J2969" i="51"/>
  <c r="J2970" i="51"/>
  <c r="J2971" i="51"/>
  <c r="J2972" i="51"/>
  <c r="J2973" i="51"/>
  <c r="J2974" i="51"/>
  <c r="J2975" i="51"/>
  <c r="J2976" i="51"/>
  <c r="J2977" i="51"/>
  <c r="J2978" i="51"/>
  <c r="J2979" i="51"/>
  <c r="J2980" i="51"/>
  <c r="J2981" i="51"/>
  <c r="J2982" i="51"/>
  <c r="J2983" i="51"/>
  <c r="J2984" i="51"/>
  <c r="J2985" i="51"/>
  <c r="J2986" i="51"/>
  <c r="J2987" i="51"/>
  <c r="J2988" i="51"/>
  <c r="J2989" i="51"/>
  <c r="J2990" i="51"/>
  <c r="J2991" i="51"/>
  <c r="J2992" i="51"/>
  <c r="J2993" i="51"/>
  <c r="J2994" i="51"/>
  <c r="J2995" i="51"/>
  <c r="J2996" i="51"/>
  <c r="J2997" i="51"/>
  <c r="J2998" i="51"/>
  <c r="J2999" i="51"/>
  <c r="J3000" i="51"/>
  <c r="J3001" i="51"/>
  <c r="J3002" i="51"/>
  <c r="J3003" i="51"/>
  <c r="J3004" i="51"/>
  <c r="J3005" i="51"/>
  <c r="J3006" i="51"/>
  <c r="J3007" i="51"/>
  <c r="J3008" i="51"/>
  <c r="J3009" i="51"/>
  <c r="J3010" i="51"/>
  <c r="J3011" i="51"/>
  <c r="J3012" i="51"/>
  <c r="J3013" i="51"/>
  <c r="J3014" i="51"/>
  <c r="J3015" i="51"/>
  <c r="J3016" i="51"/>
  <c r="J3017" i="51"/>
  <c r="J3018" i="51"/>
  <c r="J3019" i="51"/>
  <c r="J3020" i="51"/>
  <c r="J3021" i="51"/>
  <c r="J3022" i="51"/>
  <c r="J3023" i="51"/>
  <c r="J3024" i="51"/>
  <c r="J3025" i="51"/>
  <c r="J3026" i="51"/>
  <c r="J3027" i="51"/>
  <c r="J3028" i="51"/>
  <c r="J3029" i="51"/>
  <c r="J3030" i="51"/>
  <c r="J3031" i="51"/>
  <c r="J3032" i="51"/>
  <c r="J3033" i="51"/>
  <c r="J3034" i="51"/>
  <c r="J3035" i="51"/>
  <c r="J3036" i="51"/>
  <c r="J3037" i="51"/>
  <c r="J3038" i="51"/>
  <c r="J3039" i="51"/>
  <c r="J3040" i="51"/>
  <c r="J3041" i="51"/>
  <c r="J3042" i="51"/>
  <c r="J3043" i="51"/>
  <c r="J3044" i="51"/>
  <c r="J3045" i="51"/>
  <c r="J3046" i="51"/>
  <c r="J3047" i="51"/>
  <c r="J3048" i="51"/>
  <c r="J3049" i="51"/>
  <c r="J3050" i="51"/>
  <c r="J3051" i="51"/>
  <c r="J3052" i="51"/>
  <c r="J3053" i="51"/>
  <c r="J3054" i="51"/>
  <c r="J3055" i="51"/>
  <c r="J3056" i="51"/>
  <c r="J3057" i="51"/>
  <c r="J3058" i="51"/>
  <c r="J3059" i="51"/>
  <c r="J3060" i="51"/>
  <c r="J3061" i="51"/>
  <c r="J3062" i="51"/>
  <c r="J3063" i="51"/>
  <c r="J3064" i="51"/>
  <c r="J3065" i="51"/>
  <c r="J3066" i="51"/>
  <c r="J3067" i="51"/>
  <c r="J3068" i="51"/>
  <c r="J3069" i="51"/>
  <c r="J3070" i="51"/>
  <c r="J3071" i="51"/>
  <c r="J3072" i="51"/>
  <c r="J3073" i="51"/>
  <c r="J3074" i="51"/>
  <c r="J3075" i="51"/>
  <c r="J3076" i="51"/>
  <c r="J3077" i="51"/>
  <c r="J3078" i="51"/>
  <c r="J3079" i="51"/>
  <c r="J3080" i="51"/>
  <c r="J3081" i="51"/>
  <c r="J3082" i="51"/>
  <c r="J3083" i="51"/>
  <c r="J3084" i="51"/>
  <c r="J3085" i="51"/>
  <c r="J3086" i="51"/>
  <c r="J3087" i="51"/>
  <c r="J3088" i="51"/>
  <c r="J3089" i="51"/>
  <c r="J3090" i="51"/>
  <c r="J3091" i="51"/>
  <c r="J3092" i="51"/>
  <c r="J3093" i="51"/>
  <c r="J3094" i="51"/>
  <c r="J3095" i="51"/>
  <c r="J3096" i="51"/>
  <c r="J3097" i="51"/>
  <c r="J3098" i="51"/>
  <c r="J3099" i="51"/>
  <c r="J3100" i="51"/>
  <c r="J3101" i="51"/>
  <c r="J3102" i="51"/>
  <c r="J3103" i="51"/>
  <c r="J3104" i="51"/>
  <c r="J3105" i="51"/>
  <c r="J3106" i="51"/>
  <c r="J3107" i="51"/>
  <c r="J3108" i="51"/>
  <c r="J3109" i="51"/>
  <c r="J3110" i="51"/>
  <c r="J3111" i="51"/>
  <c r="J3112" i="51"/>
  <c r="J3113" i="51"/>
  <c r="J3114" i="51"/>
  <c r="J3115" i="51"/>
  <c r="J3116" i="51"/>
  <c r="J3117" i="51"/>
  <c r="J3118" i="51"/>
  <c r="J3119" i="51"/>
  <c r="J3120" i="51"/>
  <c r="J3121" i="51"/>
  <c r="J3122" i="51"/>
  <c r="J3123" i="51"/>
  <c r="J3124" i="51"/>
  <c r="J3125" i="51"/>
  <c r="J3126" i="51"/>
  <c r="J3127" i="51"/>
  <c r="J3128" i="51"/>
  <c r="J3129" i="51"/>
  <c r="J3130" i="51"/>
  <c r="J3131" i="51"/>
  <c r="J3132" i="51"/>
  <c r="J3133" i="51"/>
  <c r="J3134" i="51"/>
  <c r="J3135" i="51"/>
  <c r="J3136" i="51"/>
  <c r="J3137" i="51"/>
  <c r="J3138" i="51"/>
  <c r="J3139" i="51"/>
  <c r="J3140" i="51"/>
  <c r="J3141" i="51"/>
  <c r="J3142" i="51"/>
  <c r="J3143" i="51"/>
  <c r="J3144" i="51"/>
  <c r="J3145" i="51"/>
  <c r="J3146" i="51"/>
  <c r="J3147" i="51"/>
  <c r="J3148" i="51"/>
  <c r="J3149" i="51"/>
  <c r="J3150" i="51"/>
  <c r="J3151" i="51"/>
  <c r="J3152" i="51"/>
  <c r="J3153" i="51"/>
  <c r="J3154" i="51"/>
  <c r="J3155" i="51"/>
  <c r="J3156" i="51"/>
  <c r="J3157" i="51"/>
  <c r="J3158" i="51"/>
  <c r="J3159" i="51"/>
  <c r="J3160" i="51"/>
  <c r="J3161" i="51"/>
  <c r="J3162" i="51"/>
  <c r="J3163" i="51"/>
  <c r="J3164" i="51"/>
  <c r="J3165" i="51"/>
  <c r="J3166" i="51"/>
  <c r="J3167" i="51"/>
  <c r="J3168" i="51"/>
  <c r="J3169" i="51"/>
  <c r="J3170" i="51"/>
  <c r="J3171" i="51"/>
  <c r="J3172" i="51"/>
  <c r="J3173" i="51"/>
  <c r="J3174" i="51"/>
  <c r="J3175" i="51"/>
  <c r="J3176" i="51"/>
  <c r="J3177" i="51"/>
  <c r="J3178" i="51"/>
  <c r="J3179" i="51"/>
  <c r="J3180" i="51"/>
  <c r="J3181" i="51"/>
  <c r="J3182" i="51"/>
  <c r="J3183" i="51"/>
  <c r="J3184" i="51"/>
  <c r="J3185" i="51"/>
  <c r="J3186" i="51"/>
  <c r="J3187" i="51"/>
  <c r="J3188" i="51"/>
  <c r="J3189" i="51"/>
  <c r="J3190" i="51"/>
  <c r="J3191" i="51"/>
  <c r="J3192" i="51"/>
  <c r="J3193" i="51"/>
  <c r="J3194" i="51"/>
  <c r="J3195" i="51"/>
  <c r="J3196" i="51"/>
  <c r="J3197" i="51"/>
  <c r="J3198" i="51"/>
  <c r="J3199" i="51"/>
  <c r="J3200" i="51"/>
  <c r="J3201" i="51"/>
  <c r="J3202" i="51"/>
  <c r="J3203" i="51"/>
  <c r="J3204" i="51"/>
  <c r="J3205" i="51"/>
  <c r="J3206" i="51"/>
  <c r="J3207" i="51"/>
  <c r="J3208" i="51"/>
  <c r="J3209" i="51"/>
  <c r="J3210" i="51"/>
  <c r="J3211" i="51"/>
  <c r="J3212" i="51"/>
  <c r="J3213" i="51"/>
  <c r="J3214" i="51"/>
  <c r="J3215" i="51"/>
  <c r="J3216" i="51"/>
  <c r="J3217" i="51"/>
  <c r="J3218" i="51"/>
  <c r="J3219" i="51"/>
  <c r="J3220" i="51"/>
  <c r="J3221" i="51"/>
  <c r="J3222" i="51"/>
  <c r="J3223" i="51"/>
  <c r="J3224" i="51"/>
  <c r="J3225" i="51"/>
  <c r="J3226" i="51"/>
  <c r="J3227" i="51"/>
  <c r="J3228" i="51"/>
  <c r="J3229" i="51"/>
  <c r="J3230" i="51"/>
  <c r="J3231" i="51"/>
  <c r="J3232" i="51"/>
  <c r="J3233" i="51"/>
  <c r="J3234" i="51"/>
  <c r="J3235" i="51"/>
  <c r="J3236" i="51"/>
  <c r="J3237" i="51"/>
  <c r="J3238" i="51"/>
  <c r="J3239" i="51"/>
  <c r="J3240" i="51"/>
  <c r="J3241" i="51"/>
  <c r="J3242" i="51"/>
  <c r="J3243" i="51"/>
  <c r="J3244" i="51"/>
  <c r="J3245" i="51"/>
  <c r="J3246" i="51"/>
  <c r="J3247" i="51"/>
  <c r="J3248" i="51"/>
  <c r="J3249" i="51"/>
  <c r="J3250" i="51"/>
  <c r="J3251" i="51"/>
  <c r="J3252" i="51"/>
  <c r="J3253" i="51"/>
  <c r="J3254" i="51"/>
  <c r="J3255" i="51"/>
  <c r="J3256" i="51"/>
  <c r="J3257" i="51"/>
  <c r="J3258" i="51"/>
  <c r="J3259" i="51"/>
  <c r="J3260" i="51"/>
  <c r="J3261" i="51"/>
  <c r="J3262" i="51"/>
  <c r="J3263" i="51"/>
  <c r="J3264" i="51"/>
  <c r="J3265" i="51"/>
  <c r="J3266" i="51"/>
  <c r="J3267" i="51"/>
  <c r="J3268" i="51"/>
  <c r="J3269" i="51"/>
  <c r="J3270" i="51"/>
  <c r="J3271" i="51"/>
  <c r="J3272" i="51"/>
  <c r="J3273" i="51"/>
  <c r="J3274" i="51"/>
  <c r="J3275" i="51"/>
  <c r="J3276" i="51"/>
  <c r="J3277" i="51"/>
  <c r="J3278" i="51"/>
  <c r="J3279" i="51"/>
  <c r="J3280" i="51"/>
  <c r="J3281" i="51"/>
  <c r="J3282" i="51"/>
  <c r="J3283" i="51"/>
  <c r="J3284" i="51"/>
  <c r="J3285" i="51"/>
  <c r="J3286" i="51"/>
  <c r="J3287" i="51"/>
  <c r="J3288" i="51"/>
  <c r="J3289" i="51"/>
  <c r="J3290" i="51"/>
  <c r="J3291" i="51"/>
  <c r="J3292" i="51"/>
  <c r="J3293" i="51"/>
  <c r="J3294" i="51"/>
  <c r="J3295" i="51"/>
  <c r="J3296" i="51"/>
  <c r="J3297" i="51"/>
  <c r="J3298" i="51"/>
  <c r="J3299" i="51"/>
  <c r="J3300" i="51"/>
  <c r="J3301" i="51"/>
  <c r="J3302" i="51"/>
  <c r="J3303" i="51"/>
  <c r="J3304" i="51"/>
  <c r="J3305" i="51"/>
  <c r="J3306" i="51"/>
  <c r="J3307" i="51"/>
  <c r="J3308" i="51"/>
  <c r="J3309" i="51"/>
  <c r="J3310" i="51"/>
  <c r="J3311" i="51"/>
  <c r="J3312" i="51"/>
  <c r="J3313" i="51"/>
  <c r="J3314" i="51"/>
  <c r="J3315" i="51"/>
  <c r="J3316" i="51"/>
  <c r="J3317" i="51"/>
  <c r="J3318" i="51"/>
  <c r="J3319" i="51"/>
  <c r="J3320" i="51"/>
  <c r="J3321" i="51"/>
  <c r="J3322" i="51"/>
  <c r="J3323" i="51"/>
  <c r="J3324" i="51"/>
  <c r="J3325" i="51"/>
  <c r="J3326" i="51"/>
  <c r="J3327" i="51"/>
  <c r="J3328" i="51"/>
  <c r="J3329" i="51"/>
  <c r="J3330" i="51"/>
  <c r="J3331" i="51"/>
  <c r="J3332" i="51"/>
  <c r="J3333" i="51"/>
  <c r="J3334" i="51"/>
  <c r="J3335" i="51"/>
  <c r="J3336" i="51"/>
  <c r="J3337" i="51"/>
  <c r="J3338" i="51"/>
  <c r="J3339" i="51"/>
  <c r="J3340" i="51"/>
  <c r="J3341" i="51"/>
  <c r="J3342" i="51"/>
  <c r="J3343" i="51"/>
  <c r="J3344" i="51"/>
  <c r="J3345" i="51"/>
  <c r="J3346" i="51"/>
  <c r="J3347" i="51"/>
  <c r="J3348" i="51"/>
  <c r="J3349" i="51"/>
  <c r="J3350" i="51"/>
  <c r="J3351" i="51"/>
  <c r="J3352" i="51"/>
  <c r="J3353" i="51"/>
  <c r="J3354" i="51"/>
  <c r="J3355" i="51"/>
  <c r="J3356" i="51"/>
  <c r="J3357" i="51"/>
  <c r="J3358" i="51"/>
  <c r="J3359" i="51"/>
  <c r="J3360" i="51"/>
  <c r="J3361" i="51"/>
  <c r="J3362" i="51"/>
  <c r="J3363" i="51"/>
  <c r="J3364" i="51"/>
  <c r="J3365" i="51"/>
  <c r="J3366" i="51"/>
  <c r="J3367" i="51"/>
  <c r="J3368" i="51"/>
  <c r="J3369" i="51"/>
  <c r="J3370" i="51"/>
  <c r="J3371" i="51"/>
  <c r="J3372" i="51"/>
  <c r="J3373" i="51"/>
  <c r="J3374" i="51"/>
  <c r="J3375" i="51"/>
  <c r="J3376" i="51"/>
  <c r="J3377" i="51"/>
  <c r="J3378" i="51"/>
  <c r="J3379" i="51"/>
  <c r="J3380" i="51"/>
  <c r="J3381" i="51"/>
  <c r="J3382" i="51"/>
  <c r="J3383" i="51"/>
  <c r="J3384" i="51"/>
  <c r="J3385" i="51"/>
  <c r="J3386" i="51"/>
  <c r="J3387" i="51"/>
  <c r="J3388" i="51"/>
  <c r="J3389" i="51"/>
  <c r="J3390" i="51"/>
  <c r="J3391" i="51"/>
  <c r="J3392" i="51"/>
  <c r="J3393" i="51"/>
  <c r="J3394" i="51"/>
  <c r="J3395" i="51"/>
  <c r="J3396" i="51"/>
  <c r="J3397" i="51"/>
  <c r="J3398" i="51"/>
  <c r="J3399" i="51"/>
  <c r="J3400" i="51"/>
  <c r="J3401" i="51"/>
  <c r="J3402" i="51"/>
  <c r="J3403" i="51"/>
  <c r="J3404" i="51"/>
  <c r="J3405" i="51"/>
  <c r="J3406" i="51"/>
  <c r="J3407" i="51"/>
  <c r="J3408" i="51"/>
  <c r="J3409" i="51"/>
  <c r="J3410" i="51"/>
  <c r="J3411" i="51"/>
  <c r="J3412" i="51"/>
  <c r="J3413" i="51"/>
  <c r="J3414" i="51"/>
  <c r="J3415" i="51"/>
  <c r="J3416" i="51"/>
  <c r="J3417" i="51"/>
  <c r="J3418" i="51"/>
  <c r="J3419" i="51"/>
  <c r="J3420" i="51"/>
  <c r="J3421" i="51"/>
  <c r="J3422" i="51"/>
  <c r="J3423" i="51"/>
  <c r="J3424" i="51"/>
  <c r="J3425" i="51"/>
  <c r="J3426" i="51"/>
  <c r="J3427" i="51"/>
  <c r="J3428" i="51"/>
  <c r="J3429" i="51"/>
  <c r="J3430" i="51"/>
  <c r="J3431" i="51"/>
  <c r="J3432" i="51"/>
  <c r="J3433" i="51"/>
  <c r="J3434" i="51"/>
  <c r="J3435" i="51"/>
  <c r="J3436" i="51"/>
  <c r="J3437" i="51"/>
  <c r="J3438" i="51"/>
  <c r="J3439" i="51"/>
  <c r="J3440" i="51"/>
  <c r="J3441" i="51"/>
  <c r="J3442" i="51"/>
  <c r="J3443" i="51"/>
  <c r="J3444" i="51"/>
  <c r="J3445" i="51"/>
  <c r="J3446" i="51"/>
  <c r="J3447" i="51"/>
  <c r="J3448" i="51"/>
  <c r="J3449" i="51"/>
  <c r="J3450" i="51"/>
  <c r="J3451" i="51"/>
  <c r="J3452" i="51"/>
  <c r="J3453" i="51"/>
  <c r="J3454" i="51"/>
  <c r="J3455" i="51"/>
  <c r="J3456" i="51"/>
  <c r="J3457" i="51"/>
  <c r="J3458" i="51"/>
  <c r="J3459" i="51"/>
  <c r="J3460" i="51"/>
  <c r="J3461" i="51"/>
  <c r="J3462" i="51"/>
  <c r="J3463" i="51"/>
  <c r="J3464" i="51"/>
  <c r="J3465" i="51"/>
  <c r="J3466" i="51"/>
  <c r="J3467" i="51"/>
  <c r="J3468" i="51"/>
  <c r="J3469" i="51"/>
  <c r="J3470" i="51"/>
  <c r="J3471" i="51"/>
  <c r="J3472" i="51"/>
  <c r="J3473" i="51"/>
  <c r="J3474" i="51"/>
  <c r="J3475" i="51"/>
  <c r="J3476" i="51"/>
  <c r="J3477" i="51"/>
  <c r="J3478" i="51"/>
  <c r="J3479" i="51"/>
  <c r="J3480" i="51"/>
  <c r="J3481" i="51"/>
  <c r="J3482" i="51"/>
  <c r="J3483" i="51"/>
  <c r="J3484" i="51"/>
  <c r="J3485" i="51"/>
  <c r="J3486" i="51"/>
  <c r="J3487" i="51"/>
  <c r="J3488" i="51"/>
  <c r="J3489" i="51"/>
  <c r="J3490" i="51"/>
  <c r="J3491" i="51"/>
  <c r="J3492" i="51"/>
  <c r="J3493" i="51"/>
  <c r="J3494" i="51"/>
  <c r="J3495" i="51"/>
  <c r="J3496" i="51"/>
  <c r="J3497" i="51"/>
  <c r="J3498" i="51"/>
  <c r="J3499" i="51"/>
  <c r="J3500" i="51"/>
  <c r="J3501" i="51"/>
  <c r="J3502" i="51"/>
  <c r="J3503" i="51"/>
  <c r="J3504" i="51"/>
  <c r="J3505" i="51"/>
  <c r="J3506" i="51"/>
  <c r="J3507" i="51"/>
  <c r="J3508" i="51"/>
  <c r="J3509" i="51"/>
  <c r="J3510" i="51"/>
  <c r="J3511" i="51"/>
  <c r="J3512" i="51"/>
  <c r="J3513" i="51"/>
  <c r="J3514" i="51"/>
  <c r="J3515" i="51"/>
  <c r="J3516" i="51"/>
  <c r="J3517" i="51"/>
  <c r="J3518" i="51"/>
  <c r="J3519" i="51"/>
  <c r="J3520" i="51"/>
  <c r="J3521" i="51"/>
  <c r="J3522" i="51"/>
  <c r="J3523" i="51"/>
  <c r="J3524" i="51"/>
  <c r="J3525" i="51"/>
  <c r="J3526" i="51"/>
  <c r="J3527" i="51"/>
  <c r="J3528" i="51"/>
  <c r="J3529" i="51"/>
  <c r="J3530" i="51"/>
  <c r="J3531" i="51"/>
  <c r="J3532" i="51"/>
  <c r="J3533" i="51"/>
  <c r="J3534" i="51"/>
  <c r="J3535" i="51"/>
  <c r="J3536" i="51"/>
  <c r="J3537" i="51"/>
  <c r="J3538" i="51"/>
  <c r="J3539" i="51"/>
  <c r="J3540" i="51"/>
  <c r="J3541" i="51"/>
  <c r="J3542" i="51"/>
  <c r="J3543" i="51"/>
  <c r="J3544" i="51"/>
  <c r="J3545" i="51"/>
  <c r="J3546" i="51"/>
  <c r="J3547" i="51"/>
  <c r="J3548" i="51"/>
  <c r="J3549" i="51"/>
  <c r="J3550" i="51"/>
  <c r="J3551" i="51"/>
  <c r="J3552" i="51"/>
  <c r="J3553" i="51"/>
  <c r="J3554" i="51"/>
  <c r="J3555" i="51"/>
  <c r="J3556" i="51"/>
  <c r="J3557" i="51"/>
  <c r="J3558" i="51"/>
  <c r="J3559" i="51"/>
  <c r="J3560" i="51"/>
  <c r="J3561" i="51"/>
  <c r="J3562" i="51"/>
  <c r="J3563" i="51"/>
  <c r="J3564" i="51"/>
  <c r="J3565" i="51"/>
  <c r="J3566" i="51"/>
  <c r="J3567" i="51"/>
  <c r="J3568" i="51"/>
  <c r="J3569" i="51"/>
  <c r="J3570" i="51"/>
  <c r="J3571" i="51"/>
  <c r="J3572" i="51"/>
  <c r="J3573" i="51"/>
  <c r="J3574" i="51"/>
  <c r="J3575" i="51"/>
  <c r="J3576" i="51"/>
  <c r="J3577" i="51"/>
  <c r="J3578" i="51"/>
  <c r="J3579" i="51"/>
  <c r="J3580" i="51"/>
  <c r="J3581" i="51"/>
  <c r="J3582" i="51"/>
  <c r="J3583" i="51"/>
  <c r="J3584" i="51"/>
  <c r="J3585" i="51"/>
  <c r="J3586" i="51"/>
  <c r="J3587" i="51"/>
  <c r="J3588" i="51"/>
  <c r="J3589" i="51"/>
  <c r="J3590" i="51"/>
  <c r="J3591" i="51"/>
  <c r="J3592" i="51"/>
  <c r="J3593" i="51"/>
  <c r="J3594" i="51"/>
  <c r="J3595" i="51"/>
  <c r="J3596" i="51"/>
  <c r="J3597" i="51"/>
  <c r="J3598" i="51"/>
  <c r="J3599" i="51"/>
  <c r="J3600" i="51"/>
  <c r="J3601" i="51"/>
  <c r="J3602" i="51"/>
  <c r="J3603" i="51"/>
  <c r="J3604" i="51"/>
  <c r="J3605" i="51"/>
  <c r="J3606" i="51"/>
  <c r="J3607" i="51"/>
  <c r="J3608" i="51"/>
  <c r="J3609" i="51"/>
  <c r="J3610" i="51"/>
  <c r="J3611" i="51"/>
  <c r="J3612" i="51"/>
  <c r="J3613" i="51"/>
  <c r="J3614" i="51"/>
  <c r="J3615" i="51"/>
  <c r="J3616" i="51"/>
  <c r="J3617" i="51"/>
  <c r="J3618" i="51"/>
  <c r="J3619" i="51"/>
  <c r="J3620" i="51"/>
  <c r="J3621" i="51"/>
  <c r="J3622" i="51"/>
  <c r="J3623" i="51"/>
  <c r="J3624" i="51"/>
  <c r="J3625" i="51"/>
  <c r="J3626" i="51"/>
  <c r="J3627" i="51"/>
  <c r="J3628" i="51"/>
  <c r="J3629" i="51"/>
  <c r="J3630" i="51"/>
  <c r="J3631" i="51"/>
  <c r="J3632" i="51"/>
  <c r="J3633" i="51"/>
  <c r="J3634" i="51"/>
  <c r="J3635" i="51"/>
  <c r="J3636" i="51"/>
  <c r="J3637" i="51"/>
  <c r="J3638" i="51"/>
  <c r="J3639" i="51"/>
  <c r="J3640" i="51"/>
  <c r="J3641" i="51"/>
  <c r="J3642" i="51"/>
  <c r="J3643" i="51"/>
  <c r="J3644" i="51"/>
  <c r="J3645" i="51"/>
  <c r="J3646" i="51"/>
  <c r="J3647" i="51"/>
  <c r="J3648" i="51"/>
  <c r="J3649" i="51"/>
  <c r="J3650" i="51"/>
  <c r="J3651" i="51"/>
  <c r="J3652" i="51"/>
  <c r="J3653" i="51"/>
  <c r="J3654" i="51"/>
  <c r="J3655" i="51"/>
  <c r="J3656" i="51"/>
  <c r="J3657" i="51"/>
  <c r="J3658" i="51"/>
  <c r="J3659" i="51"/>
  <c r="J3660" i="51"/>
  <c r="J3661" i="51"/>
  <c r="J3662" i="51"/>
  <c r="J3663" i="51"/>
  <c r="J3664" i="51"/>
  <c r="J3665" i="51"/>
  <c r="J3666" i="51"/>
  <c r="J3667" i="51"/>
  <c r="J3668" i="51"/>
  <c r="J3669" i="51"/>
  <c r="J3670" i="51"/>
  <c r="J3671" i="51"/>
  <c r="J3672" i="51"/>
  <c r="J3673" i="51"/>
  <c r="J3674" i="51"/>
  <c r="J3675" i="51"/>
  <c r="J3676" i="51"/>
  <c r="J3677" i="51"/>
  <c r="J3678" i="51"/>
  <c r="J3679" i="51"/>
  <c r="J3680" i="51"/>
  <c r="J3681" i="51"/>
  <c r="J3682" i="51"/>
  <c r="J3683" i="51"/>
  <c r="J3684" i="51"/>
  <c r="J3685" i="51"/>
  <c r="J3686" i="51"/>
  <c r="J3687" i="51"/>
  <c r="J3688" i="51"/>
  <c r="J3689" i="51"/>
  <c r="J3690" i="51"/>
  <c r="J3691" i="51"/>
  <c r="J3692" i="51"/>
  <c r="J3693" i="51"/>
  <c r="J3694" i="51"/>
  <c r="J3695" i="51"/>
  <c r="J3696" i="51"/>
  <c r="J3697" i="51"/>
  <c r="J3698" i="51"/>
  <c r="J3699" i="51"/>
  <c r="J3700" i="51"/>
  <c r="J3701" i="51"/>
  <c r="J3702" i="51"/>
  <c r="J3703" i="51"/>
  <c r="J3704" i="51"/>
  <c r="J3705" i="51"/>
  <c r="J3706" i="51"/>
  <c r="J3707" i="51"/>
  <c r="J3708" i="51"/>
  <c r="J3709" i="51"/>
  <c r="J3710" i="51"/>
  <c r="J3711" i="51"/>
  <c r="J3712" i="51"/>
  <c r="J3713" i="51"/>
  <c r="J3714" i="51"/>
  <c r="J3715" i="51"/>
  <c r="J3716" i="51"/>
  <c r="J3717" i="51"/>
  <c r="J3718" i="51"/>
  <c r="J3719" i="51"/>
  <c r="J3720" i="51"/>
  <c r="J3721" i="51"/>
  <c r="J3722" i="51"/>
  <c r="J3723" i="51"/>
  <c r="J3724" i="51"/>
  <c r="J3725" i="51"/>
  <c r="J3726" i="51"/>
  <c r="J3727" i="51"/>
  <c r="J3728" i="51"/>
  <c r="J3729" i="51"/>
  <c r="J3730" i="51"/>
  <c r="J3731" i="51"/>
  <c r="J3732" i="51"/>
  <c r="J3733" i="51"/>
  <c r="J3734" i="51"/>
  <c r="J3735" i="51"/>
  <c r="J3736" i="51"/>
  <c r="J3737" i="51"/>
  <c r="J3738" i="51"/>
  <c r="J3739" i="51"/>
  <c r="J3740" i="51"/>
  <c r="J3741" i="51"/>
  <c r="J3742" i="51"/>
  <c r="J3743" i="51"/>
  <c r="J3744" i="51"/>
  <c r="J3745" i="51"/>
  <c r="J3746" i="51"/>
  <c r="J3747" i="51"/>
  <c r="J3748" i="51"/>
  <c r="J3749" i="51"/>
  <c r="J3750" i="51"/>
  <c r="J3751" i="51"/>
  <c r="J3752" i="51"/>
  <c r="J3753" i="51"/>
  <c r="J3754" i="51"/>
  <c r="J3755" i="51"/>
  <c r="J3756" i="51"/>
  <c r="J3757" i="51"/>
  <c r="J3758" i="51"/>
  <c r="J3759" i="51"/>
  <c r="J3760" i="51"/>
  <c r="J3761" i="51"/>
  <c r="J3762" i="51"/>
  <c r="J3763" i="51"/>
  <c r="J3764" i="51"/>
  <c r="J3765" i="51"/>
  <c r="J3766" i="51"/>
  <c r="J3767" i="51"/>
  <c r="J3768" i="51"/>
  <c r="J3769" i="51"/>
  <c r="J3770" i="51"/>
  <c r="J3771" i="51"/>
  <c r="J3772" i="51"/>
  <c r="J3773" i="51"/>
  <c r="J3774" i="51"/>
  <c r="J3775" i="51"/>
  <c r="J3776" i="51"/>
  <c r="J3777" i="51"/>
  <c r="J3778" i="51"/>
  <c r="J3779" i="51"/>
  <c r="J3780" i="51"/>
  <c r="J3781" i="51"/>
  <c r="J3782" i="51"/>
  <c r="J3783" i="51"/>
  <c r="J3784" i="51"/>
  <c r="J3785" i="51"/>
  <c r="J3786" i="51"/>
  <c r="J3787" i="51"/>
  <c r="J3788" i="51"/>
  <c r="J3789" i="51"/>
  <c r="J3790" i="51"/>
  <c r="J3791" i="51"/>
  <c r="J3792" i="51"/>
  <c r="J3793" i="51"/>
  <c r="J3794" i="51"/>
  <c r="J3795" i="51"/>
  <c r="J3796" i="51"/>
  <c r="J3797" i="51"/>
  <c r="J3798" i="51"/>
  <c r="J3799" i="51"/>
  <c r="J3800" i="51"/>
  <c r="J3801" i="51"/>
  <c r="J3802" i="51"/>
  <c r="J3803" i="51"/>
  <c r="J3804" i="51"/>
  <c r="J3805" i="51"/>
  <c r="J3806" i="51"/>
  <c r="J3807" i="51"/>
  <c r="J3808" i="51"/>
  <c r="J3809" i="51"/>
  <c r="J3810" i="51"/>
  <c r="J3811" i="51"/>
  <c r="J3812" i="51"/>
  <c r="J3813" i="51"/>
  <c r="J3814" i="51"/>
  <c r="J3815" i="51"/>
  <c r="J3816" i="51"/>
  <c r="J3817" i="51"/>
  <c r="J3818" i="51"/>
  <c r="J3819" i="51"/>
  <c r="J3820" i="51"/>
  <c r="J3821" i="51"/>
  <c r="J3822" i="51"/>
  <c r="J3823" i="51"/>
  <c r="J3824" i="51"/>
  <c r="J3825" i="51"/>
  <c r="J3826" i="51"/>
  <c r="J3827" i="51"/>
  <c r="J3828" i="51"/>
  <c r="J3829" i="51"/>
  <c r="J3830" i="51"/>
  <c r="J3831" i="51"/>
  <c r="J3832" i="51"/>
  <c r="J3833" i="51"/>
  <c r="J3834" i="51"/>
  <c r="J3835" i="51"/>
  <c r="J3836" i="51"/>
  <c r="J3837" i="51"/>
  <c r="J3838" i="51"/>
  <c r="J3839" i="51"/>
  <c r="J3840" i="51"/>
  <c r="J3841" i="51"/>
  <c r="J3842" i="51"/>
  <c r="J3843" i="51"/>
  <c r="J3844" i="51"/>
  <c r="J3845" i="51"/>
  <c r="J3846" i="51"/>
  <c r="J3847" i="51"/>
  <c r="J3848" i="51"/>
  <c r="J3849" i="51"/>
  <c r="J3850" i="51"/>
  <c r="J3851" i="51"/>
  <c r="J3852" i="51"/>
  <c r="J3853" i="51"/>
  <c r="J3854" i="51"/>
  <c r="J3855" i="51"/>
  <c r="J3856" i="51"/>
  <c r="J3857" i="51"/>
  <c r="J3858" i="51"/>
  <c r="J3859" i="51"/>
  <c r="J3860" i="51"/>
  <c r="J3861" i="51"/>
  <c r="J3862" i="51"/>
  <c r="J3863" i="51"/>
  <c r="J3864" i="51"/>
  <c r="J3865" i="51"/>
  <c r="J3866" i="51"/>
  <c r="J3867" i="51"/>
  <c r="J3868" i="51"/>
  <c r="J3869" i="51"/>
  <c r="J3870" i="51"/>
  <c r="J3871" i="51"/>
  <c r="J3872" i="51"/>
  <c r="J3873" i="51"/>
  <c r="J3874" i="51"/>
  <c r="J3875" i="51"/>
  <c r="J3876" i="51"/>
  <c r="J3877" i="51"/>
  <c r="J3878" i="51"/>
  <c r="J3879" i="51"/>
  <c r="J3880" i="51"/>
  <c r="J3881" i="51"/>
  <c r="J3882" i="51"/>
  <c r="J3883" i="51"/>
  <c r="J3884" i="51"/>
  <c r="J3885" i="51"/>
  <c r="J3886" i="51"/>
  <c r="J3887" i="51"/>
  <c r="J3888" i="51"/>
  <c r="J3889" i="51"/>
  <c r="J3890" i="51"/>
  <c r="J3891" i="51"/>
  <c r="J3892" i="51"/>
  <c r="J3893" i="51"/>
  <c r="J3894" i="51"/>
  <c r="J3895" i="51"/>
  <c r="J3896" i="51"/>
  <c r="J3897" i="51"/>
  <c r="J3898" i="51"/>
  <c r="J3899" i="51"/>
  <c r="J3900" i="51"/>
  <c r="J3901" i="51"/>
  <c r="J3902" i="51"/>
  <c r="J3903" i="51"/>
  <c r="J3904" i="51"/>
  <c r="J3905" i="51"/>
  <c r="J3906" i="51"/>
  <c r="J3907" i="51"/>
  <c r="J3908" i="51"/>
  <c r="J3909" i="51"/>
  <c r="J3910" i="51"/>
  <c r="J3911" i="51"/>
  <c r="J3912" i="51"/>
  <c r="J3913" i="51"/>
  <c r="J3914" i="51"/>
  <c r="J3915" i="51"/>
  <c r="J3916" i="51"/>
  <c r="J3917" i="51"/>
  <c r="J3918" i="51"/>
  <c r="J3919" i="51"/>
  <c r="J3920" i="51"/>
  <c r="J3921" i="51"/>
  <c r="J3922" i="51"/>
  <c r="J3923" i="51"/>
  <c r="J3924" i="51"/>
  <c r="J3925" i="51"/>
  <c r="J3926" i="51"/>
  <c r="J3927" i="51"/>
  <c r="J3928" i="51"/>
  <c r="J3929" i="51"/>
  <c r="J3930" i="51"/>
  <c r="J3931" i="51"/>
  <c r="J3932" i="51"/>
  <c r="J3933" i="51"/>
  <c r="J3934" i="51"/>
  <c r="J3935" i="51"/>
  <c r="J3936" i="51"/>
  <c r="J3937" i="51"/>
  <c r="J3938" i="51"/>
  <c r="J3939" i="51"/>
  <c r="J3940" i="51"/>
  <c r="J3941" i="51"/>
  <c r="J3942" i="51"/>
  <c r="J3943" i="51"/>
  <c r="J3944" i="51"/>
  <c r="J3945" i="51"/>
  <c r="J3946" i="51"/>
  <c r="J3947" i="51"/>
  <c r="J3948" i="51"/>
  <c r="J3949" i="51"/>
  <c r="J3950" i="51"/>
  <c r="J3951" i="51"/>
  <c r="J3952" i="51"/>
  <c r="J3953" i="51"/>
  <c r="J3954" i="51"/>
  <c r="J3955" i="51"/>
  <c r="J3956" i="51"/>
  <c r="J3957" i="51"/>
  <c r="J3958" i="51"/>
  <c r="J3959" i="51"/>
  <c r="J3960" i="51"/>
  <c r="J3961" i="51"/>
  <c r="J3962" i="51"/>
  <c r="J3963" i="51"/>
  <c r="J3964" i="51"/>
  <c r="J3965" i="51"/>
  <c r="J3966" i="51"/>
  <c r="J3967" i="51"/>
  <c r="J3968" i="51"/>
  <c r="J3969" i="51"/>
  <c r="J3970" i="51"/>
  <c r="J3971" i="51"/>
  <c r="J3972" i="51"/>
  <c r="J3973" i="51"/>
  <c r="J3974" i="51"/>
  <c r="J3975" i="51"/>
  <c r="J3976" i="51"/>
  <c r="J3977" i="51"/>
  <c r="J3978" i="51"/>
  <c r="J3979" i="51"/>
  <c r="J3980" i="51"/>
  <c r="J3981" i="51"/>
  <c r="J3982" i="51"/>
  <c r="J3983" i="51"/>
  <c r="J3984" i="51"/>
  <c r="J3985" i="51"/>
  <c r="J3986" i="51"/>
  <c r="J3987" i="51"/>
  <c r="J3988" i="51"/>
  <c r="J3989" i="51"/>
  <c r="J3990" i="51"/>
  <c r="J3991" i="51"/>
  <c r="J3992" i="51"/>
  <c r="J3993" i="51"/>
  <c r="J3994" i="51"/>
  <c r="J3995" i="51"/>
  <c r="J3996" i="51"/>
  <c r="J3997" i="51"/>
  <c r="J3998" i="51"/>
  <c r="J3999" i="51"/>
  <c r="J4000" i="51"/>
  <c r="J4001" i="51"/>
  <c r="J4002" i="51"/>
  <c r="J4003" i="51"/>
  <c r="J4004" i="51"/>
  <c r="J4005" i="51"/>
  <c r="J4006" i="51"/>
  <c r="J4007" i="51"/>
  <c r="J4008" i="51"/>
  <c r="J4009" i="51"/>
  <c r="J4010" i="51"/>
  <c r="J4011" i="51"/>
  <c r="J4012" i="51"/>
  <c r="J4013" i="51"/>
  <c r="J4014" i="51"/>
  <c r="J4015" i="51"/>
  <c r="J4016" i="51"/>
  <c r="J4017" i="51"/>
  <c r="J4018" i="51"/>
  <c r="J4019" i="51"/>
  <c r="J4020" i="51"/>
  <c r="J4021" i="51"/>
  <c r="J4022" i="51"/>
  <c r="J4023" i="51"/>
  <c r="J4024" i="51"/>
  <c r="J4025" i="51"/>
  <c r="J4026" i="51"/>
  <c r="J4027" i="51"/>
  <c r="J4028" i="51"/>
  <c r="J4029" i="51"/>
  <c r="J4030" i="51"/>
  <c r="J4031" i="51"/>
  <c r="J4032" i="51"/>
  <c r="J4033" i="51"/>
  <c r="J4034" i="51"/>
  <c r="J4035" i="51"/>
  <c r="J4036" i="51"/>
  <c r="J4037" i="51"/>
  <c r="J4038" i="51"/>
  <c r="J4039" i="51"/>
  <c r="J4040" i="51"/>
  <c r="J4041" i="51"/>
  <c r="J4042" i="51"/>
  <c r="J4043" i="51"/>
  <c r="J4044" i="51"/>
  <c r="J4045" i="51"/>
  <c r="J4046" i="51"/>
  <c r="J4047" i="51"/>
  <c r="J4048" i="51"/>
  <c r="J4049" i="51"/>
  <c r="J4050" i="51"/>
  <c r="J4051" i="51"/>
  <c r="J4052" i="51"/>
  <c r="J4053" i="51"/>
  <c r="J4054" i="51"/>
  <c r="J4055" i="51"/>
  <c r="J4056" i="51"/>
  <c r="J4057" i="51"/>
  <c r="J4058" i="51"/>
  <c r="J4059" i="51"/>
  <c r="J4060" i="51"/>
  <c r="J4061" i="51"/>
  <c r="J4062" i="51"/>
  <c r="J4063" i="51"/>
  <c r="J4064" i="51"/>
  <c r="J4065" i="51"/>
  <c r="J4066" i="51"/>
  <c r="J4067" i="51"/>
  <c r="J4068" i="51"/>
  <c r="J4069" i="51"/>
  <c r="J4070" i="51"/>
  <c r="J4071" i="51"/>
  <c r="J4072" i="51"/>
  <c r="J4073" i="51"/>
  <c r="J4074" i="51"/>
  <c r="J4075" i="51"/>
  <c r="J4076" i="51"/>
  <c r="J4077" i="51"/>
  <c r="J4078" i="51"/>
  <c r="J4079" i="51"/>
  <c r="J4080" i="51"/>
  <c r="J4081" i="51"/>
  <c r="J4082" i="51"/>
  <c r="J4083" i="51"/>
  <c r="J4084" i="51"/>
  <c r="J4085" i="51"/>
  <c r="J4086" i="51"/>
  <c r="J4087" i="51"/>
  <c r="J4088" i="51"/>
  <c r="J4089" i="51"/>
  <c r="J4090" i="51"/>
  <c r="J4091" i="51"/>
  <c r="J4092" i="51"/>
  <c r="J4093" i="51"/>
  <c r="J4094" i="51"/>
  <c r="J4095" i="51"/>
  <c r="J4096" i="51"/>
  <c r="J4097" i="51"/>
  <c r="J4098" i="51"/>
  <c r="J4099" i="51"/>
  <c r="J4100" i="51"/>
  <c r="J4101" i="51"/>
  <c r="J4102" i="51"/>
  <c r="J4103" i="51"/>
  <c r="J4104" i="51"/>
  <c r="J4105" i="51"/>
  <c r="J4106" i="51"/>
  <c r="J4107" i="51"/>
  <c r="J4108" i="51"/>
  <c r="J4109" i="51"/>
  <c r="J4110" i="51"/>
  <c r="J4111" i="51"/>
  <c r="J4112" i="51"/>
  <c r="J4113" i="51"/>
  <c r="J4114" i="51"/>
  <c r="J4115" i="51"/>
  <c r="J4116" i="51"/>
  <c r="J4117" i="51"/>
  <c r="J4118" i="51"/>
  <c r="J4119" i="51"/>
  <c r="J4120" i="51"/>
  <c r="J4121" i="51"/>
  <c r="J4122" i="51"/>
  <c r="J4123" i="51"/>
  <c r="J4124" i="51"/>
  <c r="J4125" i="51"/>
  <c r="J4126" i="51"/>
  <c r="J4127" i="51"/>
  <c r="J4128" i="51"/>
  <c r="J4129" i="51"/>
  <c r="J4130" i="51"/>
  <c r="J4131" i="51"/>
  <c r="J4132" i="51"/>
  <c r="J4133" i="51"/>
  <c r="J4134" i="51"/>
  <c r="J4135" i="51"/>
  <c r="J4136" i="51"/>
  <c r="J4137" i="51"/>
  <c r="J4138" i="51"/>
  <c r="J4139" i="51"/>
  <c r="J4140" i="51"/>
  <c r="J4141" i="51"/>
  <c r="J4142" i="51"/>
  <c r="J4143" i="51"/>
  <c r="J4144" i="51"/>
  <c r="J4145" i="51"/>
  <c r="J4146" i="51"/>
  <c r="J4147" i="51"/>
  <c r="J4148" i="51"/>
  <c r="J4149" i="51"/>
  <c r="J4150" i="51"/>
  <c r="J4151" i="51"/>
  <c r="J4152" i="51"/>
  <c r="J4153" i="51"/>
  <c r="J4154" i="51"/>
  <c r="J4155" i="51"/>
  <c r="J4156" i="51"/>
  <c r="J4157" i="51"/>
  <c r="J4158" i="51"/>
  <c r="J4159" i="51"/>
  <c r="J4160" i="51"/>
  <c r="J4161" i="51"/>
  <c r="J4162" i="51"/>
  <c r="J4163" i="51"/>
  <c r="J4164" i="51"/>
  <c r="J4165" i="51"/>
  <c r="J4166" i="51"/>
  <c r="J4167" i="51"/>
  <c r="J4168" i="51"/>
  <c r="J4169" i="51"/>
  <c r="J4170" i="51"/>
  <c r="J4171" i="51"/>
  <c r="J4172" i="51"/>
  <c r="J4173" i="51"/>
  <c r="J4174" i="51"/>
  <c r="J4175" i="51"/>
  <c r="J4176" i="51"/>
  <c r="J4177" i="51"/>
  <c r="J4178" i="51"/>
  <c r="J4179" i="51"/>
  <c r="J4180" i="51"/>
  <c r="J4181" i="51"/>
  <c r="J4182" i="51"/>
  <c r="J4183" i="51"/>
  <c r="J4184" i="51"/>
  <c r="J4185" i="51"/>
  <c r="J4186" i="51"/>
  <c r="J4187" i="51"/>
  <c r="J4188" i="51"/>
  <c r="J4189" i="51"/>
  <c r="J4190" i="51"/>
  <c r="J4191" i="51"/>
  <c r="J4192" i="51"/>
  <c r="J4193" i="51"/>
  <c r="J4194" i="51"/>
  <c r="J4195" i="51"/>
  <c r="J4196" i="51"/>
  <c r="J4197" i="51"/>
  <c r="J4198" i="51"/>
  <c r="J4199" i="51"/>
  <c r="J4200" i="51"/>
  <c r="J4201" i="51"/>
  <c r="J4202" i="51"/>
  <c r="J4203" i="51"/>
  <c r="J4204" i="51"/>
  <c r="J4205" i="51"/>
  <c r="J4206" i="51"/>
  <c r="J4207" i="51"/>
  <c r="J4208" i="51"/>
  <c r="J4209" i="51"/>
  <c r="J4210" i="51"/>
  <c r="J4211" i="51"/>
  <c r="J4212" i="51"/>
  <c r="J4213" i="51"/>
  <c r="J4214" i="51"/>
  <c r="J4215" i="51"/>
  <c r="J4216" i="51"/>
  <c r="J4217" i="51"/>
  <c r="J4218" i="51"/>
  <c r="J4219" i="51"/>
  <c r="J4220" i="51"/>
  <c r="J4221" i="51"/>
  <c r="J4222" i="51"/>
  <c r="J4223" i="51"/>
  <c r="J4224" i="51"/>
  <c r="J4225" i="51"/>
  <c r="J4226" i="51"/>
  <c r="J4227" i="51"/>
  <c r="J4228" i="51"/>
  <c r="J4229" i="51"/>
  <c r="J4230" i="51"/>
  <c r="J4231" i="51"/>
  <c r="J4232" i="51"/>
  <c r="J4233" i="51"/>
  <c r="J4234" i="51"/>
  <c r="J4235" i="51"/>
  <c r="J4236" i="51"/>
  <c r="J4237" i="51"/>
  <c r="J4238" i="51"/>
  <c r="J4239" i="51"/>
  <c r="J4240" i="51"/>
  <c r="J4241" i="51"/>
  <c r="J4242" i="51"/>
  <c r="J4243" i="51"/>
  <c r="J4244" i="51"/>
  <c r="J4245" i="51"/>
  <c r="J4246" i="51"/>
  <c r="J4247" i="51"/>
  <c r="J4248" i="51"/>
  <c r="J4249" i="51"/>
  <c r="J4250" i="51"/>
  <c r="J4251" i="51"/>
  <c r="J4252" i="51"/>
  <c r="J4253" i="51"/>
  <c r="J4254" i="51"/>
  <c r="J4255" i="51"/>
  <c r="J4256" i="51"/>
  <c r="J4257" i="51"/>
  <c r="J4258" i="51"/>
  <c r="J4259" i="51"/>
  <c r="J4260" i="51"/>
  <c r="J4261" i="51"/>
  <c r="J4262" i="51"/>
  <c r="J4263" i="51"/>
  <c r="J4264" i="51"/>
  <c r="J4265" i="51"/>
  <c r="J4266" i="51"/>
  <c r="J4267" i="51"/>
  <c r="J4268" i="51"/>
  <c r="J4269" i="51"/>
  <c r="J4270" i="51"/>
  <c r="J4271" i="51"/>
  <c r="J4272" i="51"/>
  <c r="J4273" i="51"/>
  <c r="J4274" i="51"/>
  <c r="J4275" i="51"/>
  <c r="J4276" i="51"/>
  <c r="J4277" i="51"/>
  <c r="J4278" i="51"/>
  <c r="J4279" i="51"/>
  <c r="J4280" i="51"/>
  <c r="J4281" i="51"/>
  <c r="J4282" i="51"/>
  <c r="J4283" i="51"/>
  <c r="J4284" i="51"/>
  <c r="J4285" i="51"/>
  <c r="J4286" i="51"/>
  <c r="J4287" i="51"/>
  <c r="J4288" i="51"/>
  <c r="J4289" i="51"/>
  <c r="J4290" i="51"/>
  <c r="J4291" i="51"/>
  <c r="J4292" i="51"/>
  <c r="J4293" i="51"/>
  <c r="J4294" i="51"/>
  <c r="J4295" i="51"/>
  <c r="J4296" i="51"/>
  <c r="J4297" i="51"/>
  <c r="J4298" i="51"/>
  <c r="J4299" i="51"/>
  <c r="J4300" i="51"/>
  <c r="J4301" i="51"/>
  <c r="J4302" i="51"/>
  <c r="J4303" i="51"/>
  <c r="J4304" i="51"/>
  <c r="J4305" i="51"/>
  <c r="J4306" i="51"/>
  <c r="J4307" i="51"/>
  <c r="J4308" i="51"/>
  <c r="J4309" i="51"/>
  <c r="J4310" i="51"/>
  <c r="J4311" i="51"/>
  <c r="J4312" i="51"/>
  <c r="J4313" i="51"/>
  <c r="J4314" i="51"/>
  <c r="J4315" i="51"/>
  <c r="J4316" i="51"/>
  <c r="J4317" i="51"/>
  <c r="J4318" i="51"/>
  <c r="J4319" i="51"/>
  <c r="J4320" i="51"/>
  <c r="J4321" i="51"/>
  <c r="J4322" i="51"/>
  <c r="J4323" i="51"/>
  <c r="J4324" i="51"/>
  <c r="J4325" i="51"/>
  <c r="J4326" i="51"/>
  <c r="J4327" i="51"/>
  <c r="J4328" i="51"/>
  <c r="J4329" i="51"/>
  <c r="J4330" i="51"/>
  <c r="J4331" i="51"/>
  <c r="J4332" i="51"/>
  <c r="J4333" i="51"/>
  <c r="J4334" i="51"/>
  <c r="J4335" i="51"/>
  <c r="J4336" i="51"/>
  <c r="J4337" i="51"/>
  <c r="J4338" i="51"/>
  <c r="J4339" i="51"/>
  <c r="J4340" i="51"/>
  <c r="J4341" i="51"/>
  <c r="J4342" i="51"/>
  <c r="J4343" i="51"/>
  <c r="J4344" i="51"/>
  <c r="J4345" i="51"/>
  <c r="J4346" i="51"/>
  <c r="J4347" i="51"/>
  <c r="J4348" i="51"/>
  <c r="J4349" i="51"/>
  <c r="J4350" i="51"/>
  <c r="J4351" i="51"/>
  <c r="J4352" i="51"/>
  <c r="J4353" i="51"/>
  <c r="J4354" i="51"/>
  <c r="J4355" i="51"/>
  <c r="J4356" i="51"/>
  <c r="J4357" i="51"/>
  <c r="J4358" i="51"/>
  <c r="J4359" i="51"/>
  <c r="J4360" i="51"/>
  <c r="J4361" i="51"/>
  <c r="J4362" i="51"/>
  <c r="J4363" i="51"/>
  <c r="J4364" i="51"/>
  <c r="J4365" i="51"/>
  <c r="J4366" i="51"/>
  <c r="J4367" i="51"/>
  <c r="J4368" i="51"/>
  <c r="J4369" i="51"/>
  <c r="J4370" i="51"/>
  <c r="J4371" i="51"/>
  <c r="J4372" i="51"/>
  <c r="J4373" i="51"/>
  <c r="J4374" i="51"/>
  <c r="J4375" i="51"/>
  <c r="J4376" i="51"/>
  <c r="J4377" i="51"/>
  <c r="J4378" i="51"/>
  <c r="J4379" i="51"/>
  <c r="J4380" i="51"/>
  <c r="J4381" i="51"/>
  <c r="J4382" i="51"/>
  <c r="J4383" i="51"/>
  <c r="J4384" i="51"/>
  <c r="J4385" i="51"/>
  <c r="J4386" i="51"/>
  <c r="J4387" i="51"/>
  <c r="J4388" i="51"/>
  <c r="J4389" i="51"/>
  <c r="J4390" i="51"/>
  <c r="J4391" i="51"/>
  <c r="J4392" i="51"/>
  <c r="J4393" i="51"/>
  <c r="J4394" i="51"/>
  <c r="J4395" i="51"/>
  <c r="J4396" i="51"/>
  <c r="J4397" i="51"/>
  <c r="J4398" i="51"/>
  <c r="J4399" i="51"/>
  <c r="J4400" i="51"/>
  <c r="J4401" i="51"/>
  <c r="J4402" i="51"/>
  <c r="J4403" i="51"/>
  <c r="J4404" i="51"/>
  <c r="J4405" i="51"/>
  <c r="J4406" i="51"/>
  <c r="J4407" i="51"/>
  <c r="J4408" i="51"/>
  <c r="J4409" i="51"/>
  <c r="J4410" i="51"/>
  <c r="J4411" i="51"/>
  <c r="J4412" i="51"/>
  <c r="J4413" i="51"/>
  <c r="J4414" i="51"/>
  <c r="J4415" i="51"/>
  <c r="J4416" i="51"/>
  <c r="J4417" i="51"/>
  <c r="J4418" i="51"/>
  <c r="J4419" i="51"/>
  <c r="J4420" i="51"/>
  <c r="J4421" i="51"/>
  <c r="J4422" i="51"/>
  <c r="J4423" i="51"/>
  <c r="J4424" i="51"/>
  <c r="J4425" i="51"/>
  <c r="J4426" i="51"/>
  <c r="J4427" i="51"/>
  <c r="J4428" i="51"/>
  <c r="J4429" i="51"/>
  <c r="J4430" i="51"/>
  <c r="J4431" i="51"/>
  <c r="J4432" i="51"/>
  <c r="J4433" i="51"/>
  <c r="J4434" i="51"/>
  <c r="J4435" i="51"/>
  <c r="J4436" i="51"/>
  <c r="J4437" i="51"/>
  <c r="J4438" i="51"/>
  <c r="J4439" i="51"/>
  <c r="J4440" i="51"/>
  <c r="J4441" i="51"/>
  <c r="J4442" i="51"/>
  <c r="J4443" i="51"/>
  <c r="J4444" i="51"/>
  <c r="J4445" i="51"/>
  <c r="J4446" i="51"/>
  <c r="J4447" i="51"/>
  <c r="J4448" i="51"/>
  <c r="J4449" i="51"/>
  <c r="J4450" i="51"/>
  <c r="J4451" i="51"/>
  <c r="J4452" i="51"/>
  <c r="J4453" i="51"/>
  <c r="J4454" i="51"/>
  <c r="J4455" i="51"/>
  <c r="J4456" i="51"/>
  <c r="J4457" i="51"/>
  <c r="J4458" i="51"/>
  <c r="J4459" i="51"/>
  <c r="J4460" i="51"/>
  <c r="J4461" i="51"/>
  <c r="J4462" i="51"/>
  <c r="J4463" i="51"/>
  <c r="J4464" i="51"/>
  <c r="J4465" i="51"/>
  <c r="J4466" i="51"/>
  <c r="J4467" i="51"/>
  <c r="J4468" i="51"/>
  <c r="J4469" i="51"/>
  <c r="J4470" i="51"/>
  <c r="J4471" i="51"/>
  <c r="J4472" i="51"/>
  <c r="J4473" i="51"/>
  <c r="J4474" i="51"/>
  <c r="J4475" i="51"/>
  <c r="J4476" i="51"/>
  <c r="J4477" i="51"/>
  <c r="J4478" i="51"/>
  <c r="J4479" i="51"/>
  <c r="J4480" i="51"/>
  <c r="J4481" i="51"/>
  <c r="J4482" i="51"/>
  <c r="J4483" i="51"/>
  <c r="J4484" i="51"/>
  <c r="J4485" i="51"/>
  <c r="J4486" i="51"/>
  <c r="J4487" i="51"/>
  <c r="J4488" i="51"/>
  <c r="J4489" i="51"/>
  <c r="J4490" i="51"/>
  <c r="J4491" i="51"/>
  <c r="J4492" i="51"/>
  <c r="J4493" i="51"/>
  <c r="J4494" i="51"/>
  <c r="J4495" i="51"/>
  <c r="J4496" i="51"/>
  <c r="J4497" i="51"/>
  <c r="J4498" i="51"/>
  <c r="J4499" i="51"/>
  <c r="J4500" i="51"/>
  <c r="J4501" i="51"/>
  <c r="J4502" i="51"/>
  <c r="J4503" i="51"/>
  <c r="J4504" i="51"/>
  <c r="J4505" i="51"/>
  <c r="J4506" i="51"/>
  <c r="J4507" i="51"/>
  <c r="J4508" i="51"/>
  <c r="J4509" i="51"/>
  <c r="J4510" i="51"/>
  <c r="J4511" i="51"/>
  <c r="J4512" i="51"/>
  <c r="J4513" i="51"/>
  <c r="J4514" i="51"/>
  <c r="J4515" i="51"/>
  <c r="J4516" i="51"/>
  <c r="J4517" i="51"/>
  <c r="J4518" i="51"/>
  <c r="J4519" i="51"/>
  <c r="J4520" i="51"/>
  <c r="J4521" i="51"/>
  <c r="J4522" i="51"/>
  <c r="J4523" i="51"/>
  <c r="J4524" i="51"/>
  <c r="J4525" i="51"/>
  <c r="J4526" i="51"/>
  <c r="J4527" i="51"/>
  <c r="J4528" i="51"/>
  <c r="J4529" i="51"/>
  <c r="J4530" i="51"/>
  <c r="J4531" i="51"/>
  <c r="J4532" i="51"/>
  <c r="J4533" i="51"/>
  <c r="J4534" i="51"/>
  <c r="J4535" i="51"/>
  <c r="J4536" i="51"/>
  <c r="J4537" i="51"/>
  <c r="J4538" i="51"/>
  <c r="J4539" i="51"/>
  <c r="J4540" i="51"/>
  <c r="J4541" i="51"/>
  <c r="J4542" i="51"/>
  <c r="J4543" i="51"/>
  <c r="J4544" i="51"/>
  <c r="J4545" i="51"/>
  <c r="J4546" i="51"/>
  <c r="J4547" i="51"/>
  <c r="J4548" i="51"/>
  <c r="J4549" i="51"/>
  <c r="J4550" i="51"/>
  <c r="J4551" i="51"/>
  <c r="J4552" i="51"/>
  <c r="J4553" i="51"/>
  <c r="J4554" i="51"/>
  <c r="J4555" i="51"/>
  <c r="J4556" i="51"/>
  <c r="J4557" i="51"/>
  <c r="J4558" i="51"/>
  <c r="J4559" i="51"/>
  <c r="J4560" i="51"/>
  <c r="J4561" i="51"/>
  <c r="J4562" i="51"/>
  <c r="J4563" i="51"/>
  <c r="J4564" i="51"/>
  <c r="J4565" i="51"/>
  <c r="J4566" i="51"/>
  <c r="J4567" i="51"/>
  <c r="J4568" i="51"/>
  <c r="J4569" i="51"/>
  <c r="J4570" i="51"/>
  <c r="J4571" i="51"/>
  <c r="J4572" i="51"/>
  <c r="J4573" i="51"/>
  <c r="J4574" i="51"/>
  <c r="J4575" i="51"/>
  <c r="J4576" i="51"/>
  <c r="J4577" i="51"/>
  <c r="J4578" i="51"/>
  <c r="J4579" i="51"/>
  <c r="J4580" i="51"/>
  <c r="J4581" i="51"/>
  <c r="J4582" i="51"/>
  <c r="J4583" i="51"/>
  <c r="J4584" i="51"/>
  <c r="J4585" i="51"/>
  <c r="J4586" i="51"/>
  <c r="J4587" i="51"/>
  <c r="J4588" i="51"/>
  <c r="J4589" i="51"/>
  <c r="J4590" i="51"/>
  <c r="J4591" i="51"/>
  <c r="J4592" i="51"/>
  <c r="J4593" i="51"/>
  <c r="J4594" i="51"/>
  <c r="J4595" i="51"/>
  <c r="J4596" i="51"/>
  <c r="J4597" i="51"/>
  <c r="J4598" i="51"/>
  <c r="J4599" i="51"/>
  <c r="J4600" i="51"/>
  <c r="J4601" i="51"/>
  <c r="J4602" i="51"/>
  <c r="J4603" i="51"/>
  <c r="J4604" i="51"/>
  <c r="J4605" i="51"/>
  <c r="J4606" i="51"/>
  <c r="J4607" i="51"/>
  <c r="J4608" i="51"/>
  <c r="J4609" i="51"/>
  <c r="J4610" i="51"/>
  <c r="J4611" i="51"/>
  <c r="J4612" i="51"/>
  <c r="J4613" i="51"/>
  <c r="J4614" i="51"/>
  <c r="J4615" i="51"/>
  <c r="J4616" i="51"/>
  <c r="J4617" i="51"/>
  <c r="J4618" i="51"/>
  <c r="J4619" i="51"/>
  <c r="J4620" i="51"/>
  <c r="J4621" i="51"/>
  <c r="J4622" i="51"/>
  <c r="J4623" i="51"/>
  <c r="J4624" i="51"/>
  <c r="J4625" i="51"/>
  <c r="J4626" i="51"/>
  <c r="J4627" i="51"/>
  <c r="J4628" i="51"/>
  <c r="J4629" i="51"/>
  <c r="J4630" i="51"/>
  <c r="J4631" i="51"/>
  <c r="J4632" i="51"/>
  <c r="J4633" i="51"/>
  <c r="J4634" i="51"/>
  <c r="J4635" i="51"/>
  <c r="J4636" i="51"/>
  <c r="J4637" i="51"/>
  <c r="J4638" i="51"/>
  <c r="J4639" i="51"/>
  <c r="J4640" i="51"/>
  <c r="J4641" i="51"/>
  <c r="J4642" i="51"/>
  <c r="J4643" i="51"/>
  <c r="J4644" i="51"/>
  <c r="J4645" i="51"/>
  <c r="J4646" i="51"/>
  <c r="J4647" i="51"/>
  <c r="J4648" i="51"/>
  <c r="J4649" i="51"/>
  <c r="J4650" i="51"/>
  <c r="J4651" i="51"/>
  <c r="J4652" i="51"/>
  <c r="J4653" i="51"/>
  <c r="J4654" i="51"/>
  <c r="J4655" i="51"/>
  <c r="J4656" i="51"/>
  <c r="J4657" i="51"/>
  <c r="J4658" i="51"/>
  <c r="J4659" i="51"/>
  <c r="J4660" i="51"/>
  <c r="J4661" i="51"/>
  <c r="J4662" i="51"/>
  <c r="J4663" i="51"/>
  <c r="J4664" i="51"/>
  <c r="J4665" i="51"/>
  <c r="J4666" i="51"/>
  <c r="J4667" i="51"/>
  <c r="J4668" i="51"/>
  <c r="J4669" i="51"/>
  <c r="J4670" i="51"/>
  <c r="J4671" i="51"/>
  <c r="J4672" i="51"/>
  <c r="J4673" i="51"/>
  <c r="J4674" i="51"/>
  <c r="J4675" i="51"/>
  <c r="J4676" i="51"/>
  <c r="J4677" i="51"/>
  <c r="J4678" i="51"/>
  <c r="J4679" i="51"/>
  <c r="J4680" i="51"/>
  <c r="J4681" i="51"/>
  <c r="J4682" i="51"/>
  <c r="J4683" i="51"/>
  <c r="J4684" i="51"/>
  <c r="J4685" i="51"/>
  <c r="J4686" i="51"/>
  <c r="J4687" i="51"/>
  <c r="J4688" i="51"/>
  <c r="J4689" i="51"/>
  <c r="J4690" i="51"/>
  <c r="J4691" i="51"/>
  <c r="J4692" i="51"/>
  <c r="J4693" i="51"/>
  <c r="J4694" i="51"/>
  <c r="J4695" i="51"/>
  <c r="J4696" i="51"/>
  <c r="J4697" i="51"/>
  <c r="J4698" i="51"/>
  <c r="J4699" i="51"/>
  <c r="J4700" i="51"/>
  <c r="J4701" i="51"/>
  <c r="J4702" i="51"/>
  <c r="J4703" i="51"/>
  <c r="J4704" i="51"/>
  <c r="J4705" i="51"/>
  <c r="J4706" i="51"/>
  <c r="J4707" i="51"/>
  <c r="J4708" i="51"/>
  <c r="J4709" i="51"/>
  <c r="J4710" i="51"/>
  <c r="J4711" i="51"/>
  <c r="J4712" i="51"/>
  <c r="J4713" i="51"/>
  <c r="J4714" i="51"/>
  <c r="J4715" i="51"/>
  <c r="J4716" i="51"/>
  <c r="J4717" i="51"/>
  <c r="J4718" i="51"/>
  <c r="J4719" i="51"/>
  <c r="J4720" i="51"/>
  <c r="J4721" i="51"/>
  <c r="J4722" i="51"/>
  <c r="J4723" i="51"/>
  <c r="J4724" i="51"/>
  <c r="J4725" i="51"/>
  <c r="J4726" i="51"/>
  <c r="J4727" i="51"/>
  <c r="J4728" i="51"/>
  <c r="J4729" i="51"/>
  <c r="J4730" i="51"/>
  <c r="J4731" i="51"/>
  <c r="J4732" i="51"/>
  <c r="J4733" i="51"/>
  <c r="J4734" i="51"/>
  <c r="J4735" i="51"/>
  <c r="J4736" i="51"/>
  <c r="J4737" i="51"/>
  <c r="J4738" i="51"/>
  <c r="J4739" i="51"/>
  <c r="J4740" i="51"/>
  <c r="J4741" i="51"/>
  <c r="J4742" i="51"/>
  <c r="J4743" i="51"/>
  <c r="J4744" i="51"/>
  <c r="J4745" i="51"/>
  <c r="J4746" i="51"/>
  <c r="J4747" i="51"/>
  <c r="J4748" i="51"/>
  <c r="J4749" i="51"/>
  <c r="J4750" i="51"/>
  <c r="J4751" i="51"/>
  <c r="J4752" i="51"/>
  <c r="J4753" i="51"/>
  <c r="J4754" i="51"/>
  <c r="J4755" i="51"/>
  <c r="J4756" i="51"/>
  <c r="J4757" i="51"/>
  <c r="J4758" i="51"/>
  <c r="J4759" i="51"/>
  <c r="J4760" i="51"/>
  <c r="J4761" i="51"/>
  <c r="J4762" i="51"/>
  <c r="J4763" i="51"/>
  <c r="J4764" i="51"/>
  <c r="J4765" i="51"/>
  <c r="J4766" i="51"/>
  <c r="J4767" i="51"/>
  <c r="J4768" i="51"/>
  <c r="J4769" i="51"/>
  <c r="J4770" i="51"/>
  <c r="J4771" i="51"/>
  <c r="J4772" i="51"/>
  <c r="J4773" i="51"/>
  <c r="J4774" i="51"/>
  <c r="J4775" i="51"/>
  <c r="J4776" i="51"/>
  <c r="J4777" i="51"/>
  <c r="J4778" i="51"/>
  <c r="J4779" i="51"/>
  <c r="J4780" i="51"/>
  <c r="J4781" i="51"/>
  <c r="J4782" i="51"/>
  <c r="J4783" i="51"/>
  <c r="J4784" i="51"/>
  <c r="J4785" i="51"/>
  <c r="J4786" i="51"/>
  <c r="J4787" i="51"/>
  <c r="J4788" i="51"/>
  <c r="J4789" i="51"/>
  <c r="J4790" i="51"/>
  <c r="J4791" i="51"/>
  <c r="J4792" i="51"/>
  <c r="J4793" i="51"/>
  <c r="J4794" i="51"/>
  <c r="J4795" i="51"/>
  <c r="J4796" i="51"/>
  <c r="J4797" i="51"/>
  <c r="J4798" i="51"/>
  <c r="J4799" i="51"/>
  <c r="J4800" i="51"/>
  <c r="J4801" i="51"/>
  <c r="J4802" i="51"/>
  <c r="J4803" i="51"/>
  <c r="J4804" i="51"/>
  <c r="J4805" i="51"/>
  <c r="J4806" i="51"/>
  <c r="J4807" i="51"/>
  <c r="J4808" i="51"/>
  <c r="J4809" i="51"/>
  <c r="J4810" i="51"/>
  <c r="J4811" i="51"/>
  <c r="J4812" i="51"/>
  <c r="J4813" i="51"/>
  <c r="J4814" i="51"/>
  <c r="J4815" i="51"/>
  <c r="J4816" i="51"/>
  <c r="J4817" i="51"/>
  <c r="J4818" i="51"/>
  <c r="J4819" i="51"/>
  <c r="J4820" i="51"/>
  <c r="J4821" i="51"/>
  <c r="J4822" i="51"/>
  <c r="J4823" i="51"/>
  <c r="J4824" i="51"/>
  <c r="J4825" i="51"/>
  <c r="J4826" i="51"/>
  <c r="J4827" i="51"/>
  <c r="J4828" i="51"/>
  <c r="J4829" i="51"/>
  <c r="J4830" i="51"/>
  <c r="J4831" i="51"/>
  <c r="J4832" i="51"/>
  <c r="J4833" i="51"/>
  <c r="J4834" i="51"/>
  <c r="J4835" i="51"/>
  <c r="J4836" i="51"/>
  <c r="J4837" i="51"/>
  <c r="J4838" i="51"/>
  <c r="J4839" i="51"/>
  <c r="J4840" i="51"/>
  <c r="J4841" i="51"/>
  <c r="J4842" i="51"/>
  <c r="J4843" i="51"/>
  <c r="J4844" i="51"/>
  <c r="J4845" i="51"/>
  <c r="J4846" i="51"/>
  <c r="J4847" i="51"/>
  <c r="J4848" i="51"/>
  <c r="J4849" i="51"/>
  <c r="J4850" i="51"/>
  <c r="J4851" i="51"/>
  <c r="J4852" i="51"/>
  <c r="J4853" i="51"/>
  <c r="J4854" i="51"/>
  <c r="J4855" i="51"/>
  <c r="J4856" i="51"/>
  <c r="J4857" i="51"/>
  <c r="J4858" i="51"/>
  <c r="J4859" i="51"/>
  <c r="J4860" i="51"/>
  <c r="J4861" i="51"/>
  <c r="J4862" i="51"/>
  <c r="J4863" i="51"/>
  <c r="J4864" i="51"/>
  <c r="J4865" i="51"/>
  <c r="J4866" i="51"/>
  <c r="J4867" i="51"/>
  <c r="J4868" i="51"/>
  <c r="J4869" i="51"/>
  <c r="J4870" i="51"/>
  <c r="J4871" i="51"/>
  <c r="J4872" i="51"/>
  <c r="J4873" i="51"/>
  <c r="J4874" i="51"/>
  <c r="J4875" i="51"/>
  <c r="J4876" i="51"/>
  <c r="J4877" i="51"/>
  <c r="J4878" i="51"/>
  <c r="J4879" i="51"/>
  <c r="J4880" i="51"/>
  <c r="J4881" i="51"/>
  <c r="J4882" i="51"/>
  <c r="J4883" i="51"/>
  <c r="J4884" i="51"/>
  <c r="J4885" i="51"/>
  <c r="J4886" i="51"/>
  <c r="J4887" i="51"/>
  <c r="J4888" i="51"/>
  <c r="J4889" i="51"/>
  <c r="J4890" i="51"/>
  <c r="J4891" i="51"/>
  <c r="J4892" i="51"/>
  <c r="J4893" i="51"/>
  <c r="J4894" i="51"/>
  <c r="J4895" i="51"/>
  <c r="J4896" i="51"/>
  <c r="J4897" i="51"/>
  <c r="J4898" i="51"/>
  <c r="J4899" i="51"/>
  <c r="J4900" i="51"/>
  <c r="J4901" i="51"/>
  <c r="J4902" i="51"/>
  <c r="J4903" i="51"/>
  <c r="J4904" i="51"/>
  <c r="J4905" i="51"/>
  <c r="J4906" i="51"/>
  <c r="J4907" i="51"/>
  <c r="J4908" i="51"/>
  <c r="J4909" i="51"/>
  <c r="J4910" i="51"/>
  <c r="J4911" i="51"/>
  <c r="J4912" i="51"/>
  <c r="J4913" i="51"/>
  <c r="J4914" i="51"/>
  <c r="J4915" i="51"/>
  <c r="J4916" i="51"/>
  <c r="J4917" i="51"/>
  <c r="J4918" i="51"/>
  <c r="J4919" i="51"/>
  <c r="J4920" i="51"/>
  <c r="J4921" i="51"/>
  <c r="J4922" i="51"/>
  <c r="J4923" i="51"/>
  <c r="J4924" i="51"/>
  <c r="J4925" i="51"/>
  <c r="J4926" i="51"/>
  <c r="J4927" i="51"/>
  <c r="J4928" i="51"/>
  <c r="J4929" i="51"/>
  <c r="J4930" i="51"/>
  <c r="J4931" i="51"/>
  <c r="J4932" i="51"/>
  <c r="J4933" i="51"/>
  <c r="J4934" i="51"/>
  <c r="J4935" i="51"/>
  <c r="J4936" i="51"/>
  <c r="J4937" i="51"/>
  <c r="J4938" i="51"/>
  <c r="J4939" i="51"/>
  <c r="J4940" i="51"/>
  <c r="J4941" i="51"/>
  <c r="J4942" i="51"/>
  <c r="J4943" i="51"/>
  <c r="J4944" i="51"/>
  <c r="J4945" i="51"/>
  <c r="J4946" i="51"/>
  <c r="J4947" i="51"/>
  <c r="J4948" i="51"/>
  <c r="J4949" i="51"/>
  <c r="J4950" i="51"/>
  <c r="J4951" i="51"/>
  <c r="J4952" i="51"/>
  <c r="J4953" i="51"/>
  <c r="J4954" i="51"/>
  <c r="J4955" i="51"/>
  <c r="J4956" i="51"/>
  <c r="J4957" i="51"/>
  <c r="J4958" i="51"/>
  <c r="J4959" i="51"/>
  <c r="J4960" i="51"/>
  <c r="J4961" i="51"/>
  <c r="J4962" i="51"/>
  <c r="J4963" i="51"/>
  <c r="J4964" i="51"/>
  <c r="J4965" i="51"/>
  <c r="J4966" i="51"/>
  <c r="J4967" i="51"/>
  <c r="J4968" i="51"/>
  <c r="J4969" i="51"/>
  <c r="J4970" i="51"/>
  <c r="J4971" i="51"/>
  <c r="J4972" i="51"/>
  <c r="J4973" i="51"/>
  <c r="J4974" i="51"/>
  <c r="J4975" i="51"/>
  <c r="J4976" i="51"/>
  <c r="J4977" i="51"/>
  <c r="J4978" i="51"/>
  <c r="J4979" i="51"/>
  <c r="J4980" i="51"/>
  <c r="J4981" i="51"/>
  <c r="J4982" i="51"/>
  <c r="J4983" i="51"/>
  <c r="J4984" i="51"/>
  <c r="J4985" i="51"/>
  <c r="J4986" i="51"/>
  <c r="J4987" i="51"/>
  <c r="J4988" i="51"/>
  <c r="J4989" i="51"/>
  <c r="J4990" i="51"/>
  <c r="J4991" i="51"/>
  <c r="J4992" i="51"/>
  <c r="J4993" i="51"/>
  <c r="J4994" i="51"/>
  <c r="J4995" i="51"/>
  <c r="J4996" i="51"/>
  <c r="J4997" i="51"/>
  <c r="J4998" i="51"/>
  <c r="J4999" i="51"/>
  <c r="J5000" i="51"/>
  <c r="J5001" i="51"/>
  <c r="J5002" i="51"/>
  <c r="J5003" i="51"/>
  <c r="J5004" i="51"/>
  <c r="J5005" i="51"/>
  <c r="J5006" i="51"/>
  <c r="J5007" i="51"/>
  <c r="K2008" i="51"/>
  <c r="K2009" i="51"/>
  <c r="K2010" i="51"/>
  <c r="K2011" i="51"/>
  <c r="K2012" i="51"/>
  <c r="K2013" i="51"/>
  <c r="K2014" i="51"/>
  <c r="K2015" i="51"/>
  <c r="K2016" i="51"/>
  <c r="K2017" i="51"/>
  <c r="K2018" i="51"/>
  <c r="K2019" i="51"/>
  <c r="K2020" i="51"/>
  <c r="K2021" i="51"/>
  <c r="K2022" i="51"/>
  <c r="K2023" i="51"/>
  <c r="K2024" i="51"/>
  <c r="K2025" i="51"/>
  <c r="K2026" i="51"/>
  <c r="K2027" i="51"/>
  <c r="K2028" i="51"/>
  <c r="K2029" i="51"/>
  <c r="K2030" i="51"/>
  <c r="K2031" i="51"/>
  <c r="K2032" i="51"/>
  <c r="K2033" i="51"/>
  <c r="K2034" i="51"/>
  <c r="K2035" i="51"/>
  <c r="K2036" i="51"/>
  <c r="K2037" i="51"/>
  <c r="K2038" i="51"/>
  <c r="K2039" i="51"/>
  <c r="K2040" i="51"/>
  <c r="K2041" i="51"/>
  <c r="K2042" i="51"/>
  <c r="K2043" i="51"/>
  <c r="K2044" i="51"/>
  <c r="K2045" i="51"/>
  <c r="K2046" i="51"/>
  <c r="K2047" i="51"/>
  <c r="K2048" i="51"/>
  <c r="K2049" i="51"/>
  <c r="K2050" i="51"/>
  <c r="K2051" i="51"/>
  <c r="K2052" i="51"/>
  <c r="K2053" i="51"/>
  <c r="K2054" i="51"/>
  <c r="K2055" i="51"/>
  <c r="K2056" i="51"/>
  <c r="K2057" i="51"/>
  <c r="K2058" i="51"/>
  <c r="K2059" i="51"/>
  <c r="K2060" i="51"/>
  <c r="K2061" i="51"/>
  <c r="K2062" i="51"/>
  <c r="K2063" i="51"/>
  <c r="K2064" i="51"/>
  <c r="K2065" i="51"/>
  <c r="K2066" i="51"/>
  <c r="K2067" i="51"/>
  <c r="K2068" i="51"/>
  <c r="K2069" i="51"/>
  <c r="K2070" i="51"/>
  <c r="K2071" i="51"/>
  <c r="K2072" i="51"/>
  <c r="K2073" i="51"/>
  <c r="K2074" i="51"/>
  <c r="K2075" i="51"/>
  <c r="K2076" i="51"/>
  <c r="K2077" i="51"/>
  <c r="K2078" i="51"/>
  <c r="K2079" i="51"/>
  <c r="K2080" i="51"/>
  <c r="K2081" i="51"/>
  <c r="K2082" i="51"/>
  <c r="K2083" i="51"/>
  <c r="K2084" i="51"/>
  <c r="K2085" i="51"/>
  <c r="K2086" i="51"/>
  <c r="K2087" i="51"/>
  <c r="K2088" i="51"/>
  <c r="K2089" i="51"/>
  <c r="K2090" i="51"/>
  <c r="K2091" i="51"/>
  <c r="K2092" i="51"/>
  <c r="K2093" i="51"/>
  <c r="K2094" i="51"/>
  <c r="K2095" i="51"/>
  <c r="K2096" i="51"/>
  <c r="K2097" i="51"/>
  <c r="K2098" i="51"/>
  <c r="K2099" i="51"/>
  <c r="K2100" i="51"/>
  <c r="K2101" i="51"/>
  <c r="K2102" i="51"/>
  <c r="K2103" i="51"/>
  <c r="K2104" i="51"/>
  <c r="K2105" i="51"/>
  <c r="K2106" i="51"/>
  <c r="K2107" i="51"/>
  <c r="K2108" i="51"/>
  <c r="K2109" i="51"/>
  <c r="K2110" i="51"/>
  <c r="K2111" i="51"/>
  <c r="K2112" i="51"/>
  <c r="K2113" i="51"/>
  <c r="K2114" i="51"/>
  <c r="K2115" i="51"/>
  <c r="K2116" i="51"/>
  <c r="K2117" i="51"/>
  <c r="K2118" i="51"/>
  <c r="K2119" i="51"/>
  <c r="K2120" i="51"/>
  <c r="K2121" i="51"/>
  <c r="K2122" i="51"/>
  <c r="K2123" i="51"/>
  <c r="K2124" i="51"/>
  <c r="K2125" i="51"/>
  <c r="K2126" i="51"/>
  <c r="K2127" i="51"/>
  <c r="K2128" i="51"/>
  <c r="K2129" i="51"/>
  <c r="K2130" i="51"/>
  <c r="K2131" i="51"/>
  <c r="K2132" i="51"/>
  <c r="K2133" i="51"/>
  <c r="K2134" i="51"/>
  <c r="K2135" i="51"/>
  <c r="K2136" i="51"/>
  <c r="K2137" i="51"/>
  <c r="K2138" i="51"/>
  <c r="K2139" i="51"/>
  <c r="K2140" i="51"/>
  <c r="K2141" i="51"/>
  <c r="K2142" i="51"/>
  <c r="K2143" i="51"/>
  <c r="K2144" i="51"/>
  <c r="K2145" i="51"/>
  <c r="K2146" i="51"/>
  <c r="K2147" i="51"/>
  <c r="K2148" i="51"/>
  <c r="K2149" i="51"/>
  <c r="K2150" i="51"/>
  <c r="K2151" i="51"/>
  <c r="K2152" i="51"/>
  <c r="K2153" i="51"/>
  <c r="K2154" i="51"/>
  <c r="K2155" i="51"/>
  <c r="K2156" i="51"/>
  <c r="K2157" i="51"/>
  <c r="K2158" i="51"/>
  <c r="K2159" i="51"/>
  <c r="K2160" i="51"/>
  <c r="K2161" i="51"/>
  <c r="K2162" i="51"/>
  <c r="K2163" i="51"/>
  <c r="K2164" i="51"/>
  <c r="K2165" i="51"/>
  <c r="K2166" i="51"/>
  <c r="K2167" i="51"/>
  <c r="K2168" i="51"/>
  <c r="K2169" i="51"/>
  <c r="K2170" i="51"/>
  <c r="K2171" i="51"/>
  <c r="K2172" i="51"/>
  <c r="K2173" i="51"/>
  <c r="K2174" i="51"/>
  <c r="K2175" i="51"/>
  <c r="K2176" i="51"/>
  <c r="K2177" i="51"/>
  <c r="K2178" i="51"/>
  <c r="K2179" i="51"/>
  <c r="K2180" i="51"/>
  <c r="K2181" i="51"/>
  <c r="K2182" i="51"/>
  <c r="K2183" i="51"/>
  <c r="K2184" i="51"/>
  <c r="K2185" i="51"/>
  <c r="K2186" i="51"/>
  <c r="K2187" i="51"/>
  <c r="K2188" i="51"/>
  <c r="K2189" i="51"/>
  <c r="K2190" i="51"/>
  <c r="K2191" i="51"/>
  <c r="K2192" i="51"/>
  <c r="K2193" i="51"/>
  <c r="K2194" i="51"/>
  <c r="K2195" i="51"/>
  <c r="K2196" i="51"/>
  <c r="K2197" i="51"/>
  <c r="K2198" i="51"/>
  <c r="K2199" i="51"/>
  <c r="K2200" i="51"/>
  <c r="K2201" i="51"/>
  <c r="K2202" i="51"/>
  <c r="K2203" i="51"/>
  <c r="K2204" i="51"/>
  <c r="K2205" i="51"/>
  <c r="K2206" i="51"/>
  <c r="K2207" i="51"/>
  <c r="K2208" i="51"/>
  <c r="K2209" i="51"/>
  <c r="K2210" i="51"/>
  <c r="K2211" i="51"/>
  <c r="K2212" i="51"/>
  <c r="K2213" i="51"/>
  <c r="K2214" i="51"/>
  <c r="K2215" i="51"/>
  <c r="K2216" i="51"/>
  <c r="K2217" i="51"/>
  <c r="K2218" i="51"/>
  <c r="K2219" i="51"/>
  <c r="K2220" i="51"/>
  <c r="K2221" i="51"/>
  <c r="K2222" i="51"/>
  <c r="K2223" i="51"/>
  <c r="K2224" i="51"/>
  <c r="K2225" i="51"/>
  <c r="K2226" i="51"/>
  <c r="K2227" i="51"/>
  <c r="K2228" i="51"/>
  <c r="K2229" i="51"/>
  <c r="K2230" i="51"/>
  <c r="K2231" i="51"/>
  <c r="K2232" i="51"/>
  <c r="K2233" i="51"/>
  <c r="K2234" i="51"/>
  <c r="K2235" i="51"/>
  <c r="K2236" i="51"/>
  <c r="K2237" i="51"/>
  <c r="K2238" i="51"/>
  <c r="K2239" i="51"/>
  <c r="K2240" i="51"/>
  <c r="K2241" i="51"/>
  <c r="K2242" i="51"/>
  <c r="K2243" i="51"/>
  <c r="K2244" i="51"/>
  <c r="K2245" i="51"/>
  <c r="K2246" i="51"/>
  <c r="K2247" i="51"/>
  <c r="K2248" i="51"/>
  <c r="K2249" i="51"/>
  <c r="K2250" i="51"/>
  <c r="K2251" i="51"/>
  <c r="K2252" i="51"/>
  <c r="K2253" i="51"/>
  <c r="K2254" i="51"/>
  <c r="K2255" i="51"/>
  <c r="K2256" i="51"/>
  <c r="K2257" i="51"/>
  <c r="K2258" i="51"/>
  <c r="K2259" i="51"/>
  <c r="K2260" i="51"/>
  <c r="K2261" i="51"/>
  <c r="K2262" i="51"/>
  <c r="K2263" i="51"/>
  <c r="K2264" i="51"/>
  <c r="K2265" i="51"/>
  <c r="K2266" i="51"/>
  <c r="K2267" i="51"/>
  <c r="K2268" i="51"/>
  <c r="K2269" i="51"/>
  <c r="K2270" i="51"/>
  <c r="K2271" i="51"/>
  <c r="K2272" i="51"/>
  <c r="K2273" i="51"/>
  <c r="K2274" i="51"/>
  <c r="K2275" i="51"/>
  <c r="K2276" i="51"/>
  <c r="K2277" i="51"/>
  <c r="K2278" i="51"/>
  <c r="K2279" i="51"/>
  <c r="K2280" i="51"/>
  <c r="K2281" i="51"/>
  <c r="K2282" i="51"/>
  <c r="K2283" i="51"/>
  <c r="K2284" i="51"/>
  <c r="K2285" i="51"/>
  <c r="K2286" i="51"/>
  <c r="K2287" i="51"/>
  <c r="K2288" i="51"/>
  <c r="K2289" i="51"/>
  <c r="K2290" i="51"/>
  <c r="K2291" i="51"/>
  <c r="K2292" i="51"/>
  <c r="K2293" i="51"/>
  <c r="K2294" i="51"/>
  <c r="K2295" i="51"/>
  <c r="K2296" i="51"/>
  <c r="K2297" i="51"/>
  <c r="K2298" i="51"/>
  <c r="K2299" i="51"/>
  <c r="K2300" i="51"/>
  <c r="K2301" i="51"/>
  <c r="K2302" i="51"/>
  <c r="K2303" i="51"/>
  <c r="K2304" i="51"/>
  <c r="K2305" i="51"/>
  <c r="K2306" i="51"/>
  <c r="K2307" i="51"/>
  <c r="K2308" i="51"/>
  <c r="K2309" i="51"/>
  <c r="K2310" i="51"/>
  <c r="K2311" i="51"/>
  <c r="K2312" i="51"/>
  <c r="K2313" i="51"/>
  <c r="K2314" i="51"/>
  <c r="K2315" i="51"/>
  <c r="K2316" i="51"/>
  <c r="K2317" i="51"/>
  <c r="K2318" i="51"/>
  <c r="K2319" i="51"/>
  <c r="K2320" i="51"/>
  <c r="K2321" i="51"/>
  <c r="K2322" i="51"/>
  <c r="K2323" i="51"/>
  <c r="K2324" i="51"/>
  <c r="K2325" i="51"/>
  <c r="K2326" i="51"/>
  <c r="K2327" i="51"/>
  <c r="K2328" i="51"/>
  <c r="K2329" i="51"/>
  <c r="K2330" i="51"/>
  <c r="K2331" i="51"/>
  <c r="K2332" i="51"/>
  <c r="K2333" i="51"/>
  <c r="K2334" i="51"/>
  <c r="K2335" i="51"/>
  <c r="K2336" i="51"/>
  <c r="K2337" i="51"/>
  <c r="K2338" i="51"/>
  <c r="K2339" i="51"/>
  <c r="K2340" i="51"/>
  <c r="K2341" i="51"/>
  <c r="K2342" i="51"/>
  <c r="K2343" i="51"/>
  <c r="K2344" i="51"/>
  <c r="K2345" i="51"/>
  <c r="K2346" i="51"/>
  <c r="K2347" i="51"/>
  <c r="K2348" i="51"/>
  <c r="K2349" i="51"/>
  <c r="K2350" i="51"/>
  <c r="K2351" i="51"/>
  <c r="K2352" i="51"/>
  <c r="K2353" i="51"/>
  <c r="K2354" i="51"/>
  <c r="K2355" i="51"/>
  <c r="K2356" i="51"/>
  <c r="K2357" i="51"/>
  <c r="K2358" i="51"/>
  <c r="K2359" i="51"/>
  <c r="K2360" i="51"/>
  <c r="K2361" i="51"/>
  <c r="K2362" i="51"/>
  <c r="K2363" i="51"/>
  <c r="K2364" i="51"/>
  <c r="K2365" i="51"/>
  <c r="K2366" i="51"/>
  <c r="K2367" i="51"/>
  <c r="K2368" i="51"/>
  <c r="K2369" i="51"/>
  <c r="K2370" i="51"/>
  <c r="K2371" i="51"/>
  <c r="K2372" i="51"/>
  <c r="K2373" i="51"/>
  <c r="K2374" i="51"/>
  <c r="K2375" i="51"/>
  <c r="K2376" i="51"/>
  <c r="K2377" i="51"/>
  <c r="K2378" i="51"/>
  <c r="K2379" i="51"/>
  <c r="K2380" i="51"/>
  <c r="K2381" i="51"/>
  <c r="K2382" i="51"/>
  <c r="K2383" i="51"/>
  <c r="K2384" i="51"/>
  <c r="K2385" i="51"/>
  <c r="K2386" i="51"/>
  <c r="K2387" i="51"/>
  <c r="K2388" i="51"/>
  <c r="K2389" i="51"/>
  <c r="K2390" i="51"/>
  <c r="K2391" i="51"/>
  <c r="K2392" i="51"/>
  <c r="K2393" i="51"/>
  <c r="K2394" i="51"/>
  <c r="K2395" i="51"/>
  <c r="K2396" i="51"/>
  <c r="K2397" i="51"/>
  <c r="K2398" i="51"/>
  <c r="K2399" i="51"/>
  <c r="K2400" i="51"/>
  <c r="K2401" i="51"/>
  <c r="K2402" i="51"/>
  <c r="K2403" i="51"/>
  <c r="K2404" i="51"/>
  <c r="K2405" i="51"/>
  <c r="K2406" i="51"/>
  <c r="K2407" i="51"/>
  <c r="K2408" i="51"/>
  <c r="K2409" i="51"/>
  <c r="K2410" i="51"/>
  <c r="K2411" i="51"/>
  <c r="K2412" i="51"/>
  <c r="K2413" i="51"/>
  <c r="K2414" i="51"/>
  <c r="K2415" i="51"/>
  <c r="K2416" i="51"/>
  <c r="K2417" i="51"/>
  <c r="K2418" i="51"/>
  <c r="K2419" i="51"/>
  <c r="K2420" i="51"/>
  <c r="K2421" i="51"/>
  <c r="K2422" i="51"/>
  <c r="K2423" i="51"/>
  <c r="K2424" i="51"/>
  <c r="K2425" i="51"/>
  <c r="K2426" i="51"/>
  <c r="K2427" i="51"/>
  <c r="K2428" i="51"/>
  <c r="K2429" i="51"/>
  <c r="K2430" i="51"/>
  <c r="K2431" i="51"/>
  <c r="K2432" i="51"/>
  <c r="K2433" i="51"/>
  <c r="K2434" i="51"/>
  <c r="K2435" i="51"/>
  <c r="K2436" i="51"/>
  <c r="K2437" i="51"/>
  <c r="K2438" i="51"/>
  <c r="K2439" i="51"/>
  <c r="K2440" i="51"/>
  <c r="K2441" i="51"/>
  <c r="K2442" i="51"/>
  <c r="K2443" i="51"/>
  <c r="K2444" i="51"/>
  <c r="K2445" i="51"/>
  <c r="K2446" i="51"/>
  <c r="K2447" i="51"/>
  <c r="K2448" i="51"/>
  <c r="K2449" i="51"/>
  <c r="K2450" i="51"/>
  <c r="K2451" i="51"/>
  <c r="K2452" i="51"/>
  <c r="K2453" i="51"/>
  <c r="K2454" i="51"/>
  <c r="K2455" i="51"/>
  <c r="K2456" i="51"/>
  <c r="K2457" i="51"/>
  <c r="K2458" i="51"/>
  <c r="K2459" i="51"/>
  <c r="K2460" i="51"/>
  <c r="K2461" i="51"/>
  <c r="K2462" i="51"/>
  <c r="K2463" i="51"/>
  <c r="K2464" i="51"/>
  <c r="K2465" i="51"/>
  <c r="K2466" i="51"/>
  <c r="K2467" i="51"/>
  <c r="K2468" i="51"/>
  <c r="K2469" i="51"/>
  <c r="K2470" i="51"/>
  <c r="K2471" i="51"/>
  <c r="K2472" i="51"/>
  <c r="K2473" i="51"/>
  <c r="K2474" i="51"/>
  <c r="K2475" i="51"/>
  <c r="K2476" i="51"/>
  <c r="K2477" i="51"/>
  <c r="K2478" i="51"/>
  <c r="K2479" i="51"/>
  <c r="K2480" i="51"/>
  <c r="K2481" i="51"/>
  <c r="K2482" i="51"/>
  <c r="K2483" i="51"/>
  <c r="K2484" i="51"/>
  <c r="K2485" i="51"/>
  <c r="K2486" i="51"/>
  <c r="K2487" i="51"/>
  <c r="K2488" i="51"/>
  <c r="K2489" i="51"/>
  <c r="K2490" i="51"/>
  <c r="K2491" i="51"/>
  <c r="K2492" i="51"/>
  <c r="K2493" i="51"/>
  <c r="K2494" i="51"/>
  <c r="K2495" i="51"/>
  <c r="K2496" i="51"/>
  <c r="K2497" i="51"/>
  <c r="K2498" i="51"/>
  <c r="K2499" i="51"/>
  <c r="K2500" i="51"/>
  <c r="K2501" i="51"/>
  <c r="K2502" i="51"/>
  <c r="K2503" i="51"/>
  <c r="K2504" i="51"/>
  <c r="K2505" i="51"/>
  <c r="K2506" i="51"/>
  <c r="K2507" i="51"/>
  <c r="K2508" i="51"/>
  <c r="K2509" i="51"/>
  <c r="K2510" i="51"/>
  <c r="K2511" i="51"/>
  <c r="K2512" i="51"/>
  <c r="K2513" i="51"/>
  <c r="K2514" i="51"/>
  <c r="K2515" i="51"/>
  <c r="K2516" i="51"/>
  <c r="K2517" i="51"/>
  <c r="K2518" i="51"/>
  <c r="K2519" i="51"/>
  <c r="K2520" i="51"/>
  <c r="K2521" i="51"/>
  <c r="K2522" i="51"/>
  <c r="K2523" i="51"/>
  <c r="K2524" i="51"/>
  <c r="K2525" i="51"/>
  <c r="K2526" i="51"/>
  <c r="K2527" i="51"/>
  <c r="K2528" i="51"/>
  <c r="K2529" i="51"/>
  <c r="K2530" i="51"/>
  <c r="K2531" i="51"/>
  <c r="K2532" i="51"/>
  <c r="K2533" i="51"/>
  <c r="K2534" i="51"/>
  <c r="K2535" i="51"/>
  <c r="K2536" i="51"/>
  <c r="K2537" i="51"/>
  <c r="K2538" i="51"/>
  <c r="K2539" i="51"/>
  <c r="K2540" i="51"/>
  <c r="K2541" i="51"/>
  <c r="K2542" i="51"/>
  <c r="K2543" i="51"/>
  <c r="K2544" i="51"/>
  <c r="K2545" i="51"/>
  <c r="K2546" i="51"/>
  <c r="K2547" i="51"/>
  <c r="K2548" i="51"/>
  <c r="K2549" i="51"/>
  <c r="K2550" i="51"/>
  <c r="K2551" i="51"/>
  <c r="K2552" i="51"/>
  <c r="K2553" i="51"/>
  <c r="K2554" i="51"/>
  <c r="K2555" i="51"/>
  <c r="K2556" i="51"/>
  <c r="K2557" i="51"/>
  <c r="K2558" i="51"/>
  <c r="K2559" i="51"/>
  <c r="K2560" i="51"/>
  <c r="K2561" i="51"/>
  <c r="K2562" i="51"/>
  <c r="K2563" i="51"/>
  <c r="K2564" i="51"/>
  <c r="K2565" i="51"/>
  <c r="K2566" i="51"/>
  <c r="K2567" i="51"/>
  <c r="K2568" i="51"/>
  <c r="K2569" i="51"/>
  <c r="K2570" i="51"/>
  <c r="K2571" i="51"/>
  <c r="K2572" i="51"/>
  <c r="K2573" i="51"/>
  <c r="K2574" i="51"/>
  <c r="K2575" i="51"/>
  <c r="K2576" i="51"/>
  <c r="K2577" i="51"/>
  <c r="K2578" i="51"/>
  <c r="K2579" i="51"/>
  <c r="K2580" i="51"/>
  <c r="K2581" i="51"/>
  <c r="K2582" i="51"/>
  <c r="K2583" i="51"/>
  <c r="K2584" i="51"/>
  <c r="K2585" i="51"/>
  <c r="K2586" i="51"/>
  <c r="K2587" i="51"/>
  <c r="K2588" i="51"/>
  <c r="K2589" i="51"/>
  <c r="K2590" i="51"/>
  <c r="K2591" i="51"/>
  <c r="K2592" i="51"/>
  <c r="K2593" i="51"/>
  <c r="K2594" i="51"/>
  <c r="K2595" i="51"/>
  <c r="K2596" i="51"/>
  <c r="K2597" i="51"/>
  <c r="K2598" i="51"/>
  <c r="K2599" i="51"/>
  <c r="K2600" i="51"/>
  <c r="K2601" i="51"/>
  <c r="K2602" i="51"/>
  <c r="K2603" i="51"/>
  <c r="K2604" i="51"/>
  <c r="K2605" i="51"/>
  <c r="K2606" i="51"/>
  <c r="K2607" i="51"/>
  <c r="K2608" i="51"/>
  <c r="K2609" i="51"/>
  <c r="K2610" i="51"/>
  <c r="K2611" i="51"/>
  <c r="K2612" i="51"/>
  <c r="K2613" i="51"/>
  <c r="K2614" i="51"/>
  <c r="K2615" i="51"/>
  <c r="K2616" i="51"/>
  <c r="K2617" i="51"/>
  <c r="K2618" i="51"/>
  <c r="K2619" i="51"/>
  <c r="K2620" i="51"/>
  <c r="K2621" i="51"/>
  <c r="K2622" i="51"/>
  <c r="K2623" i="51"/>
  <c r="K2624" i="51"/>
  <c r="K2625" i="51"/>
  <c r="K2626" i="51"/>
  <c r="K2627" i="51"/>
  <c r="K2628" i="51"/>
  <c r="K2629" i="51"/>
  <c r="K2630" i="51"/>
  <c r="K2631" i="51"/>
  <c r="K2632" i="51"/>
  <c r="K2633" i="51"/>
  <c r="K2634" i="51"/>
  <c r="K2635" i="51"/>
  <c r="K2636" i="51"/>
  <c r="K2637" i="51"/>
  <c r="K2638" i="51"/>
  <c r="K2639" i="51"/>
  <c r="K2640" i="51"/>
  <c r="K2641" i="51"/>
  <c r="K2642" i="51"/>
  <c r="K2643" i="51"/>
  <c r="K2644" i="51"/>
  <c r="K2645" i="51"/>
  <c r="K2646" i="51"/>
  <c r="K2647" i="51"/>
  <c r="K2648" i="51"/>
  <c r="K2649" i="51"/>
  <c r="K2650" i="51"/>
  <c r="K2651" i="51"/>
  <c r="K2652" i="51"/>
  <c r="K2653" i="51"/>
  <c r="K2654" i="51"/>
  <c r="K2655" i="51"/>
  <c r="K2656" i="51"/>
  <c r="K2657" i="51"/>
  <c r="K2658" i="51"/>
  <c r="K2659" i="51"/>
  <c r="K2660" i="51"/>
  <c r="K2661" i="51"/>
  <c r="K2662" i="51"/>
  <c r="K2663" i="51"/>
  <c r="K2664" i="51"/>
  <c r="K2665" i="51"/>
  <c r="K2666" i="51"/>
  <c r="K2667" i="51"/>
  <c r="K2668" i="51"/>
  <c r="K2669" i="51"/>
  <c r="K2670" i="51"/>
  <c r="K2671" i="51"/>
  <c r="K2672" i="51"/>
  <c r="K2673" i="51"/>
  <c r="K2674" i="51"/>
  <c r="K2675" i="51"/>
  <c r="K2676" i="51"/>
  <c r="K2677" i="51"/>
  <c r="K2678" i="51"/>
  <c r="K2679" i="51"/>
  <c r="K2680" i="51"/>
  <c r="K2681" i="51"/>
  <c r="K2682" i="51"/>
  <c r="K2683" i="51"/>
  <c r="K2684" i="51"/>
  <c r="K2685" i="51"/>
  <c r="K2686" i="51"/>
  <c r="K2687" i="51"/>
  <c r="K2688" i="51"/>
  <c r="K2689" i="51"/>
  <c r="K2690" i="51"/>
  <c r="K2691" i="51"/>
  <c r="K2692" i="51"/>
  <c r="K2693" i="51"/>
  <c r="K2694" i="51"/>
  <c r="K2695" i="51"/>
  <c r="K2696" i="51"/>
  <c r="K2697" i="51"/>
  <c r="K2698" i="51"/>
  <c r="K2699" i="51"/>
  <c r="K2700" i="51"/>
  <c r="K2701" i="51"/>
  <c r="K2702" i="51"/>
  <c r="K2703" i="51"/>
  <c r="K2704" i="51"/>
  <c r="K2705" i="51"/>
  <c r="K2706" i="51"/>
  <c r="K2707" i="51"/>
  <c r="K2708" i="51"/>
  <c r="K2709" i="51"/>
  <c r="K2710" i="51"/>
  <c r="K2711" i="51"/>
  <c r="K2712" i="51"/>
  <c r="K2713" i="51"/>
  <c r="K2714" i="51"/>
  <c r="K2715" i="51"/>
  <c r="K2716" i="51"/>
  <c r="K2717" i="51"/>
  <c r="K2718" i="51"/>
  <c r="K2719" i="51"/>
  <c r="K2720" i="51"/>
  <c r="K2721" i="51"/>
  <c r="K2722" i="51"/>
  <c r="K2723" i="51"/>
  <c r="K2724" i="51"/>
  <c r="K2725" i="51"/>
  <c r="K2726" i="51"/>
  <c r="K2727" i="51"/>
  <c r="K2728" i="51"/>
  <c r="K2729" i="51"/>
  <c r="K2730" i="51"/>
  <c r="K2731" i="51"/>
  <c r="K2732" i="51"/>
  <c r="K2733" i="51"/>
  <c r="K2734" i="51"/>
  <c r="K2735" i="51"/>
  <c r="K2736" i="51"/>
  <c r="K2737" i="51"/>
  <c r="K2738" i="51"/>
  <c r="K2739" i="51"/>
  <c r="K2740" i="51"/>
  <c r="K2741" i="51"/>
  <c r="K2742" i="51"/>
  <c r="K2743" i="51"/>
  <c r="K2744" i="51"/>
  <c r="K2745" i="51"/>
  <c r="K2746" i="51"/>
  <c r="K2747" i="51"/>
  <c r="K2748" i="51"/>
  <c r="K2749" i="51"/>
  <c r="K2750" i="51"/>
  <c r="K2751" i="51"/>
  <c r="K2752" i="51"/>
  <c r="K2753" i="51"/>
  <c r="K2754" i="51"/>
  <c r="K2755" i="51"/>
  <c r="K2756" i="51"/>
  <c r="K2757" i="51"/>
  <c r="K2758" i="51"/>
  <c r="K2759" i="51"/>
  <c r="K2760" i="51"/>
  <c r="K2761" i="51"/>
  <c r="K2762" i="51"/>
  <c r="K2763" i="51"/>
  <c r="K2764" i="51"/>
  <c r="K2765" i="51"/>
  <c r="K2766" i="51"/>
  <c r="K2767" i="51"/>
  <c r="K2768" i="51"/>
  <c r="K2769" i="51"/>
  <c r="K2770" i="51"/>
  <c r="K2771" i="51"/>
  <c r="K2772" i="51"/>
  <c r="K2773" i="51"/>
  <c r="K2774" i="51"/>
  <c r="K2775" i="51"/>
  <c r="K2776" i="51"/>
  <c r="K2777" i="51"/>
  <c r="K2778" i="51"/>
  <c r="K2779" i="51"/>
  <c r="K2780" i="51"/>
  <c r="K2781" i="51"/>
  <c r="K2782" i="51"/>
  <c r="K2783" i="51"/>
  <c r="K2784" i="51"/>
  <c r="K2785" i="51"/>
  <c r="K2786" i="51"/>
  <c r="K2787" i="51"/>
  <c r="K2788" i="51"/>
  <c r="K2789" i="51"/>
  <c r="K2790" i="51"/>
  <c r="K2791" i="51"/>
  <c r="K2792" i="51"/>
  <c r="K2793" i="51"/>
  <c r="K2794" i="51"/>
  <c r="K2795" i="51"/>
  <c r="K2796" i="51"/>
  <c r="K2797" i="51"/>
  <c r="K2798" i="51"/>
  <c r="K2799" i="51"/>
  <c r="K2800" i="51"/>
  <c r="K2801" i="51"/>
  <c r="K2802" i="51"/>
  <c r="K2803" i="51"/>
  <c r="K2804" i="51"/>
  <c r="K2805" i="51"/>
  <c r="K2806" i="51"/>
  <c r="K2807" i="51"/>
  <c r="K2808" i="51"/>
  <c r="K2809" i="51"/>
  <c r="K2810" i="51"/>
  <c r="K2811" i="51"/>
  <c r="K2812" i="51"/>
  <c r="K2813" i="51"/>
  <c r="K2814" i="51"/>
  <c r="K2815" i="51"/>
  <c r="K2816" i="51"/>
  <c r="K2817" i="51"/>
  <c r="K2818" i="51"/>
  <c r="K2819" i="51"/>
  <c r="K2820" i="51"/>
  <c r="K2821" i="51"/>
  <c r="K2822" i="51"/>
  <c r="K2823" i="51"/>
  <c r="K2824" i="51"/>
  <c r="K2825" i="51"/>
  <c r="K2826" i="51"/>
  <c r="K2827" i="51"/>
  <c r="K2828" i="51"/>
  <c r="K2829" i="51"/>
  <c r="K2830" i="51"/>
  <c r="K2831" i="51"/>
  <c r="K2832" i="51"/>
  <c r="K2833" i="51"/>
  <c r="K2834" i="51"/>
  <c r="K2835" i="51"/>
  <c r="K2836" i="51"/>
  <c r="K2837" i="51"/>
  <c r="K2838" i="51"/>
  <c r="K2839" i="51"/>
  <c r="K2840" i="51"/>
  <c r="K2841" i="51"/>
  <c r="K2842" i="51"/>
  <c r="K2843" i="51"/>
  <c r="K2844" i="51"/>
  <c r="K2845" i="51"/>
  <c r="K2846" i="51"/>
  <c r="K2847" i="51"/>
  <c r="K2848" i="51"/>
  <c r="K2849" i="51"/>
  <c r="K2850" i="51"/>
  <c r="K2851" i="51"/>
  <c r="K2852" i="51"/>
  <c r="K2853" i="51"/>
  <c r="K2854" i="51"/>
  <c r="K2855" i="51"/>
  <c r="K2856" i="51"/>
  <c r="K2857" i="51"/>
  <c r="K2858" i="51"/>
  <c r="K2859" i="51"/>
  <c r="K2860" i="51"/>
  <c r="K2861" i="51"/>
  <c r="K2862" i="51"/>
  <c r="K2863" i="51"/>
  <c r="K2864" i="51"/>
  <c r="K2865" i="51"/>
  <c r="K2866" i="51"/>
  <c r="K2867" i="51"/>
  <c r="K2868" i="51"/>
  <c r="K2869" i="51"/>
  <c r="K2870" i="51"/>
  <c r="K2871" i="51"/>
  <c r="K2872" i="51"/>
  <c r="K2873" i="51"/>
  <c r="K2874" i="51"/>
  <c r="K2875" i="51"/>
  <c r="K2876" i="51"/>
  <c r="K2877" i="51"/>
  <c r="K2878" i="51"/>
  <c r="K2879" i="51"/>
  <c r="K2880" i="51"/>
  <c r="K2881" i="51"/>
  <c r="K2882" i="51"/>
  <c r="K2883" i="51"/>
  <c r="K2884" i="51"/>
  <c r="K2885" i="51"/>
  <c r="K2886" i="51"/>
  <c r="K2887" i="51"/>
  <c r="K2888" i="51"/>
  <c r="K2889" i="51"/>
  <c r="K2890" i="51"/>
  <c r="K2891" i="51"/>
  <c r="K2892" i="51"/>
  <c r="K2893" i="51"/>
  <c r="K2894" i="51"/>
  <c r="K2895" i="51"/>
  <c r="K2896" i="51"/>
  <c r="K2897" i="51"/>
  <c r="K2898" i="51"/>
  <c r="K2899" i="51"/>
  <c r="K2900" i="51"/>
  <c r="K2901" i="51"/>
  <c r="K2902" i="51"/>
  <c r="K2903" i="51"/>
  <c r="K2904" i="51"/>
  <c r="K2905" i="51"/>
  <c r="K2906" i="51"/>
  <c r="K2907" i="51"/>
  <c r="K2908" i="51"/>
  <c r="K2909" i="51"/>
  <c r="K2910" i="51"/>
  <c r="K2911" i="51"/>
  <c r="K2912" i="51"/>
  <c r="K2913" i="51"/>
  <c r="K2914" i="51"/>
  <c r="K2915" i="51"/>
  <c r="K2916" i="51"/>
  <c r="K2917" i="51"/>
  <c r="K2918" i="51"/>
  <c r="K2919" i="51"/>
  <c r="K2920" i="51"/>
  <c r="K2921" i="51"/>
  <c r="K2922" i="51"/>
  <c r="K2923" i="51"/>
  <c r="K2924" i="51"/>
  <c r="K2925" i="51"/>
  <c r="K2926" i="51"/>
  <c r="K2927" i="51"/>
  <c r="K2928" i="51"/>
  <c r="K2929" i="51"/>
  <c r="K2930" i="51"/>
  <c r="K2931" i="51"/>
  <c r="K2932" i="51"/>
  <c r="K2933" i="51"/>
  <c r="K2934" i="51"/>
  <c r="K2935" i="51"/>
  <c r="K2936" i="51"/>
  <c r="K2937" i="51"/>
  <c r="K2938" i="51"/>
  <c r="K2939" i="51"/>
  <c r="K2940" i="51"/>
  <c r="K2941" i="51"/>
  <c r="K2942" i="51"/>
  <c r="K2943" i="51"/>
  <c r="K2944" i="51"/>
  <c r="K2945" i="51"/>
  <c r="K2946" i="51"/>
  <c r="K2947" i="51"/>
  <c r="K2948" i="51"/>
  <c r="K2949" i="51"/>
  <c r="K2950" i="51"/>
  <c r="K2951" i="51"/>
  <c r="K2952" i="51"/>
  <c r="K2953" i="51"/>
  <c r="K2954" i="51"/>
  <c r="K2955" i="51"/>
  <c r="K2956" i="51"/>
  <c r="K2957" i="51"/>
  <c r="K2958" i="51"/>
  <c r="K2959" i="51"/>
  <c r="K2960" i="51"/>
  <c r="K2961" i="51"/>
  <c r="K2962" i="51"/>
  <c r="K2963" i="51"/>
  <c r="K2964" i="51"/>
  <c r="K2965" i="51"/>
  <c r="K2966" i="51"/>
  <c r="K2967" i="51"/>
  <c r="K2968" i="51"/>
  <c r="K2969" i="51"/>
  <c r="K2970" i="51"/>
  <c r="K2971" i="51"/>
  <c r="K2972" i="51"/>
  <c r="K2973" i="51"/>
  <c r="K2974" i="51"/>
  <c r="K2975" i="51"/>
  <c r="K2976" i="51"/>
  <c r="K2977" i="51"/>
  <c r="K2978" i="51"/>
  <c r="K2979" i="51"/>
  <c r="K2980" i="51"/>
  <c r="K2981" i="51"/>
  <c r="K2982" i="51"/>
  <c r="K2983" i="51"/>
  <c r="K2984" i="51"/>
  <c r="K2985" i="51"/>
  <c r="K2986" i="51"/>
  <c r="K2987" i="51"/>
  <c r="K2988" i="51"/>
  <c r="K2989" i="51"/>
  <c r="K2990" i="51"/>
  <c r="K2991" i="51"/>
  <c r="K2992" i="51"/>
  <c r="K2993" i="51"/>
  <c r="K2994" i="51"/>
  <c r="K2995" i="51"/>
  <c r="K2996" i="51"/>
  <c r="K2997" i="51"/>
  <c r="K2998" i="51"/>
  <c r="K2999" i="51"/>
  <c r="K3000" i="51"/>
  <c r="K3001" i="51"/>
  <c r="K3002" i="51"/>
  <c r="K3003" i="51"/>
  <c r="K3004" i="51"/>
  <c r="K3005" i="51"/>
  <c r="K3006" i="51"/>
  <c r="K3007" i="51"/>
  <c r="K3008" i="51"/>
  <c r="K3009" i="51"/>
  <c r="K3010" i="51"/>
  <c r="K3011" i="51"/>
  <c r="K3012" i="51"/>
  <c r="K3013" i="51"/>
  <c r="K3014" i="51"/>
  <c r="K3015" i="51"/>
  <c r="K3016" i="51"/>
  <c r="K3017" i="51"/>
  <c r="K3018" i="51"/>
  <c r="K3019" i="51"/>
  <c r="K3020" i="51"/>
  <c r="K3021" i="51"/>
  <c r="K3022" i="51"/>
  <c r="K3023" i="51"/>
  <c r="K3024" i="51"/>
  <c r="K3025" i="51"/>
  <c r="K3026" i="51"/>
  <c r="K3027" i="51"/>
  <c r="K3028" i="51"/>
  <c r="K3029" i="51"/>
  <c r="K3030" i="51"/>
  <c r="K3031" i="51"/>
  <c r="K3032" i="51"/>
  <c r="K3033" i="51"/>
  <c r="K3034" i="51"/>
  <c r="K3035" i="51"/>
  <c r="K3036" i="51"/>
  <c r="K3037" i="51"/>
  <c r="K3038" i="51"/>
  <c r="K3039" i="51"/>
  <c r="K3040" i="51"/>
  <c r="K3041" i="51"/>
  <c r="K3042" i="51"/>
  <c r="K3043" i="51"/>
  <c r="K3044" i="51"/>
  <c r="K3045" i="51"/>
  <c r="K3046" i="51"/>
  <c r="K3047" i="51"/>
  <c r="K3048" i="51"/>
  <c r="K3049" i="51"/>
  <c r="K3050" i="51"/>
  <c r="K3051" i="51"/>
  <c r="K3052" i="51"/>
  <c r="K3053" i="51"/>
  <c r="K3054" i="51"/>
  <c r="K3055" i="51"/>
  <c r="K3056" i="51"/>
  <c r="K3057" i="51"/>
  <c r="K3058" i="51"/>
  <c r="K3059" i="51"/>
  <c r="K3060" i="51"/>
  <c r="K3061" i="51"/>
  <c r="K3062" i="51"/>
  <c r="K3063" i="51"/>
  <c r="K3064" i="51"/>
  <c r="K3065" i="51"/>
  <c r="K3066" i="51"/>
  <c r="K3067" i="51"/>
  <c r="K3068" i="51"/>
  <c r="K3069" i="51"/>
  <c r="K3070" i="51"/>
  <c r="K3071" i="51"/>
  <c r="K3072" i="51"/>
  <c r="K3073" i="51"/>
  <c r="K3074" i="51"/>
  <c r="K3075" i="51"/>
  <c r="K3076" i="51"/>
  <c r="K3077" i="51"/>
  <c r="K3078" i="51"/>
  <c r="K3079" i="51"/>
  <c r="K3080" i="51"/>
  <c r="K3081" i="51"/>
  <c r="K3082" i="51"/>
  <c r="K3083" i="51"/>
  <c r="K3084" i="51"/>
  <c r="K3085" i="51"/>
  <c r="K3086" i="51"/>
  <c r="K3087" i="51"/>
  <c r="K3088" i="51"/>
  <c r="K3089" i="51"/>
  <c r="K3090" i="51"/>
  <c r="K3091" i="51"/>
  <c r="K3092" i="51"/>
  <c r="K3093" i="51"/>
  <c r="K3094" i="51"/>
  <c r="K3095" i="51"/>
  <c r="K3096" i="51"/>
  <c r="K3097" i="51"/>
  <c r="K3098" i="51"/>
  <c r="K3099" i="51"/>
  <c r="K3100" i="51"/>
  <c r="K3101" i="51"/>
  <c r="K3102" i="51"/>
  <c r="K3103" i="51"/>
  <c r="K3104" i="51"/>
  <c r="K3105" i="51"/>
  <c r="K3106" i="51"/>
  <c r="K3107" i="51"/>
  <c r="K3108" i="51"/>
  <c r="K3109" i="51"/>
  <c r="K3110" i="51"/>
  <c r="K3111" i="51"/>
  <c r="K3112" i="51"/>
  <c r="K3113" i="51"/>
  <c r="K3114" i="51"/>
  <c r="K3115" i="51"/>
  <c r="K3116" i="51"/>
  <c r="K3117" i="51"/>
  <c r="K3118" i="51"/>
  <c r="K3119" i="51"/>
  <c r="K3120" i="51"/>
  <c r="K3121" i="51"/>
  <c r="K3122" i="51"/>
  <c r="K3123" i="51"/>
  <c r="K3124" i="51"/>
  <c r="K3125" i="51"/>
  <c r="K3126" i="51"/>
  <c r="K3127" i="51"/>
  <c r="K3128" i="51"/>
  <c r="K3129" i="51"/>
  <c r="K3130" i="51"/>
  <c r="K3131" i="51"/>
  <c r="K3132" i="51"/>
  <c r="K3133" i="51"/>
  <c r="K3134" i="51"/>
  <c r="K3135" i="51"/>
  <c r="K3136" i="51"/>
  <c r="K3137" i="51"/>
  <c r="K3138" i="51"/>
  <c r="K3139" i="51"/>
  <c r="K3140" i="51"/>
  <c r="K3141" i="51"/>
  <c r="K3142" i="51"/>
  <c r="K3143" i="51"/>
  <c r="K3144" i="51"/>
  <c r="K3145" i="51"/>
  <c r="K3146" i="51"/>
  <c r="K3147" i="51"/>
  <c r="K3148" i="51"/>
  <c r="K3149" i="51"/>
  <c r="K3150" i="51"/>
  <c r="K3151" i="51"/>
  <c r="K3152" i="51"/>
  <c r="K3153" i="51"/>
  <c r="K3154" i="51"/>
  <c r="K3155" i="51"/>
  <c r="K3156" i="51"/>
  <c r="K3157" i="51"/>
  <c r="K3158" i="51"/>
  <c r="K3159" i="51"/>
  <c r="K3160" i="51"/>
  <c r="K3161" i="51"/>
  <c r="K3162" i="51"/>
  <c r="K3163" i="51"/>
  <c r="K3164" i="51"/>
  <c r="K3165" i="51"/>
  <c r="K3166" i="51"/>
  <c r="K3167" i="51"/>
  <c r="K3168" i="51"/>
  <c r="K3169" i="51"/>
  <c r="K3170" i="51"/>
  <c r="K3171" i="51"/>
  <c r="K3172" i="51"/>
  <c r="K3173" i="51"/>
  <c r="K3174" i="51"/>
  <c r="K3175" i="51"/>
  <c r="K3176" i="51"/>
  <c r="K3177" i="51"/>
  <c r="K3178" i="51"/>
  <c r="K3179" i="51"/>
  <c r="K3180" i="51"/>
  <c r="K3181" i="51"/>
  <c r="K3182" i="51"/>
  <c r="K3183" i="51"/>
  <c r="K3184" i="51"/>
  <c r="K3185" i="51"/>
  <c r="K3186" i="51"/>
  <c r="K3187" i="51"/>
  <c r="K3188" i="51"/>
  <c r="K3189" i="51"/>
  <c r="K3190" i="51"/>
  <c r="K3191" i="51"/>
  <c r="K3192" i="51"/>
  <c r="K3193" i="51"/>
  <c r="K3194" i="51"/>
  <c r="K3195" i="51"/>
  <c r="K3196" i="51"/>
  <c r="K3197" i="51"/>
  <c r="K3198" i="51"/>
  <c r="K3199" i="51"/>
  <c r="K3200" i="51"/>
  <c r="K3201" i="51"/>
  <c r="K3202" i="51"/>
  <c r="K3203" i="51"/>
  <c r="K3204" i="51"/>
  <c r="K3205" i="51"/>
  <c r="K3206" i="51"/>
  <c r="K3207" i="51"/>
  <c r="K3208" i="51"/>
  <c r="K3209" i="51"/>
  <c r="K3210" i="51"/>
  <c r="K3211" i="51"/>
  <c r="K3212" i="51"/>
  <c r="K3213" i="51"/>
  <c r="K3214" i="51"/>
  <c r="K3215" i="51"/>
  <c r="K3216" i="51"/>
  <c r="K3217" i="51"/>
  <c r="K3218" i="51"/>
  <c r="K3219" i="51"/>
  <c r="K3220" i="51"/>
  <c r="K3221" i="51"/>
  <c r="K3222" i="51"/>
  <c r="K3223" i="51"/>
  <c r="K3224" i="51"/>
  <c r="K3225" i="51"/>
  <c r="K3226" i="51"/>
  <c r="K3227" i="51"/>
  <c r="K3228" i="51"/>
  <c r="K3229" i="51"/>
  <c r="K3230" i="51"/>
  <c r="K3231" i="51"/>
  <c r="K3232" i="51"/>
  <c r="K3233" i="51"/>
  <c r="K3234" i="51"/>
  <c r="K3235" i="51"/>
  <c r="K3236" i="51"/>
  <c r="K3237" i="51"/>
  <c r="K3238" i="51"/>
  <c r="K3239" i="51"/>
  <c r="K3240" i="51"/>
  <c r="K3241" i="51"/>
  <c r="K3242" i="51"/>
  <c r="K3243" i="51"/>
  <c r="K3244" i="51"/>
  <c r="K3245" i="51"/>
  <c r="K3246" i="51"/>
  <c r="K3247" i="51"/>
  <c r="K3248" i="51"/>
  <c r="K3249" i="51"/>
  <c r="K3250" i="51"/>
  <c r="K3251" i="51"/>
  <c r="K3252" i="51"/>
  <c r="K3253" i="51"/>
  <c r="K3254" i="51"/>
  <c r="K3255" i="51"/>
  <c r="K3256" i="51"/>
  <c r="K3257" i="51"/>
  <c r="K3258" i="51"/>
  <c r="K3259" i="51"/>
  <c r="K3260" i="51"/>
  <c r="K3261" i="51"/>
  <c r="K3262" i="51"/>
  <c r="K3263" i="51"/>
  <c r="K3264" i="51"/>
  <c r="K3265" i="51"/>
  <c r="K3266" i="51"/>
  <c r="K3267" i="51"/>
  <c r="K3268" i="51"/>
  <c r="K3269" i="51"/>
  <c r="K3270" i="51"/>
  <c r="K3271" i="51"/>
  <c r="K3272" i="51"/>
  <c r="K3273" i="51"/>
  <c r="K3274" i="51"/>
  <c r="K3275" i="51"/>
  <c r="K3276" i="51"/>
  <c r="K3277" i="51"/>
  <c r="K3278" i="51"/>
  <c r="K3279" i="51"/>
  <c r="K3280" i="51"/>
  <c r="K3281" i="51"/>
  <c r="K3282" i="51"/>
  <c r="K3283" i="51"/>
  <c r="K3284" i="51"/>
  <c r="K3285" i="51"/>
  <c r="K3286" i="51"/>
  <c r="K3287" i="51"/>
  <c r="K3288" i="51"/>
  <c r="K3289" i="51"/>
  <c r="K3290" i="51"/>
  <c r="K3291" i="51"/>
  <c r="K3292" i="51"/>
  <c r="K3293" i="51"/>
  <c r="K3294" i="51"/>
  <c r="K3295" i="51"/>
  <c r="K3296" i="51"/>
  <c r="K3297" i="51"/>
  <c r="K3298" i="51"/>
  <c r="K3299" i="51"/>
  <c r="K3300" i="51"/>
  <c r="K3301" i="51"/>
  <c r="K3302" i="51"/>
  <c r="K3303" i="51"/>
  <c r="K3304" i="51"/>
  <c r="K3305" i="51"/>
  <c r="K3306" i="51"/>
  <c r="K3307" i="51"/>
  <c r="K3308" i="51"/>
  <c r="K3309" i="51"/>
  <c r="K3310" i="51"/>
  <c r="K3311" i="51"/>
  <c r="K3312" i="51"/>
  <c r="K3313" i="51"/>
  <c r="K3314" i="51"/>
  <c r="K3315" i="51"/>
  <c r="K3316" i="51"/>
  <c r="K3317" i="51"/>
  <c r="K3318" i="51"/>
  <c r="K3319" i="51"/>
  <c r="K3320" i="51"/>
  <c r="K3321" i="51"/>
  <c r="K3322" i="51"/>
  <c r="K3323" i="51"/>
  <c r="K3324" i="51"/>
  <c r="K3325" i="51"/>
  <c r="K3326" i="51"/>
  <c r="K3327" i="51"/>
  <c r="K3328" i="51"/>
  <c r="K3329" i="51"/>
  <c r="K3330" i="51"/>
  <c r="K3331" i="51"/>
  <c r="K3332" i="51"/>
  <c r="K3333" i="51"/>
  <c r="K3334" i="51"/>
  <c r="K3335" i="51"/>
  <c r="K3336" i="51"/>
  <c r="K3337" i="51"/>
  <c r="K3338" i="51"/>
  <c r="K3339" i="51"/>
  <c r="K3340" i="51"/>
  <c r="K3341" i="51"/>
  <c r="K3342" i="51"/>
  <c r="K3343" i="51"/>
  <c r="K3344" i="51"/>
  <c r="K3345" i="51"/>
  <c r="K3346" i="51"/>
  <c r="K3347" i="51"/>
  <c r="K3348" i="51"/>
  <c r="K3349" i="51"/>
  <c r="K3350" i="51"/>
  <c r="K3351" i="51"/>
  <c r="K3352" i="51"/>
  <c r="K3353" i="51"/>
  <c r="K3354" i="51"/>
  <c r="K3355" i="51"/>
  <c r="K3356" i="51"/>
  <c r="K3357" i="51"/>
  <c r="K3358" i="51"/>
  <c r="K3359" i="51"/>
  <c r="K3360" i="51"/>
  <c r="K3361" i="51"/>
  <c r="K3362" i="51"/>
  <c r="K3363" i="51"/>
  <c r="K3364" i="51"/>
  <c r="K3365" i="51"/>
  <c r="K3366" i="51"/>
  <c r="K3367" i="51"/>
  <c r="K3368" i="51"/>
  <c r="K3369" i="51"/>
  <c r="K3370" i="51"/>
  <c r="K3371" i="51"/>
  <c r="K3372" i="51"/>
  <c r="K3373" i="51"/>
  <c r="K3374" i="51"/>
  <c r="K3375" i="51"/>
  <c r="K3376" i="51"/>
  <c r="K3377" i="51"/>
  <c r="K3378" i="51"/>
  <c r="K3379" i="51"/>
  <c r="K3380" i="51"/>
  <c r="K3381" i="51"/>
  <c r="K3382" i="51"/>
  <c r="K3383" i="51"/>
  <c r="K3384" i="51"/>
  <c r="K3385" i="51"/>
  <c r="K3386" i="51"/>
  <c r="K3387" i="51"/>
  <c r="K3388" i="51"/>
  <c r="K3389" i="51"/>
  <c r="K3390" i="51"/>
  <c r="K3391" i="51"/>
  <c r="K3392" i="51"/>
  <c r="K3393" i="51"/>
  <c r="K3394" i="51"/>
  <c r="K3395" i="51"/>
  <c r="K3396" i="51"/>
  <c r="K3397" i="51"/>
  <c r="K3398" i="51"/>
  <c r="K3399" i="51"/>
  <c r="K3400" i="51"/>
  <c r="K3401" i="51"/>
  <c r="K3402" i="51"/>
  <c r="K3403" i="51"/>
  <c r="K3404" i="51"/>
  <c r="K3405" i="51"/>
  <c r="K3406" i="51"/>
  <c r="K3407" i="51"/>
  <c r="K3408" i="51"/>
  <c r="K3409" i="51"/>
  <c r="K3410" i="51"/>
  <c r="K3411" i="51"/>
  <c r="K3412" i="51"/>
  <c r="K3413" i="51"/>
  <c r="K3414" i="51"/>
  <c r="K3415" i="51"/>
  <c r="K3416" i="51"/>
  <c r="K3417" i="51"/>
  <c r="K3418" i="51"/>
  <c r="K3419" i="51"/>
  <c r="K3420" i="51"/>
  <c r="K3421" i="51"/>
  <c r="K3422" i="51"/>
  <c r="K3423" i="51"/>
  <c r="K3424" i="51"/>
  <c r="K3425" i="51"/>
  <c r="K3426" i="51"/>
  <c r="K3427" i="51"/>
  <c r="K3428" i="51"/>
  <c r="K3429" i="51"/>
  <c r="K3430" i="51"/>
  <c r="K3431" i="51"/>
  <c r="K3432" i="51"/>
  <c r="K3433" i="51"/>
  <c r="K3434" i="51"/>
  <c r="K3435" i="51"/>
  <c r="K3436" i="51"/>
  <c r="K3437" i="51"/>
  <c r="K3438" i="51"/>
  <c r="K3439" i="51"/>
  <c r="K3440" i="51"/>
  <c r="K3441" i="51"/>
  <c r="K3442" i="51"/>
  <c r="K3443" i="51"/>
  <c r="K3444" i="51"/>
  <c r="K3445" i="51"/>
  <c r="K3446" i="51"/>
  <c r="K3447" i="51"/>
  <c r="K3448" i="51"/>
  <c r="K3449" i="51"/>
  <c r="K3450" i="51"/>
  <c r="K3451" i="51"/>
  <c r="K3452" i="51"/>
  <c r="K3453" i="51"/>
  <c r="K3454" i="51"/>
  <c r="K3455" i="51"/>
  <c r="K3456" i="51"/>
  <c r="K3457" i="51"/>
  <c r="K3458" i="51"/>
  <c r="K3459" i="51"/>
  <c r="K3460" i="51"/>
  <c r="K3461" i="51"/>
  <c r="K3462" i="51"/>
  <c r="K3463" i="51"/>
  <c r="K3464" i="51"/>
  <c r="K3465" i="51"/>
  <c r="K3466" i="51"/>
  <c r="K3467" i="51"/>
  <c r="K3468" i="51"/>
  <c r="K3469" i="51"/>
  <c r="K3470" i="51"/>
  <c r="K3471" i="51"/>
  <c r="K3472" i="51"/>
  <c r="K3473" i="51"/>
  <c r="K3474" i="51"/>
  <c r="K3475" i="51"/>
  <c r="K3476" i="51"/>
  <c r="K3477" i="51"/>
  <c r="K3478" i="51"/>
  <c r="K3479" i="51"/>
  <c r="K3480" i="51"/>
  <c r="K3481" i="51"/>
  <c r="K3482" i="51"/>
  <c r="K3483" i="51"/>
  <c r="K3484" i="51"/>
  <c r="K3485" i="51"/>
  <c r="K3486" i="51"/>
  <c r="K3487" i="51"/>
  <c r="K3488" i="51"/>
  <c r="K3489" i="51"/>
  <c r="K3490" i="51"/>
  <c r="K3491" i="51"/>
  <c r="K3492" i="51"/>
  <c r="K3493" i="51"/>
  <c r="K3494" i="51"/>
  <c r="K3495" i="51"/>
  <c r="K3496" i="51"/>
  <c r="K3497" i="51"/>
  <c r="K3498" i="51"/>
  <c r="K3499" i="51"/>
  <c r="K3500" i="51"/>
  <c r="K3501" i="51"/>
  <c r="K3502" i="51"/>
  <c r="K3503" i="51"/>
  <c r="K3504" i="51"/>
  <c r="K3505" i="51"/>
  <c r="K3506" i="51"/>
  <c r="K3507" i="51"/>
  <c r="K3508" i="51"/>
  <c r="K3509" i="51"/>
  <c r="K3510" i="51"/>
  <c r="K3511" i="51"/>
  <c r="K3512" i="51"/>
  <c r="K3513" i="51"/>
  <c r="K3514" i="51"/>
  <c r="K3515" i="51"/>
  <c r="K3516" i="51"/>
  <c r="K3517" i="51"/>
  <c r="K3518" i="51"/>
  <c r="K3519" i="51"/>
  <c r="K3520" i="51"/>
  <c r="K3521" i="51"/>
  <c r="K3522" i="51"/>
  <c r="K3523" i="51"/>
  <c r="K3524" i="51"/>
  <c r="K3525" i="51"/>
  <c r="K3526" i="51"/>
  <c r="K3527" i="51"/>
  <c r="K3528" i="51"/>
  <c r="K3529" i="51"/>
  <c r="K3530" i="51"/>
  <c r="K3531" i="51"/>
  <c r="K3532" i="51"/>
  <c r="K3533" i="51"/>
  <c r="K3534" i="51"/>
  <c r="K3535" i="51"/>
  <c r="K3536" i="51"/>
  <c r="K3537" i="51"/>
  <c r="K3538" i="51"/>
  <c r="K3539" i="51"/>
  <c r="K3540" i="51"/>
  <c r="K3541" i="51"/>
  <c r="K3542" i="51"/>
  <c r="K3543" i="51"/>
  <c r="K3544" i="51"/>
  <c r="K3545" i="51"/>
  <c r="K3546" i="51"/>
  <c r="K3547" i="51"/>
  <c r="K3548" i="51"/>
  <c r="K3549" i="51"/>
  <c r="K3550" i="51"/>
  <c r="K3551" i="51"/>
  <c r="K3552" i="51"/>
  <c r="K3553" i="51"/>
  <c r="K3554" i="51"/>
  <c r="K3555" i="51"/>
  <c r="K3556" i="51"/>
  <c r="K3557" i="51"/>
  <c r="K3558" i="51"/>
  <c r="K3559" i="51"/>
  <c r="K3560" i="51"/>
  <c r="K3561" i="51"/>
  <c r="K3562" i="51"/>
  <c r="K3563" i="51"/>
  <c r="K3564" i="51"/>
  <c r="K3565" i="51"/>
  <c r="K3566" i="51"/>
  <c r="K3567" i="51"/>
  <c r="K3568" i="51"/>
  <c r="K3569" i="51"/>
  <c r="K3570" i="51"/>
  <c r="K3571" i="51"/>
  <c r="K3572" i="51"/>
  <c r="K3573" i="51"/>
  <c r="K3574" i="51"/>
  <c r="K3575" i="51"/>
  <c r="K3576" i="51"/>
  <c r="K3577" i="51"/>
  <c r="K3578" i="51"/>
  <c r="K3579" i="51"/>
  <c r="K3580" i="51"/>
  <c r="K3581" i="51"/>
  <c r="K3582" i="51"/>
  <c r="K3583" i="51"/>
  <c r="K3584" i="51"/>
  <c r="K3585" i="51"/>
  <c r="K3586" i="51"/>
  <c r="K3587" i="51"/>
  <c r="K3588" i="51"/>
  <c r="K3589" i="51"/>
  <c r="K3590" i="51"/>
  <c r="K3591" i="51"/>
  <c r="K3592" i="51"/>
  <c r="K3593" i="51"/>
  <c r="K3594" i="51"/>
  <c r="K3595" i="51"/>
  <c r="K3596" i="51"/>
  <c r="K3597" i="51"/>
  <c r="K3598" i="51"/>
  <c r="K3599" i="51"/>
  <c r="K3600" i="51"/>
  <c r="K3601" i="51"/>
  <c r="K3602" i="51"/>
  <c r="K3603" i="51"/>
  <c r="K3604" i="51"/>
  <c r="K3605" i="51"/>
  <c r="K3606" i="51"/>
  <c r="K3607" i="51"/>
  <c r="K3608" i="51"/>
  <c r="K3609" i="51"/>
  <c r="K3610" i="51"/>
  <c r="K3611" i="51"/>
  <c r="K3612" i="51"/>
  <c r="K3613" i="51"/>
  <c r="K3614" i="51"/>
  <c r="K3615" i="51"/>
  <c r="K3616" i="51"/>
  <c r="K3617" i="51"/>
  <c r="K3618" i="51"/>
  <c r="K3619" i="51"/>
  <c r="K3620" i="51"/>
  <c r="K3621" i="51"/>
  <c r="K3622" i="51"/>
  <c r="K3623" i="51"/>
  <c r="K3624" i="51"/>
  <c r="K3625" i="51"/>
  <c r="K3626" i="51"/>
  <c r="K3627" i="51"/>
  <c r="K3628" i="51"/>
  <c r="K3629" i="51"/>
  <c r="K3630" i="51"/>
  <c r="K3631" i="51"/>
  <c r="K3632" i="51"/>
  <c r="K3633" i="51"/>
  <c r="K3634" i="51"/>
  <c r="K3635" i="51"/>
  <c r="K3636" i="51"/>
  <c r="K3637" i="51"/>
  <c r="K3638" i="51"/>
  <c r="K3639" i="51"/>
  <c r="K3640" i="51"/>
  <c r="K3641" i="51"/>
  <c r="K3642" i="51"/>
  <c r="K3643" i="51"/>
  <c r="K3644" i="51"/>
  <c r="K3645" i="51"/>
  <c r="K3646" i="51"/>
  <c r="K3647" i="51"/>
  <c r="K3648" i="51"/>
  <c r="K3649" i="51"/>
  <c r="K3650" i="51"/>
  <c r="K3651" i="51"/>
  <c r="K3652" i="51"/>
  <c r="K3653" i="51"/>
  <c r="K3654" i="51"/>
  <c r="K3655" i="51"/>
  <c r="K3656" i="51"/>
  <c r="K3657" i="51"/>
  <c r="K3658" i="51"/>
  <c r="K3659" i="51"/>
  <c r="K3660" i="51"/>
  <c r="K3661" i="51"/>
  <c r="K3662" i="51"/>
  <c r="K3663" i="51"/>
  <c r="K3664" i="51"/>
  <c r="K3665" i="51"/>
  <c r="K3666" i="51"/>
  <c r="K3667" i="51"/>
  <c r="K3668" i="51"/>
  <c r="K3669" i="51"/>
  <c r="K3670" i="51"/>
  <c r="K3671" i="51"/>
  <c r="K3672" i="51"/>
  <c r="K3673" i="51"/>
  <c r="K3674" i="51"/>
  <c r="K3675" i="51"/>
  <c r="K3676" i="51"/>
  <c r="K3677" i="51"/>
  <c r="K3678" i="51"/>
  <c r="K3679" i="51"/>
  <c r="K3680" i="51"/>
  <c r="K3681" i="51"/>
  <c r="K3682" i="51"/>
  <c r="K3683" i="51"/>
  <c r="K3684" i="51"/>
  <c r="K3685" i="51"/>
  <c r="K3686" i="51"/>
  <c r="K3687" i="51"/>
  <c r="K3688" i="51"/>
  <c r="K3689" i="51"/>
  <c r="K3690" i="51"/>
  <c r="K3691" i="51"/>
  <c r="K3692" i="51"/>
  <c r="K3693" i="51"/>
  <c r="K3694" i="51"/>
  <c r="K3695" i="51"/>
  <c r="K3696" i="51"/>
  <c r="K3697" i="51"/>
  <c r="K3698" i="51"/>
  <c r="K3699" i="51"/>
  <c r="K3700" i="51"/>
  <c r="K3701" i="51"/>
  <c r="K3702" i="51"/>
  <c r="K3703" i="51"/>
  <c r="K3704" i="51"/>
  <c r="K3705" i="51"/>
  <c r="K3706" i="51"/>
  <c r="K3707" i="51"/>
  <c r="K3708" i="51"/>
  <c r="K3709" i="51"/>
  <c r="K3710" i="51"/>
  <c r="K3711" i="51"/>
  <c r="K3712" i="51"/>
  <c r="K3713" i="51"/>
  <c r="K3714" i="51"/>
  <c r="K3715" i="51"/>
  <c r="K3716" i="51"/>
  <c r="K3717" i="51"/>
  <c r="K3718" i="51"/>
  <c r="K3719" i="51"/>
  <c r="K3720" i="51"/>
  <c r="K3721" i="51"/>
  <c r="K3722" i="51"/>
  <c r="K3723" i="51"/>
  <c r="K3724" i="51"/>
  <c r="K3725" i="51"/>
  <c r="K3726" i="51"/>
  <c r="K3727" i="51"/>
  <c r="K3728" i="51"/>
  <c r="K3729" i="51"/>
  <c r="K3730" i="51"/>
  <c r="K3731" i="51"/>
  <c r="K3732" i="51"/>
  <c r="K3733" i="51"/>
  <c r="K3734" i="51"/>
  <c r="K3735" i="51"/>
  <c r="K3736" i="51"/>
  <c r="K3737" i="51"/>
  <c r="K3738" i="51"/>
  <c r="K3739" i="51"/>
  <c r="K3740" i="51"/>
  <c r="K3741" i="51"/>
  <c r="K3742" i="51"/>
  <c r="K3743" i="51"/>
  <c r="K3744" i="51"/>
  <c r="K3745" i="51"/>
  <c r="K3746" i="51"/>
  <c r="K3747" i="51"/>
  <c r="K3748" i="51"/>
  <c r="K3749" i="51"/>
  <c r="K3750" i="51"/>
  <c r="K3751" i="51"/>
  <c r="K3752" i="51"/>
  <c r="K3753" i="51"/>
  <c r="K3754" i="51"/>
  <c r="K3755" i="51"/>
  <c r="K3756" i="51"/>
  <c r="K3757" i="51"/>
  <c r="K3758" i="51"/>
  <c r="K3759" i="51"/>
  <c r="K3760" i="51"/>
  <c r="K3761" i="51"/>
  <c r="K3762" i="51"/>
  <c r="K3763" i="51"/>
  <c r="K3764" i="51"/>
  <c r="K3765" i="51"/>
  <c r="K3766" i="51"/>
  <c r="K3767" i="51"/>
  <c r="K3768" i="51"/>
  <c r="K3769" i="51"/>
  <c r="K3770" i="51"/>
  <c r="K3771" i="51"/>
  <c r="K3772" i="51"/>
  <c r="K3773" i="51"/>
  <c r="K3774" i="51"/>
  <c r="K3775" i="51"/>
  <c r="K3776" i="51"/>
  <c r="K3777" i="51"/>
  <c r="K3778" i="51"/>
  <c r="K3779" i="51"/>
  <c r="K3780" i="51"/>
  <c r="K3781" i="51"/>
  <c r="K3782" i="51"/>
  <c r="K3783" i="51"/>
  <c r="K3784" i="51"/>
  <c r="K3785" i="51"/>
  <c r="K3786" i="51"/>
  <c r="K3787" i="51"/>
  <c r="K3788" i="51"/>
  <c r="K3789" i="51"/>
  <c r="K3790" i="51"/>
  <c r="K3791" i="51"/>
  <c r="K3792" i="51"/>
  <c r="K3793" i="51"/>
  <c r="K3794" i="51"/>
  <c r="K3795" i="51"/>
  <c r="K3796" i="51"/>
  <c r="K3797" i="51"/>
  <c r="K3798" i="51"/>
  <c r="K3799" i="51"/>
  <c r="K3800" i="51"/>
  <c r="K3801" i="51"/>
  <c r="K3802" i="51"/>
  <c r="K3803" i="51"/>
  <c r="K3804" i="51"/>
  <c r="K3805" i="51"/>
  <c r="K3806" i="51"/>
  <c r="K3807" i="51"/>
  <c r="K3808" i="51"/>
  <c r="K3809" i="51"/>
  <c r="K3810" i="51"/>
  <c r="K3811" i="51"/>
  <c r="K3812" i="51"/>
  <c r="K3813" i="51"/>
  <c r="K3814" i="51"/>
  <c r="K3815" i="51"/>
  <c r="K3816" i="51"/>
  <c r="K3817" i="51"/>
  <c r="K3818" i="51"/>
  <c r="K3819" i="51"/>
  <c r="K3820" i="51"/>
  <c r="K3821" i="51"/>
  <c r="K3822" i="51"/>
  <c r="K3823" i="51"/>
  <c r="K3824" i="51"/>
  <c r="K3825" i="51"/>
  <c r="K3826" i="51"/>
  <c r="K3827" i="51"/>
  <c r="K3828" i="51"/>
  <c r="K3829" i="51"/>
  <c r="K3830" i="51"/>
  <c r="K3831" i="51"/>
  <c r="K3832" i="51"/>
  <c r="K3833" i="51"/>
  <c r="K3834" i="51"/>
  <c r="K3835" i="51"/>
  <c r="K3836" i="51"/>
  <c r="K3837" i="51"/>
  <c r="K3838" i="51"/>
  <c r="K3839" i="51"/>
  <c r="K3840" i="51"/>
  <c r="K3841" i="51"/>
  <c r="K3842" i="51"/>
  <c r="K3843" i="51"/>
  <c r="K3844" i="51"/>
  <c r="K3845" i="51"/>
  <c r="K3846" i="51"/>
  <c r="K3847" i="51"/>
  <c r="K3848" i="51"/>
  <c r="K3849" i="51"/>
  <c r="K3850" i="51"/>
  <c r="K3851" i="51"/>
  <c r="K3852" i="51"/>
  <c r="K3853" i="51"/>
  <c r="K3854" i="51"/>
  <c r="K3855" i="51"/>
  <c r="K3856" i="51"/>
  <c r="K3857" i="51"/>
  <c r="K3858" i="51"/>
  <c r="K3859" i="51"/>
  <c r="K3860" i="51"/>
  <c r="K3861" i="51"/>
  <c r="K3862" i="51"/>
  <c r="K3863" i="51"/>
  <c r="K3864" i="51"/>
  <c r="K3865" i="51"/>
  <c r="K3866" i="51"/>
  <c r="K3867" i="51"/>
  <c r="K3868" i="51"/>
  <c r="K3869" i="51"/>
  <c r="K3870" i="51"/>
  <c r="K3871" i="51"/>
  <c r="K3872" i="51"/>
  <c r="K3873" i="51"/>
  <c r="K3874" i="51"/>
  <c r="K3875" i="51"/>
  <c r="K3876" i="51"/>
  <c r="K3877" i="51"/>
  <c r="K3878" i="51"/>
  <c r="K3879" i="51"/>
  <c r="K3880" i="51"/>
  <c r="K3881" i="51"/>
  <c r="K3882" i="51"/>
  <c r="K3883" i="51"/>
  <c r="K3884" i="51"/>
  <c r="K3885" i="51"/>
  <c r="K3886" i="51"/>
  <c r="K3887" i="51"/>
  <c r="K3888" i="51"/>
  <c r="K3889" i="51"/>
  <c r="K3890" i="51"/>
  <c r="K3891" i="51"/>
  <c r="K3892" i="51"/>
  <c r="K3893" i="51"/>
  <c r="K3894" i="51"/>
  <c r="K3895" i="51"/>
  <c r="K3896" i="51"/>
  <c r="K3897" i="51"/>
  <c r="K3898" i="51"/>
  <c r="K3899" i="51"/>
  <c r="K3900" i="51"/>
  <c r="K3901" i="51"/>
  <c r="K3902" i="51"/>
  <c r="K3903" i="51"/>
  <c r="K3904" i="51"/>
  <c r="K3905" i="51"/>
  <c r="K3906" i="51"/>
  <c r="K3907" i="51"/>
  <c r="K3908" i="51"/>
  <c r="K3909" i="51"/>
  <c r="K3910" i="51"/>
  <c r="K3911" i="51"/>
  <c r="K3912" i="51"/>
  <c r="K3913" i="51"/>
  <c r="K3914" i="51"/>
  <c r="K3915" i="51"/>
  <c r="K3916" i="51"/>
  <c r="K3917" i="51"/>
  <c r="K3918" i="51"/>
  <c r="K3919" i="51"/>
  <c r="K3920" i="51"/>
  <c r="K3921" i="51"/>
  <c r="K3922" i="51"/>
  <c r="K3923" i="51"/>
  <c r="K3924" i="51"/>
  <c r="K3925" i="51"/>
  <c r="K3926" i="51"/>
  <c r="K3927" i="51"/>
  <c r="K3928" i="51"/>
  <c r="K3929" i="51"/>
  <c r="K3930" i="51"/>
  <c r="K3931" i="51"/>
  <c r="K3932" i="51"/>
  <c r="K3933" i="51"/>
  <c r="K3934" i="51"/>
  <c r="K3935" i="51"/>
  <c r="K3936" i="51"/>
  <c r="K3937" i="51"/>
  <c r="K3938" i="51"/>
  <c r="K3939" i="51"/>
  <c r="K3940" i="51"/>
  <c r="K3941" i="51"/>
  <c r="K3942" i="51"/>
  <c r="K3943" i="51"/>
  <c r="K3944" i="51"/>
  <c r="K3945" i="51"/>
  <c r="K3946" i="51"/>
  <c r="K3947" i="51"/>
  <c r="K3948" i="51"/>
  <c r="K3949" i="51"/>
  <c r="K3950" i="51"/>
  <c r="K3951" i="51"/>
  <c r="K3952" i="51"/>
  <c r="K3953" i="51"/>
  <c r="K3954" i="51"/>
  <c r="K3955" i="51"/>
  <c r="K3956" i="51"/>
  <c r="K3957" i="51"/>
  <c r="K3958" i="51"/>
  <c r="K3959" i="51"/>
  <c r="K3960" i="51"/>
  <c r="K3961" i="51"/>
  <c r="K3962" i="51"/>
  <c r="K3963" i="51"/>
  <c r="K3964" i="51"/>
  <c r="K3965" i="51"/>
  <c r="K3966" i="51"/>
  <c r="K3967" i="51"/>
  <c r="K3968" i="51"/>
  <c r="K3969" i="51"/>
  <c r="K3970" i="51"/>
  <c r="K3971" i="51"/>
  <c r="K3972" i="51"/>
  <c r="K3973" i="51"/>
  <c r="K3974" i="51"/>
  <c r="K3975" i="51"/>
  <c r="K3976" i="51"/>
  <c r="K3977" i="51"/>
  <c r="K3978" i="51"/>
  <c r="K3979" i="51"/>
  <c r="K3980" i="51"/>
  <c r="K3981" i="51"/>
  <c r="K3982" i="51"/>
  <c r="K3983" i="51"/>
  <c r="K3984" i="51"/>
  <c r="K3985" i="51"/>
  <c r="K3986" i="51"/>
  <c r="K3987" i="51"/>
  <c r="K3988" i="51"/>
  <c r="K3989" i="51"/>
  <c r="K3990" i="51"/>
  <c r="K3991" i="51"/>
  <c r="K3992" i="51"/>
  <c r="K3993" i="51"/>
  <c r="K3994" i="51"/>
  <c r="K3995" i="51"/>
  <c r="K3996" i="51"/>
  <c r="K3997" i="51"/>
  <c r="K3998" i="51"/>
  <c r="K3999" i="51"/>
  <c r="K4000" i="51"/>
  <c r="K4001" i="51"/>
  <c r="K4002" i="51"/>
  <c r="K4003" i="51"/>
  <c r="K4004" i="51"/>
  <c r="K4005" i="51"/>
  <c r="K4006" i="51"/>
  <c r="K4007" i="51"/>
  <c r="K4008" i="51"/>
  <c r="K4009" i="51"/>
  <c r="K4010" i="51"/>
  <c r="K4011" i="51"/>
  <c r="K4012" i="51"/>
  <c r="K4013" i="51"/>
  <c r="K4014" i="51"/>
  <c r="K4015" i="51"/>
  <c r="K4016" i="51"/>
  <c r="K4017" i="51"/>
  <c r="K4018" i="51"/>
  <c r="K4019" i="51"/>
  <c r="K4020" i="51"/>
  <c r="K4021" i="51"/>
  <c r="K4022" i="51"/>
  <c r="K4023" i="51"/>
  <c r="K4024" i="51"/>
  <c r="K4025" i="51"/>
  <c r="K4026" i="51"/>
  <c r="K4027" i="51"/>
  <c r="K4028" i="51"/>
  <c r="K4029" i="51"/>
  <c r="K4030" i="51"/>
  <c r="K4031" i="51"/>
  <c r="K4032" i="51"/>
  <c r="K4033" i="51"/>
  <c r="K4034" i="51"/>
  <c r="K4035" i="51"/>
  <c r="K4036" i="51"/>
  <c r="K4037" i="51"/>
  <c r="K4038" i="51"/>
  <c r="K4039" i="51"/>
  <c r="K4040" i="51"/>
  <c r="K4041" i="51"/>
  <c r="K4042" i="51"/>
  <c r="K4043" i="51"/>
  <c r="K4044" i="51"/>
  <c r="K4045" i="51"/>
  <c r="K4046" i="51"/>
  <c r="K4047" i="51"/>
  <c r="K4048" i="51"/>
  <c r="K4049" i="51"/>
  <c r="K4050" i="51"/>
  <c r="K4051" i="51"/>
  <c r="K4052" i="51"/>
  <c r="K4053" i="51"/>
  <c r="K4054" i="51"/>
  <c r="K4055" i="51"/>
  <c r="K4056" i="51"/>
  <c r="K4057" i="51"/>
  <c r="K4058" i="51"/>
  <c r="K4059" i="51"/>
  <c r="K4060" i="51"/>
  <c r="K4061" i="51"/>
  <c r="K4062" i="51"/>
  <c r="K4063" i="51"/>
  <c r="K4064" i="51"/>
  <c r="K4065" i="51"/>
  <c r="K4066" i="51"/>
  <c r="K4067" i="51"/>
  <c r="K4068" i="51"/>
  <c r="K4069" i="51"/>
  <c r="K4070" i="51"/>
  <c r="K4071" i="51"/>
  <c r="K4072" i="51"/>
  <c r="K4073" i="51"/>
  <c r="K4074" i="51"/>
  <c r="K4075" i="51"/>
  <c r="K4076" i="51"/>
  <c r="K4077" i="51"/>
  <c r="K4078" i="51"/>
  <c r="K4079" i="51"/>
  <c r="K4080" i="51"/>
  <c r="K4081" i="51"/>
  <c r="K4082" i="51"/>
  <c r="K4083" i="51"/>
  <c r="K4084" i="51"/>
  <c r="K4085" i="51"/>
  <c r="K4086" i="51"/>
  <c r="K4087" i="51"/>
  <c r="K4088" i="51"/>
  <c r="K4089" i="51"/>
  <c r="K4090" i="51"/>
  <c r="K4091" i="51"/>
  <c r="K4092" i="51"/>
  <c r="K4093" i="51"/>
  <c r="K4094" i="51"/>
  <c r="K4095" i="51"/>
  <c r="K4096" i="51"/>
  <c r="K4097" i="51"/>
  <c r="K4098" i="51"/>
  <c r="K4099" i="51"/>
  <c r="K4100" i="51"/>
  <c r="K4101" i="51"/>
  <c r="K4102" i="51"/>
  <c r="K4103" i="51"/>
  <c r="K4104" i="51"/>
  <c r="K4105" i="51"/>
  <c r="K4106" i="51"/>
  <c r="K4107" i="51"/>
  <c r="K4108" i="51"/>
  <c r="K4109" i="51"/>
  <c r="K4110" i="51"/>
  <c r="K4111" i="51"/>
  <c r="K4112" i="51"/>
  <c r="K4113" i="51"/>
  <c r="K4114" i="51"/>
  <c r="K4115" i="51"/>
  <c r="K4116" i="51"/>
  <c r="K4117" i="51"/>
  <c r="K4118" i="51"/>
  <c r="K4119" i="51"/>
  <c r="K4120" i="51"/>
  <c r="K4121" i="51"/>
  <c r="K4122" i="51"/>
  <c r="K4123" i="51"/>
  <c r="K4124" i="51"/>
  <c r="K4125" i="51"/>
  <c r="K4126" i="51"/>
  <c r="K4127" i="51"/>
  <c r="K4128" i="51"/>
  <c r="K4129" i="51"/>
  <c r="K4130" i="51"/>
  <c r="K4131" i="51"/>
  <c r="K4132" i="51"/>
  <c r="K4133" i="51"/>
  <c r="K4134" i="51"/>
  <c r="K4135" i="51"/>
  <c r="K4136" i="51"/>
  <c r="K4137" i="51"/>
  <c r="K4138" i="51"/>
  <c r="K4139" i="51"/>
  <c r="K4140" i="51"/>
  <c r="K4141" i="51"/>
  <c r="K4142" i="51"/>
  <c r="K4143" i="51"/>
  <c r="K4144" i="51"/>
  <c r="K4145" i="51"/>
  <c r="K4146" i="51"/>
  <c r="K4147" i="51"/>
  <c r="K4148" i="51"/>
  <c r="K4149" i="51"/>
  <c r="K4150" i="51"/>
  <c r="K4151" i="51"/>
  <c r="K4152" i="51"/>
  <c r="K4153" i="51"/>
  <c r="K4154" i="51"/>
  <c r="K4155" i="51"/>
  <c r="K4156" i="51"/>
  <c r="K4157" i="51"/>
  <c r="K4158" i="51"/>
  <c r="K4159" i="51"/>
  <c r="K4160" i="51"/>
  <c r="K4161" i="51"/>
  <c r="K4162" i="51"/>
  <c r="K4163" i="51"/>
  <c r="K4164" i="51"/>
  <c r="K4165" i="51"/>
  <c r="K4166" i="51"/>
  <c r="K4167" i="51"/>
  <c r="K4168" i="51"/>
  <c r="K4169" i="51"/>
  <c r="K4170" i="51"/>
  <c r="K4171" i="51"/>
  <c r="K4172" i="51"/>
  <c r="K4173" i="51"/>
  <c r="K4174" i="51"/>
  <c r="K4175" i="51"/>
  <c r="K4176" i="51"/>
  <c r="K4177" i="51"/>
  <c r="K4178" i="51"/>
  <c r="K4179" i="51"/>
  <c r="K4180" i="51"/>
  <c r="K4181" i="51"/>
  <c r="K4182" i="51"/>
  <c r="K4183" i="51"/>
  <c r="K4184" i="51"/>
  <c r="K4185" i="51"/>
  <c r="K4186" i="51"/>
  <c r="K4187" i="51"/>
  <c r="K4188" i="51"/>
  <c r="K4189" i="51"/>
  <c r="K4190" i="51"/>
  <c r="K4191" i="51"/>
  <c r="K4192" i="51"/>
  <c r="K4193" i="51"/>
  <c r="K4194" i="51"/>
  <c r="K4195" i="51"/>
  <c r="K4196" i="51"/>
  <c r="K4197" i="51"/>
  <c r="K4198" i="51"/>
  <c r="K4199" i="51"/>
  <c r="K4200" i="51"/>
  <c r="K4201" i="51"/>
  <c r="K4202" i="51"/>
  <c r="K4203" i="51"/>
  <c r="K4204" i="51"/>
  <c r="K4205" i="51"/>
  <c r="K4206" i="51"/>
  <c r="K4207" i="51"/>
  <c r="K4208" i="51"/>
  <c r="K4209" i="51"/>
  <c r="K4210" i="51"/>
  <c r="K4211" i="51"/>
  <c r="K4212" i="51"/>
  <c r="K4213" i="51"/>
  <c r="K4214" i="51"/>
  <c r="K4215" i="51"/>
  <c r="K4216" i="51"/>
  <c r="K4217" i="51"/>
  <c r="K4218" i="51"/>
  <c r="K4219" i="51"/>
  <c r="K4220" i="51"/>
  <c r="K4221" i="51"/>
  <c r="K4222" i="51"/>
  <c r="K4223" i="51"/>
  <c r="K4224" i="51"/>
  <c r="K4225" i="51"/>
  <c r="K4226" i="51"/>
  <c r="K4227" i="51"/>
  <c r="K4228" i="51"/>
  <c r="K4229" i="51"/>
  <c r="K4230" i="51"/>
  <c r="K4231" i="51"/>
  <c r="K4232" i="51"/>
  <c r="K4233" i="51"/>
  <c r="K4234" i="51"/>
  <c r="K4235" i="51"/>
  <c r="K4236" i="51"/>
  <c r="K4237" i="51"/>
  <c r="K4238" i="51"/>
  <c r="K4239" i="51"/>
  <c r="K4240" i="51"/>
  <c r="K4241" i="51"/>
  <c r="K4242" i="51"/>
  <c r="K4243" i="51"/>
  <c r="K4244" i="51"/>
  <c r="K4245" i="51"/>
  <c r="K4246" i="51"/>
  <c r="K4247" i="51"/>
  <c r="K4248" i="51"/>
  <c r="K4249" i="51"/>
  <c r="K4250" i="51"/>
  <c r="K4251" i="51"/>
  <c r="K4252" i="51"/>
  <c r="K4253" i="51"/>
  <c r="K4254" i="51"/>
  <c r="K4255" i="51"/>
  <c r="K4256" i="51"/>
  <c r="K4257" i="51"/>
  <c r="K4258" i="51"/>
  <c r="K4259" i="51"/>
  <c r="K4260" i="51"/>
  <c r="K4261" i="51"/>
  <c r="K4262" i="51"/>
  <c r="K4263" i="51"/>
  <c r="K4264" i="51"/>
  <c r="K4265" i="51"/>
  <c r="K4266" i="51"/>
  <c r="K4267" i="51"/>
  <c r="K4268" i="51"/>
  <c r="K4269" i="51"/>
  <c r="K4270" i="51"/>
  <c r="K4271" i="51"/>
  <c r="K4272" i="51"/>
  <c r="K4273" i="51"/>
  <c r="K4274" i="51"/>
  <c r="K4275" i="51"/>
  <c r="K4276" i="51"/>
  <c r="K4277" i="51"/>
  <c r="K4278" i="51"/>
  <c r="K4279" i="51"/>
  <c r="K4280" i="51"/>
  <c r="K4281" i="51"/>
  <c r="K4282" i="51"/>
  <c r="K4283" i="51"/>
  <c r="K4284" i="51"/>
  <c r="K4285" i="51"/>
  <c r="K4286" i="51"/>
  <c r="K4287" i="51"/>
  <c r="K4288" i="51"/>
  <c r="K4289" i="51"/>
  <c r="K4290" i="51"/>
  <c r="K4291" i="51"/>
  <c r="K4292" i="51"/>
  <c r="K4293" i="51"/>
  <c r="K4294" i="51"/>
  <c r="K4295" i="51"/>
  <c r="K4296" i="51"/>
  <c r="K4297" i="51"/>
  <c r="K4298" i="51"/>
  <c r="K4299" i="51"/>
  <c r="K4300" i="51"/>
  <c r="K4301" i="51"/>
  <c r="K4302" i="51"/>
  <c r="K4303" i="51"/>
  <c r="K4304" i="51"/>
  <c r="K4305" i="51"/>
  <c r="K4306" i="51"/>
  <c r="K4307" i="51"/>
  <c r="K4308" i="51"/>
  <c r="K4309" i="51"/>
  <c r="K4310" i="51"/>
  <c r="K4311" i="51"/>
  <c r="K4312" i="51"/>
  <c r="K4313" i="51"/>
  <c r="K4314" i="51"/>
  <c r="K4315" i="51"/>
  <c r="K4316" i="51"/>
  <c r="K4317" i="51"/>
  <c r="K4318" i="51"/>
  <c r="K4319" i="51"/>
  <c r="K4320" i="51"/>
  <c r="K4321" i="51"/>
  <c r="K4322" i="51"/>
  <c r="K4323" i="51"/>
  <c r="K4324" i="51"/>
  <c r="K4325" i="51"/>
  <c r="K4326" i="51"/>
  <c r="K4327" i="51"/>
  <c r="K4328" i="51"/>
  <c r="K4329" i="51"/>
  <c r="K4330" i="51"/>
  <c r="K4331" i="51"/>
  <c r="K4332" i="51"/>
  <c r="K4333" i="51"/>
  <c r="K4334" i="51"/>
  <c r="K4335" i="51"/>
  <c r="K4336" i="51"/>
  <c r="K4337" i="51"/>
  <c r="K4338" i="51"/>
  <c r="K4339" i="51"/>
  <c r="K4340" i="51"/>
  <c r="K4341" i="51"/>
  <c r="K4342" i="51"/>
  <c r="K4343" i="51"/>
  <c r="K4344" i="51"/>
  <c r="K4345" i="51"/>
  <c r="K4346" i="51"/>
  <c r="K4347" i="51"/>
  <c r="K4348" i="51"/>
  <c r="K4349" i="51"/>
  <c r="K4350" i="51"/>
  <c r="K4351" i="51"/>
  <c r="K4352" i="51"/>
  <c r="K4353" i="51"/>
  <c r="K4354" i="51"/>
  <c r="K4355" i="51"/>
  <c r="K4356" i="51"/>
  <c r="K4357" i="51"/>
  <c r="K4358" i="51"/>
  <c r="K4359" i="51"/>
  <c r="K4360" i="51"/>
  <c r="K4361" i="51"/>
  <c r="K4362" i="51"/>
  <c r="K4363" i="51"/>
  <c r="K4364" i="51"/>
  <c r="K4365" i="51"/>
  <c r="K4366" i="51"/>
  <c r="K4367" i="51"/>
  <c r="K4368" i="51"/>
  <c r="K4369" i="51"/>
  <c r="K4370" i="51"/>
  <c r="K4371" i="51"/>
  <c r="K4372" i="51"/>
  <c r="K4373" i="51"/>
  <c r="K4374" i="51"/>
  <c r="K4375" i="51"/>
  <c r="K4376" i="51"/>
  <c r="K4377" i="51"/>
  <c r="K4378" i="51"/>
  <c r="K4379" i="51"/>
  <c r="K4380" i="51"/>
  <c r="K4381" i="51"/>
  <c r="K4382" i="51"/>
  <c r="K4383" i="51"/>
  <c r="K4384" i="51"/>
  <c r="K4385" i="51"/>
  <c r="K4386" i="51"/>
  <c r="K4387" i="51"/>
  <c r="K4388" i="51"/>
  <c r="K4389" i="51"/>
  <c r="K4390" i="51"/>
  <c r="K4391" i="51"/>
  <c r="K4392" i="51"/>
  <c r="K4393" i="51"/>
  <c r="K4394" i="51"/>
  <c r="K4395" i="51"/>
  <c r="K4396" i="51"/>
  <c r="K4397" i="51"/>
  <c r="K4398" i="51"/>
  <c r="K4399" i="51"/>
  <c r="K4400" i="51"/>
  <c r="K4401" i="51"/>
  <c r="K4402" i="51"/>
  <c r="K4403" i="51"/>
  <c r="K4404" i="51"/>
  <c r="K4405" i="51"/>
  <c r="K4406" i="51"/>
  <c r="K4407" i="51"/>
  <c r="K4408" i="51"/>
  <c r="K4409" i="51"/>
  <c r="K4410" i="51"/>
  <c r="K4411" i="51"/>
  <c r="K4412" i="51"/>
  <c r="K4413" i="51"/>
  <c r="K4414" i="51"/>
  <c r="K4415" i="51"/>
  <c r="K4416" i="51"/>
  <c r="K4417" i="51"/>
  <c r="K4418" i="51"/>
  <c r="K4419" i="51"/>
  <c r="K4420" i="51"/>
  <c r="K4421" i="51"/>
  <c r="K4422" i="51"/>
  <c r="K4423" i="51"/>
  <c r="K4424" i="51"/>
  <c r="K4425" i="51"/>
  <c r="K4426" i="51"/>
  <c r="K4427" i="51"/>
  <c r="K4428" i="51"/>
  <c r="K4429" i="51"/>
  <c r="K4430" i="51"/>
  <c r="K4431" i="51"/>
  <c r="K4432" i="51"/>
  <c r="K4433" i="51"/>
  <c r="K4434" i="51"/>
  <c r="K4435" i="51"/>
  <c r="K4436" i="51"/>
  <c r="K4437" i="51"/>
  <c r="K4438" i="51"/>
  <c r="K4439" i="51"/>
  <c r="K4440" i="51"/>
  <c r="K4441" i="51"/>
  <c r="K4442" i="51"/>
  <c r="K4443" i="51"/>
  <c r="K4444" i="51"/>
  <c r="K4445" i="51"/>
  <c r="K4446" i="51"/>
  <c r="K4447" i="51"/>
  <c r="K4448" i="51"/>
  <c r="K4449" i="51"/>
  <c r="K4450" i="51"/>
  <c r="K4451" i="51"/>
  <c r="K4452" i="51"/>
  <c r="K4453" i="51"/>
  <c r="K4454" i="51"/>
  <c r="K4455" i="51"/>
  <c r="K4456" i="51"/>
  <c r="K4457" i="51"/>
  <c r="K4458" i="51"/>
  <c r="K4459" i="51"/>
  <c r="K4460" i="51"/>
  <c r="K4461" i="51"/>
  <c r="K4462" i="51"/>
  <c r="K4463" i="51"/>
  <c r="K4464" i="51"/>
  <c r="K4465" i="51"/>
  <c r="K4466" i="51"/>
  <c r="K4467" i="51"/>
  <c r="K4468" i="51"/>
  <c r="K4469" i="51"/>
  <c r="K4470" i="51"/>
  <c r="K4471" i="51"/>
  <c r="K4472" i="51"/>
  <c r="K4473" i="51"/>
  <c r="K4474" i="51"/>
  <c r="K4475" i="51"/>
  <c r="K4476" i="51"/>
  <c r="K4477" i="51"/>
  <c r="K4478" i="51"/>
  <c r="K4479" i="51"/>
  <c r="K4480" i="51"/>
  <c r="K4481" i="51"/>
  <c r="K4482" i="51"/>
  <c r="K4483" i="51"/>
  <c r="K4484" i="51"/>
  <c r="K4485" i="51"/>
  <c r="K4486" i="51"/>
  <c r="K4487" i="51"/>
  <c r="K4488" i="51"/>
  <c r="K4489" i="51"/>
  <c r="K4490" i="51"/>
  <c r="K4491" i="51"/>
  <c r="K4492" i="51"/>
  <c r="K4493" i="51"/>
  <c r="K4494" i="51"/>
  <c r="K4495" i="51"/>
  <c r="K4496" i="51"/>
  <c r="K4497" i="51"/>
  <c r="K4498" i="51"/>
  <c r="K4499" i="51"/>
  <c r="K4500" i="51"/>
  <c r="K4501" i="51"/>
  <c r="K4502" i="51"/>
  <c r="K4503" i="51"/>
  <c r="K4504" i="51"/>
  <c r="K4505" i="51"/>
  <c r="K4506" i="51"/>
  <c r="K4507" i="51"/>
  <c r="K4508" i="51"/>
  <c r="K4509" i="51"/>
  <c r="K4510" i="51"/>
  <c r="K4511" i="51"/>
  <c r="K4512" i="51"/>
  <c r="K4513" i="51"/>
  <c r="K4514" i="51"/>
  <c r="K4515" i="51"/>
  <c r="K4516" i="51"/>
  <c r="K4517" i="51"/>
  <c r="K4518" i="51"/>
  <c r="K4519" i="51"/>
  <c r="K4520" i="51"/>
  <c r="K4521" i="51"/>
  <c r="K4522" i="51"/>
  <c r="K4523" i="51"/>
  <c r="K4524" i="51"/>
  <c r="K4525" i="51"/>
  <c r="K4526" i="51"/>
  <c r="K4527" i="51"/>
  <c r="K4528" i="51"/>
  <c r="K4529" i="51"/>
  <c r="K4530" i="51"/>
  <c r="K4531" i="51"/>
  <c r="K4532" i="51"/>
  <c r="K4533" i="51"/>
  <c r="K4534" i="51"/>
  <c r="K4535" i="51"/>
  <c r="K4536" i="51"/>
  <c r="K4537" i="51"/>
  <c r="K4538" i="51"/>
  <c r="K4539" i="51"/>
  <c r="K4540" i="51"/>
  <c r="K4541" i="51"/>
  <c r="K4542" i="51"/>
  <c r="K4543" i="51"/>
  <c r="K4544" i="51"/>
  <c r="K4545" i="51"/>
  <c r="K4546" i="51"/>
  <c r="K4547" i="51"/>
  <c r="K4548" i="51"/>
  <c r="K4549" i="51"/>
  <c r="K4550" i="51"/>
  <c r="K4551" i="51"/>
  <c r="K4552" i="51"/>
  <c r="K4553" i="51"/>
  <c r="K4554" i="51"/>
  <c r="K4555" i="51"/>
  <c r="K4556" i="51"/>
  <c r="K4557" i="51"/>
  <c r="K4558" i="51"/>
  <c r="K4559" i="51"/>
  <c r="K4560" i="51"/>
  <c r="K4561" i="51"/>
  <c r="K4562" i="51"/>
  <c r="K4563" i="51"/>
  <c r="K4564" i="51"/>
  <c r="K4565" i="51"/>
  <c r="K4566" i="51"/>
  <c r="K4567" i="51"/>
  <c r="K4568" i="51"/>
  <c r="K4569" i="51"/>
  <c r="K4570" i="51"/>
  <c r="K4571" i="51"/>
  <c r="K4572" i="51"/>
  <c r="K4573" i="51"/>
  <c r="K4574" i="51"/>
  <c r="K4575" i="51"/>
  <c r="K4576" i="51"/>
  <c r="K4577" i="51"/>
  <c r="K4578" i="51"/>
  <c r="K4579" i="51"/>
  <c r="K4580" i="51"/>
  <c r="K4581" i="51"/>
  <c r="K4582" i="51"/>
  <c r="K4583" i="51"/>
  <c r="K4584" i="51"/>
  <c r="K4585" i="51"/>
  <c r="K4586" i="51"/>
  <c r="K4587" i="51"/>
  <c r="K4588" i="51"/>
  <c r="K4589" i="51"/>
  <c r="K4590" i="51"/>
  <c r="K4591" i="51"/>
  <c r="K4592" i="51"/>
  <c r="K4593" i="51"/>
  <c r="K4594" i="51"/>
  <c r="K4595" i="51"/>
  <c r="K4596" i="51"/>
  <c r="K4597" i="51"/>
  <c r="K4598" i="51"/>
  <c r="K4599" i="51"/>
  <c r="K4600" i="51"/>
  <c r="K4601" i="51"/>
  <c r="K4602" i="51"/>
  <c r="K4603" i="51"/>
  <c r="K4604" i="51"/>
  <c r="K4605" i="51"/>
  <c r="K4606" i="51"/>
  <c r="K4607" i="51"/>
  <c r="K4608" i="51"/>
  <c r="K4609" i="51"/>
  <c r="K4610" i="51"/>
  <c r="K4611" i="51"/>
  <c r="K4612" i="51"/>
  <c r="K4613" i="51"/>
  <c r="K4614" i="51"/>
  <c r="K4615" i="51"/>
  <c r="K4616" i="51"/>
  <c r="K4617" i="51"/>
  <c r="K4618" i="51"/>
  <c r="K4619" i="51"/>
  <c r="K4620" i="51"/>
  <c r="K4621" i="51"/>
  <c r="K4622" i="51"/>
  <c r="K4623" i="51"/>
  <c r="K4624" i="51"/>
  <c r="K4625" i="51"/>
  <c r="K4626" i="51"/>
  <c r="K4627" i="51"/>
  <c r="K4628" i="51"/>
  <c r="K4629" i="51"/>
  <c r="K4630" i="51"/>
  <c r="K4631" i="51"/>
  <c r="K4632" i="51"/>
  <c r="K4633" i="51"/>
  <c r="K4634" i="51"/>
  <c r="K4635" i="51"/>
  <c r="K4636" i="51"/>
  <c r="K4637" i="51"/>
  <c r="K4638" i="51"/>
  <c r="K4639" i="51"/>
  <c r="K4640" i="51"/>
  <c r="K4641" i="51"/>
  <c r="K4642" i="51"/>
  <c r="K4643" i="51"/>
  <c r="K4644" i="51"/>
  <c r="K4645" i="51"/>
  <c r="K4646" i="51"/>
  <c r="K4647" i="51"/>
  <c r="K4648" i="51"/>
  <c r="K4649" i="51"/>
  <c r="K4650" i="51"/>
  <c r="K4651" i="51"/>
  <c r="K4652" i="51"/>
  <c r="K4653" i="51"/>
  <c r="K4654" i="51"/>
  <c r="K4655" i="51"/>
  <c r="K4656" i="51"/>
  <c r="K4657" i="51"/>
  <c r="K4658" i="51"/>
  <c r="K4659" i="51"/>
  <c r="K4660" i="51"/>
  <c r="K4661" i="51"/>
  <c r="K4662" i="51"/>
  <c r="K4663" i="51"/>
  <c r="K4664" i="51"/>
  <c r="K4665" i="51"/>
  <c r="K4666" i="51"/>
  <c r="K4667" i="51"/>
  <c r="K4668" i="51"/>
  <c r="K4669" i="51"/>
  <c r="K4670" i="51"/>
  <c r="K4671" i="51"/>
  <c r="K4672" i="51"/>
  <c r="K4673" i="51"/>
  <c r="K4674" i="51"/>
  <c r="K4675" i="51"/>
  <c r="K4676" i="51"/>
  <c r="K4677" i="51"/>
  <c r="K4678" i="51"/>
  <c r="K4679" i="51"/>
  <c r="K4680" i="51"/>
  <c r="K4681" i="51"/>
  <c r="K4682" i="51"/>
  <c r="K4683" i="51"/>
  <c r="K4684" i="51"/>
  <c r="K4685" i="51"/>
  <c r="K4686" i="51"/>
  <c r="K4687" i="51"/>
  <c r="K4688" i="51"/>
  <c r="K4689" i="51"/>
  <c r="K4690" i="51"/>
  <c r="K4691" i="51"/>
  <c r="K4692" i="51"/>
  <c r="K4693" i="51"/>
  <c r="K4694" i="51"/>
  <c r="K4695" i="51"/>
  <c r="K4696" i="51"/>
  <c r="K4697" i="51"/>
  <c r="K4698" i="51"/>
  <c r="K4699" i="51"/>
  <c r="K4700" i="51"/>
  <c r="K4701" i="51"/>
  <c r="K4702" i="51"/>
  <c r="K4703" i="51"/>
  <c r="K4704" i="51"/>
  <c r="K4705" i="51"/>
  <c r="K4706" i="51"/>
  <c r="K4707" i="51"/>
  <c r="K4708" i="51"/>
  <c r="K4709" i="51"/>
  <c r="K4710" i="51"/>
  <c r="K4711" i="51"/>
  <c r="K4712" i="51"/>
  <c r="K4713" i="51"/>
  <c r="K4714" i="51"/>
  <c r="K4715" i="51"/>
  <c r="K4716" i="51"/>
  <c r="K4717" i="51"/>
  <c r="K4718" i="51"/>
  <c r="K4719" i="51"/>
  <c r="K4720" i="51"/>
  <c r="K4721" i="51"/>
  <c r="K4722" i="51"/>
  <c r="K4723" i="51"/>
  <c r="K4724" i="51"/>
  <c r="K4725" i="51"/>
  <c r="K4726" i="51"/>
  <c r="K4727" i="51"/>
  <c r="K4728" i="51"/>
  <c r="K4729" i="51"/>
  <c r="K4730" i="51"/>
  <c r="K4731" i="51"/>
  <c r="K4732" i="51"/>
  <c r="K4733" i="51"/>
  <c r="K4734" i="51"/>
  <c r="K4735" i="51"/>
  <c r="K4736" i="51"/>
  <c r="K4737" i="51"/>
  <c r="K4738" i="51"/>
  <c r="K4739" i="51"/>
  <c r="K4740" i="51"/>
  <c r="K4741" i="51"/>
  <c r="K4742" i="51"/>
  <c r="K4743" i="51"/>
  <c r="K4744" i="51"/>
  <c r="K4745" i="51"/>
  <c r="K4746" i="51"/>
  <c r="K4747" i="51"/>
  <c r="K4748" i="51"/>
  <c r="K4749" i="51"/>
  <c r="K4750" i="51"/>
  <c r="K4751" i="51"/>
  <c r="K4752" i="51"/>
  <c r="K4753" i="51"/>
  <c r="K4754" i="51"/>
  <c r="K4755" i="51"/>
  <c r="K4756" i="51"/>
  <c r="K4757" i="51"/>
  <c r="K4758" i="51"/>
  <c r="K4759" i="51"/>
  <c r="K4760" i="51"/>
  <c r="K4761" i="51"/>
  <c r="K4762" i="51"/>
  <c r="K4763" i="51"/>
  <c r="K4764" i="51"/>
  <c r="K4765" i="51"/>
  <c r="K4766" i="51"/>
  <c r="K4767" i="51"/>
  <c r="K4768" i="51"/>
  <c r="K4769" i="51"/>
  <c r="K4770" i="51"/>
  <c r="K4771" i="51"/>
  <c r="K4772" i="51"/>
  <c r="K4773" i="51"/>
  <c r="K4774" i="51"/>
  <c r="K4775" i="51"/>
  <c r="K4776" i="51"/>
  <c r="K4777" i="51"/>
  <c r="K4778" i="51"/>
  <c r="K4779" i="51"/>
  <c r="K4780" i="51"/>
  <c r="K4781" i="51"/>
  <c r="K4782" i="51"/>
  <c r="K4783" i="51"/>
  <c r="K4784" i="51"/>
  <c r="K4785" i="51"/>
  <c r="K4786" i="51"/>
  <c r="K4787" i="51"/>
  <c r="K4788" i="51"/>
  <c r="K4789" i="51"/>
  <c r="K4790" i="51"/>
  <c r="K4791" i="51"/>
  <c r="K4792" i="51"/>
  <c r="K4793" i="51"/>
  <c r="K4794" i="51"/>
  <c r="K4795" i="51"/>
  <c r="K4796" i="51"/>
  <c r="K4797" i="51"/>
  <c r="K4798" i="51"/>
  <c r="K4799" i="51"/>
  <c r="K4800" i="51"/>
  <c r="K4801" i="51"/>
  <c r="K4802" i="51"/>
  <c r="K4803" i="51"/>
  <c r="K4804" i="51"/>
  <c r="K4805" i="51"/>
  <c r="K4806" i="51"/>
  <c r="K4807" i="51"/>
  <c r="K4808" i="51"/>
  <c r="K4809" i="51"/>
  <c r="K4810" i="51"/>
  <c r="K4811" i="51"/>
  <c r="K4812" i="51"/>
  <c r="K4813" i="51"/>
  <c r="K4814" i="51"/>
  <c r="K4815" i="51"/>
  <c r="K4816" i="51"/>
  <c r="K4817" i="51"/>
  <c r="K4818" i="51"/>
  <c r="K4819" i="51"/>
  <c r="K4820" i="51"/>
  <c r="K4821" i="51"/>
  <c r="K4822" i="51"/>
  <c r="K4823" i="51"/>
  <c r="K4824" i="51"/>
  <c r="K4825" i="51"/>
  <c r="K4826" i="51"/>
  <c r="K4827" i="51"/>
  <c r="K4828" i="51"/>
  <c r="K4829" i="51"/>
  <c r="K4830" i="51"/>
  <c r="K4831" i="51"/>
  <c r="K4832" i="51"/>
  <c r="K4833" i="51"/>
  <c r="K4834" i="51"/>
  <c r="K4835" i="51"/>
  <c r="K4836" i="51"/>
  <c r="K4837" i="51"/>
  <c r="K4838" i="51"/>
  <c r="K4839" i="51"/>
  <c r="K4840" i="51"/>
  <c r="K4841" i="51"/>
  <c r="K4842" i="51"/>
  <c r="K4843" i="51"/>
  <c r="K4844" i="51"/>
  <c r="K4845" i="51"/>
  <c r="K4846" i="51"/>
  <c r="K4847" i="51"/>
  <c r="K4848" i="51"/>
  <c r="K4849" i="51"/>
  <c r="K4850" i="51"/>
  <c r="K4851" i="51"/>
  <c r="K4852" i="51"/>
  <c r="K4853" i="51"/>
  <c r="K4854" i="51"/>
  <c r="K4855" i="51"/>
  <c r="K4856" i="51"/>
  <c r="K4857" i="51"/>
  <c r="K4858" i="51"/>
  <c r="K4859" i="51"/>
  <c r="K4860" i="51"/>
  <c r="K4861" i="51"/>
  <c r="K4862" i="51"/>
  <c r="K4863" i="51"/>
  <c r="K4864" i="51"/>
  <c r="K4865" i="51"/>
  <c r="K4866" i="51"/>
  <c r="K4867" i="51"/>
  <c r="K4868" i="51"/>
  <c r="K4869" i="51"/>
  <c r="K4870" i="51"/>
  <c r="K4871" i="51"/>
  <c r="K4872" i="51"/>
  <c r="K4873" i="51"/>
  <c r="K4874" i="51"/>
  <c r="K4875" i="51"/>
  <c r="K4876" i="51"/>
  <c r="K4877" i="51"/>
  <c r="K4878" i="51"/>
  <c r="K4879" i="51"/>
  <c r="K4880" i="51"/>
  <c r="K4881" i="51"/>
  <c r="K4882" i="51"/>
  <c r="K4883" i="51"/>
  <c r="K4884" i="51"/>
  <c r="K4885" i="51"/>
  <c r="K4886" i="51"/>
  <c r="K4887" i="51"/>
  <c r="K4888" i="51"/>
  <c r="K4889" i="51"/>
  <c r="K4890" i="51"/>
  <c r="K4891" i="51"/>
  <c r="K4892" i="51"/>
  <c r="K4893" i="51"/>
  <c r="K4894" i="51"/>
  <c r="K4895" i="51"/>
  <c r="K4896" i="51"/>
  <c r="K4897" i="51"/>
  <c r="K4898" i="51"/>
  <c r="K4899" i="51"/>
  <c r="K4900" i="51"/>
  <c r="K4901" i="51"/>
  <c r="K4902" i="51"/>
  <c r="K4903" i="51"/>
  <c r="K4904" i="51"/>
  <c r="K4905" i="51"/>
  <c r="K4906" i="51"/>
  <c r="K4907" i="51"/>
  <c r="K4908" i="51"/>
  <c r="K4909" i="51"/>
  <c r="K4910" i="51"/>
  <c r="K4911" i="51"/>
  <c r="K4912" i="51"/>
  <c r="K4913" i="51"/>
  <c r="K4914" i="51"/>
  <c r="K4915" i="51"/>
  <c r="K4916" i="51"/>
  <c r="K4917" i="51"/>
  <c r="K4918" i="51"/>
  <c r="K4919" i="51"/>
  <c r="K4920" i="51"/>
  <c r="K4921" i="51"/>
  <c r="K4922" i="51"/>
  <c r="K4923" i="51"/>
  <c r="K4924" i="51"/>
  <c r="K4925" i="51"/>
  <c r="K4926" i="51"/>
  <c r="K4927" i="51"/>
  <c r="K4928" i="51"/>
  <c r="K4929" i="51"/>
  <c r="K4930" i="51"/>
  <c r="K4931" i="51"/>
  <c r="K4932" i="51"/>
  <c r="K4933" i="51"/>
  <c r="K4934" i="51"/>
  <c r="K4935" i="51"/>
  <c r="K4936" i="51"/>
  <c r="K4937" i="51"/>
  <c r="K4938" i="51"/>
  <c r="K4939" i="51"/>
  <c r="K4940" i="51"/>
  <c r="K4941" i="51"/>
  <c r="K4942" i="51"/>
  <c r="K4943" i="51"/>
  <c r="K4944" i="51"/>
  <c r="K4945" i="51"/>
  <c r="K4946" i="51"/>
  <c r="K4947" i="51"/>
  <c r="K4948" i="51"/>
  <c r="K4949" i="51"/>
  <c r="K4950" i="51"/>
  <c r="K4951" i="51"/>
  <c r="K4952" i="51"/>
  <c r="K4953" i="51"/>
  <c r="K4954" i="51"/>
  <c r="K4955" i="51"/>
  <c r="K4956" i="51"/>
  <c r="K4957" i="51"/>
  <c r="K4958" i="51"/>
  <c r="K4959" i="51"/>
  <c r="K4960" i="51"/>
  <c r="K4961" i="51"/>
  <c r="K4962" i="51"/>
  <c r="K4963" i="51"/>
  <c r="K4964" i="51"/>
  <c r="K4965" i="51"/>
  <c r="K4966" i="51"/>
  <c r="K4967" i="51"/>
  <c r="K4968" i="51"/>
  <c r="K4969" i="51"/>
  <c r="K4970" i="51"/>
  <c r="K4971" i="51"/>
  <c r="K4972" i="51"/>
  <c r="K4973" i="51"/>
  <c r="K4974" i="51"/>
  <c r="K4975" i="51"/>
  <c r="K4976" i="51"/>
  <c r="K4977" i="51"/>
  <c r="K4978" i="51"/>
  <c r="K4979" i="51"/>
  <c r="K4980" i="51"/>
  <c r="K4981" i="51"/>
  <c r="K4982" i="51"/>
  <c r="K4983" i="51"/>
  <c r="K4984" i="51"/>
  <c r="K4985" i="51"/>
  <c r="K4986" i="51"/>
  <c r="K4987" i="51"/>
  <c r="K4988" i="51"/>
  <c r="K4989" i="51"/>
  <c r="K4990" i="51"/>
  <c r="K4991" i="51"/>
  <c r="K4992" i="51"/>
  <c r="K4993" i="51"/>
  <c r="K4994" i="51"/>
  <c r="K4995" i="51"/>
  <c r="K4996" i="51"/>
  <c r="K4997" i="51"/>
  <c r="K4998" i="51"/>
  <c r="K4999" i="51"/>
  <c r="K5000" i="51"/>
  <c r="K5001" i="51"/>
  <c r="K5002" i="51"/>
  <c r="K5003" i="51"/>
  <c r="K5004" i="51"/>
  <c r="K5005" i="51"/>
  <c r="K5006" i="51"/>
  <c r="K5007" i="51"/>
  <c r="L2008" i="51"/>
  <c r="L2009" i="51"/>
  <c r="L2010" i="51"/>
  <c r="L2011" i="51"/>
  <c r="L2012" i="51"/>
  <c r="L2013" i="51"/>
  <c r="L2014" i="51"/>
  <c r="L2015" i="51"/>
  <c r="L2016" i="51"/>
  <c r="L2017" i="51"/>
  <c r="L2018" i="51"/>
  <c r="L2019" i="51"/>
  <c r="L2020" i="51"/>
  <c r="L2021" i="51"/>
  <c r="L2022" i="51"/>
  <c r="L2023" i="51"/>
  <c r="L2024" i="51"/>
  <c r="L2025" i="51"/>
  <c r="L2026" i="51"/>
  <c r="L2027" i="51"/>
  <c r="L2028" i="51"/>
  <c r="L2029" i="51"/>
  <c r="L2030" i="51"/>
  <c r="L2031" i="51"/>
  <c r="L2032" i="51"/>
  <c r="L2033" i="51"/>
  <c r="L2034" i="51"/>
  <c r="L2035" i="51"/>
  <c r="L2036" i="51"/>
  <c r="L2037" i="51"/>
  <c r="L2038" i="51"/>
  <c r="L2039" i="51"/>
  <c r="L2040" i="51"/>
  <c r="L2041" i="51"/>
  <c r="L2042" i="51"/>
  <c r="L2043" i="51"/>
  <c r="L2044" i="51"/>
  <c r="L2045" i="51"/>
  <c r="L2046" i="51"/>
  <c r="L2047" i="51"/>
  <c r="L2048" i="51"/>
  <c r="L2049" i="51"/>
  <c r="L2050" i="51"/>
  <c r="L2051" i="51"/>
  <c r="L2052" i="51"/>
  <c r="L2053" i="51"/>
  <c r="L2054" i="51"/>
  <c r="L2055" i="51"/>
  <c r="L2056" i="51"/>
  <c r="L2057" i="51"/>
  <c r="L2058" i="51"/>
  <c r="L2059" i="51"/>
  <c r="L2060" i="51"/>
  <c r="L2061" i="51"/>
  <c r="L2062" i="51"/>
  <c r="L2063" i="51"/>
  <c r="L2064" i="51"/>
  <c r="L2065" i="51"/>
  <c r="L2066" i="51"/>
  <c r="L2067" i="51"/>
  <c r="L2068" i="51"/>
  <c r="L2069" i="51"/>
  <c r="L2070" i="51"/>
  <c r="L2071" i="51"/>
  <c r="L2072" i="51"/>
  <c r="L2073" i="51"/>
  <c r="L2074" i="51"/>
  <c r="L2075" i="51"/>
  <c r="L2076" i="51"/>
  <c r="L2077" i="51"/>
  <c r="L2078" i="51"/>
  <c r="L2079" i="51"/>
  <c r="L2080" i="51"/>
  <c r="L2081" i="51"/>
  <c r="L2082" i="51"/>
  <c r="L2083" i="51"/>
  <c r="L2084" i="51"/>
  <c r="L2085" i="51"/>
  <c r="L2086" i="51"/>
  <c r="L2087" i="51"/>
  <c r="L2088" i="51"/>
  <c r="L2089" i="51"/>
  <c r="L2090" i="51"/>
  <c r="L2091" i="51"/>
  <c r="L2092" i="51"/>
  <c r="L2093" i="51"/>
  <c r="L2094" i="51"/>
  <c r="L2095" i="51"/>
  <c r="L2096" i="51"/>
  <c r="L2097" i="51"/>
  <c r="L2098" i="51"/>
  <c r="L2099" i="51"/>
  <c r="L2100" i="51"/>
  <c r="L2101" i="51"/>
  <c r="L2102" i="51"/>
  <c r="L2103" i="51"/>
  <c r="L2104" i="51"/>
  <c r="L2105" i="51"/>
  <c r="L2106" i="51"/>
  <c r="L2107" i="51"/>
  <c r="L2108" i="51"/>
  <c r="L2109" i="51"/>
  <c r="L2110" i="51"/>
  <c r="L2111" i="51"/>
  <c r="L2112" i="51"/>
  <c r="L2113" i="51"/>
  <c r="L2114" i="51"/>
  <c r="L2115" i="51"/>
  <c r="L2116" i="51"/>
  <c r="L2117" i="51"/>
  <c r="L2118" i="51"/>
  <c r="L2119" i="51"/>
  <c r="L2120" i="51"/>
  <c r="L2121" i="51"/>
  <c r="L2122" i="51"/>
  <c r="L2123" i="51"/>
  <c r="L2124" i="51"/>
  <c r="L2125" i="51"/>
  <c r="L2126" i="51"/>
  <c r="L2127" i="51"/>
  <c r="L2128" i="51"/>
  <c r="L2129" i="51"/>
  <c r="L2130" i="51"/>
  <c r="L2131" i="51"/>
  <c r="L2132" i="51"/>
  <c r="L2133" i="51"/>
  <c r="L2134" i="51"/>
  <c r="L2135" i="51"/>
  <c r="L2136" i="51"/>
  <c r="L2137" i="51"/>
  <c r="L2138" i="51"/>
  <c r="L2139" i="51"/>
  <c r="L2140" i="51"/>
  <c r="L2141" i="51"/>
  <c r="L2142" i="51"/>
  <c r="L2143" i="51"/>
  <c r="L2144" i="51"/>
  <c r="L2145" i="51"/>
  <c r="L2146" i="51"/>
  <c r="L2147" i="51"/>
  <c r="L2148" i="51"/>
  <c r="L2149" i="51"/>
  <c r="L2150" i="51"/>
  <c r="L2151" i="51"/>
  <c r="L2152" i="51"/>
  <c r="L2153" i="51"/>
  <c r="L2154" i="51"/>
  <c r="L2155" i="51"/>
  <c r="L2156" i="51"/>
  <c r="L2157" i="51"/>
  <c r="L2158" i="51"/>
  <c r="L2159" i="51"/>
  <c r="L2160" i="51"/>
  <c r="L2161" i="51"/>
  <c r="L2162" i="51"/>
  <c r="L2163" i="51"/>
  <c r="L2164" i="51"/>
  <c r="L2165" i="51"/>
  <c r="L2166" i="51"/>
  <c r="L2167" i="51"/>
  <c r="L2168" i="51"/>
  <c r="L2169" i="51"/>
  <c r="L2170" i="51"/>
  <c r="L2171" i="51"/>
  <c r="L2172" i="51"/>
  <c r="L2173" i="51"/>
  <c r="L2174" i="51"/>
  <c r="L2175" i="51"/>
  <c r="L2176" i="51"/>
  <c r="L2177" i="51"/>
  <c r="L2178" i="51"/>
  <c r="L2179" i="51"/>
  <c r="L2180" i="51"/>
  <c r="L2181" i="51"/>
  <c r="L2182" i="51"/>
  <c r="L2183" i="51"/>
  <c r="L2184" i="51"/>
  <c r="L2185" i="51"/>
  <c r="L2186" i="51"/>
  <c r="L2187" i="51"/>
  <c r="L2188" i="51"/>
  <c r="L2189" i="51"/>
  <c r="L2190" i="51"/>
  <c r="L2191" i="51"/>
  <c r="L2192" i="51"/>
  <c r="L2193" i="51"/>
  <c r="L2194" i="51"/>
  <c r="L2195" i="51"/>
  <c r="L2196" i="51"/>
  <c r="L2197" i="51"/>
  <c r="L2198" i="51"/>
  <c r="L2199" i="51"/>
  <c r="L2200" i="51"/>
  <c r="L2201" i="51"/>
  <c r="L2202" i="51"/>
  <c r="L2203" i="51"/>
  <c r="L2204" i="51"/>
  <c r="L2205" i="51"/>
  <c r="L2206" i="51"/>
  <c r="L2207" i="51"/>
  <c r="L2208" i="51"/>
  <c r="L2209" i="51"/>
  <c r="L2210" i="51"/>
  <c r="L2211" i="51"/>
  <c r="L2212" i="51"/>
  <c r="L2213" i="51"/>
  <c r="L2214" i="51"/>
  <c r="L2215" i="51"/>
  <c r="L2216" i="51"/>
  <c r="L2217" i="51"/>
  <c r="L2218" i="51"/>
  <c r="L2219" i="51"/>
  <c r="L2220" i="51"/>
  <c r="L2221" i="51"/>
  <c r="L2222" i="51"/>
  <c r="L2223" i="51"/>
  <c r="L2224" i="51"/>
  <c r="L2225" i="51"/>
  <c r="L2226" i="51"/>
  <c r="L2227" i="51"/>
  <c r="L2228" i="51"/>
  <c r="L2229" i="51"/>
  <c r="L2230" i="51"/>
  <c r="L2231" i="51"/>
  <c r="L2232" i="51"/>
  <c r="L2233" i="51"/>
  <c r="L2234" i="51"/>
  <c r="L2235" i="51"/>
  <c r="L2236" i="51"/>
  <c r="L2237" i="51"/>
  <c r="L2238" i="51"/>
  <c r="L2239" i="51"/>
  <c r="L2240" i="51"/>
  <c r="L2241" i="51"/>
  <c r="L2242" i="51"/>
  <c r="L2243" i="51"/>
  <c r="L2244" i="51"/>
  <c r="L2245" i="51"/>
  <c r="L2246" i="51"/>
  <c r="L2247" i="51"/>
  <c r="L2248" i="51"/>
  <c r="L2249" i="51"/>
  <c r="L2250" i="51"/>
  <c r="L2251" i="51"/>
  <c r="L2252" i="51"/>
  <c r="L2253" i="51"/>
  <c r="L2254" i="51"/>
  <c r="L2255" i="51"/>
  <c r="L2256" i="51"/>
  <c r="L2257" i="51"/>
  <c r="L2258" i="51"/>
  <c r="L2259" i="51"/>
  <c r="L2260" i="51"/>
  <c r="L2261" i="51"/>
  <c r="L2262" i="51"/>
  <c r="L2263" i="51"/>
  <c r="L2264" i="51"/>
  <c r="L2265" i="51"/>
  <c r="L2266" i="51"/>
  <c r="L2267" i="51"/>
  <c r="L2268" i="51"/>
  <c r="L2269" i="51"/>
  <c r="L2270" i="51"/>
  <c r="L2271" i="51"/>
  <c r="L2272" i="51"/>
  <c r="L2273" i="51"/>
  <c r="L2274" i="51"/>
  <c r="L2275" i="51"/>
  <c r="L2276" i="51"/>
  <c r="L2277" i="51"/>
  <c r="L2278" i="51"/>
  <c r="L2279" i="51"/>
  <c r="L2280" i="51"/>
  <c r="L2281" i="51"/>
  <c r="L2282" i="51"/>
  <c r="L2283" i="51"/>
  <c r="L2284" i="51"/>
  <c r="L2285" i="51"/>
  <c r="L2286" i="51"/>
  <c r="L2287" i="51"/>
  <c r="L2288" i="51"/>
  <c r="L2289" i="51"/>
  <c r="L2290" i="51"/>
  <c r="L2291" i="51"/>
  <c r="L2292" i="51"/>
  <c r="L2293" i="51"/>
  <c r="L2294" i="51"/>
  <c r="L2295" i="51"/>
  <c r="L2296" i="51"/>
  <c r="L2297" i="51"/>
  <c r="L2298" i="51"/>
  <c r="L2299" i="51"/>
  <c r="L2300" i="51"/>
  <c r="L2301" i="51"/>
  <c r="L2302" i="51"/>
  <c r="L2303" i="51"/>
  <c r="L2304" i="51"/>
  <c r="L2305" i="51"/>
  <c r="L2306" i="51"/>
  <c r="L2307" i="51"/>
  <c r="L2308" i="51"/>
  <c r="L2309" i="51"/>
  <c r="L2310" i="51"/>
  <c r="L2311" i="51"/>
  <c r="L2312" i="51"/>
  <c r="L2313" i="51"/>
  <c r="L2314" i="51"/>
  <c r="L2315" i="51"/>
  <c r="L2316" i="51"/>
  <c r="L2317" i="51"/>
  <c r="L2318" i="51"/>
  <c r="L2319" i="51"/>
  <c r="L2320" i="51"/>
  <c r="L2321" i="51"/>
  <c r="L2322" i="51"/>
  <c r="L2323" i="51"/>
  <c r="L2324" i="51"/>
  <c r="L2325" i="51"/>
  <c r="L2326" i="51"/>
  <c r="L2327" i="51"/>
  <c r="L2328" i="51"/>
  <c r="L2329" i="51"/>
  <c r="L2330" i="51"/>
  <c r="L2331" i="51"/>
  <c r="L2332" i="51"/>
  <c r="L2333" i="51"/>
  <c r="L2334" i="51"/>
  <c r="L2335" i="51"/>
  <c r="L2336" i="51"/>
  <c r="L2337" i="51"/>
  <c r="L2338" i="51"/>
  <c r="L2339" i="51"/>
  <c r="L2340" i="51"/>
  <c r="L2341" i="51"/>
  <c r="L2342" i="51"/>
  <c r="L2343" i="51"/>
  <c r="L2344" i="51"/>
  <c r="L2345" i="51"/>
  <c r="L2346" i="51"/>
  <c r="L2347" i="51"/>
  <c r="L2348" i="51"/>
  <c r="L2349" i="51"/>
  <c r="L2350" i="51"/>
  <c r="L2351" i="51"/>
  <c r="L2352" i="51"/>
  <c r="L2353" i="51"/>
  <c r="L2354" i="51"/>
  <c r="L2355" i="51"/>
  <c r="L2356" i="51"/>
  <c r="L2357" i="51"/>
  <c r="L2358" i="51"/>
  <c r="L2359" i="51"/>
  <c r="L2360" i="51"/>
  <c r="L2361" i="51"/>
  <c r="L2362" i="51"/>
  <c r="L2363" i="51"/>
  <c r="L2364" i="51"/>
  <c r="L2365" i="51"/>
  <c r="L2366" i="51"/>
  <c r="L2367" i="51"/>
  <c r="L2368" i="51"/>
  <c r="L2369" i="51"/>
  <c r="L2370" i="51"/>
  <c r="L2371" i="51"/>
  <c r="L2372" i="51"/>
  <c r="L2373" i="51"/>
  <c r="L2374" i="51"/>
  <c r="L2375" i="51"/>
  <c r="L2376" i="51"/>
  <c r="L2377" i="51"/>
  <c r="L2378" i="51"/>
  <c r="L2379" i="51"/>
  <c r="L2380" i="51"/>
  <c r="L2381" i="51"/>
  <c r="L2382" i="51"/>
  <c r="L2383" i="51"/>
  <c r="L2384" i="51"/>
  <c r="L2385" i="51"/>
  <c r="L2386" i="51"/>
  <c r="L2387" i="51"/>
  <c r="L2388" i="51"/>
  <c r="L2389" i="51"/>
  <c r="L2390" i="51"/>
  <c r="L2391" i="51"/>
  <c r="L2392" i="51"/>
  <c r="L2393" i="51"/>
  <c r="L2394" i="51"/>
  <c r="L2395" i="51"/>
  <c r="L2396" i="51"/>
  <c r="L2397" i="51"/>
  <c r="L2398" i="51"/>
  <c r="L2399" i="51"/>
  <c r="L2400" i="51"/>
  <c r="L2401" i="51"/>
  <c r="L2402" i="51"/>
  <c r="L2403" i="51"/>
  <c r="L2404" i="51"/>
  <c r="L2405" i="51"/>
  <c r="L2406" i="51"/>
  <c r="L2407" i="51"/>
  <c r="L2408" i="51"/>
  <c r="L2409" i="51"/>
  <c r="L2410" i="51"/>
  <c r="L2411" i="51"/>
  <c r="L2412" i="51"/>
  <c r="L2413" i="51"/>
  <c r="L2414" i="51"/>
  <c r="L2415" i="51"/>
  <c r="L2416" i="51"/>
  <c r="L2417" i="51"/>
  <c r="L2418" i="51"/>
  <c r="L2419" i="51"/>
  <c r="L2420" i="51"/>
  <c r="L2421" i="51"/>
  <c r="L2422" i="51"/>
  <c r="L2423" i="51"/>
  <c r="L2424" i="51"/>
  <c r="L2425" i="51"/>
  <c r="L2426" i="51"/>
  <c r="L2427" i="51"/>
  <c r="L2428" i="51"/>
  <c r="L2429" i="51"/>
  <c r="L2430" i="51"/>
  <c r="L2431" i="51"/>
  <c r="L2432" i="51"/>
  <c r="L2433" i="51"/>
  <c r="L2434" i="51"/>
  <c r="L2435" i="51"/>
  <c r="L2436" i="51"/>
  <c r="L2437" i="51"/>
  <c r="L2438" i="51"/>
  <c r="L2439" i="51"/>
  <c r="L2440" i="51"/>
  <c r="L2441" i="51"/>
  <c r="L2442" i="51"/>
  <c r="L2443" i="51"/>
  <c r="L2444" i="51"/>
  <c r="L2445" i="51"/>
  <c r="L2446" i="51"/>
  <c r="L2447" i="51"/>
  <c r="L2448" i="51"/>
  <c r="L2449" i="51"/>
  <c r="L2450" i="51"/>
  <c r="L2451" i="51"/>
  <c r="L2452" i="51"/>
  <c r="L2453" i="51"/>
  <c r="L2454" i="51"/>
  <c r="L2455" i="51"/>
  <c r="L2456" i="51"/>
  <c r="L2457" i="51"/>
  <c r="L2458" i="51"/>
  <c r="L2459" i="51"/>
  <c r="L2460" i="51"/>
  <c r="L2461" i="51"/>
  <c r="L2462" i="51"/>
  <c r="L2463" i="51"/>
  <c r="L2464" i="51"/>
  <c r="L2465" i="51"/>
  <c r="L2466" i="51"/>
  <c r="L2467" i="51"/>
  <c r="L2468" i="51"/>
  <c r="L2469" i="51"/>
  <c r="L2470" i="51"/>
  <c r="L2471" i="51"/>
  <c r="L2472" i="51"/>
  <c r="L2473" i="51"/>
  <c r="L2474" i="51"/>
  <c r="L2475" i="51"/>
  <c r="L2476" i="51"/>
  <c r="L2477" i="51"/>
  <c r="L2478" i="51"/>
  <c r="L2479" i="51"/>
  <c r="L2480" i="51"/>
  <c r="L2481" i="51"/>
  <c r="L2482" i="51"/>
  <c r="L2483" i="51"/>
  <c r="L2484" i="51"/>
  <c r="L2485" i="51"/>
  <c r="L2486" i="51"/>
  <c r="L2487" i="51"/>
  <c r="L2488" i="51"/>
  <c r="L2489" i="51"/>
  <c r="L2490" i="51"/>
  <c r="L2491" i="51"/>
  <c r="L2492" i="51"/>
  <c r="L2493" i="51"/>
  <c r="L2494" i="51"/>
  <c r="L2495" i="51"/>
  <c r="L2496" i="51"/>
  <c r="L2497" i="51"/>
  <c r="L2498" i="51"/>
  <c r="L2499" i="51"/>
  <c r="L2500" i="51"/>
  <c r="L2501" i="51"/>
  <c r="L2502" i="51"/>
  <c r="L2503" i="51"/>
  <c r="L2504" i="51"/>
  <c r="L2505" i="51"/>
  <c r="L2506" i="51"/>
  <c r="L2507" i="51"/>
  <c r="L2508" i="51"/>
  <c r="L2509" i="51"/>
  <c r="L2510" i="51"/>
  <c r="L2511" i="51"/>
  <c r="L2512" i="51"/>
  <c r="L2513" i="51"/>
  <c r="L2514" i="51"/>
  <c r="L2515" i="51"/>
  <c r="L2516" i="51"/>
  <c r="L2517" i="51"/>
  <c r="L2518" i="51"/>
  <c r="L2519" i="51"/>
  <c r="L2520" i="51"/>
  <c r="L2521" i="51"/>
  <c r="L2522" i="51"/>
  <c r="L2523" i="51"/>
  <c r="L2524" i="51"/>
  <c r="L2525" i="51"/>
  <c r="L2526" i="51"/>
  <c r="L2527" i="51"/>
  <c r="L2528" i="51"/>
  <c r="L2529" i="51"/>
  <c r="L2530" i="51"/>
  <c r="L2531" i="51"/>
  <c r="L2532" i="51"/>
  <c r="L2533" i="51"/>
  <c r="L2534" i="51"/>
  <c r="L2535" i="51"/>
  <c r="L2536" i="51"/>
  <c r="L2537" i="51"/>
  <c r="L2538" i="51"/>
  <c r="L2539" i="51"/>
  <c r="L2540" i="51"/>
  <c r="L2541" i="51"/>
  <c r="L2542" i="51"/>
  <c r="L2543" i="51"/>
  <c r="L2544" i="51"/>
  <c r="L2545" i="51"/>
  <c r="L2546" i="51"/>
  <c r="L2547" i="51"/>
  <c r="L2548" i="51"/>
  <c r="L2549" i="51"/>
  <c r="L2550" i="51"/>
  <c r="L2551" i="51"/>
  <c r="L2552" i="51"/>
  <c r="L2553" i="51"/>
  <c r="L2554" i="51"/>
  <c r="L2555" i="51"/>
  <c r="L2556" i="51"/>
  <c r="L2557" i="51"/>
  <c r="L2558" i="51"/>
  <c r="L2559" i="51"/>
  <c r="L2560" i="51"/>
  <c r="L2561" i="51"/>
  <c r="L2562" i="51"/>
  <c r="L2563" i="51"/>
  <c r="L2564" i="51"/>
  <c r="L2565" i="51"/>
  <c r="L2566" i="51"/>
  <c r="L2567" i="51"/>
  <c r="L2568" i="51"/>
  <c r="L2569" i="51"/>
  <c r="L2570" i="51"/>
  <c r="L2571" i="51"/>
  <c r="L2572" i="51"/>
  <c r="L2573" i="51"/>
  <c r="L2574" i="51"/>
  <c r="L2575" i="51"/>
  <c r="L2576" i="51"/>
  <c r="L2577" i="51"/>
  <c r="L2578" i="51"/>
  <c r="L2579" i="51"/>
  <c r="L2580" i="51"/>
  <c r="L2581" i="51"/>
  <c r="L2582" i="51"/>
  <c r="L2583" i="51"/>
  <c r="L2584" i="51"/>
  <c r="L2585" i="51"/>
  <c r="L2586" i="51"/>
  <c r="L2587" i="51"/>
  <c r="L2588" i="51"/>
  <c r="L2589" i="51"/>
  <c r="L2590" i="51"/>
  <c r="L2591" i="51"/>
  <c r="L2592" i="51"/>
  <c r="L2593" i="51"/>
  <c r="L2594" i="51"/>
  <c r="L2595" i="51"/>
  <c r="L2596" i="51"/>
  <c r="L2597" i="51"/>
  <c r="L2598" i="51"/>
  <c r="L2599" i="51"/>
  <c r="L2600" i="51"/>
  <c r="L2601" i="51"/>
  <c r="L2602" i="51"/>
  <c r="L2603" i="51"/>
  <c r="L2604" i="51"/>
  <c r="L2605" i="51"/>
  <c r="L2606" i="51"/>
  <c r="L2607" i="51"/>
  <c r="L2608" i="51"/>
  <c r="L2609" i="51"/>
  <c r="L2610" i="51"/>
  <c r="L2611" i="51"/>
  <c r="L2612" i="51"/>
  <c r="L2613" i="51"/>
  <c r="L2614" i="51"/>
  <c r="L2615" i="51"/>
  <c r="L2616" i="51"/>
  <c r="L2617" i="51"/>
  <c r="L2618" i="51"/>
  <c r="L2619" i="51"/>
  <c r="L2620" i="51"/>
  <c r="L2621" i="51"/>
  <c r="L2622" i="51"/>
  <c r="L2623" i="51"/>
  <c r="L2624" i="51"/>
  <c r="L2625" i="51"/>
  <c r="L2626" i="51"/>
  <c r="L2627" i="51"/>
  <c r="L2628" i="51"/>
  <c r="L2629" i="51"/>
  <c r="L2630" i="51"/>
  <c r="L2631" i="51"/>
  <c r="L2632" i="51"/>
  <c r="L2633" i="51"/>
  <c r="L2634" i="51"/>
  <c r="L2635" i="51"/>
  <c r="L2636" i="51"/>
  <c r="L2637" i="51"/>
  <c r="L2638" i="51"/>
  <c r="L2639" i="51"/>
  <c r="L2640" i="51"/>
  <c r="L2641" i="51"/>
  <c r="L2642" i="51"/>
  <c r="L2643" i="51"/>
  <c r="L2644" i="51"/>
  <c r="L2645" i="51"/>
  <c r="L2646" i="51"/>
  <c r="L2647" i="51"/>
  <c r="L2648" i="51"/>
  <c r="L2649" i="51"/>
  <c r="L2650" i="51"/>
  <c r="L2651" i="51"/>
  <c r="L2652" i="51"/>
  <c r="L2653" i="51"/>
  <c r="L2654" i="51"/>
  <c r="L2655" i="51"/>
  <c r="L2656" i="51"/>
  <c r="L2657" i="51"/>
  <c r="L2658" i="51"/>
  <c r="L2659" i="51"/>
  <c r="L2660" i="51"/>
  <c r="L2661" i="51"/>
  <c r="L2662" i="51"/>
  <c r="L2663" i="51"/>
  <c r="L2664" i="51"/>
  <c r="L2665" i="51"/>
  <c r="L2666" i="51"/>
  <c r="L2667" i="51"/>
  <c r="L2668" i="51"/>
  <c r="L2669" i="51"/>
  <c r="L2670" i="51"/>
  <c r="L2671" i="51"/>
  <c r="L2672" i="51"/>
  <c r="L2673" i="51"/>
  <c r="L2674" i="51"/>
  <c r="L2675" i="51"/>
  <c r="L2676" i="51"/>
  <c r="L2677" i="51"/>
  <c r="L2678" i="51"/>
  <c r="L2679" i="51"/>
  <c r="L2680" i="51"/>
  <c r="L2681" i="51"/>
  <c r="L2682" i="51"/>
  <c r="L2683" i="51"/>
  <c r="L2684" i="51"/>
  <c r="L2685" i="51"/>
  <c r="L2686" i="51"/>
  <c r="L2687" i="51"/>
  <c r="L2688" i="51"/>
  <c r="L2689" i="51"/>
  <c r="L2690" i="51"/>
  <c r="L2691" i="51"/>
  <c r="L2692" i="51"/>
  <c r="L2693" i="51"/>
  <c r="L2694" i="51"/>
  <c r="L2695" i="51"/>
  <c r="L2696" i="51"/>
  <c r="L2697" i="51"/>
  <c r="L2698" i="51"/>
  <c r="L2699" i="51"/>
  <c r="L2700" i="51"/>
  <c r="L2701" i="51"/>
  <c r="L2702" i="51"/>
  <c r="L2703" i="51"/>
  <c r="L2704" i="51"/>
  <c r="L2705" i="51"/>
  <c r="L2706" i="51"/>
  <c r="L2707" i="51"/>
  <c r="L2708" i="51"/>
  <c r="L2709" i="51"/>
  <c r="L2710" i="51"/>
  <c r="L2711" i="51"/>
  <c r="L2712" i="51"/>
  <c r="L2713" i="51"/>
  <c r="L2714" i="51"/>
  <c r="L2715" i="51"/>
  <c r="L2716" i="51"/>
  <c r="L2717" i="51"/>
  <c r="L2718" i="51"/>
  <c r="L2719" i="51"/>
  <c r="L2720" i="51"/>
  <c r="L2721" i="51"/>
  <c r="L2722" i="51"/>
  <c r="L2723" i="51"/>
  <c r="L2724" i="51"/>
  <c r="L2725" i="51"/>
  <c r="L2726" i="51"/>
  <c r="L2727" i="51"/>
  <c r="L2728" i="51"/>
  <c r="L2729" i="51"/>
  <c r="L2730" i="51"/>
  <c r="L2731" i="51"/>
  <c r="L2732" i="51"/>
  <c r="L2733" i="51"/>
  <c r="L2734" i="51"/>
  <c r="L2735" i="51"/>
  <c r="L2736" i="51"/>
  <c r="L2737" i="51"/>
  <c r="L2738" i="51"/>
  <c r="L2739" i="51"/>
  <c r="L2740" i="51"/>
  <c r="L2741" i="51"/>
  <c r="L2742" i="51"/>
  <c r="L2743" i="51"/>
  <c r="L2744" i="51"/>
  <c r="L2745" i="51"/>
  <c r="L2746" i="51"/>
  <c r="L2747" i="51"/>
  <c r="L2748" i="51"/>
  <c r="L2749" i="51"/>
  <c r="L2750" i="51"/>
  <c r="L2751" i="51"/>
  <c r="L2752" i="51"/>
  <c r="L2753" i="51"/>
  <c r="L2754" i="51"/>
  <c r="L2755" i="51"/>
  <c r="L2756" i="51"/>
  <c r="L2757" i="51"/>
  <c r="L2758" i="51"/>
  <c r="L2759" i="51"/>
  <c r="L2760" i="51"/>
  <c r="L2761" i="51"/>
  <c r="L2762" i="51"/>
  <c r="L2763" i="51"/>
  <c r="L2764" i="51"/>
  <c r="L2765" i="51"/>
  <c r="L2766" i="51"/>
  <c r="L2767" i="51"/>
  <c r="L2768" i="51"/>
  <c r="L2769" i="51"/>
  <c r="L2770" i="51"/>
  <c r="L2771" i="51"/>
  <c r="L2772" i="51"/>
  <c r="L2773" i="51"/>
  <c r="L2774" i="51"/>
  <c r="L2775" i="51"/>
  <c r="L2776" i="51"/>
  <c r="L2777" i="51"/>
  <c r="L2778" i="51"/>
  <c r="L2779" i="51"/>
  <c r="L2780" i="51"/>
  <c r="L2781" i="51"/>
  <c r="L2782" i="51"/>
  <c r="L2783" i="51"/>
  <c r="L2784" i="51"/>
  <c r="L2785" i="51"/>
  <c r="L2786" i="51"/>
  <c r="L2787" i="51"/>
  <c r="L2788" i="51"/>
  <c r="L2789" i="51"/>
  <c r="L2790" i="51"/>
  <c r="L2791" i="51"/>
  <c r="L2792" i="51"/>
  <c r="L2793" i="51"/>
  <c r="L2794" i="51"/>
  <c r="L2795" i="51"/>
  <c r="L2796" i="51"/>
  <c r="L2797" i="51"/>
  <c r="L2798" i="51"/>
  <c r="L2799" i="51"/>
  <c r="L2800" i="51"/>
  <c r="L2801" i="51"/>
  <c r="L2802" i="51"/>
  <c r="L2803" i="51"/>
  <c r="L2804" i="51"/>
  <c r="L2805" i="51"/>
  <c r="L2806" i="51"/>
  <c r="L2807" i="51"/>
  <c r="L2808" i="51"/>
  <c r="L2809" i="51"/>
  <c r="L2810" i="51"/>
  <c r="L2811" i="51"/>
  <c r="L2812" i="51"/>
  <c r="L2813" i="51"/>
  <c r="L2814" i="51"/>
  <c r="L2815" i="51"/>
  <c r="L2816" i="51"/>
  <c r="L2817" i="51"/>
  <c r="L2818" i="51"/>
  <c r="L2819" i="51"/>
  <c r="L2820" i="51"/>
  <c r="L2821" i="51"/>
  <c r="L2822" i="51"/>
  <c r="L2823" i="51"/>
  <c r="L2824" i="51"/>
  <c r="L2825" i="51"/>
  <c r="L2826" i="51"/>
  <c r="L2827" i="51"/>
  <c r="L2828" i="51"/>
  <c r="L2829" i="51"/>
  <c r="L2830" i="51"/>
  <c r="L2831" i="51"/>
  <c r="L2832" i="51"/>
  <c r="L2833" i="51"/>
  <c r="L2834" i="51"/>
  <c r="L2835" i="51"/>
  <c r="L2836" i="51"/>
  <c r="L2837" i="51"/>
  <c r="L2838" i="51"/>
  <c r="L2839" i="51"/>
  <c r="L2840" i="51"/>
  <c r="L2841" i="51"/>
  <c r="L2842" i="51"/>
  <c r="L2843" i="51"/>
  <c r="L2844" i="51"/>
  <c r="L2845" i="51"/>
  <c r="L2846" i="51"/>
  <c r="L2847" i="51"/>
  <c r="L2848" i="51"/>
  <c r="L2849" i="51"/>
  <c r="L2850" i="51"/>
  <c r="L2851" i="51"/>
  <c r="L2852" i="51"/>
  <c r="L2853" i="51"/>
  <c r="L2854" i="51"/>
  <c r="L2855" i="51"/>
  <c r="L2856" i="51"/>
  <c r="L2857" i="51"/>
  <c r="L2858" i="51"/>
  <c r="L2859" i="51"/>
  <c r="L2860" i="51"/>
  <c r="L2861" i="51"/>
  <c r="L2862" i="51"/>
  <c r="L2863" i="51"/>
  <c r="L2864" i="51"/>
  <c r="L2865" i="51"/>
  <c r="L2866" i="51"/>
  <c r="L2867" i="51"/>
  <c r="L2868" i="51"/>
  <c r="L2869" i="51"/>
  <c r="L2870" i="51"/>
  <c r="L2871" i="51"/>
  <c r="L2872" i="51"/>
  <c r="L2873" i="51"/>
  <c r="L2874" i="51"/>
  <c r="L2875" i="51"/>
  <c r="L2876" i="51"/>
  <c r="L2877" i="51"/>
  <c r="L2878" i="51"/>
  <c r="L2879" i="51"/>
  <c r="L2880" i="51"/>
  <c r="L2881" i="51"/>
  <c r="L2882" i="51"/>
  <c r="L2883" i="51"/>
  <c r="L2884" i="51"/>
  <c r="L2885" i="51"/>
  <c r="L2886" i="51"/>
  <c r="L2887" i="51"/>
  <c r="L2888" i="51"/>
  <c r="L2889" i="51"/>
  <c r="L2890" i="51"/>
  <c r="L2891" i="51"/>
  <c r="L2892" i="51"/>
  <c r="L2893" i="51"/>
  <c r="L2894" i="51"/>
  <c r="L2895" i="51"/>
  <c r="L2896" i="51"/>
  <c r="L2897" i="51"/>
  <c r="L2898" i="51"/>
  <c r="L2899" i="51"/>
  <c r="L2900" i="51"/>
  <c r="L2901" i="51"/>
  <c r="L2902" i="51"/>
  <c r="L2903" i="51"/>
  <c r="L2904" i="51"/>
  <c r="L2905" i="51"/>
  <c r="L2906" i="51"/>
  <c r="L2907" i="51"/>
  <c r="L2908" i="51"/>
  <c r="L2909" i="51"/>
  <c r="L2910" i="51"/>
  <c r="L2911" i="51"/>
  <c r="L2912" i="51"/>
  <c r="L2913" i="51"/>
  <c r="L2914" i="51"/>
  <c r="L2915" i="51"/>
  <c r="L2916" i="51"/>
  <c r="L2917" i="51"/>
  <c r="L2918" i="51"/>
  <c r="L2919" i="51"/>
  <c r="L2920" i="51"/>
  <c r="L2921" i="51"/>
  <c r="L2922" i="51"/>
  <c r="L2923" i="51"/>
  <c r="L2924" i="51"/>
  <c r="L2925" i="51"/>
  <c r="L2926" i="51"/>
  <c r="L2927" i="51"/>
  <c r="L2928" i="51"/>
  <c r="L2929" i="51"/>
  <c r="L2930" i="51"/>
  <c r="L2931" i="51"/>
  <c r="L2932" i="51"/>
  <c r="L2933" i="51"/>
  <c r="L2934" i="51"/>
  <c r="L2935" i="51"/>
  <c r="L2936" i="51"/>
  <c r="L2937" i="51"/>
  <c r="L2938" i="51"/>
  <c r="L2939" i="51"/>
  <c r="L2940" i="51"/>
  <c r="L2941" i="51"/>
  <c r="L2942" i="51"/>
  <c r="L2943" i="51"/>
  <c r="L2944" i="51"/>
  <c r="L2945" i="51"/>
  <c r="L2946" i="51"/>
  <c r="L2947" i="51"/>
  <c r="L2948" i="51"/>
  <c r="L2949" i="51"/>
  <c r="L2950" i="51"/>
  <c r="L2951" i="51"/>
  <c r="L2952" i="51"/>
  <c r="L2953" i="51"/>
  <c r="L2954" i="51"/>
  <c r="L2955" i="51"/>
  <c r="L2956" i="51"/>
  <c r="L2957" i="51"/>
  <c r="L2958" i="51"/>
  <c r="L2959" i="51"/>
  <c r="L2960" i="51"/>
  <c r="L2961" i="51"/>
  <c r="L2962" i="51"/>
  <c r="L2963" i="51"/>
  <c r="L2964" i="51"/>
  <c r="L2965" i="51"/>
  <c r="L2966" i="51"/>
  <c r="L2967" i="51"/>
  <c r="L2968" i="51"/>
  <c r="L2969" i="51"/>
  <c r="L2970" i="51"/>
  <c r="L2971" i="51"/>
  <c r="L2972" i="51"/>
  <c r="L2973" i="51"/>
  <c r="L2974" i="51"/>
  <c r="L2975" i="51"/>
  <c r="L2976" i="51"/>
  <c r="L2977" i="51"/>
  <c r="L2978" i="51"/>
  <c r="L2979" i="51"/>
  <c r="L2980" i="51"/>
  <c r="L2981" i="51"/>
  <c r="L2982" i="51"/>
  <c r="L2983" i="51"/>
  <c r="L2984" i="51"/>
  <c r="L2985" i="51"/>
  <c r="L2986" i="51"/>
  <c r="L2987" i="51"/>
  <c r="L2988" i="51"/>
  <c r="L2989" i="51"/>
  <c r="L2990" i="51"/>
  <c r="L2991" i="51"/>
  <c r="L2992" i="51"/>
  <c r="L2993" i="51"/>
  <c r="L2994" i="51"/>
  <c r="L2995" i="51"/>
  <c r="L2996" i="51"/>
  <c r="L2997" i="51"/>
  <c r="L2998" i="51"/>
  <c r="L2999" i="51"/>
  <c r="L3000" i="51"/>
  <c r="L3001" i="51"/>
  <c r="L3002" i="51"/>
  <c r="L3003" i="51"/>
  <c r="L3004" i="51"/>
  <c r="L3005" i="51"/>
  <c r="L3006" i="51"/>
  <c r="L3007" i="51"/>
  <c r="L3008" i="51"/>
  <c r="L3009" i="51"/>
  <c r="L3010" i="51"/>
  <c r="L3011" i="51"/>
  <c r="L3012" i="51"/>
  <c r="L3013" i="51"/>
  <c r="L3014" i="51"/>
  <c r="L3015" i="51"/>
  <c r="L3016" i="51"/>
  <c r="L3017" i="51"/>
  <c r="L3018" i="51"/>
  <c r="L3019" i="51"/>
  <c r="L3020" i="51"/>
  <c r="L3021" i="51"/>
  <c r="L3022" i="51"/>
  <c r="L3023" i="51"/>
  <c r="L3024" i="51"/>
  <c r="L3025" i="51"/>
  <c r="L3026" i="51"/>
  <c r="L3027" i="51"/>
  <c r="L3028" i="51"/>
  <c r="L3029" i="51"/>
  <c r="L3030" i="51"/>
  <c r="L3031" i="51"/>
  <c r="L3032" i="51"/>
  <c r="L3033" i="51"/>
  <c r="L3034" i="51"/>
  <c r="L3035" i="51"/>
  <c r="L3036" i="51"/>
  <c r="L3037" i="51"/>
  <c r="L3038" i="51"/>
  <c r="L3039" i="51"/>
  <c r="L3040" i="51"/>
  <c r="L3041" i="51"/>
  <c r="L3042" i="51"/>
  <c r="L3043" i="51"/>
  <c r="L3044" i="51"/>
  <c r="L3045" i="51"/>
  <c r="L3046" i="51"/>
  <c r="L3047" i="51"/>
  <c r="L3048" i="51"/>
  <c r="L3049" i="51"/>
  <c r="L3050" i="51"/>
  <c r="L3051" i="51"/>
  <c r="L3052" i="51"/>
  <c r="L3053" i="51"/>
  <c r="L3054" i="51"/>
  <c r="L3055" i="51"/>
  <c r="L3056" i="51"/>
  <c r="L3057" i="51"/>
  <c r="L3058" i="51"/>
  <c r="L3059" i="51"/>
  <c r="L3060" i="51"/>
  <c r="L3061" i="51"/>
  <c r="L3062" i="51"/>
  <c r="L3063" i="51"/>
  <c r="L3064" i="51"/>
  <c r="L3065" i="51"/>
  <c r="L3066" i="51"/>
  <c r="L3067" i="51"/>
  <c r="L3068" i="51"/>
  <c r="L3069" i="51"/>
  <c r="L3070" i="51"/>
  <c r="L3071" i="51"/>
  <c r="L3072" i="51"/>
  <c r="L3073" i="51"/>
  <c r="L3074" i="51"/>
  <c r="L3075" i="51"/>
  <c r="L3076" i="51"/>
  <c r="L3077" i="51"/>
  <c r="L3078" i="51"/>
  <c r="L3079" i="51"/>
  <c r="L3080" i="51"/>
  <c r="L3081" i="51"/>
  <c r="L3082" i="51"/>
  <c r="L3083" i="51"/>
  <c r="L3084" i="51"/>
  <c r="L3085" i="51"/>
  <c r="L3086" i="51"/>
  <c r="L3087" i="51"/>
  <c r="L3088" i="51"/>
  <c r="L3089" i="51"/>
  <c r="L3090" i="51"/>
  <c r="L3091" i="51"/>
  <c r="L3092" i="51"/>
  <c r="L3093" i="51"/>
  <c r="L3094" i="51"/>
  <c r="L3095" i="51"/>
  <c r="L3096" i="51"/>
  <c r="L3097" i="51"/>
  <c r="L3098" i="51"/>
  <c r="L3099" i="51"/>
  <c r="L3100" i="51"/>
  <c r="L3101" i="51"/>
  <c r="L3102" i="51"/>
  <c r="L3103" i="51"/>
  <c r="L3104" i="51"/>
  <c r="L3105" i="51"/>
  <c r="L3106" i="51"/>
  <c r="L3107" i="51"/>
  <c r="L3108" i="51"/>
  <c r="L3109" i="51"/>
  <c r="L3110" i="51"/>
  <c r="L3111" i="51"/>
  <c r="L3112" i="51"/>
  <c r="L3113" i="51"/>
  <c r="L3114" i="51"/>
  <c r="L3115" i="51"/>
  <c r="L3116" i="51"/>
  <c r="L3117" i="51"/>
  <c r="L3118" i="51"/>
  <c r="L3119" i="51"/>
  <c r="L3120" i="51"/>
  <c r="L3121" i="51"/>
  <c r="L3122" i="51"/>
  <c r="L3123" i="51"/>
  <c r="L3124" i="51"/>
  <c r="L3125" i="51"/>
  <c r="L3126" i="51"/>
  <c r="L3127" i="51"/>
  <c r="L3128" i="51"/>
  <c r="L3129" i="51"/>
  <c r="L3130" i="51"/>
  <c r="L3131" i="51"/>
  <c r="L3132" i="51"/>
  <c r="L3133" i="51"/>
  <c r="L3134" i="51"/>
  <c r="L3135" i="51"/>
  <c r="L3136" i="51"/>
  <c r="L3137" i="51"/>
  <c r="L3138" i="51"/>
  <c r="L3139" i="51"/>
  <c r="L3140" i="51"/>
  <c r="L3141" i="51"/>
  <c r="L3142" i="51"/>
  <c r="L3143" i="51"/>
  <c r="L3144" i="51"/>
  <c r="L3145" i="51"/>
  <c r="L3146" i="51"/>
  <c r="L3147" i="51"/>
  <c r="L3148" i="51"/>
  <c r="L3149" i="51"/>
  <c r="L3150" i="51"/>
  <c r="L3151" i="51"/>
  <c r="L3152" i="51"/>
  <c r="L3153" i="51"/>
  <c r="L3154" i="51"/>
  <c r="L3155" i="51"/>
  <c r="L3156" i="51"/>
  <c r="L3157" i="51"/>
  <c r="L3158" i="51"/>
  <c r="L3159" i="51"/>
  <c r="L3160" i="51"/>
  <c r="L3161" i="51"/>
  <c r="L3162" i="51"/>
  <c r="L3163" i="51"/>
  <c r="L3164" i="51"/>
  <c r="L3165" i="51"/>
  <c r="L3166" i="51"/>
  <c r="L3167" i="51"/>
  <c r="L3168" i="51"/>
  <c r="L3169" i="51"/>
  <c r="L3170" i="51"/>
  <c r="L3171" i="51"/>
  <c r="L3172" i="51"/>
  <c r="L3173" i="51"/>
  <c r="L3174" i="51"/>
  <c r="L3175" i="51"/>
  <c r="L3176" i="51"/>
  <c r="L3177" i="51"/>
  <c r="L3178" i="51"/>
  <c r="L3179" i="51"/>
  <c r="L3180" i="51"/>
  <c r="L3181" i="51"/>
  <c r="L3182" i="51"/>
  <c r="L3183" i="51"/>
  <c r="L3184" i="51"/>
  <c r="L3185" i="51"/>
  <c r="L3186" i="51"/>
  <c r="L3187" i="51"/>
  <c r="L3188" i="51"/>
  <c r="L3189" i="51"/>
  <c r="L3190" i="51"/>
  <c r="L3191" i="51"/>
  <c r="L3192" i="51"/>
  <c r="L3193" i="51"/>
  <c r="L3194" i="51"/>
  <c r="L3195" i="51"/>
  <c r="L3196" i="51"/>
  <c r="L3197" i="51"/>
  <c r="L3198" i="51"/>
  <c r="L3199" i="51"/>
  <c r="L3200" i="51"/>
  <c r="L3201" i="51"/>
  <c r="L3202" i="51"/>
  <c r="L3203" i="51"/>
  <c r="L3204" i="51"/>
  <c r="L3205" i="51"/>
  <c r="L3206" i="51"/>
  <c r="L3207" i="51"/>
  <c r="L3208" i="51"/>
  <c r="L3209" i="51"/>
  <c r="L3210" i="51"/>
  <c r="L3211" i="51"/>
  <c r="L3212" i="51"/>
  <c r="L3213" i="51"/>
  <c r="L3214" i="51"/>
  <c r="L3215" i="51"/>
  <c r="L3216" i="51"/>
  <c r="L3217" i="51"/>
  <c r="L3218" i="51"/>
  <c r="L3219" i="51"/>
  <c r="L3220" i="51"/>
  <c r="L3221" i="51"/>
  <c r="L3222" i="51"/>
  <c r="L3223" i="51"/>
  <c r="L3224" i="51"/>
  <c r="L3225" i="51"/>
  <c r="L3226" i="51"/>
  <c r="L3227" i="51"/>
  <c r="L3228" i="51"/>
  <c r="L3229" i="51"/>
  <c r="L3230" i="51"/>
  <c r="L3231" i="51"/>
  <c r="L3232" i="51"/>
  <c r="L3233" i="51"/>
  <c r="L3234" i="51"/>
  <c r="L3235" i="51"/>
  <c r="L3236" i="51"/>
  <c r="L3237" i="51"/>
  <c r="L3238" i="51"/>
  <c r="L3239" i="51"/>
  <c r="L3240" i="51"/>
  <c r="L3241" i="51"/>
  <c r="L3242" i="51"/>
  <c r="L3243" i="51"/>
  <c r="L3244" i="51"/>
  <c r="L3245" i="51"/>
  <c r="L3246" i="51"/>
  <c r="L3247" i="51"/>
  <c r="L3248" i="51"/>
  <c r="L3249" i="51"/>
  <c r="L3250" i="51"/>
  <c r="L3251" i="51"/>
  <c r="L3252" i="51"/>
  <c r="L3253" i="51"/>
  <c r="L3254" i="51"/>
  <c r="L3255" i="51"/>
  <c r="L3256" i="51"/>
  <c r="L3257" i="51"/>
  <c r="L3258" i="51"/>
  <c r="L3259" i="51"/>
  <c r="L3260" i="51"/>
  <c r="L3261" i="51"/>
  <c r="L3262" i="51"/>
  <c r="L3263" i="51"/>
  <c r="L3264" i="51"/>
  <c r="L3265" i="51"/>
  <c r="L3266" i="51"/>
  <c r="L3267" i="51"/>
  <c r="L3268" i="51"/>
  <c r="L3269" i="51"/>
  <c r="L3270" i="51"/>
  <c r="L3271" i="51"/>
  <c r="L3272" i="51"/>
  <c r="L3273" i="51"/>
  <c r="L3274" i="51"/>
  <c r="L3275" i="51"/>
  <c r="L3276" i="51"/>
  <c r="L3277" i="51"/>
  <c r="L3278" i="51"/>
  <c r="L3279" i="51"/>
  <c r="L3280" i="51"/>
  <c r="L3281" i="51"/>
  <c r="L3282" i="51"/>
  <c r="L3283" i="51"/>
  <c r="L3284" i="51"/>
  <c r="L3285" i="51"/>
  <c r="L3286" i="51"/>
  <c r="L3287" i="51"/>
  <c r="L3288" i="51"/>
  <c r="L3289" i="51"/>
  <c r="L3290" i="51"/>
  <c r="L3291" i="51"/>
  <c r="L3292" i="51"/>
  <c r="L3293" i="51"/>
  <c r="L3294" i="51"/>
  <c r="L3295" i="51"/>
  <c r="L3296" i="51"/>
  <c r="L3297" i="51"/>
  <c r="L3298" i="51"/>
  <c r="L3299" i="51"/>
  <c r="L3300" i="51"/>
  <c r="L3301" i="51"/>
  <c r="L3302" i="51"/>
  <c r="L3303" i="51"/>
  <c r="L3304" i="51"/>
  <c r="L3305" i="51"/>
  <c r="L3306" i="51"/>
  <c r="L3307" i="51"/>
  <c r="L3308" i="51"/>
  <c r="L3309" i="51"/>
  <c r="L3310" i="51"/>
  <c r="L3311" i="51"/>
  <c r="L3312" i="51"/>
  <c r="L3313" i="51"/>
  <c r="L3314" i="51"/>
  <c r="L3315" i="51"/>
  <c r="L3316" i="51"/>
  <c r="L3317" i="51"/>
  <c r="L3318" i="51"/>
  <c r="L3319" i="51"/>
  <c r="L3320" i="51"/>
  <c r="L3321" i="51"/>
  <c r="L3322" i="51"/>
  <c r="L3323" i="51"/>
  <c r="L3324" i="51"/>
  <c r="L3325" i="51"/>
  <c r="L3326" i="51"/>
  <c r="L3327" i="51"/>
  <c r="L3328" i="51"/>
  <c r="L3329" i="51"/>
  <c r="L3330" i="51"/>
  <c r="L3331" i="51"/>
  <c r="L3332" i="51"/>
  <c r="L3333" i="51"/>
  <c r="L3334" i="51"/>
  <c r="L3335" i="51"/>
  <c r="L3336" i="51"/>
  <c r="L3337" i="51"/>
  <c r="L3338" i="51"/>
  <c r="L3339" i="51"/>
  <c r="L3340" i="51"/>
  <c r="L3341" i="51"/>
  <c r="L3342" i="51"/>
  <c r="L3343" i="51"/>
  <c r="L3344" i="51"/>
  <c r="L3345" i="51"/>
  <c r="L3346" i="51"/>
  <c r="L3347" i="51"/>
  <c r="L3348" i="51"/>
  <c r="L3349" i="51"/>
  <c r="L3350" i="51"/>
  <c r="L3351" i="51"/>
  <c r="L3352" i="51"/>
  <c r="L3353" i="51"/>
  <c r="L3354" i="51"/>
  <c r="L3355" i="51"/>
  <c r="L3356" i="51"/>
  <c r="L3357" i="51"/>
  <c r="L3358" i="51"/>
  <c r="L3359" i="51"/>
  <c r="L3360" i="51"/>
  <c r="L3361" i="51"/>
  <c r="L3362" i="51"/>
  <c r="L3363" i="51"/>
  <c r="L3364" i="51"/>
  <c r="L3365" i="51"/>
  <c r="L3366" i="51"/>
  <c r="L3367" i="51"/>
  <c r="L3368" i="51"/>
  <c r="L3369" i="51"/>
  <c r="L3370" i="51"/>
  <c r="L3371" i="51"/>
  <c r="L3372" i="51"/>
  <c r="L3373" i="51"/>
  <c r="L3374" i="51"/>
  <c r="L3375" i="51"/>
  <c r="L3376" i="51"/>
  <c r="L3377" i="51"/>
  <c r="L3378" i="51"/>
  <c r="L3379" i="51"/>
  <c r="L3380" i="51"/>
  <c r="L3381" i="51"/>
  <c r="L3382" i="51"/>
  <c r="L3383" i="51"/>
  <c r="L3384" i="51"/>
  <c r="L3385" i="51"/>
  <c r="L3386" i="51"/>
  <c r="L3387" i="51"/>
  <c r="L3388" i="51"/>
  <c r="L3389" i="51"/>
  <c r="L3390" i="51"/>
  <c r="L3391" i="51"/>
  <c r="L3392" i="51"/>
  <c r="L3393" i="51"/>
  <c r="L3394" i="51"/>
  <c r="L3395" i="51"/>
  <c r="L3396" i="51"/>
  <c r="L3397" i="51"/>
  <c r="L3398" i="51"/>
  <c r="L3399" i="51"/>
  <c r="L3400" i="51"/>
  <c r="L3401" i="51"/>
  <c r="L3402" i="51"/>
  <c r="L3403" i="51"/>
  <c r="L3404" i="51"/>
  <c r="L3405" i="51"/>
  <c r="L3406" i="51"/>
  <c r="L3407" i="51"/>
  <c r="L3408" i="51"/>
  <c r="L3409" i="51"/>
  <c r="L3410" i="51"/>
  <c r="L3411" i="51"/>
  <c r="L3412" i="51"/>
  <c r="L3413" i="51"/>
  <c r="L3414" i="51"/>
  <c r="L3415" i="51"/>
  <c r="L3416" i="51"/>
  <c r="L3417" i="51"/>
  <c r="L3418" i="51"/>
  <c r="L3419" i="51"/>
  <c r="L3420" i="51"/>
  <c r="L3421" i="51"/>
  <c r="L3422" i="51"/>
  <c r="L3423" i="51"/>
  <c r="L3424" i="51"/>
  <c r="L3425" i="51"/>
  <c r="L3426" i="51"/>
  <c r="L3427" i="51"/>
  <c r="L3428" i="51"/>
  <c r="L3429" i="51"/>
  <c r="L3430" i="51"/>
  <c r="L3431" i="51"/>
  <c r="L3432" i="51"/>
  <c r="L3433" i="51"/>
  <c r="L3434" i="51"/>
  <c r="L3435" i="51"/>
  <c r="L3436" i="51"/>
  <c r="L3437" i="51"/>
  <c r="L3438" i="51"/>
  <c r="L3439" i="51"/>
  <c r="L3440" i="51"/>
  <c r="L3441" i="51"/>
  <c r="L3442" i="51"/>
  <c r="L3443" i="51"/>
  <c r="L3444" i="51"/>
  <c r="L3445" i="51"/>
  <c r="L3446" i="51"/>
  <c r="L3447" i="51"/>
  <c r="L3448" i="51"/>
  <c r="L3449" i="51"/>
  <c r="L3450" i="51"/>
  <c r="L3451" i="51"/>
  <c r="L3452" i="51"/>
  <c r="L3453" i="51"/>
  <c r="L3454" i="51"/>
  <c r="L3455" i="51"/>
  <c r="L3456" i="51"/>
  <c r="L3457" i="51"/>
  <c r="L3458" i="51"/>
  <c r="L3459" i="51"/>
  <c r="L3460" i="51"/>
  <c r="L3461" i="51"/>
  <c r="L3462" i="51"/>
  <c r="L3463" i="51"/>
  <c r="L3464" i="51"/>
  <c r="L3465" i="51"/>
  <c r="L3466" i="51"/>
  <c r="L3467" i="51"/>
  <c r="L3468" i="51"/>
  <c r="L3469" i="51"/>
  <c r="L3470" i="51"/>
  <c r="L3471" i="51"/>
  <c r="L3472" i="51"/>
  <c r="L3473" i="51"/>
  <c r="L3474" i="51"/>
  <c r="L3475" i="51"/>
  <c r="L3476" i="51"/>
  <c r="L3477" i="51"/>
  <c r="L3478" i="51"/>
  <c r="L3479" i="51"/>
  <c r="L3480" i="51"/>
  <c r="L3481" i="51"/>
  <c r="L3482" i="51"/>
  <c r="L3483" i="51"/>
  <c r="L3484" i="51"/>
  <c r="L3485" i="51"/>
  <c r="L3486" i="51"/>
  <c r="L3487" i="51"/>
  <c r="L3488" i="51"/>
  <c r="L3489" i="51"/>
  <c r="L3490" i="51"/>
  <c r="L3491" i="51"/>
  <c r="L3492" i="51"/>
  <c r="L3493" i="51"/>
  <c r="L3494" i="51"/>
  <c r="L3495" i="51"/>
  <c r="L3496" i="51"/>
  <c r="L3497" i="51"/>
  <c r="L3498" i="51"/>
  <c r="L3499" i="51"/>
  <c r="L3500" i="51"/>
  <c r="L3501" i="51"/>
  <c r="L3502" i="51"/>
  <c r="L3503" i="51"/>
  <c r="L3504" i="51"/>
  <c r="L3505" i="51"/>
  <c r="L3506" i="51"/>
  <c r="L3507" i="51"/>
  <c r="L3508" i="51"/>
  <c r="L3509" i="51"/>
  <c r="L3510" i="51"/>
  <c r="L3511" i="51"/>
  <c r="L3512" i="51"/>
  <c r="L3513" i="51"/>
  <c r="L3514" i="51"/>
  <c r="L3515" i="51"/>
  <c r="L3516" i="51"/>
  <c r="L3517" i="51"/>
  <c r="L3518" i="51"/>
  <c r="L3519" i="51"/>
  <c r="L3520" i="51"/>
  <c r="L3521" i="51"/>
  <c r="L3522" i="51"/>
  <c r="L3523" i="51"/>
  <c r="L3524" i="51"/>
  <c r="L3525" i="51"/>
  <c r="L3526" i="51"/>
  <c r="L3527" i="51"/>
  <c r="L3528" i="51"/>
  <c r="L3529" i="51"/>
  <c r="L3530" i="51"/>
  <c r="L3531" i="51"/>
  <c r="L3532" i="51"/>
  <c r="L3533" i="51"/>
  <c r="L3534" i="51"/>
  <c r="L3535" i="51"/>
  <c r="L3536" i="51"/>
  <c r="L3537" i="51"/>
  <c r="L3538" i="51"/>
  <c r="L3539" i="51"/>
  <c r="L3540" i="51"/>
  <c r="L3541" i="51"/>
  <c r="L3542" i="51"/>
  <c r="L3543" i="51"/>
  <c r="L3544" i="51"/>
  <c r="L3545" i="51"/>
  <c r="L3546" i="51"/>
  <c r="L3547" i="51"/>
  <c r="L3548" i="51"/>
  <c r="L3549" i="51"/>
  <c r="L3550" i="51"/>
  <c r="L3551" i="51"/>
  <c r="L3552" i="51"/>
  <c r="L3553" i="51"/>
  <c r="L3554" i="51"/>
  <c r="L3555" i="51"/>
  <c r="L3556" i="51"/>
  <c r="L3557" i="51"/>
  <c r="L3558" i="51"/>
  <c r="L3559" i="51"/>
  <c r="L3560" i="51"/>
  <c r="L3561" i="51"/>
  <c r="L3562" i="51"/>
  <c r="L3563" i="51"/>
  <c r="L3564" i="51"/>
  <c r="L3565" i="51"/>
  <c r="L3566" i="51"/>
  <c r="L3567" i="51"/>
  <c r="L3568" i="51"/>
  <c r="L3569" i="51"/>
  <c r="L3570" i="51"/>
  <c r="L3571" i="51"/>
  <c r="L3572" i="51"/>
  <c r="L3573" i="51"/>
  <c r="L3574" i="51"/>
  <c r="L3575" i="51"/>
  <c r="L3576" i="51"/>
  <c r="L3577" i="51"/>
  <c r="L3578" i="51"/>
  <c r="L3579" i="51"/>
  <c r="L3580" i="51"/>
  <c r="L3581" i="51"/>
  <c r="L3582" i="51"/>
  <c r="L3583" i="51"/>
  <c r="L3584" i="51"/>
  <c r="L3585" i="51"/>
  <c r="L3586" i="51"/>
  <c r="L3587" i="51"/>
  <c r="L3588" i="51"/>
  <c r="L3589" i="51"/>
  <c r="L3590" i="51"/>
  <c r="L3591" i="51"/>
  <c r="L3592" i="51"/>
  <c r="L3593" i="51"/>
  <c r="L3594" i="51"/>
  <c r="L3595" i="51"/>
  <c r="L3596" i="51"/>
  <c r="L3597" i="51"/>
  <c r="L3598" i="51"/>
  <c r="L3599" i="51"/>
  <c r="L3600" i="51"/>
  <c r="L3601" i="51"/>
  <c r="L3602" i="51"/>
  <c r="L3603" i="51"/>
  <c r="L3604" i="51"/>
  <c r="L3605" i="51"/>
  <c r="L3606" i="51"/>
  <c r="L3607" i="51"/>
  <c r="L3608" i="51"/>
  <c r="L3609" i="51"/>
  <c r="L3610" i="51"/>
  <c r="L3611" i="51"/>
  <c r="L3612" i="51"/>
  <c r="L3613" i="51"/>
  <c r="L3614" i="51"/>
  <c r="L3615" i="51"/>
  <c r="L3616" i="51"/>
  <c r="L3617" i="51"/>
  <c r="L3618" i="51"/>
  <c r="L3619" i="51"/>
  <c r="L3620" i="51"/>
  <c r="L3621" i="51"/>
  <c r="L3622" i="51"/>
  <c r="L3623" i="51"/>
  <c r="L3624" i="51"/>
  <c r="L3625" i="51"/>
  <c r="L3626" i="51"/>
  <c r="L3627" i="51"/>
  <c r="L3628" i="51"/>
  <c r="L3629" i="51"/>
  <c r="L3630" i="51"/>
  <c r="L3631" i="51"/>
  <c r="L3632" i="51"/>
  <c r="L3633" i="51"/>
  <c r="L3634" i="51"/>
  <c r="L3635" i="51"/>
  <c r="L3636" i="51"/>
  <c r="L3637" i="51"/>
  <c r="L3638" i="51"/>
  <c r="L3639" i="51"/>
  <c r="L3640" i="51"/>
  <c r="L3641" i="51"/>
  <c r="L3642" i="51"/>
  <c r="L3643" i="51"/>
  <c r="L3644" i="51"/>
  <c r="L3645" i="51"/>
  <c r="L3646" i="51"/>
  <c r="L3647" i="51"/>
  <c r="L3648" i="51"/>
  <c r="L3649" i="51"/>
  <c r="L3650" i="51"/>
  <c r="L3651" i="51"/>
  <c r="L3652" i="51"/>
  <c r="L3653" i="51"/>
  <c r="L3654" i="51"/>
  <c r="L3655" i="51"/>
  <c r="L3656" i="51"/>
  <c r="L3657" i="51"/>
  <c r="L3658" i="51"/>
  <c r="L3659" i="51"/>
  <c r="L3660" i="51"/>
  <c r="L3661" i="51"/>
  <c r="L3662" i="51"/>
  <c r="L3663" i="51"/>
  <c r="L3664" i="51"/>
  <c r="L3665" i="51"/>
  <c r="L3666" i="51"/>
  <c r="L3667" i="51"/>
  <c r="L3668" i="51"/>
  <c r="L3669" i="51"/>
  <c r="L3670" i="51"/>
  <c r="L3671" i="51"/>
  <c r="L3672" i="51"/>
  <c r="L3673" i="51"/>
  <c r="L3674" i="51"/>
  <c r="L3675" i="51"/>
  <c r="L3676" i="51"/>
  <c r="L3677" i="51"/>
  <c r="L3678" i="51"/>
  <c r="L3679" i="51"/>
  <c r="L3680" i="51"/>
  <c r="L3681" i="51"/>
  <c r="L3682" i="51"/>
  <c r="L3683" i="51"/>
  <c r="L3684" i="51"/>
  <c r="L3685" i="51"/>
  <c r="L3686" i="51"/>
  <c r="L3687" i="51"/>
  <c r="L3688" i="51"/>
  <c r="L3689" i="51"/>
  <c r="L3690" i="51"/>
  <c r="L3691" i="51"/>
  <c r="L3692" i="51"/>
  <c r="L3693" i="51"/>
  <c r="L3694" i="51"/>
  <c r="L3695" i="51"/>
  <c r="L3696" i="51"/>
  <c r="L3697" i="51"/>
  <c r="L3698" i="51"/>
  <c r="L3699" i="51"/>
  <c r="L3700" i="51"/>
  <c r="L3701" i="51"/>
  <c r="L3702" i="51"/>
  <c r="L3703" i="51"/>
  <c r="L3704" i="51"/>
  <c r="L3705" i="51"/>
  <c r="L3706" i="51"/>
  <c r="L3707" i="51"/>
  <c r="L3708" i="51"/>
  <c r="L3709" i="51"/>
  <c r="L3710" i="51"/>
  <c r="L3711" i="51"/>
  <c r="L3712" i="51"/>
  <c r="L3713" i="51"/>
  <c r="L3714" i="51"/>
  <c r="L3715" i="51"/>
  <c r="L3716" i="51"/>
  <c r="L3717" i="51"/>
  <c r="L3718" i="51"/>
  <c r="L3719" i="51"/>
  <c r="L3720" i="51"/>
  <c r="L3721" i="51"/>
  <c r="L3722" i="51"/>
  <c r="L3723" i="51"/>
  <c r="L3724" i="51"/>
  <c r="L3725" i="51"/>
  <c r="L3726" i="51"/>
  <c r="L3727" i="51"/>
  <c r="L3728" i="51"/>
  <c r="L3729" i="51"/>
  <c r="L3730" i="51"/>
  <c r="L3731" i="51"/>
  <c r="L3732" i="51"/>
  <c r="L3733" i="51"/>
  <c r="L3734" i="51"/>
  <c r="L3735" i="51"/>
  <c r="L3736" i="51"/>
  <c r="L3737" i="51"/>
  <c r="L3738" i="51"/>
  <c r="L3739" i="51"/>
  <c r="L3740" i="51"/>
  <c r="L3741" i="51"/>
  <c r="L3742" i="51"/>
  <c r="L3743" i="51"/>
  <c r="L3744" i="51"/>
  <c r="L3745" i="51"/>
  <c r="L3746" i="51"/>
  <c r="L3747" i="51"/>
  <c r="L3748" i="51"/>
  <c r="L3749" i="51"/>
  <c r="L3750" i="51"/>
  <c r="L3751" i="51"/>
  <c r="L3752" i="51"/>
  <c r="L3753" i="51"/>
  <c r="L3754" i="51"/>
  <c r="L3755" i="51"/>
  <c r="L3756" i="51"/>
  <c r="L3757" i="51"/>
  <c r="L3758" i="51"/>
  <c r="L3759" i="51"/>
  <c r="L3760" i="51"/>
  <c r="L3761" i="51"/>
  <c r="L3762" i="51"/>
  <c r="L3763" i="51"/>
  <c r="L3764" i="51"/>
  <c r="L3765" i="51"/>
  <c r="L3766" i="51"/>
  <c r="L3767" i="51"/>
  <c r="L3768" i="51"/>
  <c r="L3769" i="51"/>
  <c r="L3770" i="51"/>
  <c r="L3771" i="51"/>
  <c r="L3772" i="51"/>
  <c r="L3773" i="51"/>
  <c r="L3774" i="51"/>
  <c r="L3775" i="51"/>
  <c r="L3776" i="51"/>
  <c r="L3777" i="51"/>
  <c r="L3778" i="51"/>
  <c r="L3779" i="51"/>
  <c r="L3780" i="51"/>
  <c r="L3781" i="51"/>
  <c r="L3782" i="51"/>
  <c r="L3783" i="51"/>
  <c r="L3784" i="51"/>
  <c r="L3785" i="51"/>
  <c r="L3786" i="51"/>
  <c r="L3787" i="51"/>
  <c r="L3788" i="51"/>
  <c r="L3789" i="51"/>
  <c r="L3790" i="51"/>
  <c r="L3791" i="51"/>
  <c r="L3792" i="51"/>
  <c r="L3793" i="51"/>
  <c r="L3794" i="51"/>
  <c r="L3795" i="51"/>
  <c r="L3796" i="51"/>
  <c r="L3797" i="51"/>
  <c r="L3798" i="51"/>
  <c r="L3799" i="51"/>
  <c r="L3800" i="51"/>
  <c r="L3801" i="51"/>
  <c r="L3802" i="51"/>
  <c r="L3803" i="51"/>
  <c r="L3804" i="51"/>
  <c r="L3805" i="51"/>
  <c r="L3806" i="51"/>
  <c r="L3807" i="51"/>
  <c r="L3808" i="51"/>
  <c r="L3809" i="51"/>
  <c r="L3810" i="51"/>
  <c r="L3811" i="51"/>
  <c r="L3812" i="51"/>
  <c r="L3813" i="51"/>
  <c r="L3814" i="51"/>
  <c r="L3815" i="51"/>
  <c r="L3816" i="51"/>
  <c r="L3817" i="51"/>
  <c r="L3818" i="51"/>
  <c r="L3819" i="51"/>
  <c r="L3820" i="51"/>
  <c r="L3821" i="51"/>
  <c r="L3822" i="51"/>
  <c r="L3823" i="51"/>
  <c r="L3824" i="51"/>
  <c r="L3825" i="51"/>
  <c r="L3826" i="51"/>
  <c r="L3827" i="51"/>
  <c r="L3828" i="51"/>
  <c r="L3829" i="51"/>
  <c r="L3830" i="51"/>
  <c r="L3831" i="51"/>
  <c r="L3832" i="51"/>
  <c r="L3833" i="51"/>
  <c r="L3834" i="51"/>
  <c r="L3835" i="51"/>
  <c r="L3836" i="51"/>
  <c r="L3837" i="51"/>
  <c r="L3838" i="51"/>
  <c r="L3839" i="51"/>
  <c r="L3840" i="51"/>
  <c r="L3841" i="51"/>
  <c r="L3842" i="51"/>
  <c r="L3843" i="51"/>
  <c r="L3844" i="51"/>
  <c r="L3845" i="51"/>
  <c r="L3846" i="51"/>
  <c r="L3847" i="51"/>
  <c r="L3848" i="51"/>
  <c r="L3849" i="51"/>
  <c r="L3850" i="51"/>
  <c r="L3851" i="51"/>
  <c r="L3852" i="51"/>
  <c r="L3853" i="51"/>
  <c r="L3854" i="51"/>
  <c r="L3855" i="51"/>
  <c r="L3856" i="51"/>
  <c r="L3857" i="51"/>
  <c r="L3858" i="51"/>
  <c r="L3859" i="51"/>
  <c r="L3860" i="51"/>
  <c r="L3861" i="51"/>
  <c r="L3862" i="51"/>
  <c r="L3863" i="51"/>
  <c r="L3864" i="51"/>
  <c r="L3865" i="51"/>
  <c r="L3866" i="51"/>
  <c r="L3867" i="51"/>
  <c r="L3868" i="51"/>
  <c r="L3869" i="51"/>
  <c r="L3870" i="51"/>
  <c r="L3871" i="51"/>
  <c r="L3872" i="51"/>
  <c r="L3873" i="51"/>
  <c r="L3874" i="51"/>
  <c r="L3875" i="51"/>
  <c r="L3876" i="51"/>
  <c r="L3877" i="51"/>
  <c r="L3878" i="51"/>
  <c r="L3879" i="51"/>
  <c r="L3880" i="51"/>
  <c r="L3881" i="51"/>
  <c r="L3882" i="51"/>
  <c r="L3883" i="51"/>
  <c r="L3884" i="51"/>
  <c r="L3885" i="51"/>
  <c r="L3886" i="51"/>
  <c r="L3887" i="51"/>
  <c r="L3888" i="51"/>
  <c r="L3889" i="51"/>
  <c r="L3890" i="51"/>
  <c r="L3891" i="51"/>
  <c r="L3892" i="51"/>
  <c r="L3893" i="51"/>
  <c r="L3894" i="51"/>
  <c r="L3895" i="51"/>
  <c r="L3896" i="51"/>
  <c r="L3897" i="51"/>
  <c r="L3898" i="51"/>
  <c r="L3899" i="51"/>
  <c r="L3900" i="51"/>
  <c r="L3901" i="51"/>
  <c r="L3902" i="51"/>
  <c r="L3903" i="51"/>
  <c r="L3904" i="51"/>
  <c r="L3905" i="51"/>
  <c r="L3906" i="51"/>
  <c r="L3907" i="51"/>
  <c r="L3908" i="51"/>
  <c r="L3909" i="51"/>
  <c r="L3910" i="51"/>
  <c r="L3911" i="51"/>
  <c r="L3912" i="51"/>
  <c r="L3913" i="51"/>
  <c r="L3914" i="51"/>
  <c r="L3915" i="51"/>
  <c r="L3916" i="51"/>
  <c r="L3917" i="51"/>
  <c r="L3918" i="51"/>
  <c r="L3919" i="51"/>
  <c r="L3920" i="51"/>
  <c r="L3921" i="51"/>
  <c r="L3922" i="51"/>
  <c r="L3923" i="51"/>
  <c r="L3924" i="51"/>
  <c r="L3925" i="51"/>
  <c r="L3926" i="51"/>
  <c r="L3927" i="51"/>
  <c r="L3928" i="51"/>
  <c r="L3929" i="51"/>
  <c r="L3930" i="51"/>
  <c r="L3931" i="51"/>
  <c r="L3932" i="51"/>
  <c r="L3933" i="51"/>
  <c r="L3934" i="51"/>
  <c r="L3935" i="51"/>
  <c r="L3936" i="51"/>
  <c r="L3937" i="51"/>
  <c r="L3938" i="51"/>
  <c r="L3939" i="51"/>
  <c r="L3940" i="51"/>
  <c r="L3941" i="51"/>
  <c r="L3942" i="51"/>
  <c r="L3943" i="51"/>
  <c r="L3944" i="51"/>
  <c r="L3945" i="51"/>
  <c r="L3946" i="51"/>
  <c r="L3947" i="51"/>
  <c r="L3948" i="51"/>
  <c r="L3949" i="51"/>
  <c r="L3950" i="51"/>
  <c r="L3951" i="51"/>
  <c r="L3952" i="51"/>
  <c r="L3953" i="51"/>
  <c r="L3954" i="51"/>
  <c r="L3955" i="51"/>
  <c r="L3956" i="51"/>
  <c r="L3957" i="51"/>
  <c r="L3958" i="51"/>
  <c r="L3959" i="51"/>
  <c r="L3960" i="51"/>
  <c r="L3961" i="51"/>
  <c r="L3962" i="51"/>
  <c r="L3963" i="51"/>
  <c r="L3964" i="51"/>
  <c r="L3965" i="51"/>
  <c r="L3966" i="51"/>
  <c r="L3967" i="51"/>
  <c r="L3968" i="51"/>
  <c r="L3969" i="51"/>
  <c r="L3970" i="51"/>
  <c r="L3971" i="51"/>
  <c r="L3972" i="51"/>
  <c r="L3973" i="51"/>
  <c r="L3974" i="51"/>
  <c r="L3975" i="51"/>
  <c r="L3976" i="51"/>
  <c r="L3977" i="51"/>
  <c r="L3978" i="51"/>
  <c r="L3979" i="51"/>
  <c r="L3980" i="51"/>
  <c r="L3981" i="51"/>
  <c r="L3982" i="51"/>
  <c r="L3983" i="51"/>
  <c r="L3984" i="51"/>
  <c r="L3985" i="51"/>
  <c r="L3986" i="51"/>
  <c r="L3987" i="51"/>
  <c r="L3988" i="51"/>
  <c r="L3989" i="51"/>
  <c r="L3990" i="51"/>
  <c r="L3991" i="51"/>
  <c r="L3992" i="51"/>
  <c r="L3993" i="51"/>
  <c r="L3994" i="51"/>
  <c r="L3995" i="51"/>
  <c r="L3996" i="51"/>
  <c r="L3997" i="51"/>
  <c r="L3998" i="51"/>
  <c r="L3999" i="51"/>
  <c r="L4000" i="51"/>
  <c r="L4001" i="51"/>
  <c r="L4002" i="51"/>
  <c r="L4003" i="51"/>
  <c r="L4004" i="51"/>
  <c r="L4005" i="51"/>
  <c r="L4006" i="51"/>
  <c r="L4007" i="51"/>
  <c r="L4008" i="51"/>
  <c r="L4009" i="51"/>
  <c r="L4010" i="51"/>
  <c r="L4011" i="51"/>
  <c r="L4012" i="51"/>
  <c r="L4013" i="51"/>
  <c r="L4014" i="51"/>
  <c r="L4015" i="51"/>
  <c r="L4016" i="51"/>
  <c r="L4017" i="51"/>
  <c r="L4018" i="51"/>
  <c r="L4019" i="51"/>
  <c r="L4020" i="51"/>
  <c r="L4021" i="51"/>
  <c r="L4022" i="51"/>
  <c r="L4023" i="51"/>
  <c r="L4024" i="51"/>
  <c r="L4025" i="51"/>
  <c r="L4026" i="51"/>
  <c r="L4027" i="51"/>
  <c r="L4028" i="51"/>
  <c r="L4029" i="51"/>
  <c r="L4030" i="51"/>
  <c r="L4031" i="51"/>
  <c r="L4032" i="51"/>
  <c r="L4033" i="51"/>
  <c r="L4034" i="51"/>
  <c r="L4035" i="51"/>
  <c r="L4036" i="51"/>
  <c r="L4037" i="51"/>
  <c r="L4038" i="51"/>
  <c r="L4039" i="51"/>
  <c r="L4040" i="51"/>
  <c r="L4041" i="51"/>
  <c r="L4042" i="51"/>
  <c r="L4043" i="51"/>
  <c r="L4044" i="51"/>
  <c r="L4045" i="51"/>
  <c r="L4046" i="51"/>
  <c r="L4047" i="51"/>
  <c r="L4048" i="51"/>
  <c r="L4049" i="51"/>
  <c r="L4050" i="51"/>
  <c r="L4051" i="51"/>
  <c r="L4052" i="51"/>
  <c r="L4053" i="51"/>
  <c r="L4054" i="51"/>
  <c r="L4055" i="51"/>
  <c r="L4056" i="51"/>
  <c r="L4057" i="51"/>
  <c r="L4058" i="51"/>
  <c r="L4059" i="51"/>
  <c r="L4060" i="51"/>
  <c r="L4061" i="51"/>
  <c r="L4062" i="51"/>
  <c r="L4063" i="51"/>
  <c r="L4064" i="51"/>
  <c r="L4065" i="51"/>
  <c r="L4066" i="51"/>
  <c r="L4067" i="51"/>
  <c r="L4068" i="51"/>
  <c r="L4069" i="51"/>
  <c r="L4070" i="51"/>
  <c r="L4071" i="51"/>
  <c r="L4072" i="51"/>
  <c r="L4073" i="51"/>
  <c r="L4074" i="51"/>
  <c r="L4075" i="51"/>
  <c r="L4076" i="51"/>
  <c r="L4077" i="51"/>
  <c r="L4078" i="51"/>
  <c r="L4079" i="51"/>
  <c r="L4080" i="51"/>
  <c r="L4081" i="51"/>
  <c r="L4082" i="51"/>
  <c r="L4083" i="51"/>
  <c r="L4084" i="51"/>
  <c r="L4085" i="51"/>
  <c r="L4086" i="51"/>
  <c r="L4087" i="51"/>
  <c r="L4088" i="51"/>
  <c r="L4089" i="51"/>
  <c r="L4090" i="51"/>
  <c r="L4091" i="51"/>
  <c r="L4092" i="51"/>
  <c r="L4093" i="51"/>
  <c r="L4094" i="51"/>
  <c r="L4095" i="51"/>
  <c r="L4096" i="51"/>
  <c r="L4097" i="51"/>
  <c r="L4098" i="51"/>
  <c r="L4099" i="51"/>
  <c r="L4100" i="51"/>
  <c r="L4101" i="51"/>
  <c r="L4102" i="51"/>
  <c r="L4103" i="51"/>
  <c r="L4104" i="51"/>
  <c r="L4105" i="51"/>
  <c r="L4106" i="51"/>
  <c r="L4107" i="51"/>
  <c r="L4108" i="51"/>
  <c r="L4109" i="51"/>
  <c r="L4110" i="51"/>
  <c r="L4111" i="51"/>
  <c r="L4112" i="51"/>
  <c r="L4113" i="51"/>
  <c r="L4114" i="51"/>
  <c r="L4115" i="51"/>
  <c r="L4116" i="51"/>
  <c r="L4117" i="51"/>
  <c r="L4118" i="51"/>
  <c r="L4119" i="51"/>
  <c r="L4120" i="51"/>
  <c r="L4121" i="51"/>
  <c r="L4122" i="51"/>
  <c r="L4123" i="51"/>
  <c r="L4124" i="51"/>
  <c r="L4125" i="51"/>
  <c r="L4126" i="51"/>
  <c r="L4127" i="51"/>
  <c r="L4128" i="51"/>
  <c r="L4129" i="51"/>
  <c r="L4130" i="51"/>
  <c r="L4131" i="51"/>
  <c r="L4132" i="51"/>
  <c r="L4133" i="51"/>
  <c r="L4134" i="51"/>
  <c r="L4135" i="51"/>
  <c r="L4136" i="51"/>
  <c r="L4137" i="51"/>
  <c r="L4138" i="51"/>
  <c r="L4139" i="51"/>
  <c r="L4140" i="51"/>
  <c r="L4141" i="51"/>
  <c r="L4142" i="51"/>
  <c r="L4143" i="51"/>
  <c r="L4144" i="51"/>
  <c r="L4145" i="51"/>
  <c r="L4146" i="51"/>
  <c r="L4147" i="51"/>
  <c r="L4148" i="51"/>
  <c r="L4149" i="51"/>
  <c r="L4150" i="51"/>
  <c r="L4151" i="51"/>
  <c r="L4152" i="51"/>
  <c r="L4153" i="51"/>
  <c r="L4154" i="51"/>
  <c r="L4155" i="51"/>
  <c r="L4156" i="51"/>
  <c r="L4157" i="51"/>
  <c r="L4158" i="51"/>
  <c r="L4159" i="51"/>
  <c r="L4160" i="51"/>
  <c r="L4161" i="51"/>
  <c r="L4162" i="51"/>
  <c r="L4163" i="51"/>
  <c r="L4164" i="51"/>
  <c r="L4165" i="51"/>
  <c r="L4166" i="51"/>
  <c r="L4167" i="51"/>
  <c r="L4168" i="51"/>
  <c r="L4169" i="51"/>
  <c r="L4170" i="51"/>
  <c r="L4171" i="51"/>
  <c r="L4172" i="51"/>
  <c r="L4173" i="51"/>
  <c r="L4174" i="51"/>
  <c r="L4175" i="51"/>
  <c r="L4176" i="51"/>
  <c r="L4177" i="51"/>
  <c r="L4178" i="51"/>
  <c r="L4179" i="51"/>
  <c r="L4180" i="51"/>
  <c r="L4181" i="51"/>
  <c r="L4182" i="51"/>
  <c r="L4183" i="51"/>
  <c r="L4184" i="51"/>
  <c r="L4185" i="51"/>
  <c r="L4186" i="51"/>
  <c r="L4187" i="51"/>
  <c r="L4188" i="51"/>
  <c r="L4189" i="51"/>
  <c r="L4190" i="51"/>
  <c r="L4191" i="51"/>
  <c r="L4192" i="51"/>
  <c r="L4193" i="51"/>
  <c r="L4194" i="51"/>
  <c r="L4195" i="51"/>
  <c r="L4196" i="51"/>
  <c r="L4197" i="51"/>
  <c r="L4198" i="51"/>
  <c r="L4199" i="51"/>
  <c r="L4200" i="51"/>
  <c r="L4201" i="51"/>
  <c r="L4202" i="51"/>
  <c r="L4203" i="51"/>
  <c r="L4204" i="51"/>
  <c r="L4205" i="51"/>
  <c r="L4206" i="51"/>
  <c r="L4207" i="51"/>
  <c r="L4208" i="51"/>
  <c r="L4209" i="51"/>
  <c r="L4210" i="51"/>
  <c r="L4211" i="51"/>
  <c r="L4212" i="51"/>
  <c r="L4213" i="51"/>
  <c r="L4214" i="51"/>
  <c r="L4215" i="51"/>
  <c r="L4216" i="51"/>
  <c r="L4217" i="51"/>
  <c r="L4218" i="51"/>
  <c r="L4219" i="51"/>
  <c r="L4220" i="51"/>
  <c r="L4221" i="51"/>
  <c r="L4222" i="51"/>
  <c r="L4223" i="51"/>
  <c r="L4224" i="51"/>
  <c r="L4225" i="51"/>
  <c r="L4226" i="51"/>
  <c r="L4227" i="51"/>
  <c r="L4228" i="51"/>
  <c r="L4229" i="51"/>
  <c r="L4230" i="51"/>
  <c r="L4231" i="51"/>
  <c r="L4232" i="51"/>
  <c r="L4233" i="51"/>
  <c r="L4234" i="51"/>
  <c r="L4235" i="51"/>
  <c r="L4236" i="51"/>
  <c r="L4237" i="51"/>
  <c r="L4238" i="51"/>
  <c r="L4239" i="51"/>
  <c r="L4240" i="51"/>
  <c r="L4241" i="51"/>
  <c r="L4242" i="51"/>
  <c r="L4243" i="51"/>
  <c r="L4244" i="51"/>
  <c r="L4245" i="51"/>
  <c r="L4246" i="51"/>
  <c r="L4247" i="51"/>
  <c r="L4248" i="51"/>
  <c r="L4249" i="51"/>
  <c r="L4250" i="51"/>
  <c r="L4251" i="51"/>
  <c r="L4252" i="51"/>
  <c r="L4253" i="51"/>
  <c r="L4254" i="51"/>
  <c r="L4255" i="51"/>
  <c r="L4256" i="51"/>
  <c r="L4257" i="51"/>
  <c r="L4258" i="51"/>
  <c r="L4259" i="51"/>
  <c r="L4260" i="51"/>
  <c r="L4261" i="51"/>
  <c r="L4262" i="51"/>
  <c r="L4263" i="51"/>
  <c r="L4264" i="51"/>
  <c r="L4265" i="51"/>
  <c r="L4266" i="51"/>
  <c r="L4267" i="51"/>
  <c r="L4268" i="51"/>
  <c r="L4269" i="51"/>
  <c r="L4270" i="51"/>
  <c r="L4271" i="51"/>
  <c r="L4272" i="51"/>
  <c r="L4273" i="51"/>
  <c r="L4274" i="51"/>
  <c r="L4275" i="51"/>
  <c r="L4276" i="51"/>
  <c r="L4277" i="51"/>
  <c r="L4278" i="51"/>
  <c r="L4279" i="51"/>
  <c r="L4280" i="51"/>
  <c r="L4281" i="51"/>
  <c r="L4282" i="51"/>
  <c r="L4283" i="51"/>
  <c r="L4284" i="51"/>
  <c r="L4285" i="51"/>
  <c r="L4286" i="51"/>
  <c r="L4287" i="51"/>
  <c r="L4288" i="51"/>
  <c r="L4289" i="51"/>
  <c r="L4290" i="51"/>
  <c r="L4291" i="51"/>
  <c r="L4292" i="51"/>
  <c r="L4293" i="51"/>
  <c r="L4294" i="51"/>
  <c r="L4295" i="51"/>
  <c r="L4296" i="51"/>
  <c r="L4297" i="51"/>
  <c r="L4298" i="51"/>
  <c r="L4299" i="51"/>
  <c r="L4300" i="51"/>
  <c r="L4301" i="51"/>
  <c r="L4302" i="51"/>
  <c r="L4303" i="51"/>
  <c r="L4304" i="51"/>
  <c r="L4305" i="51"/>
  <c r="L4306" i="51"/>
  <c r="L4307" i="51"/>
  <c r="L4308" i="51"/>
  <c r="L4309" i="51"/>
  <c r="L4310" i="51"/>
  <c r="L4311" i="51"/>
  <c r="L4312" i="51"/>
  <c r="L4313" i="51"/>
  <c r="L4314" i="51"/>
  <c r="L4315" i="51"/>
  <c r="L4316" i="51"/>
  <c r="L4317" i="51"/>
  <c r="L4318" i="51"/>
  <c r="L4319" i="51"/>
  <c r="L4320" i="51"/>
  <c r="L4321" i="51"/>
  <c r="L4322" i="51"/>
  <c r="L4323" i="51"/>
  <c r="L4324" i="51"/>
  <c r="L4325" i="51"/>
  <c r="L4326" i="51"/>
  <c r="L4327" i="51"/>
  <c r="L4328" i="51"/>
  <c r="L4329" i="51"/>
  <c r="L4330" i="51"/>
  <c r="L4331" i="51"/>
  <c r="L4332" i="51"/>
  <c r="L4333" i="51"/>
  <c r="L4334" i="51"/>
  <c r="L4335" i="51"/>
  <c r="L4336" i="51"/>
  <c r="L4337" i="51"/>
  <c r="L4338" i="51"/>
  <c r="L4339" i="51"/>
  <c r="L4340" i="51"/>
  <c r="L4341" i="51"/>
  <c r="L4342" i="51"/>
  <c r="L4343" i="51"/>
  <c r="L4344" i="51"/>
  <c r="L4345" i="51"/>
  <c r="L4346" i="51"/>
  <c r="L4347" i="51"/>
  <c r="L4348" i="51"/>
  <c r="L4349" i="51"/>
  <c r="L4350" i="51"/>
  <c r="L4351" i="51"/>
  <c r="L4352" i="51"/>
  <c r="L4353" i="51"/>
  <c r="L4354" i="51"/>
  <c r="L4355" i="51"/>
  <c r="L4356" i="51"/>
  <c r="L4357" i="51"/>
  <c r="L4358" i="51"/>
  <c r="L4359" i="51"/>
  <c r="L4360" i="51"/>
  <c r="L4361" i="51"/>
  <c r="L4362" i="51"/>
  <c r="L4363" i="51"/>
  <c r="L4364" i="51"/>
  <c r="L4365" i="51"/>
  <c r="L4366" i="51"/>
  <c r="L4367" i="51"/>
  <c r="L4368" i="51"/>
  <c r="L4369" i="51"/>
  <c r="L4370" i="51"/>
  <c r="L4371" i="51"/>
  <c r="L4372" i="51"/>
  <c r="L4373" i="51"/>
  <c r="L4374" i="51"/>
  <c r="L4375" i="51"/>
  <c r="L4376" i="51"/>
  <c r="L4377" i="51"/>
  <c r="L4378" i="51"/>
  <c r="L4379" i="51"/>
  <c r="L4380" i="51"/>
  <c r="L4381" i="51"/>
  <c r="L4382" i="51"/>
  <c r="L4383" i="51"/>
  <c r="L4384" i="51"/>
  <c r="L4385" i="51"/>
  <c r="L4386" i="51"/>
  <c r="L4387" i="51"/>
  <c r="L4388" i="51"/>
  <c r="L4389" i="51"/>
  <c r="L4390" i="51"/>
  <c r="L4391" i="51"/>
  <c r="L4392" i="51"/>
  <c r="L4393" i="51"/>
  <c r="L4394" i="51"/>
  <c r="L4395" i="51"/>
  <c r="L4396" i="51"/>
  <c r="L4397" i="51"/>
  <c r="L4398" i="51"/>
  <c r="L4399" i="51"/>
  <c r="L4400" i="51"/>
  <c r="L4401" i="51"/>
  <c r="L4402" i="51"/>
  <c r="L4403" i="51"/>
  <c r="L4404" i="51"/>
  <c r="L4405" i="51"/>
  <c r="L4406" i="51"/>
  <c r="L4407" i="51"/>
  <c r="L4408" i="51"/>
  <c r="L4409" i="51"/>
  <c r="L4410" i="51"/>
  <c r="L4411" i="51"/>
  <c r="L4412" i="51"/>
  <c r="L4413" i="51"/>
  <c r="L4414" i="51"/>
  <c r="L4415" i="51"/>
  <c r="L4416" i="51"/>
  <c r="L4417" i="51"/>
  <c r="L4418" i="51"/>
  <c r="L4419" i="51"/>
  <c r="L4420" i="51"/>
  <c r="L4421" i="51"/>
  <c r="L4422" i="51"/>
  <c r="L4423" i="51"/>
  <c r="L4424" i="51"/>
  <c r="L4425" i="51"/>
  <c r="L4426" i="51"/>
  <c r="L4427" i="51"/>
  <c r="L4428" i="51"/>
  <c r="L4429" i="51"/>
  <c r="L4430" i="51"/>
  <c r="L4431" i="51"/>
  <c r="L4432" i="51"/>
  <c r="L4433" i="51"/>
  <c r="L4434" i="51"/>
  <c r="L4435" i="51"/>
  <c r="L4436" i="51"/>
  <c r="L4437" i="51"/>
  <c r="L4438" i="51"/>
  <c r="L4439" i="51"/>
  <c r="L4440" i="51"/>
  <c r="L4441" i="51"/>
  <c r="L4442" i="51"/>
  <c r="L4443" i="51"/>
  <c r="L4444" i="51"/>
  <c r="L4445" i="51"/>
  <c r="L4446" i="51"/>
  <c r="L4447" i="51"/>
  <c r="L4448" i="51"/>
  <c r="L4449" i="51"/>
  <c r="L4450" i="51"/>
  <c r="L4451" i="51"/>
  <c r="L4452" i="51"/>
  <c r="L4453" i="51"/>
  <c r="L4454" i="51"/>
  <c r="L4455" i="51"/>
  <c r="L4456" i="51"/>
  <c r="L4457" i="51"/>
  <c r="L4458" i="51"/>
  <c r="L4459" i="51"/>
  <c r="L4460" i="51"/>
  <c r="L4461" i="51"/>
  <c r="L4462" i="51"/>
  <c r="L4463" i="51"/>
  <c r="L4464" i="51"/>
  <c r="L4465" i="51"/>
  <c r="L4466" i="51"/>
  <c r="L4467" i="51"/>
  <c r="L4468" i="51"/>
  <c r="L4469" i="51"/>
  <c r="L4470" i="51"/>
  <c r="L4471" i="51"/>
  <c r="L4472" i="51"/>
  <c r="L4473" i="51"/>
  <c r="L4474" i="51"/>
  <c r="L4475" i="51"/>
  <c r="L4476" i="51"/>
  <c r="L4477" i="51"/>
  <c r="L4478" i="51"/>
  <c r="L4479" i="51"/>
  <c r="L4480" i="51"/>
  <c r="L4481" i="51"/>
  <c r="L4482" i="51"/>
  <c r="L4483" i="51"/>
  <c r="L4484" i="51"/>
  <c r="L4485" i="51"/>
  <c r="L4486" i="51"/>
  <c r="L4487" i="51"/>
  <c r="L4488" i="51"/>
  <c r="L4489" i="51"/>
  <c r="L4490" i="51"/>
  <c r="L4491" i="51"/>
  <c r="L4492" i="51"/>
  <c r="L4493" i="51"/>
  <c r="L4494" i="51"/>
  <c r="L4495" i="51"/>
  <c r="L4496" i="51"/>
  <c r="L4497" i="51"/>
  <c r="L4498" i="51"/>
  <c r="L4499" i="51"/>
  <c r="L4500" i="51"/>
  <c r="L4501" i="51"/>
  <c r="L4502" i="51"/>
  <c r="L4503" i="51"/>
  <c r="L4504" i="51"/>
  <c r="L4505" i="51"/>
  <c r="L4506" i="51"/>
  <c r="L4507" i="51"/>
  <c r="L4508" i="51"/>
  <c r="L4509" i="51"/>
  <c r="L4510" i="51"/>
  <c r="L4511" i="51"/>
  <c r="L4512" i="51"/>
  <c r="L4513" i="51"/>
  <c r="L4514" i="51"/>
  <c r="L4515" i="51"/>
  <c r="L4516" i="51"/>
  <c r="L4517" i="51"/>
  <c r="L4518" i="51"/>
  <c r="L4519" i="51"/>
  <c r="L4520" i="51"/>
  <c r="L4521" i="51"/>
  <c r="L4522" i="51"/>
  <c r="L4523" i="51"/>
  <c r="L4524" i="51"/>
  <c r="L4525" i="51"/>
  <c r="L4526" i="51"/>
  <c r="L4527" i="51"/>
  <c r="L4528" i="51"/>
  <c r="L4529" i="51"/>
  <c r="L4530" i="51"/>
  <c r="L4531" i="51"/>
  <c r="L4532" i="51"/>
  <c r="L4533" i="51"/>
  <c r="L4534" i="51"/>
  <c r="L4535" i="51"/>
  <c r="L4536" i="51"/>
  <c r="L4537" i="51"/>
  <c r="L4538" i="51"/>
  <c r="L4539" i="51"/>
  <c r="L4540" i="51"/>
  <c r="L4541" i="51"/>
  <c r="L4542" i="51"/>
  <c r="L4543" i="51"/>
  <c r="L4544" i="51"/>
  <c r="L4545" i="51"/>
  <c r="L4546" i="51"/>
  <c r="L4547" i="51"/>
  <c r="L4548" i="51"/>
  <c r="L4549" i="51"/>
  <c r="L4550" i="51"/>
  <c r="L4551" i="51"/>
  <c r="L4552" i="51"/>
  <c r="L4553" i="51"/>
  <c r="L4554" i="51"/>
  <c r="L4555" i="51"/>
  <c r="L4556" i="51"/>
  <c r="L4557" i="51"/>
  <c r="L4558" i="51"/>
  <c r="L4559" i="51"/>
  <c r="L4560" i="51"/>
  <c r="L4561" i="51"/>
  <c r="L4562" i="51"/>
  <c r="L4563" i="51"/>
  <c r="L4564" i="51"/>
  <c r="L4565" i="51"/>
  <c r="L4566" i="51"/>
  <c r="L4567" i="51"/>
  <c r="L4568" i="51"/>
  <c r="L4569" i="51"/>
  <c r="L4570" i="51"/>
  <c r="L4571" i="51"/>
  <c r="L4572" i="51"/>
  <c r="L4573" i="51"/>
  <c r="L4574" i="51"/>
  <c r="L4575" i="51"/>
  <c r="L4576" i="51"/>
  <c r="L4577" i="51"/>
  <c r="L4578" i="51"/>
  <c r="L4579" i="51"/>
  <c r="L4580" i="51"/>
  <c r="L4581" i="51"/>
  <c r="L4582" i="51"/>
  <c r="L4583" i="51"/>
  <c r="L4584" i="51"/>
  <c r="L4585" i="51"/>
  <c r="L4586" i="51"/>
  <c r="L4587" i="51"/>
  <c r="L4588" i="51"/>
  <c r="L4589" i="51"/>
  <c r="L4590" i="51"/>
  <c r="L4591" i="51"/>
  <c r="L4592" i="51"/>
  <c r="L4593" i="51"/>
  <c r="L4594" i="51"/>
  <c r="L4595" i="51"/>
  <c r="L4596" i="51"/>
  <c r="L4597" i="51"/>
  <c r="L4598" i="51"/>
  <c r="L4599" i="51"/>
  <c r="L4600" i="51"/>
  <c r="L4601" i="51"/>
  <c r="L4602" i="51"/>
  <c r="L4603" i="51"/>
  <c r="L4604" i="51"/>
  <c r="L4605" i="51"/>
  <c r="L4606" i="51"/>
  <c r="L4607" i="51"/>
  <c r="L4608" i="51"/>
  <c r="L4609" i="51"/>
  <c r="L4610" i="51"/>
  <c r="L4611" i="51"/>
  <c r="L4612" i="51"/>
  <c r="L4613" i="51"/>
  <c r="L4614" i="51"/>
  <c r="L4615" i="51"/>
  <c r="L4616" i="51"/>
  <c r="L4617" i="51"/>
  <c r="L4618" i="51"/>
  <c r="L4619" i="51"/>
  <c r="L4620" i="51"/>
  <c r="L4621" i="51"/>
  <c r="L4622" i="51"/>
  <c r="L4623" i="51"/>
  <c r="L4624" i="51"/>
  <c r="L4625" i="51"/>
  <c r="L4626" i="51"/>
  <c r="L4627" i="51"/>
  <c r="L4628" i="51"/>
  <c r="L4629" i="51"/>
  <c r="L4630" i="51"/>
  <c r="L4631" i="51"/>
  <c r="L4632" i="51"/>
  <c r="L4633" i="51"/>
  <c r="L4634" i="51"/>
  <c r="L4635" i="51"/>
  <c r="L4636" i="51"/>
  <c r="L4637" i="51"/>
  <c r="L4638" i="51"/>
  <c r="L4639" i="51"/>
  <c r="L4640" i="51"/>
  <c r="L4641" i="51"/>
  <c r="L4642" i="51"/>
  <c r="L4643" i="51"/>
  <c r="L4644" i="51"/>
  <c r="L4645" i="51"/>
  <c r="L4646" i="51"/>
  <c r="L4647" i="51"/>
  <c r="L4648" i="51"/>
  <c r="L4649" i="51"/>
  <c r="L4650" i="51"/>
  <c r="L4651" i="51"/>
  <c r="L4652" i="51"/>
  <c r="L4653" i="51"/>
  <c r="L4654" i="51"/>
  <c r="L4655" i="51"/>
  <c r="L4656" i="51"/>
  <c r="L4657" i="51"/>
  <c r="L4658" i="51"/>
  <c r="L4659" i="51"/>
  <c r="L4660" i="51"/>
  <c r="L4661" i="51"/>
  <c r="L4662" i="51"/>
  <c r="L4663" i="51"/>
  <c r="L4664" i="51"/>
  <c r="L4665" i="51"/>
  <c r="L4666" i="51"/>
  <c r="L4667" i="51"/>
  <c r="L4668" i="51"/>
  <c r="L4669" i="51"/>
  <c r="L4670" i="51"/>
  <c r="L4671" i="51"/>
  <c r="L4672" i="51"/>
  <c r="L4673" i="51"/>
  <c r="L4674" i="51"/>
  <c r="L4675" i="51"/>
  <c r="L4676" i="51"/>
  <c r="L4677" i="51"/>
  <c r="L4678" i="51"/>
  <c r="L4679" i="51"/>
  <c r="L4680" i="51"/>
  <c r="L4681" i="51"/>
  <c r="L4682" i="51"/>
  <c r="L4683" i="51"/>
  <c r="L4684" i="51"/>
  <c r="L4685" i="51"/>
  <c r="L4686" i="51"/>
  <c r="L4687" i="51"/>
  <c r="L4688" i="51"/>
  <c r="L4689" i="51"/>
  <c r="L4690" i="51"/>
  <c r="L4691" i="51"/>
  <c r="L4692" i="51"/>
  <c r="L4693" i="51"/>
  <c r="L4694" i="51"/>
  <c r="L4695" i="51"/>
  <c r="L4696" i="51"/>
  <c r="L4697" i="51"/>
  <c r="L4698" i="51"/>
  <c r="L4699" i="51"/>
  <c r="L4700" i="51"/>
  <c r="L4701" i="51"/>
  <c r="L4702" i="51"/>
  <c r="L4703" i="51"/>
  <c r="L4704" i="51"/>
  <c r="L4705" i="51"/>
  <c r="L4706" i="51"/>
  <c r="L4707" i="51"/>
  <c r="L4708" i="51"/>
  <c r="L4709" i="51"/>
  <c r="L4710" i="51"/>
  <c r="L4711" i="51"/>
  <c r="L4712" i="51"/>
  <c r="L4713" i="51"/>
  <c r="L4714" i="51"/>
  <c r="L4715" i="51"/>
  <c r="L4716" i="51"/>
  <c r="L4717" i="51"/>
  <c r="L4718" i="51"/>
  <c r="L4719" i="51"/>
  <c r="L4720" i="51"/>
  <c r="L4721" i="51"/>
  <c r="L4722" i="51"/>
  <c r="L4723" i="51"/>
  <c r="L4724" i="51"/>
  <c r="L4725" i="51"/>
  <c r="L4726" i="51"/>
  <c r="L4727" i="51"/>
  <c r="L4728" i="51"/>
  <c r="L4729" i="51"/>
  <c r="L4730" i="51"/>
  <c r="L4731" i="51"/>
  <c r="L4732" i="51"/>
  <c r="L4733" i="51"/>
  <c r="L4734" i="51"/>
  <c r="L4735" i="51"/>
  <c r="L4736" i="51"/>
  <c r="L4737" i="51"/>
  <c r="L4738" i="51"/>
  <c r="L4739" i="51"/>
  <c r="L4740" i="51"/>
  <c r="L4741" i="51"/>
  <c r="L4742" i="51"/>
  <c r="L4743" i="51"/>
  <c r="L4744" i="51"/>
  <c r="L4745" i="51"/>
  <c r="L4746" i="51"/>
  <c r="L4747" i="51"/>
  <c r="L4748" i="51"/>
  <c r="L4749" i="51"/>
  <c r="L4750" i="51"/>
  <c r="L4751" i="51"/>
  <c r="L4752" i="51"/>
  <c r="L4753" i="51"/>
  <c r="L4754" i="51"/>
  <c r="L4755" i="51"/>
  <c r="L4756" i="51"/>
  <c r="L4757" i="51"/>
  <c r="L4758" i="51"/>
  <c r="L4759" i="51"/>
  <c r="L4760" i="51"/>
  <c r="L4761" i="51"/>
  <c r="L4762" i="51"/>
  <c r="L4763" i="51"/>
  <c r="L4764" i="51"/>
  <c r="L4765" i="51"/>
  <c r="L4766" i="51"/>
  <c r="L4767" i="51"/>
  <c r="L4768" i="51"/>
  <c r="L4769" i="51"/>
  <c r="L4770" i="51"/>
  <c r="L4771" i="51"/>
  <c r="L4772" i="51"/>
  <c r="L4773" i="51"/>
  <c r="L4774" i="51"/>
  <c r="L4775" i="51"/>
  <c r="L4776" i="51"/>
  <c r="L4777" i="51"/>
  <c r="L4778" i="51"/>
  <c r="L4779" i="51"/>
  <c r="L4780" i="51"/>
  <c r="L4781" i="51"/>
  <c r="L4782" i="51"/>
  <c r="L4783" i="51"/>
  <c r="L4784" i="51"/>
  <c r="L4785" i="51"/>
  <c r="L4786" i="51"/>
  <c r="L4787" i="51"/>
  <c r="L4788" i="51"/>
  <c r="L4789" i="51"/>
  <c r="L4790" i="51"/>
  <c r="L4791" i="51"/>
  <c r="L4792" i="51"/>
  <c r="L4793" i="51"/>
  <c r="L4794" i="51"/>
  <c r="L4795" i="51"/>
  <c r="L4796" i="51"/>
  <c r="L4797" i="51"/>
  <c r="L4798" i="51"/>
  <c r="L4799" i="51"/>
  <c r="L4800" i="51"/>
  <c r="L4801" i="51"/>
  <c r="L4802" i="51"/>
  <c r="L4803" i="51"/>
  <c r="L4804" i="51"/>
  <c r="L4805" i="51"/>
  <c r="L4806" i="51"/>
  <c r="L4807" i="51"/>
  <c r="L4808" i="51"/>
  <c r="L4809" i="51"/>
  <c r="L4810" i="51"/>
  <c r="L4811" i="51"/>
  <c r="L4812" i="51"/>
  <c r="L4813" i="51"/>
  <c r="L4814" i="51"/>
  <c r="L4815" i="51"/>
  <c r="L4816" i="51"/>
  <c r="L4817" i="51"/>
  <c r="L4818" i="51"/>
  <c r="L4819" i="51"/>
  <c r="L4820" i="51"/>
  <c r="L4821" i="51"/>
  <c r="L4822" i="51"/>
  <c r="L4823" i="51"/>
  <c r="L4824" i="51"/>
  <c r="L4825" i="51"/>
  <c r="L4826" i="51"/>
  <c r="L4827" i="51"/>
  <c r="L4828" i="51"/>
  <c r="L4829" i="51"/>
  <c r="L4830" i="51"/>
  <c r="L4831" i="51"/>
  <c r="L4832" i="51"/>
  <c r="L4833" i="51"/>
  <c r="L4834" i="51"/>
  <c r="L4835" i="51"/>
  <c r="L4836" i="51"/>
  <c r="L4837" i="51"/>
  <c r="L4838" i="51"/>
  <c r="L4839" i="51"/>
  <c r="L4840" i="51"/>
  <c r="L4841" i="51"/>
  <c r="L4842" i="51"/>
  <c r="L4843" i="51"/>
  <c r="L4844" i="51"/>
  <c r="L4845" i="51"/>
  <c r="L4846" i="51"/>
  <c r="L4847" i="51"/>
  <c r="L4848" i="51"/>
  <c r="L4849" i="51"/>
  <c r="L4850" i="51"/>
  <c r="L4851" i="51"/>
  <c r="L4852" i="51"/>
  <c r="L4853" i="51"/>
  <c r="L4854" i="51"/>
  <c r="L4855" i="51"/>
  <c r="L4856" i="51"/>
  <c r="L4857" i="51"/>
  <c r="L4858" i="51"/>
  <c r="L4859" i="51"/>
  <c r="L4860" i="51"/>
  <c r="L4861" i="51"/>
  <c r="L4862" i="51"/>
  <c r="L4863" i="51"/>
  <c r="L4864" i="51"/>
  <c r="L4865" i="51"/>
  <c r="L4866" i="51"/>
  <c r="L4867" i="51"/>
  <c r="L4868" i="51"/>
  <c r="L4869" i="51"/>
  <c r="L4870" i="51"/>
  <c r="L4871" i="51"/>
  <c r="L4872" i="51"/>
  <c r="L4873" i="51"/>
  <c r="L4874" i="51"/>
  <c r="L4875" i="51"/>
  <c r="L4876" i="51"/>
  <c r="L4877" i="51"/>
  <c r="L4878" i="51"/>
  <c r="L4879" i="51"/>
  <c r="L4880" i="51"/>
  <c r="L4881" i="51"/>
  <c r="L4882" i="51"/>
  <c r="L4883" i="51"/>
  <c r="L4884" i="51"/>
  <c r="L4885" i="51"/>
  <c r="L4886" i="51"/>
  <c r="L4887" i="51"/>
  <c r="L4888" i="51"/>
  <c r="L4889" i="51"/>
  <c r="L4890" i="51"/>
  <c r="L4891" i="51"/>
  <c r="L4892" i="51"/>
  <c r="L4893" i="51"/>
  <c r="L4894" i="51"/>
  <c r="L4895" i="51"/>
  <c r="L4896" i="51"/>
  <c r="L4897" i="51"/>
  <c r="L4898" i="51"/>
  <c r="L4899" i="51"/>
  <c r="L4900" i="51"/>
  <c r="L4901" i="51"/>
  <c r="L4902" i="51"/>
  <c r="L4903" i="51"/>
  <c r="L4904" i="51"/>
  <c r="L4905" i="51"/>
  <c r="L4906" i="51"/>
  <c r="L4907" i="51"/>
  <c r="L4908" i="51"/>
  <c r="L4909" i="51"/>
  <c r="L4910" i="51"/>
  <c r="L4911" i="51"/>
  <c r="L4912" i="51"/>
  <c r="L4913" i="51"/>
  <c r="L4914" i="51"/>
  <c r="L4915" i="51"/>
  <c r="L4916" i="51"/>
  <c r="L4917" i="51"/>
  <c r="L4918" i="51"/>
  <c r="L4919" i="51"/>
  <c r="L4920" i="51"/>
  <c r="L4921" i="51"/>
  <c r="L4922" i="51"/>
  <c r="L4923" i="51"/>
  <c r="L4924" i="51"/>
  <c r="L4925" i="51"/>
  <c r="L4926" i="51"/>
  <c r="L4927" i="51"/>
  <c r="L4928" i="51"/>
  <c r="L4929" i="51"/>
  <c r="L4930" i="51"/>
  <c r="L4931" i="51"/>
  <c r="L4932" i="51"/>
  <c r="L4933" i="51"/>
  <c r="L4934" i="51"/>
  <c r="L4935" i="51"/>
  <c r="L4936" i="51"/>
  <c r="L4937" i="51"/>
  <c r="L4938" i="51"/>
  <c r="L4939" i="51"/>
  <c r="L4940" i="51"/>
  <c r="L4941" i="51"/>
  <c r="L4942" i="51"/>
  <c r="L4943" i="51"/>
  <c r="L4944" i="51"/>
  <c r="L4945" i="51"/>
  <c r="L4946" i="51"/>
  <c r="L4947" i="51"/>
  <c r="L4948" i="51"/>
  <c r="L4949" i="51"/>
  <c r="L4950" i="51"/>
  <c r="L4951" i="51"/>
  <c r="L4952" i="51"/>
  <c r="L4953" i="51"/>
  <c r="L4954" i="51"/>
  <c r="L4955" i="51"/>
  <c r="L4956" i="51"/>
  <c r="L4957" i="51"/>
  <c r="L4958" i="51"/>
  <c r="L4959" i="51"/>
  <c r="L4960" i="51"/>
  <c r="L4961" i="51"/>
  <c r="L4962" i="51"/>
  <c r="L4963" i="51"/>
  <c r="L4964" i="51"/>
  <c r="L4965" i="51"/>
  <c r="L4966" i="51"/>
  <c r="L4967" i="51"/>
  <c r="L4968" i="51"/>
  <c r="L4969" i="51"/>
  <c r="L4970" i="51"/>
  <c r="L4971" i="51"/>
  <c r="L4972" i="51"/>
  <c r="L4973" i="51"/>
  <c r="L4974" i="51"/>
  <c r="L4975" i="51"/>
  <c r="L4976" i="51"/>
  <c r="L4977" i="51"/>
  <c r="L4978" i="51"/>
  <c r="L4979" i="51"/>
  <c r="L4980" i="51"/>
  <c r="L4981" i="51"/>
  <c r="L4982" i="51"/>
  <c r="L4983" i="51"/>
  <c r="L4984" i="51"/>
  <c r="L4985" i="51"/>
  <c r="L4986" i="51"/>
  <c r="L4987" i="51"/>
  <c r="L4988" i="51"/>
  <c r="L4989" i="51"/>
  <c r="L4990" i="51"/>
  <c r="L4991" i="51"/>
  <c r="L4992" i="51"/>
  <c r="L4993" i="51"/>
  <c r="L4994" i="51"/>
  <c r="L4995" i="51"/>
  <c r="L4996" i="51"/>
  <c r="L4997" i="51"/>
  <c r="L4998" i="51"/>
  <c r="L4999" i="51"/>
  <c r="L5000" i="51"/>
  <c r="L5001" i="51"/>
  <c r="L5002" i="51"/>
  <c r="L5003" i="51"/>
  <c r="L5004" i="51"/>
  <c r="L5005" i="51"/>
  <c r="L5006" i="51"/>
  <c r="L5007" i="51"/>
  <c r="A9" i="51"/>
  <c r="B9" i="51"/>
  <c r="C9" i="51"/>
  <c r="D9" i="51"/>
  <c r="E9" i="51"/>
  <c r="F9" i="51"/>
  <c r="G9" i="51" a="1"/>
  <c r="G9" i="51" s="1"/>
  <c r="H9" i="51" a="1"/>
  <c r="H9" i="51" s="1"/>
  <c r="I9" i="51"/>
  <c r="J9" i="51"/>
  <c r="K9" i="51"/>
  <c r="L9" i="51"/>
  <c r="A10" i="51"/>
  <c r="B10" i="51"/>
  <c r="C10" i="51"/>
  <c r="D10" i="51"/>
  <c r="E10" i="51"/>
  <c r="F10" i="51"/>
  <c r="G10" i="51" a="1"/>
  <c r="G10" i="51" s="1"/>
  <c r="H10" i="51" a="1"/>
  <c r="H10" i="51" s="1"/>
  <c r="I10" i="51"/>
  <c r="J10" i="51"/>
  <c r="K10" i="51"/>
  <c r="L10" i="51"/>
  <c r="A11" i="51"/>
  <c r="B11" i="51"/>
  <c r="C11" i="51"/>
  <c r="D11" i="51"/>
  <c r="E11" i="51"/>
  <c r="F11" i="51"/>
  <c r="G11" i="51" a="1"/>
  <c r="G11" i="51" s="1"/>
  <c r="H11" i="51" a="1"/>
  <c r="H11" i="51" s="1"/>
  <c r="I11" i="51"/>
  <c r="J11" i="51"/>
  <c r="K11" i="51"/>
  <c r="L11" i="51"/>
  <c r="A12" i="51"/>
  <c r="B12" i="51"/>
  <c r="C12" i="51"/>
  <c r="D12" i="51"/>
  <c r="E12" i="51"/>
  <c r="F12" i="51"/>
  <c r="G12" i="51" a="1"/>
  <c r="G12" i="51" s="1"/>
  <c r="H12" i="51" a="1"/>
  <c r="H12" i="51" s="1"/>
  <c r="I12" i="51"/>
  <c r="J12" i="51"/>
  <c r="K12" i="51"/>
  <c r="L12" i="51"/>
  <c r="A13" i="51"/>
  <c r="B13" i="51"/>
  <c r="C13" i="51"/>
  <c r="D13" i="51"/>
  <c r="E13" i="51"/>
  <c r="F13" i="51"/>
  <c r="G13" i="51" a="1"/>
  <c r="G13" i="51" s="1"/>
  <c r="H13" i="51" a="1"/>
  <c r="H13" i="51" s="1"/>
  <c r="I13" i="51"/>
  <c r="J13" i="51"/>
  <c r="K13" i="51"/>
  <c r="L13" i="51"/>
  <c r="A14" i="51"/>
  <c r="B14" i="51"/>
  <c r="C14" i="51"/>
  <c r="D14" i="51"/>
  <c r="E14" i="51"/>
  <c r="F14" i="51"/>
  <c r="G14" i="51" a="1"/>
  <c r="G14" i="51" s="1"/>
  <c r="H14" i="51" a="1"/>
  <c r="H14" i="51" s="1"/>
  <c r="I14" i="51"/>
  <c r="J14" i="51"/>
  <c r="K14" i="51"/>
  <c r="L14" i="51"/>
  <c r="A15" i="51"/>
  <c r="B15" i="51"/>
  <c r="C15" i="51"/>
  <c r="D15" i="51"/>
  <c r="E15" i="51"/>
  <c r="F15" i="51"/>
  <c r="G15" i="51" a="1"/>
  <c r="G15" i="51" s="1"/>
  <c r="H15" i="51" a="1"/>
  <c r="H15" i="51" s="1"/>
  <c r="I15" i="51"/>
  <c r="J15" i="51"/>
  <c r="K15" i="51"/>
  <c r="L15" i="51"/>
  <c r="A16" i="51"/>
  <c r="B16" i="51"/>
  <c r="C16" i="51"/>
  <c r="D16" i="51"/>
  <c r="E16" i="51"/>
  <c r="F16" i="51"/>
  <c r="G16" i="51" a="1"/>
  <c r="G16" i="51" s="1"/>
  <c r="H16" i="51" a="1"/>
  <c r="H16" i="51" s="1"/>
  <c r="I16" i="51"/>
  <c r="J16" i="51"/>
  <c r="K16" i="51"/>
  <c r="L16" i="51"/>
  <c r="A17" i="51"/>
  <c r="B17" i="51"/>
  <c r="C17" i="51"/>
  <c r="D17" i="51"/>
  <c r="E17" i="51"/>
  <c r="F17" i="51"/>
  <c r="G17" i="51" a="1"/>
  <c r="G17" i="51" s="1"/>
  <c r="H17" i="51" a="1"/>
  <c r="H17" i="51" s="1"/>
  <c r="I17" i="51"/>
  <c r="J17" i="51"/>
  <c r="K17" i="51"/>
  <c r="L17" i="51"/>
  <c r="A18" i="51"/>
  <c r="B18" i="51"/>
  <c r="C18" i="51"/>
  <c r="D18" i="51"/>
  <c r="E18" i="51"/>
  <c r="F18" i="51"/>
  <c r="G18" i="51" a="1"/>
  <c r="G18" i="51" s="1"/>
  <c r="H18" i="51" a="1"/>
  <c r="H18" i="51" s="1"/>
  <c r="I18" i="51"/>
  <c r="J18" i="51"/>
  <c r="K18" i="51"/>
  <c r="L18" i="51"/>
  <c r="A19" i="51"/>
  <c r="B19" i="51"/>
  <c r="C19" i="51"/>
  <c r="D19" i="51"/>
  <c r="E19" i="51"/>
  <c r="F19" i="51"/>
  <c r="G19" i="51" a="1"/>
  <c r="G19" i="51" s="1"/>
  <c r="H19" i="51" a="1"/>
  <c r="H19" i="51" s="1"/>
  <c r="I19" i="51"/>
  <c r="J19" i="51"/>
  <c r="K19" i="51"/>
  <c r="L19" i="51"/>
  <c r="A20" i="51"/>
  <c r="B20" i="51"/>
  <c r="C20" i="51"/>
  <c r="D20" i="51"/>
  <c r="E20" i="51"/>
  <c r="F20" i="51"/>
  <c r="G20" i="51" a="1"/>
  <c r="G20" i="51" s="1"/>
  <c r="H20" i="51" a="1"/>
  <c r="H20" i="51" s="1"/>
  <c r="I20" i="51"/>
  <c r="J20" i="51"/>
  <c r="K20" i="51"/>
  <c r="L20" i="51"/>
  <c r="A21" i="51"/>
  <c r="B21" i="51"/>
  <c r="C21" i="51"/>
  <c r="D21" i="51"/>
  <c r="E21" i="51"/>
  <c r="F21" i="51"/>
  <c r="G21" i="51" a="1"/>
  <c r="G21" i="51" s="1"/>
  <c r="H21" i="51" a="1"/>
  <c r="H21" i="51" s="1"/>
  <c r="I21" i="51"/>
  <c r="J21" i="51"/>
  <c r="K21" i="51"/>
  <c r="L21" i="51"/>
  <c r="A22" i="51"/>
  <c r="B22" i="51"/>
  <c r="C22" i="51"/>
  <c r="D22" i="51"/>
  <c r="E22" i="51"/>
  <c r="F22" i="51"/>
  <c r="G22" i="51" a="1"/>
  <c r="G22" i="51" s="1"/>
  <c r="H22" i="51" a="1"/>
  <c r="H22" i="51" s="1"/>
  <c r="I22" i="51"/>
  <c r="J22" i="51"/>
  <c r="K22" i="51"/>
  <c r="L22" i="51"/>
  <c r="A23" i="51"/>
  <c r="B23" i="51"/>
  <c r="C23" i="51"/>
  <c r="D23" i="51"/>
  <c r="E23" i="51"/>
  <c r="F23" i="51"/>
  <c r="G23" i="51" a="1"/>
  <c r="G23" i="51" s="1"/>
  <c r="H23" i="51" a="1"/>
  <c r="H23" i="51" s="1"/>
  <c r="I23" i="51"/>
  <c r="J23" i="51"/>
  <c r="K23" i="51"/>
  <c r="L23" i="51"/>
  <c r="A24" i="51"/>
  <c r="B24" i="51"/>
  <c r="C24" i="51"/>
  <c r="D24" i="51"/>
  <c r="E24" i="51"/>
  <c r="F24" i="51"/>
  <c r="G24" i="51" a="1"/>
  <c r="G24" i="51" s="1"/>
  <c r="H24" i="51" a="1"/>
  <c r="H24" i="51" s="1"/>
  <c r="I24" i="51"/>
  <c r="J24" i="51"/>
  <c r="K24" i="51"/>
  <c r="L24" i="51"/>
  <c r="A25" i="51"/>
  <c r="B25" i="51"/>
  <c r="C25" i="51"/>
  <c r="D25" i="51"/>
  <c r="E25" i="51"/>
  <c r="F25" i="51"/>
  <c r="G25" i="51" a="1"/>
  <c r="G25" i="51" s="1"/>
  <c r="H25" i="51" a="1"/>
  <c r="H25" i="51" s="1"/>
  <c r="I25" i="51"/>
  <c r="J25" i="51"/>
  <c r="K25" i="51"/>
  <c r="L25" i="51"/>
  <c r="A26" i="51"/>
  <c r="B26" i="51"/>
  <c r="C26" i="51"/>
  <c r="D26" i="51"/>
  <c r="E26" i="51"/>
  <c r="F26" i="51"/>
  <c r="G26" i="51" a="1"/>
  <c r="G26" i="51" s="1"/>
  <c r="H26" i="51" a="1"/>
  <c r="H26" i="51" s="1"/>
  <c r="I26" i="51"/>
  <c r="J26" i="51"/>
  <c r="K26" i="51"/>
  <c r="L26" i="51"/>
  <c r="A27" i="51"/>
  <c r="B27" i="51"/>
  <c r="C27" i="51"/>
  <c r="D27" i="51"/>
  <c r="E27" i="51"/>
  <c r="F27" i="51"/>
  <c r="G27" i="51" a="1"/>
  <c r="G27" i="51" s="1"/>
  <c r="H27" i="51" a="1"/>
  <c r="H27" i="51" s="1"/>
  <c r="I27" i="51"/>
  <c r="J27" i="51"/>
  <c r="K27" i="51"/>
  <c r="L27" i="51"/>
  <c r="A28" i="51"/>
  <c r="B28" i="51"/>
  <c r="C28" i="51"/>
  <c r="D28" i="51"/>
  <c r="E28" i="51"/>
  <c r="F28" i="51"/>
  <c r="G28" i="51" a="1"/>
  <c r="G28" i="51" s="1"/>
  <c r="H28" i="51" a="1"/>
  <c r="H28" i="51" s="1"/>
  <c r="I28" i="51"/>
  <c r="J28" i="51"/>
  <c r="K28" i="51"/>
  <c r="L28" i="51"/>
  <c r="A29" i="51"/>
  <c r="B29" i="51"/>
  <c r="C29" i="51"/>
  <c r="D29" i="51"/>
  <c r="E29" i="51"/>
  <c r="F29" i="51"/>
  <c r="G29" i="51" a="1"/>
  <c r="G29" i="51" s="1"/>
  <c r="H29" i="51" a="1"/>
  <c r="H29" i="51" s="1"/>
  <c r="I29" i="51"/>
  <c r="J29" i="51"/>
  <c r="K29" i="51"/>
  <c r="L29" i="51"/>
  <c r="A30" i="51"/>
  <c r="B30" i="51"/>
  <c r="C30" i="51"/>
  <c r="D30" i="51"/>
  <c r="E30" i="51"/>
  <c r="F30" i="51"/>
  <c r="G30" i="51" a="1"/>
  <c r="G30" i="51" s="1"/>
  <c r="H30" i="51" a="1"/>
  <c r="H30" i="51" s="1"/>
  <c r="I30" i="51"/>
  <c r="J30" i="51"/>
  <c r="K30" i="51"/>
  <c r="L30" i="51"/>
  <c r="A31" i="51"/>
  <c r="B31" i="51"/>
  <c r="C31" i="51"/>
  <c r="D31" i="51"/>
  <c r="E31" i="51"/>
  <c r="F31" i="51"/>
  <c r="G31" i="51" a="1"/>
  <c r="G31" i="51" s="1"/>
  <c r="H31" i="51" a="1"/>
  <c r="H31" i="51" s="1"/>
  <c r="I31" i="51"/>
  <c r="J31" i="51"/>
  <c r="K31" i="51"/>
  <c r="L31" i="51"/>
  <c r="A32" i="51"/>
  <c r="B32" i="51"/>
  <c r="C32" i="51"/>
  <c r="D32" i="51"/>
  <c r="E32" i="51"/>
  <c r="F32" i="51"/>
  <c r="G32" i="51" a="1"/>
  <c r="G32" i="51" s="1"/>
  <c r="H32" i="51" a="1"/>
  <c r="H32" i="51" s="1"/>
  <c r="I32" i="51"/>
  <c r="J32" i="51"/>
  <c r="K32" i="51"/>
  <c r="L32" i="51"/>
  <c r="A33" i="51"/>
  <c r="B33" i="51"/>
  <c r="C33" i="51"/>
  <c r="D33" i="51"/>
  <c r="E33" i="51"/>
  <c r="F33" i="51"/>
  <c r="G33" i="51" a="1"/>
  <c r="G33" i="51" s="1"/>
  <c r="H33" i="51" a="1"/>
  <c r="H33" i="51" s="1"/>
  <c r="I33" i="51"/>
  <c r="J33" i="51"/>
  <c r="K33" i="51"/>
  <c r="L33" i="51"/>
  <c r="A34" i="51"/>
  <c r="B34" i="51"/>
  <c r="C34" i="51"/>
  <c r="D34" i="51"/>
  <c r="E34" i="51"/>
  <c r="F34" i="51"/>
  <c r="G34" i="51" a="1"/>
  <c r="G34" i="51" s="1"/>
  <c r="H34" i="51" a="1"/>
  <c r="H34" i="51" s="1"/>
  <c r="I34" i="51"/>
  <c r="J34" i="51"/>
  <c r="K34" i="51"/>
  <c r="L34" i="51"/>
  <c r="A35" i="51"/>
  <c r="B35" i="51"/>
  <c r="C35" i="51"/>
  <c r="D35" i="51"/>
  <c r="E35" i="51"/>
  <c r="F35" i="51"/>
  <c r="G35" i="51" a="1"/>
  <c r="G35" i="51" s="1"/>
  <c r="H35" i="51" a="1"/>
  <c r="H35" i="51" s="1"/>
  <c r="I35" i="51"/>
  <c r="J35" i="51"/>
  <c r="K35" i="51"/>
  <c r="L35" i="51"/>
  <c r="A36" i="51"/>
  <c r="B36" i="51"/>
  <c r="C36" i="51"/>
  <c r="D36" i="51"/>
  <c r="E36" i="51"/>
  <c r="F36" i="51"/>
  <c r="G36" i="51" a="1"/>
  <c r="G36" i="51" s="1"/>
  <c r="H36" i="51" a="1"/>
  <c r="H36" i="51" s="1"/>
  <c r="I36" i="51"/>
  <c r="J36" i="51"/>
  <c r="K36" i="51"/>
  <c r="L36" i="51"/>
  <c r="A37" i="51"/>
  <c r="B37" i="51"/>
  <c r="C37" i="51"/>
  <c r="D37" i="51"/>
  <c r="E37" i="51"/>
  <c r="F37" i="51"/>
  <c r="G37" i="51" a="1"/>
  <c r="G37" i="51" s="1"/>
  <c r="H37" i="51" a="1"/>
  <c r="H37" i="51" s="1"/>
  <c r="I37" i="51"/>
  <c r="J37" i="51"/>
  <c r="K37" i="51"/>
  <c r="L37" i="51"/>
  <c r="A38" i="51"/>
  <c r="B38" i="51"/>
  <c r="C38" i="51"/>
  <c r="D38" i="51"/>
  <c r="E38" i="51"/>
  <c r="F38" i="51"/>
  <c r="G38" i="51" a="1"/>
  <c r="G38" i="51" s="1"/>
  <c r="H38" i="51" a="1"/>
  <c r="H38" i="51" s="1"/>
  <c r="I38" i="51"/>
  <c r="J38" i="51"/>
  <c r="K38" i="51"/>
  <c r="L38" i="51"/>
  <c r="A39" i="51"/>
  <c r="B39" i="51"/>
  <c r="C39" i="51"/>
  <c r="D39" i="51"/>
  <c r="E39" i="51"/>
  <c r="F39" i="51"/>
  <c r="G39" i="51" a="1"/>
  <c r="G39" i="51" s="1"/>
  <c r="H39" i="51" a="1"/>
  <c r="H39" i="51" s="1"/>
  <c r="I39" i="51"/>
  <c r="J39" i="51"/>
  <c r="K39" i="51"/>
  <c r="L39" i="51"/>
  <c r="A40" i="51"/>
  <c r="B40" i="51"/>
  <c r="C40" i="51"/>
  <c r="D40" i="51"/>
  <c r="E40" i="51"/>
  <c r="F40" i="51"/>
  <c r="G40" i="51" a="1"/>
  <c r="G40" i="51" s="1"/>
  <c r="H40" i="51" a="1"/>
  <c r="H40" i="51" s="1"/>
  <c r="I40" i="51"/>
  <c r="J40" i="51"/>
  <c r="K40" i="51"/>
  <c r="L40" i="51"/>
  <c r="A41" i="51"/>
  <c r="B41" i="51"/>
  <c r="C41" i="51"/>
  <c r="D41" i="51"/>
  <c r="E41" i="51"/>
  <c r="F41" i="51"/>
  <c r="G41" i="51" a="1"/>
  <c r="G41" i="51" s="1"/>
  <c r="H41" i="51" a="1"/>
  <c r="H41" i="51" s="1"/>
  <c r="I41" i="51"/>
  <c r="J41" i="51"/>
  <c r="K41" i="51"/>
  <c r="L41" i="51"/>
  <c r="A42" i="51"/>
  <c r="B42" i="51"/>
  <c r="C42" i="51"/>
  <c r="D42" i="51"/>
  <c r="E42" i="51"/>
  <c r="F42" i="51"/>
  <c r="G42" i="51" a="1"/>
  <c r="G42" i="51" s="1"/>
  <c r="H42" i="51" a="1"/>
  <c r="H42" i="51" s="1"/>
  <c r="I42" i="51"/>
  <c r="J42" i="51"/>
  <c r="K42" i="51"/>
  <c r="L42" i="51"/>
  <c r="A43" i="51"/>
  <c r="B43" i="51"/>
  <c r="C43" i="51"/>
  <c r="D43" i="51"/>
  <c r="E43" i="51"/>
  <c r="F43" i="51"/>
  <c r="G43" i="51" a="1"/>
  <c r="G43" i="51" s="1"/>
  <c r="H43" i="51" a="1"/>
  <c r="H43" i="51" s="1"/>
  <c r="I43" i="51"/>
  <c r="J43" i="51"/>
  <c r="K43" i="51"/>
  <c r="L43" i="51"/>
  <c r="A44" i="51"/>
  <c r="B44" i="51"/>
  <c r="C44" i="51"/>
  <c r="D44" i="51"/>
  <c r="E44" i="51"/>
  <c r="F44" i="51"/>
  <c r="G44" i="51" a="1"/>
  <c r="G44" i="51" s="1"/>
  <c r="H44" i="51" a="1"/>
  <c r="H44" i="51" s="1"/>
  <c r="I44" i="51"/>
  <c r="J44" i="51"/>
  <c r="K44" i="51"/>
  <c r="L44" i="51"/>
  <c r="A45" i="51"/>
  <c r="B45" i="51"/>
  <c r="C45" i="51"/>
  <c r="D45" i="51"/>
  <c r="E45" i="51"/>
  <c r="F45" i="51"/>
  <c r="G45" i="51" a="1"/>
  <c r="G45" i="51" s="1"/>
  <c r="H45" i="51" a="1"/>
  <c r="H45" i="51" s="1"/>
  <c r="I45" i="51"/>
  <c r="J45" i="51"/>
  <c r="K45" i="51"/>
  <c r="L45" i="51"/>
  <c r="A46" i="51"/>
  <c r="B46" i="51"/>
  <c r="C46" i="51"/>
  <c r="D46" i="51"/>
  <c r="E46" i="51"/>
  <c r="F46" i="51"/>
  <c r="G46" i="51" a="1"/>
  <c r="G46" i="51" s="1"/>
  <c r="H46" i="51" a="1"/>
  <c r="H46" i="51" s="1"/>
  <c r="I46" i="51"/>
  <c r="J46" i="51"/>
  <c r="K46" i="51"/>
  <c r="L46" i="51"/>
  <c r="A47" i="51"/>
  <c r="B47" i="51"/>
  <c r="C47" i="51"/>
  <c r="D47" i="51"/>
  <c r="E47" i="51"/>
  <c r="F47" i="51"/>
  <c r="G47" i="51" a="1"/>
  <c r="G47" i="51" s="1"/>
  <c r="H47" i="51" a="1"/>
  <c r="H47" i="51" s="1"/>
  <c r="I47" i="51"/>
  <c r="J47" i="51"/>
  <c r="K47" i="51"/>
  <c r="L47" i="51"/>
  <c r="A48" i="51"/>
  <c r="B48" i="51"/>
  <c r="C48" i="51"/>
  <c r="D48" i="51"/>
  <c r="E48" i="51"/>
  <c r="F48" i="51"/>
  <c r="G48" i="51" a="1"/>
  <c r="G48" i="51" s="1"/>
  <c r="H48" i="51" a="1"/>
  <c r="H48" i="51" s="1"/>
  <c r="I48" i="51"/>
  <c r="J48" i="51"/>
  <c r="K48" i="51"/>
  <c r="L48" i="51"/>
  <c r="A49" i="51"/>
  <c r="B49" i="51"/>
  <c r="C49" i="51"/>
  <c r="D49" i="51"/>
  <c r="E49" i="51"/>
  <c r="F49" i="51"/>
  <c r="G49" i="51" a="1"/>
  <c r="G49" i="51" s="1"/>
  <c r="H49" i="51" a="1"/>
  <c r="H49" i="51" s="1"/>
  <c r="I49" i="51"/>
  <c r="J49" i="51"/>
  <c r="K49" i="51"/>
  <c r="L49" i="51"/>
  <c r="A50" i="51"/>
  <c r="B50" i="51"/>
  <c r="C50" i="51"/>
  <c r="D50" i="51"/>
  <c r="E50" i="51"/>
  <c r="F50" i="51"/>
  <c r="G50" i="51" a="1"/>
  <c r="G50" i="51" s="1"/>
  <c r="H50" i="51" a="1"/>
  <c r="H50" i="51" s="1"/>
  <c r="I50" i="51"/>
  <c r="J50" i="51"/>
  <c r="K50" i="51"/>
  <c r="L50" i="51"/>
  <c r="A51" i="51"/>
  <c r="B51" i="51"/>
  <c r="C51" i="51"/>
  <c r="D51" i="51"/>
  <c r="E51" i="51"/>
  <c r="F51" i="51"/>
  <c r="G51" i="51" a="1"/>
  <c r="G51" i="51" s="1"/>
  <c r="H51" i="51" a="1"/>
  <c r="H51" i="51" s="1"/>
  <c r="I51" i="51"/>
  <c r="J51" i="51"/>
  <c r="K51" i="51"/>
  <c r="L51" i="51"/>
  <c r="A52" i="51"/>
  <c r="B52" i="51"/>
  <c r="C52" i="51"/>
  <c r="D52" i="51"/>
  <c r="E52" i="51"/>
  <c r="F52" i="51"/>
  <c r="G52" i="51" a="1"/>
  <c r="G52" i="51" s="1"/>
  <c r="H52" i="51" a="1"/>
  <c r="H52" i="51" s="1"/>
  <c r="I52" i="51"/>
  <c r="J52" i="51"/>
  <c r="K52" i="51"/>
  <c r="L52" i="51"/>
  <c r="A53" i="51"/>
  <c r="B53" i="51"/>
  <c r="C53" i="51"/>
  <c r="D53" i="51"/>
  <c r="E53" i="51"/>
  <c r="F53" i="51"/>
  <c r="G53" i="51" a="1"/>
  <c r="G53" i="51" s="1"/>
  <c r="H53" i="51" a="1"/>
  <c r="H53" i="51" s="1"/>
  <c r="I53" i="51"/>
  <c r="J53" i="51"/>
  <c r="K53" i="51"/>
  <c r="L53" i="51"/>
  <c r="A54" i="51"/>
  <c r="B54" i="51"/>
  <c r="C54" i="51"/>
  <c r="D54" i="51"/>
  <c r="E54" i="51"/>
  <c r="F54" i="51"/>
  <c r="G54" i="51" a="1"/>
  <c r="G54" i="51" s="1"/>
  <c r="H54" i="51" a="1"/>
  <c r="H54" i="51" s="1"/>
  <c r="I54" i="51"/>
  <c r="J54" i="51"/>
  <c r="K54" i="51"/>
  <c r="L54" i="51"/>
  <c r="A55" i="51"/>
  <c r="B55" i="51"/>
  <c r="C55" i="51"/>
  <c r="D55" i="51"/>
  <c r="E55" i="51"/>
  <c r="F55" i="51"/>
  <c r="G55" i="51" a="1"/>
  <c r="G55" i="51" s="1"/>
  <c r="H55" i="51" a="1"/>
  <c r="H55" i="51" s="1"/>
  <c r="I55" i="51"/>
  <c r="J55" i="51"/>
  <c r="K55" i="51"/>
  <c r="L55" i="51"/>
  <c r="A56" i="51"/>
  <c r="B56" i="51"/>
  <c r="C56" i="51"/>
  <c r="D56" i="51"/>
  <c r="E56" i="51"/>
  <c r="F56" i="51"/>
  <c r="G56" i="51" a="1"/>
  <c r="G56" i="51" s="1"/>
  <c r="H56" i="51" a="1"/>
  <c r="H56" i="51" s="1"/>
  <c r="I56" i="51"/>
  <c r="J56" i="51"/>
  <c r="K56" i="51"/>
  <c r="L56" i="51"/>
  <c r="A57" i="51"/>
  <c r="B57" i="51"/>
  <c r="C57" i="51"/>
  <c r="D57" i="51"/>
  <c r="E57" i="51"/>
  <c r="F57" i="51"/>
  <c r="G57" i="51" a="1"/>
  <c r="G57" i="51" s="1"/>
  <c r="H57" i="51" a="1"/>
  <c r="H57" i="51" s="1"/>
  <c r="I57" i="51"/>
  <c r="J57" i="51"/>
  <c r="K57" i="51"/>
  <c r="L57" i="51"/>
  <c r="A58" i="51"/>
  <c r="B58" i="51"/>
  <c r="C58" i="51"/>
  <c r="D58" i="51"/>
  <c r="E58" i="51"/>
  <c r="F58" i="51"/>
  <c r="G58" i="51" a="1"/>
  <c r="G58" i="51" s="1"/>
  <c r="H58" i="51" a="1"/>
  <c r="H58" i="51" s="1"/>
  <c r="I58" i="51"/>
  <c r="J58" i="51"/>
  <c r="K58" i="51"/>
  <c r="L58" i="51"/>
  <c r="A59" i="51"/>
  <c r="B59" i="51"/>
  <c r="C59" i="51"/>
  <c r="D59" i="51"/>
  <c r="E59" i="51"/>
  <c r="F59" i="51"/>
  <c r="G59" i="51" a="1"/>
  <c r="G59" i="51" s="1"/>
  <c r="H59" i="51" a="1"/>
  <c r="H59" i="51" s="1"/>
  <c r="I59" i="51"/>
  <c r="J59" i="51"/>
  <c r="K59" i="51"/>
  <c r="L59" i="51"/>
  <c r="A60" i="51"/>
  <c r="B60" i="51"/>
  <c r="C60" i="51"/>
  <c r="D60" i="51"/>
  <c r="E60" i="51"/>
  <c r="F60" i="51"/>
  <c r="G60" i="51" a="1"/>
  <c r="G60" i="51" s="1"/>
  <c r="H60" i="51" a="1"/>
  <c r="H60" i="51" s="1"/>
  <c r="I60" i="51"/>
  <c r="J60" i="51"/>
  <c r="K60" i="51"/>
  <c r="L60" i="51"/>
  <c r="A61" i="51"/>
  <c r="B61" i="51"/>
  <c r="C61" i="51"/>
  <c r="D61" i="51"/>
  <c r="E61" i="51"/>
  <c r="F61" i="51"/>
  <c r="G61" i="51" a="1"/>
  <c r="G61" i="51" s="1"/>
  <c r="H61" i="51" a="1"/>
  <c r="H61" i="51" s="1"/>
  <c r="I61" i="51"/>
  <c r="J61" i="51"/>
  <c r="K61" i="51"/>
  <c r="L61" i="51"/>
  <c r="A62" i="51"/>
  <c r="B62" i="51"/>
  <c r="C62" i="51"/>
  <c r="D62" i="51"/>
  <c r="E62" i="51"/>
  <c r="F62" i="51"/>
  <c r="G62" i="51" a="1"/>
  <c r="G62" i="51" s="1"/>
  <c r="H62" i="51" a="1"/>
  <c r="H62" i="51" s="1"/>
  <c r="I62" i="51"/>
  <c r="J62" i="51"/>
  <c r="K62" i="51"/>
  <c r="L62" i="51"/>
  <c r="A63" i="51"/>
  <c r="B63" i="51"/>
  <c r="C63" i="51"/>
  <c r="D63" i="51"/>
  <c r="E63" i="51"/>
  <c r="F63" i="51"/>
  <c r="G63" i="51" a="1"/>
  <c r="G63" i="51" s="1"/>
  <c r="H63" i="51" a="1"/>
  <c r="H63" i="51" s="1"/>
  <c r="I63" i="51"/>
  <c r="J63" i="51"/>
  <c r="K63" i="51"/>
  <c r="L63" i="51"/>
  <c r="A64" i="51"/>
  <c r="B64" i="51"/>
  <c r="C64" i="51"/>
  <c r="D64" i="51"/>
  <c r="E64" i="51"/>
  <c r="F64" i="51"/>
  <c r="G64" i="51" a="1"/>
  <c r="G64" i="51" s="1"/>
  <c r="H64" i="51" a="1"/>
  <c r="H64" i="51" s="1"/>
  <c r="I64" i="51"/>
  <c r="J64" i="51"/>
  <c r="K64" i="51"/>
  <c r="L64" i="51"/>
  <c r="A65" i="51"/>
  <c r="B65" i="51"/>
  <c r="C65" i="51"/>
  <c r="D65" i="51"/>
  <c r="E65" i="51"/>
  <c r="F65" i="51"/>
  <c r="G65" i="51" a="1"/>
  <c r="G65" i="51" s="1"/>
  <c r="H65" i="51" a="1"/>
  <c r="H65" i="51" s="1"/>
  <c r="I65" i="51"/>
  <c r="J65" i="51"/>
  <c r="K65" i="51"/>
  <c r="L65" i="51"/>
  <c r="A66" i="51"/>
  <c r="B66" i="51"/>
  <c r="C66" i="51"/>
  <c r="D66" i="51"/>
  <c r="E66" i="51"/>
  <c r="F66" i="51"/>
  <c r="G66" i="51" a="1"/>
  <c r="G66" i="51" s="1"/>
  <c r="H66" i="51" a="1"/>
  <c r="H66" i="51" s="1"/>
  <c r="I66" i="51"/>
  <c r="J66" i="51"/>
  <c r="K66" i="51"/>
  <c r="L66" i="51"/>
  <c r="A67" i="51"/>
  <c r="B67" i="51"/>
  <c r="C67" i="51"/>
  <c r="D67" i="51"/>
  <c r="E67" i="51"/>
  <c r="F67" i="51"/>
  <c r="G67" i="51" a="1"/>
  <c r="G67" i="51" s="1"/>
  <c r="H67" i="51" a="1"/>
  <c r="H67" i="51" s="1"/>
  <c r="I67" i="51"/>
  <c r="J67" i="51"/>
  <c r="K67" i="51"/>
  <c r="L67" i="51"/>
  <c r="A68" i="51"/>
  <c r="B68" i="51"/>
  <c r="C68" i="51"/>
  <c r="D68" i="51"/>
  <c r="E68" i="51"/>
  <c r="F68" i="51"/>
  <c r="G68" i="51" a="1"/>
  <c r="G68" i="51" s="1"/>
  <c r="H68" i="51" a="1"/>
  <c r="H68" i="51" s="1"/>
  <c r="I68" i="51"/>
  <c r="J68" i="51"/>
  <c r="K68" i="51"/>
  <c r="L68" i="51"/>
  <c r="A69" i="51"/>
  <c r="B69" i="51"/>
  <c r="C69" i="51"/>
  <c r="D69" i="51"/>
  <c r="E69" i="51"/>
  <c r="F69" i="51"/>
  <c r="G69" i="51" a="1"/>
  <c r="G69" i="51" s="1"/>
  <c r="H69" i="51" a="1"/>
  <c r="H69" i="51" s="1"/>
  <c r="I69" i="51"/>
  <c r="J69" i="51"/>
  <c r="K69" i="51"/>
  <c r="L69" i="51"/>
  <c r="A70" i="51"/>
  <c r="B70" i="51"/>
  <c r="C70" i="51"/>
  <c r="D70" i="51"/>
  <c r="E70" i="51"/>
  <c r="F70" i="51"/>
  <c r="G70" i="51" a="1"/>
  <c r="G70" i="51" s="1"/>
  <c r="H70" i="51" a="1"/>
  <c r="H70" i="51" s="1"/>
  <c r="I70" i="51"/>
  <c r="J70" i="51"/>
  <c r="K70" i="51"/>
  <c r="L70" i="51"/>
  <c r="A71" i="51"/>
  <c r="B71" i="51"/>
  <c r="C71" i="51"/>
  <c r="D71" i="51"/>
  <c r="E71" i="51"/>
  <c r="F71" i="51"/>
  <c r="G71" i="51" a="1"/>
  <c r="G71" i="51" s="1"/>
  <c r="H71" i="51" a="1"/>
  <c r="H71" i="51" s="1"/>
  <c r="I71" i="51"/>
  <c r="J71" i="51"/>
  <c r="K71" i="51"/>
  <c r="L71" i="51"/>
  <c r="A72" i="51"/>
  <c r="B72" i="51"/>
  <c r="C72" i="51"/>
  <c r="D72" i="51"/>
  <c r="E72" i="51"/>
  <c r="F72" i="51"/>
  <c r="G72" i="51" a="1"/>
  <c r="G72" i="51" s="1"/>
  <c r="H72" i="51" a="1"/>
  <c r="H72" i="51" s="1"/>
  <c r="I72" i="51"/>
  <c r="J72" i="51"/>
  <c r="K72" i="51"/>
  <c r="L72" i="51"/>
  <c r="A73" i="51"/>
  <c r="B73" i="51"/>
  <c r="C73" i="51"/>
  <c r="D73" i="51"/>
  <c r="E73" i="51"/>
  <c r="F73" i="51"/>
  <c r="G73" i="51" a="1"/>
  <c r="G73" i="51" s="1"/>
  <c r="H73" i="51" a="1"/>
  <c r="H73" i="51" s="1"/>
  <c r="I73" i="51"/>
  <c r="J73" i="51"/>
  <c r="K73" i="51"/>
  <c r="L73" i="51"/>
  <c r="A74" i="51"/>
  <c r="B74" i="51"/>
  <c r="C74" i="51"/>
  <c r="D74" i="51"/>
  <c r="E74" i="51"/>
  <c r="F74" i="51"/>
  <c r="G74" i="51" a="1"/>
  <c r="G74" i="51" s="1"/>
  <c r="H74" i="51" a="1"/>
  <c r="H74" i="51" s="1"/>
  <c r="I74" i="51"/>
  <c r="J74" i="51"/>
  <c r="K74" i="51"/>
  <c r="L74" i="51"/>
  <c r="A75" i="51"/>
  <c r="B75" i="51"/>
  <c r="C75" i="51"/>
  <c r="D75" i="51"/>
  <c r="E75" i="51"/>
  <c r="F75" i="51"/>
  <c r="G75" i="51" a="1"/>
  <c r="G75" i="51" s="1"/>
  <c r="H75" i="51" a="1"/>
  <c r="H75" i="51" s="1"/>
  <c r="I75" i="51"/>
  <c r="J75" i="51"/>
  <c r="K75" i="51"/>
  <c r="L75" i="51"/>
  <c r="A76" i="51"/>
  <c r="B76" i="51"/>
  <c r="C76" i="51"/>
  <c r="D76" i="51"/>
  <c r="E76" i="51"/>
  <c r="F76" i="51"/>
  <c r="G76" i="51" a="1"/>
  <c r="G76" i="51" s="1"/>
  <c r="H76" i="51" a="1"/>
  <c r="H76" i="51" s="1"/>
  <c r="I76" i="51"/>
  <c r="J76" i="51"/>
  <c r="K76" i="51"/>
  <c r="L76" i="51"/>
  <c r="A77" i="51"/>
  <c r="B77" i="51"/>
  <c r="C77" i="51"/>
  <c r="D77" i="51"/>
  <c r="E77" i="51"/>
  <c r="F77" i="51"/>
  <c r="G77" i="51" a="1"/>
  <c r="G77" i="51" s="1"/>
  <c r="H77" i="51" a="1"/>
  <c r="H77" i="51" s="1"/>
  <c r="I77" i="51"/>
  <c r="J77" i="51"/>
  <c r="K77" i="51"/>
  <c r="L77" i="51"/>
  <c r="A78" i="51"/>
  <c r="B78" i="51"/>
  <c r="C78" i="51"/>
  <c r="D78" i="51"/>
  <c r="E78" i="51"/>
  <c r="F78" i="51"/>
  <c r="G78" i="51" a="1"/>
  <c r="G78" i="51" s="1"/>
  <c r="H78" i="51" a="1"/>
  <c r="H78" i="51" s="1"/>
  <c r="I78" i="51"/>
  <c r="J78" i="51"/>
  <c r="K78" i="51"/>
  <c r="L78" i="51"/>
  <c r="A79" i="51"/>
  <c r="B79" i="51"/>
  <c r="C79" i="51"/>
  <c r="D79" i="51"/>
  <c r="E79" i="51"/>
  <c r="F79" i="51"/>
  <c r="G79" i="51" a="1"/>
  <c r="G79" i="51" s="1"/>
  <c r="H79" i="51" a="1"/>
  <c r="H79" i="51" s="1"/>
  <c r="I79" i="51"/>
  <c r="J79" i="51"/>
  <c r="K79" i="51"/>
  <c r="L79" i="51"/>
  <c r="A80" i="51"/>
  <c r="B80" i="51"/>
  <c r="C80" i="51"/>
  <c r="D80" i="51"/>
  <c r="E80" i="51"/>
  <c r="F80" i="51"/>
  <c r="G80" i="51" a="1"/>
  <c r="G80" i="51" s="1"/>
  <c r="H80" i="51" a="1"/>
  <c r="H80" i="51" s="1"/>
  <c r="I80" i="51"/>
  <c r="J80" i="51"/>
  <c r="K80" i="51"/>
  <c r="L80" i="51"/>
  <c r="A81" i="51"/>
  <c r="B81" i="51"/>
  <c r="C81" i="51"/>
  <c r="D81" i="51"/>
  <c r="E81" i="51"/>
  <c r="F81" i="51"/>
  <c r="G81" i="51" a="1"/>
  <c r="G81" i="51" s="1"/>
  <c r="H81" i="51" a="1"/>
  <c r="H81" i="51" s="1"/>
  <c r="I81" i="51"/>
  <c r="J81" i="51"/>
  <c r="K81" i="51"/>
  <c r="L81" i="51"/>
  <c r="A82" i="51"/>
  <c r="B82" i="51"/>
  <c r="C82" i="51"/>
  <c r="D82" i="51"/>
  <c r="E82" i="51"/>
  <c r="F82" i="51"/>
  <c r="G82" i="51" a="1"/>
  <c r="G82" i="51" s="1"/>
  <c r="H82" i="51" a="1"/>
  <c r="H82" i="51" s="1"/>
  <c r="I82" i="51"/>
  <c r="J82" i="51"/>
  <c r="K82" i="51"/>
  <c r="L82" i="51"/>
  <c r="A83" i="51"/>
  <c r="B83" i="51"/>
  <c r="C83" i="51"/>
  <c r="D83" i="51"/>
  <c r="E83" i="51"/>
  <c r="F83" i="51"/>
  <c r="G83" i="51" a="1"/>
  <c r="G83" i="51" s="1"/>
  <c r="H83" i="51" a="1"/>
  <c r="H83" i="51" s="1"/>
  <c r="I83" i="51"/>
  <c r="J83" i="51"/>
  <c r="K83" i="51"/>
  <c r="L83" i="51"/>
  <c r="A84" i="51"/>
  <c r="B84" i="51"/>
  <c r="C84" i="51"/>
  <c r="D84" i="51"/>
  <c r="E84" i="51"/>
  <c r="F84" i="51"/>
  <c r="G84" i="51" a="1"/>
  <c r="G84" i="51" s="1"/>
  <c r="H84" i="51" a="1"/>
  <c r="H84" i="51" s="1"/>
  <c r="I84" i="51"/>
  <c r="J84" i="51"/>
  <c r="K84" i="51"/>
  <c r="L84" i="51"/>
  <c r="A85" i="51"/>
  <c r="B85" i="51"/>
  <c r="C85" i="51"/>
  <c r="D85" i="51"/>
  <c r="E85" i="51"/>
  <c r="F85" i="51"/>
  <c r="G85" i="51" a="1"/>
  <c r="G85" i="51" s="1"/>
  <c r="H85" i="51" a="1"/>
  <c r="H85" i="51" s="1"/>
  <c r="I85" i="51"/>
  <c r="J85" i="51"/>
  <c r="K85" i="51"/>
  <c r="L85" i="51"/>
  <c r="A86" i="51"/>
  <c r="B86" i="51"/>
  <c r="C86" i="51"/>
  <c r="D86" i="51"/>
  <c r="E86" i="51"/>
  <c r="F86" i="51"/>
  <c r="G86" i="51" a="1"/>
  <c r="G86" i="51" s="1"/>
  <c r="H86" i="51" a="1"/>
  <c r="H86" i="51" s="1"/>
  <c r="I86" i="51"/>
  <c r="J86" i="51"/>
  <c r="K86" i="51"/>
  <c r="L86" i="51"/>
  <c r="A87" i="51"/>
  <c r="B87" i="51"/>
  <c r="C87" i="51"/>
  <c r="D87" i="51"/>
  <c r="E87" i="51"/>
  <c r="F87" i="51"/>
  <c r="G87" i="51" a="1"/>
  <c r="G87" i="51" s="1"/>
  <c r="H87" i="51" a="1"/>
  <c r="H87" i="51" s="1"/>
  <c r="I87" i="51"/>
  <c r="J87" i="51"/>
  <c r="K87" i="51"/>
  <c r="L87" i="51"/>
  <c r="A88" i="51"/>
  <c r="B88" i="51"/>
  <c r="C88" i="51"/>
  <c r="D88" i="51"/>
  <c r="E88" i="51"/>
  <c r="F88" i="51"/>
  <c r="G88" i="51" a="1"/>
  <c r="G88" i="51" s="1"/>
  <c r="H88" i="51" a="1"/>
  <c r="H88" i="51" s="1"/>
  <c r="I88" i="51"/>
  <c r="J88" i="51"/>
  <c r="K88" i="51"/>
  <c r="L88" i="51"/>
  <c r="A89" i="51"/>
  <c r="B89" i="51"/>
  <c r="C89" i="51"/>
  <c r="D89" i="51"/>
  <c r="E89" i="51"/>
  <c r="F89" i="51"/>
  <c r="G89" i="51" a="1"/>
  <c r="G89" i="51" s="1"/>
  <c r="H89" i="51" a="1"/>
  <c r="H89" i="51" s="1"/>
  <c r="I89" i="51"/>
  <c r="J89" i="51"/>
  <c r="K89" i="51"/>
  <c r="L89" i="51"/>
  <c r="A90" i="51"/>
  <c r="B90" i="51"/>
  <c r="C90" i="51"/>
  <c r="D90" i="51"/>
  <c r="E90" i="51"/>
  <c r="F90" i="51"/>
  <c r="G90" i="51" a="1"/>
  <c r="G90" i="51" s="1"/>
  <c r="H90" i="51" a="1"/>
  <c r="H90" i="51" s="1"/>
  <c r="I90" i="51"/>
  <c r="J90" i="51"/>
  <c r="K90" i="51"/>
  <c r="L90" i="51"/>
  <c r="A91" i="51"/>
  <c r="B91" i="51"/>
  <c r="C91" i="51"/>
  <c r="D91" i="51"/>
  <c r="E91" i="51"/>
  <c r="F91" i="51"/>
  <c r="G91" i="51" a="1"/>
  <c r="G91" i="51" s="1"/>
  <c r="H91" i="51" a="1"/>
  <c r="H91" i="51" s="1"/>
  <c r="I91" i="51"/>
  <c r="J91" i="51"/>
  <c r="K91" i="51"/>
  <c r="L91" i="51"/>
  <c r="A92" i="51"/>
  <c r="B92" i="51"/>
  <c r="C92" i="51"/>
  <c r="D92" i="51"/>
  <c r="E92" i="51"/>
  <c r="F92" i="51"/>
  <c r="G92" i="51" a="1"/>
  <c r="G92" i="51" s="1"/>
  <c r="H92" i="51" a="1"/>
  <c r="H92" i="51" s="1"/>
  <c r="I92" i="51"/>
  <c r="J92" i="51"/>
  <c r="K92" i="51"/>
  <c r="L92" i="51"/>
  <c r="A93" i="51"/>
  <c r="B93" i="51"/>
  <c r="C93" i="51"/>
  <c r="D93" i="51"/>
  <c r="E93" i="51"/>
  <c r="F93" i="51"/>
  <c r="G93" i="51" a="1"/>
  <c r="G93" i="51" s="1"/>
  <c r="H93" i="51" a="1"/>
  <c r="H93" i="51" s="1"/>
  <c r="I93" i="51"/>
  <c r="J93" i="51"/>
  <c r="K93" i="51"/>
  <c r="L93" i="51"/>
  <c r="A94" i="51"/>
  <c r="B94" i="51"/>
  <c r="C94" i="51"/>
  <c r="D94" i="51"/>
  <c r="E94" i="51"/>
  <c r="F94" i="51"/>
  <c r="G94" i="51" a="1"/>
  <c r="G94" i="51" s="1"/>
  <c r="H94" i="51" a="1"/>
  <c r="H94" i="51" s="1"/>
  <c r="I94" i="51"/>
  <c r="J94" i="51"/>
  <c r="K94" i="51"/>
  <c r="L94" i="51"/>
  <c r="A95" i="51"/>
  <c r="B95" i="51"/>
  <c r="C95" i="51"/>
  <c r="D95" i="51"/>
  <c r="E95" i="51"/>
  <c r="F95" i="51"/>
  <c r="G95" i="51" a="1"/>
  <c r="G95" i="51" s="1"/>
  <c r="H95" i="51" a="1"/>
  <c r="H95" i="51" s="1"/>
  <c r="I95" i="51"/>
  <c r="J95" i="51"/>
  <c r="K95" i="51"/>
  <c r="L95" i="51"/>
  <c r="A96" i="51"/>
  <c r="B96" i="51"/>
  <c r="C96" i="51"/>
  <c r="D96" i="51"/>
  <c r="E96" i="51"/>
  <c r="F96" i="51"/>
  <c r="G96" i="51" a="1"/>
  <c r="G96" i="51" s="1"/>
  <c r="H96" i="51" a="1"/>
  <c r="H96" i="51" s="1"/>
  <c r="I96" i="51"/>
  <c r="J96" i="51"/>
  <c r="K96" i="51"/>
  <c r="L96" i="51"/>
  <c r="A97" i="51"/>
  <c r="B97" i="51"/>
  <c r="C97" i="51"/>
  <c r="D97" i="51"/>
  <c r="E97" i="51"/>
  <c r="F97" i="51"/>
  <c r="G97" i="51" a="1"/>
  <c r="G97" i="51" s="1"/>
  <c r="H97" i="51" a="1"/>
  <c r="H97" i="51" s="1"/>
  <c r="I97" i="51"/>
  <c r="J97" i="51"/>
  <c r="K97" i="51"/>
  <c r="L97" i="51"/>
  <c r="A98" i="51"/>
  <c r="B98" i="51"/>
  <c r="C98" i="51"/>
  <c r="D98" i="51"/>
  <c r="E98" i="51"/>
  <c r="F98" i="51"/>
  <c r="G98" i="51" a="1"/>
  <c r="G98" i="51" s="1"/>
  <c r="H98" i="51" a="1"/>
  <c r="H98" i="51" s="1"/>
  <c r="I98" i="51"/>
  <c r="J98" i="51"/>
  <c r="K98" i="51"/>
  <c r="L98" i="51"/>
  <c r="A99" i="51"/>
  <c r="B99" i="51"/>
  <c r="C99" i="51"/>
  <c r="D99" i="51"/>
  <c r="E99" i="51"/>
  <c r="F99" i="51"/>
  <c r="G99" i="51" a="1"/>
  <c r="G99" i="51" s="1"/>
  <c r="H99" i="51" a="1"/>
  <c r="H99" i="51" s="1"/>
  <c r="I99" i="51"/>
  <c r="J99" i="51"/>
  <c r="K99" i="51"/>
  <c r="L99" i="51"/>
  <c r="A100" i="51"/>
  <c r="B100" i="51"/>
  <c r="C100" i="51"/>
  <c r="D100" i="51"/>
  <c r="E100" i="51"/>
  <c r="F100" i="51"/>
  <c r="G100" i="51" a="1"/>
  <c r="G100" i="51" s="1"/>
  <c r="H100" i="51" a="1"/>
  <c r="H100" i="51" s="1"/>
  <c r="I100" i="51"/>
  <c r="J100" i="51"/>
  <c r="K100" i="51"/>
  <c r="L100" i="51"/>
  <c r="A101" i="51"/>
  <c r="B101" i="51"/>
  <c r="C101" i="51"/>
  <c r="D101" i="51"/>
  <c r="E101" i="51"/>
  <c r="F101" i="51"/>
  <c r="G101" i="51" a="1"/>
  <c r="G101" i="51" s="1"/>
  <c r="H101" i="51" a="1"/>
  <c r="H101" i="51" s="1"/>
  <c r="I101" i="51"/>
  <c r="J101" i="51"/>
  <c r="K101" i="51"/>
  <c r="L101" i="51"/>
  <c r="A102" i="51"/>
  <c r="B102" i="51"/>
  <c r="C102" i="51"/>
  <c r="D102" i="51"/>
  <c r="E102" i="51"/>
  <c r="F102" i="51"/>
  <c r="G102" i="51" a="1"/>
  <c r="G102" i="51" s="1"/>
  <c r="H102" i="51" a="1"/>
  <c r="H102" i="51" s="1"/>
  <c r="I102" i="51"/>
  <c r="J102" i="51"/>
  <c r="K102" i="51"/>
  <c r="L102" i="51"/>
  <c r="A103" i="51"/>
  <c r="B103" i="51"/>
  <c r="C103" i="51"/>
  <c r="D103" i="51"/>
  <c r="E103" i="51"/>
  <c r="F103" i="51"/>
  <c r="G103" i="51" a="1"/>
  <c r="G103" i="51" s="1"/>
  <c r="H103" i="51" a="1"/>
  <c r="H103" i="51" s="1"/>
  <c r="I103" i="51"/>
  <c r="J103" i="51"/>
  <c r="K103" i="51"/>
  <c r="L103" i="51"/>
  <c r="A104" i="51"/>
  <c r="B104" i="51"/>
  <c r="C104" i="51"/>
  <c r="D104" i="51"/>
  <c r="E104" i="51"/>
  <c r="F104" i="51"/>
  <c r="G104" i="51" a="1"/>
  <c r="G104" i="51" s="1"/>
  <c r="H104" i="51" a="1"/>
  <c r="H104" i="51" s="1"/>
  <c r="I104" i="51"/>
  <c r="J104" i="51"/>
  <c r="K104" i="51"/>
  <c r="L104" i="51"/>
  <c r="A105" i="51"/>
  <c r="B105" i="51"/>
  <c r="C105" i="51"/>
  <c r="D105" i="51"/>
  <c r="E105" i="51"/>
  <c r="F105" i="51"/>
  <c r="G105" i="51" a="1"/>
  <c r="G105" i="51" s="1"/>
  <c r="H105" i="51" a="1"/>
  <c r="H105" i="51" s="1"/>
  <c r="I105" i="51"/>
  <c r="J105" i="51"/>
  <c r="K105" i="51"/>
  <c r="L105" i="51"/>
  <c r="A106" i="51"/>
  <c r="B106" i="51"/>
  <c r="C106" i="51"/>
  <c r="D106" i="51"/>
  <c r="E106" i="51"/>
  <c r="F106" i="51"/>
  <c r="G106" i="51" a="1"/>
  <c r="G106" i="51" s="1"/>
  <c r="H106" i="51" a="1"/>
  <c r="H106" i="51" s="1"/>
  <c r="I106" i="51"/>
  <c r="J106" i="51"/>
  <c r="K106" i="51"/>
  <c r="L106" i="51"/>
  <c r="A107" i="51"/>
  <c r="B107" i="51"/>
  <c r="C107" i="51"/>
  <c r="D107" i="51"/>
  <c r="E107" i="51"/>
  <c r="F107" i="51"/>
  <c r="G107" i="51" a="1"/>
  <c r="G107" i="51" s="1"/>
  <c r="H107" i="51" a="1"/>
  <c r="H107" i="51" s="1"/>
  <c r="I107" i="51"/>
  <c r="J107" i="51"/>
  <c r="K107" i="51"/>
  <c r="L107" i="51"/>
  <c r="A108" i="51"/>
  <c r="B108" i="51"/>
  <c r="C108" i="51"/>
  <c r="D108" i="51"/>
  <c r="E108" i="51"/>
  <c r="F108" i="51"/>
  <c r="G108" i="51" a="1"/>
  <c r="G108" i="51" s="1"/>
  <c r="H108" i="51" a="1"/>
  <c r="H108" i="51" s="1"/>
  <c r="I108" i="51"/>
  <c r="J108" i="51"/>
  <c r="K108" i="51"/>
  <c r="L108" i="51"/>
  <c r="A109" i="51"/>
  <c r="B109" i="51"/>
  <c r="C109" i="51"/>
  <c r="D109" i="51"/>
  <c r="E109" i="51"/>
  <c r="F109" i="51"/>
  <c r="G109" i="51" a="1"/>
  <c r="G109" i="51" s="1"/>
  <c r="H109" i="51" a="1"/>
  <c r="H109" i="51" s="1"/>
  <c r="I109" i="51"/>
  <c r="J109" i="51"/>
  <c r="K109" i="51"/>
  <c r="L109" i="51"/>
  <c r="A110" i="51"/>
  <c r="B110" i="51"/>
  <c r="C110" i="51"/>
  <c r="D110" i="51"/>
  <c r="E110" i="51"/>
  <c r="F110" i="51"/>
  <c r="G110" i="51" a="1"/>
  <c r="G110" i="51" s="1"/>
  <c r="H110" i="51" a="1"/>
  <c r="H110" i="51" s="1"/>
  <c r="I110" i="51"/>
  <c r="J110" i="51"/>
  <c r="K110" i="51"/>
  <c r="L110" i="51"/>
  <c r="A111" i="51"/>
  <c r="B111" i="51"/>
  <c r="C111" i="51"/>
  <c r="D111" i="51"/>
  <c r="E111" i="51"/>
  <c r="F111" i="51"/>
  <c r="G111" i="51" a="1"/>
  <c r="G111" i="51" s="1"/>
  <c r="H111" i="51" a="1"/>
  <c r="H111" i="51" s="1"/>
  <c r="I111" i="51"/>
  <c r="J111" i="51"/>
  <c r="K111" i="51"/>
  <c r="L111" i="51"/>
  <c r="A112" i="51"/>
  <c r="B112" i="51"/>
  <c r="C112" i="51"/>
  <c r="D112" i="51"/>
  <c r="E112" i="51"/>
  <c r="F112" i="51"/>
  <c r="G112" i="51" a="1"/>
  <c r="G112" i="51" s="1"/>
  <c r="H112" i="51" a="1"/>
  <c r="H112" i="51" s="1"/>
  <c r="I112" i="51"/>
  <c r="J112" i="51"/>
  <c r="K112" i="51"/>
  <c r="L112" i="51"/>
  <c r="A113" i="51"/>
  <c r="B113" i="51"/>
  <c r="C113" i="51"/>
  <c r="D113" i="51"/>
  <c r="E113" i="51"/>
  <c r="F113" i="51"/>
  <c r="G113" i="51" a="1"/>
  <c r="G113" i="51" s="1"/>
  <c r="H113" i="51" a="1"/>
  <c r="H113" i="51" s="1"/>
  <c r="I113" i="51"/>
  <c r="J113" i="51"/>
  <c r="K113" i="51"/>
  <c r="L113" i="51"/>
  <c r="A114" i="51"/>
  <c r="B114" i="51"/>
  <c r="C114" i="51"/>
  <c r="D114" i="51"/>
  <c r="E114" i="51"/>
  <c r="F114" i="51"/>
  <c r="G114" i="51" a="1"/>
  <c r="G114" i="51" s="1"/>
  <c r="H114" i="51" a="1"/>
  <c r="H114" i="51" s="1"/>
  <c r="I114" i="51"/>
  <c r="J114" i="51"/>
  <c r="K114" i="51"/>
  <c r="L114" i="51"/>
  <c r="A115" i="51"/>
  <c r="B115" i="51"/>
  <c r="C115" i="51"/>
  <c r="D115" i="51"/>
  <c r="E115" i="51"/>
  <c r="F115" i="51"/>
  <c r="G115" i="51" a="1"/>
  <c r="G115" i="51" s="1"/>
  <c r="H115" i="51" a="1"/>
  <c r="H115" i="51" s="1"/>
  <c r="I115" i="51"/>
  <c r="J115" i="51"/>
  <c r="K115" i="51"/>
  <c r="L115" i="51"/>
  <c r="A116" i="51"/>
  <c r="B116" i="51"/>
  <c r="C116" i="51"/>
  <c r="D116" i="51"/>
  <c r="E116" i="51"/>
  <c r="F116" i="51"/>
  <c r="G116" i="51" a="1"/>
  <c r="G116" i="51" s="1"/>
  <c r="H116" i="51" a="1"/>
  <c r="H116" i="51" s="1"/>
  <c r="I116" i="51"/>
  <c r="J116" i="51"/>
  <c r="K116" i="51"/>
  <c r="L116" i="51"/>
  <c r="A117" i="51"/>
  <c r="B117" i="51"/>
  <c r="C117" i="51"/>
  <c r="D117" i="51"/>
  <c r="E117" i="51"/>
  <c r="F117" i="51"/>
  <c r="G117" i="51" a="1"/>
  <c r="G117" i="51" s="1"/>
  <c r="H117" i="51" a="1"/>
  <c r="H117" i="51" s="1"/>
  <c r="I117" i="51"/>
  <c r="J117" i="51"/>
  <c r="K117" i="51"/>
  <c r="L117" i="51"/>
  <c r="A118" i="51"/>
  <c r="B118" i="51"/>
  <c r="C118" i="51"/>
  <c r="D118" i="51"/>
  <c r="E118" i="51"/>
  <c r="F118" i="51"/>
  <c r="G118" i="51" a="1"/>
  <c r="G118" i="51" s="1"/>
  <c r="H118" i="51" a="1"/>
  <c r="H118" i="51" s="1"/>
  <c r="I118" i="51"/>
  <c r="J118" i="51"/>
  <c r="K118" i="51"/>
  <c r="L118" i="51"/>
  <c r="A119" i="51"/>
  <c r="B119" i="51"/>
  <c r="C119" i="51"/>
  <c r="D119" i="51"/>
  <c r="E119" i="51"/>
  <c r="F119" i="51"/>
  <c r="G119" i="51" a="1"/>
  <c r="G119" i="51" s="1"/>
  <c r="H119" i="51" a="1"/>
  <c r="H119" i="51" s="1"/>
  <c r="I119" i="51"/>
  <c r="J119" i="51"/>
  <c r="K119" i="51"/>
  <c r="L119" i="51"/>
  <c r="A120" i="51"/>
  <c r="B120" i="51"/>
  <c r="C120" i="51"/>
  <c r="D120" i="51"/>
  <c r="E120" i="51"/>
  <c r="F120" i="51"/>
  <c r="G120" i="51" a="1"/>
  <c r="G120" i="51" s="1"/>
  <c r="H120" i="51" a="1"/>
  <c r="H120" i="51" s="1"/>
  <c r="I120" i="51"/>
  <c r="J120" i="51"/>
  <c r="K120" i="51"/>
  <c r="L120" i="51"/>
  <c r="A121" i="51"/>
  <c r="B121" i="51"/>
  <c r="C121" i="51"/>
  <c r="D121" i="51"/>
  <c r="E121" i="51"/>
  <c r="F121" i="51"/>
  <c r="G121" i="51" a="1"/>
  <c r="G121" i="51" s="1"/>
  <c r="H121" i="51" a="1"/>
  <c r="H121" i="51" s="1"/>
  <c r="I121" i="51"/>
  <c r="J121" i="51"/>
  <c r="K121" i="51"/>
  <c r="L121" i="51"/>
  <c r="A122" i="51"/>
  <c r="B122" i="51"/>
  <c r="C122" i="51"/>
  <c r="D122" i="51"/>
  <c r="E122" i="51"/>
  <c r="F122" i="51"/>
  <c r="G122" i="51" a="1"/>
  <c r="G122" i="51" s="1"/>
  <c r="H122" i="51" a="1"/>
  <c r="H122" i="51" s="1"/>
  <c r="I122" i="51"/>
  <c r="J122" i="51"/>
  <c r="K122" i="51"/>
  <c r="L122" i="51"/>
  <c r="A123" i="51"/>
  <c r="B123" i="51"/>
  <c r="C123" i="51"/>
  <c r="D123" i="51"/>
  <c r="E123" i="51"/>
  <c r="F123" i="51"/>
  <c r="G123" i="51" a="1"/>
  <c r="G123" i="51" s="1"/>
  <c r="H123" i="51" a="1"/>
  <c r="H123" i="51" s="1"/>
  <c r="I123" i="51"/>
  <c r="J123" i="51"/>
  <c r="K123" i="51"/>
  <c r="L123" i="51"/>
  <c r="A124" i="51"/>
  <c r="B124" i="51"/>
  <c r="C124" i="51"/>
  <c r="D124" i="51"/>
  <c r="E124" i="51"/>
  <c r="F124" i="51"/>
  <c r="G124" i="51" a="1"/>
  <c r="G124" i="51" s="1"/>
  <c r="H124" i="51" a="1"/>
  <c r="H124" i="51" s="1"/>
  <c r="I124" i="51"/>
  <c r="J124" i="51"/>
  <c r="K124" i="51"/>
  <c r="L124" i="51"/>
  <c r="A125" i="51"/>
  <c r="B125" i="51"/>
  <c r="C125" i="51"/>
  <c r="D125" i="51"/>
  <c r="E125" i="51"/>
  <c r="F125" i="51"/>
  <c r="G125" i="51" a="1"/>
  <c r="G125" i="51" s="1"/>
  <c r="H125" i="51" a="1"/>
  <c r="H125" i="51" s="1"/>
  <c r="I125" i="51"/>
  <c r="J125" i="51"/>
  <c r="K125" i="51"/>
  <c r="L125" i="51"/>
  <c r="A126" i="51"/>
  <c r="B126" i="51"/>
  <c r="C126" i="51"/>
  <c r="D126" i="51"/>
  <c r="E126" i="51"/>
  <c r="F126" i="51"/>
  <c r="G126" i="51" a="1"/>
  <c r="G126" i="51" s="1"/>
  <c r="H126" i="51" a="1"/>
  <c r="H126" i="51" s="1"/>
  <c r="I126" i="51"/>
  <c r="J126" i="51"/>
  <c r="K126" i="51"/>
  <c r="L126" i="51"/>
  <c r="A127" i="51"/>
  <c r="B127" i="51"/>
  <c r="C127" i="51"/>
  <c r="D127" i="51"/>
  <c r="E127" i="51"/>
  <c r="F127" i="51"/>
  <c r="G127" i="51" a="1"/>
  <c r="G127" i="51" s="1"/>
  <c r="H127" i="51" a="1"/>
  <c r="H127" i="51" s="1"/>
  <c r="I127" i="51"/>
  <c r="J127" i="51"/>
  <c r="K127" i="51"/>
  <c r="L127" i="51"/>
  <c r="A128" i="51"/>
  <c r="B128" i="51"/>
  <c r="C128" i="51"/>
  <c r="D128" i="51"/>
  <c r="E128" i="51"/>
  <c r="F128" i="51"/>
  <c r="G128" i="51" a="1"/>
  <c r="G128" i="51" s="1"/>
  <c r="H128" i="51" a="1"/>
  <c r="H128" i="51" s="1"/>
  <c r="I128" i="51"/>
  <c r="J128" i="51"/>
  <c r="K128" i="51"/>
  <c r="L128" i="51"/>
  <c r="A129" i="51"/>
  <c r="B129" i="51"/>
  <c r="C129" i="51"/>
  <c r="D129" i="51"/>
  <c r="E129" i="51"/>
  <c r="F129" i="51"/>
  <c r="G129" i="51" a="1"/>
  <c r="G129" i="51" s="1"/>
  <c r="H129" i="51" a="1"/>
  <c r="H129" i="51" s="1"/>
  <c r="I129" i="51"/>
  <c r="J129" i="51"/>
  <c r="K129" i="51"/>
  <c r="L129" i="51"/>
  <c r="A130" i="51"/>
  <c r="B130" i="51"/>
  <c r="C130" i="51"/>
  <c r="D130" i="51"/>
  <c r="E130" i="51"/>
  <c r="F130" i="51"/>
  <c r="G130" i="51" a="1"/>
  <c r="G130" i="51" s="1"/>
  <c r="H130" i="51" a="1"/>
  <c r="H130" i="51" s="1"/>
  <c r="I130" i="51"/>
  <c r="J130" i="51"/>
  <c r="K130" i="51"/>
  <c r="L130" i="51"/>
  <c r="A131" i="51"/>
  <c r="B131" i="51"/>
  <c r="C131" i="51"/>
  <c r="D131" i="51"/>
  <c r="E131" i="51"/>
  <c r="F131" i="51"/>
  <c r="G131" i="51" a="1"/>
  <c r="G131" i="51" s="1"/>
  <c r="H131" i="51" a="1"/>
  <c r="H131" i="51" s="1"/>
  <c r="I131" i="51"/>
  <c r="J131" i="51"/>
  <c r="K131" i="51"/>
  <c r="L131" i="51"/>
  <c r="A132" i="51"/>
  <c r="B132" i="51"/>
  <c r="C132" i="51"/>
  <c r="D132" i="51"/>
  <c r="E132" i="51"/>
  <c r="F132" i="51"/>
  <c r="G132" i="51" a="1"/>
  <c r="G132" i="51" s="1"/>
  <c r="H132" i="51" a="1"/>
  <c r="H132" i="51" s="1"/>
  <c r="I132" i="51"/>
  <c r="J132" i="51"/>
  <c r="K132" i="51"/>
  <c r="L132" i="51"/>
  <c r="A133" i="51"/>
  <c r="B133" i="51"/>
  <c r="C133" i="51"/>
  <c r="D133" i="51"/>
  <c r="E133" i="51"/>
  <c r="F133" i="51"/>
  <c r="G133" i="51" a="1"/>
  <c r="G133" i="51" s="1"/>
  <c r="H133" i="51" a="1"/>
  <c r="H133" i="51" s="1"/>
  <c r="I133" i="51"/>
  <c r="J133" i="51"/>
  <c r="K133" i="51"/>
  <c r="L133" i="51"/>
  <c r="A134" i="51"/>
  <c r="B134" i="51"/>
  <c r="C134" i="51"/>
  <c r="D134" i="51"/>
  <c r="E134" i="51"/>
  <c r="F134" i="51"/>
  <c r="G134" i="51" a="1"/>
  <c r="G134" i="51" s="1"/>
  <c r="H134" i="51" a="1"/>
  <c r="H134" i="51" s="1"/>
  <c r="I134" i="51"/>
  <c r="J134" i="51"/>
  <c r="K134" i="51"/>
  <c r="L134" i="51"/>
  <c r="A135" i="51"/>
  <c r="B135" i="51"/>
  <c r="C135" i="51"/>
  <c r="D135" i="51"/>
  <c r="E135" i="51"/>
  <c r="F135" i="51"/>
  <c r="G135" i="51" a="1"/>
  <c r="G135" i="51" s="1"/>
  <c r="H135" i="51" a="1"/>
  <c r="H135" i="51" s="1"/>
  <c r="I135" i="51"/>
  <c r="J135" i="51"/>
  <c r="K135" i="51"/>
  <c r="L135" i="51"/>
  <c r="A136" i="51"/>
  <c r="B136" i="51"/>
  <c r="C136" i="51"/>
  <c r="D136" i="51"/>
  <c r="E136" i="51"/>
  <c r="F136" i="51"/>
  <c r="G136" i="51" a="1"/>
  <c r="G136" i="51" s="1"/>
  <c r="H136" i="51" a="1"/>
  <c r="H136" i="51" s="1"/>
  <c r="I136" i="51"/>
  <c r="J136" i="51"/>
  <c r="K136" i="51"/>
  <c r="L136" i="51"/>
  <c r="A137" i="51"/>
  <c r="B137" i="51"/>
  <c r="C137" i="51"/>
  <c r="D137" i="51"/>
  <c r="E137" i="51"/>
  <c r="F137" i="51"/>
  <c r="G137" i="51" a="1"/>
  <c r="G137" i="51" s="1"/>
  <c r="H137" i="51" a="1"/>
  <c r="H137" i="51" s="1"/>
  <c r="I137" i="51"/>
  <c r="J137" i="51"/>
  <c r="K137" i="51"/>
  <c r="L137" i="51"/>
  <c r="A138" i="51"/>
  <c r="B138" i="51"/>
  <c r="C138" i="51"/>
  <c r="D138" i="51"/>
  <c r="E138" i="51"/>
  <c r="F138" i="51"/>
  <c r="G138" i="51" a="1"/>
  <c r="G138" i="51" s="1"/>
  <c r="H138" i="51" a="1"/>
  <c r="H138" i="51" s="1"/>
  <c r="I138" i="51"/>
  <c r="J138" i="51"/>
  <c r="K138" i="51"/>
  <c r="L138" i="51"/>
  <c r="A139" i="51"/>
  <c r="B139" i="51"/>
  <c r="C139" i="51"/>
  <c r="D139" i="51"/>
  <c r="E139" i="51"/>
  <c r="F139" i="51"/>
  <c r="G139" i="51" a="1"/>
  <c r="G139" i="51" s="1"/>
  <c r="H139" i="51" a="1"/>
  <c r="H139" i="51" s="1"/>
  <c r="I139" i="51"/>
  <c r="J139" i="51"/>
  <c r="K139" i="51"/>
  <c r="L139" i="51"/>
  <c r="A140" i="51"/>
  <c r="B140" i="51"/>
  <c r="C140" i="51"/>
  <c r="D140" i="51"/>
  <c r="E140" i="51"/>
  <c r="F140" i="51"/>
  <c r="G140" i="51" a="1"/>
  <c r="G140" i="51" s="1"/>
  <c r="H140" i="51" a="1"/>
  <c r="H140" i="51" s="1"/>
  <c r="I140" i="51"/>
  <c r="J140" i="51"/>
  <c r="K140" i="51"/>
  <c r="L140" i="51"/>
  <c r="A141" i="51"/>
  <c r="B141" i="51"/>
  <c r="C141" i="51"/>
  <c r="D141" i="51"/>
  <c r="E141" i="51"/>
  <c r="F141" i="51"/>
  <c r="G141" i="51" a="1"/>
  <c r="G141" i="51" s="1"/>
  <c r="H141" i="51" a="1"/>
  <c r="H141" i="51" s="1"/>
  <c r="I141" i="51"/>
  <c r="J141" i="51"/>
  <c r="K141" i="51"/>
  <c r="L141" i="51"/>
  <c r="A142" i="51"/>
  <c r="B142" i="51"/>
  <c r="C142" i="51"/>
  <c r="D142" i="51"/>
  <c r="E142" i="51"/>
  <c r="F142" i="51"/>
  <c r="G142" i="51" a="1"/>
  <c r="G142" i="51" s="1"/>
  <c r="H142" i="51" a="1"/>
  <c r="H142" i="51" s="1"/>
  <c r="I142" i="51"/>
  <c r="J142" i="51"/>
  <c r="K142" i="51"/>
  <c r="L142" i="51"/>
  <c r="A143" i="51"/>
  <c r="B143" i="51"/>
  <c r="C143" i="51"/>
  <c r="D143" i="51"/>
  <c r="E143" i="51"/>
  <c r="F143" i="51"/>
  <c r="G143" i="51" a="1"/>
  <c r="G143" i="51" s="1"/>
  <c r="H143" i="51" a="1"/>
  <c r="H143" i="51" s="1"/>
  <c r="I143" i="51"/>
  <c r="J143" i="51"/>
  <c r="K143" i="51"/>
  <c r="L143" i="51"/>
  <c r="A144" i="51"/>
  <c r="B144" i="51"/>
  <c r="C144" i="51"/>
  <c r="D144" i="51"/>
  <c r="E144" i="51"/>
  <c r="F144" i="51"/>
  <c r="G144" i="51" a="1"/>
  <c r="G144" i="51" s="1"/>
  <c r="H144" i="51" a="1"/>
  <c r="H144" i="51" s="1"/>
  <c r="I144" i="51"/>
  <c r="J144" i="51"/>
  <c r="K144" i="51"/>
  <c r="L144" i="51"/>
  <c r="A145" i="51"/>
  <c r="B145" i="51"/>
  <c r="C145" i="51"/>
  <c r="D145" i="51"/>
  <c r="E145" i="51"/>
  <c r="F145" i="51"/>
  <c r="G145" i="51" a="1"/>
  <c r="G145" i="51" s="1"/>
  <c r="H145" i="51" a="1"/>
  <c r="H145" i="51" s="1"/>
  <c r="I145" i="51"/>
  <c r="J145" i="51"/>
  <c r="K145" i="51"/>
  <c r="L145" i="51"/>
  <c r="A146" i="51"/>
  <c r="B146" i="51"/>
  <c r="C146" i="51"/>
  <c r="D146" i="51"/>
  <c r="E146" i="51"/>
  <c r="F146" i="51"/>
  <c r="G146" i="51" a="1"/>
  <c r="G146" i="51" s="1"/>
  <c r="H146" i="51" a="1"/>
  <c r="H146" i="51" s="1"/>
  <c r="I146" i="51"/>
  <c r="J146" i="51"/>
  <c r="K146" i="51"/>
  <c r="L146" i="51"/>
  <c r="A147" i="51"/>
  <c r="B147" i="51"/>
  <c r="C147" i="51"/>
  <c r="D147" i="51"/>
  <c r="E147" i="51"/>
  <c r="F147" i="51"/>
  <c r="G147" i="51" a="1"/>
  <c r="G147" i="51" s="1"/>
  <c r="H147" i="51" a="1"/>
  <c r="H147" i="51" s="1"/>
  <c r="I147" i="51"/>
  <c r="J147" i="51"/>
  <c r="K147" i="51"/>
  <c r="L147" i="51"/>
  <c r="A148" i="51"/>
  <c r="B148" i="51"/>
  <c r="C148" i="51"/>
  <c r="D148" i="51"/>
  <c r="E148" i="51"/>
  <c r="F148" i="51"/>
  <c r="G148" i="51" a="1"/>
  <c r="G148" i="51" s="1"/>
  <c r="H148" i="51" a="1"/>
  <c r="H148" i="51" s="1"/>
  <c r="I148" i="51"/>
  <c r="J148" i="51"/>
  <c r="K148" i="51"/>
  <c r="L148" i="51"/>
  <c r="A149" i="51"/>
  <c r="B149" i="51"/>
  <c r="C149" i="51"/>
  <c r="D149" i="51"/>
  <c r="E149" i="51"/>
  <c r="F149" i="51"/>
  <c r="G149" i="51" a="1"/>
  <c r="G149" i="51" s="1"/>
  <c r="H149" i="51" a="1"/>
  <c r="H149" i="51" s="1"/>
  <c r="I149" i="51"/>
  <c r="J149" i="51"/>
  <c r="K149" i="51"/>
  <c r="L149" i="51"/>
  <c r="A150" i="51"/>
  <c r="B150" i="51"/>
  <c r="C150" i="51"/>
  <c r="D150" i="51"/>
  <c r="E150" i="51"/>
  <c r="F150" i="51"/>
  <c r="G150" i="51" a="1"/>
  <c r="G150" i="51" s="1"/>
  <c r="H150" i="51" a="1"/>
  <c r="H150" i="51" s="1"/>
  <c r="I150" i="51"/>
  <c r="J150" i="51"/>
  <c r="K150" i="51"/>
  <c r="L150" i="51"/>
  <c r="A151" i="51"/>
  <c r="B151" i="51"/>
  <c r="C151" i="51"/>
  <c r="D151" i="51"/>
  <c r="E151" i="51"/>
  <c r="F151" i="51"/>
  <c r="G151" i="51" a="1"/>
  <c r="G151" i="51" s="1"/>
  <c r="H151" i="51" a="1"/>
  <c r="H151" i="51" s="1"/>
  <c r="I151" i="51"/>
  <c r="J151" i="51"/>
  <c r="K151" i="51"/>
  <c r="L151" i="51"/>
  <c r="A152" i="51"/>
  <c r="B152" i="51"/>
  <c r="C152" i="51"/>
  <c r="D152" i="51"/>
  <c r="E152" i="51"/>
  <c r="F152" i="51"/>
  <c r="G152" i="51" a="1"/>
  <c r="G152" i="51" s="1"/>
  <c r="H152" i="51" a="1"/>
  <c r="H152" i="51" s="1"/>
  <c r="I152" i="51"/>
  <c r="J152" i="51"/>
  <c r="K152" i="51"/>
  <c r="L152" i="51"/>
  <c r="A153" i="51"/>
  <c r="B153" i="51"/>
  <c r="C153" i="51"/>
  <c r="D153" i="51"/>
  <c r="E153" i="51"/>
  <c r="F153" i="51"/>
  <c r="G153" i="51" a="1"/>
  <c r="G153" i="51" s="1"/>
  <c r="H153" i="51" a="1"/>
  <c r="H153" i="51" s="1"/>
  <c r="I153" i="51"/>
  <c r="J153" i="51"/>
  <c r="K153" i="51"/>
  <c r="L153" i="51"/>
  <c r="A154" i="51"/>
  <c r="B154" i="51"/>
  <c r="C154" i="51"/>
  <c r="D154" i="51"/>
  <c r="E154" i="51"/>
  <c r="F154" i="51"/>
  <c r="G154" i="51" a="1"/>
  <c r="G154" i="51" s="1"/>
  <c r="H154" i="51" a="1"/>
  <c r="H154" i="51" s="1"/>
  <c r="I154" i="51"/>
  <c r="J154" i="51"/>
  <c r="K154" i="51"/>
  <c r="L154" i="51"/>
  <c r="A155" i="51"/>
  <c r="B155" i="51"/>
  <c r="C155" i="51"/>
  <c r="D155" i="51"/>
  <c r="E155" i="51"/>
  <c r="F155" i="51"/>
  <c r="G155" i="51" a="1"/>
  <c r="G155" i="51" s="1"/>
  <c r="H155" i="51" a="1"/>
  <c r="H155" i="51" s="1"/>
  <c r="I155" i="51"/>
  <c r="J155" i="51"/>
  <c r="K155" i="51"/>
  <c r="L155" i="51"/>
  <c r="A156" i="51"/>
  <c r="B156" i="51"/>
  <c r="C156" i="51"/>
  <c r="D156" i="51"/>
  <c r="E156" i="51"/>
  <c r="F156" i="51"/>
  <c r="G156" i="51" a="1"/>
  <c r="G156" i="51" s="1"/>
  <c r="H156" i="51" a="1"/>
  <c r="H156" i="51" s="1"/>
  <c r="I156" i="51"/>
  <c r="J156" i="51"/>
  <c r="K156" i="51"/>
  <c r="L156" i="51"/>
  <c r="A157" i="51"/>
  <c r="B157" i="51"/>
  <c r="C157" i="51"/>
  <c r="D157" i="51"/>
  <c r="E157" i="51"/>
  <c r="F157" i="51"/>
  <c r="G157" i="51" a="1"/>
  <c r="G157" i="51" s="1"/>
  <c r="H157" i="51" a="1"/>
  <c r="H157" i="51" s="1"/>
  <c r="I157" i="51"/>
  <c r="J157" i="51"/>
  <c r="K157" i="51"/>
  <c r="L157" i="51"/>
  <c r="A158" i="51"/>
  <c r="B158" i="51"/>
  <c r="C158" i="51"/>
  <c r="D158" i="51"/>
  <c r="E158" i="51"/>
  <c r="F158" i="51"/>
  <c r="G158" i="51" a="1"/>
  <c r="G158" i="51" s="1"/>
  <c r="H158" i="51" a="1"/>
  <c r="H158" i="51" s="1"/>
  <c r="I158" i="51"/>
  <c r="J158" i="51"/>
  <c r="K158" i="51"/>
  <c r="L158" i="51"/>
  <c r="A159" i="51"/>
  <c r="B159" i="51"/>
  <c r="C159" i="51"/>
  <c r="D159" i="51"/>
  <c r="E159" i="51"/>
  <c r="F159" i="51"/>
  <c r="G159" i="51" a="1"/>
  <c r="G159" i="51" s="1"/>
  <c r="H159" i="51" a="1"/>
  <c r="H159" i="51" s="1"/>
  <c r="I159" i="51"/>
  <c r="J159" i="51"/>
  <c r="K159" i="51"/>
  <c r="L159" i="51"/>
  <c r="A160" i="51"/>
  <c r="B160" i="51"/>
  <c r="C160" i="51"/>
  <c r="D160" i="51"/>
  <c r="E160" i="51"/>
  <c r="F160" i="51"/>
  <c r="G160" i="51" a="1"/>
  <c r="G160" i="51" s="1"/>
  <c r="H160" i="51" a="1"/>
  <c r="H160" i="51" s="1"/>
  <c r="I160" i="51"/>
  <c r="J160" i="51"/>
  <c r="K160" i="51"/>
  <c r="L160" i="51"/>
  <c r="A161" i="51"/>
  <c r="B161" i="51"/>
  <c r="C161" i="51"/>
  <c r="D161" i="51"/>
  <c r="E161" i="51"/>
  <c r="F161" i="51"/>
  <c r="G161" i="51" a="1"/>
  <c r="G161" i="51" s="1"/>
  <c r="H161" i="51" a="1"/>
  <c r="H161" i="51" s="1"/>
  <c r="I161" i="51"/>
  <c r="J161" i="51"/>
  <c r="K161" i="51"/>
  <c r="L161" i="51"/>
  <c r="A162" i="51"/>
  <c r="B162" i="51"/>
  <c r="C162" i="51"/>
  <c r="D162" i="51"/>
  <c r="E162" i="51"/>
  <c r="F162" i="51"/>
  <c r="G162" i="51" a="1"/>
  <c r="G162" i="51" s="1"/>
  <c r="H162" i="51" a="1"/>
  <c r="H162" i="51" s="1"/>
  <c r="I162" i="51"/>
  <c r="J162" i="51"/>
  <c r="K162" i="51"/>
  <c r="L162" i="51"/>
  <c r="A163" i="51"/>
  <c r="B163" i="51"/>
  <c r="C163" i="51"/>
  <c r="D163" i="51"/>
  <c r="E163" i="51"/>
  <c r="F163" i="51"/>
  <c r="G163" i="51" a="1"/>
  <c r="G163" i="51" s="1"/>
  <c r="H163" i="51" a="1"/>
  <c r="H163" i="51" s="1"/>
  <c r="I163" i="51"/>
  <c r="J163" i="51"/>
  <c r="K163" i="51"/>
  <c r="L163" i="51"/>
  <c r="A164" i="51"/>
  <c r="B164" i="51"/>
  <c r="C164" i="51"/>
  <c r="D164" i="51"/>
  <c r="E164" i="51"/>
  <c r="F164" i="51"/>
  <c r="G164" i="51" a="1"/>
  <c r="G164" i="51" s="1"/>
  <c r="H164" i="51" a="1"/>
  <c r="H164" i="51" s="1"/>
  <c r="I164" i="51"/>
  <c r="J164" i="51"/>
  <c r="K164" i="51"/>
  <c r="L164" i="51"/>
  <c r="A165" i="51"/>
  <c r="B165" i="51"/>
  <c r="C165" i="51"/>
  <c r="D165" i="51"/>
  <c r="E165" i="51"/>
  <c r="F165" i="51"/>
  <c r="G165" i="51" a="1"/>
  <c r="G165" i="51" s="1"/>
  <c r="H165" i="51" a="1"/>
  <c r="H165" i="51" s="1"/>
  <c r="I165" i="51"/>
  <c r="J165" i="51"/>
  <c r="K165" i="51"/>
  <c r="L165" i="51"/>
  <c r="A166" i="51"/>
  <c r="B166" i="51"/>
  <c r="C166" i="51"/>
  <c r="D166" i="51"/>
  <c r="E166" i="51"/>
  <c r="F166" i="51"/>
  <c r="G166" i="51" a="1"/>
  <c r="G166" i="51" s="1"/>
  <c r="H166" i="51" a="1"/>
  <c r="H166" i="51" s="1"/>
  <c r="I166" i="51"/>
  <c r="J166" i="51"/>
  <c r="K166" i="51"/>
  <c r="L166" i="51"/>
  <c r="A167" i="51"/>
  <c r="B167" i="51"/>
  <c r="C167" i="51"/>
  <c r="D167" i="51"/>
  <c r="E167" i="51"/>
  <c r="F167" i="51"/>
  <c r="G167" i="51" a="1"/>
  <c r="G167" i="51" s="1"/>
  <c r="H167" i="51" a="1"/>
  <c r="H167" i="51" s="1"/>
  <c r="I167" i="51"/>
  <c r="J167" i="51"/>
  <c r="K167" i="51"/>
  <c r="L167" i="51"/>
  <c r="A168" i="51"/>
  <c r="B168" i="51"/>
  <c r="C168" i="51"/>
  <c r="D168" i="51"/>
  <c r="E168" i="51"/>
  <c r="F168" i="51"/>
  <c r="G168" i="51" a="1"/>
  <c r="G168" i="51" s="1"/>
  <c r="H168" i="51" a="1"/>
  <c r="H168" i="51" s="1"/>
  <c r="I168" i="51"/>
  <c r="J168" i="51"/>
  <c r="K168" i="51"/>
  <c r="L168" i="51"/>
  <c r="A169" i="51"/>
  <c r="B169" i="51"/>
  <c r="C169" i="51"/>
  <c r="D169" i="51"/>
  <c r="E169" i="51"/>
  <c r="F169" i="51"/>
  <c r="G169" i="51" a="1"/>
  <c r="G169" i="51" s="1"/>
  <c r="H169" i="51" a="1"/>
  <c r="H169" i="51" s="1"/>
  <c r="I169" i="51"/>
  <c r="J169" i="51"/>
  <c r="K169" i="51"/>
  <c r="L169" i="51"/>
  <c r="A170" i="51"/>
  <c r="B170" i="51"/>
  <c r="C170" i="51"/>
  <c r="D170" i="51"/>
  <c r="E170" i="51"/>
  <c r="F170" i="51"/>
  <c r="G170" i="51" a="1"/>
  <c r="G170" i="51" s="1"/>
  <c r="H170" i="51" a="1"/>
  <c r="H170" i="51" s="1"/>
  <c r="I170" i="51"/>
  <c r="J170" i="51"/>
  <c r="K170" i="51"/>
  <c r="L170" i="51"/>
  <c r="A171" i="51"/>
  <c r="B171" i="51"/>
  <c r="C171" i="51"/>
  <c r="D171" i="51"/>
  <c r="E171" i="51"/>
  <c r="F171" i="51"/>
  <c r="G171" i="51" a="1"/>
  <c r="G171" i="51" s="1"/>
  <c r="H171" i="51" a="1"/>
  <c r="H171" i="51" s="1"/>
  <c r="I171" i="51"/>
  <c r="J171" i="51"/>
  <c r="K171" i="51"/>
  <c r="L171" i="51"/>
  <c r="A172" i="51"/>
  <c r="B172" i="51"/>
  <c r="C172" i="51"/>
  <c r="D172" i="51"/>
  <c r="E172" i="51"/>
  <c r="F172" i="51"/>
  <c r="G172" i="51" a="1"/>
  <c r="G172" i="51" s="1"/>
  <c r="H172" i="51" a="1"/>
  <c r="H172" i="51" s="1"/>
  <c r="I172" i="51"/>
  <c r="J172" i="51"/>
  <c r="K172" i="51"/>
  <c r="L172" i="51"/>
  <c r="A173" i="51"/>
  <c r="B173" i="51"/>
  <c r="C173" i="51"/>
  <c r="D173" i="51"/>
  <c r="E173" i="51"/>
  <c r="F173" i="51"/>
  <c r="G173" i="51" a="1"/>
  <c r="G173" i="51" s="1"/>
  <c r="H173" i="51" a="1"/>
  <c r="H173" i="51" s="1"/>
  <c r="I173" i="51"/>
  <c r="J173" i="51"/>
  <c r="K173" i="51"/>
  <c r="L173" i="51"/>
  <c r="A174" i="51"/>
  <c r="B174" i="51"/>
  <c r="C174" i="51"/>
  <c r="D174" i="51"/>
  <c r="E174" i="51"/>
  <c r="F174" i="51"/>
  <c r="G174" i="51" a="1"/>
  <c r="G174" i="51" s="1"/>
  <c r="H174" i="51" a="1"/>
  <c r="H174" i="51" s="1"/>
  <c r="I174" i="51"/>
  <c r="J174" i="51"/>
  <c r="K174" i="51"/>
  <c r="L174" i="51"/>
  <c r="A175" i="51"/>
  <c r="B175" i="51"/>
  <c r="C175" i="51"/>
  <c r="D175" i="51"/>
  <c r="E175" i="51"/>
  <c r="F175" i="51"/>
  <c r="G175" i="51" a="1"/>
  <c r="G175" i="51" s="1"/>
  <c r="H175" i="51" a="1"/>
  <c r="H175" i="51" s="1"/>
  <c r="I175" i="51"/>
  <c r="J175" i="51"/>
  <c r="K175" i="51"/>
  <c r="L175" i="51"/>
  <c r="A176" i="51"/>
  <c r="B176" i="51"/>
  <c r="C176" i="51"/>
  <c r="D176" i="51"/>
  <c r="E176" i="51"/>
  <c r="F176" i="51"/>
  <c r="G176" i="51" a="1"/>
  <c r="G176" i="51" s="1"/>
  <c r="H176" i="51" a="1"/>
  <c r="H176" i="51" s="1"/>
  <c r="I176" i="51"/>
  <c r="J176" i="51"/>
  <c r="K176" i="51"/>
  <c r="L176" i="51"/>
  <c r="A177" i="51"/>
  <c r="B177" i="51"/>
  <c r="C177" i="51"/>
  <c r="D177" i="51"/>
  <c r="E177" i="51"/>
  <c r="F177" i="51"/>
  <c r="G177" i="51" a="1"/>
  <c r="G177" i="51" s="1"/>
  <c r="H177" i="51" a="1"/>
  <c r="H177" i="51" s="1"/>
  <c r="I177" i="51"/>
  <c r="J177" i="51"/>
  <c r="K177" i="51"/>
  <c r="L177" i="51"/>
  <c r="A178" i="51"/>
  <c r="B178" i="51"/>
  <c r="C178" i="51"/>
  <c r="D178" i="51"/>
  <c r="E178" i="51"/>
  <c r="F178" i="51"/>
  <c r="G178" i="51" a="1"/>
  <c r="G178" i="51" s="1"/>
  <c r="H178" i="51" a="1"/>
  <c r="H178" i="51" s="1"/>
  <c r="I178" i="51"/>
  <c r="J178" i="51"/>
  <c r="K178" i="51"/>
  <c r="L178" i="51"/>
  <c r="A179" i="51"/>
  <c r="B179" i="51"/>
  <c r="C179" i="51"/>
  <c r="D179" i="51"/>
  <c r="E179" i="51"/>
  <c r="F179" i="51"/>
  <c r="G179" i="51" a="1"/>
  <c r="G179" i="51" s="1"/>
  <c r="H179" i="51" a="1"/>
  <c r="H179" i="51" s="1"/>
  <c r="I179" i="51"/>
  <c r="J179" i="51"/>
  <c r="K179" i="51"/>
  <c r="L179" i="51"/>
  <c r="A180" i="51"/>
  <c r="B180" i="51"/>
  <c r="C180" i="51"/>
  <c r="D180" i="51"/>
  <c r="E180" i="51"/>
  <c r="F180" i="51"/>
  <c r="G180" i="51" a="1"/>
  <c r="G180" i="51" s="1"/>
  <c r="H180" i="51" a="1"/>
  <c r="H180" i="51" s="1"/>
  <c r="I180" i="51"/>
  <c r="J180" i="51"/>
  <c r="K180" i="51"/>
  <c r="L180" i="51"/>
  <c r="A181" i="51"/>
  <c r="B181" i="51"/>
  <c r="C181" i="51"/>
  <c r="D181" i="51"/>
  <c r="E181" i="51"/>
  <c r="F181" i="51"/>
  <c r="G181" i="51" a="1"/>
  <c r="G181" i="51" s="1"/>
  <c r="H181" i="51" a="1"/>
  <c r="H181" i="51" s="1"/>
  <c r="I181" i="51"/>
  <c r="J181" i="51"/>
  <c r="K181" i="51"/>
  <c r="L181" i="51"/>
  <c r="A182" i="51"/>
  <c r="B182" i="51"/>
  <c r="C182" i="51"/>
  <c r="D182" i="51"/>
  <c r="E182" i="51"/>
  <c r="F182" i="51"/>
  <c r="G182" i="51" a="1"/>
  <c r="G182" i="51" s="1"/>
  <c r="H182" i="51" a="1"/>
  <c r="H182" i="51" s="1"/>
  <c r="I182" i="51"/>
  <c r="J182" i="51"/>
  <c r="K182" i="51"/>
  <c r="L182" i="51"/>
  <c r="A183" i="51"/>
  <c r="B183" i="51"/>
  <c r="C183" i="51"/>
  <c r="D183" i="51"/>
  <c r="E183" i="51"/>
  <c r="F183" i="51"/>
  <c r="G183" i="51" a="1"/>
  <c r="G183" i="51" s="1"/>
  <c r="H183" i="51" a="1"/>
  <c r="H183" i="51" s="1"/>
  <c r="I183" i="51"/>
  <c r="J183" i="51"/>
  <c r="K183" i="51"/>
  <c r="L183" i="51"/>
  <c r="A184" i="51"/>
  <c r="B184" i="51"/>
  <c r="C184" i="51"/>
  <c r="D184" i="51"/>
  <c r="E184" i="51"/>
  <c r="F184" i="51"/>
  <c r="G184" i="51" a="1"/>
  <c r="G184" i="51" s="1"/>
  <c r="H184" i="51" a="1"/>
  <c r="H184" i="51" s="1"/>
  <c r="I184" i="51"/>
  <c r="J184" i="51"/>
  <c r="K184" i="51"/>
  <c r="L184" i="51"/>
  <c r="A185" i="51"/>
  <c r="B185" i="51"/>
  <c r="C185" i="51"/>
  <c r="D185" i="51"/>
  <c r="E185" i="51"/>
  <c r="F185" i="51"/>
  <c r="G185" i="51" a="1"/>
  <c r="G185" i="51" s="1"/>
  <c r="H185" i="51" a="1"/>
  <c r="H185" i="51" s="1"/>
  <c r="I185" i="51"/>
  <c r="J185" i="51"/>
  <c r="K185" i="51"/>
  <c r="L185" i="51"/>
  <c r="A186" i="51"/>
  <c r="B186" i="51"/>
  <c r="C186" i="51"/>
  <c r="D186" i="51"/>
  <c r="E186" i="51"/>
  <c r="F186" i="51"/>
  <c r="G186" i="51" a="1"/>
  <c r="G186" i="51" s="1"/>
  <c r="H186" i="51" a="1"/>
  <c r="H186" i="51" s="1"/>
  <c r="I186" i="51"/>
  <c r="J186" i="51"/>
  <c r="K186" i="51"/>
  <c r="L186" i="51"/>
  <c r="A187" i="51"/>
  <c r="B187" i="51"/>
  <c r="C187" i="51"/>
  <c r="D187" i="51"/>
  <c r="E187" i="51"/>
  <c r="F187" i="51"/>
  <c r="G187" i="51" a="1"/>
  <c r="G187" i="51" s="1"/>
  <c r="H187" i="51" a="1"/>
  <c r="H187" i="51" s="1"/>
  <c r="I187" i="51"/>
  <c r="J187" i="51"/>
  <c r="K187" i="51"/>
  <c r="L187" i="51"/>
  <c r="A188" i="51"/>
  <c r="B188" i="51"/>
  <c r="C188" i="51"/>
  <c r="D188" i="51"/>
  <c r="E188" i="51"/>
  <c r="F188" i="51"/>
  <c r="G188" i="51" a="1"/>
  <c r="G188" i="51" s="1"/>
  <c r="H188" i="51" a="1"/>
  <c r="H188" i="51" s="1"/>
  <c r="I188" i="51"/>
  <c r="J188" i="51"/>
  <c r="K188" i="51"/>
  <c r="L188" i="51"/>
  <c r="A189" i="51"/>
  <c r="B189" i="51"/>
  <c r="C189" i="51"/>
  <c r="D189" i="51"/>
  <c r="E189" i="51"/>
  <c r="F189" i="51"/>
  <c r="G189" i="51" a="1"/>
  <c r="G189" i="51" s="1"/>
  <c r="H189" i="51" a="1"/>
  <c r="H189" i="51"/>
  <c r="I189" i="51"/>
  <c r="J189" i="51"/>
  <c r="K189" i="51"/>
  <c r="L189" i="51"/>
  <c r="A190" i="51"/>
  <c r="B190" i="51"/>
  <c r="C190" i="51"/>
  <c r="D190" i="51"/>
  <c r="E190" i="51"/>
  <c r="F190" i="51"/>
  <c r="G190" i="51" a="1"/>
  <c r="G190" i="51" s="1"/>
  <c r="H190" i="51" a="1"/>
  <c r="H190" i="51" s="1"/>
  <c r="I190" i="51"/>
  <c r="J190" i="51"/>
  <c r="K190" i="51"/>
  <c r="L190" i="51"/>
  <c r="A191" i="51"/>
  <c r="B191" i="51"/>
  <c r="C191" i="51"/>
  <c r="D191" i="51"/>
  <c r="E191" i="51"/>
  <c r="F191" i="51"/>
  <c r="G191" i="51" a="1"/>
  <c r="G191" i="51" s="1"/>
  <c r="H191" i="51" a="1"/>
  <c r="H191" i="51" s="1"/>
  <c r="I191" i="51"/>
  <c r="J191" i="51"/>
  <c r="K191" i="51"/>
  <c r="L191" i="51"/>
  <c r="A192" i="51"/>
  <c r="B192" i="51"/>
  <c r="C192" i="51"/>
  <c r="D192" i="51"/>
  <c r="E192" i="51"/>
  <c r="F192" i="51"/>
  <c r="G192" i="51" a="1"/>
  <c r="G192" i="51" s="1"/>
  <c r="H192" i="51" a="1"/>
  <c r="H192" i="51"/>
  <c r="I192" i="51"/>
  <c r="J192" i="51"/>
  <c r="K192" i="51"/>
  <c r="L192" i="51"/>
  <c r="A193" i="51"/>
  <c r="B193" i="51"/>
  <c r="C193" i="51"/>
  <c r="D193" i="51"/>
  <c r="E193" i="51"/>
  <c r="F193" i="51"/>
  <c r="G193" i="51" a="1"/>
  <c r="G193" i="51"/>
  <c r="H193" i="51" a="1"/>
  <c r="H193" i="51" s="1"/>
  <c r="I193" i="51"/>
  <c r="J193" i="51"/>
  <c r="K193" i="51"/>
  <c r="L193" i="51"/>
  <c r="A194" i="51"/>
  <c r="B194" i="51"/>
  <c r="C194" i="51"/>
  <c r="D194" i="51"/>
  <c r="E194" i="51"/>
  <c r="F194" i="51"/>
  <c r="G194" i="51" a="1"/>
  <c r="G194" i="51" s="1"/>
  <c r="H194" i="51" a="1"/>
  <c r="H194" i="51" s="1"/>
  <c r="I194" i="51"/>
  <c r="J194" i="51"/>
  <c r="K194" i="51"/>
  <c r="L194" i="51"/>
  <c r="A195" i="51"/>
  <c r="B195" i="51"/>
  <c r="C195" i="51"/>
  <c r="D195" i="51"/>
  <c r="E195" i="51"/>
  <c r="F195" i="51"/>
  <c r="G195" i="51" a="1"/>
  <c r="G195" i="51" s="1"/>
  <c r="H195" i="51" a="1"/>
  <c r="H195" i="51" s="1"/>
  <c r="I195" i="51"/>
  <c r="J195" i="51"/>
  <c r="K195" i="51"/>
  <c r="L195" i="51"/>
  <c r="A196" i="51"/>
  <c r="B196" i="51"/>
  <c r="C196" i="51"/>
  <c r="D196" i="51"/>
  <c r="E196" i="51"/>
  <c r="F196" i="51"/>
  <c r="G196" i="51" a="1"/>
  <c r="G196" i="51" s="1"/>
  <c r="H196" i="51" a="1"/>
  <c r="H196" i="51" s="1"/>
  <c r="I196" i="51"/>
  <c r="J196" i="51"/>
  <c r="K196" i="51"/>
  <c r="L196" i="51"/>
  <c r="A197" i="51"/>
  <c r="B197" i="51"/>
  <c r="C197" i="51"/>
  <c r="D197" i="51"/>
  <c r="E197" i="51"/>
  <c r="F197" i="51"/>
  <c r="G197" i="51" a="1"/>
  <c r="G197" i="51" s="1"/>
  <c r="H197" i="51" a="1"/>
  <c r="H197" i="51"/>
  <c r="I197" i="51"/>
  <c r="J197" i="51"/>
  <c r="K197" i="51"/>
  <c r="L197" i="51"/>
  <c r="A198" i="51"/>
  <c r="B198" i="51"/>
  <c r="C198" i="51"/>
  <c r="D198" i="51"/>
  <c r="E198" i="51"/>
  <c r="F198" i="51"/>
  <c r="G198" i="51" a="1"/>
  <c r="G198" i="51" s="1"/>
  <c r="H198" i="51" a="1"/>
  <c r="H198" i="51" s="1"/>
  <c r="I198" i="51"/>
  <c r="J198" i="51"/>
  <c r="K198" i="51"/>
  <c r="L198" i="51"/>
  <c r="A199" i="51"/>
  <c r="B199" i="51"/>
  <c r="C199" i="51"/>
  <c r="D199" i="51"/>
  <c r="E199" i="51"/>
  <c r="F199" i="51"/>
  <c r="G199" i="51" a="1"/>
  <c r="G199" i="51" s="1"/>
  <c r="H199" i="51" a="1"/>
  <c r="H199" i="51" s="1"/>
  <c r="I199" i="51"/>
  <c r="J199" i="51"/>
  <c r="K199" i="51"/>
  <c r="L199" i="51"/>
  <c r="A200" i="51"/>
  <c r="B200" i="51"/>
  <c r="C200" i="51"/>
  <c r="D200" i="51"/>
  <c r="E200" i="51"/>
  <c r="F200" i="51"/>
  <c r="G200" i="51" a="1"/>
  <c r="G200" i="51" s="1"/>
  <c r="H200" i="51" a="1"/>
  <c r="H200" i="51" s="1"/>
  <c r="I200" i="51"/>
  <c r="J200" i="51"/>
  <c r="K200" i="51"/>
  <c r="L200" i="51"/>
  <c r="A201" i="51"/>
  <c r="B201" i="51"/>
  <c r="C201" i="51"/>
  <c r="D201" i="51"/>
  <c r="E201" i="51"/>
  <c r="F201" i="51"/>
  <c r="G201" i="51" a="1"/>
  <c r="G201" i="51" s="1"/>
  <c r="H201" i="51" a="1"/>
  <c r="H201" i="51" s="1"/>
  <c r="I201" i="51"/>
  <c r="J201" i="51"/>
  <c r="K201" i="51"/>
  <c r="L201" i="51"/>
  <c r="A202" i="51"/>
  <c r="B202" i="51"/>
  <c r="C202" i="51"/>
  <c r="D202" i="51"/>
  <c r="E202" i="51"/>
  <c r="F202" i="51"/>
  <c r="G202" i="51" a="1"/>
  <c r="G202" i="51" s="1"/>
  <c r="H202" i="51" a="1"/>
  <c r="H202" i="51" s="1"/>
  <c r="I202" i="51"/>
  <c r="J202" i="51"/>
  <c r="K202" i="51"/>
  <c r="L202" i="51"/>
  <c r="A203" i="51"/>
  <c r="B203" i="51"/>
  <c r="C203" i="51"/>
  <c r="D203" i="51"/>
  <c r="E203" i="51"/>
  <c r="F203" i="51"/>
  <c r="G203" i="51" a="1"/>
  <c r="G203" i="51" s="1"/>
  <c r="H203" i="51" a="1"/>
  <c r="H203" i="51" s="1"/>
  <c r="I203" i="51"/>
  <c r="J203" i="51"/>
  <c r="K203" i="51"/>
  <c r="L203" i="51"/>
  <c r="A204" i="51"/>
  <c r="B204" i="51"/>
  <c r="C204" i="51"/>
  <c r="D204" i="51"/>
  <c r="E204" i="51"/>
  <c r="F204" i="51"/>
  <c r="G204" i="51" a="1"/>
  <c r="G204" i="51" s="1"/>
  <c r="H204" i="51" a="1"/>
  <c r="H204" i="51" s="1"/>
  <c r="I204" i="51"/>
  <c r="J204" i="51"/>
  <c r="K204" i="51"/>
  <c r="L204" i="51"/>
  <c r="A205" i="51"/>
  <c r="B205" i="51"/>
  <c r="C205" i="51"/>
  <c r="D205" i="51"/>
  <c r="E205" i="51"/>
  <c r="F205" i="51"/>
  <c r="G205" i="51" a="1"/>
  <c r="G205" i="51" s="1"/>
  <c r="H205" i="51" a="1"/>
  <c r="H205" i="51" s="1"/>
  <c r="I205" i="51"/>
  <c r="J205" i="51"/>
  <c r="K205" i="51"/>
  <c r="L205" i="51"/>
  <c r="A206" i="51"/>
  <c r="B206" i="51"/>
  <c r="C206" i="51"/>
  <c r="D206" i="51"/>
  <c r="E206" i="51"/>
  <c r="F206" i="51"/>
  <c r="G206" i="51" a="1"/>
  <c r="G206" i="51" s="1"/>
  <c r="H206" i="51" a="1"/>
  <c r="H206" i="51" s="1"/>
  <c r="I206" i="51"/>
  <c r="J206" i="51"/>
  <c r="K206" i="51"/>
  <c r="L206" i="51"/>
  <c r="A207" i="51"/>
  <c r="B207" i="51"/>
  <c r="C207" i="51"/>
  <c r="D207" i="51"/>
  <c r="E207" i="51"/>
  <c r="F207" i="51"/>
  <c r="G207" i="51" a="1"/>
  <c r="G207" i="51" s="1"/>
  <c r="H207" i="51" a="1"/>
  <c r="H207" i="51" s="1"/>
  <c r="I207" i="51"/>
  <c r="J207" i="51"/>
  <c r="K207" i="51"/>
  <c r="L207" i="51"/>
  <c r="A208" i="51"/>
  <c r="B208" i="51"/>
  <c r="C208" i="51"/>
  <c r="D208" i="51"/>
  <c r="E208" i="51"/>
  <c r="F208" i="51"/>
  <c r="G208" i="51" a="1"/>
  <c r="G208" i="51" s="1"/>
  <c r="H208" i="51" a="1"/>
  <c r="H208" i="51"/>
  <c r="I208" i="51"/>
  <c r="J208" i="51"/>
  <c r="K208" i="51"/>
  <c r="L208" i="51"/>
  <c r="A209" i="51"/>
  <c r="B209" i="51"/>
  <c r="C209" i="51"/>
  <c r="D209" i="51"/>
  <c r="E209" i="51"/>
  <c r="F209" i="51"/>
  <c r="G209" i="51" a="1"/>
  <c r="G209" i="51" s="1"/>
  <c r="H209" i="51" a="1"/>
  <c r="H209" i="51" s="1"/>
  <c r="I209" i="51"/>
  <c r="J209" i="51"/>
  <c r="K209" i="51"/>
  <c r="L209" i="51"/>
  <c r="A210" i="51"/>
  <c r="B210" i="51"/>
  <c r="C210" i="51"/>
  <c r="D210" i="51"/>
  <c r="E210" i="51"/>
  <c r="F210" i="51"/>
  <c r="G210" i="51" a="1"/>
  <c r="G210" i="51" s="1"/>
  <c r="H210" i="51" a="1"/>
  <c r="H210" i="51" s="1"/>
  <c r="I210" i="51"/>
  <c r="J210" i="51"/>
  <c r="K210" i="51"/>
  <c r="L210" i="51"/>
  <c r="A211" i="51"/>
  <c r="B211" i="51"/>
  <c r="C211" i="51"/>
  <c r="D211" i="51"/>
  <c r="E211" i="51"/>
  <c r="F211" i="51"/>
  <c r="G211" i="51" a="1"/>
  <c r="G211" i="51" s="1"/>
  <c r="H211" i="51" a="1"/>
  <c r="H211" i="51" s="1"/>
  <c r="I211" i="51"/>
  <c r="J211" i="51"/>
  <c r="K211" i="51"/>
  <c r="L211" i="51"/>
  <c r="A212" i="51"/>
  <c r="B212" i="51"/>
  <c r="C212" i="51"/>
  <c r="D212" i="51"/>
  <c r="E212" i="51"/>
  <c r="F212" i="51"/>
  <c r="G212" i="51" a="1"/>
  <c r="G212" i="51" s="1"/>
  <c r="H212" i="51" a="1"/>
  <c r="H212" i="51" s="1"/>
  <c r="I212" i="51"/>
  <c r="J212" i="51"/>
  <c r="E5" i="51" s="1"/>
  <c r="K212" i="51"/>
  <c r="L212" i="51"/>
  <c r="A213" i="51"/>
  <c r="B213" i="51"/>
  <c r="C213" i="51"/>
  <c r="D213" i="51"/>
  <c r="E213" i="51"/>
  <c r="F213" i="51"/>
  <c r="G213" i="51" a="1"/>
  <c r="G213" i="51" s="1"/>
  <c r="H213" i="51" a="1"/>
  <c r="H213" i="51" s="1"/>
  <c r="I213" i="51"/>
  <c r="J213" i="51"/>
  <c r="K213" i="51"/>
  <c r="L213" i="51"/>
  <c r="A214" i="51"/>
  <c r="B214" i="51"/>
  <c r="C214" i="51"/>
  <c r="D214" i="51"/>
  <c r="E214" i="51"/>
  <c r="F214" i="51"/>
  <c r="G214" i="51" a="1"/>
  <c r="G214" i="51" s="1"/>
  <c r="H214" i="51" a="1"/>
  <c r="H214" i="51" s="1"/>
  <c r="I214" i="51"/>
  <c r="J214" i="51"/>
  <c r="K214" i="51"/>
  <c r="L214" i="51"/>
  <c r="A215" i="51"/>
  <c r="B215" i="51"/>
  <c r="C215" i="51"/>
  <c r="D215" i="51"/>
  <c r="E215" i="51"/>
  <c r="F215" i="51"/>
  <c r="G215" i="51" a="1"/>
  <c r="G215" i="51" s="1"/>
  <c r="H215" i="51" a="1"/>
  <c r="H215" i="51" s="1"/>
  <c r="I215" i="51"/>
  <c r="J215" i="51"/>
  <c r="K215" i="51"/>
  <c r="L215" i="51"/>
  <c r="A216" i="51"/>
  <c r="B216" i="51"/>
  <c r="C216" i="51"/>
  <c r="D216" i="51"/>
  <c r="E216" i="51"/>
  <c r="F216" i="51"/>
  <c r="G216" i="51" a="1"/>
  <c r="G216" i="51" s="1"/>
  <c r="H216" i="51" a="1"/>
  <c r="H216" i="51" s="1"/>
  <c r="I216" i="51"/>
  <c r="J216" i="51"/>
  <c r="K216" i="51"/>
  <c r="L216" i="51"/>
  <c r="A217" i="51"/>
  <c r="B217" i="51"/>
  <c r="C217" i="51"/>
  <c r="D217" i="51"/>
  <c r="E217" i="51"/>
  <c r="F217" i="51"/>
  <c r="G217" i="51" a="1"/>
  <c r="G217" i="51" s="1"/>
  <c r="H217" i="51" a="1"/>
  <c r="H217" i="51" s="1"/>
  <c r="I217" i="51"/>
  <c r="J217" i="51"/>
  <c r="K217" i="51"/>
  <c r="L217" i="51"/>
  <c r="A218" i="51"/>
  <c r="B218" i="51"/>
  <c r="C218" i="51"/>
  <c r="D218" i="51"/>
  <c r="E218" i="51"/>
  <c r="F218" i="51"/>
  <c r="G218" i="51" a="1"/>
  <c r="G218" i="51" s="1"/>
  <c r="H218" i="51" a="1"/>
  <c r="H218" i="51" s="1"/>
  <c r="I218" i="51"/>
  <c r="J218" i="51"/>
  <c r="K218" i="51"/>
  <c r="L218" i="51"/>
  <c r="A219" i="51"/>
  <c r="B219" i="51"/>
  <c r="C219" i="51"/>
  <c r="D219" i="51"/>
  <c r="E219" i="51"/>
  <c r="F219" i="51"/>
  <c r="G219" i="51" a="1"/>
  <c r="G219" i="51" s="1"/>
  <c r="H219" i="51" a="1"/>
  <c r="H219" i="51" s="1"/>
  <c r="I219" i="51"/>
  <c r="J219" i="51"/>
  <c r="K219" i="51"/>
  <c r="L219" i="51"/>
  <c r="A220" i="51"/>
  <c r="B220" i="51"/>
  <c r="C220" i="51"/>
  <c r="D220" i="51"/>
  <c r="E220" i="51"/>
  <c r="F220" i="51"/>
  <c r="G220" i="51" a="1"/>
  <c r="G220" i="51" s="1"/>
  <c r="H220" i="51" a="1"/>
  <c r="H220" i="51" s="1"/>
  <c r="I220" i="51"/>
  <c r="J220" i="51"/>
  <c r="K220" i="51"/>
  <c r="L220" i="51"/>
  <c r="A221" i="51"/>
  <c r="B221" i="51"/>
  <c r="C221" i="51"/>
  <c r="D221" i="51"/>
  <c r="E221" i="51"/>
  <c r="F221" i="51"/>
  <c r="G221" i="51" a="1"/>
  <c r="G221" i="51" s="1"/>
  <c r="H221" i="51" a="1"/>
  <c r="H221" i="51" s="1"/>
  <c r="I221" i="51"/>
  <c r="J221" i="51"/>
  <c r="K221" i="51"/>
  <c r="L221" i="51"/>
  <c r="A222" i="51"/>
  <c r="B222" i="51"/>
  <c r="C222" i="51"/>
  <c r="D222" i="51"/>
  <c r="E222" i="51"/>
  <c r="F222" i="51"/>
  <c r="G222" i="51" a="1"/>
  <c r="G222" i="51" s="1"/>
  <c r="H222" i="51" a="1"/>
  <c r="H222" i="51" s="1"/>
  <c r="I222" i="51"/>
  <c r="J222" i="51"/>
  <c r="K222" i="51"/>
  <c r="L222" i="51"/>
  <c r="A223" i="51"/>
  <c r="B223" i="51"/>
  <c r="C223" i="51"/>
  <c r="D223" i="51"/>
  <c r="E223" i="51"/>
  <c r="F223" i="51"/>
  <c r="G223" i="51" a="1"/>
  <c r="G223" i="51" s="1"/>
  <c r="H223" i="51" a="1"/>
  <c r="H223" i="51" s="1"/>
  <c r="I223" i="51"/>
  <c r="J223" i="51"/>
  <c r="K223" i="51"/>
  <c r="L223" i="51"/>
  <c r="A224" i="51"/>
  <c r="B224" i="51"/>
  <c r="C224" i="51"/>
  <c r="D224" i="51"/>
  <c r="E224" i="51"/>
  <c r="F224" i="51"/>
  <c r="G224" i="51" a="1"/>
  <c r="G224" i="51" s="1"/>
  <c r="H224" i="51" a="1"/>
  <c r="H224" i="51" s="1"/>
  <c r="I224" i="51"/>
  <c r="J224" i="51"/>
  <c r="K224" i="51"/>
  <c r="L224" i="51"/>
  <c r="A225" i="51"/>
  <c r="B225" i="51"/>
  <c r="C225" i="51"/>
  <c r="D225" i="51"/>
  <c r="E225" i="51"/>
  <c r="F225" i="51"/>
  <c r="G225" i="51" a="1"/>
  <c r="G225" i="51"/>
  <c r="H225" i="51" a="1"/>
  <c r="H225" i="51" s="1"/>
  <c r="I225" i="51"/>
  <c r="J225" i="51"/>
  <c r="K225" i="51"/>
  <c r="L225" i="51"/>
  <c r="A226" i="51"/>
  <c r="B226" i="51"/>
  <c r="C226" i="51"/>
  <c r="D226" i="51"/>
  <c r="E226" i="51"/>
  <c r="F226" i="51"/>
  <c r="G226" i="51" a="1"/>
  <c r="G226" i="51" s="1"/>
  <c r="H226" i="51" a="1"/>
  <c r="H226" i="51" s="1"/>
  <c r="I226" i="51"/>
  <c r="J226" i="51"/>
  <c r="K226" i="51"/>
  <c r="L226" i="51"/>
  <c r="A227" i="51"/>
  <c r="B227" i="51"/>
  <c r="C227" i="51"/>
  <c r="D227" i="51"/>
  <c r="E227" i="51"/>
  <c r="F227" i="51"/>
  <c r="G227" i="51" a="1"/>
  <c r="G227" i="51" s="1"/>
  <c r="H227" i="51" a="1"/>
  <c r="H227" i="51" s="1"/>
  <c r="I227" i="51"/>
  <c r="J227" i="51"/>
  <c r="K227" i="51"/>
  <c r="L227" i="51"/>
  <c r="A228" i="51"/>
  <c r="B228" i="51"/>
  <c r="C228" i="51"/>
  <c r="D228" i="51"/>
  <c r="E228" i="51"/>
  <c r="F228" i="51"/>
  <c r="G228" i="51" a="1"/>
  <c r="G228" i="51" s="1"/>
  <c r="H228" i="51" a="1"/>
  <c r="H228" i="51" s="1"/>
  <c r="I228" i="51"/>
  <c r="J228" i="51"/>
  <c r="K228" i="51"/>
  <c r="L228" i="51"/>
  <c r="A229" i="51"/>
  <c r="B229" i="51"/>
  <c r="C229" i="51"/>
  <c r="D229" i="51"/>
  <c r="E229" i="51"/>
  <c r="F229" i="51"/>
  <c r="G229" i="51" a="1"/>
  <c r="G229" i="51" s="1"/>
  <c r="H229" i="51" a="1"/>
  <c r="H229" i="51"/>
  <c r="I229" i="51"/>
  <c r="J229" i="51"/>
  <c r="K229" i="51"/>
  <c r="L229" i="51"/>
  <c r="A230" i="51"/>
  <c r="B230" i="51"/>
  <c r="C230" i="51"/>
  <c r="D230" i="51"/>
  <c r="E230" i="51"/>
  <c r="F230" i="51"/>
  <c r="G230" i="51" a="1"/>
  <c r="G230" i="51" s="1"/>
  <c r="H230" i="51" a="1"/>
  <c r="H230" i="51" s="1"/>
  <c r="I230" i="51"/>
  <c r="J230" i="51"/>
  <c r="K230" i="51"/>
  <c r="L230" i="51"/>
  <c r="A231" i="51"/>
  <c r="B231" i="51"/>
  <c r="C231" i="51"/>
  <c r="D231" i="51"/>
  <c r="E231" i="51"/>
  <c r="F231" i="51"/>
  <c r="G231" i="51" a="1"/>
  <c r="G231" i="51" s="1"/>
  <c r="H231" i="51" a="1"/>
  <c r="H231" i="51" s="1"/>
  <c r="I231" i="51"/>
  <c r="J231" i="51"/>
  <c r="K231" i="51"/>
  <c r="L231" i="51"/>
  <c r="A232" i="51"/>
  <c r="B232" i="51"/>
  <c r="C232" i="51"/>
  <c r="D232" i="51"/>
  <c r="E232" i="51"/>
  <c r="F232" i="51"/>
  <c r="G232" i="51" a="1"/>
  <c r="G232" i="51" s="1"/>
  <c r="H232" i="51" a="1"/>
  <c r="H232" i="51" s="1"/>
  <c r="I232" i="51"/>
  <c r="J232" i="51"/>
  <c r="K232" i="51"/>
  <c r="L232" i="51"/>
  <c r="A233" i="51"/>
  <c r="B233" i="51"/>
  <c r="C233" i="51"/>
  <c r="D233" i="51"/>
  <c r="E233" i="51"/>
  <c r="F233" i="51"/>
  <c r="G233" i="51" a="1"/>
  <c r="G233" i="51" s="1"/>
  <c r="H233" i="51" a="1"/>
  <c r="H233" i="51" s="1"/>
  <c r="I233" i="51"/>
  <c r="J233" i="51"/>
  <c r="K233" i="51"/>
  <c r="L233" i="51"/>
  <c r="A234" i="51"/>
  <c r="B234" i="51"/>
  <c r="C234" i="51"/>
  <c r="D234" i="51"/>
  <c r="E234" i="51"/>
  <c r="F234" i="51"/>
  <c r="G234" i="51" a="1"/>
  <c r="G234" i="51" s="1"/>
  <c r="H234" i="51" a="1"/>
  <c r="H234" i="51"/>
  <c r="I234" i="51"/>
  <c r="J234" i="51"/>
  <c r="K234" i="51"/>
  <c r="L234" i="51"/>
  <c r="A235" i="51"/>
  <c r="B235" i="51"/>
  <c r="C235" i="51"/>
  <c r="D235" i="51"/>
  <c r="E235" i="51"/>
  <c r="F235" i="51"/>
  <c r="G235" i="51" a="1"/>
  <c r="G235" i="51" s="1"/>
  <c r="H235" i="51" a="1"/>
  <c r="H235" i="51" s="1"/>
  <c r="I235" i="51"/>
  <c r="J235" i="51"/>
  <c r="K235" i="51"/>
  <c r="L235" i="51"/>
  <c r="A236" i="51"/>
  <c r="B236" i="51"/>
  <c r="C236" i="51"/>
  <c r="D236" i="51"/>
  <c r="E236" i="51"/>
  <c r="F236" i="51"/>
  <c r="G236" i="51" a="1"/>
  <c r="G236" i="51" s="1"/>
  <c r="H236" i="51" a="1"/>
  <c r="H236" i="51" s="1"/>
  <c r="I236" i="51"/>
  <c r="J236" i="51"/>
  <c r="K236" i="51"/>
  <c r="L236" i="51"/>
  <c r="A237" i="51"/>
  <c r="B237" i="51"/>
  <c r="C237" i="51"/>
  <c r="D237" i="51"/>
  <c r="E237" i="51"/>
  <c r="F237" i="51"/>
  <c r="G237" i="51" a="1"/>
  <c r="G237" i="51" s="1"/>
  <c r="H237" i="51" a="1"/>
  <c r="H237" i="51" s="1"/>
  <c r="I237" i="51"/>
  <c r="J237" i="51"/>
  <c r="K237" i="51"/>
  <c r="L237" i="51"/>
  <c r="A238" i="51"/>
  <c r="B238" i="51"/>
  <c r="C238" i="51"/>
  <c r="D238" i="51"/>
  <c r="E238" i="51"/>
  <c r="F238" i="51"/>
  <c r="G238" i="51" a="1"/>
  <c r="G238" i="51" s="1"/>
  <c r="H238" i="51" a="1"/>
  <c r="H238" i="51" s="1"/>
  <c r="I238" i="51"/>
  <c r="J238" i="51"/>
  <c r="K238" i="51"/>
  <c r="L238" i="51"/>
  <c r="A239" i="51"/>
  <c r="B239" i="51"/>
  <c r="C239" i="51"/>
  <c r="D239" i="51"/>
  <c r="E239" i="51"/>
  <c r="F239" i="51"/>
  <c r="G239" i="51" a="1"/>
  <c r="G239" i="51" s="1"/>
  <c r="H239" i="51" a="1"/>
  <c r="H239" i="51" s="1"/>
  <c r="I239" i="51"/>
  <c r="J239" i="51"/>
  <c r="K239" i="51"/>
  <c r="L239" i="51"/>
  <c r="A240" i="51"/>
  <c r="B240" i="51"/>
  <c r="C240" i="51"/>
  <c r="D240" i="51"/>
  <c r="E240" i="51"/>
  <c r="F240" i="51"/>
  <c r="G240" i="51" a="1"/>
  <c r="G240" i="51" s="1"/>
  <c r="H240" i="51" a="1"/>
  <c r="H240" i="51" s="1"/>
  <c r="I240" i="51"/>
  <c r="J240" i="51"/>
  <c r="K240" i="51"/>
  <c r="L240" i="51"/>
  <c r="A241" i="51"/>
  <c r="B241" i="51"/>
  <c r="C241" i="51"/>
  <c r="D241" i="51"/>
  <c r="E241" i="51"/>
  <c r="F241" i="51"/>
  <c r="G241" i="51" a="1"/>
  <c r="G241" i="51" s="1"/>
  <c r="H241" i="51" a="1"/>
  <c r="H241" i="51" s="1"/>
  <c r="I241" i="51"/>
  <c r="J241" i="51"/>
  <c r="K241" i="51"/>
  <c r="L241" i="51"/>
  <c r="A242" i="51"/>
  <c r="B242" i="51"/>
  <c r="C242" i="51"/>
  <c r="D242" i="51"/>
  <c r="E242" i="51"/>
  <c r="A5" i="51" s="1"/>
  <c r="F242" i="51"/>
  <c r="G242" i="51" a="1"/>
  <c r="G242" i="51" s="1"/>
  <c r="H242" i="51" a="1"/>
  <c r="H242" i="51"/>
  <c r="I242" i="51"/>
  <c r="J242" i="51"/>
  <c r="K242" i="51"/>
  <c r="L242" i="51"/>
  <c r="A243" i="51"/>
  <c r="B243" i="51"/>
  <c r="C243" i="51"/>
  <c r="D243" i="51"/>
  <c r="E243" i="51"/>
  <c r="F243" i="51"/>
  <c r="G243" i="51" a="1"/>
  <c r="G243" i="51"/>
  <c r="H243" i="51" a="1"/>
  <c r="H243" i="51" s="1"/>
  <c r="I243" i="51"/>
  <c r="J243" i="51"/>
  <c r="K243" i="51"/>
  <c r="L243" i="51"/>
  <c r="A244" i="51"/>
  <c r="B244" i="51"/>
  <c r="C244" i="51"/>
  <c r="D244" i="51"/>
  <c r="E244" i="51"/>
  <c r="F244" i="51"/>
  <c r="G244" i="51" a="1"/>
  <c r="G244" i="51" s="1"/>
  <c r="H244" i="51" a="1"/>
  <c r="H244" i="51" s="1"/>
  <c r="I244" i="51"/>
  <c r="J244" i="51"/>
  <c r="K244" i="51"/>
  <c r="L244" i="51"/>
  <c r="A245" i="51"/>
  <c r="B245" i="51"/>
  <c r="C245" i="51"/>
  <c r="D245" i="51"/>
  <c r="E245" i="51"/>
  <c r="F245" i="51"/>
  <c r="G245" i="51" a="1"/>
  <c r="G245" i="51" s="1"/>
  <c r="H245" i="51" a="1"/>
  <c r="H245" i="51" s="1"/>
  <c r="I245" i="51"/>
  <c r="J245" i="51"/>
  <c r="K245" i="51"/>
  <c r="L245" i="51"/>
  <c r="A246" i="51"/>
  <c r="B246" i="51"/>
  <c r="C246" i="51"/>
  <c r="D246" i="51"/>
  <c r="E246" i="51"/>
  <c r="F246" i="51"/>
  <c r="G246" i="51" a="1"/>
  <c r="G246" i="51" s="1"/>
  <c r="H246" i="51" a="1"/>
  <c r="H246" i="51" s="1"/>
  <c r="I246" i="51"/>
  <c r="J246" i="51"/>
  <c r="K246" i="51"/>
  <c r="L246" i="51"/>
  <c r="A247" i="51"/>
  <c r="B247" i="51"/>
  <c r="C247" i="51"/>
  <c r="D247" i="51"/>
  <c r="E247" i="51"/>
  <c r="F247" i="51"/>
  <c r="G247" i="51" a="1"/>
  <c r="G247" i="51" s="1"/>
  <c r="H247" i="51" a="1"/>
  <c r="H247" i="51" s="1"/>
  <c r="I247" i="51"/>
  <c r="J247" i="51"/>
  <c r="K247" i="51"/>
  <c r="L247" i="51"/>
  <c r="A248" i="51"/>
  <c r="B248" i="51"/>
  <c r="C248" i="51"/>
  <c r="D248" i="51"/>
  <c r="E248" i="51"/>
  <c r="F248" i="51"/>
  <c r="G248" i="51" a="1"/>
  <c r="G248" i="51" s="1"/>
  <c r="H248" i="51" a="1"/>
  <c r="H248" i="51" s="1"/>
  <c r="I248" i="51"/>
  <c r="J248" i="51"/>
  <c r="K248" i="51"/>
  <c r="L248" i="51"/>
  <c r="A249" i="51"/>
  <c r="B249" i="51"/>
  <c r="C249" i="51"/>
  <c r="D249" i="51"/>
  <c r="E249" i="51"/>
  <c r="F249" i="51"/>
  <c r="G249" i="51" a="1"/>
  <c r="G249" i="51" s="1"/>
  <c r="H249" i="51" a="1"/>
  <c r="H249" i="51" s="1"/>
  <c r="I249" i="51"/>
  <c r="J249" i="51"/>
  <c r="K249" i="51"/>
  <c r="L249" i="51"/>
  <c r="A250" i="51"/>
  <c r="B250" i="51"/>
  <c r="C250" i="51"/>
  <c r="D250" i="51"/>
  <c r="E250" i="51"/>
  <c r="F250" i="51"/>
  <c r="G250" i="51" a="1"/>
  <c r="G250" i="51" s="1"/>
  <c r="H250" i="51" a="1"/>
  <c r="H250" i="51" s="1"/>
  <c r="I250" i="51"/>
  <c r="J250" i="51"/>
  <c r="K250" i="51"/>
  <c r="L250" i="51"/>
  <c r="A251" i="51"/>
  <c r="B251" i="51"/>
  <c r="C251" i="51"/>
  <c r="D251" i="51"/>
  <c r="E251" i="51"/>
  <c r="F251" i="51"/>
  <c r="G251" i="51" a="1"/>
  <c r="G251" i="51" s="1"/>
  <c r="H251" i="51" a="1"/>
  <c r="H251" i="51" s="1"/>
  <c r="I251" i="51"/>
  <c r="J251" i="51"/>
  <c r="K251" i="51"/>
  <c r="L251" i="51"/>
  <c r="A252" i="51"/>
  <c r="B252" i="51"/>
  <c r="C252" i="51"/>
  <c r="D252" i="51"/>
  <c r="E252" i="51"/>
  <c r="F252" i="51"/>
  <c r="G252" i="51" a="1"/>
  <c r="G252" i="51" s="1"/>
  <c r="H252" i="51" a="1"/>
  <c r="H252" i="51" s="1"/>
  <c r="I252" i="51"/>
  <c r="J252" i="51"/>
  <c r="K252" i="51"/>
  <c r="L252" i="51"/>
  <c r="A253" i="51"/>
  <c r="B253" i="51"/>
  <c r="C253" i="51"/>
  <c r="D253" i="51"/>
  <c r="E253" i="51"/>
  <c r="F253" i="51"/>
  <c r="G253" i="51" a="1"/>
  <c r="G253" i="51" s="1"/>
  <c r="H253" i="51" a="1"/>
  <c r="H253" i="51" s="1"/>
  <c r="I253" i="51"/>
  <c r="J253" i="51"/>
  <c r="K253" i="51"/>
  <c r="L253" i="51"/>
  <c r="A254" i="51"/>
  <c r="B254" i="51"/>
  <c r="C254" i="51"/>
  <c r="D254" i="51"/>
  <c r="E254" i="51"/>
  <c r="F254" i="51"/>
  <c r="G254" i="51" a="1"/>
  <c r="G254" i="51" s="1"/>
  <c r="H254" i="51" a="1"/>
  <c r="H254" i="51" s="1"/>
  <c r="I254" i="51"/>
  <c r="J254" i="51"/>
  <c r="K254" i="51"/>
  <c r="L254" i="51"/>
  <c r="A255" i="51"/>
  <c r="B255" i="51"/>
  <c r="C255" i="51"/>
  <c r="D255" i="51"/>
  <c r="E255" i="51"/>
  <c r="F255" i="51"/>
  <c r="G255" i="51" a="1"/>
  <c r="G255" i="51" s="1"/>
  <c r="H255" i="51" a="1"/>
  <c r="H255" i="51" s="1"/>
  <c r="I255" i="51"/>
  <c r="J255" i="51"/>
  <c r="K255" i="51"/>
  <c r="L255" i="51"/>
  <c r="A256" i="51"/>
  <c r="B256" i="51"/>
  <c r="C256" i="51"/>
  <c r="D256" i="51"/>
  <c r="E256" i="51"/>
  <c r="F256" i="51"/>
  <c r="G256" i="51" a="1"/>
  <c r="G256" i="51" s="1"/>
  <c r="H256" i="51" a="1"/>
  <c r="H256" i="51" s="1"/>
  <c r="I256" i="51"/>
  <c r="J256" i="51"/>
  <c r="K256" i="51"/>
  <c r="L256" i="51"/>
  <c r="A257" i="51"/>
  <c r="B257" i="51"/>
  <c r="C257" i="51"/>
  <c r="D257" i="51"/>
  <c r="E257" i="51"/>
  <c r="F257" i="51"/>
  <c r="G257" i="51" a="1"/>
  <c r="G257" i="51" s="1"/>
  <c r="H257" i="51" a="1"/>
  <c r="H257" i="51" s="1"/>
  <c r="I257" i="51"/>
  <c r="J257" i="51"/>
  <c r="K257" i="51"/>
  <c r="L257" i="51"/>
  <c r="A258" i="51"/>
  <c r="B258" i="51"/>
  <c r="C258" i="51"/>
  <c r="D258" i="51"/>
  <c r="E258" i="51"/>
  <c r="F258" i="51"/>
  <c r="G258" i="51" a="1"/>
  <c r="G258" i="51" s="1"/>
  <c r="H258" i="51" a="1"/>
  <c r="H258" i="51" s="1"/>
  <c r="I258" i="51"/>
  <c r="J258" i="51"/>
  <c r="K258" i="51"/>
  <c r="L258" i="51"/>
  <c r="A259" i="51"/>
  <c r="B259" i="51"/>
  <c r="C259" i="51"/>
  <c r="D259" i="51"/>
  <c r="E259" i="51"/>
  <c r="F259" i="51"/>
  <c r="G259" i="51" a="1"/>
  <c r="G259" i="51" s="1"/>
  <c r="H259" i="51" a="1"/>
  <c r="H259" i="51" s="1"/>
  <c r="I259" i="51"/>
  <c r="J259" i="51"/>
  <c r="K259" i="51"/>
  <c r="L259" i="51"/>
  <c r="A260" i="51"/>
  <c r="B260" i="51"/>
  <c r="C260" i="51"/>
  <c r="D260" i="51"/>
  <c r="E260" i="51"/>
  <c r="F260" i="51"/>
  <c r="G260" i="51" a="1"/>
  <c r="G260" i="51"/>
  <c r="H260" i="51" a="1"/>
  <c r="H260" i="51" s="1"/>
  <c r="I260" i="51"/>
  <c r="J260" i="51"/>
  <c r="K260" i="51"/>
  <c r="L260" i="51"/>
  <c r="A261" i="51"/>
  <c r="B261" i="51"/>
  <c r="C261" i="51"/>
  <c r="D261" i="51"/>
  <c r="E261" i="51"/>
  <c r="F261" i="51"/>
  <c r="G261" i="51" a="1"/>
  <c r="G261" i="51" s="1"/>
  <c r="H261" i="51" a="1"/>
  <c r="H261" i="51" s="1"/>
  <c r="I261" i="51"/>
  <c r="J261" i="51"/>
  <c r="K261" i="51"/>
  <c r="L261" i="51"/>
  <c r="A262" i="51"/>
  <c r="B262" i="51"/>
  <c r="C262" i="51"/>
  <c r="D262" i="51"/>
  <c r="E262" i="51"/>
  <c r="F262" i="51"/>
  <c r="G262" i="51" a="1"/>
  <c r="G262" i="51" s="1"/>
  <c r="H262" i="51" a="1"/>
  <c r="H262" i="51" s="1"/>
  <c r="I262" i="51"/>
  <c r="J262" i="51"/>
  <c r="K262" i="51"/>
  <c r="L262" i="51"/>
  <c r="A263" i="51"/>
  <c r="B263" i="51"/>
  <c r="C263" i="51"/>
  <c r="D263" i="51"/>
  <c r="E263" i="51"/>
  <c r="F263" i="51"/>
  <c r="G263" i="51" a="1"/>
  <c r="G263" i="51" s="1"/>
  <c r="H263" i="51" a="1"/>
  <c r="H263" i="51" s="1"/>
  <c r="I263" i="51"/>
  <c r="J263" i="51"/>
  <c r="K263" i="51"/>
  <c r="L263" i="51"/>
  <c r="A264" i="51"/>
  <c r="B264" i="51"/>
  <c r="C264" i="51"/>
  <c r="D264" i="51"/>
  <c r="E264" i="51"/>
  <c r="F264" i="51"/>
  <c r="G264" i="51" a="1"/>
  <c r="G264" i="51" s="1"/>
  <c r="H264" i="51" a="1"/>
  <c r="H264" i="51" s="1"/>
  <c r="I264" i="51"/>
  <c r="J264" i="51"/>
  <c r="K264" i="51"/>
  <c r="L264" i="51"/>
  <c r="A265" i="51"/>
  <c r="B265" i="51"/>
  <c r="C265" i="51"/>
  <c r="D265" i="51"/>
  <c r="E265" i="51"/>
  <c r="F265" i="51"/>
  <c r="G265" i="51" a="1"/>
  <c r="G265" i="51" s="1"/>
  <c r="H265" i="51" a="1"/>
  <c r="H265" i="51" s="1"/>
  <c r="I265" i="51"/>
  <c r="J265" i="51"/>
  <c r="K265" i="51"/>
  <c r="L265" i="51"/>
  <c r="A266" i="51"/>
  <c r="B266" i="51"/>
  <c r="C266" i="51"/>
  <c r="D266" i="51"/>
  <c r="E266" i="51"/>
  <c r="F266" i="51"/>
  <c r="G266" i="51" a="1"/>
  <c r="G266" i="51" s="1"/>
  <c r="H266" i="51" a="1"/>
  <c r="H266" i="51" s="1"/>
  <c r="I266" i="51"/>
  <c r="J266" i="51"/>
  <c r="K266" i="51"/>
  <c r="L266" i="51"/>
  <c r="A267" i="51"/>
  <c r="B267" i="51"/>
  <c r="C267" i="51"/>
  <c r="D267" i="51"/>
  <c r="E267" i="51"/>
  <c r="F267" i="51"/>
  <c r="G267" i="51" a="1"/>
  <c r="G267" i="51" s="1"/>
  <c r="H267" i="51" a="1"/>
  <c r="H267" i="51" s="1"/>
  <c r="I267" i="51"/>
  <c r="J267" i="51"/>
  <c r="K267" i="51"/>
  <c r="L267" i="51"/>
  <c r="A268" i="51"/>
  <c r="B268" i="51"/>
  <c r="C268" i="51"/>
  <c r="D268" i="51"/>
  <c r="E268" i="51"/>
  <c r="F268" i="51"/>
  <c r="G268" i="51" a="1"/>
  <c r="G268" i="51" s="1"/>
  <c r="H268" i="51" a="1"/>
  <c r="H268" i="51" s="1"/>
  <c r="I268" i="51"/>
  <c r="J268" i="51"/>
  <c r="K268" i="51"/>
  <c r="L268" i="51"/>
  <c r="A269" i="51"/>
  <c r="B269" i="51"/>
  <c r="C269" i="51"/>
  <c r="D269" i="51"/>
  <c r="E269" i="51"/>
  <c r="F269" i="51"/>
  <c r="G269" i="51" a="1"/>
  <c r="G269" i="51" s="1"/>
  <c r="H269" i="51" a="1"/>
  <c r="H269" i="51" s="1"/>
  <c r="I269" i="51"/>
  <c r="J269" i="51"/>
  <c r="K269" i="51"/>
  <c r="L269" i="51"/>
  <c r="A270" i="51"/>
  <c r="B270" i="51"/>
  <c r="C270" i="51"/>
  <c r="D270" i="51"/>
  <c r="E270" i="51"/>
  <c r="F270" i="51"/>
  <c r="G270" i="51" a="1"/>
  <c r="G270" i="51" s="1"/>
  <c r="H270" i="51" a="1"/>
  <c r="H270" i="51" s="1"/>
  <c r="I270" i="51"/>
  <c r="J270" i="51"/>
  <c r="K270" i="51"/>
  <c r="L270" i="51"/>
  <c r="A271" i="51"/>
  <c r="B271" i="51"/>
  <c r="C271" i="51"/>
  <c r="D271" i="51"/>
  <c r="E271" i="51"/>
  <c r="F271" i="51"/>
  <c r="G271" i="51" a="1"/>
  <c r="G271" i="51" s="1"/>
  <c r="H271" i="51" a="1"/>
  <c r="H271" i="51" s="1"/>
  <c r="I271" i="51"/>
  <c r="J271" i="51"/>
  <c r="K271" i="51"/>
  <c r="L271" i="51"/>
  <c r="A272" i="51"/>
  <c r="B272" i="51"/>
  <c r="C272" i="51"/>
  <c r="D272" i="51"/>
  <c r="E272" i="51"/>
  <c r="F272" i="51"/>
  <c r="G272" i="51" a="1"/>
  <c r="G272" i="51" s="1"/>
  <c r="H272" i="51" a="1"/>
  <c r="H272" i="51" s="1"/>
  <c r="I272" i="51"/>
  <c r="J272" i="51"/>
  <c r="K272" i="51"/>
  <c r="L272" i="51"/>
  <c r="A273" i="51"/>
  <c r="B273" i="51"/>
  <c r="C273" i="51"/>
  <c r="D273" i="51"/>
  <c r="E273" i="51"/>
  <c r="F273" i="51"/>
  <c r="G273" i="51" a="1"/>
  <c r="G273" i="51" s="1"/>
  <c r="H273" i="51" a="1"/>
  <c r="H273" i="51" s="1"/>
  <c r="I273" i="51"/>
  <c r="J273" i="51"/>
  <c r="K273" i="51"/>
  <c r="L273" i="51"/>
  <c r="A274" i="51"/>
  <c r="B274" i="51"/>
  <c r="C274" i="51"/>
  <c r="D274" i="51"/>
  <c r="E274" i="51"/>
  <c r="F274" i="51"/>
  <c r="G274" i="51" a="1"/>
  <c r="G274" i="51" s="1"/>
  <c r="H274" i="51" a="1"/>
  <c r="H274" i="51"/>
  <c r="I274" i="51"/>
  <c r="J274" i="51"/>
  <c r="K274" i="51"/>
  <c r="L274" i="51"/>
  <c r="A275" i="51"/>
  <c r="B275" i="51"/>
  <c r="C275" i="51"/>
  <c r="D275" i="51"/>
  <c r="E275" i="51"/>
  <c r="F275" i="51"/>
  <c r="G275" i="51" a="1"/>
  <c r="G275" i="51"/>
  <c r="H275" i="51" a="1"/>
  <c r="H275" i="51" s="1"/>
  <c r="I275" i="51"/>
  <c r="J275" i="51"/>
  <c r="K275" i="51"/>
  <c r="L275" i="51"/>
  <c r="A276" i="51"/>
  <c r="B276" i="51"/>
  <c r="C276" i="51"/>
  <c r="D276" i="51"/>
  <c r="E276" i="51"/>
  <c r="F276" i="51"/>
  <c r="G276" i="51" a="1"/>
  <c r="G276" i="51" s="1"/>
  <c r="H276" i="51" a="1"/>
  <c r="H276" i="51" s="1"/>
  <c r="I276" i="51"/>
  <c r="J276" i="51"/>
  <c r="K276" i="51"/>
  <c r="L276" i="51"/>
  <c r="A277" i="51"/>
  <c r="B277" i="51"/>
  <c r="C277" i="51"/>
  <c r="D277" i="51"/>
  <c r="E277" i="51"/>
  <c r="F277" i="51"/>
  <c r="G277" i="51" a="1"/>
  <c r="G277" i="51" s="1"/>
  <c r="H277" i="51" a="1"/>
  <c r="H277" i="51" s="1"/>
  <c r="I277" i="51"/>
  <c r="J277" i="51"/>
  <c r="K277" i="51"/>
  <c r="L277" i="51"/>
  <c r="A278" i="51"/>
  <c r="B278" i="51"/>
  <c r="C278" i="51"/>
  <c r="D278" i="51"/>
  <c r="E278" i="51"/>
  <c r="F278" i="51"/>
  <c r="G278" i="51" a="1"/>
  <c r="G278" i="51" s="1"/>
  <c r="H278" i="51" a="1"/>
  <c r="H278" i="51" s="1"/>
  <c r="I278" i="51"/>
  <c r="J278" i="51"/>
  <c r="K278" i="51"/>
  <c r="L278" i="51"/>
  <c r="A279" i="51"/>
  <c r="B279" i="51"/>
  <c r="C279" i="51"/>
  <c r="D279" i="51"/>
  <c r="E279" i="51"/>
  <c r="F279" i="51"/>
  <c r="G279" i="51" a="1"/>
  <c r="G279" i="51" s="1"/>
  <c r="H279" i="51" a="1"/>
  <c r="H279" i="51" s="1"/>
  <c r="I279" i="51"/>
  <c r="J279" i="51"/>
  <c r="K279" i="51"/>
  <c r="L279" i="51"/>
  <c r="A280" i="51"/>
  <c r="B280" i="51"/>
  <c r="C280" i="51"/>
  <c r="D280" i="51"/>
  <c r="E280" i="51"/>
  <c r="F280" i="51"/>
  <c r="G280" i="51" a="1"/>
  <c r="G280" i="51" s="1"/>
  <c r="H280" i="51" a="1"/>
  <c r="H280" i="51" s="1"/>
  <c r="I280" i="51"/>
  <c r="J280" i="51"/>
  <c r="K280" i="51"/>
  <c r="L280" i="51"/>
  <c r="A281" i="51"/>
  <c r="B281" i="51"/>
  <c r="C281" i="51"/>
  <c r="D281" i="51"/>
  <c r="E281" i="51"/>
  <c r="F281" i="51"/>
  <c r="G281" i="51" a="1"/>
  <c r="G281" i="51" s="1"/>
  <c r="H281" i="51" a="1"/>
  <c r="H281" i="51" s="1"/>
  <c r="I281" i="51"/>
  <c r="J281" i="51"/>
  <c r="K281" i="51"/>
  <c r="L281" i="51"/>
  <c r="A282" i="51"/>
  <c r="B282" i="51"/>
  <c r="C282" i="51"/>
  <c r="D282" i="51"/>
  <c r="E282" i="51"/>
  <c r="F282" i="51"/>
  <c r="G282" i="51" a="1"/>
  <c r="G282" i="51" s="1"/>
  <c r="H282" i="51" a="1"/>
  <c r="H282" i="51" s="1"/>
  <c r="I282" i="51"/>
  <c r="J282" i="51"/>
  <c r="K282" i="51"/>
  <c r="L282" i="51"/>
  <c r="A283" i="51"/>
  <c r="B283" i="51"/>
  <c r="C283" i="51"/>
  <c r="D283" i="51"/>
  <c r="E283" i="51"/>
  <c r="F283" i="51"/>
  <c r="G283" i="51" a="1"/>
  <c r="G283" i="51" s="1"/>
  <c r="H283" i="51" a="1"/>
  <c r="H283" i="51" s="1"/>
  <c r="I283" i="51"/>
  <c r="J283" i="51"/>
  <c r="K283" i="51"/>
  <c r="L283" i="51"/>
  <c r="A284" i="51"/>
  <c r="B284" i="51"/>
  <c r="C284" i="51"/>
  <c r="D284" i="51"/>
  <c r="E284" i="51"/>
  <c r="F284" i="51"/>
  <c r="G284" i="51" a="1"/>
  <c r="G284" i="51" s="1"/>
  <c r="H284" i="51" a="1"/>
  <c r="H284" i="51" s="1"/>
  <c r="I284" i="51"/>
  <c r="J284" i="51"/>
  <c r="K284" i="51"/>
  <c r="L284" i="51"/>
  <c r="A285" i="51"/>
  <c r="B285" i="51"/>
  <c r="C285" i="51"/>
  <c r="D285" i="51"/>
  <c r="E285" i="51"/>
  <c r="F285" i="51"/>
  <c r="G285" i="51" a="1"/>
  <c r="G285" i="51" s="1"/>
  <c r="H285" i="51" a="1"/>
  <c r="H285" i="51" s="1"/>
  <c r="I285" i="51"/>
  <c r="J285" i="51"/>
  <c r="K285" i="51"/>
  <c r="L285" i="51"/>
  <c r="A286" i="51"/>
  <c r="B286" i="51"/>
  <c r="C286" i="51"/>
  <c r="D286" i="51"/>
  <c r="E286" i="51"/>
  <c r="F286" i="51"/>
  <c r="G286" i="51" a="1"/>
  <c r="G286" i="51" s="1"/>
  <c r="H286" i="51" a="1"/>
  <c r="H286" i="51" s="1"/>
  <c r="I286" i="51"/>
  <c r="J286" i="51"/>
  <c r="K286" i="51"/>
  <c r="L286" i="51"/>
  <c r="A287" i="51"/>
  <c r="B287" i="51"/>
  <c r="C287" i="51"/>
  <c r="D287" i="51"/>
  <c r="E287" i="51"/>
  <c r="F287" i="51"/>
  <c r="G287" i="51" a="1"/>
  <c r="G287" i="51" s="1"/>
  <c r="H287" i="51" a="1"/>
  <c r="H287" i="51" s="1"/>
  <c r="I287" i="51"/>
  <c r="J287" i="51"/>
  <c r="K287" i="51"/>
  <c r="L287" i="51"/>
  <c r="A288" i="51"/>
  <c r="B288" i="51"/>
  <c r="C288" i="51"/>
  <c r="D288" i="51"/>
  <c r="E288" i="51"/>
  <c r="F288" i="51"/>
  <c r="G288" i="51" a="1"/>
  <c r="G288" i="51" s="1"/>
  <c r="H288" i="51" a="1"/>
  <c r="H288" i="51" s="1"/>
  <c r="I288" i="51"/>
  <c r="J288" i="51"/>
  <c r="K288" i="51"/>
  <c r="L288" i="51"/>
  <c r="A289" i="51"/>
  <c r="B289" i="51"/>
  <c r="C289" i="51"/>
  <c r="D289" i="51"/>
  <c r="E289" i="51"/>
  <c r="F289" i="51"/>
  <c r="G289" i="51" a="1"/>
  <c r="G289" i="51" s="1"/>
  <c r="H289" i="51" a="1"/>
  <c r="H289" i="51" s="1"/>
  <c r="I289" i="51"/>
  <c r="J289" i="51"/>
  <c r="K289" i="51"/>
  <c r="L289" i="51"/>
  <c r="A290" i="51"/>
  <c r="B290" i="51"/>
  <c r="C290" i="51"/>
  <c r="D290" i="51"/>
  <c r="E290" i="51"/>
  <c r="F290" i="51"/>
  <c r="G290" i="51" a="1"/>
  <c r="G290" i="51" s="1"/>
  <c r="H290" i="51" a="1"/>
  <c r="H290" i="51" s="1"/>
  <c r="I290" i="51"/>
  <c r="J290" i="51"/>
  <c r="K290" i="51"/>
  <c r="L290" i="51"/>
  <c r="A291" i="51"/>
  <c r="B291" i="51"/>
  <c r="C291" i="51"/>
  <c r="D291" i="51"/>
  <c r="E291" i="51"/>
  <c r="F291" i="51"/>
  <c r="G291" i="51" a="1"/>
  <c r="G291" i="51"/>
  <c r="H291" i="51" a="1"/>
  <c r="H291" i="51" s="1"/>
  <c r="I291" i="51"/>
  <c r="J291" i="51"/>
  <c r="K291" i="51"/>
  <c r="L291" i="51"/>
  <c r="A292" i="51"/>
  <c r="B292" i="51"/>
  <c r="C292" i="51"/>
  <c r="D292" i="51"/>
  <c r="E292" i="51"/>
  <c r="F292" i="51"/>
  <c r="G292" i="51" a="1"/>
  <c r="G292" i="51"/>
  <c r="H292" i="51" a="1"/>
  <c r="H292" i="51" s="1"/>
  <c r="I292" i="51"/>
  <c r="J292" i="51"/>
  <c r="K292" i="51"/>
  <c r="L292" i="51"/>
  <c r="A293" i="51"/>
  <c r="B293" i="51"/>
  <c r="C293" i="51"/>
  <c r="D293" i="51"/>
  <c r="E293" i="51"/>
  <c r="F293" i="51"/>
  <c r="G293" i="51" a="1"/>
  <c r="G293" i="51" s="1"/>
  <c r="H293" i="51" a="1"/>
  <c r="H293" i="51" s="1"/>
  <c r="I293" i="51"/>
  <c r="J293" i="51"/>
  <c r="K293" i="51"/>
  <c r="L293" i="51"/>
  <c r="A294" i="51"/>
  <c r="B294" i="51"/>
  <c r="C294" i="51"/>
  <c r="D294" i="51"/>
  <c r="E294" i="51"/>
  <c r="F294" i="51"/>
  <c r="G294" i="51" a="1"/>
  <c r="G294" i="51" s="1"/>
  <c r="H294" i="51" a="1"/>
  <c r="H294" i="51" s="1"/>
  <c r="I294" i="51"/>
  <c r="J294" i="51"/>
  <c r="K294" i="51"/>
  <c r="L294" i="51"/>
  <c r="A295" i="51"/>
  <c r="B295" i="51"/>
  <c r="C295" i="51"/>
  <c r="D295" i="51"/>
  <c r="E295" i="51"/>
  <c r="F295" i="51"/>
  <c r="G295" i="51" a="1"/>
  <c r="G295" i="51" s="1"/>
  <c r="H295" i="51" a="1"/>
  <c r="H295" i="51" s="1"/>
  <c r="I295" i="51"/>
  <c r="J295" i="51"/>
  <c r="K295" i="51"/>
  <c r="L295" i="51"/>
  <c r="A296" i="51"/>
  <c r="B296" i="51"/>
  <c r="C296" i="51"/>
  <c r="D296" i="51"/>
  <c r="E296" i="51"/>
  <c r="F296" i="51"/>
  <c r="G296" i="51" a="1"/>
  <c r="G296" i="51" s="1"/>
  <c r="H296" i="51" a="1"/>
  <c r="H296" i="51" s="1"/>
  <c r="I296" i="51"/>
  <c r="J296" i="51"/>
  <c r="K296" i="51"/>
  <c r="L296" i="51"/>
  <c r="A297" i="51"/>
  <c r="B297" i="51"/>
  <c r="C297" i="51"/>
  <c r="D297" i="51"/>
  <c r="E297" i="51"/>
  <c r="F297" i="51"/>
  <c r="G297" i="51" a="1"/>
  <c r="G297" i="51" s="1"/>
  <c r="H297" i="51" a="1"/>
  <c r="H297" i="51" s="1"/>
  <c r="I297" i="51"/>
  <c r="J297" i="51"/>
  <c r="K297" i="51"/>
  <c r="L297" i="51"/>
  <c r="A298" i="51"/>
  <c r="B298" i="51"/>
  <c r="C298" i="51"/>
  <c r="D298" i="51"/>
  <c r="E298" i="51"/>
  <c r="F298" i="51"/>
  <c r="G298" i="51" a="1"/>
  <c r="G298" i="51" s="1"/>
  <c r="H298" i="51" a="1"/>
  <c r="H298" i="51" s="1"/>
  <c r="I298" i="51"/>
  <c r="J298" i="51"/>
  <c r="K298" i="51"/>
  <c r="L298" i="51"/>
  <c r="A299" i="51"/>
  <c r="B299" i="51"/>
  <c r="C299" i="51"/>
  <c r="D299" i="51"/>
  <c r="E299" i="51"/>
  <c r="F299" i="51"/>
  <c r="G299" i="51" a="1"/>
  <c r="G299" i="51" s="1"/>
  <c r="H299" i="51" a="1"/>
  <c r="H299" i="51" s="1"/>
  <c r="I299" i="51"/>
  <c r="J299" i="51"/>
  <c r="K299" i="51"/>
  <c r="L299" i="51"/>
  <c r="A300" i="51"/>
  <c r="B300" i="51"/>
  <c r="C300" i="51"/>
  <c r="D300" i="51"/>
  <c r="E300" i="51"/>
  <c r="F300" i="51"/>
  <c r="G300" i="51" a="1"/>
  <c r="G300" i="51" s="1"/>
  <c r="H300" i="51" a="1"/>
  <c r="H300" i="51" s="1"/>
  <c r="I300" i="51"/>
  <c r="J300" i="51"/>
  <c r="K300" i="51"/>
  <c r="L300" i="51"/>
  <c r="A301" i="51"/>
  <c r="B301" i="51"/>
  <c r="C301" i="51"/>
  <c r="D301" i="51"/>
  <c r="E301" i="51"/>
  <c r="F301" i="51"/>
  <c r="G301" i="51" a="1"/>
  <c r="G301" i="51" s="1"/>
  <c r="H301" i="51" a="1"/>
  <c r="H301" i="51" s="1"/>
  <c r="I301" i="51"/>
  <c r="J301" i="51"/>
  <c r="K301" i="51"/>
  <c r="L301" i="51"/>
  <c r="A302" i="51"/>
  <c r="B302" i="51"/>
  <c r="C302" i="51"/>
  <c r="D302" i="51"/>
  <c r="E302" i="51"/>
  <c r="F302" i="51"/>
  <c r="G302" i="51" a="1"/>
  <c r="G302" i="51" s="1"/>
  <c r="H302" i="51" a="1"/>
  <c r="H302" i="51" s="1"/>
  <c r="I302" i="51"/>
  <c r="J302" i="51"/>
  <c r="K302" i="51"/>
  <c r="L302" i="51"/>
  <c r="A303" i="51"/>
  <c r="B303" i="51"/>
  <c r="C303" i="51"/>
  <c r="D303" i="51"/>
  <c r="E303" i="51"/>
  <c r="F303" i="51"/>
  <c r="G303" i="51" a="1"/>
  <c r="G303" i="51" s="1"/>
  <c r="H303" i="51" a="1"/>
  <c r="H303" i="51" s="1"/>
  <c r="I303" i="51"/>
  <c r="J303" i="51"/>
  <c r="K303" i="51"/>
  <c r="L303" i="51"/>
  <c r="A304" i="51"/>
  <c r="B304" i="51"/>
  <c r="C304" i="51"/>
  <c r="D304" i="51"/>
  <c r="E304" i="51"/>
  <c r="F304" i="51"/>
  <c r="G304" i="51" a="1"/>
  <c r="G304" i="51" s="1"/>
  <c r="H304" i="51" a="1"/>
  <c r="H304" i="51" s="1"/>
  <c r="I304" i="51"/>
  <c r="J304" i="51"/>
  <c r="K304" i="51"/>
  <c r="L304" i="51"/>
  <c r="A305" i="51"/>
  <c r="B305" i="51"/>
  <c r="C305" i="51"/>
  <c r="D305" i="51"/>
  <c r="E305" i="51"/>
  <c r="F305" i="51"/>
  <c r="G305" i="51" a="1"/>
  <c r="G305" i="51" s="1"/>
  <c r="H305" i="51" a="1"/>
  <c r="H305" i="51" s="1"/>
  <c r="I305" i="51"/>
  <c r="J305" i="51"/>
  <c r="K305" i="51"/>
  <c r="L305" i="51"/>
  <c r="A306" i="51"/>
  <c r="B306" i="51"/>
  <c r="C306" i="51"/>
  <c r="D306" i="51"/>
  <c r="E306" i="51"/>
  <c r="F306" i="51"/>
  <c r="G306" i="51" a="1"/>
  <c r="G306" i="51" s="1"/>
  <c r="H306" i="51" a="1"/>
  <c r="H306" i="51" s="1"/>
  <c r="I306" i="51"/>
  <c r="J306" i="51"/>
  <c r="K306" i="51"/>
  <c r="L306" i="51"/>
  <c r="A307" i="51"/>
  <c r="B307" i="51"/>
  <c r="C307" i="51"/>
  <c r="D307" i="51"/>
  <c r="E307" i="51"/>
  <c r="F307" i="51"/>
  <c r="G307" i="51" a="1"/>
  <c r="G307" i="51" s="1"/>
  <c r="H307" i="51" a="1"/>
  <c r="H307" i="51" s="1"/>
  <c r="I307" i="51"/>
  <c r="J307" i="51"/>
  <c r="K307" i="51"/>
  <c r="L307" i="51"/>
  <c r="A308" i="51"/>
  <c r="B308" i="51"/>
  <c r="C308" i="51"/>
  <c r="D308" i="51"/>
  <c r="E308" i="51"/>
  <c r="F308" i="51"/>
  <c r="G308" i="51" a="1"/>
  <c r="G308" i="51" s="1"/>
  <c r="H308" i="51" a="1"/>
  <c r="H308" i="51" s="1"/>
  <c r="I308" i="51"/>
  <c r="J308" i="51"/>
  <c r="K308" i="51"/>
  <c r="L308" i="51"/>
  <c r="A309" i="51"/>
  <c r="B309" i="51"/>
  <c r="C309" i="51"/>
  <c r="D309" i="51"/>
  <c r="E309" i="51"/>
  <c r="F309" i="51"/>
  <c r="G309" i="51" a="1"/>
  <c r="G309" i="51" s="1"/>
  <c r="H309" i="51" a="1"/>
  <c r="H309" i="51" s="1"/>
  <c r="I309" i="51"/>
  <c r="J309" i="51"/>
  <c r="K309" i="51"/>
  <c r="L309" i="51"/>
  <c r="A310" i="51"/>
  <c r="B310" i="51"/>
  <c r="C310" i="51"/>
  <c r="D310" i="51"/>
  <c r="E310" i="51"/>
  <c r="F310" i="51"/>
  <c r="G310" i="51" a="1"/>
  <c r="G310" i="51" s="1"/>
  <c r="H310" i="51" a="1"/>
  <c r="H310" i="51" s="1"/>
  <c r="I310" i="51"/>
  <c r="J310" i="51"/>
  <c r="K310" i="51"/>
  <c r="L310" i="51"/>
  <c r="A311" i="51"/>
  <c r="B311" i="51"/>
  <c r="C311" i="51"/>
  <c r="D311" i="51"/>
  <c r="E311" i="51"/>
  <c r="F311" i="51"/>
  <c r="G311" i="51" a="1"/>
  <c r="G311" i="51" s="1"/>
  <c r="H311" i="51" a="1"/>
  <c r="H311" i="51" s="1"/>
  <c r="I311" i="51"/>
  <c r="J311" i="51"/>
  <c r="K311" i="51"/>
  <c r="L311" i="51"/>
  <c r="A312" i="51"/>
  <c r="B312" i="51"/>
  <c r="C312" i="51"/>
  <c r="D312" i="51"/>
  <c r="E312" i="51"/>
  <c r="F312" i="51"/>
  <c r="G312" i="51" a="1"/>
  <c r="G312" i="51" s="1"/>
  <c r="H312" i="51" a="1"/>
  <c r="H312" i="51" s="1"/>
  <c r="I312" i="51"/>
  <c r="J312" i="51"/>
  <c r="K312" i="51"/>
  <c r="L312" i="51"/>
  <c r="A313" i="51"/>
  <c r="B313" i="51"/>
  <c r="C313" i="51"/>
  <c r="D313" i="51"/>
  <c r="E313" i="51"/>
  <c r="F313" i="51"/>
  <c r="G313" i="51" a="1"/>
  <c r="G313" i="51" s="1"/>
  <c r="H313" i="51" a="1"/>
  <c r="H313" i="51" s="1"/>
  <c r="I313" i="51"/>
  <c r="J313" i="51"/>
  <c r="K313" i="51"/>
  <c r="L313" i="51"/>
  <c r="A314" i="51"/>
  <c r="B314" i="51"/>
  <c r="C314" i="51"/>
  <c r="D314" i="51"/>
  <c r="E314" i="51"/>
  <c r="F314" i="51"/>
  <c r="G314" i="51" a="1"/>
  <c r="G314" i="51" s="1"/>
  <c r="H314" i="51" a="1"/>
  <c r="H314" i="51"/>
  <c r="I314" i="51"/>
  <c r="J314" i="51"/>
  <c r="K314" i="51"/>
  <c r="L314" i="51"/>
  <c r="A315" i="51"/>
  <c r="B315" i="51"/>
  <c r="C315" i="51"/>
  <c r="D315" i="51"/>
  <c r="E315" i="51"/>
  <c r="F315" i="51"/>
  <c r="G315" i="51" a="1"/>
  <c r="G315" i="51"/>
  <c r="H315" i="51" a="1"/>
  <c r="H315" i="51" s="1"/>
  <c r="I315" i="51"/>
  <c r="J315" i="51"/>
  <c r="K315" i="51"/>
  <c r="L315" i="51"/>
  <c r="A316" i="51"/>
  <c r="B316" i="51"/>
  <c r="C316" i="51"/>
  <c r="D316" i="51"/>
  <c r="E316" i="51"/>
  <c r="F316" i="51"/>
  <c r="G316" i="51" a="1"/>
  <c r="G316" i="51" s="1"/>
  <c r="H316" i="51" a="1"/>
  <c r="H316" i="51" s="1"/>
  <c r="I316" i="51"/>
  <c r="J316" i="51"/>
  <c r="K316" i="51"/>
  <c r="L316" i="51"/>
  <c r="A317" i="51"/>
  <c r="B317" i="51"/>
  <c r="C317" i="51"/>
  <c r="D317" i="51"/>
  <c r="E317" i="51"/>
  <c r="F317" i="51"/>
  <c r="G317" i="51" a="1"/>
  <c r="G317" i="51" s="1"/>
  <c r="H317" i="51" a="1"/>
  <c r="H317" i="51" s="1"/>
  <c r="I317" i="51"/>
  <c r="J317" i="51"/>
  <c r="K317" i="51"/>
  <c r="L317" i="51"/>
  <c r="A318" i="51"/>
  <c r="B318" i="51"/>
  <c r="C318" i="51"/>
  <c r="D318" i="51"/>
  <c r="E318" i="51"/>
  <c r="F318" i="51"/>
  <c r="G318" i="51" a="1"/>
  <c r="G318" i="51" s="1"/>
  <c r="H318" i="51" a="1"/>
  <c r="H318" i="51" s="1"/>
  <c r="I318" i="51"/>
  <c r="J318" i="51"/>
  <c r="K318" i="51"/>
  <c r="L318" i="51"/>
  <c r="A319" i="51"/>
  <c r="B319" i="51"/>
  <c r="C319" i="51"/>
  <c r="D319" i="51"/>
  <c r="E319" i="51"/>
  <c r="F319" i="51"/>
  <c r="G319" i="51" a="1"/>
  <c r="G319" i="51" s="1"/>
  <c r="H319" i="51" a="1"/>
  <c r="H319" i="51" s="1"/>
  <c r="I319" i="51"/>
  <c r="J319" i="51"/>
  <c r="K319" i="51"/>
  <c r="L319" i="51"/>
  <c r="A320" i="51"/>
  <c r="B320" i="51"/>
  <c r="C320" i="51"/>
  <c r="D320" i="51"/>
  <c r="E320" i="51"/>
  <c r="F320" i="51"/>
  <c r="G320" i="51" a="1"/>
  <c r="G320" i="51" s="1"/>
  <c r="H320" i="51" a="1"/>
  <c r="H320" i="51" s="1"/>
  <c r="I320" i="51"/>
  <c r="J320" i="51"/>
  <c r="K320" i="51"/>
  <c r="L320" i="51"/>
  <c r="A321" i="51"/>
  <c r="B321" i="51"/>
  <c r="C321" i="51"/>
  <c r="D321" i="51"/>
  <c r="E321" i="51"/>
  <c r="F321" i="51"/>
  <c r="G321" i="51" a="1"/>
  <c r="G321" i="51" s="1"/>
  <c r="H321" i="51" a="1"/>
  <c r="H321" i="51" s="1"/>
  <c r="I321" i="51"/>
  <c r="J321" i="51"/>
  <c r="K321" i="51"/>
  <c r="L321" i="51"/>
  <c r="A322" i="51"/>
  <c r="B322" i="51"/>
  <c r="C322" i="51"/>
  <c r="D322" i="51"/>
  <c r="E322" i="51"/>
  <c r="F322" i="51"/>
  <c r="G322" i="51" a="1"/>
  <c r="G322" i="51" s="1"/>
  <c r="H322" i="51" a="1"/>
  <c r="H322" i="51" s="1"/>
  <c r="I322" i="51"/>
  <c r="J322" i="51"/>
  <c r="K322" i="51"/>
  <c r="L322" i="51"/>
  <c r="A323" i="51"/>
  <c r="B323" i="51"/>
  <c r="C323" i="51"/>
  <c r="D323" i="51"/>
  <c r="E323" i="51"/>
  <c r="F323" i="51"/>
  <c r="G323" i="51" a="1"/>
  <c r="G323" i="51" s="1"/>
  <c r="H323" i="51" a="1"/>
  <c r="H323" i="51" s="1"/>
  <c r="I323" i="51"/>
  <c r="J323" i="51"/>
  <c r="K323" i="51"/>
  <c r="L323" i="51"/>
  <c r="A324" i="51"/>
  <c r="B324" i="51"/>
  <c r="C324" i="51"/>
  <c r="D324" i="51"/>
  <c r="E324" i="51"/>
  <c r="F324" i="51"/>
  <c r="G324" i="51" a="1"/>
  <c r="G324" i="51" s="1"/>
  <c r="H324" i="51" a="1"/>
  <c r="H324" i="51" s="1"/>
  <c r="I324" i="51"/>
  <c r="J324" i="51"/>
  <c r="K324" i="51"/>
  <c r="L324" i="51"/>
  <c r="A325" i="51"/>
  <c r="B325" i="51"/>
  <c r="C325" i="51"/>
  <c r="D325" i="51"/>
  <c r="E325" i="51"/>
  <c r="F325" i="51"/>
  <c r="G325" i="51" a="1"/>
  <c r="G325" i="51" s="1"/>
  <c r="H325" i="51" a="1"/>
  <c r="H325" i="51"/>
  <c r="I325" i="51"/>
  <c r="J325" i="51"/>
  <c r="K325" i="51"/>
  <c r="L325" i="51"/>
  <c r="A326" i="51"/>
  <c r="B326" i="51"/>
  <c r="C326" i="51"/>
  <c r="D326" i="51"/>
  <c r="E326" i="51"/>
  <c r="F326" i="51"/>
  <c r="G326" i="51" a="1"/>
  <c r="G326" i="51" s="1"/>
  <c r="H326" i="51" a="1"/>
  <c r="H326" i="51" s="1"/>
  <c r="I326" i="51"/>
  <c r="J326" i="51"/>
  <c r="K326" i="51"/>
  <c r="L326" i="51"/>
  <c r="A327" i="51"/>
  <c r="B327" i="51"/>
  <c r="C327" i="51"/>
  <c r="D327" i="51"/>
  <c r="E327" i="51"/>
  <c r="F327" i="51"/>
  <c r="G327" i="51" a="1"/>
  <c r="G327" i="51" s="1"/>
  <c r="H327" i="51" a="1"/>
  <c r="H327" i="51" s="1"/>
  <c r="I327" i="51"/>
  <c r="J327" i="51"/>
  <c r="K327" i="51"/>
  <c r="L327" i="51"/>
  <c r="A328" i="51"/>
  <c r="B328" i="51"/>
  <c r="C328" i="51"/>
  <c r="D328" i="51"/>
  <c r="E328" i="51"/>
  <c r="F328" i="51"/>
  <c r="G328" i="51" a="1"/>
  <c r="G328" i="51" s="1"/>
  <c r="H328" i="51" a="1"/>
  <c r="H328" i="51" s="1"/>
  <c r="I328" i="51"/>
  <c r="J328" i="51"/>
  <c r="K328" i="51"/>
  <c r="L328" i="51"/>
  <c r="A329" i="51"/>
  <c r="B329" i="51"/>
  <c r="C329" i="51"/>
  <c r="D329" i="51"/>
  <c r="E329" i="51"/>
  <c r="F329" i="51"/>
  <c r="G329" i="51" a="1"/>
  <c r="G329" i="51" s="1"/>
  <c r="H329" i="51" a="1"/>
  <c r="H329" i="51" s="1"/>
  <c r="I329" i="51"/>
  <c r="J329" i="51"/>
  <c r="K329" i="51"/>
  <c r="L329" i="51"/>
  <c r="A330" i="51"/>
  <c r="B330" i="51"/>
  <c r="C330" i="51"/>
  <c r="D330" i="51"/>
  <c r="E330" i="51"/>
  <c r="F330" i="51"/>
  <c r="G330" i="51" a="1"/>
  <c r="G330" i="51" s="1"/>
  <c r="H330" i="51" a="1"/>
  <c r="H330" i="51" s="1"/>
  <c r="I330" i="51"/>
  <c r="J330" i="51"/>
  <c r="K330" i="51"/>
  <c r="L330" i="51"/>
  <c r="A331" i="51"/>
  <c r="B331" i="51"/>
  <c r="C331" i="51"/>
  <c r="D331" i="51"/>
  <c r="E331" i="51"/>
  <c r="F331" i="51"/>
  <c r="G331" i="51" a="1"/>
  <c r="G331" i="51" s="1"/>
  <c r="H331" i="51" a="1"/>
  <c r="H331" i="51" s="1"/>
  <c r="I331" i="51"/>
  <c r="J331" i="51"/>
  <c r="K331" i="51"/>
  <c r="L331" i="51"/>
  <c r="A332" i="51"/>
  <c r="B332" i="51"/>
  <c r="C332" i="51"/>
  <c r="D332" i="51"/>
  <c r="E332" i="51"/>
  <c r="F332" i="51"/>
  <c r="G332" i="51" a="1"/>
  <c r="G332" i="51" s="1"/>
  <c r="H332" i="51" a="1"/>
  <c r="H332" i="51" s="1"/>
  <c r="I332" i="51"/>
  <c r="J332" i="51"/>
  <c r="K332" i="51"/>
  <c r="L332" i="51"/>
  <c r="A333" i="51"/>
  <c r="B333" i="51"/>
  <c r="C333" i="51"/>
  <c r="D333" i="51"/>
  <c r="E333" i="51"/>
  <c r="F333" i="51"/>
  <c r="G333" i="51" a="1"/>
  <c r="G333" i="51" s="1"/>
  <c r="H333" i="51" a="1"/>
  <c r="H333" i="51" s="1"/>
  <c r="I333" i="51"/>
  <c r="J333" i="51"/>
  <c r="K333" i="51"/>
  <c r="L333" i="51"/>
  <c r="A334" i="51"/>
  <c r="B334" i="51"/>
  <c r="C334" i="51"/>
  <c r="D334" i="51"/>
  <c r="E334" i="51"/>
  <c r="F334" i="51"/>
  <c r="G334" i="51" a="1"/>
  <c r="G334" i="51" s="1"/>
  <c r="H334" i="51" a="1"/>
  <c r="H334" i="51" s="1"/>
  <c r="I334" i="51"/>
  <c r="J334" i="51"/>
  <c r="K334" i="51"/>
  <c r="L334" i="51"/>
  <c r="A335" i="51"/>
  <c r="B335" i="51"/>
  <c r="C335" i="51"/>
  <c r="D335" i="51"/>
  <c r="E335" i="51"/>
  <c r="F335" i="51"/>
  <c r="G335" i="51" a="1"/>
  <c r="G335" i="51" s="1"/>
  <c r="H335" i="51" a="1"/>
  <c r="H335" i="51" s="1"/>
  <c r="I335" i="51"/>
  <c r="J335" i="51"/>
  <c r="K335" i="51"/>
  <c r="L335" i="51"/>
  <c r="A336" i="51"/>
  <c r="B336" i="51"/>
  <c r="C336" i="51"/>
  <c r="D336" i="51"/>
  <c r="E336" i="51"/>
  <c r="F336" i="51"/>
  <c r="G336" i="51" a="1"/>
  <c r="G336" i="51" s="1"/>
  <c r="H336" i="51" a="1"/>
  <c r="H336" i="51" s="1"/>
  <c r="I336" i="51"/>
  <c r="J336" i="51"/>
  <c r="K336" i="51"/>
  <c r="L336" i="51"/>
  <c r="A337" i="51"/>
  <c r="B337" i="51"/>
  <c r="C337" i="51"/>
  <c r="D337" i="51"/>
  <c r="E337" i="51"/>
  <c r="F337" i="51"/>
  <c r="G337" i="51" a="1"/>
  <c r="G337" i="51" s="1"/>
  <c r="H337" i="51" a="1"/>
  <c r="H337" i="51" s="1"/>
  <c r="I337" i="51"/>
  <c r="J337" i="51"/>
  <c r="K337" i="51"/>
  <c r="L337" i="51"/>
  <c r="A338" i="51"/>
  <c r="B338" i="51"/>
  <c r="C338" i="51"/>
  <c r="D338" i="51"/>
  <c r="E338" i="51"/>
  <c r="F338" i="51"/>
  <c r="G338" i="51" a="1"/>
  <c r="G338" i="51" s="1"/>
  <c r="H338" i="51" a="1"/>
  <c r="H338" i="51" s="1"/>
  <c r="I338" i="51"/>
  <c r="J338" i="51"/>
  <c r="K338" i="51"/>
  <c r="L338" i="51"/>
  <c r="A339" i="51"/>
  <c r="B339" i="51"/>
  <c r="C339" i="51"/>
  <c r="D339" i="51"/>
  <c r="E339" i="51"/>
  <c r="F339" i="51"/>
  <c r="G339" i="51" a="1"/>
  <c r="G339" i="51" s="1"/>
  <c r="H339" i="51" a="1"/>
  <c r="H339" i="51" s="1"/>
  <c r="I339" i="51"/>
  <c r="J339" i="51"/>
  <c r="K339" i="51"/>
  <c r="L339" i="51"/>
  <c r="A340" i="51"/>
  <c r="B340" i="51"/>
  <c r="C340" i="51"/>
  <c r="D340" i="51"/>
  <c r="E340" i="51"/>
  <c r="F340" i="51"/>
  <c r="G340" i="51" a="1"/>
  <c r="G340" i="51" s="1"/>
  <c r="H340" i="51" a="1"/>
  <c r="H340" i="51" s="1"/>
  <c r="I340" i="51"/>
  <c r="J340" i="51"/>
  <c r="K340" i="51"/>
  <c r="L340" i="51"/>
  <c r="A341" i="51"/>
  <c r="B341" i="51"/>
  <c r="C341" i="51"/>
  <c r="D341" i="51"/>
  <c r="E341" i="51"/>
  <c r="F341" i="51"/>
  <c r="G341" i="51" a="1"/>
  <c r="G341" i="51" s="1"/>
  <c r="H341" i="51" a="1"/>
  <c r="H341" i="51" s="1"/>
  <c r="I341" i="51"/>
  <c r="J341" i="51"/>
  <c r="K341" i="51"/>
  <c r="L341" i="51"/>
  <c r="A342" i="51"/>
  <c r="B342" i="51"/>
  <c r="C342" i="51"/>
  <c r="D342" i="51"/>
  <c r="E342" i="51"/>
  <c r="F342" i="51"/>
  <c r="G342" i="51" a="1"/>
  <c r="G342" i="51" s="1"/>
  <c r="H342" i="51" a="1"/>
  <c r="H342" i="51"/>
  <c r="I342" i="51"/>
  <c r="J342" i="51"/>
  <c r="K342" i="51"/>
  <c r="L342" i="51"/>
  <c r="A343" i="51"/>
  <c r="B343" i="51"/>
  <c r="C343" i="51"/>
  <c r="D343" i="51"/>
  <c r="E343" i="51"/>
  <c r="F343" i="51"/>
  <c r="G343" i="51" a="1"/>
  <c r="G343" i="51"/>
  <c r="H343" i="51" a="1"/>
  <c r="H343" i="51" s="1"/>
  <c r="I343" i="51"/>
  <c r="J343" i="51"/>
  <c r="K343" i="51"/>
  <c r="L343" i="51"/>
  <c r="A344" i="51"/>
  <c r="B344" i="51"/>
  <c r="C344" i="51"/>
  <c r="D344" i="51"/>
  <c r="E344" i="51"/>
  <c r="F344" i="51"/>
  <c r="G344" i="51" a="1"/>
  <c r="G344" i="51" s="1"/>
  <c r="H344" i="51" a="1"/>
  <c r="H344" i="51" s="1"/>
  <c r="I344" i="51"/>
  <c r="J344" i="51"/>
  <c r="K344" i="51"/>
  <c r="L344" i="51"/>
  <c r="A345" i="51"/>
  <c r="B345" i="51"/>
  <c r="C345" i="51"/>
  <c r="D345" i="51"/>
  <c r="E345" i="51"/>
  <c r="F345" i="51"/>
  <c r="G345" i="51" a="1"/>
  <c r="G345" i="51" s="1"/>
  <c r="H345" i="51" a="1"/>
  <c r="H345" i="51" s="1"/>
  <c r="I345" i="51"/>
  <c r="J345" i="51"/>
  <c r="K345" i="51"/>
  <c r="L345" i="51"/>
  <c r="A346" i="51"/>
  <c r="B346" i="51"/>
  <c r="C346" i="51"/>
  <c r="D346" i="51"/>
  <c r="E346" i="51"/>
  <c r="F346" i="51"/>
  <c r="G346" i="51" a="1"/>
  <c r="G346" i="51" s="1"/>
  <c r="H346" i="51" a="1"/>
  <c r="H346" i="51" s="1"/>
  <c r="I346" i="51"/>
  <c r="J346" i="51"/>
  <c r="K346" i="51"/>
  <c r="L346" i="51"/>
  <c r="A347" i="51"/>
  <c r="B347" i="51"/>
  <c r="C347" i="51"/>
  <c r="D347" i="51"/>
  <c r="E347" i="51"/>
  <c r="F347" i="51"/>
  <c r="G347" i="51" a="1"/>
  <c r="G347" i="51" s="1"/>
  <c r="H347" i="51" a="1"/>
  <c r="H347" i="51" s="1"/>
  <c r="I347" i="51"/>
  <c r="J347" i="51"/>
  <c r="K347" i="51"/>
  <c r="L347" i="51"/>
  <c r="A348" i="51"/>
  <c r="B348" i="51"/>
  <c r="C348" i="51"/>
  <c r="D348" i="51"/>
  <c r="E348" i="51"/>
  <c r="F348" i="51"/>
  <c r="G348" i="51" a="1"/>
  <c r="G348" i="51" s="1"/>
  <c r="H348" i="51" a="1"/>
  <c r="H348" i="51" s="1"/>
  <c r="I348" i="51"/>
  <c r="J348" i="51"/>
  <c r="K348" i="51"/>
  <c r="L348" i="51"/>
  <c r="A349" i="51"/>
  <c r="B349" i="51"/>
  <c r="C349" i="51"/>
  <c r="D349" i="51"/>
  <c r="E349" i="51"/>
  <c r="F349" i="51"/>
  <c r="G349" i="51" a="1"/>
  <c r="G349" i="51"/>
  <c r="H349" i="51" a="1"/>
  <c r="H349" i="51" s="1"/>
  <c r="I349" i="51"/>
  <c r="J349" i="51"/>
  <c r="K349" i="51"/>
  <c r="L349" i="51"/>
  <c r="A350" i="51"/>
  <c r="B350" i="51"/>
  <c r="C350" i="51"/>
  <c r="D350" i="51"/>
  <c r="E350" i="51"/>
  <c r="F350" i="51"/>
  <c r="G350" i="51" a="1"/>
  <c r="G350" i="51" s="1"/>
  <c r="H350" i="51" a="1"/>
  <c r="H350" i="51" s="1"/>
  <c r="I350" i="51"/>
  <c r="J350" i="51"/>
  <c r="K350" i="51"/>
  <c r="L350" i="51"/>
  <c r="A351" i="51"/>
  <c r="B351" i="51"/>
  <c r="C351" i="51"/>
  <c r="D351" i="51"/>
  <c r="E351" i="51"/>
  <c r="F351" i="51"/>
  <c r="G351" i="51" a="1"/>
  <c r="G351" i="51" s="1"/>
  <c r="H351" i="51" a="1"/>
  <c r="H351" i="51" s="1"/>
  <c r="I351" i="51"/>
  <c r="J351" i="51"/>
  <c r="K351" i="51"/>
  <c r="L351" i="51"/>
  <c r="A352" i="51"/>
  <c r="B352" i="51"/>
  <c r="C352" i="51"/>
  <c r="D352" i="51"/>
  <c r="E352" i="51"/>
  <c r="F352" i="51"/>
  <c r="G352" i="51" a="1"/>
  <c r="G352" i="51" s="1"/>
  <c r="H352" i="51" a="1"/>
  <c r="H352" i="51" s="1"/>
  <c r="I352" i="51"/>
  <c r="J352" i="51"/>
  <c r="K352" i="51"/>
  <c r="L352" i="51"/>
  <c r="A353" i="51"/>
  <c r="B353" i="51"/>
  <c r="C353" i="51"/>
  <c r="D353" i="51"/>
  <c r="E353" i="51"/>
  <c r="F353" i="51"/>
  <c r="G353" i="51" a="1"/>
  <c r="G353" i="51" s="1"/>
  <c r="H353" i="51" a="1"/>
  <c r="H353" i="51" s="1"/>
  <c r="I353" i="51"/>
  <c r="J353" i="51"/>
  <c r="K353" i="51"/>
  <c r="L353" i="51"/>
  <c r="A354" i="51"/>
  <c r="B354" i="51"/>
  <c r="C354" i="51"/>
  <c r="D354" i="51"/>
  <c r="E354" i="51"/>
  <c r="F354" i="51"/>
  <c r="G354" i="51" a="1"/>
  <c r="G354" i="51" s="1"/>
  <c r="H354" i="51" a="1"/>
  <c r="H354" i="51"/>
  <c r="I354" i="51"/>
  <c r="J354" i="51"/>
  <c r="K354" i="51"/>
  <c r="L354" i="51"/>
  <c r="A355" i="51"/>
  <c r="B355" i="51"/>
  <c r="C355" i="51"/>
  <c r="D355" i="51"/>
  <c r="E355" i="51"/>
  <c r="F355" i="51"/>
  <c r="G355" i="51" a="1"/>
  <c r="G355" i="51"/>
  <c r="H355" i="51" a="1"/>
  <c r="H355" i="51" s="1"/>
  <c r="I355" i="51"/>
  <c r="J355" i="51"/>
  <c r="K355" i="51"/>
  <c r="L355" i="51"/>
  <c r="A356" i="51"/>
  <c r="B356" i="51"/>
  <c r="C356" i="51"/>
  <c r="D356" i="51"/>
  <c r="E356" i="51"/>
  <c r="F356" i="51"/>
  <c r="G356" i="51" a="1"/>
  <c r="G356" i="51" s="1"/>
  <c r="H356" i="51" a="1"/>
  <c r="H356" i="51" s="1"/>
  <c r="I356" i="51"/>
  <c r="J356" i="51"/>
  <c r="K356" i="51"/>
  <c r="L356" i="51"/>
  <c r="A357" i="51"/>
  <c r="B357" i="51"/>
  <c r="C357" i="51"/>
  <c r="D357" i="51"/>
  <c r="E357" i="51"/>
  <c r="F357" i="51"/>
  <c r="G357" i="51" a="1"/>
  <c r="G357" i="51" s="1"/>
  <c r="H357" i="51" a="1"/>
  <c r="H357" i="51" s="1"/>
  <c r="I357" i="51"/>
  <c r="J357" i="51"/>
  <c r="K357" i="51"/>
  <c r="L357" i="51"/>
  <c r="A358" i="51"/>
  <c r="B358" i="51"/>
  <c r="C358" i="51"/>
  <c r="D358" i="51"/>
  <c r="E358" i="51"/>
  <c r="F358" i="51"/>
  <c r="G358" i="51" a="1"/>
  <c r="G358" i="51" s="1"/>
  <c r="H358" i="51" a="1"/>
  <c r="H358" i="51" s="1"/>
  <c r="I358" i="51"/>
  <c r="J358" i="51"/>
  <c r="K358" i="51"/>
  <c r="L358" i="51"/>
  <c r="A359" i="51"/>
  <c r="B359" i="51"/>
  <c r="C359" i="51"/>
  <c r="D359" i="51"/>
  <c r="E359" i="51"/>
  <c r="F359" i="51"/>
  <c r="G359" i="51" a="1"/>
  <c r="G359" i="51" s="1"/>
  <c r="H359" i="51" a="1"/>
  <c r="H359" i="51" s="1"/>
  <c r="I359" i="51"/>
  <c r="J359" i="51"/>
  <c r="K359" i="51"/>
  <c r="L359" i="51"/>
  <c r="A360" i="51"/>
  <c r="B360" i="51"/>
  <c r="C360" i="51"/>
  <c r="D360" i="51"/>
  <c r="E360" i="51"/>
  <c r="F360" i="51"/>
  <c r="G360" i="51" a="1"/>
  <c r="G360" i="51" s="1"/>
  <c r="H360" i="51" a="1"/>
  <c r="H360" i="51" s="1"/>
  <c r="I360" i="51"/>
  <c r="J360" i="51"/>
  <c r="K360" i="51"/>
  <c r="L360" i="51"/>
  <c r="A361" i="51"/>
  <c r="B361" i="51"/>
  <c r="C361" i="51"/>
  <c r="D361" i="51"/>
  <c r="E361" i="51"/>
  <c r="F361" i="51"/>
  <c r="G361" i="51" a="1"/>
  <c r="G361" i="51" s="1"/>
  <c r="H361" i="51" a="1"/>
  <c r="H361" i="51" s="1"/>
  <c r="I361" i="51"/>
  <c r="J361" i="51"/>
  <c r="K361" i="51"/>
  <c r="L361" i="51"/>
  <c r="A362" i="51"/>
  <c r="B362" i="51"/>
  <c r="C362" i="51"/>
  <c r="D362" i="51"/>
  <c r="E362" i="51"/>
  <c r="F362" i="51"/>
  <c r="G362" i="51" a="1"/>
  <c r="G362" i="51" s="1"/>
  <c r="H362" i="51" a="1"/>
  <c r="H362" i="51" s="1"/>
  <c r="I362" i="51"/>
  <c r="J362" i="51"/>
  <c r="K362" i="51"/>
  <c r="L362" i="51"/>
  <c r="A363" i="51"/>
  <c r="B363" i="51"/>
  <c r="C363" i="51"/>
  <c r="D363" i="51"/>
  <c r="E363" i="51"/>
  <c r="F363" i="51"/>
  <c r="G363" i="51" a="1"/>
  <c r="G363" i="51" s="1"/>
  <c r="H363" i="51" a="1"/>
  <c r="H363" i="51" s="1"/>
  <c r="I363" i="51"/>
  <c r="J363" i="51"/>
  <c r="K363" i="51"/>
  <c r="L363" i="51"/>
  <c r="A364" i="51"/>
  <c r="B364" i="51"/>
  <c r="C364" i="51"/>
  <c r="D364" i="51"/>
  <c r="E364" i="51"/>
  <c r="F364" i="51"/>
  <c r="G364" i="51" a="1"/>
  <c r="G364" i="51" s="1"/>
  <c r="H364" i="51" a="1"/>
  <c r="H364" i="51" s="1"/>
  <c r="I364" i="51"/>
  <c r="J364" i="51"/>
  <c r="K364" i="51"/>
  <c r="L364" i="51"/>
  <c r="A365" i="51"/>
  <c r="B365" i="51"/>
  <c r="C365" i="51"/>
  <c r="D365" i="51"/>
  <c r="E365" i="51"/>
  <c r="F365" i="51"/>
  <c r="G365" i="51" a="1"/>
  <c r="G365" i="51" s="1"/>
  <c r="H365" i="51" a="1"/>
  <c r="H365" i="51" s="1"/>
  <c r="I365" i="51"/>
  <c r="J365" i="51"/>
  <c r="K365" i="51"/>
  <c r="L365" i="51"/>
  <c r="A366" i="51"/>
  <c r="B366" i="51"/>
  <c r="C366" i="51"/>
  <c r="D366" i="51"/>
  <c r="E366" i="51"/>
  <c r="F366" i="51"/>
  <c r="G366" i="51" a="1"/>
  <c r="G366" i="51" s="1"/>
  <c r="H366" i="51" a="1"/>
  <c r="H366" i="51"/>
  <c r="I366" i="51"/>
  <c r="J366" i="51"/>
  <c r="K366" i="51"/>
  <c r="L366" i="51"/>
  <c r="A367" i="51"/>
  <c r="B367" i="51"/>
  <c r="C367" i="51"/>
  <c r="D367" i="51"/>
  <c r="E367" i="51"/>
  <c r="F367" i="51"/>
  <c r="G367" i="51" a="1"/>
  <c r="G367" i="51" s="1"/>
  <c r="H367" i="51" a="1"/>
  <c r="H367" i="51" s="1"/>
  <c r="I367" i="51"/>
  <c r="J367" i="51"/>
  <c r="K367" i="51"/>
  <c r="L367" i="51"/>
  <c r="A368" i="51"/>
  <c r="B368" i="51"/>
  <c r="C368" i="51"/>
  <c r="D368" i="51"/>
  <c r="E368" i="51"/>
  <c r="F368" i="51"/>
  <c r="G368" i="51" a="1"/>
  <c r="G368" i="51" s="1"/>
  <c r="H368" i="51" a="1"/>
  <c r="H368" i="51" s="1"/>
  <c r="I368" i="51"/>
  <c r="J368" i="51"/>
  <c r="K368" i="51"/>
  <c r="L368" i="51"/>
  <c r="A369" i="51"/>
  <c r="B369" i="51"/>
  <c r="C369" i="51"/>
  <c r="D369" i="51"/>
  <c r="E369" i="51"/>
  <c r="F369" i="51"/>
  <c r="G369" i="51" a="1"/>
  <c r="G369" i="51" s="1"/>
  <c r="H369" i="51" a="1"/>
  <c r="H369" i="51" s="1"/>
  <c r="I369" i="51"/>
  <c r="J369" i="51"/>
  <c r="K369" i="51"/>
  <c r="L369" i="51"/>
  <c r="A370" i="51"/>
  <c r="B370" i="51"/>
  <c r="C370" i="51"/>
  <c r="D370" i="51"/>
  <c r="E370" i="51"/>
  <c r="F370" i="51"/>
  <c r="G370" i="51" a="1"/>
  <c r="G370" i="51" s="1"/>
  <c r="H370" i="51" a="1"/>
  <c r="H370" i="51" s="1"/>
  <c r="I370" i="51"/>
  <c r="J370" i="51"/>
  <c r="K370" i="51"/>
  <c r="L370" i="51"/>
  <c r="A371" i="51"/>
  <c r="B371" i="51"/>
  <c r="C371" i="51"/>
  <c r="D371" i="51"/>
  <c r="E371" i="51"/>
  <c r="F371" i="51"/>
  <c r="G371" i="51" a="1"/>
  <c r="G371" i="51" s="1"/>
  <c r="H371" i="51" a="1"/>
  <c r="H371" i="51" s="1"/>
  <c r="I371" i="51"/>
  <c r="J371" i="51"/>
  <c r="K371" i="51"/>
  <c r="L371" i="51"/>
  <c r="A372" i="51"/>
  <c r="B372" i="51"/>
  <c r="C372" i="51"/>
  <c r="D372" i="51"/>
  <c r="E372" i="51"/>
  <c r="F372" i="51"/>
  <c r="G372" i="51" a="1"/>
  <c r="G372" i="51" s="1"/>
  <c r="H372" i="51" a="1"/>
  <c r="H372" i="51" s="1"/>
  <c r="I372" i="51"/>
  <c r="J372" i="51"/>
  <c r="K372" i="51"/>
  <c r="L372" i="51"/>
  <c r="A373" i="51"/>
  <c r="B373" i="51"/>
  <c r="C373" i="51"/>
  <c r="D373" i="51"/>
  <c r="E373" i="51"/>
  <c r="F373" i="51"/>
  <c r="G373" i="51" a="1"/>
  <c r="G373" i="51" s="1"/>
  <c r="H373" i="51" a="1"/>
  <c r="H373" i="51" s="1"/>
  <c r="I373" i="51"/>
  <c r="J373" i="51"/>
  <c r="K373" i="51"/>
  <c r="L373" i="51"/>
  <c r="A374" i="51"/>
  <c r="B374" i="51"/>
  <c r="C374" i="51"/>
  <c r="D374" i="51"/>
  <c r="E374" i="51"/>
  <c r="F374" i="51"/>
  <c r="G374" i="51" a="1"/>
  <c r="G374" i="51" s="1"/>
  <c r="H374" i="51" a="1"/>
  <c r="H374" i="51" s="1"/>
  <c r="I374" i="51"/>
  <c r="J374" i="51"/>
  <c r="K374" i="51"/>
  <c r="L374" i="51"/>
  <c r="A375" i="51"/>
  <c r="B375" i="51"/>
  <c r="C375" i="51"/>
  <c r="D375" i="51"/>
  <c r="E375" i="51"/>
  <c r="F375" i="51"/>
  <c r="G375" i="51" a="1"/>
  <c r="G375" i="51" s="1"/>
  <c r="H375" i="51" a="1"/>
  <c r="H375" i="51" s="1"/>
  <c r="I375" i="51"/>
  <c r="J375" i="51"/>
  <c r="K375" i="51"/>
  <c r="L375" i="51"/>
  <c r="A376" i="51"/>
  <c r="B376" i="51"/>
  <c r="C376" i="51"/>
  <c r="D376" i="51"/>
  <c r="E376" i="51"/>
  <c r="F376" i="51"/>
  <c r="G376" i="51" a="1"/>
  <c r="G376" i="51" s="1"/>
  <c r="H376" i="51" a="1"/>
  <c r="H376" i="51" s="1"/>
  <c r="I376" i="51"/>
  <c r="J376" i="51"/>
  <c r="K376" i="51"/>
  <c r="L376" i="51"/>
  <c r="A377" i="51"/>
  <c r="B377" i="51"/>
  <c r="C377" i="51"/>
  <c r="D377" i="51"/>
  <c r="E377" i="51"/>
  <c r="F377" i="51"/>
  <c r="G377" i="51" a="1"/>
  <c r="G377" i="51" s="1"/>
  <c r="H377" i="51" a="1"/>
  <c r="H377" i="51" s="1"/>
  <c r="I377" i="51"/>
  <c r="J377" i="51"/>
  <c r="K377" i="51"/>
  <c r="L377" i="51"/>
  <c r="A378" i="51"/>
  <c r="B378" i="51"/>
  <c r="C378" i="51"/>
  <c r="D378" i="51"/>
  <c r="E378" i="51"/>
  <c r="F378" i="51"/>
  <c r="G378" i="51" a="1"/>
  <c r="G378" i="51" s="1"/>
  <c r="H378" i="51" a="1"/>
  <c r="H378" i="51" s="1"/>
  <c r="I378" i="51"/>
  <c r="J378" i="51"/>
  <c r="K378" i="51"/>
  <c r="L378" i="51"/>
  <c r="A379" i="51"/>
  <c r="B379" i="51"/>
  <c r="C379" i="51"/>
  <c r="D379" i="51"/>
  <c r="E379" i="51"/>
  <c r="F379" i="51"/>
  <c r="G379" i="51" a="1"/>
  <c r="G379" i="51"/>
  <c r="H379" i="51" a="1"/>
  <c r="H379" i="51" s="1"/>
  <c r="I379" i="51"/>
  <c r="J379" i="51"/>
  <c r="K379" i="51"/>
  <c r="L379" i="51"/>
  <c r="A380" i="51"/>
  <c r="B380" i="51"/>
  <c r="C380" i="51"/>
  <c r="D380" i="51"/>
  <c r="E380" i="51"/>
  <c r="F380" i="51"/>
  <c r="G380" i="51" a="1"/>
  <c r="G380" i="51" s="1"/>
  <c r="H380" i="51" a="1"/>
  <c r="H380" i="51" s="1"/>
  <c r="I380" i="51"/>
  <c r="J380" i="51"/>
  <c r="K380" i="51"/>
  <c r="L380" i="51"/>
  <c r="A381" i="51"/>
  <c r="B381" i="51"/>
  <c r="C381" i="51"/>
  <c r="D381" i="51"/>
  <c r="E381" i="51"/>
  <c r="F381" i="51"/>
  <c r="G381" i="51" a="1"/>
  <c r="G381" i="51" s="1"/>
  <c r="H381" i="51" a="1"/>
  <c r="H381" i="51" s="1"/>
  <c r="I381" i="51"/>
  <c r="J381" i="51"/>
  <c r="K381" i="51"/>
  <c r="L381" i="51"/>
  <c r="A382" i="51"/>
  <c r="B382" i="51"/>
  <c r="C382" i="51"/>
  <c r="D382" i="51"/>
  <c r="E382" i="51"/>
  <c r="F382" i="51"/>
  <c r="G382" i="51" a="1"/>
  <c r="G382" i="51" s="1"/>
  <c r="H382" i="51" a="1"/>
  <c r="H382" i="51" s="1"/>
  <c r="I382" i="51"/>
  <c r="J382" i="51"/>
  <c r="K382" i="51"/>
  <c r="L382" i="51"/>
  <c r="A383" i="51"/>
  <c r="B383" i="51"/>
  <c r="C383" i="51"/>
  <c r="D383" i="51"/>
  <c r="E383" i="51"/>
  <c r="F383" i="51"/>
  <c r="G383" i="51" a="1"/>
  <c r="G383" i="51" s="1"/>
  <c r="H383" i="51" a="1"/>
  <c r="H383" i="51" s="1"/>
  <c r="I383" i="51"/>
  <c r="J383" i="51"/>
  <c r="K383" i="51"/>
  <c r="L383" i="51"/>
  <c r="A384" i="51"/>
  <c r="B384" i="51"/>
  <c r="C384" i="51"/>
  <c r="D384" i="51"/>
  <c r="E384" i="51"/>
  <c r="F384" i="51"/>
  <c r="G384" i="51" a="1"/>
  <c r="G384" i="51" s="1"/>
  <c r="H384" i="51" a="1"/>
  <c r="H384" i="51" s="1"/>
  <c r="I384" i="51"/>
  <c r="J384" i="51"/>
  <c r="K384" i="51"/>
  <c r="L384" i="51"/>
  <c r="A385" i="51"/>
  <c r="B385" i="51"/>
  <c r="C385" i="51"/>
  <c r="D385" i="51"/>
  <c r="E385" i="51"/>
  <c r="F385" i="51"/>
  <c r="G385" i="51" a="1"/>
  <c r="G385" i="51" s="1"/>
  <c r="H385" i="51" a="1"/>
  <c r="H385" i="51" s="1"/>
  <c r="I385" i="51"/>
  <c r="J385" i="51"/>
  <c r="K385" i="51"/>
  <c r="L385" i="51"/>
  <c r="A386" i="51"/>
  <c r="B386" i="51"/>
  <c r="C386" i="51"/>
  <c r="D386" i="51"/>
  <c r="E386" i="51"/>
  <c r="F386" i="51"/>
  <c r="G386" i="51" a="1"/>
  <c r="G386" i="51" s="1"/>
  <c r="H386" i="51" a="1"/>
  <c r="H386" i="51" s="1"/>
  <c r="I386" i="51"/>
  <c r="J386" i="51"/>
  <c r="K386" i="51"/>
  <c r="L386" i="51"/>
  <c r="A387" i="51"/>
  <c r="B387" i="51"/>
  <c r="C387" i="51"/>
  <c r="D387" i="51"/>
  <c r="E387" i="51"/>
  <c r="F387" i="51"/>
  <c r="G387" i="51" a="1"/>
  <c r="G387" i="51" s="1"/>
  <c r="H387" i="51" a="1"/>
  <c r="H387" i="51" s="1"/>
  <c r="I387" i="51"/>
  <c r="J387" i="51"/>
  <c r="K387" i="51"/>
  <c r="L387" i="51"/>
  <c r="A388" i="51"/>
  <c r="B388" i="51"/>
  <c r="C388" i="51"/>
  <c r="D388" i="51"/>
  <c r="E388" i="51"/>
  <c r="F388" i="51"/>
  <c r="G388" i="51" a="1"/>
  <c r="G388" i="51" s="1"/>
  <c r="H388" i="51" a="1"/>
  <c r="H388" i="51" s="1"/>
  <c r="I388" i="51"/>
  <c r="J388" i="51"/>
  <c r="K388" i="51"/>
  <c r="L388" i="51"/>
  <c r="A389" i="51"/>
  <c r="B389" i="51"/>
  <c r="C389" i="51"/>
  <c r="D389" i="51"/>
  <c r="E389" i="51"/>
  <c r="F389" i="51"/>
  <c r="G389" i="51" a="1"/>
  <c r="G389" i="51" s="1"/>
  <c r="H389" i="51" a="1"/>
  <c r="H389" i="51" s="1"/>
  <c r="I389" i="51"/>
  <c r="J389" i="51"/>
  <c r="K389" i="51"/>
  <c r="L389" i="51"/>
  <c r="A390" i="51"/>
  <c r="B390" i="51"/>
  <c r="C390" i="51"/>
  <c r="D390" i="51"/>
  <c r="E390" i="51"/>
  <c r="F390" i="51"/>
  <c r="G390" i="51" a="1"/>
  <c r="G390" i="51" s="1"/>
  <c r="H390" i="51" a="1"/>
  <c r="H390" i="51" s="1"/>
  <c r="I390" i="51"/>
  <c r="J390" i="51"/>
  <c r="K390" i="51"/>
  <c r="L390" i="51"/>
  <c r="A391" i="51"/>
  <c r="B391" i="51"/>
  <c r="C391" i="51"/>
  <c r="D391" i="51"/>
  <c r="E391" i="51"/>
  <c r="F391" i="51"/>
  <c r="G391" i="51" a="1"/>
  <c r="G391" i="51" s="1"/>
  <c r="H391" i="51" a="1"/>
  <c r="H391" i="51" s="1"/>
  <c r="I391" i="51"/>
  <c r="J391" i="51"/>
  <c r="K391" i="51"/>
  <c r="L391" i="51"/>
  <c r="A392" i="51"/>
  <c r="B392" i="51"/>
  <c r="C392" i="51"/>
  <c r="D392" i="51"/>
  <c r="E392" i="51"/>
  <c r="F392" i="51"/>
  <c r="G392" i="51" a="1"/>
  <c r="G392" i="51" s="1"/>
  <c r="H392" i="51" a="1"/>
  <c r="H392" i="51" s="1"/>
  <c r="I392" i="51"/>
  <c r="J392" i="51"/>
  <c r="K392" i="51"/>
  <c r="L392" i="51"/>
  <c r="A393" i="51"/>
  <c r="B393" i="51"/>
  <c r="C393" i="51"/>
  <c r="D393" i="51"/>
  <c r="E393" i="51"/>
  <c r="F393" i="51"/>
  <c r="G393" i="51" a="1"/>
  <c r="G393" i="51" s="1"/>
  <c r="H393" i="51" a="1"/>
  <c r="H393" i="51" s="1"/>
  <c r="I393" i="51"/>
  <c r="J393" i="51"/>
  <c r="K393" i="51"/>
  <c r="L393" i="51"/>
  <c r="A394" i="51"/>
  <c r="B394" i="51"/>
  <c r="C394" i="51"/>
  <c r="D394" i="51"/>
  <c r="E394" i="51"/>
  <c r="F394" i="51"/>
  <c r="G394" i="51" a="1"/>
  <c r="G394" i="51" s="1"/>
  <c r="H394" i="51" a="1"/>
  <c r="H394" i="51" s="1"/>
  <c r="I394" i="51"/>
  <c r="J394" i="51"/>
  <c r="K394" i="51"/>
  <c r="L394" i="51"/>
  <c r="A395" i="51"/>
  <c r="B395" i="51"/>
  <c r="C395" i="51"/>
  <c r="D395" i="51"/>
  <c r="E395" i="51"/>
  <c r="F395" i="51"/>
  <c r="G395" i="51" a="1"/>
  <c r="G395" i="51" s="1"/>
  <c r="H395" i="51" a="1"/>
  <c r="H395" i="51" s="1"/>
  <c r="I395" i="51"/>
  <c r="J395" i="51"/>
  <c r="K395" i="51"/>
  <c r="L395" i="51"/>
  <c r="A396" i="51"/>
  <c r="B396" i="51"/>
  <c r="C396" i="51"/>
  <c r="D396" i="51"/>
  <c r="E396" i="51"/>
  <c r="F396" i="51"/>
  <c r="G396" i="51" a="1"/>
  <c r="G396" i="51" s="1"/>
  <c r="H396" i="51" a="1"/>
  <c r="H396" i="51" s="1"/>
  <c r="I396" i="51"/>
  <c r="J396" i="51"/>
  <c r="K396" i="51"/>
  <c r="L396" i="51"/>
  <c r="A397" i="51"/>
  <c r="B397" i="51"/>
  <c r="C397" i="51"/>
  <c r="D397" i="51"/>
  <c r="E397" i="51"/>
  <c r="F397" i="51"/>
  <c r="G397" i="51" a="1"/>
  <c r="G397" i="51" s="1"/>
  <c r="H397" i="51" a="1"/>
  <c r="H397" i="51" s="1"/>
  <c r="I397" i="51"/>
  <c r="J397" i="51"/>
  <c r="K397" i="51"/>
  <c r="L397" i="51"/>
  <c r="A398" i="51"/>
  <c r="B398" i="51"/>
  <c r="C398" i="51"/>
  <c r="D398" i="51"/>
  <c r="E398" i="51"/>
  <c r="F398" i="51"/>
  <c r="G398" i="51" a="1"/>
  <c r="G398" i="51" s="1"/>
  <c r="H398" i="51" a="1"/>
  <c r="H398" i="51" s="1"/>
  <c r="I398" i="51"/>
  <c r="J398" i="51"/>
  <c r="K398" i="51"/>
  <c r="L398" i="51"/>
  <c r="A399" i="51"/>
  <c r="B399" i="51"/>
  <c r="C399" i="51"/>
  <c r="D399" i="51"/>
  <c r="E399" i="51"/>
  <c r="F399" i="51"/>
  <c r="G399" i="51" a="1"/>
  <c r="G399" i="51" s="1"/>
  <c r="H399" i="51" a="1"/>
  <c r="H399" i="51" s="1"/>
  <c r="I399" i="51"/>
  <c r="J399" i="51"/>
  <c r="K399" i="51"/>
  <c r="L399" i="51"/>
  <c r="A400" i="51"/>
  <c r="B400" i="51"/>
  <c r="C400" i="51"/>
  <c r="D400" i="51"/>
  <c r="E400" i="51"/>
  <c r="F400" i="51"/>
  <c r="G400" i="51" a="1"/>
  <c r="G400" i="51" s="1"/>
  <c r="H400" i="51" a="1"/>
  <c r="H400" i="51" s="1"/>
  <c r="I400" i="51"/>
  <c r="J400" i="51"/>
  <c r="K400" i="51"/>
  <c r="L400" i="51"/>
  <c r="A401" i="51"/>
  <c r="B401" i="51"/>
  <c r="C401" i="51"/>
  <c r="D401" i="51"/>
  <c r="E401" i="51"/>
  <c r="F401" i="51"/>
  <c r="G401" i="51" a="1"/>
  <c r="G401" i="51" s="1"/>
  <c r="H401" i="51" a="1"/>
  <c r="H401" i="51" s="1"/>
  <c r="I401" i="51"/>
  <c r="J401" i="51"/>
  <c r="K401" i="51"/>
  <c r="L401" i="51"/>
  <c r="A402" i="51"/>
  <c r="B402" i="51"/>
  <c r="C402" i="51"/>
  <c r="D402" i="51"/>
  <c r="E402" i="51"/>
  <c r="F402" i="51"/>
  <c r="G402" i="51" a="1"/>
  <c r="G402" i="51" s="1"/>
  <c r="H402" i="51" a="1"/>
  <c r="H402" i="51" s="1"/>
  <c r="I402" i="51"/>
  <c r="J402" i="51"/>
  <c r="K402" i="51"/>
  <c r="L402" i="51"/>
  <c r="A403" i="51"/>
  <c r="B403" i="51"/>
  <c r="C403" i="51"/>
  <c r="D403" i="51"/>
  <c r="E403" i="51"/>
  <c r="F403" i="51"/>
  <c r="G403" i="51" a="1"/>
  <c r="G403" i="51" s="1"/>
  <c r="H403" i="51" a="1"/>
  <c r="H403" i="51" s="1"/>
  <c r="I403" i="51"/>
  <c r="J403" i="51"/>
  <c r="K403" i="51"/>
  <c r="L403" i="51"/>
  <c r="A404" i="51"/>
  <c r="B404" i="51"/>
  <c r="C404" i="51"/>
  <c r="D404" i="51"/>
  <c r="E404" i="51"/>
  <c r="F404" i="51"/>
  <c r="G404" i="51" a="1"/>
  <c r="G404" i="51" s="1"/>
  <c r="H404" i="51" a="1"/>
  <c r="H404" i="51" s="1"/>
  <c r="I404" i="51"/>
  <c r="J404" i="51"/>
  <c r="K404" i="51"/>
  <c r="L404" i="51"/>
  <c r="A405" i="51"/>
  <c r="B405" i="51"/>
  <c r="C405" i="51"/>
  <c r="D405" i="51"/>
  <c r="E405" i="51"/>
  <c r="F405" i="51"/>
  <c r="G405" i="51" a="1"/>
  <c r="G405" i="51" s="1"/>
  <c r="H405" i="51" a="1"/>
  <c r="H405" i="51" s="1"/>
  <c r="I405" i="51"/>
  <c r="J405" i="51"/>
  <c r="K405" i="51"/>
  <c r="L405" i="51"/>
  <c r="A406" i="51"/>
  <c r="B406" i="51"/>
  <c r="C406" i="51"/>
  <c r="D406" i="51"/>
  <c r="E406" i="51"/>
  <c r="F406" i="51"/>
  <c r="G406" i="51" a="1"/>
  <c r="G406" i="51" s="1"/>
  <c r="H406" i="51" a="1"/>
  <c r="H406" i="51" s="1"/>
  <c r="I406" i="51"/>
  <c r="J406" i="51"/>
  <c r="K406" i="51"/>
  <c r="L406" i="51"/>
  <c r="A407" i="51"/>
  <c r="B407" i="51"/>
  <c r="C407" i="51"/>
  <c r="D407" i="51"/>
  <c r="E407" i="51"/>
  <c r="F407" i="51"/>
  <c r="G407" i="51" a="1"/>
  <c r="G407" i="51" s="1"/>
  <c r="H407" i="51" a="1"/>
  <c r="H407" i="51" s="1"/>
  <c r="I407" i="51"/>
  <c r="J407" i="51"/>
  <c r="K407" i="51"/>
  <c r="L407" i="51"/>
  <c r="A408" i="51"/>
  <c r="B408" i="51"/>
  <c r="C408" i="51"/>
  <c r="D408" i="51"/>
  <c r="E408" i="51"/>
  <c r="F408" i="51"/>
  <c r="G408" i="51" a="1"/>
  <c r="G408" i="51" s="1"/>
  <c r="H408" i="51" a="1"/>
  <c r="H408" i="51"/>
  <c r="I408" i="51"/>
  <c r="J408" i="51"/>
  <c r="K408" i="51"/>
  <c r="L408" i="51"/>
  <c r="A409" i="51"/>
  <c r="B409" i="51"/>
  <c r="C409" i="51"/>
  <c r="D409" i="51"/>
  <c r="E409" i="51"/>
  <c r="F409" i="51"/>
  <c r="G409" i="51" a="1"/>
  <c r="G409" i="51"/>
  <c r="H409" i="51" a="1"/>
  <c r="H409" i="51" s="1"/>
  <c r="I409" i="51"/>
  <c r="J409" i="51"/>
  <c r="K409" i="51"/>
  <c r="L409" i="51"/>
  <c r="A410" i="51"/>
  <c r="B410" i="51"/>
  <c r="C410" i="51"/>
  <c r="D410" i="51"/>
  <c r="E410" i="51"/>
  <c r="F410" i="51"/>
  <c r="G410" i="51" a="1"/>
  <c r="G410" i="51" s="1"/>
  <c r="H410" i="51" a="1"/>
  <c r="H410" i="51" s="1"/>
  <c r="I410" i="51"/>
  <c r="J410" i="51"/>
  <c r="K410" i="51"/>
  <c r="L410" i="51"/>
  <c r="A411" i="51"/>
  <c r="B411" i="51"/>
  <c r="C411" i="51"/>
  <c r="D411" i="51"/>
  <c r="E411" i="51"/>
  <c r="F411" i="51"/>
  <c r="G411" i="51" a="1"/>
  <c r="G411" i="51" s="1"/>
  <c r="H411" i="51" a="1"/>
  <c r="H411" i="51" s="1"/>
  <c r="I411" i="51"/>
  <c r="J411" i="51"/>
  <c r="K411" i="51"/>
  <c r="L411" i="51"/>
  <c r="A412" i="51"/>
  <c r="B412" i="51"/>
  <c r="C412" i="51"/>
  <c r="D412" i="51"/>
  <c r="E412" i="51"/>
  <c r="F412" i="51"/>
  <c r="G412" i="51" a="1"/>
  <c r="G412" i="51" s="1"/>
  <c r="H412" i="51" a="1"/>
  <c r="H412" i="51" s="1"/>
  <c r="I412" i="51"/>
  <c r="J412" i="51"/>
  <c r="K412" i="51"/>
  <c r="L412" i="51"/>
  <c r="A413" i="51"/>
  <c r="B413" i="51"/>
  <c r="C413" i="51"/>
  <c r="D413" i="51"/>
  <c r="E413" i="51"/>
  <c r="F413" i="51"/>
  <c r="G413" i="51" a="1"/>
  <c r="G413" i="51"/>
  <c r="H413" i="51" a="1"/>
  <c r="H413" i="51" s="1"/>
  <c r="I413" i="51"/>
  <c r="J413" i="51"/>
  <c r="K413" i="51"/>
  <c r="L413" i="51"/>
  <c r="A414" i="51"/>
  <c r="B414" i="51"/>
  <c r="C414" i="51"/>
  <c r="D414" i="51"/>
  <c r="E414" i="51"/>
  <c r="F414" i="51"/>
  <c r="G414" i="51" a="1"/>
  <c r="G414" i="51" s="1"/>
  <c r="H414" i="51" a="1"/>
  <c r="H414" i="51" s="1"/>
  <c r="I414" i="51"/>
  <c r="J414" i="51"/>
  <c r="K414" i="51"/>
  <c r="L414" i="51"/>
  <c r="A415" i="51"/>
  <c r="B415" i="51"/>
  <c r="C415" i="51"/>
  <c r="D415" i="51"/>
  <c r="E415" i="51"/>
  <c r="F415" i="51"/>
  <c r="G415" i="51" a="1"/>
  <c r="G415" i="51" s="1"/>
  <c r="H415" i="51" a="1"/>
  <c r="H415" i="51" s="1"/>
  <c r="I415" i="51"/>
  <c r="J415" i="51"/>
  <c r="K415" i="51"/>
  <c r="L415" i="51"/>
  <c r="A416" i="51"/>
  <c r="B416" i="51"/>
  <c r="C416" i="51"/>
  <c r="D416" i="51"/>
  <c r="E416" i="51"/>
  <c r="F416" i="51"/>
  <c r="G416" i="51" a="1"/>
  <c r="G416" i="51" s="1"/>
  <c r="H416" i="51" a="1"/>
  <c r="H416" i="51" s="1"/>
  <c r="I416" i="51"/>
  <c r="J416" i="51"/>
  <c r="K416" i="51"/>
  <c r="L416" i="51"/>
  <c r="A417" i="51"/>
  <c r="B417" i="51"/>
  <c r="C417" i="51"/>
  <c r="D417" i="51"/>
  <c r="E417" i="51"/>
  <c r="F417" i="51"/>
  <c r="G417" i="51" a="1"/>
  <c r="G417" i="51" s="1"/>
  <c r="H417" i="51" a="1"/>
  <c r="H417" i="51" s="1"/>
  <c r="I417" i="51"/>
  <c r="J417" i="51"/>
  <c r="K417" i="51"/>
  <c r="L417" i="51"/>
  <c r="A418" i="51"/>
  <c r="B418" i="51"/>
  <c r="C418" i="51"/>
  <c r="D418" i="51"/>
  <c r="E418" i="51"/>
  <c r="F418" i="51"/>
  <c r="G418" i="51" a="1"/>
  <c r="G418" i="51" s="1"/>
  <c r="H418" i="51" a="1"/>
  <c r="H418" i="51" s="1"/>
  <c r="I418" i="51"/>
  <c r="J418" i="51"/>
  <c r="K418" i="51"/>
  <c r="L418" i="51"/>
  <c r="A419" i="51"/>
  <c r="B419" i="51"/>
  <c r="C419" i="51"/>
  <c r="D419" i="51"/>
  <c r="E419" i="51"/>
  <c r="F419" i="51"/>
  <c r="G419" i="51" a="1"/>
  <c r="G419" i="51" s="1"/>
  <c r="H419" i="51" a="1"/>
  <c r="H419" i="51" s="1"/>
  <c r="I419" i="51"/>
  <c r="J419" i="51"/>
  <c r="K419" i="51"/>
  <c r="L419" i="51"/>
  <c r="A420" i="51"/>
  <c r="B420" i="51"/>
  <c r="C420" i="51"/>
  <c r="D420" i="51"/>
  <c r="E420" i="51"/>
  <c r="F420" i="51"/>
  <c r="G420" i="51" a="1"/>
  <c r="G420" i="51" s="1"/>
  <c r="H420" i="51" a="1"/>
  <c r="H420" i="51" s="1"/>
  <c r="I420" i="51"/>
  <c r="J420" i="51"/>
  <c r="K420" i="51"/>
  <c r="L420" i="51"/>
  <c r="A421" i="51"/>
  <c r="B421" i="51"/>
  <c r="C421" i="51"/>
  <c r="D421" i="51"/>
  <c r="E421" i="51"/>
  <c r="F421" i="51"/>
  <c r="G421" i="51" a="1"/>
  <c r="G421" i="51" s="1"/>
  <c r="H421" i="51" a="1"/>
  <c r="H421" i="51" s="1"/>
  <c r="I421" i="51"/>
  <c r="J421" i="51"/>
  <c r="K421" i="51"/>
  <c r="L421" i="51"/>
  <c r="A422" i="51"/>
  <c r="B422" i="51"/>
  <c r="C422" i="51"/>
  <c r="D422" i="51"/>
  <c r="E422" i="51"/>
  <c r="F422" i="51"/>
  <c r="G422" i="51" a="1"/>
  <c r="G422" i="51" s="1"/>
  <c r="H422" i="51" a="1"/>
  <c r="H422" i="51" s="1"/>
  <c r="I422" i="51"/>
  <c r="J422" i="51"/>
  <c r="K422" i="51"/>
  <c r="L422" i="51"/>
  <c r="A423" i="51"/>
  <c r="B423" i="51"/>
  <c r="C423" i="51"/>
  <c r="D423" i="51"/>
  <c r="E423" i="51"/>
  <c r="F423" i="51"/>
  <c r="G423" i="51" a="1"/>
  <c r="G423" i="51" s="1"/>
  <c r="H423" i="51" a="1"/>
  <c r="H423" i="51" s="1"/>
  <c r="I423" i="51"/>
  <c r="J423" i="51"/>
  <c r="K423" i="51"/>
  <c r="L423" i="51"/>
  <c r="A424" i="51"/>
  <c r="B424" i="51"/>
  <c r="C424" i="51"/>
  <c r="D424" i="51"/>
  <c r="E424" i="51"/>
  <c r="F424" i="51"/>
  <c r="G424" i="51" a="1"/>
  <c r="G424" i="51" s="1"/>
  <c r="H424" i="51" a="1"/>
  <c r="H424" i="51" s="1"/>
  <c r="I424" i="51"/>
  <c r="J424" i="51"/>
  <c r="K424" i="51"/>
  <c r="L424" i="51"/>
  <c r="A425" i="51"/>
  <c r="B425" i="51"/>
  <c r="C425" i="51"/>
  <c r="D425" i="51"/>
  <c r="E425" i="51"/>
  <c r="F425" i="51"/>
  <c r="G425" i="51" a="1"/>
  <c r="G425" i="51" s="1"/>
  <c r="H425" i="51" a="1"/>
  <c r="H425" i="51" s="1"/>
  <c r="I425" i="51"/>
  <c r="J425" i="51"/>
  <c r="K425" i="51"/>
  <c r="L425" i="51"/>
  <c r="A426" i="51"/>
  <c r="B426" i="51"/>
  <c r="C426" i="51"/>
  <c r="D426" i="51"/>
  <c r="E426" i="51"/>
  <c r="F426" i="51"/>
  <c r="G426" i="51" a="1"/>
  <c r="G426" i="51" s="1"/>
  <c r="H426" i="51" a="1"/>
  <c r="H426" i="51" s="1"/>
  <c r="I426" i="51"/>
  <c r="J426" i="51"/>
  <c r="K426" i="51"/>
  <c r="L426" i="51"/>
  <c r="A427" i="51"/>
  <c r="B427" i="51"/>
  <c r="C427" i="51"/>
  <c r="D427" i="51"/>
  <c r="E427" i="51"/>
  <c r="F427" i="51"/>
  <c r="G427" i="51" a="1"/>
  <c r="G427" i="51" s="1"/>
  <c r="H427" i="51" a="1"/>
  <c r="H427" i="51" s="1"/>
  <c r="I427" i="51"/>
  <c r="J427" i="51"/>
  <c r="K427" i="51"/>
  <c r="L427" i="51"/>
  <c r="A428" i="51"/>
  <c r="B428" i="51"/>
  <c r="C428" i="51"/>
  <c r="D428" i="51"/>
  <c r="E428" i="51"/>
  <c r="F428" i="51"/>
  <c r="G428" i="51" a="1"/>
  <c r="G428" i="51" s="1"/>
  <c r="H428" i="51" a="1"/>
  <c r="H428" i="51" s="1"/>
  <c r="I428" i="51"/>
  <c r="J428" i="51"/>
  <c r="K428" i="51"/>
  <c r="L428" i="51"/>
  <c r="A429" i="51"/>
  <c r="B429" i="51"/>
  <c r="C429" i="51"/>
  <c r="D429" i="51"/>
  <c r="E429" i="51"/>
  <c r="F429" i="51"/>
  <c r="G429" i="51" a="1"/>
  <c r="G429" i="51"/>
  <c r="H429" i="51" a="1"/>
  <c r="H429" i="51" s="1"/>
  <c r="I429" i="51"/>
  <c r="J429" i="51"/>
  <c r="K429" i="51"/>
  <c r="L429" i="51"/>
  <c r="A430" i="51"/>
  <c r="B430" i="51"/>
  <c r="C430" i="51"/>
  <c r="D430" i="51"/>
  <c r="E430" i="51"/>
  <c r="F430" i="51"/>
  <c r="G430" i="51" a="1"/>
  <c r="G430" i="51" s="1"/>
  <c r="H430" i="51" a="1"/>
  <c r="H430" i="51" s="1"/>
  <c r="I430" i="51"/>
  <c r="J430" i="51"/>
  <c r="K430" i="51"/>
  <c r="L430" i="51"/>
  <c r="A431" i="51"/>
  <c r="B431" i="51"/>
  <c r="C431" i="51"/>
  <c r="D431" i="51"/>
  <c r="E431" i="51"/>
  <c r="F431" i="51"/>
  <c r="G431" i="51" a="1"/>
  <c r="G431" i="51" s="1"/>
  <c r="H431" i="51" a="1"/>
  <c r="H431" i="51" s="1"/>
  <c r="I431" i="51"/>
  <c r="J431" i="51"/>
  <c r="K431" i="51"/>
  <c r="L431" i="51"/>
  <c r="A432" i="51"/>
  <c r="B432" i="51"/>
  <c r="C432" i="51"/>
  <c r="D432" i="51"/>
  <c r="E432" i="51"/>
  <c r="F432" i="51"/>
  <c r="G432" i="51" a="1"/>
  <c r="G432" i="51" s="1"/>
  <c r="H432" i="51" a="1"/>
  <c r="H432" i="51" s="1"/>
  <c r="I432" i="51"/>
  <c r="J432" i="51"/>
  <c r="K432" i="51"/>
  <c r="L432" i="51"/>
  <c r="A433" i="51"/>
  <c r="B433" i="51"/>
  <c r="C433" i="51"/>
  <c r="D433" i="51"/>
  <c r="E433" i="51"/>
  <c r="F433" i="51"/>
  <c r="G433" i="51" a="1"/>
  <c r="G433" i="51" s="1"/>
  <c r="H433" i="51" a="1"/>
  <c r="H433" i="51" s="1"/>
  <c r="I433" i="51"/>
  <c r="J433" i="51"/>
  <c r="K433" i="51"/>
  <c r="L433" i="51"/>
  <c r="A434" i="51"/>
  <c r="B434" i="51"/>
  <c r="C434" i="51"/>
  <c r="D434" i="51"/>
  <c r="E434" i="51"/>
  <c r="F434" i="51"/>
  <c r="G434" i="51" a="1"/>
  <c r="G434" i="51" s="1"/>
  <c r="H434" i="51" a="1"/>
  <c r="H434" i="51" s="1"/>
  <c r="I434" i="51"/>
  <c r="J434" i="51"/>
  <c r="K434" i="51"/>
  <c r="L434" i="51"/>
  <c r="A435" i="51"/>
  <c r="B435" i="51"/>
  <c r="C435" i="51"/>
  <c r="D435" i="51"/>
  <c r="E435" i="51"/>
  <c r="F435" i="51"/>
  <c r="G435" i="51" a="1"/>
  <c r="G435" i="51" s="1"/>
  <c r="H435" i="51" a="1"/>
  <c r="H435" i="51" s="1"/>
  <c r="I435" i="51"/>
  <c r="J435" i="51"/>
  <c r="K435" i="51"/>
  <c r="L435" i="51"/>
  <c r="A436" i="51"/>
  <c r="B436" i="51"/>
  <c r="C436" i="51"/>
  <c r="D436" i="51"/>
  <c r="E436" i="51"/>
  <c r="F436" i="51"/>
  <c r="G436" i="51" a="1"/>
  <c r="G436" i="51" s="1"/>
  <c r="H436" i="51" a="1"/>
  <c r="H436" i="51" s="1"/>
  <c r="I436" i="51"/>
  <c r="J436" i="51"/>
  <c r="K436" i="51"/>
  <c r="L436" i="51"/>
  <c r="A437" i="51"/>
  <c r="B437" i="51"/>
  <c r="C437" i="51"/>
  <c r="D437" i="51"/>
  <c r="E437" i="51"/>
  <c r="F437" i="51"/>
  <c r="G437" i="51" a="1"/>
  <c r="G437" i="51" s="1"/>
  <c r="H437" i="51" a="1"/>
  <c r="H437" i="51" s="1"/>
  <c r="I437" i="51"/>
  <c r="J437" i="51"/>
  <c r="K437" i="51"/>
  <c r="L437" i="51"/>
  <c r="A438" i="51"/>
  <c r="B438" i="51"/>
  <c r="C438" i="51"/>
  <c r="D438" i="51"/>
  <c r="E438" i="51"/>
  <c r="F438" i="51"/>
  <c r="G438" i="51" a="1"/>
  <c r="G438" i="51" s="1"/>
  <c r="H438" i="51" a="1"/>
  <c r="H438" i="51"/>
  <c r="I438" i="51"/>
  <c r="J438" i="51"/>
  <c r="K438" i="51"/>
  <c r="L438" i="51"/>
  <c r="A439" i="51"/>
  <c r="B439" i="51"/>
  <c r="C439" i="51"/>
  <c r="D439" i="51"/>
  <c r="E439" i="51"/>
  <c r="F439" i="51"/>
  <c r="G439" i="51" a="1"/>
  <c r="G439" i="51"/>
  <c r="H439" i="51" a="1"/>
  <c r="H439" i="51" s="1"/>
  <c r="I439" i="51"/>
  <c r="J439" i="51"/>
  <c r="K439" i="51"/>
  <c r="L439" i="51"/>
  <c r="A440" i="51"/>
  <c r="B440" i="51"/>
  <c r="C440" i="51"/>
  <c r="D440" i="51"/>
  <c r="E440" i="51"/>
  <c r="F440" i="51"/>
  <c r="G440" i="51" a="1"/>
  <c r="G440" i="51" s="1"/>
  <c r="H440" i="51" a="1"/>
  <c r="H440" i="51" s="1"/>
  <c r="I440" i="51"/>
  <c r="J440" i="51"/>
  <c r="K440" i="51"/>
  <c r="L440" i="51"/>
  <c r="A441" i="51"/>
  <c r="B441" i="51"/>
  <c r="C441" i="51"/>
  <c r="D441" i="51"/>
  <c r="E441" i="51"/>
  <c r="F441" i="51"/>
  <c r="G441" i="51" a="1"/>
  <c r="G441" i="51" s="1"/>
  <c r="H441" i="51" a="1"/>
  <c r="H441" i="51" s="1"/>
  <c r="I441" i="51"/>
  <c r="J441" i="51"/>
  <c r="K441" i="51"/>
  <c r="L441" i="51"/>
  <c r="A442" i="51"/>
  <c r="B442" i="51"/>
  <c r="C442" i="51"/>
  <c r="D442" i="51"/>
  <c r="E442" i="51"/>
  <c r="F442" i="51"/>
  <c r="G442" i="51" a="1"/>
  <c r="G442" i="51" s="1"/>
  <c r="H442" i="51" a="1"/>
  <c r="H442" i="51" s="1"/>
  <c r="I442" i="51"/>
  <c r="J442" i="51"/>
  <c r="K442" i="51"/>
  <c r="L442" i="51"/>
  <c r="A443" i="51"/>
  <c r="B443" i="51"/>
  <c r="C443" i="51"/>
  <c r="D443" i="51"/>
  <c r="E443" i="51"/>
  <c r="F443" i="51"/>
  <c r="G443" i="51" a="1"/>
  <c r="G443" i="51" s="1"/>
  <c r="H443" i="51" a="1"/>
  <c r="H443" i="51" s="1"/>
  <c r="I443" i="51"/>
  <c r="J443" i="51"/>
  <c r="K443" i="51"/>
  <c r="L443" i="51"/>
  <c r="A444" i="51"/>
  <c r="B444" i="51"/>
  <c r="C444" i="51"/>
  <c r="D444" i="51"/>
  <c r="E444" i="51"/>
  <c r="F444" i="51"/>
  <c r="G444" i="51" a="1"/>
  <c r="G444" i="51" s="1"/>
  <c r="H444" i="51" a="1"/>
  <c r="H444" i="51" s="1"/>
  <c r="I444" i="51"/>
  <c r="J444" i="51"/>
  <c r="K444" i="51"/>
  <c r="L444" i="51"/>
  <c r="A445" i="51"/>
  <c r="B445" i="51"/>
  <c r="C445" i="51"/>
  <c r="D445" i="51"/>
  <c r="E445" i="51"/>
  <c r="F445" i="51"/>
  <c r="G445" i="51" a="1"/>
  <c r="G445" i="51" s="1"/>
  <c r="H445" i="51" a="1"/>
  <c r="H445" i="51" s="1"/>
  <c r="I445" i="51"/>
  <c r="J445" i="51"/>
  <c r="K445" i="51"/>
  <c r="L445" i="51"/>
  <c r="A446" i="51"/>
  <c r="B446" i="51"/>
  <c r="C446" i="51"/>
  <c r="D446" i="51"/>
  <c r="E446" i="51"/>
  <c r="F446" i="51"/>
  <c r="G446" i="51" a="1"/>
  <c r="G446" i="51" s="1"/>
  <c r="H446" i="51" a="1"/>
  <c r="H446" i="51" s="1"/>
  <c r="I446" i="51"/>
  <c r="J446" i="51"/>
  <c r="K446" i="51"/>
  <c r="L446" i="51"/>
  <c r="A447" i="51"/>
  <c r="B447" i="51"/>
  <c r="C447" i="51"/>
  <c r="D447" i="51"/>
  <c r="E447" i="51"/>
  <c r="F447" i="51"/>
  <c r="G447" i="51" a="1"/>
  <c r="G447" i="51" s="1"/>
  <c r="H447" i="51" a="1"/>
  <c r="H447" i="51" s="1"/>
  <c r="I447" i="51"/>
  <c r="J447" i="51"/>
  <c r="K447" i="51"/>
  <c r="L447" i="51"/>
  <c r="A448" i="51"/>
  <c r="B448" i="51"/>
  <c r="C448" i="51"/>
  <c r="D448" i="51"/>
  <c r="E448" i="51"/>
  <c r="F448" i="51"/>
  <c r="G448" i="51" a="1"/>
  <c r="G448" i="51" s="1"/>
  <c r="H448" i="51" a="1"/>
  <c r="H448" i="51" s="1"/>
  <c r="I448" i="51"/>
  <c r="J448" i="51"/>
  <c r="K448" i="51"/>
  <c r="L448" i="51"/>
  <c r="A449" i="51"/>
  <c r="B449" i="51"/>
  <c r="C449" i="51"/>
  <c r="D449" i="51"/>
  <c r="E449" i="51"/>
  <c r="F449" i="51"/>
  <c r="G449" i="51" a="1"/>
  <c r="G449" i="51" s="1"/>
  <c r="H449" i="51" a="1"/>
  <c r="H449" i="51" s="1"/>
  <c r="I449" i="51"/>
  <c r="J449" i="51"/>
  <c r="K449" i="51"/>
  <c r="L449" i="51"/>
  <c r="A450" i="51"/>
  <c r="B450" i="51"/>
  <c r="C450" i="51"/>
  <c r="D450" i="51"/>
  <c r="E450" i="51"/>
  <c r="F450" i="51"/>
  <c r="G450" i="51" a="1"/>
  <c r="G450" i="51" s="1"/>
  <c r="H450" i="51" a="1"/>
  <c r="H450" i="51" s="1"/>
  <c r="I450" i="51"/>
  <c r="J450" i="51"/>
  <c r="K450" i="51"/>
  <c r="L450" i="51"/>
  <c r="A451" i="51"/>
  <c r="B451" i="51"/>
  <c r="C451" i="51"/>
  <c r="D451" i="51"/>
  <c r="E451" i="51"/>
  <c r="F451" i="51"/>
  <c r="G451" i="51" a="1"/>
  <c r="G451" i="51" s="1"/>
  <c r="H451" i="51" a="1"/>
  <c r="H451" i="51" s="1"/>
  <c r="I451" i="51"/>
  <c r="J451" i="51"/>
  <c r="K451" i="51"/>
  <c r="L451" i="51"/>
  <c r="A452" i="51"/>
  <c r="B452" i="51"/>
  <c r="C452" i="51"/>
  <c r="D452" i="51"/>
  <c r="E452" i="51"/>
  <c r="F452" i="51"/>
  <c r="G452" i="51" a="1"/>
  <c r="G452" i="51" s="1"/>
  <c r="H452" i="51" a="1"/>
  <c r="H452" i="51" s="1"/>
  <c r="I452" i="51"/>
  <c r="J452" i="51"/>
  <c r="K452" i="51"/>
  <c r="L452" i="51"/>
  <c r="A453" i="51"/>
  <c r="B453" i="51"/>
  <c r="C453" i="51"/>
  <c r="D453" i="51"/>
  <c r="E453" i="51"/>
  <c r="F453" i="51"/>
  <c r="G453" i="51" a="1"/>
  <c r="G453" i="51" s="1"/>
  <c r="H453" i="51" a="1"/>
  <c r="H453" i="51" s="1"/>
  <c r="I453" i="51"/>
  <c r="J453" i="51"/>
  <c r="K453" i="51"/>
  <c r="L453" i="51"/>
  <c r="A454" i="51"/>
  <c r="B454" i="51"/>
  <c r="C454" i="51"/>
  <c r="D454" i="51"/>
  <c r="E454" i="51"/>
  <c r="F454" i="51"/>
  <c r="G454" i="51" a="1"/>
  <c r="G454" i="51" s="1"/>
  <c r="H454" i="51" a="1"/>
  <c r="H454" i="51" s="1"/>
  <c r="I454" i="51"/>
  <c r="J454" i="51"/>
  <c r="K454" i="51"/>
  <c r="L454" i="51"/>
  <c r="A455" i="51"/>
  <c r="B455" i="51"/>
  <c r="C455" i="51"/>
  <c r="D455" i="51"/>
  <c r="E455" i="51"/>
  <c r="F455" i="51"/>
  <c r="G455" i="51" a="1"/>
  <c r="G455" i="51" s="1"/>
  <c r="H455" i="51" a="1"/>
  <c r="H455" i="51" s="1"/>
  <c r="I455" i="51"/>
  <c r="J455" i="51"/>
  <c r="K455" i="51"/>
  <c r="L455" i="51"/>
  <c r="A456" i="51"/>
  <c r="B456" i="51"/>
  <c r="C456" i="51"/>
  <c r="D456" i="51"/>
  <c r="E456" i="51"/>
  <c r="F456" i="51"/>
  <c r="G456" i="51" a="1"/>
  <c r="G456" i="51" s="1"/>
  <c r="H456" i="51" a="1"/>
  <c r="H456" i="51" s="1"/>
  <c r="I456" i="51"/>
  <c r="J456" i="51"/>
  <c r="K456" i="51"/>
  <c r="L456" i="51"/>
  <c r="A457" i="51"/>
  <c r="B457" i="51"/>
  <c r="C457" i="51"/>
  <c r="D457" i="51"/>
  <c r="E457" i="51"/>
  <c r="F457" i="51"/>
  <c r="G457" i="51" a="1"/>
  <c r="G457" i="51" s="1"/>
  <c r="H457" i="51" a="1"/>
  <c r="H457" i="51" s="1"/>
  <c r="I457" i="51"/>
  <c r="J457" i="51"/>
  <c r="K457" i="51"/>
  <c r="L457" i="51"/>
  <c r="A458" i="51"/>
  <c r="B458" i="51"/>
  <c r="C458" i="51"/>
  <c r="D458" i="51"/>
  <c r="E458" i="51"/>
  <c r="F458" i="51"/>
  <c r="G458" i="51" a="1"/>
  <c r="G458" i="51" s="1"/>
  <c r="H458" i="51" a="1"/>
  <c r="H458" i="51" s="1"/>
  <c r="I458" i="51"/>
  <c r="J458" i="51"/>
  <c r="K458" i="51"/>
  <c r="L458" i="51"/>
  <c r="A459" i="51"/>
  <c r="B459" i="51"/>
  <c r="C459" i="51"/>
  <c r="D459" i="51"/>
  <c r="E459" i="51"/>
  <c r="F459" i="51"/>
  <c r="G459" i="51" a="1"/>
  <c r="G459" i="51" s="1"/>
  <c r="H459" i="51" a="1"/>
  <c r="H459" i="51" s="1"/>
  <c r="I459" i="51"/>
  <c r="J459" i="51"/>
  <c r="K459" i="51"/>
  <c r="L459" i="51"/>
  <c r="A460" i="51"/>
  <c r="B460" i="51"/>
  <c r="C460" i="51"/>
  <c r="D460" i="51"/>
  <c r="E460" i="51"/>
  <c r="F460" i="51"/>
  <c r="G460" i="51" a="1"/>
  <c r="G460" i="51" s="1"/>
  <c r="H460" i="51" a="1"/>
  <c r="H460" i="51" s="1"/>
  <c r="I460" i="51"/>
  <c r="J460" i="51"/>
  <c r="K460" i="51"/>
  <c r="L460" i="51"/>
  <c r="A461" i="51"/>
  <c r="B461" i="51"/>
  <c r="C461" i="51"/>
  <c r="D461" i="51"/>
  <c r="E461" i="51"/>
  <c r="F461" i="51"/>
  <c r="G461" i="51" a="1"/>
  <c r="G461" i="51" s="1"/>
  <c r="H461" i="51" a="1"/>
  <c r="H461" i="51" s="1"/>
  <c r="I461" i="51"/>
  <c r="J461" i="51"/>
  <c r="K461" i="51"/>
  <c r="L461" i="51"/>
  <c r="A462" i="51"/>
  <c r="B462" i="51"/>
  <c r="C462" i="51"/>
  <c r="D462" i="51"/>
  <c r="E462" i="51"/>
  <c r="F462" i="51"/>
  <c r="G462" i="51" a="1"/>
  <c r="G462" i="51" s="1"/>
  <c r="H462" i="51" a="1"/>
  <c r="H462" i="51" s="1"/>
  <c r="I462" i="51"/>
  <c r="J462" i="51"/>
  <c r="K462" i="51"/>
  <c r="L462" i="51"/>
  <c r="A463" i="51"/>
  <c r="B463" i="51"/>
  <c r="C463" i="51"/>
  <c r="D463" i="51"/>
  <c r="E463" i="51"/>
  <c r="F463" i="51"/>
  <c r="G463" i="51" a="1"/>
  <c r="G463" i="51" s="1"/>
  <c r="H463" i="51" a="1"/>
  <c r="H463" i="51" s="1"/>
  <c r="I463" i="51"/>
  <c r="J463" i="51"/>
  <c r="K463" i="51"/>
  <c r="L463" i="51"/>
  <c r="A464" i="51"/>
  <c r="B464" i="51"/>
  <c r="C464" i="51"/>
  <c r="D464" i="51"/>
  <c r="E464" i="51"/>
  <c r="F464" i="51"/>
  <c r="G464" i="51" a="1"/>
  <c r="G464" i="51" s="1"/>
  <c r="H464" i="51" a="1"/>
  <c r="H464" i="51" s="1"/>
  <c r="I464" i="51"/>
  <c r="J464" i="51"/>
  <c r="K464" i="51"/>
  <c r="L464" i="51"/>
  <c r="A465" i="51"/>
  <c r="B465" i="51"/>
  <c r="C465" i="51"/>
  <c r="D465" i="51"/>
  <c r="E465" i="51"/>
  <c r="F465" i="51"/>
  <c r="G465" i="51" a="1"/>
  <c r="G465" i="51" s="1"/>
  <c r="H465" i="51" a="1"/>
  <c r="H465" i="51" s="1"/>
  <c r="I465" i="51"/>
  <c r="J465" i="51"/>
  <c r="K465" i="51"/>
  <c r="L465" i="51"/>
  <c r="A466" i="51"/>
  <c r="B466" i="51"/>
  <c r="C466" i="51"/>
  <c r="D466" i="51"/>
  <c r="E466" i="51"/>
  <c r="F466" i="51"/>
  <c r="G466" i="51" a="1"/>
  <c r="G466" i="51" s="1"/>
  <c r="H466" i="51" a="1"/>
  <c r="H466" i="51" s="1"/>
  <c r="I466" i="51"/>
  <c r="J466" i="51"/>
  <c r="K466" i="51"/>
  <c r="L466" i="51"/>
  <c r="A467" i="51"/>
  <c r="B467" i="51"/>
  <c r="C467" i="51"/>
  <c r="D467" i="51"/>
  <c r="E467" i="51"/>
  <c r="F467" i="51"/>
  <c r="G467" i="51" a="1"/>
  <c r="G467" i="51" s="1"/>
  <c r="H467" i="51" a="1"/>
  <c r="H467" i="51" s="1"/>
  <c r="I467" i="51"/>
  <c r="J467" i="51"/>
  <c r="K467" i="51"/>
  <c r="L467" i="51"/>
  <c r="A468" i="51"/>
  <c r="B468" i="51"/>
  <c r="C468" i="51"/>
  <c r="D468" i="51"/>
  <c r="E468" i="51"/>
  <c r="F468" i="51"/>
  <c r="G468" i="51" a="1"/>
  <c r="G468" i="51" s="1"/>
  <c r="H468" i="51" a="1"/>
  <c r="H468" i="51" s="1"/>
  <c r="I468" i="51"/>
  <c r="J468" i="51"/>
  <c r="K468" i="51"/>
  <c r="L468" i="51"/>
  <c r="A469" i="51"/>
  <c r="B469" i="51"/>
  <c r="C469" i="51"/>
  <c r="D469" i="51"/>
  <c r="E469" i="51"/>
  <c r="F469" i="51"/>
  <c r="G469" i="51" a="1"/>
  <c r="G469" i="51" s="1"/>
  <c r="H469" i="51" a="1"/>
  <c r="H469" i="51" s="1"/>
  <c r="I469" i="51"/>
  <c r="J469" i="51"/>
  <c r="K469" i="51"/>
  <c r="L469" i="51"/>
  <c r="A470" i="51"/>
  <c r="B470" i="51"/>
  <c r="C470" i="51"/>
  <c r="D470" i="51"/>
  <c r="E470" i="51"/>
  <c r="F470" i="51"/>
  <c r="G470" i="51" a="1"/>
  <c r="G470" i="51" s="1"/>
  <c r="H470" i="51" a="1"/>
  <c r="H470" i="51" s="1"/>
  <c r="I470" i="51"/>
  <c r="J470" i="51"/>
  <c r="K470" i="51"/>
  <c r="L470" i="51"/>
  <c r="A471" i="51"/>
  <c r="B471" i="51"/>
  <c r="C471" i="51"/>
  <c r="D471" i="51"/>
  <c r="E471" i="51"/>
  <c r="F471" i="51"/>
  <c r="G471" i="51" a="1"/>
  <c r="G471" i="51" s="1"/>
  <c r="H471" i="51" a="1"/>
  <c r="H471" i="51" s="1"/>
  <c r="I471" i="51"/>
  <c r="J471" i="51"/>
  <c r="K471" i="51"/>
  <c r="L471" i="51"/>
  <c r="A472" i="51"/>
  <c r="B472" i="51"/>
  <c r="C472" i="51"/>
  <c r="D472" i="51"/>
  <c r="E472" i="51"/>
  <c r="F472" i="51"/>
  <c r="G472" i="51" a="1"/>
  <c r="G472" i="51" s="1"/>
  <c r="H472" i="51" a="1"/>
  <c r="H472" i="51" s="1"/>
  <c r="I472" i="51"/>
  <c r="J472" i="51"/>
  <c r="K472" i="51"/>
  <c r="L472" i="51"/>
  <c r="A473" i="51"/>
  <c r="B473" i="51"/>
  <c r="C473" i="51"/>
  <c r="D473" i="51"/>
  <c r="E473" i="51"/>
  <c r="F473" i="51"/>
  <c r="G473" i="51" a="1"/>
  <c r="G473" i="51" s="1"/>
  <c r="H473" i="51" a="1"/>
  <c r="H473" i="51" s="1"/>
  <c r="I473" i="51"/>
  <c r="J473" i="51"/>
  <c r="K473" i="51"/>
  <c r="L473" i="51"/>
  <c r="A474" i="51"/>
  <c r="B474" i="51"/>
  <c r="C474" i="51"/>
  <c r="D474" i="51"/>
  <c r="E474" i="51"/>
  <c r="F474" i="51"/>
  <c r="G474" i="51" a="1"/>
  <c r="G474" i="51" s="1"/>
  <c r="H474" i="51" a="1"/>
  <c r="H474" i="51" s="1"/>
  <c r="I474" i="51"/>
  <c r="J474" i="51"/>
  <c r="K474" i="51"/>
  <c r="L474" i="51"/>
  <c r="A475" i="51"/>
  <c r="B475" i="51"/>
  <c r="C475" i="51"/>
  <c r="D475" i="51"/>
  <c r="E475" i="51"/>
  <c r="F475" i="51"/>
  <c r="G475" i="51" a="1"/>
  <c r="G475" i="51" s="1"/>
  <c r="H475" i="51" a="1"/>
  <c r="H475" i="51" s="1"/>
  <c r="I475" i="51"/>
  <c r="J475" i="51"/>
  <c r="K475" i="51"/>
  <c r="L475" i="51"/>
  <c r="A476" i="51"/>
  <c r="B476" i="51"/>
  <c r="C476" i="51"/>
  <c r="D476" i="51"/>
  <c r="E476" i="51"/>
  <c r="F476" i="51"/>
  <c r="G476" i="51" a="1"/>
  <c r="G476" i="51" s="1"/>
  <c r="H476" i="51" a="1"/>
  <c r="H476" i="51" s="1"/>
  <c r="I476" i="51"/>
  <c r="J476" i="51"/>
  <c r="K476" i="51"/>
  <c r="L476" i="51"/>
  <c r="A477" i="51"/>
  <c r="B477" i="51"/>
  <c r="C477" i="51"/>
  <c r="D477" i="51"/>
  <c r="E477" i="51"/>
  <c r="F477" i="51"/>
  <c r="G477" i="51" a="1"/>
  <c r="G477" i="51" s="1"/>
  <c r="H477" i="51" a="1"/>
  <c r="H477" i="51" s="1"/>
  <c r="I477" i="51"/>
  <c r="J477" i="51"/>
  <c r="K477" i="51"/>
  <c r="L477" i="51"/>
  <c r="A478" i="51"/>
  <c r="B478" i="51"/>
  <c r="C478" i="51"/>
  <c r="D478" i="51"/>
  <c r="E478" i="51"/>
  <c r="F478" i="51"/>
  <c r="G478" i="51" a="1"/>
  <c r="G478" i="51" s="1"/>
  <c r="H478" i="51" a="1"/>
  <c r="H478" i="51" s="1"/>
  <c r="I478" i="51"/>
  <c r="J478" i="51"/>
  <c r="K478" i="51"/>
  <c r="L478" i="51"/>
  <c r="A479" i="51"/>
  <c r="B479" i="51"/>
  <c r="C479" i="51"/>
  <c r="D479" i="51"/>
  <c r="E479" i="51"/>
  <c r="F479" i="51"/>
  <c r="G479" i="51" a="1"/>
  <c r="G479" i="51" s="1"/>
  <c r="H479" i="51" a="1"/>
  <c r="H479" i="51"/>
  <c r="I479" i="51"/>
  <c r="J479" i="51"/>
  <c r="K479" i="51"/>
  <c r="L479" i="51"/>
  <c r="A480" i="51"/>
  <c r="B480" i="51"/>
  <c r="C480" i="51"/>
  <c r="D480" i="51"/>
  <c r="E480" i="51"/>
  <c r="F480" i="51"/>
  <c r="G480" i="51" a="1"/>
  <c r="G480" i="51" s="1"/>
  <c r="H480" i="51" a="1"/>
  <c r="H480" i="51" s="1"/>
  <c r="I480" i="51"/>
  <c r="J480" i="51"/>
  <c r="K480" i="51"/>
  <c r="L480" i="51"/>
  <c r="A481" i="51"/>
  <c r="B481" i="51"/>
  <c r="C481" i="51"/>
  <c r="D481" i="51"/>
  <c r="E481" i="51"/>
  <c r="F481" i="51"/>
  <c r="G481" i="51" a="1"/>
  <c r="G481" i="51" s="1"/>
  <c r="H481" i="51" a="1"/>
  <c r="H481" i="51" s="1"/>
  <c r="I481" i="51"/>
  <c r="J481" i="51"/>
  <c r="K481" i="51"/>
  <c r="L481" i="51"/>
  <c r="A482" i="51"/>
  <c r="B482" i="51"/>
  <c r="C482" i="51"/>
  <c r="D482" i="51"/>
  <c r="E482" i="51"/>
  <c r="F482" i="51"/>
  <c r="G482" i="51" a="1"/>
  <c r="G482" i="51" s="1"/>
  <c r="H482" i="51" a="1"/>
  <c r="H482" i="51" s="1"/>
  <c r="I482" i="51"/>
  <c r="J482" i="51"/>
  <c r="K482" i="51"/>
  <c r="L482" i="51"/>
  <c r="A483" i="51"/>
  <c r="B483" i="51"/>
  <c r="C483" i="51"/>
  <c r="D483" i="51"/>
  <c r="E483" i="51"/>
  <c r="F483" i="51"/>
  <c r="G483" i="51" a="1"/>
  <c r="G483" i="51" s="1"/>
  <c r="H483" i="51" a="1"/>
  <c r="H483" i="51" s="1"/>
  <c r="I483" i="51"/>
  <c r="J483" i="51"/>
  <c r="K483" i="51"/>
  <c r="L483" i="51"/>
  <c r="A484" i="51"/>
  <c r="B484" i="51"/>
  <c r="C484" i="51"/>
  <c r="D484" i="51"/>
  <c r="E484" i="51"/>
  <c r="F484" i="51"/>
  <c r="G484" i="51" a="1"/>
  <c r="G484" i="51" s="1"/>
  <c r="H484" i="51" a="1"/>
  <c r="H484" i="51" s="1"/>
  <c r="I484" i="51"/>
  <c r="J484" i="51"/>
  <c r="K484" i="51"/>
  <c r="L484" i="51"/>
  <c r="A485" i="51"/>
  <c r="B485" i="51"/>
  <c r="C485" i="51"/>
  <c r="D485" i="51"/>
  <c r="E485" i="51"/>
  <c r="F485" i="51"/>
  <c r="G485" i="51" a="1"/>
  <c r="G485" i="51" s="1"/>
  <c r="H485" i="51" a="1"/>
  <c r="H485" i="51" s="1"/>
  <c r="I485" i="51"/>
  <c r="J485" i="51"/>
  <c r="K485" i="51"/>
  <c r="L485" i="51"/>
  <c r="A486" i="51"/>
  <c r="B486" i="51"/>
  <c r="C486" i="51"/>
  <c r="D486" i="51"/>
  <c r="E486" i="51"/>
  <c r="F486" i="51"/>
  <c r="G486" i="51" a="1"/>
  <c r="G486" i="51" s="1"/>
  <c r="H486" i="51" a="1"/>
  <c r="H486" i="51" s="1"/>
  <c r="I486" i="51"/>
  <c r="J486" i="51"/>
  <c r="K486" i="51"/>
  <c r="L486" i="51"/>
  <c r="A487" i="51"/>
  <c r="B487" i="51"/>
  <c r="C487" i="51"/>
  <c r="D487" i="51"/>
  <c r="E487" i="51"/>
  <c r="F487" i="51"/>
  <c r="G487" i="51" a="1"/>
  <c r="G487" i="51" s="1"/>
  <c r="H487" i="51" a="1"/>
  <c r="H487" i="51" s="1"/>
  <c r="I487" i="51"/>
  <c r="J487" i="51"/>
  <c r="K487" i="51"/>
  <c r="L487" i="51"/>
  <c r="A488" i="51"/>
  <c r="B488" i="51"/>
  <c r="C488" i="51"/>
  <c r="D488" i="51"/>
  <c r="E488" i="51"/>
  <c r="F488" i="51"/>
  <c r="G488" i="51" a="1"/>
  <c r="G488" i="51" s="1"/>
  <c r="H488" i="51" a="1"/>
  <c r="H488" i="51" s="1"/>
  <c r="I488" i="51"/>
  <c r="J488" i="51"/>
  <c r="K488" i="51"/>
  <c r="L488" i="51"/>
  <c r="A489" i="51"/>
  <c r="B489" i="51"/>
  <c r="C489" i="51"/>
  <c r="D489" i="51"/>
  <c r="E489" i="51"/>
  <c r="F489" i="51"/>
  <c r="G489" i="51" a="1"/>
  <c r="G489" i="51" s="1"/>
  <c r="H489" i="51" a="1"/>
  <c r="H489" i="51" s="1"/>
  <c r="I489" i="51"/>
  <c r="J489" i="51"/>
  <c r="K489" i="51"/>
  <c r="L489" i="51"/>
  <c r="A490" i="51"/>
  <c r="B490" i="51"/>
  <c r="C490" i="51"/>
  <c r="D490" i="51"/>
  <c r="E490" i="51"/>
  <c r="F490" i="51"/>
  <c r="G490" i="51" a="1"/>
  <c r="G490" i="51" s="1"/>
  <c r="H490" i="51" a="1"/>
  <c r="H490" i="51" s="1"/>
  <c r="I490" i="51"/>
  <c r="J490" i="51"/>
  <c r="K490" i="51"/>
  <c r="L490" i="51"/>
  <c r="A491" i="51"/>
  <c r="B491" i="51"/>
  <c r="C491" i="51"/>
  <c r="D491" i="51"/>
  <c r="E491" i="51"/>
  <c r="F491" i="51"/>
  <c r="G491" i="51" a="1"/>
  <c r="G491" i="51" s="1"/>
  <c r="H491" i="51" a="1"/>
  <c r="H491" i="51" s="1"/>
  <c r="I491" i="51"/>
  <c r="J491" i="51"/>
  <c r="K491" i="51"/>
  <c r="L491" i="51"/>
  <c r="A492" i="51"/>
  <c r="B492" i="51"/>
  <c r="C492" i="51"/>
  <c r="D492" i="51"/>
  <c r="E492" i="51"/>
  <c r="F492" i="51"/>
  <c r="G492" i="51" a="1"/>
  <c r="G492" i="51" s="1"/>
  <c r="H492" i="51" a="1"/>
  <c r="H492" i="51" s="1"/>
  <c r="I492" i="51"/>
  <c r="J492" i="51"/>
  <c r="K492" i="51"/>
  <c r="L492" i="51"/>
  <c r="A493" i="51"/>
  <c r="B493" i="51"/>
  <c r="C493" i="51"/>
  <c r="D493" i="51"/>
  <c r="E493" i="51"/>
  <c r="F493" i="51"/>
  <c r="G493" i="51" a="1"/>
  <c r="G493" i="51" s="1"/>
  <c r="H493" i="51" a="1"/>
  <c r="H493" i="51" s="1"/>
  <c r="I493" i="51"/>
  <c r="J493" i="51"/>
  <c r="K493" i="51"/>
  <c r="L493" i="51"/>
  <c r="A494" i="51"/>
  <c r="B494" i="51"/>
  <c r="C494" i="51"/>
  <c r="D494" i="51"/>
  <c r="E494" i="51"/>
  <c r="F494" i="51"/>
  <c r="G494" i="51" a="1"/>
  <c r="G494" i="51" s="1"/>
  <c r="H494" i="51" a="1"/>
  <c r="H494" i="51" s="1"/>
  <c r="I494" i="51"/>
  <c r="J494" i="51"/>
  <c r="K494" i="51"/>
  <c r="L494" i="51"/>
  <c r="A495" i="51"/>
  <c r="B495" i="51"/>
  <c r="C495" i="51"/>
  <c r="D495" i="51"/>
  <c r="E495" i="51"/>
  <c r="F495" i="51"/>
  <c r="G495" i="51" a="1"/>
  <c r="G495" i="51" s="1"/>
  <c r="H495" i="51" a="1"/>
  <c r="H495" i="51" s="1"/>
  <c r="I495" i="51"/>
  <c r="J495" i="51"/>
  <c r="K495" i="51"/>
  <c r="L495" i="51"/>
  <c r="A496" i="51"/>
  <c r="B496" i="51"/>
  <c r="C496" i="51"/>
  <c r="D496" i="51"/>
  <c r="E496" i="51"/>
  <c r="F496" i="51"/>
  <c r="G496" i="51" a="1"/>
  <c r="G496" i="51" s="1"/>
  <c r="H496" i="51" a="1"/>
  <c r="H496" i="51" s="1"/>
  <c r="I496" i="51"/>
  <c r="J496" i="51"/>
  <c r="K496" i="51"/>
  <c r="L496" i="51"/>
  <c r="A497" i="51"/>
  <c r="B497" i="51"/>
  <c r="C497" i="51"/>
  <c r="D497" i="51"/>
  <c r="E497" i="51"/>
  <c r="F497" i="51"/>
  <c r="G497" i="51" a="1"/>
  <c r="G497" i="51" s="1"/>
  <c r="H497" i="51" a="1"/>
  <c r="H497" i="51" s="1"/>
  <c r="I497" i="51"/>
  <c r="J497" i="51"/>
  <c r="K497" i="51"/>
  <c r="L497" i="51"/>
  <c r="A498" i="51"/>
  <c r="B498" i="51"/>
  <c r="C498" i="51"/>
  <c r="D498" i="51"/>
  <c r="E498" i="51"/>
  <c r="F498" i="51"/>
  <c r="G498" i="51" a="1"/>
  <c r="G498" i="51" s="1"/>
  <c r="H498" i="51" a="1"/>
  <c r="H498" i="51" s="1"/>
  <c r="I498" i="51"/>
  <c r="J498" i="51"/>
  <c r="K498" i="51"/>
  <c r="L498" i="51"/>
  <c r="A499" i="51"/>
  <c r="B499" i="51"/>
  <c r="C499" i="51"/>
  <c r="D499" i="51"/>
  <c r="E499" i="51"/>
  <c r="F499" i="51"/>
  <c r="G499" i="51" a="1"/>
  <c r="G499" i="51" s="1"/>
  <c r="H499" i="51" a="1"/>
  <c r="H499" i="51" s="1"/>
  <c r="I499" i="51"/>
  <c r="J499" i="51"/>
  <c r="K499" i="51"/>
  <c r="L499" i="51"/>
  <c r="A500" i="51"/>
  <c r="B500" i="51"/>
  <c r="C500" i="51"/>
  <c r="D500" i="51"/>
  <c r="E500" i="51"/>
  <c r="F500" i="51"/>
  <c r="G500" i="51" a="1"/>
  <c r="G500" i="51" s="1"/>
  <c r="H500" i="51" a="1"/>
  <c r="H500" i="51" s="1"/>
  <c r="I500" i="51"/>
  <c r="J500" i="51"/>
  <c r="K500" i="51"/>
  <c r="L500" i="51"/>
  <c r="A501" i="51"/>
  <c r="B501" i="51"/>
  <c r="C501" i="51"/>
  <c r="D501" i="51"/>
  <c r="E501" i="51"/>
  <c r="F501" i="51"/>
  <c r="G501" i="51" a="1"/>
  <c r="G501" i="51" s="1"/>
  <c r="H501" i="51" a="1"/>
  <c r="H501" i="51" s="1"/>
  <c r="I501" i="51"/>
  <c r="J501" i="51"/>
  <c r="K501" i="51"/>
  <c r="L501" i="51"/>
  <c r="A502" i="51"/>
  <c r="B502" i="51"/>
  <c r="C502" i="51"/>
  <c r="D502" i="51"/>
  <c r="E502" i="51"/>
  <c r="F502" i="51"/>
  <c r="G502" i="51" a="1"/>
  <c r="G502" i="51" s="1"/>
  <c r="H502" i="51" a="1"/>
  <c r="H502" i="51" s="1"/>
  <c r="I502" i="51"/>
  <c r="J502" i="51"/>
  <c r="K502" i="51"/>
  <c r="L502" i="51"/>
  <c r="A503" i="51"/>
  <c r="B503" i="51"/>
  <c r="C503" i="51"/>
  <c r="D503" i="51"/>
  <c r="E503" i="51"/>
  <c r="F503" i="51"/>
  <c r="G503" i="51" a="1"/>
  <c r="G503" i="51" s="1"/>
  <c r="H503" i="51" a="1"/>
  <c r="H503" i="51" s="1"/>
  <c r="I503" i="51"/>
  <c r="J503" i="51"/>
  <c r="K503" i="51"/>
  <c r="L503" i="51"/>
  <c r="A504" i="51"/>
  <c r="B504" i="51"/>
  <c r="C504" i="51"/>
  <c r="D504" i="51"/>
  <c r="E504" i="51"/>
  <c r="F504" i="51"/>
  <c r="G504" i="51" a="1"/>
  <c r="G504" i="51" s="1"/>
  <c r="H504" i="51" a="1"/>
  <c r="H504" i="51" s="1"/>
  <c r="I504" i="51"/>
  <c r="J504" i="51"/>
  <c r="K504" i="51"/>
  <c r="L504" i="51"/>
  <c r="A505" i="51"/>
  <c r="B505" i="51"/>
  <c r="C505" i="51"/>
  <c r="D505" i="51"/>
  <c r="E505" i="51"/>
  <c r="F505" i="51"/>
  <c r="G505" i="51" a="1"/>
  <c r="G505" i="51" s="1"/>
  <c r="H505" i="51" a="1"/>
  <c r="H505" i="51" s="1"/>
  <c r="I505" i="51"/>
  <c r="J505" i="51"/>
  <c r="K505" i="51"/>
  <c r="L505" i="51"/>
  <c r="A506" i="51"/>
  <c r="B506" i="51"/>
  <c r="C506" i="51"/>
  <c r="D506" i="51"/>
  <c r="E506" i="51"/>
  <c r="F506" i="51"/>
  <c r="G506" i="51" a="1"/>
  <c r="G506" i="51" s="1"/>
  <c r="H506" i="51" a="1"/>
  <c r="H506" i="51" s="1"/>
  <c r="I506" i="51"/>
  <c r="J506" i="51"/>
  <c r="K506" i="51"/>
  <c r="L506" i="51"/>
  <c r="A507" i="51"/>
  <c r="B507" i="51"/>
  <c r="C507" i="51"/>
  <c r="D507" i="51"/>
  <c r="E507" i="51"/>
  <c r="F507" i="51"/>
  <c r="G507" i="51" a="1"/>
  <c r="G507" i="51" s="1"/>
  <c r="H507" i="51" a="1"/>
  <c r="H507" i="51" s="1"/>
  <c r="I507" i="51"/>
  <c r="J507" i="51"/>
  <c r="K507" i="51"/>
  <c r="L507" i="51"/>
  <c r="A508" i="51"/>
  <c r="B508" i="51"/>
  <c r="C508" i="51"/>
  <c r="D508" i="51"/>
  <c r="E508" i="51"/>
  <c r="F508" i="51"/>
  <c r="G508" i="51" a="1"/>
  <c r="G508" i="51" s="1"/>
  <c r="H508" i="51" a="1"/>
  <c r="H508" i="51" s="1"/>
  <c r="I508" i="51"/>
  <c r="J508" i="51"/>
  <c r="K508" i="51"/>
  <c r="L508" i="51"/>
  <c r="A509" i="51"/>
  <c r="B509" i="51"/>
  <c r="C509" i="51"/>
  <c r="D509" i="51"/>
  <c r="E509" i="51"/>
  <c r="F509" i="51"/>
  <c r="G509" i="51" a="1"/>
  <c r="G509" i="51" s="1"/>
  <c r="H509" i="51" a="1"/>
  <c r="H509" i="51" s="1"/>
  <c r="I509" i="51"/>
  <c r="J509" i="51"/>
  <c r="K509" i="51"/>
  <c r="L509" i="51"/>
  <c r="A510" i="51"/>
  <c r="B510" i="51"/>
  <c r="C510" i="51"/>
  <c r="D510" i="51"/>
  <c r="E510" i="51"/>
  <c r="F510" i="51"/>
  <c r="G510" i="51" a="1"/>
  <c r="G510" i="51" s="1"/>
  <c r="H510" i="51" a="1"/>
  <c r="H510" i="51" s="1"/>
  <c r="I510" i="51"/>
  <c r="J510" i="51"/>
  <c r="K510" i="51"/>
  <c r="L510" i="51"/>
  <c r="A511" i="51"/>
  <c r="B511" i="51"/>
  <c r="C511" i="51"/>
  <c r="D511" i="51"/>
  <c r="E511" i="51"/>
  <c r="F511" i="51"/>
  <c r="G511" i="51" a="1"/>
  <c r="G511" i="51" s="1"/>
  <c r="H511" i="51" a="1"/>
  <c r="H511" i="51" s="1"/>
  <c r="I511" i="51"/>
  <c r="J511" i="51"/>
  <c r="K511" i="51"/>
  <c r="L511" i="51"/>
  <c r="A512" i="51"/>
  <c r="B512" i="51"/>
  <c r="C512" i="51"/>
  <c r="D512" i="51"/>
  <c r="E512" i="51"/>
  <c r="F512" i="51"/>
  <c r="G512" i="51" a="1"/>
  <c r="G512" i="51" s="1"/>
  <c r="H512" i="51" a="1"/>
  <c r="H512" i="51" s="1"/>
  <c r="I512" i="51"/>
  <c r="J512" i="51"/>
  <c r="K512" i="51"/>
  <c r="L512" i="51"/>
  <c r="A513" i="51"/>
  <c r="B513" i="51"/>
  <c r="C513" i="51"/>
  <c r="D513" i="51"/>
  <c r="E513" i="51"/>
  <c r="F513" i="51"/>
  <c r="G513" i="51" a="1"/>
  <c r="G513" i="51" s="1"/>
  <c r="H513" i="51" a="1"/>
  <c r="H513" i="51" s="1"/>
  <c r="I513" i="51"/>
  <c r="J513" i="51"/>
  <c r="K513" i="51"/>
  <c r="L513" i="51"/>
  <c r="A514" i="51"/>
  <c r="B514" i="51"/>
  <c r="C514" i="51"/>
  <c r="D514" i="51"/>
  <c r="E514" i="51"/>
  <c r="F514" i="51"/>
  <c r="G514" i="51" a="1"/>
  <c r="G514" i="51" s="1"/>
  <c r="H514" i="51" a="1"/>
  <c r="H514" i="51" s="1"/>
  <c r="I514" i="51"/>
  <c r="J514" i="51"/>
  <c r="K514" i="51"/>
  <c r="L514" i="51"/>
  <c r="A515" i="51"/>
  <c r="B515" i="51"/>
  <c r="C515" i="51"/>
  <c r="D515" i="51"/>
  <c r="E515" i="51"/>
  <c r="F515" i="51"/>
  <c r="G515" i="51" a="1"/>
  <c r="G515" i="51" s="1"/>
  <c r="H515" i="51" a="1"/>
  <c r="H515" i="51" s="1"/>
  <c r="I515" i="51"/>
  <c r="J515" i="51"/>
  <c r="K515" i="51"/>
  <c r="L515" i="51"/>
  <c r="A516" i="51"/>
  <c r="B516" i="51"/>
  <c r="C516" i="51"/>
  <c r="D516" i="51"/>
  <c r="E516" i="51"/>
  <c r="F516" i="51"/>
  <c r="G516" i="51" a="1"/>
  <c r="G516" i="51" s="1"/>
  <c r="H516" i="51" a="1"/>
  <c r="H516" i="51" s="1"/>
  <c r="I516" i="51"/>
  <c r="J516" i="51"/>
  <c r="K516" i="51"/>
  <c r="L516" i="51"/>
  <c r="A517" i="51"/>
  <c r="B517" i="51"/>
  <c r="C517" i="51"/>
  <c r="D517" i="51"/>
  <c r="E517" i="51"/>
  <c r="F517" i="51"/>
  <c r="G517" i="51" a="1"/>
  <c r="G517" i="51" s="1"/>
  <c r="H517" i="51" a="1"/>
  <c r="H517" i="51" s="1"/>
  <c r="I517" i="51"/>
  <c r="J517" i="51"/>
  <c r="K517" i="51"/>
  <c r="L517" i="51"/>
  <c r="A518" i="51"/>
  <c r="B518" i="51"/>
  <c r="C518" i="51"/>
  <c r="D518" i="51"/>
  <c r="E518" i="51"/>
  <c r="F518" i="51"/>
  <c r="G518" i="51" a="1"/>
  <c r="G518" i="51" s="1"/>
  <c r="H518" i="51" a="1"/>
  <c r="H518" i="51" s="1"/>
  <c r="I518" i="51"/>
  <c r="J518" i="51"/>
  <c r="K518" i="51"/>
  <c r="L518" i="51"/>
  <c r="A519" i="51"/>
  <c r="B519" i="51"/>
  <c r="C519" i="51"/>
  <c r="D519" i="51"/>
  <c r="E519" i="51"/>
  <c r="F519" i="51"/>
  <c r="G519" i="51" a="1"/>
  <c r="G519" i="51" s="1"/>
  <c r="H519" i="51" a="1"/>
  <c r="H519" i="51" s="1"/>
  <c r="I519" i="51"/>
  <c r="J519" i="51"/>
  <c r="K519" i="51"/>
  <c r="L519" i="51"/>
  <c r="A520" i="51"/>
  <c r="B520" i="51"/>
  <c r="C520" i="51"/>
  <c r="D520" i="51"/>
  <c r="E520" i="51"/>
  <c r="F520" i="51"/>
  <c r="G520" i="51" a="1"/>
  <c r="G520" i="51" s="1"/>
  <c r="H520" i="51" a="1"/>
  <c r="H520" i="51" s="1"/>
  <c r="I520" i="51"/>
  <c r="J520" i="51"/>
  <c r="K520" i="51"/>
  <c r="L520" i="51"/>
  <c r="A521" i="51"/>
  <c r="B521" i="51"/>
  <c r="C521" i="51"/>
  <c r="D521" i="51"/>
  <c r="E521" i="51"/>
  <c r="F521" i="51"/>
  <c r="G521" i="51" a="1"/>
  <c r="G521" i="51" s="1"/>
  <c r="H521" i="51" a="1"/>
  <c r="H521" i="51" s="1"/>
  <c r="I521" i="51"/>
  <c r="J521" i="51"/>
  <c r="K521" i="51"/>
  <c r="L521" i="51"/>
  <c r="A522" i="51"/>
  <c r="B522" i="51"/>
  <c r="C522" i="51"/>
  <c r="D522" i="51"/>
  <c r="E522" i="51"/>
  <c r="F522" i="51"/>
  <c r="G522" i="51" a="1"/>
  <c r="G522" i="51" s="1"/>
  <c r="H522" i="51" a="1"/>
  <c r="H522" i="51" s="1"/>
  <c r="I522" i="51"/>
  <c r="J522" i="51"/>
  <c r="K522" i="51"/>
  <c r="L522" i="51"/>
  <c r="A523" i="51"/>
  <c r="B523" i="51"/>
  <c r="C523" i="51"/>
  <c r="D523" i="51"/>
  <c r="E523" i="51"/>
  <c r="F523" i="51"/>
  <c r="G523" i="51" a="1"/>
  <c r="G523" i="51" s="1"/>
  <c r="H523" i="51" a="1"/>
  <c r="H523" i="51" s="1"/>
  <c r="I523" i="51"/>
  <c r="J523" i="51"/>
  <c r="K523" i="51"/>
  <c r="L523" i="51"/>
  <c r="A524" i="51"/>
  <c r="B524" i="51"/>
  <c r="C524" i="51"/>
  <c r="D524" i="51"/>
  <c r="E524" i="51"/>
  <c r="F524" i="51"/>
  <c r="G524" i="51" a="1"/>
  <c r="G524" i="51" s="1"/>
  <c r="H524" i="51" a="1"/>
  <c r="H524" i="51" s="1"/>
  <c r="I524" i="51"/>
  <c r="J524" i="51"/>
  <c r="K524" i="51"/>
  <c r="L524" i="51"/>
  <c r="A525" i="51"/>
  <c r="B525" i="51"/>
  <c r="C525" i="51"/>
  <c r="D525" i="51"/>
  <c r="E525" i="51"/>
  <c r="F525" i="51"/>
  <c r="G525" i="51" a="1"/>
  <c r="G525" i="51" s="1"/>
  <c r="H525" i="51" a="1"/>
  <c r="H525" i="51" s="1"/>
  <c r="I525" i="51"/>
  <c r="J525" i="51"/>
  <c r="K525" i="51"/>
  <c r="L525" i="51"/>
  <c r="A526" i="51"/>
  <c r="B526" i="51"/>
  <c r="C526" i="51"/>
  <c r="D526" i="51"/>
  <c r="E526" i="51"/>
  <c r="F526" i="51"/>
  <c r="G526" i="51" a="1"/>
  <c r="G526" i="51" s="1"/>
  <c r="H526" i="51" a="1"/>
  <c r="H526" i="51" s="1"/>
  <c r="I526" i="51"/>
  <c r="J526" i="51"/>
  <c r="K526" i="51"/>
  <c r="L526" i="51"/>
  <c r="A527" i="51"/>
  <c r="B527" i="51"/>
  <c r="C527" i="51"/>
  <c r="D527" i="51"/>
  <c r="E527" i="51"/>
  <c r="F527" i="51"/>
  <c r="G527" i="51" a="1"/>
  <c r="G527" i="51" s="1"/>
  <c r="H527" i="51" a="1"/>
  <c r="H527" i="51" s="1"/>
  <c r="I527" i="51"/>
  <c r="J527" i="51"/>
  <c r="K527" i="51"/>
  <c r="L527" i="51"/>
  <c r="A528" i="51"/>
  <c r="B528" i="51"/>
  <c r="C528" i="51"/>
  <c r="D528" i="51"/>
  <c r="E528" i="51"/>
  <c r="F528" i="51"/>
  <c r="G528" i="51" a="1"/>
  <c r="G528" i="51" s="1"/>
  <c r="H528" i="51" a="1"/>
  <c r="H528" i="51" s="1"/>
  <c r="I528" i="51"/>
  <c r="J528" i="51"/>
  <c r="K528" i="51"/>
  <c r="L528" i="51"/>
  <c r="A529" i="51"/>
  <c r="B529" i="51"/>
  <c r="C529" i="51"/>
  <c r="D529" i="51"/>
  <c r="E529" i="51"/>
  <c r="F529" i="51"/>
  <c r="G529" i="51" a="1"/>
  <c r="G529" i="51" s="1"/>
  <c r="H529" i="51" a="1"/>
  <c r="H529" i="51" s="1"/>
  <c r="I529" i="51"/>
  <c r="J529" i="51"/>
  <c r="K529" i="51"/>
  <c r="L529" i="51"/>
  <c r="A530" i="51"/>
  <c r="B530" i="51"/>
  <c r="C530" i="51"/>
  <c r="D530" i="51"/>
  <c r="E530" i="51"/>
  <c r="F530" i="51"/>
  <c r="G530" i="51" a="1"/>
  <c r="G530" i="51" s="1"/>
  <c r="H530" i="51" a="1"/>
  <c r="H530" i="51" s="1"/>
  <c r="I530" i="51"/>
  <c r="J530" i="51"/>
  <c r="K530" i="51"/>
  <c r="L530" i="51"/>
  <c r="A531" i="51"/>
  <c r="B531" i="51"/>
  <c r="C531" i="51"/>
  <c r="D531" i="51"/>
  <c r="E531" i="51"/>
  <c r="F531" i="51"/>
  <c r="G531" i="51" a="1"/>
  <c r="G531" i="51" s="1"/>
  <c r="H531" i="51" a="1"/>
  <c r="H531" i="51" s="1"/>
  <c r="I531" i="51"/>
  <c r="J531" i="51"/>
  <c r="K531" i="51"/>
  <c r="L531" i="51"/>
  <c r="A532" i="51"/>
  <c r="B532" i="51"/>
  <c r="C532" i="51"/>
  <c r="D532" i="51"/>
  <c r="E532" i="51"/>
  <c r="F532" i="51"/>
  <c r="G532" i="51" a="1"/>
  <c r="G532" i="51" s="1"/>
  <c r="H532" i="51" a="1"/>
  <c r="H532" i="51" s="1"/>
  <c r="I532" i="51"/>
  <c r="J532" i="51"/>
  <c r="K532" i="51"/>
  <c r="L532" i="51"/>
  <c r="A533" i="51"/>
  <c r="B533" i="51"/>
  <c r="C533" i="51"/>
  <c r="D533" i="51"/>
  <c r="E533" i="51"/>
  <c r="F533" i="51"/>
  <c r="G533" i="51" a="1"/>
  <c r="G533" i="51" s="1"/>
  <c r="H533" i="51" a="1"/>
  <c r="H533" i="51" s="1"/>
  <c r="I533" i="51"/>
  <c r="J533" i="51"/>
  <c r="K533" i="51"/>
  <c r="L533" i="51"/>
  <c r="A534" i="51"/>
  <c r="B534" i="51"/>
  <c r="C534" i="51"/>
  <c r="D534" i="51"/>
  <c r="E534" i="51"/>
  <c r="F534" i="51"/>
  <c r="G534" i="51" a="1"/>
  <c r="G534" i="51" s="1"/>
  <c r="H534" i="51" a="1"/>
  <c r="H534" i="51" s="1"/>
  <c r="I534" i="51"/>
  <c r="J534" i="51"/>
  <c r="K534" i="51"/>
  <c r="L534" i="51"/>
  <c r="A535" i="51"/>
  <c r="B535" i="51"/>
  <c r="C535" i="51"/>
  <c r="D535" i="51"/>
  <c r="E535" i="51"/>
  <c r="F535" i="51"/>
  <c r="G535" i="51" a="1"/>
  <c r="G535" i="51" s="1"/>
  <c r="H535" i="51" a="1"/>
  <c r="H535" i="51" s="1"/>
  <c r="I535" i="51"/>
  <c r="J535" i="51"/>
  <c r="K535" i="51"/>
  <c r="L535" i="51"/>
  <c r="A536" i="51"/>
  <c r="B536" i="51"/>
  <c r="C536" i="51"/>
  <c r="D536" i="51"/>
  <c r="E536" i="51"/>
  <c r="F536" i="51"/>
  <c r="G536" i="51" a="1"/>
  <c r="G536" i="51" s="1"/>
  <c r="H536" i="51" a="1"/>
  <c r="H536" i="51" s="1"/>
  <c r="I536" i="51"/>
  <c r="J536" i="51"/>
  <c r="K536" i="51"/>
  <c r="L536" i="51"/>
  <c r="A537" i="51"/>
  <c r="B537" i="51"/>
  <c r="C537" i="51"/>
  <c r="D537" i="51"/>
  <c r="E537" i="51"/>
  <c r="F537" i="51"/>
  <c r="G537" i="51" a="1"/>
  <c r="G537" i="51" s="1"/>
  <c r="H537" i="51" a="1"/>
  <c r="H537" i="51"/>
  <c r="I537" i="51"/>
  <c r="J537" i="51"/>
  <c r="K537" i="51"/>
  <c r="L537" i="51"/>
  <c r="A538" i="51"/>
  <c r="B538" i="51"/>
  <c r="C538" i="51"/>
  <c r="D538" i="51"/>
  <c r="E538" i="51"/>
  <c r="F538" i="51"/>
  <c r="G538" i="51" a="1"/>
  <c r="G538" i="51"/>
  <c r="H538" i="51" a="1"/>
  <c r="H538" i="51" s="1"/>
  <c r="I538" i="51"/>
  <c r="J538" i="51"/>
  <c r="K538" i="51"/>
  <c r="L538" i="51"/>
  <c r="A539" i="51"/>
  <c r="B539" i="51"/>
  <c r="C539" i="51"/>
  <c r="D539" i="51"/>
  <c r="E539" i="51"/>
  <c r="F539" i="51"/>
  <c r="G539" i="51" a="1"/>
  <c r="G539" i="51" s="1"/>
  <c r="H539" i="51" a="1"/>
  <c r="H539" i="51" s="1"/>
  <c r="I539" i="51"/>
  <c r="J539" i="51"/>
  <c r="K539" i="51"/>
  <c r="L539" i="51"/>
  <c r="A540" i="51"/>
  <c r="B540" i="51"/>
  <c r="C540" i="51"/>
  <c r="D540" i="51"/>
  <c r="E540" i="51"/>
  <c r="F540" i="51"/>
  <c r="G540" i="51" a="1"/>
  <c r="G540" i="51" s="1"/>
  <c r="H540" i="51" a="1"/>
  <c r="H540" i="51" s="1"/>
  <c r="I540" i="51"/>
  <c r="J540" i="51"/>
  <c r="K540" i="51"/>
  <c r="L540" i="51"/>
  <c r="A541" i="51"/>
  <c r="B541" i="51"/>
  <c r="C541" i="51"/>
  <c r="D541" i="51"/>
  <c r="E541" i="51"/>
  <c r="F541" i="51"/>
  <c r="G541" i="51" a="1"/>
  <c r="G541" i="51" s="1"/>
  <c r="H541" i="51" a="1"/>
  <c r="H541" i="51" s="1"/>
  <c r="I541" i="51"/>
  <c r="J541" i="51"/>
  <c r="K541" i="51"/>
  <c r="L541" i="51"/>
  <c r="A542" i="51"/>
  <c r="B542" i="51"/>
  <c r="C542" i="51"/>
  <c r="D542" i="51"/>
  <c r="E542" i="51"/>
  <c r="F542" i="51"/>
  <c r="G542" i="51" a="1"/>
  <c r="G542" i="51" s="1"/>
  <c r="H542" i="51" a="1"/>
  <c r="H542" i="51" s="1"/>
  <c r="I542" i="51"/>
  <c r="J542" i="51"/>
  <c r="K542" i="51"/>
  <c r="L542" i="51"/>
  <c r="A543" i="51"/>
  <c r="B543" i="51"/>
  <c r="C543" i="51"/>
  <c r="D543" i="51"/>
  <c r="E543" i="51"/>
  <c r="F543" i="51"/>
  <c r="G543" i="51" a="1"/>
  <c r="G543" i="51" s="1"/>
  <c r="H543" i="51" a="1"/>
  <c r="H543" i="51" s="1"/>
  <c r="I543" i="51"/>
  <c r="J543" i="51"/>
  <c r="K543" i="51"/>
  <c r="L543" i="51"/>
  <c r="A544" i="51"/>
  <c r="B544" i="51"/>
  <c r="C544" i="51"/>
  <c r="D544" i="51"/>
  <c r="E544" i="51"/>
  <c r="F544" i="51"/>
  <c r="G544" i="51" a="1"/>
  <c r="G544" i="51" s="1"/>
  <c r="H544" i="51" a="1"/>
  <c r="H544" i="51" s="1"/>
  <c r="I544" i="51"/>
  <c r="J544" i="51"/>
  <c r="K544" i="51"/>
  <c r="L544" i="51"/>
  <c r="A545" i="51"/>
  <c r="B545" i="51"/>
  <c r="C545" i="51"/>
  <c r="D545" i="51"/>
  <c r="E545" i="51"/>
  <c r="F545" i="51"/>
  <c r="G545" i="51" a="1"/>
  <c r="G545" i="51" s="1"/>
  <c r="H545" i="51" a="1"/>
  <c r="H545" i="51" s="1"/>
  <c r="I545" i="51"/>
  <c r="J545" i="51"/>
  <c r="K545" i="51"/>
  <c r="L545" i="51"/>
  <c r="A546" i="51"/>
  <c r="B546" i="51"/>
  <c r="C546" i="51"/>
  <c r="D546" i="51"/>
  <c r="E546" i="51"/>
  <c r="F546" i="51"/>
  <c r="G546" i="51" a="1"/>
  <c r="G546" i="51" s="1"/>
  <c r="H546" i="51" a="1"/>
  <c r="H546" i="51" s="1"/>
  <c r="I546" i="51"/>
  <c r="J546" i="51"/>
  <c r="K546" i="51"/>
  <c r="L546" i="51"/>
  <c r="A547" i="51"/>
  <c r="B547" i="51"/>
  <c r="C547" i="51"/>
  <c r="D547" i="51"/>
  <c r="E547" i="51"/>
  <c r="F547" i="51"/>
  <c r="G547" i="51" a="1"/>
  <c r="G547" i="51" s="1"/>
  <c r="H547" i="51" a="1"/>
  <c r="H547" i="51" s="1"/>
  <c r="I547" i="51"/>
  <c r="J547" i="51"/>
  <c r="K547" i="51"/>
  <c r="L547" i="51"/>
  <c r="A548" i="51"/>
  <c r="B548" i="51"/>
  <c r="C548" i="51"/>
  <c r="D548" i="51"/>
  <c r="E548" i="51"/>
  <c r="F548" i="51"/>
  <c r="G548" i="51" a="1"/>
  <c r="G548" i="51" s="1"/>
  <c r="H548" i="51" a="1"/>
  <c r="H548" i="51" s="1"/>
  <c r="I548" i="51"/>
  <c r="J548" i="51"/>
  <c r="K548" i="51"/>
  <c r="L548" i="51"/>
  <c r="A549" i="51"/>
  <c r="B549" i="51"/>
  <c r="C549" i="51"/>
  <c r="D549" i="51"/>
  <c r="E549" i="51"/>
  <c r="F549" i="51"/>
  <c r="G549" i="51" a="1"/>
  <c r="G549" i="51" s="1"/>
  <c r="H549" i="51" a="1"/>
  <c r="H549" i="51" s="1"/>
  <c r="I549" i="51"/>
  <c r="J549" i="51"/>
  <c r="K549" i="51"/>
  <c r="L549" i="51"/>
  <c r="A550" i="51"/>
  <c r="B550" i="51"/>
  <c r="C550" i="51"/>
  <c r="D550" i="51"/>
  <c r="E550" i="51"/>
  <c r="F550" i="51"/>
  <c r="G550" i="51" a="1"/>
  <c r="G550" i="51" s="1"/>
  <c r="H550" i="51" a="1"/>
  <c r="H550" i="51" s="1"/>
  <c r="I550" i="51"/>
  <c r="J550" i="51"/>
  <c r="K550" i="51"/>
  <c r="L550" i="51"/>
  <c r="A551" i="51"/>
  <c r="B551" i="51"/>
  <c r="C551" i="51"/>
  <c r="D551" i="51"/>
  <c r="E551" i="51"/>
  <c r="F551" i="51"/>
  <c r="G551" i="51" a="1"/>
  <c r="G551" i="51" s="1"/>
  <c r="H551" i="51" a="1"/>
  <c r="H551" i="51" s="1"/>
  <c r="I551" i="51"/>
  <c r="J551" i="51"/>
  <c r="K551" i="51"/>
  <c r="L551" i="51"/>
  <c r="A552" i="51"/>
  <c r="B552" i="51"/>
  <c r="C552" i="51"/>
  <c r="D552" i="51"/>
  <c r="E552" i="51"/>
  <c r="F552" i="51"/>
  <c r="G552" i="51" a="1"/>
  <c r="G552" i="51" s="1"/>
  <c r="H552" i="51" a="1"/>
  <c r="H552" i="51" s="1"/>
  <c r="I552" i="51"/>
  <c r="J552" i="51"/>
  <c r="K552" i="51"/>
  <c r="L552" i="51"/>
  <c r="A553" i="51"/>
  <c r="B553" i="51"/>
  <c r="C553" i="51"/>
  <c r="D553" i="51"/>
  <c r="E553" i="51"/>
  <c r="F553" i="51"/>
  <c r="G553" i="51" a="1"/>
  <c r="G553" i="51" s="1"/>
  <c r="H553" i="51" a="1"/>
  <c r="H553" i="51" s="1"/>
  <c r="I553" i="51"/>
  <c r="J553" i="51"/>
  <c r="K553" i="51"/>
  <c r="L553" i="51"/>
  <c r="A554" i="51"/>
  <c r="B554" i="51"/>
  <c r="C554" i="51"/>
  <c r="D554" i="51"/>
  <c r="E554" i="51"/>
  <c r="F554" i="51"/>
  <c r="G554" i="51" a="1"/>
  <c r="G554" i="51" s="1"/>
  <c r="H554" i="51" a="1"/>
  <c r="H554" i="51" s="1"/>
  <c r="I554" i="51"/>
  <c r="J554" i="51"/>
  <c r="K554" i="51"/>
  <c r="L554" i="51"/>
  <c r="A555" i="51"/>
  <c r="B555" i="51"/>
  <c r="C555" i="51"/>
  <c r="D555" i="51"/>
  <c r="E555" i="51"/>
  <c r="F555" i="51"/>
  <c r="G555" i="51" a="1"/>
  <c r="G555" i="51" s="1"/>
  <c r="H555" i="51" a="1"/>
  <c r="H555" i="51" s="1"/>
  <c r="I555" i="51"/>
  <c r="J555" i="51"/>
  <c r="K555" i="51"/>
  <c r="L555" i="51"/>
  <c r="A556" i="51"/>
  <c r="B556" i="51"/>
  <c r="C556" i="51"/>
  <c r="D556" i="51"/>
  <c r="E556" i="51"/>
  <c r="F556" i="51"/>
  <c r="G556" i="51" a="1"/>
  <c r="G556" i="51" s="1"/>
  <c r="H556" i="51" a="1"/>
  <c r="H556" i="51" s="1"/>
  <c r="I556" i="51"/>
  <c r="J556" i="51"/>
  <c r="K556" i="51"/>
  <c r="L556" i="51"/>
  <c r="A557" i="51"/>
  <c r="B557" i="51"/>
  <c r="C557" i="51"/>
  <c r="D557" i="51"/>
  <c r="E557" i="51"/>
  <c r="F557" i="51"/>
  <c r="G557" i="51" a="1"/>
  <c r="G557" i="51" s="1"/>
  <c r="H557" i="51" a="1"/>
  <c r="H557" i="51" s="1"/>
  <c r="I557" i="51"/>
  <c r="J557" i="51"/>
  <c r="K557" i="51"/>
  <c r="L557" i="51"/>
  <c r="A558" i="51"/>
  <c r="B558" i="51"/>
  <c r="C558" i="51"/>
  <c r="D558" i="51"/>
  <c r="E558" i="51"/>
  <c r="F558" i="51"/>
  <c r="G558" i="51" a="1"/>
  <c r="G558" i="51" s="1"/>
  <c r="H558" i="51" a="1"/>
  <c r="H558" i="51" s="1"/>
  <c r="I558" i="51"/>
  <c r="J558" i="51"/>
  <c r="K558" i="51"/>
  <c r="L558" i="51"/>
  <c r="A559" i="51"/>
  <c r="B559" i="51"/>
  <c r="C559" i="51"/>
  <c r="D559" i="51"/>
  <c r="E559" i="51"/>
  <c r="F559" i="51"/>
  <c r="G559" i="51" a="1"/>
  <c r="G559" i="51" s="1"/>
  <c r="H559" i="51" a="1"/>
  <c r="H559" i="51" s="1"/>
  <c r="I559" i="51"/>
  <c r="J559" i="51"/>
  <c r="K559" i="51"/>
  <c r="L559" i="51"/>
  <c r="A560" i="51"/>
  <c r="B560" i="51"/>
  <c r="C560" i="51"/>
  <c r="D560" i="51"/>
  <c r="E560" i="51"/>
  <c r="F560" i="51"/>
  <c r="G560" i="51" a="1"/>
  <c r="G560" i="51" s="1"/>
  <c r="H560" i="51" a="1"/>
  <c r="H560" i="51" s="1"/>
  <c r="I560" i="51"/>
  <c r="J560" i="51"/>
  <c r="K560" i="51"/>
  <c r="L560" i="51"/>
  <c r="A561" i="51"/>
  <c r="B561" i="51"/>
  <c r="C561" i="51"/>
  <c r="D561" i="51"/>
  <c r="E561" i="51"/>
  <c r="F561" i="51"/>
  <c r="G561" i="51" a="1"/>
  <c r="G561" i="51" s="1"/>
  <c r="H561" i="51" a="1"/>
  <c r="H561" i="51" s="1"/>
  <c r="I561" i="51"/>
  <c r="J561" i="51"/>
  <c r="K561" i="51"/>
  <c r="L561" i="51"/>
  <c r="A562" i="51"/>
  <c r="B562" i="51"/>
  <c r="C562" i="51"/>
  <c r="D562" i="51"/>
  <c r="E562" i="51"/>
  <c r="F562" i="51"/>
  <c r="G562" i="51" a="1"/>
  <c r="G562" i="51" s="1"/>
  <c r="H562" i="51" a="1"/>
  <c r="H562" i="51" s="1"/>
  <c r="I562" i="51"/>
  <c r="J562" i="51"/>
  <c r="K562" i="51"/>
  <c r="L562" i="51"/>
  <c r="A563" i="51"/>
  <c r="B563" i="51"/>
  <c r="C563" i="51"/>
  <c r="D563" i="51"/>
  <c r="E563" i="51"/>
  <c r="F563" i="51"/>
  <c r="G563" i="51" a="1"/>
  <c r="G563" i="51" s="1"/>
  <c r="H563" i="51" a="1"/>
  <c r="H563" i="51" s="1"/>
  <c r="I563" i="51"/>
  <c r="J563" i="51"/>
  <c r="K563" i="51"/>
  <c r="L563" i="51"/>
  <c r="A564" i="51"/>
  <c r="B564" i="51"/>
  <c r="C564" i="51"/>
  <c r="D564" i="51"/>
  <c r="E564" i="51"/>
  <c r="F564" i="51"/>
  <c r="G564" i="51" a="1"/>
  <c r="G564" i="51" s="1"/>
  <c r="H564" i="51" a="1"/>
  <c r="H564" i="51" s="1"/>
  <c r="I564" i="51"/>
  <c r="J564" i="51"/>
  <c r="K564" i="51"/>
  <c r="L564" i="51"/>
  <c r="A565" i="51"/>
  <c r="B565" i="51"/>
  <c r="C565" i="51"/>
  <c r="D565" i="51"/>
  <c r="E565" i="51"/>
  <c r="F565" i="51"/>
  <c r="G565" i="51" a="1"/>
  <c r="G565" i="51" s="1"/>
  <c r="H565" i="51" a="1"/>
  <c r="H565" i="51" s="1"/>
  <c r="I565" i="51"/>
  <c r="J565" i="51"/>
  <c r="K565" i="51"/>
  <c r="L565" i="51"/>
  <c r="A566" i="51"/>
  <c r="B566" i="51"/>
  <c r="C566" i="51"/>
  <c r="D566" i="51"/>
  <c r="E566" i="51"/>
  <c r="F566" i="51"/>
  <c r="G566" i="51" a="1"/>
  <c r="G566" i="51" s="1"/>
  <c r="H566" i="51" a="1"/>
  <c r="H566" i="51" s="1"/>
  <c r="I566" i="51"/>
  <c r="J566" i="51"/>
  <c r="K566" i="51"/>
  <c r="L566" i="51"/>
  <c r="A567" i="51"/>
  <c r="B567" i="51"/>
  <c r="C567" i="51"/>
  <c r="D567" i="51"/>
  <c r="E567" i="51"/>
  <c r="F567" i="51"/>
  <c r="G567" i="51" a="1"/>
  <c r="G567" i="51" s="1"/>
  <c r="H567" i="51" a="1"/>
  <c r="H567" i="51" s="1"/>
  <c r="I567" i="51"/>
  <c r="J567" i="51"/>
  <c r="K567" i="51"/>
  <c r="L567" i="51"/>
  <c r="A568" i="51"/>
  <c r="B568" i="51"/>
  <c r="C568" i="51"/>
  <c r="D568" i="51"/>
  <c r="E568" i="51"/>
  <c r="F568" i="51"/>
  <c r="G568" i="51" a="1"/>
  <c r="G568" i="51" s="1"/>
  <c r="H568" i="51" a="1"/>
  <c r="H568" i="51" s="1"/>
  <c r="I568" i="51"/>
  <c r="J568" i="51"/>
  <c r="K568" i="51"/>
  <c r="L568" i="51"/>
  <c r="A569" i="51"/>
  <c r="B569" i="51"/>
  <c r="C569" i="51"/>
  <c r="D569" i="51"/>
  <c r="E569" i="51"/>
  <c r="F569" i="51"/>
  <c r="G569" i="51" a="1"/>
  <c r="G569" i="51" s="1"/>
  <c r="H569" i="51" a="1"/>
  <c r="H569" i="51" s="1"/>
  <c r="I569" i="51"/>
  <c r="J569" i="51"/>
  <c r="K569" i="51"/>
  <c r="L569" i="51"/>
  <c r="A570" i="51"/>
  <c r="B570" i="51"/>
  <c r="C570" i="51"/>
  <c r="D570" i="51"/>
  <c r="E570" i="51"/>
  <c r="F570" i="51"/>
  <c r="G570" i="51" a="1"/>
  <c r="G570" i="51" s="1"/>
  <c r="H570" i="51" a="1"/>
  <c r="H570" i="51" s="1"/>
  <c r="I570" i="51"/>
  <c r="J570" i="51"/>
  <c r="K570" i="51"/>
  <c r="L570" i="51"/>
  <c r="A571" i="51"/>
  <c r="B571" i="51"/>
  <c r="C571" i="51"/>
  <c r="D571" i="51"/>
  <c r="E571" i="51"/>
  <c r="F571" i="51"/>
  <c r="G571" i="51" a="1"/>
  <c r="G571" i="51" s="1"/>
  <c r="H571" i="51" a="1"/>
  <c r="H571" i="51" s="1"/>
  <c r="I571" i="51"/>
  <c r="J571" i="51"/>
  <c r="K571" i="51"/>
  <c r="L571" i="51"/>
  <c r="A572" i="51"/>
  <c r="B572" i="51"/>
  <c r="C572" i="51"/>
  <c r="D572" i="51"/>
  <c r="E572" i="51"/>
  <c r="F572" i="51"/>
  <c r="G572" i="51" a="1"/>
  <c r="G572" i="51" s="1"/>
  <c r="H572" i="51" a="1"/>
  <c r="H572" i="51" s="1"/>
  <c r="I572" i="51"/>
  <c r="J572" i="51"/>
  <c r="K572" i="51"/>
  <c r="L572" i="51"/>
  <c r="A573" i="51"/>
  <c r="B573" i="51"/>
  <c r="C573" i="51"/>
  <c r="D573" i="51"/>
  <c r="E573" i="51"/>
  <c r="F573" i="51"/>
  <c r="G573" i="51" a="1"/>
  <c r="G573" i="51" s="1"/>
  <c r="H573" i="51" a="1"/>
  <c r="H573" i="51" s="1"/>
  <c r="I573" i="51"/>
  <c r="J573" i="51"/>
  <c r="K573" i="51"/>
  <c r="L573" i="51"/>
  <c r="A574" i="51"/>
  <c r="B574" i="51"/>
  <c r="C574" i="51"/>
  <c r="D574" i="51"/>
  <c r="E574" i="51"/>
  <c r="F574" i="51"/>
  <c r="G574" i="51" a="1"/>
  <c r="G574" i="51" s="1"/>
  <c r="H574" i="51" a="1"/>
  <c r="H574" i="51" s="1"/>
  <c r="I574" i="51"/>
  <c r="J574" i="51"/>
  <c r="K574" i="51"/>
  <c r="L574" i="51"/>
  <c r="A575" i="51"/>
  <c r="B575" i="51"/>
  <c r="C575" i="51"/>
  <c r="D575" i="51"/>
  <c r="E575" i="51"/>
  <c r="F575" i="51"/>
  <c r="G575" i="51" a="1"/>
  <c r="G575" i="51" s="1"/>
  <c r="H575" i="51" a="1"/>
  <c r="H575" i="51" s="1"/>
  <c r="I575" i="51"/>
  <c r="J575" i="51"/>
  <c r="K575" i="51"/>
  <c r="L575" i="51"/>
  <c r="A576" i="51"/>
  <c r="B576" i="51"/>
  <c r="C576" i="51"/>
  <c r="D576" i="51"/>
  <c r="E576" i="51"/>
  <c r="F576" i="51"/>
  <c r="G576" i="51" a="1"/>
  <c r="G576" i="51" s="1"/>
  <c r="H576" i="51" a="1"/>
  <c r="H576" i="51" s="1"/>
  <c r="I576" i="51"/>
  <c r="J576" i="51"/>
  <c r="K576" i="51"/>
  <c r="L576" i="51"/>
  <c r="A577" i="51"/>
  <c r="B577" i="51"/>
  <c r="C577" i="51"/>
  <c r="D577" i="51"/>
  <c r="E577" i="51"/>
  <c r="F577" i="51"/>
  <c r="G577" i="51" a="1"/>
  <c r="G577" i="51" s="1"/>
  <c r="H577" i="51" a="1"/>
  <c r="H577" i="51" s="1"/>
  <c r="I577" i="51"/>
  <c r="J577" i="51"/>
  <c r="K577" i="51"/>
  <c r="L577" i="51"/>
  <c r="A578" i="51"/>
  <c r="B578" i="51"/>
  <c r="C578" i="51"/>
  <c r="D578" i="51"/>
  <c r="E578" i="51"/>
  <c r="F578" i="51"/>
  <c r="G578" i="51" a="1"/>
  <c r="G578" i="51" s="1"/>
  <c r="H578" i="51" a="1"/>
  <c r="H578" i="51" s="1"/>
  <c r="I578" i="51"/>
  <c r="J578" i="51"/>
  <c r="K578" i="51"/>
  <c r="L578" i="51"/>
  <c r="A579" i="51"/>
  <c r="B579" i="51"/>
  <c r="C579" i="51"/>
  <c r="D579" i="51"/>
  <c r="E579" i="51"/>
  <c r="F579" i="51"/>
  <c r="G579" i="51" a="1"/>
  <c r="G579" i="51" s="1"/>
  <c r="H579" i="51" a="1"/>
  <c r="H579" i="51" s="1"/>
  <c r="I579" i="51"/>
  <c r="J579" i="51"/>
  <c r="K579" i="51"/>
  <c r="L579" i="51"/>
  <c r="A580" i="51"/>
  <c r="B580" i="51"/>
  <c r="C580" i="51"/>
  <c r="D580" i="51"/>
  <c r="E580" i="51"/>
  <c r="F580" i="51"/>
  <c r="G580" i="51" a="1"/>
  <c r="G580" i="51" s="1"/>
  <c r="H580" i="51" a="1"/>
  <c r="H580" i="51" s="1"/>
  <c r="I580" i="51"/>
  <c r="J580" i="51"/>
  <c r="K580" i="51"/>
  <c r="L580" i="51"/>
  <c r="A581" i="51"/>
  <c r="B581" i="51"/>
  <c r="C581" i="51"/>
  <c r="D581" i="51"/>
  <c r="E581" i="51"/>
  <c r="F581" i="51"/>
  <c r="G581" i="51" a="1"/>
  <c r="G581" i="51" s="1"/>
  <c r="H581" i="51" a="1"/>
  <c r="H581" i="51" s="1"/>
  <c r="I581" i="51"/>
  <c r="J581" i="51"/>
  <c r="K581" i="51"/>
  <c r="L581" i="51"/>
  <c r="A582" i="51"/>
  <c r="B582" i="51"/>
  <c r="C582" i="51"/>
  <c r="D582" i="51"/>
  <c r="E582" i="51"/>
  <c r="F582" i="51"/>
  <c r="G582" i="51" a="1"/>
  <c r="G582" i="51" s="1"/>
  <c r="H582" i="51" a="1"/>
  <c r="H582" i="51" s="1"/>
  <c r="I582" i="51"/>
  <c r="J582" i="51"/>
  <c r="K582" i="51"/>
  <c r="L582" i="51"/>
  <c r="A583" i="51"/>
  <c r="B583" i="51"/>
  <c r="C583" i="51"/>
  <c r="D583" i="51"/>
  <c r="E583" i="51"/>
  <c r="F583" i="51"/>
  <c r="G583" i="51" a="1"/>
  <c r="G583" i="51" s="1"/>
  <c r="H583" i="51" a="1"/>
  <c r="H583" i="51" s="1"/>
  <c r="I583" i="51"/>
  <c r="J583" i="51"/>
  <c r="K583" i="51"/>
  <c r="L583" i="51"/>
  <c r="A584" i="51"/>
  <c r="B584" i="51"/>
  <c r="C584" i="51"/>
  <c r="D584" i="51"/>
  <c r="E584" i="51"/>
  <c r="F584" i="51"/>
  <c r="G584" i="51" a="1"/>
  <c r="G584" i="51" s="1"/>
  <c r="H584" i="51" a="1"/>
  <c r="H584" i="51" s="1"/>
  <c r="I584" i="51"/>
  <c r="J584" i="51"/>
  <c r="K584" i="51"/>
  <c r="L584" i="51"/>
  <c r="A585" i="51"/>
  <c r="B585" i="51"/>
  <c r="C585" i="51"/>
  <c r="D585" i="51"/>
  <c r="E585" i="51"/>
  <c r="F585" i="51"/>
  <c r="G585" i="51" a="1"/>
  <c r="G585" i="51" s="1"/>
  <c r="H585" i="51" a="1"/>
  <c r="H585" i="51" s="1"/>
  <c r="I585" i="51"/>
  <c r="J585" i="51"/>
  <c r="K585" i="51"/>
  <c r="L585" i="51"/>
  <c r="A586" i="51"/>
  <c r="B586" i="51"/>
  <c r="C586" i="51"/>
  <c r="D586" i="51"/>
  <c r="E586" i="51"/>
  <c r="F586" i="51"/>
  <c r="G586" i="51" a="1"/>
  <c r="G586" i="51" s="1"/>
  <c r="H586" i="51" a="1"/>
  <c r="H586" i="51" s="1"/>
  <c r="I586" i="51"/>
  <c r="J586" i="51"/>
  <c r="K586" i="51"/>
  <c r="L586" i="51"/>
  <c r="A587" i="51"/>
  <c r="B587" i="51"/>
  <c r="C587" i="51"/>
  <c r="D587" i="51"/>
  <c r="E587" i="51"/>
  <c r="F587" i="51"/>
  <c r="G587" i="51" a="1"/>
  <c r="G587" i="51" s="1"/>
  <c r="H587" i="51" a="1"/>
  <c r="H587" i="51" s="1"/>
  <c r="I587" i="51"/>
  <c r="J587" i="51"/>
  <c r="K587" i="51"/>
  <c r="L587" i="51"/>
  <c r="A588" i="51"/>
  <c r="B588" i="51"/>
  <c r="C588" i="51"/>
  <c r="D588" i="51"/>
  <c r="E588" i="51"/>
  <c r="F588" i="51"/>
  <c r="G588" i="51" a="1"/>
  <c r="G588" i="51" s="1"/>
  <c r="H588" i="51" a="1"/>
  <c r="H588" i="51" s="1"/>
  <c r="I588" i="51"/>
  <c r="J588" i="51"/>
  <c r="K588" i="51"/>
  <c r="L588" i="51"/>
  <c r="A589" i="51"/>
  <c r="B589" i="51"/>
  <c r="C589" i="51"/>
  <c r="D589" i="51"/>
  <c r="E589" i="51"/>
  <c r="F589" i="51"/>
  <c r="G589" i="51" a="1"/>
  <c r="G589" i="51" s="1"/>
  <c r="H589" i="51" a="1"/>
  <c r="H589" i="51" s="1"/>
  <c r="I589" i="51"/>
  <c r="J589" i="51"/>
  <c r="K589" i="51"/>
  <c r="L589" i="51"/>
  <c r="A590" i="51"/>
  <c r="B590" i="51"/>
  <c r="C590" i="51"/>
  <c r="D590" i="51"/>
  <c r="E590" i="51"/>
  <c r="F590" i="51"/>
  <c r="G590" i="51" a="1"/>
  <c r="G590" i="51" s="1"/>
  <c r="H590" i="51" a="1"/>
  <c r="H590" i="51" s="1"/>
  <c r="I590" i="51"/>
  <c r="J590" i="51"/>
  <c r="K590" i="51"/>
  <c r="L590" i="51"/>
  <c r="A591" i="51"/>
  <c r="B591" i="51"/>
  <c r="C591" i="51"/>
  <c r="D591" i="51"/>
  <c r="E591" i="51"/>
  <c r="F591" i="51"/>
  <c r="G591" i="51" a="1"/>
  <c r="G591" i="51" s="1"/>
  <c r="H591" i="51" a="1"/>
  <c r="H591" i="51" s="1"/>
  <c r="I591" i="51"/>
  <c r="J591" i="51"/>
  <c r="K591" i="51"/>
  <c r="L591" i="51"/>
  <c r="A592" i="51"/>
  <c r="B592" i="51"/>
  <c r="C592" i="51"/>
  <c r="D592" i="51"/>
  <c r="E592" i="51"/>
  <c r="F592" i="51"/>
  <c r="G592" i="51" a="1"/>
  <c r="G592" i="51" s="1"/>
  <c r="H592" i="51" a="1"/>
  <c r="H592" i="51" s="1"/>
  <c r="I592" i="51"/>
  <c r="J592" i="51"/>
  <c r="K592" i="51"/>
  <c r="L592" i="51"/>
  <c r="A593" i="51"/>
  <c r="B593" i="51"/>
  <c r="C593" i="51"/>
  <c r="D593" i="51"/>
  <c r="E593" i="51"/>
  <c r="F593" i="51"/>
  <c r="G593" i="51" a="1"/>
  <c r="G593" i="51" s="1"/>
  <c r="H593" i="51" a="1"/>
  <c r="H593" i="51" s="1"/>
  <c r="I593" i="51"/>
  <c r="J593" i="51"/>
  <c r="K593" i="51"/>
  <c r="L593" i="51"/>
  <c r="A594" i="51"/>
  <c r="B594" i="51"/>
  <c r="C594" i="51"/>
  <c r="D594" i="51"/>
  <c r="E594" i="51"/>
  <c r="F594" i="51"/>
  <c r="G594" i="51" a="1"/>
  <c r="G594" i="51" s="1"/>
  <c r="H594" i="51" a="1"/>
  <c r="H594" i="51" s="1"/>
  <c r="I594" i="51"/>
  <c r="J594" i="51"/>
  <c r="K594" i="51"/>
  <c r="L594" i="51"/>
  <c r="A595" i="51"/>
  <c r="B595" i="51"/>
  <c r="C595" i="51"/>
  <c r="D595" i="51"/>
  <c r="E595" i="51"/>
  <c r="F595" i="51"/>
  <c r="G595" i="51" a="1"/>
  <c r="G595" i="51" s="1"/>
  <c r="H595" i="51" a="1"/>
  <c r="H595" i="51" s="1"/>
  <c r="I595" i="51"/>
  <c r="J595" i="51"/>
  <c r="K595" i="51"/>
  <c r="L595" i="51"/>
  <c r="A596" i="51"/>
  <c r="B596" i="51"/>
  <c r="C596" i="51"/>
  <c r="D596" i="51"/>
  <c r="E596" i="51"/>
  <c r="F596" i="51"/>
  <c r="G596" i="51" a="1"/>
  <c r="G596" i="51" s="1"/>
  <c r="H596" i="51" a="1"/>
  <c r="H596" i="51" s="1"/>
  <c r="I596" i="51"/>
  <c r="J596" i="51"/>
  <c r="K596" i="51"/>
  <c r="L596" i="51"/>
  <c r="A597" i="51"/>
  <c r="B597" i="51"/>
  <c r="C597" i="51"/>
  <c r="D597" i="51"/>
  <c r="E597" i="51"/>
  <c r="F597" i="51"/>
  <c r="G597" i="51" a="1"/>
  <c r="G597" i="51" s="1"/>
  <c r="H597" i="51" a="1"/>
  <c r="H597" i="51" s="1"/>
  <c r="I597" i="51"/>
  <c r="J597" i="51"/>
  <c r="K597" i="51"/>
  <c r="L597" i="51"/>
  <c r="A598" i="51"/>
  <c r="B598" i="51"/>
  <c r="C598" i="51"/>
  <c r="D598" i="51"/>
  <c r="E598" i="51"/>
  <c r="F598" i="51"/>
  <c r="G598" i="51" a="1"/>
  <c r="G598" i="51" s="1"/>
  <c r="H598" i="51" a="1"/>
  <c r="H598" i="51" s="1"/>
  <c r="I598" i="51"/>
  <c r="J598" i="51"/>
  <c r="K598" i="51"/>
  <c r="L598" i="51"/>
  <c r="A599" i="51"/>
  <c r="B599" i="51"/>
  <c r="C599" i="51"/>
  <c r="D599" i="51"/>
  <c r="E599" i="51"/>
  <c r="F599" i="51"/>
  <c r="G599" i="51" a="1"/>
  <c r="G599" i="51" s="1"/>
  <c r="H599" i="51" a="1"/>
  <c r="H599" i="51" s="1"/>
  <c r="I599" i="51"/>
  <c r="J599" i="51"/>
  <c r="K599" i="51"/>
  <c r="L599" i="51"/>
  <c r="A600" i="51"/>
  <c r="B600" i="51"/>
  <c r="C600" i="51"/>
  <c r="D600" i="51"/>
  <c r="E600" i="51"/>
  <c r="F600" i="51"/>
  <c r="G600" i="51" a="1"/>
  <c r="G600" i="51" s="1"/>
  <c r="H600" i="51" a="1"/>
  <c r="H600" i="51" s="1"/>
  <c r="I600" i="51"/>
  <c r="J600" i="51"/>
  <c r="K600" i="51"/>
  <c r="L600" i="51"/>
  <c r="A601" i="51"/>
  <c r="B601" i="51"/>
  <c r="C601" i="51"/>
  <c r="D601" i="51"/>
  <c r="E601" i="51"/>
  <c r="F601" i="51"/>
  <c r="G601" i="51" a="1"/>
  <c r="G601" i="51" s="1"/>
  <c r="H601" i="51" a="1"/>
  <c r="H601" i="51" s="1"/>
  <c r="I601" i="51"/>
  <c r="J601" i="51"/>
  <c r="K601" i="51"/>
  <c r="L601" i="51"/>
  <c r="A602" i="51"/>
  <c r="B602" i="51"/>
  <c r="C602" i="51"/>
  <c r="D602" i="51"/>
  <c r="E602" i="51"/>
  <c r="F602" i="51"/>
  <c r="G602" i="51" a="1"/>
  <c r="G602" i="51" s="1"/>
  <c r="H602" i="51" a="1"/>
  <c r="H602" i="51" s="1"/>
  <c r="I602" i="51"/>
  <c r="J602" i="51"/>
  <c r="K602" i="51"/>
  <c r="L602" i="51"/>
  <c r="A603" i="51"/>
  <c r="B603" i="51"/>
  <c r="C603" i="51"/>
  <c r="D603" i="51"/>
  <c r="E603" i="51"/>
  <c r="F603" i="51"/>
  <c r="G603" i="51" a="1"/>
  <c r="G603" i="51" s="1"/>
  <c r="H603" i="51" a="1"/>
  <c r="H603" i="51" s="1"/>
  <c r="I603" i="51"/>
  <c r="J603" i="51"/>
  <c r="K603" i="51"/>
  <c r="L603" i="51"/>
  <c r="A604" i="51"/>
  <c r="B604" i="51"/>
  <c r="C604" i="51"/>
  <c r="D604" i="51"/>
  <c r="E604" i="51"/>
  <c r="F604" i="51"/>
  <c r="G604" i="51" a="1"/>
  <c r="G604" i="51" s="1"/>
  <c r="H604" i="51" a="1"/>
  <c r="H604" i="51" s="1"/>
  <c r="I604" i="51"/>
  <c r="J604" i="51"/>
  <c r="K604" i="51"/>
  <c r="L604" i="51"/>
  <c r="A605" i="51"/>
  <c r="B605" i="51"/>
  <c r="C605" i="51"/>
  <c r="D605" i="51"/>
  <c r="E605" i="51"/>
  <c r="F605" i="51"/>
  <c r="G605" i="51" a="1"/>
  <c r="G605" i="51" s="1"/>
  <c r="H605" i="51" a="1"/>
  <c r="H605" i="51" s="1"/>
  <c r="I605" i="51"/>
  <c r="J605" i="51"/>
  <c r="K605" i="51"/>
  <c r="L605" i="51"/>
  <c r="A606" i="51"/>
  <c r="B606" i="51"/>
  <c r="C606" i="51"/>
  <c r="D606" i="51"/>
  <c r="E606" i="51"/>
  <c r="F606" i="51"/>
  <c r="G606" i="51" a="1"/>
  <c r="G606" i="51" s="1"/>
  <c r="H606" i="51" a="1"/>
  <c r="H606" i="51" s="1"/>
  <c r="I606" i="51"/>
  <c r="J606" i="51"/>
  <c r="K606" i="51"/>
  <c r="L606" i="51"/>
  <c r="A607" i="51"/>
  <c r="B607" i="51"/>
  <c r="C607" i="51"/>
  <c r="D607" i="51"/>
  <c r="E607" i="51"/>
  <c r="F607" i="51"/>
  <c r="G607" i="51" a="1"/>
  <c r="G607" i="51" s="1"/>
  <c r="H607" i="51" a="1"/>
  <c r="H607" i="51" s="1"/>
  <c r="I607" i="51"/>
  <c r="J607" i="51"/>
  <c r="K607" i="51"/>
  <c r="L607" i="51"/>
  <c r="A608" i="51"/>
  <c r="B608" i="51"/>
  <c r="C608" i="51"/>
  <c r="D608" i="51"/>
  <c r="E608" i="51"/>
  <c r="F608" i="51"/>
  <c r="G608" i="51" a="1"/>
  <c r="G608" i="51" s="1"/>
  <c r="H608" i="51" a="1"/>
  <c r="H608" i="51" s="1"/>
  <c r="I608" i="51"/>
  <c r="J608" i="51"/>
  <c r="K608" i="51"/>
  <c r="L608" i="51"/>
  <c r="A609" i="51"/>
  <c r="B609" i="51"/>
  <c r="C609" i="51"/>
  <c r="D609" i="51"/>
  <c r="E609" i="51"/>
  <c r="F609" i="51"/>
  <c r="G609" i="51" a="1"/>
  <c r="G609" i="51" s="1"/>
  <c r="H609" i="51" a="1"/>
  <c r="H609" i="51" s="1"/>
  <c r="I609" i="51"/>
  <c r="J609" i="51"/>
  <c r="K609" i="51"/>
  <c r="L609" i="51"/>
  <c r="A610" i="51"/>
  <c r="B610" i="51"/>
  <c r="C610" i="51"/>
  <c r="D610" i="51"/>
  <c r="E610" i="51"/>
  <c r="F610" i="51"/>
  <c r="G610" i="51" a="1"/>
  <c r="G610" i="51" s="1"/>
  <c r="H610" i="51" a="1"/>
  <c r="H610" i="51" s="1"/>
  <c r="I610" i="51"/>
  <c r="J610" i="51"/>
  <c r="K610" i="51"/>
  <c r="L610" i="51"/>
  <c r="A611" i="51"/>
  <c r="B611" i="51"/>
  <c r="C611" i="51"/>
  <c r="D611" i="51"/>
  <c r="E611" i="51"/>
  <c r="F611" i="51"/>
  <c r="G611" i="51" a="1"/>
  <c r="G611" i="51" s="1"/>
  <c r="H611" i="51" a="1"/>
  <c r="H611" i="51" s="1"/>
  <c r="I611" i="51"/>
  <c r="J611" i="51"/>
  <c r="K611" i="51"/>
  <c r="L611" i="51"/>
  <c r="A612" i="51"/>
  <c r="B612" i="51"/>
  <c r="C612" i="51"/>
  <c r="D612" i="51"/>
  <c r="E612" i="51"/>
  <c r="F612" i="51"/>
  <c r="G612" i="51" a="1"/>
  <c r="G612" i="51" s="1"/>
  <c r="H612" i="51" a="1"/>
  <c r="H612" i="51" s="1"/>
  <c r="I612" i="51"/>
  <c r="J612" i="51"/>
  <c r="K612" i="51"/>
  <c r="L612" i="51"/>
  <c r="A613" i="51"/>
  <c r="B613" i="51"/>
  <c r="C613" i="51"/>
  <c r="D613" i="51"/>
  <c r="E613" i="51"/>
  <c r="F613" i="51"/>
  <c r="G613" i="51" a="1"/>
  <c r="G613" i="51" s="1"/>
  <c r="H613" i="51" a="1"/>
  <c r="H613" i="51" s="1"/>
  <c r="I613" i="51"/>
  <c r="J613" i="51"/>
  <c r="K613" i="51"/>
  <c r="L613" i="51"/>
  <c r="A614" i="51"/>
  <c r="B614" i="51"/>
  <c r="C614" i="51"/>
  <c r="D614" i="51"/>
  <c r="E614" i="51"/>
  <c r="F614" i="51"/>
  <c r="G614" i="51" a="1"/>
  <c r="G614" i="51" s="1"/>
  <c r="H614" i="51" a="1"/>
  <c r="H614" i="51" s="1"/>
  <c r="I614" i="51"/>
  <c r="J614" i="51"/>
  <c r="K614" i="51"/>
  <c r="L614" i="51"/>
  <c r="A615" i="51"/>
  <c r="B615" i="51"/>
  <c r="C615" i="51"/>
  <c r="D615" i="51"/>
  <c r="E615" i="51"/>
  <c r="F615" i="51"/>
  <c r="G615" i="51" a="1"/>
  <c r="G615" i="51" s="1"/>
  <c r="H615" i="51" a="1"/>
  <c r="H615" i="51" s="1"/>
  <c r="I615" i="51"/>
  <c r="J615" i="51"/>
  <c r="K615" i="51"/>
  <c r="L615" i="51"/>
  <c r="A616" i="51"/>
  <c r="B616" i="51"/>
  <c r="C616" i="51"/>
  <c r="D616" i="51"/>
  <c r="E616" i="51"/>
  <c r="F616" i="51"/>
  <c r="G616" i="51" a="1"/>
  <c r="G616" i="51" s="1"/>
  <c r="H616" i="51" a="1"/>
  <c r="H616" i="51" s="1"/>
  <c r="I616" i="51"/>
  <c r="J616" i="51"/>
  <c r="K616" i="51"/>
  <c r="L616" i="51"/>
  <c r="A617" i="51"/>
  <c r="B617" i="51"/>
  <c r="C617" i="51"/>
  <c r="D617" i="51"/>
  <c r="E617" i="51"/>
  <c r="F617" i="51"/>
  <c r="G617" i="51" a="1"/>
  <c r="G617" i="51" s="1"/>
  <c r="H617" i="51" a="1"/>
  <c r="H617" i="51" s="1"/>
  <c r="I617" i="51"/>
  <c r="J617" i="51"/>
  <c r="K617" i="51"/>
  <c r="L617" i="51"/>
  <c r="A618" i="51"/>
  <c r="B618" i="51"/>
  <c r="C618" i="51"/>
  <c r="D618" i="51"/>
  <c r="E618" i="51"/>
  <c r="F618" i="51"/>
  <c r="G618" i="51" a="1"/>
  <c r="G618" i="51" s="1"/>
  <c r="H618" i="51" a="1"/>
  <c r="H618" i="51" s="1"/>
  <c r="I618" i="51"/>
  <c r="J618" i="51"/>
  <c r="K618" i="51"/>
  <c r="L618" i="51"/>
  <c r="A619" i="51"/>
  <c r="B619" i="51"/>
  <c r="C619" i="51"/>
  <c r="D619" i="51"/>
  <c r="E619" i="51"/>
  <c r="F619" i="51"/>
  <c r="G619" i="51" a="1"/>
  <c r="G619" i="51" s="1"/>
  <c r="H619" i="51" a="1"/>
  <c r="H619" i="51" s="1"/>
  <c r="I619" i="51"/>
  <c r="J619" i="51"/>
  <c r="K619" i="51"/>
  <c r="L619" i="51"/>
  <c r="A620" i="51"/>
  <c r="B620" i="51"/>
  <c r="C620" i="51"/>
  <c r="D620" i="51"/>
  <c r="E620" i="51"/>
  <c r="F620" i="51"/>
  <c r="G620" i="51" a="1"/>
  <c r="G620" i="51" s="1"/>
  <c r="H620" i="51" a="1"/>
  <c r="H620" i="51" s="1"/>
  <c r="I620" i="51"/>
  <c r="J620" i="51"/>
  <c r="K620" i="51"/>
  <c r="L620" i="51"/>
  <c r="A621" i="51"/>
  <c r="B621" i="51"/>
  <c r="C621" i="51"/>
  <c r="D621" i="51"/>
  <c r="E621" i="51"/>
  <c r="F621" i="51"/>
  <c r="G621" i="51" a="1"/>
  <c r="G621" i="51" s="1"/>
  <c r="H621" i="51" a="1"/>
  <c r="H621" i="51" s="1"/>
  <c r="I621" i="51"/>
  <c r="J621" i="51"/>
  <c r="K621" i="51"/>
  <c r="L621" i="51"/>
  <c r="A622" i="51"/>
  <c r="B622" i="51"/>
  <c r="C622" i="51"/>
  <c r="D622" i="51"/>
  <c r="E622" i="51"/>
  <c r="F622" i="51"/>
  <c r="G622" i="51" a="1"/>
  <c r="G622" i="51" s="1"/>
  <c r="H622" i="51" a="1"/>
  <c r="H622" i="51" s="1"/>
  <c r="I622" i="51"/>
  <c r="J622" i="51"/>
  <c r="K622" i="51"/>
  <c r="L622" i="51"/>
  <c r="A623" i="51"/>
  <c r="B623" i="51"/>
  <c r="C623" i="51"/>
  <c r="D623" i="51"/>
  <c r="E623" i="51"/>
  <c r="F623" i="51"/>
  <c r="G623" i="51" a="1"/>
  <c r="G623" i="51" s="1"/>
  <c r="H623" i="51" a="1"/>
  <c r="H623" i="51" s="1"/>
  <c r="I623" i="51"/>
  <c r="J623" i="51"/>
  <c r="K623" i="51"/>
  <c r="L623" i="51"/>
  <c r="A624" i="51"/>
  <c r="B624" i="51"/>
  <c r="C624" i="51"/>
  <c r="D624" i="51"/>
  <c r="E624" i="51"/>
  <c r="F624" i="51"/>
  <c r="G624" i="51" a="1"/>
  <c r="G624" i="51" s="1"/>
  <c r="H624" i="51" a="1"/>
  <c r="H624" i="51" s="1"/>
  <c r="I624" i="51"/>
  <c r="J624" i="51"/>
  <c r="K624" i="51"/>
  <c r="L624" i="51"/>
  <c r="A625" i="51"/>
  <c r="B625" i="51"/>
  <c r="C625" i="51"/>
  <c r="D625" i="51"/>
  <c r="E625" i="51"/>
  <c r="F625" i="51"/>
  <c r="G625" i="51" a="1"/>
  <c r="G625" i="51" s="1"/>
  <c r="H625" i="51" a="1"/>
  <c r="H625" i="51" s="1"/>
  <c r="I625" i="51"/>
  <c r="J625" i="51"/>
  <c r="K625" i="51"/>
  <c r="L625" i="51"/>
  <c r="A626" i="51"/>
  <c r="B626" i="51"/>
  <c r="C626" i="51"/>
  <c r="D626" i="51"/>
  <c r="E626" i="51"/>
  <c r="F626" i="51"/>
  <c r="G626" i="51" a="1"/>
  <c r="G626" i="51" s="1"/>
  <c r="H626" i="51" a="1"/>
  <c r="H626" i="51" s="1"/>
  <c r="I626" i="51"/>
  <c r="J626" i="51"/>
  <c r="K626" i="51"/>
  <c r="L626" i="51"/>
  <c r="A627" i="51"/>
  <c r="B627" i="51"/>
  <c r="C627" i="51"/>
  <c r="D627" i="51"/>
  <c r="E627" i="51"/>
  <c r="F627" i="51"/>
  <c r="G627" i="51" a="1"/>
  <c r="G627" i="51" s="1"/>
  <c r="H627" i="51" a="1"/>
  <c r="H627" i="51" s="1"/>
  <c r="I627" i="51"/>
  <c r="J627" i="51"/>
  <c r="K627" i="51"/>
  <c r="L627" i="51"/>
  <c r="A628" i="51"/>
  <c r="B628" i="51"/>
  <c r="C628" i="51"/>
  <c r="D628" i="51"/>
  <c r="E628" i="51"/>
  <c r="F628" i="51"/>
  <c r="G628" i="51" a="1"/>
  <c r="G628" i="51" s="1"/>
  <c r="H628" i="51" a="1"/>
  <c r="H628" i="51" s="1"/>
  <c r="I628" i="51"/>
  <c r="J628" i="51"/>
  <c r="K628" i="51"/>
  <c r="L628" i="51"/>
  <c r="A629" i="51"/>
  <c r="B629" i="51"/>
  <c r="C629" i="51"/>
  <c r="D629" i="51"/>
  <c r="E629" i="51"/>
  <c r="F629" i="51"/>
  <c r="G629" i="51" a="1"/>
  <c r="G629" i="51" s="1"/>
  <c r="H629" i="51" a="1"/>
  <c r="H629" i="51" s="1"/>
  <c r="I629" i="51"/>
  <c r="J629" i="51"/>
  <c r="K629" i="51"/>
  <c r="L629" i="51"/>
  <c r="A630" i="51"/>
  <c r="B630" i="51"/>
  <c r="C630" i="51"/>
  <c r="D630" i="51"/>
  <c r="E630" i="51"/>
  <c r="F630" i="51"/>
  <c r="G630" i="51" a="1"/>
  <c r="G630" i="51" s="1"/>
  <c r="H630" i="51" a="1"/>
  <c r="H630" i="51" s="1"/>
  <c r="I630" i="51"/>
  <c r="J630" i="51"/>
  <c r="K630" i="51"/>
  <c r="L630" i="51"/>
  <c r="A631" i="51"/>
  <c r="B631" i="51"/>
  <c r="C631" i="51"/>
  <c r="D631" i="51"/>
  <c r="E631" i="51"/>
  <c r="F631" i="51"/>
  <c r="G631" i="51" a="1"/>
  <c r="G631" i="51" s="1"/>
  <c r="H631" i="51" a="1"/>
  <c r="H631" i="51" s="1"/>
  <c r="I631" i="51"/>
  <c r="J631" i="51"/>
  <c r="K631" i="51"/>
  <c r="L631" i="51"/>
  <c r="A632" i="51"/>
  <c r="B632" i="51"/>
  <c r="C632" i="51"/>
  <c r="D632" i="51"/>
  <c r="E632" i="51"/>
  <c r="F632" i="51"/>
  <c r="G632" i="51" a="1"/>
  <c r="G632" i="51" s="1"/>
  <c r="H632" i="51" a="1"/>
  <c r="H632" i="51" s="1"/>
  <c r="I632" i="51"/>
  <c r="J632" i="51"/>
  <c r="K632" i="51"/>
  <c r="L632" i="51"/>
  <c r="A633" i="51"/>
  <c r="B633" i="51"/>
  <c r="C633" i="51"/>
  <c r="D633" i="51"/>
  <c r="E633" i="51"/>
  <c r="F633" i="51"/>
  <c r="G633" i="51" a="1"/>
  <c r="G633" i="51" s="1"/>
  <c r="H633" i="51" a="1"/>
  <c r="H633" i="51" s="1"/>
  <c r="I633" i="51"/>
  <c r="J633" i="51"/>
  <c r="K633" i="51"/>
  <c r="L633" i="51"/>
  <c r="A634" i="51"/>
  <c r="B634" i="51"/>
  <c r="C634" i="51"/>
  <c r="D634" i="51"/>
  <c r="E634" i="51"/>
  <c r="F634" i="51"/>
  <c r="G634" i="51" a="1"/>
  <c r="G634" i="51" s="1"/>
  <c r="H634" i="51" a="1"/>
  <c r="H634" i="51" s="1"/>
  <c r="I634" i="51"/>
  <c r="J634" i="51"/>
  <c r="K634" i="51"/>
  <c r="L634" i="51"/>
  <c r="A635" i="51"/>
  <c r="B635" i="51"/>
  <c r="C635" i="51"/>
  <c r="D635" i="51"/>
  <c r="E635" i="51"/>
  <c r="F635" i="51"/>
  <c r="G635" i="51" a="1"/>
  <c r="G635" i="51" s="1"/>
  <c r="H635" i="51" a="1"/>
  <c r="H635" i="51" s="1"/>
  <c r="I635" i="51"/>
  <c r="J635" i="51"/>
  <c r="K635" i="51"/>
  <c r="L635" i="51"/>
  <c r="A636" i="51"/>
  <c r="B636" i="51"/>
  <c r="C636" i="51"/>
  <c r="D636" i="51"/>
  <c r="E636" i="51"/>
  <c r="F636" i="51"/>
  <c r="G636" i="51" a="1"/>
  <c r="G636" i="51" s="1"/>
  <c r="H636" i="51" a="1"/>
  <c r="H636" i="51" s="1"/>
  <c r="I636" i="51"/>
  <c r="J636" i="51"/>
  <c r="K636" i="51"/>
  <c r="L636" i="51"/>
  <c r="A637" i="51"/>
  <c r="B637" i="51"/>
  <c r="C637" i="51"/>
  <c r="D637" i="51"/>
  <c r="E637" i="51"/>
  <c r="F637" i="51"/>
  <c r="G637" i="51" a="1"/>
  <c r="G637" i="51" s="1"/>
  <c r="H637" i="51" a="1"/>
  <c r="H637" i="51" s="1"/>
  <c r="I637" i="51"/>
  <c r="J637" i="51"/>
  <c r="K637" i="51"/>
  <c r="L637" i="51"/>
  <c r="A638" i="51"/>
  <c r="B638" i="51"/>
  <c r="C638" i="51"/>
  <c r="D638" i="51"/>
  <c r="E638" i="51"/>
  <c r="F638" i="51"/>
  <c r="G638" i="51" a="1"/>
  <c r="G638" i="51" s="1"/>
  <c r="H638" i="51" a="1"/>
  <c r="H638" i="51" s="1"/>
  <c r="I638" i="51"/>
  <c r="J638" i="51"/>
  <c r="K638" i="51"/>
  <c r="L638" i="51"/>
  <c r="A639" i="51"/>
  <c r="B639" i="51"/>
  <c r="C639" i="51"/>
  <c r="D639" i="51"/>
  <c r="E639" i="51"/>
  <c r="F639" i="51"/>
  <c r="G639" i="51" a="1"/>
  <c r="G639" i="51" s="1"/>
  <c r="H639" i="51" a="1"/>
  <c r="H639" i="51" s="1"/>
  <c r="I639" i="51"/>
  <c r="J639" i="51"/>
  <c r="K639" i="51"/>
  <c r="L639" i="51"/>
  <c r="A640" i="51"/>
  <c r="B640" i="51"/>
  <c r="C640" i="51"/>
  <c r="D640" i="51"/>
  <c r="E640" i="51"/>
  <c r="F640" i="51"/>
  <c r="G640" i="51" a="1"/>
  <c r="G640" i="51" s="1"/>
  <c r="H640" i="51" a="1"/>
  <c r="H640" i="51" s="1"/>
  <c r="I640" i="51"/>
  <c r="J640" i="51"/>
  <c r="K640" i="51"/>
  <c r="L640" i="51"/>
  <c r="A641" i="51"/>
  <c r="B641" i="51"/>
  <c r="C641" i="51"/>
  <c r="D641" i="51"/>
  <c r="E641" i="51"/>
  <c r="F641" i="51"/>
  <c r="G641" i="51" a="1"/>
  <c r="G641" i="51" s="1"/>
  <c r="H641" i="51" a="1"/>
  <c r="H641" i="51" s="1"/>
  <c r="I641" i="51"/>
  <c r="J641" i="51"/>
  <c r="K641" i="51"/>
  <c r="L641" i="51"/>
  <c r="A642" i="51"/>
  <c r="B642" i="51"/>
  <c r="C642" i="51"/>
  <c r="D642" i="51"/>
  <c r="E642" i="51"/>
  <c r="F642" i="51"/>
  <c r="G642" i="51" a="1"/>
  <c r="G642" i="51" s="1"/>
  <c r="H642" i="51" a="1"/>
  <c r="H642" i="51" s="1"/>
  <c r="I642" i="51"/>
  <c r="J642" i="51"/>
  <c r="K642" i="51"/>
  <c r="L642" i="51"/>
  <c r="A643" i="51"/>
  <c r="B643" i="51"/>
  <c r="C643" i="51"/>
  <c r="D643" i="51"/>
  <c r="E643" i="51"/>
  <c r="F643" i="51"/>
  <c r="G643" i="51" a="1"/>
  <c r="G643" i="51" s="1"/>
  <c r="H643" i="51" a="1"/>
  <c r="H643" i="51" s="1"/>
  <c r="I643" i="51"/>
  <c r="J643" i="51"/>
  <c r="K643" i="51"/>
  <c r="L643" i="51"/>
  <c r="A644" i="51"/>
  <c r="B644" i="51"/>
  <c r="C644" i="51"/>
  <c r="D644" i="51"/>
  <c r="E644" i="51"/>
  <c r="F644" i="51"/>
  <c r="G644" i="51" a="1"/>
  <c r="G644" i="51" s="1"/>
  <c r="H644" i="51" a="1"/>
  <c r="H644" i="51" s="1"/>
  <c r="I644" i="51"/>
  <c r="J644" i="51"/>
  <c r="K644" i="51"/>
  <c r="L644" i="51"/>
  <c r="A645" i="51"/>
  <c r="B645" i="51"/>
  <c r="C645" i="51"/>
  <c r="D645" i="51"/>
  <c r="E645" i="51"/>
  <c r="F645" i="51"/>
  <c r="G645" i="51" a="1"/>
  <c r="G645" i="51" s="1"/>
  <c r="H645" i="51" a="1"/>
  <c r="H645" i="51" s="1"/>
  <c r="I645" i="51"/>
  <c r="J645" i="51"/>
  <c r="K645" i="51"/>
  <c r="L645" i="51"/>
  <c r="A646" i="51"/>
  <c r="B646" i="51"/>
  <c r="C646" i="51"/>
  <c r="D646" i="51"/>
  <c r="E646" i="51"/>
  <c r="F646" i="51"/>
  <c r="G646" i="51" a="1"/>
  <c r="G646" i="51" s="1"/>
  <c r="H646" i="51" a="1"/>
  <c r="H646" i="51" s="1"/>
  <c r="I646" i="51"/>
  <c r="J646" i="51"/>
  <c r="K646" i="51"/>
  <c r="L646" i="51"/>
  <c r="A647" i="51"/>
  <c r="B647" i="51"/>
  <c r="C647" i="51"/>
  <c r="D647" i="51"/>
  <c r="E647" i="51"/>
  <c r="F647" i="51"/>
  <c r="G647" i="51" a="1"/>
  <c r="G647" i="51" s="1"/>
  <c r="H647" i="51" a="1"/>
  <c r="H647" i="51" s="1"/>
  <c r="I647" i="51"/>
  <c r="J647" i="51"/>
  <c r="K647" i="51"/>
  <c r="L647" i="51"/>
  <c r="A648" i="51"/>
  <c r="B648" i="51"/>
  <c r="C648" i="51"/>
  <c r="D648" i="51"/>
  <c r="E648" i="51"/>
  <c r="F648" i="51"/>
  <c r="G648" i="51" a="1"/>
  <c r="G648" i="51" s="1"/>
  <c r="H648" i="51" a="1"/>
  <c r="H648" i="51" s="1"/>
  <c r="I648" i="51"/>
  <c r="J648" i="51"/>
  <c r="K648" i="51"/>
  <c r="L648" i="51"/>
  <c r="A649" i="51"/>
  <c r="B649" i="51"/>
  <c r="C649" i="51"/>
  <c r="D649" i="51"/>
  <c r="E649" i="51"/>
  <c r="F649" i="51"/>
  <c r="G649" i="51" a="1"/>
  <c r="G649" i="51" s="1"/>
  <c r="H649" i="51" a="1"/>
  <c r="H649" i="51" s="1"/>
  <c r="I649" i="51"/>
  <c r="J649" i="51"/>
  <c r="K649" i="51"/>
  <c r="L649" i="51"/>
  <c r="A650" i="51"/>
  <c r="B650" i="51"/>
  <c r="C650" i="51"/>
  <c r="D650" i="51"/>
  <c r="E650" i="51"/>
  <c r="F650" i="51"/>
  <c r="G650" i="51" a="1"/>
  <c r="G650" i="51" s="1"/>
  <c r="H650" i="51" a="1"/>
  <c r="H650" i="51" s="1"/>
  <c r="I650" i="51"/>
  <c r="J650" i="51"/>
  <c r="K650" i="51"/>
  <c r="L650" i="51"/>
  <c r="A651" i="51"/>
  <c r="B651" i="51"/>
  <c r="C651" i="51"/>
  <c r="D651" i="51"/>
  <c r="E651" i="51"/>
  <c r="F651" i="51"/>
  <c r="G651" i="51" a="1"/>
  <c r="G651" i="51" s="1"/>
  <c r="H651" i="51" a="1"/>
  <c r="H651" i="51" s="1"/>
  <c r="I651" i="51"/>
  <c r="J651" i="51"/>
  <c r="K651" i="51"/>
  <c r="L651" i="51"/>
  <c r="A652" i="51"/>
  <c r="B652" i="51"/>
  <c r="C652" i="51"/>
  <c r="D652" i="51"/>
  <c r="E652" i="51"/>
  <c r="F652" i="51"/>
  <c r="G652" i="51" a="1"/>
  <c r="G652" i="51" s="1"/>
  <c r="H652" i="51" a="1"/>
  <c r="H652" i="51" s="1"/>
  <c r="I652" i="51"/>
  <c r="J652" i="51"/>
  <c r="K652" i="51"/>
  <c r="L652" i="51"/>
  <c r="A653" i="51"/>
  <c r="B653" i="51"/>
  <c r="C653" i="51"/>
  <c r="D653" i="51"/>
  <c r="E653" i="51"/>
  <c r="F653" i="51"/>
  <c r="G653" i="51" a="1"/>
  <c r="G653" i="51" s="1"/>
  <c r="H653" i="51" a="1"/>
  <c r="H653" i="51" s="1"/>
  <c r="I653" i="51"/>
  <c r="J653" i="51"/>
  <c r="K653" i="51"/>
  <c r="L653" i="51"/>
  <c r="A654" i="51"/>
  <c r="B654" i="51"/>
  <c r="C654" i="51"/>
  <c r="D654" i="51"/>
  <c r="E654" i="51"/>
  <c r="F654" i="51"/>
  <c r="G654" i="51" a="1"/>
  <c r="G654" i="51" s="1"/>
  <c r="H654" i="51" a="1"/>
  <c r="H654" i="51" s="1"/>
  <c r="I654" i="51"/>
  <c r="J654" i="51"/>
  <c r="K654" i="51"/>
  <c r="L654" i="51"/>
  <c r="A655" i="51"/>
  <c r="B655" i="51"/>
  <c r="C655" i="51"/>
  <c r="D655" i="51"/>
  <c r="E655" i="51"/>
  <c r="F655" i="51"/>
  <c r="G655" i="51" a="1"/>
  <c r="G655" i="51" s="1"/>
  <c r="H655" i="51" a="1"/>
  <c r="H655" i="51" s="1"/>
  <c r="I655" i="51"/>
  <c r="J655" i="51"/>
  <c r="K655" i="51"/>
  <c r="L655" i="51"/>
  <c r="A656" i="51"/>
  <c r="B656" i="51"/>
  <c r="C656" i="51"/>
  <c r="D656" i="51"/>
  <c r="E656" i="51"/>
  <c r="F656" i="51"/>
  <c r="G656" i="51" a="1"/>
  <c r="G656" i="51" s="1"/>
  <c r="H656" i="51" a="1"/>
  <c r="H656" i="51" s="1"/>
  <c r="I656" i="51"/>
  <c r="J656" i="51"/>
  <c r="K656" i="51"/>
  <c r="L656" i="51"/>
  <c r="A657" i="51"/>
  <c r="B657" i="51"/>
  <c r="C657" i="51"/>
  <c r="D657" i="51"/>
  <c r="E657" i="51"/>
  <c r="F657" i="51"/>
  <c r="G657" i="51" a="1"/>
  <c r="G657" i="51" s="1"/>
  <c r="H657" i="51" a="1"/>
  <c r="H657" i="51" s="1"/>
  <c r="I657" i="51"/>
  <c r="J657" i="51"/>
  <c r="K657" i="51"/>
  <c r="L657" i="51"/>
  <c r="A658" i="51"/>
  <c r="B658" i="51"/>
  <c r="C658" i="51"/>
  <c r="D658" i="51"/>
  <c r="E658" i="51"/>
  <c r="F658" i="51"/>
  <c r="G658" i="51" a="1"/>
  <c r="G658" i="51" s="1"/>
  <c r="H658" i="51" a="1"/>
  <c r="H658" i="51" s="1"/>
  <c r="I658" i="51"/>
  <c r="J658" i="51"/>
  <c r="K658" i="51"/>
  <c r="L658" i="51"/>
  <c r="A659" i="51"/>
  <c r="B659" i="51"/>
  <c r="C659" i="51"/>
  <c r="D659" i="51"/>
  <c r="E659" i="51"/>
  <c r="F659" i="51"/>
  <c r="G659" i="51" a="1"/>
  <c r="G659" i="51" s="1"/>
  <c r="H659" i="51" a="1"/>
  <c r="H659" i="51" s="1"/>
  <c r="I659" i="51"/>
  <c r="J659" i="51"/>
  <c r="K659" i="51"/>
  <c r="L659" i="51"/>
  <c r="A660" i="51"/>
  <c r="B660" i="51"/>
  <c r="C660" i="51"/>
  <c r="D660" i="51"/>
  <c r="E660" i="51"/>
  <c r="F660" i="51"/>
  <c r="G660" i="51" a="1"/>
  <c r="G660" i="51" s="1"/>
  <c r="H660" i="51" a="1"/>
  <c r="H660" i="51" s="1"/>
  <c r="I660" i="51"/>
  <c r="J660" i="51"/>
  <c r="K660" i="51"/>
  <c r="L660" i="51"/>
  <c r="A661" i="51"/>
  <c r="B661" i="51"/>
  <c r="C661" i="51"/>
  <c r="D661" i="51"/>
  <c r="E661" i="51"/>
  <c r="F661" i="51"/>
  <c r="G661" i="51" a="1"/>
  <c r="G661" i="51" s="1"/>
  <c r="H661" i="51" a="1"/>
  <c r="H661" i="51" s="1"/>
  <c r="I661" i="51"/>
  <c r="J661" i="51"/>
  <c r="K661" i="51"/>
  <c r="L661" i="51"/>
  <c r="A662" i="51"/>
  <c r="B662" i="51"/>
  <c r="C662" i="51"/>
  <c r="D662" i="51"/>
  <c r="E662" i="51"/>
  <c r="F662" i="51"/>
  <c r="G662" i="51" a="1"/>
  <c r="G662" i="51" s="1"/>
  <c r="H662" i="51" a="1"/>
  <c r="H662" i="51" s="1"/>
  <c r="I662" i="51"/>
  <c r="J662" i="51"/>
  <c r="K662" i="51"/>
  <c r="L662" i="51"/>
  <c r="A663" i="51"/>
  <c r="B663" i="51"/>
  <c r="C663" i="51"/>
  <c r="D663" i="51"/>
  <c r="E663" i="51"/>
  <c r="F663" i="51"/>
  <c r="G663" i="51" a="1"/>
  <c r="G663" i="51" s="1"/>
  <c r="H663" i="51" a="1"/>
  <c r="H663" i="51" s="1"/>
  <c r="I663" i="51"/>
  <c r="J663" i="51"/>
  <c r="K663" i="51"/>
  <c r="L663" i="51"/>
  <c r="A664" i="51"/>
  <c r="B664" i="51"/>
  <c r="C664" i="51"/>
  <c r="D664" i="51"/>
  <c r="E664" i="51"/>
  <c r="F664" i="51"/>
  <c r="G664" i="51" a="1"/>
  <c r="G664" i="51" s="1"/>
  <c r="H664" i="51" a="1"/>
  <c r="H664" i="51" s="1"/>
  <c r="I664" i="51"/>
  <c r="J664" i="51"/>
  <c r="K664" i="51"/>
  <c r="L664" i="51"/>
  <c r="A665" i="51"/>
  <c r="B665" i="51"/>
  <c r="C665" i="51"/>
  <c r="D665" i="51"/>
  <c r="E665" i="51"/>
  <c r="F665" i="51"/>
  <c r="G665" i="51" a="1"/>
  <c r="G665" i="51" s="1"/>
  <c r="H665" i="51" a="1"/>
  <c r="H665" i="51" s="1"/>
  <c r="I665" i="51"/>
  <c r="J665" i="51"/>
  <c r="K665" i="51"/>
  <c r="L665" i="51"/>
  <c r="A666" i="51"/>
  <c r="B666" i="51"/>
  <c r="C666" i="51"/>
  <c r="D666" i="51"/>
  <c r="E666" i="51"/>
  <c r="F666" i="51"/>
  <c r="G666" i="51" a="1"/>
  <c r="G666" i="51" s="1"/>
  <c r="H666" i="51" a="1"/>
  <c r="H666" i="51" s="1"/>
  <c r="I666" i="51"/>
  <c r="J666" i="51"/>
  <c r="K666" i="51"/>
  <c r="L666" i="51"/>
  <c r="A667" i="51"/>
  <c r="B667" i="51"/>
  <c r="C667" i="51"/>
  <c r="D667" i="51"/>
  <c r="E667" i="51"/>
  <c r="F667" i="51"/>
  <c r="G667" i="51" a="1"/>
  <c r="G667" i="51" s="1"/>
  <c r="H667" i="51" a="1"/>
  <c r="H667" i="51" s="1"/>
  <c r="I667" i="51"/>
  <c r="J667" i="51"/>
  <c r="K667" i="51"/>
  <c r="L667" i="51"/>
  <c r="A668" i="51"/>
  <c r="B668" i="51"/>
  <c r="C668" i="51"/>
  <c r="D668" i="51"/>
  <c r="E668" i="51"/>
  <c r="F668" i="51"/>
  <c r="G668" i="51" a="1"/>
  <c r="G668" i="51" s="1"/>
  <c r="H668" i="51" a="1"/>
  <c r="H668" i="51" s="1"/>
  <c r="I668" i="51"/>
  <c r="J668" i="51"/>
  <c r="K668" i="51"/>
  <c r="L668" i="51"/>
  <c r="A669" i="51"/>
  <c r="B669" i="51"/>
  <c r="C669" i="51"/>
  <c r="D669" i="51"/>
  <c r="E669" i="51"/>
  <c r="F669" i="51"/>
  <c r="G669" i="51" a="1"/>
  <c r="G669" i="51" s="1"/>
  <c r="H669" i="51" a="1"/>
  <c r="H669" i="51" s="1"/>
  <c r="I669" i="51"/>
  <c r="J669" i="51"/>
  <c r="K669" i="51"/>
  <c r="L669" i="51"/>
  <c r="A670" i="51"/>
  <c r="B670" i="51"/>
  <c r="C670" i="51"/>
  <c r="D670" i="51"/>
  <c r="E670" i="51"/>
  <c r="F670" i="51"/>
  <c r="G670" i="51" a="1"/>
  <c r="G670" i="51" s="1"/>
  <c r="H670" i="51" a="1"/>
  <c r="H670" i="51" s="1"/>
  <c r="I670" i="51"/>
  <c r="J670" i="51"/>
  <c r="K670" i="51"/>
  <c r="L670" i="51"/>
  <c r="A671" i="51"/>
  <c r="B671" i="51"/>
  <c r="C671" i="51"/>
  <c r="D671" i="51"/>
  <c r="E671" i="51"/>
  <c r="F671" i="51"/>
  <c r="G671" i="51" a="1"/>
  <c r="G671" i="51" s="1"/>
  <c r="H671" i="51" a="1"/>
  <c r="H671" i="51" s="1"/>
  <c r="I671" i="51"/>
  <c r="J671" i="51"/>
  <c r="K671" i="51"/>
  <c r="L671" i="51"/>
  <c r="A672" i="51"/>
  <c r="B672" i="51"/>
  <c r="C672" i="51"/>
  <c r="D672" i="51"/>
  <c r="E672" i="51"/>
  <c r="F672" i="51"/>
  <c r="G672" i="51" a="1"/>
  <c r="G672" i="51" s="1"/>
  <c r="H672" i="51" a="1"/>
  <c r="H672" i="51" s="1"/>
  <c r="I672" i="51"/>
  <c r="J672" i="51"/>
  <c r="K672" i="51"/>
  <c r="L672" i="51"/>
  <c r="A673" i="51"/>
  <c r="B673" i="51"/>
  <c r="C673" i="51"/>
  <c r="D673" i="51"/>
  <c r="E673" i="51"/>
  <c r="F673" i="51"/>
  <c r="G673" i="51" a="1"/>
  <c r="G673" i="51" s="1"/>
  <c r="H673" i="51" a="1"/>
  <c r="H673" i="51" s="1"/>
  <c r="I673" i="51"/>
  <c r="J673" i="51"/>
  <c r="K673" i="51"/>
  <c r="L673" i="51"/>
  <c r="A674" i="51"/>
  <c r="B674" i="51"/>
  <c r="C674" i="51"/>
  <c r="D674" i="51"/>
  <c r="E674" i="51"/>
  <c r="F674" i="51"/>
  <c r="G674" i="51" a="1"/>
  <c r="G674" i="51" s="1"/>
  <c r="H674" i="51" a="1"/>
  <c r="H674" i="51" s="1"/>
  <c r="I674" i="51"/>
  <c r="J674" i="51"/>
  <c r="K674" i="51"/>
  <c r="L674" i="51"/>
  <c r="A675" i="51"/>
  <c r="B675" i="51"/>
  <c r="C675" i="51"/>
  <c r="D675" i="51"/>
  <c r="E675" i="51"/>
  <c r="F675" i="51"/>
  <c r="G675" i="51" a="1"/>
  <c r="G675" i="51" s="1"/>
  <c r="H675" i="51" a="1"/>
  <c r="H675" i="51" s="1"/>
  <c r="I675" i="51"/>
  <c r="J675" i="51"/>
  <c r="K675" i="51"/>
  <c r="L675" i="51"/>
  <c r="A676" i="51"/>
  <c r="B676" i="51"/>
  <c r="C676" i="51"/>
  <c r="D676" i="51"/>
  <c r="E676" i="51"/>
  <c r="F676" i="51"/>
  <c r="G676" i="51" a="1"/>
  <c r="G676" i="51" s="1"/>
  <c r="H676" i="51" a="1"/>
  <c r="H676" i="51" s="1"/>
  <c r="I676" i="51"/>
  <c r="J676" i="51"/>
  <c r="K676" i="51"/>
  <c r="L676" i="51"/>
  <c r="A677" i="51"/>
  <c r="B677" i="51"/>
  <c r="C677" i="51"/>
  <c r="D677" i="51"/>
  <c r="E677" i="51"/>
  <c r="F677" i="51"/>
  <c r="G677" i="51" a="1"/>
  <c r="G677" i="51" s="1"/>
  <c r="H677" i="51" a="1"/>
  <c r="H677" i="51" s="1"/>
  <c r="I677" i="51"/>
  <c r="J677" i="51"/>
  <c r="K677" i="51"/>
  <c r="L677" i="51"/>
  <c r="A678" i="51"/>
  <c r="B678" i="51"/>
  <c r="C678" i="51"/>
  <c r="D678" i="51"/>
  <c r="E678" i="51"/>
  <c r="F678" i="51"/>
  <c r="G678" i="51" a="1"/>
  <c r="G678" i="51" s="1"/>
  <c r="H678" i="51" a="1"/>
  <c r="H678" i="51" s="1"/>
  <c r="I678" i="51"/>
  <c r="J678" i="51"/>
  <c r="K678" i="51"/>
  <c r="L678" i="51"/>
  <c r="A679" i="51"/>
  <c r="B679" i="51"/>
  <c r="C679" i="51"/>
  <c r="D679" i="51"/>
  <c r="E679" i="51"/>
  <c r="F679" i="51"/>
  <c r="G679" i="51" a="1"/>
  <c r="G679" i="51" s="1"/>
  <c r="H679" i="51" a="1"/>
  <c r="H679" i="51" s="1"/>
  <c r="I679" i="51"/>
  <c r="J679" i="51"/>
  <c r="K679" i="51"/>
  <c r="L679" i="51"/>
  <c r="A680" i="51"/>
  <c r="B680" i="51"/>
  <c r="C680" i="51"/>
  <c r="D680" i="51"/>
  <c r="E680" i="51"/>
  <c r="F680" i="51"/>
  <c r="G680" i="51" a="1"/>
  <c r="G680" i="51" s="1"/>
  <c r="H680" i="51" a="1"/>
  <c r="H680" i="51" s="1"/>
  <c r="I680" i="51"/>
  <c r="J680" i="51"/>
  <c r="K680" i="51"/>
  <c r="L680" i="51"/>
  <c r="A681" i="51"/>
  <c r="B681" i="51"/>
  <c r="C681" i="51"/>
  <c r="D681" i="51"/>
  <c r="E681" i="51"/>
  <c r="F681" i="51"/>
  <c r="G681" i="51" a="1"/>
  <c r="G681" i="51" s="1"/>
  <c r="H681" i="51" a="1"/>
  <c r="H681" i="51" s="1"/>
  <c r="I681" i="51"/>
  <c r="J681" i="51"/>
  <c r="K681" i="51"/>
  <c r="L681" i="51"/>
  <c r="A682" i="51"/>
  <c r="B682" i="51"/>
  <c r="C682" i="51"/>
  <c r="D682" i="51"/>
  <c r="E682" i="51"/>
  <c r="F682" i="51"/>
  <c r="G682" i="51" a="1"/>
  <c r="G682" i="51" s="1"/>
  <c r="H682" i="51" a="1"/>
  <c r="H682" i="51" s="1"/>
  <c r="I682" i="51"/>
  <c r="J682" i="51"/>
  <c r="K682" i="51"/>
  <c r="L682" i="51"/>
  <c r="A683" i="51"/>
  <c r="B683" i="51"/>
  <c r="C683" i="51"/>
  <c r="D683" i="51"/>
  <c r="E683" i="51"/>
  <c r="F683" i="51"/>
  <c r="G683" i="51" a="1"/>
  <c r="G683" i="51" s="1"/>
  <c r="H683" i="51" a="1"/>
  <c r="H683" i="51" s="1"/>
  <c r="I683" i="51"/>
  <c r="J683" i="51"/>
  <c r="K683" i="51"/>
  <c r="L683" i="51"/>
  <c r="A684" i="51"/>
  <c r="B684" i="51"/>
  <c r="C684" i="51"/>
  <c r="D684" i="51"/>
  <c r="E684" i="51"/>
  <c r="F684" i="51"/>
  <c r="G684" i="51" a="1"/>
  <c r="G684" i="51" s="1"/>
  <c r="H684" i="51" a="1"/>
  <c r="H684" i="51" s="1"/>
  <c r="I684" i="51"/>
  <c r="J684" i="51"/>
  <c r="K684" i="51"/>
  <c r="L684" i="51"/>
  <c r="A685" i="51"/>
  <c r="B685" i="51"/>
  <c r="C685" i="51"/>
  <c r="D685" i="51"/>
  <c r="E685" i="51"/>
  <c r="F685" i="51"/>
  <c r="G685" i="51" a="1"/>
  <c r="G685" i="51" s="1"/>
  <c r="H685" i="51" a="1"/>
  <c r="H685" i="51" s="1"/>
  <c r="I685" i="51"/>
  <c r="J685" i="51"/>
  <c r="K685" i="51"/>
  <c r="L685" i="51"/>
  <c r="A686" i="51"/>
  <c r="B686" i="51"/>
  <c r="C686" i="51"/>
  <c r="D686" i="51"/>
  <c r="E686" i="51"/>
  <c r="F686" i="51"/>
  <c r="G686" i="51" a="1"/>
  <c r="G686" i="51" s="1"/>
  <c r="H686" i="51" a="1"/>
  <c r="H686" i="51" s="1"/>
  <c r="I686" i="51"/>
  <c r="J686" i="51"/>
  <c r="K686" i="51"/>
  <c r="L686" i="51"/>
  <c r="A687" i="51"/>
  <c r="B687" i="51"/>
  <c r="C687" i="51"/>
  <c r="D687" i="51"/>
  <c r="E687" i="51"/>
  <c r="F687" i="51"/>
  <c r="G687" i="51" a="1"/>
  <c r="G687" i="51" s="1"/>
  <c r="H687" i="51" a="1"/>
  <c r="H687" i="51" s="1"/>
  <c r="I687" i="51"/>
  <c r="J687" i="51"/>
  <c r="K687" i="51"/>
  <c r="L687" i="51"/>
  <c r="A688" i="51"/>
  <c r="B688" i="51"/>
  <c r="C688" i="51"/>
  <c r="D688" i="51"/>
  <c r="E688" i="51"/>
  <c r="F688" i="51"/>
  <c r="G688" i="51" a="1"/>
  <c r="G688" i="51" s="1"/>
  <c r="H688" i="51" a="1"/>
  <c r="H688" i="51" s="1"/>
  <c r="I688" i="51"/>
  <c r="J688" i="51"/>
  <c r="K688" i="51"/>
  <c r="L688" i="51"/>
  <c r="A689" i="51"/>
  <c r="B689" i="51"/>
  <c r="C689" i="51"/>
  <c r="D689" i="51"/>
  <c r="E689" i="51"/>
  <c r="F689" i="51"/>
  <c r="G689" i="51" a="1"/>
  <c r="G689" i="51" s="1"/>
  <c r="H689" i="51" a="1"/>
  <c r="H689" i="51" s="1"/>
  <c r="I689" i="51"/>
  <c r="J689" i="51"/>
  <c r="K689" i="51"/>
  <c r="L689" i="51"/>
  <c r="A690" i="51"/>
  <c r="B690" i="51"/>
  <c r="C690" i="51"/>
  <c r="D690" i="51"/>
  <c r="E690" i="51"/>
  <c r="F690" i="51"/>
  <c r="G690" i="51" a="1"/>
  <c r="G690" i="51" s="1"/>
  <c r="H690" i="51" a="1"/>
  <c r="H690" i="51" s="1"/>
  <c r="I690" i="51"/>
  <c r="J690" i="51"/>
  <c r="K690" i="51"/>
  <c r="L690" i="51"/>
  <c r="A691" i="51"/>
  <c r="B691" i="51"/>
  <c r="C691" i="51"/>
  <c r="D691" i="51"/>
  <c r="E691" i="51"/>
  <c r="F691" i="51"/>
  <c r="G691" i="51" a="1"/>
  <c r="G691" i="51" s="1"/>
  <c r="H691" i="51" a="1"/>
  <c r="H691" i="51" s="1"/>
  <c r="I691" i="51"/>
  <c r="J691" i="51"/>
  <c r="K691" i="51"/>
  <c r="L691" i="51"/>
  <c r="A692" i="51"/>
  <c r="B692" i="51"/>
  <c r="C692" i="51"/>
  <c r="D692" i="51"/>
  <c r="E692" i="51"/>
  <c r="F692" i="51"/>
  <c r="G692" i="51" a="1"/>
  <c r="G692" i="51" s="1"/>
  <c r="H692" i="51" a="1"/>
  <c r="H692" i="51" s="1"/>
  <c r="I692" i="51"/>
  <c r="J692" i="51"/>
  <c r="K692" i="51"/>
  <c r="L692" i="51"/>
  <c r="A693" i="51"/>
  <c r="B693" i="51"/>
  <c r="C693" i="51"/>
  <c r="D693" i="51"/>
  <c r="E693" i="51"/>
  <c r="F693" i="51"/>
  <c r="G693" i="51" a="1"/>
  <c r="G693" i="51" s="1"/>
  <c r="H693" i="51" a="1"/>
  <c r="H693" i="51" s="1"/>
  <c r="I693" i="51"/>
  <c r="J693" i="51"/>
  <c r="K693" i="51"/>
  <c r="L693" i="51"/>
  <c r="A694" i="51"/>
  <c r="B694" i="51"/>
  <c r="C694" i="51"/>
  <c r="D694" i="51"/>
  <c r="E694" i="51"/>
  <c r="F694" i="51"/>
  <c r="G694" i="51" a="1"/>
  <c r="G694" i="51" s="1"/>
  <c r="H694" i="51" a="1"/>
  <c r="H694" i="51" s="1"/>
  <c r="I694" i="51"/>
  <c r="J694" i="51"/>
  <c r="K694" i="51"/>
  <c r="L694" i="51"/>
  <c r="A695" i="51"/>
  <c r="B695" i="51"/>
  <c r="C695" i="51"/>
  <c r="D695" i="51"/>
  <c r="E695" i="51"/>
  <c r="F695" i="51"/>
  <c r="G695" i="51" a="1"/>
  <c r="G695" i="51" s="1"/>
  <c r="H695" i="51" a="1"/>
  <c r="H695" i="51" s="1"/>
  <c r="I695" i="51"/>
  <c r="J695" i="51"/>
  <c r="K695" i="51"/>
  <c r="L695" i="51"/>
  <c r="A696" i="51"/>
  <c r="B696" i="51"/>
  <c r="C696" i="51"/>
  <c r="D696" i="51"/>
  <c r="E696" i="51"/>
  <c r="F696" i="51"/>
  <c r="G696" i="51" a="1"/>
  <c r="G696" i="51" s="1"/>
  <c r="H696" i="51" a="1"/>
  <c r="H696" i="51" s="1"/>
  <c r="I696" i="51"/>
  <c r="J696" i="51"/>
  <c r="K696" i="51"/>
  <c r="L696" i="51"/>
  <c r="A697" i="51"/>
  <c r="B697" i="51"/>
  <c r="C697" i="51"/>
  <c r="D697" i="51"/>
  <c r="E697" i="51"/>
  <c r="F697" i="51"/>
  <c r="G697" i="51" a="1"/>
  <c r="G697" i="51" s="1"/>
  <c r="H697" i="51" a="1"/>
  <c r="H697" i="51" s="1"/>
  <c r="I697" i="51"/>
  <c r="J697" i="51"/>
  <c r="K697" i="51"/>
  <c r="L697" i="51"/>
  <c r="A698" i="51"/>
  <c r="B698" i="51"/>
  <c r="C698" i="51"/>
  <c r="D698" i="51"/>
  <c r="E698" i="51"/>
  <c r="F698" i="51"/>
  <c r="G698" i="51" a="1"/>
  <c r="G698" i="51" s="1"/>
  <c r="H698" i="51" a="1"/>
  <c r="H698" i="51" s="1"/>
  <c r="I698" i="51"/>
  <c r="J698" i="51"/>
  <c r="K698" i="51"/>
  <c r="L698" i="51"/>
  <c r="A699" i="51"/>
  <c r="B699" i="51"/>
  <c r="C699" i="51"/>
  <c r="D699" i="51"/>
  <c r="E699" i="51"/>
  <c r="F699" i="51"/>
  <c r="G699" i="51" a="1"/>
  <c r="G699" i="51" s="1"/>
  <c r="H699" i="51" a="1"/>
  <c r="H699" i="51" s="1"/>
  <c r="I699" i="51"/>
  <c r="J699" i="51"/>
  <c r="K699" i="51"/>
  <c r="L699" i="51"/>
  <c r="A700" i="51"/>
  <c r="B700" i="51"/>
  <c r="C700" i="51"/>
  <c r="D700" i="51"/>
  <c r="E700" i="51"/>
  <c r="F700" i="51"/>
  <c r="G700" i="51" a="1"/>
  <c r="G700" i="51" s="1"/>
  <c r="H700" i="51" a="1"/>
  <c r="H700" i="51" s="1"/>
  <c r="I700" i="51"/>
  <c r="J700" i="51"/>
  <c r="K700" i="51"/>
  <c r="L700" i="51"/>
  <c r="A701" i="51"/>
  <c r="B701" i="51"/>
  <c r="C701" i="51"/>
  <c r="D701" i="51"/>
  <c r="E701" i="51"/>
  <c r="F701" i="51"/>
  <c r="G701" i="51" a="1"/>
  <c r="G701" i="51" s="1"/>
  <c r="H701" i="51" a="1"/>
  <c r="H701" i="51" s="1"/>
  <c r="I701" i="51"/>
  <c r="J701" i="51"/>
  <c r="K701" i="51"/>
  <c r="L701" i="51"/>
  <c r="A702" i="51"/>
  <c r="B702" i="51"/>
  <c r="C702" i="51"/>
  <c r="D702" i="51"/>
  <c r="E702" i="51"/>
  <c r="F702" i="51"/>
  <c r="G702" i="51" a="1"/>
  <c r="G702" i="51" s="1"/>
  <c r="H702" i="51" a="1"/>
  <c r="H702" i="51" s="1"/>
  <c r="I702" i="51"/>
  <c r="J702" i="51"/>
  <c r="K702" i="51"/>
  <c r="L702" i="51"/>
  <c r="A703" i="51"/>
  <c r="B703" i="51"/>
  <c r="C703" i="51"/>
  <c r="D703" i="51"/>
  <c r="E703" i="51"/>
  <c r="F703" i="51"/>
  <c r="G703" i="51" a="1"/>
  <c r="G703" i="51" s="1"/>
  <c r="H703" i="51" a="1"/>
  <c r="H703" i="51" s="1"/>
  <c r="I703" i="51"/>
  <c r="J703" i="51"/>
  <c r="K703" i="51"/>
  <c r="L703" i="51"/>
  <c r="A704" i="51"/>
  <c r="B704" i="51"/>
  <c r="C704" i="51"/>
  <c r="D704" i="51"/>
  <c r="E704" i="51"/>
  <c r="F704" i="51"/>
  <c r="G704" i="51" a="1"/>
  <c r="G704" i="51" s="1"/>
  <c r="H704" i="51" a="1"/>
  <c r="H704" i="51" s="1"/>
  <c r="I704" i="51"/>
  <c r="J704" i="51"/>
  <c r="K704" i="51"/>
  <c r="L704" i="51"/>
  <c r="A705" i="51"/>
  <c r="B705" i="51"/>
  <c r="C705" i="51"/>
  <c r="D705" i="51"/>
  <c r="E705" i="51"/>
  <c r="F705" i="51"/>
  <c r="G705" i="51" a="1"/>
  <c r="G705" i="51" s="1"/>
  <c r="H705" i="51" a="1"/>
  <c r="H705" i="51" s="1"/>
  <c r="I705" i="51"/>
  <c r="J705" i="51"/>
  <c r="K705" i="51"/>
  <c r="L705" i="51"/>
  <c r="A706" i="51"/>
  <c r="B706" i="51"/>
  <c r="C706" i="51"/>
  <c r="D706" i="51"/>
  <c r="E706" i="51"/>
  <c r="F706" i="51"/>
  <c r="G706" i="51" a="1"/>
  <c r="G706" i="51" s="1"/>
  <c r="H706" i="51" a="1"/>
  <c r="H706" i="51" s="1"/>
  <c r="I706" i="51"/>
  <c r="J706" i="51"/>
  <c r="K706" i="51"/>
  <c r="L706" i="51"/>
  <c r="A707" i="51"/>
  <c r="B707" i="51"/>
  <c r="C707" i="51"/>
  <c r="D707" i="51"/>
  <c r="E707" i="51"/>
  <c r="F707" i="51"/>
  <c r="G707" i="51" a="1"/>
  <c r="G707" i="51" s="1"/>
  <c r="H707" i="51" a="1"/>
  <c r="H707" i="51" s="1"/>
  <c r="I707" i="51"/>
  <c r="J707" i="51"/>
  <c r="K707" i="51"/>
  <c r="L707" i="51"/>
  <c r="A708" i="51"/>
  <c r="B708" i="51"/>
  <c r="C708" i="51"/>
  <c r="D708" i="51"/>
  <c r="E708" i="51"/>
  <c r="F708" i="51"/>
  <c r="G708" i="51" a="1"/>
  <c r="G708" i="51" s="1"/>
  <c r="H708" i="51" a="1"/>
  <c r="H708" i="51" s="1"/>
  <c r="I708" i="51"/>
  <c r="J708" i="51"/>
  <c r="K708" i="51"/>
  <c r="L708" i="51"/>
  <c r="A709" i="51"/>
  <c r="B709" i="51"/>
  <c r="C709" i="51"/>
  <c r="D709" i="51"/>
  <c r="E709" i="51"/>
  <c r="F709" i="51"/>
  <c r="G709" i="51" a="1"/>
  <c r="G709" i="51" s="1"/>
  <c r="H709" i="51" a="1"/>
  <c r="H709" i="51" s="1"/>
  <c r="I709" i="51"/>
  <c r="J709" i="51"/>
  <c r="K709" i="51"/>
  <c r="L709" i="51"/>
  <c r="A710" i="51"/>
  <c r="B710" i="51"/>
  <c r="C710" i="51"/>
  <c r="D710" i="51"/>
  <c r="E710" i="51"/>
  <c r="F710" i="51"/>
  <c r="G710" i="51" a="1"/>
  <c r="G710" i="51" s="1"/>
  <c r="H710" i="51" a="1"/>
  <c r="H710" i="51" s="1"/>
  <c r="I710" i="51"/>
  <c r="J710" i="51"/>
  <c r="K710" i="51"/>
  <c r="L710" i="51"/>
  <c r="A711" i="51"/>
  <c r="B711" i="51"/>
  <c r="C711" i="51"/>
  <c r="D711" i="51"/>
  <c r="E711" i="51"/>
  <c r="F711" i="51"/>
  <c r="G711" i="51" a="1"/>
  <c r="G711" i="51" s="1"/>
  <c r="H711" i="51" a="1"/>
  <c r="H711" i="51" s="1"/>
  <c r="I711" i="51"/>
  <c r="J711" i="51"/>
  <c r="K711" i="51"/>
  <c r="L711" i="51"/>
  <c r="A712" i="51"/>
  <c r="B712" i="51"/>
  <c r="C712" i="51"/>
  <c r="D712" i="51"/>
  <c r="E712" i="51"/>
  <c r="F712" i="51"/>
  <c r="G712" i="51" a="1"/>
  <c r="G712" i="51" s="1"/>
  <c r="H712" i="51" a="1"/>
  <c r="H712" i="51" s="1"/>
  <c r="I712" i="51"/>
  <c r="J712" i="51"/>
  <c r="K712" i="51"/>
  <c r="L712" i="51"/>
  <c r="A713" i="51"/>
  <c r="B713" i="51"/>
  <c r="C713" i="51"/>
  <c r="D713" i="51"/>
  <c r="E713" i="51"/>
  <c r="F713" i="51"/>
  <c r="G713" i="51" a="1"/>
  <c r="G713" i="51" s="1"/>
  <c r="H713" i="51" a="1"/>
  <c r="H713" i="51" s="1"/>
  <c r="I713" i="51"/>
  <c r="J713" i="51"/>
  <c r="K713" i="51"/>
  <c r="L713" i="51"/>
  <c r="A714" i="51"/>
  <c r="B714" i="51"/>
  <c r="C714" i="51"/>
  <c r="D714" i="51"/>
  <c r="E714" i="51"/>
  <c r="F714" i="51"/>
  <c r="G714" i="51" a="1"/>
  <c r="G714" i="51" s="1"/>
  <c r="H714" i="51" a="1"/>
  <c r="H714" i="51" s="1"/>
  <c r="I714" i="51"/>
  <c r="J714" i="51"/>
  <c r="K714" i="51"/>
  <c r="L714" i="51"/>
  <c r="A715" i="51"/>
  <c r="B715" i="51"/>
  <c r="C715" i="51"/>
  <c r="D715" i="51"/>
  <c r="E715" i="51"/>
  <c r="F715" i="51"/>
  <c r="G715" i="51" a="1"/>
  <c r="G715" i="51" s="1"/>
  <c r="H715" i="51" a="1"/>
  <c r="H715" i="51" s="1"/>
  <c r="I715" i="51"/>
  <c r="J715" i="51"/>
  <c r="K715" i="51"/>
  <c r="L715" i="51"/>
  <c r="A716" i="51"/>
  <c r="B716" i="51"/>
  <c r="C716" i="51"/>
  <c r="D716" i="51"/>
  <c r="E716" i="51"/>
  <c r="F716" i="51"/>
  <c r="G716" i="51" a="1"/>
  <c r="G716" i="51" s="1"/>
  <c r="H716" i="51" a="1"/>
  <c r="H716" i="51" s="1"/>
  <c r="I716" i="51"/>
  <c r="J716" i="51"/>
  <c r="K716" i="51"/>
  <c r="L716" i="51"/>
  <c r="A717" i="51"/>
  <c r="B717" i="51"/>
  <c r="C717" i="51"/>
  <c r="D717" i="51"/>
  <c r="E717" i="51"/>
  <c r="F717" i="51"/>
  <c r="G717" i="51" a="1"/>
  <c r="G717" i="51" s="1"/>
  <c r="H717" i="51" a="1"/>
  <c r="H717" i="51" s="1"/>
  <c r="I717" i="51"/>
  <c r="J717" i="51"/>
  <c r="K717" i="51"/>
  <c r="L717" i="51"/>
  <c r="A718" i="51"/>
  <c r="B718" i="51"/>
  <c r="C718" i="51"/>
  <c r="D718" i="51"/>
  <c r="E718" i="51"/>
  <c r="F718" i="51"/>
  <c r="G718" i="51" a="1"/>
  <c r="G718" i="51" s="1"/>
  <c r="H718" i="51" a="1"/>
  <c r="H718" i="51" s="1"/>
  <c r="I718" i="51"/>
  <c r="J718" i="51"/>
  <c r="K718" i="51"/>
  <c r="L718" i="51"/>
  <c r="A719" i="51"/>
  <c r="B719" i="51"/>
  <c r="C719" i="51"/>
  <c r="D719" i="51"/>
  <c r="E719" i="51"/>
  <c r="F719" i="51"/>
  <c r="G719" i="51" a="1"/>
  <c r="G719" i="51" s="1"/>
  <c r="H719" i="51" a="1"/>
  <c r="H719" i="51" s="1"/>
  <c r="I719" i="51"/>
  <c r="J719" i="51"/>
  <c r="K719" i="51"/>
  <c r="L719" i="51"/>
  <c r="A720" i="51"/>
  <c r="B720" i="51"/>
  <c r="C720" i="51"/>
  <c r="D720" i="51"/>
  <c r="E720" i="51"/>
  <c r="F720" i="51"/>
  <c r="G720" i="51" a="1"/>
  <c r="G720" i="51" s="1"/>
  <c r="H720" i="51" a="1"/>
  <c r="H720" i="51" s="1"/>
  <c r="I720" i="51"/>
  <c r="J720" i="51"/>
  <c r="K720" i="51"/>
  <c r="L720" i="51"/>
  <c r="A721" i="51"/>
  <c r="B721" i="51"/>
  <c r="C721" i="51"/>
  <c r="D721" i="51"/>
  <c r="E721" i="51"/>
  <c r="F721" i="51"/>
  <c r="G721" i="51" a="1"/>
  <c r="G721" i="51" s="1"/>
  <c r="H721" i="51" a="1"/>
  <c r="H721" i="51" s="1"/>
  <c r="I721" i="51"/>
  <c r="J721" i="51"/>
  <c r="K721" i="51"/>
  <c r="L721" i="51"/>
  <c r="A722" i="51"/>
  <c r="B722" i="51"/>
  <c r="C722" i="51"/>
  <c r="D722" i="51"/>
  <c r="E722" i="51"/>
  <c r="F722" i="51"/>
  <c r="G722" i="51" a="1"/>
  <c r="G722" i="51" s="1"/>
  <c r="H722" i="51" a="1"/>
  <c r="H722" i="51" s="1"/>
  <c r="I722" i="51"/>
  <c r="J722" i="51"/>
  <c r="K722" i="51"/>
  <c r="L722" i="51"/>
  <c r="A723" i="51"/>
  <c r="B723" i="51"/>
  <c r="C723" i="51"/>
  <c r="D723" i="51"/>
  <c r="E723" i="51"/>
  <c r="F723" i="51"/>
  <c r="G723" i="51" a="1"/>
  <c r="G723" i="51" s="1"/>
  <c r="H723" i="51" a="1"/>
  <c r="H723" i="51" s="1"/>
  <c r="I723" i="51"/>
  <c r="J723" i="51"/>
  <c r="K723" i="51"/>
  <c r="L723" i="51"/>
  <c r="A724" i="51"/>
  <c r="B724" i="51"/>
  <c r="C724" i="51"/>
  <c r="D724" i="51"/>
  <c r="E724" i="51"/>
  <c r="F724" i="51"/>
  <c r="G724" i="51" a="1"/>
  <c r="G724" i="51" s="1"/>
  <c r="H724" i="51" a="1"/>
  <c r="H724" i="51" s="1"/>
  <c r="I724" i="51"/>
  <c r="J724" i="51"/>
  <c r="K724" i="51"/>
  <c r="L724" i="51"/>
  <c r="A725" i="51"/>
  <c r="B725" i="51"/>
  <c r="C725" i="51"/>
  <c r="D725" i="51"/>
  <c r="E725" i="51"/>
  <c r="F725" i="51"/>
  <c r="G725" i="51" a="1"/>
  <c r="G725" i="51" s="1"/>
  <c r="H725" i="51" a="1"/>
  <c r="H725" i="51" s="1"/>
  <c r="I725" i="51"/>
  <c r="J725" i="51"/>
  <c r="K725" i="51"/>
  <c r="L725" i="51"/>
  <c r="A726" i="51"/>
  <c r="B726" i="51"/>
  <c r="C726" i="51"/>
  <c r="D726" i="51"/>
  <c r="E726" i="51"/>
  <c r="F726" i="51"/>
  <c r="G726" i="51" a="1"/>
  <c r="G726" i="51" s="1"/>
  <c r="H726" i="51" a="1"/>
  <c r="H726" i="51" s="1"/>
  <c r="I726" i="51"/>
  <c r="J726" i="51"/>
  <c r="K726" i="51"/>
  <c r="L726" i="51"/>
  <c r="A727" i="51"/>
  <c r="B727" i="51"/>
  <c r="C727" i="51"/>
  <c r="D727" i="51"/>
  <c r="E727" i="51"/>
  <c r="F727" i="51"/>
  <c r="G727" i="51" a="1"/>
  <c r="G727" i="51" s="1"/>
  <c r="H727" i="51" a="1"/>
  <c r="H727" i="51" s="1"/>
  <c r="I727" i="51"/>
  <c r="J727" i="51"/>
  <c r="K727" i="51"/>
  <c r="L727" i="51"/>
  <c r="A728" i="51"/>
  <c r="B728" i="51"/>
  <c r="C728" i="51"/>
  <c r="D728" i="51"/>
  <c r="E728" i="51"/>
  <c r="F728" i="51"/>
  <c r="G728" i="51" a="1"/>
  <c r="G728" i="51" s="1"/>
  <c r="H728" i="51" a="1"/>
  <c r="H728" i="51" s="1"/>
  <c r="I728" i="51"/>
  <c r="J728" i="51"/>
  <c r="K728" i="51"/>
  <c r="L728" i="51"/>
  <c r="A729" i="51"/>
  <c r="B729" i="51"/>
  <c r="C729" i="51"/>
  <c r="D729" i="51"/>
  <c r="E729" i="51"/>
  <c r="F729" i="51"/>
  <c r="G729" i="51" a="1"/>
  <c r="G729" i="51" s="1"/>
  <c r="H729" i="51" a="1"/>
  <c r="H729" i="51" s="1"/>
  <c r="I729" i="51"/>
  <c r="J729" i="51"/>
  <c r="K729" i="51"/>
  <c r="L729" i="51"/>
  <c r="A730" i="51"/>
  <c r="B730" i="51"/>
  <c r="C730" i="51"/>
  <c r="D730" i="51"/>
  <c r="E730" i="51"/>
  <c r="F730" i="51"/>
  <c r="G730" i="51" a="1"/>
  <c r="G730" i="51" s="1"/>
  <c r="H730" i="51" a="1"/>
  <c r="H730" i="51" s="1"/>
  <c r="I730" i="51"/>
  <c r="J730" i="51"/>
  <c r="K730" i="51"/>
  <c r="L730" i="51"/>
  <c r="A731" i="51"/>
  <c r="B731" i="51"/>
  <c r="C731" i="51"/>
  <c r="D731" i="51"/>
  <c r="E731" i="51"/>
  <c r="F731" i="51"/>
  <c r="G731" i="51" a="1"/>
  <c r="G731" i="51" s="1"/>
  <c r="H731" i="51" a="1"/>
  <c r="H731" i="51" s="1"/>
  <c r="I731" i="51"/>
  <c r="J731" i="51"/>
  <c r="K731" i="51"/>
  <c r="L731" i="51"/>
  <c r="A732" i="51"/>
  <c r="B732" i="51"/>
  <c r="C732" i="51"/>
  <c r="D732" i="51"/>
  <c r="E732" i="51"/>
  <c r="F732" i="51"/>
  <c r="G732" i="51" a="1"/>
  <c r="G732" i="51" s="1"/>
  <c r="H732" i="51" a="1"/>
  <c r="H732" i="51" s="1"/>
  <c r="I732" i="51"/>
  <c r="J732" i="51"/>
  <c r="K732" i="51"/>
  <c r="L732" i="51"/>
  <c r="A733" i="51"/>
  <c r="B733" i="51"/>
  <c r="C733" i="51"/>
  <c r="D733" i="51"/>
  <c r="E733" i="51"/>
  <c r="F733" i="51"/>
  <c r="G733" i="51" a="1"/>
  <c r="G733" i="51" s="1"/>
  <c r="H733" i="51" a="1"/>
  <c r="H733" i="51" s="1"/>
  <c r="I733" i="51"/>
  <c r="J733" i="51"/>
  <c r="K733" i="51"/>
  <c r="L733" i="51"/>
  <c r="A734" i="51"/>
  <c r="B734" i="51"/>
  <c r="C734" i="51"/>
  <c r="D734" i="51"/>
  <c r="E734" i="51"/>
  <c r="F734" i="51"/>
  <c r="G734" i="51" a="1"/>
  <c r="G734" i="51" s="1"/>
  <c r="H734" i="51" a="1"/>
  <c r="H734" i="51" s="1"/>
  <c r="I734" i="51"/>
  <c r="J734" i="51"/>
  <c r="K734" i="51"/>
  <c r="L734" i="51"/>
  <c r="A735" i="51"/>
  <c r="B735" i="51"/>
  <c r="C735" i="51"/>
  <c r="D735" i="51"/>
  <c r="E735" i="51"/>
  <c r="F735" i="51"/>
  <c r="G735" i="51" a="1"/>
  <c r="G735" i="51" s="1"/>
  <c r="H735" i="51" a="1"/>
  <c r="H735" i="51" s="1"/>
  <c r="I735" i="51"/>
  <c r="J735" i="51"/>
  <c r="K735" i="51"/>
  <c r="L735" i="51"/>
  <c r="A736" i="51"/>
  <c r="B736" i="51"/>
  <c r="C736" i="51"/>
  <c r="D736" i="51"/>
  <c r="E736" i="51"/>
  <c r="F736" i="51"/>
  <c r="G736" i="51" a="1"/>
  <c r="G736" i="51" s="1"/>
  <c r="H736" i="51" a="1"/>
  <c r="H736" i="51" s="1"/>
  <c r="I736" i="51"/>
  <c r="J736" i="51"/>
  <c r="K736" i="51"/>
  <c r="L736" i="51"/>
  <c r="A737" i="51"/>
  <c r="B737" i="51"/>
  <c r="C737" i="51"/>
  <c r="D737" i="51"/>
  <c r="E737" i="51"/>
  <c r="F737" i="51"/>
  <c r="G737" i="51" a="1"/>
  <c r="G737" i="51" s="1"/>
  <c r="H737" i="51" a="1"/>
  <c r="H737" i="51" s="1"/>
  <c r="I737" i="51"/>
  <c r="J737" i="51"/>
  <c r="K737" i="51"/>
  <c r="L737" i="51"/>
  <c r="A738" i="51"/>
  <c r="B738" i="51"/>
  <c r="C738" i="51"/>
  <c r="D738" i="51"/>
  <c r="E738" i="51"/>
  <c r="F738" i="51"/>
  <c r="G738" i="51" a="1"/>
  <c r="G738" i="51" s="1"/>
  <c r="H738" i="51" a="1"/>
  <c r="H738" i="51" s="1"/>
  <c r="I738" i="51"/>
  <c r="J738" i="51"/>
  <c r="K738" i="51"/>
  <c r="L738" i="51"/>
  <c r="A739" i="51"/>
  <c r="B739" i="51"/>
  <c r="C739" i="51"/>
  <c r="D739" i="51"/>
  <c r="E739" i="51"/>
  <c r="F739" i="51"/>
  <c r="G739" i="51" a="1"/>
  <c r="G739" i="51" s="1"/>
  <c r="H739" i="51" a="1"/>
  <c r="H739" i="51" s="1"/>
  <c r="I739" i="51"/>
  <c r="J739" i="51"/>
  <c r="K739" i="51"/>
  <c r="L739" i="51"/>
  <c r="A740" i="51"/>
  <c r="B740" i="51"/>
  <c r="C740" i="51"/>
  <c r="D740" i="51"/>
  <c r="E740" i="51"/>
  <c r="F740" i="51"/>
  <c r="G740" i="51" a="1"/>
  <c r="G740" i="51" s="1"/>
  <c r="H740" i="51" a="1"/>
  <c r="H740" i="51" s="1"/>
  <c r="I740" i="51"/>
  <c r="J740" i="51"/>
  <c r="K740" i="51"/>
  <c r="L740" i="51"/>
  <c r="A741" i="51"/>
  <c r="B741" i="51"/>
  <c r="C741" i="51"/>
  <c r="D741" i="51"/>
  <c r="E741" i="51"/>
  <c r="F741" i="51"/>
  <c r="G741" i="51" a="1"/>
  <c r="G741" i="51" s="1"/>
  <c r="H741" i="51" a="1"/>
  <c r="H741" i="51" s="1"/>
  <c r="I741" i="51"/>
  <c r="J741" i="51"/>
  <c r="K741" i="51"/>
  <c r="L741" i="51"/>
  <c r="A742" i="51"/>
  <c r="B742" i="51"/>
  <c r="C742" i="51"/>
  <c r="D742" i="51"/>
  <c r="E742" i="51"/>
  <c r="F742" i="51"/>
  <c r="G742" i="51" a="1"/>
  <c r="G742" i="51" s="1"/>
  <c r="H742" i="51" a="1"/>
  <c r="H742" i="51" s="1"/>
  <c r="I742" i="51"/>
  <c r="J742" i="51"/>
  <c r="K742" i="51"/>
  <c r="L742" i="51"/>
  <c r="A743" i="51"/>
  <c r="B743" i="51"/>
  <c r="C743" i="51"/>
  <c r="D743" i="51"/>
  <c r="E743" i="51"/>
  <c r="F743" i="51"/>
  <c r="G743" i="51" a="1"/>
  <c r="G743" i="51" s="1"/>
  <c r="H743" i="51" a="1"/>
  <c r="H743" i="51" s="1"/>
  <c r="I743" i="51"/>
  <c r="J743" i="51"/>
  <c r="K743" i="51"/>
  <c r="L743" i="51"/>
  <c r="A744" i="51"/>
  <c r="B744" i="51"/>
  <c r="C744" i="51"/>
  <c r="D744" i="51"/>
  <c r="E744" i="51"/>
  <c r="F744" i="51"/>
  <c r="G744" i="51" a="1"/>
  <c r="G744" i="51" s="1"/>
  <c r="H744" i="51" a="1"/>
  <c r="H744" i="51" s="1"/>
  <c r="I744" i="51"/>
  <c r="J744" i="51"/>
  <c r="K744" i="51"/>
  <c r="L744" i="51"/>
  <c r="A745" i="51"/>
  <c r="B745" i="51"/>
  <c r="C745" i="51"/>
  <c r="D745" i="51"/>
  <c r="E745" i="51"/>
  <c r="F745" i="51"/>
  <c r="G745" i="51" a="1"/>
  <c r="G745" i="51" s="1"/>
  <c r="H745" i="51" a="1"/>
  <c r="H745" i="51" s="1"/>
  <c r="I745" i="51"/>
  <c r="J745" i="51"/>
  <c r="K745" i="51"/>
  <c r="L745" i="51"/>
  <c r="A746" i="51"/>
  <c r="B746" i="51"/>
  <c r="C746" i="51"/>
  <c r="D746" i="51"/>
  <c r="E746" i="51"/>
  <c r="F746" i="51"/>
  <c r="G746" i="51" a="1"/>
  <c r="G746" i="51" s="1"/>
  <c r="H746" i="51" a="1"/>
  <c r="H746" i="51" s="1"/>
  <c r="I746" i="51"/>
  <c r="J746" i="51"/>
  <c r="K746" i="51"/>
  <c r="L746" i="51"/>
  <c r="A747" i="51"/>
  <c r="B747" i="51"/>
  <c r="C747" i="51"/>
  <c r="D747" i="51"/>
  <c r="E747" i="51"/>
  <c r="F747" i="51"/>
  <c r="G747" i="51" a="1"/>
  <c r="G747" i="51" s="1"/>
  <c r="H747" i="51" a="1"/>
  <c r="H747" i="51" s="1"/>
  <c r="I747" i="51"/>
  <c r="J747" i="51"/>
  <c r="K747" i="51"/>
  <c r="L747" i="51"/>
  <c r="A748" i="51"/>
  <c r="B748" i="51"/>
  <c r="C748" i="51"/>
  <c r="D748" i="51"/>
  <c r="E748" i="51"/>
  <c r="F748" i="51"/>
  <c r="G748" i="51" a="1"/>
  <c r="G748" i="51" s="1"/>
  <c r="H748" i="51" a="1"/>
  <c r="H748" i="51" s="1"/>
  <c r="I748" i="51"/>
  <c r="J748" i="51"/>
  <c r="K748" i="51"/>
  <c r="L748" i="51"/>
  <c r="A749" i="51"/>
  <c r="B749" i="51"/>
  <c r="C749" i="51"/>
  <c r="D749" i="51"/>
  <c r="E749" i="51"/>
  <c r="F749" i="51"/>
  <c r="G749" i="51" a="1"/>
  <c r="G749" i="51" s="1"/>
  <c r="H749" i="51" a="1"/>
  <c r="H749" i="51" s="1"/>
  <c r="I749" i="51"/>
  <c r="J749" i="51"/>
  <c r="K749" i="51"/>
  <c r="L749" i="51"/>
  <c r="A750" i="51"/>
  <c r="B750" i="51"/>
  <c r="C750" i="51"/>
  <c r="D750" i="51"/>
  <c r="E750" i="51"/>
  <c r="F750" i="51"/>
  <c r="G750" i="51" a="1"/>
  <c r="G750" i="51" s="1"/>
  <c r="H750" i="51" a="1"/>
  <c r="H750" i="51" s="1"/>
  <c r="I750" i="51"/>
  <c r="J750" i="51"/>
  <c r="K750" i="51"/>
  <c r="L750" i="51"/>
  <c r="A751" i="51"/>
  <c r="B751" i="51"/>
  <c r="C751" i="51"/>
  <c r="D751" i="51"/>
  <c r="E751" i="51"/>
  <c r="F751" i="51"/>
  <c r="G751" i="51" a="1"/>
  <c r="G751" i="51" s="1"/>
  <c r="H751" i="51" a="1"/>
  <c r="H751" i="51" s="1"/>
  <c r="I751" i="51"/>
  <c r="J751" i="51"/>
  <c r="K751" i="51"/>
  <c r="L751" i="51"/>
  <c r="A752" i="51"/>
  <c r="B752" i="51"/>
  <c r="C752" i="51"/>
  <c r="D752" i="51"/>
  <c r="E752" i="51"/>
  <c r="F752" i="51"/>
  <c r="G752" i="51" a="1"/>
  <c r="G752" i="51" s="1"/>
  <c r="H752" i="51" a="1"/>
  <c r="H752" i="51" s="1"/>
  <c r="I752" i="51"/>
  <c r="J752" i="51"/>
  <c r="K752" i="51"/>
  <c r="L752" i="51"/>
  <c r="A753" i="51"/>
  <c r="B753" i="51"/>
  <c r="C753" i="51"/>
  <c r="D753" i="51"/>
  <c r="E753" i="51"/>
  <c r="F753" i="51"/>
  <c r="G753" i="51" a="1"/>
  <c r="G753" i="51" s="1"/>
  <c r="H753" i="51" a="1"/>
  <c r="H753" i="51" s="1"/>
  <c r="I753" i="51"/>
  <c r="J753" i="51"/>
  <c r="K753" i="51"/>
  <c r="L753" i="51"/>
  <c r="A754" i="51"/>
  <c r="B754" i="51"/>
  <c r="C754" i="51"/>
  <c r="D754" i="51"/>
  <c r="E754" i="51"/>
  <c r="F754" i="51"/>
  <c r="G754" i="51" a="1"/>
  <c r="G754" i="51" s="1"/>
  <c r="H754" i="51" a="1"/>
  <c r="H754" i="51" s="1"/>
  <c r="I754" i="51"/>
  <c r="J754" i="51"/>
  <c r="K754" i="51"/>
  <c r="L754" i="51"/>
  <c r="A755" i="51"/>
  <c r="B755" i="51"/>
  <c r="C755" i="51"/>
  <c r="D755" i="51"/>
  <c r="E755" i="51"/>
  <c r="F755" i="51"/>
  <c r="G755" i="51" a="1"/>
  <c r="G755" i="51" s="1"/>
  <c r="H755" i="51" a="1"/>
  <c r="H755" i="51" s="1"/>
  <c r="I755" i="51"/>
  <c r="J755" i="51"/>
  <c r="K755" i="51"/>
  <c r="L755" i="51"/>
  <c r="A756" i="51"/>
  <c r="B756" i="51"/>
  <c r="C756" i="51"/>
  <c r="D756" i="51"/>
  <c r="E756" i="51"/>
  <c r="F756" i="51"/>
  <c r="G756" i="51" a="1"/>
  <c r="G756" i="51" s="1"/>
  <c r="H756" i="51" a="1"/>
  <c r="H756" i="51" s="1"/>
  <c r="I756" i="51"/>
  <c r="J756" i="51"/>
  <c r="K756" i="51"/>
  <c r="L756" i="51"/>
  <c r="A757" i="51"/>
  <c r="B757" i="51"/>
  <c r="C757" i="51"/>
  <c r="D757" i="51"/>
  <c r="E757" i="51"/>
  <c r="F757" i="51"/>
  <c r="G757" i="51" a="1"/>
  <c r="G757" i="51" s="1"/>
  <c r="H757" i="51" a="1"/>
  <c r="H757" i="51" s="1"/>
  <c r="I757" i="51"/>
  <c r="J757" i="51"/>
  <c r="K757" i="51"/>
  <c r="L757" i="51"/>
  <c r="A758" i="51"/>
  <c r="B758" i="51"/>
  <c r="C758" i="51"/>
  <c r="D758" i="51"/>
  <c r="E758" i="51"/>
  <c r="F758" i="51"/>
  <c r="G758" i="51" a="1"/>
  <c r="G758" i="51" s="1"/>
  <c r="H758" i="51" a="1"/>
  <c r="H758" i="51" s="1"/>
  <c r="I758" i="51"/>
  <c r="J758" i="51"/>
  <c r="K758" i="51"/>
  <c r="L758" i="51"/>
  <c r="A759" i="51"/>
  <c r="B759" i="51"/>
  <c r="C759" i="51"/>
  <c r="D759" i="51"/>
  <c r="E759" i="51"/>
  <c r="F759" i="51"/>
  <c r="G759" i="51" a="1"/>
  <c r="G759" i="51" s="1"/>
  <c r="H759" i="51" a="1"/>
  <c r="H759" i="51" s="1"/>
  <c r="I759" i="51"/>
  <c r="J759" i="51"/>
  <c r="K759" i="51"/>
  <c r="L759" i="51"/>
  <c r="A760" i="51"/>
  <c r="B760" i="51"/>
  <c r="C760" i="51"/>
  <c r="D760" i="51"/>
  <c r="E760" i="51"/>
  <c r="F760" i="51"/>
  <c r="G760" i="51" a="1"/>
  <c r="G760" i="51" s="1"/>
  <c r="H760" i="51" a="1"/>
  <c r="H760" i="51" s="1"/>
  <c r="I760" i="51"/>
  <c r="J760" i="51"/>
  <c r="K760" i="51"/>
  <c r="L760" i="51"/>
  <c r="A761" i="51"/>
  <c r="B761" i="51"/>
  <c r="C761" i="51"/>
  <c r="D761" i="51"/>
  <c r="E761" i="51"/>
  <c r="F761" i="51"/>
  <c r="G761" i="51" a="1"/>
  <c r="G761" i="51" s="1"/>
  <c r="H761" i="51" a="1"/>
  <c r="H761" i="51" s="1"/>
  <c r="I761" i="51"/>
  <c r="J761" i="51"/>
  <c r="K761" i="51"/>
  <c r="L761" i="51"/>
  <c r="A762" i="51"/>
  <c r="B762" i="51"/>
  <c r="C762" i="51"/>
  <c r="D762" i="51"/>
  <c r="E762" i="51"/>
  <c r="F762" i="51"/>
  <c r="G762" i="51" a="1"/>
  <c r="G762" i="51" s="1"/>
  <c r="H762" i="51" a="1"/>
  <c r="H762" i="51" s="1"/>
  <c r="I762" i="51"/>
  <c r="J762" i="51"/>
  <c r="K762" i="51"/>
  <c r="L762" i="51"/>
  <c r="A763" i="51"/>
  <c r="B763" i="51"/>
  <c r="C763" i="51"/>
  <c r="D763" i="51"/>
  <c r="E763" i="51"/>
  <c r="F763" i="51"/>
  <c r="G763" i="51" a="1"/>
  <c r="G763" i="51" s="1"/>
  <c r="H763" i="51" a="1"/>
  <c r="H763" i="51" s="1"/>
  <c r="I763" i="51"/>
  <c r="J763" i="51"/>
  <c r="K763" i="51"/>
  <c r="L763" i="51"/>
  <c r="A764" i="51"/>
  <c r="B764" i="51"/>
  <c r="C764" i="51"/>
  <c r="D764" i="51"/>
  <c r="E764" i="51"/>
  <c r="F764" i="51"/>
  <c r="G764" i="51" a="1"/>
  <c r="G764" i="51" s="1"/>
  <c r="H764" i="51" a="1"/>
  <c r="H764" i="51" s="1"/>
  <c r="I764" i="51"/>
  <c r="J764" i="51"/>
  <c r="K764" i="51"/>
  <c r="L764" i="51"/>
  <c r="A765" i="51"/>
  <c r="B765" i="51"/>
  <c r="C765" i="51"/>
  <c r="D765" i="51"/>
  <c r="E765" i="51"/>
  <c r="F765" i="51"/>
  <c r="G765" i="51" a="1"/>
  <c r="G765" i="51" s="1"/>
  <c r="H765" i="51" a="1"/>
  <c r="H765" i="51" s="1"/>
  <c r="I765" i="51"/>
  <c r="J765" i="51"/>
  <c r="K765" i="51"/>
  <c r="L765" i="51"/>
  <c r="A766" i="51"/>
  <c r="B766" i="51"/>
  <c r="C766" i="51"/>
  <c r="D766" i="51"/>
  <c r="E766" i="51"/>
  <c r="F766" i="51"/>
  <c r="G766" i="51" a="1"/>
  <c r="G766" i="51" s="1"/>
  <c r="H766" i="51" a="1"/>
  <c r="H766" i="51" s="1"/>
  <c r="I766" i="51"/>
  <c r="J766" i="51"/>
  <c r="K766" i="51"/>
  <c r="L766" i="51"/>
  <c r="A767" i="51"/>
  <c r="B767" i="51"/>
  <c r="C767" i="51"/>
  <c r="D767" i="51"/>
  <c r="E767" i="51"/>
  <c r="F767" i="51"/>
  <c r="G767" i="51" a="1"/>
  <c r="G767" i="51" s="1"/>
  <c r="H767" i="51" a="1"/>
  <c r="H767" i="51" s="1"/>
  <c r="I767" i="51"/>
  <c r="J767" i="51"/>
  <c r="K767" i="51"/>
  <c r="L767" i="51"/>
  <c r="A768" i="51"/>
  <c r="B768" i="51"/>
  <c r="C768" i="51"/>
  <c r="D768" i="51"/>
  <c r="E768" i="51"/>
  <c r="F768" i="51"/>
  <c r="G768" i="51" a="1"/>
  <c r="G768" i="51" s="1"/>
  <c r="H768" i="51" a="1"/>
  <c r="H768" i="51" s="1"/>
  <c r="I768" i="51"/>
  <c r="J768" i="51"/>
  <c r="K768" i="51"/>
  <c r="L768" i="51"/>
  <c r="A769" i="51"/>
  <c r="B769" i="51"/>
  <c r="C769" i="51"/>
  <c r="D769" i="51"/>
  <c r="E769" i="51"/>
  <c r="F769" i="51"/>
  <c r="G769" i="51" a="1"/>
  <c r="G769" i="51" s="1"/>
  <c r="H769" i="51" a="1"/>
  <c r="H769" i="51" s="1"/>
  <c r="I769" i="51"/>
  <c r="J769" i="51"/>
  <c r="K769" i="51"/>
  <c r="L769" i="51"/>
  <c r="A770" i="51"/>
  <c r="B770" i="51"/>
  <c r="C770" i="51"/>
  <c r="D770" i="51"/>
  <c r="E770" i="51"/>
  <c r="F770" i="51"/>
  <c r="G770" i="51" a="1"/>
  <c r="G770" i="51" s="1"/>
  <c r="H770" i="51" a="1"/>
  <c r="H770" i="51" s="1"/>
  <c r="I770" i="51"/>
  <c r="J770" i="51"/>
  <c r="K770" i="51"/>
  <c r="L770" i="51"/>
  <c r="A771" i="51"/>
  <c r="B771" i="51"/>
  <c r="C771" i="51"/>
  <c r="D771" i="51"/>
  <c r="E771" i="51"/>
  <c r="F771" i="51"/>
  <c r="G771" i="51" a="1"/>
  <c r="G771" i="51" s="1"/>
  <c r="H771" i="51" a="1"/>
  <c r="H771" i="51" s="1"/>
  <c r="I771" i="51"/>
  <c r="J771" i="51"/>
  <c r="K771" i="51"/>
  <c r="L771" i="51"/>
  <c r="A772" i="51"/>
  <c r="B772" i="51"/>
  <c r="C772" i="51"/>
  <c r="D772" i="51"/>
  <c r="E772" i="51"/>
  <c r="F772" i="51"/>
  <c r="G772" i="51" a="1"/>
  <c r="G772" i="51" s="1"/>
  <c r="H772" i="51" a="1"/>
  <c r="H772" i="51" s="1"/>
  <c r="I772" i="51"/>
  <c r="J772" i="51"/>
  <c r="K772" i="51"/>
  <c r="L772" i="51"/>
  <c r="A773" i="51"/>
  <c r="B773" i="51"/>
  <c r="C773" i="51"/>
  <c r="D773" i="51"/>
  <c r="E773" i="51"/>
  <c r="F773" i="51"/>
  <c r="G773" i="51" a="1"/>
  <c r="G773" i="51" s="1"/>
  <c r="H773" i="51" a="1"/>
  <c r="H773" i="51" s="1"/>
  <c r="I773" i="51"/>
  <c r="J773" i="51"/>
  <c r="K773" i="51"/>
  <c r="L773" i="51"/>
  <c r="A774" i="51"/>
  <c r="B774" i="51"/>
  <c r="C774" i="51"/>
  <c r="D774" i="51"/>
  <c r="E774" i="51"/>
  <c r="F774" i="51"/>
  <c r="G774" i="51" a="1"/>
  <c r="G774" i="51" s="1"/>
  <c r="H774" i="51" a="1"/>
  <c r="H774" i="51" s="1"/>
  <c r="I774" i="51"/>
  <c r="J774" i="51"/>
  <c r="K774" i="51"/>
  <c r="L774" i="51"/>
  <c r="A775" i="51"/>
  <c r="B775" i="51"/>
  <c r="C775" i="51"/>
  <c r="D775" i="51"/>
  <c r="E775" i="51"/>
  <c r="F775" i="51"/>
  <c r="G775" i="51" a="1"/>
  <c r="G775" i="51" s="1"/>
  <c r="H775" i="51" a="1"/>
  <c r="H775" i="51" s="1"/>
  <c r="I775" i="51"/>
  <c r="J775" i="51"/>
  <c r="K775" i="51"/>
  <c r="L775" i="51"/>
  <c r="A776" i="51"/>
  <c r="B776" i="51"/>
  <c r="C776" i="51"/>
  <c r="D776" i="51"/>
  <c r="E776" i="51"/>
  <c r="F776" i="51"/>
  <c r="G776" i="51" a="1"/>
  <c r="G776" i="51" s="1"/>
  <c r="H776" i="51" a="1"/>
  <c r="H776" i="51" s="1"/>
  <c r="I776" i="51"/>
  <c r="J776" i="51"/>
  <c r="K776" i="51"/>
  <c r="L776" i="51"/>
  <c r="A777" i="51"/>
  <c r="B777" i="51"/>
  <c r="C777" i="51"/>
  <c r="D777" i="51"/>
  <c r="E777" i="51"/>
  <c r="F777" i="51"/>
  <c r="G777" i="51" a="1"/>
  <c r="G777" i="51" s="1"/>
  <c r="H777" i="51" a="1"/>
  <c r="H777" i="51" s="1"/>
  <c r="I777" i="51"/>
  <c r="J777" i="51"/>
  <c r="K777" i="51"/>
  <c r="L777" i="51"/>
  <c r="A778" i="51"/>
  <c r="B778" i="51"/>
  <c r="C778" i="51"/>
  <c r="D778" i="51"/>
  <c r="E778" i="51"/>
  <c r="F778" i="51"/>
  <c r="G778" i="51" a="1"/>
  <c r="G778" i="51" s="1"/>
  <c r="H778" i="51" a="1"/>
  <c r="H778" i="51" s="1"/>
  <c r="I778" i="51"/>
  <c r="J778" i="51"/>
  <c r="K778" i="51"/>
  <c r="L778" i="51"/>
  <c r="A779" i="51"/>
  <c r="B779" i="51"/>
  <c r="C779" i="51"/>
  <c r="D779" i="51"/>
  <c r="E779" i="51"/>
  <c r="F779" i="51"/>
  <c r="G779" i="51" a="1"/>
  <c r="G779" i="51" s="1"/>
  <c r="H779" i="51" a="1"/>
  <c r="H779" i="51" s="1"/>
  <c r="I779" i="51"/>
  <c r="J779" i="51"/>
  <c r="K779" i="51"/>
  <c r="L779" i="51"/>
  <c r="A780" i="51"/>
  <c r="B780" i="51"/>
  <c r="C780" i="51"/>
  <c r="D780" i="51"/>
  <c r="E780" i="51"/>
  <c r="F780" i="51"/>
  <c r="G780" i="51" a="1"/>
  <c r="G780" i="51" s="1"/>
  <c r="H780" i="51" a="1"/>
  <c r="H780" i="51" s="1"/>
  <c r="I780" i="51"/>
  <c r="J780" i="51"/>
  <c r="K780" i="51"/>
  <c r="L780" i="51"/>
  <c r="A781" i="51"/>
  <c r="B781" i="51"/>
  <c r="C781" i="51"/>
  <c r="D781" i="51"/>
  <c r="E781" i="51"/>
  <c r="F781" i="51"/>
  <c r="G781" i="51" a="1"/>
  <c r="G781" i="51" s="1"/>
  <c r="H781" i="51" a="1"/>
  <c r="H781" i="51" s="1"/>
  <c r="I781" i="51"/>
  <c r="J781" i="51"/>
  <c r="K781" i="51"/>
  <c r="L781" i="51"/>
  <c r="A782" i="51"/>
  <c r="B782" i="51"/>
  <c r="C782" i="51"/>
  <c r="D782" i="51"/>
  <c r="E782" i="51"/>
  <c r="F782" i="51"/>
  <c r="G782" i="51" a="1"/>
  <c r="G782" i="51" s="1"/>
  <c r="H782" i="51" a="1"/>
  <c r="H782" i="51" s="1"/>
  <c r="I782" i="51"/>
  <c r="J782" i="51"/>
  <c r="K782" i="51"/>
  <c r="L782" i="51"/>
  <c r="A783" i="51"/>
  <c r="B783" i="51"/>
  <c r="C783" i="51"/>
  <c r="D783" i="51"/>
  <c r="E783" i="51"/>
  <c r="F783" i="51"/>
  <c r="G783" i="51" a="1"/>
  <c r="G783" i="51" s="1"/>
  <c r="H783" i="51" a="1"/>
  <c r="H783" i="51" s="1"/>
  <c r="I783" i="51"/>
  <c r="J783" i="51"/>
  <c r="K783" i="51"/>
  <c r="L783" i="51"/>
  <c r="A784" i="51"/>
  <c r="B784" i="51"/>
  <c r="C784" i="51"/>
  <c r="D784" i="51"/>
  <c r="E784" i="51"/>
  <c r="F784" i="51"/>
  <c r="G784" i="51" a="1"/>
  <c r="G784" i="51" s="1"/>
  <c r="H784" i="51" a="1"/>
  <c r="H784" i="51" s="1"/>
  <c r="I784" i="51"/>
  <c r="J784" i="51"/>
  <c r="K784" i="51"/>
  <c r="L784" i="51"/>
  <c r="A785" i="51"/>
  <c r="B785" i="51"/>
  <c r="C785" i="51"/>
  <c r="D785" i="51"/>
  <c r="E785" i="51"/>
  <c r="F785" i="51"/>
  <c r="G785" i="51" a="1"/>
  <c r="G785" i="51" s="1"/>
  <c r="H785" i="51" a="1"/>
  <c r="H785" i="51" s="1"/>
  <c r="I785" i="51"/>
  <c r="J785" i="51"/>
  <c r="K785" i="51"/>
  <c r="L785" i="51"/>
  <c r="A786" i="51"/>
  <c r="B786" i="51"/>
  <c r="C786" i="51"/>
  <c r="D786" i="51"/>
  <c r="E786" i="51"/>
  <c r="F786" i="51"/>
  <c r="G786" i="51" a="1"/>
  <c r="G786" i="51" s="1"/>
  <c r="H786" i="51" a="1"/>
  <c r="H786" i="51" s="1"/>
  <c r="I786" i="51"/>
  <c r="J786" i="51"/>
  <c r="K786" i="51"/>
  <c r="L786" i="51"/>
  <c r="A787" i="51"/>
  <c r="B787" i="51"/>
  <c r="C787" i="51"/>
  <c r="D787" i="51"/>
  <c r="E787" i="51"/>
  <c r="F787" i="51"/>
  <c r="G787" i="51" a="1"/>
  <c r="G787" i="51" s="1"/>
  <c r="H787" i="51" a="1"/>
  <c r="H787" i="51" s="1"/>
  <c r="I787" i="51"/>
  <c r="J787" i="51"/>
  <c r="K787" i="51"/>
  <c r="L787" i="51"/>
  <c r="A788" i="51"/>
  <c r="B788" i="51"/>
  <c r="C788" i="51"/>
  <c r="D788" i="51"/>
  <c r="E788" i="51"/>
  <c r="F788" i="51"/>
  <c r="G788" i="51" a="1"/>
  <c r="G788" i="51" s="1"/>
  <c r="H788" i="51" a="1"/>
  <c r="H788" i="51" s="1"/>
  <c r="I788" i="51"/>
  <c r="J788" i="51"/>
  <c r="K788" i="51"/>
  <c r="L788" i="51"/>
  <c r="A789" i="51"/>
  <c r="B789" i="51"/>
  <c r="C789" i="51"/>
  <c r="D789" i="51"/>
  <c r="E789" i="51"/>
  <c r="F789" i="51"/>
  <c r="G789" i="51" a="1"/>
  <c r="G789" i="51" s="1"/>
  <c r="H789" i="51" a="1"/>
  <c r="H789" i="51" s="1"/>
  <c r="I789" i="51"/>
  <c r="J789" i="51"/>
  <c r="K789" i="51"/>
  <c r="L789" i="51"/>
  <c r="A790" i="51"/>
  <c r="B790" i="51"/>
  <c r="C790" i="51"/>
  <c r="D790" i="51"/>
  <c r="E790" i="51"/>
  <c r="F790" i="51"/>
  <c r="G790" i="51" a="1"/>
  <c r="G790" i="51" s="1"/>
  <c r="H790" i="51" a="1"/>
  <c r="H790" i="51" s="1"/>
  <c r="I790" i="51"/>
  <c r="J790" i="51"/>
  <c r="K790" i="51"/>
  <c r="L790" i="51"/>
  <c r="A791" i="51"/>
  <c r="B791" i="51"/>
  <c r="C791" i="51"/>
  <c r="D791" i="51"/>
  <c r="E791" i="51"/>
  <c r="F791" i="51"/>
  <c r="G791" i="51" a="1"/>
  <c r="G791" i="51"/>
  <c r="H791" i="51" a="1"/>
  <c r="H791" i="51" s="1"/>
  <c r="I791" i="51"/>
  <c r="J791" i="51"/>
  <c r="K791" i="51"/>
  <c r="L791" i="51"/>
  <c r="A792" i="51"/>
  <c r="B792" i="51"/>
  <c r="C792" i="51"/>
  <c r="D792" i="51"/>
  <c r="E792" i="51"/>
  <c r="F792" i="51"/>
  <c r="G792" i="51" a="1"/>
  <c r="G792" i="51" s="1"/>
  <c r="H792" i="51" a="1"/>
  <c r="H792" i="51" s="1"/>
  <c r="I792" i="51"/>
  <c r="J792" i="51"/>
  <c r="K792" i="51"/>
  <c r="L792" i="51"/>
  <c r="A793" i="51"/>
  <c r="B793" i="51"/>
  <c r="C793" i="51"/>
  <c r="D793" i="51"/>
  <c r="E793" i="51"/>
  <c r="F793" i="51"/>
  <c r="G793" i="51" a="1"/>
  <c r="G793" i="51" s="1"/>
  <c r="H793" i="51" a="1"/>
  <c r="H793" i="51" s="1"/>
  <c r="I793" i="51"/>
  <c r="J793" i="51"/>
  <c r="K793" i="51"/>
  <c r="L793" i="51"/>
  <c r="A794" i="51"/>
  <c r="B794" i="51"/>
  <c r="C794" i="51"/>
  <c r="D794" i="51"/>
  <c r="E794" i="51"/>
  <c r="F794" i="51"/>
  <c r="G794" i="51" a="1"/>
  <c r="G794" i="51" s="1"/>
  <c r="H794" i="51" a="1"/>
  <c r="H794" i="51" s="1"/>
  <c r="I794" i="51"/>
  <c r="J794" i="51"/>
  <c r="K794" i="51"/>
  <c r="L794" i="51"/>
  <c r="A795" i="51"/>
  <c r="B795" i="51"/>
  <c r="C795" i="51"/>
  <c r="D795" i="51"/>
  <c r="E795" i="51"/>
  <c r="F795" i="51"/>
  <c r="G795" i="51" a="1"/>
  <c r="G795" i="51" s="1"/>
  <c r="H795" i="51" a="1"/>
  <c r="H795" i="51" s="1"/>
  <c r="I795" i="51"/>
  <c r="J795" i="51"/>
  <c r="K795" i="51"/>
  <c r="L795" i="51"/>
  <c r="A796" i="51"/>
  <c r="B796" i="51"/>
  <c r="C796" i="51"/>
  <c r="D796" i="51"/>
  <c r="E796" i="51"/>
  <c r="F796" i="51"/>
  <c r="G796" i="51" a="1"/>
  <c r="G796" i="51" s="1"/>
  <c r="H796" i="51" a="1"/>
  <c r="H796" i="51" s="1"/>
  <c r="I796" i="51"/>
  <c r="J796" i="51"/>
  <c r="K796" i="51"/>
  <c r="L796" i="51"/>
  <c r="A797" i="51"/>
  <c r="B797" i="51"/>
  <c r="C797" i="51"/>
  <c r="D797" i="51"/>
  <c r="E797" i="51"/>
  <c r="F797" i="51"/>
  <c r="G797" i="51" a="1"/>
  <c r="G797" i="51" s="1"/>
  <c r="H797" i="51" a="1"/>
  <c r="H797" i="51" s="1"/>
  <c r="I797" i="51"/>
  <c r="J797" i="51"/>
  <c r="K797" i="51"/>
  <c r="L797" i="51"/>
  <c r="A798" i="51"/>
  <c r="B798" i="51"/>
  <c r="C798" i="51"/>
  <c r="D798" i="51"/>
  <c r="E798" i="51"/>
  <c r="F798" i="51"/>
  <c r="G798" i="51" a="1"/>
  <c r="G798" i="51" s="1"/>
  <c r="H798" i="51" a="1"/>
  <c r="H798" i="51" s="1"/>
  <c r="I798" i="51"/>
  <c r="J798" i="51"/>
  <c r="K798" i="51"/>
  <c r="L798" i="51"/>
  <c r="A799" i="51"/>
  <c r="B799" i="51"/>
  <c r="C799" i="51"/>
  <c r="D799" i="51"/>
  <c r="E799" i="51"/>
  <c r="F799" i="51"/>
  <c r="G799" i="51" a="1"/>
  <c r="G799" i="51" s="1"/>
  <c r="H799" i="51" a="1"/>
  <c r="H799" i="51" s="1"/>
  <c r="I799" i="51"/>
  <c r="J799" i="51"/>
  <c r="K799" i="51"/>
  <c r="L799" i="51"/>
  <c r="A800" i="51"/>
  <c r="B800" i="51"/>
  <c r="C800" i="51"/>
  <c r="D800" i="51"/>
  <c r="E800" i="51"/>
  <c r="F800" i="51"/>
  <c r="G800" i="51" a="1"/>
  <c r="G800" i="51" s="1"/>
  <c r="H800" i="51" a="1"/>
  <c r="H800" i="51" s="1"/>
  <c r="I800" i="51"/>
  <c r="J800" i="51"/>
  <c r="K800" i="51"/>
  <c r="L800" i="51"/>
  <c r="A801" i="51"/>
  <c r="B801" i="51"/>
  <c r="C801" i="51"/>
  <c r="D801" i="51"/>
  <c r="E801" i="51"/>
  <c r="F801" i="51"/>
  <c r="G801" i="51" a="1"/>
  <c r="G801" i="51" s="1"/>
  <c r="H801" i="51" a="1"/>
  <c r="H801" i="51" s="1"/>
  <c r="I801" i="51"/>
  <c r="J801" i="51"/>
  <c r="K801" i="51"/>
  <c r="L801" i="51"/>
  <c r="A802" i="51"/>
  <c r="B802" i="51"/>
  <c r="C802" i="51"/>
  <c r="D802" i="51"/>
  <c r="E802" i="51"/>
  <c r="F802" i="51"/>
  <c r="G802" i="51" a="1"/>
  <c r="G802" i="51" s="1"/>
  <c r="H802" i="51" a="1"/>
  <c r="H802" i="51" s="1"/>
  <c r="I802" i="51"/>
  <c r="J802" i="51"/>
  <c r="K802" i="51"/>
  <c r="L802" i="51"/>
  <c r="A803" i="51"/>
  <c r="B803" i="51"/>
  <c r="C803" i="51"/>
  <c r="D803" i="51"/>
  <c r="E803" i="51"/>
  <c r="F803" i="51"/>
  <c r="G803" i="51" a="1"/>
  <c r="G803" i="51" s="1"/>
  <c r="H803" i="51" a="1"/>
  <c r="H803" i="51"/>
  <c r="I803" i="51"/>
  <c r="J803" i="51"/>
  <c r="K803" i="51"/>
  <c r="L803" i="51"/>
  <c r="A804" i="51"/>
  <c r="B804" i="51"/>
  <c r="C804" i="51"/>
  <c r="D804" i="51"/>
  <c r="E804" i="51"/>
  <c r="F804" i="51"/>
  <c r="G804" i="51" a="1"/>
  <c r="G804" i="51" s="1"/>
  <c r="H804" i="51" a="1"/>
  <c r="H804" i="51" s="1"/>
  <c r="I804" i="51"/>
  <c r="J804" i="51"/>
  <c r="K804" i="51"/>
  <c r="L804" i="51"/>
  <c r="A805" i="51"/>
  <c r="B805" i="51"/>
  <c r="C805" i="51"/>
  <c r="D805" i="51"/>
  <c r="E805" i="51"/>
  <c r="F805" i="51"/>
  <c r="G805" i="51" a="1"/>
  <c r="G805" i="51" s="1"/>
  <c r="H805" i="51" a="1"/>
  <c r="H805" i="51" s="1"/>
  <c r="I805" i="51"/>
  <c r="J805" i="51"/>
  <c r="K805" i="51"/>
  <c r="L805" i="51"/>
  <c r="A806" i="51"/>
  <c r="B806" i="51"/>
  <c r="C806" i="51"/>
  <c r="D806" i="51"/>
  <c r="E806" i="51"/>
  <c r="F806" i="51"/>
  <c r="G806" i="51" a="1"/>
  <c r="G806" i="51" s="1"/>
  <c r="H806" i="51" a="1"/>
  <c r="H806" i="51" s="1"/>
  <c r="I806" i="51"/>
  <c r="J806" i="51"/>
  <c r="K806" i="51"/>
  <c r="L806" i="51"/>
  <c r="A807" i="51"/>
  <c r="B807" i="51"/>
  <c r="C807" i="51"/>
  <c r="D807" i="51"/>
  <c r="E807" i="51"/>
  <c r="F807" i="51"/>
  <c r="G807" i="51" a="1"/>
  <c r="G807" i="51"/>
  <c r="H807" i="51" a="1"/>
  <c r="H807" i="51" s="1"/>
  <c r="I807" i="51"/>
  <c r="J807" i="51"/>
  <c r="K807" i="51"/>
  <c r="L807" i="51"/>
  <c r="A808" i="51"/>
  <c r="B808" i="51"/>
  <c r="C808" i="51"/>
  <c r="D808" i="51"/>
  <c r="E808" i="51"/>
  <c r="F808" i="51"/>
  <c r="G808" i="51" a="1"/>
  <c r="G808" i="51" s="1"/>
  <c r="H808" i="51" a="1"/>
  <c r="H808" i="51" s="1"/>
  <c r="I808" i="51"/>
  <c r="J808" i="51"/>
  <c r="K808" i="51"/>
  <c r="L808" i="51"/>
  <c r="A809" i="51"/>
  <c r="B809" i="51"/>
  <c r="C809" i="51"/>
  <c r="D809" i="51"/>
  <c r="E809" i="51"/>
  <c r="F809" i="51"/>
  <c r="G809" i="51" a="1"/>
  <c r="G809" i="51" s="1"/>
  <c r="H809" i="51" a="1"/>
  <c r="H809" i="51" s="1"/>
  <c r="I809" i="51"/>
  <c r="J809" i="51"/>
  <c r="K809" i="51"/>
  <c r="L809" i="51"/>
  <c r="A810" i="51"/>
  <c r="B810" i="51"/>
  <c r="C810" i="51"/>
  <c r="D810" i="51"/>
  <c r="E810" i="51"/>
  <c r="F810" i="51"/>
  <c r="G810" i="51" a="1"/>
  <c r="G810" i="51" s="1"/>
  <c r="H810" i="51" a="1"/>
  <c r="H810" i="51" s="1"/>
  <c r="I810" i="51"/>
  <c r="J810" i="51"/>
  <c r="K810" i="51"/>
  <c r="L810" i="51"/>
  <c r="A811" i="51"/>
  <c r="B811" i="51"/>
  <c r="C811" i="51"/>
  <c r="D811" i="51"/>
  <c r="E811" i="51"/>
  <c r="F811" i="51"/>
  <c r="G811" i="51" a="1"/>
  <c r="G811" i="51" s="1"/>
  <c r="H811" i="51" a="1"/>
  <c r="H811" i="51" s="1"/>
  <c r="I811" i="51"/>
  <c r="J811" i="51"/>
  <c r="K811" i="51"/>
  <c r="L811" i="51"/>
  <c r="A812" i="51"/>
  <c r="B812" i="51"/>
  <c r="C812" i="51"/>
  <c r="D812" i="51"/>
  <c r="E812" i="51"/>
  <c r="F812" i="51"/>
  <c r="G812" i="51" a="1"/>
  <c r="G812" i="51" s="1"/>
  <c r="H812" i="51" a="1"/>
  <c r="H812" i="51" s="1"/>
  <c r="I812" i="51"/>
  <c r="J812" i="51"/>
  <c r="K812" i="51"/>
  <c r="L812" i="51"/>
  <c r="A813" i="51"/>
  <c r="B813" i="51"/>
  <c r="C813" i="51"/>
  <c r="D813" i="51"/>
  <c r="E813" i="51"/>
  <c r="F813" i="51"/>
  <c r="G813" i="51" a="1"/>
  <c r="G813" i="51" s="1"/>
  <c r="H813" i="51" a="1"/>
  <c r="H813" i="51" s="1"/>
  <c r="I813" i="51"/>
  <c r="J813" i="51"/>
  <c r="K813" i="51"/>
  <c r="L813" i="51"/>
  <c r="A814" i="51"/>
  <c r="B814" i="51"/>
  <c r="C814" i="51"/>
  <c r="D814" i="51"/>
  <c r="E814" i="51"/>
  <c r="F814" i="51"/>
  <c r="G814" i="51" a="1"/>
  <c r="G814" i="51" s="1"/>
  <c r="H814" i="51" a="1"/>
  <c r="H814" i="51" s="1"/>
  <c r="I814" i="51"/>
  <c r="J814" i="51"/>
  <c r="K814" i="51"/>
  <c r="L814" i="51"/>
  <c r="A815" i="51"/>
  <c r="B815" i="51"/>
  <c r="C815" i="51"/>
  <c r="D815" i="51"/>
  <c r="E815" i="51"/>
  <c r="F815" i="51"/>
  <c r="G815" i="51" a="1"/>
  <c r="G815" i="51" s="1"/>
  <c r="H815" i="51" a="1"/>
  <c r="H815" i="51" s="1"/>
  <c r="I815" i="51"/>
  <c r="J815" i="51"/>
  <c r="K815" i="51"/>
  <c r="L815" i="51"/>
  <c r="A816" i="51"/>
  <c r="B816" i="51"/>
  <c r="C816" i="51"/>
  <c r="D816" i="51"/>
  <c r="E816" i="51"/>
  <c r="F816" i="51"/>
  <c r="G816" i="51" a="1"/>
  <c r="G816" i="51" s="1"/>
  <c r="H816" i="51" a="1"/>
  <c r="H816" i="51" s="1"/>
  <c r="I816" i="51"/>
  <c r="J816" i="51"/>
  <c r="K816" i="51"/>
  <c r="L816" i="51"/>
  <c r="A817" i="51"/>
  <c r="B817" i="51"/>
  <c r="C817" i="51"/>
  <c r="D817" i="51"/>
  <c r="E817" i="51"/>
  <c r="F817" i="51"/>
  <c r="G817" i="51" a="1"/>
  <c r="G817" i="51" s="1"/>
  <c r="H817" i="51" a="1"/>
  <c r="H817" i="51" s="1"/>
  <c r="I817" i="51"/>
  <c r="J817" i="51"/>
  <c r="K817" i="51"/>
  <c r="L817" i="51"/>
  <c r="A818" i="51"/>
  <c r="B818" i="51"/>
  <c r="C818" i="51"/>
  <c r="D818" i="51"/>
  <c r="E818" i="51"/>
  <c r="F818" i="51"/>
  <c r="G818" i="51" a="1"/>
  <c r="G818" i="51" s="1"/>
  <c r="H818" i="51" a="1"/>
  <c r="H818" i="51" s="1"/>
  <c r="I818" i="51"/>
  <c r="J818" i="51"/>
  <c r="K818" i="51"/>
  <c r="L818" i="51"/>
  <c r="A819" i="51"/>
  <c r="B819" i="51"/>
  <c r="C819" i="51"/>
  <c r="D819" i="51"/>
  <c r="E819" i="51"/>
  <c r="F819" i="51"/>
  <c r="G819" i="51" a="1"/>
  <c r="G819" i="51" s="1"/>
  <c r="H819" i="51" a="1"/>
  <c r="H819" i="51" s="1"/>
  <c r="I819" i="51"/>
  <c r="J819" i="51"/>
  <c r="K819" i="51"/>
  <c r="L819" i="51"/>
  <c r="A820" i="51"/>
  <c r="B820" i="51"/>
  <c r="C820" i="51"/>
  <c r="D820" i="51"/>
  <c r="E820" i="51"/>
  <c r="F820" i="51"/>
  <c r="G820" i="51" a="1"/>
  <c r="G820" i="51" s="1"/>
  <c r="H820" i="51" a="1"/>
  <c r="H820" i="51" s="1"/>
  <c r="I820" i="51"/>
  <c r="J820" i="51"/>
  <c r="K820" i="51"/>
  <c r="L820" i="51"/>
  <c r="A821" i="51"/>
  <c r="B821" i="51"/>
  <c r="C821" i="51"/>
  <c r="D821" i="51"/>
  <c r="E821" i="51"/>
  <c r="F821" i="51"/>
  <c r="G821" i="51" a="1"/>
  <c r="G821" i="51" s="1"/>
  <c r="H821" i="51" a="1"/>
  <c r="H821" i="51" s="1"/>
  <c r="I821" i="51"/>
  <c r="J821" i="51"/>
  <c r="K821" i="51"/>
  <c r="L821" i="51"/>
  <c r="A822" i="51"/>
  <c r="B822" i="51"/>
  <c r="C822" i="51"/>
  <c r="D822" i="51"/>
  <c r="E822" i="51"/>
  <c r="F822" i="51"/>
  <c r="G822" i="51" a="1"/>
  <c r="G822" i="51" s="1"/>
  <c r="H822" i="51" a="1"/>
  <c r="H822" i="51" s="1"/>
  <c r="I822" i="51"/>
  <c r="J822" i="51"/>
  <c r="K822" i="51"/>
  <c r="L822" i="51"/>
  <c r="A823" i="51"/>
  <c r="B823" i="51"/>
  <c r="C823" i="51"/>
  <c r="D823" i="51"/>
  <c r="E823" i="51"/>
  <c r="F823" i="51"/>
  <c r="G823" i="51" a="1"/>
  <c r="G823" i="51" s="1"/>
  <c r="H823" i="51" a="1"/>
  <c r="H823" i="51" s="1"/>
  <c r="I823" i="51"/>
  <c r="J823" i="51"/>
  <c r="K823" i="51"/>
  <c r="L823" i="51"/>
  <c r="A824" i="51"/>
  <c r="B824" i="51"/>
  <c r="C824" i="51"/>
  <c r="D824" i="51"/>
  <c r="E824" i="51"/>
  <c r="F824" i="51"/>
  <c r="G824" i="51" a="1"/>
  <c r="G824" i="51" s="1"/>
  <c r="H824" i="51" a="1"/>
  <c r="H824" i="51" s="1"/>
  <c r="I824" i="51"/>
  <c r="J824" i="51"/>
  <c r="K824" i="51"/>
  <c r="L824" i="51"/>
  <c r="A825" i="51"/>
  <c r="B825" i="51"/>
  <c r="C825" i="51"/>
  <c r="D825" i="51"/>
  <c r="E825" i="51"/>
  <c r="F825" i="51"/>
  <c r="G825" i="51" a="1"/>
  <c r="G825" i="51" s="1"/>
  <c r="H825" i="51" a="1"/>
  <c r="H825" i="51" s="1"/>
  <c r="I825" i="51"/>
  <c r="J825" i="51"/>
  <c r="K825" i="51"/>
  <c r="L825" i="51"/>
  <c r="A826" i="51"/>
  <c r="B826" i="51"/>
  <c r="C826" i="51"/>
  <c r="D826" i="51"/>
  <c r="E826" i="51"/>
  <c r="F826" i="51"/>
  <c r="G826" i="51" a="1"/>
  <c r="G826" i="51" s="1"/>
  <c r="H826" i="51" a="1"/>
  <c r="H826" i="51" s="1"/>
  <c r="I826" i="51"/>
  <c r="J826" i="51"/>
  <c r="K826" i="51"/>
  <c r="L826" i="51"/>
  <c r="A827" i="51"/>
  <c r="B827" i="51"/>
  <c r="C827" i="51"/>
  <c r="D827" i="51"/>
  <c r="E827" i="51"/>
  <c r="F827" i="51"/>
  <c r="G827" i="51" a="1"/>
  <c r="G827" i="51" s="1"/>
  <c r="H827" i="51" a="1"/>
  <c r="H827" i="51" s="1"/>
  <c r="I827" i="51"/>
  <c r="J827" i="51"/>
  <c r="K827" i="51"/>
  <c r="L827" i="51"/>
  <c r="A828" i="51"/>
  <c r="B828" i="51"/>
  <c r="C828" i="51"/>
  <c r="D828" i="51"/>
  <c r="E828" i="51"/>
  <c r="F828" i="51"/>
  <c r="G828" i="51" a="1"/>
  <c r="G828" i="51" s="1"/>
  <c r="H828" i="51" a="1"/>
  <c r="H828" i="51" s="1"/>
  <c r="I828" i="51"/>
  <c r="J828" i="51"/>
  <c r="K828" i="51"/>
  <c r="L828" i="51"/>
  <c r="A829" i="51"/>
  <c r="B829" i="51"/>
  <c r="C829" i="51"/>
  <c r="D829" i="51"/>
  <c r="E829" i="51"/>
  <c r="F829" i="51"/>
  <c r="G829" i="51" a="1"/>
  <c r="G829" i="51" s="1"/>
  <c r="H829" i="51" a="1"/>
  <c r="H829" i="51" s="1"/>
  <c r="I829" i="51"/>
  <c r="J829" i="51"/>
  <c r="K829" i="51"/>
  <c r="L829" i="51"/>
  <c r="A830" i="51"/>
  <c r="B830" i="51"/>
  <c r="C830" i="51"/>
  <c r="D830" i="51"/>
  <c r="E830" i="51"/>
  <c r="F830" i="51"/>
  <c r="G830" i="51" a="1"/>
  <c r="G830" i="51" s="1"/>
  <c r="H830" i="51" a="1"/>
  <c r="H830" i="51" s="1"/>
  <c r="I830" i="51"/>
  <c r="J830" i="51"/>
  <c r="K830" i="51"/>
  <c r="L830" i="51"/>
  <c r="A831" i="51"/>
  <c r="B831" i="51"/>
  <c r="C831" i="51"/>
  <c r="D831" i="51"/>
  <c r="E831" i="51"/>
  <c r="F831" i="51"/>
  <c r="G831" i="51" a="1"/>
  <c r="G831" i="51" s="1"/>
  <c r="H831" i="51" a="1"/>
  <c r="H831" i="51"/>
  <c r="I831" i="51"/>
  <c r="J831" i="51"/>
  <c r="K831" i="51"/>
  <c r="L831" i="51"/>
  <c r="A832" i="51"/>
  <c r="B832" i="51"/>
  <c r="C832" i="51"/>
  <c r="D832" i="51"/>
  <c r="E832" i="51"/>
  <c r="F832" i="51"/>
  <c r="G832" i="51" a="1"/>
  <c r="G832" i="51" s="1"/>
  <c r="H832" i="51" a="1"/>
  <c r="H832" i="51" s="1"/>
  <c r="I832" i="51"/>
  <c r="J832" i="51"/>
  <c r="K832" i="51"/>
  <c r="L832" i="51"/>
  <c r="A833" i="51"/>
  <c r="B833" i="51"/>
  <c r="C833" i="51"/>
  <c r="D833" i="51"/>
  <c r="E833" i="51"/>
  <c r="F833" i="51"/>
  <c r="G833" i="51" a="1"/>
  <c r="G833" i="51" s="1"/>
  <c r="H833" i="51" a="1"/>
  <c r="H833" i="51" s="1"/>
  <c r="I833" i="51"/>
  <c r="J833" i="51"/>
  <c r="K833" i="51"/>
  <c r="L833" i="51"/>
  <c r="A834" i="51"/>
  <c r="B834" i="51"/>
  <c r="C834" i="51"/>
  <c r="D834" i="51"/>
  <c r="E834" i="51"/>
  <c r="F834" i="51"/>
  <c r="G834" i="51" a="1"/>
  <c r="G834" i="51" s="1"/>
  <c r="H834" i="51" a="1"/>
  <c r="H834" i="51" s="1"/>
  <c r="I834" i="51"/>
  <c r="J834" i="51"/>
  <c r="K834" i="51"/>
  <c r="L834" i="51"/>
  <c r="A835" i="51"/>
  <c r="B835" i="51"/>
  <c r="C835" i="51"/>
  <c r="D835" i="51"/>
  <c r="E835" i="51"/>
  <c r="F835" i="51"/>
  <c r="G835" i="51" a="1"/>
  <c r="G835" i="51" s="1"/>
  <c r="H835" i="51" a="1"/>
  <c r="H835" i="51" s="1"/>
  <c r="I835" i="51"/>
  <c r="J835" i="51"/>
  <c r="K835" i="51"/>
  <c r="L835" i="51"/>
  <c r="A836" i="51"/>
  <c r="B836" i="51"/>
  <c r="C836" i="51"/>
  <c r="D836" i="51"/>
  <c r="E836" i="51"/>
  <c r="F836" i="51"/>
  <c r="G836" i="51" a="1"/>
  <c r="G836" i="51" s="1"/>
  <c r="H836" i="51" a="1"/>
  <c r="H836" i="51" s="1"/>
  <c r="I836" i="51"/>
  <c r="J836" i="51"/>
  <c r="K836" i="51"/>
  <c r="L836" i="51"/>
  <c r="A837" i="51"/>
  <c r="B837" i="51"/>
  <c r="C837" i="51"/>
  <c r="D837" i="51"/>
  <c r="E837" i="51"/>
  <c r="F837" i="51"/>
  <c r="G837" i="51" a="1"/>
  <c r="G837" i="51" s="1"/>
  <c r="H837" i="51" a="1"/>
  <c r="H837" i="51" s="1"/>
  <c r="I837" i="51"/>
  <c r="J837" i="51"/>
  <c r="K837" i="51"/>
  <c r="L837" i="51"/>
  <c r="A838" i="51"/>
  <c r="B838" i="51"/>
  <c r="C838" i="51"/>
  <c r="D838" i="51"/>
  <c r="E838" i="51"/>
  <c r="F838" i="51"/>
  <c r="G838" i="51" a="1"/>
  <c r="G838" i="51" s="1"/>
  <c r="H838" i="51" a="1"/>
  <c r="H838" i="51" s="1"/>
  <c r="I838" i="51"/>
  <c r="J838" i="51"/>
  <c r="K838" i="51"/>
  <c r="L838" i="51"/>
  <c r="A839" i="51"/>
  <c r="B839" i="51"/>
  <c r="C839" i="51"/>
  <c r="D839" i="51"/>
  <c r="E839" i="51"/>
  <c r="F839" i="51"/>
  <c r="G839" i="51" a="1"/>
  <c r="G839" i="51" s="1"/>
  <c r="H839" i="51" a="1"/>
  <c r="H839" i="51" s="1"/>
  <c r="I839" i="51"/>
  <c r="J839" i="51"/>
  <c r="K839" i="51"/>
  <c r="L839" i="51"/>
  <c r="A840" i="51"/>
  <c r="B840" i="51"/>
  <c r="C840" i="51"/>
  <c r="D840" i="51"/>
  <c r="E840" i="51"/>
  <c r="F840" i="51"/>
  <c r="G840" i="51" a="1"/>
  <c r="G840" i="51" s="1"/>
  <c r="H840" i="51" a="1"/>
  <c r="H840" i="51" s="1"/>
  <c r="I840" i="51"/>
  <c r="J840" i="51"/>
  <c r="K840" i="51"/>
  <c r="L840" i="51"/>
  <c r="A841" i="51"/>
  <c r="B841" i="51"/>
  <c r="C841" i="51"/>
  <c r="D841" i="51"/>
  <c r="E841" i="51"/>
  <c r="F841" i="51"/>
  <c r="G841" i="51" a="1"/>
  <c r="G841" i="51" s="1"/>
  <c r="H841" i="51" a="1"/>
  <c r="H841" i="51" s="1"/>
  <c r="I841" i="51"/>
  <c r="J841" i="51"/>
  <c r="K841" i="51"/>
  <c r="L841" i="51"/>
  <c r="A842" i="51"/>
  <c r="B842" i="51"/>
  <c r="C842" i="51"/>
  <c r="D842" i="51"/>
  <c r="E842" i="51"/>
  <c r="F842" i="51"/>
  <c r="G842" i="51" a="1"/>
  <c r="G842" i="51" s="1"/>
  <c r="H842" i="51" a="1"/>
  <c r="H842" i="51" s="1"/>
  <c r="I842" i="51"/>
  <c r="J842" i="51"/>
  <c r="K842" i="51"/>
  <c r="L842" i="51"/>
  <c r="A843" i="51"/>
  <c r="B843" i="51"/>
  <c r="C843" i="51"/>
  <c r="D843" i="51"/>
  <c r="E843" i="51"/>
  <c r="F843" i="51"/>
  <c r="G843" i="51" a="1"/>
  <c r="G843" i="51" s="1"/>
  <c r="H843" i="51" a="1"/>
  <c r="H843" i="51" s="1"/>
  <c r="I843" i="51"/>
  <c r="J843" i="51"/>
  <c r="K843" i="51"/>
  <c r="L843" i="51"/>
  <c r="A844" i="51"/>
  <c r="B844" i="51"/>
  <c r="C844" i="51"/>
  <c r="D844" i="51"/>
  <c r="E844" i="51"/>
  <c r="F844" i="51"/>
  <c r="G844" i="51" a="1"/>
  <c r="G844" i="51" s="1"/>
  <c r="H844" i="51" a="1"/>
  <c r="H844" i="51" s="1"/>
  <c r="I844" i="51"/>
  <c r="J844" i="51"/>
  <c r="K844" i="51"/>
  <c r="L844" i="51"/>
  <c r="A845" i="51"/>
  <c r="B845" i="51"/>
  <c r="C845" i="51"/>
  <c r="D845" i="51"/>
  <c r="E845" i="51"/>
  <c r="F845" i="51"/>
  <c r="G845" i="51" a="1"/>
  <c r="G845" i="51" s="1"/>
  <c r="H845" i="51" a="1"/>
  <c r="H845" i="51" s="1"/>
  <c r="I845" i="51"/>
  <c r="J845" i="51"/>
  <c r="K845" i="51"/>
  <c r="L845" i="51"/>
  <c r="A846" i="51"/>
  <c r="B846" i="51"/>
  <c r="C846" i="51"/>
  <c r="D846" i="51"/>
  <c r="E846" i="51"/>
  <c r="F846" i="51"/>
  <c r="G846" i="51" a="1"/>
  <c r="G846" i="51" s="1"/>
  <c r="H846" i="51" a="1"/>
  <c r="H846" i="51" s="1"/>
  <c r="I846" i="51"/>
  <c r="J846" i="51"/>
  <c r="K846" i="51"/>
  <c r="L846" i="51"/>
  <c r="A847" i="51"/>
  <c r="B847" i="51"/>
  <c r="C847" i="51"/>
  <c r="D847" i="51"/>
  <c r="E847" i="51"/>
  <c r="F847" i="51"/>
  <c r="G847" i="51" a="1"/>
  <c r="G847" i="51" s="1"/>
  <c r="H847" i="51" a="1"/>
  <c r="H847" i="51"/>
  <c r="I847" i="51"/>
  <c r="J847" i="51"/>
  <c r="K847" i="51"/>
  <c r="L847" i="51"/>
  <c r="A848" i="51"/>
  <c r="B848" i="51"/>
  <c r="C848" i="51"/>
  <c r="D848" i="51"/>
  <c r="E848" i="51"/>
  <c r="F848" i="51"/>
  <c r="G848" i="51" a="1"/>
  <c r="G848" i="51" s="1"/>
  <c r="H848" i="51" a="1"/>
  <c r="H848" i="51" s="1"/>
  <c r="I848" i="51"/>
  <c r="J848" i="51"/>
  <c r="K848" i="51"/>
  <c r="L848" i="51"/>
  <c r="A849" i="51"/>
  <c r="B849" i="51"/>
  <c r="C849" i="51"/>
  <c r="D849" i="51"/>
  <c r="E849" i="51"/>
  <c r="F849" i="51"/>
  <c r="G849" i="51" a="1"/>
  <c r="G849" i="51" s="1"/>
  <c r="H849" i="51" a="1"/>
  <c r="H849" i="51" s="1"/>
  <c r="I849" i="51"/>
  <c r="J849" i="51"/>
  <c r="K849" i="51"/>
  <c r="L849" i="51"/>
  <c r="A850" i="51"/>
  <c r="B850" i="51"/>
  <c r="C850" i="51"/>
  <c r="D850" i="51"/>
  <c r="E850" i="51"/>
  <c r="F850" i="51"/>
  <c r="G850" i="51" a="1"/>
  <c r="G850" i="51" s="1"/>
  <c r="H850" i="51" a="1"/>
  <c r="H850" i="51" s="1"/>
  <c r="I850" i="51"/>
  <c r="J850" i="51"/>
  <c r="K850" i="51"/>
  <c r="L850" i="51"/>
  <c r="A851" i="51"/>
  <c r="B851" i="51"/>
  <c r="C851" i="51"/>
  <c r="D851" i="51"/>
  <c r="E851" i="51"/>
  <c r="F851" i="51"/>
  <c r="G851" i="51" a="1"/>
  <c r="G851" i="51" s="1"/>
  <c r="H851" i="51" a="1"/>
  <c r="H851" i="51" s="1"/>
  <c r="I851" i="51"/>
  <c r="J851" i="51"/>
  <c r="K851" i="51"/>
  <c r="L851" i="51"/>
  <c r="A852" i="51"/>
  <c r="B852" i="51"/>
  <c r="C852" i="51"/>
  <c r="D852" i="51"/>
  <c r="E852" i="51"/>
  <c r="F852" i="51"/>
  <c r="G852" i="51" a="1"/>
  <c r="G852" i="51" s="1"/>
  <c r="H852" i="51" a="1"/>
  <c r="H852" i="51" s="1"/>
  <c r="I852" i="51"/>
  <c r="J852" i="51"/>
  <c r="K852" i="51"/>
  <c r="L852" i="51"/>
  <c r="A853" i="51"/>
  <c r="B853" i="51"/>
  <c r="C853" i="51"/>
  <c r="D853" i="51"/>
  <c r="E853" i="51"/>
  <c r="F853" i="51"/>
  <c r="G853" i="51" a="1"/>
  <c r="G853" i="51" s="1"/>
  <c r="H853" i="51" a="1"/>
  <c r="H853" i="51" s="1"/>
  <c r="I853" i="51"/>
  <c r="J853" i="51"/>
  <c r="K853" i="51"/>
  <c r="L853" i="51"/>
  <c r="A854" i="51"/>
  <c r="B854" i="51"/>
  <c r="C854" i="51"/>
  <c r="D854" i="51"/>
  <c r="E854" i="51"/>
  <c r="F854" i="51"/>
  <c r="G854" i="51" a="1"/>
  <c r="G854" i="51" s="1"/>
  <c r="H854" i="51" a="1"/>
  <c r="H854" i="51" s="1"/>
  <c r="I854" i="51"/>
  <c r="J854" i="51"/>
  <c r="K854" i="51"/>
  <c r="L854" i="51"/>
  <c r="A855" i="51"/>
  <c r="B855" i="51"/>
  <c r="C855" i="51"/>
  <c r="D855" i="51"/>
  <c r="E855" i="51"/>
  <c r="F855" i="51"/>
  <c r="G855" i="51" a="1"/>
  <c r="G855" i="51" s="1"/>
  <c r="H855" i="51" a="1"/>
  <c r="H855" i="51" s="1"/>
  <c r="I855" i="51"/>
  <c r="J855" i="51"/>
  <c r="K855" i="51"/>
  <c r="L855" i="51"/>
  <c r="A856" i="51"/>
  <c r="B856" i="51"/>
  <c r="C856" i="51"/>
  <c r="D856" i="51"/>
  <c r="E856" i="51"/>
  <c r="F856" i="51"/>
  <c r="G856" i="51" a="1"/>
  <c r="G856" i="51" s="1"/>
  <c r="H856" i="51" a="1"/>
  <c r="H856" i="51" s="1"/>
  <c r="I856" i="51"/>
  <c r="J856" i="51"/>
  <c r="K856" i="51"/>
  <c r="L856" i="51"/>
  <c r="A857" i="51"/>
  <c r="B857" i="51"/>
  <c r="C857" i="51"/>
  <c r="D857" i="51"/>
  <c r="E857" i="51"/>
  <c r="F857" i="51"/>
  <c r="G857" i="51" a="1"/>
  <c r="G857" i="51" s="1"/>
  <c r="H857" i="51" a="1"/>
  <c r="H857" i="51" s="1"/>
  <c r="I857" i="51"/>
  <c r="J857" i="51"/>
  <c r="K857" i="51"/>
  <c r="L857" i="51"/>
  <c r="A858" i="51"/>
  <c r="B858" i="51"/>
  <c r="C858" i="51"/>
  <c r="D858" i="51"/>
  <c r="E858" i="51"/>
  <c r="F858" i="51"/>
  <c r="G858" i="51" a="1"/>
  <c r="G858" i="51" s="1"/>
  <c r="H858" i="51" a="1"/>
  <c r="H858" i="51" s="1"/>
  <c r="I858" i="51"/>
  <c r="J858" i="51"/>
  <c r="K858" i="51"/>
  <c r="L858" i="51"/>
  <c r="A859" i="51"/>
  <c r="B859" i="51"/>
  <c r="C859" i="51"/>
  <c r="D859" i="51"/>
  <c r="E859" i="51"/>
  <c r="F859" i="51"/>
  <c r="G859" i="51" a="1"/>
  <c r="G859" i="51" s="1"/>
  <c r="H859" i="51" a="1"/>
  <c r="H859" i="51" s="1"/>
  <c r="I859" i="51"/>
  <c r="J859" i="51"/>
  <c r="K859" i="51"/>
  <c r="L859" i="51"/>
  <c r="A860" i="51"/>
  <c r="B860" i="51"/>
  <c r="C860" i="51"/>
  <c r="D860" i="51"/>
  <c r="E860" i="51"/>
  <c r="F860" i="51"/>
  <c r="G860" i="51" a="1"/>
  <c r="G860" i="51" s="1"/>
  <c r="H860" i="51" a="1"/>
  <c r="H860" i="51" s="1"/>
  <c r="I860" i="51"/>
  <c r="J860" i="51"/>
  <c r="K860" i="51"/>
  <c r="L860" i="51"/>
  <c r="A861" i="51"/>
  <c r="B861" i="51"/>
  <c r="C861" i="51"/>
  <c r="D861" i="51"/>
  <c r="E861" i="51"/>
  <c r="F861" i="51"/>
  <c r="G861" i="51" a="1"/>
  <c r="G861" i="51" s="1"/>
  <c r="H861" i="51" a="1"/>
  <c r="H861" i="51" s="1"/>
  <c r="I861" i="51"/>
  <c r="J861" i="51"/>
  <c r="K861" i="51"/>
  <c r="L861" i="51"/>
  <c r="A862" i="51"/>
  <c r="B862" i="51"/>
  <c r="C862" i="51"/>
  <c r="D862" i="51"/>
  <c r="E862" i="51"/>
  <c r="F862" i="51"/>
  <c r="G862" i="51" a="1"/>
  <c r="G862" i="51" s="1"/>
  <c r="H862" i="51" a="1"/>
  <c r="H862" i="51" s="1"/>
  <c r="I862" i="51"/>
  <c r="J862" i="51"/>
  <c r="K862" i="51"/>
  <c r="L862" i="51"/>
  <c r="A863" i="51"/>
  <c r="B863" i="51"/>
  <c r="C863" i="51"/>
  <c r="D863" i="51"/>
  <c r="E863" i="51"/>
  <c r="F863" i="51"/>
  <c r="G863" i="51" a="1"/>
  <c r="G863" i="51" s="1"/>
  <c r="H863" i="51" a="1"/>
  <c r="H863" i="51" s="1"/>
  <c r="I863" i="51"/>
  <c r="J863" i="51"/>
  <c r="K863" i="51"/>
  <c r="L863" i="51"/>
  <c r="A864" i="51"/>
  <c r="B864" i="51"/>
  <c r="C864" i="51"/>
  <c r="D864" i="51"/>
  <c r="E864" i="51"/>
  <c r="F864" i="51"/>
  <c r="G864" i="51" a="1"/>
  <c r="G864" i="51" s="1"/>
  <c r="H864" i="51" a="1"/>
  <c r="H864" i="51" s="1"/>
  <c r="I864" i="51"/>
  <c r="J864" i="51"/>
  <c r="K864" i="51"/>
  <c r="L864" i="51"/>
  <c r="A865" i="51"/>
  <c r="B865" i="51"/>
  <c r="C865" i="51"/>
  <c r="D865" i="51"/>
  <c r="E865" i="51"/>
  <c r="F865" i="51"/>
  <c r="G865" i="51" a="1"/>
  <c r="G865" i="51" s="1"/>
  <c r="H865" i="51" a="1"/>
  <c r="H865" i="51" s="1"/>
  <c r="I865" i="51"/>
  <c r="J865" i="51"/>
  <c r="K865" i="51"/>
  <c r="L865" i="51"/>
  <c r="A866" i="51"/>
  <c r="B866" i="51"/>
  <c r="C866" i="51"/>
  <c r="D866" i="51"/>
  <c r="E866" i="51"/>
  <c r="F866" i="51"/>
  <c r="G866" i="51" a="1"/>
  <c r="G866" i="51" s="1"/>
  <c r="H866" i="51" a="1"/>
  <c r="H866" i="51" s="1"/>
  <c r="I866" i="51"/>
  <c r="J866" i="51"/>
  <c r="K866" i="51"/>
  <c r="L866" i="51"/>
  <c r="A867" i="51"/>
  <c r="B867" i="51"/>
  <c r="C867" i="51"/>
  <c r="D867" i="51"/>
  <c r="E867" i="51"/>
  <c r="F867" i="51"/>
  <c r="G867" i="51" a="1"/>
  <c r="G867" i="51" s="1"/>
  <c r="H867" i="51" a="1"/>
  <c r="H867" i="51" s="1"/>
  <c r="I867" i="51"/>
  <c r="J867" i="51"/>
  <c r="K867" i="51"/>
  <c r="L867" i="51"/>
  <c r="A868" i="51"/>
  <c r="B868" i="51"/>
  <c r="C868" i="51"/>
  <c r="D868" i="51"/>
  <c r="E868" i="51"/>
  <c r="F868" i="51"/>
  <c r="G868" i="51" a="1"/>
  <c r="G868" i="51" s="1"/>
  <c r="H868" i="51" a="1"/>
  <c r="H868" i="51" s="1"/>
  <c r="I868" i="51"/>
  <c r="J868" i="51"/>
  <c r="K868" i="51"/>
  <c r="L868" i="51"/>
  <c r="A869" i="51"/>
  <c r="B869" i="51"/>
  <c r="C869" i="51"/>
  <c r="D869" i="51"/>
  <c r="E869" i="51"/>
  <c r="F869" i="51"/>
  <c r="G869" i="51" a="1"/>
  <c r="G869" i="51" s="1"/>
  <c r="H869" i="51" a="1"/>
  <c r="H869" i="51" s="1"/>
  <c r="I869" i="51"/>
  <c r="J869" i="51"/>
  <c r="K869" i="51"/>
  <c r="L869" i="51"/>
  <c r="A870" i="51"/>
  <c r="B870" i="51"/>
  <c r="C870" i="51"/>
  <c r="D870" i="51"/>
  <c r="E870" i="51"/>
  <c r="F870" i="51"/>
  <c r="G870" i="51" a="1"/>
  <c r="G870" i="51" s="1"/>
  <c r="H870" i="51" a="1"/>
  <c r="H870" i="51" s="1"/>
  <c r="I870" i="51"/>
  <c r="J870" i="51"/>
  <c r="K870" i="51"/>
  <c r="L870" i="51"/>
  <c r="A871" i="51"/>
  <c r="B871" i="51"/>
  <c r="C871" i="51"/>
  <c r="D871" i="51"/>
  <c r="E871" i="51"/>
  <c r="F871" i="51"/>
  <c r="G871" i="51" a="1"/>
  <c r="G871" i="51" s="1"/>
  <c r="H871" i="51" a="1"/>
  <c r="H871" i="51" s="1"/>
  <c r="I871" i="51"/>
  <c r="J871" i="51"/>
  <c r="K871" i="51"/>
  <c r="L871" i="51"/>
  <c r="A872" i="51"/>
  <c r="B872" i="51"/>
  <c r="C872" i="51"/>
  <c r="D872" i="51"/>
  <c r="E872" i="51"/>
  <c r="F872" i="51"/>
  <c r="G872" i="51" a="1"/>
  <c r="G872" i="51" s="1"/>
  <c r="H872" i="51" a="1"/>
  <c r="H872" i="51" s="1"/>
  <c r="I872" i="51"/>
  <c r="J872" i="51"/>
  <c r="K872" i="51"/>
  <c r="L872" i="51"/>
  <c r="A873" i="51"/>
  <c r="B873" i="51"/>
  <c r="C873" i="51"/>
  <c r="D873" i="51"/>
  <c r="E873" i="51"/>
  <c r="F873" i="51"/>
  <c r="G873" i="51" a="1"/>
  <c r="G873" i="51" s="1"/>
  <c r="H873" i="51" a="1"/>
  <c r="H873" i="51" s="1"/>
  <c r="I873" i="51"/>
  <c r="J873" i="51"/>
  <c r="K873" i="51"/>
  <c r="L873" i="51"/>
  <c r="A874" i="51"/>
  <c r="B874" i="51"/>
  <c r="C874" i="51"/>
  <c r="D874" i="51"/>
  <c r="E874" i="51"/>
  <c r="F874" i="51"/>
  <c r="G874" i="51" a="1"/>
  <c r="G874" i="51" s="1"/>
  <c r="H874" i="51" a="1"/>
  <c r="H874" i="51" s="1"/>
  <c r="I874" i="51"/>
  <c r="J874" i="51"/>
  <c r="K874" i="51"/>
  <c r="L874" i="51"/>
  <c r="A875" i="51"/>
  <c r="B875" i="51"/>
  <c r="C875" i="51"/>
  <c r="D875" i="51"/>
  <c r="E875" i="51"/>
  <c r="F875" i="51"/>
  <c r="G875" i="51" a="1"/>
  <c r="G875" i="51" s="1"/>
  <c r="H875" i="51" a="1"/>
  <c r="H875" i="51" s="1"/>
  <c r="I875" i="51"/>
  <c r="J875" i="51"/>
  <c r="K875" i="51"/>
  <c r="L875" i="51"/>
  <c r="A876" i="51"/>
  <c r="B876" i="51"/>
  <c r="C876" i="51"/>
  <c r="D876" i="51"/>
  <c r="E876" i="51"/>
  <c r="F876" i="51"/>
  <c r="G876" i="51" a="1"/>
  <c r="G876" i="51" s="1"/>
  <c r="H876" i="51" a="1"/>
  <c r="H876" i="51" s="1"/>
  <c r="I876" i="51"/>
  <c r="J876" i="51"/>
  <c r="K876" i="51"/>
  <c r="L876" i="51"/>
  <c r="A877" i="51"/>
  <c r="B877" i="51"/>
  <c r="C877" i="51"/>
  <c r="D877" i="51"/>
  <c r="E877" i="51"/>
  <c r="F877" i="51"/>
  <c r="G877" i="51" a="1"/>
  <c r="G877" i="51" s="1"/>
  <c r="H877" i="51" a="1"/>
  <c r="H877" i="51" s="1"/>
  <c r="I877" i="51"/>
  <c r="J877" i="51"/>
  <c r="K877" i="51"/>
  <c r="L877" i="51"/>
  <c r="A878" i="51"/>
  <c r="B878" i="51"/>
  <c r="C878" i="51"/>
  <c r="D878" i="51"/>
  <c r="E878" i="51"/>
  <c r="F878" i="51"/>
  <c r="G878" i="51" a="1"/>
  <c r="G878" i="51" s="1"/>
  <c r="H878" i="51" a="1"/>
  <c r="H878" i="51" s="1"/>
  <c r="I878" i="51"/>
  <c r="J878" i="51"/>
  <c r="K878" i="51"/>
  <c r="L878" i="51"/>
  <c r="A879" i="51"/>
  <c r="B879" i="51"/>
  <c r="C879" i="51"/>
  <c r="D879" i="51"/>
  <c r="E879" i="51"/>
  <c r="F879" i="51"/>
  <c r="G879" i="51" a="1"/>
  <c r="G879" i="51" s="1"/>
  <c r="H879" i="51" a="1"/>
  <c r="H879" i="51" s="1"/>
  <c r="I879" i="51"/>
  <c r="J879" i="51"/>
  <c r="K879" i="51"/>
  <c r="L879" i="51"/>
  <c r="A880" i="51"/>
  <c r="B880" i="51"/>
  <c r="C880" i="51"/>
  <c r="D880" i="51"/>
  <c r="E880" i="51"/>
  <c r="F880" i="51"/>
  <c r="G880" i="51" a="1"/>
  <c r="G880" i="51" s="1"/>
  <c r="H880" i="51" a="1"/>
  <c r="H880" i="51"/>
  <c r="I880" i="51"/>
  <c r="J880" i="51"/>
  <c r="K880" i="51"/>
  <c r="L880" i="51"/>
  <c r="A881" i="51"/>
  <c r="B881" i="51"/>
  <c r="C881" i="51"/>
  <c r="D881" i="51"/>
  <c r="E881" i="51"/>
  <c r="F881" i="51"/>
  <c r="G881" i="51" a="1"/>
  <c r="G881" i="51" s="1"/>
  <c r="H881" i="51" a="1"/>
  <c r="H881" i="51" s="1"/>
  <c r="I881" i="51"/>
  <c r="J881" i="51"/>
  <c r="K881" i="51"/>
  <c r="L881" i="51"/>
  <c r="A882" i="51"/>
  <c r="B882" i="51"/>
  <c r="C882" i="51"/>
  <c r="D882" i="51"/>
  <c r="E882" i="51"/>
  <c r="F882" i="51"/>
  <c r="G882" i="51" a="1"/>
  <c r="G882" i="51" s="1"/>
  <c r="H882" i="51" a="1"/>
  <c r="H882" i="51" s="1"/>
  <c r="I882" i="51"/>
  <c r="J882" i="51"/>
  <c r="K882" i="51"/>
  <c r="L882" i="51"/>
  <c r="A883" i="51"/>
  <c r="B883" i="51"/>
  <c r="C883" i="51"/>
  <c r="D883" i="51"/>
  <c r="E883" i="51"/>
  <c r="F883" i="51"/>
  <c r="G883" i="51" a="1"/>
  <c r="G883" i="51" s="1"/>
  <c r="H883" i="51" a="1"/>
  <c r="H883" i="51" s="1"/>
  <c r="I883" i="51"/>
  <c r="J883" i="51"/>
  <c r="K883" i="51"/>
  <c r="L883" i="51"/>
  <c r="A884" i="51"/>
  <c r="B884" i="51"/>
  <c r="C884" i="51"/>
  <c r="D884" i="51"/>
  <c r="E884" i="51"/>
  <c r="F884" i="51"/>
  <c r="G884" i="51" a="1"/>
  <c r="G884" i="51" s="1"/>
  <c r="H884" i="51" a="1"/>
  <c r="H884" i="51" s="1"/>
  <c r="I884" i="51"/>
  <c r="J884" i="51"/>
  <c r="K884" i="51"/>
  <c r="L884" i="51"/>
  <c r="A885" i="51"/>
  <c r="B885" i="51"/>
  <c r="C885" i="51"/>
  <c r="D885" i="51"/>
  <c r="E885" i="51"/>
  <c r="F885" i="51"/>
  <c r="G885" i="51" a="1"/>
  <c r="G885" i="51" s="1"/>
  <c r="H885" i="51" a="1"/>
  <c r="H885" i="51" s="1"/>
  <c r="I885" i="51"/>
  <c r="J885" i="51"/>
  <c r="K885" i="51"/>
  <c r="L885" i="51"/>
  <c r="A886" i="51"/>
  <c r="B886" i="51"/>
  <c r="C886" i="51"/>
  <c r="D886" i="51"/>
  <c r="E886" i="51"/>
  <c r="F886" i="51"/>
  <c r="G886" i="51" a="1"/>
  <c r="G886" i="51" s="1"/>
  <c r="H886" i="51" a="1"/>
  <c r="H886" i="51" s="1"/>
  <c r="I886" i="51"/>
  <c r="J886" i="51"/>
  <c r="K886" i="51"/>
  <c r="L886" i="51"/>
  <c r="A887" i="51"/>
  <c r="B887" i="51"/>
  <c r="C887" i="51"/>
  <c r="D887" i="51"/>
  <c r="E887" i="51"/>
  <c r="F887" i="51"/>
  <c r="G887" i="51" a="1"/>
  <c r="G887" i="51"/>
  <c r="H887" i="51" a="1"/>
  <c r="H887" i="51" s="1"/>
  <c r="I887" i="51"/>
  <c r="J887" i="51"/>
  <c r="K887" i="51"/>
  <c r="L887" i="51"/>
  <c r="A888" i="51"/>
  <c r="B888" i="51"/>
  <c r="C888" i="51"/>
  <c r="D888" i="51"/>
  <c r="E888" i="51"/>
  <c r="F888" i="51"/>
  <c r="G888" i="51" a="1"/>
  <c r="G888" i="51" s="1"/>
  <c r="H888" i="51" a="1"/>
  <c r="H888" i="51" s="1"/>
  <c r="I888" i="51"/>
  <c r="J888" i="51"/>
  <c r="K888" i="51"/>
  <c r="L888" i="51"/>
  <c r="A889" i="51"/>
  <c r="B889" i="51"/>
  <c r="C889" i="51"/>
  <c r="D889" i="51"/>
  <c r="E889" i="51"/>
  <c r="F889" i="51"/>
  <c r="G889" i="51" a="1"/>
  <c r="G889" i="51" s="1"/>
  <c r="H889" i="51" a="1"/>
  <c r="H889" i="51" s="1"/>
  <c r="I889" i="51"/>
  <c r="J889" i="51"/>
  <c r="K889" i="51"/>
  <c r="L889" i="51"/>
  <c r="A890" i="51"/>
  <c r="B890" i="51"/>
  <c r="C890" i="51"/>
  <c r="D890" i="51"/>
  <c r="E890" i="51"/>
  <c r="F890" i="51"/>
  <c r="G890" i="51" a="1"/>
  <c r="G890" i="51" s="1"/>
  <c r="H890" i="51" a="1"/>
  <c r="H890" i="51" s="1"/>
  <c r="I890" i="51"/>
  <c r="J890" i="51"/>
  <c r="K890" i="51"/>
  <c r="L890" i="51"/>
  <c r="A891" i="51"/>
  <c r="B891" i="51"/>
  <c r="C891" i="51"/>
  <c r="D891" i="51"/>
  <c r="E891" i="51"/>
  <c r="F891" i="51"/>
  <c r="G891" i="51" a="1"/>
  <c r="G891" i="51" s="1"/>
  <c r="H891" i="51" a="1"/>
  <c r="H891" i="51" s="1"/>
  <c r="I891" i="51"/>
  <c r="J891" i="51"/>
  <c r="K891" i="51"/>
  <c r="L891" i="51"/>
  <c r="A892" i="51"/>
  <c r="B892" i="51"/>
  <c r="C892" i="51"/>
  <c r="D892" i="51"/>
  <c r="E892" i="51"/>
  <c r="F892" i="51"/>
  <c r="G892" i="51" a="1"/>
  <c r="G892" i="51" s="1"/>
  <c r="H892" i="51" a="1"/>
  <c r="H892" i="51" s="1"/>
  <c r="I892" i="51"/>
  <c r="J892" i="51"/>
  <c r="K892" i="51"/>
  <c r="L892" i="51"/>
  <c r="A893" i="51"/>
  <c r="B893" i="51"/>
  <c r="C893" i="51"/>
  <c r="D893" i="51"/>
  <c r="E893" i="51"/>
  <c r="F893" i="51"/>
  <c r="G893" i="51" a="1"/>
  <c r="G893" i="51" s="1"/>
  <c r="H893" i="51" a="1"/>
  <c r="H893" i="51" s="1"/>
  <c r="I893" i="51"/>
  <c r="J893" i="51"/>
  <c r="K893" i="51"/>
  <c r="L893" i="51"/>
  <c r="A894" i="51"/>
  <c r="B894" i="51"/>
  <c r="C894" i="51"/>
  <c r="D894" i="51"/>
  <c r="E894" i="51"/>
  <c r="F894" i="51"/>
  <c r="G894" i="51" a="1"/>
  <c r="G894" i="51" s="1"/>
  <c r="H894" i="51" a="1"/>
  <c r="H894" i="51" s="1"/>
  <c r="I894" i="51"/>
  <c r="J894" i="51"/>
  <c r="K894" i="51"/>
  <c r="L894" i="51"/>
  <c r="A895" i="51"/>
  <c r="B895" i="51"/>
  <c r="C895" i="51"/>
  <c r="D895" i="51"/>
  <c r="E895" i="51"/>
  <c r="F895" i="51"/>
  <c r="G895" i="51" a="1"/>
  <c r="G895" i="51" s="1"/>
  <c r="H895" i="51" a="1"/>
  <c r="H895" i="51" s="1"/>
  <c r="I895" i="51"/>
  <c r="J895" i="51"/>
  <c r="K895" i="51"/>
  <c r="L895" i="51"/>
  <c r="A896" i="51"/>
  <c r="B896" i="51"/>
  <c r="C896" i="51"/>
  <c r="D896" i="51"/>
  <c r="E896" i="51"/>
  <c r="F896" i="51"/>
  <c r="G896" i="51" a="1"/>
  <c r="G896" i="51" s="1"/>
  <c r="H896" i="51" a="1"/>
  <c r="H896" i="51" s="1"/>
  <c r="I896" i="51"/>
  <c r="J896" i="51"/>
  <c r="K896" i="51"/>
  <c r="L896" i="51"/>
  <c r="A897" i="51"/>
  <c r="B897" i="51"/>
  <c r="C897" i="51"/>
  <c r="D897" i="51"/>
  <c r="E897" i="51"/>
  <c r="F897" i="51"/>
  <c r="G897" i="51" a="1"/>
  <c r="G897" i="51" s="1"/>
  <c r="H897" i="51" a="1"/>
  <c r="H897" i="51" s="1"/>
  <c r="I897" i="51"/>
  <c r="J897" i="51"/>
  <c r="K897" i="51"/>
  <c r="L897" i="51"/>
  <c r="A898" i="51"/>
  <c r="B898" i="51"/>
  <c r="C898" i="51"/>
  <c r="D898" i="51"/>
  <c r="E898" i="51"/>
  <c r="F898" i="51"/>
  <c r="G898" i="51" a="1"/>
  <c r="G898" i="51" s="1"/>
  <c r="H898" i="51" a="1"/>
  <c r="H898" i="51" s="1"/>
  <c r="I898" i="51"/>
  <c r="J898" i="51"/>
  <c r="K898" i="51"/>
  <c r="L898" i="51"/>
  <c r="A899" i="51"/>
  <c r="B899" i="51"/>
  <c r="C899" i="51"/>
  <c r="D899" i="51"/>
  <c r="E899" i="51"/>
  <c r="F899" i="51"/>
  <c r="G899" i="51" a="1"/>
  <c r="G899" i="51" s="1"/>
  <c r="H899" i="51" a="1"/>
  <c r="H899" i="51" s="1"/>
  <c r="I899" i="51"/>
  <c r="J899" i="51"/>
  <c r="K899" i="51"/>
  <c r="L899" i="51"/>
  <c r="A900" i="51"/>
  <c r="B900" i="51"/>
  <c r="C900" i="51"/>
  <c r="D900" i="51"/>
  <c r="E900" i="51"/>
  <c r="F900" i="51"/>
  <c r="G900" i="51" a="1"/>
  <c r="G900" i="51" s="1"/>
  <c r="H900" i="51" a="1"/>
  <c r="H900" i="51" s="1"/>
  <c r="I900" i="51"/>
  <c r="J900" i="51"/>
  <c r="K900" i="51"/>
  <c r="L900" i="51"/>
  <c r="A901" i="51"/>
  <c r="B901" i="51"/>
  <c r="C901" i="51"/>
  <c r="D901" i="51"/>
  <c r="E901" i="51"/>
  <c r="F901" i="51"/>
  <c r="G901" i="51" a="1"/>
  <c r="G901" i="51" s="1"/>
  <c r="H901" i="51" a="1"/>
  <c r="H901" i="51"/>
  <c r="I901" i="51"/>
  <c r="J901" i="51"/>
  <c r="K901" i="51"/>
  <c r="L901" i="51"/>
  <c r="A902" i="51"/>
  <c r="B902" i="51"/>
  <c r="C902" i="51"/>
  <c r="D902" i="51"/>
  <c r="E902" i="51"/>
  <c r="F902" i="51"/>
  <c r="G902" i="51" a="1"/>
  <c r="G902" i="51"/>
  <c r="H902" i="51" a="1"/>
  <c r="H902" i="51" s="1"/>
  <c r="I902" i="51"/>
  <c r="J902" i="51"/>
  <c r="K902" i="51"/>
  <c r="L902" i="51"/>
  <c r="A903" i="51"/>
  <c r="B903" i="51"/>
  <c r="C903" i="51"/>
  <c r="D903" i="51"/>
  <c r="E903" i="51"/>
  <c r="F903" i="51"/>
  <c r="G903" i="51" a="1"/>
  <c r="G903" i="51" s="1"/>
  <c r="H903" i="51" a="1"/>
  <c r="H903" i="51" s="1"/>
  <c r="I903" i="51"/>
  <c r="J903" i="51"/>
  <c r="K903" i="51"/>
  <c r="L903" i="51"/>
  <c r="A904" i="51"/>
  <c r="B904" i="51"/>
  <c r="C904" i="51"/>
  <c r="D904" i="51"/>
  <c r="E904" i="51"/>
  <c r="F904" i="51"/>
  <c r="G904" i="51" a="1"/>
  <c r="G904" i="51" s="1"/>
  <c r="H904" i="51" a="1"/>
  <c r="H904" i="51" s="1"/>
  <c r="I904" i="51"/>
  <c r="J904" i="51"/>
  <c r="K904" i="51"/>
  <c r="L904" i="51"/>
  <c r="A905" i="51"/>
  <c r="B905" i="51"/>
  <c r="C905" i="51"/>
  <c r="D905" i="51"/>
  <c r="E905" i="51"/>
  <c r="F905" i="51"/>
  <c r="G905" i="51" a="1"/>
  <c r="G905" i="51" s="1"/>
  <c r="H905" i="51" a="1"/>
  <c r="H905" i="51" s="1"/>
  <c r="I905" i="51"/>
  <c r="J905" i="51"/>
  <c r="K905" i="51"/>
  <c r="L905" i="51"/>
  <c r="A906" i="51"/>
  <c r="B906" i="51"/>
  <c r="C906" i="51"/>
  <c r="D906" i="51"/>
  <c r="E906" i="51"/>
  <c r="F906" i="51"/>
  <c r="G906" i="51" a="1"/>
  <c r="G906" i="51" s="1"/>
  <c r="H906" i="51" a="1"/>
  <c r="H906" i="51" s="1"/>
  <c r="I906" i="51"/>
  <c r="J906" i="51"/>
  <c r="K906" i="51"/>
  <c r="L906" i="51"/>
  <c r="A907" i="51"/>
  <c r="B907" i="51"/>
  <c r="C907" i="51"/>
  <c r="D907" i="51"/>
  <c r="E907" i="51"/>
  <c r="F907" i="51"/>
  <c r="G907" i="51" a="1"/>
  <c r="G907" i="51" s="1"/>
  <c r="H907" i="51" a="1"/>
  <c r="H907" i="51" s="1"/>
  <c r="I907" i="51"/>
  <c r="J907" i="51"/>
  <c r="K907" i="51"/>
  <c r="L907" i="51"/>
  <c r="A908" i="51"/>
  <c r="B908" i="51"/>
  <c r="C908" i="51"/>
  <c r="D908" i="51"/>
  <c r="E908" i="51"/>
  <c r="F908" i="51"/>
  <c r="G908" i="51" a="1"/>
  <c r="G908" i="51" s="1"/>
  <c r="H908" i="51" a="1"/>
  <c r="H908" i="51" s="1"/>
  <c r="I908" i="51"/>
  <c r="J908" i="51"/>
  <c r="K908" i="51"/>
  <c r="L908" i="51"/>
  <c r="A909" i="51"/>
  <c r="B909" i="51"/>
  <c r="C909" i="51"/>
  <c r="D909" i="51"/>
  <c r="E909" i="51"/>
  <c r="F909" i="51"/>
  <c r="G909" i="51" a="1"/>
  <c r="G909" i="51" s="1"/>
  <c r="H909" i="51" a="1"/>
  <c r="H909" i="51" s="1"/>
  <c r="I909" i="51"/>
  <c r="J909" i="51"/>
  <c r="K909" i="51"/>
  <c r="L909" i="51"/>
  <c r="A910" i="51"/>
  <c r="B910" i="51"/>
  <c r="C910" i="51"/>
  <c r="D910" i="51"/>
  <c r="E910" i="51"/>
  <c r="F910" i="51"/>
  <c r="G910" i="51" a="1"/>
  <c r="G910" i="51" s="1"/>
  <c r="H910" i="51" a="1"/>
  <c r="H910" i="51" s="1"/>
  <c r="I910" i="51"/>
  <c r="J910" i="51"/>
  <c r="K910" i="51"/>
  <c r="L910" i="51"/>
  <c r="A911" i="51"/>
  <c r="B911" i="51"/>
  <c r="C911" i="51"/>
  <c r="D911" i="51"/>
  <c r="E911" i="51"/>
  <c r="F911" i="51"/>
  <c r="G911" i="51" a="1"/>
  <c r="G911" i="51" s="1"/>
  <c r="H911" i="51" a="1"/>
  <c r="H911" i="51" s="1"/>
  <c r="I911" i="51"/>
  <c r="J911" i="51"/>
  <c r="K911" i="51"/>
  <c r="L911" i="51"/>
  <c r="A912" i="51"/>
  <c r="B912" i="51"/>
  <c r="C912" i="51"/>
  <c r="D912" i="51"/>
  <c r="E912" i="51"/>
  <c r="F912" i="51"/>
  <c r="G912" i="51" a="1"/>
  <c r="G912" i="51" s="1"/>
  <c r="H912" i="51" a="1"/>
  <c r="H912" i="51" s="1"/>
  <c r="I912" i="51"/>
  <c r="J912" i="51"/>
  <c r="K912" i="51"/>
  <c r="L912" i="51"/>
  <c r="A913" i="51"/>
  <c r="B913" i="51"/>
  <c r="C913" i="51"/>
  <c r="D913" i="51"/>
  <c r="E913" i="51"/>
  <c r="F913" i="51"/>
  <c r="G913" i="51" a="1"/>
  <c r="G913" i="51" s="1"/>
  <c r="H913" i="51" a="1"/>
  <c r="H913" i="51" s="1"/>
  <c r="I913" i="51"/>
  <c r="J913" i="51"/>
  <c r="K913" i="51"/>
  <c r="L913" i="51"/>
  <c r="A914" i="51"/>
  <c r="B914" i="51"/>
  <c r="C914" i="51"/>
  <c r="D914" i="51"/>
  <c r="E914" i="51"/>
  <c r="F914" i="51"/>
  <c r="G914" i="51" a="1"/>
  <c r="G914" i="51" s="1"/>
  <c r="H914" i="51" a="1"/>
  <c r="H914" i="51" s="1"/>
  <c r="I914" i="51"/>
  <c r="J914" i="51"/>
  <c r="K914" i="51"/>
  <c r="L914" i="51"/>
  <c r="A915" i="51"/>
  <c r="B915" i="51"/>
  <c r="C915" i="51"/>
  <c r="D915" i="51"/>
  <c r="E915" i="51"/>
  <c r="F915" i="51"/>
  <c r="G915" i="51" a="1"/>
  <c r="G915" i="51" s="1"/>
  <c r="H915" i="51" a="1"/>
  <c r="H915" i="51" s="1"/>
  <c r="I915" i="51"/>
  <c r="J915" i="51"/>
  <c r="K915" i="51"/>
  <c r="L915" i="51"/>
  <c r="A916" i="51"/>
  <c r="B916" i="51"/>
  <c r="C916" i="51"/>
  <c r="D916" i="51"/>
  <c r="E916" i="51"/>
  <c r="F916" i="51"/>
  <c r="G916" i="51" a="1"/>
  <c r="G916" i="51" s="1"/>
  <c r="H916" i="51" a="1"/>
  <c r="H916" i="51" s="1"/>
  <c r="I916" i="51"/>
  <c r="J916" i="51"/>
  <c r="K916" i="51"/>
  <c r="L916" i="51"/>
  <c r="A917" i="51"/>
  <c r="B917" i="51"/>
  <c r="C917" i="51"/>
  <c r="D917" i="51"/>
  <c r="E917" i="51"/>
  <c r="F917" i="51"/>
  <c r="G917" i="51" a="1"/>
  <c r="G917" i="51" s="1"/>
  <c r="H917" i="51" a="1"/>
  <c r="H917" i="51" s="1"/>
  <c r="I917" i="51"/>
  <c r="J917" i="51"/>
  <c r="K917" i="51"/>
  <c r="L917" i="51"/>
  <c r="A918" i="51"/>
  <c r="B918" i="51"/>
  <c r="C918" i="51"/>
  <c r="D918" i="51"/>
  <c r="E918" i="51"/>
  <c r="F918" i="51"/>
  <c r="G918" i="51" a="1"/>
  <c r="G918" i="51" s="1"/>
  <c r="H918" i="51" a="1"/>
  <c r="H918" i="51" s="1"/>
  <c r="I918" i="51"/>
  <c r="J918" i="51"/>
  <c r="K918" i="51"/>
  <c r="L918" i="51"/>
  <c r="A919" i="51"/>
  <c r="B919" i="51"/>
  <c r="C919" i="51"/>
  <c r="D919" i="51"/>
  <c r="E919" i="51"/>
  <c r="F919" i="51"/>
  <c r="G919" i="51" a="1"/>
  <c r="G919" i="51" s="1"/>
  <c r="H919" i="51" a="1"/>
  <c r="H919" i="51" s="1"/>
  <c r="I919" i="51"/>
  <c r="J919" i="51"/>
  <c r="K919" i="51"/>
  <c r="L919" i="51"/>
  <c r="A920" i="51"/>
  <c r="B920" i="51"/>
  <c r="C920" i="51"/>
  <c r="D920" i="51"/>
  <c r="E920" i="51"/>
  <c r="F920" i="51"/>
  <c r="G920" i="51" a="1"/>
  <c r="G920" i="51" s="1"/>
  <c r="H920" i="51" a="1"/>
  <c r="H920" i="51" s="1"/>
  <c r="I920" i="51"/>
  <c r="J920" i="51"/>
  <c r="K920" i="51"/>
  <c r="L920" i="51"/>
  <c r="A921" i="51"/>
  <c r="B921" i="51"/>
  <c r="C921" i="51"/>
  <c r="D921" i="51"/>
  <c r="E921" i="51"/>
  <c r="F921" i="51"/>
  <c r="G921" i="51" a="1"/>
  <c r="G921" i="51" s="1"/>
  <c r="H921" i="51" a="1"/>
  <c r="H921" i="51" s="1"/>
  <c r="I921" i="51"/>
  <c r="J921" i="51"/>
  <c r="K921" i="51"/>
  <c r="L921" i="51"/>
  <c r="A922" i="51"/>
  <c r="B922" i="51"/>
  <c r="C922" i="51"/>
  <c r="D922" i="51"/>
  <c r="E922" i="51"/>
  <c r="F922" i="51"/>
  <c r="G922" i="51" a="1"/>
  <c r="G922" i="51" s="1"/>
  <c r="H922" i="51" a="1"/>
  <c r="H922" i="51" s="1"/>
  <c r="I922" i="51"/>
  <c r="J922" i="51"/>
  <c r="K922" i="51"/>
  <c r="L922" i="51"/>
  <c r="A923" i="51"/>
  <c r="B923" i="51"/>
  <c r="C923" i="51"/>
  <c r="D923" i="51"/>
  <c r="E923" i="51"/>
  <c r="F923" i="51"/>
  <c r="G923" i="51" a="1"/>
  <c r="G923" i="51" s="1"/>
  <c r="H923" i="51" a="1"/>
  <c r="H923" i="51" s="1"/>
  <c r="I923" i="51"/>
  <c r="J923" i="51"/>
  <c r="K923" i="51"/>
  <c r="L923" i="51"/>
  <c r="A924" i="51"/>
  <c r="B924" i="51"/>
  <c r="C924" i="51"/>
  <c r="D924" i="51"/>
  <c r="E924" i="51"/>
  <c r="F924" i="51"/>
  <c r="G924" i="51" a="1"/>
  <c r="G924" i="51" s="1"/>
  <c r="H924" i="51" a="1"/>
  <c r="H924" i="51" s="1"/>
  <c r="I924" i="51"/>
  <c r="J924" i="51"/>
  <c r="K924" i="51"/>
  <c r="L924" i="51"/>
  <c r="A925" i="51"/>
  <c r="B925" i="51"/>
  <c r="C925" i="51"/>
  <c r="D925" i="51"/>
  <c r="E925" i="51"/>
  <c r="F925" i="51"/>
  <c r="G925" i="51" a="1"/>
  <c r="G925" i="51" s="1"/>
  <c r="H925" i="51" a="1"/>
  <c r="H925" i="51" s="1"/>
  <c r="I925" i="51"/>
  <c r="J925" i="51"/>
  <c r="K925" i="51"/>
  <c r="L925" i="51"/>
  <c r="A926" i="51"/>
  <c r="B926" i="51"/>
  <c r="C926" i="51"/>
  <c r="D926" i="51"/>
  <c r="E926" i="51"/>
  <c r="F926" i="51"/>
  <c r="G926" i="51" a="1"/>
  <c r="G926" i="51" s="1"/>
  <c r="H926" i="51" a="1"/>
  <c r="H926" i="51" s="1"/>
  <c r="I926" i="51"/>
  <c r="J926" i="51"/>
  <c r="K926" i="51"/>
  <c r="L926" i="51"/>
  <c r="A927" i="51"/>
  <c r="B927" i="51"/>
  <c r="C927" i="51"/>
  <c r="D927" i="51"/>
  <c r="E927" i="51"/>
  <c r="F927" i="51"/>
  <c r="G927" i="51" a="1"/>
  <c r="G927" i="51" s="1"/>
  <c r="H927" i="51" a="1"/>
  <c r="H927" i="51" s="1"/>
  <c r="I927" i="51"/>
  <c r="J927" i="51"/>
  <c r="K927" i="51"/>
  <c r="L927" i="51"/>
  <c r="A928" i="51"/>
  <c r="B928" i="51"/>
  <c r="C928" i="51"/>
  <c r="D928" i="51"/>
  <c r="E928" i="51"/>
  <c r="F928" i="51"/>
  <c r="G928" i="51" a="1"/>
  <c r="G928" i="51" s="1"/>
  <c r="H928" i="51" a="1"/>
  <c r="H928" i="51" s="1"/>
  <c r="I928" i="51"/>
  <c r="J928" i="51"/>
  <c r="K928" i="51"/>
  <c r="L928" i="51"/>
  <c r="A929" i="51"/>
  <c r="B929" i="51"/>
  <c r="C929" i="51"/>
  <c r="D929" i="51"/>
  <c r="E929" i="51"/>
  <c r="F929" i="51"/>
  <c r="G929" i="51" a="1"/>
  <c r="G929" i="51" s="1"/>
  <c r="H929" i="51" a="1"/>
  <c r="H929" i="51" s="1"/>
  <c r="I929" i="51"/>
  <c r="J929" i="51"/>
  <c r="K929" i="51"/>
  <c r="L929" i="51"/>
  <c r="A930" i="51"/>
  <c r="B930" i="51"/>
  <c r="C930" i="51"/>
  <c r="D930" i="51"/>
  <c r="E930" i="51"/>
  <c r="F930" i="51"/>
  <c r="G930" i="51" a="1"/>
  <c r="G930" i="51" s="1"/>
  <c r="H930" i="51" a="1"/>
  <c r="H930" i="51" s="1"/>
  <c r="I930" i="51"/>
  <c r="J930" i="51"/>
  <c r="K930" i="51"/>
  <c r="L930" i="51"/>
  <c r="A931" i="51"/>
  <c r="B931" i="51"/>
  <c r="C931" i="51"/>
  <c r="D931" i="51"/>
  <c r="E931" i="51"/>
  <c r="F931" i="51"/>
  <c r="G931" i="51" a="1"/>
  <c r="G931" i="51" s="1"/>
  <c r="H931" i="51" a="1"/>
  <c r="H931" i="51" s="1"/>
  <c r="I931" i="51"/>
  <c r="J931" i="51"/>
  <c r="K931" i="51"/>
  <c r="L931" i="51"/>
  <c r="A932" i="51"/>
  <c r="B932" i="51"/>
  <c r="C932" i="51"/>
  <c r="D932" i="51"/>
  <c r="E932" i="51"/>
  <c r="F932" i="51"/>
  <c r="G932" i="51" a="1"/>
  <c r="G932" i="51" s="1"/>
  <c r="H932" i="51" a="1"/>
  <c r="H932" i="51" s="1"/>
  <c r="I932" i="51"/>
  <c r="J932" i="51"/>
  <c r="K932" i="51"/>
  <c r="L932" i="51"/>
  <c r="A933" i="51"/>
  <c r="B933" i="51"/>
  <c r="C933" i="51"/>
  <c r="D933" i="51"/>
  <c r="E933" i="51"/>
  <c r="F933" i="51"/>
  <c r="G933" i="51" a="1"/>
  <c r="G933" i="51" s="1"/>
  <c r="H933" i="51" a="1"/>
  <c r="H933" i="51" s="1"/>
  <c r="I933" i="51"/>
  <c r="J933" i="51"/>
  <c r="K933" i="51"/>
  <c r="L933" i="51"/>
  <c r="A934" i="51"/>
  <c r="B934" i="51"/>
  <c r="C934" i="51"/>
  <c r="D934" i="51"/>
  <c r="E934" i="51"/>
  <c r="F934" i="51"/>
  <c r="G934" i="51" a="1"/>
  <c r="G934" i="51" s="1"/>
  <c r="H934" i="51" a="1"/>
  <c r="H934" i="51" s="1"/>
  <c r="I934" i="51"/>
  <c r="J934" i="51"/>
  <c r="K934" i="51"/>
  <c r="L934" i="51"/>
  <c r="A935" i="51"/>
  <c r="B935" i="51"/>
  <c r="C935" i="51"/>
  <c r="D935" i="51"/>
  <c r="E935" i="51"/>
  <c r="F935" i="51"/>
  <c r="G935" i="51" a="1"/>
  <c r="G935" i="51"/>
  <c r="H935" i="51" a="1"/>
  <c r="H935" i="51" s="1"/>
  <c r="I935" i="51"/>
  <c r="J935" i="51"/>
  <c r="K935" i="51"/>
  <c r="L935" i="51"/>
  <c r="A936" i="51"/>
  <c r="B936" i="51"/>
  <c r="C936" i="51"/>
  <c r="D936" i="51"/>
  <c r="E936" i="51"/>
  <c r="F936" i="51"/>
  <c r="G936" i="51" a="1"/>
  <c r="G936" i="51" s="1"/>
  <c r="H936" i="51" a="1"/>
  <c r="H936" i="51" s="1"/>
  <c r="I936" i="51"/>
  <c r="J936" i="51"/>
  <c r="K936" i="51"/>
  <c r="L936" i="51"/>
  <c r="A937" i="51"/>
  <c r="B937" i="51"/>
  <c r="C937" i="51"/>
  <c r="D937" i="51"/>
  <c r="E937" i="51"/>
  <c r="F937" i="51"/>
  <c r="G937" i="51" a="1"/>
  <c r="G937" i="51" s="1"/>
  <c r="H937" i="51" a="1"/>
  <c r="H937" i="51" s="1"/>
  <c r="I937" i="51"/>
  <c r="J937" i="51"/>
  <c r="K937" i="51"/>
  <c r="L937" i="51"/>
  <c r="A938" i="51"/>
  <c r="B938" i="51"/>
  <c r="C938" i="51"/>
  <c r="D938" i="51"/>
  <c r="E938" i="51"/>
  <c r="F938" i="51"/>
  <c r="G938" i="51" a="1"/>
  <c r="G938" i="51" s="1"/>
  <c r="H938" i="51" a="1"/>
  <c r="H938" i="51" s="1"/>
  <c r="I938" i="51"/>
  <c r="J938" i="51"/>
  <c r="K938" i="51"/>
  <c r="L938" i="51"/>
  <c r="A939" i="51"/>
  <c r="B939" i="51"/>
  <c r="C939" i="51"/>
  <c r="D939" i="51"/>
  <c r="E939" i="51"/>
  <c r="F939" i="51"/>
  <c r="G939" i="51" a="1"/>
  <c r="G939" i="51" s="1"/>
  <c r="H939" i="51" a="1"/>
  <c r="H939" i="51" s="1"/>
  <c r="I939" i="51"/>
  <c r="J939" i="51"/>
  <c r="K939" i="51"/>
  <c r="L939" i="51"/>
  <c r="A940" i="51"/>
  <c r="B940" i="51"/>
  <c r="C940" i="51"/>
  <c r="D940" i="51"/>
  <c r="E940" i="51"/>
  <c r="F940" i="51"/>
  <c r="G940" i="51" a="1"/>
  <c r="G940" i="51" s="1"/>
  <c r="H940" i="51" a="1"/>
  <c r="H940" i="51" s="1"/>
  <c r="I940" i="51"/>
  <c r="J940" i="51"/>
  <c r="K940" i="51"/>
  <c r="L940" i="51"/>
  <c r="A941" i="51"/>
  <c r="B941" i="51"/>
  <c r="C941" i="51"/>
  <c r="D941" i="51"/>
  <c r="E941" i="51"/>
  <c r="F941" i="51"/>
  <c r="G941" i="51" a="1"/>
  <c r="G941" i="51" s="1"/>
  <c r="H941" i="51" a="1"/>
  <c r="H941" i="51" s="1"/>
  <c r="I941" i="51"/>
  <c r="J941" i="51"/>
  <c r="K941" i="51"/>
  <c r="L941" i="51"/>
  <c r="A942" i="51"/>
  <c r="B942" i="51"/>
  <c r="C942" i="51"/>
  <c r="D942" i="51"/>
  <c r="E942" i="51"/>
  <c r="F942" i="51"/>
  <c r="G942" i="51" a="1"/>
  <c r="G942" i="51" s="1"/>
  <c r="H942" i="51" a="1"/>
  <c r="H942" i="51" s="1"/>
  <c r="I942" i="51"/>
  <c r="J942" i="51"/>
  <c r="K942" i="51"/>
  <c r="L942" i="51"/>
  <c r="A943" i="51"/>
  <c r="B943" i="51"/>
  <c r="C943" i="51"/>
  <c r="D943" i="51"/>
  <c r="E943" i="51"/>
  <c r="F943" i="51"/>
  <c r="G943" i="51" a="1"/>
  <c r="G943" i="51" s="1"/>
  <c r="H943" i="51" a="1"/>
  <c r="H943" i="51" s="1"/>
  <c r="I943" i="51"/>
  <c r="J943" i="51"/>
  <c r="K943" i="51"/>
  <c r="L943" i="51"/>
  <c r="A944" i="51"/>
  <c r="B944" i="51"/>
  <c r="C944" i="51"/>
  <c r="D944" i="51"/>
  <c r="E944" i="51"/>
  <c r="F944" i="51"/>
  <c r="G944" i="51" a="1"/>
  <c r="G944" i="51" s="1"/>
  <c r="H944" i="51" a="1"/>
  <c r="H944" i="51" s="1"/>
  <c r="I944" i="51"/>
  <c r="J944" i="51"/>
  <c r="K944" i="51"/>
  <c r="L944" i="51"/>
  <c r="A945" i="51"/>
  <c r="B945" i="51"/>
  <c r="C945" i="51"/>
  <c r="D945" i="51"/>
  <c r="E945" i="51"/>
  <c r="F945" i="51"/>
  <c r="G945" i="51" a="1"/>
  <c r="G945" i="51" s="1"/>
  <c r="H945" i="51" a="1"/>
  <c r="H945" i="51" s="1"/>
  <c r="I945" i="51"/>
  <c r="J945" i="51"/>
  <c r="K945" i="51"/>
  <c r="L945" i="51"/>
  <c r="A946" i="51"/>
  <c r="B946" i="51"/>
  <c r="C946" i="51"/>
  <c r="D946" i="51"/>
  <c r="E946" i="51"/>
  <c r="F946" i="51"/>
  <c r="G946" i="51" a="1"/>
  <c r="G946" i="51" s="1"/>
  <c r="H946" i="51" a="1"/>
  <c r="H946" i="51" s="1"/>
  <c r="I946" i="51"/>
  <c r="J946" i="51"/>
  <c r="K946" i="51"/>
  <c r="L946" i="51"/>
  <c r="A947" i="51"/>
  <c r="B947" i="51"/>
  <c r="C947" i="51"/>
  <c r="D947" i="51"/>
  <c r="E947" i="51"/>
  <c r="F947" i="51"/>
  <c r="G947" i="51" a="1"/>
  <c r="G947" i="51" s="1"/>
  <c r="H947" i="51" a="1"/>
  <c r="H947" i="51" s="1"/>
  <c r="I947" i="51"/>
  <c r="J947" i="51"/>
  <c r="K947" i="51"/>
  <c r="L947" i="51"/>
  <c r="A948" i="51"/>
  <c r="B948" i="51"/>
  <c r="C948" i="51"/>
  <c r="D948" i="51"/>
  <c r="E948" i="51"/>
  <c r="F948" i="51"/>
  <c r="G948" i="51" a="1"/>
  <c r="G948" i="51" s="1"/>
  <c r="H948" i="51" a="1"/>
  <c r="H948" i="51" s="1"/>
  <c r="I948" i="51"/>
  <c r="J948" i="51"/>
  <c r="K948" i="51"/>
  <c r="L948" i="51"/>
  <c r="A949" i="51"/>
  <c r="B949" i="51"/>
  <c r="C949" i="51"/>
  <c r="D949" i="51"/>
  <c r="E949" i="51"/>
  <c r="F949" i="51"/>
  <c r="G949" i="51" a="1"/>
  <c r="G949" i="51" s="1"/>
  <c r="H949" i="51" a="1"/>
  <c r="H949" i="51" s="1"/>
  <c r="I949" i="51"/>
  <c r="J949" i="51"/>
  <c r="K949" i="51"/>
  <c r="L949" i="51"/>
  <c r="A950" i="51"/>
  <c r="B950" i="51"/>
  <c r="C950" i="51"/>
  <c r="D950" i="51"/>
  <c r="E950" i="51"/>
  <c r="F950" i="51"/>
  <c r="G950" i="51" a="1"/>
  <c r="G950" i="51" s="1"/>
  <c r="H950" i="51" a="1"/>
  <c r="H950" i="51" s="1"/>
  <c r="I950" i="51"/>
  <c r="J950" i="51"/>
  <c r="K950" i="51"/>
  <c r="L950" i="51"/>
  <c r="A951" i="51"/>
  <c r="B951" i="51"/>
  <c r="C951" i="51"/>
  <c r="D951" i="51"/>
  <c r="E951" i="51"/>
  <c r="F951" i="51"/>
  <c r="G951" i="51" a="1"/>
  <c r="G951" i="51" s="1"/>
  <c r="H951" i="51" a="1"/>
  <c r="H951" i="51" s="1"/>
  <c r="I951" i="51"/>
  <c r="J951" i="51"/>
  <c r="K951" i="51"/>
  <c r="L951" i="51"/>
  <c r="A952" i="51"/>
  <c r="B952" i="51"/>
  <c r="C952" i="51"/>
  <c r="D952" i="51"/>
  <c r="E952" i="51"/>
  <c r="F952" i="51"/>
  <c r="G952" i="51" a="1"/>
  <c r="G952" i="51" s="1"/>
  <c r="H952" i="51" a="1"/>
  <c r="H952" i="51" s="1"/>
  <c r="I952" i="51"/>
  <c r="J952" i="51"/>
  <c r="K952" i="51"/>
  <c r="L952" i="51"/>
  <c r="A953" i="51"/>
  <c r="B953" i="51"/>
  <c r="C953" i="51"/>
  <c r="D953" i="51"/>
  <c r="E953" i="51"/>
  <c r="F953" i="51"/>
  <c r="G953" i="51" a="1"/>
  <c r="G953" i="51" s="1"/>
  <c r="H953" i="51" a="1"/>
  <c r="H953" i="51" s="1"/>
  <c r="I953" i="51"/>
  <c r="J953" i="51"/>
  <c r="K953" i="51"/>
  <c r="L953" i="51"/>
  <c r="A954" i="51"/>
  <c r="B954" i="51"/>
  <c r="C954" i="51"/>
  <c r="D954" i="51"/>
  <c r="E954" i="51"/>
  <c r="F954" i="51"/>
  <c r="G954" i="51" a="1"/>
  <c r="G954" i="51" s="1"/>
  <c r="H954" i="51" a="1"/>
  <c r="H954" i="51" s="1"/>
  <c r="I954" i="51"/>
  <c r="J954" i="51"/>
  <c r="K954" i="51"/>
  <c r="L954" i="51"/>
  <c r="A955" i="51"/>
  <c r="B955" i="51"/>
  <c r="C955" i="51"/>
  <c r="D955" i="51"/>
  <c r="E955" i="51"/>
  <c r="F955" i="51"/>
  <c r="G955" i="51" a="1"/>
  <c r="G955" i="51" s="1"/>
  <c r="H955" i="51" a="1"/>
  <c r="H955" i="51" s="1"/>
  <c r="I955" i="51"/>
  <c r="J955" i="51"/>
  <c r="K955" i="51"/>
  <c r="L955" i="51"/>
  <c r="A956" i="51"/>
  <c r="B956" i="51"/>
  <c r="C956" i="51"/>
  <c r="D956" i="51"/>
  <c r="E956" i="51"/>
  <c r="F956" i="51"/>
  <c r="G956" i="51" a="1"/>
  <c r="G956" i="51" s="1"/>
  <c r="H956" i="51" a="1"/>
  <c r="H956" i="51" s="1"/>
  <c r="I956" i="51"/>
  <c r="J956" i="51"/>
  <c r="K956" i="51"/>
  <c r="L956" i="51"/>
  <c r="A957" i="51"/>
  <c r="B957" i="51"/>
  <c r="C957" i="51"/>
  <c r="D957" i="51"/>
  <c r="E957" i="51"/>
  <c r="F957" i="51"/>
  <c r="G957" i="51" a="1"/>
  <c r="G957" i="51" s="1"/>
  <c r="H957" i="51" a="1"/>
  <c r="H957" i="51" s="1"/>
  <c r="I957" i="51"/>
  <c r="J957" i="51"/>
  <c r="K957" i="51"/>
  <c r="L957" i="51"/>
  <c r="A958" i="51"/>
  <c r="B958" i="51"/>
  <c r="C958" i="51"/>
  <c r="D958" i="51"/>
  <c r="E958" i="51"/>
  <c r="F958" i="51"/>
  <c r="G958" i="51" a="1"/>
  <c r="G958" i="51" s="1"/>
  <c r="H958" i="51" a="1"/>
  <c r="H958" i="51" s="1"/>
  <c r="I958" i="51"/>
  <c r="J958" i="51"/>
  <c r="K958" i="51"/>
  <c r="L958" i="51"/>
  <c r="A959" i="51"/>
  <c r="B959" i="51"/>
  <c r="C959" i="51"/>
  <c r="D959" i="51"/>
  <c r="E959" i="51"/>
  <c r="F959" i="51"/>
  <c r="G959" i="51" a="1"/>
  <c r="G959" i="51" s="1"/>
  <c r="H959" i="51" a="1"/>
  <c r="H959" i="51" s="1"/>
  <c r="I959" i="51"/>
  <c r="J959" i="51"/>
  <c r="K959" i="51"/>
  <c r="L959" i="51"/>
  <c r="A960" i="51"/>
  <c r="B960" i="51"/>
  <c r="C960" i="51"/>
  <c r="D960" i="51"/>
  <c r="E960" i="51"/>
  <c r="F960" i="51"/>
  <c r="G960" i="51" a="1"/>
  <c r="G960" i="51" s="1"/>
  <c r="H960" i="51" a="1"/>
  <c r="H960" i="51" s="1"/>
  <c r="I960" i="51"/>
  <c r="J960" i="51"/>
  <c r="K960" i="51"/>
  <c r="L960" i="51"/>
  <c r="A961" i="51"/>
  <c r="B961" i="51"/>
  <c r="C961" i="51"/>
  <c r="D961" i="51"/>
  <c r="E961" i="51"/>
  <c r="F961" i="51"/>
  <c r="G961" i="51" a="1"/>
  <c r="G961" i="51" s="1"/>
  <c r="H961" i="51" a="1"/>
  <c r="H961" i="51" s="1"/>
  <c r="I961" i="51"/>
  <c r="J961" i="51"/>
  <c r="K961" i="51"/>
  <c r="L961" i="51"/>
  <c r="A962" i="51"/>
  <c r="B962" i="51"/>
  <c r="C962" i="51"/>
  <c r="D962" i="51"/>
  <c r="E962" i="51"/>
  <c r="F962" i="51"/>
  <c r="G962" i="51" a="1"/>
  <c r="G962" i="51" s="1"/>
  <c r="H962" i="51" a="1"/>
  <c r="H962" i="51" s="1"/>
  <c r="I962" i="51"/>
  <c r="J962" i="51"/>
  <c r="K962" i="51"/>
  <c r="L962" i="51"/>
  <c r="A963" i="51"/>
  <c r="B963" i="51"/>
  <c r="C963" i="51"/>
  <c r="D963" i="51"/>
  <c r="E963" i="51"/>
  <c r="F963" i="51"/>
  <c r="G963" i="51" a="1"/>
  <c r="G963" i="51" s="1"/>
  <c r="H963" i="51" a="1"/>
  <c r="H963" i="51" s="1"/>
  <c r="I963" i="51"/>
  <c r="J963" i="51"/>
  <c r="K963" i="51"/>
  <c r="L963" i="51"/>
  <c r="A964" i="51"/>
  <c r="B964" i="51"/>
  <c r="C964" i="51"/>
  <c r="D964" i="51"/>
  <c r="E964" i="51"/>
  <c r="F964" i="51"/>
  <c r="G964" i="51" a="1"/>
  <c r="G964" i="51" s="1"/>
  <c r="H964" i="51" a="1"/>
  <c r="H964" i="51" s="1"/>
  <c r="I964" i="51"/>
  <c r="J964" i="51"/>
  <c r="K964" i="51"/>
  <c r="L964" i="51"/>
  <c r="A965" i="51"/>
  <c r="B965" i="51"/>
  <c r="C965" i="51"/>
  <c r="D965" i="51"/>
  <c r="E965" i="51"/>
  <c r="F965" i="51"/>
  <c r="G965" i="51" a="1"/>
  <c r="G965" i="51" s="1"/>
  <c r="H965" i="51" a="1"/>
  <c r="H965" i="51" s="1"/>
  <c r="I965" i="51"/>
  <c r="J965" i="51"/>
  <c r="K965" i="51"/>
  <c r="L965" i="51"/>
  <c r="A966" i="51"/>
  <c r="B966" i="51"/>
  <c r="C966" i="51"/>
  <c r="D966" i="51"/>
  <c r="E966" i="51"/>
  <c r="F966" i="51"/>
  <c r="G966" i="51" a="1"/>
  <c r="G966" i="51" s="1"/>
  <c r="H966" i="51" a="1"/>
  <c r="H966" i="51" s="1"/>
  <c r="I966" i="51"/>
  <c r="J966" i="51"/>
  <c r="K966" i="51"/>
  <c r="L966" i="51"/>
  <c r="A967" i="51"/>
  <c r="B967" i="51"/>
  <c r="C967" i="51"/>
  <c r="D967" i="51"/>
  <c r="E967" i="51"/>
  <c r="F967" i="51"/>
  <c r="G967" i="51" a="1"/>
  <c r="G967" i="51"/>
  <c r="H967" i="51" a="1"/>
  <c r="H967" i="51" s="1"/>
  <c r="I967" i="51"/>
  <c r="J967" i="51"/>
  <c r="K967" i="51"/>
  <c r="L967" i="51"/>
  <c r="A968" i="51"/>
  <c r="B968" i="51"/>
  <c r="C968" i="51"/>
  <c r="D968" i="51"/>
  <c r="E968" i="51"/>
  <c r="F968" i="51"/>
  <c r="G968" i="51" a="1"/>
  <c r="G968" i="51" s="1"/>
  <c r="H968" i="51" a="1"/>
  <c r="H968" i="51" s="1"/>
  <c r="I968" i="51"/>
  <c r="J968" i="51"/>
  <c r="K968" i="51"/>
  <c r="L968" i="51"/>
  <c r="A969" i="51"/>
  <c r="B969" i="51"/>
  <c r="C969" i="51"/>
  <c r="D969" i="51"/>
  <c r="E969" i="51"/>
  <c r="F969" i="51"/>
  <c r="G969" i="51" a="1"/>
  <c r="G969" i="51" s="1"/>
  <c r="H969" i="51" a="1"/>
  <c r="H969" i="51" s="1"/>
  <c r="I969" i="51"/>
  <c r="J969" i="51"/>
  <c r="K969" i="51"/>
  <c r="L969" i="51"/>
  <c r="A970" i="51"/>
  <c r="B970" i="51"/>
  <c r="C970" i="51"/>
  <c r="D970" i="51"/>
  <c r="E970" i="51"/>
  <c r="F970" i="51"/>
  <c r="G970" i="51" a="1"/>
  <c r="G970" i="51" s="1"/>
  <c r="H970" i="51" a="1"/>
  <c r="H970" i="51" s="1"/>
  <c r="I970" i="51"/>
  <c r="J970" i="51"/>
  <c r="K970" i="51"/>
  <c r="L970" i="51"/>
  <c r="A971" i="51"/>
  <c r="B971" i="51"/>
  <c r="C971" i="51"/>
  <c r="D971" i="51"/>
  <c r="E971" i="51"/>
  <c r="F971" i="51"/>
  <c r="G971" i="51" a="1"/>
  <c r="G971" i="51" s="1"/>
  <c r="H971" i="51" a="1"/>
  <c r="H971" i="51" s="1"/>
  <c r="I971" i="51"/>
  <c r="J971" i="51"/>
  <c r="K971" i="51"/>
  <c r="L971" i="51"/>
  <c r="A972" i="51"/>
  <c r="B972" i="51"/>
  <c r="C972" i="51"/>
  <c r="D972" i="51"/>
  <c r="E972" i="51"/>
  <c r="F972" i="51"/>
  <c r="G972" i="51" a="1"/>
  <c r="G972" i="51" s="1"/>
  <c r="H972" i="51" a="1"/>
  <c r="H972" i="51" s="1"/>
  <c r="I972" i="51"/>
  <c r="J972" i="51"/>
  <c r="K972" i="51"/>
  <c r="L972" i="51"/>
  <c r="A973" i="51"/>
  <c r="B973" i="51"/>
  <c r="C973" i="51"/>
  <c r="D973" i="51"/>
  <c r="E973" i="51"/>
  <c r="F973" i="51"/>
  <c r="G973" i="51" a="1"/>
  <c r="G973" i="51" s="1"/>
  <c r="H973" i="51" a="1"/>
  <c r="H973" i="51" s="1"/>
  <c r="I973" i="51"/>
  <c r="J973" i="51"/>
  <c r="K973" i="51"/>
  <c r="L973" i="51"/>
  <c r="A974" i="51"/>
  <c r="B974" i="51"/>
  <c r="C974" i="51"/>
  <c r="D974" i="51"/>
  <c r="E974" i="51"/>
  <c r="F974" i="51"/>
  <c r="G974" i="51" a="1"/>
  <c r="G974" i="51" s="1"/>
  <c r="H974" i="51" a="1"/>
  <c r="H974" i="51" s="1"/>
  <c r="I974" i="51"/>
  <c r="J974" i="51"/>
  <c r="K974" i="51"/>
  <c r="L974" i="51"/>
  <c r="A975" i="51"/>
  <c r="B975" i="51"/>
  <c r="C975" i="51"/>
  <c r="D975" i="51"/>
  <c r="E975" i="51"/>
  <c r="F975" i="51"/>
  <c r="G975" i="51" a="1"/>
  <c r="G975" i="51" s="1"/>
  <c r="H975" i="51" a="1"/>
  <c r="H975" i="51" s="1"/>
  <c r="I975" i="51"/>
  <c r="J975" i="51"/>
  <c r="K975" i="51"/>
  <c r="L975" i="51"/>
  <c r="A976" i="51"/>
  <c r="B976" i="51"/>
  <c r="C976" i="51"/>
  <c r="D976" i="51"/>
  <c r="E976" i="51"/>
  <c r="F976" i="51"/>
  <c r="G976" i="51" a="1"/>
  <c r="G976" i="51" s="1"/>
  <c r="H976" i="51" a="1"/>
  <c r="H976" i="51" s="1"/>
  <c r="I976" i="51"/>
  <c r="J976" i="51"/>
  <c r="K976" i="51"/>
  <c r="L976" i="51"/>
  <c r="A977" i="51"/>
  <c r="B977" i="51"/>
  <c r="C977" i="51"/>
  <c r="D977" i="51"/>
  <c r="E977" i="51"/>
  <c r="F977" i="51"/>
  <c r="G977" i="51" a="1"/>
  <c r="G977" i="51"/>
  <c r="H977" i="51" a="1"/>
  <c r="H977" i="51" s="1"/>
  <c r="I977" i="51"/>
  <c r="J977" i="51"/>
  <c r="K977" i="51"/>
  <c r="L977" i="51"/>
  <c r="A978" i="51"/>
  <c r="B978" i="51"/>
  <c r="C978" i="51"/>
  <c r="D978" i="51"/>
  <c r="E978" i="51"/>
  <c r="F978" i="51"/>
  <c r="G978" i="51" a="1"/>
  <c r="G978" i="51" s="1"/>
  <c r="H978" i="51" a="1"/>
  <c r="H978" i="51" s="1"/>
  <c r="I978" i="51"/>
  <c r="J978" i="51"/>
  <c r="K978" i="51"/>
  <c r="L978" i="51"/>
  <c r="A979" i="51"/>
  <c r="B979" i="51"/>
  <c r="C979" i="51"/>
  <c r="D979" i="51"/>
  <c r="E979" i="51"/>
  <c r="F979" i="51"/>
  <c r="G979" i="51" a="1"/>
  <c r="G979" i="51" s="1"/>
  <c r="H979" i="51" a="1"/>
  <c r="H979" i="51" s="1"/>
  <c r="I979" i="51"/>
  <c r="J979" i="51"/>
  <c r="K979" i="51"/>
  <c r="L979" i="51"/>
  <c r="A980" i="51"/>
  <c r="B980" i="51"/>
  <c r="C980" i="51"/>
  <c r="D980" i="51"/>
  <c r="E980" i="51"/>
  <c r="F980" i="51"/>
  <c r="G980" i="51" a="1"/>
  <c r="G980" i="51" s="1"/>
  <c r="H980" i="51" a="1"/>
  <c r="H980" i="51" s="1"/>
  <c r="I980" i="51"/>
  <c r="J980" i="51"/>
  <c r="K980" i="51"/>
  <c r="L980" i="51"/>
  <c r="A981" i="51"/>
  <c r="B981" i="51"/>
  <c r="C981" i="51"/>
  <c r="D981" i="51"/>
  <c r="E981" i="51"/>
  <c r="F981" i="51"/>
  <c r="G981" i="51" a="1"/>
  <c r="G981" i="51" s="1"/>
  <c r="H981" i="51" a="1"/>
  <c r="H981" i="51" s="1"/>
  <c r="I981" i="51"/>
  <c r="J981" i="51"/>
  <c r="K981" i="51"/>
  <c r="L981" i="51"/>
  <c r="A982" i="51"/>
  <c r="B982" i="51"/>
  <c r="C982" i="51"/>
  <c r="D982" i="51"/>
  <c r="E982" i="51"/>
  <c r="F982" i="51"/>
  <c r="G982" i="51" a="1"/>
  <c r="G982" i="51" s="1"/>
  <c r="H982" i="51" a="1"/>
  <c r="H982" i="51" s="1"/>
  <c r="I982" i="51"/>
  <c r="J982" i="51"/>
  <c r="K982" i="51"/>
  <c r="L982" i="51"/>
  <c r="A983" i="51"/>
  <c r="B983" i="51"/>
  <c r="C983" i="51"/>
  <c r="D983" i="51"/>
  <c r="E983" i="51"/>
  <c r="F983" i="51"/>
  <c r="G983" i="51" a="1"/>
  <c r="G983" i="51" s="1"/>
  <c r="H983" i="51" a="1"/>
  <c r="H983" i="51" s="1"/>
  <c r="I983" i="51"/>
  <c r="J983" i="51"/>
  <c r="K983" i="51"/>
  <c r="L983" i="51"/>
  <c r="A984" i="51"/>
  <c r="B984" i="51"/>
  <c r="C984" i="51"/>
  <c r="D984" i="51"/>
  <c r="E984" i="51"/>
  <c r="F984" i="51"/>
  <c r="G984" i="51" a="1"/>
  <c r="G984" i="51" s="1"/>
  <c r="H984" i="51" a="1"/>
  <c r="H984" i="51" s="1"/>
  <c r="I984" i="51"/>
  <c r="J984" i="51"/>
  <c r="K984" i="51"/>
  <c r="L984" i="51"/>
  <c r="A985" i="51"/>
  <c r="B985" i="51"/>
  <c r="C985" i="51"/>
  <c r="D985" i="51"/>
  <c r="E985" i="51"/>
  <c r="F985" i="51"/>
  <c r="G985" i="51" a="1"/>
  <c r="G985" i="51" s="1"/>
  <c r="H985" i="51" a="1"/>
  <c r="H985" i="51" s="1"/>
  <c r="I985" i="51"/>
  <c r="J985" i="51"/>
  <c r="K985" i="51"/>
  <c r="L985" i="51"/>
  <c r="A986" i="51"/>
  <c r="B986" i="51"/>
  <c r="C986" i="51"/>
  <c r="D986" i="51"/>
  <c r="E986" i="51"/>
  <c r="F986" i="51"/>
  <c r="G986" i="51" a="1"/>
  <c r="G986" i="51" s="1"/>
  <c r="H986" i="51" a="1"/>
  <c r="H986" i="51" s="1"/>
  <c r="I986" i="51"/>
  <c r="J986" i="51"/>
  <c r="K986" i="51"/>
  <c r="L986" i="51"/>
  <c r="A987" i="51"/>
  <c r="B987" i="51"/>
  <c r="C987" i="51"/>
  <c r="D987" i="51"/>
  <c r="E987" i="51"/>
  <c r="F987" i="51"/>
  <c r="G987" i="51" a="1"/>
  <c r="G987" i="51" s="1"/>
  <c r="H987" i="51" a="1"/>
  <c r="H987" i="51" s="1"/>
  <c r="I987" i="51"/>
  <c r="J987" i="51"/>
  <c r="K987" i="51"/>
  <c r="L987" i="51"/>
  <c r="A988" i="51"/>
  <c r="B988" i="51"/>
  <c r="C988" i="51"/>
  <c r="D988" i="51"/>
  <c r="E988" i="51"/>
  <c r="F988" i="51"/>
  <c r="G988" i="51" a="1"/>
  <c r="G988" i="51" s="1"/>
  <c r="H988" i="51" a="1"/>
  <c r="H988" i="51" s="1"/>
  <c r="I988" i="51"/>
  <c r="J988" i="51"/>
  <c r="K988" i="51"/>
  <c r="L988" i="51"/>
  <c r="A989" i="51"/>
  <c r="B989" i="51"/>
  <c r="C989" i="51"/>
  <c r="D989" i="51"/>
  <c r="E989" i="51"/>
  <c r="F989" i="51"/>
  <c r="G989" i="51" a="1"/>
  <c r="G989" i="51" s="1"/>
  <c r="H989" i="51" a="1"/>
  <c r="H989" i="51" s="1"/>
  <c r="I989" i="51"/>
  <c r="J989" i="51"/>
  <c r="K989" i="51"/>
  <c r="L989" i="51"/>
  <c r="A990" i="51"/>
  <c r="B990" i="51"/>
  <c r="C990" i="51"/>
  <c r="D990" i="51"/>
  <c r="E990" i="51"/>
  <c r="F990" i="51"/>
  <c r="G990" i="51" a="1"/>
  <c r="G990" i="51" s="1"/>
  <c r="H990" i="51" a="1"/>
  <c r="H990" i="51" s="1"/>
  <c r="I990" i="51"/>
  <c r="J990" i="51"/>
  <c r="K990" i="51"/>
  <c r="L990" i="51"/>
  <c r="A991" i="51"/>
  <c r="B991" i="51"/>
  <c r="C991" i="51"/>
  <c r="D991" i="51"/>
  <c r="E991" i="51"/>
  <c r="F991" i="51"/>
  <c r="G991" i="51" a="1"/>
  <c r="G991" i="51" s="1"/>
  <c r="H991" i="51" a="1"/>
  <c r="H991" i="51" s="1"/>
  <c r="I991" i="51"/>
  <c r="J991" i="51"/>
  <c r="K991" i="51"/>
  <c r="L991" i="51"/>
  <c r="A992" i="51"/>
  <c r="B992" i="51"/>
  <c r="C992" i="51"/>
  <c r="D992" i="51"/>
  <c r="E992" i="51"/>
  <c r="F992" i="51"/>
  <c r="G992" i="51" a="1"/>
  <c r="G992" i="51" s="1"/>
  <c r="H992" i="51" a="1"/>
  <c r="H992" i="51"/>
  <c r="I992" i="51"/>
  <c r="J992" i="51"/>
  <c r="K992" i="51"/>
  <c r="L992" i="51"/>
  <c r="A993" i="51"/>
  <c r="B993" i="51"/>
  <c r="C993" i="51"/>
  <c r="D993" i="51"/>
  <c r="E993" i="51"/>
  <c r="F993" i="51"/>
  <c r="G993" i="51" a="1"/>
  <c r="G993" i="51"/>
  <c r="H993" i="51" a="1"/>
  <c r="H993" i="51" s="1"/>
  <c r="I993" i="51"/>
  <c r="J993" i="51"/>
  <c r="K993" i="51"/>
  <c r="L993" i="51"/>
  <c r="A994" i="51"/>
  <c r="B994" i="51"/>
  <c r="C994" i="51"/>
  <c r="D994" i="51"/>
  <c r="E994" i="51"/>
  <c r="F994" i="51"/>
  <c r="G994" i="51" a="1"/>
  <c r="G994" i="51" s="1"/>
  <c r="H994" i="51" a="1"/>
  <c r="H994" i="51" s="1"/>
  <c r="I994" i="51"/>
  <c r="J994" i="51"/>
  <c r="K994" i="51"/>
  <c r="L994" i="51"/>
  <c r="A995" i="51"/>
  <c r="B995" i="51"/>
  <c r="C995" i="51"/>
  <c r="D995" i="51"/>
  <c r="E995" i="51"/>
  <c r="F995" i="51"/>
  <c r="G995" i="51" a="1"/>
  <c r="G995" i="51" s="1"/>
  <c r="H995" i="51" a="1"/>
  <c r="H995" i="51" s="1"/>
  <c r="I995" i="51"/>
  <c r="J995" i="51"/>
  <c r="K995" i="51"/>
  <c r="L995" i="51"/>
  <c r="A996" i="51"/>
  <c r="B996" i="51"/>
  <c r="C996" i="51"/>
  <c r="D996" i="51"/>
  <c r="E996" i="51"/>
  <c r="F996" i="51"/>
  <c r="G996" i="51" a="1"/>
  <c r="G996" i="51" s="1"/>
  <c r="H996" i="51" a="1"/>
  <c r="H996" i="51" s="1"/>
  <c r="I996" i="51"/>
  <c r="J996" i="51"/>
  <c r="K996" i="51"/>
  <c r="L996" i="51"/>
  <c r="A997" i="51"/>
  <c r="B997" i="51"/>
  <c r="C997" i="51"/>
  <c r="D997" i="51"/>
  <c r="E997" i="51"/>
  <c r="F997" i="51"/>
  <c r="G997" i="51" a="1"/>
  <c r="G997" i="51" s="1"/>
  <c r="H997" i="51" a="1"/>
  <c r="H997" i="51" s="1"/>
  <c r="I997" i="51"/>
  <c r="J997" i="51"/>
  <c r="K997" i="51"/>
  <c r="L997" i="51"/>
  <c r="A998" i="51"/>
  <c r="B998" i="51"/>
  <c r="C998" i="51"/>
  <c r="D998" i="51"/>
  <c r="E998" i="51"/>
  <c r="F998" i="51"/>
  <c r="G998" i="51" a="1"/>
  <c r="G998" i="51" s="1"/>
  <c r="H998" i="51" a="1"/>
  <c r="H998" i="51" s="1"/>
  <c r="I998" i="51"/>
  <c r="J998" i="51"/>
  <c r="K998" i="51"/>
  <c r="L998" i="51"/>
  <c r="A999" i="51"/>
  <c r="B999" i="51"/>
  <c r="C999" i="51"/>
  <c r="D999" i="51"/>
  <c r="E999" i="51"/>
  <c r="F999" i="51"/>
  <c r="G999" i="51" a="1"/>
  <c r="G999" i="51" s="1"/>
  <c r="H999" i="51" a="1"/>
  <c r="H999" i="51" s="1"/>
  <c r="I999" i="51"/>
  <c r="J999" i="51"/>
  <c r="K999" i="51"/>
  <c r="L999" i="51"/>
  <c r="A1000" i="51"/>
  <c r="B1000" i="51"/>
  <c r="C1000" i="51"/>
  <c r="D1000" i="51"/>
  <c r="E1000" i="51"/>
  <c r="F1000" i="51"/>
  <c r="G1000" i="51" a="1"/>
  <c r="G1000" i="51" s="1"/>
  <c r="H1000" i="51" a="1"/>
  <c r="H1000" i="51" s="1"/>
  <c r="I1000" i="51"/>
  <c r="J1000" i="51"/>
  <c r="K1000" i="51"/>
  <c r="L1000" i="51"/>
  <c r="A1001" i="51"/>
  <c r="B1001" i="51"/>
  <c r="C1001" i="51"/>
  <c r="D1001" i="51"/>
  <c r="E1001" i="51"/>
  <c r="F1001" i="51"/>
  <c r="G1001" i="51" a="1"/>
  <c r="G1001" i="51" s="1"/>
  <c r="H1001" i="51" a="1"/>
  <c r="H1001" i="51" s="1"/>
  <c r="I1001" i="51"/>
  <c r="J1001" i="51"/>
  <c r="K1001" i="51"/>
  <c r="L1001" i="51"/>
  <c r="A1002" i="51"/>
  <c r="B1002" i="51"/>
  <c r="C1002" i="51"/>
  <c r="D1002" i="51"/>
  <c r="E1002" i="51"/>
  <c r="F1002" i="51"/>
  <c r="G1002" i="51" a="1"/>
  <c r="G1002" i="51" s="1"/>
  <c r="H1002" i="51" a="1"/>
  <c r="H1002" i="51" s="1"/>
  <c r="I1002" i="51"/>
  <c r="J1002" i="51"/>
  <c r="K1002" i="51"/>
  <c r="L1002" i="51"/>
  <c r="A1003" i="51"/>
  <c r="B1003" i="51"/>
  <c r="C1003" i="51"/>
  <c r="D1003" i="51"/>
  <c r="E1003" i="51"/>
  <c r="F1003" i="51"/>
  <c r="G1003" i="51" a="1"/>
  <c r="G1003" i="51" s="1"/>
  <c r="H1003" i="51" a="1"/>
  <c r="H1003" i="51" s="1"/>
  <c r="I1003" i="51"/>
  <c r="J1003" i="51"/>
  <c r="K1003" i="51"/>
  <c r="L1003" i="51"/>
  <c r="A1004" i="51"/>
  <c r="B1004" i="51"/>
  <c r="C1004" i="51"/>
  <c r="D1004" i="51"/>
  <c r="E1004" i="51"/>
  <c r="F1004" i="51"/>
  <c r="G1004" i="51" a="1"/>
  <c r="G1004" i="51" s="1"/>
  <c r="H1004" i="51" a="1"/>
  <c r="H1004" i="51" s="1"/>
  <c r="I1004" i="51"/>
  <c r="J1004" i="51"/>
  <c r="K1004" i="51"/>
  <c r="L1004" i="51"/>
  <c r="A1005" i="51"/>
  <c r="B1005" i="51"/>
  <c r="C1005" i="51"/>
  <c r="D1005" i="51"/>
  <c r="E1005" i="51"/>
  <c r="F1005" i="51"/>
  <c r="G1005" i="51" a="1"/>
  <c r="G1005" i="51" s="1"/>
  <c r="H1005" i="51" a="1"/>
  <c r="H1005" i="51" s="1"/>
  <c r="I1005" i="51"/>
  <c r="J1005" i="51"/>
  <c r="K1005" i="51"/>
  <c r="L1005" i="51"/>
  <c r="A1006" i="51"/>
  <c r="B1006" i="51"/>
  <c r="C1006" i="51"/>
  <c r="D1006" i="51"/>
  <c r="E1006" i="51"/>
  <c r="F1006" i="51"/>
  <c r="G1006" i="51" a="1"/>
  <c r="G1006" i="51" s="1"/>
  <c r="H1006" i="51" a="1"/>
  <c r="H1006" i="51" s="1"/>
  <c r="I1006" i="51"/>
  <c r="J1006" i="51"/>
  <c r="K1006" i="51"/>
  <c r="L1006" i="51"/>
  <c r="A1007" i="51"/>
  <c r="B1007" i="51"/>
  <c r="C1007" i="51"/>
  <c r="D1007" i="51"/>
  <c r="E1007" i="51"/>
  <c r="F1007" i="51"/>
  <c r="G1007" i="51" a="1"/>
  <c r="G1007" i="51" s="1"/>
  <c r="H1007" i="51" a="1"/>
  <c r="H1007" i="51" s="1"/>
  <c r="I1007" i="51"/>
  <c r="J1007" i="51"/>
  <c r="K1007" i="51"/>
  <c r="L1007" i="51"/>
  <c r="A1008" i="51"/>
  <c r="B1008" i="51"/>
  <c r="C1008" i="51"/>
  <c r="D1008" i="51"/>
  <c r="E1008" i="51"/>
  <c r="F1008" i="51"/>
  <c r="G1008" i="51" a="1"/>
  <c r="G1008" i="51" s="1"/>
  <c r="H1008" i="51" a="1"/>
  <c r="H1008" i="51"/>
  <c r="I1008" i="51"/>
  <c r="J1008" i="51"/>
  <c r="K1008" i="51"/>
  <c r="L1008" i="51"/>
  <c r="A1009" i="51"/>
  <c r="B1009" i="51"/>
  <c r="C1009" i="51"/>
  <c r="D1009" i="51"/>
  <c r="E1009" i="51"/>
  <c r="F1009" i="51"/>
  <c r="G1009" i="51" a="1"/>
  <c r="G1009" i="51"/>
  <c r="H1009" i="51" a="1"/>
  <c r="H1009" i="51" s="1"/>
  <c r="I1009" i="51"/>
  <c r="J1009" i="51"/>
  <c r="K1009" i="51"/>
  <c r="L1009" i="51"/>
  <c r="A1010" i="51"/>
  <c r="B1010" i="51"/>
  <c r="C1010" i="51"/>
  <c r="D1010" i="51"/>
  <c r="E1010" i="51"/>
  <c r="F1010" i="51"/>
  <c r="G1010" i="51" a="1"/>
  <c r="G1010" i="51" s="1"/>
  <c r="H1010" i="51" a="1"/>
  <c r="H1010" i="51" s="1"/>
  <c r="I1010" i="51"/>
  <c r="J1010" i="51"/>
  <c r="K1010" i="51"/>
  <c r="L1010" i="51"/>
  <c r="A1011" i="51"/>
  <c r="B1011" i="51"/>
  <c r="C1011" i="51"/>
  <c r="D1011" i="51"/>
  <c r="E1011" i="51"/>
  <c r="F1011" i="51"/>
  <c r="G1011" i="51" a="1"/>
  <c r="G1011" i="51" s="1"/>
  <c r="H1011" i="51" a="1"/>
  <c r="H1011" i="51" s="1"/>
  <c r="I1011" i="51"/>
  <c r="J1011" i="51"/>
  <c r="K1011" i="51"/>
  <c r="L1011" i="51"/>
  <c r="A1012" i="51"/>
  <c r="B1012" i="51"/>
  <c r="C1012" i="51"/>
  <c r="D1012" i="51"/>
  <c r="E1012" i="51"/>
  <c r="F1012" i="51"/>
  <c r="G1012" i="51" a="1"/>
  <c r="G1012" i="51" s="1"/>
  <c r="H1012" i="51" a="1"/>
  <c r="H1012" i="51" s="1"/>
  <c r="I1012" i="51"/>
  <c r="J1012" i="51"/>
  <c r="K1012" i="51"/>
  <c r="L1012" i="51"/>
  <c r="A1013" i="51"/>
  <c r="B1013" i="51"/>
  <c r="C1013" i="51"/>
  <c r="D1013" i="51"/>
  <c r="E1013" i="51"/>
  <c r="F1013" i="51"/>
  <c r="G1013" i="51" a="1"/>
  <c r="G1013" i="51" s="1"/>
  <c r="H1013" i="51" a="1"/>
  <c r="H1013" i="51" s="1"/>
  <c r="I1013" i="51"/>
  <c r="J1013" i="51"/>
  <c r="K1013" i="51"/>
  <c r="L1013" i="51"/>
  <c r="A1014" i="51"/>
  <c r="B1014" i="51"/>
  <c r="C1014" i="51"/>
  <c r="D1014" i="51"/>
  <c r="E1014" i="51"/>
  <c r="F1014" i="51"/>
  <c r="G1014" i="51" a="1"/>
  <c r="G1014" i="51" s="1"/>
  <c r="H1014" i="51" a="1"/>
  <c r="H1014" i="51" s="1"/>
  <c r="I1014" i="51"/>
  <c r="J1014" i="51"/>
  <c r="K1014" i="51"/>
  <c r="L1014" i="51"/>
  <c r="A1015" i="51"/>
  <c r="B1015" i="51"/>
  <c r="C1015" i="51"/>
  <c r="D1015" i="51"/>
  <c r="E1015" i="51"/>
  <c r="F1015" i="51"/>
  <c r="G1015" i="51" a="1"/>
  <c r="G1015" i="51" s="1"/>
  <c r="H1015" i="51" a="1"/>
  <c r="H1015" i="51" s="1"/>
  <c r="I1015" i="51"/>
  <c r="J1015" i="51"/>
  <c r="K1015" i="51"/>
  <c r="L1015" i="51"/>
  <c r="A1016" i="51"/>
  <c r="B1016" i="51"/>
  <c r="C1016" i="51"/>
  <c r="D1016" i="51"/>
  <c r="E1016" i="51"/>
  <c r="F1016" i="51"/>
  <c r="G1016" i="51" a="1"/>
  <c r="G1016" i="51" s="1"/>
  <c r="H1016" i="51" a="1"/>
  <c r="H1016" i="51" s="1"/>
  <c r="I1016" i="51"/>
  <c r="J1016" i="51"/>
  <c r="K1016" i="51"/>
  <c r="L1016" i="51"/>
  <c r="A1017" i="51"/>
  <c r="B1017" i="51"/>
  <c r="C1017" i="51"/>
  <c r="D1017" i="51"/>
  <c r="E1017" i="51"/>
  <c r="F1017" i="51"/>
  <c r="G1017" i="51" a="1"/>
  <c r="G1017" i="51" s="1"/>
  <c r="H1017" i="51" a="1"/>
  <c r="H1017" i="51" s="1"/>
  <c r="I1017" i="51"/>
  <c r="J1017" i="51"/>
  <c r="K1017" i="51"/>
  <c r="L1017" i="51"/>
  <c r="A1018" i="51"/>
  <c r="B1018" i="51"/>
  <c r="C1018" i="51"/>
  <c r="D1018" i="51"/>
  <c r="E1018" i="51"/>
  <c r="F1018" i="51"/>
  <c r="G1018" i="51" a="1"/>
  <c r="G1018" i="51" s="1"/>
  <c r="H1018" i="51" a="1"/>
  <c r="H1018" i="51" s="1"/>
  <c r="I1018" i="51"/>
  <c r="J1018" i="51"/>
  <c r="K1018" i="51"/>
  <c r="L1018" i="51"/>
  <c r="A1019" i="51"/>
  <c r="B1019" i="51"/>
  <c r="C1019" i="51"/>
  <c r="D1019" i="51"/>
  <c r="E1019" i="51"/>
  <c r="F1019" i="51"/>
  <c r="G1019" i="51" a="1"/>
  <c r="G1019" i="51" s="1"/>
  <c r="H1019" i="51" a="1"/>
  <c r="H1019" i="51" s="1"/>
  <c r="I1019" i="51"/>
  <c r="J1019" i="51"/>
  <c r="K1019" i="51"/>
  <c r="L1019" i="51"/>
  <c r="A1020" i="51"/>
  <c r="B1020" i="51"/>
  <c r="C1020" i="51"/>
  <c r="D1020" i="51"/>
  <c r="E1020" i="51"/>
  <c r="F1020" i="51"/>
  <c r="G1020" i="51" a="1"/>
  <c r="G1020" i="51" s="1"/>
  <c r="H1020" i="51" a="1"/>
  <c r="H1020" i="51" s="1"/>
  <c r="I1020" i="51"/>
  <c r="J1020" i="51"/>
  <c r="K1020" i="51"/>
  <c r="L1020" i="51"/>
  <c r="A1021" i="51"/>
  <c r="B1021" i="51"/>
  <c r="C1021" i="51"/>
  <c r="D1021" i="51"/>
  <c r="E1021" i="51"/>
  <c r="F1021" i="51"/>
  <c r="G1021" i="51" a="1"/>
  <c r="G1021" i="51" s="1"/>
  <c r="H1021" i="51" a="1"/>
  <c r="H1021" i="51" s="1"/>
  <c r="I1021" i="51"/>
  <c r="J1021" i="51"/>
  <c r="K1021" i="51"/>
  <c r="L1021" i="51"/>
  <c r="A1022" i="51"/>
  <c r="B1022" i="51"/>
  <c r="C1022" i="51"/>
  <c r="D1022" i="51"/>
  <c r="E1022" i="51"/>
  <c r="F1022" i="51"/>
  <c r="G1022" i="51" a="1"/>
  <c r="G1022" i="51" s="1"/>
  <c r="H1022" i="51" a="1"/>
  <c r="H1022" i="51" s="1"/>
  <c r="I1022" i="51"/>
  <c r="J1022" i="51"/>
  <c r="K1022" i="51"/>
  <c r="L1022" i="51"/>
  <c r="A1023" i="51"/>
  <c r="B1023" i="51"/>
  <c r="C1023" i="51"/>
  <c r="D1023" i="51"/>
  <c r="E1023" i="51"/>
  <c r="F1023" i="51"/>
  <c r="G1023" i="51" a="1"/>
  <c r="G1023" i="51" s="1"/>
  <c r="H1023" i="51" a="1"/>
  <c r="H1023" i="51" s="1"/>
  <c r="I1023" i="51"/>
  <c r="J1023" i="51"/>
  <c r="K1023" i="51"/>
  <c r="L1023" i="51"/>
  <c r="A1024" i="51"/>
  <c r="B1024" i="51"/>
  <c r="C1024" i="51"/>
  <c r="D1024" i="51"/>
  <c r="E1024" i="51"/>
  <c r="F1024" i="51"/>
  <c r="G1024" i="51" a="1"/>
  <c r="G1024" i="51" s="1"/>
  <c r="H1024" i="51" a="1"/>
  <c r="H1024" i="51"/>
  <c r="I1024" i="51"/>
  <c r="J1024" i="51"/>
  <c r="K1024" i="51"/>
  <c r="L1024" i="51"/>
  <c r="A1025" i="51"/>
  <c r="B1025" i="51"/>
  <c r="C1025" i="51"/>
  <c r="D1025" i="51"/>
  <c r="E1025" i="51"/>
  <c r="F1025" i="51"/>
  <c r="G1025" i="51" a="1"/>
  <c r="G1025" i="51"/>
  <c r="H1025" i="51" a="1"/>
  <c r="H1025" i="51" s="1"/>
  <c r="I1025" i="51"/>
  <c r="J1025" i="51"/>
  <c r="K1025" i="51"/>
  <c r="L1025" i="51"/>
  <c r="A1026" i="51"/>
  <c r="B1026" i="51"/>
  <c r="C1026" i="51"/>
  <c r="D1026" i="51"/>
  <c r="E1026" i="51"/>
  <c r="F1026" i="51"/>
  <c r="G1026" i="51" a="1"/>
  <c r="G1026" i="51" s="1"/>
  <c r="H1026" i="51" a="1"/>
  <c r="H1026" i="51" s="1"/>
  <c r="I1026" i="51"/>
  <c r="J1026" i="51"/>
  <c r="K1026" i="51"/>
  <c r="L1026" i="51"/>
  <c r="A1027" i="51"/>
  <c r="B1027" i="51"/>
  <c r="C1027" i="51"/>
  <c r="D1027" i="51"/>
  <c r="E1027" i="51"/>
  <c r="F1027" i="51"/>
  <c r="G1027" i="51" a="1"/>
  <c r="G1027" i="51" s="1"/>
  <c r="H1027" i="51" a="1"/>
  <c r="H1027" i="51" s="1"/>
  <c r="I1027" i="51"/>
  <c r="J1027" i="51"/>
  <c r="K1027" i="51"/>
  <c r="L1027" i="51"/>
  <c r="A1028" i="51"/>
  <c r="B1028" i="51"/>
  <c r="C1028" i="51"/>
  <c r="D1028" i="51"/>
  <c r="E1028" i="51"/>
  <c r="F1028" i="51"/>
  <c r="G1028" i="51" a="1"/>
  <c r="G1028" i="51" s="1"/>
  <c r="H1028" i="51" a="1"/>
  <c r="H1028" i="51" s="1"/>
  <c r="I1028" i="51"/>
  <c r="J1028" i="51"/>
  <c r="K1028" i="51"/>
  <c r="L1028" i="51"/>
  <c r="A1029" i="51"/>
  <c r="B1029" i="51"/>
  <c r="C1029" i="51"/>
  <c r="D1029" i="51"/>
  <c r="E1029" i="51"/>
  <c r="F1029" i="51"/>
  <c r="G1029" i="51" a="1"/>
  <c r="G1029" i="51" s="1"/>
  <c r="H1029" i="51" a="1"/>
  <c r="H1029" i="51" s="1"/>
  <c r="I1029" i="51"/>
  <c r="J1029" i="51"/>
  <c r="K1029" i="51"/>
  <c r="L1029" i="51"/>
  <c r="A1030" i="51"/>
  <c r="B1030" i="51"/>
  <c r="C1030" i="51"/>
  <c r="D1030" i="51"/>
  <c r="E1030" i="51"/>
  <c r="F1030" i="51"/>
  <c r="G1030" i="51" a="1"/>
  <c r="G1030" i="51" s="1"/>
  <c r="H1030" i="51" a="1"/>
  <c r="H1030" i="51" s="1"/>
  <c r="I1030" i="51"/>
  <c r="J1030" i="51"/>
  <c r="K1030" i="51"/>
  <c r="L1030" i="51"/>
  <c r="A1031" i="51"/>
  <c r="B1031" i="51"/>
  <c r="C1031" i="51"/>
  <c r="D1031" i="51"/>
  <c r="E1031" i="51"/>
  <c r="F1031" i="51"/>
  <c r="G1031" i="51" a="1"/>
  <c r="G1031" i="51" s="1"/>
  <c r="H1031" i="51" a="1"/>
  <c r="H1031" i="51" s="1"/>
  <c r="I1031" i="51"/>
  <c r="J1031" i="51"/>
  <c r="K1031" i="51"/>
  <c r="L1031" i="51"/>
  <c r="A1032" i="51"/>
  <c r="B1032" i="51"/>
  <c r="C1032" i="51"/>
  <c r="D1032" i="51"/>
  <c r="E1032" i="51"/>
  <c r="F1032" i="51"/>
  <c r="G1032" i="51" a="1"/>
  <c r="G1032" i="51" s="1"/>
  <c r="H1032" i="51" a="1"/>
  <c r="H1032" i="51" s="1"/>
  <c r="I1032" i="51"/>
  <c r="J1032" i="51"/>
  <c r="K1032" i="51"/>
  <c r="L1032" i="51"/>
  <c r="A1033" i="51"/>
  <c r="B1033" i="51"/>
  <c r="C1033" i="51"/>
  <c r="D1033" i="51"/>
  <c r="E1033" i="51"/>
  <c r="F1033" i="51"/>
  <c r="G1033" i="51" a="1"/>
  <c r="G1033" i="51" s="1"/>
  <c r="H1033" i="51" a="1"/>
  <c r="H1033" i="51" s="1"/>
  <c r="I1033" i="51"/>
  <c r="J1033" i="51"/>
  <c r="K1033" i="51"/>
  <c r="L1033" i="51"/>
  <c r="A1034" i="51"/>
  <c r="B1034" i="51"/>
  <c r="C1034" i="51"/>
  <c r="D1034" i="51"/>
  <c r="E1034" i="51"/>
  <c r="F1034" i="51"/>
  <c r="G1034" i="51" a="1"/>
  <c r="G1034" i="51" s="1"/>
  <c r="H1034" i="51" a="1"/>
  <c r="H1034" i="51" s="1"/>
  <c r="I1034" i="51"/>
  <c r="J1034" i="51"/>
  <c r="K1034" i="51"/>
  <c r="L1034" i="51"/>
  <c r="A1035" i="51"/>
  <c r="B1035" i="51"/>
  <c r="C1035" i="51"/>
  <c r="D1035" i="51"/>
  <c r="E1035" i="51"/>
  <c r="F1035" i="51"/>
  <c r="G1035" i="51" a="1"/>
  <c r="G1035" i="51" s="1"/>
  <c r="H1035" i="51" a="1"/>
  <c r="H1035" i="51" s="1"/>
  <c r="I1035" i="51"/>
  <c r="J1035" i="51"/>
  <c r="K1035" i="51"/>
  <c r="L1035" i="51"/>
  <c r="A1036" i="51"/>
  <c r="B1036" i="51"/>
  <c r="C1036" i="51"/>
  <c r="D1036" i="51"/>
  <c r="E1036" i="51"/>
  <c r="F1036" i="51"/>
  <c r="G1036" i="51" a="1"/>
  <c r="G1036" i="51" s="1"/>
  <c r="H1036" i="51" a="1"/>
  <c r="H1036" i="51" s="1"/>
  <c r="I1036" i="51"/>
  <c r="J1036" i="51"/>
  <c r="K1036" i="51"/>
  <c r="L1036" i="51"/>
  <c r="A1037" i="51"/>
  <c r="B1037" i="51"/>
  <c r="C1037" i="51"/>
  <c r="D1037" i="51"/>
  <c r="E1037" i="51"/>
  <c r="F1037" i="51"/>
  <c r="G1037" i="51" a="1"/>
  <c r="G1037" i="51" s="1"/>
  <c r="H1037" i="51" a="1"/>
  <c r="H1037" i="51" s="1"/>
  <c r="I1037" i="51"/>
  <c r="J1037" i="51"/>
  <c r="K1037" i="51"/>
  <c r="L1037" i="51"/>
  <c r="A1038" i="51"/>
  <c r="B1038" i="51"/>
  <c r="C1038" i="51"/>
  <c r="D1038" i="51"/>
  <c r="E1038" i="51"/>
  <c r="F1038" i="51"/>
  <c r="G1038" i="51" a="1"/>
  <c r="G1038" i="51" s="1"/>
  <c r="H1038" i="51" a="1"/>
  <c r="H1038" i="51" s="1"/>
  <c r="I1038" i="51"/>
  <c r="J1038" i="51"/>
  <c r="K1038" i="51"/>
  <c r="L1038" i="51"/>
  <c r="A1039" i="51"/>
  <c r="B1039" i="51"/>
  <c r="C1039" i="51"/>
  <c r="D1039" i="51"/>
  <c r="E1039" i="51"/>
  <c r="F1039" i="51"/>
  <c r="G1039" i="51" a="1"/>
  <c r="G1039" i="51" s="1"/>
  <c r="H1039" i="51" a="1"/>
  <c r="H1039" i="51" s="1"/>
  <c r="I1039" i="51"/>
  <c r="J1039" i="51"/>
  <c r="K1039" i="51"/>
  <c r="L1039" i="51"/>
  <c r="A1040" i="51"/>
  <c r="B1040" i="51"/>
  <c r="C1040" i="51"/>
  <c r="D1040" i="51"/>
  <c r="E1040" i="51"/>
  <c r="F1040" i="51"/>
  <c r="G1040" i="51" a="1"/>
  <c r="G1040" i="51" s="1"/>
  <c r="H1040" i="51" a="1"/>
  <c r="H1040" i="51"/>
  <c r="I1040" i="51"/>
  <c r="J1040" i="51"/>
  <c r="K1040" i="51"/>
  <c r="L1040" i="51"/>
  <c r="A1041" i="51"/>
  <c r="B1041" i="51"/>
  <c r="C1041" i="51"/>
  <c r="D1041" i="51"/>
  <c r="E1041" i="51"/>
  <c r="F1041" i="51"/>
  <c r="G1041" i="51" a="1"/>
  <c r="G1041" i="51"/>
  <c r="H1041" i="51" a="1"/>
  <c r="H1041" i="51" s="1"/>
  <c r="I1041" i="51"/>
  <c r="J1041" i="51"/>
  <c r="K1041" i="51"/>
  <c r="L1041" i="51"/>
  <c r="A1042" i="51"/>
  <c r="B1042" i="51"/>
  <c r="C1042" i="51"/>
  <c r="D1042" i="51"/>
  <c r="E1042" i="51"/>
  <c r="F1042" i="51"/>
  <c r="G1042" i="51" a="1"/>
  <c r="G1042" i="51" s="1"/>
  <c r="H1042" i="51" a="1"/>
  <c r="H1042" i="51" s="1"/>
  <c r="I1042" i="51"/>
  <c r="J1042" i="51"/>
  <c r="K1042" i="51"/>
  <c r="L1042" i="51"/>
  <c r="A1043" i="51"/>
  <c r="B1043" i="51"/>
  <c r="C1043" i="51"/>
  <c r="D1043" i="51"/>
  <c r="E1043" i="51"/>
  <c r="F1043" i="51"/>
  <c r="G1043" i="51" a="1"/>
  <c r="G1043" i="51" s="1"/>
  <c r="H1043" i="51" a="1"/>
  <c r="H1043" i="51" s="1"/>
  <c r="I1043" i="51"/>
  <c r="J1043" i="51"/>
  <c r="K1043" i="51"/>
  <c r="L1043" i="51"/>
  <c r="A1044" i="51"/>
  <c r="B1044" i="51"/>
  <c r="C1044" i="51"/>
  <c r="D1044" i="51"/>
  <c r="E1044" i="51"/>
  <c r="F1044" i="51"/>
  <c r="G1044" i="51" a="1"/>
  <c r="G1044" i="51" s="1"/>
  <c r="H1044" i="51" a="1"/>
  <c r="H1044" i="51" s="1"/>
  <c r="I1044" i="51"/>
  <c r="J1044" i="51"/>
  <c r="K1044" i="51"/>
  <c r="L1044" i="51"/>
  <c r="A1045" i="51"/>
  <c r="B1045" i="51"/>
  <c r="C1045" i="51"/>
  <c r="D1045" i="51"/>
  <c r="E1045" i="51"/>
  <c r="F1045" i="51"/>
  <c r="G1045" i="51" a="1"/>
  <c r="G1045" i="51" s="1"/>
  <c r="H1045" i="51" a="1"/>
  <c r="H1045" i="51" s="1"/>
  <c r="I1045" i="51"/>
  <c r="J1045" i="51"/>
  <c r="K1045" i="51"/>
  <c r="L1045" i="51"/>
  <c r="A1046" i="51"/>
  <c r="B1046" i="51"/>
  <c r="C1046" i="51"/>
  <c r="D1046" i="51"/>
  <c r="E1046" i="51"/>
  <c r="F1046" i="51"/>
  <c r="G1046" i="51" a="1"/>
  <c r="G1046" i="51" s="1"/>
  <c r="H1046" i="51" a="1"/>
  <c r="H1046" i="51" s="1"/>
  <c r="I1046" i="51"/>
  <c r="J1046" i="51"/>
  <c r="K1046" i="51"/>
  <c r="L1046" i="51"/>
  <c r="A1047" i="51"/>
  <c r="B1047" i="51"/>
  <c r="C1047" i="51"/>
  <c r="D1047" i="51"/>
  <c r="E1047" i="51"/>
  <c r="F1047" i="51"/>
  <c r="G1047" i="51" a="1"/>
  <c r="G1047" i="51" s="1"/>
  <c r="H1047" i="51" a="1"/>
  <c r="H1047" i="51" s="1"/>
  <c r="I1047" i="51"/>
  <c r="J1047" i="51"/>
  <c r="K1047" i="51"/>
  <c r="L1047" i="51"/>
  <c r="A1048" i="51"/>
  <c r="B1048" i="51"/>
  <c r="C1048" i="51"/>
  <c r="D1048" i="51"/>
  <c r="E1048" i="51"/>
  <c r="F1048" i="51"/>
  <c r="G1048" i="51" a="1"/>
  <c r="G1048" i="51" s="1"/>
  <c r="H1048" i="51" a="1"/>
  <c r="H1048" i="51"/>
  <c r="I1048" i="51"/>
  <c r="J1048" i="51"/>
  <c r="K1048" i="51"/>
  <c r="L1048" i="51"/>
  <c r="A1049" i="51"/>
  <c r="B1049" i="51"/>
  <c r="C1049" i="51"/>
  <c r="D1049" i="51"/>
  <c r="E1049" i="51"/>
  <c r="F1049" i="51"/>
  <c r="G1049" i="51" a="1"/>
  <c r="G1049" i="51"/>
  <c r="H1049" i="51" a="1"/>
  <c r="H1049" i="51" s="1"/>
  <c r="I1049" i="51"/>
  <c r="J1049" i="51"/>
  <c r="K1049" i="51"/>
  <c r="L1049" i="51"/>
  <c r="A1050" i="51"/>
  <c r="B1050" i="51"/>
  <c r="C1050" i="51"/>
  <c r="D1050" i="51"/>
  <c r="E1050" i="51"/>
  <c r="F1050" i="51"/>
  <c r="G1050" i="51" a="1"/>
  <c r="G1050" i="51" s="1"/>
  <c r="H1050" i="51" a="1"/>
  <c r="H1050" i="51" s="1"/>
  <c r="I1050" i="51"/>
  <c r="J1050" i="51"/>
  <c r="K1050" i="51"/>
  <c r="L1050" i="51"/>
  <c r="A1051" i="51"/>
  <c r="B1051" i="51"/>
  <c r="C1051" i="51"/>
  <c r="D1051" i="51"/>
  <c r="E1051" i="51"/>
  <c r="F1051" i="51"/>
  <c r="G1051" i="51" a="1"/>
  <c r="G1051" i="51" s="1"/>
  <c r="H1051" i="51" a="1"/>
  <c r="H1051" i="51" s="1"/>
  <c r="I1051" i="51"/>
  <c r="J1051" i="51"/>
  <c r="K1051" i="51"/>
  <c r="L1051" i="51"/>
  <c r="A1052" i="51"/>
  <c r="B1052" i="51"/>
  <c r="C1052" i="51"/>
  <c r="D1052" i="51"/>
  <c r="E1052" i="51"/>
  <c r="F1052" i="51"/>
  <c r="G1052" i="51" a="1"/>
  <c r="G1052" i="51" s="1"/>
  <c r="H1052" i="51" a="1"/>
  <c r="H1052" i="51" s="1"/>
  <c r="I1052" i="51"/>
  <c r="J1052" i="51"/>
  <c r="K1052" i="51"/>
  <c r="L1052" i="51"/>
  <c r="A1053" i="51"/>
  <c r="B1053" i="51"/>
  <c r="C1053" i="51"/>
  <c r="D1053" i="51"/>
  <c r="E1053" i="51"/>
  <c r="F1053" i="51"/>
  <c r="G1053" i="51" a="1"/>
  <c r="G1053" i="51" s="1"/>
  <c r="H1053" i="51" a="1"/>
  <c r="H1053" i="51" s="1"/>
  <c r="I1053" i="51"/>
  <c r="J1053" i="51"/>
  <c r="K1053" i="51"/>
  <c r="L1053" i="51"/>
  <c r="A1054" i="51"/>
  <c r="B1054" i="51"/>
  <c r="C1054" i="51"/>
  <c r="D1054" i="51"/>
  <c r="E1054" i="51"/>
  <c r="F1054" i="51"/>
  <c r="G1054" i="51" a="1"/>
  <c r="G1054" i="51" s="1"/>
  <c r="H1054" i="51" a="1"/>
  <c r="H1054" i="51" s="1"/>
  <c r="I1054" i="51"/>
  <c r="J1054" i="51"/>
  <c r="K1054" i="51"/>
  <c r="L1054" i="51"/>
  <c r="A1055" i="51"/>
  <c r="B1055" i="51"/>
  <c r="C1055" i="51"/>
  <c r="D1055" i="51"/>
  <c r="E1055" i="51"/>
  <c r="F1055" i="51"/>
  <c r="G1055" i="51" a="1"/>
  <c r="G1055" i="51" s="1"/>
  <c r="H1055" i="51" a="1"/>
  <c r="H1055" i="51" s="1"/>
  <c r="I1055" i="51"/>
  <c r="J1055" i="51"/>
  <c r="K1055" i="51"/>
  <c r="L1055" i="51"/>
  <c r="A1056" i="51"/>
  <c r="B1056" i="51"/>
  <c r="C1056" i="51"/>
  <c r="D1056" i="51"/>
  <c r="E1056" i="51"/>
  <c r="F1056" i="51"/>
  <c r="G1056" i="51" a="1"/>
  <c r="G1056" i="51" s="1"/>
  <c r="H1056" i="51" a="1"/>
  <c r="H1056" i="51"/>
  <c r="I1056" i="51"/>
  <c r="J1056" i="51"/>
  <c r="K1056" i="51"/>
  <c r="L1056" i="51"/>
  <c r="A1057" i="51"/>
  <c r="B1057" i="51"/>
  <c r="C1057" i="51"/>
  <c r="D1057" i="51"/>
  <c r="E1057" i="51"/>
  <c r="F1057" i="51"/>
  <c r="G1057" i="51" a="1"/>
  <c r="G1057" i="51"/>
  <c r="H1057" i="51" a="1"/>
  <c r="H1057" i="51" s="1"/>
  <c r="I1057" i="51"/>
  <c r="J1057" i="51"/>
  <c r="K1057" i="51"/>
  <c r="L1057" i="51"/>
  <c r="A1058" i="51"/>
  <c r="B1058" i="51"/>
  <c r="C1058" i="51"/>
  <c r="D1058" i="51"/>
  <c r="E1058" i="51"/>
  <c r="F1058" i="51"/>
  <c r="G1058" i="51" a="1"/>
  <c r="G1058" i="51" s="1"/>
  <c r="H1058" i="51" a="1"/>
  <c r="H1058" i="51" s="1"/>
  <c r="I1058" i="51"/>
  <c r="J1058" i="51"/>
  <c r="K1058" i="51"/>
  <c r="L1058" i="51"/>
  <c r="A1059" i="51"/>
  <c r="B1059" i="51"/>
  <c r="C1059" i="51"/>
  <c r="D1059" i="51"/>
  <c r="E1059" i="51"/>
  <c r="F1059" i="51"/>
  <c r="G1059" i="51" a="1"/>
  <c r="G1059" i="51" s="1"/>
  <c r="H1059" i="51" a="1"/>
  <c r="H1059" i="51" s="1"/>
  <c r="I1059" i="51"/>
  <c r="J1059" i="51"/>
  <c r="K1059" i="51"/>
  <c r="L1059" i="51"/>
  <c r="A1060" i="51"/>
  <c r="B1060" i="51"/>
  <c r="C1060" i="51"/>
  <c r="D1060" i="51"/>
  <c r="E1060" i="51"/>
  <c r="F1060" i="51"/>
  <c r="G1060" i="51" a="1"/>
  <c r="G1060" i="51" s="1"/>
  <c r="H1060" i="51" a="1"/>
  <c r="H1060" i="51" s="1"/>
  <c r="I1060" i="51"/>
  <c r="J1060" i="51"/>
  <c r="K1060" i="51"/>
  <c r="L1060" i="51"/>
  <c r="A1061" i="51"/>
  <c r="B1061" i="51"/>
  <c r="C1061" i="51"/>
  <c r="D1061" i="51"/>
  <c r="E1061" i="51"/>
  <c r="F1061" i="51"/>
  <c r="G1061" i="51" a="1"/>
  <c r="G1061" i="51" s="1"/>
  <c r="H1061" i="51" a="1"/>
  <c r="H1061" i="51" s="1"/>
  <c r="I1061" i="51"/>
  <c r="J1061" i="51"/>
  <c r="K1061" i="51"/>
  <c r="L1061" i="51"/>
  <c r="A1062" i="51"/>
  <c r="B1062" i="51"/>
  <c r="C1062" i="51"/>
  <c r="D1062" i="51"/>
  <c r="E1062" i="51"/>
  <c r="F1062" i="51"/>
  <c r="G1062" i="51" a="1"/>
  <c r="G1062" i="51" s="1"/>
  <c r="H1062" i="51" a="1"/>
  <c r="H1062" i="51" s="1"/>
  <c r="I1062" i="51"/>
  <c r="J1062" i="51"/>
  <c r="K1062" i="51"/>
  <c r="L1062" i="51"/>
  <c r="A1063" i="51"/>
  <c r="B1063" i="51"/>
  <c r="C1063" i="51"/>
  <c r="D1063" i="51"/>
  <c r="E1063" i="51"/>
  <c r="F1063" i="51"/>
  <c r="G1063" i="51" a="1"/>
  <c r="G1063" i="51" s="1"/>
  <c r="H1063" i="51" a="1"/>
  <c r="H1063" i="51" s="1"/>
  <c r="I1063" i="51"/>
  <c r="J1063" i="51"/>
  <c r="K1063" i="51"/>
  <c r="L1063" i="51"/>
  <c r="A1064" i="51"/>
  <c r="B1064" i="51"/>
  <c r="C1064" i="51"/>
  <c r="D1064" i="51"/>
  <c r="E1064" i="51"/>
  <c r="F1064" i="51"/>
  <c r="G1064" i="51" a="1"/>
  <c r="G1064" i="51" s="1"/>
  <c r="H1064" i="51" a="1"/>
  <c r="H1064" i="51"/>
  <c r="I1064" i="51"/>
  <c r="J1064" i="51"/>
  <c r="K1064" i="51"/>
  <c r="L1064" i="51"/>
  <c r="A1065" i="51"/>
  <c r="B1065" i="51"/>
  <c r="C1065" i="51"/>
  <c r="D1065" i="51"/>
  <c r="E1065" i="51"/>
  <c r="F1065" i="51"/>
  <c r="G1065" i="51" a="1"/>
  <c r="G1065" i="51"/>
  <c r="H1065" i="51" a="1"/>
  <c r="H1065" i="51" s="1"/>
  <c r="I1065" i="51"/>
  <c r="J1065" i="51"/>
  <c r="K1065" i="51"/>
  <c r="L1065" i="51"/>
  <c r="A1066" i="51"/>
  <c r="B1066" i="51"/>
  <c r="C1066" i="51"/>
  <c r="D1066" i="51"/>
  <c r="E1066" i="51"/>
  <c r="F1066" i="51"/>
  <c r="G1066" i="51" a="1"/>
  <c r="G1066" i="51" s="1"/>
  <c r="H1066" i="51" a="1"/>
  <c r="H1066" i="51" s="1"/>
  <c r="I1066" i="51"/>
  <c r="J1066" i="51"/>
  <c r="K1066" i="51"/>
  <c r="L1066" i="51"/>
  <c r="A1067" i="51"/>
  <c r="B1067" i="51"/>
  <c r="C1067" i="51"/>
  <c r="D1067" i="51"/>
  <c r="E1067" i="51"/>
  <c r="F1067" i="51"/>
  <c r="G1067" i="51" a="1"/>
  <c r="G1067" i="51" s="1"/>
  <c r="H1067" i="51" a="1"/>
  <c r="H1067" i="51" s="1"/>
  <c r="I1067" i="51"/>
  <c r="J1067" i="51"/>
  <c r="K1067" i="51"/>
  <c r="L1067" i="51"/>
  <c r="A1068" i="51"/>
  <c r="B1068" i="51"/>
  <c r="C1068" i="51"/>
  <c r="D1068" i="51"/>
  <c r="E1068" i="51"/>
  <c r="F1068" i="51"/>
  <c r="G1068" i="51" a="1"/>
  <c r="G1068" i="51" s="1"/>
  <c r="H1068" i="51" a="1"/>
  <c r="H1068" i="51" s="1"/>
  <c r="I1068" i="51"/>
  <c r="J1068" i="51"/>
  <c r="K1068" i="51"/>
  <c r="L1068" i="51"/>
  <c r="A1069" i="51"/>
  <c r="B1069" i="51"/>
  <c r="C1069" i="51"/>
  <c r="D1069" i="51"/>
  <c r="E1069" i="51"/>
  <c r="F1069" i="51"/>
  <c r="G1069" i="51" a="1"/>
  <c r="G1069" i="51" s="1"/>
  <c r="H1069" i="51" a="1"/>
  <c r="H1069" i="51" s="1"/>
  <c r="I1069" i="51"/>
  <c r="J1069" i="51"/>
  <c r="K1069" i="51"/>
  <c r="L1069" i="51"/>
  <c r="A1070" i="51"/>
  <c r="B1070" i="51"/>
  <c r="C1070" i="51"/>
  <c r="D1070" i="51"/>
  <c r="E1070" i="51"/>
  <c r="F1070" i="51"/>
  <c r="G1070" i="51" a="1"/>
  <c r="G1070" i="51" s="1"/>
  <c r="H1070" i="51" a="1"/>
  <c r="H1070" i="51" s="1"/>
  <c r="I1070" i="51"/>
  <c r="J1070" i="51"/>
  <c r="K1070" i="51"/>
  <c r="L1070" i="51"/>
  <c r="A1071" i="51"/>
  <c r="B1071" i="51"/>
  <c r="C1071" i="51"/>
  <c r="D1071" i="51"/>
  <c r="E1071" i="51"/>
  <c r="F1071" i="51"/>
  <c r="G1071" i="51" a="1"/>
  <c r="G1071" i="51" s="1"/>
  <c r="H1071" i="51" a="1"/>
  <c r="H1071" i="51" s="1"/>
  <c r="I1071" i="51"/>
  <c r="J1071" i="51"/>
  <c r="K1071" i="51"/>
  <c r="L1071" i="51"/>
  <c r="A1072" i="51"/>
  <c r="B1072" i="51"/>
  <c r="C1072" i="51"/>
  <c r="D1072" i="51"/>
  <c r="E1072" i="51"/>
  <c r="F1072" i="51"/>
  <c r="G1072" i="51" a="1"/>
  <c r="G1072" i="51" s="1"/>
  <c r="H1072" i="51" a="1"/>
  <c r="H1072" i="51"/>
  <c r="I1072" i="51"/>
  <c r="J1072" i="51"/>
  <c r="K1072" i="51"/>
  <c r="L1072" i="51"/>
  <c r="A1073" i="51"/>
  <c r="B1073" i="51"/>
  <c r="C1073" i="51"/>
  <c r="D1073" i="51"/>
  <c r="E1073" i="51"/>
  <c r="F1073" i="51"/>
  <c r="G1073" i="51" a="1"/>
  <c r="G1073" i="51"/>
  <c r="H1073" i="51" a="1"/>
  <c r="H1073" i="51" s="1"/>
  <c r="I1073" i="51"/>
  <c r="J1073" i="51"/>
  <c r="K1073" i="51"/>
  <c r="L1073" i="51"/>
  <c r="A1074" i="51"/>
  <c r="B1074" i="51"/>
  <c r="C1074" i="51"/>
  <c r="D1074" i="51"/>
  <c r="E1074" i="51"/>
  <c r="F1074" i="51"/>
  <c r="G1074" i="51" a="1"/>
  <c r="G1074" i="51" s="1"/>
  <c r="H1074" i="51" a="1"/>
  <c r="H1074" i="51" s="1"/>
  <c r="I1074" i="51"/>
  <c r="J1074" i="51"/>
  <c r="K1074" i="51"/>
  <c r="L1074" i="51"/>
  <c r="A1075" i="51"/>
  <c r="B1075" i="51"/>
  <c r="C1075" i="51"/>
  <c r="D1075" i="51"/>
  <c r="E1075" i="51"/>
  <c r="F1075" i="51"/>
  <c r="G1075" i="51" a="1"/>
  <c r="G1075" i="51" s="1"/>
  <c r="H1075" i="51" a="1"/>
  <c r="H1075" i="51" s="1"/>
  <c r="I1075" i="51"/>
  <c r="J1075" i="51"/>
  <c r="K1075" i="51"/>
  <c r="L1075" i="51"/>
  <c r="A1076" i="51"/>
  <c r="B1076" i="51"/>
  <c r="C1076" i="51"/>
  <c r="D1076" i="51"/>
  <c r="E1076" i="51"/>
  <c r="F1076" i="51"/>
  <c r="G1076" i="51" a="1"/>
  <c r="G1076" i="51" s="1"/>
  <c r="H1076" i="51" a="1"/>
  <c r="H1076" i="51" s="1"/>
  <c r="I1076" i="51"/>
  <c r="J1076" i="51"/>
  <c r="K1076" i="51"/>
  <c r="L1076" i="51"/>
  <c r="A1077" i="51"/>
  <c r="B1077" i="51"/>
  <c r="C1077" i="51"/>
  <c r="D1077" i="51"/>
  <c r="E1077" i="51"/>
  <c r="F1077" i="51"/>
  <c r="G1077" i="51" a="1"/>
  <c r="G1077" i="51" s="1"/>
  <c r="H1077" i="51" a="1"/>
  <c r="H1077" i="51" s="1"/>
  <c r="I1077" i="51"/>
  <c r="J1077" i="51"/>
  <c r="K1077" i="51"/>
  <c r="L1077" i="51"/>
  <c r="A1078" i="51"/>
  <c r="B1078" i="51"/>
  <c r="C1078" i="51"/>
  <c r="D1078" i="51"/>
  <c r="E1078" i="51"/>
  <c r="F1078" i="51"/>
  <c r="G1078" i="51" a="1"/>
  <c r="G1078" i="51" s="1"/>
  <c r="H1078" i="51" a="1"/>
  <c r="H1078" i="51" s="1"/>
  <c r="I1078" i="51"/>
  <c r="J1078" i="51"/>
  <c r="K1078" i="51"/>
  <c r="L1078" i="51"/>
  <c r="A1079" i="51"/>
  <c r="B1079" i="51"/>
  <c r="C1079" i="51"/>
  <c r="D1079" i="51"/>
  <c r="E1079" i="51"/>
  <c r="F1079" i="51"/>
  <c r="G1079" i="51" a="1"/>
  <c r="G1079" i="51" s="1"/>
  <c r="H1079" i="51" a="1"/>
  <c r="H1079" i="51" s="1"/>
  <c r="I1079" i="51"/>
  <c r="J1079" i="51"/>
  <c r="K1079" i="51"/>
  <c r="L1079" i="51"/>
  <c r="A1080" i="51"/>
  <c r="B1080" i="51"/>
  <c r="C1080" i="51"/>
  <c r="D1080" i="51"/>
  <c r="E1080" i="51"/>
  <c r="F1080" i="51"/>
  <c r="G1080" i="51" a="1"/>
  <c r="G1080" i="51" s="1"/>
  <c r="H1080" i="51" a="1"/>
  <c r="H1080" i="51" s="1"/>
  <c r="I1080" i="51"/>
  <c r="J1080" i="51"/>
  <c r="K1080" i="51"/>
  <c r="L1080" i="51"/>
  <c r="A1081" i="51"/>
  <c r="B1081" i="51"/>
  <c r="C1081" i="51"/>
  <c r="D1081" i="51"/>
  <c r="E1081" i="51"/>
  <c r="F1081" i="51"/>
  <c r="G1081" i="51" a="1"/>
  <c r="G1081" i="51"/>
  <c r="H1081" i="51" a="1"/>
  <c r="H1081" i="51" s="1"/>
  <c r="I1081" i="51"/>
  <c r="J1081" i="51"/>
  <c r="K1081" i="51"/>
  <c r="L1081" i="51"/>
  <c r="A1082" i="51"/>
  <c r="B1082" i="51"/>
  <c r="C1082" i="51"/>
  <c r="D1082" i="51"/>
  <c r="E1082" i="51"/>
  <c r="F1082" i="51"/>
  <c r="G1082" i="51" a="1"/>
  <c r="G1082" i="51"/>
  <c r="H1082" i="51" a="1"/>
  <c r="H1082" i="51" s="1"/>
  <c r="I1082" i="51"/>
  <c r="J1082" i="51"/>
  <c r="K1082" i="51"/>
  <c r="L1082" i="51"/>
  <c r="A1083" i="51"/>
  <c r="B1083" i="51"/>
  <c r="C1083" i="51"/>
  <c r="D1083" i="51"/>
  <c r="E1083" i="51"/>
  <c r="F1083" i="51"/>
  <c r="G1083" i="51" a="1"/>
  <c r="G1083" i="51" s="1"/>
  <c r="H1083" i="51" a="1"/>
  <c r="H1083" i="51" s="1"/>
  <c r="I1083" i="51"/>
  <c r="J1083" i="51"/>
  <c r="K1083" i="51"/>
  <c r="L1083" i="51"/>
  <c r="A1084" i="51"/>
  <c r="B1084" i="51"/>
  <c r="C1084" i="51"/>
  <c r="D1084" i="51"/>
  <c r="E1084" i="51"/>
  <c r="F1084" i="51"/>
  <c r="G1084" i="51" a="1"/>
  <c r="G1084" i="51" s="1"/>
  <c r="H1084" i="51" a="1"/>
  <c r="H1084" i="51" s="1"/>
  <c r="I1084" i="51"/>
  <c r="J1084" i="51"/>
  <c r="K1084" i="51"/>
  <c r="L1084" i="51"/>
  <c r="A1085" i="51"/>
  <c r="B1085" i="51"/>
  <c r="C1085" i="51"/>
  <c r="D1085" i="51"/>
  <c r="E1085" i="51"/>
  <c r="F1085" i="51"/>
  <c r="G1085" i="51" a="1"/>
  <c r="G1085" i="51" s="1"/>
  <c r="H1085" i="51" a="1"/>
  <c r="H1085" i="51" s="1"/>
  <c r="I1085" i="51"/>
  <c r="J1085" i="51"/>
  <c r="K1085" i="51"/>
  <c r="L1085" i="51"/>
  <c r="A1086" i="51"/>
  <c r="B1086" i="51"/>
  <c r="C1086" i="51"/>
  <c r="D1086" i="51"/>
  <c r="E1086" i="51"/>
  <c r="F1086" i="51"/>
  <c r="G1086" i="51" a="1"/>
  <c r="G1086" i="51" s="1"/>
  <c r="H1086" i="51" a="1"/>
  <c r="H1086" i="51" s="1"/>
  <c r="I1086" i="51"/>
  <c r="J1086" i="51"/>
  <c r="K1086" i="51"/>
  <c r="L1086" i="51"/>
  <c r="A1087" i="51"/>
  <c r="B1087" i="51"/>
  <c r="C1087" i="51"/>
  <c r="D1087" i="51"/>
  <c r="E1087" i="51"/>
  <c r="F1087" i="51"/>
  <c r="G1087" i="51" a="1"/>
  <c r="G1087" i="51" s="1"/>
  <c r="H1087" i="51" a="1"/>
  <c r="H1087" i="51"/>
  <c r="I1087" i="51"/>
  <c r="J1087" i="51"/>
  <c r="K1087" i="51"/>
  <c r="L1087" i="51"/>
  <c r="A1088" i="51"/>
  <c r="B1088" i="51"/>
  <c r="C1088" i="51"/>
  <c r="D1088" i="51"/>
  <c r="E1088" i="51"/>
  <c r="F1088" i="51"/>
  <c r="G1088" i="51" a="1"/>
  <c r="G1088" i="51" s="1"/>
  <c r="H1088" i="51" a="1"/>
  <c r="H1088" i="51"/>
  <c r="I1088" i="51"/>
  <c r="J1088" i="51"/>
  <c r="K1088" i="51"/>
  <c r="L1088" i="51"/>
  <c r="A1089" i="51"/>
  <c r="B1089" i="51"/>
  <c r="C1089" i="51"/>
  <c r="D1089" i="51"/>
  <c r="E1089" i="51"/>
  <c r="F1089" i="51"/>
  <c r="G1089" i="51" a="1"/>
  <c r="G1089" i="51" s="1"/>
  <c r="H1089" i="51" a="1"/>
  <c r="H1089" i="51" s="1"/>
  <c r="I1089" i="51"/>
  <c r="J1089" i="51"/>
  <c r="K1089" i="51"/>
  <c r="L1089" i="51"/>
  <c r="A1090" i="51"/>
  <c r="B1090" i="51"/>
  <c r="C1090" i="51"/>
  <c r="D1090" i="51"/>
  <c r="E1090" i="51"/>
  <c r="F1090" i="51"/>
  <c r="G1090" i="51" a="1"/>
  <c r="G1090" i="51" s="1"/>
  <c r="H1090" i="51" a="1"/>
  <c r="H1090" i="51" s="1"/>
  <c r="I1090" i="51"/>
  <c r="J1090" i="51"/>
  <c r="K1090" i="51"/>
  <c r="L1090" i="51"/>
  <c r="A1091" i="51"/>
  <c r="B1091" i="51"/>
  <c r="C1091" i="51"/>
  <c r="D1091" i="51"/>
  <c r="E1091" i="51"/>
  <c r="F1091" i="51"/>
  <c r="G1091" i="51" a="1"/>
  <c r="G1091" i="51" s="1"/>
  <c r="H1091" i="51" a="1"/>
  <c r="H1091" i="51" s="1"/>
  <c r="I1091" i="51"/>
  <c r="J1091" i="51"/>
  <c r="K1091" i="51"/>
  <c r="L1091" i="51"/>
  <c r="A1092" i="51"/>
  <c r="B1092" i="51"/>
  <c r="C1092" i="51"/>
  <c r="D1092" i="51"/>
  <c r="E1092" i="51"/>
  <c r="F1092" i="51"/>
  <c r="G1092" i="51" a="1"/>
  <c r="G1092" i="51" s="1"/>
  <c r="H1092" i="51" a="1"/>
  <c r="H1092" i="51" s="1"/>
  <c r="I1092" i="51"/>
  <c r="J1092" i="51"/>
  <c r="K1092" i="51"/>
  <c r="L1092" i="51"/>
  <c r="A1093" i="51"/>
  <c r="B1093" i="51"/>
  <c r="C1093" i="51"/>
  <c r="D1093" i="51"/>
  <c r="E1093" i="51"/>
  <c r="F1093" i="51"/>
  <c r="G1093" i="51" a="1"/>
  <c r="G1093" i="51" s="1"/>
  <c r="H1093" i="51" a="1"/>
  <c r="H1093" i="51" s="1"/>
  <c r="I1093" i="51"/>
  <c r="J1093" i="51"/>
  <c r="K1093" i="51"/>
  <c r="L1093" i="51"/>
  <c r="A1094" i="51"/>
  <c r="B1094" i="51"/>
  <c r="C1094" i="51"/>
  <c r="D1094" i="51"/>
  <c r="E1094" i="51"/>
  <c r="F1094" i="51"/>
  <c r="G1094" i="51" a="1"/>
  <c r="G1094" i="51" s="1"/>
  <c r="H1094" i="51" a="1"/>
  <c r="H1094" i="51" s="1"/>
  <c r="I1094" i="51"/>
  <c r="J1094" i="51"/>
  <c r="K1094" i="51"/>
  <c r="L1094" i="51"/>
  <c r="A1095" i="51"/>
  <c r="B1095" i="51"/>
  <c r="C1095" i="51"/>
  <c r="D1095" i="51"/>
  <c r="E1095" i="51"/>
  <c r="F1095" i="51"/>
  <c r="G1095" i="51" a="1"/>
  <c r="G1095" i="51" s="1"/>
  <c r="H1095" i="51" a="1"/>
  <c r="H1095" i="51" s="1"/>
  <c r="I1095" i="51"/>
  <c r="J1095" i="51"/>
  <c r="K1095" i="51"/>
  <c r="L1095" i="51"/>
  <c r="A1096" i="51"/>
  <c r="B1096" i="51"/>
  <c r="C1096" i="51"/>
  <c r="D1096" i="51"/>
  <c r="E1096" i="51"/>
  <c r="F1096" i="51"/>
  <c r="G1096" i="51" a="1"/>
  <c r="G1096" i="51" s="1"/>
  <c r="H1096" i="51" a="1"/>
  <c r="H1096" i="51" s="1"/>
  <c r="I1096" i="51"/>
  <c r="J1096" i="51"/>
  <c r="K1096" i="51"/>
  <c r="L1096" i="51"/>
  <c r="A1097" i="51"/>
  <c r="B1097" i="51"/>
  <c r="C1097" i="51"/>
  <c r="D1097" i="51"/>
  <c r="E1097" i="51"/>
  <c r="F1097" i="51"/>
  <c r="G1097" i="51" a="1"/>
  <c r="G1097" i="51"/>
  <c r="H1097" i="51" a="1"/>
  <c r="H1097" i="51" s="1"/>
  <c r="I1097" i="51"/>
  <c r="J1097" i="51"/>
  <c r="K1097" i="51"/>
  <c r="L1097" i="51"/>
  <c r="A1098" i="51"/>
  <c r="B1098" i="51"/>
  <c r="C1098" i="51"/>
  <c r="D1098" i="51"/>
  <c r="E1098" i="51"/>
  <c r="F1098" i="51"/>
  <c r="G1098" i="51" a="1"/>
  <c r="G1098" i="51"/>
  <c r="H1098" i="51" a="1"/>
  <c r="H1098" i="51" s="1"/>
  <c r="I1098" i="51"/>
  <c r="J1098" i="51"/>
  <c r="K1098" i="51"/>
  <c r="L1098" i="51"/>
  <c r="A1099" i="51"/>
  <c r="B1099" i="51"/>
  <c r="C1099" i="51"/>
  <c r="D1099" i="51"/>
  <c r="E1099" i="51"/>
  <c r="F1099" i="51"/>
  <c r="G1099" i="51" a="1"/>
  <c r="G1099" i="51" s="1"/>
  <c r="H1099" i="51" a="1"/>
  <c r="H1099" i="51" s="1"/>
  <c r="I1099" i="51"/>
  <c r="J1099" i="51"/>
  <c r="K1099" i="51"/>
  <c r="L1099" i="51"/>
  <c r="A1100" i="51"/>
  <c r="B1100" i="51"/>
  <c r="C1100" i="51"/>
  <c r="D1100" i="51"/>
  <c r="E1100" i="51"/>
  <c r="F1100" i="51"/>
  <c r="G1100" i="51" a="1"/>
  <c r="G1100" i="51" s="1"/>
  <c r="H1100" i="51" a="1"/>
  <c r="H1100" i="51" s="1"/>
  <c r="I1100" i="51"/>
  <c r="J1100" i="51"/>
  <c r="K1100" i="51"/>
  <c r="L1100" i="51"/>
  <c r="A1101" i="51"/>
  <c r="B1101" i="51"/>
  <c r="C1101" i="51"/>
  <c r="D1101" i="51"/>
  <c r="E1101" i="51"/>
  <c r="F1101" i="51"/>
  <c r="G1101" i="51" a="1"/>
  <c r="G1101" i="51" s="1"/>
  <c r="H1101" i="51" a="1"/>
  <c r="H1101" i="51" s="1"/>
  <c r="I1101" i="51"/>
  <c r="J1101" i="51"/>
  <c r="K1101" i="51"/>
  <c r="L1101" i="51"/>
  <c r="A1102" i="51"/>
  <c r="B1102" i="51"/>
  <c r="C1102" i="51"/>
  <c r="D1102" i="51"/>
  <c r="E1102" i="51"/>
  <c r="F1102" i="51"/>
  <c r="G1102" i="51" a="1"/>
  <c r="G1102" i="51" s="1"/>
  <c r="H1102" i="51" a="1"/>
  <c r="H1102" i="51" s="1"/>
  <c r="I1102" i="51"/>
  <c r="J1102" i="51"/>
  <c r="K1102" i="51"/>
  <c r="L1102" i="51"/>
  <c r="A1103" i="51"/>
  <c r="B1103" i="51"/>
  <c r="C1103" i="51"/>
  <c r="D1103" i="51"/>
  <c r="E1103" i="51"/>
  <c r="F1103" i="51"/>
  <c r="G1103" i="51" a="1"/>
  <c r="G1103" i="51" s="1"/>
  <c r="H1103" i="51" a="1"/>
  <c r="H1103" i="51" s="1"/>
  <c r="I1103" i="51"/>
  <c r="J1103" i="51"/>
  <c r="K1103" i="51"/>
  <c r="L1103" i="51"/>
  <c r="A1104" i="51"/>
  <c r="B1104" i="51"/>
  <c r="C1104" i="51"/>
  <c r="D1104" i="51"/>
  <c r="E1104" i="51"/>
  <c r="F1104" i="51"/>
  <c r="G1104" i="51" a="1"/>
  <c r="G1104" i="51" s="1"/>
  <c r="H1104" i="51" a="1"/>
  <c r="H1104" i="51" s="1"/>
  <c r="I1104" i="51"/>
  <c r="J1104" i="51"/>
  <c r="K1104" i="51"/>
  <c r="L1104" i="51"/>
  <c r="A1105" i="51"/>
  <c r="B1105" i="51"/>
  <c r="C1105" i="51"/>
  <c r="D1105" i="51"/>
  <c r="E1105" i="51"/>
  <c r="F1105" i="51"/>
  <c r="G1105" i="51" a="1"/>
  <c r="G1105" i="51" s="1"/>
  <c r="H1105" i="51" a="1"/>
  <c r="H1105" i="51"/>
  <c r="I1105" i="51"/>
  <c r="J1105" i="51"/>
  <c r="K1105" i="51"/>
  <c r="L1105" i="51"/>
  <c r="A1106" i="51"/>
  <c r="B1106" i="51"/>
  <c r="C1106" i="51"/>
  <c r="D1106" i="51"/>
  <c r="E1106" i="51"/>
  <c r="F1106" i="51"/>
  <c r="G1106" i="51" a="1"/>
  <c r="G1106" i="51"/>
  <c r="H1106" i="51" a="1"/>
  <c r="H1106" i="51" s="1"/>
  <c r="I1106" i="51"/>
  <c r="J1106" i="51"/>
  <c r="K1106" i="51"/>
  <c r="L1106" i="51"/>
  <c r="A1107" i="51"/>
  <c r="B1107" i="51"/>
  <c r="C1107" i="51"/>
  <c r="D1107" i="51"/>
  <c r="E1107" i="51"/>
  <c r="F1107" i="51"/>
  <c r="G1107" i="51" a="1"/>
  <c r="G1107" i="51" s="1"/>
  <c r="H1107" i="51" a="1"/>
  <c r="H1107" i="51" s="1"/>
  <c r="I1107" i="51"/>
  <c r="J1107" i="51"/>
  <c r="K1107" i="51"/>
  <c r="L1107" i="51"/>
  <c r="A1108" i="51"/>
  <c r="B1108" i="51"/>
  <c r="C1108" i="51"/>
  <c r="D1108" i="51"/>
  <c r="E1108" i="51"/>
  <c r="F1108" i="51"/>
  <c r="G1108" i="51" a="1"/>
  <c r="G1108" i="51" s="1"/>
  <c r="H1108" i="51" a="1"/>
  <c r="H1108" i="51" s="1"/>
  <c r="I1108" i="51"/>
  <c r="J1108" i="51"/>
  <c r="K1108" i="51"/>
  <c r="L1108" i="51"/>
  <c r="A1109" i="51"/>
  <c r="B1109" i="51"/>
  <c r="C1109" i="51"/>
  <c r="D1109" i="51"/>
  <c r="E1109" i="51"/>
  <c r="F1109" i="51"/>
  <c r="G1109" i="51" a="1"/>
  <c r="G1109" i="51" s="1"/>
  <c r="H1109" i="51" a="1"/>
  <c r="H1109" i="51" s="1"/>
  <c r="I1109" i="51"/>
  <c r="J1109" i="51"/>
  <c r="K1109" i="51"/>
  <c r="L1109" i="51"/>
  <c r="A1110" i="51"/>
  <c r="B1110" i="51"/>
  <c r="C1110" i="51"/>
  <c r="D1110" i="51"/>
  <c r="E1110" i="51"/>
  <c r="F1110" i="51"/>
  <c r="G1110" i="51" a="1"/>
  <c r="G1110" i="51" s="1"/>
  <c r="H1110" i="51" a="1"/>
  <c r="H1110" i="51" s="1"/>
  <c r="I1110" i="51"/>
  <c r="J1110" i="51"/>
  <c r="K1110" i="51"/>
  <c r="L1110" i="51"/>
  <c r="A1111" i="51"/>
  <c r="B1111" i="51"/>
  <c r="C1111" i="51"/>
  <c r="D1111" i="51"/>
  <c r="E1111" i="51"/>
  <c r="F1111" i="51"/>
  <c r="G1111" i="51" a="1"/>
  <c r="G1111" i="51" s="1"/>
  <c r="H1111" i="51" a="1"/>
  <c r="H1111" i="51" s="1"/>
  <c r="I1111" i="51"/>
  <c r="J1111" i="51"/>
  <c r="K1111" i="51"/>
  <c r="L1111" i="51"/>
  <c r="A1112" i="51"/>
  <c r="B1112" i="51"/>
  <c r="C1112" i="51"/>
  <c r="D1112" i="51"/>
  <c r="E1112" i="51"/>
  <c r="F1112" i="51"/>
  <c r="G1112" i="51" a="1"/>
  <c r="G1112" i="51" s="1"/>
  <c r="H1112" i="51" a="1"/>
  <c r="H1112" i="51" s="1"/>
  <c r="I1112" i="51"/>
  <c r="J1112" i="51"/>
  <c r="K1112" i="51"/>
  <c r="L1112" i="51"/>
  <c r="A1113" i="51"/>
  <c r="B1113" i="51"/>
  <c r="C1113" i="51"/>
  <c r="D1113" i="51"/>
  <c r="E1113" i="51"/>
  <c r="F1113" i="51"/>
  <c r="G1113" i="51" a="1"/>
  <c r="G1113" i="51" s="1"/>
  <c r="H1113" i="51" a="1"/>
  <c r="H1113" i="51"/>
  <c r="I1113" i="51"/>
  <c r="J1113" i="51"/>
  <c r="K1113" i="51"/>
  <c r="L1113" i="51"/>
  <c r="A1114" i="51"/>
  <c r="B1114" i="51"/>
  <c r="C1114" i="51"/>
  <c r="D1114" i="51"/>
  <c r="E1114" i="51"/>
  <c r="F1114" i="51"/>
  <c r="G1114" i="51" a="1"/>
  <c r="G1114" i="51"/>
  <c r="H1114" i="51" a="1"/>
  <c r="H1114" i="51" s="1"/>
  <c r="I1114" i="51"/>
  <c r="J1114" i="51"/>
  <c r="K1114" i="51"/>
  <c r="L1114" i="51"/>
  <c r="A1115" i="51"/>
  <c r="B1115" i="51"/>
  <c r="C1115" i="51"/>
  <c r="D1115" i="51"/>
  <c r="E1115" i="51"/>
  <c r="F1115" i="51"/>
  <c r="G1115" i="51" a="1"/>
  <c r="G1115" i="51" s="1"/>
  <c r="H1115" i="51" a="1"/>
  <c r="H1115" i="51" s="1"/>
  <c r="I1115" i="51"/>
  <c r="J1115" i="51"/>
  <c r="K1115" i="51"/>
  <c r="L1115" i="51"/>
  <c r="A1116" i="51"/>
  <c r="B1116" i="51"/>
  <c r="C1116" i="51"/>
  <c r="D1116" i="51"/>
  <c r="E1116" i="51"/>
  <c r="F1116" i="51"/>
  <c r="G1116" i="51" a="1"/>
  <c r="G1116" i="51" s="1"/>
  <c r="H1116" i="51" a="1"/>
  <c r="H1116" i="51" s="1"/>
  <c r="I1116" i="51"/>
  <c r="J1116" i="51"/>
  <c r="K1116" i="51"/>
  <c r="L1116" i="51"/>
  <c r="A1117" i="51"/>
  <c r="B1117" i="51"/>
  <c r="C1117" i="51"/>
  <c r="D1117" i="51"/>
  <c r="E1117" i="51"/>
  <c r="F1117" i="51"/>
  <c r="G1117" i="51" a="1"/>
  <c r="G1117" i="51" s="1"/>
  <c r="H1117" i="51" a="1"/>
  <c r="H1117" i="51" s="1"/>
  <c r="I1117" i="51"/>
  <c r="J1117" i="51"/>
  <c r="K1117" i="51"/>
  <c r="L1117" i="51"/>
  <c r="A1118" i="51"/>
  <c r="B1118" i="51"/>
  <c r="C1118" i="51"/>
  <c r="D1118" i="51"/>
  <c r="E1118" i="51"/>
  <c r="F1118" i="51"/>
  <c r="G1118" i="51" a="1"/>
  <c r="G1118" i="51" s="1"/>
  <c r="H1118" i="51" a="1"/>
  <c r="H1118" i="51" s="1"/>
  <c r="I1118" i="51"/>
  <c r="J1118" i="51"/>
  <c r="K1118" i="51"/>
  <c r="L1118" i="51"/>
  <c r="A1119" i="51"/>
  <c r="B1119" i="51"/>
  <c r="C1119" i="51"/>
  <c r="D1119" i="51"/>
  <c r="E1119" i="51"/>
  <c r="F1119" i="51"/>
  <c r="G1119" i="51" a="1"/>
  <c r="G1119" i="51" s="1"/>
  <c r="H1119" i="51" a="1"/>
  <c r="H1119" i="51" s="1"/>
  <c r="I1119" i="51"/>
  <c r="J1119" i="51"/>
  <c r="K1119" i="51"/>
  <c r="L1119" i="51"/>
  <c r="A1120" i="51"/>
  <c r="B1120" i="51"/>
  <c r="C1120" i="51"/>
  <c r="D1120" i="51"/>
  <c r="E1120" i="51"/>
  <c r="F1120" i="51"/>
  <c r="G1120" i="51" a="1"/>
  <c r="G1120" i="51" s="1"/>
  <c r="H1120" i="51" a="1"/>
  <c r="H1120" i="51" s="1"/>
  <c r="I1120" i="51"/>
  <c r="J1120" i="51"/>
  <c r="K1120" i="51"/>
  <c r="L1120" i="51"/>
  <c r="A1121" i="51"/>
  <c r="B1121" i="51"/>
  <c r="C1121" i="51"/>
  <c r="D1121" i="51"/>
  <c r="E1121" i="51"/>
  <c r="F1121" i="51"/>
  <c r="G1121" i="51" a="1"/>
  <c r="G1121" i="51" s="1"/>
  <c r="H1121" i="51" a="1"/>
  <c r="H1121" i="51"/>
  <c r="I1121" i="51"/>
  <c r="J1121" i="51"/>
  <c r="K1121" i="51"/>
  <c r="L1121" i="51"/>
  <c r="A1122" i="51"/>
  <c r="B1122" i="51"/>
  <c r="C1122" i="51"/>
  <c r="D1122" i="51"/>
  <c r="E1122" i="51"/>
  <c r="F1122" i="51"/>
  <c r="G1122" i="51" a="1"/>
  <c r="G1122" i="51"/>
  <c r="H1122" i="51" a="1"/>
  <c r="H1122" i="51" s="1"/>
  <c r="I1122" i="51"/>
  <c r="J1122" i="51"/>
  <c r="K1122" i="51"/>
  <c r="L1122" i="51"/>
  <c r="A1123" i="51"/>
  <c r="B1123" i="51"/>
  <c r="C1123" i="51"/>
  <c r="D1123" i="51"/>
  <c r="E1123" i="51"/>
  <c r="F1123" i="51"/>
  <c r="G1123" i="51" a="1"/>
  <c r="G1123" i="51" s="1"/>
  <c r="H1123" i="51" a="1"/>
  <c r="H1123" i="51" s="1"/>
  <c r="I1123" i="51"/>
  <c r="J1123" i="51"/>
  <c r="K1123" i="51"/>
  <c r="L1123" i="51"/>
  <c r="A1124" i="51"/>
  <c r="B1124" i="51"/>
  <c r="C1124" i="51"/>
  <c r="D1124" i="51"/>
  <c r="E1124" i="51"/>
  <c r="F1124" i="51"/>
  <c r="G1124" i="51" a="1"/>
  <c r="G1124" i="51" s="1"/>
  <c r="H1124" i="51" a="1"/>
  <c r="H1124" i="51" s="1"/>
  <c r="I1124" i="51"/>
  <c r="J1124" i="51"/>
  <c r="K1124" i="51"/>
  <c r="L1124" i="51"/>
  <c r="A1125" i="51"/>
  <c r="B1125" i="51"/>
  <c r="C1125" i="51"/>
  <c r="D1125" i="51"/>
  <c r="E1125" i="51"/>
  <c r="F1125" i="51"/>
  <c r="G1125" i="51" a="1"/>
  <c r="G1125" i="51" s="1"/>
  <c r="H1125" i="51" a="1"/>
  <c r="H1125" i="51" s="1"/>
  <c r="I1125" i="51"/>
  <c r="J1125" i="51"/>
  <c r="K1125" i="51"/>
  <c r="L1125" i="51"/>
  <c r="A1126" i="51"/>
  <c r="B1126" i="51"/>
  <c r="C1126" i="51"/>
  <c r="D1126" i="51"/>
  <c r="E1126" i="51"/>
  <c r="F1126" i="51"/>
  <c r="G1126" i="51" a="1"/>
  <c r="G1126" i="51" s="1"/>
  <c r="H1126" i="51" a="1"/>
  <c r="H1126" i="51" s="1"/>
  <c r="I1126" i="51"/>
  <c r="J1126" i="51"/>
  <c r="K1126" i="51"/>
  <c r="L1126" i="51"/>
  <c r="A1127" i="51"/>
  <c r="B1127" i="51"/>
  <c r="C1127" i="51"/>
  <c r="D1127" i="51"/>
  <c r="E1127" i="51"/>
  <c r="F1127" i="51"/>
  <c r="G1127" i="51" a="1"/>
  <c r="G1127" i="51" s="1"/>
  <c r="H1127" i="51" a="1"/>
  <c r="H1127" i="51" s="1"/>
  <c r="I1127" i="51"/>
  <c r="J1127" i="51"/>
  <c r="K1127" i="51"/>
  <c r="L1127" i="51"/>
  <c r="A1128" i="51"/>
  <c r="B1128" i="51"/>
  <c r="C1128" i="51"/>
  <c r="D1128" i="51"/>
  <c r="E1128" i="51"/>
  <c r="F1128" i="51"/>
  <c r="G1128" i="51" a="1"/>
  <c r="G1128" i="51" s="1"/>
  <c r="H1128" i="51" a="1"/>
  <c r="H1128" i="51" s="1"/>
  <c r="I1128" i="51"/>
  <c r="J1128" i="51"/>
  <c r="K1128" i="51"/>
  <c r="L1128" i="51"/>
  <c r="A1129" i="51"/>
  <c r="B1129" i="51"/>
  <c r="C1129" i="51"/>
  <c r="D1129" i="51"/>
  <c r="E1129" i="51"/>
  <c r="F1129" i="51"/>
  <c r="G1129" i="51" a="1"/>
  <c r="G1129" i="51" s="1"/>
  <c r="H1129" i="51" a="1"/>
  <c r="H1129" i="51"/>
  <c r="I1129" i="51"/>
  <c r="J1129" i="51"/>
  <c r="K1129" i="51"/>
  <c r="L1129" i="51"/>
  <c r="A1130" i="51"/>
  <c r="B1130" i="51"/>
  <c r="C1130" i="51"/>
  <c r="D1130" i="51"/>
  <c r="E1130" i="51"/>
  <c r="F1130" i="51"/>
  <c r="G1130" i="51" a="1"/>
  <c r="G1130" i="51"/>
  <c r="H1130" i="51" a="1"/>
  <c r="H1130" i="51" s="1"/>
  <c r="I1130" i="51"/>
  <c r="J1130" i="51"/>
  <c r="K1130" i="51"/>
  <c r="L1130" i="51"/>
  <c r="A1131" i="51"/>
  <c r="B1131" i="51"/>
  <c r="C1131" i="51"/>
  <c r="D1131" i="51"/>
  <c r="E1131" i="51"/>
  <c r="F1131" i="51"/>
  <c r="G1131" i="51" a="1"/>
  <c r="G1131" i="51" s="1"/>
  <c r="H1131" i="51" a="1"/>
  <c r="H1131" i="51" s="1"/>
  <c r="I1131" i="51"/>
  <c r="J1131" i="51"/>
  <c r="K1131" i="51"/>
  <c r="L1131" i="51"/>
  <c r="A1132" i="51"/>
  <c r="B1132" i="51"/>
  <c r="C1132" i="51"/>
  <c r="D1132" i="51"/>
  <c r="E1132" i="51"/>
  <c r="F1132" i="51"/>
  <c r="G1132" i="51" a="1"/>
  <c r="G1132" i="51" s="1"/>
  <c r="H1132" i="51" a="1"/>
  <c r="H1132" i="51" s="1"/>
  <c r="I1132" i="51"/>
  <c r="J1132" i="51"/>
  <c r="K1132" i="51"/>
  <c r="L1132" i="51"/>
  <c r="A1133" i="51"/>
  <c r="B1133" i="51"/>
  <c r="C1133" i="51"/>
  <c r="D1133" i="51"/>
  <c r="E1133" i="51"/>
  <c r="F1133" i="51"/>
  <c r="G1133" i="51" a="1"/>
  <c r="G1133" i="51" s="1"/>
  <c r="H1133" i="51" a="1"/>
  <c r="H1133" i="51" s="1"/>
  <c r="I1133" i="51"/>
  <c r="J1133" i="51"/>
  <c r="K1133" i="51"/>
  <c r="L1133" i="51"/>
  <c r="A1134" i="51"/>
  <c r="B1134" i="51"/>
  <c r="C1134" i="51"/>
  <c r="D1134" i="51"/>
  <c r="E1134" i="51"/>
  <c r="F1134" i="51"/>
  <c r="G1134" i="51" a="1"/>
  <c r="G1134" i="51" s="1"/>
  <c r="H1134" i="51" a="1"/>
  <c r="H1134" i="51" s="1"/>
  <c r="I1134" i="51"/>
  <c r="J1134" i="51"/>
  <c r="K1134" i="51"/>
  <c r="L1134" i="51"/>
  <c r="A1135" i="51"/>
  <c r="B1135" i="51"/>
  <c r="C1135" i="51"/>
  <c r="D1135" i="51"/>
  <c r="E1135" i="51"/>
  <c r="F1135" i="51"/>
  <c r="G1135" i="51" a="1"/>
  <c r="G1135" i="51" s="1"/>
  <c r="H1135" i="51" a="1"/>
  <c r="H1135" i="51" s="1"/>
  <c r="I1135" i="51"/>
  <c r="J1135" i="51"/>
  <c r="K1135" i="51"/>
  <c r="L1135" i="51"/>
  <c r="A1136" i="51"/>
  <c r="B1136" i="51"/>
  <c r="C1136" i="51"/>
  <c r="D1136" i="51"/>
  <c r="E1136" i="51"/>
  <c r="F1136" i="51"/>
  <c r="G1136" i="51" a="1"/>
  <c r="G1136" i="51" s="1"/>
  <c r="H1136" i="51" a="1"/>
  <c r="H1136" i="51" s="1"/>
  <c r="I1136" i="51"/>
  <c r="J1136" i="51"/>
  <c r="K1136" i="51"/>
  <c r="L1136" i="51"/>
  <c r="A1137" i="51"/>
  <c r="B1137" i="51"/>
  <c r="C1137" i="51"/>
  <c r="D1137" i="51"/>
  <c r="E1137" i="51"/>
  <c r="F1137" i="51"/>
  <c r="G1137" i="51" a="1"/>
  <c r="G1137" i="51" s="1"/>
  <c r="H1137" i="51" a="1"/>
  <c r="H1137" i="51"/>
  <c r="I1137" i="51"/>
  <c r="J1137" i="51"/>
  <c r="K1137" i="51"/>
  <c r="L1137" i="51"/>
  <c r="A1138" i="51"/>
  <c r="B1138" i="51"/>
  <c r="C1138" i="51"/>
  <c r="D1138" i="51"/>
  <c r="E1138" i="51"/>
  <c r="F1138" i="51"/>
  <c r="G1138" i="51" a="1"/>
  <c r="G1138" i="51"/>
  <c r="H1138" i="51" a="1"/>
  <c r="H1138" i="51" s="1"/>
  <c r="I1138" i="51"/>
  <c r="J1138" i="51"/>
  <c r="K1138" i="51"/>
  <c r="L1138" i="51"/>
  <c r="A1139" i="51"/>
  <c r="B1139" i="51"/>
  <c r="C1139" i="51"/>
  <c r="D1139" i="51"/>
  <c r="E1139" i="51"/>
  <c r="F1139" i="51"/>
  <c r="G1139" i="51" a="1"/>
  <c r="G1139" i="51" s="1"/>
  <c r="H1139" i="51" a="1"/>
  <c r="H1139" i="51" s="1"/>
  <c r="I1139" i="51"/>
  <c r="J1139" i="51"/>
  <c r="K1139" i="51"/>
  <c r="L1139" i="51"/>
  <c r="A1140" i="51"/>
  <c r="B1140" i="51"/>
  <c r="C1140" i="51"/>
  <c r="D1140" i="51"/>
  <c r="E1140" i="51"/>
  <c r="F1140" i="51"/>
  <c r="G1140" i="51" a="1"/>
  <c r="G1140" i="51" s="1"/>
  <c r="H1140" i="51" a="1"/>
  <c r="H1140" i="51" s="1"/>
  <c r="I1140" i="51"/>
  <c r="J1140" i="51"/>
  <c r="K1140" i="51"/>
  <c r="L1140" i="51"/>
  <c r="A1141" i="51"/>
  <c r="B1141" i="51"/>
  <c r="C1141" i="51"/>
  <c r="D1141" i="51"/>
  <c r="E1141" i="51"/>
  <c r="F1141" i="51"/>
  <c r="G1141" i="51" a="1"/>
  <c r="G1141" i="51" s="1"/>
  <c r="H1141" i="51" a="1"/>
  <c r="H1141" i="51" s="1"/>
  <c r="I1141" i="51"/>
  <c r="J1141" i="51"/>
  <c r="K1141" i="51"/>
  <c r="L1141" i="51"/>
  <c r="A1142" i="51"/>
  <c r="B1142" i="51"/>
  <c r="C1142" i="51"/>
  <c r="D1142" i="51"/>
  <c r="E1142" i="51"/>
  <c r="F1142" i="51"/>
  <c r="G1142" i="51" a="1"/>
  <c r="G1142" i="51" s="1"/>
  <c r="H1142" i="51" a="1"/>
  <c r="H1142" i="51" s="1"/>
  <c r="I1142" i="51"/>
  <c r="J1142" i="51"/>
  <c r="K1142" i="51"/>
  <c r="L1142" i="51"/>
  <c r="A1143" i="51"/>
  <c r="B1143" i="51"/>
  <c r="C1143" i="51"/>
  <c r="D1143" i="51"/>
  <c r="E1143" i="51"/>
  <c r="F1143" i="51"/>
  <c r="G1143" i="51" a="1"/>
  <c r="G1143" i="51" s="1"/>
  <c r="H1143" i="51" a="1"/>
  <c r="H1143" i="51" s="1"/>
  <c r="I1143" i="51"/>
  <c r="J1143" i="51"/>
  <c r="K1143" i="51"/>
  <c r="L1143" i="51"/>
  <c r="A1144" i="51"/>
  <c r="B1144" i="51"/>
  <c r="C1144" i="51"/>
  <c r="D1144" i="51"/>
  <c r="E1144" i="51"/>
  <c r="F1144" i="51"/>
  <c r="G1144" i="51" a="1"/>
  <c r="G1144" i="51" s="1"/>
  <c r="H1144" i="51" a="1"/>
  <c r="H1144" i="51" s="1"/>
  <c r="I1144" i="51"/>
  <c r="J1144" i="51"/>
  <c r="K1144" i="51"/>
  <c r="L1144" i="51"/>
  <c r="A1145" i="51"/>
  <c r="B1145" i="51"/>
  <c r="C1145" i="51"/>
  <c r="D1145" i="51"/>
  <c r="E1145" i="51"/>
  <c r="F1145" i="51"/>
  <c r="G1145" i="51" a="1"/>
  <c r="G1145" i="51" s="1"/>
  <c r="H1145" i="51" a="1"/>
  <c r="H1145" i="51"/>
  <c r="I1145" i="51"/>
  <c r="J1145" i="51"/>
  <c r="K1145" i="51"/>
  <c r="L1145" i="51"/>
  <c r="A1146" i="51"/>
  <c r="B1146" i="51"/>
  <c r="C1146" i="51"/>
  <c r="D1146" i="51"/>
  <c r="E1146" i="51"/>
  <c r="F1146" i="51"/>
  <c r="G1146" i="51" a="1"/>
  <c r="G1146" i="51"/>
  <c r="H1146" i="51" a="1"/>
  <c r="H1146" i="51" s="1"/>
  <c r="I1146" i="51"/>
  <c r="J1146" i="51"/>
  <c r="K1146" i="51"/>
  <c r="L1146" i="51"/>
  <c r="A1147" i="51"/>
  <c r="B1147" i="51"/>
  <c r="C1147" i="51"/>
  <c r="D1147" i="51"/>
  <c r="E1147" i="51"/>
  <c r="F1147" i="51"/>
  <c r="G1147" i="51" a="1"/>
  <c r="G1147" i="51" s="1"/>
  <c r="H1147" i="51" a="1"/>
  <c r="H1147" i="51" s="1"/>
  <c r="I1147" i="51"/>
  <c r="J1147" i="51"/>
  <c r="K1147" i="51"/>
  <c r="L1147" i="51"/>
  <c r="A1148" i="51"/>
  <c r="B1148" i="51"/>
  <c r="C1148" i="51"/>
  <c r="D1148" i="51"/>
  <c r="E1148" i="51"/>
  <c r="F1148" i="51"/>
  <c r="G1148" i="51" a="1"/>
  <c r="G1148" i="51" s="1"/>
  <c r="H1148" i="51" a="1"/>
  <c r="H1148" i="51" s="1"/>
  <c r="I1148" i="51"/>
  <c r="J1148" i="51"/>
  <c r="K1148" i="51"/>
  <c r="L1148" i="51"/>
  <c r="A1149" i="51"/>
  <c r="B1149" i="51"/>
  <c r="C1149" i="51"/>
  <c r="D1149" i="51"/>
  <c r="E1149" i="51"/>
  <c r="F1149" i="51"/>
  <c r="G1149" i="51" a="1"/>
  <c r="G1149" i="51" s="1"/>
  <c r="H1149" i="51" a="1"/>
  <c r="H1149" i="51" s="1"/>
  <c r="I1149" i="51"/>
  <c r="J1149" i="51"/>
  <c r="K1149" i="51"/>
  <c r="L1149" i="51"/>
  <c r="A1150" i="51"/>
  <c r="B1150" i="51"/>
  <c r="C1150" i="51"/>
  <c r="D1150" i="51"/>
  <c r="E1150" i="51"/>
  <c r="F1150" i="51"/>
  <c r="G1150" i="51" a="1"/>
  <c r="G1150" i="51" s="1"/>
  <c r="H1150" i="51" a="1"/>
  <c r="H1150" i="51" s="1"/>
  <c r="I1150" i="51"/>
  <c r="J1150" i="51"/>
  <c r="K1150" i="51"/>
  <c r="L1150" i="51"/>
  <c r="A1151" i="51"/>
  <c r="B1151" i="51"/>
  <c r="C1151" i="51"/>
  <c r="D1151" i="51"/>
  <c r="E1151" i="51"/>
  <c r="F1151" i="51"/>
  <c r="G1151" i="51" a="1"/>
  <c r="G1151" i="51" s="1"/>
  <c r="H1151" i="51" a="1"/>
  <c r="H1151" i="51" s="1"/>
  <c r="I1151" i="51"/>
  <c r="J1151" i="51"/>
  <c r="K1151" i="51"/>
  <c r="L1151" i="51"/>
  <c r="A1152" i="51"/>
  <c r="B1152" i="51"/>
  <c r="C1152" i="51"/>
  <c r="D1152" i="51"/>
  <c r="E1152" i="51"/>
  <c r="F1152" i="51"/>
  <c r="G1152" i="51" a="1"/>
  <c r="G1152" i="51" s="1"/>
  <c r="H1152" i="51" a="1"/>
  <c r="H1152" i="51" s="1"/>
  <c r="I1152" i="51"/>
  <c r="J1152" i="51"/>
  <c r="K1152" i="51"/>
  <c r="L1152" i="51"/>
  <c r="A1153" i="51"/>
  <c r="B1153" i="51"/>
  <c r="C1153" i="51"/>
  <c r="D1153" i="51"/>
  <c r="E1153" i="51"/>
  <c r="F1153" i="51"/>
  <c r="G1153" i="51" a="1"/>
  <c r="G1153" i="51" s="1"/>
  <c r="H1153" i="51" a="1"/>
  <c r="H1153" i="51"/>
  <c r="I1153" i="51"/>
  <c r="J1153" i="51"/>
  <c r="K1153" i="51"/>
  <c r="L1153" i="51"/>
  <c r="A1154" i="51"/>
  <c r="B1154" i="51"/>
  <c r="C1154" i="51"/>
  <c r="D1154" i="51"/>
  <c r="E1154" i="51"/>
  <c r="F1154" i="51"/>
  <c r="G1154" i="51" a="1"/>
  <c r="G1154" i="51"/>
  <c r="H1154" i="51" a="1"/>
  <c r="H1154" i="51" s="1"/>
  <c r="I1154" i="51"/>
  <c r="J1154" i="51"/>
  <c r="K1154" i="51"/>
  <c r="L1154" i="51"/>
  <c r="A1155" i="51"/>
  <c r="B1155" i="51"/>
  <c r="C1155" i="51"/>
  <c r="D1155" i="51"/>
  <c r="E1155" i="51"/>
  <c r="F1155" i="51"/>
  <c r="G1155" i="51" a="1"/>
  <c r="G1155" i="51" s="1"/>
  <c r="H1155" i="51" a="1"/>
  <c r="H1155" i="51" s="1"/>
  <c r="I1155" i="51"/>
  <c r="J1155" i="51"/>
  <c r="K1155" i="51"/>
  <c r="L1155" i="51"/>
  <c r="A1156" i="51"/>
  <c r="B1156" i="51"/>
  <c r="C1156" i="51"/>
  <c r="D1156" i="51"/>
  <c r="E1156" i="51"/>
  <c r="F1156" i="51"/>
  <c r="G1156" i="51" a="1"/>
  <c r="G1156" i="51" s="1"/>
  <c r="H1156" i="51" a="1"/>
  <c r="H1156" i="51" s="1"/>
  <c r="I1156" i="51"/>
  <c r="J1156" i="51"/>
  <c r="K1156" i="51"/>
  <c r="L1156" i="51"/>
  <c r="A1157" i="51"/>
  <c r="B1157" i="51"/>
  <c r="C1157" i="51"/>
  <c r="D1157" i="51"/>
  <c r="E1157" i="51"/>
  <c r="F1157" i="51"/>
  <c r="G1157" i="51" a="1"/>
  <c r="G1157" i="51" s="1"/>
  <c r="H1157" i="51" a="1"/>
  <c r="H1157" i="51" s="1"/>
  <c r="I1157" i="51"/>
  <c r="J1157" i="51"/>
  <c r="K1157" i="51"/>
  <c r="L1157" i="51"/>
  <c r="A1158" i="51"/>
  <c r="B1158" i="51"/>
  <c r="C1158" i="51"/>
  <c r="D1158" i="51"/>
  <c r="E1158" i="51"/>
  <c r="F1158" i="51"/>
  <c r="G1158" i="51" a="1"/>
  <c r="G1158" i="51" s="1"/>
  <c r="H1158" i="51" a="1"/>
  <c r="H1158" i="51" s="1"/>
  <c r="I1158" i="51"/>
  <c r="J1158" i="51"/>
  <c r="K1158" i="51"/>
  <c r="L1158" i="51"/>
  <c r="A1159" i="51"/>
  <c r="B1159" i="51"/>
  <c r="C1159" i="51"/>
  <c r="D1159" i="51"/>
  <c r="E1159" i="51"/>
  <c r="F1159" i="51"/>
  <c r="G1159" i="51" a="1"/>
  <c r="G1159" i="51" s="1"/>
  <c r="H1159" i="51" a="1"/>
  <c r="H1159" i="51" s="1"/>
  <c r="I1159" i="51"/>
  <c r="J1159" i="51"/>
  <c r="K1159" i="51"/>
  <c r="L1159" i="51"/>
  <c r="A1160" i="51"/>
  <c r="B1160" i="51"/>
  <c r="C1160" i="51"/>
  <c r="D1160" i="51"/>
  <c r="E1160" i="51"/>
  <c r="F1160" i="51"/>
  <c r="G1160" i="51" a="1"/>
  <c r="G1160" i="51" s="1"/>
  <c r="H1160" i="51" a="1"/>
  <c r="H1160" i="51" s="1"/>
  <c r="I1160" i="51"/>
  <c r="J1160" i="51"/>
  <c r="K1160" i="51"/>
  <c r="L1160" i="51"/>
  <c r="A1161" i="51"/>
  <c r="B1161" i="51"/>
  <c r="C1161" i="51"/>
  <c r="D1161" i="51"/>
  <c r="E1161" i="51"/>
  <c r="F1161" i="51"/>
  <c r="G1161" i="51" a="1"/>
  <c r="G1161" i="51" s="1"/>
  <c r="H1161" i="51" a="1"/>
  <c r="H1161" i="51"/>
  <c r="I1161" i="51"/>
  <c r="J1161" i="51"/>
  <c r="K1161" i="51"/>
  <c r="L1161" i="51"/>
  <c r="A1162" i="51"/>
  <c r="B1162" i="51"/>
  <c r="C1162" i="51"/>
  <c r="D1162" i="51"/>
  <c r="E1162" i="51"/>
  <c r="F1162" i="51"/>
  <c r="G1162" i="51" a="1"/>
  <c r="G1162" i="51"/>
  <c r="H1162" i="51" a="1"/>
  <c r="H1162" i="51" s="1"/>
  <c r="I1162" i="51"/>
  <c r="J1162" i="51"/>
  <c r="K1162" i="51"/>
  <c r="L1162" i="51"/>
  <c r="A1163" i="51"/>
  <c r="B1163" i="51"/>
  <c r="C1163" i="51"/>
  <c r="D1163" i="51"/>
  <c r="E1163" i="51"/>
  <c r="F1163" i="51"/>
  <c r="G1163" i="51" a="1"/>
  <c r="G1163" i="51" s="1"/>
  <c r="H1163" i="51" a="1"/>
  <c r="H1163" i="51" s="1"/>
  <c r="I1163" i="51"/>
  <c r="J1163" i="51"/>
  <c r="K1163" i="51"/>
  <c r="L1163" i="51"/>
  <c r="A1164" i="51"/>
  <c r="B1164" i="51"/>
  <c r="C1164" i="51"/>
  <c r="D1164" i="51"/>
  <c r="E1164" i="51"/>
  <c r="F1164" i="51"/>
  <c r="G1164" i="51" a="1"/>
  <c r="G1164" i="51" s="1"/>
  <c r="H1164" i="51" a="1"/>
  <c r="H1164" i="51" s="1"/>
  <c r="I1164" i="51"/>
  <c r="J1164" i="51"/>
  <c r="K1164" i="51"/>
  <c r="L1164" i="51"/>
  <c r="A1165" i="51"/>
  <c r="B1165" i="51"/>
  <c r="C1165" i="51"/>
  <c r="D1165" i="51"/>
  <c r="E1165" i="51"/>
  <c r="F1165" i="51"/>
  <c r="G1165" i="51" a="1"/>
  <c r="G1165" i="51" s="1"/>
  <c r="H1165" i="51" a="1"/>
  <c r="H1165" i="51" s="1"/>
  <c r="I1165" i="51"/>
  <c r="J1165" i="51"/>
  <c r="K1165" i="51"/>
  <c r="L1165" i="51"/>
  <c r="A1166" i="51"/>
  <c r="B1166" i="51"/>
  <c r="C1166" i="51"/>
  <c r="D1166" i="51"/>
  <c r="E1166" i="51"/>
  <c r="F1166" i="51"/>
  <c r="G1166" i="51" a="1"/>
  <c r="G1166" i="51" s="1"/>
  <c r="H1166" i="51" a="1"/>
  <c r="H1166" i="51" s="1"/>
  <c r="I1166" i="51"/>
  <c r="J1166" i="51"/>
  <c r="K1166" i="51"/>
  <c r="L1166" i="51"/>
  <c r="A1167" i="51"/>
  <c r="B1167" i="51"/>
  <c r="C1167" i="51"/>
  <c r="D1167" i="51"/>
  <c r="E1167" i="51"/>
  <c r="F1167" i="51"/>
  <c r="G1167" i="51" a="1"/>
  <c r="G1167" i="51" s="1"/>
  <c r="H1167" i="51" a="1"/>
  <c r="H1167" i="51" s="1"/>
  <c r="I1167" i="51"/>
  <c r="J1167" i="51"/>
  <c r="K1167" i="51"/>
  <c r="L1167" i="51"/>
  <c r="A1168" i="51"/>
  <c r="B1168" i="51"/>
  <c r="C1168" i="51"/>
  <c r="D1168" i="51"/>
  <c r="E1168" i="51"/>
  <c r="F1168" i="51"/>
  <c r="G1168" i="51" a="1"/>
  <c r="G1168" i="51" s="1"/>
  <c r="H1168" i="51" a="1"/>
  <c r="H1168" i="51" s="1"/>
  <c r="I1168" i="51"/>
  <c r="J1168" i="51"/>
  <c r="K1168" i="51"/>
  <c r="L1168" i="51"/>
  <c r="A1169" i="51"/>
  <c r="B1169" i="51"/>
  <c r="C1169" i="51"/>
  <c r="D1169" i="51"/>
  <c r="E1169" i="51"/>
  <c r="F1169" i="51"/>
  <c r="G1169" i="51" a="1"/>
  <c r="G1169" i="51" s="1"/>
  <c r="H1169" i="51" a="1"/>
  <c r="H1169" i="51"/>
  <c r="I1169" i="51"/>
  <c r="J1169" i="51"/>
  <c r="K1169" i="51"/>
  <c r="L1169" i="51"/>
  <c r="A1170" i="51"/>
  <c r="B1170" i="51"/>
  <c r="C1170" i="51"/>
  <c r="D1170" i="51"/>
  <c r="E1170" i="51"/>
  <c r="F1170" i="51"/>
  <c r="G1170" i="51" a="1"/>
  <c r="G1170" i="51"/>
  <c r="H1170" i="51" a="1"/>
  <c r="H1170" i="51" s="1"/>
  <c r="I1170" i="51"/>
  <c r="J1170" i="51"/>
  <c r="K1170" i="51"/>
  <c r="L1170" i="51"/>
  <c r="A1171" i="51"/>
  <c r="B1171" i="51"/>
  <c r="C1171" i="51"/>
  <c r="D1171" i="51"/>
  <c r="E1171" i="51"/>
  <c r="F1171" i="51"/>
  <c r="G1171" i="51" a="1"/>
  <c r="G1171" i="51" s="1"/>
  <c r="H1171" i="51" a="1"/>
  <c r="H1171" i="51" s="1"/>
  <c r="I1171" i="51"/>
  <c r="J1171" i="51"/>
  <c r="K1171" i="51"/>
  <c r="L1171" i="51"/>
  <c r="A1172" i="51"/>
  <c r="B1172" i="51"/>
  <c r="C1172" i="51"/>
  <c r="D1172" i="51"/>
  <c r="E1172" i="51"/>
  <c r="F1172" i="51"/>
  <c r="G1172" i="51" a="1"/>
  <c r="G1172" i="51" s="1"/>
  <c r="H1172" i="51" a="1"/>
  <c r="H1172" i="51" s="1"/>
  <c r="I1172" i="51"/>
  <c r="J1172" i="51"/>
  <c r="K1172" i="51"/>
  <c r="L1172" i="51"/>
  <c r="A1173" i="51"/>
  <c r="B1173" i="51"/>
  <c r="C1173" i="51"/>
  <c r="D1173" i="51"/>
  <c r="E1173" i="51"/>
  <c r="F1173" i="51"/>
  <c r="G1173" i="51" a="1"/>
  <c r="G1173" i="51" s="1"/>
  <c r="H1173" i="51" a="1"/>
  <c r="H1173" i="51" s="1"/>
  <c r="I1173" i="51"/>
  <c r="J1173" i="51"/>
  <c r="K1173" i="51"/>
  <c r="L1173" i="51"/>
  <c r="A1174" i="51"/>
  <c r="B1174" i="51"/>
  <c r="C1174" i="51"/>
  <c r="D1174" i="51"/>
  <c r="E1174" i="51"/>
  <c r="F1174" i="51"/>
  <c r="G1174" i="51" a="1"/>
  <c r="G1174" i="51" s="1"/>
  <c r="H1174" i="51" a="1"/>
  <c r="H1174" i="51" s="1"/>
  <c r="I1174" i="51"/>
  <c r="J1174" i="51"/>
  <c r="K1174" i="51"/>
  <c r="L1174" i="51"/>
  <c r="A1175" i="51"/>
  <c r="B1175" i="51"/>
  <c r="C1175" i="51"/>
  <c r="D1175" i="51"/>
  <c r="E1175" i="51"/>
  <c r="F1175" i="51"/>
  <c r="G1175" i="51" a="1"/>
  <c r="G1175" i="51" s="1"/>
  <c r="H1175" i="51" a="1"/>
  <c r="H1175" i="51" s="1"/>
  <c r="I1175" i="51"/>
  <c r="J1175" i="51"/>
  <c r="K1175" i="51"/>
  <c r="L1175" i="51"/>
  <c r="A1176" i="51"/>
  <c r="B1176" i="51"/>
  <c r="C1176" i="51"/>
  <c r="D1176" i="51"/>
  <c r="E1176" i="51"/>
  <c r="F1176" i="51"/>
  <c r="G1176" i="51" a="1"/>
  <c r="G1176" i="51" s="1"/>
  <c r="H1176" i="51" a="1"/>
  <c r="H1176" i="51" s="1"/>
  <c r="I1176" i="51"/>
  <c r="J1176" i="51"/>
  <c r="K1176" i="51"/>
  <c r="L1176" i="51"/>
  <c r="A1177" i="51"/>
  <c r="B1177" i="51"/>
  <c r="C1177" i="51"/>
  <c r="D1177" i="51"/>
  <c r="E1177" i="51"/>
  <c r="F1177" i="51"/>
  <c r="G1177" i="51" a="1"/>
  <c r="G1177" i="51" s="1"/>
  <c r="H1177" i="51" a="1"/>
  <c r="H1177" i="51"/>
  <c r="I1177" i="51"/>
  <c r="J1177" i="51"/>
  <c r="K1177" i="51"/>
  <c r="L1177" i="51"/>
  <c r="A1178" i="51"/>
  <c r="B1178" i="51"/>
  <c r="C1178" i="51"/>
  <c r="D1178" i="51"/>
  <c r="E1178" i="51"/>
  <c r="F1178" i="51"/>
  <c r="G1178" i="51" a="1"/>
  <c r="G1178" i="51"/>
  <c r="H1178" i="51" a="1"/>
  <c r="H1178" i="51" s="1"/>
  <c r="I1178" i="51"/>
  <c r="J1178" i="51"/>
  <c r="K1178" i="51"/>
  <c r="L1178" i="51"/>
  <c r="A1179" i="51"/>
  <c r="B1179" i="51"/>
  <c r="C1179" i="51"/>
  <c r="D1179" i="51"/>
  <c r="E1179" i="51"/>
  <c r="F1179" i="51"/>
  <c r="G1179" i="51" a="1"/>
  <c r="G1179" i="51" s="1"/>
  <c r="H1179" i="51" a="1"/>
  <c r="H1179" i="51" s="1"/>
  <c r="I1179" i="51"/>
  <c r="J1179" i="51"/>
  <c r="K1179" i="51"/>
  <c r="L1179" i="51"/>
  <c r="A1180" i="51"/>
  <c r="B1180" i="51"/>
  <c r="C1180" i="51"/>
  <c r="D1180" i="51"/>
  <c r="E1180" i="51"/>
  <c r="F1180" i="51"/>
  <c r="G1180" i="51" a="1"/>
  <c r="G1180" i="51" s="1"/>
  <c r="H1180" i="51" a="1"/>
  <c r="H1180" i="51" s="1"/>
  <c r="I1180" i="51"/>
  <c r="J1180" i="51"/>
  <c r="K1180" i="51"/>
  <c r="L1180" i="51"/>
  <c r="A1181" i="51"/>
  <c r="B1181" i="51"/>
  <c r="C1181" i="51"/>
  <c r="D1181" i="51"/>
  <c r="E1181" i="51"/>
  <c r="F1181" i="51"/>
  <c r="G1181" i="51" a="1"/>
  <c r="G1181" i="51" s="1"/>
  <c r="H1181" i="51" a="1"/>
  <c r="H1181" i="51" s="1"/>
  <c r="I1181" i="51"/>
  <c r="J1181" i="51"/>
  <c r="K1181" i="51"/>
  <c r="L1181" i="51"/>
  <c r="A1182" i="51"/>
  <c r="B1182" i="51"/>
  <c r="C1182" i="51"/>
  <c r="D1182" i="51"/>
  <c r="E1182" i="51"/>
  <c r="F1182" i="51"/>
  <c r="G1182" i="51" a="1"/>
  <c r="G1182" i="51" s="1"/>
  <c r="H1182" i="51" a="1"/>
  <c r="H1182" i="51" s="1"/>
  <c r="I1182" i="51"/>
  <c r="J1182" i="51"/>
  <c r="K1182" i="51"/>
  <c r="L1182" i="51"/>
  <c r="A1183" i="51"/>
  <c r="B1183" i="51"/>
  <c r="C1183" i="51"/>
  <c r="D1183" i="51"/>
  <c r="E1183" i="51"/>
  <c r="F1183" i="51"/>
  <c r="G1183" i="51" a="1"/>
  <c r="G1183" i="51" s="1"/>
  <c r="H1183" i="51" a="1"/>
  <c r="H1183" i="51" s="1"/>
  <c r="I1183" i="51"/>
  <c r="J1183" i="51"/>
  <c r="K1183" i="51"/>
  <c r="L1183" i="51"/>
  <c r="A1184" i="51"/>
  <c r="B1184" i="51"/>
  <c r="C1184" i="51"/>
  <c r="D1184" i="51"/>
  <c r="E1184" i="51"/>
  <c r="F1184" i="51"/>
  <c r="G1184" i="51" a="1"/>
  <c r="G1184" i="51" s="1"/>
  <c r="H1184" i="51" a="1"/>
  <c r="H1184" i="51" s="1"/>
  <c r="I1184" i="51"/>
  <c r="J1184" i="51"/>
  <c r="K1184" i="51"/>
  <c r="L1184" i="51"/>
  <c r="A1185" i="51"/>
  <c r="B1185" i="51"/>
  <c r="C1185" i="51"/>
  <c r="D1185" i="51"/>
  <c r="E1185" i="51"/>
  <c r="F1185" i="51"/>
  <c r="G1185" i="51" a="1"/>
  <c r="G1185" i="51" s="1"/>
  <c r="H1185" i="51" a="1"/>
  <c r="H1185" i="51"/>
  <c r="I1185" i="51"/>
  <c r="J1185" i="51"/>
  <c r="K1185" i="51"/>
  <c r="L1185" i="51"/>
  <c r="A1186" i="51"/>
  <c r="B1186" i="51"/>
  <c r="C1186" i="51"/>
  <c r="D1186" i="51"/>
  <c r="E1186" i="51"/>
  <c r="F1186" i="51"/>
  <c r="G1186" i="51" a="1"/>
  <c r="G1186" i="51"/>
  <c r="H1186" i="51" a="1"/>
  <c r="H1186" i="51" s="1"/>
  <c r="I1186" i="51"/>
  <c r="J1186" i="51"/>
  <c r="K1186" i="51"/>
  <c r="L1186" i="51"/>
  <c r="A1187" i="51"/>
  <c r="B1187" i="51"/>
  <c r="C1187" i="51"/>
  <c r="D1187" i="51"/>
  <c r="E1187" i="51"/>
  <c r="F1187" i="51"/>
  <c r="G1187" i="51" a="1"/>
  <c r="G1187" i="51" s="1"/>
  <c r="H1187" i="51" a="1"/>
  <c r="H1187" i="51" s="1"/>
  <c r="I1187" i="51"/>
  <c r="J1187" i="51"/>
  <c r="K1187" i="51"/>
  <c r="L1187" i="51"/>
  <c r="A1188" i="51"/>
  <c r="B1188" i="51"/>
  <c r="C1188" i="51"/>
  <c r="D1188" i="51"/>
  <c r="E1188" i="51"/>
  <c r="F1188" i="51"/>
  <c r="G1188" i="51" a="1"/>
  <c r="G1188" i="51" s="1"/>
  <c r="H1188" i="51" a="1"/>
  <c r="H1188" i="51" s="1"/>
  <c r="I1188" i="51"/>
  <c r="J1188" i="51"/>
  <c r="K1188" i="51"/>
  <c r="L1188" i="51"/>
  <c r="A1189" i="51"/>
  <c r="B1189" i="51"/>
  <c r="C1189" i="51"/>
  <c r="D1189" i="51"/>
  <c r="E1189" i="51"/>
  <c r="F1189" i="51"/>
  <c r="G1189" i="51" a="1"/>
  <c r="G1189" i="51" s="1"/>
  <c r="H1189" i="51" a="1"/>
  <c r="H1189" i="51" s="1"/>
  <c r="I1189" i="51"/>
  <c r="J1189" i="51"/>
  <c r="K1189" i="51"/>
  <c r="L1189" i="51"/>
  <c r="A1190" i="51"/>
  <c r="B1190" i="51"/>
  <c r="C1190" i="51"/>
  <c r="D1190" i="51"/>
  <c r="E1190" i="51"/>
  <c r="F1190" i="51"/>
  <c r="G1190" i="51" a="1"/>
  <c r="G1190" i="51" s="1"/>
  <c r="H1190" i="51" a="1"/>
  <c r="H1190" i="51" s="1"/>
  <c r="I1190" i="51"/>
  <c r="J1190" i="51"/>
  <c r="K1190" i="51"/>
  <c r="L1190" i="51"/>
  <c r="A1191" i="51"/>
  <c r="B1191" i="51"/>
  <c r="C1191" i="51"/>
  <c r="D1191" i="51"/>
  <c r="E1191" i="51"/>
  <c r="F1191" i="51"/>
  <c r="G1191" i="51" a="1"/>
  <c r="G1191" i="51" s="1"/>
  <c r="H1191" i="51" a="1"/>
  <c r="H1191" i="51" s="1"/>
  <c r="I1191" i="51"/>
  <c r="J1191" i="51"/>
  <c r="K1191" i="51"/>
  <c r="L1191" i="51"/>
  <c r="A1192" i="51"/>
  <c r="B1192" i="51"/>
  <c r="C1192" i="51"/>
  <c r="D1192" i="51"/>
  <c r="E1192" i="51"/>
  <c r="F1192" i="51"/>
  <c r="G1192" i="51" a="1"/>
  <c r="G1192" i="51" s="1"/>
  <c r="H1192" i="51" a="1"/>
  <c r="H1192" i="51" s="1"/>
  <c r="I1192" i="51"/>
  <c r="J1192" i="51"/>
  <c r="K1192" i="51"/>
  <c r="L1192" i="51"/>
  <c r="A1193" i="51"/>
  <c r="B1193" i="51"/>
  <c r="C1193" i="51"/>
  <c r="D1193" i="51"/>
  <c r="E1193" i="51"/>
  <c r="F1193" i="51"/>
  <c r="G1193" i="51" a="1"/>
  <c r="G1193" i="51" s="1"/>
  <c r="H1193" i="51" a="1"/>
  <c r="H1193" i="51"/>
  <c r="I1193" i="51"/>
  <c r="J1193" i="51"/>
  <c r="K1193" i="51"/>
  <c r="L1193" i="51"/>
  <c r="A1194" i="51"/>
  <c r="B1194" i="51"/>
  <c r="C1194" i="51"/>
  <c r="D1194" i="51"/>
  <c r="E1194" i="51"/>
  <c r="F1194" i="51"/>
  <c r="G1194" i="51" a="1"/>
  <c r="G1194" i="51"/>
  <c r="H1194" i="51" a="1"/>
  <c r="H1194" i="51" s="1"/>
  <c r="I1194" i="51"/>
  <c r="J1194" i="51"/>
  <c r="K1194" i="51"/>
  <c r="L1194" i="51"/>
  <c r="A1195" i="51"/>
  <c r="B1195" i="51"/>
  <c r="C1195" i="51"/>
  <c r="D1195" i="51"/>
  <c r="E1195" i="51"/>
  <c r="F1195" i="51"/>
  <c r="G1195" i="51" a="1"/>
  <c r="G1195" i="51" s="1"/>
  <c r="H1195" i="51" a="1"/>
  <c r="H1195" i="51" s="1"/>
  <c r="I1195" i="51"/>
  <c r="J1195" i="51"/>
  <c r="K1195" i="51"/>
  <c r="L1195" i="51"/>
  <c r="A1196" i="51"/>
  <c r="B1196" i="51"/>
  <c r="C1196" i="51"/>
  <c r="D1196" i="51"/>
  <c r="E1196" i="51"/>
  <c r="F1196" i="51"/>
  <c r="G1196" i="51" a="1"/>
  <c r="G1196" i="51" s="1"/>
  <c r="H1196" i="51" a="1"/>
  <c r="H1196" i="51" s="1"/>
  <c r="I1196" i="51"/>
  <c r="J1196" i="51"/>
  <c r="K1196" i="51"/>
  <c r="L1196" i="51"/>
  <c r="A1197" i="51"/>
  <c r="B1197" i="51"/>
  <c r="C1197" i="51"/>
  <c r="D1197" i="51"/>
  <c r="E1197" i="51"/>
  <c r="F1197" i="51"/>
  <c r="G1197" i="51" a="1"/>
  <c r="G1197" i="51" s="1"/>
  <c r="H1197" i="51" a="1"/>
  <c r="H1197" i="51" s="1"/>
  <c r="I1197" i="51"/>
  <c r="J1197" i="51"/>
  <c r="K1197" i="51"/>
  <c r="L1197" i="51"/>
  <c r="A1198" i="51"/>
  <c r="B1198" i="51"/>
  <c r="C1198" i="51"/>
  <c r="D1198" i="51"/>
  <c r="E1198" i="51"/>
  <c r="F1198" i="51"/>
  <c r="G1198" i="51" a="1"/>
  <c r="G1198" i="51" s="1"/>
  <c r="H1198" i="51" a="1"/>
  <c r="H1198" i="51" s="1"/>
  <c r="I1198" i="51"/>
  <c r="J1198" i="51"/>
  <c r="K1198" i="51"/>
  <c r="L1198" i="51"/>
  <c r="A1199" i="51"/>
  <c r="B1199" i="51"/>
  <c r="C1199" i="51"/>
  <c r="D1199" i="51"/>
  <c r="E1199" i="51"/>
  <c r="F1199" i="51"/>
  <c r="G1199" i="51" a="1"/>
  <c r="G1199" i="51" s="1"/>
  <c r="H1199" i="51" a="1"/>
  <c r="H1199" i="51" s="1"/>
  <c r="I1199" i="51"/>
  <c r="J1199" i="51"/>
  <c r="K1199" i="51"/>
  <c r="L1199" i="51"/>
  <c r="A1200" i="51"/>
  <c r="B1200" i="51"/>
  <c r="C1200" i="51"/>
  <c r="D1200" i="51"/>
  <c r="E1200" i="51"/>
  <c r="F1200" i="51"/>
  <c r="G1200" i="51" a="1"/>
  <c r="G1200" i="51" s="1"/>
  <c r="H1200" i="51" a="1"/>
  <c r="H1200" i="51" s="1"/>
  <c r="I1200" i="51"/>
  <c r="J1200" i="51"/>
  <c r="K1200" i="51"/>
  <c r="L1200" i="51"/>
  <c r="A1201" i="51"/>
  <c r="B1201" i="51"/>
  <c r="C1201" i="51"/>
  <c r="D1201" i="51"/>
  <c r="E1201" i="51"/>
  <c r="F1201" i="51"/>
  <c r="G1201" i="51" a="1"/>
  <c r="G1201" i="51" s="1"/>
  <c r="H1201" i="51" a="1"/>
  <c r="H1201" i="51"/>
  <c r="I1201" i="51"/>
  <c r="J1201" i="51"/>
  <c r="K1201" i="51"/>
  <c r="L1201" i="51"/>
  <c r="A1202" i="51"/>
  <c r="B1202" i="51"/>
  <c r="C1202" i="51"/>
  <c r="D1202" i="51"/>
  <c r="E1202" i="51"/>
  <c r="F1202" i="51"/>
  <c r="G1202" i="51" a="1"/>
  <c r="G1202" i="51"/>
  <c r="H1202" i="51" a="1"/>
  <c r="H1202" i="51" s="1"/>
  <c r="I1202" i="51"/>
  <c r="J1202" i="51"/>
  <c r="K1202" i="51"/>
  <c r="L1202" i="51"/>
  <c r="A1203" i="51"/>
  <c r="B1203" i="51"/>
  <c r="C1203" i="51"/>
  <c r="D1203" i="51"/>
  <c r="E1203" i="51"/>
  <c r="F1203" i="51"/>
  <c r="G1203" i="51" a="1"/>
  <c r="G1203" i="51" s="1"/>
  <c r="H1203" i="51" a="1"/>
  <c r="H1203" i="51" s="1"/>
  <c r="I1203" i="51"/>
  <c r="J1203" i="51"/>
  <c r="K1203" i="51"/>
  <c r="L1203" i="51"/>
  <c r="A1204" i="51"/>
  <c r="B1204" i="51"/>
  <c r="C1204" i="51"/>
  <c r="D1204" i="51"/>
  <c r="E1204" i="51"/>
  <c r="F1204" i="51"/>
  <c r="G1204" i="51" a="1"/>
  <c r="G1204" i="51" s="1"/>
  <c r="H1204" i="51" a="1"/>
  <c r="H1204" i="51" s="1"/>
  <c r="I1204" i="51"/>
  <c r="J1204" i="51"/>
  <c r="K1204" i="51"/>
  <c r="L1204" i="51"/>
  <c r="A1205" i="51"/>
  <c r="B1205" i="51"/>
  <c r="C1205" i="51"/>
  <c r="D1205" i="51"/>
  <c r="E1205" i="51"/>
  <c r="F1205" i="51"/>
  <c r="G1205" i="51" a="1"/>
  <c r="G1205" i="51" s="1"/>
  <c r="H1205" i="51" a="1"/>
  <c r="H1205" i="51" s="1"/>
  <c r="I1205" i="51"/>
  <c r="J1205" i="51"/>
  <c r="K1205" i="51"/>
  <c r="L1205" i="51"/>
  <c r="A1206" i="51"/>
  <c r="B1206" i="51"/>
  <c r="C1206" i="51"/>
  <c r="D1206" i="51"/>
  <c r="E1206" i="51"/>
  <c r="F1206" i="51"/>
  <c r="G1206" i="51" a="1"/>
  <c r="G1206" i="51" s="1"/>
  <c r="H1206" i="51" a="1"/>
  <c r="H1206" i="51" s="1"/>
  <c r="I1206" i="51"/>
  <c r="J1206" i="51"/>
  <c r="K1206" i="51"/>
  <c r="L1206" i="51"/>
  <c r="A1207" i="51"/>
  <c r="B1207" i="51"/>
  <c r="C1207" i="51"/>
  <c r="D1207" i="51"/>
  <c r="E1207" i="51"/>
  <c r="F1207" i="51"/>
  <c r="G1207" i="51" a="1"/>
  <c r="G1207" i="51" s="1"/>
  <c r="H1207" i="51" a="1"/>
  <c r="H1207" i="51" s="1"/>
  <c r="I1207" i="51"/>
  <c r="J1207" i="51"/>
  <c r="K1207" i="51"/>
  <c r="L1207" i="51"/>
  <c r="A1208" i="51"/>
  <c r="B1208" i="51"/>
  <c r="C1208" i="51"/>
  <c r="D1208" i="51"/>
  <c r="E1208" i="51"/>
  <c r="F1208" i="51"/>
  <c r="G1208" i="51" a="1"/>
  <c r="G1208" i="51" s="1"/>
  <c r="H1208" i="51" a="1"/>
  <c r="H1208" i="51" s="1"/>
  <c r="I1208" i="51"/>
  <c r="J1208" i="51"/>
  <c r="K1208" i="51"/>
  <c r="L1208" i="51"/>
  <c r="A1209" i="51"/>
  <c r="B1209" i="51"/>
  <c r="C1209" i="51"/>
  <c r="D1209" i="51"/>
  <c r="E1209" i="51"/>
  <c r="F1209" i="51"/>
  <c r="G1209" i="51" a="1"/>
  <c r="G1209" i="51" s="1"/>
  <c r="H1209" i="51" a="1"/>
  <c r="H1209" i="51"/>
  <c r="I1209" i="51"/>
  <c r="J1209" i="51"/>
  <c r="K1209" i="51"/>
  <c r="L1209" i="51"/>
  <c r="A1210" i="51"/>
  <c r="B1210" i="51"/>
  <c r="C1210" i="51"/>
  <c r="D1210" i="51"/>
  <c r="E1210" i="51"/>
  <c r="F1210" i="51"/>
  <c r="G1210" i="51" a="1"/>
  <c r="G1210" i="51"/>
  <c r="H1210" i="51" a="1"/>
  <c r="H1210" i="51" s="1"/>
  <c r="I1210" i="51"/>
  <c r="J1210" i="51"/>
  <c r="K1210" i="51"/>
  <c r="L1210" i="51"/>
  <c r="A1211" i="51"/>
  <c r="B1211" i="51"/>
  <c r="C1211" i="51"/>
  <c r="D1211" i="51"/>
  <c r="E1211" i="51"/>
  <c r="F1211" i="51"/>
  <c r="G1211" i="51" a="1"/>
  <c r="G1211" i="51" s="1"/>
  <c r="H1211" i="51" a="1"/>
  <c r="H1211" i="51" s="1"/>
  <c r="I1211" i="51"/>
  <c r="J1211" i="51"/>
  <c r="K1211" i="51"/>
  <c r="L1211" i="51"/>
  <c r="A1212" i="51"/>
  <c r="B1212" i="51"/>
  <c r="C1212" i="51"/>
  <c r="D1212" i="51"/>
  <c r="E1212" i="51"/>
  <c r="F1212" i="51"/>
  <c r="G1212" i="51" a="1"/>
  <c r="G1212" i="51" s="1"/>
  <c r="H1212" i="51" a="1"/>
  <c r="H1212" i="51" s="1"/>
  <c r="I1212" i="51"/>
  <c r="J1212" i="51"/>
  <c r="K1212" i="51"/>
  <c r="L1212" i="51"/>
  <c r="A1213" i="51"/>
  <c r="B1213" i="51"/>
  <c r="C1213" i="51"/>
  <c r="D1213" i="51"/>
  <c r="E1213" i="51"/>
  <c r="F1213" i="51"/>
  <c r="G1213" i="51" a="1"/>
  <c r="G1213" i="51" s="1"/>
  <c r="H1213" i="51" a="1"/>
  <c r="H1213" i="51" s="1"/>
  <c r="I1213" i="51"/>
  <c r="J1213" i="51"/>
  <c r="K1213" i="51"/>
  <c r="L1213" i="51"/>
  <c r="A1214" i="51"/>
  <c r="B1214" i="51"/>
  <c r="C1214" i="51"/>
  <c r="D1214" i="51"/>
  <c r="E1214" i="51"/>
  <c r="F1214" i="51"/>
  <c r="G1214" i="51" a="1"/>
  <c r="G1214" i="51" s="1"/>
  <c r="H1214" i="51" a="1"/>
  <c r="H1214" i="51" s="1"/>
  <c r="I1214" i="51"/>
  <c r="J1214" i="51"/>
  <c r="K1214" i="51"/>
  <c r="L1214" i="51"/>
  <c r="A1215" i="51"/>
  <c r="B1215" i="51"/>
  <c r="C1215" i="51"/>
  <c r="D1215" i="51"/>
  <c r="E1215" i="51"/>
  <c r="F1215" i="51"/>
  <c r="G1215" i="51" a="1"/>
  <c r="G1215" i="51" s="1"/>
  <c r="H1215" i="51" a="1"/>
  <c r="H1215" i="51" s="1"/>
  <c r="I1215" i="51"/>
  <c r="J1215" i="51"/>
  <c r="K1215" i="51"/>
  <c r="L1215" i="51"/>
  <c r="A1216" i="51"/>
  <c r="B1216" i="51"/>
  <c r="C1216" i="51"/>
  <c r="D1216" i="51"/>
  <c r="E1216" i="51"/>
  <c r="F1216" i="51"/>
  <c r="G1216" i="51" a="1"/>
  <c r="G1216" i="51" s="1"/>
  <c r="H1216" i="51" a="1"/>
  <c r="H1216" i="51" s="1"/>
  <c r="I1216" i="51"/>
  <c r="J1216" i="51"/>
  <c r="K1216" i="51"/>
  <c r="L1216" i="51"/>
  <c r="A1217" i="51"/>
  <c r="B1217" i="51"/>
  <c r="C1217" i="51"/>
  <c r="D1217" i="51"/>
  <c r="E1217" i="51"/>
  <c r="F1217" i="51"/>
  <c r="G1217" i="51" a="1"/>
  <c r="G1217" i="51" s="1"/>
  <c r="H1217" i="51" a="1"/>
  <c r="H1217" i="51"/>
  <c r="I1217" i="51"/>
  <c r="J1217" i="51"/>
  <c r="K1217" i="51"/>
  <c r="L1217" i="51"/>
  <c r="A1218" i="51"/>
  <c r="B1218" i="51"/>
  <c r="C1218" i="51"/>
  <c r="D1218" i="51"/>
  <c r="E1218" i="51"/>
  <c r="F1218" i="51"/>
  <c r="G1218" i="51" a="1"/>
  <c r="G1218" i="51"/>
  <c r="H1218" i="51" a="1"/>
  <c r="H1218" i="51" s="1"/>
  <c r="I1218" i="51"/>
  <c r="J1218" i="51"/>
  <c r="K1218" i="51"/>
  <c r="L1218" i="51"/>
  <c r="A1219" i="51"/>
  <c r="B1219" i="51"/>
  <c r="C1219" i="51"/>
  <c r="D1219" i="51"/>
  <c r="E1219" i="51"/>
  <c r="F1219" i="51"/>
  <c r="G1219" i="51" a="1"/>
  <c r="G1219" i="51" s="1"/>
  <c r="H1219" i="51" a="1"/>
  <c r="H1219" i="51" s="1"/>
  <c r="I1219" i="51"/>
  <c r="J1219" i="51"/>
  <c r="K1219" i="51"/>
  <c r="L1219" i="51"/>
  <c r="A1220" i="51"/>
  <c r="B1220" i="51"/>
  <c r="C1220" i="51"/>
  <c r="D1220" i="51"/>
  <c r="E1220" i="51"/>
  <c r="F1220" i="51"/>
  <c r="G1220" i="51" a="1"/>
  <c r="G1220" i="51" s="1"/>
  <c r="H1220" i="51" a="1"/>
  <c r="H1220" i="51" s="1"/>
  <c r="I1220" i="51"/>
  <c r="J1220" i="51"/>
  <c r="K1220" i="51"/>
  <c r="L1220" i="51"/>
  <c r="A1221" i="51"/>
  <c r="B1221" i="51"/>
  <c r="C1221" i="51"/>
  <c r="D1221" i="51"/>
  <c r="E1221" i="51"/>
  <c r="F1221" i="51"/>
  <c r="G1221" i="51" a="1"/>
  <c r="G1221" i="51" s="1"/>
  <c r="H1221" i="51" a="1"/>
  <c r="H1221" i="51" s="1"/>
  <c r="I1221" i="51"/>
  <c r="J1221" i="51"/>
  <c r="K1221" i="51"/>
  <c r="L1221" i="51"/>
  <c r="A1222" i="51"/>
  <c r="B1222" i="51"/>
  <c r="C1222" i="51"/>
  <c r="D1222" i="51"/>
  <c r="E1222" i="51"/>
  <c r="F1222" i="51"/>
  <c r="G1222" i="51" a="1"/>
  <c r="G1222" i="51" s="1"/>
  <c r="H1222" i="51" a="1"/>
  <c r="H1222" i="51" s="1"/>
  <c r="I1222" i="51"/>
  <c r="J1222" i="51"/>
  <c r="K1222" i="51"/>
  <c r="L1222" i="51"/>
  <c r="A1223" i="51"/>
  <c r="B1223" i="51"/>
  <c r="C1223" i="51"/>
  <c r="D1223" i="51"/>
  <c r="E1223" i="51"/>
  <c r="F1223" i="51"/>
  <c r="G1223" i="51" a="1"/>
  <c r="G1223" i="51" s="1"/>
  <c r="H1223" i="51" a="1"/>
  <c r="H1223" i="51" s="1"/>
  <c r="I1223" i="51"/>
  <c r="J1223" i="51"/>
  <c r="K1223" i="51"/>
  <c r="L1223" i="51"/>
  <c r="A1224" i="51"/>
  <c r="B1224" i="51"/>
  <c r="C1224" i="51"/>
  <c r="D1224" i="51"/>
  <c r="E1224" i="51"/>
  <c r="F1224" i="51"/>
  <c r="G1224" i="51" a="1"/>
  <c r="G1224" i="51" s="1"/>
  <c r="H1224" i="51" a="1"/>
  <c r="H1224" i="51" s="1"/>
  <c r="I1224" i="51"/>
  <c r="J1224" i="51"/>
  <c r="K1224" i="51"/>
  <c r="L1224" i="51"/>
  <c r="A1225" i="51"/>
  <c r="B1225" i="51"/>
  <c r="C1225" i="51"/>
  <c r="D1225" i="51"/>
  <c r="E1225" i="51"/>
  <c r="F1225" i="51"/>
  <c r="G1225" i="51" a="1"/>
  <c r="G1225" i="51" s="1"/>
  <c r="H1225" i="51" a="1"/>
  <c r="H1225" i="51"/>
  <c r="I1225" i="51"/>
  <c r="J1225" i="51"/>
  <c r="K1225" i="51"/>
  <c r="L1225" i="51"/>
  <c r="A1226" i="51"/>
  <c r="B1226" i="51"/>
  <c r="C1226" i="51"/>
  <c r="D1226" i="51"/>
  <c r="E1226" i="51"/>
  <c r="F1226" i="51"/>
  <c r="G1226" i="51" a="1"/>
  <c r="G1226" i="51"/>
  <c r="H1226" i="51" a="1"/>
  <c r="H1226" i="51" s="1"/>
  <c r="I1226" i="51"/>
  <c r="J1226" i="51"/>
  <c r="K1226" i="51"/>
  <c r="L1226" i="51"/>
  <c r="A1227" i="51"/>
  <c r="B1227" i="51"/>
  <c r="C1227" i="51"/>
  <c r="D1227" i="51"/>
  <c r="E1227" i="51"/>
  <c r="F1227" i="51"/>
  <c r="G1227" i="51" a="1"/>
  <c r="G1227" i="51" s="1"/>
  <c r="H1227" i="51" a="1"/>
  <c r="H1227" i="51" s="1"/>
  <c r="I1227" i="51"/>
  <c r="J1227" i="51"/>
  <c r="K1227" i="51"/>
  <c r="L1227" i="51"/>
  <c r="A1228" i="51"/>
  <c r="B1228" i="51"/>
  <c r="C1228" i="51"/>
  <c r="D1228" i="51"/>
  <c r="E1228" i="51"/>
  <c r="F1228" i="51"/>
  <c r="G1228" i="51" a="1"/>
  <c r="G1228" i="51" s="1"/>
  <c r="H1228" i="51" a="1"/>
  <c r="H1228" i="51" s="1"/>
  <c r="I1228" i="51"/>
  <c r="J1228" i="51"/>
  <c r="K1228" i="51"/>
  <c r="L1228" i="51"/>
  <c r="A1229" i="51"/>
  <c r="B1229" i="51"/>
  <c r="C1229" i="51"/>
  <c r="D1229" i="51"/>
  <c r="E1229" i="51"/>
  <c r="F1229" i="51"/>
  <c r="G1229" i="51" a="1"/>
  <c r="G1229" i="51" s="1"/>
  <c r="H1229" i="51" a="1"/>
  <c r="H1229" i="51" s="1"/>
  <c r="I1229" i="51"/>
  <c r="J1229" i="51"/>
  <c r="K1229" i="51"/>
  <c r="L1229" i="51"/>
  <c r="A1230" i="51"/>
  <c r="B1230" i="51"/>
  <c r="C1230" i="51"/>
  <c r="D1230" i="51"/>
  <c r="E1230" i="51"/>
  <c r="F1230" i="51"/>
  <c r="G1230" i="51" a="1"/>
  <c r="G1230" i="51" s="1"/>
  <c r="H1230" i="51" a="1"/>
  <c r="H1230" i="51" s="1"/>
  <c r="I1230" i="51"/>
  <c r="J1230" i="51"/>
  <c r="K1230" i="51"/>
  <c r="L1230" i="51"/>
  <c r="A1231" i="51"/>
  <c r="B1231" i="51"/>
  <c r="C1231" i="51"/>
  <c r="D1231" i="51"/>
  <c r="E1231" i="51"/>
  <c r="F1231" i="51"/>
  <c r="G1231" i="51" a="1"/>
  <c r="G1231" i="51" s="1"/>
  <c r="H1231" i="51" a="1"/>
  <c r="H1231" i="51" s="1"/>
  <c r="I1231" i="51"/>
  <c r="J1231" i="51"/>
  <c r="K1231" i="51"/>
  <c r="L1231" i="51"/>
  <c r="A1232" i="51"/>
  <c r="B1232" i="51"/>
  <c r="C1232" i="51"/>
  <c r="D1232" i="51"/>
  <c r="E1232" i="51"/>
  <c r="F1232" i="51"/>
  <c r="G1232" i="51" a="1"/>
  <c r="G1232" i="51" s="1"/>
  <c r="H1232" i="51" a="1"/>
  <c r="H1232" i="51" s="1"/>
  <c r="I1232" i="51"/>
  <c r="J1232" i="51"/>
  <c r="K1232" i="51"/>
  <c r="L1232" i="51"/>
  <c r="A1233" i="51"/>
  <c r="B1233" i="51"/>
  <c r="C1233" i="51"/>
  <c r="D1233" i="51"/>
  <c r="E1233" i="51"/>
  <c r="F1233" i="51"/>
  <c r="G1233" i="51" a="1"/>
  <c r="G1233" i="51" s="1"/>
  <c r="H1233" i="51" a="1"/>
  <c r="H1233" i="51"/>
  <c r="I1233" i="51"/>
  <c r="J1233" i="51"/>
  <c r="K1233" i="51"/>
  <c r="L1233" i="51"/>
  <c r="A1234" i="51"/>
  <c r="B1234" i="51"/>
  <c r="C1234" i="51"/>
  <c r="D1234" i="51"/>
  <c r="E1234" i="51"/>
  <c r="F1234" i="51"/>
  <c r="G1234" i="51" a="1"/>
  <c r="G1234" i="51"/>
  <c r="H1234" i="51" a="1"/>
  <c r="H1234" i="51" s="1"/>
  <c r="I1234" i="51"/>
  <c r="J1234" i="51"/>
  <c r="K1234" i="51"/>
  <c r="L1234" i="51"/>
  <c r="A1235" i="51"/>
  <c r="B1235" i="51"/>
  <c r="C1235" i="51"/>
  <c r="D1235" i="51"/>
  <c r="E1235" i="51"/>
  <c r="F1235" i="51"/>
  <c r="G1235" i="51" a="1"/>
  <c r="G1235" i="51" s="1"/>
  <c r="H1235" i="51" a="1"/>
  <c r="H1235" i="51" s="1"/>
  <c r="I1235" i="51"/>
  <c r="J1235" i="51"/>
  <c r="K1235" i="51"/>
  <c r="L1235" i="51"/>
  <c r="A1236" i="51"/>
  <c r="B1236" i="51"/>
  <c r="C1236" i="51"/>
  <c r="D1236" i="51"/>
  <c r="E1236" i="51"/>
  <c r="F1236" i="51"/>
  <c r="G1236" i="51" a="1"/>
  <c r="G1236" i="51" s="1"/>
  <c r="H1236" i="51" a="1"/>
  <c r="H1236" i="51" s="1"/>
  <c r="I1236" i="51"/>
  <c r="J1236" i="51"/>
  <c r="K1236" i="51"/>
  <c r="L1236" i="51"/>
  <c r="A1237" i="51"/>
  <c r="B1237" i="51"/>
  <c r="C1237" i="51"/>
  <c r="D1237" i="51"/>
  <c r="E1237" i="51"/>
  <c r="F1237" i="51"/>
  <c r="G1237" i="51" a="1"/>
  <c r="G1237" i="51" s="1"/>
  <c r="H1237" i="51" a="1"/>
  <c r="H1237" i="51" s="1"/>
  <c r="I1237" i="51"/>
  <c r="J1237" i="51"/>
  <c r="K1237" i="51"/>
  <c r="L1237" i="51"/>
  <c r="A1238" i="51"/>
  <c r="B1238" i="51"/>
  <c r="C1238" i="51"/>
  <c r="D1238" i="51"/>
  <c r="E1238" i="51"/>
  <c r="F1238" i="51"/>
  <c r="G1238" i="51" a="1"/>
  <c r="G1238" i="51" s="1"/>
  <c r="H1238" i="51" a="1"/>
  <c r="H1238" i="51" s="1"/>
  <c r="I1238" i="51"/>
  <c r="J1238" i="51"/>
  <c r="K1238" i="51"/>
  <c r="L1238" i="51"/>
  <c r="A1239" i="51"/>
  <c r="B1239" i="51"/>
  <c r="C1239" i="51"/>
  <c r="D1239" i="51"/>
  <c r="E1239" i="51"/>
  <c r="F1239" i="51"/>
  <c r="G1239" i="51" a="1"/>
  <c r="G1239" i="51" s="1"/>
  <c r="H1239" i="51" a="1"/>
  <c r="H1239" i="51" s="1"/>
  <c r="I1239" i="51"/>
  <c r="J1239" i="51"/>
  <c r="K1239" i="51"/>
  <c r="L1239" i="51"/>
  <c r="A1240" i="51"/>
  <c r="B1240" i="51"/>
  <c r="C1240" i="51"/>
  <c r="D1240" i="51"/>
  <c r="E1240" i="51"/>
  <c r="F1240" i="51"/>
  <c r="G1240" i="51" a="1"/>
  <c r="G1240" i="51" s="1"/>
  <c r="H1240" i="51" a="1"/>
  <c r="H1240" i="51" s="1"/>
  <c r="I1240" i="51"/>
  <c r="J1240" i="51"/>
  <c r="K1240" i="51"/>
  <c r="L1240" i="51"/>
  <c r="A1241" i="51"/>
  <c r="B1241" i="51"/>
  <c r="C1241" i="51"/>
  <c r="D1241" i="51"/>
  <c r="E1241" i="51"/>
  <c r="F1241" i="51"/>
  <c r="G1241" i="51" a="1"/>
  <c r="G1241" i="51" s="1"/>
  <c r="H1241" i="51" a="1"/>
  <c r="H1241" i="51"/>
  <c r="I1241" i="51"/>
  <c r="J1241" i="51"/>
  <c r="K1241" i="51"/>
  <c r="L1241" i="51"/>
  <c r="A1242" i="51"/>
  <c r="B1242" i="51"/>
  <c r="C1242" i="51"/>
  <c r="D1242" i="51"/>
  <c r="E1242" i="51"/>
  <c r="F1242" i="51"/>
  <c r="G1242" i="51" a="1"/>
  <c r="G1242" i="51"/>
  <c r="H1242" i="51" a="1"/>
  <c r="H1242" i="51" s="1"/>
  <c r="I1242" i="51"/>
  <c r="J1242" i="51"/>
  <c r="K1242" i="51"/>
  <c r="L1242" i="51"/>
  <c r="A1243" i="51"/>
  <c r="B1243" i="51"/>
  <c r="C1243" i="51"/>
  <c r="D1243" i="51"/>
  <c r="E1243" i="51"/>
  <c r="F1243" i="51"/>
  <c r="G1243" i="51" a="1"/>
  <c r="G1243" i="51" s="1"/>
  <c r="H1243" i="51" a="1"/>
  <c r="H1243" i="51" s="1"/>
  <c r="I1243" i="51"/>
  <c r="J1243" i="51"/>
  <c r="K1243" i="51"/>
  <c r="L1243" i="51"/>
  <c r="A1244" i="51"/>
  <c r="B1244" i="51"/>
  <c r="C1244" i="51"/>
  <c r="D1244" i="51"/>
  <c r="E1244" i="51"/>
  <c r="F1244" i="51"/>
  <c r="G1244" i="51" a="1"/>
  <c r="G1244" i="51" s="1"/>
  <c r="H1244" i="51" a="1"/>
  <c r="H1244" i="51" s="1"/>
  <c r="I1244" i="51"/>
  <c r="J1244" i="51"/>
  <c r="K1244" i="51"/>
  <c r="L1244" i="51"/>
  <c r="A1245" i="51"/>
  <c r="B1245" i="51"/>
  <c r="C1245" i="51"/>
  <c r="D1245" i="51"/>
  <c r="E1245" i="51"/>
  <c r="F1245" i="51"/>
  <c r="G1245" i="51" a="1"/>
  <c r="G1245" i="51" s="1"/>
  <c r="H1245" i="51" a="1"/>
  <c r="H1245" i="51" s="1"/>
  <c r="I1245" i="51"/>
  <c r="J1245" i="51"/>
  <c r="K1245" i="51"/>
  <c r="L1245" i="51"/>
  <c r="A1246" i="51"/>
  <c r="B1246" i="51"/>
  <c r="C1246" i="51"/>
  <c r="D1246" i="51"/>
  <c r="E1246" i="51"/>
  <c r="F1246" i="51"/>
  <c r="G1246" i="51" a="1"/>
  <c r="G1246" i="51" s="1"/>
  <c r="H1246" i="51" a="1"/>
  <c r="H1246" i="51" s="1"/>
  <c r="I1246" i="51"/>
  <c r="J1246" i="51"/>
  <c r="K1246" i="51"/>
  <c r="L1246" i="51"/>
  <c r="A1247" i="51"/>
  <c r="B1247" i="51"/>
  <c r="C1247" i="51"/>
  <c r="D1247" i="51"/>
  <c r="E1247" i="51"/>
  <c r="F1247" i="51"/>
  <c r="G1247" i="51" a="1"/>
  <c r="G1247" i="51" s="1"/>
  <c r="H1247" i="51" a="1"/>
  <c r="H1247" i="51" s="1"/>
  <c r="I1247" i="51"/>
  <c r="J1247" i="51"/>
  <c r="K1247" i="51"/>
  <c r="L1247" i="51"/>
  <c r="A1248" i="51"/>
  <c r="B1248" i="51"/>
  <c r="C1248" i="51"/>
  <c r="D1248" i="51"/>
  <c r="E1248" i="51"/>
  <c r="F1248" i="51"/>
  <c r="G1248" i="51" a="1"/>
  <c r="G1248" i="51" s="1"/>
  <c r="H1248" i="51" a="1"/>
  <c r="H1248" i="51" s="1"/>
  <c r="I1248" i="51"/>
  <c r="J1248" i="51"/>
  <c r="K1248" i="51"/>
  <c r="L1248" i="51"/>
  <c r="A1249" i="51"/>
  <c r="B1249" i="51"/>
  <c r="C1249" i="51"/>
  <c r="D1249" i="51"/>
  <c r="E1249" i="51"/>
  <c r="F1249" i="51"/>
  <c r="G1249" i="51" a="1"/>
  <c r="G1249" i="51" s="1"/>
  <c r="H1249" i="51" a="1"/>
  <c r="H1249" i="51"/>
  <c r="I1249" i="51"/>
  <c r="J1249" i="51"/>
  <c r="K1249" i="51"/>
  <c r="L1249" i="51"/>
  <c r="A1250" i="51"/>
  <c r="B1250" i="51"/>
  <c r="C1250" i="51"/>
  <c r="D1250" i="51"/>
  <c r="E1250" i="51"/>
  <c r="F1250" i="51"/>
  <c r="G1250" i="51" a="1"/>
  <c r="G1250" i="51"/>
  <c r="H1250" i="51" a="1"/>
  <c r="H1250" i="51" s="1"/>
  <c r="I1250" i="51"/>
  <c r="J1250" i="51"/>
  <c r="K1250" i="51"/>
  <c r="L1250" i="51"/>
  <c r="A1251" i="51"/>
  <c r="B1251" i="51"/>
  <c r="C1251" i="51"/>
  <c r="D1251" i="51"/>
  <c r="E1251" i="51"/>
  <c r="F1251" i="51"/>
  <c r="G1251" i="51" a="1"/>
  <c r="G1251" i="51" s="1"/>
  <c r="H1251" i="51" a="1"/>
  <c r="H1251" i="51" s="1"/>
  <c r="I1251" i="51"/>
  <c r="J1251" i="51"/>
  <c r="K1251" i="51"/>
  <c r="L1251" i="51"/>
  <c r="A1252" i="51"/>
  <c r="B1252" i="51"/>
  <c r="C1252" i="51"/>
  <c r="D1252" i="51"/>
  <c r="E1252" i="51"/>
  <c r="F1252" i="51"/>
  <c r="G1252" i="51" a="1"/>
  <c r="G1252" i="51" s="1"/>
  <c r="H1252" i="51" a="1"/>
  <c r="H1252" i="51" s="1"/>
  <c r="I1252" i="51"/>
  <c r="J1252" i="51"/>
  <c r="K1252" i="51"/>
  <c r="L1252" i="51"/>
  <c r="A1253" i="51"/>
  <c r="B1253" i="51"/>
  <c r="C1253" i="51"/>
  <c r="D1253" i="51"/>
  <c r="E1253" i="51"/>
  <c r="F1253" i="51"/>
  <c r="G1253" i="51" a="1"/>
  <c r="G1253" i="51" s="1"/>
  <c r="H1253" i="51" a="1"/>
  <c r="H1253" i="51" s="1"/>
  <c r="I1253" i="51"/>
  <c r="J1253" i="51"/>
  <c r="K1253" i="51"/>
  <c r="L1253" i="51"/>
  <c r="A1254" i="51"/>
  <c r="B1254" i="51"/>
  <c r="C1254" i="51"/>
  <c r="D1254" i="51"/>
  <c r="E1254" i="51"/>
  <c r="F1254" i="51"/>
  <c r="G1254" i="51" a="1"/>
  <c r="G1254" i="51" s="1"/>
  <c r="H1254" i="51" a="1"/>
  <c r="H1254" i="51" s="1"/>
  <c r="I1254" i="51"/>
  <c r="J1254" i="51"/>
  <c r="K1254" i="51"/>
  <c r="L1254" i="51"/>
  <c r="A1255" i="51"/>
  <c r="B1255" i="51"/>
  <c r="C1255" i="51"/>
  <c r="D1255" i="51"/>
  <c r="E1255" i="51"/>
  <c r="F1255" i="51"/>
  <c r="G1255" i="51" a="1"/>
  <c r="G1255" i="51" s="1"/>
  <c r="H1255" i="51" a="1"/>
  <c r="H1255" i="51" s="1"/>
  <c r="I1255" i="51"/>
  <c r="J1255" i="51"/>
  <c r="K1255" i="51"/>
  <c r="L1255" i="51"/>
  <c r="A1256" i="51"/>
  <c r="B1256" i="51"/>
  <c r="C1256" i="51"/>
  <c r="D1256" i="51"/>
  <c r="E1256" i="51"/>
  <c r="F1256" i="51"/>
  <c r="G1256" i="51" a="1"/>
  <c r="G1256" i="51" s="1"/>
  <c r="H1256" i="51" a="1"/>
  <c r="H1256" i="51" s="1"/>
  <c r="I1256" i="51"/>
  <c r="J1256" i="51"/>
  <c r="K1256" i="51"/>
  <c r="L1256" i="51"/>
  <c r="A1257" i="51"/>
  <c r="B1257" i="51"/>
  <c r="C1257" i="51"/>
  <c r="D1257" i="51"/>
  <c r="E1257" i="51"/>
  <c r="F1257" i="51"/>
  <c r="G1257" i="51" a="1"/>
  <c r="G1257" i="51" s="1"/>
  <c r="H1257" i="51" a="1"/>
  <c r="H1257" i="51"/>
  <c r="I1257" i="51"/>
  <c r="J1257" i="51"/>
  <c r="K1257" i="51"/>
  <c r="L1257" i="51"/>
  <c r="A1258" i="51"/>
  <c r="B1258" i="51"/>
  <c r="C1258" i="51"/>
  <c r="D1258" i="51"/>
  <c r="E1258" i="51"/>
  <c r="F1258" i="51"/>
  <c r="G1258" i="51" a="1"/>
  <c r="G1258" i="51"/>
  <c r="H1258" i="51" a="1"/>
  <c r="H1258" i="51" s="1"/>
  <c r="I1258" i="51"/>
  <c r="J1258" i="51"/>
  <c r="K1258" i="51"/>
  <c r="L1258" i="51"/>
  <c r="A1259" i="51"/>
  <c r="B1259" i="51"/>
  <c r="C1259" i="51"/>
  <c r="D1259" i="51"/>
  <c r="E1259" i="51"/>
  <c r="F1259" i="51"/>
  <c r="G1259" i="51" a="1"/>
  <c r="G1259" i="51" s="1"/>
  <c r="H1259" i="51" a="1"/>
  <c r="H1259" i="51" s="1"/>
  <c r="I1259" i="51"/>
  <c r="J1259" i="51"/>
  <c r="K1259" i="51"/>
  <c r="L1259" i="51"/>
  <c r="A1260" i="51"/>
  <c r="B1260" i="51"/>
  <c r="C1260" i="51"/>
  <c r="D1260" i="51"/>
  <c r="E1260" i="51"/>
  <c r="F1260" i="51"/>
  <c r="G1260" i="51" a="1"/>
  <c r="G1260" i="51" s="1"/>
  <c r="H1260" i="51" a="1"/>
  <c r="H1260" i="51" s="1"/>
  <c r="I1260" i="51"/>
  <c r="J1260" i="51"/>
  <c r="K1260" i="51"/>
  <c r="L1260" i="51"/>
  <c r="A1261" i="51"/>
  <c r="B1261" i="51"/>
  <c r="C1261" i="51"/>
  <c r="D1261" i="51"/>
  <c r="E1261" i="51"/>
  <c r="F1261" i="51"/>
  <c r="G1261" i="51" a="1"/>
  <c r="G1261" i="51" s="1"/>
  <c r="H1261" i="51" a="1"/>
  <c r="H1261" i="51" s="1"/>
  <c r="I1261" i="51"/>
  <c r="J1261" i="51"/>
  <c r="K1261" i="51"/>
  <c r="L1261" i="51"/>
  <c r="A1262" i="51"/>
  <c r="B1262" i="51"/>
  <c r="C1262" i="51"/>
  <c r="D1262" i="51"/>
  <c r="E1262" i="51"/>
  <c r="F1262" i="51"/>
  <c r="G1262" i="51" a="1"/>
  <c r="G1262" i="51" s="1"/>
  <c r="H1262" i="51" a="1"/>
  <c r="H1262" i="51" s="1"/>
  <c r="I1262" i="51"/>
  <c r="J1262" i="51"/>
  <c r="K1262" i="51"/>
  <c r="L1262" i="51"/>
  <c r="A1263" i="51"/>
  <c r="B1263" i="51"/>
  <c r="C1263" i="51"/>
  <c r="D1263" i="51"/>
  <c r="E1263" i="51"/>
  <c r="F1263" i="51"/>
  <c r="G1263" i="51" a="1"/>
  <c r="G1263" i="51" s="1"/>
  <c r="H1263" i="51" a="1"/>
  <c r="H1263" i="51" s="1"/>
  <c r="I1263" i="51"/>
  <c r="J1263" i="51"/>
  <c r="K1263" i="51"/>
  <c r="L1263" i="51"/>
  <c r="A1264" i="51"/>
  <c r="B1264" i="51"/>
  <c r="C1264" i="51"/>
  <c r="D1264" i="51"/>
  <c r="E1264" i="51"/>
  <c r="F1264" i="51"/>
  <c r="G1264" i="51" a="1"/>
  <c r="G1264" i="51" s="1"/>
  <c r="H1264" i="51" a="1"/>
  <c r="H1264" i="51" s="1"/>
  <c r="I1264" i="51"/>
  <c r="J1264" i="51"/>
  <c r="K1264" i="51"/>
  <c r="L1264" i="51"/>
  <c r="A1265" i="51"/>
  <c r="B1265" i="51"/>
  <c r="C1265" i="51"/>
  <c r="D1265" i="51"/>
  <c r="E1265" i="51"/>
  <c r="F1265" i="51"/>
  <c r="G1265" i="51" a="1"/>
  <c r="G1265" i="51" s="1"/>
  <c r="H1265" i="51" a="1"/>
  <c r="H1265" i="51"/>
  <c r="I1265" i="51"/>
  <c r="J1265" i="51"/>
  <c r="K1265" i="51"/>
  <c r="L1265" i="51"/>
  <c r="A1266" i="51"/>
  <c r="B1266" i="51"/>
  <c r="C1266" i="51"/>
  <c r="D1266" i="51"/>
  <c r="E1266" i="51"/>
  <c r="F1266" i="51"/>
  <c r="G1266" i="51" a="1"/>
  <c r="G1266" i="51"/>
  <c r="H1266" i="51" a="1"/>
  <c r="H1266" i="51" s="1"/>
  <c r="I1266" i="51"/>
  <c r="J1266" i="51"/>
  <c r="K1266" i="51"/>
  <c r="L1266" i="51"/>
  <c r="A1267" i="51"/>
  <c r="B1267" i="51"/>
  <c r="C1267" i="51"/>
  <c r="D1267" i="51"/>
  <c r="E1267" i="51"/>
  <c r="F1267" i="51"/>
  <c r="G1267" i="51" a="1"/>
  <c r="G1267" i="51" s="1"/>
  <c r="H1267" i="51" a="1"/>
  <c r="H1267" i="51" s="1"/>
  <c r="I1267" i="51"/>
  <c r="J1267" i="51"/>
  <c r="K1267" i="51"/>
  <c r="L1267" i="51"/>
  <c r="A1268" i="51"/>
  <c r="B1268" i="51"/>
  <c r="C1268" i="51"/>
  <c r="D1268" i="51"/>
  <c r="E1268" i="51"/>
  <c r="F1268" i="51"/>
  <c r="G1268" i="51" a="1"/>
  <c r="G1268" i="51" s="1"/>
  <c r="H1268" i="51" a="1"/>
  <c r="H1268" i="51" s="1"/>
  <c r="I1268" i="51"/>
  <c r="J1268" i="51"/>
  <c r="K1268" i="51"/>
  <c r="L1268" i="51"/>
  <c r="A1269" i="51"/>
  <c r="B1269" i="51"/>
  <c r="C1269" i="51"/>
  <c r="D1269" i="51"/>
  <c r="E1269" i="51"/>
  <c r="F1269" i="51"/>
  <c r="G1269" i="51" a="1"/>
  <c r="G1269" i="51" s="1"/>
  <c r="H1269" i="51" a="1"/>
  <c r="H1269" i="51" s="1"/>
  <c r="I1269" i="51"/>
  <c r="J1269" i="51"/>
  <c r="K1269" i="51"/>
  <c r="L1269" i="51"/>
  <c r="A1270" i="51"/>
  <c r="B1270" i="51"/>
  <c r="C1270" i="51"/>
  <c r="D1270" i="51"/>
  <c r="E1270" i="51"/>
  <c r="F1270" i="51"/>
  <c r="G1270" i="51" a="1"/>
  <c r="G1270" i="51" s="1"/>
  <c r="H1270" i="51" a="1"/>
  <c r="H1270" i="51" s="1"/>
  <c r="I1270" i="51"/>
  <c r="J1270" i="51"/>
  <c r="K1270" i="51"/>
  <c r="L1270" i="51"/>
  <c r="A1271" i="51"/>
  <c r="B1271" i="51"/>
  <c r="C1271" i="51"/>
  <c r="D1271" i="51"/>
  <c r="E1271" i="51"/>
  <c r="F1271" i="51"/>
  <c r="G1271" i="51" a="1"/>
  <c r="G1271" i="51" s="1"/>
  <c r="H1271" i="51" a="1"/>
  <c r="H1271" i="51" s="1"/>
  <c r="I1271" i="51"/>
  <c r="J1271" i="51"/>
  <c r="K1271" i="51"/>
  <c r="L1271" i="51"/>
  <c r="A1272" i="51"/>
  <c r="B1272" i="51"/>
  <c r="C1272" i="51"/>
  <c r="D1272" i="51"/>
  <c r="E1272" i="51"/>
  <c r="F1272" i="51"/>
  <c r="G1272" i="51" a="1"/>
  <c r="G1272" i="51" s="1"/>
  <c r="H1272" i="51" a="1"/>
  <c r="H1272" i="51" s="1"/>
  <c r="I1272" i="51"/>
  <c r="J1272" i="51"/>
  <c r="K1272" i="51"/>
  <c r="L1272" i="51"/>
  <c r="A1273" i="51"/>
  <c r="B1273" i="51"/>
  <c r="C1273" i="51"/>
  <c r="D1273" i="51"/>
  <c r="E1273" i="51"/>
  <c r="F1273" i="51"/>
  <c r="G1273" i="51" a="1"/>
  <c r="G1273" i="51" s="1"/>
  <c r="H1273" i="51" a="1"/>
  <c r="H1273" i="51"/>
  <c r="I1273" i="51"/>
  <c r="J1273" i="51"/>
  <c r="K1273" i="51"/>
  <c r="L1273" i="51"/>
  <c r="A1274" i="51"/>
  <c r="B1274" i="51"/>
  <c r="C1274" i="51"/>
  <c r="D1274" i="51"/>
  <c r="E1274" i="51"/>
  <c r="F1274" i="51"/>
  <c r="G1274" i="51" a="1"/>
  <c r="G1274" i="51"/>
  <c r="H1274" i="51" a="1"/>
  <c r="H1274" i="51" s="1"/>
  <c r="I1274" i="51"/>
  <c r="J1274" i="51"/>
  <c r="K1274" i="51"/>
  <c r="L1274" i="51"/>
  <c r="A1275" i="51"/>
  <c r="B1275" i="51"/>
  <c r="C1275" i="51"/>
  <c r="D1275" i="51"/>
  <c r="E1275" i="51"/>
  <c r="F1275" i="51"/>
  <c r="G1275" i="51" a="1"/>
  <c r="G1275" i="51" s="1"/>
  <c r="H1275" i="51" a="1"/>
  <c r="H1275" i="51" s="1"/>
  <c r="I1275" i="51"/>
  <c r="J1275" i="51"/>
  <c r="K1275" i="51"/>
  <c r="L1275" i="51"/>
  <c r="A1276" i="51"/>
  <c r="B1276" i="51"/>
  <c r="C1276" i="51"/>
  <c r="D1276" i="51"/>
  <c r="E1276" i="51"/>
  <c r="F1276" i="51"/>
  <c r="G1276" i="51" a="1"/>
  <c r="G1276" i="51" s="1"/>
  <c r="H1276" i="51" a="1"/>
  <c r="H1276" i="51" s="1"/>
  <c r="I1276" i="51"/>
  <c r="J1276" i="51"/>
  <c r="K1276" i="51"/>
  <c r="L1276" i="51"/>
  <c r="A1277" i="51"/>
  <c r="B1277" i="51"/>
  <c r="C1277" i="51"/>
  <c r="D1277" i="51"/>
  <c r="E1277" i="51"/>
  <c r="F1277" i="51"/>
  <c r="G1277" i="51" a="1"/>
  <c r="G1277" i="51" s="1"/>
  <c r="H1277" i="51" a="1"/>
  <c r="H1277" i="51" s="1"/>
  <c r="I1277" i="51"/>
  <c r="J1277" i="51"/>
  <c r="K1277" i="51"/>
  <c r="L1277" i="51"/>
  <c r="A1278" i="51"/>
  <c r="B1278" i="51"/>
  <c r="C1278" i="51"/>
  <c r="D1278" i="51"/>
  <c r="E1278" i="51"/>
  <c r="F1278" i="51"/>
  <c r="G1278" i="51" a="1"/>
  <c r="G1278" i="51" s="1"/>
  <c r="H1278" i="51" a="1"/>
  <c r="H1278" i="51" s="1"/>
  <c r="I1278" i="51"/>
  <c r="J1278" i="51"/>
  <c r="K1278" i="51"/>
  <c r="L1278" i="51"/>
  <c r="A1279" i="51"/>
  <c r="B1279" i="51"/>
  <c r="C1279" i="51"/>
  <c r="D1279" i="51"/>
  <c r="E1279" i="51"/>
  <c r="F1279" i="51"/>
  <c r="G1279" i="51" a="1"/>
  <c r="G1279" i="51" s="1"/>
  <c r="H1279" i="51" a="1"/>
  <c r="H1279" i="51" s="1"/>
  <c r="I1279" i="51"/>
  <c r="J1279" i="51"/>
  <c r="K1279" i="51"/>
  <c r="L1279" i="51"/>
  <c r="A1280" i="51"/>
  <c r="B1280" i="51"/>
  <c r="C1280" i="51"/>
  <c r="D1280" i="51"/>
  <c r="E1280" i="51"/>
  <c r="F1280" i="51"/>
  <c r="G1280" i="51" a="1"/>
  <c r="G1280" i="51" s="1"/>
  <c r="H1280" i="51" a="1"/>
  <c r="H1280" i="51" s="1"/>
  <c r="I1280" i="51"/>
  <c r="J1280" i="51"/>
  <c r="K1280" i="51"/>
  <c r="L1280" i="51"/>
  <c r="A1281" i="51"/>
  <c r="B1281" i="51"/>
  <c r="C1281" i="51"/>
  <c r="D1281" i="51"/>
  <c r="E1281" i="51"/>
  <c r="F1281" i="51"/>
  <c r="G1281" i="51" a="1"/>
  <c r="G1281" i="51" s="1"/>
  <c r="H1281" i="51" a="1"/>
  <c r="H1281" i="51"/>
  <c r="I1281" i="51"/>
  <c r="J1281" i="51"/>
  <c r="K1281" i="51"/>
  <c r="L1281" i="51"/>
  <c r="A1282" i="51"/>
  <c r="B1282" i="51"/>
  <c r="C1282" i="51"/>
  <c r="D1282" i="51"/>
  <c r="E1282" i="51"/>
  <c r="F1282" i="51"/>
  <c r="G1282" i="51" a="1"/>
  <c r="G1282" i="51"/>
  <c r="H1282" i="51" a="1"/>
  <c r="H1282" i="51" s="1"/>
  <c r="I1282" i="51"/>
  <c r="J1282" i="51"/>
  <c r="K1282" i="51"/>
  <c r="L1282" i="51"/>
  <c r="A1283" i="51"/>
  <c r="B1283" i="51"/>
  <c r="C1283" i="51"/>
  <c r="D1283" i="51"/>
  <c r="E1283" i="51"/>
  <c r="F1283" i="51"/>
  <c r="G1283" i="51" a="1"/>
  <c r="G1283" i="51" s="1"/>
  <c r="H1283" i="51" a="1"/>
  <c r="H1283" i="51" s="1"/>
  <c r="I1283" i="51"/>
  <c r="J1283" i="51"/>
  <c r="K1283" i="51"/>
  <c r="L1283" i="51"/>
  <c r="A1284" i="51"/>
  <c r="B1284" i="51"/>
  <c r="C1284" i="51"/>
  <c r="D1284" i="51"/>
  <c r="E1284" i="51"/>
  <c r="F1284" i="51"/>
  <c r="G1284" i="51" a="1"/>
  <c r="G1284" i="51" s="1"/>
  <c r="H1284" i="51" a="1"/>
  <c r="H1284" i="51" s="1"/>
  <c r="I1284" i="51"/>
  <c r="J1284" i="51"/>
  <c r="K1284" i="51"/>
  <c r="L1284" i="51"/>
  <c r="A1285" i="51"/>
  <c r="B1285" i="51"/>
  <c r="C1285" i="51"/>
  <c r="D1285" i="51"/>
  <c r="E1285" i="51"/>
  <c r="F1285" i="51"/>
  <c r="G1285" i="51" a="1"/>
  <c r="G1285" i="51" s="1"/>
  <c r="H1285" i="51" a="1"/>
  <c r="H1285" i="51" s="1"/>
  <c r="I1285" i="51"/>
  <c r="J1285" i="51"/>
  <c r="K1285" i="51"/>
  <c r="L1285" i="51"/>
  <c r="A1286" i="51"/>
  <c r="B1286" i="51"/>
  <c r="C1286" i="51"/>
  <c r="D1286" i="51"/>
  <c r="E1286" i="51"/>
  <c r="F1286" i="51"/>
  <c r="G1286" i="51" a="1"/>
  <c r="G1286" i="51" s="1"/>
  <c r="H1286" i="51" a="1"/>
  <c r="H1286" i="51" s="1"/>
  <c r="I1286" i="51"/>
  <c r="J1286" i="51"/>
  <c r="K1286" i="51"/>
  <c r="L1286" i="51"/>
  <c r="A1287" i="51"/>
  <c r="B1287" i="51"/>
  <c r="C1287" i="51"/>
  <c r="D1287" i="51"/>
  <c r="E1287" i="51"/>
  <c r="F1287" i="51"/>
  <c r="G1287" i="51" a="1"/>
  <c r="G1287" i="51" s="1"/>
  <c r="H1287" i="51" a="1"/>
  <c r="H1287" i="51" s="1"/>
  <c r="I1287" i="51"/>
  <c r="J1287" i="51"/>
  <c r="K1287" i="51"/>
  <c r="L1287" i="51"/>
  <c r="A1288" i="51"/>
  <c r="B1288" i="51"/>
  <c r="C1288" i="51"/>
  <c r="D1288" i="51"/>
  <c r="E1288" i="51"/>
  <c r="F1288" i="51"/>
  <c r="G1288" i="51" a="1"/>
  <c r="G1288" i="51" s="1"/>
  <c r="H1288" i="51" a="1"/>
  <c r="H1288" i="51" s="1"/>
  <c r="I1288" i="51"/>
  <c r="J1288" i="51"/>
  <c r="K1288" i="51"/>
  <c r="L1288" i="51"/>
  <c r="A1289" i="51"/>
  <c r="B1289" i="51"/>
  <c r="C1289" i="51"/>
  <c r="D1289" i="51"/>
  <c r="E1289" i="51"/>
  <c r="F1289" i="51"/>
  <c r="G1289" i="51" a="1"/>
  <c r="G1289" i="51" s="1"/>
  <c r="H1289" i="51" a="1"/>
  <c r="H1289" i="51"/>
  <c r="I1289" i="51"/>
  <c r="J1289" i="51"/>
  <c r="K1289" i="51"/>
  <c r="L1289" i="51"/>
  <c r="A1290" i="51"/>
  <c r="B1290" i="51"/>
  <c r="C1290" i="51"/>
  <c r="D1290" i="51"/>
  <c r="E1290" i="51"/>
  <c r="F1290" i="51"/>
  <c r="G1290" i="51" a="1"/>
  <c r="G1290" i="51"/>
  <c r="H1290" i="51" a="1"/>
  <c r="H1290" i="51" s="1"/>
  <c r="I1290" i="51"/>
  <c r="J1290" i="51"/>
  <c r="K1290" i="51"/>
  <c r="L1290" i="51"/>
  <c r="A1291" i="51"/>
  <c r="B1291" i="51"/>
  <c r="C1291" i="51"/>
  <c r="D1291" i="51"/>
  <c r="E1291" i="51"/>
  <c r="F1291" i="51"/>
  <c r="G1291" i="51" a="1"/>
  <c r="G1291" i="51" s="1"/>
  <c r="H1291" i="51" a="1"/>
  <c r="H1291" i="51" s="1"/>
  <c r="I1291" i="51"/>
  <c r="J1291" i="51"/>
  <c r="K1291" i="51"/>
  <c r="L1291" i="51"/>
  <c r="A1292" i="51"/>
  <c r="B1292" i="51"/>
  <c r="C1292" i="51"/>
  <c r="D1292" i="51"/>
  <c r="E1292" i="51"/>
  <c r="F1292" i="51"/>
  <c r="G1292" i="51" a="1"/>
  <c r="G1292" i="51" s="1"/>
  <c r="H1292" i="51" a="1"/>
  <c r="H1292" i="51" s="1"/>
  <c r="I1292" i="51"/>
  <c r="J1292" i="51"/>
  <c r="K1292" i="51"/>
  <c r="L1292" i="51"/>
  <c r="A1293" i="51"/>
  <c r="B1293" i="51"/>
  <c r="C1293" i="51"/>
  <c r="D1293" i="51"/>
  <c r="E1293" i="51"/>
  <c r="F1293" i="51"/>
  <c r="G1293" i="51" a="1"/>
  <c r="G1293" i="51" s="1"/>
  <c r="H1293" i="51" a="1"/>
  <c r="H1293" i="51" s="1"/>
  <c r="I1293" i="51"/>
  <c r="J1293" i="51"/>
  <c r="K1293" i="51"/>
  <c r="L1293" i="51"/>
  <c r="A1294" i="51"/>
  <c r="B1294" i="51"/>
  <c r="C1294" i="51"/>
  <c r="D1294" i="51"/>
  <c r="E1294" i="51"/>
  <c r="F1294" i="51"/>
  <c r="G1294" i="51" a="1"/>
  <c r="G1294" i="51" s="1"/>
  <c r="H1294" i="51" a="1"/>
  <c r="H1294" i="51" s="1"/>
  <c r="I1294" i="51"/>
  <c r="J1294" i="51"/>
  <c r="K1294" i="51"/>
  <c r="L1294" i="51"/>
  <c r="A1295" i="51"/>
  <c r="B1295" i="51"/>
  <c r="C1295" i="51"/>
  <c r="D1295" i="51"/>
  <c r="E1295" i="51"/>
  <c r="F1295" i="51"/>
  <c r="G1295" i="51" a="1"/>
  <c r="G1295" i="51" s="1"/>
  <c r="H1295" i="51" a="1"/>
  <c r="H1295" i="51" s="1"/>
  <c r="I1295" i="51"/>
  <c r="J1295" i="51"/>
  <c r="K1295" i="51"/>
  <c r="L1295" i="51"/>
  <c r="A1296" i="51"/>
  <c r="B1296" i="51"/>
  <c r="C1296" i="51"/>
  <c r="D1296" i="51"/>
  <c r="E1296" i="51"/>
  <c r="F1296" i="51"/>
  <c r="G1296" i="51" a="1"/>
  <c r="G1296" i="51" s="1"/>
  <c r="H1296" i="51" a="1"/>
  <c r="H1296" i="51" s="1"/>
  <c r="I1296" i="51"/>
  <c r="J1296" i="51"/>
  <c r="K1296" i="51"/>
  <c r="L1296" i="51"/>
  <c r="A1297" i="51"/>
  <c r="B1297" i="51"/>
  <c r="C1297" i="51"/>
  <c r="D1297" i="51"/>
  <c r="E1297" i="51"/>
  <c r="F1297" i="51"/>
  <c r="G1297" i="51" a="1"/>
  <c r="G1297" i="51" s="1"/>
  <c r="H1297" i="51" a="1"/>
  <c r="H1297" i="51"/>
  <c r="I1297" i="51"/>
  <c r="J1297" i="51"/>
  <c r="K1297" i="51"/>
  <c r="L1297" i="51"/>
  <c r="A1298" i="51"/>
  <c r="B1298" i="51"/>
  <c r="C1298" i="51"/>
  <c r="D1298" i="51"/>
  <c r="E1298" i="51"/>
  <c r="F1298" i="51"/>
  <c r="G1298" i="51" a="1"/>
  <c r="G1298" i="51"/>
  <c r="H1298" i="51" a="1"/>
  <c r="H1298" i="51" s="1"/>
  <c r="I1298" i="51"/>
  <c r="J1298" i="51"/>
  <c r="K1298" i="51"/>
  <c r="L1298" i="51"/>
  <c r="A1299" i="51"/>
  <c r="B1299" i="51"/>
  <c r="C1299" i="51"/>
  <c r="D1299" i="51"/>
  <c r="E1299" i="51"/>
  <c r="F1299" i="51"/>
  <c r="G1299" i="51" a="1"/>
  <c r="G1299" i="51" s="1"/>
  <c r="H1299" i="51" a="1"/>
  <c r="H1299" i="51" s="1"/>
  <c r="I1299" i="51"/>
  <c r="J1299" i="51"/>
  <c r="K1299" i="51"/>
  <c r="L1299" i="51"/>
  <c r="A1300" i="51"/>
  <c r="B1300" i="51"/>
  <c r="C1300" i="51"/>
  <c r="D1300" i="51"/>
  <c r="E1300" i="51"/>
  <c r="F1300" i="51"/>
  <c r="G1300" i="51" a="1"/>
  <c r="G1300" i="51" s="1"/>
  <c r="H1300" i="51" a="1"/>
  <c r="H1300" i="51" s="1"/>
  <c r="I1300" i="51"/>
  <c r="J1300" i="51"/>
  <c r="K1300" i="51"/>
  <c r="L1300" i="51"/>
  <c r="A1301" i="51"/>
  <c r="B1301" i="51"/>
  <c r="C1301" i="51"/>
  <c r="D1301" i="51"/>
  <c r="E1301" i="51"/>
  <c r="F1301" i="51"/>
  <c r="G1301" i="51" a="1"/>
  <c r="G1301" i="51" s="1"/>
  <c r="H1301" i="51" a="1"/>
  <c r="H1301" i="51" s="1"/>
  <c r="I1301" i="51"/>
  <c r="J1301" i="51"/>
  <c r="K1301" i="51"/>
  <c r="L1301" i="51"/>
  <c r="A1302" i="51"/>
  <c r="B1302" i="51"/>
  <c r="C1302" i="51"/>
  <c r="D1302" i="51"/>
  <c r="E1302" i="51"/>
  <c r="F1302" i="51"/>
  <c r="G1302" i="51" a="1"/>
  <c r="G1302" i="51" s="1"/>
  <c r="H1302" i="51" a="1"/>
  <c r="H1302" i="51" s="1"/>
  <c r="I1302" i="51"/>
  <c r="J1302" i="51"/>
  <c r="K1302" i="51"/>
  <c r="L1302" i="51"/>
  <c r="A1303" i="51"/>
  <c r="B1303" i="51"/>
  <c r="C1303" i="51"/>
  <c r="D1303" i="51"/>
  <c r="E1303" i="51"/>
  <c r="F1303" i="51"/>
  <c r="G1303" i="51" a="1"/>
  <c r="G1303" i="51" s="1"/>
  <c r="H1303" i="51" a="1"/>
  <c r="H1303" i="51" s="1"/>
  <c r="I1303" i="51"/>
  <c r="J1303" i="51"/>
  <c r="K1303" i="51"/>
  <c r="L1303" i="51"/>
  <c r="A1304" i="51"/>
  <c r="B1304" i="51"/>
  <c r="C1304" i="51"/>
  <c r="D1304" i="51"/>
  <c r="E1304" i="51"/>
  <c r="F1304" i="51"/>
  <c r="G1304" i="51" a="1"/>
  <c r="G1304" i="51" s="1"/>
  <c r="H1304" i="51" a="1"/>
  <c r="H1304" i="51" s="1"/>
  <c r="I1304" i="51"/>
  <c r="J1304" i="51"/>
  <c r="K1304" i="51"/>
  <c r="L1304" i="51"/>
  <c r="A1305" i="51"/>
  <c r="B1305" i="51"/>
  <c r="C1305" i="51"/>
  <c r="D1305" i="51"/>
  <c r="E1305" i="51"/>
  <c r="F1305" i="51"/>
  <c r="G1305" i="51" a="1"/>
  <c r="G1305" i="51" s="1"/>
  <c r="H1305" i="51" a="1"/>
  <c r="H1305" i="51"/>
  <c r="I1305" i="51"/>
  <c r="J1305" i="51"/>
  <c r="K1305" i="51"/>
  <c r="L1305" i="51"/>
  <c r="A1306" i="51"/>
  <c r="B1306" i="51"/>
  <c r="C1306" i="51"/>
  <c r="D1306" i="51"/>
  <c r="E1306" i="51"/>
  <c r="F1306" i="51"/>
  <c r="G1306" i="51" a="1"/>
  <c r="G1306" i="51"/>
  <c r="H1306" i="51" a="1"/>
  <c r="H1306" i="51" s="1"/>
  <c r="I1306" i="51"/>
  <c r="J1306" i="51"/>
  <c r="K1306" i="51"/>
  <c r="L1306" i="51"/>
  <c r="A1307" i="51"/>
  <c r="B1307" i="51"/>
  <c r="C1307" i="51"/>
  <c r="D1307" i="51"/>
  <c r="E1307" i="51"/>
  <c r="F1307" i="51"/>
  <c r="G1307" i="51" a="1"/>
  <c r="G1307" i="51" s="1"/>
  <c r="H1307" i="51" a="1"/>
  <c r="H1307" i="51" s="1"/>
  <c r="I1307" i="51"/>
  <c r="J1307" i="51"/>
  <c r="K1307" i="51"/>
  <c r="L1307" i="51"/>
  <c r="A1308" i="51"/>
  <c r="B1308" i="51"/>
  <c r="C1308" i="51"/>
  <c r="D1308" i="51"/>
  <c r="E1308" i="51"/>
  <c r="F1308" i="51"/>
  <c r="G1308" i="51" a="1"/>
  <c r="G1308" i="51" s="1"/>
  <c r="H1308" i="51" a="1"/>
  <c r="H1308" i="51" s="1"/>
  <c r="I1308" i="51"/>
  <c r="J1308" i="51"/>
  <c r="K1308" i="51"/>
  <c r="L1308" i="51"/>
  <c r="A1309" i="51"/>
  <c r="B1309" i="51"/>
  <c r="C1309" i="51"/>
  <c r="D1309" i="51"/>
  <c r="E1309" i="51"/>
  <c r="F1309" i="51"/>
  <c r="G1309" i="51" a="1"/>
  <c r="G1309" i="51" s="1"/>
  <c r="H1309" i="51" a="1"/>
  <c r="H1309" i="51" s="1"/>
  <c r="I1309" i="51"/>
  <c r="J1309" i="51"/>
  <c r="K1309" i="51"/>
  <c r="L1309" i="51"/>
  <c r="A1310" i="51"/>
  <c r="B1310" i="51"/>
  <c r="C1310" i="51"/>
  <c r="D1310" i="51"/>
  <c r="E1310" i="51"/>
  <c r="F1310" i="51"/>
  <c r="G1310" i="51" a="1"/>
  <c r="G1310" i="51" s="1"/>
  <c r="H1310" i="51" a="1"/>
  <c r="H1310" i="51" s="1"/>
  <c r="I1310" i="51"/>
  <c r="J1310" i="51"/>
  <c r="K1310" i="51"/>
  <c r="L1310" i="51"/>
  <c r="A1311" i="51"/>
  <c r="B1311" i="51"/>
  <c r="C1311" i="51"/>
  <c r="D1311" i="51"/>
  <c r="E1311" i="51"/>
  <c r="F1311" i="51"/>
  <c r="G1311" i="51" a="1"/>
  <c r="G1311" i="51" s="1"/>
  <c r="H1311" i="51" a="1"/>
  <c r="H1311" i="51" s="1"/>
  <c r="I1311" i="51"/>
  <c r="J1311" i="51"/>
  <c r="K1311" i="51"/>
  <c r="L1311" i="51"/>
  <c r="A1312" i="51"/>
  <c r="B1312" i="51"/>
  <c r="C1312" i="51"/>
  <c r="D1312" i="51"/>
  <c r="E1312" i="51"/>
  <c r="F1312" i="51"/>
  <c r="G1312" i="51" a="1"/>
  <c r="G1312" i="51" s="1"/>
  <c r="H1312" i="51" a="1"/>
  <c r="H1312" i="51" s="1"/>
  <c r="I1312" i="51"/>
  <c r="J1312" i="51"/>
  <c r="K1312" i="51"/>
  <c r="L1312" i="51"/>
  <c r="A1313" i="51"/>
  <c r="B1313" i="51"/>
  <c r="C1313" i="51"/>
  <c r="D1313" i="51"/>
  <c r="E1313" i="51"/>
  <c r="F1313" i="51"/>
  <c r="G1313" i="51" a="1"/>
  <c r="G1313" i="51" s="1"/>
  <c r="H1313" i="51" a="1"/>
  <c r="H1313" i="51"/>
  <c r="I1313" i="51"/>
  <c r="J1313" i="51"/>
  <c r="K1313" i="51"/>
  <c r="L1313" i="51"/>
  <c r="A1314" i="51"/>
  <c r="B1314" i="51"/>
  <c r="C1314" i="51"/>
  <c r="D1314" i="51"/>
  <c r="E1314" i="51"/>
  <c r="F1314" i="51"/>
  <c r="G1314" i="51" a="1"/>
  <c r="G1314" i="51"/>
  <c r="H1314" i="51" a="1"/>
  <c r="H1314" i="51" s="1"/>
  <c r="I1314" i="51"/>
  <c r="J1314" i="51"/>
  <c r="K1314" i="51"/>
  <c r="L1314" i="51"/>
  <c r="A1315" i="51"/>
  <c r="B1315" i="51"/>
  <c r="C1315" i="51"/>
  <c r="D1315" i="51"/>
  <c r="E1315" i="51"/>
  <c r="F1315" i="51"/>
  <c r="G1315" i="51" a="1"/>
  <c r="G1315" i="51" s="1"/>
  <c r="H1315" i="51" a="1"/>
  <c r="H1315" i="51" s="1"/>
  <c r="I1315" i="51"/>
  <c r="J1315" i="51"/>
  <c r="K1315" i="51"/>
  <c r="L1315" i="51"/>
  <c r="A1316" i="51"/>
  <c r="B1316" i="51"/>
  <c r="C1316" i="51"/>
  <c r="D1316" i="51"/>
  <c r="E1316" i="51"/>
  <c r="F1316" i="51"/>
  <c r="G1316" i="51" a="1"/>
  <c r="G1316" i="51" s="1"/>
  <c r="H1316" i="51" a="1"/>
  <c r="H1316" i="51" s="1"/>
  <c r="I1316" i="51"/>
  <c r="J1316" i="51"/>
  <c r="K1316" i="51"/>
  <c r="L1316" i="51"/>
  <c r="A1317" i="51"/>
  <c r="B1317" i="51"/>
  <c r="C1317" i="51"/>
  <c r="D1317" i="51"/>
  <c r="E1317" i="51"/>
  <c r="F1317" i="51"/>
  <c r="G1317" i="51" a="1"/>
  <c r="G1317" i="51" s="1"/>
  <c r="H1317" i="51" a="1"/>
  <c r="H1317" i="51" s="1"/>
  <c r="I1317" i="51"/>
  <c r="J1317" i="51"/>
  <c r="K1317" i="51"/>
  <c r="L1317" i="51"/>
  <c r="A1318" i="51"/>
  <c r="B1318" i="51"/>
  <c r="C1318" i="51"/>
  <c r="D1318" i="51"/>
  <c r="E1318" i="51"/>
  <c r="F1318" i="51"/>
  <c r="G1318" i="51" a="1"/>
  <c r="G1318" i="51" s="1"/>
  <c r="H1318" i="51" a="1"/>
  <c r="H1318" i="51" s="1"/>
  <c r="I1318" i="51"/>
  <c r="J1318" i="51"/>
  <c r="K1318" i="51"/>
  <c r="L1318" i="51"/>
  <c r="A1319" i="51"/>
  <c r="B1319" i="51"/>
  <c r="C1319" i="51"/>
  <c r="D1319" i="51"/>
  <c r="E1319" i="51"/>
  <c r="F1319" i="51"/>
  <c r="G1319" i="51" a="1"/>
  <c r="G1319" i="51"/>
  <c r="H1319" i="51" a="1"/>
  <c r="H1319" i="51" s="1"/>
  <c r="I1319" i="51"/>
  <c r="J1319" i="51"/>
  <c r="K1319" i="51"/>
  <c r="L1319" i="51"/>
  <c r="A1320" i="51"/>
  <c r="B1320" i="51"/>
  <c r="C1320" i="51"/>
  <c r="D1320" i="51"/>
  <c r="E1320" i="51"/>
  <c r="F1320" i="51"/>
  <c r="G1320" i="51" a="1"/>
  <c r="G1320" i="51" s="1"/>
  <c r="H1320" i="51" a="1"/>
  <c r="H1320" i="51" s="1"/>
  <c r="I1320" i="51"/>
  <c r="J1320" i="51"/>
  <c r="K1320" i="51"/>
  <c r="L1320" i="51"/>
  <c r="A1321" i="51"/>
  <c r="B1321" i="51"/>
  <c r="C1321" i="51"/>
  <c r="D1321" i="51"/>
  <c r="E1321" i="51"/>
  <c r="F1321" i="51"/>
  <c r="G1321" i="51" a="1"/>
  <c r="G1321" i="51" s="1"/>
  <c r="H1321" i="51" a="1"/>
  <c r="H1321" i="51" s="1"/>
  <c r="I1321" i="51"/>
  <c r="J1321" i="51"/>
  <c r="K1321" i="51"/>
  <c r="L1321" i="51"/>
  <c r="A1322" i="51"/>
  <c r="B1322" i="51"/>
  <c r="C1322" i="51"/>
  <c r="D1322" i="51"/>
  <c r="E1322" i="51"/>
  <c r="F1322" i="51"/>
  <c r="G1322" i="51" a="1"/>
  <c r="G1322" i="51" s="1"/>
  <c r="H1322" i="51" a="1"/>
  <c r="H1322" i="51" s="1"/>
  <c r="I1322" i="51"/>
  <c r="J1322" i="51"/>
  <c r="K1322" i="51"/>
  <c r="L1322" i="51"/>
  <c r="A1323" i="51"/>
  <c r="B1323" i="51"/>
  <c r="C1323" i="51"/>
  <c r="D1323" i="51"/>
  <c r="E1323" i="51"/>
  <c r="F1323" i="51"/>
  <c r="G1323" i="51" a="1"/>
  <c r="G1323" i="51" s="1"/>
  <c r="H1323" i="51" a="1"/>
  <c r="H1323" i="51" s="1"/>
  <c r="I1323" i="51"/>
  <c r="J1323" i="51"/>
  <c r="K1323" i="51"/>
  <c r="L1323" i="51"/>
  <c r="A1324" i="51"/>
  <c r="B1324" i="51"/>
  <c r="C1324" i="51"/>
  <c r="D1324" i="51"/>
  <c r="E1324" i="51"/>
  <c r="F1324" i="51"/>
  <c r="G1324" i="51" a="1"/>
  <c r="G1324" i="51" s="1"/>
  <c r="H1324" i="51" a="1"/>
  <c r="H1324" i="51" s="1"/>
  <c r="I1324" i="51"/>
  <c r="J1324" i="51"/>
  <c r="K1324" i="51"/>
  <c r="L1324" i="51"/>
  <c r="A1325" i="51"/>
  <c r="B1325" i="51"/>
  <c r="C1325" i="51"/>
  <c r="D1325" i="51"/>
  <c r="E1325" i="51"/>
  <c r="F1325" i="51"/>
  <c r="G1325" i="51" a="1"/>
  <c r="G1325" i="51" s="1"/>
  <c r="H1325" i="51" a="1"/>
  <c r="H1325" i="51"/>
  <c r="I1325" i="51"/>
  <c r="J1325" i="51"/>
  <c r="K1325" i="51"/>
  <c r="L1325" i="51"/>
  <c r="A1326" i="51"/>
  <c r="B1326" i="51"/>
  <c r="C1326" i="51"/>
  <c r="D1326" i="51"/>
  <c r="E1326" i="51"/>
  <c r="F1326" i="51"/>
  <c r="G1326" i="51" a="1"/>
  <c r="G1326" i="51"/>
  <c r="H1326" i="51" a="1"/>
  <c r="H1326" i="51" s="1"/>
  <c r="I1326" i="51"/>
  <c r="J1326" i="51"/>
  <c r="K1326" i="51"/>
  <c r="L1326" i="51"/>
  <c r="A1327" i="51"/>
  <c r="B1327" i="51"/>
  <c r="C1327" i="51"/>
  <c r="D1327" i="51"/>
  <c r="E1327" i="51"/>
  <c r="F1327" i="51"/>
  <c r="G1327" i="51" a="1"/>
  <c r="G1327" i="51" s="1"/>
  <c r="H1327" i="51" a="1"/>
  <c r="H1327" i="51"/>
  <c r="I1327" i="51"/>
  <c r="J1327" i="51"/>
  <c r="K1327" i="51"/>
  <c r="L1327" i="51"/>
  <c r="A1328" i="51"/>
  <c r="B1328" i="51"/>
  <c r="C1328" i="51"/>
  <c r="D1328" i="51"/>
  <c r="E1328" i="51"/>
  <c r="F1328" i="51"/>
  <c r="G1328" i="51" a="1"/>
  <c r="G1328" i="51"/>
  <c r="H1328" i="51" a="1"/>
  <c r="H1328" i="51" s="1"/>
  <c r="I1328" i="51"/>
  <c r="J1328" i="51"/>
  <c r="K1328" i="51"/>
  <c r="L1328" i="51"/>
  <c r="A1329" i="51"/>
  <c r="B1329" i="51"/>
  <c r="C1329" i="51"/>
  <c r="D1329" i="51"/>
  <c r="E1329" i="51"/>
  <c r="F1329" i="51"/>
  <c r="G1329" i="51" a="1"/>
  <c r="G1329" i="51" s="1"/>
  <c r="H1329" i="51" a="1"/>
  <c r="H1329" i="51"/>
  <c r="I1329" i="51"/>
  <c r="J1329" i="51"/>
  <c r="K1329" i="51"/>
  <c r="L1329" i="51"/>
  <c r="A1330" i="51"/>
  <c r="B1330" i="51"/>
  <c r="C1330" i="51"/>
  <c r="D1330" i="51"/>
  <c r="E1330" i="51"/>
  <c r="F1330" i="51"/>
  <c r="G1330" i="51" a="1"/>
  <c r="G1330" i="51"/>
  <c r="H1330" i="51" a="1"/>
  <c r="H1330" i="51" s="1"/>
  <c r="I1330" i="51"/>
  <c r="J1330" i="51"/>
  <c r="K1330" i="51"/>
  <c r="L1330" i="51"/>
  <c r="A1331" i="51"/>
  <c r="B1331" i="51"/>
  <c r="C1331" i="51"/>
  <c r="D1331" i="51"/>
  <c r="E1331" i="51"/>
  <c r="F1331" i="51"/>
  <c r="G1331" i="51" a="1"/>
  <c r="G1331" i="51" s="1"/>
  <c r="H1331" i="51" a="1"/>
  <c r="H1331" i="51" s="1"/>
  <c r="I1331" i="51"/>
  <c r="J1331" i="51"/>
  <c r="K1331" i="51"/>
  <c r="L1331" i="51"/>
  <c r="A1332" i="51"/>
  <c r="B1332" i="51"/>
  <c r="C1332" i="51"/>
  <c r="D1332" i="51"/>
  <c r="E1332" i="51"/>
  <c r="F1332" i="51"/>
  <c r="G1332" i="51" a="1"/>
  <c r="G1332" i="51"/>
  <c r="H1332" i="51" a="1"/>
  <c r="H1332" i="51" s="1"/>
  <c r="I1332" i="51"/>
  <c r="J1332" i="51"/>
  <c r="K1332" i="51"/>
  <c r="L1332" i="51"/>
  <c r="A1333" i="51"/>
  <c r="B1333" i="51"/>
  <c r="C1333" i="51"/>
  <c r="D1333" i="51"/>
  <c r="E1333" i="51"/>
  <c r="F1333" i="51"/>
  <c r="G1333" i="51" a="1"/>
  <c r="G1333" i="51" s="1"/>
  <c r="H1333" i="51" a="1"/>
  <c r="H1333" i="51" s="1"/>
  <c r="I1333" i="51"/>
  <c r="J1333" i="51"/>
  <c r="K1333" i="51"/>
  <c r="L1333" i="51"/>
  <c r="A1334" i="51"/>
  <c r="B1334" i="51"/>
  <c r="C1334" i="51"/>
  <c r="D1334" i="51"/>
  <c r="E1334" i="51"/>
  <c r="F1334" i="51"/>
  <c r="G1334" i="51" a="1"/>
  <c r="G1334" i="51" s="1"/>
  <c r="H1334" i="51" a="1"/>
  <c r="H1334" i="51" s="1"/>
  <c r="I1334" i="51"/>
  <c r="J1334" i="51"/>
  <c r="K1334" i="51"/>
  <c r="L1334" i="51"/>
  <c r="A1335" i="51"/>
  <c r="B1335" i="51"/>
  <c r="C1335" i="51"/>
  <c r="D1335" i="51"/>
  <c r="E1335" i="51"/>
  <c r="F1335" i="51"/>
  <c r="G1335" i="51" a="1"/>
  <c r="G1335" i="51" s="1"/>
  <c r="H1335" i="51" a="1"/>
  <c r="H1335" i="51" s="1"/>
  <c r="I1335" i="51"/>
  <c r="J1335" i="51"/>
  <c r="K1335" i="51"/>
  <c r="L1335" i="51"/>
  <c r="A1336" i="51"/>
  <c r="B1336" i="51"/>
  <c r="C1336" i="51"/>
  <c r="D1336" i="51"/>
  <c r="E1336" i="51"/>
  <c r="F1336" i="51"/>
  <c r="G1336" i="51" a="1"/>
  <c r="G1336" i="51" s="1"/>
  <c r="H1336" i="51" a="1"/>
  <c r="H1336" i="51" s="1"/>
  <c r="I1336" i="51"/>
  <c r="J1336" i="51"/>
  <c r="K1336" i="51"/>
  <c r="L1336" i="51"/>
  <c r="A1337" i="51"/>
  <c r="B1337" i="51"/>
  <c r="C1337" i="51"/>
  <c r="D1337" i="51"/>
  <c r="E1337" i="51"/>
  <c r="F1337" i="51"/>
  <c r="G1337" i="51" a="1"/>
  <c r="G1337" i="51" s="1"/>
  <c r="H1337" i="51" a="1"/>
  <c r="H1337" i="51" s="1"/>
  <c r="I1337" i="51"/>
  <c r="J1337" i="51"/>
  <c r="K1337" i="51"/>
  <c r="L1337" i="51"/>
  <c r="A1338" i="51"/>
  <c r="B1338" i="51"/>
  <c r="C1338" i="51"/>
  <c r="D1338" i="51"/>
  <c r="E1338" i="51"/>
  <c r="F1338" i="51"/>
  <c r="G1338" i="51" a="1"/>
  <c r="G1338" i="51" s="1"/>
  <c r="H1338" i="51" a="1"/>
  <c r="H1338" i="51" s="1"/>
  <c r="I1338" i="51"/>
  <c r="J1338" i="51"/>
  <c r="K1338" i="51"/>
  <c r="L1338" i="51"/>
  <c r="A1339" i="51"/>
  <c r="B1339" i="51"/>
  <c r="C1339" i="51"/>
  <c r="D1339" i="51"/>
  <c r="E1339" i="51"/>
  <c r="F1339" i="51"/>
  <c r="G1339" i="51" a="1"/>
  <c r="G1339" i="51" s="1"/>
  <c r="H1339" i="51" a="1"/>
  <c r="H1339" i="51" s="1"/>
  <c r="I1339" i="51"/>
  <c r="J1339" i="51"/>
  <c r="K1339" i="51"/>
  <c r="L1339" i="51"/>
  <c r="A1340" i="51"/>
  <c r="B1340" i="51"/>
  <c r="C1340" i="51"/>
  <c r="D1340" i="51"/>
  <c r="E1340" i="51"/>
  <c r="F1340" i="51"/>
  <c r="G1340" i="51" a="1"/>
  <c r="G1340" i="51"/>
  <c r="H1340" i="51" a="1"/>
  <c r="H1340" i="51" s="1"/>
  <c r="I1340" i="51"/>
  <c r="J1340" i="51"/>
  <c r="K1340" i="51"/>
  <c r="L1340" i="51"/>
  <c r="A1341" i="51"/>
  <c r="B1341" i="51"/>
  <c r="C1341" i="51"/>
  <c r="D1341" i="51"/>
  <c r="E1341" i="51"/>
  <c r="F1341" i="51"/>
  <c r="G1341" i="51" a="1"/>
  <c r="G1341" i="51"/>
  <c r="H1341" i="51" a="1"/>
  <c r="H1341" i="51" s="1"/>
  <c r="I1341" i="51"/>
  <c r="J1341" i="51"/>
  <c r="K1341" i="51"/>
  <c r="L1341" i="51"/>
  <c r="A1342" i="51"/>
  <c r="B1342" i="51"/>
  <c r="C1342" i="51"/>
  <c r="D1342" i="51"/>
  <c r="E1342" i="51"/>
  <c r="F1342" i="51"/>
  <c r="G1342" i="51" a="1"/>
  <c r="G1342" i="51" s="1"/>
  <c r="H1342" i="51" a="1"/>
  <c r="H1342" i="51" s="1"/>
  <c r="I1342" i="51"/>
  <c r="J1342" i="51"/>
  <c r="K1342" i="51"/>
  <c r="L1342" i="51"/>
  <c r="A1343" i="51"/>
  <c r="B1343" i="51"/>
  <c r="C1343" i="51"/>
  <c r="D1343" i="51"/>
  <c r="E1343" i="51"/>
  <c r="F1343" i="51"/>
  <c r="G1343" i="51" a="1"/>
  <c r="G1343" i="51" s="1"/>
  <c r="H1343" i="51" a="1"/>
  <c r="H1343" i="51" s="1"/>
  <c r="I1343" i="51"/>
  <c r="J1343" i="51"/>
  <c r="K1343" i="51"/>
  <c r="L1343" i="51"/>
  <c r="A1344" i="51"/>
  <c r="B1344" i="51"/>
  <c r="C1344" i="51"/>
  <c r="D1344" i="51"/>
  <c r="E1344" i="51"/>
  <c r="F1344" i="51"/>
  <c r="G1344" i="51" a="1"/>
  <c r="G1344" i="51" s="1"/>
  <c r="H1344" i="51" a="1"/>
  <c r="H1344" i="51" s="1"/>
  <c r="I1344" i="51"/>
  <c r="J1344" i="51"/>
  <c r="K1344" i="51"/>
  <c r="L1344" i="51"/>
  <c r="A1345" i="51"/>
  <c r="B1345" i="51"/>
  <c r="C1345" i="51"/>
  <c r="D1345" i="51"/>
  <c r="E1345" i="51"/>
  <c r="F1345" i="51"/>
  <c r="G1345" i="51" a="1"/>
  <c r="G1345" i="51" s="1"/>
  <c r="H1345" i="51" a="1"/>
  <c r="H1345" i="51" s="1"/>
  <c r="I1345" i="51"/>
  <c r="J1345" i="51"/>
  <c r="K1345" i="51"/>
  <c r="L1345" i="51"/>
  <c r="A1346" i="51"/>
  <c r="B1346" i="51"/>
  <c r="C1346" i="51"/>
  <c r="D1346" i="51"/>
  <c r="E1346" i="51"/>
  <c r="F1346" i="51"/>
  <c r="G1346" i="51" a="1"/>
  <c r="G1346" i="51" s="1"/>
  <c r="H1346" i="51" a="1"/>
  <c r="H1346" i="51" s="1"/>
  <c r="I1346" i="51"/>
  <c r="J1346" i="51"/>
  <c r="K1346" i="51"/>
  <c r="L1346" i="51"/>
  <c r="A1347" i="51"/>
  <c r="B1347" i="51"/>
  <c r="C1347" i="51"/>
  <c r="D1347" i="51"/>
  <c r="E1347" i="51"/>
  <c r="F1347" i="51"/>
  <c r="G1347" i="51" a="1"/>
  <c r="G1347" i="51" s="1"/>
  <c r="H1347" i="51" a="1"/>
  <c r="H1347" i="51" s="1"/>
  <c r="I1347" i="51"/>
  <c r="J1347" i="51"/>
  <c r="K1347" i="51"/>
  <c r="L1347" i="51"/>
  <c r="A1348" i="51"/>
  <c r="B1348" i="51"/>
  <c r="C1348" i="51"/>
  <c r="D1348" i="51"/>
  <c r="E1348" i="51"/>
  <c r="F1348" i="51"/>
  <c r="G1348" i="51" a="1"/>
  <c r="G1348" i="51"/>
  <c r="H1348" i="51" a="1"/>
  <c r="H1348" i="51"/>
  <c r="I1348" i="51"/>
  <c r="J1348" i="51"/>
  <c r="K1348" i="51"/>
  <c r="L1348" i="51"/>
  <c r="A1349" i="51"/>
  <c r="B1349" i="51"/>
  <c r="C1349" i="51"/>
  <c r="D1349" i="51"/>
  <c r="E1349" i="51"/>
  <c r="F1349" i="51"/>
  <c r="G1349" i="51" a="1"/>
  <c r="G1349" i="51" s="1"/>
  <c r="H1349" i="51" a="1"/>
  <c r="H1349" i="51" s="1"/>
  <c r="I1349" i="51"/>
  <c r="J1349" i="51"/>
  <c r="K1349" i="51"/>
  <c r="L1349" i="51"/>
  <c r="A1350" i="51"/>
  <c r="B1350" i="51"/>
  <c r="C1350" i="51"/>
  <c r="D1350" i="51"/>
  <c r="E1350" i="51"/>
  <c r="F1350" i="51"/>
  <c r="G1350" i="51" a="1"/>
  <c r="G1350" i="51" s="1"/>
  <c r="H1350" i="51" a="1"/>
  <c r="H1350" i="51" s="1"/>
  <c r="I1350" i="51"/>
  <c r="J1350" i="51"/>
  <c r="K1350" i="51"/>
  <c r="L1350" i="51"/>
  <c r="A1351" i="51"/>
  <c r="B1351" i="51"/>
  <c r="C1351" i="51"/>
  <c r="D1351" i="51"/>
  <c r="E1351" i="51"/>
  <c r="F1351" i="51"/>
  <c r="G1351" i="51" a="1"/>
  <c r="G1351" i="51" s="1"/>
  <c r="H1351" i="51" a="1"/>
  <c r="H1351" i="51" s="1"/>
  <c r="I1351" i="51"/>
  <c r="J1351" i="51"/>
  <c r="K1351" i="51"/>
  <c r="L1351" i="51"/>
  <c r="A1352" i="51"/>
  <c r="B1352" i="51"/>
  <c r="C1352" i="51"/>
  <c r="D1352" i="51"/>
  <c r="E1352" i="51"/>
  <c r="F1352" i="51"/>
  <c r="G1352" i="51" a="1"/>
  <c r="G1352" i="51" s="1"/>
  <c r="H1352" i="51" a="1"/>
  <c r="H1352" i="51" s="1"/>
  <c r="I1352" i="51"/>
  <c r="J1352" i="51"/>
  <c r="K1352" i="51"/>
  <c r="L1352" i="51"/>
  <c r="A1353" i="51"/>
  <c r="B1353" i="51"/>
  <c r="C1353" i="51"/>
  <c r="D1353" i="51"/>
  <c r="E1353" i="51"/>
  <c r="F1353" i="51"/>
  <c r="G1353" i="51" a="1"/>
  <c r="G1353" i="51" s="1"/>
  <c r="H1353" i="51" a="1"/>
  <c r="H1353" i="51" s="1"/>
  <c r="I1353" i="51"/>
  <c r="J1353" i="51"/>
  <c r="K1353" i="51"/>
  <c r="L1353" i="51"/>
  <c r="A1354" i="51"/>
  <c r="B1354" i="51"/>
  <c r="C1354" i="51"/>
  <c r="D1354" i="51"/>
  <c r="E1354" i="51"/>
  <c r="F1354" i="51"/>
  <c r="G1354" i="51" a="1"/>
  <c r="G1354" i="51" s="1"/>
  <c r="H1354" i="51" a="1"/>
  <c r="H1354" i="51"/>
  <c r="I1354" i="51"/>
  <c r="J1354" i="51"/>
  <c r="K1354" i="51"/>
  <c r="L1354" i="51"/>
  <c r="A1355" i="51"/>
  <c r="B1355" i="51"/>
  <c r="C1355" i="51"/>
  <c r="D1355" i="51"/>
  <c r="E1355" i="51"/>
  <c r="F1355" i="51"/>
  <c r="G1355" i="51" a="1"/>
  <c r="G1355" i="51" s="1"/>
  <c r="H1355" i="51" a="1"/>
  <c r="H1355" i="51" s="1"/>
  <c r="I1355" i="51"/>
  <c r="J1355" i="51"/>
  <c r="K1355" i="51"/>
  <c r="L1355" i="51"/>
  <c r="A1356" i="51"/>
  <c r="B1356" i="51"/>
  <c r="C1356" i="51"/>
  <c r="D1356" i="51"/>
  <c r="E1356" i="51"/>
  <c r="F1356" i="51"/>
  <c r="G1356" i="51" a="1"/>
  <c r="G1356" i="51"/>
  <c r="H1356" i="51" a="1"/>
  <c r="H1356" i="51" s="1"/>
  <c r="I1356" i="51"/>
  <c r="J1356" i="51"/>
  <c r="K1356" i="51"/>
  <c r="L1356" i="51"/>
  <c r="A1357" i="51"/>
  <c r="B1357" i="51"/>
  <c r="C1357" i="51"/>
  <c r="D1357" i="51"/>
  <c r="E1357" i="51"/>
  <c r="F1357" i="51"/>
  <c r="G1357" i="51" a="1"/>
  <c r="G1357" i="51" s="1"/>
  <c r="H1357" i="51" a="1"/>
  <c r="H1357" i="51" s="1"/>
  <c r="I1357" i="51"/>
  <c r="J1357" i="51"/>
  <c r="K1357" i="51"/>
  <c r="L1357" i="51"/>
  <c r="A1358" i="51"/>
  <c r="B1358" i="51"/>
  <c r="C1358" i="51"/>
  <c r="D1358" i="51"/>
  <c r="E1358" i="51"/>
  <c r="F1358" i="51"/>
  <c r="G1358" i="51" a="1"/>
  <c r="G1358" i="51" s="1"/>
  <c r="H1358" i="51" a="1"/>
  <c r="H1358" i="51" s="1"/>
  <c r="I1358" i="51"/>
  <c r="J1358" i="51"/>
  <c r="K1358" i="51"/>
  <c r="L1358" i="51"/>
  <c r="A1359" i="51"/>
  <c r="B1359" i="51"/>
  <c r="C1359" i="51"/>
  <c r="D1359" i="51"/>
  <c r="E1359" i="51"/>
  <c r="F1359" i="51"/>
  <c r="G1359" i="51" a="1"/>
  <c r="G1359" i="51" s="1"/>
  <c r="H1359" i="51" a="1"/>
  <c r="H1359" i="51" s="1"/>
  <c r="I1359" i="51"/>
  <c r="J1359" i="51"/>
  <c r="K1359" i="51"/>
  <c r="L1359" i="51"/>
  <c r="A1360" i="51"/>
  <c r="B1360" i="51"/>
  <c r="C1360" i="51"/>
  <c r="D1360" i="51"/>
  <c r="E1360" i="51"/>
  <c r="F1360" i="51"/>
  <c r="G1360" i="51" a="1"/>
  <c r="G1360" i="51" s="1"/>
  <c r="H1360" i="51" a="1"/>
  <c r="H1360" i="51" s="1"/>
  <c r="I1360" i="51"/>
  <c r="J1360" i="51"/>
  <c r="K1360" i="51"/>
  <c r="L1360" i="51"/>
  <c r="A1361" i="51"/>
  <c r="B1361" i="51"/>
  <c r="C1361" i="51"/>
  <c r="D1361" i="51"/>
  <c r="E1361" i="51"/>
  <c r="F1361" i="51"/>
  <c r="G1361" i="51" a="1"/>
  <c r="G1361" i="51"/>
  <c r="H1361" i="51" a="1"/>
  <c r="H1361" i="51" s="1"/>
  <c r="I1361" i="51"/>
  <c r="J1361" i="51"/>
  <c r="K1361" i="51"/>
  <c r="L1361" i="51"/>
  <c r="A1362" i="51"/>
  <c r="B1362" i="51"/>
  <c r="C1362" i="51"/>
  <c r="D1362" i="51"/>
  <c r="E1362" i="51"/>
  <c r="F1362" i="51"/>
  <c r="G1362" i="51" a="1"/>
  <c r="G1362" i="51" s="1"/>
  <c r="H1362" i="51" a="1"/>
  <c r="H1362" i="51" s="1"/>
  <c r="I1362" i="51"/>
  <c r="J1362" i="51"/>
  <c r="K1362" i="51"/>
  <c r="L1362" i="51"/>
  <c r="A1363" i="51"/>
  <c r="B1363" i="51"/>
  <c r="C1363" i="51"/>
  <c r="D1363" i="51"/>
  <c r="E1363" i="51"/>
  <c r="F1363" i="51"/>
  <c r="G1363" i="51" a="1"/>
  <c r="G1363" i="51" s="1"/>
  <c r="H1363" i="51" a="1"/>
  <c r="H1363" i="51" s="1"/>
  <c r="I1363" i="51"/>
  <c r="J1363" i="51"/>
  <c r="K1363" i="51"/>
  <c r="L1363" i="51"/>
  <c r="A1364" i="51"/>
  <c r="B1364" i="51"/>
  <c r="C1364" i="51"/>
  <c r="D1364" i="51"/>
  <c r="E1364" i="51"/>
  <c r="F1364" i="51"/>
  <c r="G1364" i="51" a="1"/>
  <c r="G1364" i="51"/>
  <c r="H1364" i="51" a="1"/>
  <c r="H1364" i="51" s="1"/>
  <c r="I1364" i="51"/>
  <c r="J1364" i="51"/>
  <c r="K1364" i="51"/>
  <c r="L1364" i="51"/>
  <c r="A1365" i="51"/>
  <c r="B1365" i="51"/>
  <c r="C1365" i="51"/>
  <c r="D1365" i="51"/>
  <c r="E1365" i="51"/>
  <c r="F1365" i="51"/>
  <c r="G1365" i="51" a="1"/>
  <c r="G1365" i="51" s="1"/>
  <c r="H1365" i="51" a="1"/>
  <c r="H1365" i="51" s="1"/>
  <c r="I1365" i="51"/>
  <c r="J1365" i="51"/>
  <c r="K1365" i="51"/>
  <c r="L1365" i="51"/>
  <c r="A1366" i="51"/>
  <c r="B1366" i="51"/>
  <c r="C1366" i="51"/>
  <c r="D1366" i="51"/>
  <c r="E1366" i="51"/>
  <c r="F1366" i="51"/>
  <c r="G1366" i="51" a="1"/>
  <c r="G1366" i="51" s="1"/>
  <c r="H1366" i="51" a="1"/>
  <c r="H1366" i="51" s="1"/>
  <c r="I1366" i="51"/>
  <c r="J1366" i="51"/>
  <c r="K1366" i="51"/>
  <c r="L1366" i="51"/>
  <c r="A1367" i="51"/>
  <c r="B1367" i="51"/>
  <c r="C1367" i="51"/>
  <c r="D1367" i="51"/>
  <c r="E1367" i="51"/>
  <c r="F1367" i="51"/>
  <c r="G1367" i="51" a="1"/>
  <c r="G1367" i="51" s="1"/>
  <c r="H1367" i="51" a="1"/>
  <c r="H1367" i="51" s="1"/>
  <c r="I1367" i="51"/>
  <c r="J1367" i="51"/>
  <c r="K1367" i="51"/>
  <c r="L1367" i="51"/>
  <c r="A1368" i="51"/>
  <c r="B1368" i="51"/>
  <c r="C1368" i="51"/>
  <c r="D1368" i="51"/>
  <c r="E1368" i="51"/>
  <c r="F1368" i="51"/>
  <c r="G1368" i="51" a="1"/>
  <c r="G1368" i="51" s="1"/>
  <c r="H1368" i="51" a="1"/>
  <c r="H1368" i="51" s="1"/>
  <c r="I1368" i="51"/>
  <c r="J1368" i="51"/>
  <c r="K1368" i="51"/>
  <c r="L1368" i="51"/>
  <c r="A1369" i="51"/>
  <c r="B1369" i="51"/>
  <c r="C1369" i="51"/>
  <c r="D1369" i="51"/>
  <c r="E1369" i="51"/>
  <c r="F1369" i="51"/>
  <c r="G1369" i="51" a="1"/>
  <c r="G1369" i="51" s="1"/>
  <c r="H1369" i="51" a="1"/>
  <c r="H1369" i="51" s="1"/>
  <c r="I1369" i="51"/>
  <c r="J1369" i="51"/>
  <c r="K1369" i="51"/>
  <c r="L1369" i="51"/>
  <c r="A1370" i="51"/>
  <c r="B1370" i="51"/>
  <c r="C1370" i="51"/>
  <c r="D1370" i="51"/>
  <c r="E1370" i="51"/>
  <c r="F1370" i="51"/>
  <c r="G1370" i="51" a="1"/>
  <c r="G1370" i="51" s="1"/>
  <c r="H1370" i="51" a="1"/>
  <c r="H1370" i="51"/>
  <c r="I1370" i="51"/>
  <c r="J1370" i="51"/>
  <c r="K1370" i="51"/>
  <c r="L1370" i="51"/>
  <c r="A1371" i="51"/>
  <c r="B1371" i="51"/>
  <c r="C1371" i="51"/>
  <c r="D1371" i="51"/>
  <c r="E1371" i="51"/>
  <c r="F1371" i="51"/>
  <c r="G1371" i="51" a="1"/>
  <c r="G1371" i="51"/>
  <c r="H1371" i="51" a="1"/>
  <c r="H1371" i="51" s="1"/>
  <c r="I1371" i="51"/>
  <c r="J1371" i="51"/>
  <c r="K1371" i="51"/>
  <c r="L1371" i="51"/>
  <c r="A1372" i="51"/>
  <c r="B1372" i="51"/>
  <c r="C1372" i="51"/>
  <c r="D1372" i="51"/>
  <c r="E1372" i="51"/>
  <c r="F1372" i="51"/>
  <c r="G1372" i="51" a="1"/>
  <c r="G1372" i="51" s="1"/>
  <c r="H1372" i="51" a="1"/>
  <c r="H1372" i="51" s="1"/>
  <c r="I1372" i="51"/>
  <c r="J1372" i="51"/>
  <c r="K1372" i="51"/>
  <c r="L1372" i="51"/>
  <c r="A1373" i="51"/>
  <c r="B1373" i="51"/>
  <c r="C1373" i="51"/>
  <c r="D1373" i="51"/>
  <c r="E1373" i="51"/>
  <c r="F1373" i="51"/>
  <c r="G1373" i="51" a="1"/>
  <c r="G1373" i="51" s="1"/>
  <c r="H1373" i="51" a="1"/>
  <c r="H1373" i="51" s="1"/>
  <c r="I1373" i="51"/>
  <c r="J1373" i="51"/>
  <c r="K1373" i="51"/>
  <c r="L1373" i="51"/>
  <c r="A1374" i="51"/>
  <c r="B1374" i="51"/>
  <c r="C1374" i="51"/>
  <c r="D1374" i="51"/>
  <c r="E1374" i="51"/>
  <c r="F1374" i="51"/>
  <c r="G1374" i="51" a="1"/>
  <c r="G1374" i="51" s="1"/>
  <c r="H1374" i="51" a="1"/>
  <c r="H1374" i="51" s="1"/>
  <c r="I1374" i="51"/>
  <c r="J1374" i="51"/>
  <c r="K1374" i="51"/>
  <c r="L1374" i="51"/>
  <c r="A1375" i="51"/>
  <c r="B1375" i="51"/>
  <c r="C1375" i="51"/>
  <c r="D1375" i="51"/>
  <c r="E1375" i="51"/>
  <c r="F1375" i="51"/>
  <c r="G1375" i="51" a="1"/>
  <c r="G1375" i="51" s="1"/>
  <c r="H1375" i="51" a="1"/>
  <c r="H1375" i="51" s="1"/>
  <c r="I1375" i="51"/>
  <c r="J1375" i="51"/>
  <c r="K1375" i="51"/>
  <c r="L1375" i="51"/>
  <c r="A1376" i="51"/>
  <c r="B1376" i="51"/>
  <c r="C1376" i="51"/>
  <c r="D1376" i="51"/>
  <c r="E1376" i="51"/>
  <c r="F1376" i="51"/>
  <c r="G1376" i="51" a="1"/>
  <c r="G1376" i="51" s="1"/>
  <c r="H1376" i="51" a="1"/>
  <c r="H1376" i="51" s="1"/>
  <c r="I1376" i="51"/>
  <c r="J1376" i="51"/>
  <c r="K1376" i="51"/>
  <c r="L1376" i="51"/>
  <c r="A1377" i="51"/>
  <c r="B1377" i="51"/>
  <c r="C1377" i="51"/>
  <c r="D1377" i="51"/>
  <c r="E1377" i="51"/>
  <c r="F1377" i="51"/>
  <c r="G1377" i="51" a="1"/>
  <c r="G1377" i="51" s="1"/>
  <c r="H1377" i="51" a="1"/>
  <c r="H1377" i="51" s="1"/>
  <c r="I1377" i="51"/>
  <c r="J1377" i="51"/>
  <c r="K1377" i="51"/>
  <c r="L1377" i="51"/>
  <c r="A1378" i="51"/>
  <c r="B1378" i="51"/>
  <c r="C1378" i="51"/>
  <c r="D1378" i="51"/>
  <c r="E1378" i="51"/>
  <c r="F1378" i="51"/>
  <c r="G1378" i="51" a="1"/>
  <c r="G1378" i="51" s="1"/>
  <c r="H1378" i="51" a="1"/>
  <c r="H1378" i="51"/>
  <c r="I1378" i="51"/>
  <c r="J1378" i="51"/>
  <c r="K1378" i="51"/>
  <c r="L1378" i="51"/>
  <c r="A1379" i="51"/>
  <c r="B1379" i="51"/>
  <c r="C1379" i="51"/>
  <c r="D1379" i="51"/>
  <c r="E1379" i="51"/>
  <c r="F1379" i="51"/>
  <c r="G1379" i="51" a="1"/>
  <c r="G1379" i="51"/>
  <c r="H1379" i="51" a="1"/>
  <c r="H1379" i="51" s="1"/>
  <c r="I1379" i="51"/>
  <c r="J1379" i="51"/>
  <c r="K1379" i="51"/>
  <c r="L1379" i="51"/>
  <c r="A1380" i="51"/>
  <c r="B1380" i="51"/>
  <c r="C1380" i="51"/>
  <c r="D1380" i="51"/>
  <c r="E1380" i="51"/>
  <c r="F1380" i="51"/>
  <c r="G1380" i="51" a="1"/>
  <c r="G1380" i="51" s="1"/>
  <c r="H1380" i="51" a="1"/>
  <c r="H1380" i="51" s="1"/>
  <c r="I1380" i="51"/>
  <c r="J1380" i="51"/>
  <c r="K1380" i="51"/>
  <c r="L1380" i="51"/>
  <c r="A1381" i="51"/>
  <c r="B1381" i="51"/>
  <c r="C1381" i="51"/>
  <c r="D1381" i="51"/>
  <c r="E1381" i="51"/>
  <c r="F1381" i="51"/>
  <c r="G1381" i="51" a="1"/>
  <c r="G1381" i="51" s="1"/>
  <c r="H1381" i="51" a="1"/>
  <c r="H1381" i="51" s="1"/>
  <c r="I1381" i="51"/>
  <c r="J1381" i="51"/>
  <c r="K1381" i="51"/>
  <c r="L1381" i="51"/>
  <c r="A1382" i="51"/>
  <c r="B1382" i="51"/>
  <c r="C1382" i="51"/>
  <c r="D1382" i="51"/>
  <c r="E1382" i="51"/>
  <c r="F1382" i="51"/>
  <c r="G1382" i="51" a="1"/>
  <c r="G1382" i="51" s="1"/>
  <c r="H1382" i="51" a="1"/>
  <c r="H1382" i="51" s="1"/>
  <c r="I1382" i="51"/>
  <c r="J1382" i="51"/>
  <c r="K1382" i="51"/>
  <c r="L1382" i="51"/>
  <c r="A1383" i="51"/>
  <c r="B1383" i="51"/>
  <c r="C1383" i="51"/>
  <c r="D1383" i="51"/>
  <c r="E1383" i="51"/>
  <c r="F1383" i="51"/>
  <c r="G1383" i="51" a="1"/>
  <c r="G1383" i="51"/>
  <c r="H1383" i="51" a="1"/>
  <c r="H1383" i="51" s="1"/>
  <c r="I1383" i="51"/>
  <c r="J1383" i="51"/>
  <c r="K1383" i="51"/>
  <c r="L1383" i="51"/>
  <c r="A1384" i="51"/>
  <c r="B1384" i="51"/>
  <c r="C1384" i="51"/>
  <c r="D1384" i="51"/>
  <c r="E1384" i="51"/>
  <c r="F1384" i="51"/>
  <c r="G1384" i="51" a="1"/>
  <c r="G1384" i="51" s="1"/>
  <c r="H1384" i="51" a="1"/>
  <c r="H1384" i="51" s="1"/>
  <c r="I1384" i="51"/>
  <c r="J1384" i="51"/>
  <c r="K1384" i="51"/>
  <c r="L1384" i="51"/>
  <c r="A1385" i="51"/>
  <c r="B1385" i="51"/>
  <c r="C1385" i="51"/>
  <c r="D1385" i="51"/>
  <c r="E1385" i="51"/>
  <c r="F1385" i="51"/>
  <c r="G1385" i="51" a="1"/>
  <c r="G1385" i="51" s="1"/>
  <c r="H1385" i="51" a="1"/>
  <c r="H1385" i="51" s="1"/>
  <c r="I1385" i="51"/>
  <c r="J1385" i="51"/>
  <c r="K1385" i="51"/>
  <c r="L1385" i="51"/>
  <c r="A1386" i="51"/>
  <c r="B1386" i="51"/>
  <c r="C1386" i="51"/>
  <c r="D1386" i="51"/>
  <c r="E1386" i="51"/>
  <c r="F1386" i="51"/>
  <c r="G1386" i="51" a="1"/>
  <c r="G1386" i="51" s="1"/>
  <c r="H1386" i="51" a="1"/>
  <c r="H1386" i="51" s="1"/>
  <c r="I1386" i="51"/>
  <c r="J1386" i="51"/>
  <c r="K1386" i="51"/>
  <c r="L1386" i="51"/>
  <c r="A1387" i="51"/>
  <c r="B1387" i="51"/>
  <c r="C1387" i="51"/>
  <c r="D1387" i="51"/>
  <c r="E1387" i="51"/>
  <c r="F1387" i="51"/>
  <c r="G1387" i="51" a="1"/>
  <c r="G1387" i="51" s="1"/>
  <c r="H1387" i="51" a="1"/>
  <c r="H1387" i="51" s="1"/>
  <c r="I1387" i="51"/>
  <c r="J1387" i="51"/>
  <c r="K1387" i="51"/>
  <c r="L1387" i="51"/>
  <c r="A1388" i="51"/>
  <c r="B1388" i="51"/>
  <c r="C1388" i="51"/>
  <c r="D1388" i="51"/>
  <c r="E1388" i="51"/>
  <c r="F1388" i="51"/>
  <c r="G1388" i="51" a="1"/>
  <c r="G1388" i="51" s="1"/>
  <c r="H1388" i="51" a="1"/>
  <c r="H1388" i="51" s="1"/>
  <c r="I1388" i="51"/>
  <c r="J1388" i="51"/>
  <c r="K1388" i="51"/>
  <c r="L1388" i="51"/>
  <c r="A1389" i="51"/>
  <c r="B1389" i="51"/>
  <c r="C1389" i="51"/>
  <c r="D1389" i="51"/>
  <c r="E1389" i="51"/>
  <c r="F1389" i="51"/>
  <c r="G1389" i="51" a="1"/>
  <c r="G1389" i="51" s="1"/>
  <c r="H1389" i="51" a="1"/>
  <c r="H1389" i="51" s="1"/>
  <c r="I1389" i="51"/>
  <c r="J1389" i="51"/>
  <c r="K1389" i="51"/>
  <c r="L1389" i="51"/>
  <c r="A1390" i="51"/>
  <c r="B1390" i="51"/>
  <c r="C1390" i="51"/>
  <c r="D1390" i="51"/>
  <c r="E1390" i="51"/>
  <c r="F1390" i="51"/>
  <c r="G1390" i="51" a="1"/>
  <c r="G1390" i="51" s="1"/>
  <c r="H1390" i="51" a="1"/>
  <c r="H1390" i="51" s="1"/>
  <c r="I1390" i="51"/>
  <c r="J1390" i="51"/>
  <c r="K1390" i="51"/>
  <c r="L1390" i="51"/>
  <c r="A1391" i="51"/>
  <c r="B1391" i="51"/>
  <c r="C1391" i="51"/>
  <c r="D1391" i="51"/>
  <c r="E1391" i="51"/>
  <c r="F1391" i="51"/>
  <c r="G1391" i="51" a="1"/>
  <c r="G1391" i="51" s="1"/>
  <c r="H1391" i="51" a="1"/>
  <c r="H1391" i="51" s="1"/>
  <c r="I1391" i="51"/>
  <c r="J1391" i="51"/>
  <c r="K1391" i="51"/>
  <c r="L1391" i="51"/>
  <c r="A1392" i="51"/>
  <c r="B1392" i="51"/>
  <c r="C1392" i="51"/>
  <c r="D1392" i="51"/>
  <c r="E1392" i="51"/>
  <c r="F1392" i="51"/>
  <c r="G1392" i="51" a="1"/>
  <c r="G1392" i="51" s="1"/>
  <c r="H1392" i="51" a="1"/>
  <c r="H1392" i="51" s="1"/>
  <c r="I1392" i="51"/>
  <c r="J1392" i="51"/>
  <c r="K1392" i="51"/>
  <c r="L1392" i="51"/>
  <c r="A1393" i="51"/>
  <c r="B1393" i="51"/>
  <c r="C1393" i="51"/>
  <c r="D1393" i="51"/>
  <c r="E1393" i="51"/>
  <c r="F1393" i="51"/>
  <c r="G1393" i="51" a="1"/>
  <c r="G1393" i="51" s="1"/>
  <c r="H1393" i="51" a="1"/>
  <c r="H1393" i="51" s="1"/>
  <c r="I1393" i="51"/>
  <c r="J1393" i="51"/>
  <c r="K1393" i="51"/>
  <c r="L1393" i="51"/>
  <c r="A1394" i="51"/>
  <c r="B1394" i="51"/>
  <c r="C1394" i="51"/>
  <c r="D1394" i="51"/>
  <c r="E1394" i="51"/>
  <c r="F1394" i="51"/>
  <c r="G1394" i="51" a="1"/>
  <c r="G1394" i="51" s="1"/>
  <c r="H1394" i="51" a="1"/>
  <c r="H1394" i="51" s="1"/>
  <c r="I1394" i="51"/>
  <c r="J1394" i="51"/>
  <c r="K1394" i="51"/>
  <c r="L1394" i="51"/>
  <c r="A1395" i="51"/>
  <c r="B1395" i="51"/>
  <c r="C1395" i="51"/>
  <c r="D1395" i="51"/>
  <c r="E1395" i="51"/>
  <c r="F1395" i="51"/>
  <c r="G1395" i="51" a="1"/>
  <c r="G1395" i="51" s="1"/>
  <c r="H1395" i="51" a="1"/>
  <c r="H1395" i="51" s="1"/>
  <c r="I1395" i="51"/>
  <c r="J1395" i="51"/>
  <c r="K1395" i="51"/>
  <c r="L1395" i="51"/>
  <c r="A1396" i="51"/>
  <c r="B1396" i="51"/>
  <c r="C1396" i="51"/>
  <c r="D1396" i="51"/>
  <c r="E1396" i="51"/>
  <c r="F1396" i="51"/>
  <c r="G1396" i="51" a="1"/>
  <c r="G1396" i="51" s="1"/>
  <c r="H1396" i="51" a="1"/>
  <c r="H1396" i="51" s="1"/>
  <c r="I1396" i="51"/>
  <c r="J1396" i="51"/>
  <c r="K1396" i="51"/>
  <c r="L1396" i="51"/>
  <c r="A1397" i="51"/>
  <c r="B1397" i="51"/>
  <c r="C1397" i="51"/>
  <c r="D1397" i="51"/>
  <c r="E1397" i="51"/>
  <c r="F1397" i="51"/>
  <c r="G1397" i="51" a="1"/>
  <c r="G1397" i="51" s="1"/>
  <c r="H1397" i="51" a="1"/>
  <c r="H1397" i="51" s="1"/>
  <c r="I1397" i="51"/>
  <c r="J1397" i="51"/>
  <c r="K1397" i="51"/>
  <c r="L1397" i="51"/>
  <c r="A1398" i="51"/>
  <c r="B1398" i="51"/>
  <c r="C1398" i="51"/>
  <c r="D1398" i="51"/>
  <c r="E1398" i="51"/>
  <c r="F1398" i="51"/>
  <c r="G1398" i="51" a="1"/>
  <c r="G1398" i="51" s="1"/>
  <c r="H1398" i="51" a="1"/>
  <c r="H1398" i="51"/>
  <c r="I1398" i="51"/>
  <c r="J1398" i="51"/>
  <c r="K1398" i="51"/>
  <c r="L1398" i="51"/>
  <c r="A1399" i="51"/>
  <c r="B1399" i="51"/>
  <c r="C1399" i="51"/>
  <c r="D1399" i="51"/>
  <c r="E1399" i="51"/>
  <c r="F1399" i="51"/>
  <c r="G1399" i="51" a="1"/>
  <c r="G1399" i="51"/>
  <c r="H1399" i="51" a="1"/>
  <c r="H1399" i="51" s="1"/>
  <c r="I1399" i="51"/>
  <c r="J1399" i="51"/>
  <c r="K1399" i="51"/>
  <c r="L1399" i="51"/>
  <c r="A1400" i="51"/>
  <c r="B1400" i="51"/>
  <c r="C1400" i="51"/>
  <c r="D1400" i="51"/>
  <c r="E1400" i="51"/>
  <c r="F1400" i="51"/>
  <c r="G1400" i="51" a="1"/>
  <c r="G1400" i="51" s="1"/>
  <c r="H1400" i="51" a="1"/>
  <c r="H1400" i="51" s="1"/>
  <c r="I1400" i="51"/>
  <c r="J1400" i="51"/>
  <c r="K1400" i="51"/>
  <c r="L1400" i="51"/>
  <c r="A1401" i="51"/>
  <c r="B1401" i="51"/>
  <c r="C1401" i="51"/>
  <c r="D1401" i="51"/>
  <c r="E1401" i="51"/>
  <c r="F1401" i="51"/>
  <c r="G1401" i="51" a="1"/>
  <c r="G1401" i="51" s="1"/>
  <c r="H1401" i="51" a="1"/>
  <c r="H1401" i="51" s="1"/>
  <c r="I1401" i="51"/>
  <c r="J1401" i="51"/>
  <c r="K1401" i="51"/>
  <c r="L1401" i="51"/>
  <c r="A1402" i="51"/>
  <c r="B1402" i="51"/>
  <c r="C1402" i="51"/>
  <c r="D1402" i="51"/>
  <c r="E1402" i="51"/>
  <c r="F1402" i="51"/>
  <c r="G1402" i="51" a="1"/>
  <c r="G1402" i="51" s="1"/>
  <c r="H1402" i="51" a="1"/>
  <c r="H1402" i="51" s="1"/>
  <c r="I1402" i="51"/>
  <c r="J1402" i="51"/>
  <c r="K1402" i="51"/>
  <c r="L1402" i="51"/>
  <c r="A1403" i="51"/>
  <c r="B1403" i="51"/>
  <c r="C1403" i="51"/>
  <c r="D1403" i="51"/>
  <c r="E1403" i="51"/>
  <c r="F1403" i="51"/>
  <c r="G1403" i="51" a="1"/>
  <c r="G1403" i="51" s="1"/>
  <c r="H1403" i="51" a="1"/>
  <c r="H1403" i="51" s="1"/>
  <c r="I1403" i="51"/>
  <c r="J1403" i="51"/>
  <c r="K1403" i="51"/>
  <c r="L1403" i="51"/>
  <c r="A1404" i="51"/>
  <c r="B1404" i="51"/>
  <c r="C1404" i="51"/>
  <c r="D1404" i="51"/>
  <c r="E1404" i="51"/>
  <c r="F1404" i="51"/>
  <c r="G1404" i="51" a="1"/>
  <c r="G1404" i="51" s="1"/>
  <c r="H1404" i="51" a="1"/>
  <c r="H1404" i="51" s="1"/>
  <c r="I1404" i="51"/>
  <c r="J1404" i="51"/>
  <c r="K1404" i="51"/>
  <c r="L1404" i="51"/>
  <c r="A1405" i="51"/>
  <c r="B1405" i="51"/>
  <c r="C1405" i="51"/>
  <c r="D1405" i="51"/>
  <c r="E1405" i="51"/>
  <c r="F1405" i="51"/>
  <c r="G1405" i="51" a="1"/>
  <c r="G1405" i="51" s="1"/>
  <c r="H1405" i="51" a="1"/>
  <c r="H1405" i="51" s="1"/>
  <c r="I1405" i="51"/>
  <c r="J1405" i="51"/>
  <c r="K1405" i="51"/>
  <c r="L1405" i="51"/>
  <c r="A1406" i="51"/>
  <c r="B1406" i="51"/>
  <c r="C1406" i="51"/>
  <c r="D1406" i="51"/>
  <c r="E1406" i="51"/>
  <c r="F1406" i="51"/>
  <c r="G1406" i="51" a="1"/>
  <c r="G1406" i="51" s="1"/>
  <c r="H1406" i="51" a="1"/>
  <c r="H1406" i="51" s="1"/>
  <c r="I1406" i="51"/>
  <c r="J1406" i="51"/>
  <c r="K1406" i="51"/>
  <c r="L1406" i="51"/>
  <c r="A1407" i="51"/>
  <c r="B1407" i="51"/>
  <c r="C1407" i="51"/>
  <c r="D1407" i="51"/>
  <c r="E1407" i="51"/>
  <c r="F1407" i="51"/>
  <c r="G1407" i="51" a="1"/>
  <c r="G1407" i="51"/>
  <c r="H1407" i="51" a="1"/>
  <c r="H1407" i="51" s="1"/>
  <c r="I1407" i="51"/>
  <c r="J1407" i="51"/>
  <c r="K1407" i="51"/>
  <c r="L1407" i="51"/>
  <c r="A1408" i="51"/>
  <c r="B1408" i="51"/>
  <c r="C1408" i="51"/>
  <c r="D1408" i="51"/>
  <c r="E1408" i="51"/>
  <c r="F1408" i="51"/>
  <c r="G1408" i="51" a="1"/>
  <c r="G1408" i="51" s="1"/>
  <c r="H1408" i="51" a="1"/>
  <c r="H1408" i="51" s="1"/>
  <c r="I1408" i="51"/>
  <c r="J1408" i="51"/>
  <c r="K1408" i="51"/>
  <c r="L1408" i="51"/>
  <c r="A1409" i="51"/>
  <c r="B1409" i="51"/>
  <c r="C1409" i="51"/>
  <c r="D1409" i="51"/>
  <c r="E1409" i="51"/>
  <c r="F1409" i="51"/>
  <c r="G1409" i="51" a="1"/>
  <c r="G1409" i="51" s="1"/>
  <c r="H1409" i="51" a="1"/>
  <c r="H1409" i="51" s="1"/>
  <c r="I1409" i="51"/>
  <c r="J1409" i="51"/>
  <c r="K1409" i="51"/>
  <c r="L1409" i="51"/>
  <c r="A1410" i="51"/>
  <c r="B1410" i="51"/>
  <c r="C1410" i="51"/>
  <c r="D1410" i="51"/>
  <c r="E1410" i="51"/>
  <c r="F1410" i="51"/>
  <c r="G1410" i="51" a="1"/>
  <c r="G1410" i="51" s="1"/>
  <c r="H1410" i="51" a="1"/>
  <c r="H1410" i="51" s="1"/>
  <c r="I1410" i="51"/>
  <c r="J1410" i="51"/>
  <c r="K1410" i="51"/>
  <c r="L1410" i="51"/>
  <c r="A1411" i="51"/>
  <c r="B1411" i="51"/>
  <c r="C1411" i="51"/>
  <c r="D1411" i="51"/>
  <c r="E1411" i="51"/>
  <c r="F1411" i="51"/>
  <c r="G1411" i="51" a="1"/>
  <c r="G1411" i="51" s="1"/>
  <c r="H1411" i="51" a="1"/>
  <c r="H1411" i="51" s="1"/>
  <c r="I1411" i="51"/>
  <c r="J1411" i="51"/>
  <c r="K1411" i="51"/>
  <c r="L1411" i="51"/>
  <c r="A1412" i="51"/>
  <c r="B1412" i="51"/>
  <c r="C1412" i="51"/>
  <c r="D1412" i="51"/>
  <c r="E1412" i="51"/>
  <c r="F1412" i="51"/>
  <c r="G1412" i="51" a="1"/>
  <c r="G1412" i="51" s="1"/>
  <c r="H1412" i="51" a="1"/>
  <c r="H1412" i="51" s="1"/>
  <c r="I1412" i="51"/>
  <c r="J1412" i="51"/>
  <c r="K1412" i="51"/>
  <c r="L1412" i="51"/>
  <c r="A1413" i="51"/>
  <c r="B1413" i="51"/>
  <c r="C1413" i="51"/>
  <c r="D1413" i="51"/>
  <c r="E1413" i="51"/>
  <c r="F1413" i="51"/>
  <c r="G1413" i="51" a="1"/>
  <c r="G1413" i="51" s="1"/>
  <c r="H1413" i="51" a="1"/>
  <c r="H1413" i="51" s="1"/>
  <c r="I1413" i="51"/>
  <c r="J1413" i="51"/>
  <c r="K1413" i="51"/>
  <c r="L1413" i="51"/>
  <c r="A1414" i="51"/>
  <c r="B1414" i="51"/>
  <c r="C1414" i="51"/>
  <c r="D1414" i="51"/>
  <c r="E1414" i="51"/>
  <c r="F1414" i="51"/>
  <c r="G1414" i="51" a="1"/>
  <c r="G1414" i="51" s="1"/>
  <c r="H1414" i="51" a="1"/>
  <c r="H1414" i="51"/>
  <c r="I1414" i="51"/>
  <c r="J1414" i="51"/>
  <c r="K1414" i="51"/>
  <c r="L1414" i="51"/>
  <c r="A1415" i="51"/>
  <c r="B1415" i="51"/>
  <c r="C1415" i="51"/>
  <c r="D1415" i="51"/>
  <c r="E1415" i="51"/>
  <c r="F1415" i="51"/>
  <c r="G1415" i="51" a="1"/>
  <c r="G1415" i="51"/>
  <c r="H1415" i="51" a="1"/>
  <c r="H1415" i="51" s="1"/>
  <c r="I1415" i="51"/>
  <c r="J1415" i="51"/>
  <c r="K1415" i="51"/>
  <c r="L1415" i="51"/>
  <c r="A1416" i="51"/>
  <c r="B1416" i="51"/>
  <c r="C1416" i="51"/>
  <c r="D1416" i="51"/>
  <c r="E1416" i="51"/>
  <c r="F1416" i="51"/>
  <c r="G1416" i="51" a="1"/>
  <c r="G1416" i="51" s="1"/>
  <c r="H1416" i="51" a="1"/>
  <c r="H1416" i="51" s="1"/>
  <c r="I1416" i="51"/>
  <c r="J1416" i="51"/>
  <c r="K1416" i="51"/>
  <c r="L1416" i="51"/>
  <c r="A1417" i="51"/>
  <c r="B1417" i="51"/>
  <c r="C1417" i="51"/>
  <c r="D1417" i="51"/>
  <c r="E1417" i="51"/>
  <c r="F1417" i="51"/>
  <c r="G1417" i="51" a="1"/>
  <c r="G1417" i="51" s="1"/>
  <c r="H1417" i="51" a="1"/>
  <c r="H1417" i="51" s="1"/>
  <c r="I1417" i="51"/>
  <c r="J1417" i="51"/>
  <c r="K1417" i="51"/>
  <c r="L1417" i="51"/>
  <c r="A1418" i="51"/>
  <c r="B1418" i="51"/>
  <c r="C1418" i="51"/>
  <c r="D1418" i="51"/>
  <c r="E1418" i="51"/>
  <c r="F1418" i="51"/>
  <c r="G1418" i="51" a="1"/>
  <c r="G1418" i="51" s="1"/>
  <c r="H1418" i="51" a="1"/>
  <c r="H1418" i="51" s="1"/>
  <c r="I1418" i="51"/>
  <c r="J1418" i="51"/>
  <c r="K1418" i="51"/>
  <c r="L1418" i="51"/>
  <c r="A1419" i="51"/>
  <c r="B1419" i="51"/>
  <c r="C1419" i="51"/>
  <c r="D1419" i="51"/>
  <c r="E1419" i="51"/>
  <c r="F1419" i="51"/>
  <c r="G1419" i="51" a="1"/>
  <c r="G1419" i="51" s="1"/>
  <c r="H1419" i="51" a="1"/>
  <c r="H1419" i="51" s="1"/>
  <c r="I1419" i="51"/>
  <c r="J1419" i="51"/>
  <c r="K1419" i="51"/>
  <c r="L1419" i="51"/>
  <c r="A1420" i="51"/>
  <c r="B1420" i="51"/>
  <c r="C1420" i="51"/>
  <c r="D1420" i="51"/>
  <c r="E1420" i="51"/>
  <c r="F1420" i="51"/>
  <c r="G1420" i="51" a="1"/>
  <c r="G1420" i="51" s="1"/>
  <c r="H1420" i="51" a="1"/>
  <c r="H1420" i="51" s="1"/>
  <c r="I1420" i="51"/>
  <c r="J1420" i="51"/>
  <c r="K1420" i="51"/>
  <c r="L1420" i="51"/>
  <c r="A1421" i="51"/>
  <c r="B1421" i="51"/>
  <c r="C1421" i="51"/>
  <c r="D1421" i="51"/>
  <c r="E1421" i="51"/>
  <c r="F1421" i="51"/>
  <c r="G1421" i="51" a="1"/>
  <c r="G1421" i="51" s="1"/>
  <c r="H1421" i="51" a="1"/>
  <c r="H1421" i="51" s="1"/>
  <c r="I1421" i="51"/>
  <c r="J1421" i="51"/>
  <c r="K1421" i="51"/>
  <c r="L1421" i="51"/>
  <c r="A1422" i="51"/>
  <c r="B1422" i="51"/>
  <c r="C1422" i="51"/>
  <c r="D1422" i="51"/>
  <c r="E1422" i="51"/>
  <c r="F1422" i="51"/>
  <c r="G1422" i="51" a="1"/>
  <c r="G1422" i="51" s="1"/>
  <c r="H1422" i="51" a="1"/>
  <c r="H1422" i="51"/>
  <c r="I1422" i="51"/>
  <c r="J1422" i="51"/>
  <c r="K1422" i="51"/>
  <c r="L1422" i="51"/>
  <c r="A1423" i="51"/>
  <c r="B1423" i="51"/>
  <c r="C1423" i="51"/>
  <c r="D1423" i="51"/>
  <c r="E1423" i="51"/>
  <c r="F1423" i="51"/>
  <c r="G1423" i="51" a="1"/>
  <c r="G1423" i="51" s="1"/>
  <c r="H1423" i="51" a="1"/>
  <c r="H1423" i="51" s="1"/>
  <c r="I1423" i="51"/>
  <c r="J1423" i="51"/>
  <c r="K1423" i="51"/>
  <c r="L1423" i="51"/>
  <c r="A1424" i="51"/>
  <c r="B1424" i="51"/>
  <c r="C1424" i="51"/>
  <c r="D1424" i="51"/>
  <c r="E1424" i="51"/>
  <c r="F1424" i="51"/>
  <c r="G1424" i="51" a="1"/>
  <c r="G1424" i="51" s="1"/>
  <c r="H1424" i="51" a="1"/>
  <c r="H1424" i="51" s="1"/>
  <c r="I1424" i="51"/>
  <c r="J1424" i="51"/>
  <c r="K1424" i="51"/>
  <c r="L1424" i="51"/>
  <c r="A1425" i="51"/>
  <c r="B1425" i="51"/>
  <c r="C1425" i="51"/>
  <c r="D1425" i="51"/>
  <c r="E1425" i="51"/>
  <c r="F1425" i="51"/>
  <c r="G1425" i="51" a="1"/>
  <c r="G1425" i="51" s="1"/>
  <c r="H1425" i="51" a="1"/>
  <c r="H1425" i="51" s="1"/>
  <c r="I1425" i="51"/>
  <c r="J1425" i="51"/>
  <c r="K1425" i="51"/>
  <c r="L1425" i="51"/>
  <c r="A1426" i="51"/>
  <c r="B1426" i="51"/>
  <c r="C1426" i="51"/>
  <c r="D1426" i="51"/>
  <c r="E1426" i="51"/>
  <c r="F1426" i="51"/>
  <c r="G1426" i="51" a="1"/>
  <c r="G1426" i="51" s="1"/>
  <c r="H1426" i="51" a="1"/>
  <c r="H1426" i="51"/>
  <c r="I1426" i="51"/>
  <c r="J1426" i="51"/>
  <c r="K1426" i="51"/>
  <c r="L1426" i="51"/>
  <c r="A1427" i="51"/>
  <c r="B1427" i="51"/>
  <c r="C1427" i="51"/>
  <c r="D1427" i="51"/>
  <c r="E1427" i="51"/>
  <c r="F1427" i="51"/>
  <c r="G1427" i="51" a="1"/>
  <c r="G1427" i="51"/>
  <c r="H1427" i="51" a="1"/>
  <c r="H1427" i="51" s="1"/>
  <c r="I1427" i="51"/>
  <c r="J1427" i="51"/>
  <c r="K1427" i="51"/>
  <c r="L1427" i="51"/>
  <c r="A1428" i="51"/>
  <c r="B1428" i="51"/>
  <c r="C1428" i="51"/>
  <c r="D1428" i="51"/>
  <c r="E1428" i="51"/>
  <c r="F1428" i="51"/>
  <c r="G1428" i="51" a="1"/>
  <c r="G1428" i="51" s="1"/>
  <c r="H1428" i="51" a="1"/>
  <c r="H1428" i="51" s="1"/>
  <c r="I1428" i="51"/>
  <c r="J1428" i="51"/>
  <c r="K1428" i="51"/>
  <c r="L1428" i="51"/>
  <c r="A1429" i="51"/>
  <c r="B1429" i="51"/>
  <c r="C1429" i="51"/>
  <c r="D1429" i="51"/>
  <c r="E1429" i="51"/>
  <c r="F1429" i="51"/>
  <c r="G1429" i="51" a="1"/>
  <c r="G1429" i="51" s="1"/>
  <c r="H1429" i="51" a="1"/>
  <c r="H1429" i="51" s="1"/>
  <c r="I1429" i="51"/>
  <c r="J1429" i="51"/>
  <c r="K1429" i="51"/>
  <c r="L1429" i="51"/>
  <c r="A1430" i="51"/>
  <c r="B1430" i="51"/>
  <c r="C1430" i="51"/>
  <c r="D1430" i="51"/>
  <c r="E1430" i="51"/>
  <c r="F1430" i="51"/>
  <c r="G1430" i="51" a="1"/>
  <c r="G1430" i="51" s="1"/>
  <c r="H1430" i="51" a="1"/>
  <c r="H1430" i="51"/>
  <c r="I1430" i="51"/>
  <c r="J1430" i="51"/>
  <c r="K1430" i="51"/>
  <c r="L1430" i="51"/>
  <c r="A1431" i="51"/>
  <c r="B1431" i="51"/>
  <c r="C1431" i="51"/>
  <c r="D1431" i="51"/>
  <c r="E1431" i="51"/>
  <c r="F1431" i="51"/>
  <c r="G1431" i="51" a="1"/>
  <c r="G1431" i="51"/>
  <c r="H1431" i="51" a="1"/>
  <c r="H1431" i="51" s="1"/>
  <c r="I1431" i="51"/>
  <c r="J1431" i="51"/>
  <c r="K1431" i="51"/>
  <c r="L1431" i="51"/>
  <c r="A1432" i="51"/>
  <c r="B1432" i="51"/>
  <c r="C1432" i="51"/>
  <c r="D1432" i="51"/>
  <c r="E1432" i="51"/>
  <c r="F1432" i="51"/>
  <c r="G1432" i="51" a="1"/>
  <c r="G1432" i="51" s="1"/>
  <c r="H1432" i="51" a="1"/>
  <c r="H1432" i="51" s="1"/>
  <c r="I1432" i="51"/>
  <c r="J1432" i="51"/>
  <c r="K1432" i="51"/>
  <c r="L1432" i="51"/>
  <c r="A1433" i="51"/>
  <c r="B1433" i="51"/>
  <c r="C1433" i="51"/>
  <c r="D1433" i="51"/>
  <c r="E1433" i="51"/>
  <c r="F1433" i="51"/>
  <c r="G1433" i="51" a="1"/>
  <c r="G1433" i="51" s="1"/>
  <c r="H1433" i="51" a="1"/>
  <c r="H1433" i="51" s="1"/>
  <c r="I1433" i="51"/>
  <c r="J1433" i="51"/>
  <c r="K1433" i="51"/>
  <c r="L1433" i="51"/>
  <c r="A1434" i="51"/>
  <c r="B1434" i="51"/>
  <c r="C1434" i="51"/>
  <c r="D1434" i="51"/>
  <c r="E1434" i="51"/>
  <c r="F1434" i="51"/>
  <c r="G1434" i="51" a="1"/>
  <c r="G1434" i="51" s="1"/>
  <c r="H1434" i="51" a="1"/>
  <c r="H1434" i="51"/>
  <c r="I1434" i="51"/>
  <c r="J1434" i="51"/>
  <c r="K1434" i="51"/>
  <c r="L1434" i="51"/>
  <c r="A1435" i="51"/>
  <c r="B1435" i="51"/>
  <c r="C1435" i="51"/>
  <c r="D1435" i="51"/>
  <c r="E1435" i="51"/>
  <c r="F1435" i="51"/>
  <c r="G1435" i="51" a="1"/>
  <c r="G1435" i="51"/>
  <c r="H1435" i="51" a="1"/>
  <c r="H1435" i="51" s="1"/>
  <c r="I1435" i="51"/>
  <c r="J1435" i="51"/>
  <c r="K1435" i="51"/>
  <c r="L1435" i="51"/>
  <c r="A1436" i="51"/>
  <c r="B1436" i="51"/>
  <c r="C1436" i="51"/>
  <c r="D1436" i="51"/>
  <c r="E1436" i="51"/>
  <c r="F1436" i="51"/>
  <c r="G1436" i="51" a="1"/>
  <c r="G1436" i="51" s="1"/>
  <c r="H1436" i="51" a="1"/>
  <c r="H1436" i="51" s="1"/>
  <c r="I1436" i="51"/>
  <c r="J1436" i="51"/>
  <c r="K1436" i="51"/>
  <c r="L1436" i="51"/>
  <c r="A1437" i="51"/>
  <c r="B1437" i="51"/>
  <c r="C1437" i="51"/>
  <c r="D1437" i="51"/>
  <c r="E1437" i="51"/>
  <c r="F1437" i="51"/>
  <c r="G1437" i="51" a="1"/>
  <c r="G1437" i="51" s="1"/>
  <c r="H1437" i="51" a="1"/>
  <c r="H1437" i="51" s="1"/>
  <c r="I1437" i="51"/>
  <c r="J1437" i="51"/>
  <c r="K1437" i="51"/>
  <c r="L1437" i="51"/>
  <c r="A1438" i="51"/>
  <c r="B1438" i="51"/>
  <c r="C1438" i="51"/>
  <c r="D1438" i="51"/>
  <c r="E1438" i="51"/>
  <c r="F1438" i="51"/>
  <c r="G1438" i="51" a="1"/>
  <c r="G1438" i="51" s="1"/>
  <c r="H1438" i="51" a="1"/>
  <c r="H1438" i="51"/>
  <c r="I1438" i="51"/>
  <c r="J1438" i="51"/>
  <c r="K1438" i="51"/>
  <c r="L1438" i="51"/>
  <c r="A1439" i="51"/>
  <c r="B1439" i="51"/>
  <c r="C1439" i="51"/>
  <c r="D1439" i="51"/>
  <c r="E1439" i="51"/>
  <c r="F1439" i="51"/>
  <c r="G1439" i="51" a="1"/>
  <c r="G1439" i="51"/>
  <c r="H1439" i="51" a="1"/>
  <c r="H1439" i="51" s="1"/>
  <c r="I1439" i="51"/>
  <c r="J1439" i="51"/>
  <c r="K1439" i="51"/>
  <c r="L1439" i="51"/>
  <c r="A1440" i="51"/>
  <c r="B1440" i="51"/>
  <c r="C1440" i="51"/>
  <c r="D1440" i="51"/>
  <c r="E1440" i="51"/>
  <c r="F1440" i="51"/>
  <c r="G1440" i="51" a="1"/>
  <c r="G1440" i="51" s="1"/>
  <c r="H1440" i="51" a="1"/>
  <c r="H1440" i="51" s="1"/>
  <c r="I1440" i="51"/>
  <c r="J1440" i="51"/>
  <c r="K1440" i="51"/>
  <c r="L1440" i="51"/>
  <c r="A1441" i="51"/>
  <c r="B1441" i="51"/>
  <c r="C1441" i="51"/>
  <c r="D1441" i="51"/>
  <c r="E1441" i="51"/>
  <c r="F1441" i="51"/>
  <c r="G1441" i="51" a="1"/>
  <c r="G1441" i="51" s="1"/>
  <c r="H1441" i="51" a="1"/>
  <c r="H1441" i="51" s="1"/>
  <c r="I1441" i="51"/>
  <c r="J1441" i="51"/>
  <c r="K1441" i="51"/>
  <c r="L1441" i="51"/>
  <c r="A1442" i="51"/>
  <c r="B1442" i="51"/>
  <c r="C1442" i="51"/>
  <c r="D1442" i="51"/>
  <c r="E1442" i="51"/>
  <c r="F1442" i="51"/>
  <c r="G1442" i="51" a="1"/>
  <c r="G1442" i="51" s="1"/>
  <c r="H1442" i="51" a="1"/>
  <c r="H1442" i="51"/>
  <c r="I1442" i="51"/>
  <c r="J1442" i="51"/>
  <c r="K1442" i="51"/>
  <c r="L1442" i="51"/>
  <c r="A1443" i="51"/>
  <c r="B1443" i="51"/>
  <c r="C1443" i="51"/>
  <c r="D1443" i="51"/>
  <c r="E1443" i="51"/>
  <c r="F1443" i="51"/>
  <c r="G1443" i="51" a="1"/>
  <c r="G1443" i="51"/>
  <c r="H1443" i="51" a="1"/>
  <c r="H1443" i="51" s="1"/>
  <c r="I1443" i="51"/>
  <c r="J1443" i="51"/>
  <c r="K1443" i="51"/>
  <c r="L1443" i="51"/>
  <c r="A1444" i="51"/>
  <c r="B1444" i="51"/>
  <c r="C1444" i="51"/>
  <c r="D1444" i="51"/>
  <c r="E1444" i="51"/>
  <c r="F1444" i="51"/>
  <c r="G1444" i="51" a="1"/>
  <c r="G1444" i="51" s="1"/>
  <c r="H1444" i="51" a="1"/>
  <c r="H1444" i="51" s="1"/>
  <c r="I1444" i="51"/>
  <c r="J1444" i="51"/>
  <c r="K1444" i="51"/>
  <c r="L1444" i="51"/>
  <c r="A1445" i="51"/>
  <c r="B1445" i="51"/>
  <c r="C1445" i="51"/>
  <c r="D1445" i="51"/>
  <c r="E1445" i="51"/>
  <c r="F1445" i="51"/>
  <c r="G1445" i="51" a="1"/>
  <c r="G1445" i="51" s="1"/>
  <c r="H1445" i="51" a="1"/>
  <c r="H1445" i="51" s="1"/>
  <c r="I1445" i="51"/>
  <c r="J1445" i="51"/>
  <c r="K1445" i="51"/>
  <c r="L1445" i="51"/>
  <c r="A1446" i="51"/>
  <c r="B1446" i="51"/>
  <c r="C1446" i="51"/>
  <c r="D1446" i="51"/>
  <c r="E1446" i="51"/>
  <c r="F1446" i="51"/>
  <c r="G1446" i="51" a="1"/>
  <c r="G1446" i="51" s="1"/>
  <c r="H1446" i="51" a="1"/>
  <c r="H1446" i="51"/>
  <c r="I1446" i="51"/>
  <c r="J1446" i="51"/>
  <c r="K1446" i="51"/>
  <c r="L1446" i="51"/>
  <c r="A1447" i="51"/>
  <c r="B1447" i="51"/>
  <c r="C1447" i="51"/>
  <c r="D1447" i="51"/>
  <c r="E1447" i="51"/>
  <c r="F1447" i="51"/>
  <c r="G1447" i="51" a="1"/>
  <c r="G1447" i="51"/>
  <c r="H1447" i="51" a="1"/>
  <c r="H1447" i="51" s="1"/>
  <c r="I1447" i="51"/>
  <c r="J1447" i="51"/>
  <c r="K1447" i="51"/>
  <c r="L1447" i="51"/>
  <c r="A1448" i="51"/>
  <c r="B1448" i="51"/>
  <c r="C1448" i="51"/>
  <c r="D1448" i="51"/>
  <c r="E1448" i="51"/>
  <c r="F1448" i="51"/>
  <c r="G1448" i="51" a="1"/>
  <c r="G1448" i="51" s="1"/>
  <c r="H1448" i="51" a="1"/>
  <c r="H1448" i="51" s="1"/>
  <c r="I1448" i="51"/>
  <c r="J1448" i="51"/>
  <c r="K1448" i="51"/>
  <c r="L1448" i="51"/>
  <c r="A1449" i="51"/>
  <c r="B1449" i="51"/>
  <c r="C1449" i="51"/>
  <c r="D1449" i="51"/>
  <c r="E1449" i="51"/>
  <c r="F1449" i="51"/>
  <c r="G1449" i="51" a="1"/>
  <c r="G1449" i="51" s="1"/>
  <c r="H1449" i="51" a="1"/>
  <c r="H1449" i="51" s="1"/>
  <c r="I1449" i="51"/>
  <c r="J1449" i="51"/>
  <c r="K1449" i="51"/>
  <c r="L1449" i="51"/>
  <c r="A1450" i="51"/>
  <c r="B1450" i="51"/>
  <c r="C1450" i="51"/>
  <c r="D1450" i="51"/>
  <c r="E1450" i="51"/>
  <c r="F1450" i="51"/>
  <c r="G1450" i="51" a="1"/>
  <c r="G1450" i="51" s="1"/>
  <c r="H1450" i="51" a="1"/>
  <c r="H1450" i="51"/>
  <c r="I1450" i="51"/>
  <c r="J1450" i="51"/>
  <c r="K1450" i="51"/>
  <c r="L1450" i="51"/>
  <c r="A1451" i="51"/>
  <c r="B1451" i="51"/>
  <c r="C1451" i="51"/>
  <c r="D1451" i="51"/>
  <c r="E1451" i="51"/>
  <c r="F1451" i="51"/>
  <c r="G1451" i="51" a="1"/>
  <c r="G1451" i="51"/>
  <c r="H1451" i="51" a="1"/>
  <c r="H1451" i="51" s="1"/>
  <c r="I1451" i="51"/>
  <c r="J1451" i="51"/>
  <c r="K1451" i="51"/>
  <c r="L1451" i="51"/>
  <c r="A1452" i="51"/>
  <c r="B1452" i="51"/>
  <c r="C1452" i="51"/>
  <c r="D1452" i="51"/>
  <c r="E1452" i="51"/>
  <c r="F1452" i="51"/>
  <c r="G1452" i="51" a="1"/>
  <c r="G1452" i="51" s="1"/>
  <c r="H1452" i="51" a="1"/>
  <c r="H1452" i="51" s="1"/>
  <c r="I1452" i="51"/>
  <c r="J1452" i="51"/>
  <c r="K1452" i="51"/>
  <c r="L1452" i="51"/>
  <c r="A1453" i="51"/>
  <c r="B1453" i="51"/>
  <c r="C1453" i="51"/>
  <c r="D1453" i="51"/>
  <c r="E1453" i="51"/>
  <c r="F1453" i="51"/>
  <c r="G1453" i="51" a="1"/>
  <c r="G1453" i="51" s="1"/>
  <c r="H1453" i="51" a="1"/>
  <c r="H1453" i="51" s="1"/>
  <c r="I1453" i="51"/>
  <c r="J1453" i="51"/>
  <c r="K1453" i="51"/>
  <c r="L1453" i="51"/>
  <c r="A1454" i="51"/>
  <c r="B1454" i="51"/>
  <c r="C1454" i="51"/>
  <c r="D1454" i="51"/>
  <c r="E1454" i="51"/>
  <c r="F1454" i="51"/>
  <c r="G1454" i="51" a="1"/>
  <c r="G1454" i="51" s="1"/>
  <c r="H1454" i="51" a="1"/>
  <c r="H1454" i="51"/>
  <c r="I1454" i="51"/>
  <c r="J1454" i="51"/>
  <c r="K1454" i="51"/>
  <c r="L1454" i="51"/>
  <c r="A1455" i="51"/>
  <c r="B1455" i="51"/>
  <c r="C1455" i="51"/>
  <c r="D1455" i="51"/>
  <c r="E1455" i="51"/>
  <c r="F1455" i="51"/>
  <c r="G1455" i="51" a="1"/>
  <c r="G1455" i="51"/>
  <c r="H1455" i="51" a="1"/>
  <c r="H1455" i="51" s="1"/>
  <c r="I1455" i="51"/>
  <c r="J1455" i="51"/>
  <c r="K1455" i="51"/>
  <c r="L1455" i="51"/>
  <c r="A1456" i="51"/>
  <c r="B1456" i="51"/>
  <c r="C1456" i="51"/>
  <c r="D1456" i="51"/>
  <c r="E1456" i="51"/>
  <c r="F1456" i="51"/>
  <c r="G1456" i="51" a="1"/>
  <c r="G1456" i="51" s="1"/>
  <c r="H1456" i="51" a="1"/>
  <c r="H1456" i="51" s="1"/>
  <c r="I1456" i="51"/>
  <c r="J1456" i="51"/>
  <c r="K1456" i="51"/>
  <c r="L1456" i="51"/>
  <c r="A1457" i="51"/>
  <c r="B1457" i="51"/>
  <c r="C1457" i="51"/>
  <c r="D1457" i="51"/>
  <c r="E1457" i="51"/>
  <c r="F1457" i="51"/>
  <c r="G1457" i="51" a="1"/>
  <c r="G1457" i="51" s="1"/>
  <c r="H1457" i="51" a="1"/>
  <c r="H1457" i="51" s="1"/>
  <c r="I1457" i="51"/>
  <c r="J1457" i="51"/>
  <c r="K1457" i="51"/>
  <c r="L1457" i="51"/>
  <c r="A1458" i="51"/>
  <c r="B1458" i="51"/>
  <c r="C1458" i="51"/>
  <c r="D1458" i="51"/>
  <c r="E1458" i="51"/>
  <c r="F1458" i="51"/>
  <c r="G1458" i="51" a="1"/>
  <c r="G1458" i="51" s="1"/>
  <c r="H1458" i="51" a="1"/>
  <c r="H1458" i="51"/>
  <c r="I1458" i="51"/>
  <c r="J1458" i="51"/>
  <c r="K1458" i="51"/>
  <c r="L1458" i="51"/>
  <c r="A1459" i="51"/>
  <c r="B1459" i="51"/>
  <c r="C1459" i="51"/>
  <c r="D1459" i="51"/>
  <c r="E1459" i="51"/>
  <c r="F1459" i="51"/>
  <c r="G1459" i="51" a="1"/>
  <c r="G1459" i="51"/>
  <c r="H1459" i="51" a="1"/>
  <c r="H1459" i="51" s="1"/>
  <c r="I1459" i="51"/>
  <c r="J1459" i="51"/>
  <c r="K1459" i="51"/>
  <c r="L1459" i="51"/>
  <c r="A1460" i="51"/>
  <c r="B1460" i="51"/>
  <c r="C1460" i="51"/>
  <c r="D1460" i="51"/>
  <c r="E1460" i="51"/>
  <c r="F1460" i="51"/>
  <c r="G1460" i="51" a="1"/>
  <c r="G1460" i="51" s="1"/>
  <c r="H1460" i="51" a="1"/>
  <c r="H1460" i="51" s="1"/>
  <c r="I1460" i="51"/>
  <c r="J1460" i="51"/>
  <c r="K1460" i="51"/>
  <c r="L1460" i="51"/>
  <c r="A1461" i="51"/>
  <c r="B1461" i="51"/>
  <c r="C1461" i="51"/>
  <c r="D1461" i="51"/>
  <c r="E1461" i="51"/>
  <c r="F1461" i="51"/>
  <c r="G1461" i="51" a="1"/>
  <c r="G1461" i="51" s="1"/>
  <c r="H1461" i="51" a="1"/>
  <c r="H1461" i="51" s="1"/>
  <c r="I1461" i="51"/>
  <c r="J1461" i="51"/>
  <c r="K1461" i="51"/>
  <c r="L1461" i="51"/>
  <c r="A1462" i="51"/>
  <c r="B1462" i="51"/>
  <c r="C1462" i="51"/>
  <c r="D1462" i="51"/>
  <c r="E1462" i="51"/>
  <c r="F1462" i="51"/>
  <c r="G1462" i="51" a="1"/>
  <c r="G1462" i="51" s="1"/>
  <c r="H1462" i="51" a="1"/>
  <c r="H1462" i="51"/>
  <c r="I1462" i="51"/>
  <c r="J1462" i="51"/>
  <c r="K1462" i="51"/>
  <c r="L1462" i="51"/>
  <c r="A1463" i="51"/>
  <c r="B1463" i="51"/>
  <c r="C1463" i="51"/>
  <c r="D1463" i="51"/>
  <c r="E1463" i="51"/>
  <c r="F1463" i="51"/>
  <c r="G1463" i="51" a="1"/>
  <c r="G1463" i="51"/>
  <c r="H1463" i="51" a="1"/>
  <c r="H1463" i="51" s="1"/>
  <c r="I1463" i="51"/>
  <c r="J1463" i="51"/>
  <c r="K1463" i="51"/>
  <c r="L1463" i="51"/>
  <c r="A1464" i="51"/>
  <c r="B1464" i="51"/>
  <c r="C1464" i="51"/>
  <c r="D1464" i="51"/>
  <c r="E1464" i="51"/>
  <c r="F1464" i="51"/>
  <c r="G1464" i="51" a="1"/>
  <c r="G1464" i="51" s="1"/>
  <c r="H1464" i="51" a="1"/>
  <c r="H1464" i="51" s="1"/>
  <c r="I1464" i="51"/>
  <c r="J1464" i="51"/>
  <c r="K1464" i="51"/>
  <c r="L1464" i="51"/>
  <c r="A1465" i="51"/>
  <c r="B1465" i="51"/>
  <c r="C1465" i="51"/>
  <c r="D1465" i="51"/>
  <c r="E1465" i="51"/>
  <c r="F1465" i="51"/>
  <c r="G1465" i="51" a="1"/>
  <c r="G1465" i="51" s="1"/>
  <c r="H1465" i="51" a="1"/>
  <c r="H1465" i="51" s="1"/>
  <c r="I1465" i="51"/>
  <c r="J1465" i="51"/>
  <c r="K1465" i="51"/>
  <c r="L1465" i="51"/>
  <c r="A1466" i="51"/>
  <c r="B1466" i="51"/>
  <c r="C1466" i="51"/>
  <c r="D1466" i="51"/>
  <c r="E1466" i="51"/>
  <c r="F1466" i="51"/>
  <c r="G1466" i="51" a="1"/>
  <c r="G1466" i="51" s="1"/>
  <c r="H1466" i="51" a="1"/>
  <c r="H1466" i="51"/>
  <c r="I1466" i="51"/>
  <c r="J1466" i="51"/>
  <c r="K1466" i="51"/>
  <c r="L1466" i="51"/>
  <c r="A1467" i="51"/>
  <c r="B1467" i="51"/>
  <c r="C1467" i="51"/>
  <c r="D1467" i="51"/>
  <c r="E1467" i="51"/>
  <c r="F1467" i="51"/>
  <c r="G1467" i="51" a="1"/>
  <c r="G1467" i="51"/>
  <c r="H1467" i="51" a="1"/>
  <c r="H1467" i="51" s="1"/>
  <c r="I1467" i="51"/>
  <c r="J1467" i="51"/>
  <c r="K1467" i="51"/>
  <c r="L1467" i="51"/>
  <c r="A1468" i="51"/>
  <c r="B1468" i="51"/>
  <c r="C1468" i="51"/>
  <c r="D1468" i="51"/>
  <c r="E1468" i="51"/>
  <c r="F1468" i="51"/>
  <c r="G1468" i="51" a="1"/>
  <c r="G1468" i="51" s="1"/>
  <c r="H1468" i="51" a="1"/>
  <c r="H1468" i="51" s="1"/>
  <c r="I1468" i="51"/>
  <c r="J1468" i="51"/>
  <c r="K1468" i="51"/>
  <c r="L1468" i="51"/>
  <c r="A1469" i="51"/>
  <c r="B1469" i="51"/>
  <c r="C1469" i="51"/>
  <c r="D1469" i="51"/>
  <c r="E1469" i="51"/>
  <c r="F1469" i="51"/>
  <c r="G1469" i="51" a="1"/>
  <c r="G1469" i="51" s="1"/>
  <c r="H1469" i="51" a="1"/>
  <c r="H1469" i="51" s="1"/>
  <c r="I1469" i="51"/>
  <c r="J1469" i="51"/>
  <c r="K1469" i="51"/>
  <c r="L1469" i="51"/>
  <c r="A1470" i="51"/>
  <c r="B1470" i="51"/>
  <c r="C1470" i="51"/>
  <c r="D1470" i="51"/>
  <c r="E1470" i="51"/>
  <c r="F1470" i="51"/>
  <c r="G1470" i="51" a="1"/>
  <c r="G1470" i="51" s="1"/>
  <c r="H1470" i="51" a="1"/>
  <c r="H1470" i="51"/>
  <c r="I1470" i="51"/>
  <c r="J1470" i="51"/>
  <c r="K1470" i="51"/>
  <c r="L1470" i="51"/>
  <c r="A1471" i="51"/>
  <c r="B1471" i="51"/>
  <c r="C1471" i="51"/>
  <c r="D1471" i="51"/>
  <c r="E1471" i="51"/>
  <c r="F1471" i="51"/>
  <c r="G1471" i="51" a="1"/>
  <c r="G1471" i="51"/>
  <c r="H1471" i="51" a="1"/>
  <c r="H1471" i="51" s="1"/>
  <c r="I1471" i="51"/>
  <c r="J1471" i="51"/>
  <c r="K1471" i="51"/>
  <c r="L1471" i="51"/>
  <c r="A1472" i="51"/>
  <c r="B1472" i="51"/>
  <c r="C1472" i="51"/>
  <c r="D1472" i="51"/>
  <c r="E1472" i="51"/>
  <c r="F1472" i="51"/>
  <c r="G1472" i="51" a="1"/>
  <c r="G1472" i="51" s="1"/>
  <c r="H1472" i="51" a="1"/>
  <c r="H1472" i="51" s="1"/>
  <c r="I1472" i="51"/>
  <c r="J1472" i="51"/>
  <c r="K1472" i="51"/>
  <c r="L1472" i="51"/>
  <c r="A1473" i="51"/>
  <c r="B1473" i="51"/>
  <c r="C1473" i="51"/>
  <c r="D1473" i="51"/>
  <c r="E1473" i="51"/>
  <c r="F1473" i="51"/>
  <c r="G1473" i="51" a="1"/>
  <c r="G1473" i="51" s="1"/>
  <c r="H1473" i="51" a="1"/>
  <c r="H1473" i="51" s="1"/>
  <c r="I1473" i="51"/>
  <c r="J1473" i="51"/>
  <c r="K1473" i="51"/>
  <c r="L1473" i="51"/>
  <c r="A1474" i="51"/>
  <c r="B1474" i="51"/>
  <c r="C1474" i="51"/>
  <c r="D1474" i="51"/>
  <c r="E1474" i="51"/>
  <c r="F1474" i="51"/>
  <c r="G1474" i="51" a="1"/>
  <c r="G1474" i="51" s="1"/>
  <c r="H1474" i="51" a="1"/>
  <c r="H1474" i="51"/>
  <c r="I1474" i="51"/>
  <c r="J1474" i="51"/>
  <c r="K1474" i="51"/>
  <c r="L1474" i="51"/>
  <c r="A1475" i="51"/>
  <c r="B1475" i="51"/>
  <c r="C1475" i="51"/>
  <c r="D1475" i="51"/>
  <c r="E1475" i="51"/>
  <c r="F1475" i="51"/>
  <c r="G1475" i="51" a="1"/>
  <c r="G1475" i="51"/>
  <c r="H1475" i="51" a="1"/>
  <c r="H1475" i="51" s="1"/>
  <c r="I1475" i="51"/>
  <c r="J1475" i="51"/>
  <c r="K1475" i="51"/>
  <c r="L1475" i="51"/>
  <c r="A1476" i="51"/>
  <c r="B1476" i="51"/>
  <c r="C1476" i="51"/>
  <c r="D1476" i="51"/>
  <c r="E1476" i="51"/>
  <c r="F1476" i="51"/>
  <c r="G1476" i="51" a="1"/>
  <c r="G1476" i="51" s="1"/>
  <c r="H1476" i="51" a="1"/>
  <c r="H1476" i="51" s="1"/>
  <c r="I1476" i="51"/>
  <c r="J1476" i="51"/>
  <c r="K1476" i="51"/>
  <c r="L1476" i="51"/>
  <c r="A1477" i="51"/>
  <c r="B1477" i="51"/>
  <c r="C1477" i="51"/>
  <c r="D1477" i="51"/>
  <c r="E1477" i="51"/>
  <c r="F1477" i="51"/>
  <c r="G1477" i="51" a="1"/>
  <c r="G1477" i="51" s="1"/>
  <c r="H1477" i="51" a="1"/>
  <c r="H1477" i="51" s="1"/>
  <c r="I1477" i="51"/>
  <c r="J1477" i="51"/>
  <c r="K1477" i="51"/>
  <c r="L1477" i="51"/>
  <c r="A1478" i="51"/>
  <c r="B1478" i="51"/>
  <c r="C1478" i="51"/>
  <c r="D1478" i="51"/>
  <c r="E1478" i="51"/>
  <c r="F1478" i="51"/>
  <c r="G1478" i="51" a="1"/>
  <c r="G1478" i="51" s="1"/>
  <c r="H1478" i="51" a="1"/>
  <c r="H1478" i="51"/>
  <c r="I1478" i="51"/>
  <c r="J1478" i="51"/>
  <c r="K1478" i="51"/>
  <c r="L1478" i="51"/>
  <c r="A1479" i="51"/>
  <c r="B1479" i="51"/>
  <c r="C1479" i="51"/>
  <c r="D1479" i="51"/>
  <c r="E1479" i="51"/>
  <c r="F1479" i="51"/>
  <c r="G1479" i="51" a="1"/>
  <c r="G1479" i="51"/>
  <c r="H1479" i="51" a="1"/>
  <c r="H1479" i="51" s="1"/>
  <c r="I1479" i="51"/>
  <c r="J1479" i="51"/>
  <c r="K1479" i="51"/>
  <c r="L1479" i="51"/>
  <c r="A1480" i="51"/>
  <c r="B1480" i="51"/>
  <c r="C1480" i="51"/>
  <c r="D1480" i="51"/>
  <c r="E1480" i="51"/>
  <c r="F1480" i="51"/>
  <c r="G1480" i="51" a="1"/>
  <c r="G1480" i="51" s="1"/>
  <c r="H1480" i="51" a="1"/>
  <c r="H1480" i="51" s="1"/>
  <c r="I1480" i="51"/>
  <c r="J1480" i="51"/>
  <c r="K1480" i="51"/>
  <c r="L1480" i="51"/>
  <c r="A1481" i="51"/>
  <c r="B1481" i="51"/>
  <c r="C1481" i="51"/>
  <c r="D1481" i="51"/>
  <c r="E1481" i="51"/>
  <c r="F1481" i="51"/>
  <c r="G1481" i="51" a="1"/>
  <c r="G1481" i="51" s="1"/>
  <c r="H1481" i="51" a="1"/>
  <c r="H1481" i="51" s="1"/>
  <c r="I1481" i="51"/>
  <c r="J1481" i="51"/>
  <c r="K1481" i="51"/>
  <c r="L1481" i="51"/>
  <c r="A1482" i="51"/>
  <c r="B1482" i="51"/>
  <c r="C1482" i="51"/>
  <c r="D1482" i="51"/>
  <c r="E1482" i="51"/>
  <c r="F1482" i="51"/>
  <c r="G1482" i="51" a="1"/>
  <c r="G1482" i="51" s="1"/>
  <c r="H1482" i="51" a="1"/>
  <c r="H1482" i="51"/>
  <c r="I1482" i="51"/>
  <c r="J1482" i="51"/>
  <c r="K1482" i="51"/>
  <c r="L1482" i="51"/>
  <c r="A1483" i="51"/>
  <c r="B1483" i="51"/>
  <c r="C1483" i="51"/>
  <c r="D1483" i="51"/>
  <c r="E1483" i="51"/>
  <c r="F1483" i="51"/>
  <c r="G1483" i="51" a="1"/>
  <c r="G1483" i="51"/>
  <c r="H1483" i="51" a="1"/>
  <c r="H1483" i="51" s="1"/>
  <c r="I1483" i="51"/>
  <c r="J1483" i="51"/>
  <c r="K1483" i="51"/>
  <c r="L1483" i="51"/>
  <c r="A1484" i="51"/>
  <c r="B1484" i="51"/>
  <c r="C1484" i="51"/>
  <c r="D1484" i="51"/>
  <c r="E1484" i="51"/>
  <c r="F1484" i="51"/>
  <c r="G1484" i="51" a="1"/>
  <c r="G1484" i="51" s="1"/>
  <c r="H1484" i="51" a="1"/>
  <c r="H1484" i="51" s="1"/>
  <c r="I1484" i="51"/>
  <c r="J1484" i="51"/>
  <c r="K1484" i="51"/>
  <c r="L1484" i="51"/>
  <c r="A1485" i="51"/>
  <c r="B1485" i="51"/>
  <c r="C1485" i="51"/>
  <c r="D1485" i="51"/>
  <c r="E1485" i="51"/>
  <c r="F1485" i="51"/>
  <c r="G1485" i="51" a="1"/>
  <c r="G1485" i="51" s="1"/>
  <c r="H1485" i="51" a="1"/>
  <c r="H1485" i="51" s="1"/>
  <c r="I1485" i="51"/>
  <c r="J1485" i="51"/>
  <c r="K1485" i="51"/>
  <c r="L1485" i="51"/>
  <c r="A1486" i="51"/>
  <c r="B1486" i="51"/>
  <c r="C1486" i="51"/>
  <c r="D1486" i="51"/>
  <c r="E1486" i="51"/>
  <c r="F1486" i="51"/>
  <c r="G1486" i="51" a="1"/>
  <c r="G1486" i="51" s="1"/>
  <c r="H1486" i="51" a="1"/>
  <c r="H1486" i="51"/>
  <c r="I1486" i="51"/>
  <c r="J1486" i="51"/>
  <c r="K1486" i="51"/>
  <c r="L1486" i="51"/>
  <c r="A1487" i="51"/>
  <c r="B1487" i="51"/>
  <c r="C1487" i="51"/>
  <c r="D1487" i="51"/>
  <c r="E1487" i="51"/>
  <c r="F1487" i="51"/>
  <c r="G1487" i="51" a="1"/>
  <c r="G1487" i="51"/>
  <c r="H1487" i="51" a="1"/>
  <c r="H1487" i="51" s="1"/>
  <c r="I1487" i="51"/>
  <c r="J1487" i="51"/>
  <c r="K1487" i="51"/>
  <c r="L1487" i="51"/>
  <c r="A1488" i="51"/>
  <c r="B1488" i="51"/>
  <c r="C1488" i="51"/>
  <c r="D1488" i="51"/>
  <c r="E1488" i="51"/>
  <c r="F1488" i="51"/>
  <c r="G1488" i="51" a="1"/>
  <c r="G1488" i="51" s="1"/>
  <c r="H1488" i="51" a="1"/>
  <c r="H1488" i="51" s="1"/>
  <c r="I1488" i="51"/>
  <c r="J1488" i="51"/>
  <c r="K1488" i="51"/>
  <c r="L1488" i="51"/>
  <c r="A1489" i="51"/>
  <c r="B1489" i="51"/>
  <c r="C1489" i="51"/>
  <c r="D1489" i="51"/>
  <c r="E1489" i="51"/>
  <c r="F1489" i="51"/>
  <c r="G1489" i="51" a="1"/>
  <c r="G1489" i="51" s="1"/>
  <c r="H1489" i="51" a="1"/>
  <c r="H1489" i="51" s="1"/>
  <c r="I1489" i="51"/>
  <c r="J1489" i="51"/>
  <c r="K1489" i="51"/>
  <c r="L1489" i="51"/>
  <c r="A1490" i="51"/>
  <c r="B1490" i="51"/>
  <c r="C1490" i="51"/>
  <c r="D1490" i="51"/>
  <c r="E1490" i="51"/>
  <c r="F1490" i="51"/>
  <c r="G1490" i="51" a="1"/>
  <c r="G1490" i="51" s="1"/>
  <c r="H1490" i="51" a="1"/>
  <c r="H1490" i="51"/>
  <c r="I1490" i="51"/>
  <c r="J1490" i="51"/>
  <c r="K1490" i="51"/>
  <c r="L1490" i="51"/>
  <c r="A1491" i="51"/>
  <c r="B1491" i="51"/>
  <c r="C1491" i="51"/>
  <c r="D1491" i="51"/>
  <c r="E1491" i="51"/>
  <c r="F1491" i="51"/>
  <c r="G1491" i="51" a="1"/>
  <c r="G1491" i="51"/>
  <c r="H1491" i="51" a="1"/>
  <c r="H1491" i="51" s="1"/>
  <c r="I1491" i="51"/>
  <c r="J1491" i="51"/>
  <c r="K1491" i="51"/>
  <c r="L1491" i="51"/>
  <c r="A1492" i="51"/>
  <c r="B1492" i="51"/>
  <c r="C1492" i="51"/>
  <c r="D1492" i="51"/>
  <c r="E1492" i="51"/>
  <c r="F1492" i="51"/>
  <c r="G1492" i="51" a="1"/>
  <c r="G1492" i="51" s="1"/>
  <c r="H1492" i="51" a="1"/>
  <c r="H1492" i="51" s="1"/>
  <c r="I1492" i="51"/>
  <c r="J1492" i="51"/>
  <c r="K1492" i="51"/>
  <c r="L1492" i="51"/>
  <c r="A1493" i="51"/>
  <c r="B1493" i="51"/>
  <c r="C1493" i="51"/>
  <c r="D1493" i="51"/>
  <c r="E1493" i="51"/>
  <c r="F1493" i="51"/>
  <c r="G1493" i="51" a="1"/>
  <c r="G1493" i="51" s="1"/>
  <c r="H1493" i="51" a="1"/>
  <c r="H1493" i="51" s="1"/>
  <c r="I1493" i="51"/>
  <c r="J1493" i="51"/>
  <c r="K1493" i="51"/>
  <c r="L1493" i="51"/>
  <c r="A1494" i="51"/>
  <c r="B1494" i="51"/>
  <c r="C1494" i="51"/>
  <c r="D1494" i="51"/>
  <c r="E1494" i="51"/>
  <c r="F1494" i="51"/>
  <c r="G1494" i="51" a="1"/>
  <c r="G1494" i="51" s="1"/>
  <c r="H1494" i="51" a="1"/>
  <c r="H1494" i="51"/>
  <c r="I1494" i="51"/>
  <c r="J1494" i="51"/>
  <c r="K1494" i="51"/>
  <c r="L1494" i="51"/>
  <c r="A1495" i="51"/>
  <c r="B1495" i="51"/>
  <c r="C1495" i="51"/>
  <c r="D1495" i="51"/>
  <c r="E1495" i="51"/>
  <c r="F1495" i="51"/>
  <c r="G1495" i="51" a="1"/>
  <c r="G1495" i="51"/>
  <c r="H1495" i="51" a="1"/>
  <c r="H1495" i="51" s="1"/>
  <c r="I1495" i="51"/>
  <c r="J1495" i="51"/>
  <c r="K1495" i="51"/>
  <c r="L1495" i="51"/>
  <c r="A1496" i="51"/>
  <c r="B1496" i="51"/>
  <c r="C1496" i="51"/>
  <c r="D1496" i="51"/>
  <c r="E1496" i="51"/>
  <c r="F1496" i="51"/>
  <c r="G1496" i="51" a="1"/>
  <c r="G1496" i="51" s="1"/>
  <c r="H1496" i="51" a="1"/>
  <c r="H1496" i="51" s="1"/>
  <c r="I1496" i="51"/>
  <c r="J1496" i="51"/>
  <c r="K1496" i="51"/>
  <c r="L1496" i="51"/>
  <c r="A1497" i="51"/>
  <c r="B1497" i="51"/>
  <c r="C1497" i="51"/>
  <c r="D1497" i="51"/>
  <c r="E1497" i="51"/>
  <c r="F1497" i="51"/>
  <c r="G1497" i="51" a="1"/>
  <c r="G1497" i="51" s="1"/>
  <c r="H1497" i="51" a="1"/>
  <c r="H1497" i="51" s="1"/>
  <c r="I1497" i="51"/>
  <c r="J1497" i="51"/>
  <c r="K1497" i="51"/>
  <c r="L1497" i="51"/>
  <c r="A1498" i="51"/>
  <c r="B1498" i="51"/>
  <c r="C1498" i="51"/>
  <c r="D1498" i="51"/>
  <c r="E1498" i="51"/>
  <c r="F1498" i="51"/>
  <c r="G1498" i="51" a="1"/>
  <c r="G1498" i="51" s="1"/>
  <c r="H1498" i="51" a="1"/>
  <c r="H1498" i="51"/>
  <c r="I1498" i="51"/>
  <c r="J1498" i="51"/>
  <c r="K1498" i="51"/>
  <c r="L1498" i="51"/>
  <c r="A1499" i="51"/>
  <c r="B1499" i="51"/>
  <c r="C1499" i="51"/>
  <c r="D1499" i="51"/>
  <c r="E1499" i="51"/>
  <c r="F1499" i="51"/>
  <c r="G1499" i="51" a="1"/>
  <c r="G1499" i="51"/>
  <c r="H1499" i="51" a="1"/>
  <c r="H1499" i="51" s="1"/>
  <c r="I1499" i="51"/>
  <c r="J1499" i="51"/>
  <c r="K1499" i="51"/>
  <c r="L1499" i="51"/>
  <c r="A1500" i="51"/>
  <c r="B1500" i="51"/>
  <c r="C1500" i="51"/>
  <c r="D1500" i="51"/>
  <c r="E1500" i="51"/>
  <c r="F1500" i="51"/>
  <c r="G1500" i="51" a="1"/>
  <c r="G1500" i="51" s="1"/>
  <c r="H1500" i="51" a="1"/>
  <c r="H1500" i="51" s="1"/>
  <c r="I1500" i="51"/>
  <c r="J1500" i="51"/>
  <c r="K1500" i="51"/>
  <c r="L1500" i="51"/>
  <c r="A1501" i="51"/>
  <c r="B1501" i="51"/>
  <c r="C1501" i="51"/>
  <c r="D1501" i="51"/>
  <c r="E1501" i="51"/>
  <c r="F1501" i="51"/>
  <c r="G1501" i="51" a="1"/>
  <c r="G1501" i="51" s="1"/>
  <c r="H1501" i="51" a="1"/>
  <c r="H1501" i="51" s="1"/>
  <c r="I1501" i="51"/>
  <c r="J1501" i="51"/>
  <c r="K1501" i="51"/>
  <c r="L1501" i="51"/>
  <c r="A1502" i="51"/>
  <c r="B1502" i="51"/>
  <c r="C1502" i="51"/>
  <c r="D1502" i="51"/>
  <c r="E1502" i="51"/>
  <c r="F1502" i="51"/>
  <c r="G1502" i="51" a="1"/>
  <c r="G1502" i="51" s="1"/>
  <c r="H1502" i="51" a="1"/>
  <c r="H1502" i="51"/>
  <c r="I1502" i="51"/>
  <c r="J1502" i="51"/>
  <c r="K1502" i="51"/>
  <c r="L1502" i="51"/>
  <c r="A1503" i="51"/>
  <c r="B1503" i="51"/>
  <c r="C1503" i="51"/>
  <c r="D1503" i="51"/>
  <c r="E1503" i="51"/>
  <c r="F1503" i="51"/>
  <c r="G1503" i="51" a="1"/>
  <c r="G1503" i="51"/>
  <c r="H1503" i="51" a="1"/>
  <c r="H1503" i="51" s="1"/>
  <c r="I1503" i="51"/>
  <c r="J1503" i="51"/>
  <c r="K1503" i="51"/>
  <c r="L1503" i="51"/>
  <c r="A1504" i="51"/>
  <c r="B1504" i="51"/>
  <c r="C1504" i="51"/>
  <c r="D1504" i="51"/>
  <c r="E1504" i="51"/>
  <c r="F1504" i="51"/>
  <c r="G1504" i="51" a="1"/>
  <c r="G1504" i="51" s="1"/>
  <c r="H1504" i="51" a="1"/>
  <c r="H1504" i="51" s="1"/>
  <c r="I1504" i="51"/>
  <c r="J1504" i="51"/>
  <c r="K1504" i="51"/>
  <c r="L1504" i="51"/>
  <c r="A1505" i="51"/>
  <c r="B1505" i="51"/>
  <c r="C1505" i="51"/>
  <c r="D1505" i="51"/>
  <c r="E1505" i="51"/>
  <c r="F1505" i="51"/>
  <c r="G1505" i="51" a="1"/>
  <c r="G1505" i="51" s="1"/>
  <c r="H1505" i="51" a="1"/>
  <c r="H1505" i="51" s="1"/>
  <c r="I1505" i="51"/>
  <c r="J1505" i="51"/>
  <c r="K1505" i="51"/>
  <c r="L1505" i="51"/>
  <c r="A1506" i="51"/>
  <c r="B1506" i="51"/>
  <c r="C1506" i="51"/>
  <c r="D1506" i="51"/>
  <c r="E1506" i="51"/>
  <c r="F1506" i="51"/>
  <c r="G1506" i="51" a="1"/>
  <c r="G1506" i="51" s="1"/>
  <c r="H1506" i="51" a="1"/>
  <c r="H1506" i="51"/>
  <c r="I1506" i="51"/>
  <c r="J1506" i="51"/>
  <c r="K1506" i="51"/>
  <c r="L1506" i="51"/>
  <c r="A1507" i="51"/>
  <c r="B1507" i="51"/>
  <c r="C1507" i="51"/>
  <c r="D1507" i="51"/>
  <c r="E1507" i="51"/>
  <c r="F1507" i="51"/>
  <c r="G1507" i="51" a="1"/>
  <c r="G1507" i="51"/>
  <c r="H1507" i="51" a="1"/>
  <c r="H1507" i="51" s="1"/>
  <c r="I1507" i="51"/>
  <c r="J1507" i="51"/>
  <c r="K1507" i="51"/>
  <c r="L1507" i="51"/>
  <c r="A1508" i="51"/>
  <c r="B1508" i="51"/>
  <c r="C1508" i="51"/>
  <c r="D1508" i="51"/>
  <c r="E1508" i="51"/>
  <c r="F1508" i="51"/>
  <c r="G1508" i="51" a="1"/>
  <c r="G1508" i="51" s="1"/>
  <c r="H1508" i="51" a="1"/>
  <c r="H1508" i="51" s="1"/>
  <c r="I1508" i="51"/>
  <c r="J1508" i="51"/>
  <c r="K1508" i="51"/>
  <c r="L1508" i="51"/>
  <c r="A1509" i="51"/>
  <c r="B1509" i="51"/>
  <c r="C1509" i="51"/>
  <c r="D1509" i="51"/>
  <c r="E1509" i="51"/>
  <c r="F1509" i="51"/>
  <c r="G1509" i="51" a="1"/>
  <c r="G1509" i="51" s="1"/>
  <c r="H1509" i="51" a="1"/>
  <c r="H1509" i="51" s="1"/>
  <c r="I1509" i="51"/>
  <c r="J1509" i="51"/>
  <c r="K1509" i="51"/>
  <c r="L1509" i="51"/>
  <c r="A1510" i="51"/>
  <c r="B1510" i="51"/>
  <c r="C1510" i="51"/>
  <c r="D1510" i="51"/>
  <c r="E1510" i="51"/>
  <c r="F1510" i="51"/>
  <c r="G1510" i="51" a="1"/>
  <c r="G1510" i="51" s="1"/>
  <c r="H1510" i="51" a="1"/>
  <c r="H1510" i="51"/>
  <c r="I1510" i="51"/>
  <c r="J1510" i="51"/>
  <c r="K1510" i="51"/>
  <c r="L1510" i="51"/>
  <c r="A1511" i="51"/>
  <c r="B1511" i="51"/>
  <c r="C1511" i="51"/>
  <c r="D1511" i="51"/>
  <c r="E1511" i="51"/>
  <c r="F1511" i="51"/>
  <c r="G1511" i="51" a="1"/>
  <c r="G1511" i="51"/>
  <c r="H1511" i="51" a="1"/>
  <c r="H1511" i="51" s="1"/>
  <c r="I1511" i="51"/>
  <c r="J1511" i="51"/>
  <c r="K1511" i="51"/>
  <c r="L1511" i="51"/>
  <c r="A1512" i="51"/>
  <c r="B1512" i="51"/>
  <c r="C1512" i="51"/>
  <c r="D1512" i="51"/>
  <c r="E1512" i="51"/>
  <c r="F1512" i="51"/>
  <c r="G1512" i="51" a="1"/>
  <c r="G1512" i="51" s="1"/>
  <c r="H1512" i="51" a="1"/>
  <c r="H1512" i="51" s="1"/>
  <c r="I1512" i="51"/>
  <c r="J1512" i="51"/>
  <c r="K1512" i="51"/>
  <c r="L1512" i="51"/>
  <c r="A1513" i="51"/>
  <c r="B1513" i="51"/>
  <c r="C1513" i="51"/>
  <c r="D1513" i="51"/>
  <c r="E1513" i="51"/>
  <c r="F1513" i="51"/>
  <c r="G1513" i="51" a="1"/>
  <c r="G1513" i="51" s="1"/>
  <c r="H1513" i="51" a="1"/>
  <c r="H1513" i="51" s="1"/>
  <c r="I1513" i="51"/>
  <c r="J1513" i="51"/>
  <c r="K1513" i="51"/>
  <c r="L1513" i="51"/>
  <c r="A1514" i="51"/>
  <c r="B1514" i="51"/>
  <c r="C1514" i="51"/>
  <c r="D1514" i="51"/>
  <c r="E1514" i="51"/>
  <c r="F1514" i="51"/>
  <c r="G1514" i="51" a="1"/>
  <c r="G1514" i="51" s="1"/>
  <c r="H1514" i="51" a="1"/>
  <c r="H1514" i="51"/>
  <c r="I1514" i="51"/>
  <c r="J1514" i="51"/>
  <c r="K1514" i="51"/>
  <c r="L1514" i="51"/>
  <c r="A1515" i="51"/>
  <c r="B1515" i="51"/>
  <c r="C1515" i="51"/>
  <c r="D1515" i="51"/>
  <c r="E1515" i="51"/>
  <c r="F1515" i="51"/>
  <c r="G1515" i="51" a="1"/>
  <c r="G1515" i="51"/>
  <c r="H1515" i="51" a="1"/>
  <c r="H1515" i="51" s="1"/>
  <c r="I1515" i="51"/>
  <c r="J1515" i="51"/>
  <c r="K1515" i="51"/>
  <c r="L1515" i="51"/>
  <c r="A1516" i="51"/>
  <c r="B1516" i="51"/>
  <c r="C1516" i="51"/>
  <c r="D1516" i="51"/>
  <c r="E1516" i="51"/>
  <c r="F1516" i="51"/>
  <c r="G1516" i="51" a="1"/>
  <c r="G1516" i="51" s="1"/>
  <c r="H1516" i="51" a="1"/>
  <c r="H1516" i="51" s="1"/>
  <c r="I1516" i="51"/>
  <c r="J1516" i="51"/>
  <c r="K1516" i="51"/>
  <c r="L1516" i="51"/>
  <c r="A1517" i="51"/>
  <c r="B1517" i="51"/>
  <c r="C1517" i="51"/>
  <c r="D1517" i="51"/>
  <c r="E1517" i="51"/>
  <c r="F1517" i="51"/>
  <c r="G1517" i="51" a="1"/>
  <c r="G1517" i="51" s="1"/>
  <c r="H1517" i="51" a="1"/>
  <c r="H1517" i="51" s="1"/>
  <c r="I1517" i="51"/>
  <c r="J1517" i="51"/>
  <c r="K1517" i="51"/>
  <c r="L1517" i="51"/>
  <c r="A1518" i="51"/>
  <c r="B1518" i="51"/>
  <c r="C1518" i="51"/>
  <c r="D1518" i="51"/>
  <c r="E1518" i="51"/>
  <c r="F1518" i="51"/>
  <c r="G1518" i="51" a="1"/>
  <c r="G1518" i="51" s="1"/>
  <c r="H1518" i="51" a="1"/>
  <c r="H1518" i="51"/>
  <c r="I1518" i="51"/>
  <c r="J1518" i="51"/>
  <c r="K1518" i="51"/>
  <c r="L1518" i="51"/>
  <c r="A1519" i="51"/>
  <c r="B1519" i="51"/>
  <c r="C1519" i="51"/>
  <c r="D1519" i="51"/>
  <c r="E1519" i="51"/>
  <c r="F1519" i="51"/>
  <c r="G1519" i="51" a="1"/>
  <c r="G1519" i="51"/>
  <c r="H1519" i="51" a="1"/>
  <c r="H1519" i="51" s="1"/>
  <c r="I1519" i="51"/>
  <c r="J1519" i="51"/>
  <c r="K1519" i="51"/>
  <c r="L1519" i="51"/>
  <c r="A1520" i="51"/>
  <c r="B1520" i="51"/>
  <c r="C1520" i="51"/>
  <c r="D1520" i="51"/>
  <c r="E1520" i="51"/>
  <c r="F1520" i="51"/>
  <c r="G1520" i="51" a="1"/>
  <c r="G1520" i="51" s="1"/>
  <c r="H1520" i="51" a="1"/>
  <c r="H1520" i="51" s="1"/>
  <c r="I1520" i="51"/>
  <c r="J1520" i="51"/>
  <c r="K1520" i="51"/>
  <c r="L1520" i="51"/>
  <c r="A1521" i="51"/>
  <c r="B1521" i="51"/>
  <c r="C1521" i="51"/>
  <c r="D1521" i="51"/>
  <c r="E1521" i="51"/>
  <c r="F1521" i="51"/>
  <c r="G1521" i="51" a="1"/>
  <c r="G1521" i="51" s="1"/>
  <c r="H1521" i="51" a="1"/>
  <c r="H1521" i="51" s="1"/>
  <c r="I1521" i="51"/>
  <c r="J1521" i="51"/>
  <c r="K1521" i="51"/>
  <c r="L1521" i="51"/>
  <c r="A1522" i="51"/>
  <c r="B1522" i="51"/>
  <c r="C1522" i="51"/>
  <c r="D1522" i="51"/>
  <c r="E1522" i="51"/>
  <c r="F1522" i="51"/>
  <c r="G1522" i="51" a="1"/>
  <c r="G1522" i="51" s="1"/>
  <c r="H1522" i="51" a="1"/>
  <c r="H1522" i="51"/>
  <c r="I1522" i="51"/>
  <c r="J1522" i="51"/>
  <c r="K1522" i="51"/>
  <c r="L1522" i="51"/>
  <c r="A1523" i="51"/>
  <c r="B1523" i="51"/>
  <c r="C1523" i="51"/>
  <c r="D1523" i="51"/>
  <c r="E1523" i="51"/>
  <c r="F1523" i="51"/>
  <c r="G1523" i="51" a="1"/>
  <c r="G1523" i="51"/>
  <c r="H1523" i="51" a="1"/>
  <c r="H1523" i="51" s="1"/>
  <c r="I1523" i="51"/>
  <c r="J1523" i="51"/>
  <c r="K1523" i="51"/>
  <c r="L1523" i="51"/>
  <c r="A1524" i="51"/>
  <c r="B1524" i="51"/>
  <c r="C1524" i="51"/>
  <c r="D1524" i="51"/>
  <c r="E1524" i="51"/>
  <c r="F1524" i="51"/>
  <c r="G1524" i="51" a="1"/>
  <c r="G1524" i="51" s="1"/>
  <c r="H1524" i="51" a="1"/>
  <c r="H1524" i="51" s="1"/>
  <c r="I1524" i="51"/>
  <c r="J1524" i="51"/>
  <c r="K1524" i="51"/>
  <c r="L1524" i="51"/>
  <c r="A1525" i="51"/>
  <c r="B1525" i="51"/>
  <c r="C1525" i="51"/>
  <c r="D1525" i="51"/>
  <c r="E1525" i="51"/>
  <c r="F1525" i="51"/>
  <c r="G1525" i="51" a="1"/>
  <c r="G1525" i="51" s="1"/>
  <c r="H1525" i="51" a="1"/>
  <c r="H1525" i="51" s="1"/>
  <c r="I1525" i="51"/>
  <c r="J1525" i="51"/>
  <c r="K1525" i="51"/>
  <c r="L1525" i="51"/>
  <c r="A1526" i="51"/>
  <c r="B1526" i="51"/>
  <c r="C1526" i="51"/>
  <c r="D1526" i="51"/>
  <c r="E1526" i="51"/>
  <c r="F1526" i="51"/>
  <c r="G1526" i="51" a="1"/>
  <c r="G1526" i="51" s="1"/>
  <c r="H1526" i="51" a="1"/>
  <c r="H1526" i="51"/>
  <c r="I1526" i="51"/>
  <c r="J1526" i="51"/>
  <c r="K1526" i="51"/>
  <c r="L1526" i="51"/>
  <c r="A1527" i="51"/>
  <c r="B1527" i="51"/>
  <c r="C1527" i="51"/>
  <c r="D1527" i="51"/>
  <c r="E1527" i="51"/>
  <c r="F1527" i="51"/>
  <c r="G1527" i="51" a="1"/>
  <c r="G1527" i="51"/>
  <c r="H1527" i="51" a="1"/>
  <c r="H1527" i="51" s="1"/>
  <c r="I1527" i="51"/>
  <c r="J1527" i="51"/>
  <c r="K1527" i="51"/>
  <c r="L1527" i="51"/>
  <c r="A1528" i="51"/>
  <c r="B1528" i="51"/>
  <c r="C1528" i="51"/>
  <c r="D1528" i="51"/>
  <c r="E1528" i="51"/>
  <c r="F1528" i="51"/>
  <c r="G1528" i="51" a="1"/>
  <c r="G1528" i="51" s="1"/>
  <c r="H1528" i="51" a="1"/>
  <c r="H1528" i="51" s="1"/>
  <c r="I1528" i="51"/>
  <c r="J1528" i="51"/>
  <c r="K1528" i="51"/>
  <c r="L1528" i="51"/>
  <c r="A1529" i="51"/>
  <c r="B1529" i="51"/>
  <c r="C1529" i="51"/>
  <c r="D1529" i="51"/>
  <c r="E1529" i="51"/>
  <c r="F1529" i="51"/>
  <c r="G1529" i="51" a="1"/>
  <c r="G1529" i="51" s="1"/>
  <c r="H1529" i="51" a="1"/>
  <c r="H1529" i="51" s="1"/>
  <c r="I1529" i="51"/>
  <c r="J1529" i="51"/>
  <c r="K1529" i="51"/>
  <c r="L1529" i="51"/>
  <c r="A1530" i="51"/>
  <c r="B1530" i="51"/>
  <c r="C1530" i="51"/>
  <c r="D1530" i="51"/>
  <c r="E1530" i="51"/>
  <c r="F1530" i="51"/>
  <c r="G1530" i="51" a="1"/>
  <c r="G1530" i="51" s="1"/>
  <c r="H1530" i="51" a="1"/>
  <c r="H1530" i="51"/>
  <c r="I1530" i="51"/>
  <c r="J1530" i="51"/>
  <c r="K1530" i="51"/>
  <c r="L1530" i="51"/>
  <c r="A1531" i="51"/>
  <c r="B1531" i="51"/>
  <c r="C1531" i="51"/>
  <c r="D1531" i="51"/>
  <c r="E1531" i="51"/>
  <c r="F1531" i="51"/>
  <c r="G1531" i="51" a="1"/>
  <c r="G1531" i="51"/>
  <c r="H1531" i="51" a="1"/>
  <c r="H1531" i="51" s="1"/>
  <c r="I1531" i="51"/>
  <c r="J1531" i="51"/>
  <c r="K1531" i="51"/>
  <c r="L1531" i="51"/>
  <c r="A1532" i="51"/>
  <c r="B1532" i="51"/>
  <c r="C1532" i="51"/>
  <c r="D1532" i="51"/>
  <c r="E1532" i="51"/>
  <c r="F1532" i="51"/>
  <c r="G1532" i="51" a="1"/>
  <c r="G1532" i="51" s="1"/>
  <c r="H1532" i="51" a="1"/>
  <c r="H1532" i="51" s="1"/>
  <c r="I1532" i="51"/>
  <c r="J1532" i="51"/>
  <c r="K1532" i="51"/>
  <c r="L1532" i="51"/>
  <c r="A1533" i="51"/>
  <c r="B1533" i="51"/>
  <c r="C1533" i="51"/>
  <c r="D1533" i="51"/>
  <c r="E1533" i="51"/>
  <c r="F1533" i="51"/>
  <c r="G1533" i="51" a="1"/>
  <c r="G1533" i="51" s="1"/>
  <c r="H1533" i="51" a="1"/>
  <c r="H1533" i="51" s="1"/>
  <c r="I1533" i="51"/>
  <c r="J1533" i="51"/>
  <c r="K1533" i="51"/>
  <c r="L1533" i="51"/>
  <c r="A1534" i="51"/>
  <c r="B1534" i="51"/>
  <c r="C1534" i="51"/>
  <c r="D1534" i="51"/>
  <c r="E1534" i="51"/>
  <c r="F1534" i="51"/>
  <c r="G1534" i="51" a="1"/>
  <c r="G1534" i="51" s="1"/>
  <c r="H1534" i="51" a="1"/>
  <c r="H1534" i="51"/>
  <c r="I1534" i="51"/>
  <c r="J1534" i="51"/>
  <c r="K1534" i="51"/>
  <c r="L1534" i="51"/>
  <c r="A1535" i="51"/>
  <c r="B1535" i="51"/>
  <c r="C1535" i="51"/>
  <c r="D1535" i="51"/>
  <c r="E1535" i="51"/>
  <c r="F1535" i="51"/>
  <c r="G1535" i="51" a="1"/>
  <c r="G1535" i="51"/>
  <c r="H1535" i="51" a="1"/>
  <c r="H1535" i="51" s="1"/>
  <c r="I1535" i="51"/>
  <c r="J1535" i="51"/>
  <c r="K1535" i="51"/>
  <c r="L1535" i="51"/>
  <c r="A1536" i="51"/>
  <c r="B1536" i="51"/>
  <c r="C1536" i="51"/>
  <c r="D1536" i="51"/>
  <c r="E1536" i="51"/>
  <c r="F1536" i="51"/>
  <c r="G1536" i="51" a="1"/>
  <c r="G1536" i="51" s="1"/>
  <c r="H1536" i="51" a="1"/>
  <c r="H1536" i="51" s="1"/>
  <c r="I1536" i="51"/>
  <c r="J1536" i="51"/>
  <c r="K1536" i="51"/>
  <c r="L1536" i="51"/>
  <c r="A1537" i="51"/>
  <c r="B1537" i="51"/>
  <c r="C1537" i="51"/>
  <c r="D1537" i="51"/>
  <c r="E1537" i="51"/>
  <c r="F1537" i="51"/>
  <c r="G1537" i="51" a="1"/>
  <c r="G1537" i="51" s="1"/>
  <c r="H1537" i="51" a="1"/>
  <c r="H1537" i="51" s="1"/>
  <c r="I1537" i="51"/>
  <c r="J1537" i="51"/>
  <c r="K1537" i="51"/>
  <c r="L1537" i="51"/>
  <c r="A1538" i="51"/>
  <c r="B1538" i="51"/>
  <c r="C1538" i="51"/>
  <c r="D1538" i="51"/>
  <c r="E1538" i="51"/>
  <c r="F1538" i="51"/>
  <c r="G1538" i="51" a="1"/>
  <c r="G1538" i="51" s="1"/>
  <c r="H1538" i="51" a="1"/>
  <c r="H1538" i="51"/>
  <c r="I1538" i="51"/>
  <c r="J1538" i="51"/>
  <c r="K1538" i="51"/>
  <c r="L1538" i="51"/>
  <c r="A1539" i="51"/>
  <c r="B1539" i="51"/>
  <c r="C1539" i="51"/>
  <c r="D1539" i="51"/>
  <c r="E1539" i="51"/>
  <c r="F1539" i="51"/>
  <c r="G1539" i="51" a="1"/>
  <c r="G1539" i="51"/>
  <c r="H1539" i="51" a="1"/>
  <c r="H1539" i="51" s="1"/>
  <c r="I1539" i="51"/>
  <c r="J1539" i="51"/>
  <c r="K1539" i="51"/>
  <c r="L1539" i="51"/>
  <c r="A1540" i="51"/>
  <c r="B1540" i="51"/>
  <c r="C1540" i="51"/>
  <c r="D1540" i="51"/>
  <c r="E1540" i="51"/>
  <c r="F1540" i="51"/>
  <c r="G1540" i="51" a="1"/>
  <c r="G1540" i="51" s="1"/>
  <c r="H1540" i="51" a="1"/>
  <c r="H1540" i="51" s="1"/>
  <c r="I1540" i="51"/>
  <c r="J1540" i="51"/>
  <c r="K1540" i="51"/>
  <c r="L1540" i="51"/>
  <c r="A1541" i="51"/>
  <c r="B1541" i="51"/>
  <c r="C1541" i="51"/>
  <c r="D1541" i="51"/>
  <c r="E1541" i="51"/>
  <c r="F1541" i="51"/>
  <c r="G1541" i="51" a="1"/>
  <c r="G1541" i="51" s="1"/>
  <c r="H1541" i="51" a="1"/>
  <c r="H1541" i="51" s="1"/>
  <c r="I1541" i="51"/>
  <c r="J1541" i="51"/>
  <c r="K1541" i="51"/>
  <c r="L1541" i="51"/>
  <c r="A1542" i="51"/>
  <c r="B1542" i="51"/>
  <c r="C1542" i="51"/>
  <c r="D1542" i="51"/>
  <c r="E1542" i="51"/>
  <c r="F1542" i="51"/>
  <c r="G1542" i="51" a="1"/>
  <c r="G1542" i="51" s="1"/>
  <c r="H1542" i="51" a="1"/>
  <c r="H1542" i="51"/>
  <c r="I1542" i="51"/>
  <c r="J1542" i="51"/>
  <c r="K1542" i="51"/>
  <c r="L1542" i="51"/>
  <c r="A1543" i="51"/>
  <c r="B1543" i="51"/>
  <c r="C1543" i="51"/>
  <c r="D1543" i="51"/>
  <c r="E1543" i="51"/>
  <c r="F1543" i="51"/>
  <c r="G1543" i="51" a="1"/>
  <c r="G1543" i="51"/>
  <c r="H1543" i="51" a="1"/>
  <c r="H1543" i="51" s="1"/>
  <c r="I1543" i="51"/>
  <c r="J1543" i="51"/>
  <c r="K1543" i="51"/>
  <c r="L1543" i="51"/>
  <c r="A1544" i="51"/>
  <c r="B1544" i="51"/>
  <c r="C1544" i="51"/>
  <c r="D1544" i="51"/>
  <c r="E1544" i="51"/>
  <c r="F1544" i="51"/>
  <c r="G1544" i="51" a="1"/>
  <c r="G1544" i="51" s="1"/>
  <c r="H1544" i="51" a="1"/>
  <c r="H1544" i="51" s="1"/>
  <c r="I1544" i="51"/>
  <c r="J1544" i="51"/>
  <c r="K1544" i="51"/>
  <c r="L1544" i="51"/>
  <c r="A1545" i="51"/>
  <c r="B1545" i="51"/>
  <c r="C1545" i="51"/>
  <c r="D1545" i="51"/>
  <c r="E1545" i="51"/>
  <c r="F1545" i="51"/>
  <c r="G1545" i="51" a="1"/>
  <c r="G1545" i="51" s="1"/>
  <c r="H1545" i="51" a="1"/>
  <c r="H1545" i="51" s="1"/>
  <c r="I1545" i="51"/>
  <c r="J1545" i="51"/>
  <c r="K1545" i="51"/>
  <c r="L1545" i="51"/>
  <c r="A1546" i="51"/>
  <c r="B1546" i="51"/>
  <c r="C1546" i="51"/>
  <c r="D1546" i="51"/>
  <c r="E1546" i="51"/>
  <c r="F1546" i="51"/>
  <c r="G1546" i="51" a="1"/>
  <c r="G1546" i="51" s="1"/>
  <c r="H1546" i="51" a="1"/>
  <c r="H1546" i="51"/>
  <c r="I1546" i="51"/>
  <c r="J1546" i="51"/>
  <c r="K1546" i="51"/>
  <c r="L1546" i="51"/>
  <c r="A1547" i="51"/>
  <c r="B1547" i="51"/>
  <c r="C1547" i="51"/>
  <c r="D1547" i="51"/>
  <c r="E1547" i="51"/>
  <c r="F1547" i="51"/>
  <c r="G1547" i="51" a="1"/>
  <c r="G1547" i="51"/>
  <c r="H1547" i="51" a="1"/>
  <c r="H1547" i="51" s="1"/>
  <c r="I1547" i="51"/>
  <c r="J1547" i="51"/>
  <c r="K1547" i="51"/>
  <c r="L1547" i="51"/>
  <c r="A1548" i="51"/>
  <c r="B1548" i="51"/>
  <c r="C1548" i="51"/>
  <c r="D1548" i="51"/>
  <c r="E1548" i="51"/>
  <c r="F1548" i="51"/>
  <c r="G1548" i="51" a="1"/>
  <c r="G1548" i="51" s="1"/>
  <c r="H1548" i="51" a="1"/>
  <c r="H1548" i="51" s="1"/>
  <c r="I1548" i="51"/>
  <c r="J1548" i="51"/>
  <c r="K1548" i="51"/>
  <c r="L1548" i="51"/>
  <c r="A1549" i="51"/>
  <c r="B1549" i="51"/>
  <c r="C1549" i="51"/>
  <c r="D1549" i="51"/>
  <c r="E1549" i="51"/>
  <c r="F1549" i="51"/>
  <c r="G1549" i="51" a="1"/>
  <c r="G1549" i="51" s="1"/>
  <c r="H1549" i="51" a="1"/>
  <c r="H1549" i="51" s="1"/>
  <c r="I1549" i="51"/>
  <c r="J1549" i="51"/>
  <c r="K1549" i="51"/>
  <c r="L1549" i="51"/>
  <c r="A1550" i="51"/>
  <c r="B1550" i="51"/>
  <c r="C1550" i="51"/>
  <c r="D1550" i="51"/>
  <c r="E1550" i="51"/>
  <c r="F1550" i="51"/>
  <c r="G1550" i="51" a="1"/>
  <c r="G1550" i="51" s="1"/>
  <c r="H1550" i="51" a="1"/>
  <c r="H1550" i="51"/>
  <c r="I1550" i="51"/>
  <c r="J1550" i="51"/>
  <c r="K1550" i="51"/>
  <c r="L1550" i="51"/>
  <c r="A1551" i="51"/>
  <c r="B1551" i="51"/>
  <c r="C1551" i="51"/>
  <c r="D1551" i="51"/>
  <c r="E1551" i="51"/>
  <c r="F1551" i="51"/>
  <c r="G1551" i="51" a="1"/>
  <c r="G1551" i="51"/>
  <c r="H1551" i="51" a="1"/>
  <c r="H1551" i="51" s="1"/>
  <c r="I1551" i="51"/>
  <c r="J1551" i="51"/>
  <c r="K1551" i="51"/>
  <c r="L1551" i="51"/>
  <c r="A1552" i="51"/>
  <c r="B1552" i="51"/>
  <c r="C1552" i="51"/>
  <c r="D1552" i="51"/>
  <c r="E1552" i="51"/>
  <c r="F1552" i="51"/>
  <c r="G1552" i="51" a="1"/>
  <c r="G1552" i="51" s="1"/>
  <c r="H1552" i="51" a="1"/>
  <c r="H1552" i="51" s="1"/>
  <c r="I1552" i="51"/>
  <c r="J1552" i="51"/>
  <c r="K1552" i="51"/>
  <c r="L1552" i="51"/>
  <c r="A1553" i="51"/>
  <c r="B1553" i="51"/>
  <c r="C1553" i="51"/>
  <c r="D1553" i="51"/>
  <c r="E1553" i="51"/>
  <c r="F1553" i="51"/>
  <c r="G1553" i="51" a="1"/>
  <c r="G1553" i="51" s="1"/>
  <c r="H1553" i="51" a="1"/>
  <c r="H1553" i="51" s="1"/>
  <c r="I1553" i="51"/>
  <c r="J1553" i="51"/>
  <c r="K1553" i="51"/>
  <c r="L1553" i="51"/>
  <c r="A1554" i="51"/>
  <c r="B1554" i="51"/>
  <c r="C1554" i="51"/>
  <c r="D1554" i="51"/>
  <c r="E1554" i="51"/>
  <c r="F1554" i="51"/>
  <c r="G1554" i="51" a="1"/>
  <c r="G1554" i="51" s="1"/>
  <c r="H1554" i="51" a="1"/>
  <c r="H1554" i="51"/>
  <c r="I1554" i="51"/>
  <c r="J1554" i="51"/>
  <c r="K1554" i="51"/>
  <c r="L1554" i="51"/>
  <c r="A1555" i="51"/>
  <c r="B1555" i="51"/>
  <c r="C1555" i="51"/>
  <c r="D1555" i="51"/>
  <c r="E1555" i="51"/>
  <c r="F1555" i="51"/>
  <c r="G1555" i="51" a="1"/>
  <c r="G1555" i="51"/>
  <c r="H1555" i="51" a="1"/>
  <c r="H1555" i="51" s="1"/>
  <c r="I1555" i="51"/>
  <c r="J1555" i="51"/>
  <c r="K1555" i="51"/>
  <c r="L1555" i="51"/>
  <c r="A1556" i="51"/>
  <c r="B1556" i="51"/>
  <c r="C1556" i="51"/>
  <c r="D1556" i="51"/>
  <c r="E1556" i="51"/>
  <c r="F1556" i="51"/>
  <c r="G1556" i="51" a="1"/>
  <c r="G1556" i="51" s="1"/>
  <c r="H1556" i="51" a="1"/>
  <c r="H1556" i="51" s="1"/>
  <c r="I1556" i="51"/>
  <c r="J1556" i="51"/>
  <c r="K1556" i="51"/>
  <c r="L1556" i="51"/>
  <c r="A1557" i="51"/>
  <c r="B1557" i="51"/>
  <c r="C1557" i="51"/>
  <c r="D1557" i="51"/>
  <c r="E1557" i="51"/>
  <c r="F1557" i="51"/>
  <c r="G1557" i="51" a="1"/>
  <c r="G1557" i="51" s="1"/>
  <c r="H1557" i="51" a="1"/>
  <c r="H1557" i="51" s="1"/>
  <c r="I1557" i="51"/>
  <c r="J1557" i="51"/>
  <c r="K1557" i="51"/>
  <c r="L1557" i="51"/>
  <c r="A1558" i="51"/>
  <c r="B1558" i="51"/>
  <c r="C1558" i="51"/>
  <c r="D1558" i="51"/>
  <c r="E1558" i="51"/>
  <c r="F1558" i="51"/>
  <c r="G1558" i="51" a="1"/>
  <c r="G1558" i="51" s="1"/>
  <c r="H1558" i="51" a="1"/>
  <c r="H1558" i="51"/>
  <c r="I1558" i="51"/>
  <c r="J1558" i="51"/>
  <c r="K1558" i="51"/>
  <c r="L1558" i="51"/>
  <c r="A1559" i="51"/>
  <c r="B1559" i="51"/>
  <c r="C1559" i="51"/>
  <c r="D1559" i="51"/>
  <c r="E1559" i="51"/>
  <c r="F1559" i="51"/>
  <c r="G1559" i="51" a="1"/>
  <c r="G1559" i="51"/>
  <c r="H1559" i="51" a="1"/>
  <c r="H1559" i="51" s="1"/>
  <c r="I1559" i="51"/>
  <c r="J1559" i="51"/>
  <c r="K1559" i="51"/>
  <c r="L1559" i="51"/>
  <c r="A1560" i="51"/>
  <c r="B1560" i="51"/>
  <c r="C1560" i="51"/>
  <c r="D1560" i="51"/>
  <c r="E1560" i="51"/>
  <c r="F1560" i="51"/>
  <c r="G1560" i="51" a="1"/>
  <c r="G1560" i="51" s="1"/>
  <c r="H1560" i="51" a="1"/>
  <c r="H1560" i="51" s="1"/>
  <c r="I1560" i="51"/>
  <c r="J1560" i="51"/>
  <c r="K1560" i="51"/>
  <c r="L1560" i="51"/>
  <c r="A1561" i="51"/>
  <c r="B1561" i="51"/>
  <c r="C1561" i="51"/>
  <c r="D1561" i="51"/>
  <c r="E1561" i="51"/>
  <c r="F1561" i="51"/>
  <c r="G1561" i="51" a="1"/>
  <c r="G1561" i="51" s="1"/>
  <c r="H1561" i="51" a="1"/>
  <c r="H1561" i="51" s="1"/>
  <c r="I1561" i="51"/>
  <c r="J1561" i="51"/>
  <c r="K1561" i="51"/>
  <c r="L1561" i="51"/>
  <c r="A1562" i="51"/>
  <c r="B1562" i="51"/>
  <c r="C1562" i="51"/>
  <c r="D1562" i="51"/>
  <c r="E1562" i="51"/>
  <c r="F1562" i="51"/>
  <c r="G1562" i="51" a="1"/>
  <c r="G1562" i="51" s="1"/>
  <c r="H1562" i="51" a="1"/>
  <c r="H1562" i="51"/>
  <c r="I1562" i="51"/>
  <c r="J1562" i="51"/>
  <c r="K1562" i="51"/>
  <c r="L1562" i="51"/>
  <c r="A1563" i="51"/>
  <c r="B1563" i="51"/>
  <c r="C1563" i="51"/>
  <c r="D1563" i="51"/>
  <c r="E1563" i="51"/>
  <c r="F1563" i="51"/>
  <c r="G1563" i="51" a="1"/>
  <c r="G1563" i="51"/>
  <c r="H1563" i="51" a="1"/>
  <c r="H1563" i="51" s="1"/>
  <c r="I1563" i="51"/>
  <c r="J1563" i="51"/>
  <c r="K1563" i="51"/>
  <c r="L1563" i="51"/>
  <c r="A1564" i="51"/>
  <c r="B1564" i="51"/>
  <c r="C1564" i="51"/>
  <c r="D1564" i="51"/>
  <c r="E1564" i="51"/>
  <c r="F1564" i="51"/>
  <c r="G1564" i="51" a="1"/>
  <c r="G1564" i="51" s="1"/>
  <c r="H1564" i="51" a="1"/>
  <c r="H1564" i="51" s="1"/>
  <c r="I1564" i="51"/>
  <c r="J1564" i="51"/>
  <c r="K1564" i="51"/>
  <c r="L1564" i="51"/>
  <c r="A1565" i="51"/>
  <c r="B1565" i="51"/>
  <c r="C1565" i="51"/>
  <c r="D1565" i="51"/>
  <c r="E1565" i="51"/>
  <c r="F1565" i="51"/>
  <c r="G1565" i="51" a="1"/>
  <c r="G1565" i="51" s="1"/>
  <c r="H1565" i="51" a="1"/>
  <c r="H1565" i="51" s="1"/>
  <c r="I1565" i="51"/>
  <c r="J1565" i="51"/>
  <c r="K1565" i="51"/>
  <c r="L1565" i="51"/>
  <c r="A1566" i="51"/>
  <c r="B1566" i="51"/>
  <c r="C1566" i="51"/>
  <c r="D1566" i="51"/>
  <c r="E1566" i="51"/>
  <c r="F1566" i="51"/>
  <c r="G1566" i="51" a="1"/>
  <c r="G1566" i="51" s="1"/>
  <c r="H1566" i="51" a="1"/>
  <c r="H1566" i="51"/>
  <c r="I1566" i="51"/>
  <c r="J1566" i="51"/>
  <c r="K1566" i="51"/>
  <c r="L1566" i="51"/>
  <c r="A1567" i="51"/>
  <c r="B1567" i="51"/>
  <c r="C1567" i="51"/>
  <c r="D1567" i="51"/>
  <c r="E1567" i="51"/>
  <c r="F1567" i="51"/>
  <c r="G1567" i="51" a="1"/>
  <c r="G1567" i="51"/>
  <c r="H1567" i="51" a="1"/>
  <c r="H1567" i="51" s="1"/>
  <c r="I1567" i="51"/>
  <c r="J1567" i="51"/>
  <c r="K1567" i="51"/>
  <c r="L1567" i="51"/>
  <c r="A1568" i="51"/>
  <c r="B1568" i="51"/>
  <c r="C1568" i="51"/>
  <c r="D1568" i="51"/>
  <c r="E1568" i="51"/>
  <c r="F1568" i="51"/>
  <c r="G1568" i="51" a="1"/>
  <c r="G1568" i="51" s="1"/>
  <c r="H1568" i="51" a="1"/>
  <c r="H1568" i="51" s="1"/>
  <c r="I1568" i="51"/>
  <c r="J1568" i="51"/>
  <c r="K1568" i="51"/>
  <c r="L1568" i="51"/>
  <c r="A1569" i="51"/>
  <c r="B1569" i="51"/>
  <c r="C1569" i="51"/>
  <c r="D1569" i="51"/>
  <c r="E1569" i="51"/>
  <c r="F1569" i="51"/>
  <c r="G1569" i="51" a="1"/>
  <c r="G1569" i="51" s="1"/>
  <c r="H1569" i="51" a="1"/>
  <c r="H1569" i="51" s="1"/>
  <c r="I1569" i="51"/>
  <c r="J1569" i="51"/>
  <c r="K1569" i="51"/>
  <c r="L1569" i="51"/>
  <c r="A1570" i="51"/>
  <c r="B1570" i="51"/>
  <c r="C1570" i="51"/>
  <c r="D1570" i="51"/>
  <c r="E1570" i="51"/>
  <c r="F1570" i="51"/>
  <c r="G1570" i="51" a="1"/>
  <c r="G1570" i="51" s="1"/>
  <c r="H1570" i="51" a="1"/>
  <c r="H1570" i="51"/>
  <c r="I1570" i="51"/>
  <c r="J1570" i="51"/>
  <c r="K1570" i="51"/>
  <c r="L1570" i="51"/>
  <c r="A1571" i="51"/>
  <c r="B1571" i="51"/>
  <c r="C1571" i="51"/>
  <c r="D1571" i="51"/>
  <c r="E1571" i="51"/>
  <c r="F1571" i="51"/>
  <c r="G1571" i="51" a="1"/>
  <c r="G1571" i="51"/>
  <c r="H1571" i="51" a="1"/>
  <c r="H1571" i="51" s="1"/>
  <c r="I1571" i="51"/>
  <c r="J1571" i="51"/>
  <c r="K1571" i="51"/>
  <c r="L1571" i="51"/>
  <c r="A1572" i="51"/>
  <c r="B1572" i="51"/>
  <c r="C1572" i="51"/>
  <c r="D1572" i="51"/>
  <c r="E1572" i="51"/>
  <c r="F1572" i="51"/>
  <c r="G1572" i="51" a="1"/>
  <c r="G1572" i="51" s="1"/>
  <c r="H1572" i="51" a="1"/>
  <c r="H1572" i="51" s="1"/>
  <c r="I1572" i="51"/>
  <c r="J1572" i="51"/>
  <c r="K1572" i="51"/>
  <c r="L1572" i="51"/>
  <c r="A1573" i="51"/>
  <c r="B1573" i="51"/>
  <c r="C1573" i="51"/>
  <c r="D1573" i="51"/>
  <c r="E1573" i="51"/>
  <c r="F1573" i="51"/>
  <c r="G1573" i="51" a="1"/>
  <c r="G1573" i="51" s="1"/>
  <c r="H1573" i="51" a="1"/>
  <c r="H1573" i="51" s="1"/>
  <c r="I1573" i="51"/>
  <c r="J1573" i="51"/>
  <c r="K1573" i="51"/>
  <c r="L1573" i="51"/>
  <c r="A1574" i="51"/>
  <c r="B1574" i="51"/>
  <c r="C1574" i="51"/>
  <c r="D1574" i="51"/>
  <c r="E1574" i="51"/>
  <c r="F1574" i="51"/>
  <c r="G1574" i="51" a="1"/>
  <c r="G1574" i="51" s="1"/>
  <c r="H1574" i="51" a="1"/>
  <c r="H1574" i="51"/>
  <c r="I1574" i="51"/>
  <c r="J1574" i="51"/>
  <c r="K1574" i="51"/>
  <c r="L1574" i="51"/>
  <c r="A1575" i="51"/>
  <c r="B1575" i="51"/>
  <c r="C1575" i="51"/>
  <c r="D1575" i="51"/>
  <c r="E1575" i="51"/>
  <c r="F1575" i="51"/>
  <c r="G1575" i="51" a="1"/>
  <c r="G1575" i="51"/>
  <c r="H1575" i="51" a="1"/>
  <c r="H1575" i="51" s="1"/>
  <c r="I1575" i="51"/>
  <c r="J1575" i="51"/>
  <c r="K1575" i="51"/>
  <c r="L1575" i="51"/>
  <c r="A1576" i="51"/>
  <c r="B1576" i="51"/>
  <c r="C1576" i="51"/>
  <c r="D1576" i="51"/>
  <c r="E1576" i="51"/>
  <c r="F1576" i="51"/>
  <c r="G1576" i="51" a="1"/>
  <c r="G1576" i="51" s="1"/>
  <c r="H1576" i="51" a="1"/>
  <c r="H1576" i="51" s="1"/>
  <c r="I1576" i="51"/>
  <c r="J1576" i="51"/>
  <c r="K1576" i="51"/>
  <c r="L1576" i="51"/>
  <c r="A1577" i="51"/>
  <c r="B1577" i="51"/>
  <c r="C1577" i="51"/>
  <c r="D1577" i="51"/>
  <c r="E1577" i="51"/>
  <c r="F1577" i="51"/>
  <c r="G1577" i="51" a="1"/>
  <c r="G1577" i="51" s="1"/>
  <c r="H1577" i="51" a="1"/>
  <c r="H1577" i="51" s="1"/>
  <c r="I1577" i="51"/>
  <c r="J1577" i="51"/>
  <c r="K1577" i="51"/>
  <c r="L1577" i="51"/>
  <c r="A1578" i="51"/>
  <c r="B1578" i="51"/>
  <c r="C1578" i="51"/>
  <c r="D1578" i="51"/>
  <c r="E1578" i="51"/>
  <c r="F1578" i="51"/>
  <c r="G1578" i="51" a="1"/>
  <c r="G1578" i="51" s="1"/>
  <c r="H1578" i="51" a="1"/>
  <c r="H1578" i="51"/>
  <c r="I1578" i="51"/>
  <c r="J1578" i="51"/>
  <c r="K1578" i="51"/>
  <c r="L1578" i="51"/>
  <c r="A1579" i="51"/>
  <c r="B1579" i="51"/>
  <c r="C1579" i="51"/>
  <c r="D1579" i="51"/>
  <c r="E1579" i="51"/>
  <c r="F1579" i="51"/>
  <c r="G1579" i="51" a="1"/>
  <c r="G1579" i="51"/>
  <c r="H1579" i="51" a="1"/>
  <c r="H1579" i="51" s="1"/>
  <c r="I1579" i="51"/>
  <c r="J1579" i="51"/>
  <c r="K1579" i="51"/>
  <c r="L1579" i="51"/>
  <c r="A1580" i="51"/>
  <c r="B1580" i="51"/>
  <c r="C1580" i="51"/>
  <c r="D1580" i="51"/>
  <c r="E1580" i="51"/>
  <c r="F1580" i="51"/>
  <c r="G1580" i="51" a="1"/>
  <c r="G1580" i="51" s="1"/>
  <c r="H1580" i="51" a="1"/>
  <c r="H1580" i="51" s="1"/>
  <c r="I1580" i="51"/>
  <c r="J1580" i="51"/>
  <c r="K1580" i="51"/>
  <c r="L1580" i="51"/>
  <c r="A1581" i="51"/>
  <c r="B1581" i="51"/>
  <c r="C1581" i="51"/>
  <c r="D1581" i="51"/>
  <c r="E1581" i="51"/>
  <c r="F1581" i="51"/>
  <c r="G1581" i="51" a="1"/>
  <c r="G1581" i="51" s="1"/>
  <c r="H1581" i="51" a="1"/>
  <c r="H1581" i="51" s="1"/>
  <c r="I1581" i="51"/>
  <c r="J1581" i="51"/>
  <c r="K1581" i="51"/>
  <c r="L1581" i="51"/>
  <c r="A1582" i="51"/>
  <c r="B1582" i="51"/>
  <c r="C1582" i="51"/>
  <c r="D1582" i="51"/>
  <c r="E1582" i="51"/>
  <c r="F1582" i="51"/>
  <c r="G1582" i="51" a="1"/>
  <c r="G1582" i="51" s="1"/>
  <c r="H1582" i="51" a="1"/>
  <c r="H1582" i="51"/>
  <c r="I1582" i="51"/>
  <c r="J1582" i="51"/>
  <c r="K1582" i="51"/>
  <c r="L1582" i="51"/>
  <c r="A1583" i="51"/>
  <c r="B1583" i="51"/>
  <c r="C1583" i="51"/>
  <c r="D1583" i="51"/>
  <c r="E1583" i="51"/>
  <c r="F1583" i="51"/>
  <c r="G1583" i="51" a="1"/>
  <c r="G1583" i="51"/>
  <c r="H1583" i="51" a="1"/>
  <c r="H1583" i="51" s="1"/>
  <c r="I1583" i="51"/>
  <c r="J1583" i="51"/>
  <c r="K1583" i="51"/>
  <c r="L1583" i="51"/>
  <c r="A1584" i="51"/>
  <c r="B1584" i="51"/>
  <c r="C1584" i="51"/>
  <c r="D1584" i="51"/>
  <c r="E1584" i="51"/>
  <c r="F1584" i="51"/>
  <c r="G1584" i="51" a="1"/>
  <c r="G1584" i="51" s="1"/>
  <c r="H1584" i="51" a="1"/>
  <c r="H1584" i="51" s="1"/>
  <c r="I1584" i="51"/>
  <c r="J1584" i="51"/>
  <c r="K1584" i="51"/>
  <c r="L1584" i="51"/>
  <c r="A1585" i="51"/>
  <c r="B1585" i="51"/>
  <c r="C1585" i="51"/>
  <c r="D1585" i="51"/>
  <c r="E1585" i="51"/>
  <c r="F1585" i="51"/>
  <c r="G1585" i="51" a="1"/>
  <c r="G1585" i="51" s="1"/>
  <c r="H1585" i="51" a="1"/>
  <c r="H1585" i="51" s="1"/>
  <c r="I1585" i="51"/>
  <c r="J1585" i="51"/>
  <c r="K1585" i="51"/>
  <c r="L1585" i="51"/>
  <c r="A1586" i="51"/>
  <c r="B1586" i="51"/>
  <c r="C1586" i="51"/>
  <c r="D1586" i="51"/>
  <c r="E1586" i="51"/>
  <c r="F1586" i="51"/>
  <c r="G1586" i="51" a="1"/>
  <c r="G1586" i="51" s="1"/>
  <c r="H1586" i="51" a="1"/>
  <c r="H1586" i="51"/>
  <c r="I1586" i="51"/>
  <c r="J1586" i="51"/>
  <c r="K1586" i="51"/>
  <c r="L1586" i="51"/>
  <c r="A1587" i="51"/>
  <c r="B1587" i="51"/>
  <c r="C1587" i="51"/>
  <c r="D1587" i="51"/>
  <c r="E1587" i="51"/>
  <c r="F1587" i="51"/>
  <c r="G1587" i="51" a="1"/>
  <c r="G1587" i="51"/>
  <c r="H1587" i="51" a="1"/>
  <c r="H1587" i="51" s="1"/>
  <c r="I1587" i="51"/>
  <c r="J1587" i="51"/>
  <c r="K1587" i="51"/>
  <c r="L1587" i="51"/>
  <c r="A1588" i="51"/>
  <c r="B1588" i="51"/>
  <c r="C1588" i="51"/>
  <c r="D1588" i="51"/>
  <c r="E1588" i="51"/>
  <c r="F1588" i="51"/>
  <c r="G1588" i="51" a="1"/>
  <c r="G1588" i="51" s="1"/>
  <c r="H1588" i="51" a="1"/>
  <c r="H1588" i="51" s="1"/>
  <c r="I1588" i="51"/>
  <c r="J1588" i="51"/>
  <c r="K1588" i="51"/>
  <c r="L1588" i="51"/>
  <c r="A1589" i="51"/>
  <c r="B1589" i="51"/>
  <c r="C1589" i="51"/>
  <c r="D1589" i="51"/>
  <c r="E1589" i="51"/>
  <c r="F1589" i="51"/>
  <c r="G1589" i="51" a="1"/>
  <c r="G1589" i="51" s="1"/>
  <c r="H1589" i="51" a="1"/>
  <c r="H1589" i="51" s="1"/>
  <c r="I1589" i="51"/>
  <c r="J1589" i="51"/>
  <c r="K1589" i="51"/>
  <c r="L1589" i="51"/>
  <c r="A1590" i="51"/>
  <c r="B1590" i="51"/>
  <c r="C1590" i="51"/>
  <c r="D1590" i="51"/>
  <c r="E1590" i="51"/>
  <c r="F1590" i="51"/>
  <c r="G1590" i="51" a="1"/>
  <c r="G1590" i="51" s="1"/>
  <c r="H1590" i="51" a="1"/>
  <c r="H1590" i="51"/>
  <c r="I1590" i="51"/>
  <c r="J1590" i="51"/>
  <c r="K1590" i="51"/>
  <c r="L1590" i="51"/>
  <c r="A1591" i="51"/>
  <c r="B1591" i="51"/>
  <c r="C1591" i="51"/>
  <c r="D1591" i="51"/>
  <c r="E1591" i="51"/>
  <c r="F1591" i="51"/>
  <c r="G1591" i="51" a="1"/>
  <c r="G1591" i="51"/>
  <c r="H1591" i="51" a="1"/>
  <c r="H1591" i="51" s="1"/>
  <c r="I1591" i="51"/>
  <c r="J1591" i="51"/>
  <c r="K1591" i="51"/>
  <c r="L1591" i="51"/>
  <c r="A1592" i="51"/>
  <c r="B1592" i="51"/>
  <c r="C1592" i="51"/>
  <c r="D1592" i="51"/>
  <c r="E1592" i="51"/>
  <c r="F1592" i="51"/>
  <c r="G1592" i="51" a="1"/>
  <c r="G1592" i="51" s="1"/>
  <c r="H1592" i="51" a="1"/>
  <c r="H1592" i="51" s="1"/>
  <c r="I1592" i="51"/>
  <c r="J1592" i="51"/>
  <c r="K1592" i="51"/>
  <c r="L1592" i="51"/>
  <c r="A1593" i="51"/>
  <c r="B1593" i="51"/>
  <c r="C1593" i="51"/>
  <c r="D1593" i="51"/>
  <c r="E1593" i="51"/>
  <c r="F1593" i="51"/>
  <c r="G1593" i="51" a="1"/>
  <c r="G1593" i="51" s="1"/>
  <c r="H1593" i="51" a="1"/>
  <c r="H1593" i="51" s="1"/>
  <c r="I1593" i="51"/>
  <c r="J1593" i="51"/>
  <c r="K1593" i="51"/>
  <c r="L1593" i="51"/>
  <c r="A1594" i="51"/>
  <c r="B1594" i="51"/>
  <c r="C1594" i="51"/>
  <c r="D1594" i="51"/>
  <c r="E1594" i="51"/>
  <c r="F1594" i="51"/>
  <c r="G1594" i="51" a="1"/>
  <c r="G1594" i="51" s="1"/>
  <c r="H1594" i="51" a="1"/>
  <c r="H1594" i="51"/>
  <c r="I1594" i="51"/>
  <c r="J1594" i="51"/>
  <c r="K1594" i="51"/>
  <c r="L1594" i="51"/>
  <c r="A1595" i="51"/>
  <c r="B1595" i="51"/>
  <c r="C1595" i="51"/>
  <c r="D1595" i="51"/>
  <c r="E1595" i="51"/>
  <c r="F1595" i="51"/>
  <c r="G1595" i="51" a="1"/>
  <c r="G1595" i="51"/>
  <c r="H1595" i="51" a="1"/>
  <c r="H1595" i="51" s="1"/>
  <c r="I1595" i="51"/>
  <c r="J1595" i="51"/>
  <c r="K1595" i="51"/>
  <c r="L1595" i="51"/>
  <c r="A1596" i="51"/>
  <c r="B1596" i="51"/>
  <c r="C1596" i="51"/>
  <c r="D1596" i="51"/>
  <c r="E1596" i="51"/>
  <c r="F1596" i="51"/>
  <c r="G1596" i="51" a="1"/>
  <c r="G1596" i="51" s="1"/>
  <c r="H1596" i="51" a="1"/>
  <c r="H1596" i="51" s="1"/>
  <c r="I1596" i="51"/>
  <c r="J1596" i="51"/>
  <c r="K1596" i="51"/>
  <c r="L1596" i="51"/>
  <c r="A1597" i="51"/>
  <c r="B1597" i="51"/>
  <c r="C1597" i="51"/>
  <c r="D1597" i="51"/>
  <c r="E1597" i="51"/>
  <c r="F1597" i="51"/>
  <c r="G1597" i="51" a="1"/>
  <c r="G1597" i="51" s="1"/>
  <c r="H1597" i="51" a="1"/>
  <c r="H1597" i="51" s="1"/>
  <c r="I1597" i="51"/>
  <c r="J1597" i="51"/>
  <c r="K1597" i="51"/>
  <c r="L1597" i="51"/>
  <c r="A1598" i="51"/>
  <c r="B1598" i="51"/>
  <c r="C1598" i="51"/>
  <c r="D1598" i="51"/>
  <c r="E1598" i="51"/>
  <c r="F1598" i="51"/>
  <c r="G1598" i="51" a="1"/>
  <c r="G1598" i="51" s="1"/>
  <c r="H1598" i="51" a="1"/>
  <c r="H1598" i="51"/>
  <c r="I1598" i="51"/>
  <c r="J1598" i="51"/>
  <c r="K1598" i="51"/>
  <c r="L1598" i="51"/>
  <c r="A1599" i="51"/>
  <c r="B1599" i="51"/>
  <c r="C1599" i="51"/>
  <c r="D1599" i="51"/>
  <c r="E1599" i="51"/>
  <c r="F1599" i="51"/>
  <c r="G1599" i="51" a="1"/>
  <c r="G1599" i="51"/>
  <c r="H1599" i="51" a="1"/>
  <c r="H1599" i="51" s="1"/>
  <c r="I1599" i="51"/>
  <c r="J1599" i="51"/>
  <c r="K1599" i="51"/>
  <c r="L1599" i="51"/>
  <c r="A1600" i="51"/>
  <c r="B1600" i="51"/>
  <c r="C1600" i="51"/>
  <c r="D1600" i="51"/>
  <c r="E1600" i="51"/>
  <c r="F1600" i="51"/>
  <c r="G1600" i="51" a="1"/>
  <c r="G1600" i="51" s="1"/>
  <c r="H1600" i="51" a="1"/>
  <c r="H1600" i="51" s="1"/>
  <c r="I1600" i="51"/>
  <c r="J1600" i="51"/>
  <c r="K1600" i="51"/>
  <c r="L1600" i="51"/>
  <c r="A1601" i="51"/>
  <c r="B1601" i="51"/>
  <c r="C1601" i="51"/>
  <c r="D1601" i="51"/>
  <c r="E1601" i="51"/>
  <c r="F1601" i="51"/>
  <c r="G1601" i="51" a="1"/>
  <c r="G1601" i="51" s="1"/>
  <c r="H1601" i="51" a="1"/>
  <c r="H1601" i="51" s="1"/>
  <c r="I1601" i="51"/>
  <c r="J1601" i="51"/>
  <c r="K1601" i="51"/>
  <c r="L1601" i="51"/>
  <c r="A1602" i="51"/>
  <c r="B1602" i="51"/>
  <c r="C1602" i="51"/>
  <c r="D1602" i="51"/>
  <c r="E1602" i="51"/>
  <c r="F1602" i="51"/>
  <c r="G1602" i="51" a="1"/>
  <c r="G1602" i="51" s="1"/>
  <c r="H1602" i="51" a="1"/>
  <c r="H1602" i="51"/>
  <c r="I1602" i="51"/>
  <c r="J1602" i="51"/>
  <c r="K1602" i="51"/>
  <c r="L1602" i="51"/>
  <c r="A1603" i="51"/>
  <c r="B1603" i="51"/>
  <c r="C1603" i="51"/>
  <c r="D1603" i="51"/>
  <c r="E1603" i="51"/>
  <c r="F1603" i="51"/>
  <c r="G1603" i="51" a="1"/>
  <c r="G1603" i="51"/>
  <c r="H1603" i="51" a="1"/>
  <c r="H1603" i="51" s="1"/>
  <c r="I1603" i="51"/>
  <c r="J1603" i="51"/>
  <c r="K1603" i="51"/>
  <c r="L1603" i="51"/>
  <c r="A1604" i="51"/>
  <c r="B1604" i="51"/>
  <c r="C1604" i="51"/>
  <c r="D1604" i="51"/>
  <c r="E1604" i="51"/>
  <c r="F1604" i="51"/>
  <c r="G1604" i="51" a="1"/>
  <c r="G1604" i="51" s="1"/>
  <c r="H1604" i="51" a="1"/>
  <c r="H1604" i="51" s="1"/>
  <c r="I1604" i="51"/>
  <c r="J1604" i="51"/>
  <c r="K1604" i="51"/>
  <c r="L1604" i="51"/>
  <c r="A1605" i="51"/>
  <c r="B1605" i="51"/>
  <c r="C1605" i="51"/>
  <c r="D1605" i="51"/>
  <c r="E1605" i="51"/>
  <c r="F1605" i="51"/>
  <c r="G1605" i="51" a="1"/>
  <c r="G1605" i="51" s="1"/>
  <c r="H1605" i="51" a="1"/>
  <c r="H1605" i="51" s="1"/>
  <c r="I1605" i="51"/>
  <c r="J1605" i="51"/>
  <c r="K1605" i="51"/>
  <c r="L1605" i="51"/>
  <c r="A1606" i="51"/>
  <c r="B1606" i="51"/>
  <c r="C1606" i="51"/>
  <c r="D1606" i="51"/>
  <c r="E1606" i="51"/>
  <c r="F1606" i="51"/>
  <c r="G1606" i="51" a="1"/>
  <c r="G1606" i="51" s="1"/>
  <c r="H1606" i="51" a="1"/>
  <c r="H1606" i="51"/>
  <c r="I1606" i="51"/>
  <c r="J1606" i="51"/>
  <c r="K1606" i="51"/>
  <c r="L1606" i="51"/>
  <c r="A1607" i="51"/>
  <c r="B1607" i="51"/>
  <c r="C1607" i="51"/>
  <c r="D1607" i="51"/>
  <c r="E1607" i="51"/>
  <c r="F1607" i="51"/>
  <c r="G1607" i="51" a="1"/>
  <c r="G1607" i="51"/>
  <c r="H1607" i="51" a="1"/>
  <c r="H1607" i="51" s="1"/>
  <c r="I1607" i="51"/>
  <c r="J1607" i="51"/>
  <c r="K1607" i="51"/>
  <c r="L1607" i="51"/>
  <c r="A1608" i="51"/>
  <c r="B1608" i="51"/>
  <c r="C1608" i="51"/>
  <c r="D1608" i="51"/>
  <c r="E1608" i="51"/>
  <c r="F1608" i="51"/>
  <c r="G1608" i="51" a="1"/>
  <c r="G1608" i="51" s="1"/>
  <c r="H1608" i="51" a="1"/>
  <c r="H1608" i="51" s="1"/>
  <c r="I1608" i="51"/>
  <c r="J1608" i="51"/>
  <c r="K1608" i="51"/>
  <c r="L1608" i="51"/>
  <c r="A1609" i="51"/>
  <c r="B1609" i="51"/>
  <c r="C1609" i="51"/>
  <c r="D1609" i="51"/>
  <c r="E1609" i="51"/>
  <c r="F1609" i="51"/>
  <c r="G1609" i="51" a="1"/>
  <c r="G1609" i="51" s="1"/>
  <c r="H1609" i="51" a="1"/>
  <c r="H1609" i="51" s="1"/>
  <c r="I1609" i="51"/>
  <c r="J1609" i="51"/>
  <c r="K1609" i="51"/>
  <c r="L1609" i="51"/>
  <c r="A1610" i="51"/>
  <c r="B1610" i="51"/>
  <c r="C1610" i="51"/>
  <c r="D1610" i="51"/>
  <c r="E1610" i="51"/>
  <c r="F1610" i="51"/>
  <c r="G1610" i="51" a="1"/>
  <c r="G1610" i="51" s="1"/>
  <c r="H1610" i="51" a="1"/>
  <c r="H1610" i="51"/>
  <c r="I1610" i="51"/>
  <c r="J1610" i="51"/>
  <c r="K1610" i="51"/>
  <c r="L1610" i="51"/>
  <c r="A1611" i="51"/>
  <c r="B1611" i="51"/>
  <c r="C1611" i="51"/>
  <c r="D1611" i="51"/>
  <c r="E1611" i="51"/>
  <c r="F1611" i="51"/>
  <c r="G1611" i="51" a="1"/>
  <c r="G1611" i="51"/>
  <c r="H1611" i="51" a="1"/>
  <c r="H1611" i="51" s="1"/>
  <c r="I1611" i="51"/>
  <c r="J1611" i="51"/>
  <c r="K1611" i="51"/>
  <c r="L1611" i="51"/>
  <c r="A1612" i="51"/>
  <c r="B1612" i="51"/>
  <c r="C1612" i="51"/>
  <c r="D1612" i="51"/>
  <c r="E1612" i="51"/>
  <c r="F1612" i="51"/>
  <c r="G1612" i="51" a="1"/>
  <c r="G1612" i="51" s="1"/>
  <c r="H1612" i="51" a="1"/>
  <c r="H1612" i="51" s="1"/>
  <c r="I1612" i="51"/>
  <c r="J1612" i="51"/>
  <c r="K1612" i="51"/>
  <c r="L1612" i="51"/>
  <c r="A1613" i="51"/>
  <c r="B1613" i="51"/>
  <c r="C1613" i="51"/>
  <c r="D1613" i="51"/>
  <c r="E1613" i="51"/>
  <c r="F1613" i="51"/>
  <c r="G1613" i="51" a="1"/>
  <c r="G1613" i="51" s="1"/>
  <c r="H1613" i="51" a="1"/>
  <c r="H1613" i="51" s="1"/>
  <c r="I1613" i="51"/>
  <c r="J1613" i="51"/>
  <c r="K1613" i="51"/>
  <c r="L1613" i="51"/>
  <c r="A1614" i="51"/>
  <c r="B1614" i="51"/>
  <c r="C1614" i="51"/>
  <c r="D1614" i="51"/>
  <c r="E1614" i="51"/>
  <c r="F1614" i="51"/>
  <c r="G1614" i="51" a="1"/>
  <c r="G1614" i="51" s="1"/>
  <c r="H1614" i="51" a="1"/>
  <c r="H1614" i="51"/>
  <c r="I1614" i="51"/>
  <c r="J1614" i="51"/>
  <c r="K1614" i="51"/>
  <c r="L1614" i="51"/>
  <c r="A1615" i="51"/>
  <c r="B1615" i="51"/>
  <c r="C1615" i="51"/>
  <c r="D1615" i="51"/>
  <c r="E1615" i="51"/>
  <c r="F1615" i="51"/>
  <c r="G1615" i="51" a="1"/>
  <c r="G1615" i="51"/>
  <c r="H1615" i="51" a="1"/>
  <c r="H1615" i="51" s="1"/>
  <c r="I1615" i="51"/>
  <c r="J1615" i="51"/>
  <c r="K1615" i="51"/>
  <c r="L1615" i="51"/>
  <c r="A1616" i="51"/>
  <c r="B1616" i="51"/>
  <c r="C1616" i="51"/>
  <c r="D1616" i="51"/>
  <c r="E1616" i="51"/>
  <c r="F1616" i="51"/>
  <c r="G1616" i="51" a="1"/>
  <c r="G1616" i="51" s="1"/>
  <c r="H1616" i="51" a="1"/>
  <c r="H1616" i="51" s="1"/>
  <c r="I1616" i="51"/>
  <c r="J1616" i="51"/>
  <c r="K1616" i="51"/>
  <c r="L1616" i="51"/>
  <c r="A1617" i="51"/>
  <c r="B1617" i="51"/>
  <c r="C1617" i="51"/>
  <c r="D1617" i="51"/>
  <c r="E1617" i="51"/>
  <c r="F1617" i="51"/>
  <c r="G1617" i="51" a="1"/>
  <c r="G1617" i="51" s="1"/>
  <c r="H1617" i="51" a="1"/>
  <c r="H1617" i="51" s="1"/>
  <c r="I1617" i="51"/>
  <c r="J1617" i="51"/>
  <c r="K1617" i="51"/>
  <c r="L1617" i="51"/>
  <c r="A1618" i="51"/>
  <c r="B1618" i="51"/>
  <c r="C1618" i="51"/>
  <c r="D1618" i="51"/>
  <c r="E1618" i="51"/>
  <c r="F1618" i="51"/>
  <c r="G1618" i="51" a="1"/>
  <c r="G1618" i="51" s="1"/>
  <c r="H1618" i="51" a="1"/>
  <c r="H1618" i="51"/>
  <c r="I1618" i="51"/>
  <c r="J1618" i="51"/>
  <c r="K1618" i="51"/>
  <c r="L1618" i="51"/>
  <c r="A1619" i="51"/>
  <c r="B1619" i="51"/>
  <c r="C1619" i="51"/>
  <c r="D1619" i="51"/>
  <c r="E1619" i="51"/>
  <c r="F1619" i="51"/>
  <c r="G1619" i="51" a="1"/>
  <c r="G1619" i="51"/>
  <c r="H1619" i="51" a="1"/>
  <c r="H1619" i="51" s="1"/>
  <c r="I1619" i="51"/>
  <c r="J1619" i="51"/>
  <c r="K1619" i="51"/>
  <c r="L1619" i="51"/>
  <c r="A1620" i="51"/>
  <c r="B1620" i="51"/>
  <c r="C1620" i="51"/>
  <c r="D1620" i="51"/>
  <c r="E1620" i="51"/>
  <c r="F1620" i="51"/>
  <c r="G1620" i="51" a="1"/>
  <c r="G1620" i="51" s="1"/>
  <c r="H1620" i="51" a="1"/>
  <c r="H1620" i="51" s="1"/>
  <c r="I1620" i="51"/>
  <c r="J1620" i="51"/>
  <c r="K1620" i="51"/>
  <c r="L1620" i="51"/>
  <c r="A1621" i="51"/>
  <c r="B1621" i="51"/>
  <c r="C1621" i="51"/>
  <c r="D1621" i="51"/>
  <c r="E1621" i="51"/>
  <c r="F1621" i="51"/>
  <c r="G1621" i="51" a="1"/>
  <c r="G1621" i="51" s="1"/>
  <c r="H1621" i="51" a="1"/>
  <c r="H1621" i="51" s="1"/>
  <c r="I1621" i="51"/>
  <c r="J1621" i="51"/>
  <c r="K1621" i="51"/>
  <c r="L1621" i="51"/>
  <c r="A1622" i="51"/>
  <c r="B1622" i="51"/>
  <c r="C1622" i="51"/>
  <c r="D1622" i="51"/>
  <c r="E1622" i="51"/>
  <c r="F1622" i="51"/>
  <c r="G1622" i="51" a="1"/>
  <c r="G1622" i="51" s="1"/>
  <c r="H1622" i="51" a="1"/>
  <c r="H1622" i="51"/>
  <c r="I1622" i="51"/>
  <c r="J1622" i="51"/>
  <c r="K1622" i="51"/>
  <c r="L1622" i="51"/>
  <c r="A1623" i="51"/>
  <c r="B1623" i="51"/>
  <c r="C1623" i="51"/>
  <c r="D1623" i="51"/>
  <c r="E1623" i="51"/>
  <c r="F1623" i="51"/>
  <c r="G1623" i="51" a="1"/>
  <c r="G1623" i="51"/>
  <c r="H1623" i="51" a="1"/>
  <c r="H1623" i="51" s="1"/>
  <c r="I1623" i="51"/>
  <c r="J1623" i="51"/>
  <c r="K1623" i="51"/>
  <c r="L1623" i="51"/>
  <c r="A1624" i="51"/>
  <c r="B1624" i="51"/>
  <c r="C1624" i="51"/>
  <c r="D1624" i="51"/>
  <c r="E1624" i="51"/>
  <c r="F1624" i="51"/>
  <c r="G1624" i="51" a="1"/>
  <c r="G1624" i="51" s="1"/>
  <c r="H1624" i="51" a="1"/>
  <c r="H1624" i="51" s="1"/>
  <c r="I1624" i="51"/>
  <c r="J1624" i="51"/>
  <c r="K1624" i="51"/>
  <c r="L1624" i="51"/>
  <c r="A1625" i="51"/>
  <c r="B1625" i="51"/>
  <c r="C1625" i="51"/>
  <c r="D1625" i="51"/>
  <c r="E1625" i="51"/>
  <c r="F1625" i="51"/>
  <c r="G1625" i="51" a="1"/>
  <c r="G1625" i="51" s="1"/>
  <c r="H1625" i="51" a="1"/>
  <c r="H1625" i="51" s="1"/>
  <c r="I1625" i="51"/>
  <c r="J1625" i="51"/>
  <c r="K1625" i="51"/>
  <c r="L1625" i="51"/>
  <c r="A1626" i="51"/>
  <c r="B1626" i="51"/>
  <c r="C1626" i="51"/>
  <c r="D1626" i="51"/>
  <c r="E1626" i="51"/>
  <c r="F1626" i="51"/>
  <c r="G1626" i="51" a="1"/>
  <c r="G1626" i="51" s="1"/>
  <c r="H1626" i="51" a="1"/>
  <c r="H1626" i="51"/>
  <c r="I1626" i="51"/>
  <c r="J1626" i="51"/>
  <c r="K1626" i="51"/>
  <c r="L1626" i="51"/>
  <c r="A1627" i="51"/>
  <c r="B1627" i="51"/>
  <c r="C1627" i="51"/>
  <c r="D1627" i="51"/>
  <c r="E1627" i="51"/>
  <c r="F1627" i="51"/>
  <c r="G1627" i="51" a="1"/>
  <c r="G1627" i="51"/>
  <c r="H1627" i="51" a="1"/>
  <c r="H1627" i="51" s="1"/>
  <c r="I1627" i="51"/>
  <c r="J1627" i="51"/>
  <c r="K1627" i="51"/>
  <c r="L1627" i="51"/>
  <c r="A1628" i="51"/>
  <c r="B1628" i="51"/>
  <c r="C1628" i="51"/>
  <c r="D1628" i="51"/>
  <c r="E1628" i="51"/>
  <c r="F1628" i="51"/>
  <c r="G1628" i="51" a="1"/>
  <c r="G1628" i="51" s="1"/>
  <c r="H1628" i="51" a="1"/>
  <c r="H1628" i="51" s="1"/>
  <c r="I1628" i="51"/>
  <c r="J1628" i="51"/>
  <c r="K1628" i="51"/>
  <c r="L1628" i="51"/>
  <c r="A1629" i="51"/>
  <c r="B1629" i="51"/>
  <c r="C1629" i="51"/>
  <c r="D1629" i="51"/>
  <c r="E1629" i="51"/>
  <c r="F1629" i="51"/>
  <c r="G1629" i="51" a="1"/>
  <c r="G1629" i="51" s="1"/>
  <c r="H1629" i="51" a="1"/>
  <c r="H1629" i="51" s="1"/>
  <c r="I1629" i="51"/>
  <c r="J1629" i="51"/>
  <c r="K1629" i="51"/>
  <c r="L1629" i="51"/>
  <c r="A1630" i="51"/>
  <c r="B1630" i="51"/>
  <c r="C1630" i="51"/>
  <c r="D1630" i="51"/>
  <c r="E1630" i="51"/>
  <c r="F1630" i="51"/>
  <c r="G1630" i="51" a="1"/>
  <c r="G1630" i="51" s="1"/>
  <c r="H1630" i="51" a="1"/>
  <c r="H1630" i="51"/>
  <c r="I1630" i="51"/>
  <c r="J1630" i="51"/>
  <c r="K1630" i="51"/>
  <c r="L1630" i="51"/>
  <c r="A1631" i="51"/>
  <c r="B1631" i="51"/>
  <c r="C1631" i="51"/>
  <c r="D1631" i="51"/>
  <c r="E1631" i="51"/>
  <c r="F1631" i="51"/>
  <c r="G1631" i="51" a="1"/>
  <c r="G1631" i="51"/>
  <c r="H1631" i="51" a="1"/>
  <c r="H1631" i="51" s="1"/>
  <c r="I1631" i="51"/>
  <c r="J1631" i="51"/>
  <c r="K1631" i="51"/>
  <c r="L1631" i="51"/>
  <c r="A1632" i="51"/>
  <c r="B1632" i="51"/>
  <c r="C1632" i="51"/>
  <c r="D1632" i="51"/>
  <c r="E1632" i="51"/>
  <c r="F1632" i="51"/>
  <c r="G1632" i="51" a="1"/>
  <c r="G1632" i="51" s="1"/>
  <c r="H1632" i="51" a="1"/>
  <c r="H1632" i="51" s="1"/>
  <c r="I1632" i="51"/>
  <c r="J1632" i="51"/>
  <c r="K1632" i="51"/>
  <c r="L1632" i="51"/>
  <c r="A1633" i="51"/>
  <c r="B1633" i="51"/>
  <c r="C1633" i="51"/>
  <c r="D1633" i="51"/>
  <c r="E1633" i="51"/>
  <c r="F1633" i="51"/>
  <c r="G1633" i="51" a="1"/>
  <c r="G1633" i="51" s="1"/>
  <c r="H1633" i="51" a="1"/>
  <c r="H1633" i="51" s="1"/>
  <c r="I1633" i="51"/>
  <c r="J1633" i="51"/>
  <c r="K1633" i="51"/>
  <c r="L1633" i="51"/>
  <c r="A1634" i="51"/>
  <c r="B1634" i="51"/>
  <c r="C1634" i="51"/>
  <c r="D1634" i="51"/>
  <c r="E1634" i="51"/>
  <c r="F1634" i="51"/>
  <c r="G1634" i="51" a="1"/>
  <c r="G1634" i="51" s="1"/>
  <c r="H1634" i="51" a="1"/>
  <c r="H1634" i="51"/>
  <c r="I1634" i="51"/>
  <c r="J1634" i="51"/>
  <c r="K1634" i="51"/>
  <c r="L1634" i="51"/>
  <c r="A1635" i="51"/>
  <c r="B1635" i="51"/>
  <c r="C1635" i="51"/>
  <c r="D1635" i="51"/>
  <c r="E1635" i="51"/>
  <c r="F1635" i="51"/>
  <c r="G1635" i="51" a="1"/>
  <c r="G1635" i="51"/>
  <c r="H1635" i="51" a="1"/>
  <c r="H1635" i="51" s="1"/>
  <c r="I1635" i="51"/>
  <c r="J1635" i="51"/>
  <c r="K1635" i="51"/>
  <c r="L1635" i="51"/>
  <c r="A1636" i="51"/>
  <c r="B1636" i="51"/>
  <c r="C1636" i="51"/>
  <c r="D1636" i="51"/>
  <c r="E1636" i="51"/>
  <c r="F1636" i="51"/>
  <c r="G1636" i="51" a="1"/>
  <c r="G1636" i="51" s="1"/>
  <c r="H1636" i="51" a="1"/>
  <c r="H1636" i="51" s="1"/>
  <c r="I1636" i="51"/>
  <c r="J1636" i="51"/>
  <c r="K1636" i="51"/>
  <c r="L1636" i="51"/>
  <c r="A1637" i="51"/>
  <c r="B1637" i="51"/>
  <c r="C1637" i="51"/>
  <c r="D1637" i="51"/>
  <c r="E1637" i="51"/>
  <c r="F1637" i="51"/>
  <c r="G1637" i="51" a="1"/>
  <c r="G1637" i="51" s="1"/>
  <c r="H1637" i="51" a="1"/>
  <c r="H1637" i="51" s="1"/>
  <c r="I1637" i="51"/>
  <c r="J1637" i="51"/>
  <c r="K1637" i="51"/>
  <c r="L1637" i="51"/>
  <c r="A1638" i="51"/>
  <c r="B1638" i="51"/>
  <c r="C1638" i="51"/>
  <c r="D1638" i="51"/>
  <c r="E1638" i="51"/>
  <c r="F1638" i="51"/>
  <c r="G1638" i="51" a="1"/>
  <c r="G1638" i="51" s="1"/>
  <c r="H1638" i="51" a="1"/>
  <c r="H1638" i="51"/>
  <c r="I1638" i="51"/>
  <c r="J1638" i="51"/>
  <c r="K1638" i="51"/>
  <c r="L1638" i="51"/>
  <c r="A1639" i="51"/>
  <c r="B1639" i="51"/>
  <c r="C1639" i="51"/>
  <c r="D1639" i="51"/>
  <c r="E1639" i="51"/>
  <c r="F1639" i="51"/>
  <c r="G1639" i="51" a="1"/>
  <c r="G1639" i="51"/>
  <c r="H1639" i="51" a="1"/>
  <c r="H1639" i="51" s="1"/>
  <c r="I1639" i="51"/>
  <c r="J1639" i="51"/>
  <c r="K1639" i="51"/>
  <c r="L1639" i="51"/>
  <c r="A1640" i="51"/>
  <c r="B1640" i="51"/>
  <c r="C1640" i="51"/>
  <c r="D1640" i="51"/>
  <c r="E1640" i="51"/>
  <c r="F1640" i="51"/>
  <c r="G1640" i="51" a="1"/>
  <c r="G1640" i="51" s="1"/>
  <c r="H1640" i="51" a="1"/>
  <c r="H1640" i="51" s="1"/>
  <c r="I1640" i="51"/>
  <c r="J1640" i="51"/>
  <c r="K1640" i="51"/>
  <c r="L1640" i="51"/>
  <c r="A1641" i="51"/>
  <c r="B1641" i="51"/>
  <c r="C1641" i="51"/>
  <c r="D1641" i="51"/>
  <c r="E1641" i="51"/>
  <c r="F1641" i="51"/>
  <c r="G1641" i="51" a="1"/>
  <c r="G1641" i="51" s="1"/>
  <c r="H1641" i="51" a="1"/>
  <c r="H1641" i="51" s="1"/>
  <c r="I1641" i="51"/>
  <c r="J1641" i="51"/>
  <c r="K1641" i="51"/>
  <c r="L1641" i="51"/>
  <c r="A1642" i="51"/>
  <c r="B1642" i="51"/>
  <c r="C1642" i="51"/>
  <c r="D1642" i="51"/>
  <c r="E1642" i="51"/>
  <c r="F1642" i="51"/>
  <c r="G1642" i="51" a="1"/>
  <c r="G1642" i="51" s="1"/>
  <c r="H1642" i="51" a="1"/>
  <c r="H1642" i="51"/>
  <c r="I1642" i="51"/>
  <c r="J1642" i="51"/>
  <c r="K1642" i="51"/>
  <c r="L1642" i="51"/>
  <c r="A1643" i="51"/>
  <c r="B1643" i="51"/>
  <c r="C1643" i="51"/>
  <c r="D1643" i="51"/>
  <c r="E1643" i="51"/>
  <c r="F1643" i="51"/>
  <c r="G1643" i="51" a="1"/>
  <c r="G1643" i="51"/>
  <c r="H1643" i="51" a="1"/>
  <c r="H1643" i="51" s="1"/>
  <c r="I1643" i="51"/>
  <c r="J1643" i="51"/>
  <c r="K1643" i="51"/>
  <c r="L1643" i="51"/>
  <c r="A1644" i="51"/>
  <c r="B1644" i="51"/>
  <c r="C1644" i="51"/>
  <c r="D1644" i="51"/>
  <c r="E1644" i="51"/>
  <c r="F1644" i="51"/>
  <c r="G1644" i="51" a="1"/>
  <c r="G1644" i="51" s="1"/>
  <c r="H1644" i="51" a="1"/>
  <c r="H1644" i="51" s="1"/>
  <c r="I1644" i="51"/>
  <c r="J1644" i="51"/>
  <c r="K1644" i="51"/>
  <c r="L1644" i="51"/>
  <c r="A1645" i="51"/>
  <c r="B1645" i="51"/>
  <c r="C1645" i="51"/>
  <c r="D1645" i="51"/>
  <c r="E1645" i="51"/>
  <c r="F1645" i="51"/>
  <c r="G1645" i="51" a="1"/>
  <c r="G1645" i="51" s="1"/>
  <c r="H1645" i="51" a="1"/>
  <c r="H1645" i="51" s="1"/>
  <c r="I1645" i="51"/>
  <c r="J1645" i="51"/>
  <c r="K1645" i="51"/>
  <c r="L1645" i="51"/>
  <c r="A1646" i="51"/>
  <c r="B1646" i="51"/>
  <c r="C1646" i="51"/>
  <c r="D1646" i="51"/>
  <c r="E1646" i="51"/>
  <c r="F1646" i="51"/>
  <c r="G1646" i="51" a="1"/>
  <c r="G1646" i="51" s="1"/>
  <c r="H1646" i="51" a="1"/>
  <c r="H1646" i="51"/>
  <c r="I1646" i="51"/>
  <c r="J1646" i="51"/>
  <c r="K1646" i="51"/>
  <c r="L1646" i="51"/>
  <c r="A1647" i="51"/>
  <c r="B1647" i="51"/>
  <c r="C1647" i="51"/>
  <c r="D1647" i="51"/>
  <c r="E1647" i="51"/>
  <c r="F1647" i="51"/>
  <c r="G1647" i="51" a="1"/>
  <c r="G1647" i="51"/>
  <c r="H1647" i="51" a="1"/>
  <c r="H1647" i="51" s="1"/>
  <c r="I1647" i="51"/>
  <c r="J1647" i="51"/>
  <c r="K1647" i="51"/>
  <c r="L1647" i="51"/>
  <c r="A1648" i="51"/>
  <c r="B1648" i="51"/>
  <c r="C1648" i="51"/>
  <c r="D1648" i="51"/>
  <c r="E1648" i="51"/>
  <c r="F1648" i="51"/>
  <c r="G1648" i="51" a="1"/>
  <c r="G1648" i="51" s="1"/>
  <c r="H1648" i="51" a="1"/>
  <c r="H1648" i="51" s="1"/>
  <c r="I1648" i="51"/>
  <c r="J1648" i="51"/>
  <c r="K1648" i="51"/>
  <c r="L1648" i="51"/>
  <c r="A1649" i="51"/>
  <c r="B1649" i="51"/>
  <c r="C1649" i="51"/>
  <c r="D1649" i="51"/>
  <c r="E1649" i="51"/>
  <c r="F1649" i="51"/>
  <c r="G1649" i="51" a="1"/>
  <c r="G1649" i="51" s="1"/>
  <c r="H1649" i="51" a="1"/>
  <c r="H1649" i="51" s="1"/>
  <c r="I1649" i="51"/>
  <c r="J1649" i="51"/>
  <c r="K1649" i="51"/>
  <c r="L1649" i="51"/>
  <c r="A1650" i="51"/>
  <c r="B1650" i="51"/>
  <c r="C1650" i="51"/>
  <c r="D1650" i="51"/>
  <c r="E1650" i="51"/>
  <c r="F1650" i="51"/>
  <c r="G1650" i="51" a="1"/>
  <c r="G1650" i="51" s="1"/>
  <c r="H1650" i="51" a="1"/>
  <c r="H1650" i="51"/>
  <c r="I1650" i="51"/>
  <c r="J1650" i="51"/>
  <c r="K1650" i="51"/>
  <c r="L1650" i="51"/>
  <c r="A1651" i="51"/>
  <c r="B1651" i="51"/>
  <c r="C1651" i="51"/>
  <c r="D1651" i="51"/>
  <c r="E1651" i="51"/>
  <c r="F1651" i="51"/>
  <c r="G1651" i="51" a="1"/>
  <c r="G1651" i="51"/>
  <c r="H1651" i="51" a="1"/>
  <c r="H1651" i="51" s="1"/>
  <c r="I1651" i="51"/>
  <c r="J1651" i="51"/>
  <c r="K1651" i="51"/>
  <c r="L1651" i="51"/>
  <c r="A1652" i="51"/>
  <c r="B1652" i="51"/>
  <c r="C1652" i="51"/>
  <c r="D1652" i="51"/>
  <c r="E1652" i="51"/>
  <c r="F1652" i="51"/>
  <c r="G1652" i="51" a="1"/>
  <c r="G1652" i="51" s="1"/>
  <c r="H1652" i="51" a="1"/>
  <c r="H1652" i="51" s="1"/>
  <c r="I1652" i="51"/>
  <c r="J1652" i="51"/>
  <c r="K1652" i="51"/>
  <c r="L1652" i="51"/>
  <c r="A1653" i="51"/>
  <c r="B1653" i="51"/>
  <c r="C1653" i="51"/>
  <c r="D1653" i="51"/>
  <c r="E1653" i="51"/>
  <c r="F1653" i="51"/>
  <c r="G1653" i="51" a="1"/>
  <c r="G1653" i="51" s="1"/>
  <c r="H1653" i="51" a="1"/>
  <c r="H1653" i="51" s="1"/>
  <c r="I1653" i="51"/>
  <c r="J1653" i="51"/>
  <c r="K1653" i="51"/>
  <c r="L1653" i="51"/>
  <c r="A1654" i="51"/>
  <c r="B1654" i="51"/>
  <c r="C1654" i="51"/>
  <c r="D1654" i="51"/>
  <c r="E1654" i="51"/>
  <c r="F1654" i="51"/>
  <c r="G1654" i="51" a="1"/>
  <c r="G1654" i="51" s="1"/>
  <c r="H1654" i="51" a="1"/>
  <c r="H1654" i="51"/>
  <c r="I1654" i="51"/>
  <c r="J1654" i="51"/>
  <c r="K1654" i="51"/>
  <c r="L1654" i="51"/>
  <c r="A1655" i="51"/>
  <c r="B1655" i="51"/>
  <c r="C1655" i="51"/>
  <c r="D1655" i="51"/>
  <c r="E1655" i="51"/>
  <c r="F1655" i="51"/>
  <c r="G1655" i="51" a="1"/>
  <c r="G1655" i="51"/>
  <c r="H1655" i="51" a="1"/>
  <c r="H1655" i="51" s="1"/>
  <c r="I1655" i="51"/>
  <c r="J1655" i="51"/>
  <c r="K1655" i="51"/>
  <c r="L1655" i="51"/>
  <c r="A1656" i="51"/>
  <c r="B1656" i="51"/>
  <c r="C1656" i="51"/>
  <c r="D1656" i="51"/>
  <c r="E1656" i="51"/>
  <c r="F1656" i="51"/>
  <c r="G1656" i="51" a="1"/>
  <c r="G1656" i="51" s="1"/>
  <c r="H1656" i="51" a="1"/>
  <c r="H1656" i="51" s="1"/>
  <c r="I1656" i="51"/>
  <c r="J1656" i="51"/>
  <c r="K1656" i="51"/>
  <c r="L1656" i="51"/>
  <c r="A1657" i="51"/>
  <c r="B1657" i="51"/>
  <c r="C1657" i="51"/>
  <c r="D1657" i="51"/>
  <c r="E1657" i="51"/>
  <c r="F1657" i="51"/>
  <c r="G1657" i="51" a="1"/>
  <c r="G1657" i="51" s="1"/>
  <c r="H1657" i="51" a="1"/>
  <c r="H1657" i="51" s="1"/>
  <c r="I1657" i="51"/>
  <c r="J1657" i="51"/>
  <c r="K1657" i="51"/>
  <c r="L1657" i="51"/>
  <c r="A1658" i="51"/>
  <c r="B1658" i="51"/>
  <c r="C1658" i="51"/>
  <c r="D1658" i="51"/>
  <c r="E1658" i="51"/>
  <c r="F1658" i="51"/>
  <c r="G1658" i="51" a="1"/>
  <c r="G1658" i="51" s="1"/>
  <c r="H1658" i="51" a="1"/>
  <c r="H1658" i="51"/>
  <c r="I1658" i="51"/>
  <c r="J1658" i="51"/>
  <c r="K1658" i="51"/>
  <c r="L1658" i="51"/>
  <c r="A1659" i="51"/>
  <c r="B1659" i="51"/>
  <c r="C1659" i="51"/>
  <c r="D1659" i="51"/>
  <c r="E1659" i="51"/>
  <c r="F1659" i="51"/>
  <c r="G1659" i="51" a="1"/>
  <c r="G1659" i="51"/>
  <c r="H1659" i="51" a="1"/>
  <c r="H1659" i="51" s="1"/>
  <c r="I1659" i="51"/>
  <c r="J1659" i="51"/>
  <c r="K1659" i="51"/>
  <c r="L1659" i="51"/>
  <c r="A1660" i="51"/>
  <c r="B1660" i="51"/>
  <c r="C1660" i="51"/>
  <c r="D1660" i="51"/>
  <c r="E1660" i="51"/>
  <c r="F1660" i="51"/>
  <c r="G1660" i="51" a="1"/>
  <c r="G1660" i="51" s="1"/>
  <c r="H1660" i="51" a="1"/>
  <c r="H1660" i="51" s="1"/>
  <c r="I1660" i="51"/>
  <c r="J1660" i="51"/>
  <c r="K1660" i="51"/>
  <c r="L1660" i="51"/>
  <c r="A1661" i="51"/>
  <c r="B1661" i="51"/>
  <c r="C1661" i="51"/>
  <c r="D1661" i="51"/>
  <c r="E1661" i="51"/>
  <c r="F1661" i="51"/>
  <c r="G1661" i="51" a="1"/>
  <c r="G1661" i="51" s="1"/>
  <c r="H1661" i="51" a="1"/>
  <c r="H1661" i="51" s="1"/>
  <c r="I1661" i="51"/>
  <c r="J1661" i="51"/>
  <c r="K1661" i="51"/>
  <c r="L1661" i="51"/>
  <c r="A1662" i="51"/>
  <c r="B1662" i="51"/>
  <c r="C1662" i="51"/>
  <c r="D1662" i="51"/>
  <c r="E1662" i="51"/>
  <c r="F1662" i="51"/>
  <c r="G1662" i="51" a="1"/>
  <c r="G1662" i="51" s="1"/>
  <c r="H1662" i="51" a="1"/>
  <c r="H1662" i="51"/>
  <c r="I1662" i="51"/>
  <c r="J1662" i="51"/>
  <c r="K1662" i="51"/>
  <c r="L1662" i="51"/>
  <c r="A1663" i="51"/>
  <c r="B1663" i="51"/>
  <c r="C1663" i="51"/>
  <c r="D1663" i="51"/>
  <c r="E1663" i="51"/>
  <c r="F1663" i="51"/>
  <c r="G1663" i="51" a="1"/>
  <c r="G1663" i="51"/>
  <c r="H1663" i="51" a="1"/>
  <c r="H1663" i="51" s="1"/>
  <c r="I1663" i="51"/>
  <c r="J1663" i="51"/>
  <c r="K1663" i="51"/>
  <c r="L1663" i="51"/>
  <c r="A1664" i="51"/>
  <c r="B1664" i="51"/>
  <c r="C1664" i="51"/>
  <c r="D1664" i="51"/>
  <c r="E1664" i="51"/>
  <c r="F1664" i="51"/>
  <c r="G1664" i="51" a="1"/>
  <c r="G1664" i="51" s="1"/>
  <c r="H1664" i="51" a="1"/>
  <c r="H1664" i="51" s="1"/>
  <c r="I1664" i="51"/>
  <c r="J1664" i="51"/>
  <c r="K1664" i="51"/>
  <c r="L1664" i="51"/>
  <c r="A1665" i="51"/>
  <c r="B1665" i="51"/>
  <c r="C1665" i="51"/>
  <c r="D1665" i="51"/>
  <c r="E1665" i="51"/>
  <c r="F1665" i="51"/>
  <c r="G1665" i="51" a="1"/>
  <c r="G1665" i="51" s="1"/>
  <c r="H1665" i="51" a="1"/>
  <c r="H1665" i="51" s="1"/>
  <c r="I1665" i="51"/>
  <c r="J1665" i="51"/>
  <c r="K1665" i="51"/>
  <c r="L1665" i="51"/>
  <c r="A1666" i="51"/>
  <c r="B1666" i="51"/>
  <c r="C1666" i="51"/>
  <c r="D1666" i="51"/>
  <c r="E1666" i="51"/>
  <c r="F1666" i="51"/>
  <c r="G1666" i="51" a="1"/>
  <c r="G1666" i="51" s="1"/>
  <c r="H1666" i="51" a="1"/>
  <c r="H1666" i="51"/>
  <c r="I1666" i="51"/>
  <c r="J1666" i="51"/>
  <c r="K1666" i="51"/>
  <c r="L1666" i="51"/>
  <c r="A1667" i="51"/>
  <c r="B1667" i="51"/>
  <c r="C1667" i="51"/>
  <c r="D1667" i="51"/>
  <c r="E1667" i="51"/>
  <c r="F1667" i="51"/>
  <c r="G1667" i="51" a="1"/>
  <c r="G1667" i="51"/>
  <c r="H1667" i="51" a="1"/>
  <c r="H1667" i="51" s="1"/>
  <c r="I1667" i="51"/>
  <c r="J1667" i="51"/>
  <c r="K1667" i="51"/>
  <c r="L1667" i="51"/>
  <c r="A1668" i="51"/>
  <c r="B1668" i="51"/>
  <c r="C1668" i="51"/>
  <c r="D1668" i="51"/>
  <c r="E1668" i="51"/>
  <c r="F1668" i="51"/>
  <c r="G1668" i="51" a="1"/>
  <c r="G1668" i="51" s="1"/>
  <c r="H1668" i="51" a="1"/>
  <c r="H1668" i="51" s="1"/>
  <c r="I1668" i="51"/>
  <c r="J1668" i="51"/>
  <c r="K1668" i="51"/>
  <c r="L1668" i="51"/>
  <c r="A1669" i="51"/>
  <c r="B1669" i="51"/>
  <c r="C1669" i="51"/>
  <c r="D1669" i="51"/>
  <c r="E1669" i="51"/>
  <c r="F1669" i="51"/>
  <c r="G1669" i="51" a="1"/>
  <c r="G1669" i="51" s="1"/>
  <c r="H1669" i="51" a="1"/>
  <c r="H1669" i="51" s="1"/>
  <c r="I1669" i="51"/>
  <c r="J1669" i="51"/>
  <c r="K1669" i="51"/>
  <c r="L1669" i="51"/>
  <c r="A1670" i="51"/>
  <c r="B1670" i="51"/>
  <c r="C1670" i="51"/>
  <c r="D1670" i="51"/>
  <c r="E1670" i="51"/>
  <c r="F1670" i="51"/>
  <c r="G1670" i="51" a="1"/>
  <c r="G1670" i="51" s="1"/>
  <c r="H1670" i="51" a="1"/>
  <c r="H1670" i="51"/>
  <c r="I1670" i="51"/>
  <c r="J1670" i="51"/>
  <c r="K1670" i="51"/>
  <c r="L1670" i="51"/>
  <c r="A1671" i="51"/>
  <c r="B1671" i="51"/>
  <c r="C1671" i="51"/>
  <c r="D1671" i="51"/>
  <c r="E1671" i="51"/>
  <c r="F1671" i="51"/>
  <c r="G1671" i="51" a="1"/>
  <c r="G1671" i="51"/>
  <c r="H1671" i="51" a="1"/>
  <c r="H1671" i="51" s="1"/>
  <c r="I1671" i="51"/>
  <c r="J1671" i="51"/>
  <c r="K1671" i="51"/>
  <c r="L1671" i="51"/>
  <c r="A1672" i="51"/>
  <c r="B1672" i="51"/>
  <c r="C1672" i="51"/>
  <c r="D1672" i="51"/>
  <c r="E1672" i="51"/>
  <c r="F1672" i="51"/>
  <c r="G1672" i="51" a="1"/>
  <c r="G1672" i="51" s="1"/>
  <c r="H1672" i="51" a="1"/>
  <c r="H1672" i="51" s="1"/>
  <c r="I1672" i="51"/>
  <c r="J1672" i="51"/>
  <c r="K1672" i="51"/>
  <c r="L1672" i="51"/>
  <c r="A1673" i="51"/>
  <c r="B1673" i="51"/>
  <c r="C1673" i="51"/>
  <c r="D1673" i="51"/>
  <c r="E1673" i="51"/>
  <c r="F1673" i="51"/>
  <c r="G1673" i="51" a="1"/>
  <c r="G1673" i="51" s="1"/>
  <c r="H1673" i="51" a="1"/>
  <c r="H1673" i="51" s="1"/>
  <c r="I1673" i="51"/>
  <c r="J1673" i="51"/>
  <c r="K1673" i="51"/>
  <c r="L1673" i="51"/>
  <c r="A1674" i="51"/>
  <c r="B1674" i="51"/>
  <c r="C1674" i="51"/>
  <c r="D1674" i="51"/>
  <c r="E1674" i="51"/>
  <c r="F1674" i="51"/>
  <c r="G1674" i="51" a="1"/>
  <c r="G1674" i="51" s="1"/>
  <c r="H1674" i="51" a="1"/>
  <c r="H1674" i="51"/>
  <c r="I1674" i="51"/>
  <c r="J1674" i="51"/>
  <c r="K1674" i="51"/>
  <c r="L1674" i="51"/>
  <c r="A1675" i="51"/>
  <c r="B1675" i="51"/>
  <c r="C1675" i="51"/>
  <c r="D1675" i="51"/>
  <c r="E1675" i="51"/>
  <c r="F1675" i="51"/>
  <c r="G1675" i="51" a="1"/>
  <c r="G1675" i="51"/>
  <c r="H1675" i="51" a="1"/>
  <c r="H1675" i="51" s="1"/>
  <c r="I1675" i="51"/>
  <c r="J1675" i="51"/>
  <c r="K1675" i="51"/>
  <c r="L1675" i="51"/>
  <c r="A1676" i="51"/>
  <c r="B1676" i="51"/>
  <c r="C1676" i="51"/>
  <c r="D1676" i="51"/>
  <c r="E1676" i="51"/>
  <c r="F1676" i="51"/>
  <c r="G1676" i="51" a="1"/>
  <c r="G1676" i="51" s="1"/>
  <c r="H1676" i="51" a="1"/>
  <c r="H1676" i="51" s="1"/>
  <c r="I1676" i="51"/>
  <c r="J1676" i="51"/>
  <c r="K1676" i="51"/>
  <c r="L1676" i="51"/>
  <c r="A1677" i="51"/>
  <c r="B1677" i="51"/>
  <c r="C1677" i="51"/>
  <c r="D1677" i="51"/>
  <c r="E1677" i="51"/>
  <c r="F1677" i="51"/>
  <c r="G1677" i="51" a="1"/>
  <c r="G1677" i="51" s="1"/>
  <c r="H1677" i="51" a="1"/>
  <c r="H1677" i="51" s="1"/>
  <c r="I1677" i="51"/>
  <c r="J1677" i="51"/>
  <c r="K1677" i="51"/>
  <c r="L1677" i="51"/>
  <c r="A1678" i="51"/>
  <c r="B1678" i="51"/>
  <c r="C1678" i="51"/>
  <c r="D1678" i="51"/>
  <c r="E1678" i="51"/>
  <c r="F1678" i="51"/>
  <c r="G1678" i="51" a="1"/>
  <c r="G1678" i="51" s="1"/>
  <c r="H1678" i="51" a="1"/>
  <c r="H1678" i="51"/>
  <c r="I1678" i="51"/>
  <c r="J1678" i="51"/>
  <c r="K1678" i="51"/>
  <c r="L1678" i="51"/>
  <c r="A1679" i="51"/>
  <c r="B1679" i="51"/>
  <c r="C1679" i="51"/>
  <c r="D1679" i="51"/>
  <c r="E1679" i="51"/>
  <c r="F1679" i="51"/>
  <c r="G1679" i="51" a="1"/>
  <c r="G1679" i="51"/>
  <c r="H1679" i="51" a="1"/>
  <c r="H1679" i="51" s="1"/>
  <c r="I1679" i="51"/>
  <c r="J1679" i="51"/>
  <c r="K1679" i="51"/>
  <c r="L1679" i="51"/>
  <c r="A1680" i="51"/>
  <c r="B1680" i="51"/>
  <c r="C1680" i="51"/>
  <c r="D1680" i="51"/>
  <c r="E1680" i="51"/>
  <c r="F1680" i="51"/>
  <c r="G1680" i="51" a="1"/>
  <c r="G1680" i="51" s="1"/>
  <c r="H1680" i="51" a="1"/>
  <c r="H1680" i="51" s="1"/>
  <c r="I1680" i="51"/>
  <c r="J1680" i="51"/>
  <c r="K1680" i="51"/>
  <c r="L1680" i="51"/>
  <c r="A1681" i="51"/>
  <c r="B1681" i="51"/>
  <c r="C1681" i="51"/>
  <c r="D1681" i="51"/>
  <c r="E1681" i="51"/>
  <c r="F1681" i="51"/>
  <c r="G1681" i="51" a="1"/>
  <c r="G1681" i="51" s="1"/>
  <c r="H1681" i="51" a="1"/>
  <c r="H1681" i="51" s="1"/>
  <c r="I1681" i="51"/>
  <c r="J1681" i="51"/>
  <c r="K1681" i="51"/>
  <c r="L1681" i="51"/>
  <c r="A1682" i="51"/>
  <c r="B1682" i="51"/>
  <c r="C1682" i="51"/>
  <c r="D1682" i="51"/>
  <c r="E1682" i="51"/>
  <c r="F1682" i="51"/>
  <c r="G1682" i="51" a="1"/>
  <c r="G1682" i="51" s="1"/>
  <c r="H1682" i="51" a="1"/>
  <c r="H1682" i="51"/>
  <c r="I1682" i="51"/>
  <c r="J1682" i="51"/>
  <c r="K1682" i="51"/>
  <c r="L1682" i="51"/>
  <c r="A1683" i="51"/>
  <c r="B1683" i="51"/>
  <c r="C1683" i="51"/>
  <c r="D1683" i="51"/>
  <c r="E1683" i="51"/>
  <c r="F1683" i="51"/>
  <c r="G1683" i="51" a="1"/>
  <c r="G1683" i="51"/>
  <c r="H1683" i="51" a="1"/>
  <c r="H1683" i="51" s="1"/>
  <c r="I1683" i="51"/>
  <c r="J1683" i="51"/>
  <c r="K1683" i="51"/>
  <c r="L1683" i="51"/>
  <c r="A1684" i="51"/>
  <c r="B1684" i="51"/>
  <c r="C1684" i="51"/>
  <c r="D1684" i="51"/>
  <c r="E1684" i="51"/>
  <c r="F1684" i="51"/>
  <c r="G1684" i="51" a="1"/>
  <c r="G1684" i="51" s="1"/>
  <c r="H1684" i="51" a="1"/>
  <c r="H1684" i="51" s="1"/>
  <c r="I1684" i="51"/>
  <c r="J1684" i="51"/>
  <c r="K1684" i="51"/>
  <c r="L1684" i="51"/>
  <c r="A1685" i="51"/>
  <c r="B1685" i="51"/>
  <c r="C1685" i="51"/>
  <c r="D1685" i="51"/>
  <c r="E1685" i="51"/>
  <c r="F1685" i="51"/>
  <c r="G1685" i="51" a="1"/>
  <c r="G1685" i="51" s="1"/>
  <c r="H1685" i="51" a="1"/>
  <c r="H1685" i="51" s="1"/>
  <c r="I1685" i="51"/>
  <c r="J1685" i="51"/>
  <c r="K1685" i="51"/>
  <c r="L1685" i="51"/>
  <c r="A1686" i="51"/>
  <c r="B1686" i="51"/>
  <c r="C1686" i="51"/>
  <c r="D1686" i="51"/>
  <c r="E1686" i="51"/>
  <c r="F1686" i="51"/>
  <c r="G1686" i="51" a="1"/>
  <c r="G1686" i="51" s="1"/>
  <c r="H1686" i="51" a="1"/>
  <c r="H1686" i="51"/>
  <c r="I1686" i="51"/>
  <c r="J1686" i="51"/>
  <c r="K1686" i="51"/>
  <c r="L1686" i="51"/>
  <c r="A1687" i="51"/>
  <c r="B1687" i="51"/>
  <c r="C1687" i="51"/>
  <c r="D1687" i="51"/>
  <c r="E1687" i="51"/>
  <c r="F1687" i="51"/>
  <c r="G1687" i="51" a="1"/>
  <c r="G1687" i="51"/>
  <c r="H1687" i="51" a="1"/>
  <c r="H1687" i="51" s="1"/>
  <c r="I1687" i="51"/>
  <c r="J1687" i="51"/>
  <c r="K1687" i="51"/>
  <c r="L1687" i="51"/>
  <c r="A1688" i="51"/>
  <c r="B1688" i="51"/>
  <c r="C1688" i="51"/>
  <c r="D1688" i="51"/>
  <c r="E1688" i="51"/>
  <c r="F1688" i="51"/>
  <c r="G1688" i="51" a="1"/>
  <c r="G1688" i="51" s="1"/>
  <c r="H1688" i="51" a="1"/>
  <c r="H1688" i="51" s="1"/>
  <c r="I1688" i="51"/>
  <c r="J1688" i="51"/>
  <c r="K1688" i="51"/>
  <c r="L1688" i="51"/>
  <c r="A1689" i="51"/>
  <c r="B1689" i="51"/>
  <c r="C1689" i="51"/>
  <c r="D1689" i="51"/>
  <c r="E1689" i="51"/>
  <c r="F1689" i="51"/>
  <c r="G1689" i="51" a="1"/>
  <c r="G1689" i="51" s="1"/>
  <c r="H1689" i="51" a="1"/>
  <c r="H1689" i="51" s="1"/>
  <c r="I1689" i="51"/>
  <c r="J1689" i="51"/>
  <c r="K1689" i="51"/>
  <c r="L1689" i="51"/>
  <c r="A1690" i="51"/>
  <c r="B1690" i="51"/>
  <c r="C1690" i="51"/>
  <c r="D1690" i="51"/>
  <c r="E1690" i="51"/>
  <c r="F1690" i="51"/>
  <c r="G1690" i="51" a="1"/>
  <c r="G1690" i="51" s="1"/>
  <c r="H1690" i="51" a="1"/>
  <c r="H1690" i="51"/>
  <c r="I1690" i="51"/>
  <c r="J1690" i="51"/>
  <c r="K1690" i="51"/>
  <c r="L1690" i="51"/>
  <c r="A1691" i="51"/>
  <c r="B1691" i="51"/>
  <c r="C1691" i="51"/>
  <c r="D1691" i="51"/>
  <c r="E1691" i="51"/>
  <c r="F1691" i="51"/>
  <c r="G1691" i="51" a="1"/>
  <c r="G1691" i="51"/>
  <c r="H1691" i="51" a="1"/>
  <c r="H1691" i="51" s="1"/>
  <c r="I1691" i="51"/>
  <c r="J1691" i="51"/>
  <c r="K1691" i="51"/>
  <c r="L1691" i="51"/>
  <c r="A1692" i="51"/>
  <c r="B1692" i="51"/>
  <c r="C1692" i="51"/>
  <c r="D1692" i="51"/>
  <c r="E1692" i="51"/>
  <c r="F1692" i="51"/>
  <c r="G1692" i="51" a="1"/>
  <c r="G1692" i="51" s="1"/>
  <c r="H1692" i="51" a="1"/>
  <c r="H1692" i="51" s="1"/>
  <c r="I1692" i="51"/>
  <c r="J1692" i="51"/>
  <c r="K1692" i="51"/>
  <c r="L1692" i="51"/>
  <c r="A1693" i="51"/>
  <c r="B1693" i="51"/>
  <c r="C1693" i="51"/>
  <c r="D1693" i="51"/>
  <c r="E1693" i="51"/>
  <c r="F1693" i="51"/>
  <c r="G1693" i="51" a="1"/>
  <c r="G1693" i="51" s="1"/>
  <c r="H1693" i="51" a="1"/>
  <c r="H1693" i="51" s="1"/>
  <c r="I1693" i="51"/>
  <c r="J1693" i="51"/>
  <c r="K1693" i="51"/>
  <c r="L1693" i="51"/>
  <c r="A1694" i="51"/>
  <c r="B1694" i="51"/>
  <c r="C1694" i="51"/>
  <c r="D1694" i="51"/>
  <c r="E1694" i="51"/>
  <c r="F1694" i="51"/>
  <c r="G1694" i="51" a="1"/>
  <c r="G1694" i="51" s="1"/>
  <c r="H1694" i="51" a="1"/>
  <c r="H1694" i="51"/>
  <c r="I1694" i="51"/>
  <c r="J1694" i="51"/>
  <c r="K1694" i="51"/>
  <c r="L1694" i="51"/>
  <c r="A1695" i="51"/>
  <c r="B1695" i="51"/>
  <c r="C1695" i="51"/>
  <c r="D1695" i="51"/>
  <c r="E1695" i="51"/>
  <c r="F1695" i="51"/>
  <c r="G1695" i="51" a="1"/>
  <c r="G1695" i="51"/>
  <c r="H1695" i="51" a="1"/>
  <c r="H1695" i="51" s="1"/>
  <c r="I1695" i="51"/>
  <c r="J1695" i="51"/>
  <c r="K1695" i="51"/>
  <c r="L1695" i="51"/>
  <c r="A1696" i="51"/>
  <c r="B1696" i="51"/>
  <c r="C1696" i="51"/>
  <c r="D1696" i="51"/>
  <c r="E1696" i="51"/>
  <c r="F1696" i="51"/>
  <c r="G1696" i="51" a="1"/>
  <c r="G1696" i="51" s="1"/>
  <c r="H1696" i="51" a="1"/>
  <c r="H1696" i="51" s="1"/>
  <c r="I1696" i="51"/>
  <c r="J1696" i="51"/>
  <c r="K1696" i="51"/>
  <c r="L1696" i="51"/>
  <c r="A1697" i="51"/>
  <c r="B1697" i="51"/>
  <c r="C1697" i="51"/>
  <c r="D1697" i="51"/>
  <c r="E1697" i="51"/>
  <c r="F1697" i="51"/>
  <c r="G1697" i="51" a="1"/>
  <c r="G1697" i="51" s="1"/>
  <c r="H1697" i="51" a="1"/>
  <c r="H1697" i="51" s="1"/>
  <c r="I1697" i="51"/>
  <c r="J1697" i="51"/>
  <c r="K1697" i="51"/>
  <c r="L1697" i="51"/>
  <c r="A1698" i="51"/>
  <c r="B1698" i="51"/>
  <c r="C1698" i="51"/>
  <c r="D1698" i="51"/>
  <c r="E1698" i="51"/>
  <c r="F1698" i="51"/>
  <c r="G1698" i="51" a="1"/>
  <c r="G1698" i="51" s="1"/>
  <c r="H1698" i="51" a="1"/>
  <c r="H1698" i="51"/>
  <c r="I1698" i="51"/>
  <c r="J1698" i="51"/>
  <c r="K1698" i="51"/>
  <c r="L1698" i="51"/>
  <c r="A1699" i="51"/>
  <c r="B1699" i="51"/>
  <c r="C1699" i="51"/>
  <c r="D1699" i="51"/>
  <c r="E1699" i="51"/>
  <c r="F1699" i="51"/>
  <c r="G1699" i="51" a="1"/>
  <c r="G1699" i="51"/>
  <c r="H1699" i="51" a="1"/>
  <c r="H1699" i="51" s="1"/>
  <c r="I1699" i="51"/>
  <c r="J1699" i="51"/>
  <c r="K1699" i="51"/>
  <c r="L1699" i="51"/>
  <c r="A1700" i="51"/>
  <c r="B1700" i="51"/>
  <c r="C1700" i="51"/>
  <c r="D1700" i="51"/>
  <c r="E1700" i="51"/>
  <c r="F1700" i="51"/>
  <c r="G1700" i="51" a="1"/>
  <c r="G1700" i="51" s="1"/>
  <c r="H1700" i="51" a="1"/>
  <c r="H1700" i="51"/>
  <c r="I1700" i="51"/>
  <c r="J1700" i="51"/>
  <c r="K1700" i="51"/>
  <c r="L1700" i="51"/>
  <c r="A1701" i="51"/>
  <c r="B1701" i="51"/>
  <c r="C1701" i="51"/>
  <c r="D1701" i="51"/>
  <c r="E1701" i="51"/>
  <c r="F1701" i="51"/>
  <c r="G1701" i="51" a="1"/>
  <c r="G1701" i="51" s="1"/>
  <c r="H1701" i="51" a="1"/>
  <c r="H1701" i="51" s="1"/>
  <c r="I1701" i="51"/>
  <c r="J1701" i="51"/>
  <c r="K1701" i="51"/>
  <c r="L1701" i="51"/>
  <c r="A1702" i="51"/>
  <c r="B1702" i="51"/>
  <c r="C1702" i="51"/>
  <c r="D1702" i="51"/>
  <c r="E1702" i="51"/>
  <c r="F1702" i="51"/>
  <c r="G1702" i="51" a="1"/>
  <c r="G1702" i="51" s="1"/>
  <c r="H1702" i="51" a="1"/>
  <c r="H1702" i="51"/>
  <c r="I1702" i="51"/>
  <c r="J1702" i="51"/>
  <c r="K1702" i="51"/>
  <c r="L1702" i="51"/>
  <c r="A1703" i="51"/>
  <c r="B1703" i="51"/>
  <c r="C1703" i="51"/>
  <c r="D1703" i="51"/>
  <c r="E1703" i="51"/>
  <c r="F1703" i="51"/>
  <c r="G1703" i="51" a="1"/>
  <c r="G1703" i="51" s="1"/>
  <c r="H1703" i="51" a="1"/>
  <c r="H1703" i="51" s="1"/>
  <c r="I1703" i="51"/>
  <c r="J1703" i="51"/>
  <c r="K1703" i="51"/>
  <c r="L1703" i="51"/>
  <c r="A1704" i="51"/>
  <c r="B1704" i="51"/>
  <c r="C1704" i="51"/>
  <c r="D1704" i="51"/>
  <c r="E1704" i="51"/>
  <c r="F1704" i="51"/>
  <c r="G1704" i="51" a="1"/>
  <c r="G1704" i="51" s="1"/>
  <c r="H1704" i="51" a="1"/>
  <c r="H1704" i="51" s="1"/>
  <c r="I1704" i="51"/>
  <c r="J1704" i="51"/>
  <c r="K1704" i="51"/>
  <c r="L1704" i="51"/>
  <c r="A1705" i="51"/>
  <c r="B1705" i="51"/>
  <c r="C1705" i="51"/>
  <c r="D1705" i="51"/>
  <c r="E1705" i="51"/>
  <c r="F1705" i="51"/>
  <c r="G1705" i="51" a="1"/>
  <c r="G1705" i="51" s="1"/>
  <c r="H1705" i="51" a="1"/>
  <c r="H1705" i="51" s="1"/>
  <c r="I1705" i="51"/>
  <c r="J1705" i="51"/>
  <c r="K1705" i="51"/>
  <c r="L1705" i="51"/>
  <c r="A1706" i="51"/>
  <c r="B1706" i="51"/>
  <c r="C1706" i="51"/>
  <c r="D1706" i="51"/>
  <c r="E1706" i="51"/>
  <c r="F1706" i="51"/>
  <c r="G1706" i="51" a="1"/>
  <c r="G1706" i="51" s="1"/>
  <c r="H1706" i="51" a="1"/>
  <c r="H1706" i="51" s="1"/>
  <c r="I1706" i="51"/>
  <c r="J1706" i="51"/>
  <c r="K1706" i="51"/>
  <c r="L1706" i="51"/>
  <c r="A1707" i="51"/>
  <c r="B1707" i="51"/>
  <c r="C1707" i="51"/>
  <c r="D1707" i="51"/>
  <c r="E1707" i="51"/>
  <c r="F1707" i="51"/>
  <c r="G1707" i="51" a="1"/>
  <c r="G1707" i="51"/>
  <c r="H1707" i="51" a="1"/>
  <c r="H1707" i="51" s="1"/>
  <c r="I1707" i="51"/>
  <c r="J1707" i="51"/>
  <c r="K1707" i="51"/>
  <c r="L1707" i="51"/>
  <c r="A1708" i="51"/>
  <c r="B1708" i="51"/>
  <c r="C1708" i="51"/>
  <c r="D1708" i="51"/>
  <c r="E1708" i="51"/>
  <c r="F1708" i="51"/>
  <c r="G1708" i="51" a="1"/>
  <c r="G1708" i="51"/>
  <c r="H1708" i="51" a="1"/>
  <c r="H1708" i="51"/>
  <c r="I1708" i="51"/>
  <c r="J1708" i="51"/>
  <c r="K1708" i="51"/>
  <c r="L1708" i="51"/>
  <c r="A1709" i="51"/>
  <c r="B1709" i="51"/>
  <c r="C1709" i="51"/>
  <c r="D1709" i="51"/>
  <c r="E1709" i="51"/>
  <c r="F1709" i="51"/>
  <c r="G1709" i="51" a="1"/>
  <c r="G1709" i="51"/>
  <c r="H1709" i="51" a="1"/>
  <c r="H1709" i="51"/>
  <c r="I1709" i="51"/>
  <c r="J1709" i="51"/>
  <c r="K1709" i="51"/>
  <c r="L1709" i="51"/>
  <c r="A1710" i="51"/>
  <c r="B1710" i="51"/>
  <c r="C1710" i="51"/>
  <c r="D1710" i="51"/>
  <c r="E1710" i="51"/>
  <c r="F1710" i="51"/>
  <c r="G1710" i="51" a="1"/>
  <c r="G1710" i="51" s="1"/>
  <c r="H1710" i="51" a="1"/>
  <c r="H1710" i="51" s="1"/>
  <c r="I1710" i="51"/>
  <c r="J1710" i="51"/>
  <c r="K1710" i="51"/>
  <c r="L1710" i="51"/>
  <c r="A1711" i="51"/>
  <c r="B1711" i="51"/>
  <c r="C1711" i="51"/>
  <c r="D1711" i="51"/>
  <c r="E1711" i="51"/>
  <c r="F1711" i="51"/>
  <c r="G1711" i="51" a="1"/>
  <c r="G1711" i="51" s="1"/>
  <c r="H1711" i="51" a="1"/>
  <c r="H1711" i="51" s="1"/>
  <c r="I1711" i="51"/>
  <c r="J1711" i="51"/>
  <c r="K1711" i="51"/>
  <c r="L1711" i="51"/>
  <c r="A1712" i="51"/>
  <c r="B1712" i="51"/>
  <c r="C1712" i="51"/>
  <c r="D1712" i="51"/>
  <c r="E1712" i="51"/>
  <c r="F1712" i="51"/>
  <c r="G1712" i="51" a="1"/>
  <c r="G1712" i="51"/>
  <c r="H1712" i="51" a="1"/>
  <c r="H1712" i="51"/>
  <c r="I1712" i="51"/>
  <c r="J1712" i="51"/>
  <c r="K1712" i="51"/>
  <c r="L1712" i="51"/>
  <c r="A1713" i="51"/>
  <c r="B1713" i="51"/>
  <c r="C1713" i="51"/>
  <c r="D1713" i="51"/>
  <c r="E1713" i="51"/>
  <c r="F1713" i="51"/>
  <c r="G1713" i="51" a="1"/>
  <c r="G1713" i="51"/>
  <c r="H1713" i="51" a="1"/>
  <c r="H1713" i="51"/>
  <c r="I1713" i="51"/>
  <c r="J1713" i="51"/>
  <c r="K1713" i="51"/>
  <c r="L1713" i="51"/>
  <c r="A1714" i="51"/>
  <c r="B1714" i="51"/>
  <c r="C1714" i="51"/>
  <c r="D1714" i="51"/>
  <c r="E1714" i="51"/>
  <c r="F1714" i="51"/>
  <c r="G1714" i="51" a="1"/>
  <c r="G1714" i="51" s="1"/>
  <c r="H1714" i="51" a="1"/>
  <c r="H1714" i="51" s="1"/>
  <c r="I1714" i="51"/>
  <c r="J1714" i="51"/>
  <c r="K1714" i="51"/>
  <c r="L1714" i="51"/>
  <c r="A1715" i="51"/>
  <c r="B1715" i="51"/>
  <c r="C1715" i="51"/>
  <c r="D1715" i="51"/>
  <c r="E1715" i="51"/>
  <c r="F1715" i="51"/>
  <c r="G1715" i="51" a="1"/>
  <c r="G1715" i="51" s="1"/>
  <c r="H1715" i="51" a="1"/>
  <c r="H1715" i="51" s="1"/>
  <c r="I1715" i="51"/>
  <c r="J1715" i="51"/>
  <c r="K1715" i="51"/>
  <c r="L1715" i="51"/>
  <c r="A1716" i="51"/>
  <c r="B1716" i="51"/>
  <c r="C1716" i="51"/>
  <c r="D1716" i="51"/>
  <c r="E1716" i="51"/>
  <c r="F1716" i="51"/>
  <c r="G1716" i="51" a="1"/>
  <c r="G1716" i="51"/>
  <c r="H1716" i="51" a="1"/>
  <c r="H1716" i="51"/>
  <c r="I1716" i="51"/>
  <c r="J1716" i="51"/>
  <c r="K1716" i="51"/>
  <c r="L1716" i="51"/>
  <c r="A1717" i="51"/>
  <c r="B1717" i="51"/>
  <c r="C1717" i="51"/>
  <c r="D1717" i="51"/>
  <c r="E1717" i="51"/>
  <c r="F1717" i="51"/>
  <c r="G1717" i="51" a="1"/>
  <c r="G1717" i="51"/>
  <c r="H1717" i="51" a="1"/>
  <c r="H1717" i="51"/>
  <c r="I1717" i="51"/>
  <c r="J1717" i="51"/>
  <c r="K1717" i="51"/>
  <c r="L1717" i="51"/>
  <c r="A1718" i="51"/>
  <c r="B1718" i="51"/>
  <c r="C1718" i="51"/>
  <c r="D1718" i="51"/>
  <c r="E1718" i="51"/>
  <c r="F1718" i="51"/>
  <c r="G1718" i="51" a="1"/>
  <c r="G1718" i="51" s="1"/>
  <c r="H1718" i="51" a="1"/>
  <c r="H1718" i="51" s="1"/>
  <c r="I1718" i="51"/>
  <c r="J1718" i="51"/>
  <c r="K1718" i="51"/>
  <c r="L1718" i="51"/>
  <c r="A1719" i="51"/>
  <c r="B1719" i="51"/>
  <c r="C1719" i="51"/>
  <c r="D1719" i="51"/>
  <c r="E1719" i="51"/>
  <c r="F1719" i="51"/>
  <c r="G1719" i="51" a="1"/>
  <c r="G1719" i="51" s="1"/>
  <c r="H1719" i="51" a="1"/>
  <c r="H1719" i="51" s="1"/>
  <c r="I1719" i="51"/>
  <c r="J1719" i="51"/>
  <c r="K1719" i="51"/>
  <c r="L1719" i="51"/>
  <c r="A1720" i="51"/>
  <c r="B1720" i="51"/>
  <c r="C1720" i="51"/>
  <c r="D1720" i="51"/>
  <c r="E1720" i="51"/>
  <c r="F1720" i="51"/>
  <c r="G1720" i="51" a="1"/>
  <c r="G1720" i="51"/>
  <c r="H1720" i="51" a="1"/>
  <c r="H1720" i="51"/>
  <c r="I1720" i="51"/>
  <c r="J1720" i="51"/>
  <c r="K1720" i="51"/>
  <c r="L1720" i="51"/>
  <c r="A1721" i="51"/>
  <c r="B1721" i="51"/>
  <c r="C1721" i="51"/>
  <c r="D1721" i="51"/>
  <c r="E1721" i="51"/>
  <c r="F1721" i="51"/>
  <c r="G1721" i="51" a="1"/>
  <c r="G1721" i="51"/>
  <c r="H1721" i="51" a="1"/>
  <c r="H1721" i="51" s="1"/>
  <c r="I1721" i="51"/>
  <c r="J1721" i="51"/>
  <c r="K1721" i="51"/>
  <c r="L1721" i="51"/>
  <c r="A1722" i="51"/>
  <c r="B1722" i="51"/>
  <c r="C1722" i="51"/>
  <c r="D1722" i="51"/>
  <c r="E1722" i="51"/>
  <c r="F1722" i="51"/>
  <c r="G1722" i="51" a="1"/>
  <c r="G1722" i="51" s="1"/>
  <c r="H1722" i="51" a="1"/>
  <c r="H1722" i="51" s="1"/>
  <c r="I1722" i="51"/>
  <c r="J1722" i="51"/>
  <c r="K1722" i="51"/>
  <c r="L1722" i="51"/>
  <c r="A1723" i="51"/>
  <c r="B1723" i="51"/>
  <c r="C1723" i="51"/>
  <c r="D1723" i="51"/>
  <c r="E1723" i="51"/>
  <c r="F1723" i="51"/>
  <c r="G1723" i="51" a="1"/>
  <c r="G1723" i="51" s="1"/>
  <c r="H1723" i="51" a="1"/>
  <c r="H1723" i="51" s="1"/>
  <c r="I1723" i="51"/>
  <c r="J1723" i="51"/>
  <c r="K1723" i="51"/>
  <c r="L1723" i="51"/>
  <c r="A1724" i="51"/>
  <c r="B1724" i="51"/>
  <c r="C1724" i="51"/>
  <c r="D1724" i="51"/>
  <c r="E1724" i="51"/>
  <c r="F1724" i="51"/>
  <c r="G1724" i="51" a="1"/>
  <c r="G1724" i="51"/>
  <c r="H1724" i="51" a="1"/>
  <c r="H1724" i="51" s="1"/>
  <c r="I1724" i="51"/>
  <c r="J1724" i="51"/>
  <c r="K1724" i="51"/>
  <c r="L1724" i="51"/>
  <c r="A1725" i="51"/>
  <c r="B1725" i="51"/>
  <c r="C1725" i="51"/>
  <c r="D1725" i="51"/>
  <c r="E1725" i="51"/>
  <c r="F1725" i="51"/>
  <c r="G1725" i="51" a="1"/>
  <c r="G1725" i="51"/>
  <c r="H1725" i="51" a="1"/>
  <c r="H1725" i="51"/>
  <c r="I1725" i="51"/>
  <c r="J1725" i="51"/>
  <c r="K1725" i="51"/>
  <c r="L1725" i="51"/>
  <c r="A1726" i="51"/>
  <c r="B1726" i="51"/>
  <c r="C1726" i="51"/>
  <c r="D1726" i="51"/>
  <c r="E1726" i="51"/>
  <c r="F1726" i="51"/>
  <c r="G1726" i="51" a="1"/>
  <c r="G1726" i="51" s="1"/>
  <c r="H1726" i="51" a="1"/>
  <c r="H1726" i="51" s="1"/>
  <c r="I1726" i="51"/>
  <c r="J1726" i="51"/>
  <c r="K1726" i="51"/>
  <c r="L1726" i="51"/>
  <c r="A1727" i="51"/>
  <c r="B1727" i="51"/>
  <c r="C1727" i="51"/>
  <c r="D1727" i="51"/>
  <c r="E1727" i="51"/>
  <c r="F1727" i="51"/>
  <c r="G1727" i="51" a="1"/>
  <c r="G1727" i="51" s="1"/>
  <c r="H1727" i="51" a="1"/>
  <c r="H1727" i="51" s="1"/>
  <c r="I1727" i="51"/>
  <c r="J1727" i="51"/>
  <c r="K1727" i="51"/>
  <c r="L1727" i="51"/>
  <c r="A1728" i="51"/>
  <c r="B1728" i="51"/>
  <c r="C1728" i="51"/>
  <c r="D1728" i="51"/>
  <c r="E1728" i="51"/>
  <c r="F1728" i="51"/>
  <c r="G1728" i="51" a="1"/>
  <c r="G1728" i="51"/>
  <c r="H1728" i="51" a="1"/>
  <c r="H1728" i="51"/>
  <c r="I1728" i="51"/>
  <c r="J1728" i="51"/>
  <c r="K1728" i="51"/>
  <c r="L1728" i="51"/>
  <c r="A1729" i="51"/>
  <c r="B1729" i="51"/>
  <c r="C1729" i="51"/>
  <c r="D1729" i="51"/>
  <c r="E1729" i="51"/>
  <c r="F1729" i="51"/>
  <c r="G1729" i="51" a="1"/>
  <c r="G1729" i="51"/>
  <c r="H1729" i="51" a="1"/>
  <c r="H1729" i="51"/>
  <c r="I1729" i="51"/>
  <c r="J1729" i="51"/>
  <c r="K1729" i="51"/>
  <c r="L1729" i="51"/>
  <c r="A1730" i="51"/>
  <c r="B1730" i="51"/>
  <c r="C1730" i="51"/>
  <c r="D1730" i="51"/>
  <c r="E1730" i="51"/>
  <c r="F1730" i="51"/>
  <c r="G1730" i="51" a="1"/>
  <c r="G1730" i="51" s="1"/>
  <c r="H1730" i="51" a="1"/>
  <c r="H1730" i="51" s="1"/>
  <c r="I1730" i="51"/>
  <c r="J1730" i="51"/>
  <c r="K1730" i="51"/>
  <c r="L1730" i="51"/>
  <c r="A1731" i="51"/>
  <c r="B1731" i="51"/>
  <c r="C1731" i="51"/>
  <c r="D1731" i="51"/>
  <c r="E1731" i="51"/>
  <c r="F1731" i="51"/>
  <c r="G1731" i="51" a="1"/>
  <c r="G1731" i="51" s="1"/>
  <c r="H1731" i="51" a="1"/>
  <c r="H1731" i="51" s="1"/>
  <c r="I1731" i="51"/>
  <c r="J1731" i="51"/>
  <c r="K1731" i="51"/>
  <c r="L1731" i="51"/>
  <c r="A1732" i="51"/>
  <c r="B1732" i="51"/>
  <c r="C1732" i="51"/>
  <c r="D1732" i="51"/>
  <c r="E1732" i="51"/>
  <c r="F1732" i="51"/>
  <c r="G1732" i="51" a="1"/>
  <c r="G1732" i="51"/>
  <c r="H1732" i="51" a="1"/>
  <c r="H1732" i="51"/>
  <c r="I1732" i="51"/>
  <c r="J1732" i="51"/>
  <c r="K1732" i="51"/>
  <c r="L1732" i="51"/>
  <c r="A1733" i="51"/>
  <c r="B1733" i="51"/>
  <c r="C1733" i="51"/>
  <c r="D1733" i="51"/>
  <c r="E1733" i="51"/>
  <c r="F1733" i="51"/>
  <c r="G1733" i="51" a="1"/>
  <c r="G1733" i="51" s="1"/>
  <c r="H1733" i="51" a="1"/>
  <c r="H1733" i="51"/>
  <c r="I1733" i="51"/>
  <c r="J1733" i="51"/>
  <c r="K1733" i="51"/>
  <c r="L1733" i="51"/>
  <c r="A1734" i="51"/>
  <c r="B1734" i="51"/>
  <c r="C1734" i="51"/>
  <c r="D1734" i="51"/>
  <c r="E1734" i="51"/>
  <c r="F1734" i="51"/>
  <c r="G1734" i="51" a="1"/>
  <c r="G1734" i="51" s="1"/>
  <c r="H1734" i="51" a="1"/>
  <c r="H1734" i="51" s="1"/>
  <c r="I1734" i="51"/>
  <c r="J1734" i="51"/>
  <c r="K1734" i="51"/>
  <c r="L1734" i="51"/>
  <c r="A1735" i="51"/>
  <c r="B1735" i="51"/>
  <c r="C1735" i="51"/>
  <c r="D1735" i="51"/>
  <c r="E1735" i="51"/>
  <c r="F1735" i="51"/>
  <c r="G1735" i="51" a="1"/>
  <c r="G1735" i="51" s="1"/>
  <c r="H1735" i="51" a="1"/>
  <c r="H1735" i="51" s="1"/>
  <c r="I1735" i="51"/>
  <c r="J1735" i="51"/>
  <c r="K1735" i="51"/>
  <c r="L1735" i="51"/>
  <c r="A1736" i="51"/>
  <c r="B1736" i="51"/>
  <c r="C1736" i="51"/>
  <c r="D1736" i="51"/>
  <c r="E1736" i="51"/>
  <c r="F1736" i="51"/>
  <c r="G1736" i="51" a="1"/>
  <c r="G1736" i="51" s="1"/>
  <c r="H1736" i="51" a="1"/>
  <c r="H1736" i="51"/>
  <c r="I1736" i="51"/>
  <c r="J1736" i="51"/>
  <c r="K1736" i="51"/>
  <c r="L1736" i="51"/>
  <c r="A1737" i="51"/>
  <c r="B1737" i="51"/>
  <c r="C1737" i="51"/>
  <c r="D1737" i="51"/>
  <c r="E1737" i="51"/>
  <c r="F1737" i="51"/>
  <c r="G1737" i="51" a="1"/>
  <c r="G1737" i="51"/>
  <c r="H1737" i="51" a="1"/>
  <c r="H1737" i="51" s="1"/>
  <c r="I1737" i="51"/>
  <c r="J1737" i="51"/>
  <c r="K1737" i="51"/>
  <c r="L1737" i="51"/>
  <c r="A1738" i="51"/>
  <c r="B1738" i="51"/>
  <c r="C1738" i="51"/>
  <c r="D1738" i="51"/>
  <c r="E1738" i="51"/>
  <c r="F1738" i="51"/>
  <c r="G1738" i="51" a="1"/>
  <c r="G1738" i="51" s="1"/>
  <c r="H1738" i="51" a="1"/>
  <c r="H1738" i="51" s="1"/>
  <c r="I1738" i="51"/>
  <c r="J1738" i="51"/>
  <c r="K1738" i="51"/>
  <c r="L1738" i="51"/>
  <c r="A1739" i="51"/>
  <c r="B1739" i="51"/>
  <c r="C1739" i="51"/>
  <c r="D1739" i="51"/>
  <c r="E1739" i="51"/>
  <c r="F1739" i="51"/>
  <c r="G1739" i="51" a="1"/>
  <c r="G1739" i="51" s="1"/>
  <c r="H1739" i="51" a="1"/>
  <c r="H1739" i="51" s="1"/>
  <c r="I1739" i="51"/>
  <c r="J1739" i="51"/>
  <c r="K1739" i="51"/>
  <c r="L1739" i="51"/>
  <c r="A1740" i="51"/>
  <c r="B1740" i="51"/>
  <c r="C1740" i="51"/>
  <c r="D1740" i="51"/>
  <c r="E1740" i="51"/>
  <c r="F1740" i="51"/>
  <c r="G1740" i="51" a="1"/>
  <c r="G1740" i="51"/>
  <c r="H1740" i="51" a="1"/>
  <c r="H1740" i="51" s="1"/>
  <c r="I1740" i="51"/>
  <c r="J1740" i="51"/>
  <c r="K1740" i="51"/>
  <c r="L1740" i="51"/>
  <c r="A1741" i="51"/>
  <c r="B1741" i="51"/>
  <c r="C1741" i="51"/>
  <c r="D1741" i="51"/>
  <c r="E1741" i="51"/>
  <c r="F1741" i="51"/>
  <c r="G1741" i="51" a="1"/>
  <c r="G1741" i="51"/>
  <c r="H1741" i="51" a="1"/>
  <c r="H1741" i="51"/>
  <c r="I1741" i="51"/>
  <c r="J1741" i="51"/>
  <c r="K1741" i="51"/>
  <c r="L1741" i="51"/>
  <c r="A1742" i="51"/>
  <c r="B1742" i="51"/>
  <c r="C1742" i="51"/>
  <c r="D1742" i="51"/>
  <c r="E1742" i="51"/>
  <c r="F1742" i="51"/>
  <c r="G1742" i="51" a="1"/>
  <c r="G1742" i="51" s="1"/>
  <c r="H1742" i="51" a="1"/>
  <c r="H1742" i="51" s="1"/>
  <c r="I1742" i="51"/>
  <c r="J1742" i="51"/>
  <c r="K1742" i="51"/>
  <c r="L1742" i="51"/>
  <c r="A1743" i="51"/>
  <c r="B1743" i="51"/>
  <c r="C1743" i="51"/>
  <c r="D1743" i="51"/>
  <c r="E1743" i="51"/>
  <c r="F1743" i="51"/>
  <c r="G1743" i="51" a="1"/>
  <c r="G1743" i="51" s="1"/>
  <c r="H1743" i="51" a="1"/>
  <c r="H1743" i="51" s="1"/>
  <c r="I1743" i="51"/>
  <c r="J1743" i="51"/>
  <c r="K1743" i="51"/>
  <c r="L1743" i="51"/>
  <c r="A1744" i="51"/>
  <c r="B1744" i="51"/>
  <c r="C1744" i="51"/>
  <c r="D1744" i="51"/>
  <c r="E1744" i="51"/>
  <c r="F1744" i="51"/>
  <c r="G1744" i="51" a="1"/>
  <c r="G1744" i="51"/>
  <c r="H1744" i="51" a="1"/>
  <c r="H1744" i="51"/>
  <c r="I1744" i="51"/>
  <c r="J1744" i="51"/>
  <c r="K1744" i="51"/>
  <c r="L1744" i="51"/>
  <c r="A1745" i="51"/>
  <c r="B1745" i="51"/>
  <c r="C1745" i="51"/>
  <c r="D1745" i="51"/>
  <c r="E1745" i="51"/>
  <c r="F1745" i="51"/>
  <c r="G1745" i="51" a="1"/>
  <c r="G1745" i="51"/>
  <c r="H1745" i="51" a="1"/>
  <c r="H1745" i="51"/>
  <c r="I1745" i="51"/>
  <c r="J1745" i="51"/>
  <c r="K1745" i="51"/>
  <c r="L1745" i="51"/>
  <c r="A1746" i="51"/>
  <c r="B1746" i="51"/>
  <c r="C1746" i="51"/>
  <c r="D1746" i="51"/>
  <c r="E1746" i="51"/>
  <c r="F1746" i="51"/>
  <c r="G1746" i="51" a="1"/>
  <c r="G1746" i="51" s="1"/>
  <c r="H1746" i="51" a="1"/>
  <c r="H1746" i="51" s="1"/>
  <c r="I1746" i="51"/>
  <c r="J1746" i="51"/>
  <c r="K1746" i="51"/>
  <c r="L1746" i="51"/>
  <c r="A1747" i="51"/>
  <c r="B1747" i="51"/>
  <c r="C1747" i="51"/>
  <c r="D1747" i="51"/>
  <c r="E1747" i="51"/>
  <c r="F1747" i="51"/>
  <c r="G1747" i="51" a="1"/>
  <c r="G1747" i="51" s="1"/>
  <c r="H1747" i="51" a="1"/>
  <c r="H1747" i="51" s="1"/>
  <c r="I1747" i="51"/>
  <c r="J1747" i="51"/>
  <c r="K1747" i="51"/>
  <c r="L1747" i="51"/>
  <c r="A1748" i="51"/>
  <c r="B1748" i="51"/>
  <c r="C1748" i="51"/>
  <c r="D1748" i="51"/>
  <c r="E1748" i="51"/>
  <c r="F1748" i="51"/>
  <c r="G1748" i="51" a="1"/>
  <c r="G1748" i="51"/>
  <c r="H1748" i="51" a="1"/>
  <c r="H1748" i="51"/>
  <c r="I1748" i="51"/>
  <c r="J1748" i="51"/>
  <c r="K1748" i="51"/>
  <c r="L1748" i="51"/>
  <c r="A1749" i="51"/>
  <c r="B1749" i="51"/>
  <c r="C1749" i="51"/>
  <c r="D1749" i="51"/>
  <c r="E1749" i="51"/>
  <c r="F1749" i="51"/>
  <c r="G1749" i="51" a="1"/>
  <c r="G1749" i="51" s="1"/>
  <c r="H1749" i="51" a="1"/>
  <c r="H1749" i="51"/>
  <c r="I1749" i="51"/>
  <c r="J1749" i="51"/>
  <c r="K1749" i="51"/>
  <c r="L1749" i="51"/>
  <c r="A1750" i="51"/>
  <c r="B1750" i="51"/>
  <c r="C1750" i="51"/>
  <c r="D1750" i="51"/>
  <c r="E1750" i="51"/>
  <c r="F1750" i="51"/>
  <c r="G1750" i="51" a="1"/>
  <c r="G1750" i="51" s="1"/>
  <c r="H1750" i="51" a="1"/>
  <c r="H1750" i="51" s="1"/>
  <c r="I1750" i="51"/>
  <c r="J1750" i="51"/>
  <c r="K1750" i="51"/>
  <c r="L1750" i="51"/>
  <c r="A1751" i="51"/>
  <c r="B1751" i="51"/>
  <c r="C1751" i="51"/>
  <c r="D1751" i="51"/>
  <c r="E1751" i="51"/>
  <c r="F1751" i="51"/>
  <c r="G1751" i="51" a="1"/>
  <c r="G1751" i="51" s="1"/>
  <c r="H1751" i="51" a="1"/>
  <c r="H1751" i="51" s="1"/>
  <c r="I1751" i="51"/>
  <c r="J1751" i="51"/>
  <c r="K1751" i="51"/>
  <c r="L1751" i="51"/>
  <c r="A1752" i="51"/>
  <c r="B1752" i="51"/>
  <c r="C1752" i="51"/>
  <c r="D1752" i="51"/>
  <c r="E1752" i="51"/>
  <c r="F1752" i="51"/>
  <c r="G1752" i="51" a="1"/>
  <c r="G1752" i="51" s="1"/>
  <c r="H1752" i="51" a="1"/>
  <c r="H1752" i="51"/>
  <c r="I1752" i="51"/>
  <c r="J1752" i="51"/>
  <c r="K1752" i="51"/>
  <c r="L1752" i="51"/>
  <c r="A1753" i="51"/>
  <c r="B1753" i="51"/>
  <c r="C1753" i="51"/>
  <c r="D1753" i="51"/>
  <c r="E1753" i="51"/>
  <c r="F1753" i="51"/>
  <c r="G1753" i="51" a="1"/>
  <c r="G1753" i="51"/>
  <c r="H1753" i="51" a="1"/>
  <c r="H1753" i="51" s="1"/>
  <c r="I1753" i="51"/>
  <c r="J1753" i="51"/>
  <c r="K1753" i="51"/>
  <c r="L1753" i="51"/>
  <c r="A1754" i="51"/>
  <c r="B1754" i="51"/>
  <c r="C1754" i="51"/>
  <c r="D1754" i="51"/>
  <c r="E1754" i="51"/>
  <c r="F1754" i="51"/>
  <c r="G1754" i="51" a="1"/>
  <c r="G1754" i="51" s="1"/>
  <c r="H1754" i="51" a="1"/>
  <c r="H1754" i="51" s="1"/>
  <c r="I1754" i="51"/>
  <c r="J1754" i="51"/>
  <c r="K1754" i="51"/>
  <c r="L1754" i="51"/>
  <c r="A1755" i="51"/>
  <c r="B1755" i="51"/>
  <c r="C1755" i="51"/>
  <c r="D1755" i="51"/>
  <c r="E1755" i="51"/>
  <c r="F1755" i="51"/>
  <c r="G1755" i="51" a="1"/>
  <c r="G1755" i="51" s="1"/>
  <c r="H1755" i="51" a="1"/>
  <c r="H1755" i="51" s="1"/>
  <c r="I1755" i="51"/>
  <c r="J1755" i="51"/>
  <c r="K1755" i="51"/>
  <c r="L1755" i="51"/>
  <c r="A1756" i="51"/>
  <c r="B1756" i="51"/>
  <c r="C1756" i="51"/>
  <c r="D1756" i="51"/>
  <c r="E1756" i="51"/>
  <c r="F1756" i="51"/>
  <c r="G1756" i="51" a="1"/>
  <c r="G1756" i="51"/>
  <c r="H1756" i="51" a="1"/>
  <c r="H1756" i="51" s="1"/>
  <c r="I1756" i="51"/>
  <c r="J1756" i="51"/>
  <c r="K1756" i="51"/>
  <c r="L1756" i="51"/>
  <c r="A1757" i="51"/>
  <c r="B1757" i="51"/>
  <c r="C1757" i="51"/>
  <c r="D1757" i="51"/>
  <c r="E1757" i="51"/>
  <c r="F1757" i="51"/>
  <c r="G1757" i="51" a="1"/>
  <c r="G1757" i="51"/>
  <c r="H1757" i="51" a="1"/>
  <c r="H1757" i="51"/>
  <c r="I1757" i="51"/>
  <c r="J1757" i="51"/>
  <c r="K1757" i="51"/>
  <c r="L1757" i="51"/>
  <c r="A1758" i="51"/>
  <c r="B1758" i="51"/>
  <c r="C1758" i="51"/>
  <c r="D1758" i="51"/>
  <c r="E1758" i="51"/>
  <c r="F1758" i="51"/>
  <c r="G1758" i="51" a="1"/>
  <c r="G1758" i="51" s="1"/>
  <c r="H1758" i="51" a="1"/>
  <c r="H1758" i="51" s="1"/>
  <c r="I1758" i="51"/>
  <c r="J1758" i="51"/>
  <c r="K1758" i="51"/>
  <c r="L1758" i="51"/>
  <c r="A1759" i="51"/>
  <c r="B1759" i="51"/>
  <c r="C1759" i="51"/>
  <c r="D1759" i="51"/>
  <c r="E1759" i="51"/>
  <c r="F1759" i="51"/>
  <c r="G1759" i="51" a="1"/>
  <c r="G1759" i="51" s="1"/>
  <c r="H1759" i="51" a="1"/>
  <c r="H1759" i="51" s="1"/>
  <c r="I1759" i="51"/>
  <c r="J1759" i="51"/>
  <c r="K1759" i="51"/>
  <c r="L1759" i="51"/>
  <c r="A1760" i="51"/>
  <c r="B1760" i="51"/>
  <c r="C1760" i="51"/>
  <c r="D1760" i="51"/>
  <c r="E1760" i="51"/>
  <c r="F1760" i="51"/>
  <c r="G1760" i="51" a="1"/>
  <c r="G1760" i="51"/>
  <c r="H1760" i="51" a="1"/>
  <c r="H1760" i="51"/>
  <c r="I1760" i="51"/>
  <c r="J1760" i="51"/>
  <c r="K1760" i="51"/>
  <c r="L1760" i="51"/>
  <c r="A1761" i="51"/>
  <c r="B1761" i="51"/>
  <c r="C1761" i="51"/>
  <c r="D1761" i="51"/>
  <c r="E1761" i="51"/>
  <c r="F1761" i="51"/>
  <c r="G1761" i="51" a="1"/>
  <c r="G1761" i="51"/>
  <c r="H1761" i="51" a="1"/>
  <c r="H1761" i="51"/>
  <c r="I1761" i="51"/>
  <c r="J1761" i="51"/>
  <c r="K1761" i="51"/>
  <c r="L1761" i="51"/>
  <c r="A1762" i="51"/>
  <c r="B1762" i="51"/>
  <c r="C1762" i="51"/>
  <c r="D1762" i="51"/>
  <c r="E1762" i="51"/>
  <c r="F1762" i="51"/>
  <c r="G1762" i="51" a="1"/>
  <c r="G1762" i="51" s="1"/>
  <c r="H1762" i="51" a="1"/>
  <c r="H1762" i="51" s="1"/>
  <c r="I1762" i="51"/>
  <c r="J1762" i="51"/>
  <c r="K1762" i="51"/>
  <c r="L1762" i="51"/>
  <c r="A1763" i="51"/>
  <c r="B1763" i="51"/>
  <c r="C1763" i="51"/>
  <c r="D1763" i="51"/>
  <c r="E1763" i="51"/>
  <c r="F1763" i="51"/>
  <c r="G1763" i="51" a="1"/>
  <c r="G1763" i="51" s="1"/>
  <c r="H1763" i="51" a="1"/>
  <c r="H1763" i="51" s="1"/>
  <c r="I1763" i="51"/>
  <c r="J1763" i="51"/>
  <c r="K1763" i="51"/>
  <c r="L1763" i="51"/>
  <c r="A1764" i="51"/>
  <c r="B1764" i="51"/>
  <c r="C1764" i="51"/>
  <c r="D1764" i="51"/>
  <c r="E1764" i="51"/>
  <c r="F1764" i="51"/>
  <c r="G1764" i="51" a="1"/>
  <c r="G1764" i="51"/>
  <c r="H1764" i="51" a="1"/>
  <c r="H1764" i="51"/>
  <c r="I1764" i="51"/>
  <c r="J1764" i="51"/>
  <c r="K1764" i="51"/>
  <c r="L1764" i="51"/>
  <c r="A1765" i="51"/>
  <c r="B1765" i="51"/>
  <c r="C1765" i="51"/>
  <c r="D1765" i="51"/>
  <c r="E1765" i="51"/>
  <c r="F1765" i="51"/>
  <c r="G1765" i="51" a="1"/>
  <c r="G1765" i="51" s="1"/>
  <c r="H1765" i="51" a="1"/>
  <c r="H1765" i="51"/>
  <c r="I1765" i="51"/>
  <c r="J1765" i="51"/>
  <c r="K1765" i="51"/>
  <c r="L1765" i="51"/>
  <c r="A1766" i="51"/>
  <c r="B1766" i="51"/>
  <c r="C1766" i="51"/>
  <c r="D1766" i="51"/>
  <c r="E1766" i="51"/>
  <c r="F1766" i="51"/>
  <c r="G1766" i="51" a="1"/>
  <c r="G1766" i="51" s="1"/>
  <c r="H1766" i="51" a="1"/>
  <c r="H1766" i="51" s="1"/>
  <c r="I1766" i="51"/>
  <c r="J1766" i="51"/>
  <c r="K1766" i="51"/>
  <c r="L1766" i="51"/>
  <c r="A1767" i="51"/>
  <c r="B1767" i="51"/>
  <c r="C1767" i="51"/>
  <c r="D1767" i="51"/>
  <c r="E1767" i="51"/>
  <c r="F1767" i="51"/>
  <c r="G1767" i="51" a="1"/>
  <c r="G1767" i="51" s="1"/>
  <c r="H1767" i="51" a="1"/>
  <c r="H1767" i="51" s="1"/>
  <c r="I1767" i="51"/>
  <c r="J1767" i="51"/>
  <c r="K1767" i="51"/>
  <c r="L1767" i="51"/>
  <c r="A1768" i="51"/>
  <c r="B1768" i="51"/>
  <c r="C1768" i="51"/>
  <c r="D1768" i="51"/>
  <c r="E1768" i="51"/>
  <c r="F1768" i="51"/>
  <c r="G1768" i="51" a="1"/>
  <c r="G1768" i="51" s="1"/>
  <c r="H1768" i="51" a="1"/>
  <c r="H1768" i="51"/>
  <c r="I1768" i="51"/>
  <c r="J1768" i="51"/>
  <c r="K1768" i="51"/>
  <c r="L1768" i="51"/>
  <c r="A1769" i="51"/>
  <c r="B1769" i="51"/>
  <c r="C1769" i="51"/>
  <c r="D1769" i="51"/>
  <c r="E1769" i="51"/>
  <c r="F1769" i="51"/>
  <c r="G1769" i="51" a="1"/>
  <c r="G1769" i="51"/>
  <c r="H1769" i="51" a="1"/>
  <c r="H1769" i="51" s="1"/>
  <c r="I1769" i="51"/>
  <c r="J1769" i="51"/>
  <c r="K1769" i="51"/>
  <c r="L1769" i="51"/>
  <c r="A1770" i="51"/>
  <c r="B1770" i="51"/>
  <c r="C1770" i="51"/>
  <c r="D1770" i="51"/>
  <c r="E1770" i="51"/>
  <c r="F1770" i="51"/>
  <c r="G1770" i="51" a="1"/>
  <c r="G1770" i="51" s="1"/>
  <c r="H1770" i="51" a="1"/>
  <c r="H1770" i="51" s="1"/>
  <c r="I1770" i="51"/>
  <c r="J1770" i="51"/>
  <c r="K1770" i="51"/>
  <c r="L1770" i="51"/>
  <c r="A1771" i="51"/>
  <c r="B1771" i="51"/>
  <c r="C1771" i="51"/>
  <c r="D1771" i="51"/>
  <c r="E1771" i="51"/>
  <c r="F1771" i="51"/>
  <c r="G1771" i="51" a="1"/>
  <c r="G1771" i="51"/>
  <c r="H1771" i="51" a="1"/>
  <c r="H1771" i="51" s="1"/>
  <c r="I1771" i="51"/>
  <c r="J1771" i="51"/>
  <c r="K1771" i="51"/>
  <c r="L1771" i="51"/>
  <c r="A1772" i="51"/>
  <c r="B1772" i="51"/>
  <c r="C1772" i="51"/>
  <c r="D1772" i="51"/>
  <c r="E1772" i="51"/>
  <c r="F1772" i="51"/>
  <c r="G1772" i="51" a="1"/>
  <c r="G1772" i="51"/>
  <c r="H1772" i="51" a="1"/>
  <c r="H1772" i="51" s="1"/>
  <c r="I1772" i="51"/>
  <c r="J1772" i="51"/>
  <c r="K1772" i="51"/>
  <c r="L1772" i="51"/>
  <c r="A1773" i="51"/>
  <c r="B1773" i="51"/>
  <c r="C1773" i="51"/>
  <c r="D1773" i="51"/>
  <c r="E1773" i="51"/>
  <c r="F1773" i="51"/>
  <c r="G1773" i="51" a="1"/>
  <c r="G1773" i="51"/>
  <c r="H1773" i="51" a="1"/>
  <c r="H1773" i="51"/>
  <c r="I1773" i="51"/>
  <c r="J1773" i="51"/>
  <c r="K1773" i="51"/>
  <c r="L1773" i="51"/>
  <c r="A1774" i="51"/>
  <c r="B1774" i="51"/>
  <c r="C1774" i="51"/>
  <c r="D1774" i="51"/>
  <c r="E1774" i="51"/>
  <c r="F1774" i="51"/>
  <c r="G1774" i="51" a="1"/>
  <c r="G1774" i="51" s="1"/>
  <c r="H1774" i="51" a="1"/>
  <c r="H1774" i="51" s="1"/>
  <c r="I1774" i="51"/>
  <c r="J1774" i="51"/>
  <c r="K1774" i="51"/>
  <c r="L1774" i="51"/>
  <c r="A1775" i="51"/>
  <c r="B1775" i="51"/>
  <c r="C1775" i="51"/>
  <c r="D1775" i="51"/>
  <c r="E1775" i="51"/>
  <c r="F1775" i="51"/>
  <c r="G1775" i="51" a="1"/>
  <c r="G1775" i="51"/>
  <c r="H1775" i="51" a="1"/>
  <c r="H1775" i="51" s="1"/>
  <c r="I1775" i="51"/>
  <c r="J1775" i="51"/>
  <c r="K1775" i="51"/>
  <c r="L1775" i="51"/>
  <c r="A1776" i="51"/>
  <c r="B1776" i="51"/>
  <c r="C1776" i="51"/>
  <c r="D1776" i="51"/>
  <c r="E1776" i="51"/>
  <c r="F1776" i="51"/>
  <c r="G1776" i="51" a="1"/>
  <c r="G1776" i="51"/>
  <c r="H1776" i="51" a="1"/>
  <c r="H1776" i="51"/>
  <c r="I1776" i="51"/>
  <c r="J1776" i="51"/>
  <c r="K1776" i="51"/>
  <c r="L1776" i="51"/>
  <c r="A1777" i="51"/>
  <c r="B1777" i="51"/>
  <c r="C1777" i="51"/>
  <c r="D1777" i="51"/>
  <c r="E1777" i="51"/>
  <c r="F1777" i="51"/>
  <c r="G1777" i="51" a="1"/>
  <c r="G1777" i="51"/>
  <c r="H1777" i="51" a="1"/>
  <c r="H1777" i="51"/>
  <c r="I1777" i="51"/>
  <c r="J1777" i="51"/>
  <c r="K1777" i="51"/>
  <c r="L1777" i="51"/>
  <c r="A1778" i="51"/>
  <c r="B1778" i="51"/>
  <c r="C1778" i="51"/>
  <c r="D1778" i="51"/>
  <c r="E1778" i="51"/>
  <c r="F1778" i="51"/>
  <c r="G1778" i="51" a="1"/>
  <c r="G1778" i="51" s="1"/>
  <c r="H1778" i="51" a="1"/>
  <c r="H1778" i="51"/>
  <c r="I1778" i="51"/>
  <c r="J1778" i="51"/>
  <c r="K1778" i="51"/>
  <c r="L1778" i="51"/>
  <c r="A1779" i="51"/>
  <c r="B1779" i="51"/>
  <c r="C1779" i="51"/>
  <c r="D1779" i="51"/>
  <c r="E1779" i="51"/>
  <c r="F1779" i="51"/>
  <c r="G1779" i="51" a="1"/>
  <c r="G1779" i="51" s="1"/>
  <c r="H1779" i="51" a="1"/>
  <c r="H1779" i="51" s="1"/>
  <c r="I1779" i="51"/>
  <c r="J1779" i="51"/>
  <c r="K1779" i="51"/>
  <c r="L1779" i="51"/>
  <c r="A1780" i="51"/>
  <c r="B1780" i="51"/>
  <c r="C1780" i="51"/>
  <c r="D1780" i="51"/>
  <c r="E1780" i="51"/>
  <c r="F1780" i="51"/>
  <c r="G1780" i="51" a="1"/>
  <c r="G1780" i="51"/>
  <c r="H1780" i="51" a="1"/>
  <c r="H1780" i="51"/>
  <c r="I1780" i="51"/>
  <c r="J1780" i="51"/>
  <c r="K1780" i="51"/>
  <c r="L1780" i="51"/>
  <c r="A1781" i="51"/>
  <c r="B1781" i="51"/>
  <c r="C1781" i="51"/>
  <c r="D1781" i="51"/>
  <c r="E1781" i="51"/>
  <c r="F1781" i="51"/>
  <c r="G1781" i="51" a="1"/>
  <c r="G1781" i="51" s="1"/>
  <c r="H1781" i="51" a="1"/>
  <c r="H1781" i="51"/>
  <c r="I1781" i="51"/>
  <c r="J1781" i="51"/>
  <c r="K1781" i="51"/>
  <c r="L1781" i="51"/>
  <c r="A1782" i="51"/>
  <c r="B1782" i="51"/>
  <c r="C1782" i="51"/>
  <c r="D1782" i="51"/>
  <c r="E1782" i="51"/>
  <c r="F1782" i="51"/>
  <c r="G1782" i="51" a="1"/>
  <c r="G1782" i="51" s="1"/>
  <c r="H1782" i="51" a="1"/>
  <c r="H1782" i="51"/>
  <c r="I1782" i="51"/>
  <c r="J1782" i="51"/>
  <c r="K1782" i="51"/>
  <c r="L1782" i="51"/>
  <c r="A1783" i="51"/>
  <c r="B1783" i="51"/>
  <c r="C1783" i="51"/>
  <c r="D1783" i="51"/>
  <c r="E1783" i="51"/>
  <c r="F1783" i="51"/>
  <c r="G1783" i="51" a="1"/>
  <c r="G1783" i="51" s="1"/>
  <c r="H1783" i="51" a="1"/>
  <c r="H1783" i="51" s="1"/>
  <c r="I1783" i="51"/>
  <c r="J1783" i="51"/>
  <c r="K1783" i="51"/>
  <c r="L1783" i="51"/>
  <c r="A1784" i="51"/>
  <c r="B1784" i="51"/>
  <c r="C1784" i="51"/>
  <c r="D1784" i="51"/>
  <c r="E1784" i="51"/>
  <c r="F1784" i="51"/>
  <c r="G1784" i="51" a="1"/>
  <c r="G1784" i="51" s="1"/>
  <c r="H1784" i="51" a="1"/>
  <c r="H1784" i="51"/>
  <c r="I1784" i="51"/>
  <c r="J1784" i="51"/>
  <c r="K1784" i="51"/>
  <c r="L1784" i="51"/>
  <c r="A1785" i="51"/>
  <c r="B1785" i="51"/>
  <c r="C1785" i="51"/>
  <c r="D1785" i="51"/>
  <c r="E1785" i="51"/>
  <c r="F1785" i="51"/>
  <c r="G1785" i="51" a="1"/>
  <c r="G1785" i="51"/>
  <c r="H1785" i="51" a="1"/>
  <c r="H1785" i="51" s="1"/>
  <c r="I1785" i="51"/>
  <c r="J1785" i="51"/>
  <c r="K1785" i="51"/>
  <c r="L1785" i="51"/>
  <c r="A1786" i="51"/>
  <c r="B1786" i="51"/>
  <c r="C1786" i="51"/>
  <c r="D1786" i="51"/>
  <c r="E1786" i="51"/>
  <c r="F1786" i="51"/>
  <c r="G1786" i="51" a="1"/>
  <c r="G1786" i="51" s="1"/>
  <c r="H1786" i="51" a="1"/>
  <c r="H1786" i="51" s="1"/>
  <c r="I1786" i="51"/>
  <c r="J1786" i="51"/>
  <c r="K1786" i="51"/>
  <c r="L1786" i="51"/>
  <c r="A1787" i="51"/>
  <c r="B1787" i="51"/>
  <c r="C1787" i="51"/>
  <c r="D1787" i="51"/>
  <c r="E1787" i="51"/>
  <c r="F1787" i="51"/>
  <c r="G1787" i="51" a="1"/>
  <c r="G1787" i="51"/>
  <c r="H1787" i="51" a="1"/>
  <c r="H1787" i="51" s="1"/>
  <c r="I1787" i="51"/>
  <c r="J1787" i="51"/>
  <c r="K1787" i="51"/>
  <c r="L1787" i="51"/>
  <c r="A1788" i="51"/>
  <c r="B1788" i="51"/>
  <c r="C1788" i="51"/>
  <c r="D1788" i="51"/>
  <c r="E1788" i="51"/>
  <c r="F1788" i="51"/>
  <c r="G1788" i="51" a="1"/>
  <c r="G1788" i="51"/>
  <c r="H1788" i="51" a="1"/>
  <c r="H1788" i="51" s="1"/>
  <c r="I1788" i="51"/>
  <c r="J1788" i="51"/>
  <c r="K1788" i="51"/>
  <c r="L1788" i="51"/>
  <c r="A1789" i="51"/>
  <c r="B1789" i="51"/>
  <c r="C1789" i="51"/>
  <c r="D1789" i="51"/>
  <c r="E1789" i="51"/>
  <c r="F1789" i="51"/>
  <c r="G1789" i="51" a="1"/>
  <c r="G1789" i="51"/>
  <c r="H1789" i="51" a="1"/>
  <c r="H1789" i="51" s="1"/>
  <c r="I1789" i="51"/>
  <c r="J1789" i="51"/>
  <c r="K1789" i="51"/>
  <c r="L1789" i="51"/>
  <c r="A1790" i="51"/>
  <c r="B1790" i="51"/>
  <c r="C1790" i="51"/>
  <c r="D1790" i="51"/>
  <c r="E1790" i="51"/>
  <c r="F1790" i="51"/>
  <c r="G1790" i="51" a="1"/>
  <c r="G1790" i="51" s="1"/>
  <c r="H1790" i="51" a="1"/>
  <c r="H1790" i="51" s="1"/>
  <c r="I1790" i="51"/>
  <c r="J1790" i="51"/>
  <c r="K1790" i="51"/>
  <c r="L1790" i="51"/>
  <c r="A1791" i="51"/>
  <c r="B1791" i="51"/>
  <c r="C1791" i="51"/>
  <c r="D1791" i="51"/>
  <c r="E1791" i="51"/>
  <c r="F1791" i="51"/>
  <c r="G1791" i="51" a="1"/>
  <c r="G1791" i="51"/>
  <c r="H1791" i="51" a="1"/>
  <c r="H1791" i="51" s="1"/>
  <c r="I1791" i="51"/>
  <c r="J1791" i="51"/>
  <c r="K1791" i="51"/>
  <c r="L1791" i="51"/>
  <c r="A1792" i="51"/>
  <c r="B1792" i="51"/>
  <c r="C1792" i="51"/>
  <c r="D1792" i="51"/>
  <c r="E1792" i="51"/>
  <c r="F1792" i="51"/>
  <c r="G1792" i="51" a="1"/>
  <c r="G1792" i="51" s="1"/>
  <c r="H1792" i="51" a="1"/>
  <c r="H1792" i="51" s="1"/>
  <c r="I1792" i="51"/>
  <c r="J1792" i="51"/>
  <c r="K1792" i="51"/>
  <c r="L1792" i="51"/>
  <c r="A1793" i="51"/>
  <c r="B1793" i="51"/>
  <c r="C1793" i="51"/>
  <c r="D1793" i="51"/>
  <c r="E1793" i="51"/>
  <c r="F1793" i="51"/>
  <c r="G1793" i="51" a="1"/>
  <c r="G1793" i="51"/>
  <c r="H1793" i="51" a="1"/>
  <c r="H1793" i="51" s="1"/>
  <c r="I1793" i="51"/>
  <c r="J1793" i="51"/>
  <c r="K1793" i="51"/>
  <c r="L1793" i="51"/>
  <c r="A1794" i="51"/>
  <c r="B1794" i="51"/>
  <c r="C1794" i="51"/>
  <c r="D1794" i="51"/>
  <c r="E1794" i="51"/>
  <c r="F1794" i="51"/>
  <c r="G1794" i="51" a="1"/>
  <c r="G1794" i="51" s="1"/>
  <c r="H1794" i="51" a="1"/>
  <c r="H1794" i="51"/>
  <c r="I1794" i="51"/>
  <c r="J1794" i="51"/>
  <c r="K1794" i="51"/>
  <c r="L1794" i="51"/>
  <c r="A1795" i="51"/>
  <c r="B1795" i="51"/>
  <c r="C1795" i="51"/>
  <c r="D1795" i="51"/>
  <c r="E1795" i="51"/>
  <c r="F1795" i="51"/>
  <c r="G1795" i="51" a="1"/>
  <c r="G1795" i="51" s="1"/>
  <c r="H1795" i="51" a="1"/>
  <c r="H1795" i="51" s="1"/>
  <c r="I1795" i="51"/>
  <c r="J1795" i="51"/>
  <c r="K1795" i="51"/>
  <c r="L1795" i="51"/>
  <c r="A1796" i="51"/>
  <c r="B1796" i="51"/>
  <c r="C1796" i="51"/>
  <c r="D1796" i="51"/>
  <c r="E1796" i="51"/>
  <c r="F1796" i="51"/>
  <c r="G1796" i="51" a="1"/>
  <c r="G1796" i="51"/>
  <c r="H1796" i="51" a="1"/>
  <c r="H1796" i="51" s="1"/>
  <c r="I1796" i="51"/>
  <c r="J1796" i="51"/>
  <c r="K1796" i="51"/>
  <c r="L1796" i="51"/>
  <c r="A1797" i="51"/>
  <c r="B1797" i="51"/>
  <c r="C1797" i="51"/>
  <c r="D1797" i="51"/>
  <c r="E1797" i="51"/>
  <c r="F1797" i="51"/>
  <c r="G1797" i="51" a="1"/>
  <c r="G1797" i="51" s="1"/>
  <c r="H1797" i="51" a="1"/>
  <c r="H1797" i="51" s="1"/>
  <c r="I1797" i="51"/>
  <c r="J1797" i="51"/>
  <c r="K1797" i="51"/>
  <c r="L1797" i="51"/>
  <c r="A1798" i="51"/>
  <c r="B1798" i="51"/>
  <c r="C1798" i="51"/>
  <c r="D1798" i="51"/>
  <c r="E1798" i="51"/>
  <c r="F1798" i="51"/>
  <c r="G1798" i="51" a="1"/>
  <c r="G1798" i="51" s="1"/>
  <c r="H1798" i="51" a="1"/>
  <c r="H1798" i="51"/>
  <c r="I1798" i="51"/>
  <c r="J1798" i="51"/>
  <c r="K1798" i="51"/>
  <c r="L1798" i="51"/>
  <c r="A1799" i="51"/>
  <c r="B1799" i="51"/>
  <c r="C1799" i="51"/>
  <c r="D1799" i="51"/>
  <c r="E1799" i="51"/>
  <c r="F1799" i="51"/>
  <c r="G1799" i="51" a="1"/>
  <c r="G1799" i="51"/>
  <c r="H1799" i="51" a="1"/>
  <c r="H1799" i="51" s="1"/>
  <c r="I1799" i="51"/>
  <c r="J1799" i="51"/>
  <c r="K1799" i="51"/>
  <c r="L1799" i="51"/>
  <c r="A1800" i="51"/>
  <c r="B1800" i="51"/>
  <c r="C1800" i="51"/>
  <c r="D1800" i="51"/>
  <c r="E1800" i="51"/>
  <c r="F1800" i="51"/>
  <c r="G1800" i="51" a="1"/>
  <c r="G1800" i="51" s="1"/>
  <c r="H1800" i="51" a="1"/>
  <c r="H1800" i="51" s="1"/>
  <c r="I1800" i="51"/>
  <c r="J1800" i="51"/>
  <c r="K1800" i="51"/>
  <c r="L1800" i="51"/>
  <c r="A1801" i="51"/>
  <c r="B1801" i="51"/>
  <c r="C1801" i="51"/>
  <c r="D1801" i="51"/>
  <c r="E1801" i="51"/>
  <c r="F1801" i="51"/>
  <c r="G1801" i="51" a="1"/>
  <c r="G1801" i="51" s="1"/>
  <c r="H1801" i="51" a="1"/>
  <c r="H1801" i="51" s="1"/>
  <c r="I1801" i="51"/>
  <c r="J1801" i="51"/>
  <c r="K1801" i="51"/>
  <c r="L1801" i="51"/>
  <c r="A1802" i="51"/>
  <c r="B1802" i="51"/>
  <c r="C1802" i="51"/>
  <c r="D1802" i="51"/>
  <c r="E1802" i="51"/>
  <c r="F1802" i="51"/>
  <c r="G1802" i="51" a="1"/>
  <c r="G1802" i="51" s="1"/>
  <c r="H1802" i="51" a="1"/>
  <c r="H1802" i="51" s="1"/>
  <c r="I1802" i="51"/>
  <c r="J1802" i="51"/>
  <c r="K1802" i="51"/>
  <c r="L1802" i="51"/>
  <c r="A1803" i="51"/>
  <c r="B1803" i="51"/>
  <c r="C1803" i="51"/>
  <c r="D1803" i="51"/>
  <c r="E1803" i="51"/>
  <c r="F1803" i="51"/>
  <c r="G1803" i="51" a="1"/>
  <c r="G1803" i="51"/>
  <c r="H1803" i="51" a="1"/>
  <c r="H1803" i="51" s="1"/>
  <c r="I1803" i="51"/>
  <c r="J1803" i="51"/>
  <c r="K1803" i="51"/>
  <c r="L1803" i="51"/>
  <c r="A1804" i="51"/>
  <c r="B1804" i="51"/>
  <c r="C1804" i="51"/>
  <c r="D1804" i="51"/>
  <c r="E1804" i="51"/>
  <c r="F1804" i="51"/>
  <c r="G1804" i="51" a="1"/>
  <c r="G1804" i="51" s="1"/>
  <c r="H1804" i="51" a="1"/>
  <c r="H1804" i="51" s="1"/>
  <c r="I1804" i="51"/>
  <c r="J1804" i="51"/>
  <c r="K1804" i="51"/>
  <c r="L1804" i="51"/>
  <c r="A1805" i="51"/>
  <c r="B1805" i="51"/>
  <c r="C1805" i="51"/>
  <c r="D1805" i="51"/>
  <c r="E1805" i="51"/>
  <c r="F1805" i="51"/>
  <c r="G1805" i="51" a="1"/>
  <c r="G1805" i="51" s="1"/>
  <c r="H1805" i="51" a="1"/>
  <c r="H1805" i="51" s="1"/>
  <c r="I1805" i="51"/>
  <c r="J1805" i="51"/>
  <c r="K1805" i="51"/>
  <c r="L1805" i="51"/>
  <c r="A1806" i="51"/>
  <c r="B1806" i="51"/>
  <c r="C1806" i="51"/>
  <c r="D1806" i="51"/>
  <c r="E1806" i="51"/>
  <c r="F1806" i="51"/>
  <c r="G1806" i="51" a="1"/>
  <c r="G1806" i="51" s="1"/>
  <c r="H1806" i="51" a="1"/>
  <c r="H1806" i="51"/>
  <c r="I1806" i="51"/>
  <c r="J1806" i="51"/>
  <c r="K1806" i="51"/>
  <c r="L1806" i="51"/>
  <c r="A1807" i="51"/>
  <c r="B1807" i="51"/>
  <c r="C1807" i="51"/>
  <c r="D1807" i="51"/>
  <c r="E1807" i="51"/>
  <c r="F1807" i="51"/>
  <c r="G1807" i="51" a="1"/>
  <c r="G1807" i="51"/>
  <c r="H1807" i="51" a="1"/>
  <c r="H1807" i="51" s="1"/>
  <c r="I1807" i="51"/>
  <c r="J1807" i="51"/>
  <c r="K1807" i="51"/>
  <c r="L1807" i="51"/>
  <c r="A1808" i="51"/>
  <c r="B1808" i="51"/>
  <c r="C1808" i="51"/>
  <c r="D1808" i="51"/>
  <c r="E1808" i="51"/>
  <c r="F1808" i="51"/>
  <c r="G1808" i="51" a="1"/>
  <c r="G1808" i="51" s="1"/>
  <c r="H1808" i="51" a="1"/>
  <c r="H1808" i="51" s="1"/>
  <c r="I1808" i="51"/>
  <c r="J1808" i="51"/>
  <c r="K1808" i="51"/>
  <c r="L1808" i="51"/>
  <c r="A1809" i="51"/>
  <c r="B1809" i="51"/>
  <c r="C1809" i="51"/>
  <c r="D1809" i="51"/>
  <c r="E1809" i="51"/>
  <c r="F1809" i="51"/>
  <c r="G1809" i="51" a="1"/>
  <c r="G1809" i="51" s="1"/>
  <c r="H1809" i="51" a="1"/>
  <c r="H1809" i="51" s="1"/>
  <c r="I1809" i="51"/>
  <c r="J1809" i="51"/>
  <c r="K1809" i="51"/>
  <c r="L1809" i="51"/>
  <c r="A1810" i="51"/>
  <c r="B1810" i="51"/>
  <c r="C1810" i="51"/>
  <c r="D1810" i="51"/>
  <c r="E1810" i="51"/>
  <c r="F1810" i="51"/>
  <c r="G1810" i="51" a="1"/>
  <c r="G1810" i="51" s="1"/>
  <c r="H1810" i="51" a="1"/>
  <c r="H1810" i="51"/>
  <c r="I1810" i="51"/>
  <c r="J1810" i="51"/>
  <c r="K1810" i="51"/>
  <c r="L1810" i="51"/>
  <c r="A1811" i="51"/>
  <c r="B1811" i="51"/>
  <c r="C1811" i="51"/>
  <c r="D1811" i="51"/>
  <c r="E1811" i="51"/>
  <c r="F1811" i="51"/>
  <c r="G1811" i="51" a="1"/>
  <c r="G1811" i="51"/>
  <c r="H1811" i="51" a="1"/>
  <c r="H1811" i="51" s="1"/>
  <c r="I1811" i="51"/>
  <c r="J1811" i="51"/>
  <c r="K1811" i="51"/>
  <c r="L1811" i="51"/>
  <c r="A1812" i="51"/>
  <c r="B1812" i="51"/>
  <c r="C1812" i="51"/>
  <c r="D1812" i="51"/>
  <c r="E1812" i="51"/>
  <c r="F1812" i="51"/>
  <c r="G1812" i="51" a="1"/>
  <c r="G1812" i="51" s="1"/>
  <c r="H1812" i="51" a="1"/>
  <c r="H1812" i="51" s="1"/>
  <c r="I1812" i="51"/>
  <c r="J1812" i="51"/>
  <c r="K1812" i="51"/>
  <c r="L1812" i="51"/>
  <c r="A1813" i="51"/>
  <c r="B1813" i="51"/>
  <c r="C1813" i="51"/>
  <c r="D1813" i="51"/>
  <c r="E1813" i="51"/>
  <c r="F1813" i="51"/>
  <c r="G1813" i="51" a="1"/>
  <c r="G1813" i="51" s="1"/>
  <c r="H1813" i="51" a="1"/>
  <c r="H1813" i="51" s="1"/>
  <c r="I1813" i="51"/>
  <c r="J1813" i="51"/>
  <c r="K1813" i="51"/>
  <c r="L1813" i="51"/>
  <c r="A1814" i="51"/>
  <c r="B1814" i="51"/>
  <c r="C1814" i="51"/>
  <c r="D1814" i="51"/>
  <c r="E1814" i="51"/>
  <c r="F1814" i="51"/>
  <c r="G1814" i="51" a="1"/>
  <c r="G1814" i="51" s="1"/>
  <c r="H1814" i="51" a="1"/>
  <c r="H1814" i="51"/>
  <c r="I1814" i="51"/>
  <c r="J1814" i="51"/>
  <c r="K1814" i="51"/>
  <c r="L1814" i="51"/>
  <c r="A1815" i="51"/>
  <c r="B1815" i="51"/>
  <c r="C1815" i="51"/>
  <c r="D1815" i="51"/>
  <c r="E1815" i="51"/>
  <c r="F1815" i="51"/>
  <c r="G1815" i="51" a="1"/>
  <c r="G1815" i="51"/>
  <c r="H1815" i="51" a="1"/>
  <c r="H1815" i="51" s="1"/>
  <c r="I1815" i="51"/>
  <c r="J1815" i="51"/>
  <c r="K1815" i="51"/>
  <c r="L1815" i="51"/>
  <c r="A1816" i="51"/>
  <c r="B1816" i="51"/>
  <c r="C1816" i="51"/>
  <c r="D1816" i="51"/>
  <c r="E1816" i="51"/>
  <c r="F1816" i="51"/>
  <c r="G1816" i="51" a="1"/>
  <c r="G1816" i="51" s="1"/>
  <c r="H1816" i="51" a="1"/>
  <c r="H1816" i="51" s="1"/>
  <c r="I1816" i="51"/>
  <c r="J1816" i="51"/>
  <c r="K1816" i="51"/>
  <c r="L1816" i="51"/>
  <c r="A1817" i="51"/>
  <c r="B1817" i="51"/>
  <c r="C1817" i="51"/>
  <c r="D1817" i="51"/>
  <c r="E1817" i="51"/>
  <c r="F1817" i="51"/>
  <c r="G1817" i="51" a="1"/>
  <c r="G1817" i="51" s="1"/>
  <c r="H1817" i="51" a="1"/>
  <c r="H1817" i="51" s="1"/>
  <c r="I1817" i="51"/>
  <c r="J1817" i="51"/>
  <c r="K1817" i="51"/>
  <c r="L1817" i="51"/>
  <c r="A1818" i="51"/>
  <c r="B1818" i="51"/>
  <c r="C1818" i="51"/>
  <c r="D1818" i="51"/>
  <c r="E1818" i="51"/>
  <c r="F1818" i="51"/>
  <c r="G1818" i="51" a="1"/>
  <c r="G1818" i="51" s="1"/>
  <c r="H1818" i="51" a="1"/>
  <c r="H1818" i="51"/>
  <c r="I1818" i="51"/>
  <c r="J1818" i="51"/>
  <c r="K1818" i="51"/>
  <c r="L1818" i="51"/>
  <c r="A1819" i="51"/>
  <c r="B1819" i="51"/>
  <c r="C1819" i="51"/>
  <c r="D1819" i="51"/>
  <c r="E1819" i="51"/>
  <c r="F1819" i="51"/>
  <c r="G1819" i="51" a="1"/>
  <c r="G1819" i="51"/>
  <c r="H1819" i="51" a="1"/>
  <c r="H1819" i="51" s="1"/>
  <c r="I1819" i="51"/>
  <c r="J1819" i="51"/>
  <c r="K1819" i="51"/>
  <c r="L1819" i="51"/>
  <c r="A1820" i="51"/>
  <c r="B1820" i="51"/>
  <c r="C1820" i="51"/>
  <c r="D1820" i="51"/>
  <c r="E1820" i="51"/>
  <c r="F1820" i="51"/>
  <c r="G1820" i="51" a="1"/>
  <c r="G1820" i="51" s="1"/>
  <c r="H1820" i="51" a="1"/>
  <c r="H1820" i="51" s="1"/>
  <c r="I1820" i="51"/>
  <c r="J1820" i="51"/>
  <c r="K1820" i="51"/>
  <c r="L1820" i="51"/>
  <c r="A1821" i="51"/>
  <c r="B1821" i="51"/>
  <c r="C1821" i="51"/>
  <c r="D1821" i="51"/>
  <c r="E1821" i="51"/>
  <c r="F1821" i="51"/>
  <c r="G1821" i="51" a="1"/>
  <c r="G1821" i="51" s="1"/>
  <c r="H1821" i="51" a="1"/>
  <c r="H1821" i="51" s="1"/>
  <c r="I1821" i="51"/>
  <c r="J1821" i="51"/>
  <c r="K1821" i="51"/>
  <c r="L1821" i="51"/>
  <c r="A1822" i="51"/>
  <c r="B1822" i="51"/>
  <c r="C1822" i="51"/>
  <c r="D1822" i="51"/>
  <c r="E1822" i="51"/>
  <c r="F1822" i="51"/>
  <c r="G1822" i="51" a="1"/>
  <c r="G1822" i="51" s="1"/>
  <c r="H1822" i="51" a="1"/>
  <c r="H1822" i="51"/>
  <c r="I1822" i="51"/>
  <c r="J1822" i="51"/>
  <c r="K1822" i="51"/>
  <c r="L1822" i="51"/>
  <c r="A1823" i="51"/>
  <c r="B1823" i="51"/>
  <c r="C1823" i="51"/>
  <c r="D1823" i="51"/>
  <c r="E1823" i="51"/>
  <c r="F1823" i="51"/>
  <c r="G1823" i="51" a="1"/>
  <c r="G1823" i="51"/>
  <c r="H1823" i="51" a="1"/>
  <c r="H1823" i="51" s="1"/>
  <c r="I1823" i="51"/>
  <c r="J1823" i="51"/>
  <c r="K1823" i="51"/>
  <c r="L1823" i="51"/>
  <c r="A1824" i="51"/>
  <c r="B1824" i="51"/>
  <c r="C1824" i="51"/>
  <c r="D1824" i="51"/>
  <c r="E1824" i="51"/>
  <c r="F1824" i="51"/>
  <c r="G1824" i="51" a="1"/>
  <c r="G1824" i="51" s="1"/>
  <c r="H1824" i="51" a="1"/>
  <c r="H1824" i="51" s="1"/>
  <c r="I1824" i="51"/>
  <c r="J1824" i="51"/>
  <c r="K1824" i="51"/>
  <c r="L1824" i="51"/>
  <c r="A1825" i="51"/>
  <c r="B1825" i="51"/>
  <c r="C1825" i="51"/>
  <c r="D1825" i="51"/>
  <c r="E1825" i="51"/>
  <c r="F1825" i="51"/>
  <c r="G1825" i="51" a="1"/>
  <c r="G1825" i="51" s="1"/>
  <c r="H1825" i="51" a="1"/>
  <c r="H1825" i="51" s="1"/>
  <c r="I1825" i="51"/>
  <c r="J1825" i="51"/>
  <c r="K1825" i="51"/>
  <c r="L1825" i="51"/>
  <c r="A1826" i="51"/>
  <c r="B1826" i="51"/>
  <c r="C1826" i="51"/>
  <c r="D1826" i="51"/>
  <c r="E1826" i="51"/>
  <c r="F1826" i="51"/>
  <c r="G1826" i="51" a="1"/>
  <c r="G1826" i="51" s="1"/>
  <c r="H1826" i="51" a="1"/>
  <c r="H1826" i="51"/>
  <c r="I1826" i="51"/>
  <c r="J1826" i="51"/>
  <c r="K1826" i="51"/>
  <c r="L1826" i="51"/>
  <c r="A1827" i="51"/>
  <c r="B1827" i="51"/>
  <c r="C1827" i="51"/>
  <c r="D1827" i="51"/>
  <c r="E1827" i="51"/>
  <c r="F1827" i="51"/>
  <c r="G1827" i="51" a="1"/>
  <c r="G1827" i="51"/>
  <c r="H1827" i="51" a="1"/>
  <c r="H1827" i="51" s="1"/>
  <c r="I1827" i="51"/>
  <c r="J1827" i="51"/>
  <c r="K1827" i="51"/>
  <c r="L1827" i="51"/>
  <c r="A1828" i="51"/>
  <c r="B1828" i="51"/>
  <c r="C1828" i="51"/>
  <c r="D1828" i="51"/>
  <c r="E1828" i="51"/>
  <c r="F1828" i="51"/>
  <c r="G1828" i="51" a="1"/>
  <c r="G1828" i="51" s="1"/>
  <c r="H1828" i="51" a="1"/>
  <c r="H1828" i="51" s="1"/>
  <c r="I1828" i="51"/>
  <c r="J1828" i="51"/>
  <c r="K1828" i="51"/>
  <c r="L1828" i="51"/>
  <c r="A1829" i="51"/>
  <c r="B1829" i="51"/>
  <c r="C1829" i="51"/>
  <c r="D1829" i="51"/>
  <c r="E1829" i="51"/>
  <c r="F1829" i="51"/>
  <c r="G1829" i="51" a="1"/>
  <c r="G1829" i="51" s="1"/>
  <c r="H1829" i="51" a="1"/>
  <c r="H1829" i="51" s="1"/>
  <c r="I1829" i="51"/>
  <c r="J1829" i="51"/>
  <c r="K1829" i="51"/>
  <c r="L1829" i="51"/>
  <c r="A1830" i="51"/>
  <c r="B1830" i="51"/>
  <c r="C1830" i="51"/>
  <c r="D1830" i="51"/>
  <c r="E1830" i="51"/>
  <c r="F1830" i="51"/>
  <c r="G1830" i="51" a="1"/>
  <c r="G1830" i="51" s="1"/>
  <c r="H1830" i="51" a="1"/>
  <c r="H1830" i="51"/>
  <c r="I1830" i="51"/>
  <c r="J1830" i="51"/>
  <c r="K1830" i="51"/>
  <c r="L1830" i="51"/>
  <c r="A1831" i="51"/>
  <c r="B1831" i="51"/>
  <c r="C1831" i="51"/>
  <c r="D1831" i="51"/>
  <c r="E1831" i="51"/>
  <c r="F1831" i="51"/>
  <c r="G1831" i="51" a="1"/>
  <c r="G1831" i="51"/>
  <c r="H1831" i="51" a="1"/>
  <c r="H1831" i="51" s="1"/>
  <c r="I1831" i="51"/>
  <c r="J1831" i="51"/>
  <c r="K1831" i="51"/>
  <c r="L1831" i="51"/>
  <c r="A1832" i="51"/>
  <c r="B1832" i="51"/>
  <c r="C1832" i="51"/>
  <c r="D1832" i="51"/>
  <c r="E1832" i="51"/>
  <c r="F1832" i="51"/>
  <c r="G1832" i="51" a="1"/>
  <c r="G1832" i="51" s="1"/>
  <c r="H1832" i="51" a="1"/>
  <c r="H1832" i="51" s="1"/>
  <c r="I1832" i="51"/>
  <c r="J1832" i="51"/>
  <c r="K1832" i="51"/>
  <c r="L1832" i="51"/>
  <c r="A1833" i="51"/>
  <c r="B1833" i="51"/>
  <c r="C1833" i="51"/>
  <c r="D1833" i="51"/>
  <c r="E1833" i="51"/>
  <c r="F1833" i="51"/>
  <c r="G1833" i="51" a="1"/>
  <c r="G1833" i="51" s="1"/>
  <c r="H1833" i="51" a="1"/>
  <c r="H1833" i="51" s="1"/>
  <c r="I1833" i="51"/>
  <c r="J1833" i="51"/>
  <c r="K1833" i="51"/>
  <c r="L1833" i="51"/>
  <c r="A1834" i="51"/>
  <c r="B1834" i="51"/>
  <c r="C1834" i="51"/>
  <c r="D1834" i="51"/>
  <c r="E1834" i="51"/>
  <c r="F1834" i="51"/>
  <c r="G1834" i="51" a="1"/>
  <c r="G1834" i="51" s="1"/>
  <c r="H1834" i="51" a="1"/>
  <c r="H1834" i="51"/>
  <c r="I1834" i="51"/>
  <c r="J1834" i="51"/>
  <c r="K1834" i="51"/>
  <c r="L1834" i="51"/>
  <c r="A1835" i="51"/>
  <c r="B1835" i="51"/>
  <c r="C1835" i="51"/>
  <c r="D1835" i="51"/>
  <c r="E1835" i="51"/>
  <c r="F1835" i="51"/>
  <c r="G1835" i="51" a="1"/>
  <c r="G1835" i="51"/>
  <c r="H1835" i="51" a="1"/>
  <c r="H1835" i="51" s="1"/>
  <c r="I1835" i="51"/>
  <c r="J1835" i="51"/>
  <c r="K1835" i="51"/>
  <c r="L1835" i="51"/>
  <c r="A1836" i="51"/>
  <c r="B1836" i="51"/>
  <c r="C1836" i="51"/>
  <c r="D1836" i="51"/>
  <c r="E1836" i="51"/>
  <c r="F1836" i="51"/>
  <c r="G1836" i="51" a="1"/>
  <c r="G1836" i="51" s="1"/>
  <c r="H1836" i="51" a="1"/>
  <c r="H1836" i="51" s="1"/>
  <c r="I1836" i="51"/>
  <c r="J1836" i="51"/>
  <c r="K1836" i="51"/>
  <c r="L1836" i="51"/>
  <c r="A1837" i="51"/>
  <c r="B1837" i="51"/>
  <c r="C1837" i="51"/>
  <c r="D1837" i="51"/>
  <c r="E1837" i="51"/>
  <c r="F1837" i="51"/>
  <c r="G1837" i="51" a="1"/>
  <c r="G1837" i="51" s="1"/>
  <c r="H1837" i="51" a="1"/>
  <c r="H1837" i="51" s="1"/>
  <c r="I1837" i="51"/>
  <c r="J1837" i="51"/>
  <c r="K1837" i="51"/>
  <c r="L1837" i="51"/>
  <c r="A1838" i="51"/>
  <c r="B1838" i="51"/>
  <c r="C1838" i="51"/>
  <c r="D1838" i="51"/>
  <c r="E1838" i="51"/>
  <c r="F1838" i="51"/>
  <c r="G1838" i="51" a="1"/>
  <c r="G1838" i="51" s="1"/>
  <c r="H1838" i="51" a="1"/>
  <c r="H1838" i="51"/>
  <c r="I1838" i="51"/>
  <c r="J1838" i="51"/>
  <c r="K1838" i="51"/>
  <c r="L1838" i="51"/>
  <c r="A1839" i="51"/>
  <c r="B1839" i="51"/>
  <c r="C1839" i="51"/>
  <c r="D1839" i="51"/>
  <c r="E1839" i="51"/>
  <c r="F1839" i="51"/>
  <c r="G1839" i="51" a="1"/>
  <c r="G1839" i="51"/>
  <c r="H1839" i="51" a="1"/>
  <c r="H1839" i="51" s="1"/>
  <c r="I1839" i="51"/>
  <c r="J1839" i="51"/>
  <c r="K1839" i="51"/>
  <c r="L1839" i="51"/>
  <c r="A1840" i="51"/>
  <c r="B1840" i="51"/>
  <c r="C1840" i="51"/>
  <c r="D1840" i="51"/>
  <c r="E1840" i="51"/>
  <c r="F1840" i="51"/>
  <c r="G1840" i="51" a="1"/>
  <c r="G1840" i="51" s="1"/>
  <c r="H1840" i="51" a="1"/>
  <c r="H1840" i="51" s="1"/>
  <c r="I1840" i="51"/>
  <c r="J1840" i="51"/>
  <c r="K1840" i="51"/>
  <c r="L1840" i="51"/>
  <c r="A1841" i="51"/>
  <c r="B1841" i="51"/>
  <c r="C1841" i="51"/>
  <c r="D1841" i="51"/>
  <c r="E1841" i="51"/>
  <c r="F1841" i="51"/>
  <c r="G1841" i="51" a="1"/>
  <c r="G1841" i="51" s="1"/>
  <c r="H1841" i="51" a="1"/>
  <c r="H1841" i="51" s="1"/>
  <c r="I1841" i="51"/>
  <c r="J1841" i="51"/>
  <c r="K1841" i="51"/>
  <c r="L1841" i="51"/>
  <c r="A1842" i="51"/>
  <c r="B1842" i="51"/>
  <c r="C1842" i="51"/>
  <c r="D1842" i="51"/>
  <c r="E1842" i="51"/>
  <c r="F1842" i="51"/>
  <c r="G1842" i="51" a="1"/>
  <c r="G1842" i="51" s="1"/>
  <c r="H1842" i="51" a="1"/>
  <c r="H1842" i="51"/>
  <c r="I1842" i="51"/>
  <c r="J1842" i="51"/>
  <c r="K1842" i="51"/>
  <c r="L1842" i="51"/>
  <c r="A1843" i="51"/>
  <c r="B1843" i="51"/>
  <c r="C1843" i="51"/>
  <c r="D1843" i="51"/>
  <c r="E1843" i="51"/>
  <c r="F1843" i="51"/>
  <c r="G1843" i="51" a="1"/>
  <c r="G1843" i="51"/>
  <c r="H1843" i="51" a="1"/>
  <c r="H1843" i="51" s="1"/>
  <c r="I1843" i="51"/>
  <c r="J1843" i="51"/>
  <c r="K1843" i="51"/>
  <c r="L1843" i="51"/>
  <c r="A1844" i="51"/>
  <c r="B1844" i="51"/>
  <c r="C1844" i="51"/>
  <c r="D1844" i="51"/>
  <c r="E1844" i="51"/>
  <c r="F1844" i="51"/>
  <c r="G1844" i="51" a="1"/>
  <c r="G1844" i="51" s="1"/>
  <c r="H1844" i="51" a="1"/>
  <c r="H1844" i="51" s="1"/>
  <c r="I1844" i="51"/>
  <c r="J1844" i="51"/>
  <c r="K1844" i="51"/>
  <c r="L1844" i="51"/>
  <c r="A1845" i="51"/>
  <c r="B1845" i="51"/>
  <c r="C1845" i="51"/>
  <c r="D1845" i="51"/>
  <c r="E1845" i="51"/>
  <c r="F1845" i="51"/>
  <c r="G1845" i="51" a="1"/>
  <c r="G1845" i="51" s="1"/>
  <c r="H1845" i="51" a="1"/>
  <c r="H1845" i="51" s="1"/>
  <c r="I1845" i="51"/>
  <c r="J1845" i="51"/>
  <c r="K1845" i="51"/>
  <c r="L1845" i="51"/>
  <c r="A1846" i="51"/>
  <c r="B1846" i="51"/>
  <c r="C1846" i="51"/>
  <c r="D1846" i="51"/>
  <c r="E1846" i="51"/>
  <c r="F1846" i="51"/>
  <c r="G1846" i="51" a="1"/>
  <c r="G1846" i="51" s="1"/>
  <c r="H1846" i="51" a="1"/>
  <c r="H1846" i="51"/>
  <c r="I1846" i="51"/>
  <c r="J1846" i="51"/>
  <c r="K1846" i="51"/>
  <c r="L1846" i="51"/>
  <c r="A1847" i="51"/>
  <c r="B1847" i="51"/>
  <c r="C1847" i="51"/>
  <c r="D1847" i="51"/>
  <c r="E1847" i="51"/>
  <c r="F1847" i="51"/>
  <c r="G1847" i="51" a="1"/>
  <c r="G1847" i="51"/>
  <c r="H1847" i="51" a="1"/>
  <c r="H1847" i="51" s="1"/>
  <c r="I1847" i="51"/>
  <c r="J1847" i="51"/>
  <c r="K1847" i="51"/>
  <c r="L1847" i="51"/>
  <c r="A1848" i="51"/>
  <c r="B1848" i="51"/>
  <c r="C1848" i="51"/>
  <c r="D1848" i="51"/>
  <c r="E1848" i="51"/>
  <c r="F1848" i="51"/>
  <c r="G1848" i="51" a="1"/>
  <c r="G1848" i="51" s="1"/>
  <c r="H1848" i="51" a="1"/>
  <c r="H1848" i="51" s="1"/>
  <c r="I1848" i="51"/>
  <c r="J1848" i="51"/>
  <c r="K1848" i="51"/>
  <c r="L1848" i="51"/>
  <c r="A1849" i="51"/>
  <c r="B1849" i="51"/>
  <c r="C1849" i="51"/>
  <c r="D1849" i="51"/>
  <c r="E1849" i="51"/>
  <c r="F1849" i="51"/>
  <c r="G1849" i="51" a="1"/>
  <c r="G1849" i="51" s="1"/>
  <c r="H1849" i="51" a="1"/>
  <c r="H1849" i="51" s="1"/>
  <c r="I1849" i="51"/>
  <c r="J1849" i="51"/>
  <c r="K1849" i="51"/>
  <c r="L1849" i="51"/>
  <c r="A1850" i="51"/>
  <c r="B1850" i="51"/>
  <c r="C1850" i="51"/>
  <c r="D1850" i="51"/>
  <c r="E1850" i="51"/>
  <c r="F1850" i="51"/>
  <c r="G1850" i="51" a="1"/>
  <c r="G1850" i="51" s="1"/>
  <c r="H1850" i="51" a="1"/>
  <c r="H1850" i="51"/>
  <c r="I1850" i="51"/>
  <c r="J1850" i="51"/>
  <c r="K1850" i="51"/>
  <c r="L1850" i="51"/>
  <c r="A1851" i="51"/>
  <c r="B1851" i="51"/>
  <c r="C1851" i="51"/>
  <c r="D1851" i="51"/>
  <c r="E1851" i="51"/>
  <c r="F1851" i="51"/>
  <c r="G1851" i="51" a="1"/>
  <c r="G1851" i="51"/>
  <c r="H1851" i="51" a="1"/>
  <c r="H1851" i="51" s="1"/>
  <c r="I1851" i="51"/>
  <c r="J1851" i="51"/>
  <c r="K1851" i="51"/>
  <c r="L1851" i="51"/>
  <c r="A1852" i="51"/>
  <c r="B1852" i="51"/>
  <c r="C1852" i="51"/>
  <c r="D1852" i="51"/>
  <c r="E1852" i="51"/>
  <c r="F1852" i="51"/>
  <c r="G1852" i="51" a="1"/>
  <c r="G1852" i="51" s="1"/>
  <c r="H1852" i="51" a="1"/>
  <c r="H1852" i="51" s="1"/>
  <c r="I1852" i="51"/>
  <c r="J1852" i="51"/>
  <c r="K1852" i="51"/>
  <c r="L1852" i="51"/>
  <c r="A1853" i="51"/>
  <c r="B1853" i="51"/>
  <c r="C1853" i="51"/>
  <c r="D1853" i="51"/>
  <c r="E1853" i="51"/>
  <c r="F1853" i="51"/>
  <c r="G1853" i="51" a="1"/>
  <c r="G1853" i="51" s="1"/>
  <c r="H1853" i="51" a="1"/>
  <c r="H1853" i="51" s="1"/>
  <c r="I1853" i="51"/>
  <c r="J1853" i="51"/>
  <c r="K1853" i="51"/>
  <c r="L1853" i="51"/>
  <c r="A1854" i="51"/>
  <c r="B1854" i="51"/>
  <c r="C1854" i="51"/>
  <c r="D1854" i="51"/>
  <c r="E1854" i="51"/>
  <c r="F1854" i="51"/>
  <c r="G1854" i="51" a="1"/>
  <c r="G1854" i="51" s="1"/>
  <c r="H1854" i="51" a="1"/>
  <c r="H1854" i="51"/>
  <c r="I1854" i="51"/>
  <c r="J1854" i="51"/>
  <c r="K1854" i="51"/>
  <c r="L1854" i="51"/>
  <c r="A1855" i="51"/>
  <c r="B1855" i="51"/>
  <c r="C1855" i="51"/>
  <c r="D1855" i="51"/>
  <c r="E1855" i="51"/>
  <c r="F1855" i="51"/>
  <c r="G1855" i="51" a="1"/>
  <c r="G1855" i="51"/>
  <c r="H1855" i="51" a="1"/>
  <c r="H1855" i="51" s="1"/>
  <c r="I1855" i="51"/>
  <c r="J1855" i="51"/>
  <c r="K1855" i="51"/>
  <c r="L1855" i="51"/>
  <c r="A1856" i="51"/>
  <c r="B1856" i="51"/>
  <c r="C1856" i="51"/>
  <c r="D1856" i="51"/>
  <c r="E1856" i="51"/>
  <c r="F1856" i="51"/>
  <c r="G1856" i="51" a="1"/>
  <c r="G1856" i="51" s="1"/>
  <c r="H1856" i="51" a="1"/>
  <c r="H1856" i="51" s="1"/>
  <c r="I1856" i="51"/>
  <c r="J1856" i="51"/>
  <c r="K1856" i="51"/>
  <c r="L1856" i="51"/>
  <c r="A1857" i="51"/>
  <c r="B1857" i="51"/>
  <c r="C1857" i="51"/>
  <c r="D1857" i="51"/>
  <c r="E1857" i="51"/>
  <c r="F1857" i="51"/>
  <c r="G1857" i="51" a="1"/>
  <c r="G1857" i="51" s="1"/>
  <c r="H1857" i="51" a="1"/>
  <c r="H1857" i="51" s="1"/>
  <c r="I1857" i="51"/>
  <c r="J1857" i="51"/>
  <c r="K1857" i="51"/>
  <c r="L1857" i="51"/>
  <c r="A1858" i="51"/>
  <c r="B1858" i="51"/>
  <c r="C1858" i="51"/>
  <c r="D1858" i="51"/>
  <c r="E1858" i="51"/>
  <c r="F1858" i="51"/>
  <c r="G1858" i="51" a="1"/>
  <c r="G1858" i="51" s="1"/>
  <c r="H1858" i="51" a="1"/>
  <c r="H1858" i="51"/>
  <c r="I1858" i="51"/>
  <c r="J1858" i="51"/>
  <c r="K1858" i="51"/>
  <c r="L1858" i="51"/>
  <c r="A1859" i="51"/>
  <c r="B1859" i="51"/>
  <c r="C1859" i="51"/>
  <c r="D1859" i="51"/>
  <c r="E1859" i="51"/>
  <c r="F1859" i="51"/>
  <c r="G1859" i="51" a="1"/>
  <c r="G1859" i="51"/>
  <c r="H1859" i="51" a="1"/>
  <c r="H1859" i="51" s="1"/>
  <c r="I1859" i="51"/>
  <c r="J1859" i="51"/>
  <c r="K1859" i="51"/>
  <c r="L1859" i="51"/>
  <c r="A1860" i="51"/>
  <c r="B1860" i="51"/>
  <c r="C1860" i="51"/>
  <c r="D1860" i="51"/>
  <c r="E1860" i="51"/>
  <c r="F1860" i="51"/>
  <c r="G1860" i="51" a="1"/>
  <c r="G1860" i="51" s="1"/>
  <c r="H1860" i="51" a="1"/>
  <c r="H1860" i="51" s="1"/>
  <c r="I1860" i="51"/>
  <c r="J1860" i="51"/>
  <c r="K1860" i="51"/>
  <c r="L1860" i="51"/>
  <c r="A1861" i="51"/>
  <c r="B1861" i="51"/>
  <c r="C1861" i="51"/>
  <c r="D1861" i="51"/>
  <c r="E1861" i="51"/>
  <c r="F1861" i="51"/>
  <c r="G1861" i="51" a="1"/>
  <c r="G1861" i="51" s="1"/>
  <c r="H1861" i="51" a="1"/>
  <c r="H1861" i="51" s="1"/>
  <c r="I1861" i="51"/>
  <c r="J1861" i="51"/>
  <c r="K1861" i="51"/>
  <c r="L1861" i="51"/>
  <c r="A1862" i="51"/>
  <c r="B1862" i="51"/>
  <c r="C1862" i="51"/>
  <c r="D1862" i="51"/>
  <c r="E1862" i="51"/>
  <c r="F1862" i="51"/>
  <c r="G1862" i="51" a="1"/>
  <c r="G1862" i="51" s="1"/>
  <c r="H1862" i="51" a="1"/>
  <c r="H1862" i="51"/>
  <c r="I1862" i="51"/>
  <c r="J1862" i="51"/>
  <c r="K1862" i="51"/>
  <c r="L1862" i="51"/>
  <c r="A1863" i="51"/>
  <c r="B1863" i="51"/>
  <c r="C1863" i="51"/>
  <c r="D1863" i="51"/>
  <c r="E1863" i="51"/>
  <c r="F1863" i="51"/>
  <c r="G1863" i="51" a="1"/>
  <c r="G1863" i="51"/>
  <c r="H1863" i="51" a="1"/>
  <c r="H1863" i="51" s="1"/>
  <c r="I1863" i="51"/>
  <c r="J1863" i="51"/>
  <c r="K1863" i="51"/>
  <c r="L1863" i="51"/>
  <c r="A1864" i="51"/>
  <c r="B1864" i="51"/>
  <c r="C1864" i="51"/>
  <c r="D1864" i="51"/>
  <c r="E1864" i="51"/>
  <c r="F1864" i="51"/>
  <c r="G1864" i="51" a="1"/>
  <c r="G1864" i="51" s="1"/>
  <c r="H1864" i="51" a="1"/>
  <c r="H1864" i="51" s="1"/>
  <c r="I1864" i="51"/>
  <c r="J1864" i="51"/>
  <c r="K1864" i="51"/>
  <c r="L1864" i="51"/>
  <c r="A1865" i="51"/>
  <c r="B1865" i="51"/>
  <c r="C1865" i="51"/>
  <c r="D1865" i="51"/>
  <c r="E1865" i="51"/>
  <c r="F1865" i="51"/>
  <c r="G1865" i="51" a="1"/>
  <c r="G1865" i="51" s="1"/>
  <c r="H1865" i="51" a="1"/>
  <c r="H1865" i="51" s="1"/>
  <c r="I1865" i="51"/>
  <c r="J1865" i="51"/>
  <c r="K1865" i="51"/>
  <c r="L1865" i="51"/>
  <c r="A1866" i="51"/>
  <c r="B1866" i="51"/>
  <c r="C1866" i="51"/>
  <c r="D1866" i="51"/>
  <c r="E1866" i="51"/>
  <c r="F1866" i="51"/>
  <c r="G1866" i="51" a="1"/>
  <c r="G1866" i="51" s="1"/>
  <c r="H1866" i="51" a="1"/>
  <c r="H1866" i="51"/>
  <c r="I1866" i="51"/>
  <c r="J1866" i="51"/>
  <c r="K1866" i="51"/>
  <c r="L1866" i="51"/>
  <c r="A1867" i="51"/>
  <c r="B1867" i="51"/>
  <c r="C1867" i="51"/>
  <c r="D1867" i="51"/>
  <c r="E1867" i="51"/>
  <c r="F1867" i="51"/>
  <c r="G1867" i="51" a="1"/>
  <c r="G1867" i="51"/>
  <c r="H1867" i="51" a="1"/>
  <c r="H1867" i="51" s="1"/>
  <c r="I1867" i="51"/>
  <c r="J1867" i="51"/>
  <c r="K1867" i="51"/>
  <c r="L1867" i="51"/>
  <c r="A1868" i="51"/>
  <c r="B1868" i="51"/>
  <c r="C1868" i="51"/>
  <c r="D1868" i="51"/>
  <c r="E1868" i="51"/>
  <c r="F1868" i="51"/>
  <c r="G1868" i="51" a="1"/>
  <c r="G1868" i="51" s="1"/>
  <c r="H1868" i="51" a="1"/>
  <c r="H1868" i="51" s="1"/>
  <c r="I1868" i="51"/>
  <c r="J1868" i="51"/>
  <c r="K1868" i="51"/>
  <c r="L1868" i="51"/>
  <c r="A1869" i="51"/>
  <c r="B1869" i="51"/>
  <c r="C1869" i="51"/>
  <c r="D1869" i="51"/>
  <c r="E1869" i="51"/>
  <c r="F1869" i="51"/>
  <c r="G1869" i="51" a="1"/>
  <c r="G1869" i="51" s="1"/>
  <c r="H1869" i="51" a="1"/>
  <c r="H1869" i="51" s="1"/>
  <c r="I1869" i="51"/>
  <c r="J1869" i="51"/>
  <c r="K1869" i="51"/>
  <c r="L1869" i="51"/>
  <c r="A1870" i="51"/>
  <c r="B1870" i="51"/>
  <c r="C1870" i="51"/>
  <c r="D1870" i="51"/>
  <c r="E1870" i="51"/>
  <c r="F1870" i="51"/>
  <c r="G1870" i="51" a="1"/>
  <c r="G1870" i="51" s="1"/>
  <c r="H1870" i="51" a="1"/>
  <c r="H1870" i="51"/>
  <c r="I1870" i="51"/>
  <c r="J1870" i="51"/>
  <c r="K1870" i="51"/>
  <c r="L1870" i="51"/>
  <c r="A1871" i="51"/>
  <c r="B1871" i="51"/>
  <c r="C1871" i="51"/>
  <c r="D1871" i="51"/>
  <c r="E1871" i="51"/>
  <c r="F1871" i="51"/>
  <c r="G1871" i="51" a="1"/>
  <c r="G1871" i="51"/>
  <c r="H1871" i="51" a="1"/>
  <c r="H1871" i="51" s="1"/>
  <c r="I1871" i="51"/>
  <c r="J1871" i="51"/>
  <c r="K1871" i="51"/>
  <c r="L1871" i="51"/>
  <c r="A1872" i="51"/>
  <c r="B1872" i="51"/>
  <c r="C1872" i="51"/>
  <c r="D1872" i="51"/>
  <c r="E1872" i="51"/>
  <c r="F1872" i="51"/>
  <c r="G1872" i="51" a="1"/>
  <c r="G1872" i="51" s="1"/>
  <c r="H1872" i="51" a="1"/>
  <c r="H1872" i="51" s="1"/>
  <c r="I1872" i="51"/>
  <c r="J1872" i="51"/>
  <c r="K1872" i="51"/>
  <c r="L1872" i="51"/>
  <c r="A1873" i="51"/>
  <c r="B1873" i="51"/>
  <c r="C1873" i="51"/>
  <c r="D1873" i="51"/>
  <c r="E1873" i="51"/>
  <c r="F1873" i="51"/>
  <c r="G1873" i="51" a="1"/>
  <c r="G1873" i="51" s="1"/>
  <c r="H1873" i="51" a="1"/>
  <c r="H1873" i="51" s="1"/>
  <c r="I1873" i="51"/>
  <c r="J1873" i="51"/>
  <c r="K1873" i="51"/>
  <c r="L1873" i="51"/>
  <c r="A1874" i="51"/>
  <c r="B1874" i="51"/>
  <c r="C1874" i="51"/>
  <c r="D1874" i="51"/>
  <c r="E1874" i="51"/>
  <c r="F1874" i="51"/>
  <c r="G1874" i="51" a="1"/>
  <c r="G1874" i="51" s="1"/>
  <c r="H1874" i="51" a="1"/>
  <c r="H1874" i="51"/>
  <c r="I1874" i="51"/>
  <c r="J1874" i="51"/>
  <c r="K1874" i="51"/>
  <c r="L1874" i="51"/>
  <c r="A1875" i="51"/>
  <c r="B1875" i="51"/>
  <c r="C1875" i="51"/>
  <c r="D1875" i="51"/>
  <c r="E1875" i="51"/>
  <c r="F1875" i="51"/>
  <c r="G1875" i="51" a="1"/>
  <c r="G1875" i="51"/>
  <c r="H1875" i="51" a="1"/>
  <c r="H1875" i="51" s="1"/>
  <c r="I1875" i="51"/>
  <c r="J1875" i="51"/>
  <c r="K1875" i="51"/>
  <c r="L1875" i="51"/>
  <c r="A1876" i="51"/>
  <c r="B1876" i="51"/>
  <c r="C1876" i="51"/>
  <c r="D1876" i="51"/>
  <c r="E1876" i="51"/>
  <c r="F1876" i="51"/>
  <c r="G1876" i="51" a="1"/>
  <c r="G1876" i="51" s="1"/>
  <c r="H1876" i="51" a="1"/>
  <c r="H1876" i="51" s="1"/>
  <c r="I1876" i="51"/>
  <c r="J1876" i="51"/>
  <c r="K1876" i="51"/>
  <c r="L1876" i="51"/>
  <c r="A1877" i="51"/>
  <c r="B1877" i="51"/>
  <c r="C1877" i="51"/>
  <c r="D1877" i="51"/>
  <c r="E1877" i="51"/>
  <c r="F1877" i="51"/>
  <c r="G1877" i="51" a="1"/>
  <c r="G1877" i="51" s="1"/>
  <c r="H1877" i="51" a="1"/>
  <c r="H1877" i="51" s="1"/>
  <c r="I1877" i="51"/>
  <c r="J1877" i="51"/>
  <c r="K1877" i="51"/>
  <c r="L1877" i="51"/>
  <c r="A1878" i="51"/>
  <c r="B1878" i="51"/>
  <c r="C1878" i="51"/>
  <c r="D1878" i="51"/>
  <c r="E1878" i="51"/>
  <c r="F1878" i="51"/>
  <c r="G1878" i="51" a="1"/>
  <c r="G1878" i="51" s="1"/>
  <c r="H1878" i="51" a="1"/>
  <c r="H1878" i="51"/>
  <c r="I1878" i="51"/>
  <c r="J1878" i="51"/>
  <c r="K1878" i="51"/>
  <c r="L1878" i="51"/>
  <c r="A1879" i="51"/>
  <c r="B1879" i="51"/>
  <c r="C1879" i="51"/>
  <c r="D1879" i="51"/>
  <c r="E1879" i="51"/>
  <c r="F1879" i="51"/>
  <c r="G1879" i="51" a="1"/>
  <c r="G1879" i="51"/>
  <c r="H1879" i="51" a="1"/>
  <c r="H1879" i="51" s="1"/>
  <c r="I1879" i="51"/>
  <c r="J1879" i="51"/>
  <c r="K1879" i="51"/>
  <c r="L1879" i="51"/>
  <c r="A1880" i="51"/>
  <c r="B1880" i="51"/>
  <c r="C1880" i="51"/>
  <c r="D1880" i="51"/>
  <c r="E1880" i="51"/>
  <c r="F1880" i="51"/>
  <c r="G1880" i="51" a="1"/>
  <c r="G1880" i="51" s="1"/>
  <c r="H1880" i="51" a="1"/>
  <c r="H1880" i="51" s="1"/>
  <c r="I1880" i="51"/>
  <c r="J1880" i="51"/>
  <c r="K1880" i="51"/>
  <c r="L1880" i="51"/>
  <c r="A1881" i="51"/>
  <c r="B1881" i="51"/>
  <c r="C1881" i="51"/>
  <c r="D1881" i="51"/>
  <c r="E1881" i="51"/>
  <c r="F1881" i="51"/>
  <c r="G1881" i="51" a="1"/>
  <c r="G1881" i="51" s="1"/>
  <c r="H1881" i="51" a="1"/>
  <c r="H1881" i="51" s="1"/>
  <c r="I1881" i="51"/>
  <c r="J1881" i="51"/>
  <c r="K1881" i="51"/>
  <c r="L1881" i="51"/>
  <c r="A1882" i="51"/>
  <c r="B1882" i="51"/>
  <c r="C1882" i="51"/>
  <c r="D1882" i="51"/>
  <c r="E1882" i="51"/>
  <c r="F1882" i="51"/>
  <c r="G1882" i="51" a="1"/>
  <c r="G1882" i="51" s="1"/>
  <c r="H1882" i="51" a="1"/>
  <c r="H1882" i="51"/>
  <c r="I1882" i="51"/>
  <c r="J1882" i="51"/>
  <c r="K1882" i="51"/>
  <c r="L1882" i="51"/>
  <c r="A1883" i="51"/>
  <c r="B1883" i="51"/>
  <c r="C1883" i="51"/>
  <c r="D1883" i="51"/>
  <c r="E1883" i="51"/>
  <c r="F1883" i="51"/>
  <c r="G1883" i="51" a="1"/>
  <c r="G1883" i="51"/>
  <c r="H1883" i="51" a="1"/>
  <c r="H1883" i="51" s="1"/>
  <c r="I1883" i="51"/>
  <c r="J1883" i="51"/>
  <c r="K1883" i="51"/>
  <c r="L1883" i="51"/>
  <c r="A1884" i="51"/>
  <c r="B1884" i="51"/>
  <c r="C1884" i="51"/>
  <c r="D1884" i="51"/>
  <c r="E1884" i="51"/>
  <c r="F1884" i="51"/>
  <c r="G1884" i="51" a="1"/>
  <c r="G1884" i="51" s="1"/>
  <c r="H1884" i="51" a="1"/>
  <c r="H1884" i="51" s="1"/>
  <c r="I1884" i="51"/>
  <c r="J1884" i="51"/>
  <c r="K1884" i="51"/>
  <c r="L1884" i="51"/>
  <c r="A1885" i="51"/>
  <c r="B1885" i="51"/>
  <c r="C1885" i="51"/>
  <c r="D1885" i="51"/>
  <c r="E1885" i="51"/>
  <c r="F1885" i="51"/>
  <c r="G1885" i="51" a="1"/>
  <c r="G1885" i="51" s="1"/>
  <c r="H1885" i="51" a="1"/>
  <c r="H1885" i="51" s="1"/>
  <c r="I1885" i="51"/>
  <c r="J1885" i="51"/>
  <c r="K1885" i="51"/>
  <c r="L1885" i="51"/>
  <c r="A1886" i="51"/>
  <c r="B1886" i="51"/>
  <c r="C1886" i="51"/>
  <c r="D1886" i="51"/>
  <c r="E1886" i="51"/>
  <c r="F1886" i="51"/>
  <c r="G1886" i="51" a="1"/>
  <c r="G1886" i="51" s="1"/>
  <c r="H1886" i="51" a="1"/>
  <c r="H1886" i="51"/>
  <c r="I1886" i="51"/>
  <c r="J1886" i="51"/>
  <c r="K1886" i="51"/>
  <c r="L1886" i="51"/>
  <c r="A1887" i="51"/>
  <c r="B1887" i="51"/>
  <c r="C1887" i="51"/>
  <c r="D1887" i="51"/>
  <c r="E1887" i="51"/>
  <c r="F1887" i="51"/>
  <c r="G1887" i="51" a="1"/>
  <c r="G1887" i="51"/>
  <c r="H1887" i="51" a="1"/>
  <c r="H1887" i="51" s="1"/>
  <c r="I1887" i="51"/>
  <c r="J1887" i="51"/>
  <c r="K1887" i="51"/>
  <c r="L1887" i="51"/>
  <c r="A1888" i="51"/>
  <c r="B1888" i="51"/>
  <c r="C1888" i="51"/>
  <c r="D1888" i="51"/>
  <c r="E1888" i="51"/>
  <c r="F1888" i="51"/>
  <c r="G1888" i="51" a="1"/>
  <c r="G1888" i="51" s="1"/>
  <c r="H1888" i="51" a="1"/>
  <c r="H1888" i="51" s="1"/>
  <c r="I1888" i="51"/>
  <c r="J1888" i="51"/>
  <c r="K1888" i="51"/>
  <c r="L1888" i="51"/>
  <c r="A1889" i="51"/>
  <c r="B1889" i="51"/>
  <c r="C1889" i="51"/>
  <c r="D1889" i="51"/>
  <c r="E1889" i="51"/>
  <c r="F1889" i="51"/>
  <c r="G1889" i="51" a="1"/>
  <c r="G1889" i="51"/>
  <c r="H1889" i="51" a="1"/>
  <c r="H1889" i="51" s="1"/>
  <c r="I1889" i="51"/>
  <c r="J1889" i="51"/>
  <c r="K1889" i="51"/>
  <c r="L1889" i="51"/>
  <c r="A1890" i="51"/>
  <c r="B1890" i="51"/>
  <c r="C1890" i="51"/>
  <c r="D1890" i="51"/>
  <c r="E1890" i="51"/>
  <c r="F1890" i="51"/>
  <c r="G1890" i="51" a="1"/>
  <c r="G1890" i="51" s="1"/>
  <c r="H1890" i="51" a="1"/>
  <c r="H1890" i="51"/>
  <c r="I1890" i="51"/>
  <c r="J1890" i="51"/>
  <c r="K1890" i="51"/>
  <c r="L1890" i="51"/>
  <c r="A1891" i="51"/>
  <c r="B1891" i="51"/>
  <c r="C1891" i="51"/>
  <c r="D1891" i="51"/>
  <c r="E1891" i="51"/>
  <c r="F1891" i="51"/>
  <c r="G1891" i="51" a="1"/>
  <c r="G1891" i="51"/>
  <c r="H1891" i="51" a="1"/>
  <c r="H1891" i="51" s="1"/>
  <c r="I1891" i="51"/>
  <c r="J1891" i="51"/>
  <c r="K1891" i="51"/>
  <c r="L1891" i="51"/>
  <c r="A1892" i="51"/>
  <c r="B1892" i="51"/>
  <c r="C1892" i="51"/>
  <c r="D1892" i="51"/>
  <c r="E1892" i="51"/>
  <c r="F1892" i="51"/>
  <c r="G1892" i="51" a="1"/>
  <c r="G1892" i="51"/>
  <c r="H1892" i="51" a="1"/>
  <c r="H1892" i="51" s="1"/>
  <c r="I1892" i="51"/>
  <c r="J1892" i="51"/>
  <c r="K1892" i="51"/>
  <c r="L1892" i="51"/>
  <c r="A1893" i="51"/>
  <c r="B1893" i="51"/>
  <c r="C1893" i="51"/>
  <c r="D1893" i="51"/>
  <c r="E1893" i="51"/>
  <c r="F1893" i="51"/>
  <c r="G1893" i="51" a="1"/>
  <c r="G1893" i="51" s="1"/>
  <c r="H1893" i="51" a="1"/>
  <c r="H1893" i="51" s="1"/>
  <c r="I1893" i="51"/>
  <c r="J1893" i="51"/>
  <c r="K1893" i="51"/>
  <c r="L1893" i="51"/>
  <c r="A1894" i="51"/>
  <c r="B1894" i="51"/>
  <c r="C1894" i="51"/>
  <c r="D1894" i="51"/>
  <c r="E1894" i="51"/>
  <c r="F1894" i="51"/>
  <c r="G1894" i="51" a="1"/>
  <c r="G1894" i="51" s="1"/>
  <c r="H1894" i="51" a="1"/>
  <c r="H1894" i="51" s="1"/>
  <c r="I1894" i="51"/>
  <c r="J1894" i="51"/>
  <c r="K1894" i="51"/>
  <c r="L1894" i="51"/>
  <c r="A1895" i="51"/>
  <c r="B1895" i="51"/>
  <c r="C1895" i="51"/>
  <c r="D1895" i="51"/>
  <c r="E1895" i="51"/>
  <c r="F1895" i="51"/>
  <c r="G1895" i="51" a="1"/>
  <c r="G1895" i="51" s="1"/>
  <c r="H1895" i="51" a="1"/>
  <c r="H1895" i="51" s="1"/>
  <c r="I1895" i="51"/>
  <c r="J1895" i="51"/>
  <c r="K1895" i="51"/>
  <c r="L1895" i="51"/>
  <c r="A1896" i="51"/>
  <c r="B1896" i="51"/>
  <c r="C1896" i="51"/>
  <c r="D1896" i="51"/>
  <c r="E1896" i="51"/>
  <c r="F1896" i="51"/>
  <c r="G1896" i="51" a="1"/>
  <c r="G1896" i="51" s="1"/>
  <c r="H1896" i="51" a="1"/>
  <c r="H1896" i="51" s="1"/>
  <c r="I1896" i="51"/>
  <c r="J1896" i="51"/>
  <c r="K1896" i="51"/>
  <c r="L1896" i="51"/>
  <c r="A1897" i="51"/>
  <c r="B1897" i="51"/>
  <c r="C1897" i="51"/>
  <c r="D1897" i="51"/>
  <c r="E1897" i="51"/>
  <c r="F1897" i="51"/>
  <c r="G1897" i="51" a="1"/>
  <c r="G1897" i="51" s="1"/>
  <c r="H1897" i="51" a="1"/>
  <c r="H1897" i="51" s="1"/>
  <c r="I1897" i="51"/>
  <c r="J1897" i="51"/>
  <c r="K1897" i="51"/>
  <c r="L1897" i="51"/>
  <c r="A1898" i="51"/>
  <c r="B1898" i="51"/>
  <c r="C1898" i="51"/>
  <c r="D1898" i="51"/>
  <c r="E1898" i="51"/>
  <c r="F1898" i="51"/>
  <c r="G1898" i="51" a="1"/>
  <c r="G1898" i="51" s="1"/>
  <c r="H1898" i="51" a="1"/>
  <c r="H1898" i="51" s="1"/>
  <c r="I1898" i="51"/>
  <c r="J1898" i="51"/>
  <c r="K1898" i="51"/>
  <c r="L1898" i="51"/>
  <c r="A1899" i="51"/>
  <c r="B1899" i="51"/>
  <c r="C1899" i="51"/>
  <c r="D1899" i="51"/>
  <c r="E1899" i="51"/>
  <c r="F1899" i="51"/>
  <c r="G1899" i="51" a="1"/>
  <c r="G1899" i="51" s="1"/>
  <c r="H1899" i="51" a="1"/>
  <c r="H1899" i="51" s="1"/>
  <c r="I1899" i="51"/>
  <c r="J1899" i="51"/>
  <c r="K1899" i="51"/>
  <c r="L1899" i="51"/>
  <c r="A1900" i="51"/>
  <c r="B1900" i="51"/>
  <c r="C1900" i="51"/>
  <c r="D1900" i="51"/>
  <c r="E1900" i="51"/>
  <c r="F1900" i="51"/>
  <c r="G1900" i="51" a="1"/>
  <c r="G1900" i="51" s="1"/>
  <c r="H1900" i="51" a="1"/>
  <c r="H1900" i="51" s="1"/>
  <c r="I1900" i="51"/>
  <c r="J1900" i="51"/>
  <c r="K1900" i="51"/>
  <c r="L1900" i="51"/>
  <c r="A1901" i="51"/>
  <c r="B1901" i="51"/>
  <c r="C1901" i="51"/>
  <c r="D1901" i="51"/>
  <c r="E1901" i="51"/>
  <c r="F1901" i="51"/>
  <c r="G1901" i="51" a="1"/>
  <c r="G1901" i="51" s="1"/>
  <c r="H1901" i="51" a="1"/>
  <c r="H1901" i="51" s="1"/>
  <c r="I1901" i="51"/>
  <c r="J1901" i="51"/>
  <c r="K1901" i="51"/>
  <c r="L1901" i="51"/>
  <c r="A1902" i="51"/>
  <c r="B1902" i="51"/>
  <c r="C1902" i="51"/>
  <c r="D1902" i="51"/>
  <c r="E1902" i="51"/>
  <c r="F1902" i="51"/>
  <c r="G1902" i="51" a="1"/>
  <c r="G1902" i="51" s="1"/>
  <c r="H1902" i="51" a="1"/>
  <c r="H1902" i="51" s="1"/>
  <c r="I1902" i="51"/>
  <c r="J1902" i="51"/>
  <c r="K1902" i="51"/>
  <c r="L1902" i="51"/>
  <c r="A1903" i="51"/>
  <c r="B1903" i="51"/>
  <c r="C1903" i="51"/>
  <c r="D1903" i="51"/>
  <c r="E1903" i="51"/>
  <c r="F1903" i="51"/>
  <c r="G1903" i="51" a="1"/>
  <c r="G1903" i="51" s="1"/>
  <c r="H1903" i="51" a="1"/>
  <c r="H1903" i="51" s="1"/>
  <c r="I1903" i="51"/>
  <c r="J1903" i="51"/>
  <c r="K1903" i="51"/>
  <c r="L1903" i="51"/>
  <c r="A1904" i="51"/>
  <c r="B1904" i="51"/>
  <c r="C1904" i="51"/>
  <c r="D1904" i="51"/>
  <c r="E1904" i="51"/>
  <c r="F1904" i="51"/>
  <c r="G1904" i="51" a="1"/>
  <c r="G1904" i="51" s="1"/>
  <c r="H1904" i="51" a="1"/>
  <c r="H1904" i="51" s="1"/>
  <c r="I1904" i="51"/>
  <c r="J1904" i="51"/>
  <c r="K1904" i="51"/>
  <c r="L1904" i="51"/>
  <c r="A1905" i="51"/>
  <c r="B1905" i="51"/>
  <c r="C1905" i="51"/>
  <c r="D1905" i="51"/>
  <c r="E1905" i="51"/>
  <c r="F1905" i="51"/>
  <c r="G1905" i="51" a="1"/>
  <c r="G1905" i="51" s="1"/>
  <c r="H1905" i="51" a="1"/>
  <c r="H1905" i="51" s="1"/>
  <c r="I1905" i="51"/>
  <c r="J1905" i="51"/>
  <c r="K1905" i="51"/>
  <c r="L1905" i="51"/>
  <c r="A1906" i="51"/>
  <c r="B1906" i="51"/>
  <c r="C1906" i="51"/>
  <c r="D1906" i="51"/>
  <c r="E1906" i="51"/>
  <c r="F1906" i="51"/>
  <c r="G1906" i="51" a="1"/>
  <c r="G1906" i="51" s="1"/>
  <c r="H1906" i="51" a="1"/>
  <c r="H1906" i="51" s="1"/>
  <c r="I1906" i="51"/>
  <c r="J1906" i="51"/>
  <c r="K1906" i="51"/>
  <c r="L1906" i="51"/>
  <c r="A1907" i="51"/>
  <c r="B1907" i="51"/>
  <c r="C1907" i="51"/>
  <c r="D1907" i="51"/>
  <c r="E1907" i="51"/>
  <c r="F1907" i="51"/>
  <c r="G1907" i="51" a="1"/>
  <c r="G1907" i="51" s="1"/>
  <c r="H1907" i="51" a="1"/>
  <c r="H1907" i="51" s="1"/>
  <c r="I1907" i="51"/>
  <c r="J1907" i="51"/>
  <c r="K1907" i="51"/>
  <c r="L1907" i="51"/>
  <c r="A1908" i="51"/>
  <c r="B1908" i="51"/>
  <c r="C1908" i="51"/>
  <c r="D1908" i="51"/>
  <c r="E1908" i="51"/>
  <c r="F1908" i="51"/>
  <c r="G1908" i="51" a="1"/>
  <c r="G1908" i="51" s="1"/>
  <c r="H1908" i="51" a="1"/>
  <c r="H1908" i="51" s="1"/>
  <c r="I1908" i="51"/>
  <c r="J1908" i="51"/>
  <c r="K1908" i="51"/>
  <c r="L1908" i="51"/>
  <c r="A1909" i="51"/>
  <c r="B1909" i="51"/>
  <c r="C1909" i="51"/>
  <c r="D1909" i="51"/>
  <c r="E1909" i="51"/>
  <c r="F1909" i="51"/>
  <c r="G1909" i="51" a="1"/>
  <c r="G1909" i="51" s="1"/>
  <c r="H1909" i="51" a="1"/>
  <c r="H1909" i="51" s="1"/>
  <c r="I1909" i="51"/>
  <c r="J1909" i="51"/>
  <c r="K1909" i="51"/>
  <c r="L1909" i="51"/>
  <c r="A1910" i="51"/>
  <c r="B1910" i="51"/>
  <c r="C1910" i="51"/>
  <c r="D1910" i="51"/>
  <c r="E1910" i="51"/>
  <c r="F1910" i="51"/>
  <c r="G1910" i="51" a="1"/>
  <c r="G1910" i="51" s="1"/>
  <c r="H1910" i="51" a="1"/>
  <c r="H1910" i="51" s="1"/>
  <c r="I1910" i="51"/>
  <c r="J1910" i="51"/>
  <c r="K1910" i="51"/>
  <c r="L1910" i="51"/>
  <c r="A1911" i="51"/>
  <c r="B1911" i="51"/>
  <c r="C1911" i="51"/>
  <c r="D1911" i="51"/>
  <c r="E1911" i="51"/>
  <c r="F1911" i="51"/>
  <c r="G1911" i="51" a="1"/>
  <c r="G1911" i="51" s="1"/>
  <c r="H1911" i="51" a="1"/>
  <c r="H1911" i="51" s="1"/>
  <c r="I1911" i="51"/>
  <c r="J1911" i="51"/>
  <c r="K1911" i="51"/>
  <c r="L1911" i="51"/>
  <c r="A1912" i="51"/>
  <c r="B1912" i="51"/>
  <c r="C1912" i="51"/>
  <c r="D1912" i="51"/>
  <c r="E1912" i="51"/>
  <c r="F1912" i="51"/>
  <c r="G1912" i="51" a="1"/>
  <c r="G1912" i="51" s="1"/>
  <c r="H1912" i="51" a="1"/>
  <c r="H1912" i="51" s="1"/>
  <c r="I1912" i="51"/>
  <c r="J1912" i="51"/>
  <c r="K1912" i="51"/>
  <c r="L1912" i="51"/>
  <c r="A1913" i="51"/>
  <c r="B1913" i="51"/>
  <c r="C1913" i="51"/>
  <c r="D1913" i="51"/>
  <c r="E1913" i="51"/>
  <c r="F1913" i="51"/>
  <c r="G1913" i="51" a="1"/>
  <c r="G1913" i="51" s="1"/>
  <c r="H1913" i="51" a="1"/>
  <c r="H1913" i="51" s="1"/>
  <c r="I1913" i="51"/>
  <c r="J1913" i="51"/>
  <c r="K1913" i="51"/>
  <c r="L1913" i="51"/>
  <c r="A1914" i="51"/>
  <c r="B1914" i="51"/>
  <c r="C1914" i="51"/>
  <c r="D1914" i="51"/>
  <c r="E1914" i="51"/>
  <c r="F1914" i="51"/>
  <c r="G1914" i="51" a="1"/>
  <c r="G1914" i="51" s="1"/>
  <c r="H1914" i="51" a="1"/>
  <c r="H1914" i="51" s="1"/>
  <c r="I1914" i="51"/>
  <c r="J1914" i="51"/>
  <c r="K1914" i="51"/>
  <c r="L1914" i="51"/>
  <c r="A1915" i="51"/>
  <c r="B1915" i="51"/>
  <c r="C1915" i="51"/>
  <c r="D1915" i="51"/>
  <c r="E1915" i="51"/>
  <c r="F1915" i="51"/>
  <c r="G1915" i="51" a="1"/>
  <c r="G1915" i="51" s="1"/>
  <c r="H1915" i="51" a="1"/>
  <c r="H1915" i="51" s="1"/>
  <c r="I1915" i="51"/>
  <c r="J1915" i="51"/>
  <c r="K1915" i="51"/>
  <c r="L1915" i="51"/>
  <c r="A1916" i="51"/>
  <c r="B1916" i="51"/>
  <c r="C1916" i="51"/>
  <c r="D1916" i="51"/>
  <c r="E1916" i="51"/>
  <c r="F1916" i="51"/>
  <c r="G1916" i="51" a="1"/>
  <c r="G1916" i="51" s="1"/>
  <c r="H1916" i="51" a="1"/>
  <c r="H1916" i="51" s="1"/>
  <c r="I1916" i="51"/>
  <c r="J1916" i="51"/>
  <c r="K1916" i="51"/>
  <c r="L1916" i="51"/>
  <c r="A1917" i="51"/>
  <c r="B1917" i="51"/>
  <c r="C1917" i="51"/>
  <c r="D1917" i="51"/>
  <c r="E1917" i="51"/>
  <c r="F1917" i="51"/>
  <c r="G1917" i="51" a="1"/>
  <c r="G1917" i="51" s="1"/>
  <c r="H1917" i="51" a="1"/>
  <c r="H1917" i="51" s="1"/>
  <c r="I1917" i="51"/>
  <c r="J1917" i="51"/>
  <c r="K1917" i="51"/>
  <c r="L1917" i="51"/>
  <c r="A1918" i="51"/>
  <c r="B1918" i="51"/>
  <c r="C1918" i="51"/>
  <c r="D1918" i="51"/>
  <c r="E1918" i="51"/>
  <c r="F1918" i="51"/>
  <c r="G1918" i="51" a="1"/>
  <c r="G1918" i="51" s="1"/>
  <c r="H1918" i="51" a="1"/>
  <c r="H1918" i="51" s="1"/>
  <c r="I1918" i="51"/>
  <c r="J1918" i="51"/>
  <c r="K1918" i="51"/>
  <c r="L1918" i="51"/>
  <c r="A1919" i="51"/>
  <c r="B1919" i="51"/>
  <c r="C1919" i="51"/>
  <c r="D1919" i="51"/>
  <c r="E1919" i="51"/>
  <c r="F1919" i="51"/>
  <c r="G1919" i="51" a="1"/>
  <c r="G1919" i="51" s="1"/>
  <c r="H1919" i="51" a="1"/>
  <c r="H1919" i="51" s="1"/>
  <c r="I1919" i="51"/>
  <c r="J1919" i="51"/>
  <c r="K1919" i="51"/>
  <c r="L1919" i="51"/>
  <c r="A1920" i="51"/>
  <c r="B1920" i="51"/>
  <c r="C1920" i="51"/>
  <c r="D1920" i="51"/>
  <c r="E1920" i="51"/>
  <c r="F1920" i="51"/>
  <c r="G1920" i="51" a="1"/>
  <c r="G1920" i="51" s="1"/>
  <c r="H1920" i="51" a="1"/>
  <c r="H1920" i="51" s="1"/>
  <c r="I1920" i="51"/>
  <c r="J1920" i="51"/>
  <c r="K1920" i="51"/>
  <c r="L1920" i="51"/>
  <c r="A1921" i="51"/>
  <c r="B1921" i="51"/>
  <c r="C1921" i="51"/>
  <c r="D1921" i="51"/>
  <c r="E1921" i="51"/>
  <c r="F1921" i="51"/>
  <c r="G1921" i="51" a="1"/>
  <c r="G1921" i="51" s="1"/>
  <c r="H1921" i="51" a="1"/>
  <c r="H1921" i="51" s="1"/>
  <c r="I1921" i="51"/>
  <c r="J1921" i="51"/>
  <c r="K1921" i="51"/>
  <c r="L1921" i="51"/>
  <c r="A1922" i="51"/>
  <c r="B1922" i="51"/>
  <c r="C1922" i="51"/>
  <c r="D1922" i="51"/>
  <c r="E1922" i="51"/>
  <c r="F1922" i="51"/>
  <c r="G1922" i="51" a="1"/>
  <c r="G1922" i="51" s="1"/>
  <c r="H1922" i="51" a="1"/>
  <c r="H1922" i="51" s="1"/>
  <c r="I1922" i="51"/>
  <c r="J1922" i="51"/>
  <c r="K1922" i="51"/>
  <c r="L1922" i="51"/>
  <c r="A1923" i="51"/>
  <c r="B1923" i="51"/>
  <c r="C1923" i="51"/>
  <c r="D1923" i="51"/>
  <c r="E1923" i="51"/>
  <c r="F1923" i="51"/>
  <c r="G1923" i="51" a="1"/>
  <c r="G1923" i="51" s="1"/>
  <c r="H1923" i="51" a="1"/>
  <c r="H1923" i="51" s="1"/>
  <c r="I1923" i="51"/>
  <c r="J1923" i="51"/>
  <c r="K1923" i="51"/>
  <c r="L1923" i="51"/>
  <c r="A1924" i="51"/>
  <c r="B1924" i="51"/>
  <c r="C1924" i="51"/>
  <c r="D1924" i="51"/>
  <c r="E1924" i="51"/>
  <c r="F1924" i="51"/>
  <c r="G1924" i="51" a="1"/>
  <c r="G1924" i="51" s="1"/>
  <c r="H1924" i="51" a="1"/>
  <c r="H1924" i="51" s="1"/>
  <c r="I1924" i="51"/>
  <c r="J1924" i="51"/>
  <c r="K1924" i="51"/>
  <c r="L1924" i="51"/>
  <c r="A1925" i="51"/>
  <c r="B1925" i="51"/>
  <c r="C1925" i="51"/>
  <c r="D1925" i="51"/>
  <c r="E1925" i="51"/>
  <c r="F1925" i="51"/>
  <c r="G1925" i="51" a="1"/>
  <c r="G1925" i="51" s="1"/>
  <c r="H1925" i="51" a="1"/>
  <c r="H1925" i="51" s="1"/>
  <c r="I1925" i="51"/>
  <c r="J1925" i="51"/>
  <c r="K1925" i="51"/>
  <c r="L1925" i="51"/>
  <c r="A1926" i="51"/>
  <c r="B1926" i="51"/>
  <c r="C1926" i="51"/>
  <c r="D1926" i="51"/>
  <c r="E1926" i="51"/>
  <c r="F1926" i="51"/>
  <c r="G1926" i="51" a="1"/>
  <c r="G1926" i="51" s="1"/>
  <c r="H1926" i="51" a="1"/>
  <c r="H1926" i="51" s="1"/>
  <c r="I1926" i="51"/>
  <c r="J1926" i="51"/>
  <c r="K1926" i="51"/>
  <c r="L1926" i="51"/>
  <c r="A1927" i="51"/>
  <c r="B1927" i="51"/>
  <c r="C1927" i="51"/>
  <c r="D1927" i="51"/>
  <c r="E1927" i="51"/>
  <c r="F1927" i="51"/>
  <c r="G1927" i="51" a="1"/>
  <c r="G1927" i="51" s="1"/>
  <c r="H1927" i="51" a="1"/>
  <c r="H1927" i="51" s="1"/>
  <c r="I1927" i="51"/>
  <c r="J1927" i="51"/>
  <c r="K1927" i="51"/>
  <c r="L1927" i="51"/>
  <c r="A1928" i="51"/>
  <c r="B1928" i="51"/>
  <c r="C1928" i="51"/>
  <c r="D1928" i="51"/>
  <c r="E1928" i="51"/>
  <c r="F1928" i="51"/>
  <c r="G1928" i="51" a="1"/>
  <c r="G1928" i="51" s="1"/>
  <c r="H1928" i="51" a="1"/>
  <c r="H1928" i="51" s="1"/>
  <c r="I1928" i="51"/>
  <c r="J1928" i="51"/>
  <c r="K1928" i="51"/>
  <c r="L1928" i="51"/>
  <c r="A1929" i="51"/>
  <c r="B1929" i="51"/>
  <c r="C1929" i="51"/>
  <c r="D1929" i="51"/>
  <c r="E1929" i="51"/>
  <c r="F1929" i="51"/>
  <c r="G1929" i="51" a="1"/>
  <c r="G1929" i="51" s="1"/>
  <c r="H1929" i="51" a="1"/>
  <c r="H1929" i="51" s="1"/>
  <c r="I1929" i="51"/>
  <c r="J1929" i="51"/>
  <c r="K1929" i="51"/>
  <c r="L1929" i="51"/>
  <c r="A1930" i="51"/>
  <c r="B1930" i="51"/>
  <c r="C1930" i="51"/>
  <c r="D1930" i="51"/>
  <c r="E1930" i="51"/>
  <c r="F1930" i="51"/>
  <c r="G1930" i="51" a="1"/>
  <c r="G1930" i="51" s="1"/>
  <c r="H1930" i="51" a="1"/>
  <c r="H1930" i="51" s="1"/>
  <c r="I1930" i="51"/>
  <c r="J1930" i="51"/>
  <c r="K1930" i="51"/>
  <c r="L1930" i="51"/>
  <c r="A1931" i="51"/>
  <c r="B1931" i="51"/>
  <c r="C1931" i="51"/>
  <c r="D1931" i="51"/>
  <c r="E1931" i="51"/>
  <c r="F1931" i="51"/>
  <c r="G1931" i="51" a="1"/>
  <c r="G1931" i="51" s="1"/>
  <c r="H1931" i="51" a="1"/>
  <c r="H1931" i="51" s="1"/>
  <c r="I1931" i="51"/>
  <c r="J1931" i="51"/>
  <c r="K1931" i="51"/>
  <c r="L1931" i="51"/>
  <c r="A1932" i="51"/>
  <c r="B1932" i="51"/>
  <c r="C1932" i="51"/>
  <c r="D1932" i="51"/>
  <c r="E1932" i="51"/>
  <c r="F1932" i="51"/>
  <c r="G1932" i="51" a="1"/>
  <c r="G1932" i="51" s="1"/>
  <c r="H1932" i="51" a="1"/>
  <c r="H1932" i="51" s="1"/>
  <c r="I1932" i="51"/>
  <c r="J1932" i="51"/>
  <c r="K1932" i="51"/>
  <c r="L1932" i="51"/>
  <c r="A1933" i="51"/>
  <c r="B1933" i="51"/>
  <c r="C1933" i="51"/>
  <c r="D1933" i="51"/>
  <c r="E1933" i="51"/>
  <c r="F1933" i="51"/>
  <c r="G1933" i="51" a="1"/>
  <c r="G1933" i="51" s="1"/>
  <c r="H1933" i="51" a="1"/>
  <c r="H1933" i="51" s="1"/>
  <c r="I1933" i="51"/>
  <c r="J1933" i="51"/>
  <c r="K1933" i="51"/>
  <c r="L1933" i="51"/>
  <c r="A1934" i="51"/>
  <c r="B1934" i="51"/>
  <c r="C1934" i="51"/>
  <c r="D1934" i="51"/>
  <c r="E1934" i="51"/>
  <c r="F1934" i="51"/>
  <c r="G1934" i="51" a="1"/>
  <c r="G1934" i="51" s="1"/>
  <c r="H1934" i="51" a="1"/>
  <c r="H1934" i="51" s="1"/>
  <c r="I1934" i="51"/>
  <c r="J1934" i="51"/>
  <c r="K1934" i="51"/>
  <c r="L1934" i="51"/>
  <c r="A1935" i="51"/>
  <c r="B1935" i="51"/>
  <c r="C1935" i="51"/>
  <c r="D1935" i="51"/>
  <c r="E1935" i="51"/>
  <c r="F1935" i="51"/>
  <c r="G1935" i="51" a="1"/>
  <c r="G1935" i="51" s="1"/>
  <c r="H1935" i="51" a="1"/>
  <c r="H1935" i="51" s="1"/>
  <c r="I1935" i="51"/>
  <c r="J1935" i="51"/>
  <c r="K1935" i="51"/>
  <c r="L1935" i="51"/>
  <c r="A1936" i="51"/>
  <c r="B1936" i="51"/>
  <c r="C1936" i="51"/>
  <c r="D1936" i="51"/>
  <c r="E1936" i="51"/>
  <c r="F1936" i="51"/>
  <c r="G1936" i="51" a="1"/>
  <c r="G1936" i="51" s="1"/>
  <c r="H1936" i="51" a="1"/>
  <c r="H1936" i="51" s="1"/>
  <c r="I1936" i="51"/>
  <c r="J1936" i="51"/>
  <c r="K1936" i="51"/>
  <c r="L1936" i="51"/>
  <c r="A1937" i="51"/>
  <c r="B1937" i="51"/>
  <c r="C1937" i="51"/>
  <c r="D1937" i="51"/>
  <c r="E1937" i="51"/>
  <c r="F1937" i="51"/>
  <c r="G1937" i="51" a="1"/>
  <c r="G1937" i="51" s="1"/>
  <c r="H1937" i="51" a="1"/>
  <c r="H1937" i="51" s="1"/>
  <c r="I1937" i="51"/>
  <c r="J1937" i="51"/>
  <c r="K1937" i="51"/>
  <c r="L1937" i="51"/>
  <c r="A1938" i="51"/>
  <c r="B1938" i="51"/>
  <c r="C1938" i="51"/>
  <c r="D1938" i="51"/>
  <c r="E1938" i="51"/>
  <c r="F1938" i="51"/>
  <c r="G1938" i="51" a="1"/>
  <c r="G1938" i="51" s="1"/>
  <c r="H1938" i="51" a="1"/>
  <c r="H1938" i="51" s="1"/>
  <c r="I1938" i="51"/>
  <c r="J1938" i="51"/>
  <c r="K1938" i="51"/>
  <c r="L1938" i="51"/>
  <c r="A1939" i="51"/>
  <c r="B1939" i="51"/>
  <c r="C1939" i="51"/>
  <c r="D1939" i="51"/>
  <c r="E1939" i="51"/>
  <c r="F1939" i="51"/>
  <c r="G1939" i="51" a="1"/>
  <c r="G1939" i="51" s="1"/>
  <c r="H1939" i="51" a="1"/>
  <c r="H1939" i="51" s="1"/>
  <c r="I1939" i="51"/>
  <c r="J1939" i="51"/>
  <c r="K1939" i="51"/>
  <c r="L1939" i="51"/>
  <c r="A1940" i="51"/>
  <c r="B1940" i="51"/>
  <c r="C1940" i="51"/>
  <c r="D1940" i="51"/>
  <c r="E1940" i="51"/>
  <c r="F1940" i="51"/>
  <c r="G1940" i="51" a="1"/>
  <c r="G1940" i="51" s="1"/>
  <c r="H1940" i="51" a="1"/>
  <c r="H1940" i="51" s="1"/>
  <c r="I1940" i="51"/>
  <c r="J1940" i="51"/>
  <c r="K1940" i="51"/>
  <c r="L1940" i="51"/>
  <c r="A1941" i="51"/>
  <c r="B1941" i="51"/>
  <c r="C1941" i="51"/>
  <c r="D1941" i="51"/>
  <c r="E1941" i="51"/>
  <c r="F1941" i="51"/>
  <c r="G1941" i="51" a="1"/>
  <c r="G1941" i="51" s="1"/>
  <c r="H1941" i="51" a="1"/>
  <c r="H1941" i="51" s="1"/>
  <c r="I1941" i="51"/>
  <c r="J1941" i="51"/>
  <c r="K1941" i="51"/>
  <c r="L1941" i="51"/>
  <c r="A1942" i="51"/>
  <c r="B1942" i="51"/>
  <c r="C1942" i="51"/>
  <c r="D1942" i="51"/>
  <c r="E1942" i="51"/>
  <c r="F1942" i="51"/>
  <c r="G1942" i="51" a="1"/>
  <c r="G1942" i="51" s="1"/>
  <c r="H1942" i="51" a="1"/>
  <c r="H1942" i="51" s="1"/>
  <c r="I1942" i="51"/>
  <c r="J1942" i="51"/>
  <c r="K1942" i="51"/>
  <c r="L1942" i="51"/>
  <c r="A1943" i="51"/>
  <c r="B1943" i="51"/>
  <c r="C1943" i="51"/>
  <c r="D1943" i="51"/>
  <c r="E1943" i="51"/>
  <c r="F1943" i="51"/>
  <c r="G1943" i="51" a="1"/>
  <c r="G1943" i="51" s="1"/>
  <c r="H1943" i="51" a="1"/>
  <c r="H1943" i="51" s="1"/>
  <c r="I1943" i="51"/>
  <c r="J1943" i="51"/>
  <c r="K1943" i="51"/>
  <c r="L1943" i="51"/>
  <c r="A1944" i="51"/>
  <c r="B1944" i="51"/>
  <c r="C1944" i="51"/>
  <c r="D1944" i="51"/>
  <c r="E1944" i="51"/>
  <c r="F1944" i="51"/>
  <c r="G1944" i="51" a="1"/>
  <c r="G1944" i="51" s="1"/>
  <c r="H1944" i="51" a="1"/>
  <c r="H1944" i="51" s="1"/>
  <c r="I1944" i="51"/>
  <c r="J1944" i="51"/>
  <c r="K1944" i="51"/>
  <c r="L1944" i="51"/>
  <c r="A1945" i="51"/>
  <c r="B1945" i="51"/>
  <c r="C1945" i="51"/>
  <c r="D1945" i="51"/>
  <c r="E1945" i="51"/>
  <c r="F1945" i="51"/>
  <c r="G1945" i="51" a="1"/>
  <c r="G1945" i="51" s="1"/>
  <c r="H1945" i="51" a="1"/>
  <c r="H1945" i="51" s="1"/>
  <c r="I1945" i="51"/>
  <c r="J1945" i="51"/>
  <c r="K1945" i="51"/>
  <c r="L1945" i="51"/>
  <c r="A1946" i="51"/>
  <c r="B1946" i="51"/>
  <c r="C1946" i="51"/>
  <c r="D1946" i="51"/>
  <c r="E1946" i="51"/>
  <c r="F1946" i="51"/>
  <c r="G1946" i="51" a="1"/>
  <c r="G1946" i="51" s="1"/>
  <c r="H1946" i="51" a="1"/>
  <c r="H1946" i="51" s="1"/>
  <c r="I1946" i="51"/>
  <c r="J1946" i="51"/>
  <c r="K1946" i="51"/>
  <c r="L1946" i="51"/>
  <c r="A1947" i="51"/>
  <c r="B1947" i="51"/>
  <c r="C1947" i="51"/>
  <c r="D1947" i="51"/>
  <c r="E1947" i="51"/>
  <c r="F1947" i="51"/>
  <c r="G1947" i="51" a="1"/>
  <c r="G1947" i="51" s="1"/>
  <c r="H1947" i="51" a="1"/>
  <c r="H1947" i="51" s="1"/>
  <c r="I1947" i="51"/>
  <c r="J1947" i="51"/>
  <c r="K1947" i="51"/>
  <c r="L1947" i="51"/>
  <c r="A1948" i="51"/>
  <c r="B1948" i="51"/>
  <c r="C1948" i="51"/>
  <c r="D1948" i="51"/>
  <c r="E1948" i="51"/>
  <c r="F1948" i="51"/>
  <c r="G1948" i="51" a="1"/>
  <c r="G1948" i="51" s="1"/>
  <c r="H1948" i="51" a="1"/>
  <c r="H1948" i="51" s="1"/>
  <c r="I1948" i="51"/>
  <c r="J1948" i="51"/>
  <c r="K1948" i="51"/>
  <c r="L1948" i="51"/>
  <c r="A1949" i="51"/>
  <c r="B1949" i="51"/>
  <c r="C1949" i="51"/>
  <c r="D1949" i="51"/>
  <c r="E1949" i="51"/>
  <c r="F1949" i="51"/>
  <c r="G1949" i="51" a="1"/>
  <c r="G1949" i="51" s="1"/>
  <c r="H1949" i="51" a="1"/>
  <c r="H1949" i="51" s="1"/>
  <c r="I1949" i="51"/>
  <c r="J1949" i="51"/>
  <c r="K1949" i="51"/>
  <c r="L1949" i="51"/>
  <c r="A1950" i="51"/>
  <c r="B1950" i="51"/>
  <c r="C1950" i="51"/>
  <c r="D1950" i="51"/>
  <c r="E1950" i="51"/>
  <c r="F1950" i="51"/>
  <c r="G1950" i="51" a="1"/>
  <c r="G1950" i="51" s="1"/>
  <c r="H1950" i="51" a="1"/>
  <c r="H1950" i="51" s="1"/>
  <c r="I1950" i="51"/>
  <c r="J1950" i="51"/>
  <c r="K1950" i="51"/>
  <c r="L1950" i="51"/>
  <c r="A1951" i="51"/>
  <c r="B1951" i="51"/>
  <c r="C1951" i="51"/>
  <c r="D1951" i="51"/>
  <c r="E1951" i="51"/>
  <c r="F1951" i="51"/>
  <c r="G1951" i="51" a="1"/>
  <c r="G1951" i="51" s="1"/>
  <c r="H1951" i="51" a="1"/>
  <c r="H1951" i="51" s="1"/>
  <c r="I1951" i="51"/>
  <c r="J1951" i="51"/>
  <c r="K1951" i="51"/>
  <c r="L1951" i="51"/>
  <c r="A1952" i="51"/>
  <c r="B1952" i="51"/>
  <c r="C1952" i="51"/>
  <c r="D1952" i="51"/>
  <c r="E1952" i="51"/>
  <c r="F1952" i="51"/>
  <c r="G1952" i="51" a="1"/>
  <c r="G1952" i="51" s="1"/>
  <c r="H1952" i="51" a="1"/>
  <c r="H1952" i="51" s="1"/>
  <c r="I1952" i="51"/>
  <c r="J1952" i="51"/>
  <c r="K1952" i="51"/>
  <c r="L1952" i="51"/>
  <c r="A1953" i="51"/>
  <c r="B1953" i="51"/>
  <c r="C1953" i="51"/>
  <c r="D1953" i="51"/>
  <c r="E1953" i="51"/>
  <c r="F1953" i="51"/>
  <c r="G1953" i="51" a="1"/>
  <c r="G1953" i="51" s="1"/>
  <c r="H1953" i="51" a="1"/>
  <c r="H1953" i="51" s="1"/>
  <c r="I1953" i="51"/>
  <c r="J1953" i="51"/>
  <c r="K1953" i="51"/>
  <c r="L1953" i="51"/>
  <c r="A1954" i="51"/>
  <c r="B1954" i="51"/>
  <c r="C1954" i="51"/>
  <c r="D1954" i="51"/>
  <c r="E1954" i="51"/>
  <c r="F1954" i="51"/>
  <c r="G1954" i="51" a="1"/>
  <c r="G1954" i="51" s="1"/>
  <c r="H1954" i="51" a="1"/>
  <c r="H1954" i="51" s="1"/>
  <c r="I1954" i="51"/>
  <c r="J1954" i="51"/>
  <c r="K1954" i="51"/>
  <c r="L1954" i="51"/>
  <c r="A1955" i="51"/>
  <c r="B1955" i="51"/>
  <c r="C1955" i="51"/>
  <c r="D1955" i="51"/>
  <c r="E1955" i="51"/>
  <c r="F1955" i="51"/>
  <c r="G1955" i="51" a="1"/>
  <c r="G1955" i="51" s="1"/>
  <c r="H1955" i="51" a="1"/>
  <c r="H1955" i="51" s="1"/>
  <c r="I1955" i="51"/>
  <c r="J1955" i="51"/>
  <c r="K1955" i="51"/>
  <c r="L1955" i="51"/>
  <c r="A1956" i="51"/>
  <c r="B1956" i="51"/>
  <c r="C1956" i="51"/>
  <c r="D1956" i="51"/>
  <c r="E1956" i="51"/>
  <c r="F1956" i="51"/>
  <c r="G1956" i="51" a="1"/>
  <c r="G1956" i="51" s="1"/>
  <c r="H1956" i="51" a="1"/>
  <c r="H1956" i="51" s="1"/>
  <c r="I1956" i="51"/>
  <c r="J1956" i="51"/>
  <c r="K1956" i="51"/>
  <c r="L1956" i="51"/>
  <c r="A1957" i="51"/>
  <c r="B1957" i="51"/>
  <c r="C1957" i="51"/>
  <c r="D1957" i="51"/>
  <c r="E1957" i="51"/>
  <c r="F1957" i="51"/>
  <c r="G1957" i="51" a="1"/>
  <c r="G1957" i="51" s="1"/>
  <c r="H1957" i="51" a="1"/>
  <c r="H1957" i="51" s="1"/>
  <c r="I1957" i="51"/>
  <c r="J1957" i="51"/>
  <c r="K1957" i="51"/>
  <c r="L1957" i="51"/>
  <c r="A1958" i="51"/>
  <c r="B1958" i="51"/>
  <c r="C1958" i="51"/>
  <c r="D1958" i="51"/>
  <c r="E1958" i="51"/>
  <c r="F1958" i="51"/>
  <c r="G1958" i="51" a="1"/>
  <c r="G1958" i="51" s="1"/>
  <c r="H1958" i="51" a="1"/>
  <c r="H1958" i="51" s="1"/>
  <c r="I1958" i="51"/>
  <c r="J1958" i="51"/>
  <c r="K1958" i="51"/>
  <c r="L1958" i="51"/>
  <c r="A1959" i="51"/>
  <c r="B1959" i="51"/>
  <c r="C1959" i="51"/>
  <c r="D1959" i="51"/>
  <c r="E1959" i="51"/>
  <c r="F1959" i="51"/>
  <c r="G1959" i="51" a="1"/>
  <c r="G1959" i="51" s="1"/>
  <c r="H1959" i="51" a="1"/>
  <c r="H1959" i="51" s="1"/>
  <c r="I1959" i="51"/>
  <c r="J1959" i="51"/>
  <c r="K1959" i="51"/>
  <c r="L1959" i="51"/>
  <c r="A1960" i="51"/>
  <c r="B1960" i="51"/>
  <c r="C1960" i="51"/>
  <c r="D1960" i="51"/>
  <c r="E1960" i="51"/>
  <c r="F1960" i="51"/>
  <c r="G1960" i="51" a="1"/>
  <c r="G1960" i="51" s="1"/>
  <c r="H1960" i="51" a="1"/>
  <c r="H1960" i="51" s="1"/>
  <c r="I1960" i="51"/>
  <c r="J1960" i="51"/>
  <c r="K1960" i="51"/>
  <c r="L1960" i="51"/>
  <c r="A1961" i="51"/>
  <c r="B1961" i="51"/>
  <c r="C1961" i="51"/>
  <c r="D1961" i="51"/>
  <c r="E1961" i="51"/>
  <c r="F1961" i="51"/>
  <c r="G1961" i="51" a="1"/>
  <c r="G1961" i="51" s="1"/>
  <c r="H1961" i="51" a="1"/>
  <c r="H1961" i="51" s="1"/>
  <c r="I1961" i="51"/>
  <c r="J1961" i="51"/>
  <c r="K1961" i="51"/>
  <c r="L1961" i="51"/>
  <c r="A1962" i="51"/>
  <c r="B1962" i="51"/>
  <c r="C1962" i="51"/>
  <c r="D1962" i="51"/>
  <c r="E1962" i="51"/>
  <c r="F1962" i="51"/>
  <c r="G1962" i="51" a="1"/>
  <c r="G1962" i="51" s="1"/>
  <c r="H1962" i="51" a="1"/>
  <c r="H1962" i="51" s="1"/>
  <c r="I1962" i="51"/>
  <c r="J1962" i="51"/>
  <c r="K1962" i="51"/>
  <c r="L1962" i="51"/>
  <c r="A1963" i="51"/>
  <c r="B1963" i="51"/>
  <c r="C1963" i="51"/>
  <c r="D1963" i="51"/>
  <c r="E1963" i="51"/>
  <c r="F1963" i="51"/>
  <c r="G1963" i="51" a="1"/>
  <c r="G1963" i="51" s="1"/>
  <c r="H1963" i="51" a="1"/>
  <c r="H1963" i="51" s="1"/>
  <c r="I1963" i="51"/>
  <c r="J1963" i="51"/>
  <c r="K1963" i="51"/>
  <c r="L1963" i="51"/>
  <c r="A1964" i="51"/>
  <c r="B1964" i="51"/>
  <c r="C1964" i="51"/>
  <c r="D1964" i="51"/>
  <c r="E1964" i="51"/>
  <c r="F1964" i="51"/>
  <c r="G1964" i="51" a="1"/>
  <c r="G1964" i="51" s="1"/>
  <c r="H1964" i="51" a="1"/>
  <c r="H1964" i="51" s="1"/>
  <c r="I1964" i="51"/>
  <c r="J1964" i="51"/>
  <c r="K1964" i="51"/>
  <c r="L1964" i="51"/>
  <c r="A1965" i="51"/>
  <c r="B1965" i="51"/>
  <c r="C1965" i="51"/>
  <c r="D1965" i="51"/>
  <c r="E1965" i="51"/>
  <c r="F1965" i="51"/>
  <c r="G1965" i="51" a="1"/>
  <c r="G1965" i="51" s="1"/>
  <c r="H1965" i="51" a="1"/>
  <c r="H1965" i="51" s="1"/>
  <c r="I1965" i="51"/>
  <c r="J1965" i="51"/>
  <c r="K1965" i="51"/>
  <c r="L1965" i="51"/>
  <c r="A1966" i="51"/>
  <c r="B1966" i="51"/>
  <c r="C1966" i="51"/>
  <c r="D1966" i="51"/>
  <c r="E1966" i="51"/>
  <c r="F1966" i="51"/>
  <c r="G1966" i="51" a="1"/>
  <c r="G1966" i="51" s="1"/>
  <c r="H1966" i="51" a="1"/>
  <c r="H1966" i="51" s="1"/>
  <c r="I1966" i="51"/>
  <c r="J1966" i="51"/>
  <c r="K1966" i="51"/>
  <c r="L1966" i="51"/>
  <c r="A1967" i="51"/>
  <c r="B1967" i="51"/>
  <c r="C1967" i="51"/>
  <c r="D1967" i="51"/>
  <c r="E1967" i="51"/>
  <c r="F1967" i="51"/>
  <c r="G1967" i="51" a="1"/>
  <c r="G1967" i="51" s="1"/>
  <c r="H1967" i="51" a="1"/>
  <c r="H1967" i="51" s="1"/>
  <c r="I1967" i="51"/>
  <c r="J1967" i="51"/>
  <c r="K1967" i="51"/>
  <c r="L1967" i="51"/>
  <c r="A1968" i="51"/>
  <c r="B1968" i="51"/>
  <c r="C1968" i="51"/>
  <c r="D1968" i="51"/>
  <c r="E1968" i="51"/>
  <c r="F1968" i="51"/>
  <c r="G1968" i="51" a="1"/>
  <c r="G1968" i="51" s="1"/>
  <c r="H1968" i="51" a="1"/>
  <c r="H1968" i="51" s="1"/>
  <c r="I1968" i="51"/>
  <c r="J1968" i="51"/>
  <c r="K1968" i="51"/>
  <c r="L1968" i="51"/>
  <c r="A1969" i="51"/>
  <c r="B1969" i="51"/>
  <c r="C1969" i="51"/>
  <c r="D1969" i="51"/>
  <c r="E1969" i="51"/>
  <c r="F1969" i="51"/>
  <c r="G1969" i="51" a="1"/>
  <c r="G1969" i="51" s="1"/>
  <c r="H1969" i="51" a="1"/>
  <c r="H1969" i="51" s="1"/>
  <c r="I1969" i="51"/>
  <c r="J1969" i="51"/>
  <c r="K1969" i="51"/>
  <c r="L1969" i="51"/>
  <c r="A1970" i="51"/>
  <c r="B1970" i="51"/>
  <c r="C1970" i="51"/>
  <c r="D1970" i="51"/>
  <c r="E1970" i="51"/>
  <c r="F1970" i="51"/>
  <c r="G1970" i="51" a="1"/>
  <c r="G1970" i="51" s="1"/>
  <c r="H1970" i="51" a="1"/>
  <c r="H1970" i="51" s="1"/>
  <c r="I1970" i="51"/>
  <c r="J1970" i="51"/>
  <c r="K1970" i="51"/>
  <c r="L1970" i="51"/>
  <c r="A1971" i="51"/>
  <c r="B1971" i="51"/>
  <c r="C1971" i="51"/>
  <c r="D1971" i="51"/>
  <c r="E1971" i="51"/>
  <c r="F1971" i="51"/>
  <c r="G1971" i="51" a="1"/>
  <c r="G1971" i="51" s="1"/>
  <c r="H1971" i="51" a="1"/>
  <c r="H1971" i="51" s="1"/>
  <c r="I1971" i="51"/>
  <c r="J1971" i="51"/>
  <c r="K1971" i="51"/>
  <c r="L1971" i="51"/>
  <c r="A1972" i="51"/>
  <c r="B1972" i="51"/>
  <c r="C1972" i="51"/>
  <c r="D1972" i="51"/>
  <c r="E1972" i="51"/>
  <c r="F1972" i="51"/>
  <c r="G1972" i="51" a="1"/>
  <c r="G1972" i="51" s="1"/>
  <c r="H1972" i="51" a="1"/>
  <c r="H1972" i="51" s="1"/>
  <c r="I1972" i="51"/>
  <c r="J1972" i="51"/>
  <c r="K1972" i="51"/>
  <c r="L1972" i="51"/>
  <c r="A1973" i="51"/>
  <c r="B1973" i="51"/>
  <c r="C1973" i="51"/>
  <c r="D1973" i="51"/>
  <c r="E1973" i="51"/>
  <c r="F1973" i="51"/>
  <c r="G1973" i="51" a="1"/>
  <c r="G1973" i="51" s="1"/>
  <c r="H1973" i="51" a="1"/>
  <c r="H1973" i="51" s="1"/>
  <c r="I1973" i="51"/>
  <c r="J1973" i="51"/>
  <c r="K1973" i="51"/>
  <c r="L1973" i="51"/>
  <c r="A1974" i="51"/>
  <c r="B1974" i="51"/>
  <c r="C1974" i="51"/>
  <c r="D1974" i="51"/>
  <c r="E1974" i="51"/>
  <c r="F1974" i="51"/>
  <c r="G1974" i="51" a="1"/>
  <c r="G1974" i="51" s="1"/>
  <c r="H1974" i="51" a="1"/>
  <c r="H1974" i="51" s="1"/>
  <c r="I1974" i="51"/>
  <c r="J1974" i="51"/>
  <c r="K1974" i="51"/>
  <c r="L1974" i="51"/>
  <c r="A1975" i="51"/>
  <c r="B1975" i="51"/>
  <c r="C1975" i="51"/>
  <c r="D1975" i="51"/>
  <c r="E1975" i="51"/>
  <c r="F1975" i="51"/>
  <c r="G1975" i="51" a="1"/>
  <c r="G1975" i="51" s="1"/>
  <c r="H1975" i="51" a="1"/>
  <c r="H1975" i="51" s="1"/>
  <c r="I1975" i="51"/>
  <c r="J1975" i="51"/>
  <c r="K1975" i="51"/>
  <c r="L1975" i="51"/>
  <c r="A1976" i="51"/>
  <c r="B1976" i="51"/>
  <c r="C1976" i="51"/>
  <c r="D1976" i="51"/>
  <c r="E1976" i="51"/>
  <c r="F1976" i="51"/>
  <c r="G1976" i="51" a="1"/>
  <c r="G1976" i="51" s="1"/>
  <c r="H1976" i="51" a="1"/>
  <c r="H1976" i="51" s="1"/>
  <c r="I1976" i="51"/>
  <c r="J1976" i="51"/>
  <c r="K1976" i="51"/>
  <c r="L1976" i="51"/>
  <c r="A1977" i="51"/>
  <c r="B1977" i="51"/>
  <c r="C1977" i="51"/>
  <c r="D1977" i="51"/>
  <c r="E1977" i="51"/>
  <c r="F1977" i="51"/>
  <c r="G1977" i="51" a="1"/>
  <c r="G1977" i="51" s="1"/>
  <c r="H1977" i="51" a="1"/>
  <c r="H1977" i="51" s="1"/>
  <c r="I1977" i="51"/>
  <c r="J1977" i="51"/>
  <c r="K1977" i="51"/>
  <c r="L1977" i="51"/>
  <c r="A1978" i="51"/>
  <c r="B1978" i="51"/>
  <c r="C1978" i="51"/>
  <c r="D1978" i="51"/>
  <c r="E1978" i="51"/>
  <c r="F1978" i="51"/>
  <c r="G1978" i="51" a="1"/>
  <c r="G1978" i="51" s="1"/>
  <c r="H1978" i="51" a="1"/>
  <c r="H1978" i="51" s="1"/>
  <c r="I1978" i="51"/>
  <c r="J1978" i="51"/>
  <c r="K1978" i="51"/>
  <c r="L1978" i="51"/>
  <c r="A1979" i="51"/>
  <c r="B1979" i="51"/>
  <c r="C1979" i="51"/>
  <c r="D1979" i="51"/>
  <c r="E1979" i="51"/>
  <c r="F1979" i="51"/>
  <c r="G1979" i="51" a="1"/>
  <c r="G1979" i="51" s="1"/>
  <c r="H1979" i="51" a="1"/>
  <c r="H1979" i="51" s="1"/>
  <c r="I1979" i="51"/>
  <c r="J1979" i="51"/>
  <c r="K1979" i="51"/>
  <c r="L1979" i="51"/>
  <c r="A1980" i="51"/>
  <c r="B1980" i="51"/>
  <c r="C1980" i="51"/>
  <c r="D1980" i="51"/>
  <c r="E1980" i="51"/>
  <c r="F1980" i="51"/>
  <c r="G1980" i="51" a="1"/>
  <c r="G1980" i="51" s="1"/>
  <c r="H1980" i="51" a="1"/>
  <c r="H1980" i="51" s="1"/>
  <c r="I1980" i="51"/>
  <c r="J1980" i="51"/>
  <c r="K1980" i="51"/>
  <c r="L1980" i="51"/>
  <c r="A1981" i="51"/>
  <c r="B1981" i="51"/>
  <c r="C1981" i="51"/>
  <c r="D1981" i="51"/>
  <c r="E1981" i="51"/>
  <c r="F1981" i="51"/>
  <c r="G1981" i="51" a="1"/>
  <c r="G1981" i="51" s="1"/>
  <c r="H1981" i="51" a="1"/>
  <c r="H1981" i="51" s="1"/>
  <c r="I1981" i="51"/>
  <c r="J1981" i="51"/>
  <c r="K1981" i="51"/>
  <c r="L1981" i="51"/>
  <c r="A1982" i="51"/>
  <c r="B1982" i="51"/>
  <c r="C1982" i="51"/>
  <c r="D1982" i="51"/>
  <c r="E1982" i="51"/>
  <c r="F1982" i="51"/>
  <c r="G1982" i="51" a="1"/>
  <c r="G1982" i="51" s="1"/>
  <c r="H1982" i="51" a="1"/>
  <c r="H1982" i="51" s="1"/>
  <c r="I1982" i="51"/>
  <c r="J1982" i="51"/>
  <c r="K1982" i="51"/>
  <c r="L1982" i="51"/>
  <c r="A1983" i="51"/>
  <c r="B1983" i="51"/>
  <c r="C1983" i="51"/>
  <c r="D1983" i="51"/>
  <c r="E1983" i="51"/>
  <c r="F1983" i="51"/>
  <c r="G1983" i="51" a="1"/>
  <c r="G1983" i="51" s="1"/>
  <c r="H1983" i="51" a="1"/>
  <c r="H1983" i="51" s="1"/>
  <c r="I1983" i="51"/>
  <c r="J1983" i="51"/>
  <c r="K1983" i="51"/>
  <c r="L1983" i="51"/>
  <c r="A1984" i="51"/>
  <c r="B1984" i="51"/>
  <c r="C1984" i="51"/>
  <c r="D1984" i="51"/>
  <c r="E1984" i="51"/>
  <c r="F1984" i="51"/>
  <c r="G1984" i="51" a="1"/>
  <c r="G1984" i="51" s="1"/>
  <c r="H1984" i="51" a="1"/>
  <c r="H1984" i="51" s="1"/>
  <c r="I1984" i="51"/>
  <c r="J1984" i="51"/>
  <c r="K1984" i="51"/>
  <c r="L1984" i="51"/>
  <c r="A1985" i="51"/>
  <c r="B1985" i="51"/>
  <c r="C1985" i="51"/>
  <c r="D1985" i="51"/>
  <c r="E1985" i="51"/>
  <c r="F1985" i="51"/>
  <c r="G1985" i="51" a="1"/>
  <c r="G1985" i="51" s="1"/>
  <c r="H1985" i="51" a="1"/>
  <c r="H1985" i="51" s="1"/>
  <c r="I1985" i="51"/>
  <c r="J1985" i="51"/>
  <c r="K1985" i="51"/>
  <c r="L1985" i="51"/>
  <c r="A1986" i="51"/>
  <c r="B1986" i="51"/>
  <c r="C1986" i="51"/>
  <c r="D1986" i="51"/>
  <c r="E1986" i="51"/>
  <c r="F1986" i="51"/>
  <c r="G1986" i="51" a="1"/>
  <c r="G1986" i="51" s="1"/>
  <c r="H1986" i="51" a="1"/>
  <c r="H1986" i="51" s="1"/>
  <c r="I1986" i="51"/>
  <c r="J1986" i="51"/>
  <c r="K1986" i="51"/>
  <c r="L1986" i="51"/>
  <c r="A1987" i="51"/>
  <c r="B1987" i="51"/>
  <c r="C1987" i="51"/>
  <c r="D1987" i="51"/>
  <c r="E1987" i="51"/>
  <c r="F1987" i="51"/>
  <c r="G1987" i="51" a="1"/>
  <c r="G1987" i="51" s="1"/>
  <c r="H1987" i="51" a="1"/>
  <c r="H1987" i="51" s="1"/>
  <c r="I1987" i="51"/>
  <c r="J1987" i="51"/>
  <c r="K1987" i="51"/>
  <c r="L1987" i="51"/>
  <c r="A1988" i="51"/>
  <c r="B1988" i="51"/>
  <c r="C1988" i="51"/>
  <c r="D1988" i="51"/>
  <c r="E1988" i="51"/>
  <c r="F1988" i="51"/>
  <c r="G1988" i="51" a="1"/>
  <c r="G1988" i="51" s="1"/>
  <c r="H1988" i="51" a="1"/>
  <c r="H1988" i="51" s="1"/>
  <c r="I1988" i="51"/>
  <c r="J1988" i="51"/>
  <c r="K1988" i="51"/>
  <c r="L1988" i="51"/>
  <c r="A1989" i="51"/>
  <c r="B1989" i="51"/>
  <c r="C1989" i="51"/>
  <c r="D1989" i="51"/>
  <c r="E1989" i="51"/>
  <c r="F1989" i="51"/>
  <c r="G1989" i="51" a="1"/>
  <c r="G1989" i="51" s="1"/>
  <c r="H1989" i="51" a="1"/>
  <c r="H1989" i="51" s="1"/>
  <c r="I1989" i="51"/>
  <c r="J1989" i="51"/>
  <c r="K1989" i="51"/>
  <c r="L1989" i="51"/>
  <c r="A1990" i="51"/>
  <c r="B1990" i="51"/>
  <c r="C1990" i="51"/>
  <c r="D1990" i="51"/>
  <c r="E1990" i="51"/>
  <c r="F1990" i="51"/>
  <c r="G1990" i="51" a="1"/>
  <c r="G1990" i="51" s="1"/>
  <c r="H1990" i="51" a="1"/>
  <c r="H1990" i="51" s="1"/>
  <c r="I1990" i="51"/>
  <c r="J1990" i="51"/>
  <c r="K1990" i="51"/>
  <c r="L1990" i="51"/>
  <c r="A1991" i="51"/>
  <c r="B1991" i="51"/>
  <c r="C1991" i="51"/>
  <c r="D1991" i="51"/>
  <c r="E1991" i="51"/>
  <c r="F1991" i="51"/>
  <c r="G1991" i="51" a="1"/>
  <c r="G1991" i="51" s="1"/>
  <c r="H1991" i="51" a="1"/>
  <c r="H1991" i="51" s="1"/>
  <c r="I1991" i="51"/>
  <c r="J1991" i="51"/>
  <c r="K1991" i="51"/>
  <c r="L1991" i="51"/>
  <c r="A1992" i="51"/>
  <c r="B1992" i="51"/>
  <c r="C1992" i="51"/>
  <c r="D1992" i="51"/>
  <c r="E1992" i="51"/>
  <c r="F1992" i="51"/>
  <c r="G1992" i="51" a="1"/>
  <c r="G1992" i="51" s="1"/>
  <c r="H1992" i="51" a="1"/>
  <c r="H1992" i="51" s="1"/>
  <c r="I1992" i="51"/>
  <c r="J1992" i="51"/>
  <c r="K1992" i="51"/>
  <c r="L1992" i="51"/>
  <c r="A1993" i="51"/>
  <c r="B1993" i="51"/>
  <c r="C1993" i="51"/>
  <c r="D1993" i="51"/>
  <c r="E1993" i="51"/>
  <c r="F1993" i="51"/>
  <c r="G1993" i="51" a="1"/>
  <c r="G1993" i="51" s="1"/>
  <c r="H1993" i="51" a="1"/>
  <c r="H1993" i="51" s="1"/>
  <c r="I1993" i="51"/>
  <c r="J1993" i="51"/>
  <c r="K1993" i="51"/>
  <c r="L1993" i="51"/>
  <c r="A1994" i="51"/>
  <c r="B1994" i="51"/>
  <c r="C1994" i="51"/>
  <c r="D1994" i="51"/>
  <c r="E1994" i="51"/>
  <c r="F1994" i="51"/>
  <c r="G1994" i="51" a="1"/>
  <c r="G1994" i="51" s="1"/>
  <c r="H1994" i="51" a="1"/>
  <c r="H1994" i="51" s="1"/>
  <c r="I1994" i="51"/>
  <c r="J1994" i="51"/>
  <c r="K1994" i="51"/>
  <c r="L1994" i="51"/>
  <c r="A1995" i="51"/>
  <c r="B1995" i="51"/>
  <c r="C1995" i="51"/>
  <c r="D1995" i="51"/>
  <c r="E1995" i="51"/>
  <c r="F1995" i="51"/>
  <c r="G1995" i="51" a="1"/>
  <c r="G1995" i="51" s="1"/>
  <c r="H1995" i="51" a="1"/>
  <c r="H1995" i="51" s="1"/>
  <c r="I1995" i="51"/>
  <c r="J1995" i="51"/>
  <c r="K1995" i="51"/>
  <c r="L1995" i="51"/>
  <c r="A1996" i="51"/>
  <c r="B1996" i="51"/>
  <c r="C1996" i="51"/>
  <c r="D1996" i="51"/>
  <c r="E1996" i="51"/>
  <c r="F1996" i="51"/>
  <c r="G1996" i="51" a="1"/>
  <c r="G1996" i="51" s="1"/>
  <c r="H1996" i="51" a="1"/>
  <c r="H1996" i="51" s="1"/>
  <c r="I1996" i="51"/>
  <c r="J1996" i="51"/>
  <c r="K1996" i="51"/>
  <c r="L1996" i="51"/>
  <c r="A1997" i="51"/>
  <c r="B1997" i="51"/>
  <c r="C1997" i="51"/>
  <c r="D1997" i="51"/>
  <c r="E1997" i="51"/>
  <c r="F1997" i="51"/>
  <c r="G1997" i="51" a="1"/>
  <c r="G1997" i="51" s="1"/>
  <c r="H1997" i="51" a="1"/>
  <c r="H1997" i="51" s="1"/>
  <c r="I1997" i="51"/>
  <c r="J1997" i="51"/>
  <c r="K1997" i="51"/>
  <c r="L1997" i="51"/>
  <c r="A1998" i="51"/>
  <c r="B1998" i="51"/>
  <c r="C1998" i="51"/>
  <c r="D1998" i="51"/>
  <c r="E1998" i="51"/>
  <c r="F1998" i="51"/>
  <c r="G1998" i="51" a="1"/>
  <c r="G1998" i="51" s="1"/>
  <c r="H1998" i="51" a="1"/>
  <c r="H1998" i="51" s="1"/>
  <c r="I1998" i="51"/>
  <c r="J1998" i="51"/>
  <c r="K1998" i="51"/>
  <c r="L1998" i="51"/>
  <c r="A1999" i="51"/>
  <c r="B1999" i="51"/>
  <c r="C1999" i="51"/>
  <c r="D1999" i="51"/>
  <c r="E1999" i="51"/>
  <c r="F1999" i="51"/>
  <c r="G1999" i="51" a="1"/>
  <c r="G1999" i="51" s="1"/>
  <c r="H1999" i="51" a="1"/>
  <c r="H1999" i="51" s="1"/>
  <c r="I1999" i="51"/>
  <c r="J1999" i="51"/>
  <c r="K1999" i="51"/>
  <c r="L1999" i="51"/>
  <c r="A2000" i="51"/>
  <c r="B2000" i="51"/>
  <c r="C2000" i="51"/>
  <c r="D2000" i="51"/>
  <c r="E2000" i="51"/>
  <c r="F2000" i="51"/>
  <c r="G2000" i="51" a="1"/>
  <c r="G2000" i="51" s="1"/>
  <c r="H2000" i="51" a="1"/>
  <c r="H2000" i="51" s="1"/>
  <c r="I2000" i="51"/>
  <c r="J2000" i="51"/>
  <c r="K2000" i="51"/>
  <c r="L2000" i="51"/>
  <c r="A2001" i="51"/>
  <c r="B2001" i="51"/>
  <c r="C2001" i="51"/>
  <c r="D2001" i="51"/>
  <c r="E2001" i="51"/>
  <c r="F2001" i="51"/>
  <c r="G2001" i="51" a="1"/>
  <c r="G2001" i="51" s="1"/>
  <c r="H2001" i="51" a="1"/>
  <c r="H2001" i="51" s="1"/>
  <c r="I2001" i="51"/>
  <c r="J2001" i="51"/>
  <c r="K2001" i="51"/>
  <c r="L2001" i="51"/>
  <c r="A2002" i="51"/>
  <c r="B2002" i="51"/>
  <c r="C2002" i="51"/>
  <c r="D2002" i="51"/>
  <c r="E2002" i="51"/>
  <c r="F2002" i="51"/>
  <c r="G2002" i="51" a="1"/>
  <c r="G2002" i="51" s="1"/>
  <c r="H2002" i="51" a="1"/>
  <c r="H2002" i="51" s="1"/>
  <c r="I2002" i="51"/>
  <c r="J2002" i="51"/>
  <c r="K2002" i="51"/>
  <c r="L2002" i="51"/>
  <c r="A2003" i="51"/>
  <c r="B2003" i="51"/>
  <c r="C2003" i="51"/>
  <c r="D2003" i="51"/>
  <c r="E2003" i="51"/>
  <c r="F2003" i="51"/>
  <c r="G2003" i="51" a="1"/>
  <c r="G2003" i="51" s="1"/>
  <c r="H2003" i="51" a="1"/>
  <c r="H2003" i="51" s="1"/>
  <c r="I2003" i="51"/>
  <c r="J2003" i="51"/>
  <c r="K2003" i="51"/>
  <c r="L2003" i="51"/>
  <c r="A2004" i="51"/>
  <c r="B2004" i="51"/>
  <c r="C2004" i="51"/>
  <c r="D2004" i="51"/>
  <c r="E2004" i="51"/>
  <c r="F2004" i="51"/>
  <c r="G2004" i="51" a="1"/>
  <c r="G2004" i="51" s="1"/>
  <c r="H2004" i="51" a="1"/>
  <c r="H2004" i="51" s="1"/>
  <c r="I2004" i="51"/>
  <c r="J2004" i="51"/>
  <c r="K2004" i="51"/>
  <c r="L2004" i="51"/>
  <c r="A2005" i="51"/>
  <c r="B2005" i="51"/>
  <c r="C2005" i="51"/>
  <c r="D2005" i="51"/>
  <c r="E2005" i="51"/>
  <c r="F2005" i="51"/>
  <c r="G2005" i="51" a="1"/>
  <c r="G2005" i="51" s="1"/>
  <c r="H2005" i="51" a="1"/>
  <c r="H2005" i="51" s="1"/>
  <c r="I2005" i="51"/>
  <c r="J2005" i="51"/>
  <c r="K2005" i="51"/>
  <c r="L2005" i="51"/>
  <c r="A2006" i="51"/>
  <c r="B2006" i="51"/>
  <c r="C2006" i="51"/>
  <c r="D2006" i="51"/>
  <c r="E2006" i="51"/>
  <c r="F2006" i="51"/>
  <c r="G2006" i="51" a="1"/>
  <c r="G2006" i="51" s="1"/>
  <c r="H2006" i="51" a="1"/>
  <c r="H2006" i="51" s="1"/>
  <c r="I2006" i="51"/>
  <c r="J2006" i="51"/>
  <c r="K2006" i="51"/>
  <c r="L2006" i="51"/>
  <c r="A2007" i="51"/>
  <c r="B2007" i="51"/>
  <c r="C2007" i="51"/>
  <c r="D2007" i="51"/>
  <c r="E2007" i="51"/>
  <c r="F2007" i="51"/>
  <c r="G2007" i="51" a="1"/>
  <c r="G2007" i="51" s="1"/>
  <c r="H2007" i="51" a="1"/>
  <c r="H2007" i="51" s="1"/>
  <c r="I2007" i="51"/>
  <c r="J2007" i="51"/>
  <c r="K2007" i="51"/>
  <c r="L2007" i="51"/>
  <c r="L8" i="51"/>
  <c r="K8" i="51"/>
  <c r="J8" i="51"/>
  <c r="I8" i="51"/>
  <c r="H8" i="51" a="1"/>
  <c r="H8" i="51" s="1"/>
  <c r="G8" i="51" a="1"/>
  <c r="G8" i="51" s="1"/>
  <c r="F8" i="51"/>
  <c r="E8" i="51"/>
  <c r="D8" i="51"/>
  <c r="C8" i="51"/>
  <c r="B8" i="51"/>
  <c r="A8" i="51"/>
  <c r="K3" i="55" a="1"/>
  <c r="K3" i="55" s="1"/>
  <c r="I2" i="55" a="1"/>
  <c r="I2" i="55" s="1"/>
  <c r="D2" i="45"/>
  <c r="B2" i="45"/>
  <c r="A2" i="55" a="1"/>
  <c r="A2" i="55" s="1"/>
  <c r="R2516" i="44"/>
  <c r="R2517" i="44"/>
  <c r="R2515" i="44"/>
  <c r="R2514" i="44"/>
  <c r="R2513" i="44"/>
  <c r="R2512" i="44"/>
  <c r="R2511" i="44"/>
  <c r="R2510" i="44"/>
  <c r="R2509" i="44"/>
  <c r="R2508" i="44"/>
  <c r="R2507" i="44"/>
  <c r="R2506" i="44"/>
  <c r="R2505" i="44"/>
  <c r="R2504" i="44"/>
  <c r="R2503" i="44"/>
  <c r="B245" i="44"/>
  <c r="Z2900" i="44"/>
  <c r="Z2901" i="44"/>
  <c r="Z2902" i="44"/>
  <c r="Z2903" i="44"/>
  <c r="Z2904" i="44"/>
  <c r="Z2905" i="44"/>
  <c r="Z2906" i="44"/>
  <c r="Z2907" i="44"/>
  <c r="Z2908" i="44"/>
  <c r="Z2909" i="44"/>
  <c r="Z2910" i="44"/>
  <c r="Z2911" i="44"/>
  <c r="Z2912" i="44"/>
  <c r="Z2913" i="44"/>
  <c r="Z2914" i="44"/>
  <c r="Z2915" i="44"/>
  <c r="Z2916" i="44"/>
  <c r="Z2917" i="44"/>
  <c r="Z2918" i="44"/>
  <c r="Z2919" i="44"/>
  <c r="Z2920" i="44"/>
  <c r="Z2921" i="44"/>
  <c r="Z2922" i="44"/>
  <c r="Z2923" i="44"/>
  <c r="Z2924" i="44"/>
  <c r="Z2925" i="44"/>
  <c r="Z2926" i="44"/>
  <c r="Z2927" i="44"/>
  <c r="Z2928" i="44"/>
  <c r="Z2929" i="44"/>
  <c r="Z2930" i="44"/>
  <c r="Z2931" i="44"/>
  <c r="Z2932" i="44"/>
  <c r="Z2933" i="44"/>
  <c r="Z2934" i="44"/>
  <c r="Z2935" i="44"/>
  <c r="Z2936" i="44"/>
  <c r="Z2937" i="44"/>
  <c r="Z2938" i="44"/>
  <c r="Z2939" i="44"/>
  <c r="Z2940" i="44"/>
  <c r="Z2941" i="44"/>
  <c r="Z2942" i="44"/>
  <c r="Z2943" i="44"/>
  <c r="Z2944" i="44"/>
  <c r="Z2945" i="44"/>
  <c r="Z2946" i="44"/>
  <c r="Z2947" i="44"/>
  <c r="Z2948" i="44"/>
  <c r="Z2949" i="44"/>
  <c r="Z2950" i="44"/>
  <c r="Z2951" i="44"/>
  <c r="Z2952" i="44"/>
  <c r="Z2953" i="44"/>
  <c r="Z2954" i="44"/>
  <c r="Z2955" i="44"/>
  <c r="Z2956" i="44"/>
  <c r="Z2957" i="44"/>
  <c r="Z2958" i="44"/>
  <c r="Z2959" i="44"/>
  <c r="Z2960" i="44"/>
  <c r="Z2961" i="44"/>
  <c r="Z2962" i="44"/>
  <c r="Z2963" i="44"/>
  <c r="Z2964" i="44"/>
  <c r="Z2965" i="44"/>
  <c r="Z2966" i="44"/>
  <c r="Z2967" i="44"/>
  <c r="Z2968" i="44"/>
  <c r="Z2969" i="44"/>
  <c r="Z2970" i="44"/>
  <c r="Z2971" i="44"/>
  <c r="Z2972" i="44"/>
  <c r="Z2973" i="44"/>
  <c r="Z2974" i="44"/>
  <c r="Z2975" i="44"/>
  <c r="Z2976" i="44"/>
  <c r="Z2977" i="44"/>
  <c r="Z2978" i="44"/>
  <c r="Z2979" i="44"/>
  <c r="Z2980" i="44"/>
  <c r="Z2981" i="44"/>
  <c r="Z2982" i="44"/>
  <c r="Z2983" i="44"/>
  <c r="Z2984" i="44"/>
  <c r="Z2985" i="44"/>
  <c r="Z2986" i="44"/>
  <c r="Z2987" i="44"/>
  <c r="Z2988" i="44"/>
  <c r="Z2989" i="44"/>
  <c r="Z2990" i="44"/>
  <c r="Z2991" i="44"/>
  <c r="Z2992" i="44"/>
  <c r="Z2993" i="44"/>
  <c r="Z2994" i="44"/>
  <c r="Z2995" i="44"/>
  <c r="Z2996" i="44"/>
  <c r="Z2997" i="44"/>
  <c r="Z2998" i="44"/>
  <c r="Z2999" i="44"/>
  <c r="Z3000" i="44"/>
  <c r="Z3001" i="44"/>
  <c r="Z3002" i="44"/>
  <c r="Z3003" i="44"/>
  <c r="Z3004" i="44"/>
  <c r="Z3005" i="44"/>
  <c r="Z3006" i="44"/>
  <c r="Z3007" i="44"/>
  <c r="Z3008" i="44"/>
  <c r="Z3009" i="44"/>
  <c r="Z3010" i="44"/>
  <c r="Z3011" i="44"/>
  <c r="Z3012" i="44"/>
  <c r="Z3013" i="44"/>
  <c r="Z3014" i="44"/>
  <c r="Z3015" i="44"/>
  <c r="Z3016" i="44"/>
  <c r="Z3017" i="44"/>
  <c r="Z3018" i="44"/>
  <c r="Z3019" i="44"/>
  <c r="Z3020" i="44"/>
  <c r="Z3021" i="44"/>
  <c r="Z3022" i="44"/>
  <c r="Z3023" i="44"/>
  <c r="Z3024" i="44"/>
  <c r="Z3025" i="44"/>
  <c r="Z3026" i="44"/>
  <c r="Z3027" i="44"/>
  <c r="Z3028" i="44"/>
  <c r="Z3029" i="44"/>
  <c r="Z3030" i="44"/>
  <c r="Z3031" i="44"/>
  <c r="Z3032" i="44"/>
  <c r="Z3033" i="44"/>
  <c r="Z3034" i="44"/>
  <c r="Z3035" i="44"/>
  <c r="Z3036" i="44"/>
  <c r="Z3037" i="44"/>
  <c r="Z3038" i="44"/>
  <c r="Z3039" i="44"/>
  <c r="Z3040" i="44"/>
  <c r="Z3041" i="44"/>
  <c r="Z3042" i="44"/>
  <c r="Z3043" i="44"/>
  <c r="Z3044" i="44"/>
  <c r="Z3045" i="44"/>
  <c r="Z3046" i="44"/>
  <c r="Z3047" i="44"/>
  <c r="Z3048" i="44"/>
  <c r="Z3049" i="44"/>
  <c r="Z3050" i="44"/>
  <c r="Z3051" i="44"/>
  <c r="Z3052" i="44"/>
  <c r="Z3053" i="44"/>
  <c r="Z3054" i="44"/>
  <c r="Z3055" i="44"/>
  <c r="Z3056" i="44"/>
  <c r="Z3057" i="44"/>
  <c r="Z3058" i="44"/>
  <c r="Z3059" i="44"/>
  <c r="Z3060" i="44"/>
  <c r="Z3061" i="44"/>
  <c r="Z3062" i="44"/>
  <c r="Z3063" i="44"/>
  <c r="Z3064" i="44"/>
  <c r="Z3065" i="44"/>
  <c r="Z3066" i="44"/>
  <c r="Z3067" i="44"/>
  <c r="Z3068" i="44"/>
  <c r="Z3069" i="44"/>
  <c r="Z3070" i="44"/>
  <c r="Z3071" i="44"/>
  <c r="Z3072" i="44"/>
  <c r="Z3073" i="44"/>
  <c r="Z3074" i="44"/>
  <c r="Z3075" i="44"/>
  <c r="Z3076" i="44"/>
  <c r="Z3077" i="44"/>
  <c r="Z3078" i="44"/>
  <c r="Z3079" i="44"/>
  <c r="Z3080" i="44"/>
  <c r="Z3081" i="44"/>
  <c r="Z3082" i="44"/>
  <c r="Z3083" i="44"/>
  <c r="Z3084" i="44"/>
  <c r="Z3085" i="44"/>
  <c r="Z3086" i="44"/>
  <c r="Z3087" i="44"/>
  <c r="Z3088" i="44"/>
  <c r="Z3089" i="44"/>
  <c r="Z3090" i="44"/>
  <c r="Z3091" i="44"/>
  <c r="Z3092" i="44"/>
  <c r="Z3093" i="44"/>
  <c r="Z3094" i="44"/>
  <c r="Z3095" i="44"/>
  <c r="Z3096" i="44"/>
  <c r="Z3097" i="44"/>
  <c r="Z3098" i="44"/>
  <c r="Z3099" i="44"/>
  <c r="Z3100" i="44"/>
  <c r="Z3101" i="44"/>
  <c r="Z3102" i="44"/>
  <c r="Z3103" i="44"/>
  <c r="Z3104" i="44"/>
  <c r="Z3105" i="44"/>
  <c r="Z3106" i="44"/>
  <c r="Z3107" i="44"/>
  <c r="Z3108" i="44"/>
  <c r="Z3109" i="44"/>
  <c r="Z3110" i="44"/>
  <c r="Z3111" i="44"/>
  <c r="Z3112" i="44"/>
  <c r="Z3113" i="44"/>
  <c r="Z3114" i="44"/>
  <c r="Z3115" i="44"/>
  <c r="Z3116" i="44"/>
  <c r="Z3117" i="44"/>
  <c r="Z3118" i="44"/>
  <c r="Z3119" i="44"/>
  <c r="Z3120" i="44"/>
  <c r="Z3121" i="44"/>
  <c r="Z3122" i="44"/>
  <c r="Z3123" i="44"/>
  <c r="Z3124" i="44"/>
  <c r="Z3125" i="44"/>
  <c r="Z3126" i="44"/>
  <c r="Z3127" i="44"/>
  <c r="Z3128" i="44"/>
  <c r="Z3129" i="44"/>
  <c r="Z3130" i="44"/>
  <c r="Z3131" i="44"/>
  <c r="Z3132" i="44"/>
  <c r="Z3133" i="44"/>
  <c r="Z3134" i="44"/>
  <c r="Z3135" i="44"/>
  <c r="Z3136" i="44"/>
  <c r="Z3137" i="44"/>
  <c r="Z3138" i="44"/>
  <c r="Z3139" i="44"/>
  <c r="Z3140" i="44"/>
  <c r="Z3141" i="44"/>
  <c r="Z3142" i="44"/>
  <c r="Z3143" i="44"/>
  <c r="Z3144" i="44"/>
  <c r="Z3145" i="44"/>
  <c r="Z3146" i="44"/>
  <c r="Z3147" i="44"/>
  <c r="Z3148" i="44"/>
  <c r="Z3149" i="44"/>
  <c r="Z3150" i="44"/>
  <c r="Z3151" i="44"/>
  <c r="Z3152" i="44"/>
  <c r="Z3153" i="44"/>
  <c r="Z3154" i="44"/>
  <c r="Z3155" i="44"/>
  <c r="Z3156" i="44"/>
  <c r="Z3157" i="44"/>
  <c r="Z3158" i="44"/>
  <c r="Z3159" i="44"/>
  <c r="Z3160" i="44"/>
  <c r="Z3161" i="44"/>
  <c r="Z3162" i="44"/>
  <c r="Z3163" i="44"/>
  <c r="Z3164" i="44"/>
  <c r="Z3165" i="44"/>
  <c r="Z3166" i="44"/>
  <c r="Z3167" i="44"/>
  <c r="Z3168" i="44"/>
  <c r="Z3169" i="44"/>
  <c r="Z3170" i="44"/>
  <c r="Z3171" i="44"/>
  <c r="Z3172" i="44"/>
  <c r="Z3173" i="44"/>
  <c r="Z3174" i="44"/>
  <c r="Z3175" i="44"/>
  <c r="Z3176" i="44"/>
  <c r="Z3177" i="44"/>
  <c r="Z3178" i="44"/>
  <c r="Z3179" i="44"/>
  <c r="Z3180" i="44"/>
  <c r="Z3181" i="44"/>
  <c r="Z3182" i="44"/>
  <c r="Z3183" i="44"/>
  <c r="Z3184" i="44"/>
  <c r="Z3185" i="44"/>
  <c r="Z3186" i="44"/>
  <c r="Z3187" i="44"/>
  <c r="Z3188" i="44"/>
  <c r="Z3189" i="44"/>
  <c r="Z3190" i="44"/>
  <c r="Z3191" i="44"/>
  <c r="Z3192" i="44"/>
  <c r="Z3193" i="44"/>
  <c r="Z3194" i="44"/>
  <c r="Z3195" i="44"/>
  <c r="Z3196" i="44"/>
  <c r="Z3197" i="44"/>
  <c r="Z3198" i="44"/>
  <c r="Z3199" i="44"/>
  <c r="Z3200" i="44"/>
  <c r="Z3201" i="44"/>
  <c r="Z3202" i="44"/>
  <c r="Z3203" i="44"/>
  <c r="Z3204" i="44"/>
  <c r="Z3205" i="44"/>
  <c r="Z3206" i="44"/>
  <c r="Z3207" i="44"/>
  <c r="Z3208" i="44"/>
  <c r="Z3209" i="44"/>
  <c r="Z3210" i="44"/>
  <c r="Z3211" i="44"/>
  <c r="Z3212" i="44"/>
  <c r="Z3213" i="44"/>
  <c r="Z3214" i="44"/>
  <c r="Z3215" i="44"/>
  <c r="Z3216" i="44"/>
  <c r="Z3217" i="44"/>
  <c r="Z3218" i="44"/>
  <c r="Z3219" i="44"/>
  <c r="Z3220" i="44"/>
  <c r="Z3221" i="44"/>
  <c r="Z3222" i="44"/>
  <c r="Z3223" i="44"/>
  <c r="Z3224" i="44"/>
  <c r="Z3225" i="44"/>
  <c r="Z3226" i="44"/>
  <c r="Z3227" i="44"/>
  <c r="Z3228" i="44"/>
  <c r="Z3229" i="44"/>
  <c r="Z3230" i="44"/>
  <c r="Z3231" i="44"/>
  <c r="Z3232" i="44"/>
  <c r="Z3233" i="44"/>
  <c r="Z3234" i="44"/>
  <c r="Z3235" i="44"/>
  <c r="Z3236" i="44"/>
  <c r="Z3237" i="44"/>
  <c r="Z3238" i="44"/>
  <c r="Z3239" i="44"/>
  <c r="Z3240" i="44"/>
  <c r="Z3241" i="44"/>
  <c r="Z3242" i="44"/>
  <c r="Z3243" i="44"/>
  <c r="Z3244" i="44"/>
  <c r="Z3245" i="44"/>
  <c r="Z3246" i="44"/>
  <c r="Z3247" i="44"/>
  <c r="Z3248" i="44"/>
  <c r="Z3249" i="44"/>
  <c r="Z3250" i="44"/>
  <c r="Z3251" i="44"/>
  <c r="Z3252" i="44"/>
  <c r="Z3253" i="44"/>
  <c r="Z3254" i="44"/>
  <c r="Z3255" i="44"/>
  <c r="Z3256" i="44"/>
  <c r="Z3257" i="44"/>
  <c r="Z3258" i="44"/>
  <c r="Z3259" i="44"/>
  <c r="Z3260" i="44"/>
  <c r="Z3261" i="44"/>
  <c r="Z3262" i="44"/>
  <c r="Z3263" i="44"/>
  <c r="Z3264" i="44"/>
  <c r="Z3265" i="44"/>
  <c r="Z3266" i="44"/>
  <c r="Z3267" i="44"/>
  <c r="Z3268" i="44"/>
  <c r="Z3269" i="44"/>
  <c r="Z3270" i="44"/>
  <c r="Z3271" i="44"/>
  <c r="Z3272" i="44"/>
  <c r="Z3273" i="44"/>
  <c r="Z3274" i="44"/>
  <c r="Z3275" i="44"/>
  <c r="Z3276" i="44"/>
  <c r="Z3277" i="44"/>
  <c r="Z3278" i="44"/>
  <c r="Z3279" i="44"/>
  <c r="Z3280" i="44"/>
  <c r="Z3281" i="44"/>
  <c r="Z3282" i="44"/>
  <c r="Z3283" i="44"/>
  <c r="Z3284" i="44"/>
  <c r="Z3285" i="44"/>
  <c r="Z3286" i="44"/>
  <c r="Z3287" i="44"/>
  <c r="Z3288" i="44"/>
  <c r="Z3289" i="44"/>
  <c r="Z3290" i="44"/>
  <c r="Z3291" i="44"/>
  <c r="Z3292" i="44"/>
  <c r="Z3293" i="44"/>
  <c r="Z3294" i="44"/>
  <c r="Z3295" i="44"/>
  <c r="Z3296" i="44"/>
  <c r="Z3297" i="44"/>
  <c r="Z3298" i="44"/>
  <c r="Z3299" i="44"/>
  <c r="Z3300" i="44"/>
  <c r="Z3301" i="44"/>
  <c r="Z3302" i="44"/>
  <c r="Z3303" i="44"/>
  <c r="Z3304" i="44"/>
  <c r="Z3305" i="44"/>
  <c r="Z3306" i="44"/>
  <c r="Z3307" i="44"/>
  <c r="Z3308" i="44"/>
  <c r="Z3309" i="44"/>
  <c r="Z3310" i="44"/>
  <c r="Z3311" i="44"/>
  <c r="Z3312" i="44"/>
  <c r="Z3313" i="44"/>
  <c r="Z3314" i="44"/>
  <c r="Z3315" i="44"/>
  <c r="Z3316" i="44"/>
  <c r="Z3317" i="44"/>
  <c r="Z3318" i="44"/>
  <c r="Z3319" i="44"/>
  <c r="Z3320" i="44"/>
  <c r="Z3321" i="44"/>
  <c r="Z3322" i="44"/>
  <c r="Z3323" i="44"/>
  <c r="Z3324" i="44"/>
  <c r="Z3325" i="44"/>
  <c r="Z3326" i="44"/>
  <c r="Z3327" i="44"/>
  <c r="Z3328" i="44"/>
  <c r="Z3329" i="44"/>
  <c r="Z3330" i="44"/>
  <c r="Z3331" i="44"/>
  <c r="Z3332" i="44"/>
  <c r="Z3333" i="44"/>
  <c r="Z3334" i="44"/>
  <c r="Z3335" i="44"/>
  <c r="Z3336" i="44"/>
  <c r="Z3337" i="44"/>
  <c r="Z3338" i="44"/>
  <c r="Z3339" i="44"/>
  <c r="Z3340" i="44"/>
  <c r="Z3341" i="44"/>
  <c r="Z3342" i="44"/>
  <c r="Z3343" i="44"/>
  <c r="Z3344" i="44"/>
  <c r="Z3345" i="44"/>
  <c r="Z3346" i="44"/>
  <c r="Z3347" i="44"/>
  <c r="Z3348" i="44"/>
  <c r="Z3349" i="44"/>
  <c r="Z3350" i="44"/>
  <c r="Z3351" i="44"/>
  <c r="Z3352" i="44"/>
  <c r="Z3353" i="44"/>
  <c r="Z3354" i="44"/>
  <c r="Z3355" i="44"/>
  <c r="Z3356" i="44"/>
  <c r="Z3357" i="44"/>
  <c r="Z3358" i="44"/>
  <c r="Z3359" i="44"/>
  <c r="Z3360" i="44"/>
  <c r="Z3361" i="44"/>
  <c r="Z3362" i="44"/>
  <c r="Z3363" i="44"/>
  <c r="Z3364" i="44"/>
  <c r="Z3365" i="44"/>
  <c r="Z3366" i="44"/>
  <c r="Z3367" i="44"/>
  <c r="Z3368" i="44"/>
  <c r="Z3369" i="44"/>
  <c r="Z3370" i="44"/>
  <c r="Z3371" i="44"/>
  <c r="Z3372" i="44"/>
  <c r="Z3373" i="44"/>
  <c r="Z3374" i="44"/>
  <c r="Z3375" i="44"/>
  <c r="Z3376" i="44"/>
  <c r="Z3377" i="44"/>
  <c r="Z3378" i="44"/>
  <c r="Z3379" i="44"/>
  <c r="Z3380" i="44"/>
  <c r="Z3381" i="44"/>
  <c r="Z3382" i="44"/>
  <c r="Z3383" i="44"/>
  <c r="Z3384" i="44"/>
  <c r="Z3385" i="44"/>
  <c r="Z3386" i="44"/>
  <c r="Z3387" i="44"/>
  <c r="Z3388" i="44"/>
  <c r="Z3389" i="44"/>
  <c r="Z3390" i="44"/>
  <c r="Z3391" i="44"/>
  <c r="Z3392" i="44"/>
  <c r="Z3393" i="44"/>
  <c r="Z3394" i="44"/>
  <c r="Z3395" i="44"/>
  <c r="Z3396" i="44"/>
  <c r="Z3397" i="44"/>
  <c r="Z3398" i="44"/>
  <c r="Z3399" i="44"/>
  <c r="Z3400" i="44"/>
  <c r="Z3401" i="44"/>
  <c r="Z3402" i="44"/>
  <c r="Z3403" i="44"/>
  <c r="Z3404" i="44"/>
  <c r="Z3405" i="44"/>
  <c r="Z3406" i="44"/>
  <c r="Z3407" i="44"/>
  <c r="Z3408" i="44"/>
  <c r="Z3409" i="44"/>
  <c r="Z3410" i="44"/>
  <c r="Z3411" i="44"/>
  <c r="Z3412" i="44"/>
  <c r="Z3413" i="44"/>
  <c r="Z3414" i="44"/>
  <c r="Z3415" i="44"/>
  <c r="Z3416" i="44"/>
  <c r="Z3417" i="44"/>
  <c r="Z3418" i="44"/>
  <c r="Z3419" i="44"/>
  <c r="Z3420" i="44"/>
  <c r="Z3421" i="44"/>
  <c r="Z3422" i="44"/>
  <c r="Z3423" i="44"/>
  <c r="Z3424" i="44"/>
  <c r="Z3425" i="44"/>
  <c r="Z3426" i="44"/>
  <c r="Z3427" i="44"/>
  <c r="Z3428" i="44"/>
  <c r="Z3429" i="44"/>
  <c r="Z3430" i="44"/>
  <c r="Z3431" i="44"/>
  <c r="Z3432" i="44"/>
  <c r="Z3433" i="44"/>
  <c r="Z3434" i="44"/>
  <c r="Z3435" i="44"/>
  <c r="Z3436" i="44"/>
  <c r="Z3437" i="44"/>
  <c r="Z3438" i="44"/>
  <c r="Z3439" i="44"/>
  <c r="Z3440" i="44"/>
  <c r="Z3441" i="44"/>
  <c r="Z3442" i="44"/>
  <c r="Z3443" i="44"/>
  <c r="Z3444" i="44"/>
  <c r="Z3445" i="44"/>
  <c r="Z3446" i="44"/>
  <c r="Z3447" i="44"/>
  <c r="Z3448" i="44"/>
  <c r="Z3449" i="44"/>
  <c r="Z3450" i="44"/>
  <c r="Z3451" i="44"/>
  <c r="Z3452" i="44"/>
  <c r="Z3453" i="44"/>
  <c r="Z3454" i="44"/>
  <c r="Z3455" i="44"/>
  <c r="Z3456" i="44"/>
  <c r="Z3457" i="44"/>
  <c r="Z3458" i="44"/>
  <c r="Z3459" i="44"/>
  <c r="Z3460" i="44"/>
  <c r="Z3461" i="44"/>
  <c r="Z3462" i="44"/>
  <c r="Z3463" i="44"/>
  <c r="Z3464" i="44"/>
  <c r="Z3465" i="44"/>
  <c r="Z3466" i="44"/>
  <c r="Z3467" i="44"/>
  <c r="Z3468" i="44"/>
  <c r="Z3469" i="44"/>
  <c r="Z3470" i="44"/>
  <c r="Z3471" i="44"/>
  <c r="Z3472" i="44"/>
  <c r="Z3473" i="44"/>
  <c r="Z3474" i="44"/>
  <c r="Z3475" i="44"/>
  <c r="Z3476" i="44"/>
  <c r="Z3477" i="44"/>
  <c r="Z3478" i="44"/>
  <c r="Z3479" i="44"/>
  <c r="Z3480" i="44"/>
  <c r="Z3481" i="44"/>
  <c r="Z3482" i="44"/>
  <c r="Z3483" i="44"/>
  <c r="Z3484" i="44"/>
  <c r="Z3485" i="44"/>
  <c r="Z3486" i="44"/>
  <c r="Z3487" i="44"/>
  <c r="Z3488" i="44"/>
  <c r="Z3489" i="44"/>
  <c r="Z3490" i="44"/>
  <c r="Z3491" i="44"/>
  <c r="Z3492" i="44"/>
  <c r="Z3493" i="44"/>
  <c r="Z3494" i="44"/>
  <c r="Z3495" i="44"/>
  <c r="Z3496" i="44"/>
  <c r="Z3497" i="44"/>
  <c r="Z3498" i="44"/>
  <c r="Z3499" i="44"/>
  <c r="Z3500" i="44"/>
  <c r="Z3501" i="44"/>
  <c r="Z3502" i="44"/>
  <c r="Z3503" i="44"/>
  <c r="Z3504" i="44"/>
  <c r="Z3505" i="44"/>
  <c r="Z3506" i="44"/>
  <c r="Z3507" i="44"/>
  <c r="Z3508" i="44"/>
  <c r="Z3509" i="44"/>
  <c r="Z3510" i="44"/>
  <c r="Z3511" i="44"/>
  <c r="Z3512" i="44"/>
  <c r="Z3513" i="44"/>
  <c r="Z3514" i="44"/>
  <c r="Z3515" i="44"/>
  <c r="Z3516" i="44"/>
  <c r="Z3517" i="44"/>
  <c r="Z3518" i="44"/>
  <c r="Z3519" i="44"/>
  <c r="Z3520" i="44"/>
  <c r="Z3521" i="44"/>
  <c r="Z3522" i="44"/>
  <c r="Z3523" i="44"/>
  <c r="Z3524" i="44"/>
  <c r="Z3525" i="44"/>
  <c r="Z3526" i="44"/>
  <c r="Z3527" i="44"/>
  <c r="Z3528" i="44"/>
  <c r="Z3529" i="44"/>
  <c r="Z3530" i="44"/>
  <c r="Z3531" i="44"/>
  <c r="Z3532" i="44"/>
  <c r="Z3533" i="44"/>
  <c r="Z3534" i="44"/>
  <c r="Z3535" i="44"/>
  <c r="Z3536" i="44"/>
  <c r="Z3537" i="44"/>
  <c r="Z3538" i="44"/>
  <c r="Z3539" i="44"/>
  <c r="Z3540" i="44"/>
  <c r="Z3541" i="44"/>
  <c r="Z3542" i="44"/>
  <c r="Z3543" i="44"/>
  <c r="Z3544" i="44"/>
  <c r="Z3545" i="44"/>
  <c r="Z3546" i="44"/>
  <c r="Z3547" i="44"/>
  <c r="Z3548" i="44"/>
  <c r="Z3549" i="44"/>
  <c r="Z3550" i="44"/>
  <c r="Z3551" i="44"/>
  <c r="Z3552" i="44"/>
  <c r="Z3553" i="44"/>
  <c r="Z3554" i="44"/>
  <c r="Z3555" i="44"/>
  <c r="Z3556" i="44"/>
  <c r="Z3557" i="44"/>
  <c r="Z3558" i="44"/>
  <c r="Z3559" i="44"/>
  <c r="Z3560" i="44"/>
  <c r="Z3561" i="44"/>
  <c r="Z3562" i="44"/>
  <c r="Z3563" i="44"/>
  <c r="Z3564" i="44"/>
  <c r="Z3565" i="44"/>
  <c r="Z3566" i="44"/>
  <c r="Z3567" i="44"/>
  <c r="Z3568" i="44"/>
  <c r="Z3569" i="44"/>
  <c r="Z3570" i="44"/>
  <c r="Z3571" i="44"/>
  <c r="Z3572" i="44"/>
  <c r="Z3573" i="44"/>
  <c r="Z3574" i="44"/>
  <c r="Z3575" i="44"/>
  <c r="Z3576" i="44"/>
  <c r="Z3577" i="44"/>
  <c r="Z3578" i="44"/>
  <c r="Z3579" i="44"/>
  <c r="Z3580" i="44"/>
  <c r="Z3581" i="44"/>
  <c r="Z3582" i="44"/>
  <c r="Z3583" i="44"/>
  <c r="Z3584" i="44"/>
  <c r="Z3585" i="44"/>
  <c r="Z3586" i="44"/>
  <c r="Z3587" i="44"/>
  <c r="Z3588" i="44"/>
  <c r="Z3589" i="44"/>
  <c r="Z3590" i="44"/>
  <c r="Z3591" i="44"/>
  <c r="Z3592" i="44"/>
  <c r="Z3593" i="44"/>
  <c r="Z3594" i="44"/>
  <c r="Z3595" i="44"/>
  <c r="Z3596" i="44"/>
  <c r="Z3597" i="44"/>
  <c r="Z3598" i="44"/>
  <c r="Z3599" i="44"/>
  <c r="Z3600" i="44"/>
  <c r="Z3601" i="44"/>
  <c r="Z3602" i="44"/>
  <c r="Z3603" i="44"/>
  <c r="Z3604" i="44"/>
  <c r="Z3605" i="44"/>
  <c r="Z3606" i="44"/>
  <c r="Z3607" i="44"/>
  <c r="Z3608" i="44"/>
  <c r="Z3609" i="44"/>
  <c r="Z3610" i="44"/>
  <c r="Z3611" i="44"/>
  <c r="Z3612" i="44"/>
  <c r="Z3613" i="44"/>
  <c r="Z3614" i="44"/>
  <c r="Z3615" i="44"/>
  <c r="Z3616" i="44"/>
  <c r="Z3617" i="44"/>
  <c r="Z3618" i="44"/>
  <c r="Z3619" i="44"/>
  <c r="Z3620" i="44"/>
  <c r="Z3621" i="44"/>
  <c r="Z3622" i="44"/>
  <c r="Z3623" i="44"/>
  <c r="Z3624" i="44"/>
  <c r="Z3625" i="44"/>
  <c r="Z3626" i="44"/>
  <c r="Z3627" i="44"/>
  <c r="Z3628" i="44"/>
  <c r="Z3629" i="44"/>
  <c r="Z3630" i="44"/>
  <c r="Z3631" i="44"/>
  <c r="Z3632" i="44"/>
  <c r="Z3633" i="44"/>
  <c r="Z3634" i="44"/>
  <c r="Z3635" i="44"/>
  <c r="Z3636" i="44"/>
  <c r="Z3637" i="44"/>
  <c r="Z3638" i="44"/>
  <c r="Z3639" i="44"/>
  <c r="Z3640" i="44"/>
  <c r="Z3641" i="44"/>
  <c r="Z3642" i="44"/>
  <c r="Z3643" i="44"/>
  <c r="Z3644" i="44"/>
  <c r="Z3645" i="44"/>
  <c r="Z3646" i="44"/>
  <c r="Z3647" i="44"/>
  <c r="Z3648" i="44"/>
  <c r="Z3649" i="44"/>
  <c r="Z3650" i="44"/>
  <c r="Z3651" i="44"/>
  <c r="Z3652" i="44"/>
  <c r="Z3653" i="44"/>
  <c r="Z3654" i="44"/>
  <c r="Z3655" i="44"/>
  <c r="Z3656" i="44"/>
  <c r="Z3657" i="44"/>
  <c r="Z3658" i="44"/>
  <c r="Z3659" i="44"/>
  <c r="Z3660" i="44"/>
  <c r="Z3661" i="44"/>
  <c r="Z3662" i="44"/>
  <c r="Z3663" i="44"/>
  <c r="Z3664" i="44"/>
  <c r="Z3665" i="44"/>
  <c r="Z3666" i="44"/>
  <c r="Z3667" i="44"/>
  <c r="Z3668" i="44"/>
  <c r="Z3669" i="44"/>
  <c r="Z3670" i="44"/>
  <c r="Z3671" i="44"/>
  <c r="Z3672" i="44"/>
  <c r="Z3673" i="44"/>
  <c r="Z3674" i="44"/>
  <c r="Z3675" i="44"/>
  <c r="Z3676" i="44"/>
  <c r="Z3677" i="44"/>
  <c r="Z3678" i="44"/>
  <c r="Z3679" i="44"/>
  <c r="Z3680" i="44"/>
  <c r="Z3681" i="44"/>
  <c r="Z3682" i="44"/>
  <c r="Z3683" i="44"/>
  <c r="Z3684" i="44"/>
  <c r="Z3685" i="44"/>
  <c r="Z3686" i="44"/>
  <c r="Z3687" i="44"/>
  <c r="Z3688" i="44"/>
  <c r="Z3689" i="44"/>
  <c r="Z3690" i="44"/>
  <c r="Z3691" i="44"/>
  <c r="Z3692" i="44"/>
  <c r="Z3693" i="44"/>
  <c r="Z3694" i="44"/>
  <c r="Z3695" i="44"/>
  <c r="Z3696" i="44"/>
  <c r="Z3697" i="44"/>
  <c r="Z3698" i="44"/>
  <c r="Z3699" i="44"/>
  <c r="Z3700" i="44"/>
  <c r="Z3701" i="44"/>
  <c r="Z3702" i="44"/>
  <c r="Z3703" i="44"/>
  <c r="Z3704" i="44"/>
  <c r="Z3705" i="44"/>
  <c r="Z3706" i="44"/>
  <c r="Z3707" i="44"/>
  <c r="Z3708" i="44"/>
  <c r="Z3709" i="44"/>
  <c r="Z3710" i="44"/>
  <c r="Z3711" i="44"/>
  <c r="Z3712" i="44"/>
  <c r="Z3713" i="44"/>
  <c r="Z3714" i="44"/>
  <c r="Z3715" i="44"/>
  <c r="Z3716" i="44"/>
  <c r="Z3717" i="44"/>
  <c r="Z3718" i="44"/>
  <c r="Z3719" i="44"/>
  <c r="Z3720" i="44"/>
  <c r="Z3721" i="44"/>
  <c r="Z3722" i="44"/>
  <c r="Z3723" i="44"/>
  <c r="Z3724" i="44"/>
  <c r="Z3725" i="44"/>
  <c r="Z3726" i="44"/>
  <c r="Z3727" i="44"/>
  <c r="Z3728" i="44"/>
  <c r="Z3729" i="44"/>
  <c r="Z3730" i="44"/>
  <c r="Z3731" i="44"/>
  <c r="Z3732" i="44"/>
  <c r="Z3733" i="44"/>
  <c r="Z3734" i="44"/>
  <c r="Z3735" i="44"/>
  <c r="Z3736" i="44"/>
  <c r="Z3737" i="44"/>
  <c r="Z3738" i="44"/>
  <c r="Z3739" i="44"/>
  <c r="Z3740" i="44"/>
  <c r="Z3741" i="44"/>
  <c r="Z3742" i="44"/>
  <c r="Z3743" i="44"/>
  <c r="Z3744" i="44"/>
  <c r="Z3745" i="44"/>
  <c r="Z3746" i="44"/>
  <c r="Z3747" i="44"/>
  <c r="Z3748" i="44"/>
  <c r="Z3749" i="44"/>
  <c r="Z3750" i="44"/>
  <c r="Z3751" i="44"/>
  <c r="Z3752" i="44"/>
  <c r="Z3753" i="44"/>
  <c r="Z3754" i="44"/>
  <c r="Z3755" i="44"/>
  <c r="Z3756" i="44"/>
  <c r="Z3757" i="44"/>
  <c r="Z3758" i="44"/>
  <c r="Z3759" i="44"/>
  <c r="Z3760" i="44"/>
  <c r="Z3761" i="44"/>
  <c r="Z3762" i="44"/>
  <c r="Z3763" i="44"/>
  <c r="Z3764" i="44"/>
  <c r="Z3765" i="44"/>
  <c r="Z3766" i="44"/>
  <c r="Z3767" i="44"/>
  <c r="Z3768" i="44"/>
  <c r="Z3769" i="44"/>
  <c r="Z3770" i="44"/>
  <c r="Z3771" i="44"/>
  <c r="Z3772" i="44"/>
  <c r="Z3773" i="44"/>
  <c r="Z3774" i="44"/>
  <c r="Z3775" i="44"/>
  <c r="Z3776" i="44"/>
  <c r="Z3777" i="44"/>
  <c r="Z3778" i="44"/>
  <c r="Z3779" i="44"/>
  <c r="Z3780" i="44"/>
  <c r="Z3781" i="44"/>
  <c r="Z3782" i="44"/>
  <c r="Z3783" i="44"/>
  <c r="Z3784" i="44"/>
  <c r="Z3785" i="44"/>
  <c r="Z3786" i="44"/>
  <c r="Z3787" i="44"/>
  <c r="Z3788" i="44"/>
  <c r="Z3789" i="44"/>
  <c r="Z3790" i="44"/>
  <c r="Z3791" i="44"/>
  <c r="Z3792" i="44"/>
  <c r="Z3793" i="44"/>
  <c r="Z3794" i="44"/>
  <c r="Z3795" i="44"/>
  <c r="Z3796" i="44"/>
  <c r="Z3797" i="44"/>
  <c r="Z3798" i="44"/>
  <c r="Z3799" i="44"/>
  <c r="Z3800" i="44"/>
  <c r="Z3801" i="44"/>
  <c r="Z3802" i="44"/>
  <c r="Z3803" i="44"/>
  <c r="Z3804" i="44"/>
  <c r="Z3805" i="44"/>
  <c r="Z3806" i="44"/>
  <c r="Z3807" i="44"/>
  <c r="Z3808" i="44"/>
  <c r="Z3809" i="44"/>
  <c r="Z3810" i="44"/>
  <c r="Z3811" i="44"/>
  <c r="Z3812" i="44"/>
  <c r="Z3813" i="44"/>
  <c r="Z3814" i="44"/>
  <c r="Z3815" i="44"/>
  <c r="Z3816" i="44"/>
  <c r="Z3817" i="44"/>
  <c r="Z3818" i="44"/>
  <c r="Z3819" i="44"/>
  <c r="Z3820" i="44"/>
  <c r="Z3821" i="44"/>
  <c r="Z3822" i="44"/>
  <c r="Z3823" i="44"/>
  <c r="Z3824" i="44"/>
  <c r="Z3825" i="44"/>
  <c r="Z3826" i="44"/>
  <c r="Z3827" i="44"/>
  <c r="Z3828" i="44"/>
  <c r="Z3829" i="44"/>
  <c r="Z3830" i="44"/>
  <c r="Z3831" i="44"/>
  <c r="Z3832" i="44"/>
  <c r="Z3833" i="44"/>
  <c r="Z3834" i="44"/>
  <c r="Z3835" i="44"/>
  <c r="Z3836" i="44"/>
  <c r="Z3837" i="44"/>
  <c r="Z3838" i="44"/>
  <c r="Z3839" i="44"/>
  <c r="Z3840" i="44"/>
  <c r="Z3841" i="44"/>
  <c r="Z3842" i="44"/>
  <c r="Z3843" i="44"/>
  <c r="Z3844" i="44"/>
  <c r="Z3845" i="44"/>
  <c r="Z3846" i="44"/>
  <c r="Z3847" i="44"/>
  <c r="Z3848" i="44"/>
  <c r="Z3849" i="44"/>
  <c r="Z3850" i="44"/>
  <c r="Z3851" i="44"/>
  <c r="Z3852" i="44"/>
  <c r="Z3853" i="44"/>
  <c r="Z3854" i="44"/>
  <c r="Z3855" i="44"/>
  <c r="Z3856" i="44"/>
  <c r="Z3857" i="44"/>
  <c r="Z3858" i="44"/>
  <c r="Z3859" i="44"/>
  <c r="Z3860" i="44"/>
  <c r="Z3861" i="44"/>
  <c r="Z3862" i="44"/>
  <c r="Z3863" i="44"/>
  <c r="Z3864" i="44"/>
  <c r="Z3865" i="44"/>
  <c r="Z3866" i="44"/>
  <c r="Z3867" i="44"/>
  <c r="Z3868" i="44"/>
  <c r="Z3869" i="44"/>
  <c r="Z3870" i="44"/>
  <c r="Z3871" i="44"/>
  <c r="Z3872" i="44"/>
  <c r="Z3873" i="44"/>
  <c r="Z3874" i="44"/>
  <c r="Z3875" i="44"/>
  <c r="Z3876" i="44"/>
  <c r="Z3877" i="44"/>
  <c r="Z3878" i="44"/>
  <c r="Z3879" i="44"/>
  <c r="Z3880" i="44"/>
  <c r="Z3881" i="44"/>
  <c r="Z3882" i="44"/>
  <c r="Z3883" i="44"/>
  <c r="Z3884" i="44"/>
  <c r="Z3885" i="44"/>
  <c r="Z3886" i="44"/>
  <c r="Z3887" i="44"/>
  <c r="Z3888" i="44"/>
  <c r="Z3889" i="44"/>
  <c r="Z3890" i="44"/>
  <c r="Z3891" i="44"/>
  <c r="Z3892" i="44"/>
  <c r="Z3893" i="44"/>
  <c r="Z3894" i="44"/>
  <c r="Z3895" i="44"/>
  <c r="Z3896" i="44"/>
  <c r="Z3897" i="44"/>
  <c r="Z3898" i="44"/>
  <c r="Z3899" i="44"/>
  <c r="Z3900" i="44"/>
  <c r="Z3901" i="44"/>
  <c r="Z3902" i="44"/>
  <c r="Z3903" i="44"/>
  <c r="Z3904" i="44"/>
  <c r="Z3905" i="44"/>
  <c r="Z3906" i="44"/>
  <c r="Z3907" i="44"/>
  <c r="Z3908" i="44"/>
  <c r="Z3909" i="44"/>
  <c r="Z3910" i="44"/>
  <c r="Z3911" i="44"/>
  <c r="Z3912" i="44"/>
  <c r="Z3913" i="44"/>
  <c r="Z3914" i="44"/>
  <c r="Z3915" i="44"/>
  <c r="Z3916" i="44"/>
  <c r="Z3917" i="44"/>
  <c r="Z3918" i="44"/>
  <c r="Z3919" i="44"/>
  <c r="Z3920" i="44"/>
  <c r="Z3921" i="44"/>
  <c r="Z3922" i="44"/>
  <c r="Z3923" i="44"/>
  <c r="Z3924" i="44"/>
  <c r="Z3925" i="44"/>
  <c r="Z3926" i="44"/>
  <c r="Z3927" i="44"/>
  <c r="Z3928" i="44"/>
  <c r="Z3929" i="44"/>
  <c r="Z3930" i="44"/>
  <c r="Z3931" i="44"/>
  <c r="Z3932" i="44"/>
  <c r="Z3933" i="44"/>
  <c r="Z3934" i="44"/>
  <c r="Z3935" i="44"/>
  <c r="Z3936" i="44"/>
  <c r="Z3937" i="44"/>
  <c r="Z3938" i="44"/>
  <c r="Z3939" i="44"/>
  <c r="Z3940" i="44"/>
  <c r="Z3941" i="44"/>
  <c r="Z3942" i="44"/>
  <c r="Z3943" i="44"/>
  <c r="Z3944" i="44"/>
  <c r="Z3945" i="44"/>
  <c r="Z3946" i="44"/>
  <c r="Z3947" i="44"/>
  <c r="Z3948" i="44"/>
  <c r="Z3949" i="44"/>
  <c r="Z3950" i="44"/>
  <c r="Z3951" i="44"/>
  <c r="Z3952" i="44"/>
  <c r="Z3953" i="44"/>
  <c r="Z3954" i="44"/>
  <c r="Z3955" i="44"/>
  <c r="Z3956" i="44"/>
  <c r="Z3957" i="44"/>
  <c r="Z3958" i="44"/>
  <c r="Z3959" i="44"/>
  <c r="Z3960" i="44"/>
  <c r="Z3961" i="44"/>
  <c r="Z3962" i="44"/>
  <c r="Z3963" i="44"/>
  <c r="Z3964" i="44"/>
  <c r="Z3965" i="44"/>
  <c r="Z3966" i="44"/>
  <c r="Z3967" i="44"/>
  <c r="Z3968" i="44"/>
  <c r="Z3969" i="44"/>
  <c r="Z3970" i="44"/>
  <c r="Z3971" i="44"/>
  <c r="Z3972" i="44"/>
  <c r="Z3973" i="44"/>
  <c r="Z3974" i="44"/>
  <c r="Z3975" i="44"/>
  <c r="Z3976" i="44"/>
  <c r="Z3977" i="44"/>
  <c r="Z3978" i="44"/>
  <c r="Z3979" i="44"/>
  <c r="Z3980" i="44"/>
  <c r="Z3981" i="44"/>
  <c r="Z3982" i="44"/>
  <c r="Z3983" i="44"/>
  <c r="Z3984" i="44"/>
  <c r="Z3985" i="44"/>
  <c r="Z3986" i="44"/>
  <c r="Z3987" i="44"/>
  <c r="Z3988" i="44"/>
  <c r="Z3989" i="44"/>
  <c r="Z3990" i="44"/>
  <c r="Z3991" i="44"/>
  <c r="Z3992" i="44"/>
  <c r="Z3993" i="44"/>
  <c r="Z3994" i="44"/>
  <c r="Z3995" i="44"/>
  <c r="Z3996" i="44"/>
  <c r="Z3997" i="44"/>
  <c r="Z3998" i="44"/>
  <c r="Z3999" i="44"/>
  <c r="Z4000" i="44"/>
  <c r="Z4001" i="44"/>
  <c r="Z4002" i="44"/>
  <c r="Z4003" i="44"/>
  <c r="Z4004" i="44"/>
  <c r="Z4005" i="44"/>
  <c r="Z4006" i="44"/>
  <c r="Z4007" i="44"/>
  <c r="Z4008" i="44"/>
  <c r="Z4009" i="44"/>
  <c r="Z4010" i="44"/>
  <c r="Z4011" i="44"/>
  <c r="Z4012" i="44"/>
  <c r="Z4013" i="44"/>
  <c r="Z4014" i="44"/>
  <c r="Z4015" i="44"/>
  <c r="Z4016" i="44"/>
  <c r="Z4017" i="44"/>
  <c r="Z4018" i="44"/>
  <c r="Z4019" i="44"/>
  <c r="Z4020" i="44"/>
  <c r="Z4021" i="44"/>
  <c r="Z4022" i="44"/>
  <c r="Z4023" i="44"/>
  <c r="Z4024" i="44"/>
  <c r="Z4025" i="44"/>
  <c r="Z4026" i="44"/>
  <c r="Z4027" i="44"/>
  <c r="Z4028" i="44"/>
  <c r="Z4029" i="44"/>
  <c r="Z4030" i="44"/>
  <c r="Z4031" i="44"/>
  <c r="Z4032" i="44"/>
  <c r="Z4033" i="44"/>
  <c r="Z4034" i="44"/>
  <c r="Z4035" i="44"/>
  <c r="Z4036" i="44"/>
  <c r="Z4037" i="44"/>
  <c r="Z4038" i="44"/>
  <c r="Z4039" i="44"/>
  <c r="Z4040" i="44"/>
  <c r="Z4041" i="44"/>
  <c r="Z4042" i="44"/>
  <c r="Z4043" i="44"/>
  <c r="Z4044" i="44"/>
  <c r="Z4045" i="44"/>
  <c r="Z4046" i="44"/>
  <c r="Z4047" i="44"/>
  <c r="Z4048" i="44"/>
  <c r="Z4049" i="44"/>
  <c r="Z4050" i="44"/>
  <c r="Z4051" i="44"/>
  <c r="Z4052" i="44"/>
  <c r="Z4053" i="44"/>
  <c r="Z4054" i="44"/>
  <c r="Z4055" i="44"/>
  <c r="Z4056" i="44"/>
  <c r="Z4057" i="44"/>
  <c r="Z4058" i="44"/>
  <c r="Z4059" i="44"/>
  <c r="Z4060" i="44"/>
  <c r="Z4061" i="44"/>
  <c r="Z4062" i="44"/>
  <c r="Z4063" i="44"/>
  <c r="Z4064" i="44"/>
  <c r="Z4065" i="44"/>
  <c r="Z4066" i="44"/>
  <c r="Z4067" i="44"/>
  <c r="Z4068" i="44"/>
  <c r="Z4069" i="44"/>
  <c r="Z4070" i="44"/>
  <c r="Z4071" i="44"/>
  <c r="Z4072" i="44"/>
  <c r="Z4073" i="44"/>
  <c r="Z4074" i="44"/>
  <c r="Z4075" i="44"/>
  <c r="Z4076" i="44"/>
  <c r="Z4077" i="44"/>
  <c r="Z4078" i="44"/>
  <c r="Z4079" i="44"/>
  <c r="Z4080" i="44"/>
  <c r="Z4081" i="44"/>
  <c r="Z4082" i="44"/>
  <c r="Z4083" i="44"/>
  <c r="Z4084" i="44"/>
  <c r="Z4085" i="44"/>
  <c r="Z4086" i="44"/>
  <c r="Z4087" i="44"/>
  <c r="Z4088" i="44"/>
  <c r="Z4089" i="44"/>
  <c r="Z4090" i="44"/>
  <c r="Z4091" i="44"/>
  <c r="Z4092" i="44"/>
  <c r="Z4093" i="44"/>
  <c r="Z4094" i="44"/>
  <c r="Z4095" i="44"/>
  <c r="Z4096" i="44"/>
  <c r="Z4097" i="44"/>
  <c r="Z4098" i="44"/>
  <c r="Z4099" i="44"/>
  <c r="Z4100" i="44"/>
  <c r="Z4101" i="44"/>
  <c r="Z4102" i="44"/>
  <c r="Z4103" i="44"/>
  <c r="Z4104" i="44"/>
  <c r="Z4105" i="44"/>
  <c r="Z4106" i="44"/>
  <c r="Z4107" i="44"/>
  <c r="Z4108" i="44"/>
  <c r="Z4109" i="44"/>
  <c r="Z4110" i="44"/>
  <c r="Z4111" i="44"/>
  <c r="Z4112" i="44"/>
  <c r="Z4113" i="44"/>
  <c r="Z4114" i="44"/>
  <c r="Z4115" i="44"/>
  <c r="Z4116" i="44"/>
  <c r="Z4117" i="44"/>
  <c r="Z4118" i="44"/>
  <c r="Z4119" i="44"/>
  <c r="Z4120" i="44"/>
  <c r="Z4121" i="44"/>
  <c r="Z4122" i="44"/>
  <c r="Z4123" i="44"/>
  <c r="Z4124" i="44"/>
  <c r="Z4125" i="44"/>
  <c r="Z4126" i="44"/>
  <c r="Z4127" i="44"/>
  <c r="Z4128" i="44"/>
  <c r="Z4129" i="44"/>
  <c r="Z4130" i="44"/>
  <c r="Z4131" i="44"/>
  <c r="Z4132" i="44"/>
  <c r="Z4133" i="44"/>
  <c r="Z4134" i="44"/>
  <c r="Z4135" i="44"/>
  <c r="Z4136" i="44"/>
  <c r="Z4137" i="44"/>
  <c r="Z4138" i="44"/>
  <c r="Z4139" i="44"/>
  <c r="Z4140" i="44"/>
  <c r="Z4141" i="44"/>
  <c r="Z4142" i="44"/>
  <c r="Z4143" i="44"/>
  <c r="Z4144" i="44"/>
  <c r="Z4145" i="44"/>
  <c r="Z4146" i="44"/>
  <c r="Z4147" i="44"/>
  <c r="Z4148" i="44"/>
  <c r="Z4149" i="44"/>
  <c r="Z4150" i="44"/>
  <c r="Z4151" i="44"/>
  <c r="Z4152" i="44"/>
  <c r="Z4153" i="44"/>
  <c r="Z4154" i="44"/>
  <c r="Z4155" i="44"/>
  <c r="Z4156" i="44"/>
  <c r="Z4157" i="44"/>
  <c r="Z4158" i="44"/>
  <c r="Z4159" i="44"/>
  <c r="Z4160" i="44"/>
  <c r="Z4161" i="44"/>
  <c r="Z4162" i="44"/>
  <c r="Z4163" i="44"/>
  <c r="Z4164" i="44"/>
  <c r="Z4165" i="44"/>
  <c r="Z4166" i="44"/>
  <c r="Z4167" i="44"/>
  <c r="Z4168" i="44"/>
  <c r="Z4169" i="44"/>
  <c r="Z4170" i="44"/>
  <c r="Z4171" i="44"/>
  <c r="Z4172" i="44"/>
  <c r="Z4173" i="44"/>
  <c r="Z4174" i="44"/>
  <c r="Z4175" i="44"/>
  <c r="Z4176" i="44"/>
  <c r="Z4177" i="44"/>
  <c r="Z4178" i="44"/>
  <c r="Z4179" i="44"/>
  <c r="Z4180" i="44"/>
  <c r="Z4181" i="44"/>
  <c r="Z4182" i="44"/>
  <c r="Z4183" i="44"/>
  <c r="Z4184" i="44"/>
  <c r="Z4185" i="44"/>
  <c r="Z4186" i="44"/>
  <c r="Z4187" i="44"/>
  <c r="Z4188" i="44"/>
  <c r="Z4189" i="44"/>
  <c r="Z4190" i="44"/>
  <c r="Z4191" i="44"/>
  <c r="Z4192" i="44"/>
  <c r="Z4193" i="44"/>
  <c r="Z4194" i="44"/>
  <c r="Z4195" i="44"/>
  <c r="Z4196" i="44"/>
  <c r="Z4197" i="44"/>
  <c r="Z4198" i="44"/>
  <c r="Z4199" i="44"/>
  <c r="Z4200" i="44"/>
  <c r="Z4201" i="44"/>
  <c r="Z4202" i="44"/>
  <c r="Z4203" i="44"/>
  <c r="Z4204" i="44"/>
  <c r="Z4205" i="44"/>
  <c r="Z4206" i="44"/>
  <c r="Z4207" i="44"/>
  <c r="Z4208" i="44"/>
  <c r="Z4209" i="44"/>
  <c r="Z4210" i="44"/>
  <c r="Z4211" i="44"/>
  <c r="Z4212" i="44"/>
  <c r="Z4213" i="44"/>
  <c r="Z4214" i="44"/>
  <c r="Z4215" i="44"/>
  <c r="Z4216" i="44"/>
  <c r="Z4217" i="44"/>
  <c r="Z4218" i="44"/>
  <c r="Z4219" i="44"/>
  <c r="Z4220" i="44"/>
  <c r="Z4221" i="44"/>
  <c r="Z4222" i="44"/>
  <c r="Z4223" i="44"/>
  <c r="Z4224" i="44"/>
  <c r="Z4225" i="44"/>
  <c r="Z4226" i="44"/>
  <c r="Z4227" i="44"/>
  <c r="Z4228" i="44"/>
  <c r="Z4229" i="44"/>
  <c r="Z4230" i="44"/>
  <c r="Z4231" i="44"/>
  <c r="Z4232" i="44"/>
  <c r="Z4233" i="44"/>
  <c r="Z4234" i="44"/>
  <c r="Z4235" i="44"/>
  <c r="Z4236" i="44"/>
  <c r="Z4237" i="44"/>
  <c r="Z4238" i="44"/>
  <c r="Z4239" i="44"/>
  <c r="Z4240" i="44"/>
  <c r="Z4241" i="44"/>
  <c r="Z4242" i="44"/>
  <c r="Z4243" i="44"/>
  <c r="Z4244" i="44"/>
  <c r="Z4245" i="44"/>
  <c r="Z4246" i="44"/>
  <c r="Z4247" i="44"/>
  <c r="Z4248" i="44"/>
  <c r="Z4249" i="44"/>
  <c r="Z4250" i="44"/>
  <c r="Z4251" i="44"/>
  <c r="Z4252" i="44"/>
  <c r="Z4253" i="44"/>
  <c r="Z4254" i="44"/>
  <c r="Z4255" i="44"/>
  <c r="Z4256" i="44"/>
  <c r="Z4257" i="44"/>
  <c r="Z4258" i="44"/>
  <c r="Z4259" i="44"/>
  <c r="Z4260" i="44"/>
  <c r="Z4261" i="44"/>
  <c r="Z4262" i="44"/>
  <c r="Z4263" i="44"/>
  <c r="Z4264" i="44"/>
  <c r="Z4265" i="44"/>
  <c r="Z4266" i="44"/>
  <c r="Z4267" i="44"/>
  <c r="Z4268" i="44"/>
  <c r="Z4269" i="44"/>
  <c r="Z4270" i="44"/>
  <c r="Z4271" i="44"/>
  <c r="Z4272" i="44"/>
  <c r="Z4273" i="44"/>
  <c r="Z4274" i="44"/>
  <c r="Z4275" i="44"/>
  <c r="Z4276" i="44"/>
  <c r="Z4277" i="44"/>
  <c r="Z4278" i="44"/>
  <c r="Z4279" i="44"/>
  <c r="Z4280" i="44"/>
  <c r="Z4281" i="44"/>
  <c r="Z4282" i="44"/>
  <c r="Z4283" i="44"/>
  <c r="Z4284" i="44"/>
  <c r="Z4285" i="44"/>
  <c r="Z4286" i="44"/>
  <c r="Z4287" i="44"/>
  <c r="Z4288" i="44"/>
  <c r="Z4289" i="44"/>
  <c r="Z4290" i="44"/>
  <c r="Z4291" i="44"/>
  <c r="Z4292" i="44"/>
  <c r="Z4293" i="44"/>
  <c r="Z4294" i="44"/>
  <c r="Z4295" i="44"/>
  <c r="Z4296" i="44"/>
  <c r="Z4297" i="44"/>
  <c r="Z4298" i="44"/>
  <c r="Z4299" i="44"/>
  <c r="Z4300" i="44"/>
  <c r="Z4301" i="44"/>
  <c r="Z4302" i="44"/>
  <c r="Z4303" i="44"/>
  <c r="Z4304" i="44"/>
  <c r="Z4305" i="44"/>
  <c r="Z4306" i="44"/>
  <c r="Z4307" i="44"/>
  <c r="Z4308" i="44"/>
  <c r="Z4309" i="44"/>
  <c r="Z4310" i="44"/>
  <c r="Z4311" i="44"/>
  <c r="Z4312" i="44"/>
  <c r="Z4313" i="44"/>
  <c r="Z4314" i="44"/>
  <c r="Z4315" i="44"/>
  <c r="Z4316" i="44"/>
  <c r="Z4317" i="44"/>
  <c r="Z4318" i="44"/>
  <c r="Z4319" i="44"/>
  <c r="Z4320" i="44"/>
  <c r="Z4321" i="44"/>
  <c r="Z4322" i="44"/>
  <c r="Z4323" i="44"/>
  <c r="Z4324" i="44"/>
  <c r="Z4325" i="44"/>
  <c r="Z4326" i="44"/>
  <c r="Z4327" i="44"/>
  <c r="Z4328" i="44"/>
  <c r="Z4329" i="44"/>
  <c r="Z4330" i="44"/>
  <c r="Z4331" i="44"/>
  <c r="Z4332" i="44"/>
  <c r="Z4333" i="44"/>
  <c r="Z4334" i="44"/>
  <c r="Z4335" i="44"/>
  <c r="Z4336" i="44"/>
  <c r="Z4337" i="44"/>
  <c r="Z4338" i="44"/>
  <c r="Z4339" i="44"/>
  <c r="Z4340" i="44"/>
  <c r="Z4341" i="44"/>
  <c r="Z4342" i="44"/>
  <c r="Z4343" i="44"/>
  <c r="Z4344" i="44"/>
  <c r="Z4345" i="44"/>
  <c r="Z4346" i="44"/>
  <c r="Z4347" i="44"/>
  <c r="Z4348" i="44"/>
  <c r="Z4349" i="44"/>
  <c r="Z4350" i="44"/>
  <c r="Z4351" i="44"/>
  <c r="Z4352" i="44"/>
  <c r="Z4353" i="44"/>
  <c r="Z4354" i="44"/>
  <c r="Z4355" i="44"/>
  <c r="Z4356" i="44"/>
  <c r="Z4357" i="44"/>
  <c r="Z4358" i="44"/>
  <c r="Z4359" i="44"/>
  <c r="Z4360" i="44"/>
  <c r="Z4361" i="44"/>
  <c r="Z4362" i="44"/>
  <c r="Z4363" i="44"/>
  <c r="Z4364" i="44"/>
  <c r="Z4365" i="44"/>
  <c r="Z4366" i="44"/>
  <c r="Z4367" i="44"/>
  <c r="Z4368" i="44"/>
  <c r="Z4369" i="44"/>
  <c r="Z4370" i="44"/>
  <c r="Z4371" i="44"/>
  <c r="Z4372" i="44"/>
  <c r="Z4373" i="44"/>
  <c r="Z4374" i="44"/>
  <c r="Z4375" i="44"/>
  <c r="Z4376" i="44"/>
  <c r="Z4377" i="44"/>
  <c r="Z4378" i="44"/>
  <c r="Z4379" i="44"/>
  <c r="Z4380" i="44"/>
  <c r="Z4381" i="44"/>
  <c r="Z4382" i="44"/>
  <c r="Z4383" i="44"/>
  <c r="Z4384" i="44"/>
  <c r="Z4385" i="44"/>
  <c r="Z4386" i="44"/>
  <c r="Z4387" i="44"/>
  <c r="Z4388" i="44"/>
  <c r="Z4389" i="44"/>
  <c r="Z4390" i="44"/>
  <c r="Z4391" i="44"/>
  <c r="Z4392" i="44"/>
  <c r="Z4393" i="44"/>
  <c r="Z4394" i="44"/>
  <c r="Z4395" i="44"/>
  <c r="Z4396" i="44"/>
  <c r="Z4397" i="44"/>
  <c r="Z4398" i="44"/>
  <c r="Z4399" i="44"/>
  <c r="Z4400" i="44"/>
  <c r="Z4401" i="44"/>
  <c r="Z4402" i="44"/>
  <c r="Z4403" i="44"/>
  <c r="Z4404" i="44"/>
  <c r="Z4405" i="44"/>
  <c r="Z4406" i="44"/>
  <c r="Z4407" i="44"/>
  <c r="Z4408" i="44"/>
  <c r="Z4409" i="44"/>
  <c r="Z4410" i="44"/>
  <c r="Z4411" i="44"/>
  <c r="Z4412" i="44"/>
  <c r="Z4413" i="44"/>
  <c r="Z4414" i="44"/>
  <c r="Z4415" i="44"/>
  <c r="Z4416" i="44"/>
  <c r="Z4417" i="44"/>
  <c r="Z4418" i="44"/>
  <c r="Z4419" i="44"/>
  <c r="Z4420" i="44"/>
  <c r="Z4421" i="44"/>
  <c r="Z4422" i="44"/>
  <c r="Z4423" i="44"/>
  <c r="Z4424" i="44"/>
  <c r="Z4425" i="44"/>
  <c r="Z4426" i="44"/>
  <c r="Z4427" i="44"/>
  <c r="Z4428" i="44"/>
  <c r="Z4429" i="44"/>
  <c r="Z4430" i="44"/>
  <c r="Z4431" i="44"/>
  <c r="Z4432" i="44"/>
  <c r="Z4433" i="44"/>
  <c r="Z4434" i="44"/>
  <c r="Z4435" i="44"/>
  <c r="Z4436" i="44"/>
  <c r="Z4437" i="44"/>
  <c r="Z4438" i="44"/>
  <c r="Z4439" i="44"/>
  <c r="Z4440" i="44"/>
  <c r="Z4441" i="44"/>
  <c r="Z4442" i="44"/>
  <c r="Z4443" i="44"/>
  <c r="Z4444" i="44"/>
  <c r="Z4445" i="44"/>
  <c r="Z4446" i="44"/>
  <c r="Z4447" i="44"/>
  <c r="Z4448" i="44"/>
  <c r="Z4449" i="44"/>
  <c r="Z4450" i="44"/>
  <c r="Z4451" i="44"/>
  <c r="Z4452" i="44"/>
  <c r="Z4453" i="44"/>
  <c r="Z4454" i="44"/>
  <c r="Z4455" i="44"/>
  <c r="Z4456" i="44"/>
  <c r="Z4457" i="44"/>
  <c r="Z4458" i="44"/>
  <c r="Z4459" i="44"/>
  <c r="Z4460" i="44"/>
  <c r="Z4461" i="44"/>
  <c r="Z4462" i="44"/>
  <c r="Z4463" i="44"/>
  <c r="Z4464" i="44"/>
  <c r="Z4465" i="44"/>
  <c r="Z4466" i="44"/>
  <c r="Z4467" i="44"/>
  <c r="Z4468" i="44"/>
  <c r="Z4469" i="44"/>
  <c r="Z4470" i="44"/>
  <c r="Z4471" i="44"/>
  <c r="Z4472" i="44"/>
  <c r="Z4473" i="44"/>
  <c r="Z4474" i="44"/>
  <c r="Z4475" i="44"/>
  <c r="Z4476" i="44"/>
  <c r="Z4477" i="44"/>
  <c r="Z4478" i="44"/>
  <c r="Z4479" i="44"/>
  <c r="Z4480" i="44"/>
  <c r="Z4481" i="44"/>
  <c r="Z4482" i="44"/>
  <c r="Z4483" i="44"/>
  <c r="Z4484" i="44"/>
  <c r="Z4485" i="44"/>
  <c r="Z4486" i="44"/>
  <c r="Z4487" i="44"/>
  <c r="Z4488" i="44"/>
  <c r="Z4489" i="44"/>
  <c r="Z4490" i="44"/>
  <c r="Z4491" i="44"/>
  <c r="Z4492" i="44"/>
  <c r="Z4493" i="44"/>
  <c r="Z4494" i="44"/>
  <c r="Z4495" i="44"/>
  <c r="Z4496" i="44"/>
  <c r="Z4497" i="44"/>
  <c r="Z4498" i="44"/>
  <c r="Z4499" i="44"/>
  <c r="Z4500" i="44"/>
  <c r="Z4501" i="44"/>
  <c r="Z4502" i="44"/>
  <c r="Z4503" i="44"/>
  <c r="Z4504" i="44"/>
  <c r="Z4505" i="44"/>
  <c r="Z4506" i="44"/>
  <c r="Z4507" i="44"/>
  <c r="Z4508" i="44"/>
  <c r="Z4509" i="44"/>
  <c r="Z4510" i="44"/>
  <c r="Z4511" i="44"/>
  <c r="Z4512" i="44"/>
  <c r="Z4513" i="44"/>
  <c r="Z4514" i="44"/>
  <c r="Z4515" i="44"/>
  <c r="Z4516" i="44"/>
  <c r="Z4517" i="44"/>
  <c r="Z4518" i="44"/>
  <c r="Z4519" i="44"/>
  <c r="Z4520" i="44"/>
  <c r="Z4521" i="44"/>
  <c r="Z4522" i="44"/>
  <c r="Z4523" i="44"/>
  <c r="Z4524" i="44"/>
  <c r="Z4525" i="44"/>
  <c r="Z4526" i="44"/>
  <c r="Z4527" i="44"/>
  <c r="Z4528" i="44"/>
  <c r="Z4529" i="44"/>
  <c r="Z4530" i="44"/>
  <c r="Z4531" i="44"/>
  <c r="Z4532" i="44"/>
  <c r="Z4533" i="44"/>
  <c r="Z4534" i="44"/>
  <c r="Z4535" i="44"/>
  <c r="Z4536" i="44"/>
  <c r="Z4537" i="44"/>
  <c r="Z4538" i="44"/>
  <c r="Z4539" i="44"/>
  <c r="Z4540" i="44"/>
  <c r="Z4541" i="44"/>
  <c r="Z4542" i="44"/>
  <c r="Z4543" i="44"/>
  <c r="Z4544" i="44"/>
  <c r="Z4545" i="44"/>
  <c r="Z4546" i="44"/>
  <c r="Z4547" i="44"/>
  <c r="Z4548" i="44"/>
  <c r="Z4549" i="44"/>
  <c r="Z4550" i="44"/>
  <c r="Z4551" i="44"/>
  <c r="Z4552" i="44"/>
  <c r="Z4553" i="44"/>
  <c r="Z4554" i="44"/>
  <c r="Z4555" i="44"/>
  <c r="Z4556" i="44"/>
  <c r="Z4557" i="44"/>
  <c r="Z4558" i="44"/>
  <c r="Z4559" i="44"/>
  <c r="Z4560" i="44"/>
  <c r="Z4561" i="44"/>
  <c r="Z4562" i="44"/>
  <c r="Z4563" i="44"/>
  <c r="Z4564" i="44"/>
  <c r="Z4565" i="44"/>
  <c r="Z4566" i="44"/>
  <c r="Z4567" i="44"/>
  <c r="Z4568" i="44"/>
  <c r="Z4569" i="44"/>
  <c r="Z4570" i="44"/>
  <c r="Z4571" i="44"/>
  <c r="Z4572" i="44"/>
  <c r="Z4573" i="44"/>
  <c r="Z4574" i="44"/>
  <c r="Z4575" i="44"/>
  <c r="Z4576" i="44"/>
  <c r="Z4577" i="44"/>
  <c r="Z4578" i="44"/>
  <c r="Z4579" i="44"/>
  <c r="Z4580" i="44"/>
  <c r="Z4581" i="44"/>
  <c r="Z4582" i="44"/>
  <c r="Z4583" i="44"/>
  <c r="Z4584" i="44"/>
  <c r="Z4585" i="44"/>
  <c r="Z4586" i="44"/>
  <c r="Z4587" i="44"/>
  <c r="Z4588" i="44"/>
  <c r="Z4589" i="44"/>
  <c r="Z4590" i="44"/>
  <c r="Z4591" i="44"/>
  <c r="Z4592" i="44"/>
  <c r="Z4593" i="44"/>
  <c r="Z4594" i="44"/>
  <c r="Z4595" i="44"/>
  <c r="Z4596" i="44"/>
  <c r="Z4597" i="44"/>
  <c r="Z4598" i="44"/>
  <c r="Z4599" i="44"/>
  <c r="Z4600" i="44"/>
  <c r="Z4601" i="44"/>
  <c r="Z4602" i="44"/>
  <c r="Z4603" i="44"/>
  <c r="Z4604" i="44"/>
  <c r="Z4605" i="44"/>
  <c r="Z4606" i="44"/>
  <c r="Z4607" i="44"/>
  <c r="Z4608" i="44"/>
  <c r="Z4609" i="44"/>
  <c r="Z4610" i="44"/>
  <c r="Z4611" i="44"/>
  <c r="Z4612" i="44"/>
  <c r="Z4613" i="44"/>
  <c r="Z4614" i="44"/>
  <c r="Z4615" i="44"/>
  <c r="Z4616" i="44"/>
  <c r="Z4617" i="44"/>
  <c r="Z4618" i="44"/>
  <c r="Z4619" i="44"/>
  <c r="Z4620" i="44"/>
  <c r="Z4621" i="44"/>
  <c r="Z4622" i="44"/>
  <c r="Z4623" i="44"/>
  <c r="Z4624" i="44"/>
  <c r="Z4625" i="44"/>
  <c r="Z4626" i="44"/>
  <c r="Z4627" i="44"/>
  <c r="Z4628" i="44"/>
  <c r="Z4629" i="44"/>
  <c r="Z4630" i="44"/>
  <c r="Z4631" i="44"/>
  <c r="Z4632" i="44"/>
  <c r="Z4633" i="44"/>
  <c r="Z4634" i="44"/>
  <c r="Z4635" i="44"/>
  <c r="Z4636" i="44"/>
  <c r="Z4637" i="44"/>
  <c r="Z4638" i="44"/>
  <c r="Z4639" i="44"/>
  <c r="Z4640" i="44"/>
  <c r="Z4641" i="44"/>
  <c r="Z4642" i="44"/>
  <c r="Z4643" i="44"/>
  <c r="Z4644" i="44"/>
  <c r="Z4645" i="44"/>
  <c r="Z4646" i="44"/>
  <c r="Z4647" i="44"/>
  <c r="Z4648" i="44"/>
  <c r="Z4649" i="44"/>
  <c r="Z4650" i="44"/>
  <c r="Z4651" i="44"/>
  <c r="Z4652" i="44"/>
  <c r="Z4653" i="44"/>
  <c r="Z4654" i="44"/>
  <c r="Z4655" i="44"/>
  <c r="Z4656" i="44"/>
  <c r="Z4657" i="44"/>
  <c r="Z4658" i="44"/>
  <c r="Z4659" i="44"/>
  <c r="Z4660" i="44"/>
  <c r="Z4661" i="44"/>
  <c r="Z4662" i="44"/>
  <c r="Z4663" i="44"/>
  <c r="Z4664" i="44"/>
  <c r="Z4665" i="44"/>
  <c r="Z4666" i="44"/>
  <c r="Z4667" i="44"/>
  <c r="Z4668" i="44"/>
  <c r="Z4669" i="44"/>
  <c r="Z4670" i="44"/>
  <c r="Z4671" i="44"/>
  <c r="Z4672" i="44"/>
  <c r="Z4673" i="44"/>
  <c r="Z4674" i="44"/>
  <c r="Z4675" i="44"/>
  <c r="Z4676" i="44"/>
  <c r="Z4677" i="44"/>
  <c r="Z4678" i="44"/>
  <c r="Z4679" i="44"/>
  <c r="Z4680" i="44"/>
  <c r="Z4681" i="44"/>
  <c r="Z4682" i="44"/>
  <c r="Z4683" i="44"/>
  <c r="Z4684" i="44"/>
  <c r="Z4685" i="44"/>
  <c r="Z4686" i="44"/>
  <c r="Z4687" i="44"/>
  <c r="Z4688" i="44"/>
  <c r="Z4689" i="44"/>
  <c r="Z4690" i="44"/>
  <c r="Z4691" i="44"/>
  <c r="Z4692" i="44"/>
  <c r="Z4693" i="44"/>
  <c r="Z4694" i="44"/>
  <c r="Z4695" i="44"/>
  <c r="Z4696" i="44"/>
  <c r="Z4697" i="44"/>
  <c r="Z4698" i="44"/>
  <c r="Z4699" i="44"/>
  <c r="Z4700" i="44"/>
  <c r="Z4701" i="44"/>
  <c r="Z4702" i="44"/>
  <c r="Z4703" i="44"/>
  <c r="Z4704" i="44"/>
  <c r="Z4705" i="44"/>
  <c r="Z4706" i="44"/>
  <c r="Z4707" i="44"/>
  <c r="Z4708" i="44"/>
  <c r="Z4709" i="44"/>
  <c r="Z4710" i="44"/>
  <c r="Z4711" i="44"/>
  <c r="Z4712" i="44"/>
  <c r="Z4713" i="44"/>
  <c r="Z4714" i="44"/>
  <c r="Z4715" i="44"/>
  <c r="Z4716" i="44"/>
  <c r="Z4717" i="44"/>
  <c r="Z4718" i="44"/>
  <c r="Z4719" i="44"/>
  <c r="Z4720" i="44"/>
  <c r="Z4721" i="44"/>
  <c r="Z4722" i="44"/>
  <c r="Z4723" i="44"/>
  <c r="Z4724" i="44"/>
  <c r="Z4725" i="44"/>
  <c r="Z4726" i="44"/>
  <c r="Z4727" i="44"/>
  <c r="Z4728" i="44"/>
  <c r="Z4729" i="44"/>
  <c r="Z4730" i="44"/>
  <c r="Z4731" i="44"/>
  <c r="Z4732" i="44"/>
  <c r="Z4733" i="44"/>
  <c r="Z4734" i="44"/>
  <c r="Z4735" i="44"/>
  <c r="Z4736" i="44"/>
  <c r="Z4737" i="44"/>
  <c r="Z4738" i="44"/>
  <c r="Z4739" i="44"/>
  <c r="Z4740" i="44"/>
  <c r="Z4741" i="44"/>
  <c r="Z4742" i="44"/>
  <c r="Z4743" i="44"/>
  <c r="Z4744" i="44"/>
  <c r="Z4745" i="44"/>
  <c r="Z4746" i="44"/>
  <c r="Z4747" i="44"/>
  <c r="Z4748" i="44"/>
  <c r="Z4749" i="44"/>
  <c r="Z4750" i="44"/>
  <c r="Z4751" i="44"/>
  <c r="Z4752" i="44"/>
  <c r="Z4753" i="44"/>
  <c r="Z4754" i="44"/>
  <c r="Z4755" i="44"/>
  <c r="Z4756" i="44"/>
  <c r="Z4757" i="44"/>
  <c r="Z4758" i="44"/>
  <c r="Z4759" i="44"/>
  <c r="Z4760" i="44"/>
  <c r="Z4761" i="44"/>
  <c r="Z4762" i="44"/>
  <c r="Z4763" i="44"/>
  <c r="Z4764" i="44"/>
  <c r="Z4765" i="44"/>
  <c r="Z4766" i="44"/>
  <c r="Z4767" i="44"/>
  <c r="Z4768" i="44"/>
  <c r="Z4769" i="44"/>
  <c r="Z4770" i="44"/>
  <c r="Z4771" i="44"/>
  <c r="Z4772" i="44"/>
  <c r="Z4773" i="44"/>
  <c r="Z4774" i="44"/>
  <c r="Z4775" i="44"/>
  <c r="Z4776" i="44"/>
  <c r="Z4777" i="44"/>
  <c r="Z4778" i="44"/>
  <c r="Z4779" i="44"/>
  <c r="Z4780" i="44"/>
  <c r="Z4781" i="44"/>
  <c r="Z4782" i="44"/>
  <c r="Z4783" i="44"/>
  <c r="Z4784" i="44"/>
  <c r="Z4785" i="44"/>
  <c r="Z4786" i="44"/>
  <c r="Z4787" i="44"/>
  <c r="Z4788" i="44"/>
  <c r="Z4789" i="44"/>
  <c r="Z4790" i="44"/>
  <c r="Z4791" i="44"/>
  <c r="Z4792" i="44"/>
  <c r="Z4793" i="44"/>
  <c r="Z4794" i="44"/>
  <c r="Z4795" i="44"/>
  <c r="Z4796" i="44"/>
  <c r="Z4797" i="44"/>
  <c r="Z4798" i="44"/>
  <c r="Z4799" i="44"/>
  <c r="Z4800" i="44"/>
  <c r="Z4801" i="44"/>
  <c r="Z4802" i="44"/>
  <c r="Z4803" i="44"/>
  <c r="Z4804" i="44"/>
  <c r="Z4805" i="44"/>
  <c r="Z4806" i="44"/>
  <c r="Z4807" i="44"/>
  <c r="Z4808" i="44"/>
  <c r="Z4809" i="44"/>
  <c r="Z4810" i="44"/>
  <c r="Z4811" i="44"/>
  <c r="Z4812" i="44"/>
  <c r="Z4813" i="44"/>
  <c r="Z4814" i="44"/>
  <c r="Z4815" i="44"/>
  <c r="Z4816" i="44"/>
  <c r="Z4817" i="44"/>
  <c r="Z4818" i="44"/>
  <c r="Z4819" i="44"/>
  <c r="Z4820" i="44"/>
  <c r="Z4821" i="44"/>
  <c r="Z4822" i="44"/>
  <c r="Z4823" i="44"/>
  <c r="Z4824" i="44"/>
  <c r="Z4825" i="44"/>
  <c r="Z4826" i="44"/>
  <c r="Z4827" i="44"/>
  <c r="Z4828" i="44"/>
  <c r="Z4829" i="44"/>
  <c r="Z4830" i="44"/>
  <c r="Z4831" i="44"/>
  <c r="Z4832" i="44"/>
  <c r="Z4833" i="44"/>
  <c r="Z4834" i="44"/>
  <c r="Z4835" i="44"/>
  <c r="Z4836" i="44"/>
  <c r="Z4837" i="44"/>
  <c r="Z4838" i="44"/>
  <c r="Z4839" i="44"/>
  <c r="Z4840" i="44"/>
  <c r="Z4841" i="44"/>
  <c r="Z4842" i="44"/>
  <c r="Z4843" i="44"/>
  <c r="Z4844" i="44"/>
  <c r="Z4845" i="44"/>
  <c r="Z4846" i="44"/>
  <c r="Z4847" i="44"/>
  <c r="Z4848" i="44"/>
  <c r="Z4849" i="44"/>
  <c r="Z4850" i="44"/>
  <c r="Z4851" i="44"/>
  <c r="Z4852" i="44"/>
  <c r="Z4853" i="44"/>
  <c r="Z4854" i="44"/>
  <c r="Z4855" i="44"/>
  <c r="Z4856" i="44"/>
  <c r="Z4857" i="44"/>
  <c r="Z4858" i="44"/>
  <c r="Z4859" i="44"/>
  <c r="Z4860" i="44"/>
  <c r="Z4861" i="44"/>
  <c r="Z4862" i="44"/>
  <c r="Z4863" i="44"/>
  <c r="Z4864" i="44"/>
  <c r="Z4865" i="44"/>
  <c r="Z4866" i="44"/>
  <c r="Z4867" i="44"/>
  <c r="Z4868" i="44"/>
  <c r="Z4869" i="44"/>
  <c r="Z4870" i="44"/>
  <c r="Z4871" i="44"/>
  <c r="Z4872" i="44"/>
  <c r="Z4873" i="44"/>
  <c r="Z4874" i="44"/>
  <c r="Z4875" i="44"/>
  <c r="Z4876" i="44"/>
  <c r="Z4877" i="44"/>
  <c r="Z4878" i="44"/>
  <c r="Z4879" i="44"/>
  <c r="Z4880" i="44"/>
  <c r="Z4881" i="44"/>
  <c r="Z4882" i="44"/>
  <c r="Z4883" i="44"/>
  <c r="Z4884" i="44"/>
  <c r="Z4885" i="44"/>
  <c r="Z4886" i="44"/>
  <c r="Z4887" i="44"/>
  <c r="Z4888" i="44"/>
  <c r="Z4889" i="44"/>
  <c r="Z4890" i="44"/>
  <c r="Z4891" i="44"/>
  <c r="Z4892" i="44"/>
  <c r="Z4893" i="44"/>
  <c r="Z4894" i="44"/>
  <c r="Z4895" i="44"/>
  <c r="Z4896" i="44"/>
  <c r="Z4897" i="44"/>
  <c r="Z4898" i="44"/>
  <c r="Z4899" i="44"/>
  <c r="Z4900" i="44"/>
  <c r="Z4901" i="44"/>
  <c r="Z4902" i="44"/>
  <c r="Z4903" i="44"/>
  <c r="Z4904" i="44"/>
  <c r="Z4905" i="44"/>
  <c r="Z4906" i="44"/>
  <c r="Z4907" i="44"/>
  <c r="Z4908" i="44"/>
  <c r="Z4909" i="44"/>
  <c r="Z4910" i="44"/>
  <c r="Z4911" i="44"/>
  <c r="Z4912" i="44"/>
  <c r="Z4913" i="44"/>
  <c r="Z4914" i="44"/>
  <c r="Z4915" i="44"/>
  <c r="Z4916" i="44"/>
  <c r="Z4917" i="44"/>
  <c r="Z4918" i="44"/>
  <c r="Z4919" i="44"/>
  <c r="Z4920" i="44"/>
  <c r="Z4921" i="44"/>
  <c r="Z4922" i="44"/>
  <c r="Z4923" i="44"/>
  <c r="Z4924" i="44"/>
  <c r="Z4925" i="44"/>
  <c r="Z4926" i="44"/>
  <c r="Z4927" i="44"/>
  <c r="Z4928" i="44"/>
  <c r="Z4929" i="44"/>
  <c r="Z4930" i="44"/>
  <c r="Z4931" i="44"/>
  <c r="Z4932" i="44"/>
  <c r="Z4933" i="44"/>
  <c r="Z4934" i="44"/>
  <c r="Z4935" i="44"/>
  <c r="Z4936" i="44"/>
  <c r="Z4937" i="44"/>
  <c r="Z4938" i="44"/>
  <c r="Z4939" i="44"/>
  <c r="Z4940" i="44"/>
  <c r="Z4941" i="44"/>
  <c r="Z4942" i="44"/>
  <c r="Z4943" i="44"/>
  <c r="Z4944" i="44"/>
  <c r="Z4945" i="44"/>
  <c r="Z4946" i="44"/>
  <c r="Z4947" i="44"/>
  <c r="Z4948" i="44"/>
  <c r="Z4949" i="44"/>
  <c r="Z4950" i="44"/>
  <c r="Z4951" i="44"/>
  <c r="Z4952" i="44"/>
  <c r="Z4953" i="44"/>
  <c r="Z4954" i="44"/>
  <c r="Z4955" i="44"/>
  <c r="Z4956" i="44"/>
  <c r="Z4957" i="44"/>
  <c r="Z4958" i="44"/>
  <c r="Z4959" i="44"/>
  <c r="Z4960" i="44"/>
  <c r="Z4961" i="44"/>
  <c r="Z4962" i="44"/>
  <c r="Z4963" i="44"/>
  <c r="Z4964" i="44"/>
  <c r="Z4965" i="44"/>
  <c r="Z4966" i="44"/>
  <c r="Z4967" i="44"/>
  <c r="Z4968" i="44"/>
  <c r="Z4969" i="44"/>
  <c r="Z4970" i="44"/>
  <c r="Z4971" i="44"/>
  <c r="Z4972" i="44"/>
  <c r="Z4973" i="44"/>
  <c r="Z4974" i="44"/>
  <c r="Z4975" i="44"/>
  <c r="Z4976" i="44"/>
  <c r="Z4977" i="44"/>
  <c r="Z4978" i="44"/>
  <c r="Z4979" i="44"/>
  <c r="Z4980" i="44"/>
  <c r="Z4981" i="44"/>
  <c r="Z4982" i="44"/>
  <c r="Z4983" i="44"/>
  <c r="Z4984" i="44"/>
  <c r="Z4985" i="44"/>
  <c r="Z4986" i="44"/>
  <c r="Z4987" i="44"/>
  <c r="Z4988" i="44"/>
  <c r="Z4989" i="44"/>
  <c r="Z4990" i="44"/>
  <c r="Z4991" i="44"/>
  <c r="Z4992" i="44"/>
  <c r="Z4993" i="44"/>
  <c r="Z4994" i="44"/>
  <c r="Z4995" i="44"/>
  <c r="Z4996" i="44"/>
  <c r="Z4997" i="44"/>
  <c r="Z4998" i="44"/>
  <c r="Z4999" i="44"/>
  <c r="Z5000" i="44"/>
  <c r="Z2899" i="44"/>
  <c r="Z2886" i="44"/>
  <c r="Z2887" i="44"/>
  <c r="Z2888" i="44"/>
  <c r="Z2889" i="44"/>
  <c r="Z2890" i="44"/>
  <c r="Z2891" i="44"/>
  <c r="Z2892" i="44"/>
  <c r="Z2893" i="44"/>
  <c r="Z2894" i="44"/>
  <c r="Z2895" i="44"/>
  <c r="Z2896" i="44"/>
  <c r="Z2897" i="44"/>
  <c r="Z2898" i="44"/>
  <c r="H31" i="54"/>
  <c r="V31" i="54" s="1"/>
  <c r="G31" i="54" a="1"/>
  <c r="G31" i="54" s="1"/>
  <c r="F31" i="54" a="1"/>
  <c r="F31" i="54" s="1"/>
  <c r="E31" i="54" a="1"/>
  <c r="E31" i="54" s="1"/>
  <c r="D31" i="54" a="1"/>
  <c r="D31" i="54" s="1"/>
  <c r="C31" i="54" a="1"/>
  <c r="C31" i="54" s="1"/>
  <c r="T29" i="54"/>
  <c r="R29" i="54"/>
  <c r="P29" i="54"/>
  <c r="N29" i="54"/>
  <c r="L29" i="54"/>
  <c r="J29" i="54"/>
  <c r="H29" i="54" a="1"/>
  <c r="H29" i="54" s="1"/>
  <c r="G29" i="54" a="1"/>
  <c r="G29" i="54" s="1"/>
  <c r="F29" i="54" a="1"/>
  <c r="F29" i="54" s="1"/>
  <c r="E29" i="54" a="1"/>
  <c r="E29" i="54" s="1"/>
  <c r="D29" i="54" a="1"/>
  <c r="D29" i="54" s="1"/>
  <c r="C29" i="54" a="1"/>
  <c r="C29" i="54" s="1"/>
  <c r="T28" i="54"/>
  <c r="R28" i="54"/>
  <c r="P28" i="54"/>
  <c r="N28" i="54"/>
  <c r="L28" i="54"/>
  <c r="J28" i="54"/>
  <c r="H28" i="54" a="1"/>
  <c r="H28" i="54" s="1"/>
  <c r="G28" i="54" a="1"/>
  <c r="G28" i="54" s="1"/>
  <c r="F28" i="54" a="1"/>
  <c r="F28" i="54" s="1"/>
  <c r="E28" i="54" a="1"/>
  <c r="E28" i="54" s="1"/>
  <c r="D28" i="54" a="1"/>
  <c r="D28" i="54" s="1"/>
  <c r="C28" i="54" a="1"/>
  <c r="C28" i="54" s="1"/>
  <c r="T27" i="54"/>
  <c r="R27" i="54"/>
  <c r="P27" i="54"/>
  <c r="N27" i="54"/>
  <c r="L27" i="54"/>
  <c r="J27" i="54"/>
  <c r="H27" i="54" a="1"/>
  <c r="H27" i="54" s="1"/>
  <c r="G27" i="54" a="1"/>
  <c r="G27" i="54" s="1"/>
  <c r="F27" i="54" a="1"/>
  <c r="F27" i="54" s="1"/>
  <c r="E27" i="54" a="1"/>
  <c r="E27" i="54" s="1"/>
  <c r="D27" i="54" a="1"/>
  <c r="D27" i="54" s="1"/>
  <c r="C27" i="54" a="1"/>
  <c r="C27" i="54" s="1"/>
  <c r="T26" i="54"/>
  <c r="R26" i="54"/>
  <c r="P26" i="54"/>
  <c r="N26" i="54"/>
  <c r="L26" i="54"/>
  <c r="J26" i="54"/>
  <c r="H26" i="54" a="1"/>
  <c r="H26" i="54"/>
  <c r="G26" i="54" a="1"/>
  <c r="G26" i="54" s="1"/>
  <c r="F26" i="54" a="1"/>
  <c r="F26" i="54" s="1"/>
  <c r="E26" i="54" a="1"/>
  <c r="E26" i="54" s="1"/>
  <c r="D26" i="54" a="1"/>
  <c r="D26" i="54" s="1"/>
  <c r="C26" i="54" a="1"/>
  <c r="C26" i="54" s="1"/>
  <c r="T25" i="54"/>
  <c r="U25" i="54" s="1"/>
  <c r="R25" i="54"/>
  <c r="S25" i="54" s="1"/>
  <c r="P25" i="54"/>
  <c r="Q25" i="54" s="1"/>
  <c r="N25" i="54"/>
  <c r="O25" i="54" s="1"/>
  <c r="L25" i="54"/>
  <c r="M25" i="54" s="1"/>
  <c r="J25" i="54"/>
  <c r="K25" i="54" s="1"/>
  <c r="H25" i="54" a="1"/>
  <c r="H25" i="54" s="1"/>
  <c r="V25" i="54" s="1"/>
  <c r="W25" i="54" s="1"/>
  <c r="G25" i="54" a="1"/>
  <c r="G25" i="54" s="1"/>
  <c r="F25" i="54" a="1"/>
  <c r="F25" i="54" s="1"/>
  <c r="E25" i="54" a="1"/>
  <c r="E25" i="54" s="1"/>
  <c r="D25" i="54" a="1"/>
  <c r="D25" i="54" s="1"/>
  <c r="C25" i="54" a="1"/>
  <c r="C25" i="54" s="1"/>
  <c r="T24" i="54"/>
  <c r="R24" i="54"/>
  <c r="P24" i="54"/>
  <c r="N24" i="54"/>
  <c r="L24" i="54"/>
  <c r="J24" i="54"/>
  <c r="H24" i="54" a="1"/>
  <c r="H24" i="54" s="1"/>
  <c r="G24" i="54" a="1"/>
  <c r="G24" i="54" s="1"/>
  <c r="F24" i="54" a="1"/>
  <c r="F24" i="54" s="1"/>
  <c r="E24" i="54" a="1"/>
  <c r="E24" i="54" s="1"/>
  <c r="D24" i="54" a="1"/>
  <c r="D24" i="54" s="1"/>
  <c r="C24" i="54" a="1"/>
  <c r="C24" i="54" s="1"/>
  <c r="T23" i="54"/>
  <c r="U23" i="54" s="1"/>
  <c r="R23" i="54"/>
  <c r="S23" i="54" s="1"/>
  <c r="P23" i="54"/>
  <c r="Q23" i="54" s="1"/>
  <c r="N23" i="54"/>
  <c r="O23" i="54" s="1"/>
  <c r="L23" i="54"/>
  <c r="M23" i="54" s="1"/>
  <c r="J23" i="54"/>
  <c r="K23" i="54" s="1"/>
  <c r="H23" i="54" a="1"/>
  <c r="H23" i="54" s="1"/>
  <c r="V23" i="54" s="1"/>
  <c r="W23" i="54" s="1"/>
  <c r="G23" i="54" a="1"/>
  <c r="G23" i="54" s="1"/>
  <c r="F23" i="54" a="1"/>
  <c r="F23" i="54" s="1"/>
  <c r="E23" i="54" a="1"/>
  <c r="E23" i="54" s="1"/>
  <c r="D23" i="54" a="1"/>
  <c r="D23" i="54" s="1"/>
  <c r="C23" i="54" a="1"/>
  <c r="C23" i="54" s="1"/>
  <c r="T22" i="54"/>
  <c r="R22" i="54"/>
  <c r="P22" i="54"/>
  <c r="N22" i="54"/>
  <c r="L22" i="54"/>
  <c r="J22" i="54"/>
  <c r="H22" i="54" a="1"/>
  <c r="H22" i="54" s="1"/>
  <c r="G22" i="54" a="1"/>
  <c r="G22" i="54" s="1"/>
  <c r="F22" i="54" a="1"/>
  <c r="F22" i="54" s="1"/>
  <c r="E22" i="54" a="1"/>
  <c r="E22" i="54" s="1"/>
  <c r="D22" i="54" a="1"/>
  <c r="D22" i="54" s="1"/>
  <c r="C22" i="54" a="1"/>
  <c r="C22" i="54" s="1"/>
  <c r="T21" i="54"/>
  <c r="R21" i="54"/>
  <c r="P21" i="54"/>
  <c r="N21" i="54"/>
  <c r="L21" i="54"/>
  <c r="J21" i="54"/>
  <c r="H21" i="54" a="1"/>
  <c r="H21" i="54" s="1"/>
  <c r="G21" i="54" a="1"/>
  <c r="G21" i="54" s="1"/>
  <c r="F21" i="54" a="1"/>
  <c r="F21" i="54" s="1"/>
  <c r="E21" i="54" a="1"/>
  <c r="E21" i="54" s="1"/>
  <c r="D21" i="54" a="1"/>
  <c r="D21" i="54" s="1"/>
  <c r="C21" i="54" a="1"/>
  <c r="C21" i="54" s="1"/>
  <c r="T20" i="54"/>
  <c r="R20" i="54"/>
  <c r="P20" i="54"/>
  <c r="N20" i="54"/>
  <c r="L20" i="54"/>
  <c r="J20" i="54"/>
  <c r="H20" i="54" a="1"/>
  <c r="H20" i="54" s="1"/>
  <c r="G20" i="54" a="1"/>
  <c r="G20" i="54" s="1"/>
  <c r="F20" i="54" a="1"/>
  <c r="F20" i="54" s="1"/>
  <c r="E20" i="54" a="1"/>
  <c r="E20" i="54" s="1"/>
  <c r="D20" i="54" a="1"/>
  <c r="D20" i="54" s="1"/>
  <c r="C20" i="54" a="1"/>
  <c r="C20" i="54" s="1"/>
  <c r="T19" i="54"/>
  <c r="R19" i="54"/>
  <c r="P19" i="54"/>
  <c r="N19" i="54"/>
  <c r="L19" i="54"/>
  <c r="J19" i="54"/>
  <c r="H19" i="54" a="1"/>
  <c r="H19" i="54" s="1"/>
  <c r="G19" i="54" a="1"/>
  <c r="G19" i="54" s="1"/>
  <c r="F19" i="54" a="1"/>
  <c r="F19" i="54" s="1"/>
  <c r="E19" i="54" a="1"/>
  <c r="E19" i="54" s="1"/>
  <c r="D19" i="54" a="1"/>
  <c r="D19" i="54" s="1"/>
  <c r="C19" i="54" a="1"/>
  <c r="C19" i="54" s="1"/>
  <c r="T18" i="54"/>
  <c r="R18" i="54"/>
  <c r="P18" i="54"/>
  <c r="N18" i="54"/>
  <c r="L18" i="54"/>
  <c r="J18" i="54"/>
  <c r="H18" i="54" a="1"/>
  <c r="H18" i="54" s="1"/>
  <c r="G18" i="54" a="1"/>
  <c r="G18" i="54" s="1"/>
  <c r="F18" i="54" a="1"/>
  <c r="F18" i="54" s="1"/>
  <c r="E18" i="54" a="1"/>
  <c r="E18" i="54" s="1"/>
  <c r="D18" i="54" a="1"/>
  <c r="D18" i="54" s="1"/>
  <c r="C18" i="54" a="1"/>
  <c r="C18" i="54" s="1"/>
  <c r="T17" i="54"/>
  <c r="R17" i="54"/>
  <c r="P17" i="54"/>
  <c r="N17" i="54"/>
  <c r="L17" i="54"/>
  <c r="J17" i="54"/>
  <c r="H17" i="54" a="1"/>
  <c r="H17" i="54" s="1"/>
  <c r="G17" i="54" a="1"/>
  <c r="G17" i="54" s="1"/>
  <c r="F17" i="54" a="1"/>
  <c r="F17" i="54" s="1"/>
  <c r="E17" i="54" a="1"/>
  <c r="E17" i="54" s="1"/>
  <c r="D17" i="54" a="1"/>
  <c r="D17" i="54" s="1"/>
  <c r="C17" i="54" a="1"/>
  <c r="C17" i="54" s="1"/>
  <c r="T16" i="54"/>
  <c r="R16" i="54"/>
  <c r="P16" i="54"/>
  <c r="N16" i="54"/>
  <c r="L16" i="54"/>
  <c r="J16" i="54"/>
  <c r="H16" i="54" a="1"/>
  <c r="H16" i="54" s="1"/>
  <c r="G16" i="54" a="1"/>
  <c r="G16" i="54" s="1"/>
  <c r="F16" i="54" a="1"/>
  <c r="F16" i="54" s="1"/>
  <c r="E16" i="54" a="1"/>
  <c r="E16" i="54" s="1"/>
  <c r="D16" i="54" a="1"/>
  <c r="D16" i="54" s="1"/>
  <c r="C16" i="54" a="1"/>
  <c r="C16" i="54" s="1"/>
  <c r="T15" i="54"/>
  <c r="R15" i="54"/>
  <c r="P15" i="54"/>
  <c r="N15" i="54"/>
  <c r="L15" i="54"/>
  <c r="J15" i="54"/>
  <c r="H15" i="54" a="1"/>
  <c r="H15" i="54" s="1"/>
  <c r="G15" i="54" a="1"/>
  <c r="G15" i="54" s="1"/>
  <c r="F15" i="54" a="1"/>
  <c r="F15" i="54" s="1"/>
  <c r="E15" i="54" a="1"/>
  <c r="E15" i="54" s="1"/>
  <c r="D15" i="54" a="1"/>
  <c r="D15" i="54" s="1"/>
  <c r="C15" i="54" a="1"/>
  <c r="C15" i="54" s="1"/>
  <c r="T14" i="54"/>
  <c r="R14" i="54"/>
  <c r="P14" i="54"/>
  <c r="N14" i="54"/>
  <c r="L14" i="54"/>
  <c r="J14" i="54"/>
  <c r="H14" i="54" a="1"/>
  <c r="H14" i="54" s="1"/>
  <c r="G14" i="54" a="1"/>
  <c r="G14" i="54" s="1"/>
  <c r="F14" i="54" a="1"/>
  <c r="F14" i="54" s="1"/>
  <c r="E14" i="54" a="1"/>
  <c r="E14" i="54" s="1"/>
  <c r="D14" i="54" a="1"/>
  <c r="D14" i="54" s="1"/>
  <c r="C14" i="54" a="1"/>
  <c r="C14" i="54" s="1"/>
  <c r="T13" i="54"/>
  <c r="R13" i="54"/>
  <c r="P13" i="54"/>
  <c r="N13" i="54"/>
  <c r="L13" i="54"/>
  <c r="J13" i="54"/>
  <c r="H13" i="54" a="1"/>
  <c r="H13" i="54" s="1"/>
  <c r="G13" i="54" a="1"/>
  <c r="G13" i="54" s="1"/>
  <c r="F13" i="54" a="1"/>
  <c r="F13" i="54" s="1"/>
  <c r="E13" i="54" a="1"/>
  <c r="E13" i="54" s="1"/>
  <c r="D13" i="54" a="1"/>
  <c r="D13" i="54" s="1"/>
  <c r="C13" i="54" a="1"/>
  <c r="C13" i="54" s="1"/>
  <c r="T12" i="54"/>
  <c r="R12" i="54"/>
  <c r="P12" i="54"/>
  <c r="N12" i="54"/>
  <c r="L12" i="54"/>
  <c r="J12" i="54"/>
  <c r="H12" i="54" a="1"/>
  <c r="H12" i="54" s="1"/>
  <c r="G12" i="54" a="1"/>
  <c r="G12" i="54" s="1"/>
  <c r="F12" i="54" a="1"/>
  <c r="F12" i="54" s="1"/>
  <c r="E12" i="54" a="1"/>
  <c r="E12" i="54" s="1"/>
  <c r="D12" i="54" a="1"/>
  <c r="D12" i="54" s="1"/>
  <c r="C12" i="54" a="1"/>
  <c r="C12" i="54" s="1"/>
  <c r="T11" i="54"/>
  <c r="R11" i="54"/>
  <c r="P11" i="54"/>
  <c r="N11" i="54"/>
  <c r="L11" i="54"/>
  <c r="J11" i="54"/>
  <c r="H11" i="54" a="1"/>
  <c r="H11" i="54" s="1"/>
  <c r="G11" i="54" a="1"/>
  <c r="G11" i="54" s="1"/>
  <c r="F11" i="54" a="1"/>
  <c r="F11" i="54" s="1"/>
  <c r="E11" i="54" a="1"/>
  <c r="E11" i="54" s="1"/>
  <c r="D11" i="54" a="1"/>
  <c r="D11" i="54" s="1"/>
  <c r="C11" i="54" a="1"/>
  <c r="C11" i="54" s="1"/>
  <c r="T10" i="54"/>
  <c r="R10" i="54"/>
  <c r="P10" i="54"/>
  <c r="N10" i="54"/>
  <c r="L10" i="54"/>
  <c r="J10" i="54"/>
  <c r="H10" i="54" a="1"/>
  <c r="H10" i="54"/>
  <c r="G10" i="54" a="1"/>
  <c r="G10" i="54" s="1"/>
  <c r="F10" i="54" a="1"/>
  <c r="F10" i="54" s="1"/>
  <c r="E10" i="54" a="1"/>
  <c r="E10" i="54" s="1"/>
  <c r="D10" i="54" a="1"/>
  <c r="D10" i="54" s="1"/>
  <c r="C10" i="54" a="1"/>
  <c r="C10" i="54" s="1"/>
  <c r="T9" i="54"/>
  <c r="R9" i="54"/>
  <c r="P9" i="54"/>
  <c r="N9" i="54"/>
  <c r="L9" i="54"/>
  <c r="J9" i="54"/>
  <c r="H9" i="54" a="1"/>
  <c r="H9" i="54" s="1"/>
  <c r="G9" i="54" a="1"/>
  <c r="G9" i="54" s="1"/>
  <c r="F9" i="54" a="1"/>
  <c r="F9" i="54" s="1"/>
  <c r="E9" i="54" a="1"/>
  <c r="E9" i="54" s="1"/>
  <c r="D9" i="54" a="1"/>
  <c r="D9" i="54" s="1"/>
  <c r="C9" i="54" a="1"/>
  <c r="C9" i="54" s="1"/>
  <c r="T8" i="54"/>
  <c r="R8" i="54"/>
  <c r="P8" i="54"/>
  <c r="N8" i="54"/>
  <c r="L8" i="54"/>
  <c r="J8" i="54"/>
  <c r="H8" i="54" a="1"/>
  <c r="H8" i="54" s="1"/>
  <c r="G8" i="54" a="1"/>
  <c r="G8" i="54" s="1"/>
  <c r="F8" i="54" a="1"/>
  <c r="F8" i="54" s="1"/>
  <c r="E8" i="54" a="1"/>
  <c r="E8" i="54" s="1"/>
  <c r="D8" i="54" a="1"/>
  <c r="D8" i="54" s="1"/>
  <c r="C8" i="54" a="1"/>
  <c r="C8" i="54" s="1"/>
  <c r="T7" i="54"/>
  <c r="R7" i="54"/>
  <c r="P7" i="54"/>
  <c r="N7" i="54"/>
  <c r="L7" i="54"/>
  <c r="J7" i="54"/>
  <c r="H7" i="54" a="1"/>
  <c r="H7" i="54" s="1"/>
  <c r="G7" i="54" a="1"/>
  <c r="G7" i="54" s="1"/>
  <c r="F7" i="54" a="1"/>
  <c r="F7" i="54" s="1"/>
  <c r="E7" i="54" a="1"/>
  <c r="E7" i="54" s="1"/>
  <c r="D7" i="54" a="1"/>
  <c r="D7" i="54" s="1"/>
  <c r="C7" i="54" a="1"/>
  <c r="C7" i="54" s="1"/>
  <c r="T6" i="54"/>
  <c r="R6" i="54"/>
  <c r="P6" i="54"/>
  <c r="N6" i="54"/>
  <c r="L6" i="54"/>
  <c r="J6" i="54"/>
  <c r="H6" i="54" a="1"/>
  <c r="H6" i="54" s="1"/>
  <c r="G6" i="54" a="1"/>
  <c r="G6" i="54" s="1"/>
  <c r="F6" i="54" a="1"/>
  <c r="F6" i="54" s="1"/>
  <c r="E6" i="54" a="1"/>
  <c r="E6" i="54" s="1"/>
  <c r="D6" i="54" a="1"/>
  <c r="D6" i="54" s="1"/>
  <c r="C6" i="54" a="1"/>
  <c r="C6" i="54" s="1"/>
  <c r="T5" i="54"/>
  <c r="R5" i="54"/>
  <c r="R32" i="54" s="1"/>
  <c r="P5" i="54"/>
  <c r="P32" i="54" s="1"/>
  <c r="N5" i="54"/>
  <c r="N32" i="54" s="1"/>
  <c r="L5" i="54"/>
  <c r="L31" i="54" s="1"/>
  <c r="J5" i="54"/>
  <c r="J32" i="54" s="1"/>
  <c r="H5" i="54" a="1"/>
  <c r="H5" i="54" s="1"/>
  <c r="H32" i="54" s="1"/>
  <c r="G5" i="54" a="1"/>
  <c r="G5" i="54" s="1"/>
  <c r="F5" i="54" a="1"/>
  <c r="F5" i="54" s="1"/>
  <c r="E5" i="54" a="1"/>
  <c r="E5" i="54" s="1"/>
  <c r="D5" i="54" a="1"/>
  <c r="D5" i="54" s="1"/>
  <c r="C5" i="54" a="1"/>
  <c r="C5" i="54" s="1"/>
  <c r="B3" i="44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45" i="44"/>
  <c r="B46" i="44"/>
  <c r="B47" i="44"/>
  <c r="B48" i="44"/>
  <c r="B49" i="44"/>
  <c r="B50" i="44"/>
  <c r="B51" i="44"/>
  <c r="B52" i="44"/>
  <c r="B53" i="44"/>
  <c r="B54" i="44"/>
  <c r="B55" i="44"/>
  <c r="B56" i="44"/>
  <c r="B57" i="44"/>
  <c r="B58" i="44"/>
  <c r="B59" i="44"/>
  <c r="B60" i="44"/>
  <c r="B61" i="44"/>
  <c r="B62" i="44"/>
  <c r="B63" i="44"/>
  <c r="B64" i="44"/>
  <c r="B65" i="44"/>
  <c r="B66" i="44"/>
  <c r="B67" i="44"/>
  <c r="B68" i="44"/>
  <c r="B69" i="44"/>
  <c r="B70" i="44"/>
  <c r="B71" i="44"/>
  <c r="B72" i="44"/>
  <c r="B73" i="44"/>
  <c r="B74" i="44"/>
  <c r="B75" i="44"/>
  <c r="B76" i="44"/>
  <c r="B77" i="44"/>
  <c r="B78" i="44"/>
  <c r="B79" i="44"/>
  <c r="B80" i="44"/>
  <c r="B81" i="44"/>
  <c r="B82" i="44"/>
  <c r="B83" i="44"/>
  <c r="B84" i="44"/>
  <c r="B85" i="44"/>
  <c r="B86" i="44"/>
  <c r="B87" i="44"/>
  <c r="B88" i="44"/>
  <c r="B89" i="44"/>
  <c r="B90" i="44"/>
  <c r="B91" i="44"/>
  <c r="B92" i="44"/>
  <c r="B93" i="44"/>
  <c r="B94" i="44"/>
  <c r="B95" i="44"/>
  <c r="B96" i="44"/>
  <c r="B97" i="44"/>
  <c r="B98" i="44"/>
  <c r="B99" i="44"/>
  <c r="B100" i="44"/>
  <c r="B101" i="44"/>
  <c r="B102" i="44"/>
  <c r="B103" i="44"/>
  <c r="B104" i="44"/>
  <c r="B105" i="44"/>
  <c r="B106" i="44"/>
  <c r="B107" i="44"/>
  <c r="B108" i="44"/>
  <c r="B109" i="44"/>
  <c r="B110" i="44"/>
  <c r="B111" i="44"/>
  <c r="B112" i="44"/>
  <c r="B113" i="44"/>
  <c r="B114" i="44"/>
  <c r="B115" i="44"/>
  <c r="B116" i="44"/>
  <c r="B117" i="44"/>
  <c r="B118" i="44"/>
  <c r="B119" i="44"/>
  <c r="B120" i="44"/>
  <c r="B121" i="44"/>
  <c r="B122" i="44"/>
  <c r="B123" i="44"/>
  <c r="B124" i="44"/>
  <c r="B125" i="44"/>
  <c r="B126" i="44"/>
  <c r="B127" i="44"/>
  <c r="B128" i="44"/>
  <c r="B129" i="44"/>
  <c r="B130" i="44"/>
  <c r="B131" i="44"/>
  <c r="B132" i="44"/>
  <c r="B133" i="44"/>
  <c r="B134" i="44"/>
  <c r="B135" i="44"/>
  <c r="B136" i="44"/>
  <c r="B137" i="44"/>
  <c r="B138" i="44"/>
  <c r="B139" i="44"/>
  <c r="B140" i="44"/>
  <c r="B141" i="44"/>
  <c r="B142" i="44"/>
  <c r="B143" i="44"/>
  <c r="B144" i="44"/>
  <c r="B145" i="44"/>
  <c r="B146" i="44"/>
  <c r="B147" i="44"/>
  <c r="B148" i="44"/>
  <c r="B149" i="44"/>
  <c r="B150" i="44"/>
  <c r="B151" i="44"/>
  <c r="B152" i="44"/>
  <c r="B153" i="44"/>
  <c r="B154" i="44"/>
  <c r="B155" i="44"/>
  <c r="B156" i="44"/>
  <c r="B157" i="44"/>
  <c r="B158" i="44"/>
  <c r="B159" i="44"/>
  <c r="B160" i="44"/>
  <c r="B161" i="44"/>
  <c r="B162" i="44"/>
  <c r="B163" i="44"/>
  <c r="B164" i="44"/>
  <c r="B165" i="44"/>
  <c r="B166" i="44"/>
  <c r="B167" i="44"/>
  <c r="B168" i="44"/>
  <c r="B169" i="44"/>
  <c r="B170" i="44"/>
  <c r="B171" i="44"/>
  <c r="B172" i="44"/>
  <c r="B173" i="44"/>
  <c r="B174" i="44"/>
  <c r="B175" i="44"/>
  <c r="B176" i="44"/>
  <c r="B177" i="44"/>
  <c r="B178" i="44"/>
  <c r="B179" i="44"/>
  <c r="B180" i="44"/>
  <c r="B181" i="44"/>
  <c r="B182" i="44"/>
  <c r="B183" i="44"/>
  <c r="B184" i="44"/>
  <c r="B185" i="44"/>
  <c r="B186" i="44"/>
  <c r="B187" i="44"/>
  <c r="B188" i="44"/>
  <c r="B189" i="44"/>
  <c r="B190" i="44"/>
  <c r="B191" i="44"/>
  <c r="B192" i="44"/>
  <c r="B193" i="44"/>
  <c r="B194" i="44"/>
  <c r="B195" i="44"/>
  <c r="B196" i="44"/>
  <c r="B197" i="44"/>
  <c r="B198" i="44"/>
  <c r="B199" i="44"/>
  <c r="B200" i="44"/>
  <c r="B201" i="44"/>
  <c r="B202" i="44"/>
  <c r="B203" i="44"/>
  <c r="B204" i="44"/>
  <c r="B205" i="44"/>
  <c r="B206" i="44"/>
  <c r="B207" i="44"/>
  <c r="B208" i="44"/>
  <c r="B209" i="44"/>
  <c r="B210" i="44"/>
  <c r="B211" i="44"/>
  <c r="B212" i="44"/>
  <c r="B213" i="44"/>
  <c r="B214" i="44"/>
  <c r="B215" i="44"/>
  <c r="B216" i="44"/>
  <c r="B217" i="44"/>
  <c r="B218" i="44"/>
  <c r="B219" i="44"/>
  <c r="B220" i="44"/>
  <c r="B221" i="44"/>
  <c r="B222" i="44"/>
  <c r="B223" i="44"/>
  <c r="B224" i="44"/>
  <c r="B225" i="44"/>
  <c r="B226" i="44"/>
  <c r="B227" i="44"/>
  <c r="B228" i="44"/>
  <c r="B229" i="44"/>
  <c r="B230" i="44"/>
  <c r="B231" i="44"/>
  <c r="B232" i="44"/>
  <c r="B233" i="44"/>
  <c r="B234" i="44"/>
  <c r="B235" i="44"/>
  <c r="B236" i="44"/>
  <c r="B237" i="44"/>
  <c r="B238" i="44"/>
  <c r="B239" i="44"/>
  <c r="B240" i="44"/>
  <c r="B241" i="44"/>
  <c r="B242" i="44"/>
  <c r="B243" i="44"/>
  <c r="B244" i="44"/>
  <c r="T1" i="44"/>
  <c r="M1" i="44"/>
  <c r="H1" i="44"/>
  <c r="A1" i="44"/>
  <c r="Z1819" i="44"/>
  <c r="Z1835" i="44"/>
  <c r="Z1851" i="44"/>
  <c r="Z1867" i="44"/>
  <c r="Z1882" i="44"/>
  <c r="Z1897" i="44"/>
  <c r="Z1912" i="44"/>
  <c r="Z1925" i="44"/>
  <c r="Z1939" i="44"/>
  <c r="Z1952" i="44"/>
  <c r="Z1966" i="44"/>
  <c r="Z1980" i="44"/>
  <c r="Z1994" i="44"/>
  <c r="Z2007" i="44"/>
  <c r="Z2019" i="44"/>
  <c r="Z2032" i="44"/>
  <c r="Z2045" i="44"/>
  <c r="Z2058" i="44"/>
  <c r="Z2072" i="44"/>
  <c r="Z2086" i="44"/>
  <c r="Z2100" i="44"/>
  <c r="Z2114" i="44"/>
  <c r="Z2129" i="44"/>
  <c r="Z2143" i="44"/>
  <c r="Z2158" i="44"/>
  <c r="Z2174" i="44"/>
  <c r="Z2202" i="44"/>
  <c r="Z2217" i="44"/>
  <c r="Z2232" i="44"/>
  <c r="Z2246" i="44"/>
  <c r="Z2260" i="44"/>
  <c r="Z2275" i="44"/>
  <c r="Z2290" i="44"/>
  <c r="Z2305" i="44"/>
  <c r="Z2320" i="44"/>
  <c r="Z2335" i="44"/>
  <c r="Z2350" i="44"/>
  <c r="Z2365" i="44"/>
  <c r="Z2380" i="44"/>
  <c r="Z2394" i="44"/>
  <c r="Z2407" i="44"/>
  <c r="Z2435" i="44"/>
  <c r="Z2451" i="44"/>
  <c r="Z2467" i="44"/>
  <c r="Z2483" i="44"/>
  <c r="Z2498" i="44"/>
  <c r="Z2513" i="44"/>
  <c r="Z2528" i="44"/>
  <c r="Z2544" i="44"/>
  <c r="Z2561" i="44"/>
  <c r="Z2576" i="44"/>
  <c r="Z2591" i="44"/>
  <c r="Z2607" i="44"/>
  <c r="Z2703" i="44"/>
  <c r="Z2718" i="44"/>
  <c r="Z2733" i="44"/>
  <c r="Z2749" i="44"/>
  <c r="Z2765" i="44"/>
  <c r="Z2782" i="44"/>
  <c r="Z2796" i="44"/>
  <c r="Z2809" i="44"/>
  <c r="Z2823" i="44"/>
  <c r="Z2839" i="44"/>
  <c r="Z2855" i="44"/>
  <c r="Z2870" i="44"/>
  <c r="Z19" i="44"/>
  <c r="Z37" i="44"/>
  <c r="Z55" i="44"/>
  <c r="Z72" i="44"/>
  <c r="Z89" i="44"/>
  <c r="Z106" i="44"/>
  <c r="Z124" i="44"/>
  <c r="Z142" i="44"/>
  <c r="Z160" i="44"/>
  <c r="Z178" i="44"/>
  <c r="Z196" i="44"/>
  <c r="Z214" i="44"/>
  <c r="Z231" i="44"/>
  <c r="Z248" i="44"/>
  <c r="Z266" i="44"/>
  <c r="Z284" i="44"/>
  <c r="Z300" i="44"/>
  <c r="Z317" i="44"/>
  <c r="Z334" i="44"/>
  <c r="Z350" i="44"/>
  <c r="Z366" i="44"/>
  <c r="Z544" i="44"/>
  <c r="Z558" i="44"/>
  <c r="Z574" i="44"/>
  <c r="Z590" i="44"/>
  <c r="Z605" i="44"/>
  <c r="Z964" i="44"/>
  <c r="Z981" i="44"/>
  <c r="Z998" i="44"/>
  <c r="Z1013" i="44"/>
  <c r="Z1028" i="44"/>
  <c r="Z1044" i="44"/>
  <c r="Z1061" i="44"/>
  <c r="Z1078" i="44"/>
  <c r="Z1142" i="44"/>
  <c r="Z1189" i="44"/>
  <c r="Z1203" i="44"/>
  <c r="Z1220" i="44"/>
  <c r="Z1237" i="44"/>
  <c r="Z1252" i="44"/>
  <c r="Z1267" i="44"/>
  <c r="Z1283" i="44"/>
  <c r="Z1326" i="44"/>
  <c r="Z1342" i="44"/>
  <c r="Z1357" i="44"/>
  <c r="Z1373" i="44"/>
  <c r="Z1389" i="44"/>
  <c r="Z1405" i="44"/>
  <c r="Z1421" i="44"/>
  <c r="Z1437" i="44"/>
  <c r="Z1453" i="44"/>
  <c r="Z1468" i="44"/>
  <c r="Z1499" i="44"/>
  <c r="Z1515" i="44"/>
  <c r="Z1546" i="44"/>
  <c r="Z1562" i="44"/>
  <c r="Z1578" i="44"/>
  <c r="Z1593" i="44"/>
  <c r="Z1608" i="44"/>
  <c r="Z1623" i="44"/>
  <c r="Z1638" i="44"/>
  <c r="Z1653" i="44"/>
  <c r="Z1709" i="44"/>
  <c r="Z1724" i="44"/>
  <c r="Z1741" i="44"/>
  <c r="Z1757" i="44"/>
  <c r="Z1773" i="44"/>
  <c r="Z1788" i="44"/>
  <c r="Z1804" i="44"/>
  <c r="Z1820" i="44"/>
  <c r="Z1836" i="44"/>
  <c r="Z1852" i="44"/>
  <c r="Z1868" i="44"/>
  <c r="Z1883" i="44"/>
  <c r="Z1913" i="44"/>
  <c r="Z1926" i="44"/>
  <c r="Z1940" i="44"/>
  <c r="Z1953" i="44"/>
  <c r="Z1967" i="44"/>
  <c r="Z1981" i="44"/>
  <c r="Z1995" i="44"/>
  <c r="Z2008" i="44"/>
  <c r="Z2020" i="44"/>
  <c r="Z2033" i="44"/>
  <c r="Z2046" i="44"/>
  <c r="Z2059" i="44"/>
  <c r="Z2073" i="44"/>
  <c r="Z2087" i="44"/>
  <c r="Z2101" i="44"/>
  <c r="Z2115" i="44"/>
  <c r="Z2130" i="44"/>
  <c r="Z2144" i="44"/>
  <c r="Z2159" i="44"/>
  <c r="Z2175" i="44"/>
  <c r="Z2203" i="44"/>
  <c r="Z2218" i="44"/>
  <c r="Z2233" i="44"/>
  <c r="Z2247" i="44"/>
  <c r="Z2261" i="44"/>
  <c r="Z2276" i="44"/>
  <c r="Z2291" i="44"/>
  <c r="Z2306" i="44"/>
  <c r="Z2321" i="44"/>
  <c r="Z2336" i="44"/>
  <c r="Z2351" i="44"/>
  <c r="Z2366" i="44"/>
  <c r="Z2421" i="44"/>
  <c r="Z2436" i="44"/>
  <c r="Z2452" i="44"/>
  <c r="Z2468" i="44"/>
  <c r="Z2484" i="44"/>
  <c r="Z2499" i="44"/>
  <c r="Z2514" i="44"/>
  <c r="Z2529" i="44"/>
  <c r="Z2545" i="44"/>
  <c r="Z2562" i="44"/>
  <c r="Z2577" i="44"/>
  <c r="Z2592" i="44"/>
  <c r="Z2608" i="44"/>
  <c r="Z2623" i="44"/>
  <c r="Z2638" i="44"/>
  <c r="Z2655" i="44"/>
  <c r="Z2671" i="44"/>
  <c r="Z2688" i="44"/>
  <c r="Z2704" i="44"/>
  <c r="Z2719" i="44"/>
  <c r="Z2734" i="44"/>
  <c r="Z2750" i="44"/>
  <c r="Z2766" i="44"/>
  <c r="Z2783" i="44"/>
  <c r="Z20" i="44"/>
  <c r="Z38" i="44"/>
  <c r="Z56" i="44"/>
  <c r="Z73" i="44"/>
  <c r="Z90" i="44"/>
  <c r="Z107" i="44"/>
  <c r="Z125" i="44"/>
  <c r="Z143" i="44"/>
  <c r="Z161" i="44"/>
  <c r="Z179" i="44"/>
  <c r="Z197" i="44"/>
  <c r="Z215" i="44"/>
  <c r="Z232" i="44"/>
  <c r="Z249" i="44"/>
  <c r="Z267" i="44"/>
  <c r="Z285" i="44"/>
  <c r="Z301" i="44"/>
  <c r="Z318" i="44"/>
  <c r="Z335" i="44"/>
  <c r="Z351" i="44"/>
  <c r="Z367" i="44"/>
  <c r="Z384" i="44"/>
  <c r="Z401" i="44"/>
  <c r="Z417" i="44"/>
  <c r="Z432" i="44"/>
  <c r="Z447" i="44"/>
  <c r="Z464" i="44"/>
  <c r="Z480" i="44"/>
  <c r="Z496" i="44"/>
  <c r="Z512" i="44"/>
  <c r="Z528" i="44"/>
  <c r="Z545" i="44"/>
  <c r="Z559" i="44"/>
  <c r="Z575" i="44"/>
  <c r="Z591" i="44"/>
  <c r="Z606" i="44"/>
  <c r="Z619" i="44"/>
  <c r="Z632" i="44"/>
  <c r="Z646" i="44"/>
  <c r="Z656" i="44"/>
  <c r="Z671" i="44"/>
  <c r="Z684" i="44"/>
  <c r="Z698" i="44"/>
  <c r="Z714" i="44"/>
  <c r="Z730" i="44"/>
  <c r="Z747" i="44"/>
  <c r="Z762" i="44"/>
  <c r="Z777" i="44"/>
  <c r="Z793" i="44"/>
  <c r="Z809" i="44"/>
  <c r="Z825" i="44"/>
  <c r="Z841" i="44"/>
  <c r="Z856" i="44"/>
  <c r="Z872" i="44"/>
  <c r="Z887" i="44"/>
  <c r="Z902" i="44"/>
  <c r="Z917" i="44"/>
  <c r="Z932" i="44"/>
  <c r="Z947" i="44"/>
  <c r="Z965" i="44"/>
  <c r="Z982" i="44"/>
  <c r="Z999" i="44"/>
  <c r="Z1014" i="44"/>
  <c r="Z1029" i="44"/>
  <c r="Z1045" i="44"/>
  <c r="Z1062" i="44"/>
  <c r="Z1079" i="44"/>
  <c r="Z1094" i="44"/>
  <c r="Z1112" i="44"/>
  <c r="Z1127" i="44"/>
  <c r="Z1143" i="44"/>
  <c r="Z1159" i="44"/>
  <c r="Z1175" i="44"/>
  <c r="Z1190" i="44"/>
  <c r="Z1204" i="44"/>
  <c r="Z1221" i="44"/>
  <c r="Z1238" i="44"/>
  <c r="Z1253" i="44"/>
  <c r="Z1268" i="44"/>
  <c r="Z1284" i="44"/>
  <c r="Z1299" i="44"/>
  <c r="Z1314" i="44"/>
  <c r="Z1327" i="44"/>
  <c r="Z1343" i="44"/>
  <c r="Z1358" i="44"/>
  <c r="Z1374" i="44"/>
  <c r="Z1390" i="44"/>
  <c r="Z1406" i="44"/>
  <c r="Z1422" i="44"/>
  <c r="Z1438" i="44"/>
  <c r="Z1454" i="44"/>
  <c r="Z1469" i="44"/>
  <c r="Z1484" i="44"/>
  <c r="Z1500" i="44"/>
  <c r="Z1516" i="44"/>
  <c r="Z1531" i="44"/>
  <c r="Z1547" i="44"/>
  <c r="Z1563" i="44"/>
  <c r="Z1579" i="44"/>
  <c r="Z1594" i="44"/>
  <c r="Z1609" i="44"/>
  <c r="Z1624" i="44"/>
  <c r="Z1639" i="44"/>
  <c r="Z1654" i="44"/>
  <c r="Z1665" i="44"/>
  <c r="Z1675" i="44"/>
  <c r="Z1685" i="44"/>
  <c r="Z1696" i="44"/>
  <c r="Z1710" i="44"/>
  <c r="Z1725" i="44"/>
  <c r="Z1742" i="44"/>
  <c r="Z1758" i="44"/>
  <c r="Z1774" i="44"/>
  <c r="Z1789" i="44"/>
  <c r="Z1805" i="44"/>
  <c r="Z1821" i="44"/>
  <c r="Z1837" i="44"/>
  <c r="Z1853" i="44"/>
  <c r="Z1869" i="44"/>
  <c r="Z1884" i="44"/>
  <c r="Z1898" i="44"/>
  <c r="Z1914" i="44"/>
  <c r="Z1927" i="44"/>
  <c r="Z1941" i="44"/>
  <c r="Z1954" i="44"/>
  <c r="Z1968" i="44"/>
  <c r="Z1982" i="44"/>
  <c r="Z1996" i="44"/>
  <c r="Z2009" i="44"/>
  <c r="Z2021" i="44"/>
  <c r="Z2034" i="44"/>
  <c r="Z2047" i="44"/>
  <c r="Z2060" i="44"/>
  <c r="Z2074" i="44"/>
  <c r="Z2088" i="44"/>
  <c r="Z2102" i="44"/>
  <c r="Z2116" i="44"/>
  <c r="Z2131" i="44"/>
  <c r="Z2145" i="44"/>
  <c r="Z2160" i="44"/>
  <c r="Z2176" i="44"/>
  <c r="Z2189" i="44"/>
  <c r="Z2204" i="44"/>
  <c r="Z2219" i="44"/>
  <c r="Z2234" i="44"/>
  <c r="Z2248" i="44"/>
  <c r="Z2262" i="44"/>
  <c r="Z2277" i="44"/>
  <c r="Z2292" i="44"/>
  <c r="Z2307" i="44"/>
  <c r="Z2322" i="44"/>
  <c r="Z2337" i="44"/>
  <c r="Z2352" i="44"/>
  <c r="Z2367" i="44"/>
  <c r="Z2381" i="44"/>
  <c r="Z2395" i="44"/>
  <c r="Z2408" i="44"/>
  <c r="Z2422" i="44"/>
  <c r="Z2437" i="44"/>
  <c r="Z2453" i="44"/>
  <c r="Z2469" i="44"/>
  <c r="Z2485" i="44"/>
  <c r="Z2500" i="44"/>
  <c r="Z2515" i="44"/>
  <c r="Z2530" i="44"/>
  <c r="Z2546" i="44"/>
  <c r="Z2563" i="44"/>
  <c r="Z2578" i="44"/>
  <c r="Z2593" i="44"/>
  <c r="Z2609" i="44"/>
  <c r="Z2624" i="44"/>
  <c r="Z2639" i="44"/>
  <c r="Z2656" i="44"/>
  <c r="Z2672" i="44"/>
  <c r="Z2689" i="44"/>
  <c r="Z2705" i="44"/>
  <c r="Z2720" i="44"/>
  <c r="Z2735" i="44"/>
  <c r="Z2751" i="44"/>
  <c r="Z2767" i="44"/>
  <c r="Z2784" i="44"/>
  <c r="Z2797" i="44"/>
  <c r="Z2810" i="44"/>
  <c r="Z2824" i="44"/>
  <c r="Z2840" i="44"/>
  <c r="Z2856" i="44"/>
  <c r="Z2871" i="44"/>
  <c r="Z2885" i="44"/>
  <c r="Z944" i="44"/>
  <c r="Z959" i="44"/>
  <c r="Z976" i="44"/>
  <c r="Z993" i="44"/>
  <c r="Z1010" i="44"/>
  <c r="Z1025" i="44"/>
  <c r="Z1041" i="44"/>
  <c r="Z1058" i="44"/>
  <c r="Z1075" i="44"/>
  <c r="Z1091" i="44"/>
  <c r="Z1107" i="44"/>
  <c r="Z1124" i="44"/>
  <c r="Z1138" i="44"/>
  <c r="Z1155" i="44"/>
  <c r="Z1171" i="44"/>
  <c r="Z1186" i="44"/>
  <c r="Z1201" i="44"/>
  <c r="Z1216" i="44"/>
  <c r="Z1233" i="44"/>
  <c r="Z1248" i="44"/>
  <c r="Z1263" i="44"/>
  <c r="Z1280" i="44"/>
  <c r="Z1296" i="44"/>
  <c r="Z1311" i="44"/>
  <c r="Z1323" i="44"/>
  <c r="Z1339" i="44"/>
  <c r="Z1354" i="44"/>
  <c r="Z1370" i="44"/>
  <c r="Z1386" i="44"/>
  <c r="Z1402" i="44"/>
  <c r="Z1418" i="44"/>
  <c r="Z1434" i="44"/>
  <c r="Z1450" i="44"/>
  <c r="Z1481" i="44"/>
  <c r="Z1496" i="44"/>
  <c r="Z1512" i="44"/>
  <c r="Z1528" i="44"/>
  <c r="Z1543" i="44"/>
  <c r="Z1559" i="44"/>
  <c r="Z1575" i="44"/>
  <c r="Z1591" i="44"/>
  <c r="Z1606" i="44"/>
  <c r="Z1620" i="44"/>
  <c r="Z1635" i="44"/>
  <c r="Z1650" i="44"/>
  <c r="Z1662" i="44"/>
  <c r="Z1673" i="44"/>
  <c r="Z1683" i="44"/>
  <c r="Z1693" i="44"/>
  <c r="Z1705" i="44"/>
  <c r="Z1720" i="44"/>
  <c r="Z1737" i="44"/>
  <c r="Z1754" i="44"/>
  <c r="Z1770" i="44"/>
  <c r="Z1785" i="44"/>
  <c r="Z1801" i="44"/>
  <c r="Z1817" i="44"/>
  <c r="Z1833" i="44"/>
  <c r="Z1849" i="44"/>
  <c r="Z1865" i="44"/>
  <c r="Z1881" i="44"/>
  <c r="Z1896" i="44"/>
  <c r="Z1910" i="44"/>
  <c r="Z1923" i="44"/>
  <c r="Z1936" i="44"/>
  <c r="Z1950" i="44"/>
  <c r="Z1963" i="44"/>
  <c r="Z1977" i="44"/>
  <c r="Z1991" i="44"/>
  <c r="Z2005" i="44"/>
  <c r="Z2017" i="44"/>
  <c r="Z2030" i="44"/>
  <c r="Z2043" i="44"/>
  <c r="Z2056" i="44"/>
  <c r="Z2069" i="44"/>
  <c r="Z2083" i="44"/>
  <c r="Z2097" i="44"/>
  <c r="Z2111" i="44"/>
  <c r="Z2126" i="44"/>
  <c r="Z2141" i="44"/>
  <c r="Z2156" i="44"/>
  <c r="Z2172" i="44"/>
  <c r="Z2188" i="44"/>
  <c r="Z2201" i="44"/>
  <c r="Z2216" i="44"/>
  <c r="Z2231" i="44"/>
  <c r="Z2244" i="44"/>
  <c r="Z2258" i="44"/>
  <c r="Z2274" i="44"/>
  <c r="Z2289" i="44"/>
  <c r="Z2304" i="44"/>
  <c r="Z2319" i="44"/>
  <c r="Z2334" i="44"/>
  <c r="Z2349" i="44"/>
  <c r="Z2364" i="44"/>
  <c r="Z2379" i="44"/>
  <c r="Z2393" i="44"/>
  <c r="Z2406" i="44"/>
  <c r="Z2420" i="44"/>
  <c r="Z2433" i="44"/>
  <c r="Z2449" i="44"/>
  <c r="Z2465" i="44"/>
  <c r="Z2481" i="44"/>
  <c r="Z2497" i="44"/>
  <c r="Z2512" i="44"/>
  <c r="Z2527" i="44"/>
  <c r="Z2542" i="44"/>
  <c r="Z2558" i="44"/>
  <c r="Z2574" i="44"/>
  <c r="Z2589" i="44"/>
  <c r="Z2604" i="44"/>
  <c r="Z2620" i="44"/>
  <c r="Z2635" i="44"/>
  <c r="Z2651" i="44"/>
  <c r="Z2684" i="44"/>
  <c r="Z2700" i="44"/>
  <c r="Z2716" i="44"/>
  <c r="Z2731" i="44"/>
  <c r="Z2745" i="44"/>
  <c r="Z2761" i="44"/>
  <c r="Z2778" i="44"/>
  <c r="Z2793" i="44"/>
  <c r="Z2806" i="44"/>
  <c r="Z2821" i="44"/>
  <c r="Z2836" i="44"/>
  <c r="Z2852" i="44"/>
  <c r="Z2868" i="44"/>
  <c r="Z2883" i="44"/>
  <c r="Z16" i="44"/>
  <c r="Z34" i="44"/>
  <c r="Z52" i="44"/>
  <c r="Z69" i="44"/>
  <c r="Z86" i="44"/>
  <c r="Z103" i="44"/>
  <c r="Z121" i="44"/>
  <c r="Z139" i="44"/>
  <c r="Z157" i="44"/>
  <c r="Z175" i="44"/>
  <c r="Z193" i="44"/>
  <c r="Z211" i="44"/>
  <c r="Z228" i="44"/>
  <c r="Z245" i="44"/>
  <c r="Z263" i="44"/>
  <c r="Z281" i="44"/>
  <c r="Z297" i="44"/>
  <c r="Z314" i="44"/>
  <c r="Z331" i="44"/>
  <c r="Z347" i="44"/>
  <c r="Z363" i="44"/>
  <c r="Z381" i="44"/>
  <c r="Z398" i="44"/>
  <c r="Z414" i="44"/>
  <c r="Z429" i="44"/>
  <c r="Z444" i="44"/>
  <c r="Z461" i="44"/>
  <c r="Z477" i="44"/>
  <c r="Z493" i="44"/>
  <c r="Z509" i="44"/>
  <c r="Z525" i="44"/>
  <c r="Z541" i="44"/>
  <c r="Z556" i="44"/>
  <c r="Z572" i="44"/>
  <c r="Z588" i="44"/>
  <c r="Z616" i="44"/>
  <c r="Z629" i="44"/>
  <c r="Z642" i="44"/>
  <c r="Z667" i="44"/>
  <c r="Z681" i="44"/>
  <c r="Z695" i="44"/>
  <c r="Z711" i="44"/>
  <c r="Z727" i="44"/>
  <c r="Z744" i="44"/>
  <c r="Z774" i="44"/>
  <c r="Z790" i="44"/>
  <c r="Z806" i="44"/>
  <c r="Z822" i="44"/>
  <c r="Z838" i="44"/>
  <c r="Z869" i="44"/>
  <c r="Z960" i="44"/>
  <c r="Z977" i="44"/>
  <c r="Z994" i="44"/>
  <c r="Z1108" i="44"/>
  <c r="Z1663" i="44"/>
  <c r="Z1684" i="44"/>
  <c r="Z1706" i="44"/>
  <c r="Z1721" i="44"/>
  <c r="Z1738" i="44"/>
  <c r="Z1964" i="44"/>
  <c r="Z1978" i="44"/>
  <c r="Z1992" i="44"/>
  <c r="Z2006" i="44"/>
  <c r="Z2018" i="44"/>
  <c r="Z2031" i="44"/>
  <c r="Z2044" i="44"/>
  <c r="Z2057" i="44"/>
  <c r="Z2070" i="44"/>
  <c r="Z2084" i="44"/>
  <c r="Z2098" i="44"/>
  <c r="Z2112" i="44"/>
  <c r="Z2127" i="44"/>
  <c r="Z2142" i="44"/>
  <c r="Z2157" i="44"/>
  <c r="Z2173" i="44"/>
  <c r="Z2245" i="44"/>
  <c r="Z2259" i="44"/>
  <c r="Z2559" i="44"/>
  <c r="Z2575" i="44"/>
  <c r="Z2590" i="44"/>
  <c r="Z2605" i="44"/>
  <c r="Z2621" i="44"/>
  <c r="Z2636" i="44"/>
  <c r="Z2652" i="44"/>
  <c r="Z2668" i="44"/>
  <c r="Z2685" i="44"/>
  <c r="Z2701" i="44"/>
  <c r="Z2746" i="44"/>
  <c r="Z2762" i="44"/>
  <c r="Z2779" i="44"/>
  <c r="Z2837" i="44"/>
  <c r="Z2853" i="44"/>
  <c r="Z643" i="44"/>
  <c r="Z668" i="44"/>
  <c r="Z961" i="44"/>
  <c r="Z978" i="44"/>
  <c r="Z995" i="44"/>
  <c r="Z1059" i="44"/>
  <c r="Z1109" i="44"/>
  <c r="Z1125" i="44"/>
  <c r="Z1139" i="44"/>
  <c r="Z1156" i="44"/>
  <c r="Z1172" i="44"/>
  <c r="Z1217" i="44"/>
  <c r="Z1234" i="44"/>
  <c r="Z1249" i="44"/>
  <c r="Z1264" i="44"/>
  <c r="Z1937" i="44"/>
  <c r="Z2543" i="44"/>
  <c r="Z2560" i="44"/>
  <c r="Z2606" i="44"/>
  <c r="Z2622" i="44"/>
  <c r="Z2637" i="44"/>
  <c r="Z2653" i="44"/>
  <c r="Z2669" i="44"/>
  <c r="Z2686" i="44"/>
  <c r="Z2702" i="44"/>
  <c r="Z2717" i="44"/>
  <c r="Z2732" i="44"/>
  <c r="Z2747" i="44"/>
  <c r="Z2763" i="44"/>
  <c r="Z2780" i="44"/>
  <c r="Z2794" i="44"/>
  <c r="Z2807" i="44"/>
  <c r="Z2822" i="44"/>
  <c r="Z2838" i="44"/>
  <c r="Z2854" i="44"/>
  <c r="Z2869" i="44"/>
  <c r="Z2884" i="44"/>
  <c r="Z17" i="44"/>
  <c r="Z35" i="44"/>
  <c r="Z53" i="44"/>
  <c r="Z70" i="44"/>
  <c r="Z87" i="44"/>
  <c r="Z104" i="44"/>
  <c r="Z122" i="44"/>
  <c r="Z140" i="44"/>
  <c r="Z158" i="44"/>
  <c r="Z176" i="44"/>
  <c r="Z194" i="44"/>
  <c r="Z212" i="44"/>
  <c r="Z229" i="44"/>
  <c r="Z246" i="44"/>
  <c r="Z264" i="44"/>
  <c r="Z282" i="44"/>
  <c r="Z298" i="44"/>
  <c r="Z315" i="44"/>
  <c r="Z332" i="44"/>
  <c r="Z348" i="44"/>
  <c r="Z364" i="44"/>
  <c r="Z382" i="44"/>
  <c r="Z399" i="44"/>
  <c r="Z415" i="44"/>
  <c r="Z430" i="44"/>
  <c r="Z445" i="44"/>
  <c r="Z462" i="44"/>
  <c r="Z478" i="44"/>
  <c r="Z494" i="44"/>
  <c r="Z510" i="44"/>
  <c r="Z526" i="44"/>
  <c r="Z542" i="44"/>
  <c r="Z557" i="44"/>
  <c r="Z573" i="44"/>
  <c r="Z589" i="44"/>
  <c r="Z604" i="44"/>
  <c r="Z617" i="44"/>
  <c r="Z630" i="44"/>
  <c r="Z644" i="44"/>
  <c r="Z669" i="44"/>
  <c r="Z682" i="44"/>
  <c r="Z696" i="44"/>
  <c r="Z712" i="44"/>
  <c r="Z728" i="44"/>
  <c r="Z745" i="44"/>
  <c r="Z760" i="44"/>
  <c r="Z775" i="44"/>
  <c r="Z791" i="44"/>
  <c r="Z807" i="44"/>
  <c r="Z823" i="44"/>
  <c r="Z839" i="44"/>
  <c r="Z854" i="44"/>
  <c r="Z870" i="44"/>
  <c r="Z885" i="44"/>
  <c r="Z900" i="44"/>
  <c r="Z915" i="44"/>
  <c r="Z930" i="44"/>
  <c r="Z945" i="44"/>
  <c r="Z962" i="44"/>
  <c r="Z979" i="44"/>
  <c r="Z996" i="44"/>
  <c r="Z1011" i="44"/>
  <c r="Z1026" i="44"/>
  <c r="Z1042" i="44"/>
  <c r="Z1076" i="44"/>
  <c r="Z1092" i="44"/>
  <c r="Z1110" i="44"/>
  <c r="Z1140" i="44"/>
  <c r="Z1157" i="44"/>
  <c r="Z1173" i="44"/>
  <c r="Z1187" i="44"/>
  <c r="Z1202" i="44"/>
  <c r="Z1218" i="44"/>
  <c r="Z1235" i="44"/>
  <c r="Z1250" i="44"/>
  <c r="Z1265" i="44"/>
  <c r="Z1281" i="44"/>
  <c r="Z1297" i="44"/>
  <c r="Z1312" i="44"/>
  <c r="Z1324" i="44"/>
  <c r="Z1340" i="44"/>
  <c r="Z1355" i="44"/>
  <c r="Z1371" i="44"/>
  <c r="Z1387" i="44"/>
  <c r="Z1403" i="44"/>
  <c r="Z1419" i="44"/>
  <c r="Z1435" i="44"/>
  <c r="Z1451" i="44"/>
  <c r="Z1466" i="44"/>
  <c r="Z1482" i="44"/>
  <c r="Z1497" i="44"/>
  <c r="Z1513" i="44"/>
  <c r="Z1529" i="44"/>
  <c r="Z1544" i="44"/>
  <c r="Z1560" i="44"/>
  <c r="Z1576" i="44"/>
  <c r="Z1592" i="44"/>
  <c r="Z1607" i="44"/>
  <c r="Z1621" i="44"/>
  <c r="Z1636" i="44"/>
  <c r="Z1651" i="44"/>
  <c r="Z1664" i="44"/>
  <c r="Z1694" i="44"/>
  <c r="Z1707" i="44"/>
  <c r="Z1722" i="44"/>
  <c r="Z1739" i="44"/>
  <c r="Z1755" i="44"/>
  <c r="Z1771" i="44"/>
  <c r="Z1786" i="44"/>
  <c r="Z1802" i="44"/>
  <c r="Z1818" i="44"/>
  <c r="Z1834" i="44"/>
  <c r="Z1850" i="44"/>
  <c r="Z1866" i="44"/>
  <c r="Z1911" i="44"/>
  <c r="Z1924" i="44"/>
  <c r="Z1938" i="44"/>
  <c r="Z1951" i="44"/>
  <c r="Z1965" i="44"/>
  <c r="Z1979" i="44"/>
  <c r="Z1993" i="44"/>
  <c r="Z2071" i="44"/>
  <c r="Z2085" i="44"/>
  <c r="Z2099" i="44"/>
  <c r="Z2113" i="44"/>
  <c r="Z2128" i="44"/>
  <c r="Z2434" i="44"/>
  <c r="Z2450" i="44"/>
  <c r="Z2466" i="44"/>
  <c r="Z2482" i="44"/>
  <c r="Z2654" i="44"/>
  <c r="Z2670" i="44"/>
  <c r="Z2687" i="44"/>
  <c r="Z2748" i="44"/>
  <c r="Z2764" i="44"/>
  <c r="Z2781" i="44"/>
  <c r="Z2795" i="44"/>
  <c r="Z2808" i="44"/>
  <c r="Z18" i="44"/>
  <c r="Z36" i="44"/>
  <c r="Z54" i="44"/>
  <c r="Z71" i="44"/>
  <c r="Z88" i="44"/>
  <c r="Z105" i="44"/>
  <c r="Z123" i="44"/>
  <c r="Z141" i="44"/>
  <c r="Z159" i="44"/>
  <c r="Z177" i="44"/>
  <c r="Z195" i="44"/>
  <c r="Z213" i="44"/>
  <c r="Z230" i="44"/>
  <c r="Z247" i="44"/>
  <c r="Z265" i="44"/>
  <c r="Z283" i="44"/>
  <c r="Z299" i="44"/>
  <c r="Z316" i="44"/>
  <c r="Z333" i="44"/>
  <c r="Z349" i="44"/>
  <c r="Z365" i="44"/>
  <c r="Z383" i="44"/>
  <c r="Z400" i="44"/>
  <c r="Z416" i="44"/>
  <c r="Z431" i="44"/>
  <c r="Z446" i="44"/>
  <c r="Z463" i="44"/>
  <c r="Z479" i="44"/>
  <c r="Z495" i="44"/>
  <c r="Z511" i="44"/>
  <c r="Z527" i="44"/>
  <c r="Z543" i="44"/>
  <c r="Z618" i="44"/>
  <c r="Z631" i="44"/>
  <c r="Z645" i="44"/>
  <c r="Z670" i="44"/>
  <c r="Z683" i="44"/>
  <c r="Z697" i="44"/>
  <c r="Z713" i="44"/>
  <c r="Z729" i="44"/>
  <c r="Z746" i="44"/>
  <c r="Z761" i="44"/>
  <c r="Z776" i="44"/>
  <c r="Z792" i="44"/>
  <c r="Z808" i="44"/>
  <c r="Z824" i="44"/>
  <c r="Z840" i="44"/>
  <c r="Z855" i="44"/>
  <c r="Z871" i="44"/>
  <c r="Z886" i="44"/>
  <c r="Z901" i="44"/>
  <c r="Z916" i="44"/>
  <c r="Z931" i="44"/>
  <c r="Z946" i="44"/>
  <c r="Z963" i="44"/>
  <c r="Z980" i="44"/>
  <c r="Z997" i="44"/>
  <c r="Z1012" i="44"/>
  <c r="Z1027" i="44"/>
  <c r="Z1043" i="44"/>
  <c r="Z1060" i="44"/>
  <c r="Z1077" i="44"/>
  <c r="Z1093" i="44"/>
  <c r="Z1111" i="44"/>
  <c r="Z1126" i="44"/>
  <c r="Z1141" i="44"/>
  <c r="Z1158" i="44"/>
  <c r="Z1174" i="44"/>
  <c r="Z1188" i="44"/>
  <c r="Z1219" i="44"/>
  <c r="Z1236" i="44"/>
  <c r="Z1251" i="44"/>
  <c r="Z1266" i="44"/>
  <c r="Z1282" i="44"/>
  <c r="Z1298" i="44"/>
  <c r="Z1313" i="44"/>
  <c r="Z1325" i="44"/>
  <c r="Z1341" i="44"/>
  <c r="Z1356" i="44"/>
  <c r="Z1372" i="44"/>
  <c r="Z1388" i="44"/>
  <c r="Z1404" i="44"/>
  <c r="Z1420" i="44"/>
  <c r="Z1436" i="44"/>
  <c r="Z1452" i="44"/>
  <c r="Z1467" i="44"/>
  <c r="Z1483" i="44"/>
  <c r="Z1498" i="44"/>
  <c r="Z1514" i="44"/>
  <c r="Z1530" i="44"/>
  <c r="Z1545" i="44"/>
  <c r="Z1561" i="44"/>
  <c r="Z1577" i="44"/>
  <c r="Z1622" i="44"/>
  <c r="Z1637" i="44"/>
  <c r="Z1652" i="44"/>
  <c r="Z1674" i="44"/>
  <c r="Z1695" i="44"/>
  <c r="Z1708" i="44"/>
  <c r="Z1723" i="44"/>
  <c r="Z1740" i="44"/>
  <c r="Z1756" i="44"/>
  <c r="Z1772" i="44"/>
  <c r="Z1787" i="44"/>
  <c r="Z1803" i="44"/>
  <c r="Z1782" i="44"/>
  <c r="Z1798" i="44"/>
  <c r="Z1814" i="44"/>
  <c r="Z1830" i="44"/>
  <c r="Z1846" i="44"/>
  <c r="Z1862" i="44"/>
  <c r="Z1878" i="44"/>
  <c r="Z1893" i="44"/>
  <c r="Z1907" i="44"/>
  <c r="Z1920" i="44"/>
  <c r="Z1933" i="44"/>
  <c r="Z1947" i="44"/>
  <c r="Z1960" i="44"/>
  <c r="Z1974" i="44"/>
  <c r="Z1988" i="44"/>
  <c r="Z2002" i="44"/>
  <c r="Z2014" i="44"/>
  <c r="Z2027" i="44"/>
  <c r="Z2040" i="44"/>
  <c r="Z2053" i="44"/>
  <c r="Z2066" i="44"/>
  <c r="Z2080" i="44"/>
  <c r="Z2094" i="44"/>
  <c r="Z2108" i="44"/>
  <c r="Z2123" i="44"/>
  <c r="Z2138" i="44"/>
  <c r="Z2153" i="44"/>
  <c r="Z2169" i="44"/>
  <c r="Z2185" i="44"/>
  <c r="Z2198" i="44"/>
  <c r="Z2213" i="44"/>
  <c r="Z2228" i="44"/>
  <c r="Z2241" i="44"/>
  <c r="Z2255" i="44"/>
  <c r="Z2271" i="44"/>
  <c r="Z2286" i="44"/>
  <c r="Z2301" i="44"/>
  <c r="Z2316" i="44"/>
  <c r="Z2331" i="44"/>
  <c r="Z2346" i="44"/>
  <c r="Z2361" i="44"/>
  <c r="Z2376" i="44"/>
  <c r="Z2390" i="44"/>
  <c r="Z2404" i="44"/>
  <c r="Z2417" i="44"/>
  <c r="Z2430" i="44"/>
  <c r="Z2446" i="44"/>
  <c r="Z2462" i="44"/>
  <c r="Z2478" i="44"/>
  <c r="Z2494" i="44"/>
  <c r="Z2509" i="44"/>
  <c r="Z2524" i="44"/>
  <c r="Z2539" i="44"/>
  <c r="Z2555" i="44"/>
  <c r="Z2571" i="44"/>
  <c r="Z2586" i="44"/>
  <c r="Z2601" i="44"/>
  <c r="Z2617" i="44"/>
  <c r="Z2632" i="44"/>
  <c r="Z2648" i="44"/>
  <c r="Z2665" i="44"/>
  <c r="Z2681" i="44"/>
  <c r="Z2697" i="44"/>
  <c r="Z2713" i="44"/>
  <c r="Z2728" i="44"/>
  <c r="Z2742" i="44"/>
  <c r="Z2758" i="44"/>
  <c r="Z2775" i="44"/>
  <c r="Z2790" i="44"/>
  <c r="Z2803" i="44"/>
  <c r="Z2818" i="44"/>
  <c r="Z2833" i="44"/>
  <c r="Z2849" i="44"/>
  <c r="Z2865" i="44"/>
  <c r="Z2880" i="44"/>
  <c r="Z13" i="44"/>
  <c r="Z31" i="44"/>
  <c r="Z49" i="44"/>
  <c r="Z66" i="44"/>
  <c r="Z83" i="44"/>
  <c r="Z100" i="44"/>
  <c r="Z118" i="44"/>
  <c r="Z136" i="44"/>
  <c r="Z154" i="44"/>
  <c r="Z172" i="44"/>
  <c r="Z190" i="44"/>
  <c r="Z208" i="44"/>
  <c r="Z226" i="44"/>
  <c r="Z242" i="44"/>
  <c r="Z260" i="44"/>
  <c r="Z278" i="44"/>
  <c r="Z295" i="44"/>
  <c r="Z311" i="44"/>
  <c r="Z328" i="44"/>
  <c r="Z345" i="44"/>
  <c r="Z361" i="44"/>
  <c r="Z378" i="44"/>
  <c r="Z395" i="44"/>
  <c r="Z411" i="44"/>
  <c r="Z427" i="44"/>
  <c r="Z442" i="44"/>
  <c r="Z458" i="44"/>
  <c r="Z474" i="44"/>
  <c r="Z490" i="44"/>
  <c r="Z506" i="44"/>
  <c r="Z522" i="44"/>
  <c r="Z538" i="44"/>
  <c r="Z554" i="44"/>
  <c r="Z569" i="44"/>
  <c r="Z585" i="44"/>
  <c r="Z601" i="44"/>
  <c r="Z613" i="44"/>
  <c r="Z626" i="44"/>
  <c r="Z639" i="44"/>
  <c r="Z653" i="44"/>
  <c r="Z664" i="44"/>
  <c r="Z678" i="44"/>
  <c r="Z692" i="44"/>
  <c r="Z708" i="44"/>
  <c r="Z724" i="44"/>
  <c r="Z741" i="44"/>
  <c r="Z757" i="44"/>
  <c r="Z771" i="44"/>
  <c r="Z787" i="44"/>
  <c r="Z803" i="44"/>
  <c r="Z819" i="44"/>
  <c r="Z835" i="44"/>
  <c r="Z851" i="44"/>
  <c r="Z866" i="44"/>
  <c r="Z882" i="44"/>
  <c r="Z897" i="44"/>
  <c r="Z912" i="44"/>
  <c r="Z927" i="44"/>
  <c r="Z942" i="44"/>
  <c r="Z957" i="44"/>
  <c r="Z974" i="44"/>
  <c r="Z991" i="44"/>
  <c r="Z1008" i="44"/>
  <c r="Z1023" i="44"/>
  <c r="Z1039" i="44"/>
  <c r="Z1056" i="44"/>
  <c r="Z1073" i="44"/>
  <c r="Z1089" i="44"/>
  <c r="Z1105" i="44"/>
  <c r="Z1122" i="44"/>
  <c r="Z1136" i="44"/>
  <c r="Z1153" i="44"/>
  <c r="Z1169" i="44"/>
  <c r="Z1184" i="44"/>
  <c r="Z1199" i="44"/>
  <c r="Z1214" i="44"/>
  <c r="Z1231" i="44"/>
  <c r="Z1246" i="44"/>
  <c r="Z1261" i="44"/>
  <c r="Z1278" i="44"/>
  <c r="Z1294" i="44"/>
  <c r="Z1309" i="44"/>
  <c r="Z1337" i="44"/>
  <c r="Z1352" i="44"/>
  <c r="Z1368" i="44"/>
  <c r="Z1384" i="44"/>
  <c r="Z1400" i="44"/>
  <c r="Z1416" i="44"/>
  <c r="Z1432" i="44"/>
  <c r="Z1448" i="44"/>
  <c r="Z1464" i="44"/>
  <c r="Z1479" i="44"/>
  <c r="Z1494" i="44"/>
  <c r="Z1510" i="44"/>
  <c r="Z1526" i="44"/>
  <c r="Z1541" i="44"/>
  <c r="Z1557" i="44"/>
  <c r="Z1573" i="44"/>
  <c r="Z1589" i="44"/>
  <c r="Z1604" i="44"/>
  <c r="Z1618" i="44"/>
  <c r="Z1633" i="44"/>
  <c r="Z1648" i="44"/>
  <c r="Z1660" i="44"/>
  <c r="Z1671" i="44"/>
  <c r="Z1681" i="44"/>
  <c r="Z1691" i="44"/>
  <c r="Z1703" i="44"/>
  <c r="Z1718" i="44"/>
  <c r="Z1735" i="44"/>
  <c r="Z1752" i="44"/>
  <c r="Z1768" i="44"/>
  <c r="Z1783" i="44"/>
  <c r="Z1799" i="44"/>
  <c r="Z1815" i="44"/>
  <c r="Z1831" i="44"/>
  <c r="Z1847" i="44"/>
  <c r="Z1863" i="44"/>
  <c r="Z1879" i="44"/>
  <c r="Z1894" i="44"/>
  <c r="Z1908" i="44"/>
  <c r="Z1921" i="44"/>
  <c r="Z1934" i="44"/>
  <c r="Z1948" i="44"/>
  <c r="Z1961" i="44"/>
  <c r="Z1975" i="44"/>
  <c r="Z1989" i="44"/>
  <c r="Z2003" i="44"/>
  <c r="Z2015" i="44"/>
  <c r="Z2028" i="44"/>
  <c r="Z2041" i="44"/>
  <c r="Z2054" i="44"/>
  <c r="Z2067" i="44"/>
  <c r="Z2081" i="44"/>
  <c r="Z2095" i="44"/>
  <c r="Z2109" i="44"/>
  <c r="Z2124" i="44"/>
  <c r="Z2139" i="44"/>
  <c r="Z2154" i="44"/>
  <c r="Z2170" i="44"/>
  <c r="Z2186" i="44"/>
  <c r="Z2199" i="44"/>
  <c r="Z2214" i="44"/>
  <c r="Z2229" i="44"/>
  <c r="Z2242" i="44"/>
  <c r="Z2256" i="44"/>
  <c r="Z2272" i="44"/>
  <c r="Z2287" i="44"/>
  <c r="Z2302" i="44"/>
  <c r="Z2317" i="44"/>
  <c r="Z2332" i="44"/>
  <c r="Z2347" i="44"/>
  <c r="Z2362" i="44"/>
  <c r="Z2377" i="44"/>
  <c r="Z2391" i="44"/>
  <c r="Z2405" i="44"/>
  <c r="Z2418" i="44"/>
  <c r="Z2431" i="44"/>
  <c r="Z2447" i="44"/>
  <c r="Z2463" i="44"/>
  <c r="Z2479" i="44"/>
  <c r="Z2495" i="44"/>
  <c r="Z2510" i="44"/>
  <c r="Z2525" i="44"/>
  <c r="Z2540" i="44"/>
  <c r="Z2556" i="44"/>
  <c r="Z2572" i="44"/>
  <c r="Z2587" i="44"/>
  <c r="Z2602" i="44"/>
  <c r="Z2618" i="44"/>
  <c r="Z2633" i="44"/>
  <c r="Z2649" i="44"/>
  <c r="Z2666" i="44"/>
  <c r="Z2682" i="44"/>
  <c r="Z2698" i="44"/>
  <c r="Z2714" i="44"/>
  <c r="Z2729" i="44"/>
  <c r="Z2743" i="44"/>
  <c r="Z2759" i="44"/>
  <c r="Z2776" i="44"/>
  <c r="Z2791" i="44"/>
  <c r="Z2804" i="44"/>
  <c r="Z2819" i="44"/>
  <c r="Z2834" i="44"/>
  <c r="Z2850" i="44"/>
  <c r="Z2866" i="44"/>
  <c r="Z2881" i="44"/>
  <c r="Z14" i="44"/>
  <c r="Z32" i="44"/>
  <c r="Z50" i="44"/>
  <c r="Z67" i="44"/>
  <c r="Z84" i="44"/>
  <c r="Z101" i="44"/>
  <c r="Z119" i="44"/>
  <c r="Z137" i="44"/>
  <c r="Z155" i="44"/>
  <c r="Z173" i="44"/>
  <c r="Z191" i="44"/>
  <c r="Z209" i="44"/>
  <c r="Z243" i="44"/>
  <c r="Z261" i="44"/>
  <c r="Z279" i="44"/>
  <c r="Z312" i="44"/>
  <c r="Z329" i="44"/>
  <c r="Z379" i="44"/>
  <c r="Z396" i="44"/>
  <c r="Z412" i="44"/>
  <c r="Z459" i="44"/>
  <c r="Z475" i="44"/>
  <c r="Z491" i="44"/>
  <c r="Z507" i="44"/>
  <c r="Z523" i="44"/>
  <c r="Z539" i="44"/>
  <c r="Z570" i="44"/>
  <c r="Z586" i="44"/>
  <c r="Z602" i="44"/>
  <c r="Z614" i="44"/>
  <c r="Z627" i="44"/>
  <c r="Z640" i="44"/>
  <c r="Z654" i="44"/>
  <c r="Z665" i="44"/>
  <c r="Z679" i="44"/>
  <c r="Z693" i="44"/>
  <c r="Z709" i="44"/>
  <c r="Z725" i="44"/>
  <c r="Z742" i="44"/>
  <c r="Z758" i="44"/>
  <c r="Z772" i="44"/>
  <c r="Z788" i="44"/>
  <c r="Z804" i="44"/>
  <c r="Z820" i="44"/>
  <c r="Z836" i="44"/>
  <c r="Z852" i="44"/>
  <c r="Z867" i="44"/>
  <c r="Z883" i="44"/>
  <c r="Z898" i="44"/>
  <c r="Z913" i="44"/>
  <c r="Z928" i="44"/>
  <c r="Z943" i="44"/>
  <c r="Z958" i="44"/>
  <c r="Z975" i="44"/>
  <c r="Z992" i="44"/>
  <c r="Z1009" i="44"/>
  <c r="Z1024" i="44"/>
  <c r="Z1040" i="44"/>
  <c r="Z1057" i="44"/>
  <c r="Z1074" i="44"/>
  <c r="Z1090" i="44"/>
  <c r="Z1106" i="44"/>
  <c r="Z1123" i="44"/>
  <c r="Z1137" i="44"/>
  <c r="Z1154" i="44"/>
  <c r="Z1170" i="44"/>
  <c r="Z1185" i="44"/>
  <c r="Z1200" i="44"/>
  <c r="Z1215" i="44"/>
  <c r="Z1232" i="44"/>
  <c r="Z1247" i="44"/>
  <c r="Z1262" i="44"/>
  <c r="Z1279" i="44"/>
  <c r="Z1295" i="44"/>
  <c r="Z1310" i="44"/>
  <c r="Z1322" i="44"/>
  <c r="Z1338" i="44"/>
  <c r="Z1353" i="44"/>
  <c r="Z1369" i="44"/>
  <c r="Z1385" i="44"/>
  <c r="Z1401" i="44"/>
  <c r="Z1417" i="44"/>
  <c r="Z1433" i="44"/>
  <c r="Z1449" i="44"/>
  <c r="Z1465" i="44"/>
  <c r="Z1480" i="44"/>
  <c r="Z1495" i="44"/>
  <c r="Z1511" i="44"/>
  <c r="Z1527" i="44"/>
  <c r="Z1542" i="44"/>
  <c r="Z1558" i="44"/>
  <c r="Z1574" i="44"/>
  <c r="Z1590" i="44"/>
  <c r="Z1605" i="44"/>
  <c r="Z1619" i="44"/>
  <c r="Z1634" i="44"/>
  <c r="Z1649" i="44"/>
  <c r="Z1661" i="44"/>
  <c r="Z1672" i="44"/>
  <c r="Z1682" i="44"/>
  <c r="Z1692" i="44"/>
  <c r="Z1704" i="44"/>
  <c r="Z1719" i="44"/>
  <c r="Z1736" i="44"/>
  <c r="Z1753" i="44"/>
  <c r="Z1769" i="44"/>
  <c r="Z1784" i="44"/>
  <c r="Z1800" i="44"/>
  <c r="Z1816" i="44"/>
  <c r="Z1832" i="44"/>
  <c r="Z1848" i="44"/>
  <c r="Z1864" i="44"/>
  <c r="Z1880" i="44"/>
  <c r="Z1895" i="44"/>
  <c r="Z1909" i="44"/>
  <c r="Z1922" i="44"/>
  <c r="Z1935" i="44"/>
  <c r="Z1949" i="44"/>
  <c r="Z1962" i="44"/>
  <c r="Z1976" i="44"/>
  <c r="Z1990" i="44"/>
  <c r="Z2004" i="44"/>
  <c r="Z2016" i="44"/>
  <c r="Z2029" i="44"/>
  <c r="Z2042" i="44"/>
  <c r="Z2055" i="44"/>
  <c r="Z2068" i="44"/>
  <c r="Z2082" i="44"/>
  <c r="Z2096" i="44"/>
  <c r="Z2110" i="44"/>
  <c r="Z2125" i="44"/>
  <c r="Z2140" i="44"/>
  <c r="Z2155" i="44"/>
  <c r="Z2171" i="44"/>
  <c r="Z2187" i="44"/>
  <c r="Z2200" i="44"/>
  <c r="Z2215" i="44"/>
  <c r="Z2230" i="44"/>
  <c r="Z2243" i="44"/>
  <c r="Z2257" i="44"/>
  <c r="Z2273" i="44"/>
  <c r="Z2288" i="44"/>
  <c r="Z2303" i="44"/>
  <c r="Z2318" i="44"/>
  <c r="Z2333" i="44"/>
  <c r="Z2348" i="44"/>
  <c r="Z2363" i="44"/>
  <c r="Z2378" i="44"/>
  <c r="Z2392" i="44"/>
  <c r="Z2419" i="44"/>
  <c r="Z2432" i="44"/>
  <c r="Z2448" i="44"/>
  <c r="Z2464" i="44"/>
  <c r="Z2480" i="44"/>
  <c r="Z2496" i="44"/>
  <c r="Z2511" i="44"/>
  <c r="Z2526" i="44"/>
  <c r="Z2541" i="44"/>
  <c r="Z2557" i="44"/>
  <c r="Z2573" i="44"/>
  <c r="Z2588" i="44"/>
  <c r="Z2603" i="44"/>
  <c r="Z2619" i="44"/>
  <c r="Z2634" i="44"/>
  <c r="Z2650" i="44"/>
  <c r="Z2667" i="44"/>
  <c r="Z2683" i="44"/>
  <c r="Z2699" i="44"/>
  <c r="Z2715" i="44"/>
  <c r="Z2730" i="44"/>
  <c r="Z2744" i="44"/>
  <c r="Z2760" i="44"/>
  <c r="Z2777" i="44"/>
  <c r="Z2792" i="44"/>
  <c r="Z2805" i="44"/>
  <c r="Z2820" i="44"/>
  <c r="Z2835" i="44"/>
  <c r="Z2851" i="44"/>
  <c r="Z2867" i="44"/>
  <c r="Z2882" i="44"/>
  <c r="Z15" i="44"/>
  <c r="Z33" i="44"/>
  <c r="Z51" i="44"/>
  <c r="Z68" i="44"/>
  <c r="Z85" i="44"/>
  <c r="Z102" i="44"/>
  <c r="Z120" i="44"/>
  <c r="Z138" i="44"/>
  <c r="Z156" i="44"/>
  <c r="Z174" i="44"/>
  <c r="Z192" i="44"/>
  <c r="Z210" i="44"/>
  <c r="Z227" i="44"/>
  <c r="Z244" i="44"/>
  <c r="Z262" i="44"/>
  <c r="Z280" i="44"/>
  <c r="Z296" i="44"/>
  <c r="Z313" i="44"/>
  <c r="Z330" i="44"/>
  <c r="Z346" i="44"/>
  <c r="Z362" i="44"/>
  <c r="Z380" i="44"/>
  <c r="Z397" i="44"/>
  <c r="Z413" i="44"/>
  <c r="Z428" i="44"/>
  <c r="Z443" i="44"/>
  <c r="Z460" i="44"/>
  <c r="Z476" i="44"/>
  <c r="Z492" i="44"/>
  <c r="Z508" i="44"/>
  <c r="Z524" i="44"/>
  <c r="Z540" i="44"/>
  <c r="Z555" i="44"/>
  <c r="Z571" i="44"/>
  <c r="Z587" i="44"/>
  <c r="Z603" i="44"/>
  <c r="Z615" i="44"/>
  <c r="Z628" i="44"/>
  <c r="Z641" i="44"/>
  <c r="Z655" i="44"/>
  <c r="Z666" i="44"/>
  <c r="Z680" i="44"/>
  <c r="Z694" i="44"/>
  <c r="Z710" i="44"/>
  <c r="Z726" i="44"/>
  <c r="Z743" i="44"/>
  <c r="Z759" i="44"/>
  <c r="Z773" i="44"/>
  <c r="Z789" i="44"/>
  <c r="Z805" i="44"/>
  <c r="Z821" i="44"/>
  <c r="Z837" i="44"/>
  <c r="Z853" i="44"/>
  <c r="Z868" i="44"/>
  <c r="Z884" i="44"/>
  <c r="Z899" i="44"/>
  <c r="Z914" i="44"/>
  <c r="Z929" i="44"/>
  <c r="Z1460" i="44"/>
  <c r="Z1475" i="44"/>
  <c r="Z1490" i="44"/>
  <c r="Z1506" i="44"/>
  <c r="Z1522" i="44"/>
  <c r="Z1537" i="44"/>
  <c r="Z1553" i="44"/>
  <c r="Z1569" i="44"/>
  <c r="Z1585" i="44"/>
  <c r="Z1600" i="44"/>
  <c r="Z1615" i="44"/>
  <c r="Z1629" i="44"/>
  <c r="Z1644" i="44"/>
  <c r="Z1715" i="44"/>
  <c r="Z1731" i="44"/>
  <c r="Z1748" i="44"/>
  <c r="Z1764" i="44"/>
  <c r="Z1780" i="44"/>
  <c r="Z1795" i="44"/>
  <c r="Z1811" i="44"/>
  <c r="Z1827" i="44"/>
  <c r="Z1843" i="44"/>
  <c r="Z1859" i="44"/>
  <c r="Z1875" i="44"/>
  <c r="Z1890" i="44"/>
  <c r="Z1904" i="44"/>
  <c r="Z2121" i="44"/>
  <c r="Z2136" i="44"/>
  <c r="Z2151" i="44"/>
  <c r="Z2166" i="44"/>
  <c r="Z2182" i="44"/>
  <c r="Z2195" i="44"/>
  <c r="Z2210" i="44"/>
  <c r="Z2225" i="44"/>
  <c r="Z2239" i="44"/>
  <c r="Z2253" i="44"/>
  <c r="Z2268" i="44"/>
  <c r="Z2283" i="44"/>
  <c r="Z2298" i="44"/>
  <c r="Z2313" i="44"/>
  <c r="Z2328" i="44"/>
  <c r="Z2343" i="44"/>
  <c r="Z2358" i="44"/>
  <c r="Z2373" i="44"/>
  <c r="Z2387" i="44"/>
  <c r="Z2401" i="44"/>
  <c r="Z2414" i="44"/>
  <c r="Z2427" i="44"/>
  <c r="Z2443" i="44"/>
  <c r="Z2459" i="44"/>
  <c r="Z2475" i="44"/>
  <c r="Z2491" i="44"/>
  <c r="Z2506" i="44"/>
  <c r="Z2521" i="44"/>
  <c r="Z2536" i="44"/>
  <c r="Z2552" i="44"/>
  <c r="Z2569" i="44"/>
  <c r="Z2584" i="44"/>
  <c r="Z2599" i="44"/>
  <c r="Z2615" i="44"/>
  <c r="Z2630" i="44"/>
  <c r="Z2645" i="44"/>
  <c r="Z2662" i="44"/>
  <c r="Z2678" i="44"/>
  <c r="Z2695" i="44"/>
  <c r="Z2711" i="44"/>
  <c r="Z2726" i="44"/>
  <c r="Z2740" i="44"/>
  <c r="Z2756" i="44"/>
  <c r="Z2772" i="44"/>
  <c r="Z2788" i="44"/>
  <c r="Z2801" i="44"/>
  <c r="Z2815" i="44"/>
  <c r="Z2830" i="44"/>
  <c r="Z2846" i="44"/>
  <c r="Z2862" i="44"/>
  <c r="Z2877" i="44"/>
  <c r="Z10" i="44"/>
  <c r="Z28" i="44"/>
  <c r="Z46" i="44"/>
  <c r="Z64" i="44"/>
  <c r="Z81" i="44"/>
  <c r="Z98" i="44"/>
  <c r="Z115" i="44"/>
  <c r="Z133" i="44"/>
  <c r="Z151" i="44"/>
  <c r="Z169" i="44"/>
  <c r="Z187" i="44"/>
  <c r="Z205" i="44"/>
  <c r="Z223" i="44"/>
  <c r="Z239" i="44"/>
  <c r="Z257" i="44"/>
  <c r="Z275" i="44"/>
  <c r="Z292" i="44"/>
  <c r="Z308" i="44"/>
  <c r="Z325" i="44"/>
  <c r="Z342" i="44"/>
  <c r="Z358" i="44"/>
  <c r="Z375" i="44"/>
  <c r="Z392" i="44"/>
  <c r="Z408" i="44"/>
  <c r="Z424" i="44"/>
  <c r="Z439" i="44"/>
  <c r="Z455" i="44"/>
  <c r="Z471" i="44"/>
  <c r="Z487" i="44"/>
  <c r="Z503" i="44"/>
  <c r="Z519" i="44"/>
  <c r="Z535" i="44"/>
  <c r="Z551" i="44"/>
  <c r="Z566" i="44"/>
  <c r="Z582" i="44"/>
  <c r="Z598" i="44"/>
  <c r="Z612" i="44"/>
  <c r="Z625" i="44"/>
  <c r="Z638" i="44"/>
  <c r="Z652" i="44"/>
  <c r="Z663" i="44"/>
  <c r="Z677" i="44"/>
  <c r="Z691" i="44"/>
  <c r="Z705" i="44"/>
  <c r="Z721" i="44"/>
  <c r="Z738" i="44"/>
  <c r="Z754" i="44"/>
  <c r="Z784" i="44"/>
  <c r="Z800" i="44"/>
  <c r="Z816" i="44"/>
  <c r="Z832" i="44"/>
  <c r="Z848" i="44"/>
  <c r="Z863" i="44"/>
  <c r="Z879" i="44"/>
  <c r="Z894" i="44"/>
  <c r="Z909" i="44"/>
  <c r="Z924" i="44"/>
  <c r="Z939" i="44"/>
  <c r="Z954" i="44"/>
  <c r="Z971" i="44"/>
  <c r="Z988" i="44"/>
  <c r="Z1005" i="44"/>
  <c r="Z1020" i="44"/>
  <c r="Z1036" i="44"/>
  <c r="Z1053" i="44"/>
  <c r="Z1070" i="44"/>
  <c r="Z1086" i="44"/>
  <c r="Z1102" i="44"/>
  <c r="Z1119" i="44"/>
  <c r="Z1133" i="44"/>
  <c r="Z1150" i="44"/>
  <c r="Z1166" i="44"/>
  <c r="Z1181" i="44"/>
  <c r="Z1196" i="44"/>
  <c r="Z1211" i="44"/>
  <c r="Z1228" i="44"/>
  <c r="Z1275" i="44"/>
  <c r="Z1291" i="44"/>
  <c r="Z1306" i="44"/>
  <c r="Z1320" i="44"/>
  <c r="Z1334" i="44"/>
  <c r="Z1350" i="44"/>
  <c r="Z1365" i="44"/>
  <c r="Z1381" i="44"/>
  <c r="Z1397" i="44"/>
  <c r="Z1413" i="44"/>
  <c r="Z1429" i="44"/>
  <c r="Z1445" i="44"/>
  <c r="Z1461" i="44"/>
  <c r="Z1476" i="44"/>
  <c r="Z1491" i="44"/>
  <c r="Z1507" i="44"/>
  <c r="Z1523" i="44"/>
  <c r="Z1538" i="44"/>
  <c r="Z1554" i="44"/>
  <c r="Z1570" i="44"/>
  <c r="Z1586" i="44"/>
  <c r="Z1601" i="44"/>
  <c r="Z1616" i="44"/>
  <c r="Z1630" i="44"/>
  <c r="Z1645" i="44"/>
  <c r="Z1701" i="44"/>
  <c r="Z1716" i="44"/>
  <c r="Z1732" i="44"/>
  <c r="Z1749" i="44"/>
  <c r="Z1765" i="44"/>
  <c r="Z1796" i="44"/>
  <c r="Z1812" i="44"/>
  <c r="Z1828" i="44"/>
  <c r="Z1844" i="44"/>
  <c r="Z1860" i="44"/>
  <c r="Z1876" i="44"/>
  <c r="Z1891" i="44"/>
  <c r="Z1905" i="44"/>
  <c r="Z2167" i="44"/>
  <c r="Z2183" i="44"/>
  <c r="Z2196" i="44"/>
  <c r="Z2211" i="44"/>
  <c r="Z2226" i="44"/>
  <c r="Z2269" i="44"/>
  <c r="Z2284" i="44"/>
  <c r="Z2299" i="44"/>
  <c r="Z2314" i="44"/>
  <c r="Z2329" i="44"/>
  <c r="Z2344" i="44"/>
  <c r="Z2359" i="44"/>
  <c r="Z2374" i="44"/>
  <c r="Z2388" i="44"/>
  <c r="Z2402" i="44"/>
  <c r="Z2415" i="44"/>
  <c r="Z2428" i="44"/>
  <c r="Z2444" i="44"/>
  <c r="Z2460" i="44"/>
  <c r="Z2476" i="44"/>
  <c r="Z2492" i="44"/>
  <c r="Z2507" i="44"/>
  <c r="Z2522" i="44"/>
  <c r="Z2537" i="44"/>
  <c r="Z2553" i="44"/>
  <c r="Z2646" i="44"/>
  <c r="Z2663" i="44"/>
  <c r="Z2679" i="44"/>
  <c r="Z2773" i="44"/>
  <c r="Z2816" i="44"/>
  <c r="Z2831" i="44"/>
  <c r="Z2847" i="44"/>
  <c r="Z2863" i="44"/>
  <c r="Z2878" i="44"/>
  <c r="Z11" i="44"/>
  <c r="Z29" i="44"/>
  <c r="Z47" i="44"/>
  <c r="Z116" i="44"/>
  <c r="Z134" i="44"/>
  <c r="Z152" i="44"/>
  <c r="Z170" i="44"/>
  <c r="Z188" i="44"/>
  <c r="Z206" i="44"/>
  <c r="Z224" i="44"/>
  <c r="Z240" i="44"/>
  <c r="Z258" i="44"/>
  <c r="Z276" i="44"/>
  <c r="Z293" i="44"/>
  <c r="Z309" i="44"/>
  <c r="Z326" i="44"/>
  <c r="Z343" i="44"/>
  <c r="Z359" i="44"/>
  <c r="Z376" i="44"/>
  <c r="Z393" i="44"/>
  <c r="Z409" i="44"/>
  <c r="Z425" i="44"/>
  <c r="Z440" i="44"/>
  <c r="Z456" i="44"/>
  <c r="Z472" i="44"/>
  <c r="Z488" i="44"/>
  <c r="Z504" i="44"/>
  <c r="Z520" i="44"/>
  <c r="Z536" i="44"/>
  <c r="Z552" i="44"/>
  <c r="Z567" i="44"/>
  <c r="Z583" i="44"/>
  <c r="Z599" i="44"/>
  <c r="Z706" i="44"/>
  <c r="Z722" i="44"/>
  <c r="Z739" i="44"/>
  <c r="Z755" i="44"/>
  <c r="Z769" i="44"/>
  <c r="Z785" i="44"/>
  <c r="Z801" i="44"/>
  <c r="Z817" i="44"/>
  <c r="Z833" i="44"/>
  <c r="Z849" i="44"/>
  <c r="Z864" i="44"/>
  <c r="Z880" i="44"/>
  <c r="Z895" i="44"/>
  <c r="Z910" i="44"/>
  <c r="Z925" i="44"/>
  <c r="Z940" i="44"/>
  <c r="Z955" i="44"/>
  <c r="Z972" i="44"/>
  <c r="Z989" i="44"/>
  <c r="Z1006" i="44"/>
  <c r="Z1021" i="44"/>
  <c r="Z1037" i="44"/>
  <c r="Z1054" i="44"/>
  <c r="Z1071" i="44"/>
  <c r="Z1087" i="44"/>
  <c r="Z1103" i="44"/>
  <c r="Z1120" i="44"/>
  <c r="Z1134" i="44"/>
  <c r="Z1151" i="44"/>
  <c r="Z1167" i="44"/>
  <c r="Z1182" i="44"/>
  <c r="Z1197" i="44"/>
  <c r="Z1212" i="44"/>
  <c r="Z1229" i="44"/>
  <c r="Z1244" i="44"/>
  <c r="Z1259" i="44"/>
  <c r="Z1276" i="44"/>
  <c r="Z1292" i="44"/>
  <c r="Z1307" i="44"/>
  <c r="Z1321" i="44"/>
  <c r="Z1335" i="44"/>
  <c r="Z1351" i="44"/>
  <c r="Z1366" i="44"/>
  <c r="Z1382" i="44"/>
  <c r="Z1398" i="44"/>
  <c r="Z1414" i="44"/>
  <c r="Z1430" i="44"/>
  <c r="Z1446" i="44"/>
  <c r="Z1462" i="44"/>
  <c r="Z1477" i="44"/>
  <c r="Z1492" i="44"/>
  <c r="Z1508" i="44"/>
  <c r="Z1524" i="44"/>
  <c r="Z1539" i="44"/>
  <c r="Z1555" i="44"/>
  <c r="Z1571" i="44"/>
  <c r="Z1587" i="44"/>
  <c r="Z1602" i="44"/>
  <c r="Z1617" i="44"/>
  <c r="Z1631" i="44"/>
  <c r="Z1646" i="44"/>
  <c r="Z1733" i="44"/>
  <c r="Z1750" i="44"/>
  <c r="Z1766" i="44"/>
  <c r="Z1781" i="44"/>
  <c r="Z1797" i="44"/>
  <c r="Z1813" i="44"/>
  <c r="Z1829" i="44"/>
  <c r="Z1845" i="44"/>
  <c r="Z1861" i="44"/>
  <c r="Z1877" i="44"/>
  <c r="Z1892" i="44"/>
  <c r="Z1906" i="44"/>
  <c r="Z1919" i="44"/>
  <c r="Z1932" i="44"/>
  <c r="Z1946" i="44"/>
  <c r="Z1959" i="44"/>
  <c r="Z1973" i="44"/>
  <c r="Z1987" i="44"/>
  <c r="Z2001" i="44"/>
  <c r="Z2013" i="44"/>
  <c r="Z2026" i="44"/>
  <c r="Z2039" i="44"/>
  <c r="Z2052" i="44"/>
  <c r="Z2065" i="44"/>
  <c r="Z2079" i="44"/>
  <c r="Z2093" i="44"/>
  <c r="Z2107" i="44"/>
  <c r="Z2122" i="44"/>
  <c r="Z2137" i="44"/>
  <c r="Z2152" i="44"/>
  <c r="Z2168" i="44"/>
  <c r="Z2184" i="44"/>
  <c r="Z2197" i="44"/>
  <c r="Z2212" i="44"/>
  <c r="Z2227" i="44"/>
  <c r="Z2240" i="44"/>
  <c r="Z2254" i="44"/>
  <c r="Z2270" i="44"/>
  <c r="Z2285" i="44"/>
  <c r="Z2300" i="44"/>
  <c r="Z2315" i="44"/>
  <c r="Z2330" i="44"/>
  <c r="Z2345" i="44"/>
  <c r="Z2360" i="44"/>
  <c r="Z2375" i="44"/>
  <c r="Z2389" i="44"/>
  <c r="Z2403" i="44"/>
  <c r="Z2416" i="44"/>
  <c r="Z2429" i="44"/>
  <c r="Z2445" i="44"/>
  <c r="Z2461" i="44"/>
  <c r="Z2477" i="44"/>
  <c r="Z2493" i="44"/>
  <c r="Z2508" i="44"/>
  <c r="Z2523" i="44"/>
  <c r="Z2538" i="44"/>
  <c r="Z2554" i="44"/>
  <c r="Z2570" i="44"/>
  <c r="Z2585" i="44"/>
  <c r="Z2600" i="44"/>
  <c r="Z2616" i="44"/>
  <c r="Z2631" i="44"/>
  <c r="Z2647" i="44"/>
  <c r="Z2664" i="44"/>
  <c r="Z2680" i="44"/>
  <c r="Z2696" i="44"/>
  <c r="Z2712" i="44"/>
  <c r="Z2727" i="44"/>
  <c r="Z2741" i="44"/>
  <c r="Z2757" i="44"/>
  <c r="Z2774" i="44"/>
  <c r="Z2789" i="44"/>
  <c r="Z2802" i="44"/>
  <c r="Z2817" i="44"/>
  <c r="Z2832" i="44"/>
  <c r="Z2848" i="44"/>
  <c r="Z2864" i="44"/>
  <c r="Z2879" i="44"/>
  <c r="Z12" i="44"/>
  <c r="Z30" i="44"/>
  <c r="Z48" i="44"/>
  <c r="Z65" i="44"/>
  <c r="Z82" i="44"/>
  <c r="Z99" i="44"/>
  <c r="Z117" i="44"/>
  <c r="Z135" i="44"/>
  <c r="Z153" i="44"/>
  <c r="Z171" i="44"/>
  <c r="Z189" i="44"/>
  <c r="Z207" i="44"/>
  <c r="Z225" i="44"/>
  <c r="Z241" i="44"/>
  <c r="Z259" i="44"/>
  <c r="Z277" i="44"/>
  <c r="Z294" i="44"/>
  <c r="Z310" i="44"/>
  <c r="Z327" i="44"/>
  <c r="Z344" i="44"/>
  <c r="Z360" i="44"/>
  <c r="Z377" i="44"/>
  <c r="Z394" i="44"/>
  <c r="Z410" i="44"/>
  <c r="Z426" i="44"/>
  <c r="Z441" i="44"/>
  <c r="Z457" i="44"/>
  <c r="Z473" i="44"/>
  <c r="Z489" i="44"/>
  <c r="Z505" i="44"/>
  <c r="Z521" i="44"/>
  <c r="Z537" i="44"/>
  <c r="Z553" i="44"/>
  <c r="Z568" i="44"/>
  <c r="Z584" i="44"/>
  <c r="Z600" i="44"/>
  <c r="Z707" i="44"/>
  <c r="Z723" i="44"/>
  <c r="Z740" i="44"/>
  <c r="Z756" i="44"/>
  <c r="Z770" i="44"/>
  <c r="Z786" i="44"/>
  <c r="Z802" i="44"/>
  <c r="Z818" i="44"/>
  <c r="Z834" i="44"/>
  <c r="Z850" i="44"/>
  <c r="Z865" i="44"/>
  <c r="Z881" i="44"/>
  <c r="Z896" i="44"/>
  <c r="Z911" i="44"/>
  <c r="Z926" i="44"/>
  <c r="Z941" i="44"/>
  <c r="Z956" i="44"/>
  <c r="Z973" i="44"/>
  <c r="Z990" i="44"/>
  <c r="Z1007" i="44"/>
  <c r="Z1022" i="44"/>
  <c r="Z1038" i="44"/>
  <c r="Z1055" i="44"/>
  <c r="Z1072" i="44"/>
  <c r="Z1088" i="44"/>
  <c r="Z1104" i="44"/>
  <c r="Z1121" i="44"/>
  <c r="Z1135" i="44"/>
  <c r="Z1152" i="44"/>
  <c r="Z1168" i="44"/>
  <c r="Z1183" i="44"/>
  <c r="Z1198" i="44"/>
  <c r="Z1213" i="44"/>
  <c r="Z1230" i="44"/>
  <c r="Z1245" i="44"/>
  <c r="Z1260" i="44"/>
  <c r="Z1277" i="44"/>
  <c r="Z1293" i="44"/>
  <c r="Z1308" i="44"/>
  <c r="Z1336" i="44"/>
  <c r="Z1367" i="44"/>
  <c r="Z1383" i="44"/>
  <c r="Z1399" i="44"/>
  <c r="Z1415" i="44"/>
  <c r="Z1431" i="44"/>
  <c r="Z1447" i="44"/>
  <c r="Z1463" i="44"/>
  <c r="Z1478" i="44"/>
  <c r="Z1493" i="44"/>
  <c r="Z1509" i="44"/>
  <c r="Z1525" i="44"/>
  <c r="Z1540" i="44"/>
  <c r="Z1556" i="44"/>
  <c r="Z1572" i="44"/>
  <c r="Z1588" i="44"/>
  <c r="Z1603" i="44"/>
  <c r="Z1632" i="44"/>
  <c r="Z1647" i="44"/>
  <c r="Z1659" i="44"/>
  <c r="Z1670" i="44"/>
  <c r="Z1680" i="44"/>
  <c r="Z1690" i="44"/>
  <c r="Z1702" i="44"/>
  <c r="Z1717" i="44"/>
  <c r="Z1734" i="44"/>
  <c r="Z1751" i="44"/>
  <c r="Z1767" i="44"/>
  <c r="Z1728" i="44"/>
  <c r="Z1745" i="44"/>
  <c r="Z1761" i="44"/>
  <c r="Z1777" i="44"/>
  <c r="Z1792" i="44"/>
  <c r="Z1808" i="44"/>
  <c r="Z1824" i="44"/>
  <c r="Z1840" i="44"/>
  <c r="Z1856" i="44"/>
  <c r="Z1872" i="44"/>
  <c r="Z1887" i="44"/>
  <c r="Z1901" i="44"/>
  <c r="Z2148" i="44"/>
  <c r="Z2163" i="44"/>
  <c r="Z2179" i="44"/>
  <c r="Z2192" i="44"/>
  <c r="Z2207" i="44"/>
  <c r="Z2222" i="44"/>
  <c r="Z2265" i="44"/>
  <c r="Z2280" i="44"/>
  <c r="Z2295" i="44"/>
  <c r="Z2310" i="44"/>
  <c r="Z2325" i="44"/>
  <c r="Z2340" i="44"/>
  <c r="Z2355" i="44"/>
  <c r="Z2370" i="44"/>
  <c r="Z2384" i="44"/>
  <c r="Z2398" i="44"/>
  <c r="Z2411" i="44"/>
  <c r="Z2440" i="44"/>
  <c r="Z2456" i="44"/>
  <c r="Z2472" i="44"/>
  <c r="Z2488" i="44"/>
  <c r="Z2503" i="44"/>
  <c r="Z2518" i="44"/>
  <c r="Z2533" i="44"/>
  <c r="Z2549" i="44"/>
  <c r="Z2566" i="44"/>
  <c r="Z2581" i="44"/>
  <c r="Z2596" i="44"/>
  <c r="Z2612" i="44"/>
  <c r="Z2627" i="44"/>
  <c r="Z2642" i="44"/>
  <c r="Z2659" i="44"/>
  <c r="Z2675" i="44"/>
  <c r="Z2692" i="44"/>
  <c r="Z2708" i="44"/>
  <c r="Z2723" i="44"/>
  <c r="Z2827" i="44"/>
  <c r="Z2843" i="44"/>
  <c r="Z2859" i="44"/>
  <c r="Z2874" i="44"/>
  <c r="Z7" i="44"/>
  <c r="Z25" i="44"/>
  <c r="Z43" i="44"/>
  <c r="Z61" i="44"/>
  <c r="Z78" i="44"/>
  <c r="Z95" i="44"/>
  <c r="Z112" i="44"/>
  <c r="Z130" i="44"/>
  <c r="Z148" i="44"/>
  <c r="Z166" i="44"/>
  <c r="Z184" i="44"/>
  <c r="Z202" i="44"/>
  <c r="Z220" i="44"/>
  <c r="Z236" i="44"/>
  <c r="Z254" i="44"/>
  <c r="Z272" i="44"/>
  <c r="Z289" i="44"/>
  <c r="Z305" i="44"/>
  <c r="Z322" i="44"/>
  <c r="Z339" i="44"/>
  <c r="Z355" i="44"/>
  <c r="Z372" i="44"/>
  <c r="Z389" i="44"/>
  <c r="Z405" i="44"/>
  <c r="Z421" i="44"/>
  <c r="Z436" i="44"/>
  <c r="Z452" i="44"/>
  <c r="Z468" i="44"/>
  <c r="Z484" i="44"/>
  <c r="Z500" i="44"/>
  <c r="Z516" i="44"/>
  <c r="Z532" i="44"/>
  <c r="Z549" i="44"/>
  <c r="Z563" i="44"/>
  <c r="Z579" i="44"/>
  <c r="Z595" i="44"/>
  <c r="Z610" i="44"/>
  <c r="Z623" i="44"/>
  <c r="Z636" i="44"/>
  <c r="Z650" i="44"/>
  <c r="Z661" i="44"/>
  <c r="Z675" i="44"/>
  <c r="Z688" i="44"/>
  <c r="Z702" i="44"/>
  <c r="Z718" i="44"/>
  <c r="Z735" i="44"/>
  <c r="Z751" i="44"/>
  <c r="Z766" i="44"/>
  <c r="Z781" i="44"/>
  <c r="Z797" i="44"/>
  <c r="Z813" i="44"/>
  <c r="Z829" i="44"/>
  <c r="Z845" i="44"/>
  <c r="Z860" i="44"/>
  <c r="Z876" i="44"/>
  <c r="Z891" i="44"/>
  <c r="Z906" i="44"/>
  <c r="Z921" i="44"/>
  <c r="Z936" i="44"/>
  <c r="Z952" i="44"/>
  <c r="Z969" i="44"/>
  <c r="Z986" i="44"/>
  <c r="Z1003" i="44"/>
  <c r="Z1018" i="44"/>
  <c r="Z1034" i="44"/>
  <c r="Z1050" i="44"/>
  <c r="Z1067" i="44"/>
  <c r="Z1083" i="44"/>
  <c r="Z1099" i="44"/>
  <c r="Z1116" i="44"/>
  <c r="Z1130" i="44"/>
  <c r="Z1147" i="44"/>
  <c r="Z1163" i="44"/>
  <c r="Z1178" i="44"/>
  <c r="Z1193" i="44"/>
  <c r="Z1208" i="44"/>
  <c r="Z1225" i="44"/>
  <c r="Z1241" i="44"/>
  <c r="Z1256" i="44"/>
  <c r="Z1272" i="44"/>
  <c r="Z1288" i="44"/>
  <c r="Z1303" i="44"/>
  <c r="Z1318" i="44"/>
  <c r="Z1331" i="44"/>
  <c r="Z1347" i="44"/>
  <c r="Z1362" i="44"/>
  <c r="Z1378" i="44"/>
  <c r="Z1394" i="44"/>
  <c r="Z1410" i="44"/>
  <c r="Z1426" i="44"/>
  <c r="Z1442" i="44"/>
  <c r="Z1458" i="44"/>
  <c r="Z1473" i="44"/>
  <c r="Z1488" i="44"/>
  <c r="Z1504" i="44"/>
  <c r="Z1520" i="44"/>
  <c r="Z1535" i="44"/>
  <c r="Z1551" i="44"/>
  <c r="Z1567" i="44"/>
  <c r="Z1583" i="44"/>
  <c r="Z1598" i="44"/>
  <c r="Z1613" i="44"/>
  <c r="Z1628" i="44"/>
  <c r="Z1643" i="44"/>
  <c r="Z1657" i="44"/>
  <c r="Z1669" i="44"/>
  <c r="Z1678" i="44"/>
  <c r="Z1688" i="44"/>
  <c r="Z1699" i="44"/>
  <c r="Z1713" i="44"/>
  <c r="Z1729" i="44"/>
  <c r="Z1746" i="44"/>
  <c r="Z1762" i="44"/>
  <c r="Z1778" i="44"/>
  <c r="Z1793" i="44"/>
  <c r="Z1809" i="44"/>
  <c r="Z1825" i="44"/>
  <c r="Z1841" i="44"/>
  <c r="Z1857" i="44"/>
  <c r="Z1873" i="44"/>
  <c r="Z1888" i="44"/>
  <c r="Z1902" i="44"/>
  <c r="Z1917" i="44"/>
  <c r="Z1930" i="44"/>
  <c r="Z1944" i="44"/>
  <c r="Z1957" i="44"/>
  <c r="Z1971" i="44"/>
  <c r="Z1985" i="44"/>
  <c r="Z1999" i="44"/>
  <c r="Z2011" i="44"/>
  <c r="Z2024" i="44"/>
  <c r="Z2037" i="44"/>
  <c r="Z2050" i="44"/>
  <c r="Z2063" i="44"/>
  <c r="Z2077" i="44"/>
  <c r="Z2091" i="44"/>
  <c r="Z2105" i="44"/>
  <c r="Z2119" i="44"/>
  <c r="Z2134" i="44"/>
  <c r="Z2149" i="44"/>
  <c r="Z2164" i="44"/>
  <c r="Z2180" i="44"/>
  <c r="Z2193" i="44"/>
  <c r="Z2208" i="44"/>
  <c r="Z2223" i="44"/>
  <c r="Z2237" i="44"/>
  <c r="Z2251" i="44"/>
  <c r="Z2266" i="44"/>
  <c r="Z2281" i="44"/>
  <c r="Z2296" i="44"/>
  <c r="Z2311" i="44"/>
  <c r="Z2326" i="44"/>
  <c r="Z2341" i="44"/>
  <c r="Z2356" i="44"/>
  <c r="Z2371" i="44"/>
  <c r="Z2385" i="44"/>
  <c r="Z2399" i="44"/>
  <c r="Z2412" i="44"/>
  <c r="Z2425" i="44"/>
  <c r="Z2441" i="44"/>
  <c r="Z2457" i="44"/>
  <c r="Z2473" i="44"/>
  <c r="Z2489" i="44"/>
  <c r="Z2504" i="44"/>
  <c r="Z2519" i="44"/>
  <c r="Z2534" i="44"/>
  <c r="Z2550" i="44"/>
  <c r="Z2567" i="44"/>
  <c r="Z2582" i="44"/>
  <c r="Z2597" i="44"/>
  <c r="Z2613" i="44"/>
  <c r="Z2628" i="44"/>
  <c r="Z2643" i="44"/>
  <c r="Z2660" i="44"/>
  <c r="Z2676" i="44"/>
  <c r="Z2693" i="44"/>
  <c r="Z2709" i="44"/>
  <c r="Z2724" i="44"/>
  <c r="Z2738" i="44"/>
  <c r="Z2754" i="44"/>
  <c r="Z2770" i="44"/>
  <c r="Z2813" i="44"/>
  <c r="Z2828" i="44"/>
  <c r="Z2844" i="44"/>
  <c r="Z2860" i="44"/>
  <c r="Z2875" i="44"/>
  <c r="Z8" i="44"/>
  <c r="Z26" i="44"/>
  <c r="Z44" i="44"/>
  <c r="Z62" i="44"/>
  <c r="Z79" i="44"/>
  <c r="Z96" i="44"/>
  <c r="Z113" i="44"/>
  <c r="Z131" i="44"/>
  <c r="Z149" i="44"/>
  <c r="Z167" i="44"/>
  <c r="Z185" i="44"/>
  <c r="Z203" i="44"/>
  <c r="Z221" i="44"/>
  <c r="Z237" i="44"/>
  <c r="Z255" i="44"/>
  <c r="Z273" i="44"/>
  <c r="Z290" i="44"/>
  <c r="Z306" i="44"/>
  <c r="Z323" i="44"/>
  <c r="Z340" i="44"/>
  <c r="Z356" i="44"/>
  <c r="Z373" i="44"/>
  <c r="Z390" i="44"/>
  <c r="Z406" i="44"/>
  <c r="Z422" i="44"/>
  <c r="Z437" i="44"/>
  <c r="Z453" i="44"/>
  <c r="Z469" i="44"/>
  <c r="Z485" i="44"/>
  <c r="Z501" i="44"/>
  <c r="Z517" i="44"/>
  <c r="Z533" i="44"/>
  <c r="Z550" i="44"/>
  <c r="Z564" i="44"/>
  <c r="Z580" i="44"/>
  <c r="Z596" i="44"/>
  <c r="Z689" i="44"/>
  <c r="Z703" i="44"/>
  <c r="Z719" i="44"/>
  <c r="Z736" i="44"/>
  <c r="Z752" i="44"/>
  <c r="Z767" i="44"/>
  <c r="Z782" i="44"/>
  <c r="Z798" i="44"/>
  <c r="Z814" i="44"/>
  <c r="Z830" i="44"/>
  <c r="Z846" i="44"/>
  <c r="Z861" i="44"/>
  <c r="Z877" i="44"/>
  <c r="Z892" i="44"/>
  <c r="Z907" i="44"/>
  <c r="Z922" i="44"/>
  <c r="Z937" i="44"/>
  <c r="Z1051" i="44"/>
  <c r="Z1068" i="44"/>
  <c r="Z1084" i="44"/>
  <c r="Z1100" i="44"/>
  <c r="Z1117" i="44"/>
  <c r="Z1131" i="44"/>
  <c r="Z1148" i="44"/>
  <c r="Z1164" i="44"/>
  <c r="Z1179" i="44"/>
  <c r="Z1194" i="44"/>
  <c r="Z1209" i="44"/>
  <c r="Z1226" i="44"/>
  <c r="Z1242" i="44"/>
  <c r="Z1257" i="44"/>
  <c r="Z1273" i="44"/>
  <c r="Z1289" i="44"/>
  <c r="Z1304" i="44"/>
  <c r="Z1319" i="44"/>
  <c r="Z1332" i="44"/>
  <c r="Z1348" i="44"/>
  <c r="Z1363" i="44"/>
  <c r="Z1379" i="44"/>
  <c r="Z1395" i="44"/>
  <c r="Z1411" i="44"/>
  <c r="Z1427" i="44"/>
  <c r="Z1443" i="44"/>
  <c r="Z1459" i="44"/>
  <c r="Z1474" i="44"/>
  <c r="Z1489" i="44"/>
  <c r="Z1505" i="44"/>
  <c r="Z1521" i="44"/>
  <c r="Z1536" i="44"/>
  <c r="Z1552" i="44"/>
  <c r="Z1568" i="44"/>
  <c r="Z1584" i="44"/>
  <c r="Z1599" i="44"/>
  <c r="Z1614" i="44"/>
  <c r="Z1658" i="44"/>
  <c r="Z1679" i="44"/>
  <c r="Z1689" i="44"/>
  <c r="Z1700" i="44"/>
  <c r="Z1714" i="44"/>
  <c r="Z1730" i="44"/>
  <c r="Z1747" i="44"/>
  <c r="Z1763" i="44"/>
  <c r="Z1779" i="44"/>
  <c r="Z1794" i="44"/>
  <c r="Z1810" i="44"/>
  <c r="Z1826" i="44"/>
  <c r="Z1842" i="44"/>
  <c r="Z1858" i="44"/>
  <c r="Z1874" i="44"/>
  <c r="Z1889" i="44"/>
  <c r="Z1903" i="44"/>
  <c r="Z1918" i="44"/>
  <c r="Z1931" i="44"/>
  <c r="Z1945" i="44"/>
  <c r="Z1958" i="44"/>
  <c r="Z1972" i="44"/>
  <c r="Z1986" i="44"/>
  <c r="Z2000" i="44"/>
  <c r="Z2012" i="44"/>
  <c r="Z2025" i="44"/>
  <c r="Z2038" i="44"/>
  <c r="Z2051" i="44"/>
  <c r="Z2064" i="44"/>
  <c r="Z2078" i="44"/>
  <c r="Z2092" i="44"/>
  <c r="Z2106" i="44"/>
  <c r="Z2120" i="44"/>
  <c r="Z2135" i="44"/>
  <c r="Z2150" i="44"/>
  <c r="Z2165" i="44"/>
  <c r="Z2181" i="44"/>
  <c r="Z2194" i="44"/>
  <c r="Z2209" i="44"/>
  <c r="Z2224" i="44"/>
  <c r="Z2238" i="44"/>
  <c r="Z2252" i="44"/>
  <c r="Z2267" i="44"/>
  <c r="Z2282" i="44"/>
  <c r="Z2297" i="44"/>
  <c r="Z2312" i="44"/>
  <c r="Z2327" i="44"/>
  <c r="Z2342" i="44"/>
  <c r="Z2357" i="44"/>
  <c r="Z2372" i="44"/>
  <c r="Z2386" i="44"/>
  <c r="Z2400" i="44"/>
  <c r="Z2413" i="44"/>
  <c r="Z2426" i="44"/>
  <c r="Z2442" i="44"/>
  <c r="Z2458" i="44"/>
  <c r="Z2474" i="44"/>
  <c r="Z2490" i="44"/>
  <c r="Z2505" i="44"/>
  <c r="Z2520" i="44"/>
  <c r="Z2535" i="44"/>
  <c r="Z2551" i="44"/>
  <c r="Z2568" i="44"/>
  <c r="Z2583" i="44"/>
  <c r="Z2598" i="44"/>
  <c r="Z2614" i="44"/>
  <c r="Z2629" i="44"/>
  <c r="Z2644" i="44"/>
  <c r="Z2661" i="44"/>
  <c r="Z2677" i="44"/>
  <c r="Z2694" i="44"/>
  <c r="Z2710" i="44"/>
  <c r="Z2725" i="44"/>
  <c r="Z2739" i="44"/>
  <c r="Z2755" i="44"/>
  <c r="Z2771" i="44"/>
  <c r="Z2787" i="44"/>
  <c r="Z2800" i="44"/>
  <c r="Z2814" i="44"/>
  <c r="Z2829" i="44"/>
  <c r="Z2845" i="44"/>
  <c r="Z2861" i="44"/>
  <c r="Z2876" i="44"/>
  <c r="Z9" i="44"/>
  <c r="Z27" i="44"/>
  <c r="Z45" i="44"/>
  <c r="Z63" i="44"/>
  <c r="Z80" i="44"/>
  <c r="Z97" i="44"/>
  <c r="Z114" i="44"/>
  <c r="Z132" i="44"/>
  <c r="Z150" i="44"/>
  <c r="Z168" i="44"/>
  <c r="Z186" i="44"/>
  <c r="Z204" i="44"/>
  <c r="Z222" i="44"/>
  <c r="Z238" i="44"/>
  <c r="Z256" i="44"/>
  <c r="Z274" i="44"/>
  <c r="Z291" i="44"/>
  <c r="Z307" i="44"/>
  <c r="Z324" i="44"/>
  <c r="Z341" i="44"/>
  <c r="Z357" i="44"/>
  <c r="Z374" i="44"/>
  <c r="Z391" i="44"/>
  <c r="Z407" i="44"/>
  <c r="Z423" i="44"/>
  <c r="Z438" i="44"/>
  <c r="Z454" i="44"/>
  <c r="Z470" i="44"/>
  <c r="Z486" i="44"/>
  <c r="Z502" i="44"/>
  <c r="Z518" i="44"/>
  <c r="Z534" i="44"/>
  <c r="Z565" i="44"/>
  <c r="Z581" i="44"/>
  <c r="Z597" i="44"/>
  <c r="Z611" i="44"/>
  <c r="Z624" i="44"/>
  <c r="Z637" i="44"/>
  <c r="Z651" i="44"/>
  <c r="Z662" i="44"/>
  <c r="Z676" i="44"/>
  <c r="Z690" i="44"/>
  <c r="Z704" i="44"/>
  <c r="Z720" i="44"/>
  <c r="Z737" i="44"/>
  <c r="Z753" i="44"/>
  <c r="Z768" i="44"/>
  <c r="Z783" i="44"/>
  <c r="Z799" i="44"/>
  <c r="Z815" i="44"/>
  <c r="Z831" i="44"/>
  <c r="Z847" i="44"/>
  <c r="Z862" i="44"/>
  <c r="Z878" i="44"/>
  <c r="Z893" i="44"/>
  <c r="Z908" i="44"/>
  <c r="Z923" i="44"/>
  <c r="Z938" i="44"/>
  <c r="Z953" i="44"/>
  <c r="Z970" i="44"/>
  <c r="Z987" i="44"/>
  <c r="Z1004" i="44"/>
  <c r="Z1019" i="44"/>
  <c r="Z1035" i="44"/>
  <c r="Z1052" i="44"/>
  <c r="Z1069" i="44"/>
  <c r="Z1085" i="44"/>
  <c r="Z1101" i="44"/>
  <c r="Z1118" i="44"/>
  <c r="Z1132" i="44"/>
  <c r="Z1149" i="44"/>
  <c r="Z1165" i="44"/>
  <c r="Z1180" i="44"/>
  <c r="Z1195" i="44"/>
  <c r="Z1210" i="44"/>
  <c r="Z1227" i="44"/>
  <c r="Z1243" i="44"/>
  <c r="Z1258" i="44"/>
  <c r="Z1274" i="44"/>
  <c r="Z1290" i="44"/>
  <c r="Z1305" i="44"/>
  <c r="Z1333" i="44"/>
  <c r="Z1349" i="44"/>
  <c r="Z1364" i="44"/>
  <c r="Z1380" i="44"/>
  <c r="Z1396" i="44"/>
  <c r="Z1412" i="44"/>
  <c r="Z1428" i="44"/>
  <c r="Z1444" i="44"/>
  <c r="Z3" i="44"/>
  <c r="Z21" i="44"/>
  <c r="Z39" i="44"/>
  <c r="Z57" i="44"/>
  <c r="Z74" i="44"/>
  <c r="Z91" i="44"/>
  <c r="Z108" i="44"/>
  <c r="Z126" i="44"/>
  <c r="Z144" i="44"/>
  <c r="Z162" i="44"/>
  <c r="Z180" i="44"/>
  <c r="Z198" i="44"/>
  <c r="Z216" i="44"/>
  <c r="Z233" i="44"/>
  <c r="Z250" i="44"/>
  <c r="Z268" i="44"/>
  <c r="Z286" i="44"/>
  <c r="Z302" i="44"/>
  <c r="Z319" i="44"/>
  <c r="Z336" i="44"/>
  <c r="Z352" i="44"/>
  <c r="Z368" i="44"/>
  <c r="Z385" i="44"/>
  <c r="Z402" i="44"/>
  <c r="Z418" i="44"/>
  <c r="Z433" i="44"/>
  <c r="Z448" i="44"/>
  <c r="Z465" i="44"/>
  <c r="Z481" i="44"/>
  <c r="Z497" i="44"/>
  <c r="Z513" i="44"/>
  <c r="Z529" i="44"/>
  <c r="Z546" i="44"/>
  <c r="Z560" i="44"/>
  <c r="Z576" i="44"/>
  <c r="Z592" i="44"/>
  <c r="Z607" i="44"/>
  <c r="Z620" i="44"/>
  <c r="Z633" i="44"/>
  <c r="Z647" i="44"/>
  <c r="Z657" i="44"/>
  <c r="Z672" i="44"/>
  <c r="Z685" i="44"/>
  <c r="Z699" i="44"/>
  <c r="Z715" i="44"/>
  <c r="Z731" i="44"/>
  <c r="Z763" i="44"/>
  <c r="Z778" i="44"/>
  <c r="Z794" i="44"/>
  <c r="Z810" i="44"/>
  <c r="Z826" i="44"/>
  <c r="Z842" i="44"/>
  <c r="Z857" i="44"/>
  <c r="Z873" i="44"/>
  <c r="Z888" i="44"/>
  <c r="Z903" i="44"/>
  <c r="Z918" i="44"/>
  <c r="Z933" i="44"/>
  <c r="Z948" i="44"/>
  <c r="Z966" i="44"/>
  <c r="Z983" i="44"/>
  <c r="Z1000" i="44"/>
  <c r="Z1015" i="44"/>
  <c r="Z1030" i="44"/>
  <c r="Z1046" i="44"/>
  <c r="Z1063" i="44"/>
  <c r="Z1095" i="44"/>
  <c r="Z1113" i="44"/>
  <c r="Z1144" i="44"/>
  <c r="Z1160" i="44"/>
  <c r="Z1176" i="44"/>
  <c r="Z1191" i="44"/>
  <c r="Z1205" i="44"/>
  <c r="Z1222" i="44"/>
  <c r="Z1269" i="44"/>
  <c r="Z1285" i="44"/>
  <c r="Z1300" i="44"/>
  <c r="Z1315" i="44"/>
  <c r="Z1328" i="44"/>
  <c r="Z1344" i="44"/>
  <c r="Z1359" i="44"/>
  <c r="Z1375" i="44"/>
  <c r="Z1391" i="44"/>
  <c r="Z1407" i="44"/>
  <c r="Z1423" i="44"/>
  <c r="Z1439" i="44"/>
  <c r="Z1455" i="44"/>
  <c r="Z1470" i="44"/>
  <c r="Z1485" i="44"/>
  <c r="Z1501" i="44"/>
  <c r="Z1517" i="44"/>
  <c r="Z1532" i="44"/>
  <c r="Z1548" i="44"/>
  <c r="Z1564" i="44"/>
  <c r="Z1580" i="44"/>
  <c r="Z1595" i="44"/>
  <c r="Z1610" i="44"/>
  <c r="Z1625" i="44"/>
  <c r="Z1640" i="44"/>
  <c r="Z1655" i="44"/>
  <c r="Z1666" i="44"/>
  <c r="Z1676" i="44"/>
  <c r="Z1686" i="44"/>
  <c r="Z1697" i="44"/>
  <c r="Z1711" i="44"/>
  <c r="Z1726" i="44"/>
  <c r="Z1743" i="44"/>
  <c r="Z1759" i="44"/>
  <c r="Z1775" i="44"/>
  <c r="Z1790" i="44"/>
  <c r="Z1806" i="44"/>
  <c r="Z1822" i="44"/>
  <c r="Z1838" i="44"/>
  <c r="Z1854" i="44"/>
  <c r="Z1870" i="44"/>
  <c r="Z1885" i="44"/>
  <c r="Z1899" i="44"/>
  <c r="Z1915" i="44"/>
  <c r="Z1928" i="44"/>
  <c r="Z1942" i="44"/>
  <c r="Z1955" i="44"/>
  <c r="Z1969" i="44"/>
  <c r="Z1983" i="44"/>
  <c r="Z1997" i="44"/>
  <c r="Z2010" i="44"/>
  <c r="Z2022" i="44"/>
  <c r="Z2035" i="44"/>
  <c r="Z2048" i="44"/>
  <c r="Z2061" i="44"/>
  <c r="Z2075" i="44"/>
  <c r="Z2089" i="44"/>
  <c r="Z2103" i="44"/>
  <c r="Z2117" i="44"/>
  <c r="Z2132" i="44"/>
  <c r="Z2146" i="44"/>
  <c r="Z2161" i="44"/>
  <c r="Z2177" i="44"/>
  <c r="Z2190" i="44"/>
  <c r="Z2205" i="44"/>
  <c r="Z2220" i="44"/>
  <c r="Z2235" i="44"/>
  <c r="Z2249" i="44"/>
  <c r="Z2263" i="44"/>
  <c r="Z2278" i="44"/>
  <c r="Z2293" i="44"/>
  <c r="Z2308" i="44"/>
  <c r="Z2323" i="44"/>
  <c r="Z2338" i="44"/>
  <c r="Z2353" i="44"/>
  <c r="Z2368" i="44"/>
  <c r="Z2382" i="44"/>
  <c r="Z2396" i="44"/>
  <c r="Z2409" i="44"/>
  <c r="Z2423" i="44"/>
  <c r="Z2438" i="44"/>
  <c r="Z2454" i="44"/>
  <c r="Z2470" i="44"/>
  <c r="Z2486" i="44"/>
  <c r="Z2501" i="44"/>
  <c r="Z2516" i="44"/>
  <c r="Z2531" i="44"/>
  <c r="Z2547" i="44"/>
  <c r="Z2564" i="44"/>
  <c r="Z2579" i="44"/>
  <c r="Z2594" i="44"/>
  <c r="Z2610" i="44"/>
  <c r="Z2625" i="44"/>
  <c r="Z2640" i="44"/>
  <c r="Z2657" i="44"/>
  <c r="Z2673" i="44"/>
  <c r="Z2690" i="44"/>
  <c r="Z2706" i="44"/>
  <c r="Z2721" i="44"/>
  <c r="Z2736" i="44"/>
  <c r="Z2752" i="44"/>
  <c r="Z2768" i="44"/>
  <c r="Z2785" i="44"/>
  <c r="Z2798" i="44"/>
  <c r="Z2811" i="44"/>
  <c r="Z2825" i="44"/>
  <c r="Z2841" i="44"/>
  <c r="Z2857" i="44"/>
  <c r="Z2872" i="44"/>
  <c r="Z4" i="44"/>
  <c r="Z22" i="44"/>
  <c r="Z40" i="44"/>
  <c r="Z58" i="44"/>
  <c r="Z75" i="44"/>
  <c r="Z92" i="44"/>
  <c r="Z109" i="44"/>
  <c r="Z127" i="44"/>
  <c r="Z145" i="44"/>
  <c r="Z163" i="44"/>
  <c r="Z181" i="44"/>
  <c r="Z199" i="44"/>
  <c r="Z217" i="44"/>
  <c r="Z234" i="44"/>
  <c r="Z251" i="44"/>
  <c r="Z269" i="44"/>
  <c r="Z287" i="44"/>
  <c r="Z303" i="44"/>
  <c r="Z320" i="44"/>
  <c r="Z337" i="44"/>
  <c r="Z353" i="44"/>
  <c r="Z369" i="44"/>
  <c r="Z386" i="44"/>
  <c r="Z403" i="44"/>
  <c r="Z419" i="44"/>
  <c r="Z434" i="44"/>
  <c r="Z449" i="44"/>
  <c r="Z466" i="44"/>
  <c r="Z482" i="44"/>
  <c r="Z498" i="44"/>
  <c r="Z514" i="44"/>
  <c r="Z530" i="44"/>
  <c r="Z547" i="44"/>
  <c r="Z561" i="44"/>
  <c r="Z577" i="44"/>
  <c r="Z593" i="44"/>
  <c r="Z608" i="44"/>
  <c r="Z621" i="44"/>
  <c r="Z634" i="44"/>
  <c r="Z648" i="44"/>
  <c r="Z658" i="44"/>
  <c r="Z673" i="44"/>
  <c r="Z686" i="44"/>
  <c r="Z700" i="44"/>
  <c r="Z716" i="44"/>
  <c r="Z732" i="44"/>
  <c r="Z748" i="44"/>
  <c r="Z779" i="44"/>
  <c r="Z795" i="44"/>
  <c r="Z811" i="44"/>
  <c r="Z827" i="44"/>
  <c r="Z843" i="44"/>
  <c r="Z858" i="44"/>
  <c r="Z874" i="44"/>
  <c r="Z889" i="44"/>
  <c r="Z904" i="44"/>
  <c r="Z919" i="44"/>
  <c r="Z934" i="44"/>
  <c r="Z949" i="44"/>
  <c r="Z967" i="44"/>
  <c r="Z984" i="44"/>
  <c r="Z1001" i="44"/>
  <c r="Z1016" i="44"/>
  <c r="Z1031" i="44"/>
  <c r="Z1047" i="44"/>
  <c r="Z1064" i="44"/>
  <c r="Z1080" i="44"/>
  <c r="Z1096" i="44"/>
  <c r="Z1114" i="44"/>
  <c r="Z1128" i="44"/>
  <c r="Z1145" i="44"/>
  <c r="Z1161" i="44"/>
  <c r="Z1206" i="44"/>
  <c r="Z1223" i="44"/>
  <c r="Z1239" i="44"/>
  <c r="Z1254" i="44"/>
  <c r="Z1270" i="44"/>
  <c r="Z1286" i="44"/>
  <c r="Z1301" i="44"/>
  <c r="Z1316" i="44"/>
  <c r="Z1329" i="44"/>
  <c r="Z1345" i="44"/>
  <c r="Z1360" i="44"/>
  <c r="Z1376" i="44"/>
  <c r="Z1392" i="44"/>
  <c r="Z1408" i="44"/>
  <c r="Z1424" i="44"/>
  <c r="Z1440" i="44"/>
  <c r="Z1456" i="44"/>
  <c r="Z1471" i="44"/>
  <c r="Z1486" i="44"/>
  <c r="Z1502" i="44"/>
  <c r="Z1518" i="44"/>
  <c r="Z1533" i="44"/>
  <c r="Z1549" i="44"/>
  <c r="Z1565" i="44"/>
  <c r="Z1581" i="44"/>
  <c r="Z1596" i="44"/>
  <c r="Z1611" i="44"/>
  <c r="Z1626" i="44"/>
  <c r="Z1641" i="44"/>
  <c r="Z1656" i="44"/>
  <c r="Z1667" i="44"/>
  <c r="Z1677" i="44"/>
  <c r="Z1687" i="44"/>
  <c r="Z1698" i="44"/>
  <c r="Z1712" i="44"/>
  <c r="Z1727" i="44"/>
  <c r="Z1744" i="44"/>
  <c r="Z1760" i="44"/>
  <c r="Z1776" i="44"/>
  <c r="Z1791" i="44"/>
  <c r="Z1807" i="44"/>
  <c r="Z1823" i="44"/>
  <c r="Z1839" i="44"/>
  <c r="Z1855" i="44"/>
  <c r="Z1871" i="44"/>
  <c r="Z1886" i="44"/>
  <c r="Z1900" i="44"/>
  <c r="Z1916" i="44"/>
  <c r="Z1929" i="44"/>
  <c r="Z1943" i="44"/>
  <c r="Z1956" i="44"/>
  <c r="Z1970" i="44"/>
  <c r="Z1984" i="44"/>
  <c r="Z1998" i="44"/>
  <c r="Z2023" i="44"/>
  <c r="Z2036" i="44"/>
  <c r="Z2049" i="44"/>
  <c r="Z2062" i="44"/>
  <c r="Z2076" i="44"/>
  <c r="Z2090" i="44"/>
  <c r="Z2104" i="44"/>
  <c r="Z2118" i="44"/>
  <c r="Z2133" i="44"/>
  <c r="Z2147" i="44"/>
  <c r="Z2162" i="44"/>
  <c r="Z2178" i="44"/>
  <c r="Z2191" i="44"/>
  <c r="Z2206" i="44"/>
  <c r="Z2221" i="44"/>
  <c r="Z2236" i="44"/>
  <c r="Z2250" i="44"/>
  <c r="Z2264" i="44"/>
  <c r="Z2279" i="44"/>
  <c r="Z2294" i="44"/>
  <c r="Z2309" i="44"/>
  <c r="Z2324" i="44"/>
  <c r="Z2339" i="44"/>
  <c r="Z2354" i="44"/>
  <c r="Z2369" i="44"/>
  <c r="Z2383" i="44"/>
  <c r="Z2397" i="44"/>
  <c r="Z2410" i="44"/>
  <c r="Z2424" i="44"/>
  <c r="Z2439" i="44"/>
  <c r="Z2455" i="44"/>
  <c r="Z2471" i="44"/>
  <c r="Z2487" i="44"/>
  <c r="Z2502" i="44"/>
  <c r="Z2517" i="44"/>
  <c r="Z2532" i="44"/>
  <c r="Z2548" i="44"/>
  <c r="Z2565" i="44"/>
  <c r="Z2580" i="44"/>
  <c r="Z2595" i="44"/>
  <c r="Z2611" i="44"/>
  <c r="Z2626" i="44"/>
  <c r="Z2641" i="44"/>
  <c r="Z2658" i="44"/>
  <c r="Z2674" i="44"/>
  <c r="Z2691" i="44"/>
  <c r="Z2707" i="44"/>
  <c r="Z2722" i="44"/>
  <c r="Z2737" i="44"/>
  <c r="Z2753" i="44"/>
  <c r="Z2769" i="44"/>
  <c r="Z2786" i="44"/>
  <c r="Z2799" i="44"/>
  <c r="Z2812" i="44"/>
  <c r="Z2826" i="44"/>
  <c r="Z2842" i="44"/>
  <c r="Z2858" i="44"/>
  <c r="Z2873" i="44"/>
  <c r="Z5" i="44"/>
  <c r="Z23" i="44"/>
  <c r="Z41" i="44"/>
  <c r="Z59" i="44"/>
  <c r="Z76" i="44"/>
  <c r="Z93" i="44"/>
  <c r="Z110" i="44"/>
  <c r="Z128" i="44"/>
  <c r="Z146" i="44"/>
  <c r="Z164" i="44"/>
  <c r="Z182" i="44"/>
  <c r="Z200" i="44"/>
  <c r="Z218" i="44"/>
  <c r="Z252" i="44"/>
  <c r="Z270" i="44"/>
  <c r="Z370" i="44"/>
  <c r="Z387" i="44"/>
  <c r="Z450" i="44"/>
  <c r="Z659" i="44"/>
  <c r="Z733" i="44"/>
  <c r="Z749" i="44"/>
  <c r="Z764" i="44"/>
  <c r="Z950" i="44"/>
  <c r="Z1032" i="44"/>
  <c r="Z1048" i="44"/>
  <c r="Z1065" i="44"/>
  <c r="Z1081" i="44"/>
  <c r="Z1097" i="44"/>
  <c r="Z1240" i="44"/>
  <c r="Z1255" i="44"/>
  <c r="Z6" i="44"/>
  <c r="Z24" i="44"/>
  <c r="Z42" i="44"/>
  <c r="Z60" i="44"/>
  <c r="Z77" i="44"/>
  <c r="Z94" i="44"/>
  <c r="Z111" i="44"/>
  <c r="Z129" i="44"/>
  <c r="Z147" i="44"/>
  <c r="Z165" i="44"/>
  <c r="Z183" i="44"/>
  <c r="Z201" i="44"/>
  <c r="Z219" i="44"/>
  <c r="Z235" i="44"/>
  <c r="Z253" i="44"/>
  <c r="Z271" i="44"/>
  <c r="Z288" i="44"/>
  <c r="Z304" i="44"/>
  <c r="Z321" i="44"/>
  <c r="Z338" i="44"/>
  <c r="Z354" i="44"/>
  <c r="Z371" i="44"/>
  <c r="Z388" i="44"/>
  <c r="Z404" i="44"/>
  <c r="Z420" i="44"/>
  <c r="Z435" i="44"/>
  <c r="Z451" i="44"/>
  <c r="Z467" i="44"/>
  <c r="Z483" i="44"/>
  <c r="Z499" i="44"/>
  <c r="Z515" i="44"/>
  <c r="Z531" i="44"/>
  <c r="Z548" i="44"/>
  <c r="Z562" i="44"/>
  <c r="Z578" i="44"/>
  <c r="Z594" i="44"/>
  <c r="Z609" i="44"/>
  <c r="Z622" i="44"/>
  <c r="Z635" i="44"/>
  <c r="Z649" i="44"/>
  <c r="Z660" i="44"/>
  <c r="Z674" i="44"/>
  <c r="Z687" i="44"/>
  <c r="Z701" i="44"/>
  <c r="Z717" i="44"/>
  <c r="Z734" i="44"/>
  <c r="Z750" i="44"/>
  <c r="Z765" i="44"/>
  <c r="Z780" i="44"/>
  <c r="Z796" i="44"/>
  <c r="Z812" i="44"/>
  <c r="Z828" i="44"/>
  <c r="Z844" i="44"/>
  <c r="Z859" i="44"/>
  <c r="Z875" i="44"/>
  <c r="Z890" i="44"/>
  <c r="Z905" i="44"/>
  <c r="Z920" i="44"/>
  <c r="Z935" i="44"/>
  <c r="Z951" i="44"/>
  <c r="Z968" i="44"/>
  <c r="Z985" i="44"/>
  <c r="Z1002" i="44"/>
  <c r="Z1017" i="44"/>
  <c r="Z1033" i="44"/>
  <c r="Z1049" i="44"/>
  <c r="Z1066" i="44"/>
  <c r="Z1082" i="44"/>
  <c r="Z1098" i="44"/>
  <c r="Z1115" i="44"/>
  <c r="Z1129" i="44"/>
  <c r="Z1146" i="44"/>
  <c r="Z1162" i="44"/>
  <c r="Z1177" i="44"/>
  <c r="Z1192" i="44"/>
  <c r="Z1207" i="44"/>
  <c r="Z1224" i="44"/>
  <c r="Z1271" i="44"/>
  <c r="Z1287" i="44"/>
  <c r="Z1302" i="44"/>
  <c r="Z1317" i="44"/>
  <c r="Z1330" i="44"/>
  <c r="Z1346" i="44"/>
  <c r="Z1361" i="44"/>
  <c r="Z1377" i="44"/>
  <c r="Z1393" i="44"/>
  <c r="Z1409" i="44"/>
  <c r="Z1425" i="44"/>
  <c r="Z1441" i="44"/>
  <c r="Z1457" i="44"/>
  <c r="Z1472" i="44"/>
  <c r="Z1487" i="44"/>
  <c r="Z1503" i="44"/>
  <c r="Z1519" i="44"/>
  <c r="Z1534" i="44"/>
  <c r="Z1550" i="44"/>
  <c r="Z1566" i="44"/>
  <c r="Z1582" i="44"/>
  <c r="Z1597" i="44"/>
  <c r="Z1612" i="44"/>
  <c r="Z1627" i="44"/>
  <c r="Z1642" i="44"/>
  <c r="Z1668" i="44"/>
  <c r="R1981" i="44"/>
  <c r="R2008" i="44"/>
  <c r="R1940" i="44"/>
  <c r="R1954" i="44"/>
  <c r="R1982" i="44"/>
  <c r="R1983" i="44"/>
  <c r="R2009" i="44"/>
  <c r="R2010" i="44"/>
  <c r="R2024" i="44"/>
  <c r="R2037" i="44"/>
  <c r="R2011" i="44"/>
  <c r="R2025" i="44"/>
  <c r="R2038" i="44"/>
  <c r="R2012" i="44"/>
  <c r="R2013" i="44"/>
  <c r="R2026" i="44"/>
  <c r="R2039" i="44"/>
  <c r="R2014" i="44"/>
  <c r="R2027" i="44"/>
  <c r="R2040" i="44"/>
  <c r="R2015" i="44"/>
  <c r="R2028" i="44"/>
  <c r="R2041" i="44"/>
  <c r="R2016" i="44"/>
  <c r="R2017" i="44"/>
  <c r="R2029" i="44"/>
  <c r="R2042" i="44"/>
  <c r="R2018" i="44"/>
  <c r="R2030" i="44"/>
  <c r="R2043" i="44"/>
  <c r="R2019" i="44"/>
  <c r="R2031" i="44"/>
  <c r="R2044" i="44"/>
  <c r="R2020" i="44"/>
  <c r="R2032" i="44"/>
  <c r="R2045" i="44"/>
  <c r="R2021" i="44"/>
  <c r="R2033" i="44"/>
  <c r="R2046" i="44"/>
  <c r="R2034" i="44"/>
  <c r="R2047" i="44"/>
  <c r="R2022" i="44"/>
  <c r="R2035" i="44"/>
  <c r="R2048" i="44"/>
  <c r="R2023" i="44"/>
  <c r="R2036" i="44"/>
  <c r="R2049" i="44"/>
  <c r="R2050" i="44"/>
  <c r="R2051" i="44"/>
  <c r="R2077" i="44"/>
  <c r="R2091" i="44"/>
  <c r="R2105" i="44"/>
  <c r="R2119" i="44"/>
  <c r="R2052" i="44"/>
  <c r="R2053" i="44"/>
  <c r="R2078" i="44"/>
  <c r="R2092" i="44"/>
  <c r="R2106" i="44"/>
  <c r="R2120" i="44"/>
  <c r="R2054" i="44"/>
  <c r="R2079" i="44"/>
  <c r="R2093" i="44"/>
  <c r="R2107" i="44"/>
  <c r="R2121" i="44"/>
  <c r="R2055" i="44"/>
  <c r="R2056" i="44"/>
  <c r="R2080" i="44"/>
  <c r="R2094" i="44"/>
  <c r="R2108" i="44"/>
  <c r="R2122" i="44"/>
  <c r="R2057" i="44"/>
  <c r="R2058" i="44"/>
  <c r="R2081" i="44"/>
  <c r="R2095" i="44"/>
  <c r="R2109" i="44"/>
  <c r="R2123" i="44"/>
  <c r="R2059" i="44"/>
  <c r="R2060" i="44"/>
  <c r="R2082" i="44"/>
  <c r="R2096" i="44"/>
  <c r="R2110" i="44"/>
  <c r="R2124" i="44"/>
  <c r="R2061" i="44"/>
  <c r="R2062" i="44"/>
  <c r="R2083" i="44"/>
  <c r="R2097" i="44"/>
  <c r="R2111" i="44"/>
  <c r="R2125" i="44"/>
  <c r="R2063" i="44"/>
  <c r="R2064" i="44"/>
  <c r="R2084" i="44"/>
  <c r="R2098" i="44"/>
  <c r="R2112" i="44"/>
  <c r="R2126" i="44"/>
  <c r="R2065" i="44"/>
  <c r="R2066" i="44"/>
  <c r="R2085" i="44"/>
  <c r="R2099" i="44"/>
  <c r="R2113" i="44"/>
  <c r="R2127" i="44"/>
  <c r="R2067" i="44"/>
  <c r="R2068" i="44"/>
  <c r="R2086" i="44"/>
  <c r="R2100" i="44"/>
  <c r="R2114" i="44"/>
  <c r="R2128" i="44"/>
  <c r="R2069" i="44"/>
  <c r="R2070" i="44"/>
  <c r="R2087" i="44"/>
  <c r="R2101" i="44"/>
  <c r="R2115" i="44"/>
  <c r="R2129" i="44"/>
  <c r="R2071" i="44"/>
  <c r="R2072" i="44"/>
  <c r="R2088" i="44"/>
  <c r="R2102" i="44"/>
  <c r="R2116" i="44"/>
  <c r="R2130" i="44"/>
  <c r="R2073" i="44"/>
  <c r="R2074" i="44"/>
  <c r="R2089" i="44"/>
  <c r="R2103" i="44"/>
  <c r="R2117" i="44"/>
  <c r="R2131" i="44"/>
  <c r="R2075" i="44"/>
  <c r="R2076" i="44"/>
  <c r="R2090" i="44"/>
  <c r="R2104" i="44"/>
  <c r="R2118" i="44"/>
  <c r="R2132" i="44"/>
  <c r="R2133" i="44"/>
  <c r="R2147" i="44"/>
  <c r="R2159" i="44"/>
  <c r="R2134" i="44"/>
  <c r="R2148" i="44"/>
  <c r="R2160" i="44"/>
  <c r="R2135" i="44"/>
  <c r="R2149" i="44"/>
  <c r="R2161" i="44"/>
  <c r="R2136" i="44"/>
  <c r="R2150" i="44"/>
  <c r="R2162" i="44"/>
  <c r="R2137" i="44"/>
  <c r="R2151" i="44"/>
  <c r="R2163" i="44"/>
  <c r="R2138" i="44"/>
  <c r="R2152" i="44"/>
  <c r="R2164" i="44"/>
  <c r="R2139" i="44"/>
  <c r="R2165" i="44"/>
  <c r="R2140" i="44"/>
  <c r="R2153" i="44"/>
  <c r="R2166" i="44"/>
  <c r="R2141" i="44"/>
  <c r="R2154" i="44"/>
  <c r="R2167" i="44"/>
  <c r="R2142" i="44"/>
  <c r="R2155" i="44"/>
  <c r="R2168" i="44"/>
  <c r="R2143" i="44"/>
  <c r="R2156" i="44"/>
  <c r="R2169" i="44"/>
  <c r="R2144" i="44"/>
  <c r="R2157" i="44"/>
  <c r="R2170" i="44"/>
  <c r="R2145" i="44"/>
  <c r="R2158" i="44"/>
  <c r="R2171" i="44"/>
  <c r="R2146" i="44"/>
  <c r="R2172" i="44"/>
  <c r="R2185" i="44"/>
  <c r="R2199" i="44"/>
  <c r="R2214" i="44"/>
  <c r="R2229" i="44"/>
  <c r="R2230" i="44"/>
  <c r="R2173" i="44"/>
  <c r="R2186" i="44"/>
  <c r="R2200" i="44"/>
  <c r="R2215" i="44"/>
  <c r="R2231" i="44"/>
  <c r="R2232" i="44"/>
  <c r="R2174" i="44"/>
  <c r="R2201" i="44"/>
  <c r="R2216" i="44"/>
  <c r="R2233" i="44"/>
  <c r="R2234" i="44"/>
  <c r="R2175" i="44"/>
  <c r="R2187" i="44"/>
  <c r="R2202" i="44"/>
  <c r="R2217" i="44"/>
  <c r="R2235" i="44"/>
  <c r="R2176" i="44"/>
  <c r="R2188" i="44"/>
  <c r="R2203" i="44"/>
  <c r="R2218" i="44"/>
  <c r="R2236" i="44"/>
  <c r="R2237" i="44"/>
  <c r="R2177" i="44"/>
  <c r="R2189" i="44"/>
  <c r="R2204" i="44"/>
  <c r="R2219" i="44"/>
  <c r="R2238" i="44"/>
  <c r="R2239" i="44"/>
  <c r="R2178" i="44"/>
  <c r="R2190" i="44"/>
  <c r="R2205" i="44"/>
  <c r="R2220" i="44"/>
  <c r="R2240" i="44"/>
  <c r="R2241" i="44"/>
  <c r="R2179" i="44"/>
  <c r="R2191" i="44"/>
  <c r="R2206" i="44"/>
  <c r="R2221" i="44"/>
  <c r="R2242" i="44"/>
  <c r="R2243" i="44"/>
  <c r="R2180" i="44"/>
  <c r="R2192" i="44"/>
  <c r="R2207" i="44"/>
  <c r="R2222" i="44"/>
  <c r="R2244" i="44"/>
  <c r="R2245" i="44"/>
  <c r="R2181" i="44"/>
  <c r="R2193" i="44"/>
  <c r="R2208" i="44"/>
  <c r="R2223" i="44"/>
  <c r="R2246" i="44"/>
  <c r="R2247" i="44"/>
  <c r="R2182" i="44"/>
  <c r="R2194" i="44"/>
  <c r="R2209" i="44"/>
  <c r="R2224" i="44"/>
  <c r="R2248" i="44"/>
  <c r="R2249" i="44"/>
  <c r="R2183" i="44"/>
  <c r="R2195" i="44"/>
  <c r="R2210" i="44"/>
  <c r="R2225" i="44"/>
  <c r="R2250" i="44"/>
  <c r="R2251" i="44"/>
  <c r="R2196" i="44"/>
  <c r="R2211" i="44"/>
  <c r="R2226" i="44"/>
  <c r="R2252" i="44"/>
  <c r="R2197" i="44"/>
  <c r="R2212" i="44"/>
  <c r="R2227" i="44"/>
  <c r="R2253" i="44"/>
  <c r="R2254" i="44"/>
  <c r="R2184" i="44"/>
  <c r="R2198" i="44"/>
  <c r="R2213" i="44"/>
  <c r="R2228" i="44"/>
  <c r="R2255" i="44"/>
  <c r="R2256" i="44"/>
  <c r="R2257" i="44"/>
  <c r="R2271" i="44"/>
  <c r="R2258" i="44"/>
  <c r="R2272" i="44"/>
  <c r="R2259" i="44"/>
  <c r="R2273" i="44"/>
  <c r="R2260" i="44"/>
  <c r="R2274" i="44"/>
  <c r="R2261" i="44"/>
  <c r="R2275" i="44"/>
  <c r="R2262" i="44"/>
  <c r="R2276" i="44"/>
  <c r="R2263" i="44"/>
  <c r="R2277" i="44"/>
  <c r="R2264" i="44"/>
  <c r="R2278" i="44"/>
  <c r="R2265" i="44"/>
  <c r="R2279" i="44"/>
  <c r="R2266" i="44"/>
  <c r="R2280" i="44"/>
  <c r="R2267" i="44"/>
  <c r="R2281" i="44"/>
  <c r="R2268" i="44"/>
  <c r="R2282" i="44"/>
  <c r="R2269" i="44"/>
  <c r="R2283" i="44"/>
  <c r="R2270" i="44"/>
  <c r="R2284" i="44"/>
  <c r="R2285" i="44"/>
  <c r="R2286" i="44"/>
  <c r="R2287" i="44"/>
  <c r="R2288" i="44"/>
  <c r="R2289" i="44"/>
  <c r="R2290" i="44"/>
  <c r="R2291" i="44"/>
  <c r="R2292" i="44"/>
  <c r="R2293" i="44"/>
  <c r="R2294" i="44"/>
  <c r="R2295" i="44"/>
  <c r="R2296" i="44"/>
  <c r="R2311" i="44"/>
  <c r="R2325" i="44"/>
  <c r="R2339" i="44"/>
  <c r="R2352" i="44"/>
  <c r="R2365" i="44"/>
  <c r="R2366" i="44"/>
  <c r="R2297" i="44"/>
  <c r="R2312" i="44"/>
  <c r="R2326" i="44"/>
  <c r="R2340" i="44"/>
  <c r="R2353" i="44"/>
  <c r="R2367" i="44"/>
  <c r="R2368" i="44"/>
  <c r="R2298" i="44"/>
  <c r="R2313" i="44"/>
  <c r="R2327" i="44"/>
  <c r="R2341" i="44"/>
  <c r="R2354" i="44"/>
  <c r="R2369" i="44"/>
  <c r="R2370" i="44"/>
  <c r="R2299" i="44"/>
  <c r="R2314" i="44"/>
  <c r="R2328" i="44"/>
  <c r="R2342" i="44"/>
  <c r="R2355" i="44"/>
  <c r="R2371" i="44"/>
  <c r="R2372" i="44"/>
  <c r="R2300" i="44"/>
  <c r="R2315" i="44"/>
  <c r="R2329" i="44"/>
  <c r="R2343" i="44"/>
  <c r="R2356" i="44"/>
  <c r="R2373" i="44"/>
  <c r="R2374" i="44"/>
  <c r="R2301" i="44"/>
  <c r="R2316" i="44"/>
  <c r="R2330" i="44"/>
  <c r="R2344" i="44"/>
  <c r="R2357" i="44"/>
  <c r="R2375" i="44"/>
  <c r="R2376" i="44"/>
  <c r="R2317" i="44"/>
  <c r="R2331" i="44"/>
  <c r="R2302" i="44"/>
  <c r="R2318" i="44"/>
  <c r="R2332" i="44"/>
  <c r="R2345" i="44"/>
  <c r="R2358" i="44"/>
  <c r="R2377" i="44"/>
  <c r="R2378" i="44"/>
  <c r="R2303" i="44"/>
  <c r="R2319" i="44"/>
  <c r="R2333" i="44"/>
  <c r="R2346" i="44"/>
  <c r="R2359" i="44"/>
  <c r="R2379" i="44"/>
  <c r="R2380" i="44"/>
  <c r="R2304" i="44"/>
  <c r="R2320" i="44"/>
  <c r="R2334" i="44"/>
  <c r="R2347" i="44"/>
  <c r="R2360" i="44"/>
  <c r="R2381" i="44"/>
  <c r="R2382" i="44"/>
  <c r="R2305" i="44"/>
  <c r="R2321" i="44"/>
  <c r="R2335" i="44"/>
  <c r="R2348" i="44"/>
  <c r="R2361" i="44"/>
  <c r="R2383" i="44"/>
  <c r="R2384" i="44"/>
  <c r="R2306" i="44"/>
  <c r="R2349" i="44"/>
  <c r="R2362" i="44"/>
  <c r="R2385" i="44"/>
  <c r="R2386" i="44"/>
  <c r="R2307" i="44"/>
  <c r="R2336" i="44"/>
  <c r="R2387" i="44"/>
  <c r="R2388" i="44"/>
  <c r="R2308" i="44"/>
  <c r="R2322" i="44"/>
  <c r="R2337" i="44"/>
  <c r="R2309" i="44"/>
  <c r="R2323" i="44"/>
  <c r="R2350" i="44"/>
  <c r="R2363" i="44"/>
  <c r="R2310" i="44"/>
  <c r="R2324" i="44"/>
  <c r="R2338" i="44"/>
  <c r="R2351" i="44"/>
  <c r="R2364" i="44"/>
  <c r="R2389" i="44"/>
  <c r="R2390" i="44"/>
  <c r="R2391" i="44"/>
  <c r="R2404" i="44"/>
  <c r="R2416" i="44"/>
  <c r="R2431" i="44"/>
  <c r="R2392" i="44"/>
  <c r="R2405" i="44"/>
  <c r="R2417" i="44"/>
  <c r="R2432" i="44"/>
  <c r="R2393" i="44"/>
  <c r="R2406" i="44"/>
  <c r="R2418" i="44"/>
  <c r="R2394" i="44"/>
  <c r="R2407" i="44"/>
  <c r="R2419" i="44"/>
  <c r="R2433" i="44"/>
  <c r="R2395" i="44"/>
  <c r="R2408" i="44"/>
  <c r="R2420" i="44"/>
  <c r="R2434" i="44"/>
  <c r="R2421" i="44"/>
  <c r="R2396" i="44"/>
  <c r="R2409" i="44"/>
  <c r="R2422" i="44"/>
  <c r="R2435" i="44"/>
  <c r="R2397" i="44"/>
  <c r="R2410" i="44"/>
  <c r="R2423" i="44"/>
  <c r="R2436" i="44"/>
  <c r="R2398" i="44"/>
  <c r="R2411" i="44"/>
  <c r="R2424" i="44"/>
  <c r="R2437" i="44"/>
  <c r="R2399" i="44"/>
  <c r="R2412" i="44"/>
  <c r="R2425" i="44"/>
  <c r="R2438" i="44"/>
  <c r="R2400" i="44"/>
  <c r="R2426" i="44"/>
  <c r="R2427" i="44"/>
  <c r="R2401" i="44"/>
  <c r="R2413" i="44"/>
  <c r="R2428" i="44"/>
  <c r="R2439" i="44"/>
  <c r="R2402" i="44"/>
  <c r="R2414" i="44"/>
  <c r="R2429" i="44"/>
  <c r="R2440" i="44"/>
  <c r="R2403" i="44"/>
  <c r="R2415" i="44"/>
  <c r="R2430" i="44"/>
  <c r="R2441" i="44"/>
  <c r="R2452" i="44"/>
  <c r="R2465" i="44"/>
  <c r="R2477" i="44"/>
  <c r="R2490" i="44"/>
  <c r="R2442" i="44"/>
  <c r="R2453" i="44"/>
  <c r="R2466" i="44"/>
  <c r="R2478" i="44"/>
  <c r="R2491" i="44"/>
  <c r="R2454" i="44"/>
  <c r="R2467" i="44"/>
  <c r="R2479" i="44"/>
  <c r="R2492" i="44"/>
  <c r="R2443" i="44"/>
  <c r="R2455" i="44"/>
  <c r="R2468" i="44"/>
  <c r="R2480" i="44"/>
  <c r="R2493" i="44"/>
  <c r="R2444" i="44"/>
  <c r="R2456" i="44"/>
  <c r="R2469" i="44"/>
  <c r="R2481" i="44"/>
  <c r="R2494" i="44"/>
  <c r="R2445" i="44"/>
  <c r="R2457" i="44"/>
  <c r="R2470" i="44"/>
  <c r="R2482" i="44"/>
  <c r="R2495" i="44"/>
  <c r="R2458" i="44"/>
  <c r="R2471" i="44"/>
  <c r="R2483" i="44"/>
  <c r="R2496" i="44"/>
  <c r="R2446" i="44"/>
  <c r="R2459" i="44"/>
  <c r="R2472" i="44"/>
  <c r="R2484" i="44"/>
  <c r="R2497" i="44"/>
  <c r="R2447" i="44"/>
  <c r="R2460" i="44"/>
  <c r="R2473" i="44"/>
  <c r="R2485" i="44"/>
  <c r="R2498" i="44"/>
  <c r="R2448" i="44"/>
  <c r="R2461" i="44"/>
  <c r="R2474" i="44"/>
  <c r="R2486" i="44"/>
  <c r="R2499" i="44"/>
  <c r="R2449" i="44"/>
  <c r="R2462" i="44"/>
  <c r="R2475" i="44"/>
  <c r="R2487" i="44"/>
  <c r="R2500" i="44"/>
  <c r="R2450" i="44"/>
  <c r="R2463" i="44"/>
  <c r="R2476" i="44"/>
  <c r="R2488" i="44"/>
  <c r="R2501" i="44"/>
  <c r="R2502" i="44"/>
  <c r="R2451" i="44"/>
  <c r="R2464" i="44"/>
  <c r="R2489" i="44"/>
  <c r="R1515" i="44"/>
  <c r="R1516" i="44"/>
  <c r="R1540" i="44"/>
  <c r="R1556" i="44"/>
  <c r="R1557" i="44"/>
  <c r="R1503" i="44"/>
  <c r="R1517" i="44"/>
  <c r="R1518" i="44"/>
  <c r="R1541" i="44"/>
  <c r="R1558" i="44"/>
  <c r="R1559" i="44"/>
  <c r="R1542" i="44"/>
  <c r="R1560" i="44"/>
  <c r="R1561" i="44"/>
  <c r="R1504" i="44"/>
  <c r="R1519" i="44"/>
  <c r="R1520" i="44"/>
  <c r="R1543" i="44"/>
  <c r="R1562" i="44"/>
  <c r="R1563" i="44"/>
  <c r="R1505" i="44"/>
  <c r="R1521" i="44"/>
  <c r="R1522" i="44"/>
  <c r="R1544" i="44"/>
  <c r="R1564" i="44"/>
  <c r="R1565" i="44"/>
  <c r="R1523" i="44"/>
  <c r="R1524" i="44"/>
  <c r="R1545" i="44"/>
  <c r="R1566" i="44"/>
  <c r="R1567" i="44"/>
  <c r="R1506" i="44"/>
  <c r="R1525" i="44"/>
  <c r="R1546" i="44"/>
  <c r="R1568" i="44"/>
  <c r="R1547" i="44"/>
  <c r="R1569" i="44"/>
  <c r="R1570" i="44"/>
  <c r="R1507" i="44"/>
  <c r="R1526" i="44"/>
  <c r="R1527" i="44"/>
  <c r="R1548" i="44"/>
  <c r="R1571" i="44"/>
  <c r="R1572" i="44"/>
  <c r="R1508" i="44"/>
  <c r="R1528" i="44"/>
  <c r="R1529" i="44"/>
  <c r="R1549" i="44"/>
  <c r="R1573" i="44"/>
  <c r="R1574" i="44"/>
  <c r="R1509" i="44"/>
  <c r="R1530" i="44"/>
  <c r="R1531" i="44"/>
  <c r="R1550" i="44"/>
  <c r="R1575" i="44"/>
  <c r="R1510" i="44"/>
  <c r="R1532" i="44"/>
  <c r="R1533" i="44"/>
  <c r="R1551" i="44"/>
  <c r="R1576" i="44"/>
  <c r="R1577" i="44"/>
  <c r="R1511" i="44"/>
  <c r="R1534" i="44"/>
  <c r="R1552" i="44"/>
  <c r="R1512" i="44"/>
  <c r="R1535" i="44"/>
  <c r="R1553" i="44"/>
  <c r="R1578" i="44"/>
  <c r="R1513" i="44"/>
  <c r="R1536" i="44"/>
  <c r="R1537" i="44"/>
  <c r="R1554" i="44"/>
  <c r="R1579" i="44"/>
  <c r="R1580" i="44"/>
  <c r="R1514" i="44"/>
  <c r="R1538" i="44"/>
  <c r="R1539" i="44"/>
  <c r="R1555" i="44"/>
  <c r="R1581" i="44"/>
  <c r="R1582" i="44"/>
  <c r="R1583" i="44"/>
  <c r="R1597" i="44"/>
  <c r="R1610" i="44"/>
  <c r="R1584" i="44"/>
  <c r="R1598" i="44"/>
  <c r="R1611" i="44"/>
  <c r="R1585" i="44"/>
  <c r="R1599" i="44"/>
  <c r="R1612" i="44"/>
  <c r="R1586" i="44"/>
  <c r="R1600" i="44"/>
  <c r="R1613" i="44"/>
  <c r="R1587" i="44"/>
  <c r="R1601" i="44"/>
  <c r="R1614" i="44"/>
  <c r="R1588" i="44"/>
  <c r="R1602" i="44"/>
  <c r="R1615" i="44"/>
  <c r="R1589" i="44"/>
  <c r="R1616" i="44"/>
  <c r="R1590" i="44"/>
  <c r="R1603" i="44"/>
  <c r="R1617" i="44"/>
  <c r="R1591" i="44"/>
  <c r="R1604" i="44"/>
  <c r="R1618" i="44"/>
  <c r="R1592" i="44"/>
  <c r="R1605" i="44"/>
  <c r="R1619" i="44"/>
  <c r="R1593" i="44"/>
  <c r="R1606" i="44"/>
  <c r="R1620" i="44"/>
  <c r="R1594" i="44"/>
  <c r="R1607" i="44"/>
  <c r="R1621" i="44"/>
  <c r="R1622" i="44"/>
  <c r="R1595" i="44"/>
  <c r="R1608" i="44"/>
  <c r="R1623" i="44"/>
  <c r="R1596" i="44"/>
  <c r="R1609" i="44"/>
  <c r="R1624" i="44"/>
  <c r="R1625" i="44"/>
  <c r="R1640" i="44"/>
  <c r="R1655" i="44"/>
  <c r="R1668" i="44"/>
  <c r="R1626" i="44"/>
  <c r="R1641" i="44"/>
  <c r="R1656" i="44"/>
  <c r="R1669" i="44"/>
  <c r="R1627" i="44"/>
  <c r="R1642" i="44"/>
  <c r="R1657" i="44"/>
  <c r="R1670" i="44"/>
  <c r="R1628" i="44"/>
  <c r="R1643" i="44"/>
  <c r="R1658" i="44"/>
  <c r="R1671" i="44"/>
  <c r="R1629" i="44"/>
  <c r="R1644" i="44"/>
  <c r="R1659" i="44"/>
  <c r="R1672" i="44"/>
  <c r="R1630" i="44"/>
  <c r="R1645" i="44"/>
  <c r="R1660" i="44"/>
  <c r="R1673" i="44"/>
  <c r="R1631" i="44"/>
  <c r="R1646" i="44"/>
  <c r="R1661" i="44"/>
  <c r="R1674" i="44"/>
  <c r="R1632" i="44"/>
  <c r="R1647" i="44"/>
  <c r="R1662" i="44"/>
  <c r="R1675" i="44"/>
  <c r="R1633" i="44"/>
  <c r="R1648" i="44"/>
  <c r="R1663" i="44"/>
  <c r="R1676" i="44"/>
  <c r="R1634" i="44"/>
  <c r="R1649" i="44"/>
  <c r="R1664" i="44"/>
  <c r="R1677" i="44"/>
  <c r="R1635" i="44"/>
  <c r="R1650" i="44"/>
  <c r="R1665" i="44"/>
  <c r="R1678" i="44"/>
  <c r="R1636" i="44"/>
  <c r="R1651" i="44"/>
  <c r="R1666" i="44"/>
  <c r="R1679" i="44"/>
  <c r="R1637" i="44"/>
  <c r="R1652" i="44"/>
  <c r="R1680" i="44"/>
  <c r="R1638" i="44"/>
  <c r="R1653" i="44"/>
  <c r="R1667" i="44"/>
  <c r="R1681" i="44"/>
  <c r="R1639" i="44"/>
  <c r="R1654" i="44"/>
  <c r="R1682" i="44"/>
  <c r="R1683" i="44"/>
  <c r="R1684" i="44"/>
  <c r="R1707" i="44"/>
  <c r="R1720" i="44"/>
  <c r="R1721" i="44"/>
  <c r="R1742" i="44"/>
  <c r="R1743" i="44"/>
  <c r="R1767" i="44"/>
  <c r="R1685" i="44"/>
  <c r="R1686" i="44"/>
  <c r="R1708" i="44"/>
  <c r="R1722" i="44"/>
  <c r="R1723" i="44"/>
  <c r="R1744" i="44"/>
  <c r="R1745" i="44"/>
  <c r="R1768" i="44"/>
  <c r="R1687" i="44"/>
  <c r="R1688" i="44"/>
  <c r="R1709" i="44"/>
  <c r="R1724" i="44"/>
  <c r="R1725" i="44"/>
  <c r="R1746" i="44"/>
  <c r="R1747" i="44"/>
  <c r="R1769" i="44"/>
  <c r="R1689" i="44"/>
  <c r="R1690" i="44"/>
  <c r="R1710" i="44"/>
  <c r="R1726" i="44"/>
  <c r="R1727" i="44"/>
  <c r="R1748" i="44"/>
  <c r="R1749" i="44"/>
  <c r="R1770" i="44"/>
  <c r="R1691" i="44"/>
  <c r="R1692" i="44"/>
  <c r="R1711" i="44"/>
  <c r="R1728" i="44"/>
  <c r="R1729" i="44"/>
  <c r="R1750" i="44"/>
  <c r="R1751" i="44"/>
  <c r="R1771" i="44"/>
  <c r="R1693" i="44"/>
  <c r="R1694" i="44"/>
  <c r="R1712" i="44"/>
  <c r="R1730" i="44"/>
  <c r="R1731" i="44"/>
  <c r="R1752" i="44"/>
  <c r="R1753" i="44"/>
  <c r="R1772" i="44"/>
  <c r="R1695" i="44"/>
  <c r="R1696" i="44"/>
  <c r="R1713" i="44"/>
  <c r="R1732" i="44"/>
  <c r="R1733" i="44"/>
  <c r="R1754" i="44"/>
  <c r="R1755" i="44"/>
  <c r="R1773" i="44"/>
  <c r="R1697" i="44"/>
  <c r="R1698" i="44"/>
  <c r="R1714" i="44"/>
  <c r="R1734" i="44"/>
  <c r="R1735" i="44"/>
  <c r="R1756" i="44"/>
  <c r="R1757" i="44"/>
  <c r="R1774" i="44"/>
  <c r="R1699" i="44"/>
  <c r="R1700" i="44"/>
  <c r="R1715" i="44"/>
  <c r="R1736" i="44"/>
  <c r="R1737" i="44"/>
  <c r="R1758" i="44"/>
  <c r="R1759" i="44"/>
  <c r="R1775" i="44"/>
  <c r="R1701" i="44"/>
  <c r="R1716" i="44"/>
  <c r="R1760" i="44"/>
  <c r="R1761" i="44"/>
  <c r="R1776" i="44"/>
  <c r="R1702" i="44"/>
  <c r="R1703" i="44"/>
  <c r="R1717" i="44"/>
  <c r="R1738" i="44"/>
  <c r="R1739" i="44"/>
  <c r="R1762" i="44"/>
  <c r="R1763" i="44"/>
  <c r="R1777" i="44"/>
  <c r="R1704" i="44"/>
  <c r="R1705" i="44"/>
  <c r="R1718" i="44"/>
  <c r="R1740" i="44"/>
  <c r="R1764" i="44"/>
  <c r="R1765" i="44"/>
  <c r="R1778" i="44"/>
  <c r="R1706" i="44"/>
  <c r="R1719" i="44"/>
  <c r="R1741" i="44"/>
  <c r="R1766" i="44"/>
  <c r="R1779" i="44"/>
  <c r="R1780" i="44"/>
  <c r="R1792" i="44"/>
  <c r="R1793" i="44"/>
  <c r="R1816" i="44"/>
  <c r="R1827" i="44"/>
  <c r="R1839" i="44"/>
  <c r="R1781" i="44"/>
  <c r="R1794" i="44"/>
  <c r="R1795" i="44"/>
  <c r="R1828" i="44"/>
  <c r="R1840" i="44"/>
  <c r="R1782" i="44"/>
  <c r="R1796" i="44"/>
  <c r="R1797" i="44"/>
  <c r="R1817" i="44"/>
  <c r="R1829" i="44"/>
  <c r="R1841" i="44"/>
  <c r="R1783" i="44"/>
  <c r="R1798" i="44"/>
  <c r="R1799" i="44"/>
  <c r="R1818" i="44"/>
  <c r="R1830" i="44"/>
  <c r="R1842" i="44"/>
  <c r="R1784" i="44"/>
  <c r="R1800" i="44"/>
  <c r="R1801" i="44"/>
  <c r="R1819" i="44"/>
  <c r="R1831" i="44"/>
  <c r="R1843" i="44"/>
  <c r="R1785" i="44"/>
  <c r="R1802" i="44"/>
  <c r="R1803" i="44"/>
  <c r="R1820" i="44"/>
  <c r="R1832" i="44"/>
  <c r="R1844" i="44"/>
  <c r="R1786" i="44"/>
  <c r="R1804" i="44"/>
  <c r="R1805" i="44"/>
  <c r="R1821" i="44"/>
  <c r="R1833" i="44"/>
  <c r="R1845" i="44"/>
  <c r="R1787" i="44"/>
  <c r="R1806" i="44"/>
  <c r="R1807" i="44"/>
  <c r="R1822" i="44"/>
  <c r="R1834" i="44"/>
  <c r="R1846" i="44"/>
  <c r="R1788" i="44"/>
  <c r="R1808" i="44"/>
  <c r="R1809" i="44"/>
  <c r="R1823" i="44"/>
  <c r="R1835" i="44"/>
  <c r="R1847" i="44"/>
  <c r="R1789" i="44"/>
  <c r="R1810" i="44"/>
  <c r="R1811" i="44"/>
  <c r="R1824" i="44"/>
  <c r="R1836" i="44"/>
  <c r="R1848" i="44"/>
  <c r="R1790" i="44"/>
  <c r="R1812" i="44"/>
  <c r="R1813" i="44"/>
  <c r="R1825" i="44"/>
  <c r="R1837" i="44"/>
  <c r="R1849" i="44"/>
  <c r="R1791" i="44"/>
  <c r="R1814" i="44"/>
  <c r="R1815" i="44"/>
  <c r="R1826" i="44"/>
  <c r="R1838" i="44"/>
  <c r="R1850" i="44"/>
  <c r="R1851" i="44"/>
  <c r="R1852" i="44"/>
  <c r="R1877" i="44"/>
  <c r="R1890" i="44"/>
  <c r="R1903" i="44"/>
  <c r="R1915" i="44"/>
  <c r="R1853" i="44"/>
  <c r="R1854" i="44"/>
  <c r="R1878" i="44"/>
  <c r="R1891" i="44"/>
  <c r="R1904" i="44"/>
  <c r="R1916" i="44"/>
  <c r="R1855" i="44"/>
  <c r="R1856" i="44"/>
  <c r="R1879" i="44"/>
  <c r="R1892" i="44"/>
  <c r="R1905" i="44"/>
  <c r="R1917" i="44"/>
  <c r="R1857" i="44"/>
  <c r="R1858" i="44"/>
  <c r="R1880" i="44"/>
  <c r="R1893" i="44"/>
  <c r="R1906" i="44"/>
  <c r="R1918" i="44"/>
  <c r="R1859" i="44"/>
  <c r="R1860" i="44"/>
  <c r="R1881" i="44"/>
  <c r="R1894" i="44"/>
  <c r="R1907" i="44"/>
  <c r="R1919" i="44"/>
  <c r="R1861" i="44"/>
  <c r="R1862" i="44"/>
  <c r="R1882" i="44"/>
  <c r="R1895" i="44"/>
  <c r="R1908" i="44"/>
  <c r="R1920" i="44"/>
  <c r="R1863" i="44"/>
  <c r="R1864" i="44"/>
  <c r="R1883" i="44"/>
  <c r="R1896" i="44"/>
  <c r="R1909" i="44"/>
  <c r="R1921" i="44"/>
  <c r="R1865" i="44"/>
  <c r="R1866" i="44"/>
  <c r="R1884" i="44"/>
  <c r="R1897" i="44"/>
  <c r="R1910" i="44"/>
  <c r="R1922" i="44"/>
  <c r="R1867" i="44"/>
  <c r="R1868" i="44"/>
  <c r="R1885" i="44"/>
  <c r="R1898" i="44"/>
  <c r="R1911" i="44"/>
  <c r="R1923" i="44"/>
  <c r="R1869" i="44"/>
  <c r="R1870" i="44"/>
  <c r="R1886" i="44"/>
  <c r="R1899" i="44"/>
  <c r="R1912" i="44"/>
  <c r="R1924" i="44"/>
  <c r="R1871" i="44"/>
  <c r="R1872" i="44"/>
  <c r="R1887" i="44"/>
  <c r="R1900" i="44"/>
  <c r="R1913" i="44"/>
  <c r="R1925" i="44"/>
  <c r="R1873" i="44"/>
  <c r="R1874" i="44"/>
  <c r="R1888" i="44"/>
  <c r="R1901" i="44"/>
  <c r="R1914" i="44"/>
  <c r="R1926" i="44"/>
  <c r="R1875" i="44"/>
  <c r="R1876" i="44"/>
  <c r="R1889" i="44"/>
  <c r="R1902" i="44"/>
  <c r="R1927" i="44"/>
  <c r="R1928" i="44"/>
  <c r="R1941" i="44"/>
  <c r="R1955" i="44"/>
  <c r="R1956" i="44"/>
  <c r="R1984" i="44"/>
  <c r="R1996" i="44"/>
  <c r="R1929" i="44"/>
  <c r="R1942" i="44"/>
  <c r="R1957" i="44"/>
  <c r="R1958" i="44"/>
  <c r="R1985" i="44"/>
  <c r="R1997" i="44"/>
  <c r="R1943" i="44"/>
  <c r="R1959" i="44"/>
  <c r="R1960" i="44"/>
  <c r="R1986" i="44"/>
  <c r="R1998" i="44"/>
  <c r="R1930" i="44"/>
  <c r="R1944" i="44"/>
  <c r="R1961" i="44"/>
  <c r="R1962" i="44"/>
  <c r="R1987" i="44"/>
  <c r="R1999" i="44"/>
  <c r="R1931" i="44"/>
  <c r="R1945" i="44"/>
  <c r="R1963" i="44"/>
  <c r="R1964" i="44"/>
  <c r="R1988" i="44"/>
  <c r="R2000" i="44"/>
  <c r="R1932" i="44"/>
  <c r="R1946" i="44"/>
  <c r="R1965" i="44"/>
  <c r="R1989" i="44"/>
  <c r="R2001" i="44"/>
  <c r="R1966" i="44"/>
  <c r="R1967" i="44"/>
  <c r="R1990" i="44"/>
  <c r="R2002" i="44"/>
  <c r="R1933" i="44"/>
  <c r="R1947" i="44"/>
  <c r="R1968" i="44"/>
  <c r="R1969" i="44"/>
  <c r="R1991" i="44"/>
  <c r="R2003" i="44"/>
  <c r="R1934" i="44"/>
  <c r="R1948" i="44"/>
  <c r="R1970" i="44"/>
  <c r="R1971" i="44"/>
  <c r="R1992" i="44"/>
  <c r="R2004" i="44"/>
  <c r="R1935" i="44"/>
  <c r="R1949" i="44"/>
  <c r="R1972" i="44"/>
  <c r="R1973" i="44"/>
  <c r="R1993" i="44"/>
  <c r="R2005" i="44"/>
  <c r="R1936" i="44"/>
  <c r="R1950" i="44"/>
  <c r="R1974" i="44"/>
  <c r="R1975" i="44"/>
  <c r="R1994" i="44"/>
  <c r="R2006" i="44"/>
  <c r="R1937" i="44"/>
  <c r="R1951" i="44"/>
  <c r="R1976" i="44"/>
  <c r="R1977" i="44"/>
  <c r="R1995" i="44"/>
  <c r="R2007" i="44"/>
  <c r="R1938" i="44"/>
  <c r="R1952" i="44"/>
  <c r="R1978" i="44"/>
  <c r="R1979" i="44"/>
  <c r="R1939" i="44"/>
  <c r="R1953" i="44"/>
  <c r="R1980" i="44"/>
  <c r="R973" i="44"/>
  <c r="R974" i="44"/>
  <c r="R992" i="44"/>
  <c r="R1007" i="44"/>
  <c r="R1024" i="44"/>
  <c r="R975" i="44"/>
  <c r="R976" i="44"/>
  <c r="R993" i="44"/>
  <c r="R1008" i="44"/>
  <c r="R1025" i="44"/>
  <c r="R1009" i="44"/>
  <c r="R1026" i="44"/>
  <c r="R977" i="44"/>
  <c r="R978" i="44"/>
  <c r="R994" i="44"/>
  <c r="R1010" i="44"/>
  <c r="R979" i="44"/>
  <c r="R980" i="44"/>
  <c r="R995" i="44"/>
  <c r="R1011" i="44"/>
  <c r="R1027" i="44"/>
  <c r="R981" i="44"/>
  <c r="R982" i="44"/>
  <c r="R996" i="44"/>
  <c r="R1012" i="44"/>
  <c r="R1028" i="44"/>
  <c r="R1029" i="44"/>
  <c r="R1045" i="44"/>
  <c r="R1059" i="44"/>
  <c r="R1075" i="44"/>
  <c r="R1030" i="44"/>
  <c r="R1046" i="44"/>
  <c r="R1060" i="44"/>
  <c r="R1076" i="44"/>
  <c r="R1031" i="44"/>
  <c r="R1032" i="44"/>
  <c r="R1047" i="44"/>
  <c r="R1061" i="44"/>
  <c r="R1077" i="44"/>
  <c r="R1033" i="44"/>
  <c r="R1048" i="44"/>
  <c r="R1062" i="44"/>
  <c r="R1078" i="44"/>
  <c r="R1034" i="44"/>
  <c r="R1049" i="44"/>
  <c r="R1063" i="44"/>
  <c r="R1079" i="44"/>
  <c r="R1035" i="44"/>
  <c r="R1050" i="44"/>
  <c r="R1064" i="44"/>
  <c r="R1080" i="44"/>
  <c r="R1036" i="44"/>
  <c r="R1051" i="44"/>
  <c r="R1065" i="44"/>
  <c r="R1081" i="44"/>
  <c r="R1037" i="44"/>
  <c r="R1052" i="44"/>
  <c r="R1066" i="44"/>
  <c r="R1082" i="44"/>
  <c r="R1038" i="44"/>
  <c r="R1053" i="44"/>
  <c r="R1067" i="44"/>
  <c r="R1083" i="44"/>
  <c r="R1039" i="44"/>
  <c r="R1054" i="44"/>
  <c r="R1068" i="44"/>
  <c r="R1084" i="44"/>
  <c r="R1040" i="44"/>
  <c r="R1055" i="44"/>
  <c r="R1069" i="44"/>
  <c r="R1085" i="44"/>
  <c r="R1041" i="44"/>
  <c r="R1056" i="44"/>
  <c r="R1070" i="44"/>
  <c r="R1086" i="44"/>
  <c r="R1042" i="44"/>
  <c r="R1043" i="44"/>
  <c r="R1057" i="44"/>
  <c r="R1071" i="44"/>
  <c r="R1087" i="44"/>
  <c r="R1072" i="44"/>
  <c r="R1088" i="44"/>
  <c r="R1044" i="44"/>
  <c r="R1058" i="44"/>
  <c r="R1073" i="44"/>
  <c r="R1089" i="44"/>
  <c r="R1074" i="44"/>
  <c r="R1090" i="44"/>
  <c r="R1106" i="44"/>
  <c r="R1120" i="44"/>
  <c r="R1091" i="44"/>
  <c r="R1121" i="44"/>
  <c r="R1092" i="44"/>
  <c r="R1107" i="44"/>
  <c r="R1122" i="44"/>
  <c r="R1093" i="44"/>
  <c r="R1108" i="44"/>
  <c r="R1123" i="44"/>
  <c r="R1094" i="44"/>
  <c r="R1109" i="44"/>
  <c r="R1124" i="44"/>
  <c r="R1095" i="44"/>
  <c r="R1110" i="44"/>
  <c r="R1125" i="44"/>
  <c r="R1096" i="44"/>
  <c r="R1111" i="44"/>
  <c r="R1126" i="44"/>
  <c r="R1097" i="44"/>
  <c r="R1112" i="44"/>
  <c r="R1127" i="44"/>
  <c r="R1098" i="44"/>
  <c r="R1113" i="44"/>
  <c r="R1128" i="44"/>
  <c r="R1099" i="44"/>
  <c r="R1114" i="44"/>
  <c r="R1129" i="44"/>
  <c r="R1100" i="44"/>
  <c r="R1115" i="44"/>
  <c r="R1130" i="44"/>
  <c r="R1101" i="44"/>
  <c r="R1116" i="44"/>
  <c r="R1131" i="44"/>
  <c r="R1102" i="44"/>
  <c r="R1103" i="44"/>
  <c r="R1132" i="44"/>
  <c r="R1104" i="44"/>
  <c r="R1117" i="44"/>
  <c r="R1133" i="44"/>
  <c r="R1105" i="44"/>
  <c r="R1118" i="44"/>
  <c r="R1134" i="44"/>
  <c r="R1119" i="44"/>
  <c r="R1135" i="44"/>
  <c r="R1192" i="44"/>
  <c r="R1136" i="44"/>
  <c r="R1137" i="44"/>
  <c r="R1164" i="44"/>
  <c r="R1178" i="44"/>
  <c r="R1193" i="44"/>
  <c r="R1138" i="44"/>
  <c r="R1139" i="44"/>
  <c r="R1165" i="44"/>
  <c r="R1179" i="44"/>
  <c r="R1180" i="44"/>
  <c r="R1194" i="44"/>
  <c r="R1140" i="44"/>
  <c r="R1141" i="44"/>
  <c r="R1166" i="44"/>
  <c r="R1181" i="44"/>
  <c r="R1195" i="44"/>
  <c r="R1142" i="44"/>
  <c r="R1143" i="44"/>
  <c r="R1167" i="44"/>
  <c r="R1196" i="44"/>
  <c r="R1144" i="44"/>
  <c r="R1145" i="44"/>
  <c r="R1168" i="44"/>
  <c r="R1182" i="44"/>
  <c r="R1197" i="44"/>
  <c r="R1183" i="44"/>
  <c r="R1198" i="44"/>
  <c r="R1146" i="44"/>
  <c r="R1147" i="44"/>
  <c r="R1169" i="44"/>
  <c r="R1184" i="44"/>
  <c r="R1199" i="44"/>
  <c r="R1148" i="44"/>
  <c r="R1149" i="44"/>
  <c r="R1170" i="44"/>
  <c r="R1185" i="44"/>
  <c r="R1200" i="44"/>
  <c r="R1150" i="44"/>
  <c r="R1151" i="44"/>
  <c r="R1171" i="44"/>
  <c r="R1186" i="44"/>
  <c r="R1201" i="44"/>
  <c r="R1152" i="44"/>
  <c r="R1153" i="44"/>
  <c r="R1172" i="44"/>
  <c r="R1187" i="44"/>
  <c r="R1202" i="44"/>
  <c r="R1154" i="44"/>
  <c r="R1155" i="44"/>
  <c r="R1173" i="44"/>
  <c r="R1188" i="44"/>
  <c r="R1203" i="44"/>
  <c r="R1156" i="44"/>
  <c r="R1157" i="44"/>
  <c r="R1174" i="44"/>
  <c r="R1189" i="44"/>
  <c r="R1158" i="44"/>
  <c r="R1159" i="44"/>
  <c r="R1175" i="44"/>
  <c r="R1204" i="44"/>
  <c r="R1160" i="44"/>
  <c r="R1161" i="44"/>
  <c r="R1176" i="44"/>
  <c r="R1190" i="44"/>
  <c r="R1205" i="44"/>
  <c r="R1162" i="44"/>
  <c r="R1163" i="44"/>
  <c r="R1177" i="44"/>
  <c r="R1191" i="44"/>
  <c r="R1206" i="44"/>
  <c r="R1207" i="44"/>
  <c r="R1219" i="44"/>
  <c r="R1234" i="44"/>
  <c r="R1235" i="44"/>
  <c r="R1208" i="44"/>
  <c r="R1220" i="44"/>
  <c r="R1236" i="44"/>
  <c r="R1237" i="44"/>
  <c r="R1209" i="44"/>
  <c r="R1221" i="44"/>
  <c r="R1238" i="44"/>
  <c r="R1210" i="44"/>
  <c r="R1222" i="44"/>
  <c r="R1239" i="44"/>
  <c r="R1240" i="44"/>
  <c r="R1211" i="44"/>
  <c r="R1223" i="44"/>
  <c r="R1241" i="44"/>
  <c r="R1242" i="44"/>
  <c r="R1224" i="44"/>
  <c r="R1243" i="44"/>
  <c r="R1244" i="44"/>
  <c r="R1212" i="44"/>
  <c r="R1225" i="44"/>
  <c r="R1245" i="44"/>
  <c r="R1246" i="44"/>
  <c r="R1213" i="44"/>
  <c r="R1226" i="44"/>
  <c r="R1247" i="44"/>
  <c r="R1248" i="44"/>
  <c r="R1227" i="44"/>
  <c r="R1249" i="44"/>
  <c r="R1250" i="44"/>
  <c r="R1228" i="44"/>
  <c r="R1251" i="44"/>
  <c r="R1252" i="44"/>
  <c r="R1214" i="44"/>
  <c r="R1229" i="44"/>
  <c r="R1253" i="44"/>
  <c r="R1215" i="44"/>
  <c r="R1230" i="44"/>
  <c r="R1254" i="44"/>
  <c r="R1255" i="44"/>
  <c r="R1216" i="44"/>
  <c r="R1231" i="44"/>
  <c r="R1256" i="44"/>
  <c r="R1257" i="44"/>
  <c r="R1217" i="44"/>
  <c r="R1232" i="44"/>
  <c r="R1258" i="44"/>
  <c r="R1259" i="44"/>
  <c r="R1218" i="44"/>
  <c r="R1233" i="44"/>
  <c r="R1260" i="44"/>
  <c r="R1261" i="44"/>
  <c r="R1262" i="44"/>
  <c r="R1277" i="44"/>
  <c r="R1292" i="44"/>
  <c r="R1263" i="44"/>
  <c r="R1278" i="44"/>
  <c r="R1293" i="44"/>
  <c r="R1264" i="44"/>
  <c r="R1279" i="44"/>
  <c r="R1294" i="44"/>
  <c r="R1265" i="44"/>
  <c r="R1280" i="44"/>
  <c r="R1295" i="44"/>
  <c r="R1266" i="44"/>
  <c r="R1281" i="44"/>
  <c r="R1296" i="44"/>
  <c r="R1267" i="44"/>
  <c r="R1282" i="44"/>
  <c r="R1297" i="44"/>
  <c r="R1268" i="44"/>
  <c r="R1283" i="44"/>
  <c r="R1298" i="44"/>
  <c r="R1269" i="44"/>
  <c r="R1284" i="44"/>
  <c r="R1299" i="44"/>
  <c r="R1270" i="44"/>
  <c r="R1285" i="44"/>
  <c r="R1300" i="44"/>
  <c r="R1271" i="44"/>
  <c r="R1286" i="44"/>
  <c r="R1301" i="44"/>
  <c r="R1272" i="44"/>
  <c r="R1287" i="44"/>
  <c r="R1302" i="44"/>
  <c r="R1273" i="44"/>
  <c r="R1288" i="44"/>
  <c r="R1303" i="44"/>
  <c r="R1274" i="44"/>
  <c r="R1289" i="44"/>
  <c r="R1304" i="44"/>
  <c r="R1275" i="44"/>
  <c r="R1290" i="44"/>
  <c r="R1305" i="44"/>
  <c r="R1276" i="44"/>
  <c r="R1291" i="44"/>
  <c r="R1306" i="44"/>
  <c r="R1307" i="44"/>
  <c r="R1308" i="44"/>
  <c r="R1335" i="44"/>
  <c r="R1350" i="44"/>
  <c r="R1365" i="44"/>
  <c r="R1379" i="44"/>
  <c r="R1394" i="44"/>
  <c r="R1309" i="44"/>
  <c r="R1310" i="44"/>
  <c r="R1336" i="44"/>
  <c r="R1351" i="44"/>
  <c r="R1366" i="44"/>
  <c r="R1380" i="44"/>
  <c r="R1395" i="44"/>
  <c r="R1311" i="44"/>
  <c r="R1312" i="44"/>
  <c r="R1337" i="44"/>
  <c r="R1352" i="44"/>
  <c r="R1367" i="44"/>
  <c r="R1381" i="44"/>
  <c r="R1396" i="44"/>
  <c r="R1313" i="44"/>
  <c r="R1314" i="44"/>
  <c r="R1338" i="44"/>
  <c r="R1353" i="44"/>
  <c r="R1368" i="44"/>
  <c r="R1382" i="44"/>
  <c r="R1397" i="44"/>
  <c r="R1315" i="44"/>
  <c r="R1316" i="44"/>
  <c r="R1339" i="44"/>
  <c r="R1354" i="44"/>
  <c r="R1369" i="44"/>
  <c r="R1383" i="44"/>
  <c r="R1398" i="44"/>
  <c r="R1317" i="44"/>
  <c r="R1318" i="44"/>
  <c r="R1340" i="44"/>
  <c r="R1355" i="44"/>
  <c r="R1370" i="44"/>
  <c r="R1384" i="44"/>
  <c r="R1399" i="44"/>
  <c r="R1319" i="44"/>
  <c r="R1320" i="44"/>
  <c r="R1341" i="44"/>
  <c r="R1356" i="44"/>
  <c r="R1371" i="44"/>
  <c r="R1385" i="44"/>
  <c r="R1400" i="44"/>
  <c r="R1321" i="44"/>
  <c r="R1322" i="44"/>
  <c r="R1342" i="44"/>
  <c r="R1357" i="44"/>
  <c r="R1372" i="44"/>
  <c r="R1386" i="44"/>
  <c r="R1401" i="44"/>
  <c r="R1323" i="44"/>
  <c r="R1324" i="44"/>
  <c r="R1343" i="44"/>
  <c r="R1358" i="44"/>
  <c r="R1373" i="44"/>
  <c r="R1387" i="44"/>
  <c r="R1402" i="44"/>
  <c r="R1325" i="44"/>
  <c r="R1326" i="44"/>
  <c r="R1344" i="44"/>
  <c r="R1359" i="44"/>
  <c r="R1374" i="44"/>
  <c r="R1388" i="44"/>
  <c r="R1403" i="44"/>
  <c r="R1327" i="44"/>
  <c r="R1328" i="44"/>
  <c r="R1345" i="44"/>
  <c r="R1360" i="44"/>
  <c r="R1375" i="44"/>
  <c r="R1389" i="44"/>
  <c r="R1404" i="44"/>
  <c r="R1329" i="44"/>
  <c r="R1330" i="44"/>
  <c r="R1346" i="44"/>
  <c r="R1361" i="44"/>
  <c r="R1376" i="44"/>
  <c r="R1390" i="44"/>
  <c r="R1405" i="44"/>
  <c r="R1331" i="44"/>
  <c r="R1332" i="44"/>
  <c r="R1347" i="44"/>
  <c r="R1362" i="44"/>
  <c r="R1377" i="44"/>
  <c r="R1391" i="44"/>
  <c r="R1406" i="44"/>
  <c r="R1333" i="44"/>
  <c r="R1334" i="44"/>
  <c r="R1348" i="44"/>
  <c r="R1363" i="44"/>
  <c r="R1378" i="44"/>
  <c r="R1392" i="44"/>
  <c r="R1407" i="44"/>
  <c r="R1349" i="44"/>
  <c r="R1364" i="44"/>
  <c r="R1393" i="44"/>
  <c r="R1408" i="44"/>
  <c r="R1423" i="44"/>
  <c r="R1437" i="44"/>
  <c r="R1450" i="44"/>
  <c r="R1409" i="44"/>
  <c r="R1424" i="44"/>
  <c r="R1438" i="44"/>
  <c r="R1451" i="44"/>
  <c r="R1410" i="44"/>
  <c r="R1425" i="44"/>
  <c r="R1439" i="44"/>
  <c r="R1452" i="44"/>
  <c r="R1411" i="44"/>
  <c r="R1426" i="44"/>
  <c r="R1440" i="44"/>
  <c r="R1453" i="44"/>
  <c r="R1412" i="44"/>
  <c r="R1427" i="44"/>
  <c r="R1441" i="44"/>
  <c r="R1413" i="44"/>
  <c r="R1428" i="44"/>
  <c r="R1442" i="44"/>
  <c r="R1454" i="44"/>
  <c r="R1414" i="44"/>
  <c r="R1429" i="44"/>
  <c r="R1443" i="44"/>
  <c r="R1455" i="44"/>
  <c r="R1415" i="44"/>
  <c r="R1430" i="44"/>
  <c r="R1444" i="44"/>
  <c r="R1456" i="44"/>
  <c r="R1416" i="44"/>
  <c r="R1431" i="44"/>
  <c r="R1457" i="44"/>
  <c r="R1417" i="44"/>
  <c r="R1432" i="44"/>
  <c r="R1445" i="44"/>
  <c r="R1458" i="44"/>
  <c r="R1418" i="44"/>
  <c r="R1433" i="44"/>
  <c r="R1446" i="44"/>
  <c r="R1459" i="44"/>
  <c r="R1419" i="44"/>
  <c r="R1434" i="44"/>
  <c r="R1447" i="44"/>
  <c r="R1460" i="44"/>
  <c r="R1420" i="44"/>
  <c r="R1435" i="44"/>
  <c r="R1461" i="44"/>
  <c r="R1421" i="44"/>
  <c r="R1448" i="44"/>
  <c r="R1462" i="44"/>
  <c r="R1422" i="44"/>
  <c r="R1436" i="44"/>
  <c r="R1449" i="44"/>
  <c r="R1463" i="44"/>
  <c r="R1464" i="44"/>
  <c r="R1473" i="44"/>
  <c r="R1482" i="44"/>
  <c r="R1492" i="44"/>
  <c r="R1465" i="44"/>
  <c r="R1474" i="44"/>
  <c r="R1483" i="44"/>
  <c r="R1493" i="44"/>
  <c r="R1466" i="44"/>
  <c r="R1475" i="44"/>
  <c r="R1484" i="44"/>
  <c r="R1494" i="44"/>
  <c r="R1467" i="44"/>
  <c r="R1476" i="44"/>
  <c r="R1485" i="44"/>
  <c r="R1495" i="44"/>
  <c r="R1468" i="44"/>
  <c r="R1477" i="44"/>
  <c r="R1486" i="44"/>
  <c r="R1496" i="44"/>
  <c r="R1469" i="44"/>
  <c r="R1478" i="44"/>
  <c r="R1487" i="44"/>
  <c r="R1497" i="44"/>
  <c r="R1470" i="44"/>
  <c r="R1479" i="44"/>
  <c r="R1488" i="44"/>
  <c r="R1498" i="44"/>
  <c r="R1471" i="44"/>
  <c r="R1480" i="44"/>
  <c r="R1489" i="44"/>
  <c r="R1499" i="44"/>
  <c r="R1481" i="44"/>
  <c r="R1490" i="44"/>
  <c r="R1472" i="44"/>
  <c r="R1491" i="44"/>
  <c r="R1500" i="44"/>
  <c r="R1501" i="44"/>
  <c r="R1502" i="44"/>
  <c r="R494" i="44"/>
  <c r="R508" i="44"/>
  <c r="R523" i="44"/>
  <c r="R468" i="44"/>
  <c r="R482" i="44"/>
  <c r="R495" i="44"/>
  <c r="R509" i="44"/>
  <c r="R524" i="44"/>
  <c r="R469" i="44"/>
  <c r="R483" i="44"/>
  <c r="R496" i="44"/>
  <c r="R510" i="44"/>
  <c r="R525" i="44"/>
  <c r="R470" i="44"/>
  <c r="R484" i="44"/>
  <c r="R497" i="44"/>
  <c r="R511" i="44"/>
  <c r="R526" i="44"/>
  <c r="R471" i="44"/>
  <c r="R485" i="44"/>
  <c r="R498" i="44"/>
  <c r="R512" i="44"/>
  <c r="R527" i="44"/>
  <c r="R472" i="44"/>
  <c r="R513" i="44"/>
  <c r="R528" i="44"/>
  <c r="R529" i="44"/>
  <c r="R545" i="44"/>
  <c r="R560" i="44"/>
  <c r="R530" i="44"/>
  <c r="R546" i="44"/>
  <c r="R561" i="44"/>
  <c r="R531" i="44"/>
  <c r="R547" i="44"/>
  <c r="R562" i="44"/>
  <c r="R532" i="44"/>
  <c r="R548" i="44"/>
  <c r="R563" i="44"/>
  <c r="R533" i="44"/>
  <c r="R549" i="44"/>
  <c r="R564" i="44"/>
  <c r="R534" i="44"/>
  <c r="R550" i="44"/>
  <c r="R565" i="44"/>
  <c r="R535" i="44"/>
  <c r="R551" i="44"/>
  <c r="R566" i="44"/>
  <c r="R536" i="44"/>
  <c r="R552" i="44"/>
  <c r="R567" i="44"/>
  <c r="R537" i="44"/>
  <c r="R553" i="44"/>
  <c r="R568" i="44"/>
  <c r="R538" i="44"/>
  <c r="R554" i="44"/>
  <c r="R569" i="44"/>
  <c r="R539" i="44"/>
  <c r="R555" i="44"/>
  <c r="R570" i="44"/>
  <c r="R540" i="44"/>
  <c r="R556" i="44"/>
  <c r="R571" i="44"/>
  <c r="R541" i="44"/>
  <c r="R557" i="44"/>
  <c r="R572" i="44"/>
  <c r="R542" i="44"/>
  <c r="R558" i="44"/>
  <c r="R573" i="44"/>
  <c r="R543" i="44"/>
  <c r="R544" i="44"/>
  <c r="R559" i="44"/>
  <c r="R574" i="44"/>
  <c r="R575" i="44"/>
  <c r="R576" i="44"/>
  <c r="R600" i="44"/>
  <c r="R613" i="44"/>
  <c r="R614" i="44"/>
  <c r="R639" i="44"/>
  <c r="R640" i="44"/>
  <c r="R577" i="44"/>
  <c r="R578" i="44"/>
  <c r="R601" i="44"/>
  <c r="R615" i="44"/>
  <c r="R616" i="44"/>
  <c r="R641" i="44"/>
  <c r="R642" i="44"/>
  <c r="R579" i="44"/>
  <c r="R643" i="44"/>
  <c r="R580" i="44"/>
  <c r="R581" i="44"/>
  <c r="R602" i="44"/>
  <c r="R617" i="44"/>
  <c r="R618" i="44"/>
  <c r="R644" i="44"/>
  <c r="R645" i="44"/>
  <c r="R582" i="44"/>
  <c r="R583" i="44"/>
  <c r="R603" i="44"/>
  <c r="R619" i="44"/>
  <c r="R620" i="44"/>
  <c r="R646" i="44"/>
  <c r="R647" i="44"/>
  <c r="R584" i="44"/>
  <c r="R585" i="44"/>
  <c r="R604" i="44"/>
  <c r="R621" i="44"/>
  <c r="R622" i="44"/>
  <c r="R648" i="44"/>
  <c r="R649" i="44"/>
  <c r="R586" i="44"/>
  <c r="R587" i="44"/>
  <c r="R605" i="44"/>
  <c r="R623" i="44"/>
  <c r="R624" i="44"/>
  <c r="R650" i="44"/>
  <c r="R651" i="44"/>
  <c r="R588" i="44"/>
  <c r="R589" i="44"/>
  <c r="R606" i="44"/>
  <c r="R625" i="44"/>
  <c r="R626" i="44"/>
  <c r="R652" i="44"/>
  <c r="R653" i="44"/>
  <c r="R590" i="44"/>
  <c r="R591" i="44"/>
  <c r="R607" i="44"/>
  <c r="R627" i="44"/>
  <c r="R628" i="44"/>
  <c r="R654" i="44"/>
  <c r="R655" i="44"/>
  <c r="R592" i="44"/>
  <c r="R593" i="44"/>
  <c r="R608" i="44"/>
  <c r="R629" i="44"/>
  <c r="R630" i="44"/>
  <c r="R656" i="44"/>
  <c r="R657" i="44"/>
  <c r="R594" i="44"/>
  <c r="R595" i="44"/>
  <c r="R609" i="44"/>
  <c r="R631" i="44"/>
  <c r="R632" i="44"/>
  <c r="R658" i="44"/>
  <c r="R610" i="44"/>
  <c r="R633" i="44"/>
  <c r="R634" i="44"/>
  <c r="R659" i="44"/>
  <c r="R660" i="44"/>
  <c r="R596" i="44"/>
  <c r="R597" i="44"/>
  <c r="R611" i="44"/>
  <c r="R635" i="44"/>
  <c r="R636" i="44"/>
  <c r="R661" i="44"/>
  <c r="R598" i="44"/>
  <c r="R599" i="44"/>
  <c r="R612" i="44"/>
  <c r="R637" i="44"/>
  <c r="R638" i="44"/>
  <c r="R662" i="44"/>
  <c r="R663" i="44"/>
  <c r="R675" i="44"/>
  <c r="R688" i="44"/>
  <c r="R703" i="44"/>
  <c r="R718" i="44"/>
  <c r="R664" i="44"/>
  <c r="R676" i="44"/>
  <c r="R689" i="44"/>
  <c r="R704" i="44"/>
  <c r="R719" i="44"/>
  <c r="R734" i="44"/>
  <c r="R720" i="44"/>
  <c r="R735" i="44"/>
  <c r="R665" i="44"/>
  <c r="R677" i="44"/>
  <c r="R690" i="44"/>
  <c r="R705" i="44"/>
  <c r="R721" i="44"/>
  <c r="R736" i="44"/>
  <c r="R666" i="44"/>
  <c r="R678" i="44"/>
  <c r="R691" i="44"/>
  <c r="R706" i="44"/>
  <c r="R722" i="44"/>
  <c r="R737" i="44"/>
  <c r="R679" i="44"/>
  <c r="R692" i="44"/>
  <c r="R707" i="44"/>
  <c r="R723" i="44"/>
  <c r="R738" i="44"/>
  <c r="R667" i="44"/>
  <c r="R680" i="44"/>
  <c r="R693" i="44"/>
  <c r="R708" i="44"/>
  <c r="R724" i="44"/>
  <c r="R739" i="44"/>
  <c r="R668" i="44"/>
  <c r="R681" i="44"/>
  <c r="R694" i="44"/>
  <c r="R709" i="44"/>
  <c r="R725" i="44"/>
  <c r="R740" i="44"/>
  <c r="R695" i="44"/>
  <c r="R710" i="44"/>
  <c r="R726" i="44"/>
  <c r="R741" i="44"/>
  <c r="R696" i="44"/>
  <c r="R711" i="44"/>
  <c r="R727" i="44"/>
  <c r="R742" i="44"/>
  <c r="R669" i="44"/>
  <c r="R682" i="44"/>
  <c r="R697" i="44"/>
  <c r="R712" i="44"/>
  <c r="R728" i="44"/>
  <c r="R743" i="44"/>
  <c r="R670" i="44"/>
  <c r="R683" i="44"/>
  <c r="R698" i="44"/>
  <c r="R713" i="44"/>
  <c r="R729" i="44"/>
  <c r="R744" i="44"/>
  <c r="R671" i="44"/>
  <c r="R684" i="44"/>
  <c r="R699" i="44"/>
  <c r="R714" i="44"/>
  <c r="R730" i="44"/>
  <c r="R745" i="44"/>
  <c r="R672" i="44"/>
  <c r="R685" i="44"/>
  <c r="R700" i="44"/>
  <c r="R715" i="44"/>
  <c r="R731" i="44"/>
  <c r="R673" i="44"/>
  <c r="R686" i="44"/>
  <c r="R701" i="44"/>
  <c r="R716" i="44"/>
  <c r="R732" i="44"/>
  <c r="R746" i="44"/>
  <c r="R674" i="44"/>
  <c r="R687" i="44"/>
  <c r="R702" i="44"/>
  <c r="R717" i="44"/>
  <c r="R733" i="44"/>
  <c r="R747" i="44"/>
  <c r="R748" i="44"/>
  <c r="R762" i="44"/>
  <c r="R777" i="44"/>
  <c r="R778" i="44"/>
  <c r="R807" i="44"/>
  <c r="R822" i="44"/>
  <c r="R763" i="44"/>
  <c r="R779" i="44"/>
  <c r="R780" i="44"/>
  <c r="R808" i="44"/>
  <c r="R823" i="44"/>
  <c r="R749" i="44"/>
  <c r="R750" i="44"/>
  <c r="R764" i="44"/>
  <c r="R781" i="44"/>
  <c r="R782" i="44"/>
  <c r="R809" i="44"/>
  <c r="R824" i="44"/>
  <c r="R751" i="44"/>
  <c r="R765" i="44"/>
  <c r="R783" i="44"/>
  <c r="R784" i="44"/>
  <c r="R810" i="44"/>
  <c r="R825" i="44"/>
  <c r="R752" i="44"/>
  <c r="R766" i="44"/>
  <c r="R785" i="44"/>
  <c r="R786" i="44"/>
  <c r="R811" i="44"/>
  <c r="R826" i="44"/>
  <c r="R753" i="44"/>
  <c r="R767" i="44"/>
  <c r="R787" i="44"/>
  <c r="R788" i="44"/>
  <c r="R812" i="44"/>
  <c r="R827" i="44"/>
  <c r="R768" i="44"/>
  <c r="R789" i="44"/>
  <c r="R790" i="44"/>
  <c r="R813" i="44"/>
  <c r="R828" i="44"/>
  <c r="R754" i="44"/>
  <c r="R769" i="44"/>
  <c r="R791" i="44"/>
  <c r="R792" i="44"/>
  <c r="R814" i="44"/>
  <c r="R829" i="44"/>
  <c r="R755" i="44"/>
  <c r="R770" i="44"/>
  <c r="R793" i="44"/>
  <c r="R794" i="44"/>
  <c r="R815" i="44"/>
  <c r="R830" i="44"/>
  <c r="R756" i="44"/>
  <c r="R771" i="44"/>
  <c r="R795" i="44"/>
  <c r="R796" i="44"/>
  <c r="R816" i="44"/>
  <c r="R831" i="44"/>
  <c r="R757" i="44"/>
  <c r="R772" i="44"/>
  <c r="R797" i="44"/>
  <c r="R798" i="44"/>
  <c r="R817" i="44"/>
  <c r="R832" i="44"/>
  <c r="R758" i="44"/>
  <c r="R773" i="44"/>
  <c r="R799" i="44"/>
  <c r="R800" i="44"/>
  <c r="R818" i="44"/>
  <c r="R833" i="44"/>
  <c r="R759" i="44"/>
  <c r="R774" i="44"/>
  <c r="R801" i="44"/>
  <c r="R802" i="44"/>
  <c r="R819" i="44"/>
  <c r="R834" i="44"/>
  <c r="R760" i="44"/>
  <c r="R775" i="44"/>
  <c r="R803" i="44"/>
  <c r="R804" i="44"/>
  <c r="R820" i="44"/>
  <c r="R835" i="44"/>
  <c r="R761" i="44"/>
  <c r="R776" i="44"/>
  <c r="R805" i="44"/>
  <c r="R806" i="44"/>
  <c r="R821" i="44"/>
  <c r="R836" i="44"/>
  <c r="R837" i="44"/>
  <c r="R851" i="44"/>
  <c r="R865" i="44"/>
  <c r="R879" i="44"/>
  <c r="R893" i="44"/>
  <c r="R838" i="44"/>
  <c r="R852" i="44"/>
  <c r="R866" i="44"/>
  <c r="R880" i="44"/>
  <c r="R894" i="44"/>
  <c r="R839" i="44"/>
  <c r="R853" i="44"/>
  <c r="R867" i="44"/>
  <c r="R881" i="44"/>
  <c r="R895" i="44"/>
  <c r="R840" i="44"/>
  <c r="R854" i="44"/>
  <c r="R868" i="44"/>
  <c r="R882" i="44"/>
  <c r="R896" i="44"/>
  <c r="R841" i="44"/>
  <c r="R855" i="44"/>
  <c r="R869" i="44"/>
  <c r="R883" i="44"/>
  <c r="R897" i="44"/>
  <c r="R842" i="44"/>
  <c r="R856" i="44"/>
  <c r="R870" i="44"/>
  <c r="R884" i="44"/>
  <c r="R898" i="44"/>
  <c r="R843" i="44"/>
  <c r="R857" i="44"/>
  <c r="R871" i="44"/>
  <c r="R885" i="44"/>
  <c r="R899" i="44"/>
  <c r="R844" i="44"/>
  <c r="R858" i="44"/>
  <c r="R872" i="44"/>
  <c r="R886" i="44"/>
  <c r="R900" i="44"/>
  <c r="R845" i="44"/>
  <c r="R859" i="44"/>
  <c r="R873" i="44"/>
  <c r="R887" i="44"/>
  <c r="R901" i="44"/>
  <c r="R846" i="44"/>
  <c r="R860" i="44"/>
  <c r="R874" i="44"/>
  <c r="R888" i="44"/>
  <c r="R902" i="44"/>
  <c r="R847" i="44"/>
  <c r="R861" i="44"/>
  <c r="R875" i="44"/>
  <c r="R889" i="44"/>
  <c r="R903" i="44"/>
  <c r="R848" i="44"/>
  <c r="R862" i="44"/>
  <c r="R876" i="44"/>
  <c r="R890" i="44"/>
  <c r="R904" i="44"/>
  <c r="R849" i="44"/>
  <c r="R863" i="44"/>
  <c r="R877" i="44"/>
  <c r="R891" i="44"/>
  <c r="R905" i="44"/>
  <c r="R850" i="44"/>
  <c r="R864" i="44"/>
  <c r="R878" i="44"/>
  <c r="R892" i="44"/>
  <c r="R906" i="44"/>
  <c r="R907" i="44"/>
  <c r="R923" i="44"/>
  <c r="R939" i="44"/>
  <c r="R908" i="44"/>
  <c r="R924" i="44"/>
  <c r="R940" i="44"/>
  <c r="R909" i="44"/>
  <c r="R925" i="44"/>
  <c r="R941" i="44"/>
  <c r="R910" i="44"/>
  <c r="R926" i="44"/>
  <c r="R942" i="44"/>
  <c r="R911" i="44"/>
  <c r="R927" i="44"/>
  <c r="R943" i="44"/>
  <c r="R912" i="44"/>
  <c r="R928" i="44"/>
  <c r="R944" i="44"/>
  <c r="R913" i="44"/>
  <c r="R929" i="44"/>
  <c r="R945" i="44"/>
  <c r="R914" i="44"/>
  <c r="R930" i="44"/>
  <c r="R946" i="44"/>
  <c r="R915" i="44"/>
  <c r="R931" i="44"/>
  <c r="R947" i="44"/>
  <c r="R916" i="44"/>
  <c r="R932" i="44"/>
  <c r="R948" i="44"/>
  <c r="R917" i="44"/>
  <c r="R933" i="44"/>
  <c r="R949" i="44"/>
  <c r="R918" i="44"/>
  <c r="R934" i="44"/>
  <c r="R950" i="44"/>
  <c r="R919" i="44"/>
  <c r="R935" i="44"/>
  <c r="R951" i="44"/>
  <c r="R920" i="44"/>
  <c r="R936" i="44"/>
  <c r="R952" i="44"/>
  <c r="R921" i="44"/>
  <c r="R937" i="44"/>
  <c r="R953" i="44"/>
  <c r="R922" i="44"/>
  <c r="R938" i="44"/>
  <c r="R954" i="44"/>
  <c r="R955" i="44"/>
  <c r="R956" i="44"/>
  <c r="R983" i="44"/>
  <c r="R997" i="44"/>
  <c r="R1013" i="44"/>
  <c r="R957" i="44"/>
  <c r="R958" i="44"/>
  <c r="R984" i="44"/>
  <c r="R998" i="44"/>
  <c r="R1014" i="44"/>
  <c r="R999" i="44"/>
  <c r="R1015" i="44"/>
  <c r="R959" i="44"/>
  <c r="R960" i="44"/>
  <c r="R985" i="44"/>
  <c r="R1000" i="44"/>
  <c r="R1016" i="44"/>
  <c r="R961" i="44"/>
  <c r="R962" i="44"/>
  <c r="R986" i="44"/>
  <c r="R1001" i="44"/>
  <c r="R1017" i="44"/>
  <c r="R1018" i="44"/>
  <c r="R963" i="44"/>
  <c r="R964" i="44"/>
  <c r="R987" i="44"/>
  <c r="R1002" i="44"/>
  <c r="R1019" i="44"/>
  <c r="R965" i="44"/>
  <c r="R966" i="44"/>
  <c r="R988" i="44"/>
  <c r="R1003" i="44"/>
  <c r="R1020" i="44"/>
  <c r="R967" i="44"/>
  <c r="R968" i="44"/>
  <c r="R989" i="44"/>
  <c r="R1004" i="44"/>
  <c r="R1021" i="44"/>
  <c r="R969" i="44"/>
  <c r="R970" i="44"/>
  <c r="R990" i="44"/>
  <c r="R1005" i="44"/>
  <c r="R1022" i="44"/>
  <c r="R971" i="44"/>
  <c r="R972" i="44"/>
  <c r="R991" i="44"/>
  <c r="R1006" i="44"/>
  <c r="R1023" i="44"/>
  <c r="R3" i="44"/>
  <c r="R20" i="44"/>
  <c r="R37" i="44"/>
  <c r="R4" i="44"/>
  <c r="R21" i="44"/>
  <c r="R38" i="44"/>
  <c r="R5" i="44"/>
  <c r="R22" i="44"/>
  <c r="R39" i="44"/>
  <c r="R6" i="44"/>
  <c r="R23" i="44"/>
  <c r="R40" i="44"/>
  <c r="R7" i="44"/>
  <c r="R24" i="44"/>
  <c r="R41" i="44"/>
  <c r="R8" i="44"/>
  <c r="R25" i="44"/>
  <c r="R42" i="44"/>
  <c r="R9" i="44"/>
  <c r="R26" i="44"/>
  <c r="R43" i="44"/>
  <c r="R10" i="44"/>
  <c r="R27" i="44"/>
  <c r="R44" i="44"/>
  <c r="R11" i="44"/>
  <c r="R28" i="44"/>
  <c r="R45" i="44"/>
  <c r="R12" i="44"/>
  <c r="R29" i="44"/>
  <c r="R46" i="44"/>
  <c r="R13" i="44"/>
  <c r="R30" i="44"/>
  <c r="R47" i="44"/>
  <c r="R14" i="44"/>
  <c r="R31" i="44"/>
  <c r="R48" i="44"/>
  <c r="R15" i="44"/>
  <c r="R32" i="44"/>
  <c r="R49" i="44"/>
  <c r="R16" i="44"/>
  <c r="R33" i="44"/>
  <c r="R50" i="44"/>
  <c r="R17" i="44"/>
  <c r="R34" i="44"/>
  <c r="R51" i="44"/>
  <c r="R18" i="44"/>
  <c r="R35" i="44"/>
  <c r="R52" i="44"/>
  <c r="R19" i="44"/>
  <c r="R36" i="44"/>
  <c r="R53" i="44"/>
  <c r="R54" i="44"/>
  <c r="R70" i="44"/>
  <c r="R86" i="44"/>
  <c r="R87" i="44"/>
  <c r="R118" i="44"/>
  <c r="R135" i="44"/>
  <c r="R136" i="44"/>
  <c r="R55" i="44"/>
  <c r="R71" i="44"/>
  <c r="R88" i="44"/>
  <c r="R89" i="44"/>
  <c r="R119" i="44"/>
  <c r="R137" i="44"/>
  <c r="R138" i="44"/>
  <c r="R56" i="44"/>
  <c r="R72" i="44"/>
  <c r="R90" i="44"/>
  <c r="R91" i="44"/>
  <c r="R120" i="44"/>
  <c r="R139" i="44"/>
  <c r="R57" i="44"/>
  <c r="R73" i="44"/>
  <c r="R92" i="44"/>
  <c r="R93" i="44"/>
  <c r="R121" i="44"/>
  <c r="R140" i="44"/>
  <c r="R141" i="44"/>
  <c r="R58" i="44"/>
  <c r="R74" i="44"/>
  <c r="R94" i="44"/>
  <c r="R95" i="44"/>
  <c r="R122" i="44"/>
  <c r="R142" i="44"/>
  <c r="R143" i="44"/>
  <c r="R59" i="44"/>
  <c r="R75" i="44"/>
  <c r="R96" i="44"/>
  <c r="R97" i="44"/>
  <c r="R123" i="44"/>
  <c r="R144" i="44"/>
  <c r="R145" i="44"/>
  <c r="R60" i="44"/>
  <c r="R76" i="44"/>
  <c r="R98" i="44"/>
  <c r="R99" i="44"/>
  <c r="R124" i="44"/>
  <c r="R146" i="44"/>
  <c r="R147" i="44"/>
  <c r="R61" i="44"/>
  <c r="R77" i="44"/>
  <c r="R100" i="44"/>
  <c r="R101" i="44"/>
  <c r="R125" i="44"/>
  <c r="R148" i="44"/>
  <c r="R149" i="44"/>
  <c r="R126" i="44"/>
  <c r="R150" i="44"/>
  <c r="R151" i="44"/>
  <c r="R62" i="44"/>
  <c r="R78" i="44"/>
  <c r="R102" i="44"/>
  <c r="R103" i="44"/>
  <c r="R127" i="44"/>
  <c r="R152" i="44"/>
  <c r="R153" i="44"/>
  <c r="R63" i="44"/>
  <c r="R79" i="44"/>
  <c r="R104" i="44"/>
  <c r="R105" i="44"/>
  <c r="R128" i="44"/>
  <c r="R154" i="44"/>
  <c r="R155" i="44"/>
  <c r="R64" i="44"/>
  <c r="R80" i="44"/>
  <c r="R106" i="44"/>
  <c r="R107" i="44"/>
  <c r="R129" i="44"/>
  <c r="R156" i="44"/>
  <c r="R157" i="44"/>
  <c r="R65" i="44"/>
  <c r="R81" i="44"/>
  <c r="R108" i="44"/>
  <c r="R109" i="44"/>
  <c r="R130" i="44"/>
  <c r="R158" i="44"/>
  <c r="R159" i="44"/>
  <c r="R66" i="44"/>
  <c r="R82" i="44"/>
  <c r="R110" i="44"/>
  <c r="R111" i="44"/>
  <c r="R131" i="44"/>
  <c r="R160" i="44"/>
  <c r="R161" i="44"/>
  <c r="R67" i="44"/>
  <c r="R83" i="44"/>
  <c r="R112" i="44"/>
  <c r="R113" i="44"/>
  <c r="R132" i="44"/>
  <c r="R162" i="44"/>
  <c r="R163" i="44"/>
  <c r="R68" i="44"/>
  <c r="R84" i="44"/>
  <c r="R114" i="44"/>
  <c r="R115" i="44"/>
  <c r="R133" i="44"/>
  <c r="R164" i="44"/>
  <c r="R165" i="44"/>
  <c r="R69" i="44"/>
  <c r="R85" i="44"/>
  <c r="R116" i="44"/>
  <c r="R117" i="44"/>
  <c r="R134" i="44"/>
  <c r="R166" i="44"/>
  <c r="R167" i="44"/>
  <c r="R184" i="44"/>
  <c r="R201" i="44"/>
  <c r="R202" i="44"/>
  <c r="R235" i="44"/>
  <c r="R251" i="44"/>
  <c r="R252" i="44"/>
  <c r="R168" i="44"/>
  <c r="R185" i="44"/>
  <c r="R203" i="44"/>
  <c r="R204" i="44"/>
  <c r="R236" i="44"/>
  <c r="R253" i="44"/>
  <c r="R254" i="44"/>
  <c r="R169" i="44"/>
  <c r="R186" i="44"/>
  <c r="R205" i="44"/>
  <c r="R206" i="44"/>
  <c r="R237" i="44"/>
  <c r="R170" i="44"/>
  <c r="R187" i="44"/>
  <c r="R207" i="44"/>
  <c r="R208" i="44"/>
  <c r="R238" i="44"/>
  <c r="R255" i="44"/>
  <c r="R256" i="44"/>
  <c r="R171" i="44"/>
  <c r="R188" i="44"/>
  <c r="R209" i="44"/>
  <c r="R210" i="44"/>
  <c r="R239" i="44"/>
  <c r="R257" i="44"/>
  <c r="R258" i="44"/>
  <c r="R172" i="44"/>
  <c r="R189" i="44"/>
  <c r="R211" i="44"/>
  <c r="R212" i="44"/>
  <c r="R240" i="44"/>
  <c r="R259" i="44"/>
  <c r="R260" i="44"/>
  <c r="R173" i="44"/>
  <c r="R190" i="44"/>
  <c r="R213" i="44"/>
  <c r="R214" i="44"/>
  <c r="R241" i="44"/>
  <c r="R261" i="44"/>
  <c r="R262" i="44"/>
  <c r="R174" i="44"/>
  <c r="R191" i="44"/>
  <c r="R215" i="44"/>
  <c r="R216" i="44"/>
  <c r="R242" i="44"/>
  <c r="R263" i="44"/>
  <c r="R264" i="44"/>
  <c r="R175" i="44"/>
  <c r="R192" i="44"/>
  <c r="R217" i="44"/>
  <c r="R218" i="44"/>
  <c r="R243" i="44"/>
  <c r="R265" i="44"/>
  <c r="R176" i="44"/>
  <c r="R193" i="44"/>
  <c r="R219" i="44"/>
  <c r="R220" i="44"/>
  <c r="R244" i="44"/>
  <c r="R266" i="44"/>
  <c r="R267" i="44"/>
  <c r="R177" i="44"/>
  <c r="R194" i="44"/>
  <c r="R221" i="44"/>
  <c r="R222" i="44"/>
  <c r="R245" i="44"/>
  <c r="R268" i="44"/>
  <c r="R269" i="44"/>
  <c r="R178" i="44"/>
  <c r="R195" i="44"/>
  <c r="R223" i="44"/>
  <c r="R224" i="44"/>
  <c r="R270" i="44"/>
  <c r="R271" i="44"/>
  <c r="R179" i="44"/>
  <c r="R196" i="44"/>
  <c r="R225" i="44"/>
  <c r="R226" i="44"/>
  <c r="R246" i="44"/>
  <c r="R272" i="44"/>
  <c r="R273" i="44"/>
  <c r="R180" i="44"/>
  <c r="R197" i="44"/>
  <c r="R227" i="44"/>
  <c r="R228" i="44"/>
  <c r="R247" i="44"/>
  <c r="R274" i="44"/>
  <c r="R275" i="44"/>
  <c r="R181" i="44"/>
  <c r="R198" i="44"/>
  <c r="R229" i="44"/>
  <c r="R230" i="44"/>
  <c r="R248" i="44"/>
  <c r="R276" i="44"/>
  <c r="R277" i="44"/>
  <c r="R182" i="44"/>
  <c r="R199" i="44"/>
  <c r="R231" i="44"/>
  <c r="R232" i="44"/>
  <c r="R249" i="44"/>
  <c r="R278" i="44"/>
  <c r="R279" i="44"/>
  <c r="R183" i="44"/>
  <c r="R200" i="44"/>
  <c r="R233" i="44"/>
  <c r="R234" i="44"/>
  <c r="R250" i="44"/>
  <c r="R280" i="44"/>
  <c r="R281" i="44"/>
  <c r="R282" i="44"/>
  <c r="R283" i="44"/>
  <c r="R316" i="44"/>
  <c r="R333" i="44"/>
  <c r="R334" i="44"/>
  <c r="R364" i="44"/>
  <c r="R380" i="44"/>
  <c r="R284" i="44"/>
  <c r="R285" i="44"/>
  <c r="R317" i="44"/>
  <c r="R335" i="44"/>
  <c r="R336" i="44"/>
  <c r="R365" i="44"/>
  <c r="R381" i="44"/>
  <c r="R286" i="44"/>
  <c r="R287" i="44"/>
  <c r="R318" i="44"/>
  <c r="R288" i="44"/>
  <c r="R289" i="44"/>
  <c r="R319" i="44"/>
  <c r="R337" i="44"/>
  <c r="R338" i="44"/>
  <c r="R366" i="44"/>
  <c r="R382" i="44"/>
  <c r="R290" i="44"/>
  <c r="R291" i="44"/>
  <c r="R320" i="44"/>
  <c r="R339" i="44"/>
  <c r="R340" i="44"/>
  <c r="R367" i="44"/>
  <c r="R383" i="44"/>
  <c r="R292" i="44"/>
  <c r="R293" i="44"/>
  <c r="R321" i="44"/>
  <c r="R341" i="44"/>
  <c r="R342" i="44"/>
  <c r="R368" i="44"/>
  <c r="R384" i="44"/>
  <c r="R294" i="44"/>
  <c r="R295" i="44"/>
  <c r="R322" i="44"/>
  <c r="R343" i="44"/>
  <c r="R344" i="44"/>
  <c r="R369" i="44"/>
  <c r="R385" i="44"/>
  <c r="R296" i="44"/>
  <c r="R297" i="44"/>
  <c r="R323" i="44"/>
  <c r="R345" i="44"/>
  <c r="R346" i="44"/>
  <c r="R370" i="44"/>
  <c r="R386" i="44"/>
  <c r="R298" i="44"/>
  <c r="R299" i="44"/>
  <c r="R324" i="44"/>
  <c r="R347" i="44"/>
  <c r="R348" i="44"/>
  <c r="R371" i="44"/>
  <c r="R387" i="44"/>
  <c r="R300" i="44"/>
  <c r="R301" i="44"/>
  <c r="R325" i="44"/>
  <c r="R349" i="44"/>
  <c r="R350" i="44"/>
  <c r="R372" i="44"/>
  <c r="R388" i="44"/>
  <c r="R302" i="44"/>
  <c r="R303" i="44"/>
  <c r="R326" i="44"/>
  <c r="R351" i="44"/>
  <c r="R352" i="44"/>
  <c r="R373" i="44"/>
  <c r="R389" i="44"/>
  <c r="R304" i="44"/>
  <c r="R305" i="44"/>
  <c r="R327" i="44"/>
  <c r="R353" i="44"/>
  <c r="R374" i="44"/>
  <c r="R390" i="44"/>
  <c r="R306" i="44"/>
  <c r="R307" i="44"/>
  <c r="R328" i="44"/>
  <c r="R354" i="44"/>
  <c r="R355" i="44"/>
  <c r="R375" i="44"/>
  <c r="R391" i="44"/>
  <c r="R308" i="44"/>
  <c r="R309" i="44"/>
  <c r="R329" i="44"/>
  <c r="R356" i="44"/>
  <c r="R357" i="44"/>
  <c r="R376" i="44"/>
  <c r="R392" i="44"/>
  <c r="R310" i="44"/>
  <c r="R311" i="44"/>
  <c r="R330" i="44"/>
  <c r="R358" i="44"/>
  <c r="R359" i="44"/>
  <c r="R377" i="44"/>
  <c r="R393" i="44"/>
  <c r="R312" i="44"/>
  <c r="R313" i="44"/>
  <c r="R331" i="44"/>
  <c r="R360" i="44"/>
  <c r="R361" i="44"/>
  <c r="R378" i="44"/>
  <c r="R394" i="44"/>
  <c r="R314" i="44"/>
  <c r="R315" i="44"/>
  <c r="R332" i="44"/>
  <c r="R362" i="44"/>
  <c r="R363" i="44"/>
  <c r="R379" i="44"/>
  <c r="R395" i="44"/>
  <c r="R396" i="44"/>
  <c r="R412" i="44"/>
  <c r="R428" i="44"/>
  <c r="R443" i="44"/>
  <c r="R397" i="44"/>
  <c r="R413" i="44"/>
  <c r="R429" i="44"/>
  <c r="R444" i="44"/>
  <c r="R398" i="44"/>
  <c r="R414" i="44"/>
  <c r="R399" i="44"/>
  <c r="R415" i="44"/>
  <c r="R430" i="44"/>
  <c r="R445" i="44"/>
  <c r="R400" i="44"/>
  <c r="R416" i="44"/>
  <c r="R431" i="44"/>
  <c r="R446" i="44"/>
  <c r="R401" i="44"/>
  <c r="R417" i="44"/>
  <c r="R432" i="44"/>
  <c r="R447" i="44"/>
  <c r="R402" i="44"/>
  <c r="R418" i="44"/>
  <c r="R433" i="44"/>
  <c r="R448" i="44"/>
  <c r="R403" i="44"/>
  <c r="R419" i="44"/>
  <c r="R434" i="44"/>
  <c r="R449" i="44"/>
  <c r="R404" i="44"/>
  <c r="R420" i="44"/>
  <c r="R435" i="44"/>
  <c r="R450" i="44"/>
  <c r="R405" i="44"/>
  <c r="R421" i="44"/>
  <c r="R436" i="44"/>
  <c r="R451" i="44"/>
  <c r="R406" i="44"/>
  <c r="R422" i="44"/>
  <c r="R437" i="44"/>
  <c r="R452" i="44"/>
  <c r="R407" i="44"/>
  <c r="R423" i="44"/>
  <c r="R438" i="44"/>
  <c r="R453" i="44"/>
  <c r="R408" i="44"/>
  <c r="R424" i="44"/>
  <c r="R439" i="44"/>
  <c r="R454" i="44"/>
  <c r="R409" i="44"/>
  <c r="R425" i="44"/>
  <c r="R440" i="44"/>
  <c r="R455" i="44"/>
  <c r="R410" i="44"/>
  <c r="R426" i="44"/>
  <c r="R441" i="44"/>
  <c r="R456" i="44"/>
  <c r="R411" i="44"/>
  <c r="R427" i="44"/>
  <c r="R442" i="44"/>
  <c r="R457" i="44"/>
  <c r="R458" i="44"/>
  <c r="R473" i="44"/>
  <c r="R486" i="44"/>
  <c r="R499" i="44"/>
  <c r="R514" i="44"/>
  <c r="R459" i="44"/>
  <c r="R474" i="44"/>
  <c r="R487" i="44"/>
  <c r="R500" i="44"/>
  <c r="R515" i="44"/>
  <c r="R460" i="44"/>
  <c r="R461" i="44"/>
  <c r="R475" i="44"/>
  <c r="R488" i="44"/>
  <c r="R501" i="44"/>
  <c r="R516" i="44"/>
  <c r="R462" i="44"/>
  <c r="R476" i="44"/>
  <c r="R489" i="44"/>
  <c r="R502" i="44"/>
  <c r="R517" i="44"/>
  <c r="R463" i="44"/>
  <c r="R477" i="44"/>
  <c r="R490" i="44"/>
  <c r="R503" i="44"/>
  <c r="R518" i="44"/>
  <c r="R464" i="44"/>
  <c r="R478" i="44"/>
  <c r="R491" i="44"/>
  <c r="R504" i="44"/>
  <c r="R519" i="44"/>
  <c r="R505" i="44"/>
  <c r="R520" i="44"/>
  <c r="R465" i="44"/>
  <c r="R479" i="44"/>
  <c r="R492" i="44"/>
  <c r="R506" i="44"/>
  <c r="R521" i="44"/>
  <c r="R466" i="44"/>
  <c r="R480" i="44"/>
  <c r="R493" i="44"/>
  <c r="R507" i="44"/>
  <c r="R522" i="44"/>
  <c r="R467" i="44"/>
  <c r="R481" i="44"/>
  <c r="V19" i="54" l="1"/>
  <c r="W19" i="54" s="1"/>
  <c r="C2" i="55" a="1"/>
  <c r="C2" i="55" s="1"/>
  <c r="G2" i="55" a="1"/>
  <c r="G2" i="55" s="1"/>
  <c r="E2" i="55" a="1"/>
  <c r="E2" i="55" s="1"/>
  <c r="T31" i="54"/>
  <c r="U19" i="54"/>
  <c r="L32" i="54"/>
  <c r="V32" i="54" s="1"/>
  <c r="J31" i="54"/>
  <c r="N31" i="54"/>
  <c r="K19" i="54"/>
  <c r="M19" i="54"/>
  <c r="T32" i="54"/>
  <c r="R31" i="54"/>
  <c r="P31" i="54"/>
  <c r="V16" i="54"/>
  <c r="M16" i="54" s="1"/>
  <c r="V18" i="54"/>
  <c r="U18" i="54" s="1"/>
  <c r="V26" i="54"/>
  <c r="V28" i="54"/>
  <c r="AS3" i="49"/>
  <c r="F4" i="53"/>
  <c r="E5" i="53"/>
  <c r="C7" i="53" a="1"/>
  <c r="C7" i="53" s="1"/>
  <c r="C6" i="53"/>
  <c r="D10" i="53"/>
  <c r="D7" i="53" a="1"/>
  <c r="D7" i="53" s="1"/>
  <c r="E7" i="53" a="1"/>
  <c r="E7" i="53" s="1"/>
  <c r="C10" i="53"/>
  <c r="D6" i="53"/>
  <c r="E10" i="53"/>
  <c r="B6" i="53"/>
  <c r="B10" i="53"/>
  <c r="AM5" i="50"/>
  <c r="G5" i="50"/>
  <c r="AM7" i="50"/>
  <c r="G7" i="50"/>
  <c r="V10" i="50"/>
  <c r="Q11" i="50"/>
  <c r="L6" i="50"/>
  <c r="AK6" i="50"/>
  <c r="Q7" i="50"/>
  <c r="AM8" i="50"/>
  <c r="G8" i="50"/>
  <c r="V8" i="50"/>
  <c r="AA9" i="50"/>
  <c r="Q10" i="50"/>
  <c r="AF10" i="50"/>
  <c r="L11" i="50"/>
  <c r="AM6" i="50"/>
  <c r="G6" i="50"/>
  <c r="V6" i="50"/>
  <c r="AA7" i="50"/>
  <c r="Q8" i="50"/>
  <c r="AF8" i="50"/>
  <c r="V9" i="50"/>
  <c r="AK9" i="50"/>
  <c r="AA10" i="50"/>
  <c r="AA5" i="50"/>
  <c r="Q6" i="50"/>
  <c r="AF6" i="50"/>
  <c r="V7" i="50"/>
  <c r="AK7" i="50"/>
  <c r="AA8" i="50"/>
  <c r="AM9" i="50"/>
  <c r="G9" i="50"/>
  <c r="L10" i="50"/>
  <c r="AM11" i="50"/>
  <c r="G11" i="50"/>
  <c r="AF12" i="50"/>
  <c r="AK13" i="50"/>
  <c r="AM15" i="50"/>
  <c r="G15" i="50"/>
  <c r="AF15" i="50"/>
  <c r="L16" i="50"/>
  <c r="Q17" i="50"/>
  <c r="AM21" i="50"/>
  <c r="G21" i="50"/>
  <c r="AM28" i="50"/>
  <c r="G28" i="50"/>
  <c r="G10" i="50"/>
  <c r="AM12" i="50"/>
  <c r="G12" i="50"/>
  <c r="AM24" i="50"/>
  <c r="G24" i="50"/>
  <c r="AM25" i="50"/>
  <c r="AM13" i="50"/>
  <c r="G13" i="50"/>
  <c r="L14" i="50"/>
  <c r="AK14" i="50"/>
  <c r="Q15" i="50"/>
  <c r="AM16" i="50"/>
  <c r="V16" i="50"/>
  <c r="L17" i="50"/>
  <c r="AM19" i="50"/>
  <c r="G19" i="50"/>
  <c r="L20" i="50"/>
  <c r="V22" i="50"/>
  <c r="AA23" i="50"/>
  <c r="Q25" i="50"/>
  <c r="AM26" i="50"/>
  <c r="G26" i="50"/>
  <c r="Q28" i="50"/>
  <c r="V29" i="50"/>
  <c r="AM18" i="50"/>
  <c r="AM22" i="50"/>
  <c r="G22" i="50"/>
  <c r="AM29" i="50"/>
  <c r="G29" i="50"/>
  <c r="AM14" i="50"/>
  <c r="G14" i="50"/>
  <c r="L15" i="50"/>
  <c r="V18" i="50"/>
  <c r="AK18" i="50"/>
  <c r="Q19" i="50"/>
  <c r="V20" i="50"/>
  <c r="AA21" i="50"/>
  <c r="AK23" i="50"/>
  <c r="Q26" i="50"/>
  <c r="V27" i="50"/>
  <c r="AM20" i="50"/>
  <c r="G20" i="50"/>
  <c r="L21" i="50"/>
  <c r="Q22" i="50"/>
  <c r="V23" i="50"/>
  <c r="AK24" i="50"/>
  <c r="AK25" i="50"/>
  <c r="AM27" i="50"/>
  <c r="G27" i="50"/>
  <c r="L28" i="50"/>
  <c r="Q29" i="50"/>
  <c r="AF29" i="50"/>
  <c r="V12" i="50"/>
  <c r="L13" i="50"/>
  <c r="AA13" i="50"/>
  <c r="Q14" i="50"/>
  <c r="AF14" i="50"/>
  <c r="V15" i="50"/>
  <c r="AK15" i="50"/>
  <c r="AA16" i="50"/>
  <c r="AM17" i="50"/>
  <c r="G17" i="50"/>
  <c r="AK17" i="50"/>
  <c r="Q18" i="50"/>
  <c r="AA19" i="50"/>
  <c r="AF20" i="50"/>
  <c r="AK21" i="50"/>
  <c r="AM23" i="50"/>
  <c r="G23" i="50"/>
  <c r="L24" i="50"/>
  <c r="L25" i="50"/>
  <c r="AA26" i="50"/>
  <c r="AF27" i="50"/>
  <c r="AK28" i="50"/>
  <c r="AF18" i="50"/>
  <c r="L19" i="50"/>
  <c r="Q20" i="50"/>
  <c r="V21" i="50"/>
  <c r="AA22" i="50"/>
  <c r="AF23" i="50"/>
  <c r="V24" i="50"/>
  <c r="V25" i="50"/>
  <c r="L26" i="50"/>
  <c r="Q27" i="50"/>
  <c r="V28" i="50"/>
  <c r="G16" i="50"/>
  <c r="G25" i="50"/>
  <c r="G18" i="50"/>
  <c r="V24" i="54"/>
  <c r="V8" i="54"/>
  <c r="K8" i="54" s="1"/>
  <c r="F5" i="51"/>
  <c r="G5" i="51"/>
  <c r="C5" i="51"/>
  <c r="D5" i="51"/>
  <c r="B5" i="51"/>
  <c r="V14" i="54"/>
  <c r="K14" i="54" s="1"/>
  <c r="V15" i="54"/>
  <c r="Q15" i="54" s="1"/>
  <c r="V29" i="54"/>
  <c r="V12" i="54"/>
  <c r="K12" i="54" s="1"/>
  <c r="V7" i="54"/>
  <c r="S7" i="54" s="1"/>
  <c r="V11" i="54"/>
  <c r="Q11" i="54" s="1"/>
  <c r="V9" i="54"/>
  <c r="M9" i="54" s="1"/>
  <c r="V21" i="54"/>
  <c r="K21" i="54" s="1"/>
  <c r="V6" i="54"/>
  <c r="K6" i="54" s="1"/>
  <c r="V13" i="54"/>
  <c r="O13" i="54" s="1"/>
  <c r="V20" i="54"/>
  <c r="M20" i="54" s="1"/>
  <c r="V22" i="54"/>
  <c r="S22" i="54" s="1"/>
  <c r="V10" i="54"/>
  <c r="O10" i="54" s="1"/>
  <c r="V5" i="54"/>
  <c r="O5" i="54" s="1"/>
  <c r="V17" i="54"/>
  <c r="K17" i="54" s="1"/>
  <c r="V27" i="54"/>
  <c r="K27" i="54" s="1"/>
  <c r="O3" i="46"/>
  <c r="M3" i="46"/>
  <c r="K3" i="46"/>
  <c r="I3" i="46"/>
  <c r="G3" i="46"/>
  <c r="E3" i="46"/>
  <c r="C3" i="46"/>
  <c r="V4" i="45"/>
  <c r="S4" i="45"/>
  <c r="P4" i="45"/>
  <c r="M4" i="45"/>
  <c r="J4" i="45"/>
  <c r="G4" i="45"/>
  <c r="D4" i="45"/>
  <c r="T21" i="45" a="1"/>
  <c r="T21" i="45" s="1"/>
  <c r="T41" i="45" a="1"/>
  <c r="T41" i="45" s="1"/>
  <c r="H52" i="45" a="1"/>
  <c r="H52" i="45" s="1"/>
  <c r="J52" i="45" a="1"/>
  <c r="J52" i="45" s="1"/>
  <c r="K52" i="45" a="1"/>
  <c r="K52" i="45" s="1"/>
  <c r="M52" i="45" a="1"/>
  <c r="M52" i="45" s="1"/>
  <c r="N52" i="45" a="1"/>
  <c r="N52" i="45" s="1"/>
  <c r="P52" i="45" a="1"/>
  <c r="P52" i="45" s="1"/>
  <c r="Q52" i="45" a="1"/>
  <c r="Q52" i="45" s="1"/>
  <c r="S52" i="45" a="1"/>
  <c r="S52" i="45" s="1"/>
  <c r="T52" i="45" a="1"/>
  <c r="T52" i="45" s="1"/>
  <c r="V52" i="45" a="1"/>
  <c r="V52" i="45" s="1"/>
  <c r="W52" i="45" a="1"/>
  <c r="W52" i="45" s="1"/>
  <c r="D53" i="45" a="1"/>
  <c r="D53" i="45" s="1"/>
  <c r="E53" i="45" a="1"/>
  <c r="E53" i="45" s="1"/>
  <c r="G53" i="45" a="1"/>
  <c r="G53" i="45" s="1"/>
  <c r="H53" i="45" a="1"/>
  <c r="H53" i="45" s="1"/>
  <c r="J53" i="45" a="1"/>
  <c r="J53" i="45" s="1"/>
  <c r="K53" i="45" a="1"/>
  <c r="K53" i="45" s="1"/>
  <c r="M53" i="45" a="1"/>
  <c r="M53" i="45" s="1"/>
  <c r="N53" i="45" a="1"/>
  <c r="N53" i="45" s="1"/>
  <c r="P53" i="45" a="1"/>
  <c r="P53" i="45" s="1"/>
  <c r="Q53" i="45" a="1"/>
  <c r="Q53" i="45" s="1"/>
  <c r="S53" i="45" a="1"/>
  <c r="S53" i="45" s="1"/>
  <c r="T53" i="45" a="1"/>
  <c r="T53" i="45" s="1"/>
  <c r="V53" i="45" a="1"/>
  <c r="V53" i="45" s="1"/>
  <c r="W53" i="45" a="1"/>
  <c r="W53" i="45" s="1"/>
  <c r="D54" i="45" a="1"/>
  <c r="D54" i="45" s="1"/>
  <c r="E54" i="45" a="1"/>
  <c r="E54" i="45" s="1"/>
  <c r="G54" i="45" a="1"/>
  <c r="G54" i="45" s="1"/>
  <c r="H54" i="45" a="1"/>
  <c r="H54" i="45" s="1"/>
  <c r="J54" i="45" a="1"/>
  <c r="J54" i="45" s="1"/>
  <c r="K54" i="45" a="1"/>
  <c r="K54" i="45" s="1"/>
  <c r="M54" i="45" a="1"/>
  <c r="M54" i="45" s="1"/>
  <c r="N54" i="45" a="1"/>
  <c r="N54" i="45" s="1"/>
  <c r="P54" i="45" a="1"/>
  <c r="P54" i="45" s="1"/>
  <c r="Q54" i="45" a="1"/>
  <c r="Q54" i="45" s="1"/>
  <c r="S54" i="45" a="1"/>
  <c r="S54" i="45" s="1"/>
  <c r="T54" i="45" a="1"/>
  <c r="T54" i="45" s="1"/>
  <c r="V54" i="45" a="1"/>
  <c r="V54" i="45" s="1"/>
  <c r="W54" i="45" a="1"/>
  <c r="W54" i="45" s="1"/>
  <c r="D55" i="45" a="1"/>
  <c r="D55" i="45" s="1"/>
  <c r="E55" i="45" a="1"/>
  <c r="E55" i="45" s="1"/>
  <c r="G55" i="45" a="1"/>
  <c r="G55" i="45" s="1"/>
  <c r="H55" i="45" a="1"/>
  <c r="H55" i="45" s="1"/>
  <c r="J55" i="45" a="1"/>
  <c r="J55" i="45" s="1"/>
  <c r="K55" i="45" a="1"/>
  <c r="K55" i="45" s="1"/>
  <c r="M55" i="45" a="1"/>
  <c r="M55" i="45" s="1"/>
  <c r="N55" i="45" a="1"/>
  <c r="N55" i="45" s="1"/>
  <c r="P55" i="45" a="1"/>
  <c r="P55" i="45" s="1"/>
  <c r="Q55" i="45" a="1"/>
  <c r="Q55" i="45" s="1"/>
  <c r="S55" i="45" a="1"/>
  <c r="S55" i="45" s="1"/>
  <c r="T55" i="45" a="1"/>
  <c r="T55" i="45" s="1"/>
  <c r="V55" i="45" a="1"/>
  <c r="V55" i="45" s="1"/>
  <c r="W55" i="45" a="1"/>
  <c r="W55" i="45" s="1"/>
  <c r="H8" i="45" a="1"/>
  <c r="H8" i="45" s="1"/>
  <c r="J8" i="45" a="1"/>
  <c r="J8" i="45" s="1"/>
  <c r="K8" i="45" a="1"/>
  <c r="K8" i="45" s="1"/>
  <c r="M8" i="45" a="1"/>
  <c r="M8" i="45" s="1"/>
  <c r="N8" i="45" a="1"/>
  <c r="N8" i="45" s="1"/>
  <c r="P8" i="45" a="1"/>
  <c r="P8" i="45" s="1"/>
  <c r="Q8" i="45" a="1"/>
  <c r="Q8" i="45" s="1"/>
  <c r="S8" i="45" a="1"/>
  <c r="S8" i="45" s="1"/>
  <c r="T8" i="45" a="1"/>
  <c r="T8" i="45" s="1"/>
  <c r="V8" i="45" a="1"/>
  <c r="V8" i="45" s="1"/>
  <c r="W8" i="45" a="1"/>
  <c r="W8" i="45" s="1"/>
  <c r="D9" i="45" a="1"/>
  <c r="D9" i="45" s="1"/>
  <c r="E9" i="45" a="1"/>
  <c r="E9" i="45" s="1"/>
  <c r="G9" i="45" a="1"/>
  <c r="G9" i="45" s="1"/>
  <c r="H9" i="45" a="1"/>
  <c r="H9" i="45" s="1"/>
  <c r="J9" i="45" a="1"/>
  <c r="J9" i="45" s="1"/>
  <c r="K9" i="45" a="1"/>
  <c r="K9" i="45" s="1"/>
  <c r="M9" i="45" a="1"/>
  <c r="M9" i="45" s="1"/>
  <c r="N9" i="45" a="1"/>
  <c r="N9" i="45" s="1"/>
  <c r="P9" i="45" a="1"/>
  <c r="P9" i="45" s="1"/>
  <c r="Q9" i="45" a="1"/>
  <c r="Q9" i="45" s="1"/>
  <c r="S9" i="45" a="1"/>
  <c r="S9" i="45" s="1"/>
  <c r="T9" i="45" a="1"/>
  <c r="T9" i="45" s="1"/>
  <c r="V9" i="45" a="1"/>
  <c r="V9" i="45" s="1"/>
  <c r="W9" i="45" a="1"/>
  <c r="W9" i="45" s="1"/>
  <c r="D10" i="45" a="1"/>
  <c r="D10" i="45" s="1"/>
  <c r="E10" i="45" a="1"/>
  <c r="E10" i="45" s="1"/>
  <c r="G10" i="45" a="1"/>
  <c r="G10" i="45" s="1"/>
  <c r="H10" i="45" a="1"/>
  <c r="H10" i="45" s="1"/>
  <c r="J10" i="45" a="1"/>
  <c r="J10" i="45" s="1"/>
  <c r="K10" i="45" a="1"/>
  <c r="K10" i="45" s="1"/>
  <c r="M10" i="45" a="1"/>
  <c r="M10" i="45" s="1"/>
  <c r="N10" i="45" a="1"/>
  <c r="N10" i="45" s="1"/>
  <c r="P10" i="45" a="1"/>
  <c r="P10" i="45" s="1"/>
  <c r="Q10" i="45" a="1"/>
  <c r="Q10" i="45" s="1"/>
  <c r="S10" i="45" a="1"/>
  <c r="S10" i="45" s="1"/>
  <c r="T10" i="45" a="1"/>
  <c r="T10" i="45" s="1"/>
  <c r="V10" i="45" a="1"/>
  <c r="V10" i="45" s="1"/>
  <c r="W10" i="45" a="1"/>
  <c r="W10" i="45" s="1"/>
  <c r="D11" i="45" a="1"/>
  <c r="D11" i="45" s="1"/>
  <c r="E11" i="45" a="1"/>
  <c r="E11" i="45" s="1"/>
  <c r="G11" i="45" a="1"/>
  <c r="G11" i="45" s="1"/>
  <c r="H11" i="45" a="1"/>
  <c r="H11" i="45" s="1"/>
  <c r="J11" i="45" a="1"/>
  <c r="J11" i="45" s="1"/>
  <c r="K11" i="45" a="1"/>
  <c r="K11" i="45" s="1"/>
  <c r="M11" i="45" a="1"/>
  <c r="M11" i="45" s="1"/>
  <c r="N11" i="45" a="1"/>
  <c r="N11" i="45" s="1"/>
  <c r="P11" i="45" a="1"/>
  <c r="P11" i="45" s="1"/>
  <c r="Q11" i="45" a="1"/>
  <c r="Q11" i="45" s="1"/>
  <c r="D8" i="45" a="1"/>
  <c r="D8" i="45" s="1"/>
  <c r="W7" i="45" a="1"/>
  <c r="W7" i="45" s="1"/>
  <c r="V7" i="45" a="1"/>
  <c r="V7" i="45" s="1"/>
  <c r="T7" i="45" a="1"/>
  <c r="T7" i="45" s="1"/>
  <c r="S7" i="45" a="1"/>
  <c r="S7" i="45" s="1"/>
  <c r="Q7" i="45" a="1"/>
  <c r="Q7" i="45" s="1"/>
  <c r="P7" i="45" a="1"/>
  <c r="P7" i="45" s="1"/>
  <c r="N7" i="45" a="1"/>
  <c r="N7" i="45" s="1"/>
  <c r="M7" i="45" a="1"/>
  <c r="M7" i="45" s="1"/>
  <c r="K7" i="45" a="1"/>
  <c r="K7" i="45" s="1"/>
  <c r="J7" i="45" a="1"/>
  <c r="J7" i="45" s="1"/>
  <c r="H7" i="45" a="1"/>
  <c r="H7" i="45" s="1"/>
  <c r="G7" i="45" a="1"/>
  <c r="G7" i="45" s="1"/>
  <c r="E7" i="45" a="1"/>
  <c r="E7" i="45" s="1"/>
  <c r="D7" i="45" a="1"/>
  <c r="D7" i="45" s="1"/>
  <c r="W6" i="45" a="1"/>
  <c r="W6" i="45" s="1"/>
  <c r="V6" i="45" a="1"/>
  <c r="V6" i="45" s="1"/>
  <c r="T6" i="45" a="1"/>
  <c r="T6" i="45" s="1"/>
  <c r="S6" i="45" a="1"/>
  <c r="S6" i="45" s="1"/>
  <c r="Q6" i="45" a="1"/>
  <c r="Q6" i="45" s="1"/>
  <c r="P6" i="45" a="1"/>
  <c r="P6" i="45" s="1"/>
  <c r="N6" i="45" a="1"/>
  <c r="N6" i="45" s="1"/>
  <c r="M6" i="45" a="1"/>
  <c r="M6" i="45" s="1"/>
  <c r="K6" i="45" a="1"/>
  <c r="K6" i="45" s="1"/>
  <c r="J6" i="45" a="1"/>
  <c r="J6" i="45" s="1"/>
  <c r="H6" i="45" a="1"/>
  <c r="H6" i="45" s="1"/>
  <c r="G6" i="45" a="1"/>
  <c r="G6" i="45" s="1"/>
  <c r="E6" i="45" a="1"/>
  <c r="E6" i="45" s="1"/>
  <c r="D6" i="45" a="1"/>
  <c r="D6" i="45" s="1"/>
  <c r="S11" i="45" a="1"/>
  <c r="S11" i="45" s="1"/>
  <c r="T11" i="45" a="1"/>
  <c r="T11" i="45" s="1"/>
  <c r="V11" i="45" a="1"/>
  <c r="V11" i="45" s="1"/>
  <c r="W11" i="45" a="1"/>
  <c r="W11" i="45" s="1"/>
  <c r="D12" i="45" a="1"/>
  <c r="D12" i="45" s="1"/>
  <c r="E12" i="45" a="1"/>
  <c r="E12" i="45" s="1"/>
  <c r="G12" i="45" a="1"/>
  <c r="G12" i="45" s="1"/>
  <c r="H12" i="45" a="1"/>
  <c r="H12" i="45" s="1"/>
  <c r="J12" i="45" a="1"/>
  <c r="J12" i="45" s="1"/>
  <c r="K12" i="45" a="1"/>
  <c r="K12" i="45" s="1"/>
  <c r="M12" i="45" a="1"/>
  <c r="M12" i="45" s="1"/>
  <c r="N12" i="45" a="1"/>
  <c r="N12" i="45" s="1"/>
  <c r="P12" i="45" a="1"/>
  <c r="P12" i="45" s="1"/>
  <c r="Q12" i="45" a="1"/>
  <c r="Q12" i="45" s="1"/>
  <c r="S12" i="45" a="1"/>
  <c r="S12" i="45" s="1"/>
  <c r="T12" i="45" a="1"/>
  <c r="T12" i="45" s="1"/>
  <c r="V12" i="45" a="1"/>
  <c r="V12" i="45" s="1"/>
  <c r="W12" i="45" a="1"/>
  <c r="W12" i="45" s="1"/>
  <c r="D13" i="45" a="1"/>
  <c r="D13" i="45" s="1"/>
  <c r="E13" i="45" a="1"/>
  <c r="E13" i="45" s="1"/>
  <c r="G13" i="45" a="1"/>
  <c r="G13" i="45" s="1"/>
  <c r="H13" i="45" a="1"/>
  <c r="H13" i="45" s="1"/>
  <c r="J13" i="45" a="1"/>
  <c r="J13" i="45" s="1"/>
  <c r="K13" i="45" a="1"/>
  <c r="K13" i="45" s="1"/>
  <c r="M13" i="45" a="1"/>
  <c r="M13" i="45" s="1"/>
  <c r="N13" i="45" a="1"/>
  <c r="N13" i="45" s="1"/>
  <c r="P13" i="45" a="1"/>
  <c r="P13" i="45" s="1"/>
  <c r="Q13" i="45" a="1"/>
  <c r="Q13" i="45" s="1"/>
  <c r="S13" i="45" a="1"/>
  <c r="S13" i="45" s="1"/>
  <c r="T13" i="45" a="1"/>
  <c r="T13" i="45" s="1"/>
  <c r="V13" i="45" a="1"/>
  <c r="V13" i="45" s="1"/>
  <c r="W13" i="45" a="1"/>
  <c r="W13" i="45" s="1"/>
  <c r="D14" i="45" a="1"/>
  <c r="D14" i="45" s="1"/>
  <c r="E14" i="45" a="1"/>
  <c r="E14" i="45" s="1"/>
  <c r="G14" i="45" a="1"/>
  <c r="G14" i="45" s="1"/>
  <c r="H14" i="45" a="1"/>
  <c r="H14" i="45" s="1"/>
  <c r="J14" i="45" a="1"/>
  <c r="J14" i="45" s="1"/>
  <c r="K14" i="45" a="1"/>
  <c r="K14" i="45" s="1"/>
  <c r="M14" i="45" a="1"/>
  <c r="M14" i="45" s="1"/>
  <c r="N14" i="45" a="1"/>
  <c r="N14" i="45" s="1"/>
  <c r="P14" i="45" a="1"/>
  <c r="P14" i="45" s="1"/>
  <c r="Q14" i="45" a="1"/>
  <c r="Q14" i="45" s="1"/>
  <c r="S14" i="45" a="1"/>
  <c r="S14" i="45" s="1"/>
  <c r="T14" i="45" a="1"/>
  <c r="T14" i="45" s="1"/>
  <c r="V14" i="45" a="1"/>
  <c r="V14" i="45" s="1"/>
  <c r="W14" i="45" a="1"/>
  <c r="W14" i="45" s="1"/>
  <c r="D15" i="45" a="1"/>
  <c r="D15" i="45" s="1"/>
  <c r="E15" i="45" a="1"/>
  <c r="E15" i="45" s="1"/>
  <c r="G15" i="45" a="1"/>
  <c r="G15" i="45" s="1"/>
  <c r="H15" i="45" a="1"/>
  <c r="H15" i="45" s="1"/>
  <c r="J15" i="45" a="1"/>
  <c r="J15" i="45" s="1"/>
  <c r="K15" i="45" a="1"/>
  <c r="K15" i="45" s="1"/>
  <c r="M15" i="45" a="1"/>
  <c r="M15" i="45" s="1"/>
  <c r="N15" i="45" a="1"/>
  <c r="N15" i="45" s="1"/>
  <c r="P15" i="45" a="1"/>
  <c r="P15" i="45" s="1"/>
  <c r="Q15" i="45" a="1"/>
  <c r="Q15" i="45" s="1"/>
  <c r="S15" i="45" a="1"/>
  <c r="S15" i="45" s="1"/>
  <c r="T15" i="45" a="1"/>
  <c r="T15" i="45" s="1"/>
  <c r="V15" i="45" a="1"/>
  <c r="V15" i="45" s="1"/>
  <c r="W15" i="45" a="1"/>
  <c r="W15" i="45" s="1"/>
  <c r="D16" i="45" a="1"/>
  <c r="D16" i="45" s="1"/>
  <c r="E16" i="45" a="1"/>
  <c r="E16" i="45" s="1"/>
  <c r="G16" i="45" a="1"/>
  <c r="G16" i="45" s="1"/>
  <c r="H16" i="45" a="1"/>
  <c r="H16" i="45" s="1"/>
  <c r="J16" i="45" a="1"/>
  <c r="J16" i="45" s="1"/>
  <c r="K16" i="45" a="1"/>
  <c r="K16" i="45" s="1"/>
  <c r="M16" i="45" a="1"/>
  <c r="M16" i="45" s="1"/>
  <c r="N16" i="45" a="1"/>
  <c r="N16" i="45" s="1"/>
  <c r="P16" i="45" a="1"/>
  <c r="P16" i="45" s="1"/>
  <c r="Q16" i="45" a="1"/>
  <c r="Q16" i="45" s="1"/>
  <c r="S16" i="45" a="1"/>
  <c r="S16" i="45" s="1"/>
  <c r="T16" i="45" a="1"/>
  <c r="T16" i="45" s="1"/>
  <c r="V16" i="45" a="1"/>
  <c r="V16" i="45" s="1"/>
  <c r="W16" i="45" a="1"/>
  <c r="W16" i="45" s="1"/>
  <c r="D17" i="45" a="1"/>
  <c r="D17" i="45" s="1"/>
  <c r="E17" i="45" a="1"/>
  <c r="E17" i="45" s="1"/>
  <c r="G17" i="45" a="1"/>
  <c r="G17" i="45" s="1"/>
  <c r="H17" i="45" a="1"/>
  <c r="H17" i="45" s="1"/>
  <c r="J17" i="45" a="1"/>
  <c r="J17" i="45" s="1"/>
  <c r="K17" i="45" a="1"/>
  <c r="K17" i="45" s="1"/>
  <c r="M17" i="45" a="1"/>
  <c r="M17" i="45" s="1"/>
  <c r="N17" i="45" a="1"/>
  <c r="N17" i="45" s="1"/>
  <c r="P17" i="45" a="1"/>
  <c r="P17" i="45" s="1"/>
  <c r="Q17" i="45" a="1"/>
  <c r="Q17" i="45" s="1"/>
  <c r="S17" i="45" a="1"/>
  <c r="S17" i="45" s="1"/>
  <c r="T17" i="45" a="1"/>
  <c r="T17" i="45" s="1"/>
  <c r="V17" i="45" a="1"/>
  <c r="V17" i="45" s="1"/>
  <c r="W17" i="45" a="1"/>
  <c r="W17" i="45" s="1"/>
  <c r="D18" i="45" a="1"/>
  <c r="D18" i="45" s="1"/>
  <c r="E18" i="45" a="1"/>
  <c r="E18" i="45" s="1"/>
  <c r="G18" i="45" a="1"/>
  <c r="G18" i="45" s="1"/>
  <c r="H18" i="45" a="1"/>
  <c r="H18" i="45" s="1"/>
  <c r="J18" i="45" a="1"/>
  <c r="J18" i="45" s="1"/>
  <c r="K18" i="45" a="1"/>
  <c r="K18" i="45" s="1"/>
  <c r="M18" i="45" a="1"/>
  <c r="M18" i="45" s="1"/>
  <c r="N18" i="45" a="1"/>
  <c r="N18" i="45" s="1"/>
  <c r="P18" i="45" a="1"/>
  <c r="P18" i="45" s="1"/>
  <c r="Q18" i="45" a="1"/>
  <c r="Q18" i="45" s="1"/>
  <c r="S18" i="45" a="1"/>
  <c r="S18" i="45" s="1"/>
  <c r="T18" i="45" a="1"/>
  <c r="T18" i="45" s="1"/>
  <c r="V18" i="45" a="1"/>
  <c r="V18" i="45" s="1"/>
  <c r="W18" i="45" a="1"/>
  <c r="W18" i="45" s="1"/>
  <c r="D19" i="45" a="1"/>
  <c r="D19" i="45" s="1"/>
  <c r="E19" i="45" a="1"/>
  <c r="E19" i="45" s="1"/>
  <c r="G19" i="45" a="1"/>
  <c r="G19" i="45" s="1"/>
  <c r="H19" i="45" a="1"/>
  <c r="H19" i="45" s="1"/>
  <c r="J19" i="45" a="1"/>
  <c r="J19" i="45" s="1"/>
  <c r="K19" i="45" a="1"/>
  <c r="K19" i="45" s="1"/>
  <c r="M19" i="45" a="1"/>
  <c r="M19" i="45" s="1"/>
  <c r="N19" i="45" a="1"/>
  <c r="N19" i="45" s="1"/>
  <c r="P19" i="45" a="1"/>
  <c r="P19" i="45" s="1"/>
  <c r="E52" i="45" a="1"/>
  <c r="E52" i="45" s="1"/>
  <c r="D52" i="45" a="1"/>
  <c r="D52" i="45" s="1"/>
  <c r="W51" i="45" a="1"/>
  <c r="W51" i="45" s="1"/>
  <c r="Q19" i="45" a="1"/>
  <c r="Q19" i="45" s="1"/>
  <c r="S19" i="45" a="1"/>
  <c r="S19" i="45" s="1"/>
  <c r="T19" i="45" a="1"/>
  <c r="T19" i="45" s="1"/>
  <c r="V19" i="45" a="1"/>
  <c r="V19" i="45" s="1"/>
  <c r="W19" i="45" a="1"/>
  <c r="W19" i="45" s="1"/>
  <c r="D20" i="45" a="1"/>
  <c r="D20" i="45" s="1"/>
  <c r="E20" i="45" a="1"/>
  <c r="E20" i="45" s="1"/>
  <c r="V51" i="45" a="1"/>
  <c r="V51" i="45" s="1"/>
  <c r="X51" i="45" s="1"/>
  <c r="T51" i="45" a="1"/>
  <c r="T51" i="45" s="1"/>
  <c r="G20" i="45" a="1"/>
  <c r="G20" i="45" s="1"/>
  <c r="H20" i="45" a="1"/>
  <c r="H20" i="45" s="1"/>
  <c r="J20" i="45" a="1"/>
  <c r="J20" i="45" s="1"/>
  <c r="K20" i="45" a="1"/>
  <c r="K20" i="45" s="1"/>
  <c r="M20" i="45" a="1"/>
  <c r="M20" i="45" s="1"/>
  <c r="N20" i="45" a="1"/>
  <c r="N20" i="45" s="1"/>
  <c r="P20" i="45" a="1"/>
  <c r="P20" i="45" s="1"/>
  <c r="S51" i="45" a="1"/>
  <c r="S51" i="45" s="1"/>
  <c r="U51" i="45" s="1"/>
  <c r="Q51" i="45" a="1"/>
  <c r="Q51" i="45" s="1"/>
  <c r="Q20" i="45" a="1"/>
  <c r="Q20" i="45" s="1"/>
  <c r="S20" i="45" a="1"/>
  <c r="S20" i="45" s="1"/>
  <c r="T20" i="45" a="1"/>
  <c r="T20" i="45" s="1"/>
  <c r="V20" i="45" a="1"/>
  <c r="V20" i="45" s="1"/>
  <c r="W20" i="45" a="1"/>
  <c r="W20" i="45" s="1"/>
  <c r="D21" i="45" a="1"/>
  <c r="D21" i="45" s="1"/>
  <c r="E21" i="45" a="1"/>
  <c r="E21" i="45" s="1"/>
  <c r="P51" i="45" a="1"/>
  <c r="P51" i="45" s="1"/>
  <c r="N51" i="45" a="1"/>
  <c r="N51" i="45" s="1"/>
  <c r="G21" i="45" a="1"/>
  <c r="G21" i="45" s="1"/>
  <c r="H21" i="45" a="1"/>
  <c r="H21" i="45" s="1"/>
  <c r="J21" i="45" a="1"/>
  <c r="J21" i="45" s="1"/>
  <c r="K21" i="45" a="1"/>
  <c r="K21" i="45" s="1"/>
  <c r="M21" i="45" a="1"/>
  <c r="M21" i="45" s="1"/>
  <c r="N21" i="45" a="1"/>
  <c r="N21" i="45" s="1"/>
  <c r="P21" i="45" a="1"/>
  <c r="P21" i="45" s="1"/>
  <c r="M51" i="45" a="1"/>
  <c r="M51" i="45" s="1"/>
  <c r="O51" i="45" s="1"/>
  <c r="K51" i="45" a="1"/>
  <c r="K51" i="45" s="1"/>
  <c r="Q21" i="45" a="1"/>
  <c r="Q21" i="45" s="1"/>
  <c r="E8" i="45" a="1"/>
  <c r="E8" i="45" s="1"/>
  <c r="W21" i="45" a="1"/>
  <c r="W21" i="45" s="1"/>
  <c r="D22" i="45" a="1"/>
  <c r="D22" i="45" s="1"/>
  <c r="E22" i="45" a="1"/>
  <c r="E22" i="45" s="1"/>
  <c r="G22" i="45" a="1"/>
  <c r="G22" i="45" s="1"/>
  <c r="H22" i="45" a="1"/>
  <c r="H22" i="45" s="1"/>
  <c r="J51" i="45" a="1"/>
  <c r="J51" i="45" s="1"/>
  <c r="L51" i="45" s="1"/>
  <c r="H51" i="45" a="1"/>
  <c r="H51" i="45" s="1"/>
  <c r="J22" i="45" a="1"/>
  <c r="J22" i="45" s="1"/>
  <c r="K22" i="45" a="1"/>
  <c r="K22" i="45" s="1"/>
  <c r="M22" i="45" a="1"/>
  <c r="M22" i="45" s="1"/>
  <c r="N22" i="45" a="1"/>
  <c r="N22" i="45" s="1"/>
  <c r="P22" i="45" a="1"/>
  <c r="P22" i="45" s="1"/>
  <c r="Q22" i="45" a="1"/>
  <c r="Q22" i="45" s="1"/>
  <c r="S22" i="45" a="1"/>
  <c r="S22" i="45" s="1"/>
  <c r="T22" i="45" a="1"/>
  <c r="T22" i="45" s="1"/>
  <c r="V22" i="45" a="1"/>
  <c r="V22" i="45" s="1"/>
  <c r="W22" i="45" a="1"/>
  <c r="W22" i="45" s="1"/>
  <c r="D23" i="45" a="1"/>
  <c r="D23" i="45" s="1"/>
  <c r="E23" i="45" a="1"/>
  <c r="E23" i="45" s="1"/>
  <c r="G23" i="45" a="1"/>
  <c r="G23" i="45" s="1"/>
  <c r="H23" i="45" a="1"/>
  <c r="H23" i="45" s="1"/>
  <c r="J23" i="45" a="1"/>
  <c r="J23" i="45" s="1"/>
  <c r="K23" i="45" a="1"/>
  <c r="K23" i="45" s="1"/>
  <c r="M23" i="45" a="1"/>
  <c r="M23" i="45" s="1"/>
  <c r="N23" i="45" a="1"/>
  <c r="N23" i="45" s="1"/>
  <c r="P23" i="45" a="1"/>
  <c r="P23" i="45" s="1"/>
  <c r="Q23" i="45" a="1"/>
  <c r="Q23" i="45" s="1"/>
  <c r="S23" i="45" a="1"/>
  <c r="S23" i="45" s="1"/>
  <c r="T23" i="45" a="1"/>
  <c r="T23" i="45" s="1"/>
  <c r="V23" i="45" a="1"/>
  <c r="V23" i="45" s="1"/>
  <c r="S21" i="45" a="1"/>
  <c r="S21" i="45" s="1"/>
  <c r="G8" i="45" a="1"/>
  <c r="G8" i="45" s="1"/>
  <c r="V21" i="45" a="1"/>
  <c r="V21" i="45" s="1"/>
  <c r="X21" i="45" s="1"/>
  <c r="W23" i="45" a="1"/>
  <c r="W23" i="45" s="1"/>
  <c r="D24" i="45" a="1"/>
  <c r="D24" i="45" s="1"/>
  <c r="E24" i="45" a="1"/>
  <c r="E24" i="45" s="1"/>
  <c r="G24" i="45" a="1"/>
  <c r="G24" i="45" s="1"/>
  <c r="H24" i="45" a="1"/>
  <c r="H24" i="45" s="1"/>
  <c r="J24" i="45" a="1"/>
  <c r="J24" i="45" s="1"/>
  <c r="K24" i="45" a="1"/>
  <c r="K24" i="45" s="1"/>
  <c r="M24" i="45" a="1"/>
  <c r="M24" i="45" s="1"/>
  <c r="N24" i="45" a="1"/>
  <c r="N24" i="45" s="1"/>
  <c r="P24" i="45" a="1"/>
  <c r="P24" i="45" s="1"/>
  <c r="Q24" i="45" a="1"/>
  <c r="Q24" i="45" s="1"/>
  <c r="S24" i="45" a="1"/>
  <c r="S24" i="45" s="1"/>
  <c r="T24" i="45" a="1"/>
  <c r="T24" i="45" s="1"/>
  <c r="V24" i="45" a="1"/>
  <c r="V24" i="45" s="1"/>
  <c r="W24" i="45" a="1"/>
  <c r="W24" i="45" s="1"/>
  <c r="D25" i="45" a="1"/>
  <c r="D25" i="45" s="1"/>
  <c r="E25" i="45" a="1"/>
  <c r="E25" i="45" s="1"/>
  <c r="G25" i="45" a="1"/>
  <c r="G25" i="45" s="1"/>
  <c r="H25" i="45" a="1"/>
  <c r="H25" i="45" s="1"/>
  <c r="J25" i="45" a="1"/>
  <c r="J25" i="45" s="1"/>
  <c r="K25" i="45" a="1"/>
  <c r="K25" i="45" s="1"/>
  <c r="M25" i="45" a="1"/>
  <c r="M25" i="45" s="1"/>
  <c r="N25" i="45" a="1"/>
  <c r="N25" i="45" s="1"/>
  <c r="P25" i="45" a="1"/>
  <c r="P25" i="45" s="1"/>
  <c r="Q25" i="45" a="1"/>
  <c r="Q25" i="45" s="1"/>
  <c r="S25" i="45" a="1"/>
  <c r="S25" i="45" s="1"/>
  <c r="T25" i="45" a="1"/>
  <c r="T25" i="45" s="1"/>
  <c r="V25" i="45" a="1"/>
  <c r="V25" i="45" s="1"/>
  <c r="W25" i="45" a="1"/>
  <c r="W25" i="45" s="1"/>
  <c r="D26" i="45" a="1"/>
  <c r="D26" i="45" s="1"/>
  <c r="E26" i="45" a="1"/>
  <c r="E26" i="45" s="1"/>
  <c r="G26" i="45" a="1"/>
  <c r="G26" i="45" s="1"/>
  <c r="H26" i="45" a="1"/>
  <c r="H26" i="45" s="1"/>
  <c r="J26" i="45" a="1"/>
  <c r="J26" i="45" s="1"/>
  <c r="K26" i="45" a="1"/>
  <c r="K26" i="45" s="1"/>
  <c r="M26" i="45" a="1"/>
  <c r="M26" i="45" s="1"/>
  <c r="N26" i="45" a="1"/>
  <c r="N26" i="45" s="1"/>
  <c r="P26" i="45" a="1"/>
  <c r="P26" i="45" s="1"/>
  <c r="Q26" i="45" a="1"/>
  <c r="Q26" i="45" s="1"/>
  <c r="S26" i="45" a="1"/>
  <c r="S26" i="45" s="1"/>
  <c r="T26" i="45" a="1"/>
  <c r="T26" i="45" s="1"/>
  <c r="V26" i="45" a="1"/>
  <c r="V26" i="45" s="1"/>
  <c r="W26" i="45" a="1"/>
  <c r="W26" i="45" s="1"/>
  <c r="D27" i="45" a="1"/>
  <c r="D27" i="45" s="1"/>
  <c r="E27" i="45" a="1"/>
  <c r="E27" i="45" s="1"/>
  <c r="G27" i="45" a="1"/>
  <c r="G27" i="45" s="1"/>
  <c r="H27" i="45" a="1"/>
  <c r="H27" i="45" s="1"/>
  <c r="J27" i="45" a="1"/>
  <c r="J27" i="45" s="1"/>
  <c r="K27" i="45" a="1"/>
  <c r="K27" i="45" s="1"/>
  <c r="M27" i="45" a="1"/>
  <c r="M27" i="45" s="1"/>
  <c r="N27" i="45" a="1"/>
  <c r="N27" i="45" s="1"/>
  <c r="P27" i="45" a="1"/>
  <c r="P27" i="45" s="1"/>
  <c r="Q27" i="45" a="1"/>
  <c r="Q27" i="45" s="1"/>
  <c r="S27" i="45" a="1"/>
  <c r="S27" i="45" s="1"/>
  <c r="T27" i="45" a="1"/>
  <c r="T27" i="45" s="1"/>
  <c r="V27" i="45" a="1"/>
  <c r="V27" i="45" s="1"/>
  <c r="W27" i="45" a="1"/>
  <c r="W27" i="45" s="1"/>
  <c r="D28" i="45" a="1"/>
  <c r="D28" i="45" s="1"/>
  <c r="E28" i="45" a="1"/>
  <c r="E28" i="45" s="1"/>
  <c r="G28" i="45" a="1"/>
  <c r="G28" i="45" s="1"/>
  <c r="H28" i="45" a="1"/>
  <c r="H28" i="45" s="1"/>
  <c r="J28" i="45" a="1"/>
  <c r="J28" i="45" s="1"/>
  <c r="K28" i="45" a="1"/>
  <c r="K28" i="45" s="1"/>
  <c r="M28" i="45" a="1"/>
  <c r="M28" i="45" s="1"/>
  <c r="N28" i="45" a="1"/>
  <c r="N28" i="45" s="1"/>
  <c r="P28" i="45" a="1"/>
  <c r="P28" i="45" s="1"/>
  <c r="Q28" i="45" a="1"/>
  <c r="Q28" i="45" s="1"/>
  <c r="S28" i="45" a="1"/>
  <c r="S28" i="45" s="1"/>
  <c r="T28" i="45" a="1"/>
  <c r="T28" i="45" s="1"/>
  <c r="V28" i="45" a="1"/>
  <c r="V28" i="45" s="1"/>
  <c r="W28" i="45" a="1"/>
  <c r="W28" i="45" s="1"/>
  <c r="D29" i="45" a="1"/>
  <c r="D29" i="45" s="1"/>
  <c r="E29" i="45" a="1"/>
  <c r="E29" i="45" s="1"/>
  <c r="G29" i="45" a="1"/>
  <c r="G29" i="45" s="1"/>
  <c r="H29" i="45" a="1"/>
  <c r="H29" i="45" s="1"/>
  <c r="J29" i="45" a="1"/>
  <c r="J29" i="45" s="1"/>
  <c r="K29" i="45" a="1"/>
  <c r="K29" i="45" s="1"/>
  <c r="M29" i="45" a="1"/>
  <c r="M29" i="45" s="1"/>
  <c r="N29" i="45" a="1"/>
  <c r="N29" i="45" s="1"/>
  <c r="P29" i="45" a="1"/>
  <c r="P29" i="45" s="1"/>
  <c r="Q29" i="45" a="1"/>
  <c r="Q29" i="45" s="1"/>
  <c r="S29" i="45" a="1"/>
  <c r="S29" i="45" s="1"/>
  <c r="T29" i="45" a="1"/>
  <c r="T29" i="45" s="1"/>
  <c r="V29" i="45" a="1"/>
  <c r="V29" i="45" s="1"/>
  <c r="W29" i="45" a="1"/>
  <c r="W29" i="45" s="1"/>
  <c r="D30" i="45" a="1"/>
  <c r="D30" i="45" s="1"/>
  <c r="E30" i="45" a="1"/>
  <c r="E30" i="45" s="1"/>
  <c r="G30" i="45" a="1"/>
  <c r="G30" i="45" s="1"/>
  <c r="H30" i="45" a="1"/>
  <c r="H30" i="45" s="1"/>
  <c r="J30" i="45" a="1"/>
  <c r="J30" i="45" s="1"/>
  <c r="K30" i="45" a="1"/>
  <c r="K30" i="45" s="1"/>
  <c r="M30" i="45" a="1"/>
  <c r="M30" i="45" s="1"/>
  <c r="N30" i="45" a="1"/>
  <c r="N30" i="45" s="1"/>
  <c r="P30" i="45" a="1"/>
  <c r="P30" i="45" s="1"/>
  <c r="Q30" i="45" a="1"/>
  <c r="Q30" i="45" s="1"/>
  <c r="S30" i="45" a="1"/>
  <c r="S30" i="45" s="1"/>
  <c r="T30" i="45" a="1"/>
  <c r="T30" i="45" s="1"/>
  <c r="V30" i="45" a="1"/>
  <c r="V30" i="45" s="1"/>
  <c r="W30" i="45" a="1"/>
  <c r="W30" i="45" s="1"/>
  <c r="D31" i="45" a="1"/>
  <c r="D31" i="45" s="1"/>
  <c r="E31" i="45" a="1"/>
  <c r="E31" i="45" s="1"/>
  <c r="G31" i="45" a="1"/>
  <c r="G31" i="45" s="1"/>
  <c r="H31" i="45" a="1"/>
  <c r="H31" i="45" s="1"/>
  <c r="J31" i="45" a="1"/>
  <c r="J31" i="45" s="1"/>
  <c r="K31" i="45" a="1"/>
  <c r="K31" i="45" s="1"/>
  <c r="M31" i="45" a="1"/>
  <c r="M31" i="45" s="1"/>
  <c r="N31" i="45" a="1"/>
  <c r="N31" i="45" s="1"/>
  <c r="P31" i="45" a="1"/>
  <c r="P31" i="45" s="1"/>
  <c r="Q31" i="45" a="1"/>
  <c r="Q31" i="45" s="1"/>
  <c r="S31" i="45" a="1"/>
  <c r="S31" i="45" s="1"/>
  <c r="T31" i="45" a="1"/>
  <c r="T31" i="45" s="1"/>
  <c r="V31" i="45" a="1"/>
  <c r="V31" i="45" s="1"/>
  <c r="W31" i="45" a="1"/>
  <c r="W31" i="45" s="1"/>
  <c r="D32" i="45" a="1"/>
  <c r="D32" i="45" s="1"/>
  <c r="E32" i="45" a="1"/>
  <c r="E32" i="45" s="1"/>
  <c r="G32" i="45" a="1"/>
  <c r="G32" i="45" s="1"/>
  <c r="H32" i="45" a="1"/>
  <c r="H32" i="45" s="1"/>
  <c r="J32" i="45" a="1"/>
  <c r="J32" i="45" s="1"/>
  <c r="K32" i="45" a="1"/>
  <c r="K32" i="45" s="1"/>
  <c r="M32" i="45" a="1"/>
  <c r="M32" i="45" s="1"/>
  <c r="N32" i="45" a="1"/>
  <c r="N32" i="45" s="1"/>
  <c r="P32" i="45" a="1"/>
  <c r="P32" i="45" s="1"/>
  <c r="Q32" i="45" a="1"/>
  <c r="Q32" i="45" s="1"/>
  <c r="S32" i="45" a="1"/>
  <c r="S32" i="45" s="1"/>
  <c r="T32" i="45" a="1"/>
  <c r="T32" i="45" s="1"/>
  <c r="V32" i="45" a="1"/>
  <c r="V32" i="45" s="1"/>
  <c r="W32" i="45" a="1"/>
  <c r="W32" i="45" s="1"/>
  <c r="D33" i="45" a="1"/>
  <c r="D33" i="45" s="1"/>
  <c r="E33" i="45" a="1"/>
  <c r="E33" i="45" s="1"/>
  <c r="G33" i="45" a="1"/>
  <c r="G33" i="45" s="1"/>
  <c r="H33" i="45" a="1"/>
  <c r="H33" i="45" s="1"/>
  <c r="J33" i="45" a="1"/>
  <c r="J33" i="45" s="1"/>
  <c r="K33" i="45" a="1"/>
  <c r="K33" i="45" s="1"/>
  <c r="M33" i="45" a="1"/>
  <c r="M33" i="45" s="1"/>
  <c r="N33" i="45" a="1"/>
  <c r="N33" i="45" s="1"/>
  <c r="P33" i="45" a="1"/>
  <c r="P33" i="45" s="1"/>
  <c r="Q33" i="45" a="1"/>
  <c r="Q33" i="45" s="1"/>
  <c r="S33" i="45" a="1"/>
  <c r="S33" i="45" s="1"/>
  <c r="T33" i="45" a="1"/>
  <c r="T33" i="45" s="1"/>
  <c r="V33" i="45" a="1"/>
  <c r="V33" i="45" s="1"/>
  <c r="W33" i="45" a="1"/>
  <c r="W33" i="45" s="1"/>
  <c r="D34" i="45" a="1"/>
  <c r="D34" i="45" s="1"/>
  <c r="E34" i="45" a="1"/>
  <c r="E34" i="45" s="1"/>
  <c r="G34" i="45" a="1"/>
  <c r="G34" i="45" s="1"/>
  <c r="H34" i="45" a="1"/>
  <c r="H34" i="45" s="1"/>
  <c r="J34" i="45" a="1"/>
  <c r="J34" i="45" s="1"/>
  <c r="K34" i="45" a="1"/>
  <c r="K34" i="45" s="1"/>
  <c r="M34" i="45" a="1"/>
  <c r="M34" i="45" s="1"/>
  <c r="N34" i="45" a="1"/>
  <c r="N34" i="45" s="1"/>
  <c r="P34" i="45" a="1"/>
  <c r="P34" i="45" s="1"/>
  <c r="Q34" i="45" a="1"/>
  <c r="Q34" i="45" s="1"/>
  <c r="S34" i="45" a="1"/>
  <c r="S34" i="45" s="1"/>
  <c r="T34" i="45" a="1"/>
  <c r="T34" i="45" s="1"/>
  <c r="V34" i="45" a="1"/>
  <c r="V34" i="45" s="1"/>
  <c r="W34" i="45" a="1"/>
  <c r="W34" i="45" s="1"/>
  <c r="D35" i="45" a="1"/>
  <c r="D35" i="45" s="1"/>
  <c r="E35" i="45" a="1"/>
  <c r="E35" i="45" s="1"/>
  <c r="G35" i="45" a="1"/>
  <c r="G35" i="45" s="1"/>
  <c r="H35" i="45" a="1"/>
  <c r="H35" i="45" s="1"/>
  <c r="G51" i="45" a="1"/>
  <c r="G51" i="45" s="1"/>
  <c r="E51" i="45" a="1"/>
  <c r="E51" i="45" s="1"/>
  <c r="J35" i="45" a="1"/>
  <c r="J35" i="45" s="1"/>
  <c r="K35" i="45" a="1"/>
  <c r="K35" i="45" s="1"/>
  <c r="M35" i="45" a="1"/>
  <c r="M35" i="45" s="1"/>
  <c r="N35" i="45" a="1"/>
  <c r="N35" i="45" s="1"/>
  <c r="P35" i="45" a="1"/>
  <c r="P35" i="45" s="1"/>
  <c r="Q35" i="45" a="1"/>
  <c r="Q35" i="45" s="1"/>
  <c r="D51" i="45" a="1"/>
  <c r="D51" i="45" s="1"/>
  <c r="W50" i="45" a="1"/>
  <c r="W50" i="45" s="1"/>
  <c r="S35" i="45" a="1"/>
  <c r="S35" i="45" s="1"/>
  <c r="T35" i="45" a="1"/>
  <c r="T35" i="45" s="1"/>
  <c r="V35" i="45" a="1"/>
  <c r="V35" i="45" s="1"/>
  <c r="W35" i="45" a="1"/>
  <c r="W35" i="45" s="1"/>
  <c r="D36" i="45" a="1"/>
  <c r="D36" i="45" s="1"/>
  <c r="E36" i="45" a="1"/>
  <c r="E36" i="45" s="1"/>
  <c r="G36" i="45" a="1"/>
  <c r="G36" i="45" s="1"/>
  <c r="V50" i="45" a="1"/>
  <c r="V50" i="45" s="1"/>
  <c r="X50" i="45" s="1"/>
  <c r="T50" i="45" a="1"/>
  <c r="T50" i="45" s="1"/>
  <c r="H36" i="45" a="1"/>
  <c r="H36" i="45" s="1"/>
  <c r="J36" i="45" a="1"/>
  <c r="J36" i="45" s="1"/>
  <c r="K36" i="45" a="1"/>
  <c r="K36" i="45" s="1"/>
  <c r="M36" i="45" a="1"/>
  <c r="M36" i="45" s="1"/>
  <c r="N36" i="45" a="1"/>
  <c r="N36" i="45" s="1"/>
  <c r="P36" i="45" a="1"/>
  <c r="P36" i="45" s="1"/>
  <c r="S50" i="45" a="1"/>
  <c r="S50" i="45" s="1"/>
  <c r="Q50" i="45" a="1"/>
  <c r="Q50" i="45" s="1"/>
  <c r="Q36" i="45" a="1"/>
  <c r="Q36" i="45" s="1"/>
  <c r="S36" i="45" a="1"/>
  <c r="S36" i="45" s="1"/>
  <c r="T36" i="45" a="1"/>
  <c r="T36" i="45" s="1"/>
  <c r="V36" i="45" a="1"/>
  <c r="V36" i="45" s="1"/>
  <c r="W36" i="45" a="1"/>
  <c r="W36" i="45" s="1"/>
  <c r="D37" i="45" a="1"/>
  <c r="D37" i="45" s="1"/>
  <c r="E37" i="45" a="1"/>
  <c r="E37" i="45" s="1"/>
  <c r="P50" i="45" a="1"/>
  <c r="P50" i="45" s="1"/>
  <c r="R50" i="45" s="1"/>
  <c r="N50" i="45" a="1"/>
  <c r="N50" i="45" s="1"/>
  <c r="G37" i="45" a="1"/>
  <c r="G37" i="45" s="1"/>
  <c r="H37" i="45" a="1"/>
  <c r="H37" i="45" s="1"/>
  <c r="J37" i="45" a="1"/>
  <c r="J37" i="45" s="1"/>
  <c r="K37" i="45" a="1"/>
  <c r="K37" i="45" s="1"/>
  <c r="M37" i="45" a="1"/>
  <c r="M37" i="45" s="1"/>
  <c r="N37" i="45" a="1"/>
  <c r="N37" i="45" s="1"/>
  <c r="P37" i="45" a="1"/>
  <c r="P37" i="45" s="1"/>
  <c r="Q37" i="45" a="1"/>
  <c r="Q37" i="45" s="1"/>
  <c r="S37" i="45" a="1"/>
  <c r="S37" i="45" s="1"/>
  <c r="T37" i="45" a="1"/>
  <c r="T37" i="45" s="1"/>
  <c r="V37" i="45" a="1"/>
  <c r="V37" i="45" s="1"/>
  <c r="W37" i="45" a="1"/>
  <c r="W37" i="45" s="1"/>
  <c r="D38" i="45" a="1"/>
  <c r="D38" i="45" s="1"/>
  <c r="E38" i="45" a="1"/>
  <c r="E38" i="45" s="1"/>
  <c r="G38" i="45" a="1"/>
  <c r="G38" i="45" s="1"/>
  <c r="H38" i="45" a="1"/>
  <c r="H38" i="45" s="1"/>
  <c r="J38" i="45" a="1"/>
  <c r="J38" i="45" s="1"/>
  <c r="K38" i="45" a="1"/>
  <c r="K38" i="45" s="1"/>
  <c r="M38" i="45" a="1"/>
  <c r="M38" i="45" s="1"/>
  <c r="N38" i="45" a="1"/>
  <c r="N38" i="45" s="1"/>
  <c r="P38" i="45" a="1"/>
  <c r="P38" i="45" s="1"/>
  <c r="Q38" i="45" a="1"/>
  <c r="Q38" i="45" s="1"/>
  <c r="S38" i="45" a="1"/>
  <c r="S38" i="45" s="1"/>
  <c r="T38" i="45" a="1"/>
  <c r="T38" i="45" s="1"/>
  <c r="V38" i="45" a="1"/>
  <c r="V38" i="45" s="1"/>
  <c r="W38" i="45" a="1"/>
  <c r="W38" i="45" s="1"/>
  <c r="D39" i="45" a="1"/>
  <c r="D39" i="45" s="1"/>
  <c r="E39" i="45" a="1"/>
  <c r="E39" i="45" s="1"/>
  <c r="G39" i="45" a="1"/>
  <c r="G39" i="45" s="1"/>
  <c r="H39" i="45" a="1"/>
  <c r="H39" i="45" s="1"/>
  <c r="J39" i="45" a="1"/>
  <c r="J39" i="45" s="1"/>
  <c r="K39" i="45" a="1"/>
  <c r="K39" i="45" s="1"/>
  <c r="M39" i="45" a="1"/>
  <c r="M39" i="45" s="1"/>
  <c r="N39" i="45" a="1"/>
  <c r="N39" i="45" s="1"/>
  <c r="P39" i="45" a="1"/>
  <c r="P39" i="45" s="1"/>
  <c r="Q39" i="45" a="1"/>
  <c r="Q39" i="45" s="1"/>
  <c r="S39" i="45" a="1"/>
  <c r="S39" i="45" s="1"/>
  <c r="T39" i="45" a="1"/>
  <c r="T39" i="45" s="1"/>
  <c r="V39" i="45" a="1"/>
  <c r="V39" i="45" s="1"/>
  <c r="W39" i="45" a="1"/>
  <c r="W39" i="45" s="1"/>
  <c r="D40" i="45" a="1"/>
  <c r="D40" i="45" s="1"/>
  <c r="E40" i="45" a="1"/>
  <c r="E40" i="45" s="1"/>
  <c r="G40" i="45" a="1"/>
  <c r="G40" i="45" s="1"/>
  <c r="H40" i="45" a="1"/>
  <c r="H40" i="45" s="1"/>
  <c r="J40" i="45" a="1"/>
  <c r="J40" i="45" s="1"/>
  <c r="K40" i="45" a="1"/>
  <c r="K40" i="45" s="1"/>
  <c r="M40" i="45" a="1"/>
  <c r="M40" i="45" s="1"/>
  <c r="N40" i="45" a="1"/>
  <c r="N40" i="45" s="1"/>
  <c r="P40" i="45" a="1"/>
  <c r="P40" i="45" s="1"/>
  <c r="Q40" i="45" a="1"/>
  <c r="Q40" i="45" s="1"/>
  <c r="S40" i="45" a="1"/>
  <c r="S40" i="45" s="1"/>
  <c r="T40" i="45" a="1"/>
  <c r="T40" i="45" s="1"/>
  <c r="V40" i="45" a="1"/>
  <c r="V40" i="45" s="1"/>
  <c r="W40" i="45" a="1"/>
  <c r="W40" i="45" s="1"/>
  <c r="D41" i="45" a="1"/>
  <c r="D41" i="45" s="1"/>
  <c r="E41" i="45" a="1"/>
  <c r="E41" i="45" s="1"/>
  <c r="G41" i="45" a="1"/>
  <c r="G41" i="45" s="1"/>
  <c r="H41" i="45" a="1"/>
  <c r="H41" i="45" s="1"/>
  <c r="J41" i="45" a="1"/>
  <c r="J41" i="45" s="1"/>
  <c r="K41" i="45" a="1"/>
  <c r="K41" i="45" s="1"/>
  <c r="M41" i="45" a="1"/>
  <c r="M41" i="45" s="1"/>
  <c r="N41" i="45" a="1"/>
  <c r="N41" i="45" s="1"/>
  <c r="P41" i="45" a="1"/>
  <c r="P41" i="45" s="1"/>
  <c r="Q41" i="45" a="1"/>
  <c r="Q41" i="45" s="1"/>
  <c r="S41" i="45" a="1"/>
  <c r="S41" i="45" s="1"/>
  <c r="M50" i="45" a="1"/>
  <c r="M50" i="45" s="1"/>
  <c r="K50" i="45" a="1"/>
  <c r="K50" i="45" s="1"/>
  <c r="J50" i="45" a="1"/>
  <c r="J50" i="45" s="1"/>
  <c r="H50" i="45" a="1"/>
  <c r="H50" i="45" s="1"/>
  <c r="G50" i="45" a="1"/>
  <c r="G50" i="45" s="1"/>
  <c r="E50" i="45" a="1"/>
  <c r="E50" i="45" s="1"/>
  <c r="D50" i="45" a="1"/>
  <c r="D50" i="45" s="1"/>
  <c r="W49" i="45" a="1"/>
  <c r="W49" i="45" s="1"/>
  <c r="V49" i="45" a="1"/>
  <c r="V49" i="45" s="1"/>
  <c r="T49" i="45" a="1"/>
  <c r="T49" i="45" s="1"/>
  <c r="S49" i="45" a="1"/>
  <c r="S49" i="45" s="1"/>
  <c r="Q49" i="45" a="1"/>
  <c r="Q49" i="45" s="1"/>
  <c r="P49" i="45" a="1"/>
  <c r="P49" i="45" s="1"/>
  <c r="N49" i="45" a="1"/>
  <c r="N49" i="45" s="1"/>
  <c r="M49" i="45" a="1"/>
  <c r="M49" i="45" s="1"/>
  <c r="K49" i="45" a="1"/>
  <c r="K49" i="45" s="1"/>
  <c r="J49" i="45" a="1"/>
  <c r="J49" i="45" s="1"/>
  <c r="H49" i="45" a="1"/>
  <c r="H49" i="45" s="1"/>
  <c r="G49" i="45" a="1"/>
  <c r="G49" i="45" s="1"/>
  <c r="E49" i="45" a="1"/>
  <c r="E49" i="45" s="1"/>
  <c r="D49" i="45" a="1"/>
  <c r="D49" i="45" s="1"/>
  <c r="W48" i="45" a="1"/>
  <c r="W48" i="45" s="1"/>
  <c r="V48" i="45" a="1"/>
  <c r="V48" i="45" s="1"/>
  <c r="T48" i="45" a="1"/>
  <c r="T48" i="45" s="1"/>
  <c r="S48" i="45" a="1"/>
  <c r="S48" i="45" s="1"/>
  <c r="Q48" i="45" a="1"/>
  <c r="Q48" i="45" s="1"/>
  <c r="P48" i="45" a="1"/>
  <c r="P48" i="45" s="1"/>
  <c r="N48" i="45" a="1"/>
  <c r="N48" i="45" s="1"/>
  <c r="M48" i="45" a="1"/>
  <c r="M48" i="45" s="1"/>
  <c r="K48" i="45" a="1"/>
  <c r="K48" i="45" s="1"/>
  <c r="J48" i="45" a="1"/>
  <c r="J48" i="45" s="1"/>
  <c r="H48" i="45" a="1"/>
  <c r="H48" i="45" s="1"/>
  <c r="G48" i="45" a="1"/>
  <c r="G48" i="45" s="1"/>
  <c r="E48" i="45" a="1"/>
  <c r="E48" i="45" s="1"/>
  <c r="D48" i="45" a="1"/>
  <c r="D48" i="45" s="1"/>
  <c r="W47" i="45" a="1"/>
  <c r="W47" i="45" s="1"/>
  <c r="V47" i="45" a="1"/>
  <c r="V47" i="45" s="1"/>
  <c r="T47" i="45" a="1"/>
  <c r="T47" i="45" s="1"/>
  <c r="S47" i="45" a="1"/>
  <c r="S47" i="45" s="1"/>
  <c r="Q47" i="45" a="1"/>
  <c r="Q47" i="45" s="1"/>
  <c r="P47" i="45" a="1"/>
  <c r="P47" i="45" s="1"/>
  <c r="N47" i="45" a="1"/>
  <c r="N47" i="45" s="1"/>
  <c r="M47" i="45" a="1"/>
  <c r="M47" i="45" s="1"/>
  <c r="K47" i="45" a="1"/>
  <c r="K47" i="45" s="1"/>
  <c r="J47" i="45" a="1"/>
  <c r="J47" i="45" s="1"/>
  <c r="H47" i="45" a="1"/>
  <c r="H47" i="45" s="1"/>
  <c r="G52" i="45" a="1"/>
  <c r="G52" i="45" s="1"/>
  <c r="E47" i="45" a="1"/>
  <c r="E47" i="45" s="1"/>
  <c r="D47" i="45" a="1"/>
  <c r="D47" i="45" s="1"/>
  <c r="W46" i="45" a="1"/>
  <c r="W46" i="45" s="1"/>
  <c r="V46" i="45" a="1"/>
  <c r="V46" i="45" s="1"/>
  <c r="T46" i="45" a="1"/>
  <c r="T46" i="45" s="1"/>
  <c r="S46" i="45" a="1"/>
  <c r="S46" i="45" s="1"/>
  <c r="Q46" i="45" a="1"/>
  <c r="Q46" i="45" s="1"/>
  <c r="P46" i="45" a="1"/>
  <c r="P46" i="45" s="1"/>
  <c r="N46" i="45" a="1"/>
  <c r="N46" i="45" s="1"/>
  <c r="M46" i="45" a="1"/>
  <c r="M46" i="45" s="1"/>
  <c r="K46" i="45" a="1"/>
  <c r="K46" i="45" s="1"/>
  <c r="J46" i="45" a="1"/>
  <c r="J46" i="45" s="1"/>
  <c r="H46" i="45" a="1"/>
  <c r="H46" i="45" s="1"/>
  <c r="G46" i="45" a="1"/>
  <c r="G46" i="45" s="1"/>
  <c r="E46" i="45" a="1"/>
  <c r="E46" i="45" s="1"/>
  <c r="D46" i="45" a="1"/>
  <c r="D46" i="45" s="1"/>
  <c r="W45" i="45" a="1"/>
  <c r="W45" i="45" s="1"/>
  <c r="V45" i="45" a="1"/>
  <c r="V45" i="45" s="1"/>
  <c r="T45" i="45" a="1"/>
  <c r="T45" i="45" s="1"/>
  <c r="S45" i="45" a="1"/>
  <c r="S45" i="45" s="1"/>
  <c r="Q45" i="45" a="1"/>
  <c r="Q45" i="45" s="1"/>
  <c r="P45" i="45" a="1"/>
  <c r="P45" i="45" s="1"/>
  <c r="N45" i="45" a="1"/>
  <c r="N45" i="45" s="1"/>
  <c r="M45" i="45" a="1"/>
  <c r="M45" i="45" s="1"/>
  <c r="K45" i="45" a="1"/>
  <c r="K45" i="45" s="1"/>
  <c r="J45" i="45" a="1"/>
  <c r="J45" i="45" s="1"/>
  <c r="H45" i="45" a="1"/>
  <c r="H45" i="45" s="1"/>
  <c r="G45" i="45" a="1"/>
  <c r="G45" i="45" s="1"/>
  <c r="E45" i="45" a="1"/>
  <c r="E45" i="45" s="1"/>
  <c r="D45" i="45" a="1"/>
  <c r="D45" i="45" s="1"/>
  <c r="W44" i="45" a="1"/>
  <c r="W44" i="45" s="1"/>
  <c r="V44" i="45" a="1"/>
  <c r="V44" i="45" s="1"/>
  <c r="T44" i="45" a="1"/>
  <c r="T44" i="45" s="1"/>
  <c r="S44" i="45" a="1"/>
  <c r="S44" i="45" s="1"/>
  <c r="Q44" i="45" a="1"/>
  <c r="Q44" i="45" s="1"/>
  <c r="P44" i="45" a="1"/>
  <c r="P44" i="45" s="1"/>
  <c r="N44" i="45" a="1"/>
  <c r="N44" i="45" s="1"/>
  <c r="M44" i="45" a="1"/>
  <c r="M44" i="45" s="1"/>
  <c r="K44" i="45" a="1"/>
  <c r="K44" i="45" s="1"/>
  <c r="J44" i="45" a="1"/>
  <c r="J44" i="45" s="1"/>
  <c r="H44" i="45" a="1"/>
  <c r="H44" i="45" s="1"/>
  <c r="G44" i="45" a="1"/>
  <c r="G44" i="45" s="1"/>
  <c r="E44" i="45" a="1"/>
  <c r="E44" i="45" s="1"/>
  <c r="D44" i="45" a="1"/>
  <c r="D44" i="45" s="1"/>
  <c r="W43" i="45" a="1"/>
  <c r="W43" i="45" s="1"/>
  <c r="V43" i="45" a="1"/>
  <c r="V43" i="45" s="1"/>
  <c r="T43" i="45" a="1"/>
  <c r="T43" i="45" s="1"/>
  <c r="S43" i="45" a="1"/>
  <c r="S43" i="45" s="1"/>
  <c r="Q43" i="45" a="1"/>
  <c r="Q43" i="45" s="1"/>
  <c r="P43" i="45" a="1"/>
  <c r="P43" i="45" s="1"/>
  <c r="N43" i="45" a="1"/>
  <c r="N43" i="45" s="1"/>
  <c r="M43" i="45" a="1"/>
  <c r="M43" i="45" s="1"/>
  <c r="K43" i="45" a="1"/>
  <c r="K43" i="45" s="1"/>
  <c r="J43" i="45" a="1"/>
  <c r="J43" i="45" s="1"/>
  <c r="H43" i="45" a="1"/>
  <c r="H43" i="45" s="1"/>
  <c r="G43" i="45" a="1"/>
  <c r="G43" i="45" s="1"/>
  <c r="E43" i="45" a="1"/>
  <c r="E43" i="45" s="1"/>
  <c r="D43" i="45" a="1"/>
  <c r="D43" i="45" s="1"/>
  <c r="W42" i="45" a="1"/>
  <c r="W42" i="45" s="1"/>
  <c r="V42" i="45" a="1"/>
  <c r="V42" i="45" s="1"/>
  <c r="T42" i="45" a="1"/>
  <c r="T42" i="45" s="1"/>
  <c r="S42" i="45" a="1"/>
  <c r="S42" i="45" s="1"/>
  <c r="Q42" i="45" a="1"/>
  <c r="Q42" i="45" s="1"/>
  <c r="P42" i="45" a="1"/>
  <c r="P42" i="45" s="1"/>
  <c r="N42" i="45" a="1"/>
  <c r="N42" i="45" s="1"/>
  <c r="M42" i="45" a="1"/>
  <c r="M42" i="45" s="1"/>
  <c r="K42" i="45" a="1"/>
  <c r="K42" i="45" s="1"/>
  <c r="J42" i="45" a="1"/>
  <c r="J42" i="45" s="1"/>
  <c r="L42" i="45" s="1"/>
  <c r="H42" i="45" a="1"/>
  <c r="H42" i="45" s="1"/>
  <c r="G42" i="45" a="1"/>
  <c r="G42" i="45" s="1"/>
  <c r="E42" i="45" a="1"/>
  <c r="E42" i="45" s="1"/>
  <c r="D42" i="45" a="1"/>
  <c r="D42" i="45" s="1"/>
  <c r="W41" i="45" a="1"/>
  <c r="W41" i="45" s="1"/>
  <c r="V41" i="45" a="1"/>
  <c r="V41" i="45" s="1"/>
  <c r="G47" i="45" a="1"/>
  <c r="G47" i="45" s="1"/>
  <c r="O22" i="46" a="1"/>
  <c r="O22" i="46" s="1"/>
  <c r="H15" i="46" a="1"/>
  <c r="H15" i="46" s="1"/>
  <c r="N31" i="46" a="1"/>
  <c r="N31" i="46" s="1"/>
  <c r="M31" i="46" a="1"/>
  <c r="M31" i="46" s="1"/>
  <c r="K31" i="46" a="1"/>
  <c r="K31" i="46" s="1"/>
  <c r="I31" i="46" a="1"/>
  <c r="I31" i="46" s="1"/>
  <c r="G31" i="46" a="1"/>
  <c r="G31" i="46" s="1"/>
  <c r="F31" i="46" a="1"/>
  <c r="F31" i="46" s="1"/>
  <c r="E31" i="46" a="1"/>
  <c r="E31" i="46" s="1"/>
  <c r="D31" i="46" a="1"/>
  <c r="D31" i="46" s="1"/>
  <c r="C31" i="46" a="1"/>
  <c r="C31" i="46" s="1"/>
  <c r="P30" i="46" a="1"/>
  <c r="P30" i="46" s="1"/>
  <c r="O30" i="46" a="1"/>
  <c r="O30" i="46" s="1"/>
  <c r="N30" i="46" a="1"/>
  <c r="N30" i="46" s="1"/>
  <c r="M30" i="46" a="1"/>
  <c r="M30" i="46" s="1"/>
  <c r="K30" i="46" a="1"/>
  <c r="K30" i="46" s="1"/>
  <c r="I30" i="46" a="1"/>
  <c r="I30" i="46" s="1"/>
  <c r="G30" i="46" a="1"/>
  <c r="G30" i="46" s="1"/>
  <c r="F30" i="46" a="1"/>
  <c r="F30" i="46" s="1"/>
  <c r="E30" i="46" a="1"/>
  <c r="E30" i="46" s="1"/>
  <c r="D30" i="46" a="1"/>
  <c r="D30" i="46" s="1"/>
  <c r="C30" i="46" a="1"/>
  <c r="C30" i="46" s="1"/>
  <c r="P29" i="46" a="1"/>
  <c r="P29" i="46" s="1"/>
  <c r="O29" i="46" a="1"/>
  <c r="O29" i="46" s="1"/>
  <c r="N29" i="46" a="1"/>
  <c r="N29" i="46" s="1"/>
  <c r="M29" i="46" a="1"/>
  <c r="M29" i="46" s="1"/>
  <c r="K29" i="46" a="1"/>
  <c r="K29" i="46" s="1"/>
  <c r="I29" i="46" a="1"/>
  <c r="I29" i="46" s="1"/>
  <c r="P6" i="46" a="1"/>
  <c r="P6" i="46" s="1"/>
  <c r="O6" i="46" a="1"/>
  <c r="O6" i="46" s="1"/>
  <c r="N6" i="46" a="1"/>
  <c r="N6" i="46" s="1"/>
  <c r="M6" i="46" a="1"/>
  <c r="M6" i="46" s="1"/>
  <c r="L6" i="46" a="1"/>
  <c r="L6" i="46" s="1"/>
  <c r="K6" i="46" a="1"/>
  <c r="K6" i="46" s="1"/>
  <c r="J6" i="46" a="1"/>
  <c r="J6" i="46" s="1"/>
  <c r="I6" i="46" a="1"/>
  <c r="I6" i="46" s="1"/>
  <c r="H6" i="46" a="1"/>
  <c r="H6" i="46" s="1"/>
  <c r="G6" i="46" a="1"/>
  <c r="G6" i="46" s="1"/>
  <c r="F6" i="46" a="1"/>
  <c r="F6" i="46" s="1"/>
  <c r="E6" i="46" a="1"/>
  <c r="E6" i="46" s="1"/>
  <c r="D6" i="46" a="1"/>
  <c r="D6" i="46" s="1"/>
  <c r="C6" i="46" a="1"/>
  <c r="C6" i="46" s="1"/>
  <c r="P5" i="46" a="1"/>
  <c r="P5" i="46" s="1"/>
  <c r="O5" i="46" a="1"/>
  <c r="O5" i="46" s="1"/>
  <c r="N5" i="46" a="1"/>
  <c r="N5" i="46" s="1"/>
  <c r="M5" i="46" a="1"/>
  <c r="M5" i="46" s="1"/>
  <c r="L5" i="46" a="1"/>
  <c r="L5" i="46" s="1"/>
  <c r="K5" i="46" a="1"/>
  <c r="K5" i="46" s="1"/>
  <c r="J5" i="46" a="1"/>
  <c r="J5" i="46" s="1"/>
  <c r="I5" i="46" a="1"/>
  <c r="I5" i="46" s="1"/>
  <c r="H5" i="46" a="1"/>
  <c r="H5" i="46" s="1"/>
  <c r="G5" i="46" a="1"/>
  <c r="G5" i="46" s="1"/>
  <c r="F5" i="46" a="1"/>
  <c r="F5" i="46" s="1"/>
  <c r="E5" i="46" a="1"/>
  <c r="E5" i="46" s="1"/>
  <c r="D5" i="46" a="1"/>
  <c r="D5" i="46" s="1"/>
  <c r="C5" i="46" a="1"/>
  <c r="C5" i="46" s="1"/>
  <c r="G29" i="46" a="1"/>
  <c r="G29" i="46" s="1"/>
  <c r="F29" i="46" a="1"/>
  <c r="F29" i="46" s="1"/>
  <c r="E29" i="46" a="1"/>
  <c r="E29" i="46" s="1"/>
  <c r="D29" i="46" a="1"/>
  <c r="D29" i="46" s="1"/>
  <c r="C29" i="46" a="1"/>
  <c r="C29" i="46" s="1"/>
  <c r="P28" i="46" a="1"/>
  <c r="P28" i="46" s="1"/>
  <c r="O28" i="46" a="1"/>
  <c r="O28" i="46" s="1"/>
  <c r="N28" i="46" a="1"/>
  <c r="N28" i="46" s="1"/>
  <c r="M28" i="46" a="1"/>
  <c r="M28" i="46" s="1"/>
  <c r="K28" i="46" a="1"/>
  <c r="K28" i="46" s="1"/>
  <c r="I28" i="46" a="1"/>
  <c r="I28" i="46" s="1"/>
  <c r="G28" i="46" a="1"/>
  <c r="G28" i="46" s="1"/>
  <c r="F28" i="46" a="1"/>
  <c r="F28" i="46" s="1"/>
  <c r="E28" i="46" a="1"/>
  <c r="E28" i="46" s="1"/>
  <c r="D28" i="46" a="1"/>
  <c r="D28" i="46" s="1"/>
  <c r="C28" i="46" a="1"/>
  <c r="C28" i="46" s="1"/>
  <c r="P27" i="46" a="1"/>
  <c r="P27" i="46" s="1"/>
  <c r="O27" i="46" a="1"/>
  <c r="O27" i="46" s="1"/>
  <c r="N27" i="46" a="1"/>
  <c r="N27" i="46" s="1"/>
  <c r="M27" i="46" a="1"/>
  <c r="M27" i="46" s="1"/>
  <c r="K27" i="46" a="1"/>
  <c r="K27" i="46" s="1"/>
  <c r="I27" i="46" a="1"/>
  <c r="I27" i="46" s="1"/>
  <c r="G27" i="46" a="1"/>
  <c r="G27" i="46" s="1"/>
  <c r="C7" i="46" a="1"/>
  <c r="C7" i="46" s="1"/>
  <c r="D7" i="46" a="1"/>
  <c r="D7" i="46" s="1"/>
  <c r="E7" i="46" a="1"/>
  <c r="E7" i="46" s="1"/>
  <c r="F7" i="46" a="1"/>
  <c r="F7" i="46" s="1"/>
  <c r="G7" i="46" a="1"/>
  <c r="G7" i="46" s="1"/>
  <c r="H7" i="46" a="1"/>
  <c r="H7" i="46" s="1"/>
  <c r="I7" i="46" a="1"/>
  <c r="I7" i="46" s="1"/>
  <c r="J7" i="46" a="1"/>
  <c r="J7" i="46" s="1"/>
  <c r="L14" i="46" a="1"/>
  <c r="L14" i="46" s="1"/>
  <c r="M14" i="46" a="1"/>
  <c r="M14" i="46" s="1"/>
  <c r="N14" i="46" a="1"/>
  <c r="N14" i="46" s="1"/>
  <c r="K7" i="46" a="1"/>
  <c r="K7" i="46" s="1"/>
  <c r="L7" i="46" a="1"/>
  <c r="L7" i="46" s="1"/>
  <c r="M7" i="46" a="1"/>
  <c r="M7" i="46" s="1"/>
  <c r="N7" i="46" a="1"/>
  <c r="N7" i="46" s="1"/>
  <c r="O7" i="46" a="1"/>
  <c r="O7" i="46" s="1"/>
  <c r="P7" i="46" a="1"/>
  <c r="P7" i="46" s="1"/>
  <c r="C8" i="46" a="1"/>
  <c r="C8" i="46" s="1"/>
  <c r="D8" i="46" a="1"/>
  <c r="D8" i="46" s="1"/>
  <c r="E8" i="46" a="1"/>
  <c r="E8" i="46" s="1"/>
  <c r="F8" i="46" a="1"/>
  <c r="F8" i="46" s="1"/>
  <c r="G8" i="46" a="1"/>
  <c r="G8" i="46" s="1"/>
  <c r="H8" i="46" a="1"/>
  <c r="H8" i="46" s="1"/>
  <c r="I8" i="46" a="1"/>
  <c r="I8" i="46" s="1"/>
  <c r="J8" i="46" a="1"/>
  <c r="J8" i="46" s="1"/>
  <c r="K8" i="46" a="1"/>
  <c r="K8" i="46" s="1"/>
  <c r="L8" i="46" a="1"/>
  <c r="L8" i="46" s="1"/>
  <c r="M8" i="46" a="1"/>
  <c r="M8" i="46" s="1"/>
  <c r="N8" i="46" a="1"/>
  <c r="N8" i="46" s="1"/>
  <c r="O8" i="46" a="1"/>
  <c r="O8" i="46" s="1"/>
  <c r="P8" i="46" a="1"/>
  <c r="P8" i="46" s="1"/>
  <c r="C9" i="46" a="1"/>
  <c r="C9" i="46" s="1"/>
  <c r="D9" i="46" a="1"/>
  <c r="D9" i="46" s="1"/>
  <c r="E9" i="46" a="1"/>
  <c r="E9" i="46" s="1"/>
  <c r="F9" i="46" a="1"/>
  <c r="F9" i="46" s="1"/>
  <c r="F27" i="46" a="1"/>
  <c r="F27" i="46" s="1"/>
  <c r="E27" i="46" a="1"/>
  <c r="E27" i="46" s="1"/>
  <c r="D27" i="46" a="1"/>
  <c r="D27" i="46" s="1"/>
  <c r="C27" i="46" a="1"/>
  <c r="C27" i="46" s="1"/>
  <c r="P26" i="46" a="1"/>
  <c r="P26" i="46" s="1"/>
  <c r="O26" i="46" a="1"/>
  <c r="O26" i="46" s="1"/>
  <c r="N26" i="46" a="1"/>
  <c r="N26" i="46" s="1"/>
  <c r="M26" i="46" a="1"/>
  <c r="M26" i="46" s="1"/>
  <c r="K26" i="46" a="1"/>
  <c r="K26" i="46" s="1"/>
  <c r="I26" i="46" a="1"/>
  <c r="I26" i="46" s="1"/>
  <c r="G26" i="46" a="1"/>
  <c r="G26" i="46" s="1"/>
  <c r="F26" i="46" a="1"/>
  <c r="F26" i="46" s="1"/>
  <c r="E26" i="46" a="1"/>
  <c r="E26" i="46" s="1"/>
  <c r="D26" i="46" a="1"/>
  <c r="D26" i="46" s="1"/>
  <c r="C26" i="46" a="1"/>
  <c r="C26" i="46" s="1"/>
  <c r="P25" i="46" a="1"/>
  <c r="P25" i="46" s="1"/>
  <c r="O25" i="46" a="1"/>
  <c r="O25" i="46" s="1"/>
  <c r="N25" i="46" a="1"/>
  <c r="N25" i="46" s="1"/>
  <c r="M25" i="46" a="1"/>
  <c r="M25" i="46" s="1"/>
  <c r="K25" i="46" a="1"/>
  <c r="K25" i="46" s="1"/>
  <c r="I25" i="46" a="1"/>
  <c r="I25" i="46" s="1"/>
  <c r="G25" i="46" a="1"/>
  <c r="G25" i="46" s="1"/>
  <c r="F25" i="46" a="1"/>
  <c r="F25" i="46" s="1"/>
  <c r="E25" i="46" a="1"/>
  <c r="E25" i="46" s="1"/>
  <c r="D25" i="46" a="1"/>
  <c r="D25" i="46" s="1"/>
  <c r="C25" i="46" a="1"/>
  <c r="C25" i="46" s="1"/>
  <c r="P24" i="46" a="1"/>
  <c r="P24" i="46" s="1"/>
  <c r="O24" i="46" a="1"/>
  <c r="O24" i="46" s="1"/>
  <c r="N24" i="46" a="1"/>
  <c r="N24" i="46" s="1"/>
  <c r="M24" i="46" a="1"/>
  <c r="M24" i="46" s="1"/>
  <c r="L24" i="46" a="1"/>
  <c r="L24" i="46" s="1"/>
  <c r="K24" i="46" a="1"/>
  <c r="K24" i="46" s="1"/>
  <c r="J24" i="46" a="1"/>
  <c r="J24" i="46" s="1"/>
  <c r="I24" i="46" a="1"/>
  <c r="I24" i="46" s="1"/>
  <c r="H24" i="46" a="1"/>
  <c r="H24" i="46" s="1"/>
  <c r="G24" i="46" a="1"/>
  <c r="G24" i="46" s="1"/>
  <c r="F24" i="46" a="1"/>
  <c r="F24" i="46" s="1"/>
  <c r="E24" i="46" a="1"/>
  <c r="E24" i="46" s="1"/>
  <c r="D24" i="46" a="1"/>
  <c r="D24" i="46" s="1"/>
  <c r="C24" i="46" a="1"/>
  <c r="C24" i="46" s="1"/>
  <c r="P23" i="46" a="1"/>
  <c r="P23" i="46" s="1"/>
  <c r="O23" i="46" a="1"/>
  <c r="O23" i="46" s="1"/>
  <c r="N23" i="46" a="1"/>
  <c r="N23" i="46" s="1"/>
  <c r="M23" i="46" a="1"/>
  <c r="M23" i="46" s="1"/>
  <c r="L23" i="46" a="1"/>
  <c r="L23" i="46" s="1"/>
  <c r="K23" i="46" a="1"/>
  <c r="K23" i="46" s="1"/>
  <c r="J23" i="46" a="1"/>
  <c r="J23" i="46" s="1"/>
  <c r="I23" i="46" a="1"/>
  <c r="I23" i="46" s="1"/>
  <c r="H23" i="46" a="1"/>
  <c r="H23" i="46" s="1"/>
  <c r="G23" i="46" a="1"/>
  <c r="G23" i="46" s="1"/>
  <c r="F23" i="46" a="1"/>
  <c r="F23" i="46" s="1"/>
  <c r="E23" i="46" a="1"/>
  <c r="E23" i="46" s="1"/>
  <c r="D23" i="46" a="1"/>
  <c r="D23" i="46" s="1"/>
  <c r="C23" i="46" a="1"/>
  <c r="C23" i="46" s="1"/>
  <c r="P22" i="46" a="1"/>
  <c r="P22" i="46" s="1"/>
  <c r="K14" i="46" a="1"/>
  <c r="K14" i="46" s="1"/>
  <c r="O31" i="46" a="1"/>
  <c r="O31" i="46" s="1"/>
  <c r="M22" i="46" a="1"/>
  <c r="M22" i="46" s="1"/>
  <c r="L22" i="46" a="1"/>
  <c r="L22" i="46" s="1"/>
  <c r="K22" i="46" a="1"/>
  <c r="K22" i="46" s="1"/>
  <c r="J22" i="46" a="1"/>
  <c r="J22" i="46" s="1"/>
  <c r="I22" i="46" a="1"/>
  <c r="I22" i="46" s="1"/>
  <c r="H22" i="46" a="1"/>
  <c r="H22" i="46" s="1"/>
  <c r="G22" i="46" a="1"/>
  <c r="G22" i="46" s="1"/>
  <c r="F22" i="46" a="1"/>
  <c r="F22" i="46" s="1"/>
  <c r="E22" i="46" a="1"/>
  <c r="E22" i="46" s="1"/>
  <c r="D22" i="46" a="1"/>
  <c r="D22" i="46" s="1"/>
  <c r="C22" i="46" a="1"/>
  <c r="C22" i="46" s="1"/>
  <c r="P21" i="46" a="1"/>
  <c r="P21" i="46" s="1"/>
  <c r="O21" i="46" a="1"/>
  <c r="O21" i="46" s="1"/>
  <c r="N21" i="46" a="1"/>
  <c r="N21" i="46" s="1"/>
  <c r="M21" i="46" a="1"/>
  <c r="M21" i="46" s="1"/>
  <c r="K21" i="46" a="1"/>
  <c r="K21" i="46" s="1"/>
  <c r="I21" i="46" a="1"/>
  <c r="I21" i="46" s="1"/>
  <c r="G21" i="46" a="1"/>
  <c r="G21" i="46" s="1"/>
  <c r="F21" i="46" a="1"/>
  <c r="F21" i="46" s="1"/>
  <c r="E21" i="46" a="1"/>
  <c r="E21" i="46" s="1"/>
  <c r="D21" i="46" a="1"/>
  <c r="D21" i="46" s="1"/>
  <c r="C21" i="46" a="1"/>
  <c r="C21" i="46" s="1"/>
  <c r="P20" i="46" a="1"/>
  <c r="P20" i="46" s="1"/>
  <c r="O20" i="46" a="1"/>
  <c r="O20" i="46" s="1"/>
  <c r="N20" i="46" a="1"/>
  <c r="N20" i="46" s="1"/>
  <c r="M20" i="46" a="1"/>
  <c r="M20" i="46" s="1"/>
  <c r="L20" i="46" a="1"/>
  <c r="L20" i="46" s="1"/>
  <c r="K20" i="46" a="1"/>
  <c r="K20" i="46" s="1"/>
  <c r="J20" i="46" a="1"/>
  <c r="J20" i="46" s="1"/>
  <c r="I20" i="46" a="1"/>
  <c r="I20" i="46" s="1"/>
  <c r="H20" i="46" a="1"/>
  <c r="H20" i="46" s="1"/>
  <c r="G20" i="46" a="1"/>
  <c r="G20" i="46" s="1"/>
  <c r="F20" i="46" a="1"/>
  <c r="F20" i="46" s="1"/>
  <c r="E20" i="46" a="1"/>
  <c r="E20" i="46" s="1"/>
  <c r="D20" i="46" a="1"/>
  <c r="D20" i="46" s="1"/>
  <c r="C20" i="46" a="1"/>
  <c r="C20" i="46" s="1"/>
  <c r="P19" i="46" a="1"/>
  <c r="P19" i="46" s="1"/>
  <c r="O19" i="46" a="1"/>
  <c r="O19" i="46" s="1"/>
  <c r="N19" i="46" a="1"/>
  <c r="N19" i="46" s="1"/>
  <c r="M19" i="46" a="1"/>
  <c r="M19" i="46" s="1"/>
  <c r="L19" i="46" a="1"/>
  <c r="L19" i="46" s="1"/>
  <c r="K19" i="46" a="1"/>
  <c r="K19" i="46" s="1"/>
  <c r="J19" i="46" a="1"/>
  <c r="J19" i="46" s="1"/>
  <c r="I19" i="46" a="1"/>
  <c r="I19" i="46" s="1"/>
  <c r="H19" i="46" a="1"/>
  <c r="H19" i="46" s="1"/>
  <c r="G19" i="46" a="1"/>
  <c r="G19" i="46" s="1"/>
  <c r="F19" i="46" a="1"/>
  <c r="F19" i="46" s="1"/>
  <c r="E19" i="46" a="1"/>
  <c r="E19" i="46" s="1"/>
  <c r="D19" i="46" a="1"/>
  <c r="D19" i="46" s="1"/>
  <c r="C19" i="46" a="1"/>
  <c r="C19" i="46" s="1"/>
  <c r="P18" i="46" a="1"/>
  <c r="P18" i="46" s="1"/>
  <c r="O18" i="46" a="1"/>
  <c r="O18" i="46" s="1"/>
  <c r="N18" i="46" a="1"/>
  <c r="N18" i="46" s="1"/>
  <c r="M18" i="46" a="1"/>
  <c r="M18" i="46" s="1"/>
  <c r="L18" i="46" a="1"/>
  <c r="L18" i="46" s="1"/>
  <c r="K18" i="46" a="1"/>
  <c r="K18" i="46" s="1"/>
  <c r="J18" i="46" a="1"/>
  <c r="J18" i="46" s="1"/>
  <c r="I18" i="46" a="1"/>
  <c r="I18" i="46" s="1"/>
  <c r="H18" i="46" a="1"/>
  <c r="H18" i="46" s="1"/>
  <c r="G18" i="46" a="1"/>
  <c r="G18" i="46" s="1"/>
  <c r="F18" i="46" a="1"/>
  <c r="F18" i="46" s="1"/>
  <c r="E18" i="46" a="1"/>
  <c r="E18" i="46" s="1"/>
  <c r="D18" i="46" a="1"/>
  <c r="D18" i="46" s="1"/>
  <c r="C18" i="46" a="1"/>
  <c r="C18" i="46" s="1"/>
  <c r="P17" i="46" a="1"/>
  <c r="P17" i="46" s="1"/>
  <c r="O17" i="46" a="1"/>
  <c r="O17" i="46" s="1"/>
  <c r="N17" i="46" a="1"/>
  <c r="N17" i="46" s="1"/>
  <c r="M17" i="46" a="1"/>
  <c r="M17" i="46" s="1"/>
  <c r="L17" i="46" a="1"/>
  <c r="L17" i="46" s="1"/>
  <c r="K17" i="46" a="1"/>
  <c r="K17" i="46" s="1"/>
  <c r="J17" i="46" a="1"/>
  <c r="J17" i="46" s="1"/>
  <c r="I17" i="46" a="1"/>
  <c r="I17" i="46" s="1"/>
  <c r="G9" i="46" a="1"/>
  <c r="G9" i="46" s="1"/>
  <c r="H9" i="46" a="1"/>
  <c r="H9" i="46" s="1"/>
  <c r="I9" i="46" a="1"/>
  <c r="I9" i="46" s="1"/>
  <c r="P31" i="46" a="1"/>
  <c r="P31" i="46" s="1"/>
  <c r="J9" i="46" a="1"/>
  <c r="J9" i="46" s="1"/>
  <c r="K9" i="46" a="1"/>
  <c r="K9" i="46" s="1"/>
  <c r="L9" i="46" a="1"/>
  <c r="L9" i="46" s="1"/>
  <c r="M9" i="46" a="1"/>
  <c r="M9" i="46" s="1"/>
  <c r="N9" i="46" a="1"/>
  <c r="N9" i="46" s="1"/>
  <c r="O9" i="46" a="1"/>
  <c r="O9" i="46" s="1"/>
  <c r="P9" i="46" a="1"/>
  <c r="P9" i="46" s="1"/>
  <c r="O14" i="46" a="1"/>
  <c r="O14" i="46" s="1"/>
  <c r="P14" i="46" a="1"/>
  <c r="P14" i="46" s="1"/>
  <c r="C10" i="46" a="1"/>
  <c r="C10" i="46" s="1"/>
  <c r="D10" i="46" a="1"/>
  <c r="D10" i="46" s="1"/>
  <c r="E10" i="46" a="1"/>
  <c r="E10" i="46" s="1"/>
  <c r="F10" i="46" a="1"/>
  <c r="F10" i="46" s="1"/>
  <c r="G10" i="46" a="1"/>
  <c r="G10" i="46" s="1"/>
  <c r="H10" i="46" a="1"/>
  <c r="H10" i="46" s="1"/>
  <c r="I10" i="46" a="1"/>
  <c r="I10" i="46" s="1"/>
  <c r="J10" i="46" a="1"/>
  <c r="J10" i="46" s="1"/>
  <c r="K10" i="46" a="1"/>
  <c r="K10" i="46" s="1"/>
  <c r="L10" i="46" a="1"/>
  <c r="L10" i="46" s="1"/>
  <c r="M10" i="46" a="1"/>
  <c r="M10" i="46" s="1"/>
  <c r="C15" i="46" a="1"/>
  <c r="C15" i="46" s="1"/>
  <c r="N10" i="46" a="1"/>
  <c r="N10" i="46" s="1"/>
  <c r="O10" i="46" a="1"/>
  <c r="O10" i="46" s="1"/>
  <c r="P10" i="46" a="1"/>
  <c r="P10" i="46" s="1"/>
  <c r="C11" i="46" a="1"/>
  <c r="C11" i="46" s="1"/>
  <c r="D11" i="46" a="1"/>
  <c r="D11" i="46" s="1"/>
  <c r="E11" i="46" a="1"/>
  <c r="E11" i="46" s="1"/>
  <c r="F11" i="46" a="1"/>
  <c r="F11" i="46" s="1"/>
  <c r="G11" i="46" a="1"/>
  <c r="G11" i="46" s="1"/>
  <c r="H11" i="46" a="1"/>
  <c r="H11" i="46" s="1"/>
  <c r="I11" i="46" a="1"/>
  <c r="I11" i="46" s="1"/>
  <c r="J11" i="46" a="1"/>
  <c r="J11" i="46" s="1"/>
  <c r="D15" i="46" a="1"/>
  <c r="D15" i="46" s="1"/>
  <c r="E15" i="46" a="1"/>
  <c r="E15" i="46" s="1"/>
  <c r="F15" i="46" a="1"/>
  <c r="F15" i="46" s="1"/>
  <c r="G15" i="46" a="1"/>
  <c r="G15" i="46" s="1"/>
  <c r="H17" i="46" a="1"/>
  <c r="H17" i="46" s="1"/>
  <c r="G17" i="46" a="1"/>
  <c r="G17" i="46" s="1"/>
  <c r="F17" i="46" a="1"/>
  <c r="F17" i="46" s="1"/>
  <c r="E17" i="46" a="1"/>
  <c r="E17" i="46" s="1"/>
  <c r="D17" i="46" a="1"/>
  <c r="D17" i="46" s="1"/>
  <c r="C17" i="46" a="1"/>
  <c r="C17" i="46" s="1"/>
  <c r="P16" i="46" a="1"/>
  <c r="P16" i="46" s="1"/>
  <c r="O16" i="46" a="1"/>
  <c r="O16" i="46" s="1"/>
  <c r="K11" i="46" a="1"/>
  <c r="K11" i="46" s="1"/>
  <c r="L11" i="46" a="1"/>
  <c r="L11" i="46" s="1"/>
  <c r="M11" i="46" a="1"/>
  <c r="M11" i="46" s="1"/>
  <c r="N11" i="46" a="1"/>
  <c r="N11" i="46" s="1"/>
  <c r="O11" i="46" a="1"/>
  <c r="O11" i="46" s="1"/>
  <c r="P11" i="46" a="1"/>
  <c r="P11" i="46" s="1"/>
  <c r="C12" i="46" a="1"/>
  <c r="C12" i="46" s="1"/>
  <c r="D12" i="46" a="1"/>
  <c r="D12" i="46" s="1"/>
  <c r="E12" i="46" a="1"/>
  <c r="E12" i="46" s="1"/>
  <c r="F12" i="46" a="1"/>
  <c r="F12" i="46" s="1"/>
  <c r="G12" i="46" a="1"/>
  <c r="G12" i="46" s="1"/>
  <c r="H12" i="46" a="1"/>
  <c r="H12" i="46" s="1"/>
  <c r="I12" i="46" a="1"/>
  <c r="I12" i="46" s="1"/>
  <c r="J12" i="46" a="1"/>
  <c r="J12" i="46" s="1"/>
  <c r="K12" i="46" a="1"/>
  <c r="K12" i="46" s="1"/>
  <c r="L12" i="46" a="1"/>
  <c r="L12" i="46" s="1"/>
  <c r="M12" i="46" a="1"/>
  <c r="M12" i="46" s="1"/>
  <c r="N12" i="46" a="1"/>
  <c r="N12" i="46" s="1"/>
  <c r="O12" i="46" a="1"/>
  <c r="O12" i="46" s="1"/>
  <c r="P12" i="46" a="1"/>
  <c r="P12" i="46" s="1"/>
  <c r="C13" i="46" a="1"/>
  <c r="C13" i="46" s="1"/>
  <c r="D13" i="46" a="1"/>
  <c r="D13" i="46" s="1"/>
  <c r="E13" i="46" a="1"/>
  <c r="E13" i="46" s="1"/>
  <c r="F13" i="46" a="1"/>
  <c r="F13" i="46" s="1"/>
  <c r="G13" i="46" a="1"/>
  <c r="G13" i="46" s="1"/>
  <c r="H13" i="46" a="1"/>
  <c r="H13" i="46" s="1"/>
  <c r="I13" i="46" a="1"/>
  <c r="I13" i="46" s="1"/>
  <c r="J13" i="46" a="1"/>
  <c r="J13" i="46" s="1"/>
  <c r="K13" i="46" a="1"/>
  <c r="K13" i="46" s="1"/>
  <c r="L13" i="46" a="1"/>
  <c r="L13" i="46" s="1"/>
  <c r="M13" i="46" a="1"/>
  <c r="M13" i="46" s="1"/>
  <c r="N13" i="46" a="1"/>
  <c r="N13" i="46" s="1"/>
  <c r="O13" i="46" a="1"/>
  <c r="O13" i="46" s="1"/>
  <c r="P13" i="46" a="1"/>
  <c r="P13" i="46" s="1"/>
  <c r="C14" i="46" a="1"/>
  <c r="C14" i="46" s="1"/>
  <c r="D14" i="46" a="1"/>
  <c r="D14" i="46" s="1"/>
  <c r="E14" i="46" a="1"/>
  <c r="E14" i="46" s="1"/>
  <c r="F14" i="46" a="1"/>
  <c r="F14" i="46" s="1"/>
  <c r="G14" i="46" a="1"/>
  <c r="G14" i="46" s="1"/>
  <c r="H14" i="46" a="1"/>
  <c r="H14" i="46" s="1"/>
  <c r="I14" i="46" a="1"/>
  <c r="I14" i="46" s="1"/>
  <c r="J14" i="46" a="1"/>
  <c r="J14" i="46" s="1"/>
  <c r="N16" i="46" a="1"/>
  <c r="N16" i="46" s="1"/>
  <c r="M16" i="46" a="1"/>
  <c r="M16" i="46" s="1"/>
  <c r="L16" i="46" a="1"/>
  <c r="L16" i="46" s="1"/>
  <c r="K16" i="46" a="1"/>
  <c r="K16" i="46" s="1"/>
  <c r="J16" i="46" a="1"/>
  <c r="J16" i="46" s="1"/>
  <c r="I16" i="46" a="1"/>
  <c r="I16" i="46" s="1"/>
  <c r="H16" i="46" a="1"/>
  <c r="H16" i="46" s="1"/>
  <c r="G16" i="46" a="1"/>
  <c r="G16" i="46" s="1"/>
  <c r="F16" i="46" a="1"/>
  <c r="F16" i="46" s="1"/>
  <c r="E16" i="46" a="1"/>
  <c r="E16" i="46" s="1"/>
  <c r="D16" i="46" a="1"/>
  <c r="D16" i="46" s="1"/>
  <c r="C16" i="46" a="1"/>
  <c r="C16" i="46" s="1"/>
  <c r="P15" i="46" a="1"/>
  <c r="P15" i="46" s="1"/>
  <c r="O15" i="46" a="1"/>
  <c r="O15" i="46" s="1"/>
  <c r="N15" i="46" a="1"/>
  <c r="N15" i="46" s="1"/>
  <c r="M15" i="46" a="1"/>
  <c r="M15" i="46" s="1"/>
  <c r="L15" i="46" a="1"/>
  <c r="L15" i="46" s="1"/>
  <c r="K15" i="46" a="1"/>
  <c r="K15" i="46" s="1"/>
  <c r="J15" i="46" a="1"/>
  <c r="J15" i="46" s="1"/>
  <c r="I15" i="46" a="1"/>
  <c r="I15" i="46" s="1"/>
  <c r="N22" i="46" a="1"/>
  <c r="N22" i="46" s="1"/>
  <c r="O32" i="54" l="1"/>
  <c r="Q32" i="54"/>
  <c r="I32" i="54"/>
  <c r="S32" i="54"/>
  <c r="K32" i="54"/>
  <c r="S16" i="54"/>
  <c r="S13" i="54"/>
  <c r="I14" i="54"/>
  <c r="S10" i="54"/>
  <c r="S11" i="54"/>
  <c r="S19" i="54"/>
  <c r="I21" i="54"/>
  <c r="I9" i="54"/>
  <c r="I12" i="54"/>
  <c r="M7" i="54"/>
  <c r="U32" i="54"/>
  <c r="Q19" i="54"/>
  <c r="I19" i="54"/>
  <c r="I7" i="54"/>
  <c r="S28" i="54"/>
  <c r="I28" i="54"/>
  <c r="O11" i="54"/>
  <c r="Q16" i="54"/>
  <c r="I10" i="54"/>
  <c r="Q26" i="54"/>
  <c r="I26" i="54"/>
  <c r="Q7" i="54"/>
  <c r="K7" i="54"/>
  <c r="I5" i="54"/>
  <c r="I17" i="54"/>
  <c r="I8" i="54"/>
  <c r="O27" i="54"/>
  <c r="I27" i="54"/>
  <c r="B11" i="53"/>
  <c r="B12" i="53" s="1"/>
  <c r="O16" i="54"/>
  <c r="O19" i="54"/>
  <c r="I15" i="54"/>
  <c r="I20" i="54"/>
  <c r="I6" i="54"/>
  <c r="M22" i="54"/>
  <c r="I22" i="54"/>
  <c r="O29" i="54"/>
  <c r="I29" i="54"/>
  <c r="O7" i="54"/>
  <c r="Q13" i="54"/>
  <c r="I13" i="54"/>
  <c r="I18" i="54"/>
  <c r="S24" i="54"/>
  <c r="I24" i="54"/>
  <c r="K5" i="54"/>
  <c r="Q21" i="54"/>
  <c r="M32" i="54"/>
  <c r="I11" i="54"/>
  <c r="I16" i="54"/>
  <c r="S5" i="54"/>
  <c r="S26" i="54"/>
  <c r="Q5" i="54"/>
  <c r="M17" i="54"/>
  <c r="O28" i="54"/>
  <c r="K15" i="54"/>
  <c r="S9" i="54"/>
  <c r="Q14" i="54"/>
  <c r="K28" i="54"/>
  <c r="O14" i="54"/>
  <c r="Q27" i="54"/>
  <c r="M12" i="54"/>
  <c r="K18" i="54"/>
  <c r="K10" i="54"/>
  <c r="M5" i="54"/>
  <c r="M21" i="54"/>
  <c r="M29" i="54"/>
  <c r="M15" i="54"/>
  <c r="O26" i="54"/>
  <c r="S14" i="54"/>
  <c r="M28" i="54"/>
  <c r="Q12" i="54"/>
  <c r="S27" i="54"/>
  <c r="O12" i="54"/>
  <c r="K24" i="54"/>
  <c r="M10" i="54"/>
  <c r="S17" i="54"/>
  <c r="M8" i="54"/>
  <c r="S20" i="54"/>
  <c r="S29" i="54"/>
  <c r="Q29" i="54"/>
  <c r="O17" i="54"/>
  <c r="Q28" i="54"/>
  <c r="M13" i="54"/>
  <c r="Q24" i="54"/>
  <c r="K13" i="54"/>
  <c r="M26" i="54"/>
  <c r="Q10" i="54"/>
  <c r="K26" i="54"/>
  <c r="K22" i="54"/>
  <c r="O8" i="54"/>
  <c r="K16" i="54"/>
  <c r="M6" i="54"/>
  <c r="M14" i="54"/>
  <c r="W18" i="54"/>
  <c r="O15" i="54"/>
  <c r="M11" i="54"/>
  <c r="Q22" i="54"/>
  <c r="S12" i="54"/>
  <c r="O24" i="54"/>
  <c r="K9" i="54"/>
  <c r="M24" i="54"/>
  <c r="Q8" i="54"/>
  <c r="S21" i="54"/>
  <c r="O6" i="54"/>
  <c r="S15" i="54"/>
  <c r="M27" i="54"/>
  <c r="O9" i="54"/>
  <c r="Q20" i="54"/>
  <c r="K11" i="54"/>
  <c r="O22" i="54"/>
  <c r="S8" i="54"/>
  <c r="Q6" i="54"/>
  <c r="K20" i="54"/>
  <c r="O21" i="54"/>
  <c r="K29" i="54"/>
  <c r="S18" i="54"/>
  <c r="O20" i="54"/>
  <c r="M18" i="54"/>
  <c r="Q9" i="54"/>
  <c r="Q17" i="54"/>
  <c r="Q18" i="54"/>
  <c r="S6" i="54"/>
  <c r="O18" i="54"/>
  <c r="W14" i="54"/>
  <c r="U14" i="54"/>
  <c r="W5" i="54"/>
  <c r="U5" i="54"/>
  <c r="W11" i="54"/>
  <c r="U11" i="54"/>
  <c r="W28" i="54"/>
  <c r="U28" i="54"/>
  <c r="W10" i="54"/>
  <c r="U10" i="54"/>
  <c r="W7" i="54"/>
  <c r="U7" i="54"/>
  <c r="W21" i="54"/>
  <c r="U21" i="54"/>
  <c r="W17" i="54"/>
  <c r="U17" i="54"/>
  <c r="W22" i="54"/>
  <c r="U22" i="54"/>
  <c r="W12" i="54"/>
  <c r="U12" i="54"/>
  <c r="W26" i="54"/>
  <c r="U26" i="54"/>
  <c r="W6" i="54"/>
  <c r="U6" i="54"/>
  <c r="W27" i="54"/>
  <c r="U27" i="54"/>
  <c r="W9" i="54"/>
  <c r="U9" i="54"/>
  <c r="W20" i="54"/>
  <c r="U20" i="54"/>
  <c r="W29" i="54"/>
  <c r="U29" i="54"/>
  <c r="W8" i="54"/>
  <c r="U8" i="54"/>
  <c r="W13" i="54"/>
  <c r="U13" i="54"/>
  <c r="W15" i="54"/>
  <c r="U15" i="54"/>
  <c r="W24" i="54"/>
  <c r="U24" i="54"/>
  <c r="W16" i="54"/>
  <c r="U16" i="54"/>
  <c r="AT3" i="49"/>
  <c r="E6" i="53"/>
  <c r="G4" i="53"/>
  <c r="F5" i="53"/>
  <c r="C13" i="53"/>
  <c r="E11" i="53"/>
  <c r="E12" i="53" s="1"/>
  <c r="D11" i="53"/>
  <c r="D12" i="53" s="1"/>
  <c r="D13" i="53"/>
  <c r="C11" i="53"/>
  <c r="C12" i="53" s="1"/>
  <c r="E13" i="53"/>
  <c r="O50" i="45"/>
  <c r="X42" i="45"/>
  <c r="O43" i="45"/>
  <c r="F44" i="45"/>
  <c r="R44" i="45"/>
  <c r="I45" i="45"/>
  <c r="U45" i="45"/>
  <c r="L46" i="45"/>
  <c r="R42" i="45"/>
  <c r="I43" i="45"/>
  <c r="U43" i="45"/>
  <c r="L44" i="45"/>
  <c r="X44" i="45"/>
  <c r="O45" i="45"/>
  <c r="F46" i="45"/>
  <c r="R46" i="45"/>
  <c r="U47" i="45"/>
  <c r="L48" i="45"/>
  <c r="X48" i="45"/>
  <c r="O49" i="45"/>
  <c r="F50" i="45"/>
  <c r="F51" i="45"/>
  <c r="X46" i="45"/>
  <c r="O47" i="45"/>
  <c r="F7" i="45"/>
  <c r="X6" i="45"/>
  <c r="O7" i="45"/>
  <c r="U50" i="45"/>
  <c r="F48" i="45"/>
  <c r="R48" i="45"/>
  <c r="I49" i="45"/>
  <c r="L50" i="45"/>
  <c r="R6" i="45"/>
  <c r="U7" i="45"/>
  <c r="O42" i="45"/>
  <c r="F43" i="45"/>
  <c r="R43" i="45"/>
  <c r="I44" i="45"/>
  <c r="U44" i="45"/>
  <c r="L45" i="45"/>
  <c r="F47" i="45"/>
  <c r="R47" i="45"/>
  <c r="U48" i="45"/>
  <c r="U6" i="45"/>
  <c r="I42" i="45"/>
  <c r="U42" i="45"/>
  <c r="L43" i="45"/>
  <c r="X43" i="45"/>
  <c r="O44" i="45"/>
  <c r="F45" i="45"/>
  <c r="R45" i="45"/>
  <c r="I46" i="45"/>
  <c r="U46" i="45"/>
  <c r="L47" i="45"/>
  <c r="X47" i="45"/>
  <c r="O48" i="45"/>
  <c r="R49" i="45"/>
  <c r="I51" i="45"/>
  <c r="Q30" i="46" a="1"/>
  <c r="Q30" i="46" s="1"/>
  <c r="R30" i="46" a="1"/>
  <c r="R30" i="46" s="1"/>
  <c r="Q29" i="46" a="1"/>
  <c r="Q29" i="46" s="1"/>
  <c r="R29" i="46" a="1"/>
  <c r="R29" i="46" s="1"/>
  <c r="Q28" i="46" a="1"/>
  <c r="Q28" i="46" s="1"/>
  <c r="R28" i="46" a="1"/>
  <c r="R28" i="46" s="1"/>
  <c r="Q27" i="46" a="1"/>
  <c r="Q27" i="46" s="1"/>
  <c r="R27" i="46" a="1"/>
  <c r="R27" i="46" s="1"/>
  <c r="Q26" i="46" a="1"/>
  <c r="Q26" i="46" s="1"/>
  <c r="R26" i="46" a="1"/>
  <c r="R26" i="46" s="1"/>
  <c r="I7" i="45"/>
  <c r="O6" i="45"/>
  <c r="L7" i="45"/>
  <c r="L6" i="45"/>
  <c r="F6" i="45"/>
  <c r="F52" i="45"/>
  <c r="U49" i="45"/>
  <c r="R7" i="45"/>
  <c r="I6" i="45"/>
  <c r="X41" i="45"/>
  <c r="F49" i="45"/>
  <c r="X7" i="45"/>
  <c r="L49" i="45"/>
  <c r="F42" i="45"/>
  <c r="X49" i="45"/>
  <c r="I50" i="45"/>
  <c r="I48" i="45"/>
  <c r="X45" i="45"/>
  <c r="R25" i="46" a="1"/>
  <c r="R25" i="46" s="1"/>
  <c r="Q25" i="46" a="1"/>
  <c r="Q25" i="46" s="1"/>
  <c r="R24" i="46" a="1"/>
  <c r="R24" i="46" s="1"/>
  <c r="Q24" i="46" a="1"/>
  <c r="Q24" i="46" s="1"/>
  <c r="R23" i="46" a="1"/>
  <c r="R23" i="46" s="1"/>
  <c r="Q23" i="46" a="1"/>
  <c r="Q23" i="46" s="1"/>
  <c r="Q31" i="46" a="1"/>
  <c r="Q31" i="46" s="1"/>
  <c r="R31" i="46" a="1"/>
  <c r="R31" i="46" s="1"/>
  <c r="R22" i="46" a="1"/>
  <c r="R22" i="46" s="1"/>
  <c r="Q22" i="46" a="1"/>
  <c r="Q22" i="46" s="1"/>
  <c r="Q21" i="46" a="1"/>
  <c r="Q21" i="46" s="1"/>
  <c r="R21" i="46" a="1"/>
  <c r="R21" i="46" s="1"/>
  <c r="Q20" i="46" a="1"/>
  <c r="Q20" i="46" s="1"/>
  <c r="R20" i="46" a="1"/>
  <c r="R20" i="46" s="1"/>
  <c r="Q19" i="46" a="1"/>
  <c r="Q19" i="46" s="1"/>
  <c r="R19" i="46" a="1"/>
  <c r="R19" i="46" s="1"/>
  <c r="Q18" i="46" a="1"/>
  <c r="Q18" i="46" s="1"/>
  <c r="R18" i="46" a="1"/>
  <c r="R18" i="46" s="1"/>
  <c r="G33" i="46"/>
  <c r="G35" i="46"/>
  <c r="H33" i="46"/>
  <c r="H35" i="46"/>
  <c r="I33" i="46"/>
  <c r="I35" i="46"/>
  <c r="J35" i="46"/>
  <c r="J33" i="46"/>
  <c r="K35" i="46"/>
  <c r="K33" i="46"/>
  <c r="L35" i="46"/>
  <c r="L33" i="46"/>
  <c r="M35" i="46"/>
  <c r="M33" i="46"/>
  <c r="N35" i="46"/>
  <c r="N33" i="46"/>
  <c r="O33" i="46"/>
  <c r="O35" i="46"/>
  <c r="P35" i="46"/>
  <c r="P33" i="46"/>
  <c r="C33" i="46"/>
  <c r="C35" i="46"/>
  <c r="D35" i="46"/>
  <c r="D33" i="46"/>
  <c r="E35" i="46"/>
  <c r="E33" i="46"/>
  <c r="F35" i="46"/>
  <c r="F33" i="46"/>
  <c r="Q15" i="46" a="1"/>
  <c r="Q15" i="46" s="1"/>
  <c r="R17" i="46" a="1"/>
  <c r="R17" i="46" s="1"/>
  <c r="Q17" i="46" a="1"/>
  <c r="Q17" i="46" s="1"/>
  <c r="R16" i="46" a="1"/>
  <c r="R16" i="46" s="1"/>
  <c r="Q16" i="46" a="1"/>
  <c r="Q16" i="46" s="1"/>
  <c r="R10" i="45"/>
  <c r="O11" i="45"/>
  <c r="O46" i="45"/>
  <c r="U55" i="45"/>
  <c r="F11" i="45"/>
  <c r="R8" i="45"/>
  <c r="F9" i="45"/>
  <c r="U9" i="45"/>
  <c r="I10" i="45"/>
  <c r="O10" i="45"/>
  <c r="X10" i="45"/>
  <c r="L52" i="45"/>
  <c r="L8" i="45"/>
  <c r="U8" i="45"/>
  <c r="I9" i="45"/>
  <c r="O9" i="45"/>
  <c r="X9" i="45"/>
  <c r="L10" i="45"/>
  <c r="R55" i="45"/>
  <c r="R11" i="45"/>
  <c r="F8" i="45"/>
  <c r="U11" i="45"/>
  <c r="X11" i="45"/>
  <c r="F12" i="45"/>
  <c r="I12" i="45"/>
  <c r="L12" i="45"/>
  <c r="O12" i="45"/>
  <c r="R12" i="45"/>
  <c r="U12" i="45"/>
  <c r="X12" i="45"/>
  <c r="F13" i="45"/>
  <c r="I13" i="45"/>
  <c r="L13" i="45"/>
  <c r="O13" i="45"/>
  <c r="R13" i="45"/>
  <c r="U13" i="45"/>
  <c r="X13" i="45"/>
  <c r="F14" i="45"/>
  <c r="I14" i="45"/>
  <c r="L14" i="45"/>
  <c r="O14" i="45"/>
  <c r="R14" i="45"/>
  <c r="U14" i="45"/>
  <c r="X14" i="45"/>
  <c r="F15" i="45"/>
  <c r="I15" i="45"/>
  <c r="L15" i="45"/>
  <c r="O15" i="45"/>
  <c r="R15" i="45"/>
  <c r="U15" i="45"/>
  <c r="X15" i="45"/>
  <c r="F16" i="45"/>
  <c r="I16" i="45"/>
  <c r="L16" i="45"/>
  <c r="O16" i="45"/>
  <c r="R16" i="45"/>
  <c r="U16" i="45"/>
  <c r="X16" i="45"/>
  <c r="F17" i="45"/>
  <c r="I17" i="45"/>
  <c r="L17" i="45"/>
  <c r="O17" i="45"/>
  <c r="R17" i="45"/>
  <c r="U17" i="45"/>
  <c r="X17" i="45"/>
  <c r="F18" i="45"/>
  <c r="I18" i="45"/>
  <c r="L18" i="45"/>
  <c r="O18" i="45"/>
  <c r="R18" i="45"/>
  <c r="U18" i="45"/>
  <c r="X18" i="45"/>
  <c r="F19" i="45"/>
  <c r="I19" i="45"/>
  <c r="L19" i="45"/>
  <c r="O19" i="45"/>
  <c r="R19" i="45"/>
  <c r="U19" i="45"/>
  <c r="X19" i="45"/>
  <c r="F20" i="45"/>
  <c r="I20" i="45"/>
  <c r="L20" i="45"/>
  <c r="O20" i="45"/>
  <c r="R20" i="45"/>
  <c r="U20" i="45"/>
  <c r="X20" i="45"/>
  <c r="F21" i="45"/>
  <c r="I21" i="45"/>
  <c r="L21" i="45"/>
  <c r="O21" i="45"/>
  <c r="R21" i="45"/>
  <c r="F22" i="45"/>
  <c r="I22" i="45"/>
  <c r="L22" i="45"/>
  <c r="O22" i="45"/>
  <c r="R22" i="45"/>
  <c r="U22" i="45"/>
  <c r="X22" i="45"/>
  <c r="F23" i="45"/>
  <c r="I23" i="45"/>
  <c r="L23" i="45"/>
  <c r="O23" i="45"/>
  <c r="R23" i="45"/>
  <c r="U23" i="45"/>
  <c r="X23" i="45"/>
  <c r="U21" i="45"/>
  <c r="I8" i="45"/>
  <c r="F24" i="45"/>
  <c r="I24" i="45"/>
  <c r="L24" i="45"/>
  <c r="O24" i="45"/>
  <c r="R24" i="45"/>
  <c r="U24" i="45"/>
  <c r="X24" i="45"/>
  <c r="F25" i="45"/>
  <c r="I25" i="45"/>
  <c r="L25" i="45"/>
  <c r="O25" i="45"/>
  <c r="R25" i="45"/>
  <c r="U25" i="45"/>
  <c r="X25" i="45"/>
  <c r="I26" i="45"/>
  <c r="L26" i="45"/>
  <c r="O26" i="45"/>
  <c r="R26" i="45"/>
  <c r="X26" i="45"/>
  <c r="F27" i="45"/>
  <c r="I27" i="45"/>
  <c r="L27" i="45"/>
  <c r="O27" i="45"/>
  <c r="R27" i="45"/>
  <c r="U27" i="45"/>
  <c r="X27" i="45"/>
  <c r="F28" i="45"/>
  <c r="I28" i="45"/>
  <c r="L28" i="45"/>
  <c r="R28" i="45"/>
  <c r="X28" i="45"/>
  <c r="F29" i="45"/>
  <c r="L29" i="45"/>
  <c r="R29" i="45"/>
  <c r="U29" i="45"/>
  <c r="F30" i="45"/>
  <c r="L30" i="45"/>
  <c r="R30" i="45"/>
  <c r="X30" i="45"/>
  <c r="F31" i="45"/>
  <c r="L31" i="45"/>
  <c r="U31" i="45"/>
  <c r="X31" i="45"/>
  <c r="I32" i="45"/>
  <c r="F33" i="45"/>
  <c r="I33" i="45"/>
  <c r="O33" i="45"/>
  <c r="U33" i="45"/>
  <c r="F34" i="45"/>
  <c r="I34" i="45"/>
  <c r="O34" i="45"/>
  <c r="U34" i="45"/>
  <c r="F35" i="45"/>
  <c r="I35" i="45"/>
  <c r="O35" i="45"/>
  <c r="U35" i="45"/>
  <c r="F36" i="45"/>
  <c r="X36" i="45"/>
  <c r="R38" i="45"/>
  <c r="I39" i="45"/>
  <c r="R40" i="45"/>
  <c r="I41" i="45"/>
  <c r="I47" i="45"/>
  <c r="R15" i="46" a="1"/>
  <c r="R15" i="46" s="1"/>
  <c r="L11" i="45"/>
  <c r="X52" i="45"/>
  <c r="U53" i="45"/>
  <c r="O8" i="45"/>
  <c r="X8" i="45"/>
  <c r="L9" i="45"/>
  <c r="R9" i="45"/>
  <c r="F10" i="45"/>
  <c r="U10" i="45"/>
  <c r="I11" i="45"/>
  <c r="I53" i="45"/>
  <c r="R53" i="45"/>
  <c r="O54" i="45"/>
  <c r="U54" i="45"/>
  <c r="F55" i="45"/>
  <c r="R51" i="45"/>
  <c r="F26" i="45"/>
  <c r="U26" i="45"/>
  <c r="O28" i="45"/>
  <c r="U28" i="45"/>
  <c r="I29" i="45"/>
  <c r="O29" i="45"/>
  <c r="X29" i="45"/>
  <c r="I30" i="45"/>
  <c r="O30" i="45"/>
  <c r="U30" i="45"/>
  <c r="I31" i="45"/>
  <c r="O31" i="45"/>
  <c r="R31" i="45"/>
  <c r="F32" i="45"/>
  <c r="L32" i="45"/>
  <c r="O32" i="45"/>
  <c r="R32" i="45"/>
  <c r="U32" i="45"/>
  <c r="X32" i="45"/>
  <c r="L33" i="45"/>
  <c r="R33" i="45"/>
  <c r="X33" i="45"/>
  <c r="L34" i="45"/>
  <c r="R34" i="45"/>
  <c r="X34" i="45"/>
  <c r="L35" i="45"/>
  <c r="R35" i="45"/>
  <c r="X35" i="45"/>
  <c r="I36" i="45"/>
  <c r="L36" i="45"/>
  <c r="O36" i="45"/>
  <c r="R36" i="45"/>
  <c r="U36" i="45"/>
  <c r="F37" i="45"/>
  <c r="I37" i="45"/>
  <c r="L37" i="45"/>
  <c r="O37" i="45"/>
  <c r="R37" i="45"/>
  <c r="U37" i="45"/>
  <c r="X37" i="45"/>
  <c r="F38" i="45"/>
  <c r="I38" i="45"/>
  <c r="L38" i="45"/>
  <c r="O38" i="45"/>
  <c r="U38" i="45"/>
  <c r="X38" i="45"/>
  <c r="F39" i="45"/>
  <c r="L39" i="45"/>
  <c r="O39" i="45"/>
  <c r="R39" i="45"/>
  <c r="U39" i="45"/>
  <c r="X39" i="45"/>
  <c r="F40" i="45"/>
  <c r="I40" i="45"/>
  <c r="L40" i="45"/>
  <c r="O40" i="45"/>
  <c r="U40" i="45"/>
  <c r="X40" i="45"/>
  <c r="F41" i="45"/>
  <c r="L41" i="45"/>
  <c r="O41" i="45"/>
  <c r="R41" i="45"/>
  <c r="U41" i="45"/>
  <c r="I52" i="45"/>
  <c r="O52" i="45"/>
  <c r="R52" i="45"/>
  <c r="U52" i="45"/>
  <c r="L53" i="45"/>
  <c r="F54" i="45"/>
  <c r="I54" i="45"/>
  <c r="R54" i="45"/>
  <c r="X54" i="45"/>
  <c r="I55" i="45"/>
  <c r="F53" i="45"/>
  <c r="O53" i="45"/>
  <c r="X53" i="45"/>
  <c r="L54" i="45"/>
  <c r="O55" i="45"/>
  <c r="X55" i="45"/>
  <c r="L55" i="45"/>
  <c r="Q7" i="46" a="1"/>
  <c r="Q7" i="46" s="1"/>
  <c r="R7" i="46" a="1"/>
  <c r="R7" i="46" s="1"/>
  <c r="Q8" i="46" a="1"/>
  <c r="Q8" i="46" s="1"/>
  <c r="R8" i="46" a="1"/>
  <c r="R8" i="46" s="1"/>
  <c r="Q9" i="46" a="1"/>
  <c r="Q9" i="46" s="1"/>
  <c r="R9" i="46" a="1"/>
  <c r="R9" i="46" s="1"/>
  <c r="Q10" i="46" a="1"/>
  <c r="Q10" i="46" s="1"/>
  <c r="R10" i="46" a="1"/>
  <c r="R10" i="46" s="1"/>
  <c r="R11" i="46" a="1"/>
  <c r="R11" i="46" s="1"/>
  <c r="Q11" i="46" a="1"/>
  <c r="Q11" i="46" s="1"/>
  <c r="R12" i="46" a="1"/>
  <c r="R12" i="46" s="1"/>
  <c r="Q12" i="46" a="1"/>
  <c r="Q12" i="46" s="1"/>
  <c r="R13" i="46" a="1"/>
  <c r="R13" i="46" s="1"/>
  <c r="Q13" i="46" a="1"/>
  <c r="Q13" i="46" s="1"/>
  <c r="R14" i="46" a="1"/>
  <c r="R14" i="46" s="1"/>
  <c r="Q14" i="46" a="1"/>
  <c r="Q14" i="46" s="1"/>
  <c r="AU3" i="49" l="1"/>
  <c r="F7" i="53" a="1"/>
  <c r="F7" i="53" s="1"/>
  <c r="F6" i="53"/>
  <c r="F10" i="53"/>
  <c r="F13" i="53"/>
  <c r="H4" i="53"/>
  <c r="G5" i="53"/>
  <c r="L2" i="46"/>
  <c r="G36" i="46"/>
  <c r="I36" i="46"/>
  <c r="K36" i="46"/>
  <c r="M36" i="46"/>
  <c r="O36" i="46"/>
  <c r="E36" i="46"/>
  <c r="C36" i="46"/>
  <c r="C39" i="46"/>
  <c r="C40" i="46"/>
  <c r="AV3" i="49" l="1"/>
  <c r="G7" i="53" a="1"/>
  <c r="G7" i="53" s="1"/>
  <c r="G6" i="53"/>
  <c r="G10" i="53"/>
  <c r="G13" i="53"/>
  <c r="F11" i="53"/>
  <c r="F12" i="53" s="1"/>
  <c r="I4" i="53"/>
  <c r="H5" i="53"/>
  <c r="C41" i="46"/>
  <c r="C42" i="46" s="1"/>
  <c r="AW3" i="49" l="1"/>
  <c r="G11" i="53"/>
  <c r="G12" i="53" s="1"/>
  <c r="H6" i="53"/>
  <c r="H7" i="53" a="1"/>
  <c r="H7" i="53" s="1"/>
  <c r="H10" i="53"/>
  <c r="H13" i="53"/>
  <c r="I5" i="53"/>
  <c r="J4" i="53"/>
  <c r="AX3" i="49" l="1"/>
  <c r="K4" i="53"/>
  <c r="J5" i="53"/>
  <c r="I13" i="53"/>
  <c r="I6" i="53"/>
  <c r="I10" i="53"/>
  <c r="I7" i="53" a="1"/>
  <c r="I7" i="53" s="1"/>
  <c r="H11" i="53"/>
  <c r="H12" i="53" s="1"/>
  <c r="AY3" i="49" l="1"/>
  <c r="I11" i="53"/>
  <c r="I12" i="53" s="1"/>
  <c r="J6" i="53"/>
  <c r="J13" i="53"/>
  <c r="J10" i="53"/>
  <c r="J7" i="53" a="1"/>
  <c r="J7" i="53" s="1"/>
  <c r="K5" i="53"/>
  <c r="L4" i="53"/>
  <c r="J11" i="53" l="1"/>
  <c r="J12" i="53" s="1"/>
  <c r="AZ3" i="49"/>
  <c r="M4" i="53"/>
  <c r="L5" i="53"/>
  <c r="K6" i="53"/>
  <c r="K7" i="53" a="1"/>
  <c r="K7" i="53" s="1"/>
  <c r="K10" i="53"/>
  <c r="K11" i="53"/>
  <c r="BA3" i="49" l="1"/>
  <c r="K13" i="53"/>
  <c r="K12" i="53"/>
  <c r="L7" i="53" a="1"/>
  <c r="L7" i="53" s="1"/>
  <c r="L10" i="53"/>
  <c r="L6" i="53"/>
  <c r="N4" i="53"/>
  <c r="M5" i="53"/>
  <c r="L11" i="53" l="1"/>
  <c r="L12" i="53" s="1"/>
  <c r="BB3" i="49"/>
  <c r="L13" i="53"/>
  <c r="M6" i="53"/>
  <c r="M13" i="53"/>
  <c r="M10" i="53"/>
  <c r="M7" i="53" a="1"/>
  <c r="M7" i="53" s="1"/>
  <c r="O4" i="53"/>
  <c r="N5" i="53"/>
  <c r="M11" i="53" l="1"/>
  <c r="M12" i="53" s="1"/>
  <c r="N10" i="53"/>
  <c r="N6" i="53"/>
  <c r="N13" i="53"/>
  <c r="N7" i="53" a="1"/>
  <c r="N7" i="53" s="1"/>
  <c r="P4" i="53"/>
  <c r="O5" i="53"/>
  <c r="N11" i="53" l="1"/>
  <c r="N12" i="53" s="1"/>
  <c r="O6" i="53"/>
  <c r="O7" i="53" a="1"/>
  <c r="O7" i="53" s="1"/>
  <c r="O10" i="53"/>
  <c r="Q4" i="53"/>
  <c r="P5" i="53"/>
  <c r="O11" i="53" l="1"/>
  <c r="O12" i="53" s="1"/>
  <c r="P7" i="53" a="1"/>
  <c r="P7" i="53" s="1"/>
  <c r="P6" i="53"/>
  <c r="P11" i="53"/>
  <c r="P10" i="53"/>
  <c r="O13" i="53"/>
  <c r="Q5" i="53"/>
  <c r="R4" i="53"/>
  <c r="P12" i="53" l="1"/>
  <c r="P13" i="53"/>
  <c r="Q7" i="53" a="1"/>
  <c r="Q7" i="53" s="1"/>
  <c r="Q6" i="53"/>
  <c r="Q10" i="53"/>
  <c r="S4" i="53"/>
  <c r="R5" i="53"/>
  <c r="R7" i="53" l="1" a="1"/>
  <c r="R7" i="53" s="1"/>
  <c r="R6" i="53"/>
  <c r="R10" i="53"/>
  <c r="S5" i="53"/>
  <c r="T4" i="53"/>
  <c r="Q13" i="53"/>
  <c r="Q11" i="53"/>
  <c r="Q12" i="53" s="1"/>
  <c r="R11" i="53" l="1"/>
  <c r="R12" i="53" s="1"/>
  <c r="U4" i="53"/>
  <c r="T5" i="53"/>
  <c r="S7" i="53" a="1"/>
  <c r="S7" i="53" s="1"/>
  <c r="S6" i="53"/>
  <c r="S10" i="53"/>
  <c r="S13" i="53"/>
  <c r="R13" i="53"/>
  <c r="S11" i="53" l="1"/>
  <c r="S12" i="53" s="1"/>
  <c r="T6" i="53"/>
  <c r="T10" i="53"/>
  <c r="T7" i="53" a="1"/>
  <c r="T7" i="53" s="1"/>
  <c r="T13" i="53"/>
  <c r="V4" i="53"/>
  <c r="U5" i="53"/>
  <c r="T11" i="53" l="1"/>
  <c r="T12" i="53" s="1"/>
  <c r="U6" i="53"/>
  <c r="U7" i="53" a="1"/>
  <c r="U7" i="53" s="1"/>
  <c r="U13" i="53"/>
  <c r="U10" i="53"/>
  <c r="W4" i="53"/>
  <c r="V5" i="53"/>
  <c r="V6" i="53" l="1"/>
  <c r="V13" i="53"/>
  <c r="V7" i="53" a="1"/>
  <c r="V7" i="53" s="1"/>
  <c r="V10" i="53"/>
  <c r="X4" i="53"/>
  <c r="W5" i="53"/>
  <c r="U11" i="53"/>
  <c r="U12" i="53" s="1"/>
  <c r="V11" i="53" l="1"/>
  <c r="V12" i="53" s="1"/>
  <c r="W7" i="53" a="1"/>
  <c r="W7" i="53" s="1"/>
  <c r="W6" i="53"/>
  <c r="W10" i="53"/>
  <c r="Y4" i="53"/>
  <c r="X5" i="53"/>
  <c r="W11" i="53" l="1"/>
  <c r="W12" i="53" s="1"/>
  <c r="X6" i="53"/>
  <c r="X7" i="53" a="1"/>
  <c r="X7" i="53" s="1"/>
  <c r="X10" i="53"/>
  <c r="Y5" i="53"/>
  <c r="Z4" i="53"/>
  <c r="W13" i="53"/>
  <c r="AA4" i="53" l="1"/>
  <c r="Z5" i="53"/>
  <c r="Y7" i="53" a="1"/>
  <c r="Y7" i="53" s="1"/>
  <c r="Y6" i="53"/>
  <c r="Y13" i="53"/>
  <c r="Y10" i="53"/>
  <c r="X13" i="53"/>
  <c r="X11" i="53"/>
  <c r="X12" i="53" s="1"/>
  <c r="Y11" i="53" l="1"/>
  <c r="Y12" i="53" s="1"/>
  <c r="Z6" i="53"/>
  <c r="Z7" i="53" a="1"/>
  <c r="Z7" i="53" s="1"/>
  <c r="Z10" i="53"/>
  <c r="Z13" i="53"/>
  <c r="AA5" i="53"/>
  <c r="AB4" i="53"/>
  <c r="Z11" i="53" l="1"/>
  <c r="Z12" i="53" s="1"/>
  <c r="AC4" i="53"/>
  <c r="AB5" i="53"/>
  <c r="AA13" i="53"/>
  <c r="AA7" i="53" a="1"/>
  <c r="AA7" i="53" s="1"/>
  <c r="AA6" i="53"/>
  <c r="AA10" i="53"/>
  <c r="AA11" i="53" l="1"/>
  <c r="AA12" i="53" s="1"/>
  <c r="AD4" i="53"/>
  <c r="AC5" i="53"/>
  <c r="AB13" i="53"/>
  <c r="AB7" i="53" a="1"/>
  <c r="AB7" i="53" s="1"/>
  <c r="AB11" i="53"/>
  <c r="AB12" i="53" s="1"/>
  <c r="AB10" i="53"/>
  <c r="AB6" i="53"/>
  <c r="AC6" i="53" l="1"/>
  <c r="AC7" i="53" a="1"/>
  <c r="AC7" i="53" s="1"/>
  <c r="AC10" i="53"/>
  <c r="AC13" i="53"/>
  <c r="AE4" i="53"/>
  <c r="AD5" i="53"/>
  <c r="AD6" i="53" l="1"/>
  <c r="AD10" i="53"/>
  <c r="AD7" i="53" a="1"/>
  <c r="AD7" i="53" s="1"/>
  <c r="AD11" i="53"/>
  <c r="AF4" i="53"/>
  <c r="AE5" i="53"/>
  <c r="AC11" i="53"/>
  <c r="AC12" i="53" s="1"/>
  <c r="AD12" i="53" l="1"/>
  <c r="AD13" i="53"/>
  <c r="AE7" i="53" a="1"/>
  <c r="AE7" i="53" s="1"/>
  <c r="AE6" i="53"/>
  <c r="AE10" i="53"/>
  <c r="AE13" i="53"/>
  <c r="AG4" i="53"/>
  <c r="AF5" i="53"/>
  <c r="AE11" i="53" l="1"/>
  <c r="AE12" i="53" s="1"/>
  <c r="AF6" i="53"/>
  <c r="AF10" i="53"/>
  <c r="AF13" i="53"/>
  <c r="AF7" i="53" a="1"/>
  <c r="AF7" i="53" s="1"/>
  <c r="AG5" i="53"/>
  <c r="AH4" i="53"/>
  <c r="AF11" i="53" l="1"/>
  <c r="AF12" i="53" s="1"/>
  <c r="AH5" i="53"/>
  <c r="AI4" i="53"/>
  <c r="AG13" i="53"/>
  <c r="AG10" i="53"/>
  <c r="AG6" i="53"/>
  <c r="AG7" i="53" a="1"/>
  <c r="AG7" i="53" s="1"/>
  <c r="AG11" i="53" l="1"/>
  <c r="AG12" i="53" s="1"/>
  <c r="AI5" i="53"/>
  <c r="AJ4" i="53"/>
  <c r="AH6" i="53"/>
  <c r="AH7" i="53" a="1"/>
  <c r="AH7" i="53" s="1"/>
  <c r="AH10" i="53"/>
  <c r="AH13" i="53"/>
  <c r="AH11" i="53"/>
  <c r="AH12" i="53" l="1"/>
  <c r="AK4" i="53"/>
  <c r="AJ5" i="53"/>
  <c r="AI6" i="53"/>
  <c r="AI7" i="53" a="1"/>
  <c r="AI7" i="53" s="1"/>
  <c r="AI10" i="53"/>
  <c r="AI13" i="53" l="1"/>
  <c r="AI11" i="53"/>
  <c r="AI12" i="53" s="1"/>
  <c r="AJ7" i="53" a="1"/>
  <c r="AJ7" i="53" s="1"/>
  <c r="AJ13" i="53"/>
  <c r="AJ6" i="53"/>
  <c r="AJ11" i="53"/>
  <c r="AJ12" i="53" s="1"/>
  <c r="AJ10" i="53"/>
  <c r="AL4" i="53"/>
  <c r="AK5" i="53"/>
  <c r="AK13" i="53" l="1"/>
  <c r="AK10" i="53"/>
  <c r="AK7" i="53" a="1"/>
  <c r="AK7" i="53" s="1"/>
  <c r="AK6" i="53"/>
  <c r="AM4" i="53"/>
  <c r="AL5" i="53"/>
  <c r="AL7" i="53" l="1" a="1"/>
  <c r="AL7" i="53" s="1"/>
  <c r="AL6" i="53"/>
  <c r="AL13" i="53"/>
  <c r="AL10" i="53"/>
  <c r="AN4" i="53"/>
  <c r="AM5" i="53"/>
  <c r="AK11" i="53"/>
  <c r="AK12" i="53" s="1"/>
  <c r="AO4" i="53" l="1"/>
  <c r="AN5" i="53"/>
  <c r="AM7" i="53" a="1"/>
  <c r="AM7" i="53" s="1"/>
  <c r="AM6" i="53"/>
  <c r="AM10" i="53"/>
  <c r="AM13" i="53"/>
  <c r="AL11" i="53"/>
  <c r="AL12" i="53" s="1"/>
  <c r="AM11" i="53" l="1"/>
  <c r="AM12" i="53" s="1"/>
  <c r="AN7" i="53" a="1"/>
  <c r="AN7" i="53" s="1"/>
  <c r="AN6" i="53"/>
  <c r="AN13" i="53"/>
  <c r="AN10" i="53"/>
  <c r="AO5" i="53"/>
  <c r="AP4" i="53"/>
  <c r="AQ4" i="53" l="1"/>
  <c r="AP5" i="53"/>
  <c r="AO7" i="53" a="1"/>
  <c r="AO7" i="53" s="1"/>
  <c r="AO6" i="53"/>
  <c r="AO10" i="53"/>
  <c r="AN11" i="53"/>
  <c r="AN12" i="53" s="1"/>
  <c r="AO13" i="53" l="1"/>
  <c r="AO11" i="53"/>
  <c r="AO12" i="53" s="1"/>
  <c r="AP6" i="53"/>
  <c r="AP7" i="53" a="1"/>
  <c r="AP7" i="53" s="1"/>
  <c r="AP10" i="53"/>
  <c r="AQ5" i="53"/>
  <c r="AR4" i="53"/>
  <c r="AS4" i="53" l="1"/>
  <c r="AR5" i="53"/>
  <c r="AQ10" i="53"/>
  <c r="AQ7" i="53" a="1"/>
  <c r="AQ7" i="53" s="1"/>
  <c r="AQ6" i="53"/>
  <c r="AQ13" i="53"/>
  <c r="AP13" i="53"/>
  <c r="AP11" i="53"/>
  <c r="AP12" i="53" s="1"/>
  <c r="AQ11" i="53" l="1"/>
  <c r="AQ12" i="53" s="1"/>
  <c r="AR10" i="53"/>
  <c r="AR7" i="53" a="1"/>
  <c r="AR7" i="53" s="1"/>
  <c r="AR13" i="53"/>
  <c r="AR6" i="53"/>
  <c r="AR11" i="53"/>
  <c r="AT4" i="53"/>
  <c r="AS5" i="53"/>
  <c r="AR12" i="53" l="1"/>
  <c r="AS10" i="53"/>
  <c r="AS13" i="53"/>
  <c r="AS7" i="53" a="1"/>
  <c r="AS7" i="53" s="1"/>
  <c r="AS6" i="53"/>
  <c r="AU4" i="53"/>
  <c r="AT5" i="53"/>
  <c r="AS11" i="53" l="1"/>
  <c r="AS12" i="53" s="1"/>
  <c r="AT13" i="53"/>
  <c r="AT10" i="53"/>
  <c r="AT6" i="53"/>
  <c r="AT7" i="53" a="1"/>
  <c r="AT7" i="53" s="1"/>
  <c r="AV4" i="53"/>
  <c r="AU5" i="53"/>
  <c r="AU6" i="53" l="1"/>
  <c r="AU10" i="53"/>
  <c r="AU7" i="53" a="1"/>
  <c r="AU7" i="53" s="1"/>
  <c r="AW4" i="53"/>
  <c r="AW5" i="53" s="1"/>
  <c r="AV5" i="53"/>
  <c r="AT11" i="53"/>
  <c r="AT12" i="53" s="1"/>
  <c r="AU11" i="53" l="1"/>
  <c r="AU12" i="53" s="1"/>
  <c r="AU13" i="53"/>
  <c r="AV6" i="53"/>
  <c r="AV13" i="53"/>
  <c r="AV7" i="53" a="1"/>
  <c r="AV7" i="53" s="1"/>
  <c r="AV10" i="53"/>
  <c r="AW7" i="53" a="1"/>
  <c r="AW7" i="53" s="1"/>
  <c r="AW6" i="53"/>
  <c r="AW13" i="53"/>
  <c r="AW10" i="53"/>
  <c r="AV11" i="53" l="1"/>
  <c r="AV12" i="53" s="1"/>
  <c r="AW11" i="53"/>
  <c r="AW12" i="53" s="1"/>
  <c r="C2" i="50" l="1"/>
  <c r="F2" i="5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<sst xmlns="http://schemas.openxmlformats.org/spreadsheetml/2006/main" count="17012" uniqueCount="203">
  <si>
    <t>MICROCICLO</t>
  </si>
  <si>
    <t>SEMANA</t>
  </si>
  <si>
    <t>FECHA</t>
  </si>
  <si>
    <t>TEC-TAC</t>
  </si>
  <si>
    <t>PARTIDO</t>
  </si>
  <si>
    <t>RECUP</t>
  </si>
  <si>
    <t>GYM</t>
  </si>
  <si>
    <t>CARGA TOTAL SEMANAL</t>
  </si>
  <si>
    <t>DESVIACIÓN ESTÁNDAR</t>
  </si>
  <si>
    <t>JUG 16</t>
  </si>
  <si>
    <t>FÍSICO</t>
  </si>
  <si>
    <t>SESIONES TOTALES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</si>
  <si>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</si>
  <si>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</si>
  <si>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</si>
  <si>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</si>
  <si>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</si>
  <si>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</si>
  <si>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</si>
  <si>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</si>
  <si>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</si>
  <si>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</si>
  <si>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</si>
  <si>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</si>
  <si>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</si>
  <si>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</si>
  <si>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</si>
  <si>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</si>
  <si>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</si>
  <si>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</si>
  <si>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</si>
  <si>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</si>
  <si>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CARGA</t>
  </si>
  <si>
    <t>MEDIA</t>
  </si>
  <si>
    <t>S31</t>
  </si>
  <si>
    <t>S32</t>
  </si>
  <si>
    <t>SUEÑO</t>
  </si>
  <si>
    <t>FATIGA</t>
  </si>
  <si>
    <t>MOLESTIAS</t>
  </si>
  <si>
    <t>ÁNIMO</t>
  </si>
  <si>
    <t>TOTAL</t>
  </si>
  <si>
    <t>HERRERO</t>
  </si>
  <si>
    <t>GARCIA</t>
  </si>
  <si>
    <t>OSCAR</t>
  </si>
  <si>
    <t>CECILIO</t>
  </si>
  <si>
    <t>CHAGUINHA</t>
  </si>
  <si>
    <t>RAUL</t>
  </si>
  <si>
    <t>HARRISON</t>
  </si>
  <si>
    <t>RAYA</t>
  </si>
  <si>
    <t>JAVI</t>
  </si>
  <si>
    <t>PANI</t>
  </si>
  <si>
    <t>PIRATA</t>
  </si>
  <si>
    <t>BARONA</t>
  </si>
  <si>
    <t>CARLOS</t>
  </si>
  <si>
    <t>GONZALO</t>
  </si>
  <si>
    <t>SEGO</t>
  </si>
  <si>
    <t>RUBIO</t>
  </si>
  <si>
    <t>DANI</t>
  </si>
  <si>
    <t>JAIME</t>
  </si>
  <si>
    <t>FISICO</t>
  </si>
  <si>
    <t>A</t>
  </si>
  <si>
    <t>L</t>
  </si>
  <si>
    <t>MATINAL</t>
  </si>
  <si>
    <t>N</t>
  </si>
  <si>
    <t>S</t>
  </si>
  <si>
    <t>PRE-TEMPORADA</t>
  </si>
  <si>
    <t>PRE</t>
  </si>
  <si>
    <t>POST</t>
  </si>
  <si>
    <t>LUNES</t>
  </si>
  <si>
    <t>Nº</t>
  </si>
  <si>
    <t>M</t>
  </si>
  <si>
    <t>T</t>
  </si>
  <si>
    <t>TURNO</t>
  </si>
  <si>
    <t>TIPO SESIÓN</t>
  </si>
  <si>
    <t>MINUTOS</t>
  </si>
  <si>
    <t>COMPETICIÓN</t>
  </si>
  <si>
    <t>JUGADOR</t>
  </si>
  <si>
    <t>BORG</t>
  </si>
  <si>
    <t>PESO PRE</t>
  </si>
  <si>
    <t>PESO POST</t>
  </si>
  <si>
    <t>H2O (L)</t>
  </si>
  <si>
    <t>VISTA SEMANAL DE PESO</t>
  </si>
  <si>
    <t>DIF</t>
  </si>
  <si>
    <t>ANCHU</t>
  </si>
  <si>
    <t>NACHO</t>
  </si>
  <si>
    <t>J21</t>
  </si>
  <si>
    <t>J22</t>
  </si>
  <si>
    <t>J23</t>
  </si>
  <si>
    <t>J24</t>
  </si>
  <si>
    <t>J25</t>
  </si>
  <si>
    <t>Nº SEMANA →</t>
  </si>
  <si>
    <t>AÑO →</t>
  </si>
  <si>
    <t>LUNES →</t>
  </si>
  <si>
    <t>CONTROL DE CARGAS Y ASISTENCIA (RPE)</t>
  </si>
  <si>
    <t>RESUMEN</t>
  </si>
  <si>
    <t>ASISTENCIA</t>
  </si>
  <si>
    <t>BORG MEDIO</t>
  </si>
  <si>
    <t>CARGA SESIÓN</t>
  </si>
  <si>
    <t>CARGA DIARIA</t>
  </si>
  <si>
    <t>CARGA MEDIA (solo sesiones)</t>
  </si>
  <si>
    <t>MONOTONÍA (media/desv)</t>
  </si>
  <si>
    <t>FATIGA (carga × monotonía)</t>
  </si>
  <si>
    <t>RESUMEN SEMANAL DE CARGAS</t>
  </si>
  <si>
    <t>FECHA LUNES</t>
  </si>
  <si>
    <t>CARGA TOTAL</t>
  </si>
  <si>
    <t>MONOTONÍA</t>
  </si>
  <si>
    <t>ACWR (1:4)</t>
  </si>
  <si>
    <t>CARGA INDIVIDUAL POR JUGADOR (PSE)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</si>
  <si>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</si>
  <si>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</si>
  <si>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</si>
  <si>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</si>
  <si>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</si>
  <si>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</si>
  <si>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</si>
  <si>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</si>
  <si>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</si>
  <si>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</si>
  <si>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</si>
  <si>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</si>
  <si>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</si>
  <si>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</si>
  <si>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</si>
  <si>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</si>
  <si>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</si>
  <si>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</si>
  <si>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</si>
  <si>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</si>
  <si>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</si>
  <si>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</si>
  <si>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</si>
  <si>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</si>
  <si>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</si>
  <si>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</si>
  <si>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</si>
  <si>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</si>
  <si>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</si>
  <si>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</si>
  <si>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💡 Carga semanal = Σ(Borg × minutos) por jugador.</t>
  </si>
  <si>
    <t>WELLNESS — VISTA SEMANAL</t>
  </si>
  <si>
    <t>F</t>
  </si>
  <si>
    <t>Á</t>
  </si>
  <si>
    <t>DÍAS</t>
  </si>
  <si>
    <t>BASE DE DATOS DE PESO</t>
  </si>
  <si>
    <t>DIFERENCIA</t>
  </si>
  <si>
    <t>%</t>
  </si>
  <si>
    <t>ENTRENOS</t>
  </si>
  <si>
    <t>GYM+TEC-TAC</t>
  </si>
  <si>
    <t>GYM+FISICO</t>
  </si>
  <si>
    <t>RECUPERACIÓN</t>
  </si>
  <si>
    <t>GYM TEC-TAC</t>
  </si>
  <si>
    <t>PRIMER LUNES →</t>
  </si>
  <si>
    <t>💡 Microciclos consecutivos desde el primer lunes. Cambia B2 para desplazar toda la tabla.</t>
  </si>
  <si>
    <t>ASIST. MEDIA</t>
  </si>
  <si>
    <t>RECUENTO DE SESIONES — TEMPORADA COMPLETA</t>
  </si>
  <si>
    <t>DESDE →</t>
  </si>
  <si>
    <t>HASTA →</t>
  </si>
  <si>
    <t>💡 Ajusta el rango de fechas en B2/E2 para cambiar el período contado.</t>
  </si>
  <si>
    <t>S (Sel.)</t>
  </si>
  <si>
    <t>A (Aus.)</t>
  </si>
  <si>
    <t>L (Les.)</t>
  </si>
  <si>
    <t>N (No jug.)</t>
  </si>
  <si>
    <t>D (Des.)</t>
  </si>
  <si>
    <t>NC (No Conv.)</t>
  </si>
  <si>
    <t>EQUIPO / SESIONES</t>
  </si>
  <si>
    <t>LIGA</t>
  </si>
  <si>
    <t>FECHAS_CON_PESO</t>
  </si>
  <si>
    <t>AÑOS</t>
  </si>
  <si>
    <t>SEMANAS_DEL_AÑO_SELECCIONADO</t>
  </si>
  <si>
    <t>LUNES_CON_DATOS</t>
  </si>
  <si>
    <t>💡 Selecciona el LUNES en B3 desde la lista desplegable · El nº de semana y el año se actualizan automáticamente · Los datos se leen de la hoja INPUT</t>
  </si>
  <si>
    <t>JUGADORES_PESO</t>
  </si>
  <si>
    <t>JUGADORES_CON_TODOS</t>
  </si>
  <si>
    <t>TODOS</t>
  </si>
  <si>
    <t>AÑO</t>
  </si>
  <si>
    <t>Registros</t>
  </si>
  <si>
    <t>Max Pre</t>
  </si>
  <si>
    <t>Min Pre</t>
  </si>
  <si>
    <t>Media Pre</t>
  </si>
  <si>
    <t>Max Post</t>
  </si>
  <si>
    <t>Min Post</t>
  </si>
  <si>
    <t>Media Post</t>
  </si>
  <si>
    <t>RESUMEN (según filtros de la tabla):</t>
  </si>
  <si>
    <t>FECHAS_CON_WELLNESS</t>
  </si>
  <si>
    <t>Σ</t>
  </si>
  <si>
    <t>WELLNESS DIARIO — Suma por jugador y día</t>
  </si>
  <si>
    <t>FECHAS QUE FALTAN</t>
  </si>
  <si>
    <t>LUN</t>
  </si>
  <si>
    <t>MAR</t>
  </si>
  <si>
    <t>MIÉ</t>
  </si>
  <si>
    <t>JUE</t>
  </si>
  <si>
    <t>VIE</t>
  </si>
  <si>
    <t>SÁB</t>
  </si>
  <si>
    <t>DOM</t>
  </si>
  <si>
    <t>MEDIA EQUIPO</t>
  </si>
  <si>
    <t>% NC</t>
  </si>
  <si>
    <t>% D</t>
  </si>
  <si>
    <t>% N</t>
  </si>
  <si>
    <t>% L</t>
  </si>
  <si>
    <t>% A</t>
  </si>
  <si>
    <t>% S</t>
  </si>
  <si>
    <t>% ENT</t>
  </si>
  <si>
    <t>TOTAL INDIVIDUOS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</si>
</sst>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dddd\ dd/mm/yyyy"/>
    <numFmt numFmtId="166" formatCode="dd\-mm\-yyyy"/>
    <numFmt numFmtId="167" formatCode="0.##"/>
    <numFmt numFmtId="168" formatCode="[$-C0A]ddd&quot; &quot;dd\-mm\-yyyy"/>
    <numFmt numFmtId="169" formatCode="0.0%"/>
    <numFmt numFmtId="170" formatCode="dd\-mm\-aaaa"/>
    <numFmt numFmtId="171" formatCode="dd/mm/yyyy"/>
    <numFmt numFmtId="172" formatCode="dd\-mm\-yy"/>
  </numFmts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61616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4"/>
      <color rgb="FF616161"/>
      <name val="Calibri"/>
      <family val="2"/>
      <scheme val="minor"/>
    </font>
    <font>
      <sz val="9"/>
      <color rgb="FF757575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2"/>
      <color rgb="FF59595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FFCC8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B74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CE93D8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B3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8F5"/>
        <bgColor indexed="64"/>
      </patternFill>
    </fill>
    <fill>
      <patternFill patternType="solid">
        <fgColor rgb="FFE8F5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1F4E78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/>
      <right style="thin">
        <color rgb="FFE0E0E0"/>
      </right>
      <top style="thin">
        <color auto="1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auto="1"/>
      </top>
      <bottom style="thin">
        <color rgb="FFE0E0E0"/>
      </bottom>
      <diagonal/>
    </border>
    <border>
      <left style="thin">
        <color rgb="FFE0E0E0"/>
      </left>
      <right/>
      <top style="thin">
        <color auto="1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auto="1"/>
      </bottom>
      <diagonal/>
    </border>
    <border>
      <left style="thin">
        <color rgb="FFE0E0E0"/>
      </left>
      <right/>
      <top style="thin">
        <color rgb="FFE0E0E0"/>
      </top>
      <bottom style="thin">
        <color auto="1"/>
      </bottom>
      <diagonal/>
    </border>
    <border>
      <left style="thin">
        <color auto="1"/>
      </left>
      <right style="thin">
        <color rgb="FFE0E0E0"/>
      </right>
      <top style="thin">
        <color auto="1"/>
      </top>
      <bottom style="thin">
        <color rgb="FFE0E0E0"/>
      </bottom>
      <diagonal/>
    </border>
    <border>
      <left style="thin">
        <color auto="1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rgb="FFE0E0E0"/>
      </right>
      <top style="thin">
        <color rgb="FFE0E0E0"/>
      </top>
      <bottom style="thin">
        <color auto="1"/>
      </bottom>
      <diagonal/>
    </border>
    <border>
      <left style="thin">
        <color rgb="FFE0E0E0"/>
      </left>
      <right style="thin">
        <color auto="1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auto="1"/>
      </right>
      <top style="thin">
        <color rgb="FFE0E0E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auto="1"/>
      </right>
      <top/>
      <bottom style="thin">
        <color rgb="FFE0E0E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E0E0E0"/>
      </right>
      <top style="thin">
        <color auto="1"/>
      </top>
      <bottom/>
      <diagonal/>
    </border>
    <border>
      <left style="thin">
        <color rgb="FFE0E0E0"/>
      </left>
      <right style="thin">
        <color rgb="FFE0E0E0"/>
      </right>
      <top style="thin">
        <color auto="1"/>
      </top>
      <bottom/>
      <diagonal/>
    </border>
    <border>
      <left style="thin">
        <color auto="1"/>
      </left>
      <right style="thin">
        <color rgb="FFE0E0E0"/>
      </right>
      <top style="thin">
        <color rgb="FFE0E0E0"/>
      </top>
      <bottom/>
      <diagonal/>
    </border>
    <border>
      <left style="thin">
        <color auto="1"/>
      </left>
      <right style="thin">
        <color rgb="FFE0E0E0"/>
      </right>
      <top/>
      <bottom style="thin">
        <color auto="1"/>
      </bottom>
      <diagonal/>
    </border>
    <border>
      <left style="thin">
        <color rgb="FFE0E0E0"/>
      </left>
      <right style="thin">
        <color rgb="FFE0E0E0"/>
      </right>
      <top/>
      <bottom style="thin">
        <color auto="1"/>
      </bottom>
      <diagonal/>
    </border>
    <border>
      <left style="thin">
        <color rgb="FFE0E0E0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E0E0E0"/>
      </left>
      <right/>
      <top style="medium">
        <color rgb="FF000000"/>
      </top>
      <bottom/>
      <diagonal/>
    </border>
    <border>
      <left style="thin">
        <color rgb="FFE0E0E0"/>
      </left>
      <right style="thin">
        <color rgb="FFE0E0E0"/>
      </right>
      <top style="medium">
        <color rgb="FF000000"/>
      </top>
      <bottom/>
      <diagonal/>
    </border>
    <border>
      <left/>
      <right style="thin">
        <color auto="1"/>
      </right>
      <top style="thin">
        <color rgb="FFE0E0E0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 applyNumberFormat="0" applyFill="0" applyBorder="0" applyAlignment="0" applyProtection="0"/>
  </cellStyleXfs>
  <cellXfs count="261"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25" xfId="0" applyBorder="1"/>
    <xf numFmtId="0" fontId="0" fillId="0" borderId="27" xfId="0" applyBorder="1"/>
    <xf numFmtId="1" fontId="0" fillId="0" borderId="13" xfId="0" applyNumberFormat="1" applyBorder="1" applyAlignment="1">
      <alignment horizontal="center"/>
    </xf>
    <xf numFmtId="0" fontId="5" fillId="25" borderId="13" xfId="0" applyFont="1" applyFill="1" applyBorder="1"/>
    <xf numFmtId="0" fontId="5" fillId="25" borderId="16" xfId="0" applyFont="1" applyFill="1" applyBorder="1"/>
    <xf numFmtId="166" fontId="0" fillId="0" borderId="0" xfId="0" applyNumberFormat="1"/>
    <xf numFmtId="167" fontId="4" fillId="11" borderId="21" xfId="0" applyNumberFormat="1" applyFont="1" applyFill="1" applyBorder="1" applyAlignment="1">
      <alignment horizontal="center"/>
    </xf>
    <xf numFmtId="0" fontId="5" fillId="21" borderId="19" xfId="0" applyFont="1" applyFill="1" applyBorder="1" applyAlignment="1">
      <alignment horizontal="center" vertical="center" wrapText="1"/>
    </xf>
    <xf numFmtId="0" fontId="5" fillId="21" borderId="2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3" borderId="0" xfId="0" applyFont="1" applyFill="1"/>
    <xf numFmtId="0" fontId="5" fillId="5" borderId="0" xfId="0" applyFont="1" applyFill="1"/>
    <xf numFmtId="0" fontId="5" fillId="7" borderId="0" xfId="0" applyFont="1" applyFill="1"/>
    <xf numFmtId="0" fontId="5" fillId="9" borderId="0" xfId="0" applyFont="1" applyFill="1"/>
    <xf numFmtId="1" fontId="0" fillId="0" borderId="0" xfId="0" applyNumberFormat="1"/>
    <xf numFmtId="166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1" fontId="0" fillId="0" borderId="0" xfId="0" applyNumberFormat="1" applyProtection="1">
      <protection locked="0"/>
    </xf>
    <xf numFmtId="166" fontId="4" fillId="13" borderId="7" xfId="0" applyNumberFormat="1" applyFont="1" applyFill="1" applyBorder="1" applyAlignment="1" applyProtection="1">
      <alignment horizontal="center"/>
      <protection locked="0"/>
    </xf>
    <xf numFmtId="167" fontId="4" fillId="11" borderId="7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 wrapText="1"/>
    </xf>
    <xf numFmtId="0" fontId="0" fillId="0" borderId="29" xfId="0" applyBorder="1"/>
    <xf numFmtId="0" fontId="0" fillId="0" borderId="30" xfId="0" applyBorder="1"/>
    <xf numFmtId="0" fontId="5" fillId="7" borderId="34" xfId="0" applyFont="1" applyFill="1" applyBorder="1" applyAlignment="1">
      <alignment horizontal="center"/>
    </xf>
    <xf numFmtId="0" fontId="5" fillId="7" borderId="35" xfId="0" applyFont="1" applyFill="1" applyBorder="1" applyAlignment="1">
      <alignment horizontal="center"/>
    </xf>
    <xf numFmtId="0" fontId="5" fillId="7" borderId="36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67" fontId="0" fillId="0" borderId="10" xfId="0" applyNumberFormat="1" applyBorder="1"/>
    <xf numFmtId="167" fontId="0" fillId="0" borderId="32" xfId="0" applyNumberFormat="1" applyBorder="1"/>
    <xf numFmtId="0" fontId="5" fillId="0" borderId="13" xfId="0" applyFont="1" applyBorder="1" applyAlignment="1">
      <alignment horizontal="center"/>
    </xf>
    <xf numFmtId="167" fontId="0" fillId="0" borderId="13" xfId="0" applyNumberFormat="1" applyBorder="1"/>
    <xf numFmtId="167" fontId="0" fillId="0" borderId="27" xfId="0" applyNumberFormat="1" applyBorder="1"/>
    <xf numFmtId="0" fontId="5" fillId="0" borderId="22" xfId="0" applyFont="1" applyBorder="1" applyAlignment="1">
      <alignment horizontal="center"/>
    </xf>
    <xf numFmtId="167" fontId="0" fillId="0" borderId="22" xfId="0" applyNumberFormat="1" applyBorder="1"/>
    <xf numFmtId="167" fontId="0" fillId="0" borderId="28" xfId="0" applyNumberFormat="1" applyBorder="1"/>
    <xf numFmtId="1" fontId="0" fillId="0" borderId="0" xfId="0" applyNumberFormat="1" applyAlignment="1">
      <alignment horizontal="center"/>
    </xf>
    <xf numFmtId="0" fontId="4" fillId="0" borderId="0" xfId="0" applyFont="1"/>
    <xf numFmtId="0" fontId="14" fillId="0" borderId="0" xfId="0" applyFont="1"/>
    <xf numFmtId="0" fontId="5" fillId="31" borderId="0" xfId="0" applyFont="1" applyFill="1"/>
    <xf numFmtId="164" fontId="0" fillId="0" borderId="0" xfId="0" applyNumberFormat="1"/>
    <xf numFmtId="0" fontId="5" fillId="30" borderId="0" xfId="0" applyFont="1" applyFill="1"/>
    <xf numFmtId="169" fontId="0" fillId="0" borderId="0" xfId="0" applyNumberFormat="1"/>
    <xf numFmtId="164" fontId="0" fillId="0" borderId="0" xfId="0" applyNumberFormat="1" applyProtection="1">
      <protection locked="0"/>
    </xf>
    <xf numFmtId="164" fontId="0" fillId="10" borderId="0" xfId="0" applyNumberFormat="1" applyFill="1"/>
    <xf numFmtId="1" fontId="0" fillId="10" borderId="0" xfId="0" applyNumberFormat="1" applyFill="1"/>
    <xf numFmtId="0" fontId="0" fillId="32" borderId="0" xfId="0" applyFill="1" applyAlignment="1">
      <alignment horizontal="center"/>
    </xf>
    <xf numFmtId="0" fontId="0" fillId="33" borderId="0" xfId="0" applyFill="1"/>
    <xf numFmtId="0" fontId="13" fillId="9" borderId="12" xfId="0" applyFont="1" applyFill="1" applyBorder="1" applyAlignment="1">
      <alignment horizontal="center"/>
    </xf>
    <xf numFmtId="0" fontId="13" fillId="9" borderId="13" xfId="0" applyFont="1" applyFill="1" applyBorder="1" applyAlignment="1">
      <alignment horizontal="center"/>
    </xf>
    <xf numFmtId="1" fontId="0" fillId="25" borderId="12" xfId="0" applyNumberFormat="1" applyFill="1" applyBorder="1" applyAlignment="1">
      <alignment horizontal="center"/>
    </xf>
    <xf numFmtId="1" fontId="0" fillId="25" borderId="0" xfId="0" applyNumberFormat="1" applyFill="1" applyAlignment="1">
      <alignment horizontal="center" vertical="center"/>
    </xf>
    <xf numFmtId="1" fontId="5" fillId="25" borderId="0" xfId="0" applyNumberFormat="1" applyFont="1" applyFill="1" applyAlignment="1">
      <alignment horizontal="center" vertical="center"/>
    </xf>
    <xf numFmtId="1" fontId="0" fillId="35" borderId="12" xfId="0" applyNumberFormat="1" applyFill="1" applyBorder="1" applyAlignment="1">
      <alignment horizontal="center"/>
    </xf>
    <xf numFmtId="0" fontId="5" fillId="35" borderId="13" xfId="0" applyFont="1" applyFill="1" applyBorder="1"/>
    <xf numFmtId="1" fontId="0" fillId="35" borderId="0" xfId="0" applyNumberFormat="1" applyFill="1" applyAlignment="1">
      <alignment horizontal="center" vertical="center"/>
    </xf>
    <xf numFmtId="1" fontId="5" fillId="35" borderId="0" xfId="0" applyNumberFormat="1" applyFont="1" applyFill="1" applyAlignment="1">
      <alignment horizontal="center" vertical="center"/>
    </xf>
    <xf numFmtId="1" fontId="0" fillId="25" borderId="15" xfId="0" applyNumberFormat="1" applyFill="1" applyBorder="1" applyAlignment="1">
      <alignment horizontal="center"/>
    </xf>
    <xf numFmtId="164" fontId="5" fillId="25" borderId="1" xfId="0" applyNumberFormat="1" applyFont="1" applyFill="1" applyBorder="1" applyAlignment="1">
      <alignment horizontal="center" vertical="center"/>
    </xf>
    <xf numFmtId="164" fontId="5" fillId="35" borderId="3" xfId="0" applyNumberFormat="1" applyFont="1" applyFill="1" applyBorder="1" applyAlignment="1">
      <alignment horizontal="center" vertical="center"/>
    </xf>
    <xf numFmtId="164" fontId="5" fillId="25" borderId="3" xfId="0" applyNumberFormat="1" applyFont="1" applyFill="1" applyBorder="1" applyAlignment="1">
      <alignment horizontal="center" vertical="center"/>
    </xf>
    <xf numFmtId="164" fontId="5" fillId="25" borderId="2" xfId="0" applyNumberFormat="1" applyFont="1" applyFill="1" applyBorder="1" applyAlignment="1">
      <alignment horizontal="center" vertical="center"/>
    </xf>
    <xf numFmtId="0" fontId="5" fillId="0" borderId="0" xfId="0" applyFont="1"/>
    <xf numFmtId="170" fontId="5" fillId="0" borderId="0" xfId="0" applyNumberFormat="1" applyFont="1" applyAlignment="1">
      <alignment horizontal="center" textRotation="90"/>
    </xf>
    <xf numFmtId="171" fontId="0" fillId="0" borderId="0" xfId="0" applyNumberFormat="1"/>
    <xf numFmtId="3" fontId="5" fillId="0" borderId="6" xfId="0" applyNumberFormat="1" applyFont="1" applyBorder="1" applyAlignment="1">
      <alignment horizontal="center"/>
    </xf>
    <xf numFmtId="3" fontId="0" fillId="0" borderId="6" xfId="0" applyNumberFormat="1" applyBorder="1"/>
    <xf numFmtId="0" fontId="0" fillId="0" borderId="24" xfId="0" applyBorder="1"/>
    <xf numFmtId="0" fontId="0" fillId="0" borderId="19" xfId="0" applyBorder="1"/>
    <xf numFmtId="0" fontId="5" fillId="15" borderId="13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0" fillId="0" borderId="14" xfId="0" applyBorder="1"/>
    <xf numFmtId="0" fontId="5" fillId="16" borderId="13" xfId="0" applyFont="1" applyFill="1" applyBorder="1"/>
    <xf numFmtId="0" fontId="1" fillId="16" borderId="13" xfId="0" applyFont="1" applyFill="1" applyBorder="1" applyAlignment="1">
      <alignment horizontal="center"/>
    </xf>
    <xf numFmtId="0" fontId="5" fillId="0" borderId="13" xfId="0" applyFont="1" applyBorder="1"/>
    <xf numFmtId="0" fontId="1" fillId="0" borderId="13" xfId="0" applyFont="1" applyBorder="1" applyAlignment="1">
      <alignment horizontal="center"/>
    </xf>
    <xf numFmtId="0" fontId="5" fillId="16" borderId="22" xfId="0" applyFont="1" applyFill="1" applyBorder="1"/>
    <xf numFmtId="0" fontId="1" fillId="16" borderId="22" xfId="0" applyFont="1" applyFill="1" applyBorder="1" applyAlignment="1">
      <alignment horizontal="center"/>
    </xf>
    <xf numFmtId="0" fontId="0" fillId="0" borderId="6" xfId="0" applyBorder="1"/>
    <xf numFmtId="0" fontId="5" fillId="16" borderId="14" xfId="0" applyFont="1" applyFill="1" applyBorder="1"/>
    <xf numFmtId="0" fontId="5" fillId="0" borderId="14" xfId="0" applyFont="1" applyBorder="1"/>
    <xf numFmtId="0" fontId="5" fillId="16" borderId="23" xfId="0" applyFont="1" applyFill="1" applyBorder="1"/>
    <xf numFmtId="0" fontId="0" fillId="0" borderId="6" xfId="0" applyBorder="1" applyAlignment="1">
      <alignment horizontal="center"/>
    </xf>
    <xf numFmtId="3" fontId="0" fillId="0" borderId="0" xfId="0" applyNumberFormat="1"/>
    <xf numFmtId="3" fontId="5" fillId="15" borderId="13" xfId="0" applyNumberFormat="1" applyFont="1" applyFill="1" applyBorder="1" applyAlignment="1">
      <alignment horizontal="center"/>
    </xf>
    <xf numFmtId="3" fontId="0" fillId="0" borderId="13" xfId="0" applyNumberFormat="1" applyBorder="1"/>
    <xf numFmtId="3" fontId="5" fillId="16" borderId="13" xfId="0" applyNumberFormat="1" applyFont="1" applyFill="1" applyBorder="1"/>
    <xf numFmtId="3" fontId="5" fillId="0" borderId="13" xfId="0" applyNumberFormat="1" applyFont="1" applyBorder="1"/>
    <xf numFmtId="1" fontId="16" fillId="36" borderId="21" xfId="0" applyNumberFormat="1" applyFont="1" applyFill="1" applyBorder="1" applyAlignment="1">
      <alignment horizontal="center"/>
    </xf>
    <xf numFmtId="3" fontId="16" fillId="36" borderId="21" xfId="0" applyNumberFormat="1" applyFont="1" applyFill="1" applyBorder="1" applyAlignment="1">
      <alignment horizontal="center"/>
    </xf>
    <xf numFmtId="1" fontId="0" fillId="16" borderId="25" xfId="0" applyNumberFormat="1" applyFill="1" applyBorder="1" applyAlignment="1">
      <alignment horizontal="center"/>
    </xf>
    <xf numFmtId="1" fontId="1" fillId="16" borderId="13" xfId="0" applyNumberFormat="1" applyFont="1" applyFill="1" applyBorder="1" applyAlignment="1">
      <alignment horizontal="center"/>
    </xf>
    <xf numFmtId="1" fontId="5" fillId="16" borderId="14" xfId="0" applyNumberFormat="1" applyFont="1" applyFill="1" applyBorder="1"/>
    <xf numFmtId="1" fontId="0" fillId="0" borderId="25" xfId="0" applyNumberForma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2" fontId="5" fillId="0" borderId="14" xfId="0" applyNumberFormat="1" applyFont="1" applyBorder="1"/>
    <xf numFmtId="2" fontId="5" fillId="16" borderId="14" xfId="0" applyNumberFormat="1" applyFont="1" applyFill="1" applyBorder="1"/>
    <xf numFmtId="1" fontId="5" fillId="0" borderId="14" xfId="0" applyNumberFormat="1" applyFont="1" applyBorder="1"/>
    <xf numFmtId="1" fontId="5" fillId="16" borderId="13" xfId="0" applyNumberFormat="1" applyFont="1" applyFill="1" applyBorder="1"/>
    <xf numFmtId="1" fontId="5" fillId="0" borderId="13" xfId="0" applyNumberFormat="1" applyFont="1" applyBorder="1"/>
    <xf numFmtId="1" fontId="0" fillId="16" borderId="26" xfId="0" applyNumberFormat="1" applyFill="1" applyBorder="1" applyAlignment="1">
      <alignment horizontal="center"/>
    </xf>
    <xf numFmtId="1" fontId="5" fillId="16" borderId="22" xfId="0" applyNumberFormat="1" applyFont="1" applyFill="1" applyBorder="1"/>
    <xf numFmtId="1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4" fontId="5" fillId="0" borderId="6" xfId="0" applyNumberFormat="1" applyFont="1" applyBorder="1" applyAlignment="1">
      <alignment horizontal="center"/>
    </xf>
    <xf numFmtId="0" fontId="5" fillId="21" borderId="20" xfId="0" applyFont="1" applyFill="1" applyBorder="1" applyAlignment="1">
      <alignment horizontal="center" vertical="center" wrapText="1"/>
    </xf>
    <xf numFmtId="0" fontId="5" fillId="21" borderId="6" xfId="0" applyFont="1" applyFill="1" applyBorder="1" applyAlignment="1">
      <alignment horizontal="center" vertical="center" wrapText="1"/>
    </xf>
    <xf numFmtId="0" fontId="0" fillId="22" borderId="25" xfId="0" applyFill="1" applyBorder="1" applyAlignment="1">
      <alignment horizontal="center" vertical="center"/>
    </xf>
    <xf numFmtId="0" fontId="5" fillId="22" borderId="13" xfId="0" applyFont="1" applyFill="1" applyBorder="1" applyAlignment="1">
      <alignment vertical="center"/>
    </xf>
    <xf numFmtId="0" fontId="0" fillId="22" borderId="13" xfId="0" applyFill="1" applyBorder="1" applyAlignment="1">
      <alignment horizontal="center" vertical="center"/>
    </xf>
    <xf numFmtId="0" fontId="5" fillId="22" borderId="13" xfId="0" applyFont="1" applyFill="1" applyBorder="1" applyAlignment="1">
      <alignment horizontal="center" vertical="center"/>
    </xf>
    <xf numFmtId="0" fontId="5" fillId="22" borderId="1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25" xfId="0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6" fontId="5" fillId="11" borderId="0" xfId="0" applyNumberFormat="1" applyFont="1" applyFill="1" applyAlignment="1" applyProtection="1">
      <alignment horizontal="center"/>
      <protection locked="0"/>
    </xf>
    <xf numFmtId="0" fontId="7" fillId="37" borderId="0" xfId="0" applyFont="1" applyFill="1"/>
    <xf numFmtId="1" fontId="0" fillId="0" borderId="43" xfId="0" applyNumberFormat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3" fontId="0" fillId="0" borderId="43" xfId="0" applyNumberFormat="1" applyBorder="1" applyAlignment="1">
      <alignment horizontal="center"/>
    </xf>
    <xf numFmtId="3" fontId="0" fillId="0" borderId="45" xfId="0" applyNumberFormat="1" applyBorder="1" applyAlignment="1">
      <alignment horizontal="center"/>
    </xf>
    <xf numFmtId="0" fontId="7" fillId="37" borderId="46" xfId="0" applyFont="1" applyFill="1" applyBorder="1" applyAlignment="1">
      <alignment horizontal="left" vertical="center"/>
    </xf>
    <xf numFmtId="0" fontId="7" fillId="37" borderId="47" xfId="0" applyFont="1" applyFill="1" applyBorder="1" applyAlignment="1">
      <alignment horizontal="left" vertical="center"/>
    </xf>
    <xf numFmtId="0" fontId="7" fillId="37" borderId="48" xfId="0" applyFont="1" applyFill="1" applyBorder="1" applyAlignment="1">
      <alignment horizontal="left" vertical="center"/>
    </xf>
    <xf numFmtId="1" fontId="0" fillId="0" borderId="50" xfId="0" applyNumberForma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3" fontId="0" fillId="0" borderId="50" xfId="0" applyNumberFormat="1" applyBorder="1" applyAlignment="1">
      <alignment horizontal="center"/>
    </xf>
    <xf numFmtId="3" fontId="0" fillId="0" borderId="51" xfId="0" applyNumberFormat="1" applyBorder="1" applyAlignment="1">
      <alignment horizontal="center"/>
    </xf>
    <xf numFmtId="164" fontId="0" fillId="36" borderId="43" xfId="0" applyNumberFormat="1" applyFill="1" applyBorder="1" applyAlignment="1">
      <alignment horizontal="center"/>
    </xf>
    <xf numFmtId="164" fontId="0" fillId="36" borderId="50" xfId="0" applyNumberFormat="1" applyFill="1" applyBorder="1" applyAlignment="1">
      <alignment horizontal="center"/>
    </xf>
    <xf numFmtId="3" fontId="0" fillId="36" borderId="43" xfId="0" applyNumberFormat="1" applyFill="1" applyBorder="1" applyAlignment="1">
      <alignment horizontal="center"/>
    </xf>
    <xf numFmtId="3" fontId="0" fillId="36" borderId="50" xfId="0" applyNumberFormat="1" applyFill="1" applyBorder="1" applyAlignment="1">
      <alignment horizontal="center"/>
    </xf>
    <xf numFmtId="2" fontId="0" fillId="36" borderId="43" xfId="0" applyNumberFormat="1" applyFill="1" applyBorder="1" applyAlignment="1">
      <alignment horizontal="center"/>
    </xf>
    <xf numFmtId="2" fontId="0" fillId="36" borderId="50" xfId="0" applyNumberFormat="1" applyFill="1" applyBorder="1" applyAlignment="1">
      <alignment horizontal="center"/>
    </xf>
    <xf numFmtId="1" fontId="5" fillId="38" borderId="44" xfId="0" applyNumberFormat="1" applyFont="1" applyFill="1" applyBorder="1" applyAlignment="1">
      <alignment horizontal="center"/>
    </xf>
    <xf numFmtId="1" fontId="5" fillId="38" borderId="49" xfId="0" applyNumberFormat="1" applyFont="1" applyFill="1" applyBorder="1" applyAlignment="1">
      <alignment horizontal="center"/>
    </xf>
    <xf numFmtId="172" fontId="0" fillId="36" borderId="43" xfId="0" applyNumberFormat="1" applyFill="1" applyBorder="1" applyAlignment="1">
      <alignment horizontal="center"/>
    </xf>
    <xf numFmtId="172" fontId="0" fillId="36" borderId="50" xfId="0" applyNumberFormat="1" applyFill="1" applyBorder="1" applyAlignment="1">
      <alignment horizontal="center"/>
    </xf>
    <xf numFmtId="172" fontId="5" fillId="11" borderId="0" xfId="0" applyNumberFormat="1" applyFont="1" applyFill="1" applyAlignment="1" applyProtection="1">
      <alignment horizontal="center"/>
      <protection locked="0"/>
    </xf>
    <xf numFmtId="172" fontId="5" fillId="11" borderId="7" xfId="0" applyNumberFormat="1" applyFont="1" applyFill="1" applyBorder="1" applyAlignment="1">
      <alignment horizontal="center"/>
    </xf>
    <xf numFmtId="0" fontId="5" fillId="24" borderId="12" xfId="0" applyFont="1" applyFill="1" applyBorder="1" applyAlignment="1">
      <alignment horizontal="center"/>
    </xf>
    <xf numFmtId="0" fontId="5" fillId="24" borderId="13" xfId="0" applyFon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72" fontId="12" fillId="0" borderId="10" xfId="0" applyNumberFormat="1" applyFont="1" applyBorder="1" applyAlignment="1">
      <alignment horizontal="center" vertical="center"/>
    </xf>
    <xf numFmtId="172" fontId="12" fillId="0" borderId="11" xfId="0" applyNumberFormat="1" applyFont="1" applyBorder="1" applyAlignment="1">
      <alignment horizontal="center" vertical="center"/>
    </xf>
    <xf numFmtId="0" fontId="5" fillId="24" borderId="13" xfId="0" applyFont="1" applyFill="1" applyBorder="1" applyAlignment="1">
      <alignment horizontal="center" vertical="center"/>
    </xf>
    <xf numFmtId="0" fontId="5" fillId="24" borderId="14" xfId="0" applyFont="1" applyFill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7" fillId="37" borderId="42" xfId="0" applyFont="1" applyFill="1" applyBorder="1"/>
    <xf numFmtId="3" fontId="5" fillId="0" borderId="52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0" fontId="0" fillId="0" borderId="16" xfId="0" applyBorder="1"/>
    <xf numFmtId="169" fontId="0" fillId="22" borderId="14" xfId="0" applyNumberFormat="1" applyFill="1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169" fontId="3" fillId="27" borderId="0" xfId="0" applyNumberFormat="1" applyFont="1" applyFill="1" applyAlignment="1">
      <alignment horizontal="center"/>
    </xf>
    <xf numFmtId="169" fontId="0" fillId="0" borderId="17" xfId="0" applyNumberFormat="1" applyBorder="1" applyAlignment="1">
      <alignment horizontal="center"/>
    </xf>
    <xf numFmtId="0" fontId="3" fillId="21" borderId="20" xfId="0" applyFont="1" applyFill="1" applyBorder="1" applyAlignment="1">
      <alignment horizontal="center" vertical="center" wrapText="1"/>
    </xf>
    <xf numFmtId="169" fontId="0" fillId="22" borderId="13" xfId="0" applyNumberFormat="1" applyFill="1" applyBorder="1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169" fontId="0" fillId="0" borderId="16" xfId="0" applyNumberFormat="1" applyBorder="1" applyAlignment="1">
      <alignment horizontal="center"/>
    </xf>
    <xf numFmtId="0" fontId="3" fillId="21" borderId="19" xfId="0" applyFont="1" applyFill="1" applyBorder="1" applyAlignment="1">
      <alignment horizontal="center" vertical="center" wrapText="1"/>
    </xf>
    <xf numFmtId="169" fontId="5" fillId="22" borderId="13" xfId="0" applyNumberFormat="1" applyFont="1" applyFill="1" applyBorder="1" applyAlignment="1">
      <alignment horizontal="center" vertical="center"/>
    </xf>
    <xf numFmtId="169" fontId="5" fillId="0" borderId="13" xfId="0" applyNumberFormat="1" applyFont="1" applyBorder="1" applyAlignment="1">
      <alignment horizontal="center" vertical="center"/>
    </xf>
    <xf numFmtId="169" fontId="5" fillId="27" borderId="42" xfId="0" applyNumberFormat="1" applyFont="1" applyFill="1" applyBorder="1" applyAlignment="1">
      <alignment horizontal="center"/>
    </xf>
    <xf numFmtId="0" fontId="5" fillId="27" borderId="16" xfId="0" applyFont="1" applyFill="1" applyBorder="1" applyAlignment="1">
      <alignment horizontal="center"/>
    </xf>
    <xf numFmtId="0" fontId="5" fillId="27" borderId="17" xfId="0" applyFont="1" applyFill="1" applyBorder="1" applyAlignment="1">
      <alignment horizontal="center"/>
    </xf>
    <xf numFmtId="3" fontId="3" fillId="27" borderId="53" xfId="0" applyNumberFormat="1" applyFont="1" applyFill="1" applyBorder="1" applyAlignment="1">
      <alignment horizontal="center"/>
    </xf>
    <xf numFmtId="169" fontId="3" fillId="27" borderId="53" xfId="0" applyNumberFormat="1" applyFont="1" applyFill="1" applyBorder="1" applyAlignment="1">
      <alignment horizontal="center"/>
    </xf>
    <xf numFmtId="0" fontId="5" fillId="27" borderId="54" xfId="0" applyFont="1" applyFill="1" applyBorder="1" applyAlignment="1">
      <alignment horizontal="center"/>
    </xf>
    <xf numFmtId="0" fontId="7" fillId="39" borderId="4" xfId="0" applyFont="1" applyFill="1" applyBorder="1" applyAlignment="1">
      <alignment horizontal="center"/>
    </xf>
    <xf numFmtId="3" fontId="7" fillId="39" borderId="4" xfId="0" applyNumberFormat="1" applyFont="1" applyFill="1" applyBorder="1" applyAlignment="1">
      <alignment horizontal="center"/>
    </xf>
    <xf numFmtId="169" fontId="7" fillId="39" borderId="4" xfId="0" applyNumberFormat="1" applyFont="1" applyFill="1" applyBorder="1" applyAlignment="1">
      <alignment horizontal="center"/>
    </xf>
    <xf numFmtId="164" fontId="0" fillId="35" borderId="0" xfId="0" applyNumberFormat="1" applyFill="1"/>
    <xf numFmtId="0" fontId="0" fillId="35" borderId="0" xfId="0" applyFill="1"/>
    <xf numFmtId="0" fontId="15" fillId="14" borderId="0" xfId="3" applyFont="1" applyFill="1" applyAlignment="1" applyProtection="1">
      <alignment horizontal="center" vertical="center"/>
    </xf>
    <xf numFmtId="0" fontId="7" fillId="2" borderId="0" xfId="0" applyFont="1" applyFill="1" applyAlignment="1">
      <alignment horizontal="center"/>
    </xf>
    <xf numFmtId="0" fontId="15" fillId="28" borderId="0" xfId="3" applyFont="1" applyFill="1" applyAlignment="1" applyProtection="1">
      <alignment horizontal="center" vertical="center"/>
    </xf>
    <xf numFmtId="0" fontId="7" fillId="4" borderId="0" xfId="0" applyFont="1" applyFill="1" applyAlignment="1">
      <alignment horizontal="center"/>
    </xf>
    <xf numFmtId="0" fontId="15" fillId="26" borderId="0" xfId="3" applyFont="1" applyFill="1" applyAlignment="1" applyProtection="1">
      <alignment horizontal="center" vertical="center"/>
    </xf>
    <xf numFmtId="0" fontId="7" fillId="6" borderId="0" xfId="0" applyFont="1" applyFill="1" applyAlignment="1">
      <alignment horizontal="center"/>
    </xf>
    <xf numFmtId="0" fontId="15" fillId="8" borderId="0" xfId="3" applyFont="1" applyFill="1" applyAlignment="1" applyProtection="1">
      <alignment horizontal="center" vertical="center"/>
    </xf>
    <xf numFmtId="0" fontId="7" fillId="8" borderId="0" xfId="0" applyFont="1" applyFill="1" applyAlignment="1">
      <alignment horizontal="center"/>
    </xf>
    <xf numFmtId="0" fontId="11" fillId="0" borderId="0" xfId="0" applyFont="1" applyAlignment="1">
      <alignment horizontal="left" vertical="center"/>
    </xf>
    <xf numFmtId="167" fontId="0" fillId="0" borderId="37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67" fontId="0" fillId="0" borderId="39" xfId="0" applyNumberForma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167" fontId="5" fillId="12" borderId="30" xfId="0" applyNumberFormat="1" applyFont="1" applyFill="1" applyBorder="1" applyAlignment="1">
      <alignment horizontal="center"/>
    </xf>
    <xf numFmtId="0" fontId="0" fillId="0" borderId="30" xfId="0" applyBorder="1"/>
    <xf numFmtId="0" fontId="0" fillId="0" borderId="40" xfId="0" applyBorder="1" applyAlignment="1">
      <alignment horizontal="center" vertical="center"/>
    </xf>
    <xf numFmtId="0" fontId="5" fillId="0" borderId="41" xfId="0" applyFont="1" applyBorder="1" applyAlignment="1">
      <alignment horizontal="left" vertical="center"/>
    </xf>
    <xf numFmtId="0" fontId="8" fillId="6" borderId="0" xfId="0" applyFont="1" applyFill="1" applyAlignment="1">
      <alignment horizontal="center"/>
    </xf>
    <xf numFmtId="0" fontId="0" fillId="0" borderId="0" xfId="0"/>
    <xf numFmtId="0" fontId="0" fillId="0" borderId="33" xfId="0" applyBorder="1"/>
    <xf numFmtId="0" fontId="8" fillId="14" borderId="0" xfId="0" applyFont="1" applyFill="1" applyAlignment="1">
      <alignment horizontal="center"/>
    </xf>
    <xf numFmtId="3" fontId="0" fillId="0" borderId="0" xfId="0" applyNumberFormat="1"/>
    <xf numFmtId="168" fontId="5" fillId="15" borderId="20" xfId="0" applyNumberFormat="1" applyFont="1" applyFill="1" applyBorder="1" applyAlignment="1">
      <alignment horizontal="center"/>
    </xf>
    <xf numFmtId="168" fontId="5" fillId="15" borderId="18" xfId="0" applyNumberFormat="1" applyFont="1" applyFill="1" applyBorder="1" applyAlignment="1">
      <alignment horizontal="center"/>
    </xf>
    <xf numFmtId="3" fontId="7" fillId="14" borderId="19" xfId="0" applyNumberFormat="1" applyFont="1" applyFill="1" applyBorder="1" applyAlignment="1">
      <alignment horizontal="center"/>
    </xf>
    <xf numFmtId="0" fontId="0" fillId="0" borderId="20" xfId="0" applyBorder="1"/>
    <xf numFmtId="171" fontId="5" fillId="13" borderId="36" xfId="0" applyNumberFormat="1" applyFont="1" applyFill="1" applyBorder="1" applyAlignment="1" applyProtection="1">
      <alignment horizontal="center"/>
      <protection locked="0"/>
    </xf>
    <xf numFmtId="165" fontId="5" fillId="13" borderId="8" xfId="0" applyNumberFormat="1" applyFont="1" applyFill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/>
    <xf numFmtId="0" fontId="5" fillId="19" borderId="6" xfId="0" applyFont="1" applyFill="1" applyBorder="1" applyAlignment="1">
      <alignment horizontal="right"/>
    </xf>
    <xf numFmtId="0" fontId="0" fillId="0" borderId="6" xfId="0" applyBorder="1"/>
    <xf numFmtId="2" fontId="5" fillId="19" borderId="6" xfId="0" applyNumberFormat="1" applyFont="1" applyFill="1" applyBorder="1" applyAlignment="1">
      <alignment horizontal="center"/>
    </xf>
    <xf numFmtId="1" fontId="5" fillId="19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0" fontId="5" fillId="0" borderId="36" xfId="0" applyFont="1" applyBorder="1" applyAlignment="1">
      <alignment horizontal="center"/>
    </xf>
    <xf numFmtId="166" fontId="5" fillId="0" borderId="34" xfId="0" applyNumberFormat="1" applyFont="1" applyBorder="1" applyAlignment="1">
      <alignment horizontal="center"/>
    </xf>
    <xf numFmtId="0" fontId="5" fillId="13" borderId="6" xfId="0" applyFont="1" applyFill="1" applyBorder="1" applyAlignment="1">
      <alignment horizontal="right"/>
    </xf>
    <xf numFmtId="2" fontId="5" fillId="13" borderId="6" xfId="0" applyNumberFormat="1" applyFont="1" applyFill="1" applyBorder="1" applyAlignment="1">
      <alignment horizontal="center"/>
    </xf>
    <xf numFmtId="0" fontId="5" fillId="15" borderId="25" xfId="0" applyFont="1" applyFill="1" applyBorder="1" applyAlignment="1">
      <alignment horizontal="center"/>
    </xf>
    <xf numFmtId="0" fontId="0" fillId="0" borderId="13" xfId="0" applyBorder="1"/>
    <xf numFmtId="0" fontId="5" fillId="10" borderId="25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5" fillId="13" borderId="6" xfId="0" applyNumberFormat="1" applyFont="1" applyFill="1" applyBorder="1" applyAlignment="1">
      <alignment horizontal="center"/>
    </xf>
    <xf numFmtId="3" fontId="5" fillId="13" borderId="6" xfId="0" applyNumberFormat="1" applyFont="1" applyFill="1" applyBorder="1" applyAlignment="1">
      <alignment horizontal="right"/>
    </xf>
    <xf numFmtId="4" fontId="5" fillId="13" borderId="6" xfId="0" applyNumberFormat="1" applyFont="1" applyFill="1" applyBorder="1" applyAlignment="1">
      <alignment horizontal="center"/>
    </xf>
    <xf numFmtId="0" fontId="5" fillId="18" borderId="6" xfId="0" applyFont="1" applyFill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0" fontId="8" fillId="29" borderId="0" xfId="0" applyFont="1" applyFill="1" applyAlignment="1">
      <alignment horizontal="center"/>
    </xf>
    <xf numFmtId="0" fontId="9" fillId="0" borderId="0" xfId="0" applyFont="1"/>
    <xf numFmtId="0" fontId="7" fillId="20" borderId="39" xfId="0" applyFont="1" applyFill="1" applyBorder="1" applyAlignment="1">
      <alignment horizontal="center"/>
    </xf>
    <xf numFmtId="0" fontId="0" fillId="0" borderId="16" xfId="0" applyBorder="1"/>
    <xf numFmtId="0" fontId="8" fillId="20" borderId="0" xfId="0" applyFont="1" applyFill="1" applyAlignment="1">
      <alignment horizontal="center"/>
    </xf>
    <xf numFmtId="0" fontId="17" fillId="0" borderId="0" xfId="0" applyFont="1" applyAlignment="1">
      <alignment horizontal="left" vertical="center"/>
    </xf>
    <xf numFmtId="0" fontId="8" fillId="23" borderId="0" xfId="0" applyFont="1" applyFill="1" applyAlignment="1">
      <alignment horizontal="center"/>
    </xf>
    <xf numFmtId="0" fontId="9" fillId="0" borderId="33" xfId="0" applyFont="1" applyBorder="1"/>
    <xf numFmtId="0" fontId="5" fillId="0" borderId="0" xfId="0" applyFont="1" applyAlignment="1">
      <alignment horizontal="center"/>
    </xf>
    <xf numFmtId="0" fontId="5" fillId="32" borderId="0" xfId="0" applyFont="1" applyFill="1" applyAlignment="1">
      <alignment horizontal="right"/>
    </xf>
    <xf numFmtId="0" fontId="0" fillId="32" borderId="0" xfId="0" applyFill="1" applyAlignment="1">
      <alignment horizontal="right"/>
    </xf>
    <xf numFmtId="0" fontId="5" fillId="33" borderId="0" xfId="0" applyFont="1" applyFill="1" applyAlignment="1">
      <alignment horizontal="right"/>
    </xf>
    <xf numFmtId="0" fontId="0" fillId="33" borderId="0" xfId="0" applyFill="1" applyAlignment="1">
      <alignment horizontal="right"/>
    </xf>
    <xf numFmtId="0" fontId="5" fillId="34" borderId="0" xfId="0" applyFont="1" applyFill="1" applyAlignment="1">
      <alignment horizontal="right"/>
    </xf>
    <xf numFmtId="0" fontId="0" fillId="34" borderId="0" xfId="0" applyFill="1" applyAlignment="1">
      <alignment horizontal="right"/>
    </xf>
    <xf numFmtId="166" fontId="0" fillId="34" borderId="0" xfId="0" applyNumberFormat="1" applyFill="1" applyAlignment="1" applyProtection="1">
      <alignment horizontal="left"/>
      <protection locked="0"/>
    </xf>
    <xf numFmtId="166" fontId="0" fillId="0" borderId="0" xfId="0" applyNumberFormat="1" applyAlignment="1">
      <alignment horizontal="left"/>
    </xf>
    <xf numFmtId="0" fontId="8" fillId="8" borderId="0" xfId="0" applyFont="1" applyFill="1" applyAlignment="1">
      <alignment horizontal="center"/>
    </xf>
    <xf numFmtId="0" fontId="5" fillId="0" borderId="42" xfId="0" applyFont="1" applyBorder="1" applyAlignment="1">
      <alignment horizontal="center"/>
    </xf>
  </cellXfs>
  <cellStyles count="4">
    <cellStyle name="Hipervínculo" xfId="3" builtinId="8"/>
    <cellStyle name="Normal" xfId="0" builtinId="0"/>
    <cellStyle name="Normal 2" xfId="1" xr:uid="{B7D3C139-501C-4549-A75E-7CF97A478C86}"/>
    <cellStyle name="Normal 3" xfId="2" xr:uid="{0B24127E-3B20-3E4B-8C17-AA840D972714}"/>
  </cellStyles>
  <dxfs count="76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66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66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66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66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66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66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66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66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66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2E7D32"/>
      </font>
      <fill>
        <patternFill patternType="solid">
          <fgColor indexed="64"/>
          <bgColor rgb="FFC8E6C9"/>
        </patternFill>
      </fill>
    </dxf>
    <dxf>
      <font>
        <color rgb="FFFFFFFF"/>
      </font>
      <fill>
        <patternFill patternType="solid">
          <fgColor indexed="64"/>
          <bgColor rgb="FFD32F2F"/>
        </patternFill>
      </fill>
    </dxf>
    <dxf>
      <font>
        <b/>
        <i val="0"/>
        <color rgb="FFFFFFFF"/>
      </font>
      <fill>
        <patternFill patternType="solid">
          <fgColor indexed="64"/>
          <bgColor rgb="FF5D4037"/>
        </patternFill>
      </fill>
    </dxf>
    <dxf>
      <font>
        <b/>
        <i val="0"/>
        <color rgb="FFFFFFFF"/>
      </font>
      <fill>
        <patternFill patternType="solid">
          <fgColor indexed="64"/>
          <bgColor rgb="FF757575"/>
        </patternFill>
      </fill>
    </dxf>
    <dxf>
      <font>
        <b/>
        <i val="0"/>
        <color rgb="FFFFFFFF"/>
      </font>
      <fill>
        <patternFill patternType="solid">
          <fgColor indexed="64"/>
          <bgColor rgb="FFFB8C00"/>
        </patternFill>
      </fill>
    </dxf>
    <dxf>
      <font>
        <b/>
        <i val="0"/>
        <color rgb="FFFFFFFF"/>
      </font>
      <fill>
        <patternFill patternType="solid">
          <fgColor indexed="64"/>
          <bgColor rgb="FFE53935"/>
        </patternFill>
      </fill>
    </dxf>
    <dxf>
      <font>
        <b/>
        <i val="0"/>
        <color rgb="FFFFFFFF"/>
      </font>
      <fill>
        <patternFill patternType="solid">
          <fgColor indexed="64"/>
          <bgColor rgb="FF9E9E9E"/>
        </patternFill>
      </fill>
    </dxf>
    <dxf>
      <font>
        <b/>
        <i val="0"/>
        <color rgb="FFFFFFFF"/>
      </font>
      <fill>
        <patternFill patternType="solid">
          <fgColor indexed="64"/>
          <bgColor rgb="FF1E88E5"/>
        </patternFill>
      </fill>
    </dxf>
    <dxf>
      <font>
        <b/>
        <i val="0"/>
        <color rgb="FFFFFFFF"/>
      </font>
      <fill>
        <patternFill patternType="solid">
          <fgColor indexed="64"/>
          <bgColor rgb="FFFF1744"/>
        </patternFill>
      </fill>
    </dxf>
    <dxf>
      <font>
        <b/>
        <i val="0"/>
      </font>
      <fill>
        <patternFill patternType="solid">
          <fgColor indexed="64"/>
          <bgColor rgb="FFFFD54F"/>
        </patternFill>
      </fill>
    </dxf>
    <dxf>
      <font>
        <b/>
        <i val="0"/>
        <color rgb="FFFFFFFF"/>
      </font>
      <fill>
        <patternFill patternType="solid">
          <fgColor indexed="64"/>
          <bgColor rgb="FFEF53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66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</font>
      <fill>
        <patternFill patternType="solid">
          <fgColor indexed="64"/>
          <bgColor rgb="FFFFF176"/>
        </patternFill>
      </fill>
    </dxf>
    <dxf>
      <numFmt numFmtId="169" formatCode="0.0%"/>
      <protection locked="1"/>
    </dxf>
    <dxf>
      <numFmt numFmtId="164" formatCode="0.0"/>
      <protection locked="1"/>
    </dxf>
    <dxf>
      <numFmt numFmtId="164" formatCode="0.0"/>
      <protection locked="1"/>
    </dxf>
    <dxf>
      <numFmt numFmtId="164" formatCode="0.0"/>
      <protection locked="1"/>
    </dxf>
    <dxf>
      <protection locked="1"/>
    </dxf>
    <dxf>
      <protection locked="1"/>
    </dxf>
    <dxf>
      <protection locked="1"/>
    </dxf>
    <dxf>
      <protection locked="1"/>
    </dxf>
    <dxf>
      <numFmt numFmtId="1" formatCode="0"/>
      <protection locked="1"/>
    </dxf>
    <dxf>
      <numFmt numFmtId="1" formatCode="0"/>
      <protection locked="1"/>
    </dxf>
    <dxf>
      <numFmt numFmtId="166" formatCode="dd\-mm\-yyyy"/>
      <protection locked="1"/>
    </dxf>
    <dxf>
      <numFmt numFmtId="166" formatCode="dd\-mm\-yyyy"/>
      <protection locked="1"/>
    </dxf>
    <dxf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protection locked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Carga total semanal y fatiga por microciclo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CARGA 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'SEMANAL v2'!$B$4:$AW$4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'SEMANAL v2'!$B$9:$AW$9</c:f>
              <c:numCache>
                <c:formatCode>#,##0</c:formatCode>
                <c:ptCount val="48"/>
                <c:pt idx="0">
                  <c:v>4682.1428571428569</c:v>
                </c:pt>
                <c:pt idx="1">
                  <c:v>6774.406779661017</c:v>
                </c:pt>
                <c:pt idx="2">
                  <c:v>6762.8282828282827</c:v>
                </c:pt>
                <c:pt idx="3">
                  <c:v>6390.7692307692305</c:v>
                </c:pt>
                <c:pt idx="4">
                  <c:v>4601.25</c:v>
                </c:pt>
                <c:pt idx="5">
                  <c:v>3917.8260869565215</c:v>
                </c:pt>
                <c:pt idx="6">
                  <c:v>2768.1428571428573</c:v>
                </c:pt>
                <c:pt idx="7">
                  <c:v>4277.894736842105</c:v>
                </c:pt>
                <c:pt idx="8">
                  <c:v>4415.4838709677415</c:v>
                </c:pt>
                <c:pt idx="9">
                  <c:v>3803.2323232323233</c:v>
                </c:pt>
                <c:pt idx="10">
                  <c:v>2961.0897435897436</c:v>
                </c:pt>
                <c:pt idx="11">
                  <c:v>3107.6923076923076</c:v>
                </c:pt>
                <c:pt idx="12">
                  <c:v>4381.104651162791</c:v>
                </c:pt>
                <c:pt idx="13">
                  <c:v>3725.4901960784314</c:v>
                </c:pt>
                <c:pt idx="14">
                  <c:v>2620.731707317073</c:v>
                </c:pt>
                <c:pt idx="15">
                  <c:v>4393.5802469135806</c:v>
                </c:pt>
                <c:pt idx="16">
                  <c:v>2733.8888888888887</c:v>
                </c:pt>
                <c:pt idx="17">
                  <c:v>2313.0625</c:v>
                </c:pt>
                <c:pt idx="18">
                  <c:v>4575</c:v>
                </c:pt>
                <c:pt idx="19">
                  <c:v>2734.8125</c:v>
                </c:pt>
                <c:pt idx="20">
                  <c:v>3195</c:v>
                </c:pt>
                <c:pt idx="21">
                  <c:v>3170.7692307692309</c:v>
                </c:pt>
                <c:pt idx="22">
                  <c:v>3137.9032258064517</c:v>
                </c:pt>
                <c:pt idx="23">
                  <c:v>3088.2608695652175</c:v>
                </c:pt>
                <c:pt idx="24">
                  <c:v>#N/A</c:v>
                </c:pt>
                <c:pt idx="25">
                  <c:v>6359.493670886076</c:v>
                </c:pt>
                <c:pt idx="26">
                  <c:v>4245.5172413793107</c:v>
                </c:pt>
                <c:pt idx="27">
                  <c:v>5489.3243243243242</c:v>
                </c:pt>
                <c:pt idx="28">
                  <c:v>3149.5679012345681</c:v>
                </c:pt>
                <c:pt idx="29">
                  <c:v>2975.8208955223881</c:v>
                </c:pt>
                <c:pt idx="30">
                  <c:v>5171.868131868132</c:v>
                </c:pt>
                <c:pt idx="31">
                  <c:v>2912.2448979591836</c:v>
                </c:pt>
                <c:pt idx="32">
                  <c:v>4038.9041095890411</c:v>
                </c:pt>
                <c:pt idx="33">
                  <c:v>2764.1666666666665</c:v>
                </c:pt>
                <c:pt idx="34">
                  <c:v>3531.25</c:v>
                </c:pt>
                <c:pt idx="35">
                  <c:v>4999.3125</c:v>
                </c:pt>
                <c:pt idx="36">
                  <c:v>4445.2830188679245</c:v>
                </c:pt>
                <c:pt idx="37">
                  <c:v>4499.8765432098762</c:v>
                </c:pt>
                <c:pt idx="38">
                  <c:v>0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A-A540-BBF0-067FC68CEFFC}"/>
            </c:ext>
          </c:extLst>
        </c:ser>
        <c:ser>
          <c:idx val="1"/>
          <c:order val="1"/>
          <c:tx>
            <c:v>FATIGA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'SEMANAL v2'!$B$4:$AW$4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'SEMANAL v2'!$B$12:$AW$12</c:f>
              <c:numCache>
                <c:formatCode>#,##0</c:formatCode>
                <c:ptCount val="48"/>
                <c:pt idx="0">
                  <c:v>3712.2055219238564</c:v>
                </c:pt>
                <c:pt idx="1">
                  <c:v>9838.2699042349577</c:v>
                </c:pt>
                <c:pt idx="2">
                  <c:v>9574.0056902349243</c:v>
                </c:pt>
                <c:pt idx="3">
                  <c:v>14413.531089326782</c:v>
                </c:pt>
                <c:pt idx="4">
                  <c:v>8480.7215239274137</c:v>
                </c:pt>
                <c:pt idx="5">
                  <c:v>4913.5274638833271</c:v>
                </c:pt>
                <c:pt idx="6">
                  <c:v>2999.1095384238761</c:v>
                </c:pt>
                <c:pt idx="7">
                  <c:v>4294.8400125467278</c:v>
                </c:pt>
                <c:pt idx="8">
                  <c:v>7022.6262826301199</c:v>
                </c:pt>
                <c:pt idx="9">
                  <c:v>6240.7793330250524</c:v>
                </c:pt>
                <c:pt idx="10">
                  <c:v>3247.4363145868128</c:v>
                </c:pt>
                <c:pt idx="11">
                  <c:v>3203.8935285527923</c:v>
                </c:pt>
                <c:pt idx="12">
                  <c:v>6423.8105849925314</c:v>
                </c:pt>
                <c:pt idx="13">
                  <c:v>3649.6939114188831</c:v>
                </c:pt>
                <c:pt idx="14">
                  <c:v>2465.8226058852915</c:v>
                </c:pt>
                <c:pt idx="15">
                  <c:v>6918.8261575165861</c:v>
                </c:pt>
                <c:pt idx="16">
                  <c:v>3033.9836866538503</c:v>
                </c:pt>
                <c:pt idx="17">
                  <c:v>2110.6806519354454</c:v>
                </c:pt>
                <c:pt idx="18">
                  <c:v>8073.6274362677132</c:v>
                </c:pt>
                <c:pt idx="19">
                  <c:v>2990.5722263185457</c:v>
                </c:pt>
                <c:pt idx="20">
                  <c:v>3218.6699572601678</c:v>
                </c:pt>
                <c:pt idx="21">
                  <c:v>3051.0158632310104</c:v>
                </c:pt>
                <c:pt idx="22">
                  <c:v>3977.919182996327</c:v>
                </c:pt>
                <c:pt idx="23">
                  <c:v>3841.4065989398277</c:v>
                </c:pt>
                <c:pt idx="24">
                  <c:v>#N/A</c:v>
                </c:pt>
                <c:pt idx="25">
                  <c:v>7903.635514742532</c:v>
                </c:pt>
                <c:pt idx="26">
                  <c:v>5349.4192322695735</c:v>
                </c:pt>
                <c:pt idx="27">
                  <c:v>9153.3589207934692</c:v>
                </c:pt>
                <c:pt idx="28">
                  <c:v>3195.1803388268559</c:v>
                </c:pt>
                <c:pt idx="29">
                  <c:v>3598.6201865040739</c:v>
                </c:pt>
                <c:pt idx="30">
                  <c:v>11553.296313321072</c:v>
                </c:pt>
                <c:pt idx="31">
                  <c:v>2721.2635744748077</c:v>
                </c:pt>
                <c:pt idx="32">
                  <c:v>7142.9827268887566</c:v>
                </c:pt>
                <c:pt idx="33">
                  <c:v>3147.575102886753</c:v>
                </c:pt>
                <c:pt idx="34">
                  <c:v>4213.0477758136622</c:v>
                </c:pt>
                <c:pt idx="35">
                  <c:v>8634.3574507389421</c:v>
                </c:pt>
                <c:pt idx="36">
                  <c:v>5468.7312095185471</c:v>
                </c:pt>
                <c:pt idx="37">
                  <c:v>7117.2777189004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5A-A540-BBF0-067FC68CE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246463"/>
        <c:axId val="1028974911"/>
      </c:lineChart>
      <c:catAx>
        <c:axId val="137824646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8974911"/>
        <c:crosses val="autoZero"/>
        <c:auto val="1"/>
        <c:lblAlgn val="ctr"/>
        <c:lblOffset val="100"/>
        <c:noMultiLvlLbl val="0"/>
      </c:catAx>
      <c:valAx>
        <c:axId val="102897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824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ACWR (1:4) por microciclo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ACWR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'SEMANAL v2'!$B$4:$AW$4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'SEMANAL v2'!$B$13:$AW$13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0.74786224915765365</c:v>
                </c:pt>
                <c:pt idx="5">
                  <c:v>0.63888221633109699</c:v>
                </c:pt>
                <c:pt idx="6">
                  <c:v>0.51090011470889196</c:v>
                </c:pt>
                <c:pt idx="7">
                  <c:v>0.9679596330816983</c:v>
                </c:pt>
                <c:pt idx="8">
                  <c:v>1.1347129128582536</c:v>
                </c:pt>
                <c:pt idx="9">
                  <c:v>0.98917910799413133</c:v>
                </c:pt>
                <c:pt idx="10">
                  <c:v>0.77592859594804275</c:v>
                </c:pt>
                <c:pt idx="11">
                  <c:v>0.80417970902811775</c:v>
                </c:pt>
                <c:pt idx="12">
                  <c:v>1.2265561334499273</c:v>
                </c:pt>
                <c:pt idx="13">
                  <c:v>1.0455227910092986</c:v>
                </c:pt>
                <c:pt idx="14">
                  <c:v>0.73951662127307216</c:v>
                </c:pt>
                <c:pt idx="15">
                  <c:v>1.2702780648609415</c:v>
                </c:pt>
                <c:pt idx="16">
                  <c:v>0.72320765540933585</c:v>
                </c:pt>
                <c:pt idx="17">
                  <c:v>0.68669008166234036</c:v>
                </c:pt>
                <c:pt idx="18">
                  <c:v>1.517253995655389</c:v>
                </c:pt>
                <c:pt idx="19">
                  <c:v>0.78050910120710992</c:v>
                </c:pt>
                <c:pt idx="20">
                  <c:v>1.0342513715497699</c:v>
                </c:pt>
                <c:pt idx="21">
                  <c:v>0.98948358624787058</c:v>
                </c:pt>
                <c:pt idx="22">
                  <c:v>0.91781199149908466</c:v>
                </c:pt>
                <c:pt idx="23">
                  <c:v>1.0093605149731901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0.61854830056244714</c:v>
                </c:pt>
                <c:pt idx="30">
                  <c:v>1.3043614156095413</c:v>
                </c:pt>
                <c:pt idx="31">
                  <c:v>0.69394592122740895</c:v>
                </c:pt>
                <c:pt idx="32">
                  <c:v>1.1369586798694764</c:v>
                </c:pt>
                <c:pt idx="33">
                  <c:v>0.73228593094922367</c:v>
                </c:pt>
                <c:pt idx="34">
                  <c:v>0.94880268719651406</c:v>
                </c:pt>
                <c:pt idx="35">
                  <c:v>1.5096176995465063</c:v>
                </c:pt>
                <c:pt idx="36">
                  <c:v>1.1596163645706832</c:v>
                </c:pt>
                <c:pt idx="37">
                  <c:v>1.1435509681105227</c:v>
                </c:pt>
                <c:pt idx="38">
                  <c:v>0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1-3B4C-A214-A467FED59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358175"/>
        <c:axId val="1271359887"/>
      </c:barChart>
      <c:catAx>
        <c:axId val="12713581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1359887"/>
        <c:crosses val="autoZero"/>
        <c:auto val="1"/>
        <c:lblAlgn val="ctr"/>
        <c:lblOffset val="100"/>
        <c:noMultiLvlLbl val="0"/>
      </c:catAx>
      <c:valAx>
        <c:axId val="12713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135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Asistencia media y Borg 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ASIST. MEDIA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'SEMANAL v2'!$B$4:$AW$4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'SEMANAL v2'!$B$7:$AW$7</c:f>
              <c:numCache>
                <c:formatCode>0.0</c:formatCode>
                <c:ptCount val="48"/>
                <c:pt idx="0">
                  <c:v>17</c:v>
                </c:pt>
                <c:pt idx="1">
                  <c:v>16.111111111111111</c:v>
                </c:pt>
                <c:pt idx="2">
                  <c:v>15.125</c:v>
                </c:pt>
                <c:pt idx="3">
                  <c:v>15.333333333333334</c:v>
                </c:pt>
                <c:pt idx="4">
                  <c:v>14.166666666666666</c:v>
                </c:pt>
                <c:pt idx="5">
                  <c:v>13.5</c:v>
                </c:pt>
                <c:pt idx="6">
                  <c:v>13.333333333333334</c:v>
                </c:pt>
                <c:pt idx="7">
                  <c:v>11.625</c:v>
                </c:pt>
                <c:pt idx="8">
                  <c:v>13.375</c:v>
                </c:pt>
                <c:pt idx="9">
                  <c:v>14.375</c:v>
                </c:pt>
                <c:pt idx="10">
                  <c:v>13</c:v>
                </c:pt>
                <c:pt idx="11">
                  <c:v>14.25</c:v>
                </c:pt>
                <c:pt idx="12">
                  <c:v>14</c:v>
                </c:pt>
                <c:pt idx="13">
                  <c:v>15</c:v>
                </c:pt>
                <c:pt idx="14">
                  <c:v>13.428571428571429</c:v>
                </c:pt>
                <c:pt idx="15">
                  <c:v>13.285714285714286</c:v>
                </c:pt>
                <c:pt idx="16">
                  <c:v>13.285714285714286</c:v>
                </c:pt>
                <c:pt idx="17">
                  <c:v>13.142857142857142</c:v>
                </c:pt>
                <c:pt idx="18">
                  <c:v>13.857142857142858</c:v>
                </c:pt>
                <c:pt idx="19">
                  <c:v>13.142857142857142</c:v>
                </c:pt>
                <c:pt idx="20">
                  <c:v>9.75</c:v>
                </c:pt>
                <c:pt idx="21">
                  <c:v>12.666666666666666</c:v>
                </c:pt>
                <c:pt idx="22">
                  <c:v>14.2</c:v>
                </c:pt>
                <c:pt idx="23">
                  <c:v>13.166666666666666</c:v>
                </c:pt>
                <c:pt idx="24">
                  <c:v>#N/A</c:v>
                </c:pt>
                <c:pt idx="25">
                  <c:v>11.875</c:v>
                </c:pt>
                <c:pt idx="26">
                  <c:v>11.5</c:v>
                </c:pt>
                <c:pt idx="27">
                  <c:v>12.571428571428571</c:v>
                </c:pt>
                <c:pt idx="28">
                  <c:v>13.285714285714286</c:v>
                </c:pt>
                <c:pt idx="29">
                  <c:v>13</c:v>
                </c:pt>
                <c:pt idx="30">
                  <c:v>13.25</c:v>
                </c:pt>
                <c:pt idx="31">
                  <c:v>11.6</c:v>
                </c:pt>
                <c:pt idx="32">
                  <c:v>12.285714285714286</c:v>
                </c:pt>
                <c:pt idx="33">
                  <c:v>13.75</c:v>
                </c:pt>
                <c:pt idx="34">
                  <c:v>13</c:v>
                </c:pt>
                <c:pt idx="35">
                  <c:v>13.285714285714286</c:v>
                </c:pt>
                <c:pt idx="36">
                  <c:v>12.6</c:v>
                </c:pt>
                <c:pt idx="37">
                  <c:v>13.428571428571429</c:v>
                </c:pt>
                <c:pt idx="38">
                  <c:v>15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2-BA48-BDD5-AE47F2718580}"/>
            </c:ext>
          </c:extLst>
        </c:ser>
        <c:ser>
          <c:idx val="1"/>
          <c:order val="1"/>
          <c:tx>
            <c:v>BORG MEDIO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'SEMANAL v2'!$B$4:$AW$4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'SEMANAL v2'!$B$8:$AW$8</c:f>
              <c:numCache>
                <c:formatCode>0.00</c:formatCode>
                <c:ptCount val="48"/>
                <c:pt idx="0">
                  <c:v>9.1666666666666661</c:v>
                </c:pt>
                <c:pt idx="1">
                  <c:v>6.6440677966101696</c:v>
                </c:pt>
                <c:pt idx="2">
                  <c:v>6.8989898989898988</c:v>
                </c:pt>
                <c:pt idx="3">
                  <c:v>6.4529914529914532</c:v>
                </c:pt>
                <c:pt idx="4">
                  <c:v>6.4027777777777777</c:v>
                </c:pt>
                <c:pt idx="5">
                  <c:v>6.0434782608695654</c:v>
                </c:pt>
                <c:pt idx="6">
                  <c:v>4.9857142857142858</c:v>
                </c:pt>
                <c:pt idx="7">
                  <c:v>6.1973684210526319</c:v>
                </c:pt>
                <c:pt idx="8">
                  <c:v>5.881720430107527</c:v>
                </c:pt>
                <c:pt idx="9">
                  <c:v>5.3434343434343434</c:v>
                </c:pt>
                <c:pt idx="10">
                  <c:v>4.2692307692307692</c:v>
                </c:pt>
                <c:pt idx="11">
                  <c:v>6.4423076923076925</c:v>
                </c:pt>
                <c:pt idx="12">
                  <c:v>5.3023255813953485</c:v>
                </c:pt>
                <c:pt idx="13">
                  <c:v>7.4901960784313726</c:v>
                </c:pt>
                <c:pt idx="14">
                  <c:v>3.9634146341463414</c:v>
                </c:pt>
                <c:pt idx="15">
                  <c:v>5.6049382716049383</c:v>
                </c:pt>
                <c:pt idx="16">
                  <c:v>4.0740740740740744</c:v>
                </c:pt>
                <c:pt idx="17">
                  <c:v>3.5625</c:v>
                </c:pt>
                <c:pt idx="18">
                  <c:v>6</c:v>
                </c:pt>
                <c:pt idx="19">
                  <c:v>4.4375</c:v>
                </c:pt>
                <c:pt idx="20">
                  <c:v>7.09375</c:v>
                </c:pt>
                <c:pt idx="21">
                  <c:v>4.8769230769230774</c:v>
                </c:pt>
                <c:pt idx="22">
                  <c:v>6.193548387096774</c:v>
                </c:pt>
                <c:pt idx="23">
                  <c:v>5.1449275362318838</c:v>
                </c:pt>
                <c:pt idx="24">
                  <c:v>#N/A</c:v>
                </c:pt>
                <c:pt idx="25">
                  <c:v>8.0253164556962027</c:v>
                </c:pt>
                <c:pt idx="26">
                  <c:v>6.6379310344827589</c:v>
                </c:pt>
                <c:pt idx="27">
                  <c:v>7.2837837837837842</c:v>
                </c:pt>
                <c:pt idx="28">
                  <c:v>4.5185185185185182</c:v>
                </c:pt>
                <c:pt idx="29">
                  <c:v>5.1044776119402986</c:v>
                </c:pt>
                <c:pt idx="30">
                  <c:v>6.186813186813187</c:v>
                </c:pt>
                <c:pt idx="31">
                  <c:v>5.6734693877551017</c:v>
                </c:pt>
                <c:pt idx="32">
                  <c:v>5.4246575342465757</c:v>
                </c:pt>
                <c:pt idx="33">
                  <c:v>3.9479166666666665</c:v>
                </c:pt>
                <c:pt idx="34">
                  <c:v>5.8571428571428568</c:v>
                </c:pt>
                <c:pt idx="35">
                  <c:v>5.9874999999999998</c:v>
                </c:pt>
                <c:pt idx="36">
                  <c:v>8</c:v>
                </c:pt>
                <c:pt idx="37">
                  <c:v>5.4938271604938276</c:v>
                </c:pt>
                <c:pt idx="38">
                  <c:v>6.5769230769230766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2-BA48-BDD5-AE47F2718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310591"/>
        <c:axId val="1271312303"/>
      </c:lineChart>
      <c:catAx>
        <c:axId val="127131059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1312303"/>
        <c:crosses val="autoZero"/>
        <c:auto val="1"/>
        <c:lblAlgn val="ctr"/>
        <c:lblOffset val="100"/>
        <c:noMultiLvlLbl val="0"/>
      </c:catAx>
      <c:valAx>
        <c:axId val="127131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131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Monotonía por microciclo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MONOTONÍA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'SEMANAL v2'!$B$4:$AW$4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'SEMANAL v2'!$B$11:$AW$11</c:f>
              <c:numCache>
                <c:formatCode>0.00</c:formatCode>
                <c:ptCount val="48"/>
                <c:pt idx="0">
                  <c:v>0.79284328462141862</c:v>
                </c:pt>
                <c:pt idx="1">
                  <c:v>1.4522703203729452</c:v>
                </c:pt>
                <c:pt idx="2">
                  <c:v>1.4156807314691982</c:v>
                </c:pt>
                <c:pt idx="3">
                  <c:v>2.2553671661199828</c:v>
                </c:pt>
                <c:pt idx="4">
                  <c:v>1.8431342621955804</c:v>
                </c:pt>
                <c:pt idx="5">
                  <c:v>1.2541463951760796</c:v>
                </c:pt>
                <c:pt idx="6">
                  <c:v>1.0834374138910632</c:v>
                </c:pt>
                <c:pt idx="7">
                  <c:v>1.0039611249801652</c:v>
                </c:pt>
                <c:pt idx="8">
                  <c:v>1.5904545204670788</c:v>
                </c:pt>
                <c:pt idx="9">
                  <c:v>1.6409145701940937</c:v>
                </c:pt>
                <c:pt idx="10">
                  <c:v>1.0967031045299998</c:v>
                </c:pt>
                <c:pt idx="11">
                  <c:v>1.0309558383957005</c:v>
                </c:pt>
                <c:pt idx="12">
                  <c:v>1.466253626990532</c:v>
                </c:pt>
                <c:pt idx="13">
                  <c:v>0.97965468148612123</c:v>
                </c:pt>
                <c:pt idx="14">
                  <c:v>0.94089089661514158</c:v>
                </c:pt>
                <c:pt idx="15">
                  <c:v>1.5747581172272773</c:v>
                </c:pt>
                <c:pt idx="16">
                  <c:v>1.1097684690056759</c:v>
                </c:pt>
                <c:pt idx="17">
                  <c:v>0.91250480777559861</c:v>
                </c:pt>
                <c:pt idx="18">
                  <c:v>1.7647273084738171</c:v>
                </c:pt>
                <c:pt idx="19">
                  <c:v>1.0935200224214807</c:v>
                </c:pt>
                <c:pt idx="20">
                  <c:v>1.0074084373271261</c:v>
                </c:pt>
                <c:pt idx="21">
                  <c:v>0.96223207719561221</c:v>
                </c:pt>
                <c:pt idx="22">
                  <c:v>1.2676997653342188</c:v>
                </c:pt>
                <c:pt idx="23">
                  <c:v>1.243873740329664</c:v>
                </c:pt>
                <c:pt idx="24">
                  <c:v>#N/A</c:v>
                </c:pt>
                <c:pt idx="25">
                  <c:v>1.2428089284726513</c:v>
                </c:pt>
                <c:pt idx="26">
                  <c:v>1.2600159010381549</c:v>
                </c:pt>
                <c:pt idx="27">
                  <c:v>1.6674837156611526</c:v>
                </c:pt>
                <c:pt idx="28">
                  <c:v>1.0144821254923282</c:v>
                </c:pt>
                <c:pt idx="29">
                  <c:v>1.2092865507863022</c:v>
                </c:pt>
                <c:pt idx="30">
                  <c:v>2.2338729485641204</c:v>
                </c:pt>
                <c:pt idx="31">
                  <c:v>0.93442126944124437</c:v>
                </c:pt>
                <c:pt idx="32">
                  <c:v>1.7685447668663656</c:v>
                </c:pt>
                <c:pt idx="33">
                  <c:v>1.1387066998685873</c:v>
                </c:pt>
                <c:pt idx="34">
                  <c:v>1.1930754763366123</c:v>
                </c:pt>
                <c:pt idx="35">
                  <c:v>1.7271089676308378</c:v>
                </c:pt>
                <c:pt idx="36">
                  <c:v>1.2302324028203862</c:v>
                </c:pt>
                <c:pt idx="37">
                  <c:v>1.5816606634775507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5-394B-8547-8D8148837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126111"/>
        <c:axId val="1029127823"/>
      </c:lineChart>
      <c:catAx>
        <c:axId val="102912611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9127823"/>
        <c:crosses val="autoZero"/>
        <c:auto val="1"/>
        <c:lblAlgn val="ctr"/>
        <c:lblOffset val="100"/>
        <c:noMultiLvlLbl val="0"/>
      </c:catAx>
      <c:valAx>
        <c:axId val="10291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912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49</xdr:col>
      <xdr:colOff>0</xdr:colOff>
      <xdr:row>42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1E6578-B83B-336B-FF01-0BDCD7565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14</xdr:col>
      <xdr:colOff>0</xdr:colOff>
      <xdr:row>63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C53171-0A8A-E7EA-B558-E098DF9F3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43</xdr:row>
      <xdr:rowOff>0</xdr:rowOff>
    </xdr:from>
    <xdr:to>
      <xdr:col>28</xdr:col>
      <xdr:colOff>0</xdr:colOff>
      <xdr:row>63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E305002-D538-67CA-AE76-1AA54AC60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43</xdr:row>
      <xdr:rowOff>0</xdr:rowOff>
    </xdr:from>
    <xdr:to>
      <xdr:col>49</xdr:col>
      <xdr:colOff>0</xdr:colOff>
      <xdr:row>63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88F4A3-44FE-08B0-CEAB-949DDFDF8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5BBADB-E810-FC4E-8D14-3D268378AF7C}" name="tbl_BDPeso" displayName="tbl_BDPeso" ref="A7:L5007" totalsRowShown="0" headerRowDxfId="75" dataDxfId="74">
  <autoFilter ref="A7:L5007" xr:uid="{315BBADB-E810-FC4E-8D14-3D268378AF7C}">
    <filterColumn colId="4">
      <filters>
        <filter val="HARRISON"/>
        <filter val="JAIME"/>
        <filter val="PIRATA"/>
      </filters>
    </filterColumn>
  </autoFilter>
  <tableColumns count="12">
    <tableColumn id="1" xr3:uid="{BB8FAEAF-08B9-AA4B-A677-C42810B4896B}" name="FECHA" dataDxfId="73">
      <calculatedColumnFormula>IF(INPUT!M3="","",INPUT!M3)</calculatedColumnFormula>
    </tableColumn>
    <tableColumn id="2" xr3:uid="{A39FA000-8F8E-7741-B619-6D1CAD551DA3}" name="LUNES" dataDxfId="72">
      <calculatedColumnFormula>IF(INPUT!M3="","",INPUT!M3-WEEKDAY(INPUT!M3,2)+1)</calculatedColumnFormula>
    </tableColumn>
    <tableColumn id="3" xr3:uid="{E2949C95-FDBB-5342-A0EF-A41B52C69D07}" name="SEMANA" dataDxfId="71">
      <calculatedColumnFormula>IFERROR(_xlfn.ISOWEEKNUM(INPUT!M3),"")</calculatedColumnFormula>
    </tableColumn>
    <tableColumn id="4" xr3:uid="{43C288B8-C74F-CF42-9081-3C7434F7AC6F}" name="AÑO" dataDxfId="70">
      <calculatedColumnFormula>IFERROR(YEAR(INPUT!M3),"")</calculatedColumnFormula>
    </tableColumn>
    <tableColumn id="5" xr3:uid="{23149266-B2E1-8547-ADC7-24C8346D35C6}" name="JUGADOR" dataDxfId="69">
      <calculatedColumnFormula>IF(INPUT!O3="","",INPUT!O3)</calculatedColumnFormula>
    </tableColumn>
    <tableColumn id="6" xr3:uid="{CDF725BB-6305-F942-8DD0-4D958F72A89C}" name="TURNO" dataDxfId="68">
      <calculatedColumnFormula>IF(INPUT!N3="","",INPUT!N3)</calculatedColumnFormula>
    </tableColumn>
    <tableColumn id="7" xr3:uid="{5B005C18-9777-F541-B0CE-61BAA4F5EAC4}" name="COMPETICIÓN" dataDxfId="67">
      <calculatedColumnFormula array="1">IFERROR(VLOOKUP(INPUT!M3&amp;INPUT!N3,CHOOSE({1,2},INPUT!$A$3:$A$5000&amp;INPUT!$C$3:$C$5000,INPUT!$F$3:$F$5000),2,FALSE),"")</calculatedColumnFormula>
    </tableColumn>
    <tableColumn id="8" xr3:uid="{FC523936-C783-3147-9D37-068EDE99025B}" name="TIPO SESIÓN" dataDxfId="66">
      <calculatedColumnFormula array="1">IFERROR(VLOOKUP(INPUT!M3&amp;INPUT!N3,CHOOSE({1,2},INPUT!$A$3:$A$5000&amp;INPUT!$C$3:$C$5000,INPUT!$D$3:$D$5000),2,FALSE),"")</calculatedColumnFormula>
    </tableColumn>
    <tableColumn id="9" xr3:uid="{B5F7FC65-DF52-5243-91F4-BB38FA052186}" name="PESO PRE" dataDxfId="65">
      <calculatedColumnFormula>IF(INPUT!P3="","",INPUT!P3)</calculatedColumnFormula>
    </tableColumn>
    <tableColumn id="10" xr3:uid="{712CCCE4-3577-B94E-A522-C792D356313D}" name="PESO POST" dataDxfId="64">
      <calculatedColumnFormula>IF(INPUT!Q3="","",INPUT!Q3)</calculatedColumnFormula>
    </tableColumn>
    <tableColumn id="11" xr3:uid="{1C97D26F-722A-DF40-9FBC-D33AF561BDD7}" name="DIFERENCIA" dataDxfId="63">
      <calculatedColumnFormula>IFERROR(IF(OR(INPUT!P3="",INPUT!Q3=""),"",INPUT!P3-INPUT!Q3),"")</calculatedColumnFormula>
    </tableColumn>
    <tableColumn id="12" xr3:uid="{92BAFAF3-AA76-484F-ACA4-1D223588F829}" name="%" dataDxfId="62">
      <calculatedColumnFormula>IFERROR(IF(OR(INPUT!P3="",INPUT!Q3="",INPUT!P3=0),"",(INPUT!P3-INPUT!Q3)/INPUT!P3),"")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890EF7-F54C-1F48-9A89-128C54AE81EF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3c420673-c7cf-4e87-8a6f-98071a39ce24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8512-552F-1C42-AE03-62D54934D9FA}">
  <sheetPr>
    <tabColor rgb="FF2E7D32"/>
  </sheetPr>
  <dimension ref="A1:Z10000"/>
  <sheetViews>
    <sheetView topLeftCell="H1" workbookViewId="0">
      <pane ySplit="2" topLeftCell="A2513" activePane="bottomLeft" state="frozen"/>
      <selection pane="bottomLeft" activeCell="L2514" sqref="L2514"/>
    </sheetView>
  </sheetViews>
  <sheetFormatPr baseColWidth="10" defaultRowHeight="16" x14ac:dyDescent="0.2"/>
  <cols>
    <col min="1" max="1" width="14.1640625" customWidth="1"/>
    <col min="2" max="3" width="9.1640625" customWidth="1"/>
    <col min="4" max="4" width="15" customWidth="1"/>
    <col min="6" max="6" width="18.33203125" customWidth="1"/>
    <col min="7" max="7" width="2.5" customWidth="1"/>
    <col min="8" max="8" width="14.1640625" customWidth="1"/>
    <col min="9" max="9" width="9.1640625" customWidth="1"/>
    <col min="10" max="10" width="15" customWidth="1"/>
    <col min="11" max="11" width="9.1640625" customWidth="1"/>
    <col min="12" max="12" width="2.5" customWidth="1"/>
    <col min="13" max="13" width="23.33203125" bestFit="1" customWidth="1"/>
    <col min="14" max="14" width="9.1640625" customWidth="1"/>
    <col min="15" max="15" width="15" customWidth="1"/>
    <col min="18" max="18" width="10" customWidth="1"/>
    <col min="19" max="19" width="2.5" customWidth="1"/>
    <col min="20" max="20" width="14.1640625" customWidth="1"/>
    <col min="21" max="21" width="15" customWidth="1"/>
    <col min="22" max="23" width="10" customWidth="1"/>
    <col min="24" max="24" width="11.6640625" customWidth="1"/>
    <col min="25" max="26" width="10" customWidth="1"/>
  </cols>
  <sheetData>
    <row r="1" spans="1:26" ht="28" customHeight="1" x14ac:dyDescent="0.2">
      <c r="A1" s="190" t="str">
        <f>HYPERLINK("#'INPUT'!A"&amp;(COUNTA($A$3:$A$5000)+3),"▼ Siguiente fila vacía — TABLA 1 SESIONES")</f>
        <v>▼ Siguiente fila vacía — TABLA 1 SESIONES</v>
      </c>
      <c r="B1" s="191"/>
      <c r="C1" s="191"/>
      <c r="D1" s="191"/>
      <c r="E1" s="191"/>
      <c r="F1" s="191"/>
      <c r="H1" s="192" t="str">
        <f>HYPERLINK("#'INPUT'!H"&amp;(COUNTA($H$3:$H$5000)+3),"▼ Siguiente vacía — T2 BORG")</f>
        <v>▼ Siguiente vacía — T2 BORG</v>
      </c>
      <c r="I1" s="193"/>
      <c r="J1" s="193"/>
      <c r="K1" s="193"/>
      <c r="M1" s="194" t="str">
        <f>HYPERLINK("#'INPUT'!M"&amp;(COUNTA($M$3:$M$5000)+3),"▼ Siguiente vacía — T3 PESO")</f>
        <v>▼ Siguiente vacía — T3 PESO</v>
      </c>
      <c r="N1" s="195"/>
      <c r="O1" s="195"/>
      <c r="P1" s="195"/>
      <c r="Q1" s="195"/>
      <c r="R1" s="195"/>
      <c r="T1" s="196" t="str">
        <f>HYPERLINK("#'INPUT'!T"&amp;(COUNTA($T$3:$T$5000)+3),"▼ Siguiente vacía — T4 WELLNESS")</f>
        <v>▼ Siguiente vacía — T4 WELLNESS</v>
      </c>
      <c r="U1" s="197"/>
      <c r="V1" s="197"/>
      <c r="W1" s="197"/>
      <c r="X1" s="197"/>
      <c r="Y1" s="197"/>
      <c r="Z1" s="197"/>
    </row>
    <row r="2" spans="1:26" x14ac:dyDescent="0.2">
      <c r="A2" s="16" t="s">
        <v>2</v>
      </c>
      <c r="B2" s="16" t="s">
        <v>1</v>
      </c>
      <c r="C2" s="16" t="s">
        <v>72</v>
      </c>
      <c r="D2" s="16" t="s">
        <v>73</v>
      </c>
      <c r="E2" s="16" t="s">
        <v>74</v>
      </c>
      <c r="F2" s="16" t="s">
        <v>75</v>
      </c>
      <c r="H2" s="17" t="s">
        <v>2</v>
      </c>
      <c r="I2" s="17" t="s">
        <v>72</v>
      </c>
      <c r="J2" s="17" t="s">
        <v>76</v>
      </c>
      <c r="K2" s="17" t="s">
        <v>77</v>
      </c>
      <c r="M2" s="18" t="s">
        <v>2</v>
      </c>
      <c r="N2" s="18" t="s">
        <v>72</v>
      </c>
      <c r="O2" s="18" t="s">
        <v>76</v>
      </c>
      <c r="P2" s="18" t="s">
        <v>78</v>
      </c>
      <c r="Q2" s="18" t="s">
        <v>79</v>
      </c>
      <c r="R2" s="18" t="s">
        <v>80</v>
      </c>
      <c r="T2" s="19" t="s">
        <v>2</v>
      </c>
      <c r="U2" s="19" t="s">
        <v>76</v>
      </c>
      <c r="V2" s="19" t="s">
        <v>36</v>
      </c>
      <c r="W2" s="19" t="s">
        <v>37</v>
      </c>
      <c r="X2" s="19" t="s">
        <v>38</v>
      </c>
      <c r="Y2" s="19" t="s">
        <v>39</v>
      </c>
      <c r="Z2" s="19" t="s">
        <v>40</v>
      </c>
    </row>
    <row r="3" spans="1:26" x14ac:dyDescent="0.2">
      <c r="A3" s="21">
        <v>45868</v>
      </c>
      <c r="B3" s="51">
        <f t="shared" ref="B3:B66" si="0">IFERROR(_xlfn.ISOWEEKNUM(A3),"")</f>
        <v>31</v>
      </c>
      <c r="C3" s="22" t="s">
        <v>71</v>
      </c>
      <c r="D3" s="22" t="s">
        <v>59</v>
      </c>
      <c r="E3" s="24">
        <v>180</v>
      </c>
      <c r="F3" s="22" t="s">
        <v>65</v>
      </c>
      <c r="H3" s="21">
        <v>45868</v>
      </c>
      <c r="I3" s="22" t="s">
        <v>71</v>
      </c>
      <c r="J3" s="22" t="s">
        <v>52</v>
      </c>
      <c r="K3" s="24">
        <v>7</v>
      </c>
      <c r="M3" s="21">
        <v>45868</v>
      </c>
      <c r="N3" s="22" t="s">
        <v>71</v>
      </c>
      <c r="O3" s="22" t="s">
        <v>41</v>
      </c>
      <c r="P3" s="49">
        <v>77</v>
      </c>
      <c r="Q3" s="49">
        <v>75.8</v>
      </c>
      <c r="R3" s="50">
        <f t="shared" ref="R3:R66" si="1">IFERROR(P3-Q3,"")</f>
        <v>1.2000000000000028</v>
      </c>
      <c r="T3" s="21">
        <v>45868</v>
      </c>
      <c r="U3" s="22" t="s">
        <v>41</v>
      </c>
      <c r="V3" s="24">
        <v>2</v>
      </c>
      <c r="W3" s="24">
        <v>2</v>
      </c>
      <c r="X3" s="24">
        <v>1</v>
      </c>
      <c r="Y3" s="24">
        <v>3</v>
      </c>
      <c r="Z3" s="20">
        <f t="shared" ref="Z3:Z66" si="2">SUM(V3:Y3)</f>
        <v>8</v>
      </c>
    </row>
    <row r="4" spans="1:26" x14ac:dyDescent="0.2">
      <c r="A4" s="21">
        <v>45869</v>
      </c>
      <c r="B4" s="51">
        <f t="shared" si="0"/>
        <v>31</v>
      </c>
      <c r="C4" s="22" t="s">
        <v>71</v>
      </c>
      <c r="D4" s="22" t="s">
        <v>59</v>
      </c>
      <c r="E4" s="24">
        <v>150</v>
      </c>
      <c r="F4" s="22" t="s">
        <v>65</v>
      </c>
      <c r="H4" s="21">
        <v>45868</v>
      </c>
      <c r="I4" s="22" t="s">
        <v>71</v>
      </c>
      <c r="J4" s="22" t="s">
        <v>53</v>
      </c>
      <c r="K4" s="24">
        <v>9</v>
      </c>
      <c r="M4" s="21">
        <v>45868</v>
      </c>
      <c r="N4" s="22" t="s">
        <v>71</v>
      </c>
      <c r="O4" s="22" t="s">
        <v>42</v>
      </c>
      <c r="P4" s="49">
        <v>78.599999999999994</v>
      </c>
      <c r="Q4" s="49">
        <v>78.5</v>
      </c>
      <c r="R4" s="50">
        <f t="shared" si="1"/>
        <v>9.9999999999994316E-2</v>
      </c>
      <c r="T4" s="21">
        <v>45868</v>
      </c>
      <c r="U4" s="22" t="s">
        <v>42</v>
      </c>
      <c r="V4" s="24">
        <v>5</v>
      </c>
      <c r="W4" s="24">
        <v>5</v>
      </c>
      <c r="X4" s="24">
        <v>4</v>
      </c>
      <c r="Y4" s="24">
        <v>5</v>
      </c>
      <c r="Z4" s="20">
        <f t="shared" si="2"/>
        <v>19</v>
      </c>
    </row>
    <row r="5" spans="1:26" x14ac:dyDescent="0.2">
      <c r="A5" s="21">
        <v>45870</v>
      </c>
      <c r="B5" s="51">
        <f t="shared" si="0"/>
        <v>31</v>
      </c>
      <c r="C5" s="22" t="s">
        <v>71</v>
      </c>
      <c r="D5" s="22" t="s">
        <v>59</v>
      </c>
      <c r="E5" s="24">
        <v>180</v>
      </c>
      <c r="F5" s="22" t="s">
        <v>65</v>
      </c>
      <c r="H5" s="21">
        <v>45868</v>
      </c>
      <c r="I5" s="22" t="s">
        <v>71</v>
      </c>
      <c r="J5" s="22" t="s">
        <v>44</v>
      </c>
      <c r="K5" s="24">
        <v>8</v>
      </c>
      <c r="M5" s="21">
        <v>45868</v>
      </c>
      <c r="N5" s="22" t="s">
        <v>71</v>
      </c>
      <c r="O5" s="22" t="s">
        <v>43</v>
      </c>
      <c r="P5" s="49">
        <v>88.6</v>
      </c>
      <c r="Q5" s="49">
        <v>88.6</v>
      </c>
      <c r="R5" s="50">
        <f t="shared" si="1"/>
        <v>0</v>
      </c>
      <c r="T5" s="21">
        <v>45868</v>
      </c>
      <c r="U5" s="22" t="s">
        <v>43</v>
      </c>
      <c r="V5" s="24">
        <v>5</v>
      </c>
      <c r="W5" s="24">
        <v>5</v>
      </c>
      <c r="X5" s="24">
        <v>5</v>
      </c>
      <c r="Y5" s="24">
        <v>5</v>
      </c>
      <c r="Z5" s="20">
        <f t="shared" si="2"/>
        <v>20</v>
      </c>
    </row>
    <row r="6" spans="1:26" x14ac:dyDescent="0.2">
      <c r="A6" s="21">
        <v>45873</v>
      </c>
      <c r="B6" s="51">
        <f t="shared" si="0"/>
        <v>32</v>
      </c>
      <c r="C6" s="22" t="s">
        <v>70</v>
      </c>
      <c r="D6" s="22" t="s">
        <v>6</v>
      </c>
      <c r="E6" s="24">
        <v>75</v>
      </c>
      <c r="F6" s="22" t="s">
        <v>65</v>
      </c>
      <c r="H6" s="21">
        <v>45868</v>
      </c>
      <c r="I6" s="22" t="s">
        <v>71</v>
      </c>
      <c r="J6" s="22" t="s">
        <v>45</v>
      </c>
      <c r="K6" s="24">
        <v>8</v>
      </c>
      <c r="M6" s="21">
        <v>45868</v>
      </c>
      <c r="N6" s="22" t="s">
        <v>71</v>
      </c>
      <c r="O6" s="22" t="s">
        <v>44</v>
      </c>
      <c r="P6" s="49">
        <v>68.099999999999994</v>
      </c>
      <c r="Q6" s="49">
        <v>67.900000000000006</v>
      </c>
      <c r="R6" s="50">
        <f t="shared" si="1"/>
        <v>0.19999999999998863</v>
      </c>
      <c r="T6" s="21">
        <v>45868</v>
      </c>
      <c r="U6" s="22" t="s">
        <v>44</v>
      </c>
      <c r="V6" s="24">
        <v>4</v>
      </c>
      <c r="W6" s="24">
        <v>4</v>
      </c>
      <c r="X6" s="24">
        <v>3</v>
      </c>
      <c r="Y6" s="24">
        <v>5</v>
      </c>
      <c r="Z6" s="20">
        <f t="shared" si="2"/>
        <v>16</v>
      </c>
    </row>
    <row r="7" spans="1:26" x14ac:dyDescent="0.2">
      <c r="A7" s="21">
        <v>45873</v>
      </c>
      <c r="B7" s="51">
        <f t="shared" si="0"/>
        <v>32</v>
      </c>
      <c r="C7" s="22" t="s">
        <v>71</v>
      </c>
      <c r="D7" s="22" t="s">
        <v>3</v>
      </c>
      <c r="E7" s="24">
        <v>135</v>
      </c>
      <c r="F7" s="22" t="s">
        <v>65</v>
      </c>
      <c r="H7" s="21">
        <v>45868</v>
      </c>
      <c r="I7" s="22" t="s">
        <v>71</v>
      </c>
      <c r="J7" s="22" t="s">
        <v>57</v>
      </c>
      <c r="K7" s="24">
        <v>10</v>
      </c>
      <c r="M7" s="21">
        <v>45868</v>
      </c>
      <c r="N7" s="22" t="s">
        <v>71</v>
      </c>
      <c r="O7" s="22" t="s">
        <v>45</v>
      </c>
      <c r="P7" s="49">
        <v>68.7</v>
      </c>
      <c r="Q7" s="49">
        <v>68</v>
      </c>
      <c r="R7" s="50">
        <f t="shared" si="1"/>
        <v>0.70000000000000284</v>
      </c>
      <c r="T7" s="21">
        <v>45868</v>
      </c>
      <c r="U7" s="22" t="s">
        <v>45</v>
      </c>
      <c r="V7" s="24">
        <v>3</v>
      </c>
      <c r="W7" s="24">
        <v>4</v>
      </c>
      <c r="X7" s="24">
        <v>3</v>
      </c>
      <c r="Y7" s="24">
        <v>5</v>
      </c>
      <c r="Z7" s="20">
        <f t="shared" si="2"/>
        <v>15</v>
      </c>
    </row>
    <row r="8" spans="1:26" x14ac:dyDescent="0.2">
      <c r="A8" s="21">
        <v>45874</v>
      </c>
      <c r="B8" s="51">
        <f t="shared" si="0"/>
        <v>32</v>
      </c>
      <c r="C8" s="22" t="s">
        <v>70</v>
      </c>
      <c r="D8" s="22" t="s">
        <v>59</v>
      </c>
      <c r="E8" s="24">
        <v>150</v>
      </c>
      <c r="F8" s="22" t="s">
        <v>65</v>
      </c>
      <c r="H8" s="21">
        <v>45868</v>
      </c>
      <c r="I8" s="22" t="s">
        <v>71</v>
      </c>
      <c r="J8" s="22" t="s">
        <v>42</v>
      </c>
      <c r="K8" s="24">
        <v>8</v>
      </c>
      <c r="M8" s="21">
        <v>45868</v>
      </c>
      <c r="N8" s="22" t="s">
        <v>71</v>
      </c>
      <c r="O8" s="22" t="s">
        <v>46</v>
      </c>
      <c r="P8" s="49">
        <v>79.8</v>
      </c>
      <c r="Q8" s="49">
        <v>79</v>
      </c>
      <c r="R8" s="50">
        <f t="shared" si="1"/>
        <v>0.79999999999999716</v>
      </c>
      <c r="T8" s="21">
        <v>45868</v>
      </c>
      <c r="U8" s="22" t="s">
        <v>46</v>
      </c>
      <c r="V8" s="24">
        <v>5</v>
      </c>
      <c r="W8" s="24">
        <v>5</v>
      </c>
      <c r="X8" s="24">
        <v>5</v>
      </c>
      <c r="Y8" s="24">
        <v>5</v>
      </c>
      <c r="Z8" s="20">
        <f t="shared" si="2"/>
        <v>20</v>
      </c>
    </row>
    <row r="9" spans="1:26" x14ac:dyDescent="0.2">
      <c r="A9" s="21">
        <v>45875</v>
      </c>
      <c r="B9" s="51">
        <f t="shared" si="0"/>
        <v>32</v>
      </c>
      <c r="C9" s="22" t="s">
        <v>70</v>
      </c>
      <c r="D9" s="22" t="s">
        <v>3</v>
      </c>
      <c r="E9" s="24">
        <v>120</v>
      </c>
      <c r="F9" s="22" t="s">
        <v>65</v>
      </c>
      <c r="H9" s="21">
        <v>45868</v>
      </c>
      <c r="I9" s="22" t="s">
        <v>71</v>
      </c>
      <c r="J9" s="22" t="s">
        <v>54</v>
      </c>
      <c r="K9" s="24">
        <v>8</v>
      </c>
      <c r="M9" s="21">
        <v>45868</v>
      </c>
      <c r="N9" s="22" t="s">
        <v>71</v>
      </c>
      <c r="O9" s="22" t="s">
        <v>47</v>
      </c>
      <c r="P9" s="49">
        <v>72.7</v>
      </c>
      <c r="Q9" s="49">
        <v>72.3</v>
      </c>
      <c r="R9" s="50">
        <f t="shared" si="1"/>
        <v>0.40000000000000568</v>
      </c>
      <c r="T9" s="21">
        <v>45868</v>
      </c>
      <c r="U9" s="22" t="s">
        <v>47</v>
      </c>
      <c r="V9" s="24">
        <v>4</v>
      </c>
      <c r="W9" s="24">
        <v>4</v>
      </c>
      <c r="X9" s="24">
        <v>5</v>
      </c>
      <c r="Y9" s="24">
        <v>5</v>
      </c>
      <c r="Z9" s="20">
        <f t="shared" si="2"/>
        <v>18</v>
      </c>
    </row>
    <row r="10" spans="1:26" x14ac:dyDescent="0.2">
      <c r="A10" s="21">
        <v>45875</v>
      </c>
      <c r="B10" s="51">
        <f t="shared" si="0"/>
        <v>32</v>
      </c>
      <c r="C10" s="22" t="s">
        <v>71</v>
      </c>
      <c r="D10" s="22" t="s">
        <v>3</v>
      </c>
      <c r="E10" s="24">
        <v>120</v>
      </c>
      <c r="F10" s="22" t="s">
        <v>65</v>
      </c>
      <c r="H10" s="21">
        <v>45868</v>
      </c>
      <c r="I10" s="22" t="s">
        <v>71</v>
      </c>
      <c r="J10" s="22" t="s">
        <v>47</v>
      </c>
      <c r="K10" s="24">
        <v>9</v>
      </c>
      <c r="M10" s="21">
        <v>45868</v>
      </c>
      <c r="N10" s="22" t="s">
        <v>71</v>
      </c>
      <c r="O10" s="22" t="s">
        <v>48</v>
      </c>
      <c r="P10" s="49">
        <v>82.9</v>
      </c>
      <c r="Q10" s="49">
        <v>81</v>
      </c>
      <c r="R10" s="50">
        <f t="shared" si="1"/>
        <v>1.9000000000000057</v>
      </c>
      <c r="T10" s="21">
        <v>45868</v>
      </c>
      <c r="U10" s="22" t="s">
        <v>48</v>
      </c>
      <c r="V10" s="24">
        <v>4</v>
      </c>
      <c r="W10" s="24">
        <v>3</v>
      </c>
      <c r="X10" s="24">
        <v>3</v>
      </c>
      <c r="Y10" s="24">
        <v>5</v>
      </c>
      <c r="Z10" s="20">
        <f t="shared" si="2"/>
        <v>15</v>
      </c>
    </row>
    <row r="11" spans="1:26" x14ac:dyDescent="0.2">
      <c r="A11" s="21">
        <v>45876</v>
      </c>
      <c r="B11" s="51">
        <f t="shared" si="0"/>
        <v>32</v>
      </c>
      <c r="C11" s="22" t="s">
        <v>70</v>
      </c>
      <c r="D11" s="22" t="s">
        <v>6</v>
      </c>
      <c r="E11" s="24">
        <v>70</v>
      </c>
      <c r="F11" s="22" t="s">
        <v>65</v>
      </c>
      <c r="H11" s="21">
        <v>45868</v>
      </c>
      <c r="I11" s="22" t="s">
        <v>71</v>
      </c>
      <c r="J11" s="22" t="s">
        <v>41</v>
      </c>
      <c r="K11" s="24">
        <v>10</v>
      </c>
      <c r="M11" s="21">
        <v>45868</v>
      </c>
      <c r="N11" s="22" t="s">
        <v>71</v>
      </c>
      <c r="O11" s="22" t="s">
        <v>49</v>
      </c>
      <c r="P11" s="49">
        <v>78.3</v>
      </c>
      <c r="Q11" s="49">
        <v>77.099999999999994</v>
      </c>
      <c r="R11" s="50">
        <f t="shared" si="1"/>
        <v>1.2000000000000028</v>
      </c>
      <c r="T11" s="21">
        <v>45868</v>
      </c>
      <c r="U11" s="22" t="s">
        <v>49</v>
      </c>
      <c r="V11" s="24">
        <v>4</v>
      </c>
      <c r="W11" s="24">
        <v>4</v>
      </c>
      <c r="X11" s="24">
        <v>4</v>
      </c>
      <c r="Y11" s="24">
        <v>4</v>
      </c>
      <c r="Z11" s="20">
        <f t="shared" si="2"/>
        <v>16</v>
      </c>
    </row>
    <row r="12" spans="1:26" x14ac:dyDescent="0.2">
      <c r="A12" s="21">
        <v>45876</v>
      </c>
      <c r="B12" s="51">
        <f t="shared" si="0"/>
        <v>32</v>
      </c>
      <c r="C12" s="22" t="s">
        <v>71</v>
      </c>
      <c r="D12" s="22" t="s">
        <v>3</v>
      </c>
      <c r="E12" s="24">
        <v>120</v>
      </c>
      <c r="F12" s="22" t="s">
        <v>65</v>
      </c>
      <c r="H12" s="21">
        <v>45868</v>
      </c>
      <c r="I12" s="22" t="s">
        <v>71</v>
      </c>
      <c r="J12" s="22" t="s">
        <v>58</v>
      </c>
      <c r="K12" s="24">
        <v>9</v>
      </c>
      <c r="M12" s="21">
        <v>45868</v>
      </c>
      <c r="N12" s="22" t="s">
        <v>71</v>
      </c>
      <c r="O12" s="22" t="s">
        <v>50</v>
      </c>
      <c r="P12" s="49">
        <v>70.599999999999994</v>
      </c>
      <c r="Q12" s="49">
        <v>70</v>
      </c>
      <c r="R12" s="50">
        <f t="shared" si="1"/>
        <v>0.59999999999999432</v>
      </c>
      <c r="T12" s="21">
        <v>45868</v>
      </c>
      <c r="U12" s="22" t="s">
        <v>50</v>
      </c>
      <c r="V12" s="24">
        <v>5</v>
      </c>
      <c r="W12" s="24">
        <v>5</v>
      </c>
      <c r="X12" s="24">
        <v>3</v>
      </c>
      <c r="Y12" s="24">
        <v>5</v>
      </c>
      <c r="Z12" s="20">
        <f t="shared" si="2"/>
        <v>18</v>
      </c>
    </row>
    <row r="13" spans="1:26" x14ac:dyDescent="0.2">
      <c r="A13" s="21">
        <v>45877</v>
      </c>
      <c r="B13" s="51">
        <f t="shared" si="0"/>
        <v>32</v>
      </c>
      <c r="C13" s="22" t="s">
        <v>70</v>
      </c>
      <c r="D13" s="22" t="s">
        <v>3</v>
      </c>
      <c r="E13" s="24">
        <v>90</v>
      </c>
      <c r="F13" s="22" t="s">
        <v>65</v>
      </c>
      <c r="H13" s="21">
        <v>45868</v>
      </c>
      <c r="I13" s="22" t="s">
        <v>71</v>
      </c>
      <c r="J13" s="22" t="s">
        <v>49</v>
      </c>
      <c r="K13" s="24">
        <v>9</v>
      </c>
      <c r="M13" s="21">
        <v>45868</v>
      </c>
      <c r="N13" s="22" t="s">
        <v>71</v>
      </c>
      <c r="O13" s="22" t="s">
        <v>51</v>
      </c>
      <c r="P13" s="49">
        <v>75.599999999999994</v>
      </c>
      <c r="Q13" s="49">
        <v>74.2</v>
      </c>
      <c r="R13" s="50">
        <f t="shared" si="1"/>
        <v>1.3999999999999915</v>
      </c>
      <c r="T13" s="21">
        <v>45868</v>
      </c>
      <c r="U13" s="22" t="s">
        <v>51</v>
      </c>
      <c r="V13" s="24">
        <v>5</v>
      </c>
      <c r="W13" s="24">
        <v>5</v>
      </c>
      <c r="X13" s="24">
        <v>5</v>
      </c>
      <c r="Y13" s="24">
        <v>5</v>
      </c>
      <c r="Z13" s="20">
        <f t="shared" si="2"/>
        <v>20</v>
      </c>
    </row>
    <row r="14" spans="1:26" x14ac:dyDescent="0.2">
      <c r="A14" s="21">
        <v>45877</v>
      </c>
      <c r="B14" s="51">
        <f t="shared" si="0"/>
        <v>32</v>
      </c>
      <c r="C14" s="22" t="s">
        <v>71</v>
      </c>
      <c r="D14" s="22" t="s">
        <v>4</v>
      </c>
      <c r="E14" s="24">
        <v>120</v>
      </c>
      <c r="F14" s="22" t="s">
        <v>65</v>
      </c>
      <c r="H14" s="21">
        <v>45868</v>
      </c>
      <c r="I14" s="22" t="s">
        <v>71</v>
      </c>
      <c r="J14" s="22" t="s">
        <v>43</v>
      </c>
      <c r="K14" s="24">
        <v>9</v>
      </c>
      <c r="M14" s="21">
        <v>45868</v>
      </c>
      <c r="N14" s="22" t="s">
        <v>71</v>
      </c>
      <c r="O14" s="22" t="s">
        <v>52</v>
      </c>
      <c r="P14" s="49">
        <v>71.2</v>
      </c>
      <c r="Q14" s="49">
        <v>70.7</v>
      </c>
      <c r="R14" s="50">
        <f t="shared" si="1"/>
        <v>0.5</v>
      </c>
      <c r="T14" s="21">
        <v>45868</v>
      </c>
      <c r="U14" s="22" t="s">
        <v>52</v>
      </c>
      <c r="V14" s="24">
        <v>5</v>
      </c>
      <c r="W14" s="24">
        <v>5</v>
      </c>
      <c r="X14" s="24">
        <v>5</v>
      </c>
      <c r="Y14" s="24">
        <v>5</v>
      </c>
      <c r="Z14" s="20">
        <f t="shared" si="2"/>
        <v>20</v>
      </c>
    </row>
    <row r="15" spans="1:26" x14ac:dyDescent="0.2">
      <c r="A15" s="21">
        <v>45880</v>
      </c>
      <c r="B15" s="51">
        <f t="shared" si="0"/>
        <v>33</v>
      </c>
      <c r="C15" s="22" t="s">
        <v>70</v>
      </c>
      <c r="D15" s="22" t="s">
        <v>59</v>
      </c>
      <c r="E15" s="24">
        <v>120</v>
      </c>
      <c r="F15" s="22" t="s">
        <v>65</v>
      </c>
      <c r="H15" s="21">
        <v>45868</v>
      </c>
      <c r="I15" s="22" t="s">
        <v>71</v>
      </c>
      <c r="J15" s="22" t="s">
        <v>50</v>
      </c>
      <c r="K15" s="24">
        <v>9</v>
      </c>
      <c r="M15" s="21">
        <v>45868</v>
      </c>
      <c r="N15" s="22" t="s">
        <v>71</v>
      </c>
      <c r="O15" s="22" t="s">
        <v>53</v>
      </c>
      <c r="P15" s="49">
        <v>67.099999999999994</v>
      </c>
      <c r="Q15" s="49">
        <v>67</v>
      </c>
      <c r="R15" s="50">
        <f t="shared" si="1"/>
        <v>9.9999999999994316E-2</v>
      </c>
      <c r="T15" s="21">
        <v>45868</v>
      </c>
      <c r="U15" s="22" t="s">
        <v>53</v>
      </c>
      <c r="V15" s="24">
        <v>3</v>
      </c>
      <c r="W15" s="24">
        <v>4</v>
      </c>
      <c r="X15" s="24">
        <v>5</v>
      </c>
      <c r="Y15" s="24">
        <v>5</v>
      </c>
      <c r="Z15" s="20">
        <f t="shared" si="2"/>
        <v>17</v>
      </c>
    </row>
    <row r="16" spans="1:26" x14ac:dyDescent="0.2">
      <c r="A16" s="21">
        <v>45880</v>
      </c>
      <c r="B16" s="51">
        <f t="shared" si="0"/>
        <v>33</v>
      </c>
      <c r="C16" s="22" t="s">
        <v>71</v>
      </c>
      <c r="D16" s="22" t="s">
        <v>3</v>
      </c>
      <c r="E16" s="24">
        <v>100</v>
      </c>
      <c r="F16" s="22" t="s">
        <v>65</v>
      </c>
      <c r="H16" s="21">
        <v>45868</v>
      </c>
      <c r="I16" s="22" t="s">
        <v>71</v>
      </c>
      <c r="J16" s="22" t="s">
        <v>51</v>
      </c>
      <c r="K16" s="24">
        <v>9</v>
      </c>
      <c r="M16" s="21">
        <v>45868</v>
      </c>
      <c r="N16" s="22" t="s">
        <v>71</v>
      </c>
      <c r="O16" s="22" t="s">
        <v>54</v>
      </c>
      <c r="P16" s="49">
        <v>85</v>
      </c>
      <c r="Q16" s="49">
        <v>85.2</v>
      </c>
      <c r="R16" s="50">
        <f t="shared" si="1"/>
        <v>-0.20000000000000284</v>
      </c>
      <c r="T16" s="21">
        <v>45868</v>
      </c>
      <c r="U16" s="22" t="s">
        <v>54</v>
      </c>
      <c r="V16" s="24">
        <v>5</v>
      </c>
      <c r="W16" s="24">
        <v>4</v>
      </c>
      <c r="X16" s="24">
        <v>4</v>
      </c>
      <c r="Y16" s="24">
        <v>5</v>
      </c>
      <c r="Z16" s="20">
        <f t="shared" si="2"/>
        <v>18</v>
      </c>
    </row>
    <row r="17" spans="1:26" x14ac:dyDescent="0.2">
      <c r="A17" s="21">
        <v>45881</v>
      </c>
      <c r="B17" s="51">
        <f t="shared" si="0"/>
        <v>33</v>
      </c>
      <c r="C17" s="22" t="s">
        <v>70</v>
      </c>
      <c r="D17" s="22" t="s">
        <v>3</v>
      </c>
      <c r="E17" s="24">
        <v>120</v>
      </c>
      <c r="F17" s="22" t="s">
        <v>65</v>
      </c>
      <c r="H17" s="21">
        <v>45868</v>
      </c>
      <c r="I17" s="22" t="s">
        <v>71</v>
      </c>
      <c r="J17" s="22" t="s">
        <v>46</v>
      </c>
      <c r="K17" s="24">
        <v>9</v>
      </c>
      <c r="M17" s="21">
        <v>45868</v>
      </c>
      <c r="N17" s="22" t="s">
        <v>71</v>
      </c>
      <c r="O17" s="22" t="s">
        <v>56</v>
      </c>
      <c r="P17" s="49">
        <v>74.5</v>
      </c>
      <c r="Q17" s="49">
        <v>74.099999999999994</v>
      </c>
      <c r="R17" s="50">
        <f t="shared" si="1"/>
        <v>0.40000000000000568</v>
      </c>
      <c r="T17" s="21">
        <v>45868</v>
      </c>
      <c r="U17" s="22" t="s">
        <v>56</v>
      </c>
      <c r="V17" s="24">
        <v>5</v>
      </c>
      <c r="W17" s="24">
        <v>4</v>
      </c>
      <c r="X17" s="24">
        <v>4</v>
      </c>
      <c r="Y17" s="24">
        <v>5</v>
      </c>
      <c r="Z17" s="20">
        <f t="shared" si="2"/>
        <v>18</v>
      </c>
    </row>
    <row r="18" spans="1:26" x14ac:dyDescent="0.2">
      <c r="A18" s="21">
        <v>45882</v>
      </c>
      <c r="B18" s="51">
        <f t="shared" si="0"/>
        <v>33</v>
      </c>
      <c r="C18" s="22" t="s">
        <v>70</v>
      </c>
      <c r="D18" s="22" t="s">
        <v>3</v>
      </c>
      <c r="E18" s="24">
        <v>120</v>
      </c>
      <c r="F18" s="22" t="s">
        <v>65</v>
      </c>
      <c r="H18" s="21">
        <v>45868</v>
      </c>
      <c r="I18" s="22" t="s">
        <v>71</v>
      </c>
      <c r="J18" s="22" t="s">
        <v>48</v>
      </c>
      <c r="K18" s="24">
        <v>8</v>
      </c>
      <c r="M18" s="21">
        <v>45868</v>
      </c>
      <c r="N18" s="22" t="s">
        <v>71</v>
      </c>
      <c r="O18" s="22" t="s">
        <v>57</v>
      </c>
      <c r="P18" s="49">
        <v>93.2</v>
      </c>
      <c r="Q18" s="49">
        <v>91.7</v>
      </c>
      <c r="R18" s="50">
        <f t="shared" si="1"/>
        <v>1.5</v>
      </c>
      <c r="T18" s="21">
        <v>45868</v>
      </c>
      <c r="U18" s="22" t="s">
        <v>57</v>
      </c>
      <c r="V18" s="24">
        <v>5</v>
      </c>
      <c r="W18" s="24">
        <v>5</v>
      </c>
      <c r="X18" s="24">
        <v>5</v>
      </c>
      <c r="Y18" s="24">
        <v>5</v>
      </c>
      <c r="Z18" s="20">
        <f t="shared" si="2"/>
        <v>20</v>
      </c>
    </row>
    <row r="19" spans="1:26" x14ac:dyDescent="0.2">
      <c r="A19" s="21">
        <v>45882</v>
      </c>
      <c r="B19" s="51">
        <f t="shared" si="0"/>
        <v>33</v>
      </c>
      <c r="C19" s="22" t="s">
        <v>71</v>
      </c>
      <c r="D19" s="22" t="s">
        <v>3</v>
      </c>
      <c r="E19" s="24">
        <v>120</v>
      </c>
      <c r="F19" s="22" t="s">
        <v>65</v>
      </c>
      <c r="H19" s="21">
        <v>45868</v>
      </c>
      <c r="I19" s="22" t="s">
        <v>71</v>
      </c>
      <c r="J19" s="22" t="s">
        <v>56</v>
      </c>
      <c r="K19" s="24">
        <v>10</v>
      </c>
      <c r="M19" s="21">
        <v>45868</v>
      </c>
      <c r="N19" s="22" t="s">
        <v>71</v>
      </c>
      <c r="O19" s="22" t="s">
        <v>58</v>
      </c>
      <c r="P19" s="49">
        <v>76.5</v>
      </c>
      <c r="Q19" s="49">
        <v>74.3</v>
      </c>
      <c r="R19" s="50">
        <f t="shared" si="1"/>
        <v>2.2000000000000028</v>
      </c>
      <c r="T19" s="21">
        <v>45868</v>
      </c>
      <c r="U19" s="22" t="s">
        <v>58</v>
      </c>
      <c r="V19" s="24">
        <v>4</v>
      </c>
      <c r="W19" s="24">
        <v>5</v>
      </c>
      <c r="X19" s="24">
        <v>5</v>
      </c>
      <c r="Y19" s="24">
        <v>5</v>
      </c>
      <c r="Z19" s="20">
        <f t="shared" si="2"/>
        <v>19</v>
      </c>
    </row>
    <row r="20" spans="1:26" x14ac:dyDescent="0.2">
      <c r="A20" s="21">
        <v>45883</v>
      </c>
      <c r="B20" s="51">
        <f t="shared" si="0"/>
        <v>33</v>
      </c>
      <c r="C20" s="22" t="s">
        <v>70</v>
      </c>
      <c r="D20" s="22" t="s">
        <v>147</v>
      </c>
      <c r="E20" s="24">
        <v>170</v>
      </c>
      <c r="F20" s="22" t="s">
        <v>65</v>
      </c>
      <c r="H20" s="21">
        <v>45869</v>
      </c>
      <c r="I20" s="22" t="s">
        <v>71</v>
      </c>
      <c r="J20" s="22" t="s">
        <v>52</v>
      </c>
      <c r="K20" s="24">
        <v>9</v>
      </c>
      <c r="M20" s="21">
        <v>45869</v>
      </c>
      <c r="N20" s="22" t="s">
        <v>71</v>
      </c>
      <c r="O20" s="22" t="s">
        <v>41</v>
      </c>
      <c r="P20" s="49">
        <v>77.099999999999994</v>
      </c>
      <c r="Q20" s="49">
        <v>76.5</v>
      </c>
      <c r="R20" s="50">
        <f t="shared" si="1"/>
        <v>0.59999999999999432</v>
      </c>
      <c r="T20" s="21">
        <v>45868</v>
      </c>
      <c r="U20" s="22" t="s">
        <v>33</v>
      </c>
      <c r="V20" s="24">
        <v>4.2941176470588198</v>
      </c>
      <c r="W20" s="24">
        <v>4.2941176470588198</v>
      </c>
      <c r="X20" s="24">
        <v>4.0588235294117601</v>
      </c>
      <c r="Y20" s="24">
        <v>4.8235294117647101</v>
      </c>
      <c r="Z20" s="20">
        <f t="shared" si="2"/>
        <v>17.470588235294109</v>
      </c>
    </row>
    <row r="21" spans="1:26" ht="17" x14ac:dyDescent="0.2">
      <c r="A21" s="21">
        <v>45884</v>
      </c>
      <c r="B21" s="51">
        <f t="shared" si="0"/>
        <v>33</v>
      </c>
      <c r="C21" s="22" t="s">
        <v>70</v>
      </c>
      <c r="D21" s="23" t="s">
        <v>3</v>
      </c>
      <c r="E21" s="24">
        <v>90</v>
      </c>
      <c r="F21" s="22" t="s">
        <v>65</v>
      </c>
      <c r="H21" s="21">
        <v>45869</v>
      </c>
      <c r="I21" s="22" t="s">
        <v>71</v>
      </c>
      <c r="J21" s="22" t="s">
        <v>53</v>
      </c>
      <c r="K21" s="24">
        <v>9</v>
      </c>
      <c r="M21" s="21">
        <v>45869</v>
      </c>
      <c r="N21" s="22" t="s">
        <v>71</v>
      </c>
      <c r="O21" s="22" t="s">
        <v>42</v>
      </c>
      <c r="P21" s="49">
        <v>78.400000000000006</v>
      </c>
      <c r="Q21" s="49">
        <v>78.3</v>
      </c>
      <c r="R21" s="50">
        <f t="shared" si="1"/>
        <v>0.10000000000000853</v>
      </c>
      <c r="T21" s="21">
        <v>45869</v>
      </c>
      <c r="U21" s="22" t="s">
        <v>41</v>
      </c>
      <c r="V21" s="24">
        <v>2</v>
      </c>
      <c r="W21" s="24">
        <v>1</v>
      </c>
      <c r="X21" s="24">
        <v>1</v>
      </c>
      <c r="Y21" s="24">
        <v>2</v>
      </c>
      <c r="Z21" s="20">
        <f t="shared" si="2"/>
        <v>6</v>
      </c>
    </row>
    <row r="22" spans="1:26" x14ac:dyDescent="0.2">
      <c r="A22" s="21">
        <v>45884</v>
      </c>
      <c r="B22" s="51">
        <f t="shared" si="0"/>
        <v>33</v>
      </c>
      <c r="C22" s="22" t="s">
        <v>71</v>
      </c>
      <c r="D22" s="22" t="s">
        <v>4</v>
      </c>
      <c r="E22" s="24">
        <v>120</v>
      </c>
      <c r="F22" s="22" t="s">
        <v>65</v>
      </c>
      <c r="H22" s="21">
        <v>45869</v>
      </c>
      <c r="I22" s="22" t="s">
        <v>71</v>
      </c>
      <c r="J22" s="22" t="s">
        <v>44</v>
      </c>
      <c r="K22" s="24">
        <v>9</v>
      </c>
      <c r="M22" s="21">
        <v>45869</v>
      </c>
      <c r="N22" s="22" t="s">
        <v>71</v>
      </c>
      <c r="O22" s="22" t="s">
        <v>43</v>
      </c>
      <c r="P22" s="49">
        <v>90</v>
      </c>
      <c r="Q22" s="49">
        <v>90.3</v>
      </c>
      <c r="R22" s="50">
        <f t="shared" si="1"/>
        <v>-0.29999999999999716</v>
      </c>
      <c r="T22" s="21">
        <v>45869</v>
      </c>
      <c r="U22" s="22" t="s">
        <v>42</v>
      </c>
      <c r="V22" s="24">
        <v>4</v>
      </c>
      <c r="W22" s="24">
        <v>4</v>
      </c>
      <c r="X22" s="24">
        <v>4</v>
      </c>
      <c r="Y22" s="24">
        <v>5</v>
      </c>
      <c r="Z22" s="20">
        <f t="shared" si="2"/>
        <v>17</v>
      </c>
    </row>
    <row r="23" spans="1:26" x14ac:dyDescent="0.2">
      <c r="A23" s="21">
        <v>45887</v>
      </c>
      <c r="B23" s="51">
        <f t="shared" si="0"/>
        <v>34</v>
      </c>
      <c r="C23" s="22" t="s">
        <v>70</v>
      </c>
      <c r="D23" s="22" t="s">
        <v>148</v>
      </c>
      <c r="E23" s="24">
        <v>120</v>
      </c>
      <c r="F23" s="22" t="s">
        <v>65</v>
      </c>
      <c r="H23" s="21">
        <v>45869</v>
      </c>
      <c r="I23" s="22" t="s">
        <v>71</v>
      </c>
      <c r="J23" s="22" t="s">
        <v>45</v>
      </c>
      <c r="K23" s="24">
        <v>8</v>
      </c>
      <c r="M23" s="21">
        <v>45869</v>
      </c>
      <c r="N23" s="22" t="s">
        <v>71</v>
      </c>
      <c r="O23" s="22" t="s">
        <v>44</v>
      </c>
      <c r="P23" s="49">
        <v>68.599999999999994</v>
      </c>
      <c r="Q23" s="49">
        <v>68.099999999999994</v>
      </c>
      <c r="R23" s="50">
        <f t="shared" si="1"/>
        <v>0.5</v>
      </c>
      <c r="T23" s="21">
        <v>45869</v>
      </c>
      <c r="U23" s="22" t="s">
        <v>43</v>
      </c>
      <c r="V23" s="24">
        <v>5</v>
      </c>
      <c r="W23" s="24">
        <v>4</v>
      </c>
      <c r="X23" s="24">
        <v>4</v>
      </c>
      <c r="Y23" s="24">
        <v>4</v>
      </c>
      <c r="Z23" s="20">
        <f t="shared" si="2"/>
        <v>17</v>
      </c>
    </row>
    <row r="24" spans="1:26" ht="17" x14ac:dyDescent="0.2">
      <c r="A24" s="21">
        <v>45887</v>
      </c>
      <c r="B24" s="51">
        <f t="shared" si="0"/>
        <v>34</v>
      </c>
      <c r="C24" s="22" t="s">
        <v>71</v>
      </c>
      <c r="D24" s="23" t="s">
        <v>3</v>
      </c>
      <c r="E24" s="24">
        <v>75</v>
      </c>
      <c r="F24" s="22" t="s">
        <v>65</v>
      </c>
      <c r="H24" s="21">
        <v>45869</v>
      </c>
      <c r="I24" s="22" t="s">
        <v>71</v>
      </c>
      <c r="J24" s="22" t="s">
        <v>57</v>
      </c>
      <c r="K24" s="24">
        <v>8</v>
      </c>
      <c r="M24" s="21">
        <v>45869</v>
      </c>
      <c r="N24" s="22" t="s">
        <v>71</v>
      </c>
      <c r="O24" s="22" t="s">
        <v>45</v>
      </c>
      <c r="P24" s="49">
        <v>68.5</v>
      </c>
      <c r="Q24" s="49">
        <v>68</v>
      </c>
      <c r="R24" s="50">
        <f t="shared" si="1"/>
        <v>0.5</v>
      </c>
      <c r="T24" s="21">
        <v>45869</v>
      </c>
      <c r="U24" s="22" t="s">
        <v>44</v>
      </c>
      <c r="V24" s="24">
        <v>5</v>
      </c>
      <c r="W24" s="24">
        <v>4</v>
      </c>
      <c r="X24" s="24">
        <v>4</v>
      </c>
      <c r="Y24" s="24">
        <v>5</v>
      </c>
      <c r="Z24" s="20">
        <f t="shared" si="2"/>
        <v>18</v>
      </c>
    </row>
    <row r="25" spans="1:26" x14ac:dyDescent="0.2">
      <c r="A25" s="21">
        <v>45888</v>
      </c>
      <c r="B25" s="51">
        <f t="shared" si="0"/>
        <v>34</v>
      </c>
      <c r="C25" s="22" t="s">
        <v>70</v>
      </c>
      <c r="D25" s="22" t="s">
        <v>3</v>
      </c>
      <c r="E25" s="24">
        <v>120</v>
      </c>
      <c r="F25" s="22" t="s">
        <v>65</v>
      </c>
      <c r="H25" s="21">
        <v>45869</v>
      </c>
      <c r="I25" s="22" t="s">
        <v>71</v>
      </c>
      <c r="J25" s="22" t="s">
        <v>42</v>
      </c>
      <c r="K25" s="24">
        <v>7</v>
      </c>
      <c r="M25" s="21">
        <v>45869</v>
      </c>
      <c r="N25" s="22" t="s">
        <v>71</v>
      </c>
      <c r="O25" s="22" t="s">
        <v>46</v>
      </c>
      <c r="P25" s="49">
        <v>78.900000000000006</v>
      </c>
      <c r="Q25" s="49">
        <v>78.099999999999994</v>
      </c>
      <c r="R25" s="50">
        <f t="shared" si="1"/>
        <v>0.80000000000001137</v>
      </c>
      <c r="T25" s="21">
        <v>45869</v>
      </c>
      <c r="U25" s="22" t="s">
        <v>45</v>
      </c>
      <c r="V25" s="24">
        <v>5</v>
      </c>
      <c r="W25" s="24">
        <v>4</v>
      </c>
      <c r="X25" s="24">
        <v>3</v>
      </c>
      <c r="Y25" s="24">
        <v>5</v>
      </c>
      <c r="Z25" s="20">
        <f t="shared" si="2"/>
        <v>17</v>
      </c>
    </row>
    <row r="26" spans="1:26" x14ac:dyDescent="0.2">
      <c r="A26" s="21">
        <v>45889</v>
      </c>
      <c r="B26" s="51">
        <f t="shared" si="0"/>
        <v>34</v>
      </c>
      <c r="C26" s="22" t="s">
        <v>70</v>
      </c>
      <c r="D26" s="22" t="s">
        <v>148</v>
      </c>
      <c r="E26" s="24">
        <v>120</v>
      </c>
      <c r="F26" s="22" t="s">
        <v>65</v>
      </c>
      <c r="H26" s="21">
        <v>45869</v>
      </c>
      <c r="I26" s="22" t="s">
        <v>71</v>
      </c>
      <c r="J26" s="22" t="s">
        <v>54</v>
      </c>
      <c r="K26" s="24">
        <v>9</v>
      </c>
      <c r="M26" s="21">
        <v>45869</v>
      </c>
      <c r="N26" s="22" t="s">
        <v>71</v>
      </c>
      <c r="O26" s="22" t="s">
        <v>47</v>
      </c>
      <c r="P26" s="49">
        <v>72.599999999999994</v>
      </c>
      <c r="Q26" s="49">
        <v>72</v>
      </c>
      <c r="R26" s="50">
        <f t="shared" si="1"/>
        <v>0.59999999999999432</v>
      </c>
      <c r="T26" s="21">
        <v>45869</v>
      </c>
      <c r="U26" s="22" t="s">
        <v>46</v>
      </c>
      <c r="V26" s="24">
        <v>5</v>
      </c>
      <c r="W26" s="24">
        <v>5</v>
      </c>
      <c r="X26" s="24">
        <v>5</v>
      </c>
      <c r="Y26" s="24">
        <v>5</v>
      </c>
      <c r="Z26" s="20">
        <f t="shared" si="2"/>
        <v>20</v>
      </c>
    </row>
    <row r="27" spans="1:26" ht="17" x14ac:dyDescent="0.2">
      <c r="A27" s="21">
        <v>45889</v>
      </c>
      <c r="B27" s="51">
        <f t="shared" si="0"/>
        <v>34</v>
      </c>
      <c r="C27" s="22" t="s">
        <v>71</v>
      </c>
      <c r="D27" s="23" t="s">
        <v>3</v>
      </c>
      <c r="E27" s="24">
        <v>90</v>
      </c>
      <c r="F27" s="22" t="s">
        <v>65</v>
      </c>
      <c r="H27" s="21">
        <v>45869</v>
      </c>
      <c r="I27" s="22" t="s">
        <v>71</v>
      </c>
      <c r="J27" s="22" t="s">
        <v>47</v>
      </c>
      <c r="K27" s="24">
        <v>9</v>
      </c>
      <c r="M27" s="21">
        <v>45869</v>
      </c>
      <c r="N27" s="22" t="s">
        <v>71</v>
      </c>
      <c r="O27" s="22" t="s">
        <v>48</v>
      </c>
      <c r="P27" s="49">
        <v>78.099999999999994</v>
      </c>
      <c r="Q27" s="49">
        <v>78.5</v>
      </c>
      <c r="R27" s="50">
        <f t="shared" si="1"/>
        <v>-0.40000000000000568</v>
      </c>
      <c r="T27" s="21">
        <v>45869</v>
      </c>
      <c r="U27" s="22" t="s">
        <v>47</v>
      </c>
      <c r="V27" s="24">
        <v>2</v>
      </c>
      <c r="W27" s="24">
        <v>3</v>
      </c>
      <c r="X27" s="24">
        <v>3</v>
      </c>
      <c r="Y27" s="24">
        <v>4</v>
      </c>
      <c r="Z27" s="20">
        <f t="shared" si="2"/>
        <v>12</v>
      </c>
    </row>
    <row r="28" spans="1:26" x14ac:dyDescent="0.2">
      <c r="A28" s="21">
        <v>45890</v>
      </c>
      <c r="B28" s="51">
        <f t="shared" si="0"/>
        <v>34</v>
      </c>
      <c r="C28" s="22" t="s">
        <v>70</v>
      </c>
      <c r="D28" s="22" t="s">
        <v>3</v>
      </c>
      <c r="E28" s="24">
        <v>100</v>
      </c>
      <c r="F28" s="22" t="s">
        <v>65</v>
      </c>
      <c r="H28" s="21">
        <v>45869</v>
      </c>
      <c r="I28" s="22" t="s">
        <v>71</v>
      </c>
      <c r="J28" s="22" t="s">
        <v>41</v>
      </c>
      <c r="K28" s="24">
        <v>7</v>
      </c>
      <c r="M28" s="21">
        <v>45869</v>
      </c>
      <c r="N28" s="22" t="s">
        <v>71</v>
      </c>
      <c r="O28" s="22" t="s">
        <v>49</v>
      </c>
      <c r="P28" s="49">
        <v>70.099999999999994</v>
      </c>
      <c r="Q28" s="49">
        <v>70.599999999999994</v>
      </c>
      <c r="R28" s="50">
        <f t="shared" si="1"/>
        <v>-0.5</v>
      </c>
      <c r="T28" s="21">
        <v>45869</v>
      </c>
      <c r="U28" s="22" t="s">
        <v>48</v>
      </c>
      <c r="V28" s="24">
        <v>5</v>
      </c>
      <c r="W28" s="24">
        <v>3</v>
      </c>
      <c r="X28" s="24">
        <v>4</v>
      </c>
      <c r="Y28" s="24">
        <v>5</v>
      </c>
      <c r="Z28" s="20">
        <f t="shared" si="2"/>
        <v>17</v>
      </c>
    </row>
    <row r="29" spans="1:26" x14ac:dyDescent="0.2">
      <c r="A29" s="21">
        <v>45891</v>
      </c>
      <c r="B29" s="51">
        <f t="shared" si="0"/>
        <v>34</v>
      </c>
      <c r="C29" s="22" t="s">
        <v>70</v>
      </c>
      <c r="D29" s="22" t="s">
        <v>3</v>
      </c>
      <c r="E29" s="24">
        <v>120</v>
      </c>
      <c r="F29" s="22" t="s">
        <v>65</v>
      </c>
      <c r="H29" s="21">
        <v>45869</v>
      </c>
      <c r="I29" s="22" t="s">
        <v>71</v>
      </c>
      <c r="J29" s="22" t="s">
        <v>58</v>
      </c>
      <c r="K29" s="24">
        <v>9</v>
      </c>
      <c r="M29" s="21">
        <v>45869</v>
      </c>
      <c r="N29" s="22" t="s">
        <v>71</v>
      </c>
      <c r="O29" s="22" t="s">
        <v>50</v>
      </c>
      <c r="P29" s="49">
        <v>75.3</v>
      </c>
      <c r="Q29" s="49">
        <v>75.2</v>
      </c>
      <c r="R29" s="50">
        <f t="shared" si="1"/>
        <v>9.9999999999994316E-2</v>
      </c>
      <c r="T29" s="21">
        <v>45869</v>
      </c>
      <c r="U29" s="22" t="s">
        <v>49</v>
      </c>
      <c r="V29" s="24">
        <v>4</v>
      </c>
      <c r="W29" s="24">
        <v>4</v>
      </c>
      <c r="X29" s="24">
        <v>4</v>
      </c>
      <c r="Y29" s="24">
        <v>4</v>
      </c>
      <c r="Z29" s="20">
        <f t="shared" si="2"/>
        <v>16</v>
      </c>
    </row>
    <row r="30" spans="1:26" x14ac:dyDescent="0.2">
      <c r="A30" s="21">
        <v>45892</v>
      </c>
      <c r="B30" s="51">
        <f t="shared" si="0"/>
        <v>34</v>
      </c>
      <c r="C30" s="22" t="s">
        <v>71</v>
      </c>
      <c r="D30" s="22" t="s">
        <v>4</v>
      </c>
      <c r="E30" s="24">
        <v>120</v>
      </c>
      <c r="F30" s="22" t="s">
        <v>65</v>
      </c>
      <c r="H30" s="21">
        <v>45869</v>
      </c>
      <c r="I30" s="22" t="s">
        <v>71</v>
      </c>
      <c r="J30" s="22" t="s">
        <v>49</v>
      </c>
      <c r="K30" s="24">
        <v>9</v>
      </c>
      <c r="M30" s="21">
        <v>45869</v>
      </c>
      <c r="N30" s="22" t="s">
        <v>71</v>
      </c>
      <c r="O30" s="22" t="s">
        <v>51</v>
      </c>
      <c r="P30" s="49">
        <v>71.900000000000006</v>
      </c>
      <c r="Q30" s="49">
        <v>71.900000000000006</v>
      </c>
      <c r="R30" s="50">
        <f t="shared" si="1"/>
        <v>0</v>
      </c>
      <c r="T30" s="21">
        <v>45869</v>
      </c>
      <c r="U30" s="22" t="s">
        <v>50</v>
      </c>
      <c r="V30" s="24">
        <v>4</v>
      </c>
      <c r="W30" s="24">
        <v>3</v>
      </c>
      <c r="X30" s="24">
        <v>3</v>
      </c>
      <c r="Y30" s="24">
        <v>5</v>
      </c>
      <c r="Z30" s="20">
        <f t="shared" si="2"/>
        <v>15</v>
      </c>
    </row>
    <row r="31" spans="1:26" x14ac:dyDescent="0.2">
      <c r="A31" s="21">
        <v>45893</v>
      </c>
      <c r="B31" s="51">
        <f t="shared" si="0"/>
        <v>34</v>
      </c>
      <c r="C31" s="22" t="s">
        <v>71</v>
      </c>
      <c r="D31" s="22" t="s">
        <v>4</v>
      </c>
      <c r="E31" s="24">
        <v>120</v>
      </c>
      <c r="F31" s="22" t="s">
        <v>65</v>
      </c>
      <c r="H31" s="21">
        <v>45869</v>
      </c>
      <c r="I31" s="22" t="s">
        <v>71</v>
      </c>
      <c r="J31" s="22" t="s">
        <v>43</v>
      </c>
      <c r="K31" s="24">
        <v>7</v>
      </c>
      <c r="M31" s="21">
        <v>45869</v>
      </c>
      <c r="N31" s="22" t="s">
        <v>71</v>
      </c>
      <c r="O31" s="22" t="s">
        <v>52</v>
      </c>
      <c r="P31" s="49">
        <v>67.8</v>
      </c>
      <c r="Q31" s="49">
        <v>67.3</v>
      </c>
      <c r="R31" s="50">
        <f t="shared" si="1"/>
        <v>0.5</v>
      </c>
      <c r="T31" s="21">
        <v>45869</v>
      </c>
      <c r="U31" s="22" t="s">
        <v>51</v>
      </c>
      <c r="V31" s="24">
        <v>5</v>
      </c>
      <c r="W31" s="24">
        <v>4</v>
      </c>
      <c r="X31" s="24">
        <v>4</v>
      </c>
      <c r="Y31" s="24">
        <v>5</v>
      </c>
      <c r="Z31" s="20">
        <f t="shared" si="2"/>
        <v>18</v>
      </c>
    </row>
    <row r="32" spans="1:26" x14ac:dyDescent="0.2">
      <c r="A32" s="21">
        <v>45895</v>
      </c>
      <c r="B32" s="51">
        <f t="shared" si="0"/>
        <v>35</v>
      </c>
      <c r="C32" s="22" t="s">
        <v>70</v>
      </c>
      <c r="D32" s="22" t="s">
        <v>147</v>
      </c>
      <c r="E32" s="24">
        <v>120</v>
      </c>
      <c r="F32" s="22" t="s">
        <v>65</v>
      </c>
      <c r="H32" s="21">
        <v>45869</v>
      </c>
      <c r="I32" s="22" t="s">
        <v>71</v>
      </c>
      <c r="J32" s="22" t="s">
        <v>50</v>
      </c>
      <c r="K32" s="24">
        <v>10</v>
      </c>
      <c r="M32" s="21">
        <v>45869</v>
      </c>
      <c r="N32" s="22" t="s">
        <v>71</v>
      </c>
      <c r="O32" s="22" t="s">
        <v>53</v>
      </c>
      <c r="P32" s="49">
        <v>67.8</v>
      </c>
      <c r="Q32" s="49">
        <v>67.3</v>
      </c>
      <c r="R32" s="50">
        <f t="shared" si="1"/>
        <v>0.5</v>
      </c>
      <c r="T32" s="21">
        <v>45869</v>
      </c>
      <c r="U32" s="22" t="s">
        <v>52</v>
      </c>
      <c r="V32" s="24">
        <v>5</v>
      </c>
      <c r="W32" s="24">
        <v>4</v>
      </c>
      <c r="X32" s="24">
        <v>2</v>
      </c>
      <c r="Y32" s="24">
        <v>5</v>
      </c>
      <c r="Z32" s="20">
        <f t="shared" si="2"/>
        <v>16</v>
      </c>
    </row>
    <row r="33" spans="1:26" ht="17" x14ac:dyDescent="0.2">
      <c r="A33" s="21">
        <v>45896</v>
      </c>
      <c r="B33" s="51">
        <f t="shared" si="0"/>
        <v>35</v>
      </c>
      <c r="C33" s="22" t="s">
        <v>70</v>
      </c>
      <c r="D33" s="23" t="s">
        <v>3</v>
      </c>
      <c r="E33" s="24">
        <v>135</v>
      </c>
      <c r="F33" s="22" t="s">
        <v>65</v>
      </c>
      <c r="H33" s="21">
        <v>45869</v>
      </c>
      <c r="I33" s="22" t="s">
        <v>71</v>
      </c>
      <c r="J33" s="22" t="s">
        <v>51</v>
      </c>
      <c r="K33" s="24">
        <v>10</v>
      </c>
      <c r="M33" s="21">
        <v>45869</v>
      </c>
      <c r="N33" s="22" t="s">
        <v>71</v>
      </c>
      <c r="O33" s="22" t="s">
        <v>54</v>
      </c>
      <c r="P33" s="49">
        <v>84.5</v>
      </c>
      <c r="Q33" s="49">
        <v>84.8</v>
      </c>
      <c r="R33" s="50">
        <f t="shared" si="1"/>
        <v>-0.29999999999999716</v>
      </c>
      <c r="T33" s="21">
        <v>45869</v>
      </c>
      <c r="U33" s="22" t="s">
        <v>53</v>
      </c>
      <c r="V33" s="24">
        <v>3</v>
      </c>
      <c r="W33" s="24">
        <v>4</v>
      </c>
      <c r="X33" s="24">
        <v>4</v>
      </c>
      <c r="Y33" s="24">
        <v>5</v>
      </c>
      <c r="Z33" s="20">
        <f t="shared" si="2"/>
        <v>16</v>
      </c>
    </row>
    <row r="34" spans="1:26" x14ac:dyDescent="0.2">
      <c r="A34" s="21">
        <v>45897</v>
      </c>
      <c r="B34" s="51">
        <f t="shared" si="0"/>
        <v>35</v>
      </c>
      <c r="C34" s="22" t="s">
        <v>70</v>
      </c>
      <c r="D34" s="22" t="s">
        <v>147</v>
      </c>
      <c r="E34" s="24">
        <v>120</v>
      </c>
      <c r="F34" s="22" t="s">
        <v>65</v>
      </c>
      <c r="H34" s="21">
        <v>45869</v>
      </c>
      <c r="I34" s="22" t="s">
        <v>71</v>
      </c>
      <c r="J34" s="22" t="s">
        <v>46</v>
      </c>
      <c r="K34" s="24">
        <v>8</v>
      </c>
      <c r="M34" s="21">
        <v>45869</v>
      </c>
      <c r="N34" s="22" t="s">
        <v>71</v>
      </c>
      <c r="O34" s="22" t="s">
        <v>56</v>
      </c>
      <c r="P34" s="49">
        <v>74.3</v>
      </c>
      <c r="Q34" s="49">
        <v>75.5</v>
      </c>
      <c r="R34" s="50">
        <f t="shared" si="1"/>
        <v>-1.2000000000000028</v>
      </c>
      <c r="T34" s="21">
        <v>45869</v>
      </c>
      <c r="U34" s="22" t="s">
        <v>54</v>
      </c>
      <c r="V34" s="24">
        <v>4</v>
      </c>
      <c r="W34" s="24">
        <v>4</v>
      </c>
      <c r="X34" s="24">
        <v>4</v>
      </c>
      <c r="Y34" s="24">
        <v>2</v>
      </c>
      <c r="Z34" s="20">
        <f t="shared" si="2"/>
        <v>14</v>
      </c>
    </row>
    <row r="35" spans="1:26" ht="17" x14ac:dyDescent="0.2">
      <c r="A35" s="21">
        <v>45898</v>
      </c>
      <c r="B35" s="51">
        <f t="shared" si="0"/>
        <v>35</v>
      </c>
      <c r="C35" s="22" t="s">
        <v>70</v>
      </c>
      <c r="D35" s="23" t="s">
        <v>3</v>
      </c>
      <c r="E35" s="24">
        <v>90</v>
      </c>
      <c r="F35" s="22" t="s">
        <v>65</v>
      </c>
      <c r="H35" s="21">
        <v>45869</v>
      </c>
      <c r="I35" s="22" t="s">
        <v>71</v>
      </c>
      <c r="J35" s="22" t="s">
        <v>48</v>
      </c>
      <c r="K35" s="24">
        <v>9</v>
      </c>
      <c r="M35" s="21">
        <v>45869</v>
      </c>
      <c r="N35" s="22" t="s">
        <v>71</v>
      </c>
      <c r="O35" s="22" t="s">
        <v>57</v>
      </c>
      <c r="P35" s="49">
        <v>93.1</v>
      </c>
      <c r="Q35" s="49">
        <v>92.5</v>
      </c>
      <c r="R35" s="50">
        <f t="shared" si="1"/>
        <v>0.59999999999999432</v>
      </c>
      <c r="T35" s="21">
        <v>45869</v>
      </c>
      <c r="U35" s="22" t="s">
        <v>56</v>
      </c>
      <c r="V35" s="24">
        <v>5</v>
      </c>
      <c r="W35" s="24">
        <v>4</v>
      </c>
      <c r="X35" s="24">
        <v>4</v>
      </c>
      <c r="Y35" s="24">
        <v>5</v>
      </c>
      <c r="Z35" s="20">
        <f t="shared" si="2"/>
        <v>18</v>
      </c>
    </row>
    <row r="36" spans="1:26" x14ac:dyDescent="0.2">
      <c r="A36" s="21">
        <v>45899</v>
      </c>
      <c r="B36" s="51">
        <f t="shared" si="0"/>
        <v>35</v>
      </c>
      <c r="C36" s="22" t="s">
        <v>70</v>
      </c>
      <c r="D36" s="22" t="s">
        <v>4</v>
      </c>
      <c r="E36" s="24">
        <v>120</v>
      </c>
      <c r="F36" s="22" t="s">
        <v>65</v>
      </c>
      <c r="H36" s="21">
        <v>45869</v>
      </c>
      <c r="I36" s="22" t="s">
        <v>71</v>
      </c>
      <c r="J36" s="22" t="s">
        <v>56</v>
      </c>
      <c r="K36" s="24">
        <v>9</v>
      </c>
      <c r="M36" s="21">
        <v>45869</v>
      </c>
      <c r="N36" s="22" t="s">
        <v>71</v>
      </c>
      <c r="O36" s="22" t="s">
        <v>58</v>
      </c>
      <c r="P36" s="49">
        <v>75.7</v>
      </c>
      <c r="Q36" s="49">
        <v>75.5</v>
      </c>
      <c r="R36" s="50">
        <f t="shared" si="1"/>
        <v>0.20000000000000284</v>
      </c>
      <c r="T36" s="21">
        <v>45869</v>
      </c>
      <c r="U36" s="22" t="s">
        <v>57</v>
      </c>
      <c r="V36" s="24">
        <v>4</v>
      </c>
      <c r="W36" s="24">
        <v>5</v>
      </c>
      <c r="X36" s="24">
        <v>5</v>
      </c>
      <c r="Y36" s="24">
        <v>5</v>
      </c>
      <c r="Z36" s="20">
        <f t="shared" si="2"/>
        <v>19</v>
      </c>
    </row>
    <row r="37" spans="1:26" x14ac:dyDescent="0.2">
      <c r="A37" s="21">
        <v>45900</v>
      </c>
      <c r="B37" s="51">
        <f t="shared" si="0"/>
        <v>35</v>
      </c>
      <c r="C37" s="22" t="s">
        <v>70</v>
      </c>
      <c r="D37" s="22" t="s">
        <v>4</v>
      </c>
      <c r="E37" s="24">
        <v>120</v>
      </c>
      <c r="F37" s="22" t="s">
        <v>65</v>
      </c>
      <c r="H37" s="21">
        <v>45870</v>
      </c>
      <c r="I37" s="22" t="s">
        <v>71</v>
      </c>
      <c r="J37" s="22" t="s">
        <v>52</v>
      </c>
      <c r="K37" s="24">
        <v>10</v>
      </c>
      <c r="M37" s="21">
        <v>45870</v>
      </c>
      <c r="N37" s="22" t="s">
        <v>70</v>
      </c>
      <c r="O37" s="22" t="s">
        <v>41</v>
      </c>
      <c r="P37" s="49">
        <v>77.3</v>
      </c>
      <c r="Q37" s="49">
        <v>77</v>
      </c>
      <c r="R37" s="50">
        <f t="shared" si="1"/>
        <v>0.29999999999999716</v>
      </c>
      <c r="T37" s="21">
        <v>45869</v>
      </c>
      <c r="U37" s="22" t="s">
        <v>58</v>
      </c>
      <c r="V37" s="24">
        <v>5</v>
      </c>
      <c r="W37" s="24">
        <v>4</v>
      </c>
      <c r="X37" s="24">
        <v>4</v>
      </c>
      <c r="Y37" s="24">
        <v>4</v>
      </c>
      <c r="Z37" s="20">
        <f t="shared" si="2"/>
        <v>17</v>
      </c>
    </row>
    <row r="38" spans="1:26" x14ac:dyDescent="0.2">
      <c r="A38" s="21">
        <v>45902</v>
      </c>
      <c r="B38" s="51">
        <f t="shared" si="0"/>
        <v>36</v>
      </c>
      <c r="C38" s="22" t="s">
        <v>70</v>
      </c>
      <c r="D38" s="22" t="s">
        <v>3</v>
      </c>
      <c r="E38" s="24">
        <v>120</v>
      </c>
      <c r="F38" s="22" t="s">
        <v>65</v>
      </c>
      <c r="H38" s="21">
        <v>45870</v>
      </c>
      <c r="I38" s="22" t="s">
        <v>71</v>
      </c>
      <c r="J38" s="22" t="s">
        <v>53</v>
      </c>
      <c r="K38" s="24">
        <v>10</v>
      </c>
      <c r="M38" s="21">
        <v>45870</v>
      </c>
      <c r="N38" s="22" t="s">
        <v>70</v>
      </c>
      <c r="O38" s="22" t="s">
        <v>42</v>
      </c>
      <c r="P38" s="49">
        <v>78.3</v>
      </c>
      <c r="Q38" s="49">
        <v>78</v>
      </c>
      <c r="R38" s="50">
        <f t="shared" si="1"/>
        <v>0.29999999999999716</v>
      </c>
      <c r="T38" s="21">
        <v>45869</v>
      </c>
      <c r="U38" s="22" t="s">
        <v>33</v>
      </c>
      <c r="V38" s="24">
        <v>4.2352941176470598</v>
      </c>
      <c r="W38" s="24">
        <v>3.7647058823529398</v>
      </c>
      <c r="X38" s="24">
        <v>3.6470588235294099</v>
      </c>
      <c r="Y38" s="24">
        <v>4.4117647058823497</v>
      </c>
      <c r="Z38" s="20">
        <f t="shared" si="2"/>
        <v>16.058823529411761</v>
      </c>
    </row>
    <row r="39" spans="1:26" x14ac:dyDescent="0.2">
      <c r="A39" s="21">
        <v>45903</v>
      </c>
      <c r="B39" s="51">
        <f t="shared" si="0"/>
        <v>36</v>
      </c>
      <c r="C39" s="22" t="s">
        <v>70</v>
      </c>
      <c r="D39" s="22" t="s">
        <v>3</v>
      </c>
      <c r="E39" s="24">
        <v>120</v>
      </c>
      <c r="F39" s="22" t="s">
        <v>65</v>
      </c>
      <c r="H39" s="21">
        <v>45870</v>
      </c>
      <c r="I39" s="22" t="s">
        <v>71</v>
      </c>
      <c r="J39" s="22" t="s">
        <v>44</v>
      </c>
      <c r="K39" s="24">
        <v>10</v>
      </c>
      <c r="M39" s="21">
        <v>45870</v>
      </c>
      <c r="N39" s="22" t="s">
        <v>70</v>
      </c>
      <c r="O39" s="22" t="s">
        <v>43</v>
      </c>
      <c r="P39" s="49">
        <v>89.1</v>
      </c>
      <c r="Q39" s="49">
        <v>88.5</v>
      </c>
      <c r="R39" s="50">
        <f t="shared" si="1"/>
        <v>0.59999999999999432</v>
      </c>
      <c r="T39" s="21">
        <v>45870</v>
      </c>
      <c r="U39" s="22" t="s">
        <v>41</v>
      </c>
      <c r="V39" s="24">
        <v>1</v>
      </c>
      <c r="W39" s="24">
        <v>1</v>
      </c>
      <c r="X39" s="24">
        <v>1</v>
      </c>
      <c r="Y39" s="24">
        <v>1</v>
      </c>
      <c r="Z39" s="20">
        <f t="shared" si="2"/>
        <v>4</v>
      </c>
    </row>
    <row r="40" spans="1:26" x14ac:dyDescent="0.2">
      <c r="A40" s="21">
        <v>45904</v>
      </c>
      <c r="B40" s="51">
        <f t="shared" si="0"/>
        <v>36</v>
      </c>
      <c r="C40" s="22" t="s">
        <v>70</v>
      </c>
      <c r="D40" s="22" t="s">
        <v>3</v>
      </c>
      <c r="E40" s="24">
        <v>110</v>
      </c>
      <c r="F40" s="22" t="s">
        <v>65</v>
      </c>
      <c r="H40" s="21">
        <v>45870</v>
      </c>
      <c r="I40" s="22" t="s">
        <v>71</v>
      </c>
      <c r="J40" s="22" t="s">
        <v>45</v>
      </c>
      <c r="K40" s="24">
        <v>10</v>
      </c>
      <c r="M40" s="21">
        <v>45870</v>
      </c>
      <c r="N40" s="22" t="s">
        <v>70</v>
      </c>
      <c r="O40" s="22" t="s">
        <v>44</v>
      </c>
      <c r="P40" s="49">
        <v>68.3</v>
      </c>
      <c r="Q40" s="49">
        <v>68.099999999999994</v>
      </c>
      <c r="R40" s="50">
        <f t="shared" si="1"/>
        <v>0.20000000000000284</v>
      </c>
      <c r="T40" s="21">
        <v>45870</v>
      </c>
      <c r="U40" s="22" t="s">
        <v>42</v>
      </c>
      <c r="V40" s="24">
        <v>5</v>
      </c>
      <c r="W40" s="24">
        <v>4</v>
      </c>
      <c r="X40" s="24">
        <v>4</v>
      </c>
      <c r="Y40" s="24">
        <v>4</v>
      </c>
      <c r="Z40" s="20">
        <f t="shared" si="2"/>
        <v>17</v>
      </c>
    </row>
    <row r="41" spans="1:26" x14ac:dyDescent="0.2">
      <c r="A41" s="21">
        <v>45905</v>
      </c>
      <c r="B41" s="51">
        <f t="shared" si="0"/>
        <v>36</v>
      </c>
      <c r="C41" s="22" t="s">
        <v>70</v>
      </c>
      <c r="D41" s="22" t="s">
        <v>3</v>
      </c>
      <c r="E41" s="24">
        <v>75</v>
      </c>
      <c r="F41" s="22" t="s">
        <v>65</v>
      </c>
      <c r="H41" s="21">
        <v>45870</v>
      </c>
      <c r="I41" s="22" t="s">
        <v>71</v>
      </c>
      <c r="J41" s="22" t="s">
        <v>57</v>
      </c>
      <c r="K41" s="24">
        <v>10</v>
      </c>
      <c r="M41" s="21">
        <v>45870</v>
      </c>
      <c r="N41" s="22" t="s">
        <v>70</v>
      </c>
      <c r="O41" s="22" t="s">
        <v>45</v>
      </c>
      <c r="P41" s="49">
        <v>68.5</v>
      </c>
      <c r="Q41" s="49">
        <v>68</v>
      </c>
      <c r="R41" s="50">
        <f t="shared" si="1"/>
        <v>0.5</v>
      </c>
      <c r="T41" s="21">
        <v>45870</v>
      </c>
      <c r="U41" s="22" t="s">
        <v>43</v>
      </c>
      <c r="V41" s="24">
        <v>4</v>
      </c>
      <c r="W41" s="24">
        <v>3</v>
      </c>
      <c r="X41" s="24">
        <v>3</v>
      </c>
      <c r="Y41" s="24">
        <v>4</v>
      </c>
      <c r="Z41" s="20">
        <f t="shared" si="2"/>
        <v>14</v>
      </c>
    </row>
    <row r="42" spans="1:26" x14ac:dyDescent="0.2">
      <c r="A42" s="21">
        <v>45906</v>
      </c>
      <c r="B42" s="51">
        <f t="shared" si="0"/>
        <v>36</v>
      </c>
      <c r="C42" s="22" t="s">
        <v>70</v>
      </c>
      <c r="D42" s="22" t="s">
        <v>62</v>
      </c>
      <c r="E42" s="24">
        <v>35</v>
      </c>
      <c r="F42" s="22" t="s">
        <v>65</v>
      </c>
      <c r="H42" s="21">
        <v>45870</v>
      </c>
      <c r="I42" s="22" t="s">
        <v>71</v>
      </c>
      <c r="J42" s="22" t="s">
        <v>42</v>
      </c>
      <c r="K42" s="24">
        <v>8</v>
      </c>
      <c r="M42" s="21">
        <v>45870</v>
      </c>
      <c r="N42" s="22" t="s">
        <v>70</v>
      </c>
      <c r="O42" s="22" t="s">
        <v>46</v>
      </c>
      <c r="P42" s="49">
        <v>78</v>
      </c>
      <c r="Q42" s="49">
        <v>79.2</v>
      </c>
      <c r="R42" s="50">
        <f t="shared" si="1"/>
        <v>-1.2000000000000028</v>
      </c>
      <c r="T42" s="21">
        <v>45870</v>
      </c>
      <c r="U42" s="22" t="s">
        <v>44</v>
      </c>
      <c r="V42" s="24">
        <v>5</v>
      </c>
      <c r="W42" s="24">
        <v>3</v>
      </c>
      <c r="X42" s="24">
        <v>3</v>
      </c>
      <c r="Y42" s="24">
        <v>5</v>
      </c>
      <c r="Z42" s="20">
        <f t="shared" si="2"/>
        <v>16</v>
      </c>
    </row>
    <row r="43" spans="1:26" x14ac:dyDescent="0.2">
      <c r="A43" s="21">
        <v>45906</v>
      </c>
      <c r="B43" s="51">
        <f t="shared" si="0"/>
        <v>36</v>
      </c>
      <c r="C43" s="22" t="s">
        <v>71</v>
      </c>
      <c r="D43" s="22" t="s">
        <v>4</v>
      </c>
      <c r="E43" s="24">
        <v>120</v>
      </c>
      <c r="F43" s="22" t="s">
        <v>65</v>
      </c>
      <c r="H43" s="21">
        <v>45870</v>
      </c>
      <c r="I43" s="22" t="s">
        <v>71</v>
      </c>
      <c r="J43" s="22" t="s">
        <v>54</v>
      </c>
      <c r="K43" s="24">
        <v>9</v>
      </c>
      <c r="M43" s="21">
        <v>45870</v>
      </c>
      <c r="N43" s="22" t="s">
        <v>70</v>
      </c>
      <c r="O43" s="22" t="s">
        <v>47</v>
      </c>
      <c r="P43" s="49">
        <v>72.099999999999994</v>
      </c>
      <c r="Q43" s="49">
        <v>71.8</v>
      </c>
      <c r="R43" s="50">
        <f t="shared" si="1"/>
        <v>0.29999999999999716</v>
      </c>
      <c r="T43" s="21">
        <v>45870</v>
      </c>
      <c r="U43" s="22" t="s">
        <v>45</v>
      </c>
      <c r="V43" s="24">
        <v>3</v>
      </c>
      <c r="W43" s="24">
        <v>3</v>
      </c>
      <c r="X43" s="24">
        <v>3</v>
      </c>
      <c r="Y43" s="24">
        <v>5</v>
      </c>
      <c r="Z43" s="20">
        <f t="shared" si="2"/>
        <v>14</v>
      </c>
    </row>
    <row r="44" spans="1:26" x14ac:dyDescent="0.2">
      <c r="A44" s="21">
        <v>45908</v>
      </c>
      <c r="B44" s="51">
        <f t="shared" si="0"/>
        <v>37</v>
      </c>
      <c r="C44" s="22" t="s">
        <v>71</v>
      </c>
      <c r="D44" s="22" t="s">
        <v>3</v>
      </c>
      <c r="E44" s="24">
        <v>75</v>
      </c>
      <c r="F44" s="22" t="s">
        <v>65</v>
      </c>
      <c r="H44" s="21">
        <v>45870</v>
      </c>
      <c r="I44" s="22" t="s">
        <v>71</v>
      </c>
      <c r="J44" s="22" t="s">
        <v>47</v>
      </c>
      <c r="K44" s="24">
        <v>9</v>
      </c>
      <c r="M44" s="21">
        <v>45870</v>
      </c>
      <c r="N44" s="22" t="s">
        <v>70</v>
      </c>
      <c r="O44" s="22" t="s">
        <v>48</v>
      </c>
      <c r="P44" s="49">
        <v>81.599999999999994</v>
      </c>
      <c r="Q44" s="49">
        <v>80.400000000000006</v>
      </c>
      <c r="R44" s="50">
        <f t="shared" si="1"/>
        <v>1.1999999999999886</v>
      </c>
      <c r="T44" s="21">
        <v>45870</v>
      </c>
      <c r="U44" s="22" t="s">
        <v>46</v>
      </c>
      <c r="V44" s="24">
        <v>4</v>
      </c>
      <c r="W44" s="24">
        <v>4</v>
      </c>
      <c r="X44" s="24">
        <v>4</v>
      </c>
      <c r="Y44" s="24">
        <v>5</v>
      </c>
      <c r="Z44" s="20">
        <f t="shared" si="2"/>
        <v>17</v>
      </c>
    </row>
    <row r="45" spans="1:26" x14ac:dyDescent="0.2">
      <c r="A45" s="21">
        <v>45909</v>
      </c>
      <c r="B45" s="51">
        <f t="shared" si="0"/>
        <v>37</v>
      </c>
      <c r="C45" s="22" t="s">
        <v>71</v>
      </c>
      <c r="D45" s="22" t="s">
        <v>4</v>
      </c>
      <c r="E45" s="24">
        <v>120</v>
      </c>
      <c r="F45" s="22" t="s">
        <v>65</v>
      </c>
      <c r="H45" s="21">
        <v>45870</v>
      </c>
      <c r="I45" s="22" t="s">
        <v>71</v>
      </c>
      <c r="J45" s="22" t="s">
        <v>41</v>
      </c>
      <c r="K45" s="24">
        <v>10</v>
      </c>
      <c r="M45" s="21">
        <v>45870</v>
      </c>
      <c r="N45" s="22" t="s">
        <v>70</v>
      </c>
      <c r="O45" s="22" t="s">
        <v>49</v>
      </c>
      <c r="P45" s="49">
        <v>79</v>
      </c>
      <c r="Q45" s="49">
        <v>78</v>
      </c>
      <c r="R45" s="50">
        <f t="shared" si="1"/>
        <v>1</v>
      </c>
      <c r="T45" s="21">
        <v>45870</v>
      </c>
      <c r="U45" s="22" t="s">
        <v>47</v>
      </c>
      <c r="V45" s="24">
        <v>2</v>
      </c>
      <c r="W45" s="24">
        <v>3</v>
      </c>
      <c r="X45" s="24">
        <v>2</v>
      </c>
      <c r="Y45" s="24">
        <v>5</v>
      </c>
      <c r="Z45" s="20">
        <f t="shared" si="2"/>
        <v>12</v>
      </c>
    </row>
    <row r="46" spans="1:26" x14ac:dyDescent="0.2">
      <c r="A46" s="21">
        <v>45911</v>
      </c>
      <c r="B46" s="51">
        <f t="shared" si="0"/>
        <v>37</v>
      </c>
      <c r="C46" s="22" t="s">
        <v>70</v>
      </c>
      <c r="D46" s="22" t="s">
        <v>3</v>
      </c>
      <c r="E46" s="24">
        <v>90</v>
      </c>
      <c r="F46" s="22" t="s">
        <v>65</v>
      </c>
      <c r="H46" s="21">
        <v>45870</v>
      </c>
      <c r="I46" s="22" t="s">
        <v>71</v>
      </c>
      <c r="J46" s="22" t="s">
        <v>58</v>
      </c>
      <c r="K46" s="24">
        <v>10</v>
      </c>
      <c r="M46" s="21">
        <v>45870</v>
      </c>
      <c r="N46" s="22" t="s">
        <v>70</v>
      </c>
      <c r="O46" s="22" t="s">
        <v>50</v>
      </c>
      <c r="P46" s="49">
        <v>68.8</v>
      </c>
      <c r="Q46" s="49">
        <v>70.7</v>
      </c>
      <c r="R46" s="50">
        <f t="shared" si="1"/>
        <v>-1.9000000000000057</v>
      </c>
      <c r="T46" s="21">
        <v>45870</v>
      </c>
      <c r="U46" s="22" t="s">
        <v>48</v>
      </c>
      <c r="V46" s="24">
        <v>2</v>
      </c>
      <c r="W46" s="24">
        <v>3</v>
      </c>
      <c r="X46" s="24">
        <v>3</v>
      </c>
      <c r="Y46" s="24">
        <v>5</v>
      </c>
      <c r="Z46" s="20">
        <f t="shared" si="2"/>
        <v>13</v>
      </c>
    </row>
    <row r="47" spans="1:26" x14ac:dyDescent="0.2">
      <c r="A47" s="21">
        <v>45912</v>
      </c>
      <c r="B47" s="51">
        <f t="shared" si="0"/>
        <v>37</v>
      </c>
      <c r="C47" s="22" t="s">
        <v>70</v>
      </c>
      <c r="D47" s="22" t="s">
        <v>3</v>
      </c>
      <c r="E47" s="24">
        <v>70</v>
      </c>
      <c r="F47" s="22" t="s">
        <v>65</v>
      </c>
      <c r="H47" s="21">
        <v>45870</v>
      </c>
      <c r="I47" s="22" t="s">
        <v>71</v>
      </c>
      <c r="J47" s="22" t="s">
        <v>49</v>
      </c>
      <c r="K47" s="24">
        <v>10</v>
      </c>
      <c r="M47" s="21">
        <v>45870</v>
      </c>
      <c r="N47" s="22" t="s">
        <v>70</v>
      </c>
      <c r="O47" s="22" t="s">
        <v>51</v>
      </c>
      <c r="P47" s="49">
        <v>74.099999999999994</v>
      </c>
      <c r="Q47" s="49">
        <v>74</v>
      </c>
      <c r="R47" s="50">
        <f t="shared" si="1"/>
        <v>9.9999999999994316E-2</v>
      </c>
      <c r="T47" s="21">
        <v>45870</v>
      </c>
      <c r="U47" s="22" t="s">
        <v>49</v>
      </c>
      <c r="V47" s="24">
        <v>3</v>
      </c>
      <c r="W47" s="24">
        <v>2</v>
      </c>
      <c r="X47" s="24">
        <v>2</v>
      </c>
      <c r="Y47" s="24">
        <v>3</v>
      </c>
      <c r="Z47" s="20">
        <f t="shared" si="2"/>
        <v>10</v>
      </c>
    </row>
    <row r="48" spans="1:26" x14ac:dyDescent="0.2">
      <c r="A48" s="21">
        <v>45913</v>
      </c>
      <c r="B48" s="51">
        <f t="shared" si="0"/>
        <v>37</v>
      </c>
      <c r="C48" s="22" t="s">
        <v>70</v>
      </c>
      <c r="D48" s="22" t="s">
        <v>62</v>
      </c>
      <c r="E48" s="24">
        <v>30</v>
      </c>
      <c r="F48" s="22" t="s">
        <v>65</v>
      </c>
      <c r="H48" s="21">
        <v>45870</v>
      </c>
      <c r="I48" s="22" t="s">
        <v>71</v>
      </c>
      <c r="J48" s="22" t="s">
        <v>43</v>
      </c>
      <c r="K48" s="24">
        <v>9</v>
      </c>
      <c r="M48" s="21">
        <v>45870</v>
      </c>
      <c r="N48" s="22" t="s">
        <v>70</v>
      </c>
      <c r="O48" s="22" t="s">
        <v>52</v>
      </c>
      <c r="P48" s="49">
        <v>70.900000000000006</v>
      </c>
      <c r="Q48" s="49">
        <v>71.099999999999994</v>
      </c>
      <c r="R48" s="50">
        <f t="shared" si="1"/>
        <v>-0.19999999999998863</v>
      </c>
      <c r="T48" s="21">
        <v>45870</v>
      </c>
      <c r="U48" s="22" t="s">
        <v>50</v>
      </c>
      <c r="V48" s="24">
        <v>3</v>
      </c>
      <c r="W48" s="24">
        <v>2</v>
      </c>
      <c r="X48" s="24">
        <v>2</v>
      </c>
      <c r="Y48" s="24">
        <v>4</v>
      </c>
      <c r="Z48" s="20">
        <f t="shared" si="2"/>
        <v>11</v>
      </c>
    </row>
    <row r="49" spans="1:26" x14ac:dyDescent="0.2">
      <c r="A49" s="21">
        <v>45913</v>
      </c>
      <c r="B49" s="51">
        <f t="shared" si="0"/>
        <v>37</v>
      </c>
      <c r="C49" s="22" t="s">
        <v>71</v>
      </c>
      <c r="D49" s="22" t="s">
        <v>4</v>
      </c>
      <c r="E49" s="24">
        <v>120</v>
      </c>
      <c r="F49" s="22" t="s">
        <v>65</v>
      </c>
      <c r="H49" s="21">
        <v>45870</v>
      </c>
      <c r="I49" s="22" t="s">
        <v>71</v>
      </c>
      <c r="J49" s="22" t="s">
        <v>50</v>
      </c>
      <c r="K49" s="24">
        <v>10</v>
      </c>
      <c r="M49" s="21">
        <v>45870</v>
      </c>
      <c r="N49" s="22" t="s">
        <v>70</v>
      </c>
      <c r="O49" s="22" t="s">
        <v>53</v>
      </c>
      <c r="P49" s="49">
        <v>67.3</v>
      </c>
      <c r="Q49" s="49">
        <v>67</v>
      </c>
      <c r="R49" s="50">
        <f t="shared" si="1"/>
        <v>0.29999999999999716</v>
      </c>
      <c r="T49" s="21">
        <v>45870</v>
      </c>
      <c r="U49" s="22" t="s">
        <v>51</v>
      </c>
      <c r="V49" s="24">
        <v>4</v>
      </c>
      <c r="W49" s="24">
        <v>3</v>
      </c>
      <c r="X49" s="24">
        <v>3</v>
      </c>
      <c r="Y49" s="24">
        <v>5</v>
      </c>
      <c r="Z49" s="20">
        <f t="shared" si="2"/>
        <v>15</v>
      </c>
    </row>
    <row r="50" spans="1:26" x14ac:dyDescent="0.2">
      <c r="A50" s="21">
        <v>45915</v>
      </c>
      <c r="B50" s="51">
        <f t="shared" si="0"/>
        <v>38</v>
      </c>
      <c r="C50" s="22" t="s">
        <v>70</v>
      </c>
      <c r="D50" s="22" t="s">
        <v>59</v>
      </c>
      <c r="E50" s="24">
        <v>70</v>
      </c>
      <c r="F50" s="22" t="s">
        <v>65</v>
      </c>
      <c r="H50" s="21">
        <v>45870</v>
      </c>
      <c r="I50" s="22" t="s">
        <v>71</v>
      </c>
      <c r="J50" s="22" t="s">
        <v>51</v>
      </c>
      <c r="K50" s="24">
        <v>10</v>
      </c>
      <c r="M50" s="21">
        <v>45870</v>
      </c>
      <c r="N50" s="22" t="s">
        <v>70</v>
      </c>
      <c r="O50" s="22" t="s">
        <v>54</v>
      </c>
      <c r="P50" s="49">
        <v>84.8</v>
      </c>
      <c r="Q50" s="49">
        <v>84.8</v>
      </c>
      <c r="R50" s="50">
        <f t="shared" si="1"/>
        <v>0</v>
      </c>
      <c r="T50" s="21">
        <v>45870</v>
      </c>
      <c r="U50" s="22" t="s">
        <v>52</v>
      </c>
      <c r="V50" s="24">
        <v>3</v>
      </c>
      <c r="W50" s="24">
        <v>3</v>
      </c>
      <c r="X50" s="24">
        <v>3</v>
      </c>
      <c r="Y50" s="24">
        <v>5</v>
      </c>
      <c r="Z50" s="20">
        <f t="shared" si="2"/>
        <v>14</v>
      </c>
    </row>
    <row r="51" spans="1:26" x14ac:dyDescent="0.2">
      <c r="A51" s="21">
        <v>45915</v>
      </c>
      <c r="B51" s="51">
        <f t="shared" si="0"/>
        <v>38</v>
      </c>
      <c r="C51" s="22" t="s">
        <v>71</v>
      </c>
      <c r="D51" s="22" t="s">
        <v>3</v>
      </c>
      <c r="E51" s="24">
        <v>90</v>
      </c>
      <c r="F51" s="22" t="s">
        <v>65</v>
      </c>
      <c r="H51" s="21">
        <v>45870</v>
      </c>
      <c r="I51" s="22" t="s">
        <v>71</v>
      </c>
      <c r="J51" s="22" t="s">
        <v>46</v>
      </c>
      <c r="K51" s="24">
        <v>10</v>
      </c>
      <c r="M51" s="21">
        <v>45870</v>
      </c>
      <c r="N51" s="22" t="s">
        <v>70</v>
      </c>
      <c r="O51" s="22" t="s">
        <v>56</v>
      </c>
      <c r="P51" s="49">
        <v>74.400000000000006</v>
      </c>
      <c r="Q51" s="49">
        <v>75</v>
      </c>
      <c r="R51" s="50">
        <f t="shared" si="1"/>
        <v>-0.59999999999999432</v>
      </c>
      <c r="T51" s="21">
        <v>45870</v>
      </c>
      <c r="U51" s="22" t="s">
        <v>53</v>
      </c>
      <c r="V51" s="24">
        <v>3</v>
      </c>
      <c r="W51" s="24">
        <v>4</v>
      </c>
      <c r="X51" s="24">
        <v>4</v>
      </c>
      <c r="Y51" s="24">
        <v>5</v>
      </c>
      <c r="Z51" s="20">
        <f t="shared" si="2"/>
        <v>16</v>
      </c>
    </row>
    <row r="52" spans="1:26" x14ac:dyDescent="0.2">
      <c r="A52" s="21">
        <v>45916</v>
      </c>
      <c r="B52" s="51">
        <f t="shared" si="0"/>
        <v>38</v>
      </c>
      <c r="C52" s="22" t="s">
        <v>70</v>
      </c>
      <c r="D52" s="22" t="s">
        <v>3</v>
      </c>
      <c r="E52" s="24">
        <v>100</v>
      </c>
      <c r="F52" s="22" t="s">
        <v>65</v>
      </c>
      <c r="H52" s="21">
        <v>45870</v>
      </c>
      <c r="I52" s="22" t="s">
        <v>71</v>
      </c>
      <c r="J52" s="22" t="s">
        <v>48</v>
      </c>
      <c r="K52" s="24">
        <v>10</v>
      </c>
      <c r="M52" s="21">
        <v>45870</v>
      </c>
      <c r="N52" s="22" t="s">
        <v>70</v>
      </c>
      <c r="O52" s="22" t="s">
        <v>57</v>
      </c>
      <c r="P52" s="49">
        <v>93</v>
      </c>
      <c r="Q52" s="49">
        <v>92.4</v>
      </c>
      <c r="R52" s="50">
        <f t="shared" si="1"/>
        <v>0.59999999999999432</v>
      </c>
      <c r="T52" s="21">
        <v>45870</v>
      </c>
      <c r="U52" s="22" t="s">
        <v>54</v>
      </c>
      <c r="V52" s="24">
        <v>3</v>
      </c>
      <c r="W52" s="24">
        <v>3</v>
      </c>
      <c r="X52" s="24">
        <v>2</v>
      </c>
      <c r="Y52" s="24">
        <v>4</v>
      </c>
      <c r="Z52" s="20">
        <f t="shared" si="2"/>
        <v>12</v>
      </c>
    </row>
    <row r="53" spans="1:26" x14ac:dyDescent="0.2">
      <c r="A53" s="21">
        <v>45917</v>
      </c>
      <c r="B53" s="51">
        <f t="shared" si="0"/>
        <v>38</v>
      </c>
      <c r="C53" s="22" t="s">
        <v>70</v>
      </c>
      <c r="D53" s="22" t="s">
        <v>62</v>
      </c>
      <c r="E53" s="24">
        <v>30</v>
      </c>
      <c r="F53" s="22" t="s">
        <v>65</v>
      </c>
      <c r="H53" s="21">
        <v>45870</v>
      </c>
      <c r="I53" s="22" t="s">
        <v>71</v>
      </c>
      <c r="J53" s="22" t="s">
        <v>56</v>
      </c>
      <c r="K53" s="24">
        <v>10</v>
      </c>
      <c r="M53" s="21">
        <v>45870</v>
      </c>
      <c r="N53" s="22" t="s">
        <v>70</v>
      </c>
      <c r="O53" s="22" t="s">
        <v>58</v>
      </c>
      <c r="P53" s="49">
        <v>75.5</v>
      </c>
      <c r="Q53" s="49">
        <v>75.2</v>
      </c>
      <c r="R53" s="50">
        <f t="shared" si="1"/>
        <v>0.29999999999999716</v>
      </c>
      <c r="T53" s="21">
        <v>45870</v>
      </c>
      <c r="U53" s="22" t="s">
        <v>56</v>
      </c>
      <c r="V53" s="24">
        <v>4</v>
      </c>
      <c r="W53" s="24">
        <v>2</v>
      </c>
      <c r="X53" s="24">
        <v>2</v>
      </c>
      <c r="Y53" s="24">
        <v>5</v>
      </c>
      <c r="Z53" s="20">
        <f t="shared" si="2"/>
        <v>13</v>
      </c>
    </row>
    <row r="54" spans="1:26" x14ac:dyDescent="0.2">
      <c r="A54" s="21">
        <v>45917</v>
      </c>
      <c r="B54" s="51">
        <f t="shared" si="0"/>
        <v>38</v>
      </c>
      <c r="C54" s="22" t="s">
        <v>71</v>
      </c>
      <c r="D54" s="22" t="s">
        <v>4</v>
      </c>
      <c r="E54" s="24">
        <v>120</v>
      </c>
      <c r="F54" s="22" t="s">
        <v>65</v>
      </c>
      <c r="H54" s="21">
        <v>45873</v>
      </c>
      <c r="I54" s="22" t="s">
        <v>70</v>
      </c>
      <c r="J54" s="22" t="s">
        <v>52</v>
      </c>
      <c r="K54" s="24">
        <v>7</v>
      </c>
      <c r="M54" s="21">
        <v>45873</v>
      </c>
      <c r="N54" s="22" t="s">
        <v>71</v>
      </c>
      <c r="O54" s="22" t="s">
        <v>41</v>
      </c>
      <c r="P54" s="49">
        <v>77.2</v>
      </c>
      <c r="Q54" s="49">
        <v>76.099999999999994</v>
      </c>
      <c r="R54" s="50">
        <f t="shared" si="1"/>
        <v>1.1000000000000085</v>
      </c>
      <c r="T54" s="21">
        <v>45870</v>
      </c>
      <c r="U54" s="22" t="s">
        <v>57</v>
      </c>
      <c r="V54" s="24">
        <v>4</v>
      </c>
      <c r="W54" s="24">
        <v>3</v>
      </c>
      <c r="X54" s="24">
        <v>4</v>
      </c>
      <c r="Y54" s="24">
        <v>4</v>
      </c>
      <c r="Z54" s="20">
        <f t="shared" si="2"/>
        <v>15</v>
      </c>
    </row>
    <row r="55" spans="1:26" x14ac:dyDescent="0.2">
      <c r="A55" s="21">
        <v>45918</v>
      </c>
      <c r="B55" s="51">
        <f t="shared" si="0"/>
        <v>38</v>
      </c>
      <c r="C55" s="22" t="s">
        <v>70</v>
      </c>
      <c r="D55" s="22" t="s">
        <v>149</v>
      </c>
      <c r="E55" s="24">
        <v>30</v>
      </c>
      <c r="F55" s="22" t="s">
        <v>65</v>
      </c>
      <c r="H55" s="21">
        <v>45873</v>
      </c>
      <c r="I55" s="22" t="s">
        <v>70</v>
      </c>
      <c r="J55" s="22" t="s">
        <v>53</v>
      </c>
      <c r="K55" s="24">
        <v>7</v>
      </c>
      <c r="M55" s="21">
        <v>45873</v>
      </c>
      <c r="N55" s="22" t="s">
        <v>71</v>
      </c>
      <c r="O55" s="22" t="s">
        <v>42</v>
      </c>
      <c r="P55" s="49">
        <v>78.8</v>
      </c>
      <c r="Q55" s="49">
        <v>78.599999999999994</v>
      </c>
      <c r="R55" s="50">
        <f t="shared" si="1"/>
        <v>0.20000000000000284</v>
      </c>
      <c r="T55" s="21">
        <v>45870</v>
      </c>
      <c r="U55" s="22" t="s">
        <v>58</v>
      </c>
      <c r="V55" s="24">
        <v>3</v>
      </c>
      <c r="W55" s="24">
        <v>3</v>
      </c>
      <c r="X55" s="24">
        <v>4</v>
      </c>
      <c r="Y55" s="24">
        <v>4</v>
      </c>
      <c r="Z55" s="20">
        <f t="shared" si="2"/>
        <v>14</v>
      </c>
    </row>
    <row r="56" spans="1:26" x14ac:dyDescent="0.2">
      <c r="A56" s="21">
        <v>45919</v>
      </c>
      <c r="B56" s="51">
        <f t="shared" si="0"/>
        <v>38</v>
      </c>
      <c r="C56" s="22" t="s">
        <v>70</v>
      </c>
      <c r="D56" s="22" t="s">
        <v>3</v>
      </c>
      <c r="E56" s="24">
        <v>100</v>
      </c>
      <c r="F56" s="22" t="s">
        <v>65</v>
      </c>
      <c r="H56" s="21">
        <v>45873</v>
      </c>
      <c r="I56" s="22" t="s">
        <v>70</v>
      </c>
      <c r="J56" s="22" t="s">
        <v>44</v>
      </c>
      <c r="K56" s="24">
        <v>7</v>
      </c>
      <c r="M56" s="21">
        <v>45873</v>
      </c>
      <c r="N56" s="22" t="s">
        <v>71</v>
      </c>
      <c r="O56" s="22" t="s">
        <v>43</v>
      </c>
      <c r="P56" s="49">
        <v>89.8</v>
      </c>
      <c r="Q56" s="49">
        <v>89.8</v>
      </c>
      <c r="R56" s="50">
        <f t="shared" si="1"/>
        <v>0</v>
      </c>
      <c r="T56" s="21">
        <v>45870</v>
      </c>
      <c r="U56" s="22" t="s">
        <v>33</v>
      </c>
      <c r="V56" s="24">
        <v>3.2941176470588198</v>
      </c>
      <c r="W56" s="24">
        <v>2.8823529411764701</v>
      </c>
      <c r="X56" s="24">
        <v>2.8823529411764701</v>
      </c>
      <c r="Y56" s="24">
        <v>4.2941176470588198</v>
      </c>
      <c r="Z56" s="20">
        <f t="shared" si="2"/>
        <v>13.35294117647058</v>
      </c>
    </row>
    <row r="57" spans="1:26" x14ac:dyDescent="0.2">
      <c r="A57" s="21">
        <v>45919</v>
      </c>
      <c r="B57" s="51">
        <f t="shared" si="0"/>
        <v>38</v>
      </c>
      <c r="C57" s="22" t="s">
        <v>71</v>
      </c>
      <c r="D57" s="22" t="s">
        <v>59</v>
      </c>
      <c r="E57" s="24">
        <v>50</v>
      </c>
      <c r="F57" s="22" t="s">
        <v>65</v>
      </c>
      <c r="H57" s="21">
        <v>45873</v>
      </c>
      <c r="I57" s="22" t="s">
        <v>70</v>
      </c>
      <c r="J57" s="22" t="s">
        <v>45</v>
      </c>
      <c r="K57" s="24">
        <v>7</v>
      </c>
      <c r="M57" s="21">
        <v>45873</v>
      </c>
      <c r="N57" s="22" t="s">
        <v>71</v>
      </c>
      <c r="O57" s="22" t="s">
        <v>44</v>
      </c>
      <c r="P57" s="49">
        <v>69</v>
      </c>
      <c r="Q57" s="49">
        <v>67.900000000000006</v>
      </c>
      <c r="R57" s="50">
        <f t="shared" si="1"/>
        <v>1.0999999999999943</v>
      </c>
      <c r="T57" s="21">
        <v>45873</v>
      </c>
      <c r="U57" s="22" t="s">
        <v>41</v>
      </c>
      <c r="V57" s="24">
        <v>2</v>
      </c>
      <c r="W57" s="24">
        <v>2</v>
      </c>
      <c r="X57" s="24">
        <v>2</v>
      </c>
      <c r="Y57" s="24">
        <v>2</v>
      </c>
      <c r="Z57" s="20">
        <f t="shared" si="2"/>
        <v>8</v>
      </c>
    </row>
    <row r="58" spans="1:26" x14ac:dyDescent="0.2">
      <c r="A58" s="21">
        <v>45922</v>
      </c>
      <c r="B58" s="51">
        <f t="shared" si="0"/>
        <v>39</v>
      </c>
      <c r="C58" s="22" t="s">
        <v>70</v>
      </c>
      <c r="D58" s="22" t="s">
        <v>6</v>
      </c>
      <c r="E58" s="24">
        <v>60</v>
      </c>
      <c r="F58" s="22" t="s">
        <v>65</v>
      </c>
      <c r="H58" s="21">
        <v>45873</v>
      </c>
      <c r="I58" s="22" t="s">
        <v>70</v>
      </c>
      <c r="J58" s="22" t="s">
        <v>57</v>
      </c>
      <c r="K58" s="24">
        <v>7</v>
      </c>
      <c r="M58" s="21">
        <v>45873</v>
      </c>
      <c r="N58" s="22" t="s">
        <v>71</v>
      </c>
      <c r="O58" s="22" t="s">
        <v>45</v>
      </c>
      <c r="P58" s="49">
        <v>68.5</v>
      </c>
      <c r="Q58" s="49">
        <v>68</v>
      </c>
      <c r="R58" s="50">
        <f t="shared" si="1"/>
        <v>0.5</v>
      </c>
      <c r="T58" s="21">
        <v>45873</v>
      </c>
      <c r="U58" s="22" t="s">
        <v>42</v>
      </c>
      <c r="V58" s="24">
        <v>4</v>
      </c>
      <c r="W58" s="24">
        <v>4</v>
      </c>
      <c r="X58" s="24">
        <v>5</v>
      </c>
      <c r="Y58" s="24">
        <v>5</v>
      </c>
      <c r="Z58" s="20">
        <f t="shared" si="2"/>
        <v>18</v>
      </c>
    </row>
    <row r="59" spans="1:26" x14ac:dyDescent="0.2">
      <c r="A59" s="21">
        <v>45922</v>
      </c>
      <c r="B59" s="51">
        <f t="shared" si="0"/>
        <v>39</v>
      </c>
      <c r="C59" s="22" t="s">
        <v>71</v>
      </c>
      <c r="D59" s="22" t="s">
        <v>3</v>
      </c>
      <c r="E59" s="24">
        <v>90</v>
      </c>
      <c r="F59" s="22" t="s">
        <v>65</v>
      </c>
      <c r="H59" s="21">
        <v>45873</v>
      </c>
      <c r="I59" s="22" t="s">
        <v>70</v>
      </c>
      <c r="J59" s="22" t="s">
        <v>42</v>
      </c>
      <c r="K59" s="24">
        <v>7</v>
      </c>
      <c r="M59" s="21">
        <v>45873</v>
      </c>
      <c r="N59" s="22" t="s">
        <v>71</v>
      </c>
      <c r="O59" s="22" t="s">
        <v>46</v>
      </c>
      <c r="P59" s="49">
        <v>80</v>
      </c>
      <c r="Q59" s="49">
        <v>79.5</v>
      </c>
      <c r="R59" s="50">
        <f t="shared" si="1"/>
        <v>0.5</v>
      </c>
      <c r="T59" s="21">
        <v>45873</v>
      </c>
      <c r="U59" s="22" t="s">
        <v>43</v>
      </c>
      <c r="V59" s="24">
        <v>4</v>
      </c>
      <c r="W59" s="24">
        <v>5</v>
      </c>
      <c r="X59" s="24">
        <v>5</v>
      </c>
      <c r="Y59" s="24">
        <v>5</v>
      </c>
      <c r="Z59" s="20">
        <f t="shared" si="2"/>
        <v>19</v>
      </c>
    </row>
    <row r="60" spans="1:26" x14ac:dyDescent="0.2">
      <c r="A60" s="21">
        <v>45923</v>
      </c>
      <c r="B60" s="51">
        <f t="shared" si="0"/>
        <v>39</v>
      </c>
      <c r="C60" s="22" t="s">
        <v>70</v>
      </c>
      <c r="D60" s="22" t="s">
        <v>3</v>
      </c>
      <c r="E60" s="24">
        <v>135</v>
      </c>
      <c r="F60" s="22" t="s">
        <v>65</v>
      </c>
      <c r="H60" s="21">
        <v>45873</v>
      </c>
      <c r="I60" s="22" t="s">
        <v>70</v>
      </c>
      <c r="J60" s="22" t="s">
        <v>54</v>
      </c>
      <c r="K60" s="24">
        <v>7</v>
      </c>
      <c r="M60" s="21">
        <v>45873</v>
      </c>
      <c r="N60" s="22" t="s">
        <v>71</v>
      </c>
      <c r="O60" s="22" t="s">
        <v>47</v>
      </c>
      <c r="P60" s="49">
        <v>72.7</v>
      </c>
      <c r="Q60" s="49">
        <v>72.400000000000006</v>
      </c>
      <c r="R60" s="50">
        <f t="shared" si="1"/>
        <v>0.29999999999999716</v>
      </c>
      <c r="T60" s="21">
        <v>45873</v>
      </c>
      <c r="U60" s="22" t="s">
        <v>44</v>
      </c>
      <c r="V60" s="24">
        <v>5</v>
      </c>
      <c r="W60" s="24">
        <v>5</v>
      </c>
      <c r="X60" s="24">
        <v>5</v>
      </c>
      <c r="Y60" s="24">
        <v>5</v>
      </c>
      <c r="Z60" s="20">
        <f t="shared" si="2"/>
        <v>20</v>
      </c>
    </row>
    <row r="61" spans="1:26" x14ac:dyDescent="0.2">
      <c r="A61" s="21">
        <v>45924</v>
      </c>
      <c r="B61" s="51">
        <f t="shared" si="0"/>
        <v>39</v>
      </c>
      <c r="C61" s="22" t="s">
        <v>70</v>
      </c>
      <c r="D61" s="22" t="s">
        <v>6</v>
      </c>
      <c r="E61" s="24">
        <v>60</v>
      </c>
      <c r="F61" s="22" t="s">
        <v>65</v>
      </c>
      <c r="H61" s="21">
        <v>45873</v>
      </c>
      <c r="I61" s="22" t="s">
        <v>70</v>
      </c>
      <c r="J61" s="22" t="s">
        <v>47</v>
      </c>
      <c r="K61" s="24">
        <v>7</v>
      </c>
      <c r="M61" s="21">
        <v>45873</v>
      </c>
      <c r="N61" s="22" t="s">
        <v>71</v>
      </c>
      <c r="O61" s="22" t="s">
        <v>48</v>
      </c>
      <c r="P61" s="49">
        <v>82.5</v>
      </c>
      <c r="Q61" s="49">
        <v>82</v>
      </c>
      <c r="R61" s="50">
        <f t="shared" si="1"/>
        <v>0.5</v>
      </c>
      <c r="T61" s="21">
        <v>45873</v>
      </c>
      <c r="U61" s="22" t="s">
        <v>45</v>
      </c>
      <c r="V61" s="24">
        <v>5</v>
      </c>
      <c r="W61" s="24">
        <v>4</v>
      </c>
      <c r="X61" s="24">
        <v>4</v>
      </c>
      <c r="Y61" s="24">
        <v>5</v>
      </c>
      <c r="Z61" s="20">
        <f t="shared" si="2"/>
        <v>18</v>
      </c>
    </row>
    <row r="62" spans="1:26" x14ac:dyDescent="0.2">
      <c r="A62" s="21">
        <v>45924</v>
      </c>
      <c r="B62" s="51">
        <f t="shared" si="0"/>
        <v>39</v>
      </c>
      <c r="C62" s="22" t="s">
        <v>71</v>
      </c>
      <c r="D62" s="22" t="s">
        <v>3</v>
      </c>
      <c r="E62" s="24">
        <v>95</v>
      </c>
      <c r="F62" s="22" t="s">
        <v>65</v>
      </c>
      <c r="H62" s="21">
        <v>45873</v>
      </c>
      <c r="I62" s="22" t="s">
        <v>70</v>
      </c>
      <c r="J62" s="22" t="s">
        <v>41</v>
      </c>
      <c r="K62" s="24">
        <v>7</v>
      </c>
      <c r="M62" s="21">
        <v>45873</v>
      </c>
      <c r="N62" s="22" t="s">
        <v>71</v>
      </c>
      <c r="O62" s="22" t="s">
        <v>50</v>
      </c>
      <c r="P62" s="49">
        <v>71</v>
      </c>
      <c r="Q62" s="49">
        <v>70.7</v>
      </c>
      <c r="R62" s="50">
        <f t="shared" si="1"/>
        <v>0.29999999999999716</v>
      </c>
      <c r="T62" s="21">
        <v>45873</v>
      </c>
      <c r="U62" s="22" t="s">
        <v>46</v>
      </c>
      <c r="V62" s="24">
        <v>5</v>
      </c>
      <c r="W62" s="24">
        <v>5</v>
      </c>
      <c r="X62" s="24">
        <v>5</v>
      </c>
      <c r="Y62" s="24">
        <v>5</v>
      </c>
      <c r="Z62" s="20">
        <f t="shared" si="2"/>
        <v>20</v>
      </c>
    </row>
    <row r="63" spans="1:26" x14ac:dyDescent="0.2">
      <c r="A63" s="21">
        <v>45925</v>
      </c>
      <c r="B63" s="51">
        <f t="shared" si="0"/>
        <v>39</v>
      </c>
      <c r="C63" s="22" t="s">
        <v>70</v>
      </c>
      <c r="D63" s="22" t="s">
        <v>3</v>
      </c>
      <c r="E63" s="24">
        <v>90</v>
      </c>
      <c r="F63" s="22" t="s">
        <v>65</v>
      </c>
      <c r="H63" s="21">
        <v>45873</v>
      </c>
      <c r="I63" s="22" t="s">
        <v>70</v>
      </c>
      <c r="J63" s="22" t="s">
        <v>58</v>
      </c>
      <c r="K63" s="24">
        <v>7</v>
      </c>
      <c r="M63" s="21">
        <v>45873</v>
      </c>
      <c r="N63" s="22" t="s">
        <v>71</v>
      </c>
      <c r="O63" s="22" t="s">
        <v>51</v>
      </c>
      <c r="P63" s="49">
        <v>76</v>
      </c>
      <c r="Q63" s="49">
        <v>76</v>
      </c>
      <c r="R63" s="50">
        <f t="shared" si="1"/>
        <v>0</v>
      </c>
      <c r="T63" s="21">
        <v>45873</v>
      </c>
      <c r="U63" s="22" t="s">
        <v>47</v>
      </c>
      <c r="V63" s="24">
        <v>4</v>
      </c>
      <c r="W63" s="24">
        <v>5</v>
      </c>
      <c r="X63" s="24">
        <v>4</v>
      </c>
      <c r="Y63" s="24">
        <v>5</v>
      </c>
      <c r="Z63" s="20">
        <f t="shared" si="2"/>
        <v>18</v>
      </c>
    </row>
    <row r="64" spans="1:26" x14ac:dyDescent="0.2">
      <c r="A64" s="21">
        <v>45926</v>
      </c>
      <c r="B64" s="51">
        <f t="shared" si="0"/>
        <v>39</v>
      </c>
      <c r="C64" s="22" t="s">
        <v>70</v>
      </c>
      <c r="D64" s="22" t="s">
        <v>3</v>
      </c>
      <c r="E64" s="24">
        <v>90</v>
      </c>
      <c r="F64" s="22" t="s">
        <v>65</v>
      </c>
      <c r="H64" s="21">
        <v>45873</v>
      </c>
      <c r="I64" s="22" t="s">
        <v>70</v>
      </c>
      <c r="J64" s="22" t="s">
        <v>49</v>
      </c>
      <c r="K64" s="24" t="s">
        <v>60</v>
      </c>
      <c r="M64" s="21">
        <v>45873</v>
      </c>
      <c r="N64" s="22" t="s">
        <v>71</v>
      </c>
      <c r="O64" s="22" t="s">
        <v>52</v>
      </c>
      <c r="P64" s="49">
        <v>71.3</v>
      </c>
      <c r="Q64" s="49">
        <v>71</v>
      </c>
      <c r="R64" s="50">
        <f t="shared" si="1"/>
        <v>0.29999999999999716</v>
      </c>
      <c r="T64" s="21">
        <v>45873</v>
      </c>
      <c r="U64" s="22" t="s">
        <v>48</v>
      </c>
      <c r="V64" s="24">
        <v>5</v>
      </c>
      <c r="W64" s="24">
        <v>4</v>
      </c>
      <c r="X64" s="24">
        <v>3</v>
      </c>
      <c r="Y64" s="24">
        <v>5</v>
      </c>
      <c r="Z64" s="20">
        <f t="shared" si="2"/>
        <v>17</v>
      </c>
    </row>
    <row r="65" spans="1:26" x14ac:dyDescent="0.2">
      <c r="A65" s="21">
        <v>45927</v>
      </c>
      <c r="B65" s="51">
        <f t="shared" si="0"/>
        <v>39</v>
      </c>
      <c r="C65" s="22" t="s">
        <v>70</v>
      </c>
      <c r="D65" s="22" t="s">
        <v>4</v>
      </c>
      <c r="E65" s="24">
        <v>120</v>
      </c>
      <c r="F65" s="22" t="s">
        <v>65</v>
      </c>
      <c r="H65" s="21">
        <v>45873</v>
      </c>
      <c r="I65" s="22" t="s">
        <v>70</v>
      </c>
      <c r="J65" s="22" t="s">
        <v>43</v>
      </c>
      <c r="K65" s="24">
        <v>7</v>
      </c>
      <c r="M65" s="21">
        <v>45873</v>
      </c>
      <c r="N65" s="22" t="s">
        <v>71</v>
      </c>
      <c r="O65" s="22" t="s">
        <v>53</v>
      </c>
      <c r="P65" s="49">
        <v>67.7</v>
      </c>
      <c r="Q65" s="49">
        <v>67.099999999999994</v>
      </c>
      <c r="R65" s="50">
        <f t="shared" si="1"/>
        <v>0.60000000000000853</v>
      </c>
      <c r="T65" s="21">
        <v>45873</v>
      </c>
      <c r="U65" s="22" t="s">
        <v>50</v>
      </c>
      <c r="V65" s="24">
        <v>4</v>
      </c>
      <c r="W65" s="24">
        <v>4</v>
      </c>
      <c r="X65" s="24">
        <v>3</v>
      </c>
      <c r="Y65" s="24">
        <v>5</v>
      </c>
      <c r="Z65" s="20">
        <f t="shared" si="2"/>
        <v>16</v>
      </c>
    </row>
    <row r="66" spans="1:26" x14ac:dyDescent="0.2">
      <c r="A66" s="21">
        <v>45929</v>
      </c>
      <c r="B66" s="51">
        <f t="shared" si="0"/>
        <v>40</v>
      </c>
      <c r="C66" s="22" t="s">
        <v>70</v>
      </c>
      <c r="D66" s="22" t="s">
        <v>6</v>
      </c>
      <c r="E66" s="24">
        <v>60</v>
      </c>
      <c r="F66" s="22" t="s">
        <v>65</v>
      </c>
      <c r="H66" s="21">
        <v>45873</v>
      </c>
      <c r="I66" s="22" t="s">
        <v>70</v>
      </c>
      <c r="J66" s="22" t="s">
        <v>50</v>
      </c>
      <c r="K66" s="24">
        <v>7</v>
      </c>
      <c r="M66" s="21">
        <v>45873</v>
      </c>
      <c r="N66" s="22" t="s">
        <v>71</v>
      </c>
      <c r="O66" s="22" t="s">
        <v>54</v>
      </c>
      <c r="P66" s="49">
        <v>85.2</v>
      </c>
      <c r="Q66" s="49">
        <v>85.1</v>
      </c>
      <c r="R66" s="50">
        <f t="shared" si="1"/>
        <v>0.10000000000000853</v>
      </c>
      <c r="T66" s="21">
        <v>45873</v>
      </c>
      <c r="U66" s="22" t="s">
        <v>51</v>
      </c>
      <c r="V66" s="24">
        <v>4</v>
      </c>
      <c r="W66" s="24">
        <v>5</v>
      </c>
      <c r="X66" s="24">
        <v>5</v>
      </c>
      <c r="Y66" s="24">
        <v>5</v>
      </c>
      <c r="Z66" s="20">
        <f t="shared" si="2"/>
        <v>19</v>
      </c>
    </row>
    <row r="67" spans="1:26" x14ac:dyDescent="0.2">
      <c r="A67" s="21">
        <v>45929</v>
      </c>
      <c r="B67" s="51">
        <f t="shared" ref="B67:B130" si="3">IFERROR(_xlfn.ISOWEEKNUM(A67),"")</f>
        <v>40</v>
      </c>
      <c r="C67" s="22" t="s">
        <v>71</v>
      </c>
      <c r="D67" s="22" t="s">
        <v>3</v>
      </c>
      <c r="E67" s="24">
        <v>75</v>
      </c>
      <c r="F67" s="22" t="s">
        <v>65</v>
      </c>
      <c r="H67" s="21">
        <v>45873</v>
      </c>
      <c r="I67" s="22" t="s">
        <v>70</v>
      </c>
      <c r="J67" s="22" t="s">
        <v>51</v>
      </c>
      <c r="K67" s="24">
        <v>7</v>
      </c>
      <c r="M67" s="21">
        <v>45873</v>
      </c>
      <c r="N67" s="22" t="s">
        <v>71</v>
      </c>
      <c r="O67" s="22" t="s">
        <v>56</v>
      </c>
      <c r="P67" s="49">
        <v>75</v>
      </c>
      <c r="Q67" s="49">
        <v>74</v>
      </c>
      <c r="R67" s="50">
        <f t="shared" ref="R67:R130" si="4">IFERROR(P67-Q67,"")</f>
        <v>1</v>
      </c>
      <c r="T67" s="21">
        <v>45873</v>
      </c>
      <c r="U67" s="22" t="s">
        <v>52</v>
      </c>
      <c r="V67" s="24">
        <v>3</v>
      </c>
      <c r="W67" s="24">
        <v>5</v>
      </c>
      <c r="X67" s="24">
        <v>3</v>
      </c>
      <c r="Y67" s="24">
        <v>5</v>
      </c>
      <c r="Z67" s="20">
        <f t="shared" ref="Z67:Z130" si="5">SUM(V67:Y67)</f>
        <v>16</v>
      </c>
    </row>
    <row r="68" spans="1:26" x14ac:dyDescent="0.2">
      <c r="A68" s="21">
        <v>45930</v>
      </c>
      <c r="B68" s="51">
        <f t="shared" si="3"/>
        <v>40</v>
      </c>
      <c r="C68" s="22" t="s">
        <v>70</v>
      </c>
      <c r="D68" s="22" t="s">
        <v>3</v>
      </c>
      <c r="E68" s="24">
        <v>105</v>
      </c>
      <c r="F68" s="22" t="s">
        <v>65</v>
      </c>
      <c r="H68" s="21">
        <v>45873</v>
      </c>
      <c r="I68" s="22" t="s">
        <v>70</v>
      </c>
      <c r="J68" s="22" t="s">
        <v>46</v>
      </c>
      <c r="K68" s="24">
        <v>7</v>
      </c>
      <c r="M68" s="21">
        <v>45873</v>
      </c>
      <c r="N68" s="22" t="s">
        <v>71</v>
      </c>
      <c r="O68" s="22" t="s">
        <v>57</v>
      </c>
      <c r="P68" s="49">
        <v>93.8</v>
      </c>
      <c r="Q68" s="49">
        <v>93.1</v>
      </c>
      <c r="R68" s="50">
        <f t="shared" si="4"/>
        <v>0.70000000000000284</v>
      </c>
      <c r="T68" s="21">
        <v>45873</v>
      </c>
      <c r="U68" s="22" t="s">
        <v>53</v>
      </c>
      <c r="V68" s="24">
        <v>4</v>
      </c>
      <c r="W68" s="24">
        <v>4</v>
      </c>
      <c r="X68" s="24">
        <v>5</v>
      </c>
      <c r="Y68" s="24">
        <v>5</v>
      </c>
      <c r="Z68" s="20">
        <f t="shared" si="5"/>
        <v>18</v>
      </c>
    </row>
    <row r="69" spans="1:26" x14ac:dyDescent="0.2">
      <c r="A69" s="21">
        <v>45931</v>
      </c>
      <c r="B69" s="51">
        <f t="shared" si="3"/>
        <v>40</v>
      </c>
      <c r="C69" s="22" t="s">
        <v>70</v>
      </c>
      <c r="D69" s="22" t="s">
        <v>6</v>
      </c>
      <c r="E69" s="24">
        <v>90</v>
      </c>
      <c r="F69" s="22" t="s">
        <v>65</v>
      </c>
      <c r="H69" s="21">
        <v>45873</v>
      </c>
      <c r="I69" s="22" t="s">
        <v>70</v>
      </c>
      <c r="J69" s="22" t="s">
        <v>48</v>
      </c>
      <c r="K69" s="24">
        <v>7</v>
      </c>
      <c r="M69" s="21">
        <v>45873</v>
      </c>
      <c r="N69" s="22" t="s">
        <v>71</v>
      </c>
      <c r="O69" s="22" t="s">
        <v>58</v>
      </c>
      <c r="P69" s="49">
        <v>75.400000000000006</v>
      </c>
      <c r="Q69" s="49">
        <v>75.2</v>
      </c>
      <c r="R69" s="50">
        <f t="shared" si="4"/>
        <v>0.20000000000000284</v>
      </c>
      <c r="T69" s="21">
        <v>45873</v>
      </c>
      <c r="U69" s="22" t="s">
        <v>54</v>
      </c>
      <c r="V69" s="24">
        <v>5</v>
      </c>
      <c r="W69" s="24">
        <v>5</v>
      </c>
      <c r="X69" s="24">
        <v>5</v>
      </c>
      <c r="Y69" s="24">
        <v>4</v>
      </c>
      <c r="Z69" s="20">
        <f t="shared" si="5"/>
        <v>19</v>
      </c>
    </row>
    <row r="70" spans="1:26" x14ac:dyDescent="0.2">
      <c r="A70" s="21">
        <v>45931</v>
      </c>
      <c r="B70" s="51">
        <f t="shared" si="3"/>
        <v>40</v>
      </c>
      <c r="C70" s="22" t="s">
        <v>71</v>
      </c>
      <c r="D70" s="22" t="s">
        <v>3</v>
      </c>
      <c r="E70" s="24">
        <v>75</v>
      </c>
      <c r="F70" s="22" t="s">
        <v>65</v>
      </c>
      <c r="H70" s="21">
        <v>45873</v>
      </c>
      <c r="I70" s="22" t="s">
        <v>70</v>
      </c>
      <c r="J70" s="22" t="s">
        <v>56</v>
      </c>
      <c r="K70" s="24">
        <v>7</v>
      </c>
      <c r="M70" s="21">
        <v>45874</v>
      </c>
      <c r="N70" s="22" t="s">
        <v>70</v>
      </c>
      <c r="O70" s="22" t="s">
        <v>41</v>
      </c>
      <c r="P70" s="49">
        <v>76.900000000000006</v>
      </c>
      <c r="Q70" s="49">
        <v>75.3</v>
      </c>
      <c r="R70" s="50">
        <f t="shared" si="4"/>
        <v>1.6000000000000085</v>
      </c>
      <c r="T70" s="21">
        <v>45873</v>
      </c>
      <c r="U70" s="22" t="s">
        <v>56</v>
      </c>
      <c r="V70" s="24">
        <v>4</v>
      </c>
      <c r="W70" s="24">
        <v>4</v>
      </c>
      <c r="X70" s="24">
        <v>4</v>
      </c>
      <c r="Y70" s="24">
        <v>5</v>
      </c>
      <c r="Z70" s="20">
        <f t="shared" si="5"/>
        <v>17</v>
      </c>
    </row>
    <row r="71" spans="1:26" x14ac:dyDescent="0.2">
      <c r="A71" s="21">
        <v>45932</v>
      </c>
      <c r="B71" s="51">
        <f t="shared" si="3"/>
        <v>40</v>
      </c>
      <c r="C71" s="22" t="s">
        <v>70</v>
      </c>
      <c r="D71" s="22" t="s">
        <v>3</v>
      </c>
      <c r="E71" s="24">
        <v>95</v>
      </c>
      <c r="F71" s="22" t="s">
        <v>65</v>
      </c>
      <c r="H71" s="21">
        <v>45873</v>
      </c>
      <c r="I71" s="22" t="s">
        <v>71</v>
      </c>
      <c r="J71" s="22" t="s">
        <v>52</v>
      </c>
      <c r="K71" s="24">
        <v>8</v>
      </c>
      <c r="M71" s="21">
        <v>45874</v>
      </c>
      <c r="N71" s="22" t="s">
        <v>70</v>
      </c>
      <c r="O71" s="22" t="s">
        <v>42</v>
      </c>
      <c r="P71" s="49">
        <v>78.900000000000006</v>
      </c>
      <c r="Q71" s="49">
        <v>78</v>
      </c>
      <c r="R71" s="50">
        <f t="shared" si="4"/>
        <v>0.90000000000000568</v>
      </c>
      <c r="T71" s="21">
        <v>45873</v>
      </c>
      <c r="U71" s="22" t="s">
        <v>57</v>
      </c>
      <c r="V71" s="24">
        <v>4</v>
      </c>
      <c r="W71" s="24">
        <v>4</v>
      </c>
      <c r="X71" s="24">
        <v>5</v>
      </c>
      <c r="Y71" s="24">
        <v>5</v>
      </c>
      <c r="Z71" s="20">
        <f t="shared" si="5"/>
        <v>18</v>
      </c>
    </row>
    <row r="72" spans="1:26" x14ac:dyDescent="0.2">
      <c r="A72" s="21">
        <v>45933</v>
      </c>
      <c r="B72" s="51">
        <f t="shared" si="3"/>
        <v>40</v>
      </c>
      <c r="C72" s="22" t="s">
        <v>70</v>
      </c>
      <c r="D72" s="22" t="s">
        <v>3</v>
      </c>
      <c r="E72" s="24">
        <v>75</v>
      </c>
      <c r="F72" s="22" t="s">
        <v>65</v>
      </c>
      <c r="H72" s="21">
        <v>45873</v>
      </c>
      <c r="I72" s="22" t="s">
        <v>71</v>
      </c>
      <c r="J72" s="22" t="s">
        <v>53</v>
      </c>
      <c r="K72" s="24">
        <v>6</v>
      </c>
      <c r="M72" s="21">
        <v>45874</v>
      </c>
      <c r="N72" s="22" t="s">
        <v>70</v>
      </c>
      <c r="O72" s="22" t="s">
        <v>43</v>
      </c>
      <c r="P72" s="49">
        <v>88.9</v>
      </c>
      <c r="Q72" s="49">
        <v>88.5</v>
      </c>
      <c r="R72" s="50">
        <f t="shared" si="4"/>
        <v>0.40000000000000568</v>
      </c>
      <c r="T72" s="21">
        <v>45873</v>
      </c>
      <c r="U72" s="22" t="s">
        <v>58</v>
      </c>
      <c r="V72" s="24">
        <v>4</v>
      </c>
      <c r="W72" s="24">
        <v>4</v>
      </c>
      <c r="X72" s="24">
        <v>5</v>
      </c>
      <c r="Y72" s="24">
        <v>4</v>
      </c>
      <c r="Z72" s="20">
        <f t="shared" si="5"/>
        <v>17</v>
      </c>
    </row>
    <row r="73" spans="1:26" x14ac:dyDescent="0.2">
      <c r="A73" s="21">
        <v>45934</v>
      </c>
      <c r="B73" s="51">
        <f t="shared" si="3"/>
        <v>40</v>
      </c>
      <c r="C73" s="22" t="s">
        <v>70</v>
      </c>
      <c r="D73" s="22" t="s">
        <v>4</v>
      </c>
      <c r="E73" s="24">
        <v>120</v>
      </c>
      <c r="F73" s="22" t="s">
        <v>65</v>
      </c>
      <c r="H73" s="21">
        <v>45873</v>
      </c>
      <c r="I73" s="22" t="s">
        <v>71</v>
      </c>
      <c r="J73" s="22" t="s">
        <v>44</v>
      </c>
      <c r="K73" s="24">
        <v>6</v>
      </c>
      <c r="M73" s="21">
        <v>45874</v>
      </c>
      <c r="N73" s="22" t="s">
        <v>70</v>
      </c>
      <c r="O73" s="22" t="s">
        <v>44</v>
      </c>
      <c r="P73" s="49">
        <v>68.5</v>
      </c>
      <c r="Q73" s="49">
        <v>68.599999999999994</v>
      </c>
      <c r="R73" s="50">
        <f t="shared" si="4"/>
        <v>-9.9999999999994316E-2</v>
      </c>
      <c r="T73" s="21">
        <v>45873</v>
      </c>
      <c r="U73" s="22" t="s">
        <v>33</v>
      </c>
      <c r="V73" s="24">
        <v>4.125</v>
      </c>
      <c r="W73" s="24">
        <v>4.3125</v>
      </c>
      <c r="X73" s="24">
        <v>4.25</v>
      </c>
      <c r="Y73" s="24">
        <v>4.6875</v>
      </c>
      <c r="Z73" s="20">
        <f t="shared" si="5"/>
        <v>17.375</v>
      </c>
    </row>
    <row r="74" spans="1:26" x14ac:dyDescent="0.2">
      <c r="A74" s="21">
        <v>45936</v>
      </c>
      <c r="B74" s="51">
        <f t="shared" si="3"/>
        <v>41</v>
      </c>
      <c r="C74" s="22" t="s">
        <v>70</v>
      </c>
      <c r="D74" s="22" t="s">
        <v>3</v>
      </c>
      <c r="E74" s="24">
        <v>95</v>
      </c>
      <c r="F74" s="22" t="s">
        <v>65</v>
      </c>
      <c r="H74" s="21">
        <v>45873</v>
      </c>
      <c r="I74" s="22" t="s">
        <v>71</v>
      </c>
      <c r="J74" s="22" t="s">
        <v>45</v>
      </c>
      <c r="K74" s="24">
        <v>7</v>
      </c>
      <c r="M74" s="21">
        <v>45874</v>
      </c>
      <c r="N74" s="22" t="s">
        <v>70</v>
      </c>
      <c r="O74" s="22" t="s">
        <v>45</v>
      </c>
      <c r="P74" s="49">
        <v>68.5</v>
      </c>
      <c r="Q74" s="49">
        <v>67.599999999999994</v>
      </c>
      <c r="R74" s="50">
        <f t="shared" si="4"/>
        <v>0.90000000000000568</v>
      </c>
      <c r="T74" s="21">
        <v>45874</v>
      </c>
      <c r="U74" s="22" t="s">
        <v>41</v>
      </c>
      <c r="V74" s="24">
        <v>2</v>
      </c>
      <c r="W74" s="24">
        <v>2</v>
      </c>
      <c r="X74" s="24">
        <v>2</v>
      </c>
      <c r="Y74" s="24">
        <v>2</v>
      </c>
      <c r="Z74" s="20">
        <f t="shared" si="5"/>
        <v>8</v>
      </c>
    </row>
    <row r="75" spans="1:26" x14ac:dyDescent="0.2">
      <c r="A75" s="21">
        <v>45937</v>
      </c>
      <c r="B75" s="51">
        <f t="shared" si="3"/>
        <v>41</v>
      </c>
      <c r="C75" s="22" t="s">
        <v>70</v>
      </c>
      <c r="D75" s="22" t="s">
        <v>3</v>
      </c>
      <c r="E75" s="24">
        <v>75</v>
      </c>
      <c r="F75" s="22" t="s">
        <v>65</v>
      </c>
      <c r="H75" s="21">
        <v>45873</v>
      </c>
      <c r="I75" s="22" t="s">
        <v>71</v>
      </c>
      <c r="J75" s="22" t="s">
        <v>57</v>
      </c>
      <c r="K75" s="24">
        <v>6</v>
      </c>
      <c r="M75" s="21">
        <v>45874</v>
      </c>
      <c r="N75" s="22" t="s">
        <v>70</v>
      </c>
      <c r="O75" s="22" t="s">
        <v>46</v>
      </c>
      <c r="P75" s="49">
        <v>79.2</v>
      </c>
      <c r="Q75" s="49">
        <v>78.8</v>
      </c>
      <c r="R75" s="50">
        <f t="shared" si="4"/>
        <v>0.40000000000000568</v>
      </c>
      <c r="T75" s="21">
        <v>45874</v>
      </c>
      <c r="U75" s="22" t="s">
        <v>42</v>
      </c>
      <c r="V75" s="24">
        <v>3</v>
      </c>
      <c r="W75" s="24">
        <v>4</v>
      </c>
      <c r="X75" s="24">
        <v>4</v>
      </c>
      <c r="Y75" s="24">
        <v>5</v>
      </c>
      <c r="Z75" s="20">
        <f t="shared" si="5"/>
        <v>16</v>
      </c>
    </row>
    <row r="76" spans="1:26" x14ac:dyDescent="0.2">
      <c r="A76" s="21">
        <v>45938</v>
      </c>
      <c r="B76" s="51">
        <f t="shared" si="3"/>
        <v>41</v>
      </c>
      <c r="C76" s="22" t="s">
        <v>70</v>
      </c>
      <c r="D76" s="22" t="s">
        <v>62</v>
      </c>
      <c r="E76" s="24">
        <v>40</v>
      </c>
      <c r="F76" s="22" t="s">
        <v>65</v>
      </c>
      <c r="H76" s="21">
        <v>45873</v>
      </c>
      <c r="I76" s="22" t="s">
        <v>71</v>
      </c>
      <c r="J76" s="22" t="s">
        <v>42</v>
      </c>
      <c r="K76" s="24">
        <v>6</v>
      </c>
      <c r="M76" s="21">
        <v>45874</v>
      </c>
      <c r="N76" s="22" t="s">
        <v>70</v>
      </c>
      <c r="O76" s="22" t="s">
        <v>47</v>
      </c>
      <c r="P76" s="49">
        <v>71.8</v>
      </c>
      <c r="Q76" s="49">
        <v>72.099999999999994</v>
      </c>
      <c r="R76" s="50">
        <f t="shared" si="4"/>
        <v>-0.29999999999999716</v>
      </c>
      <c r="T76" s="21">
        <v>45874</v>
      </c>
      <c r="U76" s="22" t="s">
        <v>43</v>
      </c>
      <c r="V76" s="24">
        <v>3</v>
      </c>
      <c r="W76" s="24">
        <v>5</v>
      </c>
      <c r="X76" s="24">
        <v>5</v>
      </c>
      <c r="Y76" s="24">
        <v>5</v>
      </c>
      <c r="Z76" s="20">
        <f t="shared" si="5"/>
        <v>18</v>
      </c>
    </row>
    <row r="77" spans="1:26" x14ac:dyDescent="0.2">
      <c r="A77" s="21">
        <v>45938</v>
      </c>
      <c r="B77" s="51">
        <f t="shared" si="3"/>
        <v>41</v>
      </c>
      <c r="C77" s="22" t="s">
        <v>71</v>
      </c>
      <c r="D77" s="22" t="s">
        <v>4</v>
      </c>
      <c r="E77" s="24">
        <v>120</v>
      </c>
      <c r="F77" s="22" t="s">
        <v>65</v>
      </c>
      <c r="H77" s="21">
        <v>45873</v>
      </c>
      <c r="I77" s="22" t="s">
        <v>71</v>
      </c>
      <c r="J77" s="22" t="s">
        <v>54</v>
      </c>
      <c r="K77" s="24">
        <v>4</v>
      </c>
      <c r="M77" s="21">
        <v>45874</v>
      </c>
      <c r="N77" s="22" t="s">
        <v>70</v>
      </c>
      <c r="O77" s="22" t="s">
        <v>48</v>
      </c>
      <c r="P77" s="49">
        <v>81.8</v>
      </c>
      <c r="Q77" s="49">
        <v>80</v>
      </c>
      <c r="R77" s="50">
        <f t="shared" si="4"/>
        <v>1.7999999999999972</v>
      </c>
      <c r="T77" s="21">
        <v>45874</v>
      </c>
      <c r="U77" s="22" t="s">
        <v>44</v>
      </c>
      <c r="V77" s="24">
        <v>5</v>
      </c>
      <c r="W77" s="24">
        <v>4</v>
      </c>
      <c r="X77" s="24">
        <v>2</v>
      </c>
      <c r="Y77" s="24">
        <v>5</v>
      </c>
      <c r="Z77" s="20">
        <f t="shared" si="5"/>
        <v>16</v>
      </c>
    </row>
    <row r="78" spans="1:26" x14ac:dyDescent="0.2">
      <c r="A78" s="21">
        <v>45940</v>
      </c>
      <c r="B78" s="51">
        <f t="shared" si="3"/>
        <v>41</v>
      </c>
      <c r="C78" s="22" t="s">
        <v>70</v>
      </c>
      <c r="D78" s="22" t="s">
        <v>3</v>
      </c>
      <c r="E78" s="24">
        <v>90</v>
      </c>
      <c r="F78" s="22" t="s">
        <v>65</v>
      </c>
      <c r="H78" s="21">
        <v>45873</v>
      </c>
      <c r="I78" s="22" t="s">
        <v>71</v>
      </c>
      <c r="J78" s="22" t="s">
        <v>47</v>
      </c>
      <c r="K78" s="24">
        <v>8</v>
      </c>
      <c r="M78" s="21">
        <v>45874</v>
      </c>
      <c r="N78" s="22" t="s">
        <v>70</v>
      </c>
      <c r="O78" s="22" t="s">
        <v>50</v>
      </c>
      <c r="P78" s="49">
        <v>69.7</v>
      </c>
      <c r="Q78" s="49">
        <v>70.7</v>
      </c>
      <c r="R78" s="50">
        <f t="shared" si="4"/>
        <v>-1</v>
      </c>
      <c r="T78" s="21">
        <v>45874</v>
      </c>
      <c r="U78" s="22" t="s">
        <v>45</v>
      </c>
      <c r="V78" s="24">
        <v>4</v>
      </c>
      <c r="W78" s="24">
        <v>3</v>
      </c>
      <c r="X78" s="24">
        <v>4</v>
      </c>
      <c r="Y78" s="24">
        <v>5</v>
      </c>
      <c r="Z78" s="20">
        <f t="shared" si="5"/>
        <v>16</v>
      </c>
    </row>
    <row r="79" spans="1:26" x14ac:dyDescent="0.2">
      <c r="A79" s="21">
        <v>45941</v>
      </c>
      <c r="B79" s="51">
        <f t="shared" si="3"/>
        <v>41</v>
      </c>
      <c r="C79" s="22" t="s">
        <v>70</v>
      </c>
      <c r="D79" s="22" t="s">
        <v>3</v>
      </c>
      <c r="E79" s="24">
        <v>75</v>
      </c>
      <c r="F79" s="22" t="s">
        <v>65</v>
      </c>
      <c r="H79" s="21">
        <v>45873</v>
      </c>
      <c r="I79" s="22" t="s">
        <v>71</v>
      </c>
      <c r="J79" s="22" t="s">
        <v>41</v>
      </c>
      <c r="K79" s="24">
        <v>7</v>
      </c>
      <c r="M79" s="21">
        <v>45874</v>
      </c>
      <c r="N79" s="22" t="s">
        <v>70</v>
      </c>
      <c r="O79" s="22" t="s">
        <v>51</v>
      </c>
      <c r="P79" s="49">
        <v>75.099999999999994</v>
      </c>
      <c r="Q79" s="49">
        <v>74.7</v>
      </c>
      <c r="R79" s="50">
        <f t="shared" si="4"/>
        <v>0.39999999999999147</v>
      </c>
      <c r="T79" s="21">
        <v>45874</v>
      </c>
      <c r="U79" s="22" t="s">
        <v>46</v>
      </c>
      <c r="V79" s="24">
        <v>5</v>
      </c>
      <c r="W79" s="24">
        <v>5</v>
      </c>
      <c r="X79" s="24">
        <v>5</v>
      </c>
      <c r="Y79" s="24">
        <v>5</v>
      </c>
      <c r="Z79" s="20">
        <f t="shared" si="5"/>
        <v>20</v>
      </c>
    </row>
    <row r="80" spans="1:26" x14ac:dyDescent="0.2">
      <c r="A80" s="21">
        <v>45942</v>
      </c>
      <c r="B80" s="51">
        <f t="shared" si="3"/>
        <v>41</v>
      </c>
      <c r="C80" s="22" t="s">
        <v>70</v>
      </c>
      <c r="D80" s="22" t="s">
        <v>4</v>
      </c>
      <c r="E80" s="24">
        <v>120</v>
      </c>
      <c r="F80" s="22" t="s">
        <v>65</v>
      </c>
      <c r="H80" s="21">
        <v>45873</v>
      </c>
      <c r="I80" s="22" t="s">
        <v>71</v>
      </c>
      <c r="J80" s="22" t="s">
        <v>58</v>
      </c>
      <c r="K80" s="24">
        <v>9</v>
      </c>
      <c r="M80" s="21">
        <v>45874</v>
      </c>
      <c r="N80" s="22" t="s">
        <v>70</v>
      </c>
      <c r="O80" s="22" t="s">
        <v>52</v>
      </c>
      <c r="P80" s="49">
        <v>70.599999999999994</v>
      </c>
      <c r="Q80" s="49">
        <v>70.3</v>
      </c>
      <c r="R80" s="50">
        <f t="shared" si="4"/>
        <v>0.29999999999999716</v>
      </c>
      <c r="T80" s="21">
        <v>45874</v>
      </c>
      <c r="U80" s="22" t="s">
        <v>47</v>
      </c>
      <c r="V80" s="24">
        <v>3</v>
      </c>
      <c r="W80" s="24">
        <v>3</v>
      </c>
      <c r="X80" s="24">
        <v>4</v>
      </c>
      <c r="Y80" s="24">
        <v>5</v>
      </c>
      <c r="Z80" s="20">
        <f t="shared" si="5"/>
        <v>15</v>
      </c>
    </row>
    <row r="81" spans="1:26" x14ac:dyDescent="0.2">
      <c r="A81" s="21">
        <v>45944</v>
      </c>
      <c r="B81" s="51">
        <f t="shared" si="3"/>
        <v>42</v>
      </c>
      <c r="C81" s="22" t="s">
        <v>70</v>
      </c>
      <c r="D81" s="22" t="s">
        <v>147</v>
      </c>
      <c r="E81" s="24">
        <v>160</v>
      </c>
      <c r="F81" s="22" t="s">
        <v>65</v>
      </c>
      <c r="H81" s="21">
        <v>45873</v>
      </c>
      <c r="I81" s="22" t="s">
        <v>71</v>
      </c>
      <c r="J81" s="22" t="s">
        <v>49</v>
      </c>
      <c r="K81" s="24" t="s">
        <v>60</v>
      </c>
      <c r="M81" s="21">
        <v>45874</v>
      </c>
      <c r="N81" s="22" t="s">
        <v>70</v>
      </c>
      <c r="O81" s="22" t="s">
        <v>53</v>
      </c>
      <c r="P81" s="49">
        <v>66.599999999999994</v>
      </c>
      <c r="Q81" s="49">
        <v>66.400000000000006</v>
      </c>
      <c r="R81" s="50">
        <f t="shared" si="4"/>
        <v>0.19999999999998863</v>
      </c>
      <c r="T81" s="21">
        <v>45874</v>
      </c>
      <c r="U81" s="22" t="s">
        <v>48</v>
      </c>
      <c r="V81" s="24">
        <v>3</v>
      </c>
      <c r="W81" s="24">
        <v>4</v>
      </c>
      <c r="X81" s="24">
        <v>3</v>
      </c>
      <c r="Y81" s="24">
        <v>5</v>
      </c>
      <c r="Z81" s="20">
        <f t="shared" si="5"/>
        <v>15</v>
      </c>
    </row>
    <row r="82" spans="1:26" ht="17" x14ac:dyDescent="0.2">
      <c r="A82" s="21">
        <v>45945</v>
      </c>
      <c r="B82" s="51">
        <f t="shared" si="3"/>
        <v>42</v>
      </c>
      <c r="C82" s="22" t="s">
        <v>71</v>
      </c>
      <c r="D82" s="23" t="s">
        <v>3</v>
      </c>
      <c r="E82" s="24">
        <v>90</v>
      </c>
      <c r="F82" s="22" t="s">
        <v>65</v>
      </c>
      <c r="H82" s="21">
        <v>45873</v>
      </c>
      <c r="I82" s="22" t="s">
        <v>71</v>
      </c>
      <c r="J82" s="22" t="s">
        <v>43</v>
      </c>
      <c r="K82" s="24">
        <v>7</v>
      </c>
      <c r="M82" s="21">
        <v>45874</v>
      </c>
      <c r="N82" s="22" t="s">
        <v>70</v>
      </c>
      <c r="O82" s="22" t="s">
        <v>54</v>
      </c>
      <c r="P82" s="49">
        <v>85.1</v>
      </c>
      <c r="Q82" s="49">
        <v>84.7</v>
      </c>
      <c r="R82" s="50">
        <f t="shared" si="4"/>
        <v>0.39999999999999147</v>
      </c>
      <c r="T82" s="21">
        <v>45874</v>
      </c>
      <c r="U82" s="22" t="s">
        <v>50</v>
      </c>
      <c r="V82" s="24">
        <v>3</v>
      </c>
      <c r="W82" s="24">
        <v>3</v>
      </c>
      <c r="X82" s="24">
        <v>3</v>
      </c>
      <c r="Y82" s="24">
        <v>5</v>
      </c>
      <c r="Z82" s="20">
        <f t="shared" si="5"/>
        <v>14</v>
      </c>
    </row>
    <row r="83" spans="1:26" x14ac:dyDescent="0.2">
      <c r="A83" s="21">
        <v>45946</v>
      </c>
      <c r="B83" s="51">
        <f t="shared" si="3"/>
        <v>42</v>
      </c>
      <c r="C83" s="22" t="s">
        <v>70</v>
      </c>
      <c r="D83" s="22" t="s">
        <v>3</v>
      </c>
      <c r="E83" s="24">
        <v>90</v>
      </c>
      <c r="F83" s="22" t="s">
        <v>65</v>
      </c>
      <c r="H83" s="21">
        <v>45873</v>
      </c>
      <c r="I83" s="22" t="s">
        <v>71</v>
      </c>
      <c r="J83" s="22" t="s">
        <v>50</v>
      </c>
      <c r="K83" s="24">
        <v>7</v>
      </c>
      <c r="M83" s="21">
        <v>45874</v>
      </c>
      <c r="N83" s="22" t="s">
        <v>70</v>
      </c>
      <c r="O83" s="22" t="s">
        <v>56</v>
      </c>
      <c r="P83" s="49">
        <v>74.400000000000006</v>
      </c>
      <c r="Q83" s="49">
        <v>74.2</v>
      </c>
      <c r="R83" s="50">
        <f t="shared" si="4"/>
        <v>0.20000000000000284</v>
      </c>
      <c r="T83" s="21">
        <v>45874</v>
      </c>
      <c r="U83" s="22" t="s">
        <v>51</v>
      </c>
      <c r="V83" s="24">
        <v>3</v>
      </c>
      <c r="W83" s="24">
        <v>3</v>
      </c>
      <c r="X83" s="24">
        <v>3</v>
      </c>
      <c r="Y83" s="24">
        <v>5</v>
      </c>
      <c r="Z83" s="20">
        <f t="shared" si="5"/>
        <v>14</v>
      </c>
    </row>
    <row r="84" spans="1:26" x14ac:dyDescent="0.2">
      <c r="A84" s="21">
        <v>45947</v>
      </c>
      <c r="B84" s="51">
        <f t="shared" si="3"/>
        <v>42</v>
      </c>
      <c r="C84" s="22" t="s">
        <v>70</v>
      </c>
      <c r="D84" s="22" t="s">
        <v>147</v>
      </c>
      <c r="E84" s="24">
        <v>150</v>
      </c>
      <c r="F84" s="22" t="s">
        <v>65</v>
      </c>
      <c r="H84" s="21">
        <v>45873</v>
      </c>
      <c r="I84" s="22" t="s">
        <v>71</v>
      </c>
      <c r="J84" s="22" t="s">
        <v>51</v>
      </c>
      <c r="K84" s="24">
        <v>8</v>
      </c>
      <c r="M84" s="21">
        <v>45874</v>
      </c>
      <c r="N84" s="22" t="s">
        <v>70</v>
      </c>
      <c r="O84" s="22" t="s">
        <v>57</v>
      </c>
      <c r="P84" s="49">
        <v>93.5</v>
      </c>
      <c r="Q84" s="49">
        <v>92.6</v>
      </c>
      <c r="R84" s="50">
        <f t="shared" si="4"/>
        <v>0.90000000000000568</v>
      </c>
      <c r="T84" s="21">
        <v>45874</v>
      </c>
      <c r="U84" s="22" t="s">
        <v>52</v>
      </c>
      <c r="V84" s="24">
        <v>4</v>
      </c>
      <c r="W84" s="24">
        <v>3</v>
      </c>
      <c r="X84" s="24">
        <v>2</v>
      </c>
      <c r="Y84" s="24">
        <v>5</v>
      </c>
      <c r="Z84" s="20">
        <f t="shared" si="5"/>
        <v>14</v>
      </c>
    </row>
    <row r="85" spans="1:26" ht="17" x14ac:dyDescent="0.2">
      <c r="A85" s="21">
        <v>45950</v>
      </c>
      <c r="B85" s="51">
        <f t="shared" si="3"/>
        <v>43</v>
      </c>
      <c r="C85" s="22" t="s">
        <v>70</v>
      </c>
      <c r="D85" s="23" t="s">
        <v>147</v>
      </c>
      <c r="E85" s="24">
        <v>90</v>
      </c>
      <c r="F85" s="22" t="s">
        <v>65</v>
      </c>
      <c r="H85" s="21">
        <v>45873</v>
      </c>
      <c r="I85" s="22" t="s">
        <v>71</v>
      </c>
      <c r="J85" s="22" t="s">
        <v>46</v>
      </c>
      <c r="K85" s="24">
        <v>5</v>
      </c>
      <c r="M85" s="21">
        <v>45874</v>
      </c>
      <c r="N85" s="22" t="s">
        <v>70</v>
      </c>
      <c r="O85" s="22" t="s">
        <v>58</v>
      </c>
      <c r="P85" s="49">
        <v>75.7</v>
      </c>
      <c r="Q85" s="49">
        <v>74.599999999999994</v>
      </c>
      <c r="R85" s="50">
        <f t="shared" si="4"/>
        <v>1.1000000000000085</v>
      </c>
      <c r="T85" s="21">
        <v>45874</v>
      </c>
      <c r="U85" s="22" t="s">
        <v>53</v>
      </c>
      <c r="V85" s="24">
        <v>3</v>
      </c>
      <c r="W85" s="24">
        <v>3</v>
      </c>
      <c r="X85" s="24">
        <v>5</v>
      </c>
      <c r="Y85" s="24">
        <v>5</v>
      </c>
      <c r="Z85" s="20">
        <f t="shared" si="5"/>
        <v>16</v>
      </c>
    </row>
    <row r="86" spans="1:26" ht="17" x14ac:dyDescent="0.2">
      <c r="A86" s="21">
        <v>45950</v>
      </c>
      <c r="B86" s="51">
        <f t="shared" si="3"/>
        <v>43</v>
      </c>
      <c r="C86" s="22" t="s">
        <v>71</v>
      </c>
      <c r="D86" s="23" t="s">
        <v>3</v>
      </c>
      <c r="E86" s="24">
        <v>90</v>
      </c>
      <c r="F86" s="22" t="s">
        <v>65</v>
      </c>
      <c r="H86" s="21">
        <v>45873</v>
      </c>
      <c r="I86" s="22" t="s">
        <v>71</v>
      </c>
      <c r="J86" s="22" t="s">
        <v>48</v>
      </c>
      <c r="K86" s="24">
        <v>8</v>
      </c>
      <c r="M86" s="21">
        <v>45875</v>
      </c>
      <c r="N86" s="22" t="s">
        <v>70</v>
      </c>
      <c r="O86" s="22" t="s">
        <v>41</v>
      </c>
      <c r="P86" s="49">
        <v>77.3</v>
      </c>
      <c r="Q86" s="49">
        <v>76.5</v>
      </c>
      <c r="R86" s="50">
        <f t="shared" si="4"/>
        <v>0.79999999999999716</v>
      </c>
      <c r="T86" s="21">
        <v>45874</v>
      </c>
      <c r="U86" s="22" t="s">
        <v>54</v>
      </c>
      <c r="V86" s="24">
        <v>3</v>
      </c>
      <c r="W86" s="24">
        <v>3</v>
      </c>
      <c r="X86" s="24">
        <v>4</v>
      </c>
      <c r="Y86" s="24">
        <v>4</v>
      </c>
      <c r="Z86" s="20">
        <f t="shared" si="5"/>
        <v>14</v>
      </c>
    </row>
    <row r="87" spans="1:26" x14ac:dyDescent="0.2">
      <c r="A87" s="21">
        <v>45951</v>
      </c>
      <c r="B87" s="51">
        <f t="shared" si="3"/>
        <v>43</v>
      </c>
      <c r="C87" s="22" t="s">
        <v>70</v>
      </c>
      <c r="D87" s="22" t="s">
        <v>3</v>
      </c>
      <c r="E87" s="24">
        <v>135</v>
      </c>
      <c r="F87" s="22" t="s">
        <v>65</v>
      </c>
      <c r="H87" s="21">
        <v>45873</v>
      </c>
      <c r="I87" s="22" t="s">
        <v>71</v>
      </c>
      <c r="J87" s="22" t="s">
        <v>56</v>
      </c>
      <c r="K87" s="24">
        <v>9</v>
      </c>
      <c r="M87" s="21">
        <v>45875</v>
      </c>
      <c r="N87" s="22" t="s">
        <v>71</v>
      </c>
      <c r="O87" s="22" t="s">
        <v>41</v>
      </c>
      <c r="P87" s="49">
        <v>77</v>
      </c>
      <c r="Q87" s="49">
        <v>76.599999999999994</v>
      </c>
      <c r="R87" s="50">
        <f t="shared" si="4"/>
        <v>0.40000000000000568</v>
      </c>
      <c r="T87" s="21">
        <v>45874</v>
      </c>
      <c r="U87" s="22" t="s">
        <v>56</v>
      </c>
      <c r="V87" s="24">
        <v>3</v>
      </c>
      <c r="W87" s="24">
        <v>4</v>
      </c>
      <c r="X87" s="24">
        <v>4</v>
      </c>
      <c r="Y87" s="24">
        <v>5</v>
      </c>
      <c r="Z87" s="20">
        <f t="shared" si="5"/>
        <v>16</v>
      </c>
    </row>
    <row r="88" spans="1:26" x14ac:dyDescent="0.2">
      <c r="A88" s="21">
        <v>45952</v>
      </c>
      <c r="B88" s="51">
        <f t="shared" si="3"/>
        <v>43</v>
      </c>
      <c r="C88" s="22" t="s">
        <v>70</v>
      </c>
      <c r="D88" s="22" t="s">
        <v>147</v>
      </c>
      <c r="E88" s="24">
        <v>160</v>
      </c>
      <c r="F88" s="22" t="s">
        <v>65</v>
      </c>
      <c r="H88" s="21">
        <v>45874</v>
      </c>
      <c r="I88" s="22" t="s">
        <v>70</v>
      </c>
      <c r="J88" s="22" t="s">
        <v>52</v>
      </c>
      <c r="K88" s="24">
        <v>8</v>
      </c>
      <c r="M88" s="21">
        <v>45875</v>
      </c>
      <c r="N88" s="22" t="s">
        <v>70</v>
      </c>
      <c r="O88" s="22" t="s">
        <v>42</v>
      </c>
      <c r="P88" s="49">
        <v>78.900000000000006</v>
      </c>
      <c r="Q88" s="49">
        <v>78.7</v>
      </c>
      <c r="R88" s="50">
        <f t="shared" si="4"/>
        <v>0.20000000000000284</v>
      </c>
      <c r="T88" s="21">
        <v>45874</v>
      </c>
      <c r="U88" s="22" t="s">
        <v>57</v>
      </c>
      <c r="V88" s="24">
        <v>3</v>
      </c>
      <c r="W88" s="24">
        <v>4</v>
      </c>
      <c r="X88" s="24">
        <v>5</v>
      </c>
      <c r="Y88" s="24">
        <v>4</v>
      </c>
      <c r="Z88" s="20">
        <f t="shared" si="5"/>
        <v>16</v>
      </c>
    </row>
    <row r="89" spans="1:26" ht="17" x14ac:dyDescent="0.2">
      <c r="A89" s="21">
        <v>45953</v>
      </c>
      <c r="B89" s="51">
        <f t="shared" si="3"/>
        <v>43</v>
      </c>
      <c r="C89" s="22" t="s">
        <v>70</v>
      </c>
      <c r="D89" s="23" t="s">
        <v>3</v>
      </c>
      <c r="E89" s="24">
        <v>110</v>
      </c>
      <c r="F89" s="22" t="s">
        <v>65</v>
      </c>
      <c r="H89" s="21">
        <v>45874</v>
      </c>
      <c r="I89" s="22" t="s">
        <v>70</v>
      </c>
      <c r="J89" s="22" t="s">
        <v>53</v>
      </c>
      <c r="K89" s="24">
        <v>9</v>
      </c>
      <c r="M89" s="21">
        <v>45875</v>
      </c>
      <c r="N89" s="22" t="s">
        <v>71</v>
      </c>
      <c r="O89" s="22" t="s">
        <v>42</v>
      </c>
      <c r="P89" s="49">
        <v>78.900000000000006</v>
      </c>
      <c r="Q89" s="49">
        <v>78.7</v>
      </c>
      <c r="R89" s="50">
        <f t="shared" si="4"/>
        <v>0.20000000000000284</v>
      </c>
      <c r="T89" s="21">
        <v>45874</v>
      </c>
      <c r="U89" s="22" t="s">
        <v>58</v>
      </c>
      <c r="V89" s="24">
        <v>3</v>
      </c>
      <c r="W89" s="24">
        <v>4</v>
      </c>
      <c r="X89" s="24">
        <v>4</v>
      </c>
      <c r="Y89" s="24">
        <v>5</v>
      </c>
      <c r="Z89" s="20">
        <f t="shared" si="5"/>
        <v>16</v>
      </c>
    </row>
    <row r="90" spans="1:26" x14ac:dyDescent="0.2">
      <c r="A90" s="21">
        <v>45954</v>
      </c>
      <c r="B90" s="51">
        <f t="shared" si="3"/>
        <v>43</v>
      </c>
      <c r="C90" s="22" t="s">
        <v>71</v>
      </c>
      <c r="D90" s="22" t="s">
        <v>3</v>
      </c>
      <c r="E90" s="24">
        <v>75</v>
      </c>
      <c r="F90" s="22" t="s">
        <v>65</v>
      </c>
      <c r="H90" s="21">
        <v>45874</v>
      </c>
      <c r="I90" s="22" t="s">
        <v>70</v>
      </c>
      <c r="J90" s="22" t="s">
        <v>44</v>
      </c>
      <c r="K90" s="24">
        <v>9</v>
      </c>
      <c r="M90" s="21">
        <v>45875</v>
      </c>
      <c r="N90" s="22" t="s">
        <v>70</v>
      </c>
      <c r="O90" s="22" t="s">
        <v>43</v>
      </c>
      <c r="P90" s="49">
        <v>91</v>
      </c>
      <c r="Q90" s="49">
        <v>89.7</v>
      </c>
      <c r="R90" s="50">
        <f t="shared" si="4"/>
        <v>1.2999999999999972</v>
      </c>
      <c r="T90" s="21">
        <v>45874</v>
      </c>
      <c r="U90" s="22" t="s">
        <v>33</v>
      </c>
      <c r="V90" s="24">
        <v>3.3125</v>
      </c>
      <c r="W90" s="24">
        <v>3.5625</v>
      </c>
      <c r="X90" s="24">
        <v>3.6875</v>
      </c>
      <c r="Y90" s="24">
        <v>4.6875</v>
      </c>
      <c r="Z90" s="20">
        <f t="shared" si="5"/>
        <v>15.25</v>
      </c>
    </row>
    <row r="91" spans="1:26" x14ac:dyDescent="0.2">
      <c r="A91" s="21">
        <v>45955</v>
      </c>
      <c r="B91" s="51">
        <f t="shared" si="3"/>
        <v>43</v>
      </c>
      <c r="C91" s="22" t="s">
        <v>71</v>
      </c>
      <c r="D91" s="22" t="s">
        <v>4</v>
      </c>
      <c r="E91" s="24">
        <v>120</v>
      </c>
      <c r="F91" s="22" t="s">
        <v>65</v>
      </c>
      <c r="H91" s="21">
        <v>45874</v>
      </c>
      <c r="I91" s="22" t="s">
        <v>70</v>
      </c>
      <c r="J91" s="22" t="s">
        <v>45</v>
      </c>
      <c r="K91" s="24">
        <v>10</v>
      </c>
      <c r="M91" s="21">
        <v>45875</v>
      </c>
      <c r="N91" s="22" t="s">
        <v>71</v>
      </c>
      <c r="O91" s="22" t="s">
        <v>43</v>
      </c>
      <c r="P91" s="49">
        <v>89.9</v>
      </c>
      <c r="Q91" s="49">
        <v>89.9</v>
      </c>
      <c r="R91" s="50">
        <f t="shared" si="4"/>
        <v>0</v>
      </c>
      <c r="T91" s="21">
        <v>45875</v>
      </c>
      <c r="U91" s="22" t="s">
        <v>41</v>
      </c>
      <c r="V91" s="24">
        <v>1</v>
      </c>
      <c r="W91" s="24">
        <v>2</v>
      </c>
      <c r="X91" s="24">
        <v>2</v>
      </c>
      <c r="Y91" s="24">
        <v>2</v>
      </c>
      <c r="Z91" s="20">
        <f t="shared" si="5"/>
        <v>7</v>
      </c>
    </row>
    <row r="92" spans="1:26" x14ac:dyDescent="0.2">
      <c r="A92" s="21">
        <v>45958</v>
      </c>
      <c r="B92" s="51">
        <f t="shared" si="3"/>
        <v>44</v>
      </c>
      <c r="C92" s="22" t="s">
        <v>70</v>
      </c>
      <c r="D92" s="22" t="s">
        <v>147</v>
      </c>
      <c r="E92" s="24">
        <v>150</v>
      </c>
      <c r="F92" s="22" t="s">
        <v>65</v>
      </c>
      <c r="H92" s="21">
        <v>45874</v>
      </c>
      <c r="I92" s="22" t="s">
        <v>70</v>
      </c>
      <c r="J92" s="22" t="s">
        <v>57</v>
      </c>
      <c r="K92" s="24">
        <v>10</v>
      </c>
      <c r="M92" s="21">
        <v>45875</v>
      </c>
      <c r="N92" s="22" t="s">
        <v>70</v>
      </c>
      <c r="O92" s="22" t="s">
        <v>44</v>
      </c>
      <c r="P92" s="49">
        <v>69</v>
      </c>
      <c r="Q92" s="49">
        <v>68.7</v>
      </c>
      <c r="R92" s="50">
        <f t="shared" si="4"/>
        <v>0.29999999999999716</v>
      </c>
      <c r="T92" s="21">
        <v>45875</v>
      </c>
      <c r="U92" s="22" t="s">
        <v>42</v>
      </c>
      <c r="V92" s="24">
        <v>4</v>
      </c>
      <c r="W92" s="24">
        <v>4</v>
      </c>
      <c r="X92" s="24">
        <v>4</v>
      </c>
      <c r="Y92" s="24">
        <v>5</v>
      </c>
      <c r="Z92" s="20">
        <f t="shared" si="5"/>
        <v>17</v>
      </c>
    </row>
    <row r="93" spans="1:26" ht="17" x14ac:dyDescent="0.2">
      <c r="A93" s="21">
        <v>45959</v>
      </c>
      <c r="B93" s="51">
        <f t="shared" si="3"/>
        <v>44</v>
      </c>
      <c r="C93" s="22" t="s">
        <v>70</v>
      </c>
      <c r="D93" s="23" t="s">
        <v>3</v>
      </c>
      <c r="E93" s="24">
        <v>90</v>
      </c>
      <c r="F93" s="22" t="s">
        <v>65</v>
      </c>
      <c r="H93" s="21">
        <v>45874</v>
      </c>
      <c r="I93" s="22" t="s">
        <v>70</v>
      </c>
      <c r="J93" s="22" t="s">
        <v>42</v>
      </c>
      <c r="K93" s="24">
        <v>7</v>
      </c>
      <c r="M93" s="21">
        <v>45875</v>
      </c>
      <c r="N93" s="22" t="s">
        <v>71</v>
      </c>
      <c r="O93" s="22" t="s">
        <v>44</v>
      </c>
      <c r="P93" s="49">
        <v>69</v>
      </c>
      <c r="Q93" s="49">
        <v>68.900000000000006</v>
      </c>
      <c r="R93" s="50">
        <f t="shared" si="4"/>
        <v>9.9999999999994316E-2</v>
      </c>
      <c r="T93" s="21">
        <v>45875</v>
      </c>
      <c r="U93" s="22" t="s">
        <v>43</v>
      </c>
      <c r="V93" s="24">
        <v>4</v>
      </c>
      <c r="W93" s="24">
        <v>4</v>
      </c>
      <c r="X93" s="24">
        <v>5</v>
      </c>
      <c r="Y93" s="24">
        <v>5</v>
      </c>
      <c r="Z93" s="20">
        <f t="shared" si="5"/>
        <v>18</v>
      </c>
    </row>
    <row r="94" spans="1:26" x14ac:dyDescent="0.2">
      <c r="A94" s="21">
        <v>45960</v>
      </c>
      <c r="B94" s="51">
        <f t="shared" si="3"/>
        <v>44</v>
      </c>
      <c r="C94" s="22" t="s">
        <v>70</v>
      </c>
      <c r="D94" s="22" t="s">
        <v>3</v>
      </c>
      <c r="E94" s="24">
        <v>95</v>
      </c>
      <c r="F94" s="22" t="s">
        <v>65</v>
      </c>
      <c r="H94" s="21">
        <v>45874</v>
      </c>
      <c r="I94" s="22" t="s">
        <v>70</v>
      </c>
      <c r="J94" s="22" t="s">
        <v>54</v>
      </c>
      <c r="K94" s="24">
        <v>9</v>
      </c>
      <c r="M94" s="21">
        <v>45875</v>
      </c>
      <c r="N94" s="22" t="s">
        <v>70</v>
      </c>
      <c r="O94" s="22" t="s">
        <v>45</v>
      </c>
      <c r="P94" s="49">
        <v>68.099999999999994</v>
      </c>
      <c r="Q94" s="49">
        <v>67.5</v>
      </c>
      <c r="R94" s="50">
        <f t="shared" si="4"/>
        <v>0.59999999999999432</v>
      </c>
      <c r="T94" s="21">
        <v>45875</v>
      </c>
      <c r="U94" s="22" t="s">
        <v>44</v>
      </c>
      <c r="V94" s="24">
        <v>5</v>
      </c>
      <c r="W94" s="24">
        <v>3</v>
      </c>
      <c r="X94" s="24">
        <v>3</v>
      </c>
      <c r="Y94" s="24">
        <v>5</v>
      </c>
      <c r="Z94" s="20">
        <f t="shared" si="5"/>
        <v>16</v>
      </c>
    </row>
    <row r="95" spans="1:26" x14ac:dyDescent="0.2">
      <c r="A95" s="21">
        <v>45961</v>
      </c>
      <c r="B95" s="51">
        <f t="shared" si="3"/>
        <v>44</v>
      </c>
      <c r="C95" s="22" t="s">
        <v>70</v>
      </c>
      <c r="D95" s="22" t="s">
        <v>147</v>
      </c>
      <c r="E95" s="24">
        <v>160</v>
      </c>
      <c r="F95" s="22" t="s">
        <v>65</v>
      </c>
      <c r="H95" s="21">
        <v>45874</v>
      </c>
      <c r="I95" s="22" t="s">
        <v>70</v>
      </c>
      <c r="J95" s="22" t="s">
        <v>47</v>
      </c>
      <c r="K95" s="24">
        <v>9</v>
      </c>
      <c r="M95" s="21">
        <v>45875</v>
      </c>
      <c r="N95" s="22" t="s">
        <v>71</v>
      </c>
      <c r="O95" s="22" t="s">
        <v>45</v>
      </c>
      <c r="P95" s="49">
        <v>68</v>
      </c>
      <c r="Q95" s="49">
        <v>67.5</v>
      </c>
      <c r="R95" s="50">
        <f t="shared" si="4"/>
        <v>0.5</v>
      </c>
      <c r="T95" s="21">
        <v>45875</v>
      </c>
      <c r="U95" s="22" t="s">
        <v>45</v>
      </c>
      <c r="V95" s="24">
        <v>3</v>
      </c>
      <c r="W95" s="24">
        <v>3</v>
      </c>
      <c r="X95" s="24">
        <v>4</v>
      </c>
      <c r="Y95" s="24">
        <v>5</v>
      </c>
      <c r="Z95" s="20">
        <f t="shared" si="5"/>
        <v>15</v>
      </c>
    </row>
    <row r="96" spans="1:26" ht="17" x14ac:dyDescent="0.2">
      <c r="A96" s="21">
        <v>45964</v>
      </c>
      <c r="B96" s="51">
        <f t="shared" si="3"/>
        <v>45</v>
      </c>
      <c r="C96" s="22" t="s">
        <v>70</v>
      </c>
      <c r="D96" s="23" t="s">
        <v>3</v>
      </c>
      <c r="E96" s="24">
        <v>90</v>
      </c>
      <c r="F96" s="22" t="s">
        <v>65</v>
      </c>
      <c r="H96" s="21">
        <v>45874</v>
      </c>
      <c r="I96" s="22" t="s">
        <v>70</v>
      </c>
      <c r="J96" s="22" t="s">
        <v>41</v>
      </c>
      <c r="K96" s="24">
        <v>8</v>
      </c>
      <c r="M96" s="21">
        <v>45875</v>
      </c>
      <c r="N96" s="22" t="s">
        <v>70</v>
      </c>
      <c r="O96" s="22" t="s">
        <v>46</v>
      </c>
      <c r="P96" s="49">
        <v>79.3</v>
      </c>
      <c r="Q96" s="49">
        <v>79.400000000000006</v>
      </c>
      <c r="R96" s="50">
        <f t="shared" si="4"/>
        <v>-0.10000000000000853</v>
      </c>
      <c r="T96" s="21">
        <v>45875</v>
      </c>
      <c r="U96" s="22" t="s">
        <v>46</v>
      </c>
      <c r="V96" s="24">
        <v>5</v>
      </c>
      <c r="W96" s="24">
        <v>4</v>
      </c>
      <c r="X96" s="24">
        <v>4</v>
      </c>
      <c r="Y96" s="24">
        <v>5</v>
      </c>
      <c r="Z96" s="20">
        <f t="shared" si="5"/>
        <v>18</v>
      </c>
    </row>
    <row r="97" spans="1:26" x14ac:dyDescent="0.2">
      <c r="A97" s="21">
        <v>45965</v>
      </c>
      <c r="B97" s="51">
        <f t="shared" si="3"/>
        <v>45</v>
      </c>
      <c r="C97" s="22" t="s">
        <v>70</v>
      </c>
      <c r="D97" s="22" t="s">
        <v>62</v>
      </c>
      <c r="E97" s="24">
        <v>35</v>
      </c>
      <c r="F97" s="22" t="s">
        <v>65</v>
      </c>
      <c r="H97" s="21">
        <v>45874</v>
      </c>
      <c r="I97" s="22" t="s">
        <v>70</v>
      </c>
      <c r="J97" s="22" t="s">
        <v>58</v>
      </c>
      <c r="K97" s="24">
        <v>9</v>
      </c>
      <c r="M97" s="21">
        <v>45875</v>
      </c>
      <c r="N97" s="22" t="s">
        <v>71</v>
      </c>
      <c r="O97" s="22" t="s">
        <v>46</v>
      </c>
      <c r="P97" s="49">
        <v>79.2</v>
      </c>
      <c r="Q97" s="49">
        <v>79.3</v>
      </c>
      <c r="R97" s="50">
        <f t="shared" si="4"/>
        <v>-9.9999999999994316E-2</v>
      </c>
      <c r="T97" s="21">
        <v>45875</v>
      </c>
      <c r="U97" s="22" t="s">
        <v>47</v>
      </c>
      <c r="V97" s="24">
        <v>2</v>
      </c>
      <c r="W97" s="24">
        <v>3</v>
      </c>
      <c r="X97" s="24">
        <v>3</v>
      </c>
      <c r="Y97" s="24">
        <v>5</v>
      </c>
      <c r="Z97" s="20">
        <f t="shared" si="5"/>
        <v>13</v>
      </c>
    </row>
    <row r="98" spans="1:26" x14ac:dyDescent="0.2">
      <c r="A98" s="21">
        <v>45965</v>
      </c>
      <c r="B98" s="51">
        <f t="shared" si="3"/>
        <v>45</v>
      </c>
      <c r="C98" s="22" t="s">
        <v>71</v>
      </c>
      <c r="D98" s="22" t="s">
        <v>4</v>
      </c>
      <c r="E98" s="24">
        <v>120</v>
      </c>
      <c r="F98" s="22" t="s">
        <v>65</v>
      </c>
      <c r="H98" s="21">
        <v>45874</v>
      </c>
      <c r="I98" s="22" t="s">
        <v>70</v>
      </c>
      <c r="J98" s="22" t="s">
        <v>49</v>
      </c>
      <c r="K98" s="24" t="s">
        <v>60</v>
      </c>
      <c r="M98" s="21">
        <v>45875</v>
      </c>
      <c r="N98" s="22" t="s">
        <v>70</v>
      </c>
      <c r="O98" s="22" t="s">
        <v>47</v>
      </c>
      <c r="P98" s="49">
        <v>71.599999999999994</v>
      </c>
      <c r="Q98" s="49">
        <v>71.900000000000006</v>
      </c>
      <c r="R98" s="50">
        <f t="shared" si="4"/>
        <v>-0.30000000000001137</v>
      </c>
      <c r="T98" s="21">
        <v>45875</v>
      </c>
      <c r="U98" s="22" t="s">
        <v>48</v>
      </c>
      <c r="V98" s="24">
        <v>4</v>
      </c>
      <c r="W98" s="24">
        <v>4</v>
      </c>
      <c r="X98" s="24">
        <v>3</v>
      </c>
      <c r="Y98" s="24">
        <v>5</v>
      </c>
      <c r="Z98" s="20">
        <f t="shared" si="5"/>
        <v>16</v>
      </c>
    </row>
    <row r="99" spans="1:26" x14ac:dyDescent="0.2">
      <c r="A99" s="21">
        <v>45966</v>
      </c>
      <c r="B99" s="51">
        <f t="shared" si="3"/>
        <v>45</v>
      </c>
      <c r="C99" s="22" t="s">
        <v>70</v>
      </c>
      <c r="D99" s="22" t="s">
        <v>149</v>
      </c>
      <c r="E99" s="24">
        <v>30</v>
      </c>
      <c r="F99" s="22" t="s">
        <v>65</v>
      </c>
      <c r="H99" s="21">
        <v>45874</v>
      </c>
      <c r="I99" s="22" t="s">
        <v>70</v>
      </c>
      <c r="J99" s="22" t="s">
        <v>43</v>
      </c>
      <c r="K99" s="24">
        <v>7</v>
      </c>
      <c r="M99" s="21">
        <v>45875</v>
      </c>
      <c r="N99" s="22" t="s">
        <v>71</v>
      </c>
      <c r="O99" s="22" t="s">
        <v>47</v>
      </c>
      <c r="P99" s="49">
        <v>72</v>
      </c>
      <c r="Q99" s="49">
        <v>71.8</v>
      </c>
      <c r="R99" s="50">
        <f t="shared" si="4"/>
        <v>0.20000000000000284</v>
      </c>
      <c r="T99" s="21">
        <v>45875</v>
      </c>
      <c r="U99" s="22" t="s">
        <v>50</v>
      </c>
      <c r="V99" s="24">
        <v>4</v>
      </c>
      <c r="W99" s="24">
        <v>2</v>
      </c>
      <c r="X99" s="24">
        <v>2</v>
      </c>
      <c r="Y99" s="24">
        <v>5</v>
      </c>
      <c r="Z99" s="20">
        <f t="shared" si="5"/>
        <v>13</v>
      </c>
    </row>
    <row r="100" spans="1:26" x14ac:dyDescent="0.2">
      <c r="A100" s="21">
        <v>45967</v>
      </c>
      <c r="B100" s="51">
        <f t="shared" si="3"/>
        <v>45</v>
      </c>
      <c r="C100" s="22" t="s">
        <v>70</v>
      </c>
      <c r="D100" s="22" t="s">
        <v>3</v>
      </c>
      <c r="E100" s="24">
        <v>90</v>
      </c>
      <c r="F100" s="22" t="s">
        <v>65</v>
      </c>
      <c r="H100" s="21">
        <v>45874</v>
      </c>
      <c r="I100" s="22" t="s">
        <v>70</v>
      </c>
      <c r="J100" s="22" t="s">
        <v>50</v>
      </c>
      <c r="K100" s="24">
        <v>9</v>
      </c>
      <c r="M100" s="21">
        <v>45875</v>
      </c>
      <c r="N100" s="22" t="s">
        <v>70</v>
      </c>
      <c r="O100" s="22" t="s">
        <v>48</v>
      </c>
      <c r="P100" s="49">
        <v>82.4</v>
      </c>
      <c r="Q100" s="49">
        <v>80.8</v>
      </c>
      <c r="R100" s="50">
        <f t="shared" si="4"/>
        <v>1.6000000000000085</v>
      </c>
      <c r="T100" s="21">
        <v>45875</v>
      </c>
      <c r="U100" s="22" t="s">
        <v>51</v>
      </c>
      <c r="V100" s="24">
        <v>4</v>
      </c>
      <c r="W100" s="24">
        <v>4</v>
      </c>
      <c r="X100" s="24">
        <v>3</v>
      </c>
      <c r="Y100" s="24">
        <v>5</v>
      </c>
      <c r="Z100" s="20">
        <f t="shared" si="5"/>
        <v>16</v>
      </c>
    </row>
    <row r="101" spans="1:26" x14ac:dyDescent="0.2">
      <c r="A101" s="21">
        <v>45968</v>
      </c>
      <c r="B101" s="51">
        <f t="shared" si="3"/>
        <v>45</v>
      </c>
      <c r="C101" s="22" t="s">
        <v>70</v>
      </c>
      <c r="D101" s="22" t="s">
        <v>62</v>
      </c>
      <c r="E101" s="24">
        <v>35</v>
      </c>
      <c r="F101" s="22" t="s">
        <v>65</v>
      </c>
      <c r="H101" s="21">
        <v>45874</v>
      </c>
      <c r="I101" s="22" t="s">
        <v>70</v>
      </c>
      <c r="J101" s="22" t="s">
        <v>51</v>
      </c>
      <c r="K101" s="24">
        <v>9</v>
      </c>
      <c r="M101" s="21">
        <v>45875</v>
      </c>
      <c r="N101" s="22" t="s">
        <v>71</v>
      </c>
      <c r="O101" s="22" t="s">
        <v>48</v>
      </c>
      <c r="P101" s="49">
        <v>80.8</v>
      </c>
      <c r="Q101" s="49">
        <v>81.3</v>
      </c>
      <c r="R101" s="50">
        <f t="shared" si="4"/>
        <v>-0.5</v>
      </c>
      <c r="T101" s="21">
        <v>45875</v>
      </c>
      <c r="U101" s="22" t="s">
        <v>52</v>
      </c>
      <c r="V101" s="24">
        <v>3</v>
      </c>
      <c r="W101" s="24">
        <v>4</v>
      </c>
      <c r="X101" s="24">
        <v>2</v>
      </c>
      <c r="Y101" s="24">
        <v>5</v>
      </c>
      <c r="Z101" s="20">
        <f t="shared" si="5"/>
        <v>14</v>
      </c>
    </row>
    <row r="102" spans="1:26" x14ac:dyDescent="0.2">
      <c r="A102" s="21">
        <v>45968</v>
      </c>
      <c r="B102" s="51">
        <f t="shared" si="3"/>
        <v>45</v>
      </c>
      <c r="C102" s="22" t="s">
        <v>71</v>
      </c>
      <c r="D102" s="22" t="s">
        <v>4</v>
      </c>
      <c r="E102" s="24">
        <v>120</v>
      </c>
      <c r="F102" s="22" t="s">
        <v>65</v>
      </c>
      <c r="H102" s="21">
        <v>45874</v>
      </c>
      <c r="I102" s="22" t="s">
        <v>70</v>
      </c>
      <c r="J102" s="22" t="s">
        <v>46</v>
      </c>
      <c r="K102" s="24">
        <v>9</v>
      </c>
      <c r="M102" s="21">
        <v>45875</v>
      </c>
      <c r="N102" s="22" t="s">
        <v>70</v>
      </c>
      <c r="O102" s="22" t="s">
        <v>50</v>
      </c>
      <c r="P102" s="49">
        <v>70.599999999999994</v>
      </c>
      <c r="Q102" s="49">
        <v>70.099999999999994</v>
      </c>
      <c r="R102" s="50">
        <f t="shared" si="4"/>
        <v>0.5</v>
      </c>
      <c r="T102" s="21">
        <v>45875</v>
      </c>
      <c r="U102" s="22" t="s">
        <v>53</v>
      </c>
      <c r="V102" s="24">
        <v>3</v>
      </c>
      <c r="W102" s="24">
        <v>3</v>
      </c>
      <c r="X102" s="24">
        <v>4</v>
      </c>
      <c r="Y102" s="24">
        <v>5</v>
      </c>
      <c r="Z102" s="20">
        <f t="shared" si="5"/>
        <v>15</v>
      </c>
    </row>
    <row r="103" spans="1:26" x14ac:dyDescent="0.2">
      <c r="A103" s="21">
        <v>45971</v>
      </c>
      <c r="B103" s="51">
        <f t="shared" si="3"/>
        <v>46</v>
      </c>
      <c r="C103" s="22" t="s">
        <v>70</v>
      </c>
      <c r="D103" s="22" t="s">
        <v>147</v>
      </c>
      <c r="E103" s="24">
        <v>60</v>
      </c>
      <c r="F103" s="22" t="s">
        <v>65</v>
      </c>
      <c r="H103" s="21">
        <v>45874</v>
      </c>
      <c r="I103" s="22" t="s">
        <v>70</v>
      </c>
      <c r="J103" s="22" t="s">
        <v>48</v>
      </c>
      <c r="K103" s="24">
        <v>10</v>
      </c>
      <c r="M103" s="21">
        <v>45875</v>
      </c>
      <c r="N103" s="22" t="s">
        <v>71</v>
      </c>
      <c r="O103" s="22" t="s">
        <v>50</v>
      </c>
      <c r="P103" s="49">
        <v>70.900000000000006</v>
      </c>
      <c r="Q103" s="49">
        <v>70</v>
      </c>
      <c r="R103" s="50">
        <f t="shared" si="4"/>
        <v>0.90000000000000568</v>
      </c>
      <c r="T103" s="21">
        <v>45875</v>
      </c>
      <c r="U103" s="22" t="s">
        <v>54</v>
      </c>
      <c r="V103" s="24">
        <v>4</v>
      </c>
      <c r="W103" s="24">
        <v>3</v>
      </c>
      <c r="X103" s="24">
        <v>3</v>
      </c>
      <c r="Y103" s="24">
        <v>4</v>
      </c>
      <c r="Z103" s="20">
        <f t="shared" si="5"/>
        <v>14</v>
      </c>
    </row>
    <row r="104" spans="1:26" ht="17" x14ac:dyDescent="0.2">
      <c r="A104" s="21">
        <v>45971</v>
      </c>
      <c r="B104" s="51">
        <f t="shared" si="3"/>
        <v>46</v>
      </c>
      <c r="C104" s="22" t="s">
        <v>71</v>
      </c>
      <c r="D104" s="23" t="s">
        <v>3</v>
      </c>
      <c r="E104" s="24">
        <v>90</v>
      </c>
      <c r="F104" s="22" t="s">
        <v>65</v>
      </c>
      <c r="H104" s="21">
        <v>45874</v>
      </c>
      <c r="I104" s="22" t="s">
        <v>70</v>
      </c>
      <c r="J104" s="22" t="s">
        <v>56</v>
      </c>
      <c r="K104" s="24">
        <v>10</v>
      </c>
      <c r="M104" s="21">
        <v>45875</v>
      </c>
      <c r="N104" s="22" t="s">
        <v>70</v>
      </c>
      <c r="O104" s="22" t="s">
        <v>51</v>
      </c>
      <c r="P104" s="49">
        <v>74.900000000000006</v>
      </c>
      <c r="Q104" s="49">
        <v>74.900000000000006</v>
      </c>
      <c r="R104" s="50">
        <f t="shared" si="4"/>
        <v>0</v>
      </c>
      <c r="T104" s="21">
        <v>45875</v>
      </c>
      <c r="U104" s="22" t="s">
        <v>56</v>
      </c>
      <c r="V104" s="24">
        <v>3</v>
      </c>
      <c r="W104" s="24">
        <v>4</v>
      </c>
      <c r="X104" s="24">
        <v>4</v>
      </c>
      <c r="Y104" s="24">
        <v>5</v>
      </c>
      <c r="Z104" s="20">
        <f t="shared" si="5"/>
        <v>16</v>
      </c>
    </row>
    <row r="105" spans="1:26" x14ac:dyDescent="0.2">
      <c r="A105" s="21">
        <v>45972</v>
      </c>
      <c r="B105" s="51">
        <f t="shared" si="3"/>
        <v>46</v>
      </c>
      <c r="C105" s="22" t="s">
        <v>70</v>
      </c>
      <c r="D105" s="22" t="s">
        <v>3</v>
      </c>
      <c r="E105" s="24">
        <v>100</v>
      </c>
      <c r="F105" s="22" t="s">
        <v>65</v>
      </c>
      <c r="H105" s="21">
        <v>45875</v>
      </c>
      <c r="I105" s="22" t="s">
        <v>70</v>
      </c>
      <c r="J105" s="22" t="s">
        <v>52</v>
      </c>
      <c r="K105" s="24">
        <v>7</v>
      </c>
      <c r="M105" s="21">
        <v>45875</v>
      </c>
      <c r="N105" s="22" t="s">
        <v>71</v>
      </c>
      <c r="O105" s="22" t="s">
        <v>51</v>
      </c>
      <c r="P105" s="49">
        <v>74.8</v>
      </c>
      <c r="Q105" s="49">
        <v>74.599999999999994</v>
      </c>
      <c r="R105" s="50">
        <f t="shared" si="4"/>
        <v>0.20000000000000284</v>
      </c>
      <c r="T105" s="21">
        <v>45875</v>
      </c>
      <c r="U105" s="22" t="s">
        <v>57</v>
      </c>
      <c r="V105" s="24">
        <v>5</v>
      </c>
      <c r="W105" s="24">
        <v>4</v>
      </c>
      <c r="X105" s="24">
        <v>4</v>
      </c>
      <c r="Y105" s="24">
        <v>4</v>
      </c>
      <c r="Z105" s="20">
        <f t="shared" si="5"/>
        <v>17</v>
      </c>
    </row>
    <row r="106" spans="1:26" x14ac:dyDescent="0.2">
      <c r="A106" s="21">
        <v>45973</v>
      </c>
      <c r="B106" s="51">
        <f t="shared" si="3"/>
        <v>46</v>
      </c>
      <c r="C106" s="22" t="s">
        <v>70</v>
      </c>
      <c r="D106" s="22" t="s">
        <v>147</v>
      </c>
      <c r="E106" s="24">
        <v>170</v>
      </c>
      <c r="F106" s="22" t="s">
        <v>65</v>
      </c>
      <c r="H106" s="21">
        <v>45875</v>
      </c>
      <c r="I106" s="22" t="s">
        <v>70</v>
      </c>
      <c r="J106" s="22" t="s">
        <v>53</v>
      </c>
      <c r="K106" s="24">
        <v>6</v>
      </c>
      <c r="M106" s="21">
        <v>45875</v>
      </c>
      <c r="N106" s="22" t="s">
        <v>70</v>
      </c>
      <c r="O106" s="22" t="s">
        <v>52</v>
      </c>
      <c r="P106" s="49">
        <v>70.8</v>
      </c>
      <c r="Q106" s="49">
        <v>70.3</v>
      </c>
      <c r="R106" s="50">
        <f t="shared" si="4"/>
        <v>0.5</v>
      </c>
      <c r="T106" s="21">
        <v>45875</v>
      </c>
      <c r="U106" s="22" t="s">
        <v>58</v>
      </c>
      <c r="V106" s="24">
        <v>3</v>
      </c>
      <c r="W106" s="24">
        <v>3</v>
      </c>
      <c r="X106" s="24">
        <v>4</v>
      </c>
      <c r="Y106" s="24">
        <v>5</v>
      </c>
      <c r="Z106" s="20">
        <f t="shared" si="5"/>
        <v>15</v>
      </c>
    </row>
    <row r="107" spans="1:26" ht="17" x14ac:dyDescent="0.2">
      <c r="A107" s="21">
        <v>45974</v>
      </c>
      <c r="B107" s="51">
        <f t="shared" si="3"/>
        <v>46</v>
      </c>
      <c r="C107" s="22" t="s">
        <v>70</v>
      </c>
      <c r="D107" s="23" t="s">
        <v>3</v>
      </c>
      <c r="E107" s="24">
        <v>120</v>
      </c>
      <c r="F107" s="22" t="s">
        <v>65</v>
      </c>
      <c r="H107" s="21">
        <v>45875</v>
      </c>
      <c r="I107" s="22" t="s">
        <v>70</v>
      </c>
      <c r="J107" s="22" t="s">
        <v>44</v>
      </c>
      <c r="K107" s="24">
        <v>7</v>
      </c>
      <c r="M107" s="21">
        <v>45875</v>
      </c>
      <c r="N107" s="22" t="s">
        <v>71</v>
      </c>
      <c r="O107" s="22" t="s">
        <v>52</v>
      </c>
      <c r="P107" s="49">
        <v>70.599999999999994</v>
      </c>
      <c r="Q107" s="49">
        <v>70.7</v>
      </c>
      <c r="R107" s="50">
        <f t="shared" si="4"/>
        <v>-0.10000000000000853</v>
      </c>
      <c r="T107" s="21">
        <v>45875</v>
      </c>
      <c r="U107" s="22" t="s">
        <v>33</v>
      </c>
      <c r="V107" s="24">
        <v>3.5625</v>
      </c>
      <c r="W107" s="24">
        <v>3.375</v>
      </c>
      <c r="X107" s="24">
        <v>3.375</v>
      </c>
      <c r="Y107" s="24">
        <v>4.6875</v>
      </c>
      <c r="Z107" s="20">
        <f t="shared" si="5"/>
        <v>15</v>
      </c>
    </row>
    <row r="108" spans="1:26" x14ac:dyDescent="0.2">
      <c r="A108" s="21">
        <v>45975</v>
      </c>
      <c r="B108" s="51">
        <f t="shared" si="3"/>
        <v>46</v>
      </c>
      <c r="C108" s="22" t="s">
        <v>70</v>
      </c>
      <c r="D108" s="22" t="s">
        <v>3</v>
      </c>
      <c r="E108" s="24">
        <v>90</v>
      </c>
      <c r="F108" s="22" t="s">
        <v>65</v>
      </c>
      <c r="H108" s="21">
        <v>45875</v>
      </c>
      <c r="I108" s="22" t="s">
        <v>70</v>
      </c>
      <c r="J108" s="22" t="s">
        <v>45</v>
      </c>
      <c r="K108" s="24">
        <v>7</v>
      </c>
      <c r="M108" s="21">
        <v>45875</v>
      </c>
      <c r="N108" s="22" t="s">
        <v>70</v>
      </c>
      <c r="O108" s="22" t="s">
        <v>53</v>
      </c>
      <c r="P108" s="49">
        <v>67.2</v>
      </c>
      <c r="Q108" s="49">
        <v>66.7</v>
      </c>
      <c r="R108" s="50">
        <f t="shared" si="4"/>
        <v>0.5</v>
      </c>
      <c r="T108" s="21">
        <v>45876</v>
      </c>
      <c r="U108" s="22" t="s">
        <v>41</v>
      </c>
      <c r="V108" s="24">
        <v>2</v>
      </c>
      <c r="W108" s="24">
        <v>2</v>
      </c>
      <c r="X108" s="24">
        <v>2</v>
      </c>
      <c r="Y108" s="24">
        <v>2</v>
      </c>
      <c r="Z108" s="20">
        <f t="shared" si="5"/>
        <v>8</v>
      </c>
    </row>
    <row r="109" spans="1:26" x14ac:dyDescent="0.2">
      <c r="A109" s="21">
        <v>45976</v>
      </c>
      <c r="B109" s="51">
        <f t="shared" si="3"/>
        <v>46</v>
      </c>
      <c r="C109" s="22" t="s">
        <v>71</v>
      </c>
      <c r="D109" s="22" t="s">
        <v>4</v>
      </c>
      <c r="E109" s="24">
        <v>120</v>
      </c>
      <c r="F109" s="22" t="s">
        <v>65</v>
      </c>
      <c r="H109" s="21">
        <v>45875</v>
      </c>
      <c r="I109" s="22" t="s">
        <v>70</v>
      </c>
      <c r="J109" s="22" t="s">
        <v>57</v>
      </c>
      <c r="K109" s="24">
        <v>6</v>
      </c>
      <c r="M109" s="21">
        <v>45875</v>
      </c>
      <c r="N109" s="22" t="s">
        <v>71</v>
      </c>
      <c r="O109" s="22" t="s">
        <v>53</v>
      </c>
      <c r="P109" s="49">
        <v>67.599999999999994</v>
      </c>
      <c r="Q109" s="49">
        <v>66.8</v>
      </c>
      <c r="R109" s="50">
        <f t="shared" si="4"/>
        <v>0.79999999999999716</v>
      </c>
      <c r="T109" s="21">
        <v>45876</v>
      </c>
      <c r="U109" s="22" t="s">
        <v>42</v>
      </c>
      <c r="V109" s="24">
        <v>4</v>
      </c>
      <c r="W109" s="24">
        <v>4</v>
      </c>
      <c r="X109" s="24">
        <v>4</v>
      </c>
      <c r="Y109" s="24">
        <v>5</v>
      </c>
      <c r="Z109" s="20">
        <f t="shared" si="5"/>
        <v>17</v>
      </c>
    </row>
    <row r="110" spans="1:26" x14ac:dyDescent="0.2">
      <c r="A110" s="21">
        <v>45978</v>
      </c>
      <c r="B110" s="51">
        <f t="shared" si="3"/>
        <v>47</v>
      </c>
      <c r="C110" s="22" t="s">
        <v>70</v>
      </c>
      <c r="D110" s="22" t="s">
        <v>3</v>
      </c>
      <c r="E110" s="24">
        <v>100</v>
      </c>
      <c r="F110" s="22" t="s">
        <v>65</v>
      </c>
      <c r="H110" s="21">
        <v>45875</v>
      </c>
      <c r="I110" s="22" t="s">
        <v>70</v>
      </c>
      <c r="J110" s="22" t="s">
        <v>42</v>
      </c>
      <c r="K110" s="24">
        <v>6</v>
      </c>
      <c r="M110" s="21">
        <v>45875</v>
      </c>
      <c r="N110" s="22" t="s">
        <v>70</v>
      </c>
      <c r="O110" s="22" t="s">
        <v>54</v>
      </c>
      <c r="P110" s="49">
        <v>84.7</v>
      </c>
      <c r="Q110" s="49">
        <v>84.8</v>
      </c>
      <c r="R110" s="50">
        <f t="shared" si="4"/>
        <v>-9.9999999999994316E-2</v>
      </c>
      <c r="T110" s="21">
        <v>45876</v>
      </c>
      <c r="U110" s="22" t="s">
        <v>43</v>
      </c>
      <c r="V110" s="24">
        <v>5</v>
      </c>
      <c r="W110" s="24">
        <v>4</v>
      </c>
      <c r="X110" s="24">
        <v>4</v>
      </c>
      <c r="Y110" s="24">
        <v>5</v>
      </c>
      <c r="Z110" s="20">
        <f t="shared" si="5"/>
        <v>18</v>
      </c>
    </row>
    <row r="111" spans="1:26" x14ac:dyDescent="0.2">
      <c r="A111" s="21">
        <v>45979</v>
      </c>
      <c r="B111" s="51">
        <f t="shared" si="3"/>
        <v>47</v>
      </c>
      <c r="C111" s="22" t="s">
        <v>70</v>
      </c>
      <c r="D111" s="22" t="s">
        <v>3</v>
      </c>
      <c r="E111" s="24">
        <v>90</v>
      </c>
      <c r="F111" s="22" t="s">
        <v>65</v>
      </c>
      <c r="H111" s="21">
        <v>45875</v>
      </c>
      <c r="I111" s="22" t="s">
        <v>70</v>
      </c>
      <c r="J111" s="22" t="s">
        <v>54</v>
      </c>
      <c r="K111" s="24">
        <v>8</v>
      </c>
      <c r="M111" s="21">
        <v>45875</v>
      </c>
      <c r="N111" s="22" t="s">
        <v>71</v>
      </c>
      <c r="O111" s="22" t="s">
        <v>54</v>
      </c>
      <c r="P111" s="49">
        <v>85.2</v>
      </c>
      <c r="Q111" s="49">
        <v>85.1</v>
      </c>
      <c r="R111" s="50">
        <f t="shared" si="4"/>
        <v>0.10000000000000853</v>
      </c>
      <c r="T111" s="21">
        <v>45876</v>
      </c>
      <c r="U111" s="22" t="s">
        <v>44</v>
      </c>
      <c r="V111" s="24">
        <v>5</v>
      </c>
      <c r="W111" s="24">
        <v>4</v>
      </c>
      <c r="X111" s="24">
        <v>4</v>
      </c>
      <c r="Y111" s="24">
        <v>5</v>
      </c>
      <c r="Z111" s="20">
        <f t="shared" si="5"/>
        <v>18</v>
      </c>
    </row>
    <row r="112" spans="1:26" x14ac:dyDescent="0.2">
      <c r="A112" s="21">
        <v>45980</v>
      </c>
      <c r="B112" s="51">
        <f t="shared" si="3"/>
        <v>47</v>
      </c>
      <c r="C112" s="22" t="s">
        <v>70</v>
      </c>
      <c r="D112" s="22" t="s">
        <v>62</v>
      </c>
      <c r="E112" s="24">
        <v>35</v>
      </c>
      <c r="F112" s="22" t="s">
        <v>65</v>
      </c>
      <c r="H112" s="21">
        <v>45875</v>
      </c>
      <c r="I112" s="22" t="s">
        <v>70</v>
      </c>
      <c r="J112" s="22" t="s">
        <v>47</v>
      </c>
      <c r="K112" s="24">
        <v>6</v>
      </c>
      <c r="M112" s="21">
        <v>45875</v>
      </c>
      <c r="N112" s="22" t="s">
        <v>70</v>
      </c>
      <c r="O112" s="22" t="s">
        <v>56</v>
      </c>
      <c r="P112" s="49">
        <v>74.599999999999994</v>
      </c>
      <c r="Q112" s="49">
        <v>74.3</v>
      </c>
      <c r="R112" s="50">
        <f t="shared" si="4"/>
        <v>0.29999999999999716</v>
      </c>
      <c r="T112" s="21">
        <v>45876</v>
      </c>
      <c r="U112" s="22" t="s">
        <v>45</v>
      </c>
      <c r="V112" s="24">
        <v>5</v>
      </c>
      <c r="W112" s="24">
        <v>4</v>
      </c>
      <c r="X112" s="24">
        <v>4</v>
      </c>
      <c r="Y112" s="24">
        <v>5</v>
      </c>
      <c r="Z112" s="20">
        <f t="shared" si="5"/>
        <v>18</v>
      </c>
    </row>
    <row r="113" spans="1:26" x14ac:dyDescent="0.2">
      <c r="A113" s="21">
        <v>45980</v>
      </c>
      <c r="B113" s="51">
        <f t="shared" si="3"/>
        <v>47</v>
      </c>
      <c r="C113" s="22" t="s">
        <v>71</v>
      </c>
      <c r="D113" s="22" t="s">
        <v>4</v>
      </c>
      <c r="E113" s="24">
        <v>120</v>
      </c>
      <c r="F113" s="22" t="s">
        <v>65</v>
      </c>
      <c r="H113" s="21">
        <v>45875</v>
      </c>
      <c r="I113" s="22" t="s">
        <v>70</v>
      </c>
      <c r="J113" s="22" t="s">
        <v>41</v>
      </c>
      <c r="K113" s="24">
        <v>6</v>
      </c>
      <c r="M113" s="21">
        <v>45875</v>
      </c>
      <c r="N113" s="22" t="s">
        <v>71</v>
      </c>
      <c r="O113" s="22" t="s">
        <v>56</v>
      </c>
      <c r="P113" s="49">
        <v>75</v>
      </c>
      <c r="Q113" s="49">
        <v>74.8</v>
      </c>
      <c r="R113" s="50">
        <f t="shared" si="4"/>
        <v>0.20000000000000284</v>
      </c>
      <c r="T113" s="21">
        <v>45876</v>
      </c>
      <c r="U113" s="22" t="s">
        <v>46</v>
      </c>
      <c r="V113" s="24">
        <v>5</v>
      </c>
      <c r="W113" s="24">
        <v>5</v>
      </c>
      <c r="X113" s="24">
        <v>5</v>
      </c>
      <c r="Y113" s="24">
        <v>5</v>
      </c>
      <c r="Z113" s="20">
        <f t="shared" si="5"/>
        <v>20</v>
      </c>
    </row>
    <row r="114" spans="1:26" x14ac:dyDescent="0.2">
      <c r="A114" s="21">
        <v>45982</v>
      </c>
      <c r="B114" s="51">
        <f t="shared" si="3"/>
        <v>47</v>
      </c>
      <c r="C114" s="22" t="s">
        <v>70</v>
      </c>
      <c r="D114" s="22" t="s">
        <v>3</v>
      </c>
      <c r="E114" s="24">
        <v>75</v>
      </c>
      <c r="F114" s="22" t="s">
        <v>65</v>
      </c>
      <c r="H114" s="21">
        <v>45875</v>
      </c>
      <c r="I114" s="22" t="s">
        <v>70</v>
      </c>
      <c r="J114" s="22" t="s">
        <v>58</v>
      </c>
      <c r="K114" s="24">
        <v>7</v>
      </c>
      <c r="M114" s="21">
        <v>45875</v>
      </c>
      <c r="N114" s="22" t="s">
        <v>70</v>
      </c>
      <c r="O114" s="22" t="s">
        <v>57</v>
      </c>
      <c r="P114" s="49">
        <v>93.9</v>
      </c>
      <c r="Q114" s="49">
        <v>93</v>
      </c>
      <c r="R114" s="50">
        <f t="shared" si="4"/>
        <v>0.90000000000000568</v>
      </c>
      <c r="T114" s="21">
        <v>45876</v>
      </c>
      <c r="U114" s="22" t="s">
        <v>47</v>
      </c>
      <c r="V114" s="24">
        <v>3</v>
      </c>
      <c r="W114" s="24">
        <v>4</v>
      </c>
      <c r="X114" s="24">
        <v>4</v>
      </c>
      <c r="Y114" s="24">
        <v>5</v>
      </c>
      <c r="Z114" s="20">
        <f t="shared" si="5"/>
        <v>16</v>
      </c>
    </row>
    <row r="115" spans="1:26" x14ac:dyDescent="0.2">
      <c r="A115" s="21">
        <v>45983</v>
      </c>
      <c r="B115" s="51">
        <f t="shared" si="3"/>
        <v>47</v>
      </c>
      <c r="C115" s="22" t="s">
        <v>70</v>
      </c>
      <c r="D115" s="22" t="s">
        <v>62</v>
      </c>
      <c r="E115" s="24">
        <v>35</v>
      </c>
      <c r="F115" s="22" t="s">
        <v>65</v>
      </c>
      <c r="H115" s="21">
        <v>45875</v>
      </c>
      <c r="I115" s="22" t="s">
        <v>70</v>
      </c>
      <c r="J115" s="22" t="s">
        <v>49</v>
      </c>
      <c r="K115" s="24" t="s">
        <v>60</v>
      </c>
      <c r="M115" s="21">
        <v>45875</v>
      </c>
      <c r="N115" s="22" t="s">
        <v>71</v>
      </c>
      <c r="O115" s="22" t="s">
        <v>57</v>
      </c>
      <c r="P115" s="49">
        <v>93.6</v>
      </c>
      <c r="Q115" s="49">
        <v>93.2</v>
      </c>
      <c r="R115" s="50">
        <f t="shared" si="4"/>
        <v>0.39999999999999147</v>
      </c>
      <c r="T115" s="21">
        <v>45876</v>
      </c>
      <c r="U115" s="22" t="s">
        <v>48</v>
      </c>
      <c r="V115" s="24">
        <v>4</v>
      </c>
      <c r="W115" s="24">
        <v>4</v>
      </c>
      <c r="X115" s="24">
        <v>3</v>
      </c>
      <c r="Y115" s="24">
        <v>5</v>
      </c>
      <c r="Z115" s="20">
        <f t="shared" si="5"/>
        <v>16</v>
      </c>
    </row>
    <row r="116" spans="1:26" x14ac:dyDescent="0.2">
      <c r="A116" s="21">
        <v>45983</v>
      </c>
      <c r="B116" s="51">
        <f t="shared" si="3"/>
        <v>47</v>
      </c>
      <c r="C116" s="22" t="s">
        <v>71</v>
      </c>
      <c r="D116" s="22" t="s">
        <v>4</v>
      </c>
      <c r="E116" s="24">
        <v>120</v>
      </c>
      <c r="F116" s="22" t="s">
        <v>65</v>
      </c>
      <c r="H116" s="21">
        <v>45875</v>
      </c>
      <c r="I116" s="22" t="s">
        <v>70</v>
      </c>
      <c r="J116" s="22" t="s">
        <v>43</v>
      </c>
      <c r="K116" s="24">
        <v>6</v>
      </c>
      <c r="M116" s="21">
        <v>45875</v>
      </c>
      <c r="N116" s="22" t="s">
        <v>70</v>
      </c>
      <c r="O116" s="22" t="s">
        <v>58</v>
      </c>
      <c r="P116" s="49">
        <v>75.099999999999994</v>
      </c>
      <c r="Q116" s="49">
        <v>74.8</v>
      </c>
      <c r="R116" s="50">
        <f t="shared" si="4"/>
        <v>0.29999999999999716</v>
      </c>
      <c r="T116" s="21">
        <v>45876</v>
      </c>
      <c r="U116" s="22" t="s">
        <v>49</v>
      </c>
      <c r="V116" s="24">
        <v>3</v>
      </c>
      <c r="W116" s="24">
        <v>3</v>
      </c>
      <c r="X116" s="24">
        <v>3</v>
      </c>
      <c r="Y116" s="24">
        <v>3</v>
      </c>
      <c r="Z116" s="20">
        <f t="shared" si="5"/>
        <v>12</v>
      </c>
    </row>
    <row r="117" spans="1:26" x14ac:dyDescent="0.2">
      <c r="A117" s="21">
        <v>45985</v>
      </c>
      <c r="B117" s="51">
        <f t="shared" si="3"/>
        <v>48</v>
      </c>
      <c r="C117" s="22" t="s">
        <v>70</v>
      </c>
      <c r="D117" s="22" t="s">
        <v>3</v>
      </c>
      <c r="E117" s="24">
        <v>85</v>
      </c>
      <c r="F117" s="22" t="s">
        <v>65</v>
      </c>
      <c r="H117" s="21">
        <v>45875</v>
      </c>
      <c r="I117" s="22" t="s">
        <v>70</v>
      </c>
      <c r="J117" s="22" t="s">
        <v>50</v>
      </c>
      <c r="K117" s="24">
        <v>6</v>
      </c>
      <c r="M117" s="21">
        <v>45875</v>
      </c>
      <c r="N117" s="22" t="s">
        <v>71</v>
      </c>
      <c r="O117" s="22" t="s">
        <v>58</v>
      </c>
      <c r="P117" s="49">
        <v>75.3</v>
      </c>
      <c r="Q117" s="49">
        <v>75.3</v>
      </c>
      <c r="R117" s="50">
        <f t="shared" si="4"/>
        <v>0</v>
      </c>
      <c r="T117" s="21">
        <v>45876</v>
      </c>
      <c r="U117" s="22" t="s">
        <v>50</v>
      </c>
      <c r="V117" s="24">
        <v>4</v>
      </c>
      <c r="W117" s="24">
        <v>3</v>
      </c>
      <c r="X117" s="24">
        <v>3</v>
      </c>
      <c r="Y117" s="24">
        <v>5</v>
      </c>
      <c r="Z117" s="20">
        <f t="shared" si="5"/>
        <v>15</v>
      </c>
    </row>
    <row r="118" spans="1:26" x14ac:dyDescent="0.2">
      <c r="A118" s="21">
        <v>45986</v>
      </c>
      <c r="B118" s="51">
        <f t="shared" si="3"/>
        <v>48</v>
      </c>
      <c r="C118" s="22" t="s">
        <v>70</v>
      </c>
      <c r="D118" s="22" t="s">
        <v>62</v>
      </c>
      <c r="E118" s="24">
        <v>35</v>
      </c>
      <c r="F118" s="22" t="s">
        <v>65</v>
      </c>
      <c r="H118" s="21">
        <v>45875</v>
      </c>
      <c r="I118" s="22" t="s">
        <v>70</v>
      </c>
      <c r="J118" s="22" t="s">
        <v>51</v>
      </c>
      <c r="K118" s="24">
        <v>7</v>
      </c>
      <c r="M118" s="21">
        <v>45876</v>
      </c>
      <c r="N118" s="22" t="s">
        <v>71</v>
      </c>
      <c r="O118" s="22" t="s">
        <v>41</v>
      </c>
      <c r="P118" s="49">
        <v>76.8</v>
      </c>
      <c r="Q118" s="49">
        <v>75.900000000000006</v>
      </c>
      <c r="R118" s="50">
        <f t="shared" si="4"/>
        <v>0.89999999999999147</v>
      </c>
      <c r="T118" s="21">
        <v>45876</v>
      </c>
      <c r="U118" s="22" t="s">
        <v>51</v>
      </c>
      <c r="V118" s="24">
        <v>4</v>
      </c>
      <c r="W118" s="24">
        <v>4</v>
      </c>
      <c r="X118" s="24">
        <v>4</v>
      </c>
      <c r="Y118" s="24">
        <v>5</v>
      </c>
      <c r="Z118" s="20">
        <f t="shared" si="5"/>
        <v>17</v>
      </c>
    </row>
    <row r="119" spans="1:26" x14ac:dyDescent="0.2">
      <c r="A119" s="21">
        <v>45986</v>
      </c>
      <c r="B119" s="51">
        <f t="shared" si="3"/>
        <v>48</v>
      </c>
      <c r="C119" s="22" t="s">
        <v>71</v>
      </c>
      <c r="D119" s="22" t="s">
        <v>4</v>
      </c>
      <c r="E119" s="24">
        <v>120</v>
      </c>
      <c r="F119" s="22" t="s">
        <v>65</v>
      </c>
      <c r="H119" s="21">
        <v>45875</v>
      </c>
      <c r="I119" s="22" t="s">
        <v>70</v>
      </c>
      <c r="J119" s="22" t="s">
        <v>46</v>
      </c>
      <c r="K119" s="24">
        <v>6</v>
      </c>
      <c r="M119" s="21">
        <v>45876</v>
      </c>
      <c r="N119" s="22" t="s">
        <v>71</v>
      </c>
      <c r="O119" s="22" t="s">
        <v>42</v>
      </c>
      <c r="P119" s="49">
        <v>78.8</v>
      </c>
      <c r="Q119" s="49">
        <v>78.900000000000006</v>
      </c>
      <c r="R119" s="50">
        <f t="shared" si="4"/>
        <v>-0.10000000000000853</v>
      </c>
      <c r="T119" s="21">
        <v>45876</v>
      </c>
      <c r="U119" s="22" t="s">
        <v>52</v>
      </c>
      <c r="V119" s="24">
        <v>4</v>
      </c>
      <c r="W119" s="24">
        <v>5</v>
      </c>
      <c r="X119" s="24">
        <v>1</v>
      </c>
      <c r="Y119" s="24">
        <v>5</v>
      </c>
      <c r="Z119" s="20">
        <f t="shared" si="5"/>
        <v>15</v>
      </c>
    </row>
    <row r="120" spans="1:26" x14ac:dyDescent="0.2">
      <c r="A120" s="21">
        <v>45987</v>
      </c>
      <c r="B120" s="51">
        <f t="shared" si="3"/>
        <v>48</v>
      </c>
      <c r="C120" s="22" t="s">
        <v>70</v>
      </c>
      <c r="D120" s="22" t="s">
        <v>149</v>
      </c>
      <c r="E120" s="24">
        <v>30</v>
      </c>
      <c r="F120" s="22" t="s">
        <v>65</v>
      </c>
      <c r="H120" s="21">
        <v>45875</v>
      </c>
      <c r="I120" s="22" t="s">
        <v>70</v>
      </c>
      <c r="J120" s="22" t="s">
        <v>48</v>
      </c>
      <c r="K120" s="24">
        <v>7</v>
      </c>
      <c r="M120" s="21">
        <v>45876</v>
      </c>
      <c r="N120" s="22" t="s">
        <v>71</v>
      </c>
      <c r="O120" s="22" t="s">
        <v>43</v>
      </c>
      <c r="P120" s="49">
        <v>89.5</v>
      </c>
      <c r="Q120" s="49">
        <v>89.6</v>
      </c>
      <c r="R120" s="50">
        <f t="shared" si="4"/>
        <v>-9.9999999999994316E-2</v>
      </c>
      <c r="T120" s="21">
        <v>45876</v>
      </c>
      <c r="U120" s="22" t="s">
        <v>53</v>
      </c>
      <c r="V120" s="24">
        <v>3</v>
      </c>
      <c r="W120" s="24">
        <v>3</v>
      </c>
      <c r="X120" s="24">
        <v>4</v>
      </c>
      <c r="Y120" s="24">
        <v>5</v>
      </c>
      <c r="Z120" s="20">
        <f t="shared" si="5"/>
        <v>15</v>
      </c>
    </row>
    <row r="121" spans="1:26" x14ac:dyDescent="0.2">
      <c r="A121" s="21">
        <v>45988</v>
      </c>
      <c r="B121" s="51">
        <f t="shared" si="3"/>
        <v>48</v>
      </c>
      <c r="C121" s="22" t="s">
        <v>70</v>
      </c>
      <c r="D121" s="22" t="s">
        <v>3</v>
      </c>
      <c r="E121" s="24">
        <v>90</v>
      </c>
      <c r="F121" s="22" t="s">
        <v>65</v>
      </c>
      <c r="H121" s="21">
        <v>45875</v>
      </c>
      <c r="I121" s="22" t="s">
        <v>70</v>
      </c>
      <c r="J121" s="22" t="s">
        <v>56</v>
      </c>
      <c r="K121" s="24">
        <v>8</v>
      </c>
      <c r="M121" s="21">
        <v>45876</v>
      </c>
      <c r="N121" s="22" t="s">
        <v>71</v>
      </c>
      <c r="O121" s="22" t="s">
        <v>44</v>
      </c>
      <c r="P121" s="49">
        <v>69</v>
      </c>
      <c r="Q121" s="49">
        <v>68.5</v>
      </c>
      <c r="R121" s="50">
        <f t="shared" si="4"/>
        <v>0.5</v>
      </c>
      <c r="T121" s="21">
        <v>45876</v>
      </c>
      <c r="U121" s="22" t="s">
        <v>54</v>
      </c>
      <c r="V121" s="24">
        <v>5</v>
      </c>
      <c r="W121" s="24">
        <v>3</v>
      </c>
      <c r="X121" s="24">
        <v>3</v>
      </c>
      <c r="Y121" s="24">
        <v>4</v>
      </c>
      <c r="Z121" s="20">
        <f t="shared" si="5"/>
        <v>15</v>
      </c>
    </row>
    <row r="122" spans="1:26" x14ac:dyDescent="0.2">
      <c r="A122" s="21">
        <v>45989</v>
      </c>
      <c r="B122" s="51">
        <f t="shared" si="3"/>
        <v>48</v>
      </c>
      <c r="C122" s="22" t="s">
        <v>70</v>
      </c>
      <c r="D122" s="22" t="s">
        <v>62</v>
      </c>
      <c r="E122" s="24">
        <v>35</v>
      </c>
      <c r="F122" s="22" t="s">
        <v>65</v>
      </c>
      <c r="H122" s="21">
        <v>45875</v>
      </c>
      <c r="I122" s="22" t="s">
        <v>71</v>
      </c>
      <c r="J122" s="22" t="s">
        <v>52</v>
      </c>
      <c r="K122" s="24">
        <v>6</v>
      </c>
      <c r="M122" s="21">
        <v>45876</v>
      </c>
      <c r="N122" s="22" t="s">
        <v>71</v>
      </c>
      <c r="O122" s="22" t="s">
        <v>45</v>
      </c>
      <c r="P122" s="49">
        <v>68.5</v>
      </c>
      <c r="Q122" s="49">
        <v>67.599999999999994</v>
      </c>
      <c r="R122" s="50">
        <f t="shared" si="4"/>
        <v>0.90000000000000568</v>
      </c>
      <c r="T122" s="21">
        <v>45876</v>
      </c>
      <c r="U122" s="22" t="s">
        <v>56</v>
      </c>
      <c r="V122" s="24">
        <v>4</v>
      </c>
      <c r="W122" s="24">
        <v>4</v>
      </c>
      <c r="X122" s="24">
        <v>4</v>
      </c>
      <c r="Y122" s="24">
        <v>5</v>
      </c>
      <c r="Z122" s="20">
        <f t="shared" si="5"/>
        <v>17</v>
      </c>
    </row>
    <row r="123" spans="1:26" x14ac:dyDescent="0.2">
      <c r="A123" s="21">
        <v>45989</v>
      </c>
      <c r="B123" s="51">
        <f t="shared" si="3"/>
        <v>48</v>
      </c>
      <c r="C123" s="22" t="s">
        <v>71</v>
      </c>
      <c r="D123" s="22" t="s">
        <v>4</v>
      </c>
      <c r="E123" s="24">
        <v>120</v>
      </c>
      <c r="F123" s="22" t="s">
        <v>65</v>
      </c>
      <c r="H123" s="21">
        <v>45875</v>
      </c>
      <c r="I123" s="22" t="s">
        <v>71</v>
      </c>
      <c r="J123" s="22" t="s">
        <v>53</v>
      </c>
      <c r="K123" s="24">
        <v>5</v>
      </c>
      <c r="M123" s="21">
        <v>45876</v>
      </c>
      <c r="N123" s="22" t="s">
        <v>71</v>
      </c>
      <c r="O123" s="22" t="s">
        <v>46</v>
      </c>
      <c r="P123" s="49">
        <v>80</v>
      </c>
      <c r="Q123" s="49">
        <v>79.5</v>
      </c>
      <c r="R123" s="50">
        <f t="shared" si="4"/>
        <v>0.5</v>
      </c>
      <c r="T123" s="21">
        <v>45876</v>
      </c>
      <c r="U123" s="22" t="s">
        <v>57</v>
      </c>
      <c r="V123" s="24">
        <v>4</v>
      </c>
      <c r="W123" s="24">
        <v>4</v>
      </c>
      <c r="X123" s="24">
        <v>4</v>
      </c>
      <c r="Y123" s="24">
        <v>4</v>
      </c>
      <c r="Z123" s="20">
        <f t="shared" si="5"/>
        <v>16</v>
      </c>
    </row>
    <row r="124" spans="1:26" x14ac:dyDescent="0.2">
      <c r="A124" s="21">
        <v>45992</v>
      </c>
      <c r="B124" s="51">
        <f t="shared" si="3"/>
        <v>49</v>
      </c>
      <c r="C124" s="22" t="s">
        <v>70</v>
      </c>
      <c r="D124" s="22" t="s">
        <v>6</v>
      </c>
      <c r="E124" s="24">
        <v>60</v>
      </c>
      <c r="F124" s="22" t="s">
        <v>65</v>
      </c>
      <c r="H124" s="21">
        <v>45875</v>
      </c>
      <c r="I124" s="22" t="s">
        <v>71</v>
      </c>
      <c r="J124" s="22" t="s">
        <v>44</v>
      </c>
      <c r="K124" s="24">
        <v>5</v>
      </c>
      <c r="M124" s="21">
        <v>45876</v>
      </c>
      <c r="N124" s="22" t="s">
        <v>71</v>
      </c>
      <c r="O124" s="22" t="s">
        <v>47</v>
      </c>
      <c r="P124" s="49">
        <v>72.099999999999994</v>
      </c>
      <c r="Q124" s="49">
        <v>72.3</v>
      </c>
      <c r="R124" s="50">
        <f t="shared" si="4"/>
        <v>-0.20000000000000284</v>
      </c>
      <c r="T124" s="21">
        <v>45876</v>
      </c>
      <c r="U124" s="22" t="s">
        <v>58</v>
      </c>
      <c r="V124" s="24">
        <v>4</v>
      </c>
      <c r="W124" s="24">
        <v>4</v>
      </c>
      <c r="X124" s="24">
        <v>4</v>
      </c>
      <c r="Y124" s="24">
        <v>5</v>
      </c>
      <c r="Z124" s="20">
        <f t="shared" si="5"/>
        <v>17</v>
      </c>
    </row>
    <row r="125" spans="1:26" x14ac:dyDescent="0.2">
      <c r="A125" s="21">
        <v>45992</v>
      </c>
      <c r="B125" s="51">
        <f t="shared" si="3"/>
        <v>49</v>
      </c>
      <c r="C125" s="22" t="s">
        <v>71</v>
      </c>
      <c r="D125" s="22" t="s">
        <v>3</v>
      </c>
      <c r="E125" s="24">
        <v>90</v>
      </c>
      <c r="F125" s="22" t="s">
        <v>65</v>
      </c>
      <c r="H125" s="21">
        <v>45875</v>
      </c>
      <c r="I125" s="22" t="s">
        <v>71</v>
      </c>
      <c r="J125" s="22" t="s">
        <v>45</v>
      </c>
      <c r="K125" s="24">
        <v>5</v>
      </c>
      <c r="M125" s="21">
        <v>45876</v>
      </c>
      <c r="N125" s="22" t="s">
        <v>71</v>
      </c>
      <c r="O125" s="22" t="s">
        <v>48</v>
      </c>
      <c r="P125" s="49">
        <v>82.5</v>
      </c>
      <c r="Q125" s="49">
        <v>81</v>
      </c>
      <c r="R125" s="50">
        <f t="shared" si="4"/>
        <v>1.5</v>
      </c>
      <c r="T125" s="21">
        <v>45876</v>
      </c>
      <c r="U125" s="22" t="s">
        <v>33</v>
      </c>
      <c r="V125" s="24">
        <v>4</v>
      </c>
      <c r="W125" s="24">
        <v>3.7647058823529398</v>
      </c>
      <c r="X125" s="24">
        <v>3.52941176470588</v>
      </c>
      <c r="Y125" s="24">
        <v>4.5882352941176503</v>
      </c>
      <c r="Z125" s="20">
        <f t="shared" si="5"/>
        <v>15.882352941176471</v>
      </c>
    </row>
    <row r="126" spans="1:26" x14ac:dyDescent="0.2">
      <c r="A126" s="21">
        <v>45993</v>
      </c>
      <c r="B126" s="51">
        <f t="shared" si="3"/>
        <v>49</v>
      </c>
      <c r="C126" s="22" t="s">
        <v>70</v>
      </c>
      <c r="D126" s="22" t="s">
        <v>3</v>
      </c>
      <c r="E126" s="24">
        <v>120</v>
      </c>
      <c r="F126" s="22" t="s">
        <v>65</v>
      </c>
      <c r="H126" s="21">
        <v>45875</v>
      </c>
      <c r="I126" s="22" t="s">
        <v>71</v>
      </c>
      <c r="J126" s="22" t="s">
        <v>57</v>
      </c>
      <c r="K126" s="24">
        <v>6</v>
      </c>
      <c r="M126" s="21">
        <v>45876</v>
      </c>
      <c r="N126" s="22" t="s">
        <v>71</v>
      </c>
      <c r="O126" s="22" t="s">
        <v>49</v>
      </c>
      <c r="P126" s="49">
        <v>79.5</v>
      </c>
      <c r="Q126" s="49">
        <v>79.099999999999994</v>
      </c>
      <c r="R126" s="50">
        <f t="shared" si="4"/>
        <v>0.40000000000000568</v>
      </c>
      <c r="T126" s="21">
        <v>45877</v>
      </c>
      <c r="U126" s="22" t="s">
        <v>41</v>
      </c>
      <c r="V126" s="24">
        <v>1</v>
      </c>
      <c r="W126" s="24">
        <v>2</v>
      </c>
      <c r="X126" s="24">
        <v>2</v>
      </c>
      <c r="Y126" s="24">
        <v>2</v>
      </c>
      <c r="Z126" s="20">
        <f t="shared" si="5"/>
        <v>7</v>
      </c>
    </row>
    <row r="127" spans="1:26" x14ac:dyDescent="0.2">
      <c r="A127" s="21">
        <v>45994</v>
      </c>
      <c r="B127" s="51">
        <f t="shared" si="3"/>
        <v>49</v>
      </c>
      <c r="C127" s="22" t="s">
        <v>70</v>
      </c>
      <c r="D127" s="22" t="s">
        <v>147</v>
      </c>
      <c r="E127" s="24">
        <v>140</v>
      </c>
      <c r="F127" s="22" t="s">
        <v>65</v>
      </c>
      <c r="H127" s="21">
        <v>45875</v>
      </c>
      <c r="I127" s="22" t="s">
        <v>71</v>
      </c>
      <c r="J127" s="22" t="s">
        <v>42</v>
      </c>
      <c r="K127" s="24">
        <v>5</v>
      </c>
      <c r="M127" s="21">
        <v>45876</v>
      </c>
      <c r="N127" s="22" t="s">
        <v>71</v>
      </c>
      <c r="O127" s="22" t="s">
        <v>50</v>
      </c>
      <c r="P127" s="49">
        <v>70.400000000000006</v>
      </c>
      <c r="Q127" s="49">
        <v>70</v>
      </c>
      <c r="R127" s="50">
        <f t="shared" si="4"/>
        <v>0.40000000000000568</v>
      </c>
      <c r="T127" s="21">
        <v>45877</v>
      </c>
      <c r="U127" s="22" t="s">
        <v>42</v>
      </c>
      <c r="V127" s="24">
        <v>4</v>
      </c>
      <c r="W127" s="24">
        <v>4</v>
      </c>
      <c r="X127" s="24">
        <v>4</v>
      </c>
      <c r="Y127" s="24">
        <v>5</v>
      </c>
      <c r="Z127" s="20">
        <f t="shared" si="5"/>
        <v>17</v>
      </c>
    </row>
    <row r="128" spans="1:26" ht="17" x14ac:dyDescent="0.2">
      <c r="A128" s="21">
        <v>45995</v>
      </c>
      <c r="B128" s="51">
        <f t="shared" si="3"/>
        <v>49</v>
      </c>
      <c r="C128" s="22" t="s">
        <v>70</v>
      </c>
      <c r="D128" s="23" t="s">
        <v>3</v>
      </c>
      <c r="E128" s="24">
        <v>110</v>
      </c>
      <c r="F128" s="22" t="s">
        <v>65</v>
      </c>
      <c r="H128" s="21">
        <v>45875</v>
      </c>
      <c r="I128" s="22" t="s">
        <v>71</v>
      </c>
      <c r="J128" s="22" t="s">
        <v>54</v>
      </c>
      <c r="K128" s="24">
        <v>5</v>
      </c>
      <c r="M128" s="21">
        <v>45876</v>
      </c>
      <c r="N128" s="22" t="s">
        <v>71</v>
      </c>
      <c r="O128" s="22" t="s">
        <v>51</v>
      </c>
      <c r="P128" s="49">
        <v>75.5</v>
      </c>
      <c r="Q128" s="49">
        <v>75.099999999999994</v>
      </c>
      <c r="R128" s="50">
        <f t="shared" si="4"/>
        <v>0.40000000000000568</v>
      </c>
      <c r="T128" s="21">
        <v>45877</v>
      </c>
      <c r="U128" s="22" t="s">
        <v>43</v>
      </c>
      <c r="V128" s="24">
        <v>4</v>
      </c>
      <c r="W128" s="24">
        <v>4</v>
      </c>
      <c r="X128" s="24">
        <v>4</v>
      </c>
      <c r="Y128" s="24">
        <v>5</v>
      </c>
      <c r="Z128" s="20">
        <f t="shared" si="5"/>
        <v>17</v>
      </c>
    </row>
    <row r="129" spans="1:26" x14ac:dyDescent="0.2">
      <c r="A129" s="21">
        <v>45996</v>
      </c>
      <c r="B129" s="51">
        <f t="shared" si="3"/>
        <v>49</v>
      </c>
      <c r="C129" s="22" t="s">
        <v>70</v>
      </c>
      <c r="D129" s="22" t="s">
        <v>3</v>
      </c>
      <c r="E129" s="24">
        <v>75</v>
      </c>
      <c r="F129" s="22" t="s">
        <v>65</v>
      </c>
      <c r="H129" s="21">
        <v>45875</v>
      </c>
      <c r="I129" s="22" t="s">
        <v>71</v>
      </c>
      <c r="J129" s="22" t="s">
        <v>47</v>
      </c>
      <c r="K129" s="24">
        <v>5</v>
      </c>
      <c r="M129" s="21">
        <v>45876</v>
      </c>
      <c r="N129" s="22" t="s">
        <v>71</v>
      </c>
      <c r="O129" s="22" t="s">
        <v>52</v>
      </c>
      <c r="P129" s="49">
        <v>70.599999999999994</v>
      </c>
      <c r="Q129" s="49">
        <v>70.2</v>
      </c>
      <c r="R129" s="50">
        <f t="shared" si="4"/>
        <v>0.39999999999999147</v>
      </c>
      <c r="T129" s="21">
        <v>45877</v>
      </c>
      <c r="U129" s="22" t="s">
        <v>44</v>
      </c>
      <c r="V129" s="24">
        <v>4</v>
      </c>
      <c r="W129" s="24">
        <v>4</v>
      </c>
      <c r="X129" s="24">
        <v>4</v>
      </c>
      <c r="Y129" s="24">
        <v>5</v>
      </c>
      <c r="Z129" s="20">
        <f t="shared" si="5"/>
        <v>17</v>
      </c>
    </row>
    <row r="130" spans="1:26" x14ac:dyDescent="0.2">
      <c r="A130" s="21">
        <v>45997</v>
      </c>
      <c r="B130" s="51">
        <f t="shared" si="3"/>
        <v>49</v>
      </c>
      <c r="C130" s="22" t="s">
        <v>70</v>
      </c>
      <c r="D130" s="22" t="s">
        <v>4</v>
      </c>
      <c r="E130" s="24">
        <v>120</v>
      </c>
      <c r="F130" s="22" t="s">
        <v>65</v>
      </c>
      <c r="H130" s="21">
        <v>45875</v>
      </c>
      <c r="I130" s="22" t="s">
        <v>71</v>
      </c>
      <c r="J130" s="22" t="s">
        <v>41</v>
      </c>
      <c r="K130" s="24">
        <v>4</v>
      </c>
      <c r="M130" s="21">
        <v>45876</v>
      </c>
      <c r="N130" s="22" t="s">
        <v>71</v>
      </c>
      <c r="O130" s="22" t="s">
        <v>53</v>
      </c>
      <c r="P130" s="49">
        <v>67.7</v>
      </c>
      <c r="Q130" s="49">
        <v>66.2</v>
      </c>
      <c r="R130" s="50">
        <f t="shared" si="4"/>
        <v>1.5</v>
      </c>
      <c r="T130" s="21">
        <v>45877</v>
      </c>
      <c r="U130" s="22" t="s">
        <v>45</v>
      </c>
      <c r="V130" s="24">
        <v>4</v>
      </c>
      <c r="W130" s="24">
        <v>3</v>
      </c>
      <c r="X130" s="24">
        <v>3</v>
      </c>
      <c r="Y130" s="24">
        <v>5</v>
      </c>
      <c r="Z130" s="20">
        <f t="shared" si="5"/>
        <v>15</v>
      </c>
    </row>
    <row r="131" spans="1:26" x14ac:dyDescent="0.2">
      <c r="A131" s="21">
        <v>45999</v>
      </c>
      <c r="B131" s="51">
        <f t="shared" ref="B131:B194" si="6">IFERROR(_xlfn.ISOWEEKNUM(A131),"")</f>
        <v>50</v>
      </c>
      <c r="C131" s="22" t="s">
        <v>70</v>
      </c>
      <c r="D131" s="22" t="s">
        <v>3</v>
      </c>
      <c r="E131" s="24">
        <v>65</v>
      </c>
      <c r="F131" s="22" t="s">
        <v>65</v>
      </c>
      <c r="H131" s="21">
        <v>45875</v>
      </c>
      <c r="I131" s="22" t="s">
        <v>71</v>
      </c>
      <c r="J131" s="22" t="s">
        <v>58</v>
      </c>
      <c r="K131" s="24">
        <v>5</v>
      </c>
      <c r="M131" s="21">
        <v>45876</v>
      </c>
      <c r="N131" s="22" t="s">
        <v>71</v>
      </c>
      <c r="O131" s="22" t="s">
        <v>54</v>
      </c>
      <c r="P131" s="49">
        <v>85.3</v>
      </c>
      <c r="Q131" s="49">
        <v>85.1</v>
      </c>
      <c r="R131" s="50">
        <f t="shared" ref="R131:R194" si="7">IFERROR(P131-Q131,"")</f>
        <v>0.20000000000000284</v>
      </c>
      <c r="T131" s="21">
        <v>45877</v>
      </c>
      <c r="U131" s="22" t="s">
        <v>46</v>
      </c>
      <c r="V131" s="24">
        <v>5</v>
      </c>
      <c r="W131" s="24">
        <v>4</v>
      </c>
      <c r="X131" s="24">
        <v>4</v>
      </c>
      <c r="Y131" s="24">
        <v>5</v>
      </c>
      <c r="Z131" s="20">
        <f t="shared" ref="Z131:Z194" si="8">SUM(V131:Y131)</f>
        <v>18</v>
      </c>
    </row>
    <row r="132" spans="1:26" x14ac:dyDescent="0.2">
      <c r="A132" s="21">
        <v>46000</v>
      </c>
      <c r="B132" s="51">
        <f t="shared" si="6"/>
        <v>50</v>
      </c>
      <c r="C132" s="22" t="s">
        <v>70</v>
      </c>
      <c r="D132" s="22" t="s">
        <v>62</v>
      </c>
      <c r="E132" s="24">
        <v>35</v>
      </c>
      <c r="F132" s="22" t="s">
        <v>65</v>
      </c>
      <c r="H132" s="21">
        <v>45875</v>
      </c>
      <c r="I132" s="22" t="s">
        <v>71</v>
      </c>
      <c r="J132" s="22" t="s">
        <v>49</v>
      </c>
      <c r="K132" s="24" t="s">
        <v>60</v>
      </c>
      <c r="M132" s="21">
        <v>45876</v>
      </c>
      <c r="N132" s="22" t="s">
        <v>71</v>
      </c>
      <c r="O132" s="22" t="s">
        <v>56</v>
      </c>
      <c r="P132" s="49">
        <v>74.7</v>
      </c>
      <c r="Q132" s="49">
        <v>74.599999999999994</v>
      </c>
      <c r="R132" s="50">
        <f t="shared" si="7"/>
        <v>0.10000000000000853</v>
      </c>
      <c r="T132" s="21">
        <v>45877</v>
      </c>
      <c r="U132" s="22" t="s">
        <v>47</v>
      </c>
      <c r="V132" s="24">
        <v>4</v>
      </c>
      <c r="W132" s="24">
        <v>4</v>
      </c>
      <c r="X132" s="24">
        <v>4</v>
      </c>
      <c r="Y132" s="24">
        <v>5</v>
      </c>
      <c r="Z132" s="20">
        <f t="shared" si="8"/>
        <v>17</v>
      </c>
    </row>
    <row r="133" spans="1:26" x14ac:dyDescent="0.2">
      <c r="A133" s="21">
        <v>46000</v>
      </c>
      <c r="B133" s="51">
        <f t="shared" si="6"/>
        <v>50</v>
      </c>
      <c r="C133" s="22" t="s">
        <v>71</v>
      </c>
      <c r="D133" s="22" t="s">
        <v>4</v>
      </c>
      <c r="E133" s="24">
        <v>120</v>
      </c>
      <c r="F133" s="22" t="s">
        <v>65</v>
      </c>
      <c r="H133" s="21">
        <v>45875</v>
      </c>
      <c r="I133" s="22" t="s">
        <v>71</v>
      </c>
      <c r="J133" s="22" t="s">
        <v>43</v>
      </c>
      <c r="K133" s="24">
        <v>5</v>
      </c>
      <c r="M133" s="21">
        <v>45876</v>
      </c>
      <c r="N133" s="22" t="s">
        <v>71</v>
      </c>
      <c r="O133" s="22" t="s">
        <v>57</v>
      </c>
      <c r="P133" s="49">
        <v>94.2</v>
      </c>
      <c r="Q133" s="49">
        <v>93.4</v>
      </c>
      <c r="R133" s="50">
        <f t="shared" si="7"/>
        <v>0.79999999999999716</v>
      </c>
      <c r="T133" s="21">
        <v>45877</v>
      </c>
      <c r="U133" s="22" t="s">
        <v>48</v>
      </c>
      <c r="V133" s="24">
        <v>3</v>
      </c>
      <c r="W133" s="24">
        <v>4</v>
      </c>
      <c r="X133" s="24">
        <v>4</v>
      </c>
      <c r="Y133" s="24">
        <v>5</v>
      </c>
      <c r="Z133" s="20">
        <f t="shared" si="8"/>
        <v>16</v>
      </c>
    </row>
    <row r="134" spans="1:26" x14ac:dyDescent="0.2">
      <c r="A134" s="21">
        <v>46001</v>
      </c>
      <c r="B134" s="51">
        <f t="shared" si="6"/>
        <v>50</v>
      </c>
      <c r="C134" s="22" t="s">
        <v>70</v>
      </c>
      <c r="D134" s="22" t="s">
        <v>149</v>
      </c>
      <c r="E134" s="24">
        <v>45</v>
      </c>
      <c r="F134" s="22" t="s">
        <v>65</v>
      </c>
      <c r="H134" s="21">
        <v>45875</v>
      </c>
      <c r="I134" s="22" t="s">
        <v>71</v>
      </c>
      <c r="J134" s="22" t="s">
        <v>50</v>
      </c>
      <c r="K134" s="24">
        <v>3</v>
      </c>
      <c r="M134" s="21">
        <v>45876</v>
      </c>
      <c r="N134" s="22" t="s">
        <v>71</v>
      </c>
      <c r="O134" s="22" t="s">
        <v>58</v>
      </c>
      <c r="P134" s="49">
        <v>76.5</v>
      </c>
      <c r="Q134" s="49">
        <v>75.5</v>
      </c>
      <c r="R134" s="50">
        <f t="shared" si="7"/>
        <v>1</v>
      </c>
      <c r="T134" s="21">
        <v>45877</v>
      </c>
      <c r="U134" s="22" t="s">
        <v>49</v>
      </c>
      <c r="V134" s="24">
        <v>4</v>
      </c>
      <c r="W134" s="24">
        <v>3</v>
      </c>
      <c r="X134" s="24">
        <v>3</v>
      </c>
      <c r="Y134" s="24">
        <v>4</v>
      </c>
      <c r="Z134" s="20">
        <f t="shared" si="8"/>
        <v>14</v>
      </c>
    </row>
    <row r="135" spans="1:26" x14ac:dyDescent="0.2">
      <c r="A135" s="21">
        <v>46002</v>
      </c>
      <c r="B135" s="51">
        <f t="shared" si="6"/>
        <v>50</v>
      </c>
      <c r="C135" s="22" t="s">
        <v>70</v>
      </c>
      <c r="D135" s="22" t="s">
        <v>3</v>
      </c>
      <c r="E135" s="24">
        <v>75</v>
      </c>
      <c r="F135" s="22" t="s">
        <v>65</v>
      </c>
      <c r="H135" s="21">
        <v>45875</v>
      </c>
      <c r="I135" s="22" t="s">
        <v>71</v>
      </c>
      <c r="J135" s="22" t="s">
        <v>51</v>
      </c>
      <c r="K135" s="24">
        <v>4</v>
      </c>
      <c r="M135" s="21">
        <v>45877</v>
      </c>
      <c r="N135" s="22" t="s">
        <v>70</v>
      </c>
      <c r="O135" s="22" t="s">
        <v>41</v>
      </c>
      <c r="P135" s="49">
        <v>76.8</v>
      </c>
      <c r="Q135" s="49">
        <v>76</v>
      </c>
      <c r="R135" s="50">
        <f t="shared" si="7"/>
        <v>0.79999999999999716</v>
      </c>
      <c r="T135" s="21">
        <v>45877</v>
      </c>
      <c r="U135" s="22" t="s">
        <v>50</v>
      </c>
      <c r="V135" s="24">
        <v>4</v>
      </c>
      <c r="W135" s="24">
        <v>4</v>
      </c>
      <c r="X135" s="24">
        <v>4</v>
      </c>
      <c r="Y135" s="24">
        <v>5</v>
      </c>
      <c r="Z135" s="20">
        <f t="shared" si="8"/>
        <v>17</v>
      </c>
    </row>
    <row r="136" spans="1:26" x14ac:dyDescent="0.2">
      <c r="A136" s="21">
        <v>46003</v>
      </c>
      <c r="B136" s="51">
        <f t="shared" si="6"/>
        <v>50</v>
      </c>
      <c r="C136" s="22" t="s">
        <v>71</v>
      </c>
      <c r="D136" s="22" t="s">
        <v>3</v>
      </c>
      <c r="E136" s="24">
        <v>75</v>
      </c>
      <c r="F136" s="22" t="s">
        <v>65</v>
      </c>
      <c r="H136" s="21">
        <v>45875</v>
      </c>
      <c r="I136" s="22" t="s">
        <v>71</v>
      </c>
      <c r="J136" s="22" t="s">
        <v>46</v>
      </c>
      <c r="K136" s="24">
        <v>5</v>
      </c>
      <c r="M136" s="21">
        <v>45877</v>
      </c>
      <c r="N136" s="22" t="s">
        <v>71</v>
      </c>
      <c r="O136" s="22" t="s">
        <v>41</v>
      </c>
      <c r="P136" s="49">
        <v>77.099999999999994</v>
      </c>
      <c r="Q136" s="49">
        <v>76.5</v>
      </c>
      <c r="R136" s="50">
        <f t="shared" si="7"/>
        <v>0.59999999999999432</v>
      </c>
      <c r="T136" s="21">
        <v>45877</v>
      </c>
      <c r="U136" s="22" t="s">
        <v>51</v>
      </c>
      <c r="V136" s="24">
        <v>4</v>
      </c>
      <c r="W136" s="24">
        <v>4</v>
      </c>
      <c r="X136" s="24">
        <v>4</v>
      </c>
      <c r="Y136" s="24">
        <v>5</v>
      </c>
      <c r="Z136" s="20">
        <f t="shared" si="8"/>
        <v>17</v>
      </c>
    </row>
    <row r="137" spans="1:26" x14ac:dyDescent="0.2">
      <c r="A137" s="21">
        <v>46004</v>
      </c>
      <c r="B137" s="51">
        <f t="shared" si="6"/>
        <v>50</v>
      </c>
      <c r="C137" s="22" t="s">
        <v>71</v>
      </c>
      <c r="D137" s="22" t="s">
        <v>4</v>
      </c>
      <c r="E137" s="24">
        <v>120</v>
      </c>
      <c r="F137" s="22" t="s">
        <v>65</v>
      </c>
      <c r="H137" s="21">
        <v>45875</v>
      </c>
      <c r="I137" s="22" t="s">
        <v>71</v>
      </c>
      <c r="J137" s="22" t="s">
        <v>48</v>
      </c>
      <c r="K137" s="24">
        <v>7</v>
      </c>
      <c r="M137" s="21">
        <v>45877</v>
      </c>
      <c r="N137" s="22" t="s">
        <v>70</v>
      </c>
      <c r="O137" s="22" t="s">
        <v>42</v>
      </c>
      <c r="P137" s="49">
        <v>79</v>
      </c>
      <c r="Q137" s="49">
        <v>78.8</v>
      </c>
      <c r="R137" s="50">
        <f t="shared" si="7"/>
        <v>0.20000000000000284</v>
      </c>
      <c r="T137" s="21">
        <v>45877</v>
      </c>
      <c r="U137" s="22" t="s">
        <v>52</v>
      </c>
      <c r="V137" s="24">
        <v>4</v>
      </c>
      <c r="W137" s="24">
        <v>5</v>
      </c>
      <c r="X137" s="24">
        <v>2</v>
      </c>
      <c r="Y137" s="24">
        <v>4</v>
      </c>
      <c r="Z137" s="20">
        <f t="shared" si="8"/>
        <v>15</v>
      </c>
    </row>
    <row r="138" spans="1:26" x14ac:dyDescent="0.2">
      <c r="A138" s="21">
        <v>46007</v>
      </c>
      <c r="B138" s="51">
        <f t="shared" si="6"/>
        <v>51</v>
      </c>
      <c r="C138" s="22" t="s">
        <v>71</v>
      </c>
      <c r="D138" s="22" t="s">
        <v>147</v>
      </c>
      <c r="E138" s="24">
        <v>135</v>
      </c>
      <c r="F138" s="22" t="s">
        <v>65</v>
      </c>
      <c r="H138" s="21">
        <v>45875</v>
      </c>
      <c r="I138" s="22" t="s">
        <v>71</v>
      </c>
      <c r="J138" s="22" t="s">
        <v>56</v>
      </c>
      <c r="K138" s="24">
        <v>6</v>
      </c>
      <c r="M138" s="21">
        <v>45877</v>
      </c>
      <c r="N138" s="22" t="s">
        <v>71</v>
      </c>
      <c r="O138" s="22" t="s">
        <v>42</v>
      </c>
      <c r="P138" s="49">
        <v>78.8</v>
      </c>
      <c r="Q138" s="49">
        <v>78.7</v>
      </c>
      <c r="R138" s="50">
        <f t="shared" si="7"/>
        <v>9.9999999999994316E-2</v>
      </c>
      <c r="T138" s="21">
        <v>45877</v>
      </c>
      <c r="U138" s="22" t="s">
        <v>53</v>
      </c>
      <c r="V138" s="24">
        <v>3</v>
      </c>
      <c r="W138" s="24">
        <v>2</v>
      </c>
      <c r="X138" s="24">
        <v>4</v>
      </c>
      <c r="Y138" s="24">
        <v>5</v>
      </c>
      <c r="Z138" s="20">
        <f t="shared" si="8"/>
        <v>14</v>
      </c>
    </row>
    <row r="139" spans="1:26" ht="17" x14ac:dyDescent="0.2">
      <c r="A139" s="21">
        <v>46008</v>
      </c>
      <c r="B139" s="51">
        <f t="shared" si="6"/>
        <v>51</v>
      </c>
      <c r="C139" s="22" t="s">
        <v>71</v>
      </c>
      <c r="D139" s="23" t="s">
        <v>3</v>
      </c>
      <c r="E139" s="24">
        <v>90</v>
      </c>
      <c r="F139" s="22" t="s">
        <v>65</v>
      </c>
      <c r="H139" s="21">
        <v>45876</v>
      </c>
      <c r="I139" s="22" t="s">
        <v>70</v>
      </c>
      <c r="J139" s="22" t="s">
        <v>52</v>
      </c>
      <c r="K139" s="24">
        <v>7</v>
      </c>
      <c r="M139" s="21">
        <v>45877</v>
      </c>
      <c r="N139" s="22" t="s">
        <v>70</v>
      </c>
      <c r="O139" s="22" t="s">
        <v>43</v>
      </c>
      <c r="P139" s="49">
        <v>89.7</v>
      </c>
      <c r="Q139" s="49">
        <v>88.6</v>
      </c>
      <c r="R139" s="50">
        <f t="shared" si="7"/>
        <v>1.1000000000000085</v>
      </c>
      <c r="T139" s="21">
        <v>45877</v>
      </c>
      <c r="U139" s="22" t="s">
        <v>54</v>
      </c>
      <c r="V139" s="24">
        <v>5</v>
      </c>
      <c r="W139" s="24">
        <v>3</v>
      </c>
      <c r="X139" s="24">
        <v>3</v>
      </c>
      <c r="Y139" s="24">
        <v>4</v>
      </c>
      <c r="Z139" s="20">
        <f t="shared" si="8"/>
        <v>15</v>
      </c>
    </row>
    <row r="140" spans="1:26" x14ac:dyDescent="0.2">
      <c r="A140" s="21">
        <v>46009</v>
      </c>
      <c r="B140" s="51">
        <f t="shared" si="6"/>
        <v>51</v>
      </c>
      <c r="C140" s="22" t="s">
        <v>70</v>
      </c>
      <c r="D140" s="22" t="s">
        <v>3</v>
      </c>
      <c r="E140" s="24">
        <v>80</v>
      </c>
      <c r="F140" s="22" t="s">
        <v>65</v>
      </c>
      <c r="H140" s="21">
        <v>45876</v>
      </c>
      <c r="I140" s="22" t="s">
        <v>70</v>
      </c>
      <c r="J140" s="22" t="s">
        <v>53</v>
      </c>
      <c r="K140" s="24">
        <v>7</v>
      </c>
      <c r="M140" s="21">
        <v>45877</v>
      </c>
      <c r="N140" s="22" t="s">
        <v>70</v>
      </c>
      <c r="O140" s="22" t="s">
        <v>44</v>
      </c>
      <c r="P140" s="49">
        <v>69</v>
      </c>
      <c r="Q140" s="49">
        <v>68.2</v>
      </c>
      <c r="R140" s="50">
        <f t="shared" si="7"/>
        <v>0.79999999999999716</v>
      </c>
      <c r="T140" s="21">
        <v>45877</v>
      </c>
      <c r="U140" s="22" t="s">
        <v>56</v>
      </c>
      <c r="V140" s="24">
        <v>4</v>
      </c>
      <c r="W140" s="24">
        <v>3</v>
      </c>
      <c r="X140" s="24">
        <v>3</v>
      </c>
      <c r="Y140" s="24">
        <v>5</v>
      </c>
      <c r="Z140" s="20">
        <f t="shared" si="8"/>
        <v>15</v>
      </c>
    </row>
    <row r="141" spans="1:26" x14ac:dyDescent="0.2">
      <c r="A141" s="21">
        <v>46010</v>
      </c>
      <c r="B141" s="51">
        <f t="shared" si="6"/>
        <v>51</v>
      </c>
      <c r="C141" s="22" t="s">
        <v>70</v>
      </c>
      <c r="D141" s="22" t="s">
        <v>3</v>
      </c>
      <c r="E141" s="24">
        <v>140</v>
      </c>
      <c r="F141" s="22" t="s">
        <v>65</v>
      </c>
      <c r="H141" s="21">
        <v>45876</v>
      </c>
      <c r="I141" s="22" t="s">
        <v>70</v>
      </c>
      <c r="J141" s="22" t="s">
        <v>44</v>
      </c>
      <c r="K141" s="24">
        <v>7</v>
      </c>
      <c r="M141" s="21">
        <v>45877</v>
      </c>
      <c r="N141" s="22" t="s">
        <v>71</v>
      </c>
      <c r="O141" s="22" t="s">
        <v>44</v>
      </c>
      <c r="P141" s="49">
        <v>69.5</v>
      </c>
      <c r="Q141" s="49">
        <v>68.599999999999994</v>
      </c>
      <c r="R141" s="50">
        <f t="shared" si="7"/>
        <v>0.90000000000000568</v>
      </c>
      <c r="T141" s="21">
        <v>45877</v>
      </c>
      <c r="U141" s="22" t="s">
        <v>57</v>
      </c>
      <c r="V141" s="24">
        <v>4</v>
      </c>
      <c r="W141" s="24">
        <v>4</v>
      </c>
      <c r="X141" s="24">
        <v>4</v>
      </c>
      <c r="Y141" s="24">
        <v>4</v>
      </c>
      <c r="Z141" s="20">
        <f t="shared" si="8"/>
        <v>16</v>
      </c>
    </row>
    <row r="142" spans="1:26" x14ac:dyDescent="0.2">
      <c r="A142" s="21">
        <v>46013</v>
      </c>
      <c r="B142" s="51">
        <f t="shared" si="6"/>
        <v>52</v>
      </c>
      <c r="C142" s="22" t="s">
        <v>70</v>
      </c>
      <c r="D142" s="22" t="s">
        <v>147</v>
      </c>
      <c r="E142" s="24">
        <v>150</v>
      </c>
      <c r="F142" s="22" t="s">
        <v>65</v>
      </c>
      <c r="H142" s="21">
        <v>45876</v>
      </c>
      <c r="I142" s="22" t="s">
        <v>70</v>
      </c>
      <c r="J142" s="22" t="s">
        <v>45</v>
      </c>
      <c r="K142" s="24">
        <v>7</v>
      </c>
      <c r="M142" s="21">
        <v>45877</v>
      </c>
      <c r="N142" s="22" t="s">
        <v>70</v>
      </c>
      <c r="O142" s="22" t="s">
        <v>45</v>
      </c>
      <c r="P142" s="49">
        <v>68.3</v>
      </c>
      <c r="Q142" s="49">
        <v>68</v>
      </c>
      <c r="R142" s="50">
        <f t="shared" si="7"/>
        <v>0.29999999999999716</v>
      </c>
      <c r="T142" s="21">
        <v>45877</v>
      </c>
      <c r="U142" s="22" t="s">
        <v>58</v>
      </c>
      <c r="V142" s="24">
        <v>4</v>
      </c>
      <c r="W142" s="24">
        <v>3</v>
      </c>
      <c r="X142" s="24">
        <v>3</v>
      </c>
      <c r="Y142" s="24">
        <v>5</v>
      </c>
      <c r="Z142" s="20">
        <f t="shared" si="8"/>
        <v>15</v>
      </c>
    </row>
    <row r="143" spans="1:26" ht="17" x14ac:dyDescent="0.2">
      <c r="A143" s="21">
        <v>46014</v>
      </c>
      <c r="B143" s="51">
        <f t="shared" si="6"/>
        <v>52</v>
      </c>
      <c r="C143" s="22" t="s">
        <v>70</v>
      </c>
      <c r="D143" s="23" t="s">
        <v>3</v>
      </c>
      <c r="E143" s="24">
        <v>90</v>
      </c>
      <c r="F143" s="22" t="s">
        <v>65</v>
      </c>
      <c r="H143" s="21">
        <v>45876</v>
      </c>
      <c r="I143" s="22" t="s">
        <v>70</v>
      </c>
      <c r="J143" s="22" t="s">
        <v>57</v>
      </c>
      <c r="K143" s="24">
        <v>7</v>
      </c>
      <c r="M143" s="21">
        <v>45877</v>
      </c>
      <c r="N143" s="22" t="s">
        <v>71</v>
      </c>
      <c r="O143" s="22" t="s">
        <v>45</v>
      </c>
      <c r="P143" s="49">
        <v>68.599999999999994</v>
      </c>
      <c r="Q143" s="49">
        <v>68</v>
      </c>
      <c r="R143" s="50">
        <f t="shared" si="7"/>
        <v>0.59999999999999432</v>
      </c>
      <c r="T143" s="21">
        <v>45877</v>
      </c>
      <c r="U143" s="22" t="s">
        <v>33</v>
      </c>
      <c r="V143" s="24">
        <v>3.8235294117647101</v>
      </c>
      <c r="W143" s="24">
        <v>3.52941176470588</v>
      </c>
      <c r="X143" s="24">
        <v>3.47058823529412</v>
      </c>
      <c r="Y143" s="24">
        <v>4.5882352941176503</v>
      </c>
      <c r="Z143" s="20">
        <f t="shared" si="8"/>
        <v>15.41176470588236</v>
      </c>
    </row>
    <row r="144" spans="1:26" x14ac:dyDescent="0.2">
      <c r="A144" s="21">
        <v>46014</v>
      </c>
      <c r="B144" s="51">
        <f t="shared" si="6"/>
        <v>52</v>
      </c>
      <c r="C144" s="22" t="s">
        <v>71</v>
      </c>
      <c r="D144" s="22" t="s">
        <v>3</v>
      </c>
      <c r="E144" s="24">
        <v>90</v>
      </c>
      <c r="F144" s="22" t="s">
        <v>65</v>
      </c>
      <c r="H144" s="21">
        <v>45876</v>
      </c>
      <c r="I144" s="22" t="s">
        <v>70</v>
      </c>
      <c r="J144" s="22" t="s">
        <v>42</v>
      </c>
      <c r="K144" s="24">
        <v>7</v>
      </c>
      <c r="M144" s="21">
        <v>45877</v>
      </c>
      <c r="N144" s="22" t="s">
        <v>70</v>
      </c>
      <c r="O144" s="22" t="s">
        <v>46</v>
      </c>
      <c r="P144" s="49">
        <v>79.400000000000006</v>
      </c>
      <c r="Q144" s="49">
        <v>79.3</v>
      </c>
      <c r="R144" s="50">
        <f t="shared" si="7"/>
        <v>0.10000000000000853</v>
      </c>
      <c r="T144" s="21">
        <v>45878</v>
      </c>
      <c r="U144" s="22" t="s">
        <v>41</v>
      </c>
      <c r="V144" s="24">
        <v>1</v>
      </c>
      <c r="W144" s="24">
        <v>2</v>
      </c>
      <c r="X144" s="24">
        <v>2</v>
      </c>
      <c r="Y144" s="24">
        <v>2</v>
      </c>
      <c r="Z144" s="20">
        <f t="shared" si="8"/>
        <v>7</v>
      </c>
    </row>
    <row r="145" spans="1:26" x14ac:dyDescent="0.2">
      <c r="A145" s="21">
        <v>46017</v>
      </c>
      <c r="B145" s="51">
        <f t="shared" si="6"/>
        <v>52</v>
      </c>
      <c r="C145" s="22" t="s">
        <v>70</v>
      </c>
      <c r="D145" s="22" t="s">
        <v>3</v>
      </c>
      <c r="E145" s="24">
        <v>100</v>
      </c>
      <c r="F145" s="22" t="s">
        <v>65</v>
      </c>
      <c r="H145" s="21">
        <v>45876</v>
      </c>
      <c r="I145" s="22" t="s">
        <v>70</v>
      </c>
      <c r="J145" s="22" t="s">
        <v>54</v>
      </c>
      <c r="K145" s="24">
        <v>7</v>
      </c>
      <c r="M145" s="21">
        <v>45877</v>
      </c>
      <c r="N145" s="22" t="s">
        <v>71</v>
      </c>
      <c r="O145" s="22" t="s">
        <v>46</v>
      </c>
      <c r="P145" s="49">
        <v>79.900000000000006</v>
      </c>
      <c r="Q145" s="49">
        <v>79.2</v>
      </c>
      <c r="R145" s="50">
        <f t="shared" si="7"/>
        <v>0.70000000000000284</v>
      </c>
      <c r="T145" s="21">
        <v>45878</v>
      </c>
      <c r="U145" s="22" t="s">
        <v>42</v>
      </c>
      <c r="V145" s="24">
        <v>4</v>
      </c>
      <c r="W145" s="24">
        <v>4</v>
      </c>
      <c r="X145" s="24">
        <v>4</v>
      </c>
      <c r="Y145" s="24">
        <v>5</v>
      </c>
      <c r="Z145" s="20">
        <f t="shared" si="8"/>
        <v>17</v>
      </c>
    </row>
    <row r="146" spans="1:26" x14ac:dyDescent="0.2">
      <c r="A146" s="21">
        <v>46018</v>
      </c>
      <c r="B146" s="51">
        <f t="shared" si="6"/>
        <v>52</v>
      </c>
      <c r="C146" s="22" t="s">
        <v>70</v>
      </c>
      <c r="D146" s="22" t="s">
        <v>62</v>
      </c>
      <c r="E146" s="24">
        <v>35</v>
      </c>
      <c r="F146" s="22" t="s">
        <v>65</v>
      </c>
      <c r="H146" s="21">
        <v>45876</v>
      </c>
      <c r="I146" s="22" t="s">
        <v>70</v>
      </c>
      <c r="J146" s="22" t="s">
        <v>47</v>
      </c>
      <c r="K146" s="24">
        <v>7</v>
      </c>
      <c r="M146" s="21">
        <v>45877</v>
      </c>
      <c r="N146" s="22" t="s">
        <v>70</v>
      </c>
      <c r="O146" s="22" t="s">
        <v>47</v>
      </c>
      <c r="P146" s="49">
        <v>71.8</v>
      </c>
      <c r="Q146" s="49">
        <v>71.8</v>
      </c>
      <c r="R146" s="50">
        <f t="shared" si="7"/>
        <v>0</v>
      </c>
      <c r="T146" s="21">
        <v>45878</v>
      </c>
      <c r="U146" s="22" t="s">
        <v>43</v>
      </c>
      <c r="V146" s="24">
        <v>4</v>
      </c>
      <c r="W146" s="24">
        <v>4</v>
      </c>
      <c r="X146" s="24">
        <v>4</v>
      </c>
      <c r="Y146" s="24">
        <v>5</v>
      </c>
      <c r="Z146" s="20">
        <f t="shared" si="8"/>
        <v>17</v>
      </c>
    </row>
    <row r="147" spans="1:26" x14ac:dyDescent="0.2">
      <c r="A147" s="21">
        <v>46018</v>
      </c>
      <c r="B147" s="51">
        <f t="shared" si="6"/>
        <v>52</v>
      </c>
      <c r="C147" s="22" t="s">
        <v>71</v>
      </c>
      <c r="D147" s="22" t="s">
        <v>4</v>
      </c>
      <c r="E147" s="24">
        <v>120</v>
      </c>
      <c r="F147" s="22" t="s">
        <v>65</v>
      </c>
      <c r="H147" s="21">
        <v>45876</v>
      </c>
      <c r="I147" s="22" t="s">
        <v>70</v>
      </c>
      <c r="J147" s="22" t="s">
        <v>41</v>
      </c>
      <c r="K147" s="24">
        <v>7</v>
      </c>
      <c r="M147" s="21">
        <v>45877</v>
      </c>
      <c r="N147" s="22" t="s">
        <v>71</v>
      </c>
      <c r="O147" s="22" t="s">
        <v>47</v>
      </c>
      <c r="P147" s="49">
        <v>71.8</v>
      </c>
      <c r="Q147" s="49">
        <v>71.7</v>
      </c>
      <c r="R147" s="50">
        <f t="shared" si="7"/>
        <v>9.9999999999994316E-2</v>
      </c>
      <c r="T147" s="21">
        <v>45878</v>
      </c>
      <c r="U147" s="22" t="s">
        <v>44</v>
      </c>
      <c r="V147" s="24">
        <v>4</v>
      </c>
      <c r="W147" s="24">
        <v>4</v>
      </c>
      <c r="X147" s="24">
        <v>4</v>
      </c>
      <c r="Y147" s="24">
        <v>5</v>
      </c>
      <c r="Z147" s="20">
        <f t="shared" si="8"/>
        <v>17</v>
      </c>
    </row>
    <row r="148" spans="1:26" x14ac:dyDescent="0.2">
      <c r="A148" s="21">
        <v>46020</v>
      </c>
      <c r="B148" s="51">
        <f t="shared" si="6"/>
        <v>1</v>
      </c>
      <c r="C148" s="22" t="s">
        <v>70</v>
      </c>
      <c r="D148" s="22" t="s">
        <v>147</v>
      </c>
      <c r="E148" s="24">
        <v>135</v>
      </c>
      <c r="F148" s="22" t="s">
        <v>65</v>
      </c>
      <c r="H148" s="21">
        <v>45876</v>
      </c>
      <c r="I148" s="22" t="s">
        <v>70</v>
      </c>
      <c r="J148" s="22" t="s">
        <v>58</v>
      </c>
      <c r="K148" s="24">
        <v>7</v>
      </c>
      <c r="M148" s="21">
        <v>45877</v>
      </c>
      <c r="N148" s="22" t="s">
        <v>70</v>
      </c>
      <c r="O148" s="22" t="s">
        <v>48</v>
      </c>
      <c r="P148" s="49">
        <v>82.4</v>
      </c>
      <c r="Q148" s="49">
        <v>82</v>
      </c>
      <c r="R148" s="50">
        <f t="shared" si="7"/>
        <v>0.40000000000000568</v>
      </c>
      <c r="T148" s="21">
        <v>45878</v>
      </c>
      <c r="U148" s="22" t="s">
        <v>45</v>
      </c>
      <c r="V148" s="24">
        <v>4</v>
      </c>
      <c r="W148" s="24">
        <v>3</v>
      </c>
      <c r="X148" s="24">
        <v>3</v>
      </c>
      <c r="Y148" s="24">
        <v>5</v>
      </c>
      <c r="Z148" s="20">
        <f t="shared" si="8"/>
        <v>15</v>
      </c>
    </row>
    <row r="149" spans="1:26" ht="17" x14ac:dyDescent="0.2">
      <c r="A149" s="21">
        <v>46021</v>
      </c>
      <c r="B149" s="51">
        <f t="shared" si="6"/>
        <v>1</v>
      </c>
      <c r="C149" s="22" t="s">
        <v>70</v>
      </c>
      <c r="D149" s="23" t="s">
        <v>3</v>
      </c>
      <c r="E149" s="24">
        <v>95</v>
      </c>
      <c r="F149" s="22" t="s">
        <v>65</v>
      </c>
      <c r="H149" s="21">
        <v>45876</v>
      </c>
      <c r="I149" s="22" t="s">
        <v>70</v>
      </c>
      <c r="J149" s="22" t="s">
        <v>49</v>
      </c>
      <c r="K149" s="24">
        <v>7</v>
      </c>
      <c r="M149" s="21">
        <v>45877</v>
      </c>
      <c r="N149" s="22" t="s">
        <v>71</v>
      </c>
      <c r="O149" s="22" t="s">
        <v>48</v>
      </c>
      <c r="P149" s="49">
        <v>82</v>
      </c>
      <c r="Q149" s="49">
        <v>80.5</v>
      </c>
      <c r="R149" s="50">
        <f t="shared" si="7"/>
        <v>1.5</v>
      </c>
      <c r="T149" s="21">
        <v>45878</v>
      </c>
      <c r="U149" s="22" t="s">
        <v>46</v>
      </c>
      <c r="V149" s="24">
        <v>5</v>
      </c>
      <c r="W149" s="24">
        <v>4</v>
      </c>
      <c r="X149" s="24">
        <v>4</v>
      </c>
      <c r="Y149" s="24">
        <v>5</v>
      </c>
      <c r="Z149" s="20">
        <f t="shared" si="8"/>
        <v>18</v>
      </c>
    </row>
    <row r="150" spans="1:26" x14ac:dyDescent="0.2">
      <c r="A150" s="21">
        <v>46022</v>
      </c>
      <c r="B150" s="51">
        <f t="shared" si="6"/>
        <v>1</v>
      </c>
      <c r="C150" s="22" t="s">
        <v>70</v>
      </c>
      <c r="D150" s="22" t="s">
        <v>3</v>
      </c>
      <c r="E150" s="24">
        <v>90</v>
      </c>
      <c r="F150" s="22" t="s">
        <v>65</v>
      </c>
      <c r="H150" s="21">
        <v>45876</v>
      </c>
      <c r="I150" s="22" t="s">
        <v>70</v>
      </c>
      <c r="J150" s="22" t="s">
        <v>43</v>
      </c>
      <c r="K150" s="24">
        <v>7</v>
      </c>
      <c r="M150" s="21">
        <v>45877</v>
      </c>
      <c r="N150" s="22" t="s">
        <v>70</v>
      </c>
      <c r="O150" s="22" t="s">
        <v>49</v>
      </c>
      <c r="P150" s="49">
        <v>78.8</v>
      </c>
      <c r="Q150" s="49">
        <v>78.5</v>
      </c>
      <c r="R150" s="50">
        <f t="shared" si="7"/>
        <v>0.29999999999999716</v>
      </c>
      <c r="T150" s="21">
        <v>45878</v>
      </c>
      <c r="U150" s="22" t="s">
        <v>47</v>
      </c>
      <c r="V150" s="24">
        <v>4</v>
      </c>
      <c r="W150" s="24">
        <v>4</v>
      </c>
      <c r="X150" s="24">
        <v>4</v>
      </c>
      <c r="Y150" s="24">
        <v>5</v>
      </c>
      <c r="Z150" s="20">
        <f t="shared" si="8"/>
        <v>17</v>
      </c>
    </row>
    <row r="151" spans="1:26" x14ac:dyDescent="0.2">
      <c r="A151" s="21">
        <v>46024</v>
      </c>
      <c r="B151" s="51">
        <f t="shared" si="6"/>
        <v>1</v>
      </c>
      <c r="C151" s="22" t="s">
        <v>71</v>
      </c>
      <c r="D151" s="22" t="s">
        <v>3</v>
      </c>
      <c r="E151" s="24">
        <v>60</v>
      </c>
      <c r="F151" s="22" t="s">
        <v>65</v>
      </c>
      <c r="H151" s="21">
        <v>45876</v>
      </c>
      <c r="I151" s="22" t="s">
        <v>70</v>
      </c>
      <c r="J151" s="22" t="s">
        <v>50</v>
      </c>
      <c r="K151" s="24">
        <v>7</v>
      </c>
      <c r="M151" s="21">
        <v>45877</v>
      </c>
      <c r="N151" s="22" t="s">
        <v>71</v>
      </c>
      <c r="O151" s="22" t="s">
        <v>49</v>
      </c>
      <c r="P151" s="49">
        <v>78.5</v>
      </c>
      <c r="Q151" s="49">
        <v>78.599999999999994</v>
      </c>
      <c r="R151" s="50">
        <f t="shared" si="7"/>
        <v>-9.9999999999994316E-2</v>
      </c>
      <c r="T151" s="21">
        <v>45878</v>
      </c>
      <c r="U151" s="22" t="s">
        <v>48</v>
      </c>
      <c r="V151" s="24">
        <v>3</v>
      </c>
      <c r="W151" s="24">
        <v>4</v>
      </c>
      <c r="X151" s="24">
        <v>4</v>
      </c>
      <c r="Y151" s="24">
        <v>5</v>
      </c>
      <c r="Z151" s="20">
        <f t="shared" si="8"/>
        <v>16</v>
      </c>
    </row>
    <row r="152" spans="1:26" x14ac:dyDescent="0.2">
      <c r="A152" s="21">
        <v>46025</v>
      </c>
      <c r="B152" s="51">
        <f t="shared" si="6"/>
        <v>1</v>
      </c>
      <c r="C152" s="22" t="s">
        <v>71</v>
      </c>
      <c r="D152" s="22" t="s">
        <v>4</v>
      </c>
      <c r="E152" s="24">
        <v>120</v>
      </c>
      <c r="F152" s="22" t="s">
        <v>65</v>
      </c>
      <c r="H152" s="21">
        <v>45876</v>
      </c>
      <c r="I152" s="22" t="s">
        <v>70</v>
      </c>
      <c r="J152" s="22" t="s">
        <v>51</v>
      </c>
      <c r="K152" s="24">
        <v>7</v>
      </c>
      <c r="M152" s="21">
        <v>45877</v>
      </c>
      <c r="N152" s="22" t="s">
        <v>70</v>
      </c>
      <c r="O152" s="22" t="s">
        <v>50</v>
      </c>
      <c r="P152" s="49">
        <v>69.5</v>
      </c>
      <c r="Q152" s="49">
        <v>69.3</v>
      </c>
      <c r="R152" s="50">
        <f t="shared" si="7"/>
        <v>0.20000000000000284</v>
      </c>
      <c r="T152" s="21">
        <v>45878</v>
      </c>
      <c r="U152" s="22" t="s">
        <v>49</v>
      </c>
      <c r="V152" s="24">
        <v>4</v>
      </c>
      <c r="W152" s="24">
        <v>3</v>
      </c>
      <c r="X152" s="24">
        <v>3</v>
      </c>
      <c r="Y152" s="24">
        <v>4</v>
      </c>
      <c r="Z152" s="20">
        <f t="shared" si="8"/>
        <v>14</v>
      </c>
    </row>
    <row r="153" spans="1:26" x14ac:dyDescent="0.2">
      <c r="A153" s="21">
        <v>46027</v>
      </c>
      <c r="B153" s="51">
        <f t="shared" si="6"/>
        <v>2</v>
      </c>
      <c r="C153" s="22" t="s">
        <v>70</v>
      </c>
      <c r="D153" s="22" t="s">
        <v>3</v>
      </c>
      <c r="E153" s="24">
        <v>90</v>
      </c>
      <c r="F153" s="22" t="s">
        <v>65</v>
      </c>
      <c r="H153" s="21">
        <v>45876</v>
      </c>
      <c r="I153" s="22" t="s">
        <v>70</v>
      </c>
      <c r="J153" s="22" t="s">
        <v>46</v>
      </c>
      <c r="K153" s="24">
        <v>7</v>
      </c>
      <c r="M153" s="21">
        <v>45877</v>
      </c>
      <c r="N153" s="22" t="s">
        <v>71</v>
      </c>
      <c r="O153" s="22" t="s">
        <v>50</v>
      </c>
      <c r="P153" s="49">
        <v>70.3</v>
      </c>
      <c r="Q153" s="49">
        <v>69.7</v>
      </c>
      <c r="R153" s="50">
        <f t="shared" si="7"/>
        <v>0.59999999999999432</v>
      </c>
      <c r="T153" s="21">
        <v>45878</v>
      </c>
      <c r="U153" s="22" t="s">
        <v>50</v>
      </c>
      <c r="V153" s="24">
        <v>4</v>
      </c>
      <c r="W153" s="24">
        <v>4</v>
      </c>
      <c r="X153" s="24">
        <v>4</v>
      </c>
      <c r="Y153" s="24">
        <v>5</v>
      </c>
      <c r="Z153" s="20">
        <f t="shared" si="8"/>
        <v>17</v>
      </c>
    </row>
    <row r="154" spans="1:26" x14ac:dyDescent="0.2">
      <c r="A154" s="21">
        <v>46028</v>
      </c>
      <c r="B154" s="51">
        <f t="shared" si="6"/>
        <v>2</v>
      </c>
      <c r="C154" s="22" t="s">
        <v>71</v>
      </c>
      <c r="D154" s="22" t="s">
        <v>3</v>
      </c>
      <c r="E154" s="24">
        <v>80</v>
      </c>
      <c r="F154" s="22" t="s">
        <v>65</v>
      </c>
      <c r="H154" s="21">
        <v>45876</v>
      </c>
      <c r="I154" s="22" t="s">
        <v>70</v>
      </c>
      <c r="J154" s="22" t="s">
        <v>48</v>
      </c>
      <c r="K154" s="24">
        <v>7</v>
      </c>
      <c r="M154" s="21">
        <v>45877</v>
      </c>
      <c r="N154" s="22" t="s">
        <v>70</v>
      </c>
      <c r="O154" s="22" t="s">
        <v>51</v>
      </c>
      <c r="P154" s="49">
        <v>75.2</v>
      </c>
      <c r="Q154" s="49">
        <v>75</v>
      </c>
      <c r="R154" s="50">
        <f t="shared" si="7"/>
        <v>0.20000000000000284</v>
      </c>
      <c r="T154" s="21">
        <v>45878</v>
      </c>
      <c r="U154" s="22" t="s">
        <v>51</v>
      </c>
      <c r="V154" s="24">
        <v>4</v>
      </c>
      <c r="W154" s="24">
        <v>4</v>
      </c>
      <c r="X154" s="24">
        <v>4</v>
      </c>
      <c r="Y154" s="24">
        <v>5</v>
      </c>
      <c r="Z154" s="20">
        <f t="shared" si="8"/>
        <v>17</v>
      </c>
    </row>
    <row r="155" spans="1:26" x14ac:dyDescent="0.2">
      <c r="A155" s="21">
        <v>46029</v>
      </c>
      <c r="B155" s="51">
        <f t="shared" si="6"/>
        <v>2</v>
      </c>
      <c r="C155" s="22" t="s">
        <v>71</v>
      </c>
      <c r="D155" s="22" t="s">
        <v>4</v>
      </c>
      <c r="E155" s="24">
        <v>120</v>
      </c>
      <c r="F155" s="22" t="s">
        <v>65</v>
      </c>
      <c r="H155" s="21">
        <v>45876</v>
      </c>
      <c r="I155" s="22" t="s">
        <v>70</v>
      </c>
      <c r="J155" s="22" t="s">
        <v>56</v>
      </c>
      <c r="K155" s="24">
        <v>7</v>
      </c>
      <c r="M155" s="21">
        <v>45877</v>
      </c>
      <c r="N155" s="22" t="s">
        <v>71</v>
      </c>
      <c r="O155" s="22" t="s">
        <v>51</v>
      </c>
      <c r="P155" s="49">
        <v>75.3</v>
      </c>
      <c r="Q155" s="49">
        <v>75.3</v>
      </c>
      <c r="R155" s="50">
        <f t="shared" si="7"/>
        <v>0</v>
      </c>
      <c r="T155" s="21">
        <v>45878</v>
      </c>
      <c r="U155" s="22" t="s">
        <v>52</v>
      </c>
      <c r="V155" s="24">
        <v>4</v>
      </c>
      <c r="W155" s="24">
        <v>5</v>
      </c>
      <c r="X155" s="24">
        <v>2</v>
      </c>
      <c r="Y155" s="24">
        <v>4</v>
      </c>
      <c r="Z155" s="20">
        <f t="shared" si="8"/>
        <v>15</v>
      </c>
    </row>
    <row r="156" spans="1:26" x14ac:dyDescent="0.2">
      <c r="A156" s="21">
        <v>46030</v>
      </c>
      <c r="B156" s="51">
        <f t="shared" si="6"/>
        <v>2</v>
      </c>
      <c r="C156" s="22" t="s">
        <v>70</v>
      </c>
      <c r="D156" s="22" t="s">
        <v>149</v>
      </c>
      <c r="E156" s="24">
        <v>75</v>
      </c>
      <c r="F156" s="22" t="s">
        <v>65</v>
      </c>
      <c r="H156" s="21">
        <v>45876</v>
      </c>
      <c r="I156" s="22" t="s">
        <v>71</v>
      </c>
      <c r="J156" s="22" t="s">
        <v>52</v>
      </c>
      <c r="K156" s="24" t="s">
        <v>61</v>
      </c>
      <c r="M156" s="21">
        <v>45877</v>
      </c>
      <c r="N156" s="22" t="s">
        <v>70</v>
      </c>
      <c r="O156" s="22" t="s">
        <v>52</v>
      </c>
      <c r="P156" s="49">
        <v>71.099999999999994</v>
      </c>
      <c r="Q156" s="49">
        <v>70.8</v>
      </c>
      <c r="R156" s="50">
        <f t="shared" si="7"/>
        <v>0.29999999999999716</v>
      </c>
      <c r="T156" s="21">
        <v>45878</v>
      </c>
      <c r="U156" s="22" t="s">
        <v>53</v>
      </c>
      <c r="V156" s="24">
        <v>3</v>
      </c>
      <c r="W156" s="24">
        <v>2</v>
      </c>
      <c r="X156" s="24">
        <v>4</v>
      </c>
      <c r="Y156" s="24">
        <v>5</v>
      </c>
      <c r="Z156" s="20">
        <f t="shared" si="8"/>
        <v>14</v>
      </c>
    </row>
    <row r="157" spans="1:26" x14ac:dyDescent="0.2">
      <c r="A157" s="21">
        <v>46031</v>
      </c>
      <c r="B157" s="51">
        <f t="shared" si="6"/>
        <v>2</v>
      </c>
      <c r="C157" s="22" t="s">
        <v>70</v>
      </c>
      <c r="D157" s="22" t="s">
        <v>3</v>
      </c>
      <c r="E157" s="24">
        <v>90</v>
      </c>
      <c r="F157" s="22" t="s">
        <v>65</v>
      </c>
      <c r="H157" s="21">
        <v>45876</v>
      </c>
      <c r="I157" s="22" t="s">
        <v>71</v>
      </c>
      <c r="J157" s="22" t="s">
        <v>53</v>
      </c>
      <c r="K157" s="24">
        <v>6</v>
      </c>
      <c r="M157" s="21">
        <v>45877</v>
      </c>
      <c r="N157" s="22" t="s">
        <v>71</v>
      </c>
      <c r="O157" s="22" t="s">
        <v>52</v>
      </c>
      <c r="P157" s="49">
        <v>71.099999999999994</v>
      </c>
      <c r="Q157" s="49">
        <v>71.099999999999994</v>
      </c>
      <c r="R157" s="50">
        <f t="shared" si="7"/>
        <v>0</v>
      </c>
      <c r="T157" s="21">
        <v>45878</v>
      </c>
      <c r="U157" s="22" t="s">
        <v>54</v>
      </c>
      <c r="V157" s="24">
        <v>5</v>
      </c>
      <c r="W157" s="24">
        <v>3</v>
      </c>
      <c r="X157" s="24">
        <v>3</v>
      </c>
      <c r="Y157" s="24">
        <v>4</v>
      </c>
      <c r="Z157" s="20">
        <f t="shared" si="8"/>
        <v>15</v>
      </c>
    </row>
    <row r="158" spans="1:26" x14ac:dyDescent="0.2">
      <c r="A158" s="21">
        <v>46032</v>
      </c>
      <c r="B158" s="51">
        <f t="shared" si="6"/>
        <v>2</v>
      </c>
      <c r="C158" s="22" t="s">
        <v>70</v>
      </c>
      <c r="D158" s="22" t="s">
        <v>4</v>
      </c>
      <c r="E158" s="24">
        <v>120</v>
      </c>
      <c r="F158" s="22" t="s">
        <v>65</v>
      </c>
      <c r="H158" s="21">
        <v>45876</v>
      </c>
      <c r="I158" s="22" t="s">
        <v>71</v>
      </c>
      <c r="J158" s="22" t="s">
        <v>44</v>
      </c>
      <c r="K158" s="24">
        <v>6</v>
      </c>
      <c r="M158" s="21">
        <v>45877</v>
      </c>
      <c r="N158" s="22" t="s">
        <v>70</v>
      </c>
      <c r="O158" s="22" t="s">
        <v>53</v>
      </c>
      <c r="P158" s="49">
        <v>67.2</v>
      </c>
      <c r="Q158" s="49">
        <v>67.2</v>
      </c>
      <c r="R158" s="50">
        <f t="shared" si="7"/>
        <v>0</v>
      </c>
      <c r="T158" s="21">
        <v>45878</v>
      </c>
      <c r="U158" s="22" t="s">
        <v>56</v>
      </c>
      <c r="V158" s="24">
        <v>4</v>
      </c>
      <c r="W158" s="24">
        <v>3</v>
      </c>
      <c r="X158" s="24">
        <v>3</v>
      </c>
      <c r="Y158" s="24">
        <v>5</v>
      </c>
      <c r="Z158" s="20">
        <f t="shared" si="8"/>
        <v>15</v>
      </c>
    </row>
    <row r="159" spans="1:26" x14ac:dyDescent="0.2">
      <c r="A159" s="21">
        <v>46041</v>
      </c>
      <c r="B159" s="51">
        <f t="shared" si="6"/>
        <v>4</v>
      </c>
      <c r="C159" s="22" t="s">
        <v>70</v>
      </c>
      <c r="D159" s="22" t="s">
        <v>3</v>
      </c>
      <c r="E159" s="24">
        <v>110</v>
      </c>
      <c r="F159" s="22" t="s">
        <v>65</v>
      </c>
      <c r="H159" s="21">
        <v>45876</v>
      </c>
      <c r="I159" s="22" t="s">
        <v>71</v>
      </c>
      <c r="J159" s="22" t="s">
        <v>45</v>
      </c>
      <c r="K159" s="24">
        <v>6</v>
      </c>
      <c r="M159" s="21">
        <v>45877</v>
      </c>
      <c r="N159" s="22" t="s">
        <v>71</v>
      </c>
      <c r="O159" s="22" t="s">
        <v>53</v>
      </c>
      <c r="P159" s="49">
        <v>68</v>
      </c>
      <c r="Q159" s="49">
        <v>66.8</v>
      </c>
      <c r="R159" s="50">
        <f t="shared" si="7"/>
        <v>1.2000000000000028</v>
      </c>
      <c r="T159" s="21">
        <v>45878</v>
      </c>
      <c r="U159" s="22" t="s">
        <v>57</v>
      </c>
      <c r="V159" s="24">
        <v>4</v>
      </c>
      <c r="W159" s="24">
        <v>4</v>
      </c>
      <c r="X159" s="24">
        <v>4</v>
      </c>
      <c r="Y159" s="24">
        <v>4</v>
      </c>
      <c r="Z159" s="20">
        <f t="shared" si="8"/>
        <v>16</v>
      </c>
    </row>
    <row r="160" spans="1:26" x14ac:dyDescent="0.2">
      <c r="A160" s="21">
        <v>46041</v>
      </c>
      <c r="B160" s="51">
        <f t="shared" si="6"/>
        <v>4</v>
      </c>
      <c r="C160" s="22" t="s">
        <v>71</v>
      </c>
      <c r="D160" s="22" t="s">
        <v>148</v>
      </c>
      <c r="E160" s="24">
        <v>105</v>
      </c>
      <c r="F160" s="22" t="s">
        <v>65</v>
      </c>
      <c r="H160" s="21">
        <v>45876</v>
      </c>
      <c r="I160" s="22" t="s">
        <v>71</v>
      </c>
      <c r="J160" s="22" t="s">
        <v>57</v>
      </c>
      <c r="K160" s="24">
        <v>5</v>
      </c>
      <c r="M160" s="21">
        <v>45877</v>
      </c>
      <c r="N160" s="22" t="s">
        <v>70</v>
      </c>
      <c r="O160" s="22" t="s">
        <v>54</v>
      </c>
      <c r="P160" s="49">
        <v>85.4</v>
      </c>
      <c r="Q160" s="49">
        <v>85</v>
      </c>
      <c r="R160" s="50">
        <f t="shared" si="7"/>
        <v>0.40000000000000568</v>
      </c>
      <c r="T160" s="21">
        <v>45878</v>
      </c>
      <c r="U160" s="22" t="s">
        <v>58</v>
      </c>
      <c r="V160" s="24">
        <v>4</v>
      </c>
      <c r="W160" s="24">
        <v>3</v>
      </c>
      <c r="X160" s="24">
        <v>3</v>
      </c>
      <c r="Y160" s="24">
        <v>5</v>
      </c>
      <c r="Z160" s="20">
        <f t="shared" si="8"/>
        <v>15</v>
      </c>
    </row>
    <row r="161" spans="1:26" ht="17" x14ac:dyDescent="0.2">
      <c r="A161" s="21">
        <v>46042</v>
      </c>
      <c r="B161" s="51">
        <f t="shared" si="6"/>
        <v>4</v>
      </c>
      <c r="C161" s="22" t="s">
        <v>71</v>
      </c>
      <c r="D161" s="23" t="s">
        <v>3</v>
      </c>
      <c r="E161" s="24">
        <v>100</v>
      </c>
      <c r="F161" s="22" t="s">
        <v>65</v>
      </c>
      <c r="H161" s="21">
        <v>45876</v>
      </c>
      <c r="I161" s="22" t="s">
        <v>71</v>
      </c>
      <c r="J161" s="22" t="s">
        <v>42</v>
      </c>
      <c r="K161" s="24">
        <v>5</v>
      </c>
      <c r="M161" s="21">
        <v>45877</v>
      </c>
      <c r="N161" s="22" t="s">
        <v>71</v>
      </c>
      <c r="O161" s="22" t="s">
        <v>54</v>
      </c>
      <c r="P161" s="49">
        <v>84.9</v>
      </c>
      <c r="Q161" s="49">
        <v>84.8</v>
      </c>
      <c r="R161" s="50">
        <f t="shared" si="7"/>
        <v>0.10000000000000853</v>
      </c>
      <c r="T161" s="21">
        <v>45878</v>
      </c>
      <c r="U161" s="22" t="s">
        <v>33</v>
      </c>
      <c r="V161" s="24">
        <v>3.8235294117647101</v>
      </c>
      <c r="W161" s="24">
        <v>3.52941176470588</v>
      </c>
      <c r="X161" s="24">
        <v>3.47058823529412</v>
      </c>
      <c r="Y161" s="24">
        <v>4.5882352941176503</v>
      </c>
      <c r="Z161" s="20">
        <f t="shared" si="8"/>
        <v>15.41176470588236</v>
      </c>
    </row>
    <row r="162" spans="1:26" x14ac:dyDescent="0.2">
      <c r="A162" s="21">
        <v>46043</v>
      </c>
      <c r="B162" s="51">
        <f t="shared" si="6"/>
        <v>4</v>
      </c>
      <c r="C162" s="22" t="s">
        <v>70</v>
      </c>
      <c r="D162" s="22" t="s">
        <v>3</v>
      </c>
      <c r="E162" s="24">
        <v>90</v>
      </c>
      <c r="F162" s="22" t="s">
        <v>65</v>
      </c>
      <c r="H162" s="21">
        <v>45876</v>
      </c>
      <c r="I162" s="22" t="s">
        <v>71</v>
      </c>
      <c r="J162" s="22" t="s">
        <v>54</v>
      </c>
      <c r="K162" s="24">
        <v>7</v>
      </c>
      <c r="M162" s="21">
        <v>45877</v>
      </c>
      <c r="N162" s="22" t="s">
        <v>70</v>
      </c>
      <c r="O162" s="22" t="s">
        <v>56</v>
      </c>
      <c r="P162" s="49">
        <v>74.599999999999994</v>
      </c>
      <c r="Q162" s="49">
        <v>74.8</v>
      </c>
      <c r="R162" s="50">
        <f t="shared" si="7"/>
        <v>-0.20000000000000284</v>
      </c>
      <c r="T162" s="21">
        <v>45880</v>
      </c>
      <c r="U162" s="22" t="s">
        <v>41</v>
      </c>
      <c r="V162" s="24">
        <v>2</v>
      </c>
      <c r="W162" s="24">
        <v>2</v>
      </c>
      <c r="X162" s="24">
        <v>2</v>
      </c>
      <c r="Y162" s="24">
        <v>2</v>
      </c>
      <c r="Z162" s="20">
        <f t="shared" si="8"/>
        <v>8</v>
      </c>
    </row>
    <row r="163" spans="1:26" x14ac:dyDescent="0.2">
      <c r="A163" s="21">
        <v>46043</v>
      </c>
      <c r="B163" s="51">
        <f t="shared" si="6"/>
        <v>4</v>
      </c>
      <c r="C163" s="22" t="s">
        <v>71</v>
      </c>
      <c r="D163" s="22" t="s">
        <v>3</v>
      </c>
      <c r="E163" s="24">
        <v>90</v>
      </c>
      <c r="F163" s="22" t="s">
        <v>65</v>
      </c>
      <c r="H163" s="21">
        <v>45876</v>
      </c>
      <c r="I163" s="22" t="s">
        <v>71</v>
      </c>
      <c r="J163" s="22" t="s">
        <v>47</v>
      </c>
      <c r="K163" s="24">
        <v>6</v>
      </c>
      <c r="M163" s="21">
        <v>45877</v>
      </c>
      <c r="N163" s="22" t="s">
        <v>71</v>
      </c>
      <c r="O163" s="22" t="s">
        <v>56</v>
      </c>
      <c r="P163" s="49">
        <v>74.8</v>
      </c>
      <c r="Q163" s="49">
        <v>74.8</v>
      </c>
      <c r="R163" s="50">
        <f t="shared" si="7"/>
        <v>0</v>
      </c>
      <c r="T163" s="21">
        <v>45880</v>
      </c>
      <c r="U163" s="22" t="s">
        <v>42</v>
      </c>
      <c r="V163" s="24">
        <v>3</v>
      </c>
      <c r="W163" s="24">
        <v>4</v>
      </c>
      <c r="X163" s="24">
        <v>4</v>
      </c>
      <c r="Y163" s="24">
        <v>5</v>
      </c>
      <c r="Z163" s="20">
        <f t="shared" si="8"/>
        <v>16</v>
      </c>
    </row>
    <row r="164" spans="1:26" x14ac:dyDescent="0.2">
      <c r="A164" s="21">
        <v>46044</v>
      </c>
      <c r="B164" s="51">
        <f t="shared" si="6"/>
        <v>4</v>
      </c>
      <c r="C164" s="22" t="s">
        <v>70</v>
      </c>
      <c r="D164" s="22" t="s">
        <v>3</v>
      </c>
      <c r="E164" s="24">
        <v>105</v>
      </c>
      <c r="F164" s="22" t="s">
        <v>65</v>
      </c>
      <c r="H164" s="21">
        <v>45876</v>
      </c>
      <c r="I164" s="22" t="s">
        <v>71</v>
      </c>
      <c r="J164" s="22" t="s">
        <v>41</v>
      </c>
      <c r="K164" s="24">
        <v>4</v>
      </c>
      <c r="M164" s="21">
        <v>45877</v>
      </c>
      <c r="N164" s="22" t="s">
        <v>70</v>
      </c>
      <c r="O164" s="22" t="s">
        <v>57</v>
      </c>
      <c r="P164" s="49">
        <v>93.8</v>
      </c>
      <c r="Q164" s="49">
        <v>93.6</v>
      </c>
      <c r="R164" s="50">
        <f t="shared" si="7"/>
        <v>0.20000000000000284</v>
      </c>
      <c r="T164" s="21">
        <v>45880</v>
      </c>
      <c r="U164" s="22" t="s">
        <v>43</v>
      </c>
      <c r="V164" s="24">
        <v>5</v>
      </c>
      <c r="W164" s="24">
        <v>4</v>
      </c>
      <c r="X164" s="24">
        <v>4</v>
      </c>
      <c r="Y164" s="24">
        <v>5</v>
      </c>
      <c r="Z164" s="20">
        <f t="shared" si="8"/>
        <v>18</v>
      </c>
    </row>
    <row r="165" spans="1:26" x14ac:dyDescent="0.2">
      <c r="A165" s="21">
        <v>46044</v>
      </c>
      <c r="B165" s="51">
        <f t="shared" si="6"/>
        <v>4</v>
      </c>
      <c r="C165" s="22" t="s">
        <v>71</v>
      </c>
      <c r="D165" s="22" t="s">
        <v>148</v>
      </c>
      <c r="E165" s="24">
        <v>105</v>
      </c>
      <c r="F165" s="22" t="s">
        <v>65</v>
      </c>
      <c r="H165" s="21">
        <v>45876</v>
      </c>
      <c r="I165" s="22" t="s">
        <v>71</v>
      </c>
      <c r="J165" s="22" t="s">
        <v>58</v>
      </c>
      <c r="K165" s="24">
        <v>6</v>
      </c>
      <c r="M165" s="21">
        <v>45877</v>
      </c>
      <c r="N165" s="22" t="s">
        <v>71</v>
      </c>
      <c r="O165" s="22" t="s">
        <v>57</v>
      </c>
      <c r="P165" s="49">
        <v>94.3</v>
      </c>
      <c r="Q165" s="49">
        <v>92.7</v>
      </c>
      <c r="R165" s="50">
        <f t="shared" si="7"/>
        <v>1.5999999999999943</v>
      </c>
      <c r="T165" s="21">
        <v>45880</v>
      </c>
      <c r="U165" s="22" t="s">
        <v>44</v>
      </c>
      <c r="V165" s="24">
        <v>4</v>
      </c>
      <c r="W165" s="24">
        <v>4</v>
      </c>
      <c r="X165" s="24">
        <v>4</v>
      </c>
      <c r="Y165" s="24">
        <v>5</v>
      </c>
      <c r="Z165" s="20">
        <f t="shared" si="8"/>
        <v>17</v>
      </c>
    </row>
    <row r="166" spans="1:26" ht="17" x14ac:dyDescent="0.2">
      <c r="A166" s="21">
        <v>46045</v>
      </c>
      <c r="B166" s="51">
        <f t="shared" si="6"/>
        <v>4</v>
      </c>
      <c r="C166" s="22" t="s">
        <v>70</v>
      </c>
      <c r="D166" s="23" t="s">
        <v>3</v>
      </c>
      <c r="E166" s="24">
        <v>85</v>
      </c>
      <c r="F166" s="22" t="s">
        <v>65</v>
      </c>
      <c r="H166" s="21">
        <v>45876</v>
      </c>
      <c r="I166" s="22" t="s">
        <v>71</v>
      </c>
      <c r="J166" s="22" t="s">
        <v>49</v>
      </c>
      <c r="K166" s="24">
        <v>8</v>
      </c>
      <c r="M166" s="21">
        <v>45877</v>
      </c>
      <c r="N166" s="22" t="s">
        <v>70</v>
      </c>
      <c r="O166" s="22" t="s">
        <v>58</v>
      </c>
      <c r="P166" s="49">
        <v>75.599999999999994</v>
      </c>
      <c r="Q166" s="49">
        <v>75</v>
      </c>
      <c r="R166" s="50">
        <f t="shared" si="7"/>
        <v>0.59999999999999432</v>
      </c>
      <c r="T166" s="21">
        <v>45880</v>
      </c>
      <c r="U166" s="22" t="s">
        <v>45</v>
      </c>
      <c r="V166" s="24">
        <v>4</v>
      </c>
      <c r="W166" s="24">
        <v>4</v>
      </c>
      <c r="X166" s="24">
        <v>3</v>
      </c>
      <c r="Y166" s="24">
        <v>5</v>
      </c>
      <c r="Z166" s="20">
        <f t="shared" si="8"/>
        <v>16</v>
      </c>
    </row>
    <row r="167" spans="1:26" x14ac:dyDescent="0.2">
      <c r="A167" s="21">
        <v>46048</v>
      </c>
      <c r="B167" s="51">
        <f t="shared" si="6"/>
        <v>5</v>
      </c>
      <c r="C167" s="22" t="s">
        <v>71</v>
      </c>
      <c r="D167" s="22" t="s">
        <v>3</v>
      </c>
      <c r="E167" s="24">
        <v>120</v>
      </c>
      <c r="F167" s="22" t="s">
        <v>65</v>
      </c>
      <c r="H167" s="21">
        <v>45876</v>
      </c>
      <c r="I167" s="22" t="s">
        <v>71</v>
      </c>
      <c r="J167" s="22" t="s">
        <v>43</v>
      </c>
      <c r="K167" s="24">
        <v>5</v>
      </c>
      <c r="M167" s="21">
        <v>45880</v>
      </c>
      <c r="N167" s="22" t="s">
        <v>71</v>
      </c>
      <c r="O167" s="22" t="s">
        <v>41</v>
      </c>
      <c r="P167" s="49">
        <v>76.900000000000006</v>
      </c>
      <c r="Q167" s="49">
        <v>76.5</v>
      </c>
      <c r="R167" s="50">
        <f t="shared" si="7"/>
        <v>0.40000000000000568</v>
      </c>
      <c r="T167" s="21">
        <v>45880</v>
      </c>
      <c r="U167" s="22" t="s">
        <v>46</v>
      </c>
      <c r="V167" s="24">
        <v>5</v>
      </c>
      <c r="W167" s="24">
        <v>5</v>
      </c>
      <c r="X167" s="24">
        <v>5</v>
      </c>
      <c r="Y167" s="24">
        <v>5</v>
      </c>
      <c r="Z167" s="20">
        <f t="shared" si="8"/>
        <v>20</v>
      </c>
    </row>
    <row r="168" spans="1:26" x14ac:dyDescent="0.2">
      <c r="A168" s="21">
        <v>46049</v>
      </c>
      <c r="B168" s="51">
        <f t="shared" si="6"/>
        <v>5</v>
      </c>
      <c r="C168" s="22" t="s">
        <v>70</v>
      </c>
      <c r="D168" s="22" t="s">
        <v>148</v>
      </c>
      <c r="E168" s="24">
        <v>105</v>
      </c>
      <c r="F168" s="22" t="s">
        <v>65</v>
      </c>
      <c r="H168" s="21">
        <v>45876</v>
      </c>
      <c r="I168" s="22" t="s">
        <v>71</v>
      </c>
      <c r="J168" s="22" t="s">
        <v>50</v>
      </c>
      <c r="K168" s="24">
        <v>7</v>
      </c>
      <c r="M168" s="21">
        <v>45880</v>
      </c>
      <c r="N168" s="22" t="s">
        <v>71</v>
      </c>
      <c r="O168" s="22" t="s">
        <v>42</v>
      </c>
      <c r="P168" s="49">
        <v>79.3</v>
      </c>
      <c r="Q168" s="49">
        <v>78.400000000000006</v>
      </c>
      <c r="R168" s="50">
        <f t="shared" si="7"/>
        <v>0.89999999999999147</v>
      </c>
      <c r="T168" s="21">
        <v>45880</v>
      </c>
      <c r="U168" s="22" t="s">
        <v>47</v>
      </c>
      <c r="V168" s="24">
        <v>3</v>
      </c>
      <c r="W168" s="24">
        <v>4</v>
      </c>
      <c r="X168" s="24">
        <v>5</v>
      </c>
      <c r="Y168" s="24">
        <v>5</v>
      </c>
      <c r="Z168" s="20">
        <f t="shared" si="8"/>
        <v>17</v>
      </c>
    </row>
    <row r="169" spans="1:26" ht="17" x14ac:dyDescent="0.2">
      <c r="A169" s="21">
        <v>46049</v>
      </c>
      <c r="B169" s="51">
        <f t="shared" si="6"/>
        <v>5</v>
      </c>
      <c r="C169" s="22" t="s">
        <v>71</v>
      </c>
      <c r="D169" s="23" t="s">
        <v>3</v>
      </c>
      <c r="E169" s="24">
        <v>90</v>
      </c>
      <c r="F169" s="22" t="s">
        <v>65</v>
      </c>
      <c r="H169" s="21">
        <v>45876</v>
      </c>
      <c r="I169" s="22" t="s">
        <v>71</v>
      </c>
      <c r="J169" s="22" t="s">
        <v>51</v>
      </c>
      <c r="K169" s="24">
        <v>7</v>
      </c>
      <c r="M169" s="21">
        <v>45880</v>
      </c>
      <c r="N169" s="22" t="s">
        <v>71</v>
      </c>
      <c r="O169" s="22" t="s">
        <v>43</v>
      </c>
      <c r="P169" s="49">
        <v>88.9</v>
      </c>
      <c r="Q169" s="49">
        <v>88.6</v>
      </c>
      <c r="R169" s="50">
        <f t="shared" si="7"/>
        <v>0.30000000000001137</v>
      </c>
      <c r="T169" s="21">
        <v>45880</v>
      </c>
      <c r="U169" s="22" t="s">
        <v>48</v>
      </c>
      <c r="V169" s="24">
        <v>4</v>
      </c>
      <c r="W169" s="24">
        <v>4</v>
      </c>
      <c r="X169" s="24">
        <v>4</v>
      </c>
      <c r="Y169" s="24">
        <v>5</v>
      </c>
      <c r="Z169" s="20">
        <f t="shared" si="8"/>
        <v>17</v>
      </c>
    </row>
    <row r="170" spans="1:26" x14ac:dyDescent="0.2">
      <c r="A170" s="21">
        <v>46050</v>
      </c>
      <c r="B170" s="51">
        <f t="shared" si="6"/>
        <v>5</v>
      </c>
      <c r="C170" s="22" t="s">
        <v>70</v>
      </c>
      <c r="D170" s="22" t="s">
        <v>3</v>
      </c>
      <c r="E170" s="24">
        <v>105</v>
      </c>
      <c r="F170" s="22" t="s">
        <v>65</v>
      </c>
      <c r="H170" s="21">
        <v>45876</v>
      </c>
      <c r="I170" s="22" t="s">
        <v>71</v>
      </c>
      <c r="J170" s="22" t="s">
        <v>46</v>
      </c>
      <c r="K170" s="24">
        <v>6</v>
      </c>
      <c r="M170" s="21">
        <v>45880</v>
      </c>
      <c r="N170" s="22" t="s">
        <v>71</v>
      </c>
      <c r="O170" s="22" t="s">
        <v>44</v>
      </c>
      <c r="P170" s="49">
        <v>68.099999999999994</v>
      </c>
      <c r="Q170" s="49">
        <v>68.599999999999994</v>
      </c>
      <c r="R170" s="50">
        <f t="shared" si="7"/>
        <v>-0.5</v>
      </c>
      <c r="T170" s="21">
        <v>45880</v>
      </c>
      <c r="U170" s="22" t="s">
        <v>49</v>
      </c>
      <c r="V170" s="24">
        <v>3</v>
      </c>
      <c r="W170" s="24">
        <v>4</v>
      </c>
      <c r="X170" s="24">
        <v>3</v>
      </c>
      <c r="Y170" s="24">
        <v>4</v>
      </c>
      <c r="Z170" s="20">
        <f t="shared" si="8"/>
        <v>14</v>
      </c>
    </row>
    <row r="171" spans="1:26" x14ac:dyDescent="0.2">
      <c r="A171" s="21">
        <v>46051</v>
      </c>
      <c r="B171" s="51">
        <f t="shared" si="6"/>
        <v>5</v>
      </c>
      <c r="C171" s="22" t="s">
        <v>71</v>
      </c>
      <c r="D171" s="22" t="s">
        <v>3</v>
      </c>
      <c r="E171" s="24">
        <v>90</v>
      </c>
      <c r="F171" s="22" t="s">
        <v>65</v>
      </c>
      <c r="H171" s="21">
        <v>45876</v>
      </c>
      <c r="I171" s="22" t="s">
        <v>71</v>
      </c>
      <c r="J171" s="22" t="s">
        <v>48</v>
      </c>
      <c r="K171" s="24">
        <v>6</v>
      </c>
      <c r="M171" s="21">
        <v>45880</v>
      </c>
      <c r="N171" s="22" t="s">
        <v>71</v>
      </c>
      <c r="O171" s="22" t="s">
        <v>45</v>
      </c>
      <c r="P171" s="49">
        <v>68.5</v>
      </c>
      <c r="Q171" s="49">
        <v>68</v>
      </c>
      <c r="R171" s="50">
        <f t="shared" si="7"/>
        <v>0.5</v>
      </c>
      <c r="T171" s="21">
        <v>45880</v>
      </c>
      <c r="U171" s="22" t="s">
        <v>50</v>
      </c>
      <c r="V171" s="24">
        <v>3</v>
      </c>
      <c r="W171" s="24">
        <v>4</v>
      </c>
      <c r="X171" s="24">
        <v>4</v>
      </c>
      <c r="Y171" s="24">
        <v>5</v>
      </c>
      <c r="Z171" s="20">
        <f t="shared" si="8"/>
        <v>16</v>
      </c>
    </row>
    <row r="172" spans="1:26" x14ac:dyDescent="0.2">
      <c r="A172" s="21">
        <v>46052</v>
      </c>
      <c r="B172" s="51">
        <f t="shared" si="6"/>
        <v>5</v>
      </c>
      <c r="C172" s="22" t="s">
        <v>71</v>
      </c>
      <c r="D172" s="22" t="s">
        <v>4</v>
      </c>
      <c r="E172" s="24">
        <v>120</v>
      </c>
      <c r="F172" s="22" t="s">
        <v>65</v>
      </c>
      <c r="H172" s="21">
        <v>45876</v>
      </c>
      <c r="I172" s="22" t="s">
        <v>71</v>
      </c>
      <c r="J172" s="22" t="s">
        <v>56</v>
      </c>
      <c r="K172" s="24">
        <v>7</v>
      </c>
      <c r="M172" s="21">
        <v>45880</v>
      </c>
      <c r="N172" s="22" t="s">
        <v>71</v>
      </c>
      <c r="O172" s="22" t="s">
        <v>46</v>
      </c>
      <c r="P172" s="49">
        <v>79.5</v>
      </c>
      <c r="Q172" s="49">
        <v>79</v>
      </c>
      <c r="R172" s="50">
        <f t="shared" si="7"/>
        <v>0.5</v>
      </c>
      <c r="T172" s="21">
        <v>45880</v>
      </c>
      <c r="U172" s="22" t="s">
        <v>51</v>
      </c>
      <c r="V172" s="24">
        <v>4</v>
      </c>
      <c r="W172" s="24">
        <v>4</v>
      </c>
      <c r="X172" s="24">
        <v>5</v>
      </c>
      <c r="Y172" s="24">
        <v>5</v>
      </c>
      <c r="Z172" s="20">
        <f t="shared" si="8"/>
        <v>18</v>
      </c>
    </row>
    <row r="173" spans="1:26" x14ac:dyDescent="0.2">
      <c r="A173" s="21">
        <v>46055</v>
      </c>
      <c r="B173" s="51">
        <f t="shared" si="6"/>
        <v>6</v>
      </c>
      <c r="C173" s="22" t="s">
        <v>70</v>
      </c>
      <c r="D173" s="22" t="s">
        <v>148</v>
      </c>
      <c r="E173" s="24">
        <v>90</v>
      </c>
      <c r="F173" s="22" t="s">
        <v>65</v>
      </c>
      <c r="H173" s="21">
        <v>45877</v>
      </c>
      <c r="I173" s="22" t="s">
        <v>70</v>
      </c>
      <c r="J173" s="22" t="s">
        <v>52</v>
      </c>
      <c r="K173" s="24" t="s">
        <v>61</v>
      </c>
      <c r="M173" s="21">
        <v>45880</v>
      </c>
      <c r="N173" s="22" t="s">
        <v>71</v>
      </c>
      <c r="O173" s="22" t="s">
        <v>47</v>
      </c>
      <c r="P173" s="49">
        <v>71.3</v>
      </c>
      <c r="Q173" s="49">
        <v>71.2</v>
      </c>
      <c r="R173" s="50">
        <f t="shared" si="7"/>
        <v>9.9999999999994316E-2</v>
      </c>
      <c r="T173" s="21">
        <v>45880</v>
      </c>
      <c r="U173" s="22" t="s">
        <v>52</v>
      </c>
      <c r="V173" s="24">
        <v>4</v>
      </c>
      <c r="W173" s="24">
        <v>5</v>
      </c>
      <c r="X173" s="24">
        <v>1</v>
      </c>
      <c r="Y173" s="24">
        <v>2</v>
      </c>
      <c r="Z173" s="20">
        <f t="shared" si="8"/>
        <v>12</v>
      </c>
    </row>
    <row r="174" spans="1:26" ht="17" x14ac:dyDescent="0.2">
      <c r="A174" s="21">
        <v>46055</v>
      </c>
      <c r="B174" s="51">
        <f t="shared" si="6"/>
        <v>6</v>
      </c>
      <c r="C174" s="22" t="s">
        <v>71</v>
      </c>
      <c r="D174" s="23" t="s">
        <v>3</v>
      </c>
      <c r="E174" s="24">
        <v>90</v>
      </c>
      <c r="F174" s="22" t="s">
        <v>65</v>
      </c>
      <c r="H174" s="21">
        <v>45877</v>
      </c>
      <c r="I174" s="22" t="s">
        <v>70</v>
      </c>
      <c r="J174" s="22" t="s">
        <v>53</v>
      </c>
      <c r="K174" s="24">
        <v>4</v>
      </c>
      <c r="M174" s="21">
        <v>45880</v>
      </c>
      <c r="N174" s="22" t="s">
        <v>71</v>
      </c>
      <c r="O174" s="22" t="s">
        <v>48</v>
      </c>
      <c r="P174" s="49">
        <v>82.8</v>
      </c>
      <c r="Q174" s="49">
        <v>81.599999999999994</v>
      </c>
      <c r="R174" s="50">
        <f t="shared" si="7"/>
        <v>1.2000000000000028</v>
      </c>
      <c r="T174" s="21">
        <v>45880</v>
      </c>
      <c r="U174" s="22" t="s">
        <v>53</v>
      </c>
      <c r="V174" s="24">
        <v>4</v>
      </c>
      <c r="W174" s="24">
        <v>4</v>
      </c>
      <c r="X174" s="24">
        <v>5</v>
      </c>
      <c r="Y174" s="24">
        <v>5</v>
      </c>
      <c r="Z174" s="20">
        <f t="shared" si="8"/>
        <v>18</v>
      </c>
    </row>
    <row r="175" spans="1:26" x14ac:dyDescent="0.2">
      <c r="A175" s="21">
        <v>46056</v>
      </c>
      <c r="B175" s="51">
        <f t="shared" si="6"/>
        <v>6</v>
      </c>
      <c r="C175" s="22" t="s">
        <v>71</v>
      </c>
      <c r="D175" s="22" t="s">
        <v>3</v>
      </c>
      <c r="E175" s="24">
        <v>90</v>
      </c>
      <c r="F175" s="22" t="s">
        <v>65</v>
      </c>
      <c r="H175" s="21">
        <v>45877</v>
      </c>
      <c r="I175" s="22" t="s">
        <v>70</v>
      </c>
      <c r="J175" s="22" t="s">
        <v>44</v>
      </c>
      <c r="K175" s="24">
        <v>3</v>
      </c>
      <c r="M175" s="21">
        <v>45880</v>
      </c>
      <c r="N175" s="22" t="s">
        <v>71</v>
      </c>
      <c r="O175" s="22" t="s">
        <v>49</v>
      </c>
      <c r="P175" s="49">
        <v>78.7</v>
      </c>
      <c r="Q175" s="49">
        <v>78.2</v>
      </c>
      <c r="R175" s="50">
        <f t="shared" si="7"/>
        <v>0.5</v>
      </c>
      <c r="T175" s="21">
        <v>45880</v>
      </c>
      <c r="U175" s="22" t="s">
        <v>54</v>
      </c>
      <c r="V175" s="24">
        <v>3</v>
      </c>
      <c r="W175" s="24">
        <v>4</v>
      </c>
      <c r="X175" s="24">
        <v>5</v>
      </c>
      <c r="Y175" s="24">
        <v>4</v>
      </c>
      <c r="Z175" s="20">
        <f t="shared" si="8"/>
        <v>16</v>
      </c>
    </row>
    <row r="176" spans="1:26" x14ac:dyDescent="0.2">
      <c r="A176" s="21">
        <v>46057</v>
      </c>
      <c r="B176" s="51">
        <f t="shared" si="6"/>
        <v>6</v>
      </c>
      <c r="C176" s="22" t="s">
        <v>70</v>
      </c>
      <c r="D176" s="22" t="s">
        <v>147</v>
      </c>
      <c r="E176" s="24">
        <v>150</v>
      </c>
      <c r="F176" s="22" t="s">
        <v>65</v>
      </c>
      <c r="H176" s="21">
        <v>45877</v>
      </c>
      <c r="I176" s="22" t="s">
        <v>70</v>
      </c>
      <c r="J176" s="22" t="s">
        <v>45</v>
      </c>
      <c r="K176" s="24">
        <v>3</v>
      </c>
      <c r="M176" s="21">
        <v>45880</v>
      </c>
      <c r="N176" s="22" t="s">
        <v>71</v>
      </c>
      <c r="O176" s="22" t="s">
        <v>50</v>
      </c>
      <c r="P176" s="49">
        <v>71.3</v>
      </c>
      <c r="Q176" s="49">
        <v>70.5</v>
      </c>
      <c r="R176" s="50">
        <f t="shared" si="7"/>
        <v>0.79999999999999716</v>
      </c>
      <c r="T176" s="21">
        <v>45880</v>
      </c>
      <c r="U176" s="22" t="s">
        <v>56</v>
      </c>
      <c r="V176" s="24">
        <v>4</v>
      </c>
      <c r="W176" s="24">
        <v>4</v>
      </c>
      <c r="X176" s="24">
        <v>4</v>
      </c>
      <c r="Y176" s="24">
        <v>5</v>
      </c>
      <c r="Z176" s="20">
        <f t="shared" si="8"/>
        <v>17</v>
      </c>
    </row>
    <row r="177" spans="1:26" ht="17" x14ac:dyDescent="0.2">
      <c r="A177" s="21">
        <v>46058</v>
      </c>
      <c r="B177" s="51">
        <f t="shared" si="6"/>
        <v>6</v>
      </c>
      <c r="C177" s="22" t="s">
        <v>70</v>
      </c>
      <c r="D177" s="23" t="s">
        <v>3</v>
      </c>
      <c r="E177" s="24">
        <v>100</v>
      </c>
      <c r="F177" s="22" t="s">
        <v>65</v>
      </c>
      <c r="H177" s="21">
        <v>45877</v>
      </c>
      <c r="I177" s="22" t="s">
        <v>70</v>
      </c>
      <c r="J177" s="22" t="s">
        <v>57</v>
      </c>
      <c r="K177" s="24">
        <v>3</v>
      </c>
      <c r="M177" s="21">
        <v>45880</v>
      </c>
      <c r="N177" s="22" t="s">
        <v>71</v>
      </c>
      <c r="O177" s="22" t="s">
        <v>51</v>
      </c>
      <c r="P177" s="49">
        <v>75.7</v>
      </c>
      <c r="Q177" s="49">
        <v>75</v>
      </c>
      <c r="R177" s="50">
        <f t="shared" si="7"/>
        <v>0.70000000000000284</v>
      </c>
      <c r="T177" s="21">
        <v>45880</v>
      </c>
      <c r="U177" s="22" t="s">
        <v>57</v>
      </c>
      <c r="V177" s="24">
        <v>4</v>
      </c>
      <c r="W177" s="24">
        <v>4</v>
      </c>
      <c r="X177" s="24">
        <v>5</v>
      </c>
      <c r="Y177" s="24">
        <v>5</v>
      </c>
      <c r="Z177" s="20">
        <f t="shared" si="8"/>
        <v>18</v>
      </c>
    </row>
    <row r="178" spans="1:26" x14ac:dyDescent="0.2">
      <c r="A178" s="21">
        <v>46059</v>
      </c>
      <c r="B178" s="51">
        <f t="shared" si="6"/>
        <v>6</v>
      </c>
      <c r="C178" s="22" t="s">
        <v>71</v>
      </c>
      <c r="D178" s="22" t="s">
        <v>4</v>
      </c>
      <c r="E178" s="24">
        <v>120</v>
      </c>
      <c r="F178" s="22" t="s">
        <v>65</v>
      </c>
      <c r="H178" s="21">
        <v>45877</v>
      </c>
      <c r="I178" s="22" t="s">
        <v>70</v>
      </c>
      <c r="J178" s="22" t="s">
        <v>42</v>
      </c>
      <c r="K178" s="24">
        <v>3</v>
      </c>
      <c r="M178" s="21">
        <v>45880</v>
      </c>
      <c r="N178" s="22" t="s">
        <v>71</v>
      </c>
      <c r="O178" s="22" t="s">
        <v>52</v>
      </c>
      <c r="P178" s="49">
        <v>71.2</v>
      </c>
      <c r="Q178" s="49">
        <v>70.5</v>
      </c>
      <c r="R178" s="50">
        <f t="shared" si="7"/>
        <v>0.70000000000000284</v>
      </c>
      <c r="T178" s="21">
        <v>45880</v>
      </c>
      <c r="U178" s="22" t="s">
        <v>58</v>
      </c>
      <c r="V178" s="24">
        <v>5</v>
      </c>
      <c r="W178" s="24">
        <v>4</v>
      </c>
      <c r="X178" s="24">
        <v>4</v>
      </c>
      <c r="Y178" s="24">
        <v>5</v>
      </c>
      <c r="Z178" s="20">
        <f t="shared" si="8"/>
        <v>18</v>
      </c>
    </row>
    <row r="179" spans="1:26" x14ac:dyDescent="0.2">
      <c r="A179" s="21">
        <v>46061</v>
      </c>
      <c r="B179" s="51">
        <f t="shared" si="6"/>
        <v>6</v>
      </c>
      <c r="C179" s="22" t="s">
        <v>70</v>
      </c>
      <c r="D179" s="22" t="s">
        <v>3</v>
      </c>
      <c r="E179" s="24">
        <v>105</v>
      </c>
      <c r="F179" s="22" t="s">
        <v>65</v>
      </c>
      <c r="H179" s="21">
        <v>45877</v>
      </c>
      <c r="I179" s="22" t="s">
        <v>70</v>
      </c>
      <c r="J179" s="22" t="s">
        <v>54</v>
      </c>
      <c r="K179" s="24">
        <v>3</v>
      </c>
      <c r="M179" s="21">
        <v>45880</v>
      </c>
      <c r="N179" s="22" t="s">
        <v>71</v>
      </c>
      <c r="O179" s="22" t="s">
        <v>53</v>
      </c>
      <c r="P179" s="49">
        <v>68.099999999999994</v>
      </c>
      <c r="Q179" s="49">
        <v>67.8</v>
      </c>
      <c r="R179" s="50">
        <f t="shared" si="7"/>
        <v>0.29999999999999716</v>
      </c>
      <c r="T179" s="21">
        <v>45880</v>
      </c>
      <c r="U179" s="22" t="s">
        <v>33</v>
      </c>
      <c r="V179" s="24">
        <v>3.7647058823529398</v>
      </c>
      <c r="W179" s="24">
        <v>4</v>
      </c>
      <c r="X179" s="24">
        <v>3.9411764705882399</v>
      </c>
      <c r="Y179" s="24">
        <v>4.5294117647058796</v>
      </c>
      <c r="Z179" s="20">
        <f t="shared" si="8"/>
        <v>16.235294117647062</v>
      </c>
    </row>
    <row r="180" spans="1:26" x14ac:dyDescent="0.2">
      <c r="A180" s="21">
        <v>46062</v>
      </c>
      <c r="B180" s="51">
        <f t="shared" si="6"/>
        <v>7</v>
      </c>
      <c r="C180" s="22" t="s">
        <v>70</v>
      </c>
      <c r="D180" s="22" t="s">
        <v>3</v>
      </c>
      <c r="E180" s="24">
        <v>100</v>
      </c>
      <c r="F180" s="22" t="s">
        <v>65</v>
      </c>
      <c r="H180" s="21">
        <v>45877</v>
      </c>
      <c r="I180" s="22" t="s">
        <v>70</v>
      </c>
      <c r="J180" s="22" t="s">
        <v>47</v>
      </c>
      <c r="K180" s="24">
        <v>3</v>
      </c>
      <c r="M180" s="21">
        <v>45880</v>
      </c>
      <c r="N180" s="22" t="s">
        <v>71</v>
      </c>
      <c r="O180" s="22" t="s">
        <v>54</v>
      </c>
      <c r="P180" s="49">
        <v>85.3</v>
      </c>
      <c r="Q180" s="49">
        <v>85.4</v>
      </c>
      <c r="R180" s="50">
        <f t="shared" si="7"/>
        <v>-0.10000000000000853</v>
      </c>
      <c r="T180" s="21">
        <v>45881</v>
      </c>
      <c r="U180" s="22" t="s">
        <v>41</v>
      </c>
      <c r="V180" s="24">
        <v>2</v>
      </c>
      <c r="W180" s="24">
        <v>2</v>
      </c>
      <c r="X180" s="24">
        <v>2</v>
      </c>
      <c r="Y180" s="24">
        <v>2</v>
      </c>
      <c r="Z180" s="20">
        <f t="shared" si="8"/>
        <v>8</v>
      </c>
    </row>
    <row r="181" spans="1:26" x14ac:dyDescent="0.2">
      <c r="A181" s="21">
        <v>46063</v>
      </c>
      <c r="B181" s="51">
        <f t="shared" si="6"/>
        <v>7</v>
      </c>
      <c r="C181" s="22" t="s">
        <v>70</v>
      </c>
      <c r="D181" s="22" t="s">
        <v>3</v>
      </c>
      <c r="E181" s="24">
        <v>90</v>
      </c>
      <c r="F181" s="22" t="s">
        <v>65</v>
      </c>
      <c r="H181" s="21">
        <v>45877</v>
      </c>
      <c r="I181" s="22" t="s">
        <v>70</v>
      </c>
      <c r="J181" s="22" t="s">
        <v>41</v>
      </c>
      <c r="K181" s="24">
        <v>2</v>
      </c>
      <c r="M181" s="21">
        <v>45880</v>
      </c>
      <c r="N181" s="22" t="s">
        <v>71</v>
      </c>
      <c r="O181" s="22" t="s">
        <v>56</v>
      </c>
      <c r="P181" s="49">
        <v>74.5</v>
      </c>
      <c r="Q181" s="49">
        <v>74.5</v>
      </c>
      <c r="R181" s="50">
        <f t="shared" si="7"/>
        <v>0</v>
      </c>
      <c r="T181" s="21">
        <v>45881</v>
      </c>
      <c r="U181" s="22" t="s">
        <v>42</v>
      </c>
      <c r="V181" s="24">
        <v>4</v>
      </c>
      <c r="W181" s="24">
        <v>4</v>
      </c>
      <c r="X181" s="24">
        <v>4</v>
      </c>
      <c r="Y181" s="24">
        <v>5</v>
      </c>
      <c r="Z181" s="20">
        <f t="shared" si="8"/>
        <v>17</v>
      </c>
    </row>
    <row r="182" spans="1:26" x14ac:dyDescent="0.2">
      <c r="A182" s="21">
        <v>46064</v>
      </c>
      <c r="B182" s="51">
        <f t="shared" si="6"/>
        <v>7</v>
      </c>
      <c r="C182" s="22" t="s">
        <v>70</v>
      </c>
      <c r="D182" s="22" t="s">
        <v>62</v>
      </c>
      <c r="E182" s="24">
        <v>35</v>
      </c>
      <c r="F182" s="22" t="s">
        <v>65</v>
      </c>
      <c r="H182" s="21">
        <v>45877</v>
      </c>
      <c r="I182" s="22" t="s">
        <v>70</v>
      </c>
      <c r="J182" s="22" t="s">
        <v>58</v>
      </c>
      <c r="K182" s="24">
        <v>3</v>
      </c>
      <c r="M182" s="21">
        <v>45880</v>
      </c>
      <c r="N182" s="22" t="s">
        <v>71</v>
      </c>
      <c r="O182" s="22" t="s">
        <v>57</v>
      </c>
      <c r="P182" s="49">
        <v>93.7</v>
      </c>
      <c r="Q182" s="49">
        <v>92.8</v>
      </c>
      <c r="R182" s="50">
        <f t="shared" si="7"/>
        <v>0.90000000000000568</v>
      </c>
      <c r="T182" s="21">
        <v>45881</v>
      </c>
      <c r="U182" s="22" t="s">
        <v>43</v>
      </c>
      <c r="V182" s="24">
        <v>4</v>
      </c>
      <c r="W182" s="24">
        <v>4</v>
      </c>
      <c r="X182" s="24">
        <v>4</v>
      </c>
      <c r="Y182" s="24">
        <v>5</v>
      </c>
      <c r="Z182" s="20">
        <f t="shared" si="8"/>
        <v>17</v>
      </c>
    </row>
    <row r="183" spans="1:26" x14ac:dyDescent="0.2">
      <c r="A183" s="21">
        <v>46064</v>
      </c>
      <c r="B183" s="51">
        <f t="shared" si="6"/>
        <v>7</v>
      </c>
      <c r="C183" s="22" t="s">
        <v>71</v>
      </c>
      <c r="D183" s="22" t="s">
        <v>4</v>
      </c>
      <c r="E183" s="24">
        <v>120</v>
      </c>
      <c r="F183" s="22" t="s">
        <v>65</v>
      </c>
      <c r="H183" s="21">
        <v>45877</v>
      </c>
      <c r="I183" s="22" t="s">
        <v>70</v>
      </c>
      <c r="J183" s="22" t="s">
        <v>49</v>
      </c>
      <c r="K183" s="24">
        <v>3</v>
      </c>
      <c r="M183" s="21">
        <v>45880</v>
      </c>
      <c r="N183" s="22" t="s">
        <v>71</v>
      </c>
      <c r="O183" s="22" t="s">
        <v>58</v>
      </c>
      <c r="P183" s="49">
        <v>76.2</v>
      </c>
      <c r="Q183" s="49">
        <v>75.2</v>
      </c>
      <c r="R183" s="50">
        <f t="shared" si="7"/>
        <v>1</v>
      </c>
      <c r="T183" s="21">
        <v>45881</v>
      </c>
      <c r="U183" s="22" t="s">
        <v>44</v>
      </c>
      <c r="V183" s="24">
        <v>4</v>
      </c>
      <c r="W183" s="24">
        <v>4</v>
      </c>
      <c r="X183" s="24">
        <v>4</v>
      </c>
      <c r="Y183" s="24">
        <v>5</v>
      </c>
      <c r="Z183" s="20">
        <f t="shared" si="8"/>
        <v>17</v>
      </c>
    </row>
    <row r="184" spans="1:26" x14ac:dyDescent="0.2">
      <c r="A184" s="21">
        <v>46065</v>
      </c>
      <c r="B184" s="51">
        <f t="shared" si="6"/>
        <v>7</v>
      </c>
      <c r="C184" s="22" t="s">
        <v>70</v>
      </c>
      <c r="D184" s="22" t="s">
        <v>149</v>
      </c>
      <c r="E184" s="24">
        <v>30</v>
      </c>
      <c r="F184" s="22" t="s">
        <v>65</v>
      </c>
      <c r="H184" s="21">
        <v>45877</v>
      </c>
      <c r="I184" s="22" t="s">
        <v>70</v>
      </c>
      <c r="J184" s="22" t="s">
        <v>43</v>
      </c>
      <c r="K184" s="24">
        <v>3</v>
      </c>
      <c r="M184" s="21">
        <v>45881</v>
      </c>
      <c r="N184" s="22" t="s">
        <v>70</v>
      </c>
      <c r="O184" s="22" t="s">
        <v>41</v>
      </c>
      <c r="P184" s="49">
        <v>76.8</v>
      </c>
      <c r="Q184" s="49">
        <v>76</v>
      </c>
      <c r="R184" s="50">
        <f t="shared" si="7"/>
        <v>0.79999999999999716</v>
      </c>
      <c r="T184" s="21">
        <v>45881</v>
      </c>
      <c r="U184" s="22" t="s">
        <v>45</v>
      </c>
      <c r="V184" s="24">
        <v>5</v>
      </c>
      <c r="W184" s="24">
        <v>4</v>
      </c>
      <c r="X184" s="24">
        <v>4</v>
      </c>
      <c r="Y184" s="24">
        <v>5</v>
      </c>
      <c r="Z184" s="20">
        <f t="shared" si="8"/>
        <v>18</v>
      </c>
    </row>
    <row r="185" spans="1:26" x14ac:dyDescent="0.2">
      <c r="A185" s="21">
        <v>46066</v>
      </c>
      <c r="B185" s="51">
        <f t="shared" si="6"/>
        <v>7</v>
      </c>
      <c r="C185" s="22" t="s">
        <v>70</v>
      </c>
      <c r="D185" s="22" t="s">
        <v>3</v>
      </c>
      <c r="E185" s="24">
        <v>90</v>
      </c>
      <c r="F185" s="22" t="s">
        <v>65</v>
      </c>
      <c r="H185" s="21">
        <v>45877</v>
      </c>
      <c r="I185" s="22" t="s">
        <v>70</v>
      </c>
      <c r="J185" s="22" t="s">
        <v>50</v>
      </c>
      <c r="K185" s="24">
        <v>3</v>
      </c>
      <c r="M185" s="21">
        <v>45881</v>
      </c>
      <c r="N185" s="22" t="s">
        <v>70</v>
      </c>
      <c r="O185" s="22" t="s">
        <v>42</v>
      </c>
      <c r="P185" s="49">
        <v>79.3</v>
      </c>
      <c r="Q185" s="49">
        <v>78.7</v>
      </c>
      <c r="R185" s="50">
        <f t="shared" si="7"/>
        <v>0.59999999999999432</v>
      </c>
      <c r="T185" s="21">
        <v>45881</v>
      </c>
      <c r="U185" s="22" t="s">
        <v>46</v>
      </c>
      <c r="V185" s="24">
        <v>5</v>
      </c>
      <c r="W185" s="24">
        <v>4</v>
      </c>
      <c r="X185" s="24">
        <v>4</v>
      </c>
      <c r="Y185" s="24">
        <v>5</v>
      </c>
      <c r="Z185" s="20">
        <f t="shared" si="8"/>
        <v>18</v>
      </c>
    </row>
    <row r="186" spans="1:26" x14ac:dyDescent="0.2">
      <c r="A186" s="21">
        <v>46066</v>
      </c>
      <c r="B186" s="51">
        <f t="shared" si="6"/>
        <v>7</v>
      </c>
      <c r="C186" s="22" t="s">
        <v>71</v>
      </c>
      <c r="D186" s="22" t="s">
        <v>4</v>
      </c>
      <c r="E186" s="24">
        <v>120</v>
      </c>
      <c r="F186" s="22" t="s">
        <v>65</v>
      </c>
      <c r="H186" s="21">
        <v>45877</v>
      </c>
      <c r="I186" s="22" t="s">
        <v>70</v>
      </c>
      <c r="J186" s="22" t="s">
        <v>51</v>
      </c>
      <c r="K186" s="24">
        <v>3</v>
      </c>
      <c r="M186" s="21">
        <v>45881</v>
      </c>
      <c r="N186" s="22" t="s">
        <v>70</v>
      </c>
      <c r="O186" s="22" t="s">
        <v>43</v>
      </c>
      <c r="P186" s="49">
        <v>88.9</v>
      </c>
      <c r="Q186" s="49">
        <v>89</v>
      </c>
      <c r="R186" s="50">
        <f t="shared" si="7"/>
        <v>-9.9999999999994316E-2</v>
      </c>
      <c r="T186" s="21">
        <v>45881</v>
      </c>
      <c r="U186" s="22" t="s">
        <v>47</v>
      </c>
      <c r="V186" s="24">
        <v>3</v>
      </c>
      <c r="W186" s="24">
        <v>4</v>
      </c>
      <c r="X186" s="24">
        <v>4</v>
      </c>
      <c r="Y186" s="24">
        <v>5</v>
      </c>
      <c r="Z186" s="20">
        <f t="shared" si="8"/>
        <v>16</v>
      </c>
    </row>
    <row r="187" spans="1:26" x14ac:dyDescent="0.2">
      <c r="A187" s="21">
        <v>46069</v>
      </c>
      <c r="B187" s="51">
        <f t="shared" si="6"/>
        <v>8</v>
      </c>
      <c r="C187" s="22" t="s">
        <v>70</v>
      </c>
      <c r="D187" s="22" t="s">
        <v>3</v>
      </c>
      <c r="E187" s="24">
        <v>90</v>
      </c>
      <c r="F187" s="22" t="s">
        <v>65</v>
      </c>
      <c r="H187" s="21">
        <v>45877</v>
      </c>
      <c r="I187" s="22" t="s">
        <v>70</v>
      </c>
      <c r="J187" s="22" t="s">
        <v>46</v>
      </c>
      <c r="K187" s="24">
        <v>1</v>
      </c>
      <c r="M187" s="21">
        <v>45881</v>
      </c>
      <c r="N187" s="22" t="s">
        <v>70</v>
      </c>
      <c r="O187" s="22" t="s">
        <v>44</v>
      </c>
      <c r="P187" s="49">
        <v>68.5</v>
      </c>
      <c r="Q187" s="49">
        <v>68</v>
      </c>
      <c r="R187" s="50">
        <f t="shared" si="7"/>
        <v>0.5</v>
      </c>
      <c r="T187" s="21">
        <v>45881</v>
      </c>
      <c r="U187" s="22" t="s">
        <v>48</v>
      </c>
      <c r="V187" s="24">
        <v>3</v>
      </c>
      <c r="W187" s="24">
        <v>4</v>
      </c>
      <c r="X187" s="24">
        <v>4</v>
      </c>
      <c r="Y187" s="24">
        <v>5</v>
      </c>
      <c r="Z187" s="20">
        <f t="shared" si="8"/>
        <v>16</v>
      </c>
    </row>
    <row r="188" spans="1:26" x14ac:dyDescent="0.2">
      <c r="A188" s="21">
        <v>46070</v>
      </c>
      <c r="B188" s="51">
        <f t="shared" si="6"/>
        <v>8</v>
      </c>
      <c r="C188" s="22" t="s">
        <v>70</v>
      </c>
      <c r="D188" s="22" t="s">
        <v>3</v>
      </c>
      <c r="E188" s="24">
        <v>90</v>
      </c>
      <c r="F188" s="22" t="s">
        <v>65</v>
      </c>
      <c r="H188" s="21">
        <v>45877</v>
      </c>
      <c r="I188" s="22" t="s">
        <v>70</v>
      </c>
      <c r="J188" s="22" t="s">
        <v>48</v>
      </c>
      <c r="K188" s="24">
        <v>4</v>
      </c>
      <c r="M188" s="21">
        <v>45881</v>
      </c>
      <c r="N188" s="22" t="s">
        <v>70</v>
      </c>
      <c r="O188" s="22" t="s">
        <v>45</v>
      </c>
      <c r="P188" s="49">
        <v>68.3</v>
      </c>
      <c r="Q188" s="49">
        <v>67.900000000000006</v>
      </c>
      <c r="R188" s="50">
        <f t="shared" si="7"/>
        <v>0.39999999999999147</v>
      </c>
      <c r="T188" s="21">
        <v>45881</v>
      </c>
      <c r="U188" s="22" t="s">
        <v>49</v>
      </c>
      <c r="V188" s="24">
        <v>4</v>
      </c>
      <c r="W188" s="24">
        <v>3</v>
      </c>
      <c r="X188" s="24">
        <v>3</v>
      </c>
      <c r="Y188" s="24">
        <v>3</v>
      </c>
      <c r="Z188" s="20">
        <f t="shared" si="8"/>
        <v>13</v>
      </c>
    </row>
    <row r="189" spans="1:26" x14ac:dyDescent="0.2">
      <c r="A189" s="21">
        <v>46071</v>
      </c>
      <c r="B189" s="51">
        <f t="shared" si="6"/>
        <v>8</v>
      </c>
      <c r="C189" s="22" t="s">
        <v>70</v>
      </c>
      <c r="D189" s="22" t="s">
        <v>62</v>
      </c>
      <c r="E189" s="24">
        <v>35</v>
      </c>
      <c r="F189" s="22" t="s">
        <v>65</v>
      </c>
      <c r="H189" s="21">
        <v>45877</v>
      </c>
      <c r="I189" s="22" t="s">
        <v>70</v>
      </c>
      <c r="J189" s="22" t="s">
        <v>56</v>
      </c>
      <c r="K189" s="24">
        <v>5</v>
      </c>
      <c r="M189" s="21">
        <v>45881</v>
      </c>
      <c r="N189" s="22" t="s">
        <v>70</v>
      </c>
      <c r="O189" s="22" t="s">
        <v>46</v>
      </c>
      <c r="P189" s="49">
        <v>78.5</v>
      </c>
      <c r="Q189" s="49">
        <v>78</v>
      </c>
      <c r="R189" s="50">
        <f t="shared" si="7"/>
        <v>0.5</v>
      </c>
      <c r="T189" s="21">
        <v>45881</v>
      </c>
      <c r="U189" s="22" t="s">
        <v>50</v>
      </c>
      <c r="V189" s="24">
        <v>2</v>
      </c>
      <c r="W189" s="24">
        <v>4</v>
      </c>
      <c r="X189" s="24">
        <v>4</v>
      </c>
      <c r="Y189" s="24">
        <v>5</v>
      </c>
      <c r="Z189" s="20">
        <f t="shared" si="8"/>
        <v>15</v>
      </c>
    </row>
    <row r="190" spans="1:26" x14ac:dyDescent="0.2">
      <c r="A190" s="21">
        <v>46071</v>
      </c>
      <c r="B190" s="51">
        <f t="shared" si="6"/>
        <v>8</v>
      </c>
      <c r="C190" s="22" t="s">
        <v>71</v>
      </c>
      <c r="D190" s="22" t="s">
        <v>4</v>
      </c>
      <c r="E190" s="24">
        <v>120</v>
      </c>
      <c r="F190" s="22" t="s">
        <v>65</v>
      </c>
      <c r="H190" s="21">
        <v>45877</v>
      </c>
      <c r="I190" s="22" t="s">
        <v>71</v>
      </c>
      <c r="J190" s="22" t="s">
        <v>52</v>
      </c>
      <c r="K190" s="24" t="s">
        <v>61</v>
      </c>
      <c r="M190" s="21">
        <v>45881</v>
      </c>
      <c r="N190" s="22" t="s">
        <v>70</v>
      </c>
      <c r="O190" s="22" t="s">
        <v>47</v>
      </c>
      <c r="P190" s="49">
        <v>71.099999999999994</v>
      </c>
      <c r="Q190" s="49">
        <v>71.099999999999994</v>
      </c>
      <c r="R190" s="50">
        <f t="shared" si="7"/>
        <v>0</v>
      </c>
      <c r="T190" s="21">
        <v>45881</v>
      </c>
      <c r="U190" s="22" t="s">
        <v>51</v>
      </c>
      <c r="V190" s="24">
        <v>4</v>
      </c>
      <c r="W190" s="24">
        <v>4</v>
      </c>
      <c r="X190" s="24">
        <v>4</v>
      </c>
      <c r="Y190" s="24">
        <v>5</v>
      </c>
      <c r="Z190" s="20">
        <f t="shared" si="8"/>
        <v>17</v>
      </c>
    </row>
    <row r="191" spans="1:26" x14ac:dyDescent="0.2">
      <c r="A191" s="21">
        <v>46072</v>
      </c>
      <c r="B191" s="51">
        <f t="shared" si="6"/>
        <v>8</v>
      </c>
      <c r="C191" s="22" t="s">
        <v>70</v>
      </c>
      <c r="D191" s="22" t="s">
        <v>3</v>
      </c>
      <c r="E191" s="24">
        <v>100</v>
      </c>
      <c r="F191" s="22" t="s">
        <v>65</v>
      </c>
      <c r="H191" s="21">
        <v>45877</v>
      </c>
      <c r="I191" s="22" t="s">
        <v>71</v>
      </c>
      <c r="J191" s="22" t="s">
        <v>53</v>
      </c>
      <c r="K191" s="24">
        <v>9</v>
      </c>
      <c r="M191" s="21">
        <v>45881</v>
      </c>
      <c r="N191" s="22" t="s">
        <v>70</v>
      </c>
      <c r="O191" s="22" t="s">
        <v>48</v>
      </c>
      <c r="P191" s="49">
        <v>82.2</v>
      </c>
      <c r="Q191" s="49">
        <v>82</v>
      </c>
      <c r="R191" s="50">
        <f t="shared" si="7"/>
        <v>0.20000000000000284</v>
      </c>
      <c r="T191" s="21">
        <v>45881</v>
      </c>
      <c r="U191" s="22" t="s">
        <v>52</v>
      </c>
      <c r="V191" s="24">
        <v>4</v>
      </c>
      <c r="W191" s="24">
        <v>5</v>
      </c>
      <c r="X191" s="24">
        <v>1</v>
      </c>
      <c r="Y191" s="24">
        <v>1</v>
      </c>
      <c r="Z191" s="20">
        <f t="shared" si="8"/>
        <v>11</v>
      </c>
    </row>
    <row r="192" spans="1:26" x14ac:dyDescent="0.2">
      <c r="A192" s="21">
        <v>46073</v>
      </c>
      <c r="B192" s="51">
        <f t="shared" si="6"/>
        <v>8</v>
      </c>
      <c r="C192" s="22" t="s">
        <v>70</v>
      </c>
      <c r="D192" s="22" t="s">
        <v>3</v>
      </c>
      <c r="E192" s="24">
        <v>100</v>
      </c>
      <c r="F192" s="22" t="s">
        <v>65</v>
      </c>
      <c r="H192" s="21">
        <v>45877</v>
      </c>
      <c r="I192" s="22" t="s">
        <v>71</v>
      </c>
      <c r="J192" s="22" t="s">
        <v>44</v>
      </c>
      <c r="K192" s="24">
        <v>9</v>
      </c>
      <c r="M192" s="21">
        <v>45881</v>
      </c>
      <c r="N192" s="22" t="s">
        <v>70</v>
      </c>
      <c r="O192" s="22" t="s">
        <v>49</v>
      </c>
      <c r="P192" s="49">
        <v>77.8</v>
      </c>
      <c r="Q192" s="49">
        <v>77.400000000000006</v>
      </c>
      <c r="R192" s="50">
        <f t="shared" si="7"/>
        <v>0.39999999999999147</v>
      </c>
      <c r="T192" s="21">
        <v>45881</v>
      </c>
      <c r="U192" s="22" t="s">
        <v>53</v>
      </c>
      <c r="V192" s="24">
        <v>3</v>
      </c>
      <c r="W192" s="24">
        <v>4</v>
      </c>
      <c r="X192" s="24">
        <v>4</v>
      </c>
      <c r="Y192" s="24">
        <v>5</v>
      </c>
      <c r="Z192" s="20">
        <f t="shared" si="8"/>
        <v>16</v>
      </c>
    </row>
    <row r="193" spans="1:26" x14ac:dyDescent="0.2">
      <c r="A193" s="21">
        <v>46076</v>
      </c>
      <c r="B193" s="51">
        <f t="shared" si="6"/>
        <v>9</v>
      </c>
      <c r="C193" s="22" t="s">
        <v>70</v>
      </c>
      <c r="D193" s="22" t="s">
        <v>3</v>
      </c>
      <c r="E193" s="24">
        <v>90</v>
      </c>
      <c r="F193" s="22" t="s">
        <v>65</v>
      </c>
      <c r="H193" s="21">
        <v>45877</v>
      </c>
      <c r="I193" s="22" t="s">
        <v>71</v>
      </c>
      <c r="J193" s="22" t="s">
        <v>45</v>
      </c>
      <c r="K193" s="24">
        <v>4</v>
      </c>
      <c r="M193" s="21">
        <v>45881</v>
      </c>
      <c r="N193" s="22" t="s">
        <v>70</v>
      </c>
      <c r="O193" s="22" t="s">
        <v>50</v>
      </c>
      <c r="P193" s="49">
        <v>70.2</v>
      </c>
      <c r="Q193" s="49">
        <v>69.8</v>
      </c>
      <c r="R193" s="50">
        <f t="shared" si="7"/>
        <v>0.40000000000000568</v>
      </c>
      <c r="T193" s="21">
        <v>45881</v>
      </c>
      <c r="U193" s="22" t="s">
        <v>54</v>
      </c>
      <c r="V193" s="24">
        <v>4</v>
      </c>
      <c r="W193" s="24">
        <v>3</v>
      </c>
      <c r="X193" s="24">
        <v>3</v>
      </c>
      <c r="Y193" s="24">
        <v>4</v>
      </c>
      <c r="Z193" s="20">
        <f t="shared" si="8"/>
        <v>14</v>
      </c>
    </row>
    <row r="194" spans="1:26" x14ac:dyDescent="0.2">
      <c r="A194" s="21">
        <v>46076</v>
      </c>
      <c r="B194" s="51">
        <f t="shared" si="6"/>
        <v>9</v>
      </c>
      <c r="C194" s="22" t="s">
        <v>71</v>
      </c>
      <c r="D194" s="22" t="s">
        <v>148</v>
      </c>
      <c r="E194" s="24">
        <v>90</v>
      </c>
      <c r="F194" s="22" t="s">
        <v>65</v>
      </c>
      <c r="H194" s="21">
        <v>45877</v>
      </c>
      <c r="I194" s="22" t="s">
        <v>71</v>
      </c>
      <c r="J194" s="22" t="s">
        <v>57</v>
      </c>
      <c r="K194" s="24">
        <v>7</v>
      </c>
      <c r="M194" s="21">
        <v>45881</v>
      </c>
      <c r="N194" s="22" t="s">
        <v>70</v>
      </c>
      <c r="O194" s="22" t="s">
        <v>51</v>
      </c>
      <c r="P194" s="49">
        <v>74.5</v>
      </c>
      <c r="Q194" s="49">
        <v>74.599999999999994</v>
      </c>
      <c r="R194" s="50">
        <f t="shared" si="7"/>
        <v>-9.9999999999994316E-2</v>
      </c>
      <c r="T194" s="21">
        <v>45881</v>
      </c>
      <c r="U194" s="22" t="s">
        <v>56</v>
      </c>
      <c r="V194" s="24">
        <v>4</v>
      </c>
      <c r="W194" s="24">
        <v>4</v>
      </c>
      <c r="X194" s="24">
        <v>4</v>
      </c>
      <c r="Y194" s="24">
        <v>5</v>
      </c>
      <c r="Z194" s="20">
        <f t="shared" si="8"/>
        <v>17</v>
      </c>
    </row>
    <row r="195" spans="1:26" ht="17" x14ac:dyDescent="0.2">
      <c r="A195" s="21">
        <v>46077</v>
      </c>
      <c r="B195" s="51">
        <f t="shared" ref="B195:B245" si="9">IFERROR(_xlfn.ISOWEEKNUM(A195),"")</f>
        <v>9</v>
      </c>
      <c r="C195" s="22" t="s">
        <v>70</v>
      </c>
      <c r="D195" s="23" t="s">
        <v>3</v>
      </c>
      <c r="E195" s="24">
        <v>120</v>
      </c>
      <c r="F195" s="22" t="s">
        <v>65</v>
      </c>
      <c r="H195" s="21">
        <v>45877</v>
      </c>
      <c r="I195" s="22" t="s">
        <v>71</v>
      </c>
      <c r="J195" s="22" t="s">
        <v>42</v>
      </c>
      <c r="K195" s="24">
        <v>5</v>
      </c>
      <c r="M195" s="21">
        <v>45881</v>
      </c>
      <c r="N195" s="22" t="s">
        <v>70</v>
      </c>
      <c r="O195" s="22" t="s">
        <v>52</v>
      </c>
      <c r="P195" s="49">
        <v>70.599999999999994</v>
      </c>
      <c r="Q195" s="49">
        <v>70</v>
      </c>
      <c r="R195" s="50">
        <f t="shared" ref="R195:R258" si="10">IFERROR(P195-Q195,"")</f>
        <v>0.59999999999999432</v>
      </c>
      <c r="T195" s="21">
        <v>45881</v>
      </c>
      <c r="U195" s="22" t="s">
        <v>57</v>
      </c>
      <c r="V195" s="24">
        <v>4</v>
      </c>
      <c r="W195" s="24">
        <v>4</v>
      </c>
      <c r="X195" s="24">
        <v>3</v>
      </c>
      <c r="Y195" s="24">
        <v>4</v>
      </c>
      <c r="Z195" s="20">
        <f t="shared" ref="Z195:Z258" si="11">SUM(V195:Y195)</f>
        <v>15</v>
      </c>
    </row>
    <row r="196" spans="1:26" x14ac:dyDescent="0.2">
      <c r="A196" s="21">
        <v>46078</v>
      </c>
      <c r="B196" s="51">
        <f t="shared" si="9"/>
        <v>9</v>
      </c>
      <c r="C196" s="22" t="s">
        <v>70</v>
      </c>
      <c r="D196" s="22" t="s">
        <v>3</v>
      </c>
      <c r="E196" s="24">
        <v>100</v>
      </c>
      <c r="F196" s="22" t="s">
        <v>65</v>
      </c>
      <c r="H196" s="21">
        <v>45877</v>
      </c>
      <c r="I196" s="22" t="s">
        <v>71</v>
      </c>
      <c r="J196" s="22" t="s">
        <v>54</v>
      </c>
      <c r="K196" s="24">
        <v>8</v>
      </c>
      <c r="M196" s="21">
        <v>45881</v>
      </c>
      <c r="N196" s="22" t="s">
        <v>70</v>
      </c>
      <c r="O196" s="22" t="s">
        <v>53</v>
      </c>
      <c r="P196" s="49">
        <v>67.8</v>
      </c>
      <c r="Q196" s="49">
        <v>67.3</v>
      </c>
      <c r="R196" s="50">
        <f t="shared" si="10"/>
        <v>0.5</v>
      </c>
      <c r="T196" s="21">
        <v>45881</v>
      </c>
      <c r="U196" s="22" t="s">
        <v>58</v>
      </c>
      <c r="V196" s="24">
        <v>4</v>
      </c>
      <c r="W196" s="24">
        <v>4</v>
      </c>
      <c r="X196" s="24">
        <v>3</v>
      </c>
      <c r="Y196" s="24">
        <v>4</v>
      </c>
      <c r="Z196" s="20">
        <f t="shared" si="11"/>
        <v>15</v>
      </c>
    </row>
    <row r="197" spans="1:26" x14ac:dyDescent="0.2">
      <c r="A197" s="21">
        <v>46079</v>
      </c>
      <c r="B197" s="51">
        <f t="shared" si="9"/>
        <v>9</v>
      </c>
      <c r="C197" s="22" t="s">
        <v>70</v>
      </c>
      <c r="D197" s="22" t="s">
        <v>147</v>
      </c>
      <c r="E197" s="24">
        <v>150</v>
      </c>
      <c r="F197" s="22" t="s">
        <v>65</v>
      </c>
      <c r="H197" s="21">
        <v>45877</v>
      </c>
      <c r="I197" s="22" t="s">
        <v>71</v>
      </c>
      <c r="J197" s="22" t="s">
        <v>47</v>
      </c>
      <c r="K197" s="24">
        <v>8</v>
      </c>
      <c r="M197" s="21">
        <v>45881</v>
      </c>
      <c r="N197" s="22" t="s">
        <v>70</v>
      </c>
      <c r="O197" s="22" t="s">
        <v>54</v>
      </c>
      <c r="P197" s="49">
        <v>84.7</v>
      </c>
      <c r="Q197" s="49">
        <v>84.8</v>
      </c>
      <c r="R197" s="50">
        <f t="shared" si="10"/>
        <v>-9.9999999999994316E-2</v>
      </c>
      <c r="T197" s="21">
        <v>45881</v>
      </c>
      <c r="U197" s="22" t="s">
        <v>33</v>
      </c>
      <c r="V197" s="24">
        <v>3.7058823529411802</v>
      </c>
      <c r="W197" s="24">
        <v>3.8235294117647101</v>
      </c>
      <c r="X197" s="24">
        <v>3.47058823529412</v>
      </c>
      <c r="Y197" s="24">
        <v>4.2941176470588198</v>
      </c>
      <c r="Z197" s="20">
        <f t="shared" si="11"/>
        <v>15.29411764705883</v>
      </c>
    </row>
    <row r="198" spans="1:26" ht="17" x14ac:dyDescent="0.2">
      <c r="A198" s="21">
        <v>46080</v>
      </c>
      <c r="B198" s="51">
        <f t="shared" si="9"/>
        <v>9</v>
      </c>
      <c r="C198" s="22" t="s">
        <v>70</v>
      </c>
      <c r="D198" s="23" t="s">
        <v>3</v>
      </c>
      <c r="E198" s="24">
        <v>90</v>
      </c>
      <c r="F198" s="22" t="s">
        <v>65</v>
      </c>
      <c r="H198" s="21">
        <v>45877</v>
      </c>
      <c r="I198" s="22" t="s">
        <v>71</v>
      </c>
      <c r="J198" s="22" t="s">
        <v>41</v>
      </c>
      <c r="K198" s="24">
        <v>5</v>
      </c>
      <c r="M198" s="21">
        <v>45881</v>
      </c>
      <c r="N198" s="22" t="s">
        <v>70</v>
      </c>
      <c r="O198" s="22" t="s">
        <v>56</v>
      </c>
      <c r="P198" s="49">
        <v>74.7</v>
      </c>
      <c r="Q198" s="49">
        <v>74.900000000000006</v>
      </c>
      <c r="R198" s="50">
        <f t="shared" si="10"/>
        <v>-0.20000000000000284</v>
      </c>
      <c r="T198" s="21">
        <v>45882</v>
      </c>
      <c r="U198" s="22" t="s">
        <v>41</v>
      </c>
      <c r="V198" s="24">
        <v>1</v>
      </c>
      <c r="W198" s="24">
        <v>2</v>
      </c>
      <c r="X198" s="24">
        <v>1</v>
      </c>
      <c r="Y198" s="24">
        <v>2</v>
      </c>
      <c r="Z198" s="20">
        <f t="shared" si="11"/>
        <v>6</v>
      </c>
    </row>
    <row r="199" spans="1:26" x14ac:dyDescent="0.2">
      <c r="A199" s="21">
        <v>46081</v>
      </c>
      <c r="B199" s="51">
        <f t="shared" si="9"/>
        <v>9</v>
      </c>
      <c r="C199" s="22" t="s">
        <v>70</v>
      </c>
      <c r="D199" s="22" t="s">
        <v>3</v>
      </c>
      <c r="E199" s="24">
        <v>60</v>
      </c>
      <c r="F199" s="22" t="s">
        <v>65</v>
      </c>
      <c r="H199" s="21">
        <v>45877</v>
      </c>
      <c r="I199" s="22" t="s">
        <v>71</v>
      </c>
      <c r="J199" s="22" t="s">
        <v>58</v>
      </c>
      <c r="K199" s="24">
        <v>8</v>
      </c>
      <c r="M199" s="21">
        <v>45881</v>
      </c>
      <c r="N199" s="22" t="s">
        <v>70</v>
      </c>
      <c r="O199" s="22" t="s">
        <v>57</v>
      </c>
      <c r="P199" s="49">
        <v>93.8</v>
      </c>
      <c r="Q199" s="49">
        <v>92</v>
      </c>
      <c r="R199" s="50">
        <f t="shared" si="10"/>
        <v>1.7999999999999972</v>
      </c>
      <c r="T199" s="21">
        <v>45882</v>
      </c>
      <c r="U199" s="22" t="s">
        <v>42</v>
      </c>
      <c r="V199" s="24">
        <v>4</v>
      </c>
      <c r="W199" s="24">
        <v>4</v>
      </c>
      <c r="X199" s="24">
        <v>4</v>
      </c>
      <c r="Y199" s="24">
        <v>5</v>
      </c>
      <c r="Z199" s="20">
        <f t="shared" si="11"/>
        <v>17</v>
      </c>
    </row>
    <row r="200" spans="1:26" x14ac:dyDescent="0.2">
      <c r="A200" s="21">
        <v>46082</v>
      </c>
      <c r="B200" s="51">
        <f t="shared" si="9"/>
        <v>9</v>
      </c>
      <c r="C200" s="22" t="s">
        <v>70</v>
      </c>
      <c r="D200" s="22" t="s">
        <v>4</v>
      </c>
      <c r="E200" s="24">
        <v>120</v>
      </c>
      <c r="F200" s="22" t="s">
        <v>65</v>
      </c>
      <c r="H200" s="21">
        <v>45877</v>
      </c>
      <c r="I200" s="22" t="s">
        <v>71</v>
      </c>
      <c r="J200" s="22" t="s">
        <v>49</v>
      </c>
      <c r="K200" s="24">
        <v>9</v>
      </c>
      <c r="M200" s="21">
        <v>45881</v>
      </c>
      <c r="N200" s="22" t="s">
        <v>70</v>
      </c>
      <c r="O200" s="22" t="s">
        <v>58</v>
      </c>
      <c r="P200" s="49">
        <v>75.7</v>
      </c>
      <c r="Q200" s="49">
        <v>75</v>
      </c>
      <c r="R200" s="50">
        <f t="shared" si="10"/>
        <v>0.70000000000000284</v>
      </c>
      <c r="T200" s="21">
        <v>45882</v>
      </c>
      <c r="U200" s="22" t="s">
        <v>43</v>
      </c>
      <c r="V200" s="24">
        <v>4</v>
      </c>
      <c r="W200" s="24">
        <v>4</v>
      </c>
      <c r="X200" s="24">
        <v>4</v>
      </c>
      <c r="Y200" s="24">
        <v>5</v>
      </c>
      <c r="Z200" s="20">
        <f t="shared" si="11"/>
        <v>17</v>
      </c>
    </row>
    <row r="201" spans="1:26" x14ac:dyDescent="0.2">
      <c r="A201" s="21">
        <v>46084</v>
      </c>
      <c r="B201" s="51">
        <f t="shared" si="9"/>
        <v>10</v>
      </c>
      <c r="C201" s="22" t="s">
        <v>70</v>
      </c>
      <c r="D201" s="22" t="s">
        <v>147</v>
      </c>
      <c r="E201" s="24">
        <v>130</v>
      </c>
      <c r="F201" s="22" t="s">
        <v>65</v>
      </c>
      <c r="H201" s="21">
        <v>45877</v>
      </c>
      <c r="I201" s="22" t="s">
        <v>71</v>
      </c>
      <c r="J201" s="22" t="s">
        <v>43</v>
      </c>
      <c r="K201" s="24">
        <v>5</v>
      </c>
      <c r="M201" s="21">
        <v>45882</v>
      </c>
      <c r="N201" s="22" t="s">
        <v>70</v>
      </c>
      <c r="O201" s="22" t="s">
        <v>41</v>
      </c>
      <c r="P201" s="49">
        <v>76.8</v>
      </c>
      <c r="Q201" s="49">
        <v>76</v>
      </c>
      <c r="R201" s="50">
        <f t="shared" si="10"/>
        <v>0.79999999999999716</v>
      </c>
      <c r="T201" s="21">
        <v>45882</v>
      </c>
      <c r="U201" s="22" t="s">
        <v>44</v>
      </c>
      <c r="V201" s="24">
        <v>5</v>
      </c>
      <c r="W201" s="24">
        <v>3</v>
      </c>
      <c r="X201" s="24">
        <v>4</v>
      </c>
      <c r="Y201" s="24">
        <v>5</v>
      </c>
      <c r="Z201" s="20">
        <f t="shared" si="11"/>
        <v>17</v>
      </c>
    </row>
    <row r="202" spans="1:26" ht="17" x14ac:dyDescent="0.2">
      <c r="A202" s="21">
        <v>46085</v>
      </c>
      <c r="B202" s="51">
        <f t="shared" si="9"/>
        <v>10</v>
      </c>
      <c r="C202" s="22" t="s">
        <v>70</v>
      </c>
      <c r="D202" s="23" t="s">
        <v>3</v>
      </c>
      <c r="E202" s="24">
        <v>80</v>
      </c>
      <c r="F202" s="22" t="s">
        <v>65</v>
      </c>
      <c r="H202" s="21">
        <v>45877</v>
      </c>
      <c r="I202" s="22" t="s">
        <v>71</v>
      </c>
      <c r="J202" s="22" t="s">
        <v>50</v>
      </c>
      <c r="K202" s="24">
        <v>8</v>
      </c>
      <c r="M202" s="21">
        <v>45882</v>
      </c>
      <c r="N202" s="22" t="s">
        <v>71</v>
      </c>
      <c r="O202" s="22" t="s">
        <v>41</v>
      </c>
      <c r="P202" s="49">
        <v>77</v>
      </c>
      <c r="Q202" s="49">
        <v>77</v>
      </c>
      <c r="R202" s="50">
        <f t="shared" si="10"/>
        <v>0</v>
      </c>
      <c r="T202" s="21">
        <v>45882</v>
      </c>
      <c r="U202" s="22" t="s">
        <v>45</v>
      </c>
      <c r="V202" s="24">
        <v>4</v>
      </c>
      <c r="W202" s="24">
        <v>4</v>
      </c>
      <c r="X202" s="24">
        <v>4</v>
      </c>
      <c r="Y202" s="24">
        <v>5</v>
      </c>
      <c r="Z202" s="20">
        <f t="shared" si="11"/>
        <v>17</v>
      </c>
    </row>
    <row r="203" spans="1:26" x14ac:dyDescent="0.2">
      <c r="A203" s="21">
        <v>46086</v>
      </c>
      <c r="B203" s="51">
        <f t="shared" si="9"/>
        <v>10</v>
      </c>
      <c r="C203" s="22" t="s">
        <v>70</v>
      </c>
      <c r="D203" s="22" t="s">
        <v>3</v>
      </c>
      <c r="E203" s="24">
        <v>90</v>
      </c>
      <c r="F203" s="22" t="s">
        <v>65</v>
      </c>
      <c r="H203" s="21">
        <v>45877</v>
      </c>
      <c r="I203" s="22" t="s">
        <v>71</v>
      </c>
      <c r="J203" s="22" t="s">
        <v>51</v>
      </c>
      <c r="K203" s="24">
        <v>9</v>
      </c>
      <c r="M203" s="21">
        <v>45882</v>
      </c>
      <c r="N203" s="22" t="s">
        <v>70</v>
      </c>
      <c r="O203" s="22" t="s">
        <v>42</v>
      </c>
      <c r="P203" s="49">
        <v>79.3</v>
      </c>
      <c r="Q203" s="49">
        <v>79</v>
      </c>
      <c r="R203" s="50">
        <f t="shared" si="10"/>
        <v>0.29999999999999716</v>
      </c>
      <c r="T203" s="21">
        <v>45882</v>
      </c>
      <c r="U203" s="22" t="s">
        <v>46</v>
      </c>
      <c r="V203" s="24">
        <v>5</v>
      </c>
      <c r="W203" s="24">
        <v>5</v>
      </c>
      <c r="X203" s="24">
        <v>5</v>
      </c>
      <c r="Y203" s="24">
        <v>5</v>
      </c>
      <c r="Z203" s="20">
        <f t="shared" si="11"/>
        <v>20</v>
      </c>
    </row>
    <row r="204" spans="1:26" x14ac:dyDescent="0.2">
      <c r="A204" s="21">
        <v>46087</v>
      </c>
      <c r="B204" s="51">
        <f t="shared" si="9"/>
        <v>10</v>
      </c>
      <c r="C204" s="22" t="s">
        <v>70</v>
      </c>
      <c r="D204" s="22" t="s">
        <v>62</v>
      </c>
      <c r="E204" s="24">
        <v>40</v>
      </c>
      <c r="F204" s="22" t="s">
        <v>65</v>
      </c>
      <c r="H204" s="21">
        <v>45877</v>
      </c>
      <c r="I204" s="22" t="s">
        <v>71</v>
      </c>
      <c r="J204" s="22" t="s">
        <v>46</v>
      </c>
      <c r="K204" s="24">
        <v>9</v>
      </c>
      <c r="M204" s="21">
        <v>45882</v>
      </c>
      <c r="N204" s="22" t="s">
        <v>71</v>
      </c>
      <c r="O204" s="22" t="s">
        <v>42</v>
      </c>
      <c r="P204" s="49">
        <v>79.5</v>
      </c>
      <c r="Q204" s="49">
        <v>78.8</v>
      </c>
      <c r="R204" s="50">
        <f t="shared" si="10"/>
        <v>0.70000000000000284</v>
      </c>
      <c r="T204" s="21">
        <v>45882</v>
      </c>
      <c r="U204" s="22" t="s">
        <v>47</v>
      </c>
      <c r="V204" s="24">
        <v>2</v>
      </c>
      <c r="W204" s="24">
        <v>3</v>
      </c>
      <c r="X204" s="24">
        <v>3</v>
      </c>
      <c r="Y204" s="24">
        <v>5</v>
      </c>
      <c r="Z204" s="20">
        <f t="shared" si="11"/>
        <v>13</v>
      </c>
    </row>
    <row r="205" spans="1:26" x14ac:dyDescent="0.2">
      <c r="A205" s="21">
        <v>46087</v>
      </c>
      <c r="B205" s="51">
        <f t="shared" si="9"/>
        <v>10</v>
      </c>
      <c r="C205" s="22" t="s">
        <v>71</v>
      </c>
      <c r="D205" s="22" t="s">
        <v>4</v>
      </c>
      <c r="E205" s="24">
        <v>120</v>
      </c>
      <c r="F205" s="22" t="s">
        <v>65</v>
      </c>
      <c r="H205" s="21">
        <v>45877</v>
      </c>
      <c r="I205" s="22" t="s">
        <v>71</v>
      </c>
      <c r="J205" s="22" t="s">
        <v>48</v>
      </c>
      <c r="K205" s="24">
        <v>8</v>
      </c>
      <c r="M205" s="21">
        <v>45882</v>
      </c>
      <c r="N205" s="22" t="s">
        <v>70</v>
      </c>
      <c r="O205" s="22" t="s">
        <v>43</v>
      </c>
      <c r="P205" s="49">
        <v>89.1</v>
      </c>
      <c r="Q205" s="49">
        <v>88</v>
      </c>
      <c r="R205" s="50">
        <f t="shared" si="10"/>
        <v>1.0999999999999943</v>
      </c>
      <c r="T205" s="21">
        <v>45882</v>
      </c>
      <c r="U205" s="22" t="s">
        <v>48</v>
      </c>
      <c r="V205" s="24">
        <v>3</v>
      </c>
      <c r="W205" s="24">
        <v>4</v>
      </c>
      <c r="X205" s="24">
        <v>4</v>
      </c>
      <c r="Y205" s="24">
        <v>5</v>
      </c>
      <c r="Z205" s="20">
        <f t="shared" si="11"/>
        <v>16</v>
      </c>
    </row>
    <row r="206" spans="1:26" x14ac:dyDescent="0.2">
      <c r="A206" s="21">
        <v>46090</v>
      </c>
      <c r="B206" s="51">
        <f t="shared" si="9"/>
        <v>11</v>
      </c>
      <c r="C206" s="22" t="s">
        <v>70</v>
      </c>
      <c r="D206" s="22" t="s">
        <v>147</v>
      </c>
      <c r="E206" s="24">
        <v>130</v>
      </c>
      <c r="F206" s="22" t="s">
        <v>65</v>
      </c>
      <c r="H206" s="21">
        <v>45877</v>
      </c>
      <c r="I206" s="22" t="s">
        <v>71</v>
      </c>
      <c r="J206" s="22" t="s">
        <v>56</v>
      </c>
      <c r="K206" s="24">
        <v>9</v>
      </c>
      <c r="M206" s="21">
        <v>45882</v>
      </c>
      <c r="N206" s="22" t="s">
        <v>71</v>
      </c>
      <c r="O206" s="22" t="s">
        <v>43</v>
      </c>
      <c r="P206" s="49">
        <v>88.8</v>
      </c>
      <c r="Q206" s="49">
        <v>88.3</v>
      </c>
      <c r="R206" s="50">
        <f t="shared" si="10"/>
        <v>0.5</v>
      </c>
      <c r="T206" s="21">
        <v>45882</v>
      </c>
      <c r="U206" s="22" t="s">
        <v>49</v>
      </c>
      <c r="V206" s="24">
        <v>4</v>
      </c>
      <c r="W206" s="24">
        <v>3</v>
      </c>
      <c r="X206" s="24">
        <v>3</v>
      </c>
      <c r="Y206" s="24">
        <v>4</v>
      </c>
      <c r="Z206" s="20">
        <f t="shared" si="11"/>
        <v>14</v>
      </c>
    </row>
    <row r="207" spans="1:26" ht="17" x14ac:dyDescent="0.2">
      <c r="A207" s="21">
        <v>46091</v>
      </c>
      <c r="B207" s="51">
        <f t="shared" si="9"/>
        <v>11</v>
      </c>
      <c r="C207" s="22" t="s">
        <v>70</v>
      </c>
      <c r="D207" s="23" t="s">
        <v>3</v>
      </c>
      <c r="E207" s="24">
        <v>120</v>
      </c>
      <c r="F207" s="22" t="s">
        <v>65</v>
      </c>
      <c r="H207" s="21">
        <v>45880</v>
      </c>
      <c r="I207" s="22" t="s">
        <v>70</v>
      </c>
      <c r="J207" s="22" t="s">
        <v>52</v>
      </c>
      <c r="K207" s="24" t="s">
        <v>61</v>
      </c>
      <c r="M207" s="21">
        <v>45882</v>
      </c>
      <c r="N207" s="22" t="s">
        <v>70</v>
      </c>
      <c r="O207" s="22" t="s">
        <v>44</v>
      </c>
      <c r="P207" s="49">
        <v>68</v>
      </c>
      <c r="Q207" s="49">
        <v>68</v>
      </c>
      <c r="R207" s="50">
        <f t="shared" si="10"/>
        <v>0</v>
      </c>
      <c r="T207" s="21">
        <v>45882</v>
      </c>
      <c r="U207" s="22" t="s">
        <v>50</v>
      </c>
      <c r="V207" s="24">
        <v>3</v>
      </c>
      <c r="W207" s="24">
        <v>4</v>
      </c>
      <c r="X207" s="24">
        <v>3</v>
      </c>
      <c r="Y207" s="24">
        <v>4</v>
      </c>
      <c r="Z207" s="20">
        <f t="shared" si="11"/>
        <v>14</v>
      </c>
    </row>
    <row r="208" spans="1:26" x14ac:dyDescent="0.2">
      <c r="A208" s="21">
        <v>46092</v>
      </c>
      <c r="B208" s="51">
        <f t="shared" si="9"/>
        <v>11</v>
      </c>
      <c r="C208" s="22" t="s">
        <v>70</v>
      </c>
      <c r="D208" s="22" t="s">
        <v>3</v>
      </c>
      <c r="E208" s="24">
        <v>105</v>
      </c>
      <c r="F208" s="22" t="s">
        <v>65</v>
      </c>
      <c r="H208" s="21">
        <v>45880</v>
      </c>
      <c r="I208" s="22" t="s">
        <v>70</v>
      </c>
      <c r="J208" s="22" t="s">
        <v>53</v>
      </c>
      <c r="K208" s="24">
        <v>7</v>
      </c>
      <c r="M208" s="21">
        <v>45882</v>
      </c>
      <c r="N208" s="22" t="s">
        <v>71</v>
      </c>
      <c r="O208" s="22" t="s">
        <v>44</v>
      </c>
      <c r="P208" s="49">
        <v>68.099999999999994</v>
      </c>
      <c r="Q208" s="49">
        <v>68</v>
      </c>
      <c r="R208" s="50">
        <f t="shared" si="10"/>
        <v>9.9999999999994316E-2</v>
      </c>
      <c r="T208" s="21">
        <v>45882</v>
      </c>
      <c r="U208" s="22" t="s">
        <v>51</v>
      </c>
      <c r="V208" s="24">
        <v>4</v>
      </c>
      <c r="W208" s="24">
        <v>4</v>
      </c>
      <c r="X208" s="24">
        <v>4</v>
      </c>
      <c r="Y208" s="24">
        <v>5</v>
      </c>
      <c r="Z208" s="20">
        <f t="shared" si="11"/>
        <v>17</v>
      </c>
    </row>
    <row r="209" spans="1:26" x14ac:dyDescent="0.2">
      <c r="A209" s="21">
        <v>46093</v>
      </c>
      <c r="B209" s="51">
        <f t="shared" si="9"/>
        <v>11</v>
      </c>
      <c r="C209" s="22" t="s">
        <v>70</v>
      </c>
      <c r="D209" s="22" t="s">
        <v>3</v>
      </c>
      <c r="E209" s="24">
        <v>90</v>
      </c>
      <c r="F209" s="22" t="s">
        <v>65</v>
      </c>
      <c r="H209" s="21">
        <v>45880</v>
      </c>
      <c r="I209" s="22" t="s">
        <v>70</v>
      </c>
      <c r="J209" s="22" t="s">
        <v>44</v>
      </c>
      <c r="K209" s="24">
        <v>8</v>
      </c>
      <c r="M209" s="21">
        <v>45882</v>
      </c>
      <c r="N209" s="22" t="s">
        <v>70</v>
      </c>
      <c r="O209" s="22" t="s">
        <v>45</v>
      </c>
      <c r="P209" s="49">
        <v>68.3</v>
      </c>
      <c r="Q209" s="49">
        <v>68</v>
      </c>
      <c r="R209" s="50">
        <f t="shared" si="10"/>
        <v>0.29999999999999716</v>
      </c>
      <c r="T209" s="21">
        <v>45882</v>
      </c>
      <c r="U209" s="22" t="s">
        <v>52</v>
      </c>
      <c r="V209" s="24">
        <v>4</v>
      </c>
      <c r="W209" s="24">
        <v>5</v>
      </c>
      <c r="X209" s="24">
        <v>2</v>
      </c>
      <c r="Y209" s="24">
        <v>2</v>
      </c>
      <c r="Z209" s="20">
        <f t="shared" si="11"/>
        <v>13</v>
      </c>
    </row>
    <row r="210" spans="1:26" x14ac:dyDescent="0.2">
      <c r="A210" s="21">
        <v>46094</v>
      </c>
      <c r="B210" s="51">
        <f t="shared" si="9"/>
        <v>11</v>
      </c>
      <c r="C210" s="22" t="s">
        <v>70</v>
      </c>
      <c r="D210" s="22" t="s">
        <v>62</v>
      </c>
      <c r="E210" s="24">
        <v>40</v>
      </c>
      <c r="F210" s="22" t="s">
        <v>65</v>
      </c>
      <c r="H210" s="21">
        <v>45880</v>
      </c>
      <c r="I210" s="22" t="s">
        <v>70</v>
      </c>
      <c r="J210" s="22" t="s">
        <v>45</v>
      </c>
      <c r="K210" s="24">
        <v>7</v>
      </c>
      <c r="M210" s="21">
        <v>45882</v>
      </c>
      <c r="N210" s="22" t="s">
        <v>71</v>
      </c>
      <c r="O210" s="22" t="s">
        <v>45</v>
      </c>
      <c r="P210" s="49">
        <v>68</v>
      </c>
      <c r="Q210" s="49">
        <v>67.5</v>
      </c>
      <c r="R210" s="50">
        <f t="shared" si="10"/>
        <v>0.5</v>
      </c>
      <c r="T210" s="21">
        <v>45882</v>
      </c>
      <c r="U210" s="22" t="s">
        <v>53</v>
      </c>
      <c r="V210" s="24">
        <v>4</v>
      </c>
      <c r="W210" s="24">
        <v>3</v>
      </c>
      <c r="X210" s="24">
        <v>4</v>
      </c>
      <c r="Y210" s="24">
        <v>5</v>
      </c>
      <c r="Z210" s="20">
        <f t="shared" si="11"/>
        <v>16</v>
      </c>
    </row>
    <row r="211" spans="1:26" x14ac:dyDescent="0.2">
      <c r="A211" s="21">
        <v>46094</v>
      </c>
      <c r="B211" s="51">
        <f t="shared" si="9"/>
        <v>11</v>
      </c>
      <c r="C211" s="22" t="s">
        <v>71</v>
      </c>
      <c r="D211" s="22" t="s">
        <v>4</v>
      </c>
      <c r="E211" s="24">
        <v>120</v>
      </c>
      <c r="F211" s="22" t="s">
        <v>65</v>
      </c>
      <c r="H211" s="21">
        <v>45880</v>
      </c>
      <c r="I211" s="22" t="s">
        <v>70</v>
      </c>
      <c r="J211" s="22" t="s">
        <v>57</v>
      </c>
      <c r="K211" s="24">
        <v>8</v>
      </c>
      <c r="M211" s="21">
        <v>45882</v>
      </c>
      <c r="N211" s="22" t="s">
        <v>70</v>
      </c>
      <c r="O211" s="22" t="s">
        <v>46</v>
      </c>
      <c r="P211" s="49">
        <v>78.7</v>
      </c>
      <c r="Q211" s="49">
        <v>78</v>
      </c>
      <c r="R211" s="50">
        <f t="shared" si="10"/>
        <v>0.70000000000000284</v>
      </c>
      <c r="T211" s="21">
        <v>45882</v>
      </c>
      <c r="U211" s="22" t="s">
        <v>54</v>
      </c>
      <c r="V211" s="24">
        <v>3</v>
      </c>
      <c r="W211" s="24">
        <v>2</v>
      </c>
      <c r="X211" s="24">
        <v>3</v>
      </c>
      <c r="Y211" s="24">
        <v>4</v>
      </c>
      <c r="Z211" s="20">
        <f t="shared" si="11"/>
        <v>12</v>
      </c>
    </row>
    <row r="212" spans="1:26" x14ac:dyDescent="0.2">
      <c r="A212" s="21">
        <v>46096</v>
      </c>
      <c r="B212" s="51">
        <f t="shared" si="9"/>
        <v>11</v>
      </c>
      <c r="C212" s="22" t="s">
        <v>70</v>
      </c>
      <c r="D212" s="22" t="s">
        <v>3</v>
      </c>
      <c r="E212" s="24">
        <v>100</v>
      </c>
      <c r="F212" s="22" t="s">
        <v>65</v>
      </c>
      <c r="H212" s="21">
        <v>45880</v>
      </c>
      <c r="I212" s="22" t="s">
        <v>70</v>
      </c>
      <c r="J212" s="22" t="s">
        <v>42</v>
      </c>
      <c r="K212" s="24">
        <v>6</v>
      </c>
      <c r="M212" s="21">
        <v>45882</v>
      </c>
      <c r="N212" s="22" t="s">
        <v>71</v>
      </c>
      <c r="O212" s="22" t="s">
        <v>46</v>
      </c>
      <c r="P212" s="49">
        <v>78.8</v>
      </c>
      <c r="Q212" s="49">
        <v>78.900000000000006</v>
      </c>
      <c r="R212" s="50">
        <f t="shared" si="10"/>
        <v>-0.10000000000000853</v>
      </c>
      <c r="T212" s="21">
        <v>45882</v>
      </c>
      <c r="U212" s="22" t="s">
        <v>56</v>
      </c>
      <c r="V212" s="24">
        <v>2</v>
      </c>
      <c r="W212" s="24">
        <v>4</v>
      </c>
      <c r="X212" s="24">
        <v>5</v>
      </c>
      <c r="Y212" s="24">
        <v>5</v>
      </c>
      <c r="Z212" s="20">
        <f t="shared" si="11"/>
        <v>16</v>
      </c>
    </row>
    <row r="213" spans="1:26" x14ac:dyDescent="0.2">
      <c r="A213" s="21">
        <v>46097</v>
      </c>
      <c r="B213" s="51">
        <f t="shared" si="9"/>
        <v>12</v>
      </c>
      <c r="C213" s="22" t="s">
        <v>70</v>
      </c>
      <c r="D213" s="22" t="s">
        <v>3</v>
      </c>
      <c r="E213" s="24">
        <v>105</v>
      </c>
      <c r="F213" s="22" t="s">
        <v>65</v>
      </c>
      <c r="H213" s="21">
        <v>45880</v>
      </c>
      <c r="I213" s="22" t="s">
        <v>70</v>
      </c>
      <c r="J213" s="22" t="s">
        <v>54</v>
      </c>
      <c r="K213" s="24">
        <v>7</v>
      </c>
      <c r="M213" s="21">
        <v>45882</v>
      </c>
      <c r="N213" s="22" t="s">
        <v>70</v>
      </c>
      <c r="O213" s="22" t="s">
        <v>47</v>
      </c>
      <c r="P213" s="49">
        <v>70.8</v>
      </c>
      <c r="Q213" s="49">
        <v>71</v>
      </c>
      <c r="R213" s="50">
        <f t="shared" si="10"/>
        <v>-0.20000000000000284</v>
      </c>
      <c r="T213" s="21">
        <v>45882</v>
      </c>
      <c r="U213" s="22" t="s">
        <v>57</v>
      </c>
      <c r="V213" s="24">
        <v>4</v>
      </c>
      <c r="W213" s="24">
        <v>4</v>
      </c>
      <c r="X213" s="24">
        <v>4</v>
      </c>
      <c r="Y213" s="24">
        <v>5</v>
      </c>
      <c r="Z213" s="20">
        <f t="shared" si="11"/>
        <v>17</v>
      </c>
    </row>
    <row r="214" spans="1:26" x14ac:dyDescent="0.2">
      <c r="A214" s="21">
        <v>46098</v>
      </c>
      <c r="B214" s="51">
        <f t="shared" si="9"/>
        <v>12</v>
      </c>
      <c r="C214" s="22" t="s">
        <v>70</v>
      </c>
      <c r="D214" s="22" t="s">
        <v>3</v>
      </c>
      <c r="E214" s="24">
        <v>90</v>
      </c>
      <c r="F214" s="22" t="s">
        <v>65</v>
      </c>
      <c r="H214" s="21">
        <v>45880</v>
      </c>
      <c r="I214" s="22" t="s">
        <v>70</v>
      </c>
      <c r="J214" s="22" t="s">
        <v>47</v>
      </c>
      <c r="K214" s="24">
        <v>7</v>
      </c>
      <c r="M214" s="21">
        <v>45882</v>
      </c>
      <c r="N214" s="22" t="s">
        <v>71</v>
      </c>
      <c r="O214" s="22" t="s">
        <v>47</v>
      </c>
      <c r="P214" s="49">
        <v>71.400000000000006</v>
      </c>
      <c r="Q214" s="49">
        <v>71.3</v>
      </c>
      <c r="R214" s="50">
        <f t="shared" si="10"/>
        <v>0.10000000000000853</v>
      </c>
      <c r="T214" s="21">
        <v>45882</v>
      </c>
      <c r="U214" s="22" t="s">
        <v>58</v>
      </c>
      <c r="V214" s="24">
        <v>4</v>
      </c>
      <c r="W214" s="24">
        <v>3</v>
      </c>
      <c r="X214" s="24">
        <v>4</v>
      </c>
      <c r="Y214" s="24">
        <v>5</v>
      </c>
      <c r="Z214" s="20">
        <f t="shared" si="11"/>
        <v>16</v>
      </c>
    </row>
    <row r="215" spans="1:26" x14ac:dyDescent="0.2">
      <c r="A215" s="21">
        <v>46099</v>
      </c>
      <c r="B215" s="51">
        <f t="shared" si="9"/>
        <v>12</v>
      </c>
      <c r="C215" s="22" t="s">
        <v>71</v>
      </c>
      <c r="D215" s="22" t="s">
        <v>3</v>
      </c>
      <c r="E215" s="24">
        <v>50</v>
      </c>
      <c r="F215" s="22" t="s">
        <v>65</v>
      </c>
      <c r="H215" s="21">
        <v>45880</v>
      </c>
      <c r="I215" s="22" t="s">
        <v>70</v>
      </c>
      <c r="J215" s="22" t="s">
        <v>41</v>
      </c>
      <c r="K215" s="24">
        <v>8</v>
      </c>
      <c r="M215" s="21">
        <v>45882</v>
      </c>
      <c r="N215" s="22" t="s">
        <v>70</v>
      </c>
      <c r="O215" s="22" t="s">
        <v>48</v>
      </c>
      <c r="P215" s="49">
        <v>82.6</v>
      </c>
      <c r="Q215" s="49">
        <v>81.3</v>
      </c>
      <c r="R215" s="50">
        <f t="shared" si="10"/>
        <v>1.2999999999999972</v>
      </c>
      <c r="T215" s="21">
        <v>45882</v>
      </c>
      <c r="U215" s="22" t="s">
        <v>33</v>
      </c>
      <c r="V215" s="24">
        <v>3.52941176470588</v>
      </c>
      <c r="W215" s="24">
        <v>3.5882352941176499</v>
      </c>
      <c r="X215" s="24">
        <v>3.5882352941176499</v>
      </c>
      <c r="Y215" s="24">
        <v>4.4705882352941204</v>
      </c>
      <c r="Z215" s="20">
        <f t="shared" si="11"/>
        <v>15.176470588235301</v>
      </c>
    </row>
    <row r="216" spans="1:26" x14ac:dyDescent="0.2">
      <c r="A216" s="21">
        <v>46100</v>
      </c>
      <c r="B216" s="51">
        <f t="shared" si="9"/>
        <v>12</v>
      </c>
      <c r="C216" s="22" t="s">
        <v>70</v>
      </c>
      <c r="D216" s="22" t="s">
        <v>62</v>
      </c>
      <c r="E216" s="24">
        <v>40</v>
      </c>
      <c r="F216" s="22" t="s">
        <v>65</v>
      </c>
      <c r="H216" s="21">
        <v>45880</v>
      </c>
      <c r="I216" s="22" t="s">
        <v>70</v>
      </c>
      <c r="J216" s="22" t="s">
        <v>58</v>
      </c>
      <c r="K216" s="24">
        <v>7</v>
      </c>
      <c r="M216" s="21">
        <v>45882</v>
      </c>
      <c r="N216" s="22" t="s">
        <v>71</v>
      </c>
      <c r="O216" s="22" t="s">
        <v>48</v>
      </c>
      <c r="P216" s="49">
        <v>81.3</v>
      </c>
      <c r="Q216" s="49">
        <v>81.900000000000006</v>
      </c>
      <c r="R216" s="50">
        <f t="shared" si="10"/>
        <v>-0.60000000000000853</v>
      </c>
      <c r="T216" s="21">
        <v>45883</v>
      </c>
      <c r="U216" s="22" t="s">
        <v>41</v>
      </c>
      <c r="V216" s="24">
        <v>1</v>
      </c>
      <c r="W216" s="24">
        <v>1</v>
      </c>
      <c r="X216" s="24">
        <v>1</v>
      </c>
      <c r="Y216" s="24">
        <v>2</v>
      </c>
      <c r="Z216" s="20">
        <f t="shared" si="11"/>
        <v>5</v>
      </c>
    </row>
    <row r="217" spans="1:26" x14ac:dyDescent="0.2">
      <c r="A217" s="21">
        <v>46100</v>
      </c>
      <c r="B217" s="51">
        <f t="shared" si="9"/>
        <v>12</v>
      </c>
      <c r="C217" s="22" t="s">
        <v>71</v>
      </c>
      <c r="D217" s="22" t="s">
        <v>4</v>
      </c>
      <c r="E217" s="24">
        <v>120</v>
      </c>
      <c r="F217" s="22" t="s">
        <v>65</v>
      </c>
      <c r="H217" s="21">
        <v>45880</v>
      </c>
      <c r="I217" s="22" t="s">
        <v>70</v>
      </c>
      <c r="J217" s="22" t="s">
        <v>49</v>
      </c>
      <c r="K217" s="24">
        <v>7</v>
      </c>
      <c r="M217" s="21">
        <v>45882</v>
      </c>
      <c r="N217" s="22" t="s">
        <v>70</v>
      </c>
      <c r="O217" s="22" t="s">
        <v>49</v>
      </c>
      <c r="P217" s="49">
        <v>78.599999999999994</v>
      </c>
      <c r="Q217" s="49">
        <v>78.599999999999994</v>
      </c>
      <c r="R217" s="50">
        <f t="shared" si="10"/>
        <v>0</v>
      </c>
      <c r="T217" s="21">
        <v>45883</v>
      </c>
      <c r="U217" s="22" t="s">
        <v>42</v>
      </c>
      <c r="V217" s="24">
        <v>4</v>
      </c>
      <c r="W217" s="24">
        <v>4</v>
      </c>
      <c r="X217" s="24">
        <v>4</v>
      </c>
      <c r="Y217" s="24">
        <v>5</v>
      </c>
      <c r="Z217" s="20">
        <f t="shared" si="11"/>
        <v>17</v>
      </c>
    </row>
    <row r="218" spans="1:26" x14ac:dyDescent="0.2">
      <c r="A218" s="21">
        <v>46101</v>
      </c>
      <c r="B218" s="51">
        <f t="shared" si="9"/>
        <v>12</v>
      </c>
      <c r="C218" s="22" t="s">
        <v>70</v>
      </c>
      <c r="D218" s="22" t="s">
        <v>149</v>
      </c>
      <c r="E218" s="24">
        <v>30</v>
      </c>
      <c r="F218" s="22" t="s">
        <v>65</v>
      </c>
      <c r="H218" s="21">
        <v>45880</v>
      </c>
      <c r="I218" s="22" t="s">
        <v>70</v>
      </c>
      <c r="J218" s="22" t="s">
        <v>43</v>
      </c>
      <c r="K218" s="24">
        <v>7</v>
      </c>
      <c r="M218" s="21">
        <v>45882</v>
      </c>
      <c r="N218" s="22" t="s">
        <v>71</v>
      </c>
      <c r="O218" s="22" t="s">
        <v>49</v>
      </c>
      <c r="P218" s="49">
        <v>79.900000000000006</v>
      </c>
      <c r="Q218" s="49">
        <v>79.7</v>
      </c>
      <c r="R218" s="50">
        <f t="shared" si="10"/>
        <v>0.20000000000000284</v>
      </c>
      <c r="T218" s="21">
        <v>45883</v>
      </c>
      <c r="U218" s="22" t="s">
        <v>43</v>
      </c>
      <c r="V218" s="24">
        <v>4</v>
      </c>
      <c r="W218" s="24">
        <v>4</v>
      </c>
      <c r="X218" s="24">
        <v>4</v>
      </c>
      <c r="Y218" s="24">
        <v>5</v>
      </c>
      <c r="Z218" s="20">
        <f t="shared" si="11"/>
        <v>17</v>
      </c>
    </row>
    <row r="219" spans="1:26" x14ac:dyDescent="0.2">
      <c r="A219" s="21">
        <v>46102</v>
      </c>
      <c r="B219" s="51">
        <f t="shared" si="9"/>
        <v>12</v>
      </c>
      <c r="C219" s="22" t="s">
        <v>70</v>
      </c>
      <c r="D219" s="22" t="s">
        <v>62</v>
      </c>
      <c r="E219" s="24">
        <v>30</v>
      </c>
      <c r="F219" s="22" t="s">
        <v>65</v>
      </c>
      <c r="H219" s="21">
        <v>45880</v>
      </c>
      <c r="I219" s="22" t="s">
        <v>70</v>
      </c>
      <c r="J219" s="22" t="s">
        <v>50</v>
      </c>
      <c r="K219" s="24">
        <v>5</v>
      </c>
      <c r="M219" s="21">
        <v>45882</v>
      </c>
      <c r="N219" s="22" t="s">
        <v>70</v>
      </c>
      <c r="O219" s="22" t="s">
        <v>50</v>
      </c>
      <c r="P219" s="49">
        <v>70.7</v>
      </c>
      <c r="Q219" s="49">
        <v>70</v>
      </c>
      <c r="R219" s="50">
        <f t="shared" si="10"/>
        <v>0.70000000000000284</v>
      </c>
      <c r="T219" s="21">
        <v>45883</v>
      </c>
      <c r="U219" s="22" t="s">
        <v>44</v>
      </c>
      <c r="V219" s="24">
        <v>5</v>
      </c>
      <c r="W219" s="24">
        <v>4</v>
      </c>
      <c r="X219" s="24">
        <v>5</v>
      </c>
      <c r="Y219" s="24">
        <v>5</v>
      </c>
      <c r="Z219" s="20">
        <f t="shared" si="11"/>
        <v>19</v>
      </c>
    </row>
    <row r="220" spans="1:26" x14ac:dyDescent="0.2">
      <c r="A220" s="21">
        <v>46102</v>
      </c>
      <c r="B220" s="51">
        <f t="shared" si="9"/>
        <v>12</v>
      </c>
      <c r="C220" s="22" t="s">
        <v>71</v>
      </c>
      <c r="D220" s="22" t="s">
        <v>4</v>
      </c>
      <c r="E220" s="24">
        <v>120</v>
      </c>
      <c r="F220" s="22" t="s">
        <v>65</v>
      </c>
      <c r="H220" s="21">
        <v>45880</v>
      </c>
      <c r="I220" s="22" t="s">
        <v>70</v>
      </c>
      <c r="J220" s="22" t="s">
        <v>51</v>
      </c>
      <c r="K220" s="24">
        <v>7</v>
      </c>
      <c r="M220" s="21">
        <v>45882</v>
      </c>
      <c r="N220" s="22" t="s">
        <v>71</v>
      </c>
      <c r="O220" s="22" t="s">
        <v>50</v>
      </c>
      <c r="P220" s="49">
        <v>70.8</v>
      </c>
      <c r="Q220" s="49">
        <v>70.3</v>
      </c>
      <c r="R220" s="50">
        <f t="shared" si="10"/>
        <v>0.5</v>
      </c>
      <c r="T220" s="21">
        <v>45883</v>
      </c>
      <c r="U220" s="22" t="s">
        <v>45</v>
      </c>
      <c r="V220" s="24">
        <v>4</v>
      </c>
      <c r="W220" s="24">
        <v>4</v>
      </c>
      <c r="X220" s="24">
        <v>4</v>
      </c>
      <c r="Y220" s="24">
        <v>5</v>
      </c>
      <c r="Z220" s="20">
        <f t="shared" si="11"/>
        <v>17</v>
      </c>
    </row>
    <row r="221" spans="1:26" x14ac:dyDescent="0.2">
      <c r="A221" s="21">
        <v>46105</v>
      </c>
      <c r="B221" s="51">
        <f t="shared" si="9"/>
        <v>13</v>
      </c>
      <c r="C221" s="22" t="s">
        <v>70</v>
      </c>
      <c r="D221" s="22" t="s">
        <v>147</v>
      </c>
      <c r="E221" s="24">
        <v>150</v>
      </c>
      <c r="F221" s="22" t="s">
        <v>65</v>
      </c>
      <c r="H221" s="21">
        <v>45880</v>
      </c>
      <c r="I221" s="22" t="s">
        <v>70</v>
      </c>
      <c r="J221" s="22" t="s">
        <v>46</v>
      </c>
      <c r="K221" s="24">
        <v>7</v>
      </c>
      <c r="M221" s="21">
        <v>45882</v>
      </c>
      <c r="N221" s="22" t="s">
        <v>70</v>
      </c>
      <c r="O221" s="22" t="s">
        <v>51</v>
      </c>
      <c r="P221" s="49">
        <v>74.900000000000006</v>
      </c>
      <c r="Q221" s="49">
        <v>74.8</v>
      </c>
      <c r="R221" s="50">
        <f t="shared" si="10"/>
        <v>0.10000000000000853</v>
      </c>
      <c r="T221" s="21">
        <v>45883</v>
      </c>
      <c r="U221" s="22" t="s">
        <v>46</v>
      </c>
      <c r="V221" s="24">
        <v>5</v>
      </c>
      <c r="W221" s="24">
        <v>5</v>
      </c>
      <c r="X221" s="24">
        <v>5</v>
      </c>
      <c r="Y221" s="24">
        <v>5</v>
      </c>
      <c r="Z221" s="20">
        <f t="shared" si="11"/>
        <v>20</v>
      </c>
    </row>
    <row r="222" spans="1:26" ht="17" x14ac:dyDescent="0.2">
      <c r="A222" s="21">
        <v>46106</v>
      </c>
      <c r="B222" s="51">
        <f t="shared" si="9"/>
        <v>13</v>
      </c>
      <c r="C222" s="22" t="s">
        <v>70</v>
      </c>
      <c r="D222" s="23" t="s">
        <v>3</v>
      </c>
      <c r="E222" s="24">
        <v>90</v>
      </c>
      <c r="F222" s="22" t="s">
        <v>65</v>
      </c>
      <c r="H222" s="21">
        <v>45880</v>
      </c>
      <c r="I222" s="22" t="s">
        <v>70</v>
      </c>
      <c r="J222" s="22" t="s">
        <v>48</v>
      </c>
      <c r="K222" s="24">
        <v>6</v>
      </c>
      <c r="M222" s="21">
        <v>45882</v>
      </c>
      <c r="N222" s="22" t="s">
        <v>71</v>
      </c>
      <c r="O222" s="22" t="s">
        <v>51</v>
      </c>
      <c r="P222" s="49">
        <v>74.8</v>
      </c>
      <c r="Q222" s="49">
        <v>75.2</v>
      </c>
      <c r="R222" s="50">
        <f t="shared" si="10"/>
        <v>-0.40000000000000568</v>
      </c>
      <c r="T222" s="21">
        <v>45883</v>
      </c>
      <c r="U222" s="22" t="s">
        <v>47</v>
      </c>
      <c r="V222" s="24">
        <v>3</v>
      </c>
      <c r="W222" s="24">
        <v>4</v>
      </c>
      <c r="X222" s="24">
        <v>4</v>
      </c>
      <c r="Y222" s="24">
        <v>5</v>
      </c>
      <c r="Z222" s="20">
        <f t="shared" si="11"/>
        <v>16</v>
      </c>
    </row>
    <row r="223" spans="1:26" x14ac:dyDescent="0.2">
      <c r="A223" s="21">
        <v>46107</v>
      </c>
      <c r="B223" s="51">
        <f t="shared" si="9"/>
        <v>13</v>
      </c>
      <c r="C223" s="22" t="s">
        <v>70</v>
      </c>
      <c r="D223" s="22" t="s">
        <v>147</v>
      </c>
      <c r="E223" s="24">
        <v>150</v>
      </c>
      <c r="F223" s="22" t="s">
        <v>65</v>
      </c>
      <c r="H223" s="21">
        <v>45880</v>
      </c>
      <c r="I223" s="22" t="s">
        <v>70</v>
      </c>
      <c r="J223" s="22" t="s">
        <v>56</v>
      </c>
      <c r="K223" s="24">
        <v>7</v>
      </c>
      <c r="M223" s="21">
        <v>45882</v>
      </c>
      <c r="N223" s="22" t="s">
        <v>70</v>
      </c>
      <c r="O223" s="22" t="s">
        <v>52</v>
      </c>
      <c r="P223" s="49">
        <v>70.7</v>
      </c>
      <c r="Q223" s="49">
        <v>70.7</v>
      </c>
      <c r="R223" s="50">
        <f t="shared" si="10"/>
        <v>0</v>
      </c>
      <c r="T223" s="21">
        <v>45883</v>
      </c>
      <c r="U223" s="22" t="s">
        <v>48</v>
      </c>
      <c r="V223" s="24">
        <v>2</v>
      </c>
      <c r="W223" s="24">
        <v>4</v>
      </c>
      <c r="X223" s="24">
        <v>4</v>
      </c>
      <c r="Y223" s="24">
        <v>5</v>
      </c>
      <c r="Z223" s="20">
        <f t="shared" si="11"/>
        <v>15</v>
      </c>
    </row>
    <row r="224" spans="1:26" ht="17" x14ac:dyDescent="0.2">
      <c r="A224" s="21">
        <v>46108</v>
      </c>
      <c r="B224" s="51">
        <f t="shared" si="9"/>
        <v>13</v>
      </c>
      <c r="C224" s="22" t="s">
        <v>70</v>
      </c>
      <c r="D224" s="23" t="s">
        <v>3</v>
      </c>
      <c r="E224" s="24">
        <v>70</v>
      </c>
      <c r="F224" s="22" t="s">
        <v>65</v>
      </c>
      <c r="H224" s="21">
        <v>45880</v>
      </c>
      <c r="I224" s="22" t="s">
        <v>71</v>
      </c>
      <c r="J224" s="22" t="s">
        <v>52</v>
      </c>
      <c r="K224" s="24" t="s">
        <v>61</v>
      </c>
      <c r="M224" s="21">
        <v>45882</v>
      </c>
      <c r="N224" s="22" t="s">
        <v>71</v>
      </c>
      <c r="O224" s="22" t="s">
        <v>52</v>
      </c>
      <c r="P224" s="49">
        <v>70.3</v>
      </c>
      <c r="Q224" s="49">
        <v>70.3</v>
      </c>
      <c r="R224" s="50">
        <f t="shared" si="10"/>
        <v>0</v>
      </c>
      <c r="T224" s="21">
        <v>45883</v>
      </c>
      <c r="U224" s="22" t="s">
        <v>49</v>
      </c>
      <c r="V224" s="24">
        <v>3</v>
      </c>
      <c r="W224" s="24">
        <v>3</v>
      </c>
      <c r="X224" s="24">
        <v>3</v>
      </c>
      <c r="Y224" s="24">
        <v>4</v>
      </c>
      <c r="Z224" s="20">
        <f t="shared" si="11"/>
        <v>13</v>
      </c>
    </row>
    <row r="225" spans="1:26" x14ac:dyDescent="0.2">
      <c r="A225" s="21">
        <v>46109</v>
      </c>
      <c r="B225" s="51">
        <f t="shared" si="9"/>
        <v>13</v>
      </c>
      <c r="C225" s="22" t="s">
        <v>70</v>
      </c>
      <c r="D225" s="22" t="s">
        <v>4</v>
      </c>
      <c r="E225" s="24">
        <v>120</v>
      </c>
      <c r="F225" s="22" t="s">
        <v>65</v>
      </c>
      <c r="H225" s="21">
        <v>45880</v>
      </c>
      <c r="I225" s="22" t="s">
        <v>71</v>
      </c>
      <c r="J225" s="22" t="s">
        <v>53</v>
      </c>
      <c r="K225" s="24">
        <v>10</v>
      </c>
      <c r="M225" s="21">
        <v>45882</v>
      </c>
      <c r="N225" s="22" t="s">
        <v>70</v>
      </c>
      <c r="O225" s="22" t="s">
        <v>53</v>
      </c>
      <c r="P225" s="49">
        <v>67.599999999999994</v>
      </c>
      <c r="Q225" s="49">
        <v>66.900000000000006</v>
      </c>
      <c r="R225" s="50">
        <f t="shared" si="10"/>
        <v>0.69999999999998863</v>
      </c>
      <c r="T225" s="21">
        <v>45883</v>
      </c>
      <c r="U225" s="22" t="s">
        <v>50</v>
      </c>
      <c r="V225" s="24">
        <v>2</v>
      </c>
      <c r="W225" s="24">
        <v>3</v>
      </c>
      <c r="X225" s="24">
        <v>3</v>
      </c>
      <c r="Y225" s="24">
        <v>4</v>
      </c>
      <c r="Z225" s="20">
        <f t="shared" si="11"/>
        <v>12</v>
      </c>
    </row>
    <row r="226" spans="1:26" x14ac:dyDescent="0.2">
      <c r="A226" s="21">
        <v>46111</v>
      </c>
      <c r="B226" s="51">
        <f t="shared" si="9"/>
        <v>14</v>
      </c>
      <c r="C226" s="22" t="s">
        <v>70</v>
      </c>
      <c r="D226" s="22" t="s">
        <v>147</v>
      </c>
      <c r="E226" s="24">
        <v>135</v>
      </c>
      <c r="F226" s="22" t="s">
        <v>65</v>
      </c>
      <c r="H226" s="21">
        <v>45880</v>
      </c>
      <c r="I226" s="22" t="s">
        <v>71</v>
      </c>
      <c r="J226" s="22" t="s">
        <v>44</v>
      </c>
      <c r="K226" s="24">
        <v>7</v>
      </c>
      <c r="M226" s="21">
        <v>45882</v>
      </c>
      <c r="N226" s="22" t="s">
        <v>71</v>
      </c>
      <c r="O226" s="22" t="s">
        <v>53</v>
      </c>
      <c r="P226" s="49">
        <v>67.900000000000006</v>
      </c>
      <c r="Q226" s="49">
        <v>67.400000000000006</v>
      </c>
      <c r="R226" s="50">
        <f t="shared" si="10"/>
        <v>0.5</v>
      </c>
      <c r="T226" s="21">
        <v>45883</v>
      </c>
      <c r="U226" s="22" t="s">
        <v>51</v>
      </c>
      <c r="V226" s="24">
        <v>4</v>
      </c>
      <c r="W226" s="24">
        <v>3</v>
      </c>
      <c r="X226" s="24">
        <v>3</v>
      </c>
      <c r="Y226" s="24">
        <v>3</v>
      </c>
      <c r="Z226" s="20">
        <f t="shared" si="11"/>
        <v>13</v>
      </c>
    </row>
    <row r="227" spans="1:26" ht="17" x14ac:dyDescent="0.2">
      <c r="A227" s="21">
        <v>46112</v>
      </c>
      <c r="B227" s="51">
        <f t="shared" si="9"/>
        <v>14</v>
      </c>
      <c r="C227" s="22" t="s">
        <v>70</v>
      </c>
      <c r="D227" s="23" t="s">
        <v>3</v>
      </c>
      <c r="E227" s="24">
        <v>125</v>
      </c>
      <c r="F227" s="22" t="s">
        <v>65</v>
      </c>
      <c r="H227" s="21">
        <v>45880</v>
      </c>
      <c r="I227" s="22" t="s">
        <v>71</v>
      </c>
      <c r="J227" s="22" t="s">
        <v>45</v>
      </c>
      <c r="K227" s="24" t="s">
        <v>61</v>
      </c>
      <c r="M227" s="21">
        <v>45882</v>
      </c>
      <c r="N227" s="22" t="s">
        <v>70</v>
      </c>
      <c r="O227" s="22" t="s">
        <v>54</v>
      </c>
      <c r="P227" s="49">
        <v>85.2</v>
      </c>
      <c r="Q227" s="49">
        <v>85.3</v>
      </c>
      <c r="R227" s="50">
        <f t="shared" si="10"/>
        <v>-9.9999999999994316E-2</v>
      </c>
      <c r="T227" s="21">
        <v>45883</v>
      </c>
      <c r="U227" s="22" t="s">
        <v>53</v>
      </c>
      <c r="V227" s="24">
        <v>4</v>
      </c>
      <c r="W227" s="24">
        <v>3</v>
      </c>
      <c r="X227" s="24">
        <v>3</v>
      </c>
      <c r="Y227" s="24">
        <v>5</v>
      </c>
      <c r="Z227" s="20">
        <f t="shared" si="11"/>
        <v>15</v>
      </c>
    </row>
    <row r="228" spans="1:26" x14ac:dyDescent="0.2">
      <c r="A228" s="21">
        <v>46113</v>
      </c>
      <c r="B228" s="51">
        <f t="shared" si="9"/>
        <v>14</v>
      </c>
      <c r="C228" s="22" t="s">
        <v>70</v>
      </c>
      <c r="D228" s="22" t="s">
        <v>147</v>
      </c>
      <c r="E228" s="24">
        <v>150</v>
      </c>
      <c r="F228" s="22" t="s">
        <v>65</v>
      </c>
      <c r="H228" s="21">
        <v>45880</v>
      </c>
      <c r="I228" s="22" t="s">
        <v>71</v>
      </c>
      <c r="J228" s="22" t="s">
        <v>57</v>
      </c>
      <c r="K228" s="24">
        <v>8</v>
      </c>
      <c r="M228" s="21">
        <v>45882</v>
      </c>
      <c r="N228" s="22" t="s">
        <v>71</v>
      </c>
      <c r="O228" s="22" t="s">
        <v>54</v>
      </c>
      <c r="P228" s="49">
        <v>85.4</v>
      </c>
      <c r="Q228" s="49">
        <v>85.3</v>
      </c>
      <c r="R228" s="50">
        <f t="shared" si="10"/>
        <v>0.10000000000000853</v>
      </c>
      <c r="T228" s="21">
        <v>45883</v>
      </c>
      <c r="U228" s="22" t="s">
        <v>54</v>
      </c>
      <c r="V228" s="24">
        <v>5</v>
      </c>
      <c r="W228" s="24">
        <v>2</v>
      </c>
      <c r="X228" s="24">
        <v>2</v>
      </c>
      <c r="Y228" s="24">
        <v>4</v>
      </c>
      <c r="Z228" s="20">
        <f t="shared" si="11"/>
        <v>13</v>
      </c>
    </row>
    <row r="229" spans="1:26" ht="17" x14ac:dyDescent="0.2">
      <c r="A229" s="21">
        <v>46114</v>
      </c>
      <c r="B229" s="51">
        <f t="shared" si="9"/>
        <v>14</v>
      </c>
      <c r="C229" s="22" t="s">
        <v>70</v>
      </c>
      <c r="D229" s="23" t="s">
        <v>3</v>
      </c>
      <c r="E229" s="24">
        <v>105</v>
      </c>
      <c r="F229" s="22" t="s">
        <v>65</v>
      </c>
      <c r="H229" s="21">
        <v>45880</v>
      </c>
      <c r="I229" s="22" t="s">
        <v>71</v>
      </c>
      <c r="J229" s="22" t="s">
        <v>42</v>
      </c>
      <c r="K229" s="24">
        <v>5</v>
      </c>
      <c r="M229" s="21">
        <v>45882</v>
      </c>
      <c r="N229" s="22" t="s">
        <v>70</v>
      </c>
      <c r="O229" s="22" t="s">
        <v>56</v>
      </c>
      <c r="P229" s="49">
        <v>73.8</v>
      </c>
      <c r="Q229" s="49">
        <v>74.400000000000006</v>
      </c>
      <c r="R229" s="50">
        <f t="shared" si="10"/>
        <v>-0.60000000000000853</v>
      </c>
      <c r="T229" s="21">
        <v>45883</v>
      </c>
      <c r="U229" s="22" t="s">
        <v>56</v>
      </c>
      <c r="V229" s="24">
        <v>4</v>
      </c>
      <c r="W229" s="24">
        <v>2</v>
      </c>
      <c r="X229" s="24">
        <v>3</v>
      </c>
      <c r="Y229" s="24">
        <v>5</v>
      </c>
      <c r="Z229" s="20">
        <f t="shared" si="11"/>
        <v>14</v>
      </c>
    </row>
    <row r="230" spans="1:26" x14ac:dyDescent="0.2">
      <c r="A230" s="21">
        <v>46115</v>
      </c>
      <c r="B230" s="51">
        <f t="shared" si="9"/>
        <v>14</v>
      </c>
      <c r="C230" s="22" t="s">
        <v>70</v>
      </c>
      <c r="D230" s="22" t="s">
        <v>3</v>
      </c>
      <c r="E230" s="24">
        <v>90</v>
      </c>
      <c r="F230" s="22" t="s">
        <v>65</v>
      </c>
      <c r="H230" s="21">
        <v>45880</v>
      </c>
      <c r="I230" s="22" t="s">
        <v>71</v>
      </c>
      <c r="J230" s="22" t="s">
        <v>54</v>
      </c>
      <c r="K230" s="24">
        <v>8</v>
      </c>
      <c r="M230" s="21">
        <v>45882</v>
      </c>
      <c r="N230" s="22" t="s">
        <v>71</v>
      </c>
      <c r="O230" s="22" t="s">
        <v>56</v>
      </c>
      <c r="P230" s="49">
        <v>74.900000000000006</v>
      </c>
      <c r="Q230" s="49">
        <v>74.400000000000006</v>
      </c>
      <c r="R230" s="50">
        <f t="shared" si="10"/>
        <v>0.5</v>
      </c>
      <c r="T230" s="21">
        <v>45883</v>
      </c>
      <c r="U230" s="22" t="s">
        <v>57</v>
      </c>
      <c r="V230" s="24">
        <v>4</v>
      </c>
      <c r="W230" s="24">
        <v>4</v>
      </c>
      <c r="X230" s="24">
        <v>4</v>
      </c>
      <c r="Y230" s="24">
        <v>4</v>
      </c>
      <c r="Z230" s="20">
        <f t="shared" si="11"/>
        <v>16</v>
      </c>
    </row>
    <row r="231" spans="1:26" x14ac:dyDescent="0.2">
      <c r="A231" s="21">
        <v>46116</v>
      </c>
      <c r="B231" s="51">
        <f t="shared" si="9"/>
        <v>14</v>
      </c>
      <c r="C231" s="22" t="s">
        <v>70</v>
      </c>
      <c r="D231" s="22" t="s">
        <v>62</v>
      </c>
      <c r="E231" s="24">
        <v>35</v>
      </c>
      <c r="F231" s="22" t="s">
        <v>65</v>
      </c>
      <c r="H231" s="21">
        <v>45880</v>
      </c>
      <c r="I231" s="22" t="s">
        <v>71</v>
      </c>
      <c r="J231" s="22" t="s">
        <v>47</v>
      </c>
      <c r="K231" s="24">
        <v>8</v>
      </c>
      <c r="M231" s="21">
        <v>45882</v>
      </c>
      <c r="N231" s="22" t="s">
        <v>70</v>
      </c>
      <c r="O231" s="22" t="s">
        <v>57</v>
      </c>
      <c r="P231" s="49">
        <v>93.8</v>
      </c>
      <c r="Q231" s="49">
        <v>93.2</v>
      </c>
      <c r="R231" s="50">
        <f t="shared" si="10"/>
        <v>0.59999999999999432</v>
      </c>
      <c r="T231" s="21">
        <v>45883</v>
      </c>
      <c r="U231" s="22" t="s">
        <v>58</v>
      </c>
      <c r="V231" s="24">
        <v>4</v>
      </c>
      <c r="W231" s="24">
        <v>3</v>
      </c>
      <c r="X231" s="24">
        <v>3</v>
      </c>
      <c r="Y231" s="24">
        <v>5</v>
      </c>
      <c r="Z231" s="20">
        <f t="shared" si="11"/>
        <v>15</v>
      </c>
    </row>
    <row r="232" spans="1:26" x14ac:dyDescent="0.2">
      <c r="A232" s="21">
        <v>46116</v>
      </c>
      <c r="B232" s="51">
        <f t="shared" si="9"/>
        <v>14</v>
      </c>
      <c r="C232" s="22" t="s">
        <v>71</v>
      </c>
      <c r="D232" s="22" t="s">
        <v>4</v>
      </c>
      <c r="E232" s="24">
        <v>120</v>
      </c>
      <c r="F232" s="22" t="s">
        <v>65</v>
      </c>
      <c r="H232" s="21">
        <v>45880</v>
      </c>
      <c r="I232" s="22" t="s">
        <v>71</v>
      </c>
      <c r="J232" s="22" t="s">
        <v>41</v>
      </c>
      <c r="K232" s="24">
        <v>6</v>
      </c>
      <c r="M232" s="21">
        <v>45882</v>
      </c>
      <c r="N232" s="22" t="s">
        <v>71</v>
      </c>
      <c r="O232" s="22" t="s">
        <v>57</v>
      </c>
      <c r="P232" s="49">
        <v>94.1</v>
      </c>
      <c r="Q232" s="49">
        <v>93.5</v>
      </c>
      <c r="R232" s="50">
        <f t="shared" si="10"/>
        <v>0.59999999999999432</v>
      </c>
      <c r="T232" s="21">
        <v>45883</v>
      </c>
      <c r="U232" s="22" t="s">
        <v>33</v>
      </c>
      <c r="V232" s="24">
        <v>3.625</v>
      </c>
      <c r="W232" s="24">
        <v>3.3125</v>
      </c>
      <c r="X232" s="24">
        <v>3.4375</v>
      </c>
      <c r="Y232" s="24">
        <v>4.4375</v>
      </c>
      <c r="Z232" s="20">
        <f t="shared" si="11"/>
        <v>14.8125</v>
      </c>
    </row>
    <row r="233" spans="1:26" x14ac:dyDescent="0.2">
      <c r="A233" s="21">
        <v>46118</v>
      </c>
      <c r="B233" s="51">
        <f t="shared" si="9"/>
        <v>15</v>
      </c>
      <c r="C233" s="22" t="s">
        <v>70</v>
      </c>
      <c r="D233" s="22" t="s">
        <v>150</v>
      </c>
      <c r="E233" s="24">
        <v>150</v>
      </c>
      <c r="F233" s="22" t="s">
        <v>65</v>
      </c>
      <c r="H233" s="21">
        <v>45880</v>
      </c>
      <c r="I233" s="22" t="s">
        <v>71</v>
      </c>
      <c r="J233" s="22" t="s">
        <v>58</v>
      </c>
      <c r="K233" s="24">
        <v>7</v>
      </c>
      <c r="M233" s="21">
        <v>45882</v>
      </c>
      <c r="N233" s="22" t="s">
        <v>70</v>
      </c>
      <c r="O233" s="22" t="s">
        <v>58</v>
      </c>
      <c r="P233" s="49">
        <v>76.099999999999994</v>
      </c>
      <c r="Q233" s="49">
        <v>75.5</v>
      </c>
      <c r="R233" s="50">
        <f t="shared" si="10"/>
        <v>0.59999999999999432</v>
      </c>
      <c r="T233" s="21">
        <v>45884</v>
      </c>
      <c r="U233" s="22" t="s">
        <v>41</v>
      </c>
      <c r="V233" s="24">
        <v>1</v>
      </c>
      <c r="W233" s="24">
        <v>2</v>
      </c>
      <c r="X233" s="24">
        <v>1</v>
      </c>
      <c r="Y233" s="24">
        <v>2</v>
      </c>
      <c r="Z233" s="20">
        <f t="shared" si="11"/>
        <v>6</v>
      </c>
    </row>
    <row r="234" spans="1:26" ht="17" x14ac:dyDescent="0.2">
      <c r="A234" s="21">
        <v>46119</v>
      </c>
      <c r="B234" s="51">
        <f t="shared" si="9"/>
        <v>15</v>
      </c>
      <c r="C234" s="22" t="s">
        <v>70</v>
      </c>
      <c r="D234" s="23" t="s">
        <v>3</v>
      </c>
      <c r="E234" s="24">
        <v>100</v>
      </c>
      <c r="F234" s="22" t="s">
        <v>65</v>
      </c>
      <c r="H234" s="21">
        <v>45880</v>
      </c>
      <c r="I234" s="22" t="s">
        <v>71</v>
      </c>
      <c r="J234" s="22" t="s">
        <v>49</v>
      </c>
      <c r="K234" s="24">
        <v>8</v>
      </c>
      <c r="M234" s="21">
        <v>45882</v>
      </c>
      <c r="N234" s="22" t="s">
        <v>71</v>
      </c>
      <c r="O234" s="22" t="s">
        <v>58</v>
      </c>
      <c r="P234" s="49">
        <v>75.599999999999994</v>
      </c>
      <c r="Q234" s="49">
        <v>74.5</v>
      </c>
      <c r="R234" s="50">
        <f t="shared" si="10"/>
        <v>1.0999999999999943</v>
      </c>
      <c r="T234" s="21">
        <v>45884</v>
      </c>
      <c r="U234" s="22" t="s">
        <v>42</v>
      </c>
      <c r="V234" s="24">
        <v>3</v>
      </c>
      <c r="W234" s="24">
        <v>4</v>
      </c>
      <c r="X234" s="24">
        <v>4</v>
      </c>
      <c r="Y234" s="24">
        <v>5</v>
      </c>
      <c r="Z234" s="20">
        <f t="shared" si="11"/>
        <v>16</v>
      </c>
    </row>
    <row r="235" spans="1:26" x14ac:dyDescent="0.2">
      <c r="A235" s="21">
        <v>46120</v>
      </c>
      <c r="B235" s="51">
        <f t="shared" si="9"/>
        <v>15</v>
      </c>
      <c r="C235" s="22" t="s">
        <v>70</v>
      </c>
      <c r="D235" s="22" t="s">
        <v>150</v>
      </c>
      <c r="E235" s="24">
        <v>140</v>
      </c>
      <c r="F235" s="22" t="s">
        <v>65</v>
      </c>
      <c r="H235" s="21">
        <v>45880</v>
      </c>
      <c r="I235" s="22" t="s">
        <v>71</v>
      </c>
      <c r="J235" s="22" t="s">
        <v>43</v>
      </c>
      <c r="K235" s="24">
        <v>6</v>
      </c>
      <c r="M235" s="21">
        <v>45883</v>
      </c>
      <c r="N235" s="22" t="s">
        <v>70</v>
      </c>
      <c r="O235" s="22" t="s">
        <v>41</v>
      </c>
      <c r="P235" s="49">
        <v>77</v>
      </c>
      <c r="Q235" s="49">
        <v>76</v>
      </c>
      <c r="R235" s="50">
        <f t="shared" si="10"/>
        <v>1</v>
      </c>
      <c r="T235" s="21">
        <v>45884</v>
      </c>
      <c r="U235" s="22" t="s">
        <v>44</v>
      </c>
      <c r="V235" s="24">
        <v>5</v>
      </c>
      <c r="W235" s="24">
        <v>3</v>
      </c>
      <c r="X235" s="24">
        <v>3</v>
      </c>
      <c r="Y235" s="24">
        <v>5</v>
      </c>
      <c r="Z235" s="20">
        <f t="shared" si="11"/>
        <v>16</v>
      </c>
    </row>
    <row r="236" spans="1:26" ht="17" x14ac:dyDescent="0.2">
      <c r="A236" s="21">
        <v>46121</v>
      </c>
      <c r="B236" s="51">
        <f t="shared" si="9"/>
        <v>15</v>
      </c>
      <c r="C236" s="22" t="s">
        <v>71</v>
      </c>
      <c r="D236" s="23" t="s">
        <v>3</v>
      </c>
      <c r="E236" s="24">
        <v>90</v>
      </c>
      <c r="F236" s="22" t="s">
        <v>65</v>
      </c>
      <c r="H236" s="21">
        <v>45880</v>
      </c>
      <c r="I236" s="22" t="s">
        <v>71</v>
      </c>
      <c r="J236" s="22" t="s">
        <v>50</v>
      </c>
      <c r="K236" s="24">
        <v>5</v>
      </c>
      <c r="M236" s="21">
        <v>45883</v>
      </c>
      <c r="N236" s="22" t="s">
        <v>70</v>
      </c>
      <c r="O236" s="22" t="s">
        <v>42</v>
      </c>
      <c r="P236" s="49">
        <v>79</v>
      </c>
      <c r="Q236" s="49">
        <v>78.7</v>
      </c>
      <c r="R236" s="50">
        <f t="shared" si="10"/>
        <v>0.29999999999999716</v>
      </c>
      <c r="T236" s="21">
        <v>45884</v>
      </c>
      <c r="U236" s="22" t="s">
        <v>45</v>
      </c>
      <c r="V236" s="24">
        <v>4</v>
      </c>
      <c r="W236" s="24">
        <v>4</v>
      </c>
      <c r="X236" s="24">
        <v>4</v>
      </c>
      <c r="Y236" s="24">
        <v>5</v>
      </c>
      <c r="Z236" s="20">
        <f t="shared" si="11"/>
        <v>17</v>
      </c>
    </row>
    <row r="237" spans="1:26" x14ac:dyDescent="0.2">
      <c r="A237" s="21">
        <v>46122</v>
      </c>
      <c r="B237" s="51">
        <f t="shared" si="9"/>
        <v>15</v>
      </c>
      <c r="C237" s="22" t="s">
        <v>70</v>
      </c>
      <c r="D237" s="22" t="s">
        <v>59</v>
      </c>
      <c r="E237" s="24">
        <v>60</v>
      </c>
      <c r="F237" s="22" t="s">
        <v>65</v>
      </c>
      <c r="H237" s="21">
        <v>45880</v>
      </c>
      <c r="I237" s="22" t="s">
        <v>71</v>
      </c>
      <c r="J237" s="22" t="s">
        <v>51</v>
      </c>
      <c r="K237" s="24">
        <v>8</v>
      </c>
      <c r="M237" s="21">
        <v>45883</v>
      </c>
      <c r="N237" s="22" t="s">
        <v>70</v>
      </c>
      <c r="O237" s="22" t="s">
        <v>43</v>
      </c>
      <c r="P237" s="49">
        <v>88.9</v>
      </c>
      <c r="Q237" s="49">
        <v>88.3</v>
      </c>
      <c r="R237" s="50">
        <f t="shared" si="10"/>
        <v>0.60000000000000853</v>
      </c>
      <c r="T237" s="21">
        <v>45884</v>
      </c>
      <c r="U237" s="22" t="s">
        <v>46</v>
      </c>
      <c r="V237" s="24">
        <v>5</v>
      </c>
      <c r="W237" s="24">
        <v>3</v>
      </c>
      <c r="X237" s="24">
        <v>4</v>
      </c>
      <c r="Y237" s="24">
        <v>5</v>
      </c>
      <c r="Z237" s="20">
        <f t="shared" si="11"/>
        <v>17</v>
      </c>
    </row>
    <row r="238" spans="1:26" x14ac:dyDescent="0.2">
      <c r="A238" s="21">
        <v>46125</v>
      </c>
      <c r="B238" s="51">
        <f t="shared" si="9"/>
        <v>16</v>
      </c>
      <c r="C238" s="22" t="s">
        <v>70</v>
      </c>
      <c r="D238" s="22" t="s">
        <v>147</v>
      </c>
      <c r="E238" s="24">
        <v>140</v>
      </c>
      <c r="F238" s="22" t="s">
        <v>65</v>
      </c>
      <c r="H238" s="21">
        <v>45880</v>
      </c>
      <c r="I238" s="22" t="s">
        <v>71</v>
      </c>
      <c r="J238" s="22" t="s">
        <v>46</v>
      </c>
      <c r="K238" s="24">
        <v>6</v>
      </c>
      <c r="M238" s="21">
        <v>45883</v>
      </c>
      <c r="N238" s="22" t="s">
        <v>70</v>
      </c>
      <c r="O238" s="22" t="s">
        <v>44</v>
      </c>
      <c r="P238" s="49">
        <v>67.900000000000006</v>
      </c>
      <c r="Q238" s="49">
        <v>67.8</v>
      </c>
      <c r="R238" s="50">
        <f t="shared" si="10"/>
        <v>0.10000000000000853</v>
      </c>
      <c r="T238" s="21">
        <v>45884</v>
      </c>
      <c r="U238" s="22" t="s">
        <v>47</v>
      </c>
      <c r="V238" s="24">
        <v>4</v>
      </c>
      <c r="W238" s="24">
        <v>4</v>
      </c>
      <c r="X238" s="24">
        <v>3</v>
      </c>
      <c r="Y238" s="24">
        <v>5</v>
      </c>
      <c r="Z238" s="20">
        <f t="shared" si="11"/>
        <v>16</v>
      </c>
    </row>
    <row r="239" spans="1:26" ht="17" x14ac:dyDescent="0.2">
      <c r="A239" s="21">
        <v>46126</v>
      </c>
      <c r="B239" s="51">
        <f t="shared" si="9"/>
        <v>16</v>
      </c>
      <c r="C239" s="22" t="s">
        <v>70</v>
      </c>
      <c r="D239" s="23" t="s">
        <v>3</v>
      </c>
      <c r="E239" s="24">
        <v>120</v>
      </c>
      <c r="F239" s="22" t="s">
        <v>65</v>
      </c>
      <c r="H239" s="21">
        <v>45880</v>
      </c>
      <c r="I239" s="22" t="s">
        <v>71</v>
      </c>
      <c r="J239" s="22" t="s">
        <v>48</v>
      </c>
      <c r="K239" s="24">
        <v>6</v>
      </c>
      <c r="M239" s="21">
        <v>45883</v>
      </c>
      <c r="N239" s="22" t="s">
        <v>70</v>
      </c>
      <c r="O239" s="22" t="s">
        <v>45</v>
      </c>
      <c r="P239" s="49">
        <v>69</v>
      </c>
      <c r="Q239" s="49">
        <v>68.7</v>
      </c>
      <c r="R239" s="50">
        <f t="shared" si="10"/>
        <v>0.29999999999999716</v>
      </c>
      <c r="T239" s="21">
        <v>45884</v>
      </c>
      <c r="U239" s="22" t="s">
        <v>48</v>
      </c>
      <c r="V239" s="24">
        <v>5</v>
      </c>
      <c r="W239" s="24">
        <v>4</v>
      </c>
      <c r="X239" s="24">
        <v>4</v>
      </c>
      <c r="Y239" s="24">
        <v>5</v>
      </c>
      <c r="Z239" s="20">
        <f t="shared" si="11"/>
        <v>18</v>
      </c>
    </row>
    <row r="240" spans="1:26" x14ac:dyDescent="0.2">
      <c r="A240" s="21">
        <v>46127</v>
      </c>
      <c r="B240" s="51">
        <f t="shared" si="9"/>
        <v>16</v>
      </c>
      <c r="C240" s="22" t="s">
        <v>70</v>
      </c>
      <c r="D240" s="22" t="s">
        <v>147</v>
      </c>
      <c r="E240" s="24">
        <v>135</v>
      </c>
      <c r="F240" s="22" t="s">
        <v>65</v>
      </c>
      <c r="H240" s="21">
        <v>45880</v>
      </c>
      <c r="I240" s="22" t="s">
        <v>71</v>
      </c>
      <c r="J240" s="22" t="s">
        <v>56</v>
      </c>
      <c r="K240" s="24">
        <v>8</v>
      </c>
      <c r="M240" s="21">
        <v>45883</v>
      </c>
      <c r="N240" s="22" t="s">
        <v>70</v>
      </c>
      <c r="O240" s="22" t="s">
        <v>46</v>
      </c>
      <c r="P240" s="49">
        <v>80</v>
      </c>
      <c r="Q240" s="49">
        <v>80.099999999999994</v>
      </c>
      <c r="R240" s="50">
        <f t="shared" si="10"/>
        <v>-9.9999999999994316E-2</v>
      </c>
      <c r="T240" s="21">
        <v>45884</v>
      </c>
      <c r="U240" s="22" t="s">
        <v>49</v>
      </c>
      <c r="V240" s="24">
        <v>3</v>
      </c>
      <c r="W240" s="24">
        <v>3</v>
      </c>
      <c r="X240" s="24">
        <v>3</v>
      </c>
      <c r="Y240" s="24">
        <v>4</v>
      </c>
      <c r="Z240" s="20">
        <f t="shared" si="11"/>
        <v>13</v>
      </c>
    </row>
    <row r="241" spans="1:26" ht="17" x14ac:dyDescent="0.2">
      <c r="A241" s="21">
        <v>46128</v>
      </c>
      <c r="B241" s="51">
        <f t="shared" si="9"/>
        <v>16</v>
      </c>
      <c r="C241" s="22" t="s">
        <v>70</v>
      </c>
      <c r="D241" s="23" t="s">
        <v>3</v>
      </c>
      <c r="E241" s="24">
        <v>110</v>
      </c>
      <c r="F241" s="22" t="s">
        <v>65</v>
      </c>
      <c r="H241" s="21">
        <v>45881</v>
      </c>
      <c r="I241" s="22" t="s">
        <v>70</v>
      </c>
      <c r="J241" s="22" t="s">
        <v>52</v>
      </c>
      <c r="K241" s="24" t="s">
        <v>61</v>
      </c>
      <c r="M241" s="21">
        <v>45883</v>
      </c>
      <c r="N241" s="22" t="s">
        <v>70</v>
      </c>
      <c r="O241" s="22" t="s">
        <v>47</v>
      </c>
      <c r="P241" s="49">
        <v>71.599999999999994</v>
      </c>
      <c r="Q241" s="49">
        <v>71.7</v>
      </c>
      <c r="R241" s="50">
        <f t="shared" si="10"/>
        <v>-0.10000000000000853</v>
      </c>
      <c r="T241" s="21">
        <v>45884</v>
      </c>
      <c r="U241" s="22" t="s">
        <v>50</v>
      </c>
      <c r="V241" s="24">
        <v>3</v>
      </c>
      <c r="W241" s="24">
        <v>4</v>
      </c>
      <c r="X241" s="24">
        <v>4</v>
      </c>
      <c r="Y241" s="24">
        <v>5</v>
      </c>
      <c r="Z241" s="20">
        <f t="shared" si="11"/>
        <v>16</v>
      </c>
    </row>
    <row r="242" spans="1:26" x14ac:dyDescent="0.2">
      <c r="A242" s="21">
        <v>46129</v>
      </c>
      <c r="B242" s="51">
        <f t="shared" si="9"/>
        <v>16</v>
      </c>
      <c r="C242" s="22" t="s">
        <v>70</v>
      </c>
      <c r="D242" s="22" t="s">
        <v>3</v>
      </c>
      <c r="E242" s="24">
        <v>60</v>
      </c>
      <c r="F242" s="22" t="s">
        <v>65</v>
      </c>
      <c r="H242" s="21">
        <v>45881</v>
      </c>
      <c r="I242" s="22" t="s">
        <v>70</v>
      </c>
      <c r="J242" s="22" t="s">
        <v>53</v>
      </c>
      <c r="K242" s="24">
        <v>9</v>
      </c>
      <c r="M242" s="21">
        <v>45883</v>
      </c>
      <c r="N242" s="22" t="s">
        <v>70</v>
      </c>
      <c r="O242" s="22" t="s">
        <v>48</v>
      </c>
      <c r="P242" s="49">
        <v>82.5</v>
      </c>
      <c r="Q242" s="49">
        <v>80.8</v>
      </c>
      <c r="R242" s="50">
        <f t="shared" si="10"/>
        <v>1.7000000000000028</v>
      </c>
      <c r="T242" s="21">
        <v>45884</v>
      </c>
      <c r="U242" s="22" t="s">
        <v>51</v>
      </c>
      <c r="V242" s="24">
        <v>4</v>
      </c>
      <c r="W242" s="24">
        <v>4</v>
      </c>
      <c r="X242" s="24">
        <v>4</v>
      </c>
      <c r="Y242" s="24">
        <v>4</v>
      </c>
      <c r="Z242" s="20">
        <f t="shared" si="11"/>
        <v>16</v>
      </c>
    </row>
    <row r="243" spans="1:26" x14ac:dyDescent="0.2">
      <c r="A243" s="21">
        <v>46130</v>
      </c>
      <c r="B243" s="51">
        <f t="shared" si="9"/>
        <v>16</v>
      </c>
      <c r="C243" s="22" t="s">
        <v>70</v>
      </c>
      <c r="D243" s="22" t="s">
        <v>62</v>
      </c>
      <c r="E243" s="24">
        <v>35</v>
      </c>
      <c r="F243" s="22" t="s">
        <v>65</v>
      </c>
      <c r="H243" s="21">
        <v>45881</v>
      </c>
      <c r="I243" s="22" t="s">
        <v>70</v>
      </c>
      <c r="J243" s="22" t="s">
        <v>44</v>
      </c>
      <c r="K243" s="24">
        <v>9</v>
      </c>
      <c r="M243" s="21">
        <v>45883</v>
      </c>
      <c r="N243" s="22" t="s">
        <v>70</v>
      </c>
      <c r="O243" s="22" t="s">
        <v>49</v>
      </c>
      <c r="P243" s="49">
        <v>79.2</v>
      </c>
      <c r="Q243" s="49">
        <v>79.599999999999994</v>
      </c>
      <c r="R243" s="50">
        <f t="shared" si="10"/>
        <v>-0.39999999999999147</v>
      </c>
      <c r="T243" s="21">
        <v>45884</v>
      </c>
      <c r="U243" s="22" t="s">
        <v>52</v>
      </c>
      <c r="V243" s="24">
        <v>4</v>
      </c>
      <c r="W243" s="24">
        <v>5</v>
      </c>
      <c r="X243" s="24">
        <v>2</v>
      </c>
      <c r="Y243" s="24">
        <v>2</v>
      </c>
      <c r="Z243" s="20">
        <f t="shared" si="11"/>
        <v>13</v>
      </c>
    </row>
    <row r="244" spans="1:26" x14ac:dyDescent="0.2">
      <c r="A244" s="21">
        <v>46130</v>
      </c>
      <c r="B244" s="51">
        <f t="shared" si="9"/>
        <v>16</v>
      </c>
      <c r="C244" s="22" t="s">
        <v>71</v>
      </c>
      <c r="D244" s="22" t="s">
        <v>4</v>
      </c>
      <c r="E244" s="24">
        <v>120</v>
      </c>
      <c r="F244" s="22" t="s">
        <v>65</v>
      </c>
      <c r="H244" s="21">
        <v>45881</v>
      </c>
      <c r="I244" s="22" t="s">
        <v>70</v>
      </c>
      <c r="J244" s="22" t="s">
        <v>45</v>
      </c>
      <c r="K244" s="24" t="s">
        <v>61</v>
      </c>
      <c r="M244" s="21">
        <v>45883</v>
      </c>
      <c r="N244" s="22" t="s">
        <v>70</v>
      </c>
      <c r="O244" s="22" t="s">
        <v>50</v>
      </c>
      <c r="P244" s="49">
        <v>70.7</v>
      </c>
      <c r="Q244" s="49">
        <v>70.599999999999994</v>
      </c>
      <c r="R244" s="50">
        <f t="shared" si="10"/>
        <v>0.10000000000000853</v>
      </c>
      <c r="T244" s="21">
        <v>45884</v>
      </c>
      <c r="U244" s="22" t="s">
        <v>53</v>
      </c>
      <c r="V244" s="24">
        <v>3</v>
      </c>
      <c r="W244" s="24">
        <v>3</v>
      </c>
      <c r="X244" s="24">
        <v>4</v>
      </c>
      <c r="Y244" s="24">
        <v>5</v>
      </c>
      <c r="Z244" s="20">
        <f t="shared" si="11"/>
        <v>15</v>
      </c>
    </row>
    <row r="245" spans="1:26" x14ac:dyDescent="0.2">
      <c r="A245" s="21">
        <v>46132</v>
      </c>
      <c r="B245" s="51">
        <f t="shared" si="9"/>
        <v>17</v>
      </c>
      <c r="C245" s="22" t="s">
        <v>62</v>
      </c>
      <c r="D245" s="22" t="s">
        <v>3</v>
      </c>
      <c r="E245" s="24">
        <v>100</v>
      </c>
      <c r="F245" s="22" t="s">
        <v>165</v>
      </c>
      <c r="H245" s="21">
        <v>45881</v>
      </c>
      <c r="I245" s="22" t="s">
        <v>70</v>
      </c>
      <c r="J245" s="22" t="s">
        <v>57</v>
      </c>
      <c r="K245" s="24">
        <v>10</v>
      </c>
      <c r="M245" s="21">
        <v>45883</v>
      </c>
      <c r="N245" s="22" t="s">
        <v>70</v>
      </c>
      <c r="O245" s="22" t="s">
        <v>51</v>
      </c>
      <c r="P245" s="49">
        <v>75.8</v>
      </c>
      <c r="Q245" s="49">
        <v>75.099999999999994</v>
      </c>
      <c r="R245" s="50">
        <f t="shared" si="10"/>
        <v>0.70000000000000284</v>
      </c>
      <c r="T245" s="21">
        <v>45884</v>
      </c>
      <c r="U245" s="22" t="s">
        <v>54</v>
      </c>
      <c r="V245" s="24">
        <v>2</v>
      </c>
      <c r="W245" s="24">
        <v>3</v>
      </c>
      <c r="X245" s="24">
        <v>3</v>
      </c>
      <c r="Y245" s="24">
        <v>4</v>
      </c>
      <c r="Z245" s="20">
        <f t="shared" si="11"/>
        <v>12</v>
      </c>
    </row>
    <row r="246" spans="1:26" x14ac:dyDescent="0.2">
      <c r="A246" s="21">
        <v>46133</v>
      </c>
      <c r="B246" s="51"/>
      <c r="C246" s="22" t="s">
        <v>62</v>
      </c>
      <c r="D246" s="22" t="s">
        <v>3</v>
      </c>
      <c r="E246" s="24">
        <v>95</v>
      </c>
      <c r="F246" s="22" t="s">
        <v>165</v>
      </c>
      <c r="H246" s="21">
        <v>45881</v>
      </c>
      <c r="I246" s="22" t="s">
        <v>70</v>
      </c>
      <c r="J246" s="22" t="s">
        <v>42</v>
      </c>
      <c r="K246" s="24">
        <v>6</v>
      </c>
      <c r="M246" s="21">
        <v>45883</v>
      </c>
      <c r="N246" s="22" t="s">
        <v>70</v>
      </c>
      <c r="O246" s="22" t="s">
        <v>53</v>
      </c>
      <c r="P246" s="49">
        <v>68.3</v>
      </c>
      <c r="Q246" s="49">
        <v>67.099999999999994</v>
      </c>
      <c r="R246" s="50">
        <f t="shared" si="10"/>
        <v>1.2000000000000028</v>
      </c>
      <c r="T246" s="21">
        <v>45884</v>
      </c>
      <c r="U246" s="22" t="s">
        <v>56</v>
      </c>
      <c r="V246" s="24">
        <v>4</v>
      </c>
      <c r="W246" s="24">
        <v>4</v>
      </c>
      <c r="X246" s="24">
        <v>4</v>
      </c>
      <c r="Y246" s="24">
        <v>5</v>
      </c>
      <c r="Z246" s="20">
        <f t="shared" si="11"/>
        <v>17</v>
      </c>
    </row>
    <row r="247" spans="1:26" x14ac:dyDescent="0.2">
      <c r="A247" s="21"/>
      <c r="B247" s="51"/>
      <c r="C247" s="22"/>
      <c r="D247" s="22"/>
      <c r="E247" s="24"/>
      <c r="F247" s="22"/>
      <c r="H247" s="21">
        <v>45881</v>
      </c>
      <c r="I247" s="22" t="s">
        <v>70</v>
      </c>
      <c r="J247" s="22" t="s">
        <v>54</v>
      </c>
      <c r="K247" s="24">
        <v>10</v>
      </c>
      <c r="M247" s="21">
        <v>45883</v>
      </c>
      <c r="N247" s="22" t="s">
        <v>70</v>
      </c>
      <c r="O247" s="22" t="s">
        <v>54</v>
      </c>
      <c r="P247" s="49">
        <v>85.1</v>
      </c>
      <c r="Q247" s="49">
        <v>85.6</v>
      </c>
      <c r="R247" s="50">
        <f t="shared" si="10"/>
        <v>-0.5</v>
      </c>
      <c r="T247" s="21">
        <v>45884</v>
      </c>
      <c r="U247" s="22" t="s">
        <v>57</v>
      </c>
      <c r="V247" s="24">
        <v>4</v>
      </c>
      <c r="W247" s="24">
        <v>4</v>
      </c>
      <c r="X247" s="24">
        <v>4</v>
      </c>
      <c r="Y247" s="24">
        <v>4</v>
      </c>
      <c r="Z247" s="20">
        <f t="shared" si="11"/>
        <v>16</v>
      </c>
    </row>
    <row r="248" spans="1:26" x14ac:dyDescent="0.2">
      <c r="A248" s="21"/>
      <c r="B248" s="51"/>
      <c r="C248" s="22"/>
      <c r="D248" s="22"/>
      <c r="E248" s="24"/>
      <c r="F248" s="22"/>
      <c r="H248" s="21">
        <v>45881</v>
      </c>
      <c r="I248" s="22" t="s">
        <v>70</v>
      </c>
      <c r="J248" s="22" t="s">
        <v>47</v>
      </c>
      <c r="K248" s="24">
        <v>9</v>
      </c>
      <c r="M248" s="21">
        <v>45883</v>
      </c>
      <c r="N248" s="22" t="s">
        <v>70</v>
      </c>
      <c r="O248" s="22" t="s">
        <v>56</v>
      </c>
      <c r="P248" s="49">
        <v>75.2</v>
      </c>
      <c r="Q248" s="49">
        <v>75.400000000000006</v>
      </c>
      <c r="R248" s="50">
        <f t="shared" si="10"/>
        <v>-0.20000000000000284</v>
      </c>
      <c r="T248" s="21">
        <v>45884</v>
      </c>
      <c r="U248" s="22" t="s">
        <v>58</v>
      </c>
      <c r="V248" s="24">
        <v>4</v>
      </c>
      <c r="W248" s="24">
        <v>3</v>
      </c>
      <c r="X248" s="24">
        <v>4</v>
      </c>
      <c r="Y248" s="24">
        <v>5</v>
      </c>
      <c r="Z248" s="20">
        <f t="shared" si="11"/>
        <v>16</v>
      </c>
    </row>
    <row r="249" spans="1:26" x14ac:dyDescent="0.2">
      <c r="A249" s="21"/>
      <c r="B249" s="51"/>
      <c r="C249" s="22"/>
      <c r="D249" s="22"/>
      <c r="E249" s="24"/>
      <c r="F249" s="22"/>
      <c r="H249" s="21">
        <v>45881</v>
      </c>
      <c r="I249" s="22" t="s">
        <v>70</v>
      </c>
      <c r="J249" s="22" t="s">
        <v>41</v>
      </c>
      <c r="K249" s="24">
        <v>6</v>
      </c>
      <c r="M249" s="21">
        <v>45883</v>
      </c>
      <c r="N249" s="22" t="s">
        <v>70</v>
      </c>
      <c r="O249" s="22" t="s">
        <v>57</v>
      </c>
      <c r="P249" s="49">
        <v>94</v>
      </c>
      <c r="Q249" s="49">
        <v>93.2</v>
      </c>
      <c r="R249" s="50">
        <f t="shared" si="10"/>
        <v>0.79999999999999716</v>
      </c>
      <c r="T249" s="21">
        <v>45884</v>
      </c>
      <c r="U249" s="22" t="s">
        <v>33</v>
      </c>
      <c r="V249" s="24">
        <v>3.625</v>
      </c>
      <c r="W249" s="24">
        <v>3.5625</v>
      </c>
      <c r="X249" s="24">
        <v>3.4375</v>
      </c>
      <c r="Y249" s="24">
        <v>4.375</v>
      </c>
      <c r="Z249" s="20">
        <f t="shared" si="11"/>
        <v>15</v>
      </c>
    </row>
    <row r="250" spans="1:26" x14ac:dyDescent="0.2">
      <c r="A250" s="21"/>
      <c r="B250" s="51"/>
      <c r="C250" s="22"/>
      <c r="D250" s="22"/>
      <c r="E250" s="24"/>
      <c r="F250" s="22"/>
      <c r="H250" s="21">
        <v>45881</v>
      </c>
      <c r="I250" s="22" t="s">
        <v>70</v>
      </c>
      <c r="J250" s="22" t="s">
        <v>58</v>
      </c>
      <c r="K250" s="24">
        <v>10</v>
      </c>
      <c r="M250" s="21">
        <v>45883</v>
      </c>
      <c r="N250" s="22" t="s">
        <v>70</v>
      </c>
      <c r="O250" s="22" t="s">
        <v>58</v>
      </c>
      <c r="P250" s="49">
        <v>75.2</v>
      </c>
      <c r="Q250" s="49">
        <v>75.3</v>
      </c>
      <c r="R250" s="50">
        <f t="shared" si="10"/>
        <v>-9.9999999999994316E-2</v>
      </c>
      <c r="T250" s="21">
        <v>45887</v>
      </c>
      <c r="U250" s="22" t="s">
        <v>41</v>
      </c>
      <c r="V250" s="24">
        <v>1</v>
      </c>
      <c r="W250" s="24">
        <v>2</v>
      </c>
      <c r="X250" s="24">
        <v>1</v>
      </c>
      <c r="Y250" s="24">
        <v>2</v>
      </c>
      <c r="Z250" s="20">
        <f t="shared" si="11"/>
        <v>6</v>
      </c>
    </row>
    <row r="251" spans="1:26" x14ac:dyDescent="0.2">
      <c r="A251" s="21"/>
      <c r="B251" s="51"/>
      <c r="C251" s="22"/>
      <c r="D251" s="22"/>
      <c r="E251" s="24"/>
      <c r="F251" s="22"/>
      <c r="H251" s="21">
        <v>45881</v>
      </c>
      <c r="I251" s="22" t="s">
        <v>70</v>
      </c>
      <c r="J251" s="22" t="s">
        <v>49</v>
      </c>
      <c r="K251" s="24">
        <v>9</v>
      </c>
      <c r="M251" s="21">
        <v>45884</v>
      </c>
      <c r="N251" s="22" t="s">
        <v>70</v>
      </c>
      <c r="O251" s="22" t="s">
        <v>41</v>
      </c>
      <c r="P251" s="49">
        <v>76.8</v>
      </c>
      <c r="Q251" s="49">
        <v>75.900000000000006</v>
      </c>
      <c r="R251" s="50">
        <f t="shared" si="10"/>
        <v>0.89999999999999147</v>
      </c>
      <c r="T251" s="21">
        <v>45887</v>
      </c>
      <c r="U251" s="22" t="s">
        <v>42</v>
      </c>
      <c r="V251" s="24">
        <v>4</v>
      </c>
      <c r="W251" s="24">
        <v>4</v>
      </c>
      <c r="X251" s="24">
        <v>4</v>
      </c>
      <c r="Y251" s="24">
        <v>5</v>
      </c>
      <c r="Z251" s="20">
        <f t="shared" si="11"/>
        <v>17</v>
      </c>
    </row>
    <row r="252" spans="1:26" x14ac:dyDescent="0.2">
      <c r="A252" s="21"/>
      <c r="B252" s="51"/>
      <c r="C252" s="22"/>
      <c r="D252" s="22"/>
      <c r="E252" s="24"/>
      <c r="F252" s="22"/>
      <c r="H252" s="21">
        <v>45881</v>
      </c>
      <c r="I252" s="22" t="s">
        <v>70</v>
      </c>
      <c r="J252" s="22" t="s">
        <v>9</v>
      </c>
      <c r="K252" s="24">
        <v>0</v>
      </c>
      <c r="M252" s="21">
        <v>45884</v>
      </c>
      <c r="N252" s="22" t="s">
        <v>71</v>
      </c>
      <c r="O252" s="22" t="s">
        <v>41</v>
      </c>
      <c r="P252" s="49">
        <v>77</v>
      </c>
      <c r="Q252" s="49">
        <v>75.8</v>
      </c>
      <c r="R252" s="50">
        <f t="shared" si="10"/>
        <v>1.2000000000000028</v>
      </c>
      <c r="T252" s="21">
        <v>45887</v>
      </c>
      <c r="U252" s="22" t="s">
        <v>43</v>
      </c>
      <c r="V252" s="24">
        <v>4</v>
      </c>
      <c r="W252" s="24">
        <v>4</v>
      </c>
      <c r="X252" s="24">
        <v>4</v>
      </c>
      <c r="Y252" s="24">
        <v>5</v>
      </c>
      <c r="Z252" s="20">
        <f t="shared" si="11"/>
        <v>17</v>
      </c>
    </row>
    <row r="253" spans="1:26" x14ac:dyDescent="0.2">
      <c r="A253" s="21"/>
      <c r="B253" s="51"/>
      <c r="C253" s="22"/>
      <c r="D253" s="22"/>
      <c r="E253" s="24"/>
      <c r="F253" s="22"/>
      <c r="H253" s="21">
        <v>45881</v>
      </c>
      <c r="I253" s="22" t="s">
        <v>70</v>
      </c>
      <c r="J253" s="22" t="s">
        <v>43</v>
      </c>
      <c r="K253" s="24">
        <v>6</v>
      </c>
      <c r="M253" s="21">
        <v>45884</v>
      </c>
      <c r="N253" s="22" t="s">
        <v>70</v>
      </c>
      <c r="O253" s="22" t="s">
        <v>42</v>
      </c>
      <c r="P253" s="49">
        <v>79.2</v>
      </c>
      <c r="Q253" s="49">
        <v>78.900000000000006</v>
      </c>
      <c r="R253" s="50">
        <f t="shared" si="10"/>
        <v>0.29999999999999716</v>
      </c>
      <c r="T253" s="21">
        <v>45887</v>
      </c>
      <c r="U253" s="22" t="s">
        <v>44</v>
      </c>
      <c r="V253" s="24">
        <v>4</v>
      </c>
      <c r="W253" s="24">
        <v>4</v>
      </c>
      <c r="X253" s="24">
        <v>4</v>
      </c>
      <c r="Y253" s="24">
        <v>4</v>
      </c>
      <c r="Z253" s="20">
        <f t="shared" si="11"/>
        <v>16</v>
      </c>
    </row>
    <row r="254" spans="1:26" x14ac:dyDescent="0.2">
      <c r="A254" s="21"/>
      <c r="B254" s="51"/>
      <c r="C254" s="22"/>
      <c r="D254" s="22"/>
      <c r="E254" s="24"/>
      <c r="F254" s="22"/>
      <c r="H254" s="21">
        <v>45881</v>
      </c>
      <c r="I254" s="22" t="s">
        <v>70</v>
      </c>
      <c r="J254" s="22" t="s">
        <v>50</v>
      </c>
      <c r="K254" s="24">
        <v>9</v>
      </c>
      <c r="M254" s="21">
        <v>45884</v>
      </c>
      <c r="N254" s="22" t="s">
        <v>71</v>
      </c>
      <c r="O254" s="22" t="s">
        <v>42</v>
      </c>
      <c r="P254" s="49">
        <v>79.099999999999994</v>
      </c>
      <c r="Q254" s="49">
        <v>78.3</v>
      </c>
      <c r="R254" s="50">
        <f t="shared" si="10"/>
        <v>0.79999999999999716</v>
      </c>
      <c r="T254" s="21">
        <v>45887</v>
      </c>
      <c r="U254" s="22" t="s">
        <v>45</v>
      </c>
      <c r="V254" s="24">
        <v>4</v>
      </c>
      <c r="W254" s="24">
        <v>4</v>
      </c>
      <c r="X254" s="24">
        <v>4</v>
      </c>
      <c r="Y254" s="24">
        <v>5</v>
      </c>
      <c r="Z254" s="20">
        <f t="shared" si="11"/>
        <v>17</v>
      </c>
    </row>
    <row r="255" spans="1:26" x14ac:dyDescent="0.2">
      <c r="A255" s="21"/>
      <c r="B255" s="51"/>
      <c r="C255" s="22"/>
      <c r="D255" s="22"/>
      <c r="E255" s="24"/>
      <c r="F255" s="22"/>
      <c r="H255" s="21">
        <v>45881</v>
      </c>
      <c r="I255" s="22" t="s">
        <v>70</v>
      </c>
      <c r="J255" s="22" t="s">
        <v>51</v>
      </c>
      <c r="K255" s="24">
        <v>9</v>
      </c>
      <c r="M255" s="21">
        <v>45884</v>
      </c>
      <c r="N255" s="22" t="s">
        <v>70</v>
      </c>
      <c r="O255" s="22" t="s">
        <v>44</v>
      </c>
      <c r="P255" s="49">
        <v>68.099999999999994</v>
      </c>
      <c r="Q255" s="49">
        <v>68.5</v>
      </c>
      <c r="R255" s="50">
        <f t="shared" si="10"/>
        <v>-0.40000000000000568</v>
      </c>
      <c r="T255" s="21">
        <v>45887</v>
      </c>
      <c r="U255" s="22" t="s">
        <v>46</v>
      </c>
      <c r="V255" s="24">
        <v>5</v>
      </c>
      <c r="W255" s="24">
        <v>5</v>
      </c>
      <c r="X255" s="24">
        <v>4</v>
      </c>
      <c r="Y255" s="24">
        <v>4</v>
      </c>
      <c r="Z255" s="20">
        <f t="shared" si="11"/>
        <v>18</v>
      </c>
    </row>
    <row r="256" spans="1:26" x14ac:dyDescent="0.2">
      <c r="A256" s="21"/>
      <c r="B256" s="51"/>
      <c r="C256" s="22"/>
      <c r="D256" s="22"/>
      <c r="E256" s="24"/>
      <c r="F256" s="22"/>
      <c r="H256" s="21">
        <v>45881</v>
      </c>
      <c r="I256" s="22" t="s">
        <v>70</v>
      </c>
      <c r="J256" s="22" t="s">
        <v>46</v>
      </c>
      <c r="K256" s="24">
        <v>7</v>
      </c>
      <c r="M256" s="21">
        <v>45884</v>
      </c>
      <c r="N256" s="22" t="s">
        <v>71</v>
      </c>
      <c r="O256" s="22" t="s">
        <v>44</v>
      </c>
      <c r="P256" s="49">
        <v>68.5</v>
      </c>
      <c r="Q256" s="49">
        <v>68.599999999999994</v>
      </c>
      <c r="R256" s="50">
        <f t="shared" si="10"/>
        <v>-9.9999999999994316E-2</v>
      </c>
      <c r="T256" s="21">
        <v>45887</v>
      </c>
      <c r="U256" s="22" t="s">
        <v>47</v>
      </c>
      <c r="V256" s="24">
        <v>3</v>
      </c>
      <c r="W256" s="24">
        <v>4</v>
      </c>
      <c r="X256" s="24">
        <v>4</v>
      </c>
      <c r="Y256" s="24">
        <v>5</v>
      </c>
      <c r="Z256" s="20">
        <f t="shared" si="11"/>
        <v>16</v>
      </c>
    </row>
    <row r="257" spans="1:26" x14ac:dyDescent="0.2">
      <c r="A257" s="21"/>
      <c r="B257" s="51"/>
      <c r="C257" s="22"/>
      <c r="D257" s="22"/>
      <c r="E257" s="24"/>
      <c r="F257" s="22"/>
      <c r="H257" s="21">
        <v>45881</v>
      </c>
      <c r="I257" s="22" t="s">
        <v>70</v>
      </c>
      <c r="J257" s="22" t="s">
        <v>48</v>
      </c>
      <c r="K257" s="24">
        <v>9</v>
      </c>
      <c r="M257" s="21">
        <v>45884</v>
      </c>
      <c r="N257" s="22" t="s">
        <v>70</v>
      </c>
      <c r="O257" s="22" t="s">
        <v>45</v>
      </c>
      <c r="P257" s="49">
        <v>68.7</v>
      </c>
      <c r="Q257" s="49">
        <v>68.400000000000006</v>
      </c>
      <c r="R257" s="50">
        <f t="shared" si="10"/>
        <v>0.29999999999999716</v>
      </c>
      <c r="T257" s="21">
        <v>45887</v>
      </c>
      <c r="U257" s="22" t="s">
        <v>48</v>
      </c>
      <c r="V257" s="24">
        <v>5</v>
      </c>
      <c r="W257" s="24">
        <v>5</v>
      </c>
      <c r="X257" s="24">
        <v>5</v>
      </c>
      <c r="Y257" s="24">
        <v>5</v>
      </c>
      <c r="Z257" s="20">
        <f t="shared" si="11"/>
        <v>20</v>
      </c>
    </row>
    <row r="258" spans="1:26" x14ac:dyDescent="0.2">
      <c r="A258" s="21"/>
      <c r="B258" s="51"/>
      <c r="C258" s="22"/>
      <c r="D258" s="22"/>
      <c r="E258" s="24"/>
      <c r="F258" s="22"/>
      <c r="H258" s="21">
        <v>45881</v>
      </c>
      <c r="I258" s="22" t="s">
        <v>70</v>
      </c>
      <c r="J258" s="22" t="s">
        <v>56</v>
      </c>
      <c r="K258" s="24">
        <v>10</v>
      </c>
      <c r="M258" s="21">
        <v>45884</v>
      </c>
      <c r="N258" s="22" t="s">
        <v>71</v>
      </c>
      <c r="O258" s="22" t="s">
        <v>45</v>
      </c>
      <c r="P258" s="49">
        <v>68.900000000000006</v>
      </c>
      <c r="Q258" s="49">
        <v>68.900000000000006</v>
      </c>
      <c r="R258" s="50">
        <f t="shared" si="10"/>
        <v>0</v>
      </c>
      <c r="T258" s="21">
        <v>45887</v>
      </c>
      <c r="U258" s="22" t="s">
        <v>49</v>
      </c>
      <c r="V258" s="24">
        <v>3</v>
      </c>
      <c r="W258" s="24">
        <v>4</v>
      </c>
      <c r="X258" s="24">
        <v>4</v>
      </c>
      <c r="Y258" s="24">
        <v>4</v>
      </c>
      <c r="Z258" s="20">
        <f t="shared" si="11"/>
        <v>15</v>
      </c>
    </row>
    <row r="259" spans="1:26" x14ac:dyDescent="0.2">
      <c r="A259" s="21"/>
      <c r="B259" s="51"/>
      <c r="C259" s="22"/>
      <c r="D259" s="22"/>
      <c r="E259" s="24"/>
      <c r="F259" s="22"/>
      <c r="H259" s="21">
        <v>45882</v>
      </c>
      <c r="I259" s="22" t="s">
        <v>70</v>
      </c>
      <c r="J259" s="22" t="s">
        <v>52</v>
      </c>
      <c r="K259" s="24" t="s">
        <v>61</v>
      </c>
      <c r="M259" s="21">
        <v>45884</v>
      </c>
      <c r="N259" s="22" t="s">
        <v>70</v>
      </c>
      <c r="O259" s="22" t="s">
        <v>46</v>
      </c>
      <c r="P259" s="49">
        <v>79.099999999999994</v>
      </c>
      <c r="Q259" s="49">
        <v>80</v>
      </c>
      <c r="R259" s="50">
        <f t="shared" ref="R259:R322" si="12">IFERROR(P259-Q259,"")</f>
        <v>-0.90000000000000568</v>
      </c>
      <c r="T259" s="21">
        <v>45887</v>
      </c>
      <c r="U259" s="22" t="s">
        <v>50</v>
      </c>
      <c r="V259" s="24">
        <v>3</v>
      </c>
      <c r="W259" s="24">
        <v>4</v>
      </c>
      <c r="X259" s="24">
        <v>3</v>
      </c>
      <c r="Y259" s="24">
        <v>5</v>
      </c>
      <c r="Z259" s="20">
        <f t="shared" ref="Z259:Z322" si="13">SUM(V259:Y259)</f>
        <v>15</v>
      </c>
    </row>
    <row r="260" spans="1:26" x14ac:dyDescent="0.2">
      <c r="A260" s="21"/>
      <c r="B260" s="51"/>
      <c r="C260" s="22"/>
      <c r="D260" s="22"/>
      <c r="E260" s="24"/>
      <c r="F260" s="22"/>
      <c r="H260" s="21">
        <v>45882</v>
      </c>
      <c r="I260" s="22" t="s">
        <v>70</v>
      </c>
      <c r="J260" s="22" t="s">
        <v>53</v>
      </c>
      <c r="K260" s="24">
        <v>7</v>
      </c>
      <c r="M260" s="21">
        <v>45884</v>
      </c>
      <c r="N260" s="22" t="s">
        <v>71</v>
      </c>
      <c r="O260" s="22" t="s">
        <v>46</v>
      </c>
      <c r="P260" s="49">
        <v>80</v>
      </c>
      <c r="Q260" s="49">
        <v>79</v>
      </c>
      <c r="R260" s="50">
        <f t="shared" si="12"/>
        <v>1</v>
      </c>
      <c r="T260" s="21">
        <v>45887</v>
      </c>
      <c r="U260" s="22" t="s">
        <v>51</v>
      </c>
      <c r="V260" s="24">
        <v>3</v>
      </c>
      <c r="W260" s="24">
        <v>4</v>
      </c>
      <c r="X260" s="24">
        <v>4</v>
      </c>
      <c r="Y260" s="24">
        <v>5</v>
      </c>
      <c r="Z260" s="20">
        <f t="shared" si="13"/>
        <v>16</v>
      </c>
    </row>
    <row r="261" spans="1:26" x14ac:dyDescent="0.2">
      <c r="A261" s="21"/>
      <c r="B261" s="51"/>
      <c r="C261" s="22"/>
      <c r="D261" s="22"/>
      <c r="E261" s="24"/>
      <c r="F261" s="22"/>
      <c r="H261" s="21">
        <v>45882</v>
      </c>
      <c r="I261" s="22" t="s">
        <v>70</v>
      </c>
      <c r="J261" s="22" t="s">
        <v>44</v>
      </c>
      <c r="K261" s="24">
        <v>8</v>
      </c>
      <c r="M261" s="21">
        <v>45884</v>
      </c>
      <c r="N261" s="22" t="s">
        <v>70</v>
      </c>
      <c r="O261" s="22" t="s">
        <v>47</v>
      </c>
      <c r="P261" s="49">
        <v>71</v>
      </c>
      <c r="Q261" s="49">
        <v>71.099999999999994</v>
      </c>
      <c r="R261" s="50">
        <f t="shared" si="12"/>
        <v>-9.9999999999994316E-2</v>
      </c>
      <c r="T261" s="21">
        <v>45887</v>
      </c>
      <c r="U261" s="22" t="s">
        <v>52</v>
      </c>
      <c r="V261" s="24">
        <v>4</v>
      </c>
      <c r="W261" s="24">
        <v>5</v>
      </c>
      <c r="X261" s="24">
        <v>3</v>
      </c>
      <c r="Y261" s="24">
        <v>2</v>
      </c>
      <c r="Z261" s="20">
        <f t="shared" si="13"/>
        <v>14</v>
      </c>
    </row>
    <row r="262" spans="1:26" x14ac:dyDescent="0.2">
      <c r="A262" s="21"/>
      <c r="B262" s="51"/>
      <c r="C262" s="22"/>
      <c r="D262" s="22"/>
      <c r="E262" s="24"/>
      <c r="F262" s="22"/>
      <c r="H262" s="21">
        <v>45882</v>
      </c>
      <c r="I262" s="22" t="s">
        <v>70</v>
      </c>
      <c r="J262" s="22" t="s">
        <v>45</v>
      </c>
      <c r="K262" s="24" t="s">
        <v>61</v>
      </c>
      <c r="M262" s="21">
        <v>45884</v>
      </c>
      <c r="N262" s="22" t="s">
        <v>71</v>
      </c>
      <c r="O262" s="22" t="s">
        <v>47</v>
      </c>
      <c r="P262" s="49">
        <v>71.2</v>
      </c>
      <c r="Q262" s="49">
        <v>71.599999999999994</v>
      </c>
      <c r="R262" s="50">
        <f t="shared" si="12"/>
        <v>-0.39999999999999147</v>
      </c>
      <c r="T262" s="21">
        <v>45887</v>
      </c>
      <c r="U262" s="22" t="s">
        <v>53</v>
      </c>
      <c r="V262" s="24">
        <v>4</v>
      </c>
      <c r="W262" s="24">
        <v>4</v>
      </c>
      <c r="X262" s="24">
        <v>4</v>
      </c>
      <c r="Y262" s="24">
        <v>5</v>
      </c>
      <c r="Z262" s="20">
        <f t="shared" si="13"/>
        <v>17</v>
      </c>
    </row>
    <row r="263" spans="1:26" x14ac:dyDescent="0.2">
      <c r="A263" s="21"/>
      <c r="B263" s="51"/>
      <c r="C263" s="22"/>
      <c r="D263" s="22"/>
      <c r="E263" s="24"/>
      <c r="F263" s="22"/>
      <c r="H263" s="21">
        <v>45882</v>
      </c>
      <c r="I263" s="22" t="s">
        <v>70</v>
      </c>
      <c r="J263" s="22" t="s">
        <v>57</v>
      </c>
      <c r="K263" s="24">
        <v>8</v>
      </c>
      <c r="M263" s="21">
        <v>45884</v>
      </c>
      <c r="N263" s="22" t="s">
        <v>70</v>
      </c>
      <c r="O263" s="22" t="s">
        <v>48</v>
      </c>
      <c r="P263" s="49">
        <v>81.900000000000006</v>
      </c>
      <c r="Q263" s="49">
        <v>80.8</v>
      </c>
      <c r="R263" s="50">
        <f t="shared" si="12"/>
        <v>1.1000000000000085</v>
      </c>
      <c r="T263" s="21">
        <v>45887</v>
      </c>
      <c r="U263" s="22" t="s">
        <v>54</v>
      </c>
      <c r="V263" s="24">
        <v>3</v>
      </c>
      <c r="W263" s="24">
        <v>4</v>
      </c>
      <c r="X263" s="24">
        <v>3</v>
      </c>
      <c r="Y263" s="24">
        <v>4</v>
      </c>
      <c r="Z263" s="20">
        <f t="shared" si="13"/>
        <v>14</v>
      </c>
    </row>
    <row r="264" spans="1:26" x14ac:dyDescent="0.2">
      <c r="A264" s="21"/>
      <c r="B264" s="51"/>
      <c r="C264" s="22"/>
      <c r="D264" s="22"/>
      <c r="E264" s="24"/>
      <c r="F264" s="22"/>
      <c r="H264" s="21">
        <v>45882</v>
      </c>
      <c r="I264" s="22" t="s">
        <v>70</v>
      </c>
      <c r="J264" s="22" t="s">
        <v>42</v>
      </c>
      <c r="K264" s="24">
        <v>1</v>
      </c>
      <c r="M264" s="21">
        <v>45884</v>
      </c>
      <c r="N264" s="22" t="s">
        <v>71</v>
      </c>
      <c r="O264" s="22" t="s">
        <v>48</v>
      </c>
      <c r="P264" s="49">
        <v>82.4</v>
      </c>
      <c r="Q264" s="49">
        <v>80.599999999999994</v>
      </c>
      <c r="R264" s="50">
        <f t="shared" si="12"/>
        <v>1.8000000000000114</v>
      </c>
      <c r="T264" s="21">
        <v>45887</v>
      </c>
      <c r="U264" s="22" t="s">
        <v>56</v>
      </c>
      <c r="V264" s="24">
        <v>4</v>
      </c>
      <c r="W264" s="24">
        <v>4</v>
      </c>
      <c r="X264" s="24">
        <v>4</v>
      </c>
      <c r="Y264" s="24">
        <v>5</v>
      </c>
      <c r="Z264" s="20">
        <f t="shared" si="13"/>
        <v>17</v>
      </c>
    </row>
    <row r="265" spans="1:26" x14ac:dyDescent="0.2">
      <c r="A265" s="21"/>
      <c r="B265" s="51"/>
      <c r="C265" s="22"/>
      <c r="D265" s="22"/>
      <c r="E265" s="24"/>
      <c r="F265" s="22"/>
      <c r="H265" s="21">
        <v>45882</v>
      </c>
      <c r="I265" s="22" t="s">
        <v>70</v>
      </c>
      <c r="J265" s="22" t="s">
        <v>54</v>
      </c>
      <c r="K265" s="24">
        <v>8</v>
      </c>
      <c r="M265" s="21">
        <v>45884</v>
      </c>
      <c r="N265" s="22" t="s">
        <v>70</v>
      </c>
      <c r="O265" s="22" t="s">
        <v>49</v>
      </c>
      <c r="P265" s="49">
        <v>78.400000000000006</v>
      </c>
      <c r="Q265" s="49">
        <v>78.599999999999994</v>
      </c>
      <c r="R265" s="50">
        <f t="shared" si="12"/>
        <v>-0.19999999999998863</v>
      </c>
      <c r="T265" s="21">
        <v>45887</v>
      </c>
      <c r="U265" s="22" t="s">
        <v>57</v>
      </c>
      <c r="V265" s="24">
        <v>3</v>
      </c>
      <c r="W265" s="24">
        <v>4</v>
      </c>
      <c r="X265" s="24">
        <v>3</v>
      </c>
      <c r="Y265" s="24">
        <v>5</v>
      </c>
      <c r="Z265" s="20">
        <f t="shared" si="13"/>
        <v>15</v>
      </c>
    </row>
    <row r="266" spans="1:26" x14ac:dyDescent="0.2">
      <c r="A266" s="21"/>
      <c r="B266" s="51"/>
      <c r="C266" s="22"/>
      <c r="D266" s="22"/>
      <c r="E266" s="24"/>
      <c r="F266" s="22"/>
      <c r="H266" s="21">
        <v>45882</v>
      </c>
      <c r="I266" s="22" t="s">
        <v>70</v>
      </c>
      <c r="J266" s="22" t="s">
        <v>47</v>
      </c>
      <c r="K266" s="24">
        <v>7</v>
      </c>
      <c r="M266" s="21">
        <v>45884</v>
      </c>
      <c r="N266" s="22" t="s">
        <v>70</v>
      </c>
      <c r="O266" s="22" t="s">
        <v>50</v>
      </c>
      <c r="P266" s="49">
        <v>70.5</v>
      </c>
      <c r="Q266" s="49">
        <v>70.3</v>
      </c>
      <c r="R266" s="50">
        <f t="shared" si="12"/>
        <v>0.20000000000000284</v>
      </c>
      <c r="T266" s="21">
        <v>45887</v>
      </c>
      <c r="U266" s="22" t="s">
        <v>58</v>
      </c>
      <c r="V266" s="24">
        <v>4</v>
      </c>
      <c r="W266" s="24">
        <v>4</v>
      </c>
      <c r="X266" s="24">
        <v>4</v>
      </c>
      <c r="Y266" s="24">
        <v>5</v>
      </c>
      <c r="Z266" s="20">
        <f t="shared" si="13"/>
        <v>17</v>
      </c>
    </row>
    <row r="267" spans="1:26" x14ac:dyDescent="0.2">
      <c r="A267" s="21"/>
      <c r="B267" s="51"/>
      <c r="C267" s="22"/>
      <c r="D267" s="22"/>
      <c r="E267" s="24"/>
      <c r="F267" s="22"/>
      <c r="H267" s="21">
        <v>45882</v>
      </c>
      <c r="I267" s="22" t="s">
        <v>70</v>
      </c>
      <c r="J267" s="22" t="s">
        <v>41</v>
      </c>
      <c r="K267" s="24">
        <v>1</v>
      </c>
      <c r="M267" s="21">
        <v>45884</v>
      </c>
      <c r="N267" s="22" t="s">
        <v>71</v>
      </c>
      <c r="O267" s="22" t="s">
        <v>50</v>
      </c>
      <c r="P267" s="49">
        <v>70.900000000000006</v>
      </c>
      <c r="Q267" s="49">
        <v>69.8</v>
      </c>
      <c r="R267" s="50">
        <f t="shared" si="12"/>
        <v>1.1000000000000085</v>
      </c>
      <c r="T267" s="21">
        <v>45887</v>
      </c>
      <c r="U267" s="22" t="s">
        <v>33</v>
      </c>
      <c r="V267" s="24">
        <v>3.5882352941176499</v>
      </c>
      <c r="W267" s="24">
        <v>4.0588235294117601</v>
      </c>
      <c r="X267" s="24">
        <v>3.6470588235294099</v>
      </c>
      <c r="Y267" s="24">
        <v>4.4117647058823497</v>
      </c>
      <c r="Z267" s="20">
        <f t="shared" si="13"/>
        <v>15.705882352941169</v>
      </c>
    </row>
    <row r="268" spans="1:26" x14ac:dyDescent="0.2">
      <c r="A268" s="21"/>
      <c r="B268" s="51"/>
      <c r="C268" s="22"/>
      <c r="D268" s="22"/>
      <c r="E268" s="24"/>
      <c r="F268" s="22"/>
      <c r="H268" s="21">
        <v>45882</v>
      </c>
      <c r="I268" s="22" t="s">
        <v>70</v>
      </c>
      <c r="J268" s="22" t="s">
        <v>58</v>
      </c>
      <c r="K268" s="24">
        <v>7</v>
      </c>
      <c r="M268" s="21">
        <v>45884</v>
      </c>
      <c r="N268" s="22" t="s">
        <v>70</v>
      </c>
      <c r="O268" s="22" t="s">
        <v>51</v>
      </c>
      <c r="P268" s="49">
        <v>75</v>
      </c>
      <c r="Q268" s="49">
        <v>75</v>
      </c>
      <c r="R268" s="50">
        <f t="shared" si="12"/>
        <v>0</v>
      </c>
      <c r="T268" s="21">
        <v>45888</v>
      </c>
      <c r="U268" s="22" t="s">
        <v>41</v>
      </c>
      <c r="V268" s="24">
        <v>1</v>
      </c>
      <c r="W268" s="24">
        <v>1</v>
      </c>
      <c r="X268" s="24">
        <v>2</v>
      </c>
      <c r="Y268" s="24">
        <v>2</v>
      </c>
      <c r="Z268" s="20">
        <f t="shared" si="13"/>
        <v>6</v>
      </c>
    </row>
    <row r="269" spans="1:26" x14ac:dyDescent="0.2">
      <c r="A269" s="21"/>
      <c r="B269" s="51"/>
      <c r="C269" s="22"/>
      <c r="D269" s="22"/>
      <c r="E269" s="24"/>
      <c r="F269" s="22"/>
      <c r="H269" s="21">
        <v>45882</v>
      </c>
      <c r="I269" s="22" t="s">
        <v>70</v>
      </c>
      <c r="J269" s="22" t="s">
        <v>49</v>
      </c>
      <c r="K269" s="24">
        <v>7</v>
      </c>
      <c r="M269" s="21">
        <v>45884</v>
      </c>
      <c r="N269" s="22" t="s">
        <v>71</v>
      </c>
      <c r="O269" s="22" t="s">
        <v>51</v>
      </c>
      <c r="P269" s="49">
        <v>75.5</v>
      </c>
      <c r="Q269" s="49">
        <v>74.8</v>
      </c>
      <c r="R269" s="50">
        <f t="shared" si="12"/>
        <v>0.70000000000000284</v>
      </c>
      <c r="T269" s="21">
        <v>45888</v>
      </c>
      <c r="U269" s="22" t="s">
        <v>42</v>
      </c>
      <c r="V269" s="24">
        <v>3</v>
      </c>
      <c r="W269" s="24">
        <v>4</v>
      </c>
      <c r="X269" s="24">
        <v>4</v>
      </c>
      <c r="Y269" s="24">
        <v>5</v>
      </c>
      <c r="Z269" s="20">
        <f t="shared" si="13"/>
        <v>16</v>
      </c>
    </row>
    <row r="270" spans="1:26" x14ac:dyDescent="0.2">
      <c r="A270" s="21"/>
      <c r="B270" s="51"/>
      <c r="C270" s="22"/>
      <c r="D270" s="22"/>
      <c r="E270" s="24"/>
      <c r="F270" s="22"/>
      <c r="H270" s="21">
        <v>45882</v>
      </c>
      <c r="I270" s="22" t="s">
        <v>70</v>
      </c>
      <c r="J270" s="22" t="s">
        <v>43</v>
      </c>
      <c r="K270" s="24">
        <v>1</v>
      </c>
      <c r="M270" s="21">
        <v>45884</v>
      </c>
      <c r="N270" s="22" t="s">
        <v>70</v>
      </c>
      <c r="O270" s="22" t="s">
        <v>52</v>
      </c>
      <c r="P270" s="49">
        <v>70</v>
      </c>
      <c r="Q270" s="49">
        <v>70</v>
      </c>
      <c r="R270" s="50">
        <f t="shared" si="12"/>
        <v>0</v>
      </c>
      <c r="T270" s="21">
        <v>45888</v>
      </c>
      <c r="U270" s="22" t="s">
        <v>43</v>
      </c>
      <c r="V270" s="24">
        <v>4</v>
      </c>
      <c r="W270" s="24">
        <v>4</v>
      </c>
      <c r="X270" s="24">
        <v>4</v>
      </c>
      <c r="Y270" s="24">
        <v>5</v>
      </c>
      <c r="Z270" s="20">
        <f t="shared" si="13"/>
        <v>17</v>
      </c>
    </row>
    <row r="271" spans="1:26" x14ac:dyDescent="0.2">
      <c r="A271" s="21"/>
      <c r="B271" s="51"/>
      <c r="C271" s="22"/>
      <c r="D271" s="22"/>
      <c r="E271" s="24"/>
      <c r="F271" s="22"/>
      <c r="H271" s="21">
        <v>45882</v>
      </c>
      <c r="I271" s="22" t="s">
        <v>70</v>
      </c>
      <c r="J271" s="22" t="s">
        <v>50</v>
      </c>
      <c r="K271" s="24">
        <v>7</v>
      </c>
      <c r="M271" s="21">
        <v>45884</v>
      </c>
      <c r="N271" s="22" t="s">
        <v>71</v>
      </c>
      <c r="O271" s="22" t="s">
        <v>52</v>
      </c>
      <c r="P271" s="49">
        <v>70</v>
      </c>
      <c r="Q271" s="49">
        <v>70</v>
      </c>
      <c r="R271" s="50">
        <f t="shared" si="12"/>
        <v>0</v>
      </c>
      <c r="T271" s="21">
        <v>45888</v>
      </c>
      <c r="U271" s="22" t="s">
        <v>44</v>
      </c>
      <c r="V271" s="24">
        <v>5</v>
      </c>
      <c r="W271" s="24">
        <v>5</v>
      </c>
      <c r="X271" s="24">
        <v>5</v>
      </c>
      <c r="Y271" s="24">
        <v>5</v>
      </c>
      <c r="Z271" s="20">
        <f t="shared" si="13"/>
        <v>20</v>
      </c>
    </row>
    <row r="272" spans="1:26" x14ac:dyDescent="0.2">
      <c r="A272" s="21"/>
      <c r="B272" s="51"/>
      <c r="C272" s="22"/>
      <c r="D272" s="22"/>
      <c r="E272" s="24"/>
      <c r="F272" s="22"/>
      <c r="H272" s="21">
        <v>45882</v>
      </c>
      <c r="I272" s="22" t="s">
        <v>70</v>
      </c>
      <c r="J272" s="22" t="s">
        <v>51</v>
      </c>
      <c r="K272" s="24">
        <v>7</v>
      </c>
      <c r="M272" s="21">
        <v>45884</v>
      </c>
      <c r="N272" s="22" t="s">
        <v>70</v>
      </c>
      <c r="O272" s="22" t="s">
        <v>53</v>
      </c>
      <c r="P272" s="49">
        <v>67.900000000000006</v>
      </c>
      <c r="Q272" s="49">
        <v>67.3</v>
      </c>
      <c r="R272" s="50">
        <f t="shared" si="12"/>
        <v>0.60000000000000853</v>
      </c>
      <c r="T272" s="21">
        <v>45888</v>
      </c>
      <c r="U272" s="22" t="s">
        <v>45</v>
      </c>
      <c r="V272" s="24">
        <v>4</v>
      </c>
      <c r="W272" s="24">
        <v>3</v>
      </c>
      <c r="X272" s="24">
        <v>4</v>
      </c>
      <c r="Y272" s="24">
        <v>5</v>
      </c>
      <c r="Z272" s="20">
        <f t="shared" si="13"/>
        <v>16</v>
      </c>
    </row>
    <row r="273" spans="1:26" x14ac:dyDescent="0.2">
      <c r="A273" s="21"/>
      <c r="B273" s="51"/>
      <c r="C273" s="22"/>
      <c r="D273" s="22"/>
      <c r="E273" s="24"/>
      <c r="F273" s="22"/>
      <c r="H273" s="21">
        <v>45882</v>
      </c>
      <c r="I273" s="22" t="s">
        <v>70</v>
      </c>
      <c r="J273" s="22" t="s">
        <v>46</v>
      </c>
      <c r="K273" s="24">
        <v>6</v>
      </c>
      <c r="M273" s="21">
        <v>45884</v>
      </c>
      <c r="N273" s="22" t="s">
        <v>71</v>
      </c>
      <c r="O273" s="22" t="s">
        <v>53</v>
      </c>
      <c r="P273" s="49">
        <v>68</v>
      </c>
      <c r="Q273" s="49">
        <v>67.7</v>
      </c>
      <c r="R273" s="50">
        <f t="shared" si="12"/>
        <v>0.29999999999999716</v>
      </c>
      <c r="T273" s="21">
        <v>45888</v>
      </c>
      <c r="U273" s="22" t="s">
        <v>46</v>
      </c>
      <c r="V273" s="24">
        <v>5</v>
      </c>
      <c r="W273" s="24">
        <v>4</v>
      </c>
      <c r="X273" s="24">
        <v>4</v>
      </c>
      <c r="Y273" s="24">
        <v>4</v>
      </c>
      <c r="Z273" s="20">
        <f t="shared" si="13"/>
        <v>17</v>
      </c>
    </row>
    <row r="274" spans="1:26" x14ac:dyDescent="0.2">
      <c r="A274" s="21"/>
      <c r="B274" s="51"/>
      <c r="C274" s="22"/>
      <c r="D274" s="22"/>
      <c r="E274" s="24"/>
      <c r="F274" s="22"/>
      <c r="H274" s="21">
        <v>45882</v>
      </c>
      <c r="I274" s="22" t="s">
        <v>70</v>
      </c>
      <c r="J274" s="22" t="s">
        <v>48</v>
      </c>
      <c r="K274" s="24">
        <v>7</v>
      </c>
      <c r="M274" s="21">
        <v>45884</v>
      </c>
      <c r="N274" s="22" t="s">
        <v>70</v>
      </c>
      <c r="O274" s="22" t="s">
        <v>54</v>
      </c>
      <c r="P274" s="49">
        <v>85.2</v>
      </c>
      <c r="Q274" s="49">
        <v>85.3</v>
      </c>
      <c r="R274" s="50">
        <f t="shared" si="12"/>
        <v>-9.9999999999994316E-2</v>
      </c>
      <c r="T274" s="21">
        <v>45888</v>
      </c>
      <c r="U274" s="22" t="s">
        <v>47</v>
      </c>
      <c r="V274" s="24">
        <v>4</v>
      </c>
      <c r="W274" s="24">
        <v>4</v>
      </c>
      <c r="X274" s="24">
        <v>3</v>
      </c>
      <c r="Y274" s="24">
        <v>5</v>
      </c>
      <c r="Z274" s="20">
        <f t="shared" si="13"/>
        <v>16</v>
      </c>
    </row>
    <row r="275" spans="1:26" x14ac:dyDescent="0.2">
      <c r="A275" s="21"/>
      <c r="B275" s="51"/>
      <c r="C275" s="22"/>
      <c r="D275" s="22"/>
      <c r="E275" s="24"/>
      <c r="F275" s="22"/>
      <c r="H275" s="21">
        <v>45882</v>
      </c>
      <c r="I275" s="22" t="s">
        <v>70</v>
      </c>
      <c r="J275" s="22" t="s">
        <v>56</v>
      </c>
      <c r="K275" s="24">
        <v>8</v>
      </c>
      <c r="M275" s="21">
        <v>45884</v>
      </c>
      <c r="N275" s="22" t="s">
        <v>71</v>
      </c>
      <c r="O275" s="22" t="s">
        <v>54</v>
      </c>
      <c r="P275" s="49">
        <v>85.1</v>
      </c>
      <c r="Q275" s="49">
        <v>85</v>
      </c>
      <c r="R275" s="50">
        <f t="shared" si="12"/>
        <v>9.9999999999994316E-2</v>
      </c>
      <c r="T275" s="21">
        <v>45888</v>
      </c>
      <c r="U275" s="22" t="s">
        <v>48</v>
      </c>
      <c r="V275" s="24">
        <v>4</v>
      </c>
      <c r="W275" s="24">
        <v>4</v>
      </c>
      <c r="X275" s="24">
        <v>5</v>
      </c>
      <c r="Y275" s="24">
        <v>5</v>
      </c>
      <c r="Z275" s="20">
        <f t="shared" si="13"/>
        <v>18</v>
      </c>
    </row>
    <row r="276" spans="1:26" x14ac:dyDescent="0.2">
      <c r="A276" s="21"/>
      <c r="B276" s="51"/>
      <c r="C276" s="22"/>
      <c r="D276" s="22"/>
      <c r="E276" s="24"/>
      <c r="F276" s="22"/>
      <c r="H276" s="21">
        <v>45882</v>
      </c>
      <c r="I276" s="22" t="s">
        <v>71</v>
      </c>
      <c r="J276" s="22" t="s">
        <v>52</v>
      </c>
      <c r="K276" s="24" t="s">
        <v>61</v>
      </c>
      <c r="M276" s="21">
        <v>45884</v>
      </c>
      <c r="N276" s="22" t="s">
        <v>70</v>
      </c>
      <c r="O276" s="22" t="s">
        <v>56</v>
      </c>
      <c r="P276" s="49">
        <v>74.7</v>
      </c>
      <c r="Q276" s="49">
        <v>74.900000000000006</v>
      </c>
      <c r="R276" s="50">
        <f t="shared" si="12"/>
        <v>-0.20000000000000284</v>
      </c>
      <c r="T276" s="21">
        <v>45888</v>
      </c>
      <c r="U276" s="22" t="s">
        <v>49</v>
      </c>
      <c r="V276" s="24">
        <v>4</v>
      </c>
      <c r="W276" s="24">
        <v>3</v>
      </c>
      <c r="X276" s="24">
        <v>3</v>
      </c>
      <c r="Y276" s="24">
        <v>4</v>
      </c>
      <c r="Z276" s="20">
        <f t="shared" si="13"/>
        <v>14</v>
      </c>
    </row>
    <row r="277" spans="1:26" x14ac:dyDescent="0.2">
      <c r="A277" s="21"/>
      <c r="B277" s="51"/>
      <c r="C277" s="22"/>
      <c r="D277" s="22"/>
      <c r="E277" s="24"/>
      <c r="F277" s="22"/>
      <c r="H277" s="21">
        <v>45882</v>
      </c>
      <c r="I277" s="22" t="s">
        <v>71</v>
      </c>
      <c r="J277" s="22" t="s">
        <v>53</v>
      </c>
      <c r="K277" s="24">
        <v>6</v>
      </c>
      <c r="M277" s="21">
        <v>45884</v>
      </c>
      <c r="N277" s="22" t="s">
        <v>71</v>
      </c>
      <c r="O277" s="22" t="s">
        <v>56</v>
      </c>
      <c r="P277" s="49">
        <v>74.8</v>
      </c>
      <c r="Q277" s="49">
        <v>74.8</v>
      </c>
      <c r="R277" s="50">
        <f t="shared" si="12"/>
        <v>0</v>
      </c>
      <c r="T277" s="21">
        <v>45888</v>
      </c>
      <c r="U277" s="22" t="s">
        <v>50</v>
      </c>
      <c r="V277" s="24">
        <v>3</v>
      </c>
      <c r="W277" s="24">
        <v>4</v>
      </c>
      <c r="X277" s="24">
        <v>3</v>
      </c>
      <c r="Y277" s="24">
        <v>5</v>
      </c>
      <c r="Z277" s="20">
        <f t="shared" si="13"/>
        <v>15</v>
      </c>
    </row>
    <row r="278" spans="1:26" x14ac:dyDescent="0.2">
      <c r="A278" s="21"/>
      <c r="B278" s="51"/>
      <c r="C278" s="22"/>
      <c r="D278" s="22"/>
      <c r="E278" s="24"/>
      <c r="F278" s="22"/>
      <c r="H278" s="21">
        <v>45882</v>
      </c>
      <c r="I278" s="22" t="s">
        <v>71</v>
      </c>
      <c r="J278" s="22" t="s">
        <v>44</v>
      </c>
      <c r="K278" s="24">
        <v>5</v>
      </c>
      <c r="M278" s="21">
        <v>45884</v>
      </c>
      <c r="N278" s="22" t="s">
        <v>70</v>
      </c>
      <c r="O278" s="22" t="s">
        <v>57</v>
      </c>
      <c r="P278" s="49">
        <v>93.7</v>
      </c>
      <c r="Q278" s="49">
        <v>93.5</v>
      </c>
      <c r="R278" s="50">
        <f t="shared" si="12"/>
        <v>0.20000000000000284</v>
      </c>
      <c r="T278" s="21">
        <v>45888</v>
      </c>
      <c r="U278" s="22" t="s">
        <v>51</v>
      </c>
      <c r="V278" s="24">
        <v>4</v>
      </c>
      <c r="W278" s="24">
        <v>4</v>
      </c>
      <c r="X278" s="24">
        <v>4</v>
      </c>
      <c r="Y278" s="24">
        <v>3</v>
      </c>
      <c r="Z278" s="20">
        <f t="shared" si="13"/>
        <v>15</v>
      </c>
    </row>
    <row r="279" spans="1:26" x14ac:dyDescent="0.2">
      <c r="A279" s="21"/>
      <c r="B279" s="51"/>
      <c r="C279" s="22"/>
      <c r="D279" s="22"/>
      <c r="E279" s="24"/>
      <c r="F279" s="22"/>
      <c r="H279" s="21">
        <v>45882</v>
      </c>
      <c r="I279" s="22" t="s">
        <v>71</v>
      </c>
      <c r="J279" s="22" t="s">
        <v>45</v>
      </c>
      <c r="K279" s="24" t="s">
        <v>61</v>
      </c>
      <c r="M279" s="21">
        <v>45884</v>
      </c>
      <c r="N279" s="22" t="s">
        <v>71</v>
      </c>
      <c r="O279" s="22" t="s">
        <v>57</v>
      </c>
      <c r="P279" s="49">
        <v>93.9</v>
      </c>
      <c r="Q279" s="49">
        <v>93</v>
      </c>
      <c r="R279" s="50">
        <f t="shared" si="12"/>
        <v>0.90000000000000568</v>
      </c>
      <c r="T279" s="21">
        <v>45888</v>
      </c>
      <c r="U279" s="22" t="s">
        <v>52</v>
      </c>
      <c r="V279" s="24">
        <v>4</v>
      </c>
      <c r="W279" s="24">
        <v>5</v>
      </c>
      <c r="X279" s="24">
        <v>2</v>
      </c>
      <c r="Y279" s="24">
        <v>3</v>
      </c>
      <c r="Z279" s="20">
        <f t="shared" si="13"/>
        <v>14</v>
      </c>
    </row>
    <row r="280" spans="1:26" x14ac:dyDescent="0.2">
      <c r="A280" s="21"/>
      <c r="B280" s="51"/>
      <c r="C280" s="22"/>
      <c r="D280" s="22"/>
      <c r="E280" s="24"/>
      <c r="F280" s="22"/>
      <c r="H280" s="21">
        <v>45882</v>
      </c>
      <c r="I280" s="22" t="s">
        <v>71</v>
      </c>
      <c r="J280" s="22" t="s">
        <v>57</v>
      </c>
      <c r="K280" s="24">
        <v>3</v>
      </c>
      <c r="M280" s="21">
        <v>45884</v>
      </c>
      <c r="N280" s="22" t="s">
        <v>70</v>
      </c>
      <c r="O280" s="22" t="s">
        <v>58</v>
      </c>
      <c r="P280" s="49">
        <v>76</v>
      </c>
      <c r="Q280" s="49">
        <v>74.3</v>
      </c>
      <c r="R280" s="50">
        <f t="shared" si="12"/>
        <v>1.7000000000000028</v>
      </c>
      <c r="T280" s="21">
        <v>45888</v>
      </c>
      <c r="U280" s="22" t="s">
        <v>53</v>
      </c>
      <c r="V280" s="24">
        <v>3</v>
      </c>
      <c r="W280" s="24">
        <v>4</v>
      </c>
      <c r="X280" s="24">
        <v>4</v>
      </c>
      <c r="Y280" s="24">
        <v>5</v>
      </c>
      <c r="Z280" s="20">
        <f t="shared" si="13"/>
        <v>16</v>
      </c>
    </row>
    <row r="281" spans="1:26" x14ac:dyDescent="0.2">
      <c r="A281" s="21"/>
      <c r="B281" s="51"/>
      <c r="C281" s="22"/>
      <c r="D281" s="22"/>
      <c r="E281" s="24"/>
      <c r="F281" s="22"/>
      <c r="H281" s="21">
        <v>45882</v>
      </c>
      <c r="I281" s="22" t="s">
        <v>71</v>
      </c>
      <c r="J281" s="22" t="s">
        <v>42</v>
      </c>
      <c r="K281" s="24">
        <v>3</v>
      </c>
      <c r="M281" s="21">
        <v>45884</v>
      </c>
      <c r="N281" s="22" t="s">
        <v>71</v>
      </c>
      <c r="O281" s="22" t="s">
        <v>58</v>
      </c>
      <c r="P281" s="49">
        <v>74.8</v>
      </c>
      <c r="Q281" s="49">
        <v>74.7</v>
      </c>
      <c r="R281" s="50">
        <f t="shared" si="12"/>
        <v>9.9999999999994316E-2</v>
      </c>
      <c r="T281" s="21">
        <v>45888</v>
      </c>
      <c r="U281" s="22" t="s">
        <v>54</v>
      </c>
      <c r="V281" s="24">
        <v>3</v>
      </c>
      <c r="W281" s="24">
        <v>4</v>
      </c>
      <c r="X281" s="24">
        <v>3</v>
      </c>
      <c r="Y281" s="24">
        <v>4</v>
      </c>
      <c r="Z281" s="20">
        <f t="shared" si="13"/>
        <v>14</v>
      </c>
    </row>
    <row r="282" spans="1:26" x14ac:dyDescent="0.2">
      <c r="A282" s="21"/>
      <c r="B282" s="51"/>
      <c r="C282" s="22"/>
      <c r="D282" s="22"/>
      <c r="E282" s="24"/>
      <c r="F282" s="22"/>
      <c r="H282" s="21">
        <v>45882</v>
      </c>
      <c r="I282" s="22" t="s">
        <v>71</v>
      </c>
      <c r="J282" s="22" t="s">
        <v>54</v>
      </c>
      <c r="K282" s="24">
        <v>5</v>
      </c>
      <c r="M282" s="21">
        <v>45887</v>
      </c>
      <c r="N282" s="22" t="s">
        <v>70</v>
      </c>
      <c r="O282" s="22" t="s">
        <v>41</v>
      </c>
      <c r="P282" s="49">
        <v>76.8</v>
      </c>
      <c r="Q282" s="49">
        <v>76</v>
      </c>
      <c r="R282" s="50">
        <f t="shared" si="12"/>
        <v>0.79999999999999716</v>
      </c>
      <c r="T282" s="21">
        <v>45888</v>
      </c>
      <c r="U282" s="22" t="s">
        <v>56</v>
      </c>
      <c r="V282" s="24">
        <v>4</v>
      </c>
      <c r="W282" s="24">
        <v>4</v>
      </c>
      <c r="X282" s="24">
        <v>4</v>
      </c>
      <c r="Y282" s="24">
        <v>5</v>
      </c>
      <c r="Z282" s="20">
        <f t="shared" si="13"/>
        <v>17</v>
      </c>
    </row>
    <row r="283" spans="1:26" x14ac:dyDescent="0.2">
      <c r="A283" s="21"/>
      <c r="B283" s="51"/>
      <c r="C283" s="22"/>
      <c r="D283" s="22"/>
      <c r="E283" s="24"/>
      <c r="F283" s="22"/>
      <c r="H283" s="21">
        <v>45882</v>
      </c>
      <c r="I283" s="22" t="s">
        <v>71</v>
      </c>
      <c r="J283" s="22" t="s">
        <v>47</v>
      </c>
      <c r="K283" s="24">
        <v>4</v>
      </c>
      <c r="M283" s="21">
        <v>45887</v>
      </c>
      <c r="N283" s="22" t="s">
        <v>71</v>
      </c>
      <c r="O283" s="22" t="s">
        <v>41</v>
      </c>
      <c r="P283" s="49">
        <v>77.099999999999994</v>
      </c>
      <c r="Q283" s="49">
        <v>76.5</v>
      </c>
      <c r="R283" s="50">
        <f t="shared" si="12"/>
        <v>0.59999999999999432</v>
      </c>
      <c r="T283" s="21">
        <v>45888</v>
      </c>
      <c r="U283" s="22" t="s">
        <v>57</v>
      </c>
      <c r="V283" s="24">
        <v>4</v>
      </c>
      <c r="W283" s="24">
        <v>4</v>
      </c>
      <c r="X283" s="24">
        <v>3</v>
      </c>
      <c r="Y283" s="24">
        <v>4</v>
      </c>
      <c r="Z283" s="20">
        <f t="shared" si="13"/>
        <v>15</v>
      </c>
    </row>
    <row r="284" spans="1:26" x14ac:dyDescent="0.2">
      <c r="A284" s="21"/>
      <c r="B284" s="51"/>
      <c r="C284" s="22"/>
      <c r="D284" s="22"/>
      <c r="E284" s="24"/>
      <c r="F284" s="22"/>
      <c r="H284" s="21">
        <v>45882</v>
      </c>
      <c r="I284" s="22" t="s">
        <v>71</v>
      </c>
      <c r="J284" s="22" t="s">
        <v>41</v>
      </c>
      <c r="K284" s="24">
        <v>2</v>
      </c>
      <c r="M284" s="21">
        <v>45887</v>
      </c>
      <c r="N284" s="22" t="s">
        <v>70</v>
      </c>
      <c r="O284" s="22" t="s">
        <v>42</v>
      </c>
      <c r="P284" s="49">
        <v>79.400000000000006</v>
      </c>
      <c r="Q284" s="49">
        <v>79</v>
      </c>
      <c r="R284" s="50">
        <f t="shared" si="12"/>
        <v>0.40000000000000568</v>
      </c>
      <c r="T284" s="21">
        <v>45888</v>
      </c>
      <c r="U284" s="22" t="s">
        <v>58</v>
      </c>
      <c r="V284" s="24">
        <v>4</v>
      </c>
      <c r="W284" s="24">
        <v>3</v>
      </c>
      <c r="X284" s="24">
        <v>4</v>
      </c>
      <c r="Y284" s="24">
        <v>5</v>
      </c>
      <c r="Z284" s="20">
        <f t="shared" si="13"/>
        <v>16</v>
      </c>
    </row>
    <row r="285" spans="1:26" x14ac:dyDescent="0.2">
      <c r="A285" s="21"/>
      <c r="B285" s="51"/>
      <c r="C285" s="22"/>
      <c r="D285" s="22"/>
      <c r="E285" s="24"/>
      <c r="F285" s="22"/>
      <c r="H285" s="21">
        <v>45882</v>
      </c>
      <c r="I285" s="22" t="s">
        <v>71</v>
      </c>
      <c r="J285" s="22" t="s">
        <v>58</v>
      </c>
      <c r="K285" s="24">
        <v>4</v>
      </c>
      <c r="M285" s="21">
        <v>45887</v>
      </c>
      <c r="N285" s="22" t="s">
        <v>71</v>
      </c>
      <c r="O285" s="22" t="s">
        <v>42</v>
      </c>
      <c r="P285" s="49">
        <v>79.5</v>
      </c>
      <c r="Q285" s="49">
        <v>78.900000000000006</v>
      </c>
      <c r="R285" s="50">
        <f t="shared" si="12"/>
        <v>0.59999999999999432</v>
      </c>
      <c r="T285" s="21">
        <v>45888</v>
      </c>
      <c r="U285" s="22" t="s">
        <v>33</v>
      </c>
      <c r="V285" s="24">
        <v>3.7058823529411802</v>
      </c>
      <c r="W285" s="24">
        <v>3.7647058823529398</v>
      </c>
      <c r="X285" s="24">
        <v>3.5882352941176499</v>
      </c>
      <c r="Y285" s="24">
        <v>4.3529411764705896</v>
      </c>
      <c r="Z285" s="20">
        <f t="shared" si="13"/>
        <v>15.411764705882359</v>
      </c>
    </row>
    <row r="286" spans="1:26" x14ac:dyDescent="0.2">
      <c r="A286" s="21"/>
      <c r="B286" s="51"/>
      <c r="C286" s="22"/>
      <c r="D286" s="22"/>
      <c r="E286" s="24"/>
      <c r="F286" s="22"/>
      <c r="H286" s="21">
        <v>45882</v>
      </c>
      <c r="I286" s="22" t="s">
        <v>71</v>
      </c>
      <c r="J286" s="22" t="s">
        <v>49</v>
      </c>
      <c r="K286" s="24">
        <v>6</v>
      </c>
      <c r="M286" s="21">
        <v>45887</v>
      </c>
      <c r="N286" s="22" t="s">
        <v>70</v>
      </c>
      <c r="O286" s="22" t="s">
        <v>43</v>
      </c>
      <c r="P286" s="49">
        <v>88.6</v>
      </c>
      <c r="Q286" s="49">
        <v>87.4</v>
      </c>
      <c r="R286" s="50">
        <f t="shared" si="12"/>
        <v>1.1999999999999886</v>
      </c>
      <c r="T286" s="21">
        <v>45889</v>
      </c>
      <c r="U286" s="22" t="s">
        <v>41</v>
      </c>
      <c r="V286" s="24">
        <v>1</v>
      </c>
      <c r="W286" s="24">
        <v>2</v>
      </c>
      <c r="X286" s="24">
        <v>2</v>
      </c>
      <c r="Y286" s="24">
        <v>2</v>
      </c>
      <c r="Z286" s="20">
        <f t="shared" si="13"/>
        <v>7</v>
      </c>
    </row>
    <row r="287" spans="1:26" x14ac:dyDescent="0.2">
      <c r="A287" s="21"/>
      <c r="B287" s="51"/>
      <c r="C287" s="22"/>
      <c r="D287" s="22"/>
      <c r="E287" s="24"/>
      <c r="F287" s="22"/>
      <c r="H287" s="21">
        <v>45882</v>
      </c>
      <c r="I287" s="22" t="s">
        <v>71</v>
      </c>
      <c r="J287" s="22" t="s">
        <v>43</v>
      </c>
      <c r="K287" s="24">
        <v>3</v>
      </c>
      <c r="M287" s="21">
        <v>45887</v>
      </c>
      <c r="N287" s="22" t="s">
        <v>71</v>
      </c>
      <c r="O287" s="22" t="s">
        <v>43</v>
      </c>
      <c r="P287" s="49">
        <v>89.2</v>
      </c>
      <c r="Q287" s="49">
        <v>88.7</v>
      </c>
      <c r="R287" s="50">
        <f t="shared" si="12"/>
        <v>0.5</v>
      </c>
      <c r="T287" s="21">
        <v>45889</v>
      </c>
      <c r="U287" s="22" t="s">
        <v>42</v>
      </c>
      <c r="V287" s="24">
        <v>3</v>
      </c>
      <c r="W287" s="24">
        <v>4</v>
      </c>
      <c r="X287" s="24">
        <v>4</v>
      </c>
      <c r="Y287" s="24">
        <v>5</v>
      </c>
      <c r="Z287" s="20">
        <f t="shared" si="13"/>
        <v>16</v>
      </c>
    </row>
    <row r="288" spans="1:26" x14ac:dyDescent="0.2">
      <c r="A288" s="21"/>
      <c r="B288" s="51"/>
      <c r="C288" s="22"/>
      <c r="D288" s="22"/>
      <c r="E288" s="24"/>
      <c r="F288" s="22"/>
      <c r="H288" s="21">
        <v>45882</v>
      </c>
      <c r="I288" s="22" t="s">
        <v>71</v>
      </c>
      <c r="J288" s="22" t="s">
        <v>50</v>
      </c>
      <c r="K288" s="24">
        <v>4</v>
      </c>
      <c r="M288" s="21">
        <v>45887</v>
      </c>
      <c r="N288" s="22" t="s">
        <v>70</v>
      </c>
      <c r="O288" s="22" t="s">
        <v>44</v>
      </c>
      <c r="P288" s="49">
        <v>68.5</v>
      </c>
      <c r="Q288" s="49">
        <v>68.7</v>
      </c>
      <c r="R288" s="50">
        <f t="shared" si="12"/>
        <v>-0.20000000000000284</v>
      </c>
      <c r="T288" s="21">
        <v>45889</v>
      </c>
      <c r="U288" s="22" t="s">
        <v>44</v>
      </c>
      <c r="V288" s="24">
        <v>5</v>
      </c>
      <c r="W288" s="24">
        <v>4</v>
      </c>
      <c r="X288" s="24">
        <v>5</v>
      </c>
      <c r="Y288" s="24">
        <v>5</v>
      </c>
      <c r="Z288" s="20">
        <f t="shared" si="13"/>
        <v>19</v>
      </c>
    </row>
    <row r="289" spans="1:26" x14ac:dyDescent="0.2">
      <c r="A289" s="21"/>
      <c r="B289" s="51"/>
      <c r="C289" s="22"/>
      <c r="D289" s="22"/>
      <c r="E289" s="24"/>
      <c r="F289" s="22"/>
      <c r="H289" s="21">
        <v>45882</v>
      </c>
      <c r="I289" s="22" t="s">
        <v>71</v>
      </c>
      <c r="J289" s="22" t="s">
        <v>51</v>
      </c>
      <c r="K289" s="24">
        <v>4</v>
      </c>
      <c r="M289" s="21">
        <v>45887</v>
      </c>
      <c r="N289" s="22" t="s">
        <v>71</v>
      </c>
      <c r="O289" s="22" t="s">
        <v>44</v>
      </c>
      <c r="P289" s="49">
        <v>68.400000000000006</v>
      </c>
      <c r="Q289" s="49">
        <v>67.400000000000006</v>
      </c>
      <c r="R289" s="50">
        <f t="shared" si="12"/>
        <v>1</v>
      </c>
      <c r="T289" s="21">
        <v>45889</v>
      </c>
      <c r="U289" s="22" t="s">
        <v>45</v>
      </c>
      <c r="V289" s="24">
        <v>4</v>
      </c>
      <c r="W289" s="24">
        <v>3</v>
      </c>
      <c r="X289" s="24">
        <v>4</v>
      </c>
      <c r="Y289" s="24">
        <v>5</v>
      </c>
      <c r="Z289" s="20">
        <f t="shared" si="13"/>
        <v>16</v>
      </c>
    </row>
    <row r="290" spans="1:26" x14ac:dyDescent="0.2">
      <c r="A290" s="21"/>
      <c r="B290" s="51"/>
      <c r="C290" s="22"/>
      <c r="D290" s="22"/>
      <c r="E290" s="24"/>
      <c r="F290" s="22"/>
      <c r="H290" s="21">
        <v>45882</v>
      </c>
      <c r="I290" s="22" t="s">
        <v>71</v>
      </c>
      <c r="J290" s="22" t="s">
        <v>46</v>
      </c>
      <c r="K290" s="24">
        <v>5</v>
      </c>
      <c r="M290" s="21">
        <v>45887</v>
      </c>
      <c r="N290" s="22" t="s">
        <v>70</v>
      </c>
      <c r="O290" s="22" t="s">
        <v>45</v>
      </c>
      <c r="P290" s="49">
        <v>68.5</v>
      </c>
      <c r="Q290" s="49">
        <v>68.099999999999994</v>
      </c>
      <c r="R290" s="50">
        <f t="shared" si="12"/>
        <v>0.40000000000000568</v>
      </c>
      <c r="T290" s="21">
        <v>45889</v>
      </c>
      <c r="U290" s="22" t="s">
        <v>46</v>
      </c>
      <c r="V290" s="24">
        <v>5</v>
      </c>
      <c r="W290" s="24">
        <v>4</v>
      </c>
      <c r="X290" s="24">
        <v>3</v>
      </c>
      <c r="Y290" s="24">
        <v>4</v>
      </c>
      <c r="Z290" s="20">
        <f t="shared" si="13"/>
        <v>16</v>
      </c>
    </row>
    <row r="291" spans="1:26" x14ac:dyDescent="0.2">
      <c r="A291" s="21"/>
      <c r="B291" s="51"/>
      <c r="C291" s="22"/>
      <c r="D291" s="22"/>
      <c r="E291" s="24"/>
      <c r="F291" s="22"/>
      <c r="H291" s="21">
        <v>45882</v>
      </c>
      <c r="I291" s="22" t="s">
        <v>71</v>
      </c>
      <c r="J291" s="22" t="s">
        <v>48</v>
      </c>
      <c r="K291" s="24">
        <v>7</v>
      </c>
      <c r="M291" s="21">
        <v>45887</v>
      </c>
      <c r="N291" s="22" t="s">
        <v>71</v>
      </c>
      <c r="O291" s="22" t="s">
        <v>45</v>
      </c>
      <c r="P291" s="49">
        <v>69.2</v>
      </c>
      <c r="Q291" s="49">
        <v>69</v>
      </c>
      <c r="R291" s="50">
        <f t="shared" si="12"/>
        <v>0.20000000000000284</v>
      </c>
      <c r="T291" s="21">
        <v>45889</v>
      </c>
      <c r="U291" s="22" t="s">
        <v>47</v>
      </c>
      <c r="V291" s="24">
        <v>3</v>
      </c>
      <c r="W291" s="24">
        <v>4</v>
      </c>
      <c r="X291" s="24">
        <v>4</v>
      </c>
      <c r="Y291" s="24">
        <v>4</v>
      </c>
      <c r="Z291" s="20">
        <f t="shared" si="13"/>
        <v>15</v>
      </c>
    </row>
    <row r="292" spans="1:26" x14ac:dyDescent="0.2">
      <c r="A292" s="21"/>
      <c r="B292" s="51"/>
      <c r="C292" s="22"/>
      <c r="D292" s="22"/>
      <c r="E292" s="24"/>
      <c r="F292" s="22"/>
      <c r="H292" s="21">
        <v>45882</v>
      </c>
      <c r="I292" s="22" t="s">
        <v>71</v>
      </c>
      <c r="J292" s="22" t="s">
        <v>56</v>
      </c>
      <c r="K292" s="24">
        <v>6</v>
      </c>
      <c r="M292" s="21">
        <v>45887</v>
      </c>
      <c r="N292" s="22" t="s">
        <v>70</v>
      </c>
      <c r="O292" s="22" t="s">
        <v>46</v>
      </c>
      <c r="P292" s="49">
        <v>79.8</v>
      </c>
      <c r="Q292" s="49">
        <v>79.3</v>
      </c>
      <c r="R292" s="50">
        <f t="shared" si="12"/>
        <v>0.5</v>
      </c>
      <c r="T292" s="21">
        <v>45889</v>
      </c>
      <c r="U292" s="22" t="s">
        <v>48</v>
      </c>
      <c r="V292" s="24">
        <v>4</v>
      </c>
      <c r="W292" s="24">
        <v>4</v>
      </c>
      <c r="X292" s="24">
        <v>4</v>
      </c>
      <c r="Y292" s="24">
        <v>5</v>
      </c>
      <c r="Z292" s="20">
        <f t="shared" si="13"/>
        <v>17</v>
      </c>
    </row>
    <row r="293" spans="1:26" x14ac:dyDescent="0.2">
      <c r="A293" s="21"/>
      <c r="B293" s="51"/>
      <c r="C293" s="22"/>
      <c r="D293" s="22"/>
      <c r="E293" s="24"/>
      <c r="F293" s="22"/>
      <c r="H293" s="21">
        <v>45883</v>
      </c>
      <c r="I293" s="22" t="s">
        <v>70</v>
      </c>
      <c r="J293" s="22" t="s">
        <v>52</v>
      </c>
      <c r="K293" s="24" t="s">
        <v>61</v>
      </c>
      <c r="M293" s="21">
        <v>45887</v>
      </c>
      <c r="N293" s="22" t="s">
        <v>71</v>
      </c>
      <c r="O293" s="22" t="s">
        <v>46</v>
      </c>
      <c r="P293" s="49">
        <v>79.7</v>
      </c>
      <c r="Q293" s="49">
        <v>79</v>
      </c>
      <c r="R293" s="50">
        <f t="shared" si="12"/>
        <v>0.70000000000000284</v>
      </c>
      <c r="T293" s="21">
        <v>45889</v>
      </c>
      <c r="U293" s="22" t="s">
        <v>49</v>
      </c>
      <c r="V293" s="24">
        <v>4</v>
      </c>
      <c r="W293" s="24">
        <v>3</v>
      </c>
      <c r="X293" s="24">
        <v>3</v>
      </c>
      <c r="Y293" s="24">
        <v>3</v>
      </c>
      <c r="Z293" s="20">
        <f t="shared" si="13"/>
        <v>13</v>
      </c>
    </row>
    <row r="294" spans="1:26" x14ac:dyDescent="0.2">
      <c r="A294" s="21"/>
      <c r="B294" s="51"/>
      <c r="C294" s="22"/>
      <c r="D294" s="22"/>
      <c r="E294" s="24"/>
      <c r="F294" s="22"/>
      <c r="H294" s="21">
        <v>45883</v>
      </c>
      <c r="I294" s="22" t="s">
        <v>70</v>
      </c>
      <c r="J294" s="22" t="s">
        <v>53</v>
      </c>
      <c r="K294" s="24">
        <v>7</v>
      </c>
      <c r="M294" s="21">
        <v>45887</v>
      </c>
      <c r="N294" s="22" t="s">
        <v>70</v>
      </c>
      <c r="O294" s="22" t="s">
        <v>47</v>
      </c>
      <c r="P294" s="49">
        <v>71.599999999999994</v>
      </c>
      <c r="Q294" s="49">
        <v>71.5</v>
      </c>
      <c r="R294" s="50">
        <f t="shared" si="12"/>
        <v>9.9999999999994316E-2</v>
      </c>
      <c r="T294" s="21">
        <v>45889</v>
      </c>
      <c r="U294" s="22" t="s">
        <v>50</v>
      </c>
      <c r="V294" s="24">
        <v>3</v>
      </c>
      <c r="W294" s="24">
        <v>3</v>
      </c>
      <c r="X294" s="24">
        <v>3</v>
      </c>
      <c r="Y294" s="24">
        <v>5</v>
      </c>
      <c r="Z294" s="20">
        <f t="shared" si="13"/>
        <v>14</v>
      </c>
    </row>
    <row r="295" spans="1:26" x14ac:dyDescent="0.2">
      <c r="A295" s="21"/>
      <c r="B295" s="51"/>
      <c r="C295" s="22"/>
      <c r="D295" s="22"/>
      <c r="E295" s="24"/>
      <c r="F295" s="22"/>
      <c r="H295" s="21">
        <v>45883</v>
      </c>
      <c r="I295" s="22" t="s">
        <v>70</v>
      </c>
      <c r="J295" s="22" t="s">
        <v>44</v>
      </c>
      <c r="K295" s="24">
        <v>7</v>
      </c>
      <c r="M295" s="21">
        <v>45887</v>
      </c>
      <c r="N295" s="22" t="s">
        <v>71</v>
      </c>
      <c r="O295" s="22" t="s">
        <v>47</v>
      </c>
      <c r="P295" s="49">
        <v>71.7</v>
      </c>
      <c r="Q295" s="49">
        <v>71.3</v>
      </c>
      <c r="R295" s="50">
        <f t="shared" si="12"/>
        <v>0.40000000000000568</v>
      </c>
      <c r="T295" s="21">
        <v>45889</v>
      </c>
      <c r="U295" s="22" t="s">
        <v>51</v>
      </c>
      <c r="V295" s="24">
        <v>4</v>
      </c>
      <c r="W295" s="24">
        <v>3</v>
      </c>
      <c r="X295" s="24">
        <v>3</v>
      </c>
      <c r="Y295" s="24">
        <v>3</v>
      </c>
      <c r="Z295" s="20">
        <f t="shared" si="13"/>
        <v>13</v>
      </c>
    </row>
    <row r="296" spans="1:26" x14ac:dyDescent="0.2">
      <c r="A296" s="21"/>
      <c r="B296" s="51"/>
      <c r="C296" s="22"/>
      <c r="D296" s="22"/>
      <c r="E296" s="24"/>
      <c r="F296" s="22"/>
      <c r="H296" s="21">
        <v>45883</v>
      </c>
      <c r="I296" s="22" t="s">
        <v>70</v>
      </c>
      <c r="J296" s="22" t="s">
        <v>45</v>
      </c>
      <c r="K296" s="24">
        <v>6</v>
      </c>
      <c r="M296" s="21">
        <v>45887</v>
      </c>
      <c r="N296" s="22" t="s">
        <v>70</v>
      </c>
      <c r="O296" s="22" t="s">
        <v>48</v>
      </c>
      <c r="P296" s="49">
        <v>80.7</v>
      </c>
      <c r="Q296" s="49">
        <v>80</v>
      </c>
      <c r="R296" s="50">
        <f t="shared" si="12"/>
        <v>0.70000000000000284</v>
      </c>
      <c r="T296" s="21">
        <v>45889</v>
      </c>
      <c r="U296" s="22" t="s">
        <v>53</v>
      </c>
      <c r="V296" s="24">
        <v>4</v>
      </c>
      <c r="W296" s="24">
        <v>3</v>
      </c>
      <c r="X296" s="24">
        <v>4</v>
      </c>
      <c r="Y296" s="24">
        <v>5</v>
      </c>
      <c r="Z296" s="20">
        <f t="shared" si="13"/>
        <v>16</v>
      </c>
    </row>
    <row r="297" spans="1:26" x14ac:dyDescent="0.2">
      <c r="A297" s="21"/>
      <c r="B297" s="51"/>
      <c r="C297" s="22"/>
      <c r="D297" s="22"/>
      <c r="E297" s="24"/>
      <c r="F297" s="22"/>
      <c r="H297" s="21">
        <v>45883</v>
      </c>
      <c r="I297" s="22" t="s">
        <v>70</v>
      </c>
      <c r="J297" s="22" t="s">
        <v>57</v>
      </c>
      <c r="K297" s="24">
        <v>8</v>
      </c>
      <c r="M297" s="21">
        <v>45887</v>
      </c>
      <c r="N297" s="22" t="s">
        <v>71</v>
      </c>
      <c r="O297" s="22" t="s">
        <v>48</v>
      </c>
      <c r="P297" s="49">
        <v>82</v>
      </c>
      <c r="Q297" s="49">
        <v>80.8</v>
      </c>
      <c r="R297" s="50">
        <f t="shared" si="12"/>
        <v>1.2000000000000028</v>
      </c>
      <c r="T297" s="21">
        <v>45889</v>
      </c>
      <c r="U297" s="22" t="s">
        <v>54</v>
      </c>
      <c r="V297" s="24">
        <v>5</v>
      </c>
      <c r="W297" s="24">
        <v>3</v>
      </c>
      <c r="X297" s="24">
        <v>4</v>
      </c>
      <c r="Y297" s="24">
        <v>4</v>
      </c>
      <c r="Z297" s="20">
        <f t="shared" si="13"/>
        <v>16</v>
      </c>
    </row>
    <row r="298" spans="1:26" x14ac:dyDescent="0.2">
      <c r="A298" s="21"/>
      <c r="B298" s="51"/>
      <c r="C298" s="22"/>
      <c r="D298" s="22"/>
      <c r="E298" s="24"/>
      <c r="F298" s="22"/>
      <c r="H298" s="21">
        <v>45883</v>
      </c>
      <c r="I298" s="22" t="s">
        <v>70</v>
      </c>
      <c r="J298" s="22" t="s">
        <v>42</v>
      </c>
      <c r="K298" s="24">
        <v>6</v>
      </c>
      <c r="M298" s="21">
        <v>45887</v>
      </c>
      <c r="N298" s="22" t="s">
        <v>70</v>
      </c>
      <c r="O298" s="22" t="s">
        <v>49</v>
      </c>
      <c r="P298" s="49">
        <v>79.599999999999994</v>
      </c>
      <c r="Q298" s="49">
        <v>79.099999999999994</v>
      </c>
      <c r="R298" s="50">
        <f t="shared" si="12"/>
        <v>0.5</v>
      </c>
      <c r="T298" s="21">
        <v>45889</v>
      </c>
      <c r="U298" s="22" t="s">
        <v>56</v>
      </c>
      <c r="V298" s="24">
        <v>4</v>
      </c>
      <c r="W298" s="24">
        <v>4</v>
      </c>
      <c r="X298" s="24">
        <v>4</v>
      </c>
      <c r="Y298" s="24">
        <v>5</v>
      </c>
      <c r="Z298" s="20">
        <f t="shared" si="13"/>
        <v>17</v>
      </c>
    </row>
    <row r="299" spans="1:26" x14ac:dyDescent="0.2">
      <c r="A299" s="21"/>
      <c r="B299" s="51"/>
      <c r="C299" s="22"/>
      <c r="D299" s="22"/>
      <c r="E299" s="24"/>
      <c r="F299" s="22"/>
      <c r="H299" s="21">
        <v>45883</v>
      </c>
      <c r="I299" s="22" t="s">
        <v>70</v>
      </c>
      <c r="J299" s="22" t="s">
        <v>54</v>
      </c>
      <c r="K299" s="24">
        <v>7</v>
      </c>
      <c r="M299" s="21">
        <v>45887</v>
      </c>
      <c r="N299" s="22" t="s">
        <v>71</v>
      </c>
      <c r="O299" s="22" t="s">
        <v>49</v>
      </c>
      <c r="P299" s="49">
        <v>79.400000000000006</v>
      </c>
      <c r="Q299" s="49">
        <v>79.3</v>
      </c>
      <c r="R299" s="50">
        <f t="shared" si="12"/>
        <v>0.10000000000000853</v>
      </c>
      <c r="T299" s="21">
        <v>45889</v>
      </c>
      <c r="U299" s="22" t="s">
        <v>57</v>
      </c>
      <c r="V299" s="24">
        <v>4</v>
      </c>
      <c r="W299" s="24">
        <v>3</v>
      </c>
      <c r="X299" s="24">
        <v>4</v>
      </c>
      <c r="Y299" s="24">
        <v>5</v>
      </c>
      <c r="Z299" s="20">
        <f t="shared" si="13"/>
        <v>16</v>
      </c>
    </row>
    <row r="300" spans="1:26" x14ac:dyDescent="0.2">
      <c r="A300" s="21"/>
      <c r="B300" s="51"/>
      <c r="C300" s="22"/>
      <c r="D300" s="22"/>
      <c r="E300" s="24"/>
      <c r="F300" s="22"/>
      <c r="H300" s="21">
        <v>45883</v>
      </c>
      <c r="I300" s="22" t="s">
        <v>70</v>
      </c>
      <c r="J300" s="22" t="s">
        <v>47</v>
      </c>
      <c r="K300" s="24">
        <v>7</v>
      </c>
      <c r="M300" s="21">
        <v>45887</v>
      </c>
      <c r="N300" s="22" t="s">
        <v>70</v>
      </c>
      <c r="O300" s="22" t="s">
        <v>50</v>
      </c>
      <c r="P300" s="49">
        <v>70.8</v>
      </c>
      <c r="Q300" s="49">
        <v>71</v>
      </c>
      <c r="R300" s="50">
        <f t="shared" si="12"/>
        <v>-0.20000000000000284</v>
      </c>
      <c r="T300" s="21">
        <v>45889</v>
      </c>
      <c r="U300" s="22" t="s">
        <v>58</v>
      </c>
      <c r="V300" s="24">
        <v>3</v>
      </c>
      <c r="W300" s="24">
        <v>4</v>
      </c>
      <c r="X300" s="24">
        <v>4</v>
      </c>
      <c r="Y300" s="24">
        <v>5</v>
      </c>
      <c r="Z300" s="20">
        <f t="shared" si="13"/>
        <v>16</v>
      </c>
    </row>
    <row r="301" spans="1:26" x14ac:dyDescent="0.2">
      <c r="A301" s="21"/>
      <c r="B301" s="51"/>
      <c r="C301" s="22"/>
      <c r="D301" s="22"/>
      <c r="E301" s="24"/>
      <c r="F301" s="22"/>
      <c r="H301" s="21">
        <v>45883</v>
      </c>
      <c r="I301" s="22" t="s">
        <v>70</v>
      </c>
      <c r="J301" s="22" t="s">
        <v>41</v>
      </c>
      <c r="K301" s="24">
        <v>7</v>
      </c>
      <c r="M301" s="21">
        <v>45887</v>
      </c>
      <c r="N301" s="22" t="s">
        <v>71</v>
      </c>
      <c r="O301" s="22" t="s">
        <v>50</v>
      </c>
      <c r="P301" s="49">
        <v>71.400000000000006</v>
      </c>
      <c r="Q301" s="49">
        <v>71.400000000000006</v>
      </c>
      <c r="R301" s="50">
        <f t="shared" si="12"/>
        <v>0</v>
      </c>
      <c r="T301" s="21">
        <v>45889</v>
      </c>
      <c r="U301" s="22" t="s">
        <v>33</v>
      </c>
      <c r="V301" s="24">
        <v>3.7333333333333298</v>
      </c>
      <c r="W301" s="24">
        <v>3.4</v>
      </c>
      <c r="X301" s="24">
        <v>3.6666666666666701</v>
      </c>
      <c r="Y301" s="24">
        <v>4.3333333333333304</v>
      </c>
      <c r="Z301" s="20">
        <f t="shared" si="13"/>
        <v>15.133333333333329</v>
      </c>
    </row>
    <row r="302" spans="1:26" x14ac:dyDescent="0.2">
      <c r="A302" s="21"/>
      <c r="B302" s="51"/>
      <c r="C302" s="22"/>
      <c r="D302" s="22"/>
      <c r="E302" s="24"/>
      <c r="F302" s="22"/>
      <c r="H302" s="21">
        <v>45883</v>
      </c>
      <c r="I302" s="22" t="s">
        <v>70</v>
      </c>
      <c r="J302" s="22" t="s">
        <v>58</v>
      </c>
      <c r="K302" s="24">
        <v>8</v>
      </c>
      <c r="M302" s="21">
        <v>45887</v>
      </c>
      <c r="N302" s="22" t="s">
        <v>70</v>
      </c>
      <c r="O302" s="22" t="s">
        <v>51</v>
      </c>
      <c r="P302" s="49">
        <v>75.5</v>
      </c>
      <c r="Q302" s="49">
        <v>74.8</v>
      </c>
      <c r="R302" s="50">
        <f t="shared" si="12"/>
        <v>0.70000000000000284</v>
      </c>
      <c r="T302" s="21">
        <v>45890</v>
      </c>
      <c r="U302" s="22" t="s">
        <v>41</v>
      </c>
      <c r="V302" s="24">
        <v>1</v>
      </c>
      <c r="W302" s="24">
        <v>1</v>
      </c>
      <c r="X302" s="24">
        <v>1</v>
      </c>
      <c r="Y302" s="24">
        <v>2</v>
      </c>
      <c r="Z302" s="20">
        <f t="shared" si="13"/>
        <v>5</v>
      </c>
    </row>
    <row r="303" spans="1:26" x14ac:dyDescent="0.2">
      <c r="A303" s="21"/>
      <c r="B303" s="51"/>
      <c r="C303" s="22"/>
      <c r="D303" s="22"/>
      <c r="E303" s="24"/>
      <c r="F303" s="22"/>
      <c r="H303" s="21">
        <v>45883</v>
      </c>
      <c r="I303" s="22" t="s">
        <v>70</v>
      </c>
      <c r="J303" s="22" t="s">
        <v>49</v>
      </c>
      <c r="K303" s="24">
        <v>7</v>
      </c>
      <c r="M303" s="21">
        <v>45887</v>
      </c>
      <c r="N303" s="22" t="s">
        <v>71</v>
      </c>
      <c r="O303" s="22" t="s">
        <v>51</v>
      </c>
      <c r="P303" s="49">
        <v>75.400000000000006</v>
      </c>
      <c r="Q303" s="49">
        <v>75.400000000000006</v>
      </c>
      <c r="R303" s="50">
        <f t="shared" si="12"/>
        <v>0</v>
      </c>
      <c r="T303" s="21">
        <v>45890</v>
      </c>
      <c r="U303" s="22" t="s">
        <v>42</v>
      </c>
      <c r="V303" s="24">
        <v>4</v>
      </c>
      <c r="W303" s="24">
        <v>4</v>
      </c>
      <c r="X303" s="24">
        <v>4</v>
      </c>
      <c r="Y303" s="24">
        <v>5</v>
      </c>
      <c r="Z303" s="20">
        <f t="shared" si="13"/>
        <v>17</v>
      </c>
    </row>
    <row r="304" spans="1:26" x14ac:dyDescent="0.2">
      <c r="A304" s="21"/>
      <c r="B304" s="51"/>
      <c r="C304" s="22"/>
      <c r="D304" s="22"/>
      <c r="E304" s="24"/>
      <c r="F304" s="22"/>
      <c r="H304" s="21">
        <v>45883</v>
      </c>
      <c r="I304" s="22" t="s">
        <v>70</v>
      </c>
      <c r="J304" s="22" t="s">
        <v>43</v>
      </c>
      <c r="K304" s="24">
        <v>5</v>
      </c>
      <c r="M304" s="21">
        <v>45887</v>
      </c>
      <c r="N304" s="22" t="s">
        <v>70</v>
      </c>
      <c r="O304" s="22" t="s">
        <v>52</v>
      </c>
      <c r="P304" s="49">
        <v>70.400000000000006</v>
      </c>
      <c r="Q304" s="49">
        <v>70.400000000000006</v>
      </c>
      <c r="R304" s="50">
        <f t="shared" si="12"/>
        <v>0</v>
      </c>
      <c r="T304" s="21">
        <v>45890</v>
      </c>
      <c r="U304" s="22" t="s">
        <v>44</v>
      </c>
      <c r="V304" s="24">
        <v>5</v>
      </c>
      <c r="W304" s="24">
        <v>4</v>
      </c>
      <c r="X304" s="24">
        <v>4</v>
      </c>
      <c r="Y304" s="24">
        <v>5</v>
      </c>
      <c r="Z304" s="20">
        <f t="shared" si="13"/>
        <v>18</v>
      </c>
    </row>
    <row r="305" spans="1:26" x14ac:dyDescent="0.2">
      <c r="A305" s="21"/>
      <c r="B305" s="51"/>
      <c r="C305" s="22"/>
      <c r="D305" s="22"/>
      <c r="E305" s="24"/>
      <c r="F305" s="22"/>
      <c r="H305" s="21">
        <v>45883</v>
      </c>
      <c r="I305" s="22" t="s">
        <v>70</v>
      </c>
      <c r="J305" s="22" t="s">
        <v>50</v>
      </c>
      <c r="K305" s="24">
        <v>8</v>
      </c>
      <c r="M305" s="21">
        <v>45887</v>
      </c>
      <c r="N305" s="22" t="s">
        <v>71</v>
      </c>
      <c r="O305" s="22" t="s">
        <v>52</v>
      </c>
      <c r="P305" s="49">
        <v>70.599999999999994</v>
      </c>
      <c r="Q305" s="49">
        <v>70.599999999999994</v>
      </c>
      <c r="R305" s="50">
        <f t="shared" si="12"/>
        <v>0</v>
      </c>
      <c r="T305" s="21">
        <v>45890</v>
      </c>
      <c r="U305" s="22" t="s">
        <v>45</v>
      </c>
      <c r="V305" s="24">
        <v>4</v>
      </c>
      <c r="W305" s="24">
        <v>3</v>
      </c>
      <c r="X305" s="24">
        <v>4</v>
      </c>
      <c r="Y305" s="24">
        <v>5</v>
      </c>
      <c r="Z305" s="20">
        <f t="shared" si="13"/>
        <v>16</v>
      </c>
    </row>
    <row r="306" spans="1:26" x14ac:dyDescent="0.2">
      <c r="A306" s="21"/>
      <c r="B306" s="51"/>
      <c r="C306" s="22"/>
      <c r="D306" s="22"/>
      <c r="E306" s="24"/>
      <c r="F306" s="22"/>
      <c r="H306" s="21">
        <v>45883</v>
      </c>
      <c r="I306" s="22" t="s">
        <v>70</v>
      </c>
      <c r="J306" s="22" t="s">
        <v>51</v>
      </c>
      <c r="K306" s="24">
        <v>8</v>
      </c>
      <c r="M306" s="21">
        <v>45887</v>
      </c>
      <c r="N306" s="22" t="s">
        <v>70</v>
      </c>
      <c r="O306" s="22" t="s">
        <v>53</v>
      </c>
      <c r="P306" s="49">
        <v>67.599999999999994</v>
      </c>
      <c r="Q306" s="49">
        <v>67.5</v>
      </c>
      <c r="R306" s="50">
        <f t="shared" si="12"/>
        <v>9.9999999999994316E-2</v>
      </c>
      <c r="T306" s="21">
        <v>45890</v>
      </c>
      <c r="U306" s="22" t="s">
        <v>46</v>
      </c>
      <c r="V306" s="24">
        <v>5</v>
      </c>
      <c r="W306" s="24">
        <v>4</v>
      </c>
      <c r="X306" s="24">
        <v>3</v>
      </c>
      <c r="Y306" s="24">
        <v>3</v>
      </c>
      <c r="Z306" s="20">
        <f t="shared" si="13"/>
        <v>15</v>
      </c>
    </row>
    <row r="307" spans="1:26" x14ac:dyDescent="0.2">
      <c r="A307" s="21"/>
      <c r="B307" s="51"/>
      <c r="C307" s="22"/>
      <c r="D307" s="22"/>
      <c r="E307" s="24"/>
      <c r="F307" s="22"/>
      <c r="H307" s="21">
        <v>45883</v>
      </c>
      <c r="I307" s="22" t="s">
        <v>70</v>
      </c>
      <c r="J307" s="22" t="s">
        <v>46</v>
      </c>
      <c r="K307" s="24">
        <v>9</v>
      </c>
      <c r="M307" s="21">
        <v>45887</v>
      </c>
      <c r="N307" s="22" t="s">
        <v>71</v>
      </c>
      <c r="O307" s="22" t="s">
        <v>53</v>
      </c>
      <c r="P307" s="49">
        <v>67.900000000000006</v>
      </c>
      <c r="Q307" s="49">
        <v>67.7</v>
      </c>
      <c r="R307" s="50">
        <f t="shared" si="12"/>
        <v>0.20000000000000284</v>
      </c>
      <c r="T307" s="21">
        <v>45890</v>
      </c>
      <c r="U307" s="22" t="s">
        <v>47</v>
      </c>
      <c r="V307" s="24">
        <v>4</v>
      </c>
      <c r="W307" s="24">
        <v>4</v>
      </c>
      <c r="X307" s="24">
        <v>4</v>
      </c>
      <c r="Y307" s="24">
        <v>5</v>
      </c>
      <c r="Z307" s="20">
        <f t="shared" si="13"/>
        <v>17</v>
      </c>
    </row>
    <row r="308" spans="1:26" x14ac:dyDescent="0.2">
      <c r="A308" s="21"/>
      <c r="B308" s="51"/>
      <c r="C308" s="22"/>
      <c r="D308" s="22"/>
      <c r="E308" s="24"/>
      <c r="F308" s="22"/>
      <c r="H308" s="21">
        <v>45883</v>
      </c>
      <c r="I308" s="22" t="s">
        <v>70</v>
      </c>
      <c r="J308" s="22" t="s">
        <v>48</v>
      </c>
      <c r="K308" s="24">
        <v>8</v>
      </c>
      <c r="M308" s="21">
        <v>45887</v>
      </c>
      <c r="N308" s="22" t="s">
        <v>70</v>
      </c>
      <c r="O308" s="22" t="s">
        <v>54</v>
      </c>
      <c r="P308" s="49">
        <v>84.9</v>
      </c>
      <c r="Q308" s="49">
        <v>85.2</v>
      </c>
      <c r="R308" s="50">
        <f t="shared" si="12"/>
        <v>-0.29999999999999716</v>
      </c>
      <c r="T308" s="21">
        <v>45890</v>
      </c>
      <c r="U308" s="22" t="s">
        <v>48</v>
      </c>
      <c r="V308" s="24">
        <v>2</v>
      </c>
      <c r="W308" s="24">
        <v>4</v>
      </c>
      <c r="X308" s="24">
        <v>4</v>
      </c>
      <c r="Y308" s="24">
        <v>5</v>
      </c>
      <c r="Z308" s="20">
        <f t="shared" si="13"/>
        <v>15</v>
      </c>
    </row>
    <row r="309" spans="1:26" x14ac:dyDescent="0.2">
      <c r="A309" s="21"/>
      <c r="B309" s="51"/>
      <c r="C309" s="22"/>
      <c r="D309" s="22"/>
      <c r="E309" s="24"/>
      <c r="F309" s="22"/>
      <c r="H309" s="21">
        <v>45883</v>
      </c>
      <c r="I309" s="22" t="s">
        <v>70</v>
      </c>
      <c r="J309" s="22" t="s">
        <v>56</v>
      </c>
      <c r="K309" s="24">
        <v>9</v>
      </c>
      <c r="M309" s="21">
        <v>45887</v>
      </c>
      <c r="N309" s="22" t="s">
        <v>71</v>
      </c>
      <c r="O309" s="22" t="s">
        <v>54</v>
      </c>
      <c r="P309" s="49">
        <v>85.4</v>
      </c>
      <c r="Q309" s="49">
        <v>85.4</v>
      </c>
      <c r="R309" s="50">
        <f t="shared" si="12"/>
        <v>0</v>
      </c>
      <c r="T309" s="21">
        <v>45890</v>
      </c>
      <c r="U309" s="22" t="s">
        <v>49</v>
      </c>
      <c r="V309" s="24">
        <v>3</v>
      </c>
      <c r="W309" s="24">
        <v>3</v>
      </c>
      <c r="X309" s="24">
        <v>4</v>
      </c>
      <c r="Y309" s="24">
        <v>4</v>
      </c>
      <c r="Z309" s="20">
        <f t="shared" si="13"/>
        <v>14</v>
      </c>
    </row>
    <row r="310" spans="1:26" x14ac:dyDescent="0.2">
      <c r="A310" s="21"/>
      <c r="B310" s="51"/>
      <c r="C310" s="22"/>
      <c r="D310" s="22"/>
      <c r="E310" s="24"/>
      <c r="F310" s="22"/>
      <c r="H310" s="21">
        <v>45884</v>
      </c>
      <c r="I310" s="22" t="s">
        <v>70</v>
      </c>
      <c r="J310" s="22" t="s">
        <v>52</v>
      </c>
      <c r="K310" s="24" t="s">
        <v>61</v>
      </c>
      <c r="M310" s="21">
        <v>45887</v>
      </c>
      <c r="N310" s="22" t="s">
        <v>70</v>
      </c>
      <c r="O310" s="22" t="s">
        <v>56</v>
      </c>
      <c r="P310" s="49">
        <v>74.599999999999994</v>
      </c>
      <c r="Q310" s="49">
        <v>74.8</v>
      </c>
      <c r="R310" s="50">
        <f t="shared" si="12"/>
        <v>-0.20000000000000284</v>
      </c>
      <c r="T310" s="21">
        <v>45890</v>
      </c>
      <c r="U310" s="22" t="s">
        <v>50</v>
      </c>
      <c r="V310" s="24">
        <v>3</v>
      </c>
      <c r="W310" s="24">
        <v>3</v>
      </c>
      <c r="X310" s="24">
        <v>4</v>
      </c>
      <c r="Y310" s="24">
        <v>5</v>
      </c>
      <c r="Z310" s="20">
        <f t="shared" si="13"/>
        <v>15</v>
      </c>
    </row>
    <row r="311" spans="1:26" x14ac:dyDescent="0.2">
      <c r="A311" s="21"/>
      <c r="B311" s="51"/>
      <c r="C311" s="22"/>
      <c r="D311" s="22"/>
      <c r="E311" s="24"/>
      <c r="F311" s="22"/>
      <c r="H311" s="21">
        <v>45884</v>
      </c>
      <c r="I311" s="22" t="s">
        <v>70</v>
      </c>
      <c r="J311" s="22" t="s">
        <v>53</v>
      </c>
      <c r="K311" s="24">
        <v>4</v>
      </c>
      <c r="M311" s="21">
        <v>45887</v>
      </c>
      <c r="N311" s="22" t="s">
        <v>71</v>
      </c>
      <c r="O311" s="22" t="s">
        <v>56</v>
      </c>
      <c r="P311" s="49">
        <v>74.8</v>
      </c>
      <c r="Q311" s="49">
        <v>74.7</v>
      </c>
      <c r="R311" s="50">
        <f t="shared" si="12"/>
        <v>9.9999999999994316E-2</v>
      </c>
      <c r="T311" s="21">
        <v>45890</v>
      </c>
      <c r="U311" s="22" t="s">
        <v>51</v>
      </c>
      <c r="V311" s="24">
        <v>4</v>
      </c>
      <c r="W311" s="24">
        <v>3</v>
      </c>
      <c r="X311" s="24">
        <v>3</v>
      </c>
      <c r="Y311" s="24">
        <v>3</v>
      </c>
      <c r="Z311" s="20">
        <f t="shared" si="13"/>
        <v>13</v>
      </c>
    </row>
    <row r="312" spans="1:26" x14ac:dyDescent="0.2">
      <c r="A312" s="21"/>
      <c r="B312" s="51"/>
      <c r="C312" s="22"/>
      <c r="D312" s="22"/>
      <c r="E312" s="24"/>
      <c r="F312" s="22"/>
      <c r="H312" s="21">
        <v>45884</v>
      </c>
      <c r="I312" s="22" t="s">
        <v>70</v>
      </c>
      <c r="J312" s="22" t="s">
        <v>44</v>
      </c>
      <c r="K312" s="24">
        <v>3</v>
      </c>
      <c r="M312" s="21">
        <v>45887</v>
      </c>
      <c r="N312" s="22" t="s">
        <v>70</v>
      </c>
      <c r="O312" s="22" t="s">
        <v>57</v>
      </c>
      <c r="P312" s="49">
        <v>93.6</v>
      </c>
      <c r="Q312" s="49">
        <v>92.7</v>
      </c>
      <c r="R312" s="50">
        <f t="shared" si="12"/>
        <v>0.89999999999999147</v>
      </c>
      <c r="T312" s="21">
        <v>45890</v>
      </c>
      <c r="U312" s="22" t="s">
        <v>52</v>
      </c>
      <c r="V312" s="24">
        <v>4</v>
      </c>
      <c r="W312" s="24">
        <v>5</v>
      </c>
      <c r="X312" s="24">
        <v>3</v>
      </c>
      <c r="Y312" s="24">
        <v>3</v>
      </c>
      <c r="Z312" s="20">
        <f t="shared" si="13"/>
        <v>15</v>
      </c>
    </row>
    <row r="313" spans="1:26" x14ac:dyDescent="0.2">
      <c r="A313" s="21"/>
      <c r="B313" s="51"/>
      <c r="C313" s="22"/>
      <c r="D313" s="22"/>
      <c r="E313" s="24"/>
      <c r="F313" s="22"/>
      <c r="H313" s="21">
        <v>45884</v>
      </c>
      <c r="I313" s="22" t="s">
        <v>70</v>
      </c>
      <c r="J313" s="22" t="s">
        <v>45</v>
      </c>
      <c r="K313" s="24" t="s">
        <v>61</v>
      </c>
      <c r="M313" s="21">
        <v>45887</v>
      </c>
      <c r="N313" s="22" t="s">
        <v>71</v>
      </c>
      <c r="O313" s="22" t="s">
        <v>57</v>
      </c>
      <c r="P313" s="49">
        <v>93.5</v>
      </c>
      <c r="Q313" s="49">
        <v>93</v>
      </c>
      <c r="R313" s="50">
        <f t="shared" si="12"/>
        <v>0.5</v>
      </c>
      <c r="T313" s="21">
        <v>45890</v>
      </c>
      <c r="U313" s="22" t="s">
        <v>53</v>
      </c>
      <c r="V313" s="24">
        <v>3</v>
      </c>
      <c r="W313" s="24">
        <v>3</v>
      </c>
      <c r="X313" s="24">
        <v>4</v>
      </c>
      <c r="Y313" s="24">
        <v>5</v>
      </c>
      <c r="Z313" s="20">
        <f t="shared" si="13"/>
        <v>15</v>
      </c>
    </row>
    <row r="314" spans="1:26" x14ac:dyDescent="0.2">
      <c r="A314" s="21"/>
      <c r="B314" s="51"/>
      <c r="C314" s="22"/>
      <c r="D314" s="22"/>
      <c r="E314" s="24"/>
      <c r="F314" s="22"/>
      <c r="H314" s="21">
        <v>45884</v>
      </c>
      <c r="I314" s="22" t="s">
        <v>70</v>
      </c>
      <c r="J314" s="22" t="s">
        <v>57</v>
      </c>
      <c r="K314" s="24">
        <v>4</v>
      </c>
      <c r="M314" s="21">
        <v>45887</v>
      </c>
      <c r="N314" s="22" t="s">
        <v>70</v>
      </c>
      <c r="O314" s="22" t="s">
        <v>58</v>
      </c>
      <c r="P314" s="49">
        <v>74.8</v>
      </c>
      <c r="Q314" s="49">
        <v>74.400000000000006</v>
      </c>
      <c r="R314" s="50">
        <f t="shared" si="12"/>
        <v>0.39999999999999147</v>
      </c>
      <c r="T314" s="21">
        <v>45890</v>
      </c>
      <c r="U314" s="22" t="s">
        <v>54</v>
      </c>
      <c r="V314" s="24">
        <v>4</v>
      </c>
      <c r="W314" s="24">
        <v>3</v>
      </c>
      <c r="X314" s="24">
        <v>3</v>
      </c>
      <c r="Y314" s="24">
        <v>4</v>
      </c>
      <c r="Z314" s="20">
        <f t="shared" si="13"/>
        <v>14</v>
      </c>
    </row>
    <row r="315" spans="1:26" x14ac:dyDescent="0.2">
      <c r="A315" s="21"/>
      <c r="B315" s="51"/>
      <c r="C315" s="22"/>
      <c r="D315" s="22"/>
      <c r="E315" s="24"/>
      <c r="F315" s="22"/>
      <c r="H315" s="21">
        <v>45884</v>
      </c>
      <c r="I315" s="22" t="s">
        <v>70</v>
      </c>
      <c r="J315" s="22" t="s">
        <v>42</v>
      </c>
      <c r="K315" s="24">
        <v>3</v>
      </c>
      <c r="M315" s="21">
        <v>45887</v>
      </c>
      <c r="N315" s="22" t="s">
        <v>71</v>
      </c>
      <c r="O315" s="22" t="s">
        <v>58</v>
      </c>
      <c r="P315" s="49">
        <v>74.5</v>
      </c>
      <c r="Q315" s="49">
        <v>74.400000000000006</v>
      </c>
      <c r="R315" s="50">
        <f t="shared" si="12"/>
        <v>9.9999999999994316E-2</v>
      </c>
      <c r="T315" s="21">
        <v>45890</v>
      </c>
      <c r="U315" s="22" t="s">
        <v>56</v>
      </c>
      <c r="V315" s="24">
        <v>4</v>
      </c>
      <c r="W315" s="24">
        <v>4</v>
      </c>
      <c r="X315" s="24">
        <v>4</v>
      </c>
      <c r="Y315" s="24">
        <v>5</v>
      </c>
      <c r="Z315" s="20">
        <f t="shared" si="13"/>
        <v>17</v>
      </c>
    </row>
    <row r="316" spans="1:26" x14ac:dyDescent="0.2">
      <c r="A316" s="21"/>
      <c r="B316" s="51"/>
      <c r="C316" s="22"/>
      <c r="D316" s="22"/>
      <c r="E316" s="24"/>
      <c r="F316" s="22"/>
      <c r="H316" s="21">
        <v>45884</v>
      </c>
      <c r="I316" s="22" t="s">
        <v>70</v>
      </c>
      <c r="J316" s="22" t="s">
        <v>54</v>
      </c>
      <c r="K316" s="24">
        <v>4</v>
      </c>
      <c r="M316" s="21">
        <v>45888</v>
      </c>
      <c r="N316" s="22" t="s">
        <v>70</v>
      </c>
      <c r="O316" s="22" t="s">
        <v>41</v>
      </c>
      <c r="P316" s="49">
        <v>76.900000000000006</v>
      </c>
      <c r="Q316" s="49">
        <v>76</v>
      </c>
      <c r="R316" s="50">
        <f t="shared" si="12"/>
        <v>0.90000000000000568</v>
      </c>
      <c r="T316" s="21">
        <v>45890</v>
      </c>
      <c r="U316" s="22" t="s">
        <v>57</v>
      </c>
      <c r="V316" s="24">
        <v>3</v>
      </c>
      <c r="W316" s="24">
        <v>4</v>
      </c>
      <c r="X316" s="24">
        <v>3</v>
      </c>
      <c r="Y316" s="24">
        <v>5</v>
      </c>
      <c r="Z316" s="20">
        <f t="shared" si="13"/>
        <v>15</v>
      </c>
    </row>
    <row r="317" spans="1:26" x14ac:dyDescent="0.2">
      <c r="A317" s="21"/>
      <c r="B317" s="51"/>
      <c r="C317" s="22"/>
      <c r="D317" s="22"/>
      <c r="E317" s="24"/>
      <c r="F317" s="22"/>
      <c r="H317" s="21">
        <v>45884</v>
      </c>
      <c r="I317" s="22" t="s">
        <v>70</v>
      </c>
      <c r="J317" s="22" t="s">
        <v>47</v>
      </c>
      <c r="K317" s="24">
        <v>4</v>
      </c>
      <c r="M317" s="21">
        <v>45888</v>
      </c>
      <c r="N317" s="22" t="s">
        <v>70</v>
      </c>
      <c r="O317" s="22" t="s">
        <v>42</v>
      </c>
      <c r="P317" s="49">
        <v>79.5</v>
      </c>
      <c r="Q317" s="49">
        <v>78.8</v>
      </c>
      <c r="R317" s="50">
        <f t="shared" si="12"/>
        <v>0.70000000000000284</v>
      </c>
      <c r="T317" s="21">
        <v>45890</v>
      </c>
      <c r="U317" s="22" t="s">
        <v>58</v>
      </c>
      <c r="V317" s="24">
        <v>3</v>
      </c>
      <c r="W317" s="24">
        <v>3</v>
      </c>
      <c r="X317" s="24">
        <v>4</v>
      </c>
      <c r="Y317" s="24">
        <v>5</v>
      </c>
      <c r="Z317" s="20">
        <f t="shared" si="13"/>
        <v>15</v>
      </c>
    </row>
    <row r="318" spans="1:26" x14ac:dyDescent="0.2">
      <c r="A318" s="21"/>
      <c r="B318" s="51"/>
      <c r="C318" s="22"/>
      <c r="D318" s="22"/>
      <c r="E318" s="24"/>
      <c r="F318" s="22"/>
      <c r="H318" s="21">
        <v>45884</v>
      </c>
      <c r="I318" s="22" t="s">
        <v>70</v>
      </c>
      <c r="J318" s="22" t="s">
        <v>41</v>
      </c>
      <c r="K318" s="24">
        <v>4</v>
      </c>
      <c r="M318" s="21">
        <v>45888</v>
      </c>
      <c r="N318" s="22" t="s">
        <v>70</v>
      </c>
      <c r="O318" s="22" t="s">
        <v>43</v>
      </c>
      <c r="P318" s="49">
        <v>88.3</v>
      </c>
      <c r="Q318" s="49">
        <v>88.2</v>
      </c>
      <c r="R318" s="50">
        <f t="shared" si="12"/>
        <v>9.9999999999994316E-2</v>
      </c>
      <c r="T318" s="21">
        <v>45890</v>
      </c>
      <c r="U318" s="22" t="s">
        <v>33</v>
      </c>
      <c r="V318" s="24">
        <v>3.5</v>
      </c>
      <c r="W318" s="24">
        <v>3.4375</v>
      </c>
      <c r="X318" s="24">
        <v>3.5</v>
      </c>
      <c r="Y318" s="24">
        <v>4.3125</v>
      </c>
      <c r="Z318" s="20">
        <f t="shared" si="13"/>
        <v>14.75</v>
      </c>
    </row>
    <row r="319" spans="1:26" x14ac:dyDescent="0.2">
      <c r="A319" s="21"/>
      <c r="B319" s="51"/>
      <c r="C319" s="22"/>
      <c r="D319" s="22"/>
      <c r="E319" s="24"/>
      <c r="F319" s="22"/>
      <c r="H319" s="21">
        <v>45884</v>
      </c>
      <c r="I319" s="22" t="s">
        <v>70</v>
      </c>
      <c r="J319" s="22" t="s">
        <v>58</v>
      </c>
      <c r="K319" s="24">
        <v>4</v>
      </c>
      <c r="M319" s="21">
        <v>45888</v>
      </c>
      <c r="N319" s="22" t="s">
        <v>70</v>
      </c>
      <c r="O319" s="22" t="s">
        <v>44</v>
      </c>
      <c r="P319" s="49">
        <v>67.8</v>
      </c>
      <c r="Q319" s="49">
        <v>67.2</v>
      </c>
      <c r="R319" s="50">
        <f t="shared" si="12"/>
        <v>0.59999999999999432</v>
      </c>
      <c r="T319" s="21">
        <v>45891</v>
      </c>
      <c r="U319" s="22" t="s">
        <v>41</v>
      </c>
      <c r="V319" s="24">
        <v>1</v>
      </c>
      <c r="W319" s="24">
        <v>2</v>
      </c>
      <c r="X319" s="24">
        <v>1</v>
      </c>
      <c r="Y319" s="24">
        <v>2</v>
      </c>
      <c r="Z319" s="20">
        <f t="shared" si="13"/>
        <v>6</v>
      </c>
    </row>
    <row r="320" spans="1:26" x14ac:dyDescent="0.2">
      <c r="A320" s="21"/>
      <c r="B320" s="51"/>
      <c r="C320" s="22"/>
      <c r="D320" s="22"/>
      <c r="E320" s="24"/>
      <c r="F320" s="22"/>
      <c r="H320" s="21">
        <v>45884</v>
      </c>
      <c r="I320" s="22" t="s">
        <v>70</v>
      </c>
      <c r="J320" s="22" t="s">
        <v>49</v>
      </c>
      <c r="K320" s="24">
        <v>4</v>
      </c>
      <c r="M320" s="21">
        <v>45888</v>
      </c>
      <c r="N320" s="22" t="s">
        <v>70</v>
      </c>
      <c r="O320" s="22" t="s">
        <v>45</v>
      </c>
      <c r="P320" s="49">
        <v>69.2</v>
      </c>
      <c r="Q320" s="49">
        <v>69</v>
      </c>
      <c r="R320" s="50">
        <f t="shared" si="12"/>
        <v>0.20000000000000284</v>
      </c>
      <c r="T320" s="21">
        <v>45891</v>
      </c>
      <c r="U320" s="22" t="s">
        <v>42</v>
      </c>
      <c r="V320" s="24">
        <v>4</v>
      </c>
      <c r="W320" s="24">
        <v>4</v>
      </c>
      <c r="X320" s="24">
        <v>4</v>
      </c>
      <c r="Y320" s="24">
        <v>5</v>
      </c>
      <c r="Z320" s="20">
        <f t="shared" si="13"/>
        <v>17</v>
      </c>
    </row>
    <row r="321" spans="1:26" x14ac:dyDescent="0.2">
      <c r="A321" s="21"/>
      <c r="B321" s="51"/>
      <c r="C321" s="22"/>
      <c r="D321" s="22"/>
      <c r="E321" s="24"/>
      <c r="F321" s="22"/>
      <c r="H321" s="21">
        <v>45884</v>
      </c>
      <c r="I321" s="22" t="s">
        <v>70</v>
      </c>
      <c r="J321" s="22" t="s">
        <v>50</v>
      </c>
      <c r="K321" s="24">
        <v>3</v>
      </c>
      <c r="M321" s="21">
        <v>45888</v>
      </c>
      <c r="N321" s="22" t="s">
        <v>70</v>
      </c>
      <c r="O321" s="22" t="s">
        <v>46</v>
      </c>
      <c r="P321" s="49">
        <v>80</v>
      </c>
      <c r="Q321" s="49">
        <v>79.599999999999994</v>
      </c>
      <c r="R321" s="50">
        <f t="shared" si="12"/>
        <v>0.40000000000000568</v>
      </c>
      <c r="T321" s="21">
        <v>45891</v>
      </c>
      <c r="U321" s="22" t="s">
        <v>44</v>
      </c>
      <c r="V321" s="24">
        <v>5</v>
      </c>
      <c r="W321" s="24">
        <v>4</v>
      </c>
      <c r="X321" s="24">
        <v>4</v>
      </c>
      <c r="Y321" s="24">
        <v>5</v>
      </c>
      <c r="Z321" s="20">
        <f t="shared" si="13"/>
        <v>18</v>
      </c>
    </row>
    <row r="322" spans="1:26" x14ac:dyDescent="0.2">
      <c r="A322" s="21"/>
      <c r="B322" s="51"/>
      <c r="C322" s="22"/>
      <c r="D322" s="22"/>
      <c r="E322" s="24"/>
      <c r="F322" s="22"/>
      <c r="H322" s="21">
        <v>45884</v>
      </c>
      <c r="I322" s="22" t="s">
        <v>70</v>
      </c>
      <c r="J322" s="22" t="s">
        <v>51</v>
      </c>
      <c r="K322" s="24">
        <v>4</v>
      </c>
      <c r="M322" s="21">
        <v>45888</v>
      </c>
      <c r="N322" s="22" t="s">
        <v>70</v>
      </c>
      <c r="O322" s="22" t="s">
        <v>47</v>
      </c>
      <c r="P322" s="49">
        <v>70.900000000000006</v>
      </c>
      <c r="Q322" s="49">
        <v>71.099999999999994</v>
      </c>
      <c r="R322" s="50">
        <f t="shared" si="12"/>
        <v>-0.19999999999998863</v>
      </c>
      <c r="T322" s="21">
        <v>45891</v>
      </c>
      <c r="U322" s="22" t="s">
        <v>45</v>
      </c>
      <c r="V322" s="24">
        <v>4</v>
      </c>
      <c r="W322" s="24">
        <v>3</v>
      </c>
      <c r="X322" s="24">
        <v>4</v>
      </c>
      <c r="Y322" s="24">
        <v>5</v>
      </c>
      <c r="Z322" s="20">
        <f t="shared" si="13"/>
        <v>16</v>
      </c>
    </row>
    <row r="323" spans="1:26" x14ac:dyDescent="0.2">
      <c r="A323" s="21"/>
      <c r="B323" s="51"/>
      <c r="C323" s="22"/>
      <c r="D323" s="22"/>
      <c r="E323" s="24"/>
      <c r="F323" s="22"/>
      <c r="H323" s="21">
        <v>45884</v>
      </c>
      <c r="I323" s="22" t="s">
        <v>70</v>
      </c>
      <c r="J323" s="22" t="s">
        <v>46</v>
      </c>
      <c r="K323" s="24">
        <v>5</v>
      </c>
      <c r="M323" s="21">
        <v>45888</v>
      </c>
      <c r="N323" s="22" t="s">
        <v>70</v>
      </c>
      <c r="O323" s="22" t="s">
        <v>48</v>
      </c>
      <c r="P323" s="49">
        <v>81.900000000000006</v>
      </c>
      <c r="Q323" s="49">
        <v>80.2</v>
      </c>
      <c r="R323" s="50">
        <f t="shared" ref="R323:R386" si="14">IFERROR(P323-Q323,"")</f>
        <v>1.7000000000000028</v>
      </c>
      <c r="T323" s="21">
        <v>45891</v>
      </c>
      <c r="U323" s="22" t="s">
        <v>46</v>
      </c>
      <c r="V323" s="24">
        <v>5</v>
      </c>
      <c r="W323" s="24">
        <v>4</v>
      </c>
      <c r="X323" s="24">
        <v>4</v>
      </c>
      <c r="Y323" s="24">
        <v>4</v>
      </c>
      <c r="Z323" s="20">
        <f t="shared" ref="Z323:Z386" si="15">SUM(V323:Y323)</f>
        <v>17</v>
      </c>
    </row>
    <row r="324" spans="1:26" x14ac:dyDescent="0.2">
      <c r="A324" s="21"/>
      <c r="B324" s="51"/>
      <c r="C324" s="22"/>
      <c r="D324" s="22"/>
      <c r="E324" s="24"/>
      <c r="F324" s="22"/>
      <c r="H324" s="21">
        <v>45884</v>
      </c>
      <c r="I324" s="22" t="s">
        <v>70</v>
      </c>
      <c r="J324" s="22" t="s">
        <v>48</v>
      </c>
      <c r="K324" s="24">
        <v>4</v>
      </c>
      <c r="M324" s="21">
        <v>45888</v>
      </c>
      <c r="N324" s="22" t="s">
        <v>70</v>
      </c>
      <c r="O324" s="22" t="s">
        <v>49</v>
      </c>
      <c r="P324" s="49">
        <v>79.099999999999994</v>
      </c>
      <c r="Q324" s="49">
        <v>79.099999999999994</v>
      </c>
      <c r="R324" s="50">
        <f t="shared" si="14"/>
        <v>0</v>
      </c>
      <c r="T324" s="21">
        <v>45891</v>
      </c>
      <c r="U324" s="22" t="s">
        <v>47</v>
      </c>
      <c r="V324" s="24">
        <v>4</v>
      </c>
      <c r="W324" s="24">
        <v>4</v>
      </c>
      <c r="X324" s="24">
        <v>4</v>
      </c>
      <c r="Y324" s="24">
        <v>5</v>
      </c>
      <c r="Z324" s="20">
        <f t="shared" si="15"/>
        <v>17</v>
      </c>
    </row>
    <row r="325" spans="1:26" x14ac:dyDescent="0.2">
      <c r="A325" s="21"/>
      <c r="B325" s="51"/>
      <c r="C325" s="22"/>
      <c r="D325" s="22"/>
      <c r="E325" s="24"/>
      <c r="F325" s="22"/>
      <c r="H325" s="21">
        <v>45884</v>
      </c>
      <c r="I325" s="22" t="s">
        <v>70</v>
      </c>
      <c r="J325" s="22" t="s">
        <v>56</v>
      </c>
      <c r="K325" s="24">
        <v>5</v>
      </c>
      <c r="M325" s="21">
        <v>45888</v>
      </c>
      <c r="N325" s="22" t="s">
        <v>70</v>
      </c>
      <c r="O325" s="22" t="s">
        <v>50</v>
      </c>
      <c r="P325" s="49">
        <v>71.3</v>
      </c>
      <c r="Q325" s="49">
        <v>70.2</v>
      </c>
      <c r="R325" s="50">
        <f t="shared" si="14"/>
        <v>1.0999999999999943</v>
      </c>
      <c r="T325" s="21">
        <v>45891</v>
      </c>
      <c r="U325" s="22" t="s">
        <v>48</v>
      </c>
      <c r="V325" s="24">
        <v>5</v>
      </c>
      <c r="W325" s="24">
        <v>4</v>
      </c>
      <c r="X325" s="24">
        <v>4</v>
      </c>
      <c r="Y325" s="24">
        <v>5</v>
      </c>
      <c r="Z325" s="20">
        <f t="shared" si="15"/>
        <v>18</v>
      </c>
    </row>
    <row r="326" spans="1:26" x14ac:dyDescent="0.2">
      <c r="A326" s="21"/>
      <c r="B326" s="51"/>
      <c r="C326" s="22"/>
      <c r="D326" s="22"/>
      <c r="E326" s="24"/>
      <c r="F326" s="22"/>
      <c r="H326" s="21">
        <v>45884</v>
      </c>
      <c r="I326" s="22" t="s">
        <v>71</v>
      </c>
      <c r="J326" s="22" t="s">
        <v>52</v>
      </c>
      <c r="K326" s="24" t="s">
        <v>61</v>
      </c>
      <c r="M326" s="21">
        <v>45888</v>
      </c>
      <c r="N326" s="22" t="s">
        <v>70</v>
      </c>
      <c r="O326" s="22" t="s">
        <v>51</v>
      </c>
      <c r="P326" s="49">
        <v>74.8</v>
      </c>
      <c r="Q326" s="49">
        <v>74.5</v>
      </c>
      <c r="R326" s="50">
        <f t="shared" si="14"/>
        <v>0.29999999999999716</v>
      </c>
      <c r="T326" s="21">
        <v>45891</v>
      </c>
      <c r="U326" s="22" t="s">
        <v>49</v>
      </c>
      <c r="V326" s="24">
        <v>4</v>
      </c>
      <c r="W326" s="24">
        <v>4</v>
      </c>
      <c r="X326" s="24">
        <v>4</v>
      </c>
      <c r="Y326" s="24">
        <v>4</v>
      </c>
      <c r="Z326" s="20">
        <f t="shared" si="15"/>
        <v>16</v>
      </c>
    </row>
    <row r="327" spans="1:26" x14ac:dyDescent="0.2">
      <c r="A327" s="21"/>
      <c r="B327" s="51"/>
      <c r="C327" s="22"/>
      <c r="D327" s="22"/>
      <c r="E327" s="24"/>
      <c r="F327" s="22"/>
      <c r="H327" s="21">
        <v>45884</v>
      </c>
      <c r="I327" s="22" t="s">
        <v>71</v>
      </c>
      <c r="J327" s="22" t="s">
        <v>53</v>
      </c>
      <c r="K327" s="24">
        <v>9</v>
      </c>
      <c r="M327" s="21">
        <v>45888</v>
      </c>
      <c r="N327" s="22" t="s">
        <v>70</v>
      </c>
      <c r="O327" s="22" t="s">
        <v>52</v>
      </c>
      <c r="P327" s="49">
        <v>70.8</v>
      </c>
      <c r="Q327" s="49">
        <v>70.5</v>
      </c>
      <c r="R327" s="50">
        <f t="shared" si="14"/>
        <v>0.29999999999999716</v>
      </c>
      <c r="T327" s="21">
        <v>45891</v>
      </c>
      <c r="U327" s="22" t="s">
        <v>50</v>
      </c>
      <c r="V327" s="24">
        <v>4</v>
      </c>
      <c r="W327" s="24">
        <v>4</v>
      </c>
      <c r="X327" s="24">
        <v>4</v>
      </c>
      <c r="Y327" s="24">
        <v>5</v>
      </c>
      <c r="Z327" s="20">
        <f t="shared" si="15"/>
        <v>17</v>
      </c>
    </row>
    <row r="328" spans="1:26" x14ac:dyDescent="0.2">
      <c r="A328" s="21"/>
      <c r="B328" s="51"/>
      <c r="C328" s="22"/>
      <c r="D328" s="22"/>
      <c r="E328" s="24"/>
      <c r="F328" s="22"/>
      <c r="H328" s="21">
        <v>45884</v>
      </c>
      <c r="I328" s="22" t="s">
        <v>71</v>
      </c>
      <c r="J328" s="22" t="s">
        <v>44</v>
      </c>
      <c r="K328" s="24">
        <v>9</v>
      </c>
      <c r="M328" s="21">
        <v>45888</v>
      </c>
      <c r="N328" s="22" t="s">
        <v>70</v>
      </c>
      <c r="O328" s="22" t="s">
        <v>53</v>
      </c>
      <c r="P328" s="49">
        <v>67.7</v>
      </c>
      <c r="Q328" s="49">
        <v>67.2</v>
      </c>
      <c r="R328" s="50">
        <f t="shared" si="14"/>
        <v>0.5</v>
      </c>
      <c r="T328" s="21">
        <v>45891</v>
      </c>
      <c r="U328" s="22" t="s">
        <v>51</v>
      </c>
      <c r="V328" s="24">
        <v>4</v>
      </c>
      <c r="W328" s="24">
        <v>4</v>
      </c>
      <c r="X328" s="24">
        <v>3</v>
      </c>
      <c r="Y328" s="24">
        <v>4</v>
      </c>
      <c r="Z328" s="20">
        <f t="shared" si="15"/>
        <v>15</v>
      </c>
    </row>
    <row r="329" spans="1:26" x14ac:dyDescent="0.2">
      <c r="A329" s="21"/>
      <c r="B329" s="51"/>
      <c r="C329" s="22"/>
      <c r="D329" s="22"/>
      <c r="E329" s="24"/>
      <c r="F329" s="22"/>
      <c r="H329" s="21">
        <v>45884</v>
      </c>
      <c r="I329" s="22" t="s">
        <v>71</v>
      </c>
      <c r="J329" s="22" t="s">
        <v>45</v>
      </c>
      <c r="K329" s="24" t="s">
        <v>61</v>
      </c>
      <c r="M329" s="21">
        <v>45888</v>
      </c>
      <c r="N329" s="22" t="s">
        <v>70</v>
      </c>
      <c r="O329" s="22" t="s">
        <v>54</v>
      </c>
      <c r="P329" s="49">
        <v>85.1</v>
      </c>
      <c r="Q329" s="49">
        <v>85.3</v>
      </c>
      <c r="R329" s="50">
        <f t="shared" si="14"/>
        <v>-0.20000000000000284</v>
      </c>
      <c r="T329" s="21">
        <v>45891</v>
      </c>
      <c r="U329" s="22" t="s">
        <v>52</v>
      </c>
      <c r="V329" s="24">
        <v>4</v>
      </c>
      <c r="W329" s="24">
        <v>5</v>
      </c>
      <c r="X329" s="24">
        <v>3</v>
      </c>
      <c r="Y329" s="24">
        <v>3</v>
      </c>
      <c r="Z329" s="20">
        <f t="shared" si="15"/>
        <v>15</v>
      </c>
    </row>
    <row r="330" spans="1:26" x14ac:dyDescent="0.2">
      <c r="A330" s="21"/>
      <c r="B330" s="51"/>
      <c r="C330" s="22"/>
      <c r="D330" s="22"/>
      <c r="E330" s="24"/>
      <c r="F330" s="22"/>
      <c r="H330" s="21">
        <v>45884</v>
      </c>
      <c r="I330" s="22" t="s">
        <v>71</v>
      </c>
      <c r="J330" s="22" t="s">
        <v>57</v>
      </c>
      <c r="K330" s="24">
        <v>8</v>
      </c>
      <c r="M330" s="21">
        <v>45888</v>
      </c>
      <c r="N330" s="22" t="s">
        <v>70</v>
      </c>
      <c r="O330" s="22" t="s">
        <v>56</v>
      </c>
      <c r="P330" s="49">
        <v>75</v>
      </c>
      <c r="Q330" s="49">
        <v>74.900000000000006</v>
      </c>
      <c r="R330" s="50">
        <f t="shared" si="14"/>
        <v>9.9999999999994316E-2</v>
      </c>
      <c r="T330" s="21">
        <v>45891</v>
      </c>
      <c r="U330" s="22" t="s">
        <v>53</v>
      </c>
      <c r="V330" s="24">
        <v>3</v>
      </c>
      <c r="W330" s="24">
        <v>3</v>
      </c>
      <c r="X330" s="24">
        <v>4</v>
      </c>
      <c r="Y330" s="24">
        <v>5</v>
      </c>
      <c r="Z330" s="20">
        <f t="shared" si="15"/>
        <v>15</v>
      </c>
    </row>
    <row r="331" spans="1:26" x14ac:dyDescent="0.2">
      <c r="A331" s="21"/>
      <c r="B331" s="51"/>
      <c r="C331" s="22"/>
      <c r="D331" s="22"/>
      <c r="E331" s="24"/>
      <c r="F331" s="22"/>
      <c r="H331" s="21">
        <v>45884</v>
      </c>
      <c r="I331" s="22" t="s">
        <v>71</v>
      </c>
      <c r="J331" s="22" t="s">
        <v>42</v>
      </c>
      <c r="K331" s="24">
        <v>6</v>
      </c>
      <c r="M331" s="21">
        <v>45888</v>
      </c>
      <c r="N331" s="22" t="s">
        <v>70</v>
      </c>
      <c r="O331" s="22" t="s">
        <v>57</v>
      </c>
      <c r="P331" s="49">
        <v>93</v>
      </c>
      <c r="Q331" s="49">
        <v>92.3</v>
      </c>
      <c r="R331" s="50">
        <f t="shared" si="14"/>
        <v>0.70000000000000284</v>
      </c>
      <c r="T331" s="21">
        <v>45891</v>
      </c>
      <c r="U331" s="22" t="s">
        <v>54</v>
      </c>
      <c r="V331" s="24">
        <v>4</v>
      </c>
      <c r="W331" s="24">
        <v>3</v>
      </c>
      <c r="X331" s="24">
        <v>3</v>
      </c>
      <c r="Y331" s="24">
        <v>2</v>
      </c>
      <c r="Z331" s="20">
        <f t="shared" si="15"/>
        <v>12</v>
      </c>
    </row>
    <row r="332" spans="1:26" x14ac:dyDescent="0.2">
      <c r="A332" s="21"/>
      <c r="B332" s="51"/>
      <c r="C332" s="22"/>
      <c r="D332" s="22"/>
      <c r="E332" s="24"/>
      <c r="F332" s="22"/>
      <c r="H332" s="21">
        <v>45884</v>
      </c>
      <c r="I332" s="22" t="s">
        <v>71</v>
      </c>
      <c r="J332" s="22" t="s">
        <v>54</v>
      </c>
      <c r="K332" s="24">
        <v>8</v>
      </c>
      <c r="M332" s="21">
        <v>45888</v>
      </c>
      <c r="N332" s="22" t="s">
        <v>70</v>
      </c>
      <c r="O332" s="22" t="s">
        <v>58</v>
      </c>
      <c r="P332" s="49">
        <v>75.099999999999994</v>
      </c>
      <c r="Q332" s="49">
        <v>74.599999999999994</v>
      </c>
      <c r="R332" s="50">
        <f t="shared" si="14"/>
        <v>0.5</v>
      </c>
      <c r="T332" s="21">
        <v>45891</v>
      </c>
      <c r="U332" s="22" t="s">
        <v>56</v>
      </c>
      <c r="V332" s="24">
        <v>4</v>
      </c>
      <c r="W332" s="24">
        <v>4</v>
      </c>
      <c r="X332" s="24">
        <v>4</v>
      </c>
      <c r="Y332" s="24">
        <v>5</v>
      </c>
      <c r="Z332" s="20">
        <f t="shared" si="15"/>
        <v>17</v>
      </c>
    </row>
    <row r="333" spans="1:26" x14ac:dyDescent="0.2">
      <c r="A333" s="21"/>
      <c r="B333" s="51"/>
      <c r="C333" s="22"/>
      <c r="D333" s="22"/>
      <c r="E333" s="24"/>
      <c r="F333" s="22"/>
      <c r="H333" s="21">
        <v>45884</v>
      </c>
      <c r="I333" s="22" t="s">
        <v>71</v>
      </c>
      <c r="J333" s="22" t="s">
        <v>47</v>
      </c>
      <c r="K333" s="24">
        <v>6</v>
      </c>
      <c r="M333" s="21">
        <v>45889</v>
      </c>
      <c r="N333" s="22" t="s">
        <v>70</v>
      </c>
      <c r="O333" s="22" t="s">
        <v>41</v>
      </c>
      <c r="P333" s="49">
        <v>76.8</v>
      </c>
      <c r="Q333" s="49">
        <v>76</v>
      </c>
      <c r="R333" s="50">
        <f t="shared" si="14"/>
        <v>0.79999999999999716</v>
      </c>
      <c r="T333" s="21">
        <v>45891</v>
      </c>
      <c r="U333" s="22" t="s">
        <v>57</v>
      </c>
      <c r="V333" s="24">
        <v>4</v>
      </c>
      <c r="W333" s="24">
        <v>4</v>
      </c>
      <c r="X333" s="24">
        <v>4</v>
      </c>
      <c r="Y333" s="24">
        <v>4</v>
      </c>
      <c r="Z333" s="20">
        <f t="shared" si="15"/>
        <v>16</v>
      </c>
    </row>
    <row r="334" spans="1:26" x14ac:dyDescent="0.2">
      <c r="A334" s="21"/>
      <c r="B334" s="51"/>
      <c r="C334" s="22"/>
      <c r="D334" s="22"/>
      <c r="E334" s="24"/>
      <c r="F334" s="22"/>
      <c r="H334" s="21">
        <v>45884</v>
      </c>
      <c r="I334" s="22" t="s">
        <v>71</v>
      </c>
      <c r="J334" s="22" t="s">
        <v>41</v>
      </c>
      <c r="K334" s="24">
        <v>7</v>
      </c>
      <c r="M334" s="21">
        <v>45889</v>
      </c>
      <c r="N334" s="22" t="s">
        <v>71</v>
      </c>
      <c r="O334" s="22" t="s">
        <v>41</v>
      </c>
      <c r="P334" s="49">
        <v>76.7</v>
      </c>
      <c r="Q334" s="49">
        <v>76</v>
      </c>
      <c r="R334" s="50">
        <f t="shared" si="14"/>
        <v>0.70000000000000284</v>
      </c>
      <c r="T334" s="21">
        <v>45891</v>
      </c>
      <c r="U334" s="22" t="s">
        <v>58</v>
      </c>
      <c r="V334" s="24">
        <v>4</v>
      </c>
      <c r="W334" s="24">
        <v>3</v>
      </c>
      <c r="X334" s="24">
        <v>4</v>
      </c>
      <c r="Y334" s="24">
        <v>5</v>
      </c>
      <c r="Z334" s="20">
        <f t="shared" si="15"/>
        <v>16</v>
      </c>
    </row>
    <row r="335" spans="1:26" x14ac:dyDescent="0.2">
      <c r="A335" s="21"/>
      <c r="B335" s="51"/>
      <c r="C335" s="22"/>
      <c r="D335" s="22"/>
      <c r="E335" s="24"/>
      <c r="F335" s="22"/>
      <c r="H335" s="21">
        <v>45884</v>
      </c>
      <c r="I335" s="22" t="s">
        <v>71</v>
      </c>
      <c r="J335" s="22" t="s">
        <v>58</v>
      </c>
      <c r="K335" s="24">
        <v>9</v>
      </c>
      <c r="M335" s="21">
        <v>45889</v>
      </c>
      <c r="N335" s="22" t="s">
        <v>70</v>
      </c>
      <c r="O335" s="22" t="s">
        <v>42</v>
      </c>
      <c r="P335" s="49">
        <v>79.2</v>
      </c>
      <c r="Q335" s="49">
        <v>79</v>
      </c>
      <c r="R335" s="50">
        <f t="shared" si="14"/>
        <v>0.20000000000000284</v>
      </c>
      <c r="T335" s="21">
        <v>45891</v>
      </c>
      <c r="U335" s="22" t="s">
        <v>33</v>
      </c>
      <c r="V335" s="24">
        <v>3.9375</v>
      </c>
      <c r="W335" s="24">
        <v>3.6875</v>
      </c>
      <c r="X335" s="24">
        <v>3.625</v>
      </c>
      <c r="Y335" s="24">
        <v>4.25</v>
      </c>
      <c r="Z335" s="20">
        <f t="shared" si="15"/>
        <v>15.5</v>
      </c>
    </row>
    <row r="336" spans="1:26" x14ac:dyDescent="0.2">
      <c r="A336" s="21"/>
      <c r="B336" s="51"/>
      <c r="C336" s="22"/>
      <c r="D336" s="22"/>
      <c r="E336" s="24"/>
      <c r="F336" s="22"/>
      <c r="H336" s="21">
        <v>45884</v>
      </c>
      <c r="I336" s="22" t="s">
        <v>71</v>
      </c>
      <c r="J336" s="22" t="s">
        <v>49</v>
      </c>
      <c r="K336" s="24">
        <v>8</v>
      </c>
      <c r="M336" s="21">
        <v>45889</v>
      </c>
      <c r="N336" s="22" t="s">
        <v>71</v>
      </c>
      <c r="O336" s="22" t="s">
        <v>42</v>
      </c>
      <c r="P336" s="49">
        <v>79.400000000000006</v>
      </c>
      <c r="Q336" s="49">
        <v>79</v>
      </c>
      <c r="R336" s="50">
        <f t="shared" si="14"/>
        <v>0.40000000000000568</v>
      </c>
      <c r="T336" s="21">
        <v>45892</v>
      </c>
      <c r="U336" s="22" t="s">
        <v>41</v>
      </c>
      <c r="V336" s="24">
        <v>2</v>
      </c>
      <c r="W336" s="24">
        <v>1</v>
      </c>
      <c r="X336" s="24">
        <v>2</v>
      </c>
      <c r="Y336" s="24">
        <v>2</v>
      </c>
      <c r="Z336" s="20">
        <f t="shared" si="15"/>
        <v>7</v>
      </c>
    </row>
    <row r="337" spans="1:26" x14ac:dyDescent="0.2">
      <c r="A337" s="21"/>
      <c r="B337" s="51"/>
      <c r="C337" s="22"/>
      <c r="D337" s="22"/>
      <c r="E337" s="24"/>
      <c r="F337" s="22"/>
      <c r="H337" s="21">
        <v>45884</v>
      </c>
      <c r="I337" s="22" t="s">
        <v>71</v>
      </c>
      <c r="J337" s="22" t="s">
        <v>50</v>
      </c>
      <c r="K337" s="24">
        <v>8</v>
      </c>
      <c r="M337" s="21">
        <v>45889</v>
      </c>
      <c r="N337" s="22" t="s">
        <v>70</v>
      </c>
      <c r="O337" s="22" t="s">
        <v>44</v>
      </c>
      <c r="P337" s="49">
        <v>67.900000000000006</v>
      </c>
      <c r="Q337" s="49">
        <v>67.7</v>
      </c>
      <c r="R337" s="50">
        <f t="shared" si="14"/>
        <v>0.20000000000000284</v>
      </c>
      <c r="T337" s="21">
        <v>45892</v>
      </c>
      <c r="U337" s="22" t="s">
        <v>42</v>
      </c>
      <c r="V337" s="24">
        <v>4</v>
      </c>
      <c r="W337" s="24">
        <v>4</v>
      </c>
      <c r="X337" s="24">
        <v>4</v>
      </c>
      <c r="Y337" s="24">
        <v>5</v>
      </c>
      <c r="Z337" s="20">
        <f t="shared" si="15"/>
        <v>17</v>
      </c>
    </row>
    <row r="338" spans="1:26" x14ac:dyDescent="0.2">
      <c r="A338" s="21"/>
      <c r="B338" s="51"/>
      <c r="C338" s="22"/>
      <c r="D338" s="22"/>
      <c r="E338" s="24"/>
      <c r="F338" s="22"/>
      <c r="H338" s="21">
        <v>45884</v>
      </c>
      <c r="I338" s="22" t="s">
        <v>71</v>
      </c>
      <c r="J338" s="22" t="s">
        <v>51</v>
      </c>
      <c r="K338" s="24">
        <v>9</v>
      </c>
      <c r="M338" s="21">
        <v>45889</v>
      </c>
      <c r="N338" s="22" t="s">
        <v>71</v>
      </c>
      <c r="O338" s="22" t="s">
        <v>44</v>
      </c>
      <c r="P338" s="49">
        <v>67.7</v>
      </c>
      <c r="Q338" s="49">
        <v>67.599999999999994</v>
      </c>
      <c r="R338" s="50">
        <f t="shared" si="14"/>
        <v>0.10000000000000853</v>
      </c>
      <c r="T338" s="21">
        <v>45892</v>
      </c>
      <c r="U338" s="22" t="s">
        <v>44</v>
      </c>
      <c r="V338" s="24">
        <v>5</v>
      </c>
      <c r="W338" s="24">
        <v>4</v>
      </c>
      <c r="X338" s="24">
        <v>4</v>
      </c>
      <c r="Y338" s="24">
        <v>5</v>
      </c>
      <c r="Z338" s="20">
        <f t="shared" si="15"/>
        <v>18</v>
      </c>
    </row>
    <row r="339" spans="1:26" x14ac:dyDescent="0.2">
      <c r="A339" s="21"/>
      <c r="B339" s="51"/>
      <c r="C339" s="22"/>
      <c r="D339" s="22"/>
      <c r="E339" s="24"/>
      <c r="F339" s="22"/>
      <c r="H339" s="21">
        <v>45884</v>
      </c>
      <c r="I339" s="22" t="s">
        <v>71</v>
      </c>
      <c r="J339" s="22" t="s">
        <v>46</v>
      </c>
      <c r="K339" s="24">
        <v>10</v>
      </c>
      <c r="M339" s="21">
        <v>45889</v>
      </c>
      <c r="N339" s="22" t="s">
        <v>70</v>
      </c>
      <c r="O339" s="22" t="s">
        <v>45</v>
      </c>
      <c r="P339" s="49">
        <v>69.2</v>
      </c>
      <c r="Q339" s="49">
        <v>68.599999999999994</v>
      </c>
      <c r="R339" s="50">
        <f t="shared" si="14"/>
        <v>0.60000000000000853</v>
      </c>
      <c r="T339" s="21">
        <v>45892</v>
      </c>
      <c r="U339" s="22" t="s">
        <v>45</v>
      </c>
      <c r="V339" s="24">
        <v>4</v>
      </c>
      <c r="W339" s="24">
        <v>4</v>
      </c>
      <c r="X339" s="24">
        <v>4</v>
      </c>
      <c r="Y339" s="24">
        <v>5</v>
      </c>
      <c r="Z339" s="20">
        <f t="shared" si="15"/>
        <v>17</v>
      </c>
    </row>
    <row r="340" spans="1:26" x14ac:dyDescent="0.2">
      <c r="A340" s="21"/>
      <c r="B340" s="51"/>
      <c r="C340" s="22"/>
      <c r="D340" s="22"/>
      <c r="E340" s="24"/>
      <c r="F340" s="22"/>
      <c r="H340" s="21">
        <v>45884</v>
      </c>
      <c r="I340" s="22" t="s">
        <v>71</v>
      </c>
      <c r="J340" s="22" t="s">
        <v>48</v>
      </c>
      <c r="K340" s="24">
        <v>8</v>
      </c>
      <c r="M340" s="21">
        <v>45889</v>
      </c>
      <c r="N340" s="22" t="s">
        <v>71</v>
      </c>
      <c r="O340" s="22" t="s">
        <v>45</v>
      </c>
      <c r="P340" s="49">
        <v>69</v>
      </c>
      <c r="Q340" s="49">
        <v>68.5</v>
      </c>
      <c r="R340" s="50">
        <f t="shared" si="14"/>
        <v>0.5</v>
      </c>
      <c r="T340" s="21">
        <v>45892</v>
      </c>
      <c r="U340" s="22" t="s">
        <v>46</v>
      </c>
      <c r="V340" s="24">
        <v>5</v>
      </c>
      <c r="W340" s="24">
        <v>4</v>
      </c>
      <c r="X340" s="24">
        <v>4</v>
      </c>
      <c r="Y340" s="24">
        <v>4</v>
      </c>
      <c r="Z340" s="20">
        <f t="shared" si="15"/>
        <v>17</v>
      </c>
    </row>
    <row r="341" spans="1:26" x14ac:dyDescent="0.2">
      <c r="A341" s="21"/>
      <c r="B341" s="51"/>
      <c r="C341" s="22"/>
      <c r="D341" s="22"/>
      <c r="E341" s="24"/>
      <c r="F341" s="22"/>
      <c r="H341" s="21">
        <v>45884</v>
      </c>
      <c r="I341" s="22" t="s">
        <v>71</v>
      </c>
      <c r="J341" s="22" t="s">
        <v>56</v>
      </c>
      <c r="K341" s="24">
        <v>9</v>
      </c>
      <c r="M341" s="21">
        <v>45889</v>
      </c>
      <c r="N341" s="22" t="s">
        <v>70</v>
      </c>
      <c r="O341" s="22" t="s">
        <v>46</v>
      </c>
      <c r="P341" s="49">
        <v>79.8</v>
      </c>
      <c r="Q341" s="49">
        <v>79.3</v>
      </c>
      <c r="R341" s="50">
        <f t="shared" si="14"/>
        <v>0.5</v>
      </c>
      <c r="T341" s="21">
        <v>45892</v>
      </c>
      <c r="U341" s="22" t="s">
        <v>47</v>
      </c>
      <c r="V341" s="24">
        <v>4</v>
      </c>
      <c r="W341" s="24">
        <v>4</v>
      </c>
      <c r="X341" s="24">
        <v>5</v>
      </c>
      <c r="Y341" s="24">
        <v>5</v>
      </c>
      <c r="Z341" s="20">
        <f t="shared" si="15"/>
        <v>18</v>
      </c>
    </row>
    <row r="342" spans="1:26" x14ac:dyDescent="0.2">
      <c r="A342" s="21"/>
      <c r="B342" s="51"/>
      <c r="C342" s="22"/>
      <c r="D342" s="22"/>
      <c r="E342" s="24"/>
      <c r="F342" s="22"/>
      <c r="H342" s="21">
        <v>45887</v>
      </c>
      <c r="I342" s="22" t="s">
        <v>70</v>
      </c>
      <c r="J342" s="22" t="s">
        <v>52</v>
      </c>
      <c r="K342" s="24" t="s">
        <v>61</v>
      </c>
      <c r="M342" s="21">
        <v>45889</v>
      </c>
      <c r="N342" s="22" t="s">
        <v>71</v>
      </c>
      <c r="O342" s="22" t="s">
        <v>46</v>
      </c>
      <c r="P342" s="49">
        <v>79.8</v>
      </c>
      <c r="Q342" s="49">
        <v>79.599999999999994</v>
      </c>
      <c r="R342" s="50">
        <f t="shared" si="14"/>
        <v>0.20000000000000284</v>
      </c>
      <c r="T342" s="21">
        <v>45892</v>
      </c>
      <c r="U342" s="22" t="s">
        <v>48</v>
      </c>
      <c r="V342" s="24">
        <v>5</v>
      </c>
      <c r="W342" s="24">
        <v>4</v>
      </c>
      <c r="X342" s="24">
        <v>4</v>
      </c>
      <c r="Y342" s="24">
        <v>5</v>
      </c>
      <c r="Z342" s="20">
        <f t="shared" si="15"/>
        <v>18</v>
      </c>
    </row>
    <row r="343" spans="1:26" x14ac:dyDescent="0.2">
      <c r="A343" s="21"/>
      <c r="B343" s="51"/>
      <c r="C343" s="22"/>
      <c r="D343" s="22"/>
      <c r="E343" s="24"/>
      <c r="F343" s="22"/>
      <c r="H343" s="21">
        <v>45887</v>
      </c>
      <c r="I343" s="22" t="s">
        <v>70</v>
      </c>
      <c r="J343" s="22" t="s">
        <v>53</v>
      </c>
      <c r="K343" s="24">
        <v>6</v>
      </c>
      <c r="M343" s="21">
        <v>45889</v>
      </c>
      <c r="N343" s="22" t="s">
        <v>70</v>
      </c>
      <c r="O343" s="22" t="s">
        <v>47</v>
      </c>
      <c r="P343" s="49">
        <v>71.5</v>
      </c>
      <c r="Q343" s="49">
        <v>71</v>
      </c>
      <c r="R343" s="50">
        <f t="shared" si="14"/>
        <v>0.5</v>
      </c>
      <c r="T343" s="21">
        <v>45892</v>
      </c>
      <c r="U343" s="22" t="s">
        <v>49</v>
      </c>
      <c r="V343" s="24">
        <v>4</v>
      </c>
      <c r="W343" s="24">
        <v>4</v>
      </c>
      <c r="X343" s="24">
        <v>4</v>
      </c>
      <c r="Y343" s="24">
        <v>4</v>
      </c>
      <c r="Z343" s="20">
        <f t="shared" si="15"/>
        <v>16</v>
      </c>
    </row>
    <row r="344" spans="1:26" x14ac:dyDescent="0.2">
      <c r="A344" s="21"/>
      <c r="B344" s="51"/>
      <c r="C344" s="22"/>
      <c r="D344" s="22"/>
      <c r="E344" s="24"/>
      <c r="F344" s="22"/>
      <c r="H344" s="21">
        <v>45887</v>
      </c>
      <c r="I344" s="22" t="s">
        <v>70</v>
      </c>
      <c r="J344" s="22" t="s">
        <v>44</v>
      </c>
      <c r="K344" s="24">
        <v>7</v>
      </c>
      <c r="M344" s="21">
        <v>45889</v>
      </c>
      <c r="N344" s="22" t="s">
        <v>71</v>
      </c>
      <c r="O344" s="22" t="s">
        <v>47</v>
      </c>
      <c r="P344" s="49">
        <v>71.400000000000006</v>
      </c>
      <c r="Q344" s="49">
        <v>71.900000000000006</v>
      </c>
      <c r="R344" s="50">
        <f t="shared" si="14"/>
        <v>-0.5</v>
      </c>
      <c r="T344" s="21">
        <v>45892</v>
      </c>
      <c r="U344" s="22" t="s">
        <v>50</v>
      </c>
      <c r="V344" s="24">
        <v>5</v>
      </c>
      <c r="W344" s="24">
        <v>4</v>
      </c>
      <c r="X344" s="24">
        <v>4</v>
      </c>
      <c r="Y344" s="24">
        <v>5</v>
      </c>
      <c r="Z344" s="20">
        <f t="shared" si="15"/>
        <v>18</v>
      </c>
    </row>
    <row r="345" spans="1:26" x14ac:dyDescent="0.2">
      <c r="A345" s="21"/>
      <c r="B345" s="51"/>
      <c r="C345" s="22"/>
      <c r="D345" s="22"/>
      <c r="E345" s="24"/>
      <c r="F345" s="22"/>
      <c r="H345" s="21">
        <v>45887</v>
      </c>
      <c r="I345" s="22" t="s">
        <v>70</v>
      </c>
      <c r="J345" s="22" t="s">
        <v>45</v>
      </c>
      <c r="K345" s="24">
        <v>7</v>
      </c>
      <c r="M345" s="21">
        <v>45889</v>
      </c>
      <c r="N345" s="22" t="s">
        <v>70</v>
      </c>
      <c r="O345" s="22" t="s">
        <v>48</v>
      </c>
      <c r="P345" s="49">
        <v>81.400000000000006</v>
      </c>
      <c r="Q345" s="49">
        <v>81</v>
      </c>
      <c r="R345" s="50">
        <f t="shared" si="14"/>
        <v>0.40000000000000568</v>
      </c>
      <c r="T345" s="21">
        <v>45892</v>
      </c>
      <c r="U345" s="22" t="s">
        <v>51</v>
      </c>
      <c r="V345" s="24">
        <v>5</v>
      </c>
      <c r="W345" s="24">
        <v>5</v>
      </c>
      <c r="X345" s="24">
        <v>5</v>
      </c>
      <c r="Y345" s="24">
        <v>5</v>
      </c>
      <c r="Z345" s="20">
        <f t="shared" si="15"/>
        <v>20</v>
      </c>
    </row>
    <row r="346" spans="1:26" x14ac:dyDescent="0.2">
      <c r="A346" s="21"/>
      <c r="B346" s="51"/>
      <c r="C346" s="22"/>
      <c r="D346" s="22"/>
      <c r="E346" s="24"/>
      <c r="F346" s="22"/>
      <c r="H346" s="21">
        <v>45887</v>
      </c>
      <c r="I346" s="22" t="s">
        <v>70</v>
      </c>
      <c r="J346" s="22" t="s">
        <v>57</v>
      </c>
      <c r="K346" s="24">
        <v>7</v>
      </c>
      <c r="M346" s="21">
        <v>45889</v>
      </c>
      <c r="N346" s="22" t="s">
        <v>71</v>
      </c>
      <c r="O346" s="22" t="s">
        <v>48</v>
      </c>
      <c r="P346" s="49">
        <v>82.5</v>
      </c>
      <c r="Q346" s="49">
        <v>81.400000000000006</v>
      </c>
      <c r="R346" s="50">
        <f t="shared" si="14"/>
        <v>1.0999999999999943</v>
      </c>
      <c r="T346" s="21">
        <v>45892</v>
      </c>
      <c r="U346" s="22" t="s">
        <v>53</v>
      </c>
      <c r="V346" s="24">
        <v>3</v>
      </c>
      <c r="W346" s="24">
        <v>4</v>
      </c>
      <c r="X346" s="24">
        <v>4</v>
      </c>
      <c r="Y346" s="24">
        <v>5</v>
      </c>
      <c r="Z346" s="20">
        <f t="shared" si="15"/>
        <v>16</v>
      </c>
    </row>
    <row r="347" spans="1:26" x14ac:dyDescent="0.2">
      <c r="A347" s="21"/>
      <c r="B347" s="51"/>
      <c r="C347" s="22"/>
      <c r="D347" s="22"/>
      <c r="E347" s="24"/>
      <c r="F347" s="22"/>
      <c r="H347" s="21">
        <v>45887</v>
      </c>
      <c r="I347" s="22" t="s">
        <v>70</v>
      </c>
      <c r="J347" s="22" t="s">
        <v>42</v>
      </c>
      <c r="K347" s="24">
        <v>5</v>
      </c>
      <c r="M347" s="21">
        <v>45889</v>
      </c>
      <c r="N347" s="22" t="s">
        <v>70</v>
      </c>
      <c r="O347" s="22" t="s">
        <v>49</v>
      </c>
      <c r="P347" s="49">
        <v>79.7</v>
      </c>
      <c r="Q347" s="49">
        <v>79</v>
      </c>
      <c r="R347" s="50">
        <f t="shared" si="14"/>
        <v>0.70000000000000284</v>
      </c>
      <c r="T347" s="21">
        <v>45892</v>
      </c>
      <c r="U347" s="22" t="s">
        <v>54</v>
      </c>
      <c r="V347" s="24">
        <v>4</v>
      </c>
      <c r="W347" s="24">
        <v>4</v>
      </c>
      <c r="X347" s="24">
        <v>4</v>
      </c>
      <c r="Y347" s="24">
        <v>5</v>
      </c>
      <c r="Z347" s="20">
        <f t="shared" si="15"/>
        <v>17</v>
      </c>
    </row>
    <row r="348" spans="1:26" x14ac:dyDescent="0.2">
      <c r="A348" s="21"/>
      <c r="B348" s="51"/>
      <c r="C348" s="22"/>
      <c r="D348" s="22"/>
      <c r="E348" s="24"/>
      <c r="F348" s="22"/>
      <c r="H348" s="21">
        <v>45887</v>
      </c>
      <c r="I348" s="22" t="s">
        <v>70</v>
      </c>
      <c r="J348" s="22" t="s">
        <v>54</v>
      </c>
      <c r="K348" s="24">
        <v>7</v>
      </c>
      <c r="M348" s="21">
        <v>45889</v>
      </c>
      <c r="N348" s="22" t="s">
        <v>71</v>
      </c>
      <c r="O348" s="22" t="s">
        <v>49</v>
      </c>
      <c r="P348" s="49">
        <v>79.400000000000006</v>
      </c>
      <c r="Q348" s="49">
        <v>80.2</v>
      </c>
      <c r="R348" s="50">
        <f t="shared" si="14"/>
        <v>-0.79999999999999716</v>
      </c>
      <c r="T348" s="21">
        <v>45892</v>
      </c>
      <c r="U348" s="22" t="s">
        <v>56</v>
      </c>
      <c r="V348" s="24">
        <v>4</v>
      </c>
      <c r="W348" s="24">
        <v>4</v>
      </c>
      <c r="X348" s="24">
        <v>4</v>
      </c>
      <c r="Y348" s="24">
        <v>5</v>
      </c>
      <c r="Z348" s="20">
        <f t="shared" si="15"/>
        <v>17</v>
      </c>
    </row>
    <row r="349" spans="1:26" x14ac:dyDescent="0.2">
      <c r="A349" s="21"/>
      <c r="B349" s="51"/>
      <c r="C349" s="22"/>
      <c r="D349" s="22"/>
      <c r="E349" s="24"/>
      <c r="F349" s="22"/>
      <c r="H349" s="21">
        <v>45887</v>
      </c>
      <c r="I349" s="22" t="s">
        <v>70</v>
      </c>
      <c r="J349" s="22" t="s">
        <v>47</v>
      </c>
      <c r="K349" s="24">
        <v>7</v>
      </c>
      <c r="M349" s="21">
        <v>45889</v>
      </c>
      <c r="N349" s="22" t="s">
        <v>70</v>
      </c>
      <c r="O349" s="22" t="s">
        <v>50</v>
      </c>
      <c r="P349" s="49">
        <v>71</v>
      </c>
      <c r="Q349" s="49">
        <v>70.3</v>
      </c>
      <c r="R349" s="50">
        <f t="shared" si="14"/>
        <v>0.70000000000000284</v>
      </c>
      <c r="T349" s="21">
        <v>45892</v>
      </c>
      <c r="U349" s="22" t="s">
        <v>57</v>
      </c>
      <c r="V349" s="24">
        <v>5</v>
      </c>
      <c r="W349" s="24">
        <v>4</v>
      </c>
      <c r="X349" s="24">
        <v>4</v>
      </c>
      <c r="Y349" s="24">
        <v>5</v>
      </c>
      <c r="Z349" s="20">
        <f t="shared" si="15"/>
        <v>18</v>
      </c>
    </row>
    <row r="350" spans="1:26" x14ac:dyDescent="0.2">
      <c r="A350" s="21"/>
      <c r="B350" s="51"/>
      <c r="C350" s="22"/>
      <c r="D350" s="22"/>
      <c r="E350" s="24"/>
      <c r="F350" s="22"/>
      <c r="H350" s="21">
        <v>45887</v>
      </c>
      <c r="I350" s="22" t="s">
        <v>70</v>
      </c>
      <c r="J350" s="22" t="s">
        <v>41</v>
      </c>
      <c r="K350" s="24">
        <v>7</v>
      </c>
      <c r="M350" s="21">
        <v>45889</v>
      </c>
      <c r="N350" s="22" t="s">
        <v>71</v>
      </c>
      <c r="O350" s="22" t="s">
        <v>50</v>
      </c>
      <c r="P350" s="49">
        <v>71.3</v>
      </c>
      <c r="Q350" s="49">
        <v>71.099999999999994</v>
      </c>
      <c r="R350" s="50">
        <f t="shared" si="14"/>
        <v>0.20000000000000284</v>
      </c>
      <c r="T350" s="21">
        <v>45892</v>
      </c>
      <c r="U350" s="22" t="s">
        <v>58</v>
      </c>
      <c r="V350" s="24">
        <v>4</v>
      </c>
      <c r="W350" s="24">
        <v>4</v>
      </c>
      <c r="X350" s="24">
        <v>4</v>
      </c>
      <c r="Y350" s="24">
        <v>5</v>
      </c>
      <c r="Z350" s="20">
        <f t="shared" si="15"/>
        <v>17</v>
      </c>
    </row>
    <row r="351" spans="1:26" x14ac:dyDescent="0.2">
      <c r="A351" s="21"/>
      <c r="B351" s="51"/>
      <c r="C351" s="22"/>
      <c r="D351" s="22"/>
      <c r="E351" s="24"/>
      <c r="F351" s="22"/>
      <c r="H351" s="21">
        <v>45887</v>
      </c>
      <c r="I351" s="22" t="s">
        <v>70</v>
      </c>
      <c r="J351" s="22" t="s">
        <v>58</v>
      </c>
      <c r="K351" s="24">
        <v>7</v>
      </c>
      <c r="M351" s="21">
        <v>45889</v>
      </c>
      <c r="N351" s="22" t="s">
        <v>70</v>
      </c>
      <c r="O351" s="22" t="s">
        <v>51</v>
      </c>
      <c r="P351" s="49">
        <v>75.099999999999994</v>
      </c>
      <c r="Q351" s="49">
        <v>74.5</v>
      </c>
      <c r="R351" s="50">
        <f t="shared" si="14"/>
        <v>0.59999999999999432</v>
      </c>
      <c r="T351" s="21">
        <v>45892</v>
      </c>
      <c r="U351" s="22" t="s">
        <v>33</v>
      </c>
      <c r="V351" s="24">
        <v>4.2</v>
      </c>
      <c r="W351" s="24">
        <v>3.8666666666666698</v>
      </c>
      <c r="X351" s="24">
        <v>4</v>
      </c>
      <c r="Y351" s="24">
        <v>4.6666666666666696</v>
      </c>
      <c r="Z351" s="20">
        <f t="shared" si="15"/>
        <v>16.733333333333341</v>
      </c>
    </row>
    <row r="352" spans="1:26" x14ac:dyDescent="0.2">
      <c r="A352" s="21"/>
      <c r="B352" s="51"/>
      <c r="C352" s="22"/>
      <c r="D352" s="22"/>
      <c r="E352" s="24"/>
      <c r="F352" s="22"/>
      <c r="H352" s="21">
        <v>45887</v>
      </c>
      <c r="I352" s="22" t="s">
        <v>70</v>
      </c>
      <c r="J352" s="22" t="s">
        <v>49</v>
      </c>
      <c r="K352" s="24">
        <v>7</v>
      </c>
      <c r="M352" s="21">
        <v>45889</v>
      </c>
      <c r="N352" s="22" t="s">
        <v>71</v>
      </c>
      <c r="O352" s="22" t="s">
        <v>51</v>
      </c>
      <c r="P352" s="49">
        <v>75.400000000000006</v>
      </c>
      <c r="Q352" s="49">
        <v>75.099999999999994</v>
      </c>
      <c r="R352" s="50">
        <f t="shared" si="14"/>
        <v>0.30000000000001137</v>
      </c>
      <c r="T352" s="21">
        <v>45893</v>
      </c>
      <c r="U352" s="22" t="s">
        <v>41</v>
      </c>
      <c r="V352" s="24">
        <v>2</v>
      </c>
      <c r="W352" s="24">
        <v>1</v>
      </c>
      <c r="X352" s="24">
        <v>2</v>
      </c>
      <c r="Y352" s="24">
        <v>2</v>
      </c>
      <c r="Z352" s="20">
        <f t="shared" si="15"/>
        <v>7</v>
      </c>
    </row>
    <row r="353" spans="1:26" x14ac:dyDescent="0.2">
      <c r="A353" s="21"/>
      <c r="B353" s="51"/>
      <c r="C353" s="22"/>
      <c r="D353" s="22"/>
      <c r="E353" s="24"/>
      <c r="F353" s="22"/>
      <c r="H353" s="21">
        <v>45887</v>
      </c>
      <c r="I353" s="22" t="s">
        <v>70</v>
      </c>
      <c r="J353" s="22" t="s">
        <v>43</v>
      </c>
      <c r="K353" s="24">
        <v>5</v>
      </c>
      <c r="M353" s="21">
        <v>45889</v>
      </c>
      <c r="N353" s="22" t="s">
        <v>71</v>
      </c>
      <c r="O353" s="22" t="s">
        <v>52</v>
      </c>
      <c r="P353" s="49">
        <v>70.8</v>
      </c>
      <c r="Q353" s="49">
        <v>70.8</v>
      </c>
      <c r="R353" s="50">
        <f t="shared" si="14"/>
        <v>0</v>
      </c>
      <c r="T353" s="21">
        <v>45893</v>
      </c>
      <c r="U353" s="22" t="s">
        <v>42</v>
      </c>
      <c r="V353" s="24">
        <v>4</v>
      </c>
      <c r="W353" s="24">
        <v>4</v>
      </c>
      <c r="X353" s="24">
        <v>4</v>
      </c>
      <c r="Y353" s="24">
        <v>5</v>
      </c>
      <c r="Z353" s="20">
        <f t="shared" si="15"/>
        <v>17</v>
      </c>
    </row>
    <row r="354" spans="1:26" x14ac:dyDescent="0.2">
      <c r="A354" s="21"/>
      <c r="B354" s="51"/>
      <c r="C354" s="22"/>
      <c r="D354" s="22"/>
      <c r="E354" s="24"/>
      <c r="F354" s="22"/>
      <c r="H354" s="21">
        <v>45887</v>
      </c>
      <c r="I354" s="22" t="s">
        <v>70</v>
      </c>
      <c r="J354" s="22" t="s">
        <v>50</v>
      </c>
      <c r="K354" s="24">
        <v>5</v>
      </c>
      <c r="M354" s="21">
        <v>45889</v>
      </c>
      <c r="N354" s="22" t="s">
        <v>70</v>
      </c>
      <c r="O354" s="22" t="s">
        <v>53</v>
      </c>
      <c r="P354" s="49">
        <v>67.8</v>
      </c>
      <c r="Q354" s="49">
        <v>67.2</v>
      </c>
      <c r="R354" s="50">
        <f t="shared" si="14"/>
        <v>0.59999999999999432</v>
      </c>
      <c r="T354" s="21">
        <v>45893</v>
      </c>
      <c r="U354" s="22" t="s">
        <v>44</v>
      </c>
      <c r="V354" s="24">
        <v>5</v>
      </c>
      <c r="W354" s="24">
        <v>4</v>
      </c>
      <c r="X354" s="24">
        <v>4</v>
      </c>
      <c r="Y354" s="24">
        <v>5</v>
      </c>
      <c r="Z354" s="20">
        <f t="shared" si="15"/>
        <v>18</v>
      </c>
    </row>
    <row r="355" spans="1:26" x14ac:dyDescent="0.2">
      <c r="A355" s="21"/>
      <c r="B355" s="51"/>
      <c r="C355" s="22"/>
      <c r="D355" s="22"/>
      <c r="E355" s="24"/>
      <c r="F355" s="22"/>
      <c r="H355" s="21">
        <v>45887</v>
      </c>
      <c r="I355" s="22" t="s">
        <v>70</v>
      </c>
      <c r="J355" s="22" t="s">
        <v>51</v>
      </c>
      <c r="K355" s="24">
        <v>7</v>
      </c>
      <c r="M355" s="21">
        <v>45889</v>
      </c>
      <c r="N355" s="22" t="s">
        <v>71</v>
      </c>
      <c r="O355" s="22" t="s">
        <v>53</v>
      </c>
      <c r="P355" s="49">
        <v>67.7</v>
      </c>
      <c r="Q355" s="49">
        <v>66.7</v>
      </c>
      <c r="R355" s="50">
        <f t="shared" si="14"/>
        <v>1</v>
      </c>
      <c r="T355" s="21">
        <v>45893</v>
      </c>
      <c r="U355" s="22" t="s">
        <v>45</v>
      </c>
      <c r="V355" s="24">
        <v>4</v>
      </c>
      <c r="W355" s="24">
        <v>4</v>
      </c>
      <c r="X355" s="24">
        <v>4</v>
      </c>
      <c r="Y355" s="24">
        <v>5</v>
      </c>
      <c r="Z355" s="20">
        <f t="shared" si="15"/>
        <v>17</v>
      </c>
    </row>
    <row r="356" spans="1:26" x14ac:dyDescent="0.2">
      <c r="A356" s="21"/>
      <c r="B356" s="51"/>
      <c r="C356" s="22"/>
      <c r="D356" s="22"/>
      <c r="E356" s="24"/>
      <c r="F356" s="22"/>
      <c r="H356" s="21">
        <v>45887</v>
      </c>
      <c r="I356" s="22" t="s">
        <v>70</v>
      </c>
      <c r="J356" s="22" t="s">
        <v>46</v>
      </c>
      <c r="K356" s="24">
        <v>7</v>
      </c>
      <c r="M356" s="21">
        <v>45889</v>
      </c>
      <c r="N356" s="22" t="s">
        <v>70</v>
      </c>
      <c r="O356" s="22" t="s">
        <v>54</v>
      </c>
      <c r="P356" s="49">
        <v>85.4</v>
      </c>
      <c r="Q356" s="49">
        <v>85.2</v>
      </c>
      <c r="R356" s="50">
        <f t="shared" si="14"/>
        <v>0.20000000000000284</v>
      </c>
      <c r="T356" s="21">
        <v>45893</v>
      </c>
      <c r="U356" s="22" t="s">
        <v>46</v>
      </c>
      <c r="V356" s="24">
        <v>5</v>
      </c>
      <c r="W356" s="24">
        <v>4</v>
      </c>
      <c r="X356" s="24">
        <v>4</v>
      </c>
      <c r="Y356" s="24">
        <v>4</v>
      </c>
      <c r="Z356" s="20">
        <f t="shared" si="15"/>
        <v>17</v>
      </c>
    </row>
    <row r="357" spans="1:26" x14ac:dyDescent="0.2">
      <c r="A357" s="21"/>
      <c r="B357" s="51"/>
      <c r="C357" s="22"/>
      <c r="D357" s="22"/>
      <c r="E357" s="24"/>
      <c r="F357" s="22"/>
      <c r="H357" s="21">
        <v>45887</v>
      </c>
      <c r="I357" s="22" t="s">
        <v>70</v>
      </c>
      <c r="J357" s="22" t="s">
        <v>48</v>
      </c>
      <c r="K357" s="24">
        <v>6</v>
      </c>
      <c r="M357" s="21">
        <v>45889</v>
      </c>
      <c r="N357" s="22" t="s">
        <v>71</v>
      </c>
      <c r="O357" s="22" t="s">
        <v>54</v>
      </c>
      <c r="P357" s="49">
        <v>85.2</v>
      </c>
      <c r="Q357" s="49">
        <v>85.1</v>
      </c>
      <c r="R357" s="50">
        <f t="shared" si="14"/>
        <v>0.10000000000000853</v>
      </c>
      <c r="T357" s="21">
        <v>45893</v>
      </c>
      <c r="U357" s="22" t="s">
        <v>47</v>
      </c>
      <c r="V357" s="24">
        <v>4</v>
      </c>
      <c r="W357" s="24">
        <v>4</v>
      </c>
      <c r="X357" s="24">
        <v>4</v>
      </c>
      <c r="Y357" s="24">
        <v>5</v>
      </c>
      <c r="Z357" s="20">
        <f t="shared" si="15"/>
        <v>17</v>
      </c>
    </row>
    <row r="358" spans="1:26" x14ac:dyDescent="0.2">
      <c r="A358" s="21"/>
      <c r="B358" s="51"/>
      <c r="C358" s="22"/>
      <c r="D358" s="22"/>
      <c r="E358" s="24"/>
      <c r="F358" s="22"/>
      <c r="H358" s="21">
        <v>45887</v>
      </c>
      <c r="I358" s="22" t="s">
        <v>70</v>
      </c>
      <c r="J358" s="22" t="s">
        <v>56</v>
      </c>
      <c r="K358" s="24">
        <v>6</v>
      </c>
      <c r="M358" s="21">
        <v>45889</v>
      </c>
      <c r="N358" s="22" t="s">
        <v>70</v>
      </c>
      <c r="O358" s="22" t="s">
        <v>56</v>
      </c>
      <c r="P358" s="49">
        <v>75.099999999999994</v>
      </c>
      <c r="Q358" s="49">
        <v>75.099999999999994</v>
      </c>
      <c r="R358" s="50">
        <f t="shared" si="14"/>
        <v>0</v>
      </c>
      <c r="T358" s="21">
        <v>45893</v>
      </c>
      <c r="U358" s="22" t="s">
        <v>48</v>
      </c>
      <c r="V358" s="24">
        <v>5</v>
      </c>
      <c r="W358" s="24">
        <v>3</v>
      </c>
      <c r="X358" s="24">
        <v>4</v>
      </c>
      <c r="Y358" s="24">
        <v>5</v>
      </c>
      <c r="Z358" s="20">
        <f t="shared" si="15"/>
        <v>17</v>
      </c>
    </row>
    <row r="359" spans="1:26" x14ac:dyDescent="0.2">
      <c r="A359" s="21"/>
      <c r="B359" s="51"/>
      <c r="C359" s="22"/>
      <c r="D359" s="22"/>
      <c r="E359" s="24"/>
      <c r="F359" s="22"/>
      <c r="H359" s="21">
        <v>45887</v>
      </c>
      <c r="I359" s="22" t="s">
        <v>71</v>
      </c>
      <c r="J359" s="22" t="s">
        <v>52</v>
      </c>
      <c r="K359" s="24" t="s">
        <v>61</v>
      </c>
      <c r="M359" s="21">
        <v>45889</v>
      </c>
      <c r="N359" s="22" t="s">
        <v>71</v>
      </c>
      <c r="O359" s="22" t="s">
        <v>56</v>
      </c>
      <c r="P359" s="49">
        <v>75.5</v>
      </c>
      <c r="Q359" s="49">
        <v>75.3</v>
      </c>
      <c r="R359" s="50">
        <f t="shared" si="14"/>
        <v>0.20000000000000284</v>
      </c>
      <c r="T359" s="21">
        <v>45893</v>
      </c>
      <c r="U359" s="22" t="s">
        <v>49</v>
      </c>
      <c r="V359" s="24">
        <v>4</v>
      </c>
      <c r="W359" s="24">
        <v>4</v>
      </c>
      <c r="X359" s="24">
        <v>4</v>
      </c>
      <c r="Y359" s="24">
        <v>4</v>
      </c>
      <c r="Z359" s="20">
        <f t="shared" si="15"/>
        <v>16</v>
      </c>
    </row>
    <row r="360" spans="1:26" x14ac:dyDescent="0.2">
      <c r="A360" s="21"/>
      <c r="B360" s="51"/>
      <c r="C360" s="22"/>
      <c r="D360" s="22"/>
      <c r="E360" s="24"/>
      <c r="F360" s="22"/>
      <c r="H360" s="21">
        <v>45887</v>
      </c>
      <c r="I360" s="22" t="s">
        <v>71</v>
      </c>
      <c r="J360" s="22" t="s">
        <v>53</v>
      </c>
      <c r="K360" s="24">
        <v>7</v>
      </c>
      <c r="M360" s="21">
        <v>45889</v>
      </c>
      <c r="N360" s="22" t="s">
        <v>70</v>
      </c>
      <c r="O360" s="22" t="s">
        <v>57</v>
      </c>
      <c r="P360" s="49">
        <v>93.6</v>
      </c>
      <c r="Q360" s="49">
        <v>92.6</v>
      </c>
      <c r="R360" s="50">
        <f t="shared" si="14"/>
        <v>1</v>
      </c>
      <c r="T360" s="21">
        <v>45893</v>
      </c>
      <c r="U360" s="22" t="s">
        <v>50</v>
      </c>
      <c r="V360" s="24">
        <v>4</v>
      </c>
      <c r="W360" s="24">
        <v>4</v>
      </c>
      <c r="X360" s="24">
        <v>4</v>
      </c>
      <c r="Y360" s="24">
        <v>5</v>
      </c>
      <c r="Z360" s="20">
        <f t="shared" si="15"/>
        <v>17</v>
      </c>
    </row>
    <row r="361" spans="1:26" x14ac:dyDescent="0.2">
      <c r="A361" s="21"/>
      <c r="B361" s="51"/>
      <c r="C361" s="22"/>
      <c r="D361" s="22"/>
      <c r="E361" s="24"/>
      <c r="F361" s="22"/>
      <c r="H361" s="21">
        <v>45887</v>
      </c>
      <c r="I361" s="22" t="s">
        <v>71</v>
      </c>
      <c r="J361" s="22" t="s">
        <v>44</v>
      </c>
      <c r="K361" s="24">
        <v>7</v>
      </c>
      <c r="M361" s="21">
        <v>45889</v>
      </c>
      <c r="N361" s="22" t="s">
        <v>71</v>
      </c>
      <c r="O361" s="22" t="s">
        <v>57</v>
      </c>
      <c r="P361" s="49">
        <v>93.8</v>
      </c>
      <c r="Q361" s="49">
        <v>92.9</v>
      </c>
      <c r="R361" s="50">
        <f t="shared" si="14"/>
        <v>0.89999999999999147</v>
      </c>
      <c r="T361" s="21">
        <v>45893</v>
      </c>
      <c r="U361" s="22" t="s">
        <v>51</v>
      </c>
      <c r="V361" s="24">
        <v>5</v>
      </c>
      <c r="W361" s="24">
        <v>4</v>
      </c>
      <c r="X361" s="24">
        <v>4</v>
      </c>
      <c r="Y361" s="24">
        <v>5</v>
      </c>
      <c r="Z361" s="20">
        <f t="shared" si="15"/>
        <v>18</v>
      </c>
    </row>
    <row r="362" spans="1:26" x14ac:dyDescent="0.2">
      <c r="A362" s="21"/>
      <c r="B362" s="51"/>
      <c r="C362" s="22"/>
      <c r="D362" s="22"/>
      <c r="E362" s="24"/>
      <c r="F362" s="22"/>
      <c r="H362" s="21">
        <v>45887</v>
      </c>
      <c r="I362" s="22" t="s">
        <v>71</v>
      </c>
      <c r="J362" s="22" t="s">
        <v>45</v>
      </c>
      <c r="K362" s="24">
        <v>6</v>
      </c>
      <c r="M362" s="21">
        <v>45889</v>
      </c>
      <c r="N362" s="22" t="s">
        <v>70</v>
      </c>
      <c r="O362" s="22" t="s">
        <v>58</v>
      </c>
      <c r="P362" s="49">
        <v>75.7</v>
      </c>
      <c r="Q362" s="49">
        <v>74.8</v>
      </c>
      <c r="R362" s="50">
        <f t="shared" si="14"/>
        <v>0.90000000000000568</v>
      </c>
      <c r="T362" s="21">
        <v>45893</v>
      </c>
      <c r="U362" s="22" t="s">
        <v>53</v>
      </c>
      <c r="V362" s="24">
        <v>4</v>
      </c>
      <c r="W362" s="24">
        <v>3</v>
      </c>
      <c r="X362" s="24">
        <v>5</v>
      </c>
      <c r="Y362" s="24">
        <v>5</v>
      </c>
      <c r="Z362" s="20">
        <f t="shared" si="15"/>
        <v>17</v>
      </c>
    </row>
    <row r="363" spans="1:26" x14ac:dyDescent="0.2">
      <c r="A363" s="21"/>
      <c r="B363" s="51"/>
      <c r="C363" s="22"/>
      <c r="D363" s="22"/>
      <c r="E363" s="24"/>
      <c r="F363" s="22"/>
      <c r="H363" s="21">
        <v>45887</v>
      </c>
      <c r="I363" s="22" t="s">
        <v>71</v>
      </c>
      <c r="J363" s="22" t="s">
        <v>57</v>
      </c>
      <c r="K363" s="24">
        <v>5</v>
      </c>
      <c r="M363" s="21">
        <v>45889</v>
      </c>
      <c r="N363" s="22" t="s">
        <v>71</v>
      </c>
      <c r="O363" s="22" t="s">
        <v>58</v>
      </c>
      <c r="P363" s="49">
        <v>76</v>
      </c>
      <c r="Q363" s="49">
        <v>75.5</v>
      </c>
      <c r="R363" s="50">
        <f t="shared" si="14"/>
        <v>0.5</v>
      </c>
      <c r="T363" s="21">
        <v>45893</v>
      </c>
      <c r="U363" s="22" t="s">
        <v>54</v>
      </c>
      <c r="V363" s="24">
        <v>5</v>
      </c>
      <c r="W363" s="24">
        <v>4</v>
      </c>
      <c r="X363" s="24">
        <v>4</v>
      </c>
      <c r="Y363" s="24">
        <v>3</v>
      </c>
      <c r="Z363" s="20">
        <f t="shared" si="15"/>
        <v>16</v>
      </c>
    </row>
    <row r="364" spans="1:26" x14ac:dyDescent="0.2">
      <c r="A364" s="21"/>
      <c r="B364" s="51"/>
      <c r="C364" s="22"/>
      <c r="D364" s="22"/>
      <c r="E364" s="24"/>
      <c r="F364" s="22"/>
      <c r="H364" s="21">
        <v>45887</v>
      </c>
      <c r="I364" s="22" t="s">
        <v>71</v>
      </c>
      <c r="J364" s="22" t="s">
        <v>42</v>
      </c>
      <c r="K364" s="24">
        <v>4</v>
      </c>
      <c r="M364" s="21">
        <v>45890</v>
      </c>
      <c r="N364" s="22" t="s">
        <v>70</v>
      </c>
      <c r="O364" s="22" t="s">
        <v>41</v>
      </c>
      <c r="P364" s="49">
        <v>76.7</v>
      </c>
      <c r="Q364" s="49">
        <v>76</v>
      </c>
      <c r="R364" s="50">
        <f t="shared" si="14"/>
        <v>0.70000000000000284</v>
      </c>
      <c r="T364" s="21">
        <v>45893</v>
      </c>
      <c r="U364" s="22" t="s">
        <v>56</v>
      </c>
      <c r="V364" s="24">
        <v>5</v>
      </c>
      <c r="W364" s="24">
        <v>4</v>
      </c>
      <c r="X364" s="24">
        <v>4</v>
      </c>
      <c r="Y364" s="24">
        <v>5</v>
      </c>
      <c r="Z364" s="20">
        <f t="shared" si="15"/>
        <v>18</v>
      </c>
    </row>
    <row r="365" spans="1:26" x14ac:dyDescent="0.2">
      <c r="A365" s="21"/>
      <c r="B365" s="51"/>
      <c r="C365" s="22"/>
      <c r="D365" s="22"/>
      <c r="E365" s="24"/>
      <c r="F365" s="22"/>
      <c r="H365" s="21">
        <v>45887</v>
      </c>
      <c r="I365" s="22" t="s">
        <v>71</v>
      </c>
      <c r="J365" s="22" t="s">
        <v>54</v>
      </c>
      <c r="K365" s="24">
        <v>6</v>
      </c>
      <c r="M365" s="21">
        <v>45890</v>
      </c>
      <c r="N365" s="22" t="s">
        <v>70</v>
      </c>
      <c r="O365" s="22" t="s">
        <v>42</v>
      </c>
      <c r="P365" s="49">
        <v>79.599999999999994</v>
      </c>
      <c r="Q365" s="49">
        <v>79</v>
      </c>
      <c r="R365" s="50">
        <f t="shared" si="14"/>
        <v>0.59999999999999432</v>
      </c>
      <c r="T365" s="21">
        <v>45893</v>
      </c>
      <c r="U365" s="22" t="s">
        <v>57</v>
      </c>
      <c r="V365" s="24">
        <v>4</v>
      </c>
      <c r="W365" s="24">
        <v>4</v>
      </c>
      <c r="X365" s="24">
        <v>4</v>
      </c>
      <c r="Y365" s="24">
        <v>5</v>
      </c>
      <c r="Z365" s="20">
        <f t="shared" si="15"/>
        <v>17</v>
      </c>
    </row>
    <row r="366" spans="1:26" x14ac:dyDescent="0.2">
      <c r="A366" s="21"/>
      <c r="B366" s="51"/>
      <c r="C366" s="22"/>
      <c r="D366" s="22"/>
      <c r="E366" s="24"/>
      <c r="F366" s="22"/>
      <c r="H366" s="21">
        <v>45887</v>
      </c>
      <c r="I366" s="22" t="s">
        <v>71</v>
      </c>
      <c r="J366" s="22" t="s">
        <v>47</v>
      </c>
      <c r="K366" s="24">
        <v>6</v>
      </c>
      <c r="M366" s="21">
        <v>45890</v>
      </c>
      <c r="N366" s="22" t="s">
        <v>70</v>
      </c>
      <c r="O366" s="22" t="s">
        <v>44</v>
      </c>
      <c r="P366" s="49">
        <v>68.2</v>
      </c>
      <c r="Q366" s="49">
        <v>68</v>
      </c>
      <c r="R366" s="50">
        <f t="shared" si="14"/>
        <v>0.20000000000000284</v>
      </c>
      <c r="T366" s="21">
        <v>45893</v>
      </c>
      <c r="U366" s="22" t="s">
        <v>58</v>
      </c>
      <c r="V366" s="24">
        <v>4</v>
      </c>
      <c r="W366" s="24">
        <v>4</v>
      </c>
      <c r="X366" s="24">
        <v>3</v>
      </c>
      <c r="Y366" s="24">
        <v>5</v>
      </c>
      <c r="Z366" s="20">
        <f t="shared" si="15"/>
        <v>16</v>
      </c>
    </row>
    <row r="367" spans="1:26" x14ac:dyDescent="0.2">
      <c r="A367" s="21"/>
      <c r="B367" s="51"/>
      <c r="C367" s="22"/>
      <c r="D367" s="22"/>
      <c r="E367" s="24"/>
      <c r="F367" s="22"/>
      <c r="H367" s="21">
        <v>45887</v>
      </c>
      <c r="I367" s="22" t="s">
        <v>71</v>
      </c>
      <c r="J367" s="22" t="s">
        <v>41</v>
      </c>
      <c r="K367" s="24">
        <v>4</v>
      </c>
      <c r="M367" s="21">
        <v>45890</v>
      </c>
      <c r="N367" s="22" t="s">
        <v>70</v>
      </c>
      <c r="O367" s="22" t="s">
        <v>45</v>
      </c>
      <c r="P367" s="49">
        <v>69.2</v>
      </c>
      <c r="Q367" s="49">
        <v>68.5</v>
      </c>
      <c r="R367" s="50">
        <f t="shared" si="14"/>
        <v>0.70000000000000284</v>
      </c>
      <c r="T367" s="21">
        <v>45893</v>
      </c>
      <c r="U367" s="22" t="s">
        <v>33</v>
      </c>
      <c r="V367" s="24">
        <v>4.2666666666666702</v>
      </c>
      <c r="W367" s="24">
        <v>3.6666666666666701</v>
      </c>
      <c r="X367" s="24">
        <v>3.8666666666666698</v>
      </c>
      <c r="Y367" s="24">
        <v>4.5333333333333297</v>
      </c>
      <c r="Z367" s="20">
        <f t="shared" si="15"/>
        <v>16.333333333333343</v>
      </c>
    </row>
    <row r="368" spans="1:26" x14ac:dyDescent="0.2">
      <c r="A368" s="21"/>
      <c r="B368" s="51"/>
      <c r="C368" s="22"/>
      <c r="D368" s="22"/>
      <c r="E368" s="24"/>
      <c r="F368" s="22"/>
      <c r="H368" s="21">
        <v>45887</v>
      </c>
      <c r="I368" s="22" t="s">
        <v>71</v>
      </c>
      <c r="J368" s="22" t="s">
        <v>58</v>
      </c>
      <c r="K368" s="24">
        <v>5</v>
      </c>
      <c r="M368" s="21">
        <v>45890</v>
      </c>
      <c r="N368" s="22" t="s">
        <v>70</v>
      </c>
      <c r="O368" s="22" t="s">
        <v>46</v>
      </c>
      <c r="P368" s="49">
        <v>79.400000000000006</v>
      </c>
      <c r="Q368" s="49">
        <v>79</v>
      </c>
      <c r="R368" s="50">
        <f t="shared" si="14"/>
        <v>0.40000000000000568</v>
      </c>
      <c r="T368" s="21">
        <v>45895</v>
      </c>
      <c r="U368" s="22" t="s">
        <v>41</v>
      </c>
      <c r="V368" s="24">
        <v>1</v>
      </c>
      <c r="W368" s="24">
        <v>1</v>
      </c>
      <c r="X368" s="24">
        <v>2</v>
      </c>
      <c r="Y368" s="24">
        <v>2</v>
      </c>
      <c r="Z368" s="20">
        <f t="shared" si="15"/>
        <v>6</v>
      </c>
    </row>
    <row r="369" spans="1:26" x14ac:dyDescent="0.2">
      <c r="A369" s="21"/>
      <c r="B369" s="51"/>
      <c r="C369" s="22"/>
      <c r="D369" s="22"/>
      <c r="E369" s="24"/>
      <c r="F369" s="22"/>
      <c r="H369" s="21">
        <v>45887</v>
      </c>
      <c r="I369" s="22" t="s">
        <v>71</v>
      </c>
      <c r="J369" s="22" t="s">
        <v>49</v>
      </c>
      <c r="K369" s="24">
        <v>7</v>
      </c>
      <c r="M369" s="21">
        <v>45890</v>
      </c>
      <c r="N369" s="22" t="s">
        <v>70</v>
      </c>
      <c r="O369" s="22" t="s">
        <v>47</v>
      </c>
      <c r="P369" s="49">
        <v>70.900000000000006</v>
      </c>
      <c r="Q369" s="49">
        <v>70.5</v>
      </c>
      <c r="R369" s="50">
        <f t="shared" si="14"/>
        <v>0.40000000000000568</v>
      </c>
      <c r="T369" s="21">
        <v>45895</v>
      </c>
      <c r="U369" s="22" t="s">
        <v>42</v>
      </c>
      <c r="V369" s="24">
        <v>4</v>
      </c>
      <c r="W369" s="24">
        <v>4</v>
      </c>
      <c r="X369" s="24">
        <v>4</v>
      </c>
      <c r="Y369" s="24">
        <v>5</v>
      </c>
      <c r="Z369" s="20">
        <f t="shared" si="15"/>
        <v>17</v>
      </c>
    </row>
    <row r="370" spans="1:26" x14ac:dyDescent="0.2">
      <c r="A370" s="21"/>
      <c r="B370" s="51"/>
      <c r="C370" s="22"/>
      <c r="D370" s="22"/>
      <c r="E370" s="24"/>
      <c r="F370" s="22"/>
      <c r="H370" s="21">
        <v>45887</v>
      </c>
      <c r="I370" s="22" t="s">
        <v>71</v>
      </c>
      <c r="J370" s="22" t="s">
        <v>43</v>
      </c>
      <c r="K370" s="24">
        <v>3</v>
      </c>
      <c r="M370" s="21">
        <v>45890</v>
      </c>
      <c r="N370" s="22" t="s">
        <v>70</v>
      </c>
      <c r="O370" s="22" t="s">
        <v>48</v>
      </c>
      <c r="P370" s="49">
        <v>82.5</v>
      </c>
      <c r="Q370" s="49">
        <v>81.5</v>
      </c>
      <c r="R370" s="50">
        <f t="shared" si="14"/>
        <v>1</v>
      </c>
      <c r="T370" s="21">
        <v>45895</v>
      </c>
      <c r="U370" s="22" t="s">
        <v>43</v>
      </c>
      <c r="V370" s="24">
        <v>4</v>
      </c>
      <c r="W370" s="24">
        <v>4</v>
      </c>
      <c r="X370" s="24">
        <v>4</v>
      </c>
      <c r="Y370" s="24">
        <v>5</v>
      </c>
      <c r="Z370" s="20">
        <f t="shared" si="15"/>
        <v>17</v>
      </c>
    </row>
    <row r="371" spans="1:26" x14ac:dyDescent="0.2">
      <c r="A371" s="21"/>
      <c r="B371" s="51"/>
      <c r="C371" s="22"/>
      <c r="D371" s="22"/>
      <c r="E371" s="24"/>
      <c r="F371" s="22"/>
      <c r="H371" s="21">
        <v>45887</v>
      </c>
      <c r="I371" s="22" t="s">
        <v>71</v>
      </c>
      <c r="J371" s="22" t="s">
        <v>50</v>
      </c>
      <c r="K371" s="24">
        <v>6</v>
      </c>
      <c r="M371" s="21">
        <v>45890</v>
      </c>
      <c r="N371" s="22" t="s">
        <v>70</v>
      </c>
      <c r="O371" s="22" t="s">
        <v>49</v>
      </c>
      <c r="P371" s="49">
        <v>79.599999999999994</v>
      </c>
      <c r="Q371" s="49">
        <v>79.2</v>
      </c>
      <c r="R371" s="50">
        <f t="shared" si="14"/>
        <v>0.39999999999999147</v>
      </c>
      <c r="T371" s="21">
        <v>45895</v>
      </c>
      <c r="U371" s="22" t="s">
        <v>44</v>
      </c>
      <c r="V371" s="24">
        <v>5</v>
      </c>
      <c r="W371" s="24">
        <v>5</v>
      </c>
      <c r="X371" s="24">
        <v>5</v>
      </c>
      <c r="Y371" s="24">
        <v>5</v>
      </c>
      <c r="Z371" s="20">
        <f t="shared" si="15"/>
        <v>20</v>
      </c>
    </row>
    <row r="372" spans="1:26" x14ac:dyDescent="0.2">
      <c r="A372" s="21"/>
      <c r="B372" s="51"/>
      <c r="C372" s="22"/>
      <c r="D372" s="22"/>
      <c r="E372" s="24"/>
      <c r="F372" s="22"/>
      <c r="H372" s="21">
        <v>45887</v>
      </c>
      <c r="I372" s="22" t="s">
        <v>71</v>
      </c>
      <c r="J372" s="22" t="s">
        <v>51</v>
      </c>
      <c r="K372" s="24">
        <v>6</v>
      </c>
      <c r="M372" s="21">
        <v>45890</v>
      </c>
      <c r="N372" s="22" t="s">
        <v>70</v>
      </c>
      <c r="O372" s="22" t="s">
        <v>50</v>
      </c>
      <c r="P372" s="49">
        <v>70.400000000000006</v>
      </c>
      <c r="Q372" s="49">
        <v>70.7</v>
      </c>
      <c r="R372" s="50">
        <f t="shared" si="14"/>
        <v>-0.29999999999999716</v>
      </c>
      <c r="T372" s="21">
        <v>45895</v>
      </c>
      <c r="U372" s="22" t="s">
        <v>45</v>
      </c>
      <c r="V372" s="24">
        <v>4</v>
      </c>
      <c r="W372" s="24">
        <v>3</v>
      </c>
      <c r="X372" s="24">
        <v>4</v>
      </c>
      <c r="Y372" s="24">
        <v>4</v>
      </c>
      <c r="Z372" s="20">
        <f t="shared" si="15"/>
        <v>15</v>
      </c>
    </row>
    <row r="373" spans="1:26" x14ac:dyDescent="0.2">
      <c r="A373" s="21"/>
      <c r="B373" s="51"/>
      <c r="C373" s="22"/>
      <c r="D373" s="22"/>
      <c r="E373" s="24"/>
      <c r="F373" s="22"/>
      <c r="H373" s="21">
        <v>45887</v>
      </c>
      <c r="I373" s="22" t="s">
        <v>71</v>
      </c>
      <c r="J373" s="22" t="s">
        <v>46</v>
      </c>
      <c r="K373" s="24">
        <v>6</v>
      </c>
      <c r="M373" s="21">
        <v>45890</v>
      </c>
      <c r="N373" s="22" t="s">
        <v>70</v>
      </c>
      <c r="O373" s="22" t="s">
        <v>51</v>
      </c>
      <c r="P373" s="49">
        <v>75.5</v>
      </c>
      <c r="Q373" s="49">
        <v>75.5</v>
      </c>
      <c r="R373" s="50">
        <f t="shared" si="14"/>
        <v>0</v>
      </c>
      <c r="T373" s="21">
        <v>45895</v>
      </c>
      <c r="U373" s="22" t="s">
        <v>46</v>
      </c>
      <c r="V373" s="24">
        <v>5</v>
      </c>
      <c r="W373" s="24">
        <v>4</v>
      </c>
      <c r="X373" s="24">
        <v>4</v>
      </c>
      <c r="Y373" s="24">
        <v>4</v>
      </c>
      <c r="Z373" s="20">
        <f t="shared" si="15"/>
        <v>17</v>
      </c>
    </row>
    <row r="374" spans="1:26" x14ac:dyDescent="0.2">
      <c r="A374" s="21"/>
      <c r="B374" s="51"/>
      <c r="C374" s="22"/>
      <c r="D374" s="22"/>
      <c r="E374" s="24"/>
      <c r="F374" s="22"/>
      <c r="H374" s="21">
        <v>45887</v>
      </c>
      <c r="I374" s="22" t="s">
        <v>71</v>
      </c>
      <c r="J374" s="22" t="s">
        <v>48</v>
      </c>
      <c r="K374" s="24">
        <v>6</v>
      </c>
      <c r="M374" s="21">
        <v>45890</v>
      </c>
      <c r="N374" s="22" t="s">
        <v>70</v>
      </c>
      <c r="O374" s="22" t="s">
        <v>52</v>
      </c>
      <c r="P374" s="49">
        <v>70.8</v>
      </c>
      <c r="Q374" s="49">
        <v>70.8</v>
      </c>
      <c r="R374" s="50">
        <f t="shared" si="14"/>
        <v>0</v>
      </c>
      <c r="T374" s="21">
        <v>45895</v>
      </c>
      <c r="U374" s="22" t="s">
        <v>47</v>
      </c>
      <c r="V374" s="24">
        <v>2</v>
      </c>
      <c r="W374" s="24">
        <v>4</v>
      </c>
      <c r="X374" s="24">
        <v>4</v>
      </c>
      <c r="Y374" s="24">
        <v>4</v>
      </c>
      <c r="Z374" s="20">
        <f t="shared" si="15"/>
        <v>14</v>
      </c>
    </row>
    <row r="375" spans="1:26" x14ac:dyDescent="0.2">
      <c r="A375" s="21"/>
      <c r="B375" s="51"/>
      <c r="C375" s="22"/>
      <c r="D375" s="22"/>
      <c r="E375" s="24"/>
      <c r="F375" s="22"/>
      <c r="H375" s="21">
        <v>45887</v>
      </c>
      <c r="I375" s="22" t="s">
        <v>71</v>
      </c>
      <c r="J375" s="22" t="s">
        <v>56</v>
      </c>
      <c r="K375" s="24">
        <v>7</v>
      </c>
      <c r="M375" s="21">
        <v>45890</v>
      </c>
      <c r="N375" s="22" t="s">
        <v>70</v>
      </c>
      <c r="O375" s="22" t="s">
        <v>53</v>
      </c>
      <c r="P375" s="49">
        <v>67</v>
      </c>
      <c r="Q375" s="49">
        <v>67.2</v>
      </c>
      <c r="R375" s="50">
        <f t="shared" si="14"/>
        <v>-0.20000000000000284</v>
      </c>
      <c r="T375" s="21">
        <v>45895</v>
      </c>
      <c r="U375" s="22" t="s">
        <v>48</v>
      </c>
      <c r="V375" s="24">
        <v>4</v>
      </c>
      <c r="W375" s="24">
        <v>4</v>
      </c>
      <c r="X375" s="24">
        <v>5</v>
      </c>
      <c r="Y375" s="24">
        <v>5</v>
      </c>
      <c r="Z375" s="20">
        <f t="shared" si="15"/>
        <v>18</v>
      </c>
    </row>
    <row r="376" spans="1:26" x14ac:dyDescent="0.2">
      <c r="A376" s="21"/>
      <c r="B376" s="51"/>
      <c r="C376" s="22"/>
      <c r="D376" s="22"/>
      <c r="E376" s="24"/>
      <c r="F376" s="22"/>
      <c r="H376" s="21">
        <v>45888</v>
      </c>
      <c r="I376" s="22" t="s">
        <v>70</v>
      </c>
      <c r="J376" s="22" t="s">
        <v>52</v>
      </c>
      <c r="K376" s="24" t="s">
        <v>61</v>
      </c>
      <c r="M376" s="21">
        <v>45890</v>
      </c>
      <c r="N376" s="22" t="s">
        <v>70</v>
      </c>
      <c r="O376" s="22" t="s">
        <v>54</v>
      </c>
      <c r="P376" s="49">
        <v>85.1</v>
      </c>
      <c r="Q376" s="49">
        <v>85.2</v>
      </c>
      <c r="R376" s="50">
        <f t="shared" si="14"/>
        <v>-0.10000000000000853</v>
      </c>
      <c r="T376" s="21">
        <v>45895</v>
      </c>
      <c r="U376" s="22" t="s">
        <v>49</v>
      </c>
      <c r="V376" s="24">
        <v>4</v>
      </c>
      <c r="W376" s="24">
        <v>3</v>
      </c>
      <c r="X376" s="24">
        <v>4</v>
      </c>
      <c r="Y376" s="24">
        <v>4</v>
      </c>
      <c r="Z376" s="20">
        <f t="shared" si="15"/>
        <v>15</v>
      </c>
    </row>
    <row r="377" spans="1:26" x14ac:dyDescent="0.2">
      <c r="A377" s="21"/>
      <c r="B377" s="51"/>
      <c r="C377" s="22"/>
      <c r="D377" s="22"/>
      <c r="E377" s="24"/>
      <c r="F377" s="22"/>
      <c r="H377" s="21">
        <v>45888</v>
      </c>
      <c r="I377" s="22" t="s">
        <v>70</v>
      </c>
      <c r="J377" s="22" t="s">
        <v>53</v>
      </c>
      <c r="K377" s="24">
        <v>7</v>
      </c>
      <c r="M377" s="21">
        <v>45890</v>
      </c>
      <c r="N377" s="22" t="s">
        <v>70</v>
      </c>
      <c r="O377" s="22" t="s">
        <v>56</v>
      </c>
      <c r="P377" s="49">
        <v>75.2</v>
      </c>
      <c r="Q377" s="49">
        <v>75.099999999999994</v>
      </c>
      <c r="R377" s="50">
        <f t="shared" si="14"/>
        <v>0.10000000000000853</v>
      </c>
      <c r="T377" s="21">
        <v>45895</v>
      </c>
      <c r="U377" s="22" t="s">
        <v>50</v>
      </c>
      <c r="V377" s="24">
        <v>3</v>
      </c>
      <c r="W377" s="24">
        <v>4</v>
      </c>
      <c r="X377" s="24">
        <v>4</v>
      </c>
      <c r="Y377" s="24">
        <v>4</v>
      </c>
      <c r="Z377" s="20">
        <f t="shared" si="15"/>
        <v>15</v>
      </c>
    </row>
    <row r="378" spans="1:26" x14ac:dyDescent="0.2">
      <c r="A378" s="21"/>
      <c r="B378" s="51"/>
      <c r="C378" s="22"/>
      <c r="D378" s="22"/>
      <c r="E378" s="24"/>
      <c r="F378" s="22"/>
      <c r="H378" s="21">
        <v>45888</v>
      </c>
      <c r="I378" s="22" t="s">
        <v>70</v>
      </c>
      <c r="J378" s="22" t="s">
        <v>44</v>
      </c>
      <c r="K378" s="24">
        <v>6</v>
      </c>
      <c r="M378" s="21">
        <v>45890</v>
      </c>
      <c r="N378" s="22" t="s">
        <v>70</v>
      </c>
      <c r="O378" s="22" t="s">
        <v>57</v>
      </c>
      <c r="P378" s="49">
        <v>93.8</v>
      </c>
      <c r="Q378" s="49">
        <v>93.1</v>
      </c>
      <c r="R378" s="50">
        <f t="shared" si="14"/>
        <v>0.70000000000000284</v>
      </c>
      <c r="T378" s="21">
        <v>45895</v>
      </c>
      <c r="U378" s="22" t="s">
        <v>51</v>
      </c>
      <c r="V378" s="24">
        <v>4</v>
      </c>
      <c r="W378" s="24">
        <v>3</v>
      </c>
      <c r="X378" s="24">
        <v>4</v>
      </c>
      <c r="Y378" s="24">
        <v>4</v>
      </c>
      <c r="Z378" s="20">
        <f t="shared" si="15"/>
        <v>15</v>
      </c>
    </row>
    <row r="379" spans="1:26" x14ac:dyDescent="0.2">
      <c r="A379" s="21"/>
      <c r="B379" s="51"/>
      <c r="C379" s="22"/>
      <c r="D379" s="22"/>
      <c r="E379" s="24"/>
      <c r="F379" s="22"/>
      <c r="H379" s="21">
        <v>45888</v>
      </c>
      <c r="I379" s="22" t="s">
        <v>70</v>
      </c>
      <c r="J379" s="22" t="s">
        <v>45</v>
      </c>
      <c r="K379" s="24">
        <v>6</v>
      </c>
      <c r="M379" s="21">
        <v>45890</v>
      </c>
      <c r="N379" s="22" t="s">
        <v>70</v>
      </c>
      <c r="O379" s="22" t="s">
        <v>58</v>
      </c>
      <c r="P379" s="49">
        <v>75.400000000000006</v>
      </c>
      <c r="Q379" s="49">
        <v>74.8</v>
      </c>
      <c r="R379" s="50">
        <f t="shared" si="14"/>
        <v>0.60000000000000853</v>
      </c>
      <c r="T379" s="21">
        <v>45895</v>
      </c>
      <c r="U379" s="22" t="s">
        <v>52</v>
      </c>
      <c r="V379" s="24">
        <v>4</v>
      </c>
      <c r="W379" s="24">
        <v>5</v>
      </c>
      <c r="X379" s="24">
        <v>3</v>
      </c>
      <c r="Y379" s="24">
        <v>3</v>
      </c>
      <c r="Z379" s="20">
        <f t="shared" si="15"/>
        <v>15</v>
      </c>
    </row>
    <row r="380" spans="1:26" x14ac:dyDescent="0.2">
      <c r="A380" s="21"/>
      <c r="B380" s="51"/>
      <c r="C380" s="22"/>
      <c r="D380" s="22"/>
      <c r="E380" s="24"/>
      <c r="F380" s="22"/>
      <c r="H380" s="21">
        <v>45888</v>
      </c>
      <c r="I380" s="22" t="s">
        <v>70</v>
      </c>
      <c r="J380" s="22" t="s">
        <v>57</v>
      </c>
      <c r="K380" s="24">
        <v>8</v>
      </c>
      <c r="M380" s="21">
        <v>45891</v>
      </c>
      <c r="N380" s="22" t="s">
        <v>70</v>
      </c>
      <c r="O380" s="22" t="s">
        <v>41</v>
      </c>
      <c r="P380" s="49">
        <v>76.7</v>
      </c>
      <c r="Q380" s="49">
        <v>76</v>
      </c>
      <c r="R380" s="50">
        <f t="shared" si="14"/>
        <v>0.70000000000000284</v>
      </c>
      <c r="T380" s="21">
        <v>45895</v>
      </c>
      <c r="U380" s="22" t="s">
        <v>53</v>
      </c>
      <c r="V380" s="24">
        <v>4</v>
      </c>
      <c r="W380" s="24">
        <v>4</v>
      </c>
      <c r="X380" s="24">
        <v>4</v>
      </c>
      <c r="Y380" s="24">
        <v>5</v>
      </c>
      <c r="Z380" s="20">
        <f t="shared" si="15"/>
        <v>17</v>
      </c>
    </row>
    <row r="381" spans="1:26" x14ac:dyDescent="0.2">
      <c r="A381" s="21"/>
      <c r="B381" s="51"/>
      <c r="C381" s="22"/>
      <c r="D381" s="22"/>
      <c r="E381" s="24"/>
      <c r="F381" s="22"/>
      <c r="H381" s="21">
        <v>45888</v>
      </c>
      <c r="I381" s="22" t="s">
        <v>70</v>
      </c>
      <c r="J381" s="22" t="s">
        <v>42</v>
      </c>
      <c r="K381" s="24">
        <v>7</v>
      </c>
      <c r="M381" s="21">
        <v>45891</v>
      </c>
      <c r="N381" s="22" t="s">
        <v>70</v>
      </c>
      <c r="O381" s="22" t="s">
        <v>42</v>
      </c>
      <c r="P381" s="49">
        <v>79.400000000000006</v>
      </c>
      <c r="Q381" s="49">
        <v>79</v>
      </c>
      <c r="R381" s="50">
        <f t="shared" si="14"/>
        <v>0.40000000000000568</v>
      </c>
      <c r="T381" s="21">
        <v>45895</v>
      </c>
      <c r="U381" s="22" t="s">
        <v>54</v>
      </c>
      <c r="V381" s="24">
        <v>3</v>
      </c>
      <c r="W381" s="24">
        <v>4</v>
      </c>
      <c r="X381" s="24">
        <v>5</v>
      </c>
      <c r="Y381" s="24">
        <v>4</v>
      </c>
      <c r="Z381" s="20">
        <f t="shared" si="15"/>
        <v>16</v>
      </c>
    </row>
    <row r="382" spans="1:26" x14ac:dyDescent="0.2">
      <c r="A382" s="21"/>
      <c r="B382" s="51"/>
      <c r="C382" s="22"/>
      <c r="D382" s="22"/>
      <c r="E382" s="24"/>
      <c r="F382" s="22"/>
      <c r="H382" s="21">
        <v>45888</v>
      </c>
      <c r="I382" s="22" t="s">
        <v>70</v>
      </c>
      <c r="J382" s="22" t="s">
        <v>54</v>
      </c>
      <c r="K382" s="24">
        <v>8</v>
      </c>
      <c r="M382" s="21">
        <v>45891</v>
      </c>
      <c r="N382" s="22" t="s">
        <v>70</v>
      </c>
      <c r="O382" s="22" t="s">
        <v>44</v>
      </c>
      <c r="P382" s="49">
        <v>70</v>
      </c>
      <c r="Q382" s="49">
        <v>69.5</v>
      </c>
      <c r="R382" s="50">
        <f t="shared" si="14"/>
        <v>0.5</v>
      </c>
      <c r="T382" s="21">
        <v>45895</v>
      </c>
      <c r="U382" s="22" t="s">
        <v>56</v>
      </c>
      <c r="V382" s="24">
        <v>4</v>
      </c>
      <c r="W382" s="24">
        <v>4</v>
      </c>
      <c r="X382" s="24">
        <v>4</v>
      </c>
      <c r="Y382" s="24">
        <v>5</v>
      </c>
      <c r="Z382" s="20">
        <f t="shared" si="15"/>
        <v>17</v>
      </c>
    </row>
    <row r="383" spans="1:26" x14ac:dyDescent="0.2">
      <c r="A383" s="21"/>
      <c r="B383" s="51"/>
      <c r="C383" s="22"/>
      <c r="D383" s="22"/>
      <c r="E383" s="24"/>
      <c r="F383" s="22"/>
      <c r="H383" s="21">
        <v>45888</v>
      </c>
      <c r="I383" s="22" t="s">
        <v>70</v>
      </c>
      <c r="J383" s="22" t="s">
        <v>47</v>
      </c>
      <c r="K383" s="24">
        <v>8</v>
      </c>
      <c r="M383" s="21">
        <v>45891</v>
      </c>
      <c r="N383" s="22" t="s">
        <v>70</v>
      </c>
      <c r="O383" s="22" t="s">
        <v>45</v>
      </c>
      <c r="P383" s="49">
        <v>70</v>
      </c>
      <c r="Q383" s="49">
        <v>69.5</v>
      </c>
      <c r="R383" s="50">
        <f t="shared" si="14"/>
        <v>0.5</v>
      </c>
      <c r="T383" s="21">
        <v>45895</v>
      </c>
      <c r="U383" s="22" t="s">
        <v>57</v>
      </c>
      <c r="V383" s="24">
        <v>3</v>
      </c>
      <c r="W383" s="24">
        <v>4</v>
      </c>
      <c r="X383" s="24">
        <v>4</v>
      </c>
      <c r="Y383" s="24">
        <v>4</v>
      </c>
      <c r="Z383" s="20">
        <f t="shared" si="15"/>
        <v>15</v>
      </c>
    </row>
    <row r="384" spans="1:26" x14ac:dyDescent="0.2">
      <c r="A384" s="21"/>
      <c r="B384" s="51"/>
      <c r="C384" s="22"/>
      <c r="D384" s="22"/>
      <c r="E384" s="24"/>
      <c r="F384" s="22"/>
      <c r="H384" s="21">
        <v>45888</v>
      </c>
      <c r="I384" s="22" t="s">
        <v>70</v>
      </c>
      <c r="J384" s="22" t="s">
        <v>41</v>
      </c>
      <c r="K384" s="24">
        <v>6</v>
      </c>
      <c r="M384" s="21">
        <v>45891</v>
      </c>
      <c r="N384" s="22" t="s">
        <v>70</v>
      </c>
      <c r="O384" s="22" t="s">
        <v>46</v>
      </c>
      <c r="P384" s="49">
        <v>79.3</v>
      </c>
      <c r="Q384" s="49">
        <v>79</v>
      </c>
      <c r="R384" s="50">
        <f t="shared" si="14"/>
        <v>0.29999999999999716</v>
      </c>
      <c r="T384" s="21">
        <v>45895</v>
      </c>
      <c r="U384" s="22" t="s">
        <v>33</v>
      </c>
      <c r="V384" s="24">
        <v>3.625</v>
      </c>
      <c r="W384" s="24">
        <v>3.75</v>
      </c>
      <c r="X384" s="24">
        <v>4</v>
      </c>
      <c r="Y384" s="24">
        <v>4.1875</v>
      </c>
      <c r="Z384" s="20">
        <f t="shared" si="15"/>
        <v>15.5625</v>
      </c>
    </row>
    <row r="385" spans="1:26" x14ac:dyDescent="0.2">
      <c r="A385" s="21"/>
      <c r="B385" s="51"/>
      <c r="C385" s="22"/>
      <c r="D385" s="22"/>
      <c r="E385" s="24"/>
      <c r="F385" s="22"/>
      <c r="H385" s="21">
        <v>45888</v>
      </c>
      <c r="I385" s="22" t="s">
        <v>70</v>
      </c>
      <c r="J385" s="22" t="s">
        <v>58</v>
      </c>
      <c r="K385" s="24">
        <v>8</v>
      </c>
      <c r="M385" s="21">
        <v>45891</v>
      </c>
      <c r="N385" s="22" t="s">
        <v>70</v>
      </c>
      <c r="O385" s="22" t="s">
        <v>47</v>
      </c>
      <c r="P385" s="49">
        <v>70.8</v>
      </c>
      <c r="Q385" s="49">
        <v>70.900000000000006</v>
      </c>
      <c r="R385" s="50">
        <f t="shared" si="14"/>
        <v>-0.10000000000000853</v>
      </c>
      <c r="T385" s="21">
        <v>45896</v>
      </c>
      <c r="U385" s="22" t="s">
        <v>41</v>
      </c>
      <c r="V385" s="24">
        <v>2</v>
      </c>
      <c r="W385" s="24">
        <v>1</v>
      </c>
      <c r="X385" s="24">
        <v>2</v>
      </c>
      <c r="Y385" s="24">
        <v>2</v>
      </c>
      <c r="Z385" s="20">
        <f t="shared" si="15"/>
        <v>7</v>
      </c>
    </row>
    <row r="386" spans="1:26" x14ac:dyDescent="0.2">
      <c r="A386" s="21"/>
      <c r="B386" s="51"/>
      <c r="C386" s="22"/>
      <c r="D386" s="22"/>
      <c r="E386" s="24"/>
      <c r="F386" s="22"/>
      <c r="H386" s="21">
        <v>45888</v>
      </c>
      <c r="I386" s="22" t="s">
        <v>70</v>
      </c>
      <c r="J386" s="22" t="s">
        <v>49</v>
      </c>
      <c r="K386" s="24">
        <v>9</v>
      </c>
      <c r="M386" s="21">
        <v>45891</v>
      </c>
      <c r="N386" s="22" t="s">
        <v>70</v>
      </c>
      <c r="O386" s="22" t="s">
        <v>48</v>
      </c>
      <c r="P386" s="49">
        <v>82.3</v>
      </c>
      <c r="Q386" s="49">
        <v>82</v>
      </c>
      <c r="R386" s="50">
        <f t="shared" si="14"/>
        <v>0.29999999999999716</v>
      </c>
      <c r="T386" s="21">
        <v>45896</v>
      </c>
      <c r="U386" s="22" t="s">
        <v>42</v>
      </c>
      <c r="V386" s="24">
        <v>4</v>
      </c>
      <c r="W386" s="24">
        <v>4</v>
      </c>
      <c r="X386" s="24">
        <v>4</v>
      </c>
      <c r="Y386" s="24">
        <v>5</v>
      </c>
      <c r="Z386" s="20">
        <f t="shared" si="15"/>
        <v>17</v>
      </c>
    </row>
    <row r="387" spans="1:26" x14ac:dyDescent="0.2">
      <c r="A387" s="21"/>
      <c r="B387" s="51"/>
      <c r="C387" s="22"/>
      <c r="D387" s="22"/>
      <c r="E387" s="24"/>
      <c r="F387" s="22"/>
      <c r="H387" s="21">
        <v>45888</v>
      </c>
      <c r="I387" s="22" t="s">
        <v>70</v>
      </c>
      <c r="J387" s="22" t="s">
        <v>43</v>
      </c>
      <c r="K387" s="24">
        <v>4</v>
      </c>
      <c r="M387" s="21">
        <v>45891</v>
      </c>
      <c r="N387" s="22" t="s">
        <v>70</v>
      </c>
      <c r="O387" s="22" t="s">
        <v>49</v>
      </c>
      <c r="P387" s="49">
        <v>79.599999999999994</v>
      </c>
      <c r="Q387" s="49">
        <v>79.7</v>
      </c>
      <c r="R387" s="50">
        <f t="shared" ref="R387:R450" si="16">IFERROR(P387-Q387,"")</f>
        <v>-0.10000000000000853</v>
      </c>
      <c r="T387" s="21">
        <v>45896</v>
      </c>
      <c r="U387" s="22" t="s">
        <v>43</v>
      </c>
      <c r="V387" s="24">
        <v>4</v>
      </c>
      <c r="W387" s="24">
        <v>4</v>
      </c>
      <c r="X387" s="24">
        <v>4</v>
      </c>
      <c r="Y387" s="24">
        <v>5</v>
      </c>
      <c r="Z387" s="20">
        <f t="shared" ref="Z387:Z450" si="17">SUM(V387:Y387)</f>
        <v>17</v>
      </c>
    </row>
    <row r="388" spans="1:26" x14ac:dyDescent="0.2">
      <c r="A388" s="21"/>
      <c r="B388" s="51"/>
      <c r="C388" s="22"/>
      <c r="D388" s="22"/>
      <c r="E388" s="24"/>
      <c r="F388" s="22"/>
      <c r="H388" s="21">
        <v>45888</v>
      </c>
      <c r="I388" s="22" t="s">
        <v>70</v>
      </c>
      <c r="J388" s="22" t="s">
        <v>50</v>
      </c>
      <c r="K388" s="24">
        <v>9</v>
      </c>
      <c r="M388" s="21">
        <v>45891</v>
      </c>
      <c r="N388" s="22" t="s">
        <v>70</v>
      </c>
      <c r="O388" s="22" t="s">
        <v>50</v>
      </c>
      <c r="P388" s="49">
        <v>71.3</v>
      </c>
      <c r="Q388" s="49">
        <v>71</v>
      </c>
      <c r="R388" s="50">
        <f t="shared" si="16"/>
        <v>0.29999999999999716</v>
      </c>
      <c r="T388" s="21">
        <v>45896</v>
      </c>
      <c r="U388" s="22" t="s">
        <v>44</v>
      </c>
      <c r="V388" s="24">
        <v>5</v>
      </c>
      <c r="W388" s="24">
        <v>4</v>
      </c>
      <c r="X388" s="24">
        <v>4</v>
      </c>
      <c r="Y388" s="24">
        <v>5</v>
      </c>
      <c r="Z388" s="20">
        <f t="shared" si="17"/>
        <v>18</v>
      </c>
    </row>
    <row r="389" spans="1:26" x14ac:dyDescent="0.2">
      <c r="A389" s="21"/>
      <c r="B389" s="51"/>
      <c r="C389" s="22"/>
      <c r="D389" s="22"/>
      <c r="E389" s="24"/>
      <c r="F389" s="22"/>
      <c r="H389" s="21">
        <v>45888</v>
      </c>
      <c r="I389" s="22" t="s">
        <v>70</v>
      </c>
      <c r="J389" s="22" t="s">
        <v>51</v>
      </c>
      <c r="K389" s="24">
        <v>8</v>
      </c>
      <c r="M389" s="21">
        <v>45891</v>
      </c>
      <c r="N389" s="22" t="s">
        <v>70</v>
      </c>
      <c r="O389" s="22" t="s">
        <v>51</v>
      </c>
      <c r="P389" s="49">
        <v>75.7</v>
      </c>
      <c r="Q389" s="49">
        <v>75.400000000000006</v>
      </c>
      <c r="R389" s="50">
        <f t="shared" si="16"/>
        <v>0.29999999999999716</v>
      </c>
      <c r="T389" s="21">
        <v>45896</v>
      </c>
      <c r="U389" s="22" t="s">
        <v>45</v>
      </c>
      <c r="V389" s="24">
        <v>4</v>
      </c>
      <c r="W389" s="24">
        <v>4</v>
      </c>
      <c r="X389" s="24">
        <v>4</v>
      </c>
      <c r="Y389" s="24">
        <v>5</v>
      </c>
      <c r="Z389" s="20">
        <f t="shared" si="17"/>
        <v>17</v>
      </c>
    </row>
    <row r="390" spans="1:26" x14ac:dyDescent="0.2">
      <c r="A390" s="21"/>
      <c r="B390" s="51"/>
      <c r="C390" s="22"/>
      <c r="D390" s="22"/>
      <c r="E390" s="24"/>
      <c r="F390" s="22"/>
      <c r="H390" s="21">
        <v>45888</v>
      </c>
      <c r="I390" s="22" t="s">
        <v>70</v>
      </c>
      <c r="J390" s="22" t="s">
        <v>46</v>
      </c>
      <c r="K390" s="24">
        <v>7</v>
      </c>
      <c r="M390" s="21">
        <v>45891</v>
      </c>
      <c r="N390" s="22" t="s">
        <v>70</v>
      </c>
      <c r="O390" s="22" t="s">
        <v>52</v>
      </c>
      <c r="P390" s="49">
        <v>70.2</v>
      </c>
      <c r="Q390" s="49">
        <v>70.2</v>
      </c>
      <c r="R390" s="50">
        <f t="shared" si="16"/>
        <v>0</v>
      </c>
      <c r="T390" s="21">
        <v>45896</v>
      </c>
      <c r="U390" s="22" t="s">
        <v>46</v>
      </c>
      <c r="V390" s="24">
        <v>5</v>
      </c>
      <c r="W390" s="24">
        <v>4</v>
      </c>
      <c r="X390" s="24">
        <v>4</v>
      </c>
      <c r="Y390" s="24">
        <v>4</v>
      </c>
      <c r="Z390" s="20">
        <f t="shared" si="17"/>
        <v>17</v>
      </c>
    </row>
    <row r="391" spans="1:26" x14ac:dyDescent="0.2">
      <c r="A391" s="21"/>
      <c r="B391" s="51"/>
      <c r="C391" s="22"/>
      <c r="D391" s="22"/>
      <c r="E391" s="24"/>
      <c r="F391" s="22"/>
      <c r="H391" s="21">
        <v>45888</v>
      </c>
      <c r="I391" s="22" t="s">
        <v>70</v>
      </c>
      <c r="J391" s="22" t="s">
        <v>48</v>
      </c>
      <c r="K391" s="24">
        <v>6</v>
      </c>
      <c r="M391" s="21">
        <v>45891</v>
      </c>
      <c r="N391" s="22" t="s">
        <v>70</v>
      </c>
      <c r="O391" s="22" t="s">
        <v>53</v>
      </c>
      <c r="P391" s="49">
        <v>67.599999999999994</v>
      </c>
      <c r="Q391" s="49">
        <v>67.2</v>
      </c>
      <c r="R391" s="50">
        <f t="shared" si="16"/>
        <v>0.39999999999999147</v>
      </c>
      <c r="T391" s="21">
        <v>45896</v>
      </c>
      <c r="U391" s="22" t="s">
        <v>47</v>
      </c>
      <c r="V391" s="24">
        <v>4</v>
      </c>
      <c r="W391" s="24">
        <v>4</v>
      </c>
      <c r="X391" s="24">
        <v>4</v>
      </c>
      <c r="Y391" s="24">
        <v>4</v>
      </c>
      <c r="Z391" s="20">
        <f t="shared" si="17"/>
        <v>16</v>
      </c>
    </row>
    <row r="392" spans="1:26" x14ac:dyDescent="0.2">
      <c r="A392" s="21"/>
      <c r="B392" s="51"/>
      <c r="C392" s="22"/>
      <c r="D392" s="22"/>
      <c r="E392" s="24"/>
      <c r="F392" s="22"/>
      <c r="H392" s="21">
        <v>45888</v>
      </c>
      <c r="I392" s="22" t="s">
        <v>70</v>
      </c>
      <c r="J392" s="22" t="s">
        <v>56</v>
      </c>
      <c r="K392" s="24">
        <v>8</v>
      </c>
      <c r="M392" s="21">
        <v>45891</v>
      </c>
      <c r="N392" s="22" t="s">
        <v>70</v>
      </c>
      <c r="O392" s="22" t="s">
        <v>54</v>
      </c>
      <c r="P392" s="49">
        <v>85.5</v>
      </c>
      <c r="Q392" s="49">
        <v>85.2</v>
      </c>
      <c r="R392" s="50">
        <f t="shared" si="16"/>
        <v>0.29999999999999716</v>
      </c>
      <c r="T392" s="21">
        <v>45896</v>
      </c>
      <c r="U392" s="22" t="s">
        <v>48</v>
      </c>
      <c r="V392" s="24">
        <v>4</v>
      </c>
      <c r="W392" s="24">
        <v>4</v>
      </c>
      <c r="X392" s="24">
        <v>5</v>
      </c>
      <c r="Y392" s="24">
        <v>5</v>
      </c>
      <c r="Z392" s="20">
        <f t="shared" si="17"/>
        <v>18</v>
      </c>
    </row>
    <row r="393" spans="1:26" x14ac:dyDescent="0.2">
      <c r="A393" s="21"/>
      <c r="B393" s="51"/>
      <c r="C393" s="22"/>
      <c r="D393" s="22"/>
      <c r="E393" s="24"/>
      <c r="F393" s="22"/>
      <c r="H393" s="21">
        <v>45889</v>
      </c>
      <c r="I393" s="22" t="s">
        <v>70</v>
      </c>
      <c r="J393" s="22" t="s">
        <v>52</v>
      </c>
      <c r="K393" s="24" t="s">
        <v>61</v>
      </c>
      <c r="M393" s="21">
        <v>45891</v>
      </c>
      <c r="N393" s="22" t="s">
        <v>70</v>
      </c>
      <c r="O393" s="22" t="s">
        <v>56</v>
      </c>
      <c r="P393" s="49">
        <v>74.400000000000006</v>
      </c>
      <c r="Q393" s="49">
        <v>74.599999999999994</v>
      </c>
      <c r="R393" s="50">
        <f t="shared" si="16"/>
        <v>-0.19999999999998863</v>
      </c>
      <c r="T393" s="21">
        <v>45896</v>
      </c>
      <c r="U393" s="22" t="s">
        <v>49</v>
      </c>
      <c r="V393" s="24">
        <v>4</v>
      </c>
      <c r="W393" s="24">
        <v>4</v>
      </c>
      <c r="X393" s="24">
        <v>4</v>
      </c>
      <c r="Y393" s="24">
        <v>4</v>
      </c>
      <c r="Z393" s="20">
        <f t="shared" si="17"/>
        <v>16</v>
      </c>
    </row>
    <row r="394" spans="1:26" x14ac:dyDescent="0.2">
      <c r="A394" s="21"/>
      <c r="B394" s="51"/>
      <c r="C394" s="22"/>
      <c r="D394" s="22"/>
      <c r="E394" s="24"/>
      <c r="F394" s="22"/>
      <c r="H394" s="21">
        <v>45889</v>
      </c>
      <c r="I394" s="22" t="s">
        <v>70</v>
      </c>
      <c r="J394" s="22" t="s">
        <v>53</v>
      </c>
      <c r="K394" s="24">
        <v>7</v>
      </c>
      <c r="M394" s="21">
        <v>45891</v>
      </c>
      <c r="N394" s="22" t="s">
        <v>70</v>
      </c>
      <c r="O394" s="22" t="s">
        <v>57</v>
      </c>
      <c r="P394" s="49">
        <v>93.9</v>
      </c>
      <c r="Q394" s="49">
        <v>93.1</v>
      </c>
      <c r="R394" s="50">
        <f t="shared" si="16"/>
        <v>0.80000000000001137</v>
      </c>
      <c r="T394" s="21">
        <v>45896</v>
      </c>
      <c r="U394" s="22" t="s">
        <v>50</v>
      </c>
      <c r="V394" s="24">
        <v>4</v>
      </c>
      <c r="W394" s="24">
        <v>4</v>
      </c>
      <c r="X394" s="24">
        <v>4</v>
      </c>
      <c r="Y394" s="24">
        <v>5</v>
      </c>
      <c r="Z394" s="20">
        <f t="shared" si="17"/>
        <v>17</v>
      </c>
    </row>
    <row r="395" spans="1:26" x14ac:dyDescent="0.2">
      <c r="A395" s="21"/>
      <c r="B395" s="51"/>
      <c r="C395" s="22"/>
      <c r="D395" s="22"/>
      <c r="E395" s="24"/>
      <c r="F395" s="22"/>
      <c r="H395" s="21">
        <v>45889</v>
      </c>
      <c r="I395" s="22" t="s">
        <v>70</v>
      </c>
      <c r="J395" s="22" t="s">
        <v>44</v>
      </c>
      <c r="K395" s="24">
        <v>7</v>
      </c>
      <c r="M395" s="21">
        <v>45891</v>
      </c>
      <c r="N395" s="22" t="s">
        <v>70</v>
      </c>
      <c r="O395" s="22" t="s">
        <v>58</v>
      </c>
      <c r="P395" s="49">
        <v>75.400000000000006</v>
      </c>
      <c r="Q395" s="49">
        <v>75.099999999999994</v>
      </c>
      <c r="R395" s="50">
        <f t="shared" si="16"/>
        <v>0.30000000000001137</v>
      </c>
      <c r="T395" s="21">
        <v>45896</v>
      </c>
      <c r="U395" s="22" t="s">
        <v>51</v>
      </c>
      <c r="V395" s="24">
        <v>4</v>
      </c>
      <c r="W395" s="24">
        <v>4</v>
      </c>
      <c r="X395" s="24">
        <v>4</v>
      </c>
      <c r="Y395" s="24">
        <v>4</v>
      </c>
      <c r="Z395" s="20">
        <f t="shared" si="17"/>
        <v>16</v>
      </c>
    </row>
    <row r="396" spans="1:26" x14ac:dyDescent="0.2">
      <c r="A396" s="21"/>
      <c r="B396" s="51"/>
      <c r="C396" s="22"/>
      <c r="D396" s="22"/>
      <c r="E396" s="24"/>
      <c r="F396" s="22"/>
      <c r="H396" s="21">
        <v>45889</v>
      </c>
      <c r="I396" s="22" t="s">
        <v>70</v>
      </c>
      <c r="J396" s="22" t="s">
        <v>45</v>
      </c>
      <c r="K396" s="24">
        <v>7</v>
      </c>
      <c r="M396" s="21">
        <v>45895</v>
      </c>
      <c r="N396" s="22" t="s">
        <v>70</v>
      </c>
      <c r="O396" s="22" t="s">
        <v>41</v>
      </c>
      <c r="P396" s="49">
        <v>77</v>
      </c>
      <c r="Q396" s="49">
        <v>76</v>
      </c>
      <c r="R396" s="50">
        <f t="shared" si="16"/>
        <v>1</v>
      </c>
      <c r="T396" s="21">
        <v>45896</v>
      </c>
      <c r="U396" s="22" t="s">
        <v>52</v>
      </c>
      <c r="V396" s="24">
        <v>4</v>
      </c>
      <c r="W396" s="24">
        <v>5</v>
      </c>
      <c r="X396" s="24">
        <v>3</v>
      </c>
      <c r="Y396" s="24">
        <v>4</v>
      </c>
      <c r="Z396" s="20">
        <f t="shared" si="17"/>
        <v>16</v>
      </c>
    </row>
    <row r="397" spans="1:26" x14ac:dyDescent="0.2">
      <c r="A397" s="21"/>
      <c r="B397" s="51"/>
      <c r="C397" s="22"/>
      <c r="D397" s="22"/>
      <c r="E397" s="24"/>
      <c r="F397" s="22"/>
      <c r="H397" s="21">
        <v>45889</v>
      </c>
      <c r="I397" s="22" t="s">
        <v>70</v>
      </c>
      <c r="J397" s="22" t="s">
        <v>57</v>
      </c>
      <c r="K397" s="24">
        <v>8</v>
      </c>
      <c r="M397" s="21">
        <v>45895</v>
      </c>
      <c r="N397" s="22" t="s">
        <v>70</v>
      </c>
      <c r="O397" s="22" t="s">
        <v>42</v>
      </c>
      <c r="P397" s="49">
        <v>79.400000000000006</v>
      </c>
      <c r="Q397" s="49">
        <v>79</v>
      </c>
      <c r="R397" s="50">
        <f t="shared" si="16"/>
        <v>0.40000000000000568</v>
      </c>
      <c r="T397" s="21">
        <v>45896</v>
      </c>
      <c r="U397" s="22" t="s">
        <v>53</v>
      </c>
      <c r="V397" s="24">
        <v>4</v>
      </c>
      <c r="W397" s="24">
        <v>4</v>
      </c>
      <c r="X397" s="24">
        <v>3</v>
      </c>
      <c r="Y397" s="24">
        <v>5</v>
      </c>
      <c r="Z397" s="20">
        <f t="shared" si="17"/>
        <v>16</v>
      </c>
    </row>
    <row r="398" spans="1:26" x14ac:dyDescent="0.2">
      <c r="A398" s="21"/>
      <c r="B398" s="51"/>
      <c r="C398" s="22"/>
      <c r="D398" s="22"/>
      <c r="E398" s="24"/>
      <c r="F398" s="22"/>
      <c r="H398" s="21">
        <v>45889</v>
      </c>
      <c r="I398" s="22" t="s">
        <v>70</v>
      </c>
      <c r="J398" s="22" t="s">
        <v>42</v>
      </c>
      <c r="K398" s="24">
        <v>6</v>
      </c>
      <c r="M398" s="21">
        <v>45895</v>
      </c>
      <c r="N398" s="22" t="s">
        <v>70</v>
      </c>
      <c r="O398" s="22" t="s">
        <v>43</v>
      </c>
      <c r="P398" s="49">
        <v>87.5</v>
      </c>
      <c r="Q398" s="49">
        <v>87.1</v>
      </c>
      <c r="R398" s="50">
        <f t="shared" si="16"/>
        <v>0.40000000000000568</v>
      </c>
      <c r="T398" s="21">
        <v>45896</v>
      </c>
      <c r="U398" s="22" t="s">
        <v>54</v>
      </c>
      <c r="V398" s="24">
        <v>3</v>
      </c>
      <c r="W398" s="24">
        <v>4</v>
      </c>
      <c r="X398" s="24">
        <v>3</v>
      </c>
      <c r="Y398" s="24">
        <v>4</v>
      </c>
      <c r="Z398" s="20">
        <f t="shared" si="17"/>
        <v>14</v>
      </c>
    </row>
    <row r="399" spans="1:26" x14ac:dyDescent="0.2">
      <c r="A399" s="21"/>
      <c r="B399" s="51"/>
      <c r="C399" s="22"/>
      <c r="D399" s="22"/>
      <c r="E399" s="24"/>
      <c r="F399" s="22"/>
      <c r="H399" s="21">
        <v>45889</v>
      </c>
      <c r="I399" s="22" t="s">
        <v>70</v>
      </c>
      <c r="J399" s="22" t="s">
        <v>54</v>
      </c>
      <c r="K399" s="24">
        <v>8</v>
      </c>
      <c r="M399" s="21">
        <v>45895</v>
      </c>
      <c r="N399" s="22" t="s">
        <v>70</v>
      </c>
      <c r="O399" s="22" t="s">
        <v>44</v>
      </c>
      <c r="P399" s="49">
        <v>68.3</v>
      </c>
      <c r="Q399" s="49">
        <v>67.900000000000006</v>
      </c>
      <c r="R399" s="50">
        <f t="shared" si="16"/>
        <v>0.39999999999999147</v>
      </c>
      <c r="T399" s="21">
        <v>45896</v>
      </c>
      <c r="U399" s="22" t="s">
        <v>56</v>
      </c>
      <c r="V399" s="24">
        <v>4</v>
      </c>
      <c r="W399" s="24">
        <v>4</v>
      </c>
      <c r="X399" s="24">
        <v>4</v>
      </c>
      <c r="Y399" s="24">
        <v>5</v>
      </c>
      <c r="Z399" s="20">
        <f t="shared" si="17"/>
        <v>17</v>
      </c>
    </row>
    <row r="400" spans="1:26" x14ac:dyDescent="0.2">
      <c r="A400" s="21"/>
      <c r="B400" s="51"/>
      <c r="C400" s="22"/>
      <c r="D400" s="22"/>
      <c r="E400" s="24"/>
      <c r="F400" s="22"/>
      <c r="H400" s="21">
        <v>45889</v>
      </c>
      <c r="I400" s="22" t="s">
        <v>70</v>
      </c>
      <c r="J400" s="22" t="s">
        <v>47</v>
      </c>
      <c r="K400" s="24">
        <v>7</v>
      </c>
      <c r="M400" s="21">
        <v>45895</v>
      </c>
      <c r="N400" s="22" t="s">
        <v>70</v>
      </c>
      <c r="O400" s="22" t="s">
        <v>45</v>
      </c>
      <c r="P400" s="49">
        <v>68.3</v>
      </c>
      <c r="Q400" s="49">
        <v>68</v>
      </c>
      <c r="R400" s="50">
        <f t="shared" si="16"/>
        <v>0.29999999999999716</v>
      </c>
      <c r="T400" s="21">
        <v>45896</v>
      </c>
      <c r="U400" s="22" t="s">
        <v>57</v>
      </c>
      <c r="V400" s="24">
        <v>4</v>
      </c>
      <c r="W400" s="24">
        <v>4</v>
      </c>
      <c r="X400" s="24">
        <v>4</v>
      </c>
      <c r="Y400" s="24">
        <v>5</v>
      </c>
      <c r="Z400" s="20">
        <f t="shared" si="17"/>
        <v>17</v>
      </c>
    </row>
    <row r="401" spans="1:26" x14ac:dyDescent="0.2">
      <c r="A401" s="21"/>
      <c r="B401" s="51"/>
      <c r="C401" s="22"/>
      <c r="D401" s="22"/>
      <c r="E401" s="24"/>
      <c r="F401" s="22"/>
      <c r="H401" s="21">
        <v>45889</v>
      </c>
      <c r="I401" s="22" t="s">
        <v>70</v>
      </c>
      <c r="J401" s="22" t="s">
        <v>41</v>
      </c>
      <c r="K401" s="24">
        <v>8</v>
      </c>
      <c r="M401" s="21">
        <v>45895</v>
      </c>
      <c r="N401" s="22" t="s">
        <v>70</v>
      </c>
      <c r="O401" s="22" t="s">
        <v>46</v>
      </c>
      <c r="P401" s="49">
        <v>80.2</v>
      </c>
      <c r="Q401" s="49">
        <v>80</v>
      </c>
      <c r="R401" s="50">
        <f t="shared" si="16"/>
        <v>0.20000000000000284</v>
      </c>
      <c r="T401" s="21">
        <v>45896</v>
      </c>
      <c r="U401" s="22" t="s">
        <v>33</v>
      </c>
      <c r="V401" s="24">
        <v>3.9375</v>
      </c>
      <c r="W401" s="24">
        <v>3.875</v>
      </c>
      <c r="X401" s="24">
        <v>3.75</v>
      </c>
      <c r="Y401" s="24">
        <v>4.4375</v>
      </c>
      <c r="Z401" s="20">
        <f t="shared" si="17"/>
        <v>16</v>
      </c>
    </row>
    <row r="402" spans="1:26" x14ac:dyDescent="0.2">
      <c r="A402" s="21"/>
      <c r="B402" s="51"/>
      <c r="C402" s="22"/>
      <c r="D402" s="22"/>
      <c r="E402" s="24"/>
      <c r="F402" s="22"/>
      <c r="H402" s="21">
        <v>45889</v>
      </c>
      <c r="I402" s="22" t="s">
        <v>70</v>
      </c>
      <c r="J402" s="22" t="s">
        <v>58</v>
      </c>
      <c r="K402" s="24">
        <v>8</v>
      </c>
      <c r="M402" s="21">
        <v>45895</v>
      </c>
      <c r="N402" s="22" t="s">
        <v>70</v>
      </c>
      <c r="O402" s="22" t="s">
        <v>47</v>
      </c>
      <c r="P402" s="49">
        <v>71.2</v>
      </c>
      <c r="Q402" s="49">
        <v>71.400000000000006</v>
      </c>
      <c r="R402" s="50">
        <f t="shared" si="16"/>
        <v>-0.20000000000000284</v>
      </c>
      <c r="T402" s="21">
        <v>45898</v>
      </c>
      <c r="U402" s="22" t="s">
        <v>41</v>
      </c>
      <c r="V402" s="24">
        <v>1</v>
      </c>
      <c r="W402" s="24">
        <v>1</v>
      </c>
      <c r="X402" s="24">
        <v>1</v>
      </c>
      <c r="Y402" s="24">
        <v>1</v>
      </c>
      <c r="Z402" s="20">
        <f t="shared" si="17"/>
        <v>4</v>
      </c>
    </row>
    <row r="403" spans="1:26" x14ac:dyDescent="0.2">
      <c r="A403" s="21"/>
      <c r="B403" s="51"/>
      <c r="C403" s="22"/>
      <c r="D403" s="22"/>
      <c r="E403" s="24"/>
      <c r="F403" s="22"/>
      <c r="H403" s="21">
        <v>45889</v>
      </c>
      <c r="I403" s="22" t="s">
        <v>70</v>
      </c>
      <c r="J403" s="22" t="s">
        <v>49</v>
      </c>
      <c r="K403" s="24">
        <v>8</v>
      </c>
      <c r="M403" s="21">
        <v>45895</v>
      </c>
      <c r="N403" s="22" t="s">
        <v>70</v>
      </c>
      <c r="O403" s="22" t="s">
        <v>48</v>
      </c>
      <c r="P403" s="49">
        <v>82.7</v>
      </c>
      <c r="Q403" s="49">
        <v>80.7</v>
      </c>
      <c r="R403" s="50">
        <f t="shared" si="16"/>
        <v>2</v>
      </c>
      <c r="T403" s="21">
        <v>45898</v>
      </c>
      <c r="U403" s="22" t="s">
        <v>42</v>
      </c>
      <c r="V403" s="24">
        <v>4</v>
      </c>
      <c r="W403" s="24">
        <v>4</v>
      </c>
      <c r="X403" s="24">
        <v>4</v>
      </c>
      <c r="Y403" s="24">
        <v>5</v>
      </c>
      <c r="Z403" s="20">
        <f t="shared" si="17"/>
        <v>17</v>
      </c>
    </row>
    <row r="404" spans="1:26" x14ac:dyDescent="0.2">
      <c r="A404" s="21"/>
      <c r="B404" s="51"/>
      <c r="C404" s="22"/>
      <c r="D404" s="22"/>
      <c r="E404" s="24"/>
      <c r="F404" s="22"/>
      <c r="H404" s="21">
        <v>45889</v>
      </c>
      <c r="I404" s="22" t="s">
        <v>70</v>
      </c>
      <c r="J404" s="22" t="s">
        <v>50</v>
      </c>
      <c r="K404" s="24">
        <v>7</v>
      </c>
      <c r="M404" s="21">
        <v>45895</v>
      </c>
      <c r="N404" s="22" t="s">
        <v>70</v>
      </c>
      <c r="O404" s="22" t="s">
        <v>49</v>
      </c>
      <c r="P404" s="49">
        <v>79</v>
      </c>
      <c r="Q404" s="49">
        <v>79.400000000000006</v>
      </c>
      <c r="R404" s="50">
        <f t="shared" si="16"/>
        <v>-0.40000000000000568</v>
      </c>
      <c r="T404" s="21">
        <v>45898</v>
      </c>
      <c r="U404" s="22" t="s">
        <v>44</v>
      </c>
      <c r="V404" s="24">
        <v>5</v>
      </c>
      <c r="W404" s="24">
        <v>4</v>
      </c>
      <c r="X404" s="24">
        <v>5</v>
      </c>
      <c r="Y404" s="24">
        <v>5</v>
      </c>
      <c r="Z404" s="20">
        <f t="shared" si="17"/>
        <v>19</v>
      </c>
    </row>
    <row r="405" spans="1:26" x14ac:dyDescent="0.2">
      <c r="A405" s="21"/>
      <c r="B405" s="51"/>
      <c r="C405" s="22"/>
      <c r="D405" s="22"/>
      <c r="E405" s="24"/>
      <c r="F405" s="22"/>
      <c r="H405" s="21">
        <v>45889</v>
      </c>
      <c r="I405" s="22" t="s">
        <v>70</v>
      </c>
      <c r="J405" s="22" t="s">
        <v>51</v>
      </c>
      <c r="K405" s="24">
        <v>8</v>
      </c>
      <c r="M405" s="21">
        <v>45895</v>
      </c>
      <c r="N405" s="22" t="s">
        <v>70</v>
      </c>
      <c r="O405" s="22" t="s">
        <v>50</v>
      </c>
      <c r="P405" s="49">
        <v>70.3</v>
      </c>
      <c r="Q405" s="49">
        <v>69.599999999999994</v>
      </c>
      <c r="R405" s="50">
        <f t="shared" si="16"/>
        <v>0.70000000000000284</v>
      </c>
      <c r="T405" s="21">
        <v>45898</v>
      </c>
      <c r="U405" s="22" t="s">
        <v>45</v>
      </c>
      <c r="V405" s="24">
        <v>4</v>
      </c>
      <c r="W405" s="24">
        <v>4</v>
      </c>
      <c r="X405" s="24">
        <v>4</v>
      </c>
      <c r="Y405" s="24">
        <v>5</v>
      </c>
      <c r="Z405" s="20">
        <f t="shared" si="17"/>
        <v>17</v>
      </c>
    </row>
    <row r="406" spans="1:26" x14ac:dyDescent="0.2">
      <c r="A406" s="21"/>
      <c r="B406" s="51"/>
      <c r="C406" s="22"/>
      <c r="D406" s="22"/>
      <c r="E406" s="24"/>
      <c r="F406" s="22"/>
      <c r="H406" s="21">
        <v>45889</v>
      </c>
      <c r="I406" s="22" t="s">
        <v>70</v>
      </c>
      <c r="J406" s="22" t="s">
        <v>46</v>
      </c>
      <c r="K406" s="24">
        <v>7</v>
      </c>
      <c r="M406" s="21">
        <v>45895</v>
      </c>
      <c r="N406" s="22" t="s">
        <v>70</v>
      </c>
      <c r="O406" s="22" t="s">
        <v>51</v>
      </c>
      <c r="P406" s="49">
        <v>74.900000000000006</v>
      </c>
      <c r="Q406" s="49">
        <v>74.599999999999994</v>
      </c>
      <c r="R406" s="50">
        <f t="shared" si="16"/>
        <v>0.30000000000001137</v>
      </c>
      <c r="T406" s="21">
        <v>45898</v>
      </c>
      <c r="U406" s="22" t="s">
        <v>46</v>
      </c>
      <c r="V406" s="24">
        <v>5</v>
      </c>
      <c r="W406" s="24">
        <v>4</v>
      </c>
      <c r="X406" s="24">
        <v>4</v>
      </c>
      <c r="Y406" s="24">
        <v>4</v>
      </c>
      <c r="Z406" s="20">
        <f t="shared" si="17"/>
        <v>17</v>
      </c>
    </row>
    <row r="407" spans="1:26" x14ac:dyDescent="0.2">
      <c r="A407" s="21"/>
      <c r="B407" s="51"/>
      <c r="C407" s="22"/>
      <c r="D407" s="22"/>
      <c r="E407" s="24"/>
      <c r="F407" s="22"/>
      <c r="H407" s="21">
        <v>45889</v>
      </c>
      <c r="I407" s="22" t="s">
        <v>70</v>
      </c>
      <c r="J407" s="22" t="s">
        <v>48</v>
      </c>
      <c r="K407" s="24">
        <v>8</v>
      </c>
      <c r="M407" s="21">
        <v>45895</v>
      </c>
      <c r="N407" s="22" t="s">
        <v>70</v>
      </c>
      <c r="O407" s="22" t="s">
        <v>52</v>
      </c>
      <c r="P407" s="49">
        <v>70.900000000000006</v>
      </c>
      <c r="Q407" s="49">
        <v>70.900000000000006</v>
      </c>
      <c r="R407" s="50">
        <f t="shared" si="16"/>
        <v>0</v>
      </c>
      <c r="T407" s="21">
        <v>45898</v>
      </c>
      <c r="U407" s="22" t="s">
        <v>47</v>
      </c>
      <c r="V407" s="24">
        <v>3</v>
      </c>
      <c r="W407" s="24">
        <v>4</v>
      </c>
      <c r="X407" s="24">
        <v>4</v>
      </c>
      <c r="Y407" s="24">
        <v>5</v>
      </c>
      <c r="Z407" s="20">
        <f t="shared" si="17"/>
        <v>16</v>
      </c>
    </row>
    <row r="408" spans="1:26" x14ac:dyDescent="0.2">
      <c r="A408" s="21"/>
      <c r="B408" s="51"/>
      <c r="C408" s="22"/>
      <c r="D408" s="22"/>
      <c r="E408" s="24"/>
      <c r="F408" s="22"/>
      <c r="H408" s="21">
        <v>45889</v>
      </c>
      <c r="I408" s="22" t="s">
        <v>70</v>
      </c>
      <c r="J408" s="22" t="s">
        <v>56</v>
      </c>
      <c r="K408" s="24">
        <v>8</v>
      </c>
      <c r="M408" s="21">
        <v>45895</v>
      </c>
      <c r="N408" s="22" t="s">
        <v>70</v>
      </c>
      <c r="O408" s="22" t="s">
        <v>53</v>
      </c>
      <c r="P408" s="49">
        <v>67.3</v>
      </c>
      <c r="Q408" s="49">
        <v>66.900000000000006</v>
      </c>
      <c r="R408" s="50">
        <f t="shared" si="16"/>
        <v>0.39999999999999147</v>
      </c>
      <c r="T408" s="21">
        <v>45898</v>
      </c>
      <c r="U408" s="22" t="s">
        <v>48</v>
      </c>
      <c r="V408" s="24">
        <v>3</v>
      </c>
      <c r="W408" s="24">
        <v>3</v>
      </c>
      <c r="X408" s="24">
        <v>5</v>
      </c>
      <c r="Y408" s="24">
        <v>5</v>
      </c>
      <c r="Z408" s="20">
        <f t="shared" si="17"/>
        <v>16</v>
      </c>
    </row>
    <row r="409" spans="1:26" x14ac:dyDescent="0.2">
      <c r="A409" s="21"/>
      <c r="B409" s="51"/>
      <c r="C409" s="22"/>
      <c r="D409" s="22"/>
      <c r="E409" s="24"/>
      <c r="F409" s="22"/>
      <c r="H409" s="21">
        <v>45889</v>
      </c>
      <c r="I409" s="22" t="s">
        <v>71</v>
      </c>
      <c r="J409" s="22" t="s">
        <v>52</v>
      </c>
      <c r="K409" s="24" t="s">
        <v>61</v>
      </c>
      <c r="M409" s="21">
        <v>45895</v>
      </c>
      <c r="N409" s="22" t="s">
        <v>70</v>
      </c>
      <c r="O409" s="22" t="s">
        <v>54</v>
      </c>
      <c r="P409" s="49">
        <v>85.2</v>
      </c>
      <c r="Q409" s="49">
        <v>85</v>
      </c>
      <c r="R409" s="50">
        <f t="shared" si="16"/>
        <v>0.20000000000000284</v>
      </c>
      <c r="T409" s="21">
        <v>45898</v>
      </c>
      <c r="U409" s="22" t="s">
        <v>49</v>
      </c>
      <c r="V409" s="24">
        <v>4</v>
      </c>
      <c r="W409" s="24">
        <v>4</v>
      </c>
      <c r="X409" s="24">
        <v>4</v>
      </c>
      <c r="Y409" s="24">
        <v>4</v>
      </c>
      <c r="Z409" s="20">
        <f t="shared" si="17"/>
        <v>16</v>
      </c>
    </row>
    <row r="410" spans="1:26" x14ac:dyDescent="0.2">
      <c r="A410" s="21"/>
      <c r="B410" s="51"/>
      <c r="C410" s="22"/>
      <c r="D410" s="22"/>
      <c r="E410" s="24"/>
      <c r="F410" s="22"/>
      <c r="H410" s="21">
        <v>45889</v>
      </c>
      <c r="I410" s="22" t="s">
        <v>71</v>
      </c>
      <c r="J410" s="22" t="s">
        <v>53</v>
      </c>
      <c r="K410" s="24">
        <v>8</v>
      </c>
      <c r="M410" s="21">
        <v>45895</v>
      </c>
      <c r="N410" s="22" t="s">
        <v>70</v>
      </c>
      <c r="O410" s="22" t="s">
        <v>56</v>
      </c>
      <c r="P410" s="49">
        <v>75.599999999999994</v>
      </c>
      <c r="Q410" s="49">
        <v>75.8</v>
      </c>
      <c r="R410" s="50">
        <f t="shared" si="16"/>
        <v>-0.20000000000000284</v>
      </c>
      <c r="T410" s="21">
        <v>45898</v>
      </c>
      <c r="U410" s="22" t="s">
        <v>50</v>
      </c>
      <c r="V410" s="24">
        <v>3</v>
      </c>
      <c r="W410" s="24">
        <v>4</v>
      </c>
      <c r="X410" s="24">
        <v>4</v>
      </c>
      <c r="Y410" s="24">
        <v>5</v>
      </c>
      <c r="Z410" s="20">
        <f t="shared" si="17"/>
        <v>16</v>
      </c>
    </row>
    <row r="411" spans="1:26" x14ac:dyDescent="0.2">
      <c r="A411" s="21"/>
      <c r="B411" s="51"/>
      <c r="C411" s="22"/>
      <c r="D411" s="22"/>
      <c r="E411" s="24"/>
      <c r="F411" s="22"/>
      <c r="H411" s="21">
        <v>45889</v>
      </c>
      <c r="I411" s="22" t="s">
        <v>71</v>
      </c>
      <c r="J411" s="22" t="s">
        <v>44</v>
      </c>
      <c r="K411" s="24">
        <v>8</v>
      </c>
      <c r="M411" s="21">
        <v>45895</v>
      </c>
      <c r="N411" s="22" t="s">
        <v>70</v>
      </c>
      <c r="O411" s="22" t="s">
        <v>57</v>
      </c>
      <c r="P411" s="49">
        <v>93.2</v>
      </c>
      <c r="Q411" s="49">
        <v>92.1</v>
      </c>
      <c r="R411" s="50">
        <f t="shared" si="16"/>
        <v>1.1000000000000085</v>
      </c>
      <c r="T411" s="21">
        <v>45898</v>
      </c>
      <c r="U411" s="22" t="s">
        <v>51</v>
      </c>
      <c r="V411" s="24">
        <v>4</v>
      </c>
      <c r="W411" s="24">
        <v>4</v>
      </c>
      <c r="X411" s="24">
        <v>5</v>
      </c>
      <c r="Y411" s="24">
        <v>4</v>
      </c>
      <c r="Z411" s="20">
        <f t="shared" si="17"/>
        <v>17</v>
      </c>
    </row>
    <row r="412" spans="1:26" x14ac:dyDescent="0.2">
      <c r="A412" s="21"/>
      <c r="B412" s="51"/>
      <c r="C412" s="22"/>
      <c r="D412" s="22"/>
      <c r="E412" s="24"/>
      <c r="F412" s="22"/>
      <c r="H412" s="21">
        <v>45889</v>
      </c>
      <c r="I412" s="22" t="s">
        <v>71</v>
      </c>
      <c r="J412" s="22" t="s">
        <v>45</v>
      </c>
      <c r="K412" s="24">
        <v>7</v>
      </c>
      <c r="M412" s="21">
        <v>45896</v>
      </c>
      <c r="N412" s="22" t="s">
        <v>70</v>
      </c>
      <c r="O412" s="22" t="s">
        <v>41</v>
      </c>
      <c r="P412" s="49">
        <v>77</v>
      </c>
      <c r="Q412" s="49">
        <v>75.8</v>
      </c>
      <c r="R412" s="50">
        <f t="shared" si="16"/>
        <v>1.2000000000000028</v>
      </c>
      <c r="T412" s="21">
        <v>45898</v>
      </c>
      <c r="U412" s="22" t="s">
        <v>52</v>
      </c>
      <c r="V412" s="24">
        <v>4</v>
      </c>
      <c r="W412" s="24">
        <v>5</v>
      </c>
      <c r="X412" s="24">
        <v>3</v>
      </c>
      <c r="Y412" s="24">
        <v>3</v>
      </c>
      <c r="Z412" s="20">
        <f t="shared" si="17"/>
        <v>15</v>
      </c>
    </row>
    <row r="413" spans="1:26" x14ac:dyDescent="0.2">
      <c r="A413" s="21"/>
      <c r="B413" s="51"/>
      <c r="C413" s="22"/>
      <c r="D413" s="22"/>
      <c r="E413" s="24"/>
      <c r="F413" s="22"/>
      <c r="H413" s="21">
        <v>45889</v>
      </c>
      <c r="I413" s="22" t="s">
        <v>71</v>
      </c>
      <c r="J413" s="22" t="s">
        <v>57</v>
      </c>
      <c r="K413" s="24">
        <v>7</v>
      </c>
      <c r="M413" s="21">
        <v>45896</v>
      </c>
      <c r="N413" s="22" t="s">
        <v>70</v>
      </c>
      <c r="O413" s="22" t="s">
        <v>42</v>
      </c>
      <c r="P413" s="49">
        <v>78.900000000000006</v>
      </c>
      <c r="Q413" s="49">
        <v>79</v>
      </c>
      <c r="R413" s="50">
        <f t="shared" si="16"/>
        <v>-9.9999999999994316E-2</v>
      </c>
      <c r="T413" s="21">
        <v>45898</v>
      </c>
      <c r="U413" s="22" t="s">
        <v>53</v>
      </c>
      <c r="V413" s="24">
        <v>4</v>
      </c>
      <c r="W413" s="24">
        <v>4</v>
      </c>
      <c r="X413" s="24">
        <v>3</v>
      </c>
      <c r="Y413" s="24">
        <v>5</v>
      </c>
      <c r="Z413" s="20">
        <f t="shared" si="17"/>
        <v>16</v>
      </c>
    </row>
    <row r="414" spans="1:26" x14ac:dyDescent="0.2">
      <c r="A414" s="21"/>
      <c r="B414" s="51"/>
      <c r="C414" s="22"/>
      <c r="D414" s="22"/>
      <c r="E414" s="24"/>
      <c r="F414" s="22"/>
      <c r="H414" s="21">
        <v>45889</v>
      </c>
      <c r="I414" s="22" t="s">
        <v>71</v>
      </c>
      <c r="J414" s="22" t="s">
        <v>42</v>
      </c>
      <c r="K414" s="24">
        <v>5</v>
      </c>
      <c r="M414" s="21">
        <v>45896</v>
      </c>
      <c r="N414" s="22" t="s">
        <v>70</v>
      </c>
      <c r="O414" s="22" t="s">
        <v>43</v>
      </c>
      <c r="P414" s="49">
        <v>87.9</v>
      </c>
      <c r="Q414" s="49">
        <v>87.2</v>
      </c>
      <c r="R414" s="50">
        <f t="shared" si="16"/>
        <v>0.70000000000000284</v>
      </c>
      <c r="T414" s="21">
        <v>45898</v>
      </c>
      <c r="U414" s="22" t="s">
        <v>54</v>
      </c>
      <c r="V414" s="24">
        <v>3</v>
      </c>
      <c r="W414" s="24">
        <v>3</v>
      </c>
      <c r="X414" s="24">
        <v>3</v>
      </c>
      <c r="Y414" s="24">
        <v>4</v>
      </c>
      <c r="Z414" s="20">
        <f t="shared" si="17"/>
        <v>13</v>
      </c>
    </row>
    <row r="415" spans="1:26" x14ac:dyDescent="0.2">
      <c r="A415" s="21"/>
      <c r="B415" s="51"/>
      <c r="C415" s="22"/>
      <c r="D415" s="22"/>
      <c r="E415" s="24"/>
      <c r="F415" s="22"/>
      <c r="H415" s="21">
        <v>45889</v>
      </c>
      <c r="I415" s="22" t="s">
        <v>71</v>
      </c>
      <c r="J415" s="22" t="s">
        <v>54</v>
      </c>
      <c r="K415" s="24">
        <v>9</v>
      </c>
      <c r="M415" s="21">
        <v>45896</v>
      </c>
      <c r="N415" s="22" t="s">
        <v>70</v>
      </c>
      <c r="O415" s="22" t="s">
        <v>44</v>
      </c>
      <c r="P415" s="49">
        <v>68.2</v>
      </c>
      <c r="Q415" s="49">
        <v>68</v>
      </c>
      <c r="R415" s="50">
        <f t="shared" si="16"/>
        <v>0.20000000000000284</v>
      </c>
      <c r="T415" s="21">
        <v>45898</v>
      </c>
      <c r="U415" s="22" t="s">
        <v>56</v>
      </c>
      <c r="V415" s="24">
        <v>4</v>
      </c>
      <c r="W415" s="24">
        <v>4</v>
      </c>
      <c r="X415" s="24">
        <v>4</v>
      </c>
      <c r="Y415" s="24">
        <v>5</v>
      </c>
      <c r="Z415" s="20">
        <f t="shared" si="17"/>
        <v>17</v>
      </c>
    </row>
    <row r="416" spans="1:26" x14ac:dyDescent="0.2">
      <c r="A416" s="21"/>
      <c r="B416" s="51"/>
      <c r="C416" s="22"/>
      <c r="D416" s="22"/>
      <c r="E416" s="24"/>
      <c r="F416" s="22"/>
      <c r="H416" s="21">
        <v>45889</v>
      </c>
      <c r="I416" s="22" t="s">
        <v>71</v>
      </c>
      <c r="J416" s="22" t="s">
        <v>47</v>
      </c>
      <c r="K416" s="24">
        <v>6</v>
      </c>
      <c r="M416" s="21">
        <v>45896</v>
      </c>
      <c r="N416" s="22" t="s">
        <v>70</v>
      </c>
      <c r="O416" s="22" t="s">
        <v>45</v>
      </c>
      <c r="P416" s="49">
        <v>69.400000000000006</v>
      </c>
      <c r="Q416" s="49">
        <v>69</v>
      </c>
      <c r="R416" s="50">
        <f t="shared" si="16"/>
        <v>0.40000000000000568</v>
      </c>
      <c r="T416" s="21">
        <v>45898</v>
      </c>
      <c r="U416" s="22" t="s">
        <v>57</v>
      </c>
      <c r="V416" s="24">
        <v>4</v>
      </c>
      <c r="W416" s="24">
        <v>4</v>
      </c>
      <c r="X416" s="24">
        <v>4</v>
      </c>
      <c r="Y416" s="24">
        <v>4</v>
      </c>
      <c r="Z416" s="20">
        <f t="shared" si="17"/>
        <v>16</v>
      </c>
    </row>
    <row r="417" spans="1:26" x14ac:dyDescent="0.2">
      <c r="A417" s="21"/>
      <c r="B417" s="51"/>
      <c r="C417" s="22"/>
      <c r="D417" s="22"/>
      <c r="E417" s="24"/>
      <c r="F417" s="22"/>
      <c r="H417" s="21">
        <v>45889</v>
      </c>
      <c r="I417" s="22" t="s">
        <v>71</v>
      </c>
      <c r="J417" s="22" t="s">
        <v>41</v>
      </c>
      <c r="K417" s="24">
        <v>6</v>
      </c>
      <c r="M417" s="21">
        <v>45896</v>
      </c>
      <c r="N417" s="22" t="s">
        <v>70</v>
      </c>
      <c r="O417" s="22" t="s">
        <v>46</v>
      </c>
      <c r="P417" s="49">
        <v>80.3</v>
      </c>
      <c r="Q417" s="49">
        <v>80.5</v>
      </c>
      <c r="R417" s="50">
        <f t="shared" si="16"/>
        <v>-0.20000000000000284</v>
      </c>
      <c r="T417" s="21">
        <v>45898</v>
      </c>
      <c r="U417" s="22" t="s">
        <v>33</v>
      </c>
      <c r="V417" s="24">
        <v>3.6666666666666701</v>
      </c>
      <c r="W417" s="24">
        <v>3.7333333333333298</v>
      </c>
      <c r="X417" s="24">
        <v>3.8</v>
      </c>
      <c r="Y417" s="24">
        <v>4.2666666666666702</v>
      </c>
      <c r="Z417" s="20">
        <f t="shared" si="17"/>
        <v>15.466666666666669</v>
      </c>
    </row>
    <row r="418" spans="1:26" x14ac:dyDescent="0.2">
      <c r="A418" s="21"/>
      <c r="B418" s="51"/>
      <c r="C418" s="22"/>
      <c r="D418" s="22"/>
      <c r="E418" s="24"/>
      <c r="F418" s="22"/>
      <c r="H418" s="21">
        <v>45889</v>
      </c>
      <c r="I418" s="22" t="s">
        <v>71</v>
      </c>
      <c r="J418" s="22" t="s">
        <v>58</v>
      </c>
      <c r="K418" s="24">
        <v>6</v>
      </c>
      <c r="M418" s="21">
        <v>45896</v>
      </c>
      <c r="N418" s="22" t="s">
        <v>70</v>
      </c>
      <c r="O418" s="22" t="s">
        <v>47</v>
      </c>
      <c r="P418" s="49">
        <v>71.7</v>
      </c>
      <c r="Q418" s="49">
        <v>71</v>
      </c>
      <c r="R418" s="50">
        <f t="shared" si="16"/>
        <v>0.70000000000000284</v>
      </c>
      <c r="T418" s="21">
        <v>45899</v>
      </c>
      <c r="U418" s="22" t="s">
        <v>41</v>
      </c>
      <c r="V418" s="24">
        <v>2</v>
      </c>
      <c r="W418" s="24">
        <v>2</v>
      </c>
      <c r="X418" s="24">
        <v>2</v>
      </c>
      <c r="Y418" s="24">
        <v>2</v>
      </c>
      <c r="Z418" s="20">
        <f t="shared" si="17"/>
        <v>8</v>
      </c>
    </row>
    <row r="419" spans="1:26" x14ac:dyDescent="0.2">
      <c r="A419" s="21"/>
      <c r="B419" s="51"/>
      <c r="C419" s="22"/>
      <c r="D419" s="22"/>
      <c r="E419" s="24"/>
      <c r="F419" s="22"/>
      <c r="H419" s="21">
        <v>45889</v>
      </c>
      <c r="I419" s="22" t="s">
        <v>71</v>
      </c>
      <c r="J419" s="22" t="s">
        <v>49</v>
      </c>
      <c r="K419" s="24">
        <v>8</v>
      </c>
      <c r="M419" s="21">
        <v>45896</v>
      </c>
      <c r="N419" s="22" t="s">
        <v>70</v>
      </c>
      <c r="O419" s="22" t="s">
        <v>48</v>
      </c>
      <c r="P419" s="49">
        <v>82.1</v>
      </c>
      <c r="Q419" s="49">
        <v>81</v>
      </c>
      <c r="R419" s="50">
        <f t="shared" si="16"/>
        <v>1.0999999999999943</v>
      </c>
      <c r="T419" s="21">
        <v>45899</v>
      </c>
      <c r="U419" s="22" t="s">
        <v>42</v>
      </c>
      <c r="V419" s="24">
        <v>4</v>
      </c>
      <c r="W419" s="24">
        <v>4</v>
      </c>
      <c r="X419" s="24">
        <v>4</v>
      </c>
      <c r="Y419" s="24">
        <v>5</v>
      </c>
      <c r="Z419" s="20">
        <f t="shared" si="17"/>
        <v>17</v>
      </c>
    </row>
    <row r="420" spans="1:26" x14ac:dyDescent="0.2">
      <c r="A420" s="21"/>
      <c r="B420" s="51"/>
      <c r="C420" s="22"/>
      <c r="D420" s="22"/>
      <c r="E420" s="24"/>
      <c r="F420" s="22"/>
      <c r="H420" s="21">
        <v>45889</v>
      </c>
      <c r="I420" s="22" t="s">
        <v>71</v>
      </c>
      <c r="J420" s="22" t="s">
        <v>50</v>
      </c>
      <c r="K420" s="24">
        <v>6</v>
      </c>
      <c r="M420" s="21">
        <v>45896</v>
      </c>
      <c r="N420" s="22" t="s">
        <v>70</v>
      </c>
      <c r="O420" s="22" t="s">
        <v>49</v>
      </c>
      <c r="P420" s="49">
        <v>79.599999999999994</v>
      </c>
      <c r="Q420" s="49">
        <v>80.2</v>
      </c>
      <c r="R420" s="50">
        <f t="shared" si="16"/>
        <v>-0.60000000000000853</v>
      </c>
      <c r="T420" s="21">
        <v>45899</v>
      </c>
      <c r="U420" s="22" t="s">
        <v>44</v>
      </c>
      <c r="V420" s="24">
        <v>5</v>
      </c>
      <c r="W420" s="24">
        <v>5</v>
      </c>
      <c r="X420" s="24">
        <v>5</v>
      </c>
      <c r="Y420" s="24">
        <v>5</v>
      </c>
      <c r="Z420" s="20">
        <f t="shared" si="17"/>
        <v>20</v>
      </c>
    </row>
    <row r="421" spans="1:26" x14ac:dyDescent="0.2">
      <c r="A421" s="21"/>
      <c r="B421" s="51"/>
      <c r="C421" s="22"/>
      <c r="D421" s="22"/>
      <c r="E421" s="24"/>
      <c r="F421" s="22"/>
      <c r="H421" s="21">
        <v>45889</v>
      </c>
      <c r="I421" s="22" t="s">
        <v>71</v>
      </c>
      <c r="J421" s="22" t="s">
        <v>51</v>
      </c>
      <c r="K421" s="24">
        <v>7</v>
      </c>
      <c r="M421" s="21">
        <v>45896</v>
      </c>
      <c r="N421" s="22" t="s">
        <v>70</v>
      </c>
      <c r="O421" s="22" t="s">
        <v>50</v>
      </c>
      <c r="P421" s="49">
        <v>70.400000000000006</v>
      </c>
      <c r="Q421" s="49">
        <v>70</v>
      </c>
      <c r="R421" s="50">
        <f t="shared" si="16"/>
        <v>0.40000000000000568</v>
      </c>
      <c r="T421" s="21">
        <v>45899</v>
      </c>
      <c r="U421" s="22" t="s">
        <v>45</v>
      </c>
      <c r="V421" s="24">
        <v>4</v>
      </c>
      <c r="W421" s="24">
        <v>4</v>
      </c>
      <c r="X421" s="24">
        <v>4</v>
      </c>
      <c r="Y421" s="24">
        <v>5</v>
      </c>
      <c r="Z421" s="20">
        <f t="shared" si="17"/>
        <v>17</v>
      </c>
    </row>
    <row r="422" spans="1:26" x14ac:dyDescent="0.2">
      <c r="A422" s="21"/>
      <c r="B422" s="51"/>
      <c r="C422" s="22"/>
      <c r="D422" s="22"/>
      <c r="E422" s="24"/>
      <c r="F422" s="22"/>
      <c r="H422" s="21">
        <v>45889</v>
      </c>
      <c r="I422" s="22" t="s">
        <v>71</v>
      </c>
      <c r="J422" s="22" t="s">
        <v>46</v>
      </c>
      <c r="K422" s="24">
        <v>9</v>
      </c>
      <c r="M422" s="21">
        <v>45896</v>
      </c>
      <c r="N422" s="22" t="s">
        <v>70</v>
      </c>
      <c r="O422" s="22" t="s">
        <v>51</v>
      </c>
      <c r="P422" s="49">
        <v>74.900000000000006</v>
      </c>
      <c r="Q422" s="49">
        <v>74.7</v>
      </c>
      <c r="R422" s="50">
        <f t="shared" si="16"/>
        <v>0.20000000000000284</v>
      </c>
      <c r="T422" s="21">
        <v>45899</v>
      </c>
      <c r="U422" s="22" t="s">
        <v>46</v>
      </c>
      <c r="V422" s="24">
        <v>5</v>
      </c>
      <c r="W422" s="24">
        <v>4</v>
      </c>
      <c r="X422" s="24">
        <v>4</v>
      </c>
      <c r="Y422" s="24">
        <v>4</v>
      </c>
      <c r="Z422" s="20">
        <f t="shared" si="17"/>
        <v>17</v>
      </c>
    </row>
    <row r="423" spans="1:26" x14ac:dyDescent="0.2">
      <c r="A423" s="21"/>
      <c r="B423" s="51"/>
      <c r="C423" s="22"/>
      <c r="D423" s="22"/>
      <c r="E423" s="24"/>
      <c r="F423" s="22"/>
      <c r="H423" s="21">
        <v>45889</v>
      </c>
      <c r="I423" s="22" t="s">
        <v>71</v>
      </c>
      <c r="J423" s="22" t="s">
        <v>48</v>
      </c>
      <c r="K423" s="24">
        <v>8</v>
      </c>
      <c r="M423" s="21">
        <v>45896</v>
      </c>
      <c r="N423" s="22" t="s">
        <v>70</v>
      </c>
      <c r="O423" s="22" t="s">
        <v>52</v>
      </c>
      <c r="P423" s="49">
        <v>70</v>
      </c>
      <c r="Q423" s="49">
        <v>70</v>
      </c>
      <c r="R423" s="50">
        <f t="shared" si="16"/>
        <v>0</v>
      </c>
      <c r="T423" s="21">
        <v>45899</v>
      </c>
      <c r="U423" s="22" t="s">
        <v>47</v>
      </c>
      <c r="V423" s="24">
        <v>4</v>
      </c>
      <c r="W423" s="24">
        <v>4</v>
      </c>
      <c r="X423" s="24">
        <v>4</v>
      </c>
      <c r="Y423" s="24">
        <v>5</v>
      </c>
      <c r="Z423" s="20">
        <f t="shared" si="17"/>
        <v>17</v>
      </c>
    </row>
    <row r="424" spans="1:26" x14ac:dyDescent="0.2">
      <c r="A424" s="21"/>
      <c r="B424" s="51"/>
      <c r="C424" s="22"/>
      <c r="D424" s="22"/>
      <c r="E424" s="24"/>
      <c r="F424" s="22"/>
      <c r="H424" s="21">
        <v>45889</v>
      </c>
      <c r="I424" s="22" t="s">
        <v>71</v>
      </c>
      <c r="J424" s="22" t="s">
        <v>56</v>
      </c>
      <c r="K424" s="24">
        <v>9</v>
      </c>
      <c r="M424" s="21">
        <v>45896</v>
      </c>
      <c r="N424" s="22" t="s">
        <v>70</v>
      </c>
      <c r="O424" s="22" t="s">
        <v>53</v>
      </c>
      <c r="P424" s="49">
        <v>67.099999999999994</v>
      </c>
      <c r="Q424" s="49">
        <v>66.900000000000006</v>
      </c>
      <c r="R424" s="50">
        <f t="shared" si="16"/>
        <v>0.19999999999998863</v>
      </c>
      <c r="T424" s="21">
        <v>45899</v>
      </c>
      <c r="U424" s="22" t="s">
        <v>48</v>
      </c>
      <c r="V424" s="24">
        <v>5</v>
      </c>
      <c r="W424" s="24">
        <v>4</v>
      </c>
      <c r="X424" s="24">
        <v>4</v>
      </c>
      <c r="Y424" s="24">
        <v>5</v>
      </c>
      <c r="Z424" s="20">
        <f t="shared" si="17"/>
        <v>18</v>
      </c>
    </row>
    <row r="425" spans="1:26" x14ac:dyDescent="0.2">
      <c r="A425" s="21"/>
      <c r="B425" s="51"/>
      <c r="C425" s="22"/>
      <c r="D425" s="22"/>
      <c r="E425" s="24"/>
      <c r="F425" s="22"/>
      <c r="H425" s="21">
        <v>45890</v>
      </c>
      <c r="I425" s="22" t="s">
        <v>70</v>
      </c>
      <c r="J425" s="22" t="s">
        <v>52</v>
      </c>
      <c r="K425" s="24" t="s">
        <v>61</v>
      </c>
      <c r="M425" s="21">
        <v>45896</v>
      </c>
      <c r="N425" s="22" t="s">
        <v>70</v>
      </c>
      <c r="O425" s="22" t="s">
        <v>54</v>
      </c>
      <c r="P425" s="49">
        <v>84.9</v>
      </c>
      <c r="Q425" s="49">
        <v>85.4</v>
      </c>
      <c r="R425" s="50">
        <f t="shared" si="16"/>
        <v>-0.5</v>
      </c>
      <c r="T425" s="21">
        <v>45899</v>
      </c>
      <c r="U425" s="22" t="s">
        <v>49</v>
      </c>
      <c r="V425" s="24">
        <v>4</v>
      </c>
      <c r="W425" s="24">
        <v>4</v>
      </c>
      <c r="X425" s="24">
        <v>4</v>
      </c>
      <c r="Y425" s="24">
        <v>4</v>
      </c>
      <c r="Z425" s="20">
        <f t="shared" si="17"/>
        <v>16</v>
      </c>
    </row>
    <row r="426" spans="1:26" x14ac:dyDescent="0.2">
      <c r="A426" s="21"/>
      <c r="B426" s="51"/>
      <c r="C426" s="22"/>
      <c r="D426" s="22"/>
      <c r="E426" s="24"/>
      <c r="F426" s="22"/>
      <c r="H426" s="21">
        <v>45890</v>
      </c>
      <c r="I426" s="22" t="s">
        <v>70</v>
      </c>
      <c r="J426" s="22" t="s">
        <v>53</v>
      </c>
      <c r="K426" s="24">
        <v>5</v>
      </c>
      <c r="M426" s="21">
        <v>45896</v>
      </c>
      <c r="N426" s="22" t="s">
        <v>70</v>
      </c>
      <c r="O426" s="22" t="s">
        <v>56</v>
      </c>
      <c r="P426" s="49">
        <v>74.7</v>
      </c>
      <c r="Q426" s="49">
        <v>74.599999999999994</v>
      </c>
      <c r="R426" s="50">
        <f t="shared" si="16"/>
        <v>0.10000000000000853</v>
      </c>
      <c r="T426" s="21">
        <v>45899</v>
      </c>
      <c r="U426" s="22" t="s">
        <v>50</v>
      </c>
      <c r="V426" s="24">
        <v>5</v>
      </c>
      <c r="W426" s="24">
        <v>4</v>
      </c>
      <c r="X426" s="24">
        <v>4</v>
      </c>
      <c r="Y426" s="24">
        <v>5</v>
      </c>
      <c r="Z426" s="20">
        <f t="shared" si="17"/>
        <v>18</v>
      </c>
    </row>
    <row r="427" spans="1:26" x14ac:dyDescent="0.2">
      <c r="A427" s="21"/>
      <c r="B427" s="51"/>
      <c r="C427" s="22"/>
      <c r="D427" s="22"/>
      <c r="E427" s="24"/>
      <c r="F427" s="22"/>
      <c r="H427" s="21">
        <v>45890</v>
      </c>
      <c r="I427" s="22" t="s">
        <v>70</v>
      </c>
      <c r="J427" s="22" t="s">
        <v>44</v>
      </c>
      <c r="K427" s="24">
        <v>2</v>
      </c>
      <c r="M427" s="21">
        <v>45896</v>
      </c>
      <c r="N427" s="22" t="s">
        <v>70</v>
      </c>
      <c r="O427" s="22" t="s">
        <v>57</v>
      </c>
      <c r="P427" s="49">
        <v>93</v>
      </c>
      <c r="Q427" s="49">
        <v>92.2</v>
      </c>
      <c r="R427" s="50">
        <f t="shared" si="16"/>
        <v>0.79999999999999716</v>
      </c>
      <c r="T427" s="21">
        <v>45899</v>
      </c>
      <c r="U427" s="22" t="s">
        <v>51</v>
      </c>
      <c r="V427" s="24">
        <v>5</v>
      </c>
      <c r="W427" s="24">
        <v>4</v>
      </c>
      <c r="X427" s="24">
        <v>5</v>
      </c>
      <c r="Y427" s="24">
        <v>5</v>
      </c>
      <c r="Z427" s="20">
        <f t="shared" si="17"/>
        <v>19</v>
      </c>
    </row>
    <row r="428" spans="1:26" x14ac:dyDescent="0.2">
      <c r="A428" s="21"/>
      <c r="B428" s="51"/>
      <c r="C428" s="22"/>
      <c r="D428" s="22"/>
      <c r="E428" s="24"/>
      <c r="F428" s="22"/>
      <c r="H428" s="21">
        <v>45890</v>
      </c>
      <c r="I428" s="22" t="s">
        <v>70</v>
      </c>
      <c r="J428" s="22" t="s">
        <v>45</v>
      </c>
      <c r="K428" s="24">
        <v>3</v>
      </c>
      <c r="M428" s="21">
        <v>45897</v>
      </c>
      <c r="N428" s="22" t="s">
        <v>70</v>
      </c>
      <c r="O428" s="22" t="s">
        <v>41</v>
      </c>
      <c r="P428" s="49">
        <v>76.8</v>
      </c>
      <c r="Q428" s="49">
        <v>76</v>
      </c>
      <c r="R428" s="50">
        <f t="shared" si="16"/>
        <v>0.79999999999999716</v>
      </c>
      <c r="T428" s="21">
        <v>45899</v>
      </c>
      <c r="U428" s="22" t="s">
        <v>53</v>
      </c>
      <c r="V428" s="24">
        <v>4</v>
      </c>
      <c r="W428" s="24">
        <v>4</v>
      </c>
      <c r="X428" s="24">
        <v>3</v>
      </c>
      <c r="Y428" s="24">
        <v>5</v>
      </c>
      <c r="Z428" s="20">
        <f t="shared" si="17"/>
        <v>16</v>
      </c>
    </row>
    <row r="429" spans="1:26" x14ac:dyDescent="0.2">
      <c r="A429" s="21"/>
      <c r="B429" s="51"/>
      <c r="C429" s="22"/>
      <c r="D429" s="22"/>
      <c r="E429" s="24"/>
      <c r="F429" s="22"/>
      <c r="H429" s="21">
        <v>45890</v>
      </c>
      <c r="I429" s="22" t="s">
        <v>70</v>
      </c>
      <c r="J429" s="22" t="s">
        <v>57</v>
      </c>
      <c r="K429" s="24">
        <v>5</v>
      </c>
      <c r="M429" s="21">
        <v>45897</v>
      </c>
      <c r="N429" s="22" t="s">
        <v>70</v>
      </c>
      <c r="O429" s="22" t="s">
        <v>42</v>
      </c>
      <c r="P429" s="49">
        <v>79</v>
      </c>
      <c r="Q429" s="49">
        <v>78.599999999999994</v>
      </c>
      <c r="R429" s="50">
        <f t="shared" si="16"/>
        <v>0.40000000000000568</v>
      </c>
      <c r="T429" s="21">
        <v>45899</v>
      </c>
      <c r="U429" s="22" t="s">
        <v>54</v>
      </c>
      <c r="V429" s="24">
        <v>4</v>
      </c>
      <c r="W429" s="24">
        <v>4</v>
      </c>
      <c r="X429" s="24">
        <v>3</v>
      </c>
      <c r="Y429" s="24">
        <v>5</v>
      </c>
      <c r="Z429" s="20">
        <f t="shared" si="17"/>
        <v>16</v>
      </c>
    </row>
    <row r="430" spans="1:26" x14ac:dyDescent="0.2">
      <c r="A430" s="21"/>
      <c r="B430" s="51"/>
      <c r="C430" s="22"/>
      <c r="D430" s="22"/>
      <c r="E430" s="24"/>
      <c r="F430" s="22"/>
      <c r="H430" s="21">
        <v>45890</v>
      </c>
      <c r="I430" s="22" t="s">
        <v>70</v>
      </c>
      <c r="J430" s="22" t="s">
        <v>42</v>
      </c>
      <c r="K430" s="24">
        <v>4</v>
      </c>
      <c r="M430" s="21">
        <v>45897</v>
      </c>
      <c r="N430" s="22" t="s">
        <v>70</v>
      </c>
      <c r="O430" s="22" t="s">
        <v>44</v>
      </c>
      <c r="P430" s="49">
        <v>68</v>
      </c>
      <c r="Q430" s="49">
        <v>67.3</v>
      </c>
      <c r="R430" s="50">
        <f t="shared" si="16"/>
        <v>0.70000000000000284</v>
      </c>
      <c r="T430" s="21">
        <v>45899</v>
      </c>
      <c r="U430" s="22" t="s">
        <v>56</v>
      </c>
      <c r="V430" s="24">
        <v>5</v>
      </c>
      <c r="W430" s="24">
        <v>4</v>
      </c>
      <c r="X430" s="24">
        <v>4</v>
      </c>
      <c r="Y430" s="24">
        <v>5</v>
      </c>
      <c r="Z430" s="20">
        <f t="shared" si="17"/>
        <v>18</v>
      </c>
    </row>
    <row r="431" spans="1:26" x14ac:dyDescent="0.2">
      <c r="A431" s="21"/>
      <c r="B431" s="51"/>
      <c r="C431" s="22"/>
      <c r="D431" s="22"/>
      <c r="E431" s="24"/>
      <c r="F431" s="22"/>
      <c r="H431" s="21">
        <v>45890</v>
      </c>
      <c r="I431" s="22" t="s">
        <v>70</v>
      </c>
      <c r="J431" s="22" t="s">
        <v>54</v>
      </c>
      <c r="K431" s="24">
        <v>5</v>
      </c>
      <c r="M431" s="21">
        <v>45897</v>
      </c>
      <c r="N431" s="22" t="s">
        <v>70</v>
      </c>
      <c r="O431" s="22" t="s">
        <v>45</v>
      </c>
      <c r="P431" s="49">
        <v>69.5</v>
      </c>
      <c r="Q431" s="49">
        <v>68.8</v>
      </c>
      <c r="R431" s="50">
        <f t="shared" si="16"/>
        <v>0.70000000000000284</v>
      </c>
      <c r="T431" s="21">
        <v>45899</v>
      </c>
      <c r="U431" s="22" t="s">
        <v>57</v>
      </c>
      <c r="V431" s="24">
        <v>4</v>
      </c>
      <c r="W431" s="24">
        <v>4</v>
      </c>
      <c r="X431" s="24">
        <v>4</v>
      </c>
      <c r="Y431" s="24">
        <v>5</v>
      </c>
      <c r="Z431" s="20">
        <f t="shared" si="17"/>
        <v>17</v>
      </c>
    </row>
    <row r="432" spans="1:26" x14ac:dyDescent="0.2">
      <c r="A432" s="21"/>
      <c r="B432" s="51"/>
      <c r="C432" s="22"/>
      <c r="D432" s="22"/>
      <c r="E432" s="24"/>
      <c r="F432" s="22"/>
      <c r="H432" s="21">
        <v>45890</v>
      </c>
      <c r="I432" s="22" t="s">
        <v>70</v>
      </c>
      <c r="J432" s="22" t="s">
        <v>47</v>
      </c>
      <c r="K432" s="24">
        <v>3</v>
      </c>
      <c r="M432" s="21">
        <v>45897</v>
      </c>
      <c r="N432" s="22" t="s">
        <v>70</v>
      </c>
      <c r="O432" s="22" t="s">
        <v>46</v>
      </c>
      <c r="P432" s="49">
        <v>80.5</v>
      </c>
      <c r="Q432" s="49">
        <v>80</v>
      </c>
      <c r="R432" s="50">
        <f t="shared" si="16"/>
        <v>0.5</v>
      </c>
      <c r="T432" s="21">
        <v>45899</v>
      </c>
      <c r="U432" s="22" t="s">
        <v>33</v>
      </c>
      <c r="V432" s="24">
        <v>4.28571428571429</v>
      </c>
      <c r="W432" s="24">
        <v>3.9285714285714302</v>
      </c>
      <c r="X432" s="24">
        <v>3.8571428571428599</v>
      </c>
      <c r="Y432" s="24">
        <v>4.6428571428571397</v>
      </c>
      <c r="Z432" s="20">
        <f t="shared" si="17"/>
        <v>16.714285714285719</v>
      </c>
    </row>
    <row r="433" spans="1:26" x14ac:dyDescent="0.2">
      <c r="A433" s="21"/>
      <c r="B433" s="51"/>
      <c r="C433" s="22"/>
      <c r="D433" s="22"/>
      <c r="E433" s="24"/>
      <c r="F433" s="22"/>
      <c r="H433" s="21">
        <v>45890</v>
      </c>
      <c r="I433" s="22" t="s">
        <v>70</v>
      </c>
      <c r="J433" s="22" t="s">
        <v>41</v>
      </c>
      <c r="K433" s="24">
        <v>4</v>
      </c>
      <c r="M433" s="21">
        <v>45897</v>
      </c>
      <c r="N433" s="22" t="s">
        <v>70</v>
      </c>
      <c r="O433" s="22" t="s">
        <v>47</v>
      </c>
      <c r="P433" s="49">
        <v>71.2</v>
      </c>
      <c r="Q433" s="49">
        <v>71.3</v>
      </c>
      <c r="R433" s="50">
        <f t="shared" si="16"/>
        <v>-9.9999999999994316E-2</v>
      </c>
      <c r="T433" s="21">
        <v>45900</v>
      </c>
      <c r="U433" s="22" t="s">
        <v>41</v>
      </c>
      <c r="V433" s="24">
        <v>1</v>
      </c>
      <c r="W433" s="24">
        <v>2</v>
      </c>
      <c r="X433" s="24">
        <v>2</v>
      </c>
      <c r="Y433" s="24">
        <v>1</v>
      </c>
      <c r="Z433" s="20">
        <f t="shared" si="17"/>
        <v>6</v>
      </c>
    </row>
    <row r="434" spans="1:26" x14ac:dyDescent="0.2">
      <c r="A434" s="21"/>
      <c r="B434" s="51"/>
      <c r="C434" s="22"/>
      <c r="D434" s="22"/>
      <c r="E434" s="24"/>
      <c r="F434" s="22"/>
      <c r="H434" s="21">
        <v>45890</v>
      </c>
      <c r="I434" s="22" t="s">
        <v>70</v>
      </c>
      <c r="J434" s="22" t="s">
        <v>58</v>
      </c>
      <c r="K434" s="24">
        <v>5</v>
      </c>
      <c r="M434" s="21">
        <v>45897</v>
      </c>
      <c r="N434" s="22" t="s">
        <v>70</v>
      </c>
      <c r="O434" s="22" t="s">
        <v>48</v>
      </c>
      <c r="P434" s="49">
        <v>82.5</v>
      </c>
      <c r="Q434" s="49">
        <v>81</v>
      </c>
      <c r="R434" s="50">
        <f t="shared" si="16"/>
        <v>1.5</v>
      </c>
      <c r="T434" s="21">
        <v>45900</v>
      </c>
      <c r="U434" s="22" t="s">
        <v>42</v>
      </c>
      <c r="V434" s="24">
        <v>3</v>
      </c>
      <c r="W434" s="24">
        <v>4</v>
      </c>
      <c r="X434" s="24">
        <v>4</v>
      </c>
      <c r="Y434" s="24">
        <v>5</v>
      </c>
      <c r="Z434" s="20">
        <f t="shared" si="17"/>
        <v>16</v>
      </c>
    </row>
    <row r="435" spans="1:26" x14ac:dyDescent="0.2">
      <c r="A435" s="21"/>
      <c r="B435" s="51"/>
      <c r="C435" s="22"/>
      <c r="D435" s="22"/>
      <c r="E435" s="24"/>
      <c r="F435" s="22"/>
      <c r="H435" s="21">
        <v>45890</v>
      </c>
      <c r="I435" s="22" t="s">
        <v>70</v>
      </c>
      <c r="J435" s="22" t="s">
        <v>49</v>
      </c>
      <c r="K435" s="24">
        <v>3</v>
      </c>
      <c r="M435" s="21">
        <v>45897</v>
      </c>
      <c r="N435" s="22" t="s">
        <v>70</v>
      </c>
      <c r="O435" s="22" t="s">
        <v>49</v>
      </c>
      <c r="P435" s="49">
        <v>81.2</v>
      </c>
      <c r="Q435" s="49">
        <v>80.5</v>
      </c>
      <c r="R435" s="50">
        <f t="shared" si="16"/>
        <v>0.70000000000000284</v>
      </c>
      <c r="T435" s="21">
        <v>45900</v>
      </c>
      <c r="U435" s="22" t="s">
        <v>44</v>
      </c>
      <c r="V435" s="24">
        <v>5</v>
      </c>
      <c r="W435" s="24">
        <v>5</v>
      </c>
      <c r="X435" s="24">
        <v>5</v>
      </c>
      <c r="Y435" s="24">
        <v>5</v>
      </c>
      <c r="Z435" s="20">
        <f t="shared" si="17"/>
        <v>20</v>
      </c>
    </row>
    <row r="436" spans="1:26" x14ac:dyDescent="0.2">
      <c r="A436" s="21"/>
      <c r="B436" s="51"/>
      <c r="C436" s="22"/>
      <c r="D436" s="22"/>
      <c r="E436" s="24"/>
      <c r="F436" s="22"/>
      <c r="H436" s="21">
        <v>45890</v>
      </c>
      <c r="I436" s="22" t="s">
        <v>70</v>
      </c>
      <c r="J436" s="22" t="s">
        <v>50</v>
      </c>
      <c r="K436" s="24">
        <v>3</v>
      </c>
      <c r="M436" s="21">
        <v>45897</v>
      </c>
      <c r="N436" s="22" t="s">
        <v>70</v>
      </c>
      <c r="O436" s="22" t="s">
        <v>50</v>
      </c>
      <c r="P436" s="49">
        <v>70.900000000000006</v>
      </c>
      <c r="Q436" s="49">
        <v>70.7</v>
      </c>
      <c r="R436" s="50">
        <f t="shared" si="16"/>
        <v>0.20000000000000284</v>
      </c>
      <c r="T436" s="21">
        <v>45900</v>
      </c>
      <c r="U436" s="22" t="s">
        <v>45</v>
      </c>
      <c r="V436" s="24">
        <v>4</v>
      </c>
      <c r="W436" s="24">
        <v>4</v>
      </c>
      <c r="X436" s="24">
        <v>4</v>
      </c>
      <c r="Y436" s="24">
        <v>5</v>
      </c>
      <c r="Z436" s="20">
        <f t="shared" si="17"/>
        <v>17</v>
      </c>
    </row>
    <row r="437" spans="1:26" x14ac:dyDescent="0.2">
      <c r="A437" s="21"/>
      <c r="B437" s="51"/>
      <c r="C437" s="22"/>
      <c r="D437" s="22"/>
      <c r="E437" s="24"/>
      <c r="F437" s="22"/>
      <c r="H437" s="21">
        <v>45890</v>
      </c>
      <c r="I437" s="22" t="s">
        <v>70</v>
      </c>
      <c r="J437" s="22" t="s">
        <v>51</v>
      </c>
      <c r="K437" s="24">
        <v>3</v>
      </c>
      <c r="M437" s="21">
        <v>45897</v>
      </c>
      <c r="N437" s="22" t="s">
        <v>70</v>
      </c>
      <c r="O437" s="22" t="s">
        <v>51</v>
      </c>
      <c r="P437" s="49">
        <v>75.599999999999994</v>
      </c>
      <c r="Q437" s="49">
        <v>74.8</v>
      </c>
      <c r="R437" s="50">
        <f t="shared" si="16"/>
        <v>0.79999999999999716</v>
      </c>
      <c r="T437" s="21">
        <v>45900</v>
      </c>
      <c r="U437" s="22" t="s">
        <v>46</v>
      </c>
      <c r="V437" s="24">
        <v>3</v>
      </c>
      <c r="W437" s="24">
        <v>3</v>
      </c>
      <c r="X437" s="24">
        <v>4</v>
      </c>
      <c r="Y437" s="24">
        <v>4</v>
      </c>
      <c r="Z437" s="20">
        <f t="shared" si="17"/>
        <v>14</v>
      </c>
    </row>
    <row r="438" spans="1:26" x14ac:dyDescent="0.2">
      <c r="A438" s="21"/>
      <c r="B438" s="51"/>
      <c r="C438" s="22"/>
      <c r="D438" s="22"/>
      <c r="E438" s="24"/>
      <c r="F438" s="22"/>
      <c r="H438" s="21">
        <v>45890</v>
      </c>
      <c r="I438" s="22" t="s">
        <v>70</v>
      </c>
      <c r="J438" s="22" t="s">
        <v>46</v>
      </c>
      <c r="K438" s="24">
        <v>3</v>
      </c>
      <c r="M438" s="21">
        <v>45897</v>
      </c>
      <c r="N438" s="22" t="s">
        <v>70</v>
      </c>
      <c r="O438" s="22" t="s">
        <v>52</v>
      </c>
      <c r="P438" s="49">
        <v>70.900000000000006</v>
      </c>
      <c r="Q438" s="49">
        <v>70.900000000000006</v>
      </c>
      <c r="R438" s="50">
        <f t="shared" si="16"/>
        <v>0</v>
      </c>
      <c r="T438" s="21">
        <v>45900</v>
      </c>
      <c r="U438" s="22" t="s">
        <v>47</v>
      </c>
      <c r="V438" s="24">
        <v>4</v>
      </c>
      <c r="W438" s="24">
        <v>4</v>
      </c>
      <c r="X438" s="24">
        <v>4</v>
      </c>
      <c r="Y438" s="24">
        <v>5</v>
      </c>
      <c r="Z438" s="20">
        <f t="shared" si="17"/>
        <v>17</v>
      </c>
    </row>
    <row r="439" spans="1:26" x14ac:dyDescent="0.2">
      <c r="A439" s="21"/>
      <c r="B439" s="51"/>
      <c r="C439" s="22"/>
      <c r="D439" s="22"/>
      <c r="E439" s="24"/>
      <c r="F439" s="22"/>
      <c r="H439" s="21">
        <v>45890</v>
      </c>
      <c r="I439" s="22" t="s">
        <v>70</v>
      </c>
      <c r="J439" s="22" t="s">
        <v>48</v>
      </c>
      <c r="K439" s="24">
        <v>3</v>
      </c>
      <c r="M439" s="21">
        <v>45897</v>
      </c>
      <c r="N439" s="22" t="s">
        <v>70</v>
      </c>
      <c r="O439" s="22" t="s">
        <v>53</v>
      </c>
      <c r="P439" s="49">
        <v>66.8</v>
      </c>
      <c r="Q439" s="49">
        <v>66.400000000000006</v>
      </c>
      <c r="R439" s="50">
        <f t="shared" si="16"/>
        <v>0.39999999999999147</v>
      </c>
      <c r="T439" s="21">
        <v>45900</v>
      </c>
      <c r="U439" s="22" t="s">
        <v>48</v>
      </c>
      <c r="V439" s="24">
        <v>4</v>
      </c>
      <c r="W439" s="24">
        <v>5</v>
      </c>
      <c r="X439" s="24">
        <v>5</v>
      </c>
      <c r="Y439" s="24">
        <v>5</v>
      </c>
      <c r="Z439" s="20">
        <f t="shared" si="17"/>
        <v>19</v>
      </c>
    </row>
    <row r="440" spans="1:26" x14ac:dyDescent="0.2">
      <c r="A440" s="21"/>
      <c r="B440" s="51"/>
      <c r="C440" s="22"/>
      <c r="D440" s="22"/>
      <c r="E440" s="24"/>
      <c r="F440" s="22"/>
      <c r="H440" s="21">
        <v>45890</v>
      </c>
      <c r="I440" s="22" t="s">
        <v>70</v>
      </c>
      <c r="J440" s="22" t="s">
        <v>56</v>
      </c>
      <c r="K440" s="24">
        <v>6</v>
      </c>
      <c r="M440" s="21">
        <v>45897</v>
      </c>
      <c r="N440" s="22" t="s">
        <v>70</v>
      </c>
      <c r="O440" s="22" t="s">
        <v>54</v>
      </c>
      <c r="P440" s="49">
        <v>85</v>
      </c>
      <c r="Q440" s="49">
        <v>85.1</v>
      </c>
      <c r="R440" s="50">
        <f t="shared" si="16"/>
        <v>-9.9999999999994316E-2</v>
      </c>
      <c r="T440" s="21">
        <v>45900</v>
      </c>
      <c r="U440" s="22" t="s">
        <v>49</v>
      </c>
      <c r="V440" s="24">
        <v>2</v>
      </c>
      <c r="W440" s="24">
        <v>3</v>
      </c>
      <c r="X440" s="24">
        <v>4</v>
      </c>
      <c r="Y440" s="24">
        <v>4</v>
      </c>
      <c r="Z440" s="20">
        <f t="shared" si="17"/>
        <v>13</v>
      </c>
    </row>
    <row r="441" spans="1:26" x14ac:dyDescent="0.2">
      <c r="A441" s="21"/>
      <c r="B441" s="51"/>
      <c r="C441" s="22"/>
      <c r="D441" s="22"/>
      <c r="E441" s="24"/>
      <c r="F441" s="22"/>
      <c r="H441" s="21">
        <v>45891</v>
      </c>
      <c r="I441" s="22" t="s">
        <v>70</v>
      </c>
      <c r="J441" s="22" t="s">
        <v>52</v>
      </c>
      <c r="K441" s="24" t="s">
        <v>61</v>
      </c>
      <c r="M441" s="21">
        <v>45897</v>
      </c>
      <c r="N441" s="22" t="s">
        <v>70</v>
      </c>
      <c r="O441" s="22" t="s">
        <v>56</v>
      </c>
      <c r="P441" s="49">
        <v>74.2</v>
      </c>
      <c r="Q441" s="49">
        <v>74</v>
      </c>
      <c r="R441" s="50">
        <f t="shared" si="16"/>
        <v>0.20000000000000284</v>
      </c>
      <c r="T441" s="21">
        <v>45900</v>
      </c>
      <c r="U441" s="22" t="s">
        <v>50</v>
      </c>
      <c r="V441" s="24">
        <v>2</v>
      </c>
      <c r="W441" s="24">
        <v>4</v>
      </c>
      <c r="X441" s="24">
        <v>4</v>
      </c>
      <c r="Y441" s="24">
        <v>4</v>
      </c>
      <c r="Z441" s="20">
        <f t="shared" si="17"/>
        <v>14</v>
      </c>
    </row>
    <row r="442" spans="1:26" x14ac:dyDescent="0.2">
      <c r="A442" s="21"/>
      <c r="B442" s="51"/>
      <c r="C442" s="22"/>
      <c r="D442" s="22"/>
      <c r="E442" s="24"/>
      <c r="F442" s="22"/>
      <c r="H442" s="21">
        <v>45891</v>
      </c>
      <c r="I442" s="22" t="s">
        <v>70</v>
      </c>
      <c r="J442" s="22" t="s">
        <v>53</v>
      </c>
      <c r="K442" s="24">
        <v>6</v>
      </c>
      <c r="M442" s="21">
        <v>45897</v>
      </c>
      <c r="N442" s="22" t="s">
        <v>70</v>
      </c>
      <c r="O442" s="22" t="s">
        <v>57</v>
      </c>
      <c r="P442" s="49">
        <v>94</v>
      </c>
      <c r="Q442" s="49">
        <v>93.4</v>
      </c>
      <c r="R442" s="50">
        <f t="shared" si="16"/>
        <v>0.59999999999999432</v>
      </c>
      <c r="T442" s="21">
        <v>45900</v>
      </c>
      <c r="U442" s="22" t="s">
        <v>51</v>
      </c>
      <c r="V442" s="24">
        <v>4</v>
      </c>
      <c r="W442" s="24">
        <v>3</v>
      </c>
      <c r="X442" s="24">
        <v>4</v>
      </c>
      <c r="Y442" s="24">
        <v>4</v>
      </c>
      <c r="Z442" s="20">
        <f t="shared" si="17"/>
        <v>15</v>
      </c>
    </row>
    <row r="443" spans="1:26" x14ac:dyDescent="0.2">
      <c r="A443" s="21"/>
      <c r="B443" s="51"/>
      <c r="C443" s="22"/>
      <c r="D443" s="22"/>
      <c r="E443" s="24"/>
      <c r="F443" s="22"/>
      <c r="H443" s="21">
        <v>45891</v>
      </c>
      <c r="I443" s="22" t="s">
        <v>70</v>
      </c>
      <c r="J443" s="22" t="s">
        <v>44</v>
      </c>
      <c r="K443" s="24">
        <v>6</v>
      </c>
      <c r="M443" s="21">
        <v>45898</v>
      </c>
      <c r="N443" s="22" t="s">
        <v>70</v>
      </c>
      <c r="O443" s="22" t="s">
        <v>41</v>
      </c>
      <c r="P443" s="49">
        <v>76.8</v>
      </c>
      <c r="Q443" s="49">
        <v>76</v>
      </c>
      <c r="R443" s="50">
        <f t="shared" si="16"/>
        <v>0.79999999999999716</v>
      </c>
      <c r="T443" s="21">
        <v>45900</v>
      </c>
      <c r="U443" s="22" t="s">
        <v>53</v>
      </c>
      <c r="V443" s="24">
        <v>3</v>
      </c>
      <c r="W443" s="24">
        <v>4</v>
      </c>
      <c r="X443" s="24">
        <v>3</v>
      </c>
      <c r="Y443" s="24">
        <v>4</v>
      </c>
      <c r="Z443" s="20">
        <f t="shared" si="17"/>
        <v>14</v>
      </c>
    </row>
    <row r="444" spans="1:26" x14ac:dyDescent="0.2">
      <c r="A444" s="21"/>
      <c r="B444" s="51"/>
      <c r="C444" s="22"/>
      <c r="D444" s="22"/>
      <c r="E444" s="24"/>
      <c r="F444" s="22"/>
      <c r="H444" s="21">
        <v>45891</v>
      </c>
      <c r="I444" s="22" t="s">
        <v>70</v>
      </c>
      <c r="J444" s="22" t="s">
        <v>45</v>
      </c>
      <c r="K444" s="24">
        <v>6</v>
      </c>
      <c r="M444" s="21">
        <v>45898</v>
      </c>
      <c r="N444" s="22" t="s">
        <v>70</v>
      </c>
      <c r="O444" s="22" t="s">
        <v>42</v>
      </c>
      <c r="P444" s="49">
        <v>79.400000000000006</v>
      </c>
      <c r="Q444" s="49">
        <v>79</v>
      </c>
      <c r="R444" s="50">
        <f t="shared" si="16"/>
        <v>0.40000000000000568</v>
      </c>
      <c r="T444" s="21">
        <v>45900</v>
      </c>
      <c r="U444" s="22" t="s">
        <v>54</v>
      </c>
      <c r="V444" s="24">
        <v>3</v>
      </c>
      <c r="W444" s="24">
        <v>4</v>
      </c>
      <c r="X444" s="24">
        <v>4</v>
      </c>
      <c r="Y444" s="24">
        <v>4</v>
      </c>
      <c r="Z444" s="20">
        <f t="shared" si="17"/>
        <v>15</v>
      </c>
    </row>
    <row r="445" spans="1:26" x14ac:dyDescent="0.2">
      <c r="A445" s="21"/>
      <c r="B445" s="51"/>
      <c r="C445" s="22"/>
      <c r="D445" s="22"/>
      <c r="E445" s="24"/>
      <c r="F445" s="22"/>
      <c r="H445" s="21">
        <v>45891</v>
      </c>
      <c r="I445" s="22" t="s">
        <v>70</v>
      </c>
      <c r="J445" s="22" t="s">
        <v>57</v>
      </c>
      <c r="K445" s="24">
        <v>4</v>
      </c>
      <c r="M445" s="21">
        <v>45898</v>
      </c>
      <c r="N445" s="22" t="s">
        <v>70</v>
      </c>
      <c r="O445" s="22" t="s">
        <v>44</v>
      </c>
      <c r="P445" s="49">
        <v>67.7</v>
      </c>
      <c r="Q445" s="49">
        <v>68</v>
      </c>
      <c r="R445" s="50">
        <f t="shared" si="16"/>
        <v>-0.29999999999999716</v>
      </c>
      <c r="T445" s="21">
        <v>45900</v>
      </c>
      <c r="U445" s="22" t="s">
        <v>56</v>
      </c>
      <c r="V445" s="24">
        <v>5</v>
      </c>
      <c r="W445" s="24">
        <v>4</v>
      </c>
      <c r="X445" s="24">
        <v>4</v>
      </c>
      <c r="Y445" s="24">
        <v>5</v>
      </c>
      <c r="Z445" s="20">
        <f t="shared" si="17"/>
        <v>18</v>
      </c>
    </row>
    <row r="446" spans="1:26" x14ac:dyDescent="0.2">
      <c r="A446" s="21"/>
      <c r="B446" s="51"/>
      <c r="C446" s="22"/>
      <c r="D446" s="22"/>
      <c r="E446" s="24"/>
      <c r="F446" s="22"/>
      <c r="H446" s="21">
        <v>45891</v>
      </c>
      <c r="I446" s="22" t="s">
        <v>70</v>
      </c>
      <c r="J446" s="22" t="s">
        <v>42</v>
      </c>
      <c r="K446" s="24">
        <v>3</v>
      </c>
      <c r="M446" s="21">
        <v>45898</v>
      </c>
      <c r="N446" s="22" t="s">
        <v>70</v>
      </c>
      <c r="O446" s="22" t="s">
        <v>45</v>
      </c>
      <c r="P446" s="49">
        <v>69.2</v>
      </c>
      <c r="Q446" s="49">
        <v>68.8</v>
      </c>
      <c r="R446" s="50">
        <f t="shared" si="16"/>
        <v>0.40000000000000568</v>
      </c>
      <c r="T446" s="21">
        <v>45900</v>
      </c>
      <c r="U446" s="22" t="s">
        <v>57</v>
      </c>
      <c r="V446" s="24">
        <v>5</v>
      </c>
      <c r="W446" s="24">
        <v>4</v>
      </c>
      <c r="X446" s="24">
        <v>4</v>
      </c>
      <c r="Y446" s="24">
        <v>5</v>
      </c>
      <c r="Z446" s="20">
        <f t="shared" si="17"/>
        <v>18</v>
      </c>
    </row>
    <row r="447" spans="1:26" x14ac:dyDescent="0.2">
      <c r="A447" s="21"/>
      <c r="B447" s="51"/>
      <c r="C447" s="22"/>
      <c r="D447" s="22"/>
      <c r="E447" s="24"/>
      <c r="F447" s="22"/>
      <c r="H447" s="21">
        <v>45891</v>
      </c>
      <c r="I447" s="22" t="s">
        <v>70</v>
      </c>
      <c r="J447" s="22" t="s">
        <v>54</v>
      </c>
      <c r="K447" s="24">
        <v>6</v>
      </c>
      <c r="M447" s="21">
        <v>45898</v>
      </c>
      <c r="N447" s="22" t="s">
        <v>70</v>
      </c>
      <c r="O447" s="22" t="s">
        <v>46</v>
      </c>
      <c r="P447" s="49">
        <v>80.5</v>
      </c>
      <c r="Q447" s="49">
        <v>80.3</v>
      </c>
      <c r="R447" s="50">
        <f t="shared" si="16"/>
        <v>0.20000000000000284</v>
      </c>
      <c r="T447" s="21">
        <v>45900</v>
      </c>
      <c r="U447" s="22" t="s">
        <v>33</v>
      </c>
      <c r="V447" s="24">
        <v>3.4285714285714302</v>
      </c>
      <c r="W447" s="24">
        <v>3.78571428571429</v>
      </c>
      <c r="X447" s="24">
        <v>3.9285714285714302</v>
      </c>
      <c r="Y447" s="24">
        <v>4.28571428571429</v>
      </c>
      <c r="Z447" s="20">
        <f t="shared" si="17"/>
        <v>15.428571428571441</v>
      </c>
    </row>
    <row r="448" spans="1:26" x14ac:dyDescent="0.2">
      <c r="A448" s="21"/>
      <c r="B448" s="51"/>
      <c r="C448" s="22"/>
      <c r="D448" s="22"/>
      <c r="E448" s="24"/>
      <c r="F448" s="22"/>
      <c r="H448" s="21">
        <v>45891</v>
      </c>
      <c r="I448" s="22" t="s">
        <v>70</v>
      </c>
      <c r="J448" s="22" t="s">
        <v>47</v>
      </c>
      <c r="K448" s="24">
        <v>3</v>
      </c>
      <c r="M448" s="21">
        <v>45898</v>
      </c>
      <c r="N448" s="22" t="s">
        <v>70</v>
      </c>
      <c r="O448" s="22" t="s">
        <v>47</v>
      </c>
      <c r="P448" s="49">
        <v>71.400000000000006</v>
      </c>
      <c r="Q448" s="49">
        <v>71.599999999999994</v>
      </c>
      <c r="R448" s="50">
        <f t="shared" si="16"/>
        <v>-0.19999999999998863</v>
      </c>
      <c r="T448" s="21">
        <v>45902</v>
      </c>
      <c r="U448" s="22" t="s">
        <v>41</v>
      </c>
      <c r="V448" s="24">
        <v>1</v>
      </c>
      <c r="W448" s="24">
        <v>1</v>
      </c>
      <c r="X448" s="24">
        <v>1</v>
      </c>
      <c r="Y448" s="24">
        <v>1</v>
      </c>
      <c r="Z448" s="20">
        <f t="shared" si="17"/>
        <v>4</v>
      </c>
    </row>
    <row r="449" spans="1:26" x14ac:dyDescent="0.2">
      <c r="A449" s="21"/>
      <c r="B449" s="51"/>
      <c r="C449" s="22"/>
      <c r="D449" s="22"/>
      <c r="E449" s="24"/>
      <c r="F449" s="22"/>
      <c r="H449" s="21">
        <v>45891</v>
      </c>
      <c r="I449" s="22" t="s">
        <v>70</v>
      </c>
      <c r="J449" s="22" t="s">
        <v>41</v>
      </c>
      <c r="K449" s="24">
        <v>4</v>
      </c>
      <c r="M449" s="21">
        <v>45898</v>
      </c>
      <c r="N449" s="22" t="s">
        <v>70</v>
      </c>
      <c r="O449" s="22" t="s">
        <v>48</v>
      </c>
      <c r="P449" s="49">
        <v>82.8</v>
      </c>
      <c r="Q449" s="49">
        <v>81.400000000000006</v>
      </c>
      <c r="R449" s="50">
        <f t="shared" si="16"/>
        <v>1.3999999999999915</v>
      </c>
      <c r="T449" s="21">
        <v>45902</v>
      </c>
      <c r="U449" s="22" t="s">
        <v>42</v>
      </c>
      <c r="V449" s="24">
        <v>5</v>
      </c>
      <c r="W449" s="24">
        <v>4</v>
      </c>
      <c r="X449" s="24">
        <v>4</v>
      </c>
      <c r="Y449" s="24">
        <v>5</v>
      </c>
      <c r="Z449" s="20">
        <f t="shared" si="17"/>
        <v>18</v>
      </c>
    </row>
    <row r="450" spans="1:26" x14ac:dyDescent="0.2">
      <c r="A450" s="21"/>
      <c r="B450" s="51"/>
      <c r="C450" s="22"/>
      <c r="D450" s="22"/>
      <c r="E450" s="24"/>
      <c r="F450" s="22"/>
      <c r="H450" s="21">
        <v>45891</v>
      </c>
      <c r="I450" s="22" t="s">
        <v>70</v>
      </c>
      <c r="J450" s="22" t="s">
        <v>58</v>
      </c>
      <c r="K450" s="24">
        <v>4</v>
      </c>
      <c r="M450" s="21">
        <v>45898</v>
      </c>
      <c r="N450" s="22" t="s">
        <v>70</v>
      </c>
      <c r="O450" s="22" t="s">
        <v>49</v>
      </c>
      <c r="P450" s="49">
        <v>80.2</v>
      </c>
      <c r="Q450" s="49">
        <v>79.8</v>
      </c>
      <c r="R450" s="50">
        <f t="shared" si="16"/>
        <v>0.40000000000000568</v>
      </c>
      <c r="T450" s="21">
        <v>45902</v>
      </c>
      <c r="U450" s="22" t="s">
        <v>43</v>
      </c>
      <c r="V450" s="24">
        <v>4</v>
      </c>
      <c r="W450" s="24">
        <v>4</v>
      </c>
      <c r="X450" s="24">
        <v>4</v>
      </c>
      <c r="Y450" s="24">
        <v>5</v>
      </c>
      <c r="Z450" s="20">
        <f t="shared" si="17"/>
        <v>17</v>
      </c>
    </row>
    <row r="451" spans="1:26" x14ac:dyDescent="0.2">
      <c r="A451" s="21"/>
      <c r="B451" s="51"/>
      <c r="C451" s="22"/>
      <c r="D451" s="22"/>
      <c r="E451" s="24"/>
      <c r="F451" s="22"/>
      <c r="H451" s="21">
        <v>45891</v>
      </c>
      <c r="I451" s="22" t="s">
        <v>70</v>
      </c>
      <c r="J451" s="22" t="s">
        <v>49</v>
      </c>
      <c r="K451" s="24">
        <v>4</v>
      </c>
      <c r="M451" s="21">
        <v>45898</v>
      </c>
      <c r="N451" s="22" t="s">
        <v>70</v>
      </c>
      <c r="O451" s="22" t="s">
        <v>50</v>
      </c>
      <c r="P451" s="49">
        <v>70.8</v>
      </c>
      <c r="Q451" s="49">
        <v>70.5</v>
      </c>
      <c r="R451" s="50">
        <f t="shared" ref="R451:R514" si="18">IFERROR(P451-Q451,"")</f>
        <v>0.29999999999999716</v>
      </c>
      <c r="T451" s="21">
        <v>45902</v>
      </c>
      <c r="U451" s="22" t="s">
        <v>44</v>
      </c>
      <c r="V451" s="24">
        <v>5</v>
      </c>
      <c r="W451" s="24">
        <v>5</v>
      </c>
      <c r="X451" s="24">
        <v>5</v>
      </c>
      <c r="Y451" s="24">
        <v>5</v>
      </c>
      <c r="Z451" s="20">
        <f t="shared" ref="Z451:Z514" si="19">SUM(V451:Y451)</f>
        <v>20</v>
      </c>
    </row>
    <row r="452" spans="1:26" x14ac:dyDescent="0.2">
      <c r="A452" s="21"/>
      <c r="B452" s="51"/>
      <c r="C452" s="22"/>
      <c r="D452" s="22"/>
      <c r="E452" s="24"/>
      <c r="F452" s="22"/>
      <c r="H452" s="21">
        <v>45891</v>
      </c>
      <c r="I452" s="22" t="s">
        <v>70</v>
      </c>
      <c r="J452" s="22" t="s">
        <v>50</v>
      </c>
      <c r="K452" s="24">
        <v>3</v>
      </c>
      <c r="M452" s="21">
        <v>45898</v>
      </c>
      <c r="N452" s="22" t="s">
        <v>70</v>
      </c>
      <c r="O452" s="22" t="s">
        <v>51</v>
      </c>
      <c r="P452" s="49">
        <v>75.400000000000006</v>
      </c>
      <c r="Q452" s="49">
        <v>75.099999999999994</v>
      </c>
      <c r="R452" s="50">
        <f t="shared" si="18"/>
        <v>0.30000000000001137</v>
      </c>
      <c r="T452" s="21">
        <v>45902</v>
      </c>
      <c r="U452" s="22" t="s">
        <v>45</v>
      </c>
      <c r="V452" s="24">
        <v>5</v>
      </c>
      <c r="W452" s="24">
        <v>5</v>
      </c>
      <c r="X452" s="24">
        <v>5</v>
      </c>
      <c r="Y452" s="24">
        <v>5</v>
      </c>
      <c r="Z452" s="20">
        <f t="shared" si="19"/>
        <v>20</v>
      </c>
    </row>
    <row r="453" spans="1:26" x14ac:dyDescent="0.2">
      <c r="A453" s="21"/>
      <c r="B453" s="51"/>
      <c r="C453" s="22"/>
      <c r="D453" s="22"/>
      <c r="E453" s="24"/>
      <c r="F453" s="22"/>
      <c r="H453" s="21">
        <v>45891</v>
      </c>
      <c r="I453" s="22" t="s">
        <v>70</v>
      </c>
      <c r="J453" s="22" t="s">
        <v>51</v>
      </c>
      <c r="K453" s="24">
        <v>3</v>
      </c>
      <c r="M453" s="21">
        <v>45898</v>
      </c>
      <c r="N453" s="22" t="s">
        <v>70</v>
      </c>
      <c r="O453" s="22" t="s">
        <v>52</v>
      </c>
      <c r="P453" s="49">
        <v>70.599999999999994</v>
      </c>
      <c r="Q453" s="49">
        <v>70</v>
      </c>
      <c r="R453" s="50">
        <f t="shared" si="18"/>
        <v>0.59999999999999432</v>
      </c>
      <c r="T453" s="21">
        <v>45902</v>
      </c>
      <c r="U453" s="22" t="s">
        <v>46</v>
      </c>
      <c r="V453" s="24">
        <v>5</v>
      </c>
      <c r="W453" s="24">
        <v>4</v>
      </c>
      <c r="X453" s="24">
        <v>4</v>
      </c>
      <c r="Y453" s="24">
        <v>4</v>
      </c>
      <c r="Z453" s="20">
        <f t="shared" si="19"/>
        <v>17</v>
      </c>
    </row>
    <row r="454" spans="1:26" x14ac:dyDescent="0.2">
      <c r="A454" s="21"/>
      <c r="B454" s="51"/>
      <c r="C454" s="22"/>
      <c r="D454" s="22"/>
      <c r="E454" s="24"/>
      <c r="F454" s="22"/>
      <c r="H454" s="21">
        <v>45891</v>
      </c>
      <c r="I454" s="22" t="s">
        <v>70</v>
      </c>
      <c r="J454" s="22" t="s">
        <v>46</v>
      </c>
      <c r="K454" s="24">
        <v>6</v>
      </c>
      <c r="M454" s="21">
        <v>45898</v>
      </c>
      <c r="N454" s="22" t="s">
        <v>70</v>
      </c>
      <c r="O454" s="22" t="s">
        <v>53</v>
      </c>
      <c r="P454" s="49">
        <v>67</v>
      </c>
      <c r="Q454" s="49">
        <v>67.099999999999994</v>
      </c>
      <c r="R454" s="50">
        <f t="shared" si="18"/>
        <v>-9.9999999999994316E-2</v>
      </c>
      <c r="T454" s="21">
        <v>45902</v>
      </c>
      <c r="U454" s="22" t="s">
        <v>47</v>
      </c>
      <c r="V454" s="24">
        <v>4</v>
      </c>
      <c r="W454" s="24">
        <v>4</v>
      </c>
      <c r="X454" s="24">
        <v>4</v>
      </c>
      <c r="Y454" s="24">
        <v>5</v>
      </c>
      <c r="Z454" s="20">
        <f t="shared" si="19"/>
        <v>17</v>
      </c>
    </row>
    <row r="455" spans="1:26" x14ac:dyDescent="0.2">
      <c r="A455" s="21"/>
      <c r="B455" s="51"/>
      <c r="C455" s="22"/>
      <c r="D455" s="22"/>
      <c r="E455" s="24"/>
      <c r="F455" s="22"/>
      <c r="H455" s="21">
        <v>45891</v>
      </c>
      <c r="I455" s="22" t="s">
        <v>70</v>
      </c>
      <c r="J455" s="22" t="s">
        <v>48</v>
      </c>
      <c r="K455" s="24">
        <v>4</v>
      </c>
      <c r="M455" s="21">
        <v>45898</v>
      </c>
      <c r="N455" s="22" t="s">
        <v>70</v>
      </c>
      <c r="O455" s="22" t="s">
        <v>54</v>
      </c>
      <c r="P455" s="49">
        <v>84.8</v>
      </c>
      <c r="Q455" s="49">
        <v>85.3</v>
      </c>
      <c r="R455" s="50">
        <f t="shared" si="18"/>
        <v>-0.5</v>
      </c>
      <c r="T455" s="21">
        <v>45902</v>
      </c>
      <c r="U455" s="22" t="s">
        <v>48</v>
      </c>
      <c r="V455" s="24">
        <v>5</v>
      </c>
      <c r="W455" s="24">
        <v>4</v>
      </c>
      <c r="X455" s="24">
        <v>4</v>
      </c>
      <c r="Y455" s="24">
        <v>3</v>
      </c>
      <c r="Z455" s="20">
        <f t="shared" si="19"/>
        <v>16</v>
      </c>
    </row>
    <row r="456" spans="1:26" x14ac:dyDescent="0.2">
      <c r="A456" s="21"/>
      <c r="B456" s="51"/>
      <c r="C456" s="22"/>
      <c r="D456" s="22"/>
      <c r="E456" s="24"/>
      <c r="F456" s="22"/>
      <c r="H456" s="21">
        <v>45891</v>
      </c>
      <c r="I456" s="22" t="s">
        <v>70</v>
      </c>
      <c r="J456" s="22" t="s">
        <v>56</v>
      </c>
      <c r="K456" s="24">
        <v>6</v>
      </c>
      <c r="M456" s="21">
        <v>45898</v>
      </c>
      <c r="N456" s="22" t="s">
        <v>70</v>
      </c>
      <c r="O456" s="22" t="s">
        <v>56</v>
      </c>
      <c r="P456" s="49">
        <v>74.7</v>
      </c>
      <c r="Q456" s="49">
        <v>74.599999999999994</v>
      </c>
      <c r="R456" s="50">
        <f t="shared" si="18"/>
        <v>0.10000000000000853</v>
      </c>
      <c r="T456" s="21">
        <v>45902</v>
      </c>
      <c r="U456" s="22" t="s">
        <v>49</v>
      </c>
      <c r="V456" s="24">
        <v>4</v>
      </c>
      <c r="W456" s="24">
        <v>4</v>
      </c>
      <c r="X456" s="24">
        <v>4</v>
      </c>
      <c r="Y456" s="24">
        <v>4</v>
      </c>
      <c r="Z456" s="20">
        <f t="shared" si="19"/>
        <v>16</v>
      </c>
    </row>
    <row r="457" spans="1:26" x14ac:dyDescent="0.2">
      <c r="A457" s="21"/>
      <c r="B457" s="51"/>
      <c r="C457" s="22"/>
      <c r="D457" s="22"/>
      <c r="E457" s="24"/>
      <c r="F457" s="22"/>
      <c r="H457" s="21">
        <v>45892</v>
      </c>
      <c r="I457" s="22" t="s">
        <v>71</v>
      </c>
      <c r="J457" s="22" t="s">
        <v>52</v>
      </c>
      <c r="K457" s="24" t="s">
        <v>61</v>
      </c>
      <c r="M457" s="21">
        <v>45898</v>
      </c>
      <c r="N457" s="22" t="s">
        <v>70</v>
      </c>
      <c r="O457" s="22" t="s">
        <v>57</v>
      </c>
      <c r="P457" s="49">
        <v>93.3</v>
      </c>
      <c r="Q457" s="49">
        <v>93.1</v>
      </c>
      <c r="R457" s="50">
        <f t="shared" si="18"/>
        <v>0.20000000000000284</v>
      </c>
      <c r="T457" s="21">
        <v>45902</v>
      </c>
      <c r="U457" s="22" t="s">
        <v>50</v>
      </c>
      <c r="V457" s="24">
        <v>4</v>
      </c>
      <c r="W457" s="24">
        <v>4</v>
      </c>
      <c r="X457" s="24">
        <v>4</v>
      </c>
      <c r="Y457" s="24">
        <v>4</v>
      </c>
      <c r="Z457" s="20">
        <f t="shared" si="19"/>
        <v>16</v>
      </c>
    </row>
    <row r="458" spans="1:26" x14ac:dyDescent="0.2">
      <c r="A458" s="21"/>
      <c r="B458" s="51"/>
      <c r="C458" s="22"/>
      <c r="D458" s="22"/>
      <c r="E458" s="24"/>
      <c r="F458" s="22"/>
      <c r="H458" s="21">
        <v>45892</v>
      </c>
      <c r="I458" s="22" t="s">
        <v>71</v>
      </c>
      <c r="J458" s="22" t="s">
        <v>53</v>
      </c>
      <c r="K458" s="24">
        <v>9</v>
      </c>
      <c r="M458" s="21">
        <v>45902</v>
      </c>
      <c r="N458" s="22" t="s">
        <v>70</v>
      </c>
      <c r="O458" s="22" t="s">
        <v>41</v>
      </c>
      <c r="P458" s="49">
        <v>76.8</v>
      </c>
      <c r="Q458" s="49">
        <v>76</v>
      </c>
      <c r="R458" s="50">
        <f t="shared" si="18"/>
        <v>0.79999999999999716</v>
      </c>
      <c r="T458" s="21">
        <v>45902</v>
      </c>
      <c r="U458" s="22" t="s">
        <v>51</v>
      </c>
      <c r="V458" s="24">
        <v>4</v>
      </c>
      <c r="W458" s="24">
        <v>4</v>
      </c>
      <c r="X458" s="24">
        <v>4</v>
      </c>
      <c r="Y458" s="24">
        <v>4</v>
      </c>
      <c r="Z458" s="20">
        <f t="shared" si="19"/>
        <v>16</v>
      </c>
    </row>
    <row r="459" spans="1:26" x14ac:dyDescent="0.2">
      <c r="A459" s="21"/>
      <c r="B459" s="51"/>
      <c r="C459" s="22"/>
      <c r="D459" s="22"/>
      <c r="E459" s="24"/>
      <c r="F459" s="22"/>
      <c r="H459" s="21">
        <v>45892</v>
      </c>
      <c r="I459" s="22" t="s">
        <v>71</v>
      </c>
      <c r="J459" s="22" t="s">
        <v>44</v>
      </c>
      <c r="K459" s="24">
        <v>9</v>
      </c>
      <c r="M459" s="21">
        <v>45902</v>
      </c>
      <c r="N459" s="22" t="s">
        <v>70</v>
      </c>
      <c r="O459" s="22" t="s">
        <v>42</v>
      </c>
      <c r="P459" s="49">
        <v>79</v>
      </c>
      <c r="Q459" s="49">
        <v>78.8</v>
      </c>
      <c r="R459" s="50">
        <f t="shared" si="18"/>
        <v>0.20000000000000284</v>
      </c>
      <c r="T459" s="21">
        <v>45902</v>
      </c>
      <c r="U459" s="22" t="s">
        <v>52</v>
      </c>
      <c r="V459" s="24">
        <v>4</v>
      </c>
      <c r="W459" s="24">
        <v>5</v>
      </c>
      <c r="X459" s="24">
        <v>3</v>
      </c>
      <c r="Y459" s="24">
        <v>3</v>
      </c>
      <c r="Z459" s="20">
        <f t="shared" si="19"/>
        <v>15</v>
      </c>
    </row>
    <row r="460" spans="1:26" x14ac:dyDescent="0.2">
      <c r="A460" s="21"/>
      <c r="B460" s="51"/>
      <c r="C460" s="22"/>
      <c r="D460" s="22"/>
      <c r="E460" s="24"/>
      <c r="F460" s="22"/>
      <c r="H460" s="21">
        <v>45892</v>
      </c>
      <c r="I460" s="22" t="s">
        <v>71</v>
      </c>
      <c r="J460" s="22" t="s">
        <v>45</v>
      </c>
      <c r="K460" s="24">
        <v>8</v>
      </c>
      <c r="M460" s="21">
        <v>45902</v>
      </c>
      <c r="N460" s="22" t="s">
        <v>70</v>
      </c>
      <c r="O460" s="22" t="s">
        <v>43</v>
      </c>
      <c r="P460" s="49">
        <v>89</v>
      </c>
      <c r="Q460" s="49">
        <v>87.4</v>
      </c>
      <c r="R460" s="50">
        <f t="shared" si="18"/>
        <v>1.5999999999999943</v>
      </c>
      <c r="T460" s="21">
        <v>45902</v>
      </c>
      <c r="U460" s="22" t="s">
        <v>53</v>
      </c>
      <c r="V460" s="24">
        <v>4</v>
      </c>
      <c r="W460" s="24">
        <v>4</v>
      </c>
      <c r="X460" s="24">
        <v>4</v>
      </c>
      <c r="Y460" s="24">
        <v>3</v>
      </c>
      <c r="Z460" s="20">
        <f t="shared" si="19"/>
        <v>15</v>
      </c>
    </row>
    <row r="461" spans="1:26" x14ac:dyDescent="0.2">
      <c r="A461" s="21"/>
      <c r="B461" s="51"/>
      <c r="C461" s="22"/>
      <c r="D461" s="22"/>
      <c r="E461" s="24"/>
      <c r="F461" s="22"/>
      <c r="H461" s="21">
        <v>45892</v>
      </c>
      <c r="I461" s="22" t="s">
        <v>71</v>
      </c>
      <c r="J461" s="22" t="s">
        <v>57</v>
      </c>
      <c r="K461" s="24">
        <v>3</v>
      </c>
      <c r="M461" s="21">
        <v>45902</v>
      </c>
      <c r="N461" s="22" t="s">
        <v>70</v>
      </c>
      <c r="O461" s="22" t="s">
        <v>44</v>
      </c>
      <c r="P461" s="49">
        <v>68.2</v>
      </c>
      <c r="Q461" s="49">
        <v>67.8</v>
      </c>
      <c r="R461" s="50">
        <f t="shared" si="18"/>
        <v>0.40000000000000568</v>
      </c>
      <c r="T461" s="21">
        <v>45902</v>
      </c>
      <c r="U461" s="22" t="s">
        <v>54</v>
      </c>
      <c r="V461" s="24">
        <v>2</v>
      </c>
      <c r="W461" s="24">
        <v>4</v>
      </c>
      <c r="X461" s="24">
        <v>5</v>
      </c>
      <c r="Y461" s="24">
        <v>2</v>
      </c>
      <c r="Z461" s="20">
        <f t="shared" si="19"/>
        <v>13</v>
      </c>
    </row>
    <row r="462" spans="1:26" x14ac:dyDescent="0.2">
      <c r="A462" s="21"/>
      <c r="B462" s="51"/>
      <c r="C462" s="22"/>
      <c r="D462" s="22"/>
      <c r="E462" s="24"/>
      <c r="F462" s="22"/>
      <c r="H462" s="21">
        <v>45892</v>
      </c>
      <c r="I462" s="22" t="s">
        <v>71</v>
      </c>
      <c r="J462" s="22" t="s">
        <v>42</v>
      </c>
      <c r="K462" s="24">
        <v>7</v>
      </c>
      <c r="M462" s="21">
        <v>45902</v>
      </c>
      <c r="N462" s="22" t="s">
        <v>70</v>
      </c>
      <c r="O462" s="22" t="s">
        <v>45</v>
      </c>
      <c r="P462" s="49">
        <v>69.3</v>
      </c>
      <c r="Q462" s="49">
        <v>68.5</v>
      </c>
      <c r="R462" s="50">
        <f t="shared" si="18"/>
        <v>0.79999999999999716</v>
      </c>
      <c r="T462" s="21">
        <v>45902</v>
      </c>
      <c r="U462" s="22" t="s">
        <v>56</v>
      </c>
      <c r="V462" s="24">
        <v>5</v>
      </c>
      <c r="W462" s="24">
        <v>4</v>
      </c>
      <c r="X462" s="24">
        <v>3</v>
      </c>
      <c r="Y462" s="24">
        <v>5</v>
      </c>
      <c r="Z462" s="20">
        <f t="shared" si="19"/>
        <v>17</v>
      </c>
    </row>
    <row r="463" spans="1:26" x14ac:dyDescent="0.2">
      <c r="A463" s="21"/>
      <c r="B463" s="51"/>
      <c r="C463" s="22"/>
      <c r="D463" s="22"/>
      <c r="E463" s="24"/>
      <c r="F463" s="22"/>
      <c r="H463" s="21">
        <v>45892</v>
      </c>
      <c r="I463" s="22" t="s">
        <v>71</v>
      </c>
      <c r="J463" s="22" t="s">
        <v>54</v>
      </c>
      <c r="K463" s="24">
        <v>1</v>
      </c>
      <c r="M463" s="21">
        <v>45902</v>
      </c>
      <c r="N463" s="22" t="s">
        <v>70</v>
      </c>
      <c r="O463" s="22" t="s">
        <v>46</v>
      </c>
      <c r="P463" s="49">
        <v>80</v>
      </c>
      <c r="Q463" s="49">
        <v>80.099999999999994</v>
      </c>
      <c r="R463" s="50">
        <f t="shared" si="18"/>
        <v>-9.9999999999994316E-2</v>
      </c>
      <c r="T463" s="21">
        <v>45902</v>
      </c>
      <c r="U463" s="22" t="s">
        <v>57</v>
      </c>
      <c r="V463" s="24">
        <v>4</v>
      </c>
      <c r="W463" s="24">
        <v>4</v>
      </c>
      <c r="X463" s="24">
        <v>4</v>
      </c>
      <c r="Y463" s="24">
        <v>4</v>
      </c>
      <c r="Z463" s="20">
        <f t="shared" si="19"/>
        <v>16</v>
      </c>
    </row>
    <row r="464" spans="1:26" x14ac:dyDescent="0.2">
      <c r="A464" s="21"/>
      <c r="B464" s="51"/>
      <c r="C464" s="22"/>
      <c r="D464" s="22"/>
      <c r="E464" s="24"/>
      <c r="F464" s="22"/>
      <c r="H464" s="21">
        <v>45892</v>
      </c>
      <c r="I464" s="22" t="s">
        <v>71</v>
      </c>
      <c r="J464" s="22" t="s">
        <v>47</v>
      </c>
      <c r="K464" s="24">
        <v>7</v>
      </c>
      <c r="M464" s="21">
        <v>45902</v>
      </c>
      <c r="N464" s="22" t="s">
        <v>70</v>
      </c>
      <c r="O464" s="22" t="s">
        <v>47</v>
      </c>
      <c r="P464" s="49">
        <v>71.400000000000006</v>
      </c>
      <c r="Q464" s="49">
        <v>71.5</v>
      </c>
      <c r="R464" s="50">
        <f t="shared" si="18"/>
        <v>-9.9999999999994316E-2</v>
      </c>
      <c r="T464" s="21">
        <v>45902</v>
      </c>
      <c r="U464" s="22" t="s">
        <v>33</v>
      </c>
      <c r="V464" s="24">
        <v>4.0625</v>
      </c>
      <c r="W464" s="24">
        <v>4</v>
      </c>
      <c r="X464" s="24">
        <v>3.875</v>
      </c>
      <c r="Y464" s="24">
        <v>3.875</v>
      </c>
      <c r="Z464" s="20">
        <f t="shared" si="19"/>
        <v>15.8125</v>
      </c>
    </row>
    <row r="465" spans="1:26" x14ac:dyDescent="0.2">
      <c r="A465" s="21"/>
      <c r="B465" s="51"/>
      <c r="C465" s="22"/>
      <c r="D465" s="22"/>
      <c r="E465" s="24"/>
      <c r="F465" s="22"/>
      <c r="H465" s="21">
        <v>45892</v>
      </c>
      <c r="I465" s="22" t="s">
        <v>71</v>
      </c>
      <c r="J465" s="22" t="s">
        <v>41</v>
      </c>
      <c r="K465" s="24">
        <v>8</v>
      </c>
      <c r="M465" s="21">
        <v>45902</v>
      </c>
      <c r="N465" s="22" t="s">
        <v>70</v>
      </c>
      <c r="O465" s="22" t="s">
        <v>49</v>
      </c>
      <c r="P465" s="49">
        <v>79.900000000000006</v>
      </c>
      <c r="Q465" s="49">
        <v>79.900000000000006</v>
      </c>
      <c r="R465" s="50">
        <f t="shared" si="18"/>
        <v>0</v>
      </c>
      <c r="T465" s="21">
        <v>45903</v>
      </c>
      <c r="U465" s="22" t="s">
        <v>41</v>
      </c>
      <c r="V465" s="24">
        <v>1</v>
      </c>
      <c r="W465" s="24">
        <v>1</v>
      </c>
      <c r="X465" s="24">
        <v>1</v>
      </c>
      <c r="Y465" s="24">
        <v>1</v>
      </c>
      <c r="Z465" s="20">
        <f t="shared" si="19"/>
        <v>4</v>
      </c>
    </row>
    <row r="466" spans="1:26" x14ac:dyDescent="0.2">
      <c r="A466" s="21"/>
      <c r="B466" s="51"/>
      <c r="C466" s="22"/>
      <c r="D466" s="22"/>
      <c r="E466" s="24"/>
      <c r="F466" s="22"/>
      <c r="H466" s="21">
        <v>45892</v>
      </c>
      <c r="I466" s="22" t="s">
        <v>71</v>
      </c>
      <c r="J466" s="22" t="s">
        <v>58</v>
      </c>
      <c r="K466" s="24">
        <v>5</v>
      </c>
      <c r="M466" s="21">
        <v>45902</v>
      </c>
      <c r="N466" s="22" t="s">
        <v>70</v>
      </c>
      <c r="O466" s="22" t="s">
        <v>50</v>
      </c>
      <c r="P466" s="49">
        <v>71.400000000000006</v>
      </c>
      <c r="Q466" s="49">
        <v>71</v>
      </c>
      <c r="R466" s="50">
        <f t="shared" si="18"/>
        <v>0.40000000000000568</v>
      </c>
      <c r="T466" s="21">
        <v>45903</v>
      </c>
      <c r="U466" s="22" t="s">
        <v>42</v>
      </c>
      <c r="V466" s="24">
        <v>4</v>
      </c>
      <c r="W466" s="24">
        <v>4</v>
      </c>
      <c r="X466" s="24">
        <v>4</v>
      </c>
      <c r="Y466" s="24">
        <v>5</v>
      </c>
      <c r="Z466" s="20">
        <f t="shared" si="19"/>
        <v>17</v>
      </c>
    </row>
    <row r="467" spans="1:26" x14ac:dyDescent="0.2">
      <c r="A467" s="21"/>
      <c r="B467" s="51"/>
      <c r="C467" s="22"/>
      <c r="D467" s="22"/>
      <c r="E467" s="24"/>
      <c r="F467" s="22"/>
      <c r="H467" s="21">
        <v>45892</v>
      </c>
      <c r="I467" s="22" t="s">
        <v>71</v>
      </c>
      <c r="J467" s="22" t="s">
        <v>49</v>
      </c>
      <c r="K467" s="24">
        <v>9</v>
      </c>
      <c r="M467" s="21">
        <v>45902</v>
      </c>
      <c r="N467" s="22" t="s">
        <v>70</v>
      </c>
      <c r="O467" s="22" t="s">
        <v>51</v>
      </c>
      <c r="P467" s="49">
        <v>75.7</v>
      </c>
      <c r="Q467" s="49">
        <v>75</v>
      </c>
      <c r="R467" s="50">
        <f t="shared" si="18"/>
        <v>0.70000000000000284</v>
      </c>
      <c r="T467" s="21">
        <v>45903</v>
      </c>
      <c r="U467" s="22" t="s">
        <v>44</v>
      </c>
      <c r="V467" s="24">
        <v>5</v>
      </c>
      <c r="W467" s="24">
        <v>4</v>
      </c>
      <c r="X467" s="24">
        <v>4</v>
      </c>
      <c r="Y467" s="24">
        <v>5</v>
      </c>
      <c r="Z467" s="20">
        <f t="shared" si="19"/>
        <v>18</v>
      </c>
    </row>
    <row r="468" spans="1:26" x14ac:dyDescent="0.2">
      <c r="A468" s="21"/>
      <c r="B468" s="51"/>
      <c r="C468" s="22"/>
      <c r="D468" s="22"/>
      <c r="E468" s="24"/>
      <c r="F468" s="22"/>
      <c r="H468" s="21">
        <v>45892</v>
      </c>
      <c r="I468" s="22" t="s">
        <v>71</v>
      </c>
      <c r="J468" s="22" t="s">
        <v>50</v>
      </c>
      <c r="K468" s="24">
        <v>9</v>
      </c>
      <c r="M468" s="21">
        <v>45902</v>
      </c>
      <c r="N468" s="22" t="s">
        <v>70</v>
      </c>
      <c r="O468" s="22" t="s">
        <v>52</v>
      </c>
      <c r="P468" s="49">
        <v>71.5</v>
      </c>
      <c r="Q468" s="49">
        <v>71.5</v>
      </c>
      <c r="R468" s="50">
        <f t="shared" si="18"/>
        <v>0</v>
      </c>
      <c r="T468" s="21">
        <v>45903</v>
      </c>
      <c r="U468" s="22" t="s">
        <v>45</v>
      </c>
      <c r="V468" s="24">
        <v>4</v>
      </c>
      <c r="W468" s="24">
        <v>4</v>
      </c>
      <c r="X468" s="24">
        <v>4</v>
      </c>
      <c r="Y468" s="24">
        <v>5</v>
      </c>
      <c r="Z468" s="20">
        <f t="shared" si="19"/>
        <v>17</v>
      </c>
    </row>
    <row r="469" spans="1:26" x14ac:dyDescent="0.2">
      <c r="A469" s="21"/>
      <c r="B469" s="51"/>
      <c r="C469" s="22"/>
      <c r="D469" s="22"/>
      <c r="E469" s="24"/>
      <c r="F469" s="22"/>
      <c r="H469" s="21">
        <v>45892</v>
      </c>
      <c r="I469" s="22" t="s">
        <v>71</v>
      </c>
      <c r="J469" s="22" t="s">
        <v>51</v>
      </c>
      <c r="K469" s="24">
        <v>8</v>
      </c>
      <c r="M469" s="21">
        <v>45902</v>
      </c>
      <c r="N469" s="22" t="s">
        <v>70</v>
      </c>
      <c r="O469" s="22" t="s">
        <v>53</v>
      </c>
      <c r="P469" s="49">
        <v>66.7</v>
      </c>
      <c r="Q469" s="49">
        <v>66.8</v>
      </c>
      <c r="R469" s="50">
        <f t="shared" si="18"/>
        <v>-9.9999999999994316E-2</v>
      </c>
      <c r="T469" s="21">
        <v>45903</v>
      </c>
      <c r="U469" s="22" t="s">
        <v>46</v>
      </c>
      <c r="V469" s="24">
        <v>4</v>
      </c>
      <c r="W469" s="24">
        <v>4</v>
      </c>
      <c r="X469" s="24">
        <v>3</v>
      </c>
      <c r="Y469" s="24">
        <v>4</v>
      </c>
      <c r="Z469" s="20">
        <f t="shared" si="19"/>
        <v>15</v>
      </c>
    </row>
    <row r="470" spans="1:26" x14ac:dyDescent="0.2">
      <c r="A470" s="21"/>
      <c r="B470" s="51"/>
      <c r="C470" s="22"/>
      <c r="D470" s="22"/>
      <c r="E470" s="24"/>
      <c r="F470" s="22"/>
      <c r="H470" s="21">
        <v>45892</v>
      </c>
      <c r="I470" s="22" t="s">
        <v>71</v>
      </c>
      <c r="J470" s="22" t="s">
        <v>46</v>
      </c>
      <c r="K470" s="24">
        <v>8</v>
      </c>
      <c r="M470" s="21">
        <v>45902</v>
      </c>
      <c r="N470" s="22" t="s">
        <v>70</v>
      </c>
      <c r="O470" s="22" t="s">
        <v>54</v>
      </c>
      <c r="P470" s="49">
        <v>84.8</v>
      </c>
      <c r="Q470" s="49">
        <v>84.9</v>
      </c>
      <c r="R470" s="50">
        <f t="shared" si="18"/>
        <v>-0.10000000000000853</v>
      </c>
      <c r="T470" s="21">
        <v>45903</v>
      </c>
      <c r="U470" s="22" t="s">
        <v>47</v>
      </c>
      <c r="V470" s="24">
        <v>3</v>
      </c>
      <c r="W470" s="24">
        <v>4</v>
      </c>
      <c r="X470" s="24">
        <v>3</v>
      </c>
      <c r="Y470" s="24">
        <v>5</v>
      </c>
      <c r="Z470" s="20">
        <f t="shared" si="19"/>
        <v>15</v>
      </c>
    </row>
    <row r="471" spans="1:26" x14ac:dyDescent="0.2">
      <c r="A471" s="21"/>
      <c r="B471" s="51"/>
      <c r="C471" s="22"/>
      <c r="D471" s="22"/>
      <c r="E471" s="24"/>
      <c r="F471" s="22"/>
      <c r="H471" s="21">
        <v>45892</v>
      </c>
      <c r="I471" s="22" t="s">
        <v>71</v>
      </c>
      <c r="J471" s="22" t="s">
        <v>48</v>
      </c>
      <c r="K471" s="24">
        <v>9</v>
      </c>
      <c r="M471" s="21">
        <v>45902</v>
      </c>
      <c r="N471" s="22" t="s">
        <v>70</v>
      </c>
      <c r="O471" s="22" t="s">
        <v>56</v>
      </c>
      <c r="P471" s="49">
        <v>74.8</v>
      </c>
      <c r="Q471" s="49">
        <v>74.5</v>
      </c>
      <c r="R471" s="50">
        <f t="shared" si="18"/>
        <v>0.29999999999999716</v>
      </c>
      <c r="T471" s="21">
        <v>45903</v>
      </c>
      <c r="U471" s="22" t="s">
        <v>48</v>
      </c>
      <c r="V471" s="24">
        <v>5</v>
      </c>
      <c r="W471" s="24">
        <v>4</v>
      </c>
      <c r="X471" s="24">
        <v>4</v>
      </c>
      <c r="Y471" s="24">
        <v>3</v>
      </c>
      <c r="Z471" s="20">
        <f t="shared" si="19"/>
        <v>16</v>
      </c>
    </row>
    <row r="472" spans="1:26" x14ac:dyDescent="0.2">
      <c r="A472" s="21"/>
      <c r="B472" s="51"/>
      <c r="C472" s="22"/>
      <c r="D472" s="22"/>
      <c r="E472" s="24"/>
      <c r="F472" s="22"/>
      <c r="H472" s="21">
        <v>45892</v>
      </c>
      <c r="I472" s="22" t="s">
        <v>71</v>
      </c>
      <c r="J472" s="22" t="s">
        <v>56</v>
      </c>
      <c r="K472" s="24">
        <v>8</v>
      </c>
      <c r="M472" s="21">
        <v>45902</v>
      </c>
      <c r="N472" s="22" t="s">
        <v>70</v>
      </c>
      <c r="O472" s="22" t="s">
        <v>57</v>
      </c>
      <c r="P472" s="49">
        <v>93.2</v>
      </c>
      <c r="Q472" s="49">
        <v>92.8</v>
      </c>
      <c r="R472" s="50">
        <f t="shared" si="18"/>
        <v>0.40000000000000568</v>
      </c>
      <c r="T472" s="21">
        <v>45903</v>
      </c>
      <c r="U472" s="22" t="s">
        <v>49</v>
      </c>
      <c r="V472" s="24">
        <v>4</v>
      </c>
      <c r="W472" s="24">
        <v>4</v>
      </c>
      <c r="X472" s="24">
        <v>4</v>
      </c>
      <c r="Y472" s="24">
        <v>4</v>
      </c>
      <c r="Z472" s="20">
        <f t="shared" si="19"/>
        <v>16</v>
      </c>
    </row>
    <row r="473" spans="1:26" x14ac:dyDescent="0.2">
      <c r="A473" s="21"/>
      <c r="B473" s="51"/>
      <c r="C473" s="22"/>
      <c r="D473" s="22"/>
      <c r="E473" s="24"/>
      <c r="F473" s="22"/>
      <c r="H473" s="21">
        <v>45893</v>
      </c>
      <c r="I473" s="22" t="s">
        <v>71</v>
      </c>
      <c r="J473" s="22" t="s">
        <v>52</v>
      </c>
      <c r="K473" s="24" t="s">
        <v>61</v>
      </c>
      <c r="M473" s="21">
        <v>45903</v>
      </c>
      <c r="N473" s="22" t="s">
        <v>70</v>
      </c>
      <c r="O473" s="22" t="s">
        <v>41</v>
      </c>
      <c r="P473" s="49">
        <v>76.8</v>
      </c>
      <c r="Q473" s="49">
        <v>76</v>
      </c>
      <c r="R473" s="50">
        <f t="shared" si="18"/>
        <v>0.79999999999999716</v>
      </c>
      <c r="T473" s="21">
        <v>45903</v>
      </c>
      <c r="U473" s="22" t="s">
        <v>50</v>
      </c>
      <c r="V473" s="24">
        <v>4</v>
      </c>
      <c r="W473" s="24">
        <v>4</v>
      </c>
      <c r="X473" s="24">
        <v>3</v>
      </c>
      <c r="Y473" s="24">
        <v>5</v>
      </c>
      <c r="Z473" s="20">
        <f t="shared" si="19"/>
        <v>16</v>
      </c>
    </row>
    <row r="474" spans="1:26" x14ac:dyDescent="0.2">
      <c r="A474" s="21"/>
      <c r="B474" s="51"/>
      <c r="C474" s="22"/>
      <c r="D474" s="22"/>
      <c r="E474" s="24"/>
      <c r="F474" s="22"/>
      <c r="H474" s="21">
        <v>45893</v>
      </c>
      <c r="I474" s="22" t="s">
        <v>71</v>
      </c>
      <c r="J474" s="22" t="s">
        <v>53</v>
      </c>
      <c r="K474" s="24">
        <v>9</v>
      </c>
      <c r="M474" s="21">
        <v>45903</v>
      </c>
      <c r="N474" s="22" t="s">
        <v>70</v>
      </c>
      <c r="O474" s="22" t="s">
        <v>42</v>
      </c>
      <c r="P474" s="49">
        <v>79.599999999999994</v>
      </c>
      <c r="Q474" s="49">
        <v>79</v>
      </c>
      <c r="R474" s="50">
        <f t="shared" si="18"/>
        <v>0.59999999999999432</v>
      </c>
      <c r="T474" s="21">
        <v>45903</v>
      </c>
      <c r="U474" s="22" t="s">
        <v>51</v>
      </c>
      <c r="V474" s="24">
        <v>4</v>
      </c>
      <c r="W474" s="24">
        <v>4</v>
      </c>
      <c r="X474" s="24">
        <v>3</v>
      </c>
      <c r="Y474" s="24">
        <v>4</v>
      </c>
      <c r="Z474" s="20">
        <f t="shared" si="19"/>
        <v>15</v>
      </c>
    </row>
    <row r="475" spans="1:26" x14ac:dyDescent="0.2">
      <c r="A475" s="21"/>
      <c r="B475" s="51"/>
      <c r="C475" s="22"/>
      <c r="D475" s="22"/>
      <c r="E475" s="24"/>
      <c r="F475" s="22"/>
      <c r="H475" s="21">
        <v>45893</v>
      </c>
      <c r="I475" s="22" t="s">
        <v>71</v>
      </c>
      <c r="J475" s="22" t="s">
        <v>44</v>
      </c>
      <c r="K475" s="24">
        <v>8</v>
      </c>
      <c r="M475" s="21">
        <v>45903</v>
      </c>
      <c r="N475" s="22" t="s">
        <v>70</v>
      </c>
      <c r="O475" s="22" t="s">
        <v>44</v>
      </c>
      <c r="P475" s="49">
        <v>68</v>
      </c>
      <c r="Q475" s="49">
        <v>67.2</v>
      </c>
      <c r="R475" s="50">
        <f t="shared" si="18"/>
        <v>0.79999999999999716</v>
      </c>
      <c r="T475" s="21">
        <v>45903</v>
      </c>
      <c r="U475" s="22" t="s">
        <v>52</v>
      </c>
      <c r="V475" s="24">
        <v>4</v>
      </c>
      <c r="W475" s="24">
        <v>5</v>
      </c>
      <c r="X475" s="24">
        <v>3</v>
      </c>
      <c r="Y475" s="24">
        <v>3</v>
      </c>
      <c r="Z475" s="20">
        <f t="shared" si="19"/>
        <v>15</v>
      </c>
    </row>
    <row r="476" spans="1:26" x14ac:dyDescent="0.2">
      <c r="A476" s="21"/>
      <c r="B476" s="51"/>
      <c r="C476" s="22"/>
      <c r="D476" s="22"/>
      <c r="E476" s="24"/>
      <c r="F476" s="22"/>
      <c r="H476" s="21">
        <v>45893</v>
      </c>
      <c r="I476" s="22" t="s">
        <v>71</v>
      </c>
      <c r="J476" s="22" t="s">
        <v>45</v>
      </c>
      <c r="K476" s="24">
        <v>10</v>
      </c>
      <c r="M476" s="21">
        <v>45903</v>
      </c>
      <c r="N476" s="22" t="s">
        <v>70</v>
      </c>
      <c r="O476" s="22" t="s">
        <v>45</v>
      </c>
      <c r="P476" s="49">
        <v>69</v>
      </c>
      <c r="Q476" s="49">
        <v>68.599999999999994</v>
      </c>
      <c r="R476" s="50">
        <f t="shared" si="18"/>
        <v>0.40000000000000568</v>
      </c>
      <c r="T476" s="21">
        <v>45903</v>
      </c>
      <c r="U476" s="22" t="s">
        <v>53</v>
      </c>
      <c r="V476" s="24">
        <v>4</v>
      </c>
      <c r="W476" s="24">
        <v>4</v>
      </c>
      <c r="X476" s="24">
        <v>4</v>
      </c>
      <c r="Y476" s="24">
        <v>4</v>
      </c>
      <c r="Z476" s="20">
        <f t="shared" si="19"/>
        <v>16</v>
      </c>
    </row>
    <row r="477" spans="1:26" x14ac:dyDescent="0.2">
      <c r="A477" s="21"/>
      <c r="B477" s="51"/>
      <c r="C477" s="22"/>
      <c r="D477" s="22"/>
      <c r="E477" s="24"/>
      <c r="F477" s="22"/>
      <c r="H477" s="21">
        <v>45893</v>
      </c>
      <c r="I477" s="22" t="s">
        <v>71</v>
      </c>
      <c r="J477" s="22" t="s">
        <v>57</v>
      </c>
      <c r="K477" s="24">
        <v>3</v>
      </c>
      <c r="M477" s="21">
        <v>45903</v>
      </c>
      <c r="N477" s="22" t="s">
        <v>70</v>
      </c>
      <c r="O477" s="22" t="s">
        <v>46</v>
      </c>
      <c r="P477" s="49">
        <v>80.599999999999994</v>
      </c>
      <c r="Q477" s="49">
        <v>80.8</v>
      </c>
      <c r="R477" s="50">
        <f t="shared" si="18"/>
        <v>-0.20000000000000284</v>
      </c>
      <c r="T477" s="21">
        <v>45903</v>
      </c>
      <c r="U477" s="22" t="s">
        <v>54</v>
      </c>
      <c r="V477" s="24">
        <v>2</v>
      </c>
      <c r="W477" s="24">
        <v>4</v>
      </c>
      <c r="X477" s="24">
        <v>4</v>
      </c>
      <c r="Y477" s="24">
        <v>2</v>
      </c>
      <c r="Z477" s="20">
        <f t="shared" si="19"/>
        <v>12</v>
      </c>
    </row>
    <row r="478" spans="1:26" x14ac:dyDescent="0.2">
      <c r="A478" s="21"/>
      <c r="B478" s="51"/>
      <c r="C478" s="22"/>
      <c r="D478" s="22"/>
      <c r="E478" s="24"/>
      <c r="F478" s="22"/>
      <c r="H478" s="21">
        <v>45893</v>
      </c>
      <c r="I478" s="22" t="s">
        <v>71</v>
      </c>
      <c r="J478" s="22" t="s">
        <v>42</v>
      </c>
      <c r="K478" s="24">
        <v>7</v>
      </c>
      <c r="M478" s="21">
        <v>45903</v>
      </c>
      <c r="N478" s="22" t="s">
        <v>70</v>
      </c>
      <c r="O478" s="22" t="s">
        <v>47</v>
      </c>
      <c r="P478" s="49">
        <v>71.5</v>
      </c>
      <c r="Q478" s="49">
        <v>71.7</v>
      </c>
      <c r="R478" s="50">
        <f t="shared" si="18"/>
        <v>-0.20000000000000284</v>
      </c>
      <c r="T478" s="21">
        <v>45903</v>
      </c>
      <c r="U478" s="22" t="s">
        <v>56</v>
      </c>
      <c r="V478" s="24">
        <v>3</v>
      </c>
      <c r="W478" s="24">
        <v>4</v>
      </c>
      <c r="X478" s="24">
        <v>4</v>
      </c>
      <c r="Y478" s="24">
        <v>5</v>
      </c>
      <c r="Z478" s="20">
        <f t="shared" si="19"/>
        <v>16</v>
      </c>
    </row>
    <row r="479" spans="1:26" x14ac:dyDescent="0.2">
      <c r="A479" s="21"/>
      <c r="B479" s="51"/>
      <c r="C479" s="22"/>
      <c r="D479" s="22"/>
      <c r="E479" s="24"/>
      <c r="F479" s="22"/>
      <c r="H479" s="21">
        <v>45893</v>
      </c>
      <c r="I479" s="22" t="s">
        <v>71</v>
      </c>
      <c r="J479" s="22" t="s">
        <v>54</v>
      </c>
      <c r="K479" s="24">
        <v>1</v>
      </c>
      <c r="M479" s="21">
        <v>45903</v>
      </c>
      <c r="N479" s="22" t="s">
        <v>70</v>
      </c>
      <c r="O479" s="22" t="s">
        <v>49</v>
      </c>
      <c r="P479" s="49">
        <v>79.8</v>
      </c>
      <c r="Q479" s="49">
        <v>79.599999999999994</v>
      </c>
      <c r="R479" s="50">
        <f t="shared" si="18"/>
        <v>0.20000000000000284</v>
      </c>
      <c r="T479" s="21">
        <v>45903</v>
      </c>
      <c r="U479" s="22" t="s">
        <v>57</v>
      </c>
      <c r="V479" s="24">
        <v>4</v>
      </c>
      <c r="W479" s="24">
        <v>4</v>
      </c>
      <c r="X479" s="24">
        <v>4</v>
      </c>
      <c r="Y479" s="24">
        <v>4</v>
      </c>
      <c r="Z479" s="20">
        <f t="shared" si="19"/>
        <v>16</v>
      </c>
    </row>
    <row r="480" spans="1:26" x14ac:dyDescent="0.2">
      <c r="A480" s="21"/>
      <c r="B480" s="51"/>
      <c r="C480" s="22"/>
      <c r="D480" s="22"/>
      <c r="E480" s="24"/>
      <c r="F480" s="22"/>
      <c r="H480" s="21">
        <v>45893</v>
      </c>
      <c r="I480" s="22" t="s">
        <v>71</v>
      </c>
      <c r="J480" s="22" t="s">
        <v>47</v>
      </c>
      <c r="K480" s="24">
        <v>7</v>
      </c>
      <c r="M480" s="21">
        <v>45903</v>
      </c>
      <c r="N480" s="22" t="s">
        <v>70</v>
      </c>
      <c r="O480" s="22" t="s">
        <v>50</v>
      </c>
      <c r="P480" s="49">
        <v>71</v>
      </c>
      <c r="Q480" s="49">
        <v>70.8</v>
      </c>
      <c r="R480" s="50">
        <f t="shared" si="18"/>
        <v>0.20000000000000284</v>
      </c>
      <c r="T480" s="21">
        <v>45903</v>
      </c>
      <c r="U480" s="22" t="s">
        <v>33</v>
      </c>
      <c r="V480" s="24">
        <v>3.6666666666666701</v>
      </c>
      <c r="W480" s="24">
        <v>3.8666666666666698</v>
      </c>
      <c r="X480" s="24">
        <v>3.4666666666666699</v>
      </c>
      <c r="Y480" s="24">
        <v>3.93333333333333</v>
      </c>
      <c r="Z480" s="20">
        <f t="shared" si="19"/>
        <v>14.933333333333341</v>
      </c>
    </row>
    <row r="481" spans="1:26" x14ac:dyDescent="0.2">
      <c r="A481" s="21"/>
      <c r="B481" s="51"/>
      <c r="C481" s="22"/>
      <c r="D481" s="22"/>
      <c r="E481" s="24"/>
      <c r="F481" s="22"/>
      <c r="H481" s="21">
        <v>45893</v>
      </c>
      <c r="I481" s="22" t="s">
        <v>71</v>
      </c>
      <c r="J481" s="22" t="s">
        <v>41</v>
      </c>
      <c r="K481" s="24">
        <v>8</v>
      </c>
      <c r="M481" s="21">
        <v>45903</v>
      </c>
      <c r="N481" s="22" t="s">
        <v>70</v>
      </c>
      <c r="O481" s="22" t="s">
        <v>51</v>
      </c>
      <c r="P481" s="49">
        <v>75.8</v>
      </c>
      <c r="Q481" s="49">
        <v>75.099999999999994</v>
      </c>
      <c r="R481" s="50">
        <f t="shared" si="18"/>
        <v>0.70000000000000284</v>
      </c>
      <c r="T481" s="21">
        <v>45904</v>
      </c>
      <c r="U481" s="22" t="s">
        <v>41</v>
      </c>
      <c r="V481" s="24">
        <v>1</v>
      </c>
      <c r="W481" s="24">
        <v>1</v>
      </c>
      <c r="X481" s="24">
        <v>1</v>
      </c>
      <c r="Y481" s="24">
        <v>1</v>
      </c>
      <c r="Z481" s="20">
        <f t="shared" si="19"/>
        <v>4</v>
      </c>
    </row>
    <row r="482" spans="1:26" x14ac:dyDescent="0.2">
      <c r="A482" s="21"/>
      <c r="B482" s="51"/>
      <c r="C482" s="22"/>
      <c r="D482" s="22"/>
      <c r="E482" s="24"/>
      <c r="F482" s="22"/>
      <c r="H482" s="21">
        <v>45893</v>
      </c>
      <c r="I482" s="22" t="s">
        <v>71</v>
      </c>
      <c r="J482" s="22" t="s">
        <v>58</v>
      </c>
      <c r="K482" s="24">
        <v>1</v>
      </c>
      <c r="M482" s="21">
        <v>45903</v>
      </c>
      <c r="N482" s="22" t="s">
        <v>70</v>
      </c>
      <c r="O482" s="22" t="s">
        <v>52</v>
      </c>
      <c r="P482" s="49">
        <v>72.599999999999994</v>
      </c>
      <c r="Q482" s="49">
        <v>72.599999999999994</v>
      </c>
      <c r="R482" s="50">
        <f t="shared" si="18"/>
        <v>0</v>
      </c>
      <c r="T482" s="21">
        <v>45904</v>
      </c>
      <c r="U482" s="22" t="s">
        <v>42</v>
      </c>
      <c r="V482" s="24">
        <v>4</v>
      </c>
      <c r="W482" s="24">
        <v>4</v>
      </c>
      <c r="X482" s="24">
        <v>4</v>
      </c>
      <c r="Y482" s="24">
        <v>5</v>
      </c>
      <c r="Z482" s="20">
        <f t="shared" si="19"/>
        <v>17</v>
      </c>
    </row>
    <row r="483" spans="1:26" x14ac:dyDescent="0.2">
      <c r="A483" s="21"/>
      <c r="B483" s="51"/>
      <c r="C483" s="22"/>
      <c r="D483" s="22"/>
      <c r="E483" s="24"/>
      <c r="F483" s="22"/>
      <c r="H483" s="21">
        <v>45893</v>
      </c>
      <c r="I483" s="22" t="s">
        <v>71</v>
      </c>
      <c r="J483" s="22" t="s">
        <v>49</v>
      </c>
      <c r="K483" s="24">
        <v>9</v>
      </c>
      <c r="M483" s="21">
        <v>45903</v>
      </c>
      <c r="N483" s="22" t="s">
        <v>70</v>
      </c>
      <c r="O483" s="22" t="s">
        <v>53</v>
      </c>
      <c r="P483" s="49">
        <v>67.2</v>
      </c>
      <c r="Q483" s="49">
        <v>66.2</v>
      </c>
      <c r="R483" s="50">
        <f t="shared" si="18"/>
        <v>1</v>
      </c>
      <c r="T483" s="21">
        <v>45904</v>
      </c>
      <c r="U483" s="22" t="s">
        <v>44</v>
      </c>
      <c r="V483" s="24">
        <v>5</v>
      </c>
      <c r="W483" s="24">
        <v>4</v>
      </c>
      <c r="X483" s="24">
        <v>4</v>
      </c>
      <c r="Y483" s="24">
        <v>5</v>
      </c>
      <c r="Z483" s="20">
        <f t="shared" si="19"/>
        <v>18</v>
      </c>
    </row>
    <row r="484" spans="1:26" x14ac:dyDescent="0.2">
      <c r="A484" s="21"/>
      <c r="B484" s="51"/>
      <c r="C484" s="22"/>
      <c r="D484" s="22"/>
      <c r="E484" s="24"/>
      <c r="F484" s="22"/>
      <c r="H484" s="21">
        <v>45893</v>
      </c>
      <c r="I484" s="22" t="s">
        <v>71</v>
      </c>
      <c r="J484" s="22" t="s">
        <v>50</v>
      </c>
      <c r="K484" s="24">
        <v>9</v>
      </c>
      <c r="M484" s="21">
        <v>45903</v>
      </c>
      <c r="N484" s="22" t="s">
        <v>70</v>
      </c>
      <c r="O484" s="22" t="s">
        <v>54</v>
      </c>
      <c r="P484" s="49">
        <v>84.8</v>
      </c>
      <c r="Q484" s="49">
        <v>84.9</v>
      </c>
      <c r="R484" s="50">
        <f t="shared" si="18"/>
        <v>-0.10000000000000853</v>
      </c>
      <c r="T484" s="21">
        <v>45904</v>
      </c>
      <c r="U484" s="22" t="s">
        <v>45</v>
      </c>
      <c r="V484" s="24">
        <v>4</v>
      </c>
      <c r="W484" s="24">
        <v>4</v>
      </c>
      <c r="X484" s="24">
        <v>4</v>
      </c>
      <c r="Y484" s="24">
        <v>5</v>
      </c>
      <c r="Z484" s="20">
        <f t="shared" si="19"/>
        <v>17</v>
      </c>
    </row>
    <row r="485" spans="1:26" x14ac:dyDescent="0.2">
      <c r="A485" s="21"/>
      <c r="B485" s="51"/>
      <c r="C485" s="22"/>
      <c r="D485" s="22"/>
      <c r="E485" s="24"/>
      <c r="F485" s="22"/>
      <c r="H485" s="21">
        <v>45893</v>
      </c>
      <c r="I485" s="22" t="s">
        <v>71</v>
      </c>
      <c r="J485" s="22" t="s">
        <v>51</v>
      </c>
      <c r="K485" s="24">
        <v>10</v>
      </c>
      <c r="M485" s="21">
        <v>45903</v>
      </c>
      <c r="N485" s="22" t="s">
        <v>70</v>
      </c>
      <c r="O485" s="22" t="s">
        <v>56</v>
      </c>
      <c r="P485" s="49">
        <v>74.8</v>
      </c>
      <c r="Q485" s="49">
        <v>74.7</v>
      </c>
      <c r="R485" s="50">
        <f t="shared" si="18"/>
        <v>9.9999999999994316E-2</v>
      </c>
      <c r="T485" s="21">
        <v>45904</v>
      </c>
      <c r="U485" s="22" t="s">
        <v>46</v>
      </c>
      <c r="V485" s="24">
        <v>4</v>
      </c>
      <c r="W485" s="24">
        <v>4</v>
      </c>
      <c r="X485" s="24">
        <v>3</v>
      </c>
      <c r="Y485" s="24">
        <v>4</v>
      </c>
      <c r="Z485" s="20">
        <f t="shared" si="19"/>
        <v>15</v>
      </c>
    </row>
    <row r="486" spans="1:26" x14ac:dyDescent="0.2">
      <c r="A486" s="21"/>
      <c r="B486" s="51"/>
      <c r="C486" s="22"/>
      <c r="D486" s="22"/>
      <c r="E486" s="24"/>
      <c r="F486" s="22"/>
      <c r="H486" s="21">
        <v>45893</v>
      </c>
      <c r="I486" s="22" t="s">
        <v>71</v>
      </c>
      <c r="J486" s="22" t="s">
        <v>46</v>
      </c>
      <c r="K486" s="24">
        <v>9</v>
      </c>
      <c r="M486" s="21">
        <v>45904</v>
      </c>
      <c r="N486" s="22" t="s">
        <v>70</v>
      </c>
      <c r="O486" s="22" t="s">
        <v>41</v>
      </c>
      <c r="P486" s="49">
        <v>76.8</v>
      </c>
      <c r="Q486" s="49">
        <v>76</v>
      </c>
      <c r="R486" s="50">
        <f t="shared" si="18"/>
        <v>0.79999999999999716</v>
      </c>
      <c r="T486" s="21">
        <v>45904</v>
      </c>
      <c r="U486" s="22" t="s">
        <v>47</v>
      </c>
      <c r="V486" s="24">
        <v>3</v>
      </c>
      <c r="W486" s="24">
        <v>4</v>
      </c>
      <c r="X486" s="24">
        <v>3</v>
      </c>
      <c r="Y486" s="24">
        <v>5</v>
      </c>
      <c r="Z486" s="20">
        <f t="shared" si="19"/>
        <v>15</v>
      </c>
    </row>
    <row r="487" spans="1:26" x14ac:dyDescent="0.2">
      <c r="A487" s="21"/>
      <c r="B487" s="51"/>
      <c r="C487" s="22"/>
      <c r="D487" s="22"/>
      <c r="E487" s="24"/>
      <c r="F487" s="22"/>
      <c r="H487" s="21">
        <v>45893</v>
      </c>
      <c r="I487" s="22" t="s">
        <v>71</v>
      </c>
      <c r="J487" s="22" t="s">
        <v>48</v>
      </c>
      <c r="K487" s="24">
        <v>8</v>
      </c>
      <c r="M487" s="21">
        <v>45904</v>
      </c>
      <c r="N487" s="22" t="s">
        <v>70</v>
      </c>
      <c r="O487" s="22" t="s">
        <v>42</v>
      </c>
      <c r="P487" s="49">
        <v>79.599999999999994</v>
      </c>
      <c r="Q487" s="49">
        <v>79</v>
      </c>
      <c r="R487" s="50">
        <f t="shared" si="18"/>
        <v>0.59999999999999432</v>
      </c>
      <c r="T487" s="21">
        <v>45904</v>
      </c>
      <c r="U487" s="22" t="s">
        <v>48</v>
      </c>
      <c r="V487" s="24">
        <v>5</v>
      </c>
      <c r="W487" s="24">
        <v>4</v>
      </c>
      <c r="X487" s="24">
        <v>4</v>
      </c>
      <c r="Y487" s="24">
        <v>3</v>
      </c>
      <c r="Z487" s="20">
        <f t="shared" si="19"/>
        <v>16</v>
      </c>
    </row>
    <row r="488" spans="1:26" x14ac:dyDescent="0.2">
      <c r="A488" s="21"/>
      <c r="B488" s="51"/>
      <c r="C488" s="22"/>
      <c r="D488" s="22"/>
      <c r="E488" s="24"/>
      <c r="F488" s="22"/>
      <c r="H488" s="21">
        <v>45893</v>
      </c>
      <c r="I488" s="22" t="s">
        <v>71</v>
      </c>
      <c r="J488" s="22" t="s">
        <v>56</v>
      </c>
      <c r="K488" s="24">
        <v>8</v>
      </c>
      <c r="M488" s="21">
        <v>45904</v>
      </c>
      <c r="N488" s="22" t="s">
        <v>70</v>
      </c>
      <c r="O488" s="22" t="s">
        <v>44</v>
      </c>
      <c r="P488" s="49">
        <v>68</v>
      </c>
      <c r="Q488" s="49">
        <v>67.2</v>
      </c>
      <c r="R488" s="50">
        <f t="shared" si="18"/>
        <v>0.79999999999999716</v>
      </c>
      <c r="T488" s="21">
        <v>45904</v>
      </c>
      <c r="U488" s="22" t="s">
        <v>49</v>
      </c>
      <c r="V488" s="24">
        <v>4</v>
      </c>
      <c r="W488" s="24">
        <v>4</v>
      </c>
      <c r="X488" s="24">
        <v>4</v>
      </c>
      <c r="Y488" s="24">
        <v>4</v>
      </c>
      <c r="Z488" s="20">
        <f t="shared" si="19"/>
        <v>16</v>
      </c>
    </row>
    <row r="489" spans="1:26" x14ac:dyDescent="0.2">
      <c r="A489" s="21"/>
      <c r="B489" s="51"/>
      <c r="C489" s="22"/>
      <c r="D489" s="22"/>
      <c r="E489" s="24"/>
      <c r="F489" s="22"/>
      <c r="H489" s="21">
        <v>45895</v>
      </c>
      <c r="I489" s="22" t="s">
        <v>70</v>
      </c>
      <c r="J489" s="22" t="s">
        <v>52</v>
      </c>
      <c r="K489" s="24" t="s">
        <v>61</v>
      </c>
      <c r="M489" s="21">
        <v>45904</v>
      </c>
      <c r="N489" s="22" t="s">
        <v>70</v>
      </c>
      <c r="O489" s="22" t="s">
        <v>45</v>
      </c>
      <c r="P489" s="49">
        <v>69</v>
      </c>
      <c r="Q489" s="49">
        <v>68.599999999999994</v>
      </c>
      <c r="R489" s="50">
        <f t="shared" si="18"/>
        <v>0.40000000000000568</v>
      </c>
      <c r="T489" s="21">
        <v>45904</v>
      </c>
      <c r="U489" s="22" t="s">
        <v>50</v>
      </c>
      <c r="V489" s="24">
        <v>4</v>
      </c>
      <c r="W489" s="24">
        <v>4</v>
      </c>
      <c r="X489" s="24">
        <v>3</v>
      </c>
      <c r="Y489" s="24">
        <v>5</v>
      </c>
      <c r="Z489" s="20">
        <f t="shared" si="19"/>
        <v>16</v>
      </c>
    </row>
    <row r="490" spans="1:26" x14ac:dyDescent="0.2">
      <c r="A490" s="21"/>
      <c r="B490" s="51"/>
      <c r="C490" s="22"/>
      <c r="D490" s="22"/>
      <c r="E490" s="24"/>
      <c r="F490" s="22"/>
      <c r="H490" s="21">
        <v>45895</v>
      </c>
      <c r="I490" s="22" t="s">
        <v>70</v>
      </c>
      <c r="J490" s="22" t="s">
        <v>53</v>
      </c>
      <c r="K490" s="24">
        <v>7</v>
      </c>
      <c r="M490" s="21">
        <v>45904</v>
      </c>
      <c r="N490" s="22" t="s">
        <v>70</v>
      </c>
      <c r="O490" s="22" t="s">
        <v>46</v>
      </c>
      <c r="P490" s="49">
        <v>80.599999999999994</v>
      </c>
      <c r="Q490" s="49">
        <v>80.8</v>
      </c>
      <c r="R490" s="50">
        <f t="shared" si="18"/>
        <v>-0.20000000000000284</v>
      </c>
      <c r="T490" s="21">
        <v>45904</v>
      </c>
      <c r="U490" s="22" t="s">
        <v>51</v>
      </c>
      <c r="V490" s="24">
        <v>4</v>
      </c>
      <c r="W490" s="24">
        <v>4</v>
      </c>
      <c r="X490" s="24">
        <v>3</v>
      </c>
      <c r="Y490" s="24">
        <v>4</v>
      </c>
      <c r="Z490" s="20">
        <f t="shared" si="19"/>
        <v>15</v>
      </c>
    </row>
    <row r="491" spans="1:26" x14ac:dyDescent="0.2">
      <c r="A491" s="21"/>
      <c r="B491" s="51"/>
      <c r="C491" s="22"/>
      <c r="D491" s="22"/>
      <c r="E491" s="24"/>
      <c r="F491" s="22"/>
      <c r="H491" s="21">
        <v>45895</v>
      </c>
      <c r="I491" s="22" t="s">
        <v>70</v>
      </c>
      <c r="J491" s="22" t="s">
        <v>44</v>
      </c>
      <c r="K491" s="24">
        <v>8</v>
      </c>
      <c r="M491" s="21">
        <v>45904</v>
      </c>
      <c r="N491" s="22" t="s">
        <v>70</v>
      </c>
      <c r="O491" s="22" t="s">
        <v>47</v>
      </c>
      <c r="P491" s="49">
        <v>71.5</v>
      </c>
      <c r="Q491" s="49">
        <v>71.7</v>
      </c>
      <c r="R491" s="50">
        <f t="shared" si="18"/>
        <v>-0.20000000000000284</v>
      </c>
      <c r="T491" s="21">
        <v>45904</v>
      </c>
      <c r="U491" s="22" t="s">
        <v>52</v>
      </c>
      <c r="V491" s="24">
        <v>4</v>
      </c>
      <c r="W491" s="24">
        <v>5</v>
      </c>
      <c r="X491" s="24">
        <v>3</v>
      </c>
      <c r="Y491" s="24">
        <v>3</v>
      </c>
      <c r="Z491" s="20">
        <f t="shared" si="19"/>
        <v>15</v>
      </c>
    </row>
    <row r="492" spans="1:26" x14ac:dyDescent="0.2">
      <c r="A492" s="21"/>
      <c r="B492" s="51"/>
      <c r="C492" s="22"/>
      <c r="D492" s="22"/>
      <c r="E492" s="24"/>
      <c r="F492" s="22"/>
      <c r="H492" s="21">
        <v>45895</v>
      </c>
      <c r="I492" s="22" t="s">
        <v>70</v>
      </c>
      <c r="J492" s="22" t="s">
        <v>45</v>
      </c>
      <c r="K492" s="24">
        <v>7</v>
      </c>
      <c r="M492" s="21">
        <v>45904</v>
      </c>
      <c r="N492" s="22" t="s">
        <v>70</v>
      </c>
      <c r="O492" s="22" t="s">
        <v>49</v>
      </c>
      <c r="P492" s="49">
        <v>79.8</v>
      </c>
      <c r="Q492" s="49">
        <v>79.599999999999994</v>
      </c>
      <c r="R492" s="50">
        <f t="shared" si="18"/>
        <v>0.20000000000000284</v>
      </c>
      <c r="T492" s="21">
        <v>45904</v>
      </c>
      <c r="U492" s="22" t="s">
        <v>53</v>
      </c>
      <c r="V492" s="24">
        <v>4</v>
      </c>
      <c r="W492" s="24">
        <v>4</v>
      </c>
      <c r="X492" s="24">
        <v>4</v>
      </c>
      <c r="Y492" s="24">
        <v>4</v>
      </c>
      <c r="Z492" s="20">
        <f t="shared" si="19"/>
        <v>16</v>
      </c>
    </row>
    <row r="493" spans="1:26" x14ac:dyDescent="0.2">
      <c r="A493" s="21"/>
      <c r="B493" s="51"/>
      <c r="C493" s="22"/>
      <c r="D493" s="22"/>
      <c r="E493" s="24"/>
      <c r="F493" s="22"/>
      <c r="H493" s="21">
        <v>45895</v>
      </c>
      <c r="I493" s="22" t="s">
        <v>70</v>
      </c>
      <c r="J493" s="22" t="s">
        <v>57</v>
      </c>
      <c r="K493" s="24">
        <v>8</v>
      </c>
      <c r="M493" s="21">
        <v>45904</v>
      </c>
      <c r="N493" s="22" t="s">
        <v>70</v>
      </c>
      <c r="O493" s="22" t="s">
        <v>50</v>
      </c>
      <c r="P493" s="49">
        <v>71</v>
      </c>
      <c r="Q493" s="49">
        <v>70.8</v>
      </c>
      <c r="R493" s="50">
        <f t="shared" si="18"/>
        <v>0.20000000000000284</v>
      </c>
      <c r="T493" s="21">
        <v>45904</v>
      </c>
      <c r="U493" s="22" t="s">
        <v>54</v>
      </c>
      <c r="V493" s="24">
        <v>2</v>
      </c>
      <c r="W493" s="24">
        <v>4</v>
      </c>
      <c r="X493" s="24">
        <v>4</v>
      </c>
      <c r="Y493" s="24">
        <v>2</v>
      </c>
      <c r="Z493" s="20">
        <f t="shared" si="19"/>
        <v>12</v>
      </c>
    </row>
    <row r="494" spans="1:26" x14ac:dyDescent="0.2">
      <c r="A494" s="21"/>
      <c r="B494" s="51"/>
      <c r="C494" s="22"/>
      <c r="D494" s="22"/>
      <c r="E494" s="24"/>
      <c r="F494" s="22"/>
      <c r="H494" s="21">
        <v>45895</v>
      </c>
      <c r="I494" s="22" t="s">
        <v>70</v>
      </c>
      <c r="J494" s="22" t="s">
        <v>42</v>
      </c>
      <c r="K494" s="24">
        <v>8</v>
      </c>
      <c r="M494" s="21">
        <v>45904</v>
      </c>
      <c r="N494" s="22" t="s">
        <v>70</v>
      </c>
      <c r="O494" s="22" t="s">
        <v>51</v>
      </c>
      <c r="P494" s="49">
        <v>75.8</v>
      </c>
      <c r="Q494" s="49">
        <v>75.099999999999994</v>
      </c>
      <c r="R494" s="50">
        <f t="shared" si="18"/>
        <v>0.70000000000000284</v>
      </c>
      <c r="T494" s="21">
        <v>45904</v>
      </c>
      <c r="U494" s="22" t="s">
        <v>56</v>
      </c>
      <c r="V494" s="24">
        <v>3</v>
      </c>
      <c r="W494" s="24">
        <v>4</v>
      </c>
      <c r="X494" s="24">
        <v>4</v>
      </c>
      <c r="Y494" s="24">
        <v>5</v>
      </c>
      <c r="Z494" s="20">
        <f t="shared" si="19"/>
        <v>16</v>
      </c>
    </row>
    <row r="495" spans="1:26" x14ac:dyDescent="0.2">
      <c r="A495" s="21"/>
      <c r="B495" s="51"/>
      <c r="C495" s="22"/>
      <c r="D495" s="22"/>
      <c r="E495" s="24"/>
      <c r="F495" s="22"/>
      <c r="H495" s="21">
        <v>45895</v>
      </c>
      <c r="I495" s="22" t="s">
        <v>70</v>
      </c>
      <c r="J495" s="22" t="s">
        <v>54</v>
      </c>
      <c r="K495" s="24">
        <v>9</v>
      </c>
      <c r="M495" s="21">
        <v>45904</v>
      </c>
      <c r="N495" s="22" t="s">
        <v>70</v>
      </c>
      <c r="O495" s="22" t="s">
        <v>52</v>
      </c>
      <c r="P495" s="49">
        <v>72.599999999999994</v>
      </c>
      <c r="Q495" s="49">
        <v>72.599999999999994</v>
      </c>
      <c r="R495" s="50">
        <f t="shared" si="18"/>
        <v>0</v>
      </c>
      <c r="T495" s="21">
        <v>45904</v>
      </c>
      <c r="U495" s="22" t="s">
        <v>57</v>
      </c>
      <c r="V495" s="24">
        <v>4</v>
      </c>
      <c r="W495" s="24">
        <v>4</v>
      </c>
      <c r="X495" s="24">
        <v>4</v>
      </c>
      <c r="Y495" s="24">
        <v>4</v>
      </c>
      <c r="Z495" s="20">
        <f t="shared" si="19"/>
        <v>16</v>
      </c>
    </row>
    <row r="496" spans="1:26" x14ac:dyDescent="0.2">
      <c r="A496" s="21"/>
      <c r="B496" s="51"/>
      <c r="C496" s="22"/>
      <c r="D496" s="22"/>
      <c r="E496" s="24"/>
      <c r="F496" s="22"/>
      <c r="H496" s="21">
        <v>45895</v>
      </c>
      <c r="I496" s="22" t="s">
        <v>70</v>
      </c>
      <c r="J496" s="22" t="s">
        <v>47</v>
      </c>
      <c r="K496" s="24">
        <v>7</v>
      </c>
      <c r="M496" s="21">
        <v>45904</v>
      </c>
      <c r="N496" s="22" t="s">
        <v>70</v>
      </c>
      <c r="O496" s="22" t="s">
        <v>53</v>
      </c>
      <c r="P496" s="49">
        <v>67.2</v>
      </c>
      <c r="Q496" s="49">
        <v>66.2</v>
      </c>
      <c r="R496" s="50">
        <f t="shared" si="18"/>
        <v>1</v>
      </c>
      <c r="T496" s="21">
        <v>45904</v>
      </c>
      <c r="U496" s="22" t="s">
        <v>33</v>
      </c>
      <c r="V496" s="24">
        <v>3.6666666666666701</v>
      </c>
      <c r="W496" s="24">
        <v>3.8666666666666698</v>
      </c>
      <c r="X496" s="24">
        <v>3.4666666666666699</v>
      </c>
      <c r="Y496" s="24">
        <v>3.93333333333333</v>
      </c>
      <c r="Z496" s="20">
        <f t="shared" si="19"/>
        <v>14.933333333333341</v>
      </c>
    </row>
    <row r="497" spans="1:26" x14ac:dyDescent="0.2">
      <c r="A497" s="21"/>
      <c r="B497" s="51"/>
      <c r="C497" s="22"/>
      <c r="D497" s="22"/>
      <c r="E497" s="24"/>
      <c r="F497" s="22"/>
      <c r="H497" s="21">
        <v>45895</v>
      </c>
      <c r="I497" s="22" t="s">
        <v>70</v>
      </c>
      <c r="J497" s="22" t="s">
        <v>41</v>
      </c>
      <c r="K497" s="24">
        <v>9</v>
      </c>
      <c r="M497" s="21">
        <v>45904</v>
      </c>
      <c r="N497" s="22" t="s">
        <v>70</v>
      </c>
      <c r="O497" s="22" t="s">
        <v>54</v>
      </c>
      <c r="P497" s="49">
        <v>84.8</v>
      </c>
      <c r="Q497" s="49">
        <v>84.9</v>
      </c>
      <c r="R497" s="50">
        <f t="shared" si="18"/>
        <v>-0.10000000000000853</v>
      </c>
      <c r="T497" s="21">
        <v>45905</v>
      </c>
      <c r="U497" s="22" t="s">
        <v>41</v>
      </c>
      <c r="V497" s="24">
        <v>1</v>
      </c>
      <c r="W497" s="24">
        <v>1</v>
      </c>
      <c r="X497" s="24">
        <v>1</v>
      </c>
      <c r="Y497" s="24">
        <v>1</v>
      </c>
      <c r="Z497" s="20">
        <f t="shared" si="19"/>
        <v>4</v>
      </c>
    </row>
    <row r="498" spans="1:26" x14ac:dyDescent="0.2">
      <c r="A498" s="21"/>
      <c r="B498" s="51"/>
      <c r="C498" s="22"/>
      <c r="D498" s="22"/>
      <c r="E498" s="24"/>
      <c r="F498" s="22"/>
      <c r="H498" s="21">
        <v>45895</v>
      </c>
      <c r="I498" s="22" t="s">
        <v>70</v>
      </c>
      <c r="J498" s="22" t="s">
        <v>49</v>
      </c>
      <c r="K498" s="24">
        <v>7</v>
      </c>
      <c r="M498" s="21">
        <v>45904</v>
      </c>
      <c r="N498" s="22" t="s">
        <v>70</v>
      </c>
      <c r="O498" s="22" t="s">
        <v>56</v>
      </c>
      <c r="P498" s="49">
        <v>74.8</v>
      </c>
      <c r="Q498" s="49">
        <v>74.7</v>
      </c>
      <c r="R498" s="50">
        <f t="shared" si="18"/>
        <v>9.9999999999994316E-2</v>
      </c>
      <c r="T498" s="21">
        <v>45905</v>
      </c>
      <c r="U498" s="22" t="s">
        <v>42</v>
      </c>
      <c r="V498" s="24">
        <v>4</v>
      </c>
      <c r="W498" s="24">
        <v>5</v>
      </c>
      <c r="X498" s="24">
        <v>5</v>
      </c>
      <c r="Y498" s="24">
        <v>5</v>
      </c>
      <c r="Z498" s="20">
        <f t="shared" si="19"/>
        <v>19</v>
      </c>
    </row>
    <row r="499" spans="1:26" x14ac:dyDescent="0.2">
      <c r="A499" s="21"/>
      <c r="B499" s="51"/>
      <c r="C499" s="22"/>
      <c r="D499" s="22"/>
      <c r="E499" s="24"/>
      <c r="F499" s="22"/>
      <c r="H499" s="21">
        <v>45895</v>
      </c>
      <c r="I499" s="22" t="s">
        <v>70</v>
      </c>
      <c r="J499" s="22" t="s">
        <v>50</v>
      </c>
      <c r="K499" s="24">
        <v>7</v>
      </c>
      <c r="M499" s="21">
        <v>45905</v>
      </c>
      <c r="N499" s="22" t="s">
        <v>70</v>
      </c>
      <c r="O499" s="22" t="s">
        <v>41</v>
      </c>
      <c r="P499" s="49">
        <v>76.8</v>
      </c>
      <c r="Q499" s="49">
        <v>76</v>
      </c>
      <c r="R499" s="50">
        <f t="shared" si="18"/>
        <v>0.79999999999999716</v>
      </c>
      <c r="T499" s="21">
        <v>45905</v>
      </c>
      <c r="U499" s="22" t="s">
        <v>44</v>
      </c>
      <c r="V499" s="24">
        <v>5</v>
      </c>
      <c r="W499" s="24">
        <v>4</v>
      </c>
      <c r="X499" s="24">
        <v>4</v>
      </c>
      <c r="Y499" s="24">
        <v>5</v>
      </c>
      <c r="Z499" s="20">
        <f t="shared" si="19"/>
        <v>18</v>
      </c>
    </row>
    <row r="500" spans="1:26" x14ac:dyDescent="0.2">
      <c r="A500" s="21"/>
      <c r="B500" s="51"/>
      <c r="C500" s="22"/>
      <c r="D500" s="22"/>
      <c r="E500" s="24"/>
      <c r="F500" s="22"/>
      <c r="H500" s="21">
        <v>45895</v>
      </c>
      <c r="I500" s="22" t="s">
        <v>70</v>
      </c>
      <c r="J500" s="22" t="s">
        <v>51</v>
      </c>
      <c r="K500" s="24">
        <v>8</v>
      </c>
      <c r="M500" s="21">
        <v>45905</v>
      </c>
      <c r="N500" s="22" t="s">
        <v>70</v>
      </c>
      <c r="O500" s="22" t="s">
        <v>42</v>
      </c>
      <c r="P500" s="49">
        <v>79.400000000000006</v>
      </c>
      <c r="Q500" s="49">
        <v>79</v>
      </c>
      <c r="R500" s="50">
        <f t="shared" si="18"/>
        <v>0.40000000000000568</v>
      </c>
      <c r="T500" s="21">
        <v>45905</v>
      </c>
      <c r="U500" s="22" t="s">
        <v>45</v>
      </c>
      <c r="V500" s="24">
        <v>4</v>
      </c>
      <c r="W500" s="24">
        <v>4</v>
      </c>
      <c r="X500" s="24">
        <v>4</v>
      </c>
      <c r="Y500" s="24">
        <v>5</v>
      </c>
      <c r="Z500" s="20">
        <f t="shared" si="19"/>
        <v>17</v>
      </c>
    </row>
    <row r="501" spans="1:26" x14ac:dyDescent="0.2">
      <c r="A501" s="21"/>
      <c r="B501" s="51"/>
      <c r="C501" s="22"/>
      <c r="D501" s="22"/>
      <c r="E501" s="24"/>
      <c r="F501" s="22"/>
      <c r="H501" s="21">
        <v>45895</v>
      </c>
      <c r="I501" s="22" t="s">
        <v>70</v>
      </c>
      <c r="J501" s="22" t="s">
        <v>46</v>
      </c>
      <c r="K501" s="24">
        <v>7</v>
      </c>
      <c r="M501" s="21">
        <v>45905</v>
      </c>
      <c r="N501" s="22" t="s">
        <v>70</v>
      </c>
      <c r="O501" s="22" t="s">
        <v>44</v>
      </c>
      <c r="P501" s="49">
        <v>68.5</v>
      </c>
      <c r="Q501" s="49">
        <v>68.099999999999994</v>
      </c>
      <c r="R501" s="50">
        <f t="shared" si="18"/>
        <v>0.40000000000000568</v>
      </c>
      <c r="T501" s="21">
        <v>45905</v>
      </c>
      <c r="U501" s="22" t="s">
        <v>46</v>
      </c>
      <c r="V501" s="24">
        <v>5</v>
      </c>
      <c r="W501" s="24">
        <v>4</v>
      </c>
      <c r="X501" s="24">
        <v>4</v>
      </c>
      <c r="Y501" s="24">
        <v>4</v>
      </c>
      <c r="Z501" s="20">
        <f t="shared" si="19"/>
        <v>17</v>
      </c>
    </row>
    <row r="502" spans="1:26" x14ac:dyDescent="0.2">
      <c r="A502" s="21"/>
      <c r="B502" s="51"/>
      <c r="C502" s="22"/>
      <c r="D502" s="22"/>
      <c r="E502" s="24"/>
      <c r="F502" s="22"/>
      <c r="H502" s="21">
        <v>45895</v>
      </c>
      <c r="I502" s="22" t="s">
        <v>70</v>
      </c>
      <c r="J502" s="22" t="s">
        <v>48</v>
      </c>
      <c r="K502" s="24">
        <v>7</v>
      </c>
      <c r="M502" s="21">
        <v>45905</v>
      </c>
      <c r="N502" s="22" t="s">
        <v>70</v>
      </c>
      <c r="O502" s="22" t="s">
        <v>45</v>
      </c>
      <c r="P502" s="49">
        <v>69</v>
      </c>
      <c r="Q502" s="49">
        <v>68.8</v>
      </c>
      <c r="R502" s="50">
        <f t="shared" si="18"/>
        <v>0.20000000000000284</v>
      </c>
      <c r="T502" s="21">
        <v>45905</v>
      </c>
      <c r="U502" s="22" t="s">
        <v>47</v>
      </c>
      <c r="V502" s="24">
        <v>3</v>
      </c>
      <c r="W502" s="24">
        <v>4</v>
      </c>
      <c r="X502" s="24">
        <v>4</v>
      </c>
      <c r="Y502" s="24">
        <v>5</v>
      </c>
      <c r="Z502" s="20">
        <f t="shared" si="19"/>
        <v>16</v>
      </c>
    </row>
    <row r="503" spans="1:26" x14ac:dyDescent="0.2">
      <c r="A503" s="21"/>
      <c r="B503" s="51"/>
      <c r="C503" s="22"/>
      <c r="D503" s="22"/>
      <c r="E503" s="24"/>
      <c r="F503" s="22"/>
      <c r="H503" s="21">
        <v>45895</v>
      </c>
      <c r="I503" s="22" t="s">
        <v>70</v>
      </c>
      <c r="J503" s="22" t="s">
        <v>56</v>
      </c>
      <c r="K503" s="24">
        <v>9</v>
      </c>
      <c r="M503" s="21">
        <v>45905</v>
      </c>
      <c r="N503" s="22" t="s">
        <v>70</v>
      </c>
      <c r="O503" s="22" t="s">
        <v>46</v>
      </c>
      <c r="P503" s="49">
        <v>80.3</v>
      </c>
      <c r="Q503" s="49">
        <v>79.8</v>
      </c>
      <c r="R503" s="50">
        <f t="shared" si="18"/>
        <v>0.5</v>
      </c>
      <c r="T503" s="21">
        <v>45905</v>
      </c>
      <c r="U503" s="22" t="s">
        <v>48</v>
      </c>
      <c r="V503" s="24">
        <v>5</v>
      </c>
      <c r="W503" s="24">
        <v>5</v>
      </c>
      <c r="X503" s="24">
        <v>5</v>
      </c>
      <c r="Y503" s="24">
        <v>3</v>
      </c>
      <c r="Z503" s="20">
        <f t="shared" si="19"/>
        <v>18</v>
      </c>
    </row>
    <row r="504" spans="1:26" x14ac:dyDescent="0.2">
      <c r="A504" s="21"/>
      <c r="B504" s="51"/>
      <c r="C504" s="22"/>
      <c r="D504" s="22"/>
      <c r="E504" s="24"/>
      <c r="F504" s="22"/>
      <c r="H504" s="21">
        <v>45896</v>
      </c>
      <c r="I504" s="22" t="s">
        <v>70</v>
      </c>
      <c r="J504" s="22" t="s">
        <v>52</v>
      </c>
      <c r="K504" s="24" t="s">
        <v>61</v>
      </c>
      <c r="M504" s="21">
        <v>45905</v>
      </c>
      <c r="N504" s="22" t="s">
        <v>70</v>
      </c>
      <c r="O504" s="22" t="s">
        <v>47</v>
      </c>
      <c r="P504" s="49">
        <v>70.900000000000006</v>
      </c>
      <c r="Q504" s="49">
        <v>71.099999999999994</v>
      </c>
      <c r="R504" s="50">
        <f t="shared" si="18"/>
        <v>-0.19999999999998863</v>
      </c>
      <c r="T504" s="21">
        <v>45905</v>
      </c>
      <c r="U504" s="22" t="s">
        <v>49</v>
      </c>
      <c r="V504" s="24">
        <v>4</v>
      </c>
      <c r="W504" s="24">
        <v>4</v>
      </c>
      <c r="X504" s="24">
        <v>4</v>
      </c>
      <c r="Y504" s="24">
        <v>4</v>
      </c>
      <c r="Z504" s="20">
        <f t="shared" si="19"/>
        <v>16</v>
      </c>
    </row>
    <row r="505" spans="1:26" x14ac:dyDescent="0.2">
      <c r="A505" s="21"/>
      <c r="B505" s="51"/>
      <c r="C505" s="22"/>
      <c r="D505" s="22"/>
      <c r="E505" s="24"/>
      <c r="F505" s="22"/>
      <c r="H505" s="21">
        <v>45896</v>
      </c>
      <c r="I505" s="22" t="s">
        <v>70</v>
      </c>
      <c r="J505" s="22" t="s">
        <v>53</v>
      </c>
      <c r="K505" s="24">
        <v>8</v>
      </c>
      <c r="M505" s="21">
        <v>45905</v>
      </c>
      <c r="N505" s="22" t="s">
        <v>70</v>
      </c>
      <c r="O505" s="22" t="s">
        <v>48</v>
      </c>
      <c r="P505" s="49">
        <v>82.8</v>
      </c>
      <c r="Q505" s="49">
        <v>82.2</v>
      </c>
      <c r="R505" s="50">
        <f t="shared" si="18"/>
        <v>0.59999999999999432</v>
      </c>
      <c r="T505" s="21">
        <v>45905</v>
      </c>
      <c r="U505" s="22" t="s">
        <v>50</v>
      </c>
      <c r="V505" s="24">
        <v>4</v>
      </c>
      <c r="W505" s="24">
        <v>4</v>
      </c>
      <c r="X505" s="24">
        <v>3</v>
      </c>
      <c r="Y505" s="24">
        <v>5</v>
      </c>
      <c r="Z505" s="20">
        <f t="shared" si="19"/>
        <v>16</v>
      </c>
    </row>
    <row r="506" spans="1:26" x14ac:dyDescent="0.2">
      <c r="A506" s="21"/>
      <c r="B506" s="51"/>
      <c r="C506" s="22"/>
      <c r="D506" s="22"/>
      <c r="E506" s="24"/>
      <c r="F506" s="22"/>
      <c r="H506" s="21">
        <v>45896</v>
      </c>
      <c r="I506" s="22" t="s">
        <v>70</v>
      </c>
      <c r="J506" s="22" t="s">
        <v>44</v>
      </c>
      <c r="K506" s="24">
        <v>7</v>
      </c>
      <c r="M506" s="21">
        <v>45905</v>
      </c>
      <c r="N506" s="22" t="s">
        <v>70</v>
      </c>
      <c r="O506" s="22" t="s">
        <v>49</v>
      </c>
      <c r="P506" s="49">
        <v>80.5</v>
      </c>
      <c r="Q506" s="49">
        <v>80.2</v>
      </c>
      <c r="R506" s="50">
        <f t="shared" si="18"/>
        <v>0.29999999999999716</v>
      </c>
      <c r="T506" s="21">
        <v>45905</v>
      </c>
      <c r="U506" s="22" t="s">
        <v>51</v>
      </c>
      <c r="V506" s="24">
        <v>4</v>
      </c>
      <c r="W506" s="24">
        <v>4</v>
      </c>
      <c r="X506" s="24">
        <v>4</v>
      </c>
      <c r="Y506" s="24">
        <v>4</v>
      </c>
      <c r="Z506" s="20">
        <f t="shared" si="19"/>
        <v>16</v>
      </c>
    </row>
    <row r="507" spans="1:26" x14ac:dyDescent="0.2">
      <c r="A507" s="21"/>
      <c r="B507" s="51"/>
      <c r="C507" s="22"/>
      <c r="D507" s="22"/>
      <c r="E507" s="24"/>
      <c r="F507" s="22"/>
      <c r="H507" s="21">
        <v>45896</v>
      </c>
      <c r="I507" s="22" t="s">
        <v>70</v>
      </c>
      <c r="J507" s="22" t="s">
        <v>45</v>
      </c>
      <c r="K507" s="24">
        <v>8</v>
      </c>
      <c r="M507" s="21">
        <v>45905</v>
      </c>
      <c r="N507" s="22" t="s">
        <v>70</v>
      </c>
      <c r="O507" s="22" t="s">
        <v>50</v>
      </c>
      <c r="P507" s="49">
        <v>71.599999999999994</v>
      </c>
      <c r="Q507" s="49">
        <v>71.400000000000006</v>
      </c>
      <c r="R507" s="50">
        <f t="shared" si="18"/>
        <v>0.19999999999998863</v>
      </c>
      <c r="T507" s="21">
        <v>45905</v>
      </c>
      <c r="U507" s="22" t="s">
        <v>52</v>
      </c>
      <c r="V507" s="24">
        <v>4</v>
      </c>
      <c r="W507" s="24">
        <v>4</v>
      </c>
      <c r="X507" s="24">
        <v>3</v>
      </c>
      <c r="Y507" s="24">
        <v>3</v>
      </c>
      <c r="Z507" s="20">
        <f t="shared" si="19"/>
        <v>14</v>
      </c>
    </row>
    <row r="508" spans="1:26" x14ac:dyDescent="0.2">
      <c r="A508" s="21"/>
      <c r="B508" s="51"/>
      <c r="C508" s="22"/>
      <c r="D508" s="22"/>
      <c r="E508" s="24"/>
      <c r="F508" s="22"/>
      <c r="H508" s="21">
        <v>45896</v>
      </c>
      <c r="I508" s="22" t="s">
        <v>70</v>
      </c>
      <c r="J508" s="22" t="s">
        <v>57</v>
      </c>
      <c r="K508" s="24">
        <v>8</v>
      </c>
      <c r="M508" s="21">
        <v>45905</v>
      </c>
      <c r="N508" s="22" t="s">
        <v>70</v>
      </c>
      <c r="O508" s="22" t="s">
        <v>51</v>
      </c>
      <c r="P508" s="49">
        <v>75.599999999999994</v>
      </c>
      <c r="Q508" s="49">
        <v>75.5</v>
      </c>
      <c r="R508" s="50">
        <f t="shared" si="18"/>
        <v>9.9999999999994316E-2</v>
      </c>
      <c r="T508" s="21">
        <v>45905</v>
      </c>
      <c r="U508" s="22" t="s">
        <v>53</v>
      </c>
      <c r="V508" s="24">
        <v>3</v>
      </c>
      <c r="W508" s="24">
        <v>4</v>
      </c>
      <c r="X508" s="24">
        <v>5</v>
      </c>
      <c r="Y508" s="24">
        <v>5</v>
      </c>
      <c r="Z508" s="20">
        <f t="shared" si="19"/>
        <v>17</v>
      </c>
    </row>
    <row r="509" spans="1:26" x14ac:dyDescent="0.2">
      <c r="A509" s="21"/>
      <c r="B509" s="51"/>
      <c r="C509" s="22"/>
      <c r="D509" s="22"/>
      <c r="E509" s="24"/>
      <c r="F509" s="22"/>
      <c r="H509" s="21">
        <v>45896</v>
      </c>
      <c r="I509" s="22" t="s">
        <v>70</v>
      </c>
      <c r="J509" s="22" t="s">
        <v>42</v>
      </c>
      <c r="K509" s="24">
        <v>7</v>
      </c>
      <c r="M509" s="21">
        <v>45905</v>
      </c>
      <c r="N509" s="22" t="s">
        <v>70</v>
      </c>
      <c r="O509" s="22" t="s">
        <v>52</v>
      </c>
      <c r="P509" s="49">
        <v>71.8</v>
      </c>
      <c r="Q509" s="49">
        <v>71.7</v>
      </c>
      <c r="R509" s="50">
        <f t="shared" si="18"/>
        <v>9.9999999999994316E-2</v>
      </c>
      <c r="T509" s="21">
        <v>45905</v>
      </c>
      <c r="U509" s="22" t="s">
        <v>54</v>
      </c>
      <c r="V509" s="24">
        <v>4</v>
      </c>
      <c r="W509" s="24">
        <v>4</v>
      </c>
      <c r="X509" s="24">
        <v>4</v>
      </c>
      <c r="Y509" s="24">
        <v>3</v>
      </c>
      <c r="Z509" s="20">
        <f t="shared" si="19"/>
        <v>15</v>
      </c>
    </row>
    <row r="510" spans="1:26" x14ac:dyDescent="0.2">
      <c r="A510" s="21"/>
      <c r="B510" s="51"/>
      <c r="C510" s="22"/>
      <c r="D510" s="22"/>
      <c r="E510" s="24"/>
      <c r="F510" s="22"/>
      <c r="H510" s="21">
        <v>45896</v>
      </c>
      <c r="I510" s="22" t="s">
        <v>70</v>
      </c>
      <c r="J510" s="22" t="s">
        <v>54</v>
      </c>
      <c r="K510" s="24">
        <v>8</v>
      </c>
      <c r="M510" s="21">
        <v>45905</v>
      </c>
      <c r="N510" s="22" t="s">
        <v>70</v>
      </c>
      <c r="O510" s="22" t="s">
        <v>53</v>
      </c>
      <c r="P510" s="49">
        <v>68</v>
      </c>
      <c r="Q510" s="49">
        <v>67.5</v>
      </c>
      <c r="R510" s="50">
        <f t="shared" si="18"/>
        <v>0.5</v>
      </c>
      <c r="T510" s="21">
        <v>45905</v>
      </c>
      <c r="U510" s="22" t="s">
        <v>56</v>
      </c>
      <c r="V510" s="24">
        <v>5</v>
      </c>
      <c r="W510" s="24">
        <v>4</v>
      </c>
      <c r="X510" s="24">
        <v>4</v>
      </c>
      <c r="Y510" s="24">
        <v>5</v>
      </c>
      <c r="Z510" s="20">
        <f t="shared" si="19"/>
        <v>18</v>
      </c>
    </row>
    <row r="511" spans="1:26" x14ac:dyDescent="0.2">
      <c r="A511" s="21"/>
      <c r="B511" s="51"/>
      <c r="C511" s="22"/>
      <c r="D511" s="22"/>
      <c r="E511" s="24"/>
      <c r="F511" s="22"/>
      <c r="H511" s="21">
        <v>45896</v>
      </c>
      <c r="I511" s="22" t="s">
        <v>70</v>
      </c>
      <c r="J511" s="22" t="s">
        <v>47</v>
      </c>
      <c r="K511" s="24">
        <v>7</v>
      </c>
      <c r="M511" s="21">
        <v>45905</v>
      </c>
      <c r="N511" s="22" t="s">
        <v>70</v>
      </c>
      <c r="O511" s="22" t="s">
        <v>54</v>
      </c>
      <c r="P511" s="49">
        <v>84.7</v>
      </c>
      <c r="Q511" s="49">
        <v>84.8</v>
      </c>
      <c r="R511" s="50">
        <f t="shared" si="18"/>
        <v>-9.9999999999994316E-2</v>
      </c>
      <c r="T511" s="21">
        <v>45905</v>
      </c>
      <c r="U511" s="22" t="s">
        <v>57</v>
      </c>
      <c r="V511" s="24">
        <v>4</v>
      </c>
      <c r="W511" s="24">
        <v>4</v>
      </c>
      <c r="X511" s="24">
        <v>4</v>
      </c>
      <c r="Y511" s="24">
        <v>4</v>
      </c>
      <c r="Z511" s="20">
        <f t="shared" si="19"/>
        <v>16</v>
      </c>
    </row>
    <row r="512" spans="1:26" x14ac:dyDescent="0.2">
      <c r="A512" s="21"/>
      <c r="B512" s="51"/>
      <c r="C512" s="22"/>
      <c r="D512" s="22"/>
      <c r="E512" s="24"/>
      <c r="F512" s="22"/>
      <c r="H512" s="21">
        <v>45896</v>
      </c>
      <c r="I512" s="22" t="s">
        <v>70</v>
      </c>
      <c r="J512" s="22" t="s">
        <v>41</v>
      </c>
      <c r="K512" s="24">
        <v>7</v>
      </c>
      <c r="M512" s="21">
        <v>45905</v>
      </c>
      <c r="N512" s="22" t="s">
        <v>70</v>
      </c>
      <c r="O512" s="22" t="s">
        <v>56</v>
      </c>
      <c r="P512" s="49">
        <v>74.7</v>
      </c>
      <c r="Q512" s="49">
        <v>74.7</v>
      </c>
      <c r="R512" s="50">
        <f t="shared" si="18"/>
        <v>0</v>
      </c>
      <c r="T512" s="21">
        <v>45905</v>
      </c>
      <c r="U512" s="22" t="s">
        <v>33</v>
      </c>
      <c r="V512" s="24">
        <v>3.93333333333333</v>
      </c>
      <c r="W512" s="24">
        <v>3.93333333333333</v>
      </c>
      <c r="X512" s="24">
        <v>3.8666666666666698</v>
      </c>
      <c r="Y512" s="24">
        <v>4.06666666666667</v>
      </c>
      <c r="Z512" s="20">
        <f t="shared" si="19"/>
        <v>15.8</v>
      </c>
    </row>
    <row r="513" spans="1:26" x14ac:dyDescent="0.2">
      <c r="A513" s="21"/>
      <c r="B513" s="51"/>
      <c r="C513" s="22"/>
      <c r="D513" s="22"/>
      <c r="E513" s="24"/>
      <c r="F513" s="22"/>
      <c r="H513" s="21">
        <v>45896</v>
      </c>
      <c r="I513" s="22" t="s">
        <v>70</v>
      </c>
      <c r="J513" s="22" t="s">
        <v>49</v>
      </c>
      <c r="K513" s="24">
        <v>8</v>
      </c>
      <c r="M513" s="21">
        <v>45905</v>
      </c>
      <c r="N513" s="22" t="s">
        <v>70</v>
      </c>
      <c r="O513" s="22" t="s">
        <v>57</v>
      </c>
      <c r="P513" s="49">
        <v>93.2</v>
      </c>
      <c r="Q513" s="49">
        <v>93.6</v>
      </c>
      <c r="R513" s="50">
        <f t="shared" si="18"/>
        <v>-0.39999999999999147</v>
      </c>
      <c r="T513" s="21">
        <v>45906</v>
      </c>
      <c r="U513" s="22" t="s">
        <v>41</v>
      </c>
      <c r="V513" s="24">
        <v>1</v>
      </c>
      <c r="W513" s="24">
        <v>2</v>
      </c>
      <c r="X513" s="24">
        <v>2</v>
      </c>
      <c r="Y513" s="24">
        <v>2</v>
      </c>
      <c r="Z513" s="20">
        <f t="shared" si="19"/>
        <v>7</v>
      </c>
    </row>
    <row r="514" spans="1:26" x14ac:dyDescent="0.2">
      <c r="A514" s="21"/>
      <c r="B514" s="51"/>
      <c r="C514" s="22"/>
      <c r="D514" s="22"/>
      <c r="E514" s="24"/>
      <c r="F514" s="22"/>
      <c r="H514" s="21">
        <v>45896</v>
      </c>
      <c r="I514" s="22" t="s">
        <v>70</v>
      </c>
      <c r="J514" s="22" t="s">
        <v>43</v>
      </c>
      <c r="K514" s="24">
        <v>6</v>
      </c>
      <c r="M514" s="21">
        <v>45906</v>
      </c>
      <c r="N514" s="22" t="s">
        <v>71</v>
      </c>
      <c r="O514" s="22" t="s">
        <v>41</v>
      </c>
      <c r="P514" s="49">
        <v>77</v>
      </c>
      <c r="Q514" s="49">
        <v>75.5</v>
      </c>
      <c r="R514" s="50">
        <f t="shared" si="18"/>
        <v>1.5</v>
      </c>
      <c r="T514" s="21">
        <v>45906</v>
      </c>
      <c r="U514" s="22" t="s">
        <v>42</v>
      </c>
      <c r="V514" s="24">
        <v>4</v>
      </c>
      <c r="W514" s="24">
        <v>4</v>
      </c>
      <c r="X514" s="24">
        <v>4</v>
      </c>
      <c r="Y514" s="24">
        <v>5</v>
      </c>
      <c r="Z514" s="20">
        <f t="shared" si="19"/>
        <v>17</v>
      </c>
    </row>
    <row r="515" spans="1:26" x14ac:dyDescent="0.2">
      <c r="A515" s="21"/>
      <c r="B515" s="51"/>
      <c r="C515" s="22"/>
      <c r="D515" s="22"/>
      <c r="E515" s="24"/>
      <c r="F515" s="22"/>
      <c r="H515" s="21">
        <v>45896</v>
      </c>
      <c r="I515" s="22" t="s">
        <v>70</v>
      </c>
      <c r="J515" s="22" t="s">
        <v>50</v>
      </c>
      <c r="K515" s="24">
        <v>6</v>
      </c>
      <c r="M515" s="21">
        <v>45906</v>
      </c>
      <c r="N515" s="22" t="s">
        <v>71</v>
      </c>
      <c r="O515" s="22" t="s">
        <v>42</v>
      </c>
      <c r="P515" s="49">
        <v>79.599999999999994</v>
      </c>
      <c r="Q515" s="49">
        <v>79.400000000000006</v>
      </c>
      <c r="R515" s="50">
        <f t="shared" ref="R515:R578" si="20">IFERROR(P515-Q515,"")</f>
        <v>0.19999999999998863</v>
      </c>
      <c r="T515" s="21">
        <v>45906</v>
      </c>
      <c r="U515" s="22" t="s">
        <v>44</v>
      </c>
      <c r="V515" s="24">
        <v>5</v>
      </c>
      <c r="W515" s="24">
        <v>5</v>
      </c>
      <c r="X515" s="24">
        <v>5</v>
      </c>
      <c r="Y515" s="24">
        <v>5</v>
      </c>
      <c r="Z515" s="20">
        <f t="shared" ref="Z515:Z578" si="21">SUM(V515:Y515)</f>
        <v>20</v>
      </c>
    </row>
    <row r="516" spans="1:26" x14ac:dyDescent="0.2">
      <c r="A516" s="21"/>
      <c r="B516" s="51"/>
      <c r="C516" s="22"/>
      <c r="D516" s="22"/>
      <c r="E516" s="24"/>
      <c r="F516" s="22"/>
      <c r="H516" s="21">
        <v>45896</v>
      </c>
      <c r="I516" s="22" t="s">
        <v>70</v>
      </c>
      <c r="J516" s="22" t="s">
        <v>51</v>
      </c>
      <c r="K516" s="24">
        <v>8</v>
      </c>
      <c r="M516" s="21">
        <v>45906</v>
      </c>
      <c r="N516" s="22" t="s">
        <v>71</v>
      </c>
      <c r="O516" s="22" t="s">
        <v>44</v>
      </c>
      <c r="P516" s="49">
        <v>68</v>
      </c>
      <c r="Q516" s="49">
        <v>67</v>
      </c>
      <c r="R516" s="50">
        <f t="shared" si="20"/>
        <v>1</v>
      </c>
      <c r="T516" s="21">
        <v>45906</v>
      </c>
      <c r="U516" s="22" t="s">
        <v>45</v>
      </c>
      <c r="V516" s="24">
        <v>4</v>
      </c>
      <c r="W516" s="24">
        <v>4</v>
      </c>
      <c r="X516" s="24">
        <v>4</v>
      </c>
      <c r="Y516" s="24">
        <v>5</v>
      </c>
      <c r="Z516" s="20">
        <f t="shared" si="21"/>
        <v>17</v>
      </c>
    </row>
    <row r="517" spans="1:26" x14ac:dyDescent="0.2">
      <c r="A517" s="21"/>
      <c r="B517" s="51"/>
      <c r="C517" s="22"/>
      <c r="D517" s="22"/>
      <c r="E517" s="24"/>
      <c r="F517" s="22"/>
      <c r="H517" s="21">
        <v>45896</v>
      </c>
      <c r="I517" s="22" t="s">
        <v>70</v>
      </c>
      <c r="J517" s="22" t="s">
        <v>46</v>
      </c>
      <c r="K517" s="24">
        <v>9</v>
      </c>
      <c r="M517" s="21">
        <v>45906</v>
      </c>
      <c r="N517" s="22" t="s">
        <v>71</v>
      </c>
      <c r="O517" s="22" t="s">
        <v>45</v>
      </c>
      <c r="P517" s="49">
        <v>69</v>
      </c>
      <c r="Q517" s="49">
        <v>68</v>
      </c>
      <c r="R517" s="50">
        <f t="shared" si="20"/>
        <v>1</v>
      </c>
      <c r="T517" s="21">
        <v>45906</v>
      </c>
      <c r="U517" s="22" t="s">
        <v>46</v>
      </c>
      <c r="V517" s="24">
        <v>5</v>
      </c>
      <c r="W517" s="24">
        <v>4</v>
      </c>
      <c r="X517" s="24">
        <v>4</v>
      </c>
      <c r="Y517" s="24">
        <v>4</v>
      </c>
      <c r="Z517" s="20">
        <f t="shared" si="21"/>
        <v>17</v>
      </c>
    </row>
    <row r="518" spans="1:26" x14ac:dyDescent="0.2">
      <c r="A518" s="21"/>
      <c r="B518" s="51"/>
      <c r="C518" s="22"/>
      <c r="D518" s="22"/>
      <c r="E518" s="24"/>
      <c r="F518" s="22"/>
      <c r="H518" s="21">
        <v>45896</v>
      </c>
      <c r="I518" s="22" t="s">
        <v>70</v>
      </c>
      <c r="J518" s="22" t="s">
        <v>48</v>
      </c>
      <c r="K518" s="24">
        <v>7</v>
      </c>
      <c r="M518" s="21">
        <v>45906</v>
      </c>
      <c r="N518" s="22" t="s">
        <v>71</v>
      </c>
      <c r="O518" s="22" t="s">
        <v>46</v>
      </c>
      <c r="P518" s="49">
        <v>80</v>
      </c>
      <c r="Q518" s="49">
        <v>78.900000000000006</v>
      </c>
      <c r="R518" s="50">
        <f t="shared" si="20"/>
        <v>1.0999999999999943</v>
      </c>
      <c r="T518" s="21">
        <v>45906</v>
      </c>
      <c r="U518" s="22" t="s">
        <v>47</v>
      </c>
      <c r="V518" s="24">
        <v>4</v>
      </c>
      <c r="W518" s="24">
        <v>5</v>
      </c>
      <c r="X518" s="24">
        <v>4</v>
      </c>
      <c r="Y518" s="24">
        <v>5</v>
      </c>
      <c r="Z518" s="20">
        <f t="shared" si="21"/>
        <v>18</v>
      </c>
    </row>
    <row r="519" spans="1:26" x14ac:dyDescent="0.2">
      <c r="A519" s="21"/>
      <c r="B519" s="51"/>
      <c r="C519" s="22"/>
      <c r="D519" s="22"/>
      <c r="E519" s="24"/>
      <c r="F519" s="22"/>
      <c r="H519" s="21">
        <v>45896</v>
      </c>
      <c r="I519" s="22" t="s">
        <v>70</v>
      </c>
      <c r="J519" s="22" t="s">
        <v>56</v>
      </c>
      <c r="K519" s="24">
        <v>7</v>
      </c>
      <c r="M519" s="21">
        <v>45906</v>
      </c>
      <c r="N519" s="22" t="s">
        <v>71</v>
      </c>
      <c r="O519" s="22" t="s">
        <v>47</v>
      </c>
      <c r="P519" s="49">
        <v>71</v>
      </c>
      <c r="Q519" s="49">
        <v>71.3</v>
      </c>
      <c r="R519" s="50">
        <f t="shared" si="20"/>
        <v>-0.29999999999999716</v>
      </c>
      <c r="T519" s="21">
        <v>45906</v>
      </c>
      <c r="U519" s="22" t="s">
        <v>48</v>
      </c>
      <c r="V519" s="24">
        <v>5</v>
      </c>
      <c r="W519" s="24">
        <v>5</v>
      </c>
      <c r="X519" s="24">
        <v>5</v>
      </c>
      <c r="Y519" s="24">
        <v>5</v>
      </c>
      <c r="Z519" s="20">
        <f t="shared" si="21"/>
        <v>20</v>
      </c>
    </row>
    <row r="520" spans="1:26" x14ac:dyDescent="0.2">
      <c r="A520" s="21"/>
      <c r="B520" s="51"/>
      <c r="C520" s="22"/>
      <c r="D520" s="22"/>
      <c r="E520" s="24"/>
      <c r="F520" s="22"/>
      <c r="H520" s="21">
        <v>45897</v>
      </c>
      <c r="I520" s="22" t="s">
        <v>70</v>
      </c>
      <c r="J520" s="22" t="s">
        <v>52</v>
      </c>
      <c r="K520" s="24" t="s">
        <v>61</v>
      </c>
      <c r="M520" s="21">
        <v>45906</v>
      </c>
      <c r="N520" s="22" t="s">
        <v>71</v>
      </c>
      <c r="O520" s="22" t="s">
        <v>48</v>
      </c>
      <c r="P520" s="49">
        <v>82.7</v>
      </c>
      <c r="Q520" s="49">
        <v>79.3</v>
      </c>
      <c r="R520" s="50">
        <f t="shared" si="20"/>
        <v>3.4000000000000057</v>
      </c>
      <c r="T520" s="21">
        <v>45906</v>
      </c>
      <c r="U520" s="22" t="s">
        <v>49</v>
      </c>
      <c r="V520" s="24">
        <v>5</v>
      </c>
      <c r="W520" s="24">
        <v>4</v>
      </c>
      <c r="X520" s="24">
        <v>4</v>
      </c>
      <c r="Y520" s="24">
        <v>4</v>
      </c>
      <c r="Z520" s="20">
        <f t="shared" si="21"/>
        <v>17</v>
      </c>
    </row>
    <row r="521" spans="1:26" x14ac:dyDescent="0.2">
      <c r="A521" s="21"/>
      <c r="B521" s="51"/>
      <c r="C521" s="22"/>
      <c r="D521" s="22"/>
      <c r="E521" s="24"/>
      <c r="F521" s="22"/>
      <c r="H521" s="21">
        <v>45897</v>
      </c>
      <c r="I521" s="22" t="s">
        <v>70</v>
      </c>
      <c r="J521" s="22" t="s">
        <v>53</v>
      </c>
      <c r="K521" s="24">
        <v>6</v>
      </c>
      <c r="M521" s="21">
        <v>45906</v>
      </c>
      <c r="N521" s="22" t="s">
        <v>71</v>
      </c>
      <c r="O521" s="22" t="s">
        <v>49</v>
      </c>
      <c r="P521" s="49">
        <v>79.3</v>
      </c>
      <c r="Q521" s="49">
        <v>79.400000000000006</v>
      </c>
      <c r="R521" s="50">
        <f t="shared" si="20"/>
        <v>-0.10000000000000853</v>
      </c>
      <c r="T521" s="21">
        <v>45906</v>
      </c>
      <c r="U521" s="22" t="s">
        <v>50</v>
      </c>
      <c r="V521" s="24">
        <v>4</v>
      </c>
      <c r="W521" s="24">
        <v>4</v>
      </c>
      <c r="X521" s="24">
        <v>3</v>
      </c>
      <c r="Y521" s="24">
        <v>5</v>
      </c>
      <c r="Z521" s="20">
        <f t="shared" si="21"/>
        <v>16</v>
      </c>
    </row>
    <row r="522" spans="1:26" x14ac:dyDescent="0.2">
      <c r="A522" s="21"/>
      <c r="B522" s="51"/>
      <c r="C522" s="22"/>
      <c r="D522" s="22"/>
      <c r="E522" s="24"/>
      <c r="F522" s="22"/>
      <c r="H522" s="21">
        <v>45897</v>
      </c>
      <c r="I522" s="22" t="s">
        <v>70</v>
      </c>
      <c r="J522" s="22" t="s">
        <v>44</v>
      </c>
      <c r="K522" s="24">
        <v>6</v>
      </c>
      <c r="M522" s="21">
        <v>45906</v>
      </c>
      <c r="N522" s="22" t="s">
        <v>71</v>
      </c>
      <c r="O522" s="22" t="s">
        <v>50</v>
      </c>
      <c r="P522" s="49">
        <v>71.5</v>
      </c>
      <c r="Q522" s="49">
        <v>71.400000000000006</v>
      </c>
      <c r="R522" s="50">
        <f t="shared" si="20"/>
        <v>9.9999999999994316E-2</v>
      </c>
      <c r="T522" s="21">
        <v>45906</v>
      </c>
      <c r="U522" s="22" t="s">
        <v>51</v>
      </c>
      <c r="V522" s="24">
        <v>4</v>
      </c>
      <c r="W522" s="24">
        <v>4</v>
      </c>
      <c r="X522" s="24">
        <v>5</v>
      </c>
      <c r="Y522" s="24">
        <v>5</v>
      </c>
      <c r="Z522" s="20">
        <f t="shared" si="21"/>
        <v>18</v>
      </c>
    </row>
    <row r="523" spans="1:26" x14ac:dyDescent="0.2">
      <c r="A523" s="21"/>
      <c r="B523" s="51"/>
      <c r="C523" s="22"/>
      <c r="D523" s="22"/>
      <c r="E523" s="24"/>
      <c r="F523" s="22"/>
      <c r="H523" s="21">
        <v>45897</v>
      </c>
      <c r="I523" s="22" t="s">
        <v>70</v>
      </c>
      <c r="J523" s="22" t="s">
        <v>45</v>
      </c>
      <c r="K523" s="24">
        <v>7</v>
      </c>
      <c r="M523" s="21">
        <v>45906</v>
      </c>
      <c r="N523" s="22" t="s">
        <v>71</v>
      </c>
      <c r="O523" s="22" t="s">
        <v>51</v>
      </c>
      <c r="P523" s="49">
        <v>75.7</v>
      </c>
      <c r="Q523" s="49">
        <v>74.599999999999994</v>
      </c>
      <c r="R523" s="50">
        <f t="shared" si="20"/>
        <v>1.1000000000000085</v>
      </c>
      <c r="T523" s="21">
        <v>45906</v>
      </c>
      <c r="U523" s="22" t="s">
        <v>52</v>
      </c>
      <c r="V523" s="24">
        <v>4</v>
      </c>
      <c r="W523" s="24">
        <v>4</v>
      </c>
      <c r="X523" s="24">
        <v>3</v>
      </c>
      <c r="Y523" s="24">
        <v>3</v>
      </c>
      <c r="Z523" s="20">
        <f t="shared" si="21"/>
        <v>14</v>
      </c>
    </row>
    <row r="524" spans="1:26" x14ac:dyDescent="0.2">
      <c r="A524" s="21"/>
      <c r="B524" s="51"/>
      <c r="C524" s="22"/>
      <c r="D524" s="22"/>
      <c r="E524" s="24"/>
      <c r="F524" s="22"/>
      <c r="H524" s="21">
        <v>45897</v>
      </c>
      <c r="I524" s="22" t="s">
        <v>70</v>
      </c>
      <c r="J524" s="22" t="s">
        <v>57</v>
      </c>
      <c r="K524" s="24">
        <v>4</v>
      </c>
      <c r="M524" s="21">
        <v>45906</v>
      </c>
      <c r="N524" s="22" t="s">
        <v>71</v>
      </c>
      <c r="O524" s="22" t="s">
        <v>52</v>
      </c>
      <c r="P524" s="49">
        <v>71.7</v>
      </c>
      <c r="Q524" s="49">
        <v>71.7</v>
      </c>
      <c r="R524" s="50">
        <f t="shared" si="20"/>
        <v>0</v>
      </c>
      <c r="T524" s="21">
        <v>45906</v>
      </c>
      <c r="U524" s="22" t="s">
        <v>53</v>
      </c>
      <c r="V524" s="24">
        <v>4</v>
      </c>
      <c r="W524" s="24">
        <v>5</v>
      </c>
      <c r="X524" s="24">
        <v>5</v>
      </c>
      <c r="Y524" s="24">
        <v>5</v>
      </c>
      <c r="Z524" s="20">
        <f t="shared" si="21"/>
        <v>19</v>
      </c>
    </row>
    <row r="525" spans="1:26" x14ac:dyDescent="0.2">
      <c r="A525" s="21"/>
      <c r="B525" s="51"/>
      <c r="C525" s="22"/>
      <c r="D525" s="22"/>
      <c r="E525" s="24"/>
      <c r="F525" s="22"/>
      <c r="H525" s="21">
        <v>45897</v>
      </c>
      <c r="I525" s="22" t="s">
        <v>70</v>
      </c>
      <c r="J525" s="22" t="s">
        <v>42</v>
      </c>
      <c r="K525" s="24">
        <v>4</v>
      </c>
      <c r="M525" s="21">
        <v>45906</v>
      </c>
      <c r="N525" s="22" t="s">
        <v>71</v>
      </c>
      <c r="O525" s="22" t="s">
        <v>53</v>
      </c>
      <c r="P525" s="49">
        <v>66.8</v>
      </c>
      <c r="Q525" s="49">
        <v>66.400000000000006</v>
      </c>
      <c r="R525" s="50">
        <f t="shared" si="20"/>
        <v>0.39999999999999147</v>
      </c>
      <c r="T525" s="21">
        <v>45906</v>
      </c>
      <c r="U525" s="22" t="s">
        <v>54</v>
      </c>
      <c r="V525" s="24">
        <v>4</v>
      </c>
      <c r="W525" s="24">
        <v>5</v>
      </c>
      <c r="X525" s="24">
        <v>5</v>
      </c>
      <c r="Y525" s="24">
        <v>4</v>
      </c>
      <c r="Z525" s="20">
        <f t="shared" si="21"/>
        <v>18</v>
      </c>
    </row>
    <row r="526" spans="1:26" x14ac:dyDescent="0.2">
      <c r="A526" s="21"/>
      <c r="B526" s="51"/>
      <c r="C526" s="22"/>
      <c r="D526" s="22"/>
      <c r="E526" s="24"/>
      <c r="F526" s="22"/>
      <c r="H526" s="21">
        <v>45897</v>
      </c>
      <c r="I526" s="22" t="s">
        <v>70</v>
      </c>
      <c r="J526" s="22" t="s">
        <v>54</v>
      </c>
      <c r="K526" s="24">
        <v>6</v>
      </c>
      <c r="M526" s="21">
        <v>45906</v>
      </c>
      <c r="N526" s="22" t="s">
        <v>71</v>
      </c>
      <c r="O526" s="22" t="s">
        <v>54</v>
      </c>
      <c r="P526" s="49">
        <v>84.9</v>
      </c>
      <c r="Q526" s="49">
        <v>84.5</v>
      </c>
      <c r="R526" s="50">
        <f t="shared" si="20"/>
        <v>0.40000000000000568</v>
      </c>
      <c r="T526" s="21">
        <v>45906</v>
      </c>
      <c r="U526" s="22" t="s">
        <v>56</v>
      </c>
      <c r="V526" s="24">
        <v>5</v>
      </c>
      <c r="W526" s="24">
        <v>4</v>
      </c>
      <c r="X526" s="24">
        <v>5</v>
      </c>
      <c r="Y526" s="24">
        <v>5</v>
      </c>
      <c r="Z526" s="20">
        <f t="shared" si="21"/>
        <v>19</v>
      </c>
    </row>
    <row r="527" spans="1:26" x14ac:dyDescent="0.2">
      <c r="A527" s="21"/>
      <c r="B527" s="51"/>
      <c r="C527" s="22"/>
      <c r="D527" s="22"/>
      <c r="E527" s="24"/>
      <c r="F527" s="22"/>
      <c r="H527" s="21">
        <v>45897</v>
      </c>
      <c r="I527" s="22" t="s">
        <v>70</v>
      </c>
      <c r="J527" s="22" t="s">
        <v>47</v>
      </c>
      <c r="K527" s="24">
        <v>5</v>
      </c>
      <c r="M527" s="21">
        <v>45906</v>
      </c>
      <c r="N527" s="22" t="s">
        <v>71</v>
      </c>
      <c r="O527" s="22" t="s">
        <v>56</v>
      </c>
      <c r="P527" s="49">
        <v>74.599999999999994</v>
      </c>
      <c r="Q527" s="49">
        <v>74.599999999999994</v>
      </c>
      <c r="R527" s="50">
        <f t="shared" si="20"/>
        <v>0</v>
      </c>
      <c r="T527" s="21">
        <v>45906</v>
      </c>
      <c r="U527" s="22" t="s">
        <v>57</v>
      </c>
      <c r="V527" s="24">
        <v>5</v>
      </c>
      <c r="W527" s="24">
        <v>4</v>
      </c>
      <c r="X527" s="24">
        <v>4</v>
      </c>
      <c r="Y527" s="24">
        <v>5</v>
      </c>
      <c r="Z527" s="20">
        <f t="shared" si="21"/>
        <v>18</v>
      </c>
    </row>
    <row r="528" spans="1:26" x14ac:dyDescent="0.2">
      <c r="A528" s="21"/>
      <c r="B528" s="51"/>
      <c r="C528" s="22"/>
      <c r="D528" s="22"/>
      <c r="E528" s="24"/>
      <c r="F528" s="22"/>
      <c r="H528" s="21">
        <v>45897</v>
      </c>
      <c r="I528" s="22" t="s">
        <v>70</v>
      </c>
      <c r="J528" s="22" t="s">
        <v>41</v>
      </c>
      <c r="K528" s="24">
        <v>4</v>
      </c>
      <c r="M528" s="21">
        <v>45906</v>
      </c>
      <c r="N528" s="22" t="s">
        <v>71</v>
      </c>
      <c r="O528" s="22" t="s">
        <v>57</v>
      </c>
      <c r="P528" s="49">
        <v>93.4</v>
      </c>
      <c r="Q528" s="49">
        <v>93</v>
      </c>
      <c r="R528" s="50">
        <f t="shared" si="20"/>
        <v>0.40000000000000568</v>
      </c>
      <c r="T528" s="21">
        <v>45906</v>
      </c>
      <c r="U528" s="22" t="s">
        <v>33</v>
      </c>
      <c r="V528" s="24">
        <v>4.2</v>
      </c>
      <c r="W528" s="24">
        <v>4.2</v>
      </c>
      <c r="X528" s="24">
        <v>4.1333333333333302</v>
      </c>
      <c r="Y528" s="24">
        <v>4.4666666666666703</v>
      </c>
      <c r="Z528" s="20">
        <f t="shared" si="21"/>
        <v>17</v>
      </c>
    </row>
    <row r="529" spans="1:26" x14ac:dyDescent="0.2">
      <c r="A529" s="21"/>
      <c r="B529" s="51"/>
      <c r="C529" s="22"/>
      <c r="D529" s="22"/>
      <c r="E529" s="24"/>
      <c r="F529" s="22"/>
      <c r="H529" s="21">
        <v>45897</v>
      </c>
      <c r="I529" s="22" t="s">
        <v>70</v>
      </c>
      <c r="J529" s="22" t="s">
        <v>49</v>
      </c>
      <c r="K529" s="24">
        <v>6</v>
      </c>
      <c r="M529" s="21">
        <v>45908</v>
      </c>
      <c r="N529" s="22" t="s">
        <v>71</v>
      </c>
      <c r="O529" s="22" t="s">
        <v>41</v>
      </c>
      <c r="P529" s="49">
        <v>76.900000000000006</v>
      </c>
      <c r="Q529" s="49">
        <v>76.2</v>
      </c>
      <c r="R529" s="50">
        <f t="shared" si="20"/>
        <v>0.70000000000000284</v>
      </c>
      <c r="T529" s="21">
        <v>45908</v>
      </c>
      <c r="U529" s="22" t="s">
        <v>41</v>
      </c>
      <c r="V529" s="24">
        <v>1</v>
      </c>
      <c r="W529" s="24">
        <v>2</v>
      </c>
      <c r="X529" s="24">
        <v>1</v>
      </c>
      <c r="Y529" s="24">
        <v>2</v>
      </c>
      <c r="Z529" s="20">
        <f t="shared" si="21"/>
        <v>6</v>
      </c>
    </row>
    <row r="530" spans="1:26" x14ac:dyDescent="0.2">
      <c r="A530" s="21"/>
      <c r="B530" s="51"/>
      <c r="C530" s="22"/>
      <c r="D530" s="22"/>
      <c r="E530" s="24"/>
      <c r="F530" s="22"/>
      <c r="H530" s="21">
        <v>45897</v>
      </c>
      <c r="I530" s="22" t="s">
        <v>70</v>
      </c>
      <c r="J530" s="22" t="s">
        <v>50</v>
      </c>
      <c r="K530" s="24">
        <v>6</v>
      </c>
      <c r="M530" s="21">
        <v>45908</v>
      </c>
      <c r="N530" s="22" t="s">
        <v>71</v>
      </c>
      <c r="O530" s="22" t="s">
        <v>42</v>
      </c>
      <c r="P530" s="49">
        <v>79.5</v>
      </c>
      <c r="Q530" s="49">
        <v>79.400000000000006</v>
      </c>
      <c r="R530" s="50">
        <f t="shared" si="20"/>
        <v>9.9999999999994316E-2</v>
      </c>
      <c r="T530" s="21">
        <v>45908</v>
      </c>
      <c r="U530" s="22" t="s">
        <v>42</v>
      </c>
      <c r="V530" s="24">
        <v>4</v>
      </c>
      <c r="W530" s="24">
        <v>4</v>
      </c>
      <c r="X530" s="24">
        <v>4</v>
      </c>
      <c r="Y530" s="24">
        <v>5</v>
      </c>
      <c r="Z530" s="20">
        <f t="shared" si="21"/>
        <v>17</v>
      </c>
    </row>
    <row r="531" spans="1:26" x14ac:dyDescent="0.2">
      <c r="A531" s="21"/>
      <c r="B531" s="51"/>
      <c r="C531" s="22"/>
      <c r="D531" s="22"/>
      <c r="E531" s="24"/>
      <c r="F531" s="22"/>
      <c r="H531" s="21">
        <v>45897</v>
      </c>
      <c r="I531" s="22" t="s">
        <v>70</v>
      </c>
      <c r="J531" s="22" t="s">
        <v>51</v>
      </c>
      <c r="K531" s="24">
        <v>5</v>
      </c>
      <c r="M531" s="21">
        <v>45908</v>
      </c>
      <c r="N531" s="22" t="s">
        <v>71</v>
      </c>
      <c r="O531" s="22" t="s">
        <v>44</v>
      </c>
      <c r="P531" s="49">
        <v>68.2</v>
      </c>
      <c r="Q531" s="49">
        <v>68.099999999999994</v>
      </c>
      <c r="R531" s="50">
        <f t="shared" si="20"/>
        <v>0.10000000000000853</v>
      </c>
      <c r="T531" s="21">
        <v>45908</v>
      </c>
      <c r="U531" s="22" t="s">
        <v>44</v>
      </c>
      <c r="V531" s="24">
        <v>5</v>
      </c>
      <c r="W531" s="24">
        <v>4</v>
      </c>
      <c r="X531" s="24">
        <v>4</v>
      </c>
      <c r="Y531" s="24">
        <v>5</v>
      </c>
      <c r="Z531" s="20">
        <f t="shared" si="21"/>
        <v>18</v>
      </c>
    </row>
    <row r="532" spans="1:26" x14ac:dyDescent="0.2">
      <c r="A532" s="21"/>
      <c r="B532" s="51"/>
      <c r="C532" s="22"/>
      <c r="D532" s="22"/>
      <c r="E532" s="24"/>
      <c r="F532" s="22"/>
      <c r="H532" s="21">
        <v>45897</v>
      </c>
      <c r="I532" s="22" t="s">
        <v>70</v>
      </c>
      <c r="J532" s="22" t="s">
        <v>46</v>
      </c>
      <c r="K532" s="24">
        <v>6</v>
      </c>
      <c r="M532" s="21">
        <v>45908</v>
      </c>
      <c r="N532" s="22" t="s">
        <v>71</v>
      </c>
      <c r="O532" s="22" t="s">
        <v>45</v>
      </c>
      <c r="P532" s="49">
        <v>69</v>
      </c>
      <c r="Q532" s="49">
        <v>69</v>
      </c>
      <c r="R532" s="50">
        <f t="shared" si="20"/>
        <v>0</v>
      </c>
      <c r="T532" s="21">
        <v>45908</v>
      </c>
      <c r="U532" s="22" t="s">
        <v>45</v>
      </c>
      <c r="V532" s="24">
        <v>5</v>
      </c>
      <c r="W532" s="24">
        <v>4</v>
      </c>
      <c r="X532" s="24">
        <v>4</v>
      </c>
      <c r="Y532" s="24">
        <v>5</v>
      </c>
      <c r="Z532" s="20">
        <f t="shared" si="21"/>
        <v>18</v>
      </c>
    </row>
    <row r="533" spans="1:26" x14ac:dyDescent="0.2">
      <c r="A533" s="21"/>
      <c r="B533" s="51"/>
      <c r="C533" s="22"/>
      <c r="D533" s="22"/>
      <c r="E533" s="24"/>
      <c r="F533" s="22"/>
      <c r="H533" s="21">
        <v>45897</v>
      </c>
      <c r="I533" s="22" t="s">
        <v>70</v>
      </c>
      <c r="J533" s="22" t="s">
        <v>48</v>
      </c>
      <c r="K533" s="24">
        <v>5</v>
      </c>
      <c r="M533" s="21">
        <v>45908</v>
      </c>
      <c r="N533" s="22" t="s">
        <v>71</v>
      </c>
      <c r="O533" s="22" t="s">
        <v>46</v>
      </c>
      <c r="P533" s="49">
        <v>80</v>
      </c>
      <c r="Q533" s="49">
        <v>80.099999999999994</v>
      </c>
      <c r="R533" s="50">
        <f t="shared" si="20"/>
        <v>-9.9999999999994316E-2</v>
      </c>
      <c r="T533" s="21">
        <v>45908</v>
      </c>
      <c r="U533" s="22" t="s">
        <v>46</v>
      </c>
      <c r="V533" s="24">
        <v>5</v>
      </c>
      <c r="W533" s="24">
        <v>4</v>
      </c>
      <c r="X533" s="24">
        <v>3</v>
      </c>
      <c r="Y533" s="24">
        <v>4</v>
      </c>
      <c r="Z533" s="20">
        <f t="shared" si="21"/>
        <v>16</v>
      </c>
    </row>
    <row r="534" spans="1:26" x14ac:dyDescent="0.2">
      <c r="A534" s="21"/>
      <c r="B534" s="51"/>
      <c r="C534" s="22"/>
      <c r="D534" s="22"/>
      <c r="E534" s="24"/>
      <c r="F534" s="22"/>
      <c r="H534" s="21">
        <v>45897</v>
      </c>
      <c r="I534" s="22" t="s">
        <v>70</v>
      </c>
      <c r="J534" s="22" t="s">
        <v>56</v>
      </c>
      <c r="K534" s="24">
        <v>6</v>
      </c>
      <c r="M534" s="21">
        <v>45908</v>
      </c>
      <c r="N534" s="22" t="s">
        <v>71</v>
      </c>
      <c r="O534" s="22" t="s">
        <v>47</v>
      </c>
      <c r="P534" s="49">
        <v>70.8</v>
      </c>
      <c r="Q534" s="49">
        <v>71</v>
      </c>
      <c r="R534" s="50">
        <f t="shared" si="20"/>
        <v>-0.20000000000000284</v>
      </c>
      <c r="T534" s="21">
        <v>45908</v>
      </c>
      <c r="U534" s="22" t="s">
        <v>47</v>
      </c>
      <c r="V534" s="24">
        <v>3</v>
      </c>
      <c r="W534" s="24">
        <v>4</v>
      </c>
      <c r="X534" s="24">
        <v>4</v>
      </c>
      <c r="Y534" s="24">
        <v>3</v>
      </c>
      <c r="Z534" s="20">
        <f t="shared" si="21"/>
        <v>14</v>
      </c>
    </row>
    <row r="535" spans="1:26" x14ac:dyDescent="0.2">
      <c r="A535" s="21"/>
      <c r="B535" s="51"/>
      <c r="C535" s="22"/>
      <c r="D535" s="22"/>
      <c r="E535" s="24"/>
      <c r="F535" s="22"/>
      <c r="H535" s="21">
        <v>45898</v>
      </c>
      <c r="I535" s="22" t="s">
        <v>70</v>
      </c>
      <c r="J535" s="22" t="s">
        <v>52</v>
      </c>
      <c r="K535" s="24" t="s">
        <v>61</v>
      </c>
      <c r="M535" s="21">
        <v>45908</v>
      </c>
      <c r="N535" s="22" t="s">
        <v>71</v>
      </c>
      <c r="O535" s="22" t="s">
        <v>48</v>
      </c>
      <c r="P535" s="49">
        <v>82.9</v>
      </c>
      <c r="Q535" s="49">
        <v>81.400000000000006</v>
      </c>
      <c r="R535" s="50">
        <f t="shared" si="20"/>
        <v>1.5</v>
      </c>
      <c r="T535" s="21">
        <v>45908</v>
      </c>
      <c r="U535" s="22" t="s">
        <v>48</v>
      </c>
      <c r="V535" s="24">
        <v>5</v>
      </c>
      <c r="W535" s="24">
        <v>3</v>
      </c>
      <c r="X535" s="24">
        <v>4</v>
      </c>
      <c r="Y535" s="24">
        <v>5</v>
      </c>
      <c r="Z535" s="20">
        <f t="shared" si="21"/>
        <v>17</v>
      </c>
    </row>
    <row r="536" spans="1:26" x14ac:dyDescent="0.2">
      <c r="A536" s="21"/>
      <c r="B536" s="51"/>
      <c r="C536" s="22"/>
      <c r="D536" s="22"/>
      <c r="E536" s="24"/>
      <c r="F536" s="22"/>
      <c r="H536" s="21">
        <v>45898</v>
      </c>
      <c r="I536" s="22" t="s">
        <v>70</v>
      </c>
      <c r="J536" s="22" t="s">
        <v>53</v>
      </c>
      <c r="K536" s="24">
        <v>5</v>
      </c>
      <c r="M536" s="21">
        <v>45908</v>
      </c>
      <c r="N536" s="22" t="s">
        <v>71</v>
      </c>
      <c r="O536" s="22" t="s">
        <v>49</v>
      </c>
      <c r="P536" s="49">
        <v>79.2</v>
      </c>
      <c r="Q536" s="49">
        <v>79.3</v>
      </c>
      <c r="R536" s="50">
        <f t="shared" si="20"/>
        <v>-9.9999999999994316E-2</v>
      </c>
      <c r="T536" s="21">
        <v>45908</v>
      </c>
      <c r="U536" s="22" t="s">
        <v>49</v>
      </c>
      <c r="V536" s="24">
        <v>4</v>
      </c>
      <c r="W536" s="24">
        <v>4</v>
      </c>
      <c r="X536" s="24">
        <v>4</v>
      </c>
      <c r="Y536" s="24">
        <v>4</v>
      </c>
      <c r="Z536" s="20">
        <f t="shared" si="21"/>
        <v>16</v>
      </c>
    </row>
    <row r="537" spans="1:26" x14ac:dyDescent="0.2">
      <c r="A537" s="21"/>
      <c r="B537" s="51"/>
      <c r="C537" s="22"/>
      <c r="D537" s="22"/>
      <c r="E537" s="24"/>
      <c r="F537" s="22"/>
      <c r="H537" s="21">
        <v>45898</v>
      </c>
      <c r="I537" s="22" t="s">
        <v>70</v>
      </c>
      <c r="J537" s="22" t="s">
        <v>44</v>
      </c>
      <c r="K537" s="24">
        <v>5</v>
      </c>
      <c r="M537" s="21">
        <v>45908</v>
      </c>
      <c r="N537" s="22" t="s">
        <v>71</v>
      </c>
      <c r="O537" s="22" t="s">
        <v>50</v>
      </c>
      <c r="P537" s="49">
        <v>71.2</v>
      </c>
      <c r="Q537" s="49">
        <v>71</v>
      </c>
      <c r="R537" s="50">
        <f t="shared" si="20"/>
        <v>0.20000000000000284</v>
      </c>
      <c r="T537" s="21">
        <v>45908</v>
      </c>
      <c r="U537" s="22" t="s">
        <v>50</v>
      </c>
      <c r="V537" s="24">
        <v>4</v>
      </c>
      <c r="W537" s="24">
        <v>3</v>
      </c>
      <c r="X537" s="24">
        <v>4</v>
      </c>
      <c r="Y537" s="24">
        <v>5</v>
      </c>
      <c r="Z537" s="20">
        <f t="shared" si="21"/>
        <v>16</v>
      </c>
    </row>
    <row r="538" spans="1:26" x14ac:dyDescent="0.2">
      <c r="A538" s="21"/>
      <c r="B538" s="51"/>
      <c r="C538" s="22"/>
      <c r="D538" s="22"/>
      <c r="E538" s="24"/>
      <c r="F538" s="22"/>
      <c r="H538" s="21">
        <v>45898</v>
      </c>
      <c r="I538" s="22" t="s">
        <v>70</v>
      </c>
      <c r="J538" s="22" t="s">
        <v>45</v>
      </c>
      <c r="K538" s="24">
        <v>4</v>
      </c>
      <c r="M538" s="21">
        <v>45908</v>
      </c>
      <c r="N538" s="22" t="s">
        <v>71</v>
      </c>
      <c r="O538" s="22" t="s">
        <v>51</v>
      </c>
      <c r="P538" s="49">
        <v>75.5</v>
      </c>
      <c r="Q538" s="49">
        <v>75.400000000000006</v>
      </c>
      <c r="R538" s="50">
        <f t="shared" si="20"/>
        <v>9.9999999999994316E-2</v>
      </c>
      <c r="T538" s="21">
        <v>45908</v>
      </c>
      <c r="U538" s="22" t="s">
        <v>51</v>
      </c>
      <c r="V538" s="24">
        <v>4</v>
      </c>
      <c r="W538" s="24">
        <v>3</v>
      </c>
      <c r="X538" s="24">
        <v>4</v>
      </c>
      <c r="Y538" s="24">
        <v>5</v>
      </c>
      <c r="Z538" s="20">
        <f t="shared" si="21"/>
        <v>16</v>
      </c>
    </row>
    <row r="539" spans="1:26" x14ac:dyDescent="0.2">
      <c r="A539" s="21"/>
      <c r="B539" s="51"/>
      <c r="C539" s="22"/>
      <c r="D539" s="22"/>
      <c r="E539" s="24"/>
      <c r="F539" s="22"/>
      <c r="H539" s="21">
        <v>45898</v>
      </c>
      <c r="I539" s="22" t="s">
        <v>70</v>
      </c>
      <c r="J539" s="22" t="s">
        <v>57</v>
      </c>
      <c r="K539" s="24">
        <v>5</v>
      </c>
      <c r="M539" s="21">
        <v>45908</v>
      </c>
      <c r="N539" s="22" t="s">
        <v>71</v>
      </c>
      <c r="O539" s="22" t="s">
        <v>52</v>
      </c>
      <c r="P539" s="49">
        <v>71.8</v>
      </c>
      <c r="Q539" s="49">
        <v>71.099999999999994</v>
      </c>
      <c r="R539" s="50">
        <f t="shared" si="20"/>
        <v>0.70000000000000284</v>
      </c>
      <c r="T539" s="21">
        <v>45908</v>
      </c>
      <c r="U539" s="22" t="s">
        <v>52</v>
      </c>
      <c r="V539" s="24">
        <v>4</v>
      </c>
      <c r="W539" s="24">
        <v>5</v>
      </c>
      <c r="X539" s="24">
        <v>3</v>
      </c>
      <c r="Y539" s="24">
        <v>3</v>
      </c>
      <c r="Z539" s="20">
        <f t="shared" si="21"/>
        <v>15</v>
      </c>
    </row>
    <row r="540" spans="1:26" x14ac:dyDescent="0.2">
      <c r="A540" s="21"/>
      <c r="B540" s="51"/>
      <c r="C540" s="22"/>
      <c r="D540" s="22"/>
      <c r="E540" s="24"/>
      <c r="F540" s="22"/>
      <c r="H540" s="21">
        <v>45898</v>
      </c>
      <c r="I540" s="22" t="s">
        <v>70</v>
      </c>
      <c r="J540" s="22" t="s">
        <v>42</v>
      </c>
      <c r="K540" s="24">
        <v>4</v>
      </c>
      <c r="M540" s="21">
        <v>45908</v>
      </c>
      <c r="N540" s="22" t="s">
        <v>71</v>
      </c>
      <c r="O540" s="22" t="s">
        <v>53</v>
      </c>
      <c r="P540" s="49">
        <v>67.2</v>
      </c>
      <c r="Q540" s="49">
        <v>66.5</v>
      </c>
      <c r="R540" s="50">
        <f t="shared" si="20"/>
        <v>0.70000000000000284</v>
      </c>
      <c r="T540" s="21">
        <v>45908</v>
      </c>
      <c r="U540" s="22" t="s">
        <v>53</v>
      </c>
      <c r="V540" s="24">
        <v>4</v>
      </c>
      <c r="W540" s="24">
        <v>4</v>
      </c>
      <c r="X540" s="24">
        <v>5</v>
      </c>
      <c r="Y540" s="24">
        <v>4</v>
      </c>
      <c r="Z540" s="20">
        <f t="shared" si="21"/>
        <v>17</v>
      </c>
    </row>
    <row r="541" spans="1:26" x14ac:dyDescent="0.2">
      <c r="A541" s="21"/>
      <c r="B541" s="51"/>
      <c r="C541" s="22"/>
      <c r="D541" s="22"/>
      <c r="E541" s="24"/>
      <c r="F541" s="22"/>
      <c r="H541" s="21">
        <v>45898</v>
      </c>
      <c r="I541" s="22" t="s">
        <v>70</v>
      </c>
      <c r="J541" s="22" t="s">
        <v>54</v>
      </c>
      <c r="K541" s="24">
        <v>6</v>
      </c>
      <c r="M541" s="21">
        <v>45908</v>
      </c>
      <c r="N541" s="22" t="s">
        <v>71</v>
      </c>
      <c r="O541" s="22" t="s">
        <v>54</v>
      </c>
      <c r="P541" s="49">
        <v>85.2</v>
      </c>
      <c r="Q541" s="49">
        <v>85</v>
      </c>
      <c r="R541" s="50">
        <f t="shared" si="20"/>
        <v>0.20000000000000284</v>
      </c>
      <c r="T541" s="21">
        <v>45908</v>
      </c>
      <c r="U541" s="22" t="s">
        <v>54</v>
      </c>
      <c r="V541" s="24">
        <v>4</v>
      </c>
      <c r="W541" s="24">
        <v>5</v>
      </c>
      <c r="X541" s="24">
        <v>5</v>
      </c>
      <c r="Y541" s="24">
        <v>4</v>
      </c>
      <c r="Z541" s="20">
        <f t="shared" si="21"/>
        <v>18</v>
      </c>
    </row>
    <row r="542" spans="1:26" x14ac:dyDescent="0.2">
      <c r="A542" s="21"/>
      <c r="B542" s="51"/>
      <c r="C542" s="22"/>
      <c r="D542" s="22"/>
      <c r="E542" s="24"/>
      <c r="F542" s="22"/>
      <c r="H542" s="21">
        <v>45898</v>
      </c>
      <c r="I542" s="22" t="s">
        <v>70</v>
      </c>
      <c r="J542" s="22" t="s">
        <v>47</v>
      </c>
      <c r="K542" s="24">
        <v>3</v>
      </c>
      <c r="M542" s="21">
        <v>45908</v>
      </c>
      <c r="N542" s="22" t="s">
        <v>71</v>
      </c>
      <c r="O542" s="22" t="s">
        <v>56</v>
      </c>
      <c r="P542" s="49">
        <v>75.2</v>
      </c>
      <c r="Q542" s="49">
        <v>75.3</v>
      </c>
      <c r="R542" s="50">
        <f t="shared" si="20"/>
        <v>-9.9999999999994316E-2</v>
      </c>
      <c r="T542" s="21">
        <v>45908</v>
      </c>
      <c r="U542" s="22" t="s">
        <v>56</v>
      </c>
      <c r="V542" s="24">
        <v>4</v>
      </c>
      <c r="W542" s="24">
        <v>4</v>
      </c>
      <c r="X542" s="24">
        <v>4</v>
      </c>
      <c r="Y542" s="24">
        <v>5</v>
      </c>
      <c r="Z542" s="20">
        <f t="shared" si="21"/>
        <v>17</v>
      </c>
    </row>
    <row r="543" spans="1:26" x14ac:dyDescent="0.2">
      <c r="A543" s="21"/>
      <c r="B543" s="51"/>
      <c r="C543" s="22"/>
      <c r="D543" s="22"/>
      <c r="E543" s="24"/>
      <c r="F543" s="22"/>
      <c r="H543" s="21">
        <v>45898</v>
      </c>
      <c r="I543" s="22" t="s">
        <v>70</v>
      </c>
      <c r="J543" s="22" t="s">
        <v>41</v>
      </c>
      <c r="K543" s="24">
        <v>3</v>
      </c>
      <c r="M543" s="21">
        <v>45908</v>
      </c>
      <c r="N543" s="22" t="s">
        <v>71</v>
      </c>
      <c r="O543" s="22" t="s">
        <v>57</v>
      </c>
      <c r="P543" s="49">
        <v>93.2</v>
      </c>
      <c r="Q543" s="49">
        <v>93</v>
      </c>
      <c r="R543" s="50">
        <f t="shared" si="20"/>
        <v>0.20000000000000284</v>
      </c>
      <c r="T543" s="21">
        <v>45908</v>
      </c>
      <c r="U543" s="22" t="s">
        <v>57</v>
      </c>
      <c r="V543" s="24">
        <v>4</v>
      </c>
      <c r="W543" s="24">
        <v>4</v>
      </c>
      <c r="X543" s="24">
        <v>4</v>
      </c>
      <c r="Y543" s="24">
        <v>5</v>
      </c>
      <c r="Z543" s="20">
        <f t="shared" si="21"/>
        <v>17</v>
      </c>
    </row>
    <row r="544" spans="1:26" x14ac:dyDescent="0.2">
      <c r="A544" s="21"/>
      <c r="B544" s="51"/>
      <c r="C544" s="22"/>
      <c r="D544" s="22"/>
      <c r="E544" s="24"/>
      <c r="F544" s="22"/>
      <c r="H544" s="21">
        <v>45898</v>
      </c>
      <c r="I544" s="22" t="s">
        <v>70</v>
      </c>
      <c r="J544" s="22" t="s">
        <v>49</v>
      </c>
      <c r="K544" s="24">
        <v>3</v>
      </c>
      <c r="M544" s="21">
        <v>45908</v>
      </c>
      <c r="N544" s="22" t="s">
        <v>71</v>
      </c>
      <c r="O544" s="22" t="s">
        <v>58</v>
      </c>
      <c r="P544" s="49">
        <v>75.3</v>
      </c>
      <c r="Q544" s="49">
        <v>74.7</v>
      </c>
      <c r="R544" s="50">
        <f t="shared" si="20"/>
        <v>0.59999999999999432</v>
      </c>
      <c r="T544" s="21">
        <v>45908</v>
      </c>
      <c r="U544" s="22" t="s">
        <v>58</v>
      </c>
      <c r="V544" s="24">
        <v>4</v>
      </c>
      <c r="W544" s="24">
        <v>3</v>
      </c>
      <c r="X544" s="24">
        <v>3</v>
      </c>
      <c r="Y544" s="24">
        <v>5</v>
      </c>
      <c r="Z544" s="20">
        <f t="shared" si="21"/>
        <v>15</v>
      </c>
    </row>
    <row r="545" spans="1:26" x14ac:dyDescent="0.2">
      <c r="A545" s="21"/>
      <c r="B545" s="51"/>
      <c r="C545" s="22"/>
      <c r="D545" s="22"/>
      <c r="E545" s="24"/>
      <c r="F545" s="22"/>
      <c r="H545" s="21">
        <v>45898</v>
      </c>
      <c r="I545" s="22" t="s">
        <v>70</v>
      </c>
      <c r="J545" s="22" t="s">
        <v>50</v>
      </c>
      <c r="K545" s="24">
        <v>2</v>
      </c>
      <c r="M545" s="21">
        <v>45911</v>
      </c>
      <c r="N545" s="22" t="s">
        <v>70</v>
      </c>
      <c r="O545" s="22" t="s">
        <v>41</v>
      </c>
      <c r="P545" s="49">
        <v>76.7</v>
      </c>
      <c r="Q545" s="49">
        <v>76</v>
      </c>
      <c r="R545" s="50">
        <f t="shared" si="20"/>
        <v>0.70000000000000284</v>
      </c>
      <c r="T545" s="21">
        <v>45908</v>
      </c>
      <c r="U545" s="22" t="s">
        <v>33</v>
      </c>
      <c r="V545" s="24">
        <v>4</v>
      </c>
      <c r="W545" s="24">
        <v>3.75</v>
      </c>
      <c r="X545" s="24">
        <v>3.75</v>
      </c>
      <c r="Y545" s="24">
        <v>4.3125</v>
      </c>
      <c r="Z545" s="20">
        <f t="shared" si="21"/>
        <v>15.8125</v>
      </c>
    </row>
    <row r="546" spans="1:26" x14ac:dyDescent="0.2">
      <c r="A546" s="21"/>
      <c r="B546" s="51"/>
      <c r="C546" s="22"/>
      <c r="D546" s="22"/>
      <c r="E546" s="24"/>
      <c r="F546" s="22"/>
      <c r="H546" s="21">
        <v>45898</v>
      </c>
      <c r="I546" s="22" t="s">
        <v>70</v>
      </c>
      <c r="J546" s="22" t="s">
        <v>51</v>
      </c>
      <c r="K546" s="24">
        <v>3</v>
      </c>
      <c r="M546" s="21">
        <v>45911</v>
      </c>
      <c r="N546" s="22" t="s">
        <v>70</v>
      </c>
      <c r="O546" s="22" t="s">
        <v>42</v>
      </c>
      <c r="P546" s="49">
        <v>79.400000000000006</v>
      </c>
      <c r="Q546" s="49">
        <v>79.3</v>
      </c>
      <c r="R546" s="50">
        <f t="shared" si="20"/>
        <v>0.10000000000000853</v>
      </c>
      <c r="T546" s="21">
        <v>45909</v>
      </c>
      <c r="U546" s="22" t="s">
        <v>41</v>
      </c>
      <c r="V546" s="24">
        <v>2</v>
      </c>
      <c r="W546" s="24">
        <v>2</v>
      </c>
      <c r="X546" s="24">
        <v>1</v>
      </c>
      <c r="Y546" s="24">
        <v>2</v>
      </c>
      <c r="Z546" s="20">
        <f t="shared" si="21"/>
        <v>7</v>
      </c>
    </row>
    <row r="547" spans="1:26" x14ac:dyDescent="0.2">
      <c r="A547" s="21"/>
      <c r="B547" s="51"/>
      <c r="C547" s="22"/>
      <c r="D547" s="22"/>
      <c r="E547" s="24"/>
      <c r="F547" s="22"/>
      <c r="H547" s="21">
        <v>45898</v>
      </c>
      <c r="I547" s="22" t="s">
        <v>70</v>
      </c>
      <c r="J547" s="22" t="s">
        <v>46</v>
      </c>
      <c r="K547" s="24">
        <v>5</v>
      </c>
      <c r="M547" s="21">
        <v>45911</v>
      </c>
      <c r="N547" s="22" t="s">
        <v>70</v>
      </c>
      <c r="O547" s="22" t="s">
        <v>44</v>
      </c>
      <c r="P547" s="49">
        <v>68.5</v>
      </c>
      <c r="Q547" s="49">
        <v>67.599999999999994</v>
      </c>
      <c r="R547" s="50">
        <f t="shared" si="20"/>
        <v>0.90000000000000568</v>
      </c>
      <c r="T547" s="21">
        <v>45909</v>
      </c>
      <c r="U547" s="22" t="s">
        <v>42</v>
      </c>
      <c r="V547" s="24">
        <v>4</v>
      </c>
      <c r="W547" s="24">
        <v>4</v>
      </c>
      <c r="X547" s="24">
        <v>4</v>
      </c>
      <c r="Y547" s="24">
        <v>5</v>
      </c>
      <c r="Z547" s="20">
        <f t="shared" si="21"/>
        <v>17</v>
      </c>
    </row>
    <row r="548" spans="1:26" x14ac:dyDescent="0.2">
      <c r="A548" s="21"/>
      <c r="B548" s="51"/>
      <c r="C548" s="22"/>
      <c r="D548" s="22"/>
      <c r="E548" s="24"/>
      <c r="F548" s="22"/>
      <c r="H548" s="21">
        <v>45898</v>
      </c>
      <c r="I548" s="22" t="s">
        <v>70</v>
      </c>
      <c r="J548" s="22" t="s">
        <v>48</v>
      </c>
      <c r="K548" s="24">
        <v>3</v>
      </c>
      <c r="M548" s="21">
        <v>45911</v>
      </c>
      <c r="N548" s="22" t="s">
        <v>70</v>
      </c>
      <c r="O548" s="22" t="s">
        <v>45</v>
      </c>
      <c r="P548" s="49">
        <v>69.099999999999994</v>
      </c>
      <c r="Q548" s="49">
        <v>69</v>
      </c>
      <c r="R548" s="50">
        <f t="shared" si="20"/>
        <v>9.9999999999994316E-2</v>
      </c>
      <c r="T548" s="21">
        <v>45909</v>
      </c>
      <c r="U548" s="22" t="s">
        <v>44</v>
      </c>
      <c r="V548" s="24">
        <v>5</v>
      </c>
      <c r="W548" s="24">
        <v>5</v>
      </c>
      <c r="X548" s="24">
        <v>5</v>
      </c>
      <c r="Y548" s="24">
        <v>5</v>
      </c>
      <c r="Z548" s="20">
        <f t="shared" si="21"/>
        <v>20</v>
      </c>
    </row>
    <row r="549" spans="1:26" x14ac:dyDescent="0.2">
      <c r="A549" s="21"/>
      <c r="B549" s="51"/>
      <c r="C549" s="22"/>
      <c r="D549" s="22"/>
      <c r="E549" s="24"/>
      <c r="F549" s="22"/>
      <c r="H549" s="21">
        <v>45898</v>
      </c>
      <c r="I549" s="22" t="s">
        <v>70</v>
      </c>
      <c r="J549" s="22" t="s">
        <v>56</v>
      </c>
      <c r="K549" s="24">
        <v>5</v>
      </c>
      <c r="M549" s="21">
        <v>45911</v>
      </c>
      <c r="N549" s="22" t="s">
        <v>70</v>
      </c>
      <c r="O549" s="22" t="s">
        <v>46</v>
      </c>
      <c r="P549" s="49">
        <v>80</v>
      </c>
      <c r="Q549" s="49">
        <v>79.7</v>
      </c>
      <c r="R549" s="50">
        <f t="shared" si="20"/>
        <v>0.29999999999999716</v>
      </c>
      <c r="T549" s="21">
        <v>45909</v>
      </c>
      <c r="U549" s="22" t="s">
        <v>45</v>
      </c>
      <c r="V549" s="24">
        <v>4</v>
      </c>
      <c r="W549" s="24">
        <v>4</v>
      </c>
      <c r="X549" s="24">
        <v>4</v>
      </c>
      <c r="Y549" s="24">
        <v>5</v>
      </c>
      <c r="Z549" s="20">
        <f t="shared" si="21"/>
        <v>17</v>
      </c>
    </row>
    <row r="550" spans="1:26" x14ac:dyDescent="0.2">
      <c r="A550" s="21"/>
      <c r="B550" s="51"/>
      <c r="C550" s="22"/>
      <c r="D550" s="22"/>
      <c r="E550" s="24"/>
      <c r="F550" s="22"/>
      <c r="H550" s="21">
        <v>45899</v>
      </c>
      <c r="I550" s="22" t="s">
        <v>70</v>
      </c>
      <c r="J550" s="22" t="s">
        <v>52</v>
      </c>
      <c r="K550" s="24" t="s">
        <v>61</v>
      </c>
      <c r="M550" s="21">
        <v>45911</v>
      </c>
      <c r="N550" s="22" t="s">
        <v>70</v>
      </c>
      <c r="O550" s="22" t="s">
        <v>47</v>
      </c>
      <c r="P550" s="49">
        <v>71.400000000000006</v>
      </c>
      <c r="Q550" s="49">
        <v>70.7</v>
      </c>
      <c r="R550" s="50">
        <f t="shared" si="20"/>
        <v>0.70000000000000284</v>
      </c>
      <c r="T550" s="21">
        <v>45909</v>
      </c>
      <c r="U550" s="22" t="s">
        <v>46</v>
      </c>
      <c r="V550" s="24">
        <v>5</v>
      </c>
      <c r="W550" s="24">
        <v>4</v>
      </c>
      <c r="X550" s="24">
        <v>3</v>
      </c>
      <c r="Y550" s="24">
        <v>4</v>
      </c>
      <c r="Z550" s="20">
        <f t="shared" si="21"/>
        <v>16</v>
      </c>
    </row>
    <row r="551" spans="1:26" x14ac:dyDescent="0.2">
      <c r="A551" s="21"/>
      <c r="B551" s="51"/>
      <c r="C551" s="22"/>
      <c r="D551" s="22"/>
      <c r="E551" s="24"/>
      <c r="F551" s="22"/>
      <c r="H551" s="21">
        <v>45899</v>
      </c>
      <c r="I551" s="22" t="s">
        <v>70</v>
      </c>
      <c r="J551" s="22" t="s">
        <v>53</v>
      </c>
      <c r="K551" s="24">
        <v>6</v>
      </c>
      <c r="M551" s="21">
        <v>45911</v>
      </c>
      <c r="N551" s="22" t="s">
        <v>70</v>
      </c>
      <c r="O551" s="22" t="s">
        <v>48</v>
      </c>
      <c r="P551" s="49">
        <v>82.3</v>
      </c>
      <c r="Q551" s="49">
        <v>80.599999999999994</v>
      </c>
      <c r="R551" s="50">
        <f t="shared" si="20"/>
        <v>1.7000000000000028</v>
      </c>
      <c r="T551" s="21">
        <v>45909</v>
      </c>
      <c r="U551" s="22" t="s">
        <v>48</v>
      </c>
      <c r="V551" s="24">
        <v>5</v>
      </c>
      <c r="W551" s="24">
        <v>5</v>
      </c>
      <c r="X551" s="24">
        <v>5</v>
      </c>
      <c r="Y551" s="24">
        <v>5</v>
      </c>
      <c r="Z551" s="20">
        <f t="shared" si="21"/>
        <v>20</v>
      </c>
    </row>
    <row r="552" spans="1:26" x14ac:dyDescent="0.2">
      <c r="A552" s="21"/>
      <c r="B552" s="51"/>
      <c r="C552" s="22"/>
      <c r="D552" s="22"/>
      <c r="E552" s="24"/>
      <c r="F552" s="22"/>
      <c r="H552" s="21">
        <v>45899</v>
      </c>
      <c r="I552" s="22" t="s">
        <v>70</v>
      </c>
      <c r="J552" s="22" t="s">
        <v>44</v>
      </c>
      <c r="K552" s="24">
        <v>7</v>
      </c>
      <c r="M552" s="21">
        <v>45911</v>
      </c>
      <c r="N552" s="22" t="s">
        <v>70</v>
      </c>
      <c r="O552" s="22" t="s">
        <v>49</v>
      </c>
      <c r="P552" s="49">
        <v>78.7</v>
      </c>
      <c r="Q552" s="49">
        <v>79.099999999999994</v>
      </c>
      <c r="R552" s="50">
        <f t="shared" si="20"/>
        <v>-0.39999999999999147</v>
      </c>
      <c r="T552" s="21">
        <v>45909</v>
      </c>
      <c r="U552" s="22" t="s">
        <v>49</v>
      </c>
      <c r="V552" s="24">
        <v>4</v>
      </c>
      <c r="W552" s="24">
        <v>4</v>
      </c>
      <c r="X552" s="24">
        <v>4</v>
      </c>
      <c r="Y552" s="24">
        <v>4</v>
      </c>
      <c r="Z552" s="20">
        <f t="shared" si="21"/>
        <v>16</v>
      </c>
    </row>
    <row r="553" spans="1:26" x14ac:dyDescent="0.2">
      <c r="A553" s="21"/>
      <c r="B553" s="51"/>
      <c r="C553" s="22"/>
      <c r="D553" s="22"/>
      <c r="E553" s="24"/>
      <c r="F553" s="22"/>
      <c r="H553" s="21">
        <v>45899</v>
      </c>
      <c r="I553" s="22" t="s">
        <v>70</v>
      </c>
      <c r="J553" s="22" t="s">
        <v>45</v>
      </c>
      <c r="K553" s="24">
        <v>8</v>
      </c>
      <c r="M553" s="21">
        <v>45911</v>
      </c>
      <c r="N553" s="22" t="s">
        <v>70</v>
      </c>
      <c r="O553" s="22" t="s">
        <v>50</v>
      </c>
      <c r="P553" s="49">
        <v>71.599999999999994</v>
      </c>
      <c r="Q553" s="49">
        <v>70.7</v>
      </c>
      <c r="R553" s="50">
        <f t="shared" si="20"/>
        <v>0.89999999999999147</v>
      </c>
      <c r="T553" s="21">
        <v>45909</v>
      </c>
      <c r="U553" s="22" t="s">
        <v>50</v>
      </c>
      <c r="V553" s="24">
        <v>5</v>
      </c>
      <c r="W553" s="24">
        <v>4</v>
      </c>
      <c r="X553" s="24">
        <v>4</v>
      </c>
      <c r="Y553" s="24">
        <v>5</v>
      </c>
      <c r="Z553" s="20">
        <f t="shared" si="21"/>
        <v>18</v>
      </c>
    </row>
    <row r="554" spans="1:26" x14ac:dyDescent="0.2">
      <c r="A554" s="21"/>
      <c r="B554" s="51"/>
      <c r="C554" s="22"/>
      <c r="D554" s="22"/>
      <c r="E554" s="24"/>
      <c r="F554" s="22"/>
      <c r="H554" s="21">
        <v>45899</v>
      </c>
      <c r="I554" s="22" t="s">
        <v>70</v>
      </c>
      <c r="J554" s="22" t="s">
        <v>57</v>
      </c>
      <c r="K554" s="24">
        <v>7</v>
      </c>
      <c r="M554" s="21">
        <v>45911</v>
      </c>
      <c r="N554" s="22" t="s">
        <v>70</v>
      </c>
      <c r="O554" s="22" t="s">
        <v>51</v>
      </c>
      <c r="P554" s="49">
        <v>74.599999999999994</v>
      </c>
      <c r="Q554" s="49">
        <v>74.8</v>
      </c>
      <c r="R554" s="50">
        <f t="shared" si="20"/>
        <v>-0.20000000000000284</v>
      </c>
      <c r="T554" s="21">
        <v>45909</v>
      </c>
      <c r="U554" s="22" t="s">
        <v>51</v>
      </c>
      <c r="V554" s="24">
        <v>5</v>
      </c>
      <c r="W554" s="24">
        <v>4</v>
      </c>
      <c r="X554" s="24">
        <v>5</v>
      </c>
      <c r="Y554" s="24">
        <v>5</v>
      </c>
      <c r="Z554" s="20">
        <f t="shared" si="21"/>
        <v>19</v>
      </c>
    </row>
    <row r="555" spans="1:26" x14ac:dyDescent="0.2">
      <c r="A555" s="21"/>
      <c r="B555" s="51"/>
      <c r="C555" s="22"/>
      <c r="D555" s="22"/>
      <c r="E555" s="24"/>
      <c r="F555" s="22"/>
      <c r="H555" s="21">
        <v>45899</v>
      </c>
      <c r="I555" s="22" t="s">
        <v>70</v>
      </c>
      <c r="J555" s="22" t="s">
        <v>42</v>
      </c>
      <c r="K555" s="24">
        <v>5</v>
      </c>
      <c r="M555" s="21">
        <v>45911</v>
      </c>
      <c r="N555" s="22" t="s">
        <v>70</v>
      </c>
      <c r="O555" s="22" t="s">
        <v>52</v>
      </c>
      <c r="P555" s="49">
        <v>71.2</v>
      </c>
      <c r="Q555" s="49">
        <v>71.099999999999994</v>
      </c>
      <c r="R555" s="50">
        <f t="shared" si="20"/>
        <v>0.10000000000000853</v>
      </c>
      <c r="T555" s="21">
        <v>45909</v>
      </c>
      <c r="U555" s="22" t="s">
        <v>53</v>
      </c>
      <c r="V555" s="24">
        <v>4</v>
      </c>
      <c r="W555" s="24">
        <v>4</v>
      </c>
      <c r="X555" s="24">
        <v>5</v>
      </c>
      <c r="Y555" s="24">
        <v>5</v>
      </c>
      <c r="Z555" s="20">
        <f t="shared" si="21"/>
        <v>18</v>
      </c>
    </row>
    <row r="556" spans="1:26" x14ac:dyDescent="0.2">
      <c r="A556" s="21"/>
      <c r="B556" s="51"/>
      <c r="C556" s="22"/>
      <c r="D556" s="22"/>
      <c r="E556" s="24"/>
      <c r="F556" s="22"/>
      <c r="H556" s="21">
        <v>45899</v>
      </c>
      <c r="I556" s="22" t="s">
        <v>70</v>
      </c>
      <c r="J556" s="22" t="s">
        <v>54</v>
      </c>
      <c r="K556" s="24">
        <v>7</v>
      </c>
      <c r="M556" s="21">
        <v>45911</v>
      </c>
      <c r="N556" s="22" t="s">
        <v>70</v>
      </c>
      <c r="O556" s="22" t="s">
        <v>53</v>
      </c>
      <c r="P556" s="49">
        <v>66.599999999999994</v>
      </c>
      <c r="Q556" s="49">
        <v>66.5</v>
      </c>
      <c r="R556" s="50">
        <f t="shared" si="20"/>
        <v>9.9999999999994316E-2</v>
      </c>
      <c r="T556" s="21">
        <v>45909</v>
      </c>
      <c r="U556" s="22" t="s">
        <v>54</v>
      </c>
      <c r="V556" s="24">
        <v>5</v>
      </c>
      <c r="W556" s="24">
        <v>5</v>
      </c>
      <c r="X556" s="24">
        <v>5</v>
      </c>
      <c r="Y556" s="24">
        <v>4</v>
      </c>
      <c r="Z556" s="20">
        <f t="shared" si="21"/>
        <v>19</v>
      </c>
    </row>
    <row r="557" spans="1:26" x14ac:dyDescent="0.2">
      <c r="A557" s="21"/>
      <c r="B557" s="51"/>
      <c r="C557" s="22"/>
      <c r="D557" s="22"/>
      <c r="E557" s="24"/>
      <c r="F557" s="22"/>
      <c r="H557" s="21">
        <v>45899</v>
      </c>
      <c r="I557" s="22" t="s">
        <v>70</v>
      </c>
      <c r="J557" s="22" t="s">
        <v>47</v>
      </c>
      <c r="K557" s="24">
        <v>4</v>
      </c>
      <c r="M557" s="21">
        <v>45911</v>
      </c>
      <c r="N557" s="22" t="s">
        <v>70</v>
      </c>
      <c r="O557" s="22" t="s">
        <v>54</v>
      </c>
      <c r="P557" s="49">
        <v>84.7</v>
      </c>
      <c r="Q557" s="49">
        <v>84.8</v>
      </c>
      <c r="R557" s="50">
        <f t="shared" si="20"/>
        <v>-9.9999999999994316E-2</v>
      </c>
      <c r="T557" s="21">
        <v>45909</v>
      </c>
      <c r="U557" s="22" t="s">
        <v>56</v>
      </c>
      <c r="V557" s="24">
        <v>5</v>
      </c>
      <c r="W557" s="24">
        <v>5</v>
      </c>
      <c r="X557" s="24">
        <v>5</v>
      </c>
      <c r="Y557" s="24">
        <v>5</v>
      </c>
      <c r="Z557" s="20">
        <f t="shared" si="21"/>
        <v>20</v>
      </c>
    </row>
    <row r="558" spans="1:26" x14ac:dyDescent="0.2">
      <c r="A558" s="21"/>
      <c r="B558" s="51"/>
      <c r="C558" s="22"/>
      <c r="D558" s="22"/>
      <c r="E558" s="24"/>
      <c r="F558" s="22"/>
      <c r="H558" s="21">
        <v>45899</v>
      </c>
      <c r="I558" s="22" t="s">
        <v>70</v>
      </c>
      <c r="J558" s="22" t="s">
        <v>41</v>
      </c>
      <c r="K558" s="24">
        <v>1</v>
      </c>
      <c r="M558" s="21">
        <v>45911</v>
      </c>
      <c r="N558" s="22" t="s">
        <v>70</v>
      </c>
      <c r="O558" s="22" t="s">
        <v>56</v>
      </c>
      <c r="P558" s="49">
        <v>74.599999999999994</v>
      </c>
      <c r="Q558" s="49">
        <v>74.599999999999994</v>
      </c>
      <c r="R558" s="50">
        <f t="shared" si="20"/>
        <v>0</v>
      </c>
      <c r="T558" s="21">
        <v>45909</v>
      </c>
      <c r="U558" s="22" t="s">
        <v>58</v>
      </c>
      <c r="V558" s="24">
        <v>5</v>
      </c>
      <c r="W558" s="24">
        <v>4</v>
      </c>
      <c r="X558" s="24">
        <v>4</v>
      </c>
      <c r="Y558" s="24">
        <v>5</v>
      </c>
      <c r="Z558" s="20">
        <f t="shared" si="21"/>
        <v>18</v>
      </c>
    </row>
    <row r="559" spans="1:26" x14ac:dyDescent="0.2">
      <c r="A559" s="21"/>
      <c r="B559" s="51"/>
      <c r="C559" s="22"/>
      <c r="D559" s="22"/>
      <c r="E559" s="24"/>
      <c r="F559" s="22"/>
      <c r="H559" s="21">
        <v>45899</v>
      </c>
      <c r="I559" s="22" t="s">
        <v>70</v>
      </c>
      <c r="J559" s="22" t="s">
        <v>49</v>
      </c>
      <c r="K559" s="24">
        <v>8</v>
      </c>
      <c r="M559" s="21">
        <v>45911</v>
      </c>
      <c r="N559" s="22" t="s">
        <v>70</v>
      </c>
      <c r="O559" s="22" t="s">
        <v>58</v>
      </c>
      <c r="P559" s="49">
        <v>75</v>
      </c>
      <c r="Q559" s="49">
        <v>74.7</v>
      </c>
      <c r="R559" s="50">
        <f t="shared" si="20"/>
        <v>0.29999999999999716</v>
      </c>
      <c r="T559" s="21">
        <v>45909</v>
      </c>
      <c r="U559" s="22" t="s">
        <v>33</v>
      </c>
      <c r="V559" s="24">
        <v>4.4615384615384599</v>
      </c>
      <c r="W559" s="24">
        <v>4.1538461538461497</v>
      </c>
      <c r="X559" s="24">
        <v>4.1538461538461497</v>
      </c>
      <c r="Y559" s="24">
        <v>4.5384615384615401</v>
      </c>
      <c r="Z559" s="20">
        <f t="shared" si="21"/>
        <v>17.307692307692299</v>
      </c>
    </row>
    <row r="560" spans="1:26" x14ac:dyDescent="0.2">
      <c r="A560" s="21"/>
      <c r="B560" s="51"/>
      <c r="C560" s="22"/>
      <c r="D560" s="22"/>
      <c r="E560" s="24"/>
      <c r="F560" s="22"/>
      <c r="H560" s="21">
        <v>45899</v>
      </c>
      <c r="I560" s="22" t="s">
        <v>70</v>
      </c>
      <c r="J560" s="22" t="s">
        <v>50</v>
      </c>
      <c r="K560" s="24">
        <v>5</v>
      </c>
      <c r="M560" s="21">
        <v>45912</v>
      </c>
      <c r="N560" s="22" t="s">
        <v>70</v>
      </c>
      <c r="O560" s="22" t="s">
        <v>41</v>
      </c>
      <c r="P560" s="49">
        <v>76.8</v>
      </c>
      <c r="Q560" s="49">
        <v>76</v>
      </c>
      <c r="R560" s="50">
        <f t="shared" si="20"/>
        <v>0.79999999999999716</v>
      </c>
      <c r="T560" s="21">
        <v>45911</v>
      </c>
      <c r="U560" s="22" t="s">
        <v>41</v>
      </c>
      <c r="V560" s="24">
        <v>1</v>
      </c>
      <c r="W560" s="24">
        <v>1</v>
      </c>
      <c r="X560" s="24">
        <v>1</v>
      </c>
      <c r="Y560" s="24">
        <v>2</v>
      </c>
      <c r="Z560" s="20">
        <f t="shared" si="21"/>
        <v>5</v>
      </c>
    </row>
    <row r="561" spans="1:26" x14ac:dyDescent="0.2">
      <c r="A561" s="21"/>
      <c r="B561" s="51"/>
      <c r="C561" s="22"/>
      <c r="D561" s="22"/>
      <c r="E561" s="24"/>
      <c r="F561" s="22"/>
      <c r="H561" s="21">
        <v>45899</v>
      </c>
      <c r="I561" s="22" t="s">
        <v>70</v>
      </c>
      <c r="J561" s="22" t="s">
        <v>51</v>
      </c>
      <c r="K561" s="24">
        <v>8</v>
      </c>
      <c r="M561" s="21">
        <v>45912</v>
      </c>
      <c r="N561" s="22" t="s">
        <v>70</v>
      </c>
      <c r="O561" s="22" t="s">
        <v>42</v>
      </c>
      <c r="P561" s="49">
        <v>79.400000000000006</v>
      </c>
      <c r="Q561" s="49">
        <v>79.3</v>
      </c>
      <c r="R561" s="50">
        <f t="shared" si="20"/>
        <v>0.10000000000000853</v>
      </c>
      <c r="T561" s="21">
        <v>45911</v>
      </c>
      <c r="U561" s="22" t="s">
        <v>42</v>
      </c>
      <c r="V561" s="24">
        <v>3</v>
      </c>
      <c r="W561" s="24">
        <v>4</v>
      </c>
      <c r="X561" s="24">
        <v>4</v>
      </c>
      <c r="Y561" s="24">
        <v>5</v>
      </c>
      <c r="Z561" s="20">
        <f t="shared" si="21"/>
        <v>16</v>
      </c>
    </row>
    <row r="562" spans="1:26" x14ac:dyDescent="0.2">
      <c r="A562" s="21"/>
      <c r="B562" s="51"/>
      <c r="C562" s="22"/>
      <c r="D562" s="22"/>
      <c r="E562" s="24"/>
      <c r="F562" s="22"/>
      <c r="H562" s="21">
        <v>45899</v>
      </c>
      <c r="I562" s="22" t="s">
        <v>70</v>
      </c>
      <c r="J562" s="22" t="s">
        <v>46</v>
      </c>
      <c r="K562" s="24">
        <v>8</v>
      </c>
      <c r="M562" s="21">
        <v>45912</v>
      </c>
      <c r="N562" s="22" t="s">
        <v>70</v>
      </c>
      <c r="O562" s="22" t="s">
        <v>44</v>
      </c>
      <c r="P562" s="49">
        <v>67.599999999999994</v>
      </c>
      <c r="Q562" s="49">
        <v>67.400000000000006</v>
      </c>
      <c r="R562" s="50">
        <f t="shared" si="20"/>
        <v>0.19999999999998863</v>
      </c>
      <c r="T562" s="21">
        <v>45911</v>
      </c>
      <c r="U562" s="22" t="s">
        <v>44</v>
      </c>
      <c r="V562" s="24">
        <v>5</v>
      </c>
      <c r="W562" s="24">
        <v>4</v>
      </c>
      <c r="X562" s="24">
        <v>5</v>
      </c>
      <c r="Y562" s="24">
        <v>5</v>
      </c>
      <c r="Z562" s="20">
        <f t="shared" si="21"/>
        <v>19</v>
      </c>
    </row>
    <row r="563" spans="1:26" x14ac:dyDescent="0.2">
      <c r="A563" s="21"/>
      <c r="B563" s="51"/>
      <c r="C563" s="22"/>
      <c r="D563" s="22"/>
      <c r="E563" s="24"/>
      <c r="F563" s="22"/>
      <c r="H563" s="21">
        <v>45899</v>
      </c>
      <c r="I563" s="22" t="s">
        <v>70</v>
      </c>
      <c r="J563" s="22" t="s">
        <v>48</v>
      </c>
      <c r="K563" s="24">
        <v>4</v>
      </c>
      <c r="M563" s="21">
        <v>45912</v>
      </c>
      <c r="N563" s="22" t="s">
        <v>70</v>
      </c>
      <c r="O563" s="22" t="s">
        <v>45</v>
      </c>
      <c r="P563" s="49">
        <v>69.2</v>
      </c>
      <c r="Q563" s="49">
        <v>69</v>
      </c>
      <c r="R563" s="50">
        <f t="shared" si="20"/>
        <v>0.20000000000000284</v>
      </c>
      <c r="T563" s="21">
        <v>45911</v>
      </c>
      <c r="U563" s="22" t="s">
        <v>45</v>
      </c>
      <c r="V563" s="24">
        <v>4</v>
      </c>
      <c r="W563" s="24">
        <v>4</v>
      </c>
      <c r="X563" s="24">
        <v>4</v>
      </c>
      <c r="Y563" s="24">
        <v>5</v>
      </c>
      <c r="Z563" s="20">
        <f t="shared" si="21"/>
        <v>17</v>
      </c>
    </row>
    <row r="564" spans="1:26" x14ac:dyDescent="0.2">
      <c r="A564" s="21"/>
      <c r="B564" s="51"/>
      <c r="C564" s="22"/>
      <c r="D564" s="22"/>
      <c r="E564" s="24"/>
      <c r="F564" s="22"/>
      <c r="H564" s="21">
        <v>45899</v>
      </c>
      <c r="I564" s="22" t="s">
        <v>70</v>
      </c>
      <c r="J564" s="22" t="s">
        <v>56</v>
      </c>
      <c r="K564" s="24">
        <v>6</v>
      </c>
      <c r="M564" s="21">
        <v>45912</v>
      </c>
      <c r="N564" s="22" t="s">
        <v>70</v>
      </c>
      <c r="O564" s="22" t="s">
        <v>46</v>
      </c>
      <c r="P564" s="49">
        <v>79.599999999999994</v>
      </c>
      <c r="Q564" s="49">
        <v>80.099999999999994</v>
      </c>
      <c r="R564" s="50">
        <f t="shared" si="20"/>
        <v>-0.5</v>
      </c>
      <c r="T564" s="21">
        <v>45911</v>
      </c>
      <c r="U564" s="22" t="s">
        <v>46</v>
      </c>
      <c r="V564" s="24">
        <v>4</v>
      </c>
      <c r="W564" s="24">
        <v>4</v>
      </c>
      <c r="X564" s="24">
        <v>4</v>
      </c>
      <c r="Y564" s="24">
        <v>4</v>
      </c>
      <c r="Z564" s="20">
        <f t="shared" si="21"/>
        <v>16</v>
      </c>
    </row>
    <row r="565" spans="1:26" x14ac:dyDescent="0.2">
      <c r="A565" s="21"/>
      <c r="B565" s="51"/>
      <c r="C565" s="22"/>
      <c r="D565" s="22"/>
      <c r="E565" s="24"/>
      <c r="F565" s="22"/>
      <c r="H565" s="21">
        <v>45900</v>
      </c>
      <c r="I565" s="22" t="s">
        <v>70</v>
      </c>
      <c r="J565" s="22" t="s">
        <v>52</v>
      </c>
      <c r="K565" s="24" t="s">
        <v>61</v>
      </c>
      <c r="M565" s="21">
        <v>45912</v>
      </c>
      <c r="N565" s="22" t="s">
        <v>70</v>
      </c>
      <c r="O565" s="22" t="s">
        <v>47</v>
      </c>
      <c r="P565" s="49">
        <v>70.7</v>
      </c>
      <c r="Q565" s="49">
        <v>70.599999999999994</v>
      </c>
      <c r="R565" s="50">
        <f t="shared" si="20"/>
        <v>0.10000000000000853</v>
      </c>
      <c r="T565" s="21">
        <v>45911</v>
      </c>
      <c r="U565" s="22" t="s">
        <v>47</v>
      </c>
      <c r="V565" s="24">
        <v>4</v>
      </c>
      <c r="W565" s="24">
        <v>4</v>
      </c>
      <c r="X565" s="24">
        <v>4</v>
      </c>
      <c r="Y565" s="24">
        <v>5</v>
      </c>
      <c r="Z565" s="20">
        <f t="shared" si="21"/>
        <v>17</v>
      </c>
    </row>
    <row r="566" spans="1:26" x14ac:dyDescent="0.2">
      <c r="A566" s="21"/>
      <c r="B566" s="51"/>
      <c r="C566" s="22"/>
      <c r="D566" s="22"/>
      <c r="E566" s="24"/>
      <c r="F566" s="22"/>
      <c r="H566" s="21">
        <v>45900</v>
      </c>
      <c r="I566" s="22" t="s">
        <v>70</v>
      </c>
      <c r="J566" s="22" t="s">
        <v>53</v>
      </c>
      <c r="K566" s="24">
        <v>6</v>
      </c>
      <c r="M566" s="21">
        <v>45912</v>
      </c>
      <c r="N566" s="22" t="s">
        <v>70</v>
      </c>
      <c r="O566" s="22" t="s">
        <v>48</v>
      </c>
      <c r="P566" s="49">
        <v>82.2</v>
      </c>
      <c r="Q566" s="49">
        <v>80.8</v>
      </c>
      <c r="R566" s="50">
        <f t="shared" si="20"/>
        <v>1.4000000000000057</v>
      </c>
      <c r="T566" s="21">
        <v>45911</v>
      </c>
      <c r="U566" s="22" t="s">
        <v>48</v>
      </c>
      <c r="V566" s="24">
        <v>5</v>
      </c>
      <c r="W566" s="24">
        <v>3</v>
      </c>
      <c r="X566" s="24">
        <v>5</v>
      </c>
      <c r="Y566" s="24">
        <v>5</v>
      </c>
      <c r="Z566" s="20">
        <f t="shared" si="21"/>
        <v>18</v>
      </c>
    </row>
    <row r="567" spans="1:26" x14ac:dyDescent="0.2">
      <c r="A567" s="21"/>
      <c r="B567" s="51"/>
      <c r="C567" s="22"/>
      <c r="D567" s="22"/>
      <c r="E567" s="24"/>
      <c r="F567" s="22"/>
      <c r="H567" s="21">
        <v>45900</v>
      </c>
      <c r="I567" s="22" t="s">
        <v>70</v>
      </c>
      <c r="J567" s="22" t="s">
        <v>44</v>
      </c>
      <c r="K567" s="24">
        <v>7</v>
      </c>
      <c r="M567" s="21">
        <v>45912</v>
      </c>
      <c r="N567" s="22" t="s">
        <v>70</v>
      </c>
      <c r="O567" s="22" t="s">
        <v>49</v>
      </c>
      <c r="P567" s="49">
        <v>79.2</v>
      </c>
      <c r="Q567" s="49">
        <v>79.3</v>
      </c>
      <c r="R567" s="50">
        <f t="shared" si="20"/>
        <v>-9.9999999999994316E-2</v>
      </c>
      <c r="T567" s="21">
        <v>45911</v>
      </c>
      <c r="U567" s="22" t="s">
        <v>49</v>
      </c>
      <c r="V567" s="24">
        <v>3</v>
      </c>
      <c r="W567" s="24">
        <v>4</v>
      </c>
      <c r="X567" s="24">
        <v>4</v>
      </c>
      <c r="Y567" s="24">
        <v>4</v>
      </c>
      <c r="Z567" s="20">
        <f t="shared" si="21"/>
        <v>15</v>
      </c>
    </row>
    <row r="568" spans="1:26" x14ac:dyDescent="0.2">
      <c r="A568" s="21"/>
      <c r="B568" s="51"/>
      <c r="C568" s="22"/>
      <c r="D568" s="22"/>
      <c r="E568" s="24"/>
      <c r="F568" s="22"/>
      <c r="H568" s="21">
        <v>45900</v>
      </c>
      <c r="I568" s="22" t="s">
        <v>70</v>
      </c>
      <c r="J568" s="22" t="s">
        <v>45</v>
      </c>
      <c r="K568" s="24">
        <v>9</v>
      </c>
      <c r="M568" s="21">
        <v>45912</v>
      </c>
      <c r="N568" s="22" t="s">
        <v>70</v>
      </c>
      <c r="O568" s="22" t="s">
        <v>50</v>
      </c>
      <c r="P568" s="49">
        <v>71.400000000000006</v>
      </c>
      <c r="Q568" s="49">
        <v>70.400000000000006</v>
      </c>
      <c r="R568" s="50">
        <f t="shared" si="20"/>
        <v>1</v>
      </c>
      <c r="T568" s="21">
        <v>45911</v>
      </c>
      <c r="U568" s="22" t="s">
        <v>50</v>
      </c>
      <c r="V568" s="24">
        <v>2</v>
      </c>
      <c r="W568" s="24">
        <v>4</v>
      </c>
      <c r="X568" s="24">
        <v>4</v>
      </c>
      <c r="Y568" s="24">
        <v>5</v>
      </c>
      <c r="Z568" s="20">
        <f t="shared" si="21"/>
        <v>15</v>
      </c>
    </row>
    <row r="569" spans="1:26" x14ac:dyDescent="0.2">
      <c r="A569" s="21"/>
      <c r="B569" s="51"/>
      <c r="C569" s="22"/>
      <c r="D569" s="22"/>
      <c r="E569" s="24"/>
      <c r="F569" s="22"/>
      <c r="H569" s="21">
        <v>45900</v>
      </c>
      <c r="I569" s="22" t="s">
        <v>70</v>
      </c>
      <c r="J569" s="22" t="s">
        <v>57</v>
      </c>
      <c r="K569" s="24">
        <v>2</v>
      </c>
      <c r="M569" s="21">
        <v>45912</v>
      </c>
      <c r="N569" s="22" t="s">
        <v>70</v>
      </c>
      <c r="O569" s="22" t="s">
        <v>51</v>
      </c>
      <c r="P569" s="49">
        <v>74.7</v>
      </c>
      <c r="Q569" s="49">
        <v>74.5</v>
      </c>
      <c r="R569" s="50">
        <f t="shared" si="20"/>
        <v>0.20000000000000284</v>
      </c>
      <c r="T569" s="21">
        <v>45911</v>
      </c>
      <c r="U569" s="22" t="s">
        <v>51</v>
      </c>
      <c r="V569" s="24">
        <v>4</v>
      </c>
      <c r="W569" s="24">
        <v>3</v>
      </c>
      <c r="X569" s="24">
        <v>3</v>
      </c>
      <c r="Y569" s="24">
        <v>5</v>
      </c>
      <c r="Z569" s="20">
        <f t="shared" si="21"/>
        <v>15</v>
      </c>
    </row>
    <row r="570" spans="1:26" x14ac:dyDescent="0.2">
      <c r="A570" s="21"/>
      <c r="B570" s="51"/>
      <c r="C570" s="22"/>
      <c r="D570" s="22"/>
      <c r="E570" s="24"/>
      <c r="F570" s="22"/>
      <c r="H570" s="21">
        <v>45900</v>
      </c>
      <c r="I570" s="22" t="s">
        <v>70</v>
      </c>
      <c r="J570" s="22" t="s">
        <v>42</v>
      </c>
      <c r="K570" s="24">
        <v>1</v>
      </c>
      <c r="M570" s="21">
        <v>45912</v>
      </c>
      <c r="N570" s="22" t="s">
        <v>70</v>
      </c>
      <c r="O570" s="22" t="s">
        <v>52</v>
      </c>
      <c r="P570" s="49">
        <v>71.400000000000006</v>
      </c>
      <c r="Q570" s="49">
        <v>70.900000000000006</v>
      </c>
      <c r="R570" s="50">
        <f t="shared" si="20"/>
        <v>0.5</v>
      </c>
      <c r="T570" s="21">
        <v>45911</v>
      </c>
      <c r="U570" s="22" t="s">
        <v>52</v>
      </c>
      <c r="V570" s="24">
        <v>4</v>
      </c>
      <c r="W570" s="24">
        <v>5</v>
      </c>
      <c r="X570" s="24">
        <v>3</v>
      </c>
      <c r="Y570" s="24">
        <v>3</v>
      </c>
      <c r="Z570" s="20">
        <f t="shared" si="21"/>
        <v>15</v>
      </c>
    </row>
    <row r="571" spans="1:26" x14ac:dyDescent="0.2">
      <c r="A571" s="21"/>
      <c r="B571" s="51"/>
      <c r="C571" s="22"/>
      <c r="D571" s="22"/>
      <c r="E571" s="24"/>
      <c r="F571" s="22"/>
      <c r="H571" s="21">
        <v>45900</v>
      </c>
      <c r="I571" s="22" t="s">
        <v>70</v>
      </c>
      <c r="J571" s="22" t="s">
        <v>54</v>
      </c>
      <c r="K571" s="24">
        <v>5</v>
      </c>
      <c r="M571" s="21">
        <v>45912</v>
      </c>
      <c r="N571" s="22" t="s">
        <v>70</v>
      </c>
      <c r="O571" s="22" t="s">
        <v>53</v>
      </c>
      <c r="P571" s="49">
        <v>66.5</v>
      </c>
      <c r="Q571" s="49">
        <v>66.3</v>
      </c>
      <c r="R571" s="50">
        <f t="shared" si="20"/>
        <v>0.20000000000000284</v>
      </c>
      <c r="T571" s="21">
        <v>45911</v>
      </c>
      <c r="U571" s="22" t="s">
        <v>53</v>
      </c>
      <c r="V571" s="24">
        <v>4</v>
      </c>
      <c r="W571" s="24">
        <v>5</v>
      </c>
      <c r="X571" s="24">
        <v>5</v>
      </c>
      <c r="Y571" s="24">
        <v>5</v>
      </c>
      <c r="Z571" s="20">
        <f t="shared" si="21"/>
        <v>19</v>
      </c>
    </row>
    <row r="572" spans="1:26" x14ac:dyDescent="0.2">
      <c r="A572" s="21"/>
      <c r="B572" s="51"/>
      <c r="C572" s="22"/>
      <c r="D572" s="22"/>
      <c r="E572" s="24"/>
      <c r="F572" s="22"/>
      <c r="H572" s="21">
        <v>45900</v>
      </c>
      <c r="I572" s="22" t="s">
        <v>70</v>
      </c>
      <c r="J572" s="22" t="s">
        <v>47</v>
      </c>
      <c r="K572" s="24">
        <v>7</v>
      </c>
      <c r="M572" s="21">
        <v>45912</v>
      </c>
      <c r="N572" s="22" t="s">
        <v>70</v>
      </c>
      <c r="O572" s="22" t="s">
        <v>54</v>
      </c>
      <c r="P572" s="49">
        <v>84.6</v>
      </c>
      <c r="Q572" s="49">
        <v>84.7</v>
      </c>
      <c r="R572" s="50">
        <f t="shared" si="20"/>
        <v>-0.10000000000000853</v>
      </c>
      <c r="T572" s="21">
        <v>45911</v>
      </c>
      <c r="U572" s="22" t="s">
        <v>54</v>
      </c>
      <c r="V572" s="24">
        <v>4</v>
      </c>
      <c r="W572" s="24">
        <v>5</v>
      </c>
      <c r="X572" s="24">
        <v>5</v>
      </c>
      <c r="Y572" s="24">
        <v>3</v>
      </c>
      <c r="Z572" s="20">
        <f t="shared" si="21"/>
        <v>17</v>
      </c>
    </row>
    <row r="573" spans="1:26" x14ac:dyDescent="0.2">
      <c r="A573" s="21"/>
      <c r="B573" s="51"/>
      <c r="C573" s="22"/>
      <c r="D573" s="22"/>
      <c r="E573" s="24"/>
      <c r="F573" s="22"/>
      <c r="H573" s="21">
        <v>45900</v>
      </c>
      <c r="I573" s="22" t="s">
        <v>70</v>
      </c>
      <c r="J573" s="22" t="s">
        <v>41</v>
      </c>
      <c r="K573" s="24">
        <v>7</v>
      </c>
      <c r="M573" s="21">
        <v>45912</v>
      </c>
      <c r="N573" s="22" t="s">
        <v>70</v>
      </c>
      <c r="O573" s="22" t="s">
        <v>56</v>
      </c>
      <c r="P573" s="49">
        <v>75.099999999999994</v>
      </c>
      <c r="Q573" s="49">
        <v>75.2</v>
      </c>
      <c r="R573" s="50">
        <f t="shared" si="20"/>
        <v>-0.10000000000000853</v>
      </c>
      <c r="T573" s="21">
        <v>45911</v>
      </c>
      <c r="U573" s="22" t="s">
        <v>56</v>
      </c>
      <c r="V573" s="24">
        <v>3</v>
      </c>
      <c r="W573" s="24">
        <v>4</v>
      </c>
      <c r="X573" s="24">
        <v>4</v>
      </c>
      <c r="Y573" s="24">
        <v>3</v>
      </c>
      <c r="Z573" s="20">
        <f t="shared" si="21"/>
        <v>14</v>
      </c>
    </row>
    <row r="574" spans="1:26" x14ac:dyDescent="0.2">
      <c r="A574" s="21"/>
      <c r="B574" s="51"/>
      <c r="C574" s="22"/>
      <c r="D574" s="22"/>
      <c r="E574" s="24"/>
      <c r="F574" s="22"/>
      <c r="H574" s="21">
        <v>45900</v>
      </c>
      <c r="I574" s="22" t="s">
        <v>70</v>
      </c>
      <c r="J574" s="22" t="s">
        <v>49</v>
      </c>
      <c r="K574" s="24">
        <v>9</v>
      </c>
      <c r="M574" s="21">
        <v>45912</v>
      </c>
      <c r="N574" s="22" t="s">
        <v>70</v>
      </c>
      <c r="O574" s="22" t="s">
        <v>58</v>
      </c>
      <c r="P574" s="49">
        <v>75.7</v>
      </c>
      <c r="Q574" s="49">
        <v>74.900000000000006</v>
      </c>
      <c r="R574" s="50">
        <f t="shared" si="20"/>
        <v>0.79999999999999716</v>
      </c>
      <c r="T574" s="21">
        <v>45911</v>
      </c>
      <c r="U574" s="22" t="s">
        <v>58</v>
      </c>
      <c r="V574" s="24">
        <v>4</v>
      </c>
      <c r="W574" s="24">
        <v>3</v>
      </c>
      <c r="X574" s="24">
        <v>4</v>
      </c>
      <c r="Y574" s="24">
        <v>4</v>
      </c>
      <c r="Z574" s="20">
        <f t="shared" si="21"/>
        <v>15</v>
      </c>
    </row>
    <row r="575" spans="1:26" x14ac:dyDescent="0.2">
      <c r="A575" s="21"/>
      <c r="B575" s="51"/>
      <c r="C575" s="22"/>
      <c r="D575" s="22"/>
      <c r="E575" s="24"/>
      <c r="F575" s="22"/>
      <c r="H575" s="21">
        <v>45900</v>
      </c>
      <c r="I575" s="22" t="s">
        <v>70</v>
      </c>
      <c r="J575" s="22" t="s">
        <v>50</v>
      </c>
      <c r="K575" s="24">
        <v>7</v>
      </c>
      <c r="M575" s="21">
        <v>45915</v>
      </c>
      <c r="N575" s="22" t="s">
        <v>70</v>
      </c>
      <c r="O575" s="22" t="s">
        <v>41</v>
      </c>
      <c r="P575" s="49">
        <v>77</v>
      </c>
      <c r="Q575" s="49">
        <v>76</v>
      </c>
      <c r="R575" s="50">
        <f t="shared" si="20"/>
        <v>1</v>
      </c>
      <c r="T575" s="21">
        <v>45911</v>
      </c>
      <c r="U575" s="22" t="s">
        <v>33</v>
      </c>
      <c r="V575" s="24">
        <v>3.6</v>
      </c>
      <c r="W575" s="24">
        <v>3.8</v>
      </c>
      <c r="X575" s="24">
        <v>3.93333333333333</v>
      </c>
      <c r="Y575" s="24">
        <v>4.2</v>
      </c>
      <c r="Z575" s="20">
        <f t="shared" si="21"/>
        <v>15.533333333333331</v>
      </c>
    </row>
    <row r="576" spans="1:26" x14ac:dyDescent="0.2">
      <c r="A576" s="21"/>
      <c r="B576" s="51"/>
      <c r="C576" s="22"/>
      <c r="D576" s="22"/>
      <c r="E576" s="24"/>
      <c r="F576" s="22"/>
      <c r="H576" s="21">
        <v>45900</v>
      </c>
      <c r="I576" s="22" t="s">
        <v>70</v>
      </c>
      <c r="J576" s="22" t="s">
        <v>51</v>
      </c>
      <c r="K576" s="24">
        <v>8</v>
      </c>
      <c r="M576" s="21">
        <v>45915</v>
      </c>
      <c r="N576" s="22" t="s">
        <v>71</v>
      </c>
      <c r="O576" s="22" t="s">
        <v>41</v>
      </c>
      <c r="P576" s="49">
        <v>76.900000000000006</v>
      </c>
      <c r="Q576" s="49">
        <v>75.8</v>
      </c>
      <c r="R576" s="50">
        <f t="shared" si="20"/>
        <v>1.1000000000000085</v>
      </c>
      <c r="T576" s="21">
        <v>45912</v>
      </c>
      <c r="U576" s="22" t="s">
        <v>41</v>
      </c>
      <c r="V576" s="24">
        <v>2</v>
      </c>
      <c r="W576" s="24">
        <v>2</v>
      </c>
      <c r="X576" s="24">
        <v>1</v>
      </c>
      <c r="Y576" s="24">
        <v>2</v>
      </c>
      <c r="Z576" s="20">
        <f t="shared" si="21"/>
        <v>7</v>
      </c>
    </row>
    <row r="577" spans="1:26" x14ac:dyDescent="0.2">
      <c r="A577" s="21"/>
      <c r="B577" s="51"/>
      <c r="C577" s="22"/>
      <c r="D577" s="22"/>
      <c r="E577" s="24"/>
      <c r="F577" s="22"/>
      <c r="H577" s="21">
        <v>45900</v>
      </c>
      <c r="I577" s="22" t="s">
        <v>70</v>
      </c>
      <c r="J577" s="22" t="s">
        <v>46</v>
      </c>
      <c r="K577" s="24">
        <v>9</v>
      </c>
      <c r="M577" s="21">
        <v>45915</v>
      </c>
      <c r="N577" s="22" t="s">
        <v>70</v>
      </c>
      <c r="O577" s="22" t="s">
        <v>42</v>
      </c>
      <c r="P577" s="49">
        <v>79.599999999999994</v>
      </c>
      <c r="Q577" s="49">
        <v>79.5</v>
      </c>
      <c r="R577" s="50">
        <f t="shared" si="20"/>
        <v>9.9999999999994316E-2</v>
      </c>
      <c r="T577" s="21">
        <v>45912</v>
      </c>
      <c r="U577" s="22" t="s">
        <v>42</v>
      </c>
      <c r="V577" s="24">
        <v>4</v>
      </c>
      <c r="W577" s="24">
        <v>4</v>
      </c>
      <c r="X577" s="24">
        <v>4</v>
      </c>
      <c r="Y577" s="24">
        <v>5</v>
      </c>
      <c r="Z577" s="20">
        <f t="shared" si="21"/>
        <v>17</v>
      </c>
    </row>
    <row r="578" spans="1:26" x14ac:dyDescent="0.2">
      <c r="A578" s="21"/>
      <c r="B578" s="51"/>
      <c r="C578" s="22"/>
      <c r="D578" s="22"/>
      <c r="E578" s="24"/>
      <c r="F578" s="22"/>
      <c r="H578" s="21">
        <v>45900</v>
      </c>
      <c r="I578" s="22" t="s">
        <v>70</v>
      </c>
      <c r="J578" s="22" t="s">
        <v>48</v>
      </c>
      <c r="K578" s="24">
        <v>8</v>
      </c>
      <c r="M578" s="21">
        <v>45915</v>
      </c>
      <c r="N578" s="22" t="s">
        <v>71</v>
      </c>
      <c r="O578" s="22" t="s">
        <v>42</v>
      </c>
      <c r="P578" s="49">
        <v>79.7</v>
      </c>
      <c r="Q578" s="49">
        <v>79.400000000000006</v>
      </c>
      <c r="R578" s="50">
        <f t="shared" si="20"/>
        <v>0.29999999999999716</v>
      </c>
      <c r="T578" s="21">
        <v>45912</v>
      </c>
      <c r="U578" s="22" t="s">
        <v>44</v>
      </c>
      <c r="V578" s="24">
        <v>5</v>
      </c>
      <c r="W578" s="24">
        <v>4</v>
      </c>
      <c r="X578" s="24">
        <v>4</v>
      </c>
      <c r="Y578" s="24">
        <v>5</v>
      </c>
      <c r="Z578" s="20">
        <f t="shared" si="21"/>
        <v>18</v>
      </c>
    </row>
    <row r="579" spans="1:26" x14ac:dyDescent="0.2">
      <c r="A579" s="21"/>
      <c r="B579" s="51"/>
      <c r="C579" s="22"/>
      <c r="D579" s="22"/>
      <c r="E579" s="24"/>
      <c r="F579" s="22"/>
      <c r="H579" s="21">
        <v>45900</v>
      </c>
      <c r="I579" s="22" t="s">
        <v>70</v>
      </c>
      <c r="J579" s="22" t="s">
        <v>56</v>
      </c>
      <c r="K579" s="24">
        <v>7</v>
      </c>
      <c r="M579" s="21">
        <v>45915</v>
      </c>
      <c r="N579" s="22" t="s">
        <v>71</v>
      </c>
      <c r="O579" s="22" t="s">
        <v>43</v>
      </c>
      <c r="P579" s="49">
        <v>86.4</v>
      </c>
      <c r="Q579" s="49">
        <v>85.7</v>
      </c>
      <c r="R579" s="50">
        <f t="shared" ref="R579:R642" si="22">IFERROR(P579-Q579,"")</f>
        <v>0.70000000000000284</v>
      </c>
      <c r="T579" s="21">
        <v>45912</v>
      </c>
      <c r="U579" s="22" t="s">
        <v>45</v>
      </c>
      <c r="V579" s="24">
        <v>4</v>
      </c>
      <c r="W579" s="24">
        <v>4</v>
      </c>
      <c r="X579" s="24">
        <v>4</v>
      </c>
      <c r="Y579" s="24">
        <v>5</v>
      </c>
      <c r="Z579" s="20">
        <f t="shared" ref="Z579:Z642" si="23">SUM(V579:Y579)</f>
        <v>17</v>
      </c>
    </row>
    <row r="580" spans="1:26" x14ac:dyDescent="0.2">
      <c r="A580" s="21"/>
      <c r="B580" s="51"/>
      <c r="C580" s="22"/>
      <c r="D580" s="22"/>
      <c r="E580" s="24"/>
      <c r="F580" s="22"/>
      <c r="H580" s="21">
        <v>45902</v>
      </c>
      <c r="I580" s="22" t="s">
        <v>70</v>
      </c>
      <c r="J580" s="22" t="s">
        <v>52</v>
      </c>
      <c r="K580" s="24" t="s">
        <v>61</v>
      </c>
      <c r="M580" s="21">
        <v>45915</v>
      </c>
      <c r="N580" s="22" t="s">
        <v>70</v>
      </c>
      <c r="O580" s="22" t="s">
        <v>44</v>
      </c>
      <c r="P580" s="49">
        <v>68.5</v>
      </c>
      <c r="Q580" s="49">
        <v>68</v>
      </c>
      <c r="R580" s="50">
        <f t="shared" si="22"/>
        <v>0.5</v>
      </c>
      <c r="T580" s="21">
        <v>45912</v>
      </c>
      <c r="U580" s="22" t="s">
        <v>46</v>
      </c>
      <c r="V580" s="24">
        <v>4</v>
      </c>
      <c r="W580" s="24">
        <v>4</v>
      </c>
      <c r="X580" s="24">
        <v>4</v>
      </c>
      <c r="Y580" s="24">
        <v>4</v>
      </c>
      <c r="Z580" s="20">
        <f t="shared" si="23"/>
        <v>16</v>
      </c>
    </row>
    <row r="581" spans="1:26" x14ac:dyDescent="0.2">
      <c r="A581" s="21"/>
      <c r="B581" s="51"/>
      <c r="C581" s="22"/>
      <c r="D581" s="22"/>
      <c r="E581" s="24"/>
      <c r="F581" s="22"/>
      <c r="H581" s="21">
        <v>45902</v>
      </c>
      <c r="I581" s="22" t="s">
        <v>70</v>
      </c>
      <c r="J581" s="22" t="s">
        <v>53</v>
      </c>
      <c r="K581" s="24">
        <v>8</v>
      </c>
      <c r="M581" s="21">
        <v>45915</v>
      </c>
      <c r="N581" s="22" t="s">
        <v>71</v>
      </c>
      <c r="O581" s="22" t="s">
        <v>44</v>
      </c>
      <c r="P581" s="49">
        <v>69</v>
      </c>
      <c r="Q581" s="49">
        <v>68.900000000000006</v>
      </c>
      <c r="R581" s="50">
        <f t="shared" si="22"/>
        <v>9.9999999999994316E-2</v>
      </c>
      <c r="T581" s="21">
        <v>45912</v>
      </c>
      <c r="U581" s="22" t="s">
        <v>47</v>
      </c>
      <c r="V581" s="24">
        <v>3</v>
      </c>
      <c r="W581" s="24">
        <v>4</v>
      </c>
      <c r="X581" s="24">
        <v>4</v>
      </c>
      <c r="Y581" s="24">
        <v>5</v>
      </c>
      <c r="Z581" s="20">
        <f t="shared" si="23"/>
        <v>16</v>
      </c>
    </row>
    <row r="582" spans="1:26" x14ac:dyDescent="0.2">
      <c r="A582" s="21"/>
      <c r="B582" s="51"/>
      <c r="C582" s="22"/>
      <c r="D582" s="22"/>
      <c r="E582" s="24"/>
      <c r="F582" s="22"/>
      <c r="H582" s="21">
        <v>45902</v>
      </c>
      <c r="I582" s="22" t="s">
        <v>70</v>
      </c>
      <c r="J582" s="22" t="s">
        <v>44</v>
      </c>
      <c r="K582" s="24">
        <v>7</v>
      </c>
      <c r="M582" s="21">
        <v>45915</v>
      </c>
      <c r="N582" s="22" t="s">
        <v>70</v>
      </c>
      <c r="O582" s="22" t="s">
        <v>45</v>
      </c>
      <c r="P582" s="49">
        <v>69</v>
      </c>
      <c r="Q582" s="49">
        <v>68.8</v>
      </c>
      <c r="R582" s="50">
        <f t="shared" si="22"/>
        <v>0.20000000000000284</v>
      </c>
      <c r="T582" s="21">
        <v>45912</v>
      </c>
      <c r="U582" s="22" t="s">
        <v>48</v>
      </c>
      <c r="V582" s="24">
        <v>5</v>
      </c>
      <c r="W582" s="24">
        <v>4</v>
      </c>
      <c r="X582" s="24">
        <v>5</v>
      </c>
      <c r="Y582" s="24">
        <v>5</v>
      </c>
      <c r="Z582" s="20">
        <f t="shared" si="23"/>
        <v>19</v>
      </c>
    </row>
    <row r="583" spans="1:26" x14ac:dyDescent="0.2">
      <c r="A583" s="21"/>
      <c r="B583" s="51"/>
      <c r="C583" s="22"/>
      <c r="D583" s="22"/>
      <c r="E583" s="24"/>
      <c r="F583" s="22"/>
      <c r="H583" s="21">
        <v>45902</v>
      </c>
      <c r="I583" s="22" t="s">
        <v>70</v>
      </c>
      <c r="J583" s="22" t="s">
        <v>45</v>
      </c>
      <c r="K583" s="24">
        <v>8</v>
      </c>
      <c r="M583" s="21">
        <v>45915</v>
      </c>
      <c r="N583" s="22" t="s">
        <v>71</v>
      </c>
      <c r="O583" s="22" t="s">
        <v>45</v>
      </c>
      <c r="P583" s="49">
        <v>69.099999999999994</v>
      </c>
      <c r="Q583" s="49">
        <v>68.3</v>
      </c>
      <c r="R583" s="50">
        <f t="shared" si="22"/>
        <v>0.79999999999999716</v>
      </c>
      <c r="T583" s="21">
        <v>45912</v>
      </c>
      <c r="U583" s="22" t="s">
        <v>49</v>
      </c>
      <c r="V583" s="24">
        <v>3</v>
      </c>
      <c r="W583" s="24">
        <v>4</v>
      </c>
      <c r="X583" s="24">
        <v>4</v>
      </c>
      <c r="Y583" s="24">
        <v>4</v>
      </c>
      <c r="Z583" s="20">
        <f t="shared" si="23"/>
        <v>15</v>
      </c>
    </row>
    <row r="584" spans="1:26" x14ac:dyDescent="0.2">
      <c r="A584" s="21"/>
      <c r="B584" s="51"/>
      <c r="C584" s="22"/>
      <c r="D584" s="22"/>
      <c r="E584" s="24"/>
      <c r="F584" s="22"/>
      <c r="H584" s="21">
        <v>45902</v>
      </c>
      <c r="I584" s="22" t="s">
        <v>70</v>
      </c>
      <c r="J584" s="22" t="s">
        <v>57</v>
      </c>
      <c r="K584" s="24">
        <v>8</v>
      </c>
      <c r="M584" s="21">
        <v>45915</v>
      </c>
      <c r="N584" s="22" t="s">
        <v>70</v>
      </c>
      <c r="O584" s="22" t="s">
        <v>47</v>
      </c>
      <c r="P584" s="49">
        <v>71.7</v>
      </c>
      <c r="Q584" s="49">
        <v>71</v>
      </c>
      <c r="R584" s="50">
        <f t="shared" si="22"/>
        <v>0.70000000000000284</v>
      </c>
      <c r="T584" s="21">
        <v>45912</v>
      </c>
      <c r="U584" s="22" t="s">
        <v>50</v>
      </c>
      <c r="V584" s="24">
        <v>2</v>
      </c>
      <c r="W584" s="24">
        <v>4</v>
      </c>
      <c r="X584" s="24">
        <v>4</v>
      </c>
      <c r="Y584" s="24">
        <v>5</v>
      </c>
      <c r="Z584" s="20">
        <f t="shared" si="23"/>
        <v>15</v>
      </c>
    </row>
    <row r="585" spans="1:26" x14ac:dyDescent="0.2">
      <c r="A585" s="21"/>
      <c r="B585" s="51"/>
      <c r="C585" s="22"/>
      <c r="D585" s="22"/>
      <c r="E585" s="24"/>
      <c r="F585" s="22"/>
      <c r="H585" s="21">
        <v>45902</v>
      </c>
      <c r="I585" s="22" t="s">
        <v>70</v>
      </c>
      <c r="J585" s="22" t="s">
        <v>42</v>
      </c>
      <c r="K585" s="24">
        <v>6</v>
      </c>
      <c r="M585" s="21">
        <v>45915</v>
      </c>
      <c r="N585" s="22" t="s">
        <v>71</v>
      </c>
      <c r="O585" s="22" t="s">
        <v>47</v>
      </c>
      <c r="P585" s="49">
        <v>71.900000000000006</v>
      </c>
      <c r="Q585" s="49">
        <v>71.599999999999994</v>
      </c>
      <c r="R585" s="50">
        <f t="shared" si="22"/>
        <v>0.30000000000001137</v>
      </c>
      <c r="T585" s="21">
        <v>45912</v>
      </c>
      <c r="U585" s="22" t="s">
        <v>51</v>
      </c>
      <c r="V585" s="24">
        <v>4</v>
      </c>
      <c r="W585" s="24">
        <v>4</v>
      </c>
      <c r="X585" s="24">
        <v>4</v>
      </c>
      <c r="Y585" s="24">
        <v>5</v>
      </c>
      <c r="Z585" s="20">
        <f t="shared" si="23"/>
        <v>17</v>
      </c>
    </row>
    <row r="586" spans="1:26" x14ac:dyDescent="0.2">
      <c r="A586" s="21"/>
      <c r="B586" s="51"/>
      <c r="C586" s="22"/>
      <c r="D586" s="22"/>
      <c r="E586" s="24"/>
      <c r="F586" s="22"/>
      <c r="H586" s="21">
        <v>45902</v>
      </c>
      <c r="I586" s="22" t="s">
        <v>70</v>
      </c>
      <c r="J586" s="22" t="s">
        <v>54</v>
      </c>
      <c r="K586" s="24">
        <v>8</v>
      </c>
      <c r="M586" s="21">
        <v>45915</v>
      </c>
      <c r="N586" s="22" t="s">
        <v>70</v>
      </c>
      <c r="O586" s="22" t="s">
        <v>48</v>
      </c>
      <c r="P586" s="49">
        <v>81.7</v>
      </c>
      <c r="Q586" s="49">
        <v>81.5</v>
      </c>
      <c r="R586" s="50">
        <f t="shared" si="22"/>
        <v>0.20000000000000284</v>
      </c>
      <c r="T586" s="21">
        <v>45912</v>
      </c>
      <c r="U586" s="22" t="s">
        <v>52</v>
      </c>
      <c r="V586" s="24">
        <v>3</v>
      </c>
      <c r="W586" s="24">
        <v>5</v>
      </c>
      <c r="X586" s="24">
        <v>3</v>
      </c>
      <c r="Y586" s="24">
        <v>3</v>
      </c>
      <c r="Z586" s="20">
        <f t="shared" si="23"/>
        <v>14</v>
      </c>
    </row>
    <row r="587" spans="1:26" x14ac:dyDescent="0.2">
      <c r="A587" s="21"/>
      <c r="B587" s="51"/>
      <c r="C587" s="22"/>
      <c r="D587" s="22"/>
      <c r="E587" s="24"/>
      <c r="F587" s="22"/>
      <c r="H587" s="21">
        <v>45902</v>
      </c>
      <c r="I587" s="22" t="s">
        <v>70</v>
      </c>
      <c r="J587" s="22" t="s">
        <v>47</v>
      </c>
      <c r="K587" s="24">
        <v>7</v>
      </c>
      <c r="M587" s="21">
        <v>45915</v>
      </c>
      <c r="N587" s="22" t="s">
        <v>71</v>
      </c>
      <c r="O587" s="22" t="s">
        <v>48</v>
      </c>
      <c r="P587" s="49">
        <v>82.8</v>
      </c>
      <c r="Q587" s="49">
        <v>81.2</v>
      </c>
      <c r="R587" s="50">
        <f t="shared" si="22"/>
        <v>1.5999999999999943</v>
      </c>
      <c r="T587" s="21">
        <v>45912</v>
      </c>
      <c r="U587" s="22" t="s">
        <v>53</v>
      </c>
      <c r="V587" s="24">
        <v>3</v>
      </c>
      <c r="W587" s="24">
        <v>5</v>
      </c>
      <c r="X587" s="24">
        <v>5</v>
      </c>
      <c r="Y587" s="24">
        <v>5</v>
      </c>
      <c r="Z587" s="20">
        <f t="shared" si="23"/>
        <v>18</v>
      </c>
    </row>
    <row r="588" spans="1:26" x14ac:dyDescent="0.2">
      <c r="A588" s="21"/>
      <c r="B588" s="51"/>
      <c r="C588" s="22"/>
      <c r="D588" s="22"/>
      <c r="E588" s="24"/>
      <c r="F588" s="22"/>
      <c r="H588" s="21">
        <v>45902</v>
      </c>
      <c r="I588" s="22" t="s">
        <v>70</v>
      </c>
      <c r="J588" s="22" t="s">
        <v>41</v>
      </c>
      <c r="K588" s="24">
        <v>8</v>
      </c>
      <c r="M588" s="21">
        <v>45915</v>
      </c>
      <c r="N588" s="22" t="s">
        <v>70</v>
      </c>
      <c r="O588" s="22" t="s">
        <v>51</v>
      </c>
      <c r="P588" s="49">
        <v>74.599999999999994</v>
      </c>
      <c r="Q588" s="49">
        <v>74.5</v>
      </c>
      <c r="R588" s="50">
        <f t="shared" si="22"/>
        <v>9.9999999999994316E-2</v>
      </c>
      <c r="T588" s="21">
        <v>45912</v>
      </c>
      <c r="U588" s="22" t="s">
        <v>54</v>
      </c>
      <c r="V588" s="24">
        <v>3</v>
      </c>
      <c r="W588" s="24">
        <v>4</v>
      </c>
      <c r="X588" s="24">
        <v>4</v>
      </c>
      <c r="Y588" s="24">
        <v>4</v>
      </c>
      <c r="Z588" s="20">
        <f t="shared" si="23"/>
        <v>15</v>
      </c>
    </row>
    <row r="589" spans="1:26" x14ac:dyDescent="0.2">
      <c r="A589" s="21"/>
      <c r="B589" s="51"/>
      <c r="C589" s="22"/>
      <c r="D589" s="22"/>
      <c r="E589" s="24"/>
      <c r="F589" s="22"/>
      <c r="H589" s="21">
        <v>45902</v>
      </c>
      <c r="I589" s="22" t="s">
        <v>70</v>
      </c>
      <c r="J589" s="22" t="s">
        <v>49</v>
      </c>
      <c r="K589" s="24">
        <v>8</v>
      </c>
      <c r="M589" s="21">
        <v>45915</v>
      </c>
      <c r="N589" s="22" t="s">
        <v>71</v>
      </c>
      <c r="O589" s="22" t="s">
        <v>51</v>
      </c>
      <c r="P589" s="49">
        <v>75</v>
      </c>
      <c r="Q589" s="49">
        <v>74.8</v>
      </c>
      <c r="R589" s="50">
        <f t="shared" si="22"/>
        <v>0.20000000000000284</v>
      </c>
      <c r="T589" s="21">
        <v>45912</v>
      </c>
      <c r="U589" s="22" t="s">
        <v>56</v>
      </c>
      <c r="V589" s="24">
        <v>4</v>
      </c>
      <c r="W589" s="24">
        <v>4</v>
      </c>
      <c r="X589" s="24">
        <v>4</v>
      </c>
      <c r="Y589" s="24">
        <v>5</v>
      </c>
      <c r="Z589" s="20">
        <f t="shared" si="23"/>
        <v>17</v>
      </c>
    </row>
    <row r="590" spans="1:26" x14ac:dyDescent="0.2">
      <c r="A590" s="21"/>
      <c r="B590" s="51"/>
      <c r="C590" s="22"/>
      <c r="D590" s="22"/>
      <c r="E590" s="24"/>
      <c r="F590" s="22"/>
      <c r="H590" s="21">
        <v>45902</v>
      </c>
      <c r="I590" s="22" t="s">
        <v>70</v>
      </c>
      <c r="J590" s="22" t="s">
        <v>43</v>
      </c>
      <c r="K590" s="24">
        <v>6</v>
      </c>
      <c r="M590" s="21">
        <v>45915</v>
      </c>
      <c r="N590" s="22" t="s">
        <v>70</v>
      </c>
      <c r="O590" s="22" t="s">
        <v>52</v>
      </c>
      <c r="P590" s="49">
        <v>74.7</v>
      </c>
      <c r="Q590" s="49">
        <v>74.7</v>
      </c>
      <c r="R590" s="50">
        <f t="shared" si="22"/>
        <v>0</v>
      </c>
      <c r="T590" s="21">
        <v>45912</v>
      </c>
      <c r="U590" s="22" t="s">
        <v>58</v>
      </c>
      <c r="V590" s="24">
        <v>3</v>
      </c>
      <c r="W590" s="24">
        <v>4</v>
      </c>
      <c r="X590" s="24">
        <v>4</v>
      </c>
      <c r="Y590" s="24">
        <v>4</v>
      </c>
      <c r="Z590" s="20">
        <f t="shared" si="23"/>
        <v>15</v>
      </c>
    </row>
    <row r="591" spans="1:26" x14ac:dyDescent="0.2">
      <c r="A591" s="21"/>
      <c r="B591" s="51"/>
      <c r="C591" s="22"/>
      <c r="D591" s="22"/>
      <c r="E591" s="24"/>
      <c r="F591" s="22"/>
      <c r="H591" s="21">
        <v>45902</v>
      </c>
      <c r="I591" s="22" t="s">
        <v>70</v>
      </c>
      <c r="J591" s="22" t="s">
        <v>50</v>
      </c>
      <c r="K591" s="24">
        <v>5</v>
      </c>
      <c r="M591" s="21">
        <v>45915</v>
      </c>
      <c r="N591" s="22" t="s">
        <v>71</v>
      </c>
      <c r="O591" s="22" t="s">
        <v>52</v>
      </c>
      <c r="P591" s="49">
        <v>74.3</v>
      </c>
      <c r="Q591" s="49">
        <v>74.5</v>
      </c>
      <c r="R591" s="50">
        <f t="shared" si="22"/>
        <v>-0.20000000000000284</v>
      </c>
      <c r="T591" s="21">
        <v>45912</v>
      </c>
      <c r="U591" s="22" t="s">
        <v>33</v>
      </c>
      <c r="V591" s="24">
        <v>3.4666666666666699</v>
      </c>
      <c r="W591" s="24">
        <v>4</v>
      </c>
      <c r="X591" s="24">
        <v>3.8666666666666698</v>
      </c>
      <c r="Y591" s="24">
        <v>4.4000000000000004</v>
      </c>
      <c r="Z591" s="20">
        <f t="shared" si="23"/>
        <v>15.73333333333334</v>
      </c>
    </row>
    <row r="592" spans="1:26" x14ac:dyDescent="0.2">
      <c r="A592" s="21"/>
      <c r="B592" s="51"/>
      <c r="C592" s="22"/>
      <c r="D592" s="22"/>
      <c r="E592" s="24"/>
      <c r="F592" s="22"/>
      <c r="H592" s="21">
        <v>45902</v>
      </c>
      <c r="I592" s="22" t="s">
        <v>70</v>
      </c>
      <c r="J592" s="22" t="s">
        <v>51</v>
      </c>
      <c r="K592" s="24">
        <v>7</v>
      </c>
      <c r="M592" s="21">
        <v>45915</v>
      </c>
      <c r="N592" s="22" t="s">
        <v>70</v>
      </c>
      <c r="O592" s="22" t="s">
        <v>53</v>
      </c>
      <c r="P592" s="49">
        <v>66.599999999999994</v>
      </c>
      <c r="Q592" s="49">
        <v>66</v>
      </c>
      <c r="R592" s="50">
        <f t="shared" si="22"/>
        <v>0.59999999999999432</v>
      </c>
      <c r="T592" s="21">
        <v>45913</v>
      </c>
      <c r="U592" s="22" t="s">
        <v>41</v>
      </c>
      <c r="V592" s="24">
        <v>1</v>
      </c>
      <c r="W592" s="24">
        <v>2</v>
      </c>
      <c r="X592" s="24">
        <v>1</v>
      </c>
      <c r="Y592" s="24">
        <v>2</v>
      </c>
      <c r="Z592" s="20">
        <f t="shared" si="23"/>
        <v>6</v>
      </c>
    </row>
    <row r="593" spans="1:26" x14ac:dyDescent="0.2">
      <c r="A593" s="21"/>
      <c r="B593" s="51"/>
      <c r="C593" s="22"/>
      <c r="D593" s="22"/>
      <c r="E593" s="24"/>
      <c r="F593" s="22"/>
      <c r="H593" s="21">
        <v>45902</v>
      </c>
      <c r="I593" s="22" t="s">
        <v>70</v>
      </c>
      <c r="J593" s="22" t="s">
        <v>46</v>
      </c>
      <c r="K593" s="24">
        <v>7</v>
      </c>
      <c r="M593" s="21">
        <v>45915</v>
      </c>
      <c r="N593" s="22" t="s">
        <v>71</v>
      </c>
      <c r="O593" s="22" t="s">
        <v>53</v>
      </c>
      <c r="P593" s="49">
        <v>67</v>
      </c>
      <c r="Q593" s="49">
        <v>66.400000000000006</v>
      </c>
      <c r="R593" s="50">
        <f t="shared" si="22"/>
        <v>0.59999999999999432</v>
      </c>
      <c r="T593" s="21">
        <v>45913</v>
      </c>
      <c r="U593" s="22" t="s">
        <v>42</v>
      </c>
      <c r="V593" s="24">
        <v>4</v>
      </c>
      <c r="W593" s="24">
        <v>5</v>
      </c>
      <c r="X593" s="24">
        <v>5</v>
      </c>
      <c r="Y593" s="24">
        <v>5</v>
      </c>
      <c r="Z593" s="20">
        <f t="shared" si="23"/>
        <v>19</v>
      </c>
    </row>
    <row r="594" spans="1:26" x14ac:dyDescent="0.2">
      <c r="A594" s="21"/>
      <c r="B594" s="51"/>
      <c r="C594" s="22"/>
      <c r="D594" s="22"/>
      <c r="E594" s="24"/>
      <c r="F594" s="22"/>
      <c r="H594" s="21">
        <v>45902</v>
      </c>
      <c r="I594" s="22" t="s">
        <v>70</v>
      </c>
      <c r="J594" s="22" t="s">
        <v>48</v>
      </c>
      <c r="K594" s="24">
        <v>7</v>
      </c>
      <c r="M594" s="21">
        <v>45915</v>
      </c>
      <c r="N594" s="22" t="s">
        <v>70</v>
      </c>
      <c r="O594" s="22" t="s">
        <v>54</v>
      </c>
      <c r="P594" s="49">
        <v>84.8</v>
      </c>
      <c r="Q594" s="49">
        <v>84.9</v>
      </c>
      <c r="R594" s="50">
        <f t="shared" si="22"/>
        <v>-0.10000000000000853</v>
      </c>
      <c r="T594" s="21">
        <v>45913</v>
      </c>
      <c r="U594" s="22" t="s">
        <v>44</v>
      </c>
      <c r="V594" s="24">
        <v>5</v>
      </c>
      <c r="W594" s="24">
        <v>5</v>
      </c>
      <c r="X594" s="24">
        <v>5</v>
      </c>
      <c r="Y594" s="24">
        <v>5</v>
      </c>
      <c r="Z594" s="20">
        <f t="shared" si="23"/>
        <v>20</v>
      </c>
    </row>
    <row r="595" spans="1:26" x14ac:dyDescent="0.2">
      <c r="A595" s="21"/>
      <c r="B595" s="51"/>
      <c r="C595" s="22"/>
      <c r="D595" s="22"/>
      <c r="E595" s="24"/>
      <c r="F595" s="22"/>
      <c r="H595" s="21">
        <v>45902</v>
      </c>
      <c r="I595" s="22" t="s">
        <v>70</v>
      </c>
      <c r="J595" s="22" t="s">
        <v>56</v>
      </c>
      <c r="K595" s="24">
        <v>8</v>
      </c>
      <c r="M595" s="21">
        <v>45915</v>
      </c>
      <c r="N595" s="22" t="s">
        <v>71</v>
      </c>
      <c r="O595" s="22" t="s">
        <v>54</v>
      </c>
      <c r="P595" s="49">
        <v>85</v>
      </c>
      <c r="Q595" s="49">
        <v>85</v>
      </c>
      <c r="R595" s="50">
        <f t="shared" si="22"/>
        <v>0</v>
      </c>
      <c r="T595" s="21">
        <v>45913</v>
      </c>
      <c r="U595" s="22" t="s">
        <v>45</v>
      </c>
      <c r="V595" s="24">
        <v>5</v>
      </c>
      <c r="W595" s="24">
        <v>5</v>
      </c>
      <c r="X595" s="24">
        <v>4</v>
      </c>
      <c r="Y595" s="24">
        <v>5</v>
      </c>
      <c r="Z595" s="20">
        <f t="shared" si="23"/>
        <v>19</v>
      </c>
    </row>
    <row r="596" spans="1:26" x14ac:dyDescent="0.2">
      <c r="A596" s="21"/>
      <c r="B596" s="51"/>
      <c r="C596" s="22"/>
      <c r="D596" s="22"/>
      <c r="E596" s="24"/>
      <c r="F596" s="22"/>
      <c r="H596" s="21">
        <v>45903</v>
      </c>
      <c r="I596" s="22" t="s">
        <v>70</v>
      </c>
      <c r="J596" s="22" t="s">
        <v>52</v>
      </c>
      <c r="K596" s="24" t="s">
        <v>61</v>
      </c>
      <c r="M596" s="21">
        <v>45915</v>
      </c>
      <c r="N596" s="22" t="s">
        <v>70</v>
      </c>
      <c r="O596" s="22" t="s">
        <v>56</v>
      </c>
      <c r="P596" s="49">
        <v>74.5</v>
      </c>
      <c r="Q596" s="49">
        <v>74.5</v>
      </c>
      <c r="R596" s="50">
        <f t="shared" si="22"/>
        <v>0</v>
      </c>
      <c r="T596" s="21">
        <v>45913</v>
      </c>
      <c r="U596" s="22" t="s">
        <v>46</v>
      </c>
      <c r="V596" s="24">
        <v>5</v>
      </c>
      <c r="W596" s="24">
        <v>5</v>
      </c>
      <c r="X596" s="24">
        <v>5</v>
      </c>
      <c r="Y596" s="24">
        <v>5</v>
      </c>
      <c r="Z596" s="20">
        <f t="shared" si="23"/>
        <v>20</v>
      </c>
    </row>
    <row r="597" spans="1:26" x14ac:dyDescent="0.2">
      <c r="A597" s="21"/>
      <c r="B597" s="51"/>
      <c r="C597" s="22"/>
      <c r="D597" s="22"/>
      <c r="E597" s="24"/>
      <c r="F597" s="22"/>
      <c r="H597" s="21">
        <v>45903</v>
      </c>
      <c r="I597" s="22" t="s">
        <v>70</v>
      </c>
      <c r="J597" s="22" t="s">
        <v>53</v>
      </c>
      <c r="K597" s="24">
        <v>7</v>
      </c>
      <c r="M597" s="21">
        <v>45915</v>
      </c>
      <c r="N597" s="22" t="s">
        <v>71</v>
      </c>
      <c r="O597" s="22" t="s">
        <v>56</v>
      </c>
      <c r="P597" s="49">
        <v>74.2</v>
      </c>
      <c r="Q597" s="49">
        <v>74.3</v>
      </c>
      <c r="R597" s="50">
        <f t="shared" si="22"/>
        <v>-9.9999999999994316E-2</v>
      </c>
      <c r="T597" s="21">
        <v>45913</v>
      </c>
      <c r="U597" s="22" t="s">
        <v>47</v>
      </c>
      <c r="V597" s="24">
        <v>5</v>
      </c>
      <c r="W597" s="24">
        <v>5</v>
      </c>
      <c r="X597" s="24">
        <v>4</v>
      </c>
      <c r="Y597" s="24">
        <v>5</v>
      </c>
      <c r="Z597" s="20">
        <f t="shared" si="23"/>
        <v>19</v>
      </c>
    </row>
    <row r="598" spans="1:26" x14ac:dyDescent="0.2">
      <c r="A598" s="21"/>
      <c r="B598" s="51"/>
      <c r="C598" s="22"/>
      <c r="D598" s="22"/>
      <c r="E598" s="24"/>
      <c r="F598" s="22"/>
      <c r="H598" s="21">
        <v>45903</v>
      </c>
      <c r="I598" s="22" t="s">
        <v>70</v>
      </c>
      <c r="J598" s="22" t="s">
        <v>44</v>
      </c>
      <c r="K598" s="24">
        <v>7</v>
      </c>
      <c r="M598" s="21">
        <v>45915</v>
      </c>
      <c r="N598" s="22" t="s">
        <v>70</v>
      </c>
      <c r="O598" s="22" t="s">
        <v>57</v>
      </c>
      <c r="P598" s="49">
        <v>92.1</v>
      </c>
      <c r="Q598" s="49">
        <v>92.1</v>
      </c>
      <c r="R598" s="50">
        <f t="shared" si="22"/>
        <v>0</v>
      </c>
      <c r="T598" s="21">
        <v>45913</v>
      </c>
      <c r="U598" s="22" t="s">
        <v>48</v>
      </c>
      <c r="V598" s="24">
        <v>5</v>
      </c>
      <c r="W598" s="24">
        <v>5</v>
      </c>
      <c r="X598" s="24">
        <v>5</v>
      </c>
      <c r="Y598" s="24">
        <v>5</v>
      </c>
      <c r="Z598" s="20">
        <f t="shared" si="23"/>
        <v>20</v>
      </c>
    </row>
    <row r="599" spans="1:26" x14ac:dyDescent="0.2">
      <c r="A599" s="21"/>
      <c r="B599" s="51"/>
      <c r="C599" s="22"/>
      <c r="D599" s="22"/>
      <c r="E599" s="24"/>
      <c r="F599" s="22"/>
      <c r="H599" s="21">
        <v>45903</v>
      </c>
      <c r="I599" s="22" t="s">
        <v>70</v>
      </c>
      <c r="J599" s="22" t="s">
        <v>45</v>
      </c>
      <c r="K599" s="24">
        <v>8</v>
      </c>
      <c r="M599" s="21">
        <v>45915</v>
      </c>
      <c r="N599" s="22" t="s">
        <v>71</v>
      </c>
      <c r="O599" s="22" t="s">
        <v>57</v>
      </c>
      <c r="P599" s="49">
        <v>92.4</v>
      </c>
      <c r="Q599" s="49">
        <v>92</v>
      </c>
      <c r="R599" s="50">
        <f t="shared" si="22"/>
        <v>0.40000000000000568</v>
      </c>
      <c r="T599" s="21">
        <v>45913</v>
      </c>
      <c r="U599" s="22" t="s">
        <v>49</v>
      </c>
      <c r="V599" s="24">
        <v>5</v>
      </c>
      <c r="W599" s="24">
        <v>4</v>
      </c>
      <c r="X599" s="24">
        <v>4</v>
      </c>
      <c r="Y599" s="24">
        <v>5</v>
      </c>
      <c r="Z599" s="20">
        <f t="shared" si="23"/>
        <v>18</v>
      </c>
    </row>
    <row r="600" spans="1:26" x14ac:dyDescent="0.2">
      <c r="A600" s="21"/>
      <c r="B600" s="51"/>
      <c r="C600" s="22"/>
      <c r="D600" s="22"/>
      <c r="E600" s="24"/>
      <c r="F600" s="22"/>
      <c r="H600" s="21">
        <v>45903</v>
      </c>
      <c r="I600" s="22" t="s">
        <v>70</v>
      </c>
      <c r="J600" s="22" t="s">
        <v>57</v>
      </c>
      <c r="K600" s="24">
        <v>8</v>
      </c>
      <c r="M600" s="21">
        <v>45916</v>
      </c>
      <c r="N600" s="22" t="s">
        <v>70</v>
      </c>
      <c r="O600" s="22" t="s">
        <v>41</v>
      </c>
      <c r="P600" s="49">
        <v>76.7</v>
      </c>
      <c r="Q600" s="49">
        <v>76</v>
      </c>
      <c r="R600" s="50">
        <f t="shared" si="22"/>
        <v>0.70000000000000284</v>
      </c>
      <c r="T600" s="21">
        <v>45913</v>
      </c>
      <c r="U600" s="22" t="s">
        <v>50</v>
      </c>
      <c r="V600" s="24">
        <v>4</v>
      </c>
      <c r="W600" s="24">
        <v>4</v>
      </c>
      <c r="X600" s="24">
        <v>4</v>
      </c>
      <c r="Y600" s="24">
        <v>5</v>
      </c>
      <c r="Z600" s="20">
        <f t="shared" si="23"/>
        <v>17</v>
      </c>
    </row>
    <row r="601" spans="1:26" x14ac:dyDescent="0.2">
      <c r="A601" s="21"/>
      <c r="B601" s="51"/>
      <c r="C601" s="22"/>
      <c r="D601" s="22"/>
      <c r="E601" s="24"/>
      <c r="F601" s="22"/>
      <c r="H601" s="21">
        <v>45903</v>
      </c>
      <c r="I601" s="22" t="s">
        <v>70</v>
      </c>
      <c r="J601" s="22" t="s">
        <v>42</v>
      </c>
      <c r="K601" s="24">
        <v>6</v>
      </c>
      <c r="M601" s="21">
        <v>45916</v>
      </c>
      <c r="N601" s="22" t="s">
        <v>70</v>
      </c>
      <c r="O601" s="22" t="s">
        <v>42</v>
      </c>
      <c r="P601" s="49">
        <v>79.7</v>
      </c>
      <c r="Q601" s="49">
        <v>79.400000000000006</v>
      </c>
      <c r="R601" s="50">
        <f t="shared" si="22"/>
        <v>0.29999999999999716</v>
      </c>
      <c r="T601" s="21">
        <v>45913</v>
      </c>
      <c r="U601" s="22" t="s">
        <v>51</v>
      </c>
      <c r="V601" s="24">
        <v>5</v>
      </c>
      <c r="W601" s="24">
        <v>5</v>
      </c>
      <c r="X601" s="24">
        <v>5</v>
      </c>
      <c r="Y601" s="24">
        <v>5</v>
      </c>
      <c r="Z601" s="20">
        <f t="shared" si="23"/>
        <v>20</v>
      </c>
    </row>
    <row r="602" spans="1:26" x14ac:dyDescent="0.2">
      <c r="A602" s="21"/>
      <c r="B602" s="51"/>
      <c r="C602" s="22"/>
      <c r="D602" s="22"/>
      <c r="E602" s="24"/>
      <c r="F602" s="22"/>
      <c r="H602" s="21">
        <v>45903</v>
      </c>
      <c r="I602" s="22" t="s">
        <v>70</v>
      </c>
      <c r="J602" s="22" t="s">
        <v>54</v>
      </c>
      <c r="K602" s="24">
        <v>8</v>
      </c>
      <c r="M602" s="21">
        <v>45916</v>
      </c>
      <c r="N602" s="22" t="s">
        <v>70</v>
      </c>
      <c r="O602" s="22" t="s">
        <v>44</v>
      </c>
      <c r="P602" s="49">
        <v>68.3</v>
      </c>
      <c r="Q602" s="49">
        <v>68.099999999999994</v>
      </c>
      <c r="R602" s="50">
        <f t="shared" si="22"/>
        <v>0.20000000000000284</v>
      </c>
      <c r="T602" s="21">
        <v>45913</v>
      </c>
      <c r="U602" s="22" t="s">
        <v>52</v>
      </c>
      <c r="V602" s="24">
        <v>4</v>
      </c>
      <c r="W602" s="24">
        <v>5</v>
      </c>
      <c r="X602" s="24">
        <v>3</v>
      </c>
      <c r="Y602" s="24">
        <v>5</v>
      </c>
      <c r="Z602" s="20">
        <f t="shared" si="23"/>
        <v>17</v>
      </c>
    </row>
    <row r="603" spans="1:26" x14ac:dyDescent="0.2">
      <c r="A603" s="21"/>
      <c r="B603" s="51"/>
      <c r="C603" s="22"/>
      <c r="D603" s="22"/>
      <c r="E603" s="24"/>
      <c r="F603" s="22"/>
      <c r="H603" s="21">
        <v>45903</v>
      </c>
      <c r="I603" s="22" t="s">
        <v>70</v>
      </c>
      <c r="J603" s="22" t="s">
        <v>47</v>
      </c>
      <c r="K603" s="24">
        <v>8</v>
      </c>
      <c r="M603" s="21">
        <v>45916</v>
      </c>
      <c r="N603" s="22" t="s">
        <v>70</v>
      </c>
      <c r="O603" s="22" t="s">
        <v>45</v>
      </c>
      <c r="P603" s="49">
        <v>68.3</v>
      </c>
      <c r="Q603" s="49">
        <v>68</v>
      </c>
      <c r="R603" s="50">
        <f t="shared" si="22"/>
        <v>0.29999999999999716</v>
      </c>
      <c r="T603" s="21">
        <v>45913</v>
      </c>
      <c r="U603" s="22" t="s">
        <v>53</v>
      </c>
      <c r="V603" s="24">
        <v>4</v>
      </c>
      <c r="W603" s="24">
        <v>4</v>
      </c>
      <c r="X603" s="24">
        <v>5</v>
      </c>
      <c r="Y603" s="24">
        <v>5</v>
      </c>
      <c r="Z603" s="20">
        <f t="shared" si="23"/>
        <v>18</v>
      </c>
    </row>
    <row r="604" spans="1:26" x14ac:dyDescent="0.2">
      <c r="A604" s="21"/>
      <c r="B604" s="51"/>
      <c r="C604" s="22"/>
      <c r="D604" s="22"/>
      <c r="E604" s="24"/>
      <c r="F604" s="22"/>
      <c r="H604" s="21">
        <v>45903</v>
      </c>
      <c r="I604" s="22" t="s">
        <v>70</v>
      </c>
      <c r="J604" s="22" t="s">
        <v>41</v>
      </c>
      <c r="K604" s="24">
        <v>7</v>
      </c>
      <c r="M604" s="21">
        <v>45916</v>
      </c>
      <c r="N604" s="22" t="s">
        <v>70</v>
      </c>
      <c r="O604" s="22" t="s">
        <v>47</v>
      </c>
      <c r="P604" s="49">
        <v>71</v>
      </c>
      <c r="Q604" s="49">
        <v>70.599999999999994</v>
      </c>
      <c r="R604" s="50">
        <f t="shared" si="22"/>
        <v>0.40000000000000568</v>
      </c>
      <c r="T604" s="21">
        <v>45913</v>
      </c>
      <c r="U604" s="22" t="s">
        <v>56</v>
      </c>
      <c r="V604" s="24">
        <v>5</v>
      </c>
      <c r="W604" s="24">
        <v>4</v>
      </c>
      <c r="X604" s="24">
        <v>5</v>
      </c>
      <c r="Y604" s="24">
        <v>5</v>
      </c>
      <c r="Z604" s="20">
        <f t="shared" si="23"/>
        <v>19</v>
      </c>
    </row>
    <row r="605" spans="1:26" x14ac:dyDescent="0.2">
      <c r="A605" s="21"/>
      <c r="B605" s="51"/>
      <c r="C605" s="22"/>
      <c r="D605" s="22"/>
      <c r="E605" s="24"/>
      <c r="F605" s="22"/>
      <c r="H605" s="21">
        <v>45903</v>
      </c>
      <c r="I605" s="22" t="s">
        <v>70</v>
      </c>
      <c r="J605" s="22" t="s">
        <v>49</v>
      </c>
      <c r="K605" s="24">
        <v>8</v>
      </c>
      <c r="M605" s="21">
        <v>45916</v>
      </c>
      <c r="N605" s="22" t="s">
        <v>70</v>
      </c>
      <c r="O605" s="22" t="s">
        <v>48</v>
      </c>
      <c r="P605" s="49">
        <v>82.6</v>
      </c>
      <c r="Q605" s="49">
        <v>81.400000000000006</v>
      </c>
      <c r="R605" s="50">
        <f t="shared" si="22"/>
        <v>1.1999999999999886</v>
      </c>
      <c r="T605" s="21">
        <v>45913</v>
      </c>
      <c r="U605" s="22" t="s">
        <v>58</v>
      </c>
      <c r="V605" s="24">
        <v>4</v>
      </c>
      <c r="W605" s="24">
        <v>5</v>
      </c>
      <c r="X605" s="24">
        <v>4</v>
      </c>
      <c r="Y605" s="24">
        <v>5</v>
      </c>
      <c r="Z605" s="20">
        <f t="shared" si="23"/>
        <v>18</v>
      </c>
    </row>
    <row r="606" spans="1:26" x14ac:dyDescent="0.2">
      <c r="A606" s="21"/>
      <c r="B606" s="51"/>
      <c r="C606" s="22"/>
      <c r="D606" s="22"/>
      <c r="E606" s="24"/>
      <c r="F606" s="22"/>
      <c r="H606" s="21">
        <v>45903</v>
      </c>
      <c r="I606" s="22" t="s">
        <v>70</v>
      </c>
      <c r="J606" s="22" t="s">
        <v>50</v>
      </c>
      <c r="K606" s="24">
        <v>8</v>
      </c>
      <c r="M606" s="21">
        <v>45916</v>
      </c>
      <c r="N606" s="22" t="s">
        <v>70</v>
      </c>
      <c r="O606" s="22" t="s">
        <v>51</v>
      </c>
      <c r="P606" s="49">
        <v>74.8</v>
      </c>
      <c r="Q606" s="49">
        <v>74.400000000000006</v>
      </c>
      <c r="R606" s="50">
        <f t="shared" si="22"/>
        <v>0.39999999999999147</v>
      </c>
      <c r="T606" s="21">
        <v>45913</v>
      </c>
      <c r="U606" s="22" t="s">
        <v>33</v>
      </c>
      <c r="V606" s="24">
        <v>4.3571428571428603</v>
      </c>
      <c r="W606" s="24">
        <v>4.5</v>
      </c>
      <c r="X606" s="24">
        <v>4.21428571428571</v>
      </c>
      <c r="Y606" s="24">
        <v>4.78571428571429</v>
      </c>
      <c r="Z606" s="20">
        <f t="shared" si="23"/>
        <v>17.857142857142861</v>
      </c>
    </row>
    <row r="607" spans="1:26" x14ac:dyDescent="0.2">
      <c r="A607" s="21"/>
      <c r="B607" s="51"/>
      <c r="C607" s="22"/>
      <c r="D607" s="22"/>
      <c r="E607" s="24"/>
      <c r="F607" s="22"/>
      <c r="H607" s="21">
        <v>45903</v>
      </c>
      <c r="I607" s="22" t="s">
        <v>70</v>
      </c>
      <c r="J607" s="22" t="s">
        <v>51</v>
      </c>
      <c r="K607" s="24">
        <v>8</v>
      </c>
      <c r="M607" s="21">
        <v>45916</v>
      </c>
      <c r="N607" s="22" t="s">
        <v>70</v>
      </c>
      <c r="O607" s="22" t="s">
        <v>52</v>
      </c>
      <c r="P607" s="49">
        <v>71.2</v>
      </c>
      <c r="Q607" s="49">
        <v>71.599999999999994</v>
      </c>
      <c r="R607" s="50">
        <f t="shared" si="22"/>
        <v>-0.39999999999999147</v>
      </c>
      <c r="T607" s="21">
        <v>45915</v>
      </c>
      <c r="U607" s="22" t="s">
        <v>41</v>
      </c>
      <c r="V607" s="24">
        <v>0</v>
      </c>
      <c r="W607" s="24">
        <v>1</v>
      </c>
      <c r="X607" s="24">
        <v>1</v>
      </c>
      <c r="Y607" s="24">
        <v>1</v>
      </c>
      <c r="Z607" s="20">
        <f t="shared" si="23"/>
        <v>3</v>
      </c>
    </row>
    <row r="608" spans="1:26" x14ac:dyDescent="0.2">
      <c r="A608" s="21"/>
      <c r="B608" s="51"/>
      <c r="C608" s="22"/>
      <c r="D608" s="22"/>
      <c r="E608" s="24"/>
      <c r="F608" s="22"/>
      <c r="H608" s="21">
        <v>45903</v>
      </c>
      <c r="I608" s="22" t="s">
        <v>70</v>
      </c>
      <c r="J608" s="22" t="s">
        <v>46</v>
      </c>
      <c r="K608" s="24">
        <v>7</v>
      </c>
      <c r="M608" s="21">
        <v>45916</v>
      </c>
      <c r="N608" s="22" t="s">
        <v>70</v>
      </c>
      <c r="O608" s="22" t="s">
        <v>53</v>
      </c>
      <c r="P608" s="49">
        <v>66.5</v>
      </c>
      <c r="Q608" s="49">
        <v>66.3</v>
      </c>
      <c r="R608" s="50">
        <f t="shared" si="22"/>
        <v>0.20000000000000284</v>
      </c>
      <c r="T608" s="21">
        <v>45915</v>
      </c>
      <c r="U608" s="22" t="s">
        <v>42</v>
      </c>
      <c r="V608" s="24">
        <v>4</v>
      </c>
      <c r="W608" s="24">
        <v>5</v>
      </c>
      <c r="X608" s="24">
        <v>5</v>
      </c>
      <c r="Y608" s="24">
        <v>5</v>
      </c>
      <c r="Z608" s="20">
        <f t="shared" si="23"/>
        <v>19</v>
      </c>
    </row>
    <row r="609" spans="1:26" x14ac:dyDescent="0.2">
      <c r="A609" s="21"/>
      <c r="B609" s="51"/>
      <c r="C609" s="22"/>
      <c r="D609" s="22"/>
      <c r="E609" s="24"/>
      <c r="F609" s="22"/>
      <c r="H609" s="21">
        <v>45903</v>
      </c>
      <c r="I609" s="22" t="s">
        <v>70</v>
      </c>
      <c r="J609" s="22" t="s">
        <v>48</v>
      </c>
      <c r="K609" s="24">
        <v>8</v>
      </c>
      <c r="M609" s="21">
        <v>45916</v>
      </c>
      <c r="N609" s="22" t="s">
        <v>70</v>
      </c>
      <c r="O609" s="22" t="s">
        <v>54</v>
      </c>
      <c r="P609" s="49">
        <v>84.9</v>
      </c>
      <c r="Q609" s="49">
        <v>85.7</v>
      </c>
      <c r="R609" s="50">
        <f t="shared" si="22"/>
        <v>-0.79999999999999716</v>
      </c>
      <c r="T609" s="21">
        <v>45915</v>
      </c>
      <c r="U609" s="22" t="s">
        <v>44</v>
      </c>
      <c r="V609" s="24">
        <v>5</v>
      </c>
      <c r="W609" s="24">
        <v>4</v>
      </c>
      <c r="X609" s="24">
        <v>4</v>
      </c>
      <c r="Y609" s="24">
        <v>5</v>
      </c>
      <c r="Z609" s="20">
        <f t="shared" si="23"/>
        <v>18</v>
      </c>
    </row>
    <row r="610" spans="1:26" x14ac:dyDescent="0.2">
      <c r="A610" s="21"/>
      <c r="B610" s="51"/>
      <c r="C610" s="22"/>
      <c r="D610" s="22"/>
      <c r="E610" s="24"/>
      <c r="F610" s="22"/>
      <c r="H610" s="21">
        <v>45903</v>
      </c>
      <c r="I610" s="22" t="s">
        <v>70</v>
      </c>
      <c r="J610" s="22" t="s">
        <v>56</v>
      </c>
      <c r="K610" s="24">
        <v>7</v>
      </c>
      <c r="M610" s="21">
        <v>45916</v>
      </c>
      <c r="N610" s="22" t="s">
        <v>70</v>
      </c>
      <c r="O610" s="22" t="s">
        <v>55</v>
      </c>
      <c r="P610" s="49">
        <v>74.599999999999994</v>
      </c>
      <c r="Q610" s="49">
        <v>74.3</v>
      </c>
      <c r="R610" s="50">
        <f t="shared" si="22"/>
        <v>0.29999999999999716</v>
      </c>
      <c r="T610" s="21">
        <v>45915</v>
      </c>
      <c r="U610" s="22" t="s">
        <v>45</v>
      </c>
      <c r="V610" s="24">
        <v>4</v>
      </c>
      <c r="W610" s="24">
        <v>4</v>
      </c>
      <c r="X610" s="24">
        <v>4</v>
      </c>
      <c r="Y610" s="24">
        <v>4</v>
      </c>
      <c r="Z610" s="20">
        <f t="shared" si="23"/>
        <v>16</v>
      </c>
    </row>
    <row r="611" spans="1:26" x14ac:dyDescent="0.2">
      <c r="A611" s="21"/>
      <c r="B611" s="51"/>
      <c r="C611" s="22"/>
      <c r="D611" s="22"/>
      <c r="E611" s="24"/>
      <c r="F611" s="22"/>
      <c r="H611" s="21">
        <v>45904</v>
      </c>
      <c r="I611" s="22" t="s">
        <v>70</v>
      </c>
      <c r="J611" s="22" t="s">
        <v>52</v>
      </c>
      <c r="K611" s="24" t="s">
        <v>61</v>
      </c>
      <c r="M611" s="21">
        <v>45916</v>
      </c>
      <c r="N611" s="22" t="s">
        <v>70</v>
      </c>
      <c r="O611" s="22" t="s">
        <v>56</v>
      </c>
      <c r="P611" s="49">
        <v>75.2</v>
      </c>
      <c r="Q611" s="49">
        <v>75.2</v>
      </c>
      <c r="R611" s="50">
        <f t="shared" si="22"/>
        <v>0</v>
      </c>
      <c r="T611" s="21">
        <v>45915</v>
      </c>
      <c r="U611" s="22" t="s">
        <v>47</v>
      </c>
      <c r="V611" s="24">
        <v>3</v>
      </c>
      <c r="W611" s="24">
        <v>4</v>
      </c>
      <c r="X611" s="24">
        <v>4</v>
      </c>
      <c r="Y611" s="24">
        <v>5</v>
      </c>
      <c r="Z611" s="20">
        <f t="shared" si="23"/>
        <v>16</v>
      </c>
    </row>
    <row r="612" spans="1:26" x14ac:dyDescent="0.2">
      <c r="A612" s="21"/>
      <c r="B612" s="51"/>
      <c r="C612" s="22"/>
      <c r="D612" s="22"/>
      <c r="E612" s="24"/>
      <c r="F612" s="22"/>
      <c r="H612" s="21">
        <v>45904</v>
      </c>
      <c r="I612" s="22" t="s">
        <v>70</v>
      </c>
      <c r="J612" s="22" t="s">
        <v>53</v>
      </c>
      <c r="K612" s="24">
        <v>7</v>
      </c>
      <c r="M612" s="21">
        <v>45916</v>
      </c>
      <c r="N612" s="22" t="s">
        <v>70</v>
      </c>
      <c r="O612" s="22" t="s">
        <v>57</v>
      </c>
      <c r="P612" s="49">
        <v>92.3</v>
      </c>
      <c r="Q612" s="49">
        <v>91.7</v>
      </c>
      <c r="R612" s="50">
        <f t="shared" si="22"/>
        <v>0.59999999999999432</v>
      </c>
      <c r="T612" s="21">
        <v>45915</v>
      </c>
      <c r="U612" s="22" t="s">
        <v>48</v>
      </c>
      <c r="V612" s="24">
        <v>5</v>
      </c>
      <c r="W612" s="24">
        <v>3</v>
      </c>
      <c r="X612" s="24">
        <v>4</v>
      </c>
      <c r="Y612" s="24">
        <v>5</v>
      </c>
      <c r="Z612" s="20">
        <f t="shared" si="23"/>
        <v>17</v>
      </c>
    </row>
    <row r="613" spans="1:26" x14ac:dyDescent="0.2">
      <c r="A613" s="21"/>
      <c r="B613" s="51"/>
      <c r="C613" s="22"/>
      <c r="D613" s="22"/>
      <c r="E613" s="24"/>
      <c r="F613" s="22"/>
      <c r="H613" s="21">
        <v>45904</v>
      </c>
      <c r="I613" s="22" t="s">
        <v>70</v>
      </c>
      <c r="J613" s="22" t="s">
        <v>44</v>
      </c>
      <c r="K613" s="24">
        <v>7</v>
      </c>
      <c r="M613" s="21">
        <v>45917</v>
      </c>
      <c r="N613" s="22" t="s">
        <v>70</v>
      </c>
      <c r="O613" s="22" t="s">
        <v>41</v>
      </c>
      <c r="P613" s="49">
        <v>76.8</v>
      </c>
      <c r="Q613" s="49">
        <v>76.5</v>
      </c>
      <c r="R613" s="50">
        <f t="shared" si="22"/>
        <v>0.29999999999999716</v>
      </c>
      <c r="T613" s="21">
        <v>45915</v>
      </c>
      <c r="U613" s="22" t="s">
        <v>51</v>
      </c>
      <c r="V613" s="24">
        <v>4</v>
      </c>
      <c r="W613" s="24">
        <v>3</v>
      </c>
      <c r="X613" s="24">
        <v>3</v>
      </c>
      <c r="Y613" s="24">
        <v>4</v>
      </c>
      <c r="Z613" s="20">
        <f t="shared" si="23"/>
        <v>14</v>
      </c>
    </row>
    <row r="614" spans="1:26" x14ac:dyDescent="0.2">
      <c r="A614" s="21"/>
      <c r="B614" s="51"/>
      <c r="C614" s="22"/>
      <c r="D614" s="22"/>
      <c r="E614" s="24"/>
      <c r="F614" s="22"/>
      <c r="H614" s="21">
        <v>45904</v>
      </c>
      <c r="I614" s="22" t="s">
        <v>70</v>
      </c>
      <c r="J614" s="22" t="s">
        <v>45</v>
      </c>
      <c r="K614" s="24">
        <v>8</v>
      </c>
      <c r="M614" s="21">
        <v>45917</v>
      </c>
      <c r="N614" s="22" t="s">
        <v>71</v>
      </c>
      <c r="O614" s="22" t="s">
        <v>41</v>
      </c>
      <c r="P614" s="49">
        <v>77</v>
      </c>
      <c r="Q614" s="49">
        <v>77</v>
      </c>
      <c r="R614" s="50">
        <f t="shared" si="22"/>
        <v>0</v>
      </c>
      <c r="T614" s="21">
        <v>45915</v>
      </c>
      <c r="U614" s="22" t="s">
        <v>52</v>
      </c>
      <c r="V614" s="24">
        <v>4</v>
      </c>
      <c r="W614" s="24">
        <v>4</v>
      </c>
      <c r="X614" s="24">
        <v>3</v>
      </c>
      <c r="Y614" s="24">
        <v>3</v>
      </c>
      <c r="Z614" s="20">
        <f t="shared" si="23"/>
        <v>14</v>
      </c>
    </row>
    <row r="615" spans="1:26" x14ac:dyDescent="0.2">
      <c r="A615" s="21"/>
      <c r="B615" s="51"/>
      <c r="C615" s="22"/>
      <c r="D615" s="22"/>
      <c r="E615" s="24"/>
      <c r="F615" s="22"/>
      <c r="H615" s="21">
        <v>45904</v>
      </c>
      <c r="I615" s="22" t="s">
        <v>70</v>
      </c>
      <c r="J615" s="22" t="s">
        <v>57</v>
      </c>
      <c r="K615" s="24">
        <v>8</v>
      </c>
      <c r="M615" s="21">
        <v>45917</v>
      </c>
      <c r="N615" s="22" t="s">
        <v>70</v>
      </c>
      <c r="O615" s="22" t="s">
        <v>42</v>
      </c>
      <c r="P615" s="49">
        <v>79.5</v>
      </c>
      <c r="Q615" s="49">
        <v>79.400000000000006</v>
      </c>
      <c r="R615" s="50">
        <f t="shared" si="22"/>
        <v>9.9999999999994316E-2</v>
      </c>
      <c r="T615" s="21">
        <v>45915</v>
      </c>
      <c r="U615" s="22" t="s">
        <v>53</v>
      </c>
      <c r="V615" s="24">
        <v>4</v>
      </c>
      <c r="W615" s="24">
        <v>4</v>
      </c>
      <c r="X615" s="24">
        <v>4</v>
      </c>
      <c r="Y615" s="24">
        <v>3</v>
      </c>
      <c r="Z615" s="20">
        <f t="shared" si="23"/>
        <v>15</v>
      </c>
    </row>
    <row r="616" spans="1:26" x14ac:dyDescent="0.2">
      <c r="A616" s="21"/>
      <c r="B616" s="51"/>
      <c r="C616" s="22"/>
      <c r="D616" s="22"/>
      <c r="E616" s="24"/>
      <c r="F616" s="22"/>
      <c r="H616" s="21">
        <v>45904</v>
      </c>
      <c r="I616" s="22" t="s">
        <v>70</v>
      </c>
      <c r="J616" s="22" t="s">
        <v>42</v>
      </c>
      <c r="K616" s="24">
        <v>6</v>
      </c>
      <c r="M616" s="21">
        <v>45917</v>
      </c>
      <c r="N616" s="22" t="s">
        <v>71</v>
      </c>
      <c r="O616" s="22" t="s">
        <v>42</v>
      </c>
      <c r="P616" s="49">
        <v>79.5</v>
      </c>
      <c r="Q616" s="49">
        <v>78.900000000000006</v>
      </c>
      <c r="R616" s="50">
        <f t="shared" si="22"/>
        <v>0.59999999999999432</v>
      </c>
      <c r="T616" s="21">
        <v>45915</v>
      </c>
      <c r="U616" s="22" t="s">
        <v>54</v>
      </c>
      <c r="V616" s="24">
        <v>3</v>
      </c>
      <c r="W616" s="24">
        <v>3</v>
      </c>
      <c r="X616" s="24">
        <v>3</v>
      </c>
      <c r="Y616" s="24">
        <v>3</v>
      </c>
      <c r="Z616" s="20">
        <f t="shared" si="23"/>
        <v>12</v>
      </c>
    </row>
    <row r="617" spans="1:26" x14ac:dyDescent="0.2">
      <c r="A617" s="21"/>
      <c r="B617" s="51"/>
      <c r="C617" s="22"/>
      <c r="D617" s="22"/>
      <c r="E617" s="24"/>
      <c r="F617" s="22"/>
      <c r="H617" s="21">
        <v>45904</v>
      </c>
      <c r="I617" s="22" t="s">
        <v>70</v>
      </c>
      <c r="J617" s="22" t="s">
        <v>54</v>
      </c>
      <c r="K617" s="24">
        <v>8</v>
      </c>
      <c r="M617" s="21">
        <v>45917</v>
      </c>
      <c r="N617" s="22" t="s">
        <v>70</v>
      </c>
      <c r="O617" s="22" t="s">
        <v>44</v>
      </c>
      <c r="P617" s="49">
        <v>67.5</v>
      </c>
      <c r="Q617" s="49">
        <v>67.400000000000006</v>
      </c>
      <c r="R617" s="50">
        <f t="shared" si="22"/>
        <v>9.9999999999994316E-2</v>
      </c>
      <c r="T617" s="21">
        <v>45915</v>
      </c>
      <c r="U617" s="22" t="s">
        <v>56</v>
      </c>
      <c r="V617" s="24">
        <v>4</v>
      </c>
      <c r="W617" s="24">
        <v>4</v>
      </c>
      <c r="X617" s="24">
        <v>4</v>
      </c>
      <c r="Y617" s="24">
        <v>5</v>
      </c>
      <c r="Z617" s="20">
        <f t="shared" si="23"/>
        <v>17</v>
      </c>
    </row>
    <row r="618" spans="1:26" x14ac:dyDescent="0.2">
      <c r="A618" s="21"/>
      <c r="B618" s="51"/>
      <c r="C618" s="22"/>
      <c r="D618" s="22"/>
      <c r="E618" s="24"/>
      <c r="F618" s="22"/>
      <c r="H618" s="21">
        <v>45904</v>
      </c>
      <c r="I618" s="22" t="s">
        <v>70</v>
      </c>
      <c r="J618" s="22" t="s">
        <v>47</v>
      </c>
      <c r="K618" s="24">
        <v>8</v>
      </c>
      <c r="M618" s="21">
        <v>45917</v>
      </c>
      <c r="N618" s="22" t="s">
        <v>71</v>
      </c>
      <c r="O618" s="22" t="s">
        <v>44</v>
      </c>
      <c r="P618" s="49">
        <v>67.099999999999994</v>
      </c>
      <c r="Q618" s="49">
        <v>66.599999999999994</v>
      </c>
      <c r="R618" s="50">
        <f t="shared" si="22"/>
        <v>0.5</v>
      </c>
      <c r="T618" s="21">
        <v>45915</v>
      </c>
      <c r="U618" s="22" t="s">
        <v>57</v>
      </c>
      <c r="V618" s="24">
        <v>4</v>
      </c>
      <c r="W618" s="24">
        <v>4</v>
      </c>
      <c r="X618" s="24">
        <v>4</v>
      </c>
      <c r="Y618" s="24">
        <v>5</v>
      </c>
      <c r="Z618" s="20">
        <f t="shared" si="23"/>
        <v>17</v>
      </c>
    </row>
    <row r="619" spans="1:26" x14ac:dyDescent="0.2">
      <c r="A619" s="21"/>
      <c r="B619" s="51"/>
      <c r="C619" s="22"/>
      <c r="D619" s="22"/>
      <c r="E619" s="24"/>
      <c r="F619" s="22"/>
      <c r="H619" s="21">
        <v>45904</v>
      </c>
      <c r="I619" s="22" t="s">
        <v>70</v>
      </c>
      <c r="J619" s="22" t="s">
        <v>41</v>
      </c>
      <c r="K619" s="24">
        <v>7</v>
      </c>
      <c r="M619" s="21">
        <v>45917</v>
      </c>
      <c r="N619" s="22" t="s">
        <v>70</v>
      </c>
      <c r="O619" s="22" t="s">
        <v>45</v>
      </c>
      <c r="P619" s="49">
        <v>68.599999999999994</v>
      </c>
      <c r="Q619" s="49">
        <v>68.7</v>
      </c>
      <c r="R619" s="50">
        <f t="shared" si="22"/>
        <v>-0.10000000000000853</v>
      </c>
      <c r="T619" s="21">
        <v>45915</v>
      </c>
      <c r="U619" s="22" t="s">
        <v>33</v>
      </c>
      <c r="V619" s="24">
        <v>4</v>
      </c>
      <c r="W619" s="24">
        <v>3.5833333333333299</v>
      </c>
      <c r="X619" s="24">
        <v>3.5833333333333299</v>
      </c>
      <c r="Y619" s="24">
        <v>4</v>
      </c>
      <c r="Z619" s="20">
        <f t="shared" si="23"/>
        <v>15.166666666666661</v>
      </c>
    </row>
    <row r="620" spans="1:26" x14ac:dyDescent="0.2">
      <c r="A620" s="21"/>
      <c r="B620" s="51"/>
      <c r="C620" s="22"/>
      <c r="D620" s="22"/>
      <c r="E620" s="24"/>
      <c r="F620" s="22"/>
      <c r="H620" s="21">
        <v>45904</v>
      </c>
      <c r="I620" s="22" t="s">
        <v>70</v>
      </c>
      <c r="J620" s="22" t="s">
        <v>49</v>
      </c>
      <c r="K620" s="24">
        <v>8</v>
      </c>
      <c r="M620" s="21">
        <v>45917</v>
      </c>
      <c r="N620" s="22" t="s">
        <v>71</v>
      </c>
      <c r="O620" s="22" t="s">
        <v>45</v>
      </c>
      <c r="P620" s="49">
        <v>68.7</v>
      </c>
      <c r="Q620" s="49">
        <v>68</v>
      </c>
      <c r="R620" s="50">
        <f t="shared" si="22"/>
        <v>0.70000000000000284</v>
      </c>
      <c r="T620" s="21">
        <v>45916</v>
      </c>
      <c r="U620" s="22" t="s">
        <v>41</v>
      </c>
      <c r="V620" s="24">
        <v>1</v>
      </c>
      <c r="W620" s="24">
        <v>2</v>
      </c>
      <c r="X620" s="24">
        <v>1</v>
      </c>
      <c r="Y620" s="24">
        <v>1</v>
      </c>
      <c r="Z620" s="20">
        <f t="shared" si="23"/>
        <v>5</v>
      </c>
    </row>
    <row r="621" spans="1:26" x14ac:dyDescent="0.2">
      <c r="A621" s="21"/>
      <c r="B621" s="51"/>
      <c r="C621" s="22"/>
      <c r="D621" s="22"/>
      <c r="E621" s="24"/>
      <c r="F621" s="22"/>
      <c r="H621" s="21">
        <v>45904</v>
      </c>
      <c r="I621" s="22" t="s">
        <v>70</v>
      </c>
      <c r="J621" s="22" t="s">
        <v>50</v>
      </c>
      <c r="K621" s="24">
        <v>8</v>
      </c>
      <c r="M621" s="21">
        <v>45917</v>
      </c>
      <c r="N621" s="22" t="s">
        <v>70</v>
      </c>
      <c r="O621" s="22" t="s">
        <v>47</v>
      </c>
      <c r="P621" s="49">
        <v>70.7</v>
      </c>
      <c r="Q621" s="49">
        <v>70.400000000000006</v>
      </c>
      <c r="R621" s="50">
        <f t="shared" si="22"/>
        <v>0.29999999999999716</v>
      </c>
      <c r="T621" s="21">
        <v>45916</v>
      </c>
      <c r="U621" s="22" t="s">
        <v>42</v>
      </c>
      <c r="V621" s="24">
        <v>4</v>
      </c>
      <c r="W621" s="24">
        <v>4</v>
      </c>
      <c r="X621" s="24">
        <v>5</v>
      </c>
      <c r="Y621" s="24">
        <v>5</v>
      </c>
      <c r="Z621" s="20">
        <f t="shared" si="23"/>
        <v>18</v>
      </c>
    </row>
    <row r="622" spans="1:26" x14ac:dyDescent="0.2">
      <c r="A622" s="21"/>
      <c r="B622" s="51"/>
      <c r="C622" s="22"/>
      <c r="D622" s="22"/>
      <c r="E622" s="24"/>
      <c r="F622" s="22"/>
      <c r="H622" s="21">
        <v>45904</v>
      </c>
      <c r="I622" s="22" t="s">
        <v>70</v>
      </c>
      <c r="J622" s="22" t="s">
        <v>51</v>
      </c>
      <c r="K622" s="24">
        <v>8</v>
      </c>
      <c r="M622" s="21">
        <v>45917</v>
      </c>
      <c r="N622" s="22" t="s">
        <v>71</v>
      </c>
      <c r="O622" s="22" t="s">
        <v>47</v>
      </c>
      <c r="P622" s="49">
        <v>70.599999999999994</v>
      </c>
      <c r="Q622" s="49">
        <v>70.5</v>
      </c>
      <c r="R622" s="50">
        <f t="shared" si="22"/>
        <v>9.9999999999994316E-2</v>
      </c>
      <c r="T622" s="21">
        <v>45916</v>
      </c>
      <c r="U622" s="22" t="s">
        <v>44</v>
      </c>
      <c r="V622" s="24">
        <v>5</v>
      </c>
      <c r="W622" s="24">
        <v>3</v>
      </c>
      <c r="X622" s="24">
        <v>3</v>
      </c>
      <c r="Y622" s="24">
        <v>5</v>
      </c>
      <c r="Z622" s="20">
        <f t="shared" si="23"/>
        <v>16</v>
      </c>
    </row>
    <row r="623" spans="1:26" x14ac:dyDescent="0.2">
      <c r="A623" s="21"/>
      <c r="B623" s="51"/>
      <c r="C623" s="22"/>
      <c r="D623" s="22"/>
      <c r="E623" s="24"/>
      <c r="F623" s="22"/>
      <c r="H623" s="21">
        <v>45904</v>
      </c>
      <c r="I623" s="22" t="s">
        <v>70</v>
      </c>
      <c r="J623" s="22" t="s">
        <v>46</v>
      </c>
      <c r="K623" s="24">
        <v>7</v>
      </c>
      <c r="M623" s="21">
        <v>45917</v>
      </c>
      <c r="N623" s="22" t="s">
        <v>70</v>
      </c>
      <c r="O623" s="22" t="s">
        <v>48</v>
      </c>
      <c r="P623" s="49">
        <v>82.1</v>
      </c>
      <c r="Q623" s="49">
        <v>81.8</v>
      </c>
      <c r="R623" s="50">
        <f t="shared" si="22"/>
        <v>0.29999999999999716</v>
      </c>
      <c r="T623" s="21">
        <v>45916</v>
      </c>
      <c r="U623" s="22" t="s">
        <v>45</v>
      </c>
      <c r="V623" s="24">
        <v>4</v>
      </c>
      <c r="W623" s="24">
        <v>3</v>
      </c>
      <c r="X623" s="24">
        <v>4</v>
      </c>
      <c r="Y623" s="24">
        <v>5</v>
      </c>
      <c r="Z623" s="20">
        <f t="shared" si="23"/>
        <v>16</v>
      </c>
    </row>
    <row r="624" spans="1:26" x14ac:dyDescent="0.2">
      <c r="A624" s="21"/>
      <c r="B624" s="51"/>
      <c r="C624" s="22"/>
      <c r="D624" s="22"/>
      <c r="E624" s="24"/>
      <c r="F624" s="22"/>
      <c r="H624" s="21">
        <v>45904</v>
      </c>
      <c r="I624" s="22" t="s">
        <v>70</v>
      </c>
      <c r="J624" s="22" t="s">
        <v>48</v>
      </c>
      <c r="K624" s="24">
        <v>8</v>
      </c>
      <c r="M624" s="21">
        <v>45917</v>
      </c>
      <c r="N624" s="22" t="s">
        <v>71</v>
      </c>
      <c r="O624" s="22" t="s">
        <v>48</v>
      </c>
      <c r="P624" s="49">
        <v>81.8</v>
      </c>
      <c r="Q624" s="49">
        <v>80.099999999999994</v>
      </c>
      <c r="R624" s="50">
        <f t="shared" si="22"/>
        <v>1.7000000000000028</v>
      </c>
      <c r="T624" s="21">
        <v>45916</v>
      </c>
      <c r="U624" s="22" t="s">
        <v>47</v>
      </c>
      <c r="V624" s="24">
        <v>3</v>
      </c>
      <c r="W624" s="24">
        <v>4</v>
      </c>
      <c r="X624" s="24">
        <v>4</v>
      </c>
      <c r="Y624" s="24">
        <v>4</v>
      </c>
      <c r="Z624" s="20">
        <f t="shared" si="23"/>
        <v>15</v>
      </c>
    </row>
    <row r="625" spans="1:26" x14ac:dyDescent="0.2">
      <c r="A625" s="21"/>
      <c r="B625" s="51"/>
      <c r="C625" s="22"/>
      <c r="D625" s="22"/>
      <c r="E625" s="24"/>
      <c r="F625" s="22"/>
      <c r="H625" s="21">
        <v>45904</v>
      </c>
      <c r="I625" s="22" t="s">
        <v>70</v>
      </c>
      <c r="J625" s="22" t="s">
        <v>56</v>
      </c>
      <c r="K625" s="24">
        <v>7</v>
      </c>
      <c r="M625" s="21">
        <v>45917</v>
      </c>
      <c r="N625" s="22" t="s">
        <v>70</v>
      </c>
      <c r="O625" s="22" t="s">
        <v>51</v>
      </c>
      <c r="P625" s="49">
        <v>74.900000000000006</v>
      </c>
      <c r="Q625" s="49">
        <v>74.8</v>
      </c>
      <c r="R625" s="50">
        <f t="shared" si="22"/>
        <v>0.10000000000000853</v>
      </c>
      <c r="T625" s="21">
        <v>45916</v>
      </c>
      <c r="U625" s="22" t="s">
        <v>48</v>
      </c>
      <c r="V625" s="24">
        <v>4</v>
      </c>
      <c r="W625" s="24">
        <v>3</v>
      </c>
      <c r="X625" s="24">
        <v>4</v>
      </c>
      <c r="Y625" s="24">
        <v>5</v>
      </c>
      <c r="Z625" s="20">
        <f t="shared" si="23"/>
        <v>16</v>
      </c>
    </row>
    <row r="626" spans="1:26" x14ac:dyDescent="0.2">
      <c r="A626" s="21"/>
      <c r="B626" s="51"/>
      <c r="C626" s="22"/>
      <c r="D626" s="22"/>
      <c r="E626" s="24"/>
      <c r="F626" s="22"/>
      <c r="H626" s="21">
        <v>45905</v>
      </c>
      <c r="I626" s="22" t="s">
        <v>70</v>
      </c>
      <c r="J626" s="22" t="s">
        <v>52</v>
      </c>
      <c r="K626" s="24" t="s">
        <v>61</v>
      </c>
      <c r="M626" s="21">
        <v>45917</v>
      </c>
      <c r="N626" s="22" t="s">
        <v>71</v>
      </c>
      <c r="O626" s="22" t="s">
        <v>51</v>
      </c>
      <c r="P626" s="49">
        <v>75.2</v>
      </c>
      <c r="Q626" s="49">
        <v>75</v>
      </c>
      <c r="R626" s="50">
        <f t="shared" si="22"/>
        <v>0.20000000000000284</v>
      </c>
      <c r="T626" s="21">
        <v>45916</v>
      </c>
      <c r="U626" s="22" t="s">
        <v>51</v>
      </c>
      <c r="V626" s="24">
        <v>3</v>
      </c>
      <c r="W626" s="24">
        <v>3</v>
      </c>
      <c r="X626" s="24">
        <v>4</v>
      </c>
      <c r="Y626" s="24">
        <v>4</v>
      </c>
      <c r="Z626" s="20">
        <f t="shared" si="23"/>
        <v>14</v>
      </c>
    </row>
    <row r="627" spans="1:26" x14ac:dyDescent="0.2">
      <c r="A627" s="21"/>
      <c r="B627" s="51"/>
      <c r="C627" s="22"/>
      <c r="D627" s="22"/>
      <c r="E627" s="24"/>
      <c r="F627" s="22"/>
      <c r="H627" s="21">
        <v>45905</v>
      </c>
      <c r="I627" s="22" t="s">
        <v>70</v>
      </c>
      <c r="J627" s="22" t="s">
        <v>53</v>
      </c>
      <c r="K627" s="24">
        <v>5</v>
      </c>
      <c r="M627" s="21">
        <v>45917</v>
      </c>
      <c r="N627" s="22" t="s">
        <v>70</v>
      </c>
      <c r="O627" s="22" t="s">
        <v>52</v>
      </c>
      <c r="P627" s="49">
        <v>71.7</v>
      </c>
      <c r="Q627" s="49">
        <v>71.7</v>
      </c>
      <c r="R627" s="50">
        <f t="shared" si="22"/>
        <v>0</v>
      </c>
      <c r="T627" s="21">
        <v>45916</v>
      </c>
      <c r="U627" s="22" t="s">
        <v>52</v>
      </c>
      <c r="V627" s="24">
        <v>4</v>
      </c>
      <c r="W627" s="24">
        <v>3</v>
      </c>
      <c r="X627" s="24">
        <v>3</v>
      </c>
      <c r="Y627" s="24">
        <v>3</v>
      </c>
      <c r="Z627" s="20">
        <f t="shared" si="23"/>
        <v>13</v>
      </c>
    </row>
    <row r="628" spans="1:26" x14ac:dyDescent="0.2">
      <c r="A628" s="21"/>
      <c r="B628" s="51"/>
      <c r="C628" s="22"/>
      <c r="D628" s="22"/>
      <c r="E628" s="24"/>
      <c r="F628" s="22"/>
      <c r="H628" s="21">
        <v>45905</v>
      </c>
      <c r="I628" s="22" t="s">
        <v>70</v>
      </c>
      <c r="J628" s="22" t="s">
        <v>44</v>
      </c>
      <c r="K628" s="24">
        <v>3</v>
      </c>
      <c r="M628" s="21">
        <v>45917</v>
      </c>
      <c r="N628" s="22" t="s">
        <v>71</v>
      </c>
      <c r="O628" s="22" t="s">
        <v>52</v>
      </c>
      <c r="P628" s="49">
        <v>71</v>
      </c>
      <c r="Q628" s="49">
        <v>71</v>
      </c>
      <c r="R628" s="50">
        <f t="shared" si="22"/>
        <v>0</v>
      </c>
      <c r="T628" s="21">
        <v>45916</v>
      </c>
      <c r="U628" s="22" t="s">
        <v>53</v>
      </c>
      <c r="V628" s="24">
        <v>4</v>
      </c>
      <c r="W628" s="24">
        <v>3</v>
      </c>
      <c r="X628" s="24">
        <v>4</v>
      </c>
      <c r="Y628" s="24">
        <v>4</v>
      </c>
      <c r="Z628" s="20">
        <f t="shared" si="23"/>
        <v>15</v>
      </c>
    </row>
    <row r="629" spans="1:26" x14ac:dyDescent="0.2">
      <c r="A629" s="21"/>
      <c r="B629" s="51"/>
      <c r="C629" s="22"/>
      <c r="D629" s="22"/>
      <c r="E629" s="24"/>
      <c r="F629" s="22"/>
      <c r="H629" s="21">
        <v>45905</v>
      </c>
      <c r="I629" s="22" t="s">
        <v>70</v>
      </c>
      <c r="J629" s="22" t="s">
        <v>45</v>
      </c>
      <c r="K629" s="24">
        <v>4</v>
      </c>
      <c r="M629" s="21">
        <v>45917</v>
      </c>
      <c r="N629" s="22" t="s">
        <v>70</v>
      </c>
      <c r="O629" s="22" t="s">
        <v>53</v>
      </c>
      <c r="P629" s="49">
        <v>67.3</v>
      </c>
      <c r="Q629" s="49">
        <v>66.7</v>
      </c>
      <c r="R629" s="50">
        <f t="shared" si="22"/>
        <v>0.59999999999999432</v>
      </c>
      <c r="T629" s="21">
        <v>45916</v>
      </c>
      <c r="U629" s="22" t="s">
        <v>54</v>
      </c>
      <c r="V629" s="24">
        <v>3</v>
      </c>
      <c r="W629" s="24">
        <v>2</v>
      </c>
      <c r="X629" s="24">
        <v>2</v>
      </c>
      <c r="Y629" s="24">
        <v>4</v>
      </c>
      <c r="Z629" s="20">
        <f t="shared" si="23"/>
        <v>11</v>
      </c>
    </row>
    <row r="630" spans="1:26" x14ac:dyDescent="0.2">
      <c r="A630" s="21"/>
      <c r="B630" s="51"/>
      <c r="C630" s="22"/>
      <c r="D630" s="22"/>
      <c r="E630" s="24"/>
      <c r="F630" s="22"/>
      <c r="H630" s="21">
        <v>45905</v>
      </c>
      <c r="I630" s="22" t="s">
        <v>70</v>
      </c>
      <c r="J630" s="22" t="s">
        <v>57</v>
      </c>
      <c r="K630" s="24">
        <v>5</v>
      </c>
      <c r="M630" s="21">
        <v>45917</v>
      </c>
      <c r="N630" s="22" t="s">
        <v>71</v>
      </c>
      <c r="O630" s="22" t="s">
        <v>53</v>
      </c>
      <c r="P630" s="49">
        <v>66.900000000000006</v>
      </c>
      <c r="Q630" s="49">
        <v>66.5</v>
      </c>
      <c r="R630" s="50">
        <f t="shared" si="22"/>
        <v>0.40000000000000568</v>
      </c>
      <c r="T630" s="21">
        <v>45916</v>
      </c>
      <c r="U630" s="22" t="s">
        <v>56</v>
      </c>
      <c r="V630" s="24">
        <v>4</v>
      </c>
      <c r="W630" s="24">
        <v>4</v>
      </c>
      <c r="X630" s="24">
        <v>4</v>
      </c>
      <c r="Y630" s="24">
        <v>5</v>
      </c>
      <c r="Z630" s="20">
        <f t="shared" si="23"/>
        <v>17</v>
      </c>
    </row>
    <row r="631" spans="1:26" x14ac:dyDescent="0.2">
      <c r="A631" s="21"/>
      <c r="B631" s="51"/>
      <c r="C631" s="22"/>
      <c r="D631" s="22"/>
      <c r="E631" s="24"/>
      <c r="F631" s="22"/>
      <c r="H631" s="21">
        <v>45905</v>
      </c>
      <c r="I631" s="22" t="s">
        <v>70</v>
      </c>
      <c r="J631" s="22" t="s">
        <v>42</v>
      </c>
      <c r="K631" s="24">
        <v>2</v>
      </c>
      <c r="M631" s="21">
        <v>45917</v>
      </c>
      <c r="N631" s="22" t="s">
        <v>70</v>
      </c>
      <c r="O631" s="22" t="s">
        <v>54</v>
      </c>
      <c r="P631" s="49">
        <v>84.7</v>
      </c>
      <c r="Q631" s="49">
        <v>84.8</v>
      </c>
      <c r="R631" s="50">
        <f t="shared" si="22"/>
        <v>-9.9999999999994316E-2</v>
      </c>
      <c r="T631" s="21">
        <v>45916</v>
      </c>
      <c r="U631" s="22" t="s">
        <v>57</v>
      </c>
      <c r="V631" s="24">
        <v>4</v>
      </c>
      <c r="W631" s="24">
        <v>4</v>
      </c>
      <c r="X631" s="24">
        <v>3</v>
      </c>
      <c r="Y631" s="24">
        <v>4</v>
      </c>
      <c r="Z631" s="20">
        <f t="shared" si="23"/>
        <v>15</v>
      </c>
    </row>
    <row r="632" spans="1:26" x14ac:dyDescent="0.2">
      <c r="A632" s="21"/>
      <c r="B632" s="51"/>
      <c r="C632" s="22"/>
      <c r="D632" s="22"/>
      <c r="E632" s="24"/>
      <c r="F632" s="22"/>
      <c r="H632" s="21">
        <v>45905</v>
      </c>
      <c r="I632" s="22" t="s">
        <v>70</v>
      </c>
      <c r="J632" s="22" t="s">
        <v>54</v>
      </c>
      <c r="K632" s="24">
        <v>5</v>
      </c>
      <c r="M632" s="21">
        <v>45917</v>
      </c>
      <c r="N632" s="22" t="s">
        <v>71</v>
      </c>
      <c r="O632" s="22" t="s">
        <v>54</v>
      </c>
      <c r="P632" s="49">
        <v>84.9</v>
      </c>
      <c r="Q632" s="49">
        <v>84.8</v>
      </c>
      <c r="R632" s="50">
        <f t="shared" si="22"/>
        <v>0.10000000000000853</v>
      </c>
      <c r="T632" s="21">
        <v>45916</v>
      </c>
      <c r="U632" s="22" t="s">
        <v>33</v>
      </c>
      <c r="V632" s="24">
        <v>3.5833333333333299</v>
      </c>
      <c r="W632" s="24">
        <v>3.1666666666666701</v>
      </c>
      <c r="X632" s="24">
        <v>3.4166666666666701</v>
      </c>
      <c r="Y632" s="24">
        <v>4.0833333333333304</v>
      </c>
      <c r="Z632" s="20">
        <f t="shared" si="23"/>
        <v>14.25</v>
      </c>
    </row>
    <row r="633" spans="1:26" x14ac:dyDescent="0.2">
      <c r="A633" s="21"/>
      <c r="B633" s="51"/>
      <c r="C633" s="22"/>
      <c r="D633" s="22"/>
      <c r="E633" s="24"/>
      <c r="F633" s="22"/>
      <c r="H633" s="21">
        <v>45905</v>
      </c>
      <c r="I633" s="22" t="s">
        <v>70</v>
      </c>
      <c r="J633" s="22" t="s">
        <v>47</v>
      </c>
      <c r="K633" s="24">
        <v>2</v>
      </c>
      <c r="M633" s="21">
        <v>45917</v>
      </c>
      <c r="N633" s="22" t="s">
        <v>70</v>
      </c>
      <c r="O633" s="22" t="s">
        <v>55</v>
      </c>
      <c r="P633" s="49">
        <v>75.2</v>
      </c>
      <c r="Q633" s="49">
        <v>75.099999999999994</v>
      </c>
      <c r="R633" s="50">
        <f t="shared" si="22"/>
        <v>0.10000000000000853</v>
      </c>
      <c r="T633" s="21">
        <v>45917</v>
      </c>
      <c r="U633" s="22" t="s">
        <v>41</v>
      </c>
      <c r="V633" s="24">
        <v>1</v>
      </c>
      <c r="W633" s="24">
        <v>2</v>
      </c>
      <c r="X633" s="24">
        <v>2</v>
      </c>
      <c r="Y633" s="24">
        <v>2</v>
      </c>
      <c r="Z633" s="20">
        <f t="shared" si="23"/>
        <v>7</v>
      </c>
    </row>
    <row r="634" spans="1:26" x14ac:dyDescent="0.2">
      <c r="A634" s="21"/>
      <c r="B634" s="51"/>
      <c r="C634" s="22"/>
      <c r="D634" s="22"/>
      <c r="E634" s="24"/>
      <c r="F634" s="22"/>
      <c r="H634" s="21">
        <v>45905</v>
      </c>
      <c r="I634" s="22" t="s">
        <v>70</v>
      </c>
      <c r="J634" s="22" t="s">
        <v>41</v>
      </c>
      <c r="K634" s="24">
        <v>3</v>
      </c>
      <c r="M634" s="21">
        <v>45917</v>
      </c>
      <c r="N634" s="22" t="s">
        <v>71</v>
      </c>
      <c r="O634" s="22" t="s">
        <v>55</v>
      </c>
      <c r="P634" s="49">
        <v>75.400000000000006</v>
      </c>
      <c r="Q634" s="49">
        <v>75.3</v>
      </c>
      <c r="R634" s="50">
        <f t="shared" si="22"/>
        <v>0.10000000000000853</v>
      </c>
      <c r="T634" s="21">
        <v>45917</v>
      </c>
      <c r="U634" s="22" t="s">
        <v>42</v>
      </c>
      <c r="V634" s="24">
        <v>4</v>
      </c>
      <c r="W634" s="24">
        <v>4</v>
      </c>
      <c r="X634" s="24">
        <v>4</v>
      </c>
      <c r="Y634" s="24">
        <v>5</v>
      </c>
      <c r="Z634" s="20">
        <f t="shared" si="23"/>
        <v>17</v>
      </c>
    </row>
    <row r="635" spans="1:26" x14ac:dyDescent="0.2">
      <c r="A635" s="21"/>
      <c r="B635" s="51"/>
      <c r="C635" s="22"/>
      <c r="D635" s="22"/>
      <c r="E635" s="24"/>
      <c r="F635" s="22"/>
      <c r="H635" s="21">
        <v>45905</v>
      </c>
      <c r="I635" s="22" t="s">
        <v>70</v>
      </c>
      <c r="J635" s="22" t="s">
        <v>49</v>
      </c>
      <c r="K635" s="24">
        <v>3</v>
      </c>
      <c r="M635" s="21">
        <v>45917</v>
      </c>
      <c r="N635" s="22" t="s">
        <v>70</v>
      </c>
      <c r="O635" s="22" t="s">
        <v>56</v>
      </c>
      <c r="P635" s="49">
        <v>74.8</v>
      </c>
      <c r="Q635" s="49">
        <v>74.900000000000006</v>
      </c>
      <c r="R635" s="50">
        <f t="shared" si="22"/>
        <v>-0.10000000000000853</v>
      </c>
      <c r="T635" s="21">
        <v>45917</v>
      </c>
      <c r="U635" s="22" t="s">
        <v>44</v>
      </c>
      <c r="V635" s="24">
        <v>5</v>
      </c>
      <c r="W635" s="24">
        <v>3</v>
      </c>
      <c r="X635" s="24">
        <v>3</v>
      </c>
      <c r="Y635" s="24">
        <v>5</v>
      </c>
      <c r="Z635" s="20">
        <f t="shared" si="23"/>
        <v>16</v>
      </c>
    </row>
    <row r="636" spans="1:26" x14ac:dyDescent="0.2">
      <c r="A636" s="21"/>
      <c r="B636" s="51"/>
      <c r="C636" s="22"/>
      <c r="D636" s="22"/>
      <c r="E636" s="24"/>
      <c r="F636" s="22"/>
      <c r="H636" s="21">
        <v>45905</v>
      </c>
      <c r="I636" s="22" t="s">
        <v>70</v>
      </c>
      <c r="J636" s="22" t="s">
        <v>50</v>
      </c>
      <c r="K636" s="24">
        <v>2</v>
      </c>
      <c r="M636" s="21">
        <v>45917</v>
      </c>
      <c r="N636" s="22" t="s">
        <v>71</v>
      </c>
      <c r="O636" s="22" t="s">
        <v>56</v>
      </c>
      <c r="P636" s="49">
        <v>75.2</v>
      </c>
      <c r="Q636" s="49">
        <v>75.3</v>
      </c>
      <c r="R636" s="50">
        <f t="shared" si="22"/>
        <v>-9.9999999999994316E-2</v>
      </c>
      <c r="T636" s="21">
        <v>45917</v>
      </c>
      <c r="U636" s="22" t="s">
        <v>45</v>
      </c>
      <c r="V636" s="24">
        <v>5</v>
      </c>
      <c r="W636" s="24">
        <v>3</v>
      </c>
      <c r="X636" s="24">
        <v>3</v>
      </c>
      <c r="Y636" s="24">
        <v>5</v>
      </c>
      <c r="Z636" s="20">
        <f t="shared" si="23"/>
        <v>16</v>
      </c>
    </row>
    <row r="637" spans="1:26" x14ac:dyDescent="0.2">
      <c r="A637" s="21"/>
      <c r="B637" s="51"/>
      <c r="C637" s="22"/>
      <c r="D637" s="22"/>
      <c r="E637" s="24"/>
      <c r="F637" s="22"/>
      <c r="H637" s="21">
        <v>45905</v>
      </c>
      <c r="I637" s="22" t="s">
        <v>70</v>
      </c>
      <c r="J637" s="22" t="s">
        <v>51</v>
      </c>
      <c r="K637" s="24">
        <v>3</v>
      </c>
      <c r="M637" s="21">
        <v>45917</v>
      </c>
      <c r="N637" s="22" t="s">
        <v>70</v>
      </c>
      <c r="O637" s="22" t="s">
        <v>57</v>
      </c>
      <c r="P637" s="49">
        <v>92.3</v>
      </c>
      <c r="Q637" s="49">
        <v>91.8</v>
      </c>
      <c r="R637" s="50">
        <f t="shared" si="22"/>
        <v>0.5</v>
      </c>
      <c r="T637" s="21">
        <v>45917</v>
      </c>
      <c r="U637" s="22" t="s">
        <v>47</v>
      </c>
      <c r="V637" s="24">
        <v>4</v>
      </c>
      <c r="W637" s="24">
        <v>3</v>
      </c>
      <c r="X637" s="24">
        <v>3</v>
      </c>
      <c r="Y637" s="24">
        <v>5</v>
      </c>
      <c r="Z637" s="20">
        <f t="shared" si="23"/>
        <v>15</v>
      </c>
    </row>
    <row r="638" spans="1:26" x14ac:dyDescent="0.2">
      <c r="A638" s="21"/>
      <c r="B638" s="51"/>
      <c r="C638" s="22"/>
      <c r="D638" s="22"/>
      <c r="E638" s="24"/>
      <c r="F638" s="22"/>
      <c r="H638" s="21">
        <v>45905</v>
      </c>
      <c r="I638" s="22" t="s">
        <v>70</v>
      </c>
      <c r="J638" s="22" t="s">
        <v>46</v>
      </c>
      <c r="K638" s="24">
        <v>4</v>
      </c>
      <c r="M638" s="21">
        <v>45917</v>
      </c>
      <c r="N638" s="22" t="s">
        <v>71</v>
      </c>
      <c r="O638" s="22" t="s">
        <v>57</v>
      </c>
      <c r="P638" s="49">
        <v>92.3</v>
      </c>
      <c r="Q638" s="49">
        <v>91.6</v>
      </c>
      <c r="R638" s="50">
        <f t="shared" si="22"/>
        <v>0.70000000000000284</v>
      </c>
      <c r="T638" s="21">
        <v>45917</v>
      </c>
      <c r="U638" s="22" t="s">
        <v>48</v>
      </c>
      <c r="V638" s="24">
        <v>5</v>
      </c>
      <c r="W638" s="24">
        <v>3</v>
      </c>
      <c r="X638" s="24">
        <v>4</v>
      </c>
      <c r="Y638" s="24">
        <v>5</v>
      </c>
      <c r="Z638" s="20">
        <f t="shared" si="23"/>
        <v>17</v>
      </c>
    </row>
    <row r="639" spans="1:26" x14ac:dyDescent="0.2">
      <c r="A639" s="21"/>
      <c r="B639" s="51"/>
      <c r="C639" s="22"/>
      <c r="D639" s="22"/>
      <c r="E639" s="24"/>
      <c r="F639" s="22"/>
      <c r="H639" s="21">
        <v>45905</v>
      </c>
      <c r="I639" s="22" t="s">
        <v>70</v>
      </c>
      <c r="J639" s="22" t="s">
        <v>48</v>
      </c>
      <c r="K639" s="24">
        <v>3</v>
      </c>
      <c r="M639" s="21">
        <v>45919</v>
      </c>
      <c r="N639" s="22" t="s">
        <v>70</v>
      </c>
      <c r="O639" s="22" t="s">
        <v>41</v>
      </c>
      <c r="P639" s="49">
        <v>76.8</v>
      </c>
      <c r="Q639" s="49">
        <v>76</v>
      </c>
      <c r="R639" s="50">
        <f t="shared" si="22"/>
        <v>0.79999999999999716</v>
      </c>
      <c r="T639" s="21">
        <v>45917</v>
      </c>
      <c r="U639" s="22" t="s">
        <v>51</v>
      </c>
      <c r="V639" s="24">
        <v>4</v>
      </c>
      <c r="W639" s="24">
        <v>3</v>
      </c>
      <c r="X639" s="24">
        <v>3</v>
      </c>
      <c r="Y639" s="24">
        <v>4</v>
      </c>
      <c r="Z639" s="20">
        <f t="shared" si="23"/>
        <v>14</v>
      </c>
    </row>
    <row r="640" spans="1:26" x14ac:dyDescent="0.2">
      <c r="A640" s="21"/>
      <c r="B640" s="51"/>
      <c r="C640" s="22"/>
      <c r="D640" s="22"/>
      <c r="E640" s="24"/>
      <c r="F640" s="22"/>
      <c r="H640" s="21">
        <v>45905</v>
      </c>
      <c r="I640" s="22" t="s">
        <v>70</v>
      </c>
      <c r="J640" s="22" t="s">
        <v>56</v>
      </c>
      <c r="K640" s="24">
        <v>6</v>
      </c>
      <c r="M640" s="21">
        <v>45919</v>
      </c>
      <c r="N640" s="22" t="s">
        <v>71</v>
      </c>
      <c r="O640" s="22" t="s">
        <v>41</v>
      </c>
      <c r="P640" s="49">
        <v>77</v>
      </c>
      <c r="Q640" s="49">
        <v>76</v>
      </c>
      <c r="R640" s="50">
        <f t="shared" si="22"/>
        <v>1</v>
      </c>
      <c r="T640" s="21">
        <v>45917</v>
      </c>
      <c r="U640" s="22" t="s">
        <v>52</v>
      </c>
      <c r="V640" s="24">
        <v>4</v>
      </c>
      <c r="W640" s="24">
        <v>4</v>
      </c>
      <c r="X640" s="24">
        <v>3</v>
      </c>
      <c r="Y640" s="24">
        <v>3</v>
      </c>
      <c r="Z640" s="20">
        <f t="shared" si="23"/>
        <v>14</v>
      </c>
    </row>
    <row r="641" spans="1:26" x14ac:dyDescent="0.2">
      <c r="A641" s="21"/>
      <c r="B641" s="51"/>
      <c r="C641" s="22"/>
      <c r="D641" s="22"/>
      <c r="E641" s="24"/>
      <c r="F641" s="22"/>
      <c r="H641" s="21">
        <v>45906</v>
      </c>
      <c r="I641" s="22" t="s">
        <v>70</v>
      </c>
      <c r="J641" s="22" t="s">
        <v>52</v>
      </c>
      <c r="K641" s="24" t="s">
        <v>61</v>
      </c>
      <c r="M641" s="21">
        <v>45919</v>
      </c>
      <c r="N641" s="22" t="s">
        <v>70</v>
      </c>
      <c r="O641" s="22" t="s">
        <v>42</v>
      </c>
      <c r="P641" s="49">
        <v>79.7</v>
      </c>
      <c r="Q641" s="49">
        <v>79.5</v>
      </c>
      <c r="R641" s="50">
        <f t="shared" si="22"/>
        <v>0.20000000000000284</v>
      </c>
      <c r="T641" s="21">
        <v>45917</v>
      </c>
      <c r="U641" s="22" t="s">
        <v>53</v>
      </c>
      <c r="V641" s="24">
        <v>4</v>
      </c>
      <c r="W641" s="24">
        <v>3</v>
      </c>
      <c r="X641" s="24">
        <v>5</v>
      </c>
      <c r="Y641" s="24">
        <v>5</v>
      </c>
      <c r="Z641" s="20">
        <f t="shared" si="23"/>
        <v>17</v>
      </c>
    </row>
    <row r="642" spans="1:26" x14ac:dyDescent="0.2">
      <c r="A642" s="21"/>
      <c r="B642" s="51"/>
      <c r="C642" s="22"/>
      <c r="D642" s="22"/>
      <c r="E642" s="24"/>
      <c r="F642" s="22"/>
      <c r="H642" s="21">
        <v>45906</v>
      </c>
      <c r="I642" s="22" t="s">
        <v>70</v>
      </c>
      <c r="J642" s="22" t="s">
        <v>53</v>
      </c>
      <c r="K642" s="24">
        <v>2</v>
      </c>
      <c r="M642" s="21">
        <v>45919</v>
      </c>
      <c r="N642" s="22" t="s">
        <v>71</v>
      </c>
      <c r="O642" s="22" t="s">
        <v>42</v>
      </c>
      <c r="P642" s="49">
        <v>79.8</v>
      </c>
      <c r="Q642" s="49">
        <v>79.599999999999994</v>
      </c>
      <c r="R642" s="50">
        <f t="shared" si="22"/>
        <v>0.20000000000000284</v>
      </c>
      <c r="T642" s="21">
        <v>45917</v>
      </c>
      <c r="U642" s="22" t="s">
        <v>54</v>
      </c>
      <c r="V642" s="24">
        <v>4</v>
      </c>
      <c r="W642" s="24">
        <v>3</v>
      </c>
      <c r="X642" s="24">
        <v>3</v>
      </c>
      <c r="Y642" s="24">
        <v>4</v>
      </c>
      <c r="Z642" s="20">
        <f t="shared" si="23"/>
        <v>14</v>
      </c>
    </row>
    <row r="643" spans="1:26" x14ac:dyDescent="0.2">
      <c r="A643" s="21"/>
      <c r="B643" s="51"/>
      <c r="C643" s="22"/>
      <c r="D643" s="22"/>
      <c r="E643" s="24"/>
      <c r="F643" s="22"/>
      <c r="H643" s="21">
        <v>45906</v>
      </c>
      <c r="I643" s="22" t="s">
        <v>70</v>
      </c>
      <c r="J643" s="22" t="s">
        <v>44</v>
      </c>
      <c r="K643" s="24">
        <v>2</v>
      </c>
      <c r="M643" s="21">
        <v>45919</v>
      </c>
      <c r="N643" s="22" t="s">
        <v>70</v>
      </c>
      <c r="O643" s="22" t="s">
        <v>43</v>
      </c>
      <c r="P643" s="49">
        <v>85.9</v>
      </c>
      <c r="Q643" s="49">
        <v>85.3</v>
      </c>
      <c r="R643" s="50">
        <f t="shared" ref="R643:R706" si="24">IFERROR(P643-Q643,"")</f>
        <v>0.60000000000000853</v>
      </c>
      <c r="T643" s="21">
        <v>45917</v>
      </c>
      <c r="U643" s="22" t="s">
        <v>55</v>
      </c>
      <c r="V643" s="24">
        <v>3</v>
      </c>
      <c r="W643" s="24">
        <v>4</v>
      </c>
      <c r="X643" s="24">
        <v>4</v>
      </c>
      <c r="Y643" s="24">
        <v>3</v>
      </c>
      <c r="Z643" s="20">
        <f t="shared" ref="Z643:Z706" si="25">SUM(V643:Y643)</f>
        <v>14</v>
      </c>
    </row>
    <row r="644" spans="1:26" x14ac:dyDescent="0.2">
      <c r="A644" s="21"/>
      <c r="B644" s="51"/>
      <c r="C644" s="22"/>
      <c r="D644" s="22"/>
      <c r="E644" s="24"/>
      <c r="F644" s="22"/>
      <c r="H644" s="21">
        <v>45906</v>
      </c>
      <c r="I644" s="22" t="s">
        <v>70</v>
      </c>
      <c r="J644" s="22" t="s">
        <v>45</v>
      </c>
      <c r="K644" s="24">
        <v>2</v>
      </c>
      <c r="M644" s="21">
        <v>45919</v>
      </c>
      <c r="N644" s="22" t="s">
        <v>70</v>
      </c>
      <c r="O644" s="22" t="s">
        <v>44</v>
      </c>
      <c r="P644" s="49">
        <v>67.7</v>
      </c>
      <c r="Q644" s="49">
        <v>67.8</v>
      </c>
      <c r="R644" s="50">
        <f t="shared" si="24"/>
        <v>-9.9999999999994316E-2</v>
      </c>
      <c r="T644" s="21">
        <v>45917</v>
      </c>
      <c r="U644" s="22" t="s">
        <v>56</v>
      </c>
      <c r="V644" s="24">
        <v>4</v>
      </c>
      <c r="W644" s="24">
        <v>3</v>
      </c>
      <c r="X644" s="24">
        <v>4</v>
      </c>
      <c r="Y644" s="24">
        <v>5</v>
      </c>
      <c r="Z644" s="20">
        <f t="shared" si="25"/>
        <v>16</v>
      </c>
    </row>
    <row r="645" spans="1:26" x14ac:dyDescent="0.2">
      <c r="A645" s="21"/>
      <c r="B645" s="51"/>
      <c r="C645" s="22"/>
      <c r="D645" s="22"/>
      <c r="E645" s="24"/>
      <c r="F645" s="22"/>
      <c r="H645" s="21">
        <v>45906</v>
      </c>
      <c r="I645" s="22" t="s">
        <v>70</v>
      </c>
      <c r="J645" s="22" t="s">
        <v>57</v>
      </c>
      <c r="K645" s="24">
        <v>2</v>
      </c>
      <c r="M645" s="21">
        <v>45919</v>
      </c>
      <c r="N645" s="22" t="s">
        <v>71</v>
      </c>
      <c r="O645" s="22" t="s">
        <v>44</v>
      </c>
      <c r="P645" s="49">
        <v>68.2</v>
      </c>
      <c r="Q645" s="49">
        <v>68.099999999999994</v>
      </c>
      <c r="R645" s="50">
        <f t="shared" si="24"/>
        <v>0.10000000000000853</v>
      </c>
      <c r="T645" s="21">
        <v>45917</v>
      </c>
      <c r="U645" s="22" t="s">
        <v>57</v>
      </c>
      <c r="V645" s="24">
        <v>5</v>
      </c>
      <c r="W645" s="24">
        <v>4</v>
      </c>
      <c r="X645" s="24">
        <v>3</v>
      </c>
      <c r="Y645" s="24">
        <v>4</v>
      </c>
      <c r="Z645" s="20">
        <f t="shared" si="25"/>
        <v>16</v>
      </c>
    </row>
    <row r="646" spans="1:26" x14ac:dyDescent="0.2">
      <c r="A646" s="21"/>
      <c r="B646" s="51"/>
      <c r="C646" s="22"/>
      <c r="D646" s="22"/>
      <c r="E646" s="24"/>
      <c r="F646" s="22"/>
      <c r="H646" s="21">
        <v>45906</v>
      </c>
      <c r="I646" s="22" t="s">
        <v>70</v>
      </c>
      <c r="J646" s="22" t="s">
        <v>42</v>
      </c>
      <c r="K646" s="24">
        <v>2</v>
      </c>
      <c r="M646" s="21">
        <v>45919</v>
      </c>
      <c r="N646" s="22" t="s">
        <v>70</v>
      </c>
      <c r="O646" s="22" t="s">
        <v>45</v>
      </c>
      <c r="P646" s="49">
        <v>69</v>
      </c>
      <c r="Q646" s="49">
        <v>68.5</v>
      </c>
      <c r="R646" s="50">
        <f t="shared" si="24"/>
        <v>0.5</v>
      </c>
      <c r="T646" s="21">
        <v>45917</v>
      </c>
      <c r="U646" s="22" t="s">
        <v>33</v>
      </c>
      <c r="V646" s="24">
        <v>4</v>
      </c>
      <c r="W646" s="24">
        <v>3.2307692307692299</v>
      </c>
      <c r="X646" s="24">
        <v>3.3846153846153801</v>
      </c>
      <c r="Y646" s="24">
        <v>4.2307692307692299</v>
      </c>
      <c r="Z646" s="20">
        <f t="shared" si="25"/>
        <v>14.84615384615384</v>
      </c>
    </row>
    <row r="647" spans="1:26" x14ac:dyDescent="0.2">
      <c r="A647" s="21"/>
      <c r="B647" s="51"/>
      <c r="C647" s="22"/>
      <c r="D647" s="22"/>
      <c r="E647" s="24"/>
      <c r="F647" s="22"/>
      <c r="H647" s="21">
        <v>45906</v>
      </c>
      <c r="I647" s="22" t="s">
        <v>70</v>
      </c>
      <c r="J647" s="22" t="s">
        <v>54</v>
      </c>
      <c r="K647" s="24">
        <v>2</v>
      </c>
      <c r="M647" s="21">
        <v>45919</v>
      </c>
      <c r="N647" s="22" t="s">
        <v>71</v>
      </c>
      <c r="O647" s="22" t="s">
        <v>45</v>
      </c>
      <c r="P647" s="49">
        <v>68.900000000000006</v>
      </c>
      <c r="Q647" s="49">
        <v>68.3</v>
      </c>
      <c r="R647" s="50">
        <f t="shared" si="24"/>
        <v>0.60000000000000853</v>
      </c>
      <c r="T647" s="21">
        <v>45918</v>
      </c>
      <c r="U647" s="22" t="s">
        <v>41</v>
      </c>
      <c r="V647" s="24">
        <v>1</v>
      </c>
      <c r="W647" s="24">
        <v>1</v>
      </c>
      <c r="X647" s="24">
        <v>1</v>
      </c>
      <c r="Y647" s="24">
        <v>1</v>
      </c>
      <c r="Z647" s="20">
        <f t="shared" si="25"/>
        <v>4</v>
      </c>
    </row>
    <row r="648" spans="1:26" x14ac:dyDescent="0.2">
      <c r="A648" s="21"/>
      <c r="B648" s="51"/>
      <c r="C648" s="22"/>
      <c r="D648" s="22"/>
      <c r="E648" s="24"/>
      <c r="F648" s="22"/>
      <c r="H648" s="21">
        <v>45906</v>
      </c>
      <c r="I648" s="22" t="s">
        <v>70</v>
      </c>
      <c r="J648" s="22" t="s">
        <v>47</v>
      </c>
      <c r="K648" s="24">
        <v>2</v>
      </c>
      <c r="M648" s="21">
        <v>45919</v>
      </c>
      <c r="N648" s="22" t="s">
        <v>70</v>
      </c>
      <c r="O648" s="22" t="s">
        <v>47</v>
      </c>
      <c r="P648" s="49">
        <v>70.7</v>
      </c>
      <c r="Q648" s="49">
        <v>71</v>
      </c>
      <c r="R648" s="50">
        <f t="shared" si="24"/>
        <v>-0.29999999999999716</v>
      </c>
      <c r="T648" s="21">
        <v>45918</v>
      </c>
      <c r="U648" s="22" t="s">
        <v>42</v>
      </c>
      <c r="V648" s="24">
        <v>4</v>
      </c>
      <c r="W648" s="24">
        <v>4</v>
      </c>
      <c r="X648" s="24">
        <v>4</v>
      </c>
      <c r="Y648" s="24">
        <v>5</v>
      </c>
      <c r="Z648" s="20">
        <f t="shared" si="25"/>
        <v>17</v>
      </c>
    </row>
    <row r="649" spans="1:26" x14ac:dyDescent="0.2">
      <c r="A649" s="21"/>
      <c r="B649" s="51"/>
      <c r="C649" s="22"/>
      <c r="D649" s="22"/>
      <c r="E649" s="24"/>
      <c r="F649" s="22"/>
      <c r="H649" s="21">
        <v>45906</v>
      </c>
      <c r="I649" s="22" t="s">
        <v>70</v>
      </c>
      <c r="J649" s="22" t="s">
        <v>41</v>
      </c>
      <c r="K649" s="24">
        <v>2</v>
      </c>
      <c r="M649" s="21">
        <v>45919</v>
      </c>
      <c r="N649" s="22" t="s">
        <v>71</v>
      </c>
      <c r="O649" s="22" t="s">
        <v>47</v>
      </c>
      <c r="P649" s="49">
        <v>70.8</v>
      </c>
      <c r="Q649" s="49">
        <v>71</v>
      </c>
      <c r="R649" s="50">
        <f t="shared" si="24"/>
        <v>-0.20000000000000284</v>
      </c>
      <c r="T649" s="21">
        <v>45918</v>
      </c>
      <c r="U649" s="22" t="s">
        <v>44</v>
      </c>
      <c r="V649" s="24">
        <v>5</v>
      </c>
      <c r="W649" s="24">
        <v>3</v>
      </c>
      <c r="X649" s="24">
        <v>4</v>
      </c>
      <c r="Y649" s="24">
        <v>5</v>
      </c>
      <c r="Z649" s="20">
        <f t="shared" si="25"/>
        <v>17</v>
      </c>
    </row>
    <row r="650" spans="1:26" x14ac:dyDescent="0.2">
      <c r="A650" s="21"/>
      <c r="B650" s="51"/>
      <c r="C650" s="22"/>
      <c r="D650" s="22"/>
      <c r="E650" s="24"/>
      <c r="F650" s="22"/>
      <c r="H650" s="21">
        <v>45906</v>
      </c>
      <c r="I650" s="22" t="s">
        <v>70</v>
      </c>
      <c r="J650" s="22" t="s">
        <v>49</v>
      </c>
      <c r="K650" s="24">
        <v>2</v>
      </c>
      <c r="M650" s="21">
        <v>45919</v>
      </c>
      <c r="N650" s="22" t="s">
        <v>70</v>
      </c>
      <c r="O650" s="22" t="s">
        <v>48</v>
      </c>
      <c r="P650" s="49">
        <v>82.5</v>
      </c>
      <c r="Q650" s="49">
        <v>80.8</v>
      </c>
      <c r="R650" s="50">
        <f t="shared" si="24"/>
        <v>1.7000000000000028</v>
      </c>
      <c r="T650" s="21">
        <v>45918</v>
      </c>
      <c r="U650" s="22" t="s">
        <v>45</v>
      </c>
      <c r="V650" s="24">
        <v>3</v>
      </c>
      <c r="W650" s="24">
        <v>3</v>
      </c>
      <c r="X650" s="24">
        <v>3</v>
      </c>
      <c r="Y650" s="24">
        <v>4</v>
      </c>
      <c r="Z650" s="20">
        <f t="shared" si="25"/>
        <v>13</v>
      </c>
    </row>
    <row r="651" spans="1:26" x14ac:dyDescent="0.2">
      <c r="A651" s="21"/>
      <c r="B651" s="51"/>
      <c r="C651" s="22"/>
      <c r="D651" s="22"/>
      <c r="E651" s="24"/>
      <c r="F651" s="22"/>
      <c r="H651" s="21">
        <v>45906</v>
      </c>
      <c r="I651" s="22" t="s">
        <v>70</v>
      </c>
      <c r="J651" s="22" t="s">
        <v>50</v>
      </c>
      <c r="K651" s="24">
        <v>2</v>
      </c>
      <c r="M651" s="21">
        <v>45919</v>
      </c>
      <c r="N651" s="22" t="s">
        <v>71</v>
      </c>
      <c r="O651" s="22" t="s">
        <v>48</v>
      </c>
      <c r="P651" s="49">
        <v>82.3</v>
      </c>
      <c r="Q651" s="49">
        <v>82</v>
      </c>
      <c r="R651" s="50">
        <f t="shared" si="24"/>
        <v>0.29999999999999716</v>
      </c>
      <c r="T651" s="21">
        <v>45918</v>
      </c>
      <c r="U651" s="22" t="s">
        <v>47</v>
      </c>
      <c r="V651" s="24">
        <v>3</v>
      </c>
      <c r="W651" s="24">
        <v>3</v>
      </c>
      <c r="X651" s="24">
        <v>4</v>
      </c>
      <c r="Y651" s="24">
        <v>5</v>
      </c>
      <c r="Z651" s="20">
        <f t="shared" si="25"/>
        <v>15</v>
      </c>
    </row>
    <row r="652" spans="1:26" x14ac:dyDescent="0.2">
      <c r="A652" s="21"/>
      <c r="B652" s="51"/>
      <c r="C652" s="22"/>
      <c r="D652" s="22"/>
      <c r="E652" s="24"/>
      <c r="F652" s="22"/>
      <c r="H652" s="21">
        <v>45906</v>
      </c>
      <c r="I652" s="22" t="s">
        <v>70</v>
      </c>
      <c r="J652" s="22" t="s">
        <v>51</v>
      </c>
      <c r="K652" s="24">
        <v>2</v>
      </c>
      <c r="M652" s="21">
        <v>45919</v>
      </c>
      <c r="N652" s="22" t="s">
        <v>70</v>
      </c>
      <c r="O652" s="22" t="s">
        <v>51</v>
      </c>
      <c r="P652" s="49">
        <v>75</v>
      </c>
      <c r="Q652" s="49">
        <v>74.7</v>
      </c>
      <c r="R652" s="50">
        <f t="shared" si="24"/>
        <v>0.29999999999999716</v>
      </c>
      <c r="T652" s="21">
        <v>45918</v>
      </c>
      <c r="U652" s="22" t="s">
        <v>48</v>
      </c>
      <c r="V652" s="24">
        <v>4</v>
      </c>
      <c r="W652" s="24">
        <v>3</v>
      </c>
      <c r="X652" s="24">
        <v>4</v>
      </c>
      <c r="Y652" s="24">
        <v>5</v>
      </c>
      <c r="Z652" s="20">
        <f t="shared" si="25"/>
        <v>16</v>
      </c>
    </row>
    <row r="653" spans="1:26" x14ac:dyDescent="0.2">
      <c r="A653" s="21"/>
      <c r="B653" s="51"/>
      <c r="C653" s="22"/>
      <c r="D653" s="22"/>
      <c r="E653" s="24"/>
      <c r="F653" s="22"/>
      <c r="H653" s="21">
        <v>45906</v>
      </c>
      <c r="I653" s="22" t="s">
        <v>70</v>
      </c>
      <c r="J653" s="22" t="s">
        <v>46</v>
      </c>
      <c r="K653" s="24">
        <v>2</v>
      </c>
      <c r="M653" s="21">
        <v>45919</v>
      </c>
      <c r="N653" s="22" t="s">
        <v>71</v>
      </c>
      <c r="O653" s="22" t="s">
        <v>51</v>
      </c>
      <c r="P653" s="49">
        <v>74.900000000000006</v>
      </c>
      <c r="Q653" s="49">
        <v>74.8</v>
      </c>
      <c r="R653" s="50">
        <f t="shared" si="24"/>
        <v>0.10000000000000853</v>
      </c>
      <c r="T653" s="21">
        <v>45918</v>
      </c>
      <c r="U653" s="22" t="s">
        <v>51</v>
      </c>
      <c r="V653" s="24">
        <v>4</v>
      </c>
      <c r="W653" s="24">
        <v>3</v>
      </c>
      <c r="X653" s="24">
        <v>3</v>
      </c>
      <c r="Y653" s="24">
        <v>4</v>
      </c>
      <c r="Z653" s="20">
        <f t="shared" si="25"/>
        <v>14</v>
      </c>
    </row>
    <row r="654" spans="1:26" x14ac:dyDescent="0.2">
      <c r="A654" s="21"/>
      <c r="B654" s="51"/>
      <c r="C654" s="22"/>
      <c r="D654" s="22"/>
      <c r="E654" s="24"/>
      <c r="F654" s="22"/>
      <c r="H654" s="21">
        <v>45906</v>
      </c>
      <c r="I654" s="22" t="s">
        <v>70</v>
      </c>
      <c r="J654" s="22" t="s">
        <v>48</v>
      </c>
      <c r="K654" s="24">
        <v>2</v>
      </c>
      <c r="M654" s="21">
        <v>45919</v>
      </c>
      <c r="N654" s="22" t="s">
        <v>70</v>
      </c>
      <c r="O654" s="22" t="s">
        <v>52</v>
      </c>
      <c r="P654" s="49">
        <v>71.2</v>
      </c>
      <c r="Q654" s="49">
        <v>71</v>
      </c>
      <c r="R654" s="50">
        <f t="shared" si="24"/>
        <v>0.20000000000000284</v>
      </c>
      <c r="T654" s="21">
        <v>45918</v>
      </c>
      <c r="U654" s="22" t="s">
        <v>52</v>
      </c>
      <c r="V654" s="24">
        <v>3</v>
      </c>
      <c r="W654" s="24">
        <v>3</v>
      </c>
      <c r="X654" s="24">
        <v>3</v>
      </c>
      <c r="Y654" s="24">
        <v>3</v>
      </c>
      <c r="Z654" s="20">
        <f t="shared" si="25"/>
        <v>12</v>
      </c>
    </row>
    <row r="655" spans="1:26" x14ac:dyDescent="0.2">
      <c r="A655" s="21"/>
      <c r="B655" s="51"/>
      <c r="C655" s="22"/>
      <c r="D655" s="22"/>
      <c r="E655" s="24"/>
      <c r="F655" s="22"/>
      <c r="H655" s="21">
        <v>45906</v>
      </c>
      <c r="I655" s="22" t="s">
        <v>70</v>
      </c>
      <c r="J655" s="22" t="s">
        <v>56</v>
      </c>
      <c r="K655" s="24">
        <v>2</v>
      </c>
      <c r="M655" s="21">
        <v>45919</v>
      </c>
      <c r="N655" s="22" t="s">
        <v>71</v>
      </c>
      <c r="O655" s="22" t="s">
        <v>52</v>
      </c>
      <c r="P655" s="49">
        <v>71</v>
      </c>
      <c r="Q655" s="49">
        <v>71</v>
      </c>
      <c r="R655" s="50">
        <f t="shared" si="24"/>
        <v>0</v>
      </c>
      <c r="T655" s="21">
        <v>45918</v>
      </c>
      <c r="U655" s="22" t="s">
        <v>53</v>
      </c>
      <c r="V655" s="24">
        <v>2</v>
      </c>
      <c r="W655" s="24">
        <v>3</v>
      </c>
      <c r="X655" s="24">
        <v>5</v>
      </c>
      <c r="Y655" s="24">
        <v>5</v>
      </c>
      <c r="Z655" s="20">
        <f t="shared" si="25"/>
        <v>15</v>
      </c>
    </row>
    <row r="656" spans="1:26" x14ac:dyDescent="0.2">
      <c r="A656" s="21"/>
      <c r="B656" s="51"/>
      <c r="C656" s="22"/>
      <c r="D656" s="22"/>
      <c r="E656" s="24"/>
      <c r="F656" s="22"/>
      <c r="H656" s="21">
        <v>45906</v>
      </c>
      <c r="I656" s="22" t="s">
        <v>71</v>
      </c>
      <c r="J656" s="22" t="s">
        <v>52</v>
      </c>
      <c r="K656" s="24" t="s">
        <v>61</v>
      </c>
      <c r="M656" s="21">
        <v>45919</v>
      </c>
      <c r="N656" s="22" t="s">
        <v>70</v>
      </c>
      <c r="O656" s="22" t="s">
        <v>53</v>
      </c>
      <c r="P656" s="49">
        <v>67.7</v>
      </c>
      <c r="Q656" s="49">
        <v>66.400000000000006</v>
      </c>
      <c r="R656" s="50">
        <f t="shared" si="24"/>
        <v>1.2999999999999972</v>
      </c>
      <c r="T656" s="21">
        <v>45918</v>
      </c>
      <c r="U656" s="22" t="s">
        <v>33</v>
      </c>
      <c r="V656" s="24">
        <v>3.2222222222222201</v>
      </c>
      <c r="W656" s="24">
        <v>2.8888888888888902</v>
      </c>
      <c r="X656" s="24">
        <v>3.4444444444444402</v>
      </c>
      <c r="Y656" s="24">
        <v>4.1111111111111098</v>
      </c>
      <c r="Z656" s="20">
        <f t="shared" si="25"/>
        <v>13.666666666666661</v>
      </c>
    </row>
    <row r="657" spans="1:26" x14ac:dyDescent="0.2">
      <c r="A657" s="21"/>
      <c r="B657" s="51"/>
      <c r="C657" s="22"/>
      <c r="D657" s="22"/>
      <c r="E657" s="24"/>
      <c r="F657" s="22"/>
      <c r="H657" s="21">
        <v>45906</v>
      </c>
      <c r="I657" s="22" t="s">
        <v>71</v>
      </c>
      <c r="J657" s="22" t="s">
        <v>53</v>
      </c>
      <c r="K657" s="24">
        <v>7</v>
      </c>
      <c r="M657" s="21">
        <v>45919</v>
      </c>
      <c r="N657" s="22" t="s">
        <v>71</v>
      </c>
      <c r="O657" s="22" t="s">
        <v>53</v>
      </c>
      <c r="P657" s="49">
        <v>67.2</v>
      </c>
      <c r="Q657" s="49">
        <v>66.400000000000006</v>
      </c>
      <c r="R657" s="50">
        <f t="shared" si="24"/>
        <v>0.79999999999999716</v>
      </c>
      <c r="T657" s="21">
        <v>45919</v>
      </c>
      <c r="U657" s="22" t="s">
        <v>41</v>
      </c>
      <c r="V657" s="24">
        <v>1</v>
      </c>
      <c r="W657" s="24">
        <v>2</v>
      </c>
      <c r="X657" s="24">
        <v>2</v>
      </c>
      <c r="Y657" s="24">
        <v>2</v>
      </c>
      <c r="Z657" s="20">
        <f t="shared" si="25"/>
        <v>7</v>
      </c>
    </row>
    <row r="658" spans="1:26" x14ac:dyDescent="0.2">
      <c r="A658" s="21"/>
      <c r="B658" s="51"/>
      <c r="C658" s="22"/>
      <c r="D658" s="22"/>
      <c r="E658" s="24"/>
      <c r="F658" s="22"/>
      <c r="H658" s="21">
        <v>45906</v>
      </c>
      <c r="I658" s="22" t="s">
        <v>71</v>
      </c>
      <c r="J658" s="22" t="s">
        <v>44</v>
      </c>
      <c r="K658" s="24">
        <v>9</v>
      </c>
      <c r="M658" s="21">
        <v>45919</v>
      </c>
      <c r="N658" s="22" t="s">
        <v>70</v>
      </c>
      <c r="O658" s="22" t="s">
        <v>54</v>
      </c>
      <c r="P658" s="49">
        <v>84.9</v>
      </c>
      <c r="Q658" s="49">
        <v>85</v>
      </c>
      <c r="R658" s="50">
        <f t="shared" si="24"/>
        <v>-9.9999999999994316E-2</v>
      </c>
      <c r="T658" s="21">
        <v>45919</v>
      </c>
      <c r="U658" s="22" t="s">
        <v>42</v>
      </c>
      <c r="V658" s="24">
        <v>3</v>
      </c>
      <c r="W658" s="24">
        <v>4</v>
      </c>
      <c r="X658" s="24">
        <v>4</v>
      </c>
      <c r="Y658" s="24">
        <v>5</v>
      </c>
      <c r="Z658" s="20">
        <f t="shared" si="25"/>
        <v>16</v>
      </c>
    </row>
    <row r="659" spans="1:26" x14ac:dyDescent="0.2">
      <c r="A659" s="21"/>
      <c r="B659" s="51"/>
      <c r="C659" s="22"/>
      <c r="D659" s="22"/>
      <c r="E659" s="24"/>
      <c r="F659" s="22"/>
      <c r="H659" s="21">
        <v>45906</v>
      </c>
      <c r="I659" s="22" t="s">
        <v>71</v>
      </c>
      <c r="J659" s="22" t="s">
        <v>45</v>
      </c>
      <c r="K659" s="24">
        <v>8</v>
      </c>
      <c r="M659" s="21">
        <v>45919</v>
      </c>
      <c r="N659" s="22" t="s">
        <v>70</v>
      </c>
      <c r="O659" s="22" t="s">
        <v>55</v>
      </c>
      <c r="P659" s="49">
        <v>75.3</v>
      </c>
      <c r="Q659" s="49">
        <v>75.2</v>
      </c>
      <c r="R659" s="50">
        <f t="shared" si="24"/>
        <v>9.9999999999994316E-2</v>
      </c>
      <c r="T659" s="21">
        <v>45919</v>
      </c>
      <c r="U659" s="22" t="s">
        <v>43</v>
      </c>
      <c r="V659" s="24">
        <v>5</v>
      </c>
      <c r="W659" s="24">
        <v>4</v>
      </c>
      <c r="X659" s="24">
        <v>4</v>
      </c>
      <c r="Y659" s="24">
        <v>5</v>
      </c>
      <c r="Z659" s="20">
        <f t="shared" si="25"/>
        <v>18</v>
      </c>
    </row>
    <row r="660" spans="1:26" x14ac:dyDescent="0.2">
      <c r="A660" s="21"/>
      <c r="B660" s="51"/>
      <c r="C660" s="22"/>
      <c r="D660" s="22"/>
      <c r="E660" s="24"/>
      <c r="F660" s="22"/>
      <c r="H660" s="21">
        <v>45906</v>
      </c>
      <c r="I660" s="22" t="s">
        <v>71</v>
      </c>
      <c r="J660" s="22" t="s">
        <v>57</v>
      </c>
      <c r="K660" s="24" t="s">
        <v>63</v>
      </c>
      <c r="M660" s="21">
        <v>45919</v>
      </c>
      <c r="N660" s="22" t="s">
        <v>71</v>
      </c>
      <c r="O660" s="22" t="s">
        <v>55</v>
      </c>
      <c r="P660" s="49">
        <v>75.2</v>
      </c>
      <c r="Q660" s="49">
        <v>75.599999999999994</v>
      </c>
      <c r="R660" s="50">
        <f t="shared" si="24"/>
        <v>-0.39999999999999147</v>
      </c>
      <c r="T660" s="21">
        <v>45919</v>
      </c>
      <c r="U660" s="22" t="s">
        <v>44</v>
      </c>
      <c r="V660" s="24">
        <v>4</v>
      </c>
      <c r="W660" s="24">
        <v>4</v>
      </c>
      <c r="X660" s="24">
        <v>4</v>
      </c>
      <c r="Y660" s="24">
        <v>5</v>
      </c>
      <c r="Z660" s="20">
        <f t="shared" si="25"/>
        <v>17</v>
      </c>
    </row>
    <row r="661" spans="1:26" x14ac:dyDescent="0.2">
      <c r="A661" s="21"/>
      <c r="B661" s="51"/>
      <c r="C661" s="22"/>
      <c r="D661" s="22"/>
      <c r="E661" s="24"/>
      <c r="F661" s="22"/>
      <c r="H661" s="21">
        <v>45906</v>
      </c>
      <c r="I661" s="22" t="s">
        <v>71</v>
      </c>
      <c r="J661" s="22" t="s">
        <v>42</v>
      </c>
      <c r="K661" s="24" t="s">
        <v>63</v>
      </c>
      <c r="M661" s="21">
        <v>45919</v>
      </c>
      <c r="N661" s="22" t="s">
        <v>70</v>
      </c>
      <c r="O661" s="22" t="s">
        <v>56</v>
      </c>
      <c r="P661" s="49">
        <v>74.900000000000006</v>
      </c>
      <c r="Q661" s="49">
        <v>74.7</v>
      </c>
      <c r="R661" s="50">
        <f t="shared" si="24"/>
        <v>0.20000000000000284</v>
      </c>
      <c r="T661" s="21">
        <v>45919</v>
      </c>
      <c r="U661" s="22" t="s">
        <v>45</v>
      </c>
      <c r="V661" s="24">
        <v>4</v>
      </c>
      <c r="W661" s="24">
        <v>4</v>
      </c>
      <c r="X661" s="24">
        <v>4</v>
      </c>
      <c r="Y661" s="24">
        <v>5</v>
      </c>
      <c r="Z661" s="20">
        <f t="shared" si="25"/>
        <v>17</v>
      </c>
    </row>
    <row r="662" spans="1:26" x14ac:dyDescent="0.2">
      <c r="A662" s="21"/>
      <c r="B662" s="51"/>
      <c r="C662" s="22"/>
      <c r="D662" s="22"/>
      <c r="E662" s="24"/>
      <c r="F662" s="22"/>
      <c r="H662" s="21">
        <v>45906</v>
      </c>
      <c r="I662" s="22" t="s">
        <v>71</v>
      </c>
      <c r="J662" s="22" t="s">
        <v>54</v>
      </c>
      <c r="K662" s="24" t="s">
        <v>63</v>
      </c>
      <c r="M662" s="21">
        <v>45919</v>
      </c>
      <c r="N662" s="22" t="s">
        <v>70</v>
      </c>
      <c r="O662" s="22" t="s">
        <v>57</v>
      </c>
      <c r="P662" s="49">
        <v>92.2</v>
      </c>
      <c r="Q662" s="49">
        <v>90.7</v>
      </c>
      <c r="R662" s="50">
        <f t="shared" si="24"/>
        <v>1.5</v>
      </c>
      <c r="T662" s="21">
        <v>45919</v>
      </c>
      <c r="U662" s="22" t="s">
        <v>47</v>
      </c>
      <c r="V662" s="24">
        <v>5</v>
      </c>
      <c r="W662" s="24">
        <v>4</v>
      </c>
      <c r="X662" s="24">
        <v>5</v>
      </c>
      <c r="Y662" s="24">
        <v>5</v>
      </c>
      <c r="Z662" s="20">
        <f t="shared" si="25"/>
        <v>19</v>
      </c>
    </row>
    <row r="663" spans="1:26" x14ac:dyDescent="0.2">
      <c r="A663" s="21"/>
      <c r="B663" s="51"/>
      <c r="C663" s="22"/>
      <c r="D663" s="22"/>
      <c r="E663" s="24"/>
      <c r="F663" s="22"/>
      <c r="H663" s="21">
        <v>45906</v>
      </c>
      <c r="I663" s="22" t="s">
        <v>71</v>
      </c>
      <c r="J663" s="22" t="s">
        <v>47</v>
      </c>
      <c r="K663" s="24">
        <v>8</v>
      </c>
      <c r="M663" s="21">
        <v>45922</v>
      </c>
      <c r="N663" s="22" t="s">
        <v>71</v>
      </c>
      <c r="O663" s="22" t="s">
        <v>41</v>
      </c>
      <c r="P663" s="49">
        <v>77.099999999999994</v>
      </c>
      <c r="Q663" s="49">
        <v>76.8</v>
      </c>
      <c r="R663" s="50">
        <f t="shared" si="24"/>
        <v>0.29999999999999716</v>
      </c>
      <c r="T663" s="21">
        <v>45919</v>
      </c>
      <c r="U663" s="22" t="s">
        <v>48</v>
      </c>
      <c r="V663" s="24">
        <v>4</v>
      </c>
      <c r="W663" s="24">
        <v>3</v>
      </c>
      <c r="X663" s="24">
        <v>4</v>
      </c>
      <c r="Y663" s="24">
        <v>5</v>
      </c>
      <c r="Z663" s="20">
        <f t="shared" si="25"/>
        <v>16</v>
      </c>
    </row>
    <row r="664" spans="1:26" x14ac:dyDescent="0.2">
      <c r="A664" s="21"/>
      <c r="B664" s="51"/>
      <c r="C664" s="22"/>
      <c r="D664" s="22"/>
      <c r="E664" s="24"/>
      <c r="F664" s="22"/>
      <c r="H664" s="21">
        <v>45906</v>
      </c>
      <c r="I664" s="22" t="s">
        <v>71</v>
      </c>
      <c r="J664" s="22" t="s">
        <v>41</v>
      </c>
      <c r="K664" s="24">
        <v>8</v>
      </c>
      <c r="M664" s="21">
        <v>45922</v>
      </c>
      <c r="N664" s="22" t="s">
        <v>71</v>
      </c>
      <c r="O664" s="22" t="s">
        <v>42</v>
      </c>
      <c r="P664" s="49">
        <v>79.7</v>
      </c>
      <c r="Q664" s="49">
        <v>79.5</v>
      </c>
      <c r="R664" s="50">
        <f t="shared" si="24"/>
        <v>0.20000000000000284</v>
      </c>
      <c r="T664" s="21">
        <v>45919</v>
      </c>
      <c r="U664" s="22" t="s">
        <v>51</v>
      </c>
      <c r="V664" s="24">
        <v>4</v>
      </c>
      <c r="W664" s="24">
        <v>3</v>
      </c>
      <c r="X664" s="24">
        <v>4</v>
      </c>
      <c r="Y664" s="24">
        <v>4</v>
      </c>
      <c r="Z664" s="20">
        <f t="shared" si="25"/>
        <v>15</v>
      </c>
    </row>
    <row r="665" spans="1:26" x14ac:dyDescent="0.2">
      <c r="A665" s="21"/>
      <c r="B665" s="51"/>
      <c r="C665" s="22"/>
      <c r="D665" s="22"/>
      <c r="E665" s="24"/>
      <c r="F665" s="22"/>
      <c r="H665" s="21">
        <v>45906</v>
      </c>
      <c r="I665" s="22" t="s">
        <v>71</v>
      </c>
      <c r="J665" s="22" t="s">
        <v>49</v>
      </c>
      <c r="K665" s="24">
        <v>9</v>
      </c>
      <c r="M665" s="21">
        <v>45922</v>
      </c>
      <c r="N665" s="22" t="s">
        <v>71</v>
      </c>
      <c r="O665" s="22" t="s">
        <v>44</v>
      </c>
      <c r="P665" s="49">
        <v>67.5</v>
      </c>
      <c r="Q665" s="49">
        <v>68.099999999999994</v>
      </c>
      <c r="R665" s="50">
        <f t="shared" si="24"/>
        <v>-0.59999999999999432</v>
      </c>
      <c r="T665" s="21">
        <v>45919</v>
      </c>
      <c r="U665" s="22" t="s">
        <v>52</v>
      </c>
      <c r="V665" s="24">
        <v>3</v>
      </c>
      <c r="W665" s="24">
        <v>4</v>
      </c>
      <c r="X665" s="24">
        <v>4</v>
      </c>
      <c r="Y665" s="24">
        <v>3</v>
      </c>
      <c r="Z665" s="20">
        <f t="shared" si="25"/>
        <v>14</v>
      </c>
    </row>
    <row r="666" spans="1:26" x14ac:dyDescent="0.2">
      <c r="A666" s="21"/>
      <c r="B666" s="51"/>
      <c r="C666" s="22"/>
      <c r="D666" s="22"/>
      <c r="E666" s="24"/>
      <c r="F666" s="22"/>
      <c r="H666" s="21">
        <v>45906</v>
      </c>
      <c r="I666" s="22" t="s">
        <v>71</v>
      </c>
      <c r="J666" s="22" t="s">
        <v>50</v>
      </c>
      <c r="K666" s="24">
        <v>9</v>
      </c>
      <c r="M666" s="21">
        <v>45922</v>
      </c>
      <c r="N666" s="22" t="s">
        <v>71</v>
      </c>
      <c r="O666" s="22" t="s">
        <v>45</v>
      </c>
      <c r="P666" s="49">
        <v>68.8</v>
      </c>
      <c r="Q666" s="49">
        <v>67.8</v>
      </c>
      <c r="R666" s="50">
        <f t="shared" si="24"/>
        <v>1</v>
      </c>
      <c r="T666" s="21">
        <v>45919</v>
      </c>
      <c r="U666" s="22" t="s">
        <v>53</v>
      </c>
      <c r="V666" s="24">
        <v>4</v>
      </c>
      <c r="W666" s="24">
        <v>4</v>
      </c>
      <c r="X666" s="24">
        <v>4</v>
      </c>
      <c r="Y666" s="24">
        <v>4</v>
      </c>
      <c r="Z666" s="20">
        <f t="shared" si="25"/>
        <v>16</v>
      </c>
    </row>
    <row r="667" spans="1:26" x14ac:dyDescent="0.2">
      <c r="A667" s="21"/>
      <c r="B667" s="51"/>
      <c r="C667" s="22"/>
      <c r="D667" s="22"/>
      <c r="E667" s="24"/>
      <c r="F667" s="22"/>
      <c r="H667" s="21">
        <v>45906</v>
      </c>
      <c r="I667" s="22" t="s">
        <v>71</v>
      </c>
      <c r="J667" s="22" t="s">
        <v>51</v>
      </c>
      <c r="K667" s="24">
        <v>9</v>
      </c>
      <c r="M667" s="21">
        <v>45922</v>
      </c>
      <c r="N667" s="22" t="s">
        <v>71</v>
      </c>
      <c r="O667" s="22" t="s">
        <v>47</v>
      </c>
      <c r="P667" s="49">
        <v>71.3</v>
      </c>
      <c r="Q667" s="49">
        <v>71.2</v>
      </c>
      <c r="R667" s="50">
        <f t="shared" si="24"/>
        <v>9.9999999999994316E-2</v>
      </c>
      <c r="T667" s="21">
        <v>45919</v>
      </c>
      <c r="U667" s="22" t="s">
        <v>54</v>
      </c>
      <c r="V667" s="24">
        <v>1</v>
      </c>
      <c r="W667" s="24">
        <v>3</v>
      </c>
      <c r="X667" s="24">
        <v>3</v>
      </c>
      <c r="Y667" s="24">
        <v>2</v>
      </c>
      <c r="Z667" s="20">
        <f t="shared" si="25"/>
        <v>9</v>
      </c>
    </row>
    <row r="668" spans="1:26" x14ac:dyDescent="0.2">
      <c r="A668" s="21"/>
      <c r="B668" s="51"/>
      <c r="C668" s="22"/>
      <c r="D668" s="22"/>
      <c r="E668" s="24"/>
      <c r="F668" s="22"/>
      <c r="H668" s="21">
        <v>45906</v>
      </c>
      <c r="I668" s="22" t="s">
        <v>71</v>
      </c>
      <c r="J668" s="22" t="s">
        <v>46</v>
      </c>
      <c r="K668" s="24">
        <v>8</v>
      </c>
      <c r="M668" s="21">
        <v>45922</v>
      </c>
      <c r="N668" s="22" t="s">
        <v>71</v>
      </c>
      <c r="O668" s="22" t="s">
        <v>48</v>
      </c>
      <c r="P668" s="49">
        <v>82</v>
      </c>
      <c r="Q668" s="49">
        <v>81.400000000000006</v>
      </c>
      <c r="R668" s="50">
        <f t="shared" si="24"/>
        <v>0.59999999999999432</v>
      </c>
      <c r="T668" s="21">
        <v>45919</v>
      </c>
      <c r="U668" s="22" t="s">
        <v>55</v>
      </c>
      <c r="V668" s="24">
        <v>4</v>
      </c>
      <c r="W668" s="24">
        <v>3</v>
      </c>
      <c r="X668" s="24">
        <v>3</v>
      </c>
      <c r="Y668" s="24">
        <v>4</v>
      </c>
      <c r="Z668" s="20">
        <f t="shared" si="25"/>
        <v>14</v>
      </c>
    </row>
    <row r="669" spans="1:26" x14ac:dyDescent="0.2">
      <c r="A669" s="21"/>
      <c r="B669" s="51"/>
      <c r="C669" s="22"/>
      <c r="D669" s="22"/>
      <c r="E669" s="24"/>
      <c r="F669" s="22"/>
      <c r="H669" s="21">
        <v>45906</v>
      </c>
      <c r="I669" s="22" t="s">
        <v>71</v>
      </c>
      <c r="J669" s="22" t="s">
        <v>48</v>
      </c>
      <c r="K669" s="24">
        <v>9</v>
      </c>
      <c r="M669" s="21">
        <v>45922</v>
      </c>
      <c r="N669" s="22" t="s">
        <v>71</v>
      </c>
      <c r="O669" s="22" t="s">
        <v>51</v>
      </c>
      <c r="P669" s="49">
        <v>75.900000000000006</v>
      </c>
      <c r="Q669" s="49">
        <v>74.7</v>
      </c>
      <c r="R669" s="50">
        <f t="shared" si="24"/>
        <v>1.2000000000000028</v>
      </c>
      <c r="T669" s="21">
        <v>45919</v>
      </c>
      <c r="U669" s="22" t="s">
        <v>56</v>
      </c>
      <c r="V669" s="24">
        <v>2</v>
      </c>
      <c r="W669" s="24">
        <v>4</v>
      </c>
      <c r="X669" s="24">
        <v>4</v>
      </c>
      <c r="Y669" s="24">
        <v>2</v>
      </c>
      <c r="Z669" s="20">
        <f t="shared" si="25"/>
        <v>12</v>
      </c>
    </row>
    <row r="670" spans="1:26" x14ac:dyDescent="0.2">
      <c r="A670" s="21"/>
      <c r="B670" s="51"/>
      <c r="C670" s="22"/>
      <c r="D670" s="22"/>
      <c r="E670" s="24"/>
      <c r="F670" s="22"/>
      <c r="H670" s="21">
        <v>45906</v>
      </c>
      <c r="I670" s="22" t="s">
        <v>71</v>
      </c>
      <c r="J670" s="22" t="s">
        <v>56</v>
      </c>
      <c r="K670" s="24" t="s">
        <v>63</v>
      </c>
      <c r="M670" s="21">
        <v>45922</v>
      </c>
      <c r="N670" s="22" t="s">
        <v>71</v>
      </c>
      <c r="O670" s="22" t="s">
        <v>52</v>
      </c>
      <c r="P670" s="49">
        <v>72.400000000000006</v>
      </c>
      <c r="Q670" s="49">
        <v>71.8</v>
      </c>
      <c r="R670" s="50">
        <f t="shared" si="24"/>
        <v>0.60000000000000853</v>
      </c>
      <c r="T670" s="21">
        <v>45919</v>
      </c>
      <c r="U670" s="22" t="s">
        <v>57</v>
      </c>
      <c r="V670" s="24">
        <v>4</v>
      </c>
      <c r="W670" s="24">
        <v>4</v>
      </c>
      <c r="X670" s="24">
        <v>4</v>
      </c>
      <c r="Y670" s="24">
        <v>4</v>
      </c>
      <c r="Z670" s="20">
        <f t="shared" si="25"/>
        <v>16</v>
      </c>
    </row>
    <row r="671" spans="1:26" x14ac:dyDescent="0.2">
      <c r="A671" s="21"/>
      <c r="B671" s="51"/>
      <c r="C671" s="22"/>
      <c r="D671" s="22"/>
      <c r="E671" s="24"/>
      <c r="F671" s="22"/>
      <c r="H671" s="21">
        <v>45908</v>
      </c>
      <c r="I671" s="22" t="s">
        <v>71</v>
      </c>
      <c r="J671" s="22" t="s">
        <v>52</v>
      </c>
      <c r="K671" s="24">
        <v>2</v>
      </c>
      <c r="M671" s="21">
        <v>45922</v>
      </c>
      <c r="N671" s="22" t="s">
        <v>71</v>
      </c>
      <c r="O671" s="22" t="s">
        <v>53</v>
      </c>
      <c r="P671" s="49">
        <v>66.2</v>
      </c>
      <c r="Q671" s="49">
        <v>65.400000000000006</v>
      </c>
      <c r="R671" s="50">
        <f t="shared" si="24"/>
        <v>0.79999999999999716</v>
      </c>
      <c r="T671" s="21">
        <v>45919</v>
      </c>
      <c r="U671" s="22" t="s">
        <v>33</v>
      </c>
      <c r="V671" s="24">
        <v>3.4285714285714302</v>
      </c>
      <c r="W671" s="24">
        <v>3.5714285714285698</v>
      </c>
      <c r="X671" s="24">
        <v>3.78571428571429</v>
      </c>
      <c r="Y671" s="24">
        <v>3.9285714285714302</v>
      </c>
      <c r="Z671" s="20">
        <f t="shared" si="25"/>
        <v>14.714285714285721</v>
      </c>
    </row>
    <row r="672" spans="1:26" x14ac:dyDescent="0.2">
      <c r="A672" s="21"/>
      <c r="B672" s="51"/>
      <c r="C672" s="22"/>
      <c r="D672" s="22"/>
      <c r="E672" s="24"/>
      <c r="F672" s="22"/>
      <c r="H672" s="21">
        <v>45908</v>
      </c>
      <c r="I672" s="22" t="s">
        <v>71</v>
      </c>
      <c r="J672" s="22" t="s">
        <v>53</v>
      </c>
      <c r="K672" s="24">
        <v>4</v>
      </c>
      <c r="M672" s="21">
        <v>45922</v>
      </c>
      <c r="N672" s="22" t="s">
        <v>71</v>
      </c>
      <c r="O672" s="22" t="s">
        <v>54</v>
      </c>
      <c r="P672" s="49">
        <v>84.4</v>
      </c>
      <c r="Q672" s="49">
        <v>84.5</v>
      </c>
      <c r="R672" s="50">
        <f t="shared" si="24"/>
        <v>-9.9999999999994316E-2</v>
      </c>
      <c r="T672" s="21">
        <v>45922</v>
      </c>
      <c r="U672" s="22" t="s">
        <v>41</v>
      </c>
      <c r="V672" s="24">
        <v>1</v>
      </c>
      <c r="W672" s="24">
        <v>2</v>
      </c>
      <c r="X672" s="24">
        <v>2</v>
      </c>
      <c r="Y672" s="24">
        <v>2</v>
      </c>
      <c r="Z672" s="20">
        <f t="shared" si="25"/>
        <v>7</v>
      </c>
    </row>
    <row r="673" spans="1:26" x14ac:dyDescent="0.2">
      <c r="A673" s="21"/>
      <c r="B673" s="51"/>
      <c r="C673" s="22"/>
      <c r="D673" s="22"/>
      <c r="E673" s="24"/>
      <c r="F673" s="22"/>
      <c r="H673" s="21">
        <v>45908</v>
      </c>
      <c r="I673" s="22" t="s">
        <v>71</v>
      </c>
      <c r="J673" s="22" t="s">
        <v>44</v>
      </c>
      <c r="K673" s="24">
        <v>2</v>
      </c>
      <c r="M673" s="21">
        <v>45922</v>
      </c>
      <c r="N673" s="22" t="s">
        <v>71</v>
      </c>
      <c r="O673" s="22" t="s">
        <v>56</v>
      </c>
      <c r="P673" s="49">
        <v>74.599999999999994</v>
      </c>
      <c r="Q673" s="49">
        <v>74.8</v>
      </c>
      <c r="R673" s="50">
        <f t="shared" si="24"/>
        <v>-0.20000000000000284</v>
      </c>
      <c r="T673" s="21">
        <v>45922</v>
      </c>
      <c r="U673" s="22" t="s">
        <v>42</v>
      </c>
      <c r="V673" s="24">
        <v>4</v>
      </c>
      <c r="W673" s="24">
        <v>4</v>
      </c>
      <c r="X673" s="24">
        <v>4</v>
      </c>
      <c r="Y673" s="24">
        <v>5</v>
      </c>
      <c r="Z673" s="20">
        <f t="shared" si="25"/>
        <v>17</v>
      </c>
    </row>
    <row r="674" spans="1:26" x14ac:dyDescent="0.2">
      <c r="A674" s="21"/>
      <c r="B674" s="51"/>
      <c r="C674" s="22"/>
      <c r="D674" s="22"/>
      <c r="E674" s="24"/>
      <c r="F674" s="22"/>
      <c r="H674" s="21">
        <v>45908</v>
      </c>
      <c r="I674" s="22" t="s">
        <v>71</v>
      </c>
      <c r="J674" s="22" t="s">
        <v>45</v>
      </c>
      <c r="K674" s="24">
        <v>3</v>
      </c>
      <c r="M674" s="21">
        <v>45922</v>
      </c>
      <c r="N674" s="22" t="s">
        <v>71</v>
      </c>
      <c r="O674" s="22" t="s">
        <v>57</v>
      </c>
      <c r="P674" s="49">
        <v>93.2</v>
      </c>
      <c r="Q674" s="49">
        <v>91.5</v>
      </c>
      <c r="R674" s="50">
        <f t="shared" si="24"/>
        <v>1.7000000000000028</v>
      </c>
      <c r="T674" s="21">
        <v>45922</v>
      </c>
      <c r="U674" s="22" t="s">
        <v>44</v>
      </c>
      <c r="V674" s="24">
        <v>3</v>
      </c>
      <c r="W674" s="24">
        <v>3</v>
      </c>
      <c r="X674" s="24">
        <v>3</v>
      </c>
      <c r="Y674" s="24">
        <v>3</v>
      </c>
      <c r="Z674" s="20">
        <f t="shared" si="25"/>
        <v>12</v>
      </c>
    </row>
    <row r="675" spans="1:26" x14ac:dyDescent="0.2">
      <c r="A675" s="21"/>
      <c r="B675" s="51"/>
      <c r="C675" s="22"/>
      <c r="D675" s="22"/>
      <c r="E675" s="24"/>
      <c r="F675" s="22"/>
      <c r="H675" s="21">
        <v>45908</v>
      </c>
      <c r="I675" s="22" t="s">
        <v>71</v>
      </c>
      <c r="J675" s="22" t="s">
        <v>57</v>
      </c>
      <c r="K675" s="24">
        <v>6</v>
      </c>
      <c r="M675" s="21">
        <v>45923</v>
      </c>
      <c r="N675" s="22" t="s">
        <v>70</v>
      </c>
      <c r="O675" s="22" t="s">
        <v>41</v>
      </c>
      <c r="P675" s="49">
        <v>76.900000000000006</v>
      </c>
      <c r="Q675" s="49">
        <v>75.8</v>
      </c>
      <c r="R675" s="50">
        <f t="shared" si="24"/>
        <v>1.1000000000000085</v>
      </c>
      <c r="T675" s="21">
        <v>45922</v>
      </c>
      <c r="U675" s="22" t="s">
        <v>45</v>
      </c>
      <c r="V675" s="24">
        <v>4</v>
      </c>
      <c r="W675" s="24">
        <v>4</v>
      </c>
      <c r="X675" s="24">
        <v>4</v>
      </c>
      <c r="Y675" s="24">
        <v>5</v>
      </c>
      <c r="Z675" s="20">
        <f t="shared" si="25"/>
        <v>17</v>
      </c>
    </row>
    <row r="676" spans="1:26" x14ac:dyDescent="0.2">
      <c r="A676" s="21"/>
      <c r="B676" s="51"/>
      <c r="C676" s="22"/>
      <c r="D676" s="22"/>
      <c r="E676" s="24"/>
      <c r="F676" s="22"/>
      <c r="H676" s="21">
        <v>45908</v>
      </c>
      <c r="I676" s="22" t="s">
        <v>71</v>
      </c>
      <c r="J676" s="22" t="s">
        <v>42</v>
      </c>
      <c r="K676" s="24">
        <v>1</v>
      </c>
      <c r="M676" s="21">
        <v>45923</v>
      </c>
      <c r="N676" s="22" t="s">
        <v>70</v>
      </c>
      <c r="O676" s="22" t="s">
        <v>42</v>
      </c>
      <c r="P676" s="49">
        <v>79.8</v>
      </c>
      <c r="Q676" s="49">
        <v>79.7</v>
      </c>
      <c r="R676" s="50">
        <f t="shared" si="24"/>
        <v>9.9999999999994316E-2</v>
      </c>
      <c r="T676" s="21">
        <v>45922</v>
      </c>
      <c r="U676" s="22" t="s">
        <v>47</v>
      </c>
      <c r="V676" s="24">
        <v>5</v>
      </c>
      <c r="W676" s="24">
        <v>4</v>
      </c>
      <c r="X676" s="24">
        <v>4</v>
      </c>
      <c r="Y676" s="24">
        <v>5</v>
      </c>
      <c r="Z676" s="20">
        <f t="shared" si="25"/>
        <v>18</v>
      </c>
    </row>
    <row r="677" spans="1:26" x14ac:dyDescent="0.2">
      <c r="A677" s="21"/>
      <c r="B677" s="51"/>
      <c r="C677" s="22"/>
      <c r="D677" s="22"/>
      <c r="E677" s="24"/>
      <c r="F677" s="22"/>
      <c r="H677" s="21">
        <v>45908</v>
      </c>
      <c r="I677" s="22" t="s">
        <v>71</v>
      </c>
      <c r="J677" s="22" t="s">
        <v>54</v>
      </c>
      <c r="K677" s="24">
        <v>3</v>
      </c>
      <c r="M677" s="21">
        <v>45923</v>
      </c>
      <c r="N677" s="22" t="s">
        <v>70</v>
      </c>
      <c r="O677" s="22" t="s">
        <v>44</v>
      </c>
      <c r="P677" s="49">
        <v>67</v>
      </c>
      <c r="Q677" s="49">
        <v>66.8</v>
      </c>
      <c r="R677" s="50">
        <f t="shared" si="24"/>
        <v>0.20000000000000284</v>
      </c>
      <c r="T677" s="21">
        <v>45922</v>
      </c>
      <c r="U677" s="22" t="s">
        <v>48</v>
      </c>
      <c r="V677" s="24">
        <v>5</v>
      </c>
      <c r="W677" s="24">
        <v>4</v>
      </c>
      <c r="X677" s="24">
        <v>4</v>
      </c>
      <c r="Y677" s="24">
        <v>5</v>
      </c>
      <c r="Z677" s="20">
        <f t="shared" si="25"/>
        <v>18</v>
      </c>
    </row>
    <row r="678" spans="1:26" x14ac:dyDescent="0.2">
      <c r="A678" s="21"/>
      <c r="B678" s="51"/>
      <c r="C678" s="22"/>
      <c r="D678" s="22"/>
      <c r="E678" s="24"/>
      <c r="F678" s="22"/>
      <c r="H678" s="21">
        <v>45908</v>
      </c>
      <c r="I678" s="22" t="s">
        <v>71</v>
      </c>
      <c r="J678" s="22" t="s">
        <v>47</v>
      </c>
      <c r="K678" s="24">
        <v>1</v>
      </c>
      <c r="M678" s="21">
        <v>45923</v>
      </c>
      <c r="N678" s="22" t="s">
        <v>70</v>
      </c>
      <c r="O678" s="22" t="s">
        <v>45</v>
      </c>
      <c r="P678" s="49">
        <v>68.400000000000006</v>
      </c>
      <c r="Q678" s="49">
        <v>67.8</v>
      </c>
      <c r="R678" s="50">
        <f t="shared" si="24"/>
        <v>0.60000000000000853</v>
      </c>
      <c r="T678" s="21">
        <v>45922</v>
      </c>
      <c r="U678" s="22" t="s">
        <v>51</v>
      </c>
      <c r="V678" s="24">
        <v>4</v>
      </c>
      <c r="W678" s="24">
        <v>4</v>
      </c>
      <c r="X678" s="24">
        <v>4</v>
      </c>
      <c r="Y678" s="24">
        <v>5</v>
      </c>
      <c r="Z678" s="20">
        <f t="shared" si="25"/>
        <v>17</v>
      </c>
    </row>
    <row r="679" spans="1:26" x14ac:dyDescent="0.2">
      <c r="A679" s="21"/>
      <c r="B679" s="51"/>
      <c r="C679" s="22"/>
      <c r="D679" s="22"/>
      <c r="E679" s="24"/>
      <c r="F679" s="22"/>
      <c r="H679" s="21">
        <v>45908</v>
      </c>
      <c r="I679" s="22" t="s">
        <v>71</v>
      </c>
      <c r="J679" s="22" t="s">
        <v>41</v>
      </c>
      <c r="K679" s="24">
        <v>2</v>
      </c>
      <c r="M679" s="21">
        <v>45923</v>
      </c>
      <c r="N679" s="22" t="s">
        <v>70</v>
      </c>
      <c r="O679" s="22" t="s">
        <v>46</v>
      </c>
      <c r="P679" s="49">
        <v>80</v>
      </c>
      <c r="Q679" s="49">
        <v>79.900000000000006</v>
      </c>
      <c r="R679" s="50">
        <f t="shared" si="24"/>
        <v>9.9999999999994316E-2</v>
      </c>
      <c r="T679" s="21">
        <v>45922</v>
      </c>
      <c r="U679" s="22" t="s">
        <v>52</v>
      </c>
      <c r="V679" s="24">
        <v>4</v>
      </c>
      <c r="W679" s="24">
        <v>5</v>
      </c>
      <c r="X679" s="24">
        <v>4</v>
      </c>
      <c r="Y679" s="24">
        <v>4</v>
      </c>
      <c r="Z679" s="20">
        <f t="shared" si="25"/>
        <v>17</v>
      </c>
    </row>
    <row r="680" spans="1:26" x14ac:dyDescent="0.2">
      <c r="A680" s="21"/>
      <c r="B680" s="51"/>
      <c r="C680" s="22"/>
      <c r="D680" s="22"/>
      <c r="E680" s="24"/>
      <c r="F680" s="22"/>
      <c r="H680" s="21">
        <v>45908</v>
      </c>
      <c r="I680" s="22" t="s">
        <v>71</v>
      </c>
      <c r="J680" s="22" t="s">
        <v>58</v>
      </c>
      <c r="K680" s="24">
        <v>3</v>
      </c>
      <c r="M680" s="21">
        <v>45923</v>
      </c>
      <c r="N680" s="22" t="s">
        <v>70</v>
      </c>
      <c r="O680" s="22" t="s">
        <v>47</v>
      </c>
      <c r="P680" s="49">
        <v>72</v>
      </c>
      <c r="Q680" s="49">
        <v>71.7</v>
      </c>
      <c r="R680" s="50">
        <f t="shared" si="24"/>
        <v>0.29999999999999716</v>
      </c>
      <c r="T680" s="21">
        <v>45922</v>
      </c>
      <c r="U680" s="22" t="s">
        <v>53</v>
      </c>
      <c r="V680" s="24">
        <v>5</v>
      </c>
      <c r="W680" s="24">
        <v>5</v>
      </c>
      <c r="X680" s="24">
        <v>5</v>
      </c>
      <c r="Y680" s="24">
        <v>5</v>
      </c>
      <c r="Z680" s="20">
        <f t="shared" si="25"/>
        <v>20</v>
      </c>
    </row>
    <row r="681" spans="1:26" x14ac:dyDescent="0.2">
      <c r="A681" s="21"/>
      <c r="B681" s="51"/>
      <c r="C681" s="22"/>
      <c r="D681" s="22"/>
      <c r="E681" s="24"/>
      <c r="F681" s="22"/>
      <c r="H681" s="21">
        <v>45908</v>
      </c>
      <c r="I681" s="22" t="s">
        <v>71</v>
      </c>
      <c r="J681" s="22" t="s">
        <v>49</v>
      </c>
      <c r="K681" s="24">
        <v>4</v>
      </c>
      <c r="M681" s="21">
        <v>45923</v>
      </c>
      <c r="N681" s="22" t="s">
        <v>70</v>
      </c>
      <c r="O681" s="22" t="s">
        <v>48</v>
      </c>
      <c r="P681" s="49">
        <v>82.2</v>
      </c>
      <c r="Q681" s="49">
        <v>81.2</v>
      </c>
      <c r="R681" s="50">
        <f t="shared" si="24"/>
        <v>1</v>
      </c>
      <c r="T681" s="21">
        <v>45922</v>
      </c>
      <c r="U681" s="22" t="s">
        <v>54</v>
      </c>
      <c r="V681" s="24">
        <v>4</v>
      </c>
      <c r="W681" s="24">
        <v>3</v>
      </c>
      <c r="X681" s="24">
        <v>2</v>
      </c>
      <c r="Y681" s="24">
        <v>4</v>
      </c>
      <c r="Z681" s="20">
        <f t="shared" si="25"/>
        <v>13</v>
      </c>
    </row>
    <row r="682" spans="1:26" x14ac:dyDescent="0.2">
      <c r="A682" s="21"/>
      <c r="B682" s="51"/>
      <c r="C682" s="22"/>
      <c r="D682" s="22"/>
      <c r="E682" s="24"/>
      <c r="F682" s="22"/>
      <c r="H682" s="21">
        <v>45908</v>
      </c>
      <c r="I682" s="22" t="s">
        <v>71</v>
      </c>
      <c r="J682" s="22" t="s">
        <v>50</v>
      </c>
      <c r="K682" s="24">
        <v>3</v>
      </c>
      <c r="M682" s="21">
        <v>45923</v>
      </c>
      <c r="N682" s="22" t="s">
        <v>70</v>
      </c>
      <c r="O682" s="22" t="s">
        <v>51</v>
      </c>
      <c r="P682" s="49">
        <v>75.2</v>
      </c>
      <c r="Q682" s="49">
        <v>75</v>
      </c>
      <c r="R682" s="50">
        <f t="shared" si="24"/>
        <v>0.20000000000000284</v>
      </c>
      <c r="T682" s="21">
        <v>45922</v>
      </c>
      <c r="U682" s="22" t="s">
        <v>56</v>
      </c>
      <c r="V682" s="24">
        <v>4</v>
      </c>
      <c r="W682" s="24">
        <v>4</v>
      </c>
      <c r="X682" s="24">
        <v>4</v>
      </c>
      <c r="Y682" s="24">
        <v>3</v>
      </c>
      <c r="Z682" s="20">
        <f t="shared" si="25"/>
        <v>15</v>
      </c>
    </row>
    <row r="683" spans="1:26" x14ac:dyDescent="0.2">
      <c r="A683" s="21"/>
      <c r="B683" s="51"/>
      <c r="C683" s="22"/>
      <c r="D683" s="22"/>
      <c r="E683" s="24"/>
      <c r="F683" s="22"/>
      <c r="H683" s="21">
        <v>45908</v>
      </c>
      <c r="I683" s="22" t="s">
        <v>71</v>
      </c>
      <c r="J683" s="22" t="s">
        <v>51</v>
      </c>
      <c r="K683" s="24">
        <v>2</v>
      </c>
      <c r="M683" s="21">
        <v>45923</v>
      </c>
      <c r="N683" s="22" t="s">
        <v>70</v>
      </c>
      <c r="O683" s="22" t="s">
        <v>52</v>
      </c>
      <c r="P683" s="49">
        <v>71.599999999999994</v>
      </c>
      <c r="Q683" s="49">
        <v>70.8</v>
      </c>
      <c r="R683" s="50">
        <f t="shared" si="24"/>
        <v>0.79999999999999716</v>
      </c>
      <c r="T683" s="21">
        <v>45922</v>
      </c>
      <c r="U683" s="22" t="s">
        <v>57</v>
      </c>
      <c r="V683" s="24">
        <v>4</v>
      </c>
      <c r="W683" s="24">
        <v>3</v>
      </c>
      <c r="X683" s="24">
        <v>4</v>
      </c>
      <c r="Y683" s="24">
        <v>4</v>
      </c>
      <c r="Z683" s="20">
        <f t="shared" si="25"/>
        <v>15</v>
      </c>
    </row>
    <row r="684" spans="1:26" x14ac:dyDescent="0.2">
      <c r="A684" s="21"/>
      <c r="B684" s="51"/>
      <c r="C684" s="22"/>
      <c r="D684" s="22"/>
      <c r="E684" s="24"/>
      <c r="F684" s="22"/>
      <c r="H684" s="21">
        <v>45908</v>
      </c>
      <c r="I684" s="22" t="s">
        <v>71</v>
      </c>
      <c r="J684" s="22" t="s">
        <v>46</v>
      </c>
      <c r="K684" s="24">
        <v>4</v>
      </c>
      <c r="M684" s="21">
        <v>45923</v>
      </c>
      <c r="N684" s="22" t="s">
        <v>70</v>
      </c>
      <c r="O684" s="22" t="s">
        <v>53</v>
      </c>
      <c r="P684" s="49">
        <v>65.7</v>
      </c>
      <c r="Q684" s="49">
        <v>65.7</v>
      </c>
      <c r="R684" s="50">
        <f t="shared" si="24"/>
        <v>0</v>
      </c>
      <c r="T684" s="21">
        <v>45922</v>
      </c>
      <c r="U684" s="22" t="s">
        <v>33</v>
      </c>
      <c r="V684" s="24">
        <v>3.9166666666666701</v>
      </c>
      <c r="W684" s="24">
        <v>3.75</v>
      </c>
      <c r="X684" s="24">
        <v>3.6666666666666701</v>
      </c>
      <c r="Y684" s="24">
        <v>4.1666666666666696</v>
      </c>
      <c r="Z684" s="20">
        <f t="shared" si="25"/>
        <v>15.500000000000009</v>
      </c>
    </row>
    <row r="685" spans="1:26" x14ac:dyDescent="0.2">
      <c r="A685" s="21"/>
      <c r="B685" s="51"/>
      <c r="C685" s="22"/>
      <c r="D685" s="22"/>
      <c r="E685" s="24"/>
      <c r="F685" s="22"/>
      <c r="H685" s="21">
        <v>45908</v>
      </c>
      <c r="I685" s="22" t="s">
        <v>71</v>
      </c>
      <c r="J685" s="22" t="s">
        <v>48</v>
      </c>
      <c r="K685" s="24">
        <v>2</v>
      </c>
      <c r="M685" s="21">
        <v>45923</v>
      </c>
      <c r="N685" s="22" t="s">
        <v>70</v>
      </c>
      <c r="O685" s="22" t="s">
        <v>54</v>
      </c>
      <c r="P685" s="49">
        <v>84.6</v>
      </c>
      <c r="Q685" s="49">
        <v>84.8</v>
      </c>
      <c r="R685" s="50">
        <f t="shared" si="24"/>
        <v>-0.20000000000000284</v>
      </c>
      <c r="T685" s="21">
        <v>45923</v>
      </c>
      <c r="U685" s="22" t="s">
        <v>41</v>
      </c>
      <c r="V685" s="24">
        <v>1</v>
      </c>
      <c r="W685" s="24">
        <v>2</v>
      </c>
      <c r="X685" s="24">
        <v>2</v>
      </c>
      <c r="Y685" s="24">
        <v>2</v>
      </c>
      <c r="Z685" s="20">
        <f t="shared" si="25"/>
        <v>7</v>
      </c>
    </row>
    <row r="686" spans="1:26" x14ac:dyDescent="0.2">
      <c r="A686" s="21"/>
      <c r="B686" s="51"/>
      <c r="C686" s="22"/>
      <c r="D686" s="22"/>
      <c r="E686" s="24"/>
      <c r="F686" s="22"/>
      <c r="H686" s="21">
        <v>45908</v>
      </c>
      <c r="I686" s="22" t="s">
        <v>71</v>
      </c>
      <c r="J686" s="22" t="s">
        <v>56</v>
      </c>
      <c r="K686" s="24">
        <v>4</v>
      </c>
      <c r="M686" s="21">
        <v>45923</v>
      </c>
      <c r="N686" s="22" t="s">
        <v>70</v>
      </c>
      <c r="O686" s="22" t="s">
        <v>56</v>
      </c>
      <c r="P686" s="49">
        <v>74.5</v>
      </c>
      <c r="Q686" s="49">
        <v>74.3</v>
      </c>
      <c r="R686" s="50">
        <f t="shared" si="24"/>
        <v>0.20000000000000284</v>
      </c>
      <c r="T686" s="21">
        <v>45923</v>
      </c>
      <c r="U686" s="22" t="s">
        <v>42</v>
      </c>
      <c r="V686" s="24">
        <v>4</v>
      </c>
      <c r="W686" s="24">
        <v>4</v>
      </c>
      <c r="X686" s="24">
        <v>4</v>
      </c>
      <c r="Y686" s="24">
        <v>5</v>
      </c>
      <c r="Z686" s="20">
        <f t="shared" si="25"/>
        <v>17</v>
      </c>
    </row>
    <row r="687" spans="1:26" x14ac:dyDescent="0.2">
      <c r="A687" s="21"/>
      <c r="B687" s="51"/>
      <c r="C687" s="22"/>
      <c r="D687" s="22"/>
      <c r="E687" s="24"/>
      <c r="F687" s="22"/>
      <c r="H687" s="21">
        <v>45909</v>
      </c>
      <c r="I687" s="22" t="s">
        <v>71</v>
      </c>
      <c r="J687" s="22" t="s">
        <v>52</v>
      </c>
      <c r="K687" s="24" t="s">
        <v>63</v>
      </c>
      <c r="M687" s="21">
        <v>45923</v>
      </c>
      <c r="N687" s="22" t="s">
        <v>70</v>
      </c>
      <c r="O687" s="22" t="s">
        <v>57</v>
      </c>
      <c r="P687" s="49">
        <v>92.3</v>
      </c>
      <c r="Q687" s="49">
        <v>91.5</v>
      </c>
      <c r="R687" s="50">
        <f t="shared" si="24"/>
        <v>0.79999999999999716</v>
      </c>
      <c r="T687" s="21">
        <v>45923</v>
      </c>
      <c r="U687" s="22" t="s">
        <v>44</v>
      </c>
      <c r="V687" s="24">
        <v>5</v>
      </c>
      <c r="W687" s="24">
        <v>3</v>
      </c>
      <c r="X687" s="24">
        <v>3</v>
      </c>
      <c r="Y687" s="24">
        <v>5</v>
      </c>
      <c r="Z687" s="20">
        <f t="shared" si="25"/>
        <v>16</v>
      </c>
    </row>
    <row r="688" spans="1:26" x14ac:dyDescent="0.2">
      <c r="A688" s="21"/>
      <c r="B688" s="51"/>
      <c r="C688" s="22"/>
      <c r="D688" s="22"/>
      <c r="E688" s="24"/>
      <c r="F688" s="22"/>
      <c r="H688" s="21">
        <v>45909</v>
      </c>
      <c r="I688" s="22" t="s">
        <v>71</v>
      </c>
      <c r="J688" s="22" t="s">
        <v>53</v>
      </c>
      <c r="K688" s="24">
        <v>6</v>
      </c>
      <c r="M688" s="21">
        <v>45924</v>
      </c>
      <c r="N688" s="22" t="s">
        <v>71</v>
      </c>
      <c r="O688" s="22" t="s">
        <v>41</v>
      </c>
      <c r="P688" s="49">
        <v>76.8</v>
      </c>
      <c r="Q688" s="49">
        <v>76</v>
      </c>
      <c r="R688" s="50">
        <f t="shared" si="24"/>
        <v>0.79999999999999716</v>
      </c>
      <c r="T688" s="21">
        <v>45923</v>
      </c>
      <c r="U688" s="22" t="s">
        <v>45</v>
      </c>
      <c r="V688" s="24">
        <v>4</v>
      </c>
      <c r="W688" s="24">
        <v>4</v>
      </c>
      <c r="X688" s="24">
        <v>4</v>
      </c>
      <c r="Y688" s="24">
        <v>5</v>
      </c>
      <c r="Z688" s="20">
        <f t="shared" si="25"/>
        <v>17</v>
      </c>
    </row>
    <row r="689" spans="1:26" x14ac:dyDescent="0.2">
      <c r="A689" s="21"/>
      <c r="B689" s="51"/>
      <c r="C689" s="22"/>
      <c r="D689" s="22"/>
      <c r="E689" s="24"/>
      <c r="F689" s="22"/>
      <c r="H689" s="21">
        <v>45909</v>
      </c>
      <c r="I689" s="22" t="s">
        <v>71</v>
      </c>
      <c r="J689" s="22" t="s">
        <v>44</v>
      </c>
      <c r="K689" s="24">
        <v>6</v>
      </c>
      <c r="M689" s="21">
        <v>45924</v>
      </c>
      <c r="N689" s="22" t="s">
        <v>71</v>
      </c>
      <c r="O689" s="22" t="s">
        <v>42</v>
      </c>
      <c r="P689" s="49">
        <v>79.8</v>
      </c>
      <c r="Q689" s="49">
        <v>79.7</v>
      </c>
      <c r="R689" s="50">
        <f t="shared" si="24"/>
        <v>9.9999999999994316E-2</v>
      </c>
      <c r="T689" s="21">
        <v>45923</v>
      </c>
      <c r="U689" s="22" t="s">
        <v>46</v>
      </c>
      <c r="V689" s="24">
        <v>5</v>
      </c>
      <c r="W689" s="24">
        <v>5</v>
      </c>
      <c r="X689" s="24">
        <v>5</v>
      </c>
      <c r="Y689" s="24">
        <v>5</v>
      </c>
      <c r="Z689" s="20">
        <f t="shared" si="25"/>
        <v>20</v>
      </c>
    </row>
    <row r="690" spans="1:26" x14ac:dyDescent="0.2">
      <c r="A690" s="21"/>
      <c r="B690" s="51"/>
      <c r="C690" s="22"/>
      <c r="D690" s="22"/>
      <c r="E690" s="24"/>
      <c r="F690" s="22"/>
      <c r="H690" s="21">
        <v>45909</v>
      </c>
      <c r="I690" s="22" t="s">
        <v>71</v>
      </c>
      <c r="J690" s="22" t="s">
        <v>45</v>
      </c>
      <c r="K690" s="24">
        <v>9</v>
      </c>
      <c r="M690" s="21">
        <v>45924</v>
      </c>
      <c r="N690" s="22" t="s">
        <v>71</v>
      </c>
      <c r="O690" s="22" t="s">
        <v>44</v>
      </c>
      <c r="P690" s="49">
        <v>68</v>
      </c>
      <c r="Q690" s="49">
        <v>67</v>
      </c>
      <c r="R690" s="50">
        <f t="shared" si="24"/>
        <v>1</v>
      </c>
      <c r="T690" s="21">
        <v>45923</v>
      </c>
      <c r="U690" s="22" t="s">
        <v>47</v>
      </c>
      <c r="V690" s="24">
        <v>5</v>
      </c>
      <c r="W690" s="24">
        <v>4</v>
      </c>
      <c r="X690" s="24">
        <v>4</v>
      </c>
      <c r="Y690" s="24">
        <v>4</v>
      </c>
      <c r="Z690" s="20">
        <f t="shared" si="25"/>
        <v>17</v>
      </c>
    </row>
    <row r="691" spans="1:26" x14ac:dyDescent="0.2">
      <c r="A691" s="21"/>
      <c r="B691" s="51"/>
      <c r="C691" s="22"/>
      <c r="D691" s="22"/>
      <c r="E691" s="24"/>
      <c r="F691" s="22"/>
      <c r="H691" s="21">
        <v>45909</v>
      </c>
      <c r="I691" s="22" t="s">
        <v>71</v>
      </c>
      <c r="J691" s="22" t="s">
        <v>42</v>
      </c>
      <c r="K691" s="24" t="s">
        <v>63</v>
      </c>
      <c r="M691" s="21">
        <v>45924</v>
      </c>
      <c r="N691" s="22" t="s">
        <v>71</v>
      </c>
      <c r="O691" s="22" t="s">
        <v>45</v>
      </c>
      <c r="P691" s="49">
        <v>68.7</v>
      </c>
      <c r="Q691" s="49">
        <v>67.8</v>
      </c>
      <c r="R691" s="50">
        <f t="shared" si="24"/>
        <v>0.90000000000000568</v>
      </c>
      <c r="T691" s="21">
        <v>45923</v>
      </c>
      <c r="U691" s="22" t="s">
        <v>48</v>
      </c>
      <c r="V691" s="24">
        <v>5</v>
      </c>
      <c r="W691" s="24">
        <v>4</v>
      </c>
      <c r="X691" s="24">
        <v>3</v>
      </c>
      <c r="Y691" s="24">
        <v>5</v>
      </c>
      <c r="Z691" s="20">
        <f t="shared" si="25"/>
        <v>17</v>
      </c>
    </row>
    <row r="692" spans="1:26" x14ac:dyDescent="0.2">
      <c r="A692" s="21"/>
      <c r="B692" s="51"/>
      <c r="C692" s="22"/>
      <c r="D692" s="22"/>
      <c r="E692" s="24"/>
      <c r="F692" s="22"/>
      <c r="H692" s="21">
        <v>45909</v>
      </c>
      <c r="I692" s="22" t="s">
        <v>71</v>
      </c>
      <c r="J692" s="22" t="s">
        <v>54</v>
      </c>
      <c r="K692" s="24" t="s">
        <v>63</v>
      </c>
      <c r="M692" s="21">
        <v>45924</v>
      </c>
      <c r="N692" s="22" t="s">
        <v>71</v>
      </c>
      <c r="O692" s="22" t="s">
        <v>46</v>
      </c>
      <c r="P692" s="49">
        <v>81.8</v>
      </c>
      <c r="Q692" s="49">
        <v>80.900000000000006</v>
      </c>
      <c r="R692" s="50">
        <f t="shared" si="24"/>
        <v>0.89999999999999147</v>
      </c>
      <c r="T692" s="21">
        <v>45923</v>
      </c>
      <c r="U692" s="22" t="s">
        <v>51</v>
      </c>
      <c r="V692" s="24">
        <v>4</v>
      </c>
      <c r="W692" s="24">
        <v>4</v>
      </c>
      <c r="X692" s="24">
        <v>4</v>
      </c>
      <c r="Y692" s="24">
        <v>5</v>
      </c>
      <c r="Z692" s="20">
        <f t="shared" si="25"/>
        <v>17</v>
      </c>
    </row>
    <row r="693" spans="1:26" x14ac:dyDescent="0.2">
      <c r="A693" s="21"/>
      <c r="B693" s="51"/>
      <c r="C693" s="22"/>
      <c r="D693" s="22"/>
      <c r="E693" s="24"/>
      <c r="F693" s="22"/>
      <c r="H693" s="21">
        <v>45909</v>
      </c>
      <c r="I693" s="22" t="s">
        <v>71</v>
      </c>
      <c r="J693" s="22" t="s">
        <v>47</v>
      </c>
      <c r="K693" s="24" t="s">
        <v>63</v>
      </c>
      <c r="M693" s="21">
        <v>45924</v>
      </c>
      <c r="N693" s="22" t="s">
        <v>71</v>
      </c>
      <c r="O693" s="22" t="s">
        <v>47</v>
      </c>
      <c r="P693" s="49">
        <v>71.5</v>
      </c>
      <c r="Q693" s="49">
        <v>71</v>
      </c>
      <c r="R693" s="50">
        <f t="shared" si="24"/>
        <v>0.5</v>
      </c>
      <c r="T693" s="21">
        <v>45923</v>
      </c>
      <c r="U693" s="22" t="s">
        <v>52</v>
      </c>
      <c r="V693" s="24">
        <v>4</v>
      </c>
      <c r="W693" s="24">
        <v>4</v>
      </c>
      <c r="X693" s="24">
        <v>4</v>
      </c>
      <c r="Y693" s="24">
        <v>4</v>
      </c>
      <c r="Z693" s="20">
        <f t="shared" si="25"/>
        <v>16</v>
      </c>
    </row>
    <row r="694" spans="1:26" x14ac:dyDescent="0.2">
      <c r="A694" s="21"/>
      <c r="B694" s="51"/>
      <c r="C694" s="22"/>
      <c r="D694" s="22"/>
      <c r="E694" s="24"/>
      <c r="F694" s="22"/>
      <c r="H694" s="21">
        <v>45909</v>
      </c>
      <c r="I694" s="22" t="s">
        <v>71</v>
      </c>
      <c r="J694" s="22" t="s">
        <v>41</v>
      </c>
      <c r="K694" s="24">
        <v>8</v>
      </c>
      <c r="M694" s="21">
        <v>45924</v>
      </c>
      <c r="N694" s="22" t="s">
        <v>71</v>
      </c>
      <c r="O694" s="22" t="s">
        <v>48</v>
      </c>
      <c r="P694" s="49">
        <v>82.6</v>
      </c>
      <c r="Q694" s="49">
        <v>81.599999999999994</v>
      </c>
      <c r="R694" s="50">
        <f t="shared" si="24"/>
        <v>1</v>
      </c>
      <c r="T694" s="21">
        <v>45923</v>
      </c>
      <c r="U694" s="22" t="s">
        <v>53</v>
      </c>
      <c r="V694" s="24">
        <v>4</v>
      </c>
      <c r="W694" s="24">
        <v>4</v>
      </c>
      <c r="X694" s="24">
        <v>4</v>
      </c>
      <c r="Y694" s="24">
        <v>4</v>
      </c>
      <c r="Z694" s="20">
        <f t="shared" si="25"/>
        <v>16</v>
      </c>
    </row>
    <row r="695" spans="1:26" x14ac:dyDescent="0.2">
      <c r="A695" s="21"/>
      <c r="B695" s="51"/>
      <c r="C695" s="22"/>
      <c r="D695" s="22"/>
      <c r="E695" s="24"/>
      <c r="F695" s="22"/>
      <c r="H695" s="21">
        <v>45909</v>
      </c>
      <c r="I695" s="22" t="s">
        <v>71</v>
      </c>
      <c r="J695" s="22" t="s">
        <v>49</v>
      </c>
      <c r="K695" s="24">
        <v>9</v>
      </c>
      <c r="M695" s="21">
        <v>45924</v>
      </c>
      <c r="N695" s="22" t="s">
        <v>71</v>
      </c>
      <c r="O695" s="22" t="s">
        <v>49</v>
      </c>
      <c r="P695" s="49">
        <v>80.2</v>
      </c>
      <c r="Q695" s="49">
        <v>79.400000000000006</v>
      </c>
      <c r="R695" s="50">
        <f t="shared" si="24"/>
        <v>0.79999999999999716</v>
      </c>
      <c r="T695" s="21">
        <v>45923</v>
      </c>
      <c r="U695" s="22" t="s">
        <v>54</v>
      </c>
      <c r="V695" s="24">
        <v>3</v>
      </c>
      <c r="W695" s="24">
        <v>2</v>
      </c>
      <c r="X695" s="24">
        <v>2</v>
      </c>
      <c r="Y695" s="24">
        <v>3</v>
      </c>
      <c r="Z695" s="20">
        <f t="shared" si="25"/>
        <v>10</v>
      </c>
    </row>
    <row r="696" spans="1:26" x14ac:dyDescent="0.2">
      <c r="A696" s="21"/>
      <c r="B696" s="51"/>
      <c r="C696" s="22"/>
      <c r="D696" s="22"/>
      <c r="E696" s="24"/>
      <c r="F696" s="22"/>
      <c r="H696" s="21">
        <v>45909</v>
      </c>
      <c r="I696" s="22" t="s">
        <v>71</v>
      </c>
      <c r="J696" s="22" t="s">
        <v>50</v>
      </c>
      <c r="K696" s="24">
        <v>9</v>
      </c>
      <c r="M696" s="21">
        <v>45924</v>
      </c>
      <c r="N696" s="22" t="s">
        <v>71</v>
      </c>
      <c r="O696" s="22" t="s">
        <v>50</v>
      </c>
      <c r="P696" s="49">
        <v>71.2</v>
      </c>
      <c r="Q696" s="49">
        <v>70.400000000000006</v>
      </c>
      <c r="R696" s="50">
        <f t="shared" si="24"/>
        <v>0.79999999999999716</v>
      </c>
      <c r="T696" s="21">
        <v>45923</v>
      </c>
      <c r="U696" s="22" t="s">
        <v>56</v>
      </c>
      <c r="V696" s="24">
        <v>4</v>
      </c>
      <c r="W696" s="24">
        <v>4</v>
      </c>
      <c r="X696" s="24">
        <v>4</v>
      </c>
      <c r="Y696" s="24">
        <v>4</v>
      </c>
      <c r="Z696" s="20">
        <f t="shared" si="25"/>
        <v>16</v>
      </c>
    </row>
    <row r="697" spans="1:26" x14ac:dyDescent="0.2">
      <c r="A697" s="21"/>
      <c r="B697" s="51"/>
      <c r="C697" s="22"/>
      <c r="D697" s="22"/>
      <c r="E697" s="24"/>
      <c r="F697" s="22"/>
      <c r="H697" s="21">
        <v>45909</v>
      </c>
      <c r="I697" s="22" t="s">
        <v>71</v>
      </c>
      <c r="J697" s="22" t="s">
        <v>51</v>
      </c>
      <c r="K697" s="24">
        <v>9</v>
      </c>
      <c r="M697" s="21">
        <v>45924</v>
      </c>
      <c r="N697" s="22" t="s">
        <v>71</v>
      </c>
      <c r="O697" s="22" t="s">
        <v>51</v>
      </c>
      <c r="P697" s="49">
        <v>75.3</v>
      </c>
      <c r="Q697" s="49">
        <v>74.8</v>
      </c>
      <c r="R697" s="50">
        <f t="shared" si="24"/>
        <v>0.5</v>
      </c>
      <c r="T697" s="21">
        <v>45923</v>
      </c>
      <c r="U697" s="22" t="s">
        <v>57</v>
      </c>
      <c r="V697" s="24">
        <v>3</v>
      </c>
      <c r="W697" s="24">
        <v>4</v>
      </c>
      <c r="X697" s="24">
        <v>3</v>
      </c>
      <c r="Y697" s="24">
        <v>4</v>
      </c>
      <c r="Z697" s="20">
        <f t="shared" si="25"/>
        <v>14</v>
      </c>
    </row>
    <row r="698" spans="1:26" x14ac:dyDescent="0.2">
      <c r="A698" s="21"/>
      <c r="B698" s="51"/>
      <c r="C698" s="22"/>
      <c r="D698" s="22"/>
      <c r="E698" s="24"/>
      <c r="F698" s="22"/>
      <c r="H698" s="21">
        <v>45909</v>
      </c>
      <c r="I698" s="22" t="s">
        <v>71</v>
      </c>
      <c r="J698" s="22" t="s">
        <v>46</v>
      </c>
      <c r="K698" s="24">
        <v>6</v>
      </c>
      <c r="M698" s="21">
        <v>45924</v>
      </c>
      <c r="N698" s="22" t="s">
        <v>71</v>
      </c>
      <c r="O698" s="22" t="s">
        <v>52</v>
      </c>
      <c r="P698" s="49">
        <v>71.5</v>
      </c>
      <c r="Q698" s="49">
        <v>71</v>
      </c>
      <c r="R698" s="50">
        <f t="shared" si="24"/>
        <v>0.5</v>
      </c>
      <c r="T698" s="21">
        <v>45923</v>
      </c>
      <c r="U698" s="22" t="s">
        <v>33</v>
      </c>
      <c r="V698" s="24">
        <v>3.9230769230769198</v>
      </c>
      <c r="W698" s="24">
        <v>3.6923076923076898</v>
      </c>
      <c r="X698" s="24">
        <v>3.5384615384615401</v>
      </c>
      <c r="Y698" s="24">
        <v>4.2307692307692299</v>
      </c>
      <c r="Z698" s="20">
        <f t="shared" si="25"/>
        <v>15.38461538461538</v>
      </c>
    </row>
    <row r="699" spans="1:26" x14ac:dyDescent="0.2">
      <c r="A699" s="21"/>
      <c r="B699" s="51"/>
      <c r="C699" s="22"/>
      <c r="D699" s="22"/>
      <c r="E699" s="24"/>
      <c r="F699" s="22"/>
      <c r="H699" s="21">
        <v>45909</v>
      </c>
      <c r="I699" s="22" t="s">
        <v>71</v>
      </c>
      <c r="J699" s="22" t="s">
        <v>48</v>
      </c>
      <c r="K699" s="24">
        <v>7</v>
      </c>
      <c r="M699" s="21">
        <v>45924</v>
      </c>
      <c r="N699" s="22" t="s">
        <v>71</v>
      </c>
      <c r="O699" s="22" t="s">
        <v>53</v>
      </c>
      <c r="P699" s="49">
        <v>66.400000000000006</v>
      </c>
      <c r="Q699" s="49">
        <v>65.7</v>
      </c>
      <c r="R699" s="50">
        <f t="shared" si="24"/>
        <v>0.70000000000000284</v>
      </c>
      <c r="T699" s="21">
        <v>45924</v>
      </c>
      <c r="U699" s="22" t="s">
        <v>41</v>
      </c>
      <c r="V699" s="24">
        <v>1</v>
      </c>
      <c r="W699" s="24">
        <v>2</v>
      </c>
      <c r="X699" s="24">
        <v>1</v>
      </c>
      <c r="Y699" s="24">
        <v>2</v>
      </c>
      <c r="Z699" s="20">
        <f t="shared" si="25"/>
        <v>6</v>
      </c>
    </row>
    <row r="700" spans="1:26" x14ac:dyDescent="0.2">
      <c r="A700" s="21"/>
      <c r="B700" s="51"/>
      <c r="C700" s="22"/>
      <c r="D700" s="22"/>
      <c r="E700" s="24"/>
      <c r="F700" s="22"/>
      <c r="H700" s="21">
        <v>45909</v>
      </c>
      <c r="I700" s="22" t="s">
        <v>71</v>
      </c>
      <c r="J700" s="22" t="s">
        <v>56</v>
      </c>
      <c r="K700" s="24" t="s">
        <v>63</v>
      </c>
      <c r="M700" s="21">
        <v>45924</v>
      </c>
      <c r="N700" s="22" t="s">
        <v>71</v>
      </c>
      <c r="O700" s="22" t="s">
        <v>54</v>
      </c>
      <c r="P700" s="49">
        <v>83.6</v>
      </c>
      <c r="Q700" s="49">
        <v>83.4</v>
      </c>
      <c r="R700" s="50">
        <f t="shared" si="24"/>
        <v>0.19999999999998863</v>
      </c>
      <c r="T700" s="21">
        <v>45924</v>
      </c>
      <c r="U700" s="22" t="s">
        <v>42</v>
      </c>
      <c r="V700" s="24">
        <v>4</v>
      </c>
      <c r="W700" s="24">
        <v>4</v>
      </c>
      <c r="X700" s="24">
        <v>3</v>
      </c>
      <c r="Y700" s="24">
        <v>5</v>
      </c>
      <c r="Z700" s="20">
        <f t="shared" si="25"/>
        <v>16</v>
      </c>
    </row>
    <row r="701" spans="1:26" x14ac:dyDescent="0.2">
      <c r="A701" s="21"/>
      <c r="B701" s="51"/>
      <c r="C701" s="22"/>
      <c r="D701" s="22"/>
      <c r="E701" s="24"/>
      <c r="F701" s="22"/>
      <c r="H701" s="21">
        <v>45911</v>
      </c>
      <c r="I701" s="22" t="s">
        <v>70</v>
      </c>
      <c r="J701" s="22" t="s">
        <v>52</v>
      </c>
      <c r="K701" s="24">
        <v>7</v>
      </c>
      <c r="M701" s="21">
        <v>45924</v>
      </c>
      <c r="N701" s="22" t="s">
        <v>71</v>
      </c>
      <c r="O701" s="22" t="s">
        <v>56</v>
      </c>
      <c r="P701" s="49">
        <v>74.599999999999994</v>
      </c>
      <c r="Q701" s="49">
        <v>74.8</v>
      </c>
      <c r="R701" s="50">
        <f t="shared" si="24"/>
        <v>-0.20000000000000284</v>
      </c>
      <c r="T701" s="21">
        <v>45924</v>
      </c>
      <c r="U701" s="22" t="s">
        <v>44</v>
      </c>
      <c r="V701" s="24">
        <v>5</v>
      </c>
      <c r="W701" s="24">
        <v>4</v>
      </c>
      <c r="X701" s="24">
        <v>3</v>
      </c>
      <c r="Y701" s="24">
        <v>5</v>
      </c>
      <c r="Z701" s="20">
        <f t="shared" si="25"/>
        <v>17</v>
      </c>
    </row>
    <row r="702" spans="1:26" x14ac:dyDescent="0.2">
      <c r="A702" s="21"/>
      <c r="B702" s="51"/>
      <c r="C702" s="22"/>
      <c r="D702" s="22"/>
      <c r="E702" s="24"/>
      <c r="F702" s="22"/>
      <c r="H702" s="21">
        <v>45911</v>
      </c>
      <c r="I702" s="22" t="s">
        <v>70</v>
      </c>
      <c r="J702" s="22" t="s">
        <v>53</v>
      </c>
      <c r="K702" s="24">
        <v>7</v>
      </c>
      <c r="M702" s="21">
        <v>45924</v>
      </c>
      <c r="N702" s="22" t="s">
        <v>71</v>
      </c>
      <c r="O702" s="22" t="s">
        <v>57</v>
      </c>
      <c r="P702" s="49">
        <v>93.2</v>
      </c>
      <c r="Q702" s="49">
        <v>92.2</v>
      </c>
      <c r="R702" s="50">
        <f t="shared" si="24"/>
        <v>1</v>
      </c>
      <c r="T702" s="21">
        <v>45924</v>
      </c>
      <c r="U702" s="22" t="s">
        <v>45</v>
      </c>
      <c r="V702" s="24">
        <v>5</v>
      </c>
      <c r="W702" s="24">
        <v>4</v>
      </c>
      <c r="X702" s="24">
        <v>4</v>
      </c>
      <c r="Y702" s="24">
        <v>5</v>
      </c>
      <c r="Z702" s="20">
        <f t="shared" si="25"/>
        <v>18</v>
      </c>
    </row>
    <row r="703" spans="1:26" x14ac:dyDescent="0.2">
      <c r="A703" s="21"/>
      <c r="B703" s="51"/>
      <c r="C703" s="22"/>
      <c r="D703" s="22"/>
      <c r="E703" s="24"/>
      <c r="F703" s="22"/>
      <c r="H703" s="21">
        <v>45911</v>
      </c>
      <c r="I703" s="22" t="s">
        <v>70</v>
      </c>
      <c r="J703" s="22" t="s">
        <v>44</v>
      </c>
      <c r="K703" s="24">
        <v>7</v>
      </c>
      <c r="M703" s="21">
        <v>45925</v>
      </c>
      <c r="N703" s="22" t="s">
        <v>70</v>
      </c>
      <c r="O703" s="22" t="s">
        <v>41</v>
      </c>
      <c r="P703" s="49">
        <v>77</v>
      </c>
      <c r="Q703" s="49">
        <v>77</v>
      </c>
      <c r="R703" s="50">
        <f t="shared" si="24"/>
        <v>0</v>
      </c>
      <c r="T703" s="21">
        <v>45924</v>
      </c>
      <c r="U703" s="22" t="s">
        <v>46</v>
      </c>
      <c r="V703" s="24">
        <v>5</v>
      </c>
      <c r="W703" s="24">
        <v>5</v>
      </c>
      <c r="X703" s="24">
        <v>5</v>
      </c>
      <c r="Y703" s="24">
        <v>5</v>
      </c>
      <c r="Z703" s="20">
        <f t="shared" si="25"/>
        <v>20</v>
      </c>
    </row>
    <row r="704" spans="1:26" x14ac:dyDescent="0.2">
      <c r="A704" s="21"/>
      <c r="B704" s="51"/>
      <c r="C704" s="22"/>
      <c r="D704" s="22"/>
      <c r="E704" s="24"/>
      <c r="F704" s="22"/>
      <c r="H704" s="21">
        <v>45911</v>
      </c>
      <c r="I704" s="22" t="s">
        <v>70</v>
      </c>
      <c r="J704" s="22" t="s">
        <v>45</v>
      </c>
      <c r="K704" s="24">
        <v>8</v>
      </c>
      <c r="M704" s="21">
        <v>45925</v>
      </c>
      <c r="N704" s="22" t="s">
        <v>70</v>
      </c>
      <c r="O704" s="22" t="s">
        <v>42</v>
      </c>
      <c r="P704" s="49">
        <v>79.5</v>
      </c>
      <c r="Q704" s="49">
        <v>79</v>
      </c>
      <c r="R704" s="50">
        <f t="shared" si="24"/>
        <v>0.5</v>
      </c>
      <c r="T704" s="21">
        <v>45924</v>
      </c>
      <c r="U704" s="22" t="s">
        <v>47</v>
      </c>
      <c r="V704" s="24">
        <v>5</v>
      </c>
      <c r="W704" s="24">
        <v>4</v>
      </c>
      <c r="X704" s="24">
        <v>4</v>
      </c>
      <c r="Y704" s="24">
        <v>5</v>
      </c>
      <c r="Z704" s="20">
        <f t="shared" si="25"/>
        <v>18</v>
      </c>
    </row>
    <row r="705" spans="1:26" x14ac:dyDescent="0.2">
      <c r="A705" s="21"/>
      <c r="B705" s="51"/>
      <c r="C705" s="22"/>
      <c r="D705" s="22"/>
      <c r="E705" s="24"/>
      <c r="F705" s="22"/>
      <c r="H705" s="21">
        <v>45911</v>
      </c>
      <c r="I705" s="22" t="s">
        <v>70</v>
      </c>
      <c r="J705" s="22" t="s">
        <v>42</v>
      </c>
      <c r="K705" s="24">
        <v>6</v>
      </c>
      <c r="M705" s="21">
        <v>45925</v>
      </c>
      <c r="N705" s="22" t="s">
        <v>70</v>
      </c>
      <c r="O705" s="22" t="s">
        <v>44</v>
      </c>
      <c r="P705" s="49">
        <v>68.2</v>
      </c>
      <c r="Q705" s="49">
        <v>68</v>
      </c>
      <c r="R705" s="50">
        <f t="shared" si="24"/>
        <v>0.20000000000000284</v>
      </c>
      <c r="T705" s="21">
        <v>45924</v>
      </c>
      <c r="U705" s="22" t="s">
        <v>48</v>
      </c>
      <c r="V705" s="24">
        <v>5</v>
      </c>
      <c r="W705" s="24">
        <v>4</v>
      </c>
      <c r="X705" s="24">
        <v>3</v>
      </c>
      <c r="Y705" s="24">
        <v>5</v>
      </c>
      <c r="Z705" s="20">
        <f t="shared" si="25"/>
        <v>17</v>
      </c>
    </row>
    <row r="706" spans="1:26" x14ac:dyDescent="0.2">
      <c r="A706" s="21"/>
      <c r="B706" s="51"/>
      <c r="C706" s="22"/>
      <c r="D706" s="22"/>
      <c r="E706" s="24"/>
      <c r="F706" s="22"/>
      <c r="H706" s="21">
        <v>45911</v>
      </c>
      <c r="I706" s="22" t="s">
        <v>70</v>
      </c>
      <c r="J706" s="22" t="s">
        <v>54</v>
      </c>
      <c r="K706" s="24">
        <v>8</v>
      </c>
      <c r="M706" s="21">
        <v>45925</v>
      </c>
      <c r="N706" s="22" t="s">
        <v>70</v>
      </c>
      <c r="O706" s="22" t="s">
        <v>45</v>
      </c>
      <c r="P706" s="49">
        <v>68.7</v>
      </c>
      <c r="Q706" s="49">
        <v>68</v>
      </c>
      <c r="R706" s="50">
        <f t="shared" si="24"/>
        <v>0.70000000000000284</v>
      </c>
      <c r="T706" s="21">
        <v>45924</v>
      </c>
      <c r="U706" s="22" t="s">
        <v>49</v>
      </c>
      <c r="V706" s="24">
        <v>4</v>
      </c>
      <c r="W706" s="24">
        <v>4</v>
      </c>
      <c r="X706" s="24">
        <v>4</v>
      </c>
      <c r="Y706" s="24">
        <v>4</v>
      </c>
      <c r="Z706" s="20">
        <f t="shared" si="25"/>
        <v>16</v>
      </c>
    </row>
    <row r="707" spans="1:26" x14ac:dyDescent="0.2">
      <c r="A707" s="21"/>
      <c r="B707" s="51"/>
      <c r="C707" s="22"/>
      <c r="D707" s="22"/>
      <c r="E707" s="24"/>
      <c r="F707" s="22"/>
      <c r="H707" s="21">
        <v>45911</v>
      </c>
      <c r="I707" s="22" t="s">
        <v>70</v>
      </c>
      <c r="J707" s="22" t="s">
        <v>47</v>
      </c>
      <c r="K707" s="24">
        <v>7</v>
      </c>
      <c r="M707" s="21">
        <v>45925</v>
      </c>
      <c r="N707" s="22" t="s">
        <v>70</v>
      </c>
      <c r="O707" s="22" t="s">
        <v>46</v>
      </c>
      <c r="P707" s="49">
        <v>80.099999999999994</v>
      </c>
      <c r="Q707" s="49">
        <v>80.599999999999994</v>
      </c>
      <c r="R707" s="50">
        <f t="shared" ref="R707:R770" si="26">IFERROR(P707-Q707,"")</f>
        <v>-0.5</v>
      </c>
      <c r="T707" s="21">
        <v>45924</v>
      </c>
      <c r="U707" s="22" t="s">
        <v>50</v>
      </c>
      <c r="V707" s="24">
        <v>4</v>
      </c>
      <c r="W707" s="24">
        <v>4</v>
      </c>
      <c r="X707" s="24">
        <v>4</v>
      </c>
      <c r="Y707" s="24">
        <v>5</v>
      </c>
      <c r="Z707" s="20">
        <f t="shared" ref="Z707:Z770" si="27">SUM(V707:Y707)</f>
        <v>17</v>
      </c>
    </row>
    <row r="708" spans="1:26" x14ac:dyDescent="0.2">
      <c r="A708" s="21"/>
      <c r="B708" s="51"/>
      <c r="C708" s="22"/>
      <c r="D708" s="22"/>
      <c r="E708" s="24"/>
      <c r="F708" s="22"/>
      <c r="H708" s="21">
        <v>45911</v>
      </c>
      <c r="I708" s="22" t="s">
        <v>70</v>
      </c>
      <c r="J708" s="22" t="s">
        <v>41</v>
      </c>
      <c r="K708" s="24">
        <v>6</v>
      </c>
      <c r="M708" s="21">
        <v>45925</v>
      </c>
      <c r="N708" s="22" t="s">
        <v>70</v>
      </c>
      <c r="O708" s="22" t="s">
        <v>47</v>
      </c>
      <c r="P708" s="49">
        <v>70.8</v>
      </c>
      <c r="Q708" s="49">
        <v>70.7</v>
      </c>
      <c r="R708" s="50">
        <f t="shared" si="26"/>
        <v>9.9999999999994316E-2</v>
      </c>
      <c r="T708" s="21">
        <v>45924</v>
      </c>
      <c r="U708" s="22" t="s">
        <v>51</v>
      </c>
      <c r="V708" s="24">
        <v>5</v>
      </c>
      <c r="W708" s="24">
        <v>4</v>
      </c>
      <c r="X708" s="24">
        <v>3</v>
      </c>
      <c r="Y708" s="24">
        <v>5</v>
      </c>
      <c r="Z708" s="20">
        <f t="shared" si="27"/>
        <v>17</v>
      </c>
    </row>
    <row r="709" spans="1:26" x14ac:dyDescent="0.2">
      <c r="A709" s="21"/>
      <c r="B709" s="51"/>
      <c r="C709" s="22"/>
      <c r="D709" s="22"/>
      <c r="E709" s="24"/>
      <c r="F709" s="22"/>
      <c r="H709" s="21">
        <v>45911</v>
      </c>
      <c r="I709" s="22" t="s">
        <v>70</v>
      </c>
      <c r="J709" s="22" t="s">
        <v>58</v>
      </c>
      <c r="K709" s="24">
        <v>8</v>
      </c>
      <c r="M709" s="21">
        <v>45925</v>
      </c>
      <c r="N709" s="22" t="s">
        <v>70</v>
      </c>
      <c r="O709" s="22" t="s">
        <v>48</v>
      </c>
      <c r="P709" s="49">
        <v>81.7</v>
      </c>
      <c r="Q709" s="49">
        <v>80.400000000000006</v>
      </c>
      <c r="R709" s="50">
        <f t="shared" si="26"/>
        <v>1.2999999999999972</v>
      </c>
      <c r="T709" s="21">
        <v>45924</v>
      </c>
      <c r="U709" s="22" t="s">
        <v>52</v>
      </c>
      <c r="V709" s="24">
        <v>4</v>
      </c>
      <c r="W709" s="24">
        <v>4</v>
      </c>
      <c r="X709" s="24">
        <v>4</v>
      </c>
      <c r="Y709" s="24">
        <v>4</v>
      </c>
      <c r="Z709" s="20">
        <f t="shared" si="27"/>
        <v>16</v>
      </c>
    </row>
    <row r="710" spans="1:26" x14ac:dyDescent="0.2">
      <c r="A710" s="21"/>
      <c r="B710" s="51"/>
      <c r="C710" s="22"/>
      <c r="D710" s="22"/>
      <c r="E710" s="24"/>
      <c r="F710" s="22"/>
      <c r="H710" s="21">
        <v>45911</v>
      </c>
      <c r="I710" s="22" t="s">
        <v>70</v>
      </c>
      <c r="J710" s="22" t="s">
        <v>49</v>
      </c>
      <c r="K710" s="24">
        <v>8</v>
      </c>
      <c r="M710" s="21">
        <v>45925</v>
      </c>
      <c r="N710" s="22" t="s">
        <v>70</v>
      </c>
      <c r="O710" s="22" t="s">
        <v>49</v>
      </c>
      <c r="P710" s="49">
        <v>80.7</v>
      </c>
      <c r="Q710" s="49">
        <v>80.400000000000006</v>
      </c>
      <c r="R710" s="50">
        <f t="shared" si="26"/>
        <v>0.29999999999999716</v>
      </c>
      <c r="T710" s="21">
        <v>45924</v>
      </c>
      <c r="U710" s="22" t="s">
        <v>53</v>
      </c>
      <c r="V710" s="24">
        <v>4</v>
      </c>
      <c r="W710" s="24">
        <v>4</v>
      </c>
      <c r="X710" s="24">
        <v>4</v>
      </c>
      <c r="Y710" s="24">
        <v>5</v>
      </c>
      <c r="Z710" s="20">
        <f t="shared" si="27"/>
        <v>17</v>
      </c>
    </row>
    <row r="711" spans="1:26" x14ac:dyDescent="0.2">
      <c r="A711" s="21"/>
      <c r="B711" s="51"/>
      <c r="C711" s="22"/>
      <c r="D711" s="22"/>
      <c r="E711" s="24"/>
      <c r="F711" s="22"/>
      <c r="H711" s="21">
        <v>45911</v>
      </c>
      <c r="I711" s="22" t="s">
        <v>70</v>
      </c>
      <c r="J711" s="22" t="s">
        <v>50</v>
      </c>
      <c r="K711" s="24">
        <v>8</v>
      </c>
      <c r="M711" s="21">
        <v>45925</v>
      </c>
      <c r="N711" s="22" t="s">
        <v>70</v>
      </c>
      <c r="O711" s="22" t="s">
        <v>50</v>
      </c>
      <c r="P711" s="49">
        <v>71.8</v>
      </c>
      <c r="Q711" s="49">
        <v>71.5</v>
      </c>
      <c r="R711" s="50">
        <f t="shared" si="26"/>
        <v>0.29999999999999716</v>
      </c>
      <c r="T711" s="21">
        <v>45924</v>
      </c>
      <c r="U711" s="22" t="s">
        <v>54</v>
      </c>
      <c r="V711" s="24">
        <v>4</v>
      </c>
      <c r="W711" s="24">
        <v>4</v>
      </c>
      <c r="X711" s="24">
        <v>3</v>
      </c>
      <c r="Y711" s="24">
        <v>4</v>
      </c>
      <c r="Z711" s="20">
        <f t="shared" si="27"/>
        <v>15</v>
      </c>
    </row>
    <row r="712" spans="1:26" x14ac:dyDescent="0.2">
      <c r="A712" s="21"/>
      <c r="B712" s="51"/>
      <c r="C712" s="22"/>
      <c r="D712" s="22"/>
      <c r="E712" s="24"/>
      <c r="F712" s="22"/>
      <c r="H712" s="21">
        <v>45911</v>
      </c>
      <c r="I712" s="22" t="s">
        <v>70</v>
      </c>
      <c r="J712" s="22" t="s">
        <v>51</v>
      </c>
      <c r="K712" s="24">
        <v>8</v>
      </c>
      <c r="M712" s="21">
        <v>45925</v>
      </c>
      <c r="N712" s="22" t="s">
        <v>70</v>
      </c>
      <c r="O712" s="22" t="s">
        <v>51</v>
      </c>
      <c r="P712" s="49">
        <v>75.2</v>
      </c>
      <c r="Q712" s="49">
        <v>75.099999999999994</v>
      </c>
      <c r="R712" s="50">
        <f t="shared" si="26"/>
        <v>0.10000000000000853</v>
      </c>
      <c r="T712" s="21">
        <v>45924</v>
      </c>
      <c r="U712" s="22" t="s">
        <v>56</v>
      </c>
      <c r="V712" s="24">
        <v>4</v>
      </c>
      <c r="W712" s="24">
        <v>4</v>
      </c>
      <c r="X712" s="24">
        <v>4</v>
      </c>
      <c r="Y712" s="24">
        <v>4</v>
      </c>
      <c r="Z712" s="20">
        <f t="shared" si="27"/>
        <v>16</v>
      </c>
    </row>
    <row r="713" spans="1:26" x14ac:dyDescent="0.2">
      <c r="A713" s="21"/>
      <c r="B713" s="51"/>
      <c r="C713" s="22"/>
      <c r="D713" s="22"/>
      <c r="E713" s="24"/>
      <c r="F713" s="22"/>
      <c r="H713" s="21">
        <v>45911</v>
      </c>
      <c r="I713" s="22" t="s">
        <v>70</v>
      </c>
      <c r="J713" s="22" t="s">
        <v>46</v>
      </c>
      <c r="K713" s="24">
        <v>7</v>
      </c>
      <c r="M713" s="21">
        <v>45925</v>
      </c>
      <c r="N713" s="22" t="s">
        <v>70</v>
      </c>
      <c r="O713" s="22" t="s">
        <v>52</v>
      </c>
      <c r="P713" s="49">
        <v>70.3</v>
      </c>
      <c r="Q713" s="49">
        <v>70</v>
      </c>
      <c r="R713" s="50">
        <f t="shared" si="26"/>
        <v>0.29999999999999716</v>
      </c>
      <c r="T713" s="21">
        <v>45924</v>
      </c>
      <c r="U713" s="22" t="s">
        <v>57</v>
      </c>
      <c r="V713" s="24">
        <v>4</v>
      </c>
      <c r="W713" s="24">
        <v>3</v>
      </c>
      <c r="X713" s="24">
        <v>4</v>
      </c>
      <c r="Y713" s="24">
        <v>5</v>
      </c>
      <c r="Z713" s="20">
        <f t="shared" si="27"/>
        <v>16</v>
      </c>
    </row>
    <row r="714" spans="1:26" x14ac:dyDescent="0.2">
      <c r="A714" s="21"/>
      <c r="B714" s="51"/>
      <c r="C714" s="22"/>
      <c r="D714" s="22"/>
      <c r="E714" s="24"/>
      <c r="F714" s="22"/>
      <c r="H714" s="21">
        <v>45911</v>
      </c>
      <c r="I714" s="22" t="s">
        <v>70</v>
      </c>
      <c r="J714" s="22" t="s">
        <v>48</v>
      </c>
      <c r="K714" s="24">
        <v>7</v>
      </c>
      <c r="M714" s="21">
        <v>45925</v>
      </c>
      <c r="N714" s="22" t="s">
        <v>70</v>
      </c>
      <c r="O714" s="22" t="s">
        <v>53</v>
      </c>
      <c r="P714" s="49">
        <v>66.400000000000006</v>
      </c>
      <c r="Q714" s="49">
        <v>66.400000000000006</v>
      </c>
      <c r="R714" s="50">
        <f t="shared" si="26"/>
        <v>0</v>
      </c>
      <c r="T714" s="21">
        <v>45924</v>
      </c>
      <c r="U714" s="22" t="s">
        <v>33</v>
      </c>
      <c r="V714" s="24">
        <v>4.2</v>
      </c>
      <c r="W714" s="24">
        <v>3.8666666666666698</v>
      </c>
      <c r="X714" s="24">
        <v>3.5333333333333301</v>
      </c>
      <c r="Y714" s="24">
        <v>4.5333333333333297</v>
      </c>
      <c r="Z714" s="20">
        <f t="shared" si="27"/>
        <v>16.133333333333329</v>
      </c>
    </row>
    <row r="715" spans="1:26" x14ac:dyDescent="0.2">
      <c r="A715" s="21"/>
      <c r="B715" s="51"/>
      <c r="C715" s="22"/>
      <c r="D715" s="22"/>
      <c r="E715" s="24"/>
      <c r="F715" s="22"/>
      <c r="H715" s="21">
        <v>45911</v>
      </c>
      <c r="I715" s="22" t="s">
        <v>70</v>
      </c>
      <c r="J715" s="22" t="s">
        <v>56</v>
      </c>
      <c r="K715" s="24">
        <v>8</v>
      </c>
      <c r="M715" s="21">
        <v>45925</v>
      </c>
      <c r="N715" s="22" t="s">
        <v>70</v>
      </c>
      <c r="O715" s="22" t="s">
        <v>54</v>
      </c>
      <c r="P715" s="49">
        <v>83.8</v>
      </c>
      <c r="Q715" s="49">
        <v>84</v>
      </c>
      <c r="R715" s="50">
        <f t="shared" si="26"/>
        <v>-0.20000000000000284</v>
      </c>
      <c r="T715" s="21">
        <v>45925</v>
      </c>
      <c r="U715" s="22" t="s">
        <v>41</v>
      </c>
      <c r="V715" s="24">
        <v>1</v>
      </c>
      <c r="W715" s="24">
        <v>1</v>
      </c>
      <c r="X715" s="24">
        <v>1</v>
      </c>
      <c r="Y715" s="24">
        <v>1</v>
      </c>
      <c r="Z715" s="20">
        <f t="shared" si="27"/>
        <v>4</v>
      </c>
    </row>
    <row r="716" spans="1:26" x14ac:dyDescent="0.2">
      <c r="A716" s="21"/>
      <c r="B716" s="51"/>
      <c r="C716" s="22"/>
      <c r="D716" s="22"/>
      <c r="E716" s="24"/>
      <c r="F716" s="22"/>
      <c r="H716" s="21">
        <v>45912</v>
      </c>
      <c r="I716" s="22" t="s">
        <v>70</v>
      </c>
      <c r="J716" s="22" t="s">
        <v>52</v>
      </c>
      <c r="K716" s="24">
        <v>5</v>
      </c>
      <c r="M716" s="21">
        <v>45925</v>
      </c>
      <c r="N716" s="22" t="s">
        <v>70</v>
      </c>
      <c r="O716" s="22" t="s">
        <v>56</v>
      </c>
      <c r="P716" s="49">
        <v>74</v>
      </c>
      <c r="Q716" s="49">
        <v>74</v>
      </c>
      <c r="R716" s="50">
        <f t="shared" si="26"/>
        <v>0</v>
      </c>
      <c r="T716" s="21">
        <v>45925</v>
      </c>
      <c r="U716" s="22" t="s">
        <v>42</v>
      </c>
      <c r="V716" s="24">
        <v>4</v>
      </c>
      <c r="W716" s="24">
        <v>4</v>
      </c>
      <c r="X716" s="24">
        <v>4</v>
      </c>
      <c r="Y716" s="24">
        <v>5</v>
      </c>
      <c r="Z716" s="20">
        <f t="shared" si="27"/>
        <v>17</v>
      </c>
    </row>
    <row r="717" spans="1:26" x14ac:dyDescent="0.2">
      <c r="A717" s="21"/>
      <c r="B717" s="51"/>
      <c r="C717" s="22"/>
      <c r="D717" s="22"/>
      <c r="E717" s="24"/>
      <c r="F717" s="22"/>
      <c r="H717" s="21">
        <v>45912</v>
      </c>
      <c r="I717" s="22" t="s">
        <v>70</v>
      </c>
      <c r="J717" s="22" t="s">
        <v>53</v>
      </c>
      <c r="K717" s="24">
        <v>5</v>
      </c>
      <c r="M717" s="21">
        <v>45925</v>
      </c>
      <c r="N717" s="22" t="s">
        <v>70</v>
      </c>
      <c r="O717" s="22" t="s">
        <v>57</v>
      </c>
      <c r="P717" s="49">
        <v>92.3</v>
      </c>
      <c r="Q717" s="49">
        <v>92.1</v>
      </c>
      <c r="R717" s="50">
        <f t="shared" si="26"/>
        <v>0.20000000000000284</v>
      </c>
      <c r="T717" s="21">
        <v>45925</v>
      </c>
      <c r="U717" s="22" t="s">
        <v>44</v>
      </c>
      <c r="V717" s="24">
        <v>5</v>
      </c>
      <c r="W717" s="24">
        <v>4</v>
      </c>
      <c r="X717" s="24">
        <v>3</v>
      </c>
      <c r="Y717" s="24">
        <v>5</v>
      </c>
      <c r="Z717" s="20">
        <f t="shared" si="27"/>
        <v>17</v>
      </c>
    </row>
    <row r="718" spans="1:26" x14ac:dyDescent="0.2">
      <c r="A718" s="21"/>
      <c r="B718" s="51"/>
      <c r="C718" s="22"/>
      <c r="D718" s="22"/>
      <c r="E718" s="24"/>
      <c r="F718" s="22"/>
      <c r="H718" s="21">
        <v>45912</v>
      </c>
      <c r="I718" s="22" t="s">
        <v>70</v>
      </c>
      <c r="J718" s="22" t="s">
        <v>44</v>
      </c>
      <c r="K718" s="24">
        <v>3</v>
      </c>
      <c r="M718" s="21">
        <v>45926</v>
      </c>
      <c r="N718" s="22" t="s">
        <v>70</v>
      </c>
      <c r="O718" s="22" t="s">
        <v>41</v>
      </c>
      <c r="P718" s="49">
        <v>77</v>
      </c>
      <c r="Q718" s="49">
        <v>76.5</v>
      </c>
      <c r="R718" s="50">
        <f t="shared" si="26"/>
        <v>0.5</v>
      </c>
      <c r="T718" s="21">
        <v>45925</v>
      </c>
      <c r="U718" s="22" t="s">
        <v>45</v>
      </c>
      <c r="V718" s="24">
        <v>4</v>
      </c>
      <c r="W718" s="24">
        <v>4</v>
      </c>
      <c r="X718" s="24">
        <v>4</v>
      </c>
      <c r="Y718" s="24">
        <v>5</v>
      </c>
      <c r="Z718" s="20">
        <f t="shared" si="27"/>
        <v>17</v>
      </c>
    </row>
    <row r="719" spans="1:26" x14ac:dyDescent="0.2">
      <c r="A719" s="21"/>
      <c r="B719" s="51"/>
      <c r="C719" s="22"/>
      <c r="D719" s="22"/>
      <c r="E719" s="24"/>
      <c r="F719" s="22"/>
      <c r="H719" s="21">
        <v>45912</v>
      </c>
      <c r="I719" s="22" t="s">
        <v>70</v>
      </c>
      <c r="J719" s="22" t="s">
        <v>45</v>
      </c>
      <c r="K719" s="24">
        <v>3</v>
      </c>
      <c r="M719" s="21">
        <v>45926</v>
      </c>
      <c r="N719" s="22" t="s">
        <v>70</v>
      </c>
      <c r="O719" s="22" t="s">
        <v>42</v>
      </c>
      <c r="P719" s="49">
        <v>79.8</v>
      </c>
      <c r="Q719" s="49">
        <v>79.400000000000006</v>
      </c>
      <c r="R719" s="50">
        <f t="shared" si="26"/>
        <v>0.39999999999999147</v>
      </c>
      <c r="T719" s="21">
        <v>45925</v>
      </c>
      <c r="U719" s="22" t="s">
        <v>46</v>
      </c>
      <c r="V719" s="24">
        <v>5</v>
      </c>
      <c r="W719" s="24">
        <v>5</v>
      </c>
      <c r="X719" s="24">
        <v>5</v>
      </c>
      <c r="Y719" s="24">
        <v>4</v>
      </c>
      <c r="Z719" s="20">
        <f t="shared" si="27"/>
        <v>19</v>
      </c>
    </row>
    <row r="720" spans="1:26" x14ac:dyDescent="0.2">
      <c r="A720" s="21"/>
      <c r="B720" s="51"/>
      <c r="C720" s="22"/>
      <c r="D720" s="22"/>
      <c r="E720" s="24"/>
      <c r="F720" s="22"/>
      <c r="H720" s="21">
        <v>45912</v>
      </c>
      <c r="I720" s="22" t="s">
        <v>70</v>
      </c>
      <c r="J720" s="22" t="s">
        <v>42</v>
      </c>
      <c r="K720" s="24">
        <v>3</v>
      </c>
      <c r="M720" s="21">
        <v>45926</v>
      </c>
      <c r="N720" s="22" t="s">
        <v>70</v>
      </c>
      <c r="O720" s="22" t="s">
        <v>43</v>
      </c>
      <c r="P720" s="49">
        <v>86.2</v>
      </c>
      <c r="Q720" s="49">
        <v>85.3</v>
      </c>
      <c r="R720" s="50">
        <f t="shared" si="26"/>
        <v>0.90000000000000568</v>
      </c>
      <c r="T720" s="21">
        <v>45925</v>
      </c>
      <c r="U720" s="22" t="s">
        <v>47</v>
      </c>
      <c r="V720" s="24">
        <v>4</v>
      </c>
      <c r="W720" s="24">
        <v>4</v>
      </c>
      <c r="X720" s="24">
        <v>3</v>
      </c>
      <c r="Y720" s="24">
        <v>5</v>
      </c>
      <c r="Z720" s="20">
        <f t="shared" si="27"/>
        <v>16</v>
      </c>
    </row>
    <row r="721" spans="1:26" x14ac:dyDescent="0.2">
      <c r="A721" s="21"/>
      <c r="B721" s="51"/>
      <c r="C721" s="22"/>
      <c r="D721" s="22"/>
      <c r="E721" s="24"/>
      <c r="F721" s="22"/>
      <c r="H721" s="21">
        <v>45912</v>
      </c>
      <c r="I721" s="22" t="s">
        <v>70</v>
      </c>
      <c r="J721" s="22" t="s">
        <v>54</v>
      </c>
      <c r="K721" s="24">
        <v>5</v>
      </c>
      <c r="M721" s="21">
        <v>45926</v>
      </c>
      <c r="N721" s="22" t="s">
        <v>70</v>
      </c>
      <c r="O721" s="22" t="s">
        <v>44</v>
      </c>
      <c r="P721" s="49">
        <v>68</v>
      </c>
      <c r="Q721" s="49">
        <v>67</v>
      </c>
      <c r="R721" s="50">
        <f t="shared" si="26"/>
        <v>1</v>
      </c>
      <c r="T721" s="21">
        <v>45925</v>
      </c>
      <c r="U721" s="22" t="s">
        <v>48</v>
      </c>
      <c r="V721" s="24">
        <v>3</v>
      </c>
      <c r="W721" s="24">
        <v>4</v>
      </c>
      <c r="X721" s="24">
        <v>3</v>
      </c>
      <c r="Y721" s="24">
        <v>5</v>
      </c>
      <c r="Z721" s="20">
        <f t="shared" si="27"/>
        <v>15</v>
      </c>
    </row>
    <row r="722" spans="1:26" x14ac:dyDescent="0.2">
      <c r="A722" s="21"/>
      <c r="B722" s="51"/>
      <c r="C722" s="22"/>
      <c r="D722" s="22"/>
      <c r="E722" s="24"/>
      <c r="F722" s="22"/>
      <c r="H722" s="21">
        <v>45912</v>
      </c>
      <c r="I722" s="22" t="s">
        <v>70</v>
      </c>
      <c r="J722" s="22" t="s">
        <v>47</v>
      </c>
      <c r="K722" s="24">
        <v>3</v>
      </c>
      <c r="M722" s="21">
        <v>45926</v>
      </c>
      <c r="N722" s="22" t="s">
        <v>70</v>
      </c>
      <c r="O722" s="22" t="s">
        <v>45</v>
      </c>
      <c r="P722" s="49">
        <v>69</v>
      </c>
      <c r="Q722" s="49">
        <v>68.599999999999994</v>
      </c>
      <c r="R722" s="50">
        <f t="shared" si="26"/>
        <v>0.40000000000000568</v>
      </c>
      <c r="T722" s="21">
        <v>45925</v>
      </c>
      <c r="U722" s="22" t="s">
        <v>49</v>
      </c>
      <c r="V722" s="24">
        <v>3</v>
      </c>
      <c r="W722" s="24">
        <v>4</v>
      </c>
      <c r="X722" s="24">
        <v>3</v>
      </c>
      <c r="Y722" s="24">
        <v>4</v>
      </c>
      <c r="Z722" s="20">
        <f t="shared" si="27"/>
        <v>14</v>
      </c>
    </row>
    <row r="723" spans="1:26" x14ac:dyDescent="0.2">
      <c r="A723" s="21"/>
      <c r="B723" s="51"/>
      <c r="C723" s="22"/>
      <c r="D723" s="22"/>
      <c r="E723" s="24"/>
      <c r="F723" s="22"/>
      <c r="H723" s="21">
        <v>45912</v>
      </c>
      <c r="I723" s="22" t="s">
        <v>70</v>
      </c>
      <c r="J723" s="22" t="s">
        <v>41</v>
      </c>
      <c r="K723" s="24">
        <v>4</v>
      </c>
      <c r="M723" s="21">
        <v>45926</v>
      </c>
      <c r="N723" s="22" t="s">
        <v>70</v>
      </c>
      <c r="O723" s="22" t="s">
        <v>46</v>
      </c>
      <c r="P723" s="49">
        <v>80</v>
      </c>
      <c r="Q723" s="49">
        <v>80</v>
      </c>
      <c r="R723" s="50">
        <f t="shared" si="26"/>
        <v>0</v>
      </c>
      <c r="T723" s="21">
        <v>45925</v>
      </c>
      <c r="U723" s="22" t="s">
        <v>50</v>
      </c>
      <c r="V723" s="24">
        <v>3</v>
      </c>
      <c r="W723" s="24">
        <v>4</v>
      </c>
      <c r="X723" s="24">
        <v>4</v>
      </c>
      <c r="Y723" s="24">
        <v>5</v>
      </c>
      <c r="Z723" s="20">
        <f t="shared" si="27"/>
        <v>16</v>
      </c>
    </row>
    <row r="724" spans="1:26" x14ac:dyDescent="0.2">
      <c r="A724" s="21"/>
      <c r="B724" s="51"/>
      <c r="C724" s="22"/>
      <c r="D724" s="22"/>
      <c r="E724" s="24"/>
      <c r="F724" s="22"/>
      <c r="H724" s="21">
        <v>45912</v>
      </c>
      <c r="I724" s="22" t="s">
        <v>70</v>
      </c>
      <c r="J724" s="22" t="s">
        <v>58</v>
      </c>
      <c r="K724" s="24">
        <v>3</v>
      </c>
      <c r="M724" s="21">
        <v>45926</v>
      </c>
      <c r="N724" s="22" t="s">
        <v>70</v>
      </c>
      <c r="O724" s="22" t="s">
        <v>47</v>
      </c>
      <c r="P724" s="49">
        <v>72</v>
      </c>
      <c r="Q724" s="49">
        <v>71.8</v>
      </c>
      <c r="R724" s="50">
        <f t="shared" si="26"/>
        <v>0.20000000000000284</v>
      </c>
      <c r="T724" s="21">
        <v>45925</v>
      </c>
      <c r="U724" s="22" t="s">
        <v>51</v>
      </c>
      <c r="V724" s="24">
        <v>4</v>
      </c>
      <c r="W724" s="24">
        <v>3</v>
      </c>
      <c r="X724" s="24">
        <v>4</v>
      </c>
      <c r="Y724" s="24">
        <v>5</v>
      </c>
      <c r="Z724" s="20">
        <f t="shared" si="27"/>
        <v>16</v>
      </c>
    </row>
    <row r="725" spans="1:26" x14ac:dyDescent="0.2">
      <c r="A725" s="21"/>
      <c r="B725" s="51"/>
      <c r="C725" s="22"/>
      <c r="D725" s="22"/>
      <c r="E725" s="24"/>
      <c r="F725" s="22"/>
      <c r="H725" s="21">
        <v>45912</v>
      </c>
      <c r="I725" s="22" t="s">
        <v>70</v>
      </c>
      <c r="J725" s="22" t="s">
        <v>49</v>
      </c>
      <c r="K725" s="24">
        <v>4</v>
      </c>
      <c r="M725" s="21">
        <v>45926</v>
      </c>
      <c r="N725" s="22" t="s">
        <v>70</v>
      </c>
      <c r="O725" s="22" t="s">
        <v>48</v>
      </c>
      <c r="P725" s="49">
        <v>82.4</v>
      </c>
      <c r="Q725" s="49">
        <v>81.400000000000006</v>
      </c>
      <c r="R725" s="50">
        <f t="shared" si="26"/>
        <v>1</v>
      </c>
      <c r="T725" s="21">
        <v>45925</v>
      </c>
      <c r="U725" s="22" t="s">
        <v>52</v>
      </c>
      <c r="V725" s="24">
        <v>4</v>
      </c>
      <c r="W725" s="24">
        <v>4</v>
      </c>
      <c r="X725" s="24">
        <v>4</v>
      </c>
      <c r="Y725" s="24">
        <v>4</v>
      </c>
      <c r="Z725" s="20">
        <f t="shared" si="27"/>
        <v>16</v>
      </c>
    </row>
    <row r="726" spans="1:26" x14ac:dyDescent="0.2">
      <c r="A726" s="21"/>
      <c r="B726" s="51"/>
      <c r="C726" s="22"/>
      <c r="D726" s="22"/>
      <c r="E726" s="24"/>
      <c r="F726" s="22"/>
      <c r="H726" s="21">
        <v>45912</v>
      </c>
      <c r="I726" s="22" t="s">
        <v>70</v>
      </c>
      <c r="J726" s="22" t="s">
        <v>50</v>
      </c>
      <c r="K726" s="24">
        <v>4</v>
      </c>
      <c r="M726" s="21">
        <v>45926</v>
      </c>
      <c r="N726" s="22" t="s">
        <v>70</v>
      </c>
      <c r="O726" s="22" t="s">
        <v>49</v>
      </c>
      <c r="P726" s="49">
        <v>79.7</v>
      </c>
      <c r="Q726" s="49">
        <v>79.3</v>
      </c>
      <c r="R726" s="50">
        <f t="shared" si="26"/>
        <v>0.40000000000000568</v>
      </c>
      <c r="T726" s="21">
        <v>45925</v>
      </c>
      <c r="U726" s="22" t="s">
        <v>53</v>
      </c>
      <c r="V726" s="24">
        <v>4</v>
      </c>
      <c r="W726" s="24">
        <v>4</v>
      </c>
      <c r="X726" s="24">
        <v>4</v>
      </c>
      <c r="Y726" s="24">
        <v>4</v>
      </c>
      <c r="Z726" s="20">
        <f t="shared" si="27"/>
        <v>16</v>
      </c>
    </row>
    <row r="727" spans="1:26" x14ac:dyDescent="0.2">
      <c r="A727" s="21"/>
      <c r="B727" s="51"/>
      <c r="C727" s="22"/>
      <c r="D727" s="22"/>
      <c r="E727" s="24"/>
      <c r="F727" s="22"/>
      <c r="H727" s="21">
        <v>45912</v>
      </c>
      <c r="I727" s="22" t="s">
        <v>70</v>
      </c>
      <c r="J727" s="22" t="s">
        <v>51</v>
      </c>
      <c r="K727" s="24">
        <v>3</v>
      </c>
      <c r="M727" s="21">
        <v>45926</v>
      </c>
      <c r="N727" s="22" t="s">
        <v>70</v>
      </c>
      <c r="O727" s="22" t="s">
        <v>50</v>
      </c>
      <c r="P727" s="49">
        <v>70.900000000000006</v>
      </c>
      <c r="Q727" s="49">
        <v>71.3</v>
      </c>
      <c r="R727" s="50">
        <f t="shared" si="26"/>
        <v>-0.39999999999999147</v>
      </c>
      <c r="T727" s="21">
        <v>45925</v>
      </c>
      <c r="U727" s="22" t="s">
        <v>54</v>
      </c>
      <c r="V727" s="24">
        <v>4</v>
      </c>
      <c r="W727" s="24">
        <v>4</v>
      </c>
      <c r="X727" s="24">
        <v>4</v>
      </c>
      <c r="Y727" s="24">
        <v>4</v>
      </c>
      <c r="Z727" s="20">
        <f t="shared" si="27"/>
        <v>16</v>
      </c>
    </row>
    <row r="728" spans="1:26" x14ac:dyDescent="0.2">
      <c r="A728" s="21"/>
      <c r="B728" s="51"/>
      <c r="C728" s="22"/>
      <c r="D728" s="22"/>
      <c r="E728" s="24"/>
      <c r="F728" s="22"/>
      <c r="H728" s="21">
        <v>45912</v>
      </c>
      <c r="I728" s="22" t="s">
        <v>70</v>
      </c>
      <c r="J728" s="22" t="s">
        <v>46</v>
      </c>
      <c r="K728" s="24">
        <v>4</v>
      </c>
      <c r="M728" s="21">
        <v>45926</v>
      </c>
      <c r="N728" s="22" t="s">
        <v>70</v>
      </c>
      <c r="O728" s="22" t="s">
        <v>51</v>
      </c>
      <c r="P728" s="49">
        <v>75</v>
      </c>
      <c r="Q728" s="49">
        <v>74.8</v>
      </c>
      <c r="R728" s="50">
        <f t="shared" si="26"/>
        <v>0.20000000000000284</v>
      </c>
      <c r="T728" s="21">
        <v>45925</v>
      </c>
      <c r="U728" s="22" t="s">
        <v>56</v>
      </c>
      <c r="V728" s="24">
        <v>4</v>
      </c>
      <c r="W728" s="24">
        <v>3</v>
      </c>
      <c r="X728" s="24">
        <v>4</v>
      </c>
      <c r="Y728" s="24">
        <v>4</v>
      </c>
      <c r="Z728" s="20">
        <f t="shared" si="27"/>
        <v>15</v>
      </c>
    </row>
    <row r="729" spans="1:26" x14ac:dyDescent="0.2">
      <c r="A729" s="21"/>
      <c r="B729" s="51"/>
      <c r="C729" s="22"/>
      <c r="D729" s="22"/>
      <c r="E729" s="24"/>
      <c r="F729" s="22"/>
      <c r="H729" s="21">
        <v>45912</v>
      </c>
      <c r="I729" s="22" t="s">
        <v>70</v>
      </c>
      <c r="J729" s="22" t="s">
        <v>48</v>
      </c>
      <c r="K729" s="24">
        <v>4</v>
      </c>
      <c r="M729" s="21">
        <v>45926</v>
      </c>
      <c r="N729" s="22" t="s">
        <v>70</v>
      </c>
      <c r="O729" s="22" t="s">
        <v>52</v>
      </c>
      <c r="P729" s="49">
        <v>71.599999999999994</v>
      </c>
      <c r="Q729" s="49">
        <v>70.900000000000006</v>
      </c>
      <c r="R729" s="50">
        <f t="shared" si="26"/>
        <v>0.69999999999998863</v>
      </c>
      <c r="T729" s="21">
        <v>45925</v>
      </c>
      <c r="U729" s="22" t="s">
        <v>57</v>
      </c>
      <c r="V729" s="24">
        <v>3</v>
      </c>
      <c r="W729" s="24">
        <v>3</v>
      </c>
      <c r="X729" s="24">
        <v>4</v>
      </c>
      <c r="Y729" s="24">
        <v>5</v>
      </c>
      <c r="Z729" s="20">
        <f t="shared" si="27"/>
        <v>15</v>
      </c>
    </row>
    <row r="730" spans="1:26" x14ac:dyDescent="0.2">
      <c r="A730" s="21"/>
      <c r="B730" s="51"/>
      <c r="C730" s="22"/>
      <c r="D730" s="22"/>
      <c r="E730" s="24"/>
      <c r="F730" s="22"/>
      <c r="H730" s="21">
        <v>45912</v>
      </c>
      <c r="I730" s="22" t="s">
        <v>70</v>
      </c>
      <c r="J730" s="22" t="s">
        <v>56</v>
      </c>
      <c r="K730" s="24">
        <v>5</v>
      </c>
      <c r="M730" s="21">
        <v>45926</v>
      </c>
      <c r="N730" s="22" t="s">
        <v>70</v>
      </c>
      <c r="O730" s="22" t="s">
        <v>53</v>
      </c>
      <c r="P730" s="49">
        <v>66.400000000000006</v>
      </c>
      <c r="Q730" s="49">
        <v>65.900000000000006</v>
      </c>
      <c r="R730" s="50">
        <f t="shared" si="26"/>
        <v>0.5</v>
      </c>
      <c r="T730" s="21">
        <v>45925</v>
      </c>
      <c r="U730" s="22" t="s">
        <v>33</v>
      </c>
      <c r="V730" s="24">
        <v>3.6666666666666701</v>
      </c>
      <c r="W730" s="24">
        <v>3.6666666666666701</v>
      </c>
      <c r="X730" s="24">
        <v>3.6</v>
      </c>
      <c r="Y730" s="24">
        <v>4.3333333333333304</v>
      </c>
      <c r="Z730" s="20">
        <f t="shared" si="27"/>
        <v>15.266666666666671</v>
      </c>
    </row>
    <row r="731" spans="1:26" x14ac:dyDescent="0.2">
      <c r="A731" s="21"/>
      <c r="B731" s="51"/>
      <c r="C731" s="22"/>
      <c r="D731" s="22"/>
      <c r="E731" s="24"/>
      <c r="F731" s="22"/>
      <c r="H731" s="21">
        <v>45913</v>
      </c>
      <c r="I731" s="22" t="s">
        <v>70</v>
      </c>
      <c r="J731" s="22" t="s">
        <v>52</v>
      </c>
      <c r="K731" s="24">
        <v>2</v>
      </c>
      <c r="M731" s="21">
        <v>45926</v>
      </c>
      <c r="N731" s="22" t="s">
        <v>70</v>
      </c>
      <c r="O731" s="22" t="s">
        <v>54</v>
      </c>
      <c r="P731" s="49">
        <v>84.2</v>
      </c>
      <c r="Q731" s="49">
        <v>84</v>
      </c>
      <c r="R731" s="50">
        <f t="shared" si="26"/>
        <v>0.20000000000000284</v>
      </c>
      <c r="T731" s="21">
        <v>45926</v>
      </c>
      <c r="U731" s="22" t="s">
        <v>41</v>
      </c>
      <c r="V731" s="24">
        <v>1</v>
      </c>
      <c r="W731" s="24">
        <v>2</v>
      </c>
      <c r="X731" s="24">
        <v>1</v>
      </c>
      <c r="Y731" s="24">
        <v>1</v>
      </c>
      <c r="Z731" s="20">
        <f t="shared" si="27"/>
        <v>5</v>
      </c>
    </row>
    <row r="732" spans="1:26" x14ac:dyDescent="0.2">
      <c r="A732" s="21"/>
      <c r="B732" s="51"/>
      <c r="C732" s="22"/>
      <c r="D732" s="22"/>
      <c r="E732" s="24"/>
      <c r="F732" s="22"/>
      <c r="H732" s="21">
        <v>45913</v>
      </c>
      <c r="I732" s="22" t="s">
        <v>70</v>
      </c>
      <c r="J732" s="22" t="s">
        <v>53</v>
      </c>
      <c r="K732" s="24">
        <v>2</v>
      </c>
      <c r="M732" s="21">
        <v>45926</v>
      </c>
      <c r="N732" s="22" t="s">
        <v>70</v>
      </c>
      <c r="O732" s="22" t="s">
        <v>56</v>
      </c>
      <c r="P732" s="49">
        <v>74.8</v>
      </c>
      <c r="Q732" s="49">
        <v>74.599999999999994</v>
      </c>
      <c r="R732" s="50">
        <f t="shared" si="26"/>
        <v>0.20000000000000284</v>
      </c>
      <c r="T732" s="21">
        <v>45926</v>
      </c>
      <c r="U732" s="22" t="s">
        <v>42</v>
      </c>
      <c r="V732" s="24">
        <v>4</v>
      </c>
      <c r="W732" s="24">
        <v>4</v>
      </c>
      <c r="X732" s="24">
        <v>4</v>
      </c>
      <c r="Y732" s="24">
        <v>5</v>
      </c>
      <c r="Z732" s="20">
        <f t="shared" si="27"/>
        <v>17</v>
      </c>
    </row>
    <row r="733" spans="1:26" x14ac:dyDescent="0.2">
      <c r="A733" s="21"/>
      <c r="B733" s="51"/>
      <c r="C733" s="22"/>
      <c r="D733" s="22"/>
      <c r="E733" s="24"/>
      <c r="F733" s="22"/>
      <c r="H733" s="21">
        <v>45913</v>
      </c>
      <c r="I733" s="22" t="s">
        <v>70</v>
      </c>
      <c r="J733" s="22" t="s">
        <v>44</v>
      </c>
      <c r="K733" s="24">
        <v>2</v>
      </c>
      <c r="M733" s="21">
        <v>45926</v>
      </c>
      <c r="N733" s="22" t="s">
        <v>70</v>
      </c>
      <c r="O733" s="22" t="s">
        <v>57</v>
      </c>
      <c r="P733" s="49">
        <v>93.4</v>
      </c>
      <c r="Q733" s="49">
        <v>92.9</v>
      </c>
      <c r="R733" s="50">
        <f t="shared" si="26"/>
        <v>0.5</v>
      </c>
      <c r="T733" s="21">
        <v>45926</v>
      </c>
      <c r="U733" s="22" t="s">
        <v>43</v>
      </c>
      <c r="V733" s="24">
        <v>4</v>
      </c>
      <c r="W733" s="24">
        <v>4</v>
      </c>
      <c r="X733" s="24">
        <v>4</v>
      </c>
      <c r="Y733" s="24">
        <v>5</v>
      </c>
      <c r="Z733" s="20">
        <f t="shared" si="27"/>
        <v>17</v>
      </c>
    </row>
    <row r="734" spans="1:26" x14ac:dyDescent="0.2">
      <c r="A734" s="21"/>
      <c r="B734" s="51"/>
      <c r="C734" s="22"/>
      <c r="D734" s="22"/>
      <c r="E734" s="24"/>
      <c r="F734" s="22"/>
      <c r="H734" s="21">
        <v>45913</v>
      </c>
      <c r="I734" s="22" t="s">
        <v>70</v>
      </c>
      <c r="J734" s="22" t="s">
        <v>45</v>
      </c>
      <c r="K734" s="24">
        <v>2</v>
      </c>
      <c r="M734" s="21">
        <v>45927</v>
      </c>
      <c r="N734" s="22" t="s">
        <v>70</v>
      </c>
      <c r="O734" s="22" t="s">
        <v>42</v>
      </c>
      <c r="P734" s="49">
        <v>79.400000000000006</v>
      </c>
      <c r="Q734" s="49">
        <v>79</v>
      </c>
      <c r="R734" s="50">
        <f t="shared" si="26"/>
        <v>0.40000000000000568</v>
      </c>
      <c r="T734" s="21">
        <v>45926</v>
      </c>
      <c r="U734" s="22" t="s">
        <v>44</v>
      </c>
      <c r="V734" s="24">
        <v>5</v>
      </c>
      <c r="W734" s="24">
        <v>4</v>
      </c>
      <c r="X734" s="24">
        <v>3</v>
      </c>
      <c r="Y734" s="24">
        <v>5</v>
      </c>
      <c r="Z734" s="20">
        <f t="shared" si="27"/>
        <v>17</v>
      </c>
    </row>
    <row r="735" spans="1:26" x14ac:dyDescent="0.2">
      <c r="A735" s="21"/>
      <c r="B735" s="51"/>
      <c r="C735" s="22"/>
      <c r="D735" s="22"/>
      <c r="E735" s="24"/>
      <c r="F735" s="22"/>
      <c r="H735" s="21">
        <v>45913</v>
      </c>
      <c r="I735" s="22" t="s">
        <v>70</v>
      </c>
      <c r="J735" s="22" t="s">
        <v>42</v>
      </c>
      <c r="K735" s="24">
        <v>2</v>
      </c>
      <c r="M735" s="21">
        <v>45927</v>
      </c>
      <c r="N735" s="22" t="s">
        <v>70</v>
      </c>
      <c r="O735" s="22" t="s">
        <v>43</v>
      </c>
      <c r="P735" s="49">
        <v>86.1</v>
      </c>
      <c r="Q735" s="49">
        <v>85</v>
      </c>
      <c r="R735" s="50">
        <f t="shared" si="26"/>
        <v>1.0999999999999943</v>
      </c>
      <c r="T735" s="21">
        <v>45926</v>
      </c>
      <c r="U735" s="22" t="s">
        <v>45</v>
      </c>
      <c r="V735" s="24">
        <v>4</v>
      </c>
      <c r="W735" s="24">
        <v>4</v>
      </c>
      <c r="X735" s="24">
        <v>4</v>
      </c>
      <c r="Y735" s="24">
        <v>5</v>
      </c>
      <c r="Z735" s="20">
        <f t="shared" si="27"/>
        <v>17</v>
      </c>
    </row>
    <row r="736" spans="1:26" x14ac:dyDescent="0.2">
      <c r="A736" s="21"/>
      <c r="B736" s="51"/>
      <c r="C736" s="22"/>
      <c r="D736" s="22"/>
      <c r="E736" s="24"/>
      <c r="F736" s="22"/>
      <c r="H736" s="21">
        <v>45913</v>
      </c>
      <c r="I736" s="22" t="s">
        <v>70</v>
      </c>
      <c r="J736" s="22" t="s">
        <v>47</v>
      </c>
      <c r="K736" s="24">
        <v>2</v>
      </c>
      <c r="M736" s="21">
        <v>45927</v>
      </c>
      <c r="N736" s="22" t="s">
        <v>70</v>
      </c>
      <c r="O736" s="22" t="s">
        <v>44</v>
      </c>
      <c r="P736" s="49">
        <v>68.099999999999994</v>
      </c>
      <c r="Q736" s="49">
        <v>67.8</v>
      </c>
      <c r="R736" s="50">
        <f t="shared" si="26"/>
        <v>0.29999999999999716</v>
      </c>
      <c r="T736" s="21">
        <v>45926</v>
      </c>
      <c r="U736" s="22" t="s">
        <v>46</v>
      </c>
      <c r="V736" s="24">
        <v>5</v>
      </c>
      <c r="W736" s="24">
        <v>5</v>
      </c>
      <c r="X736" s="24">
        <v>5</v>
      </c>
      <c r="Y736" s="24">
        <v>3</v>
      </c>
      <c r="Z736" s="20">
        <f t="shared" si="27"/>
        <v>18</v>
      </c>
    </row>
    <row r="737" spans="1:26" x14ac:dyDescent="0.2">
      <c r="A737" s="21"/>
      <c r="B737" s="51"/>
      <c r="C737" s="22"/>
      <c r="D737" s="22"/>
      <c r="E737" s="24"/>
      <c r="F737" s="22"/>
      <c r="H737" s="21">
        <v>45913</v>
      </c>
      <c r="I737" s="22" t="s">
        <v>70</v>
      </c>
      <c r="J737" s="22" t="s">
        <v>41</v>
      </c>
      <c r="K737" s="24">
        <v>2</v>
      </c>
      <c r="M737" s="21">
        <v>45927</v>
      </c>
      <c r="N737" s="22" t="s">
        <v>70</v>
      </c>
      <c r="O737" s="22" t="s">
        <v>45</v>
      </c>
      <c r="P737" s="49">
        <v>69</v>
      </c>
      <c r="Q737" s="49">
        <v>68</v>
      </c>
      <c r="R737" s="50">
        <f t="shared" si="26"/>
        <v>1</v>
      </c>
      <c r="T737" s="21">
        <v>45926</v>
      </c>
      <c r="U737" s="22" t="s">
        <v>47</v>
      </c>
      <c r="V737" s="24">
        <v>3</v>
      </c>
      <c r="W737" s="24">
        <v>4</v>
      </c>
      <c r="X737" s="24">
        <v>4</v>
      </c>
      <c r="Y737" s="24">
        <v>5</v>
      </c>
      <c r="Z737" s="20">
        <f t="shared" si="27"/>
        <v>16</v>
      </c>
    </row>
    <row r="738" spans="1:26" x14ac:dyDescent="0.2">
      <c r="A738" s="21"/>
      <c r="B738" s="51"/>
      <c r="C738" s="22"/>
      <c r="D738" s="22"/>
      <c r="E738" s="24"/>
      <c r="F738" s="22"/>
      <c r="H738" s="21">
        <v>45913</v>
      </c>
      <c r="I738" s="22" t="s">
        <v>70</v>
      </c>
      <c r="J738" s="22" t="s">
        <v>58</v>
      </c>
      <c r="K738" s="24">
        <v>2</v>
      </c>
      <c r="M738" s="21">
        <v>45927</v>
      </c>
      <c r="N738" s="22" t="s">
        <v>70</v>
      </c>
      <c r="O738" s="22" t="s">
        <v>46</v>
      </c>
      <c r="P738" s="49">
        <v>80.3</v>
      </c>
      <c r="Q738" s="49">
        <v>79.400000000000006</v>
      </c>
      <c r="R738" s="50">
        <f t="shared" si="26"/>
        <v>0.89999999999999147</v>
      </c>
      <c r="T738" s="21">
        <v>45926</v>
      </c>
      <c r="U738" s="22" t="s">
        <v>48</v>
      </c>
      <c r="V738" s="24">
        <v>5</v>
      </c>
      <c r="W738" s="24">
        <v>4</v>
      </c>
      <c r="X738" s="24">
        <v>3</v>
      </c>
      <c r="Y738" s="24">
        <v>5</v>
      </c>
      <c r="Z738" s="20">
        <f t="shared" si="27"/>
        <v>17</v>
      </c>
    </row>
    <row r="739" spans="1:26" x14ac:dyDescent="0.2">
      <c r="A739" s="21"/>
      <c r="B739" s="51"/>
      <c r="C739" s="22"/>
      <c r="D739" s="22"/>
      <c r="E739" s="24"/>
      <c r="F739" s="22"/>
      <c r="H739" s="21">
        <v>45913</v>
      </c>
      <c r="I739" s="22" t="s">
        <v>70</v>
      </c>
      <c r="J739" s="22" t="s">
        <v>49</v>
      </c>
      <c r="K739" s="24">
        <v>2</v>
      </c>
      <c r="M739" s="21">
        <v>45927</v>
      </c>
      <c r="N739" s="22" t="s">
        <v>70</v>
      </c>
      <c r="O739" s="22" t="s">
        <v>47</v>
      </c>
      <c r="P739" s="49">
        <v>71.3</v>
      </c>
      <c r="Q739" s="49">
        <v>70.7</v>
      </c>
      <c r="R739" s="50">
        <f t="shared" si="26"/>
        <v>0.59999999999999432</v>
      </c>
      <c r="T739" s="21">
        <v>45926</v>
      </c>
      <c r="U739" s="22" t="s">
        <v>49</v>
      </c>
      <c r="V739" s="24">
        <v>4</v>
      </c>
      <c r="W739" s="24">
        <v>4</v>
      </c>
      <c r="X739" s="24">
        <v>4</v>
      </c>
      <c r="Y739" s="24">
        <v>4</v>
      </c>
      <c r="Z739" s="20">
        <f t="shared" si="27"/>
        <v>16</v>
      </c>
    </row>
    <row r="740" spans="1:26" x14ac:dyDescent="0.2">
      <c r="A740" s="21"/>
      <c r="B740" s="51"/>
      <c r="C740" s="22"/>
      <c r="D740" s="22"/>
      <c r="E740" s="24"/>
      <c r="F740" s="22"/>
      <c r="H740" s="21">
        <v>45913</v>
      </c>
      <c r="I740" s="22" t="s">
        <v>70</v>
      </c>
      <c r="J740" s="22" t="s">
        <v>50</v>
      </c>
      <c r="K740" s="24">
        <v>2</v>
      </c>
      <c r="M740" s="21">
        <v>45927</v>
      </c>
      <c r="N740" s="22" t="s">
        <v>70</v>
      </c>
      <c r="O740" s="22" t="s">
        <v>48</v>
      </c>
      <c r="P740" s="49">
        <v>82.3</v>
      </c>
      <c r="Q740" s="49">
        <v>82</v>
      </c>
      <c r="R740" s="50">
        <f t="shared" si="26"/>
        <v>0.29999999999999716</v>
      </c>
      <c r="T740" s="21">
        <v>45926</v>
      </c>
      <c r="U740" s="22" t="s">
        <v>50</v>
      </c>
      <c r="V740" s="24">
        <v>3</v>
      </c>
      <c r="W740" s="24">
        <v>4</v>
      </c>
      <c r="X740" s="24">
        <v>4</v>
      </c>
      <c r="Y740" s="24">
        <v>5</v>
      </c>
      <c r="Z740" s="20">
        <f t="shared" si="27"/>
        <v>16</v>
      </c>
    </row>
    <row r="741" spans="1:26" x14ac:dyDescent="0.2">
      <c r="A741" s="21"/>
      <c r="B741" s="51"/>
      <c r="C741" s="22"/>
      <c r="D741" s="22"/>
      <c r="E741" s="24"/>
      <c r="F741" s="22"/>
      <c r="H741" s="21">
        <v>45913</v>
      </c>
      <c r="I741" s="22" t="s">
        <v>70</v>
      </c>
      <c r="J741" s="22" t="s">
        <v>51</v>
      </c>
      <c r="K741" s="24">
        <v>2</v>
      </c>
      <c r="M741" s="21">
        <v>45927</v>
      </c>
      <c r="N741" s="22" t="s">
        <v>70</v>
      </c>
      <c r="O741" s="22" t="s">
        <v>49</v>
      </c>
      <c r="P741" s="49">
        <v>79.599999999999994</v>
      </c>
      <c r="Q741" s="49">
        <v>80.599999999999994</v>
      </c>
      <c r="R741" s="50">
        <f t="shared" si="26"/>
        <v>-1</v>
      </c>
      <c r="T741" s="21">
        <v>45926</v>
      </c>
      <c r="U741" s="22" t="s">
        <v>51</v>
      </c>
      <c r="V741" s="24">
        <v>4</v>
      </c>
      <c r="W741" s="24">
        <v>4</v>
      </c>
      <c r="X741" s="24">
        <v>4</v>
      </c>
      <c r="Y741" s="24">
        <v>5</v>
      </c>
      <c r="Z741" s="20">
        <f t="shared" si="27"/>
        <v>17</v>
      </c>
    </row>
    <row r="742" spans="1:26" x14ac:dyDescent="0.2">
      <c r="A742" s="21"/>
      <c r="B742" s="51"/>
      <c r="C742" s="22"/>
      <c r="D742" s="22"/>
      <c r="E742" s="24"/>
      <c r="F742" s="22"/>
      <c r="H742" s="21">
        <v>45913</v>
      </c>
      <c r="I742" s="22" t="s">
        <v>70</v>
      </c>
      <c r="J742" s="22" t="s">
        <v>46</v>
      </c>
      <c r="K742" s="24">
        <v>2</v>
      </c>
      <c r="M742" s="21">
        <v>45927</v>
      </c>
      <c r="N742" s="22" t="s">
        <v>70</v>
      </c>
      <c r="O742" s="22" t="s">
        <v>50</v>
      </c>
      <c r="P742" s="49">
        <v>71.099999999999994</v>
      </c>
      <c r="Q742" s="49">
        <v>69.7</v>
      </c>
      <c r="R742" s="50">
        <f t="shared" si="26"/>
        <v>1.3999999999999915</v>
      </c>
      <c r="T742" s="21">
        <v>45926</v>
      </c>
      <c r="U742" s="22" t="s">
        <v>52</v>
      </c>
      <c r="V742" s="24">
        <v>4</v>
      </c>
      <c r="W742" s="24">
        <v>4</v>
      </c>
      <c r="X742" s="24">
        <v>4</v>
      </c>
      <c r="Y742" s="24">
        <v>4</v>
      </c>
      <c r="Z742" s="20">
        <f t="shared" si="27"/>
        <v>16</v>
      </c>
    </row>
    <row r="743" spans="1:26" x14ac:dyDescent="0.2">
      <c r="A743" s="21"/>
      <c r="B743" s="51"/>
      <c r="C743" s="22"/>
      <c r="D743" s="22"/>
      <c r="E743" s="24"/>
      <c r="F743" s="22"/>
      <c r="H743" s="21">
        <v>45913</v>
      </c>
      <c r="I743" s="22" t="s">
        <v>70</v>
      </c>
      <c r="J743" s="22" t="s">
        <v>48</v>
      </c>
      <c r="K743" s="24">
        <v>2</v>
      </c>
      <c r="M743" s="21">
        <v>45927</v>
      </c>
      <c r="N743" s="22" t="s">
        <v>70</v>
      </c>
      <c r="O743" s="22" t="s">
        <v>51</v>
      </c>
      <c r="P743" s="49">
        <v>75.2</v>
      </c>
      <c r="Q743" s="49">
        <v>75.099999999999994</v>
      </c>
      <c r="R743" s="50">
        <f t="shared" si="26"/>
        <v>0.10000000000000853</v>
      </c>
      <c r="T743" s="21">
        <v>45926</v>
      </c>
      <c r="U743" s="22" t="s">
        <v>53</v>
      </c>
      <c r="V743" s="24">
        <v>4</v>
      </c>
      <c r="W743" s="24">
        <v>4</v>
      </c>
      <c r="X743" s="24">
        <v>4</v>
      </c>
      <c r="Y743" s="24">
        <v>4</v>
      </c>
      <c r="Z743" s="20">
        <f t="shared" si="27"/>
        <v>16</v>
      </c>
    </row>
    <row r="744" spans="1:26" x14ac:dyDescent="0.2">
      <c r="A744" s="21"/>
      <c r="B744" s="51"/>
      <c r="C744" s="22"/>
      <c r="D744" s="22"/>
      <c r="E744" s="24"/>
      <c r="F744" s="22"/>
      <c r="H744" s="21">
        <v>45913</v>
      </c>
      <c r="I744" s="22" t="s">
        <v>70</v>
      </c>
      <c r="J744" s="22" t="s">
        <v>56</v>
      </c>
      <c r="K744" s="24">
        <v>2</v>
      </c>
      <c r="M744" s="21">
        <v>45927</v>
      </c>
      <c r="N744" s="22" t="s">
        <v>70</v>
      </c>
      <c r="O744" s="22" t="s">
        <v>52</v>
      </c>
      <c r="P744" s="49">
        <v>71.8</v>
      </c>
      <c r="Q744" s="49">
        <v>70.5</v>
      </c>
      <c r="R744" s="50">
        <f t="shared" si="26"/>
        <v>1.2999999999999972</v>
      </c>
      <c r="T744" s="21">
        <v>45926</v>
      </c>
      <c r="U744" s="22" t="s">
        <v>54</v>
      </c>
      <c r="V744" s="24">
        <v>4</v>
      </c>
      <c r="W744" s="24">
        <v>4</v>
      </c>
      <c r="X744" s="24">
        <v>3</v>
      </c>
      <c r="Y744" s="24">
        <v>3</v>
      </c>
      <c r="Z744" s="20">
        <f t="shared" si="27"/>
        <v>14</v>
      </c>
    </row>
    <row r="745" spans="1:26" x14ac:dyDescent="0.2">
      <c r="A745" s="21"/>
      <c r="B745" s="51"/>
      <c r="C745" s="22"/>
      <c r="D745" s="22"/>
      <c r="E745" s="24"/>
      <c r="F745" s="22"/>
      <c r="H745" s="21">
        <v>45913</v>
      </c>
      <c r="I745" s="22" t="s">
        <v>71</v>
      </c>
      <c r="J745" s="22" t="s">
        <v>52</v>
      </c>
      <c r="K745" s="24">
        <v>5</v>
      </c>
      <c r="M745" s="21">
        <v>45927</v>
      </c>
      <c r="N745" s="22" t="s">
        <v>70</v>
      </c>
      <c r="O745" s="22" t="s">
        <v>53</v>
      </c>
      <c r="P745" s="49">
        <v>66.7</v>
      </c>
      <c r="Q745" s="49">
        <v>66.3</v>
      </c>
      <c r="R745" s="50">
        <f t="shared" si="26"/>
        <v>0.40000000000000568</v>
      </c>
      <c r="T745" s="21">
        <v>45926</v>
      </c>
      <c r="U745" s="22" t="s">
        <v>56</v>
      </c>
      <c r="V745" s="24">
        <v>4</v>
      </c>
      <c r="W745" s="24">
        <v>4</v>
      </c>
      <c r="X745" s="24">
        <v>4</v>
      </c>
      <c r="Y745" s="24">
        <v>4</v>
      </c>
      <c r="Z745" s="20">
        <f t="shared" si="27"/>
        <v>16</v>
      </c>
    </row>
    <row r="746" spans="1:26" x14ac:dyDescent="0.2">
      <c r="A746" s="21"/>
      <c r="B746" s="51"/>
      <c r="C746" s="22"/>
      <c r="D746" s="22"/>
      <c r="E746" s="24"/>
      <c r="F746" s="22"/>
      <c r="H746" s="21">
        <v>45913</v>
      </c>
      <c r="I746" s="22" t="s">
        <v>71</v>
      </c>
      <c r="J746" s="22" t="s">
        <v>53</v>
      </c>
      <c r="K746" s="24">
        <v>5</v>
      </c>
      <c r="M746" s="21">
        <v>45927</v>
      </c>
      <c r="N746" s="22" t="s">
        <v>70</v>
      </c>
      <c r="O746" s="22" t="s">
        <v>56</v>
      </c>
      <c r="P746" s="49">
        <v>74.599999999999994</v>
      </c>
      <c r="Q746" s="49">
        <v>74.599999999999994</v>
      </c>
      <c r="R746" s="50">
        <f t="shared" si="26"/>
        <v>0</v>
      </c>
      <c r="T746" s="21">
        <v>45926</v>
      </c>
      <c r="U746" s="22" t="s">
        <v>57</v>
      </c>
      <c r="V746" s="24">
        <v>4</v>
      </c>
      <c r="W746" s="24">
        <v>3</v>
      </c>
      <c r="X746" s="24">
        <v>4</v>
      </c>
      <c r="Y746" s="24">
        <v>4</v>
      </c>
      <c r="Z746" s="20">
        <f t="shared" si="27"/>
        <v>15</v>
      </c>
    </row>
    <row r="747" spans="1:26" x14ac:dyDescent="0.2">
      <c r="A747" s="21"/>
      <c r="B747" s="51"/>
      <c r="C747" s="22"/>
      <c r="D747" s="22"/>
      <c r="E747" s="24"/>
      <c r="F747" s="22"/>
      <c r="H747" s="21">
        <v>45913</v>
      </c>
      <c r="I747" s="22" t="s">
        <v>71</v>
      </c>
      <c r="J747" s="22" t="s">
        <v>44</v>
      </c>
      <c r="K747" s="24">
        <v>6</v>
      </c>
      <c r="M747" s="21">
        <v>45927</v>
      </c>
      <c r="N747" s="22" t="s">
        <v>70</v>
      </c>
      <c r="O747" s="22" t="s">
        <v>57</v>
      </c>
      <c r="P747" s="49">
        <v>93.3</v>
      </c>
      <c r="Q747" s="49">
        <v>93</v>
      </c>
      <c r="R747" s="50">
        <f t="shared" si="26"/>
        <v>0.29999999999999716</v>
      </c>
      <c r="T747" s="21">
        <v>45926</v>
      </c>
      <c r="U747" s="22" t="s">
        <v>33</v>
      </c>
      <c r="V747" s="24">
        <v>3.875</v>
      </c>
      <c r="W747" s="24">
        <v>3.875</v>
      </c>
      <c r="X747" s="24">
        <v>3.6875</v>
      </c>
      <c r="Y747" s="24">
        <v>4.1875</v>
      </c>
      <c r="Z747" s="20">
        <f t="shared" si="27"/>
        <v>15.625</v>
      </c>
    </row>
    <row r="748" spans="1:26" x14ac:dyDescent="0.2">
      <c r="A748" s="21"/>
      <c r="B748" s="51"/>
      <c r="C748" s="22"/>
      <c r="D748" s="22"/>
      <c r="E748" s="24"/>
      <c r="F748" s="22"/>
      <c r="H748" s="21">
        <v>45913</v>
      </c>
      <c r="I748" s="22" t="s">
        <v>71</v>
      </c>
      <c r="J748" s="22" t="s">
        <v>45</v>
      </c>
      <c r="K748" s="24">
        <v>6</v>
      </c>
      <c r="M748" s="21">
        <v>45929</v>
      </c>
      <c r="N748" s="22" t="s">
        <v>71</v>
      </c>
      <c r="O748" s="22" t="s">
        <v>41</v>
      </c>
      <c r="P748" s="49">
        <v>77</v>
      </c>
      <c r="Q748" s="49">
        <v>76</v>
      </c>
      <c r="R748" s="50">
        <f t="shared" si="26"/>
        <v>1</v>
      </c>
      <c r="T748" s="21">
        <v>45927</v>
      </c>
      <c r="U748" s="22" t="s">
        <v>42</v>
      </c>
      <c r="V748" s="24">
        <v>4</v>
      </c>
      <c r="W748" s="24">
        <v>4</v>
      </c>
      <c r="X748" s="24">
        <v>4</v>
      </c>
      <c r="Y748" s="24">
        <v>5</v>
      </c>
      <c r="Z748" s="20">
        <f t="shared" si="27"/>
        <v>17</v>
      </c>
    </row>
    <row r="749" spans="1:26" x14ac:dyDescent="0.2">
      <c r="A749" s="21"/>
      <c r="B749" s="51"/>
      <c r="C749" s="22"/>
      <c r="D749" s="22"/>
      <c r="E749" s="24"/>
      <c r="F749" s="22"/>
      <c r="H749" s="21">
        <v>45913</v>
      </c>
      <c r="I749" s="22" t="s">
        <v>71</v>
      </c>
      <c r="J749" s="22" t="s">
        <v>42</v>
      </c>
      <c r="K749" s="24" t="s">
        <v>63</v>
      </c>
      <c r="M749" s="21">
        <v>45929</v>
      </c>
      <c r="N749" s="22" t="s">
        <v>71</v>
      </c>
      <c r="O749" s="22" t="s">
        <v>43</v>
      </c>
      <c r="P749" s="49">
        <v>85.5</v>
      </c>
      <c r="Q749" s="49">
        <v>85.2</v>
      </c>
      <c r="R749" s="50">
        <f t="shared" si="26"/>
        <v>0.29999999999999716</v>
      </c>
      <c r="T749" s="21">
        <v>45927</v>
      </c>
      <c r="U749" s="22" t="s">
        <v>43</v>
      </c>
      <c r="V749" s="24">
        <v>4</v>
      </c>
      <c r="W749" s="24">
        <v>4</v>
      </c>
      <c r="X749" s="24">
        <v>4</v>
      </c>
      <c r="Y749" s="24">
        <v>5</v>
      </c>
      <c r="Z749" s="20">
        <f t="shared" si="27"/>
        <v>17</v>
      </c>
    </row>
    <row r="750" spans="1:26" x14ac:dyDescent="0.2">
      <c r="A750" s="21"/>
      <c r="B750" s="51"/>
      <c r="C750" s="22"/>
      <c r="D750" s="22"/>
      <c r="E750" s="24"/>
      <c r="F750" s="22"/>
      <c r="H750" s="21">
        <v>45913</v>
      </c>
      <c r="I750" s="22" t="s">
        <v>71</v>
      </c>
      <c r="J750" s="22" t="s">
        <v>47</v>
      </c>
      <c r="K750" s="24">
        <v>6</v>
      </c>
      <c r="M750" s="21">
        <v>45929</v>
      </c>
      <c r="N750" s="22" t="s">
        <v>71</v>
      </c>
      <c r="O750" s="22" t="s">
        <v>44</v>
      </c>
      <c r="P750" s="49">
        <v>67.099999999999994</v>
      </c>
      <c r="Q750" s="49">
        <v>67</v>
      </c>
      <c r="R750" s="50">
        <f t="shared" si="26"/>
        <v>9.9999999999994316E-2</v>
      </c>
      <c r="T750" s="21">
        <v>45927</v>
      </c>
      <c r="U750" s="22" t="s">
        <v>44</v>
      </c>
      <c r="V750" s="24">
        <v>5</v>
      </c>
      <c r="W750" s="24">
        <v>5</v>
      </c>
      <c r="X750" s="24">
        <v>3</v>
      </c>
      <c r="Y750" s="24">
        <v>5</v>
      </c>
      <c r="Z750" s="20">
        <f t="shared" si="27"/>
        <v>18</v>
      </c>
    </row>
    <row r="751" spans="1:26" x14ac:dyDescent="0.2">
      <c r="A751" s="21"/>
      <c r="B751" s="51"/>
      <c r="C751" s="22"/>
      <c r="D751" s="22"/>
      <c r="E751" s="24"/>
      <c r="F751" s="22"/>
      <c r="H751" s="21">
        <v>45913</v>
      </c>
      <c r="I751" s="22" t="s">
        <v>71</v>
      </c>
      <c r="J751" s="22" t="s">
        <v>41</v>
      </c>
      <c r="K751" s="24">
        <v>7</v>
      </c>
      <c r="M751" s="21">
        <v>45929</v>
      </c>
      <c r="N751" s="22" t="s">
        <v>71</v>
      </c>
      <c r="O751" s="22" t="s">
        <v>45</v>
      </c>
      <c r="P751" s="49">
        <v>69</v>
      </c>
      <c r="Q751" s="49">
        <v>68.5</v>
      </c>
      <c r="R751" s="50">
        <f t="shared" si="26"/>
        <v>0.5</v>
      </c>
      <c r="T751" s="21">
        <v>45927</v>
      </c>
      <c r="U751" s="22" t="s">
        <v>45</v>
      </c>
      <c r="V751" s="24">
        <v>4</v>
      </c>
      <c r="W751" s="24">
        <v>4</v>
      </c>
      <c r="X751" s="24">
        <v>4</v>
      </c>
      <c r="Y751" s="24">
        <v>5</v>
      </c>
      <c r="Z751" s="20">
        <f t="shared" si="27"/>
        <v>17</v>
      </c>
    </row>
    <row r="752" spans="1:26" x14ac:dyDescent="0.2">
      <c r="A752" s="21"/>
      <c r="B752" s="51"/>
      <c r="C752" s="22"/>
      <c r="D752" s="22"/>
      <c r="E752" s="24"/>
      <c r="F752" s="22"/>
      <c r="H752" s="21">
        <v>45913</v>
      </c>
      <c r="I752" s="22" t="s">
        <v>71</v>
      </c>
      <c r="J752" s="22" t="s">
        <v>58</v>
      </c>
      <c r="K752" s="24" t="s">
        <v>63</v>
      </c>
      <c r="M752" s="21">
        <v>45929</v>
      </c>
      <c r="N752" s="22" t="s">
        <v>71</v>
      </c>
      <c r="O752" s="22" t="s">
        <v>46</v>
      </c>
      <c r="P752" s="49">
        <v>81</v>
      </c>
      <c r="Q752" s="49">
        <v>81.099999999999994</v>
      </c>
      <c r="R752" s="50">
        <f t="shared" si="26"/>
        <v>-9.9999999999994316E-2</v>
      </c>
      <c r="T752" s="21">
        <v>45927</v>
      </c>
      <c r="U752" s="22" t="s">
        <v>46</v>
      </c>
      <c r="V752" s="24">
        <v>5</v>
      </c>
      <c r="W752" s="24">
        <v>5</v>
      </c>
      <c r="X752" s="24">
        <v>5</v>
      </c>
      <c r="Y752" s="24">
        <v>4</v>
      </c>
      <c r="Z752" s="20">
        <f t="shared" si="27"/>
        <v>19</v>
      </c>
    </row>
    <row r="753" spans="1:26" x14ac:dyDescent="0.2">
      <c r="A753" s="21"/>
      <c r="B753" s="51"/>
      <c r="C753" s="22"/>
      <c r="D753" s="22"/>
      <c r="E753" s="24"/>
      <c r="F753" s="22"/>
      <c r="H753" s="21">
        <v>45913</v>
      </c>
      <c r="I753" s="22" t="s">
        <v>71</v>
      </c>
      <c r="J753" s="22" t="s">
        <v>49</v>
      </c>
      <c r="K753" s="24">
        <v>10</v>
      </c>
      <c r="M753" s="21">
        <v>45929</v>
      </c>
      <c r="N753" s="22" t="s">
        <v>71</v>
      </c>
      <c r="O753" s="22" t="s">
        <v>47</v>
      </c>
      <c r="P753" s="49">
        <v>71.599999999999994</v>
      </c>
      <c r="Q753" s="49">
        <v>71.8</v>
      </c>
      <c r="R753" s="50">
        <f t="shared" si="26"/>
        <v>-0.20000000000000284</v>
      </c>
      <c r="T753" s="21">
        <v>45927</v>
      </c>
      <c r="U753" s="22" t="s">
        <v>47</v>
      </c>
      <c r="V753" s="24">
        <v>4</v>
      </c>
      <c r="W753" s="24">
        <v>4</v>
      </c>
      <c r="X753" s="24">
        <v>4</v>
      </c>
      <c r="Y753" s="24">
        <v>5</v>
      </c>
      <c r="Z753" s="20">
        <f t="shared" si="27"/>
        <v>17</v>
      </c>
    </row>
    <row r="754" spans="1:26" x14ac:dyDescent="0.2">
      <c r="A754" s="21"/>
      <c r="B754" s="51"/>
      <c r="C754" s="22"/>
      <c r="D754" s="22"/>
      <c r="E754" s="24"/>
      <c r="F754" s="22"/>
      <c r="H754" s="21">
        <v>45913</v>
      </c>
      <c r="I754" s="22" t="s">
        <v>71</v>
      </c>
      <c r="J754" s="22" t="s">
        <v>50</v>
      </c>
      <c r="K754" s="24">
        <v>8</v>
      </c>
      <c r="M754" s="21">
        <v>45929</v>
      </c>
      <c r="N754" s="22" t="s">
        <v>71</v>
      </c>
      <c r="O754" s="22" t="s">
        <v>49</v>
      </c>
      <c r="P754" s="49">
        <v>78.5</v>
      </c>
      <c r="Q754" s="49">
        <v>78.5</v>
      </c>
      <c r="R754" s="50">
        <f t="shared" si="26"/>
        <v>0</v>
      </c>
      <c r="T754" s="21">
        <v>45927</v>
      </c>
      <c r="U754" s="22" t="s">
        <v>48</v>
      </c>
      <c r="V754" s="24">
        <v>5</v>
      </c>
      <c r="W754" s="24">
        <v>4</v>
      </c>
      <c r="X754" s="24">
        <v>4</v>
      </c>
      <c r="Y754" s="24">
        <v>5</v>
      </c>
      <c r="Z754" s="20">
        <f t="shared" si="27"/>
        <v>18</v>
      </c>
    </row>
    <row r="755" spans="1:26" x14ac:dyDescent="0.2">
      <c r="A755" s="21"/>
      <c r="B755" s="51"/>
      <c r="C755" s="22"/>
      <c r="D755" s="22"/>
      <c r="E755" s="24"/>
      <c r="F755" s="22"/>
      <c r="H755" s="21">
        <v>45913</v>
      </c>
      <c r="I755" s="22" t="s">
        <v>71</v>
      </c>
      <c r="J755" s="22" t="s">
        <v>51</v>
      </c>
      <c r="K755" s="24">
        <v>9</v>
      </c>
      <c r="M755" s="21">
        <v>45929</v>
      </c>
      <c r="N755" s="22" t="s">
        <v>71</v>
      </c>
      <c r="O755" s="22" t="s">
        <v>50</v>
      </c>
      <c r="P755" s="49">
        <v>71.5</v>
      </c>
      <c r="Q755" s="49">
        <v>70.2</v>
      </c>
      <c r="R755" s="50">
        <f t="shared" si="26"/>
        <v>1.2999999999999972</v>
      </c>
      <c r="T755" s="21">
        <v>45927</v>
      </c>
      <c r="U755" s="22" t="s">
        <v>49</v>
      </c>
      <c r="V755" s="24">
        <v>4</v>
      </c>
      <c r="W755" s="24">
        <v>4</v>
      </c>
      <c r="X755" s="24">
        <v>4</v>
      </c>
      <c r="Y755" s="24">
        <v>4</v>
      </c>
      <c r="Z755" s="20">
        <f t="shared" si="27"/>
        <v>16</v>
      </c>
    </row>
    <row r="756" spans="1:26" x14ac:dyDescent="0.2">
      <c r="A756" s="21"/>
      <c r="B756" s="51"/>
      <c r="C756" s="22"/>
      <c r="D756" s="22"/>
      <c r="E756" s="24"/>
      <c r="F756" s="22"/>
      <c r="H756" s="21">
        <v>45913</v>
      </c>
      <c r="I756" s="22" t="s">
        <v>71</v>
      </c>
      <c r="J756" s="22" t="s">
        <v>46</v>
      </c>
      <c r="K756" s="24">
        <v>9</v>
      </c>
      <c r="M756" s="21">
        <v>45929</v>
      </c>
      <c r="N756" s="22" t="s">
        <v>71</v>
      </c>
      <c r="O756" s="22" t="s">
        <v>51</v>
      </c>
      <c r="P756" s="49">
        <v>74.900000000000006</v>
      </c>
      <c r="Q756" s="49">
        <v>74.900000000000006</v>
      </c>
      <c r="R756" s="50">
        <f t="shared" si="26"/>
        <v>0</v>
      </c>
      <c r="T756" s="21">
        <v>45927</v>
      </c>
      <c r="U756" s="22" t="s">
        <v>50</v>
      </c>
      <c r="V756" s="24">
        <v>4</v>
      </c>
      <c r="W756" s="24">
        <v>4</v>
      </c>
      <c r="X756" s="24">
        <v>4</v>
      </c>
      <c r="Y756" s="24">
        <v>5</v>
      </c>
      <c r="Z756" s="20">
        <f t="shared" si="27"/>
        <v>17</v>
      </c>
    </row>
    <row r="757" spans="1:26" x14ac:dyDescent="0.2">
      <c r="A757" s="21"/>
      <c r="B757" s="51"/>
      <c r="C757" s="22"/>
      <c r="D757" s="22"/>
      <c r="E757" s="24"/>
      <c r="F757" s="22"/>
      <c r="H757" s="21">
        <v>45913</v>
      </c>
      <c r="I757" s="22" t="s">
        <v>71</v>
      </c>
      <c r="J757" s="22" t="s">
        <v>48</v>
      </c>
      <c r="K757" s="24">
        <v>8</v>
      </c>
      <c r="M757" s="21">
        <v>45929</v>
      </c>
      <c r="N757" s="22" t="s">
        <v>71</v>
      </c>
      <c r="O757" s="22" t="s">
        <v>52</v>
      </c>
      <c r="P757" s="49">
        <v>72.099999999999994</v>
      </c>
      <c r="Q757" s="49">
        <v>72.099999999999994</v>
      </c>
      <c r="R757" s="50">
        <f t="shared" si="26"/>
        <v>0</v>
      </c>
      <c r="T757" s="21">
        <v>45927</v>
      </c>
      <c r="U757" s="22" t="s">
        <v>51</v>
      </c>
      <c r="V757" s="24">
        <v>4</v>
      </c>
      <c r="W757" s="24">
        <v>4</v>
      </c>
      <c r="X757" s="24">
        <v>4</v>
      </c>
      <c r="Y757" s="24">
        <v>5</v>
      </c>
      <c r="Z757" s="20">
        <f t="shared" si="27"/>
        <v>17</v>
      </c>
    </row>
    <row r="758" spans="1:26" x14ac:dyDescent="0.2">
      <c r="A758" s="21"/>
      <c r="B758" s="51"/>
      <c r="C758" s="22"/>
      <c r="D758" s="22"/>
      <c r="E758" s="24"/>
      <c r="F758" s="22"/>
      <c r="H758" s="21">
        <v>45913</v>
      </c>
      <c r="I758" s="22" t="s">
        <v>71</v>
      </c>
      <c r="J758" s="22" t="s">
        <v>56</v>
      </c>
      <c r="K758" s="24" t="s">
        <v>63</v>
      </c>
      <c r="M758" s="21">
        <v>45929</v>
      </c>
      <c r="N758" s="22" t="s">
        <v>71</v>
      </c>
      <c r="O758" s="22" t="s">
        <v>53</v>
      </c>
      <c r="P758" s="49">
        <v>66.400000000000006</v>
      </c>
      <c r="Q758" s="49">
        <v>66.099999999999994</v>
      </c>
      <c r="R758" s="50">
        <f t="shared" si="26"/>
        <v>0.30000000000001137</v>
      </c>
      <c r="T758" s="21">
        <v>45927</v>
      </c>
      <c r="U758" s="22" t="s">
        <v>52</v>
      </c>
      <c r="V758" s="24">
        <v>4</v>
      </c>
      <c r="W758" s="24">
        <v>4</v>
      </c>
      <c r="X758" s="24">
        <v>4</v>
      </c>
      <c r="Y758" s="24">
        <v>5</v>
      </c>
      <c r="Z758" s="20">
        <f t="shared" si="27"/>
        <v>17</v>
      </c>
    </row>
    <row r="759" spans="1:26" x14ac:dyDescent="0.2">
      <c r="A759" s="21"/>
      <c r="B759" s="51"/>
      <c r="C759" s="22"/>
      <c r="D759" s="22"/>
      <c r="E759" s="24"/>
      <c r="F759" s="22"/>
      <c r="H759" s="21">
        <v>45915</v>
      </c>
      <c r="I759" s="22" t="s">
        <v>70</v>
      </c>
      <c r="J759" s="22" t="s">
        <v>52</v>
      </c>
      <c r="K759" s="24">
        <v>5</v>
      </c>
      <c r="M759" s="21">
        <v>45929</v>
      </c>
      <c r="N759" s="22" t="s">
        <v>71</v>
      </c>
      <c r="O759" s="22" t="s">
        <v>54</v>
      </c>
      <c r="P759" s="49">
        <v>84.3</v>
      </c>
      <c r="Q759" s="49">
        <v>84.4</v>
      </c>
      <c r="R759" s="50">
        <f t="shared" si="26"/>
        <v>-0.10000000000000853</v>
      </c>
      <c r="T759" s="21">
        <v>45927</v>
      </c>
      <c r="U759" s="22" t="s">
        <v>53</v>
      </c>
      <c r="V759" s="24">
        <v>4</v>
      </c>
      <c r="W759" s="24">
        <v>4</v>
      </c>
      <c r="X759" s="24">
        <v>4</v>
      </c>
      <c r="Y759" s="24">
        <v>5</v>
      </c>
      <c r="Z759" s="20">
        <f t="shared" si="27"/>
        <v>17</v>
      </c>
    </row>
    <row r="760" spans="1:26" x14ac:dyDescent="0.2">
      <c r="A760" s="21"/>
      <c r="B760" s="51"/>
      <c r="C760" s="22"/>
      <c r="D760" s="22"/>
      <c r="E760" s="24"/>
      <c r="F760" s="22"/>
      <c r="H760" s="21">
        <v>45915</v>
      </c>
      <c r="I760" s="22" t="s">
        <v>70</v>
      </c>
      <c r="J760" s="22" t="s">
        <v>53</v>
      </c>
      <c r="K760" s="24">
        <v>8</v>
      </c>
      <c r="M760" s="21">
        <v>45929</v>
      </c>
      <c r="N760" s="22" t="s">
        <v>71</v>
      </c>
      <c r="O760" s="22" t="s">
        <v>56</v>
      </c>
      <c r="P760" s="49">
        <v>74.599999999999994</v>
      </c>
      <c r="Q760" s="49">
        <v>74.599999999999994</v>
      </c>
      <c r="R760" s="50">
        <f t="shared" si="26"/>
        <v>0</v>
      </c>
      <c r="T760" s="21">
        <v>45927</v>
      </c>
      <c r="U760" s="22" t="s">
        <v>56</v>
      </c>
      <c r="V760" s="24">
        <v>4</v>
      </c>
      <c r="W760" s="24">
        <v>4</v>
      </c>
      <c r="X760" s="24">
        <v>4</v>
      </c>
      <c r="Y760" s="24">
        <v>5</v>
      </c>
      <c r="Z760" s="20">
        <f t="shared" si="27"/>
        <v>17</v>
      </c>
    </row>
    <row r="761" spans="1:26" x14ac:dyDescent="0.2">
      <c r="A761" s="21"/>
      <c r="B761" s="51"/>
      <c r="C761" s="22"/>
      <c r="D761" s="22"/>
      <c r="E761" s="24"/>
      <c r="F761" s="22"/>
      <c r="H761" s="21">
        <v>45915</v>
      </c>
      <c r="I761" s="22" t="s">
        <v>70</v>
      </c>
      <c r="J761" s="22" t="s">
        <v>44</v>
      </c>
      <c r="K761" s="24">
        <v>7</v>
      </c>
      <c r="M761" s="21">
        <v>45929</v>
      </c>
      <c r="N761" s="22" t="s">
        <v>71</v>
      </c>
      <c r="O761" s="22" t="s">
        <v>57</v>
      </c>
      <c r="P761" s="49">
        <v>93.3</v>
      </c>
      <c r="Q761" s="49">
        <v>92.8</v>
      </c>
      <c r="R761" s="50">
        <f t="shared" si="26"/>
        <v>0.5</v>
      </c>
      <c r="T761" s="21">
        <v>45927</v>
      </c>
      <c r="U761" s="22" t="s">
        <v>57</v>
      </c>
      <c r="V761" s="24">
        <v>5</v>
      </c>
      <c r="W761" s="24">
        <v>4</v>
      </c>
      <c r="X761" s="24">
        <v>4</v>
      </c>
      <c r="Y761" s="24">
        <v>5</v>
      </c>
      <c r="Z761" s="20">
        <f t="shared" si="27"/>
        <v>18</v>
      </c>
    </row>
    <row r="762" spans="1:26" x14ac:dyDescent="0.2">
      <c r="A762" s="21"/>
      <c r="B762" s="51"/>
      <c r="C762" s="22"/>
      <c r="D762" s="22"/>
      <c r="E762" s="24"/>
      <c r="F762" s="22"/>
      <c r="H762" s="21">
        <v>45915</v>
      </c>
      <c r="I762" s="22" t="s">
        <v>70</v>
      </c>
      <c r="J762" s="22" t="s">
        <v>45</v>
      </c>
      <c r="K762" s="24">
        <v>7</v>
      </c>
      <c r="M762" s="21">
        <v>45930</v>
      </c>
      <c r="N762" s="22" t="s">
        <v>70</v>
      </c>
      <c r="O762" s="22" t="s">
        <v>41</v>
      </c>
      <c r="P762" s="49">
        <v>76.8</v>
      </c>
      <c r="Q762" s="49">
        <v>76</v>
      </c>
      <c r="R762" s="50">
        <f t="shared" si="26"/>
        <v>0.79999999999999716</v>
      </c>
      <c r="T762" s="21">
        <v>45927</v>
      </c>
      <c r="U762" s="22" t="s">
        <v>33</v>
      </c>
      <c r="V762" s="24">
        <v>4.28571428571429</v>
      </c>
      <c r="W762" s="24">
        <v>4.1428571428571397</v>
      </c>
      <c r="X762" s="24">
        <v>4</v>
      </c>
      <c r="Y762" s="24">
        <v>4.8571428571428603</v>
      </c>
      <c r="Z762" s="20">
        <f t="shared" si="27"/>
        <v>17.285714285714292</v>
      </c>
    </row>
    <row r="763" spans="1:26" x14ac:dyDescent="0.2">
      <c r="A763" s="21"/>
      <c r="B763" s="51"/>
      <c r="C763" s="22"/>
      <c r="D763" s="22"/>
      <c r="E763" s="24"/>
      <c r="F763" s="22"/>
      <c r="H763" s="21">
        <v>45915</v>
      </c>
      <c r="I763" s="22" t="s">
        <v>70</v>
      </c>
      <c r="J763" s="22" t="s">
        <v>57</v>
      </c>
      <c r="K763" s="24">
        <v>8</v>
      </c>
      <c r="M763" s="21">
        <v>45930</v>
      </c>
      <c r="N763" s="22" t="s">
        <v>70</v>
      </c>
      <c r="O763" s="22" t="s">
        <v>42</v>
      </c>
      <c r="P763" s="49">
        <v>79.8</v>
      </c>
      <c r="Q763" s="49">
        <v>79.5</v>
      </c>
      <c r="R763" s="50">
        <f t="shared" si="26"/>
        <v>0.29999999999999716</v>
      </c>
      <c r="T763" s="21">
        <v>45929</v>
      </c>
      <c r="U763" s="22" t="s">
        <v>41</v>
      </c>
      <c r="V763" s="24">
        <v>1</v>
      </c>
      <c r="W763" s="24">
        <v>1</v>
      </c>
      <c r="X763" s="24">
        <v>1</v>
      </c>
      <c r="Y763" s="24">
        <v>1</v>
      </c>
      <c r="Z763" s="20">
        <f t="shared" si="27"/>
        <v>4</v>
      </c>
    </row>
    <row r="764" spans="1:26" x14ac:dyDescent="0.2">
      <c r="A764" s="21"/>
      <c r="B764" s="51"/>
      <c r="C764" s="22"/>
      <c r="D764" s="22"/>
      <c r="E764" s="24"/>
      <c r="F764" s="22"/>
      <c r="H764" s="21">
        <v>45915</v>
      </c>
      <c r="I764" s="22" t="s">
        <v>70</v>
      </c>
      <c r="J764" s="22" t="s">
        <v>42</v>
      </c>
      <c r="K764" s="24">
        <v>5</v>
      </c>
      <c r="M764" s="21">
        <v>45930</v>
      </c>
      <c r="N764" s="22" t="s">
        <v>70</v>
      </c>
      <c r="O764" s="22" t="s">
        <v>44</v>
      </c>
      <c r="P764" s="49">
        <v>67</v>
      </c>
      <c r="Q764" s="49">
        <v>66.900000000000006</v>
      </c>
      <c r="R764" s="50">
        <f t="shared" si="26"/>
        <v>9.9999999999994316E-2</v>
      </c>
      <c r="T764" s="21">
        <v>45929</v>
      </c>
      <c r="U764" s="22" t="s">
        <v>43</v>
      </c>
      <c r="V764" s="24">
        <v>4</v>
      </c>
      <c r="W764" s="24">
        <v>4</v>
      </c>
      <c r="X764" s="24">
        <v>4</v>
      </c>
      <c r="Y764" s="24">
        <v>5</v>
      </c>
      <c r="Z764" s="20">
        <f t="shared" si="27"/>
        <v>17</v>
      </c>
    </row>
    <row r="765" spans="1:26" x14ac:dyDescent="0.2">
      <c r="A765" s="21"/>
      <c r="B765" s="51"/>
      <c r="C765" s="22"/>
      <c r="D765" s="22"/>
      <c r="E765" s="24"/>
      <c r="F765" s="22"/>
      <c r="H765" s="21">
        <v>45915</v>
      </c>
      <c r="I765" s="22" t="s">
        <v>70</v>
      </c>
      <c r="J765" s="22" t="s">
        <v>54</v>
      </c>
      <c r="K765" s="24">
        <v>7</v>
      </c>
      <c r="M765" s="21">
        <v>45930</v>
      </c>
      <c r="N765" s="22" t="s">
        <v>70</v>
      </c>
      <c r="O765" s="22" t="s">
        <v>45</v>
      </c>
      <c r="P765" s="49">
        <v>69</v>
      </c>
      <c r="Q765" s="49">
        <v>68.5</v>
      </c>
      <c r="R765" s="50">
        <f t="shared" si="26"/>
        <v>0.5</v>
      </c>
      <c r="T765" s="21">
        <v>45929</v>
      </c>
      <c r="U765" s="22" t="s">
        <v>44</v>
      </c>
      <c r="V765" s="24">
        <v>5</v>
      </c>
      <c r="W765" s="24">
        <v>3</v>
      </c>
      <c r="X765" s="24">
        <v>3</v>
      </c>
      <c r="Y765" s="24">
        <v>5</v>
      </c>
      <c r="Z765" s="20">
        <f t="shared" si="27"/>
        <v>16</v>
      </c>
    </row>
    <row r="766" spans="1:26" x14ac:dyDescent="0.2">
      <c r="A766" s="21"/>
      <c r="B766" s="51"/>
      <c r="C766" s="22"/>
      <c r="D766" s="22"/>
      <c r="E766" s="24"/>
      <c r="F766" s="22"/>
      <c r="H766" s="21">
        <v>45915</v>
      </c>
      <c r="I766" s="22" t="s">
        <v>70</v>
      </c>
      <c r="J766" s="22" t="s">
        <v>47</v>
      </c>
      <c r="K766" s="24">
        <v>7</v>
      </c>
      <c r="M766" s="21">
        <v>45930</v>
      </c>
      <c r="N766" s="22" t="s">
        <v>70</v>
      </c>
      <c r="O766" s="22" t="s">
        <v>46</v>
      </c>
      <c r="P766" s="49">
        <v>80.599999999999994</v>
      </c>
      <c r="Q766" s="49">
        <v>81.2</v>
      </c>
      <c r="R766" s="50">
        <f t="shared" si="26"/>
        <v>-0.60000000000000853</v>
      </c>
      <c r="T766" s="21">
        <v>45929</v>
      </c>
      <c r="U766" s="22" t="s">
        <v>45</v>
      </c>
      <c r="V766" s="24">
        <v>4</v>
      </c>
      <c r="W766" s="24">
        <v>4</v>
      </c>
      <c r="X766" s="24">
        <v>4</v>
      </c>
      <c r="Y766" s="24">
        <v>5</v>
      </c>
      <c r="Z766" s="20">
        <f t="shared" si="27"/>
        <v>17</v>
      </c>
    </row>
    <row r="767" spans="1:26" x14ac:dyDescent="0.2">
      <c r="A767" s="21"/>
      <c r="B767" s="51"/>
      <c r="C767" s="22"/>
      <c r="D767" s="22"/>
      <c r="E767" s="24"/>
      <c r="F767" s="22"/>
      <c r="H767" s="21">
        <v>45915</v>
      </c>
      <c r="I767" s="22" t="s">
        <v>70</v>
      </c>
      <c r="J767" s="22" t="s">
        <v>41</v>
      </c>
      <c r="K767" s="24">
        <v>6</v>
      </c>
      <c r="M767" s="21">
        <v>45930</v>
      </c>
      <c r="N767" s="22" t="s">
        <v>70</v>
      </c>
      <c r="O767" s="22" t="s">
        <v>47</v>
      </c>
      <c r="P767" s="49">
        <v>72</v>
      </c>
      <c r="Q767" s="49">
        <v>71</v>
      </c>
      <c r="R767" s="50">
        <f t="shared" si="26"/>
        <v>1</v>
      </c>
      <c r="T767" s="21">
        <v>45929</v>
      </c>
      <c r="U767" s="22" t="s">
        <v>46</v>
      </c>
      <c r="V767" s="24">
        <v>4</v>
      </c>
      <c r="W767" s="24">
        <v>4</v>
      </c>
      <c r="X767" s="24">
        <v>5</v>
      </c>
      <c r="Y767" s="24">
        <v>3</v>
      </c>
      <c r="Z767" s="20">
        <f t="shared" si="27"/>
        <v>16</v>
      </c>
    </row>
    <row r="768" spans="1:26" x14ac:dyDescent="0.2">
      <c r="A768" s="21"/>
      <c r="B768" s="51"/>
      <c r="C768" s="22"/>
      <c r="D768" s="22"/>
      <c r="E768" s="24"/>
      <c r="F768" s="22"/>
      <c r="H768" s="21">
        <v>45915</v>
      </c>
      <c r="I768" s="22" t="s">
        <v>70</v>
      </c>
      <c r="J768" s="22" t="s">
        <v>49</v>
      </c>
      <c r="K768" s="24" t="s">
        <v>64</v>
      </c>
      <c r="M768" s="21">
        <v>45930</v>
      </c>
      <c r="N768" s="22" t="s">
        <v>70</v>
      </c>
      <c r="O768" s="22" t="s">
        <v>48</v>
      </c>
      <c r="P768" s="49">
        <v>82.4</v>
      </c>
      <c r="Q768" s="49">
        <v>80.7</v>
      </c>
      <c r="R768" s="50">
        <f t="shared" si="26"/>
        <v>1.7000000000000028</v>
      </c>
      <c r="T768" s="21">
        <v>45929</v>
      </c>
      <c r="U768" s="22" t="s">
        <v>47</v>
      </c>
      <c r="V768" s="24">
        <v>2</v>
      </c>
      <c r="W768" s="24">
        <v>3</v>
      </c>
      <c r="X768" s="24">
        <v>3</v>
      </c>
      <c r="Y768" s="24">
        <v>2</v>
      </c>
      <c r="Z768" s="20">
        <f t="shared" si="27"/>
        <v>10</v>
      </c>
    </row>
    <row r="769" spans="1:26" x14ac:dyDescent="0.2">
      <c r="A769" s="21"/>
      <c r="B769" s="51"/>
      <c r="C769" s="22"/>
      <c r="D769" s="22"/>
      <c r="E769" s="24"/>
      <c r="F769" s="22"/>
      <c r="H769" s="21">
        <v>45915</v>
      </c>
      <c r="I769" s="22" t="s">
        <v>70</v>
      </c>
      <c r="J769" s="22" t="s">
        <v>50</v>
      </c>
      <c r="K769" s="24" t="s">
        <v>64</v>
      </c>
      <c r="M769" s="21">
        <v>45930</v>
      </c>
      <c r="N769" s="22" t="s">
        <v>70</v>
      </c>
      <c r="O769" s="22" t="s">
        <v>49</v>
      </c>
      <c r="P769" s="49">
        <v>78.5</v>
      </c>
      <c r="Q769" s="49">
        <v>78.5</v>
      </c>
      <c r="R769" s="50">
        <f t="shared" si="26"/>
        <v>0</v>
      </c>
      <c r="T769" s="21">
        <v>45929</v>
      </c>
      <c r="U769" s="22" t="s">
        <v>49</v>
      </c>
      <c r="V769" s="24">
        <v>4</v>
      </c>
      <c r="W769" s="24">
        <v>4</v>
      </c>
      <c r="X769" s="24">
        <v>4</v>
      </c>
      <c r="Y769" s="24">
        <v>4</v>
      </c>
      <c r="Z769" s="20">
        <f t="shared" si="27"/>
        <v>16</v>
      </c>
    </row>
    <row r="770" spans="1:26" x14ac:dyDescent="0.2">
      <c r="A770" s="21"/>
      <c r="B770" s="51"/>
      <c r="C770" s="22"/>
      <c r="D770" s="22"/>
      <c r="E770" s="24"/>
      <c r="F770" s="22"/>
      <c r="H770" s="21">
        <v>45915</v>
      </c>
      <c r="I770" s="22" t="s">
        <v>70</v>
      </c>
      <c r="J770" s="22" t="s">
        <v>51</v>
      </c>
      <c r="K770" s="24">
        <v>7</v>
      </c>
      <c r="M770" s="21">
        <v>45930</v>
      </c>
      <c r="N770" s="22" t="s">
        <v>70</v>
      </c>
      <c r="O770" s="22" t="s">
        <v>50</v>
      </c>
      <c r="P770" s="49">
        <v>70.2</v>
      </c>
      <c r="Q770" s="49">
        <v>70</v>
      </c>
      <c r="R770" s="50">
        <f t="shared" si="26"/>
        <v>0.20000000000000284</v>
      </c>
      <c r="T770" s="21">
        <v>45929</v>
      </c>
      <c r="U770" s="22" t="s">
        <v>50</v>
      </c>
      <c r="V770" s="24">
        <v>3</v>
      </c>
      <c r="W770" s="24">
        <v>4</v>
      </c>
      <c r="X770" s="24">
        <v>4</v>
      </c>
      <c r="Y770" s="24">
        <v>5</v>
      </c>
      <c r="Z770" s="20">
        <f t="shared" si="27"/>
        <v>16</v>
      </c>
    </row>
    <row r="771" spans="1:26" x14ac:dyDescent="0.2">
      <c r="A771" s="21"/>
      <c r="B771" s="51"/>
      <c r="C771" s="22"/>
      <c r="D771" s="22"/>
      <c r="E771" s="24"/>
      <c r="F771" s="22"/>
      <c r="H771" s="21">
        <v>45915</v>
      </c>
      <c r="I771" s="22" t="s">
        <v>70</v>
      </c>
      <c r="J771" s="22" t="s">
        <v>46</v>
      </c>
      <c r="K771" s="24" t="s">
        <v>64</v>
      </c>
      <c r="M771" s="21">
        <v>45930</v>
      </c>
      <c r="N771" s="22" t="s">
        <v>70</v>
      </c>
      <c r="O771" s="22" t="s">
        <v>51</v>
      </c>
      <c r="P771" s="49">
        <v>75.5</v>
      </c>
      <c r="Q771" s="49">
        <v>75.099999999999994</v>
      </c>
      <c r="R771" s="50">
        <f t="shared" ref="R771:R834" si="28">IFERROR(P771-Q771,"")</f>
        <v>0.40000000000000568</v>
      </c>
      <c r="T771" s="21">
        <v>45929</v>
      </c>
      <c r="U771" s="22" t="s">
        <v>51</v>
      </c>
      <c r="V771" s="24">
        <v>4</v>
      </c>
      <c r="W771" s="24">
        <v>4</v>
      </c>
      <c r="X771" s="24">
        <v>4</v>
      </c>
      <c r="Y771" s="24">
        <v>4</v>
      </c>
      <c r="Z771" s="20">
        <f t="shared" ref="Z771:Z834" si="29">SUM(V771:Y771)</f>
        <v>16</v>
      </c>
    </row>
    <row r="772" spans="1:26" x14ac:dyDescent="0.2">
      <c r="A772" s="21"/>
      <c r="B772" s="51"/>
      <c r="C772" s="22"/>
      <c r="D772" s="22"/>
      <c r="E772" s="24"/>
      <c r="F772" s="22"/>
      <c r="H772" s="21">
        <v>45915</v>
      </c>
      <c r="I772" s="22" t="s">
        <v>70</v>
      </c>
      <c r="J772" s="22" t="s">
        <v>48</v>
      </c>
      <c r="K772" s="24">
        <v>7</v>
      </c>
      <c r="M772" s="21">
        <v>45930</v>
      </c>
      <c r="N772" s="22" t="s">
        <v>70</v>
      </c>
      <c r="O772" s="22" t="s">
        <v>52</v>
      </c>
      <c r="P772" s="49">
        <v>72.5</v>
      </c>
      <c r="Q772" s="49">
        <v>71.8</v>
      </c>
      <c r="R772" s="50">
        <f t="shared" si="28"/>
        <v>0.70000000000000284</v>
      </c>
      <c r="T772" s="21">
        <v>45929</v>
      </c>
      <c r="U772" s="22" t="s">
        <v>52</v>
      </c>
      <c r="V772" s="24">
        <v>4</v>
      </c>
      <c r="W772" s="24">
        <v>5</v>
      </c>
      <c r="X772" s="24">
        <v>4</v>
      </c>
      <c r="Y772" s="24">
        <v>3</v>
      </c>
      <c r="Z772" s="20">
        <f t="shared" si="29"/>
        <v>16</v>
      </c>
    </row>
    <row r="773" spans="1:26" x14ac:dyDescent="0.2">
      <c r="A773" s="21"/>
      <c r="B773" s="51"/>
      <c r="C773" s="22"/>
      <c r="D773" s="22"/>
      <c r="E773" s="24"/>
      <c r="F773" s="22"/>
      <c r="H773" s="21">
        <v>45915</v>
      </c>
      <c r="I773" s="22" t="s">
        <v>70</v>
      </c>
      <c r="J773" s="22" t="s">
        <v>56</v>
      </c>
      <c r="K773" s="24">
        <v>7</v>
      </c>
      <c r="M773" s="21">
        <v>45930</v>
      </c>
      <c r="N773" s="22" t="s">
        <v>70</v>
      </c>
      <c r="O773" s="22" t="s">
        <v>53</v>
      </c>
      <c r="P773" s="49">
        <v>67</v>
      </c>
      <c r="Q773" s="49">
        <v>66.599999999999994</v>
      </c>
      <c r="R773" s="50">
        <f t="shared" si="28"/>
        <v>0.40000000000000568</v>
      </c>
      <c r="T773" s="21">
        <v>45929</v>
      </c>
      <c r="U773" s="22" t="s">
        <v>53</v>
      </c>
      <c r="V773" s="24">
        <v>4</v>
      </c>
      <c r="W773" s="24">
        <v>4</v>
      </c>
      <c r="X773" s="24">
        <v>3</v>
      </c>
      <c r="Y773" s="24">
        <v>4</v>
      </c>
      <c r="Z773" s="20">
        <f t="shared" si="29"/>
        <v>15</v>
      </c>
    </row>
    <row r="774" spans="1:26" x14ac:dyDescent="0.2">
      <c r="A774" s="21"/>
      <c r="B774" s="51"/>
      <c r="C774" s="22"/>
      <c r="D774" s="22"/>
      <c r="E774" s="24"/>
      <c r="F774" s="22"/>
      <c r="H774" s="21">
        <v>45915</v>
      </c>
      <c r="I774" s="22" t="s">
        <v>71</v>
      </c>
      <c r="J774" s="22" t="s">
        <v>52</v>
      </c>
      <c r="K774" s="24">
        <v>8</v>
      </c>
      <c r="M774" s="21">
        <v>45930</v>
      </c>
      <c r="N774" s="22" t="s">
        <v>70</v>
      </c>
      <c r="O774" s="22" t="s">
        <v>54</v>
      </c>
      <c r="P774" s="49">
        <v>84.6</v>
      </c>
      <c r="Q774" s="49">
        <v>84.8</v>
      </c>
      <c r="R774" s="50">
        <f t="shared" si="28"/>
        <v>-0.20000000000000284</v>
      </c>
      <c r="T774" s="21">
        <v>45929</v>
      </c>
      <c r="U774" s="22" t="s">
        <v>54</v>
      </c>
      <c r="V774" s="24">
        <v>3</v>
      </c>
      <c r="W774" s="24">
        <v>3</v>
      </c>
      <c r="X774" s="24">
        <v>3</v>
      </c>
      <c r="Y774" s="24">
        <v>3</v>
      </c>
      <c r="Z774" s="20">
        <f t="shared" si="29"/>
        <v>12</v>
      </c>
    </row>
    <row r="775" spans="1:26" x14ac:dyDescent="0.2">
      <c r="A775" s="21"/>
      <c r="B775" s="51"/>
      <c r="C775" s="22"/>
      <c r="D775" s="22"/>
      <c r="E775" s="24"/>
      <c r="F775" s="22"/>
      <c r="H775" s="21">
        <v>45915</v>
      </c>
      <c r="I775" s="22" t="s">
        <v>71</v>
      </c>
      <c r="J775" s="22" t="s">
        <v>53</v>
      </c>
      <c r="K775" s="24">
        <v>7</v>
      </c>
      <c r="M775" s="21">
        <v>45930</v>
      </c>
      <c r="N775" s="22" t="s">
        <v>70</v>
      </c>
      <c r="O775" s="22" t="s">
        <v>56</v>
      </c>
      <c r="P775" s="49">
        <v>74.3</v>
      </c>
      <c r="Q775" s="49">
        <v>74.5</v>
      </c>
      <c r="R775" s="50">
        <f t="shared" si="28"/>
        <v>-0.20000000000000284</v>
      </c>
      <c r="T775" s="21">
        <v>45929</v>
      </c>
      <c r="U775" s="22" t="s">
        <v>56</v>
      </c>
      <c r="V775" s="24">
        <v>4</v>
      </c>
      <c r="W775" s="24">
        <v>3</v>
      </c>
      <c r="X775" s="24">
        <v>4</v>
      </c>
      <c r="Y775" s="24">
        <v>4</v>
      </c>
      <c r="Z775" s="20">
        <f t="shared" si="29"/>
        <v>15</v>
      </c>
    </row>
    <row r="776" spans="1:26" x14ac:dyDescent="0.2">
      <c r="A776" s="21"/>
      <c r="B776" s="51"/>
      <c r="C776" s="22"/>
      <c r="D776" s="22"/>
      <c r="E776" s="24"/>
      <c r="F776" s="22"/>
      <c r="H776" s="21">
        <v>45915</v>
      </c>
      <c r="I776" s="22" t="s">
        <v>71</v>
      </c>
      <c r="J776" s="22" t="s">
        <v>44</v>
      </c>
      <c r="K776" s="24">
        <v>7</v>
      </c>
      <c r="M776" s="21">
        <v>45930</v>
      </c>
      <c r="N776" s="22" t="s">
        <v>70</v>
      </c>
      <c r="O776" s="22" t="s">
        <v>57</v>
      </c>
      <c r="P776" s="49">
        <v>93</v>
      </c>
      <c r="Q776" s="49">
        <v>92.6</v>
      </c>
      <c r="R776" s="50">
        <f t="shared" si="28"/>
        <v>0.40000000000000568</v>
      </c>
      <c r="T776" s="21">
        <v>45929</v>
      </c>
      <c r="U776" s="22" t="s">
        <v>57</v>
      </c>
      <c r="V776" s="24">
        <v>5</v>
      </c>
      <c r="W776" s="24">
        <v>4</v>
      </c>
      <c r="X776" s="24">
        <v>3</v>
      </c>
      <c r="Y776" s="24">
        <v>4</v>
      </c>
      <c r="Z776" s="20">
        <f t="shared" si="29"/>
        <v>16</v>
      </c>
    </row>
    <row r="777" spans="1:26" x14ac:dyDescent="0.2">
      <c r="A777" s="21"/>
      <c r="B777" s="51"/>
      <c r="C777" s="22"/>
      <c r="D777" s="22"/>
      <c r="E777" s="24"/>
      <c r="F777" s="22"/>
      <c r="H777" s="21">
        <v>45915</v>
      </c>
      <c r="I777" s="22" t="s">
        <v>71</v>
      </c>
      <c r="J777" s="22" t="s">
        <v>45</v>
      </c>
      <c r="K777" s="24">
        <v>8</v>
      </c>
      <c r="M777" s="21">
        <v>45931</v>
      </c>
      <c r="N777" s="22" t="s">
        <v>70</v>
      </c>
      <c r="O777" s="22" t="s">
        <v>41</v>
      </c>
      <c r="P777" s="49">
        <v>76.7</v>
      </c>
      <c r="Q777" s="49">
        <v>76.5</v>
      </c>
      <c r="R777" s="50">
        <f t="shared" si="28"/>
        <v>0.20000000000000284</v>
      </c>
      <c r="T777" s="21">
        <v>45929</v>
      </c>
      <c r="U777" s="22" t="s">
        <v>33</v>
      </c>
      <c r="V777" s="24">
        <v>3.6428571428571401</v>
      </c>
      <c r="W777" s="24">
        <v>3.5714285714285698</v>
      </c>
      <c r="X777" s="24">
        <v>3.5</v>
      </c>
      <c r="Y777" s="24">
        <v>3.71428571428571</v>
      </c>
      <c r="Z777" s="20">
        <f t="shared" si="29"/>
        <v>14.42857142857142</v>
      </c>
    </row>
    <row r="778" spans="1:26" x14ac:dyDescent="0.2">
      <c r="A778" s="21"/>
      <c r="B778" s="51"/>
      <c r="C778" s="22"/>
      <c r="D778" s="22"/>
      <c r="E778" s="24"/>
      <c r="F778" s="22"/>
      <c r="H778" s="21">
        <v>45915</v>
      </c>
      <c r="I778" s="22" t="s">
        <v>71</v>
      </c>
      <c r="J778" s="22" t="s">
        <v>57</v>
      </c>
      <c r="K778" s="24">
        <v>8</v>
      </c>
      <c r="M778" s="21">
        <v>45931</v>
      </c>
      <c r="N778" s="22" t="s">
        <v>71</v>
      </c>
      <c r="O778" s="22" t="s">
        <v>41</v>
      </c>
      <c r="P778" s="49">
        <v>77</v>
      </c>
      <c r="Q778" s="49">
        <v>76</v>
      </c>
      <c r="R778" s="50">
        <f t="shared" si="28"/>
        <v>1</v>
      </c>
      <c r="T778" s="21">
        <v>45930</v>
      </c>
      <c r="U778" s="22" t="s">
        <v>41</v>
      </c>
      <c r="V778" s="24">
        <v>1</v>
      </c>
      <c r="W778" s="24">
        <v>1</v>
      </c>
      <c r="X778" s="24">
        <v>1</v>
      </c>
      <c r="Y778" s="24">
        <v>1</v>
      </c>
      <c r="Z778" s="20">
        <f t="shared" si="29"/>
        <v>4</v>
      </c>
    </row>
    <row r="779" spans="1:26" x14ac:dyDescent="0.2">
      <c r="A779" s="21"/>
      <c r="B779" s="51"/>
      <c r="C779" s="22"/>
      <c r="D779" s="22"/>
      <c r="E779" s="24"/>
      <c r="F779" s="22"/>
      <c r="H779" s="21">
        <v>45915</v>
      </c>
      <c r="I779" s="22" t="s">
        <v>71</v>
      </c>
      <c r="J779" s="22" t="s">
        <v>42</v>
      </c>
      <c r="K779" s="24">
        <v>5</v>
      </c>
      <c r="M779" s="21">
        <v>45931</v>
      </c>
      <c r="N779" s="22" t="s">
        <v>70</v>
      </c>
      <c r="O779" s="22" t="s">
        <v>42</v>
      </c>
      <c r="P779" s="49">
        <v>79.900000000000006</v>
      </c>
      <c r="Q779" s="49">
        <v>79.7</v>
      </c>
      <c r="R779" s="50">
        <f t="shared" si="28"/>
        <v>0.20000000000000284</v>
      </c>
      <c r="T779" s="21">
        <v>45930</v>
      </c>
      <c r="U779" s="22" t="s">
        <v>42</v>
      </c>
      <c r="V779" s="24">
        <v>4</v>
      </c>
      <c r="W779" s="24">
        <v>4</v>
      </c>
      <c r="X779" s="24">
        <v>4</v>
      </c>
      <c r="Y779" s="24">
        <v>5</v>
      </c>
      <c r="Z779" s="20">
        <f t="shared" si="29"/>
        <v>17</v>
      </c>
    </row>
    <row r="780" spans="1:26" x14ac:dyDescent="0.2">
      <c r="A780" s="21"/>
      <c r="B780" s="51"/>
      <c r="C780" s="22"/>
      <c r="D780" s="22"/>
      <c r="E780" s="24"/>
      <c r="F780" s="22"/>
      <c r="H780" s="21">
        <v>45915</v>
      </c>
      <c r="I780" s="22" t="s">
        <v>71</v>
      </c>
      <c r="J780" s="22" t="s">
        <v>54</v>
      </c>
      <c r="K780" s="24">
        <v>8</v>
      </c>
      <c r="M780" s="21">
        <v>45931</v>
      </c>
      <c r="N780" s="22" t="s">
        <v>71</v>
      </c>
      <c r="O780" s="22" t="s">
        <v>42</v>
      </c>
      <c r="P780" s="49">
        <v>79.400000000000006</v>
      </c>
      <c r="Q780" s="49">
        <v>79.400000000000006</v>
      </c>
      <c r="R780" s="50">
        <f t="shared" si="28"/>
        <v>0</v>
      </c>
      <c r="T780" s="21">
        <v>45930</v>
      </c>
      <c r="U780" s="22" t="s">
        <v>44</v>
      </c>
      <c r="V780" s="24">
        <v>5</v>
      </c>
      <c r="W780" s="24">
        <v>4</v>
      </c>
      <c r="X780" s="24">
        <v>2</v>
      </c>
      <c r="Y780" s="24">
        <v>5</v>
      </c>
      <c r="Z780" s="20">
        <f t="shared" si="29"/>
        <v>16</v>
      </c>
    </row>
    <row r="781" spans="1:26" x14ac:dyDescent="0.2">
      <c r="A781" s="21"/>
      <c r="B781" s="51"/>
      <c r="C781" s="22"/>
      <c r="D781" s="22"/>
      <c r="E781" s="24"/>
      <c r="F781" s="22"/>
      <c r="H781" s="21">
        <v>45915</v>
      </c>
      <c r="I781" s="22" t="s">
        <v>71</v>
      </c>
      <c r="J781" s="22" t="s">
        <v>47</v>
      </c>
      <c r="K781" s="24">
        <v>8</v>
      </c>
      <c r="M781" s="21">
        <v>45931</v>
      </c>
      <c r="N781" s="22" t="s">
        <v>70</v>
      </c>
      <c r="O781" s="22" t="s">
        <v>44</v>
      </c>
      <c r="P781" s="49">
        <v>68</v>
      </c>
      <c r="Q781" s="49">
        <v>67.3</v>
      </c>
      <c r="R781" s="50">
        <f t="shared" si="28"/>
        <v>0.70000000000000284</v>
      </c>
      <c r="T781" s="21">
        <v>45930</v>
      </c>
      <c r="U781" s="22" t="s">
        <v>45</v>
      </c>
      <c r="V781" s="24">
        <v>3</v>
      </c>
      <c r="W781" s="24">
        <v>4</v>
      </c>
      <c r="X781" s="24">
        <v>4</v>
      </c>
      <c r="Y781" s="24">
        <v>5</v>
      </c>
      <c r="Z781" s="20">
        <f t="shared" si="29"/>
        <v>16</v>
      </c>
    </row>
    <row r="782" spans="1:26" x14ac:dyDescent="0.2">
      <c r="A782" s="21"/>
      <c r="B782" s="51"/>
      <c r="C782" s="22"/>
      <c r="D782" s="22"/>
      <c r="E782" s="24"/>
      <c r="F782" s="22"/>
      <c r="H782" s="21">
        <v>45915</v>
      </c>
      <c r="I782" s="22" t="s">
        <v>71</v>
      </c>
      <c r="J782" s="22" t="s">
        <v>41</v>
      </c>
      <c r="K782" s="24">
        <v>6</v>
      </c>
      <c r="M782" s="21">
        <v>45931</v>
      </c>
      <c r="N782" s="22" t="s">
        <v>71</v>
      </c>
      <c r="O782" s="22" t="s">
        <v>44</v>
      </c>
      <c r="P782" s="49">
        <v>68.3</v>
      </c>
      <c r="Q782" s="49">
        <v>67.400000000000006</v>
      </c>
      <c r="R782" s="50">
        <f t="shared" si="28"/>
        <v>0.89999999999999147</v>
      </c>
      <c r="T782" s="21">
        <v>45930</v>
      </c>
      <c r="U782" s="22" t="s">
        <v>46</v>
      </c>
      <c r="V782" s="24">
        <v>5</v>
      </c>
      <c r="W782" s="24">
        <v>4</v>
      </c>
      <c r="X782" s="24">
        <v>4</v>
      </c>
      <c r="Y782" s="24">
        <v>4</v>
      </c>
      <c r="Z782" s="20">
        <f t="shared" si="29"/>
        <v>17</v>
      </c>
    </row>
    <row r="783" spans="1:26" x14ac:dyDescent="0.2">
      <c r="A783" s="21"/>
      <c r="B783" s="51"/>
      <c r="C783" s="22"/>
      <c r="D783" s="22"/>
      <c r="E783" s="24"/>
      <c r="F783" s="22"/>
      <c r="H783" s="21">
        <v>45915</v>
      </c>
      <c r="I783" s="22" t="s">
        <v>71</v>
      </c>
      <c r="J783" s="22" t="s">
        <v>49</v>
      </c>
      <c r="K783" s="24" t="s">
        <v>64</v>
      </c>
      <c r="M783" s="21">
        <v>45931</v>
      </c>
      <c r="N783" s="22" t="s">
        <v>70</v>
      </c>
      <c r="O783" s="22" t="s">
        <v>45</v>
      </c>
      <c r="P783" s="49">
        <v>68.8</v>
      </c>
      <c r="Q783" s="49">
        <v>68.7</v>
      </c>
      <c r="R783" s="50">
        <f t="shared" si="28"/>
        <v>9.9999999999994316E-2</v>
      </c>
      <c r="T783" s="21">
        <v>45930</v>
      </c>
      <c r="U783" s="22" t="s">
        <v>47</v>
      </c>
      <c r="V783" s="24">
        <v>4</v>
      </c>
      <c r="W783" s="24">
        <v>4</v>
      </c>
      <c r="X783" s="24">
        <v>4</v>
      </c>
      <c r="Y783" s="24">
        <v>4</v>
      </c>
      <c r="Z783" s="20">
        <f t="shared" si="29"/>
        <v>16</v>
      </c>
    </row>
    <row r="784" spans="1:26" x14ac:dyDescent="0.2">
      <c r="A784" s="21"/>
      <c r="B784" s="51"/>
      <c r="C784" s="22"/>
      <c r="D784" s="22"/>
      <c r="E784" s="24"/>
      <c r="F784" s="22"/>
      <c r="H784" s="21">
        <v>45915</v>
      </c>
      <c r="I784" s="22" t="s">
        <v>71</v>
      </c>
      <c r="J784" s="22" t="s">
        <v>43</v>
      </c>
      <c r="K784" s="24">
        <v>4</v>
      </c>
      <c r="M784" s="21">
        <v>45931</v>
      </c>
      <c r="N784" s="22" t="s">
        <v>71</v>
      </c>
      <c r="O784" s="22" t="s">
        <v>45</v>
      </c>
      <c r="P784" s="49">
        <v>69.5</v>
      </c>
      <c r="Q784" s="49">
        <v>68.8</v>
      </c>
      <c r="R784" s="50">
        <f t="shared" si="28"/>
        <v>0.70000000000000284</v>
      </c>
      <c r="T784" s="21">
        <v>45930</v>
      </c>
      <c r="U784" s="22" t="s">
        <v>48</v>
      </c>
      <c r="V784" s="24">
        <v>5</v>
      </c>
      <c r="W784" s="24">
        <v>5</v>
      </c>
      <c r="X784" s="24">
        <v>5</v>
      </c>
      <c r="Y784" s="24">
        <v>5</v>
      </c>
      <c r="Z784" s="20">
        <f t="shared" si="29"/>
        <v>20</v>
      </c>
    </row>
    <row r="785" spans="1:26" x14ac:dyDescent="0.2">
      <c r="A785" s="21"/>
      <c r="B785" s="51"/>
      <c r="C785" s="22"/>
      <c r="D785" s="22"/>
      <c r="E785" s="24"/>
      <c r="F785" s="22"/>
      <c r="H785" s="21">
        <v>45915</v>
      </c>
      <c r="I785" s="22" t="s">
        <v>71</v>
      </c>
      <c r="J785" s="22" t="s">
        <v>50</v>
      </c>
      <c r="K785" s="24" t="s">
        <v>64</v>
      </c>
      <c r="M785" s="21">
        <v>45931</v>
      </c>
      <c r="N785" s="22" t="s">
        <v>70</v>
      </c>
      <c r="O785" s="22" t="s">
        <v>46</v>
      </c>
      <c r="P785" s="49">
        <v>80.8</v>
      </c>
      <c r="Q785" s="49">
        <v>80</v>
      </c>
      <c r="R785" s="50">
        <f t="shared" si="28"/>
        <v>0.79999999999999716</v>
      </c>
      <c r="T785" s="21">
        <v>45930</v>
      </c>
      <c r="U785" s="22" t="s">
        <v>49</v>
      </c>
      <c r="V785" s="24">
        <v>4</v>
      </c>
      <c r="W785" s="24">
        <v>4</v>
      </c>
      <c r="X785" s="24">
        <v>3</v>
      </c>
      <c r="Y785" s="24">
        <v>4</v>
      </c>
      <c r="Z785" s="20">
        <f t="shared" si="29"/>
        <v>15</v>
      </c>
    </row>
    <row r="786" spans="1:26" x14ac:dyDescent="0.2">
      <c r="A786" s="21"/>
      <c r="B786" s="51"/>
      <c r="C786" s="22"/>
      <c r="D786" s="22"/>
      <c r="E786" s="24"/>
      <c r="F786" s="22"/>
      <c r="H786" s="21">
        <v>45915</v>
      </c>
      <c r="I786" s="22" t="s">
        <v>71</v>
      </c>
      <c r="J786" s="22" t="s">
        <v>51</v>
      </c>
      <c r="K786" s="24">
        <v>8</v>
      </c>
      <c r="M786" s="21">
        <v>45931</v>
      </c>
      <c r="N786" s="22" t="s">
        <v>71</v>
      </c>
      <c r="O786" s="22" t="s">
        <v>46</v>
      </c>
      <c r="P786" s="49">
        <v>80.5</v>
      </c>
      <c r="Q786" s="49">
        <v>80.400000000000006</v>
      </c>
      <c r="R786" s="50">
        <f t="shared" si="28"/>
        <v>9.9999999999994316E-2</v>
      </c>
      <c r="T786" s="21">
        <v>45930</v>
      </c>
      <c r="U786" s="22" t="s">
        <v>50</v>
      </c>
      <c r="V786" s="24">
        <v>2</v>
      </c>
      <c r="W786" s="24">
        <v>3</v>
      </c>
      <c r="X786" s="24">
        <v>4</v>
      </c>
      <c r="Y786" s="24">
        <v>5</v>
      </c>
      <c r="Z786" s="20">
        <f t="shared" si="29"/>
        <v>14</v>
      </c>
    </row>
    <row r="787" spans="1:26" x14ac:dyDescent="0.2">
      <c r="A787" s="21"/>
      <c r="B787" s="51"/>
      <c r="C787" s="22"/>
      <c r="D787" s="22"/>
      <c r="E787" s="24"/>
      <c r="F787" s="22"/>
      <c r="H787" s="21">
        <v>45915</v>
      </c>
      <c r="I787" s="22" t="s">
        <v>71</v>
      </c>
      <c r="J787" s="22" t="s">
        <v>46</v>
      </c>
      <c r="K787" s="24" t="s">
        <v>64</v>
      </c>
      <c r="M787" s="21">
        <v>45931</v>
      </c>
      <c r="N787" s="22" t="s">
        <v>70</v>
      </c>
      <c r="O787" s="22" t="s">
        <v>47</v>
      </c>
      <c r="P787" s="49">
        <v>71</v>
      </c>
      <c r="Q787" s="49">
        <v>70.8</v>
      </c>
      <c r="R787" s="50">
        <f t="shared" si="28"/>
        <v>0.20000000000000284</v>
      </c>
      <c r="T787" s="21">
        <v>45930</v>
      </c>
      <c r="U787" s="22" t="s">
        <v>51</v>
      </c>
      <c r="V787" s="24">
        <v>4</v>
      </c>
      <c r="W787" s="24">
        <v>4</v>
      </c>
      <c r="X787" s="24">
        <v>4</v>
      </c>
      <c r="Y787" s="24">
        <v>5</v>
      </c>
      <c r="Z787" s="20">
        <f t="shared" si="29"/>
        <v>17</v>
      </c>
    </row>
    <row r="788" spans="1:26" x14ac:dyDescent="0.2">
      <c r="A788" s="21"/>
      <c r="B788" s="51"/>
      <c r="C788" s="22"/>
      <c r="D788" s="22"/>
      <c r="E788" s="24"/>
      <c r="F788" s="22"/>
      <c r="H788" s="21">
        <v>45915</v>
      </c>
      <c r="I788" s="22" t="s">
        <v>71</v>
      </c>
      <c r="J788" s="22" t="s">
        <v>48</v>
      </c>
      <c r="K788" s="24">
        <v>7</v>
      </c>
      <c r="M788" s="21">
        <v>45931</v>
      </c>
      <c r="N788" s="22" t="s">
        <v>71</v>
      </c>
      <c r="O788" s="22" t="s">
        <v>47</v>
      </c>
      <c r="P788" s="49">
        <v>70.8</v>
      </c>
      <c r="Q788" s="49">
        <v>70.8</v>
      </c>
      <c r="R788" s="50">
        <f t="shared" si="28"/>
        <v>0</v>
      </c>
      <c r="T788" s="21">
        <v>45930</v>
      </c>
      <c r="U788" s="22" t="s">
        <v>52</v>
      </c>
      <c r="V788" s="24">
        <v>4</v>
      </c>
      <c r="W788" s="24">
        <v>4</v>
      </c>
      <c r="X788" s="24">
        <v>4</v>
      </c>
      <c r="Y788" s="24">
        <v>3</v>
      </c>
      <c r="Z788" s="20">
        <f t="shared" si="29"/>
        <v>15</v>
      </c>
    </row>
    <row r="789" spans="1:26" x14ac:dyDescent="0.2">
      <c r="A789" s="21"/>
      <c r="B789" s="51"/>
      <c r="C789" s="22"/>
      <c r="D789" s="22"/>
      <c r="E789" s="24"/>
      <c r="F789" s="22"/>
      <c r="H789" s="21">
        <v>45915</v>
      </c>
      <c r="I789" s="22" t="s">
        <v>71</v>
      </c>
      <c r="J789" s="22" t="s">
        <v>56</v>
      </c>
      <c r="K789" s="24">
        <v>8</v>
      </c>
      <c r="M789" s="21">
        <v>45931</v>
      </c>
      <c r="N789" s="22" t="s">
        <v>70</v>
      </c>
      <c r="O789" s="22" t="s">
        <v>48</v>
      </c>
      <c r="P789" s="49">
        <v>82.5</v>
      </c>
      <c r="Q789" s="49">
        <v>82</v>
      </c>
      <c r="R789" s="50">
        <f t="shared" si="28"/>
        <v>0.5</v>
      </c>
      <c r="T789" s="21">
        <v>45930</v>
      </c>
      <c r="U789" s="22" t="s">
        <v>53</v>
      </c>
      <c r="V789" s="24">
        <v>4</v>
      </c>
      <c r="W789" s="24">
        <v>4</v>
      </c>
      <c r="X789" s="24">
        <v>3</v>
      </c>
      <c r="Y789" s="24">
        <v>5</v>
      </c>
      <c r="Z789" s="20">
        <f t="shared" si="29"/>
        <v>16</v>
      </c>
    </row>
    <row r="790" spans="1:26" x14ac:dyDescent="0.2">
      <c r="A790" s="21"/>
      <c r="B790" s="51"/>
      <c r="C790" s="22"/>
      <c r="D790" s="22"/>
      <c r="E790" s="24"/>
      <c r="F790" s="22"/>
      <c r="H790" s="21">
        <v>45916</v>
      </c>
      <c r="I790" s="22" t="s">
        <v>70</v>
      </c>
      <c r="J790" s="22" t="s">
        <v>52</v>
      </c>
      <c r="K790" s="24">
        <v>7</v>
      </c>
      <c r="M790" s="21">
        <v>45931</v>
      </c>
      <c r="N790" s="22" t="s">
        <v>71</v>
      </c>
      <c r="O790" s="22" t="s">
        <v>48</v>
      </c>
      <c r="P790" s="49">
        <v>82.8</v>
      </c>
      <c r="Q790" s="49">
        <v>82.5</v>
      </c>
      <c r="R790" s="50">
        <f t="shared" si="28"/>
        <v>0.29999999999999716</v>
      </c>
      <c r="T790" s="21">
        <v>45930</v>
      </c>
      <c r="U790" s="22" t="s">
        <v>54</v>
      </c>
      <c r="V790" s="24">
        <v>3</v>
      </c>
      <c r="W790" s="24">
        <v>3</v>
      </c>
      <c r="X790" s="24">
        <v>3</v>
      </c>
      <c r="Y790" s="24">
        <v>4</v>
      </c>
      <c r="Z790" s="20">
        <f t="shared" si="29"/>
        <v>13</v>
      </c>
    </row>
    <row r="791" spans="1:26" x14ac:dyDescent="0.2">
      <c r="A791" s="21"/>
      <c r="B791" s="51"/>
      <c r="C791" s="22"/>
      <c r="D791" s="22"/>
      <c r="E791" s="24"/>
      <c r="F791" s="22"/>
      <c r="H791" s="21">
        <v>45916</v>
      </c>
      <c r="I791" s="22" t="s">
        <v>70</v>
      </c>
      <c r="J791" s="22" t="s">
        <v>53</v>
      </c>
      <c r="K791" s="24">
        <v>6</v>
      </c>
      <c r="M791" s="21">
        <v>45931</v>
      </c>
      <c r="N791" s="22" t="s">
        <v>70</v>
      </c>
      <c r="O791" s="22" t="s">
        <v>49</v>
      </c>
      <c r="P791" s="49">
        <v>79.8</v>
      </c>
      <c r="Q791" s="49">
        <v>78.7</v>
      </c>
      <c r="R791" s="50">
        <f t="shared" si="28"/>
        <v>1.0999999999999943</v>
      </c>
      <c r="T791" s="21">
        <v>45930</v>
      </c>
      <c r="U791" s="22" t="s">
        <v>56</v>
      </c>
      <c r="V791" s="24">
        <v>4</v>
      </c>
      <c r="W791" s="24">
        <v>3</v>
      </c>
      <c r="X791" s="24">
        <v>3</v>
      </c>
      <c r="Y791" s="24">
        <v>5</v>
      </c>
      <c r="Z791" s="20">
        <f t="shared" si="29"/>
        <v>15</v>
      </c>
    </row>
    <row r="792" spans="1:26" x14ac:dyDescent="0.2">
      <c r="A792" s="21"/>
      <c r="B792" s="51"/>
      <c r="C792" s="22"/>
      <c r="D792" s="22"/>
      <c r="E792" s="24"/>
      <c r="F792" s="22"/>
      <c r="H792" s="21">
        <v>45916</v>
      </c>
      <c r="I792" s="22" t="s">
        <v>70</v>
      </c>
      <c r="J792" s="22" t="s">
        <v>44</v>
      </c>
      <c r="K792" s="24">
        <v>7</v>
      </c>
      <c r="M792" s="21">
        <v>45931</v>
      </c>
      <c r="N792" s="22" t="s">
        <v>71</v>
      </c>
      <c r="O792" s="22" t="s">
        <v>49</v>
      </c>
      <c r="P792" s="49">
        <v>79.7</v>
      </c>
      <c r="Q792" s="49">
        <v>79.400000000000006</v>
      </c>
      <c r="R792" s="50">
        <f t="shared" si="28"/>
        <v>0.29999999999999716</v>
      </c>
      <c r="T792" s="21">
        <v>45930</v>
      </c>
      <c r="U792" s="22" t="s">
        <v>57</v>
      </c>
      <c r="V792" s="24">
        <v>4</v>
      </c>
      <c r="W792" s="24">
        <v>3</v>
      </c>
      <c r="X792" s="24">
        <v>4</v>
      </c>
      <c r="Y792" s="24">
        <v>4</v>
      </c>
      <c r="Z792" s="20">
        <f t="shared" si="29"/>
        <v>15</v>
      </c>
    </row>
    <row r="793" spans="1:26" x14ac:dyDescent="0.2">
      <c r="A793" s="21"/>
      <c r="B793" s="51"/>
      <c r="C793" s="22"/>
      <c r="D793" s="22"/>
      <c r="E793" s="24"/>
      <c r="F793" s="22"/>
      <c r="H793" s="21">
        <v>45916</v>
      </c>
      <c r="I793" s="22" t="s">
        <v>70</v>
      </c>
      <c r="J793" s="22" t="s">
        <v>45</v>
      </c>
      <c r="K793" s="24">
        <v>7</v>
      </c>
      <c r="M793" s="21">
        <v>45931</v>
      </c>
      <c r="N793" s="22" t="s">
        <v>70</v>
      </c>
      <c r="O793" s="22" t="s">
        <v>50</v>
      </c>
      <c r="P793" s="49">
        <v>70.3</v>
      </c>
      <c r="Q793" s="49">
        <v>70</v>
      </c>
      <c r="R793" s="50">
        <f t="shared" si="28"/>
        <v>0.29999999999999716</v>
      </c>
      <c r="T793" s="21">
        <v>45930</v>
      </c>
      <c r="U793" s="22" t="s">
        <v>33</v>
      </c>
      <c r="V793" s="24">
        <v>3.7333333333333298</v>
      </c>
      <c r="W793" s="24">
        <v>3.6</v>
      </c>
      <c r="X793" s="24">
        <v>3.4666666666666699</v>
      </c>
      <c r="Y793" s="24">
        <v>4.2666666666666702</v>
      </c>
      <c r="Z793" s="20">
        <f t="shared" si="29"/>
        <v>15.06666666666667</v>
      </c>
    </row>
    <row r="794" spans="1:26" x14ac:dyDescent="0.2">
      <c r="A794" s="21"/>
      <c r="B794" s="51"/>
      <c r="C794" s="22"/>
      <c r="D794" s="22"/>
      <c r="E794" s="24"/>
      <c r="F794" s="22"/>
      <c r="H794" s="21">
        <v>45916</v>
      </c>
      <c r="I794" s="22" t="s">
        <v>70</v>
      </c>
      <c r="J794" s="22" t="s">
        <v>57</v>
      </c>
      <c r="K794" s="24">
        <v>7</v>
      </c>
      <c r="M794" s="21">
        <v>45931</v>
      </c>
      <c r="N794" s="22" t="s">
        <v>71</v>
      </c>
      <c r="O794" s="22" t="s">
        <v>50</v>
      </c>
      <c r="P794" s="49">
        <v>71.5</v>
      </c>
      <c r="Q794" s="49">
        <v>70.7</v>
      </c>
      <c r="R794" s="50">
        <f t="shared" si="28"/>
        <v>0.79999999999999716</v>
      </c>
      <c r="T794" s="21">
        <v>45931</v>
      </c>
      <c r="U794" s="22" t="s">
        <v>41</v>
      </c>
      <c r="V794" s="24">
        <v>1</v>
      </c>
      <c r="W794" s="24">
        <v>1</v>
      </c>
      <c r="X794" s="24">
        <v>1</v>
      </c>
      <c r="Y794" s="24">
        <v>1</v>
      </c>
      <c r="Z794" s="20">
        <f t="shared" si="29"/>
        <v>4</v>
      </c>
    </row>
    <row r="795" spans="1:26" x14ac:dyDescent="0.2">
      <c r="A795" s="21"/>
      <c r="B795" s="51"/>
      <c r="C795" s="22"/>
      <c r="D795" s="22"/>
      <c r="E795" s="24"/>
      <c r="F795" s="22"/>
      <c r="H795" s="21">
        <v>45916</v>
      </c>
      <c r="I795" s="22" t="s">
        <v>70</v>
      </c>
      <c r="J795" s="22" t="s">
        <v>42</v>
      </c>
      <c r="K795" s="24">
        <v>4</v>
      </c>
      <c r="M795" s="21">
        <v>45931</v>
      </c>
      <c r="N795" s="22" t="s">
        <v>70</v>
      </c>
      <c r="O795" s="22" t="s">
        <v>51</v>
      </c>
      <c r="P795" s="49">
        <v>75.400000000000006</v>
      </c>
      <c r="Q795" s="49">
        <v>75.099999999999994</v>
      </c>
      <c r="R795" s="50">
        <f t="shared" si="28"/>
        <v>0.30000000000001137</v>
      </c>
      <c r="T795" s="21">
        <v>45931</v>
      </c>
      <c r="U795" s="22" t="s">
        <v>42</v>
      </c>
      <c r="V795" s="24">
        <v>2</v>
      </c>
      <c r="W795" s="24">
        <v>4</v>
      </c>
      <c r="X795" s="24">
        <v>4</v>
      </c>
      <c r="Y795" s="24">
        <v>4</v>
      </c>
      <c r="Z795" s="20">
        <f t="shared" si="29"/>
        <v>14</v>
      </c>
    </row>
    <row r="796" spans="1:26" x14ac:dyDescent="0.2">
      <c r="A796" s="21"/>
      <c r="B796" s="51"/>
      <c r="C796" s="22"/>
      <c r="D796" s="22"/>
      <c r="E796" s="24"/>
      <c r="F796" s="22"/>
      <c r="H796" s="21">
        <v>45916</v>
      </c>
      <c r="I796" s="22" t="s">
        <v>70</v>
      </c>
      <c r="J796" s="22" t="s">
        <v>54</v>
      </c>
      <c r="K796" s="24">
        <v>8</v>
      </c>
      <c r="M796" s="21">
        <v>45931</v>
      </c>
      <c r="N796" s="22" t="s">
        <v>71</v>
      </c>
      <c r="O796" s="22" t="s">
        <v>51</v>
      </c>
      <c r="P796" s="49">
        <v>75.3</v>
      </c>
      <c r="Q796" s="49">
        <v>75.599999999999994</v>
      </c>
      <c r="R796" s="50">
        <f t="shared" si="28"/>
        <v>-0.29999999999999716</v>
      </c>
      <c r="T796" s="21">
        <v>45931</v>
      </c>
      <c r="U796" s="22" t="s">
        <v>44</v>
      </c>
      <c r="V796" s="24">
        <v>5</v>
      </c>
      <c r="W796" s="24">
        <v>4</v>
      </c>
      <c r="X796" s="24">
        <v>3</v>
      </c>
      <c r="Y796" s="24">
        <v>5</v>
      </c>
      <c r="Z796" s="20">
        <f t="shared" si="29"/>
        <v>17</v>
      </c>
    </row>
    <row r="797" spans="1:26" x14ac:dyDescent="0.2">
      <c r="A797" s="21"/>
      <c r="B797" s="51"/>
      <c r="C797" s="22"/>
      <c r="D797" s="22"/>
      <c r="E797" s="24"/>
      <c r="F797" s="22"/>
      <c r="H797" s="21">
        <v>45916</v>
      </c>
      <c r="I797" s="22" t="s">
        <v>70</v>
      </c>
      <c r="J797" s="22" t="s">
        <v>47</v>
      </c>
      <c r="K797" s="24">
        <v>6</v>
      </c>
      <c r="M797" s="21">
        <v>45931</v>
      </c>
      <c r="N797" s="22" t="s">
        <v>70</v>
      </c>
      <c r="O797" s="22" t="s">
        <v>52</v>
      </c>
      <c r="P797" s="49">
        <v>71.5</v>
      </c>
      <c r="Q797" s="49">
        <v>70.8</v>
      </c>
      <c r="R797" s="50">
        <f t="shared" si="28"/>
        <v>0.70000000000000284</v>
      </c>
      <c r="T797" s="21">
        <v>45931</v>
      </c>
      <c r="U797" s="22" t="s">
        <v>45</v>
      </c>
      <c r="V797" s="24">
        <v>4</v>
      </c>
      <c r="W797" s="24">
        <v>4</v>
      </c>
      <c r="X797" s="24">
        <v>4</v>
      </c>
      <c r="Y797" s="24">
        <v>5</v>
      </c>
      <c r="Z797" s="20">
        <f t="shared" si="29"/>
        <v>17</v>
      </c>
    </row>
    <row r="798" spans="1:26" x14ac:dyDescent="0.2">
      <c r="A798" s="21"/>
      <c r="B798" s="51"/>
      <c r="C798" s="22"/>
      <c r="D798" s="22"/>
      <c r="E798" s="24"/>
      <c r="F798" s="22"/>
      <c r="H798" s="21">
        <v>45916</v>
      </c>
      <c r="I798" s="22" t="s">
        <v>70</v>
      </c>
      <c r="J798" s="22" t="s">
        <v>41</v>
      </c>
      <c r="K798" s="24">
        <v>3</v>
      </c>
      <c r="M798" s="21">
        <v>45931</v>
      </c>
      <c r="N798" s="22" t="s">
        <v>71</v>
      </c>
      <c r="O798" s="22" t="s">
        <v>52</v>
      </c>
      <c r="P798" s="49">
        <v>72.2</v>
      </c>
      <c r="Q798" s="49">
        <v>71.2</v>
      </c>
      <c r="R798" s="50">
        <f t="shared" si="28"/>
        <v>1</v>
      </c>
      <c r="T798" s="21">
        <v>45931</v>
      </c>
      <c r="U798" s="22" t="s">
        <v>46</v>
      </c>
      <c r="V798" s="24">
        <v>5</v>
      </c>
      <c r="W798" s="24">
        <v>4</v>
      </c>
      <c r="X798" s="24">
        <v>4</v>
      </c>
      <c r="Y798" s="24">
        <v>4</v>
      </c>
      <c r="Z798" s="20">
        <f t="shared" si="29"/>
        <v>17</v>
      </c>
    </row>
    <row r="799" spans="1:26" x14ac:dyDescent="0.2">
      <c r="A799" s="21"/>
      <c r="B799" s="51"/>
      <c r="C799" s="22"/>
      <c r="D799" s="22"/>
      <c r="E799" s="24"/>
      <c r="F799" s="22"/>
      <c r="H799" s="21">
        <v>45916</v>
      </c>
      <c r="I799" s="22" t="s">
        <v>70</v>
      </c>
      <c r="J799" s="22" t="s">
        <v>49</v>
      </c>
      <c r="K799" s="24" t="s">
        <v>64</v>
      </c>
      <c r="M799" s="21">
        <v>45931</v>
      </c>
      <c r="N799" s="22" t="s">
        <v>70</v>
      </c>
      <c r="O799" s="22" t="s">
        <v>53</v>
      </c>
      <c r="P799" s="49">
        <v>66.599999999999994</v>
      </c>
      <c r="Q799" s="49">
        <v>66.099999999999994</v>
      </c>
      <c r="R799" s="50">
        <f t="shared" si="28"/>
        <v>0.5</v>
      </c>
      <c r="T799" s="21">
        <v>45931</v>
      </c>
      <c r="U799" s="22" t="s">
        <v>47</v>
      </c>
      <c r="V799" s="24">
        <v>5</v>
      </c>
      <c r="W799" s="24">
        <v>4</v>
      </c>
      <c r="X799" s="24">
        <v>4</v>
      </c>
      <c r="Y799" s="24">
        <v>4</v>
      </c>
      <c r="Z799" s="20">
        <f t="shared" si="29"/>
        <v>17</v>
      </c>
    </row>
    <row r="800" spans="1:26" x14ac:dyDescent="0.2">
      <c r="A800" s="21"/>
      <c r="B800" s="51"/>
      <c r="C800" s="22"/>
      <c r="D800" s="22"/>
      <c r="E800" s="24"/>
      <c r="F800" s="22"/>
      <c r="H800" s="21">
        <v>45916</v>
      </c>
      <c r="I800" s="22" t="s">
        <v>70</v>
      </c>
      <c r="J800" s="22" t="s">
        <v>50</v>
      </c>
      <c r="K800" s="24" t="s">
        <v>64</v>
      </c>
      <c r="M800" s="21">
        <v>45931</v>
      </c>
      <c r="N800" s="22" t="s">
        <v>71</v>
      </c>
      <c r="O800" s="22" t="s">
        <v>53</v>
      </c>
      <c r="P800" s="49">
        <v>68</v>
      </c>
      <c r="Q800" s="49">
        <v>66.599999999999994</v>
      </c>
      <c r="R800" s="50">
        <f t="shared" si="28"/>
        <v>1.4000000000000057</v>
      </c>
      <c r="T800" s="21">
        <v>45931</v>
      </c>
      <c r="U800" s="22" t="s">
        <v>48</v>
      </c>
      <c r="V800" s="24">
        <v>5</v>
      </c>
      <c r="W800" s="24">
        <v>3</v>
      </c>
      <c r="X800" s="24">
        <v>4</v>
      </c>
      <c r="Y800" s="24">
        <v>5</v>
      </c>
      <c r="Z800" s="20">
        <f t="shared" si="29"/>
        <v>17</v>
      </c>
    </row>
    <row r="801" spans="1:26" x14ac:dyDescent="0.2">
      <c r="A801" s="21"/>
      <c r="B801" s="51"/>
      <c r="C801" s="22"/>
      <c r="D801" s="22"/>
      <c r="E801" s="24"/>
      <c r="F801" s="22"/>
      <c r="H801" s="21">
        <v>45916</v>
      </c>
      <c r="I801" s="22" t="s">
        <v>70</v>
      </c>
      <c r="J801" s="22" t="s">
        <v>51</v>
      </c>
      <c r="K801" s="24">
        <v>7</v>
      </c>
      <c r="M801" s="21">
        <v>45931</v>
      </c>
      <c r="N801" s="22" t="s">
        <v>70</v>
      </c>
      <c r="O801" s="22" t="s">
        <v>54</v>
      </c>
      <c r="P801" s="49">
        <v>84.3</v>
      </c>
      <c r="Q801" s="49">
        <v>84.2</v>
      </c>
      <c r="R801" s="50">
        <f t="shared" si="28"/>
        <v>9.9999999999994316E-2</v>
      </c>
      <c r="T801" s="21">
        <v>45931</v>
      </c>
      <c r="U801" s="22" t="s">
        <v>49</v>
      </c>
      <c r="V801" s="24">
        <v>4</v>
      </c>
      <c r="W801" s="24">
        <v>4</v>
      </c>
      <c r="X801" s="24">
        <v>4</v>
      </c>
      <c r="Y801" s="24">
        <v>4</v>
      </c>
      <c r="Z801" s="20">
        <f t="shared" si="29"/>
        <v>16</v>
      </c>
    </row>
    <row r="802" spans="1:26" x14ac:dyDescent="0.2">
      <c r="A802" s="21"/>
      <c r="B802" s="51"/>
      <c r="C802" s="22"/>
      <c r="D802" s="22"/>
      <c r="E802" s="24"/>
      <c r="F802" s="22"/>
      <c r="H802" s="21">
        <v>45916</v>
      </c>
      <c r="I802" s="22" t="s">
        <v>70</v>
      </c>
      <c r="J802" s="22" t="s">
        <v>46</v>
      </c>
      <c r="K802" s="24" t="s">
        <v>64</v>
      </c>
      <c r="M802" s="21">
        <v>45931</v>
      </c>
      <c r="N802" s="22" t="s">
        <v>71</v>
      </c>
      <c r="O802" s="22" t="s">
        <v>54</v>
      </c>
      <c r="P802" s="49">
        <v>84.4</v>
      </c>
      <c r="Q802" s="49">
        <v>84.4</v>
      </c>
      <c r="R802" s="50">
        <f t="shared" si="28"/>
        <v>0</v>
      </c>
      <c r="T802" s="21">
        <v>45931</v>
      </c>
      <c r="U802" s="22" t="s">
        <v>50</v>
      </c>
      <c r="V802" s="24">
        <v>3</v>
      </c>
      <c r="W802" s="24">
        <v>3</v>
      </c>
      <c r="X802" s="24">
        <v>4</v>
      </c>
      <c r="Y802" s="24">
        <v>5</v>
      </c>
      <c r="Z802" s="20">
        <f t="shared" si="29"/>
        <v>15</v>
      </c>
    </row>
    <row r="803" spans="1:26" x14ac:dyDescent="0.2">
      <c r="A803" s="21"/>
      <c r="B803" s="51"/>
      <c r="C803" s="22"/>
      <c r="D803" s="22"/>
      <c r="E803" s="24"/>
      <c r="F803" s="22"/>
      <c r="H803" s="21">
        <v>45916</v>
      </c>
      <c r="I803" s="22" t="s">
        <v>70</v>
      </c>
      <c r="J803" s="22" t="s">
        <v>48</v>
      </c>
      <c r="K803" s="24">
        <v>6</v>
      </c>
      <c r="M803" s="21">
        <v>45931</v>
      </c>
      <c r="N803" s="22" t="s">
        <v>70</v>
      </c>
      <c r="O803" s="22" t="s">
        <v>56</v>
      </c>
      <c r="P803" s="49">
        <v>74.5</v>
      </c>
      <c r="Q803" s="49">
        <v>74.599999999999994</v>
      </c>
      <c r="R803" s="50">
        <f t="shared" si="28"/>
        <v>-9.9999999999994316E-2</v>
      </c>
      <c r="T803" s="21">
        <v>45931</v>
      </c>
      <c r="U803" s="22" t="s">
        <v>51</v>
      </c>
      <c r="V803" s="24">
        <v>4</v>
      </c>
      <c r="W803" s="24">
        <v>4</v>
      </c>
      <c r="X803" s="24">
        <v>4</v>
      </c>
      <c r="Y803" s="24">
        <v>4</v>
      </c>
      <c r="Z803" s="20">
        <f t="shared" si="29"/>
        <v>16</v>
      </c>
    </row>
    <row r="804" spans="1:26" x14ac:dyDescent="0.2">
      <c r="A804" s="21"/>
      <c r="B804" s="51"/>
      <c r="C804" s="22"/>
      <c r="D804" s="22"/>
      <c r="E804" s="24"/>
      <c r="F804" s="22"/>
      <c r="H804" s="21">
        <v>45916</v>
      </c>
      <c r="I804" s="22" t="s">
        <v>70</v>
      </c>
      <c r="J804" s="22" t="s">
        <v>56</v>
      </c>
      <c r="K804" s="24">
        <v>6</v>
      </c>
      <c r="M804" s="21">
        <v>45931</v>
      </c>
      <c r="N804" s="22" t="s">
        <v>71</v>
      </c>
      <c r="O804" s="22" t="s">
        <v>56</v>
      </c>
      <c r="P804" s="49">
        <v>74.8</v>
      </c>
      <c r="Q804" s="49">
        <v>74.7</v>
      </c>
      <c r="R804" s="50">
        <f t="shared" si="28"/>
        <v>9.9999999999994316E-2</v>
      </c>
      <c r="T804" s="21">
        <v>45931</v>
      </c>
      <c r="U804" s="22" t="s">
        <v>52</v>
      </c>
      <c r="V804" s="24">
        <v>4</v>
      </c>
      <c r="W804" s="24">
        <v>4</v>
      </c>
      <c r="X804" s="24">
        <v>4</v>
      </c>
      <c r="Y804" s="24">
        <v>3</v>
      </c>
      <c r="Z804" s="20">
        <f t="shared" si="29"/>
        <v>15</v>
      </c>
    </row>
    <row r="805" spans="1:26" x14ac:dyDescent="0.2">
      <c r="A805" s="21"/>
      <c r="B805" s="51"/>
      <c r="C805" s="22"/>
      <c r="D805" s="22"/>
      <c r="E805" s="24"/>
      <c r="F805" s="22"/>
      <c r="H805" s="21">
        <v>45917</v>
      </c>
      <c r="I805" s="22" t="s">
        <v>70</v>
      </c>
      <c r="J805" s="22" t="s">
        <v>52</v>
      </c>
      <c r="K805" s="24">
        <v>2</v>
      </c>
      <c r="M805" s="21">
        <v>45931</v>
      </c>
      <c r="N805" s="22" t="s">
        <v>70</v>
      </c>
      <c r="O805" s="22" t="s">
        <v>57</v>
      </c>
      <c r="P805" s="49">
        <v>93.2</v>
      </c>
      <c r="Q805" s="49">
        <v>92.6</v>
      </c>
      <c r="R805" s="50">
        <f t="shared" si="28"/>
        <v>0.60000000000000853</v>
      </c>
      <c r="T805" s="21">
        <v>45931</v>
      </c>
      <c r="U805" s="22" t="s">
        <v>53</v>
      </c>
      <c r="V805" s="24">
        <v>5</v>
      </c>
      <c r="W805" s="24">
        <v>4</v>
      </c>
      <c r="X805" s="24">
        <v>3</v>
      </c>
      <c r="Y805" s="24">
        <v>5</v>
      </c>
      <c r="Z805" s="20">
        <f t="shared" si="29"/>
        <v>17</v>
      </c>
    </row>
    <row r="806" spans="1:26" x14ac:dyDescent="0.2">
      <c r="A806" s="21"/>
      <c r="B806" s="51"/>
      <c r="C806" s="22"/>
      <c r="D806" s="22"/>
      <c r="E806" s="24"/>
      <c r="F806" s="22"/>
      <c r="H806" s="21">
        <v>45917</v>
      </c>
      <c r="I806" s="22" t="s">
        <v>70</v>
      </c>
      <c r="J806" s="22" t="s">
        <v>53</v>
      </c>
      <c r="K806" s="24">
        <v>2</v>
      </c>
      <c r="M806" s="21">
        <v>45931</v>
      </c>
      <c r="N806" s="22" t="s">
        <v>71</v>
      </c>
      <c r="O806" s="22" t="s">
        <v>57</v>
      </c>
      <c r="P806" s="49">
        <v>93.4</v>
      </c>
      <c r="Q806" s="49">
        <v>93</v>
      </c>
      <c r="R806" s="50">
        <f t="shared" si="28"/>
        <v>0.40000000000000568</v>
      </c>
      <c r="T806" s="21">
        <v>45931</v>
      </c>
      <c r="U806" s="22" t="s">
        <v>54</v>
      </c>
      <c r="V806" s="24">
        <v>4</v>
      </c>
      <c r="W806" s="24">
        <v>3</v>
      </c>
      <c r="X806" s="24">
        <v>3</v>
      </c>
      <c r="Y806" s="24">
        <v>4</v>
      </c>
      <c r="Z806" s="20">
        <f t="shared" si="29"/>
        <v>14</v>
      </c>
    </row>
    <row r="807" spans="1:26" x14ac:dyDescent="0.2">
      <c r="A807" s="21"/>
      <c r="B807" s="51"/>
      <c r="C807" s="22"/>
      <c r="D807" s="22"/>
      <c r="E807" s="24"/>
      <c r="F807" s="22"/>
      <c r="H807" s="21">
        <v>45917</v>
      </c>
      <c r="I807" s="22" t="s">
        <v>70</v>
      </c>
      <c r="J807" s="22" t="s">
        <v>44</v>
      </c>
      <c r="K807" s="24">
        <v>2</v>
      </c>
      <c r="M807" s="21">
        <v>45932</v>
      </c>
      <c r="N807" s="22" t="s">
        <v>70</v>
      </c>
      <c r="O807" s="22" t="s">
        <v>41</v>
      </c>
      <c r="P807" s="49">
        <v>76.7</v>
      </c>
      <c r="Q807" s="49">
        <v>76</v>
      </c>
      <c r="R807" s="50">
        <f t="shared" si="28"/>
        <v>0.70000000000000284</v>
      </c>
      <c r="T807" s="21">
        <v>45931</v>
      </c>
      <c r="U807" s="22" t="s">
        <v>56</v>
      </c>
      <c r="V807" s="24">
        <v>4</v>
      </c>
      <c r="W807" s="24">
        <v>4</v>
      </c>
      <c r="X807" s="24">
        <v>4</v>
      </c>
      <c r="Y807" s="24">
        <v>5</v>
      </c>
      <c r="Z807" s="20">
        <f t="shared" si="29"/>
        <v>17</v>
      </c>
    </row>
    <row r="808" spans="1:26" x14ac:dyDescent="0.2">
      <c r="A808" s="21"/>
      <c r="B808" s="51"/>
      <c r="C808" s="22"/>
      <c r="D808" s="22"/>
      <c r="E808" s="24"/>
      <c r="F808" s="22"/>
      <c r="H808" s="21">
        <v>45917</v>
      </c>
      <c r="I808" s="22" t="s">
        <v>70</v>
      </c>
      <c r="J808" s="22" t="s">
        <v>45</v>
      </c>
      <c r="K808" s="24">
        <v>2</v>
      </c>
      <c r="M808" s="21">
        <v>45932</v>
      </c>
      <c r="N808" s="22" t="s">
        <v>70</v>
      </c>
      <c r="O808" s="22" t="s">
        <v>42</v>
      </c>
      <c r="P808" s="49">
        <v>79.8</v>
      </c>
      <c r="Q808" s="49">
        <v>79.7</v>
      </c>
      <c r="R808" s="50">
        <f t="shared" si="28"/>
        <v>9.9999999999994316E-2</v>
      </c>
      <c r="T808" s="21">
        <v>45931</v>
      </c>
      <c r="U808" s="22" t="s">
        <v>57</v>
      </c>
      <c r="V808" s="24">
        <v>4</v>
      </c>
      <c r="W808" s="24">
        <v>4</v>
      </c>
      <c r="X808" s="24">
        <v>4</v>
      </c>
      <c r="Y808" s="24">
        <v>4</v>
      </c>
      <c r="Z808" s="20">
        <f t="shared" si="29"/>
        <v>16</v>
      </c>
    </row>
    <row r="809" spans="1:26" x14ac:dyDescent="0.2">
      <c r="A809" s="21"/>
      <c r="B809" s="51"/>
      <c r="C809" s="22"/>
      <c r="D809" s="22"/>
      <c r="E809" s="24"/>
      <c r="F809" s="22"/>
      <c r="H809" s="21">
        <v>45917</v>
      </c>
      <c r="I809" s="22" t="s">
        <v>70</v>
      </c>
      <c r="J809" s="22" t="s">
        <v>57</v>
      </c>
      <c r="K809" s="24">
        <v>2</v>
      </c>
      <c r="M809" s="21">
        <v>45932</v>
      </c>
      <c r="N809" s="22" t="s">
        <v>70</v>
      </c>
      <c r="O809" s="22" t="s">
        <v>44</v>
      </c>
      <c r="P809" s="49">
        <v>67.900000000000006</v>
      </c>
      <c r="Q809" s="49">
        <v>67.099999999999994</v>
      </c>
      <c r="R809" s="50">
        <f t="shared" si="28"/>
        <v>0.80000000000001137</v>
      </c>
      <c r="T809" s="21">
        <v>45931</v>
      </c>
      <c r="U809" s="22" t="s">
        <v>33</v>
      </c>
      <c r="V809" s="24">
        <v>3.93333333333333</v>
      </c>
      <c r="W809" s="24">
        <v>3.6</v>
      </c>
      <c r="X809" s="24">
        <v>3.6</v>
      </c>
      <c r="Y809" s="24">
        <v>4.1333333333333302</v>
      </c>
      <c r="Z809" s="20">
        <f t="shared" si="29"/>
        <v>15.266666666666659</v>
      </c>
    </row>
    <row r="810" spans="1:26" x14ac:dyDescent="0.2">
      <c r="A810" s="21"/>
      <c r="B810" s="51"/>
      <c r="C810" s="22"/>
      <c r="D810" s="22"/>
      <c r="E810" s="24"/>
      <c r="F810" s="22"/>
      <c r="H810" s="21">
        <v>45917</v>
      </c>
      <c r="I810" s="22" t="s">
        <v>70</v>
      </c>
      <c r="J810" s="22" t="s">
        <v>42</v>
      </c>
      <c r="K810" s="24">
        <v>2</v>
      </c>
      <c r="M810" s="21">
        <v>45932</v>
      </c>
      <c r="N810" s="22" t="s">
        <v>70</v>
      </c>
      <c r="O810" s="22" t="s">
        <v>45</v>
      </c>
      <c r="P810" s="49">
        <v>69.099999999999994</v>
      </c>
      <c r="Q810" s="49">
        <v>68.5</v>
      </c>
      <c r="R810" s="50">
        <f t="shared" si="28"/>
        <v>0.59999999999999432</v>
      </c>
      <c r="T810" s="21">
        <v>45932</v>
      </c>
      <c r="U810" s="22" t="s">
        <v>41</v>
      </c>
      <c r="V810" s="24">
        <v>1</v>
      </c>
      <c r="W810" s="24">
        <v>1</v>
      </c>
      <c r="X810" s="24">
        <v>1</v>
      </c>
      <c r="Y810" s="24">
        <v>1</v>
      </c>
      <c r="Z810" s="20">
        <f t="shared" si="29"/>
        <v>4</v>
      </c>
    </row>
    <row r="811" spans="1:26" x14ac:dyDescent="0.2">
      <c r="A811" s="21"/>
      <c r="B811" s="51"/>
      <c r="C811" s="22"/>
      <c r="D811" s="22"/>
      <c r="E811" s="24"/>
      <c r="F811" s="22"/>
      <c r="H811" s="21">
        <v>45917</v>
      </c>
      <c r="I811" s="22" t="s">
        <v>70</v>
      </c>
      <c r="J811" s="22" t="s">
        <v>54</v>
      </c>
      <c r="K811" s="24">
        <v>2</v>
      </c>
      <c r="M811" s="21">
        <v>45932</v>
      </c>
      <c r="N811" s="22" t="s">
        <v>70</v>
      </c>
      <c r="O811" s="22" t="s">
        <v>46</v>
      </c>
      <c r="P811" s="49">
        <v>80.099999999999994</v>
      </c>
      <c r="Q811" s="49">
        <v>80.599999999999994</v>
      </c>
      <c r="R811" s="50">
        <f t="shared" si="28"/>
        <v>-0.5</v>
      </c>
      <c r="T811" s="21">
        <v>45932</v>
      </c>
      <c r="U811" s="22" t="s">
        <v>42</v>
      </c>
      <c r="V811" s="24">
        <v>4</v>
      </c>
      <c r="W811" s="24">
        <v>4</v>
      </c>
      <c r="X811" s="24">
        <v>4</v>
      </c>
      <c r="Y811" s="24">
        <v>5</v>
      </c>
      <c r="Z811" s="20">
        <f t="shared" si="29"/>
        <v>17</v>
      </c>
    </row>
    <row r="812" spans="1:26" x14ac:dyDescent="0.2">
      <c r="A812" s="21"/>
      <c r="B812" s="51"/>
      <c r="C812" s="22"/>
      <c r="D812" s="22"/>
      <c r="E812" s="24"/>
      <c r="F812" s="22"/>
      <c r="H812" s="21">
        <v>45917</v>
      </c>
      <c r="I812" s="22" t="s">
        <v>70</v>
      </c>
      <c r="J812" s="22" t="s">
        <v>47</v>
      </c>
      <c r="K812" s="24">
        <v>2</v>
      </c>
      <c r="M812" s="21">
        <v>45932</v>
      </c>
      <c r="N812" s="22" t="s">
        <v>70</v>
      </c>
      <c r="O812" s="22" t="s">
        <v>47</v>
      </c>
      <c r="P812" s="49">
        <v>70.8</v>
      </c>
      <c r="Q812" s="49">
        <v>71</v>
      </c>
      <c r="R812" s="50">
        <f t="shared" si="28"/>
        <v>-0.20000000000000284</v>
      </c>
      <c r="T812" s="21">
        <v>45932</v>
      </c>
      <c r="U812" s="22" t="s">
        <v>44</v>
      </c>
      <c r="V812" s="24">
        <v>5</v>
      </c>
      <c r="W812" s="24">
        <v>4</v>
      </c>
      <c r="X812" s="24">
        <v>3</v>
      </c>
      <c r="Y812" s="24">
        <v>5</v>
      </c>
      <c r="Z812" s="20">
        <f t="shared" si="29"/>
        <v>17</v>
      </c>
    </row>
    <row r="813" spans="1:26" x14ac:dyDescent="0.2">
      <c r="A813" s="21"/>
      <c r="B813" s="51"/>
      <c r="C813" s="22"/>
      <c r="D813" s="22"/>
      <c r="E813" s="24"/>
      <c r="F813" s="22"/>
      <c r="H813" s="21">
        <v>45917</v>
      </c>
      <c r="I813" s="22" t="s">
        <v>70</v>
      </c>
      <c r="J813" s="22" t="s">
        <v>41</v>
      </c>
      <c r="K813" s="24">
        <v>2</v>
      </c>
      <c r="M813" s="21">
        <v>45932</v>
      </c>
      <c r="N813" s="22" t="s">
        <v>70</v>
      </c>
      <c r="O813" s="22" t="s">
        <v>48</v>
      </c>
      <c r="P813" s="49">
        <v>82.8</v>
      </c>
      <c r="Q813" s="49">
        <v>81.8</v>
      </c>
      <c r="R813" s="50">
        <f t="shared" si="28"/>
        <v>1</v>
      </c>
      <c r="T813" s="21">
        <v>45932</v>
      </c>
      <c r="U813" s="22" t="s">
        <v>45</v>
      </c>
      <c r="V813" s="24">
        <v>4</v>
      </c>
      <c r="W813" s="24">
        <v>4</v>
      </c>
      <c r="X813" s="24">
        <v>3</v>
      </c>
      <c r="Y813" s="24">
        <v>5</v>
      </c>
      <c r="Z813" s="20">
        <f t="shared" si="29"/>
        <v>16</v>
      </c>
    </row>
    <row r="814" spans="1:26" x14ac:dyDescent="0.2">
      <c r="A814" s="21"/>
      <c r="B814" s="51"/>
      <c r="C814" s="22"/>
      <c r="D814" s="22"/>
      <c r="E814" s="24"/>
      <c r="F814" s="22"/>
      <c r="H814" s="21">
        <v>45917</v>
      </c>
      <c r="I814" s="22" t="s">
        <v>70</v>
      </c>
      <c r="J814" s="22" t="s">
        <v>58</v>
      </c>
      <c r="K814" s="24">
        <v>2</v>
      </c>
      <c r="M814" s="21">
        <v>45932</v>
      </c>
      <c r="N814" s="22" t="s">
        <v>70</v>
      </c>
      <c r="O814" s="22" t="s">
        <v>49</v>
      </c>
      <c r="P814" s="49">
        <v>79.2</v>
      </c>
      <c r="Q814" s="49">
        <v>79.400000000000006</v>
      </c>
      <c r="R814" s="50">
        <f t="shared" si="28"/>
        <v>-0.20000000000000284</v>
      </c>
      <c r="T814" s="21">
        <v>45932</v>
      </c>
      <c r="U814" s="22" t="s">
        <v>46</v>
      </c>
      <c r="V814" s="24">
        <v>5</v>
      </c>
      <c r="W814" s="24">
        <v>4</v>
      </c>
      <c r="X814" s="24">
        <v>3</v>
      </c>
      <c r="Y814" s="24">
        <v>4</v>
      </c>
      <c r="Z814" s="20">
        <f t="shared" si="29"/>
        <v>16</v>
      </c>
    </row>
    <row r="815" spans="1:26" x14ac:dyDescent="0.2">
      <c r="A815" s="21"/>
      <c r="B815" s="51"/>
      <c r="C815" s="22"/>
      <c r="D815" s="22"/>
      <c r="E815" s="24"/>
      <c r="F815" s="22"/>
      <c r="H815" s="21">
        <v>45917</v>
      </c>
      <c r="I815" s="22" t="s">
        <v>70</v>
      </c>
      <c r="J815" s="22" t="s">
        <v>49</v>
      </c>
      <c r="K815" s="24" t="s">
        <v>64</v>
      </c>
      <c r="M815" s="21">
        <v>45932</v>
      </c>
      <c r="N815" s="22" t="s">
        <v>70</v>
      </c>
      <c r="O815" s="22" t="s">
        <v>50</v>
      </c>
      <c r="P815" s="49">
        <v>70.400000000000006</v>
      </c>
      <c r="Q815" s="49">
        <v>70.5</v>
      </c>
      <c r="R815" s="50">
        <f t="shared" si="28"/>
        <v>-9.9999999999994316E-2</v>
      </c>
      <c r="T815" s="21">
        <v>45932</v>
      </c>
      <c r="U815" s="22" t="s">
        <v>47</v>
      </c>
      <c r="V815" s="24">
        <v>5</v>
      </c>
      <c r="W815" s="24">
        <v>4</v>
      </c>
      <c r="X815" s="24">
        <v>3</v>
      </c>
      <c r="Y815" s="24">
        <v>5</v>
      </c>
      <c r="Z815" s="20">
        <f t="shared" si="29"/>
        <v>17</v>
      </c>
    </row>
    <row r="816" spans="1:26" x14ac:dyDescent="0.2">
      <c r="A816" s="21"/>
      <c r="B816" s="51"/>
      <c r="C816" s="22"/>
      <c r="D816" s="22"/>
      <c r="E816" s="24"/>
      <c r="F816" s="22"/>
      <c r="H816" s="21">
        <v>45917</v>
      </c>
      <c r="I816" s="22" t="s">
        <v>70</v>
      </c>
      <c r="J816" s="22" t="s">
        <v>50</v>
      </c>
      <c r="K816" s="24" t="s">
        <v>64</v>
      </c>
      <c r="M816" s="21">
        <v>45932</v>
      </c>
      <c r="N816" s="22" t="s">
        <v>70</v>
      </c>
      <c r="O816" s="22" t="s">
        <v>51</v>
      </c>
      <c r="P816" s="49">
        <v>75.7</v>
      </c>
      <c r="Q816" s="49">
        <v>75.599999999999994</v>
      </c>
      <c r="R816" s="50">
        <f t="shared" si="28"/>
        <v>0.10000000000000853</v>
      </c>
      <c r="T816" s="21">
        <v>45932</v>
      </c>
      <c r="U816" s="22" t="s">
        <v>48</v>
      </c>
      <c r="V816" s="24">
        <v>5</v>
      </c>
      <c r="W816" s="24">
        <v>3</v>
      </c>
      <c r="X816" s="24">
        <v>4</v>
      </c>
      <c r="Y816" s="24">
        <v>5</v>
      </c>
      <c r="Z816" s="20">
        <f t="shared" si="29"/>
        <v>17</v>
      </c>
    </row>
    <row r="817" spans="1:26" x14ac:dyDescent="0.2">
      <c r="A817" s="21"/>
      <c r="B817" s="51"/>
      <c r="C817" s="22"/>
      <c r="D817" s="22"/>
      <c r="E817" s="24"/>
      <c r="F817" s="22"/>
      <c r="H817" s="21">
        <v>45917</v>
      </c>
      <c r="I817" s="22" t="s">
        <v>70</v>
      </c>
      <c r="J817" s="22" t="s">
        <v>51</v>
      </c>
      <c r="K817" s="24">
        <v>2</v>
      </c>
      <c r="M817" s="21">
        <v>45932</v>
      </c>
      <c r="N817" s="22" t="s">
        <v>70</v>
      </c>
      <c r="O817" s="22" t="s">
        <v>52</v>
      </c>
      <c r="P817" s="49">
        <v>72.2</v>
      </c>
      <c r="Q817" s="49">
        <v>71.8</v>
      </c>
      <c r="R817" s="50">
        <f t="shared" si="28"/>
        <v>0.40000000000000568</v>
      </c>
      <c r="T817" s="21">
        <v>45932</v>
      </c>
      <c r="U817" s="22" t="s">
        <v>49</v>
      </c>
      <c r="V817" s="24">
        <v>5</v>
      </c>
      <c r="W817" s="24">
        <v>3</v>
      </c>
      <c r="X817" s="24">
        <v>4</v>
      </c>
      <c r="Y817" s="24">
        <v>4</v>
      </c>
      <c r="Z817" s="20">
        <f t="shared" si="29"/>
        <v>16</v>
      </c>
    </row>
    <row r="818" spans="1:26" x14ac:dyDescent="0.2">
      <c r="A818" s="21"/>
      <c r="B818" s="51"/>
      <c r="C818" s="22"/>
      <c r="D818" s="22"/>
      <c r="E818" s="24"/>
      <c r="F818" s="22"/>
      <c r="H818" s="21">
        <v>45917</v>
      </c>
      <c r="I818" s="22" t="s">
        <v>70</v>
      </c>
      <c r="J818" s="22" t="s">
        <v>46</v>
      </c>
      <c r="K818" s="24" t="s">
        <v>64</v>
      </c>
      <c r="M818" s="21">
        <v>45932</v>
      </c>
      <c r="N818" s="22" t="s">
        <v>70</v>
      </c>
      <c r="O818" s="22" t="s">
        <v>53</v>
      </c>
      <c r="P818" s="49">
        <v>66.3</v>
      </c>
      <c r="Q818" s="49">
        <v>66</v>
      </c>
      <c r="R818" s="50">
        <f t="shared" si="28"/>
        <v>0.29999999999999716</v>
      </c>
      <c r="T818" s="21">
        <v>45932</v>
      </c>
      <c r="U818" s="22" t="s">
        <v>50</v>
      </c>
      <c r="V818" s="24">
        <v>3</v>
      </c>
      <c r="W818" s="24">
        <v>3</v>
      </c>
      <c r="X818" s="24">
        <v>4</v>
      </c>
      <c r="Y818" s="24">
        <v>5</v>
      </c>
      <c r="Z818" s="20">
        <f t="shared" si="29"/>
        <v>15</v>
      </c>
    </row>
    <row r="819" spans="1:26" x14ac:dyDescent="0.2">
      <c r="A819" s="21"/>
      <c r="B819" s="51"/>
      <c r="C819" s="22"/>
      <c r="D819" s="22"/>
      <c r="E819" s="24"/>
      <c r="F819" s="22"/>
      <c r="H819" s="21">
        <v>45917</v>
      </c>
      <c r="I819" s="22" t="s">
        <v>70</v>
      </c>
      <c r="J819" s="22" t="s">
        <v>48</v>
      </c>
      <c r="K819" s="24">
        <v>2</v>
      </c>
      <c r="M819" s="21">
        <v>45932</v>
      </c>
      <c r="N819" s="22" t="s">
        <v>70</v>
      </c>
      <c r="O819" s="22" t="s">
        <v>54</v>
      </c>
      <c r="P819" s="49">
        <v>84.3</v>
      </c>
      <c r="Q819" s="49">
        <v>84.2</v>
      </c>
      <c r="R819" s="50">
        <f t="shared" si="28"/>
        <v>9.9999999999994316E-2</v>
      </c>
      <c r="T819" s="21">
        <v>45932</v>
      </c>
      <c r="U819" s="22" t="s">
        <v>51</v>
      </c>
      <c r="V819" s="24">
        <v>4</v>
      </c>
      <c r="W819" s="24">
        <v>4</v>
      </c>
      <c r="X819" s="24">
        <v>4</v>
      </c>
      <c r="Y819" s="24">
        <v>5</v>
      </c>
      <c r="Z819" s="20">
        <f t="shared" si="29"/>
        <v>17</v>
      </c>
    </row>
    <row r="820" spans="1:26" x14ac:dyDescent="0.2">
      <c r="A820" s="21"/>
      <c r="B820" s="51"/>
      <c r="C820" s="22"/>
      <c r="D820" s="22"/>
      <c r="E820" s="24"/>
      <c r="F820" s="22"/>
      <c r="H820" s="21">
        <v>45917</v>
      </c>
      <c r="I820" s="22" t="s">
        <v>70</v>
      </c>
      <c r="J820" s="22" t="s">
        <v>56</v>
      </c>
      <c r="K820" s="24">
        <v>2</v>
      </c>
      <c r="M820" s="21">
        <v>45932</v>
      </c>
      <c r="N820" s="22" t="s">
        <v>70</v>
      </c>
      <c r="O820" s="22" t="s">
        <v>56</v>
      </c>
      <c r="P820" s="49">
        <v>74.3</v>
      </c>
      <c r="Q820" s="49">
        <v>74.5</v>
      </c>
      <c r="R820" s="50">
        <f t="shared" si="28"/>
        <v>-0.20000000000000284</v>
      </c>
      <c r="T820" s="21">
        <v>45932</v>
      </c>
      <c r="U820" s="22" t="s">
        <v>52</v>
      </c>
      <c r="V820" s="24">
        <v>4</v>
      </c>
      <c r="W820" s="24">
        <v>3</v>
      </c>
      <c r="X820" s="24">
        <v>3</v>
      </c>
      <c r="Y820" s="24">
        <v>3</v>
      </c>
      <c r="Z820" s="20">
        <f t="shared" si="29"/>
        <v>13</v>
      </c>
    </row>
    <row r="821" spans="1:26" x14ac:dyDescent="0.2">
      <c r="A821" s="21"/>
      <c r="B821" s="51"/>
      <c r="C821" s="22"/>
      <c r="D821" s="22"/>
      <c r="E821" s="24"/>
      <c r="F821" s="22"/>
      <c r="H821" s="21">
        <v>45917</v>
      </c>
      <c r="I821" s="22" t="s">
        <v>71</v>
      </c>
      <c r="J821" s="22" t="s">
        <v>52</v>
      </c>
      <c r="K821" s="24">
        <v>9</v>
      </c>
      <c r="M821" s="21">
        <v>45932</v>
      </c>
      <c r="N821" s="22" t="s">
        <v>70</v>
      </c>
      <c r="O821" s="22" t="s">
        <v>57</v>
      </c>
      <c r="P821" s="49">
        <v>93.1</v>
      </c>
      <c r="Q821" s="49">
        <v>92.4</v>
      </c>
      <c r="R821" s="50">
        <f t="shared" si="28"/>
        <v>0.69999999999998863</v>
      </c>
      <c r="T821" s="21">
        <v>45932</v>
      </c>
      <c r="U821" s="22" t="s">
        <v>53</v>
      </c>
      <c r="V821" s="24">
        <v>4</v>
      </c>
      <c r="W821" s="24">
        <v>4</v>
      </c>
      <c r="X821" s="24">
        <v>4</v>
      </c>
      <c r="Y821" s="24">
        <v>5</v>
      </c>
      <c r="Z821" s="20">
        <f t="shared" si="29"/>
        <v>17</v>
      </c>
    </row>
    <row r="822" spans="1:26" x14ac:dyDescent="0.2">
      <c r="A822" s="21"/>
      <c r="B822" s="51"/>
      <c r="C822" s="22"/>
      <c r="D822" s="22"/>
      <c r="E822" s="24"/>
      <c r="F822" s="22"/>
      <c r="H822" s="21">
        <v>45917</v>
      </c>
      <c r="I822" s="22" t="s">
        <v>71</v>
      </c>
      <c r="J822" s="22" t="s">
        <v>53</v>
      </c>
      <c r="K822" s="24">
        <v>7</v>
      </c>
      <c r="M822" s="21">
        <v>45933</v>
      </c>
      <c r="N822" s="22" t="s">
        <v>70</v>
      </c>
      <c r="O822" s="22" t="s">
        <v>41</v>
      </c>
      <c r="P822" s="49">
        <v>76.7</v>
      </c>
      <c r="Q822" s="49">
        <v>76.2</v>
      </c>
      <c r="R822" s="50">
        <f t="shared" si="28"/>
        <v>0.5</v>
      </c>
      <c r="T822" s="21">
        <v>45932</v>
      </c>
      <c r="U822" s="22" t="s">
        <v>54</v>
      </c>
      <c r="V822" s="24">
        <v>4</v>
      </c>
      <c r="W822" s="24">
        <v>4</v>
      </c>
      <c r="X822" s="24">
        <v>4</v>
      </c>
      <c r="Y822" s="24">
        <v>4</v>
      </c>
      <c r="Z822" s="20">
        <f t="shared" si="29"/>
        <v>16</v>
      </c>
    </row>
    <row r="823" spans="1:26" x14ac:dyDescent="0.2">
      <c r="A823" s="21"/>
      <c r="B823" s="51"/>
      <c r="C823" s="22"/>
      <c r="D823" s="22"/>
      <c r="E823" s="24"/>
      <c r="F823" s="22"/>
      <c r="H823" s="21">
        <v>45917</v>
      </c>
      <c r="I823" s="22" t="s">
        <v>71</v>
      </c>
      <c r="J823" s="22" t="s">
        <v>44</v>
      </c>
      <c r="K823" s="24">
        <v>8</v>
      </c>
      <c r="M823" s="21">
        <v>45933</v>
      </c>
      <c r="N823" s="22" t="s">
        <v>70</v>
      </c>
      <c r="O823" s="22" t="s">
        <v>42</v>
      </c>
      <c r="P823" s="49">
        <v>79.8</v>
      </c>
      <c r="Q823" s="49">
        <v>79.599999999999994</v>
      </c>
      <c r="R823" s="50">
        <f t="shared" si="28"/>
        <v>0.20000000000000284</v>
      </c>
      <c r="T823" s="21">
        <v>45932</v>
      </c>
      <c r="U823" s="22" t="s">
        <v>56</v>
      </c>
      <c r="V823" s="24">
        <v>4</v>
      </c>
      <c r="W823" s="24">
        <v>3</v>
      </c>
      <c r="X823" s="24">
        <v>4</v>
      </c>
      <c r="Y823" s="24">
        <v>4</v>
      </c>
      <c r="Z823" s="20">
        <f t="shared" si="29"/>
        <v>15</v>
      </c>
    </row>
    <row r="824" spans="1:26" x14ac:dyDescent="0.2">
      <c r="A824" s="21"/>
      <c r="B824" s="51"/>
      <c r="C824" s="22"/>
      <c r="D824" s="22"/>
      <c r="E824" s="24"/>
      <c r="F824" s="22"/>
      <c r="H824" s="21">
        <v>45917</v>
      </c>
      <c r="I824" s="22" t="s">
        <v>71</v>
      </c>
      <c r="J824" s="22" t="s">
        <v>45</v>
      </c>
      <c r="K824" s="24">
        <v>6</v>
      </c>
      <c r="M824" s="21">
        <v>45933</v>
      </c>
      <c r="N824" s="22" t="s">
        <v>70</v>
      </c>
      <c r="O824" s="22" t="s">
        <v>44</v>
      </c>
      <c r="P824" s="49">
        <v>68.5</v>
      </c>
      <c r="Q824" s="49">
        <v>68.900000000000006</v>
      </c>
      <c r="R824" s="50">
        <f t="shared" si="28"/>
        <v>-0.40000000000000568</v>
      </c>
      <c r="T824" s="21">
        <v>45932</v>
      </c>
      <c r="U824" s="22" t="s">
        <v>57</v>
      </c>
      <c r="V824" s="24">
        <v>4</v>
      </c>
      <c r="W824" s="24">
        <v>3</v>
      </c>
      <c r="X824" s="24">
        <v>3</v>
      </c>
      <c r="Y824" s="24">
        <v>4</v>
      </c>
      <c r="Z824" s="20">
        <f t="shared" si="29"/>
        <v>14</v>
      </c>
    </row>
    <row r="825" spans="1:26" x14ac:dyDescent="0.2">
      <c r="A825" s="21"/>
      <c r="B825" s="51"/>
      <c r="C825" s="22"/>
      <c r="D825" s="22"/>
      <c r="E825" s="24"/>
      <c r="F825" s="22"/>
      <c r="H825" s="21">
        <v>45917</v>
      </c>
      <c r="I825" s="22" t="s">
        <v>71</v>
      </c>
      <c r="J825" s="22" t="s">
        <v>57</v>
      </c>
      <c r="K825" s="24">
        <v>7</v>
      </c>
      <c r="M825" s="21">
        <v>45933</v>
      </c>
      <c r="N825" s="22" t="s">
        <v>70</v>
      </c>
      <c r="O825" s="22" t="s">
        <v>45</v>
      </c>
      <c r="P825" s="49">
        <v>69.099999999999994</v>
      </c>
      <c r="Q825" s="49">
        <v>68.3</v>
      </c>
      <c r="R825" s="50">
        <f t="shared" si="28"/>
        <v>0.79999999999999716</v>
      </c>
      <c r="T825" s="21">
        <v>45932</v>
      </c>
      <c r="U825" s="22" t="s">
        <v>33</v>
      </c>
      <c r="V825" s="24">
        <v>4.06666666666667</v>
      </c>
      <c r="W825" s="24">
        <v>3.4</v>
      </c>
      <c r="X825" s="24">
        <v>3.4</v>
      </c>
      <c r="Y825" s="24">
        <v>4.2666666666666702</v>
      </c>
      <c r="Z825" s="20">
        <f t="shared" si="29"/>
        <v>15.13333333333334</v>
      </c>
    </row>
    <row r="826" spans="1:26" x14ac:dyDescent="0.2">
      <c r="A826" s="21"/>
      <c r="B826" s="51"/>
      <c r="C826" s="22"/>
      <c r="D826" s="22"/>
      <c r="E826" s="24"/>
      <c r="F826" s="22"/>
      <c r="H826" s="21">
        <v>45917</v>
      </c>
      <c r="I826" s="22" t="s">
        <v>71</v>
      </c>
      <c r="J826" s="22" t="s">
        <v>42</v>
      </c>
      <c r="K826" s="24">
        <v>5</v>
      </c>
      <c r="M826" s="21">
        <v>45933</v>
      </c>
      <c r="N826" s="22" t="s">
        <v>70</v>
      </c>
      <c r="O826" s="22" t="s">
        <v>46</v>
      </c>
      <c r="P826" s="49">
        <v>79.5</v>
      </c>
      <c r="Q826" s="49">
        <v>79.900000000000006</v>
      </c>
      <c r="R826" s="50">
        <f t="shared" si="28"/>
        <v>-0.40000000000000568</v>
      </c>
      <c r="T826" s="21">
        <v>45933</v>
      </c>
      <c r="U826" s="22" t="s">
        <v>41</v>
      </c>
      <c r="V826" s="24">
        <v>1</v>
      </c>
      <c r="W826" s="24">
        <v>1</v>
      </c>
      <c r="X826" s="24">
        <v>1</v>
      </c>
      <c r="Y826" s="24">
        <v>1</v>
      </c>
      <c r="Z826" s="20">
        <f t="shared" si="29"/>
        <v>4</v>
      </c>
    </row>
    <row r="827" spans="1:26" x14ac:dyDescent="0.2">
      <c r="A827" s="21"/>
      <c r="B827" s="51"/>
      <c r="C827" s="22"/>
      <c r="D827" s="22"/>
      <c r="E827" s="24"/>
      <c r="F827" s="22"/>
      <c r="H827" s="21">
        <v>45917</v>
      </c>
      <c r="I827" s="22" t="s">
        <v>71</v>
      </c>
      <c r="J827" s="22" t="s">
        <v>54</v>
      </c>
      <c r="K827" s="24">
        <v>7</v>
      </c>
      <c r="M827" s="21">
        <v>45933</v>
      </c>
      <c r="N827" s="22" t="s">
        <v>70</v>
      </c>
      <c r="O827" s="22" t="s">
        <v>47</v>
      </c>
      <c r="P827" s="49">
        <v>71.2</v>
      </c>
      <c r="Q827" s="49">
        <v>71</v>
      </c>
      <c r="R827" s="50">
        <f t="shared" si="28"/>
        <v>0.20000000000000284</v>
      </c>
      <c r="T827" s="21">
        <v>45933</v>
      </c>
      <c r="U827" s="22" t="s">
        <v>42</v>
      </c>
      <c r="V827" s="24">
        <v>4</v>
      </c>
      <c r="W827" s="24">
        <v>4</v>
      </c>
      <c r="X827" s="24">
        <v>4</v>
      </c>
      <c r="Y827" s="24">
        <v>5</v>
      </c>
      <c r="Z827" s="20">
        <f t="shared" si="29"/>
        <v>17</v>
      </c>
    </row>
    <row r="828" spans="1:26" x14ac:dyDescent="0.2">
      <c r="A828" s="21"/>
      <c r="B828" s="51"/>
      <c r="C828" s="22"/>
      <c r="D828" s="22"/>
      <c r="E828" s="24"/>
      <c r="F828" s="22"/>
      <c r="H828" s="21">
        <v>45917</v>
      </c>
      <c r="I828" s="22" t="s">
        <v>71</v>
      </c>
      <c r="J828" s="22" t="s">
        <v>47</v>
      </c>
      <c r="K828" s="24">
        <v>7</v>
      </c>
      <c r="M828" s="21">
        <v>45933</v>
      </c>
      <c r="N828" s="22" t="s">
        <v>70</v>
      </c>
      <c r="O828" s="22" t="s">
        <v>48</v>
      </c>
      <c r="P828" s="49">
        <v>82.8</v>
      </c>
      <c r="Q828" s="49">
        <v>82.2</v>
      </c>
      <c r="R828" s="50">
        <f t="shared" si="28"/>
        <v>0.59999999999999432</v>
      </c>
      <c r="T828" s="21">
        <v>45933</v>
      </c>
      <c r="U828" s="22" t="s">
        <v>44</v>
      </c>
      <c r="V828" s="24">
        <v>5</v>
      </c>
      <c r="W828" s="24">
        <v>4</v>
      </c>
      <c r="X828" s="24">
        <v>3</v>
      </c>
      <c r="Y828" s="24">
        <v>5</v>
      </c>
      <c r="Z828" s="20">
        <f t="shared" si="29"/>
        <v>17</v>
      </c>
    </row>
    <row r="829" spans="1:26" x14ac:dyDescent="0.2">
      <c r="A829" s="21"/>
      <c r="B829" s="51"/>
      <c r="C829" s="22"/>
      <c r="D829" s="22"/>
      <c r="E829" s="24"/>
      <c r="F829" s="22"/>
      <c r="H829" s="21">
        <v>45917</v>
      </c>
      <c r="I829" s="22" t="s">
        <v>71</v>
      </c>
      <c r="J829" s="22" t="s">
        <v>41</v>
      </c>
      <c r="K829" s="24" t="s">
        <v>63</v>
      </c>
      <c r="M829" s="21">
        <v>45933</v>
      </c>
      <c r="N829" s="22" t="s">
        <v>70</v>
      </c>
      <c r="O829" s="22" t="s">
        <v>49</v>
      </c>
      <c r="P829" s="49">
        <v>79.599999999999994</v>
      </c>
      <c r="Q829" s="49">
        <v>79.8</v>
      </c>
      <c r="R829" s="50">
        <f t="shared" si="28"/>
        <v>-0.20000000000000284</v>
      </c>
      <c r="T829" s="21">
        <v>45933</v>
      </c>
      <c r="U829" s="22" t="s">
        <v>45</v>
      </c>
      <c r="V829" s="24">
        <v>4</v>
      </c>
      <c r="W829" s="24">
        <v>4</v>
      </c>
      <c r="X829" s="24">
        <v>3</v>
      </c>
      <c r="Y829" s="24">
        <v>5</v>
      </c>
      <c r="Z829" s="20">
        <f t="shared" si="29"/>
        <v>16</v>
      </c>
    </row>
    <row r="830" spans="1:26" x14ac:dyDescent="0.2">
      <c r="A830" s="21"/>
      <c r="B830" s="51"/>
      <c r="C830" s="22"/>
      <c r="D830" s="22"/>
      <c r="E830" s="24"/>
      <c r="F830" s="22"/>
      <c r="H830" s="21">
        <v>45917</v>
      </c>
      <c r="I830" s="22" t="s">
        <v>71</v>
      </c>
      <c r="J830" s="22" t="s">
        <v>49</v>
      </c>
      <c r="K830" s="24" t="s">
        <v>64</v>
      </c>
      <c r="M830" s="21">
        <v>45933</v>
      </c>
      <c r="N830" s="22" t="s">
        <v>70</v>
      </c>
      <c r="O830" s="22" t="s">
        <v>50</v>
      </c>
      <c r="P830" s="49">
        <v>70.400000000000006</v>
      </c>
      <c r="Q830" s="49">
        <v>69.900000000000006</v>
      </c>
      <c r="R830" s="50">
        <f t="shared" si="28"/>
        <v>0.5</v>
      </c>
      <c r="T830" s="21">
        <v>45933</v>
      </c>
      <c r="U830" s="22" t="s">
        <v>46</v>
      </c>
      <c r="V830" s="24">
        <v>5</v>
      </c>
      <c r="W830" s="24">
        <v>4</v>
      </c>
      <c r="X830" s="24">
        <v>4</v>
      </c>
      <c r="Y830" s="24">
        <v>4</v>
      </c>
      <c r="Z830" s="20">
        <f t="shared" si="29"/>
        <v>17</v>
      </c>
    </row>
    <row r="831" spans="1:26" x14ac:dyDescent="0.2">
      <c r="A831" s="21"/>
      <c r="B831" s="51"/>
      <c r="C831" s="22"/>
      <c r="D831" s="22"/>
      <c r="E831" s="24"/>
      <c r="F831" s="22"/>
      <c r="H831" s="21">
        <v>45917</v>
      </c>
      <c r="I831" s="22" t="s">
        <v>71</v>
      </c>
      <c r="J831" s="22" t="s">
        <v>50</v>
      </c>
      <c r="K831" s="24" t="s">
        <v>64</v>
      </c>
      <c r="M831" s="21">
        <v>45933</v>
      </c>
      <c r="N831" s="22" t="s">
        <v>70</v>
      </c>
      <c r="O831" s="22" t="s">
        <v>51</v>
      </c>
      <c r="P831" s="49">
        <v>75.2</v>
      </c>
      <c r="Q831" s="49">
        <v>75</v>
      </c>
      <c r="R831" s="50">
        <f t="shared" si="28"/>
        <v>0.20000000000000284</v>
      </c>
      <c r="T831" s="21">
        <v>45933</v>
      </c>
      <c r="U831" s="22" t="s">
        <v>47</v>
      </c>
      <c r="V831" s="24">
        <v>4</v>
      </c>
      <c r="W831" s="24">
        <v>4</v>
      </c>
      <c r="X831" s="24">
        <v>4</v>
      </c>
      <c r="Y831" s="24">
        <v>5</v>
      </c>
      <c r="Z831" s="20">
        <f t="shared" si="29"/>
        <v>17</v>
      </c>
    </row>
    <row r="832" spans="1:26" x14ac:dyDescent="0.2">
      <c r="A832" s="21"/>
      <c r="B832" s="51"/>
      <c r="C832" s="22"/>
      <c r="D832" s="22"/>
      <c r="E832" s="24"/>
      <c r="F832" s="22"/>
      <c r="H832" s="21">
        <v>45917</v>
      </c>
      <c r="I832" s="22" t="s">
        <v>71</v>
      </c>
      <c r="J832" s="22" t="s">
        <v>51</v>
      </c>
      <c r="K832" s="24">
        <v>7</v>
      </c>
      <c r="M832" s="21">
        <v>45933</v>
      </c>
      <c r="N832" s="22" t="s">
        <v>70</v>
      </c>
      <c r="O832" s="22" t="s">
        <v>52</v>
      </c>
      <c r="P832" s="49">
        <v>71.5</v>
      </c>
      <c r="Q832" s="49">
        <v>71.400000000000006</v>
      </c>
      <c r="R832" s="50">
        <f t="shared" si="28"/>
        <v>9.9999999999994316E-2</v>
      </c>
      <c r="T832" s="21">
        <v>45933</v>
      </c>
      <c r="U832" s="22" t="s">
        <v>48</v>
      </c>
      <c r="V832" s="24">
        <v>5</v>
      </c>
      <c r="W832" s="24">
        <v>4</v>
      </c>
      <c r="X832" s="24">
        <v>4</v>
      </c>
      <c r="Y832" s="24">
        <v>5</v>
      </c>
      <c r="Z832" s="20">
        <f t="shared" si="29"/>
        <v>18</v>
      </c>
    </row>
    <row r="833" spans="1:26" x14ac:dyDescent="0.2">
      <c r="A833" s="21"/>
      <c r="B833" s="51"/>
      <c r="C833" s="22"/>
      <c r="D833" s="22"/>
      <c r="E833" s="24"/>
      <c r="F833" s="22"/>
      <c r="H833" s="21">
        <v>45917</v>
      </c>
      <c r="I833" s="22" t="s">
        <v>71</v>
      </c>
      <c r="J833" s="22" t="s">
        <v>46</v>
      </c>
      <c r="K833" s="24" t="s">
        <v>64</v>
      </c>
      <c r="M833" s="21">
        <v>45933</v>
      </c>
      <c r="N833" s="22" t="s">
        <v>70</v>
      </c>
      <c r="O833" s="22" t="s">
        <v>53</v>
      </c>
      <c r="P833" s="49">
        <v>66.7</v>
      </c>
      <c r="Q833" s="49">
        <v>66.5</v>
      </c>
      <c r="R833" s="50">
        <f t="shared" si="28"/>
        <v>0.20000000000000284</v>
      </c>
      <c r="T833" s="21">
        <v>45933</v>
      </c>
      <c r="U833" s="22" t="s">
        <v>49</v>
      </c>
      <c r="V833" s="24">
        <v>4</v>
      </c>
      <c r="W833" s="24">
        <v>4</v>
      </c>
      <c r="X833" s="24">
        <v>4</v>
      </c>
      <c r="Y833" s="24">
        <v>4</v>
      </c>
      <c r="Z833" s="20">
        <f t="shared" si="29"/>
        <v>16</v>
      </c>
    </row>
    <row r="834" spans="1:26" x14ac:dyDescent="0.2">
      <c r="A834" s="21"/>
      <c r="B834" s="51"/>
      <c r="C834" s="22"/>
      <c r="D834" s="22"/>
      <c r="E834" s="24"/>
      <c r="F834" s="22"/>
      <c r="H834" s="21">
        <v>45917</v>
      </c>
      <c r="I834" s="22" t="s">
        <v>71</v>
      </c>
      <c r="J834" s="22" t="s">
        <v>48</v>
      </c>
      <c r="K834" s="24">
        <v>8</v>
      </c>
      <c r="M834" s="21">
        <v>45933</v>
      </c>
      <c r="N834" s="22" t="s">
        <v>70</v>
      </c>
      <c r="O834" s="22" t="s">
        <v>54</v>
      </c>
      <c r="P834" s="49">
        <v>84.5</v>
      </c>
      <c r="Q834" s="49">
        <v>84.5</v>
      </c>
      <c r="R834" s="50">
        <f t="shared" si="28"/>
        <v>0</v>
      </c>
      <c r="T834" s="21">
        <v>45933</v>
      </c>
      <c r="U834" s="22" t="s">
        <v>50</v>
      </c>
      <c r="V834" s="24">
        <v>3</v>
      </c>
      <c r="W834" s="24">
        <v>4</v>
      </c>
      <c r="X834" s="24">
        <v>3</v>
      </c>
      <c r="Y834" s="24">
        <v>5</v>
      </c>
      <c r="Z834" s="20">
        <f t="shared" si="29"/>
        <v>15</v>
      </c>
    </row>
    <row r="835" spans="1:26" x14ac:dyDescent="0.2">
      <c r="A835" s="21"/>
      <c r="B835" s="51"/>
      <c r="C835" s="22"/>
      <c r="D835" s="22"/>
      <c r="E835" s="24"/>
      <c r="F835" s="22"/>
      <c r="H835" s="21">
        <v>45917</v>
      </c>
      <c r="I835" s="22" t="s">
        <v>71</v>
      </c>
      <c r="J835" s="22" t="s">
        <v>56</v>
      </c>
      <c r="K835" s="24">
        <v>6</v>
      </c>
      <c r="M835" s="21">
        <v>45933</v>
      </c>
      <c r="N835" s="22" t="s">
        <v>70</v>
      </c>
      <c r="O835" s="22" t="s">
        <v>56</v>
      </c>
      <c r="P835" s="49">
        <v>74.2</v>
      </c>
      <c r="Q835" s="49">
        <v>74.099999999999994</v>
      </c>
      <c r="R835" s="50">
        <f t="shared" ref="R835:R898" si="30">IFERROR(P835-Q835,"")</f>
        <v>0.10000000000000853</v>
      </c>
      <c r="T835" s="21">
        <v>45933</v>
      </c>
      <c r="U835" s="22" t="s">
        <v>51</v>
      </c>
      <c r="V835" s="24">
        <v>4</v>
      </c>
      <c r="W835" s="24">
        <v>4</v>
      </c>
      <c r="X835" s="24">
        <v>4</v>
      </c>
      <c r="Y835" s="24">
        <v>5</v>
      </c>
      <c r="Z835" s="20">
        <f t="shared" ref="Z835:Z898" si="31">SUM(V835:Y835)</f>
        <v>17</v>
      </c>
    </row>
    <row r="836" spans="1:26" x14ac:dyDescent="0.2">
      <c r="A836" s="21"/>
      <c r="B836" s="51"/>
      <c r="C836" s="22"/>
      <c r="D836" s="22"/>
      <c r="E836" s="24"/>
      <c r="F836" s="22"/>
      <c r="H836" s="21">
        <v>45918</v>
      </c>
      <c r="I836" s="22" t="s">
        <v>70</v>
      </c>
      <c r="J836" s="22" t="s">
        <v>52</v>
      </c>
      <c r="K836" s="24">
        <v>1</v>
      </c>
      <c r="M836" s="21">
        <v>45933</v>
      </c>
      <c r="N836" s="22" t="s">
        <v>70</v>
      </c>
      <c r="O836" s="22" t="s">
        <v>57</v>
      </c>
      <c r="P836" s="49">
        <v>93.6</v>
      </c>
      <c r="Q836" s="49">
        <v>94</v>
      </c>
      <c r="R836" s="50">
        <f t="shared" si="30"/>
        <v>-0.40000000000000568</v>
      </c>
      <c r="T836" s="21">
        <v>45933</v>
      </c>
      <c r="U836" s="22" t="s">
        <v>52</v>
      </c>
      <c r="V836" s="24">
        <v>4</v>
      </c>
      <c r="W836" s="24">
        <v>4</v>
      </c>
      <c r="X836" s="24">
        <v>4</v>
      </c>
      <c r="Y836" s="24">
        <v>4</v>
      </c>
      <c r="Z836" s="20">
        <f t="shared" si="31"/>
        <v>16</v>
      </c>
    </row>
    <row r="837" spans="1:26" x14ac:dyDescent="0.2">
      <c r="A837" s="21"/>
      <c r="B837" s="51"/>
      <c r="C837" s="22"/>
      <c r="D837" s="22"/>
      <c r="E837" s="24"/>
      <c r="F837" s="22"/>
      <c r="H837" s="21">
        <v>45918</v>
      </c>
      <c r="I837" s="22" t="s">
        <v>70</v>
      </c>
      <c r="J837" s="22" t="s">
        <v>53</v>
      </c>
      <c r="K837" s="24">
        <v>1</v>
      </c>
      <c r="M837" s="21">
        <v>45936</v>
      </c>
      <c r="N837" s="22" t="s">
        <v>70</v>
      </c>
      <c r="O837" s="22" t="s">
        <v>41</v>
      </c>
      <c r="P837" s="49">
        <v>77</v>
      </c>
      <c r="Q837" s="49">
        <v>76.5</v>
      </c>
      <c r="R837" s="50">
        <f t="shared" si="30"/>
        <v>0.5</v>
      </c>
      <c r="T837" s="21">
        <v>45933</v>
      </c>
      <c r="U837" s="22" t="s">
        <v>53</v>
      </c>
      <c r="V837" s="24">
        <v>4</v>
      </c>
      <c r="W837" s="24">
        <v>4</v>
      </c>
      <c r="X837" s="24">
        <v>4</v>
      </c>
      <c r="Y837" s="24">
        <v>5</v>
      </c>
      <c r="Z837" s="20">
        <f t="shared" si="31"/>
        <v>17</v>
      </c>
    </row>
    <row r="838" spans="1:26" x14ac:dyDescent="0.2">
      <c r="A838" s="21"/>
      <c r="B838" s="51"/>
      <c r="C838" s="22"/>
      <c r="D838" s="22"/>
      <c r="E838" s="24"/>
      <c r="F838" s="22"/>
      <c r="H838" s="21">
        <v>45918</v>
      </c>
      <c r="I838" s="22" t="s">
        <v>70</v>
      </c>
      <c r="J838" s="22" t="s">
        <v>44</v>
      </c>
      <c r="K838" s="24">
        <v>1</v>
      </c>
      <c r="M838" s="21">
        <v>45936</v>
      </c>
      <c r="N838" s="22" t="s">
        <v>70</v>
      </c>
      <c r="O838" s="22" t="s">
        <v>42</v>
      </c>
      <c r="P838" s="49">
        <v>79.8</v>
      </c>
      <c r="Q838" s="49">
        <v>79.7</v>
      </c>
      <c r="R838" s="50">
        <f t="shared" si="30"/>
        <v>9.9999999999994316E-2</v>
      </c>
      <c r="T838" s="21">
        <v>45933</v>
      </c>
      <c r="U838" s="22" t="s">
        <v>54</v>
      </c>
      <c r="V838" s="24">
        <v>3</v>
      </c>
      <c r="W838" s="24">
        <v>4</v>
      </c>
      <c r="X838" s="24">
        <v>4</v>
      </c>
      <c r="Y838" s="24">
        <v>4</v>
      </c>
      <c r="Z838" s="20">
        <f t="shared" si="31"/>
        <v>15</v>
      </c>
    </row>
    <row r="839" spans="1:26" x14ac:dyDescent="0.2">
      <c r="A839" s="21"/>
      <c r="B839" s="51"/>
      <c r="C839" s="22"/>
      <c r="D839" s="22"/>
      <c r="E839" s="24"/>
      <c r="F839" s="22"/>
      <c r="H839" s="21">
        <v>45918</v>
      </c>
      <c r="I839" s="22" t="s">
        <v>70</v>
      </c>
      <c r="J839" s="22" t="s">
        <v>45</v>
      </c>
      <c r="K839" s="24">
        <v>1</v>
      </c>
      <c r="M839" s="21">
        <v>45936</v>
      </c>
      <c r="N839" s="22" t="s">
        <v>70</v>
      </c>
      <c r="O839" s="22" t="s">
        <v>44</v>
      </c>
      <c r="P839" s="49">
        <v>68</v>
      </c>
      <c r="Q839" s="49">
        <v>66.900000000000006</v>
      </c>
      <c r="R839" s="50">
        <f t="shared" si="30"/>
        <v>1.0999999999999943</v>
      </c>
      <c r="T839" s="21">
        <v>45933</v>
      </c>
      <c r="U839" s="22" t="s">
        <v>56</v>
      </c>
      <c r="V839" s="24">
        <v>4</v>
      </c>
      <c r="W839" s="24">
        <v>4</v>
      </c>
      <c r="X839" s="24">
        <v>4</v>
      </c>
      <c r="Y839" s="24">
        <v>4</v>
      </c>
      <c r="Z839" s="20">
        <f t="shared" si="31"/>
        <v>16</v>
      </c>
    </row>
    <row r="840" spans="1:26" x14ac:dyDescent="0.2">
      <c r="A840" s="21"/>
      <c r="B840" s="51"/>
      <c r="C840" s="22"/>
      <c r="D840" s="22"/>
      <c r="E840" s="24"/>
      <c r="F840" s="22"/>
      <c r="H840" s="21">
        <v>45918</v>
      </c>
      <c r="I840" s="22" t="s">
        <v>70</v>
      </c>
      <c r="J840" s="22" t="s">
        <v>42</v>
      </c>
      <c r="K840" s="24">
        <v>1</v>
      </c>
      <c r="M840" s="21">
        <v>45936</v>
      </c>
      <c r="N840" s="22" t="s">
        <v>70</v>
      </c>
      <c r="O840" s="22" t="s">
        <v>45</v>
      </c>
      <c r="P840" s="49">
        <v>69</v>
      </c>
      <c r="Q840" s="49">
        <v>68.8</v>
      </c>
      <c r="R840" s="50">
        <f t="shared" si="30"/>
        <v>0.20000000000000284</v>
      </c>
      <c r="T840" s="21">
        <v>45933</v>
      </c>
      <c r="U840" s="22" t="s">
        <v>57</v>
      </c>
      <c r="V840" s="24">
        <v>2</v>
      </c>
      <c r="W840" s="24">
        <v>4</v>
      </c>
      <c r="X840" s="24">
        <v>3</v>
      </c>
      <c r="Y840" s="24">
        <v>4</v>
      </c>
      <c r="Z840" s="20">
        <f t="shared" si="31"/>
        <v>13</v>
      </c>
    </row>
    <row r="841" spans="1:26" x14ac:dyDescent="0.2">
      <c r="A841" s="21"/>
      <c r="B841" s="51"/>
      <c r="C841" s="22"/>
      <c r="D841" s="22"/>
      <c r="E841" s="24"/>
      <c r="F841" s="22"/>
      <c r="H841" s="21">
        <v>45918</v>
      </c>
      <c r="I841" s="22" t="s">
        <v>70</v>
      </c>
      <c r="J841" s="22" t="s">
        <v>47</v>
      </c>
      <c r="K841" s="24">
        <v>1</v>
      </c>
      <c r="M841" s="21">
        <v>45936</v>
      </c>
      <c r="N841" s="22" t="s">
        <v>70</v>
      </c>
      <c r="O841" s="22" t="s">
        <v>46</v>
      </c>
      <c r="P841" s="49">
        <v>81.5</v>
      </c>
      <c r="Q841" s="49">
        <v>80.8</v>
      </c>
      <c r="R841" s="50">
        <f t="shared" si="30"/>
        <v>0.70000000000000284</v>
      </c>
      <c r="T841" s="21">
        <v>45933</v>
      </c>
      <c r="U841" s="22" t="s">
        <v>33</v>
      </c>
      <c r="V841" s="24">
        <v>3.7333333333333298</v>
      </c>
      <c r="W841" s="24">
        <v>3.8</v>
      </c>
      <c r="X841" s="24">
        <v>3.5333333333333301</v>
      </c>
      <c r="Y841" s="24">
        <v>4.3333333333333304</v>
      </c>
      <c r="Z841" s="20">
        <f t="shared" si="31"/>
        <v>15.39999999999999</v>
      </c>
    </row>
    <row r="842" spans="1:26" x14ac:dyDescent="0.2">
      <c r="A842" s="21"/>
      <c r="B842" s="51"/>
      <c r="C842" s="22"/>
      <c r="D842" s="22"/>
      <c r="E842" s="24"/>
      <c r="F842" s="22"/>
      <c r="H842" s="21">
        <v>45918</v>
      </c>
      <c r="I842" s="22" t="s">
        <v>70</v>
      </c>
      <c r="J842" s="22" t="s">
        <v>41</v>
      </c>
      <c r="K842" s="24">
        <v>1</v>
      </c>
      <c r="M842" s="21">
        <v>45936</v>
      </c>
      <c r="N842" s="22" t="s">
        <v>70</v>
      </c>
      <c r="O842" s="22" t="s">
        <v>47</v>
      </c>
      <c r="P842" s="49">
        <v>72</v>
      </c>
      <c r="Q842" s="49">
        <v>71.599999999999994</v>
      </c>
      <c r="R842" s="50">
        <f t="shared" si="30"/>
        <v>0.40000000000000568</v>
      </c>
      <c r="T842" s="21">
        <v>45934</v>
      </c>
      <c r="U842" s="22" t="s">
        <v>41</v>
      </c>
      <c r="V842" s="24">
        <v>1</v>
      </c>
      <c r="W842" s="24">
        <v>1</v>
      </c>
      <c r="X842" s="24">
        <v>1</v>
      </c>
      <c r="Y842" s="24">
        <v>1</v>
      </c>
      <c r="Z842" s="20">
        <f t="shared" si="31"/>
        <v>4</v>
      </c>
    </row>
    <row r="843" spans="1:26" x14ac:dyDescent="0.2">
      <c r="A843" s="21"/>
      <c r="B843" s="51"/>
      <c r="C843" s="22"/>
      <c r="D843" s="22"/>
      <c r="E843" s="24"/>
      <c r="F843" s="22"/>
      <c r="H843" s="21">
        <v>45918</v>
      </c>
      <c r="I843" s="22" t="s">
        <v>70</v>
      </c>
      <c r="J843" s="22" t="s">
        <v>49</v>
      </c>
      <c r="K843" s="24" t="s">
        <v>64</v>
      </c>
      <c r="M843" s="21">
        <v>45936</v>
      </c>
      <c r="N843" s="22" t="s">
        <v>70</v>
      </c>
      <c r="O843" s="22" t="s">
        <v>48</v>
      </c>
      <c r="P843" s="49">
        <v>82</v>
      </c>
      <c r="Q843" s="49">
        <v>81.7</v>
      </c>
      <c r="R843" s="50">
        <f t="shared" si="30"/>
        <v>0.29999999999999716</v>
      </c>
      <c r="T843" s="21">
        <v>45934</v>
      </c>
      <c r="U843" s="22" t="s">
        <v>42</v>
      </c>
      <c r="V843" s="24">
        <v>4</v>
      </c>
      <c r="W843" s="24">
        <v>5</v>
      </c>
      <c r="X843" s="24">
        <v>5</v>
      </c>
      <c r="Y843" s="24">
        <v>5</v>
      </c>
      <c r="Z843" s="20">
        <f t="shared" si="31"/>
        <v>19</v>
      </c>
    </row>
    <row r="844" spans="1:26" x14ac:dyDescent="0.2">
      <c r="A844" s="21"/>
      <c r="B844" s="51"/>
      <c r="C844" s="22"/>
      <c r="D844" s="22"/>
      <c r="E844" s="24"/>
      <c r="F844" s="22"/>
      <c r="H844" s="21">
        <v>45918</v>
      </c>
      <c r="I844" s="22" t="s">
        <v>70</v>
      </c>
      <c r="J844" s="22" t="s">
        <v>50</v>
      </c>
      <c r="K844" s="24" t="s">
        <v>64</v>
      </c>
      <c r="M844" s="21">
        <v>45936</v>
      </c>
      <c r="N844" s="22" t="s">
        <v>70</v>
      </c>
      <c r="O844" s="22" t="s">
        <v>49</v>
      </c>
      <c r="P844" s="49">
        <v>79.5</v>
      </c>
      <c r="Q844" s="49">
        <v>79</v>
      </c>
      <c r="R844" s="50">
        <f t="shared" si="30"/>
        <v>0.5</v>
      </c>
      <c r="T844" s="21">
        <v>45934</v>
      </c>
      <c r="U844" s="22" t="s">
        <v>44</v>
      </c>
      <c r="V844" s="24">
        <v>5</v>
      </c>
      <c r="W844" s="24">
        <v>5</v>
      </c>
      <c r="X844" s="24">
        <v>5</v>
      </c>
      <c r="Y844" s="24">
        <v>5</v>
      </c>
      <c r="Z844" s="20">
        <f t="shared" si="31"/>
        <v>20</v>
      </c>
    </row>
    <row r="845" spans="1:26" x14ac:dyDescent="0.2">
      <c r="A845" s="21"/>
      <c r="B845" s="51"/>
      <c r="C845" s="22"/>
      <c r="D845" s="22"/>
      <c r="E845" s="24"/>
      <c r="F845" s="22"/>
      <c r="H845" s="21">
        <v>45918</v>
      </c>
      <c r="I845" s="22" t="s">
        <v>70</v>
      </c>
      <c r="J845" s="22" t="s">
        <v>51</v>
      </c>
      <c r="K845" s="24">
        <v>1</v>
      </c>
      <c r="M845" s="21">
        <v>45936</v>
      </c>
      <c r="N845" s="22" t="s">
        <v>70</v>
      </c>
      <c r="O845" s="22" t="s">
        <v>50</v>
      </c>
      <c r="P845" s="49">
        <v>69.900000000000006</v>
      </c>
      <c r="Q845" s="49">
        <v>70</v>
      </c>
      <c r="R845" s="50">
        <f t="shared" si="30"/>
        <v>-9.9999999999994316E-2</v>
      </c>
      <c r="T845" s="21">
        <v>45934</v>
      </c>
      <c r="U845" s="22" t="s">
        <v>45</v>
      </c>
      <c r="V845" s="24">
        <v>5</v>
      </c>
      <c r="W845" s="24">
        <v>4</v>
      </c>
      <c r="X845" s="24">
        <v>4</v>
      </c>
      <c r="Y845" s="24">
        <v>5</v>
      </c>
      <c r="Z845" s="20">
        <f t="shared" si="31"/>
        <v>18</v>
      </c>
    </row>
    <row r="846" spans="1:26" x14ac:dyDescent="0.2">
      <c r="A846" s="21"/>
      <c r="B846" s="51"/>
      <c r="C846" s="22"/>
      <c r="D846" s="22"/>
      <c r="E846" s="24"/>
      <c r="F846" s="22"/>
      <c r="H846" s="21">
        <v>45918</v>
      </c>
      <c r="I846" s="22" t="s">
        <v>70</v>
      </c>
      <c r="J846" s="22" t="s">
        <v>46</v>
      </c>
      <c r="K846" s="24" t="s">
        <v>64</v>
      </c>
      <c r="M846" s="21">
        <v>45936</v>
      </c>
      <c r="N846" s="22" t="s">
        <v>70</v>
      </c>
      <c r="O846" s="22" t="s">
        <v>51</v>
      </c>
      <c r="P846" s="49">
        <v>75.5</v>
      </c>
      <c r="Q846" s="49">
        <v>74.8</v>
      </c>
      <c r="R846" s="50">
        <f t="shared" si="30"/>
        <v>0.70000000000000284</v>
      </c>
      <c r="T846" s="21">
        <v>45934</v>
      </c>
      <c r="U846" s="22" t="s">
        <v>46</v>
      </c>
      <c r="V846" s="24">
        <v>5</v>
      </c>
      <c r="W846" s="24">
        <v>4</v>
      </c>
      <c r="X846" s="24">
        <v>4</v>
      </c>
      <c r="Y846" s="24">
        <v>4</v>
      </c>
      <c r="Z846" s="20">
        <f t="shared" si="31"/>
        <v>17</v>
      </c>
    </row>
    <row r="847" spans="1:26" x14ac:dyDescent="0.2">
      <c r="A847" s="21"/>
      <c r="B847" s="51"/>
      <c r="C847" s="22"/>
      <c r="D847" s="22"/>
      <c r="E847" s="24"/>
      <c r="F847" s="22"/>
      <c r="H847" s="21">
        <v>45918</v>
      </c>
      <c r="I847" s="22" t="s">
        <v>70</v>
      </c>
      <c r="J847" s="22" t="s">
        <v>48</v>
      </c>
      <c r="K847" s="24">
        <v>1</v>
      </c>
      <c r="M847" s="21">
        <v>45936</v>
      </c>
      <c r="N847" s="22" t="s">
        <v>70</v>
      </c>
      <c r="O847" s="22" t="s">
        <v>52</v>
      </c>
      <c r="P847" s="49">
        <v>72.2</v>
      </c>
      <c r="Q847" s="49">
        <v>72.099999999999994</v>
      </c>
      <c r="R847" s="50">
        <f t="shared" si="30"/>
        <v>0.10000000000000853</v>
      </c>
      <c r="T847" s="21">
        <v>45934</v>
      </c>
      <c r="U847" s="22" t="s">
        <v>47</v>
      </c>
      <c r="V847" s="24">
        <v>5</v>
      </c>
      <c r="W847" s="24">
        <v>5</v>
      </c>
      <c r="X847" s="24">
        <v>5</v>
      </c>
      <c r="Y847" s="24">
        <v>5</v>
      </c>
      <c r="Z847" s="20">
        <f t="shared" si="31"/>
        <v>20</v>
      </c>
    </row>
    <row r="848" spans="1:26" x14ac:dyDescent="0.2">
      <c r="A848" s="21"/>
      <c r="B848" s="51"/>
      <c r="C848" s="22"/>
      <c r="D848" s="22"/>
      <c r="E848" s="24"/>
      <c r="F848" s="22"/>
      <c r="H848" s="21">
        <v>45919</v>
      </c>
      <c r="I848" s="22" t="s">
        <v>70</v>
      </c>
      <c r="J848" s="22" t="s">
        <v>52</v>
      </c>
      <c r="K848" s="24">
        <v>9</v>
      </c>
      <c r="M848" s="21">
        <v>45936</v>
      </c>
      <c r="N848" s="22" t="s">
        <v>70</v>
      </c>
      <c r="O848" s="22" t="s">
        <v>53</v>
      </c>
      <c r="P848" s="49">
        <v>66.8</v>
      </c>
      <c r="Q848" s="49">
        <v>66</v>
      </c>
      <c r="R848" s="50">
        <f t="shared" si="30"/>
        <v>0.79999999999999716</v>
      </c>
      <c r="T848" s="21">
        <v>45934</v>
      </c>
      <c r="U848" s="22" t="s">
        <v>48</v>
      </c>
      <c r="V848" s="24">
        <v>4</v>
      </c>
      <c r="W848" s="24">
        <v>5</v>
      </c>
      <c r="X848" s="24">
        <v>5</v>
      </c>
      <c r="Y848" s="24">
        <v>5</v>
      </c>
      <c r="Z848" s="20">
        <f t="shared" si="31"/>
        <v>19</v>
      </c>
    </row>
    <row r="849" spans="1:26" x14ac:dyDescent="0.2">
      <c r="A849" s="21"/>
      <c r="B849" s="51"/>
      <c r="C849" s="22"/>
      <c r="D849" s="22"/>
      <c r="E849" s="24"/>
      <c r="F849" s="22"/>
      <c r="H849" s="21">
        <v>45919</v>
      </c>
      <c r="I849" s="22" t="s">
        <v>70</v>
      </c>
      <c r="J849" s="22" t="s">
        <v>53</v>
      </c>
      <c r="K849" s="24">
        <v>8</v>
      </c>
      <c r="M849" s="21">
        <v>45936</v>
      </c>
      <c r="N849" s="22" t="s">
        <v>70</v>
      </c>
      <c r="O849" s="22" t="s">
        <v>56</v>
      </c>
      <c r="P849" s="49">
        <v>74.2</v>
      </c>
      <c r="Q849" s="49">
        <v>74.400000000000006</v>
      </c>
      <c r="R849" s="50">
        <f t="shared" si="30"/>
        <v>-0.20000000000000284</v>
      </c>
      <c r="T849" s="21">
        <v>45934</v>
      </c>
      <c r="U849" s="22" t="s">
        <v>49</v>
      </c>
      <c r="V849" s="24">
        <v>5</v>
      </c>
      <c r="W849" s="24">
        <v>4</v>
      </c>
      <c r="X849" s="24">
        <v>5</v>
      </c>
      <c r="Y849" s="24">
        <v>5</v>
      </c>
      <c r="Z849" s="20">
        <f t="shared" si="31"/>
        <v>19</v>
      </c>
    </row>
    <row r="850" spans="1:26" x14ac:dyDescent="0.2">
      <c r="A850" s="21"/>
      <c r="B850" s="51"/>
      <c r="C850" s="22"/>
      <c r="D850" s="22"/>
      <c r="E850" s="24"/>
      <c r="F850" s="22"/>
      <c r="H850" s="21">
        <v>45919</v>
      </c>
      <c r="I850" s="22" t="s">
        <v>70</v>
      </c>
      <c r="J850" s="22" t="s">
        <v>44</v>
      </c>
      <c r="K850" s="24">
        <v>8</v>
      </c>
      <c r="M850" s="21">
        <v>45936</v>
      </c>
      <c r="N850" s="22" t="s">
        <v>70</v>
      </c>
      <c r="O850" s="22" t="s">
        <v>57</v>
      </c>
      <c r="P850" s="49">
        <v>93.2</v>
      </c>
      <c r="Q850" s="49">
        <v>91.9</v>
      </c>
      <c r="R850" s="50">
        <f t="shared" si="30"/>
        <v>1.2999999999999972</v>
      </c>
      <c r="T850" s="21">
        <v>45934</v>
      </c>
      <c r="U850" s="22" t="s">
        <v>50</v>
      </c>
      <c r="V850" s="24">
        <v>5</v>
      </c>
      <c r="W850" s="24">
        <v>5</v>
      </c>
      <c r="X850" s="24">
        <v>5</v>
      </c>
      <c r="Y850" s="24">
        <v>5</v>
      </c>
      <c r="Z850" s="20">
        <f t="shared" si="31"/>
        <v>20</v>
      </c>
    </row>
    <row r="851" spans="1:26" x14ac:dyDescent="0.2">
      <c r="A851" s="21"/>
      <c r="B851" s="51"/>
      <c r="C851" s="22"/>
      <c r="D851" s="22"/>
      <c r="E851" s="24"/>
      <c r="F851" s="22"/>
      <c r="H851" s="21">
        <v>45919</v>
      </c>
      <c r="I851" s="22" t="s">
        <v>70</v>
      </c>
      <c r="J851" s="22" t="s">
        <v>45</v>
      </c>
      <c r="K851" s="24">
        <v>9</v>
      </c>
      <c r="M851" s="21">
        <v>45937</v>
      </c>
      <c r="N851" s="22" t="s">
        <v>70</v>
      </c>
      <c r="O851" s="22" t="s">
        <v>41</v>
      </c>
      <c r="P851" s="49">
        <v>76.8</v>
      </c>
      <c r="Q851" s="49">
        <v>76.400000000000006</v>
      </c>
      <c r="R851" s="50">
        <f t="shared" si="30"/>
        <v>0.39999999999999147</v>
      </c>
      <c r="T851" s="21">
        <v>45934</v>
      </c>
      <c r="U851" s="22" t="s">
        <v>51</v>
      </c>
      <c r="V851" s="24">
        <v>5</v>
      </c>
      <c r="W851" s="24">
        <v>5</v>
      </c>
      <c r="X851" s="24">
        <v>5</v>
      </c>
      <c r="Y851" s="24">
        <v>5</v>
      </c>
      <c r="Z851" s="20">
        <f t="shared" si="31"/>
        <v>20</v>
      </c>
    </row>
    <row r="852" spans="1:26" x14ac:dyDescent="0.2">
      <c r="A852" s="21"/>
      <c r="B852" s="51"/>
      <c r="C852" s="22"/>
      <c r="D852" s="22"/>
      <c r="E852" s="24"/>
      <c r="F852" s="22"/>
      <c r="H852" s="21">
        <v>45919</v>
      </c>
      <c r="I852" s="22" t="s">
        <v>70</v>
      </c>
      <c r="J852" s="22" t="s">
        <v>57</v>
      </c>
      <c r="K852" s="24">
        <v>9</v>
      </c>
      <c r="M852" s="21">
        <v>45937</v>
      </c>
      <c r="N852" s="22" t="s">
        <v>70</v>
      </c>
      <c r="O852" s="22" t="s">
        <v>42</v>
      </c>
      <c r="P852" s="49">
        <v>79.900000000000006</v>
      </c>
      <c r="Q852" s="49">
        <v>79.7</v>
      </c>
      <c r="R852" s="50">
        <f t="shared" si="30"/>
        <v>0.20000000000000284</v>
      </c>
      <c r="T852" s="21">
        <v>45934</v>
      </c>
      <c r="U852" s="22" t="s">
        <v>52</v>
      </c>
      <c r="V852" s="24">
        <v>4</v>
      </c>
      <c r="W852" s="24">
        <v>5</v>
      </c>
      <c r="X852" s="24">
        <v>5</v>
      </c>
      <c r="Y852" s="24">
        <v>5</v>
      </c>
      <c r="Z852" s="20">
        <f t="shared" si="31"/>
        <v>19</v>
      </c>
    </row>
    <row r="853" spans="1:26" x14ac:dyDescent="0.2">
      <c r="A853" s="21"/>
      <c r="B853" s="51"/>
      <c r="C853" s="22"/>
      <c r="D853" s="22"/>
      <c r="E853" s="24"/>
      <c r="F853" s="22"/>
      <c r="H853" s="21">
        <v>45919</v>
      </c>
      <c r="I853" s="22" t="s">
        <v>70</v>
      </c>
      <c r="J853" s="22" t="s">
        <v>42</v>
      </c>
      <c r="K853" s="24">
        <v>5</v>
      </c>
      <c r="M853" s="21">
        <v>45937</v>
      </c>
      <c r="N853" s="22" t="s">
        <v>70</v>
      </c>
      <c r="O853" s="22" t="s">
        <v>44</v>
      </c>
      <c r="P853" s="49">
        <v>67.599999999999994</v>
      </c>
      <c r="Q853" s="49">
        <v>66.900000000000006</v>
      </c>
      <c r="R853" s="50">
        <f t="shared" si="30"/>
        <v>0.69999999999998863</v>
      </c>
      <c r="T853" s="21">
        <v>45934</v>
      </c>
      <c r="U853" s="22" t="s">
        <v>53</v>
      </c>
      <c r="V853" s="24">
        <v>4</v>
      </c>
      <c r="W853" s="24">
        <v>5</v>
      </c>
      <c r="X853" s="24">
        <v>5</v>
      </c>
      <c r="Y853" s="24">
        <v>5</v>
      </c>
      <c r="Z853" s="20">
        <f t="shared" si="31"/>
        <v>19</v>
      </c>
    </row>
    <row r="854" spans="1:26" x14ac:dyDescent="0.2">
      <c r="A854" s="21"/>
      <c r="B854" s="51"/>
      <c r="C854" s="22"/>
      <c r="D854" s="22"/>
      <c r="E854" s="24"/>
      <c r="F854" s="22"/>
      <c r="H854" s="21">
        <v>45919</v>
      </c>
      <c r="I854" s="22" t="s">
        <v>70</v>
      </c>
      <c r="J854" s="22" t="s">
        <v>54</v>
      </c>
      <c r="K854" s="24">
        <v>9</v>
      </c>
      <c r="M854" s="21">
        <v>45937</v>
      </c>
      <c r="N854" s="22" t="s">
        <v>70</v>
      </c>
      <c r="O854" s="22" t="s">
        <v>45</v>
      </c>
      <c r="P854" s="49">
        <v>68.400000000000006</v>
      </c>
      <c r="Q854" s="49">
        <v>68.3</v>
      </c>
      <c r="R854" s="50">
        <f t="shared" si="30"/>
        <v>0.10000000000000853</v>
      </c>
      <c r="T854" s="21">
        <v>45934</v>
      </c>
      <c r="U854" s="22" t="s">
        <v>56</v>
      </c>
      <c r="V854" s="24">
        <v>5</v>
      </c>
      <c r="W854" s="24">
        <v>4</v>
      </c>
      <c r="X854" s="24">
        <v>4</v>
      </c>
      <c r="Y854" s="24">
        <v>5</v>
      </c>
      <c r="Z854" s="20">
        <f t="shared" si="31"/>
        <v>18</v>
      </c>
    </row>
    <row r="855" spans="1:26" x14ac:dyDescent="0.2">
      <c r="A855" s="21"/>
      <c r="B855" s="51"/>
      <c r="C855" s="22"/>
      <c r="D855" s="22"/>
      <c r="E855" s="24"/>
      <c r="F855" s="22"/>
      <c r="H855" s="21">
        <v>45919</v>
      </c>
      <c r="I855" s="22" t="s">
        <v>70</v>
      </c>
      <c r="J855" s="22" t="s">
        <v>47</v>
      </c>
      <c r="K855" s="24">
        <v>8</v>
      </c>
      <c r="M855" s="21">
        <v>45937</v>
      </c>
      <c r="N855" s="22" t="s">
        <v>70</v>
      </c>
      <c r="O855" s="22" t="s">
        <v>46</v>
      </c>
      <c r="P855" s="49">
        <v>80.5</v>
      </c>
      <c r="Q855" s="49">
        <v>80.5</v>
      </c>
      <c r="R855" s="50">
        <f t="shared" si="30"/>
        <v>0</v>
      </c>
      <c r="T855" s="21">
        <v>45934</v>
      </c>
      <c r="U855" s="22" t="s">
        <v>57</v>
      </c>
      <c r="V855" s="24">
        <v>5</v>
      </c>
      <c r="W855" s="24">
        <v>4</v>
      </c>
      <c r="X855" s="24">
        <v>4</v>
      </c>
      <c r="Y855" s="24">
        <v>5</v>
      </c>
      <c r="Z855" s="20">
        <f t="shared" si="31"/>
        <v>18</v>
      </c>
    </row>
    <row r="856" spans="1:26" x14ac:dyDescent="0.2">
      <c r="A856" s="21"/>
      <c r="B856" s="51"/>
      <c r="C856" s="22"/>
      <c r="D856" s="22"/>
      <c r="E856" s="24"/>
      <c r="F856" s="22"/>
      <c r="H856" s="21">
        <v>45919</v>
      </c>
      <c r="I856" s="22" t="s">
        <v>70</v>
      </c>
      <c r="J856" s="22" t="s">
        <v>41</v>
      </c>
      <c r="K856" s="24">
        <v>6</v>
      </c>
      <c r="M856" s="21">
        <v>45937</v>
      </c>
      <c r="N856" s="22" t="s">
        <v>70</v>
      </c>
      <c r="O856" s="22" t="s">
        <v>47</v>
      </c>
      <c r="P856" s="49">
        <v>71.8</v>
      </c>
      <c r="Q856" s="49">
        <v>71.599999999999994</v>
      </c>
      <c r="R856" s="50">
        <f t="shared" si="30"/>
        <v>0.20000000000000284</v>
      </c>
      <c r="T856" s="21">
        <v>45934</v>
      </c>
      <c r="U856" s="22" t="s">
        <v>33</v>
      </c>
      <c r="V856" s="24">
        <v>4.4285714285714297</v>
      </c>
      <c r="W856" s="24">
        <v>4.3571428571428603</v>
      </c>
      <c r="X856" s="24">
        <v>4.4285714285714297</v>
      </c>
      <c r="Y856" s="24">
        <v>4.6428571428571397</v>
      </c>
      <c r="Z856" s="20">
        <f t="shared" si="31"/>
        <v>17.857142857142858</v>
      </c>
    </row>
    <row r="857" spans="1:26" x14ac:dyDescent="0.2">
      <c r="A857" s="21"/>
      <c r="B857" s="51"/>
      <c r="C857" s="22"/>
      <c r="D857" s="22"/>
      <c r="E857" s="24"/>
      <c r="F857" s="22"/>
      <c r="H857" s="21">
        <v>45919</v>
      </c>
      <c r="I857" s="22" t="s">
        <v>70</v>
      </c>
      <c r="J857" s="22" t="s">
        <v>49</v>
      </c>
      <c r="K857" s="24" t="s">
        <v>64</v>
      </c>
      <c r="M857" s="21">
        <v>45937</v>
      </c>
      <c r="N857" s="22" t="s">
        <v>70</v>
      </c>
      <c r="O857" s="22" t="s">
        <v>48</v>
      </c>
      <c r="P857" s="49">
        <v>82.8</v>
      </c>
      <c r="Q857" s="49">
        <v>82.1</v>
      </c>
      <c r="R857" s="50">
        <f t="shared" si="30"/>
        <v>0.70000000000000284</v>
      </c>
      <c r="T857" s="21">
        <v>45936</v>
      </c>
      <c r="U857" s="22" t="s">
        <v>41</v>
      </c>
      <c r="V857" s="24">
        <v>1</v>
      </c>
      <c r="W857" s="24">
        <v>1</v>
      </c>
      <c r="X857" s="24">
        <v>1</v>
      </c>
      <c r="Y857" s="24">
        <v>1</v>
      </c>
      <c r="Z857" s="20">
        <f t="shared" si="31"/>
        <v>4</v>
      </c>
    </row>
    <row r="858" spans="1:26" x14ac:dyDescent="0.2">
      <c r="A858" s="21"/>
      <c r="B858" s="51"/>
      <c r="C858" s="22"/>
      <c r="D858" s="22"/>
      <c r="E858" s="24"/>
      <c r="F858" s="22"/>
      <c r="H858" s="21">
        <v>45919</v>
      </c>
      <c r="I858" s="22" t="s">
        <v>70</v>
      </c>
      <c r="J858" s="22" t="s">
        <v>43</v>
      </c>
      <c r="K858" s="24">
        <v>6</v>
      </c>
      <c r="M858" s="21">
        <v>45937</v>
      </c>
      <c r="N858" s="22" t="s">
        <v>70</v>
      </c>
      <c r="O858" s="22" t="s">
        <v>49</v>
      </c>
      <c r="P858" s="49">
        <v>79.099999999999994</v>
      </c>
      <c r="Q858" s="49">
        <v>79</v>
      </c>
      <c r="R858" s="50">
        <f t="shared" si="30"/>
        <v>9.9999999999994316E-2</v>
      </c>
      <c r="T858" s="21">
        <v>45936</v>
      </c>
      <c r="U858" s="22" t="s">
        <v>42</v>
      </c>
      <c r="V858" s="24">
        <v>4</v>
      </c>
      <c r="W858" s="24">
        <v>4</v>
      </c>
      <c r="X858" s="24">
        <v>4</v>
      </c>
      <c r="Y858" s="24">
        <v>5</v>
      </c>
      <c r="Z858" s="20">
        <f t="shared" si="31"/>
        <v>17</v>
      </c>
    </row>
    <row r="859" spans="1:26" x14ac:dyDescent="0.2">
      <c r="A859" s="21"/>
      <c r="B859" s="51"/>
      <c r="C859" s="22"/>
      <c r="D859" s="22"/>
      <c r="E859" s="24"/>
      <c r="F859" s="22"/>
      <c r="H859" s="21">
        <v>45919</v>
      </c>
      <c r="I859" s="22" t="s">
        <v>70</v>
      </c>
      <c r="J859" s="22" t="s">
        <v>50</v>
      </c>
      <c r="K859" s="24" t="s">
        <v>64</v>
      </c>
      <c r="M859" s="21">
        <v>45937</v>
      </c>
      <c r="N859" s="22" t="s">
        <v>70</v>
      </c>
      <c r="O859" s="22" t="s">
        <v>50</v>
      </c>
      <c r="P859" s="49">
        <v>70.599999999999994</v>
      </c>
      <c r="Q859" s="49">
        <v>69.7</v>
      </c>
      <c r="R859" s="50">
        <f t="shared" si="30"/>
        <v>0.89999999999999147</v>
      </c>
      <c r="T859" s="21">
        <v>45936</v>
      </c>
      <c r="U859" s="22" t="s">
        <v>44</v>
      </c>
      <c r="V859" s="24">
        <v>5</v>
      </c>
      <c r="W859" s="24">
        <v>4</v>
      </c>
      <c r="X859" s="24">
        <v>4</v>
      </c>
      <c r="Y859" s="24">
        <v>5</v>
      </c>
      <c r="Z859" s="20">
        <f t="shared" si="31"/>
        <v>18</v>
      </c>
    </row>
    <row r="860" spans="1:26" x14ac:dyDescent="0.2">
      <c r="A860" s="21"/>
      <c r="B860" s="51"/>
      <c r="C860" s="22"/>
      <c r="D860" s="22"/>
      <c r="E860" s="24"/>
      <c r="F860" s="22"/>
      <c r="H860" s="21">
        <v>45919</v>
      </c>
      <c r="I860" s="22" t="s">
        <v>70</v>
      </c>
      <c r="J860" s="22" t="s">
        <v>51</v>
      </c>
      <c r="K860" s="24">
        <v>9</v>
      </c>
      <c r="M860" s="21">
        <v>45937</v>
      </c>
      <c r="N860" s="22" t="s">
        <v>70</v>
      </c>
      <c r="O860" s="22" t="s">
        <v>51</v>
      </c>
      <c r="P860" s="49">
        <v>75.5</v>
      </c>
      <c r="Q860" s="49">
        <v>74.8</v>
      </c>
      <c r="R860" s="50">
        <f t="shared" si="30"/>
        <v>0.70000000000000284</v>
      </c>
      <c r="T860" s="21">
        <v>45936</v>
      </c>
      <c r="U860" s="22" t="s">
        <v>45</v>
      </c>
      <c r="V860" s="24">
        <v>5</v>
      </c>
      <c r="W860" s="24">
        <v>5</v>
      </c>
      <c r="X860" s="24">
        <v>4</v>
      </c>
      <c r="Y860" s="24">
        <v>5</v>
      </c>
      <c r="Z860" s="20">
        <f t="shared" si="31"/>
        <v>19</v>
      </c>
    </row>
    <row r="861" spans="1:26" x14ac:dyDescent="0.2">
      <c r="A861" s="21"/>
      <c r="B861" s="51"/>
      <c r="C861" s="22"/>
      <c r="D861" s="22"/>
      <c r="E861" s="24"/>
      <c r="F861" s="22"/>
      <c r="H861" s="21">
        <v>45919</v>
      </c>
      <c r="I861" s="22" t="s">
        <v>70</v>
      </c>
      <c r="J861" s="22" t="s">
        <v>46</v>
      </c>
      <c r="K861" s="24" t="s">
        <v>64</v>
      </c>
      <c r="M861" s="21">
        <v>45937</v>
      </c>
      <c r="N861" s="22" t="s">
        <v>70</v>
      </c>
      <c r="O861" s="22" t="s">
        <v>52</v>
      </c>
      <c r="P861" s="49">
        <v>71.599999999999994</v>
      </c>
      <c r="Q861" s="49">
        <v>71.5</v>
      </c>
      <c r="R861" s="50">
        <f t="shared" si="30"/>
        <v>9.9999999999994316E-2</v>
      </c>
      <c r="T861" s="21">
        <v>45936</v>
      </c>
      <c r="U861" s="22" t="s">
        <v>46</v>
      </c>
      <c r="V861" s="24">
        <v>5</v>
      </c>
      <c r="W861" s="24">
        <v>4</v>
      </c>
      <c r="X861" s="24">
        <v>4</v>
      </c>
      <c r="Y861" s="24">
        <v>4</v>
      </c>
      <c r="Z861" s="20">
        <f t="shared" si="31"/>
        <v>17</v>
      </c>
    </row>
    <row r="862" spans="1:26" x14ac:dyDescent="0.2">
      <c r="A862" s="21"/>
      <c r="B862" s="51"/>
      <c r="C862" s="22"/>
      <c r="D862" s="22"/>
      <c r="E862" s="24"/>
      <c r="F862" s="22"/>
      <c r="H862" s="21">
        <v>45919</v>
      </c>
      <c r="I862" s="22" t="s">
        <v>70</v>
      </c>
      <c r="J862" s="22" t="s">
        <v>48</v>
      </c>
      <c r="K862" s="24">
        <v>10</v>
      </c>
      <c r="M862" s="21">
        <v>45937</v>
      </c>
      <c r="N862" s="22" t="s">
        <v>70</v>
      </c>
      <c r="O862" s="22" t="s">
        <v>53</v>
      </c>
      <c r="P862" s="49">
        <v>67</v>
      </c>
      <c r="Q862" s="49">
        <v>66.400000000000006</v>
      </c>
      <c r="R862" s="50">
        <f t="shared" si="30"/>
        <v>0.59999999999999432</v>
      </c>
      <c r="T862" s="21">
        <v>45936</v>
      </c>
      <c r="U862" s="22" t="s">
        <v>47</v>
      </c>
      <c r="V862" s="24">
        <v>3</v>
      </c>
      <c r="W862" s="24">
        <v>4</v>
      </c>
      <c r="X862" s="24">
        <v>4</v>
      </c>
      <c r="Y862" s="24">
        <v>4</v>
      </c>
      <c r="Z862" s="20">
        <f t="shared" si="31"/>
        <v>15</v>
      </c>
    </row>
    <row r="863" spans="1:26" x14ac:dyDescent="0.2">
      <c r="A863" s="21"/>
      <c r="B863" s="51"/>
      <c r="C863" s="22"/>
      <c r="D863" s="22"/>
      <c r="E863" s="24"/>
      <c r="F863" s="22"/>
      <c r="H863" s="21">
        <v>45919</v>
      </c>
      <c r="I863" s="22" t="s">
        <v>70</v>
      </c>
      <c r="J863" s="22" t="s">
        <v>56</v>
      </c>
      <c r="K863" s="24">
        <v>9</v>
      </c>
      <c r="M863" s="21">
        <v>45937</v>
      </c>
      <c r="N863" s="22" t="s">
        <v>70</v>
      </c>
      <c r="O863" s="22" t="s">
        <v>56</v>
      </c>
      <c r="P863" s="49">
        <v>75</v>
      </c>
      <c r="Q863" s="49">
        <v>74.8</v>
      </c>
      <c r="R863" s="50">
        <f t="shared" si="30"/>
        <v>0.20000000000000284</v>
      </c>
      <c r="T863" s="21">
        <v>45936</v>
      </c>
      <c r="U863" s="22" t="s">
        <v>48</v>
      </c>
      <c r="V863" s="24">
        <v>5</v>
      </c>
      <c r="W863" s="24">
        <v>4</v>
      </c>
      <c r="X863" s="24">
        <v>5</v>
      </c>
      <c r="Y863" s="24">
        <v>5</v>
      </c>
      <c r="Z863" s="20">
        <f t="shared" si="31"/>
        <v>19</v>
      </c>
    </row>
    <row r="864" spans="1:26" x14ac:dyDescent="0.2">
      <c r="A864" s="21"/>
      <c r="B864" s="51"/>
      <c r="C864" s="22"/>
      <c r="D864" s="22"/>
      <c r="E864" s="24"/>
      <c r="F864" s="22"/>
      <c r="H864" s="21">
        <v>45919</v>
      </c>
      <c r="I864" s="22" t="s">
        <v>70</v>
      </c>
      <c r="J864" s="22" t="s">
        <v>55</v>
      </c>
      <c r="K864" s="24">
        <v>8</v>
      </c>
      <c r="M864" s="21">
        <v>45937</v>
      </c>
      <c r="N864" s="22" t="s">
        <v>70</v>
      </c>
      <c r="O864" s="22" t="s">
        <v>57</v>
      </c>
      <c r="P864" s="49">
        <v>92.7</v>
      </c>
      <c r="Q864" s="49">
        <v>92.6</v>
      </c>
      <c r="R864" s="50">
        <f t="shared" si="30"/>
        <v>0.10000000000000853</v>
      </c>
      <c r="T864" s="21">
        <v>45936</v>
      </c>
      <c r="U864" s="22" t="s">
        <v>49</v>
      </c>
      <c r="V864" s="24">
        <v>4</v>
      </c>
      <c r="W864" s="24">
        <v>4</v>
      </c>
      <c r="X864" s="24">
        <v>3</v>
      </c>
      <c r="Y864" s="24">
        <v>4</v>
      </c>
      <c r="Z864" s="20">
        <f t="shared" si="31"/>
        <v>15</v>
      </c>
    </row>
    <row r="865" spans="1:26" x14ac:dyDescent="0.2">
      <c r="A865" s="21"/>
      <c r="B865" s="51"/>
      <c r="C865" s="22"/>
      <c r="D865" s="22"/>
      <c r="E865" s="24"/>
      <c r="F865" s="22"/>
      <c r="H865" s="21">
        <v>45919</v>
      </c>
      <c r="I865" s="22" t="s">
        <v>71</v>
      </c>
      <c r="J865" s="22" t="s">
        <v>52</v>
      </c>
      <c r="K865" s="24">
        <v>8</v>
      </c>
      <c r="M865" s="21">
        <v>45940</v>
      </c>
      <c r="N865" s="22" t="s">
        <v>70</v>
      </c>
      <c r="O865" s="22" t="s">
        <v>41</v>
      </c>
      <c r="P865" s="49">
        <v>77</v>
      </c>
      <c r="Q865" s="49">
        <v>76</v>
      </c>
      <c r="R865" s="50">
        <f t="shared" si="30"/>
        <v>1</v>
      </c>
      <c r="T865" s="21">
        <v>45936</v>
      </c>
      <c r="U865" s="22" t="s">
        <v>50</v>
      </c>
      <c r="V865" s="24">
        <v>3</v>
      </c>
      <c r="W865" s="24">
        <v>3</v>
      </c>
      <c r="X865" s="24">
        <v>3</v>
      </c>
      <c r="Y865" s="24">
        <v>5</v>
      </c>
      <c r="Z865" s="20">
        <f t="shared" si="31"/>
        <v>14</v>
      </c>
    </row>
    <row r="866" spans="1:26" x14ac:dyDescent="0.2">
      <c r="A866" s="21"/>
      <c r="B866" s="51"/>
      <c r="C866" s="22"/>
      <c r="D866" s="22"/>
      <c r="E866" s="24"/>
      <c r="F866" s="22"/>
      <c r="H866" s="21">
        <v>45919</v>
      </c>
      <c r="I866" s="22" t="s">
        <v>71</v>
      </c>
      <c r="J866" s="22" t="s">
        <v>53</v>
      </c>
      <c r="K866" s="24">
        <v>8</v>
      </c>
      <c r="M866" s="21">
        <v>45940</v>
      </c>
      <c r="N866" s="22" t="s">
        <v>70</v>
      </c>
      <c r="O866" s="22" t="s">
        <v>42</v>
      </c>
      <c r="P866" s="49">
        <v>79.8</v>
      </c>
      <c r="Q866" s="49">
        <v>79.5</v>
      </c>
      <c r="R866" s="50">
        <f t="shared" si="30"/>
        <v>0.29999999999999716</v>
      </c>
      <c r="T866" s="21">
        <v>45936</v>
      </c>
      <c r="U866" s="22" t="s">
        <v>51</v>
      </c>
      <c r="V866" s="24">
        <v>3</v>
      </c>
      <c r="W866" s="24">
        <v>3</v>
      </c>
      <c r="X866" s="24">
        <v>4</v>
      </c>
      <c r="Y866" s="24">
        <v>4</v>
      </c>
      <c r="Z866" s="20">
        <f t="shared" si="31"/>
        <v>14</v>
      </c>
    </row>
    <row r="867" spans="1:26" x14ac:dyDescent="0.2">
      <c r="A867" s="21"/>
      <c r="B867" s="51"/>
      <c r="C867" s="22"/>
      <c r="D867" s="22"/>
      <c r="E867" s="24"/>
      <c r="F867" s="22"/>
      <c r="H867" s="21">
        <v>45919</v>
      </c>
      <c r="I867" s="22" t="s">
        <v>71</v>
      </c>
      <c r="J867" s="22" t="s">
        <v>44</v>
      </c>
      <c r="K867" s="24">
        <v>9</v>
      </c>
      <c r="M867" s="21">
        <v>45940</v>
      </c>
      <c r="N867" s="22" t="s">
        <v>70</v>
      </c>
      <c r="O867" s="22" t="s">
        <v>44</v>
      </c>
      <c r="P867" s="49">
        <v>67.400000000000006</v>
      </c>
      <c r="Q867" s="49">
        <v>65.8</v>
      </c>
      <c r="R867" s="50">
        <f t="shared" si="30"/>
        <v>1.6000000000000085</v>
      </c>
      <c r="T867" s="21">
        <v>45936</v>
      </c>
      <c r="U867" s="22" t="s">
        <v>52</v>
      </c>
      <c r="V867" s="24">
        <v>4</v>
      </c>
      <c r="W867" s="24">
        <v>5</v>
      </c>
      <c r="X867" s="24">
        <v>4</v>
      </c>
      <c r="Y867" s="24">
        <v>3</v>
      </c>
      <c r="Z867" s="20">
        <f t="shared" si="31"/>
        <v>16</v>
      </c>
    </row>
    <row r="868" spans="1:26" x14ac:dyDescent="0.2">
      <c r="A868" s="21"/>
      <c r="B868" s="51"/>
      <c r="C868" s="22"/>
      <c r="D868" s="22"/>
      <c r="E868" s="24"/>
      <c r="F868" s="22"/>
      <c r="H868" s="21">
        <v>45919</v>
      </c>
      <c r="I868" s="22" t="s">
        <v>71</v>
      </c>
      <c r="J868" s="22" t="s">
        <v>45</v>
      </c>
      <c r="K868" s="24">
        <v>7</v>
      </c>
      <c r="M868" s="21">
        <v>45940</v>
      </c>
      <c r="N868" s="22" t="s">
        <v>70</v>
      </c>
      <c r="O868" s="22" t="s">
        <v>45</v>
      </c>
      <c r="P868" s="49">
        <v>69.099999999999994</v>
      </c>
      <c r="Q868" s="49">
        <v>68.5</v>
      </c>
      <c r="R868" s="50">
        <f t="shared" si="30"/>
        <v>0.59999999999999432</v>
      </c>
      <c r="T868" s="21">
        <v>45936</v>
      </c>
      <c r="U868" s="22" t="s">
        <v>53</v>
      </c>
      <c r="V868" s="24">
        <v>4</v>
      </c>
      <c r="W868" s="24">
        <v>4</v>
      </c>
      <c r="X868" s="24">
        <v>4</v>
      </c>
      <c r="Y868" s="24">
        <v>4</v>
      </c>
      <c r="Z868" s="20">
        <f t="shared" si="31"/>
        <v>16</v>
      </c>
    </row>
    <row r="869" spans="1:26" x14ac:dyDescent="0.2">
      <c r="A869" s="21"/>
      <c r="B869" s="51"/>
      <c r="C869" s="22"/>
      <c r="D869" s="22"/>
      <c r="E869" s="24"/>
      <c r="F869" s="22"/>
      <c r="H869" s="21">
        <v>45919</v>
      </c>
      <c r="I869" s="22" t="s">
        <v>71</v>
      </c>
      <c r="J869" s="22" t="s">
        <v>42</v>
      </c>
      <c r="K869" s="24">
        <v>6</v>
      </c>
      <c r="M869" s="21">
        <v>45940</v>
      </c>
      <c r="N869" s="22" t="s">
        <v>70</v>
      </c>
      <c r="O869" s="22" t="s">
        <v>46</v>
      </c>
      <c r="P869" s="49">
        <v>79.900000000000006</v>
      </c>
      <c r="Q869" s="49">
        <v>79.5</v>
      </c>
      <c r="R869" s="50">
        <f t="shared" si="30"/>
        <v>0.40000000000000568</v>
      </c>
      <c r="T869" s="21">
        <v>45936</v>
      </c>
      <c r="U869" s="22" t="s">
        <v>54</v>
      </c>
      <c r="V869" s="24">
        <v>4</v>
      </c>
      <c r="W869" s="24">
        <v>4</v>
      </c>
      <c r="X869" s="24">
        <v>1</v>
      </c>
      <c r="Y869" s="24">
        <v>3</v>
      </c>
      <c r="Z869" s="20">
        <f t="shared" si="31"/>
        <v>12</v>
      </c>
    </row>
    <row r="870" spans="1:26" x14ac:dyDescent="0.2">
      <c r="A870" s="21"/>
      <c r="B870" s="51"/>
      <c r="C870" s="22"/>
      <c r="D870" s="22"/>
      <c r="E870" s="24"/>
      <c r="F870" s="22"/>
      <c r="H870" s="21">
        <v>45919</v>
      </c>
      <c r="I870" s="22" t="s">
        <v>71</v>
      </c>
      <c r="J870" s="22" t="s">
        <v>47</v>
      </c>
      <c r="K870" s="24">
        <v>9</v>
      </c>
      <c r="M870" s="21">
        <v>45940</v>
      </c>
      <c r="N870" s="22" t="s">
        <v>70</v>
      </c>
      <c r="O870" s="22" t="s">
        <v>47</v>
      </c>
      <c r="P870" s="49">
        <v>72</v>
      </c>
      <c r="Q870" s="49">
        <v>71.7</v>
      </c>
      <c r="R870" s="50">
        <f t="shared" si="30"/>
        <v>0.29999999999999716</v>
      </c>
      <c r="T870" s="21">
        <v>45936</v>
      </c>
      <c r="U870" s="22" t="s">
        <v>56</v>
      </c>
      <c r="V870" s="24">
        <v>4</v>
      </c>
      <c r="W870" s="24">
        <v>4</v>
      </c>
      <c r="X870" s="24">
        <v>4</v>
      </c>
      <c r="Y870" s="24">
        <v>5</v>
      </c>
      <c r="Z870" s="20">
        <f t="shared" si="31"/>
        <v>17</v>
      </c>
    </row>
    <row r="871" spans="1:26" x14ac:dyDescent="0.2">
      <c r="A871" s="21"/>
      <c r="B871" s="51"/>
      <c r="C871" s="22"/>
      <c r="D871" s="22"/>
      <c r="E871" s="24"/>
      <c r="F871" s="22"/>
      <c r="H871" s="21">
        <v>45919</v>
      </c>
      <c r="I871" s="22" t="s">
        <v>71</v>
      </c>
      <c r="J871" s="22" t="s">
        <v>41</v>
      </c>
      <c r="K871" s="24">
        <v>7</v>
      </c>
      <c r="M871" s="21">
        <v>45940</v>
      </c>
      <c r="N871" s="22" t="s">
        <v>70</v>
      </c>
      <c r="O871" s="22" t="s">
        <v>48</v>
      </c>
      <c r="P871" s="49">
        <v>83.8</v>
      </c>
      <c r="Q871" s="49">
        <v>82.7</v>
      </c>
      <c r="R871" s="50">
        <f t="shared" si="30"/>
        <v>1.0999999999999943</v>
      </c>
      <c r="T871" s="21">
        <v>45936</v>
      </c>
      <c r="U871" s="22" t="s">
        <v>57</v>
      </c>
      <c r="V871" s="24">
        <v>3</v>
      </c>
      <c r="W871" s="24">
        <v>4</v>
      </c>
      <c r="X871" s="24">
        <v>4</v>
      </c>
      <c r="Y871" s="24">
        <v>5</v>
      </c>
      <c r="Z871" s="20">
        <f t="shared" si="31"/>
        <v>16</v>
      </c>
    </row>
    <row r="872" spans="1:26" x14ac:dyDescent="0.2">
      <c r="A872" s="21"/>
      <c r="B872" s="51"/>
      <c r="C872" s="22"/>
      <c r="D872" s="22"/>
      <c r="E872" s="24"/>
      <c r="F872" s="22"/>
      <c r="H872" s="21">
        <v>45919</v>
      </c>
      <c r="I872" s="22" t="s">
        <v>71</v>
      </c>
      <c r="J872" s="22" t="s">
        <v>49</v>
      </c>
      <c r="K872" s="24" t="s">
        <v>64</v>
      </c>
      <c r="M872" s="21">
        <v>45940</v>
      </c>
      <c r="N872" s="22" t="s">
        <v>70</v>
      </c>
      <c r="O872" s="22" t="s">
        <v>49</v>
      </c>
      <c r="P872" s="49">
        <v>79.3</v>
      </c>
      <c r="Q872" s="49">
        <v>79.2</v>
      </c>
      <c r="R872" s="50">
        <f t="shared" si="30"/>
        <v>9.9999999999994316E-2</v>
      </c>
      <c r="T872" s="21">
        <v>45936</v>
      </c>
      <c r="U872" s="22" t="s">
        <v>33</v>
      </c>
      <c r="V872" s="24">
        <v>3.8</v>
      </c>
      <c r="W872" s="24">
        <v>3.8</v>
      </c>
      <c r="X872" s="24">
        <v>3.5333333333333301</v>
      </c>
      <c r="Y872" s="24">
        <v>4.1333333333333302</v>
      </c>
      <c r="Z872" s="20">
        <f t="shared" si="31"/>
        <v>15.266666666666659</v>
      </c>
    </row>
    <row r="873" spans="1:26" x14ac:dyDescent="0.2">
      <c r="A873" s="21"/>
      <c r="B873" s="51"/>
      <c r="C873" s="22"/>
      <c r="D873" s="22"/>
      <c r="E873" s="24"/>
      <c r="F873" s="22"/>
      <c r="H873" s="21">
        <v>45919</v>
      </c>
      <c r="I873" s="22" t="s">
        <v>71</v>
      </c>
      <c r="J873" s="22" t="s">
        <v>50</v>
      </c>
      <c r="K873" s="24" t="s">
        <v>64</v>
      </c>
      <c r="M873" s="21">
        <v>45940</v>
      </c>
      <c r="N873" s="22" t="s">
        <v>70</v>
      </c>
      <c r="O873" s="22" t="s">
        <v>50</v>
      </c>
      <c r="P873" s="49">
        <v>69.7</v>
      </c>
      <c r="Q873" s="49">
        <v>69.400000000000006</v>
      </c>
      <c r="R873" s="50">
        <f t="shared" si="30"/>
        <v>0.29999999999999716</v>
      </c>
      <c r="T873" s="21">
        <v>45937</v>
      </c>
      <c r="U873" s="22" t="s">
        <v>41</v>
      </c>
      <c r="V873" s="24">
        <v>1</v>
      </c>
      <c r="W873" s="24">
        <v>1</v>
      </c>
      <c r="X873" s="24">
        <v>1</v>
      </c>
      <c r="Y873" s="24">
        <v>1</v>
      </c>
      <c r="Z873" s="20">
        <f t="shared" si="31"/>
        <v>4</v>
      </c>
    </row>
    <row r="874" spans="1:26" x14ac:dyDescent="0.2">
      <c r="A874" s="21"/>
      <c r="B874" s="51"/>
      <c r="C874" s="22"/>
      <c r="D874" s="22"/>
      <c r="E874" s="24"/>
      <c r="F874" s="22"/>
      <c r="H874" s="21">
        <v>45919</v>
      </c>
      <c r="I874" s="22" t="s">
        <v>71</v>
      </c>
      <c r="J874" s="22" t="s">
        <v>51</v>
      </c>
      <c r="K874" s="24">
        <v>9</v>
      </c>
      <c r="M874" s="21">
        <v>45940</v>
      </c>
      <c r="N874" s="22" t="s">
        <v>70</v>
      </c>
      <c r="O874" s="22" t="s">
        <v>51</v>
      </c>
      <c r="P874" s="49">
        <v>75.5</v>
      </c>
      <c r="Q874" s="49">
        <v>75.099999999999994</v>
      </c>
      <c r="R874" s="50">
        <f t="shared" si="30"/>
        <v>0.40000000000000568</v>
      </c>
      <c r="T874" s="21">
        <v>45937</v>
      </c>
      <c r="U874" s="22" t="s">
        <v>42</v>
      </c>
      <c r="V874" s="24">
        <v>4</v>
      </c>
      <c r="W874" s="24">
        <v>4</v>
      </c>
      <c r="X874" s="24">
        <v>4</v>
      </c>
      <c r="Y874" s="24">
        <v>5</v>
      </c>
      <c r="Z874" s="20">
        <f t="shared" si="31"/>
        <v>17</v>
      </c>
    </row>
    <row r="875" spans="1:26" x14ac:dyDescent="0.2">
      <c r="A875" s="21"/>
      <c r="B875" s="51"/>
      <c r="C875" s="22"/>
      <c r="D875" s="22"/>
      <c r="E875" s="24"/>
      <c r="F875" s="22"/>
      <c r="H875" s="21">
        <v>45919</v>
      </c>
      <c r="I875" s="22" t="s">
        <v>71</v>
      </c>
      <c r="J875" s="22" t="s">
        <v>46</v>
      </c>
      <c r="K875" s="24" t="s">
        <v>64</v>
      </c>
      <c r="M875" s="21">
        <v>45940</v>
      </c>
      <c r="N875" s="22" t="s">
        <v>70</v>
      </c>
      <c r="O875" s="22" t="s">
        <v>52</v>
      </c>
      <c r="P875" s="49">
        <v>71.3</v>
      </c>
      <c r="Q875" s="49">
        <v>71.2</v>
      </c>
      <c r="R875" s="50">
        <f t="shared" si="30"/>
        <v>9.9999999999994316E-2</v>
      </c>
      <c r="T875" s="21">
        <v>45937</v>
      </c>
      <c r="U875" s="22" t="s">
        <v>44</v>
      </c>
      <c r="V875" s="24">
        <v>5</v>
      </c>
      <c r="W875" s="24">
        <v>4</v>
      </c>
      <c r="X875" s="24">
        <v>4</v>
      </c>
      <c r="Y875" s="24">
        <v>5</v>
      </c>
      <c r="Z875" s="20">
        <f t="shared" si="31"/>
        <v>18</v>
      </c>
    </row>
    <row r="876" spans="1:26" x14ac:dyDescent="0.2">
      <c r="A876" s="21"/>
      <c r="B876" s="51"/>
      <c r="C876" s="22"/>
      <c r="D876" s="22"/>
      <c r="E876" s="24"/>
      <c r="F876" s="22"/>
      <c r="H876" s="21">
        <v>45919</v>
      </c>
      <c r="I876" s="22" t="s">
        <v>71</v>
      </c>
      <c r="J876" s="22" t="s">
        <v>48</v>
      </c>
      <c r="K876" s="24">
        <v>10</v>
      </c>
      <c r="M876" s="21">
        <v>45940</v>
      </c>
      <c r="N876" s="22" t="s">
        <v>70</v>
      </c>
      <c r="O876" s="22" t="s">
        <v>53</v>
      </c>
      <c r="P876" s="49">
        <v>66.599999999999994</v>
      </c>
      <c r="Q876" s="49">
        <v>66.3</v>
      </c>
      <c r="R876" s="50">
        <f t="shared" si="30"/>
        <v>0.29999999999999716</v>
      </c>
      <c r="T876" s="21">
        <v>45937</v>
      </c>
      <c r="U876" s="22" t="s">
        <v>45</v>
      </c>
      <c r="V876" s="24">
        <v>4</v>
      </c>
      <c r="W876" s="24">
        <v>4</v>
      </c>
      <c r="X876" s="24">
        <v>4</v>
      </c>
      <c r="Y876" s="24">
        <v>5</v>
      </c>
      <c r="Z876" s="20">
        <f t="shared" si="31"/>
        <v>17</v>
      </c>
    </row>
    <row r="877" spans="1:26" x14ac:dyDescent="0.2">
      <c r="A877" s="21"/>
      <c r="B877" s="51"/>
      <c r="C877" s="22"/>
      <c r="D877" s="22"/>
      <c r="E877" s="24"/>
      <c r="F877" s="22"/>
      <c r="H877" s="21">
        <v>45922</v>
      </c>
      <c r="I877" s="22" t="s">
        <v>70</v>
      </c>
      <c r="J877" s="22" t="s">
        <v>52</v>
      </c>
      <c r="K877" s="24">
        <v>6</v>
      </c>
      <c r="M877" s="21">
        <v>45940</v>
      </c>
      <c r="N877" s="22" t="s">
        <v>70</v>
      </c>
      <c r="O877" s="22" t="s">
        <v>56</v>
      </c>
      <c r="P877" s="49">
        <v>74.599999999999994</v>
      </c>
      <c r="Q877" s="49">
        <v>74.400000000000006</v>
      </c>
      <c r="R877" s="50">
        <f t="shared" si="30"/>
        <v>0.19999999999998863</v>
      </c>
      <c r="T877" s="21">
        <v>45937</v>
      </c>
      <c r="U877" s="22" t="s">
        <v>46</v>
      </c>
      <c r="V877" s="24">
        <v>5</v>
      </c>
      <c r="W877" s="24">
        <v>4</v>
      </c>
      <c r="X877" s="24">
        <v>4</v>
      </c>
      <c r="Y877" s="24">
        <v>4</v>
      </c>
      <c r="Z877" s="20">
        <f t="shared" si="31"/>
        <v>17</v>
      </c>
    </row>
    <row r="878" spans="1:26" x14ac:dyDescent="0.2">
      <c r="A878" s="21"/>
      <c r="B878" s="51"/>
      <c r="C878" s="22"/>
      <c r="D878" s="22"/>
      <c r="E878" s="24"/>
      <c r="F878" s="22"/>
      <c r="H878" s="21">
        <v>45922</v>
      </c>
      <c r="I878" s="22" t="s">
        <v>70</v>
      </c>
      <c r="J878" s="22" t="s">
        <v>53</v>
      </c>
      <c r="K878" s="24">
        <v>6</v>
      </c>
      <c r="M878" s="21">
        <v>45940</v>
      </c>
      <c r="N878" s="22" t="s">
        <v>70</v>
      </c>
      <c r="O878" s="22" t="s">
        <v>57</v>
      </c>
      <c r="P878" s="49">
        <v>93.1</v>
      </c>
      <c r="Q878" s="49">
        <v>92.6</v>
      </c>
      <c r="R878" s="50">
        <f t="shared" si="30"/>
        <v>0.5</v>
      </c>
      <c r="T878" s="21">
        <v>45937</v>
      </c>
      <c r="U878" s="22" t="s">
        <v>47</v>
      </c>
      <c r="V878" s="24">
        <v>4</v>
      </c>
      <c r="W878" s="24">
        <v>4</v>
      </c>
      <c r="X878" s="24">
        <v>4</v>
      </c>
      <c r="Y878" s="24">
        <v>5</v>
      </c>
      <c r="Z878" s="20">
        <f t="shared" si="31"/>
        <v>17</v>
      </c>
    </row>
    <row r="879" spans="1:26" x14ac:dyDescent="0.2">
      <c r="A879" s="21"/>
      <c r="B879" s="51"/>
      <c r="C879" s="22"/>
      <c r="D879" s="22"/>
      <c r="E879" s="24"/>
      <c r="F879" s="22"/>
      <c r="H879" s="21">
        <v>45922</v>
      </c>
      <c r="I879" s="22" t="s">
        <v>70</v>
      </c>
      <c r="J879" s="22" t="s">
        <v>44</v>
      </c>
      <c r="K879" s="24">
        <v>6</v>
      </c>
      <c r="M879" s="21">
        <v>45941</v>
      </c>
      <c r="N879" s="22" t="s">
        <v>70</v>
      </c>
      <c r="O879" s="22" t="s">
        <v>41</v>
      </c>
      <c r="P879" s="49">
        <v>77</v>
      </c>
      <c r="Q879" s="49">
        <v>76.8</v>
      </c>
      <c r="R879" s="50">
        <f t="shared" si="30"/>
        <v>0.20000000000000284</v>
      </c>
      <c r="T879" s="21">
        <v>45937</v>
      </c>
      <c r="U879" s="22" t="s">
        <v>48</v>
      </c>
      <c r="V879" s="24">
        <v>3</v>
      </c>
      <c r="W879" s="24">
        <v>4</v>
      </c>
      <c r="X879" s="24">
        <v>5</v>
      </c>
      <c r="Y879" s="24">
        <v>5</v>
      </c>
      <c r="Z879" s="20">
        <f t="shared" si="31"/>
        <v>17</v>
      </c>
    </row>
    <row r="880" spans="1:26" x14ac:dyDescent="0.2">
      <c r="A880" s="21"/>
      <c r="B880" s="51"/>
      <c r="C880" s="22"/>
      <c r="D880" s="22"/>
      <c r="E880" s="24"/>
      <c r="F880" s="22"/>
      <c r="H880" s="21">
        <v>45922</v>
      </c>
      <c r="I880" s="22" t="s">
        <v>70</v>
      </c>
      <c r="J880" s="22" t="s">
        <v>45</v>
      </c>
      <c r="K880" s="24">
        <v>6</v>
      </c>
      <c r="M880" s="21">
        <v>45941</v>
      </c>
      <c r="N880" s="22" t="s">
        <v>70</v>
      </c>
      <c r="O880" s="22" t="s">
        <v>42</v>
      </c>
      <c r="P880" s="49">
        <v>79.8</v>
      </c>
      <c r="Q880" s="49">
        <v>79.5</v>
      </c>
      <c r="R880" s="50">
        <f t="shared" si="30"/>
        <v>0.29999999999999716</v>
      </c>
      <c r="T880" s="21">
        <v>45937</v>
      </c>
      <c r="U880" s="22" t="s">
        <v>49</v>
      </c>
      <c r="V880" s="24">
        <v>4</v>
      </c>
      <c r="W880" s="24">
        <v>4</v>
      </c>
      <c r="X880" s="24">
        <v>4</v>
      </c>
      <c r="Y880" s="24">
        <v>4</v>
      </c>
      <c r="Z880" s="20">
        <f t="shared" si="31"/>
        <v>16</v>
      </c>
    </row>
    <row r="881" spans="1:26" x14ac:dyDescent="0.2">
      <c r="A881" s="21"/>
      <c r="B881" s="51"/>
      <c r="C881" s="22"/>
      <c r="D881" s="22"/>
      <c r="E881" s="24"/>
      <c r="F881" s="22"/>
      <c r="H881" s="21">
        <v>45922</v>
      </c>
      <c r="I881" s="22" t="s">
        <v>70</v>
      </c>
      <c r="J881" s="22" t="s">
        <v>57</v>
      </c>
      <c r="K881" s="24">
        <v>6</v>
      </c>
      <c r="M881" s="21">
        <v>45941</v>
      </c>
      <c r="N881" s="22" t="s">
        <v>70</v>
      </c>
      <c r="O881" s="22" t="s">
        <v>44</v>
      </c>
      <c r="P881" s="49">
        <v>67.400000000000006</v>
      </c>
      <c r="Q881" s="49">
        <v>67.2</v>
      </c>
      <c r="R881" s="50">
        <f t="shared" si="30"/>
        <v>0.20000000000000284</v>
      </c>
      <c r="T881" s="21">
        <v>45937</v>
      </c>
      <c r="U881" s="22" t="s">
        <v>50</v>
      </c>
      <c r="V881" s="24">
        <v>3</v>
      </c>
      <c r="W881" s="24">
        <v>3</v>
      </c>
      <c r="X881" s="24">
        <v>3</v>
      </c>
      <c r="Y881" s="24">
        <v>5</v>
      </c>
      <c r="Z881" s="20">
        <f t="shared" si="31"/>
        <v>14</v>
      </c>
    </row>
    <row r="882" spans="1:26" x14ac:dyDescent="0.2">
      <c r="A882" s="21"/>
      <c r="B882" s="51"/>
      <c r="C882" s="22"/>
      <c r="D882" s="22"/>
      <c r="E882" s="24"/>
      <c r="F882" s="22"/>
      <c r="H882" s="21">
        <v>45922</v>
      </c>
      <c r="I882" s="22" t="s">
        <v>70</v>
      </c>
      <c r="J882" s="22" t="s">
        <v>42</v>
      </c>
      <c r="K882" s="24">
        <v>6</v>
      </c>
      <c r="M882" s="21">
        <v>45941</v>
      </c>
      <c r="N882" s="22" t="s">
        <v>70</v>
      </c>
      <c r="O882" s="22" t="s">
        <v>45</v>
      </c>
      <c r="P882" s="49">
        <v>68.2</v>
      </c>
      <c r="Q882" s="49">
        <v>68.2</v>
      </c>
      <c r="R882" s="50">
        <f t="shared" si="30"/>
        <v>0</v>
      </c>
      <c r="T882" s="21">
        <v>45937</v>
      </c>
      <c r="U882" s="22" t="s">
        <v>51</v>
      </c>
      <c r="V882" s="24">
        <v>4</v>
      </c>
      <c r="W882" s="24">
        <v>4</v>
      </c>
      <c r="X882" s="24">
        <v>3</v>
      </c>
      <c r="Y882" s="24">
        <v>5</v>
      </c>
      <c r="Z882" s="20">
        <f t="shared" si="31"/>
        <v>16</v>
      </c>
    </row>
    <row r="883" spans="1:26" x14ac:dyDescent="0.2">
      <c r="A883" s="21"/>
      <c r="B883" s="51"/>
      <c r="C883" s="22"/>
      <c r="D883" s="22"/>
      <c r="E883" s="24"/>
      <c r="F883" s="22"/>
      <c r="H883" s="21">
        <v>45922</v>
      </c>
      <c r="I883" s="22" t="s">
        <v>70</v>
      </c>
      <c r="J883" s="22" t="s">
        <v>54</v>
      </c>
      <c r="K883" s="24">
        <v>6</v>
      </c>
      <c r="M883" s="21">
        <v>45941</v>
      </c>
      <c r="N883" s="22" t="s">
        <v>70</v>
      </c>
      <c r="O883" s="22" t="s">
        <v>46</v>
      </c>
      <c r="P883" s="49">
        <v>80.400000000000006</v>
      </c>
      <c r="Q883" s="49">
        <v>80.8</v>
      </c>
      <c r="R883" s="50">
        <f t="shared" si="30"/>
        <v>-0.39999999999999147</v>
      </c>
      <c r="T883" s="21">
        <v>45937</v>
      </c>
      <c r="U883" s="22" t="s">
        <v>52</v>
      </c>
      <c r="V883" s="24">
        <v>4</v>
      </c>
      <c r="W883" s="24">
        <v>4</v>
      </c>
      <c r="X883" s="24">
        <v>4</v>
      </c>
      <c r="Y883" s="24">
        <v>4</v>
      </c>
      <c r="Z883" s="20">
        <f t="shared" si="31"/>
        <v>16</v>
      </c>
    </row>
    <row r="884" spans="1:26" x14ac:dyDescent="0.2">
      <c r="A884" s="21"/>
      <c r="B884" s="51"/>
      <c r="C884" s="22"/>
      <c r="D884" s="22"/>
      <c r="E884" s="24"/>
      <c r="F884" s="22"/>
      <c r="H884" s="21">
        <v>45922</v>
      </c>
      <c r="I884" s="22" t="s">
        <v>70</v>
      </c>
      <c r="J884" s="22" t="s">
        <v>47</v>
      </c>
      <c r="K884" s="24">
        <v>6</v>
      </c>
      <c r="M884" s="21">
        <v>45941</v>
      </c>
      <c r="N884" s="22" t="s">
        <v>70</v>
      </c>
      <c r="O884" s="22" t="s">
        <v>47</v>
      </c>
      <c r="P884" s="49">
        <v>71.599999999999994</v>
      </c>
      <c r="Q884" s="49">
        <v>71.5</v>
      </c>
      <c r="R884" s="50">
        <f t="shared" si="30"/>
        <v>9.9999999999994316E-2</v>
      </c>
      <c r="T884" s="21">
        <v>45937</v>
      </c>
      <c r="U884" s="22" t="s">
        <v>53</v>
      </c>
      <c r="V884" s="24">
        <v>4</v>
      </c>
      <c r="W884" s="24">
        <v>4</v>
      </c>
      <c r="X884" s="24">
        <v>4</v>
      </c>
      <c r="Y884" s="24">
        <v>4</v>
      </c>
      <c r="Z884" s="20">
        <f t="shared" si="31"/>
        <v>16</v>
      </c>
    </row>
    <row r="885" spans="1:26" x14ac:dyDescent="0.2">
      <c r="A885" s="21"/>
      <c r="B885" s="51"/>
      <c r="C885" s="22"/>
      <c r="D885" s="22"/>
      <c r="E885" s="24"/>
      <c r="F885" s="22"/>
      <c r="H885" s="21">
        <v>45922</v>
      </c>
      <c r="I885" s="22" t="s">
        <v>70</v>
      </c>
      <c r="J885" s="22" t="s">
        <v>41</v>
      </c>
      <c r="K885" s="24">
        <v>6</v>
      </c>
      <c r="M885" s="21">
        <v>45941</v>
      </c>
      <c r="N885" s="22" t="s">
        <v>70</v>
      </c>
      <c r="O885" s="22" t="s">
        <v>48</v>
      </c>
      <c r="P885" s="49">
        <v>82.9</v>
      </c>
      <c r="Q885" s="49">
        <v>82</v>
      </c>
      <c r="R885" s="50">
        <f t="shared" si="30"/>
        <v>0.90000000000000568</v>
      </c>
      <c r="T885" s="21">
        <v>45937</v>
      </c>
      <c r="U885" s="22" t="s">
        <v>56</v>
      </c>
      <c r="V885" s="24">
        <v>4</v>
      </c>
      <c r="W885" s="24">
        <v>4</v>
      </c>
      <c r="X885" s="24">
        <v>4</v>
      </c>
      <c r="Y885" s="24">
        <v>4</v>
      </c>
      <c r="Z885" s="20">
        <f t="shared" si="31"/>
        <v>16</v>
      </c>
    </row>
    <row r="886" spans="1:26" x14ac:dyDescent="0.2">
      <c r="A886" s="21"/>
      <c r="B886" s="51"/>
      <c r="C886" s="22"/>
      <c r="D886" s="22"/>
      <c r="E886" s="24"/>
      <c r="F886" s="22"/>
      <c r="H886" s="21">
        <v>45922</v>
      </c>
      <c r="I886" s="22" t="s">
        <v>70</v>
      </c>
      <c r="J886" s="22" t="s">
        <v>49</v>
      </c>
      <c r="K886" s="24" t="s">
        <v>64</v>
      </c>
      <c r="M886" s="21">
        <v>45941</v>
      </c>
      <c r="N886" s="22" t="s">
        <v>70</v>
      </c>
      <c r="O886" s="22" t="s">
        <v>49</v>
      </c>
      <c r="P886" s="49">
        <v>78.3</v>
      </c>
      <c r="Q886" s="49">
        <v>78.2</v>
      </c>
      <c r="R886" s="50">
        <f t="shared" si="30"/>
        <v>9.9999999999994316E-2</v>
      </c>
      <c r="T886" s="21">
        <v>45937</v>
      </c>
      <c r="U886" s="22" t="s">
        <v>57</v>
      </c>
      <c r="V886" s="24">
        <v>4</v>
      </c>
      <c r="W886" s="24">
        <v>4</v>
      </c>
      <c r="X886" s="24">
        <v>4</v>
      </c>
      <c r="Y886" s="24">
        <v>4</v>
      </c>
      <c r="Z886" s="20">
        <f t="shared" si="31"/>
        <v>16</v>
      </c>
    </row>
    <row r="887" spans="1:26" x14ac:dyDescent="0.2">
      <c r="A887" s="21"/>
      <c r="B887" s="51"/>
      <c r="C887" s="22"/>
      <c r="D887" s="22"/>
      <c r="E887" s="24"/>
      <c r="F887" s="22"/>
      <c r="H887" s="21">
        <v>45922</v>
      </c>
      <c r="I887" s="22" t="s">
        <v>70</v>
      </c>
      <c r="J887" s="22" t="s">
        <v>50</v>
      </c>
      <c r="K887" s="24" t="s">
        <v>64</v>
      </c>
      <c r="M887" s="21">
        <v>45941</v>
      </c>
      <c r="N887" s="22" t="s">
        <v>70</v>
      </c>
      <c r="O887" s="22" t="s">
        <v>50</v>
      </c>
      <c r="P887" s="49">
        <v>70.099999999999994</v>
      </c>
      <c r="Q887" s="49">
        <v>69.8</v>
      </c>
      <c r="R887" s="50">
        <f t="shared" si="30"/>
        <v>0.29999999999999716</v>
      </c>
      <c r="T887" s="21">
        <v>45937</v>
      </c>
      <c r="U887" s="22" t="s">
        <v>33</v>
      </c>
      <c r="V887" s="24">
        <v>3.78571428571429</v>
      </c>
      <c r="W887" s="24">
        <v>3.71428571428571</v>
      </c>
      <c r="X887" s="24">
        <v>3.71428571428571</v>
      </c>
      <c r="Y887" s="24">
        <v>4.28571428571429</v>
      </c>
      <c r="Z887" s="20">
        <f t="shared" si="31"/>
        <v>15.5</v>
      </c>
    </row>
    <row r="888" spans="1:26" x14ac:dyDescent="0.2">
      <c r="A888" s="21"/>
      <c r="B888" s="51"/>
      <c r="C888" s="22"/>
      <c r="D888" s="22"/>
      <c r="E888" s="24"/>
      <c r="F888" s="22"/>
      <c r="H888" s="21">
        <v>45922</v>
      </c>
      <c r="I888" s="22" t="s">
        <v>70</v>
      </c>
      <c r="J888" s="22" t="s">
        <v>51</v>
      </c>
      <c r="K888" s="24">
        <v>6</v>
      </c>
      <c r="M888" s="21">
        <v>45941</v>
      </c>
      <c r="N888" s="22" t="s">
        <v>70</v>
      </c>
      <c r="O888" s="22" t="s">
        <v>51</v>
      </c>
      <c r="P888" s="49">
        <v>75.599999999999994</v>
      </c>
      <c r="Q888" s="49">
        <v>75.7</v>
      </c>
      <c r="R888" s="50">
        <f t="shared" si="30"/>
        <v>-0.10000000000000853</v>
      </c>
      <c r="T888" s="21">
        <v>45938</v>
      </c>
      <c r="U888" s="22" t="s">
        <v>41</v>
      </c>
      <c r="V888" s="24">
        <v>1</v>
      </c>
      <c r="W888" s="24">
        <v>1</v>
      </c>
      <c r="X888" s="24">
        <v>1</v>
      </c>
      <c r="Y888" s="24">
        <v>1</v>
      </c>
      <c r="Z888" s="20">
        <f t="shared" si="31"/>
        <v>4</v>
      </c>
    </row>
    <row r="889" spans="1:26" x14ac:dyDescent="0.2">
      <c r="A889" s="21"/>
      <c r="B889" s="51"/>
      <c r="C889" s="22"/>
      <c r="D889" s="22"/>
      <c r="E889" s="24"/>
      <c r="F889" s="22"/>
      <c r="H889" s="21">
        <v>45922</v>
      </c>
      <c r="I889" s="22" t="s">
        <v>70</v>
      </c>
      <c r="J889" s="22" t="s">
        <v>46</v>
      </c>
      <c r="K889" s="24" t="s">
        <v>64</v>
      </c>
      <c r="M889" s="21">
        <v>45941</v>
      </c>
      <c r="N889" s="22" t="s">
        <v>70</v>
      </c>
      <c r="O889" s="22" t="s">
        <v>52</v>
      </c>
      <c r="P889" s="49">
        <v>72.3</v>
      </c>
      <c r="Q889" s="49">
        <v>72.099999999999994</v>
      </c>
      <c r="R889" s="50">
        <f t="shared" si="30"/>
        <v>0.20000000000000284</v>
      </c>
      <c r="T889" s="21">
        <v>45938</v>
      </c>
      <c r="U889" s="22" t="s">
        <v>42</v>
      </c>
      <c r="V889" s="24">
        <v>4</v>
      </c>
      <c r="W889" s="24">
        <v>4</v>
      </c>
      <c r="X889" s="24">
        <v>4</v>
      </c>
      <c r="Y889" s="24">
        <v>5</v>
      </c>
      <c r="Z889" s="20">
        <f t="shared" si="31"/>
        <v>17</v>
      </c>
    </row>
    <row r="890" spans="1:26" x14ac:dyDescent="0.2">
      <c r="A890" s="21"/>
      <c r="B890" s="51"/>
      <c r="C890" s="22"/>
      <c r="D890" s="22"/>
      <c r="E890" s="24"/>
      <c r="F890" s="22"/>
      <c r="H890" s="21">
        <v>45922</v>
      </c>
      <c r="I890" s="22" t="s">
        <v>70</v>
      </c>
      <c r="J890" s="22" t="s">
        <v>48</v>
      </c>
      <c r="K890" s="24">
        <v>6</v>
      </c>
      <c r="M890" s="21">
        <v>45941</v>
      </c>
      <c r="N890" s="22" t="s">
        <v>70</v>
      </c>
      <c r="O890" s="22" t="s">
        <v>53</v>
      </c>
      <c r="P890" s="49">
        <v>66.7</v>
      </c>
      <c r="Q890" s="49">
        <v>66.400000000000006</v>
      </c>
      <c r="R890" s="50">
        <f t="shared" si="30"/>
        <v>0.29999999999999716</v>
      </c>
      <c r="T890" s="21">
        <v>45938</v>
      </c>
      <c r="U890" s="22" t="s">
        <v>44</v>
      </c>
      <c r="V890" s="24">
        <v>5</v>
      </c>
      <c r="W890" s="24">
        <v>5</v>
      </c>
      <c r="X890" s="24">
        <v>5</v>
      </c>
      <c r="Y890" s="24">
        <v>5</v>
      </c>
      <c r="Z890" s="20">
        <f t="shared" si="31"/>
        <v>20</v>
      </c>
    </row>
    <row r="891" spans="1:26" x14ac:dyDescent="0.2">
      <c r="A891" s="21"/>
      <c r="B891" s="51"/>
      <c r="C891" s="22"/>
      <c r="D891" s="22"/>
      <c r="E891" s="24"/>
      <c r="F891" s="22"/>
      <c r="H891" s="21">
        <v>45922</v>
      </c>
      <c r="I891" s="22" t="s">
        <v>70</v>
      </c>
      <c r="J891" s="22" t="s">
        <v>56</v>
      </c>
      <c r="K891" s="24">
        <v>6</v>
      </c>
      <c r="M891" s="21">
        <v>45941</v>
      </c>
      <c r="N891" s="22" t="s">
        <v>70</v>
      </c>
      <c r="O891" s="22" t="s">
        <v>56</v>
      </c>
      <c r="P891" s="49">
        <v>74.599999999999994</v>
      </c>
      <c r="Q891" s="49">
        <v>74.7</v>
      </c>
      <c r="R891" s="50">
        <f t="shared" si="30"/>
        <v>-0.10000000000000853</v>
      </c>
      <c r="T891" s="21">
        <v>45938</v>
      </c>
      <c r="U891" s="22" t="s">
        <v>45</v>
      </c>
      <c r="V891" s="24">
        <v>4</v>
      </c>
      <c r="W891" s="24">
        <v>4</v>
      </c>
      <c r="X891" s="24">
        <v>3</v>
      </c>
      <c r="Y891" s="24">
        <v>5</v>
      </c>
      <c r="Z891" s="20">
        <f t="shared" si="31"/>
        <v>16</v>
      </c>
    </row>
    <row r="892" spans="1:26" x14ac:dyDescent="0.2">
      <c r="A892" s="21"/>
      <c r="B892" s="51"/>
      <c r="C892" s="22"/>
      <c r="D892" s="22"/>
      <c r="E892" s="24"/>
      <c r="F892" s="22"/>
      <c r="H892" s="21">
        <v>45922</v>
      </c>
      <c r="I892" s="22" t="s">
        <v>71</v>
      </c>
      <c r="J892" s="22" t="s">
        <v>52</v>
      </c>
      <c r="K892" s="24">
        <v>7</v>
      </c>
      <c r="M892" s="21">
        <v>45941</v>
      </c>
      <c r="N892" s="22" t="s">
        <v>70</v>
      </c>
      <c r="O892" s="22" t="s">
        <v>57</v>
      </c>
      <c r="P892" s="49">
        <v>93.1</v>
      </c>
      <c r="Q892" s="49">
        <v>92.8</v>
      </c>
      <c r="R892" s="50">
        <f t="shared" si="30"/>
        <v>0.29999999999999716</v>
      </c>
      <c r="T892" s="21">
        <v>45938</v>
      </c>
      <c r="U892" s="22" t="s">
        <v>46</v>
      </c>
      <c r="V892" s="24">
        <v>5</v>
      </c>
      <c r="W892" s="24">
        <v>4</v>
      </c>
      <c r="X892" s="24">
        <v>4</v>
      </c>
      <c r="Y892" s="24">
        <v>4</v>
      </c>
      <c r="Z892" s="20">
        <f t="shared" si="31"/>
        <v>17</v>
      </c>
    </row>
    <row r="893" spans="1:26" x14ac:dyDescent="0.2">
      <c r="A893" s="21"/>
      <c r="B893" s="51"/>
      <c r="C893" s="22"/>
      <c r="D893" s="22"/>
      <c r="E893" s="24"/>
      <c r="F893" s="22"/>
      <c r="H893" s="21">
        <v>45922</v>
      </c>
      <c r="I893" s="22" t="s">
        <v>71</v>
      </c>
      <c r="J893" s="22" t="s">
        <v>53</v>
      </c>
      <c r="K893" s="24">
        <v>7</v>
      </c>
      <c r="M893" s="21">
        <v>45942</v>
      </c>
      <c r="N893" s="22" t="s">
        <v>70</v>
      </c>
      <c r="O893" s="22" t="s">
        <v>41</v>
      </c>
      <c r="P893" s="49">
        <v>77</v>
      </c>
      <c r="Q893" s="49">
        <v>77</v>
      </c>
      <c r="R893" s="50">
        <f t="shared" si="30"/>
        <v>0</v>
      </c>
      <c r="T893" s="21">
        <v>45938</v>
      </c>
      <c r="U893" s="22" t="s">
        <v>47</v>
      </c>
      <c r="V893" s="24">
        <v>4</v>
      </c>
      <c r="W893" s="24">
        <v>4</v>
      </c>
      <c r="X893" s="24">
        <v>4</v>
      </c>
      <c r="Y893" s="24">
        <v>5</v>
      </c>
      <c r="Z893" s="20">
        <f t="shared" si="31"/>
        <v>17</v>
      </c>
    </row>
    <row r="894" spans="1:26" x14ac:dyDescent="0.2">
      <c r="A894" s="21"/>
      <c r="B894" s="51"/>
      <c r="C894" s="22"/>
      <c r="D894" s="22"/>
      <c r="E894" s="24"/>
      <c r="F894" s="22"/>
      <c r="H894" s="21">
        <v>45922</v>
      </c>
      <c r="I894" s="22" t="s">
        <v>71</v>
      </c>
      <c r="J894" s="22" t="s">
        <v>44</v>
      </c>
      <c r="K894" s="24">
        <v>7</v>
      </c>
      <c r="M894" s="21">
        <v>45942</v>
      </c>
      <c r="N894" s="22" t="s">
        <v>70</v>
      </c>
      <c r="O894" s="22" t="s">
        <v>42</v>
      </c>
      <c r="P894" s="49">
        <v>79.8</v>
      </c>
      <c r="Q894" s="49">
        <v>79.599999999999994</v>
      </c>
      <c r="R894" s="50">
        <f t="shared" si="30"/>
        <v>0.20000000000000284</v>
      </c>
      <c r="T894" s="21">
        <v>45938</v>
      </c>
      <c r="U894" s="22" t="s">
        <v>48</v>
      </c>
      <c r="V894" s="24">
        <v>4</v>
      </c>
      <c r="W894" s="24">
        <v>5</v>
      </c>
      <c r="X894" s="24">
        <v>5</v>
      </c>
      <c r="Y894" s="24">
        <v>5</v>
      </c>
      <c r="Z894" s="20">
        <f t="shared" si="31"/>
        <v>19</v>
      </c>
    </row>
    <row r="895" spans="1:26" x14ac:dyDescent="0.2">
      <c r="A895" s="21"/>
      <c r="B895" s="51"/>
      <c r="C895" s="22"/>
      <c r="D895" s="22"/>
      <c r="E895" s="24"/>
      <c r="F895" s="22"/>
      <c r="H895" s="21">
        <v>45922</v>
      </c>
      <c r="I895" s="22" t="s">
        <v>71</v>
      </c>
      <c r="J895" s="22" t="s">
        <v>45</v>
      </c>
      <c r="K895" s="24">
        <v>6</v>
      </c>
      <c r="M895" s="21">
        <v>45942</v>
      </c>
      <c r="N895" s="22" t="s">
        <v>70</v>
      </c>
      <c r="O895" s="22" t="s">
        <v>44</v>
      </c>
      <c r="P895" s="49">
        <v>66.8</v>
      </c>
      <c r="Q895" s="49">
        <v>66.2</v>
      </c>
      <c r="R895" s="50">
        <f t="shared" si="30"/>
        <v>0.59999999999999432</v>
      </c>
      <c r="T895" s="21">
        <v>45938</v>
      </c>
      <c r="U895" s="22" t="s">
        <v>49</v>
      </c>
      <c r="V895" s="24">
        <v>4</v>
      </c>
      <c r="W895" s="24">
        <v>4</v>
      </c>
      <c r="X895" s="24">
        <v>4</v>
      </c>
      <c r="Y895" s="24">
        <v>4</v>
      </c>
      <c r="Z895" s="20">
        <f t="shared" si="31"/>
        <v>16</v>
      </c>
    </row>
    <row r="896" spans="1:26" x14ac:dyDescent="0.2">
      <c r="A896" s="21"/>
      <c r="B896" s="51"/>
      <c r="C896" s="22"/>
      <c r="D896" s="22"/>
      <c r="E896" s="24"/>
      <c r="F896" s="22"/>
      <c r="H896" s="21">
        <v>45922</v>
      </c>
      <c r="I896" s="22" t="s">
        <v>71</v>
      </c>
      <c r="J896" s="22" t="s">
        <v>57</v>
      </c>
      <c r="K896" s="24">
        <v>7</v>
      </c>
      <c r="M896" s="21">
        <v>45942</v>
      </c>
      <c r="N896" s="22" t="s">
        <v>70</v>
      </c>
      <c r="O896" s="22" t="s">
        <v>45</v>
      </c>
      <c r="P896" s="49">
        <v>68.3</v>
      </c>
      <c r="Q896" s="49">
        <v>68</v>
      </c>
      <c r="R896" s="50">
        <f t="shared" si="30"/>
        <v>0.29999999999999716</v>
      </c>
      <c r="T896" s="21">
        <v>45938</v>
      </c>
      <c r="U896" s="22" t="s">
        <v>50</v>
      </c>
      <c r="V896" s="24">
        <v>4</v>
      </c>
      <c r="W896" s="24">
        <v>3</v>
      </c>
      <c r="X896" s="24">
        <v>4</v>
      </c>
      <c r="Y896" s="24">
        <v>5</v>
      </c>
      <c r="Z896" s="20">
        <f t="shared" si="31"/>
        <v>16</v>
      </c>
    </row>
    <row r="897" spans="1:26" x14ac:dyDescent="0.2">
      <c r="A897" s="21"/>
      <c r="B897" s="51"/>
      <c r="C897" s="22"/>
      <c r="D897" s="22"/>
      <c r="E897" s="24"/>
      <c r="F897" s="22"/>
      <c r="H897" s="21">
        <v>45922</v>
      </c>
      <c r="I897" s="22" t="s">
        <v>71</v>
      </c>
      <c r="J897" s="22" t="s">
        <v>42</v>
      </c>
      <c r="K897" s="24">
        <v>3</v>
      </c>
      <c r="M897" s="21">
        <v>45942</v>
      </c>
      <c r="N897" s="22" t="s">
        <v>70</v>
      </c>
      <c r="O897" s="22" t="s">
        <v>46</v>
      </c>
      <c r="P897" s="49">
        <v>80.900000000000006</v>
      </c>
      <c r="Q897" s="49">
        <v>79.5</v>
      </c>
      <c r="R897" s="50">
        <f t="shared" si="30"/>
        <v>1.4000000000000057</v>
      </c>
      <c r="T897" s="21">
        <v>45938</v>
      </c>
      <c r="U897" s="22" t="s">
        <v>51</v>
      </c>
      <c r="V897" s="24">
        <v>4</v>
      </c>
      <c r="W897" s="24">
        <v>4</v>
      </c>
      <c r="X897" s="24">
        <v>4</v>
      </c>
      <c r="Y897" s="24">
        <v>5</v>
      </c>
      <c r="Z897" s="20">
        <f t="shared" si="31"/>
        <v>17</v>
      </c>
    </row>
    <row r="898" spans="1:26" x14ac:dyDescent="0.2">
      <c r="A898" s="21"/>
      <c r="B898" s="51"/>
      <c r="C898" s="22"/>
      <c r="D898" s="22"/>
      <c r="E898" s="24"/>
      <c r="F898" s="22"/>
      <c r="H898" s="21">
        <v>45922</v>
      </c>
      <c r="I898" s="22" t="s">
        <v>71</v>
      </c>
      <c r="J898" s="22" t="s">
        <v>54</v>
      </c>
      <c r="K898" s="24">
        <v>7</v>
      </c>
      <c r="M898" s="21">
        <v>45942</v>
      </c>
      <c r="N898" s="22" t="s">
        <v>70</v>
      </c>
      <c r="O898" s="22" t="s">
        <v>47</v>
      </c>
      <c r="P898" s="49">
        <v>72</v>
      </c>
      <c r="Q898" s="49">
        <v>71.7</v>
      </c>
      <c r="R898" s="50">
        <f t="shared" si="30"/>
        <v>0.29999999999999716</v>
      </c>
      <c r="T898" s="21">
        <v>45938</v>
      </c>
      <c r="U898" s="22" t="s">
        <v>52</v>
      </c>
      <c r="V898" s="24">
        <v>4</v>
      </c>
      <c r="W898" s="24">
        <v>5</v>
      </c>
      <c r="X898" s="24">
        <v>4</v>
      </c>
      <c r="Y898" s="24">
        <v>4</v>
      </c>
      <c r="Z898" s="20">
        <f t="shared" si="31"/>
        <v>17</v>
      </c>
    </row>
    <row r="899" spans="1:26" x14ac:dyDescent="0.2">
      <c r="A899" s="21"/>
      <c r="B899" s="51"/>
      <c r="C899" s="22"/>
      <c r="D899" s="22"/>
      <c r="E899" s="24"/>
      <c r="F899" s="22"/>
      <c r="H899" s="21">
        <v>45922</v>
      </c>
      <c r="I899" s="22" t="s">
        <v>71</v>
      </c>
      <c r="J899" s="22" t="s">
        <v>47</v>
      </c>
      <c r="K899" s="24">
        <v>4</v>
      </c>
      <c r="M899" s="21">
        <v>45942</v>
      </c>
      <c r="N899" s="22" t="s">
        <v>70</v>
      </c>
      <c r="O899" s="22" t="s">
        <v>48</v>
      </c>
      <c r="P899" s="49">
        <v>82.9</v>
      </c>
      <c r="Q899" s="49">
        <v>80.900000000000006</v>
      </c>
      <c r="R899" s="50">
        <f t="shared" ref="R899:R962" si="32">IFERROR(P899-Q899,"")</f>
        <v>2</v>
      </c>
      <c r="T899" s="21">
        <v>45938</v>
      </c>
      <c r="U899" s="22" t="s">
        <v>53</v>
      </c>
      <c r="V899" s="24">
        <v>4</v>
      </c>
      <c r="W899" s="24">
        <v>4</v>
      </c>
      <c r="X899" s="24">
        <v>4</v>
      </c>
      <c r="Y899" s="24">
        <v>5</v>
      </c>
      <c r="Z899" s="20">
        <f t="shared" ref="Z899:Z962" si="33">SUM(V899:Y899)</f>
        <v>17</v>
      </c>
    </row>
    <row r="900" spans="1:26" x14ac:dyDescent="0.2">
      <c r="A900" s="21"/>
      <c r="B900" s="51"/>
      <c r="C900" s="22"/>
      <c r="D900" s="22"/>
      <c r="E900" s="24"/>
      <c r="F900" s="22"/>
      <c r="H900" s="21">
        <v>45922</v>
      </c>
      <c r="I900" s="22" t="s">
        <v>71</v>
      </c>
      <c r="J900" s="22" t="s">
        <v>41</v>
      </c>
      <c r="K900" s="24">
        <v>2</v>
      </c>
      <c r="M900" s="21">
        <v>45942</v>
      </c>
      <c r="N900" s="22" t="s">
        <v>70</v>
      </c>
      <c r="O900" s="22" t="s">
        <v>49</v>
      </c>
      <c r="P900" s="49">
        <v>78.2</v>
      </c>
      <c r="Q900" s="49">
        <v>78.5</v>
      </c>
      <c r="R900" s="50">
        <f t="shared" si="32"/>
        <v>-0.29999999999999716</v>
      </c>
      <c r="T900" s="21">
        <v>45938</v>
      </c>
      <c r="U900" s="22" t="s">
        <v>56</v>
      </c>
      <c r="V900" s="24">
        <v>4</v>
      </c>
      <c r="W900" s="24">
        <v>4</v>
      </c>
      <c r="X900" s="24">
        <v>4</v>
      </c>
      <c r="Y900" s="24">
        <v>5</v>
      </c>
      <c r="Z900" s="20">
        <f t="shared" si="33"/>
        <v>17</v>
      </c>
    </row>
    <row r="901" spans="1:26" x14ac:dyDescent="0.2">
      <c r="A901" s="21"/>
      <c r="B901" s="51"/>
      <c r="C901" s="22"/>
      <c r="D901" s="22"/>
      <c r="E901" s="24"/>
      <c r="F901" s="22"/>
      <c r="H901" s="21">
        <v>45922</v>
      </c>
      <c r="I901" s="22" t="s">
        <v>71</v>
      </c>
      <c r="J901" s="22" t="s">
        <v>49</v>
      </c>
      <c r="K901" s="24" t="s">
        <v>64</v>
      </c>
      <c r="M901" s="21">
        <v>45942</v>
      </c>
      <c r="N901" s="22" t="s">
        <v>70</v>
      </c>
      <c r="O901" s="22" t="s">
        <v>50</v>
      </c>
      <c r="P901" s="49">
        <v>69.400000000000006</v>
      </c>
      <c r="Q901" s="49">
        <v>69</v>
      </c>
      <c r="R901" s="50">
        <f t="shared" si="32"/>
        <v>0.40000000000000568</v>
      </c>
      <c r="T901" s="21">
        <v>45938</v>
      </c>
      <c r="U901" s="22" t="s">
        <v>57</v>
      </c>
      <c r="V901" s="24">
        <v>4</v>
      </c>
      <c r="W901" s="24">
        <v>4</v>
      </c>
      <c r="X901" s="24">
        <v>4</v>
      </c>
      <c r="Y901" s="24">
        <v>5</v>
      </c>
      <c r="Z901" s="20">
        <f t="shared" si="33"/>
        <v>17</v>
      </c>
    </row>
    <row r="902" spans="1:26" x14ac:dyDescent="0.2">
      <c r="A902" s="21"/>
      <c r="B902" s="51"/>
      <c r="C902" s="22"/>
      <c r="D902" s="22"/>
      <c r="E902" s="24"/>
      <c r="F902" s="22"/>
      <c r="H902" s="21">
        <v>45922</v>
      </c>
      <c r="I902" s="22" t="s">
        <v>71</v>
      </c>
      <c r="J902" s="22" t="s">
        <v>50</v>
      </c>
      <c r="K902" s="24" t="s">
        <v>64</v>
      </c>
      <c r="M902" s="21">
        <v>45942</v>
      </c>
      <c r="N902" s="22" t="s">
        <v>70</v>
      </c>
      <c r="O902" s="22" t="s">
        <v>51</v>
      </c>
      <c r="P902" s="49">
        <v>75.2</v>
      </c>
      <c r="Q902" s="49">
        <v>75.3</v>
      </c>
      <c r="R902" s="50">
        <f t="shared" si="32"/>
        <v>-9.9999999999994316E-2</v>
      </c>
      <c r="T902" s="21">
        <v>45938</v>
      </c>
      <c r="U902" s="22" t="s">
        <v>33</v>
      </c>
      <c r="V902" s="24">
        <v>3.9285714285714302</v>
      </c>
      <c r="W902" s="24">
        <v>3.9285714285714302</v>
      </c>
      <c r="X902" s="24">
        <v>3.8571428571428599</v>
      </c>
      <c r="Y902" s="24">
        <v>4.5</v>
      </c>
      <c r="Z902" s="20">
        <f t="shared" si="33"/>
        <v>16.214285714285722</v>
      </c>
    </row>
    <row r="903" spans="1:26" x14ac:dyDescent="0.2">
      <c r="A903" s="21"/>
      <c r="B903" s="51"/>
      <c r="C903" s="22"/>
      <c r="D903" s="22"/>
      <c r="E903" s="24"/>
      <c r="F903" s="22"/>
      <c r="H903" s="21">
        <v>45922</v>
      </c>
      <c r="I903" s="22" t="s">
        <v>71</v>
      </c>
      <c r="J903" s="22" t="s">
        <v>51</v>
      </c>
      <c r="K903" s="24">
        <v>7</v>
      </c>
      <c r="M903" s="21">
        <v>45942</v>
      </c>
      <c r="N903" s="22" t="s">
        <v>70</v>
      </c>
      <c r="O903" s="22" t="s">
        <v>52</v>
      </c>
      <c r="P903" s="49">
        <v>72</v>
      </c>
      <c r="Q903" s="49">
        <v>72</v>
      </c>
      <c r="R903" s="50">
        <f t="shared" si="32"/>
        <v>0</v>
      </c>
      <c r="T903" s="21">
        <v>45940</v>
      </c>
      <c r="U903" s="22" t="s">
        <v>41</v>
      </c>
      <c r="V903" s="24">
        <v>1</v>
      </c>
      <c r="W903" s="24">
        <v>1</v>
      </c>
      <c r="X903" s="24">
        <v>1</v>
      </c>
      <c r="Y903" s="24">
        <v>1</v>
      </c>
      <c r="Z903" s="20">
        <f t="shared" si="33"/>
        <v>4</v>
      </c>
    </row>
    <row r="904" spans="1:26" x14ac:dyDescent="0.2">
      <c r="A904" s="21"/>
      <c r="B904" s="51"/>
      <c r="C904" s="22"/>
      <c r="D904" s="22"/>
      <c r="E904" s="24"/>
      <c r="F904" s="22"/>
      <c r="H904" s="21">
        <v>45922</v>
      </c>
      <c r="I904" s="22" t="s">
        <v>71</v>
      </c>
      <c r="J904" s="22" t="s">
        <v>46</v>
      </c>
      <c r="K904" s="24" t="s">
        <v>64</v>
      </c>
      <c r="M904" s="21">
        <v>45942</v>
      </c>
      <c r="N904" s="22" t="s">
        <v>70</v>
      </c>
      <c r="O904" s="22" t="s">
        <v>53</v>
      </c>
      <c r="P904" s="49">
        <v>66.7</v>
      </c>
      <c r="Q904" s="49">
        <v>66.7</v>
      </c>
      <c r="R904" s="50">
        <f t="shared" si="32"/>
        <v>0</v>
      </c>
      <c r="T904" s="21">
        <v>45940</v>
      </c>
      <c r="U904" s="22" t="s">
        <v>42</v>
      </c>
      <c r="V904" s="24">
        <v>4</v>
      </c>
      <c r="W904" s="24">
        <v>4</v>
      </c>
      <c r="X904" s="24">
        <v>4</v>
      </c>
      <c r="Y904" s="24">
        <v>5</v>
      </c>
      <c r="Z904" s="20">
        <f t="shared" si="33"/>
        <v>17</v>
      </c>
    </row>
    <row r="905" spans="1:26" x14ac:dyDescent="0.2">
      <c r="A905" s="21"/>
      <c r="B905" s="51"/>
      <c r="C905" s="22"/>
      <c r="D905" s="22"/>
      <c r="E905" s="24"/>
      <c r="F905" s="22"/>
      <c r="H905" s="21">
        <v>45922</v>
      </c>
      <c r="I905" s="22" t="s">
        <v>71</v>
      </c>
      <c r="J905" s="22" t="s">
        <v>48</v>
      </c>
      <c r="K905" s="24">
        <v>4</v>
      </c>
      <c r="M905" s="21">
        <v>45942</v>
      </c>
      <c r="N905" s="22" t="s">
        <v>70</v>
      </c>
      <c r="O905" s="22" t="s">
        <v>56</v>
      </c>
      <c r="P905" s="49">
        <v>74.599999999999994</v>
      </c>
      <c r="Q905" s="49">
        <v>74.7</v>
      </c>
      <c r="R905" s="50">
        <f t="shared" si="32"/>
        <v>-0.10000000000000853</v>
      </c>
      <c r="T905" s="21">
        <v>45940</v>
      </c>
      <c r="U905" s="22" t="s">
        <v>44</v>
      </c>
      <c r="V905" s="24">
        <v>5</v>
      </c>
      <c r="W905" s="24">
        <v>4</v>
      </c>
      <c r="X905" s="24">
        <v>4</v>
      </c>
      <c r="Y905" s="24">
        <v>5</v>
      </c>
      <c r="Z905" s="20">
        <f t="shared" si="33"/>
        <v>18</v>
      </c>
    </row>
    <row r="906" spans="1:26" x14ac:dyDescent="0.2">
      <c r="A906" s="21"/>
      <c r="B906" s="51"/>
      <c r="C906" s="22"/>
      <c r="D906" s="22"/>
      <c r="E906" s="24"/>
      <c r="F906" s="22"/>
      <c r="H906" s="21">
        <v>45922</v>
      </c>
      <c r="I906" s="22" t="s">
        <v>71</v>
      </c>
      <c r="J906" s="22" t="s">
        <v>56</v>
      </c>
      <c r="K906" s="24">
        <v>7</v>
      </c>
      <c r="M906" s="21">
        <v>45942</v>
      </c>
      <c r="N906" s="22" t="s">
        <v>70</v>
      </c>
      <c r="O906" s="22" t="s">
        <v>57</v>
      </c>
      <c r="P906" s="49">
        <v>93</v>
      </c>
      <c r="Q906" s="49">
        <v>92</v>
      </c>
      <c r="R906" s="50">
        <f t="shared" si="32"/>
        <v>1</v>
      </c>
      <c r="T906" s="21">
        <v>45940</v>
      </c>
      <c r="U906" s="22" t="s">
        <v>45</v>
      </c>
      <c r="V906" s="24">
        <v>5</v>
      </c>
      <c r="W906" s="24">
        <v>4</v>
      </c>
      <c r="X906" s="24">
        <v>3</v>
      </c>
      <c r="Y906" s="24">
        <v>5</v>
      </c>
      <c r="Z906" s="20">
        <f t="shared" si="33"/>
        <v>17</v>
      </c>
    </row>
    <row r="907" spans="1:26" x14ac:dyDescent="0.2">
      <c r="A907" s="21"/>
      <c r="B907" s="51"/>
      <c r="C907" s="22"/>
      <c r="D907" s="22"/>
      <c r="E907" s="24"/>
      <c r="F907" s="22"/>
      <c r="H907" s="21">
        <v>45923</v>
      </c>
      <c r="I907" s="22" t="s">
        <v>70</v>
      </c>
      <c r="J907" s="22" t="s">
        <v>52</v>
      </c>
      <c r="K907" s="24">
        <v>7</v>
      </c>
      <c r="M907" s="21">
        <v>45944</v>
      </c>
      <c r="N907" s="22" t="s">
        <v>70</v>
      </c>
      <c r="O907" s="22" t="s">
        <v>41</v>
      </c>
      <c r="P907" s="49">
        <v>77</v>
      </c>
      <c r="Q907" s="49">
        <v>76.7</v>
      </c>
      <c r="R907" s="50">
        <f t="shared" si="32"/>
        <v>0.29999999999999716</v>
      </c>
      <c r="T907" s="21">
        <v>45940</v>
      </c>
      <c r="U907" s="22" t="s">
        <v>46</v>
      </c>
      <c r="V907" s="24">
        <v>5</v>
      </c>
      <c r="W907" s="24">
        <v>2</v>
      </c>
      <c r="X907" s="24">
        <v>4</v>
      </c>
      <c r="Y907" s="24">
        <v>3</v>
      </c>
      <c r="Z907" s="20">
        <f t="shared" si="33"/>
        <v>14</v>
      </c>
    </row>
    <row r="908" spans="1:26" x14ac:dyDescent="0.2">
      <c r="A908" s="21"/>
      <c r="B908" s="51"/>
      <c r="C908" s="22"/>
      <c r="D908" s="22"/>
      <c r="E908" s="24"/>
      <c r="F908" s="22"/>
      <c r="H908" s="21">
        <v>45923</v>
      </c>
      <c r="I908" s="22" t="s">
        <v>70</v>
      </c>
      <c r="J908" s="22" t="s">
        <v>53</v>
      </c>
      <c r="K908" s="24">
        <v>8</v>
      </c>
      <c r="M908" s="21">
        <v>45944</v>
      </c>
      <c r="N908" s="22" t="s">
        <v>70</v>
      </c>
      <c r="O908" s="22" t="s">
        <v>42</v>
      </c>
      <c r="P908" s="49">
        <v>79.900000000000006</v>
      </c>
      <c r="Q908" s="49">
        <v>79.7</v>
      </c>
      <c r="R908" s="50">
        <f t="shared" si="32"/>
        <v>0.20000000000000284</v>
      </c>
      <c r="T908" s="21">
        <v>45940</v>
      </c>
      <c r="U908" s="22" t="s">
        <v>47</v>
      </c>
      <c r="V908" s="24">
        <v>4</v>
      </c>
      <c r="W908" s="24">
        <v>4</v>
      </c>
      <c r="X908" s="24">
        <v>4</v>
      </c>
      <c r="Y908" s="24">
        <v>5</v>
      </c>
      <c r="Z908" s="20">
        <f t="shared" si="33"/>
        <v>17</v>
      </c>
    </row>
    <row r="909" spans="1:26" x14ac:dyDescent="0.2">
      <c r="A909" s="21"/>
      <c r="B909" s="51"/>
      <c r="C909" s="22"/>
      <c r="D909" s="22"/>
      <c r="E909" s="24"/>
      <c r="F909" s="22"/>
      <c r="H909" s="21">
        <v>45923</v>
      </c>
      <c r="I909" s="22" t="s">
        <v>70</v>
      </c>
      <c r="J909" s="22" t="s">
        <v>44</v>
      </c>
      <c r="K909" s="24">
        <v>8</v>
      </c>
      <c r="M909" s="21">
        <v>45944</v>
      </c>
      <c r="N909" s="22" t="s">
        <v>70</v>
      </c>
      <c r="O909" s="22" t="s">
        <v>44</v>
      </c>
      <c r="P909" s="49">
        <v>67.5</v>
      </c>
      <c r="Q909" s="49">
        <v>67.5</v>
      </c>
      <c r="R909" s="50">
        <f t="shared" si="32"/>
        <v>0</v>
      </c>
      <c r="T909" s="21">
        <v>45940</v>
      </c>
      <c r="U909" s="22" t="s">
        <v>48</v>
      </c>
      <c r="V909" s="24">
        <v>3</v>
      </c>
      <c r="W909" s="24">
        <v>4</v>
      </c>
      <c r="X909" s="24">
        <v>4</v>
      </c>
      <c r="Y909" s="24">
        <v>5</v>
      </c>
      <c r="Z909" s="20">
        <f t="shared" si="33"/>
        <v>16</v>
      </c>
    </row>
    <row r="910" spans="1:26" x14ac:dyDescent="0.2">
      <c r="A910" s="21"/>
      <c r="B910" s="51"/>
      <c r="C910" s="22"/>
      <c r="D910" s="22"/>
      <c r="E910" s="24"/>
      <c r="F910" s="22"/>
      <c r="H910" s="21">
        <v>45923</v>
      </c>
      <c r="I910" s="22" t="s">
        <v>70</v>
      </c>
      <c r="J910" s="22" t="s">
        <v>45</v>
      </c>
      <c r="K910" s="24">
        <v>9</v>
      </c>
      <c r="M910" s="21">
        <v>45944</v>
      </c>
      <c r="N910" s="22" t="s">
        <v>70</v>
      </c>
      <c r="O910" s="22" t="s">
        <v>45</v>
      </c>
      <c r="P910" s="49">
        <v>69</v>
      </c>
      <c r="Q910" s="49">
        <v>69</v>
      </c>
      <c r="R910" s="50">
        <f t="shared" si="32"/>
        <v>0</v>
      </c>
      <c r="T910" s="21">
        <v>45940</v>
      </c>
      <c r="U910" s="22" t="s">
        <v>49</v>
      </c>
      <c r="V910" s="24">
        <v>4</v>
      </c>
      <c r="W910" s="24">
        <v>3</v>
      </c>
      <c r="X910" s="24">
        <v>3</v>
      </c>
      <c r="Y910" s="24">
        <v>4</v>
      </c>
      <c r="Z910" s="20">
        <f t="shared" si="33"/>
        <v>14</v>
      </c>
    </row>
    <row r="911" spans="1:26" x14ac:dyDescent="0.2">
      <c r="A911" s="21"/>
      <c r="B911" s="51"/>
      <c r="C911" s="22"/>
      <c r="D911" s="22"/>
      <c r="E911" s="24"/>
      <c r="F911" s="22"/>
      <c r="H911" s="21">
        <v>45923</v>
      </c>
      <c r="I911" s="22" t="s">
        <v>70</v>
      </c>
      <c r="J911" s="22" t="s">
        <v>57</v>
      </c>
      <c r="K911" s="24">
        <v>8</v>
      </c>
      <c r="M911" s="21">
        <v>45944</v>
      </c>
      <c r="N911" s="22" t="s">
        <v>70</v>
      </c>
      <c r="O911" s="22" t="s">
        <v>47</v>
      </c>
      <c r="P911" s="49">
        <v>71</v>
      </c>
      <c r="Q911" s="49">
        <v>70.8</v>
      </c>
      <c r="R911" s="50">
        <f t="shared" si="32"/>
        <v>0.20000000000000284</v>
      </c>
      <c r="T911" s="21">
        <v>45940</v>
      </c>
      <c r="U911" s="22" t="s">
        <v>50</v>
      </c>
      <c r="V911" s="24">
        <v>3</v>
      </c>
      <c r="W911" s="24">
        <v>3</v>
      </c>
      <c r="X911" s="24">
        <v>4</v>
      </c>
      <c r="Y911" s="24">
        <v>5</v>
      </c>
      <c r="Z911" s="20">
        <f t="shared" si="33"/>
        <v>15</v>
      </c>
    </row>
    <row r="912" spans="1:26" x14ac:dyDescent="0.2">
      <c r="A912" s="21"/>
      <c r="B912" s="51"/>
      <c r="C912" s="22"/>
      <c r="D912" s="22"/>
      <c r="E912" s="24"/>
      <c r="F912" s="22"/>
      <c r="H912" s="21">
        <v>45923</v>
      </c>
      <c r="I912" s="22" t="s">
        <v>70</v>
      </c>
      <c r="J912" s="22" t="s">
        <v>42</v>
      </c>
      <c r="K912" s="24">
        <v>7</v>
      </c>
      <c r="M912" s="21">
        <v>45944</v>
      </c>
      <c r="N912" s="22" t="s">
        <v>70</v>
      </c>
      <c r="O912" s="22" t="s">
        <v>48</v>
      </c>
      <c r="P912" s="49">
        <v>82.9</v>
      </c>
      <c r="Q912" s="49">
        <v>82.8</v>
      </c>
      <c r="R912" s="50">
        <f t="shared" si="32"/>
        <v>0.10000000000000853</v>
      </c>
      <c r="T912" s="21">
        <v>45940</v>
      </c>
      <c r="U912" s="22" t="s">
        <v>51</v>
      </c>
      <c r="V912" s="24">
        <v>3</v>
      </c>
      <c r="W912" s="24">
        <v>3</v>
      </c>
      <c r="X912" s="24">
        <v>3</v>
      </c>
      <c r="Y912" s="24">
        <v>5</v>
      </c>
      <c r="Z912" s="20">
        <f t="shared" si="33"/>
        <v>14</v>
      </c>
    </row>
    <row r="913" spans="1:26" x14ac:dyDescent="0.2">
      <c r="A913" s="21"/>
      <c r="B913" s="51"/>
      <c r="C913" s="22"/>
      <c r="D913" s="22"/>
      <c r="E913" s="24"/>
      <c r="F913" s="22"/>
      <c r="H913" s="21">
        <v>45923</v>
      </c>
      <c r="I913" s="22" t="s">
        <v>70</v>
      </c>
      <c r="J913" s="22" t="s">
        <v>54</v>
      </c>
      <c r="K913" s="24">
        <v>8</v>
      </c>
      <c r="M913" s="21">
        <v>45944</v>
      </c>
      <c r="N913" s="22" t="s">
        <v>70</v>
      </c>
      <c r="O913" s="22" t="s">
        <v>49</v>
      </c>
      <c r="P913" s="49">
        <v>78.400000000000006</v>
      </c>
      <c r="Q913" s="49">
        <v>78.5</v>
      </c>
      <c r="R913" s="50">
        <f t="shared" si="32"/>
        <v>-9.9999999999994316E-2</v>
      </c>
      <c r="T913" s="21">
        <v>45940</v>
      </c>
      <c r="U913" s="22" t="s">
        <v>52</v>
      </c>
      <c r="V913" s="24">
        <v>4</v>
      </c>
      <c r="W913" s="24">
        <v>5</v>
      </c>
      <c r="X913" s="24">
        <v>4</v>
      </c>
      <c r="Y913" s="24">
        <v>3</v>
      </c>
      <c r="Z913" s="20">
        <f t="shared" si="33"/>
        <v>16</v>
      </c>
    </row>
    <row r="914" spans="1:26" x14ac:dyDescent="0.2">
      <c r="A914" s="21"/>
      <c r="B914" s="51"/>
      <c r="C914" s="22"/>
      <c r="D914" s="22"/>
      <c r="E914" s="24"/>
      <c r="F914" s="22"/>
      <c r="H914" s="21">
        <v>45923</v>
      </c>
      <c r="I914" s="22" t="s">
        <v>70</v>
      </c>
      <c r="J914" s="22" t="s">
        <v>47</v>
      </c>
      <c r="K914" s="24">
        <v>8</v>
      </c>
      <c r="M914" s="21">
        <v>45944</v>
      </c>
      <c r="N914" s="22" t="s">
        <v>70</v>
      </c>
      <c r="O914" s="22" t="s">
        <v>50</v>
      </c>
      <c r="P914" s="49">
        <v>69.599999999999994</v>
      </c>
      <c r="Q914" s="49">
        <v>69.400000000000006</v>
      </c>
      <c r="R914" s="50">
        <f t="shared" si="32"/>
        <v>0.19999999999998863</v>
      </c>
      <c r="T914" s="21">
        <v>45940</v>
      </c>
      <c r="U914" s="22" t="s">
        <v>53</v>
      </c>
      <c r="V914" s="24">
        <v>5</v>
      </c>
      <c r="W914" s="24">
        <v>5</v>
      </c>
      <c r="X914" s="24">
        <v>5</v>
      </c>
      <c r="Y914" s="24">
        <v>4</v>
      </c>
      <c r="Z914" s="20">
        <f t="shared" si="33"/>
        <v>19</v>
      </c>
    </row>
    <row r="915" spans="1:26" x14ac:dyDescent="0.2">
      <c r="A915" s="21"/>
      <c r="B915" s="51"/>
      <c r="C915" s="22"/>
      <c r="D915" s="22"/>
      <c r="E915" s="24"/>
      <c r="F915" s="22"/>
      <c r="H915" s="21">
        <v>45923</v>
      </c>
      <c r="I915" s="22" t="s">
        <v>70</v>
      </c>
      <c r="J915" s="22" t="s">
        <v>41</v>
      </c>
      <c r="K915" s="24">
        <v>8</v>
      </c>
      <c r="M915" s="21">
        <v>45944</v>
      </c>
      <c r="N915" s="22" t="s">
        <v>70</v>
      </c>
      <c r="O915" s="22" t="s">
        <v>51</v>
      </c>
      <c r="P915" s="49">
        <v>75.099999999999994</v>
      </c>
      <c r="Q915" s="49">
        <v>75.2</v>
      </c>
      <c r="R915" s="50">
        <f t="shared" si="32"/>
        <v>-0.10000000000000853</v>
      </c>
      <c r="T915" s="21">
        <v>45940</v>
      </c>
      <c r="U915" s="22" t="s">
        <v>56</v>
      </c>
      <c r="V915" s="24">
        <v>3</v>
      </c>
      <c r="W915" s="24">
        <v>4</v>
      </c>
      <c r="X915" s="24">
        <v>4</v>
      </c>
      <c r="Y915" s="24">
        <v>5</v>
      </c>
      <c r="Z915" s="20">
        <f t="shared" si="33"/>
        <v>16</v>
      </c>
    </row>
    <row r="916" spans="1:26" x14ac:dyDescent="0.2">
      <c r="A916" s="21"/>
      <c r="B916" s="51"/>
      <c r="C916" s="22"/>
      <c r="D916" s="22"/>
      <c r="E916" s="24"/>
      <c r="F916" s="22"/>
      <c r="H916" s="21">
        <v>45923</v>
      </c>
      <c r="I916" s="22" t="s">
        <v>70</v>
      </c>
      <c r="J916" s="22" t="s">
        <v>49</v>
      </c>
      <c r="K916" s="24" t="s">
        <v>64</v>
      </c>
      <c r="M916" s="21">
        <v>45944</v>
      </c>
      <c r="N916" s="22" t="s">
        <v>70</v>
      </c>
      <c r="O916" s="22" t="s">
        <v>52</v>
      </c>
      <c r="P916" s="49">
        <v>71.5</v>
      </c>
      <c r="Q916" s="49">
        <v>71.3</v>
      </c>
      <c r="R916" s="50">
        <f t="shared" si="32"/>
        <v>0.20000000000000284</v>
      </c>
      <c r="T916" s="21">
        <v>45940</v>
      </c>
      <c r="U916" s="22" t="s">
        <v>57</v>
      </c>
      <c r="V916" s="24">
        <v>3</v>
      </c>
      <c r="W916" s="24">
        <v>4</v>
      </c>
      <c r="X916" s="24">
        <v>3</v>
      </c>
      <c r="Y916" s="24">
        <v>4</v>
      </c>
      <c r="Z916" s="20">
        <f t="shared" si="33"/>
        <v>14</v>
      </c>
    </row>
    <row r="917" spans="1:26" x14ac:dyDescent="0.2">
      <c r="A917" s="21"/>
      <c r="B917" s="51"/>
      <c r="C917" s="22"/>
      <c r="D917" s="22"/>
      <c r="E917" s="24"/>
      <c r="F917" s="22"/>
      <c r="H917" s="21">
        <v>45923</v>
      </c>
      <c r="I917" s="22" t="s">
        <v>70</v>
      </c>
      <c r="J917" s="22" t="s">
        <v>50</v>
      </c>
      <c r="K917" s="24" t="s">
        <v>64</v>
      </c>
      <c r="M917" s="21">
        <v>45944</v>
      </c>
      <c r="N917" s="22" t="s">
        <v>70</v>
      </c>
      <c r="O917" s="22" t="s">
        <v>53</v>
      </c>
      <c r="P917" s="49">
        <v>66.599999999999994</v>
      </c>
      <c r="Q917" s="49">
        <v>66.099999999999994</v>
      </c>
      <c r="R917" s="50">
        <f t="shared" si="32"/>
        <v>0.5</v>
      </c>
      <c r="T917" s="21">
        <v>45940</v>
      </c>
      <c r="U917" s="22" t="s">
        <v>33</v>
      </c>
      <c r="V917" s="24">
        <v>3.71428571428571</v>
      </c>
      <c r="W917" s="24">
        <v>3.5714285714285698</v>
      </c>
      <c r="X917" s="24">
        <v>3.5714285714285698</v>
      </c>
      <c r="Y917" s="24">
        <v>4.21428571428571</v>
      </c>
      <c r="Z917" s="20">
        <f t="shared" si="33"/>
        <v>15.071428571428559</v>
      </c>
    </row>
    <row r="918" spans="1:26" x14ac:dyDescent="0.2">
      <c r="A918" s="21"/>
      <c r="B918" s="51"/>
      <c r="C918" s="22"/>
      <c r="D918" s="22"/>
      <c r="E918" s="24"/>
      <c r="F918" s="22"/>
      <c r="H918" s="21">
        <v>45923</v>
      </c>
      <c r="I918" s="22" t="s">
        <v>70</v>
      </c>
      <c r="J918" s="22" t="s">
        <v>51</v>
      </c>
      <c r="K918" s="24">
        <v>8</v>
      </c>
      <c r="M918" s="21">
        <v>45944</v>
      </c>
      <c r="N918" s="22" t="s">
        <v>70</v>
      </c>
      <c r="O918" s="22" t="s">
        <v>54</v>
      </c>
      <c r="P918" s="49">
        <v>83.6</v>
      </c>
      <c r="Q918" s="49">
        <v>82.9</v>
      </c>
      <c r="R918" s="50">
        <f t="shared" si="32"/>
        <v>0.69999999999998863</v>
      </c>
      <c r="T918" s="21">
        <v>45941</v>
      </c>
      <c r="U918" s="22" t="s">
        <v>41</v>
      </c>
      <c r="V918" s="24">
        <v>1</v>
      </c>
      <c r="W918" s="24">
        <v>1</v>
      </c>
      <c r="X918" s="24">
        <v>1</v>
      </c>
      <c r="Y918" s="24">
        <v>1</v>
      </c>
      <c r="Z918" s="20">
        <f t="shared" si="33"/>
        <v>4</v>
      </c>
    </row>
    <row r="919" spans="1:26" x14ac:dyDescent="0.2">
      <c r="A919" s="21"/>
      <c r="B919" s="51"/>
      <c r="C919" s="22"/>
      <c r="D919" s="22"/>
      <c r="E919" s="24"/>
      <c r="F919" s="22"/>
      <c r="H919" s="21">
        <v>45923</v>
      </c>
      <c r="I919" s="22" t="s">
        <v>70</v>
      </c>
      <c r="J919" s="22" t="s">
        <v>46</v>
      </c>
      <c r="K919" s="24" t="s">
        <v>64</v>
      </c>
      <c r="M919" s="21">
        <v>45944</v>
      </c>
      <c r="N919" s="22" t="s">
        <v>70</v>
      </c>
      <c r="O919" s="22" t="s">
        <v>55</v>
      </c>
      <c r="P919" s="49">
        <v>74.3</v>
      </c>
      <c r="Q919" s="49">
        <v>74.2</v>
      </c>
      <c r="R919" s="50">
        <f t="shared" si="32"/>
        <v>9.9999999999994316E-2</v>
      </c>
      <c r="T919" s="21">
        <v>45941</v>
      </c>
      <c r="U919" s="22" t="s">
        <v>42</v>
      </c>
      <c r="V919" s="24">
        <v>4</v>
      </c>
      <c r="W919" s="24">
        <v>4</v>
      </c>
      <c r="X919" s="24">
        <v>4</v>
      </c>
      <c r="Y919" s="24">
        <v>5</v>
      </c>
      <c r="Z919" s="20">
        <f t="shared" si="33"/>
        <v>17</v>
      </c>
    </row>
    <row r="920" spans="1:26" x14ac:dyDescent="0.2">
      <c r="A920" s="21"/>
      <c r="B920" s="51"/>
      <c r="C920" s="22"/>
      <c r="D920" s="22"/>
      <c r="E920" s="24"/>
      <c r="F920" s="22"/>
      <c r="H920" s="21">
        <v>45923</v>
      </c>
      <c r="I920" s="22" t="s">
        <v>70</v>
      </c>
      <c r="J920" s="22" t="s">
        <v>48</v>
      </c>
      <c r="K920" s="24">
        <v>7</v>
      </c>
      <c r="M920" s="21">
        <v>45944</v>
      </c>
      <c r="N920" s="22" t="s">
        <v>70</v>
      </c>
      <c r="O920" s="22" t="s">
        <v>56</v>
      </c>
      <c r="P920" s="49">
        <v>74.5</v>
      </c>
      <c r="Q920" s="49">
        <v>74.5</v>
      </c>
      <c r="R920" s="50">
        <f t="shared" si="32"/>
        <v>0</v>
      </c>
      <c r="T920" s="21">
        <v>45941</v>
      </c>
      <c r="U920" s="22" t="s">
        <v>44</v>
      </c>
      <c r="V920" s="24">
        <v>5</v>
      </c>
      <c r="W920" s="24">
        <v>4</v>
      </c>
      <c r="X920" s="24">
        <v>4</v>
      </c>
      <c r="Y920" s="24">
        <v>5</v>
      </c>
      <c r="Z920" s="20">
        <f t="shared" si="33"/>
        <v>18</v>
      </c>
    </row>
    <row r="921" spans="1:26" x14ac:dyDescent="0.2">
      <c r="A921" s="21"/>
      <c r="B921" s="51"/>
      <c r="C921" s="22"/>
      <c r="D921" s="22"/>
      <c r="E921" s="24"/>
      <c r="F921" s="22"/>
      <c r="H921" s="21">
        <v>45923</v>
      </c>
      <c r="I921" s="22" t="s">
        <v>70</v>
      </c>
      <c r="J921" s="22" t="s">
        <v>56</v>
      </c>
      <c r="K921" s="24">
        <v>8</v>
      </c>
      <c r="M921" s="21">
        <v>45944</v>
      </c>
      <c r="N921" s="22" t="s">
        <v>70</v>
      </c>
      <c r="O921" s="22" t="s">
        <v>57</v>
      </c>
      <c r="P921" s="49">
        <v>92.7</v>
      </c>
      <c r="Q921" s="49">
        <v>92.7</v>
      </c>
      <c r="R921" s="50">
        <f t="shared" si="32"/>
        <v>0</v>
      </c>
      <c r="T921" s="21">
        <v>45941</v>
      </c>
      <c r="U921" s="22" t="s">
        <v>45</v>
      </c>
      <c r="V921" s="24">
        <v>4</v>
      </c>
      <c r="W921" s="24">
        <v>4</v>
      </c>
      <c r="X921" s="24">
        <v>3</v>
      </c>
      <c r="Y921" s="24">
        <v>5</v>
      </c>
      <c r="Z921" s="20">
        <f t="shared" si="33"/>
        <v>16</v>
      </c>
    </row>
    <row r="922" spans="1:26" x14ac:dyDescent="0.2">
      <c r="A922" s="21"/>
      <c r="B922" s="51"/>
      <c r="C922" s="22"/>
      <c r="D922" s="22"/>
      <c r="E922" s="24"/>
      <c r="F922" s="22"/>
      <c r="H922" s="21">
        <v>45924</v>
      </c>
      <c r="I922" s="22" t="s">
        <v>70</v>
      </c>
      <c r="J922" s="22" t="s">
        <v>52</v>
      </c>
      <c r="K922" s="24">
        <v>6</v>
      </c>
      <c r="M922" s="21">
        <v>45944</v>
      </c>
      <c r="N922" s="22" t="s">
        <v>70</v>
      </c>
      <c r="O922" s="22" t="s">
        <v>58</v>
      </c>
      <c r="P922" s="49">
        <v>75.599999999999994</v>
      </c>
      <c r="Q922" s="49">
        <v>75.599999999999994</v>
      </c>
      <c r="R922" s="50">
        <f t="shared" si="32"/>
        <v>0</v>
      </c>
      <c r="T922" s="21">
        <v>45941</v>
      </c>
      <c r="U922" s="22" t="s">
        <v>46</v>
      </c>
      <c r="V922" s="24">
        <v>4</v>
      </c>
      <c r="W922" s="24">
        <v>2</v>
      </c>
      <c r="X922" s="24">
        <v>4</v>
      </c>
      <c r="Y922" s="24">
        <v>4</v>
      </c>
      <c r="Z922" s="20">
        <f t="shared" si="33"/>
        <v>14</v>
      </c>
    </row>
    <row r="923" spans="1:26" x14ac:dyDescent="0.2">
      <c r="A923" s="21"/>
      <c r="B923" s="51"/>
      <c r="C923" s="22"/>
      <c r="D923" s="22"/>
      <c r="E923" s="24"/>
      <c r="F923" s="22"/>
      <c r="H923" s="21">
        <v>45924</v>
      </c>
      <c r="I923" s="22" t="s">
        <v>70</v>
      </c>
      <c r="J923" s="22" t="s">
        <v>53</v>
      </c>
      <c r="K923" s="24">
        <v>6</v>
      </c>
      <c r="M923" s="21">
        <v>45946</v>
      </c>
      <c r="N923" s="22" t="s">
        <v>70</v>
      </c>
      <c r="O923" s="22" t="s">
        <v>41</v>
      </c>
      <c r="P923" s="49">
        <v>77</v>
      </c>
      <c r="Q923" s="49">
        <v>77</v>
      </c>
      <c r="R923" s="50">
        <f t="shared" si="32"/>
        <v>0</v>
      </c>
      <c r="T923" s="21">
        <v>45941</v>
      </c>
      <c r="U923" s="22" t="s">
        <v>47</v>
      </c>
      <c r="V923" s="24">
        <v>3</v>
      </c>
      <c r="W923" s="24">
        <v>4</v>
      </c>
      <c r="X923" s="24">
        <v>4</v>
      </c>
      <c r="Y923" s="24">
        <v>4</v>
      </c>
      <c r="Z923" s="20">
        <f t="shared" si="33"/>
        <v>15</v>
      </c>
    </row>
    <row r="924" spans="1:26" x14ac:dyDescent="0.2">
      <c r="A924" s="21"/>
      <c r="B924" s="51"/>
      <c r="C924" s="22"/>
      <c r="D924" s="22"/>
      <c r="E924" s="24"/>
      <c r="F924" s="22"/>
      <c r="H924" s="21">
        <v>45924</v>
      </c>
      <c r="I924" s="22" t="s">
        <v>70</v>
      </c>
      <c r="J924" s="22" t="s">
        <v>44</v>
      </c>
      <c r="K924" s="24">
        <v>6</v>
      </c>
      <c r="M924" s="21">
        <v>45946</v>
      </c>
      <c r="N924" s="22" t="s">
        <v>70</v>
      </c>
      <c r="O924" s="22" t="s">
        <v>42</v>
      </c>
      <c r="P924" s="49">
        <v>79.8</v>
      </c>
      <c r="Q924" s="49">
        <v>79.7</v>
      </c>
      <c r="R924" s="50">
        <f t="shared" si="32"/>
        <v>9.9999999999994316E-2</v>
      </c>
      <c r="T924" s="21">
        <v>45941</v>
      </c>
      <c r="U924" s="22" t="s">
        <v>48</v>
      </c>
      <c r="V924" s="24">
        <v>4</v>
      </c>
      <c r="W924" s="24">
        <v>4</v>
      </c>
      <c r="X924" s="24">
        <v>4</v>
      </c>
      <c r="Y924" s="24">
        <v>5</v>
      </c>
      <c r="Z924" s="20">
        <f t="shared" si="33"/>
        <v>17</v>
      </c>
    </row>
    <row r="925" spans="1:26" x14ac:dyDescent="0.2">
      <c r="A925" s="21"/>
      <c r="B925" s="51"/>
      <c r="C925" s="22"/>
      <c r="D925" s="22"/>
      <c r="E925" s="24"/>
      <c r="F925" s="22"/>
      <c r="H925" s="21">
        <v>45924</v>
      </c>
      <c r="I925" s="22" t="s">
        <v>70</v>
      </c>
      <c r="J925" s="22" t="s">
        <v>45</v>
      </c>
      <c r="K925" s="24">
        <v>6</v>
      </c>
      <c r="M925" s="21">
        <v>45946</v>
      </c>
      <c r="N925" s="22" t="s">
        <v>70</v>
      </c>
      <c r="O925" s="22" t="s">
        <v>44</v>
      </c>
      <c r="P925" s="49">
        <v>66.900000000000006</v>
      </c>
      <c r="Q925" s="49">
        <v>66.8</v>
      </c>
      <c r="R925" s="50">
        <f t="shared" si="32"/>
        <v>0.10000000000000853</v>
      </c>
      <c r="T925" s="21">
        <v>45941</v>
      </c>
      <c r="U925" s="22" t="s">
        <v>49</v>
      </c>
      <c r="V925" s="24">
        <v>4</v>
      </c>
      <c r="W925" s="24">
        <v>4</v>
      </c>
      <c r="X925" s="24">
        <v>4</v>
      </c>
      <c r="Y925" s="24">
        <v>4</v>
      </c>
      <c r="Z925" s="20">
        <f t="shared" si="33"/>
        <v>16</v>
      </c>
    </row>
    <row r="926" spans="1:26" x14ac:dyDescent="0.2">
      <c r="A926" s="21"/>
      <c r="B926" s="51"/>
      <c r="C926" s="22"/>
      <c r="D926" s="22"/>
      <c r="E926" s="24"/>
      <c r="F926" s="22"/>
      <c r="H926" s="21">
        <v>45924</v>
      </c>
      <c r="I926" s="22" t="s">
        <v>70</v>
      </c>
      <c r="J926" s="22" t="s">
        <v>57</v>
      </c>
      <c r="K926" s="24">
        <v>6</v>
      </c>
      <c r="M926" s="21">
        <v>45946</v>
      </c>
      <c r="N926" s="22" t="s">
        <v>70</v>
      </c>
      <c r="O926" s="22" t="s">
        <v>45</v>
      </c>
      <c r="P926" s="49">
        <v>69</v>
      </c>
      <c r="Q926" s="49">
        <v>68.7</v>
      </c>
      <c r="R926" s="50">
        <f t="shared" si="32"/>
        <v>0.29999999999999716</v>
      </c>
      <c r="T926" s="21">
        <v>45941</v>
      </c>
      <c r="U926" s="22" t="s">
        <v>50</v>
      </c>
      <c r="V926" s="24">
        <v>2</v>
      </c>
      <c r="W926" s="24">
        <v>4</v>
      </c>
      <c r="X926" s="24">
        <v>4</v>
      </c>
      <c r="Y926" s="24">
        <v>5</v>
      </c>
      <c r="Z926" s="20">
        <f t="shared" si="33"/>
        <v>15</v>
      </c>
    </row>
    <row r="927" spans="1:26" x14ac:dyDescent="0.2">
      <c r="A927" s="21"/>
      <c r="B927" s="51"/>
      <c r="C927" s="22"/>
      <c r="D927" s="22"/>
      <c r="E927" s="24"/>
      <c r="F927" s="22"/>
      <c r="H927" s="21">
        <v>45924</v>
      </c>
      <c r="I927" s="22" t="s">
        <v>70</v>
      </c>
      <c r="J927" s="22" t="s">
        <v>42</v>
      </c>
      <c r="K927" s="24">
        <v>6</v>
      </c>
      <c r="M927" s="21">
        <v>45946</v>
      </c>
      <c r="N927" s="22" t="s">
        <v>70</v>
      </c>
      <c r="O927" s="22" t="s">
        <v>47</v>
      </c>
      <c r="P927" s="49">
        <v>71.900000000000006</v>
      </c>
      <c r="Q927" s="49">
        <v>71.7</v>
      </c>
      <c r="R927" s="50">
        <f t="shared" si="32"/>
        <v>0.20000000000000284</v>
      </c>
      <c r="T927" s="21">
        <v>45941</v>
      </c>
      <c r="U927" s="22" t="s">
        <v>51</v>
      </c>
      <c r="V927" s="24">
        <v>4</v>
      </c>
      <c r="W927" s="24">
        <v>4</v>
      </c>
      <c r="X927" s="24">
        <v>4</v>
      </c>
      <c r="Y927" s="24">
        <v>5</v>
      </c>
      <c r="Z927" s="20">
        <f t="shared" si="33"/>
        <v>17</v>
      </c>
    </row>
    <row r="928" spans="1:26" x14ac:dyDescent="0.2">
      <c r="A928" s="21"/>
      <c r="B928" s="51"/>
      <c r="C928" s="22"/>
      <c r="D928" s="22"/>
      <c r="E928" s="24"/>
      <c r="F928" s="22"/>
      <c r="H928" s="21">
        <v>45924</v>
      </c>
      <c r="I928" s="22" t="s">
        <v>70</v>
      </c>
      <c r="J928" s="22" t="s">
        <v>54</v>
      </c>
      <c r="K928" s="24">
        <v>6</v>
      </c>
      <c r="M928" s="21">
        <v>45946</v>
      </c>
      <c r="N928" s="22" t="s">
        <v>70</v>
      </c>
      <c r="O928" s="22" t="s">
        <v>48</v>
      </c>
      <c r="P928" s="49">
        <v>82.7</v>
      </c>
      <c r="Q928" s="49">
        <v>81.099999999999994</v>
      </c>
      <c r="R928" s="50">
        <f t="shared" si="32"/>
        <v>1.6000000000000085</v>
      </c>
      <c r="T928" s="21">
        <v>45941</v>
      </c>
      <c r="U928" s="22" t="s">
        <v>52</v>
      </c>
      <c r="V928" s="24">
        <v>4</v>
      </c>
      <c r="W928" s="24">
        <v>5</v>
      </c>
      <c r="X928" s="24">
        <v>4</v>
      </c>
      <c r="Y928" s="24">
        <v>3</v>
      </c>
      <c r="Z928" s="20">
        <f t="shared" si="33"/>
        <v>16</v>
      </c>
    </row>
    <row r="929" spans="1:26" x14ac:dyDescent="0.2">
      <c r="A929" s="21"/>
      <c r="B929" s="51"/>
      <c r="C929" s="22"/>
      <c r="D929" s="22"/>
      <c r="E929" s="24"/>
      <c r="F929" s="22"/>
      <c r="H929" s="21">
        <v>45924</v>
      </c>
      <c r="I929" s="22" t="s">
        <v>70</v>
      </c>
      <c r="J929" s="22" t="s">
        <v>47</v>
      </c>
      <c r="K929" s="24">
        <v>6</v>
      </c>
      <c r="M929" s="21">
        <v>45946</v>
      </c>
      <c r="N929" s="22" t="s">
        <v>70</v>
      </c>
      <c r="O929" s="22" t="s">
        <v>49</v>
      </c>
      <c r="P929" s="49">
        <v>78.900000000000006</v>
      </c>
      <c r="Q929" s="49">
        <v>78.5</v>
      </c>
      <c r="R929" s="50">
        <f t="shared" si="32"/>
        <v>0.40000000000000568</v>
      </c>
      <c r="T929" s="21">
        <v>45941</v>
      </c>
      <c r="U929" s="22" t="s">
        <v>53</v>
      </c>
      <c r="V929" s="24">
        <v>4</v>
      </c>
      <c r="W929" s="24">
        <v>4</v>
      </c>
      <c r="X929" s="24">
        <v>5</v>
      </c>
      <c r="Y929" s="24">
        <v>5</v>
      </c>
      <c r="Z929" s="20">
        <f t="shared" si="33"/>
        <v>18</v>
      </c>
    </row>
    <row r="930" spans="1:26" x14ac:dyDescent="0.2">
      <c r="A930" s="21"/>
      <c r="B930" s="51"/>
      <c r="C930" s="22"/>
      <c r="D930" s="22"/>
      <c r="E930" s="24"/>
      <c r="F930" s="22"/>
      <c r="H930" s="21">
        <v>45924</v>
      </c>
      <c r="I930" s="22" t="s">
        <v>70</v>
      </c>
      <c r="J930" s="22" t="s">
        <v>41</v>
      </c>
      <c r="K930" s="24">
        <v>6</v>
      </c>
      <c r="M930" s="21">
        <v>45946</v>
      </c>
      <c r="N930" s="22" t="s">
        <v>70</v>
      </c>
      <c r="O930" s="22" t="s">
        <v>50</v>
      </c>
      <c r="P930" s="49">
        <v>69.7</v>
      </c>
      <c r="Q930" s="49">
        <v>68.7</v>
      </c>
      <c r="R930" s="50">
        <f t="shared" si="32"/>
        <v>1</v>
      </c>
      <c r="T930" s="21">
        <v>45941</v>
      </c>
      <c r="U930" s="22" t="s">
        <v>56</v>
      </c>
      <c r="V930" s="24">
        <v>4</v>
      </c>
      <c r="W930" s="24">
        <v>4</v>
      </c>
      <c r="X930" s="24">
        <v>4</v>
      </c>
      <c r="Y930" s="24">
        <v>5</v>
      </c>
      <c r="Z930" s="20">
        <f t="shared" si="33"/>
        <v>17</v>
      </c>
    </row>
    <row r="931" spans="1:26" x14ac:dyDescent="0.2">
      <c r="A931" s="21"/>
      <c r="B931" s="51"/>
      <c r="C931" s="22"/>
      <c r="D931" s="22"/>
      <c r="E931" s="24"/>
      <c r="F931" s="22"/>
      <c r="H931" s="21">
        <v>45924</v>
      </c>
      <c r="I931" s="22" t="s">
        <v>70</v>
      </c>
      <c r="J931" s="22" t="s">
        <v>49</v>
      </c>
      <c r="K931" s="24">
        <v>6</v>
      </c>
      <c r="M931" s="21">
        <v>45946</v>
      </c>
      <c r="N931" s="22" t="s">
        <v>70</v>
      </c>
      <c r="O931" s="22" t="s">
        <v>51</v>
      </c>
      <c r="P931" s="49">
        <v>75.7</v>
      </c>
      <c r="Q931" s="49">
        <v>75.5</v>
      </c>
      <c r="R931" s="50">
        <f t="shared" si="32"/>
        <v>0.20000000000000284</v>
      </c>
      <c r="T931" s="21">
        <v>45941</v>
      </c>
      <c r="U931" s="22" t="s">
        <v>57</v>
      </c>
      <c r="V931" s="24">
        <v>3</v>
      </c>
      <c r="W931" s="24">
        <v>4</v>
      </c>
      <c r="X931" s="24">
        <v>4</v>
      </c>
      <c r="Y931" s="24">
        <v>5</v>
      </c>
      <c r="Z931" s="20">
        <f t="shared" si="33"/>
        <v>16</v>
      </c>
    </row>
    <row r="932" spans="1:26" x14ac:dyDescent="0.2">
      <c r="A932" s="21"/>
      <c r="B932" s="51"/>
      <c r="C932" s="22"/>
      <c r="D932" s="22"/>
      <c r="E932" s="24"/>
      <c r="F932" s="22"/>
      <c r="H932" s="21">
        <v>45924</v>
      </c>
      <c r="I932" s="22" t="s">
        <v>70</v>
      </c>
      <c r="J932" s="22" t="s">
        <v>50</v>
      </c>
      <c r="K932" s="24">
        <v>6</v>
      </c>
      <c r="M932" s="21">
        <v>45946</v>
      </c>
      <c r="N932" s="22" t="s">
        <v>70</v>
      </c>
      <c r="O932" s="22" t="s">
        <v>52</v>
      </c>
      <c r="P932" s="49">
        <v>71.5</v>
      </c>
      <c r="Q932" s="49">
        <v>71</v>
      </c>
      <c r="R932" s="50">
        <f t="shared" si="32"/>
        <v>0.5</v>
      </c>
      <c r="T932" s="21">
        <v>45941</v>
      </c>
      <c r="U932" s="22" t="s">
        <v>33</v>
      </c>
      <c r="V932" s="24">
        <v>3.5714285714285698</v>
      </c>
      <c r="W932" s="24">
        <v>3.71428571428571</v>
      </c>
      <c r="X932" s="24">
        <v>3.78571428571429</v>
      </c>
      <c r="Y932" s="24">
        <v>4.3571428571428603</v>
      </c>
      <c r="Z932" s="20">
        <f t="shared" si="33"/>
        <v>15.428571428571431</v>
      </c>
    </row>
    <row r="933" spans="1:26" x14ac:dyDescent="0.2">
      <c r="A933" s="21"/>
      <c r="B933" s="51"/>
      <c r="C933" s="22"/>
      <c r="D933" s="22"/>
      <c r="E933" s="24"/>
      <c r="F933" s="22"/>
      <c r="H933" s="21">
        <v>45924</v>
      </c>
      <c r="I933" s="22" t="s">
        <v>70</v>
      </c>
      <c r="J933" s="22" t="s">
        <v>51</v>
      </c>
      <c r="K933" s="24">
        <v>6</v>
      </c>
      <c r="M933" s="21">
        <v>45946</v>
      </c>
      <c r="N933" s="22" t="s">
        <v>70</v>
      </c>
      <c r="O933" s="22" t="s">
        <v>53</v>
      </c>
      <c r="P933" s="49">
        <v>67.2</v>
      </c>
      <c r="Q933" s="49">
        <v>67</v>
      </c>
      <c r="R933" s="50">
        <f t="shared" si="32"/>
        <v>0.20000000000000284</v>
      </c>
      <c r="T933" s="21">
        <v>45942</v>
      </c>
      <c r="U933" s="22" t="s">
        <v>41</v>
      </c>
      <c r="V933" s="24">
        <v>2</v>
      </c>
      <c r="W933" s="24">
        <v>2</v>
      </c>
      <c r="X933" s="24">
        <v>2</v>
      </c>
      <c r="Y933" s="24">
        <v>2</v>
      </c>
      <c r="Z933" s="20">
        <f t="shared" si="33"/>
        <v>8</v>
      </c>
    </row>
    <row r="934" spans="1:26" x14ac:dyDescent="0.2">
      <c r="A934" s="21"/>
      <c r="B934" s="51"/>
      <c r="C934" s="22"/>
      <c r="D934" s="22"/>
      <c r="E934" s="24"/>
      <c r="F934" s="22"/>
      <c r="H934" s="21">
        <v>45924</v>
      </c>
      <c r="I934" s="22" t="s">
        <v>70</v>
      </c>
      <c r="J934" s="22" t="s">
        <v>46</v>
      </c>
      <c r="K934" s="24">
        <v>6</v>
      </c>
      <c r="M934" s="21">
        <v>45946</v>
      </c>
      <c r="N934" s="22" t="s">
        <v>70</v>
      </c>
      <c r="O934" s="22" t="s">
        <v>54</v>
      </c>
      <c r="P934" s="49">
        <v>83.8</v>
      </c>
      <c r="Q934" s="49">
        <v>83.7</v>
      </c>
      <c r="R934" s="50">
        <f t="shared" si="32"/>
        <v>9.9999999999994316E-2</v>
      </c>
      <c r="T934" s="21">
        <v>45942</v>
      </c>
      <c r="U934" s="22" t="s">
        <v>42</v>
      </c>
      <c r="V934" s="24">
        <v>4</v>
      </c>
      <c r="W934" s="24">
        <v>4</v>
      </c>
      <c r="X934" s="24">
        <v>4</v>
      </c>
      <c r="Y934" s="24">
        <v>5</v>
      </c>
      <c r="Z934" s="20">
        <f t="shared" si="33"/>
        <v>17</v>
      </c>
    </row>
    <row r="935" spans="1:26" x14ac:dyDescent="0.2">
      <c r="A935" s="21"/>
      <c r="B935" s="51"/>
      <c r="C935" s="22"/>
      <c r="D935" s="22"/>
      <c r="E935" s="24"/>
      <c r="F935" s="22"/>
      <c r="H935" s="21">
        <v>45924</v>
      </c>
      <c r="I935" s="22" t="s">
        <v>70</v>
      </c>
      <c r="J935" s="22" t="s">
        <v>48</v>
      </c>
      <c r="K935" s="24">
        <v>6</v>
      </c>
      <c r="M935" s="21">
        <v>45946</v>
      </c>
      <c r="N935" s="22" t="s">
        <v>70</v>
      </c>
      <c r="O935" s="22" t="s">
        <v>55</v>
      </c>
      <c r="P935" s="49">
        <v>74.099999999999994</v>
      </c>
      <c r="Q935" s="49">
        <v>74.2</v>
      </c>
      <c r="R935" s="50">
        <f t="shared" si="32"/>
        <v>-0.10000000000000853</v>
      </c>
      <c r="T935" s="21">
        <v>45942</v>
      </c>
      <c r="U935" s="22" t="s">
        <v>44</v>
      </c>
      <c r="V935" s="24">
        <v>5</v>
      </c>
      <c r="W935" s="24">
        <v>5</v>
      </c>
      <c r="X935" s="24">
        <v>5</v>
      </c>
      <c r="Y935" s="24">
        <v>5</v>
      </c>
      <c r="Z935" s="20">
        <f t="shared" si="33"/>
        <v>20</v>
      </c>
    </row>
    <row r="936" spans="1:26" x14ac:dyDescent="0.2">
      <c r="A936" s="21"/>
      <c r="B936" s="51"/>
      <c r="C936" s="22"/>
      <c r="D936" s="22"/>
      <c r="E936" s="24"/>
      <c r="F936" s="22"/>
      <c r="H936" s="21">
        <v>45924</v>
      </c>
      <c r="I936" s="22" t="s">
        <v>70</v>
      </c>
      <c r="J936" s="22" t="s">
        <v>56</v>
      </c>
      <c r="K936" s="24">
        <v>6</v>
      </c>
      <c r="M936" s="21">
        <v>45946</v>
      </c>
      <c r="N936" s="22" t="s">
        <v>70</v>
      </c>
      <c r="O936" s="22" t="s">
        <v>56</v>
      </c>
      <c r="P936" s="49">
        <v>75.2</v>
      </c>
      <c r="Q936" s="49">
        <v>75.3</v>
      </c>
      <c r="R936" s="50">
        <f t="shared" si="32"/>
        <v>-9.9999999999994316E-2</v>
      </c>
      <c r="T936" s="21">
        <v>45942</v>
      </c>
      <c r="U936" s="22" t="s">
        <v>45</v>
      </c>
      <c r="V936" s="24">
        <v>4</v>
      </c>
      <c r="W936" s="24">
        <v>4</v>
      </c>
      <c r="X936" s="24">
        <v>4</v>
      </c>
      <c r="Y936" s="24">
        <v>5</v>
      </c>
      <c r="Z936" s="20">
        <f t="shared" si="33"/>
        <v>17</v>
      </c>
    </row>
    <row r="937" spans="1:26" x14ac:dyDescent="0.2">
      <c r="A937" s="21"/>
      <c r="B937" s="51"/>
      <c r="C937" s="22"/>
      <c r="D937" s="22"/>
      <c r="E937" s="24"/>
      <c r="F937" s="22"/>
      <c r="H937" s="21">
        <v>45924</v>
      </c>
      <c r="I937" s="22" t="s">
        <v>71</v>
      </c>
      <c r="J937" s="22" t="s">
        <v>52</v>
      </c>
      <c r="K937" s="24">
        <v>6</v>
      </c>
      <c r="M937" s="21">
        <v>45946</v>
      </c>
      <c r="N937" s="22" t="s">
        <v>70</v>
      </c>
      <c r="O937" s="22" t="s">
        <v>57</v>
      </c>
      <c r="P937" s="49">
        <v>93.1</v>
      </c>
      <c r="Q937" s="49">
        <v>92.3</v>
      </c>
      <c r="R937" s="50">
        <f t="shared" si="32"/>
        <v>0.79999999999999716</v>
      </c>
      <c r="T937" s="21">
        <v>45942</v>
      </c>
      <c r="U937" s="22" t="s">
        <v>46</v>
      </c>
      <c r="V937" s="24">
        <v>5</v>
      </c>
      <c r="W937" s="24">
        <v>3</v>
      </c>
      <c r="X937" s="24">
        <v>4</v>
      </c>
      <c r="Y937" s="24">
        <v>4</v>
      </c>
      <c r="Z937" s="20">
        <f t="shared" si="33"/>
        <v>16</v>
      </c>
    </row>
    <row r="938" spans="1:26" x14ac:dyDescent="0.2">
      <c r="A938" s="21"/>
      <c r="B938" s="51"/>
      <c r="C938" s="22"/>
      <c r="D938" s="22"/>
      <c r="E938" s="24"/>
      <c r="F938" s="22"/>
      <c r="H938" s="21">
        <v>45924</v>
      </c>
      <c r="I938" s="22" t="s">
        <v>71</v>
      </c>
      <c r="J938" s="22" t="s">
        <v>53</v>
      </c>
      <c r="K938" s="24">
        <v>6</v>
      </c>
      <c r="M938" s="21">
        <v>45946</v>
      </c>
      <c r="N938" s="22" t="s">
        <v>70</v>
      </c>
      <c r="O938" s="22" t="s">
        <v>58</v>
      </c>
      <c r="P938" s="49">
        <v>75.400000000000006</v>
      </c>
      <c r="Q938" s="49">
        <v>75.7</v>
      </c>
      <c r="R938" s="50">
        <f t="shared" si="32"/>
        <v>-0.29999999999999716</v>
      </c>
      <c r="T938" s="21">
        <v>45942</v>
      </c>
      <c r="U938" s="22" t="s">
        <v>47</v>
      </c>
      <c r="V938" s="24">
        <v>4</v>
      </c>
      <c r="W938" s="24">
        <v>5</v>
      </c>
      <c r="X938" s="24">
        <v>5</v>
      </c>
      <c r="Y938" s="24">
        <v>5</v>
      </c>
      <c r="Z938" s="20">
        <f t="shared" si="33"/>
        <v>19</v>
      </c>
    </row>
    <row r="939" spans="1:26" x14ac:dyDescent="0.2">
      <c r="A939" s="21"/>
      <c r="B939" s="51"/>
      <c r="C939" s="22"/>
      <c r="D939" s="22"/>
      <c r="E939" s="24"/>
      <c r="F939" s="22"/>
      <c r="H939" s="21">
        <v>45924</v>
      </c>
      <c r="I939" s="22" t="s">
        <v>71</v>
      </c>
      <c r="J939" s="22" t="s">
        <v>44</v>
      </c>
      <c r="K939" s="24">
        <v>8</v>
      </c>
      <c r="M939" s="21">
        <v>45947</v>
      </c>
      <c r="N939" s="22" t="s">
        <v>70</v>
      </c>
      <c r="O939" s="22" t="s">
        <v>41</v>
      </c>
      <c r="P939" s="49">
        <v>77</v>
      </c>
      <c r="Q939" s="49">
        <v>76.900000000000006</v>
      </c>
      <c r="R939" s="50">
        <f t="shared" si="32"/>
        <v>9.9999999999994316E-2</v>
      </c>
      <c r="T939" s="21">
        <v>45942</v>
      </c>
      <c r="U939" s="22" t="s">
        <v>48</v>
      </c>
      <c r="V939" s="24">
        <v>5</v>
      </c>
      <c r="W939" s="24">
        <v>5</v>
      </c>
      <c r="X939" s="24">
        <v>5</v>
      </c>
      <c r="Y939" s="24">
        <v>5</v>
      </c>
      <c r="Z939" s="20">
        <f t="shared" si="33"/>
        <v>20</v>
      </c>
    </row>
    <row r="940" spans="1:26" x14ac:dyDescent="0.2">
      <c r="A940" s="21"/>
      <c r="B940" s="51"/>
      <c r="C940" s="22"/>
      <c r="D940" s="22"/>
      <c r="E940" s="24"/>
      <c r="F940" s="22"/>
      <c r="H940" s="21">
        <v>45924</v>
      </c>
      <c r="I940" s="22" t="s">
        <v>71</v>
      </c>
      <c r="J940" s="22" t="s">
        <v>45</v>
      </c>
      <c r="K940" s="24">
        <v>6</v>
      </c>
      <c r="M940" s="21">
        <v>45947</v>
      </c>
      <c r="N940" s="22" t="s">
        <v>70</v>
      </c>
      <c r="O940" s="22" t="s">
        <v>42</v>
      </c>
      <c r="P940" s="49">
        <v>79.900000000000006</v>
      </c>
      <c r="Q940" s="49">
        <v>79.8</v>
      </c>
      <c r="R940" s="50">
        <f t="shared" si="32"/>
        <v>0.10000000000000853</v>
      </c>
      <c r="T940" s="21">
        <v>45942</v>
      </c>
      <c r="U940" s="22" t="s">
        <v>49</v>
      </c>
      <c r="V940" s="24">
        <v>5</v>
      </c>
      <c r="W940" s="24">
        <v>4</v>
      </c>
      <c r="X940" s="24">
        <v>4</v>
      </c>
      <c r="Y940" s="24">
        <v>5</v>
      </c>
      <c r="Z940" s="20">
        <f t="shared" si="33"/>
        <v>18</v>
      </c>
    </row>
    <row r="941" spans="1:26" x14ac:dyDescent="0.2">
      <c r="A941" s="21"/>
      <c r="B941" s="51"/>
      <c r="C941" s="22"/>
      <c r="D941" s="22"/>
      <c r="E941" s="24"/>
      <c r="F941" s="22"/>
      <c r="H941" s="21">
        <v>45924</v>
      </c>
      <c r="I941" s="22" t="s">
        <v>71</v>
      </c>
      <c r="J941" s="22" t="s">
        <v>57</v>
      </c>
      <c r="K941" s="24">
        <v>6</v>
      </c>
      <c r="M941" s="21">
        <v>45947</v>
      </c>
      <c r="N941" s="22" t="s">
        <v>70</v>
      </c>
      <c r="O941" s="22" t="s">
        <v>44</v>
      </c>
      <c r="P941" s="49">
        <v>67.5</v>
      </c>
      <c r="Q941" s="49">
        <v>66.8</v>
      </c>
      <c r="R941" s="50">
        <f t="shared" si="32"/>
        <v>0.70000000000000284</v>
      </c>
      <c r="T941" s="21">
        <v>45942</v>
      </c>
      <c r="U941" s="22" t="s">
        <v>50</v>
      </c>
      <c r="V941" s="24">
        <v>4</v>
      </c>
      <c r="W941" s="24">
        <v>4</v>
      </c>
      <c r="X941" s="24">
        <v>5</v>
      </c>
      <c r="Y941" s="24">
        <v>5</v>
      </c>
      <c r="Z941" s="20">
        <f t="shared" si="33"/>
        <v>18</v>
      </c>
    </row>
    <row r="942" spans="1:26" x14ac:dyDescent="0.2">
      <c r="A942" s="21"/>
      <c r="B942" s="51"/>
      <c r="C942" s="22"/>
      <c r="D942" s="22"/>
      <c r="E942" s="24"/>
      <c r="F942" s="22"/>
      <c r="H942" s="21">
        <v>45924</v>
      </c>
      <c r="I942" s="22" t="s">
        <v>71</v>
      </c>
      <c r="J942" s="22" t="s">
        <v>42</v>
      </c>
      <c r="K942" s="24">
        <v>5</v>
      </c>
      <c r="M942" s="21">
        <v>45947</v>
      </c>
      <c r="N942" s="22" t="s">
        <v>70</v>
      </c>
      <c r="O942" s="22" t="s">
        <v>45</v>
      </c>
      <c r="P942" s="49">
        <v>69</v>
      </c>
      <c r="Q942" s="49">
        <v>68.3</v>
      </c>
      <c r="R942" s="50">
        <f t="shared" si="32"/>
        <v>0.70000000000000284</v>
      </c>
      <c r="T942" s="21">
        <v>45942</v>
      </c>
      <c r="U942" s="22" t="s">
        <v>51</v>
      </c>
      <c r="V942" s="24">
        <v>5</v>
      </c>
      <c r="W942" s="24">
        <v>5</v>
      </c>
      <c r="X942" s="24">
        <v>5</v>
      </c>
      <c r="Y942" s="24">
        <v>5</v>
      </c>
      <c r="Z942" s="20">
        <f t="shared" si="33"/>
        <v>20</v>
      </c>
    </row>
    <row r="943" spans="1:26" x14ac:dyDescent="0.2">
      <c r="A943" s="21"/>
      <c r="B943" s="51"/>
      <c r="C943" s="22"/>
      <c r="D943" s="22"/>
      <c r="E943" s="24"/>
      <c r="F943" s="22"/>
      <c r="H943" s="21">
        <v>45924</v>
      </c>
      <c r="I943" s="22" t="s">
        <v>71</v>
      </c>
      <c r="J943" s="22" t="s">
        <v>54</v>
      </c>
      <c r="K943" s="24">
        <v>7</v>
      </c>
      <c r="M943" s="21">
        <v>45947</v>
      </c>
      <c r="N943" s="22" t="s">
        <v>70</v>
      </c>
      <c r="O943" s="22" t="s">
        <v>47</v>
      </c>
      <c r="P943" s="49">
        <v>71.900000000000006</v>
      </c>
      <c r="Q943" s="49">
        <v>71.7</v>
      </c>
      <c r="R943" s="50">
        <f t="shared" si="32"/>
        <v>0.20000000000000284</v>
      </c>
      <c r="T943" s="21">
        <v>45942</v>
      </c>
      <c r="U943" s="22" t="s">
        <v>52</v>
      </c>
      <c r="V943" s="24">
        <v>5</v>
      </c>
      <c r="W943" s="24">
        <v>5</v>
      </c>
      <c r="X943" s="24">
        <v>5</v>
      </c>
      <c r="Y943" s="24">
        <v>5</v>
      </c>
      <c r="Z943" s="20">
        <f t="shared" si="33"/>
        <v>20</v>
      </c>
    </row>
    <row r="944" spans="1:26" x14ac:dyDescent="0.2">
      <c r="A944" s="21"/>
      <c r="B944" s="51"/>
      <c r="C944" s="22"/>
      <c r="D944" s="22"/>
      <c r="E944" s="24"/>
      <c r="F944" s="22"/>
      <c r="H944" s="21">
        <v>45924</v>
      </c>
      <c r="I944" s="22" t="s">
        <v>71</v>
      </c>
      <c r="J944" s="22" t="s">
        <v>47</v>
      </c>
      <c r="K944" s="24">
        <v>7</v>
      </c>
      <c r="M944" s="21">
        <v>45947</v>
      </c>
      <c r="N944" s="22" t="s">
        <v>70</v>
      </c>
      <c r="O944" s="22" t="s">
        <v>48</v>
      </c>
      <c r="P944" s="49">
        <v>82.2</v>
      </c>
      <c r="Q944" s="49">
        <v>81.2</v>
      </c>
      <c r="R944" s="50">
        <f t="shared" si="32"/>
        <v>1</v>
      </c>
      <c r="T944" s="21">
        <v>45942</v>
      </c>
      <c r="U944" s="22" t="s">
        <v>53</v>
      </c>
      <c r="V944" s="24">
        <v>5</v>
      </c>
      <c r="W944" s="24">
        <v>5</v>
      </c>
      <c r="X944" s="24">
        <v>5</v>
      </c>
      <c r="Y944" s="24">
        <v>5</v>
      </c>
      <c r="Z944" s="20">
        <f t="shared" si="33"/>
        <v>20</v>
      </c>
    </row>
    <row r="945" spans="1:26" x14ac:dyDescent="0.2">
      <c r="A945" s="21"/>
      <c r="B945" s="51"/>
      <c r="C945" s="22"/>
      <c r="D945" s="22"/>
      <c r="E945" s="24"/>
      <c r="F945" s="22"/>
      <c r="H945" s="21">
        <v>45924</v>
      </c>
      <c r="I945" s="22" t="s">
        <v>71</v>
      </c>
      <c r="J945" s="22" t="s">
        <v>41</v>
      </c>
      <c r="K945" s="24">
        <v>5</v>
      </c>
      <c r="M945" s="21">
        <v>45947</v>
      </c>
      <c r="N945" s="22" t="s">
        <v>70</v>
      </c>
      <c r="O945" s="22" t="s">
        <v>49</v>
      </c>
      <c r="P945" s="49">
        <v>79</v>
      </c>
      <c r="Q945" s="49">
        <v>79</v>
      </c>
      <c r="R945" s="50">
        <f t="shared" si="32"/>
        <v>0</v>
      </c>
      <c r="T945" s="21">
        <v>45942</v>
      </c>
      <c r="U945" s="22" t="s">
        <v>56</v>
      </c>
      <c r="V945" s="24">
        <v>5</v>
      </c>
      <c r="W945" s="24">
        <v>5</v>
      </c>
      <c r="X945" s="24">
        <v>5</v>
      </c>
      <c r="Y945" s="24">
        <v>5</v>
      </c>
      <c r="Z945" s="20">
        <f t="shared" si="33"/>
        <v>20</v>
      </c>
    </row>
    <row r="946" spans="1:26" x14ac:dyDescent="0.2">
      <c r="A946" s="21"/>
      <c r="B946" s="51"/>
      <c r="C946" s="22"/>
      <c r="D946" s="22"/>
      <c r="E946" s="24"/>
      <c r="F946" s="22"/>
      <c r="H946" s="21">
        <v>45924</v>
      </c>
      <c r="I946" s="22" t="s">
        <v>71</v>
      </c>
      <c r="J946" s="22" t="s">
        <v>49</v>
      </c>
      <c r="K946" s="24">
        <v>7</v>
      </c>
      <c r="M946" s="21">
        <v>45947</v>
      </c>
      <c r="N946" s="22" t="s">
        <v>70</v>
      </c>
      <c r="O946" s="22" t="s">
        <v>50</v>
      </c>
      <c r="P946" s="49">
        <v>69.8</v>
      </c>
      <c r="Q946" s="49">
        <v>69.400000000000006</v>
      </c>
      <c r="R946" s="50">
        <f t="shared" si="32"/>
        <v>0.39999999999999147</v>
      </c>
      <c r="T946" s="21">
        <v>45942</v>
      </c>
      <c r="U946" s="22" t="s">
        <v>57</v>
      </c>
      <c r="V946" s="24">
        <v>4</v>
      </c>
      <c r="W946" s="24">
        <v>3</v>
      </c>
      <c r="X946" s="24">
        <v>4</v>
      </c>
      <c r="Y946" s="24">
        <v>5</v>
      </c>
      <c r="Z946" s="20">
        <f t="shared" si="33"/>
        <v>16</v>
      </c>
    </row>
    <row r="947" spans="1:26" x14ac:dyDescent="0.2">
      <c r="A947" s="21"/>
      <c r="B947" s="51"/>
      <c r="C947" s="22"/>
      <c r="D947" s="22"/>
      <c r="E947" s="24"/>
      <c r="F947" s="22"/>
      <c r="H947" s="21">
        <v>45924</v>
      </c>
      <c r="I947" s="22" t="s">
        <v>71</v>
      </c>
      <c r="J947" s="22" t="s">
        <v>50</v>
      </c>
      <c r="K947" s="24">
        <v>7</v>
      </c>
      <c r="M947" s="21">
        <v>45947</v>
      </c>
      <c r="N947" s="22" t="s">
        <v>70</v>
      </c>
      <c r="O947" s="22" t="s">
        <v>51</v>
      </c>
      <c r="P947" s="49">
        <v>75.599999999999994</v>
      </c>
      <c r="Q947" s="49">
        <v>75.5</v>
      </c>
      <c r="R947" s="50">
        <f t="shared" si="32"/>
        <v>9.9999999999994316E-2</v>
      </c>
      <c r="T947" s="21">
        <v>45942</v>
      </c>
      <c r="U947" s="22" t="s">
        <v>33</v>
      </c>
      <c r="V947" s="24">
        <v>4.4285714285714297</v>
      </c>
      <c r="W947" s="24">
        <v>4.21428571428571</v>
      </c>
      <c r="X947" s="24">
        <v>4.4285714285714297</v>
      </c>
      <c r="Y947" s="24">
        <v>4.71428571428571</v>
      </c>
      <c r="Z947" s="20">
        <f t="shared" si="33"/>
        <v>17.785714285714278</v>
      </c>
    </row>
    <row r="948" spans="1:26" x14ac:dyDescent="0.2">
      <c r="A948" s="21"/>
      <c r="B948" s="51"/>
      <c r="C948" s="22"/>
      <c r="D948" s="22"/>
      <c r="E948" s="24"/>
      <c r="F948" s="22"/>
      <c r="H948" s="21">
        <v>45924</v>
      </c>
      <c r="I948" s="22" t="s">
        <v>71</v>
      </c>
      <c r="J948" s="22" t="s">
        <v>51</v>
      </c>
      <c r="K948" s="24">
        <v>7</v>
      </c>
      <c r="M948" s="21">
        <v>45947</v>
      </c>
      <c r="N948" s="22" t="s">
        <v>70</v>
      </c>
      <c r="O948" s="22" t="s">
        <v>52</v>
      </c>
      <c r="P948" s="49">
        <v>71.8</v>
      </c>
      <c r="Q948" s="49">
        <v>71.099999999999994</v>
      </c>
      <c r="R948" s="50">
        <f t="shared" si="32"/>
        <v>0.70000000000000284</v>
      </c>
      <c r="T948" s="21">
        <v>45945</v>
      </c>
      <c r="U948" s="22" t="s">
        <v>41</v>
      </c>
      <c r="V948" s="24">
        <v>2</v>
      </c>
      <c r="W948" s="24">
        <v>2</v>
      </c>
      <c r="X948" s="24">
        <v>2</v>
      </c>
      <c r="Y948" s="24">
        <v>2</v>
      </c>
      <c r="Z948" s="20">
        <f t="shared" si="33"/>
        <v>8</v>
      </c>
    </row>
    <row r="949" spans="1:26" x14ac:dyDescent="0.2">
      <c r="A949" s="21"/>
      <c r="B949" s="51"/>
      <c r="C949" s="22"/>
      <c r="D949" s="22"/>
      <c r="E949" s="24"/>
      <c r="F949" s="22"/>
      <c r="H949" s="21">
        <v>45924</v>
      </c>
      <c r="I949" s="22" t="s">
        <v>71</v>
      </c>
      <c r="J949" s="22" t="s">
        <v>46</v>
      </c>
      <c r="K949" s="24">
        <v>5</v>
      </c>
      <c r="M949" s="21">
        <v>45947</v>
      </c>
      <c r="N949" s="22" t="s">
        <v>70</v>
      </c>
      <c r="O949" s="22" t="s">
        <v>53</v>
      </c>
      <c r="P949" s="49">
        <v>67</v>
      </c>
      <c r="Q949" s="49">
        <v>66.900000000000006</v>
      </c>
      <c r="R949" s="50">
        <f t="shared" si="32"/>
        <v>9.9999999999994316E-2</v>
      </c>
      <c r="T949" s="21">
        <v>45945</v>
      </c>
      <c r="U949" s="22" t="s">
        <v>42</v>
      </c>
      <c r="V949" s="24">
        <v>4</v>
      </c>
      <c r="W949" s="24">
        <v>4</v>
      </c>
      <c r="X949" s="24">
        <v>4</v>
      </c>
      <c r="Y949" s="24">
        <v>5</v>
      </c>
      <c r="Z949" s="20">
        <f t="shared" si="33"/>
        <v>17</v>
      </c>
    </row>
    <row r="950" spans="1:26" x14ac:dyDescent="0.2">
      <c r="A950" s="21"/>
      <c r="B950" s="51"/>
      <c r="C950" s="22"/>
      <c r="D950" s="22"/>
      <c r="E950" s="24"/>
      <c r="F950" s="22"/>
      <c r="H950" s="21">
        <v>45924</v>
      </c>
      <c r="I950" s="22" t="s">
        <v>71</v>
      </c>
      <c r="J950" s="22" t="s">
        <v>48</v>
      </c>
      <c r="K950" s="24">
        <v>8</v>
      </c>
      <c r="M950" s="21">
        <v>45947</v>
      </c>
      <c r="N950" s="22" t="s">
        <v>70</v>
      </c>
      <c r="O950" s="22" t="s">
        <v>54</v>
      </c>
      <c r="P950" s="49">
        <v>83.4</v>
      </c>
      <c r="Q950" s="49">
        <v>83.2</v>
      </c>
      <c r="R950" s="50">
        <f t="shared" si="32"/>
        <v>0.20000000000000284</v>
      </c>
      <c r="T950" s="21">
        <v>45945</v>
      </c>
      <c r="U950" s="22" t="s">
        <v>43</v>
      </c>
      <c r="V950" s="24">
        <v>4</v>
      </c>
      <c r="W950" s="24">
        <v>4</v>
      </c>
      <c r="X950" s="24">
        <v>4</v>
      </c>
      <c r="Y950" s="24">
        <v>5</v>
      </c>
      <c r="Z950" s="20">
        <f t="shared" si="33"/>
        <v>17</v>
      </c>
    </row>
    <row r="951" spans="1:26" x14ac:dyDescent="0.2">
      <c r="A951" s="21"/>
      <c r="B951" s="51"/>
      <c r="C951" s="22"/>
      <c r="D951" s="22"/>
      <c r="E951" s="24"/>
      <c r="F951" s="22"/>
      <c r="H951" s="21">
        <v>45924</v>
      </c>
      <c r="I951" s="22" t="s">
        <v>71</v>
      </c>
      <c r="J951" s="22" t="s">
        <v>56</v>
      </c>
      <c r="K951" s="24">
        <v>7</v>
      </c>
      <c r="M951" s="21">
        <v>45947</v>
      </c>
      <c r="N951" s="22" t="s">
        <v>70</v>
      </c>
      <c r="O951" s="22" t="s">
        <v>55</v>
      </c>
      <c r="P951" s="49">
        <v>75.400000000000006</v>
      </c>
      <c r="Q951" s="49">
        <v>75.599999999999994</v>
      </c>
      <c r="R951" s="50">
        <f t="shared" si="32"/>
        <v>-0.19999999999998863</v>
      </c>
      <c r="T951" s="21">
        <v>45945</v>
      </c>
      <c r="U951" s="22" t="s">
        <v>44</v>
      </c>
      <c r="V951" s="24">
        <v>5</v>
      </c>
      <c r="W951" s="24">
        <v>5</v>
      </c>
      <c r="X951" s="24">
        <v>5</v>
      </c>
      <c r="Y951" s="24">
        <v>5</v>
      </c>
      <c r="Z951" s="20">
        <f t="shared" si="33"/>
        <v>20</v>
      </c>
    </row>
    <row r="952" spans="1:26" x14ac:dyDescent="0.2">
      <c r="A952" s="21"/>
      <c r="B952" s="51"/>
      <c r="C952" s="22"/>
      <c r="D952" s="22"/>
      <c r="E952" s="24"/>
      <c r="F952" s="22"/>
      <c r="H952" s="21">
        <v>45925</v>
      </c>
      <c r="I952" s="22" t="s">
        <v>70</v>
      </c>
      <c r="J952" s="22" t="s">
        <v>52</v>
      </c>
      <c r="K952" s="24">
        <v>5</v>
      </c>
      <c r="M952" s="21">
        <v>45947</v>
      </c>
      <c r="N952" s="22" t="s">
        <v>70</v>
      </c>
      <c r="O952" s="22" t="s">
        <v>56</v>
      </c>
      <c r="P952" s="49">
        <v>75.400000000000006</v>
      </c>
      <c r="Q952" s="49">
        <v>75.599999999999994</v>
      </c>
      <c r="R952" s="50">
        <f t="shared" si="32"/>
        <v>-0.19999999999998863</v>
      </c>
      <c r="T952" s="21">
        <v>45945</v>
      </c>
      <c r="U952" s="22" t="s">
        <v>45</v>
      </c>
      <c r="V952" s="24">
        <v>5</v>
      </c>
      <c r="W952" s="24">
        <v>5</v>
      </c>
      <c r="X952" s="24">
        <v>4</v>
      </c>
      <c r="Y952" s="24">
        <v>5</v>
      </c>
      <c r="Z952" s="20">
        <f t="shared" si="33"/>
        <v>19</v>
      </c>
    </row>
    <row r="953" spans="1:26" x14ac:dyDescent="0.2">
      <c r="A953" s="21"/>
      <c r="B953" s="51"/>
      <c r="C953" s="22"/>
      <c r="D953" s="22"/>
      <c r="E953" s="24"/>
      <c r="F953" s="22"/>
      <c r="H953" s="21">
        <v>45925</v>
      </c>
      <c r="I953" s="22" t="s">
        <v>70</v>
      </c>
      <c r="J953" s="22" t="s">
        <v>53</v>
      </c>
      <c r="K953" s="24">
        <v>5</v>
      </c>
      <c r="M953" s="21">
        <v>45947</v>
      </c>
      <c r="N953" s="22" t="s">
        <v>70</v>
      </c>
      <c r="O953" s="22" t="s">
        <v>57</v>
      </c>
      <c r="P953" s="49">
        <v>93.6</v>
      </c>
      <c r="Q953" s="49">
        <v>93.1</v>
      </c>
      <c r="R953" s="50">
        <f t="shared" si="32"/>
        <v>0.5</v>
      </c>
      <c r="T953" s="21">
        <v>45945</v>
      </c>
      <c r="U953" s="22" t="s">
        <v>47</v>
      </c>
      <c r="V953" s="24">
        <v>4</v>
      </c>
      <c r="W953" s="24">
        <v>4</v>
      </c>
      <c r="X953" s="24">
        <v>4</v>
      </c>
      <c r="Y953" s="24">
        <v>4</v>
      </c>
      <c r="Z953" s="20">
        <f t="shared" si="33"/>
        <v>16</v>
      </c>
    </row>
    <row r="954" spans="1:26" x14ac:dyDescent="0.2">
      <c r="A954" s="21"/>
      <c r="B954" s="51"/>
      <c r="C954" s="22"/>
      <c r="D954" s="22"/>
      <c r="E954" s="24"/>
      <c r="F954" s="22"/>
      <c r="H954" s="21">
        <v>45925</v>
      </c>
      <c r="I954" s="22" t="s">
        <v>70</v>
      </c>
      <c r="J954" s="22" t="s">
        <v>44</v>
      </c>
      <c r="K954" s="24">
        <v>4</v>
      </c>
      <c r="M954" s="21">
        <v>45947</v>
      </c>
      <c r="N954" s="22" t="s">
        <v>70</v>
      </c>
      <c r="O954" s="22" t="s">
        <v>58</v>
      </c>
      <c r="P954" s="49">
        <v>76.099999999999994</v>
      </c>
      <c r="Q954" s="49">
        <v>76.5</v>
      </c>
      <c r="R954" s="50">
        <f t="shared" si="32"/>
        <v>-0.40000000000000568</v>
      </c>
      <c r="T954" s="21">
        <v>45945</v>
      </c>
      <c r="U954" s="22" t="s">
        <v>48</v>
      </c>
      <c r="V954" s="24">
        <v>5</v>
      </c>
      <c r="W954" s="24">
        <v>3</v>
      </c>
      <c r="X954" s="24">
        <v>4</v>
      </c>
      <c r="Y954" s="24">
        <v>5</v>
      </c>
      <c r="Z954" s="20">
        <f t="shared" si="33"/>
        <v>17</v>
      </c>
    </row>
    <row r="955" spans="1:26" x14ac:dyDescent="0.2">
      <c r="A955" s="21"/>
      <c r="B955" s="51"/>
      <c r="C955" s="22"/>
      <c r="D955" s="22"/>
      <c r="E955" s="24"/>
      <c r="F955" s="22"/>
      <c r="H955" s="21">
        <v>45925</v>
      </c>
      <c r="I955" s="22" t="s">
        <v>70</v>
      </c>
      <c r="J955" s="22" t="s">
        <v>45</v>
      </c>
      <c r="K955" s="24">
        <v>6</v>
      </c>
      <c r="M955" s="21">
        <v>45950</v>
      </c>
      <c r="N955" s="22" t="s">
        <v>70</v>
      </c>
      <c r="O955" s="22" t="s">
        <v>41</v>
      </c>
      <c r="P955" s="49">
        <v>77</v>
      </c>
      <c r="Q955" s="49">
        <v>77</v>
      </c>
      <c r="R955" s="50">
        <f t="shared" si="32"/>
        <v>0</v>
      </c>
      <c r="T955" s="21">
        <v>45945</v>
      </c>
      <c r="U955" s="22" t="s">
        <v>49</v>
      </c>
      <c r="V955" s="24">
        <v>5</v>
      </c>
      <c r="W955" s="24">
        <v>3</v>
      </c>
      <c r="X955" s="24">
        <v>4</v>
      </c>
      <c r="Y955" s="24">
        <v>5</v>
      </c>
      <c r="Z955" s="20">
        <f t="shared" si="33"/>
        <v>17</v>
      </c>
    </row>
    <row r="956" spans="1:26" x14ac:dyDescent="0.2">
      <c r="A956" s="21"/>
      <c r="B956" s="51"/>
      <c r="C956" s="22"/>
      <c r="D956" s="22"/>
      <c r="E956" s="24"/>
      <c r="F956" s="22"/>
      <c r="H956" s="21">
        <v>45925</v>
      </c>
      <c r="I956" s="22" t="s">
        <v>70</v>
      </c>
      <c r="J956" s="22" t="s">
        <v>57</v>
      </c>
      <c r="K956" s="24">
        <v>6</v>
      </c>
      <c r="M956" s="21">
        <v>45950</v>
      </c>
      <c r="N956" s="22" t="s">
        <v>71</v>
      </c>
      <c r="O956" s="22" t="s">
        <v>41</v>
      </c>
      <c r="P956" s="49">
        <v>77</v>
      </c>
      <c r="Q956" s="49">
        <v>77</v>
      </c>
      <c r="R956" s="50">
        <f t="shared" si="32"/>
        <v>0</v>
      </c>
      <c r="T956" s="21">
        <v>45945</v>
      </c>
      <c r="U956" s="22" t="s">
        <v>50</v>
      </c>
      <c r="V956" s="24">
        <v>2</v>
      </c>
      <c r="W956" s="24">
        <v>3</v>
      </c>
      <c r="X956" s="24">
        <v>4</v>
      </c>
      <c r="Y956" s="24">
        <v>4</v>
      </c>
      <c r="Z956" s="20">
        <f t="shared" si="33"/>
        <v>13</v>
      </c>
    </row>
    <row r="957" spans="1:26" x14ac:dyDescent="0.2">
      <c r="A957" s="21"/>
      <c r="B957" s="51"/>
      <c r="C957" s="22"/>
      <c r="D957" s="22"/>
      <c r="E957" s="24"/>
      <c r="F957" s="22"/>
      <c r="H957" s="21">
        <v>45925</v>
      </c>
      <c r="I957" s="22" t="s">
        <v>70</v>
      </c>
      <c r="J957" s="22" t="s">
        <v>42</v>
      </c>
      <c r="K957" s="24">
        <v>4</v>
      </c>
      <c r="M957" s="21">
        <v>45950</v>
      </c>
      <c r="N957" s="22" t="s">
        <v>70</v>
      </c>
      <c r="O957" s="22" t="s">
        <v>42</v>
      </c>
      <c r="P957" s="49">
        <v>79.900000000000006</v>
      </c>
      <c r="Q957" s="49">
        <v>79.900000000000006</v>
      </c>
      <c r="R957" s="50">
        <f t="shared" si="32"/>
        <v>0</v>
      </c>
      <c r="T957" s="21">
        <v>45945</v>
      </c>
      <c r="U957" s="22" t="s">
        <v>51</v>
      </c>
      <c r="V957" s="24">
        <v>4</v>
      </c>
      <c r="W957" s="24">
        <v>4</v>
      </c>
      <c r="X957" s="24">
        <v>4</v>
      </c>
      <c r="Y957" s="24">
        <v>5</v>
      </c>
      <c r="Z957" s="20">
        <f t="shared" si="33"/>
        <v>17</v>
      </c>
    </row>
    <row r="958" spans="1:26" x14ac:dyDescent="0.2">
      <c r="A958" s="21"/>
      <c r="B958" s="51"/>
      <c r="C958" s="22"/>
      <c r="D958" s="22"/>
      <c r="E958" s="24"/>
      <c r="F958" s="22"/>
      <c r="H958" s="21">
        <v>45925</v>
      </c>
      <c r="I958" s="22" t="s">
        <v>70</v>
      </c>
      <c r="J958" s="22" t="s">
        <v>54</v>
      </c>
      <c r="K958" s="24">
        <v>4</v>
      </c>
      <c r="M958" s="21">
        <v>45950</v>
      </c>
      <c r="N958" s="22" t="s">
        <v>71</v>
      </c>
      <c r="O958" s="22" t="s">
        <v>42</v>
      </c>
      <c r="P958" s="49">
        <v>79.7</v>
      </c>
      <c r="Q958" s="49">
        <v>79.599999999999994</v>
      </c>
      <c r="R958" s="50">
        <f t="shared" si="32"/>
        <v>0.10000000000000853</v>
      </c>
      <c r="T958" s="21">
        <v>45945</v>
      </c>
      <c r="U958" s="22" t="s">
        <v>52</v>
      </c>
      <c r="V958" s="24">
        <v>4</v>
      </c>
      <c r="W958" s="24">
        <v>5</v>
      </c>
      <c r="X958" s="24">
        <v>4</v>
      </c>
      <c r="Y958" s="24">
        <v>3</v>
      </c>
      <c r="Z958" s="20">
        <f t="shared" si="33"/>
        <v>16</v>
      </c>
    </row>
    <row r="959" spans="1:26" x14ac:dyDescent="0.2">
      <c r="A959" s="21"/>
      <c r="B959" s="51"/>
      <c r="C959" s="22"/>
      <c r="D959" s="22"/>
      <c r="E959" s="24"/>
      <c r="F959" s="22"/>
      <c r="H959" s="21">
        <v>45925</v>
      </c>
      <c r="I959" s="22" t="s">
        <v>70</v>
      </c>
      <c r="J959" s="22" t="s">
        <v>47</v>
      </c>
      <c r="K959" s="24">
        <v>3</v>
      </c>
      <c r="M959" s="21">
        <v>45950</v>
      </c>
      <c r="N959" s="22" t="s">
        <v>70</v>
      </c>
      <c r="O959" s="22" t="s">
        <v>44</v>
      </c>
      <c r="P959" s="49">
        <v>67.8</v>
      </c>
      <c r="Q959" s="49">
        <v>67.099999999999994</v>
      </c>
      <c r="R959" s="50">
        <f t="shared" si="32"/>
        <v>0.70000000000000284</v>
      </c>
      <c r="T959" s="21">
        <v>45945</v>
      </c>
      <c r="U959" s="22" t="s">
        <v>53</v>
      </c>
      <c r="V959" s="24">
        <v>4</v>
      </c>
      <c r="W959" s="24">
        <v>4</v>
      </c>
      <c r="X959" s="24">
        <v>4</v>
      </c>
      <c r="Y959" s="24">
        <v>4</v>
      </c>
      <c r="Z959" s="20">
        <f t="shared" si="33"/>
        <v>16</v>
      </c>
    </row>
    <row r="960" spans="1:26" x14ac:dyDescent="0.2">
      <c r="A960" s="21"/>
      <c r="B960" s="51"/>
      <c r="C960" s="22"/>
      <c r="D960" s="22"/>
      <c r="E960" s="24"/>
      <c r="F960" s="22"/>
      <c r="H960" s="21">
        <v>45925</v>
      </c>
      <c r="I960" s="22" t="s">
        <v>70</v>
      </c>
      <c r="J960" s="22" t="s">
        <v>41</v>
      </c>
      <c r="K960" s="24" t="s">
        <v>61</v>
      </c>
      <c r="M960" s="21">
        <v>45950</v>
      </c>
      <c r="N960" s="22" t="s">
        <v>71</v>
      </c>
      <c r="O960" s="22" t="s">
        <v>44</v>
      </c>
      <c r="P960" s="49">
        <v>67.5</v>
      </c>
      <c r="Q960" s="49">
        <v>67.099999999999994</v>
      </c>
      <c r="R960" s="50">
        <f t="shared" si="32"/>
        <v>0.40000000000000568</v>
      </c>
      <c r="T960" s="21">
        <v>45945</v>
      </c>
      <c r="U960" s="22" t="s">
        <v>54</v>
      </c>
      <c r="V960" s="24">
        <v>4</v>
      </c>
      <c r="W960" s="24">
        <v>4</v>
      </c>
      <c r="X960" s="24">
        <v>4</v>
      </c>
      <c r="Y960" s="24">
        <v>4</v>
      </c>
      <c r="Z960" s="20">
        <f t="shared" si="33"/>
        <v>16</v>
      </c>
    </row>
    <row r="961" spans="1:26" x14ac:dyDescent="0.2">
      <c r="A961" s="21"/>
      <c r="B961" s="51"/>
      <c r="C961" s="22"/>
      <c r="D961" s="22"/>
      <c r="E961" s="24"/>
      <c r="F961" s="22"/>
      <c r="H961" s="21">
        <v>45925</v>
      </c>
      <c r="I961" s="22" t="s">
        <v>70</v>
      </c>
      <c r="J961" s="22" t="s">
        <v>49</v>
      </c>
      <c r="K961" s="24">
        <v>6</v>
      </c>
      <c r="M961" s="21">
        <v>45950</v>
      </c>
      <c r="N961" s="22" t="s">
        <v>70</v>
      </c>
      <c r="O961" s="22" t="s">
        <v>45</v>
      </c>
      <c r="P961" s="49">
        <v>69</v>
      </c>
      <c r="Q961" s="49">
        <v>68.7</v>
      </c>
      <c r="R961" s="50">
        <f t="shared" si="32"/>
        <v>0.29999999999999716</v>
      </c>
      <c r="T961" s="21">
        <v>45945</v>
      </c>
      <c r="U961" s="22" t="s">
        <v>55</v>
      </c>
      <c r="V961" s="24">
        <v>3</v>
      </c>
      <c r="W961" s="24">
        <v>3</v>
      </c>
      <c r="X961" s="24">
        <v>4</v>
      </c>
      <c r="Y961" s="24">
        <v>4</v>
      </c>
      <c r="Z961" s="20">
        <f t="shared" si="33"/>
        <v>14</v>
      </c>
    </row>
    <row r="962" spans="1:26" x14ac:dyDescent="0.2">
      <c r="A962" s="21"/>
      <c r="B962" s="51"/>
      <c r="C962" s="22"/>
      <c r="D962" s="22"/>
      <c r="E962" s="24"/>
      <c r="F962" s="22"/>
      <c r="H962" s="21">
        <v>45925</v>
      </c>
      <c r="I962" s="22" t="s">
        <v>70</v>
      </c>
      <c r="J962" s="22" t="s">
        <v>50</v>
      </c>
      <c r="K962" s="24">
        <v>5</v>
      </c>
      <c r="M962" s="21">
        <v>45950</v>
      </c>
      <c r="N962" s="22" t="s">
        <v>71</v>
      </c>
      <c r="O962" s="22" t="s">
        <v>45</v>
      </c>
      <c r="P962" s="49">
        <v>69</v>
      </c>
      <c r="Q962" s="49">
        <v>68.3</v>
      </c>
      <c r="R962" s="50">
        <f t="shared" si="32"/>
        <v>0.70000000000000284</v>
      </c>
      <c r="T962" s="21">
        <v>45945</v>
      </c>
      <c r="U962" s="22" t="s">
        <v>56</v>
      </c>
      <c r="V962" s="24">
        <v>4</v>
      </c>
      <c r="W962" s="24">
        <v>4</v>
      </c>
      <c r="X962" s="24">
        <v>3</v>
      </c>
      <c r="Y962" s="24">
        <v>4</v>
      </c>
      <c r="Z962" s="20">
        <f t="shared" si="33"/>
        <v>15</v>
      </c>
    </row>
    <row r="963" spans="1:26" x14ac:dyDescent="0.2">
      <c r="A963" s="21"/>
      <c r="B963" s="51"/>
      <c r="C963" s="22"/>
      <c r="D963" s="22"/>
      <c r="E963" s="24"/>
      <c r="F963" s="22"/>
      <c r="H963" s="21">
        <v>45925</v>
      </c>
      <c r="I963" s="22" t="s">
        <v>70</v>
      </c>
      <c r="J963" s="22" t="s">
        <v>51</v>
      </c>
      <c r="K963" s="24">
        <v>6</v>
      </c>
      <c r="M963" s="21">
        <v>45950</v>
      </c>
      <c r="N963" s="22" t="s">
        <v>70</v>
      </c>
      <c r="O963" s="22" t="s">
        <v>47</v>
      </c>
      <c r="P963" s="49">
        <v>72</v>
      </c>
      <c r="Q963" s="49">
        <v>71.7</v>
      </c>
      <c r="R963" s="50">
        <f t="shared" ref="R963:R1026" si="34">IFERROR(P963-Q963,"")</f>
        <v>0.29999999999999716</v>
      </c>
      <c r="T963" s="21">
        <v>45945</v>
      </c>
      <c r="U963" s="22" t="s">
        <v>57</v>
      </c>
      <c r="V963" s="24">
        <v>4</v>
      </c>
      <c r="W963" s="24">
        <v>3</v>
      </c>
      <c r="X963" s="24">
        <v>4</v>
      </c>
      <c r="Y963" s="24">
        <v>4</v>
      </c>
      <c r="Z963" s="20">
        <f t="shared" ref="Z963:Z1026" si="35">SUM(V963:Y963)</f>
        <v>15</v>
      </c>
    </row>
    <row r="964" spans="1:26" x14ac:dyDescent="0.2">
      <c r="A964" s="21"/>
      <c r="B964" s="51"/>
      <c r="C964" s="22"/>
      <c r="D964" s="22"/>
      <c r="E964" s="24"/>
      <c r="F964" s="22"/>
      <c r="H964" s="21">
        <v>45925</v>
      </c>
      <c r="I964" s="22" t="s">
        <v>70</v>
      </c>
      <c r="J964" s="22" t="s">
        <v>46</v>
      </c>
      <c r="K964" s="24">
        <v>4</v>
      </c>
      <c r="M964" s="21">
        <v>45950</v>
      </c>
      <c r="N964" s="22" t="s">
        <v>71</v>
      </c>
      <c r="O964" s="22" t="s">
        <v>47</v>
      </c>
      <c r="P964" s="49">
        <v>71.8</v>
      </c>
      <c r="Q964" s="49">
        <v>72</v>
      </c>
      <c r="R964" s="50">
        <f t="shared" si="34"/>
        <v>-0.20000000000000284</v>
      </c>
      <c r="T964" s="21">
        <v>45945</v>
      </c>
      <c r="U964" s="22" t="s">
        <v>58</v>
      </c>
      <c r="V964" s="24">
        <v>3</v>
      </c>
      <c r="W964" s="24">
        <v>5</v>
      </c>
      <c r="X964" s="24">
        <v>3</v>
      </c>
      <c r="Y964" s="24">
        <v>5</v>
      </c>
      <c r="Z964" s="20">
        <f t="shared" si="35"/>
        <v>16</v>
      </c>
    </row>
    <row r="965" spans="1:26" x14ac:dyDescent="0.2">
      <c r="A965" s="21"/>
      <c r="B965" s="51"/>
      <c r="C965" s="22"/>
      <c r="D965" s="22"/>
      <c r="E965" s="24"/>
      <c r="F965" s="22"/>
      <c r="H965" s="21">
        <v>45925</v>
      </c>
      <c r="I965" s="22" t="s">
        <v>70</v>
      </c>
      <c r="J965" s="22" t="s">
        <v>48</v>
      </c>
      <c r="K965" s="24">
        <v>4</v>
      </c>
      <c r="M965" s="21">
        <v>45950</v>
      </c>
      <c r="N965" s="22" t="s">
        <v>70</v>
      </c>
      <c r="O965" s="22" t="s">
        <v>48</v>
      </c>
      <c r="P965" s="49">
        <v>82.4</v>
      </c>
      <c r="Q965" s="49">
        <v>81.7</v>
      </c>
      <c r="R965" s="50">
        <f t="shared" si="34"/>
        <v>0.70000000000000284</v>
      </c>
      <c r="T965" s="21">
        <v>45945</v>
      </c>
      <c r="U965" s="22" t="s">
        <v>33</v>
      </c>
      <c r="V965" s="24">
        <v>3.8823529411764701</v>
      </c>
      <c r="W965" s="24">
        <v>3.8235294117647101</v>
      </c>
      <c r="X965" s="24">
        <v>3.8235294117647101</v>
      </c>
      <c r="Y965" s="24">
        <v>4.2941176470588198</v>
      </c>
      <c r="Z965" s="20">
        <f t="shared" si="35"/>
        <v>15.82352941176471</v>
      </c>
    </row>
    <row r="966" spans="1:26" x14ac:dyDescent="0.2">
      <c r="A966" s="21"/>
      <c r="B966" s="51"/>
      <c r="C966" s="22"/>
      <c r="D966" s="22"/>
      <c r="E966" s="24"/>
      <c r="F966" s="22"/>
      <c r="H966" s="21">
        <v>45925</v>
      </c>
      <c r="I966" s="22" t="s">
        <v>70</v>
      </c>
      <c r="J966" s="22" t="s">
        <v>56</v>
      </c>
      <c r="K966" s="24">
        <v>5</v>
      </c>
      <c r="M966" s="21">
        <v>45950</v>
      </c>
      <c r="N966" s="22" t="s">
        <v>71</v>
      </c>
      <c r="O966" s="22" t="s">
        <v>48</v>
      </c>
      <c r="P966" s="49">
        <v>82.7</v>
      </c>
      <c r="Q966" s="49">
        <v>81.7</v>
      </c>
      <c r="R966" s="50">
        <f t="shared" si="34"/>
        <v>1</v>
      </c>
      <c r="T966" s="21">
        <v>45946</v>
      </c>
      <c r="U966" s="22" t="s">
        <v>41</v>
      </c>
      <c r="V966" s="24">
        <v>1</v>
      </c>
      <c r="W966" s="24">
        <v>5</v>
      </c>
      <c r="X966" s="24">
        <v>5</v>
      </c>
      <c r="Y966" s="24">
        <v>1</v>
      </c>
      <c r="Z966" s="20">
        <f t="shared" si="35"/>
        <v>12</v>
      </c>
    </row>
    <row r="967" spans="1:26" x14ac:dyDescent="0.2">
      <c r="A967" s="21"/>
      <c r="B967" s="51"/>
      <c r="C967" s="22"/>
      <c r="D967" s="22"/>
      <c r="E967" s="24"/>
      <c r="F967" s="22"/>
      <c r="H967" s="21">
        <v>45926</v>
      </c>
      <c r="I967" s="22" t="s">
        <v>70</v>
      </c>
      <c r="J967" s="22" t="s">
        <v>52</v>
      </c>
      <c r="K967" s="24">
        <v>4</v>
      </c>
      <c r="M967" s="21">
        <v>45950</v>
      </c>
      <c r="N967" s="22" t="s">
        <v>70</v>
      </c>
      <c r="O967" s="22" t="s">
        <v>49</v>
      </c>
      <c r="P967" s="49">
        <v>78.900000000000006</v>
      </c>
      <c r="Q967" s="49">
        <v>78.3</v>
      </c>
      <c r="R967" s="50">
        <f t="shared" si="34"/>
        <v>0.60000000000000853</v>
      </c>
      <c r="T967" s="21">
        <v>45946</v>
      </c>
      <c r="U967" s="22" t="s">
        <v>42</v>
      </c>
      <c r="V967" s="24">
        <v>3</v>
      </c>
      <c r="W967" s="24">
        <v>4</v>
      </c>
      <c r="X967" s="24">
        <v>4</v>
      </c>
      <c r="Y967" s="24">
        <v>5</v>
      </c>
      <c r="Z967" s="20">
        <f t="shared" si="35"/>
        <v>16</v>
      </c>
    </row>
    <row r="968" spans="1:26" x14ac:dyDescent="0.2">
      <c r="A968" s="21"/>
      <c r="B968" s="51"/>
      <c r="C968" s="22"/>
      <c r="D968" s="22"/>
      <c r="E968" s="24"/>
      <c r="F968" s="22"/>
      <c r="H968" s="21">
        <v>45926</v>
      </c>
      <c r="I968" s="22" t="s">
        <v>70</v>
      </c>
      <c r="J968" s="22" t="s">
        <v>53</v>
      </c>
      <c r="K968" s="24">
        <v>4</v>
      </c>
      <c r="M968" s="21">
        <v>45950</v>
      </c>
      <c r="N968" s="22" t="s">
        <v>71</v>
      </c>
      <c r="O968" s="22" t="s">
        <v>49</v>
      </c>
      <c r="P968" s="49">
        <v>78.599999999999994</v>
      </c>
      <c r="Q968" s="49">
        <v>78.599999999999994</v>
      </c>
      <c r="R968" s="50">
        <f t="shared" si="34"/>
        <v>0</v>
      </c>
      <c r="T968" s="21">
        <v>45946</v>
      </c>
      <c r="U968" s="22" t="s">
        <v>44</v>
      </c>
      <c r="V968" s="24">
        <v>5</v>
      </c>
      <c r="W968" s="24">
        <v>5</v>
      </c>
      <c r="X968" s="24">
        <v>4</v>
      </c>
      <c r="Y968" s="24">
        <v>5</v>
      </c>
      <c r="Z968" s="20">
        <f t="shared" si="35"/>
        <v>19</v>
      </c>
    </row>
    <row r="969" spans="1:26" x14ac:dyDescent="0.2">
      <c r="A969" s="21"/>
      <c r="B969" s="51"/>
      <c r="C969" s="22"/>
      <c r="D969" s="22"/>
      <c r="E969" s="24"/>
      <c r="F969" s="22"/>
      <c r="H969" s="21">
        <v>45926</v>
      </c>
      <c r="I969" s="22" t="s">
        <v>70</v>
      </c>
      <c r="J969" s="22" t="s">
        <v>44</v>
      </c>
      <c r="K969" s="24">
        <v>3</v>
      </c>
      <c r="M969" s="21">
        <v>45950</v>
      </c>
      <c r="N969" s="22" t="s">
        <v>70</v>
      </c>
      <c r="O969" s="22" t="s">
        <v>50</v>
      </c>
      <c r="P969" s="49">
        <v>69.900000000000006</v>
      </c>
      <c r="Q969" s="49">
        <v>69.2</v>
      </c>
      <c r="R969" s="50">
        <f t="shared" si="34"/>
        <v>0.70000000000000284</v>
      </c>
      <c r="T969" s="21">
        <v>45946</v>
      </c>
      <c r="U969" s="22" t="s">
        <v>45</v>
      </c>
      <c r="V969" s="24">
        <v>5</v>
      </c>
      <c r="W969" s="24">
        <v>5</v>
      </c>
      <c r="X969" s="24">
        <v>4</v>
      </c>
      <c r="Y969" s="24">
        <v>5</v>
      </c>
      <c r="Z969" s="20">
        <f t="shared" si="35"/>
        <v>19</v>
      </c>
    </row>
    <row r="970" spans="1:26" x14ac:dyDescent="0.2">
      <c r="A970" s="21"/>
      <c r="B970" s="51"/>
      <c r="C970" s="22"/>
      <c r="D970" s="22"/>
      <c r="E970" s="24"/>
      <c r="F970" s="22"/>
      <c r="H970" s="21">
        <v>45926</v>
      </c>
      <c r="I970" s="22" t="s">
        <v>70</v>
      </c>
      <c r="J970" s="22" t="s">
        <v>45</v>
      </c>
      <c r="K970" s="24">
        <v>4</v>
      </c>
      <c r="M970" s="21">
        <v>45950</v>
      </c>
      <c r="N970" s="22" t="s">
        <v>71</v>
      </c>
      <c r="O970" s="22" t="s">
        <v>50</v>
      </c>
      <c r="P970" s="49">
        <v>70.5</v>
      </c>
      <c r="Q970" s="49">
        <v>69.7</v>
      </c>
      <c r="R970" s="50">
        <f t="shared" si="34"/>
        <v>0.79999999999999716</v>
      </c>
      <c r="T970" s="21">
        <v>45946</v>
      </c>
      <c r="U970" s="22" t="s">
        <v>47</v>
      </c>
      <c r="V970" s="24">
        <v>3</v>
      </c>
      <c r="W970" s="24">
        <v>4</v>
      </c>
      <c r="X970" s="24">
        <v>4</v>
      </c>
      <c r="Y970" s="24">
        <v>5</v>
      </c>
      <c r="Z970" s="20">
        <f t="shared" si="35"/>
        <v>16</v>
      </c>
    </row>
    <row r="971" spans="1:26" x14ac:dyDescent="0.2">
      <c r="A971" s="21"/>
      <c r="B971" s="51"/>
      <c r="C971" s="22"/>
      <c r="D971" s="22"/>
      <c r="E971" s="24"/>
      <c r="F971" s="22"/>
      <c r="H971" s="21">
        <v>45926</v>
      </c>
      <c r="I971" s="22" t="s">
        <v>70</v>
      </c>
      <c r="J971" s="22" t="s">
        <v>57</v>
      </c>
      <c r="K971" s="24">
        <v>3</v>
      </c>
      <c r="M971" s="21">
        <v>45950</v>
      </c>
      <c r="N971" s="22" t="s">
        <v>70</v>
      </c>
      <c r="O971" s="22" t="s">
        <v>51</v>
      </c>
      <c r="P971" s="49">
        <v>75.900000000000006</v>
      </c>
      <c r="Q971" s="49">
        <v>75.8</v>
      </c>
      <c r="R971" s="50">
        <f t="shared" si="34"/>
        <v>0.10000000000000853</v>
      </c>
      <c r="T971" s="21">
        <v>45946</v>
      </c>
      <c r="U971" s="22" t="s">
        <v>48</v>
      </c>
      <c r="V971" s="24">
        <v>3</v>
      </c>
      <c r="W971" s="24">
        <v>3</v>
      </c>
      <c r="X971" s="24">
        <v>4</v>
      </c>
      <c r="Y971" s="24">
        <v>5</v>
      </c>
      <c r="Z971" s="20">
        <f t="shared" si="35"/>
        <v>15</v>
      </c>
    </row>
    <row r="972" spans="1:26" x14ac:dyDescent="0.2">
      <c r="A972" s="21"/>
      <c r="B972" s="51"/>
      <c r="C972" s="22"/>
      <c r="D972" s="22"/>
      <c r="E972" s="24"/>
      <c r="F972" s="22"/>
      <c r="H972" s="21">
        <v>45926</v>
      </c>
      <c r="I972" s="22" t="s">
        <v>70</v>
      </c>
      <c r="J972" s="22" t="s">
        <v>42</v>
      </c>
      <c r="K972" s="24">
        <v>3</v>
      </c>
      <c r="M972" s="21">
        <v>45950</v>
      </c>
      <c r="N972" s="22" t="s">
        <v>71</v>
      </c>
      <c r="O972" s="22" t="s">
        <v>51</v>
      </c>
      <c r="P972" s="49">
        <v>75.8</v>
      </c>
      <c r="Q972" s="49">
        <v>75.599999999999994</v>
      </c>
      <c r="R972" s="50">
        <f t="shared" si="34"/>
        <v>0.20000000000000284</v>
      </c>
      <c r="T972" s="21">
        <v>45946</v>
      </c>
      <c r="U972" s="22" t="s">
        <v>49</v>
      </c>
      <c r="V972" s="24">
        <v>4</v>
      </c>
      <c r="W972" s="24">
        <v>3</v>
      </c>
      <c r="X972" s="24">
        <v>3</v>
      </c>
      <c r="Y972" s="24">
        <v>4</v>
      </c>
      <c r="Z972" s="20">
        <f t="shared" si="35"/>
        <v>14</v>
      </c>
    </row>
    <row r="973" spans="1:26" x14ac:dyDescent="0.2">
      <c r="A973" s="21"/>
      <c r="B973" s="51"/>
      <c r="C973" s="22"/>
      <c r="D973" s="22"/>
      <c r="E973" s="24"/>
      <c r="F973" s="22"/>
      <c r="H973" s="21">
        <v>45926</v>
      </c>
      <c r="I973" s="22" t="s">
        <v>70</v>
      </c>
      <c r="J973" s="22" t="s">
        <v>54</v>
      </c>
      <c r="K973" s="24">
        <v>2</v>
      </c>
      <c r="M973" s="21">
        <v>45950</v>
      </c>
      <c r="N973" s="22" t="s">
        <v>70</v>
      </c>
      <c r="O973" s="22" t="s">
        <v>52</v>
      </c>
      <c r="P973" s="49">
        <v>72.3</v>
      </c>
      <c r="Q973" s="49">
        <v>72</v>
      </c>
      <c r="R973" s="46">
        <f t="shared" si="34"/>
        <v>0.29999999999999716</v>
      </c>
      <c r="T973" s="21">
        <v>45946</v>
      </c>
      <c r="U973" s="22" t="s">
        <v>50</v>
      </c>
      <c r="V973" s="24">
        <v>3</v>
      </c>
      <c r="W973" s="24">
        <v>3</v>
      </c>
      <c r="X973" s="24">
        <v>3</v>
      </c>
      <c r="Y973" s="24">
        <v>5</v>
      </c>
      <c r="Z973" s="20">
        <f t="shared" si="35"/>
        <v>14</v>
      </c>
    </row>
    <row r="974" spans="1:26" x14ac:dyDescent="0.2">
      <c r="A974" s="21"/>
      <c r="B974" s="51"/>
      <c r="C974" s="22"/>
      <c r="D974" s="22"/>
      <c r="E974" s="24"/>
      <c r="F974" s="22"/>
      <c r="H974" s="21">
        <v>45926</v>
      </c>
      <c r="I974" s="22" t="s">
        <v>70</v>
      </c>
      <c r="J974" s="22" t="s">
        <v>47</v>
      </c>
      <c r="K974" s="24">
        <v>3</v>
      </c>
      <c r="M974" s="21">
        <v>45950</v>
      </c>
      <c r="N974" s="22" t="s">
        <v>71</v>
      </c>
      <c r="O974" s="22" t="s">
        <v>52</v>
      </c>
      <c r="P974" s="49">
        <v>72.599999999999994</v>
      </c>
      <c r="Q974" s="49">
        <v>72</v>
      </c>
      <c r="R974" s="46">
        <f t="shared" si="34"/>
        <v>0.59999999999999432</v>
      </c>
      <c r="T974" s="21">
        <v>45946</v>
      </c>
      <c r="U974" s="22" t="s">
        <v>51</v>
      </c>
      <c r="V974" s="24">
        <v>3</v>
      </c>
      <c r="W974" s="24">
        <v>3</v>
      </c>
      <c r="X974" s="24">
        <v>4</v>
      </c>
      <c r="Y974" s="24">
        <v>5</v>
      </c>
      <c r="Z974" s="20">
        <f t="shared" si="35"/>
        <v>15</v>
      </c>
    </row>
    <row r="975" spans="1:26" x14ac:dyDescent="0.2">
      <c r="A975" s="21"/>
      <c r="B975" s="51"/>
      <c r="C975" s="22"/>
      <c r="D975" s="22"/>
      <c r="E975" s="24"/>
      <c r="F975" s="22"/>
      <c r="H975" s="21">
        <v>45926</v>
      </c>
      <c r="I975" s="22" t="s">
        <v>70</v>
      </c>
      <c r="J975" s="22" t="s">
        <v>41</v>
      </c>
      <c r="K975" s="24" t="s">
        <v>61</v>
      </c>
      <c r="M975" s="21">
        <v>45950</v>
      </c>
      <c r="N975" s="22" t="s">
        <v>70</v>
      </c>
      <c r="O975" s="22" t="s">
        <v>53</v>
      </c>
      <c r="P975" s="49">
        <v>67.2</v>
      </c>
      <c r="Q975" s="49">
        <v>66.8</v>
      </c>
      <c r="R975" s="46">
        <f t="shared" si="34"/>
        <v>0.40000000000000568</v>
      </c>
      <c r="T975" s="21">
        <v>45946</v>
      </c>
      <c r="U975" s="22" t="s">
        <v>52</v>
      </c>
      <c r="V975" s="24">
        <v>3</v>
      </c>
      <c r="W975" s="24">
        <v>4</v>
      </c>
      <c r="X975" s="24">
        <v>4</v>
      </c>
      <c r="Y975" s="24">
        <v>3</v>
      </c>
      <c r="Z975" s="20">
        <f t="shared" si="35"/>
        <v>14</v>
      </c>
    </row>
    <row r="976" spans="1:26" x14ac:dyDescent="0.2">
      <c r="A976" s="21"/>
      <c r="B976" s="51"/>
      <c r="C976" s="22"/>
      <c r="D976" s="22"/>
      <c r="E976" s="24"/>
      <c r="F976" s="22"/>
      <c r="H976" s="21">
        <v>45926</v>
      </c>
      <c r="I976" s="22" t="s">
        <v>70</v>
      </c>
      <c r="J976" s="22" t="s">
        <v>49</v>
      </c>
      <c r="K976" s="24">
        <v>3</v>
      </c>
      <c r="M976" s="21">
        <v>45950</v>
      </c>
      <c r="N976" s="22" t="s">
        <v>71</v>
      </c>
      <c r="O976" s="22" t="s">
        <v>53</v>
      </c>
      <c r="P976" s="49">
        <v>67.2</v>
      </c>
      <c r="Q976" s="49">
        <v>67</v>
      </c>
      <c r="R976" s="46">
        <f t="shared" si="34"/>
        <v>0.20000000000000284</v>
      </c>
      <c r="T976" s="21">
        <v>45946</v>
      </c>
      <c r="U976" s="22" t="s">
        <v>53</v>
      </c>
      <c r="V976" s="24">
        <v>4</v>
      </c>
      <c r="W976" s="24">
        <v>4</v>
      </c>
      <c r="X976" s="24">
        <v>4</v>
      </c>
      <c r="Y976" s="24">
        <v>3</v>
      </c>
      <c r="Z976" s="20">
        <f t="shared" si="35"/>
        <v>15</v>
      </c>
    </row>
    <row r="977" spans="1:26" x14ac:dyDescent="0.2">
      <c r="A977" s="21"/>
      <c r="B977" s="51"/>
      <c r="C977" s="22"/>
      <c r="D977" s="22"/>
      <c r="E977" s="24"/>
      <c r="F977" s="22"/>
      <c r="H977" s="21">
        <v>45926</v>
      </c>
      <c r="I977" s="22" t="s">
        <v>70</v>
      </c>
      <c r="J977" s="22" t="s">
        <v>43</v>
      </c>
      <c r="K977" s="24">
        <v>4</v>
      </c>
      <c r="M977" s="21">
        <v>45950</v>
      </c>
      <c r="N977" s="22" t="s">
        <v>70</v>
      </c>
      <c r="O977" s="22" t="s">
        <v>56</v>
      </c>
      <c r="P977" s="49">
        <v>75.099999999999994</v>
      </c>
      <c r="Q977" s="49">
        <v>75</v>
      </c>
      <c r="R977" s="46">
        <f t="shared" si="34"/>
        <v>9.9999999999994316E-2</v>
      </c>
      <c r="T977" s="21">
        <v>45946</v>
      </c>
      <c r="U977" s="22" t="s">
        <v>54</v>
      </c>
      <c r="V977" s="24">
        <v>3</v>
      </c>
      <c r="W977" s="24">
        <v>3</v>
      </c>
      <c r="X977" s="24">
        <v>3</v>
      </c>
      <c r="Y977" s="24">
        <v>4</v>
      </c>
      <c r="Z977" s="20">
        <f t="shared" si="35"/>
        <v>13</v>
      </c>
    </row>
    <row r="978" spans="1:26" x14ac:dyDescent="0.2">
      <c r="A978" s="21"/>
      <c r="B978" s="51"/>
      <c r="C978" s="22"/>
      <c r="D978" s="22"/>
      <c r="E978" s="24"/>
      <c r="F978" s="22"/>
      <c r="H978" s="21">
        <v>45926</v>
      </c>
      <c r="I978" s="22" t="s">
        <v>70</v>
      </c>
      <c r="J978" s="22" t="s">
        <v>50</v>
      </c>
      <c r="K978" s="24">
        <v>2</v>
      </c>
      <c r="M978" s="21">
        <v>45950</v>
      </c>
      <c r="N978" s="22" t="s">
        <v>71</v>
      </c>
      <c r="O978" s="22" t="s">
        <v>56</v>
      </c>
      <c r="P978" s="49">
        <v>75.2</v>
      </c>
      <c r="Q978" s="49">
        <v>75.3</v>
      </c>
      <c r="R978" s="46">
        <f t="shared" si="34"/>
        <v>-9.9999999999994316E-2</v>
      </c>
      <c r="T978" s="21">
        <v>45946</v>
      </c>
      <c r="U978" s="22" t="s">
        <v>55</v>
      </c>
      <c r="V978" s="24">
        <v>4</v>
      </c>
      <c r="W978" s="24">
        <v>4</v>
      </c>
      <c r="X978" s="24">
        <v>4</v>
      </c>
      <c r="Y978" s="24">
        <v>4</v>
      </c>
      <c r="Z978" s="20">
        <f t="shared" si="35"/>
        <v>16</v>
      </c>
    </row>
    <row r="979" spans="1:26" x14ac:dyDescent="0.2">
      <c r="A979" s="21"/>
      <c r="B979" s="51"/>
      <c r="C979" s="22"/>
      <c r="D979" s="22"/>
      <c r="E979" s="24"/>
      <c r="F979" s="22"/>
      <c r="H979" s="21">
        <v>45926</v>
      </c>
      <c r="I979" s="22" t="s">
        <v>70</v>
      </c>
      <c r="J979" s="22" t="s">
        <v>51</v>
      </c>
      <c r="K979" s="24">
        <v>3</v>
      </c>
      <c r="M979" s="21">
        <v>45950</v>
      </c>
      <c r="N979" s="22" t="s">
        <v>70</v>
      </c>
      <c r="O979" s="22" t="s">
        <v>57</v>
      </c>
      <c r="P979" s="49">
        <v>93.1</v>
      </c>
      <c r="Q979" s="49">
        <v>93</v>
      </c>
      <c r="R979" s="46">
        <f t="shared" si="34"/>
        <v>9.9999999999994316E-2</v>
      </c>
      <c r="T979" s="21">
        <v>45946</v>
      </c>
      <c r="U979" s="22" t="s">
        <v>56</v>
      </c>
      <c r="V979" s="24">
        <v>4</v>
      </c>
      <c r="W979" s="24">
        <v>4</v>
      </c>
      <c r="X979" s="24">
        <v>4</v>
      </c>
      <c r="Y979" s="24">
        <v>4</v>
      </c>
      <c r="Z979" s="20">
        <f t="shared" si="35"/>
        <v>16</v>
      </c>
    </row>
    <row r="980" spans="1:26" x14ac:dyDescent="0.2">
      <c r="A980" s="21"/>
      <c r="B980" s="51"/>
      <c r="C980" s="22"/>
      <c r="D980" s="22"/>
      <c r="E980" s="24"/>
      <c r="F980" s="22"/>
      <c r="H980" s="21">
        <v>45926</v>
      </c>
      <c r="I980" s="22" t="s">
        <v>70</v>
      </c>
      <c r="J980" s="22" t="s">
        <v>46</v>
      </c>
      <c r="K980" s="24">
        <v>4</v>
      </c>
      <c r="M980" s="21">
        <v>45950</v>
      </c>
      <c r="N980" s="22" t="s">
        <v>71</v>
      </c>
      <c r="O980" s="22" t="s">
        <v>57</v>
      </c>
      <c r="P980" s="49">
        <v>93.6</v>
      </c>
      <c r="Q980" s="49">
        <v>93</v>
      </c>
      <c r="R980" s="46">
        <f t="shared" si="34"/>
        <v>0.59999999999999432</v>
      </c>
      <c r="T980" s="21">
        <v>45946</v>
      </c>
      <c r="U980" s="22" t="s">
        <v>57</v>
      </c>
      <c r="V980" s="24">
        <v>4</v>
      </c>
      <c r="W980" s="24">
        <v>3</v>
      </c>
      <c r="X980" s="24">
        <v>3</v>
      </c>
      <c r="Y980" s="24">
        <v>4</v>
      </c>
      <c r="Z980" s="20">
        <f t="shared" si="35"/>
        <v>14</v>
      </c>
    </row>
    <row r="981" spans="1:26" x14ac:dyDescent="0.2">
      <c r="A981" s="21"/>
      <c r="B981" s="51"/>
      <c r="C981" s="22"/>
      <c r="D981" s="22"/>
      <c r="E981" s="24"/>
      <c r="F981" s="22"/>
      <c r="H981" s="21">
        <v>45926</v>
      </c>
      <c r="I981" s="22" t="s">
        <v>70</v>
      </c>
      <c r="J981" s="22" t="s">
        <v>48</v>
      </c>
      <c r="K981" s="24">
        <v>3</v>
      </c>
      <c r="M981" s="21">
        <v>45950</v>
      </c>
      <c r="N981" s="22" t="s">
        <v>70</v>
      </c>
      <c r="O981" s="22" t="s">
        <v>58</v>
      </c>
      <c r="P981" s="49">
        <v>76.599999999999994</v>
      </c>
      <c r="Q981" s="49">
        <v>75.7</v>
      </c>
      <c r="R981" s="46">
        <f t="shared" si="34"/>
        <v>0.89999999999999147</v>
      </c>
      <c r="T981" s="21">
        <v>45946</v>
      </c>
      <c r="U981" s="22" t="s">
        <v>58</v>
      </c>
      <c r="V981" s="24">
        <v>5</v>
      </c>
      <c r="W981" s="24">
        <v>5</v>
      </c>
      <c r="X981" s="24">
        <v>4</v>
      </c>
      <c r="Y981" s="24">
        <v>5</v>
      </c>
      <c r="Z981" s="20">
        <f t="shared" si="35"/>
        <v>19</v>
      </c>
    </row>
    <row r="982" spans="1:26" x14ac:dyDescent="0.2">
      <c r="A982" s="21"/>
      <c r="B982" s="51"/>
      <c r="C982" s="22"/>
      <c r="D982" s="22"/>
      <c r="E982" s="24"/>
      <c r="F982" s="22"/>
      <c r="H982" s="21">
        <v>45926</v>
      </c>
      <c r="I982" s="22" t="s">
        <v>70</v>
      </c>
      <c r="J982" s="22" t="s">
        <v>56</v>
      </c>
      <c r="K982" s="24">
        <v>4</v>
      </c>
      <c r="M982" s="21">
        <v>45950</v>
      </c>
      <c r="N982" s="22" t="s">
        <v>71</v>
      </c>
      <c r="O982" s="22" t="s">
        <v>58</v>
      </c>
      <c r="P982" s="49">
        <v>76.7</v>
      </c>
      <c r="Q982" s="49">
        <v>76.099999999999994</v>
      </c>
      <c r="R982" s="46">
        <f t="shared" si="34"/>
        <v>0.60000000000000853</v>
      </c>
      <c r="T982" s="21">
        <v>45946</v>
      </c>
      <c r="U982" s="22" t="s">
        <v>33</v>
      </c>
      <c r="V982" s="24">
        <v>3.5625</v>
      </c>
      <c r="W982" s="24">
        <v>3.875</v>
      </c>
      <c r="X982" s="24">
        <v>3.8125</v>
      </c>
      <c r="Y982" s="24">
        <v>4.1875</v>
      </c>
      <c r="Z982" s="20">
        <f t="shared" si="35"/>
        <v>15.4375</v>
      </c>
    </row>
    <row r="983" spans="1:26" x14ac:dyDescent="0.2">
      <c r="A983" s="21"/>
      <c r="B983" s="51"/>
      <c r="C983" s="22"/>
      <c r="D983" s="22"/>
      <c r="E983" s="24"/>
      <c r="F983" s="22"/>
      <c r="H983" s="21">
        <v>45927</v>
      </c>
      <c r="I983" s="22" t="s">
        <v>70</v>
      </c>
      <c r="J983" s="22" t="s">
        <v>52</v>
      </c>
      <c r="K983" s="24">
        <v>5</v>
      </c>
      <c r="M983" s="21">
        <v>45951</v>
      </c>
      <c r="N983" s="22" t="s">
        <v>70</v>
      </c>
      <c r="O983" s="22" t="s">
        <v>41</v>
      </c>
      <c r="P983" s="49">
        <v>77</v>
      </c>
      <c r="Q983" s="49">
        <v>77.8</v>
      </c>
      <c r="R983" s="50">
        <f t="shared" si="34"/>
        <v>-0.79999999999999716</v>
      </c>
      <c r="T983" s="21">
        <v>45947</v>
      </c>
      <c r="U983" s="22" t="s">
        <v>41</v>
      </c>
      <c r="V983" s="24">
        <v>1</v>
      </c>
      <c r="W983" s="24">
        <v>5</v>
      </c>
      <c r="X983" s="24">
        <v>1</v>
      </c>
      <c r="Y983" s="24">
        <v>1</v>
      </c>
      <c r="Z983" s="20">
        <f t="shared" si="35"/>
        <v>8</v>
      </c>
    </row>
    <row r="984" spans="1:26" x14ac:dyDescent="0.2">
      <c r="A984" s="21"/>
      <c r="B984" s="51"/>
      <c r="C984" s="22"/>
      <c r="D984" s="22"/>
      <c r="E984" s="24"/>
      <c r="F984" s="22"/>
      <c r="H984" s="21">
        <v>45927</v>
      </c>
      <c r="I984" s="22" t="s">
        <v>70</v>
      </c>
      <c r="J984" s="22" t="s">
        <v>53</v>
      </c>
      <c r="K984" s="24">
        <v>6</v>
      </c>
      <c r="M984" s="21">
        <v>45951</v>
      </c>
      <c r="N984" s="22" t="s">
        <v>70</v>
      </c>
      <c r="O984" s="22" t="s">
        <v>42</v>
      </c>
      <c r="P984" s="49">
        <v>79.8</v>
      </c>
      <c r="Q984" s="49">
        <v>79.8</v>
      </c>
      <c r="R984" s="50">
        <f t="shared" si="34"/>
        <v>0</v>
      </c>
      <c r="T984" s="21">
        <v>45947</v>
      </c>
      <c r="U984" s="22" t="s">
        <v>42</v>
      </c>
      <c r="V984" s="24">
        <v>4</v>
      </c>
      <c r="W984" s="24">
        <v>4</v>
      </c>
      <c r="X984" s="24">
        <v>4</v>
      </c>
      <c r="Y984" s="24">
        <v>5</v>
      </c>
      <c r="Z984" s="20">
        <f t="shared" si="35"/>
        <v>17</v>
      </c>
    </row>
    <row r="985" spans="1:26" x14ac:dyDescent="0.2">
      <c r="A985" s="21"/>
      <c r="B985" s="51"/>
      <c r="C985" s="22"/>
      <c r="D985" s="22"/>
      <c r="E985" s="24"/>
      <c r="F985" s="22"/>
      <c r="H985" s="21">
        <v>45927</v>
      </c>
      <c r="I985" s="22" t="s">
        <v>70</v>
      </c>
      <c r="J985" s="22" t="s">
        <v>44</v>
      </c>
      <c r="K985" s="24">
        <v>7</v>
      </c>
      <c r="M985" s="21">
        <v>45951</v>
      </c>
      <c r="N985" s="22" t="s">
        <v>70</v>
      </c>
      <c r="O985" s="22" t="s">
        <v>44</v>
      </c>
      <c r="P985" s="49">
        <v>67</v>
      </c>
      <c r="Q985" s="49">
        <v>67.099999999999994</v>
      </c>
      <c r="R985" s="50">
        <f t="shared" si="34"/>
        <v>-9.9999999999994316E-2</v>
      </c>
      <c r="T985" s="21">
        <v>45947</v>
      </c>
      <c r="U985" s="22" t="s">
        <v>44</v>
      </c>
      <c r="V985" s="24">
        <v>5</v>
      </c>
      <c r="W985" s="24">
        <v>5</v>
      </c>
      <c r="X985" s="24">
        <v>5</v>
      </c>
      <c r="Y985" s="24">
        <v>5</v>
      </c>
      <c r="Z985" s="20">
        <f t="shared" si="35"/>
        <v>20</v>
      </c>
    </row>
    <row r="986" spans="1:26" x14ac:dyDescent="0.2">
      <c r="A986" s="21"/>
      <c r="B986" s="51"/>
      <c r="C986" s="22"/>
      <c r="D986" s="22"/>
      <c r="E986" s="24"/>
      <c r="F986" s="22"/>
      <c r="H986" s="21">
        <v>45927</v>
      </c>
      <c r="I986" s="22" t="s">
        <v>70</v>
      </c>
      <c r="J986" s="22" t="s">
        <v>45</v>
      </c>
      <c r="K986" s="24">
        <v>8</v>
      </c>
      <c r="M986" s="21">
        <v>45951</v>
      </c>
      <c r="N986" s="22" t="s">
        <v>70</v>
      </c>
      <c r="O986" s="22" t="s">
        <v>45</v>
      </c>
      <c r="P986" s="49">
        <v>68.5</v>
      </c>
      <c r="Q986" s="49">
        <v>68</v>
      </c>
      <c r="R986" s="50">
        <f t="shared" si="34"/>
        <v>0.5</v>
      </c>
      <c r="T986" s="21">
        <v>45947</v>
      </c>
      <c r="U986" s="22" t="s">
        <v>45</v>
      </c>
      <c r="V986" s="24">
        <v>5</v>
      </c>
      <c r="W986" s="24">
        <v>5</v>
      </c>
      <c r="X986" s="24">
        <v>4</v>
      </c>
      <c r="Y986" s="24">
        <v>5</v>
      </c>
      <c r="Z986" s="20">
        <f t="shared" si="35"/>
        <v>19</v>
      </c>
    </row>
    <row r="987" spans="1:26" x14ac:dyDescent="0.2">
      <c r="A987" s="21"/>
      <c r="B987" s="51"/>
      <c r="C987" s="22"/>
      <c r="D987" s="22"/>
      <c r="E987" s="24"/>
      <c r="F987" s="22"/>
      <c r="H987" s="21">
        <v>45927</v>
      </c>
      <c r="I987" s="22" t="s">
        <v>70</v>
      </c>
      <c r="J987" s="22" t="s">
        <v>57</v>
      </c>
      <c r="K987" s="24" t="s">
        <v>63</v>
      </c>
      <c r="M987" s="21">
        <v>45951</v>
      </c>
      <c r="N987" s="22" t="s">
        <v>70</v>
      </c>
      <c r="O987" s="22" t="s">
        <v>47</v>
      </c>
      <c r="P987" s="49">
        <v>72</v>
      </c>
      <c r="Q987" s="49">
        <v>72</v>
      </c>
      <c r="R987" s="50">
        <f t="shared" si="34"/>
        <v>0</v>
      </c>
      <c r="T987" s="21">
        <v>45947</v>
      </c>
      <c r="U987" s="22" t="s">
        <v>47</v>
      </c>
      <c r="V987" s="24">
        <v>3</v>
      </c>
      <c r="W987" s="24">
        <v>4</v>
      </c>
      <c r="X987" s="24">
        <v>4</v>
      </c>
      <c r="Y987" s="24">
        <v>5</v>
      </c>
      <c r="Z987" s="20">
        <f t="shared" si="35"/>
        <v>16</v>
      </c>
    </row>
    <row r="988" spans="1:26" x14ac:dyDescent="0.2">
      <c r="A988" s="21"/>
      <c r="B988" s="51"/>
      <c r="C988" s="22"/>
      <c r="D988" s="22"/>
      <c r="E988" s="24"/>
      <c r="F988" s="22"/>
      <c r="H988" s="21">
        <v>45927</v>
      </c>
      <c r="I988" s="22" t="s">
        <v>70</v>
      </c>
      <c r="J988" s="22" t="s">
        <v>42</v>
      </c>
      <c r="K988" s="24">
        <v>6</v>
      </c>
      <c r="M988" s="21">
        <v>45951</v>
      </c>
      <c r="N988" s="22" t="s">
        <v>70</v>
      </c>
      <c r="O988" s="22" t="s">
        <v>48</v>
      </c>
      <c r="P988" s="49">
        <v>82.4</v>
      </c>
      <c r="Q988" s="49">
        <v>81.599999999999994</v>
      </c>
      <c r="R988" s="50">
        <f t="shared" si="34"/>
        <v>0.80000000000001137</v>
      </c>
      <c r="T988" s="21">
        <v>45947</v>
      </c>
      <c r="U988" s="22" t="s">
        <v>48</v>
      </c>
      <c r="V988" s="24">
        <v>3</v>
      </c>
      <c r="W988" s="24">
        <v>3</v>
      </c>
      <c r="X988" s="24">
        <v>4</v>
      </c>
      <c r="Y988" s="24">
        <v>5</v>
      </c>
      <c r="Z988" s="20">
        <f t="shared" si="35"/>
        <v>15</v>
      </c>
    </row>
    <row r="989" spans="1:26" x14ac:dyDescent="0.2">
      <c r="A989" s="21"/>
      <c r="B989" s="51"/>
      <c r="C989" s="22"/>
      <c r="D989" s="22"/>
      <c r="E989" s="24"/>
      <c r="F989" s="22"/>
      <c r="H989" s="21">
        <v>45927</v>
      </c>
      <c r="I989" s="22" t="s">
        <v>70</v>
      </c>
      <c r="J989" s="22" t="s">
        <v>47</v>
      </c>
      <c r="K989" s="24">
        <v>6</v>
      </c>
      <c r="M989" s="21">
        <v>45951</v>
      </c>
      <c r="N989" s="22" t="s">
        <v>70</v>
      </c>
      <c r="O989" s="22" t="s">
        <v>49</v>
      </c>
      <c r="P989" s="49">
        <v>77.7</v>
      </c>
      <c r="Q989" s="49">
        <v>79.400000000000006</v>
      </c>
      <c r="R989" s="50">
        <f t="shared" si="34"/>
        <v>-1.7000000000000028</v>
      </c>
      <c r="T989" s="21">
        <v>45947</v>
      </c>
      <c r="U989" s="22" t="s">
        <v>49</v>
      </c>
      <c r="V989" s="24">
        <v>3</v>
      </c>
      <c r="W989" s="24">
        <v>3</v>
      </c>
      <c r="X989" s="24">
        <v>3</v>
      </c>
      <c r="Y989" s="24">
        <v>3</v>
      </c>
      <c r="Z989" s="20">
        <f t="shared" si="35"/>
        <v>12</v>
      </c>
    </row>
    <row r="990" spans="1:26" x14ac:dyDescent="0.2">
      <c r="A990" s="21"/>
      <c r="B990" s="51"/>
      <c r="C990" s="22"/>
      <c r="D990" s="22"/>
      <c r="E990" s="24"/>
      <c r="F990" s="22"/>
      <c r="H990" s="21">
        <v>45927</v>
      </c>
      <c r="I990" s="22" t="s">
        <v>70</v>
      </c>
      <c r="J990" s="22" t="s">
        <v>41</v>
      </c>
      <c r="K990" s="24" t="s">
        <v>61</v>
      </c>
      <c r="M990" s="21">
        <v>45951</v>
      </c>
      <c r="N990" s="22" t="s">
        <v>70</v>
      </c>
      <c r="O990" s="22" t="s">
        <v>50</v>
      </c>
      <c r="P990" s="49">
        <v>70</v>
      </c>
      <c r="Q990" s="49">
        <v>68.900000000000006</v>
      </c>
      <c r="R990" s="50">
        <f t="shared" si="34"/>
        <v>1.0999999999999943</v>
      </c>
      <c r="T990" s="21">
        <v>45947</v>
      </c>
      <c r="U990" s="22" t="s">
        <v>50</v>
      </c>
      <c r="V990" s="24">
        <v>2</v>
      </c>
      <c r="W990" s="24">
        <v>3</v>
      </c>
      <c r="X990" s="24">
        <v>4</v>
      </c>
      <c r="Y990" s="24">
        <v>5</v>
      </c>
      <c r="Z990" s="20">
        <f t="shared" si="35"/>
        <v>14</v>
      </c>
    </row>
    <row r="991" spans="1:26" x14ac:dyDescent="0.2">
      <c r="A991" s="21"/>
      <c r="B991" s="51"/>
      <c r="C991" s="22"/>
      <c r="D991" s="22"/>
      <c r="E991" s="24"/>
      <c r="F991" s="22"/>
      <c r="H991" s="21">
        <v>45927</v>
      </c>
      <c r="I991" s="22" t="s">
        <v>70</v>
      </c>
      <c r="J991" s="22" t="s">
        <v>49</v>
      </c>
      <c r="K991" s="24">
        <v>8</v>
      </c>
      <c r="M991" s="21">
        <v>45951</v>
      </c>
      <c r="N991" s="22" t="s">
        <v>70</v>
      </c>
      <c r="O991" s="22" t="s">
        <v>51</v>
      </c>
      <c r="P991" s="49">
        <v>75.5</v>
      </c>
      <c r="Q991" s="49">
        <v>75.599999999999994</v>
      </c>
      <c r="R991" s="50">
        <f t="shared" si="34"/>
        <v>-9.9999999999994316E-2</v>
      </c>
      <c r="T991" s="21">
        <v>45947</v>
      </c>
      <c r="U991" s="22" t="s">
        <v>51</v>
      </c>
      <c r="V991" s="24">
        <v>3</v>
      </c>
      <c r="W991" s="24">
        <v>4</v>
      </c>
      <c r="X991" s="24">
        <v>4</v>
      </c>
      <c r="Y991" s="24">
        <v>5</v>
      </c>
      <c r="Z991" s="20">
        <f t="shared" si="35"/>
        <v>16</v>
      </c>
    </row>
    <row r="992" spans="1:26" x14ac:dyDescent="0.2">
      <c r="A992" s="21"/>
      <c r="B992" s="51"/>
      <c r="C992" s="22"/>
      <c r="D992" s="22"/>
      <c r="E992" s="24"/>
      <c r="F992" s="22"/>
      <c r="H992" s="21">
        <v>45927</v>
      </c>
      <c r="I992" s="22" t="s">
        <v>70</v>
      </c>
      <c r="J992" s="22" t="s">
        <v>43</v>
      </c>
      <c r="K992" s="24" t="s">
        <v>63</v>
      </c>
      <c r="M992" s="21">
        <v>45951</v>
      </c>
      <c r="N992" s="22" t="s">
        <v>70</v>
      </c>
      <c r="O992" s="22" t="s">
        <v>52</v>
      </c>
      <c r="P992" s="49">
        <v>71.5</v>
      </c>
      <c r="Q992" s="49">
        <v>71.099999999999994</v>
      </c>
      <c r="R992" s="46">
        <f t="shared" si="34"/>
        <v>0.40000000000000568</v>
      </c>
      <c r="T992" s="21">
        <v>45947</v>
      </c>
      <c r="U992" s="22" t="s">
        <v>52</v>
      </c>
      <c r="V992" s="24">
        <v>3</v>
      </c>
      <c r="W992" s="24">
        <v>4</v>
      </c>
      <c r="X992" s="24">
        <v>4</v>
      </c>
      <c r="Y992" s="24">
        <v>5</v>
      </c>
      <c r="Z992" s="20">
        <f t="shared" si="35"/>
        <v>16</v>
      </c>
    </row>
    <row r="993" spans="1:26" x14ac:dyDescent="0.2">
      <c r="A993" s="21"/>
      <c r="B993" s="51"/>
      <c r="C993" s="22"/>
      <c r="D993" s="22"/>
      <c r="E993" s="24"/>
      <c r="F993" s="22"/>
      <c r="H993" s="21">
        <v>45927</v>
      </c>
      <c r="I993" s="22" t="s">
        <v>70</v>
      </c>
      <c r="J993" s="22" t="s">
        <v>50</v>
      </c>
      <c r="K993" s="24">
        <v>8</v>
      </c>
      <c r="M993" s="21">
        <v>45951</v>
      </c>
      <c r="N993" s="22" t="s">
        <v>70</v>
      </c>
      <c r="O993" s="22" t="s">
        <v>53</v>
      </c>
      <c r="P993" s="49">
        <v>66.5</v>
      </c>
      <c r="Q993" s="49">
        <v>65.400000000000006</v>
      </c>
      <c r="R993" s="46">
        <f t="shared" si="34"/>
        <v>1.0999999999999943</v>
      </c>
      <c r="T993" s="21">
        <v>45947</v>
      </c>
      <c r="U993" s="22" t="s">
        <v>53</v>
      </c>
      <c r="V993" s="24">
        <v>3</v>
      </c>
      <c r="W993" s="24">
        <v>4</v>
      </c>
      <c r="X993" s="24">
        <v>4</v>
      </c>
      <c r="Y993" s="24">
        <v>3</v>
      </c>
      <c r="Z993" s="20">
        <f t="shared" si="35"/>
        <v>14</v>
      </c>
    </row>
    <row r="994" spans="1:26" x14ac:dyDescent="0.2">
      <c r="A994" s="21"/>
      <c r="B994" s="51"/>
      <c r="C994" s="22"/>
      <c r="D994" s="22"/>
      <c r="E994" s="24"/>
      <c r="F994" s="22"/>
      <c r="H994" s="21">
        <v>45927</v>
      </c>
      <c r="I994" s="22" t="s">
        <v>70</v>
      </c>
      <c r="J994" s="22" t="s">
        <v>51</v>
      </c>
      <c r="K994" s="24">
        <v>7</v>
      </c>
      <c r="M994" s="21">
        <v>45951</v>
      </c>
      <c r="N994" s="22" t="s">
        <v>70</v>
      </c>
      <c r="O994" s="22" t="s">
        <v>56</v>
      </c>
      <c r="P994" s="49">
        <v>75.2</v>
      </c>
      <c r="Q994" s="49">
        <v>75</v>
      </c>
      <c r="R994" s="46">
        <f t="shared" si="34"/>
        <v>0.20000000000000284</v>
      </c>
      <c r="T994" s="21">
        <v>45947</v>
      </c>
      <c r="U994" s="22" t="s">
        <v>54</v>
      </c>
      <c r="V994" s="24">
        <v>4</v>
      </c>
      <c r="W994" s="24">
        <v>4</v>
      </c>
      <c r="X994" s="24">
        <v>4</v>
      </c>
      <c r="Y994" s="24">
        <v>4</v>
      </c>
      <c r="Z994" s="20">
        <f t="shared" si="35"/>
        <v>16</v>
      </c>
    </row>
    <row r="995" spans="1:26" x14ac:dyDescent="0.2">
      <c r="A995" s="21"/>
      <c r="B995" s="51"/>
      <c r="C995" s="22"/>
      <c r="D995" s="22"/>
      <c r="E995" s="24"/>
      <c r="F995" s="22"/>
      <c r="H995" s="21">
        <v>45927</v>
      </c>
      <c r="I995" s="22" t="s">
        <v>70</v>
      </c>
      <c r="J995" s="22" t="s">
        <v>46</v>
      </c>
      <c r="K995" s="24">
        <v>7</v>
      </c>
      <c r="M995" s="21">
        <v>45951</v>
      </c>
      <c r="N995" s="22" t="s">
        <v>70</v>
      </c>
      <c r="O995" s="22" t="s">
        <v>57</v>
      </c>
      <c r="P995" s="49">
        <v>93.5</v>
      </c>
      <c r="Q995" s="49">
        <v>92.7</v>
      </c>
      <c r="R995" s="46">
        <f t="shared" si="34"/>
        <v>0.79999999999999716</v>
      </c>
      <c r="T995" s="21">
        <v>45947</v>
      </c>
      <c r="U995" s="22" t="s">
        <v>55</v>
      </c>
      <c r="V995" s="24">
        <v>4</v>
      </c>
      <c r="W995" s="24">
        <v>4</v>
      </c>
      <c r="X995" s="24">
        <v>4</v>
      </c>
      <c r="Y995" s="24">
        <v>5</v>
      </c>
      <c r="Z995" s="20">
        <f t="shared" si="35"/>
        <v>17</v>
      </c>
    </row>
    <row r="996" spans="1:26" x14ac:dyDescent="0.2">
      <c r="A996" s="21"/>
      <c r="B996" s="51"/>
      <c r="C996" s="22"/>
      <c r="D996" s="22"/>
      <c r="E996" s="24"/>
      <c r="F996" s="22"/>
      <c r="H996" s="21">
        <v>45927</v>
      </c>
      <c r="I996" s="22" t="s">
        <v>70</v>
      </c>
      <c r="J996" s="22" t="s">
        <v>48</v>
      </c>
      <c r="K996" s="24">
        <v>6</v>
      </c>
      <c r="M996" s="21">
        <v>45951</v>
      </c>
      <c r="N996" s="22" t="s">
        <v>70</v>
      </c>
      <c r="O996" s="22" t="s">
        <v>58</v>
      </c>
      <c r="P996" s="49">
        <v>76.3</v>
      </c>
      <c r="Q996" s="49">
        <v>75.8</v>
      </c>
      <c r="R996" s="46">
        <f t="shared" si="34"/>
        <v>0.5</v>
      </c>
      <c r="T996" s="21">
        <v>45947</v>
      </c>
      <c r="U996" s="22" t="s">
        <v>56</v>
      </c>
      <c r="V996" s="24">
        <v>4</v>
      </c>
      <c r="W996" s="24">
        <v>4</v>
      </c>
      <c r="X996" s="24">
        <v>4</v>
      </c>
      <c r="Y996" s="24">
        <v>4</v>
      </c>
      <c r="Z996" s="20">
        <f t="shared" si="35"/>
        <v>16</v>
      </c>
    </row>
    <row r="997" spans="1:26" x14ac:dyDescent="0.2">
      <c r="A997" s="21"/>
      <c r="B997" s="51"/>
      <c r="C997" s="22"/>
      <c r="D997" s="22"/>
      <c r="E997" s="24"/>
      <c r="F997" s="22"/>
      <c r="H997" s="21">
        <v>45927</v>
      </c>
      <c r="I997" s="22" t="s">
        <v>70</v>
      </c>
      <c r="J997" s="22" t="s">
        <v>56</v>
      </c>
      <c r="K997" s="24">
        <v>7</v>
      </c>
      <c r="M997" s="21">
        <v>45952</v>
      </c>
      <c r="N997" s="22" t="s">
        <v>70</v>
      </c>
      <c r="O997" s="22" t="s">
        <v>41</v>
      </c>
      <c r="P997" s="49">
        <v>76.900000000000006</v>
      </c>
      <c r="Q997" s="49">
        <v>76.8</v>
      </c>
      <c r="R997" s="50">
        <f t="shared" si="34"/>
        <v>0.10000000000000853</v>
      </c>
      <c r="T997" s="21">
        <v>45947</v>
      </c>
      <c r="U997" s="22" t="s">
        <v>57</v>
      </c>
      <c r="V997" s="24">
        <v>3</v>
      </c>
      <c r="W997" s="24">
        <v>4</v>
      </c>
      <c r="X997" s="24">
        <v>4</v>
      </c>
      <c r="Y997" s="24">
        <v>5</v>
      </c>
      <c r="Z997" s="20">
        <f t="shared" si="35"/>
        <v>16</v>
      </c>
    </row>
    <row r="998" spans="1:26" x14ac:dyDescent="0.2">
      <c r="A998" s="21"/>
      <c r="B998" s="51"/>
      <c r="C998" s="22"/>
      <c r="D998" s="22"/>
      <c r="E998" s="24"/>
      <c r="F998" s="22"/>
      <c r="H998" s="21">
        <v>45929</v>
      </c>
      <c r="I998" s="22" t="s">
        <v>70</v>
      </c>
      <c r="J998" s="22" t="s">
        <v>52</v>
      </c>
      <c r="K998" s="24">
        <v>4</v>
      </c>
      <c r="M998" s="21">
        <v>45952</v>
      </c>
      <c r="N998" s="22" t="s">
        <v>70</v>
      </c>
      <c r="O998" s="22" t="s">
        <v>42</v>
      </c>
      <c r="P998" s="49">
        <v>79.900000000000006</v>
      </c>
      <c r="Q998" s="49">
        <v>79.7</v>
      </c>
      <c r="R998" s="50">
        <f t="shared" si="34"/>
        <v>0.20000000000000284</v>
      </c>
      <c r="T998" s="21">
        <v>45947</v>
      </c>
      <c r="U998" s="22" t="s">
        <v>58</v>
      </c>
      <c r="V998" s="24">
        <v>4</v>
      </c>
      <c r="W998" s="24">
        <v>3</v>
      </c>
      <c r="X998" s="24">
        <v>3</v>
      </c>
      <c r="Y998" s="24">
        <v>4</v>
      </c>
      <c r="Z998" s="20">
        <f t="shared" si="35"/>
        <v>14</v>
      </c>
    </row>
    <row r="999" spans="1:26" x14ac:dyDescent="0.2">
      <c r="A999" s="21"/>
      <c r="B999" s="51"/>
      <c r="C999" s="22"/>
      <c r="D999" s="22"/>
      <c r="E999" s="24"/>
      <c r="F999" s="22"/>
      <c r="H999" s="21">
        <v>45929</v>
      </c>
      <c r="I999" s="22" t="s">
        <v>70</v>
      </c>
      <c r="J999" s="22" t="s">
        <v>53</v>
      </c>
      <c r="K999" s="24">
        <v>4</v>
      </c>
      <c r="M999" s="21">
        <v>45952</v>
      </c>
      <c r="N999" s="22" t="s">
        <v>70</v>
      </c>
      <c r="O999" s="22" t="s">
        <v>43</v>
      </c>
      <c r="P999" s="49">
        <v>88</v>
      </c>
      <c r="Q999" s="49">
        <v>86.2</v>
      </c>
      <c r="R999" s="50">
        <f t="shared" si="34"/>
        <v>1.7999999999999972</v>
      </c>
      <c r="T999" s="21">
        <v>45947</v>
      </c>
      <c r="U999" s="22" t="s">
        <v>33</v>
      </c>
      <c r="V999" s="24">
        <v>3.375</v>
      </c>
      <c r="W999" s="24">
        <v>3.9375</v>
      </c>
      <c r="X999" s="24">
        <v>3.75</v>
      </c>
      <c r="Y999" s="24">
        <v>4.3125</v>
      </c>
      <c r="Z999" s="20">
        <f t="shared" si="35"/>
        <v>15.375</v>
      </c>
    </row>
    <row r="1000" spans="1:26" x14ac:dyDescent="0.2">
      <c r="A1000" s="21"/>
      <c r="B1000" s="51"/>
      <c r="C1000" s="22"/>
      <c r="D1000" s="22"/>
      <c r="E1000" s="24"/>
      <c r="F1000" s="22"/>
      <c r="H1000" s="21">
        <v>45929</v>
      </c>
      <c r="I1000" s="22" t="s">
        <v>70</v>
      </c>
      <c r="J1000" s="22" t="s">
        <v>44</v>
      </c>
      <c r="K1000" s="24">
        <v>4</v>
      </c>
      <c r="M1000" s="21">
        <v>45952</v>
      </c>
      <c r="N1000" s="22" t="s">
        <v>70</v>
      </c>
      <c r="O1000" s="22" t="s">
        <v>44</v>
      </c>
      <c r="P1000" s="49">
        <v>67</v>
      </c>
      <c r="Q1000" s="49">
        <v>66.599999999999994</v>
      </c>
      <c r="R1000" s="50">
        <f t="shared" si="34"/>
        <v>0.40000000000000568</v>
      </c>
      <c r="T1000" s="21">
        <v>45950</v>
      </c>
      <c r="U1000" s="22" t="s">
        <v>41</v>
      </c>
      <c r="V1000" s="24">
        <v>1</v>
      </c>
      <c r="W1000" s="24">
        <v>5</v>
      </c>
      <c r="X1000" s="24">
        <v>1</v>
      </c>
      <c r="Y1000" s="24">
        <v>1</v>
      </c>
      <c r="Z1000" s="20">
        <f t="shared" si="35"/>
        <v>8</v>
      </c>
    </row>
    <row r="1001" spans="1:26" x14ac:dyDescent="0.2">
      <c r="A1001" s="21"/>
      <c r="B1001" s="20"/>
      <c r="C1001" s="22"/>
      <c r="D1001" s="22"/>
      <c r="E1001" s="24"/>
      <c r="F1001" s="22"/>
      <c r="H1001" s="21">
        <v>45929</v>
      </c>
      <c r="I1001" s="22" t="s">
        <v>70</v>
      </c>
      <c r="J1001" s="22" t="s">
        <v>45</v>
      </c>
      <c r="K1001" s="24">
        <v>4</v>
      </c>
      <c r="M1001" s="21">
        <v>45952</v>
      </c>
      <c r="N1001" s="22" t="s">
        <v>70</v>
      </c>
      <c r="O1001" s="22" t="s">
        <v>45</v>
      </c>
      <c r="P1001" s="49">
        <v>68.5</v>
      </c>
      <c r="Q1001" s="49">
        <v>68</v>
      </c>
      <c r="R1001" s="50">
        <f t="shared" si="34"/>
        <v>0.5</v>
      </c>
      <c r="T1001" s="21">
        <v>45950</v>
      </c>
      <c r="U1001" s="22" t="s">
        <v>42</v>
      </c>
      <c r="V1001" s="24">
        <v>4</v>
      </c>
      <c r="W1001" s="24">
        <v>4</v>
      </c>
      <c r="X1001" s="24">
        <v>4</v>
      </c>
      <c r="Y1001" s="24">
        <v>5</v>
      </c>
      <c r="Z1001" s="20">
        <f t="shared" si="35"/>
        <v>17</v>
      </c>
    </row>
    <row r="1002" spans="1:26" x14ac:dyDescent="0.2">
      <c r="A1002" s="21"/>
      <c r="B1002" s="20"/>
      <c r="C1002" s="22"/>
      <c r="D1002" s="22"/>
      <c r="E1002" s="24"/>
      <c r="F1002" s="22"/>
      <c r="H1002" s="21">
        <v>45929</v>
      </c>
      <c r="I1002" s="22" t="s">
        <v>70</v>
      </c>
      <c r="J1002" s="22" t="s">
        <v>42</v>
      </c>
      <c r="K1002" s="24">
        <v>4</v>
      </c>
      <c r="M1002" s="21">
        <v>45952</v>
      </c>
      <c r="N1002" s="22" t="s">
        <v>70</v>
      </c>
      <c r="O1002" s="22" t="s">
        <v>47</v>
      </c>
      <c r="P1002" s="49">
        <v>71.599999999999994</v>
      </c>
      <c r="Q1002" s="49">
        <v>71.5</v>
      </c>
      <c r="R1002" s="50">
        <f t="shared" si="34"/>
        <v>9.9999999999994316E-2</v>
      </c>
      <c r="T1002" s="21">
        <v>45950</v>
      </c>
      <c r="U1002" s="22" t="s">
        <v>44</v>
      </c>
      <c r="V1002" s="24">
        <v>4</v>
      </c>
      <c r="W1002" s="24">
        <v>4</v>
      </c>
      <c r="X1002" s="24">
        <v>5</v>
      </c>
      <c r="Y1002" s="24">
        <v>5</v>
      </c>
      <c r="Z1002" s="20">
        <f t="shared" si="35"/>
        <v>18</v>
      </c>
    </row>
    <row r="1003" spans="1:26" x14ac:dyDescent="0.2">
      <c r="A1003" s="21"/>
      <c r="B1003" s="20"/>
      <c r="C1003" s="22"/>
      <c r="D1003" s="22"/>
      <c r="E1003" s="24"/>
      <c r="F1003" s="22"/>
      <c r="H1003" s="21">
        <v>45929</v>
      </c>
      <c r="I1003" s="22" t="s">
        <v>70</v>
      </c>
      <c r="J1003" s="22" t="s">
        <v>47</v>
      </c>
      <c r="K1003" s="24">
        <v>4</v>
      </c>
      <c r="M1003" s="21">
        <v>45952</v>
      </c>
      <c r="N1003" s="22" t="s">
        <v>70</v>
      </c>
      <c r="O1003" s="22" t="s">
        <v>48</v>
      </c>
      <c r="P1003" s="49">
        <v>82.4</v>
      </c>
      <c r="Q1003" s="49">
        <v>81.3</v>
      </c>
      <c r="R1003" s="50">
        <f t="shared" si="34"/>
        <v>1.1000000000000085</v>
      </c>
      <c r="T1003" s="21">
        <v>45950</v>
      </c>
      <c r="U1003" s="22" t="s">
        <v>45</v>
      </c>
      <c r="V1003" s="24">
        <v>4</v>
      </c>
      <c r="W1003" s="24">
        <v>5</v>
      </c>
      <c r="X1003" s="24">
        <v>4</v>
      </c>
      <c r="Y1003" s="24">
        <v>5</v>
      </c>
      <c r="Z1003" s="20">
        <f t="shared" si="35"/>
        <v>18</v>
      </c>
    </row>
    <row r="1004" spans="1:26" x14ac:dyDescent="0.2">
      <c r="A1004" s="21"/>
      <c r="B1004" s="20"/>
      <c r="C1004" s="22"/>
      <c r="D1004" s="22"/>
      <c r="E1004" s="24"/>
      <c r="F1004" s="22"/>
      <c r="H1004" s="21">
        <v>45929</v>
      </c>
      <c r="I1004" s="22" t="s">
        <v>70</v>
      </c>
      <c r="J1004" s="22" t="s">
        <v>41</v>
      </c>
      <c r="K1004" s="24">
        <v>4</v>
      </c>
      <c r="M1004" s="21">
        <v>45952</v>
      </c>
      <c r="N1004" s="22" t="s">
        <v>70</v>
      </c>
      <c r="O1004" s="22" t="s">
        <v>49</v>
      </c>
      <c r="P1004" s="49">
        <v>78.7</v>
      </c>
      <c r="Q1004" s="49">
        <v>78.599999999999994</v>
      </c>
      <c r="R1004" s="50">
        <f t="shared" si="34"/>
        <v>0.10000000000000853</v>
      </c>
      <c r="T1004" s="21">
        <v>45950</v>
      </c>
      <c r="U1004" s="22" t="s">
        <v>47</v>
      </c>
      <c r="V1004" s="24">
        <v>4</v>
      </c>
      <c r="W1004" s="24">
        <v>4</v>
      </c>
      <c r="X1004" s="24">
        <v>4</v>
      </c>
      <c r="Y1004" s="24">
        <v>3</v>
      </c>
      <c r="Z1004" s="20">
        <f t="shared" si="35"/>
        <v>15</v>
      </c>
    </row>
    <row r="1005" spans="1:26" x14ac:dyDescent="0.2">
      <c r="A1005" s="21"/>
      <c r="B1005" s="20"/>
      <c r="C1005" s="22"/>
      <c r="D1005" s="22"/>
      <c r="E1005" s="24"/>
      <c r="F1005" s="22"/>
      <c r="H1005" s="21">
        <v>45929</v>
      </c>
      <c r="I1005" s="22" t="s">
        <v>70</v>
      </c>
      <c r="J1005" s="22" t="s">
        <v>49</v>
      </c>
      <c r="K1005" s="24">
        <v>4</v>
      </c>
      <c r="M1005" s="21">
        <v>45952</v>
      </c>
      <c r="N1005" s="22" t="s">
        <v>70</v>
      </c>
      <c r="O1005" s="22" t="s">
        <v>50</v>
      </c>
      <c r="P1005" s="49">
        <v>70.3</v>
      </c>
      <c r="Q1005" s="49">
        <v>69.3</v>
      </c>
      <c r="R1005" s="50">
        <f t="shared" si="34"/>
        <v>1</v>
      </c>
      <c r="T1005" s="21">
        <v>45950</v>
      </c>
      <c r="U1005" s="22" t="s">
        <v>48</v>
      </c>
      <c r="V1005" s="24">
        <v>5</v>
      </c>
      <c r="W1005" s="24">
        <v>4</v>
      </c>
      <c r="X1005" s="24">
        <v>4</v>
      </c>
      <c r="Y1005" s="24">
        <v>5</v>
      </c>
      <c r="Z1005" s="20">
        <f t="shared" si="35"/>
        <v>18</v>
      </c>
    </row>
    <row r="1006" spans="1:26" x14ac:dyDescent="0.2">
      <c r="A1006" s="21"/>
      <c r="B1006" s="20"/>
      <c r="C1006" s="22"/>
      <c r="D1006" s="22"/>
      <c r="E1006" s="24"/>
      <c r="F1006" s="22"/>
      <c r="H1006" s="21">
        <v>45929</v>
      </c>
      <c r="I1006" s="22" t="s">
        <v>70</v>
      </c>
      <c r="J1006" s="22" t="s">
        <v>50</v>
      </c>
      <c r="K1006" s="24">
        <v>4</v>
      </c>
      <c r="M1006" s="21">
        <v>45952</v>
      </c>
      <c r="N1006" s="22" t="s">
        <v>70</v>
      </c>
      <c r="O1006" s="22" t="s">
        <v>51</v>
      </c>
      <c r="P1006" s="49">
        <v>75.900000000000006</v>
      </c>
      <c r="Q1006" s="49">
        <v>75.5</v>
      </c>
      <c r="R1006" s="46">
        <f t="shared" si="34"/>
        <v>0.40000000000000568</v>
      </c>
      <c r="T1006" s="21">
        <v>45950</v>
      </c>
      <c r="U1006" s="22" t="s">
        <v>49</v>
      </c>
      <c r="V1006" s="24">
        <v>4</v>
      </c>
      <c r="W1006" s="24">
        <v>4</v>
      </c>
      <c r="X1006" s="24">
        <v>4</v>
      </c>
      <c r="Y1006" s="24">
        <v>4</v>
      </c>
      <c r="Z1006" s="20">
        <f t="shared" si="35"/>
        <v>16</v>
      </c>
    </row>
    <row r="1007" spans="1:26" x14ac:dyDescent="0.2">
      <c r="A1007" s="21"/>
      <c r="B1007" s="20"/>
      <c r="C1007" s="22"/>
      <c r="D1007" s="22"/>
      <c r="E1007" s="24"/>
      <c r="F1007" s="22"/>
      <c r="H1007" s="21">
        <v>45929</v>
      </c>
      <c r="I1007" s="22" t="s">
        <v>70</v>
      </c>
      <c r="J1007" s="22" t="s">
        <v>51</v>
      </c>
      <c r="K1007" s="24">
        <v>4</v>
      </c>
      <c r="M1007" s="21">
        <v>45952</v>
      </c>
      <c r="N1007" s="22" t="s">
        <v>70</v>
      </c>
      <c r="O1007" s="22" t="s">
        <v>52</v>
      </c>
      <c r="P1007" s="49">
        <v>71.5</v>
      </c>
      <c r="Q1007" s="49">
        <v>71.5</v>
      </c>
      <c r="R1007" s="46">
        <f t="shared" si="34"/>
        <v>0</v>
      </c>
      <c r="T1007" s="21">
        <v>45950</v>
      </c>
      <c r="U1007" s="22" t="s">
        <v>50</v>
      </c>
      <c r="V1007" s="24">
        <v>2</v>
      </c>
      <c r="W1007" s="24">
        <v>4</v>
      </c>
      <c r="X1007" s="24">
        <v>4</v>
      </c>
      <c r="Y1007" s="24">
        <v>4</v>
      </c>
      <c r="Z1007" s="20">
        <f t="shared" si="35"/>
        <v>14</v>
      </c>
    </row>
    <row r="1008" spans="1:26" x14ac:dyDescent="0.2">
      <c r="A1008" s="21"/>
      <c r="B1008" s="20"/>
      <c r="C1008" s="22"/>
      <c r="D1008" s="22"/>
      <c r="E1008" s="24"/>
      <c r="F1008" s="22"/>
      <c r="H1008" s="21">
        <v>45929</v>
      </c>
      <c r="I1008" s="22" t="s">
        <v>70</v>
      </c>
      <c r="J1008" s="22" t="s">
        <v>46</v>
      </c>
      <c r="K1008" s="24">
        <v>4</v>
      </c>
      <c r="M1008" s="21">
        <v>45952</v>
      </c>
      <c r="N1008" s="22" t="s">
        <v>70</v>
      </c>
      <c r="O1008" s="22" t="s">
        <v>53</v>
      </c>
      <c r="P1008" s="49">
        <v>67.8</v>
      </c>
      <c r="Q1008" s="49">
        <v>67.2</v>
      </c>
      <c r="R1008" s="46">
        <f t="shared" si="34"/>
        <v>0.59999999999999432</v>
      </c>
      <c r="T1008" s="21">
        <v>45950</v>
      </c>
      <c r="U1008" s="22" t="s">
        <v>51</v>
      </c>
      <c r="V1008" s="24">
        <v>4</v>
      </c>
      <c r="W1008" s="24">
        <v>4</v>
      </c>
      <c r="X1008" s="24">
        <v>5</v>
      </c>
      <c r="Y1008" s="24">
        <v>5</v>
      </c>
      <c r="Z1008" s="20">
        <f t="shared" si="35"/>
        <v>18</v>
      </c>
    </row>
    <row r="1009" spans="1:26" x14ac:dyDescent="0.2">
      <c r="A1009" s="21"/>
      <c r="B1009" s="20"/>
      <c r="C1009" s="22"/>
      <c r="D1009" s="22"/>
      <c r="E1009" s="24"/>
      <c r="F1009" s="22"/>
      <c r="H1009" s="21">
        <v>45929</v>
      </c>
      <c r="I1009" s="22" t="s">
        <v>70</v>
      </c>
      <c r="J1009" s="22" t="s">
        <v>48</v>
      </c>
      <c r="K1009" s="24">
        <v>4</v>
      </c>
      <c r="M1009" s="21">
        <v>45952</v>
      </c>
      <c r="N1009" s="22" t="s">
        <v>70</v>
      </c>
      <c r="O1009" s="22" t="s">
        <v>54</v>
      </c>
      <c r="P1009" s="49">
        <v>82.9</v>
      </c>
      <c r="Q1009" s="49">
        <v>83</v>
      </c>
      <c r="R1009" s="46">
        <f t="shared" si="34"/>
        <v>-9.9999999999994316E-2</v>
      </c>
      <c r="T1009" s="21">
        <v>45950</v>
      </c>
      <c r="U1009" s="22" t="s">
        <v>52</v>
      </c>
      <c r="V1009" s="24">
        <v>5</v>
      </c>
      <c r="W1009" s="24">
        <v>5</v>
      </c>
      <c r="X1009" s="24">
        <v>5</v>
      </c>
      <c r="Y1009" s="24">
        <v>4</v>
      </c>
      <c r="Z1009" s="20">
        <f t="shared" si="35"/>
        <v>19</v>
      </c>
    </row>
    <row r="1010" spans="1:26" x14ac:dyDescent="0.2">
      <c r="A1010" s="21"/>
      <c r="B1010" s="20"/>
      <c r="C1010" s="22"/>
      <c r="D1010" s="22"/>
      <c r="E1010" s="24"/>
      <c r="F1010" s="22"/>
      <c r="H1010" s="21">
        <v>45929</v>
      </c>
      <c r="I1010" s="22" t="s">
        <v>71</v>
      </c>
      <c r="J1010" s="22" t="s">
        <v>52</v>
      </c>
      <c r="K1010" s="24">
        <v>5</v>
      </c>
      <c r="M1010" s="21">
        <v>45952</v>
      </c>
      <c r="N1010" s="22" t="s">
        <v>70</v>
      </c>
      <c r="O1010" s="22" t="s">
        <v>56</v>
      </c>
      <c r="P1010" s="49">
        <v>75.2</v>
      </c>
      <c r="Q1010" s="49">
        <v>75.3</v>
      </c>
      <c r="R1010" s="46">
        <f t="shared" si="34"/>
        <v>-9.9999999999994316E-2</v>
      </c>
      <c r="T1010" s="21">
        <v>45950</v>
      </c>
      <c r="U1010" s="22" t="s">
        <v>53</v>
      </c>
      <c r="V1010" s="24">
        <v>4</v>
      </c>
      <c r="W1010" s="24">
        <v>4</v>
      </c>
      <c r="X1010" s="24">
        <v>5</v>
      </c>
      <c r="Y1010" s="24">
        <v>4</v>
      </c>
      <c r="Z1010" s="20">
        <f t="shared" si="35"/>
        <v>17</v>
      </c>
    </row>
    <row r="1011" spans="1:26" x14ac:dyDescent="0.2">
      <c r="A1011" s="21"/>
      <c r="B1011" s="20"/>
      <c r="C1011" s="22"/>
      <c r="D1011" s="22"/>
      <c r="E1011" s="24"/>
      <c r="F1011" s="22"/>
      <c r="H1011" s="21">
        <v>45929</v>
      </c>
      <c r="I1011" s="22" t="s">
        <v>71</v>
      </c>
      <c r="J1011" s="22" t="s">
        <v>53</v>
      </c>
      <c r="K1011" s="24">
        <v>6</v>
      </c>
      <c r="M1011" s="21">
        <v>45952</v>
      </c>
      <c r="N1011" s="22" t="s">
        <v>70</v>
      </c>
      <c r="O1011" s="22" t="s">
        <v>57</v>
      </c>
      <c r="P1011" s="49">
        <v>93.9</v>
      </c>
      <c r="Q1011" s="49">
        <v>93.5</v>
      </c>
      <c r="R1011" s="46">
        <f t="shared" si="34"/>
        <v>0.40000000000000568</v>
      </c>
      <c r="T1011" s="21">
        <v>45950</v>
      </c>
      <c r="U1011" s="22" t="s">
        <v>56</v>
      </c>
      <c r="V1011" s="24">
        <v>4</v>
      </c>
      <c r="W1011" s="24">
        <v>5</v>
      </c>
      <c r="X1011" s="24">
        <v>5</v>
      </c>
      <c r="Y1011" s="24">
        <v>5</v>
      </c>
      <c r="Z1011" s="20">
        <f t="shared" si="35"/>
        <v>19</v>
      </c>
    </row>
    <row r="1012" spans="1:26" x14ac:dyDescent="0.2">
      <c r="A1012" s="21"/>
      <c r="B1012" s="20"/>
      <c r="C1012" s="22"/>
      <c r="D1012" s="22"/>
      <c r="E1012" s="24"/>
      <c r="F1012" s="22"/>
      <c r="H1012" s="21">
        <v>45929</v>
      </c>
      <c r="I1012" s="22" t="s">
        <v>71</v>
      </c>
      <c r="J1012" s="22" t="s">
        <v>44</v>
      </c>
      <c r="K1012" s="24">
        <v>7</v>
      </c>
      <c r="M1012" s="21">
        <v>45952</v>
      </c>
      <c r="N1012" s="22" t="s">
        <v>70</v>
      </c>
      <c r="O1012" s="22" t="s">
        <v>58</v>
      </c>
      <c r="P1012" s="49">
        <v>76.3</v>
      </c>
      <c r="Q1012" s="49">
        <v>76</v>
      </c>
      <c r="R1012" s="46">
        <f t="shared" si="34"/>
        <v>0.29999999999999716</v>
      </c>
      <c r="T1012" s="21">
        <v>45950</v>
      </c>
      <c r="U1012" s="22" t="s">
        <v>57</v>
      </c>
      <c r="V1012" s="24">
        <v>4</v>
      </c>
      <c r="W1012" s="24">
        <v>4</v>
      </c>
      <c r="X1012" s="24">
        <v>3</v>
      </c>
      <c r="Y1012" s="24">
        <v>4</v>
      </c>
      <c r="Z1012" s="20">
        <f t="shared" si="35"/>
        <v>15</v>
      </c>
    </row>
    <row r="1013" spans="1:26" x14ac:dyDescent="0.2">
      <c r="A1013" s="21"/>
      <c r="B1013" s="20"/>
      <c r="C1013" s="22"/>
      <c r="D1013" s="22"/>
      <c r="E1013" s="24"/>
      <c r="F1013" s="22"/>
      <c r="H1013" s="21">
        <v>45929</v>
      </c>
      <c r="I1013" s="22" t="s">
        <v>71</v>
      </c>
      <c r="J1013" s="22" t="s">
        <v>45</v>
      </c>
      <c r="K1013" s="24">
        <v>6</v>
      </c>
      <c r="M1013" s="21">
        <v>45953</v>
      </c>
      <c r="N1013" s="22" t="s">
        <v>70</v>
      </c>
      <c r="O1013" s="22" t="s">
        <v>41</v>
      </c>
      <c r="P1013" s="49">
        <v>77</v>
      </c>
      <c r="Q1013" s="49">
        <v>77.5</v>
      </c>
      <c r="R1013" s="50">
        <f t="shared" si="34"/>
        <v>-0.5</v>
      </c>
      <c r="T1013" s="21">
        <v>45950</v>
      </c>
      <c r="U1013" s="22" t="s">
        <v>58</v>
      </c>
      <c r="V1013" s="24">
        <v>5</v>
      </c>
      <c r="W1013" s="24">
        <v>4</v>
      </c>
      <c r="X1013" s="24">
        <v>4</v>
      </c>
      <c r="Y1013" s="24">
        <v>5</v>
      </c>
      <c r="Z1013" s="20">
        <f t="shared" si="35"/>
        <v>18</v>
      </c>
    </row>
    <row r="1014" spans="1:26" x14ac:dyDescent="0.2">
      <c r="A1014" s="21"/>
      <c r="B1014" s="20"/>
      <c r="C1014" s="22"/>
      <c r="D1014" s="22"/>
      <c r="E1014" s="24"/>
      <c r="F1014" s="22"/>
      <c r="H1014" s="21">
        <v>45929</v>
      </c>
      <c r="I1014" s="22" t="s">
        <v>71</v>
      </c>
      <c r="J1014" s="22" t="s">
        <v>57</v>
      </c>
      <c r="K1014" s="24">
        <v>7</v>
      </c>
      <c r="M1014" s="21">
        <v>45953</v>
      </c>
      <c r="N1014" s="22" t="s">
        <v>70</v>
      </c>
      <c r="O1014" s="22" t="s">
        <v>42</v>
      </c>
      <c r="P1014" s="49">
        <v>79.8</v>
      </c>
      <c r="Q1014" s="49">
        <v>79.7</v>
      </c>
      <c r="R1014" s="50">
        <f t="shared" si="34"/>
        <v>9.9999999999994316E-2</v>
      </c>
      <c r="T1014" s="21">
        <v>45950</v>
      </c>
      <c r="U1014" s="22" t="s">
        <v>33</v>
      </c>
      <c r="V1014" s="24">
        <v>3.8571428571428599</v>
      </c>
      <c r="W1014" s="24">
        <v>4.28571428571429</v>
      </c>
      <c r="X1014" s="24">
        <v>4.0714285714285703</v>
      </c>
      <c r="Y1014" s="24">
        <v>4.21428571428571</v>
      </c>
      <c r="Z1014" s="20">
        <f t="shared" si="35"/>
        <v>16.428571428571431</v>
      </c>
    </row>
    <row r="1015" spans="1:26" x14ac:dyDescent="0.2">
      <c r="A1015" s="21"/>
      <c r="B1015" s="20"/>
      <c r="C1015" s="22"/>
      <c r="D1015" s="22"/>
      <c r="E1015" s="24"/>
      <c r="F1015" s="22"/>
      <c r="H1015" s="21">
        <v>45929</v>
      </c>
      <c r="I1015" s="22" t="s">
        <v>71</v>
      </c>
      <c r="J1015" s="22" t="s">
        <v>42</v>
      </c>
      <c r="K1015" s="24">
        <v>4</v>
      </c>
      <c r="M1015" s="21">
        <v>45953</v>
      </c>
      <c r="N1015" s="22" t="s">
        <v>70</v>
      </c>
      <c r="O1015" s="22" t="s">
        <v>43</v>
      </c>
      <c r="P1015" s="49">
        <v>86.8</v>
      </c>
      <c r="Q1015" s="49">
        <v>86</v>
      </c>
      <c r="R1015" s="50">
        <f t="shared" si="34"/>
        <v>0.79999999999999716</v>
      </c>
      <c r="T1015" s="21">
        <v>45951</v>
      </c>
      <c r="U1015" s="22" t="s">
        <v>41</v>
      </c>
      <c r="V1015" s="24">
        <v>1</v>
      </c>
      <c r="W1015" s="24">
        <v>5</v>
      </c>
      <c r="X1015" s="24">
        <v>1</v>
      </c>
      <c r="Y1015" s="24">
        <v>1</v>
      </c>
      <c r="Z1015" s="20">
        <f t="shared" si="35"/>
        <v>8</v>
      </c>
    </row>
    <row r="1016" spans="1:26" x14ac:dyDescent="0.2">
      <c r="A1016" s="21"/>
      <c r="B1016" s="20"/>
      <c r="C1016" s="22"/>
      <c r="D1016" s="22"/>
      <c r="E1016" s="24"/>
      <c r="F1016" s="22"/>
      <c r="H1016" s="21">
        <v>45929</v>
      </c>
      <c r="I1016" s="22" t="s">
        <v>71</v>
      </c>
      <c r="J1016" s="22" t="s">
        <v>54</v>
      </c>
      <c r="K1016" s="24">
        <v>7</v>
      </c>
      <c r="M1016" s="21">
        <v>45953</v>
      </c>
      <c r="N1016" s="22" t="s">
        <v>70</v>
      </c>
      <c r="O1016" s="22" t="s">
        <v>44</v>
      </c>
      <c r="P1016" s="49">
        <v>67.2</v>
      </c>
      <c r="Q1016" s="49">
        <v>66.599999999999994</v>
      </c>
      <c r="R1016" s="50">
        <f t="shared" si="34"/>
        <v>0.60000000000000853</v>
      </c>
      <c r="T1016" s="21">
        <v>45951</v>
      </c>
      <c r="U1016" s="22" t="s">
        <v>42</v>
      </c>
      <c r="V1016" s="24">
        <v>4</v>
      </c>
      <c r="W1016" s="24">
        <v>4</v>
      </c>
      <c r="X1016" s="24">
        <v>4</v>
      </c>
      <c r="Y1016" s="24">
        <v>5</v>
      </c>
      <c r="Z1016" s="20">
        <f t="shared" si="35"/>
        <v>17</v>
      </c>
    </row>
    <row r="1017" spans="1:26" x14ac:dyDescent="0.2">
      <c r="A1017" s="21"/>
      <c r="B1017" s="20"/>
      <c r="C1017" s="22"/>
      <c r="D1017" s="22"/>
      <c r="E1017" s="24"/>
      <c r="F1017" s="22"/>
      <c r="H1017" s="21">
        <v>45929</v>
      </c>
      <c r="I1017" s="22" t="s">
        <v>71</v>
      </c>
      <c r="J1017" s="22" t="s">
        <v>47</v>
      </c>
      <c r="K1017" s="24">
        <v>6</v>
      </c>
      <c r="M1017" s="21">
        <v>45953</v>
      </c>
      <c r="N1017" s="22" t="s">
        <v>70</v>
      </c>
      <c r="O1017" s="22" t="s">
        <v>45</v>
      </c>
      <c r="P1017" s="49">
        <v>69.099999999999994</v>
      </c>
      <c r="Q1017" s="49">
        <v>68.5</v>
      </c>
      <c r="R1017" s="50">
        <f t="shared" si="34"/>
        <v>0.59999999999999432</v>
      </c>
      <c r="T1017" s="21">
        <v>45951</v>
      </c>
      <c r="U1017" s="22" t="s">
        <v>44</v>
      </c>
      <c r="V1017" s="24">
        <v>5</v>
      </c>
      <c r="W1017" s="24">
        <v>4</v>
      </c>
      <c r="X1017" s="24">
        <v>5</v>
      </c>
      <c r="Y1017" s="24">
        <v>5</v>
      </c>
      <c r="Z1017" s="20">
        <f t="shared" si="35"/>
        <v>19</v>
      </c>
    </row>
    <row r="1018" spans="1:26" x14ac:dyDescent="0.2">
      <c r="A1018" s="21"/>
      <c r="B1018" s="20"/>
      <c r="C1018" s="22"/>
      <c r="D1018" s="22"/>
      <c r="E1018" s="24"/>
      <c r="F1018" s="22"/>
      <c r="H1018" s="21">
        <v>45929</v>
      </c>
      <c r="I1018" s="22" t="s">
        <v>71</v>
      </c>
      <c r="J1018" s="22" t="s">
        <v>41</v>
      </c>
      <c r="K1018" s="24">
        <v>4</v>
      </c>
      <c r="M1018" s="21">
        <v>45953</v>
      </c>
      <c r="N1018" s="22" t="s">
        <v>70</v>
      </c>
      <c r="O1018" s="22" t="s">
        <v>46</v>
      </c>
      <c r="P1018" s="49">
        <v>80.099999999999994</v>
      </c>
      <c r="Q1018" s="49">
        <v>8.4</v>
      </c>
      <c r="R1018" s="50">
        <f t="shared" si="34"/>
        <v>71.699999999999989</v>
      </c>
      <c r="T1018" s="21">
        <v>45951</v>
      </c>
      <c r="U1018" s="22" t="s">
        <v>45</v>
      </c>
      <c r="V1018" s="24">
        <v>4</v>
      </c>
      <c r="W1018" s="24">
        <v>4</v>
      </c>
      <c r="X1018" s="24">
        <v>4</v>
      </c>
      <c r="Y1018" s="24">
        <v>5</v>
      </c>
      <c r="Z1018" s="20">
        <f t="shared" si="35"/>
        <v>17</v>
      </c>
    </row>
    <row r="1019" spans="1:26" x14ac:dyDescent="0.2">
      <c r="A1019" s="21"/>
      <c r="B1019" s="20"/>
      <c r="C1019" s="22"/>
      <c r="D1019" s="22"/>
      <c r="E1019" s="24"/>
      <c r="F1019" s="22"/>
      <c r="H1019" s="21">
        <v>45929</v>
      </c>
      <c r="I1019" s="22" t="s">
        <v>71</v>
      </c>
      <c r="J1019" s="22" t="s">
        <v>49</v>
      </c>
      <c r="K1019" s="24">
        <v>7</v>
      </c>
      <c r="M1019" s="21">
        <v>45953</v>
      </c>
      <c r="N1019" s="22" t="s">
        <v>70</v>
      </c>
      <c r="O1019" s="22" t="s">
        <v>47</v>
      </c>
      <c r="P1019" s="49">
        <v>71.8</v>
      </c>
      <c r="Q1019" s="49">
        <v>72</v>
      </c>
      <c r="R1019" s="50">
        <f t="shared" si="34"/>
        <v>-0.20000000000000284</v>
      </c>
      <c r="T1019" s="21">
        <v>45951</v>
      </c>
      <c r="U1019" s="22" t="s">
        <v>47</v>
      </c>
      <c r="V1019" s="24">
        <v>4</v>
      </c>
      <c r="W1019" s="24">
        <v>3</v>
      </c>
      <c r="X1019" s="24">
        <v>3</v>
      </c>
      <c r="Y1019" s="24">
        <v>3</v>
      </c>
      <c r="Z1019" s="20">
        <f t="shared" si="35"/>
        <v>13</v>
      </c>
    </row>
    <row r="1020" spans="1:26" x14ac:dyDescent="0.2">
      <c r="A1020" s="21"/>
      <c r="B1020" s="20"/>
      <c r="C1020" s="22"/>
      <c r="D1020" s="22"/>
      <c r="E1020" s="24"/>
      <c r="F1020" s="22"/>
      <c r="H1020" s="21">
        <v>45929</v>
      </c>
      <c r="I1020" s="22" t="s">
        <v>71</v>
      </c>
      <c r="J1020" s="22" t="s">
        <v>43</v>
      </c>
      <c r="K1020" s="24">
        <v>3</v>
      </c>
      <c r="M1020" s="21">
        <v>45953</v>
      </c>
      <c r="N1020" s="22" t="s">
        <v>70</v>
      </c>
      <c r="O1020" s="22" t="s">
        <v>48</v>
      </c>
      <c r="P1020" s="49">
        <v>82.5</v>
      </c>
      <c r="Q1020" s="49">
        <v>81.3</v>
      </c>
      <c r="R1020" s="50">
        <f t="shared" si="34"/>
        <v>1.2000000000000028</v>
      </c>
      <c r="T1020" s="21">
        <v>45951</v>
      </c>
      <c r="U1020" s="22" t="s">
        <v>48</v>
      </c>
      <c r="V1020" s="24">
        <v>5</v>
      </c>
      <c r="W1020" s="24">
        <v>4</v>
      </c>
      <c r="X1020" s="24">
        <v>4</v>
      </c>
      <c r="Y1020" s="24">
        <v>5</v>
      </c>
      <c r="Z1020" s="20">
        <f t="shared" si="35"/>
        <v>18</v>
      </c>
    </row>
    <row r="1021" spans="1:26" x14ac:dyDescent="0.2">
      <c r="A1021" s="21"/>
      <c r="B1021" s="20"/>
      <c r="C1021" s="22"/>
      <c r="D1021" s="22"/>
      <c r="E1021" s="24"/>
      <c r="F1021" s="22"/>
      <c r="H1021" s="21">
        <v>45929</v>
      </c>
      <c r="I1021" s="22" t="s">
        <v>71</v>
      </c>
      <c r="J1021" s="22" t="s">
        <v>50</v>
      </c>
      <c r="K1021" s="24">
        <v>6</v>
      </c>
      <c r="M1021" s="21">
        <v>45953</v>
      </c>
      <c r="N1021" s="22" t="s">
        <v>70</v>
      </c>
      <c r="O1021" s="22" t="s">
        <v>49</v>
      </c>
      <c r="P1021" s="49">
        <v>79</v>
      </c>
      <c r="Q1021" s="49">
        <v>79.2</v>
      </c>
      <c r="R1021" s="50">
        <f t="shared" si="34"/>
        <v>-0.20000000000000284</v>
      </c>
      <c r="T1021" s="21">
        <v>45951</v>
      </c>
      <c r="U1021" s="22" t="s">
        <v>49</v>
      </c>
      <c r="V1021" s="24">
        <v>2</v>
      </c>
      <c r="W1021" s="24">
        <v>3</v>
      </c>
      <c r="X1021" s="24">
        <v>4</v>
      </c>
      <c r="Y1021" s="24">
        <v>3</v>
      </c>
      <c r="Z1021" s="20">
        <f t="shared" si="35"/>
        <v>12</v>
      </c>
    </row>
    <row r="1022" spans="1:26" x14ac:dyDescent="0.2">
      <c r="A1022" s="21"/>
      <c r="B1022" s="20"/>
      <c r="C1022" s="22"/>
      <c r="D1022" s="22"/>
      <c r="E1022" s="24"/>
      <c r="F1022" s="22"/>
      <c r="H1022" s="21">
        <v>45929</v>
      </c>
      <c r="I1022" s="22" t="s">
        <v>71</v>
      </c>
      <c r="J1022" s="22" t="s">
        <v>51</v>
      </c>
      <c r="K1022" s="24">
        <v>7</v>
      </c>
      <c r="M1022" s="21">
        <v>45953</v>
      </c>
      <c r="N1022" s="22" t="s">
        <v>70</v>
      </c>
      <c r="O1022" s="22" t="s">
        <v>50</v>
      </c>
      <c r="P1022" s="49">
        <v>69.400000000000006</v>
      </c>
      <c r="Q1022" s="49">
        <v>68.900000000000006</v>
      </c>
      <c r="R1022" s="50">
        <f t="shared" si="34"/>
        <v>0.5</v>
      </c>
      <c r="T1022" s="21">
        <v>45951</v>
      </c>
      <c r="U1022" s="22" t="s">
        <v>50</v>
      </c>
      <c r="V1022" s="24">
        <v>2</v>
      </c>
      <c r="W1022" s="24">
        <v>3</v>
      </c>
      <c r="X1022" s="24">
        <v>4</v>
      </c>
      <c r="Y1022" s="24">
        <v>4</v>
      </c>
      <c r="Z1022" s="20">
        <f t="shared" si="35"/>
        <v>13</v>
      </c>
    </row>
    <row r="1023" spans="1:26" x14ac:dyDescent="0.2">
      <c r="A1023" s="21"/>
      <c r="B1023" s="20"/>
      <c r="C1023" s="22"/>
      <c r="D1023" s="22"/>
      <c r="E1023" s="24"/>
      <c r="F1023" s="22"/>
      <c r="H1023" s="21">
        <v>45929</v>
      </c>
      <c r="I1023" s="22" t="s">
        <v>71</v>
      </c>
      <c r="J1023" s="22" t="s">
        <v>46</v>
      </c>
      <c r="K1023" s="24">
        <v>7</v>
      </c>
      <c r="M1023" s="21">
        <v>45953</v>
      </c>
      <c r="N1023" s="22" t="s">
        <v>70</v>
      </c>
      <c r="O1023" s="22" t="s">
        <v>51</v>
      </c>
      <c r="P1023" s="49">
        <v>75.8</v>
      </c>
      <c r="Q1023" s="49">
        <v>75.5</v>
      </c>
      <c r="R1023" s="46">
        <f t="shared" si="34"/>
        <v>0.29999999999999716</v>
      </c>
      <c r="T1023" s="21">
        <v>45951</v>
      </c>
      <c r="U1023" s="22" t="s">
        <v>51</v>
      </c>
      <c r="V1023" s="24">
        <v>4</v>
      </c>
      <c r="W1023" s="24">
        <v>3</v>
      </c>
      <c r="X1023" s="24">
        <v>4</v>
      </c>
      <c r="Y1023" s="24">
        <v>5</v>
      </c>
      <c r="Z1023" s="20">
        <f t="shared" si="35"/>
        <v>16</v>
      </c>
    </row>
    <row r="1024" spans="1:26" x14ac:dyDescent="0.2">
      <c r="A1024" s="21"/>
      <c r="B1024" s="20"/>
      <c r="C1024" s="22"/>
      <c r="D1024" s="22"/>
      <c r="E1024" s="24"/>
      <c r="F1024" s="22"/>
      <c r="H1024" s="21">
        <v>45929</v>
      </c>
      <c r="I1024" s="22" t="s">
        <v>71</v>
      </c>
      <c r="J1024" s="22" t="s">
        <v>48</v>
      </c>
      <c r="K1024" s="24">
        <v>7</v>
      </c>
      <c r="M1024" s="21">
        <v>45953</v>
      </c>
      <c r="N1024" s="22" t="s">
        <v>70</v>
      </c>
      <c r="O1024" s="22" t="s">
        <v>52</v>
      </c>
      <c r="P1024" s="49">
        <v>71.8</v>
      </c>
      <c r="Q1024" s="49">
        <v>71.5</v>
      </c>
      <c r="R1024" s="46">
        <f t="shared" si="34"/>
        <v>0.29999999999999716</v>
      </c>
      <c r="T1024" s="21">
        <v>45951</v>
      </c>
      <c r="U1024" s="22" t="s">
        <v>52</v>
      </c>
      <c r="V1024" s="24">
        <v>3</v>
      </c>
      <c r="W1024" s="24">
        <v>4</v>
      </c>
      <c r="X1024" s="24">
        <v>3</v>
      </c>
      <c r="Y1024" s="24">
        <v>4</v>
      </c>
      <c r="Z1024" s="20">
        <f t="shared" si="35"/>
        <v>14</v>
      </c>
    </row>
    <row r="1025" spans="1:26" x14ac:dyDescent="0.2">
      <c r="A1025" s="21"/>
      <c r="B1025" s="20"/>
      <c r="C1025" s="22"/>
      <c r="D1025" s="22"/>
      <c r="E1025" s="24"/>
      <c r="F1025" s="22"/>
      <c r="H1025" s="21">
        <v>45929</v>
      </c>
      <c r="I1025" s="22" t="s">
        <v>71</v>
      </c>
      <c r="J1025" s="22" t="s">
        <v>56</v>
      </c>
      <c r="K1025" s="24">
        <v>7</v>
      </c>
      <c r="M1025" s="21">
        <v>45953</v>
      </c>
      <c r="N1025" s="22" t="s">
        <v>70</v>
      </c>
      <c r="O1025" s="22" t="s">
        <v>53</v>
      </c>
      <c r="P1025" s="49">
        <v>67.400000000000006</v>
      </c>
      <c r="Q1025" s="49">
        <v>66.8</v>
      </c>
      <c r="R1025" s="46">
        <f t="shared" si="34"/>
        <v>0.60000000000000853</v>
      </c>
      <c r="T1025" s="21">
        <v>45951</v>
      </c>
      <c r="U1025" s="22" t="s">
        <v>53</v>
      </c>
      <c r="V1025" s="24">
        <v>3</v>
      </c>
      <c r="W1025" s="24">
        <v>4</v>
      </c>
      <c r="X1025" s="24">
        <v>4</v>
      </c>
      <c r="Y1025" s="24">
        <v>4</v>
      </c>
      <c r="Z1025" s="20">
        <f t="shared" si="35"/>
        <v>15</v>
      </c>
    </row>
    <row r="1026" spans="1:26" x14ac:dyDescent="0.2">
      <c r="A1026" s="21"/>
      <c r="B1026" s="20"/>
      <c r="C1026" s="22"/>
      <c r="D1026" s="22"/>
      <c r="E1026" s="24"/>
      <c r="F1026" s="22"/>
      <c r="H1026" s="21">
        <v>45930</v>
      </c>
      <c r="I1026" s="22" t="s">
        <v>70</v>
      </c>
      <c r="J1026" s="22" t="s">
        <v>52</v>
      </c>
      <c r="K1026" s="24">
        <v>8</v>
      </c>
      <c r="M1026" s="21">
        <v>45953</v>
      </c>
      <c r="N1026" s="22" t="s">
        <v>70</v>
      </c>
      <c r="O1026" s="22" t="s">
        <v>55</v>
      </c>
      <c r="P1026" s="49">
        <v>76.099999999999994</v>
      </c>
      <c r="Q1026" s="49">
        <v>76</v>
      </c>
      <c r="R1026" s="46">
        <f t="shared" si="34"/>
        <v>9.9999999999994316E-2</v>
      </c>
      <c r="T1026" s="21">
        <v>45951</v>
      </c>
      <c r="U1026" s="22" t="s">
        <v>56</v>
      </c>
      <c r="V1026" s="24">
        <v>4</v>
      </c>
      <c r="W1026" s="24">
        <v>4</v>
      </c>
      <c r="X1026" s="24">
        <v>4</v>
      </c>
      <c r="Y1026" s="24">
        <v>5</v>
      </c>
      <c r="Z1026" s="20">
        <f t="shared" si="35"/>
        <v>17</v>
      </c>
    </row>
    <row r="1027" spans="1:26" x14ac:dyDescent="0.2">
      <c r="A1027" s="21"/>
      <c r="B1027" s="20"/>
      <c r="C1027" s="22"/>
      <c r="D1027" s="22"/>
      <c r="E1027" s="24"/>
      <c r="F1027" s="22"/>
      <c r="H1027" s="21">
        <v>45930</v>
      </c>
      <c r="I1027" s="22" t="s">
        <v>70</v>
      </c>
      <c r="J1027" s="22" t="s">
        <v>53</v>
      </c>
      <c r="K1027" s="24">
        <v>7</v>
      </c>
      <c r="M1027" s="21">
        <v>45953</v>
      </c>
      <c r="N1027" s="22" t="s">
        <v>70</v>
      </c>
      <c r="O1027" s="22" t="s">
        <v>57</v>
      </c>
      <c r="P1027" s="49">
        <v>93.5</v>
      </c>
      <c r="Q1027" s="49">
        <v>93.3</v>
      </c>
      <c r="R1027" s="46">
        <f t="shared" ref="R1027:R1090" si="36">IFERROR(P1027-Q1027,"")</f>
        <v>0.20000000000000284</v>
      </c>
      <c r="T1027" s="21">
        <v>45951</v>
      </c>
      <c r="U1027" s="22" t="s">
        <v>57</v>
      </c>
      <c r="V1027" s="24">
        <v>3</v>
      </c>
      <c r="W1027" s="24">
        <v>4</v>
      </c>
      <c r="X1027" s="24">
        <v>3</v>
      </c>
      <c r="Y1027" s="24">
        <v>4</v>
      </c>
      <c r="Z1027" s="20">
        <f t="shared" ref="Z1027:Z1090" si="37">SUM(V1027:Y1027)</f>
        <v>14</v>
      </c>
    </row>
    <row r="1028" spans="1:26" x14ac:dyDescent="0.2">
      <c r="A1028" s="21"/>
      <c r="B1028" s="20"/>
      <c r="C1028" s="22"/>
      <c r="D1028" s="22"/>
      <c r="E1028" s="24"/>
      <c r="F1028" s="22"/>
      <c r="H1028" s="21">
        <v>45930</v>
      </c>
      <c r="I1028" s="22" t="s">
        <v>70</v>
      </c>
      <c r="J1028" s="22" t="s">
        <v>44</v>
      </c>
      <c r="K1028" s="24">
        <v>8</v>
      </c>
      <c r="M1028" s="21">
        <v>45953</v>
      </c>
      <c r="N1028" s="22" t="s">
        <v>70</v>
      </c>
      <c r="O1028" s="22" t="s">
        <v>58</v>
      </c>
      <c r="P1028" s="49">
        <v>76.599999999999994</v>
      </c>
      <c r="Q1028" s="49">
        <v>76.3</v>
      </c>
      <c r="R1028" s="46">
        <f t="shared" si="36"/>
        <v>0.29999999999999716</v>
      </c>
      <c r="T1028" s="21">
        <v>45951</v>
      </c>
      <c r="U1028" s="22" t="s">
        <v>58</v>
      </c>
      <c r="V1028" s="24">
        <v>4</v>
      </c>
      <c r="W1028" s="24">
        <v>4</v>
      </c>
      <c r="X1028" s="24">
        <v>4</v>
      </c>
      <c r="Y1028" s="24">
        <v>4</v>
      </c>
      <c r="Z1028" s="20">
        <f t="shared" si="37"/>
        <v>16</v>
      </c>
    </row>
    <row r="1029" spans="1:26" x14ac:dyDescent="0.2">
      <c r="A1029" s="21"/>
      <c r="B1029" s="20"/>
      <c r="C1029" s="22"/>
      <c r="D1029" s="22"/>
      <c r="E1029" s="24"/>
      <c r="F1029" s="22"/>
      <c r="H1029" s="21">
        <v>45930</v>
      </c>
      <c r="I1029" s="22" t="s">
        <v>70</v>
      </c>
      <c r="J1029" s="22" t="s">
        <v>45</v>
      </c>
      <c r="K1029" s="24">
        <v>5</v>
      </c>
      <c r="M1029" s="21">
        <v>45958</v>
      </c>
      <c r="N1029" s="22" t="s">
        <v>70</v>
      </c>
      <c r="O1029" s="22" t="s">
        <v>41</v>
      </c>
      <c r="P1029" s="49">
        <v>77</v>
      </c>
      <c r="Q1029" s="49">
        <v>76.2</v>
      </c>
      <c r="R1029" s="46">
        <f t="shared" si="36"/>
        <v>0.79999999999999716</v>
      </c>
      <c r="T1029" s="21">
        <v>45951</v>
      </c>
      <c r="U1029" s="22" t="s">
        <v>33</v>
      </c>
      <c r="V1029" s="24">
        <v>3.4285714285714302</v>
      </c>
      <c r="W1029" s="24">
        <v>3.78571428571429</v>
      </c>
      <c r="X1029" s="24">
        <v>3.6428571428571401</v>
      </c>
      <c r="Y1029" s="24">
        <v>4.0714285714285703</v>
      </c>
      <c r="Z1029" s="20">
        <f t="shared" si="37"/>
        <v>14.928571428571431</v>
      </c>
    </row>
    <row r="1030" spans="1:26" x14ac:dyDescent="0.2">
      <c r="A1030" s="21"/>
      <c r="B1030" s="20"/>
      <c r="C1030" s="22"/>
      <c r="D1030" s="22"/>
      <c r="E1030" s="24"/>
      <c r="F1030" s="22"/>
      <c r="H1030" s="21">
        <v>45930</v>
      </c>
      <c r="I1030" s="22" t="s">
        <v>70</v>
      </c>
      <c r="J1030" s="22" t="s">
        <v>57</v>
      </c>
      <c r="K1030" s="24">
        <v>7</v>
      </c>
      <c r="M1030" s="21">
        <v>45958</v>
      </c>
      <c r="N1030" s="22" t="s">
        <v>70</v>
      </c>
      <c r="O1030" s="22" t="s">
        <v>42</v>
      </c>
      <c r="P1030" s="49">
        <v>97.8</v>
      </c>
      <c r="Q1030" s="49">
        <v>79.7</v>
      </c>
      <c r="R1030" s="46">
        <f t="shared" si="36"/>
        <v>18.099999999999994</v>
      </c>
      <c r="T1030" s="21">
        <v>45952</v>
      </c>
      <c r="U1030" s="22" t="s">
        <v>41</v>
      </c>
      <c r="V1030" s="24">
        <v>1</v>
      </c>
      <c r="W1030" s="24">
        <v>5</v>
      </c>
      <c r="X1030" s="24">
        <v>1</v>
      </c>
      <c r="Y1030" s="24">
        <v>1</v>
      </c>
      <c r="Z1030" s="20">
        <f t="shared" si="37"/>
        <v>8</v>
      </c>
    </row>
    <row r="1031" spans="1:26" x14ac:dyDescent="0.2">
      <c r="A1031" s="21"/>
      <c r="B1031" s="20"/>
      <c r="C1031" s="22"/>
      <c r="D1031" s="22"/>
      <c r="E1031" s="24"/>
      <c r="F1031" s="22"/>
      <c r="H1031" s="21">
        <v>45930</v>
      </c>
      <c r="I1031" s="22" t="s">
        <v>70</v>
      </c>
      <c r="J1031" s="22" t="s">
        <v>42</v>
      </c>
      <c r="K1031" s="24">
        <v>4</v>
      </c>
      <c r="M1031" s="21">
        <v>45958</v>
      </c>
      <c r="N1031" s="22" t="s">
        <v>70</v>
      </c>
      <c r="O1031" s="22" t="s">
        <v>43</v>
      </c>
      <c r="P1031" s="49">
        <v>87.5</v>
      </c>
      <c r="Q1031" s="49">
        <v>87.2</v>
      </c>
      <c r="R1031" s="46">
        <f t="shared" si="36"/>
        <v>0.29999999999999716</v>
      </c>
      <c r="T1031" s="21">
        <v>45952</v>
      </c>
      <c r="U1031" s="22" t="s">
        <v>42</v>
      </c>
      <c r="V1031" s="24">
        <v>4</v>
      </c>
      <c r="W1031" s="24">
        <v>4</v>
      </c>
      <c r="X1031" s="24">
        <v>4</v>
      </c>
      <c r="Y1031" s="24">
        <v>5</v>
      </c>
      <c r="Z1031" s="20">
        <f t="shared" si="37"/>
        <v>17</v>
      </c>
    </row>
    <row r="1032" spans="1:26" x14ac:dyDescent="0.2">
      <c r="A1032" s="21"/>
      <c r="B1032" s="20"/>
      <c r="C1032" s="22"/>
      <c r="D1032" s="22"/>
      <c r="E1032" s="24"/>
      <c r="F1032" s="22"/>
      <c r="H1032" s="21">
        <v>45930</v>
      </c>
      <c r="I1032" s="22" t="s">
        <v>70</v>
      </c>
      <c r="J1032" s="22" t="s">
        <v>54</v>
      </c>
      <c r="K1032" s="24">
        <v>7</v>
      </c>
      <c r="M1032" s="21">
        <v>45958</v>
      </c>
      <c r="N1032" s="22" t="s">
        <v>70</v>
      </c>
      <c r="O1032" s="22" t="s">
        <v>44</v>
      </c>
      <c r="P1032" s="49">
        <v>66.5</v>
      </c>
      <c r="Q1032" s="49">
        <v>65.3</v>
      </c>
      <c r="R1032" s="46">
        <f t="shared" si="36"/>
        <v>1.2000000000000028</v>
      </c>
      <c r="T1032" s="21">
        <v>45952</v>
      </c>
      <c r="U1032" s="22" t="s">
        <v>43</v>
      </c>
      <c r="V1032" s="24">
        <v>4</v>
      </c>
      <c r="W1032" s="24">
        <v>4</v>
      </c>
      <c r="X1032" s="24">
        <v>4</v>
      </c>
      <c r="Y1032" s="24">
        <v>5</v>
      </c>
      <c r="Z1032" s="20">
        <f t="shared" si="37"/>
        <v>17</v>
      </c>
    </row>
    <row r="1033" spans="1:26" x14ac:dyDescent="0.2">
      <c r="A1033" s="21"/>
      <c r="B1033" s="20"/>
      <c r="C1033" s="22"/>
      <c r="D1033" s="22"/>
      <c r="E1033" s="24"/>
      <c r="F1033" s="22"/>
      <c r="H1033" s="21">
        <v>45930</v>
      </c>
      <c r="I1033" s="22" t="s">
        <v>70</v>
      </c>
      <c r="J1033" s="22" t="s">
        <v>47</v>
      </c>
      <c r="K1033" s="24">
        <v>5</v>
      </c>
      <c r="M1033" s="21">
        <v>45958</v>
      </c>
      <c r="N1033" s="22" t="s">
        <v>70</v>
      </c>
      <c r="O1033" s="22" t="s">
        <v>45</v>
      </c>
      <c r="P1033" s="49">
        <v>69</v>
      </c>
      <c r="Q1033" s="49">
        <v>68.599999999999994</v>
      </c>
      <c r="R1033" s="46">
        <f t="shared" si="36"/>
        <v>0.40000000000000568</v>
      </c>
      <c r="T1033" s="21">
        <v>45952</v>
      </c>
      <c r="U1033" s="22" t="s">
        <v>44</v>
      </c>
      <c r="V1033" s="24">
        <v>5</v>
      </c>
      <c r="W1033" s="24">
        <v>3</v>
      </c>
      <c r="X1033" s="24">
        <v>5</v>
      </c>
      <c r="Y1033" s="24">
        <v>5</v>
      </c>
      <c r="Z1033" s="20">
        <f t="shared" si="37"/>
        <v>18</v>
      </c>
    </row>
    <row r="1034" spans="1:26" x14ac:dyDescent="0.2">
      <c r="A1034" s="21"/>
      <c r="B1034" s="20"/>
      <c r="C1034" s="22"/>
      <c r="D1034" s="22"/>
      <c r="E1034" s="24"/>
      <c r="F1034" s="22"/>
      <c r="H1034" s="21">
        <v>45930</v>
      </c>
      <c r="I1034" s="22" t="s">
        <v>70</v>
      </c>
      <c r="J1034" s="22" t="s">
        <v>41</v>
      </c>
      <c r="K1034" s="24">
        <v>3</v>
      </c>
      <c r="M1034" s="21">
        <v>45958</v>
      </c>
      <c r="N1034" s="22" t="s">
        <v>70</v>
      </c>
      <c r="O1034" s="22" t="s">
        <v>46</v>
      </c>
      <c r="P1034" s="49">
        <v>81.599999999999994</v>
      </c>
      <c r="Q1034" s="49">
        <v>82</v>
      </c>
      <c r="R1034" s="46">
        <f t="shared" si="36"/>
        <v>-0.40000000000000568</v>
      </c>
      <c r="T1034" s="21">
        <v>45952</v>
      </c>
      <c r="U1034" s="22" t="s">
        <v>45</v>
      </c>
      <c r="V1034" s="24">
        <v>4</v>
      </c>
      <c r="W1034" s="24">
        <v>3</v>
      </c>
      <c r="X1034" s="24">
        <v>4</v>
      </c>
      <c r="Y1034" s="24">
        <v>5</v>
      </c>
      <c r="Z1034" s="20">
        <f t="shared" si="37"/>
        <v>16</v>
      </c>
    </row>
    <row r="1035" spans="1:26" x14ac:dyDescent="0.2">
      <c r="A1035" s="21"/>
      <c r="B1035" s="20"/>
      <c r="C1035" s="22"/>
      <c r="D1035" s="22"/>
      <c r="E1035" s="24"/>
      <c r="F1035" s="22"/>
      <c r="H1035" s="21">
        <v>45930</v>
      </c>
      <c r="I1035" s="22" t="s">
        <v>70</v>
      </c>
      <c r="J1035" s="22" t="s">
        <v>49</v>
      </c>
      <c r="K1035" s="24">
        <v>7</v>
      </c>
      <c r="M1035" s="21">
        <v>45958</v>
      </c>
      <c r="N1035" s="22" t="s">
        <v>70</v>
      </c>
      <c r="O1035" s="22" t="s">
        <v>47</v>
      </c>
      <c r="P1035" s="49">
        <v>71.3</v>
      </c>
      <c r="Q1035" s="49">
        <v>71</v>
      </c>
      <c r="R1035" s="46">
        <f t="shared" si="36"/>
        <v>0.29999999999999716</v>
      </c>
      <c r="T1035" s="21">
        <v>45952</v>
      </c>
      <c r="U1035" s="22" t="s">
        <v>47</v>
      </c>
      <c r="V1035" s="24">
        <v>4</v>
      </c>
      <c r="W1035" s="24">
        <v>4</v>
      </c>
      <c r="X1035" s="24">
        <v>3</v>
      </c>
      <c r="Y1035" s="24">
        <v>4</v>
      </c>
      <c r="Z1035" s="20">
        <f t="shared" si="37"/>
        <v>15</v>
      </c>
    </row>
    <row r="1036" spans="1:26" x14ac:dyDescent="0.2">
      <c r="A1036" s="21"/>
      <c r="B1036" s="20"/>
      <c r="C1036" s="22"/>
      <c r="D1036" s="22"/>
      <c r="E1036" s="24"/>
      <c r="F1036" s="22"/>
      <c r="H1036" s="21">
        <v>45930</v>
      </c>
      <c r="I1036" s="22" t="s">
        <v>70</v>
      </c>
      <c r="J1036" s="22" t="s">
        <v>50</v>
      </c>
      <c r="K1036" s="24">
        <v>6</v>
      </c>
      <c r="M1036" s="21">
        <v>45958</v>
      </c>
      <c r="N1036" s="22" t="s">
        <v>70</v>
      </c>
      <c r="O1036" s="22" t="s">
        <v>48</v>
      </c>
      <c r="P1036" s="49">
        <v>80.8</v>
      </c>
      <c r="Q1036" s="49">
        <v>80</v>
      </c>
      <c r="R1036" s="46">
        <f t="shared" si="36"/>
        <v>0.79999999999999716</v>
      </c>
      <c r="T1036" s="21">
        <v>45952</v>
      </c>
      <c r="U1036" s="22" t="s">
        <v>48</v>
      </c>
      <c r="V1036" s="24">
        <v>5</v>
      </c>
      <c r="W1036" s="24">
        <v>4</v>
      </c>
      <c r="X1036" s="24">
        <v>4</v>
      </c>
      <c r="Y1036" s="24">
        <v>5</v>
      </c>
      <c r="Z1036" s="20">
        <f t="shared" si="37"/>
        <v>18</v>
      </c>
    </row>
    <row r="1037" spans="1:26" x14ac:dyDescent="0.2">
      <c r="A1037" s="21"/>
      <c r="B1037" s="20"/>
      <c r="C1037" s="22"/>
      <c r="D1037" s="22"/>
      <c r="E1037" s="24"/>
      <c r="F1037" s="22"/>
      <c r="H1037" s="21">
        <v>45930</v>
      </c>
      <c r="I1037" s="22" t="s">
        <v>70</v>
      </c>
      <c r="J1037" s="22" t="s">
        <v>51</v>
      </c>
      <c r="K1037" s="24">
        <v>7</v>
      </c>
      <c r="M1037" s="21">
        <v>45958</v>
      </c>
      <c r="N1037" s="22" t="s">
        <v>70</v>
      </c>
      <c r="O1037" s="22" t="s">
        <v>49</v>
      </c>
      <c r="P1037" s="49">
        <v>78.900000000000006</v>
      </c>
      <c r="Q1037" s="49">
        <v>78.3</v>
      </c>
      <c r="R1037" s="46">
        <f t="shared" si="36"/>
        <v>0.60000000000000853</v>
      </c>
      <c r="T1037" s="21">
        <v>45952</v>
      </c>
      <c r="U1037" s="22" t="s">
        <v>49</v>
      </c>
      <c r="V1037" s="24">
        <v>4</v>
      </c>
      <c r="W1037" s="24">
        <v>4</v>
      </c>
      <c r="X1037" s="24">
        <v>4</v>
      </c>
      <c r="Y1037" s="24">
        <v>4</v>
      </c>
      <c r="Z1037" s="20">
        <f t="shared" si="37"/>
        <v>16</v>
      </c>
    </row>
    <row r="1038" spans="1:26" x14ac:dyDescent="0.2">
      <c r="A1038" s="21"/>
      <c r="B1038" s="20"/>
      <c r="C1038" s="22"/>
      <c r="D1038" s="22"/>
      <c r="E1038" s="24"/>
      <c r="F1038" s="22"/>
      <c r="H1038" s="21">
        <v>45930</v>
      </c>
      <c r="I1038" s="22" t="s">
        <v>70</v>
      </c>
      <c r="J1038" s="22" t="s">
        <v>46</v>
      </c>
      <c r="K1038" s="24">
        <v>7</v>
      </c>
      <c r="M1038" s="21">
        <v>45958</v>
      </c>
      <c r="N1038" s="22" t="s">
        <v>70</v>
      </c>
      <c r="O1038" s="22" t="s">
        <v>50</v>
      </c>
      <c r="P1038" s="49">
        <v>69.5</v>
      </c>
      <c r="Q1038" s="49">
        <v>68.599999999999994</v>
      </c>
      <c r="R1038" s="46">
        <f t="shared" si="36"/>
        <v>0.90000000000000568</v>
      </c>
      <c r="T1038" s="21">
        <v>45952</v>
      </c>
      <c r="U1038" s="22" t="s">
        <v>50</v>
      </c>
      <c r="V1038" s="24">
        <v>3</v>
      </c>
      <c r="W1038" s="24">
        <v>4</v>
      </c>
      <c r="X1038" s="24">
        <v>4</v>
      </c>
      <c r="Y1038" s="24">
        <v>5</v>
      </c>
      <c r="Z1038" s="20">
        <f t="shared" si="37"/>
        <v>16</v>
      </c>
    </row>
    <row r="1039" spans="1:26" x14ac:dyDescent="0.2">
      <c r="A1039" s="21"/>
      <c r="B1039" s="20"/>
      <c r="C1039" s="22"/>
      <c r="D1039" s="22"/>
      <c r="E1039" s="24"/>
      <c r="F1039" s="22"/>
      <c r="H1039" s="21">
        <v>45930</v>
      </c>
      <c r="I1039" s="22" t="s">
        <v>70</v>
      </c>
      <c r="J1039" s="22" t="s">
        <v>48</v>
      </c>
      <c r="K1039" s="24">
        <v>6</v>
      </c>
      <c r="M1039" s="21">
        <v>45958</v>
      </c>
      <c r="N1039" s="22" t="s">
        <v>70</v>
      </c>
      <c r="O1039" s="22" t="s">
        <v>51</v>
      </c>
      <c r="P1039" s="49">
        <v>75.5</v>
      </c>
      <c r="Q1039" s="49">
        <v>75.099999999999994</v>
      </c>
      <c r="R1039" s="46">
        <f t="shared" si="36"/>
        <v>0.40000000000000568</v>
      </c>
      <c r="T1039" s="21">
        <v>45952</v>
      </c>
      <c r="U1039" s="22" t="s">
        <v>51</v>
      </c>
      <c r="V1039" s="24">
        <v>4</v>
      </c>
      <c r="W1039" s="24">
        <v>4</v>
      </c>
      <c r="X1039" s="24">
        <v>4</v>
      </c>
      <c r="Y1039" s="24">
        <v>5</v>
      </c>
      <c r="Z1039" s="20">
        <f t="shared" si="37"/>
        <v>17</v>
      </c>
    </row>
    <row r="1040" spans="1:26" x14ac:dyDescent="0.2">
      <c r="A1040" s="21"/>
      <c r="B1040" s="20"/>
      <c r="C1040" s="22"/>
      <c r="D1040" s="22"/>
      <c r="E1040" s="24"/>
      <c r="F1040" s="22"/>
      <c r="H1040" s="21">
        <v>45930</v>
      </c>
      <c r="I1040" s="22" t="s">
        <v>70</v>
      </c>
      <c r="J1040" s="22" t="s">
        <v>56</v>
      </c>
      <c r="K1040" s="24">
        <v>7</v>
      </c>
      <c r="M1040" s="21">
        <v>45958</v>
      </c>
      <c r="N1040" s="22" t="s">
        <v>70</v>
      </c>
      <c r="O1040" s="22" t="s">
        <v>52</v>
      </c>
      <c r="P1040" s="49">
        <v>71.099999999999994</v>
      </c>
      <c r="Q1040" s="49">
        <v>71.099999999999994</v>
      </c>
      <c r="R1040" s="46">
        <f t="shared" si="36"/>
        <v>0</v>
      </c>
      <c r="T1040" s="21">
        <v>45952</v>
      </c>
      <c r="U1040" s="22" t="s">
        <v>52</v>
      </c>
      <c r="V1040" s="24">
        <v>4</v>
      </c>
      <c r="W1040" s="24">
        <v>4</v>
      </c>
      <c r="X1040" s="24">
        <v>4</v>
      </c>
      <c r="Y1040" s="24">
        <v>4</v>
      </c>
      <c r="Z1040" s="20">
        <f t="shared" si="37"/>
        <v>16</v>
      </c>
    </row>
    <row r="1041" spans="1:26" x14ac:dyDescent="0.2">
      <c r="A1041" s="21"/>
      <c r="B1041" s="20"/>
      <c r="C1041" s="22"/>
      <c r="D1041" s="22"/>
      <c r="E1041" s="24"/>
      <c r="F1041" s="22"/>
      <c r="H1041" s="21">
        <v>45931</v>
      </c>
      <c r="I1041" s="22" t="s">
        <v>70</v>
      </c>
      <c r="J1041" s="22" t="s">
        <v>52</v>
      </c>
      <c r="K1041" s="24">
        <v>4</v>
      </c>
      <c r="M1041" s="21">
        <v>45958</v>
      </c>
      <c r="N1041" s="22" t="s">
        <v>70</v>
      </c>
      <c r="O1041" s="22" t="s">
        <v>53</v>
      </c>
      <c r="P1041" s="49">
        <v>67</v>
      </c>
      <c r="Q1041" s="49">
        <v>66.7</v>
      </c>
      <c r="R1041" s="46">
        <f t="shared" si="36"/>
        <v>0.29999999999999716</v>
      </c>
      <c r="T1041" s="21">
        <v>45952</v>
      </c>
      <c r="U1041" s="22" t="s">
        <v>53</v>
      </c>
      <c r="V1041" s="24">
        <v>4</v>
      </c>
      <c r="W1041" s="24">
        <v>4</v>
      </c>
      <c r="X1041" s="24">
        <v>4</v>
      </c>
      <c r="Y1041" s="24">
        <v>4</v>
      </c>
      <c r="Z1041" s="20">
        <f t="shared" si="37"/>
        <v>16</v>
      </c>
    </row>
    <row r="1042" spans="1:26" x14ac:dyDescent="0.2">
      <c r="A1042" s="21"/>
      <c r="B1042" s="20"/>
      <c r="C1042" s="22"/>
      <c r="D1042" s="22"/>
      <c r="E1042" s="24"/>
      <c r="F1042" s="22"/>
      <c r="H1042" s="21">
        <v>45931</v>
      </c>
      <c r="I1042" s="22" t="s">
        <v>70</v>
      </c>
      <c r="J1042" s="22" t="s">
        <v>53</v>
      </c>
      <c r="K1042" s="24">
        <v>4</v>
      </c>
      <c r="M1042" s="21">
        <v>45958</v>
      </c>
      <c r="N1042" s="22" t="s">
        <v>70</v>
      </c>
      <c r="O1042" s="22" t="s">
        <v>54</v>
      </c>
      <c r="P1042" s="49">
        <v>82.9</v>
      </c>
      <c r="Q1042" s="49">
        <v>83.2</v>
      </c>
      <c r="R1042" s="46">
        <f t="shared" si="36"/>
        <v>-0.29999999999999716</v>
      </c>
      <c r="T1042" s="21">
        <v>45952</v>
      </c>
      <c r="U1042" s="22" t="s">
        <v>56</v>
      </c>
      <c r="V1042" s="24">
        <v>3</v>
      </c>
      <c r="W1042" s="24">
        <v>4</v>
      </c>
      <c r="X1042" s="24">
        <v>4</v>
      </c>
      <c r="Y1042" s="24">
        <v>5</v>
      </c>
      <c r="Z1042" s="20">
        <f t="shared" si="37"/>
        <v>16</v>
      </c>
    </row>
    <row r="1043" spans="1:26" x14ac:dyDescent="0.2">
      <c r="A1043" s="21"/>
      <c r="B1043" s="20"/>
      <c r="C1043" s="22"/>
      <c r="D1043" s="22"/>
      <c r="E1043" s="24"/>
      <c r="F1043" s="22"/>
      <c r="H1043" s="21">
        <v>45931</v>
      </c>
      <c r="I1043" s="22" t="s">
        <v>70</v>
      </c>
      <c r="J1043" s="22" t="s">
        <v>44</v>
      </c>
      <c r="K1043" s="24">
        <v>4</v>
      </c>
      <c r="M1043" s="21">
        <v>45958</v>
      </c>
      <c r="N1043" s="22" t="s">
        <v>70</v>
      </c>
      <c r="O1043" s="22" t="s">
        <v>55</v>
      </c>
      <c r="P1043" s="49">
        <v>75.3</v>
      </c>
      <c r="Q1043" s="49">
        <v>73.8</v>
      </c>
      <c r="R1043" s="46">
        <f t="shared" si="36"/>
        <v>1.5</v>
      </c>
      <c r="T1043" s="21">
        <v>45952</v>
      </c>
      <c r="U1043" s="22" t="s">
        <v>57</v>
      </c>
      <c r="V1043" s="24">
        <v>4</v>
      </c>
      <c r="W1043" s="24">
        <v>4</v>
      </c>
      <c r="X1043" s="24">
        <v>3</v>
      </c>
      <c r="Y1043" s="24">
        <v>4</v>
      </c>
      <c r="Z1043" s="20">
        <f t="shared" si="37"/>
        <v>15</v>
      </c>
    </row>
    <row r="1044" spans="1:26" x14ac:dyDescent="0.2">
      <c r="A1044" s="21"/>
      <c r="B1044" s="20"/>
      <c r="C1044" s="22"/>
      <c r="D1044" s="22"/>
      <c r="E1044" s="24"/>
      <c r="F1044" s="22"/>
      <c r="H1044" s="21">
        <v>45931</v>
      </c>
      <c r="I1044" s="22" t="s">
        <v>70</v>
      </c>
      <c r="J1044" s="22" t="s">
        <v>45</v>
      </c>
      <c r="K1044" s="24">
        <v>4</v>
      </c>
      <c r="M1044" s="21">
        <v>45958</v>
      </c>
      <c r="N1044" s="22" t="s">
        <v>70</v>
      </c>
      <c r="O1044" s="22" t="s">
        <v>57</v>
      </c>
      <c r="P1044" s="49">
        <v>93.5</v>
      </c>
      <c r="Q1044" s="49">
        <v>95.1</v>
      </c>
      <c r="R1044" s="46">
        <f t="shared" si="36"/>
        <v>-1.5999999999999943</v>
      </c>
      <c r="T1044" s="21">
        <v>45952</v>
      </c>
      <c r="U1044" s="22" t="s">
        <v>58</v>
      </c>
      <c r="V1044" s="24">
        <v>5</v>
      </c>
      <c r="W1044" s="24">
        <v>4</v>
      </c>
      <c r="X1044" s="24">
        <v>4</v>
      </c>
      <c r="Y1044" s="24">
        <v>4</v>
      </c>
      <c r="Z1044" s="20">
        <f t="shared" si="37"/>
        <v>17</v>
      </c>
    </row>
    <row r="1045" spans="1:26" x14ac:dyDescent="0.2">
      <c r="A1045" s="21"/>
      <c r="B1045" s="20"/>
      <c r="C1045" s="22"/>
      <c r="D1045" s="22"/>
      <c r="E1045" s="24"/>
      <c r="F1045" s="22"/>
      <c r="H1045" s="21">
        <v>45931</v>
      </c>
      <c r="I1045" s="22" t="s">
        <v>70</v>
      </c>
      <c r="J1045" s="22" t="s">
        <v>57</v>
      </c>
      <c r="K1045" s="24">
        <v>4</v>
      </c>
      <c r="M1045" s="21">
        <v>45959</v>
      </c>
      <c r="N1045" s="22" t="s">
        <v>70</v>
      </c>
      <c r="O1045" s="22" t="s">
        <v>41</v>
      </c>
      <c r="P1045" s="49">
        <v>77</v>
      </c>
      <c r="Q1045" s="49">
        <v>67.2</v>
      </c>
      <c r="R1045" s="46">
        <f t="shared" si="36"/>
        <v>9.7999999999999972</v>
      </c>
      <c r="T1045" s="21">
        <v>45952</v>
      </c>
      <c r="U1045" s="22" t="s">
        <v>33</v>
      </c>
      <c r="V1045" s="24">
        <v>3.8666666666666698</v>
      </c>
      <c r="W1045" s="24">
        <v>3.93333333333333</v>
      </c>
      <c r="X1045" s="24">
        <v>3.7333333333333298</v>
      </c>
      <c r="Y1045" s="24">
        <v>4.3333333333333304</v>
      </c>
      <c r="Z1045" s="20">
        <f t="shared" si="37"/>
        <v>15.86666666666666</v>
      </c>
    </row>
    <row r="1046" spans="1:26" x14ac:dyDescent="0.2">
      <c r="A1046" s="21"/>
      <c r="B1046" s="20"/>
      <c r="C1046" s="22"/>
      <c r="D1046" s="22"/>
      <c r="E1046" s="24"/>
      <c r="F1046" s="22"/>
      <c r="H1046" s="21">
        <v>45931</v>
      </c>
      <c r="I1046" s="22" t="s">
        <v>70</v>
      </c>
      <c r="J1046" s="22" t="s">
        <v>42</v>
      </c>
      <c r="K1046" s="24">
        <v>4</v>
      </c>
      <c r="M1046" s="21">
        <v>45959</v>
      </c>
      <c r="N1046" s="22" t="s">
        <v>70</v>
      </c>
      <c r="O1046" s="22" t="s">
        <v>42</v>
      </c>
      <c r="P1046" s="49">
        <v>79.400000000000006</v>
      </c>
      <c r="Q1046" s="49">
        <v>79.8</v>
      </c>
      <c r="R1046" s="46">
        <f t="shared" si="36"/>
        <v>-0.39999999999999147</v>
      </c>
      <c r="T1046" s="21">
        <v>45953</v>
      </c>
      <c r="U1046" s="22" t="s">
        <v>41</v>
      </c>
      <c r="V1046" s="24">
        <v>1</v>
      </c>
      <c r="W1046" s="24">
        <v>5</v>
      </c>
      <c r="X1046" s="24">
        <v>1</v>
      </c>
      <c r="Y1046" s="24">
        <v>1</v>
      </c>
      <c r="Z1046" s="20">
        <f t="shared" si="37"/>
        <v>8</v>
      </c>
    </row>
    <row r="1047" spans="1:26" x14ac:dyDescent="0.2">
      <c r="A1047" s="21"/>
      <c r="B1047" s="20"/>
      <c r="C1047" s="22"/>
      <c r="D1047" s="22"/>
      <c r="E1047" s="24"/>
      <c r="F1047" s="22"/>
      <c r="H1047" s="21">
        <v>45931</v>
      </c>
      <c r="I1047" s="22" t="s">
        <v>70</v>
      </c>
      <c r="J1047" s="22" t="s">
        <v>54</v>
      </c>
      <c r="K1047" s="24">
        <v>4</v>
      </c>
      <c r="M1047" s="21">
        <v>45959</v>
      </c>
      <c r="N1047" s="22" t="s">
        <v>70</v>
      </c>
      <c r="O1047" s="22" t="s">
        <v>44</v>
      </c>
      <c r="P1047" s="49">
        <v>67</v>
      </c>
      <c r="Q1047" s="49">
        <v>66</v>
      </c>
      <c r="R1047" s="46">
        <f t="shared" si="36"/>
        <v>1</v>
      </c>
      <c r="T1047" s="21">
        <v>45953</v>
      </c>
      <c r="U1047" s="22" t="s">
        <v>42</v>
      </c>
      <c r="V1047" s="24">
        <v>4</v>
      </c>
      <c r="W1047" s="24">
        <v>4</v>
      </c>
      <c r="X1047" s="24">
        <v>4</v>
      </c>
      <c r="Y1047" s="24">
        <v>5</v>
      </c>
      <c r="Z1047" s="20">
        <f t="shared" si="37"/>
        <v>17</v>
      </c>
    </row>
    <row r="1048" spans="1:26" x14ac:dyDescent="0.2">
      <c r="A1048" s="21"/>
      <c r="B1048" s="20"/>
      <c r="C1048" s="22"/>
      <c r="D1048" s="22"/>
      <c r="E1048" s="24"/>
      <c r="F1048" s="22"/>
      <c r="H1048" s="21">
        <v>45931</v>
      </c>
      <c r="I1048" s="22" t="s">
        <v>70</v>
      </c>
      <c r="J1048" s="22" t="s">
        <v>47</v>
      </c>
      <c r="K1048" s="24">
        <v>4</v>
      </c>
      <c r="M1048" s="21">
        <v>45959</v>
      </c>
      <c r="N1048" s="22" t="s">
        <v>70</v>
      </c>
      <c r="O1048" s="22" t="s">
        <v>45</v>
      </c>
      <c r="P1048" s="49">
        <v>69</v>
      </c>
      <c r="Q1048" s="49">
        <v>68.3</v>
      </c>
      <c r="R1048" s="46">
        <f t="shared" si="36"/>
        <v>0.70000000000000284</v>
      </c>
      <c r="T1048" s="21">
        <v>45953</v>
      </c>
      <c r="U1048" s="22" t="s">
        <v>43</v>
      </c>
      <c r="V1048" s="24">
        <v>4</v>
      </c>
      <c r="W1048" s="24">
        <v>4</v>
      </c>
      <c r="X1048" s="24">
        <v>4</v>
      </c>
      <c r="Y1048" s="24">
        <v>5</v>
      </c>
      <c r="Z1048" s="20">
        <f t="shared" si="37"/>
        <v>17</v>
      </c>
    </row>
    <row r="1049" spans="1:26" x14ac:dyDescent="0.2">
      <c r="A1049" s="21"/>
      <c r="B1049" s="20"/>
      <c r="C1049" s="22"/>
      <c r="D1049" s="22"/>
      <c r="E1049" s="24"/>
      <c r="F1049" s="22"/>
      <c r="H1049" s="21">
        <v>45931</v>
      </c>
      <c r="I1049" s="22" t="s">
        <v>70</v>
      </c>
      <c r="J1049" s="22" t="s">
        <v>41</v>
      </c>
      <c r="K1049" s="24">
        <v>4</v>
      </c>
      <c r="M1049" s="21">
        <v>45959</v>
      </c>
      <c r="N1049" s="22" t="s">
        <v>70</v>
      </c>
      <c r="O1049" s="22" t="s">
        <v>46</v>
      </c>
      <c r="P1049" s="49">
        <v>81.3</v>
      </c>
      <c r="Q1049" s="49">
        <v>81.8</v>
      </c>
      <c r="R1049" s="46">
        <f t="shared" si="36"/>
        <v>-0.5</v>
      </c>
      <c r="T1049" s="21">
        <v>45953</v>
      </c>
      <c r="U1049" s="22" t="s">
        <v>44</v>
      </c>
      <c r="V1049" s="24">
        <v>5</v>
      </c>
      <c r="W1049" s="24">
        <v>3</v>
      </c>
      <c r="X1049" s="24">
        <v>5</v>
      </c>
      <c r="Y1049" s="24">
        <v>5</v>
      </c>
      <c r="Z1049" s="20">
        <f t="shared" si="37"/>
        <v>18</v>
      </c>
    </row>
    <row r="1050" spans="1:26" x14ac:dyDescent="0.2">
      <c r="A1050" s="21"/>
      <c r="B1050" s="20"/>
      <c r="C1050" s="22"/>
      <c r="D1050" s="22"/>
      <c r="E1050" s="24"/>
      <c r="F1050" s="22"/>
      <c r="H1050" s="21">
        <v>45931</v>
      </c>
      <c r="I1050" s="22" t="s">
        <v>70</v>
      </c>
      <c r="J1050" s="22" t="s">
        <v>49</v>
      </c>
      <c r="K1050" s="24">
        <v>4</v>
      </c>
      <c r="M1050" s="21">
        <v>45959</v>
      </c>
      <c r="N1050" s="22" t="s">
        <v>70</v>
      </c>
      <c r="O1050" s="22" t="s">
        <v>47</v>
      </c>
      <c r="P1050" s="49">
        <v>71.3</v>
      </c>
      <c r="Q1050" s="49">
        <v>71.400000000000006</v>
      </c>
      <c r="R1050" s="46">
        <f t="shared" si="36"/>
        <v>-0.10000000000000853</v>
      </c>
      <c r="T1050" s="21">
        <v>45953</v>
      </c>
      <c r="U1050" s="22" t="s">
        <v>45</v>
      </c>
      <c r="V1050" s="24">
        <v>4</v>
      </c>
      <c r="W1050" s="24">
        <v>3</v>
      </c>
      <c r="X1050" s="24">
        <v>4</v>
      </c>
      <c r="Y1050" s="24">
        <v>5</v>
      </c>
      <c r="Z1050" s="20">
        <f t="shared" si="37"/>
        <v>16</v>
      </c>
    </row>
    <row r="1051" spans="1:26" x14ac:dyDescent="0.2">
      <c r="A1051" s="21"/>
      <c r="B1051" s="20"/>
      <c r="C1051" s="22"/>
      <c r="D1051" s="22"/>
      <c r="E1051" s="24"/>
      <c r="F1051" s="22"/>
      <c r="H1051" s="21">
        <v>45931</v>
      </c>
      <c r="I1051" s="22" t="s">
        <v>70</v>
      </c>
      <c r="J1051" s="22" t="s">
        <v>50</v>
      </c>
      <c r="K1051" s="24">
        <v>4</v>
      </c>
      <c r="M1051" s="21">
        <v>45959</v>
      </c>
      <c r="N1051" s="22" t="s">
        <v>70</v>
      </c>
      <c r="O1051" s="22" t="s">
        <v>48</v>
      </c>
      <c r="P1051" s="49">
        <v>80.900000000000006</v>
      </c>
      <c r="Q1051" s="49">
        <v>79.7</v>
      </c>
      <c r="R1051" s="46">
        <f t="shared" si="36"/>
        <v>1.2000000000000028</v>
      </c>
      <c r="T1051" s="21">
        <v>45953</v>
      </c>
      <c r="U1051" s="22" t="s">
        <v>46</v>
      </c>
      <c r="V1051" s="24">
        <v>4</v>
      </c>
      <c r="W1051" s="24">
        <v>3</v>
      </c>
      <c r="X1051" s="24">
        <v>4</v>
      </c>
      <c r="Y1051" s="24">
        <v>5</v>
      </c>
      <c r="Z1051" s="20">
        <f t="shared" si="37"/>
        <v>16</v>
      </c>
    </row>
    <row r="1052" spans="1:26" x14ac:dyDescent="0.2">
      <c r="A1052" s="21"/>
      <c r="B1052" s="20"/>
      <c r="C1052" s="22"/>
      <c r="D1052" s="22"/>
      <c r="E1052" s="24"/>
      <c r="F1052" s="22"/>
      <c r="H1052" s="21">
        <v>45931</v>
      </c>
      <c r="I1052" s="22" t="s">
        <v>70</v>
      </c>
      <c r="J1052" s="22" t="s">
        <v>51</v>
      </c>
      <c r="K1052" s="24">
        <v>4</v>
      </c>
      <c r="M1052" s="21">
        <v>45959</v>
      </c>
      <c r="N1052" s="22" t="s">
        <v>70</v>
      </c>
      <c r="O1052" s="22" t="s">
        <v>49</v>
      </c>
      <c r="P1052" s="49">
        <v>78.7</v>
      </c>
      <c r="Q1052" s="49">
        <v>78.7</v>
      </c>
      <c r="R1052" s="46">
        <f t="shared" si="36"/>
        <v>0</v>
      </c>
      <c r="T1052" s="21">
        <v>45953</v>
      </c>
      <c r="U1052" s="22" t="s">
        <v>47</v>
      </c>
      <c r="V1052" s="24">
        <v>4</v>
      </c>
      <c r="W1052" s="24">
        <v>4</v>
      </c>
      <c r="X1052" s="24">
        <v>4</v>
      </c>
      <c r="Y1052" s="24">
        <v>5</v>
      </c>
      <c r="Z1052" s="20">
        <f t="shared" si="37"/>
        <v>17</v>
      </c>
    </row>
    <row r="1053" spans="1:26" x14ac:dyDescent="0.2">
      <c r="A1053" s="21"/>
      <c r="B1053" s="20"/>
      <c r="C1053" s="22"/>
      <c r="D1053" s="22"/>
      <c r="E1053" s="24"/>
      <c r="F1053" s="22"/>
      <c r="H1053" s="21">
        <v>45931</v>
      </c>
      <c r="I1053" s="22" t="s">
        <v>70</v>
      </c>
      <c r="J1053" s="22" t="s">
        <v>46</v>
      </c>
      <c r="K1053" s="24">
        <v>4</v>
      </c>
      <c r="M1053" s="21">
        <v>45959</v>
      </c>
      <c r="N1053" s="22" t="s">
        <v>70</v>
      </c>
      <c r="O1053" s="22" t="s">
        <v>50</v>
      </c>
      <c r="P1053" s="49">
        <v>68.900000000000006</v>
      </c>
      <c r="Q1053" s="49">
        <v>67.900000000000006</v>
      </c>
      <c r="R1053" s="46">
        <f t="shared" si="36"/>
        <v>1</v>
      </c>
      <c r="T1053" s="21">
        <v>45953</v>
      </c>
      <c r="U1053" s="22" t="s">
        <v>48</v>
      </c>
      <c r="V1053" s="24">
        <v>3</v>
      </c>
      <c r="W1053" s="24">
        <v>4</v>
      </c>
      <c r="X1053" s="24">
        <v>5</v>
      </c>
      <c r="Y1053" s="24">
        <v>5</v>
      </c>
      <c r="Z1053" s="20">
        <f t="shared" si="37"/>
        <v>17</v>
      </c>
    </row>
    <row r="1054" spans="1:26" x14ac:dyDescent="0.2">
      <c r="A1054" s="21"/>
      <c r="B1054" s="20"/>
      <c r="C1054" s="22"/>
      <c r="D1054" s="22"/>
      <c r="E1054" s="24"/>
      <c r="F1054" s="22"/>
      <c r="H1054" s="21">
        <v>45931</v>
      </c>
      <c r="I1054" s="22" t="s">
        <v>70</v>
      </c>
      <c r="J1054" s="22" t="s">
        <v>48</v>
      </c>
      <c r="K1054" s="24">
        <v>4</v>
      </c>
      <c r="M1054" s="21">
        <v>45959</v>
      </c>
      <c r="N1054" s="22" t="s">
        <v>70</v>
      </c>
      <c r="O1054" s="22" t="s">
        <v>51</v>
      </c>
      <c r="P1054" s="49">
        <v>75.8</v>
      </c>
      <c r="Q1054" s="49">
        <v>75.599999999999994</v>
      </c>
      <c r="R1054" s="46">
        <f t="shared" si="36"/>
        <v>0.20000000000000284</v>
      </c>
      <c r="T1054" s="21">
        <v>45953</v>
      </c>
      <c r="U1054" s="22" t="s">
        <v>49</v>
      </c>
      <c r="V1054" s="24">
        <v>4</v>
      </c>
      <c r="W1054" s="24">
        <v>4</v>
      </c>
      <c r="X1054" s="24">
        <v>4</v>
      </c>
      <c r="Y1054" s="24">
        <v>4</v>
      </c>
      <c r="Z1054" s="20">
        <f t="shared" si="37"/>
        <v>16</v>
      </c>
    </row>
    <row r="1055" spans="1:26" x14ac:dyDescent="0.2">
      <c r="A1055" s="21"/>
      <c r="B1055" s="20"/>
      <c r="C1055" s="22"/>
      <c r="D1055" s="22"/>
      <c r="E1055" s="24"/>
      <c r="F1055" s="22"/>
      <c r="H1055" s="21">
        <v>45931</v>
      </c>
      <c r="I1055" s="22" t="s">
        <v>70</v>
      </c>
      <c r="J1055" s="22" t="s">
        <v>56</v>
      </c>
      <c r="K1055" s="24">
        <v>4</v>
      </c>
      <c r="M1055" s="21">
        <v>45959</v>
      </c>
      <c r="N1055" s="22" t="s">
        <v>70</v>
      </c>
      <c r="O1055" s="22" t="s">
        <v>52</v>
      </c>
      <c r="P1055" s="49">
        <v>71.2</v>
      </c>
      <c r="Q1055" s="49">
        <v>70.8</v>
      </c>
      <c r="R1055" s="46">
        <f t="shared" si="36"/>
        <v>0.40000000000000568</v>
      </c>
      <c r="T1055" s="21">
        <v>45953</v>
      </c>
      <c r="U1055" s="22" t="s">
        <v>50</v>
      </c>
      <c r="V1055" s="24">
        <v>3</v>
      </c>
      <c r="W1055" s="24">
        <v>4</v>
      </c>
      <c r="X1055" s="24">
        <v>4</v>
      </c>
      <c r="Y1055" s="24">
        <v>4</v>
      </c>
      <c r="Z1055" s="20">
        <f t="shared" si="37"/>
        <v>15</v>
      </c>
    </row>
    <row r="1056" spans="1:26" x14ac:dyDescent="0.2">
      <c r="A1056" s="21"/>
      <c r="B1056" s="20"/>
      <c r="C1056" s="22"/>
      <c r="D1056" s="22"/>
      <c r="E1056" s="24"/>
      <c r="F1056" s="22"/>
      <c r="H1056" s="21">
        <v>45931</v>
      </c>
      <c r="I1056" s="22" t="s">
        <v>71</v>
      </c>
      <c r="J1056" s="22" t="s">
        <v>52</v>
      </c>
      <c r="K1056" s="24">
        <v>7</v>
      </c>
      <c r="M1056" s="21">
        <v>45959</v>
      </c>
      <c r="N1056" s="22" t="s">
        <v>70</v>
      </c>
      <c r="O1056" s="22" t="s">
        <v>53</v>
      </c>
      <c r="P1056" s="49">
        <v>66.8</v>
      </c>
      <c r="Q1056" s="49">
        <v>66.400000000000006</v>
      </c>
      <c r="R1056" s="46">
        <f t="shared" si="36"/>
        <v>0.39999999999999147</v>
      </c>
      <c r="T1056" s="21">
        <v>45953</v>
      </c>
      <c r="U1056" s="22" t="s">
        <v>51</v>
      </c>
      <c r="V1056" s="24">
        <v>4</v>
      </c>
      <c r="W1056" s="24">
        <v>4</v>
      </c>
      <c r="X1056" s="24">
        <v>4</v>
      </c>
      <c r="Y1056" s="24">
        <v>5</v>
      </c>
      <c r="Z1056" s="20">
        <f t="shared" si="37"/>
        <v>17</v>
      </c>
    </row>
    <row r="1057" spans="1:26" x14ac:dyDescent="0.2">
      <c r="A1057" s="21"/>
      <c r="B1057" s="20"/>
      <c r="C1057" s="22"/>
      <c r="D1057" s="22"/>
      <c r="E1057" s="24"/>
      <c r="F1057" s="22"/>
      <c r="H1057" s="21">
        <v>45931</v>
      </c>
      <c r="I1057" s="22" t="s">
        <v>71</v>
      </c>
      <c r="J1057" s="22" t="s">
        <v>53</v>
      </c>
      <c r="K1057" s="24">
        <v>5</v>
      </c>
      <c r="M1057" s="21">
        <v>45959</v>
      </c>
      <c r="N1057" s="22" t="s">
        <v>70</v>
      </c>
      <c r="O1057" s="22" t="s">
        <v>55</v>
      </c>
      <c r="P1057" s="49">
        <v>74.3</v>
      </c>
      <c r="Q1057" s="49">
        <v>73.900000000000006</v>
      </c>
      <c r="R1057" s="46">
        <f t="shared" si="36"/>
        <v>0.39999999999999147</v>
      </c>
      <c r="T1057" s="21">
        <v>45953</v>
      </c>
      <c r="U1057" s="22" t="s">
        <v>52</v>
      </c>
      <c r="V1057" s="24">
        <v>4</v>
      </c>
      <c r="W1057" s="24">
        <v>3</v>
      </c>
      <c r="X1057" s="24">
        <v>3</v>
      </c>
      <c r="Y1057" s="24">
        <v>3</v>
      </c>
      <c r="Z1057" s="20">
        <f t="shared" si="37"/>
        <v>13</v>
      </c>
    </row>
    <row r="1058" spans="1:26" x14ac:dyDescent="0.2">
      <c r="A1058" s="21"/>
      <c r="B1058" s="20"/>
      <c r="C1058" s="22"/>
      <c r="D1058" s="22"/>
      <c r="E1058" s="24"/>
      <c r="F1058" s="22"/>
      <c r="H1058" s="21">
        <v>45931</v>
      </c>
      <c r="I1058" s="22" t="s">
        <v>71</v>
      </c>
      <c r="J1058" s="22" t="s">
        <v>44</v>
      </c>
      <c r="K1058" s="24">
        <v>7</v>
      </c>
      <c r="M1058" s="21">
        <v>45959</v>
      </c>
      <c r="N1058" s="22" t="s">
        <v>70</v>
      </c>
      <c r="O1058" s="22" t="s">
        <v>57</v>
      </c>
      <c r="P1058" s="49">
        <v>74.3</v>
      </c>
      <c r="Q1058" s="49">
        <v>73.900000000000006</v>
      </c>
      <c r="R1058" s="46">
        <f t="shared" si="36"/>
        <v>0.39999999999999147</v>
      </c>
      <c r="T1058" s="21">
        <v>45953</v>
      </c>
      <c r="U1058" s="22" t="s">
        <v>53</v>
      </c>
      <c r="V1058" s="24">
        <v>4</v>
      </c>
      <c r="W1058" s="24">
        <v>4</v>
      </c>
      <c r="X1058" s="24">
        <v>4</v>
      </c>
      <c r="Y1058" s="24">
        <v>4</v>
      </c>
      <c r="Z1058" s="20">
        <f t="shared" si="37"/>
        <v>16</v>
      </c>
    </row>
    <row r="1059" spans="1:26" x14ac:dyDescent="0.2">
      <c r="A1059" s="21"/>
      <c r="B1059" s="20"/>
      <c r="C1059" s="22"/>
      <c r="D1059" s="22"/>
      <c r="E1059" s="24"/>
      <c r="F1059" s="22"/>
      <c r="H1059" s="21">
        <v>45931</v>
      </c>
      <c r="I1059" s="22" t="s">
        <v>71</v>
      </c>
      <c r="J1059" s="22" t="s">
        <v>45</v>
      </c>
      <c r="K1059" s="24">
        <v>7</v>
      </c>
      <c r="M1059" s="21">
        <v>45960</v>
      </c>
      <c r="N1059" s="22" t="s">
        <v>70</v>
      </c>
      <c r="O1059" s="22" t="s">
        <v>41</v>
      </c>
      <c r="P1059" s="49">
        <v>77</v>
      </c>
      <c r="Q1059" s="49">
        <v>76</v>
      </c>
      <c r="R1059" s="46">
        <f t="shared" si="36"/>
        <v>1</v>
      </c>
      <c r="T1059" s="21">
        <v>45953</v>
      </c>
      <c r="U1059" s="22" t="s">
        <v>55</v>
      </c>
      <c r="V1059" s="24">
        <v>4</v>
      </c>
      <c r="W1059" s="24">
        <v>3</v>
      </c>
      <c r="X1059" s="24">
        <v>3</v>
      </c>
      <c r="Y1059" s="24">
        <v>2</v>
      </c>
      <c r="Z1059" s="20">
        <f t="shared" si="37"/>
        <v>12</v>
      </c>
    </row>
    <row r="1060" spans="1:26" x14ac:dyDescent="0.2">
      <c r="A1060" s="21"/>
      <c r="B1060" s="20"/>
      <c r="C1060" s="22"/>
      <c r="D1060" s="22"/>
      <c r="E1060" s="24"/>
      <c r="F1060" s="22"/>
      <c r="H1060" s="21">
        <v>45931</v>
      </c>
      <c r="I1060" s="22" t="s">
        <v>71</v>
      </c>
      <c r="J1060" s="22" t="s">
        <v>57</v>
      </c>
      <c r="K1060" s="24">
        <v>8</v>
      </c>
      <c r="M1060" s="21">
        <v>45960</v>
      </c>
      <c r="N1060" s="22" t="s">
        <v>70</v>
      </c>
      <c r="O1060" s="22" t="s">
        <v>42</v>
      </c>
      <c r="P1060" s="49">
        <v>79.8</v>
      </c>
      <c r="Q1060" s="49">
        <v>79.7</v>
      </c>
      <c r="R1060" s="46">
        <f t="shared" si="36"/>
        <v>9.9999999999994316E-2</v>
      </c>
      <c r="T1060" s="21">
        <v>45953</v>
      </c>
      <c r="U1060" s="22" t="s">
        <v>57</v>
      </c>
      <c r="V1060" s="24">
        <v>3</v>
      </c>
      <c r="W1060" s="24">
        <v>3</v>
      </c>
      <c r="X1060" s="24">
        <v>3</v>
      </c>
      <c r="Y1060" s="24">
        <v>4</v>
      </c>
      <c r="Z1060" s="20">
        <f t="shared" si="37"/>
        <v>13</v>
      </c>
    </row>
    <row r="1061" spans="1:26" x14ac:dyDescent="0.2">
      <c r="A1061" s="21"/>
      <c r="B1061" s="20"/>
      <c r="C1061" s="22"/>
      <c r="D1061" s="22"/>
      <c r="E1061" s="24"/>
      <c r="F1061" s="22"/>
      <c r="H1061" s="21">
        <v>45931</v>
      </c>
      <c r="I1061" s="22" t="s">
        <v>71</v>
      </c>
      <c r="J1061" s="22" t="s">
        <v>42</v>
      </c>
      <c r="K1061" s="24">
        <v>5</v>
      </c>
      <c r="M1061" s="21">
        <v>45960</v>
      </c>
      <c r="N1061" s="22" t="s">
        <v>70</v>
      </c>
      <c r="O1061" s="22" t="s">
        <v>44</v>
      </c>
      <c r="P1061" s="49">
        <v>67</v>
      </c>
      <c r="Q1061" s="49">
        <v>66.599999999999994</v>
      </c>
      <c r="R1061" s="46">
        <f t="shared" si="36"/>
        <v>0.40000000000000568</v>
      </c>
      <c r="T1061" s="21">
        <v>45953</v>
      </c>
      <c r="U1061" s="22" t="s">
        <v>58</v>
      </c>
      <c r="V1061" s="24">
        <v>3</v>
      </c>
      <c r="W1061" s="24">
        <v>4</v>
      </c>
      <c r="X1061" s="24">
        <v>5</v>
      </c>
      <c r="Y1061" s="24">
        <v>4</v>
      </c>
      <c r="Z1061" s="20">
        <f t="shared" si="37"/>
        <v>16</v>
      </c>
    </row>
    <row r="1062" spans="1:26" x14ac:dyDescent="0.2">
      <c r="A1062" s="21"/>
      <c r="B1062" s="20"/>
      <c r="C1062" s="22"/>
      <c r="D1062" s="22"/>
      <c r="E1062" s="24"/>
      <c r="F1062" s="22"/>
      <c r="H1062" s="21">
        <v>45931</v>
      </c>
      <c r="I1062" s="22" t="s">
        <v>71</v>
      </c>
      <c r="J1062" s="22" t="s">
        <v>54</v>
      </c>
      <c r="K1062" s="24">
        <v>7</v>
      </c>
      <c r="M1062" s="21">
        <v>45960</v>
      </c>
      <c r="N1062" s="22" t="s">
        <v>70</v>
      </c>
      <c r="O1062" s="22" t="s">
        <v>45</v>
      </c>
      <c r="P1062" s="49">
        <v>69.400000000000006</v>
      </c>
      <c r="Q1062" s="49">
        <v>68.599999999999994</v>
      </c>
      <c r="R1062" s="46">
        <f t="shared" si="36"/>
        <v>0.80000000000001137</v>
      </c>
      <c r="T1062" s="21">
        <v>45953</v>
      </c>
      <c r="U1062" s="22" t="s">
        <v>33</v>
      </c>
      <c r="V1062" s="24">
        <v>3.625</v>
      </c>
      <c r="W1062" s="24">
        <v>3.6875</v>
      </c>
      <c r="X1062" s="24">
        <v>3.8125</v>
      </c>
      <c r="Y1062" s="24">
        <v>4.125</v>
      </c>
      <c r="Z1062" s="20">
        <f t="shared" si="37"/>
        <v>15.25</v>
      </c>
    </row>
    <row r="1063" spans="1:26" x14ac:dyDescent="0.2">
      <c r="A1063" s="21"/>
      <c r="B1063" s="20"/>
      <c r="C1063" s="22"/>
      <c r="D1063" s="22"/>
      <c r="E1063" s="24"/>
      <c r="F1063" s="22"/>
      <c r="H1063" s="21">
        <v>45931</v>
      </c>
      <c r="I1063" s="22" t="s">
        <v>71</v>
      </c>
      <c r="J1063" s="22" t="s">
        <v>47</v>
      </c>
      <c r="K1063" s="24">
        <v>6</v>
      </c>
      <c r="M1063" s="21">
        <v>45960</v>
      </c>
      <c r="N1063" s="22" t="s">
        <v>70</v>
      </c>
      <c r="O1063" s="22" t="s">
        <v>46</v>
      </c>
      <c r="P1063" s="49">
        <v>81.599999999999994</v>
      </c>
      <c r="Q1063" s="49">
        <v>81.8</v>
      </c>
      <c r="R1063" s="46">
        <f t="shared" si="36"/>
        <v>-0.20000000000000284</v>
      </c>
      <c r="T1063" s="21">
        <v>45954</v>
      </c>
      <c r="U1063" s="22" t="s">
        <v>41</v>
      </c>
      <c r="V1063" s="24">
        <v>1</v>
      </c>
      <c r="W1063" s="24">
        <v>5</v>
      </c>
      <c r="X1063" s="24">
        <v>2</v>
      </c>
      <c r="Y1063" s="24">
        <v>1</v>
      </c>
      <c r="Z1063" s="20">
        <f t="shared" si="37"/>
        <v>9</v>
      </c>
    </row>
    <row r="1064" spans="1:26" x14ac:dyDescent="0.2">
      <c r="A1064" s="21"/>
      <c r="B1064" s="20"/>
      <c r="C1064" s="22"/>
      <c r="D1064" s="22"/>
      <c r="E1064" s="24"/>
      <c r="F1064" s="22"/>
      <c r="H1064" s="21">
        <v>45931</v>
      </c>
      <c r="I1064" s="22" t="s">
        <v>71</v>
      </c>
      <c r="J1064" s="22" t="s">
        <v>41</v>
      </c>
      <c r="K1064" s="24">
        <v>2</v>
      </c>
      <c r="M1064" s="21">
        <v>45960</v>
      </c>
      <c r="N1064" s="22" t="s">
        <v>70</v>
      </c>
      <c r="O1064" s="22" t="s">
        <v>47</v>
      </c>
      <c r="P1064" s="49">
        <v>71.3</v>
      </c>
      <c r="Q1064" s="49">
        <v>71.2</v>
      </c>
      <c r="R1064" s="46">
        <f t="shared" si="36"/>
        <v>9.9999999999994316E-2</v>
      </c>
      <c r="T1064" s="21">
        <v>45954</v>
      </c>
      <c r="U1064" s="22" t="s">
        <v>42</v>
      </c>
      <c r="V1064" s="24">
        <v>4</v>
      </c>
      <c r="W1064" s="24">
        <v>4</v>
      </c>
      <c r="X1064" s="24">
        <v>4</v>
      </c>
      <c r="Y1064" s="24">
        <v>5</v>
      </c>
      <c r="Z1064" s="20">
        <f t="shared" si="37"/>
        <v>17</v>
      </c>
    </row>
    <row r="1065" spans="1:26" x14ac:dyDescent="0.2">
      <c r="A1065" s="21"/>
      <c r="B1065" s="20"/>
      <c r="C1065" s="22"/>
      <c r="D1065" s="22"/>
      <c r="E1065" s="24"/>
      <c r="F1065" s="22"/>
      <c r="H1065" s="21">
        <v>45931</v>
      </c>
      <c r="I1065" s="22" t="s">
        <v>71</v>
      </c>
      <c r="J1065" s="22" t="s">
        <v>49</v>
      </c>
      <c r="K1065" s="24">
        <v>6</v>
      </c>
      <c r="M1065" s="21">
        <v>45960</v>
      </c>
      <c r="N1065" s="22" t="s">
        <v>70</v>
      </c>
      <c r="O1065" s="22" t="s">
        <v>48</v>
      </c>
      <c r="P1065" s="49">
        <v>81</v>
      </c>
      <c r="Q1065" s="49">
        <v>79.599999999999994</v>
      </c>
      <c r="R1065" s="46">
        <f t="shared" si="36"/>
        <v>1.4000000000000057</v>
      </c>
      <c r="T1065" s="21">
        <v>45954</v>
      </c>
      <c r="U1065" s="22" t="s">
        <v>43</v>
      </c>
      <c r="V1065" s="24">
        <v>4</v>
      </c>
      <c r="W1065" s="24">
        <v>4</v>
      </c>
      <c r="X1065" s="24">
        <v>4</v>
      </c>
      <c r="Y1065" s="24">
        <v>5</v>
      </c>
      <c r="Z1065" s="20">
        <f t="shared" si="37"/>
        <v>17</v>
      </c>
    </row>
    <row r="1066" spans="1:26" x14ac:dyDescent="0.2">
      <c r="A1066" s="21"/>
      <c r="B1066" s="20"/>
      <c r="C1066" s="22"/>
      <c r="D1066" s="22"/>
      <c r="E1066" s="24"/>
      <c r="F1066" s="22"/>
      <c r="H1066" s="21">
        <v>45931</v>
      </c>
      <c r="I1066" s="22" t="s">
        <v>71</v>
      </c>
      <c r="J1066" s="22" t="s">
        <v>50</v>
      </c>
      <c r="K1066" s="24">
        <v>8</v>
      </c>
      <c r="M1066" s="21">
        <v>45960</v>
      </c>
      <c r="N1066" s="22" t="s">
        <v>70</v>
      </c>
      <c r="O1066" s="22" t="s">
        <v>49</v>
      </c>
      <c r="P1066" s="49">
        <v>78.599999999999994</v>
      </c>
      <c r="Q1066" s="49">
        <v>78.599999999999994</v>
      </c>
      <c r="R1066" s="46">
        <f t="shared" si="36"/>
        <v>0</v>
      </c>
      <c r="T1066" s="21">
        <v>45954</v>
      </c>
      <c r="U1066" s="22" t="s">
        <v>44</v>
      </c>
      <c r="V1066" s="24">
        <v>5</v>
      </c>
      <c r="W1066" s="24">
        <v>4</v>
      </c>
      <c r="X1066" s="24">
        <v>4</v>
      </c>
      <c r="Y1066" s="24">
        <v>5</v>
      </c>
      <c r="Z1066" s="20">
        <f t="shared" si="37"/>
        <v>18</v>
      </c>
    </row>
    <row r="1067" spans="1:26" x14ac:dyDescent="0.2">
      <c r="A1067" s="21"/>
      <c r="B1067" s="20"/>
      <c r="C1067" s="22"/>
      <c r="D1067" s="22"/>
      <c r="E1067" s="24"/>
      <c r="F1067" s="22"/>
      <c r="H1067" s="21">
        <v>45931</v>
      </c>
      <c r="I1067" s="22" t="s">
        <v>71</v>
      </c>
      <c r="J1067" s="22" t="s">
        <v>51</v>
      </c>
      <c r="K1067" s="24">
        <v>7</v>
      </c>
      <c r="M1067" s="21">
        <v>45960</v>
      </c>
      <c r="N1067" s="22" t="s">
        <v>70</v>
      </c>
      <c r="O1067" s="22" t="s">
        <v>50</v>
      </c>
      <c r="P1067" s="49">
        <v>68.400000000000006</v>
      </c>
      <c r="Q1067" s="49">
        <v>68.099999999999994</v>
      </c>
      <c r="R1067" s="46">
        <f t="shared" si="36"/>
        <v>0.30000000000001137</v>
      </c>
      <c r="T1067" s="21">
        <v>45954</v>
      </c>
      <c r="U1067" s="22" t="s">
        <v>45</v>
      </c>
      <c r="V1067" s="24">
        <v>5</v>
      </c>
      <c r="W1067" s="24">
        <v>4</v>
      </c>
      <c r="X1067" s="24">
        <v>4</v>
      </c>
      <c r="Y1067" s="24">
        <v>5</v>
      </c>
      <c r="Z1067" s="20">
        <f t="shared" si="37"/>
        <v>18</v>
      </c>
    </row>
    <row r="1068" spans="1:26" x14ac:dyDescent="0.2">
      <c r="A1068" s="21"/>
      <c r="B1068" s="20"/>
      <c r="C1068" s="22"/>
      <c r="D1068" s="22"/>
      <c r="E1068" s="24"/>
      <c r="F1068" s="22"/>
      <c r="H1068" s="21">
        <v>45931</v>
      </c>
      <c r="I1068" s="22" t="s">
        <v>71</v>
      </c>
      <c r="J1068" s="22" t="s">
        <v>46</v>
      </c>
      <c r="K1068" s="24">
        <v>8</v>
      </c>
      <c r="M1068" s="21">
        <v>45960</v>
      </c>
      <c r="N1068" s="22" t="s">
        <v>70</v>
      </c>
      <c r="O1068" s="22" t="s">
        <v>51</v>
      </c>
      <c r="P1068" s="49">
        <v>75.3</v>
      </c>
      <c r="Q1068" s="49">
        <v>75.400000000000006</v>
      </c>
      <c r="R1068" s="46">
        <f t="shared" si="36"/>
        <v>-0.10000000000000853</v>
      </c>
      <c r="T1068" s="21">
        <v>45954</v>
      </c>
      <c r="U1068" s="22" t="s">
        <v>46</v>
      </c>
      <c r="V1068" s="24">
        <v>5</v>
      </c>
      <c r="W1068" s="24">
        <v>4</v>
      </c>
      <c r="X1068" s="24">
        <v>4</v>
      </c>
      <c r="Y1068" s="24">
        <v>5</v>
      </c>
      <c r="Z1068" s="20">
        <f t="shared" si="37"/>
        <v>18</v>
      </c>
    </row>
    <row r="1069" spans="1:26" x14ac:dyDescent="0.2">
      <c r="A1069" s="21"/>
      <c r="B1069" s="20"/>
      <c r="C1069" s="22"/>
      <c r="D1069" s="22"/>
      <c r="E1069" s="24"/>
      <c r="F1069" s="22"/>
      <c r="H1069" s="21">
        <v>45931</v>
      </c>
      <c r="I1069" s="22" t="s">
        <v>71</v>
      </c>
      <c r="J1069" s="22" t="s">
        <v>48</v>
      </c>
      <c r="K1069" s="24">
        <v>8</v>
      </c>
      <c r="M1069" s="21">
        <v>45960</v>
      </c>
      <c r="N1069" s="22" t="s">
        <v>70</v>
      </c>
      <c r="O1069" s="22" t="s">
        <v>52</v>
      </c>
      <c r="P1069" s="49">
        <v>72</v>
      </c>
      <c r="Q1069" s="49">
        <v>71.7</v>
      </c>
      <c r="R1069" s="46">
        <f t="shared" si="36"/>
        <v>0.29999999999999716</v>
      </c>
      <c r="T1069" s="21">
        <v>45954</v>
      </c>
      <c r="U1069" s="22" t="s">
        <v>47</v>
      </c>
      <c r="V1069" s="24">
        <v>5</v>
      </c>
      <c r="W1069" s="24">
        <v>4</v>
      </c>
      <c r="X1069" s="24">
        <v>4</v>
      </c>
      <c r="Y1069" s="24">
        <v>5</v>
      </c>
      <c r="Z1069" s="20">
        <f t="shared" si="37"/>
        <v>18</v>
      </c>
    </row>
    <row r="1070" spans="1:26" x14ac:dyDescent="0.2">
      <c r="A1070" s="21"/>
      <c r="B1070" s="20"/>
      <c r="C1070" s="22"/>
      <c r="D1070" s="22"/>
      <c r="E1070" s="24"/>
      <c r="F1070" s="22"/>
      <c r="H1070" s="21">
        <v>45931</v>
      </c>
      <c r="I1070" s="22" t="s">
        <v>71</v>
      </c>
      <c r="J1070" s="22" t="s">
        <v>56</v>
      </c>
      <c r="K1070" s="24">
        <v>7</v>
      </c>
      <c r="M1070" s="21">
        <v>45960</v>
      </c>
      <c r="N1070" s="22" t="s">
        <v>70</v>
      </c>
      <c r="O1070" s="22" t="s">
        <v>53</v>
      </c>
      <c r="P1070" s="49">
        <v>66.599999999999994</v>
      </c>
      <c r="Q1070" s="49">
        <v>65.900000000000006</v>
      </c>
      <c r="R1070" s="46">
        <f t="shared" si="36"/>
        <v>0.69999999999998863</v>
      </c>
      <c r="T1070" s="21">
        <v>45954</v>
      </c>
      <c r="U1070" s="22" t="s">
        <v>48</v>
      </c>
      <c r="V1070" s="24">
        <v>5</v>
      </c>
      <c r="W1070" s="24">
        <v>4</v>
      </c>
      <c r="X1070" s="24">
        <v>4</v>
      </c>
      <c r="Y1070" s="24">
        <v>5</v>
      </c>
      <c r="Z1070" s="20">
        <f t="shared" si="37"/>
        <v>18</v>
      </c>
    </row>
    <row r="1071" spans="1:26" x14ac:dyDescent="0.2">
      <c r="A1071" s="21"/>
      <c r="B1071" s="20"/>
      <c r="C1071" s="22"/>
      <c r="D1071" s="22"/>
      <c r="E1071" s="24"/>
      <c r="F1071" s="22"/>
      <c r="H1071" s="21">
        <v>45932</v>
      </c>
      <c r="I1071" s="22" t="s">
        <v>70</v>
      </c>
      <c r="J1071" s="22" t="s">
        <v>52</v>
      </c>
      <c r="K1071" s="24">
        <v>5</v>
      </c>
      <c r="M1071" s="21">
        <v>45960</v>
      </c>
      <c r="N1071" s="22" t="s">
        <v>70</v>
      </c>
      <c r="O1071" s="22" t="s">
        <v>55</v>
      </c>
      <c r="P1071" s="49">
        <v>74.900000000000006</v>
      </c>
      <c r="Q1071" s="49">
        <v>74.599999999999994</v>
      </c>
      <c r="R1071" s="46">
        <f t="shared" si="36"/>
        <v>0.30000000000001137</v>
      </c>
      <c r="T1071" s="21">
        <v>45954</v>
      </c>
      <c r="U1071" s="22" t="s">
        <v>49</v>
      </c>
      <c r="V1071" s="24">
        <v>4</v>
      </c>
      <c r="W1071" s="24">
        <v>4</v>
      </c>
      <c r="X1071" s="24">
        <v>4</v>
      </c>
      <c r="Y1071" s="24">
        <v>4</v>
      </c>
      <c r="Z1071" s="20">
        <f t="shared" si="37"/>
        <v>16</v>
      </c>
    </row>
    <row r="1072" spans="1:26" x14ac:dyDescent="0.2">
      <c r="A1072" s="21"/>
      <c r="B1072" s="20"/>
      <c r="C1072" s="22"/>
      <c r="D1072" s="22"/>
      <c r="E1072" s="24"/>
      <c r="F1072" s="22"/>
      <c r="H1072" s="21">
        <v>45932</v>
      </c>
      <c r="I1072" s="22" t="s">
        <v>70</v>
      </c>
      <c r="J1072" s="22" t="s">
        <v>53</v>
      </c>
      <c r="K1072" s="24">
        <v>5</v>
      </c>
      <c r="M1072" s="21">
        <v>45960</v>
      </c>
      <c r="N1072" s="22" t="s">
        <v>70</v>
      </c>
      <c r="O1072" s="22" t="s">
        <v>56</v>
      </c>
      <c r="P1072" s="49">
        <v>74.900000000000006</v>
      </c>
      <c r="Q1072" s="49">
        <v>75.099999999999994</v>
      </c>
      <c r="R1072" s="46">
        <f t="shared" si="36"/>
        <v>-0.19999999999998863</v>
      </c>
      <c r="T1072" s="21">
        <v>45954</v>
      </c>
      <c r="U1072" s="22" t="s">
        <v>50</v>
      </c>
      <c r="V1072" s="24">
        <v>4</v>
      </c>
      <c r="W1072" s="24">
        <v>4</v>
      </c>
      <c r="X1072" s="24">
        <v>4</v>
      </c>
      <c r="Y1072" s="24">
        <v>5</v>
      </c>
      <c r="Z1072" s="20">
        <f t="shared" si="37"/>
        <v>17</v>
      </c>
    </row>
    <row r="1073" spans="1:26" x14ac:dyDescent="0.2">
      <c r="A1073" s="21"/>
      <c r="B1073" s="20"/>
      <c r="C1073" s="22"/>
      <c r="D1073" s="22"/>
      <c r="E1073" s="24"/>
      <c r="F1073" s="22"/>
      <c r="H1073" s="21">
        <v>45932</v>
      </c>
      <c r="I1073" s="22" t="s">
        <v>70</v>
      </c>
      <c r="J1073" s="22" t="s">
        <v>44</v>
      </c>
      <c r="K1073" s="24">
        <v>3</v>
      </c>
      <c r="M1073" s="21">
        <v>45960</v>
      </c>
      <c r="N1073" s="22" t="s">
        <v>70</v>
      </c>
      <c r="O1073" s="22" t="s">
        <v>57</v>
      </c>
      <c r="P1073" s="49">
        <v>93.3</v>
      </c>
      <c r="Q1073" s="49">
        <v>93</v>
      </c>
      <c r="R1073" s="46">
        <f t="shared" si="36"/>
        <v>0.29999999999999716</v>
      </c>
      <c r="T1073" s="21">
        <v>45954</v>
      </c>
      <c r="U1073" s="22" t="s">
        <v>51</v>
      </c>
      <c r="V1073" s="24">
        <v>4</v>
      </c>
      <c r="W1073" s="24">
        <v>4</v>
      </c>
      <c r="X1073" s="24">
        <v>4</v>
      </c>
      <c r="Y1073" s="24">
        <v>5</v>
      </c>
      <c r="Z1073" s="20">
        <f t="shared" si="37"/>
        <v>17</v>
      </c>
    </row>
    <row r="1074" spans="1:26" x14ac:dyDescent="0.2">
      <c r="A1074" s="21"/>
      <c r="B1074" s="20"/>
      <c r="C1074" s="22"/>
      <c r="D1074" s="22"/>
      <c r="E1074" s="24"/>
      <c r="F1074" s="22"/>
      <c r="H1074" s="21">
        <v>45932</v>
      </c>
      <c r="I1074" s="22" t="s">
        <v>70</v>
      </c>
      <c r="J1074" s="22" t="s">
        <v>45</v>
      </c>
      <c r="K1074" s="24">
        <v>4</v>
      </c>
      <c r="M1074" s="21">
        <v>45960</v>
      </c>
      <c r="N1074" s="22" t="s">
        <v>70</v>
      </c>
      <c r="O1074" s="22" t="s">
        <v>58</v>
      </c>
      <c r="P1074" s="49">
        <v>76.7</v>
      </c>
      <c r="Q1074" s="49">
        <v>76.400000000000006</v>
      </c>
      <c r="R1074" s="46">
        <f t="shared" si="36"/>
        <v>0.29999999999999716</v>
      </c>
      <c r="T1074" s="21">
        <v>45954</v>
      </c>
      <c r="U1074" s="22" t="s">
        <v>52</v>
      </c>
      <c r="V1074" s="24">
        <v>4</v>
      </c>
      <c r="W1074" s="24">
        <v>4</v>
      </c>
      <c r="X1074" s="24">
        <v>4</v>
      </c>
      <c r="Y1074" s="24">
        <v>4</v>
      </c>
      <c r="Z1074" s="20">
        <f t="shared" si="37"/>
        <v>16</v>
      </c>
    </row>
    <row r="1075" spans="1:26" x14ac:dyDescent="0.2">
      <c r="A1075" s="21"/>
      <c r="B1075" s="20"/>
      <c r="C1075" s="22"/>
      <c r="D1075" s="22"/>
      <c r="E1075" s="24"/>
      <c r="F1075" s="22"/>
      <c r="H1075" s="21">
        <v>45932</v>
      </c>
      <c r="I1075" s="22" t="s">
        <v>70</v>
      </c>
      <c r="J1075" s="22" t="s">
        <v>57</v>
      </c>
      <c r="K1075" s="24">
        <v>6</v>
      </c>
      <c r="M1075" s="21">
        <v>45961</v>
      </c>
      <c r="N1075" s="22" t="s">
        <v>70</v>
      </c>
      <c r="O1075" s="22" t="s">
        <v>41</v>
      </c>
      <c r="P1075" s="49">
        <v>77</v>
      </c>
      <c r="Q1075" s="49">
        <v>76</v>
      </c>
      <c r="R1075" s="46">
        <f t="shared" si="36"/>
        <v>1</v>
      </c>
      <c r="T1075" s="21">
        <v>45954</v>
      </c>
      <c r="U1075" s="22" t="s">
        <v>53</v>
      </c>
      <c r="V1075" s="24">
        <v>4</v>
      </c>
      <c r="W1075" s="24">
        <v>4</v>
      </c>
      <c r="X1075" s="24">
        <v>4</v>
      </c>
      <c r="Y1075" s="24">
        <v>4</v>
      </c>
      <c r="Z1075" s="20">
        <f t="shared" si="37"/>
        <v>16</v>
      </c>
    </row>
    <row r="1076" spans="1:26" x14ac:dyDescent="0.2">
      <c r="A1076" s="21"/>
      <c r="B1076" s="20"/>
      <c r="C1076" s="22"/>
      <c r="D1076" s="22"/>
      <c r="E1076" s="24"/>
      <c r="F1076" s="22"/>
      <c r="H1076" s="21">
        <v>45932</v>
      </c>
      <c r="I1076" s="22" t="s">
        <v>70</v>
      </c>
      <c r="J1076" s="22" t="s">
        <v>42</v>
      </c>
      <c r="K1076" s="24">
        <v>3</v>
      </c>
      <c r="M1076" s="21">
        <v>45961</v>
      </c>
      <c r="N1076" s="22" t="s">
        <v>70</v>
      </c>
      <c r="O1076" s="22" t="s">
        <v>42</v>
      </c>
      <c r="P1076" s="49">
        <v>79.900000000000006</v>
      </c>
      <c r="Q1076" s="49">
        <v>79.7</v>
      </c>
      <c r="R1076" s="46">
        <f t="shared" si="36"/>
        <v>0.20000000000000284</v>
      </c>
      <c r="T1076" s="21">
        <v>45954</v>
      </c>
      <c r="U1076" s="22" t="s">
        <v>56</v>
      </c>
      <c r="V1076" s="24">
        <v>4</v>
      </c>
      <c r="W1076" s="24">
        <v>4</v>
      </c>
      <c r="X1076" s="24">
        <v>4</v>
      </c>
      <c r="Y1076" s="24">
        <v>4</v>
      </c>
      <c r="Z1076" s="20">
        <f t="shared" si="37"/>
        <v>16</v>
      </c>
    </row>
    <row r="1077" spans="1:26" x14ac:dyDescent="0.2">
      <c r="A1077" s="21"/>
      <c r="B1077" s="20"/>
      <c r="C1077" s="22"/>
      <c r="D1077" s="22"/>
      <c r="E1077" s="24"/>
      <c r="F1077" s="22"/>
      <c r="H1077" s="21">
        <v>45932</v>
      </c>
      <c r="I1077" s="22" t="s">
        <v>70</v>
      </c>
      <c r="J1077" s="22" t="s">
        <v>54</v>
      </c>
      <c r="K1077" s="24">
        <v>5</v>
      </c>
      <c r="M1077" s="21">
        <v>45961</v>
      </c>
      <c r="N1077" s="22" t="s">
        <v>70</v>
      </c>
      <c r="O1077" s="22" t="s">
        <v>44</v>
      </c>
      <c r="P1077" s="49">
        <v>67.5</v>
      </c>
      <c r="Q1077" s="49">
        <v>66.599999999999994</v>
      </c>
      <c r="R1077" s="46">
        <f t="shared" si="36"/>
        <v>0.90000000000000568</v>
      </c>
      <c r="T1077" s="21">
        <v>45954</v>
      </c>
      <c r="U1077" s="22" t="s">
        <v>57</v>
      </c>
      <c r="V1077" s="24">
        <v>5</v>
      </c>
      <c r="W1077" s="24">
        <v>3</v>
      </c>
      <c r="X1077" s="24">
        <v>3</v>
      </c>
      <c r="Y1077" s="24">
        <v>2</v>
      </c>
      <c r="Z1077" s="20">
        <f t="shared" si="37"/>
        <v>13</v>
      </c>
    </row>
    <row r="1078" spans="1:26" x14ac:dyDescent="0.2">
      <c r="A1078" s="21"/>
      <c r="B1078" s="20"/>
      <c r="C1078" s="22"/>
      <c r="D1078" s="22"/>
      <c r="E1078" s="24"/>
      <c r="F1078" s="22"/>
      <c r="H1078" s="21">
        <v>45932</v>
      </c>
      <c r="I1078" s="22" t="s">
        <v>70</v>
      </c>
      <c r="J1078" s="22" t="s">
        <v>47</v>
      </c>
      <c r="K1078" s="24">
        <v>5</v>
      </c>
      <c r="M1078" s="21">
        <v>45961</v>
      </c>
      <c r="N1078" s="22" t="s">
        <v>70</v>
      </c>
      <c r="O1078" s="22" t="s">
        <v>45</v>
      </c>
      <c r="P1078" s="49">
        <v>69</v>
      </c>
      <c r="Q1078" s="49">
        <v>68.7</v>
      </c>
      <c r="R1078" s="46">
        <f t="shared" si="36"/>
        <v>0.29999999999999716</v>
      </c>
      <c r="T1078" s="21">
        <v>45954</v>
      </c>
      <c r="U1078" s="22" t="s">
        <v>58</v>
      </c>
      <c r="V1078" s="24">
        <v>4</v>
      </c>
      <c r="W1078" s="24">
        <v>4</v>
      </c>
      <c r="X1078" s="24">
        <v>4</v>
      </c>
      <c r="Y1078" s="24">
        <v>5</v>
      </c>
      <c r="Z1078" s="20">
        <f t="shared" si="37"/>
        <v>17</v>
      </c>
    </row>
    <row r="1079" spans="1:26" x14ac:dyDescent="0.2">
      <c r="A1079" s="21"/>
      <c r="B1079" s="20"/>
      <c r="C1079" s="22"/>
      <c r="D1079" s="22"/>
      <c r="E1079" s="24"/>
      <c r="F1079" s="22"/>
      <c r="H1079" s="21">
        <v>45932</v>
      </c>
      <c r="I1079" s="22" t="s">
        <v>70</v>
      </c>
      <c r="J1079" s="22" t="s">
        <v>41</v>
      </c>
      <c r="K1079" s="24">
        <v>1</v>
      </c>
      <c r="M1079" s="21">
        <v>45961</v>
      </c>
      <c r="N1079" s="22" t="s">
        <v>70</v>
      </c>
      <c r="O1079" s="22" t="s">
        <v>46</v>
      </c>
      <c r="P1079" s="49">
        <v>80.8</v>
      </c>
      <c r="Q1079" s="49">
        <v>81.2</v>
      </c>
      <c r="R1079" s="46">
        <f t="shared" si="36"/>
        <v>-0.40000000000000568</v>
      </c>
      <c r="T1079" s="21">
        <v>45954</v>
      </c>
      <c r="U1079" s="22" t="s">
        <v>33</v>
      </c>
      <c r="V1079" s="24">
        <v>4.1875</v>
      </c>
      <c r="W1079" s="24">
        <v>4</v>
      </c>
      <c r="X1079" s="24">
        <v>3.8125</v>
      </c>
      <c r="Y1079" s="24">
        <v>4.3125</v>
      </c>
      <c r="Z1079" s="20">
        <f t="shared" si="37"/>
        <v>16.3125</v>
      </c>
    </row>
    <row r="1080" spans="1:26" x14ac:dyDescent="0.2">
      <c r="A1080" s="21"/>
      <c r="B1080" s="20"/>
      <c r="C1080" s="22"/>
      <c r="D1080" s="22"/>
      <c r="E1080" s="24"/>
      <c r="F1080" s="22"/>
      <c r="H1080" s="21">
        <v>45932</v>
      </c>
      <c r="I1080" s="22" t="s">
        <v>70</v>
      </c>
      <c r="J1080" s="22" t="s">
        <v>49</v>
      </c>
      <c r="K1080" s="24">
        <v>6</v>
      </c>
      <c r="M1080" s="21">
        <v>45961</v>
      </c>
      <c r="N1080" s="22" t="s">
        <v>70</v>
      </c>
      <c r="O1080" s="22" t="s">
        <v>47</v>
      </c>
      <c r="P1080" s="49">
        <v>72</v>
      </c>
      <c r="Q1080" s="49">
        <v>71.7</v>
      </c>
      <c r="R1080" s="46">
        <f t="shared" si="36"/>
        <v>0.29999999999999716</v>
      </c>
      <c r="T1080" s="21">
        <v>45955</v>
      </c>
      <c r="U1080" s="22" t="s">
        <v>42</v>
      </c>
      <c r="V1080" s="24">
        <v>4</v>
      </c>
      <c r="W1080" s="24">
        <v>4</v>
      </c>
      <c r="X1080" s="24">
        <v>4</v>
      </c>
      <c r="Y1080" s="24">
        <v>5</v>
      </c>
      <c r="Z1080" s="20">
        <f t="shared" si="37"/>
        <v>17</v>
      </c>
    </row>
    <row r="1081" spans="1:26" x14ac:dyDescent="0.2">
      <c r="A1081" s="21"/>
      <c r="B1081" s="20"/>
      <c r="C1081" s="22"/>
      <c r="D1081" s="22"/>
      <c r="E1081" s="24"/>
      <c r="F1081" s="22"/>
      <c r="H1081" s="21">
        <v>45932</v>
      </c>
      <c r="I1081" s="22" t="s">
        <v>70</v>
      </c>
      <c r="J1081" s="22" t="s">
        <v>50</v>
      </c>
      <c r="K1081" s="24">
        <v>6</v>
      </c>
      <c r="M1081" s="21">
        <v>45961</v>
      </c>
      <c r="N1081" s="22" t="s">
        <v>70</v>
      </c>
      <c r="O1081" s="22" t="s">
        <v>48</v>
      </c>
      <c r="P1081" s="49">
        <v>82</v>
      </c>
      <c r="Q1081" s="49">
        <v>80.400000000000006</v>
      </c>
      <c r="R1081" s="46">
        <f t="shared" si="36"/>
        <v>1.5999999999999943</v>
      </c>
      <c r="T1081" s="21">
        <v>45955</v>
      </c>
      <c r="U1081" s="22" t="s">
        <v>43</v>
      </c>
      <c r="V1081" s="24">
        <v>4</v>
      </c>
      <c r="W1081" s="24">
        <v>4</v>
      </c>
      <c r="X1081" s="24">
        <v>4</v>
      </c>
      <c r="Y1081" s="24">
        <v>5</v>
      </c>
      <c r="Z1081" s="20">
        <f t="shared" si="37"/>
        <v>17</v>
      </c>
    </row>
    <row r="1082" spans="1:26" x14ac:dyDescent="0.2">
      <c r="A1082" s="21"/>
      <c r="B1082" s="20"/>
      <c r="C1082" s="22"/>
      <c r="D1082" s="22"/>
      <c r="E1082" s="24"/>
      <c r="F1082" s="22"/>
      <c r="H1082" s="21">
        <v>45932</v>
      </c>
      <c r="I1082" s="22" t="s">
        <v>70</v>
      </c>
      <c r="J1082" s="22" t="s">
        <v>51</v>
      </c>
      <c r="K1082" s="24">
        <v>6</v>
      </c>
      <c r="M1082" s="21">
        <v>45961</v>
      </c>
      <c r="N1082" s="22" t="s">
        <v>70</v>
      </c>
      <c r="O1082" s="22" t="s">
        <v>49</v>
      </c>
      <c r="P1082" s="49">
        <v>79.099999999999994</v>
      </c>
      <c r="Q1082" s="49">
        <v>78.7</v>
      </c>
      <c r="R1082" s="46">
        <f t="shared" si="36"/>
        <v>0.39999999999999147</v>
      </c>
      <c r="T1082" s="21">
        <v>45955</v>
      </c>
      <c r="U1082" s="22" t="s">
        <v>44</v>
      </c>
      <c r="V1082" s="24">
        <v>5</v>
      </c>
      <c r="W1082" s="24">
        <v>5</v>
      </c>
      <c r="X1082" s="24">
        <v>5</v>
      </c>
      <c r="Y1082" s="24">
        <v>5</v>
      </c>
      <c r="Z1082" s="20">
        <f t="shared" si="37"/>
        <v>20</v>
      </c>
    </row>
    <row r="1083" spans="1:26" x14ac:dyDescent="0.2">
      <c r="A1083" s="21"/>
      <c r="B1083" s="20"/>
      <c r="C1083" s="22"/>
      <c r="D1083" s="22"/>
      <c r="E1083" s="24"/>
      <c r="F1083" s="22"/>
      <c r="H1083" s="21">
        <v>45932</v>
      </c>
      <c r="I1083" s="22" t="s">
        <v>70</v>
      </c>
      <c r="J1083" s="22" t="s">
        <v>46</v>
      </c>
      <c r="K1083" s="24">
        <v>6</v>
      </c>
      <c r="M1083" s="21">
        <v>45961</v>
      </c>
      <c r="N1083" s="22" t="s">
        <v>70</v>
      </c>
      <c r="O1083" s="22" t="s">
        <v>50</v>
      </c>
      <c r="P1083" s="49">
        <v>68.599999999999994</v>
      </c>
      <c r="Q1083" s="49">
        <v>68.8</v>
      </c>
      <c r="R1083" s="46">
        <f t="shared" si="36"/>
        <v>-0.20000000000000284</v>
      </c>
      <c r="T1083" s="21">
        <v>45955</v>
      </c>
      <c r="U1083" s="22" t="s">
        <v>45</v>
      </c>
      <c r="V1083" s="24">
        <v>3</v>
      </c>
      <c r="W1083" s="24">
        <v>4</v>
      </c>
      <c r="X1083" s="24">
        <v>4</v>
      </c>
      <c r="Y1083" s="24">
        <v>5</v>
      </c>
      <c r="Z1083" s="20">
        <f t="shared" si="37"/>
        <v>16</v>
      </c>
    </row>
    <row r="1084" spans="1:26" x14ac:dyDescent="0.2">
      <c r="A1084" s="21"/>
      <c r="B1084" s="20"/>
      <c r="C1084" s="22"/>
      <c r="D1084" s="22"/>
      <c r="E1084" s="24"/>
      <c r="F1084" s="22"/>
      <c r="H1084" s="21">
        <v>45932</v>
      </c>
      <c r="I1084" s="22" t="s">
        <v>70</v>
      </c>
      <c r="J1084" s="22" t="s">
        <v>48</v>
      </c>
      <c r="K1084" s="24">
        <v>5</v>
      </c>
      <c r="M1084" s="21">
        <v>45961</v>
      </c>
      <c r="N1084" s="22" t="s">
        <v>70</v>
      </c>
      <c r="O1084" s="22" t="s">
        <v>51</v>
      </c>
      <c r="P1084" s="49">
        <v>75.3</v>
      </c>
      <c r="Q1084" s="49">
        <v>75.5</v>
      </c>
      <c r="R1084" s="46">
        <f t="shared" si="36"/>
        <v>-0.20000000000000284</v>
      </c>
      <c r="T1084" s="21">
        <v>45955</v>
      </c>
      <c r="U1084" s="22" t="s">
        <v>46</v>
      </c>
      <c r="V1084" s="24">
        <v>3</v>
      </c>
      <c r="W1084" s="24">
        <v>4</v>
      </c>
      <c r="X1084" s="24">
        <v>4</v>
      </c>
      <c r="Y1084" s="24">
        <v>5</v>
      </c>
      <c r="Z1084" s="20">
        <f t="shared" si="37"/>
        <v>16</v>
      </c>
    </row>
    <row r="1085" spans="1:26" x14ac:dyDescent="0.2">
      <c r="A1085" s="21"/>
      <c r="B1085" s="20"/>
      <c r="C1085" s="22"/>
      <c r="D1085" s="22"/>
      <c r="E1085" s="24"/>
      <c r="F1085" s="22"/>
      <c r="H1085" s="21">
        <v>45932</v>
      </c>
      <c r="I1085" s="22" t="s">
        <v>70</v>
      </c>
      <c r="J1085" s="22" t="s">
        <v>56</v>
      </c>
      <c r="K1085" s="24">
        <v>6</v>
      </c>
      <c r="M1085" s="21">
        <v>45961</v>
      </c>
      <c r="N1085" s="22" t="s">
        <v>70</v>
      </c>
      <c r="O1085" s="22" t="s">
        <v>52</v>
      </c>
      <c r="P1085" s="49">
        <v>71.900000000000006</v>
      </c>
      <c r="Q1085" s="49">
        <v>71.3</v>
      </c>
      <c r="R1085" s="46">
        <f t="shared" si="36"/>
        <v>0.60000000000000853</v>
      </c>
      <c r="T1085" s="21">
        <v>45955</v>
      </c>
      <c r="U1085" s="22" t="s">
        <v>47</v>
      </c>
      <c r="V1085" s="24">
        <v>4</v>
      </c>
      <c r="W1085" s="24">
        <v>4</v>
      </c>
      <c r="X1085" s="24">
        <v>4</v>
      </c>
      <c r="Y1085" s="24">
        <v>5</v>
      </c>
      <c r="Z1085" s="20">
        <f t="shared" si="37"/>
        <v>17</v>
      </c>
    </row>
    <row r="1086" spans="1:26" x14ac:dyDescent="0.2">
      <c r="A1086" s="21"/>
      <c r="B1086" s="20"/>
      <c r="C1086" s="22"/>
      <c r="D1086" s="22"/>
      <c r="E1086" s="24"/>
      <c r="F1086" s="22"/>
      <c r="H1086" s="21">
        <v>45933</v>
      </c>
      <c r="I1086" s="22" t="s">
        <v>70</v>
      </c>
      <c r="J1086" s="22" t="s">
        <v>52</v>
      </c>
      <c r="K1086" s="24">
        <v>4</v>
      </c>
      <c r="M1086" s="21">
        <v>45961</v>
      </c>
      <c r="N1086" s="22" t="s">
        <v>70</v>
      </c>
      <c r="O1086" s="22" t="s">
        <v>53</v>
      </c>
      <c r="P1086" s="49">
        <v>66.5</v>
      </c>
      <c r="Q1086" s="49">
        <v>65.8</v>
      </c>
      <c r="R1086" s="46">
        <f t="shared" si="36"/>
        <v>0.70000000000000284</v>
      </c>
      <c r="T1086" s="21">
        <v>45955</v>
      </c>
      <c r="U1086" s="22" t="s">
        <v>48</v>
      </c>
      <c r="V1086" s="24">
        <v>5</v>
      </c>
      <c r="W1086" s="24">
        <v>4</v>
      </c>
      <c r="X1086" s="24">
        <v>5</v>
      </c>
      <c r="Y1086" s="24">
        <v>5</v>
      </c>
      <c r="Z1086" s="20">
        <f t="shared" si="37"/>
        <v>19</v>
      </c>
    </row>
    <row r="1087" spans="1:26" x14ac:dyDescent="0.2">
      <c r="A1087" s="21"/>
      <c r="B1087" s="20"/>
      <c r="C1087" s="22"/>
      <c r="D1087" s="22"/>
      <c r="E1087" s="24"/>
      <c r="F1087" s="22"/>
      <c r="H1087" s="21">
        <v>45933</v>
      </c>
      <c r="I1087" s="22" t="s">
        <v>70</v>
      </c>
      <c r="J1087" s="22" t="s">
        <v>53</v>
      </c>
      <c r="K1087" s="24">
        <v>4</v>
      </c>
      <c r="M1087" s="21">
        <v>45961</v>
      </c>
      <c r="N1087" s="22" t="s">
        <v>70</v>
      </c>
      <c r="O1087" s="22" t="s">
        <v>55</v>
      </c>
      <c r="P1087" s="49">
        <v>74.8</v>
      </c>
      <c r="Q1087" s="49">
        <v>73.599999999999994</v>
      </c>
      <c r="R1087" s="46">
        <f t="shared" si="36"/>
        <v>1.2000000000000028</v>
      </c>
      <c r="T1087" s="21">
        <v>45955</v>
      </c>
      <c r="U1087" s="22" t="s">
        <v>49</v>
      </c>
      <c r="V1087" s="24">
        <v>4</v>
      </c>
      <c r="W1087" s="24">
        <v>4</v>
      </c>
      <c r="X1087" s="24">
        <v>4</v>
      </c>
      <c r="Y1087" s="24">
        <v>4</v>
      </c>
      <c r="Z1087" s="20">
        <f t="shared" si="37"/>
        <v>16</v>
      </c>
    </row>
    <row r="1088" spans="1:26" x14ac:dyDescent="0.2">
      <c r="A1088" s="21"/>
      <c r="B1088" s="20"/>
      <c r="C1088" s="22"/>
      <c r="D1088" s="22"/>
      <c r="E1088" s="24"/>
      <c r="F1088" s="22"/>
      <c r="H1088" s="21">
        <v>45933</v>
      </c>
      <c r="I1088" s="22" t="s">
        <v>70</v>
      </c>
      <c r="J1088" s="22" t="s">
        <v>44</v>
      </c>
      <c r="K1088" s="24">
        <v>2</v>
      </c>
      <c r="M1088" s="21">
        <v>45961</v>
      </c>
      <c r="N1088" s="22" t="s">
        <v>70</v>
      </c>
      <c r="O1088" s="22" t="s">
        <v>56</v>
      </c>
      <c r="P1088" s="49">
        <v>75</v>
      </c>
      <c r="Q1088" s="49">
        <v>75</v>
      </c>
      <c r="R1088" s="46">
        <f t="shared" si="36"/>
        <v>0</v>
      </c>
      <c r="T1088" s="21">
        <v>45955</v>
      </c>
      <c r="U1088" s="22" t="s">
        <v>50</v>
      </c>
      <c r="V1088" s="24">
        <v>4</v>
      </c>
      <c r="W1088" s="24">
        <v>4</v>
      </c>
      <c r="X1088" s="24">
        <v>5</v>
      </c>
      <c r="Y1088" s="24">
        <v>5</v>
      </c>
      <c r="Z1088" s="20">
        <f t="shared" si="37"/>
        <v>18</v>
      </c>
    </row>
    <row r="1089" spans="1:26" x14ac:dyDescent="0.2">
      <c r="A1089" s="21"/>
      <c r="B1089" s="20"/>
      <c r="C1089" s="22"/>
      <c r="D1089" s="22"/>
      <c r="E1089" s="24"/>
      <c r="F1089" s="22"/>
      <c r="H1089" s="21">
        <v>45933</v>
      </c>
      <c r="I1089" s="22" t="s">
        <v>70</v>
      </c>
      <c r="J1089" s="22" t="s">
        <v>45</v>
      </c>
      <c r="K1089" s="24">
        <v>2</v>
      </c>
      <c r="M1089" s="21">
        <v>45961</v>
      </c>
      <c r="N1089" s="22" t="s">
        <v>70</v>
      </c>
      <c r="O1089" s="22" t="s">
        <v>57</v>
      </c>
      <c r="P1089" s="49">
        <v>94</v>
      </c>
      <c r="Q1089" s="49">
        <v>93</v>
      </c>
      <c r="R1089" s="46">
        <f t="shared" si="36"/>
        <v>1</v>
      </c>
      <c r="T1089" s="21">
        <v>45955</v>
      </c>
      <c r="U1089" s="22" t="s">
        <v>51</v>
      </c>
      <c r="V1089" s="24">
        <v>5</v>
      </c>
      <c r="W1089" s="24">
        <v>4</v>
      </c>
      <c r="X1089" s="24">
        <v>5</v>
      </c>
      <c r="Y1089" s="24">
        <v>5</v>
      </c>
      <c r="Z1089" s="20">
        <f t="shared" si="37"/>
        <v>19</v>
      </c>
    </row>
    <row r="1090" spans="1:26" x14ac:dyDescent="0.2">
      <c r="A1090" s="21"/>
      <c r="B1090" s="20"/>
      <c r="C1090" s="22"/>
      <c r="D1090" s="22"/>
      <c r="E1090" s="24"/>
      <c r="F1090" s="22"/>
      <c r="H1090" s="21">
        <v>45933</v>
      </c>
      <c r="I1090" s="22" t="s">
        <v>70</v>
      </c>
      <c r="J1090" s="22" t="s">
        <v>57</v>
      </c>
      <c r="K1090" s="24">
        <v>1</v>
      </c>
      <c r="M1090" s="21">
        <v>45964</v>
      </c>
      <c r="N1090" s="22" t="s">
        <v>70</v>
      </c>
      <c r="O1090" s="22" t="s">
        <v>41</v>
      </c>
      <c r="P1090" s="49">
        <v>77</v>
      </c>
      <c r="Q1090" s="49">
        <v>76.099999999999994</v>
      </c>
      <c r="R1090" s="46">
        <f t="shared" si="36"/>
        <v>0.90000000000000568</v>
      </c>
      <c r="T1090" s="21">
        <v>45955</v>
      </c>
      <c r="U1090" s="22" t="s">
        <v>52</v>
      </c>
      <c r="V1090" s="24">
        <v>5</v>
      </c>
      <c r="W1090" s="24">
        <v>5</v>
      </c>
      <c r="X1090" s="24">
        <v>5</v>
      </c>
      <c r="Y1090" s="24">
        <v>5</v>
      </c>
      <c r="Z1090" s="20">
        <f t="shared" si="37"/>
        <v>20</v>
      </c>
    </row>
    <row r="1091" spans="1:26" x14ac:dyDescent="0.2">
      <c r="A1091" s="21"/>
      <c r="B1091" s="20"/>
      <c r="C1091" s="22"/>
      <c r="D1091" s="22"/>
      <c r="E1091" s="24"/>
      <c r="F1091" s="22"/>
      <c r="H1091" s="21">
        <v>45933</v>
      </c>
      <c r="I1091" s="22" t="s">
        <v>70</v>
      </c>
      <c r="J1091" s="22" t="s">
        <v>42</v>
      </c>
      <c r="K1091" s="24">
        <v>1</v>
      </c>
      <c r="M1091" s="21">
        <v>45964</v>
      </c>
      <c r="N1091" s="22" t="s">
        <v>70</v>
      </c>
      <c r="O1091" s="22" t="s">
        <v>42</v>
      </c>
      <c r="P1091" s="49">
        <v>79.8</v>
      </c>
      <c r="Q1091" s="49">
        <v>79.599999999999994</v>
      </c>
      <c r="R1091" s="46">
        <f t="shared" ref="R1091:R1154" si="38">IFERROR(P1091-Q1091,"")</f>
        <v>0.20000000000000284</v>
      </c>
      <c r="T1091" s="21">
        <v>45955</v>
      </c>
      <c r="U1091" s="22" t="s">
        <v>53</v>
      </c>
      <c r="V1091" s="24">
        <v>4</v>
      </c>
      <c r="W1091" s="24">
        <v>5</v>
      </c>
      <c r="X1091" s="24">
        <v>5</v>
      </c>
      <c r="Y1091" s="24">
        <v>5</v>
      </c>
      <c r="Z1091" s="20">
        <f t="shared" ref="Z1091:Z1154" si="39">SUM(V1091:Y1091)</f>
        <v>19</v>
      </c>
    </row>
    <row r="1092" spans="1:26" x14ac:dyDescent="0.2">
      <c r="A1092" s="21"/>
      <c r="B1092" s="20"/>
      <c r="C1092" s="22"/>
      <c r="D1092" s="22"/>
      <c r="E1092" s="24"/>
      <c r="F1092" s="22"/>
      <c r="H1092" s="21">
        <v>45933</v>
      </c>
      <c r="I1092" s="22" t="s">
        <v>70</v>
      </c>
      <c r="J1092" s="22" t="s">
        <v>54</v>
      </c>
      <c r="K1092" s="24">
        <v>2</v>
      </c>
      <c r="M1092" s="21">
        <v>45964</v>
      </c>
      <c r="N1092" s="22" t="s">
        <v>70</v>
      </c>
      <c r="O1092" s="22" t="s">
        <v>44</v>
      </c>
      <c r="P1092" s="49">
        <v>67.5</v>
      </c>
      <c r="Q1092" s="49">
        <v>67.099999999999994</v>
      </c>
      <c r="R1092" s="46">
        <f t="shared" si="38"/>
        <v>0.40000000000000568</v>
      </c>
      <c r="T1092" s="21">
        <v>45955</v>
      </c>
      <c r="U1092" s="22" t="s">
        <v>56</v>
      </c>
      <c r="V1092" s="24">
        <v>4</v>
      </c>
      <c r="W1092" s="24">
        <v>4</v>
      </c>
      <c r="X1092" s="24">
        <v>4</v>
      </c>
      <c r="Y1092" s="24">
        <v>4</v>
      </c>
      <c r="Z1092" s="20">
        <f t="shared" si="39"/>
        <v>16</v>
      </c>
    </row>
    <row r="1093" spans="1:26" x14ac:dyDescent="0.2">
      <c r="A1093" s="21"/>
      <c r="B1093" s="20"/>
      <c r="C1093" s="22"/>
      <c r="D1093" s="22"/>
      <c r="E1093" s="24"/>
      <c r="F1093" s="22"/>
      <c r="H1093" s="21">
        <v>45933</v>
      </c>
      <c r="I1093" s="22" t="s">
        <v>70</v>
      </c>
      <c r="J1093" s="22" t="s">
        <v>47</v>
      </c>
      <c r="K1093" s="24">
        <v>2</v>
      </c>
      <c r="M1093" s="21">
        <v>45964</v>
      </c>
      <c r="N1093" s="22" t="s">
        <v>70</v>
      </c>
      <c r="O1093" s="22" t="s">
        <v>45</v>
      </c>
      <c r="P1093" s="49">
        <v>69</v>
      </c>
      <c r="Q1093" s="49">
        <v>68.5</v>
      </c>
      <c r="R1093" s="46">
        <f t="shared" si="38"/>
        <v>0.5</v>
      </c>
      <c r="T1093" s="21">
        <v>45955</v>
      </c>
      <c r="U1093" s="22" t="s">
        <v>57</v>
      </c>
      <c r="V1093" s="24">
        <v>5</v>
      </c>
      <c r="W1093" s="24">
        <v>4</v>
      </c>
      <c r="X1093" s="24">
        <v>4</v>
      </c>
      <c r="Y1093" s="24">
        <v>5</v>
      </c>
      <c r="Z1093" s="20">
        <f t="shared" si="39"/>
        <v>18</v>
      </c>
    </row>
    <row r="1094" spans="1:26" x14ac:dyDescent="0.2">
      <c r="A1094" s="21"/>
      <c r="B1094" s="20"/>
      <c r="C1094" s="22"/>
      <c r="D1094" s="22"/>
      <c r="E1094" s="24"/>
      <c r="F1094" s="22"/>
      <c r="H1094" s="21">
        <v>45933</v>
      </c>
      <c r="I1094" s="22" t="s">
        <v>70</v>
      </c>
      <c r="J1094" s="22" t="s">
        <v>41</v>
      </c>
      <c r="K1094" s="24">
        <v>1</v>
      </c>
      <c r="M1094" s="21">
        <v>45964</v>
      </c>
      <c r="N1094" s="22" t="s">
        <v>70</v>
      </c>
      <c r="O1094" s="22" t="s">
        <v>46</v>
      </c>
      <c r="P1094" s="49">
        <v>80.3</v>
      </c>
      <c r="Q1094" s="49">
        <v>81</v>
      </c>
      <c r="R1094" s="46">
        <f t="shared" si="38"/>
        <v>-0.70000000000000284</v>
      </c>
      <c r="T1094" s="21">
        <v>45955</v>
      </c>
      <c r="U1094" s="22" t="s">
        <v>33</v>
      </c>
      <c r="V1094" s="24">
        <v>4.21428571428571</v>
      </c>
      <c r="W1094" s="24">
        <v>4.21428571428571</v>
      </c>
      <c r="X1094" s="24">
        <v>4.4285714285714297</v>
      </c>
      <c r="Y1094" s="24">
        <v>4.8571428571428603</v>
      </c>
      <c r="Z1094" s="20">
        <f t="shared" si="39"/>
        <v>17.714285714285712</v>
      </c>
    </row>
    <row r="1095" spans="1:26" x14ac:dyDescent="0.2">
      <c r="A1095" s="21"/>
      <c r="B1095" s="20"/>
      <c r="C1095" s="22"/>
      <c r="D1095" s="22"/>
      <c r="E1095" s="24"/>
      <c r="F1095" s="22"/>
      <c r="H1095" s="21">
        <v>45933</v>
      </c>
      <c r="I1095" s="22" t="s">
        <v>70</v>
      </c>
      <c r="J1095" s="22" t="s">
        <v>49</v>
      </c>
      <c r="K1095" s="24">
        <v>4</v>
      </c>
      <c r="M1095" s="21">
        <v>45964</v>
      </c>
      <c r="N1095" s="22" t="s">
        <v>70</v>
      </c>
      <c r="O1095" s="22" t="s">
        <v>47</v>
      </c>
      <c r="P1095" s="49">
        <v>71.7</v>
      </c>
      <c r="Q1095" s="49">
        <v>71</v>
      </c>
      <c r="R1095" s="46">
        <f t="shared" si="38"/>
        <v>0.70000000000000284</v>
      </c>
      <c r="T1095" s="21">
        <v>45958</v>
      </c>
      <c r="U1095" s="22" t="s">
        <v>41</v>
      </c>
      <c r="V1095" s="24">
        <v>1</v>
      </c>
      <c r="W1095" s="24">
        <v>1</v>
      </c>
      <c r="X1095" s="24">
        <v>1</v>
      </c>
      <c r="Y1095" s="24">
        <v>1</v>
      </c>
      <c r="Z1095" s="20">
        <f t="shared" si="39"/>
        <v>4</v>
      </c>
    </row>
    <row r="1096" spans="1:26" x14ac:dyDescent="0.2">
      <c r="A1096" s="21"/>
      <c r="B1096" s="20"/>
      <c r="C1096" s="22"/>
      <c r="D1096" s="22"/>
      <c r="E1096" s="24"/>
      <c r="F1096" s="22"/>
      <c r="H1096" s="21">
        <v>45933</v>
      </c>
      <c r="I1096" s="22" t="s">
        <v>70</v>
      </c>
      <c r="J1096" s="22" t="s">
        <v>50</v>
      </c>
      <c r="K1096" s="24">
        <v>2</v>
      </c>
      <c r="M1096" s="21">
        <v>45964</v>
      </c>
      <c r="N1096" s="22" t="s">
        <v>70</v>
      </c>
      <c r="O1096" s="22" t="s">
        <v>48</v>
      </c>
      <c r="P1096" s="49">
        <v>82.5</v>
      </c>
      <c r="Q1096" s="49">
        <v>81.5</v>
      </c>
      <c r="R1096" s="46">
        <f t="shared" si="38"/>
        <v>1</v>
      </c>
      <c r="T1096" s="21">
        <v>45958</v>
      </c>
      <c r="U1096" s="22" t="s">
        <v>42</v>
      </c>
      <c r="V1096" s="24">
        <v>4</v>
      </c>
      <c r="W1096" s="24">
        <v>4</v>
      </c>
      <c r="X1096" s="24">
        <v>4</v>
      </c>
      <c r="Y1096" s="24">
        <v>5</v>
      </c>
      <c r="Z1096" s="20">
        <f t="shared" si="39"/>
        <v>17</v>
      </c>
    </row>
    <row r="1097" spans="1:26" x14ac:dyDescent="0.2">
      <c r="A1097" s="21"/>
      <c r="B1097" s="20"/>
      <c r="C1097" s="22"/>
      <c r="D1097" s="22"/>
      <c r="E1097" s="24"/>
      <c r="F1097" s="22"/>
      <c r="H1097" s="21">
        <v>45933</v>
      </c>
      <c r="I1097" s="22" t="s">
        <v>70</v>
      </c>
      <c r="J1097" s="22" t="s">
        <v>51</v>
      </c>
      <c r="K1097" s="24">
        <v>3</v>
      </c>
      <c r="M1097" s="21">
        <v>45964</v>
      </c>
      <c r="N1097" s="22" t="s">
        <v>70</v>
      </c>
      <c r="O1097" s="22" t="s">
        <v>49</v>
      </c>
      <c r="P1097" s="49">
        <v>77.7</v>
      </c>
      <c r="Q1097" s="49">
        <v>77.7</v>
      </c>
      <c r="R1097" s="46">
        <f t="shared" si="38"/>
        <v>0</v>
      </c>
      <c r="T1097" s="21">
        <v>45958</v>
      </c>
      <c r="U1097" s="22" t="s">
        <v>43</v>
      </c>
      <c r="V1097" s="24">
        <v>4</v>
      </c>
      <c r="W1097" s="24">
        <v>4</v>
      </c>
      <c r="X1097" s="24">
        <v>4</v>
      </c>
      <c r="Y1097" s="24">
        <v>5</v>
      </c>
      <c r="Z1097" s="20">
        <f t="shared" si="39"/>
        <v>17</v>
      </c>
    </row>
    <row r="1098" spans="1:26" x14ac:dyDescent="0.2">
      <c r="A1098" s="21"/>
      <c r="B1098" s="20"/>
      <c r="C1098" s="22"/>
      <c r="D1098" s="22"/>
      <c r="E1098" s="24"/>
      <c r="F1098" s="22"/>
      <c r="H1098" s="21">
        <v>45933</v>
      </c>
      <c r="I1098" s="22" t="s">
        <v>70</v>
      </c>
      <c r="J1098" s="22" t="s">
        <v>46</v>
      </c>
      <c r="K1098" s="24">
        <v>2</v>
      </c>
      <c r="M1098" s="21">
        <v>45964</v>
      </c>
      <c r="N1098" s="22" t="s">
        <v>70</v>
      </c>
      <c r="O1098" s="22" t="s">
        <v>50</v>
      </c>
      <c r="P1098" s="49">
        <v>68.8</v>
      </c>
      <c r="Q1098" s="49">
        <v>68.2</v>
      </c>
      <c r="R1098" s="46">
        <f t="shared" si="38"/>
        <v>0.59999999999999432</v>
      </c>
      <c r="T1098" s="21">
        <v>45958</v>
      </c>
      <c r="U1098" s="22" t="s">
        <v>44</v>
      </c>
      <c r="V1098" s="24">
        <v>5</v>
      </c>
      <c r="W1098" s="24">
        <v>5</v>
      </c>
      <c r="X1098" s="24">
        <v>5</v>
      </c>
      <c r="Y1098" s="24">
        <v>5</v>
      </c>
      <c r="Z1098" s="20">
        <f t="shared" si="39"/>
        <v>20</v>
      </c>
    </row>
    <row r="1099" spans="1:26" x14ac:dyDescent="0.2">
      <c r="A1099" s="21"/>
      <c r="B1099" s="20"/>
      <c r="C1099" s="22"/>
      <c r="D1099" s="22"/>
      <c r="E1099" s="24"/>
      <c r="F1099" s="22"/>
      <c r="H1099" s="21">
        <v>45933</v>
      </c>
      <c r="I1099" s="22" t="s">
        <v>70</v>
      </c>
      <c r="J1099" s="22" t="s">
        <v>48</v>
      </c>
      <c r="K1099" s="24">
        <v>2</v>
      </c>
      <c r="M1099" s="21">
        <v>45964</v>
      </c>
      <c r="N1099" s="22" t="s">
        <v>70</v>
      </c>
      <c r="O1099" s="22" t="s">
        <v>51</v>
      </c>
      <c r="P1099" s="49">
        <v>75.8</v>
      </c>
      <c r="Q1099" s="49">
        <v>75.7</v>
      </c>
      <c r="R1099" s="46">
        <f t="shared" si="38"/>
        <v>9.9999999999994316E-2</v>
      </c>
      <c r="T1099" s="21">
        <v>45958</v>
      </c>
      <c r="U1099" s="22" t="s">
        <v>45</v>
      </c>
      <c r="V1099" s="24">
        <v>4</v>
      </c>
      <c r="W1099" s="24">
        <v>5</v>
      </c>
      <c r="X1099" s="24">
        <v>4</v>
      </c>
      <c r="Y1099" s="24">
        <v>5</v>
      </c>
      <c r="Z1099" s="20">
        <f t="shared" si="39"/>
        <v>18</v>
      </c>
    </row>
    <row r="1100" spans="1:26" x14ac:dyDescent="0.2">
      <c r="A1100" s="21"/>
      <c r="B1100" s="20"/>
      <c r="C1100" s="22"/>
      <c r="D1100" s="22"/>
      <c r="E1100" s="24"/>
      <c r="F1100" s="22"/>
      <c r="H1100" s="21">
        <v>45933</v>
      </c>
      <c r="I1100" s="22" t="s">
        <v>70</v>
      </c>
      <c r="J1100" s="22" t="s">
        <v>56</v>
      </c>
      <c r="K1100" s="24">
        <v>4</v>
      </c>
      <c r="M1100" s="21">
        <v>45964</v>
      </c>
      <c r="N1100" s="22" t="s">
        <v>70</v>
      </c>
      <c r="O1100" s="22" t="s">
        <v>52</v>
      </c>
      <c r="P1100" s="49">
        <v>71.5</v>
      </c>
      <c r="Q1100" s="49">
        <v>71.5</v>
      </c>
      <c r="R1100" s="46">
        <f t="shared" si="38"/>
        <v>0</v>
      </c>
      <c r="T1100" s="21">
        <v>45958</v>
      </c>
      <c r="U1100" s="22" t="s">
        <v>46</v>
      </c>
      <c r="V1100" s="24">
        <v>5</v>
      </c>
      <c r="W1100" s="24">
        <v>4</v>
      </c>
      <c r="X1100" s="24">
        <v>4</v>
      </c>
      <c r="Y1100" s="24">
        <v>5</v>
      </c>
      <c r="Z1100" s="20">
        <f t="shared" si="39"/>
        <v>18</v>
      </c>
    </row>
    <row r="1101" spans="1:26" x14ac:dyDescent="0.2">
      <c r="A1101" s="21"/>
      <c r="B1101" s="20"/>
      <c r="C1101" s="22"/>
      <c r="D1101" s="22"/>
      <c r="E1101" s="24"/>
      <c r="F1101" s="22"/>
      <c r="H1101" s="21">
        <v>45934</v>
      </c>
      <c r="I1101" s="22" t="s">
        <v>70</v>
      </c>
      <c r="J1101" s="22" t="s">
        <v>52</v>
      </c>
      <c r="K1101" s="24">
        <v>3</v>
      </c>
      <c r="M1101" s="21">
        <v>45964</v>
      </c>
      <c r="N1101" s="22" t="s">
        <v>70</v>
      </c>
      <c r="O1101" s="22" t="s">
        <v>53</v>
      </c>
      <c r="P1101" s="49">
        <v>66.900000000000006</v>
      </c>
      <c r="Q1101" s="49">
        <v>66.3</v>
      </c>
      <c r="R1101" s="46">
        <f t="shared" si="38"/>
        <v>0.60000000000000853</v>
      </c>
      <c r="T1101" s="21">
        <v>45958</v>
      </c>
      <c r="U1101" s="22" t="s">
        <v>47</v>
      </c>
      <c r="V1101" s="24">
        <v>4</v>
      </c>
      <c r="W1101" s="24">
        <v>4</v>
      </c>
      <c r="X1101" s="24">
        <v>3</v>
      </c>
      <c r="Y1101" s="24">
        <v>5</v>
      </c>
      <c r="Z1101" s="20">
        <f t="shared" si="39"/>
        <v>16</v>
      </c>
    </row>
    <row r="1102" spans="1:26" x14ac:dyDescent="0.2">
      <c r="A1102" s="21"/>
      <c r="B1102" s="20"/>
      <c r="C1102" s="22"/>
      <c r="D1102" s="22"/>
      <c r="E1102" s="24"/>
      <c r="F1102" s="22"/>
      <c r="H1102" s="21">
        <v>45934</v>
      </c>
      <c r="I1102" s="22" t="s">
        <v>70</v>
      </c>
      <c r="J1102" s="22" t="s">
        <v>53</v>
      </c>
      <c r="K1102" s="24">
        <v>8</v>
      </c>
      <c r="M1102" s="21">
        <v>45964</v>
      </c>
      <c r="N1102" s="22" t="s">
        <v>70</v>
      </c>
      <c r="O1102" s="22" t="s">
        <v>54</v>
      </c>
      <c r="P1102" s="49">
        <v>82.8</v>
      </c>
      <c r="Q1102" s="49">
        <v>82.9</v>
      </c>
      <c r="R1102" s="46">
        <f t="shared" si="38"/>
        <v>-0.10000000000000853</v>
      </c>
      <c r="T1102" s="21">
        <v>45958</v>
      </c>
      <c r="U1102" s="22" t="s">
        <v>48</v>
      </c>
      <c r="V1102" s="24">
        <v>5</v>
      </c>
      <c r="W1102" s="24">
        <v>4</v>
      </c>
      <c r="X1102" s="24">
        <v>5</v>
      </c>
      <c r="Y1102" s="24">
        <v>5</v>
      </c>
      <c r="Z1102" s="20">
        <f t="shared" si="39"/>
        <v>19</v>
      </c>
    </row>
    <row r="1103" spans="1:26" x14ac:dyDescent="0.2">
      <c r="A1103" s="21"/>
      <c r="B1103" s="20"/>
      <c r="C1103" s="22"/>
      <c r="D1103" s="22"/>
      <c r="E1103" s="24"/>
      <c r="F1103" s="22"/>
      <c r="H1103" s="21">
        <v>45934</v>
      </c>
      <c r="I1103" s="22" t="s">
        <v>70</v>
      </c>
      <c r="J1103" s="22" t="s">
        <v>44</v>
      </c>
      <c r="K1103" s="24">
        <v>7</v>
      </c>
      <c r="M1103" s="21">
        <v>45964</v>
      </c>
      <c r="N1103" s="22" t="s">
        <v>70</v>
      </c>
      <c r="O1103" s="22" t="s">
        <v>55</v>
      </c>
      <c r="P1103" s="49">
        <v>75.400000000000006</v>
      </c>
      <c r="Q1103" s="49">
        <v>74.400000000000006</v>
      </c>
      <c r="R1103" s="46">
        <f t="shared" si="38"/>
        <v>1</v>
      </c>
      <c r="T1103" s="21">
        <v>45958</v>
      </c>
      <c r="U1103" s="22" t="s">
        <v>49</v>
      </c>
      <c r="V1103" s="24">
        <v>4</v>
      </c>
      <c r="W1103" s="24">
        <v>4</v>
      </c>
      <c r="X1103" s="24">
        <v>4</v>
      </c>
      <c r="Y1103" s="24">
        <v>4</v>
      </c>
      <c r="Z1103" s="20">
        <f t="shared" si="39"/>
        <v>16</v>
      </c>
    </row>
    <row r="1104" spans="1:26" x14ac:dyDescent="0.2">
      <c r="A1104" s="21"/>
      <c r="B1104" s="20"/>
      <c r="C1104" s="22"/>
      <c r="D1104" s="22"/>
      <c r="E1104" s="24"/>
      <c r="F1104" s="22"/>
      <c r="H1104" s="21">
        <v>45934</v>
      </c>
      <c r="I1104" s="22" t="s">
        <v>70</v>
      </c>
      <c r="J1104" s="22" t="s">
        <v>45</v>
      </c>
      <c r="K1104" s="24">
        <v>8</v>
      </c>
      <c r="M1104" s="21">
        <v>45964</v>
      </c>
      <c r="N1104" s="22" t="s">
        <v>70</v>
      </c>
      <c r="O1104" s="22" t="s">
        <v>56</v>
      </c>
      <c r="P1104" s="49">
        <v>75.099999999999994</v>
      </c>
      <c r="Q1104" s="49">
        <v>75.2</v>
      </c>
      <c r="R1104" s="46">
        <f t="shared" si="38"/>
        <v>-0.10000000000000853</v>
      </c>
      <c r="T1104" s="21">
        <v>45958</v>
      </c>
      <c r="U1104" s="22" t="s">
        <v>50</v>
      </c>
      <c r="V1104" s="24">
        <v>3</v>
      </c>
      <c r="W1104" s="24">
        <v>3</v>
      </c>
      <c r="X1104" s="24">
        <v>4</v>
      </c>
      <c r="Y1104" s="24">
        <v>5</v>
      </c>
      <c r="Z1104" s="20">
        <f t="shared" si="39"/>
        <v>15</v>
      </c>
    </row>
    <row r="1105" spans="1:26" x14ac:dyDescent="0.2">
      <c r="A1105" s="21"/>
      <c r="B1105" s="20"/>
      <c r="C1105" s="22"/>
      <c r="D1105" s="22"/>
      <c r="E1105" s="24"/>
      <c r="F1105" s="22"/>
      <c r="H1105" s="21">
        <v>45934</v>
      </c>
      <c r="I1105" s="22" t="s">
        <v>70</v>
      </c>
      <c r="J1105" s="22" t="s">
        <v>57</v>
      </c>
      <c r="K1105" s="24">
        <v>3</v>
      </c>
      <c r="M1105" s="21">
        <v>45964</v>
      </c>
      <c r="N1105" s="22" t="s">
        <v>70</v>
      </c>
      <c r="O1105" s="22" t="s">
        <v>57</v>
      </c>
      <c r="P1105" s="49">
        <v>93.9</v>
      </c>
      <c r="Q1105" s="49">
        <v>93.5</v>
      </c>
      <c r="R1105" s="46">
        <f t="shared" si="38"/>
        <v>0.40000000000000568</v>
      </c>
      <c r="T1105" s="21">
        <v>45958</v>
      </c>
      <c r="U1105" s="22" t="s">
        <v>51</v>
      </c>
      <c r="V1105" s="24">
        <v>4</v>
      </c>
      <c r="W1105" s="24">
        <v>4</v>
      </c>
      <c r="X1105" s="24">
        <v>4</v>
      </c>
      <c r="Y1105" s="24">
        <v>5</v>
      </c>
      <c r="Z1105" s="20">
        <f t="shared" si="39"/>
        <v>17</v>
      </c>
    </row>
    <row r="1106" spans="1:26" x14ac:dyDescent="0.2">
      <c r="A1106" s="21"/>
      <c r="B1106" s="20"/>
      <c r="C1106" s="22"/>
      <c r="D1106" s="22"/>
      <c r="E1106" s="24"/>
      <c r="F1106" s="22"/>
      <c r="H1106" s="21">
        <v>45934</v>
      </c>
      <c r="I1106" s="22" t="s">
        <v>70</v>
      </c>
      <c r="J1106" s="22" t="s">
        <v>42</v>
      </c>
      <c r="K1106" s="24" t="s">
        <v>63</v>
      </c>
      <c r="M1106" s="21">
        <v>45965</v>
      </c>
      <c r="N1106" s="22" t="s">
        <v>70</v>
      </c>
      <c r="O1106" s="22" t="s">
        <v>41</v>
      </c>
      <c r="P1106" s="49">
        <v>77</v>
      </c>
      <c r="Q1106" s="49">
        <v>77.099999999999994</v>
      </c>
      <c r="R1106" s="46">
        <f t="shared" si="38"/>
        <v>-9.9999999999994316E-2</v>
      </c>
      <c r="T1106" s="21">
        <v>45958</v>
      </c>
      <c r="U1106" s="22" t="s">
        <v>52</v>
      </c>
      <c r="V1106" s="24">
        <v>4</v>
      </c>
      <c r="W1106" s="24">
        <v>4</v>
      </c>
      <c r="X1106" s="24">
        <v>5</v>
      </c>
      <c r="Y1106" s="24">
        <v>5</v>
      </c>
      <c r="Z1106" s="20">
        <f t="shared" si="39"/>
        <v>18</v>
      </c>
    </row>
    <row r="1107" spans="1:26" x14ac:dyDescent="0.2">
      <c r="A1107" s="21"/>
      <c r="B1107" s="20"/>
      <c r="C1107" s="22"/>
      <c r="D1107" s="22"/>
      <c r="E1107" s="24"/>
      <c r="F1107" s="22"/>
      <c r="H1107" s="21">
        <v>45934</v>
      </c>
      <c r="I1107" s="22" t="s">
        <v>70</v>
      </c>
      <c r="J1107" s="22" t="s">
        <v>47</v>
      </c>
      <c r="K1107" s="24">
        <v>6</v>
      </c>
      <c r="M1107" s="21">
        <v>45965</v>
      </c>
      <c r="N1107" s="22" t="s">
        <v>70</v>
      </c>
      <c r="O1107" s="22" t="s">
        <v>44</v>
      </c>
      <c r="P1107" s="49">
        <v>67.5</v>
      </c>
      <c r="Q1107" s="49">
        <v>67.400000000000006</v>
      </c>
      <c r="R1107" s="46">
        <f t="shared" si="38"/>
        <v>9.9999999999994316E-2</v>
      </c>
      <c r="T1107" s="21">
        <v>45958</v>
      </c>
      <c r="U1107" s="22" t="s">
        <v>53</v>
      </c>
      <c r="V1107" s="24">
        <v>4</v>
      </c>
      <c r="W1107" s="24">
        <v>4</v>
      </c>
      <c r="X1107" s="24">
        <v>4</v>
      </c>
      <c r="Y1107" s="24">
        <v>4</v>
      </c>
      <c r="Z1107" s="20">
        <f t="shared" si="39"/>
        <v>16</v>
      </c>
    </row>
    <row r="1108" spans="1:26" x14ac:dyDescent="0.2">
      <c r="A1108" s="21"/>
      <c r="B1108" s="20"/>
      <c r="C1108" s="22"/>
      <c r="D1108" s="22"/>
      <c r="E1108" s="24"/>
      <c r="F1108" s="22"/>
      <c r="H1108" s="21">
        <v>45934</v>
      </c>
      <c r="I1108" s="22" t="s">
        <v>70</v>
      </c>
      <c r="J1108" s="22" t="s">
        <v>41</v>
      </c>
      <c r="K1108" s="24">
        <v>8</v>
      </c>
      <c r="M1108" s="21">
        <v>45965</v>
      </c>
      <c r="N1108" s="22" t="s">
        <v>70</v>
      </c>
      <c r="O1108" s="22" t="s">
        <v>45</v>
      </c>
      <c r="P1108" s="49">
        <v>69</v>
      </c>
      <c r="Q1108" s="49">
        <v>68.5</v>
      </c>
      <c r="R1108" s="46">
        <f t="shared" si="38"/>
        <v>0.5</v>
      </c>
      <c r="T1108" s="21">
        <v>45958</v>
      </c>
      <c r="U1108" s="22" t="s">
        <v>54</v>
      </c>
      <c r="V1108" s="24">
        <v>4</v>
      </c>
      <c r="W1108" s="24">
        <v>5</v>
      </c>
      <c r="X1108" s="24">
        <v>4</v>
      </c>
      <c r="Y1108" s="24">
        <v>4</v>
      </c>
      <c r="Z1108" s="20">
        <f t="shared" si="39"/>
        <v>17</v>
      </c>
    </row>
    <row r="1109" spans="1:26" x14ac:dyDescent="0.2">
      <c r="A1109" s="21"/>
      <c r="B1109" s="20"/>
      <c r="C1109" s="22"/>
      <c r="D1109" s="22"/>
      <c r="E1109" s="24"/>
      <c r="F1109" s="22"/>
      <c r="H1109" s="21">
        <v>45934</v>
      </c>
      <c r="I1109" s="22" t="s">
        <v>70</v>
      </c>
      <c r="J1109" s="22" t="s">
        <v>49</v>
      </c>
      <c r="K1109" s="24">
        <v>9</v>
      </c>
      <c r="M1109" s="21">
        <v>45965</v>
      </c>
      <c r="N1109" s="22" t="s">
        <v>70</v>
      </c>
      <c r="O1109" s="22" t="s">
        <v>46</v>
      </c>
      <c r="P1109" s="49">
        <v>80.900000000000006</v>
      </c>
      <c r="Q1109" s="49">
        <v>80.5</v>
      </c>
      <c r="R1109" s="46">
        <f t="shared" si="38"/>
        <v>0.40000000000000568</v>
      </c>
      <c r="T1109" s="21">
        <v>45958</v>
      </c>
      <c r="U1109" s="22" t="s">
        <v>55</v>
      </c>
      <c r="V1109" s="24">
        <v>4</v>
      </c>
      <c r="W1109" s="24">
        <v>3</v>
      </c>
      <c r="X1109" s="24">
        <v>3</v>
      </c>
      <c r="Y1109" s="24">
        <v>5</v>
      </c>
      <c r="Z1109" s="20">
        <f t="shared" si="39"/>
        <v>15</v>
      </c>
    </row>
    <row r="1110" spans="1:26" x14ac:dyDescent="0.2">
      <c r="A1110" s="21"/>
      <c r="B1110" s="20"/>
      <c r="C1110" s="22"/>
      <c r="D1110" s="22"/>
      <c r="E1110" s="24"/>
      <c r="F1110" s="22"/>
      <c r="H1110" s="21">
        <v>45934</v>
      </c>
      <c r="I1110" s="22" t="s">
        <v>70</v>
      </c>
      <c r="J1110" s="22" t="s">
        <v>50</v>
      </c>
      <c r="K1110" s="24">
        <v>7</v>
      </c>
      <c r="M1110" s="21">
        <v>45965</v>
      </c>
      <c r="N1110" s="22" t="s">
        <v>70</v>
      </c>
      <c r="O1110" s="22" t="s">
        <v>47</v>
      </c>
      <c r="P1110" s="49">
        <v>72</v>
      </c>
      <c r="Q1110" s="49">
        <v>71.7</v>
      </c>
      <c r="R1110" s="46">
        <f t="shared" si="38"/>
        <v>0.29999999999999716</v>
      </c>
      <c r="T1110" s="21">
        <v>45958</v>
      </c>
      <c r="U1110" s="22" t="s">
        <v>56</v>
      </c>
      <c r="V1110" s="24">
        <v>4</v>
      </c>
      <c r="W1110" s="24">
        <v>4</v>
      </c>
      <c r="X1110" s="24">
        <v>3</v>
      </c>
      <c r="Y1110" s="24">
        <v>5</v>
      </c>
      <c r="Z1110" s="20">
        <f t="shared" si="39"/>
        <v>16</v>
      </c>
    </row>
    <row r="1111" spans="1:26" x14ac:dyDescent="0.2">
      <c r="A1111" s="21"/>
      <c r="B1111" s="20"/>
      <c r="C1111" s="22"/>
      <c r="D1111" s="22"/>
      <c r="E1111" s="24"/>
      <c r="F1111" s="22"/>
      <c r="H1111" s="21">
        <v>45934</v>
      </c>
      <c r="I1111" s="22" t="s">
        <v>70</v>
      </c>
      <c r="J1111" s="22" t="s">
        <v>51</v>
      </c>
      <c r="K1111" s="24">
        <v>7</v>
      </c>
      <c r="M1111" s="21">
        <v>45965</v>
      </c>
      <c r="N1111" s="22" t="s">
        <v>70</v>
      </c>
      <c r="O1111" s="22" t="s">
        <v>48</v>
      </c>
      <c r="P1111" s="49">
        <v>82.7</v>
      </c>
      <c r="Q1111" s="49">
        <v>81.900000000000006</v>
      </c>
      <c r="R1111" s="46">
        <f t="shared" si="38"/>
        <v>0.79999999999999716</v>
      </c>
      <c r="T1111" s="21">
        <v>45958</v>
      </c>
      <c r="U1111" s="22" t="s">
        <v>57</v>
      </c>
      <c r="V1111" s="24">
        <v>5</v>
      </c>
      <c r="W1111" s="24">
        <v>3</v>
      </c>
      <c r="X1111" s="24">
        <v>3</v>
      </c>
      <c r="Y1111" s="24">
        <v>4</v>
      </c>
      <c r="Z1111" s="20">
        <f t="shared" si="39"/>
        <v>15</v>
      </c>
    </row>
    <row r="1112" spans="1:26" x14ac:dyDescent="0.2">
      <c r="A1112" s="21"/>
      <c r="B1112" s="20"/>
      <c r="C1112" s="22"/>
      <c r="D1112" s="22"/>
      <c r="E1112" s="24"/>
      <c r="F1112" s="22"/>
      <c r="H1112" s="21">
        <v>45934</v>
      </c>
      <c r="I1112" s="22" t="s">
        <v>70</v>
      </c>
      <c r="J1112" s="22" t="s">
        <v>46</v>
      </c>
      <c r="K1112" s="24">
        <v>6</v>
      </c>
      <c r="M1112" s="21">
        <v>45965</v>
      </c>
      <c r="N1112" s="22" t="s">
        <v>70</v>
      </c>
      <c r="O1112" s="22" t="s">
        <v>49</v>
      </c>
      <c r="P1112" s="49">
        <v>77.7</v>
      </c>
      <c r="Q1112" s="49">
        <v>77.7</v>
      </c>
      <c r="R1112" s="46">
        <f t="shared" si="38"/>
        <v>0</v>
      </c>
      <c r="T1112" s="21">
        <v>45958</v>
      </c>
      <c r="U1112" s="22" t="s">
        <v>33</v>
      </c>
      <c r="V1112" s="24">
        <v>4</v>
      </c>
      <c r="W1112" s="24">
        <v>3.8235294117647101</v>
      </c>
      <c r="X1112" s="24">
        <v>3.7647058823529398</v>
      </c>
      <c r="Y1112" s="24">
        <v>4.5294117647058796</v>
      </c>
      <c r="Z1112" s="20">
        <f t="shared" si="39"/>
        <v>16.117647058823529</v>
      </c>
    </row>
    <row r="1113" spans="1:26" x14ac:dyDescent="0.2">
      <c r="A1113" s="21"/>
      <c r="B1113" s="20"/>
      <c r="C1113" s="22"/>
      <c r="D1113" s="22"/>
      <c r="E1113" s="24"/>
      <c r="F1113" s="22"/>
      <c r="H1113" s="21">
        <v>45934</v>
      </c>
      <c r="I1113" s="22" t="s">
        <v>70</v>
      </c>
      <c r="J1113" s="22" t="s">
        <v>48</v>
      </c>
      <c r="K1113" s="24">
        <v>8</v>
      </c>
      <c r="M1113" s="21">
        <v>45965</v>
      </c>
      <c r="N1113" s="22" t="s">
        <v>70</v>
      </c>
      <c r="O1113" s="22" t="s">
        <v>50</v>
      </c>
      <c r="P1113" s="49">
        <v>69.3</v>
      </c>
      <c r="Q1113" s="49">
        <v>68.7</v>
      </c>
      <c r="R1113" s="46">
        <f t="shared" si="38"/>
        <v>0.59999999999999432</v>
      </c>
      <c r="T1113" s="21">
        <v>45959</v>
      </c>
      <c r="U1113" s="22" t="s">
        <v>41</v>
      </c>
      <c r="V1113" s="24">
        <v>1</v>
      </c>
      <c r="W1113" s="24">
        <v>1</v>
      </c>
      <c r="X1113" s="24">
        <v>1</v>
      </c>
      <c r="Y1113" s="24">
        <v>1</v>
      </c>
      <c r="Z1113" s="20">
        <f t="shared" si="39"/>
        <v>4</v>
      </c>
    </row>
    <row r="1114" spans="1:26" x14ac:dyDescent="0.2">
      <c r="A1114" s="21"/>
      <c r="B1114" s="20"/>
      <c r="C1114" s="22"/>
      <c r="D1114" s="22"/>
      <c r="E1114" s="24"/>
      <c r="F1114" s="22"/>
      <c r="H1114" s="21">
        <v>45934</v>
      </c>
      <c r="I1114" s="22" t="s">
        <v>70</v>
      </c>
      <c r="J1114" s="22" t="s">
        <v>56</v>
      </c>
      <c r="K1114" s="24" t="s">
        <v>63</v>
      </c>
      <c r="M1114" s="21">
        <v>45965</v>
      </c>
      <c r="N1114" s="22" t="s">
        <v>70</v>
      </c>
      <c r="O1114" s="22" t="s">
        <v>51</v>
      </c>
      <c r="P1114" s="49">
        <v>75.599999999999994</v>
      </c>
      <c r="Q1114" s="49">
        <v>75.7</v>
      </c>
      <c r="R1114" s="46">
        <f t="shared" si="38"/>
        <v>-0.10000000000000853</v>
      </c>
      <c r="T1114" s="21">
        <v>45959</v>
      </c>
      <c r="U1114" s="22" t="s">
        <v>42</v>
      </c>
      <c r="V1114" s="24">
        <v>4</v>
      </c>
      <c r="W1114" s="24">
        <v>4</v>
      </c>
      <c r="X1114" s="24">
        <v>4</v>
      </c>
      <c r="Y1114" s="24">
        <v>5</v>
      </c>
      <c r="Z1114" s="20">
        <f t="shared" si="39"/>
        <v>17</v>
      </c>
    </row>
    <row r="1115" spans="1:26" x14ac:dyDescent="0.2">
      <c r="A1115" s="21"/>
      <c r="B1115" s="20"/>
      <c r="C1115" s="22"/>
      <c r="D1115" s="22"/>
      <c r="E1115" s="24"/>
      <c r="F1115" s="22"/>
      <c r="H1115" s="21">
        <v>45936</v>
      </c>
      <c r="I1115" s="22" t="s">
        <v>70</v>
      </c>
      <c r="J1115" s="22" t="s">
        <v>52</v>
      </c>
      <c r="K1115" s="24">
        <v>4</v>
      </c>
      <c r="M1115" s="21">
        <v>45965</v>
      </c>
      <c r="N1115" s="22" t="s">
        <v>70</v>
      </c>
      <c r="O1115" s="22" t="s">
        <v>52</v>
      </c>
      <c r="P1115" s="49">
        <v>72</v>
      </c>
      <c r="Q1115" s="49">
        <v>71.3</v>
      </c>
      <c r="R1115" s="46">
        <f t="shared" si="38"/>
        <v>0.70000000000000284</v>
      </c>
      <c r="T1115" s="21">
        <v>45959</v>
      </c>
      <c r="U1115" s="22" t="s">
        <v>44</v>
      </c>
      <c r="V1115" s="24">
        <v>5</v>
      </c>
      <c r="W1115" s="24">
        <v>5</v>
      </c>
      <c r="X1115" s="24">
        <v>5</v>
      </c>
      <c r="Y1115" s="24">
        <v>5</v>
      </c>
      <c r="Z1115" s="20">
        <f t="shared" si="39"/>
        <v>20</v>
      </c>
    </row>
    <row r="1116" spans="1:26" x14ac:dyDescent="0.2">
      <c r="A1116" s="21"/>
      <c r="B1116" s="20"/>
      <c r="C1116" s="22"/>
      <c r="D1116" s="22"/>
      <c r="E1116" s="24"/>
      <c r="F1116" s="22"/>
      <c r="H1116" s="21">
        <v>45936</v>
      </c>
      <c r="I1116" s="22" t="s">
        <v>70</v>
      </c>
      <c r="J1116" s="22" t="s">
        <v>53</v>
      </c>
      <c r="K1116" s="24">
        <v>4</v>
      </c>
      <c r="M1116" s="21">
        <v>45965</v>
      </c>
      <c r="N1116" s="22" t="s">
        <v>70</v>
      </c>
      <c r="O1116" s="22" t="s">
        <v>53</v>
      </c>
      <c r="P1116" s="49">
        <v>66.8</v>
      </c>
      <c r="Q1116" s="49">
        <v>66.5</v>
      </c>
      <c r="R1116" s="46">
        <f t="shared" si="38"/>
        <v>0.29999999999999716</v>
      </c>
      <c r="T1116" s="21">
        <v>45959</v>
      </c>
      <c r="U1116" s="22" t="s">
        <v>45</v>
      </c>
      <c r="V1116" s="24">
        <v>4</v>
      </c>
      <c r="W1116" s="24">
        <v>4</v>
      </c>
      <c r="X1116" s="24">
        <v>4</v>
      </c>
      <c r="Y1116" s="24">
        <v>5</v>
      </c>
      <c r="Z1116" s="20">
        <f t="shared" si="39"/>
        <v>17</v>
      </c>
    </row>
    <row r="1117" spans="1:26" x14ac:dyDescent="0.2">
      <c r="A1117" s="21"/>
      <c r="B1117" s="20"/>
      <c r="C1117" s="22"/>
      <c r="D1117" s="22"/>
      <c r="E1117" s="24"/>
      <c r="F1117" s="22"/>
      <c r="H1117" s="21">
        <v>45936</v>
      </c>
      <c r="I1117" s="22" t="s">
        <v>70</v>
      </c>
      <c r="J1117" s="22" t="s">
        <v>44</v>
      </c>
      <c r="K1117" s="24">
        <v>3</v>
      </c>
      <c r="M1117" s="21">
        <v>45965</v>
      </c>
      <c r="N1117" s="22" t="s">
        <v>70</v>
      </c>
      <c r="O1117" s="22" t="s">
        <v>56</v>
      </c>
      <c r="P1117" s="49">
        <v>74.8</v>
      </c>
      <c r="Q1117" s="49">
        <v>74.7</v>
      </c>
      <c r="R1117" s="46">
        <f t="shared" si="38"/>
        <v>9.9999999999994316E-2</v>
      </c>
      <c r="T1117" s="21">
        <v>45959</v>
      </c>
      <c r="U1117" s="22" t="s">
        <v>46</v>
      </c>
      <c r="V1117" s="24">
        <v>5</v>
      </c>
      <c r="W1117" s="24">
        <v>4</v>
      </c>
      <c r="X1117" s="24">
        <v>4</v>
      </c>
      <c r="Y1117" s="24">
        <v>5</v>
      </c>
      <c r="Z1117" s="20">
        <f t="shared" si="39"/>
        <v>18</v>
      </c>
    </row>
    <row r="1118" spans="1:26" x14ac:dyDescent="0.2">
      <c r="A1118" s="21"/>
      <c r="B1118" s="20"/>
      <c r="C1118" s="22"/>
      <c r="D1118" s="22"/>
      <c r="E1118" s="24"/>
      <c r="F1118" s="22"/>
      <c r="H1118" s="21">
        <v>45936</v>
      </c>
      <c r="I1118" s="22" t="s">
        <v>70</v>
      </c>
      <c r="J1118" s="22" t="s">
        <v>45</v>
      </c>
      <c r="K1118" s="24">
        <v>5</v>
      </c>
      <c r="M1118" s="21">
        <v>45965</v>
      </c>
      <c r="N1118" s="22" t="s">
        <v>70</v>
      </c>
      <c r="O1118" s="22" t="s">
        <v>57</v>
      </c>
      <c r="P1118" s="49">
        <v>93.3</v>
      </c>
      <c r="Q1118" s="49">
        <v>93.8</v>
      </c>
      <c r="R1118" s="46">
        <f t="shared" si="38"/>
        <v>-0.5</v>
      </c>
      <c r="T1118" s="21">
        <v>45959</v>
      </c>
      <c r="U1118" s="22" t="s">
        <v>47</v>
      </c>
      <c r="V1118" s="24">
        <v>4</v>
      </c>
      <c r="W1118" s="24">
        <v>4</v>
      </c>
      <c r="X1118" s="24">
        <v>4</v>
      </c>
      <c r="Y1118" s="24">
        <v>5</v>
      </c>
      <c r="Z1118" s="20">
        <f t="shared" si="39"/>
        <v>17</v>
      </c>
    </row>
    <row r="1119" spans="1:26" x14ac:dyDescent="0.2">
      <c r="A1119" s="21"/>
      <c r="B1119" s="20"/>
      <c r="C1119" s="22"/>
      <c r="D1119" s="22"/>
      <c r="E1119" s="24"/>
      <c r="F1119" s="22"/>
      <c r="H1119" s="21">
        <v>45936</v>
      </c>
      <c r="I1119" s="22" t="s">
        <v>70</v>
      </c>
      <c r="J1119" s="22" t="s">
        <v>57</v>
      </c>
      <c r="K1119" s="24">
        <v>6</v>
      </c>
      <c r="M1119" s="21">
        <v>45965</v>
      </c>
      <c r="N1119" s="22" t="s">
        <v>70</v>
      </c>
      <c r="O1119" s="22" t="s">
        <v>58</v>
      </c>
      <c r="P1119" s="49">
        <v>76.2</v>
      </c>
      <c r="Q1119" s="49">
        <v>76</v>
      </c>
      <c r="R1119" s="46">
        <f t="shared" si="38"/>
        <v>0.20000000000000284</v>
      </c>
      <c r="T1119" s="21">
        <v>45959</v>
      </c>
      <c r="U1119" s="22" t="s">
        <v>48</v>
      </c>
      <c r="V1119" s="24">
        <v>3</v>
      </c>
      <c r="W1119" s="24">
        <v>4</v>
      </c>
      <c r="X1119" s="24">
        <v>4</v>
      </c>
      <c r="Y1119" s="24">
        <v>5</v>
      </c>
      <c r="Z1119" s="20">
        <f t="shared" si="39"/>
        <v>16</v>
      </c>
    </row>
    <row r="1120" spans="1:26" x14ac:dyDescent="0.2">
      <c r="A1120" s="21"/>
      <c r="B1120" s="20"/>
      <c r="C1120" s="22"/>
      <c r="D1120" s="22"/>
      <c r="E1120" s="24"/>
      <c r="F1120" s="22"/>
      <c r="H1120" s="21">
        <v>45936</v>
      </c>
      <c r="I1120" s="22" t="s">
        <v>70</v>
      </c>
      <c r="J1120" s="22" t="s">
        <v>42</v>
      </c>
      <c r="K1120" s="24">
        <v>1</v>
      </c>
      <c r="M1120" s="21">
        <v>45968</v>
      </c>
      <c r="N1120" s="22" t="s">
        <v>71</v>
      </c>
      <c r="O1120" s="22" t="s">
        <v>41</v>
      </c>
      <c r="P1120" s="49">
        <v>77</v>
      </c>
      <c r="Q1120" s="49">
        <v>75.8</v>
      </c>
      <c r="R1120" s="46">
        <f t="shared" si="38"/>
        <v>1.2000000000000028</v>
      </c>
      <c r="T1120" s="21">
        <v>45959</v>
      </c>
      <c r="U1120" s="22" t="s">
        <v>49</v>
      </c>
      <c r="V1120" s="24">
        <v>3</v>
      </c>
      <c r="W1120" s="24">
        <v>4</v>
      </c>
      <c r="X1120" s="24">
        <v>4</v>
      </c>
      <c r="Y1120" s="24">
        <v>4</v>
      </c>
      <c r="Z1120" s="20">
        <f t="shared" si="39"/>
        <v>15</v>
      </c>
    </row>
    <row r="1121" spans="1:26" x14ac:dyDescent="0.2">
      <c r="A1121" s="21"/>
      <c r="B1121" s="20"/>
      <c r="C1121" s="22"/>
      <c r="D1121" s="22"/>
      <c r="E1121" s="24"/>
      <c r="F1121" s="22"/>
      <c r="H1121" s="21">
        <v>45936</v>
      </c>
      <c r="I1121" s="22" t="s">
        <v>70</v>
      </c>
      <c r="J1121" s="22" t="s">
        <v>47</v>
      </c>
      <c r="K1121" s="24">
        <v>4</v>
      </c>
      <c r="M1121" s="21">
        <v>45968</v>
      </c>
      <c r="N1121" s="22" t="s">
        <v>71</v>
      </c>
      <c r="O1121" s="22" t="s">
        <v>42</v>
      </c>
      <c r="P1121" s="49">
        <v>79.5</v>
      </c>
      <c r="Q1121" s="49">
        <v>79.400000000000006</v>
      </c>
      <c r="R1121" s="46">
        <f t="shared" si="38"/>
        <v>9.9999999999994316E-2</v>
      </c>
      <c r="T1121" s="21">
        <v>45959</v>
      </c>
      <c r="U1121" s="22" t="s">
        <v>50</v>
      </c>
      <c r="V1121" s="24">
        <v>3</v>
      </c>
      <c r="W1121" s="24">
        <v>3</v>
      </c>
      <c r="X1121" s="24">
        <v>4</v>
      </c>
      <c r="Y1121" s="24">
        <v>4</v>
      </c>
      <c r="Z1121" s="20">
        <f t="shared" si="39"/>
        <v>14</v>
      </c>
    </row>
    <row r="1122" spans="1:26" x14ac:dyDescent="0.2">
      <c r="A1122" s="21"/>
      <c r="B1122" s="20"/>
      <c r="C1122" s="22"/>
      <c r="D1122" s="22"/>
      <c r="E1122" s="24"/>
      <c r="F1122" s="22"/>
      <c r="H1122" s="21">
        <v>45936</v>
      </c>
      <c r="I1122" s="22" t="s">
        <v>70</v>
      </c>
      <c r="J1122" s="22" t="s">
        <v>41</v>
      </c>
      <c r="K1122" s="24">
        <v>2</v>
      </c>
      <c r="M1122" s="21">
        <v>45968</v>
      </c>
      <c r="N1122" s="22" t="s">
        <v>71</v>
      </c>
      <c r="O1122" s="22" t="s">
        <v>44</v>
      </c>
      <c r="P1122" s="49">
        <v>68</v>
      </c>
      <c r="Q1122" s="49">
        <v>67.5</v>
      </c>
      <c r="R1122" s="46">
        <f t="shared" si="38"/>
        <v>0.5</v>
      </c>
      <c r="T1122" s="21">
        <v>45959</v>
      </c>
      <c r="U1122" s="22" t="s">
        <v>51</v>
      </c>
      <c r="V1122" s="24">
        <v>5</v>
      </c>
      <c r="W1122" s="24">
        <v>3</v>
      </c>
      <c r="X1122" s="24">
        <v>4</v>
      </c>
      <c r="Y1122" s="24">
        <v>5</v>
      </c>
      <c r="Z1122" s="20">
        <f t="shared" si="39"/>
        <v>17</v>
      </c>
    </row>
    <row r="1123" spans="1:26" x14ac:dyDescent="0.2">
      <c r="A1123" s="21"/>
      <c r="B1123" s="20"/>
      <c r="C1123" s="22"/>
      <c r="D1123" s="22"/>
      <c r="E1123" s="24"/>
      <c r="F1123" s="22"/>
      <c r="H1123" s="21">
        <v>45936</v>
      </c>
      <c r="I1123" s="22" t="s">
        <v>70</v>
      </c>
      <c r="J1123" s="22" t="s">
        <v>49</v>
      </c>
      <c r="K1123" s="24">
        <v>5</v>
      </c>
      <c r="M1123" s="21">
        <v>45968</v>
      </c>
      <c r="N1123" s="22" t="s">
        <v>71</v>
      </c>
      <c r="O1123" s="22" t="s">
        <v>45</v>
      </c>
      <c r="P1123" s="49">
        <v>68.7</v>
      </c>
      <c r="Q1123" s="49">
        <v>67.900000000000006</v>
      </c>
      <c r="R1123" s="46">
        <f t="shared" si="38"/>
        <v>0.79999999999999716</v>
      </c>
      <c r="T1123" s="21">
        <v>45959</v>
      </c>
      <c r="U1123" s="22" t="s">
        <v>52</v>
      </c>
      <c r="V1123" s="24">
        <v>4</v>
      </c>
      <c r="W1123" s="24">
        <v>4</v>
      </c>
      <c r="X1123" s="24">
        <v>4</v>
      </c>
      <c r="Y1123" s="24">
        <v>4</v>
      </c>
      <c r="Z1123" s="20">
        <f t="shared" si="39"/>
        <v>16</v>
      </c>
    </row>
    <row r="1124" spans="1:26" x14ac:dyDescent="0.2">
      <c r="A1124" s="21"/>
      <c r="B1124" s="20"/>
      <c r="C1124" s="22"/>
      <c r="D1124" s="22"/>
      <c r="E1124" s="24"/>
      <c r="F1124" s="22"/>
      <c r="H1124" s="21">
        <v>45936</v>
      </c>
      <c r="I1124" s="22" t="s">
        <v>70</v>
      </c>
      <c r="J1124" s="22" t="s">
        <v>50</v>
      </c>
      <c r="K1124" s="24">
        <v>6</v>
      </c>
      <c r="M1124" s="21">
        <v>45968</v>
      </c>
      <c r="N1124" s="22" t="s">
        <v>71</v>
      </c>
      <c r="O1124" s="22" t="s">
        <v>46</v>
      </c>
      <c r="P1124" s="49">
        <v>81.900000000000006</v>
      </c>
      <c r="Q1124" s="49">
        <v>80.5</v>
      </c>
      <c r="R1124" s="46">
        <f t="shared" si="38"/>
        <v>1.4000000000000057</v>
      </c>
      <c r="T1124" s="21">
        <v>45959</v>
      </c>
      <c r="U1124" s="22" t="s">
        <v>53</v>
      </c>
      <c r="V1124" s="24">
        <v>4</v>
      </c>
      <c r="W1124" s="24">
        <v>4</v>
      </c>
      <c r="X1124" s="24">
        <v>4</v>
      </c>
      <c r="Y1124" s="24">
        <v>4</v>
      </c>
      <c r="Z1124" s="20">
        <f t="shared" si="39"/>
        <v>16</v>
      </c>
    </row>
    <row r="1125" spans="1:26" x14ac:dyDescent="0.2">
      <c r="A1125" s="21"/>
      <c r="B1125" s="20"/>
      <c r="C1125" s="22"/>
      <c r="D1125" s="22"/>
      <c r="E1125" s="24"/>
      <c r="F1125" s="22"/>
      <c r="H1125" s="21">
        <v>45936</v>
      </c>
      <c r="I1125" s="22" t="s">
        <v>70</v>
      </c>
      <c r="J1125" s="22" t="s">
        <v>51</v>
      </c>
      <c r="K1125" s="24">
        <v>5</v>
      </c>
      <c r="M1125" s="21">
        <v>45968</v>
      </c>
      <c r="N1125" s="22" t="s">
        <v>71</v>
      </c>
      <c r="O1125" s="22" t="s">
        <v>47</v>
      </c>
      <c r="P1125" s="49">
        <v>72</v>
      </c>
      <c r="Q1125" s="49">
        <v>71.7</v>
      </c>
      <c r="R1125" s="46">
        <f t="shared" si="38"/>
        <v>0.29999999999999716</v>
      </c>
      <c r="T1125" s="21">
        <v>45959</v>
      </c>
      <c r="U1125" s="22" t="s">
        <v>55</v>
      </c>
      <c r="V1125" s="24">
        <v>4</v>
      </c>
      <c r="W1125" s="24">
        <v>3</v>
      </c>
      <c r="X1125" s="24">
        <v>3</v>
      </c>
      <c r="Y1125" s="24">
        <v>4</v>
      </c>
      <c r="Z1125" s="20">
        <f t="shared" si="39"/>
        <v>14</v>
      </c>
    </row>
    <row r="1126" spans="1:26" x14ac:dyDescent="0.2">
      <c r="A1126" s="21"/>
      <c r="B1126" s="20"/>
      <c r="C1126" s="22"/>
      <c r="D1126" s="22"/>
      <c r="E1126" s="24"/>
      <c r="F1126" s="22"/>
      <c r="H1126" s="21">
        <v>45936</v>
      </c>
      <c r="I1126" s="22" t="s">
        <v>70</v>
      </c>
      <c r="J1126" s="22" t="s">
        <v>46</v>
      </c>
      <c r="K1126" s="24">
        <v>5</v>
      </c>
      <c r="M1126" s="21">
        <v>45968</v>
      </c>
      <c r="N1126" s="22" t="s">
        <v>71</v>
      </c>
      <c r="O1126" s="22" t="s">
        <v>48</v>
      </c>
      <c r="P1126" s="49">
        <v>82.5</v>
      </c>
      <c r="Q1126" s="49">
        <v>80.5</v>
      </c>
      <c r="R1126" s="46">
        <f t="shared" si="38"/>
        <v>2</v>
      </c>
      <c r="T1126" s="21">
        <v>45959</v>
      </c>
      <c r="U1126" s="22" t="s">
        <v>57</v>
      </c>
      <c r="V1126" s="24">
        <v>4</v>
      </c>
      <c r="W1126" s="24">
        <v>3</v>
      </c>
      <c r="X1126" s="24">
        <v>3</v>
      </c>
      <c r="Y1126" s="24">
        <v>4</v>
      </c>
      <c r="Z1126" s="20">
        <f t="shared" si="39"/>
        <v>14</v>
      </c>
    </row>
    <row r="1127" spans="1:26" x14ac:dyDescent="0.2">
      <c r="A1127" s="21"/>
      <c r="B1127" s="20"/>
      <c r="C1127" s="22"/>
      <c r="D1127" s="22"/>
      <c r="E1127" s="24"/>
      <c r="F1127" s="22"/>
      <c r="H1127" s="21">
        <v>45936</v>
      </c>
      <c r="I1127" s="22" t="s">
        <v>70</v>
      </c>
      <c r="J1127" s="22" t="s">
        <v>48</v>
      </c>
      <c r="K1127" s="24">
        <v>3</v>
      </c>
      <c r="M1127" s="21">
        <v>45968</v>
      </c>
      <c r="N1127" s="22" t="s">
        <v>71</v>
      </c>
      <c r="O1127" s="22" t="s">
        <v>49</v>
      </c>
      <c r="P1127" s="49">
        <v>77.7</v>
      </c>
      <c r="Q1127" s="49">
        <v>77.7</v>
      </c>
      <c r="R1127" s="46">
        <f t="shared" si="38"/>
        <v>0</v>
      </c>
      <c r="T1127" s="21">
        <v>45959</v>
      </c>
      <c r="U1127" s="22" t="s">
        <v>33</v>
      </c>
      <c r="V1127" s="24">
        <v>3.78571428571429</v>
      </c>
      <c r="W1127" s="24">
        <v>3.5714285714285698</v>
      </c>
      <c r="X1127" s="24">
        <v>3.71428571428571</v>
      </c>
      <c r="Y1127" s="24">
        <v>4.28571428571429</v>
      </c>
      <c r="Z1127" s="20">
        <f t="shared" si="39"/>
        <v>15.357142857142859</v>
      </c>
    </row>
    <row r="1128" spans="1:26" x14ac:dyDescent="0.2">
      <c r="A1128" s="21"/>
      <c r="B1128" s="20"/>
      <c r="C1128" s="22"/>
      <c r="D1128" s="22"/>
      <c r="E1128" s="24"/>
      <c r="F1128" s="22"/>
      <c r="H1128" s="21">
        <v>45936</v>
      </c>
      <c r="I1128" s="22" t="s">
        <v>70</v>
      </c>
      <c r="J1128" s="22" t="s">
        <v>56</v>
      </c>
      <c r="K1128" s="24">
        <v>6</v>
      </c>
      <c r="M1128" s="21">
        <v>45968</v>
      </c>
      <c r="N1128" s="22" t="s">
        <v>71</v>
      </c>
      <c r="O1128" s="22" t="s">
        <v>50</v>
      </c>
      <c r="P1128" s="49">
        <v>68.900000000000006</v>
      </c>
      <c r="Q1128" s="49">
        <v>68.8</v>
      </c>
      <c r="R1128" s="46">
        <f t="shared" si="38"/>
        <v>0.10000000000000853</v>
      </c>
      <c r="T1128" s="21">
        <v>45960</v>
      </c>
      <c r="U1128" s="22" t="s">
        <v>42</v>
      </c>
      <c r="V1128" s="24">
        <v>4</v>
      </c>
      <c r="W1128" s="24">
        <v>4</v>
      </c>
      <c r="X1128" s="24">
        <v>4</v>
      </c>
      <c r="Y1128" s="24">
        <v>5</v>
      </c>
      <c r="Z1128" s="20">
        <f t="shared" si="39"/>
        <v>17</v>
      </c>
    </row>
    <row r="1129" spans="1:26" x14ac:dyDescent="0.2">
      <c r="A1129" s="21"/>
      <c r="B1129" s="20"/>
      <c r="C1129" s="22"/>
      <c r="D1129" s="22"/>
      <c r="E1129" s="24"/>
      <c r="F1129" s="22"/>
      <c r="H1129" s="21">
        <v>45937</v>
      </c>
      <c r="I1129" s="22" t="s">
        <v>70</v>
      </c>
      <c r="J1129" s="22" t="s">
        <v>52</v>
      </c>
      <c r="K1129" s="24">
        <v>2</v>
      </c>
      <c r="M1129" s="21">
        <v>45968</v>
      </c>
      <c r="N1129" s="22" t="s">
        <v>71</v>
      </c>
      <c r="O1129" s="22" t="s">
        <v>51</v>
      </c>
      <c r="P1129" s="49">
        <v>75.900000000000006</v>
      </c>
      <c r="Q1129" s="49">
        <v>75.5</v>
      </c>
      <c r="R1129" s="46">
        <f t="shared" si="38"/>
        <v>0.40000000000000568</v>
      </c>
      <c r="T1129" s="21">
        <v>45960</v>
      </c>
      <c r="U1129" s="22" t="s">
        <v>44</v>
      </c>
      <c r="V1129" s="24">
        <v>5</v>
      </c>
      <c r="W1129" s="24">
        <v>5</v>
      </c>
      <c r="X1129" s="24">
        <v>5</v>
      </c>
      <c r="Y1129" s="24">
        <v>5</v>
      </c>
      <c r="Z1129" s="20">
        <f t="shared" si="39"/>
        <v>20</v>
      </c>
    </row>
    <row r="1130" spans="1:26" x14ac:dyDescent="0.2">
      <c r="A1130" s="21"/>
      <c r="B1130" s="20"/>
      <c r="C1130" s="22"/>
      <c r="D1130" s="22"/>
      <c r="E1130" s="24"/>
      <c r="F1130" s="22"/>
      <c r="H1130" s="21">
        <v>45937</v>
      </c>
      <c r="I1130" s="22" t="s">
        <v>70</v>
      </c>
      <c r="J1130" s="22" t="s">
        <v>53</v>
      </c>
      <c r="K1130" s="24">
        <v>4</v>
      </c>
      <c r="M1130" s="21">
        <v>45968</v>
      </c>
      <c r="N1130" s="22" t="s">
        <v>71</v>
      </c>
      <c r="O1130" s="22" t="s">
        <v>52</v>
      </c>
      <c r="P1130" s="49">
        <v>71.599999999999994</v>
      </c>
      <c r="Q1130" s="49">
        <v>71</v>
      </c>
      <c r="R1130" s="46">
        <f t="shared" si="38"/>
        <v>0.59999999999999432</v>
      </c>
      <c r="T1130" s="21">
        <v>45960</v>
      </c>
      <c r="U1130" s="22" t="s">
        <v>45</v>
      </c>
      <c r="V1130" s="24">
        <v>4</v>
      </c>
      <c r="W1130" s="24">
        <v>4</v>
      </c>
      <c r="X1130" s="24">
        <v>4</v>
      </c>
      <c r="Y1130" s="24">
        <v>5</v>
      </c>
      <c r="Z1130" s="20">
        <f t="shared" si="39"/>
        <v>17</v>
      </c>
    </row>
    <row r="1131" spans="1:26" x14ac:dyDescent="0.2">
      <c r="A1131" s="21"/>
      <c r="B1131" s="20"/>
      <c r="C1131" s="22"/>
      <c r="D1131" s="22"/>
      <c r="E1131" s="24"/>
      <c r="F1131" s="22"/>
      <c r="H1131" s="21">
        <v>45937</v>
      </c>
      <c r="I1131" s="22" t="s">
        <v>70</v>
      </c>
      <c r="J1131" s="22" t="s">
        <v>44</v>
      </c>
      <c r="K1131" s="24">
        <v>2</v>
      </c>
      <c r="M1131" s="21">
        <v>45968</v>
      </c>
      <c r="N1131" s="22" t="s">
        <v>71</v>
      </c>
      <c r="O1131" s="22" t="s">
        <v>53</v>
      </c>
      <c r="P1131" s="49">
        <v>67.8</v>
      </c>
      <c r="Q1131" s="49">
        <v>67.599999999999994</v>
      </c>
      <c r="R1131" s="46">
        <f t="shared" si="38"/>
        <v>0.20000000000000284</v>
      </c>
      <c r="T1131" s="21">
        <v>45960</v>
      </c>
      <c r="U1131" s="22" t="s">
        <v>46</v>
      </c>
      <c r="V1131" s="24">
        <v>5</v>
      </c>
      <c r="W1131" s="24">
        <v>4</v>
      </c>
      <c r="X1131" s="24">
        <v>4</v>
      </c>
      <c r="Y1131" s="24">
        <v>5</v>
      </c>
      <c r="Z1131" s="20">
        <f t="shared" si="39"/>
        <v>18</v>
      </c>
    </row>
    <row r="1132" spans="1:26" x14ac:dyDescent="0.2">
      <c r="A1132" s="21"/>
      <c r="B1132" s="20"/>
      <c r="C1132" s="22"/>
      <c r="D1132" s="22"/>
      <c r="E1132" s="24"/>
      <c r="F1132" s="22"/>
      <c r="H1132" s="21">
        <v>45937</v>
      </c>
      <c r="I1132" s="22" t="s">
        <v>70</v>
      </c>
      <c r="J1132" s="22" t="s">
        <v>45</v>
      </c>
      <c r="K1132" s="24">
        <v>2</v>
      </c>
      <c r="M1132" s="21">
        <v>45968</v>
      </c>
      <c r="N1132" s="22" t="s">
        <v>71</v>
      </c>
      <c r="O1132" s="22" t="s">
        <v>55</v>
      </c>
      <c r="P1132" s="49">
        <v>75.599999999999994</v>
      </c>
      <c r="Q1132" s="49">
        <v>75</v>
      </c>
      <c r="R1132" s="46">
        <f t="shared" si="38"/>
        <v>0.59999999999999432</v>
      </c>
      <c r="T1132" s="21">
        <v>45960</v>
      </c>
      <c r="U1132" s="22" t="s">
        <v>47</v>
      </c>
      <c r="V1132" s="24">
        <v>3</v>
      </c>
      <c r="W1132" s="24">
        <v>4</v>
      </c>
      <c r="X1132" s="24">
        <v>4</v>
      </c>
      <c r="Y1132" s="24">
        <v>5</v>
      </c>
      <c r="Z1132" s="20">
        <f t="shared" si="39"/>
        <v>16</v>
      </c>
    </row>
    <row r="1133" spans="1:26" x14ac:dyDescent="0.2">
      <c r="A1133" s="21"/>
      <c r="B1133" s="20"/>
      <c r="C1133" s="22"/>
      <c r="D1133" s="22"/>
      <c r="E1133" s="24"/>
      <c r="F1133" s="22"/>
      <c r="H1133" s="21">
        <v>45937</v>
      </c>
      <c r="I1133" s="22" t="s">
        <v>70</v>
      </c>
      <c r="J1133" s="22" t="s">
        <v>57</v>
      </c>
      <c r="K1133" s="24">
        <v>1</v>
      </c>
      <c r="M1133" s="21">
        <v>45968</v>
      </c>
      <c r="N1133" s="22" t="s">
        <v>71</v>
      </c>
      <c r="O1133" s="22" t="s">
        <v>56</v>
      </c>
      <c r="P1133" s="49">
        <v>75.3</v>
      </c>
      <c r="Q1133" s="49">
        <v>75</v>
      </c>
      <c r="R1133" s="46">
        <f t="shared" si="38"/>
        <v>0.29999999999999716</v>
      </c>
      <c r="T1133" s="21">
        <v>45960</v>
      </c>
      <c r="U1133" s="22" t="s">
        <v>48</v>
      </c>
      <c r="V1133" s="24">
        <v>5</v>
      </c>
      <c r="W1133" s="24">
        <v>4</v>
      </c>
      <c r="X1133" s="24">
        <v>4</v>
      </c>
      <c r="Y1133" s="24">
        <v>5</v>
      </c>
      <c r="Z1133" s="20">
        <f t="shared" si="39"/>
        <v>18</v>
      </c>
    </row>
    <row r="1134" spans="1:26" x14ac:dyDescent="0.2">
      <c r="A1134" s="21"/>
      <c r="B1134" s="20"/>
      <c r="C1134" s="22"/>
      <c r="D1134" s="22"/>
      <c r="E1134" s="24"/>
      <c r="F1134" s="22"/>
      <c r="H1134" s="21">
        <v>45937</v>
      </c>
      <c r="I1134" s="22" t="s">
        <v>70</v>
      </c>
      <c r="J1134" s="22" t="s">
        <v>42</v>
      </c>
      <c r="K1134" s="24">
        <v>1</v>
      </c>
      <c r="M1134" s="21">
        <v>45968</v>
      </c>
      <c r="N1134" s="22" t="s">
        <v>71</v>
      </c>
      <c r="O1134" s="22" t="s">
        <v>57</v>
      </c>
      <c r="P1134" s="49">
        <v>93.9</v>
      </c>
      <c r="Q1134" s="49">
        <v>93.6</v>
      </c>
      <c r="R1134" s="46">
        <f t="shared" si="38"/>
        <v>0.30000000000001137</v>
      </c>
      <c r="T1134" s="21">
        <v>45960</v>
      </c>
      <c r="U1134" s="22" t="s">
        <v>49</v>
      </c>
      <c r="V1134" s="24">
        <v>5</v>
      </c>
      <c r="W1134" s="24">
        <v>4</v>
      </c>
      <c r="X1134" s="24">
        <v>4</v>
      </c>
      <c r="Y1134" s="24">
        <v>4</v>
      </c>
      <c r="Z1134" s="20">
        <f t="shared" si="39"/>
        <v>17</v>
      </c>
    </row>
    <row r="1135" spans="1:26" x14ac:dyDescent="0.2">
      <c r="A1135" s="21"/>
      <c r="B1135" s="20"/>
      <c r="C1135" s="22"/>
      <c r="D1135" s="22"/>
      <c r="E1135" s="24"/>
      <c r="F1135" s="22"/>
      <c r="H1135" s="21">
        <v>45937</v>
      </c>
      <c r="I1135" s="22" t="s">
        <v>70</v>
      </c>
      <c r="J1135" s="22" t="s">
        <v>47</v>
      </c>
      <c r="K1135" s="24">
        <v>1</v>
      </c>
      <c r="M1135" s="21">
        <v>45968</v>
      </c>
      <c r="N1135" s="22" t="s">
        <v>71</v>
      </c>
      <c r="O1135" s="22" t="s">
        <v>58</v>
      </c>
      <c r="P1135" s="49">
        <v>75.400000000000006</v>
      </c>
      <c r="Q1135" s="49">
        <v>75.3</v>
      </c>
      <c r="R1135" s="46">
        <f t="shared" si="38"/>
        <v>0.10000000000000853</v>
      </c>
      <c r="T1135" s="21">
        <v>45960</v>
      </c>
      <c r="U1135" s="22" t="s">
        <v>50</v>
      </c>
      <c r="V1135" s="24">
        <v>3</v>
      </c>
      <c r="W1135" s="24">
        <v>3</v>
      </c>
      <c r="X1135" s="24">
        <v>4</v>
      </c>
      <c r="Y1135" s="24">
        <v>4</v>
      </c>
      <c r="Z1135" s="20">
        <f t="shared" si="39"/>
        <v>14</v>
      </c>
    </row>
    <row r="1136" spans="1:26" x14ac:dyDescent="0.2">
      <c r="A1136" s="21"/>
      <c r="B1136" s="20"/>
      <c r="C1136" s="22"/>
      <c r="D1136" s="22"/>
      <c r="E1136" s="24"/>
      <c r="F1136" s="22"/>
      <c r="H1136" s="21">
        <v>45937</v>
      </c>
      <c r="I1136" s="22" t="s">
        <v>70</v>
      </c>
      <c r="J1136" s="22" t="s">
        <v>41</v>
      </c>
      <c r="K1136" s="24">
        <v>1</v>
      </c>
      <c r="M1136" s="21">
        <v>45971</v>
      </c>
      <c r="N1136" s="22" t="s">
        <v>70</v>
      </c>
      <c r="O1136" s="22" t="s">
        <v>42</v>
      </c>
      <c r="P1136" s="49">
        <v>79.400000000000006</v>
      </c>
      <c r="Q1136" s="49">
        <v>79.099999999999994</v>
      </c>
      <c r="R1136" s="46">
        <f t="shared" si="38"/>
        <v>0.30000000000001137</v>
      </c>
      <c r="T1136" s="21">
        <v>45960</v>
      </c>
      <c r="U1136" s="22" t="s">
        <v>51</v>
      </c>
      <c r="V1136" s="24">
        <v>5</v>
      </c>
      <c r="W1136" s="24">
        <v>4</v>
      </c>
      <c r="X1136" s="24">
        <v>4</v>
      </c>
      <c r="Y1136" s="24">
        <v>5</v>
      </c>
      <c r="Z1136" s="20">
        <f t="shared" si="39"/>
        <v>18</v>
      </c>
    </row>
    <row r="1137" spans="1:26" x14ac:dyDescent="0.2">
      <c r="A1137" s="21"/>
      <c r="B1137" s="20"/>
      <c r="C1137" s="22"/>
      <c r="D1137" s="22"/>
      <c r="E1137" s="24"/>
      <c r="F1137" s="22"/>
      <c r="H1137" s="21">
        <v>45937</v>
      </c>
      <c r="I1137" s="22" t="s">
        <v>70</v>
      </c>
      <c r="J1137" s="22" t="s">
        <v>49</v>
      </c>
      <c r="K1137" s="24">
        <v>3</v>
      </c>
      <c r="M1137" s="21">
        <v>45971</v>
      </c>
      <c r="N1137" s="22" t="s">
        <v>71</v>
      </c>
      <c r="O1137" s="22" t="s">
        <v>42</v>
      </c>
      <c r="P1137" s="49">
        <v>79.5</v>
      </c>
      <c r="Q1137" s="49">
        <v>79</v>
      </c>
      <c r="R1137" s="46">
        <f t="shared" si="38"/>
        <v>0.5</v>
      </c>
      <c r="T1137" s="21">
        <v>45960</v>
      </c>
      <c r="U1137" s="22" t="s">
        <v>52</v>
      </c>
      <c r="V1137" s="24">
        <v>4</v>
      </c>
      <c r="W1137" s="24">
        <v>4</v>
      </c>
      <c r="X1137" s="24">
        <v>4</v>
      </c>
      <c r="Y1137" s="24">
        <v>4</v>
      </c>
      <c r="Z1137" s="20">
        <f t="shared" si="39"/>
        <v>16</v>
      </c>
    </row>
    <row r="1138" spans="1:26" x14ac:dyDescent="0.2">
      <c r="A1138" s="21"/>
      <c r="B1138" s="20"/>
      <c r="C1138" s="22"/>
      <c r="D1138" s="22"/>
      <c r="E1138" s="24"/>
      <c r="F1138" s="22"/>
      <c r="H1138" s="21">
        <v>45937</v>
      </c>
      <c r="I1138" s="22" t="s">
        <v>70</v>
      </c>
      <c r="J1138" s="22" t="s">
        <v>50</v>
      </c>
      <c r="K1138" s="24">
        <v>2</v>
      </c>
      <c r="M1138" s="21">
        <v>45971</v>
      </c>
      <c r="N1138" s="22" t="s">
        <v>70</v>
      </c>
      <c r="O1138" s="22" t="s">
        <v>43</v>
      </c>
      <c r="P1138" s="49">
        <v>89.5</v>
      </c>
      <c r="Q1138" s="49">
        <v>89</v>
      </c>
      <c r="R1138" s="46">
        <f t="shared" si="38"/>
        <v>0.5</v>
      </c>
      <c r="T1138" s="21">
        <v>45960</v>
      </c>
      <c r="U1138" s="22" t="s">
        <v>53</v>
      </c>
      <c r="V1138" s="24">
        <v>4</v>
      </c>
      <c r="W1138" s="24">
        <v>4</v>
      </c>
      <c r="X1138" s="24">
        <v>4</v>
      </c>
      <c r="Y1138" s="24">
        <v>4</v>
      </c>
      <c r="Z1138" s="20">
        <f t="shared" si="39"/>
        <v>16</v>
      </c>
    </row>
    <row r="1139" spans="1:26" x14ac:dyDescent="0.2">
      <c r="A1139" s="21"/>
      <c r="B1139" s="20"/>
      <c r="C1139" s="22"/>
      <c r="D1139" s="22"/>
      <c r="E1139" s="24"/>
      <c r="F1139" s="22"/>
      <c r="H1139" s="21">
        <v>45937</v>
      </c>
      <c r="I1139" s="22" t="s">
        <v>70</v>
      </c>
      <c r="J1139" s="22" t="s">
        <v>51</v>
      </c>
      <c r="K1139" s="24">
        <v>2</v>
      </c>
      <c r="M1139" s="21">
        <v>45971</v>
      </c>
      <c r="N1139" s="22" t="s">
        <v>71</v>
      </c>
      <c r="O1139" s="22" t="s">
        <v>43</v>
      </c>
      <c r="P1139" s="49">
        <v>89.5</v>
      </c>
      <c r="Q1139" s="49">
        <v>88.6</v>
      </c>
      <c r="R1139" s="46">
        <f t="shared" si="38"/>
        <v>0.90000000000000568</v>
      </c>
      <c r="T1139" s="21">
        <v>45960</v>
      </c>
      <c r="U1139" s="22" t="s">
        <v>55</v>
      </c>
      <c r="V1139" s="24">
        <v>4</v>
      </c>
      <c r="W1139" s="24">
        <v>3</v>
      </c>
      <c r="X1139" s="24">
        <v>4</v>
      </c>
      <c r="Y1139" s="24">
        <v>4</v>
      </c>
      <c r="Z1139" s="20">
        <f t="shared" si="39"/>
        <v>15</v>
      </c>
    </row>
    <row r="1140" spans="1:26" x14ac:dyDescent="0.2">
      <c r="A1140" s="21"/>
      <c r="B1140" s="20"/>
      <c r="C1140" s="22"/>
      <c r="D1140" s="22"/>
      <c r="E1140" s="24"/>
      <c r="F1140" s="22"/>
      <c r="H1140" s="21">
        <v>45937</v>
      </c>
      <c r="I1140" s="22" t="s">
        <v>70</v>
      </c>
      <c r="J1140" s="22" t="s">
        <v>46</v>
      </c>
      <c r="K1140" s="24">
        <v>4</v>
      </c>
      <c r="M1140" s="21">
        <v>45971</v>
      </c>
      <c r="N1140" s="22" t="s">
        <v>70</v>
      </c>
      <c r="O1140" s="22" t="s">
        <v>45</v>
      </c>
      <c r="P1140" s="49">
        <v>69.3</v>
      </c>
      <c r="Q1140" s="49">
        <v>69</v>
      </c>
      <c r="R1140" s="46">
        <f t="shared" si="38"/>
        <v>0.29999999999999716</v>
      </c>
      <c r="T1140" s="21">
        <v>45960</v>
      </c>
      <c r="U1140" s="22" t="s">
        <v>56</v>
      </c>
      <c r="V1140" s="24">
        <v>4</v>
      </c>
      <c r="W1140" s="24">
        <v>4</v>
      </c>
      <c r="X1140" s="24">
        <v>3</v>
      </c>
      <c r="Y1140" s="24">
        <v>5</v>
      </c>
      <c r="Z1140" s="20">
        <f t="shared" si="39"/>
        <v>16</v>
      </c>
    </row>
    <row r="1141" spans="1:26" x14ac:dyDescent="0.2">
      <c r="A1141" s="21"/>
      <c r="B1141" s="20"/>
      <c r="C1141" s="22"/>
      <c r="D1141" s="22"/>
      <c r="E1141" s="24"/>
      <c r="F1141" s="22"/>
      <c r="H1141" s="21">
        <v>45937</v>
      </c>
      <c r="I1141" s="22" t="s">
        <v>70</v>
      </c>
      <c r="J1141" s="22" t="s">
        <v>48</v>
      </c>
      <c r="K1141" s="24">
        <v>2</v>
      </c>
      <c r="M1141" s="21">
        <v>45971</v>
      </c>
      <c r="N1141" s="22" t="s">
        <v>71</v>
      </c>
      <c r="O1141" s="22" t="s">
        <v>45</v>
      </c>
      <c r="P1141" s="49">
        <v>68.7</v>
      </c>
      <c r="Q1141" s="49">
        <v>68.5</v>
      </c>
      <c r="R1141" s="46">
        <f t="shared" si="38"/>
        <v>0.20000000000000284</v>
      </c>
      <c r="T1141" s="21">
        <v>45960</v>
      </c>
      <c r="U1141" s="22" t="s">
        <v>57</v>
      </c>
      <c r="V1141" s="24">
        <v>3</v>
      </c>
      <c r="W1141" s="24">
        <v>3</v>
      </c>
      <c r="X1141" s="24">
        <v>4</v>
      </c>
      <c r="Y1141" s="24">
        <v>5</v>
      </c>
      <c r="Z1141" s="20">
        <f t="shared" si="39"/>
        <v>15</v>
      </c>
    </row>
    <row r="1142" spans="1:26" x14ac:dyDescent="0.2">
      <c r="A1142" s="21"/>
      <c r="B1142" s="20"/>
      <c r="C1142" s="22"/>
      <c r="D1142" s="22"/>
      <c r="E1142" s="24"/>
      <c r="F1142" s="22"/>
      <c r="H1142" s="21">
        <v>45937</v>
      </c>
      <c r="I1142" s="22" t="s">
        <v>70</v>
      </c>
      <c r="J1142" s="22" t="s">
        <v>56</v>
      </c>
      <c r="K1142" s="24">
        <v>2</v>
      </c>
      <c r="M1142" s="21">
        <v>45971</v>
      </c>
      <c r="N1142" s="22" t="s">
        <v>70</v>
      </c>
      <c r="O1142" s="22" t="s">
        <v>46</v>
      </c>
      <c r="P1142" s="49">
        <v>81.400000000000006</v>
      </c>
      <c r="Q1142" s="49">
        <v>80.900000000000006</v>
      </c>
      <c r="R1142" s="46">
        <f t="shared" si="38"/>
        <v>0.5</v>
      </c>
      <c r="T1142" s="21">
        <v>45960</v>
      </c>
      <c r="U1142" s="22" t="s">
        <v>58</v>
      </c>
      <c r="V1142" s="24">
        <v>3</v>
      </c>
      <c r="W1142" s="24">
        <v>5</v>
      </c>
      <c r="X1142" s="24">
        <v>3</v>
      </c>
      <c r="Y1142" s="24">
        <v>5</v>
      </c>
      <c r="Z1142" s="20">
        <f t="shared" si="39"/>
        <v>16</v>
      </c>
    </row>
    <row r="1143" spans="1:26" x14ac:dyDescent="0.2">
      <c r="A1143" s="21"/>
      <c r="B1143" s="20"/>
      <c r="C1143" s="22"/>
      <c r="D1143" s="22"/>
      <c r="E1143" s="24"/>
      <c r="F1143" s="22"/>
      <c r="H1143" s="21">
        <v>45938</v>
      </c>
      <c r="I1143" s="22" t="s">
        <v>70</v>
      </c>
      <c r="J1143" s="22" t="s">
        <v>52</v>
      </c>
      <c r="K1143" s="24">
        <v>2</v>
      </c>
      <c r="M1143" s="21">
        <v>45971</v>
      </c>
      <c r="N1143" s="22" t="s">
        <v>71</v>
      </c>
      <c r="O1143" s="22" t="s">
        <v>46</v>
      </c>
      <c r="P1143" s="49">
        <v>81.5</v>
      </c>
      <c r="Q1143" s="49">
        <v>81.7</v>
      </c>
      <c r="R1143" s="46">
        <f t="shared" si="38"/>
        <v>-0.20000000000000284</v>
      </c>
      <c r="T1143" s="21">
        <v>45960</v>
      </c>
      <c r="U1143" s="22" t="s">
        <v>33</v>
      </c>
      <c r="V1143" s="24">
        <v>3.875</v>
      </c>
      <c r="W1143" s="24">
        <v>3.93333333333333</v>
      </c>
      <c r="X1143" s="24">
        <v>3.75</v>
      </c>
      <c r="Y1143" s="24">
        <v>4.4375</v>
      </c>
      <c r="Z1143" s="20">
        <f t="shared" si="39"/>
        <v>15.99583333333333</v>
      </c>
    </row>
    <row r="1144" spans="1:26" x14ac:dyDescent="0.2">
      <c r="A1144" s="21"/>
      <c r="B1144" s="20"/>
      <c r="C1144" s="22"/>
      <c r="D1144" s="22"/>
      <c r="E1144" s="24"/>
      <c r="F1144" s="22"/>
      <c r="H1144" s="21">
        <v>45938</v>
      </c>
      <c r="I1144" s="22" t="s">
        <v>70</v>
      </c>
      <c r="J1144" s="22" t="s">
        <v>53</v>
      </c>
      <c r="K1144" s="24">
        <v>2</v>
      </c>
      <c r="M1144" s="21">
        <v>45971</v>
      </c>
      <c r="N1144" s="22" t="s">
        <v>70</v>
      </c>
      <c r="O1144" s="22" t="s">
        <v>47</v>
      </c>
      <c r="P1144" s="49">
        <v>71.7</v>
      </c>
      <c r="Q1144" s="49">
        <v>71.5</v>
      </c>
      <c r="R1144" s="46">
        <f t="shared" si="38"/>
        <v>0.20000000000000284</v>
      </c>
      <c r="T1144" s="21">
        <v>45961</v>
      </c>
      <c r="U1144" s="22" t="s">
        <v>41</v>
      </c>
      <c r="V1144" s="24">
        <v>1</v>
      </c>
      <c r="W1144" s="24">
        <v>1</v>
      </c>
      <c r="X1144" s="24">
        <v>1</v>
      </c>
      <c r="Y1144" s="24">
        <v>1</v>
      </c>
      <c r="Z1144" s="20">
        <f t="shared" si="39"/>
        <v>4</v>
      </c>
    </row>
    <row r="1145" spans="1:26" x14ac:dyDescent="0.2">
      <c r="A1145" s="21"/>
      <c r="B1145" s="20"/>
      <c r="C1145" s="22"/>
      <c r="D1145" s="22"/>
      <c r="E1145" s="24"/>
      <c r="F1145" s="22"/>
      <c r="H1145" s="21">
        <v>45938</v>
      </c>
      <c r="I1145" s="22" t="s">
        <v>70</v>
      </c>
      <c r="J1145" s="22" t="s">
        <v>44</v>
      </c>
      <c r="K1145" s="24">
        <v>2</v>
      </c>
      <c r="M1145" s="21">
        <v>45971</v>
      </c>
      <c r="N1145" s="22" t="s">
        <v>71</v>
      </c>
      <c r="O1145" s="22" t="s">
        <v>47</v>
      </c>
      <c r="P1145" s="49">
        <v>72</v>
      </c>
      <c r="Q1145" s="49">
        <v>72.5</v>
      </c>
      <c r="R1145" s="46">
        <f t="shared" si="38"/>
        <v>-0.5</v>
      </c>
      <c r="T1145" s="21">
        <v>45961</v>
      </c>
      <c r="U1145" s="22" t="s">
        <v>42</v>
      </c>
      <c r="V1145" s="24">
        <v>4</v>
      </c>
      <c r="W1145" s="24">
        <v>4</v>
      </c>
      <c r="X1145" s="24">
        <v>4</v>
      </c>
      <c r="Y1145" s="24">
        <v>5</v>
      </c>
      <c r="Z1145" s="20">
        <f t="shared" si="39"/>
        <v>17</v>
      </c>
    </row>
    <row r="1146" spans="1:26" x14ac:dyDescent="0.2">
      <c r="A1146" s="21"/>
      <c r="B1146" s="20"/>
      <c r="C1146" s="22"/>
      <c r="D1146" s="22"/>
      <c r="E1146" s="24"/>
      <c r="F1146" s="22"/>
      <c r="H1146" s="21">
        <v>45938</v>
      </c>
      <c r="I1146" s="22" t="s">
        <v>70</v>
      </c>
      <c r="J1146" s="22" t="s">
        <v>45</v>
      </c>
      <c r="K1146" s="24">
        <v>2</v>
      </c>
      <c r="M1146" s="21">
        <v>45971</v>
      </c>
      <c r="N1146" s="22" t="s">
        <v>70</v>
      </c>
      <c r="O1146" s="22" t="s">
        <v>49</v>
      </c>
      <c r="P1146" s="49">
        <v>77.099999999999994</v>
      </c>
      <c r="Q1146" s="49">
        <v>77.3</v>
      </c>
      <c r="R1146" s="46">
        <f t="shared" si="38"/>
        <v>-0.20000000000000284</v>
      </c>
      <c r="T1146" s="21">
        <v>45961</v>
      </c>
      <c r="U1146" s="22" t="s">
        <v>44</v>
      </c>
      <c r="V1146" s="24">
        <v>5</v>
      </c>
      <c r="W1146" s="24">
        <v>5</v>
      </c>
      <c r="X1146" s="24">
        <v>5</v>
      </c>
      <c r="Y1146" s="24">
        <v>5</v>
      </c>
      <c r="Z1146" s="20">
        <f t="shared" si="39"/>
        <v>20</v>
      </c>
    </row>
    <row r="1147" spans="1:26" x14ac:dyDescent="0.2">
      <c r="A1147" s="21"/>
      <c r="B1147" s="20"/>
      <c r="C1147" s="22"/>
      <c r="D1147" s="22"/>
      <c r="E1147" s="24"/>
      <c r="F1147" s="22"/>
      <c r="H1147" s="21">
        <v>45938</v>
      </c>
      <c r="I1147" s="22" t="s">
        <v>70</v>
      </c>
      <c r="J1147" s="22" t="s">
        <v>57</v>
      </c>
      <c r="K1147" s="24">
        <v>2</v>
      </c>
      <c r="M1147" s="21">
        <v>45971</v>
      </c>
      <c r="N1147" s="22" t="s">
        <v>71</v>
      </c>
      <c r="O1147" s="22" t="s">
        <v>49</v>
      </c>
      <c r="P1147" s="49">
        <v>77.599999999999994</v>
      </c>
      <c r="Q1147" s="49">
        <v>77.599999999999994</v>
      </c>
      <c r="R1147" s="46">
        <f t="shared" si="38"/>
        <v>0</v>
      </c>
      <c r="T1147" s="21">
        <v>45961</v>
      </c>
      <c r="U1147" s="22" t="s">
        <v>45</v>
      </c>
      <c r="V1147" s="24">
        <v>4</v>
      </c>
      <c r="W1147" s="24">
        <v>4</v>
      </c>
      <c r="X1147" s="24">
        <v>4</v>
      </c>
      <c r="Y1147" s="24">
        <v>5</v>
      </c>
      <c r="Z1147" s="20">
        <f t="shared" si="39"/>
        <v>17</v>
      </c>
    </row>
    <row r="1148" spans="1:26" x14ac:dyDescent="0.2">
      <c r="A1148" s="21"/>
      <c r="B1148" s="20"/>
      <c r="C1148" s="22"/>
      <c r="D1148" s="22"/>
      <c r="E1148" s="24"/>
      <c r="F1148" s="22"/>
      <c r="H1148" s="21">
        <v>45938</v>
      </c>
      <c r="I1148" s="22" t="s">
        <v>70</v>
      </c>
      <c r="J1148" s="22" t="s">
        <v>42</v>
      </c>
      <c r="K1148" s="24">
        <v>2</v>
      </c>
      <c r="M1148" s="21">
        <v>45971</v>
      </c>
      <c r="N1148" s="22" t="s">
        <v>70</v>
      </c>
      <c r="O1148" s="22" t="s">
        <v>50</v>
      </c>
      <c r="P1148" s="49">
        <v>67.599999999999994</v>
      </c>
      <c r="Q1148" s="49">
        <v>67.400000000000006</v>
      </c>
      <c r="R1148" s="46">
        <f t="shared" si="38"/>
        <v>0.19999999999998863</v>
      </c>
      <c r="T1148" s="21">
        <v>45961</v>
      </c>
      <c r="U1148" s="22" t="s">
        <v>46</v>
      </c>
      <c r="V1148" s="24">
        <v>5</v>
      </c>
      <c r="W1148" s="24">
        <v>4</v>
      </c>
      <c r="X1148" s="24">
        <v>4</v>
      </c>
      <c r="Y1148" s="24">
        <v>5</v>
      </c>
      <c r="Z1148" s="20">
        <f t="shared" si="39"/>
        <v>18</v>
      </c>
    </row>
    <row r="1149" spans="1:26" x14ac:dyDescent="0.2">
      <c r="A1149" s="21"/>
      <c r="B1149" s="20"/>
      <c r="C1149" s="22"/>
      <c r="D1149" s="22"/>
      <c r="E1149" s="24"/>
      <c r="F1149" s="22"/>
      <c r="H1149" s="21">
        <v>45938</v>
      </c>
      <c r="I1149" s="22" t="s">
        <v>70</v>
      </c>
      <c r="J1149" s="22" t="s">
        <v>47</v>
      </c>
      <c r="K1149" s="24">
        <v>2</v>
      </c>
      <c r="M1149" s="21">
        <v>45971</v>
      </c>
      <c r="N1149" s="22" t="s">
        <v>71</v>
      </c>
      <c r="O1149" s="22" t="s">
        <v>50</v>
      </c>
      <c r="P1149" s="49">
        <v>68.099999999999994</v>
      </c>
      <c r="Q1149" s="49">
        <v>67.599999999999994</v>
      </c>
      <c r="R1149" s="46">
        <f t="shared" si="38"/>
        <v>0.5</v>
      </c>
      <c r="T1149" s="21">
        <v>45961</v>
      </c>
      <c r="U1149" s="22" t="s">
        <v>47</v>
      </c>
      <c r="V1149" s="24">
        <v>2</v>
      </c>
      <c r="W1149" s="24">
        <v>3</v>
      </c>
      <c r="X1149" s="24">
        <v>3</v>
      </c>
      <c r="Y1149" s="24">
        <v>4</v>
      </c>
      <c r="Z1149" s="20">
        <f t="shared" si="39"/>
        <v>12</v>
      </c>
    </row>
    <row r="1150" spans="1:26" x14ac:dyDescent="0.2">
      <c r="A1150" s="21"/>
      <c r="B1150" s="20"/>
      <c r="C1150" s="22"/>
      <c r="D1150" s="22"/>
      <c r="E1150" s="24"/>
      <c r="F1150" s="22"/>
      <c r="H1150" s="21">
        <v>45938</v>
      </c>
      <c r="I1150" s="22" t="s">
        <v>70</v>
      </c>
      <c r="J1150" s="22" t="s">
        <v>41</v>
      </c>
      <c r="K1150" s="24">
        <v>2</v>
      </c>
      <c r="M1150" s="21">
        <v>45971</v>
      </c>
      <c r="N1150" s="22" t="s">
        <v>70</v>
      </c>
      <c r="O1150" s="22" t="s">
        <v>51</v>
      </c>
      <c r="P1150" s="49">
        <v>75.8</v>
      </c>
      <c r="Q1150" s="49">
        <v>75.7</v>
      </c>
      <c r="R1150" s="46">
        <f t="shared" si="38"/>
        <v>9.9999999999994316E-2</v>
      </c>
      <c r="T1150" s="21">
        <v>45961</v>
      </c>
      <c r="U1150" s="22" t="s">
        <v>48</v>
      </c>
      <c r="V1150" s="24">
        <v>4</v>
      </c>
      <c r="W1150" s="24">
        <v>4</v>
      </c>
      <c r="X1150" s="24">
        <v>5</v>
      </c>
      <c r="Y1150" s="24">
        <v>5</v>
      </c>
      <c r="Z1150" s="20">
        <f t="shared" si="39"/>
        <v>18</v>
      </c>
    </row>
    <row r="1151" spans="1:26" x14ac:dyDescent="0.2">
      <c r="A1151" s="21"/>
      <c r="B1151" s="20"/>
      <c r="C1151" s="22"/>
      <c r="D1151" s="22"/>
      <c r="E1151" s="24"/>
      <c r="F1151" s="22"/>
      <c r="H1151" s="21">
        <v>45938</v>
      </c>
      <c r="I1151" s="22" t="s">
        <v>70</v>
      </c>
      <c r="J1151" s="22" t="s">
        <v>49</v>
      </c>
      <c r="K1151" s="24">
        <v>2</v>
      </c>
      <c r="M1151" s="21">
        <v>45971</v>
      </c>
      <c r="N1151" s="22" t="s">
        <v>71</v>
      </c>
      <c r="O1151" s="22" t="s">
        <v>51</v>
      </c>
      <c r="P1151" s="49">
        <v>76.2</v>
      </c>
      <c r="Q1151" s="49">
        <v>76.2</v>
      </c>
      <c r="R1151" s="46">
        <f t="shared" si="38"/>
        <v>0</v>
      </c>
      <c r="T1151" s="21">
        <v>45961</v>
      </c>
      <c r="U1151" s="22" t="s">
        <v>49</v>
      </c>
      <c r="V1151" s="24">
        <v>4</v>
      </c>
      <c r="W1151" s="24">
        <v>4</v>
      </c>
      <c r="X1151" s="24">
        <v>4</v>
      </c>
      <c r="Y1151" s="24">
        <v>4</v>
      </c>
      <c r="Z1151" s="20">
        <f t="shared" si="39"/>
        <v>16</v>
      </c>
    </row>
    <row r="1152" spans="1:26" x14ac:dyDescent="0.2">
      <c r="A1152" s="21"/>
      <c r="B1152" s="20"/>
      <c r="C1152" s="22"/>
      <c r="D1152" s="22"/>
      <c r="E1152" s="24"/>
      <c r="F1152" s="22"/>
      <c r="H1152" s="21">
        <v>45938</v>
      </c>
      <c r="I1152" s="22" t="s">
        <v>70</v>
      </c>
      <c r="J1152" s="22" t="s">
        <v>50</v>
      </c>
      <c r="K1152" s="24">
        <v>2</v>
      </c>
      <c r="M1152" s="21">
        <v>45971</v>
      </c>
      <c r="N1152" s="22" t="s">
        <v>70</v>
      </c>
      <c r="O1152" s="22" t="s">
        <v>52</v>
      </c>
      <c r="P1152" s="49">
        <v>71.5</v>
      </c>
      <c r="Q1152" s="49">
        <v>71.400000000000006</v>
      </c>
      <c r="R1152" s="46">
        <f t="shared" si="38"/>
        <v>9.9999999999994316E-2</v>
      </c>
      <c r="T1152" s="21">
        <v>45961</v>
      </c>
      <c r="U1152" s="22" t="s">
        <v>50</v>
      </c>
      <c r="V1152" s="24">
        <v>3</v>
      </c>
      <c r="W1152" s="24">
        <v>3</v>
      </c>
      <c r="X1152" s="24">
        <v>4</v>
      </c>
      <c r="Y1152" s="24">
        <v>4</v>
      </c>
      <c r="Z1152" s="20">
        <f t="shared" si="39"/>
        <v>14</v>
      </c>
    </row>
    <row r="1153" spans="1:26" x14ac:dyDescent="0.2">
      <c r="A1153" s="21"/>
      <c r="B1153" s="20"/>
      <c r="C1153" s="22"/>
      <c r="D1153" s="22"/>
      <c r="E1153" s="24"/>
      <c r="F1153" s="22"/>
      <c r="H1153" s="21">
        <v>45938</v>
      </c>
      <c r="I1153" s="22" t="s">
        <v>70</v>
      </c>
      <c r="J1153" s="22" t="s">
        <v>51</v>
      </c>
      <c r="K1153" s="24">
        <v>2</v>
      </c>
      <c r="M1153" s="21">
        <v>45971</v>
      </c>
      <c r="N1153" s="22" t="s">
        <v>71</v>
      </c>
      <c r="O1153" s="22" t="s">
        <v>52</v>
      </c>
      <c r="P1153" s="49">
        <v>71.3</v>
      </c>
      <c r="Q1153" s="49">
        <v>71.400000000000006</v>
      </c>
      <c r="R1153" s="46">
        <f t="shared" si="38"/>
        <v>-0.10000000000000853</v>
      </c>
      <c r="T1153" s="21">
        <v>45961</v>
      </c>
      <c r="U1153" s="22" t="s">
        <v>51</v>
      </c>
      <c r="V1153" s="24">
        <v>4</v>
      </c>
      <c r="W1153" s="24">
        <v>4</v>
      </c>
      <c r="X1153" s="24">
        <v>4</v>
      </c>
      <c r="Y1153" s="24">
        <v>5</v>
      </c>
      <c r="Z1153" s="20">
        <f t="shared" si="39"/>
        <v>17</v>
      </c>
    </row>
    <row r="1154" spans="1:26" x14ac:dyDescent="0.2">
      <c r="A1154" s="21"/>
      <c r="B1154" s="20"/>
      <c r="C1154" s="22"/>
      <c r="D1154" s="22"/>
      <c r="E1154" s="24"/>
      <c r="F1154" s="22"/>
      <c r="H1154" s="21">
        <v>45938</v>
      </c>
      <c r="I1154" s="22" t="s">
        <v>70</v>
      </c>
      <c r="J1154" s="22" t="s">
        <v>46</v>
      </c>
      <c r="K1154" s="24">
        <v>2</v>
      </c>
      <c r="M1154" s="21">
        <v>45971</v>
      </c>
      <c r="N1154" s="22" t="s">
        <v>70</v>
      </c>
      <c r="O1154" s="22" t="s">
        <v>53</v>
      </c>
      <c r="P1154" s="49">
        <v>67</v>
      </c>
      <c r="Q1154" s="49">
        <v>66.7</v>
      </c>
      <c r="R1154" s="46">
        <f t="shared" si="38"/>
        <v>0.29999999999999716</v>
      </c>
      <c r="T1154" s="21">
        <v>45961</v>
      </c>
      <c r="U1154" s="22" t="s">
        <v>52</v>
      </c>
      <c r="V1154" s="24">
        <v>4</v>
      </c>
      <c r="W1154" s="24">
        <v>4</v>
      </c>
      <c r="X1154" s="24">
        <v>2</v>
      </c>
      <c r="Y1154" s="24">
        <v>4</v>
      </c>
      <c r="Z1154" s="20">
        <f t="shared" si="39"/>
        <v>14</v>
      </c>
    </row>
    <row r="1155" spans="1:26" x14ac:dyDescent="0.2">
      <c r="A1155" s="21"/>
      <c r="B1155" s="20"/>
      <c r="C1155" s="22"/>
      <c r="D1155" s="22"/>
      <c r="E1155" s="24"/>
      <c r="F1155" s="22"/>
      <c r="H1155" s="21">
        <v>45938</v>
      </c>
      <c r="I1155" s="22" t="s">
        <v>70</v>
      </c>
      <c r="J1155" s="22" t="s">
        <v>48</v>
      </c>
      <c r="K1155" s="24">
        <v>2</v>
      </c>
      <c r="M1155" s="21">
        <v>45971</v>
      </c>
      <c r="N1155" s="22" t="s">
        <v>71</v>
      </c>
      <c r="O1155" s="22" t="s">
        <v>53</v>
      </c>
      <c r="P1155" s="49">
        <v>67.3</v>
      </c>
      <c r="Q1155" s="49">
        <v>66.900000000000006</v>
      </c>
      <c r="R1155" s="46">
        <f t="shared" ref="R1155:R1218" si="40">IFERROR(P1155-Q1155,"")</f>
        <v>0.39999999999999147</v>
      </c>
      <c r="T1155" s="21">
        <v>45961</v>
      </c>
      <c r="U1155" s="22" t="s">
        <v>53</v>
      </c>
      <c r="V1155" s="24">
        <v>4</v>
      </c>
      <c r="W1155" s="24">
        <v>4</v>
      </c>
      <c r="X1155" s="24">
        <v>4</v>
      </c>
      <c r="Y1155" s="24">
        <v>4</v>
      </c>
      <c r="Z1155" s="20">
        <f t="shared" ref="Z1155:Z1218" si="41">SUM(V1155:Y1155)</f>
        <v>16</v>
      </c>
    </row>
    <row r="1156" spans="1:26" x14ac:dyDescent="0.2">
      <c r="A1156" s="21"/>
      <c r="B1156" s="20"/>
      <c r="C1156" s="22"/>
      <c r="D1156" s="22"/>
      <c r="E1156" s="24"/>
      <c r="F1156" s="22"/>
      <c r="H1156" s="21">
        <v>45938</v>
      </c>
      <c r="I1156" s="22" t="s">
        <v>70</v>
      </c>
      <c r="J1156" s="22" t="s">
        <v>56</v>
      </c>
      <c r="K1156" s="24">
        <v>2</v>
      </c>
      <c r="M1156" s="21">
        <v>45971</v>
      </c>
      <c r="N1156" s="22" t="s">
        <v>70</v>
      </c>
      <c r="O1156" s="22" t="s">
        <v>55</v>
      </c>
      <c r="P1156" s="49">
        <v>75.2</v>
      </c>
      <c r="Q1156" s="49">
        <v>74.8</v>
      </c>
      <c r="R1156" s="46">
        <f t="shared" si="40"/>
        <v>0.40000000000000568</v>
      </c>
      <c r="T1156" s="21">
        <v>45961</v>
      </c>
      <c r="U1156" s="22" t="s">
        <v>55</v>
      </c>
      <c r="V1156" s="24">
        <v>4</v>
      </c>
      <c r="W1156" s="24">
        <v>3</v>
      </c>
      <c r="X1156" s="24">
        <v>4</v>
      </c>
      <c r="Y1156" s="24">
        <v>3</v>
      </c>
      <c r="Z1156" s="20">
        <f t="shared" si="41"/>
        <v>14</v>
      </c>
    </row>
    <row r="1157" spans="1:26" x14ac:dyDescent="0.2">
      <c r="A1157" s="21"/>
      <c r="B1157" s="20"/>
      <c r="C1157" s="22"/>
      <c r="D1157" s="22"/>
      <c r="E1157" s="24"/>
      <c r="F1157" s="22"/>
      <c r="H1157" s="21">
        <v>45938</v>
      </c>
      <c r="I1157" s="22" t="s">
        <v>71</v>
      </c>
      <c r="J1157" s="22" t="s">
        <v>52</v>
      </c>
      <c r="K1157" s="24" t="s">
        <v>63</v>
      </c>
      <c r="M1157" s="21">
        <v>45971</v>
      </c>
      <c r="N1157" s="22" t="s">
        <v>71</v>
      </c>
      <c r="O1157" s="22" t="s">
        <v>55</v>
      </c>
      <c r="P1157" s="49">
        <v>75.3</v>
      </c>
      <c r="Q1157" s="49">
        <v>75.099999999999994</v>
      </c>
      <c r="R1157" s="46">
        <f t="shared" si="40"/>
        <v>0.20000000000000284</v>
      </c>
      <c r="T1157" s="21">
        <v>45961</v>
      </c>
      <c r="U1157" s="22" t="s">
        <v>56</v>
      </c>
      <c r="V1157" s="24">
        <v>3</v>
      </c>
      <c r="W1157" s="24">
        <v>4</v>
      </c>
      <c r="X1157" s="24">
        <v>3</v>
      </c>
      <c r="Y1157" s="24">
        <v>4</v>
      </c>
      <c r="Z1157" s="20">
        <f t="shared" si="41"/>
        <v>14</v>
      </c>
    </row>
    <row r="1158" spans="1:26" x14ac:dyDescent="0.2">
      <c r="A1158" s="21"/>
      <c r="B1158" s="20"/>
      <c r="C1158" s="22"/>
      <c r="D1158" s="22"/>
      <c r="E1158" s="24"/>
      <c r="F1158" s="22"/>
      <c r="H1158" s="21">
        <v>45938</v>
      </c>
      <c r="I1158" s="22" t="s">
        <v>71</v>
      </c>
      <c r="J1158" s="22" t="s">
        <v>53</v>
      </c>
      <c r="K1158" s="24">
        <v>4</v>
      </c>
      <c r="M1158" s="21">
        <v>45971</v>
      </c>
      <c r="N1158" s="22" t="s">
        <v>70</v>
      </c>
      <c r="O1158" s="22" t="s">
        <v>56</v>
      </c>
      <c r="P1158" s="49">
        <v>74.599999999999994</v>
      </c>
      <c r="Q1158" s="49">
        <v>74.599999999999994</v>
      </c>
      <c r="R1158" s="46">
        <f t="shared" si="40"/>
        <v>0</v>
      </c>
      <c r="T1158" s="21">
        <v>45961</v>
      </c>
      <c r="U1158" s="22" t="s">
        <v>57</v>
      </c>
      <c r="V1158" s="24">
        <v>4</v>
      </c>
      <c r="W1158" s="24">
        <v>3</v>
      </c>
      <c r="X1158" s="24">
        <v>4</v>
      </c>
      <c r="Y1158" s="24">
        <v>4</v>
      </c>
      <c r="Z1158" s="20">
        <f t="shared" si="41"/>
        <v>15</v>
      </c>
    </row>
    <row r="1159" spans="1:26" x14ac:dyDescent="0.2">
      <c r="A1159" s="21"/>
      <c r="B1159" s="20"/>
      <c r="C1159" s="22"/>
      <c r="D1159" s="22"/>
      <c r="E1159" s="24"/>
      <c r="F1159" s="22"/>
      <c r="H1159" s="21">
        <v>45938</v>
      </c>
      <c r="I1159" s="22" t="s">
        <v>71</v>
      </c>
      <c r="J1159" s="22" t="s">
        <v>44</v>
      </c>
      <c r="K1159" s="24">
        <v>7</v>
      </c>
      <c r="M1159" s="21">
        <v>45971</v>
      </c>
      <c r="N1159" s="22" t="s">
        <v>71</v>
      </c>
      <c r="O1159" s="22" t="s">
        <v>56</v>
      </c>
      <c r="P1159" s="49">
        <v>74.7</v>
      </c>
      <c r="Q1159" s="49">
        <v>74.7</v>
      </c>
      <c r="R1159" s="46">
        <f t="shared" si="40"/>
        <v>0</v>
      </c>
      <c r="T1159" s="21">
        <v>45961</v>
      </c>
      <c r="U1159" s="22" t="s">
        <v>33</v>
      </c>
      <c r="V1159" s="24">
        <v>3.6666666666666701</v>
      </c>
      <c r="W1159" s="24">
        <v>3.6</v>
      </c>
      <c r="X1159" s="24">
        <v>3.6666666666666701</v>
      </c>
      <c r="Y1159" s="24">
        <v>4.1333333333333302</v>
      </c>
      <c r="Z1159" s="20">
        <f t="shared" si="41"/>
        <v>15.06666666666667</v>
      </c>
    </row>
    <row r="1160" spans="1:26" x14ac:dyDescent="0.2">
      <c r="A1160" s="21"/>
      <c r="B1160" s="20"/>
      <c r="C1160" s="22"/>
      <c r="D1160" s="22"/>
      <c r="E1160" s="24"/>
      <c r="F1160" s="22"/>
      <c r="H1160" s="21">
        <v>45938</v>
      </c>
      <c r="I1160" s="22" t="s">
        <v>71</v>
      </c>
      <c r="J1160" s="22" t="s">
        <v>45</v>
      </c>
      <c r="K1160" s="24">
        <v>8</v>
      </c>
      <c r="M1160" s="21">
        <v>45971</v>
      </c>
      <c r="N1160" s="22" t="s">
        <v>70</v>
      </c>
      <c r="O1160" s="22" t="s">
        <v>57</v>
      </c>
      <c r="P1160" s="49">
        <v>93.6</v>
      </c>
      <c r="Q1160" s="49">
        <v>93.3</v>
      </c>
      <c r="R1160" s="46">
        <f t="shared" si="40"/>
        <v>0.29999999999999716</v>
      </c>
      <c r="T1160" s="21">
        <v>45964</v>
      </c>
      <c r="U1160" s="22" t="s">
        <v>41</v>
      </c>
      <c r="V1160" s="24">
        <v>1</v>
      </c>
      <c r="W1160" s="24">
        <v>1</v>
      </c>
      <c r="X1160" s="24">
        <v>1</v>
      </c>
      <c r="Y1160" s="24">
        <v>1</v>
      </c>
      <c r="Z1160" s="20">
        <f t="shared" si="41"/>
        <v>4</v>
      </c>
    </row>
    <row r="1161" spans="1:26" x14ac:dyDescent="0.2">
      <c r="A1161" s="21"/>
      <c r="B1161" s="20"/>
      <c r="C1161" s="22"/>
      <c r="D1161" s="22"/>
      <c r="E1161" s="24"/>
      <c r="F1161" s="22"/>
      <c r="H1161" s="21">
        <v>45938</v>
      </c>
      <c r="I1161" s="22" t="s">
        <v>71</v>
      </c>
      <c r="J1161" s="22" t="s">
        <v>57</v>
      </c>
      <c r="K1161" s="24" t="s">
        <v>63</v>
      </c>
      <c r="M1161" s="21">
        <v>45971</v>
      </c>
      <c r="N1161" s="22" t="s">
        <v>71</v>
      </c>
      <c r="O1161" s="22" t="s">
        <v>57</v>
      </c>
      <c r="P1161" s="49">
        <v>93.3</v>
      </c>
      <c r="Q1161" s="49">
        <v>93.1</v>
      </c>
      <c r="R1161" s="46">
        <f t="shared" si="40"/>
        <v>0.20000000000000284</v>
      </c>
      <c r="T1161" s="21">
        <v>45964</v>
      </c>
      <c r="U1161" s="22" t="s">
        <v>42</v>
      </c>
      <c r="V1161" s="24">
        <v>4</v>
      </c>
      <c r="W1161" s="24">
        <v>4</v>
      </c>
      <c r="X1161" s="24">
        <v>4</v>
      </c>
      <c r="Y1161" s="24">
        <v>5</v>
      </c>
      <c r="Z1161" s="20">
        <f t="shared" si="41"/>
        <v>17</v>
      </c>
    </row>
    <row r="1162" spans="1:26" x14ac:dyDescent="0.2">
      <c r="A1162" s="21"/>
      <c r="B1162" s="20"/>
      <c r="C1162" s="22"/>
      <c r="D1162" s="22"/>
      <c r="E1162" s="24"/>
      <c r="F1162" s="22"/>
      <c r="H1162" s="21">
        <v>45938</v>
      </c>
      <c r="I1162" s="22" t="s">
        <v>71</v>
      </c>
      <c r="J1162" s="22" t="s">
        <v>42</v>
      </c>
      <c r="K1162" s="24" t="s">
        <v>63</v>
      </c>
      <c r="M1162" s="21">
        <v>45971</v>
      </c>
      <c r="N1162" s="22" t="s">
        <v>70</v>
      </c>
      <c r="O1162" s="22" t="s">
        <v>58</v>
      </c>
      <c r="P1162" s="49">
        <v>76.2</v>
      </c>
      <c r="Q1162" s="49">
        <v>76.099999999999994</v>
      </c>
      <c r="R1162" s="46">
        <f t="shared" si="40"/>
        <v>0.10000000000000853</v>
      </c>
      <c r="T1162" s="21">
        <v>45964</v>
      </c>
      <c r="U1162" s="22" t="s">
        <v>44</v>
      </c>
      <c r="V1162" s="24">
        <v>5</v>
      </c>
      <c r="W1162" s="24">
        <v>5</v>
      </c>
      <c r="X1162" s="24">
        <v>5</v>
      </c>
      <c r="Y1162" s="24">
        <v>5</v>
      </c>
      <c r="Z1162" s="20">
        <f t="shared" si="41"/>
        <v>20</v>
      </c>
    </row>
    <row r="1163" spans="1:26" x14ac:dyDescent="0.2">
      <c r="A1163" s="21"/>
      <c r="B1163" s="20"/>
      <c r="C1163" s="22"/>
      <c r="D1163" s="22"/>
      <c r="E1163" s="24"/>
      <c r="F1163" s="22"/>
      <c r="H1163" s="21">
        <v>45938</v>
      </c>
      <c r="I1163" s="22" t="s">
        <v>71</v>
      </c>
      <c r="J1163" s="22" t="s">
        <v>47</v>
      </c>
      <c r="K1163" s="24">
        <v>9</v>
      </c>
      <c r="M1163" s="21">
        <v>45971</v>
      </c>
      <c r="N1163" s="22" t="s">
        <v>71</v>
      </c>
      <c r="O1163" s="22" t="s">
        <v>58</v>
      </c>
      <c r="P1163" s="49">
        <v>76</v>
      </c>
      <c r="Q1163" s="49">
        <v>76.2</v>
      </c>
      <c r="R1163" s="46">
        <f t="shared" si="40"/>
        <v>-0.20000000000000284</v>
      </c>
      <c r="T1163" s="21">
        <v>45964</v>
      </c>
      <c r="U1163" s="22" t="s">
        <v>45</v>
      </c>
      <c r="V1163" s="24">
        <v>5</v>
      </c>
      <c r="W1163" s="24">
        <v>5</v>
      </c>
      <c r="X1163" s="24">
        <v>5</v>
      </c>
      <c r="Y1163" s="24">
        <v>5</v>
      </c>
      <c r="Z1163" s="20">
        <f t="shared" si="41"/>
        <v>20</v>
      </c>
    </row>
    <row r="1164" spans="1:26" x14ac:dyDescent="0.2">
      <c r="A1164" s="21"/>
      <c r="B1164" s="20"/>
      <c r="C1164" s="22"/>
      <c r="D1164" s="22"/>
      <c r="E1164" s="24"/>
      <c r="F1164" s="22"/>
      <c r="H1164" s="21">
        <v>45938</v>
      </c>
      <c r="I1164" s="22" t="s">
        <v>71</v>
      </c>
      <c r="J1164" s="22" t="s">
        <v>41</v>
      </c>
      <c r="K1164" s="24">
        <v>8</v>
      </c>
      <c r="M1164" s="21">
        <v>45972</v>
      </c>
      <c r="N1164" s="22" t="s">
        <v>70</v>
      </c>
      <c r="O1164" s="22" t="s">
        <v>42</v>
      </c>
      <c r="P1164" s="49">
        <v>79.5</v>
      </c>
      <c r="Q1164" s="49">
        <v>79.400000000000006</v>
      </c>
      <c r="R1164" s="46">
        <f t="shared" si="40"/>
        <v>9.9999999999994316E-2</v>
      </c>
      <c r="T1164" s="21">
        <v>45964</v>
      </c>
      <c r="U1164" s="22" t="s">
        <v>46</v>
      </c>
      <c r="V1164" s="24">
        <v>4</v>
      </c>
      <c r="W1164" s="24">
        <v>4</v>
      </c>
      <c r="X1164" s="24">
        <v>4</v>
      </c>
      <c r="Y1164" s="24">
        <v>5</v>
      </c>
      <c r="Z1164" s="20">
        <f t="shared" si="41"/>
        <v>17</v>
      </c>
    </row>
    <row r="1165" spans="1:26" x14ac:dyDescent="0.2">
      <c r="A1165" s="21"/>
      <c r="B1165" s="20"/>
      <c r="C1165" s="22"/>
      <c r="D1165" s="22"/>
      <c r="E1165" s="24"/>
      <c r="F1165" s="22"/>
      <c r="H1165" s="21">
        <v>45938</v>
      </c>
      <c r="I1165" s="22" t="s">
        <v>71</v>
      </c>
      <c r="J1165" s="22" t="s">
        <v>49</v>
      </c>
      <c r="K1165" s="24">
        <v>9</v>
      </c>
      <c r="M1165" s="21">
        <v>45972</v>
      </c>
      <c r="N1165" s="22" t="s">
        <v>70</v>
      </c>
      <c r="O1165" s="22" t="s">
        <v>43</v>
      </c>
      <c r="P1165" s="49">
        <v>87.5</v>
      </c>
      <c r="Q1165" s="49">
        <v>86.6</v>
      </c>
      <c r="R1165" s="46">
        <f t="shared" si="40"/>
        <v>0.90000000000000568</v>
      </c>
      <c r="T1165" s="21">
        <v>45964</v>
      </c>
      <c r="U1165" s="22" t="s">
        <v>47</v>
      </c>
      <c r="V1165" s="24">
        <v>3</v>
      </c>
      <c r="W1165" s="24">
        <v>4</v>
      </c>
      <c r="X1165" s="24">
        <v>4</v>
      </c>
      <c r="Y1165" s="24">
        <v>4</v>
      </c>
      <c r="Z1165" s="20">
        <f t="shared" si="41"/>
        <v>15</v>
      </c>
    </row>
    <row r="1166" spans="1:26" x14ac:dyDescent="0.2">
      <c r="A1166" s="21"/>
      <c r="B1166" s="20"/>
      <c r="C1166" s="22"/>
      <c r="D1166" s="22"/>
      <c r="E1166" s="24"/>
      <c r="F1166" s="22"/>
      <c r="H1166" s="21">
        <v>45938</v>
      </c>
      <c r="I1166" s="22" t="s">
        <v>71</v>
      </c>
      <c r="J1166" s="22" t="s">
        <v>50</v>
      </c>
      <c r="K1166" s="24">
        <v>10</v>
      </c>
      <c r="M1166" s="21">
        <v>45972</v>
      </c>
      <c r="N1166" s="22" t="s">
        <v>70</v>
      </c>
      <c r="O1166" s="22" t="s">
        <v>45</v>
      </c>
      <c r="P1166" s="49">
        <v>69.3</v>
      </c>
      <c r="Q1166" s="49">
        <v>68.7</v>
      </c>
      <c r="R1166" s="46">
        <f t="shared" si="40"/>
        <v>0.59999999999999432</v>
      </c>
      <c r="T1166" s="21">
        <v>45964</v>
      </c>
      <c r="U1166" s="22" t="s">
        <v>48</v>
      </c>
      <c r="V1166" s="24">
        <v>4</v>
      </c>
      <c r="W1166" s="24">
        <v>4</v>
      </c>
      <c r="X1166" s="24">
        <v>4</v>
      </c>
      <c r="Y1166" s="24">
        <v>5</v>
      </c>
      <c r="Z1166" s="20">
        <f t="shared" si="41"/>
        <v>17</v>
      </c>
    </row>
    <row r="1167" spans="1:26" x14ac:dyDescent="0.2">
      <c r="A1167" s="21"/>
      <c r="B1167" s="20"/>
      <c r="C1167" s="22"/>
      <c r="D1167" s="22"/>
      <c r="E1167" s="24"/>
      <c r="F1167" s="22"/>
      <c r="H1167" s="21">
        <v>45938</v>
      </c>
      <c r="I1167" s="22" t="s">
        <v>71</v>
      </c>
      <c r="J1167" s="22" t="s">
        <v>51</v>
      </c>
      <c r="K1167" s="24">
        <v>9</v>
      </c>
      <c r="M1167" s="21">
        <v>45972</v>
      </c>
      <c r="N1167" s="22" t="s">
        <v>70</v>
      </c>
      <c r="O1167" s="22" t="s">
        <v>46</v>
      </c>
      <c r="P1167" s="49">
        <v>81.5</v>
      </c>
      <c r="Q1167" s="49">
        <v>81.599999999999994</v>
      </c>
      <c r="R1167" s="46">
        <f t="shared" si="40"/>
        <v>-9.9999999999994316E-2</v>
      </c>
      <c r="T1167" s="21">
        <v>45964</v>
      </c>
      <c r="U1167" s="22" t="s">
        <v>49</v>
      </c>
      <c r="V1167" s="24">
        <v>4</v>
      </c>
      <c r="W1167" s="24">
        <v>4</v>
      </c>
      <c r="X1167" s="24">
        <v>5</v>
      </c>
      <c r="Y1167" s="24">
        <v>4</v>
      </c>
      <c r="Z1167" s="20">
        <f t="shared" si="41"/>
        <v>17</v>
      </c>
    </row>
    <row r="1168" spans="1:26" x14ac:dyDescent="0.2">
      <c r="A1168" s="21"/>
      <c r="B1168" s="20"/>
      <c r="C1168" s="22"/>
      <c r="D1168" s="22"/>
      <c r="E1168" s="24"/>
      <c r="F1168" s="22"/>
      <c r="H1168" s="21">
        <v>45938</v>
      </c>
      <c r="I1168" s="22" t="s">
        <v>71</v>
      </c>
      <c r="J1168" s="22" t="s">
        <v>46</v>
      </c>
      <c r="K1168" s="24">
        <v>10</v>
      </c>
      <c r="M1168" s="21">
        <v>45972</v>
      </c>
      <c r="N1168" s="22" t="s">
        <v>70</v>
      </c>
      <c r="O1168" s="22" t="s">
        <v>47</v>
      </c>
      <c r="P1168" s="49">
        <v>72.099999999999994</v>
      </c>
      <c r="Q1168" s="49">
        <v>72.400000000000006</v>
      </c>
      <c r="R1168" s="46">
        <f t="shared" si="40"/>
        <v>-0.30000000000001137</v>
      </c>
      <c r="T1168" s="21">
        <v>45964</v>
      </c>
      <c r="U1168" s="22" t="s">
        <v>50</v>
      </c>
      <c r="V1168" s="24">
        <v>3</v>
      </c>
      <c r="W1168" s="24">
        <v>4</v>
      </c>
      <c r="X1168" s="24">
        <v>5</v>
      </c>
      <c r="Y1168" s="24">
        <v>4</v>
      </c>
      <c r="Z1168" s="20">
        <f t="shared" si="41"/>
        <v>16</v>
      </c>
    </row>
    <row r="1169" spans="1:26" x14ac:dyDescent="0.2">
      <c r="A1169" s="21"/>
      <c r="B1169" s="20"/>
      <c r="C1169" s="22"/>
      <c r="D1169" s="22"/>
      <c r="E1169" s="24"/>
      <c r="F1169" s="22"/>
      <c r="H1169" s="21">
        <v>45938</v>
      </c>
      <c r="I1169" s="22" t="s">
        <v>71</v>
      </c>
      <c r="J1169" s="22" t="s">
        <v>48</v>
      </c>
      <c r="K1169" s="24">
        <v>9</v>
      </c>
      <c r="M1169" s="21">
        <v>45972</v>
      </c>
      <c r="N1169" s="22" t="s">
        <v>70</v>
      </c>
      <c r="O1169" s="22" t="s">
        <v>49</v>
      </c>
      <c r="P1169" s="49">
        <v>77.599999999999994</v>
      </c>
      <c r="Q1169" s="49">
        <v>77.5</v>
      </c>
      <c r="R1169" s="46">
        <f t="shared" si="40"/>
        <v>9.9999999999994316E-2</v>
      </c>
      <c r="T1169" s="21">
        <v>45964</v>
      </c>
      <c r="U1169" s="22" t="s">
        <v>51</v>
      </c>
      <c r="V1169" s="24">
        <v>4</v>
      </c>
      <c r="W1169" s="24">
        <v>5</v>
      </c>
      <c r="X1169" s="24">
        <v>5</v>
      </c>
      <c r="Y1169" s="24">
        <v>5</v>
      </c>
      <c r="Z1169" s="20">
        <f t="shared" si="41"/>
        <v>19</v>
      </c>
    </row>
    <row r="1170" spans="1:26" x14ac:dyDescent="0.2">
      <c r="A1170" s="21"/>
      <c r="B1170" s="20"/>
      <c r="C1170" s="22"/>
      <c r="D1170" s="22"/>
      <c r="E1170" s="24"/>
      <c r="F1170" s="22"/>
      <c r="H1170" s="21">
        <v>45938</v>
      </c>
      <c r="I1170" s="22" t="s">
        <v>71</v>
      </c>
      <c r="J1170" s="22" t="s">
        <v>56</v>
      </c>
      <c r="K1170" s="24">
        <v>8</v>
      </c>
      <c r="M1170" s="21">
        <v>45972</v>
      </c>
      <c r="N1170" s="22" t="s">
        <v>70</v>
      </c>
      <c r="O1170" s="22" t="s">
        <v>50</v>
      </c>
      <c r="P1170" s="49">
        <v>68.2</v>
      </c>
      <c r="Q1170" s="49">
        <v>67.599999999999994</v>
      </c>
      <c r="R1170" s="46">
        <f t="shared" si="40"/>
        <v>0.60000000000000853</v>
      </c>
      <c r="T1170" s="21">
        <v>45964</v>
      </c>
      <c r="U1170" s="22" t="s">
        <v>52</v>
      </c>
      <c r="V1170" s="24">
        <v>4</v>
      </c>
      <c r="W1170" s="24">
        <v>5</v>
      </c>
      <c r="X1170" s="24">
        <v>3</v>
      </c>
      <c r="Y1170" s="24">
        <v>4</v>
      </c>
      <c r="Z1170" s="20">
        <f t="shared" si="41"/>
        <v>16</v>
      </c>
    </row>
    <row r="1171" spans="1:26" x14ac:dyDescent="0.2">
      <c r="A1171" s="21"/>
      <c r="B1171" s="20"/>
      <c r="C1171" s="22"/>
      <c r="D1171" s="22"/>
      <c r="E1171" s="24"/>
      <c r="F1171" s="22"/>
      <c r="H1171" s="21">
        <v>45940</v>
      </c>
      <c r="I1171" s="22" t="s">
        <v>70</v>
      </c>
      <c r="J1171" s="22" t="s">
        <v>52</v>
      </c>
      <c r="K1171" s="24">
        <v>4</v>
      </c>
      <c r="M1171" s="21">
        <v>45972</v>
      </c>
      <c r="N1171" s="22" t="s">
        <v>70</v>
      </c>
      <c r="O1171" s="22" t="s">
        <v>51</v>
      </c>
      <c r="P1171" s="49">
        <v>76.099999999999994</v>
      </c>
      <c r="Q1171" s="49">
        <v>76.2</v>
      </c>
      <c r="R1171" s="46">
        <f t="shared" si="40"/>
        <v>-0.10000000000000853</v>
      </c>
      <c r="T1171" s="21">
        <v>45964</v>
      </c>
      <c r="U1171" s="22" t="s">
        <v>53</v>
      </c>
      <c r="V1171" s="24">
        <v>4</v>
      </c>
      <c r="W1171" s="24">
        <v>4</v>
      </c>
      <c r="X1171" s="24">
        <v>4</v>
      </c>
      <c r="Y1171" s="24">
        <v>5</v>
      </c>
      <c r="Z1171" s="20">
        <f t="shared" si="41"/>
        <v>17</v>
      </c>
    </row>
    <row r="1172" spans="1:26" x14ac:dyDescent="0.2">
      <c r="A1172" s="21"/>
      <c r="B1172" s="20"/>
      <c r="C1172" s="22"/>
      <c r="D1172" s="22"/>
      <c r="E1172" s="24"/>
      <c r="F1172" s="22"/>
      <c r="H1172" s="21">
        <v>45940</v>
      </c>
      <c r="I1172" s="22" t="s">
        <v>70</v>
      </c>
      <c r="J1172" s="22" t="s">
        <v>53</v>
      </c>
      <c r="K1172" s="24">
        <v>2</v>
      </c>
      <c r="M1172" s="21">
        <v>45972</v>
      </c>
      <c r="N1172" s="22" t="s">
        <v>70</v>
      </c>
      <c r="O1172" s="22" t="s">
        <v>52</v>
      </c>
      <c r="P1172" s="49">
        <v>71.7</v>
      </c>
      <c r="Q1172" s="49">
        <v>71.5</v>
      </c>
      <c r="R1172" s="46">
        <f t="shared" si="40"/>
        <v>0.20000000000000284</v>
      </c>
      <c r="T1172" s="21">
        <v>45964</v>
      </c>
      <c r="U1172" s="22" t="s">
        <v>55</v>
      </c>
      <c r="V1172" s="24">
        <v>4</v>
      </c>
      <c r="W1172" s="24">
        <v>4</v>
      </c>
      <c r="X1172" s="24">
        <v>3</v>
      </c>
      <c r="Y1172" s="24">
        <v>5</v>
      </c>
      <c r="Z1172" s="20">
        <f t="shared" si="41"/>
        <v>16</v>
      </c>
    </row>
    <row r="1173" spans="1:26" x14ac:dyDescent="0.2">
      <c r="A1173" s="21"/>
      <c r="B1173" s="20"/>
      <c r="C1173" s="22"/>
      <c r="D1173" s="22"/>
      <c r="E1173" s="24"/>
      <c r="F1173" s="22"/>
      <c r="H1173" s="21">
        <v>45940</v>
      </c>
      <c r="I1173" s="22" t="s">
        <v>70</v>
      </c>
      <c r="J1173" s="22" t="s">
        <v>44</v>
      </c>
      <c r="K1173" s="24">
        <v>2</v>
      </c>
      <c r="M1173" s="21">
        <v>45972</v>
      </c>
      <c r="N1173" s="22" t="s">
        <v>70</v>
      </c>
      <c r="O1173" s="22" t="s">
        <v>53</v>
      </c>
      <c r="P1173" s="49">
        <v>67.3</v>
      </c>
      <c r="Q1173" s="49">
        <v>67</v>
      </c>
      <c r="R1173" s="46">
        <f t="shared" si="40"/>
        <v>0.29999999999999716</v>
      </c>
      <c r="T1173" s="21">
        <v>45964</v>
      </c>
      <c r="U1173" s="22" t="s">
        <v>56</v>
      </c>
      <c r="V1173" s="24">
        <v>4</v>
      </c>
      <c r="W1173" s="24">
        <v>4</v>
      </c>
      <c r="X1173" s="24">
        <v>4</v>
      </c>
      <c r="Y1173" s="24">
        <v>5</v>
      </c>
      <c r="Z1173" s="20">
        <f t="shared" si="41"/>
        <v>17</v>
      </c>
    </row>
    <row r="1174" spans="1:26" x14ac:dyDescent="0.2">
      <c r="A1174" s="21"/>
      <c r="B1174" s="20"/>
      <c r="C1174" s="22"/>
      <c r="D1174" s="22"/>
      <c r="E1174" s="24"/>
      <c r="F1174" s="22"/>
      <c r="H1174" s="21">
        <v>45940</v>
      </c>
      <c r="I1174" s="22" t="s">
        <v>70</v>
      </c>
      <c r="J1174" s="22" t="s">
        <v>45</v>
      </c>
      <c r="K1174" s="24" t="s">
        <v>61</v>
      </c>
      <c r="M1174" s="21">
        <v>45972</v>
      </c>
      <c r="N1174" s="22" t="s">
        <v>70</v>
      </c>
      <c r="O1174" s="22" t="s">
        <v>55</v>
      </c>
      <c r="P1174" s="49">
        <v>75.5</v>
      </c>
      <c r="Q1174" s="49">
        <v>74.599999999999994</v>
      </c>
      <c r="R1174" s="46">
        <f t="shared" si="40"/>
        <v>0.90000000000000568</v>
      </c>
      <c r="T1174" s="21">
        <v>45964</v>
      </c>
      <c r="U1174" s="22" t="s">
        <v>57</v>
      </c>
      <c r="V1174" s="24">
        <v>3</v>
      </c>
      <c r="W1174" s="24">
        <v>4</v>
      </c>
      <c r="X1174" s="24">
        <v>4</v>
      </c>
      <c r="Y1174" s="24">
        <v>4</v>
      </c>
      <c r="Z1174" s="20">
        <f t="shared" si="41"/>
        <v>15</v>
      </c>
    </row>
    <row r="1175" spans="1:26" x14ac:dyDescent="0.2">
      <c r="A1175" s="21"/>
      <c r="B1175" s="20"/>
      <c r="C1175" s="22"/>
      <c r="D1175" s="22"/>
      <c r="E1175" s="24"/>
      <c r="F1175" s="22"/>
      <c r="H1175" s="21">
        <v>45940</v>
      </c>
      <c r="I1175" s="22" t="s">
        <v>70</v>
      </c>
      <c r="J1175" s="22" t="s">
        <v>57</v>
      </c>
      <c r="K1175" s="24">
        <v>6</v>
      </c>
      <c r="M1175" s="21">
        <v>45972</v>
      </c>
      <c r="N1175" s="22" t="s">
        <v>70</v>
      </c>
      <c r="O1175" s="22" t="s">
        <v>56</v>
      </c>
      <c r="P1175" s="49">
        <v>74.7</v>
      </c>
      <c r="Q1175" s="49">
        <v>74.599999999999994</v>
      </c>
      <c r="R1175" s="46">
        <f t="shared" si="40"/>
        <v>0.10000000000000853</v>
      </c>
      <c r="T1175" s="21">
        <v>45964</v>
      </c>
      <c r="U1175" s="22" t="s">
        <v>33</v>
      </c>
      <c r="V1175" s="24">
        <v>3.7333333333333298</v>
      </c>
      <c r="W1175" s="24">
        <v>4.06666666666667</v>
      </c>
      <c r="X1175" s="24">
        <v>4</v>
      </c>
      <c r="Y1175" s="24">
        <v>4.4000000000000004</v>
      </c>
      <c r="Z1175" s="20">
        <f t="shared" si="41"/>
        <v>16.200000000000003</v>
      </c>
    </row>
    <row r="1176" spans="1:26" x14ac:dyDescent="0.2">
      <c r="A1176" s="21"/>
      <c r="B1176" s="20"/>
      <c r="C1176" s="22"/>
      <c r="D1176" s="22"/>
      <c r="E1176" s="24"/>
      <c r="F1176" s="22"/>
      <c r="H1176" s="21">
        <v>45940</v>
      </c>
      <c r="I1176" s="22" t="s">
        <v>70</v>
      </c>
      <c r="J1176" s="22" t="s">
        <v>42</v>
      </c>
      <c r="K1176" s="24">
        <v>5</v>
      </c>
      <c r="M1176" s="21">
        <v>45972</v>
      </c>
      <c r="N1176" s="22" t="s">
        <v>70</v>
      </c>
      <c r="O1176" s="22" t="s">
        <v>57</v>
      </c>
      <c r="P1176" s="49">
        <v>93.5</v>
      </c>
      <c r="Q1176" s="49">
        <v>92.2</v>
      </c>
      <c r="R1176" s="46">
        <f t="shared" si="40"/>
        <v>1.2999999999999972</v>
      </c>
      <c r="T1176" s="21">
        <v>45965</v>
      </c>
      <c r="U1176" s="22" t="s">
        <v>41</v>
      </c>
      <c r="V1176" s="24">
        <v>1</v>
      </c>
      <c r="W1176" s="24">
        <v>1</v>
      </c>
      <c r="X1176" s="24">
        <v>1</v>
      </c>
      <c r="Y1176" s="24">
        <v>1</v>
      </c>
      <c r="Z1176" s="20">
        <f t="shared" si="41"/>
        <v>4</v>
      </c>
    </row>
    <row r="1177" spans="1:26" x14ac:dyDescent="0.2">
      <c r="A1177" s="21"/>
      <c r="B1177" s="20"/>
      <c r="C1177" s="22"/>
      <c r="D1177" s="22"/>
      <c r="E1177" s="24"/>
      <c r="F1177" s="22"/>
      <c r="H1177" s="21">
        <v>45940</v>
      </c>
      <c r="I1177" s="22" t="s">
        <v>70</v>
      </c>
      <c r="J1177" s="22" t="s">
        <v>47</v>
      </c>
      <c r="K1177" s="24">
        <v>3</v>
      </c>
      <c r="M1177" s="21">
        <v>45972</v>
      </c>
      <c r="N1177" s="22" t="s">
        <v>70</v>
      </c>
      <c r="O1177" s="22" t="s">
        <v>58</v>
      </c>
      <c r="P1177" s="49">
        <v>75.900000000000006</v>
      </c>
      <c r="Q1177" s="49">
        <v>76</v>
      </c>
      <c r="R1177" s="46">
        <f t="shared" si="40"/>
        <v>-9.9999999999994316E-2</v>
      </c>
      <c r="T1177" s="21">
        <v>45965</v>
      </c>
      <c r="U1177" s="22" t="s">
        <v>44</v>
      </c>
      <c r="V1177" s="24">
        <v>5</v>
      </c>
      <c r="W1177" s="24">
        <v>5</v>
      </c>
      <c r="X1177" s="24">
        <v>5</v>
      </c>
      <c r="Y1177" s="24">
        <v>5</v>
      </c>
      <c r="Z1177" s="20">
        <f t="shared" si="41"/>
        <v>20</v>
      </c>
    </row>
    <row r="1178" spans="1:26" x14ac:dyDescent="0.2">
      <c r="A1178" s="21"/>
      <c r="B1178" s="20"/>
      <c r="C1178" s="22"/>
      <c r="D1178" s="22"/>
      <c r="E1178" s="24"/>
      <c r="F1178" s="22"/>
      <c r="H1178" s="21">
        <v>45940</v>
      </c>
      <c r="I1178" s="22" t="s">
        <v>70</v>
      </c>
      <c r="J1178" s="22" t="s">
        <v>41</v>
      </c>
      <c r="K1178" s="24">
        <v>6</v>
      </c>
      <c r="M1178" s="21">
        <v>45973</v>
      </c>
      <c r="N1178" s="22" t="s">
        <v>70</v>
      </c>
      <c r="O1178" s="22" t="s">
        <v>42</v>
      </c>
      <c r="P1178" s="49">
        <v>79.400000000000006</v>
      </c>
      <c r="Q1178" s="49">
        <v>78.7</v>
      </c>
      <c r="R1178" s="46">
        <f t="shared" si="40"/>
        <v>0.70000000000000284</v>
      </c>
      <c r="T1178" s="21">
        <v>45965</v>
      </c>
      <c r="U1178" s="22" t="s">
        <v>45</v>
      </c>
      <c r="V1178" s="24">
        <v>5</v>
      </c>
      <c r="W1178" s="24">
        <v>4</v>
      </c>
      <c r="X1178" s="24">
        <v>4</v>
      </c>
      <c r="Y1178" s="24">
        <v>5</v>
      </c>
      <c r="Z1178" s="20">
        <f t="shared" si="41"/>
        <v>18</v>
      </c>
    </row>
    <row r="1179" spans="1:26" x14ac:dyDescent="0.2">
      <c r="A1179" s="21"/>
      <c r="B1179" s="20"/>
      <c r="C1179" s="22"/>
      <c r="D1179" s="22"/>
      <c r="E1179" s="24"/>
      <c r="F1179" s="22"/>
      <c r="H1179" s="21">
        <v>45940</v>
      </c>
      <c r="I1179" s="22" t="s">
        <v>70</v>
      </c>
      <c r="J1179" s="22" t="s">
        <v>49</v>
      </c>
      <c r="K1179" s="24">
        <v>4</v>
      </c>
      <c r="M1179" s="21">
        <v>45973</v>
      </c>
      <c r="N1179" s="22" t="s">
        <v>70</v>
      </c>
      <c r="O1179" s="22" t="s">
        <v>43</v>
      </c>
      <c r="P1179" s="49">
        <v>69.099999999999994</v>
      </c>
      <c r="Q1179" s="49">
        <v>68.5</v>
      </c>
      <c r="R1179" s="46">
        <f t="shared" si="40"/>
        <v>0.59999999999999432</v>
      </c>
      <c r="T1179" s="21">
        <v>45965</v>
      </c>
      <c r="U1179" s="22" t="s">
        <v>46</v>
      </c>
      <c r="V1179" s="24">
        <v>5</v>
      </c>
      <c r="W1179" s="24">
        <v>4</v>
      </c>
      <c r="X1179" s="24">
        <v>4</v>
      </c>
      <c r="Y1179" s="24">
        <v>5</v>
      </c>
      <c r="Z1179" s="20">
        <f t="shared" si="41"/>
        <v>18</v>
      </c>
    </row>
    <row r="1180" spans="1:26" x14ac:dyDescent="0.2">
      <c r="A1180" s="21"/>
      <c r="B1180" s="20"/>
      <c r="C1180" s="22"/>
      <c r="D1180" s="22"/>
      <c r="E1180" s="24"/>
      <c r="F1180" s="22"/>
      <c r="H1180" s="21">
        <v>45940</v>
      </c>
      <c r="I1180" s="22" t="s">
        <v>70</v>
      </c>
      <c r="J1180" s="22" t="s">
        <v>50</v>
      </c>
      <c r="K1180" s="24">
        <v>3</v>
      </c>
      <c r="M1180" s="21">
        <v>45973</v>
      </c>
      <c r="N1180" s="22" t="s">
        <v>70</v>
      </c>
      <c r="O1180" s="22" t="s">
        <v>44</v>
      </c>
      <c r="P1180" s="49">
        <v>81.599999999999994</v>
      </c>
      <c r="Q1180" s="49">
        <v>81.2</v>
      </c>
      <c r="R1180" s="46">
        <f t="shared" si="40"/>
        <v>0.39999999999999147</v>
      </c>
      <c r="T1180" s="21">
        <v>45965</v>
      </c>
      <c r="U1180" s="22" t="s">
        <v>47</v>
      </c>
      <c r="V1180" s="24">
        <v>5</v>
      </c>
      <c r="W1180" s="24">
        <v>5</v>
      </c>
      <c r="X1180" s="24">
        <v>5</v>
      </c>
      <c r="Y1180" s="24">
        <v>5</v>
      </c>
      <c r="Z1180" s="20">
        <f t="shared" si="41"/>
        <v>20</v>
      </c>
    </row>
    <row r="1181" spans="1:26" x14ac:dyDescent="0.2">
      <c r="A1181" s="21"/>
      <c r="B1181" s="20"/>
      <c r="C1181" s="22"/>
      <c r="D1181" s="22"/>
      <c r="E1181" s="24"/>
      <c r="F1181" s="22"/>
      <c r="H1181" s="21">
        <v>45940</v>
      </c>
      <c r="I1181" s="22" t="s">
        <v>70</v>
      </c>
      <c r="J1181" s="22" t="s">
        <v>51</v>
      </c>
      <c r="K1181" s="24">
        <v>3</v>
      </c>
      <c r="M1181" s="21">
        <v>45973</v>
      </c>
      <c r="N1181" s="22" t="s">
        <v>70</v>
      </c>
      <c r="O1181" s="22" t="s">
        <v>45</v>
      </c>
      <c r="P1181" s="49">
        <v>71.599999999999994</v>
      </c>
      <c r="Q1181" s="49">
        <v>71.3</v>
      </c>
      <c r="R1181" s="46">
        <f t="shared" si="40"/>
        <v>0.29999999999999716</v>
      </c>
      <c r="T1181" s="21">
        <v>45965</v>
      </c>
      <c r="U1181" s="22" t="s">
        <v>48</v>
      </c>
      <c r="V1181" s="24">
        <v>5</v>
      </c>
      <c r="W1181" s="24">
        <v>4</v>
      </c>
      <c r="X1181" s="24">
        <v>4</v>
      </c>
      <c r="Y1181" s="24">
        <v>5</v>
      </c>
      <c r="Z1181" s="20">
        <f t="shared" si="41"/>
        <v>18</v>
      </c>
    </row>
    <row r="1182" spans="1:26" x14ac:dyDescent="0.2">
      <c r="A1182" s="21"/>
      <c r="B1182" s="20"/>
      <c r="C1182" s="22"/>
      <c r="D1182" s="22"/>
      <c r="E1182" s="24"/>
      <c r="F1182" s="22"/>
      <c r="H1182" s="21">
        <v>45940</v>
      </c>
      <c r="I1182" s="22" t="s">
        <v>70</v>
      </c>
      <c r="J1182" s="22" t="s">
        <v>46</v>
      </c>
      <c r="K1182" s="24">
        <v>5</v>
      </c>
      <c r="M1182" s="21">
        <v>45973</v>
      </c>
      <c r="N1182" s="22" t="s">
        <v>70</v>
      </c>
      <c r="O1182" s="22" t="s">
        <v>47</v>
      </c>
      <c r="P1182" s="49">
        <v>76.7</v>
      </c>
      <c r="Q1182" s="49">
        <v>76.7</v>
      </c>
      <c r="R1182" s="46">
        <f t="shared" si="40"/>
        <v>0</v>
      </c>
      <c r="T1182" s="21">
        <v>45965</v>
      </c>
      <c r="U1182" s="22" t="s">
        <v>49</v>
      </c>
      <c r="V1182" s="24">
        <v>4</v>
      </c>
      <c r="W1182" s="24">
        <v>4</v>
      </c>
      <c r="X1182" s="24">
        <v>4</v>
      </c>
      <c r="Y1182" s="24">
        <v>4</v>
      </c>
      <c r="Z1182" s="20">
        <f t="shared" si="41"/>
        <v>16</v>
      </c>
    </row>
    <row r="1183" spans="1:26" x14ac:dyDescent="0.2">
      <c r="A1183" s="21"/>
      <c r="B1183" s="20"/>
      <c r="C1183" s="22"/>
      <c r="D1183" s="22"/>
      <c r="E1183" s="24"/>
      <c r="F1183" s="22"/>
      <c r="H1183" s="21">
        <v>45940</v>
      </c>
      <c r="I1183" s="22" t="s">
        <v>70</v>
      </c>
      <c r="J1183" s="22" t="s">
        <v>48</v>
      </c>
      <c r="K1183" s="24">
        <v>3</v>
      </c>
      <c r="M1183" s="21">
        <v>45973</v>
      </c>
      <c r="N1183" s="22" t="s">
        <v>70</v>
      </c>
      <c r="O1183" s="22" t="s">
        <v>48</v>
      </c>
      <c r="P1183" s="49">
        <v>68.3</v>
      </c>
      <c r="Q1183" s="49">
        <v>67.900000000000006</v>
      </c>
      <c r="R1183" s="46">
        <f t="shared" si="40"/>
        <v>0.39999999999999147</v>
      </c>
      <c r="T1183" s="21">
        <v>45965</v>
      </c>
      <c r="U1183" s="22" t="s">
        <v>50</v>
      </c>
      <c r="V1183" s="24">
        <v>3</v>
      </c>
      <c r="W1183" s="24">
        <v>4</v>
      </c>
      <c r="X1183" s="24">
        <v>5</v>
      </c>
      <c r="Y1183" s="24">
        <v>5</v>
      </c>
      <c r="Z1183" s="20">
        <f t="shared" si="41"/>
        <v>17</v>
      </c>
    </row>
    <row r="1184" spans="1:26" x14ac:dyDescent="0.2">
      <c r="A1184" s="21"/>
      <c r="B1184" s="20"/>
      <c r="C1184" s="22"/>
      <c r="D1184" s="22"/>
      <c r="E1184" s="24"/>
      <c r="F1184" s="22"/>
      <c r="H1184" s="21">
        <v>45940</v>
      </c>
      <c r="I1184" s="22" t="s">
        <v>70</v>
      </c>
      <c r="J1184" s="22" t="s">
        <v>56</v>
      </c>
      <c r="K1184" s="24">
        <v>4</v>
      </c>
      <c r="M1184" s="21">
        <v>45973</v>
      </c>
      <c r="N1184" s="22" t="s">
        <v>70</v>
      </c>
      <c r="O1184" s="22" t="s">
        <v>49</v>
      </c>
      <c r="P1184" s="49">
        <v>75.8</v>
      </c>
      <c r="Q1184" s="49">
        <v>75.900000000000006</v>
      </c>
      <c r="R1184" s="46">
        <f t="shared" si="40"/>
        <v>-0.10000000000000853</v>
      </c>
      <c r="T1184" s="21">
        <v>45965</v>
      </c>
      <c r="U1184" s="22" t="s">
        <v>51</v>
      </c>
      <c r="V1184" s="24">
        <v>4</v>
      </c>
      <c r="W1184" s="24">
        <v>4</v>
      </c>
      <c r="X1184" s="24">
        <v>5</v>
      </c>
      <c r="Y1184" s="24">
        <v>5</v>
      </c>
      <c r="Z1184" s="20">
        <f t="shared" si="41"/>
        <v>18</v>
      </c>
    </row>
    <row r="1185" spans="1:26" x14ac:dyDescent="0.2">
      <c r="A1185" s="21"/>
      <c r="B1185" s="20"/>
      <c r="C1185" s="22"/>
      <c r="D1185" s="22"/>
      <c r="E1185" s="24"/>
      <c r="F1185" s="22"/>
      <c r="H1185" s="21">
        <v>45941</v>
      </c>
      <c r="I1185" s="22" t="s">
        <v>70</v>
      </c>
      <c r="J1185" s="22" t="s">
        <v>52</v>
      </c>
      <c r="K1185" s="24">
        <v>3</v>
      </c>
      <c r="M1185" s="21">
        <v>45973</v>
      </c>
      <c r="N1185" s="22" t="s">
        <v>70</v>
      </c>
      <c r="O1185" s="22" t="s">
        <v>50</v>
      </c>
      <c r="P1185" s="49">
        <v>70.5</v>
      </c>
      <c r="Q1185" s="49">
        <v>70.7</v>
      </c>
      <c r="R1185" s="46">
        <f t="shared" si="40"/>
        <v>-0.20000000000000284</v>
      </c>
      <c r="T1185" s="21">
        <v>45965</v>
      </c>
      <c r="U1185" s="22" t="s">
        <v>52</v>
      </c>
      <c r="V1185" s="24">
        <v>5</v>
      </c>
      <c r="W1185" s="24">
        <v>5</v>
      </c>
      <c r="X1185" s="24">
        <v>5</v>
      </c>
      <c r="Y1185" s="24">
        <v>5</v>
      </c>
      <c r="Z1185" s="20">
        <f t="shared" si="41"/>
        <v>20</v>
      </c>
    </row>
    <row r="1186" spans="1:26" x14ac:dyDescent="0.2">
      <c r="A1186" s="21"/>
      <c r="B1186" s="20"/>
      <c r="C1186" s="22"/>
      <c r="D1186" s="22"/>
      <c r="E1186" s="24"/>
      <c r="F1186" s="22"/>
      <c r="H1186" s="21">
        <v>45941</v>
      </c>
      <c r="I1186" s="22" t="s">
        <v>70</v>
      </c>
      <c r="J1186" s="22" t="s">
        <v>53</v>
      </c>
      <c r="K1186" s="24">
        <v>3</v>
      </c>
      <c r="M1186" s="21">
        <v>45973</v>
      </c>
      <c r="N1186" s="22" t="s">
        <v>70</v>
      </c>
      <c r="O1186" s="22" t="s">
        <v>51</v>
      </c>
      <c r="P1186" s="49">
        <v>75.8</v>
      </c>
      <c r="Q1186" s="49">
        <v>75.8</v>
      </c>
      <c r="R1186" s="46">
        <f t="shared" si="40"/>
        <v>0</v>
      </c>
      <c r="T1186" s="21">
        <v>45965</v>
      </c>
      <c r="U1186" s="22" t="s">
        <v>53</v>
      </c>
      <c r="V1186" s="24">
        <v>4</v>
      </c>
      <c r="W1186" s="24">
        <v>4</v>
      </c>
      <c r="X1186" s="24">
        <v>4</v>
      </c>
      <c r="Y1186" s="24">
        <v>5</v>
      </c>
      <c r="Z1186" s="20">
        <f t="shared" si="41"/>
        <v>17</v>
      </c>
    </row>
    <row r="1187" spans="1:26" x14ac:dyDescent="0.2">
      <c r="A1187" s="21"/>
      <c r="B1187" s="20"/>
      <c r="C1187" s="22"/>
      <c r="D1187" s="22"/>
      <c r="E1187" s="24"/>
      <c r="F1187" s="22"/>
      <c r="H1187" s="21">
        <v>45941</v>
      </c>
      <c r="I1187" s="22" t="s">
        <v>70</v>
      </c>
      <c r="J1187" s="22" t="s">
        <v>44</v>
      </c>
      <c r="K1187" s="24">
        <v>1</v>
      </c>
      <c r="M1187" s="21">
        <v>45973</v>
      </c>
      <c r="N1187" s="22" t="s">
        <v>70</v>
      </c>
      <c r="O1187" s="22" t="s">
        <v>52</v>
      </c>
      <c r="P1187" s="49">
        <v>70.5</v>
      </c>
      <c r="Q1187" s="49">
        <v>70.7</v>
      </c>
      <c r="R1187" s="46">
        <f t="shared" si="40"/>
        <v>-0.20000000000000284</v>
      </c>
      <c r="T1187" s="21">
        <v>45965</v>
      </c>
      <c r="U1187" s="22" t="s">
        <v>56</v>
      </c>
      <c r="V1187" s="24">
        <v>4</v>
      </c>
      <c r="W1187" s="24">
        <v>4</v>
      </c>
      <c r="X1187" s="24">
        <v>3</v>
      </c>
      <c r="Y1187" s="24">
        <v>5</v>
      </c>
      <c r="Z1187" s="20">
        <f t="shared" si="41"/>
        <v>16</v>
      </c>
    </row>
    <row r="1188" spans="1:26" x14ac:dyDescent="0.2">
      <c r="A1188" s="21"/>
      <c r="B1188" s="20"/>
      <c r="C1188" s="22"/>
      <c r="D1188" s="22"/>
      <c r="E1188" s="24"/>
      <c r="F1188" s="22"/>
      <c r="H1188" s="21">
        <v>45941</v>
      </c>
      <c r="I1188" s="22" t="s">
        <v>70</v>
      </c>
      <c r="J1188" s="22" t="s">
        <v>45</v>
      </c>
      <c r="K1188" s="24">
        <v>1</v>
      </c>
      <c r="M1188" s="21">
        <v>45973</v>
      </c>
      <c r="N1188" s="22" t="s">
        <v>70</v>
      </c>
      <c r="O1188" s="22" t="s">
        <v>53</v>
      </c>
      <c r="P1188" s="49">
        <v>68</v>
      </c>
      <c r="Q1188" s="49">
        <v>67</v>
      </c>
      <c r="R1188" s="46">
        <f t="shared" si="40"/>
        <v>1</v>
      </c>
      <c r="T1188" s="21">
        <v>45965</v>
      </c>
      <c r="U1188" s="22" t="s">
        <v>57</v>
      </c>
      <c r="V1188" s="24">
        <v>4</v>
      </c>
      <c r="W1188" s="24">
        <v>4</v>
      </c>
      <c r="X1188" s="24">
        <v>4</v>
      </c>
      <c r="Y1188" s="24">
        <v>5</v>
      </c>
      <c r="Z1188" s="20">
        <f t="shared" si="41"/>
        <v>17</v>
      </c>
    </row>
    <row r="1189" spans="1:26" x14ac:dyDescent="0.2">
      <c r="A1189" s="21"/>
      <c r="B1189" s="20"/>
      <c r="C1189" s="22"/>
      <c r="D1189" s="22"/>
      <c r="E1189" s="24"/>
      <c r="F1189" s="22"/>
      <c r="H1189" s="21">
        <v>45941</v>
      </c>
      <c r="I1189" s="22" t="s">
        <v>70</v>
      </c>
      <c r="J1189" s="22" t="s">
        <v>57</v>
      </c>
      <c r="K1189" s="24">
        <v>1</v>
      </c>
      <c r="M1189" s="21">
        <v>45973</v>
      </c>
      <c r="N1189" s="22" t="s">
        <v>70</v>
      </c>
      <c r="O1189" s="22" t="s">
        <v>55</v>
      </c>
      <c r="P1189" s="49">
        <v>75.599999999999994</v>
      </c>
      <c r="Q1189" s="49">
        <v>74.7</v>
      </c>
      <c r="R1189" s="46">
        <f t="shared" si="40"/>
        <v>0.89999999999999147</v>
      </c>
      <c r="T1189" s="21">
        <v>45965</v>
      </c>
      <c r="U1189" s="22" t="s">
        <v>58</v>
      </c>
      <c r="V1189" s="24">
        <v>5</v>
      </c>
      <c r="W1189" s="24">
        <v>4</v>
      </c>
      <c r="X1189" s="24">
        <v>5</v>
      </c>
      <c r="Y1189" s="24">
        <v>5</v>
      </c>
      <c r="Z1189" s="20">
        <f t="shared" si="41"/>
        <v>19</v>
      </c>
    </row>
    <row r="1190" spans="1:26" x14ac:dyDescent="0.2">
      <c r="A1190" s="21"/>
      <c r="B1190" s="20"/>
      <c r="C1190" s="22"/>
      <c r="D1190" s="22"/>
      <c r="E1190" s="24"/>
      <c r="F1190" s="22"/>
      <c r="H1190" s="21">
        <v>45941</v>
      </c>
      <c r="I1190" s="22" t="s">
        <v>70</v>
      </c>
      <c r="J1190" s="22" t="s">
        <v>42</v>
      </c>
      <c r="K1190" s="24">
        <v>2</v>
      </c>
      <c r="M1190" s="21">
        <v>45973</v>
      </c>
      <c r="N1190" s="22" t="s">
        <v>70</v>
      </c>
      <c r="O1190" s="22" t="s">
        <v>57</v>
      </c>
      <c r="P1190" s="49">
        <v>93.3</v>
      </c>
      <c r="Q1190" s="49">
        <v>91.6</v>
      </c>
      <c r="R1190" s="46">
        <f t="shared" si="40"/>
        <v>1.7000000000000028</v>
      </c>
      <c r="T1190" s="21">
        <v>45965</v>
      </c>
      <c r="U1190" s="22" t="s">
        <v>33</v>
      </c>
      <c r="V1190" s="24">
        <v>4.21428571428571</v>
      </c>
      <c r="W1190" s="24">
        <v>4</v>
      </c>
      <c r="X1190" s="24">
        <v>4.1428571428571397</v>
      </c>
      <c r="Y1190" s="24">
        <v>4.6428571428571397</v>
      </c>
      <c r="Z1190" s="20">
        <f t="shared" si="41"/>
        <v>16.999999999999989</v>
      </c>
    </row>
    <row r="1191" spans="1:26" x14ac:dyDescent="0.2">
      <c r="A1191" s="21"/>
      <c r="B1191" s="20"/>
      <c r="C1191" s="22"/>
      <c r="D1191" s="22"/>
      <c r="E1191" s="24"/>
      <c r="F1191" s="22"/>
      <c r="H1191" s="21">
        <v>45941</v>
      </c>
      <c r="I1191" s="22" t="s">
        <v>70</v>
      </c>
      <c r="J1191" s="22" t="s">
        <v>47</v>
      </c>
      <c r="K1191" s="24">
        <v>3</v>
      </c>
      <c r="M1191" s="21">
        <v>45973</v>
      </c>
      <c r="N1191" s="22" t="s">
        <v>70</v>
      </c>
      <c r="O1191" s="22" t="s">
        <v>58</v>
      </c>
      <c r="P1191" s="49">
        <v>70.2</v>
      </c>
      <c r="Q1191" s="49">
        <v>76.099999999999994</v>
      </c>
      <c r="R1191" s="46">
        <f t="shared" si="40"/>
        <v>-5.8999999999999915</v>
      </c>
      <c r="T1191" s="21">
        <v>45966</v>
      </c>
      <c r="U1191" s="22" t="s">
        <v>41</v>
      </c>
      <c r="V1191" s="24">
        <v>1</v>
      </c>
      <c r="W1191" s="24">
        <v>1</v>
      </c>
      <c r="X1191" s="24">
        <v>1</v>
      </c>
      <c r="Y1191" s="24">
        <v>1</v>
      </c>
      <c r="Z1191" s="20">
        <f t="shared" si="41"/>
        <v>4</v>
      </c>
    </row>
    <row r="1192" spans="1:26" x14ac:dyDescent="0.2">
      <c r="A1192" s="21"/>
      <c r="B1192" s="20"/>
      <c r="C1192" s="22"/>
      <c r="D1192" s="22"/>
      <c r="E1192" s="24"/>
      <c r="F1192" s="22"/>
      <c r="H1192" s="21">
        <v>45941</v>
      </c>
      <c r="I1192" s="22" t="s">
        <v>70</v>
      </c>
      <c r="J1192" s="22" t="s">
        <v>41</v>
      </c>
      <c r="K1192" s="24">
        <v>1</v>
      </c>
      <c r="M1192" s="21">
        <v>45974</v>
      </c>
      <c r="N1192" s="22" t="s">
        <v>70</v>
      </c>
      <c r="O1192" s="22" t="s">
        <v>41</v>
      </c>
      <c r="P1192" s="49">
        <v>77</v>
      </c>
      <c r="Q1192" s="49">
        <v>76.8</v>
      </c>
      <c r="R1192" s="46">
        <f t="shared" si="40"/>
        <v>0.20000000000000284</v>
      </c>
      <c r="T1192" s="21">
        <v>45966</v>
      </c>
      <c r="U1192" s="22" t="s">
        <v>44</v>
      </c>
      <c r="V1192" s="24">
        <v>3</v>
      </c>
      <c r="W1192" s="24">
        <v>4</v>
      </c>
      <c r="X1192" s="24">
        <v>4</v>
      </c>
      <c r="Y1192" s="24">
        <v>5</v>
      </c>
      <c r="Z1192" s="20">
        <f t="shared" si="41"/>
        <v>16</v>
      </c>
    </row>
    <row r="1193" spans="1:26" x14ac:dyDescent="0.2">
      <c r="A1193" s="21"/>
      <c r="B1193" s="20"/>
      <c r="C1193" s="22"/>
      <c r="D1193" s="22"/>
      <c r="E1193" s="24"/>
      <c r="F1193" s="22"/>
      <c r="H1193" s="21">
        <v>45941</v>
      </c>
      <c r="I1193" s="22" t="s">
        <v>70</v>
      </c>
      <c r="J1193" s="22" t="s">
        <v>49</v>
      </c>
      <c r="K1193" s="24">
        <v>3</v>
      </c>
      <c r="M1193" s="21">
        <v>45974</v>
      </c>
      <c r="N1193" s="22" t="s">
        <v>70</v>
      </c>
      <c r="O1193" s="22" t="s">
        <v>42</v>
      </c>
      <c r="P1193" s="49">
        <v>79.599999999999994</v>
      </c>
      <c r="Q1193" s="49">
        <v>78.8</v>
      </c>
      <c r="R1193" s="46">
        <f t="shared" si="40"/>
        <v>0.79999999999999716</v>
      </c>
      <c r="T1193" s="21">
        <v>45966</v>
      </c>
      <c r="U1193" s="22" t="s">
        <v>45</v>
      </c>
      <c r="V1193" s="24">
        <v>3</v>
      </c>
      <c r="W1193" s="24">
        <v>4</v>
      </c>
      <c r="X1193" s="24">
        <v>5</v>
      </c>
      <c r="Y1193" s="24">
        <v>5</v>
      </c>
      <c r="Z1193" s="20">
        <f t="shared" si="41"/>
        <v>17</v>
      </c>
    </row>
    <row r="1194" spans="1:26" x14ac:dyDescent="0.2">
      <c r="A1194" s="21"/>
      <c r="B1194" s="20"/>
      <c r="C1194" s="22"/>
      <c r="D1194" s="22"/>
      <c r="E1194" s="24"/>
      <c r="F1194" s="22"/>
      <c r="H1194" s="21">
        <v>45941</v>
      </c>
      <c r="I1194" s="22" t="s">
        <v>70</v>
      </c>
      <c r="J1194" s="22" t="s">
        <v>50</v>
      </c>
      <c r="K1194" s="24">
        <v>2</v>
      </c>
      <c r="M1194" s="21">
        <v>45974</v>
      </c>
      <c r="N1194" s="22" t="s">
        <v>70</v>
      </c>
      <c r="O1194" s="22" t="s">
        <v>44</v>
      </c>
      <c r="P1194" s="49">
        <v>68.099999999999994</v>
      </c>
      <c r="Q1194" s="49">
        <v>67.900000000000006</v>
      </c>
      <c r="R1194" s="46">
        <f t="shared" si="40"/>
        <v>0.19999999999998863</v>
      </c>
      <c r="T1194" s="21">
        <v>45966</v>
      </c>
      <c r="U1194" s="22" t="s">
        <v>46</v>
      </c>
      <c r="V1194" s="24">
        <v>5</v>
      </c>
      <c r="W1194" s="24">
        <v>5</v>
      </c>
      <c r="X1194" s="24">
        <v>3</v>
      </c>
      <c r="Y1194" s="24">
        <v>4</v>
      </c>
      <c r="Z1194" s="20">
        <f t="shared" si="41"/>
        <v>17</v>
      </c>
    </row>
    <row r="1195" spans="1:26" x14ac:dyDescent="0.2">
      <c r="A1195" s="21"/>
      <c r="B1195" s="20"/>
      <c r="C1195" s="22"/>
      <c r="D1195" s="22"/>
      <c r="E1195" s="24"/>
      <c r="F1195" s="22"/>
      <c r="H1195" s="21">
        <v>45941</v>
      </c>
      <c r="I1195" s="22" t="s">
        <v>70</v>
      </c>
      <c r="J1195" s="22" t="s">
        <v>51</v>
      </c>
      <c r="K1195" s="24">
        <v>2</v>
      </c>
      <c r="M1195" s="21">
        <v>45974</v>
      </c>
      <c r="N1195" s="22" t="s">
        <v>70</v>
      </c>
      <c r="O1195" s="22" t="s">
        <v>45</v>
      </c>
      <c r="P1195" s="49">
        <v>68.599999999999994</v>
      </c>
      <c r="Q1195" s="49">
        <v>68.3</v>
      </c>
      <c r="R1195" s="46">
        <f t="shared" si="40"/>
        <v>0.29999999999999716</v>
      </c>
      <c r="T1195" s="21">
        <v>45966</v>
      </c>
      <c r="U1195" s="22" t="s">
        <v>47</v>
      </c>
      <c r="V1195" s="24">
        <v>3</v>
      </c>
      <c r="W1195" s="24">
        <v>4</v>
      </c>
      <c r="X1195" s="24">
        <v>4</v>
      </c>
      <c r="Y1195" s="24">
        <v>5</v>
      </c>
      <c r="Z1195" s="20">
        <f t="shared" si="41"/>
        <v>16</v>
      </c>
    </row>
    <row r="1196" spans="1:26" x14ac:dyDescent="0.2">
      <c r="A1196" s="21"/>
      <c r="B1196" s="20"/>
      <c r="C1196" s="22"/>
      <c r="D1196" s="22"/>
      <c r="E1196" s="24"/>
      <c r="F1196" s="22"/>
      <c r="H1196" s="21">
        <v>45941</v>
      </c>
      <c r="I1196" s="22" t="s">
        <v>70</v>
      </c>
      <c r="J1196" s="22" t="s">
        <v>46</v>
      </c>
      <c r="K1196" s="24">
        <v>4</v>
      </c>
      <c r="M1196" s="21">
        <v>45974</v>
      </c>
      <c r="N1196" s="22" t="s">
        <v>70</v>
      </c>
      <c r="O1196" s="22" t="s">
        <v>46</v>
      </c>
      <c r="P1196" s="49">
        <v>81.5</v>
      </c>
      <c r="Q1196" s="49">
        <v>81.5</v>
      </c>
      <c r="R1196" s="46">
        <f t="shared" si="40"/>
        <v>0</v>
      </c>
      <c r="T1196" s="21">
        <v>45966</v>
      </c>
      <c r="U1196" s="22" t="s">
        <v>48</v>
      </c>
      <c r="V1196" s="24">
        <v>3</v>
      </c>
      <c r="W1196" s="24">
        <v>4</v>
      </c>
      <c r="X1196" s="24">
        <v>4</v>
      </c>
      <c r="Y1196" s="24">
        <v>5</v>
      </c>
      <c r="Z1196" s="20">
        <f t="shared" si="41"/>
        <v>16</v>
      </c>
    </row>
    <row r="1197" spans="1:26" x14ac:dyDescent="0.2">
      <c r="A1197" s="21"/>
      <c r="B1197" s="20"/>
      <c r="C1197" s="22"/>
      <c r="D1197" s="22"/>
      <c r="E1197" s="24"/>
      <c r="F1197" s="22"/>
      <c r="H1197" s="21">
        <v>45941</v>
      </c>
      <c r="I1197" s="22" t="s">
        <v>70</v>
      </c>
      <c r="J1197" s="22" t="s">
        <v>48</v>
      </c>
      <c r="K1197" s="24">
        <v>2</v>
      </c>
      <c r="M1197" s="21">
        <v>45974</v>
      </c>
      <c r="N1197" s="22" t="s">
        <v>70</v>
      </c>
      <c r="O1197" s="22" t="s">
        <v>47</v>
      </c>
      <c r="P1197" s="49">
        <v>71.7</v>
      </c>
      <c r="Q1197" s="49">
        <v>71</v>
      </c>
      <c r="R1197" s="46">
        <f t="shared" si="40"/>
        <v>0.70000000000000284</v>
      </c>
      <c r="T1197" s="21">
        <v>45966</v>
      </c>
      <c r="U1197" s="22" t="s">
        <v>49</v>
      </c>
      <c r="V1197" s="24">
        <v>4</v>
      </c>
      <c r="W1197" s="24">
        <v>4</v>
      </c>
      <c r="X1197" s="24">
        <v>4</v>
      </c>
      <c r="Y1197" s="24">
        <v>4</v>
      </c>
      <c r="Z1197" s="20">
        <f t="shared" si="41"/>
        <v>16</v>
      </c>
    </row>
    <row r="1198" spans="1:26" x14ac:dyDescent="0.2">
      <c r="A1198" s="21"/>
      <c r="B1198" s="20"/>
      <c r="C1198" s="22"/>
      <c r="D1198" s="22"/>
      <c r="E1198" s="24"/>
      <c r="F1198" s="22"/>
      <c r="H1198" s="21">
        <v>45941</v>
      </c>
      <c r="I1198" s="22" t="s">
        <v>70</v>
      </c>
      <c r="J1198" s="22" t="s">
        <v>56</v>
      </c>
      <c r="K1198" s="24">
        <v>3</v>
      </c>
      <c r="M1198" s="21">
        <v>45974</v>
      </c>
      <c r="N1198" s="22" t="s">
        <v>70</v>
      </c>
      <c r="O1198" s="22" t="s">
        <v>48</v>
      </c>
      <c r="P1198" s="49">
        <v>81.8</v>
      </c>
      <c r="Q1198" s="49">
        <v>80.5</v>
      </c>
      <c r="R1198" s="46">
        <f t="shared" si="40"/>
        <v>1.2999999999999972</v>
      </c>
      <c r="T1198" s="21">
        <v>45966</v>
      </c>
      <c r="U1198" s="22" t="s">
        <v>50</v>
      </c>
      <c r="V1198" s="24">
        <v>2</v>
      </c>
      <c r="W1198" s="24">
        <v>3</v>
      </c>
      <c r="X1198" s="24">
        <v>4</v>
      </c>
      <c r="Y1198" s="24">
        <v>4</v>
      </c>
      <c r="Z1198" s="20">
        <f t="shared" si="41"/>
        <v>13</v>
      </c>
    </row>
    <row r="1199" spans="1:26" x14ac:dyDescent="0.2">
      <c r="A1199" s="21"/>
      <c r="B1199" s="20"/>
      <c r="C1199" s="22"/>
      <c r="D1199" s="22"/>
      <c r="E1199" s="24"/>
      <c r="F1199" s="22"/>
      <c r="H1199" s="21">
        <v>45942</v>
      </c>
      <c r="I1199" s="22" t="s">
        <v>70</v>
      </c>
      <c r="J1199" s="22" t="s">
        <v>52</v>
      </c>
      <c r="K1199" s="24" t="s">
        <v>63</v>
      </c>
      <c r="M1199" s="21">
        <v>45974</v>
      </c>
      <c r="N1199" s="22" t="s">
        <v>70</v>
      </c>
      <c r="O1199" s="22" t="s">
        <v>49</v>
      </c>
      <c r="P1199" s="49">
        <v>77.3</v>
      </c>
      <c r="Q1199" s="49">
        <v>77.3</v>
      </c>
      <c r="R1199" s="46">
        <f t="shared" si="40"/>
        <v>0</v>
      </c>
      <c r="T1199" s="21">
        <v>45966</v>
      </c>
      <c r="U1199" s="22" t="s">
        <v>51</v>
      </c>
      <c r="V1199" s="24">
        <v>3</v>
      </c>
      <c r="W1199" s="24">
        <v>3</v>
      </c>
      <c r="X1199" s="24">
        <v>4</v>
      </c>
      <c r="Y1199" s="24">
        <v>5</v>
      </c>
      <c r="Z1199" s="20">
        <f t="shared" si="41"/>
        <v>15</v>
      </c>
    </row>
    <row r="1200" spans="1:26" x14ac:dyDescent="0.2">
      <c r="A1200" s="21"/>
      <c r="B1200" s="20"/>
      <c r="C1200" s="22"/>
      <c r="D1200" s="22"/>
      <c r="E1200" s="24"/>
      <c r="F1200" s="22"/>
      <c r="H1200" s="21">
        <v>45942</v>
      </c>
      <c r="I1200" s="22" t="s">
        <v>70</v>
      </c>
      <c r="J1200" s="22" t="s">
        <v>53</v>
      </c>
      <c r="K1200" s="24" t="s">
        <v>63</v>
      </c>
      <c r="M1200" s="21">
        <v>45974</v>
      </c>
      <c r="N1200" s="22" t="s">
        <v>70</v>
      </c>
      <c r="O1200" s="22" t="s">
        <v>50</v>
      </c>
      <c r="P1200" s="49">
        <v>68.3</v>
      </c>
      <c r="Q1200" s="49">
        <v>68.2</v>
      </c>
      <c r="R1200" s="46">
        <f t="shared" si="40"/>
        <v>9.9999999999994316E-2</v>
      </c>
      <c r="T1200" s="21">
        <v>45966</v>
      </c>
      <c r="U1200" s="22" t="s">
        <v>52</v>
      </c>
      <c r="V1200" s="24">
        <v>3</v>
      </c>
      <c r="W1200" s="24">
        <v>3</v>
      </c>
      <c r="X1200" s="24">
        <v>4</v>
      </c>
      <c r="Y1200" s="24">
        <v>4</v>
      </c>
      <c r="Z1200" s="20">
        <f t="shared" si="41"/>
        <v>14</v>
      </c>
    </row>
    <row r="1201" spans="1:26" x14ac:dyDescent="0.2">
      <c r="A1201" s="21"/>
      <c r="B1201" s="20"/>
      <c r="C1201" s="22"/>
      <c r="D1201" s="22"/>
      <c r="E1201" s="24"/>
      <c r="F1201" s="22"/>
      <c r="H1201" s="21">
        <v>45942</v>
      </c>
      <c r="I1201" s="22" t="s">
        <v>70</v>
      </c>
      <c r="J1201" s="22" t="s">
        <v>44</v>
      </c>
      <c r="K1201" s="24">
        <v>9</v>
      </c>
      <c r="M1201" s="21">
        <v>45974</v>
      </c>
      <c r="N1201" s="22" t="s">
        <v>70</v>
      </c>
      <c r="O1201" s="22" t="s">
        <v>51</v>
      </c>
      <c r="P1201" s="49">
        <v>75.8</v>
      </c>
      <c r="Q1201" s="49">
        <v>75.7</v>
      </c>
      <c r="R1201" s="46">
        <f t="shared" si="40"/>
        <v>9.9999999999994316E-2</v>
      </c>
      <c r="T1201" s="21">
        <v>45966</v>
      </c>
      <c r="U1201" s="22" t="s">
        <v>53</v>
      </c>
      <c r="V1201" s="24">
        <v>3</v>
      </c>
      <c r="W1201" s="24">
        <v>4</v>
      </c>
      <c r="X1201" s="24">
        <v>3</v>
      </c>
      <c r="Y1201" s="24">
        <v>4</v>
      </c>
      <c r="Z1201" s="20">
        <f t="shared" si="41"/>
        <v>14</v>
      </c>
    </row>
    <row r="1202" spans="1:26" x14ac:dyDescent="0.2">
      <c r="A1202" s="21"/>
      <c r="B1202" s="20"/>
      <c r="C1202" s="22"/>
      <c r="D1202" s="22"/>
      <c r="E1202" s="24"/>
      <c r="F1202" s="22"/>
      <c r="H1202" s="21">
        <v>45942</v>
      </c>
      <c r="I1202" s="22" t="s">
        <v>70</v>
      </c>
      <c r="J1202" s="22" t="s">
        <v>45</v>
      </c>
      <c r="K1202" s="24">
        <v>7</v>
      </c>
      <c r="M1202" s="21">
        <v>45974</v>
      </c>
      <c r="N1202" s="22" t="s">
        <v>70</v>
      </c>
      <c r="O1202" s="22" t="s">
        <v>52</v>
      </c>
      <c r="P1202" s="49">
        <v>71.5</v>
      </c>
      <c r="Q1202" s="49">
        <v>70.5</v>
      </c>
      <c r="R1202" s="46">
        <f t="shared" si="40"/>
        <v>1</v>
      </c>
      <c r="T1202" s="21">
        <v>45966</v>
      </c>
      <c r="U1202" s="22" t="s">
        <v>56</v>
      </c>
      <c r="V1202" s="24">
        <v>4</v>
      </c>
      <c r="W1202" s="24">
        <v>3</v>
      </c>
      <c r="X1202" s="24">
        <v>3</v>
      </c>
      <c r="Y1202" s="24">
        <v>5</v>
      </c>
      <c r="Z1202" s="20">
        <f t="shared" si="41"/>
        <v>15</v>
      </c>
    </row>
    <row r="1203" spans="1:26" x14ac:dyDescent="0.2">
      <c r="A1203" s="21"/>
      <c r="B1203" s="20"/>
      <c r="C1203" s="22"/>
      <c r="D1203" s="22"/>
      <c r="E1203" s="24"/>
      <c r="F1203" s="22"/>
      <c r="H1203" s="21">
        <v>45942</v>
      </c>
      <c r="I1203" s="22" t="s">
        <v>70</v>
      </c>
      <c r="J1203" s="22" t="s">
        <v>57</v>
      </c>
      <c r="K1203" s="24" t="s">
        <v>63</v>
      </c>
      <c r="M1203" s="21">
        <v>45974</v>
      </c>
      <c r="N1203" s="22" t="s">
        <v>70</v>
      </c>
      <c r="O1203" s="22" t="s">
        <v>53</v>
      </c>
      <c r="P1203" s="49">
        <v>67.5</v>
      </c>
      <c r="Q1203" s="49">
        <v>67.3</v>
      </c>
      <c r="R1203" s="46">
        <f t="shared" si="40"/>
        <v>0.20000000000000284</v>
      </c>
      <c r="T1203" s="21">
        <v>45966</v>
      </c>
      <c r="U1203" s="22" t="s">
        <v>58</v>
      </c>
      <c r="V1203" s="24">
        <v>5</v>
      </c>
      <c r="W1203" s="24">
        <v>3</v>
      </c>
      <c r="X1203" s="24">
        <v>4</v>
      </c>
      <c r="Y1203" s="24">
        <v>5</v>
      </c>
      <c r="Z1203" s="20">
        <f t="shared" si="41"/>
        <v>17</v>
      </c>
    </row>
    <row r="1204" spans="1:26" x14ac:dyDescent="0.2">
      <c r="A1204" s="21"/>
      <c r="B1204" s="20"/>
      <c r="C1204" s="22"/>
      <c r="D1204" s="22"/>
      <c r="E1204" s="24"/>
      <c r="F1204" s="22"/>
      <c r="H1204" s="21">
        <v>45942</v>
      </c>
      <c r="I1204" s="22" t="s">
        <v>70</v>
      </c>
      <c r="J1204" s="22" t="s">
        <v>42</v>
      </c>
      <c r="K1204" s="24">
        <v>6</v>
      </c>
      <c r="M1204" s="21">
        <v>45974</v>
      </c>
      <c r="N1204" s="22" t="s">
        <v>70</v>
      </c>
      <c r="O1204" s="22" t="s">
        <v>56</v>
      </c>
      <c r="P1204" s="49">
        <v>75.599999999999994</v>
      </c>
      <c r="Q1204" s="49">
        <v>74.8</v>
      </c>
      <c r="R1204" s="46">
        <f t="shared" si="40"/>
        <v>0.79999999999999716</v>
      </c>
      <c r="T1204" s="21">
        <v>45966</v>
      </c>
      <c r="U1204" s="22" t="s">
        <v>33</v>
      </c>
      <c r="V1204" s="24">
        <v>3.2307692307692299</v>
      </c>
      <c r="W1204" s="24">
        <v>3.4615384615384599</v>
      </c>
      <c r="X1204" s="24">
        <v>3.6153846153846199</v>
      </c>
      <c r="Y1204" s="24">
        <v>4.3076923076923102</v>
      </c>
      <c r="Z1204" s="20">
        <f t="shared" si="41"/>
        <v>14.61538461538462</v>
      </c>
    </row>
    <row r="1205" spans="1:26" x14ac:dyDescent="0.2">
      <c r="A1205" s="21"/>
      <c r="B1205" s="20"/>
      <c r="C1205" s="22"/>
      <c r="D1205" s="22"/>
      <c r="E1205" s="24"/>
      <c r="F1205" s="22"/>
      <c r="H1205" s="21">
        <v>45942</v>
      </c>
      <c r="I1205" s="22" t="s">
        <v>70</v>
      </c>
      <c r="J1205" s="22" t="s">
        <v>47</v>
      </c>
      <c r="K1205" s="24">
        <v>8</v>
      </c>
      <c r="M1205" s="21">
        <v>45974</v>
      </c>
      <c r="N1205" s="22" t="s">
        <v>70</v>
      </c>
      <c r="O1205" s="22" t="s">
        <v>57</v>
      </c>
      <c r="P1205" s="49">
        <v>93.3</v>
      </c>
      <c r="Q1205" s="49">
        <v>92.9</v>
      </c>
      <c r="R1205" s="46">
        <f t="shared" si="40"/>
        <v>0.39999999999999147</v>
      </c>
      <c r="T1205" s="21">
        <v>45967</v>
      </c>
      <c r="U1205" s="22" t="s">
        <v>41</v>
      </c>
      <c r="V1205" s="24">
        <v>1</v>
      </c>
      <c r="W1205" s="24">
        <v>1</v>
      </c>
      <c r="X1205" s="24">
        <v>1</v>
      </c>
      <c r="Y1205" s="24">
        <v>1</v>
      </c>
      <c r="Z1205" s="20">
        <f t="shared" si="41"/>
        <v>4</v>
      </c>
    </row>
    <row r="1206" spans="1:26" x14ac:dyDescent="0.2">
      <c r="A1206" s="21"/>
      <c r="B1206" s="20"/>
      <c r="C1206" s="22"/>
      <c r="D1206" s="22"/>
      <c r="E1206" s="24"/>
      <c r="F1206" s="22"/>
      <c r="H1206" s="21">
        <v>45942</v>
      </c>
      <c r="I1206" s="22" t="s">
        <v>70</v>
      </c>
      <c r="J1206" s="22" t="s">
        <v>41</v>
      </c>
      <c r="K1206" s="24">
        <v>6</v>
      </c>
      <c r="M1206" s="21">
        <v>45974</v>
      </c>
      <c r="N1206" s="22" t="s">
        <v>70</v>
      </c>
      <c r="O1206" s="22" t="s">
        <v>58</v>
      </c>
      <c r="P1206" s="49">
        <v>76.3</v>
      </c>
      <c r="Q1206" s="49">
        <v>76.099999999999994</v>
      </c>
      <c r="R1206" s="46">
        <f t="shared" si="40"/>
        <v>0.20000000000000284</v>
      </c>
      <c r="T1206" s="21">
        <v>45967</v>
      </c>
      <c r="U1206" s="22" t="s">
        <v>42</v>
      </c>
      <c r="V1206" s="24">
        <v>4</v>
      </c>
      <c r="W1206" s="24">
        <v>4</v>
      </c>
      <c r="X1206" s="24">
        <v>4</v>
      </c>
      <c r="Y1206" s="24">
        <v>5</v>
      </c>
      <c r="Z1206" s="20">
        <f t="shared" si="41"/>
        <v>17</v>
      </c>
    </row>
    <row r="1207" spans="1:26" x14ac:dyDescent="0.2">
      <c r="A1207" s="21"/>
      <c r="B1207" s="20"/>
      <c r="C1207" s="22"/>
      <c r="D1207" s="22"/>
      <c r="E1207" s="24"/>
      <c r="F1207" s="22"/>
      <c r="H1207" s="21">
        <v>45942</v>
      </c>
      <c r="I1207" s="22" t="s">
        <v>70</v>
      </c>
      <c r="J1207" s="22" t="s">
        <v>49</v>
      </c>
      <c r="K1207" s="24">
        <v>10</v>
      </c>
      <c r="M1207" s="21">
        <v>45978</v>
      </c>
      <c r="N1207" s="22" t="s">
        <v>70</v>
      </c>
      <c r="O1207" s="22" t="s">
        <v>41</v>
      </c>
      <c r="P1207" s="49">
        <v>77</v>
      </c>
      <c r="Q1207" s="49">
        <v>76.2</v>
      </c>
      <c r="R1207" s="46">
        <f t="shared" si="40"/>
        <v>0.79999999999999716</v>
      </c>
      <c r="T1207" s="21">
        <v>45967</v>
      </c>
      <c r="U1207" s="22" t="s">
        <v>44</v>
      </c>
      <c r="V1207" s="24">
        <v>5</v>
      </c>
      <c r="W1207" s="24">
        <v>5</v>
      </c>
      <c r="X1207" s="24">
        <v>5</v>
      </c>
      <c r="Y1207" s="24">
        <v>5</v>
      </c>
      <c r="Z1207" s="20">
        <f t="shared" si="41"/>
        <v>20</v>
      </c>
    </row>
    <row r="1208" spans="1:26" x14ac:dyDescent="0.2">
      <c r="A1208" s="21"/>
      <c r="B1208" s="20"/>
      <c r="C1208" s="22"/>
      <c r="D1208" s="22"/>
      <c r="E1208" s="24"/>
      <c r="F1208" s="22"/>
      <c r="H1208" s="21">
        <v>45942</v>
      </c>
      <c r="I1208" s="22" t="s">
        <v>70</v>
      </c>
      <c r="J1208" s="22" t="s">
        <v>50</v>
      </c>
      <c r="K1208" s="24">
        <v>8</v>
      </c>
      <c r="M1208" s="21">
        <v>45978</v>
      </c>
      <c r="N1208" s="22" t="s">
        <v>70</v>
      </c>
      <c r="O1208" s="22" t="s">
        <v>42</v>
      </c>
      <c r="P1208" s="49">
        <v>79</v>
      </c>
      <c r="Q1208" s="49">
        <v>78.8</v>
      </c>
      <c r="R1208" s="46">
        <f t="shared" si="40"/>
        <v>0.20000000000000284</v>
      </c>
      <c r="T1208" s="21">
        <v>45967</v>
      </c>
      <c r="U1208" s="22" t="s">
        <v>45</v>
      </c>
      <c r="V1208" s="24">
        <v>4</v>
      </c>
      <c r="W1208" s="24">
        <v>4</v>
      </c>
      <c r="X1208" s="24">
        <v>4</v>
      </c>
      <c r="Y1208" s="24">
        <v>5</v>
      </c>
      <c r="Z1208" s="20">
        <f t="shared" si="41"/>
        <v>17</v>
      </c>
    </row>
    <row r="1209" spans="1:26" x14ac:dyDescent="0.2">
      <c r="A1209" s="21"/>
      <c r="B1209" s="20"/>
      <c r="C1209" s="22"/>
      <c r="D1209" s="22"/>
      <c r="E1209" s="24"/>
      <c r="F1209" s="22"/>
      <c r="H1209" s="21">
        <v>45942</v>
      </c>
      <c r="I1209" s="22" t="s">
        <v>70</v>
      </c>
      <c r="J1209" s="22" t="s">
        <v>51</v>
      </c>
      <c r="K1209" s="24">
        <v>9</v>
      </c>
      <c r="M1209" s="21">
        <v>45978</v>
      </c>
      <c r="N1209" s="22" t="s">
        <v>70</v>
      </c>
      <c r="O1209" s="22" t="s">
        <v>44</v>
      </c>
      <c r="P1209" s="49">
        <v>67.5</v>
      </c>
      <c r="Q1209" s="49">
        <v>67.400000000000006</v>
      </c>
      <c r="R1209" s="46">
        <f t="shared" si="40"/>
        <v>9.9999999999994316E-2</v>
      </c>
      <c r="T1209" s="21">
        <v>45967</v>
      </c>
      <c r="U1209" s="22" t="s">
        <v>46</v>
      </c>
      <c r="V1209" s="24">
        <v>5</v>
      </c>
      <c r="W1209" s="24">
        <v>4</v>
      </c>
      <c r="X1209" s="24">
        <v>3</v>
      </c>
      <c r="Y1209" s="24">
        <v>4</v>
      </c>
      <c r="Z1209" s="20">
        <f t="shared" si="41"/>
        <v>16</v>
      </c>
    </row>
    <row r="1210" spans="1:26" x14ac:dyDescent="0.2">
      <c r="A1210" s="21"/>
      <c r="B1210" s="20"/>
      <c r="C1210" s="22"/>
      <c r="D1210" s="22"/>
      <c r="E1210" s="24"/>
      <c r="F1210" s="22"/>
      <c r="H1210" s="21">
        <v>45942</v>
      </c>
      <c r="I1210" s="22" t="s">
        <v>70</v>
      </c>
      <c r="J1210" s="22" t="s">
        <v>46</v>
      </c>
      <c r="K1210" s="24">
        <v>7</v>
      </c>
      <c r="M1210" s="21">
        <v>45978</v>
      </c>
      <c r="N1210" s="22" t="s">
        <v>70</v>
      </c>
      <c r="O1210" s="22" t="s">
        <v>45</v>
      </c>
      <c r="P1210" s="49">
        <v>69.599999999999994</v>
      </c>
      <c r="Q1210" s="49">
        <v>68.900000000000006</v>
      </c>
      <c r="R1210" s="46">
        <f t="shared" si="40"/>
        <v>0.69999999999998863</v>
      </c>
      <c r="T1210" s="21">
        <v>45967</v>
      </c>
      <c r="U1210" s="22" t="s">
        <v>47</v>
      </c>
      <c r="V1210" s="24">
        <v>4</v>
      </c>
      <c r="W1210" s="24">
        <v>4</v>
      </c>
      <c r="X1210" s="24">
        <v>4</v>
      </c>
      <c r="Y1210" s="24">
        <v>4</v>
      </c>
      <c r="Z1210" s="20">
        <f t="shared" si="41"/>
        <v>16</v>
      </c>
    </row>
    <row r="1211" spans="1:26" x14ac:dyDescent="0.2">
      <c r="A1211" s="21"/>
      <c r="B1211" s="20"/>
      <c r="C1211" s="22"/>
      <c r="D1211" s="22"/>
      <c r="E1211" s="24"/>
      <c r="F1211" s="22"/>
      <c r="H1211" s="21">
        <v>45942</v>
      </c>
      <c r="I1211" s="22" t="s">
        <v>70</v>
      </c>
      <c r="J1211" s="22" t="s">
        <v>48</v>
      </c>
      <c r="K1211" s="24">
        <v>9</v>
      </c>
      <c r="M1211" s="21">
        <v>45978</v>
      </c>
      <c r="N1211" s="22" t="s">
        <v>70</v>
      </c>
      <c r="O1211" s="22" t="s">
        <v>46</v>
      </c>
      <c r="P1211" s="49">
        <v>81</v>
      </c>
      <c r="Q1211" s="49">
        <v>80.5</v>
      </c>
      <c r="R1211" s="46">
        <f t="shared" si="40"/>
        <v>0.5</v>
      </c>
      <c r="T1211" s="21">
        <v>45967</v>
      </c>
      <c r="U1211" s="22" t="s">
        <v>48</v>
      </c>
      <c r="V1211" s="24">
        <v>5</v>
      </c>
      <c r="W1211" s="24">
        <v>4</v>
      </c>
      <c r="X1211" s="24">
        <v>4</v>
      </c>
      <c r="Y1211" s="24">
        <v>5</v>
      </c>
      <c r="Z1211" s="20">
        <f t="shared" si="41"/>
        <v>18</v>
      </c>
    </row>
    <row r="1212" spans="1:26" x14ac:dyDescent="0.2">
      <c r="A1212" s="21"/>
      <c r="B1212" s="20"/>
      <c r="C1212" s="22"/>
      <c r="D1212" s="22"/>
      <c r="E1212" s="24"/>
      <c r="F1212" s="22"/>
      <c r="H1212" s="21">
        <v>45942</v>
      </c>
      <c r="I1212" s="22" t="s">
        <v>70</v>
      </c>
      <c r="J1212" s="22" t="s">
        <v>56</v>
      </c>
      <c r="K1212" s="24">
        <v>9</v>
      </c>
      <c r="M1212" s="21">
        <v>45978</v>
      </c>
      <c r="N1212" s="22" t="s">
        <v>70</v>
      </c>
      <c r="O1212" s="22" t="s">
        <v>48</v>
      </c>
      <c r="P1212" s="49">
        <v>81.5</v>
      </c>
      <c r="Q1212" s="49">
        <v>80.400000000000006</v>
      </c>
      <c r="R1212" s="46">
        <f t="shared" si="40"/>
        <v>1.0999999999999943</v>
      </c>
      <c r="T1212" s="21">
        <v>45967</v>
      </c>
      <c r="U1212" s="22" t="s">
        <v>49</v>
      </c>
      <c r="V1212" s="24">
        <v>4</v>
      </c>
      <c r="W1212" s="24">
        <v>4</v>
      </c>
      <c r="X1212" s="24">
        <v>3</v>
      </c>
      <c r="Y1212" s="24">
        <v>4</v>
      </c>
      <c r="Z1212" s="20">
        <f t="shared" si="41"/>
        <v>15</v>
      </c>
    </row>
    <row r="1213" spans="1:26" x14ac:dyDescent="0.2">
      <c r="A1213" s="21"/>
      <c r="B1213" s="20"/>
      <c r="C1213" s="22"/>
      <c r="D1213" s="22"/>
      <c r="E1213" s="24"/>
      <c r="F1213" s="22"/>
      <c r="H1213" s="21">
        <v>45944</v>
      </c>
      <c r="I1213" s="22" t="s">
        <v>70</v>
      </c>
      <c r="J1213" s="22" t="s">
        <v>52</v>
      </c>
      <c r="K1213" s="24">
        <v>7</v>
      </c>
      <c r="M1213" s="21">
        <v>45978</v>
      </c>
      <c r="N1213" s="22" t="s">
        <v>70</v>
      </c>
      <c r="O1213" s="22" t="s">
        <v>49</v>
      </c>
      <c r="P1213" s="49">
        <v>77.8</v>
      </c>
      <c r="Q1213" s="49">
        <v>77.5</v>
      </c>
      <c r="R1213" s="46">
        <f t="shared" si="40"/>
        <v>0.29999999999999716</v>
      </c>
      <c r="T1213" s="21">
        <v>45967</v>
      </c>
      <c r="U1213" s="22" t="s">
        <v>50</v>
      </c>
      <c r="V1213" s="24">
        <v>2</v>
      </c>
      <c r="W1213" s="24">
        <v>3</v>
      </c>
      <c r="X1213" s="24">
        <v>4</v>
      </c>
      <c r="Y1213" s="24">
        <v>3</v>
      </c>
      <c r="Z1213" s="20">
        <f t="shared" si="41"/>
        <v>12</v>
      </c>
    </row>
    <row r="1214" spans="1:26" x14ac:dyDescent="0.2">
      <c r="A1214" s="21"/>
      <c r="B1214" s="20"/>
      <c r="C1214" s="22"/>
      <c r="D1214" s="22"/>
      <c r="E1214" s="24"/>
      <c r="F1214" s="22"/>
      <c r="H1214" s="21">
        <v>45944</v>
      </c>
      <c r="I1214" s="22" t="s">
        <v>70</v>
      </c>
      <c r="J1214" s="22" t="s">
        <v>53</v>
      </c>
      <c r="K1214" s="24">
        <v>7</v>
      </c>
      <c r="M1214" s="21">
        <v>45978</v>
      </c>
      <c r="N1214" s="22" t="s">
        <v>70</v>
      </c>
      <c r="O1214" s="22" t="s">
        <v>52</v>
      </c>
      <c r="P1214" s="49">
        <v>71.3</v>
      </c>
      <c r="Q1214" s="49">
        <v>71.3</v>
      </c>
      <c r="R1214" s="46">
        <f t="shared" si="40"/>
        <v>0</v>
      </c>
      <c r="T1214" s="21">
        <v>45967</v>
      </c>
      <c r="U1214" s="22" t="s">
        <v>51</v>
      </c>
      <c r="V1214" s="24">
        <v>4</v>
      </c>
      <c r="W1214" s="24">
        <v>3</v>
      </c>
      <c r="X1214" s="24">
        <v>4</v>
      </c>
      <c r="Y1214" s="24">
        <v>5</v>
      </c>
      <c r="Z1214" s="20">
        <f t="shared" si="41"/>
        <v>16</v>
      </c>
    </row>
    <row r="1215" spans="1:26" x14ac:dyDescent="0.2">
      <c r="A1215" s="21"/>
      <c r="B1215" s="20"/>
      <c r="C1215" s="22"/>
      <c r="D1215" s="22"/>
      <c r="E1215" s="24"/>
      <c r="F1215" s="22"/>
      <c r="H1215" s="21">
        <v>45944</v>
      </c>
      <c r="I1215" s="22" t="s">
        <v>70</v>
      </c>
      <c r="J1215" s="22" t="s">
        <v>44</v>
      </c>
      <c r="K1215" s="24">
        <v>2</v>
      </c>
      <c r="M1215" s="21">
        <v>45978</v>
      </c>
      <c r="N1215" s="22" t="s">
        <v>70</v>
      </c>
      <c r="O1215" s="22" t="s">
        <v>53</v>
      </c>
      <c r="P1215" s="49">
        <v>67.599999999999994</v>
      </c>
      <c r="Q1215" s="49">
        <v>67.5</v>
      </c>
      <c r="R1215" s="46">
        <f t="shared" si="40"/>
        <v>9.9999999999994316E-2</v>
      </c>
      <c r="T1215" s="21">
        <v>45967</v>
      </c>
      <c r="U1215" s="22" t="s">
        <v>52</v>
      </c>
      <c r="V1215" s="24">
        <v>4</v>
      </c>
      <c r="W1215" s="24">
        <v>4</v>
      </c>
      <c r="X1215" s="24">
        <v>4</v>
      </c>
      <c r="Y1215" s="24">
        <v>4</v>
      </c>
      <c r="Z1215" s="20">
        <f t="shared" si="41"/>
        <v>16</v>
      </c>
    </row>
    <row r="1216" spans="1:26" x14ac:dyDescent="0.2">
      <c r="A1216" s="21"/>
      <c r="B1216" s="20"/>
      <c r="C1216" s="22"/>
      <c r="D1216" s="22"/>
      <c r="E1216" s="24"/>
      <c r="F1216" s="22"/>
      <c r="H1216" s="21">
        <v>45944</v>
      </c>
      <c r="I1216" s="22" t="s">
        <v>70</v>
      </c>
      <c r="J1216" s="22" t="s">
        <v>45</v>
      </c>
      <c r="K1216" s="24">
        <v>3</v>
      </c>
      <c r="M1216" s="21">
        <v>45978</v>
      </c>
      <c r="N1216" s="22" t="s">
        <v>70</v>
      </c>
      <c r="O1216" s="22" t="s">
        <v>56</v>
      </c>
      <c r="P1216" s="49">
        <v>74.5</v>
      </c>
      <c r="Q1216" s="49">
        <v>74.7</v>
      </c>
      <c r="R1216" s="46">
        <f t="shared" si="40"/>
        <v>-0.20000000000000284</v>
      </c>
      <c r="T1216" s="21">
        <v>45967</v>
      </c>
      <c r="U1216" s="22" t="s">
        <v>53</v>
      </c>
      <c r="V1216" s="24">
        <v>4</v>
      </c>
      <c r="W1216" s="24">
        <v>4</v>
      </c>
      <c r="X1216" s="24">
        <v>4</v>
      </c>
      <c r="Y1216" s="24">
        <v>5</v>
      </c>
      <c r="Z1216" s="20">
        <f t="shared" si="41"/>
        <v>17</v>
      </c>
    </row>
    <row r="1217" spans="1:26" x14ac:dyDescent="0.2">
      <c r="A1217" s="21"/>
      <c r="B1217" s="20"/>
      <c r="C1217" s="22"/>
      <c r="D1217" s="22"/>
      <c r="E1217" s="24"/>
      <c r="F1217" s="22"/>
      <c r="H1217" s="21">
        <v>45944</v>
      </c>
      <c r="I1217" s="22" t="s">
        <v>70</v>
      </c>
      <c r="J1217" s="22" t="s">
        <v>57</v>
      </c>
      <c r="K1217" s="24">
        <v>7</v>
      </c>
      <c r="M1217" s="21">
        <v>45978</v>
      </c>
      <c r="N1217" s="22" t="s">
        <v>70</v>
      </c>
      <c r="O1217" s="22" t="s">
        <v>57</v>
      </c>
      <c r="P1217" s="49">
        <v>93.9</v>
      </c>
      <c r="Q1217" s="49">
        <v>92.8</v>
      </c>
      <c r="R1217" s="46">
        <f t="shared" si="40"/>
        <v>1.1000000000000085</v>
      </c>
      <c r="T1217" s="21">
        <v>45967</v>
      </c>
      <c r="U1217" s="22" t="s">
        <v>55</v>
      </c>
      <c r="V1217" s="24">
        <v>4</v>
      </c>
      <c r="W1217" s="24">
        <v>4</v>
      </c>
      <c r="X1217" s="24">
        <v>3</v>
      </c>
      <c r="Y1217" s="24">
        <v>4</v>
      </c>
      <c r="Z1217" s="20">
        <f t="shared" si="41"/>
        <v>15</v>
      </c>
    </row>
    <row r="1218" spans="1:26" x14ac:dyDescent="0.2">
      <c r="A1218" s="21"/>
      <c r="B1218" s="20"/>
      <c r="C1218" s="22"/>
      <c r="D1218" s="22"/>
      <c r="E1218" s="24"/>
      <c r="F1218" s="22"/>
      <c r="H1218" s="21">
        <v>45944</v>
      </c>
      <c r="I1218" s="22" t="s">
        <v>70</v>
      </c>
      <c r="J1218" s="22" t="s">
        <v>42</v>
      </c>
      <c r="K1218" s="24">
        <v>4</v>
      </c>
      <c r="M1218" s="21">
        <v>45978</v>
      </c>
      <c r="N1218" s="22" t="s">
        <v>70</v>
      </c>
      <c r="O1218" s="22" t="s">
        <v>58</v>
      </c>
      <c r="P1218" s="49">
        <v>76.400000000000006</v>
      </c>
      <c r="Q1218" s="49">
        <v>76.2</v>
      </c>
      <c r="R1218" s="46">
        <f t="shared" si="40"/>
        <v>0.20000000000000284</v>
      </c>
      <c r="T1218" s="21">
        <v>45967</v>
      </c>
      <c r="U1218" s="22" t="s">
        <v>56</v>
      </c>
      <c r="V1218" s="24">
        <v>3</v>
      </c>
      <c r="W1218" s="24">
        <v>4</v>
      </c>
      <c r="X1218" s="24">
        <v>4</v>
      </c>
      <c r="Y1218" s="24">
        <v>5</v>
      </c>
      <c r="Z1218" s="20">
        <f t="shared" si="41"/>
        <v>16</v>
      </c>
    </row>
    <row r="1219" spans="1:26" x14ac:dyDescent="0.2">
      <c r="A1219" s="21"/>
      <c r="B1219" s="20"/>
      <c r="C1219" s="22"/>
      <c r="D1219" s="22"/>
      <c r="E1219" s="24"/>
      <c r="F1219" s="22"/>
      <c r="H1219" s="21">
        <v>45944</v>
      </c>
      <c r="I1219" s="22" t="s">
        <v>70</v>
      </c>
      <c r="J1219" s="22" t="s">
        <v>54</v>
      </c>
      <c r="K1219" s="24">
        <v>7</v>
      </c>
      <c r="M1219" s="21">
        <v>45982</v>
      </c>
      <c r="N1219" s="22" t="s">
        <v>70</v>
      </c>
      <c r="O1219" s="22" t="s">
        <v>41</v>
      </c>
      <c r="P1219" s="49">
        <v>77</v>
      </c>
      <c r="Q1219" s="49">
        <v>77</v>
      </c>
      <c r="R1219" s="46">
        <f t="shared" ref="R1219:R1282" si="42">IFERROR(P1219-Q1219,"")</f>
        <v>0</v>
      </c>
      <c r="T1219" s="21">
        <v>45967</v>
      </c>
      <c r="U1219" s="22" t="s">
        <v>57</v>
      </c>
      <c r="V1219" s="24">
        <v>4</v>
      </c>
      <c r="W1219" s="24">
        <v>4</v>
      </c>
      <c r="X1219" s="24">
        <v>4</v>
      </c>
      <c r="Y1219" s="24">
        <v>4</v>
      </c>
      <c r="Z1219" s="20">
        <f t="shared" ref="Z1219:Z1282" si="43">SUM(V1219:Y1219)</f>
        <v>16</v>
      </c>
    </row>
    <row r="1220" spans="1:26" x14ac:dyDescent="0.2">
      <c r="A1220" s="21"/>
      <c r="B1220" s="20"/>
      <c r="C1220" s="22"/>
      <c r="D1220" s="22"/>
      <c r="E1220" s="24"/>
      <c r="F1220" s="22"/>
      <c r="H1220" s="21">
        <v>45944</v>
      </c>
      <c r="I1220" s="22" t="s">
        <v>70</v>
      </c>
      <c r="J1220" s="22" t="s">
        <v>47</v>
      </c>
      <c r="K1220" s="24">
        <v>5</v>
      </c>
      <c r="M1220" s="21">
        <v>45982</v>
      </c>
      <c r="N1220" s="22" t="s">
        <v>70</v>
      </c>
      <c r="O1220" s="22" t="s">
        <v>42</v>
      </c>
      <c r="P1220" s="49">
        <v>79</v>
      </c>
      <c r="Q1220" s="49">
        <v>78.8</v>
      </c>
      <c r="R1220" s="46">
        <f t="shared" si="42"/>
        <v>0.20000000000000284</v>
      </c>
      <c r="T1220" s="21">
        <v>45967</v>
      </c>
      <c r="U1220" s="22" t="s">
        <v>58</v>
      </c>
      <c r="V1220" s="24">
        <v>5</v>
      </c>
      <c r="W1220" s="24">
        <v>4</v>
      </c>
      <c r="X1220" s="24">
        <v>4</v>
      </c>
      <c r="Y1220" s="24">
        <v>5</v>
      </c>
      <c r="Z1220" s="20">
        <f t="shared" si="43"/>
        <v>18</v>
      </c>
    </row>
    <row r="1221" spans="1:26" x14ac:dyDescent="0.2">
      <c r="A1221" s="21"/>
      <c r="B1221" s="20"/>
      <c r="C1221" s="22"/>
      <c r="D1221" s="22"/>
      <c r="E1221" s="24"/>
      <c r="F1221" s="22"/>
      <c r="H1221" s="21">
        <v>45944</v>
      </c>
      <c r="I1221" s="22" t="s">
        <v>70</v>
      </c>
      <c r="J1221" s="22" t="s">
        <v>41</v>
      </c>
      <c r="K1221" s="24" t="s">
        <v>61</v>
      </c>
      <c r="M1221" s="21">
        <v>45982</v>
      </c>
      <c r="N1221" s="22" t="s">
        <v>70</v>
      </c>
      <c r="O1221" s="22" t="s">
        <v>44</v>
      </c>
      <c r="P1221" s="49">
        <v>66.900000000000006</v>
      </c>
      <c r="Q1221" s="49">
        <v>66.900000000000006</v>
      </c>
      <c r="R1221" s="46">
        <f t="shared" si="42"/>
        <v>0</v>
      </c>
      <c r="T1221" s="21">
        <v>45967</v>
      </c>
      <c r="U1221" s="22" t="s">
        <v>33</v>
      </c>
      <c r="V1221" s="24">
        <v>3.875</v>
      </c>
      <c r="W1221" s="24">
        <v>3.75</v>
      </c>
      <c r="X1221" s="24">
        <v>3.6875</v>
      </c>
      <c r="Y1221" s="24">
        <v>4.25</v>
      </c>
      <c r="Z1221" s="20">
        <f t="shared" si="43"/>
        <v>15.5625</v>
      </c>
    </row>
    <row r="1222" spans="1:26" x14ac:dyDescent="0.2">
      <c r="A1222" s="21"/>
      <c r="B1222" s="20"/>
      <c r="C1222" s="22"/>
      <c r="D1222" s="22"/>
      <c r="E1222" s="24"/>
      <c r="F1222" s="22"/>
      <c r="H1222" s="21">
        <v>45944</v>
      </c>
      <c r="I1222" s="22" t="s">
        <v>70</v>
      </c>
      <c r="J1222" s="22" t="s">
        <v>49</v>
      </c>
      <c r="K1222" s="24">
        <v>7</v>
      </c>
      <c r="M1222" s="21">
        <v>45982</v>
      </c>
      <c r="N1222" s="22" t="s">
        <v>70</v>
      </c>
      <c r="O1222" s="22" t="s">
        <v>45</v>
      </c>
      <c r="P1222" s="49">
        <v>69.900000000000006</v>
      </c>
      <c r="Q1222" s="49">
        <v>68.599999999999994</v>
      </c>
      <c r="R1222" s="46">
        <f t="shared" si="42"/>
        <v>1.3000000000000114</v>
      </c>
      <c r="T1222" s="21">
        <v>45968</v>
      </c>
      <c r="U1222" s="22" t="s">
        <v>41</v>
      </c>
      <c r="V1222" s="24">
        <v>1</v>
      </c>
      <c r="W1222" s="24">
        <v>1</v>
      </c>
      <c r="X1222" s="24">
        <v>1</v>
      </c>
      <c r="Y1222" s="24">
        <v>1</v>
      </c>
      <c r="Z1222" s="20">
        <f t="shared" si="43"/>
        <v>4</v>
      </c>
    </row>
    <row r="1223" spans="1:26" x14ac:dyDescent="0.2">
      <c r="A1223" s="21"/>
      <c r="B1223" s="20"/>
      <c r="C1223" s="22"/>
      <c r="D1223" s="22"/>
      <c r="E1223" s="24"/>
      <c r="F1223" s="22"/>
      <c r="H1223" s="21">
        <v>45944</v>
      </c>
      <c r="I1223" s="22" t="s">
        <v>70</v>
      </c>
      <c r="J1223" s="22" t="s">
        <v>50</v>
      </c>
      <c r="K1223" s="24">
        <v>6</v>
      </c>
      <c r="M1223" s="21">
        <v>45982</v>
      </c>
      <c r="N1223" s="22" t="s">
        <v>70</v>
      </c>
      <c r="O1223" s="22" t="s">
        <v>46</v>
      </c>
      <c r="P1223" s="49">
        <v>81.2</v>
      </c>
      <c r="Q1223" s="49">
        <v>81</v>
      </c>
      <c r="R1223" s="46">
        <f t="shared" si="42"/>
        <v>0.20000000000000284</v>
      </c>
      <c r="T1223" s="21">
        <v>45968</v>
      </c>
      <c r="U1223" s="22" t="s">
        <v>42</v>
      </c>
      <c r="V1223" s="24">
        <v>3</v>
      </c>
      <c r="W1223" s="24">
        <v>4</v>
      </c>
      <c r="X1223" s="24">
        <v>4</v>
      </c>
      <c r="Y1223" s="24">
        <v>5</v>
      </c>
      <c r="Z1223" s="20">
        <f t="shared" si="43"/>
        <v>16</v>
      </c>
    </row>
    <row r="1224" spans="1:26" x14ac:dyDescent="0.2">
      <c r="A1224" s="21"/>
      <c r="B1224" s="20"/>
      <c r="C1224" s="22"/>
      <c r="D1224" s="22"/>
      <c r="E1224" s="24"/>
      <c r="F1224" s="22"/>
      <c r="H1224" s="21">
        <v>45944</v>
      </c>
      <c r="I1224" s="22" t="s">
        <v>70</v>
      </c>
      <c r="J1224" s="22" t="s">
        <v>51</v>
      </c>
      <c r="K1224" s="24">
        <v>7</v>
      </c>
      <c r="M1224" s="21">
        <v>45982</v>
      </c>
      <c r="N1224" s="22" t="s">
        <v>70</v>
      </c>
      <c r="O1224" s="22" t="s">
        <v>47</v>
      </c>
      <c r="P1224" s="49">
        <v>70</v>
      </c>
      <c r="Q1224" s="49">
        <v>70.3</v>
      </c>
      <c r="R1224" s="46">
        <f t="shared" si="42"/>
        <v>-0.29999999999999716</v>
      </c>
      <c r="T1224" s="21">
        <v>45968</v>
      </c>
      <c r="U1224" s="22" t="s">
        <v>44</v>
      </c>
      <c r="V1224" s="24">
        <v>5</v>
      </c>
      <c r="W1224" s="24">
        <v>5</v>
      </c>
      <c r="X1224" s="24">
        <v>5</v>
      </c>
      <c r="Y1224" s="24">
        <v>5</v>
      </c>
      <c r="Z1224" s="20">
        <f t="shared" si="43"/>
        <v>20</v>
      </c>
    </row>
    <row r="1225" spans="1:26" x14ac:dyDescent="0.2">
      <c r="A1225" s="21"/>
      <c r="B1225" s="20"/>
      <c r="C1225" s="22"/>
      <c r="D1225" s="22"/>
      <c r="E1225" s="24"/>
      <c r="F1225" s="22"/>
      <c r="H1225" s="21">
        <v>45944</v>
      </c>
      <c r="I1225" s="22" t="s">
        <v>70</v>
      </c>
      <c r="J1225" s="22" t="s">
        <v>46</v>
      </c>
      <c r="K1225" s="24" t="s">
        <v>64</v>
      </c>
      <c r="M1225" s="21">
        <v>45982</v>
      </c>
      <c r="N1225" s="22" t="s">
        <v>70</v>
      </c>
      <c r="O1225" s="22" t="s">
        <v>48</v>
      </c>
      <c r="P1225" s="49">
        <v>82.1</v>
      </c>
      <c r="Q1225" s="49">
        <v>80.900000000000006</v>
      </c>
      <c r="R1225" s="46">
        <f t="shared" si="42"/>
        <v>1.1999999999999886</v>
      </c>
      <c r="T1225" s="21">
        <v>45968</v>
      </c>
      <c r="U1225" s="22" t="s">
        <v>45</v>
      </c>
      <c r="V1225" s="24">
        <v>5</v>
      </c>
      <c r="W1225" s="24">
        <v>4</v>
      </c>
      <c r="X1225" s="24">
        <v>4</v>
      </c>
      <c r="Y1225" s="24">
        <v>5</v>
      </c>
      <c r="Z1225" s="20">
        <f t="shared" si="43"/>
        <v>18</v>
      </c>
    </row>
    <row r="1226" spans="1:26" x14ac:dyDescent="0.2">
      <c r="A1226" s="21"/>
      <c r="B1226" s="20"/>
      <c r="C1226" s="22"/>
      <c r="D1226" s="22"/>
      <c r="E1226" s="24"/>
      <c r="F1226" s="22"/>
      <c r="H1226" s="21">
        <v>45944</v>
      </c>
      <c r="I1226" s="22" t="s">
        <v>70</v>
      </c>
      <c r="J1226" s="22" t="s">
        <v>48</v>
      </c>
      <c r="K1226" s="24">
        <v>6</v>
      </c>
      <c r="M1226" s="21">
        <v>45982</v>
      </c>
      <c r="N1226" s="22" t="s">
        <v>70</v>
      </c>
      <c r="O1226" s="22" t="s">
        <v>49</v>
      </c>
      <c r="P1226" s="49">
        <v>77.8</v>
      </c>
      <c r="Q1226" s="49">
        <v>77.599999999999994</v>
      </c>
      <c r="R1226" s="46">
        <f t="shared" si="42"/>
        <v>0.20000000000000284</v>
      </c>
      <c r="T1226" s="21">
        <v>45968</v>
      </c>
      <c r="U1226" s="22" t="s">
        <v>46</v>
      </c>
      <c r="V1226" s="24">
        <v>5</v>
      </c>
      <c r="W1226" s="24">
        <v>5</v>
      </c>
      <c r="X1226" s="24">
        <v>4</v>
      </c>
      <c r="Y1226" s="24">
        <v>5</v>
      </c>
      <c r="Z1226" s="20">
        <f t="shared" si="43"/>
        <v>19</v>
      </c>
    </row>
    <row r="1227" spans="1:26" x14ac:dyDescent="0.2">
      <c r="A1227" s="21"/>
      <c r="B1227" s="20"/>
      <c r="C1227" s="22"/>
      <c r="D1227" s="22"/>
      <c r="E1227" s="24"/>
      <c r="F1227" s="22"/>
      <c r="H1227" s="21">
        <v>45944</v>
      </c>
      <c r="I1227" s="22" t="s">
        <v>70</v>
      </c>
      <c r="J1227" s="22" t="s">
        <v>56</v>
      </c>
      <c r="K1227" s="24">
        <v>7</v>
      </c>
      <c r="M1227" s="21">
        <v>45982</v>
      </c>
      <c r="N1227" s="22" t="s">
        <v>70</v>
      </c>
      <c r="O1227" s="22" t="s">
        <v>50</v>
      </c>
      <c r="P1227" s="49">
        <v>67.3</v>
      </c>
      <c r="Q1227" s="49">
        <v>66.3</v>
      </c>
      <c r="R1227" s="46">
        <f t="shared" si="42"/>
        <v>1</v>
      </c>
      <c r="T1227" s="21">
        <v>45968</v>
      </c>
      <c r="U1227" s="22" t="s">
        <v>47</v>
      </c>
      <c r="V1227" s="24">
        <v>5</v>
      </c>
      <c r="W1227" s="24">
        <v>4</v>
      </c>
      <c r="X1227" s="24">
        <v>4</v>
      </c>
      <c r="Y1227" s="24">
        <v>5</v>
      </c>
      <c r="Z1227" s="20">
        <f t="shared" si="43"/>
        <v>18</v>
      </c>
    </row>
    <row r="1228" spans="1:26" x14ac:dyDescent="0.2">
      <c r="A1228" s="21"/>
      <c r="B1228" s="20"/>
      <c r="C1228" s="22"/>
      <c r="D1228" s="22"/>
      <c r="E1228" s="24"/>
      <c r="F1228" s="22"/>
      <c r="H1228" s="21">
        <v>45944</v>
      </c>
      <c r="I1228" s="22" t="s">
        <v>70</v>
      </c>
      <c r="J1228" s="22" t="s">
        <v>55</v>
      </c>
      <c r="K1228" s="24">
        <v>6</v>
      </c>
      <c r="M1228" s="21">
        <v>45982</v>
      </c>
      <c r="N1228" s="22" t="s">
        <v>70</v>
      </c>
      <c r="O1228" s="22" t="s">
        <v>51</v>
      </c>
      <c r="P1228" s="49">
        <v>73.7</v>
      </c>
      <c r="Q1228" s="49">
        <v>74.099999999999994</v>
      </c>
      <c r="R1228" s="46">
        <f t="shared" si="42"/>
        <v>-0.39999999999999147</v>
      </c>
      <c r="T1228" s="21">
        <v>45968</v>
      </c>
      <c r="U1228" s="22" t="s">
        <v>48</v>
      </c>
      <c r="V1228" s="24">
        <v>5</v>
      </c>
      <c r="W1228" s="24">
        <v>4</v>
      </c>
      <c r="X1228" s="24">
        <v>4</v>
      </c>
      <c r="Y1228" s="24">
        <v>5</v>
      </c>
      <c r="Z1228" s="20">
        <f t="shared" si="43"/>
        <v>18</v>
      </c>
    </row>
    <row r="1229" spans="1:26" x14ac:dyDescent="0.2">
      <c r="A1229" s="21"/>
      <c r="B1229" s="20"/>
      <c r="C1229" s="22"/>
      <c r="D1229" s="22"/>
      <c r="E1229" s="24"/>
      <c r="F1229" s="22"/>
      <c r="H1229" s="21">
        <v>45945</v>
      </c>
      <c r="I1229" s="22" t="s">
        <v>71</v>
      </c>
      <c r="J1229" s="22" t="s">
        <v>52</v>
      </c>
      <c r="K1229" s="24">
        <v>8</v>
      </c>
      <c r="M1229" s="21">
        <v>45982</v>
      </c>
      <c r="N1229" s="22" t="s">
        <v>70</v>
      </c>
      <c r="O1229" s="22" t="s">
        <v>52</v>
      </c>
      <c r="P1229" s="49">
        <v>71</v>
      </c>
      <c r="Q1229" s="49">
        <v>70.5</v>
      </c>
      <c r="R1229" s="46">
        <f t="shared" si="42"/>
        <v>0.5</v>
      </c>
      <c r="T1229" s="21">
        <v>45968</v>
      </c>
      <c r="U1229" s="22" t="s">
        <v>49</v>
      </c>
      <c r="V1229" s="24">
        <v>4</v>
      </c>
      <c r="W1229" s="24">
        <v>4</v>
      </c>
      <c r="X1229" s="24">
        <v>3</v>
      </c>
      <c r="Y1229" s="24">
        <v>4</v>
      </c>
      <c r="Z1229" s="20">
        <f t="shared" si="43"/>
        <v>15</v>
      </c>
    </row>
    <row r="1230" spans="1:26" x14ac:dyDescent="0.2">
      <c r="A1230" s="21"/>
      <c r="B1230" s="20"/>
      <c r="C1230" s="22"/>
      <c r="D1230" s="22"/>
      <c r="E1230" s="24"/>
      <c r="F1230" s="22"/>
      <c r="H1230" s="21">
        <v>45945</v>
      </c>
      <c r="I1230" s="22" t="s">
        <v>71</v>
      </c>
      <c r="J1230" s="22" t="s">
        <v>53</v>
      </c>
      <c r="K1230" s="24">
        <v>8</v>
      </c>
      <c r="M1230" s="21">
        <v>45982</v>
      </c>
      <c r="N1230" s="22" t="s">
        <v>70</v>
      </c>
      <c r="O1230" s="22" t="s">
        <v>53</v>
      </c>
      <c r="P1230" s="49">
        <v>68</v>
      </c>
      <c r="Q1230" s="49">
        <v>67.3</v>
      </c>
      <c r="R1230" s="46">
        <f t="shared" si="42"/>
        <v>0.70000000000000284</v>
      </c>
      <c r="T1230" s="21">
        <v>45968</v>
      </c>
      <c r="U1230" s="22" t="s">
        <v>50</v>
      </c>
      <c r="V1230" s="24">
        <v>5</v>
      </c>
      <c r="W1230" s="24">
        <v>4</v>
      </c>
      <c r="X1230" s="24">
        <v>4</v>
      </c>
      <c r="Y1230" s="24">
        <v>4</v>
      </c>
      <c r="Z1230" s="20">
        <f t="shared" si="43"/>
        <v>17</v>
      </c>
    </row>
    <row r="1231" spans="1:26" x14ac:dyDescent="0.2">
      <c r="A1231" s="21"/>
      <c r="B1231" s="20"/>
      <c r="C1231" s="22"/>
      <c r="D1231" s="22"/>
      <c r="E1231" s="24"/>
      <c r="F1231" s="22"/>
      <c r="H1231" s="21">
        <v>45945</v>
      </c>
      <c r="I1231" s="22" t="s">
        <v>71</v>
      </c>
      <c r="J1231" s="22" t="s">
        <v>44</v>
      </c>
      <c r="K1231" s="24" t="s">
        <v>61</v>
      </c>
      <c r="M1231" s="21">
        <v>45982</v>
      </c>
      <c r="N1231" s="22" t="s">
        <v>70</v>
      </c>
      <c r="O1231" s="22" t="s">
        <v>56</v>
      </c>
      <c r="P1231" s="49">
        <v>74.7</v>
      </c>
      <c r="Q1231" s="49">
        <v>74.8</v>
      </c>
      <c r="R1231" s="46">
        <f t="shared" si="42"/>
        <v>-9.9999999999994316E-2</v>
      </c>
      <c r="T1231" s="21">
        <v>45968</v>
      </c>
      <c r="U1231" s="22" t="s">
        <v>51</v>
      </c>
      <c r="V1231" s="24">
        <v>5</v>
      </c>
      <c r="W1231" s="24">
        <v>4</v>
      </c>
      <c r="X1231" s="24">
        <v>4</v>
      </c>
      <c r="Y1231" s="24">
        <v>5</v>
      </c>
      <c r="Z1231" s="20">
        <f t="shared" si="43"/>
        <v>18</v>
      </c>
    </row>
    <row r="1232" spans="1:26" x14ac:dyDescent="0.2">
      <c r="A1232" s="21"/>
      <c r="B1232" s="20"/>
      <c r="C1232" s="22"/>
      <c r="D1232" s="22"/>
      <c r="E1232" s="24"/>
      <c r="F1232" s="22"/>
      <c r="H1232" s="21">
        <v>45945</v>
      </c>
      <c r="I1232" s="22" t="s">
        <v>71</v>
      </c>
      <c r="J1232" s="22" t="s">
        <v>45</v>
      </c>
      <c r="K1232" s="24" t="s">
        <v>61</v>
      </c>
      <c r="M1232" s="21">
        <v>45982</v>
      </c>
      <c r="N1232" s="22" t="s">
        <v>70</v>
      </c>
      <c r="O1232" s="22" t="s">
        <v>57</v>
      </c>
      <c r="P1232" s="49">
        <v>93.2</v>
      </c>
      <c r="Q1232" s="49">
        <v>93.2</v>
      </c>
      <c r="R1232" s="46">
        <f t="shared" si="42"/>
        <v>0</v>
      </c>
      <c r="T1232" s="21">
        <v>45968</v>
      </c>
      <c r="U1232" s="22" t="s">
        <v>52</v>
      </c>
      <c r="V1232" s="24">
        <v>4</v>
      </c>
      <c r="W1232" s="24">
        <v>5</v>
      </c>
      <c r="X1232" s="24">
        <v>5</v>
      </c>
      <c r="Y1232" s="24">
        <v>5</v>
      </c>
      <c r="Z1232" s="20">
        <f t="shared" si="43"/>
        <v>19</v>
      </c>
    </row>
    <row r="1233" spans="1:26" x14ac:dyDescent="0.2">
      <c r="A1233" s="21"/>
      <c r="B1233" s="20"/>
      <c r="C1233" s="22"/>
      <c r="D1233" s="22"/>
      <c r="E1233" s="24"/>
      <c r="F1233" s="22"/>
      <c r="H1233" s="21">
        <v>45945</v>
      </c>
      <c r="I1233" s="22" t="s">
        <v>71</v>
      </c>
      <c r="J1233" s="22" t="s">
        <v>57</v>
      </c>
      <c r="K1233" s="24">
        <v>8</v>
      </c>
      <c r="M1233" s="21">
        <v>45982</v>
      </c>
      <c r="N1233" s="22" t="s">
        <v>70</v>
      </c>
      <c r="O1233" s="22" t="s">
        <v>58</v>
      </c>
      <c r="P1233" s="49">
        <v>76.099999999999994</v>
      </c>
      <c r="Q1233" s="49">
        <v>76</v>
      </c>
      <c r="R1233" s="46">
        <f t="shared" si="42"/>
        <v>9.9999999999994316E-2</v>
      </c>
      <c r="T1233" s="21">
        <v>45968</v>
      </c>
      <c r="U1233" s="22" t="s">
        <v>53</v>
      </c>
      <c r="V1233" s="24">
        <v>5</v>
      </c>
      <c r="W1233" s="24">
        <v>4</v>
      </c>
      <c r="X1233" s="24">
        <v>4</v>
      </c>
      <c r="Y1233" s="24">
        <v>5</v>
      </c>
      <c r="Z1233" s="20">
        <f t="shared" si="43"/>
        <v>18</v>
      </c>
    </row>
    <row r="1234" spans="1:26" x14ac:dyDescent="0.2">
      <c r="A1234" s="21"/>
      <c r="B1234" s="20"/>
      <c r="C1234" s="22"/>
      <c r="D1234" s="22"/>
      <c r="E1234" s="24"/>
      <c r="F1234" s="22"/>
      <c r="H1234" s="21">
        <v>45945</v>
      </c>
      <c r="I1234" s="22" t="s">
        <v>71</v>
      </c>
      <c r="J1234" s="22" t="s">
        <v>42</v>
      </c>
      <c r="K1234" s="24">
        <v>5</v>
      </c>
      <c r="M1234" s="21">
        <v>45983</v>
      </c>
      <c r="N1234" s="22" t="s">
        <v>70</v>
      </c>
      <c r="O1234" s="22" t="s">
        <v>41</v>
      </c>
      <c r="P1234" s="49">
        <v>77</v>
      </c>
      <c r="Q1234" s="49">
        <v>76.8</v>
      </c>
      <c r="R1234" s="46">
        <f t="shared" si="42"/>
        <v>0.20000000000000284</v>
      </c>
      <c r="T1234" s="21">
        <v>45968</v>
      </c>
      <c r="U1234" s="22" t="s">
        <v>55</v>
      </c>
      <c r="V1234" s="24">
        <v>5</v>
      </c>
      <c r="W1234" s="24">
        <v>5</v>
      </c>
      <c r="X1234" s="24">
        <v>4</v>
      </c>
      <c r="Y1234" s="24">
        <v>4</v>
      </c>
      <c r="Z1234" s="20">
        <f t="shared" si="43"/>
        <v>18</v>
      </c>
    </row>
    <row r="1235" spans="1:26" x14ac:dyDescent="0.2">
      <c r="A1235" s="21"/>
      <c r="B1235" s="20"/>
      <c r="C1235" s="22"/>
      <c r="D1235" s="22"/>
      <c r="E1235" s="24"/>
      <c r="F1235" s="22"/>
      <c r="H1235" s="21">
        <v>45945</v>
      </c>
      <c r="I1235" s="22" t="s">
        <v>71</v>
      </c>
      <c r="J1235" s="22" t="s">
        <v>54</v>
      </c>
      <c r="K1235" s="24">
        <v>8</v>
      </c>
      <c r="M1235" s="21">
        <v>45983</v>
      </c>
      <c r="N1235" s="22" t="s">
        <v>71</v>
      </c>
      <c r="O1235" s="22" t="s">
        <v>41</v>
      </c>
      <c r="P1235" s="49">
        <v>77</v>
      </c>
      <c r="Q1235" s="49">
        <v>76.5</v>
      </c>
      <c r="R1235" s="46">
        <f t="shared" si="42"/>
        <v>0.5</v>
      </c>
      <c r="T1235" s="21">
        <v>45968</v>
      </c>
      <c r="U1235" s="22" t="s">
        <v>56</v>
      </c>
      <c r="V1235" s="24">
        <v>5</v>
      </c>
      <c r="W1235" s="24">
        <v>5</v>
      </c>
      <c r="X1235" s="24">
        <v>4</v>
      </c>
      <c r="Y1235" s="24">
        <v>5</v>
      </c>
      <c r="Z1235" s="20">
        <f t="shared" si="43"/>
        <v>19</v>
      </c>
    </row>
    <row r="1236" spans="1:26" x14ac:dyDescent="0.2">
      <c r="A1236" s="21"/>
      <c r="B1236" s="20"/>
      <c r="C1236" s="22"/>
      <c r="D1236" s="22"/>
      <c r="E1236" s="24"/>
      <c r="F1236" s="22"/>
      <c r="H1236" s="21">
        <v>45945</v>
      </c>
      <c r="I1236" s="22" t="s">
        <v>71</v>
      </c>
      <c r="J1236" s="22" t="s">
        <v>47</v>
      </c>
      <c r="K1236" s="24">
        <v>6</v>
      </c>
      <c r="M1236" s="21">
        <v>45983</v>
      </c>
      <c r="N1236" s="22" t="s">
        <v>70</v>
      </c>
      <c r="O1236" s="22" t="s">
        <v>42</v>
      </c>
      <c r="P1236" s="49">
        <v>79</v>
      </c>
      <c r="Q1236" s="49">
        <v>78.8</v>
      </c>
      <c r="R1236" s="46">
        <f t="shared" si="42"/>
        <v>0.20000000000000284</v>
      </c>
      <c r="T1236" s="21">
        <v>45968</v>
      </c>
      <c r="U1236" s="22" t="s">
        <v>57</v>
      </c>
      <c r="V1236" s="24">
        <v>5</v>
      </c>
      <c r="W1236" s="24">
        <v>4</v>
      </c>
      <c r="X1236" s="24">
        <v>4</v>
      </c>
      <c r="Y1236" s="24">
        <v>5</v>
      </c>
      <c r="Z1236" s="20">
        <f t="shared" si="43"/>
        <v>18</v>
      </c>
    </row>
    <row r="1237" spans="1:26" x14ac:dyDescent="0.2">
      <c r="A1237" s="21"/>
      <c r="B1237" s="20"/>
      <c r="C1237" s="22"/>
      <c r="D1237" s="22"/>
      <c r="E1237" s="24"/>
      <c r="F1237" s="22"/>
      <c r="H1237" s="21">
        <v>45945</v>
      </c>
      <c r="I1237" s="22" t="s">
        <v>71</v>
      </c>
      <c r="J1237" s="22" t="s">
        <v>41</v>
      </c>
      <c r="K1237" s="24" t="s">
        <v>61</v>
      </c>
      <c r="M1237" s="21">
        <v>45983</v>
      </c>
      <c r="N1237" s="22" t="s">
        <v>71</v>
      </c>
      <c r="O1237" s="22" t="s">
        <v>42</v>
      </c>
      <c r="P1237" s="49">
        <v>79.099999999999994</v>
      </c>
      <c r="Q1237" s="49">
        <v>78.599999999999994</v>
      </c>
      <c r="R1237" s="46">
        <f t="shared" si="42"/>
        <v>0.5</v>
      </c>
      <c r="T1237" s="21">
        <v>45968</v>
      </c>
      <c r="U1237" s="22" t="s">
        <v>58</v>
      </c>
      <c r="V1237" s="24">
        <v>5</v>
      </c>
      <c r="W1237" s="24">
        <v>4</v>
      </c>
      <c r="X1237" s="24">
        <v>4</v>
      </c>
      <c r="Y1237" s="24">
        <v>5</v>
      </c>
      <c r="Z1237" s="20">
        <f t="shared" si="43"/>
        <v>18</v>
      </c>
    </row>
    <row r="1238" spans="1:26" x14ac:dyDescent="0.2">
      <c r="A1238" s="21"/>
      <c r="B1238" s="20"/>
      <c r="C1238" s="22"/>
      <c r="D1238" s="22"/>
      <c r="E1238" s="24"/>
      <c r="F1238" s="22"/>
      <c r="H1238" s="21">
        <v>45945</v>
      </c>
      <c r="I1238" s="22" t="s">
        <v>71</v>
      </c>
      <c r="J1238" s="22" t="s">
        <v>49</v>
      </c>
      <c r="K1238" s="24">
        <v>8</v>
      </c>
      <c r="M1238" s="21">
        <v>45983</v>
      </c>
      <c r="N1238" s="22" t="s">
        <v>70</v>
      </c>
      <c r="O1238" s="22" t="s">
        <v>44</v>
      </c>
      <c r="P1238" s="49">
        <v>67</v>
      </c>
      <c r="Q1238" s="49">
        <v>67.3</v>
      </c>
      <c r="R1238" s="46">
        <f t="shared" si="42"/>
        <v>-0.29999999999999716</v>
      </c>
      <c r="T1238" s="21">
        <v>45968</v>
      </c>
      <c r="U1238" s="22" t="s">
        <v>33</v>
      </c>
      <c r="V1238" s="24">
        <v>4.5</v>
      </c>
      <c r="W1238" s="24">
        <v>4.125</v>
      </c>
      <c r="X1238" s="24">
        <v>3.875</v>
      </c>
      <c r="Y1238" s="24">
        <v>4.5625</v>
      </c>
      <c r="Z1238" s="20">
        <f t="shared" si="43"/>
        <v>17.0625</v>
      </c>
    </row>
    <row r="1239" spans="1:26" x14ac:dyDescent="0.2">
      <c r="A1239" s="21"/>
      <c r="B1239" s="20"/>
      <c r="C1239" s="22"/>
      <c r="D1239" s="22"/>
      <c r="E1239" s="24"/>
      <c r="F1239" s="22"/>
      <c r="H1239" s="21">
        <v>45945</v>
      </c>
      <c r="I1239" s="22" t="s">
        <v>71</v>
      </c>
      <c r="J1239" s="22" t="s">
        <v>43</v>
      </c>
      <c r="K1239" s="24">
        <v>6</v>
      </c>
      <c r="M1239" s="21">
        <v>45983</v>
      </c>
      <c r="N1239" s="22" t="s">
        <v>70</v>
      </c>
      <c r="O1239" s="22" t="s">
        <v>45</v>
      </c>
      <c r="P1239" s="49">
        <v>68.7</v>
      </c>
      <c r="Q1239" s="49">
        <v>68.5</v>
      </c>
      <c r="R1239" s="46">
        <f t="shared" si="42"/>
        <v>0.20000000000000284</v>
      </c>
      <c r="T1239" s="21">
        <v>45971</v>
      </c>
      <c r="U1239" s="22" t="s">
        <v>42</v>
      </c>
      <c r="V1239" s="24">
        <v>4</v>
      </c>
      <c r="W1239" s="24">
        <v>4</v>
      </c>
      <c r="X1239" s="24">
        <v>4</v>
      </c>
      <c r="Y1239" s="24">
        <v>4</v>
      </c>
      <c r="Z1239" s="20">
        <f t="shared" si="43"/>
        <v>16</v>
      </c>
    </row>
    <row r="1240" spans="1:26" x14ac:dyDescent="0.2">
      <c r="A1240" s="21"/>
      <c r="B1240" s="20"/>
      <c r="C1240" s="22"/>
      <c r="D1240" s="22"/>
      <c r="E1240" s="24"/>
      <c r="F1240" s="22"/>
      <c r="H1240" s="21">
        <v>45945</v>
      </c>
      <c r="I1240" s="22" t="s">
        <v>71</v>
      </c>
      <c r="J1240" s="22" t="s">
        <v>50</v>
      </c>
      <c r="K1240" s="24">
        <v>8</v>
      </c>
      <c r="M1240" s="21">
        <v>45983</v>
      </c>
      <c r="N1240" s="22" t="s">
        <v>71</v>
      </c>
      <c r="O1240" s="22" t="s">
        <v>45</v>
      </c>
      <c r="P1240" s="49">
        <v>69.2</v>
      </c>
      <c r="Q1240" s="49">
        <v>68.7</v>
      </c>
      <c r="R1240" s="46">
        <f t="shared" si="42"/>
        <v>0.5</v>
      </c>
      <c r="T1240" s="21">
        <v>45971</v>
      </c>
      <c r="U1240" s="22" t="s">
        <v>43</v>
      </c>
      <c r="V1240" s="24">
        <v>4</v>
      </c>
      <c r="W1240" s="24">
        <v>4</v>
      </c>
      <c r="X1240" s="24">
        <v>4</v>
      </c>
      <c r="Y1240" s="24">
        <v>5</v>
      </c>
      <c r="Z1240" s="20">
        <f t="shared" si="43"/>
        <v>17</v>
      </c>
    </row>
    <row r="1241" spans="1:26" x14ac:dyDescent="0.2">
      <c r="A1241" s="21"/>
      <c r="B1241" s="20"/>
      <c r="C1241" s="22"/>
      <c r="D1241" s="22"/>
      <c r="E1241" s="24"/>
      <c r="F1241" s="22"/>
      <c r="H1241" s="21">
        <v>45945</v>
      </c>
      <c r="I1241" s="22" t="s">
        <v>71</v>
      </c>
      <c r="J1241" s="22" t="s">
        <v>51</v>
      </c>
      <c r="K1241" s="24">
        <v>8</v>
      </c>
      <c r="M1241" s="21">
        <v>45983</v>
      </c>
      <c r="N1241" s="22" t="s">
        <v>70</v>
      </c>
      <c r="O1241" s="22" t="s">
        <v>46</v>
      </c>
      <c r="P1241" s="49">
        <v>81</v>
      </c>
      <c r="Q1241" s="49">
        <v>80</v>
      </c>
      <c r="R1241" s="46">
        <f t="shared" si="42"/>
        <v>1</v>
      </c>
      <c r="T1241" s="21">
        <v>45971</v>
      </c>
      <c r="U1241" s="22" t="s">
        <v>45</v>
      </c>
      <c r="V1241" s="24">
        <v>5</v>
      </c>
      <c r="W1241" s="24">
        <v>4</v>
      </c>
      <c r="X1241" s="24">
        <v>4</v>
      </c>
      <c r="Y1241" s="24">
        <v>4</v>
      </c>
      <c r="Z1241" s="20">
        <f t="shared" si="43"/>
        <v>17</v>
      </c>
    </row>
    <row r="1242" spans="1:26" x14ac:dyDescent="0.2">
      <c r="A1242" s="21"/>
      <c r="B1242" s="20"/>
      <c r="C1242" s="22"/>
      <c r="D1242" s="22"/>
      <c r="E1242" s="24"/>
      <c r="F1242" s="22"/>
      <c r="H1242" s="21">
        <v>45945</v>
      </c>
      <c r="I1242" s="22" t="s">
        <v>71</v>
      </c>
      <c r="J1242" s="22" t="s">
        <v>46</v>
      </c>
      <c r="K1242" s="24" t="s">
        <v>64</v>
      </c>
      <c r="M1242" s="21">
        <v>45983</v>
      </c>
      <c r="N1242" s="22" t="s">
        <v>71</v>
      </c>
      <c r="O1242" s="22" t="s">
        <v>46</v>
      </c>
      <c r="P1242" s="49">
        <v>80.400000000000006</v>
      </c>
      <c r="Q1242" s="49">
        <v>80.3</v>
      </c>
      <c r="R1242" s="46">
        <f t="shared" si="42"/>
        <v>0.10000000000000853</v>
      </c>
      <c r="T1242" s="21">
        <v>45971</v>
      </c>
      <c r="U1242" s="22" t="s">
        <v>46</v>
      </c>
      <c r="V1242" s="24">
        <v>5</v>
      </c>
      <c r="W1242" s="24">
        <v>5</v>
      </c>
      <c r="X1242" s="24">
        <v>5</v>
      </c>
      <c r="Y1242" s="24">
        <v>4</v>
      </c>
      <c r="Z1242" s="20">
        <f t="shared" si="43"/>
        <v>19</v>
      </c>
    </row>
    <row r="1243" spans="1:26" x14ac:dyDescent="0.2">
      <c r="A1243" s="21"/>
      <c r="B1243" s="20"/>
      <c r="C1243" s="22"/>
      <c r="D1243" s="22"/>
      <c r="E1243" s="24"/>
      <c r="F1243" s="22"/>
      <c r="H1243" s="21">
        <v>45945</v>
      </c>
      <c r="I1243" s="22" t="s">
        <v>71</v>
      </c>
      <c r="J1243" s="22" t="s">
        <v>48</v>
      </c>
      <c r="K1243" s="24">
        <v>7</v>
      </c>
      <c r="M1243" s="21">
        <v>45983</v>
      </c>
      <c r="N1243" s="22" t="s">
        <v>70</v>
      </c>
      <c r="O1243" s="22" t="s">
        <v>47</v>
      </c>
      <c r="P1243" s="49">
        <v>70</v>
      </c>
      <c r="Q1243" s="49">
        <v>70</v>
      </c>
      <c r="R1243" s="46">
        <f t="shared" si="42"/>
        <v>0</v>
      </c>
      <c r="T1243" s="21">
        <v>45971</v>
      </c>
      <c r="U1243" s="22" t="s">
        <v>47</v>
      </c>
      <c r="V1243" s="24">
        <v>4</v>
      </c>
      <c r="W1243" s="24">
        <v>3</v>
      </c>
      <c r="X1243" s="24">
        <v>4</v>
      </c>
      <c r="Y1243" s="24">
        <v>3</v>
      </c>
      <c r="Z1243" s="20">
        <f t="shared" si="43"/>
        <v>14</v>
      </c>
    </row>
    <row r="1244" spans="1:26" x14ac:dyDescent="0.2">
      <c r="A1244" s="21"/>
      <c r="B1244" s="20"/>
      <c r="C1244" s="22"/>
      <c r="D1244" s="22"/>
      <c r="E1244" s="24"/>
      <c r="F1244" s="22"/>
      <c r="H1244" s="21">
        <v>45945</v>
      </c>
      <c r="I1244" s="22" t="s">
        <v>71</v>
      </c>
      <c r="J1244" s="22" t="s">
        <v>56</v>
      </c>
      <c r="K1244" s="24">
        <v>8</v>
      </c>
      <c r="M1244" s="21">
        <v>45983</v>
      </c>
      <c r="N1244" s="22" t="s">
        <v>71</v>
      </c>
      <c r="O1244" s="22" t="s">
        <v>47</v>
      </c>
      <c r="P1244" s="49">
        <v>70</v>
      </c>
      <c r="Q1244" s="49">
        <v>70.2</v>
      </c>
      <c r="R1244" s="46">
        <f t="shared" si="42"/>
        <v>-0.20000000000000284</v>
      </c>
      <c r="T1244" s="21">
        <v>45971</v>
      </c>
      <c r="U1244" s="22" t="s">
        <v>49</v>
      </c>
      <c r="V1244" s="24">
        <v>4</v>
      </c>
      <c r="W1244" s="24">
        <v>4</v>
      </c>
      <c r="X1244" s="24">
        <v>4</v>
      </c>
      <c r="Y1244" s="24">
        <v>4</v>
      </c>
      <c r="Z1244" s="20">
        <f t="shared" si="43"/>
        <v>16</v>
      </c>
    </row>
    <row r="1245" spans="1:26" x14ac:dyDescent="0.2">
      <c r="A1245" s="21"/>
      <c r="B1245" s="20"/>
      <c r="C1245" s="22"/>
      <c r="D1245" s="22"/>
      <c r="E1245" s="24"/>
      <c r="F1245" s="22"/>
      <c r="H1245" s="21">
        <v>45945</v>
      </c>
      <c r="I1245" s="22" t="s">
        <v>71</v>
      </c>
      <c r="J1245" s="22" t="s">
        <v>55</v>
      </c>
      <c r="K1245" s="24">
        <v>7</v>
      </c>
      <c r="M1245" s="21">
        <v>45983</v>
      </c>
      <c r="N1245" s="22" t="s">
        <v>70</v>
      </c>
      <c r="O1245" s="22" t="s">
        <v>48</v>
      </c>
      <c r="P1245" s="49">
        <v>81.8</v>
      </c>
      <c r="Q1245" s="49">
        <v>81.5</v>
      </c>
      <c r="R1245" s="46">
        <f t="shared" si="42"/>
        <v>0.29999999999999716</v>
      </c>
      <c r="T1245" s="21">
        <v>45971</v>
      </c>
      <c r="U1245" s="22" t="s">
        <v>50</v>
      </c>
      <c r="V1245" s="24">
        <v>2</v>
      </c>
      <c r="W1245" s="24">
        <v>5</v>
      </c>
      <c r="X1245" s="24">
        <v>5</v>
      </c>
      <c r="Y1245" s="24">
        <v>4</v>
      </c>
      <c r="Z1245" s="20">
        <f t="shared" si="43"/>
        <v>16</v>
      </c>
    </row>
    <row r="1246" spans="1:26" x14ac:dyDescent="0.2">
      <c r="A1246" s="21"/>
      <c r="B1246" s="20"/>
      <c r="C1246" s="22"/>
      <c r="D1246" s="22"/>
      <c r="E1246" s="24"/>
      <c r="F1246" s="22"/>
      <c r="H1246" s="21">
        <v>45946</v>
      </c>
      <c r="I1246" s="22" t="s">
        <v>70</v>
      </c>
      <c r="J1246" s="22" t="s">
        <v>52</v>
      </c>
      <c r="K1246" s="24">
        <v>8</v>
      </c>
      <c r="M1246" s="21">
        <v>45983</v>
      </c>
      <c r="N1246" s="22" t="s">
        <v>71</v>
      </c>
      <c r="O1246" s="22" t="s">
        <v>48</v>
      </c>
      <c r="P1246" s="49">
        <v>82</v>
      </c>
      <c r="Q1246" s="49">
        <v>80.7</v>
      </c>
      <c r="R1246" s="46">
        <f t="shared" si="42"/>
        <v>1.2999999999999972</v>
      </c>
      <c r="T1246" s="21">
        <v>45971</v>
      </c>
      <c r="U1246" s="22" t="s">
        <v>51</v>
      </c>
      <c r="V1246" s="24">
        <v>3</v>
      </c>
      <c r="W1246" s="24">
        <v>4</v>
      </c>
      <c r="X1246" s="24">
        <v>4</v>
      </c>
      <c r="Y1246" s="24">
        <v>4</v>
      </c>
      <c r="Z1246" s="20">
        <f t="shared" si="43"/>
        <v>15</v>
      </c>
    </row>
    <row r="1247" spans="1:26" x14ac:dyDescent="0.2">
      <c r="A1247" s="21"/>
      <c r="B1247" s="20"/>
      <c r="C1247" s="22"/>
      <c r="D1247" s="22"/>
      <c r="E1247" s="24"/>
      <c r="F1247" s="22"/>
      <c r="H1247" s="21">
        <v>45946</v>
      </c>
      <c r="I1247" s="22" t="s">
        <v>70</v>
      </c>
      <c r="J1247" s="22" t="s">
        <v>53</v>
      </c>
      <c r="K1247" s="24">
        <v>7</v>
      </c>
      <c r="M1247" s="21">
        <v>45983</v>
      </c>
      <c r="N1247" s="22" t="s">
        <v>70</v>
      </c>
      <c r="O1247" s="22" t="s">
        <v>49</v>
      </c>
      <c r="P1247" s="49">
        <v>78.099999999999994</v>
      </c>
      <c r="Q1247" s="49">
        <v>78</v>
      </c>
      <c r="R1247" s="46">
        <f t="shared" si="42"/>
        <v>9.9999999999994316E-2</v>
      </c>
      <c r="T1247" s="21">
        <v>45971</v>
      </c>
      <c r="U1247" s="22" t="s">
        <v>52</v>
      </c>
      <c r="V1247" s="24">
        <v>4</v>
      </c>
      <c r="W1247" s="24">
        <v>5</v>
      </c>
      <c r="X1247" s="24">
        <v>5</v>
      </c>
      <c r="Y1247" s="24">
        <v>4</v>
      </c>
      <c r="Z1247" s="20">
        <f t="shared" si="43"/>
        <v>18</v>
      </c>
    </row>
    <row r="1248" spans="1:26" x14ac:dyDescent="0.2">
      <c r="A1248" s="21"/>
      <c r="B1248" s="20"/>
      <c r="C1248" s="22"/>
      <c r="D1248" s="22"/>
      <c r="E1248" s="24"/>
      <c r="F1248" s="22"/>
      <c r="H1248" s="21">
        <v>45946</v>
      </c>
      <c r="I1248" s="22" t="s">
        <v>70</v>
      </c>
      <c r="J1248" s="22" t="s">
        <v>44</v>
      </c>
      <c r="K1248" s="24">
        <v>5</v>
      </c>
      <c r="M1248" s="21">
        <v>45983</v>
      </c>
      <c r="N1248" s="22" t="s">
        <v>71</v>
      </c>
      <c r="O1248" s="22" t="s">
        <v>49</v>
      </c>
      <c r="P1248" s="49">
        <v>77.7</v>
      </c>
      <c r="Q1248" s="49">
        <v>77.8</v>
      </c>
      <c r="R1248" s="46">
        <f t="shared" si="42"/>
        <v>-9.9999999999994316E-2</v>
      </c>
      <c r="T1248" s="21">
        <v>45971</v>
      </c>
      <c r="U1248" s="22" t="s">
        <v>53</v>
      </c>
      <c r="V1248" s="24">
        <v>4</v>
      </c>
      <c r="W1248" s="24">
        <v>5</v>
      </c>
      <c r="X1248" s="24">
        <v>5</v>
      </c>
      <c r="Y1248" s="24">
        <v>4</v>
      </c>
      <c r="Z1248" s="20">
        <f t="shared" si="43"/>
        <v>18</v>
      </c>
    </row>
    <row r="1249" spans="1:26" x14ac:dyDescent="0.2">
      <c r="A1249" s="21"/>
      <c r="B1249" s="20"/>
      <c r="C1249" s="22"/>
      <c r="D1249" s="22"/>
      <c r="E1249" s="24"/>
      <c r="F1249" s="22"/>
      <c r="H1249" s="21">
        <v>45946</v>
      </c>
      <c r="I1249" s="22" t="s">
        <v>70</v>
      </c>
      <c r="J1249" s="22" t="s">
        <v>45</v>
      </c>
      <c r="K1249" s="24">
        <v>4</v>
      </c>
      <c r="M1249" s="21">
        <v>45983</v>
      </c>
      <c r="N1249" s="22" t="s">
        <v>70</v>
      </c>
      <c r="O1249" s="22" t="s">
        <v>50</v>
      </c>
      <c r="P1249" s="49">
        <v>67.3</v>
      </c>
      <c r="Q1249" s="49">
        <v>67.400000000000006</v>
      </c>
      <c r="R1249" s="46">
        <f t="shared" si="42"/>
        <v>-0.10000000000000853</v>
      </c>
      <c r="T1249" s="21">
        <v>45971</v>
      </c>
      <c r="U1249" s="22" t="s">
        <v>55</v>
      </c>
      <c r="V1249" s="24">
        <v>4</v>
      </c>
      <c r="W1249" s="24">
        <v>4</v>
      </c>
      <c r="X1249" s="24">
        <v>4</v>
      </c>
      <c r="Y1249" s="24">
        <v>5</v>
      </c>
      <c r="Z1249" s="20">
        <f t="shared" si="43"/>
        <v>17</v>
      </c>
    </row>
    <row r="1250" spans="1:26" x14ac:dyDescent="0.2">
      <c r="A1250" s="21"/>
      <c r="B1250" s="20"/>
      <c r="C1250" s="22"/>
      <c r="D1250" s="22"/>
      <c r="E1250" s="24"/>
      <c r="F1250" s="22"/>
      <c r="H1250" s="21">
        <v>45946</v>
      </c>
      <c r="I1250" s="22" t="s">
        <v>70</v>
      </c>
      <c r="J1250" s="22" t="s">
        <v>57</v>
      </c>
      <c r="K1250" s="24">
        <v>7</v>
      </c>
      <c r="M1250" s="21">
        <v>45983</v>
      </c>
      <c r="N1250" s="22" t="s">
        <v>71</v>
      </c>
      <c r="O1250" s="22" t="s">
        <v>50</v>
      </c>
      <c r="P1250" s="49">
        <v>67.8</v>
      </c>
      <c r="Q1250" s="49">
        <v>67</v>
      </c>
      <c r="R1250" s="46">
        <f t="shared" si="42"/>
        <v>0.79999999999999716</v>
      </c>
      <c r="T1250" s="21">
        <v>45971</v>
      </c>
      <c r="U1250" s="22" t="s">
        <v>56</v>
      </c>
      <c r="V1250" s="24">
        <v>3</v>
      </c>
      <c r="W1250" s="24">
        <v>4</v>
      </c>
      <c r="X1250" s="24">
        <v>4</v>
      </c>
      <c r="Y1250" s="24">
        <v>5</v>
      </c>
      <c r="Z1250" s="20">
        <f t="shared" si="43"/>
        <v>16</v>
      </c>
    </row>
    <row r="1251" spans="1:26" x14ac:dyDescent="0.2">
      <c r="A1251" s="21"/>
      <c r="B1251" s="20"/>
      <c r="C1251" s="22"/>
      <c r="D1251" s="22"/>
      <c r="E1251" s="24"/>
      <c r="F1251" s="22"/>
      <c r="H1251" s="21">
        <v>45946</v>
      </c>
      <c r="I1251" s="22" t="s">
        <v>70</v>
      </c>
      <c r="J1251" s="22" t="s">
        <v>42</v>
      </c>
      <c r="K1251" s="24">
        <v>3</v>
      </c>
      <c r="M1251" s="21">
        <v>45983</v>
      </c>
      <c r="N1251" s="22" t="s">
        <v>70</v>
      </c>
      <c r="O1251" s="22" t="s">
        <v>51</v>
      </c>
      <c r="P1251" s="49">
        <v>74.2</v>
      </c>
      <c r="Q1251" s="49">
        <v>74.099999999999994</v>
      </c>
      <c r="R1251" s="46">
        <f t="shared" si="42"/>
        <v>0.10000000000000853</v>
      </c>
      <c r="T1251" s="21">
        <v>45971</v>
      </c>
      <c r="U1251" s="22" t="s">
        <v>57</v>
      </c>
      <c r="V1251" s="24">
        <v>5</v>
      </c>
      <c r="W1251" s="24">
        <v>4</v>
      </c>
      <c r="X1251" s="24">
        <v>4</v>
      </c>
      <c r="Y1251" s="24">
        <v>5</v>
      </c>
      <c r="Z1251" s="20">
        <f t="shared" si="43"/>
        <v>18</v>
      </c>
    </row>
    <row r="1252" spans="1:26" x14ac:dyDescent="0.2">
      <c r="A1252" s="21"/>
      <c r="B1252" s="20"/>
      <c r="C1252" s="22"/>
      <c r="D1252" s="22"/>
      <c r="E1252" s="24"/>
      <c r="F1252" s="22"/>
      <c r="H1252" s="21">
        <v>45946</v>
      </c>
      <c r="I1252" s="22" t="s">
        <v>70</v>
      </c>
      <c r="J1252" s="22" t="s">
        <v>54</v>
      </c>
      <c r="K1252" s="24">
        <v>8</v>
      </c>
      <c r="M1252" s="21">
        <v>45983</v>
      </c>
      <c r="N1252" s="22" t="s">
        <v>71</v>
      </c>
      <c r="O1252" s="22" t="s">
        <v>51</v>
      </c>
      <c r="P1252" s="49">
        <v>74.099999999999994</v>
      </c>
      <c r="Q1252" s="49">
        <v>74</v>
      </c>
      <c r="R1252" s="46">
        <f t="shared" si="42"/>
        <v>9.9999999999994316E-2</v>
      </c>
      <c r="T1252" s="21">
        <v>45971</v>
      </c>
      <c r="U1252" s="22" t="s">
        <v>58</v>
      </c>
      <c r="V1252" s="24">
        <v>4</v>
      </c>
      <c r="W1252" s="24">
        <v>5</v>
      </c>
      <c r="X1252" s="24">
        <v>5</v>
      </c>
      <c r="Y1252" s="24">
        <v>4</v>
      </c>
      <c r="Z1252" s="20">
        <f t="shared" si="43"/>
        <v>18</v>
      </c>
    </row>
    <row r="1253" spans="1:26" x14ac:dyDescent="0.2">
      <c r="A1253" s="21"/>
      <c r="B1253" s="20"/>
      <c r="C1253" s="22"/>
      <c r="D1253" s="22"/>
      <c r="E1253" s="24"/>
      <c r="F1253" s="22"/>
      <c r="H1253" s="21">
        <v>45946</v>
      </c>
      <c r="I1253" s="22" t="s">
        <v>70</v>
      </c>
      <c r="J1253" s="22" t="s">
        <v>47</v>
      </c>
      <c r="K1253" s="24">
        <v>4</v>
      </c>
      <c r="M1253" s="21">
        <v>45983</v>
      </c>
      <c r="N1253" s="22" t="s">
        <v>71</v>
      </c>
      <c r="O1253" s="22" t="s">
        <v>52</v>
      </c>
      <c r="P1253" s="49">
        <v>71</v>
      </c>
      <c r="Q1253" s="49">
        <v>71</v>
      </c>
      <c r="R1253" s="46">
        <f t="shared" si="42"/>
        <v>0</v>
      </c>
      <c r="T1253" s="21">
        <v>45971</v>
      </c>
      <c r="U1253" s="22" t="s">
        <v>33</v>
      </c>
      <c r="V1253" s="24">
        <v>3.9285714285714302</v>
      </c>
      <c r="W1253" s="24">
        <v>4.28571428571429</v>
      </c>
      <c r="X1253" s="24">
        <v>4.3571428571428603</v>
      </c>
      <c r="Y1253" s="24">
        <v>4.21428571428571</v>
      </c>
      <c r="Z1253" s="20">
        <f t="shared" si="43"/>
        <v>16.785714285714292</v>
      </c>
    </row>
    <row r="1254" spans="1:26" x14ac:dyDescent="0.2">
      <c r="A1254" s="21"/>
      <c r="B1254" s="20"/>
      <c r="C1254" s="22"/>
      <c r="D1254" s="22"/>
      <c r="E1254" s="24"/>
      <c r="F1254" s="22"/>
      <c r="H1254" s="21">
        <v>45946</v>
      </c>
      <c r="I1254" s="22" t="s">
        <v>70</v>
      </c>
      <c r="J1254" s="22" t="s">
        <v>41</v>
      </c>
      <c r="K1254" s="24" t="s">
        <v>61</v>
      </c>
      <c r="M1254" s="21">
        <v>45983</v>
      </c>
      <c r="N1254" s="22" t="s">
        <v>70</v>
      </c>
      <c r="O1254" s="22" t="s">
        <v>53</v>
      </c>
      <c r="P1254" s="49">
        <v>67.7</v>
      </c>
      <c r="Q1254" s="49">
        <v>67</v>
      </c>
      <c r="R1254" s="46">
        <f t="shared" si="42"/>
        <v>0.70000000000000284</v>
      </c>
      <c r="T1254" s="21">
        <v>45972</v>
      </c>
      <c r="U1254" s="22" t="s">
        <v>42</v>
      </c>
      <c r="V1254" s="24">
        <v>4</v>
      </c>
      <c r="W1254" s="24">
        <v>4</v>
      </c>
      <c r="X1254" s="24">
        <v>4</v>
      </c>
      <c r="Y1254" s="24">
        <v>5</v>
      </c>
      <c r="Z1254" s="20">
        <f t="shared" si="43"/>
        <v>17</v>
      </c>
    </row>
    <row r="1255" spans="1:26" x14ac:dyDescent="0.2">
      <c r="A1255" s="21"/>
      <c r="B1255" s="20"/>
      <c r="C1255" s="22"/>
      <c r="D1255" s="22"/>
      <c r="E1255" s="24"/>
      <c r="F1255" s="22"/>
      <c r="H1255" s="21">
        <v>45946</v>
      </c>
      <c r="I1255" s="22" t="s">
        <v>70</v>
      </c>
      <c r="J1255" s="22" t="s">
        <v>58</v>
      </c>
      <c r="K1255" s="24">
        <v>6</v>
      </c>
      <c r="M1255" s="21">
        <v>45983</v>
      </c>
      <c r="N1255" s="22" t="s">
        <v>71</v>
      </c>
      <c r="O1255" s="22" t="s">
        <v>53</v>
      </c>
      <c r="P1255" s="49">
        <v>67.7</v>
      </c>
      <c r="Q1255" s="49">
        <v>67</v>
      </c>
      <c r="R1255" s="46">
        <f t="shared" si="42"/>
        <v>0.70000000000000284</v>
      </c>
      <c r="T1255" s="21">
        <v>45972</v>
      </c>
      <c r="U1255" s="22" t="s">
        <v>43</v>
      </c>
      <c r="V1255" s="24">
        <v>4</v>
      </c>
      <c r="W1255" s="24">
        <v>4</v>
      </c>
      <c r="X1255" s="24">
        <v>4</v>
      </c>
      <c r="Y1255" s="24">
        <v>5</v>
      </c>
      <c r="Z1255" s="20">
        <f t="shared" si="43"/>
        <v>17</v>
      </c>
    </row>
    <row r="1256" spans="1:26" x14ac:dyDescent="0.2">
      <c r="A1256" s="21"/>
      <c r="B1256" s="20"/>
      <c r="C1256" s="22"/>
      <c r="D1256" s="22"/>
      <c r="E1256" s="24"/>
      <c r="F1256" s="22"/>
      <c r="H1256" s="21">
        <v>45946</v>
      </c>
      <c r="I1256" s="22" t="s">
        <v>70</v>
      </c>
      <c r="J1256" s="22" t="s">
        <v>49</v>
      </c>
      <c r="K1256" s="24">
        <v>7</v>
      </c>
      <c r="M1256" s="21">
        <v>45983</v>
      </c>
      <c r="N1256" s="22" t="s">
        <v>70</v>
      </c>
      <c r="O1256" s="22" t="s">
        <v>56</v>
      </c>
      <c r="P1256" s="49">
        <v>74.8</v>
      </c>
      <c r="Q1256" s="49">
        <v>74.8</v>
      </c>
      <c r="R1256" s="46">
        <f t="shared" si="42"/>
        <v>0</v>
      </c>
      <c r="T1256" s="21">
        <v>45972</v>
      </c>
      <c r="U1256" s="22" t="s">
        <v>45</v>
      </c>
      <c r="V1256" s="24">
        <v>4</v>
      </c>
      <c r="W1256" s="24">
        <v>3</v>
      </c>
      <c r="X1256" s="24">
        <v>4</v>
      </c>
      <c r="Y1256" s="24">
        <v>5</v>
      </c>
      <c r="Z1256" s="20">
        <f t="shared" si="43"/>
        <v>16</v>
      </c>
    </row>
    <row r="1257" spans="1:26" x14ac:dyDescent="0.2">
      <c r="A1257" s="21"/>
      <c r="B1257" s="20"/>
      <c r="C1257" s="22"/>
      <c r="D1257" s="22"/>
      <c r="E1257" s="24"/>
      <c r="F1257" s="22"/>
      <c r="H1257" s="21">
        <v>45946</v>
      </c>
      <c r="I1257" s="22" t="s">
        <v>70</v>
      </c>
      <c r="J1257" s="22" t="s">
        <v>50</v>
      </c>
      <c r="K1257" s="24">
        <v>7</v>
      </c>
      <c r="M1257" s="21">
        <v>45983</v>
      </c>
      <c r="N1257" s="22" t="s">
        <v>71</v>
      </c>
      <c r="O1257" s="22" t="s">
        <v>56</v>
      </c>
      <c r="P1257" s="49">
        <v>74.599999999999994</v>
      </c>
      <c r="Q1257" s="49">
        <v>74</v>
      </c>
      <c r="R1257" s="46">
        <f t="shared" si="42"/>
        <v>0.59999999999999432</v>
      </c>
      <c r="T1257" s="21">
        <v>45972</v>
      </c>
      <c r="U1257" s="22" t="s">
        <v>46</v>
      </c>
      <c r="V1257" s="24">
        <v>4</v>
      </c>
      <c r="W1257" s="24">
        <v>4</v>
      </c>
      <c r="X1257" s="24">
        <v>4</v>
      </c>
      <c r="Y1257" s="24">
        <v>5</v>
      </c>
      <c r="Z1257" s="20">
        <f t="shared" si="43"/>
        <v>17</v>
      </c>
    </row>
    <row r="1258" spans="1:26" x14ac:dyDescent="0.2">
      <c r="A1258" s="21"/>
      <c r="B1258" s="20"/>
      <c r="C1258" s="22"/>
      <c r="D1258" s="22"/>
      <c r="E1258" s="24"/>
      <c r="F1258" s="22"/>
      <c r="H1258" s="21">
        <v>45946</v>
      </c>
      <c r="I1258" s="22" t="s">
        <v>70</v>
      </c>
      <c r="J1258" s="22" t="s">
        <v>51</v>
      </c>
      <c r="K1258" s="24">
        <v>8</v>
      </c>
      <c r="M1258" s="21">
        <v>45983</v>
      </c>
      <c r="N1258" s="22" t="s">
        <v>70</v>
      </c>
      <c r="O1258" s="22" t="s">
        <v>57</v>
      </c>
      <c r="P1258" s="49">
        <v>93.8</v>
      </c>
      <c r="Q1258" s="49">
        <v>93.5</v>
      </c>
      <c r="R1258" s="46">
        <f t="shared" si="42"/>
        <v>0.29999999999999716</v>
      </c>
      <c r="T1258" s="21">
        <v>45972</v>
      </c>
      <c r="U1258" s="22" t="s">
        <v>47</v>
      </c>
      <c r="V1258" s="24">
        <v>4</v>
      </c>
      <c r="W1258" s="24">
        <v>4</v>
      </c>
      <c r="X1258" s="24">
        <v>4</v>
      </c>
      <c r="Y1258" s="24">
        <v>5</v>
      </c>
      <c r="Z1258" s="20">
        <f t="shared" si="43"/>
        <v>17</v>
      </c>
    </row>
    <row r="1259" spans="1:26" x14ac:dyDescent="0.2">
      <c r="A1259" s="21"/>
      <c r="B1259" s="20"/>
      <c r="C1259" s="22"/>
      <c r="D1259" s="22"/>
      <c r="E1259" s="24"/>
      <c r="F1259" s="22"/>
      <c r="H1259" s="21">
        <v>45946</v>
      </c>
      <c r="I1259" s="22" t="s">
        <v>70</v>
      </c>
      <c r="J1259" s="22" t="s">
        <v>46</v>
      </c>
      <c r="K1259" s="24" t="s">
        <v>64</v>
      </c>
      <c r="M1259" s="21">
        <v>45983</v>
      </c>
      <c r="N1259" s="22" t="s">
        <v>71</v>
      </c>
      <c r="O1259" s="22" t="s">
        <v>57</v>
      </c>
      <c r="P1259" s="49">
        <v>93.5</v>
      </c>
      <c r="Q1259" s="49">
        <v>93.2</v>
      </c>
      <c r="R1259" s="46">
        <f t="shared" si="42"/>
        <v>0.29999999999999716</v>
      </c>
      <c r="T1259" s="21">
        <v>45972</v>
      </c>
      <c r="U1259" s="22" t="s">
        <v>49</v>
      </c>
      <c r="V1259" s="24">
        <v>4</v>
      </c>
      <c r="W1259" s="24">
        <v>4</v>
      </c>
      <c r="X1259" s="24">
        <v>3</v>
      </c>
      <c r="Y1259" s="24">
        <v>4</v>
      </c>
      <c r="Z1259" s="20">
        <f t="shared" si="43"/>
        <v>15</v>
      </c>
    </row>
    <row r="1260" spans="1:26" x14ac:dyDescent="0.2">
      <c r="A1260" s="21"/>
      <c r="B1260" s="20"/>
      <c r="C1260" s="22"/>
      <c r="D1260" s="22"/>
      <c r="E1260" s="24"/>
      <c r="F1260" s="22"/>
      <c r="H1260" s="21">
        <v>45946</v>
      </c>
      <c r="I1260" s="22" t="s">
        <v>70</v>
      </c>
      <c r="J1260" s="22" t="s">
        <v>48</v>
      </c>
      <c r="K1260" s="24">
        <v>7</v>
      </c>
      <c r="M1260" s="21">
        <v>45983</v>
      </c>
      <c r="N1260" s="22" t="s">
        <v>70</v>
      </c>
      <c r="O1260" s="22" t="s">
        <v>58</v>
      </c>
      <c r="P1260" s="49">
        <v>75.599999999999994</v>
      </c>
      <c r="Q1260" s="49">
        <v>75.599999999999994</v>
      </c>
      <c r="R1260" s="46">
        <f t="shared" si="42"/>
        <v>0</v>
      </c>
      <c r="T1260" s="21">
        <v>45972</v>
      </c>
      <c r="U1260" s="22" t="s">
        <v>50</v>
      </c>
      <c r="V1260" s="24">
        <v>1</v>
      </c>
      <c r="W1260" s="24">
        <v>4</v>
      </c>
      <c r="X1260" s="24">
        <v>4</v>
      </c>
      <c r="Y1260" s="24">
        <v>4</v>
      </c>
      <c r="Z1260" s="20">
        <f t="shared" si="43"/>
        <v>13</v>
      </c>
    </row>
    <row r="1261" spans="1:26" x14ac:dyDescent="0.2">
      <c r="A1261" s="21"/>
      <c r="B1261" s="20"/>
      <c r="C1261" s="22"/>
      <c r="D1261" s="22"/>
      <c r="E1261" s="24"/>
      <c r="F1261" s="22"/>
      <c r="H1261" s="21">
        <v>45946</v>
      </c>
      <c r="I1261" s="22" t="s">
        <v>70</v>
      </c>
      <c r="J1261" s="22" t="s">
        <v>56</v>
      </c>
      <c r="K1261" s="24">
        <v>8</v>
      </c>
      <c r="M1261" s="21">
        <v>45983</v>
      </c>
      <c r="N1261" s="22" t="s">
        <v>71</v>
      </c>
      <c r="O1261" s="22" t="s">
        <v>58</v>
      </c>
      <c r="P1261" s="49">
        <v>75.7</v>
      </c>
      <c r="Q1261" s="49">
        <v>75.400000000000006</v>
      </c>
      <c r="R1261" s="46">
        <f t="shared" si="42"/>
        <v>0.29999999999999716</v>
      </c>
      <c r="T1261" s="21">
        <v>45972</v>
      </c>
      <c r="U1261" s="22" t="s">
        <v>51</v>
      </c>
      <c r="V1261" s="24">
        <v>3</v>
      </c>
      <c r="W1261" s="24">
        <v>3</v>
      </c>
      <c r="X1261" s="24">
        <v>4</v>
      </c>
      <c r="Y1261" s="24">
        <v>4</v>
      </c>
      <c r="Z1261" s="20">
        <f t="shared" si="43"/>
        <v>14</v>
      </c>
    </row>
    <row r="1262" spans="1:26" x14ac:dyDescent="0.2">
      <c r="A1262" s="21"/>
      <c r="B1262" s="20"/>
      <c r="C1262" s="22"/>
      <c r="D1262" s="22"/>
      <c r="E1262" s="24"/>
      <c r="F1262" s="22"/>
      <c r="H1262" s="21">
        <v>45946</v>
      </c>
      <c r="I1262" s="22" t="s">
        <v>70</v>
      </c>
      <c r="J1262" s="22" t="s">
        <v>55</v>
      </c>
      <c r="K1262" s="24">
        <v>7</v>
      </c>
      <c r="M1262" s="21">
        <v>45985</v>
      </c>
      <c r="N1262" s="22" t="s">
        <v>70</v>
      </c>
      <c r="O1262" s="22" t="s">
        <v>41</v>
      </c>
      <c r="P1262" s="49">
        <v>77</v>
      </c>
      <c r="Q1262" s="49">
        <v>76.8</v>
      </c>
      <c r="R1262" s="46">
        <f t="shared" si="42"/>
        <v>0.20000000000000284</v>
      </c>
      <c r="T1262" s="21">
        <v>45972</v>
      </c>
      <c r="U1262" s="22" t="s">
        <v>52</v>
      </c>
      <c r="V1262" s="24">
        <v>4</v>
      </c>
      <c r="W1262" s="24">
        <v>4</v>
      </c>
      <c r="X1262" s="24">
        <v>4</v>
      </c>
      <c r="Y1262" s="24">
        <v>4</v>
      </c>
      <c r="Z1262" s="20">
        <f t="shared" si="43"/>
        <v>16</v>
      </c>
    </row>
    <row r="1263" spans="1:26" x14ac:dyDescent="0.2">
      <c r="A1263" s="21"/>
      <c r="B1263" s="20"/>
      <c r="C1263" s="22"/>
      <c r="D1263" s="22"/>
      <c r="E1263" s="24"/>
      <c r="F1263" s="22"/>
      <c r="H1263" s="21">
        <v>45947</v>
      </c>
      <c r="I1263" s="22" t="s">
        <v>70</v>
      </c>
      <c r="J1263" s="22" t="s">
        <v>52</v>
      </c>
      <c r="K1263" s="24">
        <v>5</v>
      </c>
      <c r="M1263" s="21">
        <v>45985</v>
      </c>
      <c r="N1263" s="22" t="s">
        <v>70</v>
      </c>
      <c r="O1263" s="22" t="s">
        <v>42</v>
      </c>
      <c r="P1263" s="49">
        <v>78.900000000000006</v>
      </c>
      <c r="Q1263" s="49">
        <v>78.400000000000006</v>
      </c>
      <c r="R1263" s="46">
        <f t="shared" si="42"/>
        <v>0.5</v>
      </c>
      <c r="T1263" s="21">
        <v>45972</v>
      </c>
      <c r="U1263" s="22" t="s">
        <v>53</v>
      </c>
      <c r="V1263" s="24">
        <v>4</v>
      </c>
      <c r="W1263" s="24">
        <v>4</v>
      </c>
      <c r="X1263" s="24">
        <v>4</v>
      </c>
      <c r="Y1263" s="24">
        <v>4</v>
      </c>
      <c r="Z1263" s="20">
        <f t="shared" si="43"/>
        <v>16</v>
      </c>
    </row>
    <row r="1264" spans="1:26" x14ac:dyDescent="0.2">
      <c r="A1264" s="21"/>
      <c r="B1264" s="20"/>
      <c r="C1264" s="22"/>
      <c r="D1264" s="22"/>
      <c r="E1264" s="24"/>
      <c r="F1264" s="22"/>
      <c r="H1264" s="21">
        <v>45947</v>
      </c>
      <c r="I1264" s="22" t="s">
        <v>70</v>
      </c>
      <c r="J1264" s="22" t="s">
        <v>53</v>
      </c>
      <c r="K1264" s="24">
        <v>6</v>
      </c>
      <c r="M1264" s="21">
        <v>45985</v>
      </c>
      <c r="N1264" s="22" t="s">
        <v>70</v>
      </c>
      <c r="O1264" s="22" t="s">
        <v>44</v>
      </c>
      <c r="P1264" s="49">
        <v>67</v>
      </c>
      <c r="Q1264" s="49">
        <v>67</v>
      </c>
      <c r="R1264" s="46">
        <f t="shared" si="42"/>
        <v>0</v>
      </c>
      <c r="T1264" s="21">
        <v>45972</v>
      </c>
      <c r="U1264" s="22" t="s">
        <v>55</v>
      </c>
      <c r="V1264" s="24">
        <v>4</v>
      </c>
      <c r="W1264" s="24">
        <v>3</v>
      </c>
      <c r="X1264" s="24">
        <v>3</v>
      </c>
      <c r="Y1264" s="24">
        <v>3</v>
      </c>
      <c r="Z1264" s="20">
        <f t="shared" si="43"/>
        <v>13</v>
      </c>
    </row>
    <row r="1265" spans="1:26" x14ac:dyDescent="0.2">
      <c r="A1265" s="21"/>
      <c r="B1265" s="20"/>
      <c r="C1265" s="22"/>
      <c r="D1265" s="22"/>
      <c r="E1265" s="24"/>
      <c r="F1265" s="22"/>
      <c r="H1265" s="21">
        <v>45947</v>
      </c>
      <c r="I1265" s="22" t="s">
        <v>70</v>
      </c>
      <c r="J1265" s="22" t="s">
        <v>44</v>
      </c>
      <c r="K1265" s="24">
        <v>6</v>
      </c>
      <c r="M1265" s="21">
        <v>45985</v>
      </c>
      <c r="N1265" s="22" t="s">
        <v>70</v>
      </c>
      <c r="O1265" s="22" t="s">
        <v>45</v>
      </c>
      <c r="P1265" s="49">
        <v>69.5</v>
      </c>
      <c r="Q1265" s="49">
        <v>69</v>
      </c>
      <c r="R1265" s="46">
        <f t="shared" si="42"/>
        <v>0.5</v>
      </c>
      <c r="T1265" s="21">
        <v>45972</v>
      </c>
      <c r="U1265" s="22" t="s">
        <v>56</v>
      </c>
      <c r="V1265" s="24">
        <v>4</v>
      </c>
      <c r="W1265" s="24">
        <v>4</v>
      </c>
      <c r="X1265" s="24">
        <v>4</v>
      </c>
      <c r="Y1265" s="24">
        <v>5</v>
      </c>
      <c r="Z1265" s="20">
        <f t="shared" si="43"/>
        <v>17</v>
      </c>
    </row>
    <row r="1266" spans="1:26" x14ac:dyDescent="0.2">
      <c r="A1266" s="21"/>
      <c r="B1266" s="20"/>
      <c r="C1266" s="22"/>
      <c r="D1266" s="22"/>
      <c r="E1266" s="24"/>
      <c r="F1266" s="22"/>
      <c r="H1266" s="21">
        <v>45947</v>
      </c>
      <c r="I1266" s="22" t="s">
        <v>70</v>
      </c>
      <c r="J1266" s="22" t="s">
        <v>45</v>
      </c>
      <c r="K1266" s="24">
        <v>4</v>
      </c>
      <c r="M1266" s="21">
        <v>45985</v>
      </c>
      <c r="N1266" s="22" t="s">
        <v>70</v>
      </c>
      <c r="O1266" s="22" t="s">
        <v>46</v>
      </c>
      <c r="P1266" s="49">
        <v>80</v>
      </c>
      <c r="Q1266" s="49">
        <v>80.5</v>
      </c>
      <c r="R1266" s="46">
        <f t="shared" si="42"/>
        <v>-0.5</v>
      </c>
      <c r="T1266" s="21">
        <v>45972</v>
      </c>
      <c r="U1266" s="22" t="s">
        <v>57</v>
      </c>
      <c r="V1266" s="24">
        <v>4</v>
      </c>
      <c r="W1266" s="24">
        <v>4</v>
      </c>
      <c r="X1266" s="24">
        <v>4</v>
      </c>
      <c r="Y1266" s="24">
        <v>4</v>
      </c>
      <c r="Z1266" s="20">
        <f t="shared" si="43"/>
        <v>16</v>
      </c>
    </row>
    <row r="1267" spans="1:26" x14ac:dyDescent="0.2">
      <c r="A1267" s="21"/>
      <c r="B1267" s="20"/>
      <c r="C1267" s="22"/>
      <c r="D1267" s="22"/>
      <c r="E1267" s="24"/>
      <c r="F1267" s="22"/>
      <c r="H1267" s="21">
        <v>45947</v>
      </c>
      <c r="I1267" s="22" t="s">
        <v>70</v>
      </c>
      <c r="J1267" s="22" t="s">
        <v>57</v>
      </c>
      <c r="K1267" s="24">
        <v>6</v>
      </c>
      <c r="M1267" s="21">
        <v>45985</v>
      </c>
      <c r="N1267" s="22" t="s">
        <v>70</v>
      </c>
      <c r="O1267" s="22" t="s">
        <v>47</v>
      </c>
      <c r="P1267" s="49">
        <v>69.7</v>
      </c>
      <c r="Q1267" s="49">
        <v>69.5</v>
      </c>
      <c r="R1267" s="46">
        <f t="shared" si="42"/>
        <v>0.20000000000000284</v>
      </c>
      <c r="T1267" s="21">
        <v>45972</v>
      </c>
      <c r="U1267" s="22" t="s">
        <v>58</v>
      </c>
      <c r="V1267" s="24">
        <v>4</v>
      </c>
      <c r="W1267" s="24">
        <v>4</v>
      </c>
      <c r="X1267" s="24">
        <v>4</v>
      </c>
      <c r="Y1267" s="24">
        <v>5</v>
      </c>
      <c r="Z1267" s="20">
        <f t="shared" si="43"/>
        <v>17</v>
      </c>
    </row>
    <row r="1268" spans="1:26" x14ac:dyDescent="0.2">
      <c r="A1268" s="21"/>
      <c r="B1268" s="20"/>
      <c r="C1268" s="22"/>
      <c r="D1268" s="22"/>
      <c r="E1268" s="24"/>
      <c r="F1268" s="22"/>
      <c r="H1268" s="21">
        <v>45947</v>
      </c>
      <c r="I1268" s="22" t="s">
        <v>70</v>
      </c>
      <c r="J1268" s="22" t="s">
        <v>42</v>
      </c>
      <c r="K1268" s="24">
        <v>4</v>
      </c>
      <c r="M1268" s="21">
        <v>45985</v>
      </c>
      <c r="N1268" s="22" t="s">
        <v>70</v>
      </c>
      <c r="O1268" s="22" t="s">
        <v>48</v>
      </c>
      <c r="P1268" s="49">
        <v>82</v>
      </c>
      <c r="Q1268" s="49">
        <v>80.5</v>
      </c>
      <c r="R1268" s="46">
        <f t="shared" si="42"/>
        <v>1.5</v>
      </c>
      <c r="T1268" s="21">
        <v>45972</v>
      </c>
      <c r="U1268" s="22" t="s">
        <v>33</v>
      </c>
      <c r="V1268" s="24">
        <v>3.71428571428571</v>
      </c>
      <c r="W1268" s="24">
        <v>3.78571428571429</v>
      </c>
      <c r="X1268" s="24">
        <v>3.8571428571428599</v>
      </c>
      <c r="Y1268" s="24">
        <v>4.4285714285714297</v>
      </c>
      <c r="Z1268" s="20">
        <f t="shared" si="43"/>
        <v>15.785714285714288</v>
      </c>
    </row>
    <row r="1269" spans="1:26" x14ac:dyDescent="0.2">
      <c r="A1269" s="21"/>
      <c r="B1269" s="20"/>
      <c r="C1269" s="22"/>
      <c r="D1269" s="22"/>
      <c r="E1269" s="24"/>
      <c r="F1269" s="22"/>
      <c r="H1269" s="21">
        <v>45947</v>
      </c>
      <c r="I1269" s="22" t="s">
        <v>70</v>
      </c>
      <c r="J1269" s="22" t="s">
        <v>54</v>
      </c>
      <c r="K1269" s="24">
        <v>6</v>
      </c>
      <c r="M1269" s="21">
        <v>45985</v>
      </c>
      <c r="N1269" s="22" t="s">
        <v>70</v>
      </c>
      <c r="O1269" s="22" t="s">
        <v>49</v>
      </c>
      <c r="P1269" s="49">
        <v>78</v>
      </c>
      <c r="Q1269" s="49">
        <v>78</v>
      </c>
      <c r="R1269" s="46">
        <f t="shared" si="42"/>
        <v>0</v>
      </c>
      <c r="T1269" s="21">
        <v>45974</v>
      </c>
      <c r="U1269" s="22" t="s">
        <v>41</v>
      </c>
      <c r="V1269" s="24">
        <v>1</v>
      </c>
      <c r="W1269" s="24">
        <v>1</v>
      </c>
      <c r="X1269" s="24">
        <v>1</v>
      </c>
      <c r="Y1269" s="24">
        <v>1</v>
      </c>
      <c r="Z1269" s="20">
        <f t="shared" si="43"/>
        <v>4</v>
      </c>
    </row>
    <row r="1270" spans="1:26" x14ac:dyDescent="0.2">
      <c r="A1270" s="21"/>
      <c r="B1270" s="20"/>
      <c r="C1270" s="22"/>
      <c r="D1270" s="22"/>
      <c r="E1270" s="24"/>
      <c r="F1270" s="22"/>
      <c r="H1270" s="21">
        <v>45947</v>
      </c>
      <c r="I1270" s="22" t="s">
        <v>70</v>
      </c>
      <c r="J1270" s="22" t="s">
        <v>47</v>
      </c>
      <c r="K1270" s="24">
        <v>4</v>
      </c>
      <c r="M1270" s="21">
        <v>45985</v>
      </c>
      <c r="N1270" s="22" t="s">
        <v>70</v>
      </c>
      <c r="O1270" s="22" t="s">
        <v>50</v>
      </c>
      <c r="P1270" s="49">
        <v>67.7</v>
      </c>
      <c r="Q1270" s="49">
        <v>67.7</v>
      </c>
      <c r="R1270" s="46">
        <f t="shared" si="42"/>
        <v>0</v>
      </c>
      <c r="T1270" s="21">
        <v>45974</v>
      </c>
      <c r="U1270" s="22" t="s">
        <v>42</v>
      </c>
      <c r="V1270" s="24">
        <v>4</v>
      </c>
      <c r="W1270" s="24">
        <v>4</v>
      </c>
      <c r="X1270" s="24">
        <v>4</v>
      </c>
      <c r="Y1270" s="24">
        <v>5</v>
      </c>
      <c r="Z1270" s="20">
        <f t="shared" si="43"/>
        <v>17</v>
      </c>
    </row>
    <row r="1271" spans="1:26" x14ac:dyDescent="0.2">
      <c r="A1271" s="21"/>
      <c r="B1271" s="20"/>
      <c r="C1271" s="22"/>
      <c r="D1271" s="22"/>
      <c r="E1271" s="24"/>
      <c r="F1271" s="22"/>
      <c r="H1271" s="21">
        <v>45947</v>
      </c>
      <c r="I1271" s="22" t="s">
        <v>70</v>
      </c>
      <c r="J1271" s="22" t="s">
        <v>41</v>
      </c>
      <c r="K1271" s="24" t="s">
        <v>61</v>
      </c>
      <c r="M1271" s="21">
        <v>45985</v>
      </c>
      <c r="N1271" s="22" t="s">
        <v>70</v>
      </c>
      <c r="O1271" s="22" t="s">
        <v>51</v>
      </c>
      <c r="P1271" s="49">
        <v>74.5</v>
      </c>
      <c r="Q1271" s="49">
        <v>74.3</v>
      </c>
      <c r="R1271" s="46">
        <f t="shared" si="42"/>
        <v>0.20000000000000284</v>
      </c>
      <c r="T1271" s="21">
        <v>45974</v>
      </c>
      <c r="U1271" s="22" t="s">
        <v>44</v>
      </c>
      <c r="V1271" s="24">
        <v>5</v>
      </c>
      <c r="W1271" s="24">
        <v>5</v>
      </c>
      <c r="X1271" s="24">
        <v>5</v>
      </c>
      <c r="Y1271" s="24">
        <v>5</v>
      </c>
      <c r="Z1271" s="20">
        <f t="shared" si="43"/>
        <v>20</v>
      </c>
    </row>
    <row r="1272" spans="1:26" x14ac:dyDescent="0.2">
      <c r="A1272" s="21"/>
      <c r="B1272" s="20"/>
      <c r="C1272" s="22"/>
      <c r="D1272" s="22"/>
      <c r="E1272" s="24"/>
      <c r="F1272" s="22"/>
      <c r="H1272" s="21">
        <v>45947</v>
      </c>
      <c r="I1272" s="22" t="s">
        <v>70</v>
      </c>
      <c r="J1272" s="22" t="s">
        <v>58</v>
      </c>
      <c r="K1272" s="24">
        <v>5</v>
      </c>
      <c r="M1272" s="21">
        <v>45985</v>
      </c>
      <c r="N1272" s="22" t="s">
        <v>70</v>
      </c>
      <c r="O1272" s="22" t="s">
        <v>52</v>
      </c>
      <c r="P1272" s="49">
        <v>71.2</v>
      </c>
      <c r="Q1272" s="49">
        <v>71.099999999999994</v>
      </c>
      <c r="R1272" s="46">
        <f t="shared" si="42"/>
        <v>0.10000000000000853</v>
      </c>
      <c r="T1272" s="21">
        <v>45974</v>
      </c>
      <c r="U1272" s="22" t="s">
        <v>45</v>
      </c>
      <c r="V1272" s="24">
        <v>4</v>
      </c>
      <c r="W1272" s="24">
        <v>4</v>
      </c>
      <c r="X1272" s="24">
        <v>4</v>
      </c>
      <c r="Y1272" s="24">
        <v>5</v>
      </c>
      <c r="Z1272" s="20">
        <f t="shared" si="43"/>
        <v>17</v>
      </c>
    </row>
    <row r="1273" spans="1:26" x14ac:dyDescent="0.2">
      <c r="A1273" s="21"/>
      <c r="B1273" s="20"/>
      <c r="C1273" s="22"/>
      <c r="D1273" s="22"/>
      <c r="E1273" s="24"/>
      <c r="F1273" s="22"/>
      <c r="H1273" s="21">
        <v>45947</v>
      </c>
      <c r="I1273" s="22" t="s">
        <v>70</v>
      </c>
      <c r="J1273" s="22" t="s">
        <v>49</v>
      </c>
      <c r="K1273" s="24">
        <v>7</v>
      </c>
      <c r="M1273" s="21">
        <v>45985</v>
      </c>
      <c r="N1273" s="22" t="s">
        <v>70</v>
      </c>
      <c r="O1273" s="22" t="s">
        <v>53</v>
      </c>
      <c r="P1273" s="49">
        <v>68</v>
      </c>
      <c r="Q1273" s="49">
        <v>67.7</v>
      </c>
      <c r="R1273" s="46">
        <f t="shared" si="42"/>
        <v>0.29999999999999716</v>
      </c>
      <c r="T1273" s="21">
        <v>45974</v>
      </c>
      <c r="U1273" s="22" t="s">
        <v>46</v>
      </c>
      <c r="V1273" s="24">
        <v>5</v>
      </c>
      <c r="W1273" s="24">
        <v>4</v>
      </c>
      <c r="X1273" s="24">
        <v>4</v>
      </c>
      <c r="Y1273" s="24">
        <v>5</v>
      </c>
      <c r="Z1273" s="20">
        <f t="shared" si="43"/>
        <v>18</v>
      </c>
    </row>
    <row r="1274" spans="1:26" x14ac:dyDescent="0.2">
      <c r="A1274" s="21"/>
      <c r="B1274" s="20"/>
      <c r="C1274" s="22"/>
      <c r="D1274" s="22"/>
      <c r="E1274" s="24"/>
      <c r="F1274" s="22"/>
      <c r="H1274" s="21">
        <v>45947</v>
      </c>
      <c r="I1274" s="22" t="s">
        <v>70</v>
      </c>
      <c r="J1274" s="22" t="s">
        <v>50</v>
      </c>
      <c r="K1274" s="24">
        <v>5</v>
      </c>
      <c r="M1274" s="21">
        <v>45985</v>
      </c>
      <c r="N1274" s="22" t="s">
        <v>70</v>
      </c>
      <c r="O1274" s="22" t="s">
        <v>56</v>
      </c>
      <c r="P1274" s="49">
        <v>76</v>
      </c>
      <c r="Q1274" s="49">
        <v>75.8</v>
      </c>
      <c r="R1274" s="46">
        <f t="shared" si="42"/>
        <v>0.20000000000000284</v>
      </c>
      <c r="T1274" s="21">
        <v>45974</v>
      </c>
      <c r="U1274" s="22" t="s">
        <v>47</v>
      </c>
      <c r="V1274" s="24">
        <v>3</v>
      </c>
      <c r="W1274" s="24">
        <v>4</v>
      </c>
      <c r="X1274" s="24">
        <v>3</v>
      </c>
      <c r="Y1274" s="24">
        <v>3</v>
      </c>
      <c r="Z1274" s="20">
        <f t="shared" si="43"/>
        <v>13</v>
      </c>
    </row>
    <row r="1275" spans="1:26" x14ac:dyDescent="0.2">
      <c r="A1275" s="21"/>
      <c r="B1275" s="20"/>
      <c r="C1275" s="22"/>
      <c r="D1275" s="22"/>
      <c r="E1275" s="24"/>
      <c r="F1275" s="22"/>
      <c r="H1275" s="21">
        <v>45947</v>
      </c>
      <c r="I1275" s="22" t="s">
        <v>70</v>
      </c>
      <c r="J1275" s="22" t="s">
        <v>51</v>
      </c>
      <c r="K1275" s="24">
        <v>7</v>
      </c>
      <c r="M1275" s="21">
        <v>45985</v>
      </c>
      <c r="N1275" s="22" t="s">
        <v>70</v>
      </c>
      <c r="O1275" s="22" t="s">
        <v>57</v>
      </c>
      <c r="P1275" s="49">
        <v>93.4</v>
      </c>
      <c r="Q1275" s="49">
        <v>93.1</v>
      </c>
      <c r="R1275" s="46">
        <f t="shared" si="42"/>
        <v>0.30000000000001137</v>
      </c>
      <c r="T1275" s="21">
        <v>45974</v>
      </c>
      <c r="U1275" s="22" t="s">
        <v>48</v>
      </c>
      <c r="V1275" s="24">
        <v>5</v>
      </c>
      <c r="W1275" s="24">
        <v>4</v>
      </c>
      <c r="X1275" s="24">
        <v>4</v>
      </c>
      <c r="Y1275" s="24">
        <v>5</v>
      </c>
      <c r="Z1275" s="20">
        <f t="shared" si="43"/>
        <v>18</v>
      </c>
    </row>
    <row r="1276" spans="1:26" x14ac:dyDescent="0.2">
      <c r="A1276" s="21"/>
      <c r="B1276" s="20"/>
      <c r="C1276" s="22"/>
      <c r="D1276" s="22"/>
      <c r="E1276" s="24"/>
      <c r="F1276" s="22"/>
      <c r="H1276" s="21">
        <v>45947</v>
      </c>
      <c r="I1276" s="22" t="s">
        <v>70</v>
      </c>
      <c r="J1276" s="22" t="s">
        <v>46</v>
      </c>
      <c r="K1276" s="24" t="s">
        <v>64</v>
      </c>
      <c r="M1276" s="21">
        <v>45985</v>
      </c>
      <c r="N1276" s="22" t="s">
        <v>70</v>
      </c>
      <c r="O1276" s="22" t="s">
        <v>58</v>
      </c>
      <c r="P1276" s="49">
        <v>76</v>
      </c>
      <c r="Q1276" s="49">
        <v>76</v>
      </c>
      <c r="R1276" s="46">
        <f t="shared" si="42"/>
        <v>0</v>
      </c>
      <c r="T1276" s="21">
        <v>45974</v>
      </c>
      <c r="U1276" s="22" t="s">
        <v>49</v>
      </c>
      <c r="V1276" s="24">
        <v>4</v>
      </c>
      <c r="W1276" s="24">
        <v>4</v>
      </c>
      <c r="X1276" s="24">
        <v>4</v>
      </c>
      <c r="Y1276" s="24">
        <v>4</v>
      </c>
      <c r="Z1276" s="20">
        <f t="shared" si="43"/>
        <v>16</v>
      </c>
    </row>
    <row r="1277" spans="1:26" x14ac:dyDescent="0.2">
      <c r="A1277" s="21"/>
      <c r="B1277" s="20"/>
      <c r="C1277" s="22"/>
      <c r="D1277" s="22"/>
      <c r="E1277" s="24"/>
      <c r="F1277" s="22"/>
      <c r="H1277" s="21">
        <v>45947</v>
      </c>
      <c r="I1277" s="22" t="s">
        <v>70</v>
      </c>
      <c r="J1277" s="22" t="s">
        <v>48</v>
      </c>
      <c r="K1277" s="24">
        <v>6</v>
      </c>
      <c r="M1277" s="21">
        <v>45986</v>
      </c>
      <c r="N1277" s="22" t="s">
        <v>70</v>
      </c>
      <c r="O1277" s="22" t="s">
        <v>41</v>
      </c>
      <c r="P1277" s="49">
        <v>76.8</v>
      </c>
      <c r="Q1277" s="49">
        <v>76.599999999999994</v>
      </c>
      <c r="R1277" s="46">
        <f t="shared" si="42"/>
        <v>0.20000000000000284</v>
      </c>
      <c r="T1277" s="21">
        <v>45974</v>
      </c>
      <c r="U1277" s="22" t="s">
        <v>50</v>
      </c>
      <c r="V1277" s="24">
        <v>2</v>
      </c>
      <c r="W1277" s="24">
        <v>4</v>
      </c>
      <c r="X1277" s="24">
        <v>4</v>
      </c>
      <c r="Y1277" s="24">
        <v>4</v>
      </c>
      <c r="Z1277" s="20">
        <f t="shared" si="43"/>
        <v>14</v>
      </c>
    </row>
    <row r="1278" spans="1:26" x14ac:dyDescent="0.2">
      <c r="A1278" s="21"/>
      <c r="B1278" s="20"/>
      <c r="C1278" s="22"/>
      <c r="D1278" s="22"/>
      <c r="E1278" s="24"/>
      <c r="F1278" s="22"/>
      <c r="H1278" s="21">
        <v>45947</v>
      </c>
      <c r="I1278" s="22" t="s">
        <v>70</v>
      </c>
      <c r="J1278" s="22" t="s">
        <v>56</v>
      </c>
      <c r="K1278" s="24">
        <v>6</v>
      </c>
      <c r="M1278" s="21">
        <v>45986</v>
      </c>
      <c r="N1278" s="22" t="s">
        <v>70</v>
      </c>
      <c r="O1278" s="22" t="s">
        <v>42</v>
      </c>
      <c r="P1278" s="49">
        <v>79</v>
      </c>
      <c r="Q1278" s="49">
        <v>79</v>
      </c>
      <c r="R1278" s="46">
        <f t="shared" si="42"/>
        <v>0</v>
      </c>
      <c r="T1278" s="21">
        <v>45974</v>
      </c>
      <c r="U1278" s="22" t="s">
        <v>51</v>
      </c>
      <c r="V1278" s="24">
        <v>4</v>
      </c>
      <c r="W1278" s="24">
        <v>4</v>
      </c>
      <c r="X1278" s="24">
        <v>4</v>
      </c>
      <c r="Y1278" s="24">
        <v>5</v>
      </c>
      <c r="Z1278" s="20">
        <f t="shared" si="43"/>
        <v>17</v>
      </c>
    </row>
    <row r="1279" spans="1:26" x14ac:dyDescent="0.2">
      <c r="A1279" s="21"/>
      <c r="B1279" s="20"/>
      <c r="C1279" s="22"/>
      <c r="D1279" s="22"/>
      <c r="E1279" s="24"/>
      <c r="F1279" s="22"/>
      <c r="H1279" s="21">
        <v>45947</v>
      </c>
      <c r="I1279" s="22" t="s">
        <v>70</v>
      </c>
      <c r="J1279" s="22" t="s">
        <v>55</v>
      </c>
      <c r="K1279" s="24">
        <v>8</v>
      </c>
      <c r="M1279" s="21">
        <v>45986</v>
      </c>
      <c r="N1279" s="22" t="s">
        <v>70</v>
      </c>
      <c r="O1279" s="22" t="s">
        <v>44</v>
      </c>
      <c r="P1279" s="49">
        <v>67.5</v>
      </c>
      <c r="Q1279" s="49">
        <v>67</v>
      </c>
      <c r="R1279" s="46">
        <f t="shared" si="42"/>
        <v>0.5</v>
      </c>
      <c r="T1279" s="21">
        <v>45974</v>
      </c>
      <c r="U1279" s="22" t="s">
        <v>52</v>
      </c>
      <c r="V1279" s="24">
        <v>4</v>
      </c>
      <c r="W1279" s="24">
        <v>4</v>
      </c>
      <c r="X1279" s="24">
        <v>4</v>
      </c>
      <c r="Y1279" s="24">
        <v>4</v>
      </c>
      <c r="Z1279" s="20">
        <f t="shared" si="43"/>
        <v>16</v>
      </c>
    </row>
    <row r="1280" spans="1:26" x14ac:dyDescent="0.2">
      <c r="A1280" s="21"/>
      <c r="B1280" s="20"/>
      <c r="C1280" s="22"/>
      <c r="D1280" s="22"/>
      <c r="E1280" s="24"/>
      <c r="F1280" s="22"/>
      <c r="H1280" s="21">
        <v>45950</v>
      </c>
      <c r="I1280" s="22" t="s">
        <v>70</v>
      </c>
      <c r="J1280" s="22" t="s">
        <v>52</v>
      </c>
      <c r="K1280" s="24">
        <v>4</v>
      </c>
      <c r="M1280" s="21">
        <v>45986</v>
      </c>
      <c r="N1280" s="22" t="s">
        <v>70</v>
      </c>
      <c r="O1280" s="22" t="s">
        <v>45</v>
      </c>
      <c r="P1280" s="49">
        <v>69</v>
      </c>
      <c r="Q1280" s="49">
        <v>68.7</v>
      </c>
      <c r="R1280" s="46">
        <f t="shared" si="42"/>
        <v>0.29999999999999716</v>
      </c>
      <c r="T1280" s="21">
        <v>45974</v>
      </c>
      <c r="U1280" s="22" t="s">
        <v>53</v>
      </c>
      <c r="V1280" s="24">
        <v>4</v>
      </c>
      <c r="W1280" s="24">
        <v>4</v>
      </c>
      <c r="X1280" s="24">
        <v>4</v>
      </c>
      <c r="Y1280" s="24">
        <v>4</v>
      </c>
      <c r="Z1280" s="20">
        <f t="shared" si="43"/>
        <v>16</v>
      </c>
    </row>
    <row r="1281" spans="1:26" x14ac:dyDescent="0.2">
      <c r="A1281" s="21"/>
      <c r="B1281" s="20"/>
      <c r="C1281" s="22"/>
      <c r="D1281" s="22"/>
      <c r="E1281" s="24"/>
      <c r="F1281" s="22"/>
      <c r="H1281" s="21">
        <v>45950</v>
      </c>
      <c r="I1281" s="22" t="s">
        <v>70</v>
      </c>
      <c r="J1281" s="22" t="s">
        <v>53</v>
      </c>
      <c r="K1281" s="24">
        <v>4</v>
      </c>
      <c r="M1281" s="21">
        <v>45986</v>
      </c>
      <c r="N1281" s="22" t="s">
        <v>70</v>
      </c>
      <c r="O1281" s="22" t="s">
        <v>46</v>
      </c>
      <c r="P1281" s="49">
        <v>80.5</v>
      </c>
      <c r="Q1281" s="49">
        <v>80.2</v>
      </c>
      <c r="R1281" s="46">
        <f t="shared" si="42"/>
        <v>0.29999999999999716</v>
      </c>
      <c r="T1281" s="21">
        <v>45974</v>
      </c>
      <c r="U1281" s="22" t="s">
        <v>56</v>
      </c>
      <c r="V1281" s="24">
        <v>4</v>
      </c>
      <c r="W1281" s="24">
        <v>4</v>
      </c>
      <c r="X1281" s="24">
        <v>4</v>
      </c>
      <c r="Y1281" s="24">
        <v>5</v>
      </c>
      <c r="Z1281" s="20">
        <f t="shared" si="43"/>
        <v>17</v>
      </c>
    </row>
    <row r="1282" spans="1:26" x14ac:dyDescent="0.2">
      <c r="A1282" s="21"/>
      <c r="B1282" s="20"/>
      <c r="C1282" s="22"/>
      <c r="D1282" s="22"/>
      <c r="E1282" s="24"/>
      <c r="F1282" s="22"/>
      <c r="H1282" s="21">
        <v>45950</v>
      </c>
      <c r="I1282" s="22" t="s">
        <v>70</v>
      </c>
      <c r="J1282" s="22" t="s">
        <v>44</v>
      </c>
      <c r="K1282" s="24">
        <v>4</v>
      </c>
      <c r="M1282" s="21">
        <v>45986</v>
      </c>
      <c r="N1282" s="22" t="s">
        <v>70</v>
      </c>
      <c r="O1282" s="22" t="s">
        <v>47</v>
      </c>
      <c r="P1282" s="49">
        <v>69.400000000000006</v>
      </c>
      <c r="Q1282" s="49">
        <v>69.099999999999994</v>
      </c>
      <c r="R1282" s="46">
        <f t="shared" si="42"/>
        <v>0.30000000000001137</v>
      </c>
      <c r="T1282" s="21">
        <v>45974</v>
      </c>
      <c r="U1282" s="22" t="s">
        <v>57</v>
      </c>
      <c r="V1282" s="24">
        <v>3</v>
      </c>
      <c r="W1282" s="24">
        <v>4</v>
      </c>
      <c r="X1282" s="24">
        <v>4</v>
      </c>
      <c r="Y1282" s="24">
        <v>5</v>
      </c>
      <c r="Z1282" s="20">
        <f t="shared" si="43"/>
        <v>16</v>
      </c>
    </row>
    <row r="1283" spans="1:26" x14ac:dyDescent="0.2">
      <c r="A1283" s="21"/>
      <c r="B1283" s="20"/>
      <c r="C1283" s="22"/>
      <c r="D1283" s="22"/>
      <c r="E1283" s="24"/>
      <c r="F1283" s="22"/>
      <c r="H1283" s="21">
        <v>45950</v>
      </c>
      <c r="I1283" s="22" t="s">
        <v>70</v>
      </c>
      <c r="J1283" s="22" t="s">
        <v>45</v>
      </c>
      <c r="K1283" s="24">
        <v>4</v>
      </c>
      <c r="M1283" s="21">
        <v>45986</v>
      </c>
      <c r="N1283" s="22" t="s">
        <v>70</v>
      </c>
      <c r="O1283" s="22" t="s">
        <v>48</v>
      </c>
      <c r="P1283" s="49">
        <v>81.8</v>
      </c>
      <c r="Q1283" s="49">
        <v>81.3</v>
      </c>
      <c r="R1283" s="46">
        <f t="shared" ref="R1283:R1346" si="44">IFERROR(P1283-Q1283,"")</f>
        <v>0.5</v>
      </c>
      <c r="T1283" s="21">
        <v>45974</v>
      </c>
      <c r="U1283" s="22" t="s">
        <v>58</v>
      </c>
      <c r="V1283" s="24">
        <v>5</v>
      </c>
      <c r="W1283" s="24">
        <v>4</v>
      </c>
      <c r="X1283" s="24">
        <v>3</v>
      </c>
      <c r="Y1283" s="24">
        <v>5</v>
      </c>
      <c r="Z1283" s="20">
        <f t="shared" ref="Z1283:Z1346" si="45">SUM(V1283:Y1283)</f>
        <v>17</v>
      </c>
    </row>
    <row r="1284" spans="1:26" x14ac:dyDescent="0.2">
      <c r="A1284" s="21"/>
      <c r="B1284" s="20"/>
      <c r="C1284" s="22"/>
      <c r="D1284" s="22"/>
      <c r="E1284" s="24"/>
      <c r="F1284" s="22"/>
      <c r="H1284" s="21">
        <v>45950</v>
      </c>
      <c r="I1284" s="22" t="s">
        <v>70</v>
      </c>
      <c r="J1284" s="22" t="s">
        <v>57</v>
      </c>
      <c r="K1284" s="24">
        <v>4</v>
      </c>
      <c r="M1284" s="21">
        <v>45986</v>
      </c>
      <c r="N1284" s="22" t="s">
        <v>70</v>
      </c>
      <c r="O1284" s="22" t="s">
        <v>49</v>
      </c>
      <c r="P1284" s="49">
        <v>76.5</v>
      </c>
      <c r="Q1284" s="49">
        <v>76.7</v>
      </c>
      <c r="R1284" s="46">
        <f t="shared" si="44"/>
        <v>-0.20000000000000284</v>
      </c>
      <c r="T1284" s="21">
        <v>45974</v>
      </c>
      <c r="U1284" s="22" t="s">
        <v>33</v>
      </c>
      <c r="V1284" s="24">
        <v>3.8</v>
      </c>
      <c r="W1284" s="24">
        <v>3.8666666666666698</v>
      </c>
      <c r="X1284" s="24">
        <v>3.7333333333333298</v>
      </c>
      <c r="Y1284" s="24">
        <v>4.3333333333333304</v>
      </c>
      <c r="Z1284" s="20">
        <f t="shared" si="45"/>
        <v>15.733333333333329</v>
      </c>
    </row>
    <row r="1285" spans="1:26" x14ac:dyDescent="0.2">
      <c r="A1285" s="21"/>
      <c r="B1285" s="20"/>
      <c r="C1285" s="22"/>
      <c r="D1285" s="22"/>
      <c r="E1285" s="24"/>
      <c r="F1285" s="22"/>
      <c r="H1285" s="21">
        <v>45950</v>
      </c>
      <c r="I1285" s="22" t="s">
        <v>70</v>
      </c>
      <c r="J1285" s="22" t="s">
        <v>42</v>
      </c>
      <c r="K1285" s="24">
        <v>4</v>
      </c>
      <c r="M1285" s="21">
        <v>45986</v>
      </c>
      <c r="N1285" s="22" t="s">
        <v>70</v>
      </c>
      <c r="O1285" s="22" t="s">
        <v>50</v>
      </c>
      <c r="P1285" s="49">
        <v>66.400000000000006</v>
      </c>
      <c r="Q1285" s="49">
        <v>66.2</v>
      </c>
      <c r="R1285" s="46">
        <f t="shared" si="44"/>
        <v>0.20000000000000284</v>
      </c>
      <c r="T1285" s="21">
        <v>45975</v>
      </c>
      <c r="U1285" s="22" t="s">
        <v>41</v>
      </c>
      <c r="V1285" s="24">
        <v>1</v>
      </c>
      <c r="W1285" s="24">
        <v>1</v>
      </c>
      <c r="X1285" s="24">
        <v>1</v>
      </c>
      <c r="Y1285" s="24">
        <v>1</v>
      </c>
      <c r="Z1285" s="20">
        <f t="shared" si="45"/>
        <v>4</v>
      </c>
    </row>
    <row r="1286" spans="1:26" x14ac:dyDescent="0.2">
      <c r="A1286" s="21"/>
      <c r="B1286" s="20"/>
      <c r="C1286" s="22"/>
      <c r="D1286" s="22"/>
      <c r="E1286" s="24"/>
      <c r="F1286" s="22"/>
      <c r="H1286" s="21">
        <v>45950</v>
      </c>
      <c r="I1286" s="22" t="s">
        <v>70</v>
      </c>
      <c r="J1286" s="22" t="s">
        <v>47</v>
      </c>
      <c r="K1286" s="24">
        <v>4</v>
      </c>
      <c r="M1286" s="21">
        <v>45986</v>
      </c>
      <c r="N1286" s="22" t="s">
        <v>70</v>
      </c>
      <c r="O1286" s="22" t="s">
        <v>51</v>
      </c>
      <c r="P1286" s="49">
        <v>74.7</v>
      </c>
      <c r="Q1286" s="49">
        <v>74.400000000000006</v>
      </c>
      <c r="R1286" s="46">
        <f t="shared" si="44"/>
        <v>0.29999999999999716</v>
      </c>
      <c r="T1286" s="21">
        <v>45975</v>
      </c>
      <c r="U1286" s="22" t="s">
        <v>42</v>
      </c>
      <c r="V1286" s="24">
        <v>4</v>
      </c>
      <c r="W1286" s="24">
        <v>4</v>
      </c>
      <c r="X1286" s="24">
        <v>4</v>
      </c>
      <c r="Y1286" s="24">
        <v>5</v>
      </c>
      <c r="Z1286" s="20">
        <f t="shared" si="45"/>
        <v>17</v>
      </c>
    </row>
    <row r="1287" spans="1:26" x14ac:dyDescent="0.2">
      <c r="A1287" s="21"/>
      <c r="B1287" s="20"/>
      <c r="C1287" s="22"/>
      <c r="D1287" s="22"/>
      <c r="E1287" s="24"/>
      <c r="F1287" s="22"/>
      <c r="H1287" s="21">
        <v>45950</v>
      </c>
      <c r="I1287" s="22" t="s">
        <v>70</v>
      </c>
      <c r="J1287" s="22" t="s">
        <v>41</v>
      </c>
      <c r="K1287" s="24" t="s">
        <v>61</v>
      </c>
      <c r="M1287" s="21">
        <v>45986</v>
      </c>
      <c r="N1287" s="22" t="s">
        <v>70</v>
      </c>
      <c r="O1287" s="22" t="s">
        <v>52</v>
      </c>
      <c r="P1287" s="49">
        <v>71.2</v>
      </c>
      <c r="Q1287" s="49">
        <v>71</v>
      </c>
      <c r="R1287" s="46">
        <f t="shared" si="44"/>
        <v>0.20000000000000284</v>
      </c>
      <c r="T1287" s="21">
        <v>45975</v>
      </c>
      <c r="U1287" s="22" t="s">
        <v>44</v>
      </c>
      <c r="V1287" s="24">
        <v>5</v>
      </c>
      <c r="W1287" s="24">
        <v>5</v>
      </c>
      <c r="X1287" s="24">
        <v>5</v>
      </c>
      <c r="Y1287" s="24">
        <v>5</v>
      </c>
      <c r="Z1287" s="20">
        <f t="shared" si="45"/>
        <v>20</v>
      </c>
    </row>
    <row r="1288" spans="1:26" x14ac:dyDescent="0.2">
      <c r="A1288" s="21"/>
      <c r="B1288" s="20"/>
      <c r="C1288" s="22"/>
      <c r="D1288" s="22"/>
      <c r="E1288" s="24"/>
      <c r="F1288" s="22"/>
      <c r="H1288" s="21">
        <v>45950</v>
      </c>
      <c r="I1288" s="22" t="s">
        <v>70</v>
      </c>
      <c r="J1288" s="22" t="s">
        <v>58</v>
      </c>
      <c r="K1288" s="24">
        <v>4</v>
      </c>
      <c r="M1288" s="21">
        <v>45986</v>
      </c>
      <c r="N1288" s="22" t="s">
        <v>70</v>
      </c>
      <c r="O1288" s="22" t="s">
        <v>53</v>
      </c>
      <c r="P1288" s="49">
        <v>68</v>
      </c>
      <c r="Q1288" s="49">
        <v>68</v>
      </c>
      <c r="R1288" s="46">
        <f t="shared" si="44"/>
        <v>0</v>
      </c>
      <c r="T1288" s="21">
        <v>45975</v>
      </c>
      <c r="U1288" s="22" t="s">
        <v>45</v>
      </c>
      <c r="V1288" s="24">
        <v>4</v>
      </c>
      <c r="W1288" s="24">
        <v>4</v>
      </c>
      <c r="X1288" s="24">
        <v>4</v>
      </c>
      <c r="Y1288" s="24">
        <v>5</v>
      </c>
      <c r="Z1288" s="20">
        <f t="shared" si="45"/>
        <v>17</v>
      </c>
    </row>
    <row r="1289" spans="1:26" x14ac:dyDescent="0.2">
      <c r="A1289" s="21"/>
      <c r="B1289" s="20"/>
      <c r="C1289" s="22"/>
      <c r="D1289" s="22"/>
      <c r="E1289" s="24"/>
      <c r="F1289" s="22"/>
      <c r="H1289" s="21">
        <v>45950</v>
      </c>
      <c r="I1289" s="22" t="s">
        <v>70</v>
      </c>
      <c r="J1289" s="22" t="s">
        <v>49</v>
      </c>
      <c r="K1289" s="24">
        <v>4</v>
      </c>
      <c r="M1289" s="21">
        <v>45986</v>
      </c>
      <c r="N1289" s="22" t="s">
        <v>70</v>
      </c>
      <c r="O1289" s="22" t="s">
        <v>56</v>
      </c>
      <c r="P1289" s="49">
        <v>75.7</v>
      </c>
      <c r="Q1289" s="49">
        <v>75.7</v>
      </c>
      <c r="R1289" s="46">
        <f t="shared" si="44"/>
        <v>0</v>
      </c>
      <c r="T1289" s="21">
        <v>45975</v>
      </c>
      <c r="U1289" s="22" t="s">
        <v>46</v>
      </c>
      <c r="V1289" s="24">
        <v>5</v>
      </c>
      <c r="W1289" s="24">
        <v>4</v>
      </c>
      <c r="X1289" s="24">
        <v>4</v>
      </c>
      <c r="Y1289" s="24">
        <v>5</v>
      </c>
      <c r="Z1289" s="20">
        <f t="shared" si="45"/>
        <v>18</v>
      </c>
    </row>
    <row r="1290" spans="1:26" x14ac:dyDescent="0.2">
      <c r="A1290" s="21"/>
      <c r="B1290" s="20"/>
      <c r="C1290" s="22"/>
      <c r="D1290" s="22"/>
      <c r="E1290" s="24"/>
      <c r="F1290" s="22"/>
      <c r="H1290" s="21">
        <v>45950</v>
      </c>
      <c r="I1290" s="22" t="s">
        <v>70</v>
      </c>
      <c r="J1290" s="22" t="s">
        <v>50</v>
      </c>
      <c r="K1290" s="24">
        <v>4</v>
      </c>
      <c r="M1290" s="21">
        <v>45986</v>
      </c>
      <c r="N1290" s="22" t="s">
        <v>70</v>
      </c>
      <c r="O1290" s="22" t="s">
        <v>57</v>
      </c>
      <c r="P1290" s="49">
        <v>93.9</v>
      </c>
      <c r="Q1290" s="49">
        <v>93.5</v>
      </c>
      <c r="R1290" s="46">
        <f t="shared" si="44"/>
        <v>0.40000000000000568</v>
      </c>
      <c r="T1290" s="21">
        <v>45975</v>
      </c>
      <c r="U1290" s="22" t="s">
        <v>47</v>
      </c>
      <c r="V1290" s="24">
        <v>3</v>
      </c>
      <c r="W1290" s="24">
        <v>4</v>
      </c>
      <c r="X1290" s="24">
        <v>3</v>
      </c>
      <c r="Y1290" s="24">
        <v>3</v>
      </c>
      <c r="Z1290" s="20">
        <f t="shared" si="45"/>
        <v>13</v>
      </c>
    </row>
    <row r="1291" spans="1:26" x14ac:dyDescent="0.2">
      <c r="A1291" s="21"/>
      <c r="B1291" s="20"/>
      <c r="C1291" s="22"/>
      <c r="D1291" s="22"/>
      <c r="E1291" s="24"/>
      <c r="F1291" s="22"/>
      <c r="H1291" s="21">
        <v>45950</v>
      </c>
      <c r="I1291" s="22" t="s">
        <v>70</v>
      </c>
      <c r="J1291" s="22" t="s">
        <v>51</v>
      </c>
      <c r="K1291" s="24">
        <v>4</v>
      </c>
      <c r="M1291" s="21">
        <v>45986</v>
      </c>
      <c r="N1291" s="22" t="s">
        <v>70</v>
      </c>
      <c r="O1291" s="22" t="s">
        <v>58</v>
      </c>
      <c r="P1291" s="49">
        <v>75.3</v>
      </c>
      <c r="Q1291" s="49">
        <v>75.3</v>
      </c>
      <c r="R1291" s="46">
        <f t="shared" si="44"/>
        <v>0</v>
      </c>
      <c r="T1291" s="21">
        <v>45975</v>
      </c>
      <c r="U1291" s="22" t="s">
        <v>48</v>
      </c>
      <c r="V1291" s="24">
        <v>5</v>
      </c>
      <c r="W1291" s="24">
        <v>4</v>
      </c>
      <c r="X1291" s="24">
        <v>4</v>
      </c>
      <c r="Y1291" s="24">
        <v>5</v>
      </c>
      <c r="Z1291" s="20">
        <f t="shared" si="45"/>
        <v>18</v>
      </c>
    </row>
    <row r="1292" spans="1:26" x14ac:dyDescent="0.2">
      <c r="A1292" s="21"/>
      <c r="B1292" s="20"/>
      <c r="C1292" s="22"/>
      <c r="D1292" s="22"/>
      <c r="E1292" s="24"/>
      <c r="F1292" s="22"/>
      <c r="H1292" s="21">
        <v>45950</v>
      </c>
      <c r="I1292" s="22" t="s">
        <v>70</v>
      </c>
      <c r="J1292" s="22" t="s">
        <v>46</v>
      </c>
      <c r="K1292" s="24" t="s">
        <v>64</v>
      </c>
      <c r="M1292" s="21">
        <v>45988</v>
      </c>
      <c r="N1292" s="22" t="s">
        <v>70</v>
      </c>
      <c r="O1292" s="22" t="s">
        <v>41</v>
      </c>
      <c r="P1292" s="49">
        <v>77</v>
      </c>
      <c r="Q1292" s="49">
        <v>76.8</v>
      </c>
      <c r="R1292" s="46">
        <f t="shared" si="44"/>
        <v>0.20000000000000284</v>
      </c>
      <c r="T1292" s="21">
        <v>45975</v>
      </c>
      <c r="U1292" s="22" t="s">
        <v>49</v>
      </c>
      <c r="V1292" s="24">
        <v>4</v>
      </c>
      <c r="W1292" s="24">
        <v>4</v>
      </c>
      <c r="X1292" s="24">
        <v>4</v>
      </c>
      <c r="Y1292" s="24">
        <v>4</v>
      </c>
      <c r="Z1292" s="20">
        <f t="shared" si="45"/>
        <v>16</v>
      </c>
    </row>
    <row r="1293" spans="1:26" x14ac:dyDescent="0.2">
      <c r="A1293" s="21"/>
      <c r="B1293" s="20"/>
      <c r="C1293" s="22"/>
      <c r="D1293" s="22"/>
      <c r="E1293" s="24"/>
      <c r="F1293" s="22"/>
      <c r="H1293" s="21">
        <v>45950</v>
      </c>
      <c r="I1293" s="22" t="s">
        <v>70</v>
      </c>
      <c r="J1293" s="22" t="s">
        <v>48</v>
      </c>
      <c r="K1293" s="24">
        <v>4</v>
      </c>
      <c r="M1293" s="21">
        <v>45988</v>
      </c>
      <c r="N1293" s="22" t="s">
        <v>70</v>
      </c>
      <c r="O1293" s="22" t="s">
        <v>42</v>
      </c>
      <c r="P1293" s="49">
        <v>79</v>
      </c>
      <c r="Q1293" s="49">
        <v>79</v>
      </c>
      <c r="R1293" s="46">
        <f t="shared" si="44"/>
        <v>0</v>
      </c>
      <c r="T1293" s="21">
        <v>45975</v>
      </c>
      <c r="U1293" s="22" t="s">
        <v>50</v>
      </c>
      <c r="V1293" s="24">
        <v>2</v>
      </c>
      <c r="W1293" s="24">
        <v>4</v>
      </c>
      <c r="X1293" s="24">
        <v>4</v>
      </c>
      <c r="Y1293" s="24">
        <v>4</v>
      </c>
      <c r="Z1293" s="20">
        <f t="shared" si="45"/>
        <v>14</v>
      </c>
    </row>
    <row r="1294" spans="1:26" x14ac:dyDescent="0.2">
      <c r="A1294" s="21"/>
      <c r="B1294" s="20"/>
      <c r="C1294" s="22"/>
      <c r="D1294" s="22"/>
      <c r="E1294" s="24"/>
      <c r="F1294" s="22"/>
      <c r="H1294" s="21">
        <v>45950</v>
      </c>
      <c r="I1294" s="22" t="s">
        <v>70</v>
      </c>
      <c r="J1294" s="22" t="s">
        <v>56</v>
      </c>
      <c r="K1294" s="24">
        <v>4</v>
      </c>
      <c r="M1294" s="21">
        <v>45988</v>
      </c>
      <c r="N1294" s="22" t="s">
        <v>70</v>
      </c>
      <c r="O1294" s="22" t="s">
        <v>44</v>
      </c>
      <c r="P1294" s="49">
        <v>67.400000000000006</v>
      </c>
      <c r="Q1294" s="49">
        <v>66.8</v>
      </c>
      <c r="R1294" s="46">
        <f t="shared" si="44"/>
        <v>0.60000000000000853</v>
      </c>
      <c r="T1294" s="21">
        <v>45975</v>
      </c>
      <c r="U1294" s="22" t="s">
        <v>51</v>
      </c>
      <c r="V1294" s="24">
        <v>4</v>
      </c>
      <c r="W1294" s="24">
        <v>4</v>
      </c>
      <c r="X1294" s="24">
        <v>4</v>
      </c>
      <c r="Y1294" s="24">
        <v>5</v>
      </c>
      <c r="Z1294" s="20">
        <f t="shared" si="45"/>
        <v>17</v>
      </c>
    </row>
    <row r="1295" spans="1:26" x14ac:dyDescent="0.2">
      <c r="A1295" s="21"/>
      <c r="B1295" s="20"/>
      <c r="C1295" s="22"/>
      <c r="D1295" s="22"/>
      <c r="E1295" s="24"/>
      <c r="F1295" s="22"/>
      <c r="H1295" s="21">
        <v>45950</v>
      </c>
      <c r="I1295" s="22" t="s">
        <v>71</v>
      </c>
      <c r="J1295" s="22" t="s">
        <v>52</v>
      </c>
      <c r="K1295" s="24">
        <v>7</v>
      </c>
      <c r="M1295" s="21">
        <v>45988</v>
      </c>
      <c r="N1295" s="22" t="s">
        <v>70</v>
      </c>
      <c r="O1295" s="22" t="s">
        <v>45</v>
      </c>
      <c r="P1295" s="49">
        <v>67.2</v>
      </c>
      <c r="Q1295" s="49">
        <v>68.7</v>
      </c>
      <c r="R1295" s="46">
        <f t="shared" si="44"/>
        <v>-1.5</v>
      </c>
      <c r="T1295" s="21">
        <v>45975</v>
      </c>
      <c r="U1295" s="22" t="s">
        <v>52</v>
      </c>
      <c r="V1295" s="24">
        <v>4</v>
      </c>
      <c r="W1295" s="24">
        <v>4</v>
      </c>
      <c r="X1295" s="24">
        <v>4</v>
      </c>
      <c r="Y1295" s="24">
        <v>4</v>
      </c>
      <c r="Z1295" s="20">
        <f t="shared" si="45"/>
        <v>16</v>
      </c>
    </row>
    <row r="1296" spans="1:26" x14ac:dyDescent="0.2">
      <c r="A1296" s="21"/>
      <c r="B1296" s="20"/>
      <c r="C1296" s="22"/>
      <c r="D1296" s="22"/>
      <c r="E1296" s="24"/>
      <c r="F1296" s="22"/>
      <c r="H1296" s="21">
        <v>45950</v>
      </c>
      <c r="I1296" s="22" t="s">
        <v>71</v>
      </c>
      <c r="J1296" s="22" t="s">
        <v>53</v>
      </c>
      <c r="K1296" s="24">
        <v>5</v>
      </c>
      <c r="M1296" s="21">
        <v>45988</v>
      </c>
      <c r="N1296" s="22" t="s">
        <v>70</v>
      </c>
      <c r="O1296" s="22" t="s">
        <v>46</v>
      </c>
      <c r="P1296" s="49">
        <v>81</v>
      </c>
      <c r="Q1296" s="49">
        <v>80.5</v>
      </c>
      <c r="R1296" s="46">
        <f t="shared" si="44"/>
        <v>0.5</v>
      </c>
      <c r="T1296" s="21">
        <v>45975</v>
      </c>
      <c r="U1296" s="22" t="s">
        <v>53</v>
      </c>
      <c r="V1296" s="24">
        <v>4</v>
      </c>
      <c r="W1296" s="24">
        <v>4</v>
      </c>
      <c r="X1296" s="24">
        <v>4</v>
      </c>
      <c r="Y1296" s="24">
        <v>4</v>
      </c>
      <c r="Z1296" s="20">
        <f t="shared" si="45"/>
        <v>16</v>
      </c>
    </row>
    <row r="1297" spans="1:26" x14ac:dyDescent="0.2">
      <c r="A1297" s="21"/>
      <c r="B1297" s="20"/>
      <c r="C1297" s="22"/>
      <c r="D1297" s="22"/>
      <c r="E1297" s="24"/>
      <c r="F1297" s="22"/>
      <c r="H1297" s="21">
        <v>45950</v>
      </c>
      <c r="I1297" s="22" t="s">
        <v>71</v>
      </c>
      <c r="J1297" s="22" t="s">
        <v>44</v>
      </c>
      <c r="K1297" s="24">
        <v>7</v>
      </c>
      <c r="M1297" s="21">
        <v>45988</v>
      </c>
      <c r="N1297" s="22" t="s">
        <v>70</v>
      </c>
      <c r="O1297" s="22" t="s">
        <v>47</v>
      </c>
      <c r="P1297" s="49">
        <v>69.5</v>
      </c>
      <c r="Q1297" s="49">
        <v>70</v>
      </c>
      <c r="R1297" s="46">
        <f t="shared" si="44"/>
        <v>-0.5</v>
      </c>
      <c r="T1297" s="21">
        <v>45975</v>
      </c>
      <c r="U1297" s="22" t="s">
        <v>56</v>
      </c>
      <c r="V1297" s="24">
        <v>4</v>
      </c>
      <c r="W1297" s="24">
        <v>4</v>
      </c>
      <c r="X1297" s="24">
        <v>4</v>
      </c>
      <c r="Y1297" s="24">
        <v>5</v>
      </c>
      <c r="Z1297" s="20">
        <f t="shared" si="45"/>
        <v>17</v>
      </c>
    </row>
    <row r="1298" spans="1:26" x14ac:dyDescent="0.2">
      <c r="A1298" s="21"/>
      <c r="B1298" s="20"/>
      <c r="C1298" s="22"/>
      <c r="D1298" s="22"/>
      <c r="E1298" s="24"/>
      <c r="F1298" s="22"/>
      <c r="H1298" s="21">
        <v>45950</v>
      </c>
      <c r="I1298" s="22" t="s">
        <v>71</v>
      </c>
      <c r="J1298" s="22" t="s">
        <v>45</v>
      </c>
      <c r="K1298" s="24">
        <v>6</v>
      </c>
      <c r="M1298" s="21">
        <v>45988</v>
      </c>
      <c r="N1298" s="22" t="s">
        <v>70</v>
      </c>
      <c r="O1298" s="22" t="s">
        <v>48</v>
      </c>
      <c r="P1298" s="49">
        <v>82</v>
      </c>
      <c r="Q1298" s="49">
        <v>80.5</v>
      </c>
      <c r="R1298" s="46">
        <f t="shared" si="44"/>
        <v>1.5</v>
      </c>
      <c r="T1298" s="21">
        <v>45975</v>
      </c>
      <c r="U1298" s="22" t="s">
        <v>57</v>
      </c>
      <c r="V1298" s="24">
        <v>3</v>
      </c>
      <c r="W1298" s="24">
        <v>4</v>
      </c>
      <c r="X1298" s="24">
        <v>4</v>
      </c>
      <c r="Y1298" s="24">
        <v>5</v>
      </c>
      <c r="Z1298" s="20">
        <f t="shared" si="45"/>
        <v>16</v>
      </c>
    </row>
    <row r="1299" spans="1:26" x14ac:dyDescent="0.2">
      <c r="A1299" s="21"/>
      <c r="B1299" s="20"/>
      <c r="C1299" s="22"/>
      <c r="D1299" s="22"/>
      <c r="E1299" s="24"/>
      <c r="F1299" s="22"/>
      <c r="H1299" s="21">
        <v>45950</v>
      </c>
      <c r="I1299" s="22" t="s">
        <v>71</v>
      </c>
      <c r="J1299" s="22" t="s">
        <v>57</v>
      </c>
      <c r="K1299" s="24">
        <v>7</v>
      </c>
      <c r="M1299" s="21">
        <v>45988</v>
      </c>
      <c r="N1299" s="22" t="s">
        <v>70</v>
      </c>
      <c r="O1299" s="22" t="s">
        <v>49</v>
      </c>
      <c r="P1299" s="49">
        <v>77.400000000000006</v>
      </c>
      <c r="Q1299" s="49">
        <v>76.599999999999994</v>
      </c>
      <c r="R1299" s="46">
        <f t="shared" si="44"/>
        <v>0.80000000000001137</v>
      </c>
      <c r="T1299" s="21">
        <v>45975</v>
      </c>
      <c r="U1299" s="22" t="s">
        <v>33</v>
      </c>
      <c r="V1299" s="24">
        <v>3.71428571428571</v>
      </c>
      <c r="W1299" s="24">
        <v>3.8571428571428599</v>
      </c>
      <c r="X1299" s="24">
        <v>3.78571428571429</v>
      </c>
      <c r="Y1299" s="24">
        <v>4.28571428571429</v>
      </c>
      <c r="Z1299" s="20">
        <f t="shared" si="45"/>
        <v>15.642857142857149</v>
      </c>
    </row>
    <row r="1300" spans="1:26" x14ac:dyDescent="0.2">
      <c r="A1300" s="21"/>
      <c r="B1300" s="20"/>
      <c r="C1300" s="22"/>
      <c r="D1300" s="22"/>
      <c r="E1300" s="24"/>
      <c r="F1300" s="22"/>
      <c r="H1300" s="21">
        <v>45950</v>
      </c>
      <c r="I1300" s="22" t="s">
        <v>71</v>
      </c>
      <c r="J1300" s="22" t="s">
        <v>42</v>
      </c>
      <c r="K1300" s="24">
        <v>4</v>
      </c>
      <c r="M1300" s="21">
        <v>45988</v>
      </c>
      <c r="N1300" s="22" t="s">
        <v>70</v>
      </c>
      <c r="O1300" s="22" t="s">
        <v>50</v>
      </c>
      <c r="P1300" s="49">
        <v>67.3</v>
      </c>
      <c r="Q1300" s="49">
        <v>66.900000000000006</v>
      </c>
      <c r="R1300" s="46">
        <f t="shared" si="44"/>
        <v>0.39999999999999147</v>
      </c>
      <c r="T1300" s="21">
        <v>45976</v>
      </c>
      <c r="U1300" s="22" t="s">
        <v>41</v>
      </c>
      <c r="V1300" s="24">
        <v>1</v>
      </c>
      <c r="W1300" s="24">
        <v>1</v>
      </c>
      <c r="X1300" s="24">
        <v>1</v>
      </c>
      <c r="Y1300" s="24">
        <v>1</v>
      </c>
      <c r="Z1300" s="20">
        <f t="shared" si="45"/>
        <v>4</v>
      </c>
    </row>
    <row r="1301" spans="1:26" x14ac:dyDescent="0.2">
      <c r="A1301" s="21"/>
      <c r="B1301" s="20"/>
      <c r="C1301" s="22"/>
      <c r="D1301" s="22"/>
      <c r="E1301" s="24"/>
      <c r="F1301" s="22"/>
      <c r="H1301" s="21">
        <v>45950</v>
      </c>
      <c r="I1301" s="22" t="s">
        <v>71</v>
      </c>
      <c r="J1301" s="22" t="s">
        <v>47</v>
      </c>
      <c r="K1301" s="24">
        <v>5</v>
      </c>
      <c r="M1301" s="21">
        <v>45988</v>
      </c>
      <c r="N1301" s="22" t="s">
        <v>70</v>
      </c>
      <c r="O1301" s="22" t="s">
        <v>51</v>
      </c>
      <c r="P1301" s="49">
        <v>74.7</v>
      </c>
      <c r="Q1301" s="49">
        <v>74.599999999999994</v>
      </c>
      <c r="R1301" s="46">
        <f t="shared" si="44"/>
        <v>0.10000000000000853</v>
      </c>
      <c r="T1301" s="21">
        <v>45976</v>
      </c>
      <c r="U1301" s="22" t="s">
        <v>42</v>
      </c>
      <c r="V1301" s="24">
        <v>4</v>
      </c>
      <c r="W1301" s="24">
        <v>4</v>
      </c>
      <c r="X1301" s="24">
        <v>4</v>
      </c>
      <c r="Y1301" s="24">
        <v>5</v>
      </c>
      <c r="Z1301" s="20">
        <f t="shared" si="45"/>
        <v>17</v>
      </c>
    </row>
    <row r="1302" spans="1:26" x14ac:dyDescent="0.2">
      <c r="A1302" s="21"/>
      <c r="B1302" s="20"/>
      <c r="C1302" s="22"/>
      <c r="D1302" s="22"/>
      <c r="E1302" s="24"/>
      <c r="F1302" s="22"/>
      <c r="H1302" s="21">
        <v>45950</v>
      </c>
      <c r="I1302" s="22" t="s">
        <v>71</v>
      </c>
      <c r="J1302" s="22" t="s">
        <v>41</v>
      </c>
      <c r="K1302" s="24" t="s">
        <v>61</v>
      </c>
      <c r="M1302" s="21">
        <v>45988</v>
      </c>
      <c r="N1302" s="22" t="s">
        <v>70</v>
      </c>
      <c r="O1302" s="22" t="s">
        <v>52</v>
      </c>
      <c r="P1302" s="49">
        <v>71.8</v>
      </c>
      <c r="Q1302" s="49">
        <v>71.2</v>
      </c>
      <c r="R1302" s="46">
        <f t="shared" si="44"/>
        <v>0.59999999999999432</v>
      </c>
      <c r="T1302" s="21">
        <v>45976</v>
      </c>
      <c r="U1302" s="22" t="s">
        <v>44</v>
      </c>
      <c r="V1302" s="24">
        <v>5</v>
      </c>
      <c r="W1302" s="24">
        <v>5</v>
      </c>
      <c r="X1302" s="24">
        <v>5</v>
      </c>
      <c r="Y1302" s="24">
        <v>5</v>
      </c>
      <c r="Z1302" s="20">
        <f t="shared" si="45"/>
        <v>20</v>
      </c>
    </row>
    <row r="1303" spans="1:26" x14ac:dyDescent="0.2">
      <c r="A1303" s="21"/>
      <c r="B1303" s="20"/>
      <c r="C1303" s="22"/>
      <c r="D1303" s="22"/>
      <c r="E1303" s="24"/>
      <c r="F1303" s="22"/>
      <c r="H1303" s="21">
        <v>45950</v>
      </c>
      <c r="I1303" s="22" t="s">
        <v>71</v>
      </c>
      <c r="J1303" s="22" t="s">
        <v>58</v>
      </c>
      <c r="K1303" s="24">
        <v>7</v>
      </c>
      <c r="M1303" s="21">
        <v>45988</v>
      </c>
      <c r="N1303" s="22" t="s">
        <v>70</v>
      </c>
      <c r="O1303" s="22" t="s">
        <v>53</v>
      </c>
      <c r="P1303" s="49">
        <v>67.5</v>
      </c>
      <c r="Q1303" s="49">
        <v>67.2</v>
      </c>
      <c r="R1303" s="46">
        <f t="shared" si="44"/>
        <v>0.29999999999999716</v>
      </c>
      <c r="T1303" s="21">
        <v>45976</v>
      </c>
      <c r="U1303" s="22" t="s">
        <v>45</v>
      </c>
      <c r="V1303" s="24">
        <v>4</v>
      </c>
      <c r="W1303" s="24">
        <v>4</v>
      </c>
      <c r="X1303" s="24">
        <v>5</v>
      </c>
      <c r="Y1303" s="24">
        <v>5</v>
      </c>
      <c r="Z1303" s="20">
        <f t="shared" si="45"/>
        <v>18</v>
      </c>
    </row>
    <row r="1304" spans="1:26" x14ac:dyDescent="0.2">
      <c r="A1304" s="21"/>
      <c r="B1304" s="20"/>
      <c r="C1304" s="22"/>
      <c r="D1304" s="22"/>
      <c r="E1304" s="24"/>
      <c r="F1304" s="22"/>
      <c r="H1304" s="21">
        <v>45950</v>
      </c>
      <c r="I1304" s="22" t="s">
        <v>71</v>
      </c>
      <c r="J1304" s="22" t="s">
        <v>49</v>
      </c>
      <c r="K1304" s="24">
        <v>6</v>
      </c>
      <c r="M1304" s="21">
        <v>45988</v>
      </c>
      <c r="N1304" s="22" t="s">
        <v>70</v>
      </c>
      <c r="O1304" s="22" t="s">
        <v>56</v>
      </c>
      <c r="P1304" s="49">
        <v>75.7</v>
      </c>
      <c r="Q1304" s="49">
        <v>75.7</v>
      </c>
      <c r="R1304" s="46">
        <f t="shared" si="44"/>
        <v>0</v>
      </c>
      <c r="T1304" s="21">
        <v>45976</v>
      </c>
      <c r="U1304" s="22" t="s">
        <v>46</v>
      </c>
      <c r="V1304" s="24">
        <v>4</v>
      </c>
      <c r="W1304" s="24">
        <v>4</v>
      </c>
      <c r="X1304" s="24">
        <v>4</v>
      </c>
      <c r="Y1304" s="24">
        <v>4</v>
      </c>
      <c r="Z1304" s="20">
        <f t="shared" si="45"/>
        <v>16</v>
      </c>
    </row>
    <row r="1305" spans="1:26" x14ac:dyDescent="0.2">
      <c r="A1305" s="21"/>
      <c r="B1305" s="20"/>
      <c r="C1305" s="22"/>
      <c r="D1305" s="22"/>
      <c r="E1305" s="24"/>
      <c r="F1305" s="22"/>
      <c r="H1305" s="21">
        <v>45950</v>
      </c>
      <c r="I1305" s="22" t="s">
        <v>71</v>
      </c>
      <c r="J1305" s="22" t="s">
        <v>50</v>
      </c>
      <c r="K1305" s="24">
        <v>4</v>
      </c>
      <c r="M1305" s="21">
        <v>45988</v>
      </c>
      <c r="N1305" s="22" t="s">
        <v>70</v>
      </c>
      <c r="O1305" s="22" t="s">
        <v>57</v>
      </c>
      <c r="P1305" s="49">
        <v>93.6</v>
      </c>
      <c r="Q1305" s="49">
        <v>93.3</v>
      </c>
      <c r="R1305" s="46">
        <f t="shared" si="44"/>
        <v>0.29999999999999716</v>
      </c>
      <c r="T1305" s="21">
        <v>45976</v>
      </c>
      <c r="U1305" s="22" t="s">
        <v>47</v>
      </c>
      <c r="V1305" s="24">
        <v>5</v>
      </c>
      <c r="W1305" s="24">
        <v>4</v>
      </c>
      <c r="X1305" s="24">
        <v>4</v>
      </c>
      <c r="Y1305" s="24">
        <v>5</v>
      </c>
      <c r="Z1305" s="20">
        <f t="shared" si="45"/>
        <v>18</v>
      </c>
    </row>
    <row r="1306" spans="1:26" x14ac:dyDescent="0.2">
      <c r="A1306" s="21"/>
      <c r="B1306" s="20"/>
      <c r="C1306" s="22"/>
      <c r="D1306" s="22"/>
      <c r="E1306" s="24"/>
      <c r="F1306" s="22"/>
      <c r="H1306" s="21">
        <v>45950</v>
      </c>
      <c r="I1306" s="22" t="s">
        <v>71</v>
      </c>
      <c r="J1306" s="22" t="s">
        <v>51</v>
      </c>
      <c r="K1306" s="24">
        <v>7</v>
      </c>
      <c r="M1306" s="21">
        <v>45988</v>
      </c>
      <c r="N1306" s="22" t="s">
        <v>70</v>
      </c>
      <c r="O1306" s="22" t="s">
        <v>58</v>
      </c>
      <c r="P1306" s="49">
        <v>75.2</v>
      </c>
      <c r="Q1306" s="49">
        <v>75.3</v>
      </c>
      <c r="R1306" s="46">
        <f t="shared" si="44"/>
        <v>-9.9999999999994316E-2</v>
      </c>
      <c r="T1306" s="21">
        <v>45976</v>
      </c>
      <c r="U1306" s="22" t="s">
        <v>48</v>
      </c>
      <c r="V1306" s="24">
        <v>5</v>
      </c>
      <c r="W1306" s="24">
        <v>4</v>
      </c>
      <c r="X1306" s="24">
        <v>4</v>
      </c>
      <c r="Y1306" s="24">
        <v>5</v>
      </c>
      <c r="Z1306" s="20">
        <f t="shared" si="45"/>
        <v>18</v>
      </c>
    </row>
    <row r="1307" spans="1:26" x14ac:dyDescent="0.2">
      <c r="A1307" s="21"/>
      <c r="B1307" s="20"/>
      <c r="C1307" s="22"/>
      <c r="D1307" s="22"/>
      <c r="E1307" s="24"/>
      <c r="F1307" s="22"/>
      <c r="H1307" s="21">
        <v>45950</v>
      </c>
      <c r="I1307" s="22" t="s">
        <v>71</v>
      </c>
      <c r="J1307" s="22" t="s">
        <v>46</v>
      </c>
      <c r="K1307" s="24" t="s">
        <v>64</v>
      </c>
      <c r="M1307" s="21">
        <v>45992</v>
      </c>
      <c r="N1307" s="22" t="s">
        <v>70</v>
      </c>
      <c r="O1307" s="22" t="s">
        <v>41</v>
      </c>
      <c r="P1307" s="49">
        <v>77</v>
      </c>
      <c r="Q1307" s="49">
        <v>76.2</v>
      </c>
      <c r="R1307" s="46">
        <f t="shared" si="44"/>
        <v>0.79999999999999716</v>
      </c>
      <c r="T1307" s="21">
        <v>45976</v>
      </c>
      <c r="U1307" s="22" t="s">
        <v>49</v>
      </c>
      <c r="V1307" s="24">
        <v>4</v>
      </c>
      <c r="W1307" s="24">
        <v>4</v>
      </c>
      <c r="X1307" s="24">
        <v>4</v>
      </c>
      <c r="Y1307" s="24">
        <v>4</v>
      </c>
      <c r="Z1307" s="20">
        <f t="shared" si="45"/>
        <v>16</v>
      </c>
    </row>
    <row r="1308" spans="1:26" x14ac:dyDescent="0.2">
      <c r="A1308" s="21"/>
      <c r="B1308" s="20"/>
      <c r="C1308" s="22"/>
      <c r="D1308" s="22"/>
      <c r="E1308" s="24"/>
      <c r="F1308" s="22"/>
      <c r="H1308" s="21">
        <v>45950</v>
      </c>
      <c r="I1308" s="22" t="s">
        <v>71</v>
      </c>
      <c r="J1308" s="22" t="s">
        <v>48</v>
      </c>
      <c r="K1308" s="24">
        <v>4</v>
      </c>
      <c r="M1308" s="21">
        <v>45992</v>
      </c>
      <c r="N1308" s="22" t="s">
        <v>71</v>
      </c>
      <c r="O1308" s="22" t="s">
        <v>41</v>
      </c>
      <c r="P1308" s="49">
        <v>77.099999999999994</v>
      </c>
      <c r="Q1308" s="49">
        <v>76.7</v>
      </c>
      <c r="R1308" s="46">
        <f t="shared" si="44"/>
        <v>0.39999999999999147</v>
      </c>
      <c r="T1308" s="21">
        <v>45976</v>
      </c>
      <c r="U1308" s="22" t="s">
        <v>50</v>
      </c>
      <c r="V1308" s="24">
        <v>5</v>
      </c>
      <c r="W1308" s="24">
        <v>4</v>
      </c>
      <c r="X1308" s="24">
        <v>5</v>
      </c>
      <c r="Y1308" s="24">
        <v>5</v>
      </c>
      <c r="Z1308" s="20">
        <f t="shared" si="45"/>
        <v>19</v>
      </c>
    </row>
    <row r="1309" spans="1:26" x14ac:dyDescent="0.2">
      <c r="A1309" s="21"/>
      <c r="B1309" s="20"/>
      <c r="C1309" s="22"/>
      <c r="D1309" s="22"/>
      <c r="E1309" s="24"/>
      <c r="F1309" s="22"/>
      <c r="H1309" s="21">
        <v>45950</v>
      </c>
      <c r="I1309" s="22" t="s">
        <v>71</v>
      </c>
      <c r="J1309" s="22" t="s">
        <v>56</v>
      </c>
      <c r="K1309" s="24">
        <v>8</v>
      </c>
      <c r="M1309" s="21">
        <v>45992</v>
      </c>
      <c r="N1309" s="22" t="s">
        <v>70</v>
      </c>
      <c r="O1309" s="22" t="s">
        <v>42</v>
      </c>
      <c r="P1309" s="49">
        <v>78.7</v>
      </c>
      <c r="Q1309" s="49">
        <v>78.8</v>
      </c>
      <c r="R1309" s="46">
        <f t="shared" si="44"/>
        <v>-9.9999999999994316E-2</v>
      </c>
      <c r="T1309" s="21">
        <v>45976</v>
      </c>
      <c r="U1309" s="22" t="s">
        <v>51</v>
      </c>
      <c r="V1309" s="24">
        <v>4</v>
      </c>
      <c r="W1309" s="24">
        <v>5</v>
      </c>
      <c r="X1309" s="24">
        <v>5</v>
      </c>
      <c r="Y1309" s="24">
        <v>5</v>
      </c>
      <c r="Z1309" s="20">
        <f t="shared" si="45"/>
        <v>19</v>
      </c>
    </row>
    <row r="1310" spans="1:26" x14ac:dyDescent="0.2">
      <c r="A1310" s="21"/>
      <c r="B1310" s="20"/>
      <c r="C1310" s="22"/>
      <c r="D1310" s="22"/>
      <c r="E1310" s="24"/>
      <c r="F1310" s="22"/>
      <c r="H1310" s="21">
        <v>45951</v>
      </c>
      <c r="I1310" s="22" t="s">
        <v>70</v>
      </c>
      <c r="J1310" s="22" t="s">
        <v>52</v>
      </c>
      <c r="K1310" s="24">
        <v>7</v>
      </c>
      <c r="M1310" s="21">
        <v>45992</v>
      </c>
      <c r="N1310" s="22" t="s">
        <v>71</v>
      </c>
      <c r="O1310" s="22" t="s">
        <v>42</v>
      </c>
      <c r="P1310" s="49">
        <v>79</v>
      </c>
      <c r="Q1310" s="49">
        <v>78.8</v>
      </c>
      <c r="R1310" s="46">
        <f t="shared" si="44"/>
        <v>0.20000000000000284</v>
      </c>
      <c r="T1310" s="21">
        <v>45976</v>
      </c>
      <c r="U1310" s="22" t="s">
        <v>52</v>
      </c>
      <c r="V1310" s="24">
        <v>5</v>
      </c>
      <c r="W1310" s="24">
        <v>5</v>
      </c>
      <c r="X1310" s="24">
        <v>5</v>
      </c>
      <c r="Y1310" s="24">
        <v>5</v>
      </c>
      <c r="Z1310" s="20">
        <f t="shared" si="45"/>
        <v>20</v>
      </c>
    </row>
    <row r="1311" spans="1:26" x14ac:dyDescent="0.2">
      <c r="A1311" s="21"/>
      <c r="B1311" s="20"/>
      <c r="C1311" s="22"/>
      <c r="D1311" s="22"/>
      <c r="E1311" s="24"/>
      <c r="F1311" s="22"/>
      <c r="H1311" s="21">
        <v>45951</v>
      </c>
      <c r="I1311" s="22" t="s">
        <v>70</v>
      </c>
      <c r="J1311" s="22" t="s">
        <v>53</v>
      </c>
      <c r="K1311" s="24">
        <v>7</v>
      </c>
      <c r="M1311" s="21">
        <v>45992</v>
      </c>
      <c r="N1311" s="22" t="s">
        <v>70</v>
      </c>
      <c r="O1311" s="22" t="s">
        <v>44</v>
      </c>
      <c r="P1311" s="49">
        <v>67.3</v>
      </c>
      <c r="Q1311" s="49">
        <v>67</v>
      </c>
      <c r="R1311" s="46">
        <f t="shared" si="44"/>
        <v>0.29999999999999716</v>
      </c>
      <c r="T1311" s="21">
        <v>45976</v>
      </c>
      <c r="U1311" s="22" t="s">
        <v>53</v>
      </c>
      <c r="V1311" s="24">
        <v>5</v>
      </c>
      <c r="W1311" s="24">
        <v>5</v>
      </c>
      <c r="X1311" s="24">
        <v>5</v>
      </c>
      <c r="Y1311" s="24">
        <v>5</v>
      </c>
      <c r="Z1311" s="20">
        <f t="shared" si="45"/>
        <v>20</v>
      </c>
    </row>
    <row r="1312" spans="1:26" x14ac:dyDescent="0.2">
      <c r="A1312" s="21"/>
      <c r="B1312" s="20"/>
      <c r="C1312" s="22"/>
      <c r="D1312" s="22"/>
      <c r="E1312" s="24"/>
      <c r="F1312" s="22"/>
      <c r="H1312" s="21">
        <v>45951</v>
      </c>
      <c r="I1312" s="22" t="s">
        <v>70</v>
      </c>
      <c r="J1312" s="22" t="s">
        <v>44</v>
      </c>
      <c r="K1312" s="24">
        <v>8</v>
      </c>
      <c r="M1312" s="21">
        <v>45992</v>
      </c>
      <c r="N1312" s="22" t="s">
        <v>71</v>
      </c>
      <c r="O1312" s="22" t="s">
        <v>44</v>
      </c>
      <c r="P1312" s="49">
        <v>67.5</v>
      </c>
      <c r="Q1312" s="49">
        <v>67.2</v>
      </c>
      <c r="R1312" s="46">
        <f t="shared" si="44"/>
        <v>0.29999999999999716</v>
      </c>
      <c r="T1312" s="21">
        <v>45976</v>
      </c>
      <c r="U1312" s="22" t="s">
        <v>56</v>
      </c>
      <c r="V1312" s="24">
        <v>5</v>
      </c>
      <c r="W1312" s="24">
        <v>5</v>
      </c>
      <c r="X1312" s="24">
        <v>5</v>
      </c>
      <c r="Y1312" s="24">
        <v>5</v>
      </c>
      <c r="Z1312" s="20">
        <f t="shared" si="45"/>
        <v>20</v>
      </c>
    </row>
    <row r="1313" spans="1:26" x14ac:dyDescent="0.2">
      <c r="A1313" s="21"/>
      <c r="B1313" s="20"/>
      <c r="C1313" s="22"/>
      <c r="D1313" s="22"/>
      <c r="E1313" s="24"/>
      <c r="F1313" s="22"/>
      <c r="H1313" s="21">
        <v>45951</v>
      </c>
      <c r="I1313" s="22" t="s">
        <v>70</v>
      </c>
      <c r="J1313" s="22" t="s">
        <v>45</v>
      </c>
      <c r="K1313" s="24">
        <v>7</v>
      </c>
      <c r="M1313" s="21">
        <v>45992</v>
      </c>
      <c r="N1313" s="22" t="s">
        <v>70</v>
      </c>
      <c r="O1313" s="22" t="s">
        <v>45</v>
      </c>
      <c r="P1313" s="49">
        <v>69.599999999999994</v>
      </c>
      <c r="Q1313" s="49">
        <v>69</v>
      </c>
      <c r="R1313" s="46">
        <f t="shared" si="44"/>
        <v>0.59999999999999432</v>
      </c>
      <c r="T1313" s="21">
        <v>45976</v>
      </c>
      <c r="U1313" s="22" t="s">
        <v>57</v>
      </c>
      <c r="V1313" s="24">
        <v>5</v>
      </c>
      <c r="W1313" s="24">
        <v>5</v>
      </c>
      <c r="X1313" s="24">
        <v>4</v>
      </c>
      <c r="Y1313" s="24">
        <v>5</v>
      </c>
      <c r="Z1313" s="20">
        <f t="shared" si="45"/>
        <v>19</v>
      </c>
    </row>
    <row r="1314" spans="1:26" x14ac:dyDescent="0.2">
      <c r="A1314" s="21"/>
      <c r="B1314" s="20"/>
      <c r="C1314" s="22"/>
      <c r="D1314" s="22"/>
      <c r="E1314" s="24"/>
      <c r="F1314" s="22"/>
      <c r="H1314" s="21">
        <v>45951</v>
      </c>
      <c r="I1314" s="22" t="s">
        <v>70</v>
      </c>
      <c r="J1314" s="22" t="s">
        <v>57</v>
      </c>
      <c r="K1314" s="24">
        <v>7</v>
      </c>
      <c r="M1314" s="21">
        <v>45992</v>
      </c>
      <c r="N1314" s="22" t="s">
        <v>71</v>
      </c>
      <c r="O1314" s="22" t="s">
        <v>45</v>
      </c>
      <c r="P1314" s="49">
        <v>69.7</v>
      </c>
      <c r="Q1314" s="49">
        <v>69</v>
      </c>
      <c r="R1314" s="46">
        <f t="shared" si="44"/>
        <v>0.70000000000000284</v>
      </c>
      <c r="T1314" s="21">
        <v>45976</v>
      </c>
      <c r="U1314" s="22" t="s">
        <v>33</v>
      </c>
      <c r="V1314" s="24">
        <v>4.3571428571428603</v>
      </c>
      <c r="W1314" s="24">
        <v>4.21428571428571</v>
      </c>
      <c r="X1314" s="24">
        <v>4.28571428571429</v>
      </c>
      <c r="Y1314" s="24">
        <v>4.5714285714285703</v>
      </c>
      <c r="Z1314" s="20">
        <f t="shared" si="45"/>
        <v>17.428571428571431</v>
      </c>
    </row>
    <row r="1315" spans="1:26" x14ac:dyDescent="0.2">
      <c r="A1315" s="21"/>
      <c r="B1315" s="20"/>
      <c r="C1315" s="22"/>
      <c r="D1315" s="22"/>
      <c r="E1315" s="24"/>
      <c r="F1315" s="22"/>
      <c r="H1315" s="21">
        <v>45951</v>
      </c>
      <c r="I1315" s="22" t="s">
        <v>70</v>
      </c>
      <c r="J1315" s="22" t="s">
        <v>42</v>
      </c>
      <c r="K1315" s="24">
        <v>6</v>
      </c>
      <c r="M1315" s="21">
        <v>45992</v>
      </c>
      <c r="N1315" s="22" t="s">
        <v>70</v>
      </c>
      <c r="O1315" s="22" t="s">
        <v>46</v>
      </c>
      <c r="P1315" s="49">
        <v>80.5</v>
      </c>
      <c r="Q1315" s="49">
        <v>80.599999999999994</v>
      </c>
      <c r="R1315" s="46">
        <f t="shared" si="44"/>
        <v>-9.9999999999994316E-2</v>
      </c>
      <c r="T1315" s="21">
        <v>45978</v>
      </c>
      <c r="U1315" s="22" t="s">
        <v>41</v>
      </c>
      <c r="V1315" s="24">
        <v>1</v>
      </c>
      <c r="W1315" s="24">
        <v>1</v>
      </c>
      <c r="X1315" s="24">
        <v>1</v>
      </c>
      <c r="Y1315" s="24">
        <v>1</v>
      </c>
      <c r="Z1315" s="20">
        <f t="shared" si="45"/>
        <v>4</v>
      </c>
    </row>
    <row r="1316" spans="1:26" x14ac:dyDescent="0.2">
      <c r="A1316" s="21"/>
      <c r="B1316" s="20"/>
      <c r="C1316" s="22"/>
      <c r="D1316" s="22"/>
      <c r="E1316" s="24"/>
      <c r="F1316" s="22"/>
      <c r="H1316" s="21">
        <v>45951</v>
      </c>
      <c r="I1316" s="22" t="s">
        <v>70</v>
      </c>
      <c r="J1316" s="22" t="s">
        <v>47</v>
      </c>
      <c r="K1316" s="24">
        <v>7</v>
      </c>
      <c r="M1316" s="21">
        <v>45992</v>
      </c>
      <c r="N1316" s="22" t="s">
        <v>71</v>
      </c>
      <c r="O1316" s="22" t="s">
        <v>46</v>
      </c>
      <c r="P1316" s="49">
        <v>80.8</v>
      </c>
      <c r="Q1316" s="49">
        <v>81</v>
      </c>
      <c r="R1316" s="46">
        <f t="shared" si="44"/>
        <v>-0.20000000000000284</v>
      </c>
      <c r="T1316" s="21">
        <v>45978</v>
      </c>
      <c r="U1316" s="22" t="s">
        <v>42</v>
      </c>
      <c r="V1316" s="24">
        <v>4</v>
      </c>
      <c r="W1316" s="24">
        <v>4</v>
      </c>
      <c r="X1316" s="24">
        <v>4</v>
      </c>
      <c r="Y1316" s="24">
        <v>5</v>
      </c>
      <c r="Z1316" s="20">
        <f t="shared" si="45"/>
        <v>17</v>
      </c>
    </row>
    <row r="1317" spans="1:26" x14ac:dyDescent="0.2">
      <c r="A1317" s="21"/>
      <c r="B1317" s="20"/>
      <c r="C1317" s="22"/>
      <c r="D1317" s="22"/>
      <c r="E1317" s="24"/>
      <c r="F1317" s="22"/>
      <c r="H1317" s="21">
        <v>45951</v>
      </c>
      <c r="I1317" s="22" t="s">
        <v>70</v>
      </c>
      <c r="J1317" s="22" t="s">
        <v>41</v>
      </c>
      <c r="K1317" s="24" t="s">
        <v>61</v>
      </c>
      <c r="M1317" s="21">
        <v>45992</v>
      </c>
      <c r="N1317" s="22" t="s">
        <v>70</v>
      </c>
      <c r="O1317" s="22" t="s">
        <v>47</v>
      </c>
      <c r="P1317" s="49">
        <v>70</v>
      </c>
      <c r="Q1317" s="49">
        <v>70</v>
      </c>
      <c r="R1317" s="46">
        <f t="shared" si="44"/>
        <v>0</v>
      </c>
      <c r="T1317" s="21">
        <v>45978</v>
      </c>
      <c r="U1317" s="22" t="s">
        <v>44</v>
      </c>
      <c r="V1317" s="24">
        <v>5</v>
      </c>
      <c r="W1317" s="24">
        <v>5</v>
      </c>
      <c r="X1317" s="24">
        <v>5</v>
      </c>
      <c r="Y1317" s="24">
        <v>5</v>
      </c>
      <c r="Z1317" s="20">
        <f t="shared" si="45"/>
        <v>20</v>
      </c>
    </row>
    <row r="1318" spans="1:26" x14ac:dyDescent="0.2">
      <c r="A1318" s="21"/>
      <c r="B1318" s="20"/>
      <c r="C1318" s="22"/>
      <c r="D1318" s="22"/>
      <c r="E1318" s="24"/>
      <c r="F1318" s="22"/>
      <c r="H1318" s="21">
        <v>45951</v>
      </c>
      <c r="I1318" s="22" t="s">
        <v>70</v>
      </c>
      <c r="J1318" s="22" t="s">
        <v>58</v>
      </c>
      <c r="K1318" s="24">
        <v>6</v>
      </c>
      <c r="M1318" s="21">
        <v>45992</v>
      </c>
      <c r="N1318" s="22" t="s">
        <v>71</v>
      </c>
      <c r="O1318" s="22" t="s">
        <v>47</v>
      </c>
      <c r="P1318" s="49">
        <v>70.3</v>
      </c>
      <c r="Q1318" s="49">
        <v>70</v>
      </c>
      <c r="R1318" s="46">
        <f t="shared" si="44"/>
        <v>0.29999999999999716</v>
      </c>
      <c r="T1318" s="21">
        <v>45978</v>
      </c>
      <c r="U1318" s="22" t="s">
        <v>45</v>
      </c>
      <c r="V1318" s="24">
        <v>4</v>
      </c>
      <c r="W1318" s="24">
        <v>4</v>
      </c>
      <c r="X1318" s="24">
        <v>4</v>
      </c>
      <c r="Y1318" s="24">
        <v>4</v>
      </c>
      <c r="Z1318" s="20">
        <f t="shared" si="45"/>
        <v>16</v>
      </c>
    </row>
    <row r="1319" spans="1:26" x14ac:dyDescent="0.2">
      <c r="A1319" s="21"/>
      <c r="B1319" s="20"/>
      <c r="C1319" s="22"/>
      <c r="D1319" s="22"/>
      <c r="E1319" s="24"/>
      <c r="F1319" s="22"/>
      <c r="H1319" s="21">
        <v>45951</v>
      </c>
      <c r="I1319" s="22" t="s">
        <v>70</v>
      </c>
      <c r="J1319" s="22" t="s">
        <v>49</v>
      </c>
      <c r="K1319" s="24">
        <v>7</v>
      </c>
      <c r="M1319" s="21">
        <v>45992</v>
      </c>
      <c r="N1319" s="22" t="s">
        <v>70</v>
      </c>
      <c r="O1319" s="22" t="s">
        <v>48</v>
      </c>
      <c r="P1319" s="49">
        <v>82.4</v>
      </c>
      <c r="Q1319" s="49">
        <v>81.900000000000006</v>
      </c>
      <c r="R1319" s="46">
        <f t="shared" si="44"/>
        <v>0.5</v>
      </c>
      <c r="T1319" s="21">
        <v>45978</v>
      </c>
      <c r="U1319" s="22" t="s">
        <v>46</v>
      </c>
      <c r="V1319" s="24">
        <v>4</v>
      </c>
      <c r="W1319" s="24">
        <v>4</v>
      </c>
      <c r="X1319" s="24">
        <v>4</v>
      </c>
      <c r="Y1319" s="24">
        <v>4</v>
      </c>
      <c r="Z1319" s="20">
        <f t="shared" si="45"/>
        <v>16</v>
      </c>
    </row>
    <row r="1320" spans="1:26" x14ac:dyDescent="0.2">
      <c r="A1320" s="21"/>
      <c r="B1320" s="20"/>
      <c r="C1320" s="22"/>
      <c r="D1320" s="22"/>
      <c r="E1320" s="24"/>
      <c r="F1320" s="22"/>
      <c r="H1320" s="21">
        <v>45951</v>
      </c>
      <c r="I1320" s="22" t="s">
        <v>70</v>
      </c>
      <c r="J1320" s="22" t="s">
        <v>50</v>
      </c>
      <c r="K1320" s="24">
        <v>6</v>
      </c>
      <c r="M1320" s="21">
        <v>45992</v>
      </c>
      <c r="N1320" s="22" t="s">
        <v>71</v>
      </c>
      <c r="O1320" s="22" t="s">
        <v>48</v>
      </c>
      <c r="P1320" s="49">
        <v>81.900000000000006</v>
      </c>
      <c r="Q1320" s="49">
        <v>80.5</v>
      </c>
      <c r="R1320" s="46">
        <f t="shared" si="44"/>
        <v>1.4000000000000057</v>
      </c>
      <c r="T1320" s="21">
        <v>45978</v>
      </c>
      <c r="U1320" s="22" t="s">
        <v>48</v>
      </c>
      <c r="V1320" s="24">
        <v>5</v>
      </c>
      <c r="W1320" s="24">
        <v>4</v>
      </c>
      <c r="X1320" s="24">
        <v>4</v>
      </c>
      <c r="Y1320" s="24">
        <v>5</v>
      </c>
      <c r="Z1320" s="20">
        <f t="shared" si="45"/>
        <v>18</v>
      </c>
    </row>
    <row r="1321" spans="1:26" x14ac:dyDescent="0.2">
      <c r="A1321" s="21"/>
      <c r="B1321" s="20"/>
      <c r="C1321" s="22"/>
      <c r="D1321" s="22"/>
      <c r="E1321" s="24"/>
      <c r="F1321" s="22"/>
      <c r="H1321" s="21">
        <v>45951</v>
      </c>
      <c r="I1321" s="22" t="s">
        <v>70</v>
      </c>
      <c r="J1321" s="22" t="s">
        <v>51</v>
      </c>
      <c r="K1321" s="24">
        <v>5</v>
      </c>
      <c r="M1321" s="21">
        <v>45992</v>
      </c>
      <c r="N1321" s="22" t="s">
        <v>70</v>
      </c>
      <c r="O1321" s="22" t="s">
        <v>49</v>
      </c>
      <c r="P1321" s="49">
        <v>78.5</v>
      </c>
      <c r="Q1321" s="49">
        <v>77.599999999999994</v>
      </c>
      <c r="R1321" s="46">
        <f t="shared" si="44"/>
        <v>0.90000000000000568</v>
      </c>
      <c r="T1321" s="21">
        <v>45978</v>
      </c>
      <c r="U1321" s="22" t="s">
        <v>49</v>
      </c>
      <c r="V1321" s="24">
        <v>4</v>
      </c>
      <c r="W1321" s="24">
        <v>4</v>
      </c>
      <c r="X1321" s="24">
        <v>4</v>
      </c>
      <c r="Y1321" s="24">
        <v>4</v>
      </c>
      <c r="Z1321" s="20">
        <f t="shared" si="45"/>
        <v>16</v>
      </c>
    </row>
    <row r="1322" spans="1:26" x14ac:dyDescent="0.2">
      <c r="A1322" s="21"/>
      <c r="B1322" s="20"/>
      <c r="C1322" s="22"/>
      <c r="D1322" s="22"/>
      <c r="E1322" s="24"/>
      <c r="F1322" s="22"/>
      <c r="H1322" s="21">
        <v>45951</v>
      </c>
      <c r="I1322" s="22" t="s">
        <v>70</v>
      </c>
      <c r="J1322" s="22" t="s">
        <v>46</v>
      </c>
      <c r="K1322" s="24" t="s">
        <v>64</v>
      </c>
      <c r="M1322" s="21">
        <v>45992</v>
      </c>
      <c r="N1322" s="22" t="s">
        <v>71</v>
      </c>
      <c r="O1322" s="22" t="s">
        <v>49</v>
      </c>
      <c r="P1322" s="49">
        <v>77.7</v>
      </c>
      <c r="Q1322" s="49">
        <v>77.7</v>
      </c>
      <c r="R1322" s="46">
        <f t="shared" si="44"/>
        <v>0</v>
      </c>
      <c r="T1322" s="21">
        <v>45978</v>
      </c>
      <c r="U1322" s="22" t="s">
        <v>52</v>
      </c>
      <c r="V1322" s="24">
        <v>4</v>
      </c>
      <c r="W1322" s="24">
        <v>4</v>
      </c>
      <c r="X1322" s="24">
        <v>4</v>
      </c>
      <c r="Y1322" s="24">
        <v>4</v>
      </c>
      <c r="Z1322" s="20">
        <f t="shared" si="45"/>
        <v>16</v>
      </c>
    </row>
    <row r="1323" spans="1:26" x14ac:dyDescent="0.2">
      <c r="A1323" s="21"/>
      <c r="B1323" s="20"/>
      <c r="C1323" s="22"/>
      <c r="D1323" s="22"/>
      <c r="E1323" s="24"/>
      <c r="F1323" s="22"/>
      <c r="H1323" s="21">
        <v>45951</v>
      </c>
      <c r="I1323" s="22" t="s">
        <v>70</v>
      </c>
      <c r="J1323" s="22" t="s">
        <v>48</v>
      </c>
      <c r="K1323" s="24">
        <v>6</v>
      </c>
      <c r="M1323" s="21">
        <v>45992</v>
      </c>
      <c r="N1323" s="22" t="s">
        <v>70</v>
      </c>
      <c r="O1323" s="22" t="s">
        <v>50</v>
      </c>
      <c r="P1323" s="49">
        <v>66.900000000000006</v>
      </c>
      <c r="Q1323" s="49">
        <v>66.599999999999994</v>
      </c>
      <c r="R1323" s="46">
        <f t="shared" si="44"/>
        <v>0.30000000000001137</v>
      </c>
      <c r="T1323" s="21">
        <v>45978</v>
      </c>
      <c r="U1323" s="22" t="s">
        <v>53</v>
      </c>
      <c r="V1323" s="24">
        <v>4</v>
      </c>
      <c r="W1323" s="24">
        <v>4</v>
      </c>
      <c r="X1323" s="24">
        <v>4</v>
      </c>
      <c r="Y1323" s="24">
        <v>4</v>
      </c>
      <c r="Z1323" s="20">
        <f t="shared" si="45"/>
        <v>16</v>
      </c>
    </row>
    <row r="1324" spans="1:26" x14ac:dyDescent="0.2">
      <c r="A1324" s="21"/>
      <c r="B1324" s="20"/>
      <c r="C1324" s="22"/>
      <c r="D1324" s="22"/>
      <c r="E1324" s="24"/>
      <c r="F1324" s="22"/>
      <c r="H1324" s="21">
        <v>45951</v>
      </c>
      <c r="I1324" s="22" t="s">
        <v>70</v>
      </c>
      <c r="J1324" s="22" t="s">
        <v>56</v>
      </c>
      <c r="K1324" s="24">
        <v>8</v>
      </c>
      <c r="M1324" s="21">
        <v>45992</v>
      </c>
      <c r="N1324" s="22" t="s">
        <v>71</v>
      </c>
      <c r="O1324" s="22" t="s">
        <v>50</v>
      </c>
      <c r="P1324" s="49">
        <v>67.2</v>
      </c>
      <c r="Q1324" s="49">
        <v>66.8</v>
      </c>
      <c r="R1324" s="46">
        <f t="shared" si="44"/>
        <v>0.40000000000000568</v>
      </c>
      <c r="T1324" s="21">
        <v>45978</v>
      </c>
      <c r="U1324" s="22" t="s">
        <v>56</v>
      </c>
      <c r="V1324" s="24">
        <v>4</v>
      </c>
      <c r="W1324" s="24">
        <v>4</v>
      </c>
      <c r="X1324" s="24">
        <v>4</v>
      </c>
      <c r="Y1324" s="24">
        <v>5</v>
      </c>
      <c r="Z1324" s="20">
        <f t="shared" si="45"/>
        <v>17</v>
      </c>
    </row>
    <row r="1325" spans="1:26" x14ac:dyDescent="0.2">
      <c r="A1325" s="21"/>
      <c r="B1325" s="20"/>
      <c r="C1325" s="22"/>
      <c r="D1325" s="22"/>
      <c r="E1325" s="24"/>
      <c r="F1325" s="22"/>
      <c r="H1325" s="21">
        <v>45952</v>
      </c>
      <c r="I1325" s="22" t="s">
        <v>70</v>
      </c>
      <c r="J1325" s="22" t="s">
        <v>52</v>
      </c>
      <c r="K1325" s="24">
        <v>7</v>
      </c>
      <c r="M1325" s="21">
        <v>45992</v>
      </c>
      <c r="N1325" s="22" t="s">
        <v>70</v>
      </c>
      <c r="O1325" s="22" t="s">
        <v>51</v>
      </c>
      <c r="P1325" s="49">
        <v>74.5</v>
      </c>
      <c r="Q1325" s="49">
        <v>74.5</v>
      </c>
      <c r="R1325" s="46">
        <f t="shared" si="44"/>
        <v>0</v>
      </c>
      <c r="T1325" s="21">
        <v>45978</v>
      </c>
      <c r="U1325" s="22" t="s">
        <v>57</v>
      </c>
      <c r="V1325" s="24">
        <v>3</v>
      </c>
      <c r="W1325" s="24">
        <v>4</v>
      </c>
      <c r="X1325" s="24">
        <v>4</v>
      </c>
      <c r="Y1325" s="24">
        <v>4</v>
      </c>
      <c r="Z1325" s="20">
        <f t="shared" si="45"/>
        <v>15</v>
      </c>
    </row>
    <row r="1326" spans="1:26" x14ac:dyDescent="0.2">
      <c r="A1326" s="21"/>
      <c r="B1326" s="20"/>
      <c r="C1326" s="22"/>
      <c r="D1326" s="22"/>
      <c r="E1326" s="24"/>
      <c r="F1326" s="22"/>
      <c r="H1326" s="21">
        <v>45952</v>
      </c>
      <c r="I1326" s="22" t="s">
        <v>70</v>
      </c>
      <c r="J1326" s="22" t="s">
        <v>53</v>
      </c>
      <c r="K1326" s="24">
        <v>6</v>
      </c>
      <c r="M1326" s="21">
        <v>45992</v>
      </c>
      <c r="N1326" s="22" t="s">
        <v>71</v>
      </c>
      <c r="O1326" s="22" t="s">
        <v>51</v>
      </c>
      <c r="P1326" s="49">
        <v>74.5</v>
      </c>
      <c r="Q1326" s="49">
        <v>74.599999999999994</v>
      </c>
      <c r="R1326" s="46">
        <f t="shared" si="44"/>
        <v>-9.9999999999994316E-2</v>
      </c>
      <c r="T1326" s="21">
        <v>45978</v>
      </c>
      <c r="U1326" s="22" t="s">
        <v>58</v>
      </c>
      <c r="V1326" s="24">
        <v>4</v>
      </c>
      <c r="W1326" s="24">
        <v>4</v>
      </c>
      <c r="X1326" s="24">
        <v>3</v>
      </c>
      <c r="Y1326" s="24">
        <v>5</v>
      </c>
      <c r="Z1326" s="20">
        <f t="shared" si="45"/>
        <v>16</v>
      </c>
    </row>
    <row r="1327" spans="1:26" x14ac:dyDescent="0.2">
      <c r="A1327" s="21"/>
      <c r="B1327" s="20"/>
      <c r="C1327" s="22"/>
      <c r="D1327" s="22"/>
      <c r="E1327" s="24"/>
      <c r="F1327" s="22"/>
      <c r="H1327" s="21">
        <v>45952</v>
      </c>
      <c r="I1327" s="22" t="s">
        <v>70</v>
      </c>
      <c r="J1327" s="22" t="s">
        <v>44</v>
      </c>
      <c r="K1327" s="24">
        <v>8</v>
      </c>
      <c r="M1327" s="21">
        <v>45992</v>
      </c>
      <c r="N1327" s="22" t="s">
        <v>70</v>
      </c>
      <c r="O1327" s="22" t="s">
        <v>52</v>
      </c>
      <c r="P1327" s="49">
        <v>70.8</v>
      </c>
      <c r="Q1327" s="49">
        <v>70.8</v>
      </c>
      <c r="R1327" s="46">
        <f t="shared" si="44"/>
        <v>0</v>
      </c>
      <c r="T1327" s="21">
        <v>45978</v>
      </c>
      <c r="U1327" s="22" t="s">
        <v>33</v>
      </c>
      <c r="V1327" s="24">
        <v>3.8333333333333299</v>
      </c>
      <c r="W1327" s="24">
        <v>3.8333333333333299</v>
      </c>
      <c r="X1327" s="24">
        <v>3.75</v>
      </c>
      <c r="Y1327" s="24">
        <v>4.1666666666666696</v>
      </c>
      <c r="Z1327" s="20">
        <f t="shared" si="45"/>
        <v>15.58333333333333</v>
      </c>
    </row>
    <row r="1328" spans="1:26" x14ac:dyDescent="0.2">
      <c r="A1328" s="21"/>
      <c r="B1328" s="20"/>
      <c r="C1328" s="22"/>
      <c r="D1328" s="22"/>
      <c r="E1328" s="24"/>
      <c r="F1328" s="22"/>
      <c r="H1328" s="21">
        <v>45952</v>
      </c>
      <c r="I1328" s="22" t="s">
        <v>70</v>
      </c>
      <c r="J1328" s="22" t="s">
        <v>45</v>
      </c>
      <c r="K1328" s="24">
        <v>8</v>
      </c>
      <c r="M1328" s="21">
        <v>45992</v>
      </c>
      <c r="N1328" s="22" t="s">
        <v>71</v>
      </c>
      <c r="O1328" s="22" t="s">
        <v>52</v>
      </c>
      <c r="P1328" s="49">
        <v>71.3</v>
      </c>
      <c r="Q1328" s="49">
        <v>71.2</v>
      </c>
      <c r="R1328" s="46">
        <f t="shared" si="44"/>
        <v>9.9999999999994316E-2</v>
      </c>
      <c r="T1328" s="21">
        <v>45979</v>
      </c>
      <c r="U1328" s="22" t="s">
        <v>41</v>
      </c>
      <c r="V1328" s="24">
        <v>1</v>
      </c>
      <c r="W1328" s="24">
        <v>1</v>
      </c>
      <c r="X1328" s="24">
        <v>1</v>
      </c>
      <c r="Y1328" s="24">
        <v>1</v>
      </c>
      <c r="Z1328" s="20">
        <f t="shared" si="45"/>
        <v>4</v>
      </c>
    </row>
    <row r="1329" spans="1:26" x14ac:dyDescent="0.2">
      <c r="A1329" s="21"/>
      <c r="B1329" s="20"/>
      <c r="C1329" s="22"/>
      <c r="D1329" s="22"/>
      <c r="E1329" s="24"/>
      <c r="F1329" s="22"/>
      <c r="H1329" s="21">
        <v>45952</v>
      </c>
      <c r="I1329" s="22" t="s">
        <v>70</v>
      </c>
      <c r="J1329" s="22" t="s">
        <v>57</v>
      </c>
      <c r="K1329" s="24">
        <v>6</v>
      </c>
      <c r="M1329" s="21">
        <v>45992</v>
      </c>
      <c r="N1329" s="22" t="s">
        <v>70</v>
      </c>
      <c r="O1329" s="22" t="s">
        <v>53</v>
      </c>
      <c r="P1329" s="49">
        <v>67.2</v>
      </c>
      <c r="Q1329" s="49">
        <v>67</v>
      </c>
      <c r="R1329" s="46">
        <f t="shared" si="44"/>
        <v>0.20000000000000284</v>
      </c>
      <c r="T1329" s="21">
        <v>45979</v>
      </c>
      <c r="U1329" s="22" t="s">
        <v>42</v>
      </c>
      <c r="V1329" s="24">
        <v>4</v>
      </c>
      <c r="W1329" s="24">
        <v>4</v>
      </c>
      <c r="X1329" s="24">
        <v>4</v>
      </c>
      <c r="Y1329" s="24">
        <v>5</v>
      </c>
      <c r="Z1329" s="20">
        <f t="shared" si="45"/>
        <v>17</v>
      </c>
    </row>
    <row r="1330" spans="1:26" x14ac:dyDescent="0.2">
      <c r="A1330" s="21"/>
      <c r="B1330" s="20"/>
      <c r="C1330" s="22"/>
      <c r="D1330" s="22"/>
      <c r="E1330" s="24"/>
      <c r="F1330" s="22"/>
      <c r="H1330" s="21">
        <v>45952</v>
      </c>
      <c r="I1330" s="22" t="s">
        <v>70</v>
      </c>
      <c r="J1330" s="22" t="s">
        <v>42</v>
      </c>
      <c r="K1330" s="24">
        <v>6</v>
      </c>
      <c r="M1330" s="21">
        <v>45992</v>
      </c>
      <c r="N1330" s="22" t="s">
        <v>71</v>
      </c>
      <c r="O1330" s="22" t="s">
        <v>53</v>
      </c>
      <c r="P1330" s="49">
        <v>67</v>
      </c>
      <c r="Q1330" s="49">
        <v>66.7</v>
      </c>
      <c r="R1330" s="46">
        <f t="shared" si="44"/>
        <v>0.29999999999999716</v>
      </c>
      <c r="T1330" s="21">
        <v>45979</v>
      </c>
      <c r="U1330" s="22" t="s">
        <v>44</v>
      </c>
      <c r="V1330" s="24">
        <v>5</v>
      </c>
      <c r="W1330" s="24">
        <v>5</v>
      </c>
      <c r="X1330" s="24">
        <v>5</v>
      </c>
      <c r="Y1330" s="24">
        <v>5</v>
      </c>
      <c r="Z1330" s="20">
        <f t="shared" si="45"/>
        <v>20</v>
      </c>
    </row>
    <row r="1331" spans="1:26" x14ac:dyDescent="0.2">
      <c r="A1331" s="21"/>
      <c r="B1331" s="20"/>
      <c r="C1331" s="22"/>
      <c r="D1331" s="22"/>
      <c r="E1331" s="24"/>
      <c r="F1331" s="22"/>
      <c r="H1331" s="21">
        <v>45952</v>
      </c>
      <c r="I1331" s="22" t="s">
        <v>70</v>
      </c>
      <c r="J1331" s="22" t="s">
        <v>47</v>
      </c>
      <c r="K1331" s="24">
        <v>9</v>
      </c>
      <c r="M1331" s="21">
        <v>45992</v>
      </c>
      <c r="N1331" s="22" t="s">
        <v>70</v>
      </c>
      <c r="O1331" s="22" t="s">
        <v>56</v>
      </c>
      <c r="P1331" s="49">
        <v>74.599999999999994</v>
      </c>
      <c r="Q1331" s="49">
        <v>74.8</v>
      </c>
      <c r="R1331" s="46">
        <f t="shared" si="44"/>
        <v>-0.20000000000000284</v>
      </c>
      <c r="T1331" s="21">
        <v>45979</v>
      </c>
      <c r="U1331" s="22" t="s">
        <v>45</v>
      </c>
      <c r="V1331" s="24">
        <v>4</v>
      </c>
      <c r="W1331" s="24">
        <v>4</v>
      </c>
      <c r="X1331" s="24">
        <v>4</v>
      </c>
      <c r="Y1331" s="24">
        <v>5</v>
      </c>
      <c r="Z1331" s="20">
        <f t="shared" si="45"/>
        <v>17</v>
      </c>
    </row>
    <row r="1332" spans="1:26" x14ac:dyDescent="0.2">
      <c r="A1332" s="21"/>
      <c r="B1332" s="20"/>
      <c r="C1332" s="22"/>
      <c r="D1332" s="22"/>
      <c r="E1332" s="24"/>
      <c r="F1332" s="22"/>
      <c r="H1332" s="21">
        <v>45952</v>
      </c>
      <c r="I1332" s="22" t="s">
        <v>70</v>
      </c>
      <c r="J1332" s="22" t="s">
        <v>41</v>
      </c>
      <c r="K1332" s="24" t="s">
        <v>61</v>
      </c>
      <c r="M1332" s="21">
        <v>45992</v>
      </c>
      <c r="N1332" s="22" t="s">
        <v>71</v>
      </c>
      <c r="O1332" s="22" t="s">
        <v>56</v>
      </c>
      <c r="P1332" s="49">
        <v>74.8</v>
      </c>
      <c r="Q1332" s="49">
        <v>74.8</v>
      </c>
      <c r="R1332" s="46">
        <f t="shared" si="44"/>
        <v>0</v>
      </c>
      <c r="T1332" s="21">
        <v>45979</v>
      </c>
      <c r="U1332" s="22" t="s">
        <v>46</v>
      </c>
      <c r="V1332" s="24">
        <v>5</v>
      </c>
      <c r="W1332" s="24">
        <v>4</v>
      </c>
      <c r="X1332" s="24">
        <v>4</v>
      </c>
      <c r="Y1332" s="24">
        <v>4</v>
      </c>
      <c r="Z1332" s="20">
        <f t="shared" si="45"/>
        <v>17</v>
      </c>
    </row>
    <row r="1333" spans="1:26" x14ac:dyDescent="0.2">
      <c r="A1333" s="21"/>
      <c r="B1333" s="20"/>
      <c r="C1333" s="22"/>
      <c r="D1333" s="22"/>
      <c r="E1333" s="24"/>
      <c r="F1333" s="22"/>
      <c r="H1333" s="21">
        <v>45952</v>
      </c>
      <c r="I1333" s="22" t="s">
        <v>70</v>
      </c>
      <c r="J1333" s="22" t="s">
        <v>58</v>
      </c>
      <c r="K1333" s="24">
        <v>8</v>
      </c>
      <c r="M1333" s="21">
        <v>45992</v>
      </c>
      <c r="N1333" s="22" t="s">
        <v>70</v>
      </c>
      <c r="O1333" s="22" t="s">
        <v>57</v>
      </c>
      <c r="P1333" s="49">
        <v>93.7</v>
      </c>
      <c r="Q1333" s="49">
        <v>93.2</v>
      </c>
      <c r="R1333" s="46">
        <f t="shared" si="44"/>
        <v>0.5</v>
      </c>
      <c r="T1333" s="21">
        <v>45979</v>
      </c>
      <c r="U1333" s="22" t="s">
        <v>47</v>
      </c>
      <c r="V1333" s="24">
        <v>4</v>
      </c>
      <c r="W1333" s="24">
        <v>3</v>
      </c>
      <c r="X1333" s="24">
        <v>3</v>
      </c>
      <c r="Y1333" s="24">
        <v>5</v>
      </c>
      <c r="Z1333" s="20">
        <f t="shared" si="45"/>
        <v>15</v>
      </c>
    </row>
    <row r="1334" spans="1:26" x14ac:dyDescent="0.2">
      <c r="A1334" s="21"/>
      <c r="B1334" s="20"/>
      <c r="C1334" s="22"/>
      <c r="D1334" s="22"/>
      <c r="E1334" s="24"/>
      <c r="F1334" s="22"/>
      <c r="H1334" s="21">
        <v>45952</v>
      </c>
      <c r="I1334" s="22" t="s">
        <v>70</v>
      </c>
      <c r="J1334" s="22" t="s">
        <v>49</v>
      </c>
      <c r="K1334" s="24">
        <v>8</v>
      </c>
      <c r="M1334" s="21">
        <v>45992</v>
      </c>
      <c r="N1334" s="22" t="s">
        <v>71</v>
      </c>
      <c r="O1334" s="22" t="s">
        <v>57</v>
      </c>
      <c r="P1334" s="49">
        <v>92.7</v>
      </c>
      <c r="Q1334" s="49">
        <v>92.4</v>
      </c>
      <c r="R1334" s="46">
        <f t="shared" si="44"/>
        <v>0.29999999999999716</v>
      </c>
      <c r="T1334" s="21">
        <v>45979</v>
      </c>
      <c r="U1334" s="22" t="s">
        <v>48</v>
      </c>
      <c r="V1334" s="24">
        <v>3</v>
      </c>
      <c r="W1334" s="24">
        <v>4</v>
      </c>
      <c r="X1334" s="24">
        <v>4</v>
      </c>
      <c r="Y1334" s="24">
        <v>5</v>
      </c>
      <c r="Z1334" s="20">
        <f t="shared" si="45"/>
        <v>16</v>
      </c>
    </row>
    <row r="1335" spans="1:26" x14ac:dyDescent="0.2">
      <c r="A1335" s="21"/>
      <c r="B1335" s="20"/>
      <c r="C1335" s="22"/>
      <c r="D1335" s="22"/>
      <c r="E1335" s="24"/>
      <c r="F1335" s="22"/>
      <c r="H1335" s="21">
        <v>45952</v>
      </c>
      <c r="I1335" s="22" t="s">
        <v>70</v>
      </c>
      <c r="J1335" s="22" t="s">
        <v>43</v>
      </c>
      <c r="K1335" s="24">
        <v>6</v>
      </c>
      <c r="M1335" s="21">
        <v>45993</v>
      </c>
      <c r="N1335" s="22" t="s">
        <v>70</v>
      </c>
      <c r="O1335" s="22" t="s">
        <v>41</v>
      </c>
      <c r="P1335" s="49">
        <v>76.8</v>
      </c>
      <c r="Q1335" s="49">
        <v>76.099999999999994</v>
      </c>
      <c r="R1335" s="46">
        <f t="shared" si="44"/>
        <v>0.70000000000000284</v>
      </c>
      <c r="T1335" s="21">
        <v>45979</v>
      </c>
      <c r="U1335" s="22" t="s">
        <v>49</v>
      </c>
      <c r="V1335" s="24">
        <v>4</v>
      </c>
      <c r="W1335" s="24">
        <v>4</v>
      </c>
      <c r="X1335" s="24">
        <v>4</v>
      </c>
      <c r="Y1335" s="24">
        <v>4</v>
      </c>
      <c r="Z1335" s="20">
        <f t="shared" si="45"/>
        <v>16</v>
      </c>
    </row>
    <row r="1336" spans="1:26" x14ac:dyDescent="0.2">
      <c r="A1336" s="21"/>
      <c r="B1336" s="20"/>
      <c r="C1336" s="22"/>
      <c r="D1336" s="22"/>
      <c r="E1336" s="24"/>
      <c r="F1336" s="22"/>
      <c r="H1336" s="21">
        <v>45952</v>
      </c>
      <c r="I1336" s="22" t="s">
        <v>70</v>
      </c>
      <c r="J1336" s="22" t="s">
        <v>50</v>
      </c>
      <c r="K1336" s="24">
        <v>6</v>
      </c>
      <c r="M1336" s="21">
        <v>45993</v>
      </c>
      <c r="N1336" s="22" t="s">
        <v>70</v>
      </c>
      <c r="O1336" s="22" t="s">
        <v>42</v>
      </c>
      <c r="P1336" s="49">
        <v>79</v>
      </c>
      <c r="Q1336" s="49">
        <v>78.900000000000006</v>
      </c>
      <c r="R1336" s="46">
        <f t="shared" si="44"/>
        <v>9.9999999999994316E-2</v>
      </c>
      <c r="T1336" s="21">
        <v>45979</v>
      </c>
      <c r="U1336" s="22" t="s">
        <v>50</v>
      </c>
      <c r="V1336" s="24">
        <v>1</v>
      </c>
      <c r="W1336" s="24">
        <v>4</v>
      </c>
      <c r="X1336" s="24">
        <v>3</v>
      </c>
      <c r="Y1336" s="24">
        <v>3</v>
      </c>
      <c r="Z1336" s="20">
        <f t="shared" si="45"/>
        <v>11</v>
      </c>
    </row>
    <row r="1337" spans="1:26" x14ac:dyDescent="0.2">
      <c r="A1337" s="21"/>
      <c r="B1337" s="20"/>
      <c r="C1337" s="22"/>
      <c r="D1337" s="22"/>
      <c r="E1337" s="24"/>
      <c r="F1337" s="22"/>
      <c r="H1337" s="21">
        <v>45952</v>
      </c>
      <c r="I1337" s="22" t="s">
        <v>70</v>
      </c>
      <c r="J1337" s="22" t="s">
        <v>51</v>
      </c>
      <c r="K1337" s="24">
        <v>9</v>
      </c>
      <c r="M1337" s="21">
        <v>45993</v>
      </c>
      <c r="N1337" s="22" t="s">
        <v>70</v>
      </c>
      <c r="O1337" s="22" t="s">
        <v>44</v>
      </c>
      <c r="P1337" s="49">
        <v>67.5</v>
      </c>
      <c r="Q1337" s="49">
        <v>67.099999999999994</v>
      </c>
      <c r="R1337" s="46">
        <f t="shared" si="44"/>
        <v>0.40000000000000568</v>
      </c>
      <c r="T1337" s="21">
        <v>45979</v>
      </c>
      <c r="U1337" s="22" t="s">
        <v>51</v>
      </c>
      <c r="V1337" s="24">
        <v>3</v>
      </c>
      <c r="W1337" s="24">
        <v>4</v>
      </c>
      <c r="X1337" s="24">
        <v>3</v>
      </c>
      <c r="Y1337" s="24">
        <v>4</v>
      </c>
      <c r="Z1337" s="20">
        <f t="shared" si="45"/>
        <v>14</v>
      </c>
    </row>
    <row r="1338" spans="1:26" x14ac:dyDescent="0.2">
      <c r="A1338" s="21"/>
      <c r="B1338" s="20"/>
      <c r="C1338" s="22"/>
      <c r="D1338" s="22"/>
      <c r="E1338" s="24"/>
      <c r="F1338" s="22"/>
      <c r="H1338" s="21">
        <v>45952</v>
      </c>
      <c r="I1338" s="22" t="s">
        <v>70</v>
      </c>
      <c r="J1338" s="22" t="s">
        <v>46</v>
      </c>
      <c r="K1338" s="24" t="s">
        <v>64</v>
      </c>
      <c r="M1338" s="21">
        <v>45993</v>
      </c>
      <c r="N1338" s="22" t="s">
        <v>70</v>
      </c>
      <c r="O1338" s="22" t="s">
        <v>45</v>
      </c>
      <c r="P1338" s="49">
        <v>69.400000000000006</v>
      </c>
      <c r="Q1338" s="49">
        <v>68.7</v>
      </c>
      <c r="R1338" s="46">
        <f t="shared" si="44"/>
        <v>0.70000000000000284</v>
      </c>
      <c r="T1338" s="21">
        <v>45979</v>
      </c>
      <c r="U1338" s="22" t="s">
        <v>52</v>
      </c>
      <c r="V1338" s="24">
        <v>4</v>
      </c>
      <c r="W1338" s="24">
        <v>4</v>
      </c>
      <c r="X1338" s="24">
        <v>4</v>
      </c>
      <c r="Y1338" s="24">
        <v>4</v>
      </c>
      <c r="Z1338" s="20">
        <f t="shared" si="45"/>
        <v>16</v>
      </c>
    </row>
    <row r="1339" spans="1:26" x14ac:dyDescent="0.2">
      <c r="A1339" s="21"/>
      <c r="B1339" s="20"/>
      <c r="C1339" s="22"/>
      <c r="D1339" s="22"/>
      <c r="E1339" s="24"/>
      <c r="F1339" s="22"/>
      <c r="H1339" s="21">
        <v>45952</v>
      </c>
      <c r="I1339" s="22" t="s">
        <v>70</v>
      </c>
      <c r="J1339" s="22" t="s">
        <v>48</v>
      </c>
      <c r="K1339" s="24">
        <v>8</v>
      </c>
      <c r="M1339" s="21">
        <v>45993</v>
      </c>
      <c r="N1339" s="22" t="s">
        <v>70</v>
      </c>
      <c r="O1339" s="22" t="s">
        <v>46</v>
      </c>
      <c r="P1339" s="49">
        <v>80.599999999999994</v>
      </c>
      <c r="Q1339" s="49">
        <v>81</v>
      </c>
      <c r="R1339" s="46">
        <f t="shared" si="44"/>
        <v>-0.40000000000000568</v>
      </c>
      <c r="T1339" s="21">
        <v>45979</v>
      </c>
      <c r="U1339" s="22" t="s">
        <v>53</v>
      </c>
      <c r="V1339" s="24">
        <v>5</v>
      </c>
      <c r="W1339" s="24">
        <v>5</v>
      </c>
      <c r="X1339" s="24">
        <v>3</v>
      </c>
      <c r="Y1339" s="24">
        <v>4</v>
      </c>
      <c r="Z1339" s="20">
        <f t="shared" si="45"/>
        <v>17</v>
      </c>
    </row>
    <row r="1340" spans="1:26" x14ac:dyDescent="0.2">
      <c r="A1340" s="21"/>
      <c r="B1340" s="20"/>
      <c r="C1340" s="22"/>
      <c r="D1340" s="22"/>
      <c r="E1340" s="24"/>
      <c r="F1340" s="22"/>
      <c r="H1340" s="21">
        <v>45952</v>
      </c>
      <c r="I1340" s="22" t="s">
        <v>70</v>
      </c>
      <c r="J1340" s="22" t="s">
        <v>56</v>
      </c>
      <c r="K1340" s="24">
        <v>6</v>
      </c>
      <c r="M1340" s="21">
        <v>45993</v>
      </c>
      <c r="N1340" s="22" t="s">
        <v>70</v>
      </c>
      <c r="O1340" s="22" t="s">
        <v>47</v>
      </c>
      <c r="P1340" s="49">
        <v>70.5</v>
      </c>
      <c r="Q1340" s="49">
        <v>70.5</v>
      </c>
      <c r="R1340" s="46">
        <f t="shared" si="44"/>
        <v>0</v>
      </c>
      <c r="T1340" s="21">
        <v>45979</v>
      </c>
      <c r="U1340" s="22" t="s">
        <v>56</v>
      </c>
      <c r="V1340" s="24">
        <v>4</v>
      </c>
      <c r="W1340" s="24">
        <v>4</v>
      </c>
      <c r="X1340" s="24">
        <v>4</v>
      </c>
      <c r="Y1340" s="24">
        <v>5</v>
      </c>
      <c r="Z1340" s="20">
        <f t="shared" si="45"/>
        <v>17</v>
      </c>
    </row>
    <row r="1341" spans="1:26" x14ac:dyDescent="0.2">
      <c r="A1341" s="21"/>
      <c r="B1341" s="20"/>
      <c r="C1341" s="22"/>
      <c r="D1341" s="22"/>
      <c r="E1341" s="24"/>
      <c r="F1341" s="22"/>
      <c r="H1341" s="21">
        <v>45953</v>
      </c>
      <c r="I1341" s="22" t="s">
        <v>70</v>
      </c>
      <c r="J1341" s="22" t="s">
        <v>52</v>
      </c>
      <c r="K1341" s="24">
        <v>5</v>
      </c>
      <c r="M1341" s="21">
        <v>45993</v>
      </c>
      <c r="N1341" s="22" t="s">
        <v>70</v>
      </c>
      <c r="O1341" s="22" t="s">
        <v>48</v>
      </c>
      <c r="P1341" s="49">
        <v>81.3</v>
      </c>
      <c r="Q1341" s="49">
        <v>79.8</v>
      </c>
      <c r="R1341" s="46">
        <f t="shared" si="44"/>
        <v>1.5</v>
      </c>
      <c r="T1341" s="21">
        <v>45979</v>
      </c>
      <c r="U1341" s="22" t="s">
        <v>57</v>
      </c>
      <c r="V1341" s="24">
        <v>4</v>
      </c>
      <c r="W1341" s="24">
        <v>4</v>
      </c>
      <c r="X1341" s="24">
        <v>4</v>
      </c>
      <c r="Y1341" s="24">
        <v>5</v>
      </c>
      <c r="Z1341" s="20">
        <f t="shared" si="45"/>
        <v>17</v>
      </c>
    </row>
    <row r="1342" spans="1:26" x14ac:dyDescent="0.2">
      <c r="A1342" s="21"/>
      <c r="B1342" s="20"/>
      <c r="C1342" s="22"/>
      <c r="D1342" s="22"/>
      <c r="E1342" s="24"/>
      <c r="F1342" s="22"/>
      <c r="H1342" s="21">
        <v>45953</v>
      </c>
      <c r="I1342" s="22" t="s">
        <v>70</v>
      </c>
      <c r="J1342" s="22" t="s">
        <v>53</v>
      </c>
      <c r="K1342" s="24">
        <v>4</v>
      </c>
      <c r="M1342" s="21">
        <v>45993</v>
      </c>
      <c r="N1342" s="22" t="s">
        <v>70</v>
      </c>
      <c r="O1342" s="22" t="s">
        <v>49</v>
      </c>
      <c r="P1342" s="49">
        <v>78</v>
      </c>
      <c r="Q1342" s="49">
        <v>78</v>
      </c>
      <c r="R1342" s="46">
        <f t="shared" si="44"/>
        <v>0</v>
      </c>
      <c r="T1342" s="21">
        <v>45979</v>
      </c>
      <c r="U1342" s="22" t="s">
        <v>58</v>
      </c>
      <c r="V1342" s="24">
        <v>4</v>
      </c>
      <c r="W1342" s="24">
        <v>4</v>
      </c>
      <c r="X1342" s="24">
        <v>3</v>
      </c>
      <c r="Y1342" s="24">
        <v>5</v>
      </c>
      <c r="Z1342" s="20">
        <f t="shared" si="45"/>
        <v>16</v>
      </c>
    </row>
    <row r="1343" spans="1:26" x14ac:dyDescent="0.2">
      <c r="A1343" s="21"/>
      <c r="B1343" s="20"/>
      <c r="C1343" s="22"/>
      <c r="D1343" s="22"/>
      <c r="E1343" s="24"/>
      <c r="F1343" s="22"/>
      <c r="H1343" s="21">
        <v>45953</v>
      </c>
      <c r="I1343" s="22" t="s">
        <v>70</v>
      </c>
      <c r="J1343" s="22" t="s">
        <v>44</v>
      </c>
      <c r="K1343" s="24">
        <v>3</v>
      </c>
      <c r="M1343" s="21">
        <v>45993</v>
      </c>
      <c r="N1343" s="22" t="s">
        <v>70</v>
      </c>
      <c r="O1343" s="22" t="s">
        <v>50</v>
      </c>
      <c r="P1343" s="49">
        <v>66.599999999999994</v>
      </c>
      <c r="Q1343" s="49">
        <v>66.099999999999994</v>
      </c>
      <c r="R1343" s="46">
        <f t="shared" si="44"/>
        <v>0.5</v>
      </c>
      <c r="T1343" s="21">
        <v>45979</v>
      </c>
      <c r="U1343" s="22" t="s">
        <v>33</v>
      </c>
      <c r="V1343" s="24">
        <v>3.6666666666666701</v>
      </c>
      <c r="W1343" s="24">
        <v>3.8666666666666698</v>
      </c>
      <c r="X1343" s="24">
        <v>3.5333333333333301</v>
      </c>
      <c r="Y1343" s="24">
        <v>4.2666666666666702</v>
      </c>
      <c r="Z1343" s="20">
        <f t="shared" si="45"/>
        <v>15.333333333333339</v>
      </c>
    </row>
    <row r="1344" spans="1:26" x14ac:dyDescent="0.2">
      <c r="A1344" s="21"/>
      <c r="B1344" s="20"/>
      <c r="C1344" s="22"/>
      <c r="D1344" s="22"/>
      <c r="E1344" s="24"/>
      <c r="F1344" s="22"/>
      <c r="H1344" s="21">
        <v>45953</v>
      </c>
      <c r="I1344" s="22" t="s">
        <v>70</v>
      </c>
      <c r="J1344" s="22" t="s">
        <v>45</v>
      </c>
      <c r="K1344" s="24">
        <v>4</v>
      </c>
      <c r="M1344" s="21">
        <v>45993</v>
      </c>
      <c r="N1344" s="22" t="s">
        <v>70</v>
      </c>
      <c r="O1344" s="22" t="s">
        <v>51</v>
      </c>
      <c r="P1344" s="49">
        <v>74.7</v>
      </c>
      <c r="Q1344" s="49">
        <v>74.7</v>
      </c>
      <c r="R1344" s="46">
        <f t="shared" si="44"/>
        <v>0</v>
      </c>
      <c r="T1344" s="21">
        <v>45980</v>
      </c>
      <c r="U1344" s="22" t="s">
        <v>41</v>
      </c>
      <c r="V1344" s="24">
        <v>1</v>
      </c>
      <c r="W1344" s="24">
        <v>1</v>
      </c>
      <c r="X1344" s="24">
        <v>1</v>
      </c>
      <c r="Y1344" s="24">
        <v>1</v>
      </c>
      <c r="Z1344" s="20">
        <f t="shared" si="45"/>
        <v>4</v>
      </c>
    </row>
    <row r="1345" spans="1:26" x14ac:dyDescent="0.2">
      <c r="A1345" s="21"/>
      <c r="B1345" s="20"/>
      <c r="C1345" s="22"/>
      <c r="D1345" s="22"/>
      <c r="E1345" s="24"/>
      <c r="F1345" s="22"/>
      <c r="H1345" s="21">
        <v>45953</v>
      </c>
      <c r="I1345" s="22" t="s">
        <v>70</v>
      </c>
      <c r="J1345" s="22" t="s">
        <v>57</v>
      </c>
      <c r="K1345" s="24">
        <v>4</v>
      </c>
      <c r="M1345" s="21">
        <v>45993</v>
      </c>
      <c r="N1345" s="22" t="s">
        <v>70</v>
      </c>
      <c r="O1345" s="22" t="s">
        <v>52</v>
      </c>
      <c r="P1345" s="49">
        <v>71</v>
      </c>
      <c r="Q1345" s="49">
        <v>70.5</v>
      </c>
      <c r="R1345" s="46">
        <f t="shared" si="44"/>
        <v>0.5</v>
      </c>
      <c r="T1345" s="21">
        <v>45980</v>
      </c>
      <c r="U1345" s="22" t="s">
        <v>42</v>
      </c>
      <c r="V1345" s="24">
        <v>5</v>
      </c>
      <c r="W1345" s="24">
        <v>5</v>
      </c>
      <c r="X1345" s="24">
        <v>5</v>
      </c>
      <c r="Y1345" s="24">
        <v>5</v>
      </c>
      <c r="Z1345" s="20">
        <f t="shared" si="45"/>
        <v>20</v>
      </c>
    </row>
    <row r="1346" spans="1:26" x14ac:dyDescent="0.2">
      <c r="A1346" s="21"/>
      <c r="B1346" s="20"/>
      <c r="C1346" s="22"/>
      <c r="D1346" s="22"/>
      <c r="E1346" s="24"/>
      <c r="F1346" s="22"/>
      <c r="H1346" s="21">
        <v>45953</v>
      </c>
      <c r="I1346" s="22" t="s">
        <v>70</v>
      </c>
      <c r="J1346" s="22" t="s">
        <v>42</v>
      </c>
      <c r="K1346" s="24">
        <v>3</v>
      </c>
      <c r="M1346" s="21">
        <v>45993</v>
      </c>
      <c r="N1346" s="22" t="s">
        <v>70</v>
      </c>
      <c r="O1346" s="22" t="s">
        <v>53</v>
      </c>
      <c r="P1346" s="49">
        <v>67.400000000000006</v>
      </c>
      <c r="Q1346" s="49">
        <v>67</v>
      </c>
      <c r="R1346" s="46">
        <f t="shared" si="44"/>
        <v>0.40000000000000568</v>
      </c>
      <c r="T1346" s="21">
        <v>45980</v>
      </c>
      <c r="U1346" s="22" t="s">
        <v>44</v>
      </c>
      <c r="V1346" s="24">
        <v>5</v>
      </c>
      <c r="W1346" s="24">
        <v>5</v>
      </c>
      <c r="X1346" s="24">
        <v>5</v>
      </c>
      <c r="Y1346" s="24">
        <v>5</v>
      </c>
      <c r="Z1346" s="20">
        <f t="shared" si="45"/>
        <v>20</v>
      </c>
    </row>
    <row r="1347" spans="1:26" x14ac:dyDescent="0.2">
      <c r="A1347" s="21"/>
      <c r="B1347" s="20"/>
      <c r="C1347" s="22"/>
      <c r="D1347" s="22"/>
      <c r="E1347" s="24"/>
      <c r="F1347" s="22"/>
      <c r="H1347" s="21">
        <v>45953</v>
      </c>
      <c r="I1347" s="22" t="s">
        <v>70</v>
      </c>
      <c r="J1347" s="22" t="s">
        <v>47</v>
      </c>
      <c r="K1347" s="24">
        <v>4</v>
      </c>
      <c r="M1347" s="21">
        <v>45993</v>
      </c>
      <c r="N1347" s="22" t="s">
        <v>70</v>
      </c>
      <c r="O1347" s="22" t="s">
        <v>56</v>
      </c>
      <c r="P1347" s="49">
        <v>75.2</v>
      </c>
      <c r="Q1347" s="49">
        <v>75.2</v>
      </c>
      <c r="R1347" s="46">
        <f t="shared" ref="R1347:R1410" si="46">IFERROR(P1347-Q1347,"")</f>
        <v>0</v>
      </c>
      <c r="T1347" s="21">
        <v>45980</v>
      </c>
      <c r="U1347" s="22" t="s">
        <v>45</v>
      </c>
      <c r="V1347" s="24">
        <v>4</v>
      </c>
      <c r="W1347" s="24">
        <v>4</v>
      </c>
      <c r="X1347" s="24">
        <v>4</v>
      </c>
      <c r="Y1347" s="24">
        <v>5</v>
      </c>
      <c r="Z1347" s="20">
        <f t="shared" ref="Z1347:Z1410" si="47">SUM(V1347:Y1347)</f>
        <v>17</v>
      </c>
    </row>
    <row r="1348" spans="1:26" x14ac:dyDescent="0.2">
      <c r="A1348" s="21"/>
      <c r="B1348" s="20"/>
      <c r="C1348" s="22"/>
      <c r="D1348" s="22"/>
      <c r="E1348" s="24"/>
      <c r="F1348" s="22"/>
      <c r="H1348" s="21">
        <v>45953</v>
      </c>
      <c r="I1348" s="22" t="s">
        <v>70</v>
      </c>
      <c r="J1348" s="22" t="s">
        <v>41</v>
      </c>
      <c r="K1348" s="24">
        <v>2</v>
      </c>
      <c r="M1348" s="21">
        <v>45993</v>
      </c>
      <c r="N1348" s="22" t="s">
        <v>70</v>
      </c>
      <c r="O1348" s="22" t="s">
        <v>57</v>
      </c>
      <c r="P1348" s="49">
        <v>93.2</v>
      </c>
      <c r="Q1348" s="49">
        <v>92.6</v>
      </c>
      <c r="R1348" s="46">
        <f t="shared" si="46"/>
        <v>0.60000000000000853</v>
      </c>
      <c r="T1348" s="21">
        <v>45980</v>
      </c>
      <c r="U1348" s="22" t="s">
        <v>46</v>
      </c>
      <c r="V1348" s="24">
        <v>5</v>
      </c>
      <c r="W1348" s="24">
        <v>4</v>
      </c>
      <c r="X1348" s="24">
        <v>4</v>
      </c>
      <c r="Y1348" s="24">
        <v>4</v>
      </c>
      <c r="Z1348" s="20">
        <f t="shared" si="47"/>
        <v>17</v>
      </c>
    </row>
    <row r="1349" spans="1:26" x14ac:dyDescent="0.2">
      <c r="A1349" s="21"/>
      <c r="B1349" s="20"/>
      <c r="C1349" s="22"/>
      <c r="D1349" s="22"/>
      <c r="E1349" s="24"/>
      <c r="F1349" s="22"/>
      <c r="H1349" s="21">
        <v>45953</v>
      </c>
      <c r="I1349" s="22" t="s">
        <v>70</v>
      </c>
      <c r="J1349" s="22" t="s">
        <v>58</v>
      </c>
      <c r="K1349" s="24">
        <v>4</v>
      </c>
      <c r="M1349" s="21">
        <v>45993</v>
      </c>
      <c r="N1349" s="22" t="s">
        <v>70</v>
      </c>
      <c r="O1349" s="22" t="s">
        <v>58</v>
      </c>
      <c r="P1349" s="49">
        <v>75.599999999999994</v>
      </c>
      <c r="Q1349" s="49">
        <v>75.599999999999994</v>
      </c>
      <c r="R1349" s="46">
        <f t="shared" si="46"/>
        <v>0</v>
      </c>
      <c r="T1349" s="21">
        <v>45980</v>
      </c>
      <c r="U1349" s="22" t="s">
        <v>47</v>
      </c>
      <c r="V1349" s="24">
        <v>4</v>
      </c>
      <c r="W1349" s="24">
        <v>3</v>
      </c>
      <c r="X1349" s="24">
        <v>3</v>
      </c>
      <c r="Y1349" s="24">
        <v>5</v>
      </c>
      <c r="Z1349" s="20">
        <f t="shared" si="47"/>
        <v>15</v>
      </c>
    </row>
    <row r="1350" spans="1:26" x14ac:dyDescent="0.2">
      <c r="A1350" s="21"/>
      <c r="B1350" s="20"/>
      <c r="C1350" s="22"/>
      <c r="D1350" s="22"/>
      <c r="E1350" s="24"/>
      <c r="F1350" s="22"/>
      <c r="H1350" s="21">
        <v>45953</v>
      </c>
      <c r="I1350" s="22" t="s">
        <v>70</v>
      </c>
      <c r="J1350" s="22" t="s">
        <v>49</v>
      </c>
      <c r="K1350" s="24">
        <v>5</v>
      </c>
      <c r="M1350" s="21">
        <v>45994</v>
      </c>
      <c r="N1350" s="22" t="s">
        <v>70</v>
      </c>
      <c r="O1350" s="22" t="s">
        <v>41</v>
      </c>
      <c r="P1350" s="49">
        <v>77</v>
      </c>
      <c r="Q1350" s="49">
        <v>76.400000000000006</v>
      </c>
      <c r="R1350" s="46">
        <f t="shared" si="46"/>
        <v>0.59999999999999432</v>
      </c>
      <c r="T1350" s="21">
        <v>45980</v>
      </c>
      <c r="U1350" s="22" t="s">
        <v>48</v>
      </c>
      <c r="V1350" s="24">
        <v>3</v>
      </c>
      <c r="W1350" s="24">
        <v>4</v>
      </c>
      <c r="X1350" s="24">
        <v>4</v>
      </c>
      <c r="Y1350" s="24">
        <v>5</v>
      </c>
      <c r="Z1350" s="20">
        <f t="shared" si="47"/>
        <v>16</v>
      </c>
    </row>
    <row r="1351" spans="1:26" x14ac:dyDescent="0.2">
      <c r="A1351" s="21"/>
      <c r="B1351" s="20"/>
      <c r="C1351" s="22"/>
      <c r="D1351" s="22"/>
      <c r="E1351" s="24"/>
      <c r="F1351" s="22"/>
      <c r="H1351" s="21">
        <v>45953</v>
      </c>
      <c r="I1351" s="22" t="s">
        <v>70</v>
      </c>
      <c r="J1351" s="22" t="s">
        <v>43</v>
      </c>
      <c r="K1351" s="24">
        <v>3</v>
      </c>
      <c r="M1351" s="21">
        <v>45994</v>
      </c>
      <c r="N1351" s="22" t="s">
        <v>70</v>
      </c>
      <c r="O1351" s="22" t="s">
        <v>42</v>
      </c>
      <c r="P1351" s="49">
        <v>79</v>
      </c>
      <c r="Q1351" s="49">
        <v>79</v>
      </c>
      <c r="R1351" s="46">
        <f t="shared" si="46"/>
        <v>0</v>
      </c>
      <c r="T1351" s="21">
        <v>45980</v>
      </c>
      <c r="U1351" s="22" t="s">
        <v>49</v>
      </c>
      <c r="V1351" s="24">
        <v>4</v>
      </c>
      <c r="W1351" s="24">
        <v>4</v>
      </c>
      <c r="X1351" s="24">
        <v>4</v>
      </c>
      <c r="Y1351" s="24">
        <v>4</v>
      </c>
      <c r="Z1351" s="20">
        <f t="shared" si="47"/>
        <v>16</v>
      </c>
    </row>
    <row r="1352" spans="1:26" x14ac:dyDescent="0.2">
      <c r="A1352" s="21"/>
      <c r="B1352" s="20"/>
      <c r="C1352" s="22"/>
      <c r="D1352" s="22"/>
      <c r="E1352" s="24"/>
      <c r="F1352" s="22"/>
      <c r="H1352" s="21">
        <v>45953</v>
      </c>
      <c r="I1352" s="22" t="s">
        <v>70</v>
      </c>
      <c r="J1352" s="22" t="s">
        <v>50</v>
      </c>
      <c r="K1352" s="24">
        <v>4</v>
      </c>
      <c r="M1352" s="21">
        <v>45994</v>
      </c>
      <c r="N1352" s="22" t="s">
        <v>70</v>
      </c>
      <c r="O1352" s="22" t="s">
        <v>44</v>
      </c>
      <c r="P1352" s="49">
        <v>67.400000000000006</v>
      </c>
      <c r="Q1352" s="49">
        <v>67.2</v>
      </c>
      <c r="R1352" s="46">
        <f t="shared" si="46"/>
        <v>0.20000000000000284</v>
      </c>
      <c r="T1352" s="21">
        <v>45980</v>
      </c>
      <c r="U1352" s="22" t="s">
        <v>51</v>
      </c>
      <c r="V1352" s="24">
        <v>4</v>
      </c>
      <c r="W1352" s="24">
        <v>4</v>
      </c>
      <c r="X1352" s="24">
        <v>4</v>
      </c>
      <c r="Y1352" s="24">
        <v>5</v>
      </c>
      <c r="Z1352" s="20">
        <f t="shared" si="47"/>
        <v>17</v>
      </c>
    </row>
    <row r="1353" spans="1:26" x14ac:dyDescent="0.2">
      <c r="A1353" s="21"/>
      <c r="B1353" s="20"/>
      <c r="C1353" s="22"/>
      <c r="D1353" s="22"/>
      <c r="E1353" s="24"/>
      <c r="F1353" s="22"/>
      <c r="H1353" s="21">
        <v>45953</v>
      </c>
      <c r="I1353" s="22" t="s">
        <v>70</v>
      </c>
      <c r="J1353" s="22" t="s">
        <v>51</v>
      </c>
      <c r="K1353" s="24">
        <v>4</v>
      </c>
      <c r="M1353" s="21">
        <v>45994</v>
      </c>
      <c r="N1353" s="22" t="s">
        <v>70</v>
      </c>
      <c r="O1353" s="22" t="s">
        <v>45</v>
      </c>
      <c r="P1353" s="49">
        <v>69</v>
      </c>
      <c r="Q1353" s="49">
        <v>68.599999999999994</v>
      </c>
      <c r="R1353" s="46">
        <f t="shared" si="46"/>
        <v>0.40000000000000568</v>
      </c>
      <c r="T1353" s="21">
        <v>45980</v>
      </c>
      <c r="U1353" s="22" t="s">
        <v>52</v>
      </c>
      <c r="V1353" s="24">
        <v>4</v>
      </c>
      <c r="W1353" s="24">
        <v>4</v>
      </c>
      <c r="X1353" s="24">
        <v>4</v>
      </c>
      <c r="Y1353" s="24">
        <v>4</v>
      </c>
      <c r="Z1353" s="20">
        <f t="shared" si="47"/>
        <v>16</v>
      </c>
    </row>
    <row r="1354" spans="1:26" x14ac:dyDescent="0.2">
      <c r="A1354" s="21"/>
      <c r="B1354" s="20"/>
      <c r="C1354" s="22"/>
      <c r="D1354" s="22"/>
      <c r="E1354" s="24"/>
      <c r="F1354" s="22"/>
      <c r="H1354" s="21">
        <v>45953</v>
      </c>
      <c r="I1354" s="22" t="s">
        <v>70</v>
      </c>
      <c r="J1354" s="22" t="s">
        <v>46</v>
      </c>
      <c r="K1354" s="24">
        <v>1</v>
      </c>
      <c r="M1354" s="21">
        <v>45994</v>
      </c>
      <c r="N1354" s="22" t="s">
        <v>70</v>
      </c>
      <c r="O1354" s="22" t="s">
        <v>46</v>
      </c>
      <c r="P1354" s="49">
        <v>81</v>
      </c>
      <c r="Q1354" s="49">
        <v>80.5</v>
      </c>
      <c r="R1354" s="46">
        <f t="shared" si="46"/>
        <v>0.5</v>
      </c>
      <c r="T1354" s="21">
        <v>45980</v>
      </c>
      <c r="U1354" s="22" t="s">
        <v>53</v>
      </c>
      <c r="V1354" s="24">
        <v>4</v>
      </c>
      <c r="W1354" s="24">
        <v>4</v>
      </c>
      <c r="X1354" s="24">
        <v>4</v>
      </c>
      <c r="Y1354" s="24">
        <v>4</v>
      </c>
      <c r="Z1354" s="20">
        <f t="shared" si="47"/>
        <v>16</v>
      </c>
    </row>
    <row r="1355" spans="1:26" x14ac:dyDescent="0.2">
      <c r="A1355" s="21"/>
      <c r="B1355" s="20"/>
      <c r="C1355" s="22"/>
      <c r="D1355" s="22"/>
      <c r="E1355" s="24"/>
      <c r="F1355" s="22"/>
      <c r="H1355" s="21">
        <v>45953</v>
      </c>
      <c r="I1355" s="22" t="s">
        <v>70</v>
      </c>
      <c r="J1355" s="22" t="s">
        <v>48</v>
      </c>
      <c r="K1355" s="24">
        <v>3</v>
      </c>
      <c r="M1355" s="21">
        <v>45994</v>
      </c>
      <c r="N1355" s="22" t="s">
        <v>70</v>
      </c>
      <c r="O1355" s="22" t="s">
        <v>47</v>
      </c>
      <c r="P1355" s="49">
        <v>71</v>
      </c>
      <c r="Q1355" s="49">
        <v>71</v>
      </c>
      <c r="R1355" s="46">
        <f t="shared" si="46"/>
        <v>0</v>
      </c>
      <c r="T1355" s="21">
        <v>45980</v>
      </c>
      <c r="U1355" s="22" t="s">
        <v>56</v>
      </c>
      <c r="V1355" s="24">
        <v>4</v>
      </c>
      <c r="W1355" s="24">
        <v>4</v>
      </c>
      <c r="X1355" s="24">
        <v>4</v>
      </c>
      <c r="Y1355" s="24">
        <v>5</v>
      </c>
      <c r="Z1355" s="20">
        <f t="shared" si="47"/>
        <v>17</v>
      </c>
    </row>
    <row r="1356" spans="1:26" x14ac:dyDescent="0.2">
      <c r="A1356" s="21"/>
      <c r="B1356" s="20"/>
      <c r="C1356" s="22"/>
      <c r="D1356" s="22"/>
      <c r="E1356" s="24"/>
      <c r="F1356" s="22"/>
      <c r="H1356" s="21">
        <v>45953</v>
      </c>
      <c r="I1356" s="22" t="s">
        <v>70</v>
      </c>
      <c r="J1356" s="22" t="s">
        <v>56</v>
      </c>
      <c r="K1356" s="24" t="s">
        <v>61</v>
      </c>
      <c r="M1356" s="21">
        <v>45994</v>
      </c>
      <c r="N1356" s="22" t="s">
        <v>70</v>
      </c>
      <c r="O1356" s="22" t="s">
        <v>48</v>
      </c>
      <c r="P1356" s="49">
        <v>81.599999999999994</v>
      </c>
      <c r="Q1356" s="49">
        <v>80.2</v>
      </c>
      <c r="R1356" s="46">
        <f t="shared" si="46"/>
        <v>1.3999999999999915</v>
      </c>
      <c r="T1356" s="21">
        <v>45980</v>
      </c>
      <c r="U1356" s="22" t="s">
        <v>57</v>
      </c>
      <c r="V1356" s="24">
        <v>5</v>
      </c>
      <c r="W1356" s="24">
        <v>4</v>
      </c>
      <c r="X1356" s="24">
        <v>5</v>
      </c>
      <c r="Y1356" s="24">
        <v>5</v>
      </c>
      <c r="Z1356" s="20">
        <f t="shared" si="47"/>
        <v>19</v>
      </c>
    </row>
    <row r="1357" spans="1:26" x14ac:dyDescent="0.2">
      <c r="A1357" s="21"/>
      <c r="B1357" s="20"/>
      <c r="C1357" s="22"/>
      <c r="D1357" s="22"/>
      <c r="E1357" s="24"/>
      <c r="F1357" s="22"/>
      <c r="H1357" s="21">
        <v>45953</v>
      </c>
      <c r="I1357" s="22" t="s">
        <v>70</v>
      </c>
      <c r="J1357" s="22" t="s">
        <v>55</v>
      </c>
      <c r="K1357" s="24">
        <v>6</v>
      </c>
      <c r="M1357" s="21">
        <v>45994</v>
      </c>
      <c r="N1357" s="22" t="s">
        <v>70</v>
      </c>
      <c r="O1357" s="22" t="s">
        <v>49</v>
      </c>
      <c r="P1357" s="49">
        <v>77.5</v>
      </c>
      <c r="Q1357" s="49">
        <v>77.5</v>
      </c>
      <c r="R1357" s="46">
        <f t="shared" si="46"/>
        <v>0</v>
      </c>
      <c r="T1357" s="21">
        <v>45980</v>
      </c>
      <c r="U1357" s="22" t="s">
        <v>58</v>
      </c>
      <c r="V1357" s="24">
        <v>4</v>
      </c>
      <c r="W1357" s="24">
        <v>5</v>
      </c>
      <c r="X1357" s="24">
        <v>3</v>
      </c>
      <c r="Y1357" s="24">
        <v>5</v>
      </c>
      <c r="Z1357" s="20">
        <f t="shared" si="47"/>
        <v>17</v>
      </c>
    </row>
    <row r="1358" spans="1:26" x14ac:dyDescent="0.2">
      <c r="A1358" s="21"/>
      <c r="B1358" s="20"/>
      <c r="C1358" s="22"/>
      <c r="D1358" s="22"/>
      <c r="E1358" s="24"/>
      <c r="F1358" s="22"/>
      <c r="H1358" s="21">
        <v>45954</v>
      </c>
      <c r="I1358" s="22" t="s">
        <v>71</v>
      </c>
      <c r="J1358" s="22" t="s">
        <v>52</v>
      </c>
      <c r="K1358" s="24">
        <v>3</v>
      </c>
      <c r="M1358" s="21">
        <v>45994</v>
      </c>
      <c r="N1358" s="22" t="s">
        <v>70</v>
      </c>
      <c r="O1358" s="22" t="s">
        <v>50</v>
      </c>
      <c r="P1358" s="49">
        <v>67</v>
      </c>
      <c r="Q1358" s="49">
        <v>67.099999999999994</v>
      </c>
      <c r="R1358" s="46">
        <f t="shared" si="46"/>
        <v>-9.9999999999994316E-2</v>
      </c>
      <c r="T1358" s="21">
        <v>45980</v>
      </c>
      <c r="U1358" s="22" t="s">
        <v>33</v>
      </c>
      <c r="V1358" s="24">
        <v>4</v>
      </c>
      <c r="W1358" s="24">
        <v>3.9285714285714302</v>
      </c>
      <c r="X1358" s="24">
        <v>3.8571428571428599</v>
      </c>
      <c r="Y1358" s="24">
        <v>4.4285714285714297</v>
      </c>
      <c r="Z1358" s="20">
        <f t="shared" si="47"/>
        <v>16.214285714285719</v>
      </c>
    </row>
    <row r="1359" spans="1:26" x14ac:dyDescent="0.2">
      <c r="A1359" s="21"/>
      <c r="B1359" s="20"/>
      <c r="C1359" s="22"/>
      <c r="D1359" s="22"/>
      <c r="E1359" s="24"/>
      <c r="F1359" s="22"/>
      <c r="H1359" s="21">
        <v>45954</v>
      </c>
      <c r="I1359" s="22" t="s">
        <v>71</v>
      </c>
      <c r="J1359" s="22" t="s">
        <v>53</v>
      </c>
      <c r="K1359" s="24">
        <v>3</v>
      </c>
      <c r="M1359" s="21">
        <v>45994</v>
      </c>
      <c r="N1359" s="22" t="s">
        <v>70</v>
      </c>
      <c r="O1359" s="22" t="s">
        <v>51</v>
      </c>
      <c r="P1359" s="49">
        <v>74.8</v>
      </c>
      <c r="Q1359" s="49">
        <v>74.400000000000006</v>
      </c>
      <c r="R1359" s="46">
        <f t="shared" si="46"/>
        <v>0.39999999999999147</v>
      </c>
      <c r="T1359" s="21">
        <v>45982</v>
      </c>
      <c r="U1359" s="22" t="s">
        <v>41</v>
      </c>
      <c r="V1359" s="24">
        <v>1</v>
      </c>
      <c r="W1359" s="24">
        <v>1</v>
      </c>
      <c r="X1359" s="24">
        <v>1</v>
      </c>
      <c r="Y1359" s="24">
        <v>1</v>
      </c>
      <c r="Z1359" s="20">
        <f t="shared" si="47"/>
        <v>4</v>
      </c>
    </row>
    <row r="1360" spans="1:26" x14ac:dyDescent="0.2">
      <c r="A1360" s="21"/>
      <c r="B1360" s="20"/>
      <c r="C1360" s="22"/>
      <c r="D1360" s="22"/>
      <c r="E1360" s="24"/>
      <c r="F1360" s="22"/>
      <c r="H1360" s="21">
        <v>45954</v>
      </c>
      <c r="I1360" s="22" t="s">
        <v>71</v>
      </c>
      <c r="J1360" s="22" t="s">
        <v>44</v>
      </c>
      <c r="K1360" s="24">
        <v>2</v>
      </c>
      <c r="M1360" s="21">
        <v>45994</v>
      </c>
      <c r="N1360" s="22" t="s">
        <v>70</v>
      </c>
      <c r="O1360" s="22" t="s">
        <v>52</v>
      </c>
      <c r="P1360" s="49">
        <v>71.099999999999994</v>
      </c>
      <c r="Q1360" s="49">
        <v>70.5</v>
      </c>
      <c r="R1360" s="46">
        <f t="shared" si="46"/>
        <v>0.59999999999999432</v>
      </c>
      <c r="T1360" s="21">
        <v>45982</v>
      </c>
      <c r="U1360" s="22" t="s">
        <v>42</v>
      </c>
      <c r="V1360" s="24">
        <v>4</v>
      </c>
      <c r="W1360" s="24">
        <v>4</v>
      </c>
      <c r="X1360" s="24">
        <v>4</v>
      </c>
      <c r="Y1360" s="24">
        <v>5</v>
      </c>
      <c r="Z1360" s="20">
        <f t="shared" si="47"/>
        <v>17</v>
      </c>
    </row>
    <row r="1361" spans="1:26" x14ac:dyDescent="0.2">
      <c r="A1361" s="21"/>
      <c r="B1361" s="20"/>
      <c r="C1361" s="22"/>
      <c r="D1361" s="22"/>
      <c r="E1361" s="24"/>
      <c r="F1361" s="22"/>
      <c r="H1361" s="21">
        <v>45954</v>
      </c>
      <c r="I1361" s="22" t="s">
        <v>71</v>
      </c>
      <c r="J1361" s="22" t="s">
        <v>45</v>
      </c>
      <c r="K1361" s="24">
        <v>3</v>
      </c>
      <c r="M1361" s="21">
        <v>45994</v>
      </c>
      <c r="N1361" s="22" t="s">
        <v>70</v>
      </c>
      <c r="O1361" s="22" t="s">
        <v>53</v>
      </c>
      <c r="P1361" s="49">
        <v>68</v>
      </c>
      <c r="Q1361" s="49">
        <v>67</v>
      </c>
      <c r="R1361" s="46">
        <f t="shared" si="46"/>
        <v>1</v>
      </c>
      <c r="T1361" s="21">
        <v>45982</v>
      </c>
      <c r="U1361" s="22" t="s">
        <v>44</v>
      </c>
      <c r="V1361" s="24">
        <v>5</v>
      </c>
      <c r="W1361" s="24">
        <v>5</v>
      </c>
      <c r="X1361" s="24">
        <v>5</v>
      </c>
      <c r="Y1361" s="24">
        <v>3</v>
      </c>
      <c r="Z1361" s="20">
        <f t="shared" si="47"/>
        <v>18</v>
      </c>
    </row>
    <row r="1362" spans="1:26" x14ac:dyDescent="0.2">
      <c r="A1362" s="21"/>
      <c r="B1362" s="20"/>
      <c r="C1362" s="22"/>
      <c r="D1362" s="22"/>
      <c r="E1362" s="24"/>
      <c r="F1362" s="22"/>
      <c r="H1362" s="21">
        <v>45954</v>
      </c>
      <c r="I1362" s="22" t="s">
        <v>71</v>
      </c>
      <c r="J1362" s="22" t="s">
        <v>57</v>
      </c>
      <c r="K1362" s="24">
        <v>2</v>
      </c>
      <c r="M1362" s="21">
        <v>45994</v>
      </c>
      <c r="N1362" s="22" t="s">
        <v>70</v>
      </c>
      <c r="O1362" s="22" t="s">
        <v>56</v>
      </c>
      <c r="P1362" s="49">
        <v>75</v>
      </c>
      <c r="Q1362" s="49">
        <v>75.2</v>
      </c>
      <c r="R1362" s="46">
        <f t="shared" si="46"/>
        <v>-0.20000000000000284</v>
      </c>
      <c r="T1362" s="21">
        <v>45982</v>
      </c>
      <c r="U1362" s="22" t="s">
        <v>45</v>
      </c>
      <c r="V1362" s="24">
        <v>4</v>
      </c>
      <c r="W1362" s="24">
        <v>4</v>
      </c>
      <c r="X1362" s="24">
        <v>4</v>
      </c>
      <c r="Y1362" s="24">
        <v>5</v>
      </c>
      <c r="Z1362" s="20">
        <f t="shared" si="47"/>
        <v>17</v>
      </c>
    </row>
    <row r="1363" spans="1:26" x14ac:dyDescent="0.2">
      <c r="A1363" s="21"/>
      <c r="B1363" s="20"/>
      <c r="C1363" s="22"/>
      <c r="D1363" s="22"/>
      <c r="E1363" s="24"/>
      <c r="F1363" s="22"/>
      <c r="H1363" s="21">
        <v>45954</v>
      </c>
      <c r="I1363" s="22" t="s">
        <v>71</v>
      </c>
      <c r="J1363" s="22" t="s">
        <v>42</v>
      </c>
      <c r="K1363" s="24">
        <v>1</v>
      </c>
      <c r="M1363" s="21">
        <v>45994</v>
      </c>
      <c r="N1363" s="22" t="s">
        <v>70</v>
      </c>
      <c r="O1363" s="22" t="s">
        <v>57</v>
      </c>
      <c r="P1363" s="49">
        <v>93.3</v>
      </c>
      <c r="Q1363" s="49">
        <v>91.8</v>
      </c>
      <c r="R1363" s="46">
        <f t="shared" si="46"/>
        <v>1.5</v>
      </c>
      <c r="T1363" s="21">
        <v>45982</v>
      </c>
      <c r="U1363" s="22" t="s">
        <v>46</v>
      </c>
      <c r="V1363" s="24">
        <v>5</v>
      </c>
      <c r="W1363" s="24">
        <v>4</v>
      </c>
      <c r="X1363" s="24">
        <v>4</v>
      </c>
      <c r="Y1363" s="24">
        <v>4</v>
      </c>
      <c r="Z1363" s="20">
        <f t="shared" si="47"/>
        <v>17</v>
      </c>
    </row>
    <row r="1364" spans="1:26" x14ac:dyDescent="0.2">
      <c r="A1364" s="21"/>
      <c r="B1364" s="20"/>
      <c r="C1364" s="22"/>
      <c r="D1364" s="22"/>
      <c r="E1364" s="24"/>
      <c r="F1364" s="22"/>
      <c r="H1364" s="21">
        <v>45954</v>
      </c>
      <c r="I1364" s="22" t="s">
        <v>71</v>
      </c>
      <c r="J1364" s="22" t="s">
        <v>47</v>
      </c>
      <c r="K1364" s="24">
        <v>2</v>
      </c>
      <c r="M1364" s="21">
        <v>45994</v>
      </c>
      <c r="N1364" s="22" t="s">
        <v>70</v>
      </c>
      <c r="O1364" s="22" t="s">
        <v>58</v>
      </c>
      <c r="P1364" s="49">
        <v>75.7</v>
      </c>
      <c r="Q1364" s="49">
        <v>75.400000000000006</v>
      </c>
      <c r="R1364" s="46">
        <f t="shared" si="46"/>
        <v>0.29999999999999716</v>
      </c>
      <c r="T1364" s="21">
        <v>45982</v>
      </c>
      <c r="U1364" s="22" t="s">
        <v>47</v>
      </c>
      <c r="V1364" s="24">
        <v>4</v>
      </c>
      <c r="W1364" s="24">
        <v>4</v>
      </c>
      <c r="X1364" s="24">
        <v>3</v>
      </c>
      <c r="Y1364" s="24">
        <v>5</v>
      </c>
      <c r="Z1364" s="20">
        <f t="shared" si="47"/>
        <v>16</v>
      </c>
    </row>
    <row r="1365" spans="1:26" x14ac:dyDescent="0.2">
      <c r="A1365" s="21"/>
      <c r="B1365" s="20"/>
      <c r="C1365" s="22"/>
      <c r="D1365" s="22"/>
      <c r="E1365" s="24"/>
      <c r="F1365" s="22"/>
      <c r="H1365" s="21">
        <v>45954</v>
      </c>
      <c r="I1365" s="22" t="s">
        <v>71</v>
      </c>
      <c r="J1365" s="22" t="s">
        <v>41</v>
      </c>
      <c r="K1365" s="24">
        <v>3</v>
      </c>
      <c r="M1365" s="21">
        <v>45995</v>
      </c>
      <c r="N1365" s="22" t="s">
        <v>70</v>
      </c>
      <c r="O1365" s="22" t="s">
        <v>41</v>
      </c>
      <c r="P1365" s="49">
        <v>76.8</v>
      </c>
      <c r="Q1365" s="49">
        <v>76.099999999999994</v>
      </c>
      <c r="R1365" s="46">
        <f t="shared" si="46"/>
        <v>0.70000000000000284</v>
      </c>
      <c r="T1365" s="21">
        <v>45982</v>
      </c>
      <c r="U1365" s="22" t="s">
        <v>48</v>
      </c>
      <c r="V1365" s="24">
        <v>5</v>
      </c>
      <c r="W1365" s="24">
        <v>4</v>
      </c>
      <c r="X1365" s="24">
        <v>4</v>
      </c>
      <c r="Y1365" s="24">
        <v>5</v>
      </c>
      <c r="Z1365" s="20">
        <f t="shared" si="47"/>
        <v>18</v>
      </c>
    </row>
    <row r="1366" spans="1:26" x14ac:dyDescent="0.2">
      <c r="A1366" s="21"/>
      <c r="B1366" s="20"/>
      <c r="C1366" s="22"/>
      <c r="D1366" s="22"/>
      <c r="E1366" s="24"/>
      <c r="F1366" s="22"/>
      <c r="H1366" s="21">
        <v>45954</v>
      </c>
      <c r="I1366" s="22" t="s">
        <v>71</v>
      </c>
      <c r="J1366" s="22" t="s">
        <v>58</v>
      </c>
      <c r="K1366" s="24">
        <v>2</v>
      </c>
      <c r="M1366" s="21">
        <v>45995</v>
      </c>
      <c r="N1366" s="22" t="s">
        <v>70</v>
      </c>
      <c r="O1366" s="22" t="s">
        <v>42</v>
      </c>
      <c r="P1366" s="49">
        <v>78.7</v>
      </c>
      <c r="Q1366" s="49">
        <v>78.900000000000006</v>
      </c>
      <c r="R1366" s="46">
        <f t="shared" si="46"/>
        <v>-0.20000000000000284</v>
      </c>
      <c r="T1366" s="21">
        <v>45982</v>
      </c>
      <c r="U1366" s="22" t="s">
        <v>49</v>
      </c>
      <c r="V1366" s="24">
        <v>4</v>
      </c>
      <c r="W1366" s="24">
        <v>4</v>
      </c>
      <c r="X1366" s="24">
        <v>4</v>
      </c>
      <c r="Y1366" s="24">
        <v>4</v>
      </c>
      <c r="Z1366" s="20">
        <f t="shared" si="47"/>
        <v>16</v>
      </c>
    </row>
    <row r="1367" spans="1:26" x14ac:dyDescent="0.2">
      <c r="A1367" s="21"/>
      <c r="B1367" s="20"/>
      <c r="C1367" s="22"/>
      <c r="D1367" s="22"/>
      <c r="E1367" s="24"/>
      <c r="F1367" s="22"/>
      <c r="H1367" s="21">
        <v>45954</v>
      </c>
      <c r="I1367" s="22" t="s">
        <v>71</v>
      </c>
      <c r="J1367" s="22" t="s">
        <v>49</v>
      </c>
      <c r="K1367" s="24">
        <v>3</v>
      </c>
      <c r="M1367" s="21">
        <v>45995</v>
      </c>
      <c r="N1367" s="22" t="s">
        <v>70</v>
      </c>
      <c r="O1367" s="22" t="s">
        <v>44</v>
      </c>
      <c r="P1367" s="49">
        <v>67.2</v>
      </c>
      <c r="Q1367" s="49">
        <v>67.099999999999994</v>
      </c>
      <c r="R1367" s="46">
        <f t="shared" si="46"/>
        <v>0.10000000000000853</v>
      </c>
      <c r="T1367" s="21">
        <v>45982</v>
      </c>
      <c r="U1367" s="22" t="s">
        <v>50</v>
      </c>
      <c r="V1367" s="24">
        <v>4</v>
      </c>
      <c r="W1367" s="24">
        <v>5</v>
      </c>
      <c r="X1367" s="24">
        <v>4</v>
      </c>
      <c r="Y1367" s="24">
        <v>5</v>
      </c>
      <c r="Z1367" s="20">
        <f t="shared" si="47"/>
        <v>18</v>
      </c>
    </row>
    <row r="1368" spans="1:26" x14ac:dyDescent="0.2">
      <c r="A1368" s="21"/>
      <c r="B1368" s="20"/>
      <c r="C1368" s="22"/>
      <c r="D1368" s="22"/>
      <c r="E1368" s="24"/>
      <c r="F1368" s="22"/>
      <c r="H1368" s="21">
        <v>45954</v>
      </c>
      <c r="I1368" s="22" t="s">
        <v>71</v>
      </c>
      <c r="J1368" s="22" t="s">
        <v>43</v>
      </c>
      <c r="K1368" s="24">
        <v>4</v>
      </c>
      <c r="M1368" s="21">
        <v>45995</v>
      </c>
      <c r="N1368" s="22" t="s">
        <v>70</v>
      </c>
      <c r="O1368" s="22" t="s">
        <v>45</v>
      </c>
      <c r="P1368" s="49">
        <v>68.7</v>
      </c>
      <c r="Q1368" s="49">
        <v>68.3</v>
      </c>
      <c r="R1368" s="46">
        <f t="shared" si="46"/>
        <v>0.40000000000000568</v>
      </c>
      <c r="T1368" s="21">
        <v>45982</v>
      </c>
      <c r="U1368" s="22" t="s">
        <v>51</v>
      </c>
      <c r="V1368" s="24">
        <v>4</v>
      </c>
      <c r="W1368" s="24">
        <v>4</v>
      </c>
      <c r="X1368" s="24">
        <v>4</v>
      </c>
      <c r="Y1368" s="24">
        <v>5</v>
      </c>
      <c r="Z1368" s="20">
        <f t="shared" si="47"/>
        <v>17</v>
      </c>
    </row>
    <row r="1369" spans="1:26" x14ac:dyDescent="0.2">
      <c r="A1369" s="21"/>
      <c r="B1369" s="20"/>
      <c r="C1369" s="22"/>
      <c r="D1369" s="22"/>
      <c r="E1369" s="24"/>
      <c r="F1369" s="22"/>
      <c r="H1369" s="21">
        <v>45954</v>
      </c>
      <c r="I1369" s="22" t="s">
        <v>71</v>
      </c>
      <c r="J1369" s="22" t="s">
        <v>50</v>
      </c>
      <c r="K1369" s="24">
        <v>2</v>
      </c>
      <c r="M1369" s="21">
        <v>45995</v>
      </c>
      <c r="N1369" s="22" t="s">
        <v>70</v>
      </c>
      <c r="O1369" s="22" t="s">
        <v>46</v>
      </c>
      <c r="P1369" s="49">
        <v>80.5</v>
      </c>
      <c r="Q1369" s="49">
        <v>80.5</v>
      </c>
      <c r="R1369" s="46">
        <f t="shared" si="46"/>
        <v>0</v>
      </c>
      <c r="T1369" s="21">
        <v>45982</v>
      </c>
      <c r="U1369" s="22" t="s">
        <v>52</v>
      </c>
      <c r="V1369" s="24">
        <v>4</v>
      </c>
      <c r="W1369" s="24">
        <v>4</v>
      </c>
      <c r="X1369" s="24">
        <v>4</v>
      </c>
      <c r="Y1369" s="24">
        <v>4</v>
      </c>
      <c r="Z1369" s="20">
        <f t="shared" si="47"/>
        <v>16</v>
      </c>
    </row>
    <row r="1370" spans="1:26" x14ac:dyDescent="0.2">
      <c r="A1370" s="21"/>
      <c r="B1370" s="20"/>
      <c r="C1370" s="22"/>
      <c r="D1370" s="22"/>
      <c r="E1370" s="24"/>
      <c r="F1370" s="22"/>
      <c r="H1370" s="21">
        <v>45954</v>
      </c>
      <c r="I1370" s="22" t="s">
        <v>71</v>
      </c>
      <c r="J1370" s="22" t="s">
        <v>51</v>
      </c>
      <c r="K1370" s="24">
        <v>3</v>
      </c>
      <c r="M1370" s="21">
        <v>45995</v>
      </c>
      <c r="N1370" s="22" t="s">
        <v>70</v>
      </c>
      <c r="O1370" s="22" t="s">
        <v>47</v>
      </c>
      <c r="P1370" s="49">
        <v>71</v>
      </c>
      <c r="Q1370" s="49">
        <v>71.5</v>
      </c>
      <c r="R1370" s="46">
        <f t="shared" si="46"/>
        <v>-0.5</v>
      </c>
      <c r="T1370" s="21">
        <v>45982</v>
      </c>
      <c r="U1370" s="22" t="s">
        <v>53</v>
      </c>
      <c r="V1370" s="24">
        <v>4</v>
      </c>
      <c r="W1370" s="24">
        <v>4</v>
      </c>
      <c r="X1370" s="24">
        <v>2</v>
      </c>
      <c r="Y1370" s="24">
        <v>4</v>
      </c>
      <c r="Z1370" s="20">
        <f t="shared" si="47"/>
        <v>14</v>
      </c>
    </row>
    <row r="1371" spans="1:26" x14ac:dyDescent="0.2">
      <c r="A1371" s="21"/>
      <c r="B1371" s="20"/>
      <c r="C1371" s="22"/>
      <c r="D1371" s="22"/>
      <c r="E1371" s="24"/>
      <c r="F1371" s="22"/>
      <c r="H1371" s="21">
        <v>45954</v>
      </c>
      <c r="I1371" s="22" t="s">
        <v>71</v>
      </c>
      <c r="J1371" s="22" t="s">
        <v>46</v>
      </c>
      <c r="K1371" s="24">
        <v>4</v>
      </c>
      <c r="M1371" s="21">
        <v>45995</v>
      </c>
      <c r="N1371" s="22" t="s">
        <v>70</v>
      </c>
      <c r="O1371" s="22" t="s">
        <v>48</v>
      </c>
      <c r="P1371" s="49">
        <v>81.599999999999994</v>
      </c>
      <c r="Q1371" s="49">
        <v>81</v>
      </c>
      <c r="R1371" s="46">
        <f t="shared" si="46"/>
        <v>0.59999999999999432</v>
      </c>
      <c r="T1371" s="21">
        <v>45982</v>
      </c>
      <c r="U1371" s="22" t="s">
        <v>56</v>
      </c>
      <c r="V1371" s="24">
        <v>4</v>
      </c>
      <c r="W1371" s="24">
        <v>4</v>
      </c>
      <c r="X1371" s="24">
        <v>4</v>
      </c>
      <c r="Y1371" s="24">
        <v>5</v>
      </c>
      <c r="Z1371" s="20">
        <f t="shared" si="47"/>
        <v>17</v>
      </c>
    </row>
    <row r="1372" spans="1:26" x14ac:dyDescent="0.2">
      <c r="A1372" s="21"/>
      <c r="B1372" s="20"/>
      <c r="C1372" s="22"/>
      <c r="D1372" s="22"/>
      <c r="E1372" s="24"/>
      <c r="F1372" s="22"/>
      <c r="H1372" s="21">
        <v>45954</v>
      </c>
      <c r="I1372" s="22" t="s">
        <v>71</v>
      </c>
      <c r="J1372" s="22" t="s">
        <v>48</v>
      </c>
      <c r="K1372" s="24">
        <v>2</v>
      </c>
      <c r="M1372" s="21">
        <v>45995</v>
      </c>
      <c r="N1372" s="22" t="s">
        <v>70</v>
      </c>
      <c r="O1372" s="22" t="s">
        <v>49</v>
      </c>
      <c r="P1372" s="49">
        <v>77.2</v>
      </c>
      <c r="Q1372" s="49">
        <v>77.2</v>
      </c>
      <c r="R1372" s="46">
        <f t="shared" si="46"/>
        <v>0</v>
      </c>
      <c r="T1372" s="21">
        <v>45982</v>
      </c>
      <c r="U1372" s="22" t="s">
        <v>57</v>
      </c>
      <c r="V1372" s="24">
        <v>5</v>
      </c>
      <c r="W1372" s="24">
        <v>4</v>
      </c>
      <c r="X1372" s="24">
        <v>4</v>
      </c>
      <c r="Y1372" s="24">
        <v>5</v>
      </c>
      <c r="Z1372" s="20">
        <f t="shared" si="47"/>
        <v>18</v>
      </c>
    </row>
    <row r="1373" spans="1:26" x14ac:dyDescent="0.2">
      <c r="A1373" s="21"/>
      <c r="B1373" s="20"/>
      <c r="C1373" s="22"/>
      <c r="D1373" s="22"/>
      <c r="E1373" s="24"/>
      <c r="F1373" s="22"/>
      <c r="H1373" s="21">
        <v>45954</v>
      </c>
      <c r="I1373" s="22" t="s">
        <v>71</v>
      </c>
      <c r="J1373" s="22" t="s">
        <v>56</v>
      </c>
      <c r="K1373" s="24">
        <v>3</v>
      </c>
      <c r="M1373" s="21">
        <v>45995</v>
      </c>
      <c r="N1373" s="22" t="s">
        <v>70</v>
      </c>
      <c r="O1373" s="22" t="s">
        <v>50</v>
      </c>
      <c r="P1373" s="49">
        <v>67.3</v>
      </c>
      <c r="Q1373" s="49">
        <v>66.900000000000006</v>
      </c>
      <c r="R1373" s="46">
        <f t="shared" si="46"/>
        <v>0.39999999999999147</v>
      </c>
      <c r="T1373" s="21">
        <v>45982</v>
      </c>
      <c r="U1373" s="22" t="s">
        <v>58</v>
      </c>
      <c r="V1373" s="24">
        <v>5</v>
      </c>
      <c r="W1373" s="24">
        <v>4</v>
      </c>
      <c r="X1373" s="24">
        <v>3</v>
      </c>
      <c r="Y1373" s="24">
        <v>5</v>
      </c>
      <c r="Z1373" s="20">
        <f t="shared" si="47"/>
        <v>17</v>
      </c>
    </row>
    <row r="1374" spans="1:26" x14ac:dyDescent="0.2">
      <c r="A1374" s="21"/>
      <c r="B1374" s="20"/>
      <c r="C1374" s="22"/>
      <c r="D1374" s="22"/>
      <c r="E1374" s="24"/>
      <c r="F1374" s="22"/>
      <c r="H1374" s="21">
        <v>45955</v>
      </c>
      <c r="I1374" s="22" t="s">
        <v>71</v>
      </c>
      <c r="J1374" s="22" t="s">
        <v>52</v>
      </c>
      <c r="K1374" s="24">
        <v>7</v>
      </c>
      <c r="M1374" s="21">
        <v>45995</v>
      </c>
      <c r="N1374" s="22" t="s">
        <v>70</v>
      </c>
      <c r="O1374" s="22" t="s">
        <v>51</v>
      </c>
      <c r="P1374" s="49">
        <v>74.3</v>
      </c>
      <c r="Q1374" s="49">
        <v>74.400000000000006</v>
      </c>
      <c r="R1374" s="46">
        <f t="shared" si="46"/>
        <v>-0.10000000000000853</v>
      </c>
      <c r="T1374" s="21">
        <v>45982</v>
      </c>
      <c r="U1374" s="22" t="s">
        <v>33</v>
      </c>
      <c r="V1374" s="24">
        <v>4.1333333333333302</v>
      </c>
      <c r="W1374" s="24">
        <v>3.93333333333333</v>
      </c>
      <c r="X1374" s="24">
        <v>3.6</v>
      </c>
      <c r="Y1374" s="24">
        <v>4.3333333333333304</v>
      </c>
      <c r="Z1374" s="20">
        <f t="shared" si="47"/>
        <v>15.999999999999989</v>
      </c>
    </row>
    <row r="1375" spans="1:26" x14ac:dyDescent="0.2">
      <c r="A1375" s="21"/>
      <c r="B1375" s="20"/>
      <c r="C1375" s="22"/>
      <c r="D1375" s="22"/>
      <c r="E1375" s="24"/>
      <c r="F1375" s="22"/>
      <c r="H1375" s="21">
        <v>45955</v>
      </c>
      <c r="I1375" s="22" t="s">
        <v>71</v>
      </c>
      <c r="J1375" s="22" t="s">
        <v>53</v>
      </c>
      <c r="K1375" s="24">
        <v>3</v>
      </c>
      <c r="M1375" s="21">
        <v>45995</v>
      </c>
      <c r="N1375" s="22" t="s">
        <v>70</v>
      </c>
      <c r="O1375" s="22" t="s">
        <v>52</v>
      </c>
      <c r="P1375" s="49">
        <v>71.5</v>
      </c>
      <c r="Q1375" s="49">
        <v>71.5</v>
      </c>
      <c r="R1375" s="46">
        <f t="shared" si="46"/>
        <v>0</v>
      </c>
      <c r="T1375" s="21">
        <v>45983</v>
      </c>
      <c r="U1375" s="22" t="s">
        <v>41</v>
      </c>
      <c r="V1375" s="24">
        <v>1</v>
      </c>
      <c r="W1375" s="24">
        <v>1</v>
      </c>
      <c r="X1375" s="24">
        <v>1</v>
      </c>
      <c r="Y1375" s="24">
        <v>1</v>
      </c>
      <c r="Z1375" s="20">
        <f t="shared" si="47"/>
        <v>4</v>
      </c>
    </row>
    <row r="1376" spans="1:26" x14ac:dyDescent="0.2">
      <c r="A1376" s="21"/>
      <c r="B1376" s="20"/>
      <c r="C1376" s="22"/>
      <c r="D1376" s="22"/>
      <c r="E1376" s="24"/>
      <c r="F1376" s="22"/>
      <c r="H1376" s="21">
        <v>45955</v>
      </c>
      <c r="I1376" s="22" t="s">
        <v>71</v>
      </c>
      <c r="J1376" s="22" t="s">
        <v>44</v>
      </c>
      <c r="K1376" s="24">
        <v>8</v>
      </c>
      <c r="M1376" s="21">
        <v>45995</v>
      </c>
      <c r="N1376" s="22" t="s">
        <v>70</v>
      </c>
      <c r="O1376" s="22" t="s">
        <v>53</v>
      </c>
      <c r="P1376" s="49">
        <v>66.7</v>
      </c>
      <c r="Q1376" s="49">
        <v>66.400000000000006</v>
      </c>
      <c r="R1376" s="46">
        <f t="shared" si="46"/>
        <v>0.29999999999999716</v>
      </c>
      <c r="T1376" s="21">
        <v>45983</v>
      </c>
      <c r="U1376" s="22" t="s">
        <v>42</v>
      </c>
      <c r="V1376" s="24">
        <v>4</v>
      </c>
      <c r="W1376" s="24">
        <v>4</v>
      </c>
      <c r="X1376" s="24">
        <v>4</v>
      </c>
      <c r="Y1376" s="24">
        <v>5</v>
      </c>
      <c r="Z1376" s="20">
        <f t="shared" si="47"/>
        <v>17</v>
      </c>
    </row>
    <row r="1377" spans="1:26" x14ac:dyDescent="0.2">
      <c r="A1377" s="21"/>
      <c r="B1377" s="20"/>
      <c r="C1377" s="22"/>
      <c r="D1377" s="22"/>
      <c r="E1377" s="24"/>
      <c r="F1377" s="22"/>
      <c r="H1377" s="21">
        <v>45955</v>
      </c>
      <c r="I1377" s="22" t="s">
        <v>71</v>
      </c>
      <c r="J1377" s="22" t="s">
        <v>45</v>
      </c>
      <c r="K1377" s="24">
        <v>8</v>
      </c>
      <c r="M1377" s="21">
        <v>45995</v>
      </c>
      <c r="N1377" s="22" t="s">
        <v>70</v>
      </c>
      <c r="O1377" s="22" t="s">
        <v>56</v>
      </c>
      <c r="P1377" s="49">
        <v>75.599999999999994</v>
      </c>
      <c r="Q1377" s="49">
        <v>75.599999999999994</v>
      </c>
      <c r="R1377" s="46">
        <f t="shared" si="46"/>
        <v>0</v>
      </c>
      <c r="T1377" s="21">
        <v>45983</v>
      </c>
      <c r="U1377" s="22" t="s">
        <v>44</v>
      </c>
      <c r="V1377" s="24">
        <v>5</v>
      </c>
      <c r="W1377" s="24">
        <v>5</v>
      </c>
      <c r="X1377" s="24">
        <v>5</v>
      </c>
      <c r="Y1377" s="24">
        <v>5</v>
      </c>
      <c r="Z1377" s="20">
        <f t="shared" si="47"/>
        <v>20</v>
      </c>
    </row>
    <row r="1378" spans="1:26" x14ac:dyDescent="0.2">
      <c r="A1378" s="21"/>
      <c r="B1378" s="20"/>
      <c r="C1378" s="22"/>
      <c r="D1378" s="22"/>
      <c r="E1378" s="24"/>
      <c r="F1378" s="22"/>
      <c r="H1378" s="21">
        <v>45955</v>
      </c>
      <c r="I1378" s="22" t="s">
        <v>71</v>
      </c>
      <c r="J1378" s="22" t="s">
        <v>57</v>
      </c>
      <c r="K1378" s="24">
        <v>4</v>
      </c>
      <c r="M1378" s="21">
        <v>45995</v>
      </c>
      <c r="N1378" s="22" t="s">
        <v>70</v>
      </c>
      <c r="O1378" s="22" t="s">
        <v>57</v>
      </c>
      <c r="P1378" s="49">
        <v>92</v>
      </c>
      <c r="Q1378" s="49">
        <v>91.3</v>
      </c>
      <c r="R1378" s="46">
        <f t="shared" si="46"/>
        <v>0.70000000000000284</v>
      </c>
      <c r="T1378" s="21">
        <v>45983</v>
      </c>
      <c r="U1378" s="22" t="s">
        <v>45</v>
      </c>
      <c r="V1378" s="24">
        <v>5</v>
      </c>
      <c r="W1378" s="24">
        <v>4</v>
      </c>
      <c r="X1378" s="24">
        <v>4</v>
      </c>
      <c r="Y1378" s="24">
        <v>5</v>
      </c>
      <c r="Z1378" s="20">
        <f t="shared" si="47"/>
        <v>18</v>
      </c>
    </row>
    <row r="1379" spans="1:26" x14ac:dyDescent="0.2">
      <c r="A1379" s="21"/>
      <c r="B1379" s="20"/>
      <c r="C1379" s="22"/>
      <c r="D1379" s="22"/>
      <c r="E1379" s="24"/>
      <c r="F1379" s="22"/>
      <c r="H1379" s="21">
        <v>45955</v>
      </c>
      <c r="I1379" s="22" t="s">
        <v>71</v>
      </c>
      <c r="J1379" s="22" t="s">
        <v>42</v>
      </c>
      <c r="K1379" s="24">
        <v>7</v>
      </c>
      <c r="M1379" s="21">
        <v>45996</v>
      </c>
      <c r="N1379" s="22" t="s">
        <v>70</v>
      </c>
      <c r="O1379" s="22" t="s">
        <v>41</v>
      </c>
      <c r="P1379" s="49">
        <v>77</v>
      </c>
      <c r="Q1379" s="49">
        <v>76.8</v>
      </c>
      <c r="R1379" s="46">
        <f t="shared" si="46"/>
        <v>0.20000000000000284</v>
      </c>
      <c r="T1379" s="21">
        <v>45983</v>
      </c>
      <c r="U1379" s="22" t="s">
        <v>46</v>
      </c>
      <c r="V1379" s="24">
        <v>5</v>
      </c>
      <c r="W1379" s="24">
        <v>4</v>
      </c>
      <c r="X1379" s="24">
        <v>4</v>
      </c>
      <c r="Y1379" s="24">
        <v>4</v>
      </c>
      <c r="Z1379" s="20">
        <f t="shared" si="47"/>
        <v>17</v>
      </c>
    </row>
    <row r="1380" spans="1:26" x14ac:dyDescent="0.2">
      <c r="A1380" s="21"/>
      <c r="B1380" s="20"/>
      <c r="C1380" s="22"/>
      <c r="D1380" s="22"/>
      <c r="E1380" s="24"/>
      <c r="F1380" s="22"/>
      <c r="H1380" s="21">
        <v>45955</v>
      </c>
      <c r="I1380" s="22" t="s">
        <v>71</v>
      </c>
      <c r="J1380" s="22" t="s">
        <v>47</v>
      </c>
      <c r="K1380" s="24">
        <v>6</v>
      </c>
      <c r="M1380" s="21">
        <v>45996</v>
      </c>
      <c r="N1380" s="22" t="s">
        <v>70</v>
      </c>
      <c r="O1380" s="22" t="s">
        <v>42</v>
      </c>
      <c r="P1380" s="49">
        <v>78.900000000000006</v>
      </c>
      <c r="Q1380" s="49">
        <v>79</v>
      </c>
      <c r="R1380" s="46">
        <f t="shared" si="46"/>
        <v>-9.9999999999994316E-2</v>
      </c>
      <c r="T1380" s="21">
        <v>45983</v>
      </c>
      <c r="U1380" s="22" t="s">
        <v>47</v>
      </c>
      <c r="V1380" s="24">
        <v>5</v>
      </c>
      <c r="W1380" s="24">
        <v>4</v>
      </c>
      <c r="X1380" s="24">
        <v>4</v>
      </c>
      <c r="Y1380" s="24">
        <v>5</v>
      </c>
      <c r="Z1380" s="20">
        <f t="shared" si="47"/>
        <v>18</v>
      </c>
    </row>
    <row r="1381" spans="1:26" x14ac:dyDescent="0.2">
      <c r="A1381" s="21"/>
      <c r="B1381" s="20"/>
      <c r="C1381" s="22"/>
      <c r="D1381" s="22"/>
      <c r="E1381" s="24"/>
      <c r="F1381" s="22"/>
      <c r="H1381" s="21">
        <v>45955</v>
      </c>
      <c r="I1381" s="22" t="s">
        <v>71</v>
      </c>
      <c r="J1381" s="22" t="s">
        <v>41</v>
      </c>
      <c r="K1381" s="24" t="s">
        <v>63</v>
      </c>
      <c r="M1381" s="21">
        <v>45996</v>
      </c>
      <c r="N1381" s="22" t="s">
        <v>70</v>
      </c>
      <c r="O1381" s="22" t="s">
        <v>44</v>
      </c>
      <c r="P1381" s="49">
        <v>67.5</v>
      </c>
      <c r="Q1381" s="49">
        <v>67.3</v>
      </c>
      <c r="R1381" s="46">
        <f t="shared" si="46"/>
        <v>0.20000000000000284</v>
      </c>
      <c r="T1381" s="21">
        <v>45983</v>
      </c>
      <c r="U1381" s="22" t="s">
        <v>48</v>
      </c>
      <c r="V1381" s="24">
        <v>5</v>
      </c>
      <c r="W1381" s="24">
        <v>4</v>
      </c>
      <c r="X1381" s="24">
        <v>4</v>
      </c>
      <c r="Y1381" s="24">
        <v>5</v>
      </c>
      <c r="Z1381" s="20">
        <f t="shared" si="47"/>
        <v>18</v>
      </c>
    </row>
    <row r="1382" spans="1:26" x14ac:dyDescent="0.2">
      <c r="A1382" s="21"/>
      <c r="B1382" s="20"/>
      <c r="C1382" s="22"/>
      <c r="D1382" s="22"/>
      <c r="E1382" s="24"/>
      <c r="F1382" s="22"/>
      <c r="H1382" s="21">
        <v>45955</v>
      </c>
      <c r="I1382" s="22" t="s">
        <v>71</v>
      </c>
      <c r="J1382" s="22" t="s">
        <v>49</v>
      </c>
      <c r="K1382" s="24">
        <v>8</v>
      </c>
      <c r="M1382" s="21">
        <v>45996</v>
      </c>
      <c r="N1382" s="22" t="s">
        <v>70</v>
      </c>
      <c r="O1382" s="22" t="s">
        <v>45</v>
      </c>
      <c r="P1382" s="49">
        <v>69</v>
      </c>
      <c r="Q1382" s="49">
        <v>68.5</v>
      </c>
      <c r="R1382" s="46">
        <f t="shared" si="46"/>
        <v>0.5</v>
      </c>
      <c r="T1382" s="21">
        <v>45983</v>
      </c>
      <c r="U1382" s="22" t="s">
        <v>49</v>
      </c>
      <c r="V1382" s="24">
        <v>4</v>
      </c>
      <c r="W1382" s="24">
        <v>4</v>
      </c>
      <c r="X1382" s="24">
        <v>4</v>
      </c>
      <c r="Y1382" s="24">
        <v>4</v>
      </c>
      <c r="Z1382" s="20">
        <f t="shared" si="47"/>
        <v>16</v>
      </c>
    </row>
    <row r="1383" spans="1:26" x14ac:dyDescent="0.2">
      <c r="A1383" s="21"/>
      <c r="B1383" s="20"/>
      <c r="C1383" s="22"/>
      <c r="D1383" s="22"/>
      <c r="E1383" s="24"/>
      <c r="F1383" s="22"/>
      <c r="H1383" s="21">
        <v>45955</v>
      </c>
      <c r="I1383" s="22" t="s">
        <v>71</v>
      </c>
      <c r="J1383" s="22" t="s">
        <v>43</v>
      </c>
      <c r="K1383" s="24" t="s">
        <v>63</v>
      </c>
      <c r="M1383" s="21">
        <v>45996</v>
      </c>
      <c r="N1383" s="22" t="s">
        <v>70</v>
      </c>
      <c r="O1383" s="22" t="s">
        <v>46</v>
      </c>
      <c r="P1383" s="49">
        <v>80.2</v>
      </c>
      <c r="Q1383" s="49">
        <v>80.900000000000006</v>
      </c>
      <c r="R1383" s="46">
        <f t="shared" si="46"/>
        <v>-0.70000000000000284</v>
      </c>
      <c r="T1383" s="21">
        <v>45983</v>
      </c>
      <c r="U1383" s="22" t="s">
        <v>50</v>
      </c>
      <c r="V1383" s="24">
        <v>4</v>
      </c>
      <c r="W1383" s="24">
        <v>5</v>
      </c>
      <c r="X1383" s="24">
        <v>5</v>
      </c>
      <c r="Y1383" s="24">
        <v>4</v>
      </c>
      <c r="Z1383" s="20">
        <f t="shared" si="47"/>
        <v>18</v>
      </c>
    </row>
    <row r="1384" spans="1:26" x14ac:dyDescent="0.2">
      <c r="A1384" s="21"/>
      <c r="B1384" s="20"/>
      <c r="C1384" s="22"/>
      <c r="D1384" s="22"/>
      <c r="E1384" s="24"/>
      <c r="F1384" s="22"/>
      <c r="H1384" s="21">
        <v>45955</v>
      </c>
      <c r="I1384" s="22" t="s">
        <v>71</v>
      </c>
      <c r="J1384" s="22" t="s">
        <v>50</v>
      </c>
      <c r="K1384" s="24">
        <v>7</v>
      </c>
      <c r="M1384" s="21">
        <v>45996</v>
      </c>
      <c r="N1384" s="22" t="s">
        <v>70</v>
      </c>
      <c r="O1384" s="22" t="s">
        <v>47</v>
      </c>
      <c r="P1384" s="49">
        <v>70.7</v>
      </c>
      <c r="Q1384" s="49">
        <v>71</v>
      </c>
      <c r="R1384" s="46">
        <f t="shared" si="46"/>
        <v>-0.29999999999999716</v>
      </c>
      <c r="T1384" s="21">
        <v>45983</v>
      </c>
      <c r="U1384" s="22" t="s">
        <v>51</v>
      </c>
      <c r="V1384" s="24">
        <v>4</v>
      </c>
      <c r="W1384" s="24">
        <v>4</v>
      </c>
      <c r="X1384" s="24">
        <v>4</v>
      </c>
      <c r="Y1384" s="24">
        <v>5</v>
      </c>
      <c r="Z1384" s="20">
        <f t="shared" si="47"/>
        <v>17</v>
      </c>
    </row>
    <row r="1385" spans="1:26" x14ac:dyDescent="0.2">
      <c r="A1385" s="21"/>
      <c r="B1385" s="20"/>
      <c r="C1385" s="22"/>
      <c r="D1385" s="22"/>
      <c r="E1385" s="24"/>
      <c r="F1385" s="22"/>
      <c r="H1385" s="21">
        <v>45955</v>
      </c>
      <c r="I1385" s="22" t="s">
        <v>71</v>
      </c>
      <c r="J1385" s="22" t="s">
        <v>51</v>
      </c>
      <c r="K1385" s="24">
        <v>8</v>
      </c>
      <c r="M1385" s="21">
        <v>45996</v>
      </c>
      <c r="N1385" s="22" t="s">
        <v>70</v>
      </c>
      <c r="O1385" s="22" t="s">
        <v>48</v>
      </c>
      <c r="P1385" s="49">
        <v>82</v>
      </c>
      <c r="Q1385" s="49">
        <v>82</v>
      </c>
      <c r="R1385" s="46">
        <f t="shared" si="46"/>
        <v>0</v>
      </c>
      <c r="T1385" s="21">
        <v>45983</v>
      </c>
      <c r="U1385" s="22" t="s">
        <v>52</v>
      </c>
      <c r="V1385" s="24">
        <v>4</v>
      </c>
      <c r="W1385" s="24">
        <v>4</v>
      </c>
      <c r="X1385" s="24">
        <v>4</v>
      </c>
      <c r="Y1385" s="24">
        <v>4</v>
      </c>
      <c r="Z1385" s="20">
        <f t="shared" si="47"/>
        <v>16</v>
      </c>
    </row>
    <row r="1386" spans="1:26" x14ac:dyDescent="0.2">
      <c r="A1386" s="21"/>
      <c r="B1386" s="20"/>
      <c r="C1386" s="22"/>
      <c r="D1386" s="22"/>
      <c r="E1386" s="24"/>
      <c r="F1386" s="22"/>
      <c r="H1386" s="21">
        <v>45955</v>
      </c>
      <c r="I1386" s="22" t="s">
        <v>71</v>
      </c>
      <c r="J1386" s="22" t="s">
        <v>46</v>
      </c>
      <c r="K1386" s="24">
        <v>7</v>
      </c>
      <c r="M1386" s="21">
        <v>45996</v>
      </c>
      <c r="N1386" s="22" t="s">
        <v>70</v>
      </c>
      <c r="O1386" s="22" t="s">
        <v>49</v>
      </c>
      <c r="P1386" s="49">
        <v>77.5</v>
      </c>
      <c r="Q1386" s="49">
        <v>77.099999999999994</v>
      </c>
      <c r="R1386" s="46">
        <f t="shared" si="46"/>
        <v>0.40000000000000568</v>
      </c>
      <c r="T1386" s="21">
        <v>45983</v>
      </c>
      <c r="U1386" s="22" t="s">
        <v>53</v>
      </c>
      <c r="V1386" s="24">
        <v>4</v>
      </c>
      <c r="W1386" s="24">
        <v>4</v>
      </c>
      <c r="X1386" s="24">
        <v>4</v>
      </c>
      <c r="Y1386" s="24">
        <v>4</v>
      </c>
      <c r="Z1386" s="20">
        <f t="shared" si="47"/>
        <v>16</v>
      </c>
    </row>
    <row r="1387" spans="1:26" x14ac:dyDescent="0.2">
      <c r="A1387" s="21"/>
      <c r="B1387" s="20"/>
      <c r="C1387" s="22"/>
      <c r="D1387" s="22"/>
      <c r="E1387" s="24"/>
      <c r="F1387" s="22"/>
      <c r="H1387" s="21">
        <v>45955</v>
      </c>
      <c r="I1387" s="22" t="s">
        <v>71</v>
      </c>
      <c r="J1387" s="22" t="s">
        <v>48</v>
      </c>
      <c r="K1387" s="24">
        <v>8</v>
      </c>
      <c r="M1387" s="21">
        <v>45996</v>
      </c>
      <c r="N1387" s="22" t="s">
        <v>70</v>
      </c>
      <c r="O1387" s="22" t="s">
        <v>50</v>
      </c>
      <c r="P1387" s="49">
        <v>67.7</v>
      </c>
      <c r="Q1387" s="49">
        <v>67.3</v>
      </c>
      <c r="R1387" s="46">
        <f t="shared" si="46"/>
        <v>0.40000000000000568</v>
      </c>
      <c r="T1387" s="21">
        <v>45983</v>
      </c>
      <c r="U1387" s="22" t="s">
        <v>56</v>
      </c>
      <c r="V1387" s="24">
        <v>4</v>
      </c>
      <c r="W1387" s="24">
        <v>4</v>
      </c>
      <c r="X1387" s="24">
        <v>5</v>
      </c>
      <c r="Y1387" s="24">
        <v>5</v>
      </c>
      <c r="Z1387" s="20">
        <f t="shared" si="47"/>
        <v>18</v>
      </c>
    </row>
    <row r="1388" spans="1:26" x14ac:dyDescent="0.2">
      <c r="A1388" s="21"/>
      <c r="B1388" s="20"/>
      <c r="C1388" s="22"/>
      <c r="D1388" s="22"/>
      <c r="E1388" s="24"/>
      <c r="F1388" s="22"/>
      <c r="H1388" s="21">
        <v>45955</v>
      </c>
      <c r="I1388" s="22" t="s">
        <v>71</v>
      </c>
      <c r="J1388" s="22" t="s">
        <v>56</v>
      </c>
      <c r="K1388" s="24">
        <v>6</v>
      </c>
      <c r="M1388" s="21">
        <v>45996</v>
      </c>
      <c r="N1388" s="22" t="s">
        <v>70</v>
      </c>
      <c r="O1388" s="22" t="s">
        <v>51</v>
      </c>
      <c r="P1388" s="49">
        <v>74.3</v>
      </c>
      <c r="Q1388" s="49">
        <v>74.7</v>
      </c>
      <c r="R1388" s="46">
        <f t="shared" si="46"/>
        <v>-0.40000000000000568</v>
      </c>
      <c r="T1388" s="21">
        <v>45983</v>
      </c>
      <c r="U1388" s="22" t="s">
        <v>57</v>
      </c>
      <c r="V1388" s="24">
        <v>4</v>
      </c>
      <c r="W1388" s="24">
        <v>4</v>
      </c>
      <c r="X1388" s="24">
        <v>5</v>
      </c>
      <c r="Y1388" s="24">
        <v>5</v>
      </c>
      <c r="Z1388" s="20">
        <f t="shared" si="47"/>
        <v>18</v>
      </c>
    </row>
    <row r="1389" spans="1:26" x14ac:dyDescent="0.2">
      <c r="A1389" s="21"/>
      <c r="B1389" s="20"/>
      <c r="C1389" s="22"/>
      <c r="D1389" s="22"/>
      <c r="E1389" s="24"/>
      <c r="F1389" s="22"/>
      <c r="H1389" s="21">
        <v>45958</v>
      </c>
      <c r="I1389" s="22" t="s">
        <v>70</v>
      </c>
      <c r="J1389" s="22" t="s">
        <v>52</v>
      </c>
      <c r="K1389" s="24">
        <v>7</v>
      </c>
      <c r="M1389" s="21">
        <v>45996</v>
      </c>
      <c r="N1389" s="22" t="s">
        <v>70</v>
      </c>
      <c r="O1389" s="22" t="s">
        <v>52</v>
      </c>
      <c r="P1389" s="49">
        <v>71.2</v>
      </c>
      <c r="Q1389" s="49">
        <v>70.599999999999994</v>
      </c>
      <c r="R1389" s="46">
        <f t="shared" si="46"/>
        <v>0.60000000000000853</v>
      </c>
      <c r="T1389" s="21">
        <v>45983</v>
      </c>
      <c r="U1389" s="22" t="s">
        <v>58</v>
      </c>
      <c r="V1389" s="24">
        <v>4</v>
      </c>
      <c r="W1389" s="24">
        <v>4</v>
      </c>
      <c r="X1389" s="24">
        <v>3</v>
      </c>
      <c r="Y1389" s="24">
        <v>5</v>
      </c>
      <c r="Z1389" s="20">
        <f t="shared" si="47"/>
        <v>16</v>
      </c>
    </row>
    <row r="1390" spans="1:26" x14ac:dyDescent="0.2">
      <c r="A1390" s="21"/>
      <c r="B1390" s="20"/>
      <c r="C1390" s="22"/>
      <c r="D1390" s="22"/>
      <c r="E1390" s="24"/>
      <c r="F1390" s="22"/>
      <c r="H1390" s="21">
        <v>45958</v>
      </c>
      <c r="I1390" s="22" t="s">
        <v>70</v>
      </c>
      <c r="J1390" s="22" t="s">
        <v>53</v>
      </c>
      <c r="K1390" s="24">
        <v>8</v>
      </c>
      <c r="M1390" s="21">
        <v>45996</v>
      </c>
      <c r="N1390" s="22" t="s">
        <v>70</v>
      </c>
      <c r="O1390" s="22" t="s">
        <v>53</v>
      </c>
      <c r="P1390" s="49">
        <v>67.3</v>
      </c>
      <c r="Q1390" s="49">
        <v>66.400000000000006</v>
      </c>
      <c r="R1390" s="46">
        <f t="shared" si="46"/>
        <v>0.89999999999999147</v>
      </c>
      <c r="T1390" s="21">
        <v>45983</v>
      </c>
      <c r="U1390" s="22" t="s">
        <v>33</v>
      </c>
      <c r="V1390" s="24">
        <v>4.1333333333333302</v>
      </c>
      <c r="W1390" s="24">
        <v>3.93333333333333</v>
      </c>
      <c r="X1390" s="24">
        <v>4</v>
      </c>
      <c r="Y1390" s="24">
        <v>4.4000000000000004</v>
      </c>
      <c r="Z1390" s="20">
        <f t="shared" si="47"/>
        <v>16.466666666666661</v>
      </c>
    </row>
    <row r="1391" spans="1:26" x14ac:dyDescent="0.2">
      <c r="A1391" s="21"/>
      <c r="B1391" s="20"/>
      <c r="C1391" s="22"/>
      <c r="D1391" s="22"/>
      <c r="E1391" s="24"/>
      <c r="F1391" s="22"/>
      <c r="H1391" s="21">
        <v>45958</v>
      </c>
      <c r="I1391" s="22" t="s">
        <v>70</v>
      </c>
      <c r="J1391" s="22" t="s">
        <v>44</v>
      </c>
      <c r="K1391" s="24">
        <v>8</v>
      </c>
      <c r="M1391" s="21">
        <v>45996</v>
      </c>
      <c r="N1391" s="22" t="s">
        <v>70</v>
      </c>
      <c r="O1391" s="22" t="s">
        <v>56</v>
      </c>
      <c r="P1391" s="49">
        <v>75.5</v>
      </c>
      <c r="Q1391" s="49">
        <v>75.5</v>
      </c>
      <c r="R1391" s="46">
        <f t="shared" si="46"/>
        <v>0</v>
      </c>
      <c r="T1391" s="21">
        <v>45985</v>
      </c>
      <c r="U1391" s="22" t="s">
        <v>41</v>
      </c>
      <c r="V1391" s="24">
        <v>1</v>
      </c>
      <c r="W1391" s="24">
        <v>1</v>
      </c>
      <c r="X1391" s="24">
        <v>1</v>
      </c>
      <c r="Y1391" s="24">
        <v>1</v>
      </c>
      <c r="Z1391" s="20">
        <f t="shared" si="47"/>
        <v>4</v>
      </c>
    </row>
    <row r="1392" spans="1:26" x14ac:dyDescent="0.2">
      <c r="A1392" s="21"/>
      <c r="B1392" s="20"/>
      <c r="C1392" s="22"/>
      <c r="D1392" s="22"/>
      <c r="E1392" s="24"/>
      <c r="F1392" s="22"/>
      <c r="H1392" s="21">
        <v>45958</v>
      </c>
      <c r="I1392" s="22" t="s">
        <v>70</v>
      </c>
      <c r="J1392" s="22" t="s">
        <v>45</v>
      </c>
      <c r="K1392" s="24">
        <v>8</v>
      </c>
      <c r="M1392" s="21">
        <v>45996</v>
      </c>
      <c r="N1392" s="22" t="s">
        <v>70</v>
      </c>
      <c r="O1392" s="22" t="s">
        <v>57</v>
      </c>
      <c r="P1392" s="49">
        <v>93.6</v>
      </c>
      <c r="Q1392" s="49">
        <v>92.8</v>
      </c>
      <c r="R1392" s="46">
        <f t="shared" si="46"/>
        <v>0.79999999999999716</v>
      </c>
      <c r="T1392" s="21">
        <v>45985</v>
      </c>
      <c r="U1392" s="22" t="s">
        <v>42</v>
      </c>
      <c r="V1392" s="24">
        <v>4</v>
      </c>
      <c r="W1392" s="24">
        <v>4</v>
      </c>
      <c r="X1392" s="24">
        <v>5</v>
      </c>
      <c r="Y1392" s="24">
        <v>5</v>
      </c>
      <c r="Z1392" s="20">
        <f t="shared" si="47"/>
        <v>18</v>
      </c>
    </row>
    <row r="1393" spans="1:26" x14ac:dyDescent="0.2">
      <c r="A1393" s="21"/>
      <c r="B1393" s="20"/>
      <c r="C1393" s="22"/>
      <c r="D1393" s="22"/>
      <c r="E1393" s="24"/>
      <c r="F1393" s="22"/>
      <c r="H1393" s="21">
        <v>45958</v>
      </c>
      <c r="I1393" s="22" t="s">
        <v>70</v>
      </c>
      <c r="J1393" s="22" t="s">
        <v>57</v>
      </c>
      <c r="K1393" s="24">
        <v>7</v>
      </c>
      <c r="M1393" s="21">
        <v>45996</v>
      </c>
      <c r="N1393" s="22" t="s">
        <v>70</v>
      </c>
      <c r="O1393" s="22" t="s">
        <v>58</v>
      </c>
      <c r="P1393" s="49">
        <v>75.900000000000006</v>
      </c>
      <c r="Q1393" s="49">
        <v>75.8</v>
      </c>
      <c r="R1393" s="46">
        <f t="shared" si="46"/>
        <v>0.10000000000000853</v>
      </c>
      <c r="T1393" s="21">
        <v>45985</v>
      </c>
      <c r="U1393" s="22" t="s">
        <v>44</v>
      </c>
      <c r="V1393" s="24">
        <v>5</v>
      </c>
      <c r="W1393" s="24">
        <v>5</v>
      </c>
      <c r="X1393" s="24">
        <v>5</v>
      </c>
      <c r="Y1393" s="24">
        <v>5</v>
      </c>
      <c r="Z1393" s="20">
        <f t="shared" si="47"/>
        <v>20</v>
      </c>
    </row>
    <row r="1394" spans="1:26" x14ac:dyDescent="0.2">
      <c r="A1394" s="21"/>
      <c r="B1394" s="20"/>
      <c r="C1394" s="22"/>
      <c r="D1394" s="22"/>
      <c r="E1394" s="24"/>
      <c r="F1394" s="22"/>
      <c r="H1394" s="21">
        <v>45958</v>
      </c>
      <c r="I1394" s="22" t="s">
        <v>70</v>
      </c>
      <c r="J1394" s="22" t="s">
        <v>42</v>
      </c>
      <c r="K1394" s="24">
        <v>3</v>
      </c>
      <c r="M1394" s="21">
        <v>45997</v>
      </c>
      <c r="N1394" s="22" t="s">
        <v>70</v>
      </c>
      <c r="O1394" s="22" t="s">
        <v>41</v>
      </c>
      <c r="P1394" s="49">
        <v>76.400000000000006</v>
      </c>
      <c r="Q1394" s="49">
        <v>76</v>
      </c>
      <c r="R1394" s="46">
        <f t="shared" si="46"/>
        <v>0.40000000000000568</v>
      </c>
      <c r="T1394" s="21">
        <v>45985</v>
      </c>
      <c r="U1394" s="22" t="s">
        <v>45</v>
      </c>
      <c r="V1394" s="24">
        <v>4</v>
      </c>
      <c r="W1394" s="24">
        <v>4</v>
      </c>
      <c r="X1394" s="24">
        <v>5</v>
      </c>
      <c r="Y1394" s="24">
        <v>5</v>
      </c>
      <c r="Z1394" s="20">
        <f t="shared" si="47"/>
        <v>18</v>
      </c>
    </row>
    <row r="1395" spans="1:26" x14ac:dyDescent="0.2">
      <c r="A1395" s="21"/>
      <c r="B1395" s="20"/>
      <c r="C1395" s="22"/>
      <c r="D1395" s="22"/>
      <c r="E1395" s="24"/>
      <c r="F1395" s="22"/>
      <c r="H1395" s="21">
        <v>45958</v>
      </c>
      <c r="I1395" s="22" t="s">
        <v>70</v>
      </c>
      <c r="J1395" s="22" t="s">
        <v>47</v>
      </c>
      <c r="K1395" s="24">
        <v>8</v>
      </c>
      <c r="M1395" s="21">
        <v>45997</v>
      </c>
      <c r="N1395" s="22" t="s">
        <v>70</v>
      </c>
      <c r="O1395" s="22" t="s">
        <v>42</v>
      </c>
      <c r="P1395" s="49">
        <v>9.1999999999999993</v>
      </c>
      <c r="Q1395" s="49">
        <v>79</v>
      </c>
      <c r="R1395" s="46">
        <f t="shared" si="46"/>
        <v>-69.8</v>
      </c>
      <c r="T1395" s="21">
        <v>45985</v>
      </c>
      <c r="U1395" s="22" t="s">
        <v>46</v>
      </c>
      <c r="V1395" s="24">
        <v>5</v>
      </c>
      <c r="W1395" s="24">
        <v>4</v>
      </c>
      <c r="X1395" s="24">
        <v>4</v>
      </c>
      <c r="Y1395" s="24">
        <v>5</v>
      </c>
      <c r="Z1395" s="20">
        <f t="shared" si="47"/>
        <v>18</v>
      </c>
    </row>
    <row r="1396" spans="1:26" x14ac:dyDescent="0.2">
      <c r="A1396" s="21"/>
      <c r="B1396" s="20"/>
      <c r="C1396" s="22"/>
      <c r="D1396" s="22"/>
      <c r="E1396" s="24"/>
      <c r="F1396" s="22"/>
      <c r="H1396" s="21">
        <v>45958</v>
      </c>
      <c r="I1396" s="22" t="s">
        <v>70</v>
      </c>
      <c r="J1396" s="22" t="s">
        <v>41</v>
      </c>
      <c r="K1396" s="24">
        <v>3</v>
      </c>
      <c r="M1396" s="21">
        <v>45997</v>
      </c>
      <c r="N1396" s="22" t="s">
        <v>70</v>
      </c>
      <c r="O1396" s="22" t="s">
        <v>44</v>
      </c>
      <c r="P1396" s="49">
        <v>67</v>
      </c>
      <c r="Q1396" s="49">
        <v>67</v>
      </c>
      <c r="R1396" s="46">
        <f t="shared" si="46"/>
        <v>0</v>
      </c>
      <c r="T1396" s="21">
        <v>45985</v>
      </c>
      <c r="U1396" s="22" t="s">
        <v>47</v>
      </c>
      <c r="V1396" s="24">
        <v>4</v>
      </c>
      <c r="W1396" s="24">
        <v>4</v>
      </c>
      <c r="X1396" s="24">
        <v>4</v>
      </c>
      <c r="Y1396" s="24">
        <v>5</v>
      </c>
      <c r="Z1396" s="20">
        <f t="shared" si="47"/>
        <v>17</v>
      </c>
    </row>
    <row r="1397" spans="1:26" x14ac:dyDescent="0.2">
      <c r="A1397" s="21"/>
      <c r="B1397" s="20"/>
      <c r="C1397" s="22"/>
      <c r="D1397" s="22"/>
      <c r="E1397" s="24"/>
      <c r="F1397" s="22"/>
      <c r="H1397" s="21">
        <v>45958</v>
      </c>
      <c r="I1397" s="22" t="s">
        <v>70</v>
      </c>
      <c r="J1397" s="22" t="s">
        <v>49</v>
      </c>
      <c r="K1397" s="24">
        <v>7</v>
      </c>
      <c r="M1397" s="21">
        <v>45997</v>
      </c>
      <c r="N1397" s="22" t="s">
        <v>70</v>
      </c>
      <c r="O1397" s="22" t="s">
        <v>45</v>
      </c>
      <c r="P1397" s="49">
        <v>69</v>
      </c>
      <c r="Q1397" s="49">
        <v>68</v>
      </c>
      <c r="R1397" s="46">
        <f t="shared" si="46"/>
        <v>1</v>
      </c>
      <c r="T1397" s="21">
        <v>45985</v>
      </c>
      <c r="U1397" s="22" t="s">
        <v>48</v>
      </c>
      <c r="V1397" s="24">
        <v>5</v>
      </c>
      <c r="W1397" s="24">
        <v>4</v>
      </c>
      <c r="X1397" s="24">
        <v>4</v>
      </c>
      <c r="Y1397" s="24">
        <v>5</v>
      </c>
      <c r="Z1397" s="20">
        <f t="shared" si="47"/>
        <v>18</v>
      </c>
    </row>
    <row r="1398" spans="1:26" x14ac:dyDescent="0.2">
      <c r="A1398" s="21"/>
      <c r="B1398" s="20"/>
      <c r="C1398" s="22"/>
      <c r="D1398" s="22"/>
      <c r="E1398" s="24"/>
      <c r="F1398" s="22"/>
      <c r="H1398" s="21">
        <v>45958</v>
      </c>
      <c r="I1398" s="22" t="s">
        <v>70</v>
      </c>
      <c r="J1398" s="22" t="s">
        <v>43</v>
      </c>
      <c r="K1398" s="24">
        <v>3</v>
      </c>
      <c r="M1398" s="21">
        <v>45997</v>
      </c>
      <c r="N1398" s="22" t="s">
        <v>70</v>
      </c>
      <c r="O1398" s="22" t="s">
        <v>46</v>
      </c>
      <c r="P1398" s="49">
        <v>80.900000000000006</v>
      </c>
      <c r="Q1398" s="49">
        <v>82.5</v>
      </c>
      <c r="R1398" s="46">
        <f t="shared" si="46"/>
        <v>-1.5999999999999943</v>
      </c>
      <c r="T1398" s="21">
        <v>45985</v>
      </c>
      <c r="U1398" s="22" t="s">
        <v>49</v>
      </c>
      <c r="V1398" s="24">
        <v>4</v>
      </c>
      <c r="W1398" s="24">
        <v>4</v>
      </c>
      <c r="X1398" s="24">
        <v>4</v>
      </c>
      <c r="Y1398" s="24">
        <v>4</v>
      </c>
      <c r="Z1398" s="20">
        <f t="shared" si="47"/>
        <v>16</v>
      </c>
    </row>
    <row r="1399" spans="1:26" x14ac:dyDescent="0.2">
      <c r="A1399" s="21"/>
      <c r="B1399" s="20"/>
      <c r="C1399" s="22"/>
      <c r="D1399" s="22"/>
      <c r="E1399" s="24"/>
      <c r="F1399" s="22"/>
      <c r="H1399" s="21">
        <v>45958</v>
      </c>
      <c r="I1399" s="22" t="s">
        <v>70</v>
      </c>
      <c r="J1399" s="22" t="s">
        <v>50</v>
      </c>
      <c r="K1399" s="24">
        <v>8</v>
      </c>
      <c r="M1399" s="21">
        <v>45997</v>
      </c>
      <c r="N1399" s="22" t="s">
        <v>70</v>
      </c>
      <c r="O1399" s="22" t="s">
        <v>47</v>
      </c>
      <c r="P1399" s="49">
        <v>71.400000000000006</v>
      </c>
      <c r="Q1399" s="49">
        <v>71</v>
      </c>
      <c r="R1399" s="46">
        <f t="shared" si="46"/>
        <v>0.40000000000000568</v>
      </c>
      <c r="T1399" s="21">
        <v>45985</v>
      </c>
      <c r="U1399" s="22" t="s">
        <v>50</v>
      </c>
      <c r="V1399" s="24">
        <v>3</v>
      </c>
      <c r="W1399" s="24">
        <v>4</v>
      </c>
      <c r="X1399" s="24">
        <v>4</v>
      </c>
      <c r="Y1399" s="24">
        <v>4</v>
      </c>
      <c r="Z1399" s="20">
        <f t="shared" si="47"/>
        <v>15</v>
      </c>
    </row>
    <row r="1400" spans="1:26" x14ac:dyDescent="0.2">
      <c r="A1400" s="21"/>
      <c r="B1400" s="20"/>
      <c r="C1400" s="22"/>
      <c r="D1400" s="22"/>
      <c r="E1400" s="24"/>
      <c r="F1400" s="22"/>
      <c r="H1400" s="21">
        <v>45958</v>
      </c>
      <c r="I1400" s="22" t="s">
        <v>70</v>
      </c>
      <c r="J1400" s="22" t="s">
        <v>51</v>
      </c>
      <c r="K1400" s="24">
        <v>8</v>
      </c>
      <c r="M1400" s="21">
        <v>45997</v>
      </c>
      <c r="N1400" s="22" t="s">
        <v>70</v>
      </c>
      <c r="O1400" s="22" t="s">
        <v>48</v>
      </c>
      <c r="P1400" s="49">
        <v>81.099999999999994</v>
      </c>
      <c r="Q1400" s="49">
        <v>80</v>
      </c>
      <c r="R1400" s="46">
        <f t="shared" si="46"/>
        <v>1.0999999999999943</v>
      </c>
      <c r="T1400" s="21">
        <v>45985</v>
      </c>
      <c r="U1400" s="22" t="s">
        <v>51</v>
      </c>
      <c r="V1400" s="24">
        <v>4</v>
      </c>
      <c r="W1400" s="24">
        <v>4</v>
      </c>
      <c r="X1400" s="24">
        <v>4</v>
      </c>
      <c r="Y1400" s="24">
        <v>5</v>
      </c>
      <c r="Z1400" s="20">
        <f t="shared" si="47"/>
        <v>17</v>
      </c>
    </row>
    <row r="1401" spans="1:26" x14ac:dyDescent="0.2">
      <c r="A1401" s="21"/>
      <c r="B1401" s="20"/>
      <c r="C1401" s="22"/>
      <c r="D1401" s="22"/>
      <c r="E1401" s="24"/>
      <c r="F1401" s="22"/>
      <c r="H1401" s="21">
        <v>45958</v>
      </c>
      <c r="I1401" s="22" t="s">
        <v>70</v>
      </c>
      <c r="J1401" s="22" t="s">
        <v>46</v>
      </c>
      <c r="K1401" s="24">
        <v>7</v>
      </c>
      <c r="M1401" s="21">
        <v>45997</v>
      </c>
      <c r="N1401" s="22" t="s">
        <v>70</v>
      </c>
      <c r="O1401" s="22" t="s">
        <v>49</v>
      </c>
      <c r="P1401" s="49">
        <v>77.8</v>
      </c>
      <c r="Q1401" s="49">
        <v>77.5</v>
      </c>
      <c r="R1401" s="46">
        <f t="shared" si="46"/>
        <v>0.29999999999999716</v>
      </c>
      <c r="T1401" s="21">
        <v>45985</v>
      </c>
      <c r="U1401" s="22" t="s">
        <v>52</v>
      </c>
      <c r="V1401" s="24">
        <v>4</v>
      </c>
      <c r="W1401" s="24">
        <v>4</v>
      </c>
      <c r="X1401" s="24">
        <v>4</v>
      </c>
      <c r="Y1401" s="24">
        <v>4</v>
      </c>
      <c r="Z1401" s="20">
        <f t="shared" si="47"/>
        <v>16</v>
      </c>
    </row>
    <row r="1402" spans="1:26" x14ac:dyDescent="0.2">
      <c r="A1402" s="21"/>
      <c r="B1402" s="20"/>
      <c r="C1402" s="22"/>
      <c r="D1402" s="22"/>
      <c r="E1402" s="24"/>
      <c r="F1402" s="22"/>
      <c r="H1402" s="21">
        <v>45958</v>
      </c>
      <c r="I1402" s="22" t="s">
        <v>70</v>
      </c>
      <c r="J1402" s="22" t="s">
        <v>48</v>
      </c>
      <c r="K1402" s="24">
        <v>7</v>
      </c>
      <c r="M1402" s="21">
        <v>45997</v>
      </c>
      <c r="N1402" s="22" t="s">
        <v>70</v>
      </c>
      <c r="O1402" s="22" t="s">
        <v>50</v>
      </c>
      <c r="P1402" s="49">
        <v>66.599999999999994</v>
      </c>
      <c r="Q1402" s="49">
        <v>66.3</v>
      </c>
      <c r="R1402" s="46">
        <f t="shared" si="46"/>
        <v>0.29999999999999716</v>
      </c>
      <c r="T1402" s="21">
        <v>45985</v>
      </c>
      <c r="U1402" s="22" t="s">
        <v>53</v>
      </c>
      <c r="V1402" s="24">
        <v>4</v>
      </c>
      <c r="W1402" s="24">
        <v>4</v>
      </c>
      <c r="X1402" s="24">
        <v>2</v>
      </c>
      <c r="Y1402" s="24">
        <v>4</v>
      </c>
      <c r="Z1402" s="20">
        <f t="shared" si="47"/>
        <v>14</v>
      </c>
    </row>
    <row r="1403" spans="1:26" x14ac:dyDescent="0.2">
      <c r="A1403" s="21"/>
      <c r="B1403" s="20"/>
      <c r="C1403" s="22"/>
      <c r="D1403" s="22"/>
      <c r="E1403" s="24"/>
      <c r="F1403" s="22"/>
      <c r="H1403" s="21">
        <v>45958</v>
      </c>
      <c r="I1403" s="22" t="s">
        <v>70</v>
      </c>
      <c r="J1403" s="22" t="s">
        <v>55</v>
      </c>
      <c r="K1403" s="24">
        <v>7</v>
      </c>
      <c r="M1403" s="21">
        <v>45997</v>
      </c>
      <c r="N1403" s="22" t="s">
        <v>70</v>
      </c>
      <c r="O1403" s="22" t="s">
        <v>51</v>
      </c>
      <c r="P1403" s="49">
        <v>74.5</v>
      </c>
      <c r="Q1403" s="49">
        <v>74.7</v>
      </c>
      <c r="R1403" s="46">
        <f t="shared" si="46"/>
        <v>-0.20000000000000284</v>
      </c>
      <c r="T1403" s="21">
        <v>45985</v>
      </c>
      <c r="U1403" s="22" t="s">
        <v>56</v>
      </c>
      <c r="V1403" s="24">
        <v>5</v>
      </c>
      <c r="W1403" s="24">
        <v>4</v>
      </c>
      <c r="X1403" s="24">
        <v>4</v>
      </c>
      <c r="Y1403" s="24">
        <v>5</v>
      </c>
      <c r="Z1403" s="20">
        <f t="shared" si="47"/>
        <v>18</v>
      </c>
    </row>
    <row r="1404" spans="1:26" x14ac:dyDescent="0.2">
      <c r="A1404" s="21"/>
      <c r="B1404" s="20"/>
      <c r="C1404" s="22"/>
      <c r="D1404" s="22"/>
      <c r="E1404" s="24"/>
      <c r="F1404" s="22"/>
      <c r="H1404" s="21">
        <v>45959</v>
      </c>
      <c r="I1404" s="22" t="s">
        <v>70</v>
      </c>
      <c r="J1404" s="22" t="s">
        <v>52</v>
      </c>
      <c r="K1404" s="24">
        <v>7</v>
      </c>
      <c r="M1404" s="21">
        <v>45997</v>
      </c>
      <c r="N1404" s="22" t="s">
        <v>70</v>
      </c>
      <c r="O1404" s="22" t="s">
        <v>52</v>
      </c>
      <c r="P1404" s="49">
        <v>71.2</v>
      </c>
      <c r="Q1404" s="49">
        <v>71</v>
      </c>
      <c r="R1404" s="46">
        <f t="shared" si="46"/>
        <v>0.20000000000000284</v>
      </c>
      <c r="T1404" s="21">
        <v>45985</v>
      </c>
      <c r="U1404" s="22" t="s">
        <v>57</v>
      </c>
      <c r="V1404" s="24">
        <v>4</v>
      </c>
      <c r="W1404" s="24">
        <v>4</v>
      </c>
      <c r="X1404" s="24">
        <v>4</v>
      </c>
      <c r="Y1404" s="24">
        <v>5</v>
      </c>
      <c r="Z1404" s="20">
        <f t="shared" si="47"/>
        <v>17</v>
      </c>
    </row>
    <row r="1405" spans="1:26" x14ac:dyDescent="0.2">
      <c r="A1405" s="21"/>
      <c r="B1405" s="20"/>
      <c r="C1405" s="22"/>
      <c r="D1405" s="22"/>
      <c r="E1405" s="24"/>
      <c r="F1405" s="22"/>
      <c r="H1405" s="21">
        <v>45959</v>
      </c>
      <c r="I1405" s="22" t="s">
        <v>70</v>
      </c>
      <c r="J1405" s="22" t="s">
        <v>53</v>
      </c>
      <c r="K1405" s="24">
        <v>6</v>
      </c>
      <c r="M1405" s="21">
        <v>45997</v>
      </c>
      <c r="N1405" s="22" t="s">
        <v>70</v>
      </c>
      <c r="O1405" s="22" t="s">
        <v>53</v>
      </c>
      <c r="P1405" s="49">
        <v>67</v>
      </c>
      <c r="Q1405" s="49">
        <v>66.400000000000006</v>
      </c>
      <c r="R1405" s="46">
        <f t="shared" si="46"/>
        <v>0.59999999999999432</v>
      </c>
      <c r="T1405" s="21">
        <v>45985</v>
      </c>
      <c r="U1405" s="22" t="s">
        <v>58</v>
      </c>
      <c r="V1405" s="24">
        <v>4</v>
      </c>
      <c r="W1405" s="24">
        <v>4</v>
      </c>
      <c r="X1405" s="24">
        <v>3</v>
      </c>
      <c r="Y1405" s="24">
        <v>5</v>
      </c>
      <c r="Z1405" s="20">
        <f t="shared" si="47"/>
        <v>16</v>
      </c>
    </row>
    <row r="1406" spans="1:26" x14ac:dyDescent="0.2">
      <c r="A1406" s="21"/>
      <c r="B1406" s="20"/>
      <c r="C1406" s="22"/>
      <c r="D1406" s="22"/>
      <c r="E1406" s="24"/>
      <c r="F1406" s="22"/>
      <c r="H1406" s="21">
        <v>45959</v>
      </c>
      <c r="I1406" s="22" t="s">
        <v>70</v>
      </c>
      <c r="J1406" s="22" t="s">
        <v>44</v>
      </c>
      <c r="K1406" s="24">
        <v>8</v>
      </c>
      <c r="M1406" s="21">
        <v>45997</v>
      </c>
      <c r="N1406" s="22" t="s">
        <v>70</v>
      </c>
      <c r="O1406" s="22" t="s">
        <v>56</v>
      </c>
      <c r="P1406" s="49">
        <v>75.7</v>
      </c>
      <c r="Q1406" s="49">
        <v>75.7</v>
      </c>
      <c r="R1406" s="46">
        <f t="shared" si="46"/>
        <v>0</v>
      </c>
      <c r="T1406" s="21">
        <v>45985</v>
      </c>
      <c r="U1406" s="22" t="s">
        <v>33</v>
      </c>
      <c r="V1406" s="24">
        <v>4</v>
      </c>
      <c r="W1406" s="24">
        <v>3.8666666666666698</v>
      </c>
      <c r="X1406" s="24">
        <v>3.8</v>
      </c>
      <c r="Y1406" s="24">
        <v>4.4666666666666703</v>
      </c>
      <c r="Z1406" s="20">
        <f t="shared" si="47"/>
        <v>16.13333333333334</v>
      </c>
    </row>
    <row r="1407" spans="1:26" x14ac:dyDescent="0.2">
      <c r="A1407" s="21"/>
      <c r="B1407" s="20"/>
      <c r="C1407" s="22"/>
      <c r="D1407" s="22"/>
      <c r="E1407" s="24"/>
      <c r="F1407" s="22"/>
      <c r="H1407" s="21">
        <v>45959</v>
      </c>
      <c r="I1407" s="22" t="s">
        <v>70</v>
      </c>
      <c r="J1407" s="22" t="s">
        <v>45</v>
      </c>
      <c r="K1407" s="24">
        <v>8</v>
      </c>
      <c r="M1407" s="21">
        <v>45997</v>
      </c>
      <c r="N1407" s="22" t="s">
        <v>70</v>
      </c>
      <c r="O1407" s="22" t="s">
        <v>57</v>
      </c>
      <c r="P1407" s="49">
        <v>93</v>
      </c>
      <c r="Q1407" s="49">
        <v>93</v>
      </c>
      <c r="R1407" s="46">
        <f t="shared" si="46"/>
        <v>0</v>
      </c>
      <c r="T1407" s="21">
        <v>45986</v>
      </c>
      <c r="U1407" s="22" t="s">
        <v>41</v>
      </c>
      <c r="V1407" s="24">
        <v>1</v>
      </c>
      <c r="W1407" s="24">
        <v>1</v>
      </c>
      <c r="X1407" s="24">
        <v>1</v>
      </c>
      <c r="Y1407" s="24">
        <v>1</v>
      </c>
      <c r="Z1407" s="20">
        <f t="shared" si="47"/>
        <v>4</v>
      </c>
    </row>
    <row r="1408" spans="1:26" x14ac:dyDescent="0.2">
      <c r="A1408" s="21"/>
      <c r="B1408" s="20"/>
      <c r="C1408" s="22"/>
      <c r="D1408" s="22"/>
      <c r="E1408" s="24"/>
      <c r="F1408" s="22"/>
      <c r="H1408" s="21">
        <v>45959</v>
      </c>
      <c r="I1408" s="22" t="s">
        <v>70</v>
      </c>
      <c r="J1408" s="22" t="s">
        <v>57</v>
      </c>
      <c r="K1408" s="24">
        <v>7</v>
      </c>
      <c r="M1408" s="21">
        <v>45999</v>
      </c>
      <c r="N1408" s="22" t="s">
        <v>70</v>
      </c>
      <c r="O1408" s="22" t="s">
        <v>41</v>
      </c>
      <c r="P1408" s="49">
        <v>77</v>
      </c>
      <c r="Q1408" s="49">
        <v>77</v>
      </c>
      <c r="R1408" s="46">
        <f t="shared" si="46"/>
        <v>0</v>
      </c>
      <c r="T1408" s="21">
        <v>45986</v>
      </c>
      <c r="U1408" s="22" t="s">
        <v>42</v>
      </c>
      <c r="V1408" s="24">
        <v>4</v>
      </c>
      <c r="W1408" s="24">
        <v>4</v>
      </c>
      <c r="X1408" s="24">
        <v>4</v>
      </c>
      <c r="Y1408" s="24">
        <v>5</v>
      </c>
      <c r="Z1408" s="20">
        <f t="shared" si="47"/>
        <v>17</v>
      </c>
    </row>
    <row r="1409" spans="1:26" x14ac:dyDescent="0.2">
      <c r="A1409" s="21"/>
      <c r="B1409" s="20"/>
      <c r="C1409" s="22"/>
      <c r="D1409" s="22"/>
      <c r="E1409" s="24"/>
      <c r="F1409" s="22"/>
      <c r="H1409" s="21">
        <v>45959</v>
      </c>
      <c r="I1409" s="22" t="s">
        <v>70</v>
      </c>
      <c r="J1409" s="22" t="s">
        <v>42</v>
      </c>
      <c r="K1409" s="24">
        <v>2</v>
      </c>
      <c r="M1409" s="21">
        <v>45999</v>
      </c>
      <c r="N1409" s="22" t="s">
        <v>70</v>
      </c>
      <c r="O1409" s="22" t="s">
        <v>42</v>
      </c>
      <c r="P1409" s="49">
        <v>79</v>
      </c>
      <c r="Q1409" s="49">
        <v>79.3</v>
      </c>
      <c r="R1409" s="46">
        <f t="shared" si="46"/>
        <v>-0.29999999999999716</v>
      </c>
      <c r="T1409" s="21">
        <v>45986</v>
      </c>
      <c r="U1409" s="22" t="s">
        <v>44</v>
      </c>
      <c r="V1409" s="24">
        <v>5</v>
      </c>
      <c r="W1409" s="24">
        <v>5</v>
      </c>
      <c r="X1409" s="24">
        <v>5</v>
      </c>
      <c r="Y1409" s="24">
        <v>5</v>
      </c>
      <c r="Z1409" s="20">
        <f t="shared" si="47"/>
        <v>20</v>
      </c>
    </row>
    <row r="1410" spans="1:26" x14ac:dyDescent="0.2">
      <c r="A1410" s="21"/>
      <c r="B1410" s="20"/>
      <c r="C1410" s="22"/>
      <c r="D1410" s="22"/>
      <c r="E1410" s="24"/>
      <c r="F1410" s="22"/>
      <c r="H1410" s="21">
        <v>45959</v>
      </c>
      <c r="I1410" s="22" t="s">
        <v>70</v>
      </c>
      <c r="J1410" s="22" t="s">
        <v>47</v>
      </c>
      <c r="K1410" s="24">
        <v>7</v>
      </c>
      <c r="M1410" s="21">
        <v>45999</v>
      </c>
      <c r="N1410" s="22" t="s">
        <v>70</v>
      </c>
      <c r="O1410" s="22" t="s">
        <v>44</v>
      </c>
      <c r="P1410" s="49">
        <v>67.8</v>
      </c>
      <c r="Q1410" s="49">
        <v>67.7</v>
      </c>
      <c r="R1410" s="46">
        <f t="shared" si="46"/>
        <v>9.9999999999994316E-2</v>
      </c>
      <c r="T1410" s="21">
        <v>45986</v>
      </c>
      <c r="U1410" s="22" t="s">
        <v>45</v>
      </c>
      <c r="V1410" s="24">
        <v>5</v>
      </c>
      <c r="W1410" s="24">
        <v>4</v>
      </c>
      <c r="X1410" s="24">
        <v>4</v>
      </c>
      <c r="Y1410" s="24">
        <v>5</v>
      </c>
      <c r="Z1410" s="20">
        <f t="shared" si="47"/>
        <v>18</v>
      </c>
    </row>
    <row r="1411" spans="1:26" x14ac:dyDescent="0.2">
      <c r="A1411" s="21"/>
      <c r="B1411" s="20"/>
      <c r="C1411" s="22"/>
      <c r="D1411" s="22"/>
      <c r="E1411" s="24"/>
      <c r="F1411" s="22"/>
      <c r="H1411" s="21">
        <v>45959</v>
      </c>
      <c r="I1411" s="22" t="s">
        <v>70</v>
      </c>
      <c r="J1411" s="22" t="s">
        <v>41</v>
      </c>
      <c r="K1411" s="24">
        <v>1</v>
      </c>
      <c r="M1411" s="21">
        <v>45999</v>
      </c>
      <c r="N1411" s="22" t="s">
        <v>70</v>
      </c>
      <c r="O1411" s="22" t="s">
        <v>45</v>
      </c>
      <c r="P1411" s="49">
        <v>69</v>
      </c>
      <c r="Q1411" s="49">
        <v>69</v>
      </c>
      <c r="R1411" s="46">
        <f t="shared" ref="R1411:R1474" si="48">IFERROR(P1411-Q1411,"")</f>
        <v>0</v>
      </c>
      <c r="T1411" s="21">
        <v>45986</v>
      </c>
      <c r="U1411" s="22" t="s">
        <v>46</v>
      </c>
      <c r="V1411" s="24">
        <v>5</v>
      </c>
      <c r="W1411" s="24">
        <v>4</v>
      </c>
      <c r="X1411" s="24">
        <v>4</v>
      </c>
      <c r="Y1411" s="24">
        <v>4</v>
      </c>
      <c r="Z1411" s="20">
        <f t="shared" ref="Z1411:Z1474" si="49">SUM(V1411:Y1411)</f>
        <v>17</v>
      </c>
    </row>
    <row r="1412" spans="1:26" x14ac:dyDescent="0.2">
      <c r="A1412" s="21"/>
      <c r="B1412" s="20"/>
      <c r="C1412" s="22"/>
      <c r="D1412" s="22"/>
      <c r="E1412" s="24"/>
      <c r="F1412" s="22"/>
      <c r="H1412" s="21">
        <v>45959</v>
      </c>
      <c r="I1412" s="22" t="s">
        <v>70</v>
      </c>
      <c r="J1412" s="22" t="s">
        <v>49</v>
      </c>
      <c r="K1412" s="24">
        <v>8</v>
      </c>
      <c r="M1412" s="21">
        <v>45999</v>
      </c>
      <c r="N1412" s="22" t="s">
        <v>70</v>
      </c>
      <c r="O1412" s="22" t="s">
        <v>46</v>
      </c>
      <c r="P1412" s="49">
        <v>80.5</v>
      </c>
      <c r="Q1412" s="49">
        <v>81.5</v>
      </c>
      <c r="R1412" s="46">
        <f t="shared" si="48"/>
        <v>-1</v>
      </c>
      <c r="T1412" s="21">
        <v>45986</v>
      </c>
      <c r="U1412" s="22" t="s">
        <v>47</v>
      </c>
      <c r="V1412" s="24">
        <v>4</v>
      </c>
      <c r="W1412" s="24">
        <v>4</v>
      </c>
      <c r="X1412" s="24">
        <v>4</v>
      </c>
      <c r="Y1412" s="24">
        <v>5</v>
      </c>
      <c r="Z1412" s="20">
        <f t="shared" si="49"/>
        <v>17</v>
      </c>
    </row>
    <row r="1413" spans="1:26" x14ac:dyDescent="0.2">
      <c r="A1413" s="21"/>
      <c r="B1413" s="20"/>
      <c r="C1413" s="22"/>
      <c r="D1413" s="22"/>
      <c r="E1413" s="24"/>
      <c r="F1413" s="22"/>
      <c r="H1413" s="21">
        <v>45959</v>
      </c>
      <c r="I1413" s="22" t="s">
        <v>70</v>
      </c>
      <c r="J1413" s="22" t="s">
        <v>50</v>
      </c>
      <c r="K1413" s="24">
        <v>8</v>
      </c>
      <c r="M1413" s="21">
        <v>45999</v>
      </c>
      <c r="N1413" s="22" t="s">
        <v>70</v>
      </c>
      <c r="O1413" s="22" t="s">
        <v>47</v>
      </c>
      <c r="P1413" s="49">
        <v>71.3</v>
      </c>
      <c r="Q1413" s="49">
        <v>71.5</v>
      </c>
      <c r="R1413" s="46">
        <f t="shared" si="48"/>
        <v>-0.20000000000000284</v>
      </c>
      <c r="T1413" s="21">
        <v>45986</v>
      </c>
      <c r="U1413" s="22" t="s">
        <v>48</v>
      </c>
      <c r="V1413" s="24">
        <v>5</v>
      </c>
      <c r="W1413" s="24">
        <v>4</v>
      </c>
      <c r="X1413" s="24">
        <v>4</v>
      </c>
      <c r="Y1413" s="24">
        <v>4</v>
      </c>
      <c r="Z1413" s="20">
        <f t="shared" si="49"/>
        <v>17</v>
      </c>
    </row>
    <row r="1414" spans="1:26" x14ac:dyDescent="0.2">
      <c r="A1414" s="21"/>
      <c r="B1414" s="20"/>
      <c r="C1414" s="22"/>
      <c r="D1414" s="22"/>
      <c r="E1414" s="24"/>
      <c r="F1414" s="22"/>
      <c r="H1414" s="21">
        <v>45959</v>
      </c>
      <c r="I1414" s="22" t="s">
        <v>70</v>
      </c>
      <c r="J1414" s="22" t="s">
        <v>51</v>
      </c>
      <c r="K1414" s="24">
        <v>8</v>
      </c>
      <c r="M1414" s="21">
        <v>45999</v>
      </c>
      <c r="N1414" s="22" t="s">
        <v>70</v>
      </c>
      <c r="O1414" s="22" t="s">
        <v>48</v>
      </c>
      <c r="P1414" s="49">
        <v>82.2</v>
      </c>
      <c r="Q1414" s="49">
        <v>80.599999999999994</v>
      </c>
      <c r="R1414" s="46">
        <f t="shared" si="48"/>
        <v>1.6000000000000085</v>
      </c>
      <c r="T1414" s="21">
        <v>45986</v>
      </c>
      <c r="U1414" s="22" t="s">
        <v>49</v>
      </c>
      <c r="V1414" s="24">
        <v>4</v>
      </c>
      <c r="W1414" s="24">
        <v>4</v>
      </c>
      <c r="X1414" s="24">
        <v>4</v>
      </c>
      <c r="Y1414" s="24">
        <v>4</v>
      </c>
      <c r="Z1414" s="20">
        <f t="shared" si="49"/>
        <v>16</v>
      </c>
    </row>
    <row r="1415" spans="1:26" x14ac:dyDescent="0.2">
      <c r="A1415" s="21"/>
      <c r="B1415" s="20"/>
      <c r="C1415" s="22"/>
      <c r="D1415" s="22"/>
      <c r="E1415" s="24"/>
      <c r="F1415" s="22"/>
      <c r="H1415" s="21">
        <v>45959</v>
      </c>
      <c r="I1415" s="22" t="s">
        <v>70</v>
      </c>
      <c r="J1415" s="22" t="s">
        <v>46</v>
      </c>
      <c r="K1415" s="24">
        <v>7</v>
      </c>
      <c r="M1415" s="21">
        <v>45999</v>
      </c>
      <c r="N1415" s="22" t="s">
        <v>70</v>
      </c>
      <c r="O1415" s="22" t="s">
        <v>49</v>
      </c>
      <c r="P1415" s="49">
        <v>77.7</v>
      </c>
      <c r="Q1415" s="49">
        <v>77.7</v>
      </c>
      <c r="R1415" s="46">
        <f t="shared" si="48"/>
        <v>0</v>
      </c>
      <c r="T1415" s="21">
        <v>45986</v>
      </c>
      <c r="U1415" s="22" t="s">
        <v>50</v>
      </c>
      <c r="V1415" s="24">
        <v>3</v>
      </c>
      <c r="W1415" s="24">
        <v>4</v>
      </c>
      <c r="X1415" s="24">
        <v>4</v>
      </c>
      <c r="Y1415" s="24">
        <v>3</v>
      </c>
      <c r="Z1415" s="20">
        <f t="shared" si="49"/>
        <v>14</v>
      </c>
    </row>
    <row r="1416" spans="1:26" x14ac:dyDescent="0.2">
      <c r="A1416" s="21"/>
      <c r="B1416" s="20"/>
      <c r="C1416" s="22"/>
      <c r="D1416" s="22"/>
      <c r="E1416" s="24"/>
      <c r="F1416" s="22"/>
      <c r="H1416" s="21">
        <v>45959</v>
      </c>
      <c r="I1416" s="22" t="s">
        <v>70</v>
      </c>
      <c r="J1416" s="22" t="s">
        <v>48</v>
      </c>
      <c r="K1416" s="24">
        <v>7</v>
      </c>
      <c r="M1416" s="21">
        <v>45999</v>
      </c>
      <c r="N1416" s="22" t="s">
        <v>70</v>
      </c>
      <c r="O1416" s="22" t="s">
        <v>50</v>
      </c>
      <c r="P1416" s="49">
        <v>67.8</v>
      </c>
      <c r="Q1416" s="49">
        <v>67.7</v>
      </c>
      <c r="R1416" s="46">
        <f t="shared" si="48"/>
        <v>9.9999999999994316E-2</v>
      </c>
      <c r="T1416" s="21">
        <v>45986</v>
      </c>
      <c r="U1416" s="22" t="s">
        <v>51</v>
      </c>
      <c r="V1416" s="24">
        <v>4</v>
      </c>
      <c r="W1416" s="24">
        <v>4</v>
      </c>
      <c r="X1416" s="24">
        <v>4</v>
      </c>
      <c r="Y1416" s="24">
        <v>5</v>
      </c>
      <c r="Z1416" s="20">
        <f t="shared" si="49"/>
        <v>17</v>
      </c>
    </row>
    <row r="1417" spans="1:26" x14ac:dyDescent="0.2">
      <c r="A1417" s="21"/>
      <c r="B1417" s="20"/>
      <c r="C1417" s="22"/>
      <c r="D1417" s="22"/>
      <c r="E1417" s="24"/>
      <c r="F1417" s="22"/>
      <c r="H1417" s="21">
        <v>45959</v>
      </c>
      <c r="I1417" s="22" t="s">
        <v>70</v>
      </c>
      <c r="J1417" s="22" t="s">
        <v>55</v>
      </c>
      <c r="K1417" s="24">
        <v>6</v>
      </c>
      <c r="M1417" s="21">
        <v>45999</v>
      </c>
      <c r="N1417" s="22" t="s">
        <v>70</v>
      </c>
      <c r="O1417" s="22" t="s">
        <v>51</v>
      </c>
      <c r="P1417" s="49">
        <v>75.599999999999994</v>
      </c>
      <c r="Q1417" s="49">
        <v>75.7</v>
      </c>
      <c r="R1417" s="46">
        <f t="shared" si="48"/>
        <v>-0.10000000000000853</v>
      </c>
      <c r="T1417" s="21">
        <v>45986</v>
      </c>
      <c r="U1417" s="22" t="s">
        <v>52</v>
      </c>
      <c r="V1417" s="24">
        <v>4</v>
      </c>
      <c r="W1417" s="24">
        <v>4</v>
      </c>
      <c r="X1417" s="24">
        <v>4</v>
      </c>
      <c r="Y1417" s="24">
        <v>4</v>
      </c>
      <c r="Z1417" s="20">
        <f t="shared" si="49"/>
        <v>16</v>
      </c>
    </row>
    <row r="1418" spans="1:26" x14ac:dyDescent="0.2">
      <c r="A1418" s="21"/>
      <c r="B1418" s="20"/>
      <c r="C1418" s="22"/>
      <c r="D1418" s="22"/>
      <c r="E1418" s="24"/>
      <c r="F1418" s="22"/>
      <c r="H1418" s="21">
        <v>45960</v>
      </c>
      <c r="I1418" s="22" t="s">
        <v>70</v>
      </c>
      <c r="J1418" s="22" t="s">
        <v>52</v>
      </c>
      <c r="K1418" s="24">
        <v>8</v>
      </c>
      <c r="M1418" s="21">
        <v>45999</v>
      </c>
      <c r="N1418" s="22" t="s">
        <v>70</v>
      </c>
      <c r="O1418" s="22" t="s">
        <v>52</v>
      </c>
      <c r="P1418" s="49">
        <v>71.8</v>
      </c>
      <c r="Q1418" s="49">
        <v>70.8</v>
      </c>
      <c r="R1418" s="46">
        <f t="shared" si="48"/>
        <v>1</v>
      </c>
      <c r="T1418" s="21">
        <v>45986</v>
      </c>
      <c r="U1418" s="22" t="s">
        <v>53</v>
      </c>
      <c r="V1418" s="24">
        <v>4</v>
      </c>
      <c r="W1418" s="24">
        <v>4</v>
      </c>
      <c r="X1418" s="24">
        <v>3</v>
      </c>
      <c r="Y1418" s="24">
        <v>3</v>
      </c>
      <c r="Z1418" s="20">
        <f t="shared" si="49"/>
        <v>14</v>
      </c>
    </row>
    <row r="1419" spans="1:26" x14ac:dyDescent="0.2">
      <c r="A1419" s="21"/>
      <c r="B1419" s="20"/>
      <c r="C1419" s="22"/>
      <c r="D1419" s="22"/>
      <c r="E1419" s="24"/>
      <c r="F1419" s="22"/>
      <c r="H1419" s="21">
        <v>45960</v>
      </c>
      <c r="I1419" s="22" t="s">
        <v>70</v>
      </c>
      <c r="J1419" s="22" t="s">
        <v>53</v>
      </c>
      <c r="K1419" s="24">
        <v>8</v>
      </c>
      <c r="M1419" s="21">
        <v>45999</v>
      </c>
      <c r="N1419" s="22" t="s">
        <v>70</v>
      </c>
      <c r="O1419" s="22" t="s">
        <v>53</v>
      </c>
      <c r="P1419" s="49">
        <v>68.7</v>
      </c>
      <c r="Q1419" s="49">
        <v>68</v>
      </c>
      <c r="R1419" s="46">
        <f t="shared" si="48"/>
        <v>0.70000000000000284</v>
      </c>
      <c r="T1419" s="21">
        <v>45986</v>
      </c>
      <c r="U1419" s="22" t="s">
        <v>56</v>
      </c>
      <c r="V1419" s="24">
        <v>4</v>
      </c>
      <c r="W1419" s="24">
        <v>4</v>
      </c>
      <c r="X1419" s="24">
        <v>4</v>
      </c>
      <c r="Y1419" s="24">
        <v>5</v>
      </c>
      <c r="Z1419" s="20">
        <f t="shared" si="49"/>
        <v>17</v>
      </c>
    </row>
    <row r="1420" spans="1:26" x14ac:dyDescent="0.2">
      <c r="A1420" s="21"/>
      <c r="B1420" s="20"/>
      <c r="C1420" s="22"/>
      <c r="D1420" s="22"/>
      <c r="E1420" s="24"/>
      <c r="F1420" s="22"/>
      <c r="H1420" s="21">
        <v>45960</v>
      </c>
      <c r="I1420" s="22" t="s">
        <v>70</v>
      </c>
      <c r="J1420" s="22" t="s">
        <v>44</v>
      </c>
      <c r="K1420" s="24">
        <v>8</v>
      </c>
      <c r="M1420" s="21">
        <v>45999</v>
      </c>
      <c r="N1420" s="22" t="s">
        <v>70</v>
      </c>
      <c r="O1420" s="22" t="s">
        <v>56</v>
      </c>
      <c r="P1420" s="49">
        <v>75.2</v>
      </c>
      <c r="Q1420" s="49">
        <v>75.2</v>
      </c>
      <c r="R1420" s="46">
        <f t="shared" si="48"/>
        <v>0</v>
      </c>
      <c r="T1420" s="21">
        <v>45986</v>
      </c>
      <c r="U1420" s="22" t="s">
        <v>57</v>
      </c>
      <c r="V1420" s="24">
        <v>4</v>
      </c>
      <c r="W1420" s="24">
        <v>4</v>
      </c>
      <c r="X1420" s="24">
        <v>4</v>
      </c>
      <c r="Y1420" s="24">
        <v>5</v>
      </c>
      <c r="Z1420" s="20">
        <f t="shared" si="49"/>
        <v>17</v>
      </c>
    </row>
    <row r="1421" spans="1:26" x14ac:dyDescent="0.2">
      <c r="A1421" s="21"/>
      <c r="B1421" s="20"/>
      <c r="C1421" s="22"/>
      <c r="D1421" s="22"/>
      <c r="E1421" s="24"/>
      <c r="F1421" s="22"/>
      <c r="H1421" s="21">
        <v>45960</v>
      </c>
      <c r="I1421" s="22" t="s">
        <v>70</v>
      </c>
      <c r="J1421" s="22" t="s">
        <v>45</v>
      </c>
      <c r="K1421" s="24">
        <v>6</v>
      </c>
      <c r="M1421" s="21">
        <v>45999</v>
      </c>
      <c r="N1421" s="22" t="s">
        <v>70</v>
      </c>
      <c r="O1421" s="22" t="s">
        <v>57</v>
      </c>
      <c r="P1421" s="49">
        <v>93.5</v>
      </c>
      <c r="Q1421" s="49">
        <v>93.3</v>
      </c>
      <c r="R1421" s="46">
        <f t="shared" si="48"/>
        <v>0.20000000000000284</v>
      </c>
      <c r="T1421" s="21">
        <v>45986</v>
      </c>
      <c r="U1421" s="22" t="s">
        <v>58</v>
      </c>
      <c r="V1421" s="24">
        <v>4</v>
      </c>
      <c r="W1421" s="24">
        <v>4</v>
      </c>
      <c r="X1421" s="24">
        <v>3</v>
      </c>
      <c r="Y1421" s="24">
        <v>5</v>
      </c>
      <c r="Z1421" s="20">
        <f t="shared" si="49"/>
        <v>16</v>
      </c>
    </row>
    <row r="1422" spans="1:26" x14ac:dyDescent="0.2">
      <c r="A1422" s="21"/>
      <c r="B1422" s="20"/>
      <c r="C1422" s="22"/>
      <c r="D1422" s="22"/>
      <c r="E1422" s="24"/>
      <c r="F1422" s="22"/>
      <c r="H1422" s="21">
        <v>45960</v>
      </c>
      <c r="I1422" s="22" t="s">
        <v>70</v>
      </c>
      <c r="J1422" s="22" t="s">
        <v>57</v>
      </c>
      <c r="K1422" s="24">
        <v>7</v>
      </c>
      <c r="M1422" s="21">
        <v>45999</v>
      </c>
      <c r="N1422" s="22" t="s">
        <v>70</v>
      </c>
      <c r="O1422" s="22" t="s">
        <v>58</v>
      </c>
      <c r="P1422" s="49">
        <v>75.400000000000006</v>
      </c>
      <c r="Q1422" s="49">
        <v>75.599999999999994</v>
      </c>
      <c r="R1422" s="46">
        <f t="shared" si="48"/>
        <v>-0.19999999999998863</v>
      </c>
      <c r="T1422" s="21">
        <v>45986</v>
      </c>
      <c r="U1422" s="22" t="s">
        <v>33</v>
      </c>
      <c r="V1422" s="24">
        <v>4</v>
      </c>
      <c r="W1422" s="24">
        <v>3.8666666666666698</v>
      </c>
      <c r="X1422" s="24">
        <v>3.7333333333333298</v>
      </c>
      <c r="Y1422" s="24">
        <v>4.2</v>
      </c>
      <c r="Z1422" s="20">
        <f t="shared" si="49"/>
        <v>15.8</v>
      </c>
    </row>
    <row r="1423" spans="1:26" x14ac:dyDescent="0.2">
      <c r="A1423" s="21"/>
      <c r="B1423" s="20"/>
      <c r="C1423" s="22"/>
      <c r="D1423" s="22"/>
      <c r="E1423" s="24"/>
      <c r="F1423" s="22"/>
      <c r="H1423" s="21">
        <v>45960</v>
      </c>
      <c r="I1423" s="22" t="s">
        <v>70</v>
      </c>
      <c r="J1423" s="22" t="s">
        <v>42</v>
      </c>
      <c r="K1423" s="24">
        <v>3</v>
      </c>
      <c r="M1423" s="21">
        <v>46000</v>
      </c>
      <c r="N1423" s="22" t="s">
        <v>71</v>
      </c>
      <c r="O1423" s="22" t="s">
        <v>41</v>
      </c>
      <c r="P1423" s="49">
        <v>77</v>
      </c>
      <c r="Q1423" s="49">
        <v>77</v>
      </c>
      <c r="R1423" s="46">
        <f t="shared" si="48"/>
        <v>0</v>
      </c>
      <c r="T1423" s="21">
        <v>45987</v>
      </c>
      <c r="U1423" s="22" t="s">
        <v>41</v>
      </c>
      <c r="V1423" s="24">
        <v>1</v>
      </c>
      <c r="W1423" s="24">
        <v>1</v>
      </c>
      <c r="X1423" s="24">
        <v>1</v>
      </c>
      <c r="Y1423" s="24">
        <v>1</v>
      </c>
      <c r="Z1423" s="20">
        <f t="shared" si="49"/>
        <v>4</v>
      </c>
    </row>
    <row r="1424" spans="1:26" x14ac:dyDescent="0.2">
      <c r="A1424" s="21"/>
      <c r="B1424" s="20"/>
      <c r="C1424" s="22"/>
      <c r="D1424" s="22"/>
      <c r="E1424" s="24"/>
      <c r="F1424" s="22"/>
      <c r="H1424" s="21">
        <v>45960</v>
      </c>
      <c r="I1424" s="22" t="s">
        <v>70</v>
      </c>
      <c r="J1424" s="22" t="s">
        <v>47</v>
      </c>
      <c r="K1424" s="24">
        <v>7</v>
      </c>
      <c r="M1424" s="21">
        <v>46000</v>
      </c>
      <c r="N1424" s="22" t="s">
        <v>71</v>
      </c>
      <c r="O1424" s="22" t="s">
        <v>42</v>
      </c>
      <c r="P1424" s="49">
        <v>79.2</v>
      </c>
      <c r="Q1424" s="49">
        <v>79</v>
      </c>
      <c r="R1424" s="46">
        <f t="shared" si="48"/>
        <v>0.20000000000000284</v>
      </c>
      <c r="T1424" s="21">
        <v>45987</v>
      </c>
      <c r="U1424" s="22" t="s">
        <v>42</v>
      </c>
      <c r="V1424" s="24">
        <v>4</v>
      </c>
      <c r="W1424" s="24">
        <v>4</v>
      </c>
      <c r="X1424" s="24">
        <v>4</v>
      </c>
      <c r="Y1424" s="24">
        <v>5</v>
      </c>
      <c r="Z1424" s="20">
        <f t="shared" si="49"/>
        <v>17</v>
      </c>
    </row>
    <row r="1425" spans="1:26" x14ac:dyDescent="0.2">
      <c r="A1425" s="21"/>
      <c r="B1425" s="20"/>
      <c r="C1425" s="22"/>
      <c r="D1425" s="22"/>
      <c r="E1425" s="24"/>
      <c r="F1425" s="22"/>
      <c r="H1425" s="21">
        <v>45960</v>
      </c>
      <c r="I1425" s="22" t="s">
        <v>70</v>
      </c>
      <c r="J1425" s="22" t="s">
        <v>41</v>
      </c>
      <c r="K1425" s="24">
        <v>2</v>
      </c>
      <c r="M1425" s="21">
        <v>46000</v>
      </c>
      <c r="N1425" s="22" t="s">
        <v>71</v>
      </c>
      <c r="O1425" s="22" t="s">
        <v>44</v>
      </c>
      <c r="P1425" s="49">
        <v>67.8</v>
      </c>
      <c r="Q1425" s="49">
        <v>67.2</v>
      </c>
      <c r="R1425" s="46">
        <f t="shared" si="48"/>
        <v>0.59999999999999432</v>
      </c>
      <c r="T1425" s="21">
        <v>45987</v>
      </c>
      <c r="U1425" s="22" t="s">
        <v>44</v>
      </c>
      <c r="V1425" s="24">
        <v>5</v>
      </c>
      <c r="W1425" s="24">
        <v>5</v>
      </c>
      <c r="X1425" s="24">
        <v>3</v>
      </c>
      <c r="Y1425" s="24">
        <v>5</v>
      </c>
      <c r="Z1425" s="20">
        <f t="shared" si="49"/>
        <v>18</v>
      </c>
    </row>
    <row r="1426" spans="1:26" x14ac:dyDescent="0.2">
      <c r="A1426" s="21"/>
      <c r="B1426" s="20"/>
      <c r="C1426" s="22"/>
      <c r="D1426" s="22"/>
      <c r="E1426" s="24"/>
      <c r="F1426" s="22"/>
      <c r="H1426" s="21">
        <v>45960</v>
      </c>
      <c r="I1426" s="22" t="s">
        <v>70</v>
      </c>
      <c r="J1426" s="22" t="s">
        <v>58</v>
      </c>
      <c r="K1426" s="24">
        <v>7</v>
      </c>
      <c r="M1426" s="21">
        <v>46000</v>
      </c>
      <c r="N1426" s="22" t="s">
        <v>71</v>
      </c>
      <c r="O1426" s="22" t="s">
        <v>45</v>
      </c>
      <c r="P1426" s="49">
        <v>69</v>
      </c>
      <c r="Q1426" s="49">
        <v>68.5</v>
      </c>
      <c r="R1426" s="46">
        <f t="shared" si="48"/>
        <v>0.5</v>
      </c>
      <c r="T1426" s="21">
        <v>45987</v>
      </c>
      <c r="U1426" s="22" t="s">
        <v>45</v>
      </c>
      <c r="V1426" s="24">
        <v>4</v>
      </c>
      <c r="W1426" s="24">
        <v>4</v>
      </c>
      <c r="X1426" s="24">
        <v>4</v>
      </c>
      <c r="Y1426" s="24">
        <v>4</v>
      </c>
      <c r="Z1426" s="20">
        <f t="shared" si="49"/>
        <v>16</v>
      </c>
    </row>
    <row r="1427" spans="1:26" x14ac:dyDescent="0.2">
      <c r="A1427" s="21"/>
      <c r="B1427" s="20"/>
      <c r="C1427" s="22"/>
      <c r="D1427" s="22"/>
      <c r="E1427" s="24"/>
      <c r="F1427" s="22"/>
      <c r="H1427" s="21">
        <v>45960</v>
      </c>
      <c r="I1427" s="22" t="s">
        <v>70</v>
      </c>
      <c r="J1427" s="22" t="s">
        <v>49</v>
      </c>
      <c r="K1427" s="24">
        <v>7</v>
      </c>
      <c r="M1427" s="21">
        <v>46000</v>
      </c>
      <c r="N1427" s="22" t="s">
        <v>71</v>
      </c>
      <c r="O1427" s="22" t="s">
        <v>46</v>
      </c>
      <c r="P1427" s="49">
        <v>81.2</v>
      </c>
      <c r="Q1427" s="49">
        <v>80</v>
      </c>
      <c r="R1427" s="46">
        <f t="shared" si="48"/>
        <v>1.2000000000000028</v>
      </c>
      <c r="T1427" s="21">
        <v>45987</v>
      </c>
      <c r="U1427" s="22" t="s">
        <v>46</v>
      </c>
      <c r="V1427" s="24">
        <v>5</v>
      </c>
      <c r="W1427" s="24">
        <v>3</v>
      </c>
      <c r="X1427" s="24">
        <v>4</v>
      </c>
      <c r="Y1427" s="24">
        <v>5</v>
      </c>
      <c r="Z1427" s="20">
        <f t="shared" si="49"/>
        <v>17</v>
      </c>
    </row>
    <row r="1428" spans="1:26" x14ac:dyDescent="0.2">
      <c r="A1428" s="21"/>
      <c r="B1428" s="20"/>
      <c r="C1428" s="22"/>
      <c r="D1428" s="22"/>
      <c r="E1428" s="24"/>
      <c r="F1428" s="22"/>
      <c r="H1428" s="21">
        <v>45960</v>
      </c>
      <c r="I1428" s="22" t="s">
        <v>70</v>
      </c>
      <c r="J1428" s="22" t="s">
        <v>50</v>
      </c>
      <c r="K1428" s="24">
        <v>7</v>
      </c>
      <c r="M1428" s="21">
        <v>46000</v>
      </c>
      <c r="N1428" s="22" t="s">
        <v>71</v>
      </c>
      <c r="O1428" s="22" t="s">
        <v>47</v>
      </c>
      <c r="P1428" s="49">
        <v>71.5</v>
      </c>
      <c r="Q1428" s="49">
        <v>71.5</v>
      </c>
      <c r="R1428" s="46">
        <f t="shared" si="48"/>
        <v>0</v>
      </c>
      <c r="T1428" s="21">
        <v>45987</v>
      </c>
      <c r="U1428" s="22" t="s">
        <v>47</v>
      </c>
      <c r="V1428" s="24">
        <v>5</v>
      </c>
      <c r="W1428" s="24">
        <v>4</v>
      </c>
      <c r="X1428" s="24">
        <v>4</v>
      </c>
      <c r="Y1428" s="24">
        <v>5</v>
      </c>
      <c r="Z1428" s="20">
        <f t="shared" si="49"/>
        <v>18</v>
      </c>
    </row>
    <row r="1429" spans="1:26" x14ac:dyDescent="0.2">
      <c r="A1429" s="21"/>
      <c r="B1429" s="20"/>
      <c r="C1429" s="22"/>
      <c r="D1429" s="22"/>
      <c r="E1429" s="24"/>
      <c r="F1429" s="22"/>
      <c r="H1429" s="21">
        <v>45960</v>
      </c>
      <c r="I1429" s="22" t="s">
        <v>70</v>
      </c>
      <c r="J1429" s="22" t="s">
        <v>51</v>
      </c>
      <c r="K1429" s="24">
        <v>8</v>
      </c>
      <c r="M1429" s="21">
        <v>46000</v>
      </c>
      <c r="N1429" s="22" t="s">
        <v>71</v>
      </c>
      <c r="O1429" s="22" t="s">
        <v>48</v>
      </c>
      <c r="P1429" s="49">
        <v>81.900000000000006</v>
      </c>
      <c r="Q1429" s="49">
        <v>81</v>
      </c>
      <c r="R1429" s="46">
        <f t="shared" si="48"/>
        <v>0.90000000000000568</v>
      </c>
      <c r="T1429" s="21">
        <v>45987</v>
      </c>
      <c r="U1429" s="22" t="s">
        <v>48</v>
      </c>
      <c r="V1429" s="24">
        <v>5</v>
      </c>
      <c r="W1429" s="24">
        <v>4</v>
      </c>
      <c r="X1429" s="24">
        <v>4</v>
      </c>
      <c r="Y1429" s="24">
        <v>5</v>
      </c>
      <c r="Z1429" s="20">
        <f t="shared" si="49"/>
        <v>18</v>
      </c>
    </row>
    <row r="1430" spans="1:26" x14ac:dyDescent="0.2">
      <c r="A1430" s="21"/>
      <c r="B1430" s="20"/>
      <c r="C1430" s="22"/>
      <c r="D1430" s="22"/>
      <c r="E1430" s="24"/>
      <c r="F1430" s="22"/>
      <c r="H1430" s="21">
        <v>45960</v>
      </c>
      <c r="I1430" s="22" t="s">
        <v>70</v>
      </c>
      <c r="J1430" s="22" t="s">
        <v>46</v>
      </c>
      <c r="K1430" s="24">
        <v>7</v>
      </c>
      <c r="M1430" s="21">
        <v>46000</v>
      </c>
      <c r="N1430" s="22" t="s">
        <v>71</v>
      </c>
      <c r="O1430" s="22" t="s">
        <v>49</v>
      </c>
      <c r="P1430" s="49">
        <v>78</v>
      </c>
      <c r="Q1430" s="49">
        <v>78</v>
      </c>
      <c r="R1430" s="46">
        <f t="shared" si="48"/>
        <v>0</v>
      </c>
      <c r="T1430" s="21">
        <v>45987</v>
      </c>
      <c r="U1430" s="22" t="s">
        <v>49</v>
      </c>
      <c r="V1430" s="24">
        <v>4</v>
      </c>
      <c r="W1430" s="24">
        <v>4</v>
      </c>
      <c r="X1430" s="24">
        <v>4</v>
      </c>
      <c r="Y1430" s="24">
        <v>4</v>
      </c>
      <c r="Z1430" s="20">
        <f t="shared" si="49"/>
        <v>16</v>
      </c>
    </row>
    <row r="1431" spans="1:26" x14ac:dyDescent="0.2">
      <c r="A1431" s="21"/>
      <c r="B1431" s="20"/>
      <c r="C1431" s="22"/>
      <c r="D1431" s="22"/>
      <c r="E1431" s="24"/>
      <c r="F1431" s="22"/>
      <c r="H1431" s="21">
        <v>45960</v>
      </c>
      <c r="I1431" s="22" t="s">
        <v>70</v>
      </c>
      <c r="J1431" s="22" t="s">
        <v>48</v>
      </c>
      <c r="K1431" s="24">
        <v>7</v>
      </c>
      <c r="M1431" s="21">
        <v>46000</v>
      </c>
      <c r="N1431" s="22" t="s">
        <v>71</v>
      </c>
      <c r="O1431" s="22" t="s">
        <v>50</v>
      </c>
      <c r="P1431" s="49">
        <v>68.3</v>
      </c>
      <c r="Q1431" s="49">
        <v>67.400000000000006</v>
      </c>
      <c r="R1431" s="46">
        <f t="shared" si="48"/>
        <v>0.89999999999999147</v>
      </c>
      <c r="T1431" s="21">
        <v>45987</v>
      </c>
      <c r="U1431" s="22" t="s">
        <v>50</v>
      </c>
      <c r="V1431" s="24">
        <v>2</v>
      </c>
      <c r="W1431" s="24">
        <v>4</v>
      </c>
      <c r="X1431" s="24">
        <v>4</v>
      </c>
      <c r="Y1431" s="24">
        <v>4</v>
      </c>
      <c r="Z1431" s="20">
        <f t="shared" si="49"/>
        <v>14</v>
      </c>
    </row>
    <row r="1432" spans="1:26" x14ac:dyDescent="0.2">
      <c r="A1432" s="21"/>
      <c r="B1432" s="20"/>
      <c r="C1432" s="22"/>
      <c r="D1432" s="22"/>
      <c r="E1432" s="24"/>
      <c r="F1432" s="22"/>
      <c r="H1432" s="21">
        <v>45960</v>
      </c>
      <c r="I1432" s="22" t="s">
        <v>70</v>
      </c>
      <c r="J1432" s="22" t="s">
        <v>56</v>
      </c>
      <c r="K1432" s="24">
        <v>7</v>
      </c>
      <c r="M1432" s="21">
        <v>46000</v>
      </c>
      <c r="N1432" s="22" t="s">
        <v>71</v>
      </c>
      <c r="O1432" s="22" t="s">
        <v>51</v>
      </c>
      <c r="P1432" s="49">
        <v>75</v>
      </c>
      <c r="Q1432" s="49">
        <v>75</v>
      </c>
      <c r="R1432" s="46">
        <f t="shared" si="48"/>
        <v>0</v>
      </c>
      <c r="T1432" s="21">
        <v>45987</v>
      </c>
      <c r="U1432" s="22" t="s">
        <v>51</v>
      </c>
      <c r="V1432" s="24">
        <v>4</v>
      </c>
      <c r="W1432" s="24">
        <v>3</v>
      </c>
      <c r="X1432" s="24">
        <v>4</v>
      </c>
      <c r="Y1432" s="24">
        <v>5</v>
      </c>
      <c r="Z1432" s="20">
        <f t="shared" si="49"/>
        <v>16</v>
      </c>
    </row>
    <row r="1433" spans="1:26" x14ac:dyDescent="0.2">
      <c r="A1433" s="21"/>
      <c r="B1433" s="20"/>
      <c r="C1433" s="22"/>
      <c r="D1433" s="22"/>
      <c r="E1433" s="24"/>
      <c r="F1433" s="22"/>
      <c r="H1433" s="21">
        <v>45960</v>
      </c>
      <c r="I1433" s="22" t="s">
        <v>70</v>
      </c>
      <c r="J1433" s="22" t="s">
        <v>55</v>
      </c>
      <c r="K1433" s="24">
        <v>8</v>
      </c>
      <c r="M1433" s="21">
        <v>46000</v>
      </c>
      <c r="N1433" s="22" t="s">
        <v>71</v>
      </c>
      <c r="O1433" s="22" t="s">
        <v>52</v>
      </c>
      <c r="P1433" s="49">
        <v>72</v>
      </c>
      <c r="Q1433" s="49">
        <v>72</v>
      </c>
      <c r="R1433" s="46">
        <f t="shared" si="48"/>
        <v>0</v>
      </c>
      <c r="T1433" s="21">
        <v>45987</v>
      </c>
      <c r="U1433" s="22" t="s">
        <v>52</v>
      </c>
      <c r="V1433" s="24">
        <v>4</v>
      </c>
      <c r="W1433" s="24">
        <v>4</v>
      </c>
      <c r="X1433" s="24">
        <v>4</v>
      </c>
      <c r="Y1433" s="24">
        <v>4</v>
      </c>
      <c r="Z1433" s="20">
        <f t="shared" si="49"/>
        <v>16</v>
      </c>
    </row>
    <row r="1434" spans="1:26" x14ac:dyDescent="0.2">
      <c r="A1434" s="21"/>
      <c r="B1434" s="20"/>
      <c r="C1434" s="22"/>
      <c r="D1434" s="22"/>
      <c r="E1434" s="24"/>
      <c r="F1434" s="22"/>
      <c r="H1434" s="21">
        <v>45961</v>
      </c>
      <c r="I1434" s="22" t="s">
        <v>70</v>
      </c>
      <c r="J1434" s="22" t="s">
        <v>52</v>
      </c>
      <c r="K1434" s="24">
        <v>8</v>
      </c>
      <c r="M1434" s="21">
        <v>46000</v>
      </c>
      <c r="N1434" s="22" t="s">
        <v>71</v>
      </c>
      <c r="O1434" s="22" t="s">
        <v>53</v>
      </c>
      <c r="P1434" s="49">
        <v>67</v>
      </c>
      <c r="Q1434" s="49">
        <v>66.599999999999994</v>
      </c>
      <c r="R1434" s="46">
        <f t="shared" si="48"/>
        <v>0.40000000000000568</v>
      </c>
      <c r="T1434" s="21">
        <v>45987</v>
      </c>
      <c r="U1434" s="22" t="s">
        <v>53</v>
      </c>
      <c r="V1434" s="24">
        <v>4</v>
      </c>
      <c r="W1434" s="24">
        <v>4</v>
      </c>
      <c r="X1434" s="24">
        <v>4</v>
      </c>
      <c r="Y1434" s="24">
        <v>4</v>
      </c>
      <c r="Z1434" s="20">
        <f t="shared" si="49"/>
        <v>16</v>
      </c>
    </row>
    <row r="1435" spans="1:26" x14ac:dyDescent="0.2">
      <c r="A1435" s="21"/>
      <c r="B1435" s="20"/>
      <c r="C1435" s="22"/>
      <c r="D1435" s="22"/>
      <c r="E1435" s="24"/>
      <c r="F1435" s="22"/>
      <c r="H1435" s="21">
        <v>45961</v>
      </c>
      <c r="I1435" s="22" t="s">
        <v>70</v>
      </c>
      <c r="J1435" s="22" t="s">
        <v>53</v>
      </c>
      <c r="K1435" s="24">
        <v>8</v>
      </c>
      <c r="M1435" s="21">
        <v>46000</v>
      </c>
      <c r="N1435" s="22" t="s">
        <v>71</v>
      </c>
      <c r="O1435" s="22" t="s">
        <v>56</v>
      </c>
      <c r="P1435" s="49">
        <v>75</v>
      </c>
      <c r="Q1435" s="49">
        <v>75</v>
      </c>
      <c r="R1435" s="46">
        <f t="shared" si="48"/>
        <v>0</v>
      </c>
      <c r="T1435" s="21">
        <v>45987</v>
      </c>
      <c r="U1435" s="22" t="s">
        <v>56</v>
      </c>
      <c r="V1435" s="24">
        <v>5</v>
      </c>
      <c r="W1435" s="24">
        <v>3</v>
      </c>
      <c r="X1435" s="24">
        <v>4</v>
      </c>
      <c r="Y1435" s="24">
        <v>5</v>
      </c>
      <c r="Z1435" s="20">
        <f t="shared" si="49"/>
        <v>17</v>
      </c>
    </row>
    <row r="1436" spans="1:26" x14ac:dyDescent="0.2">
      <c r="A1436" s="21"/>
      <c r="B1436" s="20"/>
      <c r="C1436" s="22"/>
      <c r="D1436" s="22"/>
      <c r="E1436" s="24"/>
      <c r="F1436" s="22"/>
      <c r="H1436" s="21">
        <v>45961</v>
      </c>
      <c r="I1436" s="22" t="s">
        <v>70</v>
      </c>
      <c r="J1436" s="22" t="s">
        <v>44</v>
      </c>
      <c r="K1436" s="24">
        <v>9</v>
      </c>
      <c r="M1436" s="21">
        <v>46000</v>
      </c>
      <c r="N1436" s="22" t="s">
        <v>71</v>
      </c>
      <c r="O1436" s="22" t="s">
        <v>58</v>
      </c>
      <c r="P1436" s="49">
        <v>75</v>
      </c>
      <c r="Q1436" s="49">
        <v>75</v>
      </c>
      <c r="R1436" s="46">
        <f t="shared" si="48"/>
        <v>0</v>
      </c>
      <c r="T1436" s="21">
        <v>45987</v>
      </c>
      <c r="U1436" s="22" t="s">
        <v>57</v>
      </c>
      <c r="V1436" s="24">
        <v>4</v>
      </c>
      <c r="W1436" s="24">
        <v>4</v>
      </c>
      <c r="X1436" s="24">
        <v>4</v>
      </c>
      <c r="Y1436" s="24">
        <v>5</v>
      </c>
      <c r="Z1436" s="20">
        <f t="shared" si="49"/>
        <v>17</v>
      </c>
    </row>
    <row r="1437" spans="1:26" x14ac:dyDescent="0.2">
      <c r="A1437" s="21"/>
      <c r="B1437" s="20"/>
      <c r="C1437" s="22"/>
      <c r="D1437" s="22"/>
      <c r="E1437" s="24"/>
      <c r="F1437" s="22"/>
      <c r="H1437" s="21">
        <v>45961</v>
      </c>
      <c r="I1437" s="22" t="s">
        <v>70</v>
      </c>
      <c r="J1437" s="22" t="s">
        <v>45</v>
      </c>
      <c r="K1437" s="24">
        <v>10</v>
      </c>
      <c r="M1437" s="21">
        <v>46002</v>
      </c>
      <c r="N1437" s="22" t="s">
        <v>70</v>
      </c>
      <c r="O1437" s="22" t="s">
        <v>41</v>
      </c>
      <c r="P1437" s="49">
        <v>77</v>
      </c>
      <c r="Q1437" s="49">
        <v>76</v>
      </c>
      <c r="R1437" s="46">
        <f t="shared" si="48"/>
        <v>1</v>
      </c>
      <c r="T1437" s="21">
        <v>45987</v>
      </c>
      <c r="U1437" s="22" t="s">
        <v>58</v>
      </c>
      <c r="V1437" s="24">
        <v>4</v>
      </c>
      <c r="W1437" s="24">
        <v>4</v>
      </c>
      <c r="X1437" s="24">
        <v>3</v>
      </c>
      <c r="Y1437" s="24">
        <v>5</v>
      </c>
      <c r="Z1437" s="20">
        <f t="shared" si="49"/>
        <v>16</v>
      </c>
    </row>
    <row r="1438" spans="1:26" x14ac:dyDescent="0.2">
      <c r="A1438" s="21"/>
      <c r="B1438" s="20"/>
      <c r="C1438" s="22"/>
      <c r="D1438" s="22"/>
      <c r="E1438" s="24"/>
      <c r="F1438" s="22"/>
      <c r="H1438" s="21">
        <v>45961</v>
      </c>
      <c r="I1438" s="22" t="s">
        <v>70</v>
      </c>
      <c r="J1438" s="22" t="s">
        <v>57</v>
      </c>
      <c r="K1438" s="24">
        <v>7</v>
      </c>
      <c r="M1438" s="21">
        <v>46002</v>
      </c>
      <c r="N1438" s="22" t="s">
        <v>70</v>
      </c>
      <c r="O1438" s="22" t="s">
        <v>42</v>
      </c>
      <c r="P1438" s="49">
        <v>79.400000000000006</v>
      </c>
      <c r="Q1438" s="49">
        <v>79</v>
      </c>
      <c r="R1438" s="46">
        <f t="shared" si="48"/>
        <v>0.40000000000000568</v>
      </c>
      <c r="T1438" s="21">
        <v>45987</v>
      </c>
      <c r="U1438" s="22" t="s">
        <v>33</v>
      </c>
      <c r="V1438" s="24">
        <v>4</v>
      </c>
      <c r="W1438" s="24">
        <v>3.6666666666666701</v>
      </c>
      <c r="X1438" s="24">
        <v>3.6666666666666701</v>
      </c>
      <c r="Y1438" s="24">
        <v>4.4000000000000004</v>
      </c>
      <c r="Z1438" s="20">
        <f t="shared" si="49"/>
        <v>15.73333333333334</v>
      </c>
    </row>
    <row r="1439" spans="1:26" x14ac:dyDescent="0.2">
      <c r="A1439" s="21"/>
      <c r="B1439" s="20"/>
      <c r="C1439" s="22"/>
      <c r="D1439" s="22"/>
      <c r="E1439" s="24"/>
      <c r="F1439" s="22"/>
      <c r="H1439" s="21">
        <v>45961</v>
      </c>
      <c r="I1439" s="22" t="s">
        <v>70</v>
      </c>
      <c r="J1439" s="22" t="s">
        <v>42</v>
      </c>
      <c r="K1439" s="24">
        <v>4</v>
      </c>
      <c r="M1439" s="21">
        <v>46002</v>
      </c>
      <c r="N1439" s="22" t="s">
        <v>70</v>
      </c>
      <c r="O1439" s="22" t="s">
        <v>44</v>
      </c>
      <c r="P1439" s="49">
        <v>67.900000000000006</v>
      </c>
      <c r="Q1439" s="49">
        <v>67.5</v>
      </c>
      <c r="R1439" s="46">
        <f t="shared" si="48"/>
        <v>0.40000000000000568</v>
      </c>
      <c r="T1439" s="21">
        <v>45988</v>
      </c>
      <c r="U1439" s="22" t="s">
        <v>41</v>
      </c>
      <c r="V1439" s="24">
        <v>1</v>
      </c>
      <c r="W1439" s="24">
        <v>1</v>
      </c>
      <c r="X1439" s="24">
        <v>1</v>
      </c>
      <c r="Y1439" s="24">
        <v>1</v>
      </c>
      <c r="Z1439" s="20">
        <f t="shared" si="49"/>
        <v>4</v>
      </c>
    </row>
    <row r="1440" spans="1:26" x14ac:dyDescent="0.2">
      <c r="A1440" s="21"/>
      <c r="B1440" s="20"/>
      <c r="C1440" s="22"/>
      <c r="D1440" s="22"/>
      <c r="E1440" s="24"/>
      <c r="F1440" s="22"/>
      <c r="H1440" s="21">
        <v>45961</v>
      </c>
      <c r="I1440" s="22" t="s">
        <v>70</v>
      </c>
      <c r="J1440" s="22" t="s">
        <v>47</v>
      </c>
      <c r="K1440" s="24">
        <v>8</v>
      </c>
      <c r="M1440" s="21">
        <v>46002</v>
      </c>
      <c r="N1440" s="22" t="s">
        <v>70</v>
      </c>
      <c r="O1440" s="22" t="s">
        <v>45</v>
      </c>
      <c r="P1440" s="49">
        <v>69</v>
      </c>
      <c r="Q1440" s="49">
        <v>68.5</v>
      </c>
      <c r="R1440" s="46">
        <f t="shared" si="48"/>
        <v>0.5</v>
      </c>
      <c r="T1440" s="21">
        <v>45988</v>
      </c>
      <c r="U1440" s="22" t="s">
        <v>42</v>
      </c>
      <c r="V1440" s="24">
        <v>4</v>
      </c>
      <c r="W1440" s="24">
        <v>4</v>
      </c>
      <c r="X1440" s="24">
        <v>4</v>
      </c>
      <c r="Y1440" s="24">
        <v>5</v>
      </c>
      <c r="Z1440" s="20">
        <f t="shared" si="49"/>
        <v>17</v>
      </c>
    </row>
    <row r="1441" spans="1:26" x14ac:dyDescent="0.2">
      <c r="A1441" s="21"/>
      <c r="B1441" s="20"/>
      <c r="C1441" s="22"/>
      <c r="D1441" s="22"/>
      <c r="E1441" s="24"/>
      <c r="F1441" s="22"/>
      <c r="H1441" s="21">
        <v>45961</v>
      </c>
      <c r="I1441" s="22" t="s">
        <v>70</v>
      </c>
      <c r="J1441" s="22" t="s">
        <v>41</v>
      </c>
      <c r="K1441" s="24">
        <v>3</v>
      </c>
      <c r="M1441" s="21">
        <v>46002</v>
      </c>
      <c r="N1441" s="22" t="s">
        <v>70</v>
      </c>
      <c r="O1441" s="22" t="s">
        <v>46</v>
      </c>
      <c r="P1441" s="49">
        <v>80.5</v>
      </c>
      <c r="Q1441" s="49">
        <v>81</v>
      </c>
      <c r="R1441" s="46">
        <f t="shared" si="48"/>
        <v>-0.5</v>
      </c>
      <c r="T1441" s="21">
        <v>45988</v>
      </c>
      <c r="U1441" s="22" t="s">
        <v>44</v>
      </c>
      <c r="V1441" s="24">
        <v>5</v>
      </c>
      <c r="W1441" s="24">
        <v>5</v>
      </c>
      <c r="X1441" s="24">
        <v>4</v>
      </c>
      <c r="Y1441" s="24">
        <v>5</v>
      </c>
      <c r="Z1441" s="20">
        <f t="shared" si="49"/>
        <v>19</v>
      </c>
    </row>
    <row r="1442" spans="1:26" x14ac:dyDescent="0.2">
      <c r="A1442" s="21"/>
      <c r="B1442" s="20"/>
      <c r="C1442" s="22"/>
      <c r="D1442" s="22"/>
      <c r="E1442" s="24"/>
      <c r="F1442" s="22"/>
      <c r="H1442" s="21">
        <v>45961</v>
      </c>
      <c r="I1442" s="22" t="s">
        <v>70</v>
      </c>
      <c r="J1442" s="22" t="s">
        <v>49</v>
      </c>
      <c r="K1442" s="24">
        <v>7</v>
      </c>
      <c r="M1442" s="21">
        <v>46002</v>
      </c>
      <c r="N1442" s="22" t="s">
        <v>70</v>
      </c>
      <c r="O1442" s="22" t="s">
        <v>47</v>
      </c>
      <c r="P1442" s="49">
        <v>71</v>
      </c>
      <c r="Q1442" s="49">
        <v>71.5</v>
      </c>
      <c r="R1442" s="46">
        <f t="shared" si="48"/>
        <v>-0.5</v>
      </c>
      <c r="T1442" s="21">
        <v>45988</v>
      </c>
      <c r="U1442" s="22" t="s">
        <v>45</v>
      </c>
      <c r="V1442" s="24">
        <v>4</v>
      </c>
      <c r="W1442" s="24">
        <v>4</v>
      </c>
      <c r="X1442" s="24">
        <v>4</v>
      </c>
      <c r="Y1442" s="24">
        <v>5</v>
      </c>
      <c r="Z1442" s="20">
        <f t="shared" si="49"/>
        <v>17</v>
      </c>
    </row>
    <row r="1443" spans="1:26" x14ac:dyDescent="0.2">
      <c r="A1443" s="21"/>
      <c r="B1443" s="20"/>
      <c r="C1443" s="22"/>
      <c r="D1443" s="22"/>
      <c r="E1443" s="24"/>
      <c r="F1443" s="22"/>
      <c r="H1443" s="21">
        <v>45961</v>
      </c>
      <c r="I1443" s="22" t="s">
        <v>70</v>
      </c>
      <c r="J1443" s="22" t="s">
        <v>50</v>
      </c>
      <c r="K1443" s="24">
        <v>8</v>
      </c>
      <c r="M1443" s="21">
        <v>46002</v>
      </c>
      <c r="N1443" s="22" t="s">
        <v>70</v>
      </c>
      <c r="O1443" s="22" t="s">
        <v>48</v>
      </c>
      <c r="P1443" s="49">
        <v>81.5</v>
      </c>
      <c r="Q1443" s="49">
        <v>80.5</v>
      </c>
      <c r="R1443" s="46">
        <f t="shared" si="48"/>
        <v>1</v>
      </c>
      <c r="T1443" s="21">
        <v>45988</v>
      </c>
      <c r="U1443" s="22" t="s">
        <v>46</v>
      </c>
      <c r="V1443" s="24">
        <v>5</v>
      </c>
      <c r="W1443" s="24">
        <v>4</v>
      </c>
      <c r="X1443" s="24">
        <v>4</v>
      </c>
      <c r="Y1443" s="24">
        <v>5</v>
      </c>
      <c r="Z1443" s="20">
        <f t="shared" si="49"/>
        <v>18</v>
      </c>
    </row>
    <row r="1444" spans="1:26" x14ac:dyDescent="0.2">
      <c r="A1444" s="21"/>
      <c r="B1444" s="20"/>
      <c r="C1444" s="22"/>
      <c r="D1444" s="22"/>
      <c r="E1444" s="24"/>
      <c r="F1444" s="22"/>
      <c r="H1444" s="21">
        <v>45961</v>
      </c>
      <c r="I1444" s="22" t="s">
        <v>70</v>
      </c>
      <c r="J1444" s="22" t="s">
        <v>51</v>
      </c>
      <c r="K1444" s="24">
        <v>9</v>
      </c>
      <c r="M1444" s="21">
        <v>46002</v>
      </c>
      <c r="N1444" s="22" t="s">
        <v>70</v>
      </c>
      <c r="O1444" s="22" t="s">
        <v>49</v>
      </c>
      <c r="P1444" s="49">
        <v>78.7</v>
      </c>
      <c r="Q1444" s="49">
        <v>78.7</v>
      </c>
      <c r="R1444" s="46">
        <f t="shared" si="48"/>
        <v>0</v>
      </c>
      <c r="T1444" s="21">
        <v>45988</v>
      </c>
      <c r="U1444" s="22" t="s">
        <v>47</v>
      </c>
      <c r="V1444" s="24">
        <v>5</v>
      </c>
      <c r="W1444" s="24">
        <v>4</v>
      </c>
      <c r="X1444" s="24">
        <v>4</v>
      </c>
      <c r="Y1444" s="24">
        <v>5</v>
      </c>
      <c r="Z1444" s="20">
        <f t="shared" si="49"/>
        <v>18</v>
      </c>
    </row>
    <row r="1445" spans="1:26" x14ac:dyDescent="0.2">
      <c r="A1445" s="21"/>
      <c r="B1445" s="20"/>
      <c r="C1445" s="22"/>
      <c r="D1445" s="22"/>
      <c r="E1445" s="24"/>
      <c r="F1445" s="22"/>
      <c r="H1445" s="21">
        <v>45961</v>
      </c>
      <c r="I1445" s="22" t="s">
        <v>70</v>
      </c>
      <c r="J1445" s="22" t="s">
        <v>46</v>
      </c>
      <c r="K1445" s="24">
        <v>9</v>
      </c>
      <c r="M1445" s="21">
        <v>46002</v>
      </c>
      <c r="N1445" s="22" t="s">
        <v>70</v>
      </c>
      <c r="O1445" s="22" t="s">
        <v>51</v>
      </c>
      <c r="P1445" s="49">
        <v>74.3</v>
      </c>
      <c r="Q1445" s="49">
        <v>74.5</v>
      </c>
      <c r="R1445" s="46">
        <f t="shared" si="48"/>
        <v>-0.20000000000000284</v>
      </c>
      <c r="T1445" s="21">
        <v>45988</v>
      </c>
      <c r="U1445" s="22" t="s">
        <v>48</v>
      </c>
      <c r="V1445" s="24">
        <v>5</v>
      </c>
      <c r="W1445" s="24">
        <v>4</v>
      </c>
      <c r="X1445" s="24">
        <v>4</v>
      </c>
      <c r="Y1445" s="24">
        <v>5</v>
      </c>
      <c r="Z1445" s="20">
        <f t="shared" si="49"/>
        <v>18</v>
      </c>
    </row>
    <row r="1446" spans="1:26" x14ac:dyDescent="0.2">
      <c r="A1446" s="21"/>
      <c r="B1446" s="20"/>
      <c r="C1446" s="22"/>
      <c r="D1446" s="22"/>
      <c r="E1446" s="24"/>
      <c r="F1446" s="22"/>
      <c r="H1446" s="21">
        <v>45961</v>
      </c>
      <c r="I1446" s="22" t="s">
        <v>70</v>
      </c>
      <c r="J1446" s="22" t="s">
        <v>48</v>
      </c>
      <c r="K1446" s="24">
        <v>8</v>
      </c>
      <c r="M1446" s="21">
        <v>46002</v>
      </c>
      <c r="N1446" s="22" t="s">
        <v>70</v>
      </c>
      <c r="O1446" s="22" t="s">
        <v>52</v>
      </c>
      <c r="P1446" s="49">
        <v>71.8</v>
      </c>
      <c r="Q1446" s="49">
        <v>71.2</v>
      </c>
      <c r="R1446" s="46">
        <f t="shared" si="48"/>
        <v>0.59999999999999432</v>
      </c>
      <c r="T1446" s="21">
        <v>45988</v>
      </c>
      <c r="U1446" s="22" t="s">
        <v>49</v>
      </c>
      <c r="V1446" s="24">
        <v>4</v>
      </c>
      <c r="W1446" s="24">
        <v>4</v>
      </c>
      <c r="X1446" s="24">
        <v>4</v>
      </c>
      <c r="Y1446" s="24">
        <v>4</v>
      </c>
      <c r="Z1446" s="20">
        <f t="shared" si="49"/>
        <v>16</v>
      </c>
    </row>
    <row r="1447" spans="1:26" x14ac:dyDescent="0.2">
      <c r="A1447" s="21"/>
      <c r="B1447" s="20"/>
      <c r="C1447" s="22"/>
      <c r="D1447" s="22"/>
      <c r="E1447" s="24"/>
      <c r="F1447" s="22"/>
      <c r="H1447" s="21">
        <v>45961</v>
      </c>
      <c r="I1447" s="22" t="s">
        <v>70</v>
      </c>
      <c r="J1447" s="22" t="s">
        <v>56</v>
      </c>
      <c r="K1447" s="24">
        <v>5</v>
      </c>
      <c r="M1447" s="21">
        <v>46002</v>
      </c>
      <c r="N1447" s="22" t="s">
        <v>70</v>
      </c>
      <c r="O1447" s="22" t="s">
        <v>53</v>
      </c>
      <c r="P1447" s="49">
        <v>67.5</v>
      </c>
      <c r="Q1447" s="49">
        <v>67.099999999999994</v>
      </c>
      <c r="R1447" s="46">
        <f t="shared" si="48"/>
        <v>0.40000000000000568</v>
      </c>
      <c r="T1447" s="21">
        <v>45988</v>
      </c>
      <c r="U1447" s="22" t="s">
        <v>50</v>
      </c>
      <c r="V1447" s="24">
        <v>3</v>
      </c>
      <c r="W1447" s="24">
        <v>4</v>
      </c>
      <c r="X1447" s="24">
        <v>4</v>
      </c>
      <c r="Y1447" s="24">
        <v>4</v>
      </c>
      <c r="Z1447" s="20">
        <f t="shared" si="49"/>
        <v>15</v>
      </c>
    </row>
    <row r="1448" spans="1:26" x14ac:dyDescent="0.2">
      <c r="A1448" s="21"/>
      <c r="B1448" s="20"/>
      <c r="C1448" s="22"/>
      <c r="D1448" s="22"/>
      <c r="E1448" s="24"/>
      <c r="F1448" s="22"/>
      <c r="H1448" s="21">
        <v>45961</v>
      </c>
      <c r="I1448" s="22" t="s">
        <v>70</v>
      </c>
      <c r="J1448" s="22" t="s">
        <v>55</v>
      </c>
      <c r="K1448" s="24">
        <v>7</v>
      </c>
      <c r="M1448" s="21">
        <v>46002</v>
      </c>
      <c r="N1448" s="22" t="s">
        <v>70</v>
      </c>
      <c r="O1448" s="22" t="s">
        <v>57</v>
      </c>
      <c r="P1448" s="49">
        <v>91.7</v>
      </c>
      <c r="Q1448" s="49">
        <v>91.2</v>
      </c>
      <c r="R1448" s="46">
        <f t="shared" si="48"/>
        <v>0.5</v>
      </c>
      <c r="T1448" s="21">
        <v>45988</v>
      </c>
      <c r="U1448" s="22" t="s">
        <v>51</v>
      </c>
      <c r="V1448" s="24">
        <v>4</v>
      </c>
      <c r="W1448" s="24">
        <v>4</v>
      </c>
      <c r="X1448" s="24">
        <v>4</v>
      </c>
      <c r="Y1448" s="24">
        <v>5</v>
      </c>
      <c r="Z1448" s="20">
        <f t="shared" si="49"/>
        <v>17</v>
      </c>
    </row>
    <row r="1449" spans="1:26" x14ac:dyDescent="0.2">
      <c r="A1449" s="21"/>
      <c r="B1449" s="20"/>
      <c r="C1449" s="22"/>
      <c r="D1449" s="22"/>
      <c r="E1449" s="24"/>
      <c r="F1449" s="22"/>
      <c r="H1449" s="21">
        <v>45964</v>
      </c>
      <c r="I1449" s="22" t="s">
        <v>70</v>
      </c>
      <c r="J1449" s="22" t="s">
        <v>52</v>
      </c>
      <c r="K1449" s="24">
        <v>5</v>
      </c>
      <c r="M1449" s="21">
        <v>46002</v>
      </c>
      <c r="N1449" s="22" t="s">
        <v>70</v>
      </c>
      <c r="O1449" s="22" t="s">
        <v>58</v>
      </c>
      <c r="P1449" s="49">
        <v>75.2</v>
      </c>
      <c r="Q1449" s="49">
        <v>75.099999999999994</v>
      </c>
      <c r="R1449" s="46">
        <f t="shared" si="48"/>
        <v>0.10000000000000853</v>
      </c>
      <c r="T1449" s="21">
        <v>45988</v>
      </c>
      <c r="U1449" s="22" t="s">
        <v>52</v>
      </c>
      <c r="V1449" s="24">
        <v>4</v>
      </c>
      <c r="W1449" s="24">
        <v>4</v>
      </c>
      <c r="X1449" s="24">
        <v>4</v>
      </c>
      <c r="Y1449" s="24">
        <v>4</v>
      </c>
      <c r="Z1449" s="20">
        <f t="shared" si="49"/>
        <v>16</v>
      </c>
    </row>
    <row r="1450" spans="1:26" x14ac:dyDescent="0.2">
      <c r="A1450" s="21"/>
      <c r="B1450" s="20"/>
      <c r="C1450" s="22"/>
      <c r="D1450" s="22"/>
      <c r="E1450" s="24"/>
      <c r="F1450" s="22"/>
      <c r="H1450" s="21">
        <v>45964</v>
      </c>
      <c r="I1450" s="22" t="s">
        <v>70</v>
      </c>
      <c r="J1450" s="22" t="s">
        <v>53</v>
      </c>
      <c r="K1450" s="24">
        <v>5</v>
      </c>
      <c r="M1450" s="21">
        <v>46003</v>
      </c>
      <c r="N1450" s="22" t="s">
        <v>71</v>
      </c>
      <c r="O1450" s="22" t="s">
        <v>41</v>
      </c>
      <c r="P1450" s="49">
        <v>77</v>
      </c>
      <c r="Q1450" s="49">
        <v>76.8</v>
      </c>
      <c r="R1450" s="46">
        <f t="shared" si="48"/>
        <v>0.20000000000000284</v>
      </c>
      <c r="T1450" s="21">
        <v>45988</v>
      </c>
      <c r="U1450" s="22" t="s">
        <v>53</v>
      </c>
      <c r="V1450" s="24">
        <v>4</v>
      </c>
      <c r="W1450" s="24">
        <v>4</v>
      </c>
      <c r="X1450" s="24">
        <v>3</v>
      </c>
      <c r="Y1450" s="24">
        <v>3</v>
      </c>
      <c r="Z1450" s="20">
        <f t="shared" si="49"/>
        <v>14</v>
      </c>
    </row>
    <row r="1451" spans="1:26" x14ac:dyDescent="0.2">
      <c r="A1451" s="21"/>
      <c r="B1451" s="20"/>
      <c r="C1451" s="22"/>
      <c r="D1451" s="22"/>
      <c r="E1451" s="24"/>
      <c r="F1451" s="22"/>
      <c r="H1451" s="21">
        <v>45964</v>
      </c>
      <c r="I1451" s="22" t="s">
        <v>70</v>
      </c>
      <c r="J1451" s="22" t="s">
        <v>44</v>
      </c>
      <c r="K1451" s="24">
        <v>4</v>
      </c>
      <c r="M1451" s="21">
        <v>46003</v>
      </c>
      <c r="N1451" s="22" t="s">
        <v>71</v>
      </c>
      <c r="O1451" s="22" t="s">
        <v>42</v>
      </c>
      <c r="P1451" s="49">
        <v>79.2</v>
      </c>
      <c r="Q1451" s="49">
        <v>79</v>
      </c>
      <c r="R1451" s="46">
        <f t="shared" si="48"/>
        <v>0.20000000000000284</v>
      </c>
      <c r="T1451" s="21">
        <v>45988</v>
      </c>
      <c r="U1451" s="22" t="s">
        <v>56</v>
      </c>
      <c r="V1451" s="24">
        <v>4</v>
      </c>
      <c r="W1451" s="24">
        <v>4</v>
      </c>
      <c r="X1451" s="24">
        <v>4</v>
      </c>
      <c r="Y1451" s="24">
        <v>5</v>
      </c>
      <c r="Z1451" s="20">
        <f t="shared" si="49"/>
        <v>17</v>
      </c>
    </row>
    <row r="1452" spans="1:26" x14ac:dyDescent="0.2">
      <c r="A1452" s="21"/>
      <c r="B1452" s="20"/>
      <c r="C1452" s="22"/>
      <c r="D1452" s="22"/>
      <c r="E1452" s="24"/>
      <c r="F1452" s="22"/>
      <c r="H1452" s="21">
        <v>45964</v>
      </c>
      <c r="I1452" s="22" t="s">
        <v>70</v>
      </c>
      <c r="J1452" s="22" t="s">
        <v>45</v>
      </c>
      <c r="K1452" s="24">
        <v>5</v>
      </c>
      <c r="M1452" s="21">
        <v>46003</v>
      </c>
      <c r="N1452" s="22" t="s">
        <v>71</v>
      </c>
      <c r="O1452" s="22" t="s">
        <v>44</v>
      </c>
      <c r="P1452" s="49">
        <v>68</v>
      </c>
      <c r="Q1452" s="49">
        <v>67.5</v>
      </c>
      <c r="R1452" s="46">
        <f t="shared" si="48"/>
        <v>0.5</v>
      </c>
      <c r="T1452" s="21">
        <v>45988</v>
      </c>
      <c r="U1452" s="22" t="s">
        <v>57</v>
      </c>
      <c r="V1452" s="24">
        <v>3</v>
      </c>
      <c r="W1452" s="24">
        <v>4</v>
      </c>
      <c r="X1452" s="24">
        <v>4</v>
      </c>
      <c r="Y1452" s="24">
        <v>5</v>
      </c>
      <c r="Z1452" s="20">
        <f t="shared" si="49"/>
        <v>16</v>
      </c>
    </row>
    <row r="1453" spans="1:26" x14ac:dyDescent="0.2">
      <c r="A1453" s="21"/>
      <c r="B1453" s="20"/>
      <c r="C1453" s="22"/>
      <c r="D1453" s="22"/>
      <c r="E1453" s="24"/>
      <c r="F1453" s="22"/>
      <c r="H1453" s="21">
        <v>45964</v>
      </c>
      <c r="I1453" s="22" t="s">
        <v>70</v>
      </c>
      <c r="J1453" s="22" t="s">
        <v>57</v>
      </c>
      <c r="K1453" s="24">
        <v>6</v>
      </c>
      <c r="M1453" s="21">
        <v>46003</v>
      </c>
      <c r="N1453" s="22" t="s">
        <v>71</v>
      </c>
      <c r="O1453" s="22" t="s">
        <v>45</v>
      </c>
      <c r="P1453" s="49">
        <v>69</v>
      </c>
      <c r="Q1453" s="49">
        <v>68.5</v>
      </c>
      <c r="R1453" s="46">
        <f t="shared" si="48"/>
        <v>0.5</v>
      </c>
      <c r="T1453" s="21">
        <v>45988</v>
      </c>
      <c r="U1453" s="22" t="s">
        <v>58</v>
      </c>
      <c r="V1453" s="24">
        <v>4</v>
      </c>
      <c r="W1453" s="24">
        <v>4</v>
      </c>
      <c r="X1453" s="24">
        <v>4</v>
      </c>
      <c r="Y1453" s="24">
        <v>5</v>
      </c>
      <c r="Z1453" s="20">
        <f t="shared" si="49"/>
        <v>17</v>
      </c>
    </row>
    <row r="1454" spans="1:26" x14ac:dyDescent="0.2">
      <c r="A1454" s="21"/>
      <c r="B1454" s="20"/>
      <c r="C1454" s="22"/>
      <c r="D1454" s="22"/>
      <c r="E1454" s="24"/>
      <c r="F1454" s="22"/>
      <c r="H1454" s="21">
        <v>45964</v>
      </c>
      <c r="I1454" s="22" t="s">
        <v>70</v>
      </c>
      <c r="J1454" s="22" t="s">
        <v>42</v>
      </c>
      <c r="K1454" s="24">
        <v>2</v>
      </c>
      <c r="M1454" s="21">
        <v>46003</v>
      </c>
      <c r="N1454" s="22" t="s">
        <v>71</v>
      </c>
      <c r="O1454" s="22" t="s">
        <v>47</v>
      </c>
      <c r="P1454" s="49">
        <v>71</v>
      </c>
      <c r="Q1454" s="49">
        <v>71</v>
      </c>
      <c r="R1454" s="46">
        <f t="shared" si="48"/>
        <v>0</v>
      </c>
      <c r="T1454" s="21">
        <v>45988</v>
      </c>
      <c r="U1454" s="22" t="s">
        <v>33</v>
      </c>
      <c r="V1454" s="24">
        <v>3.93333333333333</v>
      </c>
      <c r="W1454" s="24">
        <v>3.8666666666666698</v>
      </c>
      <c r="X1454" s="24">
        <v>3.7333333333333298</v>
      </c>
      <c r="Y1454" s="24">
        <v>4.4000000000000004</v>
      </c>
      <c r="Z1454" s="20">
        <f t="shared" si="49"/>
        <v>15.93333333333333</v>
      </c>
    </row>
    <row r="1455" spans="1:26" x14ac:dyDescent="0.2">
      <c r="A1455" s="21"/>
      <c r="B1455" s="20"/>
      <c r="C1455" s="22"/>
      <c r="D1455" s="22"/>
      <c r="E1455" s="24"/>
      <c r="F1455" s="22"/>
      <c r="H1455" s="21">
        <v>45964</v>
      </c>
      <c r="I1455" s="22" t="s">
        <v>70</v>
      </c>
      <c r="J1455" s="22" t="s">
        <v>47</v>
      </c>
      <c r="K1455" s="24">
        <v>4</v>
      </c>
      <c r="M1455" s="21">
        <v>46003</v>
      </c>
      <c r="N1455" s="22" t="s">
        <v>71</v>
      </c>
      <c r="O1455" s="22" t="s">
        <v>48</v>
      </c>
      <c r="P1455" s="49">
        <v>81.900000000000006</v>
      </c>
      <c r="Q1455" s="49">
        <v>80.7</v>
      </c>
      <c r="R1455" s="46">
        <f t="shared" si="48"/>
        <v>1.2000000000000028</v>
      </c>
      <c r="T1455" s="21">
        <v>45989</v>
      </c>
      <c r="U1455" s="22" t="s">
        <v>41</v>
      </c>
      <c r="V1455" s="24">
        <v>1</v>
      </c>
      <c r="W1455" s="24">
        <v>1</v>
      </c>
      <c r="X1455" s="24">
        <v>1</v>
      </c>
      <c r="Y1455" s="24">
        <v>1</v>
      </c>
      <c r="Z1455" s="20">
        <f t="shared" si="49"/>
        <v>4</v>
      </c>
    </row>
    <row r="1456" spans="1:26" x14ac:dyDescent="0.2">
      <c r="A1456" s="21"/>
      <c r="B1456" s="20"/>
      <c r="C1456" s="22"/>
      <c r="D1456" s="22"/>
      <c r="E1456" s="24"/>
      <c r="F1456" s="22"/>
      <c r="H1456" s="21">
        <v>45964</v>
      </c>
      <c r="I1456" s="22" t="s">
        <v>70</v>
      </c>
      <c r="J1456" s="22" t="s">
        <v>41</v>
      </c>
      <c r="K1456" s="24">
        <v>1</v>
      </c>
      <c r="M1456" s="21">
        <v>46003</v>
      </c>
      <c r="N1456" s="22" t="s">
        <v>71</v>
      </c>
      <c r="O1456" s="22" t="s">
        <v>49</v>
      </c>
      <c r="P1456" s="49">
        <v>78.099999999999994</v>
      </c>
      <c r="Q1456" s="49">
        <v>78.400000000000006</v>
      </c>
      <c r="R1456" s="46">
        <f t="shared" si="48"/>
        <v>-0.30000000000001137</v>
      </c>
      <c r="T1456" s="21">
        <v>45989</v>
      </c>
      <c r="U1456" s="22" t="s">
        <v>42</v>
      </c>
      <c r="V1456" s="24">
        <v>4</v>
      </c>
      <c r="W1456" s="24">
        <v>4</v>
      </c>
      <c r="X1456" s="24">
        <v>4</v>
      </c>
      <c r="Y1456" s="24">
        <v>5</v>
      </c>
      <c r="Z1456" s="20">
        <f t="shared" si="49"/>
        <v>17</v>
      </c>
    </row>
    <row r="1457" spans="1:26" x14ac:dyDescent="0.2">
      <c r="A1457" s="21"/>
      <c r="B1457" s="20"/>
      <c r="C1457" s="22"/>
      <c r="D1457" s="22"/>
      <c r="E1457" s="24"/>
      <c r="F1457" s="22"/>
      <c r="H1457" s="21">
        <v>45964</v>
      </c>
      <c r="I1457" s="22" t="s">
        <v>70</v>
      </c>
      <c r="J1457" s="22" t="s">
        <v>49</v>
      </c>
      <c r="K1457" s="24" t="s">
        <v>61</v>
      </c>
      <c r="M1457" s="21">
        <v>46003</v>
      </c>
      <c r="N1457" s="22" t="s">
        <v>71</v>
      </c>
      <c r="O1457" s="22" t="s">
        <v>50</v>
      </c>
      <c r="P1457" s="49">
        <v>67</v>
      </c>
      <c r="Q1457" s="49">
        <v>66.7</v>
      </c>
      <c r="R1457" s="46">
        <f t="shared" si="48"/>
        <v>0.29999999999999716</v>
      </c>
      <c r="T1457" s="21">
        <v>45989</v>
      </c>
      <c r="U1457" s="22" t="s">
        <v>44</v>
      </c>
      <c r="V1457" s="24">
        <v>5</v>
      </c>
      <c r="W1457" s="24">
        <v>5</v>
      </c>
      <c r="X1457" s="24">
        <v>5</v>
      </c>
      <c r="Y1457" s="24">
        <v>5</v>
      </c>
      <c r="Z1457" s="20">
        <f t="shared" si="49"/>
        <v>20</v>
      </c>
    </row>
    <row r="1458" spans="1:26" x14ac:dyDescent="0.2">
      <c r="A1458" s="21"/>
      <c r="B1458" s="20"/>
      <c r="C1458" s="22"/>
      <c r="D1458" s="22"/>
      <c r="E1458" s="24"/>
      <c r="F1458" s="22"/>
      <c r="H1458" s="21">
        <v>45964</v>
      </c>
      <c r="I1458" s="22" t="s">
        <v>70</v>
      </c>
      <c r="J1458" s="22" t="s">
        <v>50</v>
      </c>
      <c r="K1458" s="24">
        <v>4</v>
      </c>
      <c r="M1458" s="21">
        <v>46003</v>
      </c>
      <c r="N1458" s="22" t="s">
        <v>71</v>
      </c>
      <c r="O1458" s="22" t="s">
        <v>51</v>
      </c>
      <c r="P1458" s="49">
        <v>75</v>
      </c>
      <c r="Q1458" s="49">
        <v>75.099999999999994</v>
      </c>
      <c r="R1458" s="46">
        <f t="shared" si="48"/>
        <v>-9.9999999999994316E-2</v>
      </c>
      <c r="T1458" s="21">
        <v>45989</v>
      </c>
      <c r="U1458" s="22" t="s">
        <v>45</v>
      </c>
      <c r="V1458" s="24">
        <v>5</v>
      </c>
      <c r="W1458" s="24">
        <v>5</v>
      </c>
      <c r="X1458" s="24">
        <v>5</v>
      </c>
      <c r="Y1458" s="24">
        <v>5</v>
      </c>
      <c r="Z1458" s="20">
        <f t="shared" si="49"/>
        <v>20</v>
      </c>
    </row>
    <row r="1459" spans="1:26" x14ac:dyDescent="0.2">
      <c r="A1459" s="21"/>
      <c r="B1459" s="20"/>
      <c r="C1459" s="22"/>
      <c r="D1459" s="22"/>
      <c r="E1459" s="24"/>
      <c r="F1459" s="22"/>
      <c r="H1459" s="21">
        <v>45964</v>
      </c>
      <c r="I1459" s="22" t="s">
        <v>70</v>
      </c>
      <c r="J1459" s="22" t="s">
        <v>51</v>
      </c>
      <c r="K1459" s="24">
        <v>4</v>
      </c>
      <c r="M1459" s="21">
        <v>46003</v>
      </c>
      <c r="N1459" s="22" t="s">
        <v>71</v>
      </c>
      <c r="O1459" s="22" t="s">
        <v>52</v>
      </c>
      <c r="P1459" s="49">
        <v>71.2</v>
      </c>
      <c r="Q1459" s="49">
        <v>71</v>
      </c>
      <c r="R1459" s="46">
        <f t="shared" si="48"/>
        <v>0.20000000000000284</v>
      </c>
      <c r="T1459" s="21">
        <v>45989</v>
      </c>
      <c r="U1459" s="22" t="s">
        <v>46</v>
      </c>
      <c r="V1459" s="24">
        <v>5</v>
      </c>
      <c r="W1459" s="24">
        <v>4</v>
      </c>
      <c r="X1459" s="24">
        <v>4</v>
      </c>
      <c r="Y1459" s="24">
        <v>5</v>
      </c>
      <c r="Z1459" s="20">
        <f t="shared" si="49"/>
        <v>18</v>
      </c>
    </row>
    <row r="1460" spans="1:26" x14ac:dyDescent="0.2">
      <c r="A1460" s="21"/>
      <c r="B1460" s="20"/>
      <c r="C1460" s="22"/>
      <c r="D1460" s="22"/>
      <c r="E1460" s="24"/>
      <c r="F1460" s="22"/>
      <c r="H1460" s="21">
        <v>45964</v>
      </c>
      <c r="I1460" s="22" t="s">
        <v>70</v>
      </c>
      <c r="J1460" s="22" t="s">
        <v>46</v>
      </c>
      <c r="K1460" s="24">
        <v>5</v>
      </c>
      <c r="M1460" s="21">
        <v>46003</v>
      </c>
      <c r="N1460" s="22" t="s">
        <v>71</v>
      </c>
      <c r="O1460" s="22" t="s">
        <v>53</v>
      </c>
      <c r="P1460" s="49">
        <v>67</v>
      </c>
      <c r="Q1460" s="49">
        <v>67.2</v>
      </c>
      <c r="R1460" s="46">
        <f t="shared" si="48"/>
        <v>-0.20000000000000284</v>
      </c>
      <c r="T1460" s="21">
        <v>45989</v>
      </c>
      <c r="U1460" s="22" t="s">
        <v>47</v>
      </c>
      <c r="V1460" s="24">
        <v>5</v>
      </c>
      <c r="W1460" s="24">
        <v>5</v>
      </c>
      <c r="X1460" s="24">
        <v>5</v>
      </c>
      <c r="Y1460" s="24">
        <v>5</v>
      </c>
      <c r="Z1460" s="20">
        <f t="shared" si="49"/>
        <v>20</v>
      </c>
    </row>
    <row r="1461" spans="1:26" x14ac:dyDescent="0.2">
      <c r="A1461" s="21"/>
      <c r="B1461" s="20"/>
      <c r="C1461" s="22"/>
      <c r="D1461" s="22"/>
      <c r="E1461" s="24"/>
      <c r="F1461" s="22"/>
      <c r="H1461" s="21">
        <v>45964</v>
      </c>
      <c r="I1461" s="22" t="s">
        <v>70</v>
      </c>
      <c r="J1461" s="22" t="s">
        <v>48</v>
      </c>
      <c r="K1461" s="24">
        <v>4</v>
      </c>
      <c r="M1461" s="21">
        <v>46003</v>
      </c>
      <c r="N1461" s="22" t="s">
        <v>71</v>
      </c>
      <c r="O1461" s="22" t="s">
        <v>56</v>
      </c>
      <c r="P1461" s="49">
        <v>75.400000000000006</v>
      </c>
      <c r="Q1461" s="49">
        <v>75.400000000000006</v>
      </c>
      <c r="R1461" s="46">
        <f t="shared" si="48"/>
        <v>0</v>
      </c>
      <c r="T1461" s="21">
        <v>45989</v>
      </c>
      <c r="U1461" s="22" t="s">
        <v>48</v>
      </c>
      <c r="V1461" s="24">
        <v>5</v>
      </c>
      <c r="W1461" s="24">
        <v>4</v>
      </c>
      <c r="X1461" s="24">
        <v>4</v>
      </c>
      <c r="Y1461" s="24">
        <v>5</v>
      </c>
      <c r="Z1461" s="20">
        <f t="shared" si="49"/>
        <v>18</v>
      </c>
    </row>
    <row r="1462" spans="1:26" x14ac:dyDescent="0.2">
      <c r="A1462" s="21"/>
      <c r="B1462" s="20"/>
      <c r="C1462" s="22"/>
      <c r="D1462" s="22"/>
      <c r="E1462" s="24"/>
      <c r="F1462" s="22"/>
      <c r="H1462" s="21">
        <v>45964</v>
      </c>
      <c r="I1462" s="22" t="s">
        <v>70</v>
      </c>
      <c r="J1462" s="22" t="s">
        <v>56</v>
      </c>
      <c r="K1462" s="24">
        <v>7</v>
      </c>
      <c r="M1462" s="21">
        <v>46003</v>
      </c>
      <c r="N1462" s="22" t="s">
        <v>71</v>
      </c>
      <c r="O1462" s="22" t="s">
        <v>57</v>
      </c>
      <c r="P1462" s="49">
        <v>93.9</v>
      </c>
      <c r="Q1462" s="49">
        <v>94</v>
      </c>
      <c r="R1462" s="46">
        <f t="shared" si="48"/>
        <v>-9.9999999999994316E-2</v>
      </c>
      <c r="T1462" s="21">
        <v>45989</v>
      </c>
      <c r="U1462" s="22" t="s">
        <v>49</v>
      </c>
      <c r="V1462" s="24">
        <v>4</v>
      </c>
      <c r="W1462" s="24">
        <v>4</v>
      </c>
      <c r="X1462" s="24">
        <v>4</v>
      </c>
      <c r="Y1462" s="24">
        <v>4</v>
      </c>
      <c r="Z1462" s="20">
        <f t="shared" si="49"/>
        <v>16</v>
      </c>
    </row>
    <row r="1463" spans="1:26" x14ac:dyDescent="0.2">
      <c r="A1463" s="21"/>
      <c r="B1463" s="20"/>
      <c r="C1463" s="22"/>
      <c r="D1463" s="22"/>
      <c r="E1463" s="24"/>
      <c r="F1463" s="22"/>
      <c r="H1463" s="21">
        <v>45964</v>
      </c>
      <c r="I1463" s="22" t="s">
        <v>70</v>
      </c>
      <c r="J1463" s="22" t="s">
        <v>55</v>
      </c>
      <c r="K1463" s="24">
        <v>8</v>
      </c>
      <c r="M1463" s="21">
        <v>46003</v>
      </c>
      <c r="N1463" s="22" t="s">
        <v>71</v>
      </c>
      <c r="O1463" s="22" t="s">
        <v>58</v>
      </c>
      <c r="P1463" s="49">
        <v>75.599999999999994</v>
      </c>
      <c r="Q1463" s="49">
        <v>75.400000000000006</v>
      </c>
      <c r="R1463" s="46">
        <f t="shared" si="48"/>
        <v>0.19999999999998863</v>
      </c>
      <c r="T1463" s="21">
        <v>45989</v>
      </c>
      <c r="U1463" s="22" t="s">
        <v>50</v>
      </c>
      <c r="V1463" s="24">
        <v>5</v>
      </c>
      <c r="W1463" s="24">
        <v>4</v>
      </c>
      <c r="X1463" s="24">
        <v>4</v>
      </c>
      <c r="Y1463" s="24">
        <v>5</v>
      </c>
      <c r="Z1463" s="20">
        <f t="shared" si="49"/>
        <v>18</v>
      </c>
    </row>
    <row r="1464" spans="1:26" x14ac:dyDescent="0.2">
      <c r="A1464" s="21"/>
      <c r="B1464" s="20"/>
      <c r="C1464" s="22"/>
      <c r="D1464" s="22"/>
      <c r="E1464" s="24"/>
      <c r="F1464" s="22"/>
      <c r="H1464" s="21">
        <v>45965</v>
      </c>
      <c r="I1464" s="22" t="s">
        <v>70</v>
      </c>
      <c r="J1464" s="22" t="s">
        <v>52</v>
      </c>
      <c r="K1464" s="24">
        <v>2</v>
      </c>
      <c r="M1464" s="21">
        <v>46007</v>
      </c>
      <c r="N1464" s="22" t="s">
        <v>71</v>
      </c>
      <c r="O1464" s="22" t="s">
        <v>41</v>
      </c>
      <c r="P1464" s="49">
        <v>77</v>
      </c>
      <c r="Q1464" s="49">
        <v>77</v>
      </c>
      <c r="R1464" s="46">
        <f t="shared" si="48"/>
        <v>0</v>
      </c>
      <c r="T1464" s="21">
        <v>45989</v>
      </c>
      <c r="U1464" s="22" t="s">
        <v>51</v>
      </c>
      <c r="V1464" s="24">
        <v>5</v>
      </c>
      <c r="W1464" s="24">
        <v>4</v>
      </c>
      <c r="X1464" s="24">
        <v>4</v>
      </c>
      <c r="Y1464" s="24">
        <v>5</v>
      </c>
      <c r="Z1464" s="20">
        <f t="shared" si="49"/>
        <v>18</v>
      </c>
    </row>
    <row r="1465" spans="1:26" x14ac:dyDescent="0.2">
      <c r="A1465" s="21"/>
      <c r="B1465" s="20"/>
      <c r="C1465" s="22"/>
      <c r="D1465" s="22"/>
      <c r="E1465" s="24"/>
      <c r="F1465" s="22"/>
      <c r="H1465" s="21">
        <v>45965</v>
      </c>
      <c r="I1465" s="22" t="s">
        <v>70</v>
      </c>
      <c r="J1465" s="22" t="s">
        <v>53</v>
      </c>
      <c r="K1465" s="24">
        <v>2</v>
      </c>
      <c r="M1465" s="21">
        <v>46007</v>
      </c>
      <c r="N1465" s="22" t="s">
        <v>71</v>
      </c>
      <c r="O1465" s="22" t="s">
        <v>42</v>
      </c>
      <c r="P1465" s="49">
        <v>70</v>
      </c>
      <c r="Q1465" s="49">
        <v>78.8</v>
      </c>
      <c r="R1465" s="46">
        <f t="shared" si="48"/>
        <v>-8.7999999999999972</v>
      </c>
      <c r="T1465" s="21">
        <v>45989</v>
      </c>
      <c r="U1465" s="22" t="s">
        <v>52</v>
      </c>
      <c r="V1465" s="24">
        <v>5</v>
      </c>
      <c r="W1465" s="24">
        <v>5</v>
      </c>
      <c r="X1465" s="24">
        <v>5</v>
      </c>
      <c r="Y1465" s="24">
        <v>5</v>
      </c>
      <c r="Z1465" s="20">
        <f t="shared" si="49"/>
        <v>20</v>
      </c>
    </row>
    <row r="1466" spans="1:26" x14ac:dyDescent="0.2">
      <c r="A1466" s="21"/>
      <c r="B1466" s="20"/>
      <c r="C1466" s="22"/>
      <c r="D1466" s="22"/>
      <c r="E1466" s="24"/>
      <c r="F1466" s="22"/>
      <c r="H1466" s="21">
        <v>45965</v>
      </c>
      <c r="I1466" s="22" t="s">
        <v>70</v>
      </c>
      <c r="J1466" s="22" t="s">
        <v>44</v>
      </c>
      <c r="K1466" s="24">
        <v>2</v>
      </c>
      <c r="M1466" s="21">
        <v>46007</v>
      </c>
      <c r="N1466" s="22" t="s">
        <v>71</v>
      </c>
      <c r="O1466" s="22" t="s">
        <v>45</v>
      </c>
      <c r="P1466" s="49">
        <v>69.5</v>
      </c>
      <c r="Q1466" s="49">
        <v>68.8</v>
      </c>
      <c r="R1466" s="46">
        <f t="shared" si="48"/>
        <v>0.70000000000000284</v>
      </c>
      <c r="T1466" s="21">
        <v>45989</v>
      </c>
      <c r="U1466" s="22" t="s">
        <v>56</v>
      </c>
      <c r="V1466" s="24">
        <v>5</v>
      </c>
      <c r="W1466" s="24">
        <v>4</v>
      </c>
      <c r="X1466" s="24">
        <v>4</v>
      </c>
      <c r="Y1466" s="24">
        <v>5</v>
      </c>
      <c r="Z1466" s="20">
        <f t="shared" si="49"/>
        <v>18</v>
      </c>
    </row>
    <row r="1467" spans="1:26" x14ac:dyDescent="0.2">
      <c r="A1467" s="21"/>
      <c r="B1467" s="20"/>
      <c r="C1467" s="22"/>
      <c r="D1467" s="22"/>
      <c r="E1467" s="24"/>
      <c r="F1467" s="22"/>
      <c r="H1467" s="21">
        <v>45965</v>
      </c>
      <c r="I1467" s="22" t="s">
        <v>70</v>
      </c>
      <c r="J1467" s="22" t="s">
        <v>45</v>
      </c>
      <c r="K1467" s="24">
        <v>2</v>
      </c>
      <c r="M1467" s="21">
        <v>46007</v>
      </c>
      <c r="N1467" s="22" t="s">
        <v>71</v>
      </c>
      <c r="O1467" s="22" t="s">
        <v>46</v>
      </c>
      <c r="P1467" s="49">
        <v>81</v>
      </c>
      <c r="Q1467" s="49">
        <v>80.5</v>
      </c>
      <c r="R1467" s="46">
        <f t="shared" si="48"/>
        <v>0.5</v>
      </c>
      <c r="T1467" s="21">
        <v>45989</v>
      </c>
      <c r="U1467" s="22" t="s">
        <v>57</v>
      </c>
      <c r="V1467" s="24">
        <v>5</v>
      </c>
      <c r="W1467" s="24">
        <v>4</v>
      </c>
      <c r="X1467" s="24">
        <v>4</v>
      </c>
      <c r="Y1467" s="24">
        <v>5</v>
      </c>
      <c r="Z1467" s="20">
        <f t="shared" si="49"/>
        <v>18</v>
      </c>
    </row>
    <row r="1468" spans="1:26" x14ac:dyDescent="0.2">
      <c r="A1468" s="21"/>
      <c r="B1468" s="20"/>
      <c r="C1468" s="22"/>
      <c r="D1468" s="22"/>
      <c r="E1468" s="24"/>
      <c r="F1468" s="22"/>
      <c r="H1468" s="21">
        <v>45965</v>
      </c>
      <c r="I1468" s="22" t="s">
        <v>70</v>
      </c>
      <c r="J1468" s="22" t="s">
        <v>57</v>
      </c>
      <c r="K1468" s="24">
        <v>2</v>
      </c>
      <c r="M1468" s="21">
        <v>46007</v>
      </c>
      <c r="N1468" s="22" t="s">
        <v>71</v>
      </c>
      <c r="O1468" s="22" t="s">
        <v>50</v>
      </c>
      <c r="P1468" s="49">
        <v>67.7</v>
      </c>
      <c r="Q1468" s="49">
        <v>66.599999999999994</v>
      </c>
      <c r="R1468" s="46">
        <f t="shared" si="48"/>
        <v>1.1000000000000085</v>
      </c>
      <c r="T1468" s="21">
        <v>45989</v>
      </c>
      <c r="U1468" s="22" t="s">
        <v>58</v>
      </c>
      <c r="V1468" s="24">
        <v>5</v>
      </c>
      <c r="W1468" s="24">
        <v>5</v>
      </c>
      <c r="X1468" s="24">
        <v>3</v>
      </c>
      <c r="Y1468" s="24">
        <v>5</v>
      </c>
      <c r="Z1468" s="20">
        <f t="shared" si="49"/>
        <v>18</v>
      </c>
    </row>
    <row r="1469" spans="1:26" x14ac:dyDescent="0.2">
      <c r="A1469" s="21"/>
      <c r="B1469" s="20"/>
      <c r="C1469" s="22"/>
      <c r="D1469" s="22"/>
      <c r="E1469" s="24"/>
      <c r="F1469" s="22"/>
      <c r="H1469" s="21">
        <v>45965</v>
      </c>
      <c r="I1469" s="22" t="s">
        <v>70</v>
      </c>
      <c r="J1469" s="22" t="s">
        <v>42</v>
      </c>
      <c r="K1469" s="24" t="s">
        <v>60</v>
      </c>
      <c r="M1469" s="21">
        <v>46007</v>
      </c>
      <c r="N1469" s="22" t="s">
        <v>71</v>
      </c>
      <c r="O1469" s="22" t="s">
        <v>51</v>
      </c>
      <c r="P1469" s="49">
        <v>75.2</v>
      </c>
      <c r="Q1469" s="49">
        <v>75.099999999999994</v>
      </c>
      <c r="R1469" s="46">
        <f t="shared" si="48"/>
        <v>0.10000000000000853</v>
      </c>
      <c r="T1469" s="21">
        <v>45989</v>
      </c>
      <c r="U1469" s="22" t="s">
        <v>33</v>
      </c>
      <c r="V1469" s="24">
        <v>4.5714285714285703</v>
      </c>
      <c r="W1469" s="24">
        <v>4.1428571428571397</v>
      </c>
      <c r="X1469" s="24">
        <v>4</v>
      </c>
      <c r="Y1469" s="24">
        <v>4.6428571428571397</v>
      </c>
      <c r="Z1469" s="20">
        <f t="shared" si="49"/>
        <v>17.357142857142851</v>
      </c>
    </row>
    <row r="1470" spans="1:26" x14ac:dyDescent="0.2">
      <c r="A1470" s="21"/>
      <c r="B1470" s="20"/>
      <c r="C1470" s="22"/>
      <c r="D1470" s="22"/>
      <c r="E1470" s="24"/>
      <c r="F1470" s="22"/>
      <c r="H1470" s="21">
        <v>45965</v>
      </c>
      <c r="I1470" s="22" t="s">
        <v>70</v>
      </c>
      <c r="J1470" s="22" t="s">
        <v>47</v>
      </c>
      <c r="K1470" s="24">
        <v>2</v>
      </c>
      <c r="M1470" s="21">
        <v>46007</v>
      </c>
      <c r="N1470" s="22" t="s">
        <v>71</v>
      </c>
      <c r="O1470" s="22" t="s">
        <v>52</v>
      </c>
      <c r="P1470" s="49">
        <v>71.2</v>
      </c>
      <c r="Q1470" s="49">
        <v>71.2</v>
      </c>
      <c r="R1470" s="46">
        <f t="shared" si="48"/>
        <v>0</v>
      </c>
      <c r="T1470" s="21">
        <v>45992</v>
      </c>
      <c r="U1470" s="22" t="s">
        <v>41</v>
      </c>
      <c r="V1470" s="24">
        <v>1</v>
      </c>
      <c r="W1470" s="24">
        <v>1</v>
      </c>
      <c r="X1470" s="24">
        <v>1</v>
      </c>
      <c r="Y1470" s="24">
        <v>1</v>
      </c>
      <c r="Z1470" s="20">
        <f t="shared" si="49"/>
        <v>4</v>
      </c>
    </row>
    <row r="1471" spans="1:26" x14ac:dyDescent="0.2">
      <c r="A1471" s="21"/>
      <c r="B1471" s="20"/>
      <c r="C1471" s="22"/>
      <c r="D1471" s="22"/>
      <c r="E1471" s="24"/>
      <c r="F1471" s="22"/>
      <c r="H1471" s="21">
        <v>45965</v>
      </c>
      <c r="I1471" s="22" t="s">
        <v>70</v>
      </c>
      <c r="J1471" s="22" t="s">
        <v>41</v>
      </c>
      <c r="K1471" s="24">
        <v>2</v>
      </c>
      <c r="M1471" s="21">
        <v>46007</v>
      </c>
      <c r="N1471" s="22" t="s">
        <v>71</v>
      </c>
      <c r="O1471" s="22" t="s">
        <v>53</v>
      </c>
      <c r="P1471" s="49">
        <v>67.099999999999994</v>
      </c>
      <c r="Q1471" s="49">
        <v>66.599999999999994</v>
      </c>
      <c r="R1471" s="46">
        <f t="shared" si="48"/>
        <v>0.5</v>
      </c>
      <c r="T1471" s="21">
        <v>45992</v>
      </c>
      <c r="U1471" s="22" t="s">
        <v>42</v>
      </c>
      <c r="V1471" s="24">
        <v>4</v>
      </c>
      <c r="W1471" s="24">
        <v>4</v>
      </c>
      <c r="X1471" s="24">
        <v>4</v>
      </c>
      <c r="Y1471" s="24">
        <v>5</v>
      </c>
      <c r="Z1471" s="20">
        <f t="shared" si="49"/>
        <v>17</v>
      </c>
    </row>
    <row r="1472" spans="1:26" x14ac:dyDescent="0.2">
      <c r="A1472" s="21"/>
      <c r="B1472" s="20"/>
      <c r="C1472" s="22"/>
      <c r="D1472" s="22"/>
      <c r="E1472" s="24"/>
      <c r="F1472" s="22"/>
      <c r="H1472" s="21">
        <v>45965</v>
      </c>
      <c r="I1472" s="22" t="s">
        <v>70</v>
      </c>
      <c r="J1472" s="22" t="s">
        <v>58</v>
      </c>
      <c r="K1472" s="24">
        <v>2</v>
      </c>
      <c r="M1472" s="21">
        <v>46007</v>
      </c>
      <c r="N1472" s="22" t="s">
        <v>71</v>
      </c>
      <c r="O1472" s="22" t="s">
        <v>57</v>
      </c>
      <c r="P1472" s="49">
        <v>75.2</v>
      </c>
      <c r="Q1472" s="49">
        <v>75.2</v>
      </c>
      <c r="R1472" s="46">
        <f t="shared" si="48"/>
        <v>0</v>
      </c>
      <c r="T1472" s="21">
        <v>45992</v>
      </c>
      <c r="U1472" s="22" t="s">
        <v>44</v>
      </c>
      <c r="V1472" s="24">
        <v>5</v>
      </c>
      <c r="W1472" s="24">
        <v>5</v>
      </c>
      <c r="X1472" s="24">
        <v>5</v>
      </c>
      <c r="Y1472" s="24">
        <v>5</v>
      </c>
      <c r="Z1472" s="20">
        <f t="shared" si="49"/>
        <v>20</v>
      </c>
    </row>
    <row r="1473" spans="1:26" x14ac:dyDescent="0.2">
      <c r="A1473" s="21"/>
      <c r="B1473" s="20"/>
      <c r="C1473" s="22"/>
      <c r="D1473" s="22"/>
      <c r="E1473" s="24"/>
      <c r="F1473" s="22"/>
      <c r="H1473" s="21">
        <v>45965</v>
      </c>
      <c r="I1473" s="22" t="s">
        <v>70</v>
      </c>
      <c r="J1473" s="22" t="s">
        <v>49</v>
      </c>
      <c r="K1473" s="24" t="s">
        <v>61</v>
      </c>
      <c r="M1473" s="21">
        <v>46008</v>
      </c>
      <c r="N1473" s="22" t="s">
        <v>71</v>
      </c>
      <c r="O1473" s="22" t="s">
        <v>41</v>
      </c>
      <c r="P1473" s="49">
        <v>77</v>
      </c>
      <c r="Q1473" s="49">
        <v>76.099999999999994</v>
      </c>
      <c r="R1473" s="46">
        <f t="shared" si="48"/>
        <v>0.90000000000000568</v>
      </c>
      <c r="T1473" s="21">
        <v>45992</v>
      </c>
      <c r="U1473" s="22" t="s">
        <v>45</v>
      </c>
      <c r="V1473" s="24">
        <v>4</v>
      </c>
      <c r="W1473" s="24">
        <v>5</v>
      </c>
      <c r="X1473" s="24">
        <v>5</v>
      </c>
      <c r="Y1473" s="24">
        <v>5</v>
      </c>
      <c r="Z1473" s="20">
        <f t="shared" si="49"/>
        <v>19</v>
      </c>
    </row>
    <row r="1474" spans="1:26" x14ac:dyDescent="0.2">
      <c r="A1474" s="21"/>
      <c r="B1474" s="20"/>
      <c r="C1474" s="22"/>
      <c r="D1474" s="22"/>
      <c r="E1474" s="24"/>
      <c r="F1474" s="22"/>
      <c r="H1474" s="21">
        <v>45965</v>
      </c>
      <c r="I1474" s="22" t="s">
        <v>70</v>
      </c>
      <c r="J1474" s="22" t="s">
        <v>43</v>
      </c>
      <c r="K1474" s="24">
        <v>2</v>
      </c>
      <c r="M1474" s="21">
        <v>46008</v>
      </c>
      <c r="N1474" s="22" t="s">
        <v>71</v>
      </c>
      <c r="O1474" s="22" t="s">
        <v>42</v>
      </c>
      <c r="P1474" s="49">
        <v>79.2</v>
      </c>
      <c r="Q1474" s="49">
        <v>78.8</v>
      </c>
      <c r="R1474" s="46">
        <f t="shared" si="48"/>
        <v>0.40000000000000568</v>
      </c>
      <c r="T1474" s="21">
        <v>45992</v>
      </c>
      <c r="U1474" s="22" t="s">
        <v>46</v>
      </c>
      <c r="V1474" s="24">
        <v>5</v>
      </c>
      <c r="W1474" s="24">
        <v>4</v>
      </c>
      <c r="X1474" s="24">
        <v>4</v>
      </c>
      <c r="Y1474" s="24">
        <v>5</v>
      </c>
      <c r="Z1474" s="20">
        <f t="shared" si="49"/>
        <v>18</v>
      </c>
    </row>
    <row r="1475" spans="1:26" x14ac:dyDescent="0.2">
      <c r="A1475" s="21"/>
      <c r="B1475" s="20"/>
      <c r="C1475" s="22"/>
      <c r="D1475" s="22"/>
      <c r="E1475" s="24"/>
      <c r="F1475" s="22"/>
      <c r="H1475" s="21">
        <v>45965</v>
      </c>
      <c r="I1475" s="22" t="s">
        <v>70</v>
      </c>
      <c r="J1475" s="22" t="s">
        <v>50</v>
      </c>
      <c r="K1475" s="24">
        <v>2</v>
      </c>
      <c r="M1475" s="21">
        <v>46008</v>
      </c>
      <c r="N1475" s="22" t="s">
        <v>71</v>
      </c>
      <c r="O1475" s="22" t="s">
        <v>45</v>
      </c>
      <c r="P1475" s="49">
        <v>69</v>
      </c>
      <c r="Q1475" s="49">
        <v>68.5</v>
      </c>
      <c r="R1475" s="46">
        <f t="shared" ref="R1475:R1538" si="50">IFERROR(P1475-Q1475,"")</f>
        <v>0.5</v>
      </c>
      <c r="T1475" s="21">
        <v>45992</v>
      </c>
      <c r="U1475" s="22" t="s">
        <v>47</v>
      </c>
      <c r="V1475" s="24">
        <v>5</v>
      </c>
      <c r="W1475" s="24">
        <v>4</v>
      </c>
      <c r="X1475" s="24">
        <v>4</v>
      </c>
      <c r="Y1475" s="24">
        <v>5</v>
      </c>
      <c r="Z1475" s="20">
        <f t="shared" ref="Z1475:Z1538" si="51">SUM(V1475:Y1475)</f>
        <v>18</v>
      </c>
    </row>
    <row r="1476" spans="1:26" x14ac:dyDescent="0.2">
      <c r="A1476" s="21"/>
      <c r="B1476" s="20"/>
      <c r="C1476" s="22"/>
      <c r="D1476" s="22"/>
      <c r="E1476" s="24"/>
      <c r="F1476" s="22"/>
      <c r="H1476" s="21">
        <v>45965</v>
      </c>
      <c r="I1476" s="22" t="s">
        <v>70</v>
      </c>
      <c r="J1476" s="22" t="s">
        <v>51</v>
      </c>
      <c r="K1476" s="24">
        <v>2</v>
      </c>
      <c r="M1476" s="21">
        <v>46008</v>
      </c>
      <c r="N1476" s="22" t="s">
        <v>71</v>
      </c>
      <c r="O1476" s="22" t="s">
        <v>46</v>
      </c>
      <c r="P1476" s="49">
        <v>81</v>
      </c>
      <c r="Q1476" s="49">
        <v>81.5</v>
      </c>
      <c r="R1476" s="46">
        <f t="shared" si="50"/>
        <v>-0.5</v>
      </c>
      <c r="T1476" s="21">
        <v>45992</v>
      </c>
      <c r="U1476" s="22" t="s">
        <v>48</v>
      </c>
      <c r="V1476" s="24">
        <v>4</v>
      </c>
      <c r="W1476" s="24">
        <v>4</v>
      </c>
      <c r="X1476" s="24">
        <v>4</v>
      </c>
      <c r="Y1476" s="24">
        <v>4</v>
      </c>
      <c r="Z1476" s="20">
        <f t="shared" si="51"/>
        <v>16</v>
      </c>
    </row>
    <row r="1477" spans="1:26" x14ac:dyDescent="0.2">
      <c r="A1477" s="21"/>
      <c r="B1477" s="20"/>
      <c r="C1477" s="22"/>
      <c r="D1477" s="22"/>
      <c r="E1477" s="24"/>
      <c r="F1477" s="22"/>
      <c r="H1477" s="21">
        <v>45965</v>
      </c>
      <c r="I1477" s="22" t="s">
        <v>70</v>
      </c>
      <c r="J1477" s="22" t="s">
        <v>46</v>
      </c>
      <c r="K1477" s="24">
        <v>2</v>
      </c>
      <c r="M1477" s="21">
        <v>46008</v>
      </c>
      <c r="N1477" s="22" t="s">
        <v>71</v>
      </c>
      <c r="O1477" s="22" t="s">
        <v>50</v>
      </c>
      <c r="P1477" s="49">
        <v>67.599999999999994</v>
      </c>
      <c r="Q1477" s="49">
        <v>66.8</v>
      </c>
      <c r="R1477" s="46">
        <f t="shared" si="50"/>
        <v>0.79999999999999716</v>
      </c>
      <c r="T1477" s="21">
        <v>45992</v>
      </c>
      <c r="U1477" s="22" t="s">
        <v>49</v>
      </c>
      <c r="V1477" s="24">
        <v>3</v>
      </c>
      <c r="W1477" s="24">
        <v>5</v>
      </c>
      <c r="X1477" s="24">
        <v>4</v>
      </c>
      <c r="Y1477" s="24">
        <v>3</v>
      </c>
      <c r="Z1477" s="20">
        <f t="shared" si="51"/>
        <v>15</v>
      </c>
    </row>
    <row r="1478" spans="1:26" x14ac:dyDescent="0.2">
      <c r="A1478" s="21"/>
      <c r="B1478" s="20"/>
      <c r="C1478" s="22"/>
      <c r="D1478" s="22"/>
      <c r="E1478" s="24"/>
      <c r="F1478" s="22"/>
      <c r="H1478" s="21">
        <v>45965</v>
      </c>
      <c r="I1478" s="22" t="s">
        <v>70</v>
      </c>
      <c r="J1478" s="22" t="s">
        <v>48</v>
      </c>
      <c r="K1478" s="24">
        <v>2</v>
      </c>
      <c r="M1478" s="21">
        <v>46008</v>
      </c>
      <c r="N1478" s="22" t="s">
        <v>71</v>
      </c>
      <c r="O1478" s="22" t="s">
        <v>51</v>
      </c>
      <c r="P1478" s="49">
        <v>74.8</v>
      </c>
      <c r="Q1478" s="49">
        <v>75</v>
      </c>
      <c r="R1478" s="46">
        <f t="shared" si="50"/>
        <v>-0.20000000000000284</v>
      </c>
      <c r="T1478" s="21">
        <v>45992</v>
      </c>
      <c r="U1478" s="22" t="s">
        <v>50</v>
      </c>
      <c r="V1478" s="24">
        <v>3</v>
      </c>
      <c r="W1478" s="24">
        <v>4</v>
      </c>
      <c r="X1478" s="24">
        <v>4</v>
      </c>
      <c r="Y1478" s="24">
        <v>5</v>
      </c>
      <c r="Z1478" s="20">
        <f t="shared" si="51"/>
        <v>16</v>
      </c>
    </row>
    <row r="1479" spans="1:26" x14ac:dyDescent="0.2">
      <c r="A1479" s="21"/>
      <c r="B1479" s="20"/>
      <c r="C1479" s="22"/>
      <c r="D1479" s="22"/>
      <c r="E1479" s="24"/>
      <c r="F1479" s="22"/>
      <c r="H1479" s="21">
        <v>45965</v>
      </c>
      <c r="I1479" s="22" t="s">
        <v>70</v>
      </c>
      <c r="J1479" s="22" t="s">
        <v>56</v>
      </c>
      <c r="K1479" s="24">
        <v>2</v>
      </c>
      <c r="M1479" s="21">
        <v>46008</v>
      </c>
      <c r="N1479" s="22" t="s">
        <v>71</v>
      </c>
      <c r="O1479" s="22" t="s">
        <v>52</v>
      </c>
      <c r="P1479" s="49">
        <v>71</v>
      </c>
      <c r="Q1479" s="49">
        <v>71</v>
      </c>
      <c r="R1479" s="46">
        <f t="shared" si="50"/>
        <v>0</v>
      </c>
      <c r="T1479" s="21">
        <v>45992</v>
      </c>
      <c r="U1479" s="22" t="s">
        <v>51</v>
      </c>
      <c r="V1479" s="24">
        <v>3</v>
      </c>
      <c r="W1479" s="24">
        <v>4</v>
      </c>
      <c r="X1479" s="24">
        <v>4</v>
      </c>
      <c r="Y1479" s="24">
        <v>5</v>
      </c>
      <c r="Z1479" s="20">
        <f t="shared" si="51"/>
        <v>16</v>
      </c>
    </row>
    <row r="1480" spans="1:26" x14ac:dyDescent="0.2">
      <c r="A1480" s="21"/>
      <c r="B1480" s="20"/>
      <c r="C1480" s="22"/>
      <c r="D1480" s="22"/>
      <c r="E1480" s="24"/>
      <c r="F1480" s="22"/>
      <c r="H1480" s="21">
        <v>45965</v>
      </c>
      <c r="I1480" s="22" t="s">
        <v>71</v>
      </c>
      <c r="J1480" s="22" t="s">
        <v>52</v>
      </c>
      <c r="K1480" s="24">
        <v>8</v>
      </c>
      <c r="M1480" s="21">
        <v>46008</v>
      </c>
      <c r="N1480" s="22" t="s">
        <v>71</v>
      </c>
      <c r="O1480" s="22" t="s">
        <v>53</v>
      </c>
      <c r="P1480" s="49">
        <v>68</v>
      </c>
      <c r="Q1480" s="49">
        <v>66.7</v>
      </c>
      <c r="R1480" s="46">
        <f t="shared" si="50"/>
        <v>1.2999999999999972</v>
      </c>
      <c r="T1480" s="21">
        <v>45992</v>
      </c>
      <c r="U1480" s="22" t="s">
        <v>52</v>
      </c>
      <c r="V1480" s="24">
        <v>4</v>
      </c>
      <c r="W1480" s="24">
        <v>4</v>
      </c>
      <c r="X1480" s="24">
        <v>4</v>
      </c>
      <c r="Y1480" s="24">
        <v>4</v>
      </c>
      <c r="Z1480" s="20">
        <f t="shared" si="51"/>
        <v>16</v>
      </c>
    </row>
    <row r="1481" spans="1:26" x14ac:dyDescent="0.2">
      <c r="A1481" s="21"/>
      <c r="B1481" s="20"/>
      <c r="C1481" s="22"/>
      <c r="D1481" s="22"/>
      <c r="E1481" s="24"/>
      <c r="F1481" s="22"/>
      <c r="H1481" s="21">
        <v>45965</v>
      </c>
      <c r="I1481" s="22" t="s">
        <v>71</v>
      </c>
      <c r="J1481" s="22" t="s">
        <v>53</v>
      </c>
      <c r="K1481" s="24">
        <v>7</v>
      </c>
      <c r="M1481" s="21">
        <v>46008</v>
      </c>
      <c r="N1481" s="22" t="s">
        <v>71</v>
      </c>
      <c r="O1481" s="22" t="s">
        <v>54</v>
      </c>
      <c r="P1481" s="49">
        <v>83.1</v>
      </c>
      <c r="Q1481" s="49">
        <v>83.2</v>
      </c>
      <c r="R1481" s="46">
        <f t="shared" si="50"/>
        <v>-0.10000000000000853</v>
      </c>
      <c r="T1481" s="21">
        <v>45992</v>
      </c>
      <c r="U1481" s="22" t="s">
        <v>53</v>
      </c>
      <c r="V1481" s="24">
        <v>4</v>
      </c>
      <c r="W1481" s="24">
        <v>4</v>
      </c>
      <c r="X1481" s="24">
        <v>4</v>
      </c>
      <c r="Y1481" s="24">
        <v>4</v>
      </c>
      <c r="Z1481" s="20">
        <f t="shared" si="51"/>
        <v>16</v>
      </c>
    </row>
    <row r="1482" spans="1:26" x14ac:dyDescent="0.2">
      <c r="A1482" s="21"/>
      <c r="B1482" s="20"/>
      <c r="C1482" s="22"/>
      <c r="D1482" s="22"/>
      <c r="E1482" s="24"/>
      <c r="F1482" s="22"/>
      <c r="H1482" s="21">
        <v>45965</v>
      </c>
      <c r="I1482" s="22" t="s">
        <v>71</v>
      </c>
      <c r="J1482" s="22" t="s">
        <v>44</v>
      </c>
      <c r="K1482" s="24">
        <v>7</v>
      </c>
      <c r="M1482" s="21">
        <v>46009</v>
      </c>
      <c r="N1482" s="22" t="s">
        <v>70</v>
      </c>
      <c r="O1482" s="22" t="s">
        <v>41</v>
      </c>
      <c r="P1482" s="49">
        <v>76.8</v>
      </c>
      <c r="Q1482" s="49">
        <v>76.099999999999994</v>
      </c>
      <c r="R1482" s="46">
        <f t="shared" si="50"/>
        <v>0.70000000000000284</v>
      </c>
      <c r="T1482" s="21">
        <v>45992</v>
      </c>
      <c r="U1482" s="22" t="s">
        <v>56</v>
      </c>
      <c r="V1482" s="24">
        <v>4</v>
      </c>
      <c r="W1482" s="24">
        <v>5</v>
      </c>
      <c r="X1482" s="24">
        <v>3</v>
      </c>
      <c r="Y1482" s="24">
        <v>5</v>
      </c>
      <c r="Z1482" s="20">
        <f t="shared" si="51"/>
        <v>17</v>
      </c>
    </row>
    <row r="1483" spans="1:26" x14ac:dyDescent="0.2">
      <c r="A1483" s="21"/>
      <c r="B1483" s="20"/>
      <c r="C1483" s="22"/>
      <c r="D1483" s="22"/>
      <c r="E1483" s="24"/>
      <c r="F1483" s="22"/>
      <c r="H1483" s="21">
        <v>45965</v>
      </c>
      <c r="I1483" s="22" t="s">
        <v>71</v>
      </c>
      <c r="J1483" s="22" t="s">
        <v>45</v>
      </c>
      <c r="K1483" s="24">
        <v>6</v>
      </c>
      <c r="M1483" s="21">
        <v>46009</v>
      </c>
      <c r="N1483" s="22" t="s">
        <v>70</v>
      </c>
      <c r="O1483" s="22" t="s">
        <v>42</v>
      </c>
      <c r="P1483" s="49">
        <v>79.3</v>
      </c>
      <c r="Q1483" s="49">
        <v>79</v>
      </c>
      <c r="R1483" s="46">
        <f t="shared" si="50"/>
        <v>0.29999999999999716</v>
      </c>
      <c r="T1483" s="21">
        <v>45992</v>
      </c>
      <c r="U1483" s="22" t="s">
        <v>57</v>
      </c>
      <c r="V1483" s="24">
        <v>4</v>
      </c>
      <c r="W1483" s="24">
        <v>4</v>
      </c>
      <c r="X1483" s="24">
        <v>5</v>
      </c>
      <c r="Y1483" s="24">
        <v>4</v>
      </c>
      <c r="Z1483" s="20">
        <f t="shared" si="51"/>
        <v>17</v>
      </c>
    </row>
    <row r="1484" spans="1:26" x14ac:dyDescent="0.2">
      <c r="A1484" s="21"/>
      <c r="B1484" s="20"/>
      <c r="C1484" s="22"/>
      <c r="D1484" s="22"/>
      <c r="E1484" s="24"/>
      <c r="F1484" s="22"/>
      <c r="H1484" s="21">
        <v>45965</v>
      </c>
      <c r="I1484" s="22" t="s">
        <v>71</v>
      </c>
      <c r="J1484" s="22" t="s">
        <v>57</v>
      </c>
      <c r="K1484" s="24">
        <v>8</v>
      </c>
      <c r="M1484" s="21">
        <v>46009</v>
      </c>
      <c r="N1484" s="22" t="s">
        <v>70</v>
      </c>
      <c r="O1484" s="22" t="s">
        <v>45</v>
      </c>
      <c r="P1484" s="49">
        <v>69</v>
      </c>
      <c r="Q1484" s="49">
        <v>68.5</v>
      </c>
      <c r="R1484" s="46">
        <f t="shared" si="50"/>
        <v>0.5</v>
      </c>
      <c r="T1484" s="21">
        <v>45992</v>
      </c>
      <c r="U1484" s="22" t="s">
        <v>33</v>
      </c>
      <c r="V1484" s="24">
        <v>3.78571428571429</v>
      </c>
      <c r="W1484" s="24">
        <v>4.0714285714285703</v>
      </c>
      <c r="X1484" s="24">
        <v>3.9285714285714302</v>
      </c>
      <c r="Y1484" s="24">
        <v>4.28571428571429</v>
      </c>
      <c r="Z1484" s="20">
        <f t="shared" si="51"/>
        <v>16.07142857142858</v>
      </c>
    </row>
    <row r="1485" spans="1:26" x14ac:dyDescent="0.2">
      <c r="A1485" s="21"/>
      <c r="B1485" s="20"/>
      <c r="C1485" s="22"/>
      <c r="D1485" s="22"/>
      <c r="E1485" s="24"/>
      <c r="F1485" s="22"/>
      <c r="H1485" s="21">
        <v>45965</v>
      </c>
      <c r="I1485" s="22" t="s">
        <v>71</v>
      </c>
      <c r="J1485" s="22" t="s">
        <v>42</v>
      </c>
      <c r="K1485" s="24" t="s">
        <v>60</v>
      </c>
      <c r="M1485" s="21">
        <v>46009</v>
      </c>
      <c r="N1485" s="22" t="s">
        <v>70</v>
      </c>
      <c r="O1485" s="22" t="s">
        <v>46</v>
      </c>
      <c r="P1485" s="49">
        <v>79.8</v>
      </c>
      <c r="Q1485" s="49">
        <v>80</v>
      </c>
      <c r="R1485" s="46">
        <f t="shared" si="50"/>
        <v>-0.20000000000000284</v>
      </c>
      <c r="T1485" s="21">
        <v>45993</v>
      </c>
      <c r="U1485" s="22" t="s">
        <v>41</v>
      </c>
      <c r="V1485" s="24">
        <v>1</v>
      </c>
      <c r="W1485" s="24">
        <v>1</v>
      </c>
      <c r="X1485" s="24">
        <v>1</v>
      </c>
      <c r="Y1485" s="24">
        <v>1</v>
      </c>
      <c r="Z1485" s="20">
        <f t="shared" si="51"/>
        <v>4</v>
      </c>
    </row>
    <row r="1486" spans="1:26" x14ac:dyDescent="0.2">
      <c r="A1486" s="21"/>
      <c r="B1486" s="20"/>
      <c r="C1486" s="22"/>
      <c r="D1486" s="22"/>
      <c r="E1486" s="24"/>
      <c r="F1486" s="22"/>
      <c r="H1486" s="21">
        <v>45965</v>
      </c>
      <c r="I1486" s="22" t="s">
        <v>71</v>
      </c>
      <c r="J1486" s="22" t="s">
        <v>47</v>
      </c>
      <c r="K1486" s="24">
        <v>7</v>
      </c>
      <c r="M1486" s="21">
        <v>46009</v>
      </c>
      <c r="N1486" s="22" t="s">
        <v>70</v>
      </c>
      <c r="O1486" s="22" t="s">
        <v>50</v>
      </c>
      <c r="P1486" s="49">
        <v>66.3</v>
      </c>
      <c r="Q1486" s="49">
        <v>66</v>
      </c>
      <c r="R1486" s="46">
        <f t="shared" si="50"/>
        <v>0.29999999999999716</v>
      </c>
      <c r="T1486" s="21">
        <v>45993</v>
      </c>
      <c r="U1486" s="22" t="s">
        <v>42</v>
      </c>
      <c r="V1486" s="24">
        <v>4</v>
      </c>
      <c r="W1486" s="24">
        <v>4</v>
      </c>
      <c r="X1486" s="24">
        <v>4</v>
      </c>
      <c r="Y1486" s="24">
        <v>5</v>
      </c>
      <c r="Z1486" s="20">
        <f t="shared" si="51"/>
        <v>17</v>
      </c>
    </row>
    <row r="1487" spans="1:26" x14ac:dyDescent="0.2">
      <c r="A1487" s="21"/>
      <c r="B1487" s="20"/>
      <c r="C1487" s="22"/>
      <c r="D1487" s="22"/>
      <c r="E1487" s="24"/>
      <c r="F1487" s="22"/>
      <c r="H1487" s="21">
        <v>45965</v>
      </c>
      <c r="I1487" s="22" t="s">
        <v>71</v>
      </c>
      <c r="J1487" s="22" t="s">
        <v>41</v>
      </c>
      <c r="K1487" s="24">
        <v>7</v>
      </c>
      <c r="M1487" s="21">
        <v>46009</v>
      </c>
      <c r="N1487" s="22" t="s">
        <v>70</v>
      </c>
      <c r="O1487" s="22" t="s">
        <v>51</v>
      </c>
      <c r="P1487" s="49">
        <v>74.900000000000006</v>
      </c>
      <c r="Q1487" s="49">
        <v>74.900000000000006</v>
      </c>
      <c r="R1487" s="46">
        <f t="shared" si="50"/>
        <v>0</v>
      </c>
      <c r="T1487" s="21">
        <v>45993</v>
      </c>
      <c r="U1487" s="22" t="s">
        <v>44</v>
      </c>
      <c r="V1487" s="24">
        <v>5</v>
      </c>
      <c r="W1487" s="24">
        <v>5</v>
      </c>
      <c r="X1487" s="24">
        <v>5</v>
      </c>
      <c r="Y1487" s="24">
        <v>5</v>
      </c>
      <c r="Z1487" s="20">
        <f t="shared" si="51"/>
        <v>20</v>
      </c>
    </row>
    <row r="1488" spans="1:26" x14ac:dyDescent="0.2">
      <c r="A1488" s="21"/>
      <c r="B1488" s="20"/>
      <c r="C1488" s="22"/>
      <c r="D1488" s="22"/>
      <c r="E1488" s="24"/>
      <c r="F1488" s="22"/>
      <c r="H1488" s="21">
        <v>45965</v>
      </c>
      <c r="I1488" s="22" t="s">
        <v>71</v>
      </c>
      <c r="J1488" s="22" t="s">
        <v>58</v>
      </c>
      <c r="K1488" s="24">
        <v>8</v>
      </c>
      <c r="M1488" s="21">
        <v>46009</v>
      </c>
      <c r="N1488" s="22" t="s">
        <v>70</v>
      </c>
      <c r="O1488" s="22" t="s">
        <v>52</v>
      </c>
      <c r="P1488" s="49">
        <v>71.5</v>
      </c>
      <c r="Q1488" s="49">
        <v>71.3</v>
      </c>
      <c r="R1488" s="46">
        <f t="shared" si="50"/>
        <v>0.20000000000000284</v>
      </c>
      <c r="T1488" s="21">
        <v>45993</v>
      </c>
      <c r="U1488" s="22" t="s">
        <v>45</v>
      </c>
      <c r="V1488" s="24">
        <v>4</v>
      </c>
      <c r="W1488" s="24">
        <v>4</v>
      </c>
      <c r="X1488" s="24">
        <v>4</v>
      </c>
      <c r="Y1488" s="24">
        <v>5</v>
      </c>
      <c r="Z1488" s="20">
        <f t="shared" si="51"/>
        <v>17</v>
      </c>
    </row>
    <row r="1489" spans="1:26" x14ac:dyDescent="0.2">
      <c r="A1489" s="21"/>
      <c r="B1489" s="20"/>
      <c r="C1489" s="22"/>
      <c r="D1489" s="22"/>
      <c r="E1489" s="24"/>
      <c r="F1489" s="22"/>
      <c r="H1489" s="21">
        <v>45965</v>
      </c>
      <c r="I1489" s="22" t="s">
        <v>71</v>
      </c>
      <c r="J1489" s="22" t="s">
        <v>49</v>
      </c>
      <c r="K1489" s="24" t="s">
        <v>61</v>
      </c>
      <c r="M1489" s="21">
        <v>46009</v>
      </c>
      <c r="N1489" s="22" t="s">
        <v>70</v>
      </c>
      <c r="O1489" s="22" t="s">
        <v>53</v>
      </c>
      <c r="P1489" s="49">
        <v>67.099999999999994</v>
      </c>
      <c r="Q1489" s="49">
        <v>66.5</v>
      </c>
      <c r="R1489" s="46">
        <f t="shared" si="50"/>
        <v>0.59999999999999432</v>
      </c>
      <c r="T1489" s="21">
        <v>45993</v>
      </c>
      <c r="U1489" s="22" t="s">
        <v>46</v>
      </c>
      <c r="V1489" s="24">
        <v>5</v>
      </c>
      <c r="W1489" s="24">
        <v>4</v>
      </c>
      <c r="X1489" s="24">
        <v>4</v>
      </c>
      <c r="Y1489" s="24">
        <v>5</v>
      </c>
      <c r="Z1489" s="20">
        <f t="shared" si="51"/>
        <v>18</v>
      </c>
    </row>
    <row r="1490" spans="1:26" x14ac:dyDescent="0.2">
      <c r="A1490" s="21"/>
      <c r="B1490" s="20"/>
      <c r="C1490" s="22"/>
      <c r="D1490" s="22"/>
      <c r="E1490" s="24"/>
      <c r="F1490" s="22"/>
      <c r="H1490" s="21">
        <v>45965</v>
      </c>
      <c r="I1490" s="22" t="s">
        <v>71</v>
      </c>
      <c r="J1490" s="22" t="s">
        <v>43</v>
      </c>
      <c r="K1490" s="24">
        <v>6</v>
      </c>
      <c r="M1490" s="21">
        <v>46009</v>
      </c>
      <c r="N1490" s="22" t="s">
        <v>70</v>
      </c>
      <c r="O1490" s="22" t="s">
        <v>54</v>
      </c>
      <c r="P1490" s="49">
        <v>83.2</v>
      </c>
      <c r="Q1490" s="49">
        <v>82.9</v>
      </c>
      <c r="R1490" s="46">
        <f t="shared" si="50"/>
        <v>0.29999999999999716</v>
      </c>
      <c r="T1490" s="21">
        <v>45993</v>
      </c>
      <c r="U1490" s="22" t="s">
        <v>47</v>
      </c>
      <c r="V1490" s="24">
        <v>3</v>
      </c>
      <c r="W1490" s="24">
        <v>4</v>
      </c>
      <c r="X1490" s="24">
        <v>4</v>
      </c>
      <c r="Y1490" s="24">
        <v>5</v>
      </c>
      <c r="Z1490" s="20">
        <f t="shared" si="51"/>
        <v>16</v>
      </c>
    </row>
    <row r="1491" spans="1:26" x14ac:dyDescent="0.2">
      <c r="A1491" s="21"/>
      <c r="B1491" s="20"/>
      <c r="C1491" s="22"/>
      <c r="D1491" s="22"/>
      <c r="E1491" s="24"/>
      <c r="F1491" s="22"/>
      <c r="H1491" s="21">
        <v>45965</v>
      </c>
      <c r="I1491" s="22" t="s">
        <v>71</v>
      </c>
      <c r="J1491" s="22" t="s">
        <v>50</v>
      </c>
      <c r="K1491" s="24">
        <v>6</v>
      </c>
      <c r="M1491" s="21">
        <v>46009</v>
      </c>
      <c r="N1491" s="22" t="s">
        <v>70</v>
      </c>
      <c r="O1491" s="22" t="s">
        <v>57</v>
      </c>
      <c r="P1491" s="49">
        <v>92</v>
      </c>
      <c r="Q1491" s="49">
        <v>90.8</v>
      </c>
      <c r="R1491" s="46">
        <f t="shared" si="50"/>
        <v>1.2000000000000028</v>
      </c>
      <c r="T1491" s="21">
        <v>45993</v>
      </c>
      <c r="U1491" s="22" t="s">
        <v>48</v>
      </c>
      <c r="V1491" s="24">
        <v>2</v>
      </c>
      <c r="W1491" s="24">
        <v>4</v>
      </c>
      <c r="X1491" s="24">
        <v>4</v>
      </c>
      <c r="Y1491" s="24">
        <v>5</v>
      </c>
      <c r="Z1491" s="20">
        <f t="shared" si="51"/>
        <v>15</v>
      </c>
    </row>
    <row r="1492" spans="1:26" x14ac:dyDescent="0.2">
      <c r="A1492" s="21"/>
      <c r="B1492" s="20"/>
      <c r="C1492" s="22"/>
      <c r="D1492" s="22"/>
      <c r="E1492" s="24"/>
      <c r="F1492" s="22"/>
      <c r="H1492" s="21">
        <v>45965</v>
      </c>
      <c r="I1492" s="22" t="s">
        <v>71</v>
      </c>
      <c r="J1492" s="22" t="s">
        <v>51</v>
      </c>
      <c r="K1492" s="24">
        <v>7</v>
      </c>
      <c r="M1492" s="21">
        <v>46010</v>
      </c>
      <c r="N1492" s="22" t="s">
        <v>70</v>
      </c>
      <c r="O1492" s="22" t="s">
        <v>41</v>
      </c>
      <c r="P1492" s="49">
        <v>77</v>
      </c>
      <c r="Q1492" s="49">
        <v>77</v>
      </c>
      <c r="R1492" s="46">
        <f t="shared" si="50"/>
        <v>0</v>
      </c>
      <c r="T1492" s="21">
        <v>45993</v>
      </c>
      <c r="U1492" s="22" t="s">
        <v>49</v>
      </c>
      <c r="V1492" s="24">
        <v>4</v>
      </c>
      <c r="W1492" s="24">
        <v>4</v>
      </c>
      <c r="X1492" s="24">
        <v>4</v>
      </c>
      <c r="Y1492" s="24">
        <v>4</v>
      </c>
      <c r="Z1492" s="20">
        <f t="shared" si="51"/>
        <v>16</v>
      </c>
    </row>
    <row r="1493" spans="1:26" x14ac:dyDescent="0.2">
      <c r="A1493" s="21"/>
      <c r="B1493" s="20"/>
      <c r="C1493" s="22"/>
      <c r="D1493" s="22"/>
      <c r="E1493" s="24"/>
      <c r="F1493" s="22"/>
      <c r="H1493" s="21">
        <v>45965</v>
      </c>
      <c r="I1493" s="22" t="s">
        <v>71</v>
      </c>
      <c r="J1493" s="22" t="s">
        <v>46</v>
      </c>
      <c r="K1493" s="24">
        <v>5</v>
      </c>
      <c r="M1493" s="21">
        <v>46010</v>
      </c>
      <c r="N1493" s="22" t="s">
        <v>70</v>
      </c>
      <c r="O1493" s="22" t="s">
        <v>42</v>
      </c>
      <c r="P1493" s="49">
        <v>79</v>
      </c>
      <c r="Q1493" s="49">
        <v>78.8</v>
      </c>
      <c r="R1493" s="46">
        <f t="shared" si="50"/>
        <v>0.20000000000000284</v>
      </c>
      <c r="T1493" s="21">
        <v>45993</v>
      </c>
      <c r="U1493" s="22" t="s">
        <v>50</v>
      </c>
      <c r="V1493" s="24">
        <v>2</v>
      </c>
      <c r="W1493" s="24">
        <v>4</v>
      </c>
      <c r="X1493" s="24">
        <v>3</v>
      </c>
      <c r="Y1493" s="24">
        <v>4</v>
      </c>
      <c r="Z1493" s="20">
        <f t="shared" si="51"/>
        <v>13</v>
      </c>
    </row>
    <row r="1494" spans="1:26" x14ac:dyDescent="0.2">
      <c r="A1494" s="21"/>
      <c r="B1494" s="20"/>
      <c r="C1494" s="22"/>
      <c r="D1494" s="22"/>
      <c r="E1494" s="24"/>
      <c r="F1494" s="22"/>
      <c r="H1494" s="21">
        <v>45965</v>
      </c>
      <c r="I1494" s="22" t="s">
        <v>71</v>
      </c>
      <c r="J1494" s="22" t="s">
        <v>48</v>
      </c>
      <c r="K1494" s="24">
        <v>8</v>
      </c>
      <c r="M1494" s="21">
        <v>46010</v>
      </c>
      <c r="N1494" s="22" t="s">
        <v>70</v>
      </c>
      <c r="O1494" s="22" t="s">
        <v>45</v>
      </c>
      <c r="P1494" s="49">
        <v>69</v>
      </c>
      <c r="Q1494" s="49">
        <v>68.7</v>
      </c>
      <c r="R1494" s="46">
        <f t="shared" si="50"/>
        <v>0.29999999999999716</v>
      </c>
      <c r="T1494" s="21">
        <v>45993</v>
      </c>
      <c r="U1494" s="22" t="s">
        <v>51</v>
      </c>
      <c r="V1494" s="24">
        <v>4</v>
      </c>
      <c r="W1494" s="24">
        <v>3</v>
      </c>
      <c r="X1494" s="24">
        <v>4</v>
      </c>
      <c r="Y1494" s="24">
        <v>5</v>
      </c>
      <c r="Z1494" s="20">
        <f t="shared" si="51"/>
        <v>16</v>
      </c>
    </row>
    <row r="1495" spans="1:26" x14ac:dyDescent="0.2">
      <c r="A1495" s="21"/>
      <c r="B1495" s="20"/>
      <c r="C1495" s="22"/>
      <c r="D1495" s="22"/>
      <c r="E1495" s="24"/>
      <c r="F1495" s="22"/>
      <c r="H1495" s="21">
        <v>45965</v>
      </c>
      <c r="I1495" s="22" t="s">
        <v>71</v>
      </c>
      <c r="J1495" s="22" t="s">
        <v>56</v>
      </c>
      <c r="K1495" s="24">
        <v>8</v>
      </c>
      <c r="M1495" s="21">
        <v>46010</v>
      </c>
      <c r="N1495" s="22" t="s">
        <v>70</v>
      </c>
      <c r="O1495" s="22" t="s">
        <v>46</v>
      </c>
      <c r="P1495" s="49">
        <v>80.5</v>
      </c>
      <c r="Q1495" s="49">
        <v>80.400000000000006</v>
      </c>
      <c r="R1495" s="46">
        <f t="shared" si="50"/>
        <v>9.9999999999994316E-2</v>
      </c>
      <c r="T1495" s="21">
        <v>45993</v>
      </c>
      <c r="U1495" s="22" t="s">
        <v>52</v>
      </c>
      <c r="V1495" s="24">
        <v>4</v>
      </c>
      <c r="W1495" s="24">
        <v>4</v>
      </c>
      <c r="X1495" s="24">
        <v>4</v>
      </c>
      <c r="Y1495" s="24">
        <v>4</v>
      </c>
      <c r="Z1495" s="20">
        <f t="shared" si="51"/>
        <v>16</v>
      </c>
    </row>
    <row r="1496" spans="1:26" x14ac:dyDescent="0.2">
      <c r="A1496" s="21"/>
      <c r="B1496" s="20"/>
      <c r="C1496" s="22"/>
      <c r="D1496" s="22"/>
      <c r="E1496" s="24"/>
      <c r="F1496" s="22"/>
      <c r="H1496" s="21">
        <v>45966</v>
      </c>
      <c r="I1496" s="22" t="s">
        <v>70</v>
      </c>
      <c r="J1496" s="22" t="s">
        <v>52</v>
      </c>
      <c r="K1496" s="24">
        <v>1</v>
      </c>
      <c r="M1496" s="21">
        <v>46010</v>
      </c>
      <c r="N1496" s="22" t="s">
        <v>70</v>
      </c>
      <c r="O1496" s="22" t="s">
        <v>50</v>
      </c>
      <c r="P1496" s="49">
        <v>65.8</v>
      </c>
      <c r="Q1496" s="49">
        <v>65.3</v>
      </c>
      <c r="R1496" s="46">
        <f t="shared" si="50"/>
        <v>0.5</v>
      </c>
      <c r="T1496" s="21">
        <v>45993</v>
      </c>
      <c r="U1496" s="22" t="s">
        <v>53</v>
      </c>
      <c r="V1496" s="24">
        <v>4</v>
      </c>
      <c r="W1496" s="24">
        <v>4</v>
      </c>
      <c r="X1496" s="24">
        <v>4</v>
      </c>
      <c r="Y1496" s="24">
        <v>4</v>
      </c>
      <c r="Z1496" s="20">
        <f t="shared" si="51"/>
        <v>16</v>
      </c>
    </row>
    <row r="1497" spans="1:26" x14ac:dyDescent="0.2">
      <c r="A1497" s="21"/>
      <c r="B1497" s="20"/>
      <c r="C1497" s="22"/>
      <c r="D1497" s="22"/>
      <c r="E1497" s="24"/>
      <c r="F1497" s="22"/>
      <c r="H1497" s="21">
        <v>45966</v>
      </c>
      <c r="I1497" s="22" t="s">
        <v>70</v>
      </c>
      <c r="J1497" s="22" t="s">
        <v>53</v>
      </c>
      <c r="K1497" s="24">
        <v>1</v>
      </c>
      <c r="M1497" s="21">
        <v>46010</v>
      </c>
      <c r="N1497" s="22" t="s">
        <v>70</v>
      </c>
      <c r="O1497" s="22" t="s">
        <v>51</v>
      </c>
      <c r="P1497" s="49">
        <v>75.099999999999994</v>
      </c>
      <c r="Q1497" s="49">
        <v>75.2</v>
      </c>
      <c r="R1497" s="46">
        <f t="shared" si="50"/>
        <v>-0.10000000000000853</v>
      </c>
      <c r="T1497" s="21">
        <v>45993</v>
      </c>
      <c r="U1497" s="22" t="s">
        <v>56</v>
      </c>
      <c r="V1497" s="24">
        <v>4</v>
      </c>
      <c r="W1497" s="24">
        <v>2</v>
      </c>
      <c r="X1497" s="24">
        <v>2</v>
      </c>
      <c r="Y1497" s="24">
        <v>5</v>
      </c>
      <c r="Z1497" s="20">
        <f t="shared" si="51"/>
        <v>13</v>
      </c>
    </row>
    <row r="1498" spans="1:26" x14ac:dyDescent="0.2">
      <c r="A1498" s="21"/>
      <c r="B1498" s="20"/>
      <c r="C1498" s="22"/>
      <c r="D1498" s="22"/>
      <c r="E1498" s="24"/>
      <c r="F1498" s="22"/>
      <c r="H1498" s="21">
        <v>45966</v>
      </c>
      <c r="I1498" s="22" t="s">
        <v>70</v>
      </c>
      <c r="J1498" s="22" t="s">
        <v>44</v>
      </c>
      <c r="K1498" s="24">
        <v>1</v>
      </c>
      <c r="M1498" s="21">
        <v>46010</v>
      </c>
      <c r="N1498" s="22" t="s">
        <v>70</v>
      </c>
      <c r="O1498" s="22" t="s">
        <v>52</v>
      </c>
      <c r="P1498" s="49">
        <v>71.400000000000006</v>
      </c>
      <c r="Q1498" s="49">
        <v>71.3</v>
      </c>
      <c r="R1498" s="46">
        <f t="shared" si="50"/>
        <v>0.10000000000000853</v>
      </c>
      <c r="T1498" s="21">
        <v>45993</v>
      </c>
      <c r="U1498" s="22" t="s">
        <v>57</v>
      </c>
      <c r="V1498" s="24">
        <v>4</v>
      </c>
      <c r="W1498" s="24">
        <v>4</v>
      </c>
      <c r="X1498" s="24">
        <v>5</v>
      </c>
      <c r="Y1498" s="24">
        <v>5</v>
      </c>
      <c r="Z1498" s="20">
        <f t="shared" si="51"/>
        <v>18</v>
      </c>
    </row>
    <row r="1499" spans="1:26" x14ac:dyDescent="0.2">
      <c r="A1499" s="21"/>
      <c r="B1499" s="20"/>
      <c r="C1499" s="22"/>
      <c r="D1499" s="22"/>
      <c r="E1499" s="24"/>
      <c r="F1499" s="22"/>
      <c r="H1499" s="21">
        <v>45966</v>
      </c>
      <c r="I1499" s="22" t="s">
        <v>70</v>
      </c>
      <c r="J1499" s="22" t="s">
        <v>45</v>
      </c>
      <c r="K1499" s="24">
        <v>1</v>
      </c>
      <c r="M1499" s="21">
        <v>46010</v>
      </c>
      <c r="N1499" s="22" t="s">
        <v>70</v>
      </c>
      <c r="O1499" s="22" t="s">
        <v>53</v>
      </c>
      <c r="P1499" s="49">
        <v>66.599999999999994</v>
      </c>
      <c r="Q1499" s="49">
        <v>66</v>
      </c>
      <c r="R1499" s="46">
        <f t="shared" si="50"/>
        <v>0.59999999999999432</v>
      </c>
      <c r="T1499" s="21">
        <v>45993</v>
      </c>
      <c r="U1499" s="22" t="s">
        <v>58</v>
      </c>
      <c r="V1499" s="24">
        <v>4</v>
      </c>
      <c r="W1499" s="24">
        <v>5</v>
      </c>
      <c r="X1499" s="24">
        <v>4</v>
      </c>
      <c r="Y1499" s="24">
        <v>5</v>
      </c>
      <c r="Z1499" s="20">
        <f t="shared" si="51"/>
        <v>18</v>
      </c>
    </row>
    <row r="1500" spans="1:26" x14ac:dyDescent="0.2">
      <c r="A1500" s="21"/>
      <c r="B1500" s="20"/>
      <c r="C1500" s="22"/>
      <c r="D1500" s="22"/>
      <c r="E1500" s="24"/>
      <c r="F1500" s="22"/>
      <c r="H1500" s="21">
        <v>45966</v>
      </c>
      <c r="I1500" s="22" t="s">
        <v>70</v>
      </c>
      <c r="J1500" s="22" t="s">
        <v>57</v>
      </c>
      <c r="K1500" s="24">
        <v>1</v>
      </c>
      <c r="M1500" s="21">
        <v>46010</v>
      </c>
      <c r="N1500" s="22" t="s">
        <v>70</v>
      </c>
      <c r="O1500" s="22" t="s">
        <v>57</v>
      </c>
      <c r="P1500" s="49">
        <v>90.9</v>
      </c>
      <c r="Q1500" s="49">
        <v>89.7</v>
      </c>
      <c r="R1500" s="46">
        <f t="shared" si="50"/>
        <v>1.2000000000000028</v>
      </c>
      <c r="T1500" s="21">
        <v>45993</v>
      </c>
      <c r="U1500" s="22" t="s">
        <v>33</v>
      </c>
      <c r="V1500" s="24">
        <v>3.6</v>
      </c>
      <c r="W1500" s="24">
        <v>3.7333333333333298</v>
      </c>
      <c r="X1500" s="24">
        <v>3.7333333333333298</v>
      </c>
      <c r="Y1500" s="24">
        <v>4.4666666666666703</v>
      </c>
      <c r="Z1500" s="20">
        <f t="shared" si="51"/>
        <v>15.53333333333333</v>
      </c>
    </row>
    <row r="1501" spans="1:26" x14ac:dyDescent="0.2">
      <c r="A1501" s="21"/>
      <c r="B1501" s="20"/>
      <c r="C1501" s="22"/>
      <c r="D1501" s="22"/>
      <c r="E1501" s="24"/>
      <c r="F1501" s="22"/>
      <c r="H1501" s="21">
        <v>45966</v>
      </c>
      <c r="I1501" s="22" t="s">
        <v>70</v>
      </c>
      <c r="J1501" s="22" t="s">
        <v>42</v>
      </c>
      <c r="K1501" s="24" t="s">
        <v>60</v>
      </c>
      <c r="M1501" s="21">
        <v>46010</v>
      </c>
      <c r="N1501" s="22" t="s">
        <v>70</v>
      </c>
      <c r="O1501" s="22" t="s">
        <v>58</v>
      </c>
      <c r="P1501" s="49">
        <v>74</v>
      </c>
      <c r="Q1501" s="49">
        <v>74.2</v>
      </c>
      <c r="R1501" s="46">
        <f t="shared" si="50"/>
        <v>-0.20000000000000284</v>
      </c>
      <c r="T1501" s="21">
        <v>45994</v>
      </c>
      <c r="U1501" s="22" t="s">
        <v>41</v>
      </c>
      <c r="V1501" s="24">
        <v>1</v>
      </c>
      <c r="W1501" s="24">
        <v>1</v>
      </c>
      <c r="X1501" s="24">
        <v>1</v>
      </c>
      <c r="Y1501" s="24">
        <v>1</v>
      </c>
      <c r="Z1501" s="20">
        <f t="shared" si="51"/>
        <v>4</v>
      </c>
    </row>
    <row r="1502" spans="1:26" x14ac:dyDescent="0.2">
      <c r="A1502" s="21"/>
      <c r="B1502" s="20"/>
      <c r="C1502" s="22"/>
      <c r="D1502" s="22"/>
      <c r="E1502" s="24"/>
      <c r="F1502" s="22"/>
      <c r="H1502" s="21">
        <v>45966</v>
      </c>
      <c r="I1502" s="22" t="s">
        <v>70</v>
      </c>
      <c r="J1502" s="22" t="s">
        <v>47</v>
      </c>
      <c r="K1502" s="24">
        <v>1</v>
      </c>
      <c r="M1502" s="21">
        <v>46013</v>
      </c>
      <c r="N1502" s="22" t="s">
        <v>70</v>
      </c>
      <c r="O1502" s="22" t="s">
        <v>41</v>
      </c>
      <c r="P1502" s="49">
        <v>76.7</v>
      </c>
      <c r="Q1502" s="49">
        <v>76.099999999999994</v>
      </c>
      <c r="R1502" s="46">
        <f t="shared" si="50"/>
        <v>0.60000000000000853</v>
      </c>
      <c r="T1502" s="21">
        <v>45994</v>
      </c>
      <c r="U1502" s="22" t="s">
        <v>42</v>
      </c>
      <c r="V1502" s="24">
        <v>4</v>
      </c>
      <c r="W1502" s="24">
        <v>4</v>
      </c>
      <c r="X1502" s="24">
        <v>4</v>
      </c>
      <c r="Y1502" s="24">
        <v>5</v>
      </c>
      <c r="Z1502" s="20">
        <f t="shared" si="51"/>
        <v>17</v>
      </c>
    </row>
    <row r="1503" spans="1:26" x14ac:dyDescent="0.2">
      <c r="A1503" s="21"/>
      <c r="B1503" s="20"/>
      <c r="C1503" s="22"/>
      <c r="D1503" s="22"/>
      <c r="E1503" s="24"/>
      <c r="F1503" s="22"/>
      <c r="H1503" s="21">
        <v>45966</v>
      </c>
      <c r="I1503" s="22" t="s">
        <v>70</v>
      </c>
      <c r="J1503" s="22" t="s">
        <v>41</v>
      </c>
      <c r="K1503" s="24">
        <v>1</v>
      </c>
      <c r="M1503" s="21">
        <v>46013</v>
      </c>
      <c r="N1503" s="22" t="s">
        <v>70</v>
      </c>
      <c r="O1503" s="22" t="s">
        <v>42</v>
      </c>
      <c r="P1503" s="49">
        <v>79.400000000000006</v>
      </c>
      <c r="Q1503" s="49">
        <v>79</v>
      </c>
      <c r="R1503" s="46">
        <f t="shared" si="50"/>
        <v>0.40000000000000568</v>
      </c>
      <c r="T1503" s="21">
        <v>45994</v>
      </c>
      <c r="U1503" s="22" t="s">
        <v>44</v>
      </c>
      <c r="V1503" s="24">
        <v>5</v>
      </c>
      <c r="W1503" s="24">
        <v>3</v>
      </c>
      <c r="X1503" s="24">
        <v>4</v>
      </c>
      <c r="Y1503" s="24">
        <v>5</v>
      </c>
      <c r="Z1503" s="20">
        <f t="shared" si="51"/>
        <v>17</v>
      </c>
    </row>
    <row r="1504" spans="1:26" x14ac:dyDescent="0.2">
      <c r="A1504" s="21"/>
      <c r="B1504" s="20"/>
      <c r="C1504" s="22"/>
      <c r="D1504" s="22"/>
      <c r="E1504" s="24"/>
      <c r="F1504" s="22"/>
      <c r="H1504" s="21">
        <v>45966</v>
      </c>
      <c r="I1504" s="22" t="s">
        <v>70</v>
      </c>
      <c r="J1504" s="22" t="s">
        <v>58</v>
      </c>
      <c r="K1504" s="24">
        <v>1</v>
      </c>
      <c r="M1504" s="21">
        <v>46013</v>
      </c>
      <c r="N1504" s="22" t="s">
        <v>70</v>
      </c>
      <c r="O1504" s="22" t="s">
        <v>45</v>
      </c>
      <c r="P1504" s="49">
        <v>69.2</v>
      </c>
      <c r="Q1504" s="49">
        <v>68.7</v>
      </c>
      <c r="R1504" s="46">
        <f t="shared" si="50"/>
        <v>0.5</v>
      </c>
      <c r="T1504" s="21">
        <v>45994</v>
      </c>
      <c r="U1504" s="22" t="s">
        <v>45</v>
      </c>
      <c r="V1504" s="24">
        <v>4</v>
      </c>
      <c r="W1504" s="24">
        <v>3</v>
      </c>
      <c r="X1504" s="24">
        <v>4</v>
      </c>
      <c r="Y1504" s="24">
        <v>5</v>
      </c>
      <c r="Z1504" s="20">
        <f t="shared" si="51"/>
        <v>16</v>
      </c>
    </row>
    <row r="1505" spans="1:26" x14ac:dyDescent="0.2">
      <c r="A1505" s="21"/>
      <c r="B1505" s="20"/>
      <c r="C1505" s="22"/>
      <c r="D1505" s="22"/>
      <c r="E1505" s="24"/>
      <c r="F1505" s="22"/>
      <c r="H1505" s="21">
        <v>45966</v>
      </c>
      <c r="I1505" s="22" t="s">
        <v>70</v>
      </c>
      <c r="J1505" s="22" t="s">
        <v>49</v>
      </c>
      <c r="K1505" s="24" t="s">
        <v>61</v>
      </c>
      <c r="M1505" s="21">
        <v>46013</v>
      </c>
      <c r="N1505" s="22" t="s">
        <v>70</v>
      </c>
      <c r="O1505" s="22" t="s">
        <v>46</v>
      </c>
      <c r="P1505" s="49">
        <v>79.3</v>
      </c>
      <c r="Q1505" s="49">
        <v>79</v>
      </c>
      <c r="R1505" s="46">
        <f t="shared" si="50"/>
        <v>0.29999999999999716</v>
      </c>
      <c r="T1505" s="21">
        <v>45994</v>
      </c>
      <c r="U1505" s="22" t="s">
        <v>46</v>
      </c>
      <c r="V1505" s="24">
        <v>5</v>
      </c>
      <c r="W1505" s="24">
        <v>4</v>
      </c>
      <c r="X1505" s="24">
        <v>4</v>
      </c>
      <c r="Y1505" s="24">
        <v>5</v>
      </c>
      <c r="Z1505" s="20">
        <f t="shared" si="51"/>
        <v>18</v>
      </c>
    </row>
    <row r="1506" spans="1:26" x14ac:dyDescent="0.2">
      <c r="A1506" s="21"/>
      <c r="B1506" s="20"/>
      <c r="C1506" s="22"/>
      <c r="D1506" s="22"/>
      <c r="E1506" s="24"/>
      <c r="F1506" s="22"/>
      <c r="H1506" s="21">
        <v>45966</v>
      </c>
      <c r="I1506" s="22" t="s">
        <v>70</v>
      </c>
      <c r="J1506" s="22" t="s">
        <v>50</v>
      </c>
      <c r="K1506" s="24" t="s">
        <v>61</v>
      </c>
      <c r="M1506" s="21">
        <v>46013</v>
      </c>
      <c r="N1506" s="22" t="s">
        <v>70</v>
      </c>
      <c r="O1506" s="22" t="s">
        <v>48</v>
      </c>
      <c r="P1506" s="49">
        <v>81.599999999999994</v>
      </c>
      <c r="Q1506" s="49">
        <v>80.5</v>
      </c>
      <c r="R1506" s="46">
        <f t="shared" si="50"/>
        <v>1.0999999999999943</v>
      </c>
      <c r="T1506" s="21">
        <v>45994</v>
      </c>
      <c r="U1506" s="22" t="s">
        <v>47</v>
      </c>
      <c r="V1506" s="24">
        <v>4</v>
      </c>
      <c r="W1506" s="24">
        <v>4</v>
      </c>
      <c r="X1506" s="24">
        <v>3</v>
      </c>
      <c r="Y1506" s="24">
        <v>5</v>
      </c>
      <c r="Z1506" s="20">
        <f t="shared" si="51"/>
        <v>16</v>
      </c>
    </row>
    <row r="1507" spans="1:26" x14ac:dyDescent="0.2">
      <c r="A1507" s="21"/>
      <c r="B1507" s="20"/>
      <c r="C1507" s="22"/>
      <c r="D1507" s="22"/>
      <c r="E1507" s="24"/>
      <c r="F1507" s="22"/>
      <c r="H1507" s="21">
        <v>45966</v>
      </c>
      <c r="I1507" s="22" t="s">
        <v>70</v>
      </c>
      <c r="J1507" s="22" t="s">
        <v>51</v>
      </c>
      <c r="K1507" s="24">
        <v>1</v>
      </c>
      <c r="M1507" s="21">
        <v>46013</v>
      </c>
      <c r="N1507" s="22" t="s">
        <v>70</v>
      </c>
      <c r="O1507" s="22" t="s">
        <v>50</v>
      </c>
      <c r="P1507" s="49">
        <v>67.400000000000006</v>
      </c>
      <c r="Q1507" s="49">
        <v>66.5</v>
      </c>
      <c r="R1507" s="46">
        <f t="shared" si="50"/>
        <v>0.90000000000000568</v>
      </c>
      <c r="T1507" s="21">
        <v>45994</v>
      </c>
      <c r="U1507" s="22" t="s">
        <v>48</v>
      </c>
      <c r="V1507" s="24">
        <v>5</v>
      </c>
      <c r="W1507" s="24">
        <v>4</v>
      </c>
      <c r="X1507" s="24">
        <v>4</v>
      </c>
      <c r="Y1507" s="24">
        <v>5</v>
      </c>
      <c r="Z1507" s="20">
        <f t="shared" si="51"/>
        <v>18</v>
      </c>
    </row>
    <row r="1508" spans="1:26" x14ac:dyDescent="0.2">
      <c r="A1508" s="21"/>
      <c r="B1508" s="20"/>
      <c r="C1508" s="22"/>
      <c r="D1508" s="22"/>
      <c r="E1508" s="24"/>
      <c r="F1508" s="22"/>
      <c r="H1508" s="21">
        <v>45966</v>
      </c>
      <c r="I1508" s="22" t="s">
        <v>70</v>
      </c>
      <c r="J1508" s="22" t="s">
        <v>46</v>
      </c>
      <c r="K1508" s="24" t="s">
        <v>61</v>
      </c>
      <c r="M1508" s="21">
        <v>46013</v>
      </c>
      <c r="N1508" s="22" t="s">
        <v>70</v>
      </c>
      <c r="O1508" s="22" t="s">
        <v>51</v>
      </c>
      <c r="P1508" s="49">
        <v>74.900000000000006</v>
      </c>
      <c r="Q1508" s="49">
        <v>74.5</v>
      </c>
      <c r="R1508" s="46">
        <f t="shared" si="50"/>
        <v>0.40000000000000568</v>
      </c>
      <c r="T1508" s="21">
        <v>45994</v>
      </c>
      <c r="U1508" s="22" t="s">
        <v>49</v>
      </c>
      <c r="V1508" s="24">
        <v>4</v>
      </c>
      <c r="W1508" s="24">
        <v>4</v>
      </c>
      <c r="X1508" s="24">
        <v>4</v>
      </c>
      <c r="Y1508" s="24">
        <v>4</v>
      </c>
      <c r="Z1508" s="20">
        <f t="shared" si="51"/>
        <v>16</v>
      </c>
    </row>
    <row r="1509" spans="1:26" x14ac:dyDescent="0.2">
      <c r="A1509" s="21"/>
      <c r="B1509" s="20"/>
      <c r="C1509" s="22"/>
      <c r="D1509" s="22"/>
      <c r="E1509" s="24"/>
      <c r="F1509" s="22"/>
      <c r="H1509" s="21">
        <v>45966</v>
      </c>
      <c r="I1509" s="22" t="s">
        <v>70</v>
      </c>
      <c r="J1509" s="22" t="s">
        <v>48</v>
      </c>
      <c r="K1509" s="24">
        <v>1</v>
      </c>
      <c r="M1509" s="21">
        <v>46013</v>
      </c>
      <c r="N1509" s="22" t="s">
        <v>70</v>
      </c>
      <c r="O1509" s="22" t="s">
        <v>52</v>
      </c>
      <c r="P1509" s="49">
        <v>71</v>
      </c>
      <c r="Q1509" s="49">
        <v>71</v>
      </c>
      <c r="R1509" s="46">
        <f t="shared" si="50"/>
        <v>0</v>
      </c>
      <c r="T1509" s="21">
        <v>45994</v>
      </c>
      <c r="U1509" s="22" t="s">
        <v>50</v>
      </c>
      <c r="V1509" s="24">
        <v>2</v>
      </c>
      <c r="W1509" s="24">
        <v>4</v>
      </c>
      <c r="X1509" s="24">
        <v>4</v>
      </c>
      <c r="Y1509" s="24">
        <v>4</v>
      </c>
      <c r="Z1509" s="20">
        <f t="shared" si="51"/>
        <v>14</v>
      </c>
    </row>
    <row r="1510" spans="1:26" x14ac:dyDescent="0.2">
      <c r="A1510" s="21"/>
      <c r="B1510" s="20"/>
      <c r="C1510" s="22"/>
      <c r="D1510" s="22"/>
      <c r="E1510" s="24"/>
      <c r="F1510" s="22"/>
      <c r="H1510" s="21">
        <v>45966</v>
      </c>
      <c r="I1510" s="22" t="s">
        <v>70</v>
      </c>
      <c r="J1510" s="22" t="s">
        <v>56</v>
      </c>
      <c r="K1510" s="24">
        <v>1</v>
      </c>
      <c r="M1510" s="21">
        <v>46013</v>
      </c>
      <c r="N1510" s="22" t="s">
        <v>70</v>
      </c>
      <c r="O1510" s="22" t="s">
        <v>53</v>
      </c>
      <c r="P1510" s="49">
        <v>67.5</v>
      </c>
      <c r="Q1510" s="49">
        <v>66.900000000000006</v>
      </c>
      <c r="R1510" s="46">
        <f t="shared" si="50"/>
        <v>0.59999999999999432</v>
      </c>
      <c r="T1510" s="21">
        <v>45994</v>
      </c>
      <c r="U1510" s="22" t="s">
        <v>51</v>
      </c>
      <c r="V1510" s="24">
        <v>4</v>
      </c>
      <c r="W1510" s="24">
        <v>4</v>
      </c>
      <c r="X1510" s="24">
        <v>4</v>
      </c>
      <c r="Y1510" s="24">
        <v>5</v>
      </c>
      <c r="Z1510" s="20">
        <f t="shared" si="51"/>
        <v>17</v>
      </c>
    </row>
    <row r="1511" spans="1:26" x14ac:dyDescent="0.2">
      <c r="A1511" s="21"/>
      <c r="B1511" s="20"/>
      <c r="C1511" s="22"/>
      <c r="D1511" s="22"/>
      <c r="E1511" s="24"/>
      <c r="F1511" s="22"/>
      <c r="H1511" s="21">
        <v>45967</v>
      </c>
      <c r="I1511" s="22" t="s">
        <v>70</v>
      </c>
      <c r="J1511" s="22" t="s">
        <v>52</v>
      </c>
      <c r="K1511" s="24">
        <v>3</v>
      </c>
      <c r="M1511" s="21">
        <v>46013</v>
      </c>
      <c r="N1511" s="22" t="s">
        <v>70</v>
      </c>
      <c r="O1511" s="22" t="s">
        <v>54</v>
      </c>
      <c r="P1511" s="49">
        <v>83.3</v>
      </c>
      <c r="Q1511" s="49">
        <v>83.4</v>
      </c>
      <c r="R1511" s="46">
        <f t="shared" si="50"/>
        <v>-0.10000000000000853</v>
      </c>
      <c r="T1511" s="21">
        <v>45994</v>
      </c>
      <c r="U1511" s="22" t="s">
        <v>52</v>
      </c>
      <c r="V1511" s="24">
        <v>4</v>
      </c>
      <c r="W1511" s="24">
        <v>4</v>
      </c>
      <c r="X1511" s="24">
        <v>4</v>
      </c>
      <c r="Y1511" s="24">
        <v>4</v>
      </c>
      <c r="Z1511" s="20">
        <f t="shared" si="51"/>
        <v>16</v>
      </c>
    </row>
    <row r="1512" spans="1:26" x14ac:dyDescent="0.2">
      <c r="A1512" s="21"/>
      <c r="B1512" s="20"/>
      <c r="C1512" s="22"/>
      <c r="D1512" s="22"/>
      <c r="E1512" s="24"/>
      <c r="F1512" s="22"/>
      <c r="H1512" s="21">
        <v>45967</v>
      </c>
      <c r="I1512" s="22" t="s">
        <v>70</v>
      </c>
      <c r="J1512" s="22" t="s">
        <v>53</v>
      </c>
      <c r="K1512" s="24">
        <v>3</v>
      </c>
      <c r="M1512" s="21">
        <v>46013</v>
      </c>
      <c r="N1512" s="22" t="s">
        <v>70</v>
      </c>
      <c r="O1512" s="22" t="s">
        <v>56</v>
      </c>
      <c r="P1512" s="49">
        <v>75.2</v>
      </c>
      <c r="Q1512" s="49">
        <v>75</v>
      </c>
      <c r="R1512" s="46">
        <f t="shared" si="50"/>
        <v>0.20000000000000284</v>
      </c>
      <c r="T1512" s="21">
        <v>45994</v>
      </c>
      <c r="U1512" s="22" t="s">
        <v>53</v>
      </c>
      <c r="V1512" s="24">
        <v>4</v>
      </c>
      <c r="W1512" s="24">
        <v>4</v>
      </c>
      <c r="X1512" s="24">
        <v>4</v>
      </c>
      <c r="Y1512" s="24">
        <v>4</v>
      </c>
      <c r="Z1512" s="20">
        <f t="shared" si="51"/>
        <v>16</v>
      </c>
    </row>
    <row r="1513" spans="1:26" x14ac:dyDescent="0.2">
      <c r="A1513" s="21"/>
      <c r="B1513" s="20"/>
      <c r="C1513" s="22"/>
      <c r="D1513" s="22"/>
      <c r="E1513" s="24"/>
      <c r="F1513" s="22"/>
      <c r="H1513" s="21">
        <v>45967</v>
      </c>
      <c r="I1513" s="22" t="s">
        <v>70</v>
      </c>
      <c r="J1513" s="22" t="s">
        <v>44</v>
      </c>
      <c r="K1513" s="24">
        <v>4</v>
      </c>
      <c r="M1513" s="21">
        <v>46013</v>
      </c>
      <c r="N1513" s="22" t="s">
        <v>70</v>
      </c>
      <c r="O1513" s="22" t="s">
        <v>57</v>
      </c>
      <c r="P1513" s="49">
        <v>91</v>
      </c>
      <c r="Q1513" s="49">
        <v>89.9</v>
      </c>
      <c r="R1513" s="46">
        <f t="shared" si="50"/>
        <v>1.0999999999999943</v>
      </c>
      <c r="T1513" s="21">
        <v>45994</v>
      </c>
      <c r="U1513" s="22" t="s">
        <v>56</v>
      </c>
      <c r="V1513" s="24">
        <v>4</v>
      </c>
      <c r="W1513" s="24">
        <v>3</v>
      </c>
      <c r="X1513" s="24">
        <v>3</v>
      </c>
      <c r="Y1513" s="24">
        <v>5</v>
      </c>
      <c r="Z1513" s="20">
        <f t="shared" si="51"/>
        <v>15</v>
      </c>
    </row>
    <row r="1514" spans="1:26" x14ac:dyDescent="0.2">
      <c r="A1514" s="21"/>
      <c r="B1514" s="20"/>
      <c r="C1514" s="22"/>
      <c r="D1514" s="22"/>
      <c r="E1514" s="24"/>
      <c r="F1514" s="22"/>
      <c r="H1514" s="21">
        <v>45967</v>
      </c>
      <c r="I1514" s="22" t="s">
        <v>70</v>
      </c>
      <c r="J1514" s="22" t="s">
        <v>45</v>
      </c>
      <c r="K1514" s="24">
        <v>3</v>
      </c>
      <c r="M1514" s="21">
        <v>46013</v>
      </c>
      <c r="N1514" s="22" t="s">
        <v>70</v>
      </c>
      <c r="O1514" s="22" t="s">
        <v>58</v>
      </c>
      <c r="P1514" s="49">
        <v>74.8</v>
      </c>
      <c r="Q1514" s="49">
        <v>75</v>
      </c>
      <c r="R1514" s="46">
        <f t="shared" si="50"/>
        <v>-0.20000000000000284</v>
      </c>
      <c r="T1514" s="21">
        <v>45994</v>
      </c>
      <c r="U1514" s="22" t="s">
        <v>57</v>
      </c>
      <c r="V1514" s="24">
        <v>4</v>
      </c>
      <c r="W1514" s="24">
        <v>4</v>
      </c>
      <c r="X1514" s="24">
        <v>4</v>
      </c>
      <c r="Y1514" s="24">
        <v>4</v>
      </c>
      <c r="Z1514" s="20">
        <f t="shared" si="51"/>
        <v>16</v>
      </c>
    </row>
    <row r="1515" spans="1:26" x14ac:dyDescent="0.2">
      <c r="A1515" s="21"/>
      <c r="B1515" s="20"/>
      <c r="C1515" s="22"/>
      <c r="D1515" s="22"/>
      <c r="E1515" s="24"/>
      <c r="F1515" s="22"/>
      <c r="H1515" s="21">
        <v>45967</v>
      </c>
      <c r="I1515" s="22" t="s">
        <v>70</v>
      </c>
      <c r="J1515" s="22" t="s">
        <v>57</v>
      </c>
      <c r="K1515" s="24">
        <v>5</v>
      </c>
      <c r="M1515" s="21">
        <v>46014</v>
      </c>
      <c r="N1515" s="22" t="s">
        <v>70</v>
      </c>
      <c r="O1515" s="22" t="s">
        <v>41</v>
      </c>
      <c r="P1515" s="49">
        <v>77</v>
      </c>
      <c r="Q1515" s="49">
        <v>76.400000000000006</v>
      </c>
      <c r="R1515" s="46">
        <f t="shared" si="50"/>
        <v>0.59999999999999432</v>
      </c>
      <c r="T1515" s="21">
        <v>45994</v>
      </c>
      <c r="U1515" s="22" t="s">
        <v>58</v>
      </c>
      <c r="V1515" s="24">
        <v>3</v>
      </c>
      <c r="W1515" s="24">
        <v>5</v>
      </c>
      <c r="X1515" s="24">
        <v>4</v>
      </c>
      <c r="Y1515" s="24">
        <v>4</v>
      </c>
      <c r="Z1515" s="20">
        <f t="shared" si="51"/>
        <v>16</v>
      </c>
    </row>
    <row r="1516" spans="1:26" x14ac:dyDescent="0.2">
      <c r="A1516" s="21"/>
      <c r="B1516" s="20"/>
      <c r="C1516" s="22"/>
      <c r="D1516" s="22"/>
      <c r="E1516" s="24"/>
      <c r="F1516" s="22"/>
      <c r="H1516" s="21">
        <v>45967</v>
      </c>
      <c r="I1516" s="22" t="s">
        <v>70</v>
      </c>
      <c r="J1516" s="22" t="s">
        <v>42</v>
      </c>
      <c r="K1516" s="24">
        <v>1</v>
      </c>
      <c r="M1516" s="21">
        <v>46014</v>
      </c>
      <c r="N1516" s="22" t="s">
        <v>71</v>
      </c>
      <c r="O1516" s="22" t="s">
        <v>41</v>
      </c>
      <c r="P1516" s="49">
        <v>77.7</v>
      </c>
      <c r="Q1516" s="49">
        <v>77</v>
      </c>
      <c r="R1516" s="46">
        <f t="shared" si="50"/>
        <v>0.70000000000000284</v>
      </c>
      <c r="T1516" s="21">
        <v>45994</v>
      </c>
      <c r="U1516" s="22" t="s">
        <v>33</v>
      </c>
      <c r="V1516" s="24">
        <v>3.8</v>
      </c>
      <c r="W1516" s="24">
        <v>3.6666666666666701</v>
      </c>
      <c r="X1516" s="24">
        <v>3.6666666666666701</v>
      </c>
      <c r="Y1516" s="24">
        <v>4.3333333333333304</v>
      </c>
      <c r="Z1516" s="20">
        <f t="shared" si="51"/>
        <v>15.46666666666667</v>
      </c>
    </row>
    <row r="1517" spans="1:26" x14ac:dyDescent="0.2">
      <c r="A1517" s="21"/>
      <c r="B1517" s="20"/>
      <c r="C1517" s="22"/>
      <c r="D1517" s="22"/>
      <c r="E1517" s="24"/>
      <c r="F1517" s="22"/>
      <c r="H1517" s="21">
        <v>45967</v>
      </c>
      <c r="I1517" s="22" t="s">
        <v>70</v>
      </c>
      <c r="J1517" s="22" t="s">
        <v>47</v>
      </c>
      <c r="K1517" s="24">
        <v>1</v>
      </c>
      <c r="M1517" s="21">
        <v>46014</v>
      </c>
      <c r="N1517" s="22" t="s">
        <v>70</v>
      </c>
      <c r="O1517" s="22" t="s">
        <v>42</v>
      </c>
      <c r="P1517" s="49">
        <v>79.400000000000006</v>
      </c>
      <c r="Q1517" s="49">
        <v>79.2</v>
      </c>
      <c r="R1517" s="46">
        <f t="shared" si="50"/>
        <v>0.20000000000000284</v>
      </c>
      <c r="T1517" s="21">
        <v>45995</v>
      </c>
      <c r="U1517" s="22" t="s">
        <v>41</v>
      </c>
      <c r="V1517" s="24">
        <v>1</v>
      </c>
      <c r="W1517" s="24">
        <v>1</v>
      </c>
      <c r="X1517" s="24">
        <v>1</v>
      </c>
      <c r="Y1517" s="24">
        <v>1</v>
      </c>
      <c r="Z1517" s="20">
        <f t="shared" si="51"/>
        <v>4</v>
      </c>
    </row>
    <row r="1518" spans="1:26" x14ac:dyDescent="0.2">
      <c r="A1518" s="21"/>
      <c r="B1518" s="20"/>
      <c r="C1518" s="22"/>
      <c r="D1518" s="22"/>
      <c r="E1518" s="24"/>
      <c r="F1518" s="22"/>
      <c r="H1518" s="21">
        <v>45967</v>
      </c>
      <c r="I1518" s="22" t="s">
        <v>70</v>
      </c>
      <c r="J1518" s="22" t="s">
        <v>41</v>
      </c>
      <c r="K1518" s="24">
        <v>1</v>
      </c>
      <c r="M1518" s="21">
        <v>46014</v>
      </c>
      <c r="N1518" s="22" t="s">
        <v>71</v>
      </c>
      <c r="O1518" s="22" t="s">
        <v>42</v>
      </c>
      <c r="P1518" s="49">
        <v>79</v>
      </c>
      <c r="Q1518" s="49">
        <v>79</v>
      </c>
      <c r="R1518" s="46">
        <f t="shared" si="50"/>
        <v>0</v>
      </c>
      <c r="T1518" s="21">
        <v>45995</v>
      </c>
      <c r="U1518" s="22" t="s">
        <v>42</v>
      </c>
      <c r="V1518" s="24">
        <v>4</v>
      </c>
      <c r="W1518" s="24">
        <v>4</v>
      </c>
      <c r="X1518" s="24">
        <v>4</v>
      </c>
      <c r="Y1518" s="24">
        <v>5</v>
      </c>
      <c r="Z1518" s="20">
        <f t="shared" si="51"/>
        <v>17</v>
      </c>
    </row>
    <row r="1519" spans="1:26" x14ac:dyDescent="0.2">
      <c r="A1519" s="21"/>
      <c r="B1519" s="20"/>
      <c r="C1519" s="22"/>
      <c r="D1519" s="22"/>
      <c r="E1519" s="24"/>
      <c r="F1519" s="22"/>
      <c r="H1519" s="21">
        <v>45967</v>
      </c>
      <c r="I1519" s="22" t="s">
        <v>70</v>
      </c>
      <c r="J1519" s="22" t="s">
        <v>58</v>
      </c>
      <c r="K1519" s="24">
        <v>5</v>
      </c>
      <c r="M1519" s="21">
        <v>46014</v>
      </c>
      <c r="N1519" s="22" t="s">
        <v>70</v>
      </c>
      <c r="O1519" s="22" t="s">
        <v>45</v>
      </c>
      <c r="P1519" s="49">
        <v>69</v>
      </c>
      <c r="Q1519" s="49">
        <v>68.5</v>
      </c>
      <c r="R1519" s="46">
        <f t="shared" si="50"/>
        <v>0.5</v>
      </c>
      <c r="T1519" s="21">
        <v>45995</v>
      </c>
      <c r="U1519" s="22" t="s">
        <v>44</v>
      </c>
      <c r="V1519" s="24">
        <v>5</v>
      </c>
      <c r="W1519" s="24">
        <v>4</v>
      </c>
      <c r="X1519" s="24">
        <v>5</v>
      </c>
      <c r="Y1519" s="24">
        <v>5</v>
      </c>
      <c r="Z1519" s="20">
        <f t="shared" si="51"/>
        <v>19</v>
      </c>
    </row>
    <row r="1520" spans="1:26" x14ac:dyDescent="0.2">
      <c r="A1520" s="21"/>
      <c r="B1520" s="20"/>
      <c r="C1520" s="22"/>
      <c r="D1520" s="22"/>
      <c r="E1520" s="24"/>
      <c r="F1520" s="22"/>
      <c r="H1520" s="21">
        <v>45967</v>
      </c>
      <c r="I1520" s="22" t="s">
        <v>70</v>
      </c>
      <c r="J1520" s="22" t="s">
        <v>49</v>
      </c>
      <c r="K1520" s="24">
        <v>4</v>
      </c>
      <c r="M1520" s="21">
        <v>46014</v>
      </c>
      <c r="N1520" s="22" t="s">
        <v>71</v>
      </c>
      <c r="O1520" s="22" t="s">
        <v>45</v>
      </c>
      <c r="P1520" s="49">
        <v>69.3</v>
      </c>
      <c r="Q1520" s="49">
        <v>68.7</v>
      </c>
      <c r="R1520" s="46">
        <f t="shared" si="50"/>
        <v>0.59999999999999432</v>
      </c>
      <c r="T1520" s="21">
        <v>45995</v>
      </c>
      <c r="U1520" s="22" t="s">
        <v>45</v>
      </c>
      <c r="V1520" s="24">
        <v>4</v>
      </c>
      <c r="W1520" s="24">
        <v>3</v>
      </c>
      <c r="X1520" s="24">
        <v>4</v>
      </c>
      <c r="Y1520" s="24">
        <v>5</v>
      </c>
      <c r="Z1520" s="20">
        <f t="shared" si="51"/>
        <v>16</v>
      </c>
    </row>
    <row r="1521" spans="1:26" x14ac:dyDescent="0.2">
      <c r="A1521" s="21"/>
      <c r="B1521" s="20"/>
      <c r="C1521" s="22"/>
      <c r="D1521" s="22"/>
      <c r="E1521" s="24"/>
      <c r="F1521" s="22"/>
      <c r="H1521" s="21">
        <v>45967</v>
      </c>
      <c r="I1521" s="22" t="s">
        <v>70</v>
      </c>
      <c r="J1521" s="22" t="s">
        <v>50</v>
      </c>
      <c r="K1521" s="24" t="s">
        <v>61</v>
      </c>
      <c r="M1521" s="21">
        <v>46014</v>
      </c>
      <c r="N1521" s="22" t="s">
        <v>70</v>
      </c>
      <c r="O1521" s="22" t="s">
        <v>46</v>
      </c>
      <c r="P1521" s="49">
        <v>79.5</v>
      </c>
      <c r="Q1521" s="49">
        <v>79</v>
      </c>
      <c r="R1521" s="46">
        <f t="shared" si="50"/>
        <v>0.5</v>
      </c>
      <c r="T1521" s="21">
        <v>45995</v>
      </c>
      <c r="U1521" s="22" t="s">
        <v>46</v>
      </c>
      <c r="V1521" s="24">
        <v>5</v>
      </c>
      <c r="W1521" s="24">
        <v>4</v>
      </c>
      <c r="X1521" s="24">
        <v>4</v>
      </c>
      <c r="Y1521" s="24">
        <v>5</v>
      </c>
      <c r="Z1521" s="20">
        <f t="shared" si="51"/>
        <v>18</v>
      </c>
    </row>
    <row r="1522" spans="1:26" x14ac:dyDescent="0.2">
      <c r="A1522" s="21"/>
      <c r="B1522" s="20"/>
      <c r="C1522" s="22"/>
      <c r="D1522" s="22"/>
      <c r="E1522" s="24"/>
      <c r="F1522" s="22"/>
      <c r="H1522" s="21">
        <v>45967</v>
      </c>
      <c r="I1522" s="22" t="s">
        <v>70</v>
      </c>
      <c r="J1522" s="22" t="s">
        <v>51</v>
      </c>
      <c r="K1522" s="24">
        <v>3</v>
      </c>
      <c r="M1522" s="21">
        <v>46014</v>
      </c>
      <c r="N1522" s="22" t="s">
        <v>71</v>
      </c>
      <c r="O1522" s="22" t="s">
        <v>46</v>
      </c>
      <c r="P1522" s="49">
        <v>80</v>
      </c>
      <c r="Q1522" s="49">
        <v>80</v>
      </c>
      <c r="R1522" s="46">
        <f t="shared" si="50"/>
        <v>0</v>
      </c>
      <c r="T1522" s="21">
        <v>45995</v>
      </c>
      <c r="U1522" s="22" t="s">
        <v>47</v>
      </c>
      <c r="V1522" s="24">
        <v>3</v>
      </c>
      <c r="W1522" s="24">
        <v>4</v>
      </c>
      <c r="X1522" s="24">
        <v>3</v>
      </c>
      <c r="Y1522" s="24">
        <v>5</v>
      </c>
      <c r="Z1522" s="20">
        <f t="shared" si="51"/>
        <v>15</v>
      </c>
    </row>
    <row r="1523" spans="1:26" x14ac:dyDescent="0.2">
      <c r="A1523" s="21"/>
      <c r="B1523" s="20"/>
      <c r="C1523" s="22"/>
      <c r="D1523" s="22"/>
      <c r="E1523" s="24"/>
      <c r="F1523" s="22"/>
      <c r="H1523" s="21">
        <v>45967</v>
      </c>
      <c r="I1523" s="22" t="s">
        <v>70</v>
      </c>
      <c r="J1523" s="22" t="s">
        <v>46</v>
      </c>
      <c r="K1523" s="24" t="s">
        <v>61</v>
      </c>
      <c r="M1523" s="21">
        <v>46014</v>
      </c>
      <c r="N1523" s="22" t="s">
        <v>70</v>
      </c>
      <c r="O1523" s="22" t="s">
        <v>47</v>
      </c>
      <c r="P1523" s="49">
        <v>71</v>
      </c>
      <c r="Q1523" s="49">
        <v>71.5</v>
      </c>
      <c r="R1523" s="46">
        <f t="shared" si="50"/>
        <v>-0.5</v>
      </c>
      <c r="T1523" s="21">
        <v>45995</v>
      </c>
      <c r="U1523" s="22" t="s">
        <v>48</v>
      </c>
      <c r="V1523" s="24">
        <v>5</v>
      </c>
      <c r="W1523" s="24">
        <v>4</v>
      </c>
      <c r="X1523" s="24">
        <v>4</v>
      </c>
      <c r="Y1523" s="24">
        <v>5</v>
      </c>
      <c r="Z1523" s="20">
        <f t="shared" si="51"/>
        <v>18</v>
      </c>
    </row>
    <row r="1524" spans="1:26" x14ac:dyDescent="0.2">
      <c r="A1524" s="21"/>
      <c r="B1524" s="20"/>
      <c r="C1524" s="22"/>
      <c r="D1524" s="22"/>
      <c r="E1524" s="24"/>
      <c r="F1524" s="22"/>
      <c r="H1524" s="21">
        <v>45967</v>
      </c>
      <c r="I1524" s="22" t="s">
        <v>70</v>
      </c>
      <c r="J1524" s="22" t="s">
        <v>48</v>
      </c>
      <c r="K1524" s="24">
        <v>1</v>
      </c>
      <c r="M1524" s="21">
        <v>46014</v>
      </c>
      <c r="N1524" s="22" t="s">
        <v>71</v>
      </c>
      <c r="O1524" s="22" t="s">
        <v>47</v>
      </c>
      <c r="P1524" s="49">
        <v>71</v>
      </c>
      <c r="Q1524" s="49">
        <v>71</v>
      </c>
      <c r="R1524" s="46">
        <f t="shared" si="50"/>
        <v>0</v>
      </c>
      <c r="T1524" s="21">
        <v>45995</v>
      </c>
      <c r="U1524" s="22" t="s">
        <v>49</v>
      </c>
      <c r="V1524" s="24">
        <v>4</v>
      </c>
      <c r="W1524" s="24">
        <v>4</v>
      </c>
      <c r="X1524" s="24">
        <v>4</v>
      </c>
      <c r="Y1524" s="24">
        <v>4</v>
      </c>
      <c r="Z1524" s="20">
        <f t="shared" si="51"/>
        <v>16</v>
      </c>
    </row>
    <row r="1525" spans="1:26" x14ac:dyDescent="0.2">
      <c r="A1525" s="21"/>
      <c r="B1525" s="20"/>
      <c r="C1525" s="22"/>
      <c r="D1525" s="22"/>
      <c r="E1525" s="24"/>
      <c r="F1525" s="22"/>
      <c r="H1525" s="21">
        <v>45967</v>
      </c>
      <c r="I1525" s="22" t="s">
        <v>70</v>
      </c>
      <c r="J1525" s="22" t="s">
        <v>56</v>
      </c>
      <c r="K1525" s="24">
        <v>5</v>
      </c>
      <c r="M1525" s="21">
        <v>46014</v>
      </c>
      <c r="N1525" s="22" t="s">
        <v>70</v>
      </c>
      <c r="O1525" s="22" t="s">
        <v>48</v>
      </c>
      <c r="P1525" s="49">
        <v>81.3</v>
      </c>
      <c r="Q1525" s="49">
        <v>80.2</v>
      </c>
      <c r="R1525" s="46">
        <f t="shared" si="50"/>
        <v>1.0999999999999943</v>
      </c>
      <c r="T1525" s="21">
        <v>45995</v>
      </c>
      <c r="U1525" s="22" t="s">
        <v>50</v>
      </c>
      <c r="V1525" s="24">
        <v>3</v>
      </c>
      <c r="W1525" s="24">
        <v>4</v>
      </c>
      <c r="X1525" s="24">
        <v>4</v>
      </c>
      <c r="Y1525" s="24">
        <v>4</v>
      </c>
      <c r="Z1525" s="20">
        <f t="shared" si="51"/>
        <v>15</v>
      </c>
    </row>
    <row r="1526" spans="1:26" x14ac:dyDescent="0.2">
      <c r="A1526" s="21"/>
      <c r="B1526" s="20"/>
      <c r="C1526" s="22"/>
      <c r="D1526" s="22"/>
      <c r="E1526" s="24"/>
      <c r="F1526" s="22"/>
      <c r="H1526" s="21">
        <v>45967</v>
      </c>
      <c r="I1526" s="22" t="s">
        <v>70</v>
      </c>
      <c r="J1526" s="22" t="s">
        <v>55</v>
      </c>
      <c r="K1526" s="24">
        <v>7</v>
      </c>
      <c r="M1526" s="21">
        <v>46014</v>
      </c>
      <c r="N1526" s="22" t="s">
        <v>70</v>
      </c>
      <c r="O1526" s="22" t="s">
        <v>50</v>
      </c>
      <c r="P1526" s="49">
        <v>67.7</v>
      </c>
      <c r="Q1526" s="49">
        <v>66.5</v>
      </c>
      <c r="R1526" s="46">
        <f t="shared" si="50"/>
        <v>1.2000000000000028</v>
      </c>
      <c r="T1526" s="21">
        <v>45995</v>
      </c>
      <c r="U1526" s="22" t="s">
        <v>51</v>
      </c>
      <c r="V1526" s="24">
        <v>4</v>
      </c>
      <c r="W1526" s="24">
        <v>4</v>
      </c>
      <c r="X1526" s="24">
        <v>4</v>
      </c>
      <c r="Y1526" s="24">
        <v>5</v>
      </c>
      <c r="Z1526" s="20">
        <f t="shared" si="51"/>
        <v>17</v>
      </c>
    </row>
    <row r="1527" spans="1:26" x14ac:dyDescent="0.2">
      <c r="A1527" s="21"/>
      <c r="B1527" s="20"/>
      <c r="C1527" s="22"/>
      <c r="D1527" s="22"/>
      <c r="E1527" s="24"/>
      <c r="F1527" s="22"/>
      <c r="H1527" s="21">
        <v>45968</v>
      </c>
      <c r="I1527" s="22" t="s">
        <v>70</v>
      </c>
      <c r="J1527" s="22" t="s">
        <v>52</v>
      </c>
      <c r="K1527" s="24">
        <v>2</v>
      </c>
      <c r="M1527" s="21">
        <v>46014</v>
      </c>
      <c r="N1527" s="22" t="s">
        <v>71</v>
      </c>
      <c r="O1527" s="22" t="s">
        <v>50</v>
      </c>
      <c r="P1527" s="49">
        <v>67.2</v>
      </c>
      <c r="Q1527" s="49">
        <v>66.7</v>
      </c>
      <c r="R1527" s="46">
        <f t="shared" si="50"/>
        <v>0.5</v>
      </c>
      <c r="T1527" s="21">
        <v>45995</v>
      </c>
      <c r="U1527" s="22" t="s">
        <v>52</v>
      </c>
      <c r="V1527" s="24">
        <v>4</v>
      </c>
      <c r="W1527" s="24">
        <v>4</v>
      </c>
      <c r="X1527" s="24">
        <v>4</v>
      </c>
      <c r="Y1527" s="24">
        <v>4</v>
      </c>
      <c r="Z1527" s="20">
        <f t="shared" si="51"/>
        <v>16</v>
      </c>
    </row>
    <row r="1528" spans="1:26" x14ac:dyDescent="0.2">
      <c r="A1528" s="21"/>
      <c r="B1528" s="20"/>
      <c r="C1528" s="22"/>
      <c r="D1528" s="22"/>
      <c r="E1528" s="24"/>
      <c r="F1528" s="22"/>
      <c r="H1528" s="21">
        <v>45968</v>
      </c>
      <c r="I1528" s="22" t="s">
        <v>70</v>
      </c>
      <c r="J1528" s="22" t="s">
        <v>53</v>
      </c>
      <c r="K1528" s="24">
        <v>2</v>
      </c>
      <c r="M1528" s="21">
        <v>46014</v>
      </c>
      <c r="N1528" s="22" t="s">
        <v>70</v>
      </c>
      <c r="O1528" s="22" t="s">
        <v>51</v>
      </c>
      <c r="P1528" s="49">
        <v>74.900000000000006</v>
      </c>
      <c r="Q1528" s="49">
        <v>75</v>
      </c>
      <c r="R1528" s="46">
        <f t="shared" si="50"/>
        <v>-9.9999999999994316E-2</v>
      </c>
      <c r="T1528" s="21">
        <v>45995</v>
      </c>
      <c r="U1528" s="22" t="s">
        <v>53</v>
      </c>
      <c r="V1528" s="24">
        <v>4</v>
      </c>
      <c r="W1528" s="24">
        <v>4</v>
      </c>
      <c r="X1528" s="24">
        <v>4</v>
      </c>
      <c r="Y1528" s="24">
        <v>4</v>
      </c>
      <c r="Z1528" s="20">
        <f t="shared" si="51"/>
        <v>16</v>
      </c>
    </row>
    <row r="1529" spans="1:26" x14ac:dyDescent="0.2">
      <c r="A1529" s="21"/>
      <c r="B1529" s="20"/>
      <c r="C1529" s="22"/>
      <c r="D1529" s="22"/>
      <c r="E1529" s="24"/>
      <c r="F1529" s="22"/>
      <c r="H1529" s="21">
        <v>45968</v>
      </c>
      <c r="I1529" s="22" t="s">
        <v>70</v>
      </c>
      <c r="J1529" s="22" t="s">
        <v>44</v>
      </c>
      <c r="K1529" s="24">
        <v>2</v>
      </c>
      <c r="M1529" s="21">
        <v>46014</v>
      </c>
      <c r="N1529" s="22" t="s">
        <v>71</v>
      </c>
      <c r="O1529" s="22" t="s">
        <v>51</v>
      </c>
      <c r="P1529" s="49">
        <v>75</v>
      </c>
      <c r="Q1529" s="49">
        <v>75.099999999999994</v>
      </c>
      <c r="R1529" s="46">
        <f t="shared" si="50"/>
        <v>-9.9999999999994316E-2</v>
      </c>
      <c r="T1529" s="21">
        <v>45995</v>
      </c>
      <c r="U1529" s="22" t="s">
        <v>56</v>
      </c>
      <c r="V1529" s="24">
        <v>4</v>
      </c>
      <c r="W1529" s="24">
        <v>3</v>
      </c>
      <c r="X1529" s="24">
        <v>4</v>
      </c>
      <c r="Y1529" s="24">
        <v>5</v>
      </c>
      <c r="Z1529" s="20">
        <f t="shared" si="51"/>
        <v>16</v>
      </c>
    </row>
    <row r="1530" spans="1:26" x14ac:dyDescent="0.2">
      <c r="A1530" s="21"/>
      <c r="B1530" s="20"/>
      <c r="C1530" s="22"/>
      <c r="D1530" s="22"/>
      <c r="E1530" s="24"/>
      <c r="F1530" s="22"/>
      <c r="H1530" s="21">
        <v>45968</v>
      </c>
      <c r="I1530" s="22" t="s">
        <v>70</v>
      </c>
      <c r="J1530" s="22" t="s">
        <v>45</v>
      </c>
      <c r="K1530" s="24">
        <v>2</v>
      </c>
      <c r="M1530" s="21">
        <v>46014</v>
      </c>
      <c r="N1530" s="22" t="s">
        <v>70</v>
      </c>
      <c r="O1530" s="22" t="s">
        <v>52</v>
      </c>
      <c r="P1530" s="49">
        <v>72</v>
      </c>
      <c r="Q1530" s="49">
        <v>71.3</v>
      </c>
      <c r="R1530" s="46">
        <f t="shared" si="50"/>
        <v>0.70000000000000284</v>
      </c>
      <c r="T1530" s="21">
        <v>45995</v>
      </c>
      <c r="U1530" s="22" t="s">
        <v>57</v>
      </c>
      <c r="V1530" s="24">
        <v>5</v>
      </c>
      <c r="W1530" s="24">
        <v>3</v>
      </c>
      <c r="X1530" s="24">
        <v>4</v>
      </c>
      <c r="Y1530" s="24">
        <v>4</v>
      </c>
      <c r="Z1530" s="20">
        <f t="shared" si="51"/>
        <v>16</v>
      </c>
    </row>
    <row r="1531" spans="1:26" x14ac:dyDescent="0.2">
      <c r="A1531" s="21"/>
      <c r="B1531" s="20"/>
      <c r="C1531" s="22"/>
      <c r="D1531" s="22"/>
      <c r="E1531" s="24"/>
      <c r="F1531" s="22"/>
      <c r="H1531" s="21">
        <v>45968</v>
      </c>
      <c r="I1531" s="22" t="s">
        <v>70</v>
      </c>
      <c r="J1531" s="22" t="s">
        <v>57</v>
      </c>
      <c r="K1531" s="24">
        <v>2</v>
      </c>
      <c r="M1531" s="21">
        <v>46014</v>
      </c>
      <c r="N1531" s="22" t="s">
        <v>71</v>
      </c>
      <c r="O1531" s="22" t="s">
        <v>52</v>
      </c>
      <c r="P1531" s="49">
        <v>71.5</v>
      </c>
      <c r="Q1531" s="49">
        <v>71.5</v>
      </c>
      <c r="R1531" s="46">
        <f t="shared" si="50"/>
        <v>0</v>
      </c>
      <c r="T1531" s="21">
        <v>45995</v>
      </c>
      <c r="U1531" s="22" t="s">
        <v>33</v>
      </c>
      <c r="V1531" s="24">
        <v>3.9285714285714302</v>
      </c>
      <c r="W1531" s="24">
        <v>3.5714285714285698</v>
      </c>
      <c r="X1531" s="24">
        <v>3.78571428571429</v>
      </c>
      <c r="Y1531" s="24">
        <v>4.3571428571428603</v>
      </c>
      <c r="Z1531" s="20">
        <f t="shared" si="51"/>
        <v>15.642857142857149</v>
      </c>
    </row>
    <row r="1532" spans="1:26" x14ac:dyDescent="0.2">
      <c r="A1532" s="21"/>
      <c r="B1532" s="20"/>
      <c r="C1532" s="22"/>
      <c r="D1532" s="22"/>
      <c r="E1532" s="24"/>
      <c r="F1532" s="22"/>
      <c r="H1532" s="21">
        <v>45968</v>
      </c>
      <c r="I1532" s="22" t="s">
        <v>70</v>
      </c>
      <c r="J1532" s="22" t="s">
        <v>42</v>
      </c>
      <c r="K1532" s="24">
        <v>2</v>
      </c>
      <c r="M1532" s="21">
        <v>46014</v>
      </c>
      <c r="N1532" s="22" t="s">
        <v>70</v>
      </c>
      <c r="O1532" s="22" t="s">
        <v>53</v>
      </c>
      <c r="P1532" s="49">
        <v>67.7</v>
      </c>
      <c r="Q1532" s="49">
        <v>67.5</v>
      </c>
      <c r="R1532" s="46">
        <f t="shared" si="50"/>
        <v>0.20000000000000284</v>
      </c>
      <c r="T1532" s="21">
        <v>45996</v>
      </c>
      <c r="U1532" s="22" t="s">
        <v>41</v>
      </c>
      <c r="V1532" s="24">
        <v>1</v>
      </c>
      <c r="W1532" s="24">
        <v>1</v>
      </c>
      <c r="X1532" s="24">
        <v>1</v>
      </c>
      <c r="Y1532" s="24">
        <v>1</v>
      </c>
      <c r="Z1532" s="20">
        <f t="shared" si="51"/>
        <v>4</v>
      </c>
    </row>
    <row r="1533" spans="1:26" x14ac:dyDescent="0.2">
      <c r="A1533" s="21"/>
      <c r="B1533" s="20"/>
      <c r="C1533" s="22"/>
      <c r="D1533" s="22"/>
      <c r="E1533" s="24"/>
      <c r="F1533" s="22"/>
      <c r="H1533" s="21">
        <v>45968</v>
      </c>
      <c r="I1533" s="22" t="s">
        <v>70</v>
      </c>
      <c r="J1533" s="22" t="s">
        <v>47</v>
      </c>
      <c r="K1533" s="24">
        <v>2</v>
      </c>
      <c r="M1533" s="21">
        <v>46014</v>
      </c>
      <c r="N1533" s="22" t="s">
        <v>71</v>
      </c>
      <c r="O1533" s="22" t="s">
        <v>53</v>
      </c>
      <c r="P1533" s="49">
        <v>68</v>
      </c>
      <c r="Q1533" s="49">
        <v>67.5</v>
      </c>
      <c r="R1533" s="46">
        <f t="shared" si="50"/>
        <v>0.5</v>
      </c>
      <c r="T1533" s="21">
        <v>45996</v>
      </c>
      <c r="U1533" s="22" t="s">
        <v>42</v>
      </c>
      <c r="V1533" s="24">
        <v>4</v>
      </c>
      <c r="W1533" s="24">
        <v>4</v>
      </c>
      <c r="X1533" s="24">
        <v>4</v>
      </c>
      <c r="Y1533" s="24">
        <v>5</v>
      </c>
      <c r="Z1533" s="20">
        <f t="shared" si="51"/>
        <v>17</v>
      </c>
    </row>
    <row r="1534" spans="1:26" x14ac:dyDescent="0.2">
      <c r="A1534" s="21"/>
      <c r="B1534" s="20"/>
      <c r="C1534" s="22"/>
      <c r="D1534" s="22"/>
      <c r="E1534" s="24"/>
      <c r="F1534" s="22"/>
      <c r="H1534" s="21">
        <v>45968</v>
      </c>
      <c r="I1534" s="22" t="s">
        <v>70</v>
      </c>
      <c r="J1534" s="22" t="s">
        <v>41</v>
      </c>
      <c r="K1534" s="24">
        <v>2</v>
      </c>
      <c r="M1534" s="21">
        <v>46014</v>
      </c>
      <c r="N1534" s="22" t="s">
        <v>70</v>
      </c>
      <c r="O1534" s="22" t="s">
        <v>54</v>
      </c>
      <c r="P1534" s="49">
        <v>83.4</v>
      </c>
      <c r="Q1534" s="49">
        <v>83.5</v>
      </c>
      <c r="R1534" s="46">
        <f t="shared" si="50"/>
        <v>-9.9999999999994316E-2</v>
      </c>
      <c r="T1534" s="21">
        <v>45996</v>
      </c>
      <c r="U1534" s="22" t="s">
        <v>44</v>
      </c>
      <c r="V1534" s="24">
        <v>5</v>
      </c>
      <c r="W1534" s="24">
        <v>4</v>
      </c>
      <c r="X1534" s="24">
        <v>4</v>
      </c>
      <c r="Y1534" s="24">
        <v>5</v>
      </c>
      <c r="Z1534" s="20">
        <f t="shared" si="51"/>
        <v>18</v>
      </c>
    </row>
    <row r="1535" spans="1:26" x14ac:dyDescent="0.2">
      <c r="A1535" s="21"/>
      <c r="B1535" s="20"/>
      <c r="C1535" s="22"/>
      <c r="D1535" s="22"/>
      <c r="E1535" s="24"/>
      <c r="F1535" s="22"/>
      <c r="H1535" s="21">
        <v>45968</v>
      </c>
      <c r="I1535" s="22" t="s">
        <v>70</v>
      </c>
      <c r="J1535" s="22" t="s">
        <v>58</v>
      </c>
      <c r="K1535" s="24">
        <v>2</v>
      </c>
      <c r="M1535" s="21">
        <v>46014</v>
      </c>
      <c r="N1535" s="22" t="s">
        <v>71</v>
      </c>
      <c r="O1535" s="22" t="s">
        <v>56</v>
      </c>
      <c r="P1535" s="49">
        <v>75</v>
      </c>
      <c r="Q1535" s="49">
        <v>75</v>
      </c>
      <c r="R1535" s="46">
        <f t="shared" si="50"/>
        <v>0</v>
      </c>
      <c r="T1535" s="21">
        <v>45996</v>
      </c>
      <c r="U1535" s="22" t="s">
        <v>45</v>
      </c>
      <c r="V1535" s="24">
        <v>4</v>
      </c>
      <c r="W1535" s="24">
        <v>4</v>
      </c>
      <c r="X1535" s="24">
        <v>4</v>
      </c>
      <c r="Y1535" s="24">
        <v>5</v>
      </c>
      <c r="Z1535" s="20">
        <f t="shared" si="51"/>
        <v>17</v>
      </c>
    </row>
    <row r="1536" spans="1:26" x14ac:dyDescent="0.2">
      <c r="A1536" s="21"/>
      <c r="B1536" s="20"/>
      <c r="C1536" s="22"/>
      <c r="D1536" s="22"/>
      <c r="E1536" s="24"/>
      <c r="F1536" s="22"/>
      <c r="H1536" s="21">
        <v>45968</v>
      </c>
      <c r="I1536" s="22" t="s">
        <v>70</v>
      </c>
      <c r="J1536" s="22" t="s">
        <v>49</v>
      </c>
      <c r="K1536" s="24">
        <v>2</v>
      </c>
      <c r="M1536" s="21">
        <v>46014</v>
      </c>
      <c r="N1536" s="22" t="s">
        <v>70</v>
      </c>
      <c r="O1536" s="22" t="s">
        <v>57</v>
      </c>
      <c r="P1536" s="49">
        <v>91</v>
      </c>
      <c r="Q1536" s="49">
        <v>90.4</v>
      </c>
      <c r="R1536" s="46">
        <f t="shared" si="50"/>
        <v>0.59999999999999432</v>
      </c>
      <c r="T1536" s="21">
        <v>45996</v>
      </c>
      <c r="U1536" s="22" t="s">
        <v>46</v>
      </c>
      <c r="V1536" s="24">
        <v>5</v>
      </c>
      <c r="W1536" s="24">
        <v>4</v>
      </c>
      <c r="X1536" s="24">
        <v>4</v>
      </c>
      <c r="Y1536" s="24">
        <v>4</v>
      </c>
      <c r="Z1536" s="20">
        <f t="shared" si="51"/>
        <v>17</v>
      </c>
    </row>
    <row r="1537" spans="1:26" x14ac:dyDescent="0.2">
      <c r="A1537" s="21"/>
      <c r="B1537" s="20"/>
      <c r="C1537" s="22"/>
      <c r="D1537" s="22"/>
      <c r="E1537" s="24"/>
      <c r="F1537" s="22"/>
      <c r="H1537" s="21">
        <v>45968</v>
      </c>
      <c r="I1537" s="22" t="s">
        <v>70</v>
      </c>
      <c r="J1537" s="22" t="s">
        <v>50</v>
      </c>
      <c r="K1537" s="24" t="s">
        <v>61</v>
      </c>
      <c r="M1537" s="21">
        <v>46014</v>
      </c>
      <c r="N1537" s="22" t="s">
        <v>71</v>
      </c>
      <c r="O1537" s="22" t="s">
        <v>57</v>
      </c>
      <c r="P1537" s="49">
        <v>91.3</v>
      </c>
      <c r="Q1537" s="49">
        <v>90.6</v>
      </c>
      <c r="R1537" s="46">
        <f t="shared" si="50"/>
        <v>0.70000000000000284</v>
      </c>
      <c r="T1537" s="21">
        <v>45996</v>
      </c>
      <c r="U1537" s="22" t="s">
        <v>47</v>
      </c>
      <c r="V1537" s="24">
        <v>5</v>
      </c>
      <c r="W1537" s="24">
        <v>4</v>
      </c>
      <c r="X1537" s="24">
        <v>4</v>
      </c>
      <c r="Y1537" s="24">
        <v>5</v>
      </c>
      <c r="Z1537" s="20">
        <f t="shared" si="51"/>
        <v>18</v>
      </c>
    </row>
    <row r="1538" spans="1:26" x14ac:dyDescent="0.2">
      <c r="A1538" s="21"/>
      <c r="B1538" s="20"/>
      <c r="C1538" s="22"/>
      <c r="D1538" s="22"/>
      <c r="E1538" s="24"/>
      <c r="F1538" s="22"/>
      <c r="H1538" s="21">
        <v>45968</v>
      </c>
      <c r="I1538" s="22" t="s">
        <v>70</v>
      </c>
      <c r="J1538" s="22" t="s">
        <v>51</v>
      </c>
      <c r="K1538" s="24">
        <v>2</v>
      </c>
      <c r="M1538" s="21">
        <v>46014</v>
      </c>
      <c r="N1538" s="22" t="s">
        <v>70</v>
      </c>
      <c r="O1538" s="22" t="s">
        <v>58</v>
      </c>
      <c r="P1538" s="49">
        <v>75.400000000000006</v>
      </c>
      <c r="Q1538" s="49">
        <v>75.2</v>
      </c>
      <c r="R1538" s="46">
        <f t="shared" si="50"/>
        <v>0.20000000000000284</v>
      </c>
      <c r="T1538" s="21">
        <v>45996</v>
      </c>
      <c r="U1538" s="22" t="s">
        <v>48</v>
      </c>
      <c r="V1538" s="24">
        <v>5</v>
      </c>
      <c r="W1538" s="24">
        <v>4</v>
      </c>
      <c r="X1538" s="24">
        <v>4</v>
      </c>
      <c r="Y1538" s="24">
        <v>5</v>
      </c>
      <c r="Z1538" s="20">
        <f t="shared" si="51"/>
        <v>18</v>
      </c>
    </row>
    <row r="1539" spans="1:26" x14ac:dyDescent="0.2">
      <c r="A1539" s="21"/>
      <c r="B1539" s="20"/>
      <c r="C1539" s="22"/>
      <c r="D1539" s="22"/>
      <c r="E1539" s="24"/>
      <c r="F1539" s="22"/>
      <c r="H1539" s="21">
        <v>45968</v>
      </c>
      <c r="I1539" s="22" t="s">
        <v>70</v>
      </c>
      <c r="J1539" s="22" t="s">
        <v>46</v>
      </c>
      <c r="K1539" s="24">
        <v>2</v>
      </c>
      <c r="M1539" s="21">
        <v>46014</v>
      </c>
      <c r="N1539" s="22" t="s">
        <v>71</v>
      </c>
      <c r="O1539" s="22" t="s">
        <v>58</v>
      </c>
      <c r="P1539" s="49">
        <v>75.8</v>
      </c>
      <c r="Q1539" s="49">
        <v>75.5</v>
      </c>
      <c r="R1539" s="46">
        <f t="shared" ref="R1539:R1602" si="52">IFERROR(P1539-Q1539,"")</f>
        <v>0.29999999999999716</v>
      </c>
      <c r="T1539" s="21">
        <v>45996</v>
      </c>
      <c r="U1539" s="22" t="s">
        <v>49</v>
      </c>
      <c r="V1539" s="24">
        <v>4</v>
      </c>
      <c r="W1539" s="24">
        <v>4</v>
      </c>
      <c r="X1539" s="24">
        <v>4</v>
      </c>
      <c r="Y1539" s="24">
        <v>4</v>
      </c>
      <c r="Z1539" s="20">
        <f t="shared" ref="Z1539:Z1602" si="53">SUM(V1539:Y1539)</f>
        <v>16</v>
      </c>
    </row>
    <row r="1540" spans="1:26" x14ac:dyDescent="0.2">
      <c r="A1540" s="21"/>
      <c r="B1540" s="20"/>
      <c r="C1540" s="22"/>
      <c r="D1540" s="22"/>
      <c r="E1540" s="24"/>
      <c r="F1540" s="22"/>
      <c r="H1540" s="21">
        <v>45968</v>
      </c>
      <c r="I1540" s="22" t="s">
        <v>70</v>
      </c>
      <c r="J1540" s="22" t="s">
        <v>48</v>
      </c>
      <c r="K1540" s="24">
        <v>2</v>
      </c>
      <c r="M1540" s="21">
        <v>46017</v>
      </c>
      <c r="N1540" s="22" t="s">
        <v>70</v>
      </c>
      <c r="O1540" s="22" t="s">
        <v>41</v>
      </c>
      <c r="P1540" s="49">
        <v>77</v>
      </c>
      <c r="Q1540" s="49">
        <v>76.7</v>
      </c>
      <c r="R1540" s="46">
        <f t="shared" si="52"/>
        <v>0.29999999999999716</v>
      </c>
      <c r="T1540" s="21">
        <v>45996</v>
      </c>
      <c r="U1540" s="22" t="s">
        <v>50</v>
      </c>
      <c r="V1540" s="24">
        <v>3</v>
      </c>
      <c r="W1540" s="24">
        <v>4</v>
      </c>
      <c r="X1540" s="24">
        <v>4</v>
      </c>
      <c r="Y1540" s="24">
        <v>4</v>
      </c>
      <c r="Z1540" s="20">
        <f t="shared" si="53"/>
        <v>15</v>
      </c>
    </row>
    <row r="1541" spans="1:26" x14ac:dyDescent="0.2">
      <c r="A1541" s="21"/>
      <c r="B1541" s="20"/>
      <c r="C1541" s="22"/>
      <c r="D1541" s="22"/>
      <c r="E1541" s="24"/>
      <c r="F1541" s="22"/>
      <c r="H1541" s="21">
        <v>45968</v>
      </c>
      <c r="I1541" s="22" t="s">
        <v>70</v>
      </c>
      <c r="J1541" s="22" t="s">
        <v>56</v>
      </c>
      <c r="K1541" s="24">
        <v>2</v>
      </c>
      <c r="M1541" s="21">
        <v>46017</v>
      </c>
      <c r="N1541" s="22" t="s">
        <v>70</v>
      </c>
      <c r="O1541" s="22" t="s">
        <v>42</v>
      </c>
      <c r="P1541" s="49">
        <v>79.2</v>
      </c>
      <c r="Q1541" s="49">
        <v>79</v>
      </c>
      <c r="R1541" s="46">
        <f t="shared" si="52"/>
        <v>0.20000000000000284</v>
      </c>
      <c r="T1541" s="21">
        <v>45996</v>
      </c>
      <c r="U1541" s="22" t="s">
        <v>51</v>
      </c>
      <c r="V1541" s="24">
        <v>4</v>
      </c>
      <c r="W1541" s="24">
        <v>4</v>
      </c>
      <c r="X1541" s="24">
        <v>4</v>
      </c>
      <c r="Y1541" s="24">
        <v>5</v>
      </c>
      <c r="Z1541" s="20">
        <f t="shared" si="53"/>
        <v>17</v>
      </c>
    </row>
    <row r="1542" spans="1:26" x14ac:dyDescent="0.2">
      <c r="A1542" s="21"/>
      <c r="B1542" s="20"/>
      <c r="C1542" s="22"/>
      <c r="D1542" s="22"/>
      <c r="E1542" s="24"/>
      <c r="F1542" s="22"/>
      <c r="H1542" s="21">
        <v>45968</v>
      </c>
      <c r="I1542" s="22" t="s">
        <v>70</v>
      </c>
      <c r="J1542" s="22" t="s">
        <v>55</v>
      </c>
      <c r="K1542" s="24">
        <v>2</v>
      </c>
      <c r="M1542" s="21">
        <v>46017</v>
      </c>
      <c r="N1542" s="22" t="s">
        <v>70</v>
      </c>
      <c r="O1542" s="22" t="s">
        <v>44</v>
      </c>
      <c r="P1542" s="49">
        <v>68</v>
      </c>
      <c r="Q1542" s="49">
        <v>67.5</v>
      </c>
      <c r="R1542" s="46">
        <f t="shared" si="52"/>
        <v>0.5</v>
      </c>
      <c r="T1542" s="21">
        <v>45996</v>
      </c>
      <c r="U1542" s="22" t="s">
        <v>52</v>
      </c>
      <c r="V1542" s="24">
        <v>4</v>
      </c>
      <c r="W1542" s="24">
        <v>4</v>
      </c>
      <c r="X1542" s="24">
        <v>4</v>
      </c>
      <c r="Y1542" s="24">
        <v>4</v>
      </c>
      <c r="Z1542" s="20">
        <f t="shared" si="53"/>
        <v>16</v>
      </c>
    </row>
    <row r="1543" spans="1:26" x14ac:dyDescent="0.2">
      <c r="A1543" s="21"/>
      <c r="B1543" s="20"/>
      <c r="C1543" s="22"/>
      <c r="D1543" s="22"/>
      <c r="E1543" s="24"/>
      <c r="F1543" s="22"/>
      <c r="H1543" s="21">
        <v>45968</v>
      </c>
      <c r="I1543" s="22" t="s">
        <v>71</v>
      </c>
      <c r="J1543" s="22" t="s">
        <v>52</v>
      </c>
      <c r="K1543" s="24">
        <v>8</v>
      </c>
      <c r="M1543" s="21">
        <v>46017</v>
      </c>
      <c r="N1543" s="22" t="s">
        <v>70</v>
      </c>
      <c r="O1543" s="22" t="s">
        <v>45</v>
      </c>
      <c r="P1543" s="49">
        <v>69</v>
      </c>
      <c r="Q1543" s="49">
        <v>68.5</v>
      </c>
      <c r="R1543" s="46">
        <f t="shared" si="52"/>
        <v>0.5</v>
      </c>
      <c r="T1543" s="21">
        <v>45996</v>
      </c>
      <c r="U1543" s="22" t="s">
        <v>53</v>
      </c>
      <c r="V1543" s="24">
        <v>4</v>
      </c>
      <c r="W1543" s="24">
        <v>4</v>
      </c>
      <c r="X1543" s="24">
        <v>4</v>
      </c>
      <c r="Y1543" s="24">
        <v>4</v>
      </c>
      <c r="Z1543" s="20">
        <f t="shared" si="53"/>
        <v>16</v>
      </c>
    </row>
    <row r="1544" spans="1:26" x14ac:dyDescent="0.2">
      <c r="A1544" s="21"/>
      <c r="B1544" s="20"/>
      <c r="C1544" s="22"/>
      <c r="D1544" s="22"/>
      <c r="E1544" s="24"/>
      <c r="F1544" s="22"/>
      <c r="H1544" s="21">
        <v>45968</v>
      </c>
      <c r="I1544" s="22" t="s">
        <v>71</v>
      </c>
      <c r="J1544" s="22" t="s">
        <v>53</v>
      </c>
      <c r="K1544" s="24">
        <v>5</v>
      </c>
      <c r="M1544" s="21">
        <v>46017</v>
      </c>
      <c r="N1544" s="22" t="s">
        <v>70</v>
      </c>
      <c r="O1544" s="22" t="s">
        <v>46</v>
      </c>
      <c r="P1544" s="49">
        <v>79.8</v>
      </c>
      <c r="Q1544" s="49">
        <v>80</v>
      </c>
      <c r="R1544" s="46">
        <f t="shared" si="52"/>
        <v>-0.20000000000000284</v>
      </c>
      <c r="T1544" s="21">
        <v>45996</v>
      </c>
      <c r="U1544" s="22" t="s">
        <v>56</v>
      </c>
      <c r="V1544" s="24">
        <v>5</v>
      </c>
      <c r="W1544" s="24">
        <v>4</v>
      </c>
      <c r="X1544" s="24">
        <v>4</v>
      </c>
      <c r="Y1544" s="24">
        <v>5</v>
      </c>
      <c r="Z1544" s="20">
        <f t="shared" si="53"/>
        <v>18</v>
      </c>
    </row>
    <row r="1545" spans="1:26" x14ac:dyDescent="0.2">
      <c r="A1545" s="21"/>
      <c r="B1545" s="20"/>
      <c r="C1545" s="22"/>
      <c r="D1545" s="22"/>
      <c r="E1545" s="24"/>
      <c r="F1545" s="22"/>
      <c r="H1545" s="21">
        <v>45968</v>
      </c>
      <c r="I1545" s="22" t="s">
        <v>71</v>
      </c>
      <c r="J1545" s="22" t="s">
        <v>44</v>
      </c>
      <c r="K1545" s="24">
        <v>8</v>
      </c>
      <c r="M1545" s="21">
        <v>46017</v>
      </c>
      <c r="N1545" s="22" t="s">
        <v>70</v>
      </c>
      <c r="O1545" s="22" t="s">
        <v>47</v>
      </c>
      <c r="P1545" s="49">
        <v>71</v>
      </c>
      <c r="Q1545" s="49">
        <v>71</v>
      </c>
      <c r="R1545" s="46">
        <f t="shared" si="52"/>
        <v>0</v>
      </c>
      <c r="T1545" s="21">
        <v>45996</v>
      </c>
      <c r="U1545" s="22" t="s">
        <v>57</v>
      </c>
      <c r="V1545" s="24">
        <v>4</v>
      </c>
      <c r="W1545" s="24">
        <v>4</v>
      </c>
      <c r="X1545" s="24">
        <v>4</v>
      </c>
      <c r="Y1545" s="24">
        <v>4</v>
      </c>
      <c r="Z1545" s="20">
        <f t="shared" si="53"/>
        <v>16</v>
      </c>
    </row>
    <row r="1546" spans="1:26" x14ac:dyDescent="0.2">
      <c r="A1546" s="21"/>
      <c r="B1546" s="20"/>
      <c r="C1546" s="22"/>
      <c r="D1546" s="22"/>
      <c r="E1546" s="24"/>
      <c r="F1546" s="22"/>
      <c r="H1546" s="21">
        <v>45968</v>
      </c>
      <c r="I1546" s="22" t="s">
        <v>71</v>
      </c>
      <c r="J1546" s="22" t="s">
        <v>45</v>
      </c>
      <c r="K1546" s="24">
        <v>5</v>
      </c>
      <c r="M1546" s="21">
        <v>46017</v>
      </c>
      <c r="N1546" s="22" t="s">
        <v>70</v>
      </c>
      <c r="O1546" s="22" t="s">
        <v>48</v>
      </c>
      <c r="P1546" s="49">
        <v>81.8</v>
      </c>
      <c r="Q1546" s="49">
        <v>80.7</v>
      </c>
      <c r="R1546" s="46">
        <f t="shared" si="52"/>
        <v>1.0999999999999943</v>
      </c>
      <c r="T1546" s="21">
        <v>45996</v>
      </c>
      <c r="U1546" s="22" t="s">
        <v>58</v>
      </c>
      <c r="V1546" s="24">
        <v>4</v>
      </c>
      <c r="W1546" s="24">
        <v>5</v>
      </c>
      <c r="X1546" s="24">
        <v>3</v>
      </c>
      <c r="Y1546" s="24">
        <v>5</v>
      </c>
      <c r="Z1546" s="20">
        <f t="shared" si="53"/>
        <v>17</v>
      </c>
    </row>
    <row r="1547" spans="1:26" x14ac:dyDescent="0.2">
      <c r="A1547" s="21"/>
      <c r="B1547" s="20"/>
      <c r="C1547" s="22"/>
      <c r="D1547" s="22"/>
      <c r="E1547" s="24"/>
      <c r="F1547" s="22"/>
      <c r="H1547" s="21">
        <v>45968</v>
      </c>
      <c r="I1547" s="22" t="s">
        <v>71</v>
      </c>
      <c r="J1547" s="22" t="s">
        <v>57</v>
      </c>
      <c r="K1547" s="24">
        <v>2</v>
      </c>
      <c r="M1547" s="21">
        <v>46017</v>
      </c>
      <c r="N1547" s="22" t="s">
        <v>70</v>
      </c>
      <c r="O1547" s="22" t="s">
        <v>49</v>
      </c>
      <c r="P1547" s="49">
        <v>79.900000000000006</v>
      </c>
      <c r="Q1547" s="49">
        <v>79.5</v>
      </c>
      <c r="R1547" s="46">
        <f t="shared" si="52"/>
        <v>0.40000000000000568</v>
      </c>
      <c r="T1547" s="21">
        <v>45996</v>
      </c>
      <c r="U1547" s="22" t="s">
        <v>33</v>
      </c>
      <c r="V1547" s="24">
        <v>4.06666666666667</v>
      </c>
      <c r="W1547" s="24">
        <v>3.8666666666666698</v>
      </c>
      <c r="X1547" s="24">
        <v>3.7333333333333298</v>
      </c>
      <c r="Y1547" s="24">
        <v>4.3333333333333304</v>
      </c>
      <c r="Z1547" s="20">
        <f t="shared" si="53"/>
        <v>16</v>
      </c>
    </row>
    <row r="1548" spans="1:26" x14ac:dyDescent="0.2">
      <c r="A1548" s="21"/>
      <c r="B1548" s="20"/>
      <c r="C1548" s="22"/>
      <c r="D1548" s="22"/>
      <c r="E1548" s="24"/>
      <c r="F1548" s="22"/>
      <c r="H1548" s="21">
        <v>45968</v>
      </c>
      <c r="I1548" s="22" t="s">
        <v>71</v>
      </c>
      <c r="J1548" s="22" t="s">
        <v>42</v>
      </c>
      <c r="K1548" s="24" t="s">
        <v>63</v>
      </c>
      <c r="M1548" s="21">
        <v>46017</v>
      </c>
      <c r="N1548" s="22" t="s">
        <v>70</v>
      </c>
      <c r="O1548" s="22" t="s">
        <v>50</v>
      </c>
      <c r="P1548" s="49">
        <v>67.900000000000006</v>
      </c>
      <c r="Q1548" s="49">
        <v>67.400000000000006</v>
      </c>
      <c r="R1548" s="46">
        <f t="shared" si="52"/>
        <v>0.5</v>
      </c>
      <c r="T1548" s="21">
        <v>45997</v>
      </c>
      <c r="U1548" s="22" t="s">
        <v>41</v>
      </c>
      <c r="V1548" s="24">
        <v>1</v>
      </c>
      <c r="W1548" s="24">
        <v>1</v>
      </c>
      <c r="X1548" s="24">
        <v>1</v>
      </c>
      <c r="Y1548" s="24">
        <v>1</v>
      </c>
      <c r="Z1548" s="20">
        <f t="shared" si="53"/>
        <v>4</v>
      </c>
    </row>
    <row r="1549" spans="1:26" x14ac:dyDescent="0.2">
      <c r="A1549" s="21"/>
      <c r="B1549" s="20"/>
      <c r="C1549" s="22"/>
      <c r="D1549" s="22"/>
      <c r="E1549" s="24"/>
      <c r="F1549" s="22"/>
      <c r="H1549" s="21">
        <v>45968</v>
      </c>
      <c r="I1549" s="22" t="s">
        <v>71</v>
      </c>
      <c r="J1549" s="22" t="s">
        <v>47</v>
      </c>
      <c r="K1549" s="24">
        <v>8</v>
      </c>
      <c r="M1549" s="21">
        <v>46017</v>
      </c>
      <c r="N1549" s="22" t="s">
        <v>70</v>
      </c>
      <c r="O1549" s="22" t="s">
        <v>51</v>
      </c>
      <c r="P1549" s="49">
        <v>75.3</v>
      </c>
      <c r="Q1549" s="49">
        <v>75.2</v>
      </c>
      <c r="R1549" s="46">
        <f t="shared" si="52"/>
        <v>9.9999999999994316E-2</v>
      </c>
      <c r="T1549" s="21">
        <v>45997</v>
      </c>
      <c r="U1549" s="22" t="s">
        <v>42</v>
      </c>
      <c r="V1549" s="24">
        <v>4</v>
      </c>
      <c r="W1549" s="24">
        <v>4</v>
      </c>
      <c r="X1549" s="24">
        <v>4</v>
      </c>
      <c r="Y1549" s="24">
        <v>5</v>
      </c>
      <c r="Z1549" s="20">
        <f t="shared" si="53"/>
        <v>17</v>
      </c>
    </row>
    <row r="1550" spans="1:26" x14ac:dyDescent="0.2">
      <c r="A1550" s="21"/>
      <c r="B1550" s="20"/>
      <c r="C1550" s="22"/>
      <c r="D1550" s="22"/>
      <c r="E1550" s="24"/>
      <c r="F1550" s="22"/>
      <c r="H1550" s="21">
        <v>45968</v>
      </c>
      <c r="I1550" s="22" t="s">
        <v>71</v>
      </c>
      <c r="J1550" s="22" t="s">
        <v>41</v>
      </c>
      <c r="K1550" s="24">
        <v>8</v>
      </c>
      <c r="M1550" s="21">
        <v>46017</v>
      </c>
      <c r="N1550" s="22" t="s">
        <v>70</v>
      </c>
      <c r="O1550" s="22" t="s">
        <v>52</v>
      </c>
      <c r="P1550" s="49">
        <v>71.5</v>
      </c>
      <c r="Q1550" s="49">
        <v>71</v>
      </c>
      <c r="R1550" s="46">
        <f t="shared" si="52"/>
        <v>0.5</v>
      </c>
      <c r="T1550" s="21">
        <v>45997</v>
      </c>
      <c r="U1550" s="22" t="s">
        <v>44</v>
      </c>
      <c r="V1550" s="24">
        <v>4</v>
      </c>
      <c r="W1550" s="24">
        <v>4</v>
      </c>
      <c r="X1550" s="24">
        <v>4</v>
      </c>
      <c r="Y1550" s="24">
        <v>5</v>
      </c>
      <c r="Z1550" s="20">
        <f t="shared" si="53"/>
        <v>17</v>
      </c>
    </row>
    <row r="1551" spans="1:26" x14ac:dyDescent="0.2">
      <c r="A1551" s="21"/>
      <c r="B1551" s="20"/>
      <c r="C1551" s="22"/>
      <c r="D1551" s="22"/>
      <c r="E1551" s="24"/>
      <c r="F1551" s="22"/>
      <c r="H1551" s="21">
        <v>45968</v>
      </c>
      <c r="I1551" s="22" t="s">
        <v>71</v>
      </c>
      <c r="J1551" s="22" t="s">
        <v>58</v>
      </c>
      <c r="K1551" s="24" t="s">
        <v>63</v>
      </c>
      <c r="M1551" s="21">
        <v>46017</v>
      </c>
      <c r="N1551" s="22" t="s">
        <v>70</v>
      </c>
      <c r="O1551" s="22" t="s">
        <v>53</v>
      </c>
      <c r="P1551" s="49">
        <v>68</v>
      </c>
      <c r="Q1551" s="49">
        <v>67</v>
      </c>
      <c r="R1551" s="46">
        <f t="shared" si="52"/>
        <v>1</v>
      </c>
      <c r="T1551" s="21">
        <v>45997</v>
      </c>
      <c r="U1551" s="22" t="s">
        <v>45</v>
      </c>
      <c r="V1551" s="24">
        <v>5</v>
      </c>
      <c r="W1551" s="24">
        <v>4</v>
      </c>
      <c r="X1551" s="24">
        <v>4</v>
      </c>
      <c r="Y1551" s="24">
        <v>4</v>
      </c>
      <c r="Z1551" s="20">
        <f t="shared" si="53"/>
        <v>17</v>
      </c>
    </row>
    <row r="1552" spans="1:26" x14ac:dyDescent="0.2">
      <c r="A1552" s="21"/>
      <c r="B1552" s="20"/>
      <c r="C1552" s="22"/>
      <c r="D1552" s="22"/>
      <c r="E1552" s="24"/>
      <c r="F1552" s="22"/>
      <c r="H1552" s="21">
        <v>45968</v>
      </c>
      <c r="I1552" s="22" t="s">
        <v>71</v>
      </c>
      <c r="J1552" s="22" t="s">
        <v>49</v>
      </c>
      <c r="K1552" s="24">
        <v>8</v>
      </c>
      <c r="M1552" s="21">
        <v>46017</v>
      </c>
      <c r="N1552" s="22" t="s">
        <v>70</v>
      </c>
      <c r="O1552" s="22" t="s">
        <v>54</v>
      </c>
      <c r="P1552" s="49">
        <v>83.4</v>
      </c>
      <c r="Q1552" s="49">
        <v>83.4</v>
      </c>
      <c r="R1552" s="46">
        <f t="shared" si="52"/>
        <v>0</v>
      </c>
      <c r="T1552" s="21">
        <v>45997</v>
      </c>
      <c r="U1552" s="22" t="s">
        <v>46</v>
      </c>
      <c r="V1552" s="24">
        <v>5</v>
      </c>
      <c r="W1552" s="24">
        <v>4</v>
      </c>
      <c r="X1552" s="24">
        <v>4</v>
      </c>
      <c r="Y1552" s="24">
        <v>4</v>
      </c>
      <c r="Z1552" s="20">
        <f t="shared" si="53"/>
        <v>17</v>
      </c>
    </row>
    <row r="1553" spans="1:26" x14ac:dyDescent="0.2">
      <c r="A1553" s="21"/>
      <c r="B1553" s="20"/>
      <c r="C1553" s="22"/>
      <c r="D1553" s="22"/>
      <c r="E1553" s="24"/>
      <c r="F1553" s="22"/>
      <c r="H1553" s="21">
        <v>45968</v>
      </c>
      <c r="I1553" s="22" t="s">
        <v>71</v>
      </c>
      <c r="J1553" s="22" t="s">
        <v>50</v>
      </c>
      <c r="K1553" s="24" t="s">
        <v>61</v>
      </c>
      <c r="M1553" s="21">
        <v>46017</v>
      </c>
      <c r="N1553" s="22" t="s">
        <v>70</v>
      </c>
      <c r="O1553" s="22" t="s">
        <v>56</v>
      </c>
      <c r="P1553" s="49">
        <v>75.7</v>
      </c>
      <c r="Q1553" s="49">
        <v>75.8</v>
      </c>
      <c r="R1553" s="46">
        <f t="shared" si="52"/>
        <v>-9.9999999999994316E-2</v>
      </c>
      <c r="T1553" s="21">
        <v>45997</v>
      </c>
      <c r="U1553" s="22" t="s">
        <v>47</v>
      </c>
      <c r="V1553" s="24">
        <v>4</v>
      </c>
      <c r="W1553" s="24">
        <v>4</v>
      </c>
      <c r="X1553" s="24">
        <v>4</v>
      </c>
      <c r="Y1553" s="24">
        <v>5</v>
      </c>
      <c r="Z1553" s="20">
        <f t="shared" si="53"/>
        <v>17</v>
      </c>
    </row>
    <row r="1554" spans="1:26" x14ac:dyDescent="0.2">
      <c r="A1554" s="21"/>
      <c r="B1554" s="20"/>
      <c r="C1554" s="22"/>
      <c r="D1554" s="22"/>
      <c r="E1554" s="24"/>
      <c r="F1554" s="22"/>
      <c r="H1554" s="21">
        <v>45968</v>
      </c>
      <c r="I1554" s="22" t="s">
        <v>71</v>
      </c>
      <c r="J1554" s="22" t="s">
        <v>51</v>
      </c>
      <c r="K1554" s="24">
        <v>8</v>
      </c>
      <c r="M1554" s="21">
        <v>46017</v>
      </c>
      <c r="N1554" s="22" t="s">
        <v>70</v>
      </c>
      <c r="O1554" s="22" t="s">
        <v>57</v>
      </c>
      <c r="P1554" s="49">
        <v>91.1</v>
      </c>
      <c r="Q1554" s="49">
        <v>90.3</v>
      </c>
      <c r="R1554" s="46">
        <f t="shared" si="52"/>
        <v>0.79999999999999716</v>
      </c>
      <c r="T1554" s="21">
        <v>45997</v>
      </c>
      <c r="U1554" s="22" t="s">
        <v>48</v>
      </c>
      <c r="V1554" s="24">
        <v>5</v>
      </c>
      <c r="W1554" s="24">
        <v>4</v>
      </c>
      <c r="X1554" s="24">
        <v>4</v>
      </c>
      <c r="Y1554" s="24">
        <v>5</v>
      </c>
      <c r="Z1554" s="20">
        <f t="shared" si="53"/>
        <v>18</v>
      </c>
    </row>
    <row r="1555" spans="1:26" x14ac:dyDescent="0.2">
      <c r="A1555" s="21"/>
      <c r="B1555" s="20"/>
      <c r="C1555" s="22"/>
      <c r="D1555" s="22"/>
      <c r="E1555" s="24"/>
      <c r="F1555" s="22"/>
      <c r="H1555" s="21">
        <v>45968</v>
      </c>
      <c r="I1555" s="22" t="s">
        <v>71</v>
      </c>
      <c r="J1555" s="22" t="s">
        <v>46</v>
      </c>
      <c r="K1555" s="24">
        <v>8</v>
      </c>
      <c r="M1555" s="21">
        <v>46017</v>
      </c>
      <c r="N1555" s="22" t="s">
        <v>70</v>
      </c>
      <c r="O1555" s="22" t="s">
        <v>58</v>
      </c>
      <c r="P1555" s="49">
        <v>75.3</v>
      </c>
      <c r="Q1555" s="49">
        <v>75.2</v>
      </c>
      <c r="R1555" s="46">
        <f t="shared" si="52"/>
        <v>9.9999999999994316E-2</v>
      </c>
      <c r="T1555" s="21">
        <v>45997</v>
      </c>
      <c r="U1555" s="22" t="s">
        <v>49</v>
      </c>
      <c r="V1555" s="24">
        <v>5</v>
      </c>
      <c r="W1555" s="24">
        <v>4</v>
      </c>
      <c r="X1555" s="24">
        <v>4</v>
      </c>
      <c r="Y1555" s="24">
        <v>5</v>
      </c>
      <c r="Z1555" s="20">
        <f t="shared" si="53"/>
        <v>18</v>
      </c>
    </row>
    <row r="1556" spans="1:26" x14ac:dyDescent="0.2">
      <c r="A1556" s="21"/>
      <c r="B1556" s="20"/>
      <c r="C1556" s="22"/>
      <c r="D1556" s="22"/>
      <c r="E1556" s="24"/>
      <c r="F1556" s="22"/>
      <c r="H1556" s="21">
        <v>45968</v>
      </c>
      <c r="I1556" s="22" t="s">
        <v>71</v>
      </c>
      <c r="J1556" s="22" t="s">
        <v>48</v>
      </c>
      <c r="K1556" s="24">
        <v>8</v>
      </c>
      <c r="M1556" s="21">
        <v>46018</v>
      </c>
      <c r="N1556" s="22" t="s">
        <v>70</v>
      </c>
      <c r="O1556" s="22" t="s">
        <v>41</v>
      </c>
      <c r="P1556" s="49">
        <v>77</v>
      </c>
      <c r="Q1556" s="49">
        <v>76</v>
      </c>
      <c r="R1556" s="46">
        <f t="shared" si="52"/>
        <v>1</v>
      </c>
      <c r="T1556" s="21">
        <v>45997</v>
      </c>
      <c r="U1556" s="22" t="s">
        <v>50</v>
      </c>
      <c r="V1556" s="24">
        <v>5</v>
      </c>
      <c r="W1556" s="24">
        <v>4</v>
      </c>
      <c r="X1556" s="24">
        <v>4</v>
      </c>
      <c r="Y1556" s="24">
        <v>5</v>
      </c>
      <c r="Z1556" s="20">
        <f t="shared" si="53"/>
        <v>18</v>
      </c>
    </row>
    <row r="1557" spans="1:26" x14ac:dyDescent="0.2">
      <c r="A1557" s="21"/>
      <c r="B1557" s="20"/>
      <c r="C1557" s="22"/>
      <c r="D1557" s="22"/>
      <c r="E1557" s="24"/>
      <c r="F1557" s="22"/>
      <c r="H1557" s="21">
        <v>45968</v>
      </c>
      <c r="I1557" s="22" t="s">
        <v>71</v>
      </c>
      <c r="J1557" s="22" t="s">
        <v>56</v>
      </c>
      <c r="K1557" s="24">
        <v>7</v>
      </c>
      <c r="M1557" s="21">
        <v>46018</v>
      </c>
      <c r="N1557" s="22" t="s">
        <v>71</v>
      </c>
      <c r="O1557" s="22" t="s">
        <v>41</v>
      </c>
      <c r="P1557" s="49">
        <v>77</v>
      </c>
      <c r="Q1557" s="49">
        <v>76.900000000000006</v>
      </c>
      <c r="R1557" s="46">
        <f t="shared" si="52"/>
        <v>9.9999999999994316E-2</v>
      </c>
      <c r="T1557" s="21">
        <v>45997</v>
      </c>
      <c r="U1557" s="22" t="s">
        <v>51</v>
      </c>
      <c r="V1557" s="24">
        <v>3</v>
      </c>
      <c r="W1557" s="24">
        <v>4</v>
      </c>
      <c r="X1557" s="24">
        <v>4</v>
      </c>
      <c r="Y1557" s="24">
        <v>5</v>
      </c>
      <c r="Z1557" s="20">
        <f t="shared" si="53"/>
        <v>16</v>
      </c>
    </row>
    <row r="1558" spans="1:26" x14ac:dyDescent="0.2">
      <c r="A1558" s="21"/>
      <c r="B1558" s="20"/>
      <c r="C1558" s="22"/>
      <c r="D1558" s="22"/>
      <c r="E1558" s="24"/>
      <c r="F1558" s="22"/>
      <c r="H1558" s="21">
        <v>45971</v>
      </c>
      <c r="I1558" s="22" t="s">
        <v>70</v>
      </c>
      <c r="J1558" s="22" t="s">
        <v>52</v>
      </c>
      <c r="K1558" s="24">
        <v>4</v>
      </c>
      <c r="M1558" s="21">
        <v>46018</v>
      </c>
      <c r="N1558" s="22" t="s">
        <v>70</v>
      </c>
      <c r="O1558" s="22" t="s">
        <v>42</v>
      </c>
      <c r="P1558" s="49">
        <v>79.2</v>
      </c>
      <c r="Q1558" s="49">
        <v>79</v>
      </c>
      <c r="R1558" s="46">
        <f t="shared" si="52"/>
        <v>0.20000000000000284</v>
      </c>
      <c r="T1558" s="21">
        <v>45997</v>
      </c>
      <c r="U1558" s="22" t="s">
        <v>52</v>
      </c>
      <c r="V1558" s="24">
        <v>5</v>
      </c>
      <c r="W1558" s="24">
        <v>5</v>
      </c>
      <c r="X1558" s="24">
        <v>5</v>
      </c>
      <c r="Y1558" s="24">
        <v>5</v>
      </c>
      <c r="Z1558" s="20">
        <f t="shared" si="53"/>
        <v>20</v>
      </c>
    </row>
    <row r="1559" spans="1:26" x14ac:dyDescent="0.2">
      <c r="A1559" s="21"/>
      <c r="B1559" s="20"/>
      <c r="C1559" s="22"/>
      <c r="D1559" s="22"/>
      <c r="E1559" s="24"/>
      <c r="F1559" s="22"/>
      <c r="H1559" s="21">
        <v>45971</v>
      </c>
      <c r="I1559" s="22" t="s">
        <v>70</v>
      </c>
      <c r="J1559" s="22" t="s">
        <v>53</v>
      </c>
      <c r="K1559" s="24">
        <v>4</v>
      </c>
      <c r="M1559" s="21">
        <v>46018</v>
      </c>
      <c r="N1559" s="22" t="s">
        <v>71</v>
      </c>
      <c r="O1559" s="22" t="s">
        <v>42</v>
      </c>
      <c r="P1559" s="49">
        <v>79.2</v>
      </c>
      <c r="Q1559" s="49">
        <v>78.8</v>
      </c>
      <c r="R1559" s="46">
        <f t="shared" si="52"/>
        <v>0.40000000000000568</v>
      </c>
      <c r="T1559" s="21">
        <v>45997</v>
      </c>
      <c r="U1559" s="22" t="s">
        <v>53</v>
      </c>
      <c r="V1559" s="24">
        <v>4</v>
      </c>
      <c r="W1559" s="24">
        <v>4</v>
      </c>
      <c r="X1559" s="24">
        <v>4</v>
      </c>
      <c r="Y1559" s="24">
        <v>4</v>
      </c>
      <c r="Z1559" s="20">
        <f t="shared" si="53"/>
        <v>16</v>
      </c>
    </row>
    <row r="1560" spans="1:26" x14ac:dyDescent="0.2">
      <c r="A1560" s="21"/>
      <c r="B1560" s="20"/>
      <c r="C1560" s="22"/>
      <c r="D1560" s="22"/>
      <c r="E1560" s="24"/>
      <c r="F1560" s="22"/>
      <c r="H1560" s="21">
        <v>45971</v>
      </c>
      <c r="I1560" s="22" t="s">
        <v>70</v>
      </c>
      <c r="J1560" s="22" t="s">
        <v>44</v>
      </c>
      <c r="K1560" s="24" t="s">
        <v>64</v>
      </c>
      <c r="M1560" s="21">
        <v>46018</v>
      </c>
      <c r="N1560" s="22" t="s">
        <v>70</v>
      </c>
      <c r="O1560" s="22" t="s">
        <v>44</v>
      </c>
      <c r="P1560" s="49">
        <v>67.5</v>
      </c>
      <c r="Q1560" s="49">
        <v>67.400000000000006</v>
      </c>
      <c r="R1560" s="46">
        <f t="shared" si="52"/>
        <v>9.9999999999994316E-2</v>
      </c>
      <c r="T1560" s="21">
        <v>45997</v>
      </c>
      <c r="U1560" s="22" t="s">
        <v>56</v>
      </c>
      <c r="V1560" s="24">
        <v>4</v>
      </c>
      <c r="W1560" s="24">
        <v>5</v>
      </c>
      <c r="X1560" s="24">
        <v>5</v>
      </c>
      <c r="Y1560" s="24">
        <v>5</v>
      </c>
      <c r="Z1560" s="20">
        <f t="shared" si="53"/>
        <v>19</v>
      </c>
    </row>
    <row r="1561" spans="1:26" x14ac:dyDescent="0.2">
      <c r="A1561" s="21"/>
      <c r="B1561" s="20"/>
      <c r="C1561" s="22"/>
      <c r="D1561" s="22"/>
      <c r="E1561" s="24"/>
      <c r="F1561" s="22"/>
      <c r="H1561" s="21">
        <v>45971</v>
      </c>
      <c r="I1561" s="22" t="s">
        <v>70</v>
      </c>
      <c r="J1561" s="22" t="s">
        <v>45</v>
      </c>
      <c r="K1561" s="24">
        <v>4</v>
      </c>
      <c r="M1561" s="21">
        <v>46018</v>
      </c>
      <c r="N1561" s="22" t="s">
        <v>71</v>
      </c>
      <c r="O1561" s="22" t="s">
        <v>44</v>
      </c>
      <c r="P1561" s="49">
        <v>68</v>
      </c>
      <c r="Q1561" s="49">
        <v>68</v>
      </c>
      <c r="R1561" s="46">
        <f t="shared" si="52"/>
        <v>0</v>
      </c>
      <c r="T1561" s="21">
        <v>45997</v>
      </c>
      <c r="U1561" s="22" t="s">
        <v>57</v>
      </c>
      <c r="V1561" s="24">
        <v>4</v>
      </c>
      <c r="W1561" s="24">
        <v>4</v>
      </c>
      <c r="X1561" s="24">
        <v>4</v>
      </c>
      <c r="Y1561" s="24">
        <v>4</v>
      </c>
      <c r="Z1561" s="20">
        <f t="shared" si="53"/>
        <v>16</v>
      </c>
    </row>
    <row r="1562" spans="1:26" x14ac:dyDescent="0.2">
      <c r="A1562" s="21"/>
      <c r="B1562" s="20"/>
      <c r="C1562" s="22"/>
      <c r="D1562" s="22"/>
      <c r="E1562" s="24"/>
      <c r="F1562" s="22"/>
      <c r="H1562" s="21">
        <v>45971</v>
      </c>
      <c r="I1562" s="22" t="s">
        <v>70</v>
      </c>
      <c r="J1562" s="22" t="s">
        <v>57</v>
      </c>
      <c r="K1562" s="24">
        <v>4</v>
      </c>
      <c r="M1562" s="21">
        <v>46018</v>
      </c>
      <c r="N1562" s="22" t="s">
        <v>70</v>
      </c>
      <c r="O1562" s="22" t="s">
        <v>45</v>
      </c>
      <c r="P1562" s="49">
        <v>69</v>
      </c>
      <c r="Q1562" s="49">
        <v>68.400000000000006</v>
      </c>
      <c r="R1562" s="46">
        <f t="shared" si="52"/>
        <v>0.59999999999999432</v>
      </c>
      <c r="T1562" s="21">
        <v>45997</v>
      </c>
      <c r="U1562" s="22" t="s">
        <v>58</v>
      </c>
      <c r="V1562" s="24">
        <v>4</v>
      </c>
      <c r="W1562" s="24">
        <v>5</v>
      </c>
      <c r="X1562" s="24">
        <v>3</v>
      </c>
      <c r="Y1562" s="24">
        <v>4</v>
      </c>
      <c r="Z1562" s="20">
        <f t="shared" si="53"/>
        <v>16</v>
      </c>
    </row>
    <row r="1563" spans="1:26" x14ac:dyDescent="0.2">
      <c r="A1563" s="21"/>
      <c r="B1563" s="20"/>
      <c r="C1563" s="22"/>
      <c r="D1563" s="22"/>
      <c r="E1563" s="24"/>
      <c r="F1563" s="22"/>
      <c r="H1563" s="21">
        <v>45971</v>
      </c>
      <c r="I1563" s="22" t="s">
        <v>70</v>
      </c>
      <c r="J1563" s="22" t="s">
        <v>42</v>
      </c>
      <c r="K1563" s="24">
        <v>4</v>
      </c>
      <c r="M1563" s="21">
        <v>46018</v>
      </c>
      <c r="N1563" s="22" t="s">
        <v>71</v>
      </c>
      <c r="O1563" s="22" t="s">
        <v>45</v>
      </c>
      <c r="P1563" s="49">
        <v>68.7</v>
      </c>
      <c r="Q1563" s="49">
        <v>68.5</v>
      </c>
      <c r="R1563" s="46">
        <f t="shared" si="52"/>
        <v>0.20000000000000284</v>
      </c>
      <c r="T1563" s="21">
        <v>45997</v>
      </c>
      <c r="U1563" s="22" t="s">
        <v>33</v>
      </c>
      <c r="V1563" s="24">
        <v>4.1333333333333302</v>
      </c>
      <c r="W1563" s="24">
        <v>4</v>
      </c>
      <c r="X1563" s="24">
        <v>3.8666666666666698</v>
      </c>
      <c r="Y1563" s="24">
        <v>4.4000000000000004</v>
      </c>
      <c r="Z1563" s="20">
        <f t="shared" si="53"/>
        <v>16.399999999999999</v>
      </c>
    </row>
    <row r="1564" spans="1:26" x14ac:dyDescent="0.2">
      <c r="A1564" s="21"/>
      <c r="B1564" s="20"/>
      <c r="C1564" s="22"/>
      <c r="D1564" s="22"/>
      <c r="E1564" s="24"/>
      <c r="F1564" s="22"/>
      <c r="H1564" s="21">
        <v>45971</v>
      </c>
      <c r="I1564" s="22" t="s">
        <v>70</v>
      </c>
      <c r="J1564" s="22" t="s">
        <v>47</v>
      </c>
      <c r="K1564" s="24">
        <v>4</v>
      </c>
      <c r="M1564" s="21">
        <v>46018</v>
      </c>
      <c r="N1564" s="22" t="s">
        <v>70</v>
      </c>
      <c r="O1564" s="22" t="s">
        <v>46</v>
      </c>
      <c r="P1564" s="49">
        <v>80</v>
      </c>
      <c r="Q1564" s="49">
        <v>80.099999999999994</v>
      </c>
      <c r="R1564" s="46">
        <f t="shared" si="52"/>
        <v>-9.9999999999994316E-2</v>
      </c>
      <c r="T1564" s="21">
        <v>45999</v>
      </c>
      <c r="U1564" s="22" t="s">
        <v>41</v>
      </c>
      <c r="V1564" s="24">
        <v>1</v>
      </c>
      <c r="W1564" s="24">
        <v>1</v>
      </c>
      <c r="X1564" s="24">
        <v>1</v>
      </c>
      <c r="Y1564" s="24">
        <v>1</v>
      </c>
      <c r="Z1564" s="20">
        <f t="shared" si="53"/>
        <v>4</v>
      </c>
    </row>
    <row r="1565" spans="1:26" x14ac:dyDescent="0.2">
      <c r="A1565" s="21"/>
      <c r="B1565" s="20"/>
      <c r="C1565" s="22"/>
      <c r="D1565" s="22"/>
      <c r="E1565" s="24"/>
      <c r="F1565" s="22"/>
      <c r="H1565" s="21">
        <v>45971</v>
      </c>
      <c r="I1565" s="22" t="s">
        <v>70</v>
      </c>
      <c r="J1565" s="22" t="s">
        <v>41</v>
      </c>
      <c r="K1565" s="24" t="s">
        <v>64</v>
      </c>
      <c r="M1565" s="21">
        <v>46018</v>
      </c>
      <c r="N1565" s="22" t="s">
        <v>71</v>
      </c>
      <c r="O1565" s="22" t="s">
        <v>46</v>
      </c>
      <c r="P1565" s="49">
        <v>80.3</v>
      </c>
      <c r="Q1565" s="49">
        <v>80.5</v>
      </c>
      <c r="R1565" s="46">
        <f t="shared" si="52"/>
        <v>-0.20000000000000284</v>
      </c>
      <c r="T1565" s="21">
        <v>45999</v>
      </c>
      <c r="U1565" s="22" t="s">
        <v>42</v>
      </c>
      <c r="V1565" s="24">
        <v>4</v>
      </c>
      <c r="W1565" s="24">
        <v>4</v>
      </c>
      <c r="X1565" s="24">
        <v>4</v>
      </c>
      <c r="Y1565" s="24">
        <v>5</v>
      </c>
      <c r="Z1565" s="20">
        <f t="shared" si="53"/>
        <v>17</v>
      </c>
    </row>
    <row r="1566" spans="1:26" x14ac:dyDescent="0.2">
      <c r="A1566" s="21"/>
      <c r="B1566" s="20"/>
      <c r="C1566" s="22"/>
      <c r="D1566" s="22"/>
      <c r="E1566" s="24"/>
      <c r="F1566" s="22"/>
      <c r="H1566" s="21">
        <v>45971</v>
      </c>
      <c r="I1566" s="22" t="s">
        <v>70</v>
      </c>
      <c r="J1566" s="22" t="s">
        <v>58</v>
      </c>
      <c r="K1566" s="24">
        <v>4</v>
      </c>
      <c r="M1566" s="21">
        <v>46018</v>
      </c>
      <c r="N1566" s="22" t="s">
        <v>70</v>
      </c>
      <c r="O1566" s="22" t="s">
        <v>47</v>
      </c>
      <c r="P1566" s="49">
        <v>71.5</v>
      </c>
      <c r="Q1566" s="49">
        <v>71</v>
      </c>
      <c r="R1566" s="46">
        <f t="shared" si="52"/>
        <v>0.5</v>
      </c>
      <c r="T1566" s="21">
        <v>45999</v>
      </c>
      <c r="U1566" s="22" t="s">
        <v>44</v>
      </c>
      <c r="V1566" s="24">
        <v>5</v>
      </c>
      <c r="W1566" s="24">
        <v>4</v>
      </c>
      <c r="X1566" s="24">
        <v>5</v>
      </c>
      <c r="Y1566" s="24">
        <v>5</v>
      </c>
      <c r="Z1566" s="20">
        <f t="shared" si="53"/>
        <v>19</v>
      </c>
    </row>
    <row r="1567" spans="1:26" x14ac:dyDescent="0.2">
      <c r="A1567" s="21"/>
      <c r="B1567" s="20"/>
      <c r="C1567" s="22"/>
      <c r="D1567" s="22"/>
      <c r="E1567" s="24"/>
      <c r="F1567" s="22"/>
      <c r="H1567" s="21">
        <v>45971</v>
      </c>
      <c r="I1567" s="22" t="s">
        <v>70</v>
      </c>
      <c r="J1567" s="22" t="s">
        <v>49</v>
      </c>
      <c r="K1567" s="24">
        <v>4</v>
      </c>
      <c r="M1567" s="21">
        <v>46018</v>
      </c>
      <c r="N1567" s="22" t="s">
        <v>71</v>
      </c>
      <c r="O1567" s="22" t="s">
        <v>47</v>
      </c>
      <c r="P1567" s="49">
        <v>71.5</v>
      </c>
      <c r="Q1567" s="49">
        <v>71</v>
      </c>
      <c r="R1567" s="46">
        <f t="shared" si="52"/>
        <v>0.5</v>
      </c>
      <c r="T1567" s="21">
        <v>45999</v>
      </c>
      <c r="U1567" s="22" t="s">
        <v>45</v>
      </c>
      <c r="V1567" s="24">
        <v>4</v>
      </c>
      <c r="W1567" s="24">
        <v>4</v>
      </c>
      <c r="X1567" s="24">
        <v>5</v>
      </c>
      <c r="Y1567" s="24">
        <v>5</v>
      </c>
      <c r="Z1567" s="20">
        <f t="shared" si="53"/>
        <v>18</v>
      </c>
    </row>
    <row r="1568" spans="1:26" x14ac:dyDescent="0.2">
      <c r="A1568" s="21"/>
      <c r="B1568" s="20"/>
      <c r="C1568" s="22"/>
      <c r="D1568" s="22"/>
      <c r="E1568" s="24"/>
      <c r="F1568" s="22"/>
      <c r="H1568" s="21">
        <v>45971</v>
      </c>
      <c r="I1568" s="22" t="s">
        <v>70</v>
      </c>
      <c r="J1568" s="22" t="s">
        <v>43</v>
      </c>
      <c r="K1568" s="24">
        <v>4</v>
      </c>
      <c r="M1568" s="21">
        <v>46018</v>
      </c>
      <c r="N1568" s="22" t="s">
        <v>70</v>
      </c>
      <c r="O1568" s="22" t="s">
        <v>48</v>
      </c>
      <c r="P1568" s="49">
        <v>80.400000000000006</v>
      </c>
      <c r="Q1568" s="49">
        <v>80.3</v>
      </c>
      <c r="R1568" s="46">
        <f t="shared" si="52"/>
        <v>0.10000000000000853</v>
      </c>
      <c r="T1568" s="21">
        <v>45999</v>
      </c>
      <c r="U1568" s="22" t="s">
        <v>46</v>
      </c>
      <c r="V1568" s="24">
        <v>4</v>
      </c>
      <c r="W1568" s="24">
        <v>4</v>
      </c>
      <c r="X1568" s="24">
        <v>4</v>
      </c>
      <c r="Y1568" s="24">
        <v>4</v>
      </c>
      <c r="Z1568" s="20">
        <f t="shared" si="53"/>
        <v>16</v>
      </c>
    </row>
    <row r="1569" spans="1:26" x14ac:dyDescent="0.2">
      <c r="A1569" s="21"/>
      <c r="B1569" s="20"/>
      <c r="C1569" s="22"/>
      <c r="D1569" s="22"/>
      <c r="E1569" s="24"/>
      <c r="F1569" s="22"/>
      <c r="H1569" s="21">
        <v>45971</v>
      </c>
      <c r="I1569" s="22" t="s">
        <v>70</v>
      </c>
      <c r="J1569" s="22" t="s">
        <v>50</v>
      </c>
      <c r="K1569" s="24" t="s">
        <v>61</v>
      </c>
      <c r="M1569" s="21">
        <v>46018</v>
      </c>
      <c r="N1569" s="22" t="s">
        <v>70</v>
      </c>
      <c r="O1569" s="22" t="s">
        <v>49</v>
      </c>
      <c r="P1569" s="49">
        <v>78.7</v>
      </c>
      <c r="Q1569" s="49">
        <v>78.5</v>
      </c>
      <c r="R1569" s="46">
        <f t="shared" si="52"/>
        <v>0.20000000000000284</v>
      </c>
      <c r="T1569" s="21">
        <v>45999</v>
      </c>
      <c r="U1569" s="22" t="s">
        <v>47</v>
      </c>
      <c r="V1569" s="24">
        <v>3</v>
      </c>
      <c r="W1569" s="24">
        <v>4</v>
      </c>
      <c r="X1569" s="24">
        <v>4</v>
      </c>
      <c r="Y1569" s="24">
        <v>3</v>
      </c>
      <c r="Z1569" s="20">
        <f t="shared" si="53"/>
        <v>14</v>
      </c>
    </row>
    <row r="1570" spans="1:26" x14ac:dyDescent="0.2">
      <c r="A1570" s="21"/>
      <c r="B1570" s="20"/>
      <c r="C1570" s="22"/>
      <c r="D1570" s="22"/>
      <c r="E1570" s="24"/>
      <c r="F1570" s="22"/>
      <c r="H1570" s="21">
        <v>45971</v>
      </c>
      <c r="I1570" s="22" t="s">
        <v>70</v>
      </c>
      <c r="J1570" s="22" t="s">
        <v>51</v>
      </c>
      <c r="K1570" s="24">
        <v>4</v>
      </c>
      <c r="M1570" s="21">
        <v>46018</v>
      </c>
      <c r="N1570" s="22" t="s">
        <v>71</v>
      </c>
      <c r="O1570" s="22" t="s">
        <v>49</v>
      </c>
      <c r="P1570" s="49">
        <v>78.7</v>
      </c>
      <c r="Q1570" s="49">
        <v>78.099999999999994</v>
      </c>
      <c r="R1570" s="46">
        <f t="shared" si="52"/>
        <v>0.60000000000000853</v>
      </c>
      <c r="T1570" s="21">
        <v>45999</v>
      </c>
      <c r="U1570" s="22" t="s">
        <v>48</v>
      </c>
      <c r="V1570" s="24">
        <v>5</v>
      </c>
      <c r="W1570" s="24">
        <v>4</v>
      </c>
      <c r="X1570" s="24">
        <v>4</v>
      </c>
      <c r="Y1570" s="24">
        <v>5</v>
      </c>
      <c r="Z1570" s="20">
        <f t="shared" si="53"/>
        <v>18</v>
      </c>
    </row>
    <row r="1571" spans="1:26" x14ac:dyDescent="0.2">
      <c r="A1571" s="21"/>
      <c r="B1571" s="20"/>
      <c r="C1571" s="22"/>
      <c r="D1571" s="22"/>
      <c r="E1571" s="24"/>
      <c r="F1571" s="22"/>
      <c r="H1571" s="21">
        <v>45971</v>
      </c>
      <c r="I1571" s="22" t="s">
        <v>70</v>
      </c>
      <c r="J1571" s="22" t="s">
        <v>46</v>
      </c>
      <c r="K1571" s="24">
        <v>4</v>
      </c>
      <c r="M1571" s="21">
        <v>46018</v>
      </c>
      <c r="N1571" s="22" t="s">
        <v>70</v>
      </c>
      <c r="O1571" s="22" t="s">
        <v>50</v>
      </c>
      <c r="P1571" s="49">
        <v>67.5</v>
      </c>
      <c r="Q1571" s="49">
        <v>67.2</v>
      </c>
      <c r="R1571" s="46">
        <f t="shared" si="52"/>
        <v>0.29999999999999716</v>
      </c>
      <c r="T1571" s="21">
        <v>45999</v>
      </c>
      <c r="U1571" s="22" t="s">
        <v>49</v>
      </c>
      <c r="V1571" s="24">
        <v>4</v>
      </c>
      <c r="W1571" s="24">
        <v>4</v>
      </c>
      <c r="X1571" s="24">
        <v>4</v>
      </c>
      <c r="Y1571" s="24">
        <v>4</v>
      </c>
      <c r="Z1571" s="20">
        <f t="shared" si="53"/>
        <v>16</v>
      </c>
    </row>
    <row r="1572" spans="1:26" x14ac:dyDescent="0.2">
      <c r="A1572" s="21"/>
      <c r="B1572" s="20"/>
      <c r="C1572" s="22"/>
      <c r="D1572" s="22"/>
      <c r="E1572" s="24"/>
      <c r="F1572" s="22"/>
      <c r="H1572" s="21">
        <v>45971</v>
      </c>
      <c r="I1572" s="22" t="s">
        <v>70</v>
      </c>
      <c r="J1572" s="22" t="s">
        <v>48</v>
      </c>
      <c r="K1572" s="24" t="s">
        <v>64</v>
      </c>
      <c r="M1572" s="21">
        <v>46018</v>
      </c>
      <c r="N1572" s="22" t="s">
        <v>71</v>
      </c>
      <c r="O1572" s="22" t="s">
        <v>50</v>
      </c>
      <c r="P1572" s="49">
        <v>67.599999999999994</v>
      </c>
      <c r="Q1572" s="49">
        <v>67</v>
      </c>
      <c r="R1572" s="46">
        <f t="shared" si="52"/>
        <v>0.59999999999999432</v>
      </c>
      <c r="T1572" s="21">
        <v>45999</v>
      </c>
      <c r="U1572" s="22" t="s">
        <v>50</v>
      </c>
      <c r="V1572" s="24">
        <v>4</v>
      </c>
      <c r="W1572" s="24">
        <v>4</v>
      </c>
      <c r="X1572" s="24">
        <v>4</v>
      </c>
      <c r="Y1572" s="24">
        <v>4</v>
      </c>
      <c r="Z1572" s="20">
        <f t="shared" si="53"/>
        <v>16</v>
      </c>
    </row>
    <row r="1573" spans="1:26" x14ac:dyDescent="0.2">
      <c r="A1573" s="21"/>
      <c r="B1573" s="20"/>
      <c r="C1573" s="22"/>
      <c r="D1573" s="22"/>
      <c r="E1573" s="24"/>
      <c r="F1573" s="22"/>
      <c r="H1573" s="21">
        <v>45971</v>
      </c>
      <c r="I1573" s="22" t="s">
        <v>70</v>
      </c>
      <c r="J1573" s="22" t="s">
        <v>56</v>
      </c>
      <c r="K1573" s="24">
        <v>4</v>
      </c>
      <c r="M1573" s="21">
        <v>46018</v>
      </c>
      <c r="N1573" s="22" t="s">
        <v>70</v>
      </c>
      <c r="O1573" s="22" t="s">
        <v>51</v>
      </c>
      <c r="P1573" s="49">
        <v>75</v>
      </c>
      <c r="Q1573" s="49">
        <v>75.099999999999994</v>
      </c>
      <c r="R1573" s="46">
        <f t="shared" si="52"/>
        <v>-9.9999999999994316E-2</v>
      </c>
      <c r="T1573" s="21">
        <v>45999</v>
      </c>
      <c r="U1573" s="22" t="s">
        <v>51</v>
      </c>
      <c r="V1573" s="24">
        <v>3</v>
      </c>
      <c r="W1573" s="24">
        <v>3</v>
      </c>
      <c r="X1573" s="24">
        <v>4</v>
      </c>
      <c r="Y1573" s="24">
        <v>5</v>
      </c>
      <c r="Z1573" s="20">
        <f t="shared" si="53"/>
        <v>15</v>
      </c>
    </row>
    <row r="1574" spans="1:26" x14ac:dyDescent="0.2">
      <c r="A1574" s="21"/>
      <c r="B1574" s="20"/>
      <c r="C1574" s="22"/>
      <c r="D1574" s="22"/>
      <c r="E1574" s="24"/>
      <c r="F1574" s="22"/>
      <c r="H1574" s="21">
        <v>45971</v>
      </c>
      <c r="I1574" s="22" t="s">
        <v>70</v>
      </c>
      <c r="J1574" s="22" t="s">
        <v>55</v>
      </c>
      <c r="K1574" s="24">
        <v>4</v>
      </c>
      <c r="M1574" s="21">
        <v>46018</v>
      </c>
      <c r="N1574" s="22" t="s">
        <v>71</v>
      </c>
      <c r="O1574" s="22" t="s">
        <v>51</v>
      </c>
      <c r="P1574" s="49">
        <v>75</v>
      </c>
      <c r="Q1574" s="49">
        <v>74.5</v>
      </c>
      <c r="R1574" s="46">
        <f t="shared" si="52"/>
        <v>0.5</v>
      </c>
      <c r="T1574" s="21">
        <v>45999</v>
      </c>
      <c r="U1574" s="22" t="s">
        <v>52</v>
      </c>
      <c r="V1574" s="24">
        <v>4</v>
      </c>
      <c r="W1574" s="24">
        <v>4</v>
      </c>
      <c r="X1574" s="24">
        <v>4</v>
      </c>
      <c r="Y1574" s="24">
        <v>4</v>
      </c>
      <c r="Z1574" s="20">
        <f t="shared" si="53"/>
        <v>16</v>
      </c>
    </row>
    <row r="1575" spans="1:26" x14ac:dyDescent="0.2">
      <c r="A1575" s="21"/>
      <c r="B1575" s="20"/>
      <c r="C1575" s="22"/>
      <c r="D1575" s="22"/>
      <c r="E1575" s="24"/>
      <c r="F1575" s="22"/>
      <c r="H1575" s="21">
        <v>45971</v>
      </c>
      <c r="I1575" s="22" t="s">
        <v>71</v>
      </c>
      <c r="J1575" s="22" t="s">
        <v>52</v>
      </c>
      <c r="K1575" s="24">
        <v>6</v>
      </c>
      <c r="M1575" s="21">
        <v>46018</v>
      </c>
      <c r="N1575" s="22" t="s">
        <v>70</v>
      </c>
      <c r="O1575" s="22" t="s">
        <v>52</v>
      </c>
      <c r="P1575" s="49">
        <v>71</v>
      </c>
      <c r="Q1575" s="49">
        <v>71</v>
      </c>
      <c r="R1575" s="46">
        <f t="shared" si="52"/>
        <v>0</v>
      </c>
      <c r="T1575" s="21">
        <v>45999</v>
      </c>
      <c r="U1575" s="22" t="s">
        <v>53</v>
      </c>
      <c r="V1575" s="24">
        <v>4</v>
      </c>
      <c r="W1575" s="24">
        <v>4</v>
      </c>
      <c r="X1575" s="24">
        <v>4</v>
      </c>
      <c r="Y1575" s="24">
        <v>4</v>
      </c>
      <c r="Z1575" s="20">
        <f t="shared" si="53"/>
        <v>16</v>
      </c>
    </row>
    <row r="1576" spans="1:26" x14ac:dyDescent="0.2">
      <c r="A1576" s="21"/>
      <c r="B1576" s="20"/>
      <c r="C1576" s="22"/>
      <c r="D1576" s="22"/>
      <c r="E1576" s="24"/>
      <c r="F1576" s="22"/>
      <c r="H1576" s="21">
        <v>45971</v>
      </c>
      <c r="I1576" s="22" t="s">
        <v>71</v>
      </c>
      <c r="J1576" s="22" t="s">
        <v>53</v>
      </c>
      <c r="K1576" s="24">
        <v>6</v>
      </c>
      <c r="M1576" s="21">
        <v>46018</v>
      </c>
      <c r="N1576" s="22" t="s">
        <v>70</v>
      </c>
      <c r="O1576" s="22" t="s">
        <v>53</v>
      </c>
      <c r="P1576" s="49">
        <v>68</v>
      </c>
      <c r="Q1576" s="49">
        <v>67.5</v>
      </c>
      <c r="R1576" s="46">
        <f t="shared" si="52"/>
        <v>0.5</v>
      </c>
      <c r="T1576" s="21">
        <v>45999</v>
      </c>
      <c r="U1576" s="22" t="s">
        <v>56</v>
      </c>
      <c r="V1576" s="24">
        <v>5</v>
      </c>
      <c r="W1576" s="24">
        <v>5</v>
      </c>
      <c r="X1576" s="24">
        <v>4</v>
      </c>
      <c r="Y1576" s="24">
        <v>5</v>
      </c>
      <c r="Z1576" s="20">
        <f t="shared" si="53"/>
        <v>19</v>
      </c>
    </row>
    <row r="1577" spans="1:26" x14ac:dyDescent="0.2">
      <c r="A1577" s="21"/>
      <c r="B1577" s="20"/>
      <c r="C1577" s="22"/>
      <c r="D1577" s="22"/>
      <c r="E1577" s="24"/>
      <c r="F1577" s="22"/>
      <c r="H1577" s="21">
        <v>45971</v>
      </c>
      <c r="I1577" s="22" t="s">
        <v>71</v>
      </c>
      <c r="J1577" s="22" t="s">
        <v>44</v>
      </c>
      <c r="K1577" s="24" t="s">
        <v>64</v>
      </c>
      <c r="M1577" s="21">
        <v>46018</v>
      </c>
      <c r="N1577" s="22" t="s">
        <v>71</v>
      </c>
      <c r="O1577" s="22" t="s">
        <v>53</v>
      </c>
      <c r="P1577" s="49">
        <v>68</v>
      </c>
      <c r="Q1577" s="49">
        <v>67.400000000000006</v>
      </c>
      <c r="R1577" s="46">
        <f t="shared" si="52"/>
        <v>0.59999999999999432</v>
      </c>
      <c r="T1577" s="21">
        <v>45999</v>
      </c>
      <c r="U1577" s="22" t="s">
        <v>57</v>
      </c>
      <c r="V1577" s="24">
        <v>4</v>
      </c>
      <c r="W1577" s="24">
        <v>4</v>
      </c>
      <c r="X1577" s="24">
        <v>4</v>
      </c>
      <c r="Y1577" s="24">
        <v>4</v>
      </c>
      <c r="Z1577" s="20">
        <f t="shared" si="53"/>
        <v>16</v>
      </c>
    </row>
    <row r="1578" spans="1:26" x14ac:dyDescent="0.2">
      <c r="A1578" s="21"/>
      <c r="B1578" s="20"/>
      <c r="C1578" s="22"/>
      <c r="D1578" s="22"/>
      <c r="E1578" s="24"/>
      <c r="F1578" s="22"/>
      <c r="H1578" s="21">
        <v>45971</v>
      </c>
      <c r="I1578" s="22" t="s">
        <v>71</v>
      </c>
      <c r="J1578" s="22" t="s">
        <v>45</v>
      </c>
      <c r="K1578" s="24">
        <v>6</v>
      </c>
      <c r="M1578" s="21">
        <v>46018</v>
      </c>
      <c r="N1578" s="22" t="s">
        <v>70</v>
      </c>
      <c r="O1578" s="22" t="s">
        <v>56</v>
      </c>
      <c r="P1578" s="49">
        <v>75.8</v>
      </c>
      <c r="Q1578" s="49">
        <v>75.8</v>
      </c>
      <c r="R1578" s="46">
        <f t="shared" si="52"/>
        <v>0</v>
      </c>
      <c r="T1578" s="21">
        <v>45999</v>
      </c>
      <c r="U1578" s="22" t="s">
        <v>58</v>
      </c>
      <c r="V1578" s="24">
        <v>4</v>
      </c>
      <c r="W1578" s="24">
        <v>5</v>
      </c>
      <c r="X1578" s="24">
        <v>4</v>
      </c>
      <c r="Y1578" s="24">
        <v>4</v>
      </c>
      <c r="Z1578" s="20">
        <f t="shared" si="53"/>
        <v>17</v>
      </c>
    </row>
    <row r="1579" spans="1:26" x14ac:dyDescent="0.2">
      <c r="A1579" s="21"/>
      <c r="B1579" s="20"/>
      <c r="C1579" s="22"/>
      <c r="D1579" s="22"/>
      <c r="E1579" s="24"/>
      <c r="F1579" s="22"/>
      <c r="H1579" s="21">
        <v>45971</v>
      </c>
      <c r="I1579" s="22" t="s">
        <v>71</v>
      </c>
      <c r="J1579" s="22" t="s">
        <v>57</v>
      </c>
      <c r="K1579" s="24">
        <v>7</v>
      </c>
      <c r="M1579" s="21">
        <v>46018</v>
      </c>
      <c r="N1579" s="22" t="s">
        <v>70</v>
      </c>
      <c r="O1579" s="22" t="s">
        <v>57</v>
      </c>
      <c r="P1579" s="49">
        <v>91.1</v>
      </c>
      <c r="Q1579" s="49">
        <v>90.5</v>
      </c>
      <c r="R1579" s="46">
        <f t="shared" si="52"/>
        <v>0.59999999999999432</v>
      </c>
      <c r="T1579" s="21">
        <v>45999</v>
      </c>
      <c r="U1579" s="22" t="s">
        <v>33</v>
      </c>
      <c r="V1579" s="24">
        <v>3.8666666666666698</v>
      </c>
      <c r="W1579" s="24">
        <v>3.8666666666666698</v>
      </c>
      <c r="X1579" s="24">
        <v>3.93333333333333</v>
      </c>
      <c r="Y1579" s="24">
        <v>4.1333333333333302</v>
      </c>
      <c r="Z1579" s="20">
        <f t="shared" si="53"/>
        <v>15.8</v>
      </c>
    </row>
    <row r="1580" spans="1:26" x14ac:dyDescent="0.2">
      <c r="A1580" s="21"/>
      <c r="B1580" s="20"/>
      <c r="C1580" s="22"/>
      <c r="D1580" s="22"/>
      <c r="E1580" s="24"/>
      <c r="F1580" s="22"/>
      <c r="H1580" s="21">
        <v>45971</v>
      </c>
      <c r="I1580" s="22" t="s">
        <v>71</v>
      </c>
      <c r="J1580" s="22" t="s">
        <v>42</v>
      </c>
      <c r="K1580" s="24">
        <v>4</v>
      </c>
      <c r="M1580" s="21">
        <v>46018</v>
      </c>
      <c r="N1580" s="22" t="s">
        <v>71</v>
      </c>
      <c r="O1580" s="22" t="s">
        <v>57</v>
      </c>
      <c r="P1580" s="49">
        <v>91.6</v>
      </c>
      <c r="Q1580" s="49">
        <v>91</v>
      </c>
      <c r="R1580" s="46">
        <f t="shared" si="52"/>
        <v>0.59999999999999432</v>
      </c>
      <c r="T1580" s="21">
        <v>46000</v>
      </c>
      <c r="U1580" s="22" t="s">
        <v>41</v>
      </c>
      <c r="V1580" s="24">
        <v>1</v>
      </c>
      <c r="W1580" s="24">
        <v>1</v>
      </c>
      <c r="X1580" s="24">
        <v>1</v>
      </c>
      <c r="Y1580" s="24">
        <v>1</v>
      </c>
      <c r="Z1580" s="20">
        <f t="shared" si="53"/>
        <v>4</v>
      </c>
    </row>
    <row r="1581" spans="1:26" x14ac:dyDescent="0.2">
      <c r="A1581" s="21"/>
      <c r="B1581" s="20"/>
      <c r="C1581" s="22"/>
      <c r="D1581" s="22"/>
      <c r="E1581" s="24"/>
      <c r="F1581" s="22"/>
      <c r="H1581" s="21">
        <v>45971</v>
      </c>
      <c r="I1581" s="22" t="s">
        <v>71</v>
      </c>
      <c r="J1581" s="22" t="s">
        <v>47</v>
      </c>
      <c r="K1581" s="24">
        <v>8</v>
      </c>
      <c r="M1581" s="21">
        <v>46018</v>
      </c>
      <c r="N1581" s="22" t="s">
        <v>70</v>
      </c>
      <c r="O1581" s="22" t="s">
        <v>58</v>
      </c>
      <c r="P1581" s="49">
        <v>75.2</v>
      </c>
      <c r="Q1581" s="49">
        <v>75.3</v>
      </c>
      <c r="R1581" s="46">
        <f t="shared" si="52"/>
        <v>-9.9999999999994316E-2</v>
      </c>
      <c r="T1581" s="21">
        <v>46000</v>
      </c>
      <c r="U1581" s="22" t="s">
        <v>42</v>
      </c>
      <c r="V1581" s="24">
        <v>4</v>
      </c>
      <c r="W1581" s="24">
        <v>4</v>
      </c>
      <c r="X1581" s="24">
        <v>4</v>
      </c>
      <c r="Y1581" s="24">
        <v>5</v>
      </c>
      <c r="Z1581" s="20">
        <f t="shared" si="53"/>
        <v>17</v>
      </c>
    </row>
    <row r="1582" spans="1:26" x14ac:dyDescent="0.2">
      <c r="A1582" s="21"/>
      <c r="B1582" s="20"/>
      <c r="C1582" s="22"/>
      <c r="D1582" s="22"/>
      <c r="E1582" s="24"/>
      <c r="F1582" s="22"/>
      <c r="H1582" s="21">
        <v>45971</v>
      </c>
      <c r="I1582" s="22" t="s">
        <v>71</v>
      </c>
      <c r="J1582" s="22" t="s">
        <v>41</v>
      </c>
      <c r="K1582" s="24" t="s">
        <v>64</v>
      </c>
      <c r="M1582" s="21">
        <v>46018</v>
      </c>
      <c r="N1582" s="22" t="s">
        <v>71</v>
      </c>
      <c r="O1582" s="22" t="s">
        <v>58</v>
      </c>
      <c r="P1582" s="49">
        <v>75.7</v>
      </c>
      <c r="Q1582" s="49">
        <v>75.8</v>
      </c>
      <c r="R1582" s="46">
        <f t="shared" si="52"/>
        <v>-9.9999999999994316E-2</v>
      </c>
      <c r="T1582" s="21">
        <v>46000</v>
      </c>
      <c r="U1582" s="22" t="s">
        <v>44</v>
      </c>
      <c r="V1582" s="24">
        <v>5</v>
      </c>
      <c r="W1582" s="24">
        <v>4</v>
      </c>
      <c r="X1582" s="24">
        <v>5</v>
      </c>
      <c r="Y1582" s="24">
        <v>5</v>
      </c>
      <c r="Z1582" s="20">
        <f t="shared" si="53"/>
        <v>19</v>
      </c>
    </row>
    <row r="1583" spans="1:26" x14ac:dyDescent="0.2">
      <c r="A1583" s="21"/>
      <c r="B1583" s="20"/>
      <c r="C1583" s="22"/>
      <c r="D1583" s="22"/>
      <c r="E1583" s="24"/>
      <c r="F1583" s="22"/>
      <c r="H1583" s="21">
        <v>45971</v>
      </c>
      <c r="I1583" s="22" t="s">
        <v>71</v>
      </c>
      <c r="J1583" s="22" t="s">
        <v>58</v>
      </c>
      <c r="K1583" s="24">
        <v>8</v>
      </c>
      <c r="M1583" s="21">
        <v>46020</v>
      </c>
      <c r="N1583" s="22" t="s">
        <v>70</v>
      </c>
      <c r="O1583" s="22" t="s">
        <v>41</v>
      </c>
      <c r="P1583" s="49">
        <v>76.900000000000006</v>
      </c>
      <c r="Q1583" s="49">
        <v>76.099999999999994</v>
      </c>
      <c r="R1583" s="46">
        <f t="shared" si="52"/>
        <v>0.80000000000001137</v>
      </c>
      <c r="T1583" s="21">
        <v>46000</v>
      </c>
      <c r="U1583" s="22" t="s">
        <v>45</v>
      </c>
      <c r="V1583" s="24">
        <v>4</v>
      </c>
      <c r="W1583" s="24">
        <v>4</v>
      </c>
      <c r="X1583" s="24">
        <v>5</v>
      </c>
      <c r="Y1583" s="24">
        <v>5</v>
      </c>
      <c r="Z1583" s="20">
        <f t="shared" si="53"/>
        <v>18</v>
      </c>
    </row>
    <row r="1584" spans="1:26" x14ac:dyDescent="0.2">
      <c r="A1584" s="21"/>
      <c r="B1584" s="20"/>
      <c r="C1584" s="22"/>
      <c r="D1584" s="22"/>
      <c r="E1584" s="24"/>
      <c r="F1584" s="22"/>
      <c r="H1584" s="21">
        <v>45971</v>
      </c>
      <c r="I1584" s="22" t="s">
        <v>71</v>
      </c>
      <c r="J1584" s="22" t="s">
        <v>49</v>
      </c>
      <c r="K1584" s="24">
        <v>5</v>
      </c>
      <c r="M1584" s="21">
        <v>46020</v>
      </c>
      <c r="N1584" s="22" t="s">
        <v>70</v>
      </c>
      <c r="O1584" s="22" t="s">
        <v>42</v>
      </c>
      <c r="P1584" s="49">
        <v>79.2</v>
      </c>
      <c r="Q1584" s="49">
        <v>79</v>
      </c>
      <c r="R1584" s="46">
        <f t="shared" si="52"/>
        <v>0.20000000000000284</v>
      </c>
      <c r="T1584" s="21">
        <v>46000</v>
      </c>
      <c r="U1584" s="22" t="s">
        <v>46</v>
      </c>
      <c r="V1584" s="24">
        <v>5</v>
      </c>
      <c r="W1584" s="24">
        <v>4</v>
      </c>
      <c r="X1584" s="24">
        <v>4</v>
      </c>
      <c r="Y1584" s="24">
        <v>5</v>
      </c>
      <c r="Z1584" s="20">
        <f t="shared" si="53"/>
        <v>18</v>
      </c>
    </row>
    <row r="1585" spans="1:26" x14ac:dyDescent="0.2">
      <c r="A1585" s="21"/>
      <c r="B1585" s="20"/>
      <c r="C1585" s="22"/>
      <c r="D1585" s="22"/>
      <c r="E1585" s="24"/>
      <c r="F1585" s="22"/>
      <c r="H1585" s="21">
        <v>45971</v>
      </c>
      <c r="I1585" s="22" t="s">
        <v>71</v>
      </c>
      <c r="J1585" s="22" t="s">
        <v>43</v>
      </c>
      <c r="K1585" s="24">
        <v>6</v>
      </c>
      <c r="M1585" s="21">
        <v>46020</v>
      </c>
      <c r="N1585" s="22" t="s">
        <v>70</v>
      </c>
      <c r="O1585" s="22" t="s">
        <v>44</v>
      </c>
      <c r="P1585" s="49">
        <v>67.8</v>
      </c>
      <c r="Q1585" s="49">
        <v>66.8</v>
      </c>
      <c r="R1585" s="46">
        <f t="shared" si="52"/>
        <v>1</v>
      </c>
      <c r="T1585" s="21">
        <v>46000</v>
      </c>
      <c r="U1585" s="22" t="s">
        <v>47</v>
      </c>
      <c r="V1585" s="24">
        <v>5</v>
      </c>
      <c r="W1585" s="24">
        <v>4</v>
      </c>
      <c r="X1585" s="24">
        <v>4</v>
      </c>
      <c r="Y1585" s="24">
        <v>5</v>
      </c>
      <c r="Z1585" s="20">
        <f t="shared" si="53"/>
        <v>18</v>
      </c>
    </row>
    <row r="1586" spans="1:26" x14ac:dyDescent="0.2">
      <c r="A1586" s="21"/>
      <c r="B1586" s="20"/>
      <c r="C1586" s="22"/>
      <c r="D1586" s="22"/>
      <c r="E1586" s="24"/>
      <c r="F1586" s="22"/>
      <c r="H1586" s="21">
        <v>45971</v>
      </c>
      <c r="I1586" s="22" t="s">
        <v>71</v>
      </c>
      <c r="J1586" s="22" t="s">
        <v>50</v>
      </c>
      <c r="K1586" s="24" t="s">
        <v>61</v>
      </c>
      <c r="M1586" s="21">
        <v>46020</v>
      </c>
      <c r="N1586" s="22" t="s">
        <v>70</v>
      </c>
      <c r="O1586" s="22" t="s">
        <v>45</v>
      </c>
      <c r="P1586" s="49">
        <v>69</v>
      </c>
      <c r="Q1586" s="49">
        <v>68.5</v>
      </c>
      <c r="R1586" s="46">
        <f t="shared" si="52"/>
        <v>0.5</v>
      </c>
      <c r="T1586" s="21">
        <v>46000</v>
      </c>
      <c r="U1586" s="22" t="s">
        <v>48</v>
      </c>
      <c r="V1586" s="24">
        <v>5</v>
      </c>
      <c r="W1586" s="24">
        <v>4</v>
      </c>
      <c r="X1586" s="24">
        <v>4</v>
      </c>
      <c r="Y1586" s="24">
        <v>5</v>
      </c>
      <c r="Z1586" s="20">
        <f t="shared" si="53"/>
        <v>18</v>
      </c>
    </row>
    <row r="1587" spans="1:26" x14ac:dyDescent="0.2">
      <c r="A1587" s="21"/>
      <c r="B1587" s="20"/>
      <c r="C1587" s="22"/>
      <c r="D1587" s="22"/>
      <c r="E1587" s="24"/>
      <c r="F1587" s="22"/>
      <c r="H1587" s="21">
        <v>45971</v>
      </c>
      <c r="I1587" s="22" t="s">
        <v>71</v>
      </c>
      <c r="J1587" s="22" t="s">
        <v>51</v>
      </c>
      <c r="K1587" s="24">
        <v>7</v>
      </c>
      <c r="M1587" s="21">
        <v>46020</v>
      </c>
      <c r="N1587" s="22" t="s">
        <v>70</v>
      </c>
      <c r="O1587" s="22" t="s">
        <v>46</v>
      </c>
      <c r="P1587" s="49">
        <v>79.900000000000006</v>
      </c>
      <c r="Q1587" s="49">
        <v>80.8</v>
      </c>
      <c r="R1587" s="46">
        <f t="shared" si="52"/>
        <v>-0.89999999999999147</v>
      </c>
      <c r="T1587" s="21">
        <v>46000</v>
      </c>
      <c r="U1587" s="22" t="s">
        <v>49</v>
      </c>
      <c r="V1587" s="24">
        <v>4</v>
      </c>
      <c r="W1587" s="24">
        <v>4</v>
      </c>
      <c r="X1587" s="24">
        <v>4</v>
      </c>
      <c r="Y1587" s="24">
        <v>4</v>
      </c>
      <c r="Z1587" s="20">
        <f t="shared" si="53"/>
        <v>16</v>
      </c>
    </row>
    <row r="1588" spans="1:26" x14ac:dyDescent="0.2">
      <c r="A1588" s="21"/>
      <c r="B1588" s="20"/>
      <c r="C1588" s="22"/>
      <c r="D1588" s="22"/>
      <c r="E1588" s="24"/>
      <c r="F1588" s="22"/>
      <c r="H1588" s="21">
        <v>45971</v>
      </c>
      <c r="I1588" s="22" t="s">
        <v>71</v>
      </c>
      <c r="J1588" s="22" t="s">
        <v>46</v>
      </c>
      <c r="K1588" s="24">
        <v>6</v>
      </c>
      <c r="M1588" s="21">
        <v>46020</v>
      </c>
      <c r="N1588" s="22" t="s">
        <v>70</v>
      </c>
      <c r="O1588" s="22" t="s">
        <v>47</v>
      </c>
      <c r="P1588" s="49">
        <v>81.599999999999994</v>
      </c>
      <c r="Q1588" s="49">
        <v>80.5</v>
      </c>
      <c r="R1588" s="46">
        <f t="shared" si="52"/>
        <v>1.0999999999999943</v>
      </c>
      <c r="T1588" s="21">
        <v>46000</v>
      </c>
      <c r="U1588" s="22" t="s">
        <v>50</v>
      </c>
      <c r="V1588" s="24">
        <v>4</v>
      </c>
      <c r="W1588" s="24">
        <v>4</v>
      </c>
      <c r="X1588" s="24">
        <v>4</v>
      </c>
      <c r="Y1588" s="24">
        <v>4</v>
      </c>
      <c r="Z1588" s="20">
        <f t="shared" si="53"/>
        <v>16</v>
      </c>
    </row>
    <row r="1589" spans="1:26" x14ac:dyDescent="0.2">
      <c r="A1589" s="21"/>
      <c r="B1589" s="20"/>
      <c r="C1589" s="22"/>
      <c r="D1589" s="22"/>
      <c r="E1589" s="24"/>
      <c r="F1589" s="22"/>
      <c r="H1589" s="21">
        <v>45971</v>
      </c>
      <c r="I1589" s="22" t="s">
        <v>71</v>
      </c>
      <c r="J1589" s="22" t="s">
        <v>48</v>
      </c>
      <c r="K1589" s="24" t="s">
        <v>64</v>
      </c>
      <c r="M1589" s="21">
        <v>46020</v>
      </c>
      <c r="N1589" s="22" t="s">
        <v>70</v>
      </c>
      <c r="O1589" s="22" t="s">
        <v>48</v>
      </c>
      <c r="P1589" s="49">
        <v>79.5</v>
      </c>
      <c r="Q1589" s="49">
        <v>79.599999999999994</v>
      </c>
      <c r="R1589" s="46">
        <f t="shared" si="52"/>
        <v>-9.9999999999994316E-2</v>
      </c>
      <c r="T1589" s="21">
        <v>46000</v>
      </c>
      <c r="U1589" s="22" t="s">
        <v>51</v>
      </c>
      <c r="V1589" s="24">
        <v>4</v>
      </c>
      <c r="W1589" s="24">
        <v>4</v>
      </c>
      <c r="X1589" s="24">
        <v>4</v>
      </c>
      <c r="Y1589" s="24">
        <v>5</v>
      </c>
      <c r="Z1589" s="20">
        <f t="shared" si="53"/>
        <v>17</v>
      </c>
    </row>
    <row r="1590" spans="1:26" x14ac:dyDescent="0.2">
      <c r="A1590" s="21"/>
      <c r="B1590" s="20"/>
      <c r="C1590" s="22"/>
      <c r="D1590" s="22"/>
      <c r="E1590" s="24"/>
      <c r="F1590" s="22"/>
      <c r="H1590" s="21">
        <v>45971</v>
      </c>
      <c r="I1590" s="22" t="s">
        <v>71</v>
      </c>
      <c r="J1590" s="22" t="s">
        <v>56</v>
      </c>
      <c r="K1590" s="24">
        <v>8</v>
      </c>
      <c r="M1590" s="21">
        <v>46020</v>
      </c>
      <c r="N1590" s="22" t="s">
        <v>70</v>
      </c>
      <c r="O1590" s="22" t="s">
        <v>49</v>
      </c>
      <c r="P1590" s="49">
        <v>79.5</v>
      </c>
      <c r="Q1590" s="49">
        <v>79.599999999999994</v>
      </c>
      <c r="R1590" s="46">
        <f t="shared" si="52"/>
        <v>-9.9999999999994316E-2</v>
      </c>
      <c r="T1590" s="21">
        <v>46000</v>
      </c>
      <c r="U1590" s="22" t="s">
        <v>52</v>
      </c>
      <c r="V1590" s="24">
        <v>4</v>
      </c>
      <c r="W1590" s="24">
        <v>4</v>
      </c>
      <c r="X1590" s="24">
        <v>4</v>
      </c>
      <c r="Y1590" s="24">
        <v>4</v>
      </c>
      <c r="Z1590" s="20">
        <f t="shared" si="53"/>
        <v>16</v>
      </c>
    </row>
    <row r="1591" spans="1:26" x14ac:dyDescent="0.2">
      <c r="A1591" s="21"/>
      <c r="B1591" s="20"/>
      <c r="C1591" s="22"/>
      <c r="D1591" s="22"/>
      <c r="E1591" s="24"/>
      <c r="F1591" s="22"/>
      <c r="H1591" s="21">
        <v>45971</v>
      </c>
      <c r="I1591" s="22" t="s">
        <v>71</v>
      </c>
      <c r="J1591" s="22" t="s">
        <v>55</v>
      </c>
      <c r="K1591" s="24">
        <v>8</v>
      </c>
      <c r="M1591" s="21">
        <v>46020</v>
      </c>
      <c r="N1591" s="22" t="s">
        <v>70</v>
      </c>
      <c r="O1591" s="22" t="s">
        <v>50</v>
      </c>
      <c r="P1591" s="49">
        <v>67.400000000000006</v>
      </c>
      <c r="Q1591" s="49">
        <v>69.099999999999994</v>
      </c>
      <c r="R1591" s="46">
        <f t="shared" si="52"/>
        <v>-1.6999999999999886</v>
      </c>
      <c r="T1591" s="21">
        <v>46000</v>
      </c>
      <c r="U1591" s="22" t="s">
        <v>53</v>
      </c>
      <c r="V1591" s="24">
        <v>4</v>
      </c>
      <c r="W1591" s="24">
        <v>4</v>
      </c>
      <c r="X1591" s="24">
        <v>4</v>
      </c>
      <c r="Y1591" s="24">
        <v>4</v>
      </c>
      <c r="Z1591" s="20">
        <f t="shared" si="53"/>
        <v>16</v>
      </c>
    </row>
    <row r="1592" spans="1:26" x14ac:dyDescent="0.2">
      <c r="A1592" s="21"/>
      <c r="B1592" s="20"/>
      <c r="C1592" s="22"/>
      <c r="D1592" s="22"/>
      <c r="E1592" s="24"/>
      <c r="F1592" s="22"/>
      <c r="H1592" s="21">
        <v>45972</v>
      </c>
      <c r="I1592" s="22" t="s">
        <v>70</v>
      </c>
      <c r="J1592" s="22" t="s">
        <v>52</v>
      </c>
      <c r="K1592" s="24">
        <v>7</v>
      </c>
      <c r="M1592" s="21">
        <v>46020</v>
      </c>
      <c r="N1592" s="22" t="s">
        <v>70</v>
      </c>
      <c r="O1592" s="22" t="s">
        <v>51</v>
      </c>
      <c r="P1592" s="49">
        <v>75</v>
      </c>
      <c r="Q1592" s="49">
        <v>75.099999999999994</v>
      </c>
      <c r="R1592" s="46">
        <f t="shared" si="52"/>
        <v>-9.9999999999994316E-2</v>
      </c>
      <c r="T1592" s="21">
        <v>46000</v>
      </c>
      <c r="U1592" s="22" t="s">
        <v>56</v>
      </c>
      <c r="V1592" s="24">
        <v>4</v>
      </c>
      <c r="W1592" s="24">
        <v>4</v>
      </c>
      <c r="X1592" s="24">
        <v>4</v>
      </c>
      <c r="Y1592" s="24">
        <v>5</v>
      </c>
      <c r="Z1592" s="20">
        <f t="shared" si="53"/>
        <v>17</v>
      </c>
    </row>
    <row r="1593" spans="1:26" x14ac:dyDescent="0.2">
      <c r="A1593" s="21"/>
      <c r="B1593" s="20"/>
      <c r="C1593" s="22"/>
      <c r="D1593" s="22"/>
      <c r="E1593" s="24"/>
      <c r="F1593" s="22"/>
      <c r="H1593" s="21">
        <v>45972</v>
      </c>
      <c r="I1593" s="22" t="s">
        <v>70</v>
      </c>
      <c r="J1593" s="22" t="s">
        <v>53</v>
      </c>
      <c r="K1593" s="24">
        <v>7</v>
      </c>
      <c r="M1593" s="21">
        <v>46020</v>
      </c>
      <c r="N1593" s="22" t="s">
        <v>70</v>
      </c>
      <c r="O1593" s="22" t="s">
        <v>52</v>
      </c>
      <c r="P1593" s="49">
        <v>70.900000000000006</v>
      </c>
      <c r="Q1593" s="49">
        <v>70.2</v>
      </c>
      <c r="R1593" s="46">
        <f t="shared" si="52"/>
        <v>0.70000000000000284</v>
      </c>
      <c r="T1593" s="21">
        <v>46000</v>
      </c>
      <c r="U1593" s="22" t="s">
        <v>58</v>
      </c>
      <c r="V1593" s="24">
        <v>4</v>
      </c>
      <c r="W1593" s="24">
        <v>5</v>
      </c>
      <c r="X1593" s="24">
        <v>4</v>
      </c>
      <c r="Y1593" s="24">
        <v>5</v>
      </c>
      <c r="Z1593" s="20">
        <f t="shared" si="53"/>
        <v>18</v>
      </c>
    </row>
    <row r="1594" spans="1:26" x14ac:dyDescent="0.2">
      <c r="A1594" s="21"/>
      <c r="B1594" s="20"/>
      <c r="C1594" s="22"/>
      <c r="D1594" s="22"/>
      <c r="E1594" s="24"/>
      <c r="F1594" s="22"/>
      <c r="H1594" s="21">
        <v>45972</v>
      </c>
      <c r="I1594" s="22" t="s">
        <v>70</v>
      </c>
      <c r="J1594" s="22" t="s">
        <v>44</v>
      </c>
      <c r="K1594" s="24" t="s">
        <v>64</v>
      </c>
      <c r="M1594" s="21">
        <v>46020</v>
      </c>
      <c r="N1594" s="22" t="s">
        <v>70</v>
      </c>
      <c r="O1594" s="22" t="s">
        <v>53</v>
      </c>
      <c r="P1594" s="49">
        <v>67.2</v>
      </c>
      <c r="Q1594" s="49">
        <v>66.599999999999994</v>
      </c>
      <c r="R1594" s="46">
        <f t="shared" si="52"/>
        <v>0.60000000000000853</v>
      </c>
      <c r="T1594" s="21">
        <v>46000</v>
      </c>
      <c r="U1594" s="22" t="s">
        <v>33</v>
      </c>
      <c r="V1594" s="24">
        <v>4.0714285714285703</v>
      </c>
      <c r="W1594" s="24">
        <v>3.8571428571428599</v>
      </c>
      <c r="X1594" s="24">
        <v>3.9285714285714302</v>
      </c>
      <c r="Y1594" s="24">
        <v>4.4285714285714297</v>
      </c>
      <c r="Z1594" s="20">
        <f t="shared" si="53"/>
        <v>16.285714285714292</v>
      </c>
    </row>
    <row r="1595" spans="1:26" x14ac:dyDescent="0.2">
      <c r="A1595" s="21"/>
      <c r="B1595" s="20"/>
      <c r="C1595" s="22"/>
      <c r="D1595" s="22"/>
      <c r="E1595" s="24"/>
      <c r="F1595" s="22"/>
      <c r="H1595" s="21">
        <v>45972</v>
      </c>
      <c r="I1595" s="22" t="s">
        <v>70</v>
      </c>
      <c r="J1595" s="22" t="s">
        <v>45</v>
      </c>
      <c r="K1595" s="24">
        <v>7</v>
      </c>
      <c r="M1595" s="21">
        <v>46020</v>
      </c>
      <c r="N1595" s="22" t="s">
        <v>70</v>
      </c>
      <c r="O1595" s="22" t="s">
        <v>57</v>
      </c>
      <c r="P1595" s="49">
        <v>90.9</v>
      </c>
      <c r="Q1595" s="49">
        <v>90.4</v>
      </c>
      <c r="R1595" s="46">
        <f t="shared" si="52"/>
        <v>0.5</v>
      </c>
      <c r="T1595" s="21">
        <v>46001</v>
      </c>
      <c r="U1595" s="22" t="s">
        <v>41</v>
      </c>
      <c r="V1595" s="24">
        <v>1</v>
      </c>
      <c r="W1595" s="24">
        <v>1</v>
      </c>
      <c r="X1595" s="24">
        <v>1</v>
      </c>
      <c r="Y1595" s="24">
        <v>1</v>
      </c>
      <c r="Z1595" s="20">
        <f t="shared" si="53"/>
        <v>4</v>
      </c>
    </row>
    <row r="1596" spans="1:26" x14ac:dyDescent="0.2">
      <c r="A1596" s="21"/>
      <c r="B1596" s="20"/>
      <c r="C1596" s="22"/>
      <c r="D1596" s="22"/>
      <c r="E1596" s="24"/>
      <c r="F1596" s="22"/>
      <c r="H1596" s="21">
        <v>45972</v>
      </c>
      <c r="I1596" s="22" t="s">
        <v>70</v>
      </c>
      <c r="J1596" s="22" t="s">
        <v>57</v>
      </c>
      <c r="K1596" s="24">
        <v>7</v>
      </c>
      <c r="M1596" s="21">
        <v>46020</v>
      </c>
      <c r="N1596" s="22" t="s">
        <v>70</v>
      </c>
      <c r="O1596" s="22" t="s">
        <v>58</v>
      </c>
      <c r="P1596" s="49">
        <v>74.7</v>
      </c>
      <c r="Q1596" s="49">
        <v>74.7</v>
      </c>
      <c r="R1596" s="46">
        <f t="shared" si="52"/>
        <v>0</v>
      </c>
      <c r="T1596" s="21">
        <v>46001</v>
      </c>
      <c r="U1596" s="22" t="s">
        <v>42</v>
      </c>
      <c r="V1596" s="24">
        <v>4</v>
      </c>
      <c r="W1596" s="24">
        <v>4</v>
      </c>
      <c r="X1596" s="24">
        <v>4</v>
      </c>
      <c r="Y1596" s="24">
        <v>5</v>
      </c>
      <c r="Z1596" s="20">
        <f t="shared" si="53"/>
        <v>17</v>
      </c>
    </row>
    <row r="1597" spans="1:26" x14ac:dyDescent="0.2">
      <c r="A1597" s="21"/>
      <c r="B1597" s="20"/>
      <c r="C1597" s="22"/>
      <c r="D1597" s="22"/>
      <c r="E1597" s="24"/>
      <c r="F1597" s="22"/>
      <c r="H1597" s="21">
        <v>45972</v>
      </c>
      <c r="I1597" s="22" t="s">
        <v>70</v>
      </c>
      <c r="J1597" s="22" t="s">
        <v>42</v>
      </c>
      <c r="K1597" s="24">
        <v>4</v>
      </c>
      <c r="M1597" s="21">
        <v>46021</v>
      </c>
      <c r="N1597" s="22" t="s">
        <v>70</v>
      </c>
      <c r="O1597" s="22" t="s">
        <v>41</v>
      </c>
      <c r="P1597" s="49">
        <v>77</v>
      </c>
      <c r="Q1597" s="49">
        <v>77</v>
      </c>
      <c r="R1597" s="46">
        <f t="shared" si="52"/>
        <v>0</v>
      </c>
      <c r="T1597" s="21">
        <v>46001</v>
      </c>
      <c r="U1597" s="22" t="s">
        <v>44</v>
      </c>
      <c r="V1597" s="24">
        <v>5</v>
      </c>
      <c r="W1597" s="24">
        <v>3</v>
      </c>
      <c r="X1597" s="24">
        <v>3</v>
      </c>
      <c r="Y1597" s="24">
        <v>4</v>
      </c>
      <c r="Z1597" s="20">
        <f t="shared" si="53"/>
        <v>15</v>
      </c>
    </row>
    <row r="1598" spans="1:26" x14ac:dyDescent="0.2">
      <c r="A1598" s="21"/>
      <c r="B1598" s="20"/>
      <c r="C1598" s="22"/>
      <c r="D1598" s="22"/>
      <c r="E1598" s="24"/>
      <c r="F1598" s="22"/>
      <c r="H1598" s="21">
        <v>45972</v>
      </c>
      <c r="I1598" s="22" t="s">
        <v>70</v>
      </c>
      <c r="J1598" s="22" t="s">
        <v>47</v>
      </c>
      <c r="K1598" s="24">
        <v>6</v>
      </c>
      <c r="M1598" s="21">
        <v>46021</v>
      </c>
      <c r="N1598" s="22" t="s">
        <v>70</v>
      </c>
      <c r="O1598" s="22" t="s">
        <v>42</v>
      </c>
      <c r="P1598" s="49">
        <v>79.2</v>
      </c>
      <c r="Q1598" s="49">
        <v>79</v>
      </c>
      <c r="R1598" s="46">
        <f t="shared" si="52"/>
        <v>0.20000000000000284</v>
      </c>
      <c r="T1598" s="21">
        <v>46001</v>
      </c>
      <c r="U1598" s="22" t="s">
        <v>45</v>
      </c>
      <c r="V1598" s="24">
        <v>2</v>
      </c>
      <c r="W1598" s="24">
        <v>3</v>
      </c>
      <c r="X1598" s="24">
        <v>3</v>
      </c>
      <c r="Y1598" s="24">
        <v>3</v>
      </c>
      <c r="Z1598" s="20">
        <f t="shared" si="53"/>
        <v>11</v>
      </c>
    </row>
    <row r="1599" spans="1:26" x14ac:dyDescent="0.2">
      <c r="A1599" s="21"/>
      <c r="B1599" s="20"/>
      <c r="C1599" s="22"/>
      <c r="D1599" s="22"/>
      <c r="E1599" s="24"/>
      <c r="F1599" s="22"/>
      <c r="H1599" s="21">
        <v>45972</v>
      </c>
      <c r="I1599" s="22" t="s">
        <v>70</v>
      </c>
      <c r="J1599" s="22" t="s">
        <v>41</v>
      </c>
      <c r="K1599" s="24" t="s">
        <v>64</v>
      </c>
      <c r="M1599" s="21">
        <v>46021</v>
      </c>
      <c r="N1599" s="22" t="s">
        <v>70</v>
      </c>
      <c r="O1599" s="22" t="s">
        <v>44</v>
      </c>
      <c r="P1599" s="49">
        <v>66.5</v>
      </c>
      <c r="Q1599" s="49">
        <v>67.2</v>
      </c>
      <c r="R1599" s="46">
        <f t="shared" si="52"/>
        <v>-0.70000000000000284</v>
      </c>
      <c r="T1599" s="21">
        <v>46001</v>
      </c>
      <c r="U1599" s="22" t="s">
        <v>46</v>
      </c>
      <c r="V1599" s="24">
        <v>3</v>
      </c>
      <c r="W1599" s="24">
        <v>3</v>
      </c>
      <c r="X1599" s="24">
        <v>4</v>
      </c>
      <c r="Y1599" s="24">
        <v>4</v>
      </c>
      <c r="Z1599" s="20">
        <f t="shared" si="53"/>
        <v>14</v>
      </c>
    </row>
    <row r="1600" spans="1:26" x14ac:dyDescent="0.2">
      <c r="A1600" s="21"/>
      <c r="B1600" s="20"/>
      <c r="C1600" s="22"/>
      <c r="D1600" s="22"/>
      <c r="E1600" s="24"/>
      <c r="F1600" s="22"/>
      <c r="H1600" s="21">
        <v>45972</v>
      </c>
      <c r="I1600" s="22" t="s">
        <v>70</v>
      </c>
      <c r="J1600" s="22" t="s">
        <v>58</v>
      </c>
      <c r="K1600" s="24">
        <v>8</v>
      </c>
      <c r="M1600" s="21">
        <v>46021</v>
      </c>
      <c r="N1600" s="22" t="s">
        <v>70</v>
      </c>
      <c r="O1600" s="22" t="s">
        <v>45</v>
      </c>
      <c r="P1600" s="49">
        <v>69</v>
      </c>
      <c r="Q1600" s="49">
        <v>68.3</v>
      </c>
      <c r="R1600" s="46">
        <f t="shared" si="52"/>
        <v>0.70000000000000284</v>
      </c>
      <c r="T1600" s="21">
        <v>46001</v>
      </c>
      <c r="U1600" s="22" t="s">
        <v>47</v>
      </c>
      <c r="V1600" s="24">
        <v>3</v>
      </c>
      <c r="W1600" s="24">
        <v>3</v>
      </c>
      <c r="X1600" s="24">
        <v>4</v>
      </c>
      <c r="Y1600" s="24">
        <v>5</v>
      </c>
      <c r="Z1600" s="20">
        <f t="shared" si="53"/>
        <v>15</v>
      </c>
    </row>
    <row r="1601" spans="1:26" x14ac:dyDescent="0.2">
      <c r="A1601" s="21"/>
      <c r="B1601" s="20"/>
      <c r="C1601" s="22"/>
      <c r="D1601" s="22"/>
      <c r="E1601" s="24"/>
      <c r="F1601" s="22"/>
      <c r="H1601" s="21">
        <v>45972</v>
      </c>
      <c r="I1601" s="22" t="s">
        <v>70</v>
      </c>
      <c r="J1601" s="22" t="s">
        <v>49</v>
      </c>
      <c r="K1601" s="24">
        <v>6</v>
      </c>
      <c r="M1601" s="21">
        <v>46021</v>
      </c>
      <c r="N1601" s="22" t="s">
        <v>70</v>
      </c>
      <c r="O1601" s="22" t="s">
        <v>46</v>
      </c>
      <c r="P1601" s="49">
        <v>80</v>
      </c>
      <c r="Q1601" s="49">
        <v>81</v>
      </c>
      <c r="R1601" s="46">
        <f t="shared" si="52"/>
        <v>-1</v>
      </c>
      <c r="T1601" s="21">
        <v>46001</v>
      </c>
      <c r="U1601" s="22" t="s">
        <v>48</v>
      </c>
      <c r="V1601" s="24">
        <v>3</v>
      </c>
      <c r="W1601" s="24">
        <v>4</v>
      </c>
      <c r="X1601" s="24">
        <v>4</v>
      </c>
      <c r="Y1601" s="24">
        <v>5</v>
      </c>
      <c r="Z1601" s="20">
        <f t="shared" si="53"/>
        <v>16</v>
      </c>
    </row>
    <row r="1602" spans="1:26" x14ac:dyDescent="0.2">
      <c r="A1602" s="21"/>
      <c r="B1602" s="20"/>
      <c r="C1602" s="22"/>
      <c r="D1602" s="22"/>
      <c r="E1602" s="24"/>
      <c r="F1602" s="22"/>
      <c r="H1602" s="21">
        <v>45972</v>
      </c>
      <c r="I1602" s="22" t="s">
        <v>70</v>
      </c>
      <c r="J1602" s="22" t="s">
        <v>43</v>
      </c>
      <c r="K1602" s="24">
        <v>5</v>
      </c>
      <c r="M1602" s="21">
        <v>46021</v>
      </c>
      <c r="N1602" s="22" t="s">
        <v>70</v>
      </c>
      <c r="O1602" s="22" t="s">
        <v>47</v>
      </c>
      <c r="P1602" s="49">
        <v>72</v>
      </c>
      <c r="Q1602" s="49">
        <v>71.5</v>
      </c>
      <c r="R1602" s="46">
        <f t="shared" si="52"/>
        <v>0.5</v>
      </c>
      <c r="T1602" s="21">
        <v>46001</v>
      </c>
      <c r="U1602" s="22" t="s">
        <v>49</v>
      </c>
      <c r="V1602" s="24">
        <v>4</v>
      </c>
      <c r="W1602" s="24">
        <v>4</v>
      </c>
      <c r="X1602" s="24">
        <v>4</v>
      </c>
      <c r="Y1602" s="24">
        <v>4</v>
      </c>
      <c r="Z1602" s="20">
        <f t="shared" si="53"/>
        <v>16</v>
      </c>
    </row>
    <row r="1603" spans="1:26" x14ac:dyDescent="0.2">
      <c r="A1603" s="21"/>
      <c r="B1603" s="20"/>
      <c r="C1603" s="22"/>
      <c r="D1603" s="22"/>
      <c r="E1603" s="24"/>
      <c r="F1603" s="22"/>
      <c r="H1603" s="21">
        <v>45972</v>
      </c>
      <c r="I1603" s="22" t="s">
        <v>70</v>
      </c>
      <c r="J1603" s="22" t="s">
        <v>50</v>
      </c>
      <c r="K1603" s="24" t="s">
        <v>61</v>
      </c>
      <c r="M1603" s="21">
        <v>46021</v>
      </c>
      <c r="N1603" s="22" t="s">
        <v>70</v>
      </c>
      <c r="O1603" s="22" t="s">
        <v>49</v>
      </c>
      <c r="P1603" s="49">
        <v>78.8</v>
      </c>
      <c r="Q1603" s="49">
        <v>78.7</v>
      </c>
      <c r="R1603" s="46">
        <f t="shared" ref="R1603:R1666" si="54">IFERROR(P1603-Q1603,"")</f>
        <v>9.9999999999994316E-2</v>
      </c>
      <c r="T1603" s="21">
        <v>46001</v>
      </c>
      <c r="U1603" s="22" t="s">
        <v>50</v>
      </c>
      <c r="V1603" s="24">
        <v>2</v>
      </c>
      <c r="W1603" s="24">
        <v>3</v>
      </c>
      <c r="X1603" s="24">
        <v>3</v>
      </c>
      <c r="Y1603" s="24">
        <v>4</v>
      </c>
      <c r="Z1603" s="20">
        <f t="shared" ref="Z1603:Z1666" si="55">SUM(V1603:Y1603)</f>
        <v>12</v>
      </c>
    </row>
    <row r="1604" spans="1:26" x14ac:dyDescent="0.2">
      <c r="A1604" s="21"/>
      <c r="B1604" s="20"/>
      <c r="C1604" s="22"/>
      <c r="D1604" s="22"/>
      <c r="E1604" s="24"/>
      <c r="F1604" s="22"/>
      <c r="H1604" s="21">
        <v>45972</v>
      </c>
      <c r="I1604" s="22" t="s">
        <v>70</v>
      </c>
      <c r="J1604" s="22" t="s">
        <v>51</v>
      </c>
      <c r="K1604" s="24">
        <v>8</v>
      </c>
      <c r="M1604" s="21">
        <v>46021</v>
      </c>
      <c r="N1604" s="22" t="s">
        <v>70</v>
      </c>
      <c r="O1604" s="22" t="s">
        <v>50</v>
      </c>
      <c r="P1604" s="49">
        <v>65.900000000000006</v>
      </c>
      <c r="Q1604" s="49">
        <v>65.400000000000006</v>
      </c>
      <c r="R1604" s="46">
        <f t="shared" si="54"/>
        <v>0.5</v>
      </c>
      <c r="T1604" s="21">
        <v>46001</v>
      </c>
      <c r="U1604" s="22" t="s">
        <v>51</v>
      </c>
      <c r="V1604" s="24">
        <v>4</v>
      </c>
      <c r="W1604" s="24">
        <v>4</v>
      </c>
      <c r="X1604" s="24">
        <v>4</v>
      </c>
      <c r="Y1604" s="24">
        <v>5</v>
      </c>
      <c r="Z1604" s="20">
        <f t="shared" si="55"/>
        <v>17</v>
      </c>
    </row>
    <row r="1605" spans="1:26" x14ac:dyDescent="0.2">
      <c r="A1605" s="21"/>
      <c r="B1605" s="20"/>
      <c r="C1605" s="22"/>
      <c r="D1605" s="22"/>
      <c r="E1605" s="24"/>
      <c r="F1605" s="22"/>
      <c r="H1605" s="21">
        <v>45972</v>
      </c>
      <c r="I1605" s="22" t="s">
        <v>70</v>
      </c>
      <c r="J1605" s="22" t="s">
        <v>46</v>
      </c>
      <c r="K1605" s="24">
        <v>6</v>
      </c>
      <c r="M1605" s="21">
        <v>46021</v>
      </c>
      <c r="N1605" s="22" t="s">
        <v>70</v>
      </c>
      <c r="O1605" s="22" t="s">
        <v>51</v>
      </c>
      <c r="P1605" s="49">
        <v>75.400000000000006</v>
      </c>
      <c r="Q1605" s="49">
        <v>75.3</v>
      </c>
      <c r="R1605" s="46">
        <f t="shared" si="54"/>
        <v>0.10000000000000853</v>
      </c>
      <c r="T1605" s="21">
        <v>46001</v>
      </c>
      <c r="U1605" s="22" t="s">
        <v>52</v>
      </c>
      <c r="V1605" s="24">
        <v>2</v>
      </c>
      <c r="W1605" s="24">
        <v>4</v>
      </c>
      <c r="X1605" s="24">
        <v>4</v>
      </c>
      <c r="Y1605" s="24">
        <v>4</v>
      </c>
      <c r="Z1605" s="20">
        <f t="shared" si="55"/>
        <v>14</v>
      </c>
    </row>
    <row r="1606" spans="1:26" x14ac:dyDescent="0.2">
      <c r="A1606" s="21"/>
      <c r="B1606" s="20"/>
      <c r="C1606" s="22"/>
      <c r="D1606" s="22"/>
      <c r="E1606" s="24"/>
      <c r="F1606" s="22"/>
      <c r="H1606" s="21">
        <v>45972</v>
      </c>
      <c r="I1606" s="22" t="s">
        <v>70</v>
      </c>
      <c r="J1606" s="22" t="s">
        <v>48</v>
      </c>
      <c r="K1606" s="24" t="s">
        <v>64</v>
      </c>
      <c r="M1606" s="21">
        <v>46021</v>
      </c>
      <c r="N1606" s="22" t="s">
        <v>70</v>
      </c>
      <c r="O1606" s="22" t="s">
        <v>52</v>
      </c>
      <c r="P1606" s="49">
        <v>71.599999999999994</v>
      </c>
      <c r="Q1606" s="49">
        <v>71.400000000000006</v>
      </c>
      <c r="R1606" s="46">
        <f t="shared" si="54"/>
        <v>0.19999999999998863</v>
      </c>
      <c r="T1606" s="21">
        <v>46001</v>
      </c>
      <c r="U1606" s="22" t="s">
        <v>53</v>
      </c>
      <c r="V1606" s="24">
        <v>4</v>
      </c>
      <c r="W1606" s="24">
        <v>4</v>
      </c>
      <c r="X1606" s="24">
        <v>4</v>
      </c>
      <c r="Y1606" s="24">
        <v>2</v>
      </c>
      <c r="Z1606" s="20">
        <f t="shared" si="55"/>
        <v>14</v>
      </c>
    </row>
    <row r="1607" spans="1:26" x14ac:dyDescent="0.2">
      <c r="A1607" s="21"/>
      <c r="B1607" s="20"/>
      <c r="C1607" s="22"/>
      <c r="D1607" s="22"/>
      <c r="E1607" s="24"/>
      <c r="F1607" s="22"/>
      <c r="H1607" s="21">
        <v>45972</v>
      </c>
      <c r="I1607" s="22" t="s">
        <v>70</v>
      </c>
      <c r="J1607" s="22" t="s">
        <v>56</v>
      </c>
      <c r="K1607" s="24">
        <v>9</v>
      </c>
      <c r="M1607" s="21">
        <v>46021</v>
      </c>
      <c r="N1607" s="22" t="s">
        <v>70</v>
      </c>
      <c r="O1607" s="22" t="s">
        <v>53</v>
      </c>
      <c r="P1607" s="49">
        <v>67.5</v>
      </c>
      <c r="Q1607" s="49">
        <v>66.8</v>
      </c>
      <c r="R1607" s="46">
        <f t="shared" si="54"/>
        <v>0.70000000000000284</v>
      </c>
      <c r="T1607" s="21">
        <v>46001</v>
      </c>
      <c r="U1607" s="22" t="s">
        <v>56</v>
      </c>
      <c r="V1607" s="24">
        <v>4</v>
      </c>
      <c r="W1607" s="24">
        <v>5</v>
      </c>
      <c r="X1607" s="24">
        <v>5</v>
      </c>
      <c r="Y1607" s="24">
        <v>2</v>
      </c>
      <c r="Z1607" s="20">
        <f t="shared" si="55"/>
        <v>16</v>
      </c>
    </row>
    <row r="1608" spans="1:26" x14ac:dyDescent="0.2">
      <c r="A1608" s="21"/>
      <c r="B1608" s="20"/>
      <c r="C1608" s="22"/>
      <c r="D1608" s="22"/>
      <c r="E1608" s="24"/>
      <c r="F1608" s="22"/>
      <c r="H1608" s="21">
        <v>45972</v>
      </c>
      <c r="I1608" s="22" t="s">
        <v>70</v>
      </c>
      <c r="J1608" s="22" t="s">
        <v>55</v>
      </c>
      <c r="K1608" s="24">
        <v>8</v>
      </c>
      <c r="M1608" s="21">
        <v>46021</v>
      </c>
      <c r="N1608" s="22" t="s">
        <v>70</v>
      </c>
      <c r="O1608" s="22" t="s">
        <v>57</v>
      </c>
      <c r="P1608" s="49">
        <v>91.4</v>
      </c>
      <c r="Q1608" s="49">
        <v>90.2</v>
      </c>
      <c r="R1608" s="46">
        <f t="shared" si="54"/>
        <v>1.2000000000000028</v>
      </c>
      <c r="T1608" s="21">
        <v>46001</v>
      </c>
      <c r="U1608" s="22" t="s">
        <v>58</v>
      </c>
      <c r="V1608" s="24">
        <v>5</v>
      </c>
      <c r="W1608" s="24">
        <v>5</v>
      </c>
      <c r="X1608" s="24">
        <v>4</v>
      </c>
      <c r="Y1608" s="24">
        <v>5</v>
      </c>
      <c r="Z1608" s="20">
        <f t="shared" si="55"/>
        <v>19</v>
      </c>
    </row>
    <row r="1609" spans="1:26" x14ac:dyDescent="0.2">
      <c r="A1609" s="21"/>
      <c r="B1609" s="20"/>
      <c r="C1609" s="22"/>
      <c r="D1609" s="22"/>
      <c r="E1609" s="24"/>
      <c r="F1609" s="22"/>
      <c r="H1609" s="21">
        <v>45973</v>
      </c>
      <c r="I1609" s="22" t="s">
        <v>70</v>
      </c>
      <c r="J1609" s="22" t="s">
        <v>52</v>
      </c>
      <c r="K1609" s="24">
        <v>7</v>
      </c>
      <c r="M1609" s="21">
        <v>46021</v>
      </c>
      <c r="N1609" s="22" t="s">
        <v>70</v>
      </c>
      <c r="O1609" s="22" t="s">
        <v>58</v>
      </c>
      <c r="P1609" s="49">
        <v>74.900000000000006</v>
      </c>
      <c r="Q1609" s="49">
        <v>74.7</v>
      </c>
      <c r="R1609" s="46">
        <f t="shared" si="54"/>
        <v>0.20000000000000284</v>
      </c>
      <c r="T1609" s="21">
        <v>46001</v>
      </c>
      <c r="U1609" s="22" t="s">
        <v>33</v>
      </c>
      <c r="V1609" s="24">
        <v>3.28571428571429</v>
      </c>
      <c r="W1609" s="24">
        <v>3.5714285714285698</v>
      </c>
      <c r="X1609" s="24">
        <v>3.6428571428571401</v>
      </c>
      <c r="Y1609" s="24">
        <v>3.78571428571429</v>
      </c>
      <c r="Z1609" s="20">
        <f t="shared" si="55"/>
        <v>14.28571428571429</v>
      </c>
    </row>
    <row r="1610" spans="1:26" x14ac:dyDescent="0.2">
      <c r="A1610" s="21"/>
      <c r="B1610" s="20"/>
      <c r="C1610" s="22"/>
      <c r="D1610" s="22"/>
      <c r="E1610" s="24"/>
      <c r="F1610" s="22"/>
      <c r="H1610" s="21">
        <v>45973</v>
      </c>
      <c r="I1610" s="22" t="s">
        <v>70</v>
      </c>
      <c r="J1610" s="22" t="s">
        <v>53</v>
      </c>
      <c r="K1610" s="24">
        <v>7</v>
      </c>
      <c r="M1610" s="21">
        <v>46022</v>
      </c>
      <c r="N1610" s="22" t="s">
        <v>70</v>
      </c>
      <c r="O1610" s="22" t="s">
        <v>41</v>
      </c>
      <c r="P1610" s="49">
        <v>76.8</v>
      </c>
      <c r="Q1610" s="49">
        <v>76.7</v>
      </c>
      <c r="R1610" s="46">
        <f t="shared" si="54"/>
        <v>9.9999999999994316E-2</v>
      </c>
      <c r="T1610" s="21">
        <v>46002</v>
      </c>
      <c r="U1610" s="22" t="s">
        <v>41</v>
      </c>
      <c r="V1610" s="24">
        <v>1</v>
      </c>
      <c r="W1610" s="24">
        <v>1</v>
      </c>
      <c r="X1610" s="24">
        <v>1</v>
      </c>
      <c r="Y1610" s="24">
        <v>1</v>
      </c>
      <c r="Z1610" s="20">
        <f t="shared" si="55"/>
        <v>4</v>
      </c>
    </row>
    <row r="1611" spans="1:26" x14ac:dyDescent="0.2">
      <c r="A1611" s="21"/>
      <c r="B1611" s="20"/>
      <c r="C1611" s="22"/>
      <c r="D1611" s="22"/>
      <c r="E1611" s="24"/>
      <c r="F1611" s="22"/>
      <c r="H1611" s="21">
        <v>45973</v>
      </c>
      <c r="I1611" s="22" t="s">
        <v>70</v>
      </c>
      <c r="J1611" s="22" t="s">
        <v>44</v>
      </c>
      <c r="K1611" s="24" t="s">
        <v>64</v>
      </c>
      <c r="M1611" s="21">
        <v>46022</v>
      </c>
      <c r="N1611" s="22" t="s">
        <v>70</v>
      </c>
      <c r="O1611" s="22" t="s">
        <v>42</v>
      </c>
      <c r="P1611" s="49">
        <v>79</v>
      </c>
      <c r="Q1611" s="49">
        <v>79.2</v>
      </c>
      <c r="R1611" s="46">
        <f t="shared" si="54"/>
        <v>-0.20000000000000284</v>
      </c>
      <c r="T1611" s="21">
        <v>46002</v>
      </c>
      <c r="U1611" s="22" t="s">
        <v>42</v>
      </c>
      <c r="V1611" s="24">
        <v>4</v>
      </c>
      <c r="W1611" s="24">
        <v>4</v>
      </c>
      <c r="X1611" s="24">
        <v>4</v>
      </c>
      <c r="Y1611" s="24">
        <v>5</v>
      </c>
      <c r="Z1611" s="20">
        <f t="shared" si="55"/>
        <v>17</v>
      </c>
    </row>
    <row r="1612" spans="1:26" x14ac:dyDescent="0.2">
      <c r="A1612" s="21"/>
      <c r="B1612" s="20"/>
      <c r="C1612" s="22"/>
      <c r="D1612" s="22"/>
      <c r="E1612" s="24"/>
      <c r="F1612" s="22"/>
      <c r="H1612" s="21">
        <v>45973</v>
      </c>
      <c r="I1612" s="22" t="s">
        <v>70</v>
      </c>
      <c r="J1612" s="22" t="s">
        <v>45</v>
      </c>
      <c r="K1612" s="24">
        <v>7</v>
      </c>
      <c r="M1612" s="21">
        <v>46022</v>
      </c>
      <c r="N1612" s="22" t="s">
        <v>70</v>
      </c>
      <c r="O1612" s="22" t="s">
        <v>44</v>
      </c>
      <c r="P1612" s="49">
        <v>67.7</v>
      </c>
      <c r="Q1612" s="49">
        <v>67.5</v>
      </c>
      <c r="R1612" s="46">
        <f t="shared" si="54"/>
        <v>0.20000000000000284</v>
      </c>
      <c r="T1612" s="21">
        <v>46002</v>
      </c>
      <c r="U1612" s="22" t="s">
        <v>44</v>
      </c>
      <c r="V1612" s="24">
        <v>5</v>
      </c>
      <c r="W1612" s="24">
        <v>3</v>
      </c>
      <c r="X1612" s="24">
        <v>5</v>
      </c>
      <c r="Y1612" s="24">
        <v>5</v>
      </c>
      <c r="Z1612" s="20">
        <f t="shared" si="55"/>
        <v>18</v>
      </c>
    </row>
    <row r="1613" spans="1:26" x14ac:dyDescent="0.2">
      <c r="A1613" s="21"/>
      <c r="B1613" s="20"/>
      <c r="C1613" s="22"/>
      <c r="D1613" s="22"/>
      <c r="E1613" s="24"/>
      <c r="F1613" s="22"/>
      <c r="H1613" s="21">
        <v>45973</v>
      </c>
      <c r="I1613" s="22" t="s">
        <v>70</v>
      </c>
      <c r="J1613" s="22" t="s">
        <v>57</v>
      </c>
      <c r="K1613" s="24">
        <v>8</v>
      </c>
      <c r="M1613" s="21">
        <v>46022</v>
      </c>
      <c r="N1613" s="22" t="s">
        <v>70</v>
      </c>
      <c r="O1613" s="22" t="s">
        <v>45</v>
      </c>
      <c r="P1613" s="49">
        <v>69</v>
      </c>
      <c r="Q1613" s="49">
        <v>69</v>
      </c>
      <c r="R1613" s="46">
        <f t="shared" si="54"/>
        <v>0</v>
      </c>
      <c r="T1613" s="21">
        <v>46002</v>
      </c>
      <c r="U1613" s="22" t="s">
        <v>45</v>
      </c>
      <c r="V1613" s="24">
        <v>4</v>
      </c>
      <c r="W1613" s="24">
        <v>4</v>
      </c>
      <c r="X1613" s="24">
        <v>4</v>
      </c>
      <c r="Y1613" s="24">
        <v>5</v>
      </c>
      <c r="Z1613" s="20">
        <f t="shared" si="55"/>
        <v>17</v>
      </c>
    </row>
    <row r="1614" spans="1:26" x14ac:dyDescent="0.2">
      <c r="A1614" s="21"/>
      <c r="B1614" s="20"/>
      <c r="C1614" s="22"/>
      <c r="D1614" s="22"/>
      <c r="E1614" s="24"/>
      <c r="F1614" s="22"/>
      <c r="H1614" s="21">
        <v>45973</v>
      </c>
      <c r="I1614" s="22" t="s">
        <v>70</v>
      </c>
      <c r="J1614" s="22" t="s">
        <v>42</v>
      </c>
      <c r="K1614" s="24">
        <v>4</v>
      </c>
      <c r="M1614" s="21">
        <v>46022</v>
      </c>
      <c r="N1614" s="22" t="s">
        <v>70</v>
      </c>
      <c r="O1614" s="22" t="s">
        <v>46</v>
      </c>
      <c r="P1614" s="49">
        <v>80</v>
      </c>
      <c r="Q1614" s="49">
        <v>80.3</v>
      </c>
      <c r="R1614" s="46">
        <f t="shared" si="54"/>
        <v>-0.29999999999999716</v>
      </c>
      <c r="T1614" s="21">
        <v>46002</v>
      </c>
      <c r="U1614" s="22" t="s">
        <v>46</v>
      </c>
      <c r="V1614" s="24">
        <v>3</v>
      </c>
      <c r="W1614" s="24">
        <v>3</v>
      </c>
      <c r="X1614" s="24">
        <v>4</v>
      </c>
      <c r="Y1614" s="24">
        <v>4</v>
      </c>
      <c r="Z1614" s="20">
        <f t="shared" si="55"/>
        <v>14</v>
      </c>
    </row>
    <row r="1615" spans="1:26" x14ac:dyDescent="0.2">
      <c r="A1615" s="21"/>
      <c r="B1615" s="20"/>
      <c r="C1615" s="22"/>
      <c r="D1615" s="22"/>
      <c r="E1615" s="24"/>
      <c r="F1615" s="22"/>
      <c r="H1615" s="21">
        <v>45973</v>
      </c>
      <c r="I1615" s="22" t="s">
        <v>70</v>
      </c>
      <c r="J1615" s="22" t="s">
        <v>47</v>
      </c>
      <c r="K1615" s="24">
        <v>6</v>
      </c>
      <c r="M1615" s="21">
        <v>46022</v>
      </c>
      <c r="N1615" s="22" t="s">
        <v>70</v>
      </c>
      <c r="O1615" s="22" t="s">
        <v>47</v>
      </c>
      <c r="P1615" s="49">
        <v>71.599999999999994</v>
      </c>
      <c r="Q1615" s="49">
        <v>71</v>
      </c>
      <c r="R1615" s="46">
        <f t="shared" si="54"/>
        <v>0.59999999999999432</v>
      </c>
      <c r="T1615" s="21">
        <v>46002</v>
      </c>
      <c r="U1615" s="22" t="s">
        <v>47</v>
      </c>
      <c r="V1615" s="24">
        <v>4</v>
      </c>
      <c r="W1615" s="24">
        <v>4</v>
      </c>
      <c r="X1615" s="24">
        <v>4</v>
      </c>
      <c r="Y1615" s="24">
        <v>5</v>
      </c>
      <c r="Z1615" s="20">
        <f t="shared" si="55"/>
        <v>17</v>
      </c>
    </row>
    <row r="1616" spans="1:26" x14ac:dyDescent="0.2">
      <c r="A1616" s="21"/>
      <c r="B1616" s="20"/>
      <c r="C1616" s="22"/>
      <c r="D1616" s="22"/>
      <c r="E1616" s="24"/>
      <c r="F1616" s="22"/>
      <c r="H1616" s="21">
        <v>45973</v>
      </c>
      <c r="I1616" s="22" t="s">
        <v>70</v>
      </c>
      <c r="J1616" s="22" t="s">
        <v>41</v>
      </c>
      <c r="K1616" s="24" t="s">
        <v>64</v>
      </c>
      <c r="M1616" s="21">
        <v>46022</v>
      </c>
      <c r="N1616" s="22" t="s">
        <v>70</v>
      </c>
      <c r="O1616" s="22" t="s">
        <v>48</v>
      </c>
      <c r="P1616" s="49">
        <v>80.900000000000006</v>
      </c>
      <c r="Q1616" s="49">
        <v>80.099999999999994</v>
      </c>
      <c r="R1616" s="46">
        <f t="shared" si="54"/>
        <v>0.80000000000001137</v>
      </c>
      <c r="T1616" s="21">
        <v>46002</v>
      </c>
      <c r="U1616" s="22" t="s">
        <v>48</v>
      </c>
      <c r="V1616" s="24">
        <v>5</v>
      </c>
      <c r="W1616" s="24">
        <v>4</v>
      </c>
      <c r="X1616" s="24">
        <v>4</v>
      </c>
      <c r="Y1616" s="24">
        <v>5</v>
      </c>
      <c r="Z1616" s="20">
        <f t="shared" si="55"/>
        <v>18</v>
      </c>
    </row>
    <row r="1617" spans="1:26" x14ac:dyDescent="0.2">
      <c r="A1617" s="21"/>
      <c r="B1617" s="20"/>
      <c r="C1617" s="22"/>
      <c r="D1617" s="22"/>
      <c r="E1617" s="24"/>
      <c r="F1617" s="22"/>
      <c r="H1617" s="21">
        <v>45973</v>
      </c>
      <c r="I1617" s="22" t="s">
        <v>70</v>
      </c>
      <c r="J1617" s="22" t="s">
        <v>58</v>
      </c>
      <c r="K1617" s="24">
        <v>8</v>
      </c>
      <c r="M1617" s="21">
        <v>46022</v>
      </c>
      <c r="N1617" s="22" t="s">
        <v>70</v>
      </c>
      <c r="O1617" s="22" t="s">
        <v>49</v>
      </c>
      <c r="P1617" s="49">
        <v>78.2</v>
      </c>
      <c r="Q1617" s="49">
        <v>78.599999999999994</v>
      </c>
      <c r="R1617" s="46">
        <f t="shared" si="54"/>
        <v>-0.39999999999999147</v>
      </c>
      <c r="T1617" s="21">
        <v>46002</v>
      </c>
      <c r="U1617" s="22" t="s">
        <v>49</v>
      </c>
      <c r="V1617" s="24">
        <v>4</v>
      </c>
      <c r="W1617" s="24">
        <v>4</v>
      </c>
      <c r="X1617" s="24">
        <v>4</v>
      </c>
      <c r="Y1617" s="24">
        <v>4</v>
      </c>
      <c r="Z1617" s="20">
        <f t="shared" si="55"/>
        <v>16</v>
      </c>
    </row>
    <row r="1618" spans="1:26" x14ac:dyDescent="0.2">
      <c r="A1618" s="21"/>
      <c r="B1618" s="20"/>
      <c r="C1618" s="22"/>
      <c r="D1618" s="22"/>
      <c r="E1618" s="24"/>
      <c r="F1618" s="22"/>
      <c r="H1618" s="21">
        <v>45973</v>
      </c>
      <c r="I1618" s="22" t="s">
        <v>70</v>
      </c>
      <c r="J1618" s="22" t="s">
        <v>49</v>
      </c>
      <c r="K1618" s="24">
        <v>7</v>
      </c>
      <c r="M1618" s="21">
        <v>46022</v>
      </c>
      <c r="N1618" s="22" t="s">
        <v>70</v>
      </c>
      <c r="O1618" s="22" t="s">
        <v>50</v>
      </c>
      <c r="P1618" s="49">
        <v>65.400000000000006</v>
      </c>
      <c r="Q1618" s="49">
        <v>65.099999999999994</v>
      </c>
      <c r="R1618" s="46">
        <f t="shared" si="54"/>
        <v>0.30000000000001137</v>
      </c>
      <c r="T1618" s="21">
        <v>46002</v>
      </c>
      <c r="U1618" s="22" t="s">
        <v>51</v>
      </c>
      <c r="V1618" s="24">
        <v>4</v>
      </c>
      <c r="W1618" s="24">
        <v>4</v>
      </c>
      <c r="X1618" s="24">
        <v>4</v>
      </c>
      <c r="Y1618" s="24">
        <v>5</v>
      </c>
      <c r="Z1618" s="20">
        <f t="shared" si="55"/>
        <v>17</v>
      </c>
    </row>
    <row r="1619" spans="1:26" x14ac:dyDescent="0.2">
      <c r="A1619" s="21"/>
      <c r="B1619" s="20"/>
      <c r="C1619" s="22"/>
      <c r="D1619" s="22"/>
      <c r="E1619" s="24"/>
      <c r="F1619" s="22"/>
      <c r="H1619" s="21">
        <v>45973</v>
      </c>
      <c r="I1619" s="22" t="s">
        <v>70</v>
      </c>
      <c r="J1619" s="22" t="s">
        <v>50</v>
      </c>
      <c r="K1619" s="24" t="s">
        <v>61</v>
      </c>
      <c r="M1619" s="21">
        <v>46022</v>
      </c>
      <c r="N1619" s="22" t="s">
        <v>70</v>
      </c>
      <c r="O1619" s="22" t="s">
        <v>51</v>
      </c>
      <c r="P1619" s="49">
        <v>75.099999999999994</v>
      </c>
      <c r="Q1619" s="49">
        <v>75.2</v>
      </c>
      <c r="R1619" s="46">
        <f t="shared" si="54"/>
        <v>-0.10000000000000853</v>
      </c>
      <c r="T1619" s="21">
        <v>46002</v>
      </c>
      <c r="U1619" s="22" t="s">
        <v>52</v>
      </c>
      <c r="V1619" s="24">
        <v>4</v>
      </c>
      <c r="W1619" s="24">
        <v>4</v>
      </c>
      <c r="X1619" s="24">
        <v>4</v>
      </c>
      <c r="Y1619" s="24">
        <v>4</v>
      </c>
      <c r="Z1619" s="20">
        <f t="shared" si="55"/>
        <v>16</v>
      </c>
    </row>
    <row r="1620" spans="1:26" x14ac:dyDescent="0.2">
      <c r="A1620" s="21"/>
      <c r="B1620" s="20"/>
      <c r="C1620" s="22"/>
      <c r="D1620" s="22"/>
      <c r="E1620" s="24"/>
      <c r="F1620" s="22"/>
      <c r="H1620" s="21">
        <v>45973</v>
      </c>
      <c r="I1620" s="22" t="s">
        <v>70</v>
      </c>
      <c r="J1620" s="22" t="s">
        <v>51</v>
      </c>
      <c r="K1620" s="24">
        <v>8</v>
      </c>
      <c r="M1620" s="21">
        <v>46022</v>
      </c>
      <c r="N1620" s="22" t="s">
        <v>70</v>
      </c>
      <c r="O1620" s="22" t="s">
        <v>52</v>
      </c>
      <c r="P1620" s="49">
        <v>71.7</v>
      </c>
      <c r="Q1620" s="49">
        <v>71.3</v>
      </c>
      <c r="R1620" s="46">
        <f t="shared" si="54"/>
        <v>0.40000000000000568</v>
      </c>
      <c r="T1620" s="21">
        <v>46002</v>
      </c>
      <c r="U1620" s="22" t="s">
        <v>53</v>
      </c>
      <c r="V1620" s="24">
        <v>4</v>
      </c>
      <c r="W1620" s="24">
        <v>4</v>
      </c>
      <c r="X1620" s="24">
        <v>4</v>
      </c>
      <c r="Y1620" s="24">
        <v>4</v>
      </c>
      <c r="Z1620" s="20">
        <f t="shared" si="55"/>
        <v>16</v>
      </c>
    </row>
    <row r="1621" spans="1:26" x14ac:dyDescent="0.2">
      <c r="A1621" s="21"/>
      <c r="B1621" s="20"/>
      <c r="C1621" s="22"/>
      <c r="D1621" s="22"/>
      <c r="E1621" s="24"/>
      <c r="F1621" s="22"/>
      <c r="H1621" s="21">
        <v>45973</v>
      </c>
      <c r="I1621" s="22" t="s">
        <v>70</v>
      </c>
      <c r="J1621" s="22" t="s">
        <v>46</v>
      </c>
      <c r="K1621" s="24">
        <v>6</v>
      </c>
      <c r="M1621" s="21">
        <v>46022</v>
      </c>
      <c r="N1621" s="22" t="s">
        <v>70</v>
      </c>
      <c r="O1621" s="22" t="s">
        <v>53</v>
      </c>
      <c r="P1621" s="49">
        <v>66.599999999999994</v>
      </c>
      <c r="Q1621" s="49">
        <v>66.3</v>
      </c>
      <c r="R1621" s="46">
        <f t="shared" si="54"/>
        <v>0.29999999999999716</v>
      </c>
      <c r="T1621" s="21">
        <v>46002</v>
      </c>
      <c r="U1621" s="22" t="s">
        <v>56</v>
      </c>
      <c r="V1621" s="24">
        <v>4</v>
      </c>
      <c r="W1621" s="24">
        <v>5</v>
      </c>
      <c r="X1621" s="24">
        <v>5</v>
      </c>
      <c r="Y1621" s="24">
        <v>4</v>
      </c>
      <c r="Z1621" s="20">
        <f t="shared" si="55"/>
        <v>18</v>
      </c>
    </row>
    <row r="1622" spans="1:26" x14ac:dyDescent="0.2">
      <c r="A1622" s="21"/>
      <c r="B1622" s="20"/>
      <c r="C1622" s="22"/>
      <c r="D1622" s="22"/>
      <c r="E1622" s="24"/>
      <c r="F1622" s="22"/>
      <c r="H1622" s="21">
        <v>45973</v>
      </c>
      <c r="I1622" s="22" t="s">
        <v>70</v>
      </c>
      <c r="J1622" s="22" t="s">
        <v>48</v>
      </c>
      <c r="K1622" s="24" t="s">
        <v>64</v>
      </c>
      <c r="M1622" s="21">
        <v>46022</v>
      </c>
      <c r="N1622" s="22" t="s">
        <v>70</v>
      </c>
      <c r="O1622" s="22" t="s">
        <v>56</v>
      </c>
      <c r="P1622" s="49">
        <v>74.5</v>
      </c>
      <c r="Q1622" s="49">
        <v>74.5</v>
      </c>
      <c r="R1622" s="46">
        <f t="shared" si="54"/>
        <v>0</v>
      </c>
      <c r="T1622" s="21">
        <v>46002</v>
      </c>
      <c r="U1622" s="22" t="s">
        <v>57</v>
      </c>
      <c r="V1622" s="24">
        <v>4</v>
      </c>
      <c r="W1622" s="24">
        <v>4</v>
      </c>
      <c r="X1622" s="24">
        <v>4</v>
      </c>
      <c r="Y1622" s="24">
        <v>5</v>
      </c>
      <c r="Z1622" s="20">
        <f t="shared" si="55"/>
        <v>17</v>
      </c>
    </row>
    <row r="1623" spans="1:26" x14ac:dyDescent="0.2">
      <c r="A1623" s="21"/>
      <c r="B1623" s="20"/>
      <c r="C1623" s="22"/>
      <c r="D1623" s="22"/>
      <c r="E1623" s="24"/>
      <c r="F1623" s="22"/>
      <c r="H1623" s="21">
        <v>45973</v>
      </c>
      <c r="I1623" s="22" t="s">
        <v>70</v>
      </c>
      <c r="J1623" s="22" t="s">
        <v>56</v>
      </c>
      <c r="K1623" s="24">
        <v>8</v>
      </c>
      <c r="M1623" s="21">
        <v>46022</v>
      </c>
      <c r="N1623" s="22" t="s">
        <v>70</v>
      </c>
      <c r="O1623" s="22" t="s">
        <v>57</v>
      </c>
      <c r="P1623" s="49">
        <v>89.9</v>
      </c>
      <c r="Q1623" s="49">
        <v>89.5</v>
      </c>
      <c r="R1623" s="46">
        <f t="shared" si="54"/>
        <v>0.40000000000000568</v>
      </c>
      <c r="T1623" s="21">
        <v>46002</v>
      </c>
      <c r="U1623" s="22" t="s">
        <v>58</v>
      </c>
      <c r="V1623" s="24">
        <v>4</v>
      </c>
      <c r="W1623" s="24">
        <v>4</v>
      </c>
      <c r="X1623" s="24">
        <v>4</v>
      </c>
      <c r="Y1623" s="24">
        <v>5</v>
      </c>
      <c r="Z1623" s="20">
        <f t="shared" si="55"/>
        <v>17</v>
      </c>
    </row>
    <row r="1624" spans="1:26" x14ac:dyDescent="0.2">
      <c r="A1624" s="21"/>
      <c r="B1624" s="20"/>
      <c r="C1624" s="22"/>
      <c r="D1624" s="22"/>
      <c r="E1624" s="24"/>
      <c r="F1624" s="22"/>
      <c r="H1624" s="21">
        <v>45973</v>
      </c>
      <c r="I1624" s="22" t="s">
        <v>70</v>
      </c>
      <c r="J1624" s="22" t="s">
        <v>55</v>
      </c>
      <c r="K1624" s="24">
        <v>8</v>
      </c>
      <c r="M1624" s="21">
        <v>46022</v>
      </c>
      <c r="N1624" s="22" t="s">
        <v>70</v>
      </c>
      <c r="O1624" s="22" t="s">
        <v>58</v>
      </c>
      <c r="P1624" s="49">
        <v>75.7</v>
      </c>
      <c r="Q1624" s="49">
        <v>75.400000000000006</v>
      </c>
      <c r="R1624" s="46">
        <f t="shared" si="54"/>
        <v>0.29999999999999716</v>
      </c>
      <c r="T1624" s="21">
        <v>46002</v>
      </c>
      <c r="U1624" s="22" t="s">
        <v>33</v>
      </c>
      <c r="V1624" s="24">
        <v>3.8571428571428599</v>
      </c>
      <c r="W1624" s="24">
        <v>3.71428571428571</v>
      </c>
      <c r="X1624" s="24">
        <v>3.9285714285714302</v>
      </c>
      <c r="Y1624" s="24">
        <v>4.3571428571428603</v>
      </c>
      <c r="Z1624" s="20">
        <f t="shared" si="55"/>
        <v>15.857142857142861</v>
      </c>
    </row>
    <row r="1625" spans="1:26" x14ac:dyDescent="0.2">
      <c r="A1625" s="21"/>
      <c r="B1625" s="20"/>
      <c r="C1625" s="22"/>
      <c r="D1625" s="22"/>
      <c r="E1625" s="24"/>
      <c r="F1625" s="22"/>
      <c r="H1625" s="21">
        <v>45974</v>
      </c>
      <c r="I1625" s="22" t="s">
        <v>70</v>
      </c>
      <c r="J1625" s="22" t="s">
        <v>52</v>
      </c>
      <c r="K1625" s="24">
        <v>5</v>
      </c>
      <c r="M1625" s="21">
        <v>46027</v>
      </c>
      <c r="N1625" s="22" t="s">
        <v>70</v>
      </c>
      <c r="O1625" s="22" t="s">
        <v>41</v>
      </c>
      <c r="P1625" s="49">
        <v>77</v>
      </c>
      <c r="Q1625" s="49">
        <v>76.8</v>
      </c>
      <c r="R1625" s="46">
        <f t="shared" si="54"/>
        <v>0.20000000000000284</v>
      </c>
      <c r="T1625" s="21">
        <v>46003</v>
      </c>
      <c r="U1625" s="22" t="s">
        <v>41</v>
      </c>
      <c r="V1625" s="24">
        <v>1</v>
      </c>
      <c r="W1625" s="24">
        <v>1</v>
      </c>
      <c r="X1625" s="24">
        <v>1</v>
      </c>
      <c r="Y1625" s="24">
        <v>1</v>
      </c>
      <c r="Z1625" s="20">
        <f t="shared" si="55"/>
        <v>4</v>
      </c>
    </row>
    <row r="1626" spans="1:26" x14ac:dyDescent="0.2">
      <c r="A1626" s="21"/>
      <c r="B1626" s="20"/>
      <c r="C1626" s="22"/>
      <c r="D1626" s="22"/>
      <c r="E1626" s="24"/>
      <c r="F1626" s="22"/>
      <c r="H1626" s="21">
        <v>45974</v>
      </c>
      <c r="I1626" s="22" t="s">
        <v>70</v>
      </c>
      <c r="J1626" s="22" t="s">
        <v>53</v>
      </c>
      <c r="K1626" s="24">
        <v>6</v>
      </c>
      <c r="M1626" s="21">
        <v>46027</v>
      </c>
      <c r="N1626" s="22" t="s">
        <v>70</v>
      </c>
      <c r="O1626" s="22" t="s">
        <v>42</v>
      </c>
      <c r="P1626" s="49">
        <v>79.2</v>
      </c>
      <c r="Q1626" s="49">
        <v>79</v>
      </c>
      <c r="R1626" s="46">
        <f t="shared" si="54"/>
        <v>0.20000000000000284</v>
      </c>
      <c r="T1626" s="21">
        <v>46003</v>
      </c>
      <c r="U1626" s="22" t="s">
        <v>42</v>
      </c>
      <c r="V1626" s="24">
        <v>4</v>
      </c>
      <c r="W1626" s="24">
        <v>4</v>
      </c>
      <c r="X1626" s="24">
        <v>4</v>
      </c>
      <c r="Y1626" s="24">
        <v>5</v>
      </c>
      <c r="Z1626" s="20">
        <f t="shared" si="55"/>
        <v>17</v>
      </c>
    </row>
    <row r="1627" spans="1:26" x14ac:dyDescent="0.2">
      <c r="A1627" s="21"/>
      <c r="B1627" s="20"/>
      <c r="C1627" s="22"/>
      <c r="D1627" s="22"/>
      <c r="E1627" s="24"/>
      <c r="F1627" s="22"/>
      <c r="H1627" s="21">
        <v>45974</v>
      </c>
      <c r="I1627" s="22" t="s">
        <v>70</v>
      </c>
      <c r="J1627" s="22" t="s">
        <v>44</v>
      </c>
      <c r="K1627" s="24">
        <v>3</v>
      </c>
      <c r="M1627" s="21">
        <v>46027</v>
      </c>
      <c r="N1627" s="22" t="s">
        <v>70</v>
      </c>
      <c r="O1627" s="22" t="s">
        <v>44</v>
      </c>
      <c r="P1627" s="49">
        <v>67.900000000000006</v>
      </c>
      <c r="Q1627" s="49">
        <v>67.8</v>
      </c>
      <c r="R1627" s="46">
        <f t="shared" si="54"/>
        <v>0.10000000000000853</v>
      </c>
      <c r="T1627" s="21">
        <v>46003</v>
      </c>
      <c r="U1627" s="22" t="s">
        <v>44</v>
      </c>
      <c r="V1627" s="24">
        <v>5</v>
      </c>
      <c r="W1627" s="24">
        <v>4</v>
      </c>
      <c r="X1627" s="24">
        <v>5</v>
      </c>
      <c r="Y1627" s="24">
        <v>5</v>
      </c>
      <c r="Z1627" s="20">
        <f t="shared" si="55"/>
        <v>19</v>
      </c>
    </row>
    <row r="1628" spans="1:26" x14ac:dyDescent="0.2">
      <c r="A1628" s="21"/>
      <c r="B1628" s="20"/>
      <c r="C1628" s="22"/>
      <c r="D1628" s="22"/>
      <c r="E1628" s="24"/>
      <c r="F1628" s="22"/>
      <c r="H1628" s="21">
        <v>45974</v>
      </c>
      <c r="I1628" s="22" t="s">
        <v>70</v>
      </c>
      <c r="J1628" s="22" t="s">
        <v>45</v>
      </c>
      <c r="K1628" s="24">
        <v>7</v>
      </c>
      <c r="M1628" s="21">
        <v>46027</v>
      </c>
      <c r="N1628" s="22" t="s">
        <v>70</v>
      </c>
      <c r="O1628" s="22" t="s">
        <v>45</v>
      </c>
      <c r="P1628" s="49">
        <v>69</v>
      </c>
      <c r="Q1628" s="49">
        <v>69</v>
      </c>
      <c r="R1628" s="46">
        <f t="shared" si="54"/>
        <v>0</v>
      </c>
      <c r="T1628" s="21">
        <v>46003</v>
      </c>
      <c r="U1628" s="22" t="s">
        <v>45</v>
      </c>
      <c r="V1628" s="24">
        <v>5</v>
      </c>
      <c r="W1628" s="24">
        <v>4</v>
      </c>
      <c r="X1628" s="24">
        <v>4</v>
      </c>
      <c r="Y1628" s="24">
        <v>5</v>
      </c>
      <c r="Z1628" s="20">
        <f t="shared" si="55"/>
        <v>18</v>
      </c>
    </row>
    <row r="1629" spans="1:26" x14ac:dyDescent="0.2">
      <c r="A1629" s="21"/>
      <c r="B1629" s="20"/>
      <c r="C1629" s="22"/>
      <c r="D1629" s="22"/>
      <c r="E1629" s="24"/>
      <c r="F1629" s="22"/>
      <c r="H1629" s="21">
        <v>45974</v>
      </c>
      <c r="I1629" s="22" t="s">
        <v>70</v>
      </c>
      <c r="J1629" s="22" t="s">
        <v>57</v>
      </c>
      <c r="K1629" s="24">
        <v>6</v>
      </c>
      <c r="M1629" s="21">
        <v>46027</v>
      </c>
      <c r="N1629" s="22" t="s">
        <v>70</v>
      </c>
      <c r="O1629" s="22" t="s">
        <v>46</v>
      </c>
      <c r="P1629" s="49">
        <v>80.2</v>
      </c>
      <c r="Q1629" s="49">
        <v>81.2</v>
      </c>
      <c r="R1629" s="46">
        <f t="shared" si="54"/>
        <v>-1</v>
      </c>
      <c r="T1629" s="21">
        <v>46003</v>
      </c>
      <c r="U1629" s="22" t="s">
        <v>47</v>
      </c>
      <c r="V1629" s="24">
        <v>5</v>
      </c>
      <c r="W1629" s="24">
        <v>4</v>
      </c>
      <c r="X1629" s="24">
        <v>4</v>
      </c>
      <c r="Y1629" s="24">
        <v>5</v>
      </c>
      <c r="Z1629" s="20">
        <f t="shared" si="55"/>
        <v>18</v>
      </c>
    </row>
    <row r="1630" spans="1:26" x14ac:dyDescent="0.2">
      <c r="A1630" s="21"/>
      <c r="B1630" s="20"/>
      <c r="C1630" s="22"/>
      <c r="D1630" s="22"/>
      <c r="E1630" s="24"/>
      <c r="F1630" s="22"/>
      <c r="H1630" s="21">
        <v>45974</v>
      </c>
      <c r="I1630" s="22" t="s">
        <v>70</v>
      </c>
      <c r="J1630" s="22" t="s">
        <v>42</v>
      </c>
      <c r="K1630" s="24">
        <v>2</v>
      </c>
      <c r="M1630" s="21">
        <v>46027</v>
      </c>
      <c r="N1630" s="22" t="s">
        <v>70</v>
      </c>
      <c r="O1630" s="22" t="s">
        <v>47</v>
      </c>
      <c r="P1630" s="49">
        <v>72</v>
      </c>
      <c r="Q1630" s="49">
        <v>71.3</v>
      </c>
      <c r="R1630" s="46">
        <f t="shared" si="54"/>
        <v>0.70000000000000284</v>
      </c>
      <c r="T1630" s="21">
        <v>46003</v>
      </c>
      <c r="U1630" s="22" t="s">
        <v>48</v>
      </c>
      <c r="V1630" s="24">
        <v>5</v>
      </c>
      <c r="W1630" s="24">
        <v>4</v>
      </c>
      <c r="X1630" s="24">
        <v>4</v>
      </c>
      <c r="Y1630" s="24">
        <v>5</v>
      </c>
      <c r="Z1630" s="20">
        <f t="shared" si="55"/>
        <v>18</v>
      </c>
    </row>
    <row r="1631" spans="1:26" x14ac:dyDescent="0.2">
      <c r="A1631" s="21"/>
      <c r="B1631" s="20"/>
      <c r="C1631" s="22"/>
      <c r="D1631" s="22"/>
      <c r="E1631" s="24"/>
      <c r="F1631" s="22"/>
      <c r="H1631" s="21">
        <v>45974</v>
      </c>
      <c r="I1631" s="22" t="s">
        <v>70</v>
      </c>
      <c r="J1631" s="22" t="s">
        <v>47</v>
      </c>
      <c r="K1631" s="24">
        <v>6</v>
      </c>
      <c r="M1631" s="21">
        <v>46027</v>
      </c>
      <c r="N1631" s="22" t="s">
        <v>70</v>
      </c>
      <c r="O1631" s="22" t="s">
        <v>48</v>
      </c>
      <c r="P1631" s="49">
        <v>81.2</v>
      </c>
      <c r="Q1631" s="49">
        <v>79.8</v>
      </c>
      <c r="R1631" s="46">
        <f t="shared" si="54"/>
        <v>1.4000000000000057</v>
      </c>
      <c r="T1631" s="21">
        <v>46003</v>
      </c>
      <c r="U1631" s="22" t="s">
        <v>49</v>
      </c>
      <c r="V1631" s="24">
        <v>4</v>
      </c>
      <c r="W1631" s="24">
        <v>4</v>
      </c>
      <c r="X1631" s="24">
        <v>4</v>
      </c>
      <c r="Y1631" s="24">
        <v>4</v>
      </c>
      <c r="Z1631" s="20">
        <f t="shared" si="55"/>
        <v>16</v>
      </c>
    </row>
    <row r="1632" spans="1:26" x14ac:dyDescent="0.2">
      <c r="A1632" s="21"/>
      <c r="B1632" s="20"/>
      <c r="C1632" s="22"/>
      <c r="D1632" s="22"/>
      <c r="E1632" s="24"/>
      <c r="F1632" s="22"/>
      <c r="H1632" s="21">
        <v>45974</v>
      </c>
      <c r="I1632" s="22" t="s">
        <v>70</v>
      </c>
      <c r="J1632" s="22" t="s">
        <v>41</v>
      </c>
      <c r="K1632" s="24">
        <v>2</v>
      </c>
      <c r="M1632" s="21">
        <v>46027</v>
      </c>
      <c r="N1632" s="22" t="s">
        <v>70</v>
      </c>
      <c r="O1632" s="22" t="s">
        <v>49</v>
      </c>
      <c r="P1632" s="49">
        <v>77.7</v>
      </c>
      <c r="Q1632" s="49">
        <v>77.8</v>
      </c>
      <c r="R1632" s="46">
        <f t="shared" si="54"/>
        <v>-9.9999999999994316E-2</v>
      </c>
      <c r="T1632" s="21">
        <v>46003</v>
      </c>
      <c r="U1632" s="22" t="s">
        <v>50</v>
      </c>
      <c r="V1632" s="24">
        <v>5</v>
      </c>
      <c r="W1632" s="24">
        <v>3</v>
      </c>
      <c r="X1632" s="24">
        <v>5</v>
      </c>
      <c r="Y1632" s="24">
        <v>5</v>
      </c>
      <c r="Z1632" s="20">
        <f t="shared" si="55"/>
        <v>18</v>
      </c>
    </row>
    <row r="1633" spans="1:26" x14ac:dyDescent="0.2">
      <c r="A1633" s="21"/>
      <c r="B1633" s="20"/>
      <c r="C1633" s="22"/>
      <c r="D1633" s="22"/>
      <c r="E1633" s="24"/>
      <c r="F1633" s="22"/>
      <c r="H1633" s="21">
        <v>45974</v>
      </c>
      <c r="I1633" s="22" t="s">
        <v>70</v>
      </c>
      <c r="J1633" s="22" t="s">
        <v>58</v>
      </c>
      <c r="K1633" s="24">
        <v>4</v>
      </c>
      <c r="M1633" s="21">
        <v>46027</v>
      </c>
      <c r="N1633" s="22" t="s">
        <v>70</v>
      </c>
      <c r="O1633" s="22" t="s">
        <v>50</v>
      </c>
      <c r="P1633" s="49">
        <v>66.7</v>
      </c>
      <c r="Q1633" s="49">
        <v>66.400000000000006</v>
      </c>
      <c r="R1633" s="46">
        <f t="shared" si="54"/>
        <v>0.29999999999999716</v>
      </c>
      <c r="T1633" s="21">
        <v>46003</v>
      </c>
      <c r="U1633" s="22" t="s">
        <v>51</v>
      </c>
      <c r="V1633" s="24">
        <v>4</v>
      </c>
      <c r="W1633" s="24">
        <v>4</v>
      </c>
      <c r="X1633" s="24">
        <v>4</v>
      </c>
      <c r="Y1633" s="24">
        <v>5</v>
      </c>
      <c r="Z1633" s="20">
        <f t="shared" si="55"/>
        <v>17</v>
      </c>
    </row>
    <row r="1634" spans="1:26" x14ac:dyDescent="0.2">
      <c r="A1634" s="21"/>
      <c r="B1634" s="20"/>
      <c r="C1634" s="22"/>
      <c r="D1634" s="22"/>
      <c r="E1634" s="24"/>
      <c r="F1634" s="22"/>
      <c r="H1634" s="21">
        <v>45974</v>
      </c>
      <c r="I1634" s="22" t="s">
        <v>70</v>
      </c>
      <c r="J1634" s="22" t="s">
        <v>49</v>
      </c>
      <c r="K1634" s="24">
        <v>7</v>
      </c>
      <c r="M1634" s="21">
        <v>46027</v>
      </c>
      <c r="N1634" s="22" t="s">
        <v>70</v>
      </c>
      <c r="O1634" s="22" t="s">
        <v>51</v>
      </c>
      <c r="P1634" s="49">
        <v>75.099999999999994</v>
      </c>
      <c r="Q1634" s="49">
        <v>75.2</v>
      </c>
      <c r="R1634" s="46">
        <f t="shared" si="54"/>
        <v>-0.10000000000000853</v>
      </c>
      <c r="T1634" s="21">
        <v>46003</v>
      </c>
      <c r="U1634" s="22" t="s">
        <v>52</v>
      </c>
      <c r="V1634" s="24">
        <v>4</v>
      </c>
      <c r="W1634" s="24">
        <v>4</v>
      </c>
      <c r="X1634" s="24">
        <v>4</v>
      </c>
      <c r="Y1634" s="24">
        <v>4</v>
      </c>
      <c r="Z1634" s="20">
        <f t="shared" si="55"/>
        <v>16</v>
      </c>
    </row>
    <row r="1635" spans="1:26" x14ac:dyDescent="0.2">
      <c r="A1635" s="21"/>
      <c r="B1635" s="20"/>
      <c r="C1635" s="22"/>
      <c r="D1635" s="22"/>
      <c r="E1635" s="24"/>
      <c r="F1635" s="22"/>
      <c r="H1635" s="21">
        <v>45974</v>
      </c>
      <c r="I1635" s="22" t="s">
        <v>70</v>
      </c>
      <c r="J1635" s="22" t="s">
        <v>50</v>
      </c>
      <c r="K1635" s="24">
        <v>3</v>
      </c>
      <c r="M1635" s="21">
        <v>46027</v>
      </c>
      <c r="N1635" s="22" t="s">
        <v>70</v>
      </c>
      <c r="O1635" s="22" t="s">
        <v>52</v>
      </c>
      <c r="P1635" s="49">
        <v>71</v>
      </c>
      <c r="Q1635" s="49">
        <v>71</v>
      </c>
      <c r="R1635" s="46">
        <f t="shared" si="54"/>
        <v>0</v>
      </c>
      <c r="T1635" s="21">
        <v>46003</v>
      </c>
      <c r="U1635" s="22" t="s">
        <v>53</v>
      </c>
      <c r="V1635" s="24">
        <v>4</v>
      </c>
      <c r="W1635" s="24">
        <v>4</v>
      </c>
      <c r="X1635" s="24">
        <v>4</v>
      </c>
      <c r="Y1635" s="24">
        <v>3</v>
      </c>
      <c r="Z1635" s="20">
        <f t="shared" si="55"/>
        <v>15</v>
      </c>
    </row>
    <row r="1636" spans="1:26" x14ac:dyDescent="0.2">
      <c r="A1636" s="21"/>
      <c r="B1636" s="20"/>
      <c r="C1636" s="22"/>
      <c r="D1636" s="22"/>
      <c r="E1636" s="24"/>
      <c r="F1636" s="22"/>
      <c r="H1636" s="21">
        <v>45974</v>
      </c>
      <c r="I1636" s="22" t="s">
        <v>70</v>
      </c>
      <c r="J1636" s="22" t="s">
        <v>51</v>
      </c>
      <c r="K1636" s="24">
        <v>3</v>
      </c>
      <c r="M1636" s="21">
        <v>46027</v>
      </c>
      <c r="N1636" s="22" t="s">
        <v>70</v>
      </c>
      <c r="O1636" s="22" t="s">
        <v>53</v>
      </c>
      <c r="P1636" s="49">
        <v>68.2</v>
      </c>
      <c r="Q1636" s="49">
        <v>67.599999999999994</v>
      </c>
      <c r="R1636" s="46">
        <f t="shared" si="54"/>
        <v>0.60000000000000853</v>
      </c>
      <c r="T1636" s="21">
        <v>46003</v>
      </c>
      <c r="U1636" s="22" t="s">
        <v>56</v>
      </c>
      <c r="V1636" s="24">
        <v>4</v>
      </c>
      <c r="W1636" s="24">
        <v>4</v>
      </c>
      <c r="X1636" s="24">
        <v>4</v>
      </c>
      <c r="Y1636" s="24">
        <v>5</v>
      </c>
      <c r="Z1636" s="20">
        <f t="shared" si="55"/>
        <v>17</v>
      </c>
    </row>
    <row r="1637" spans="1:26" x14ac:dyDescent="0.2">
      <c r="A1637" s="21"/>
      <c r="B1637" s="20"/>
      <c r="C1637" s="22"/>
      <c r="D1637" s="22"/>
      <c r="E1637" s="24"/>
      <c r="F1637" s="22"/>
      <c r="H1637" s="21">
        <v>45974</v>
      </c>
      <c r="I1637" s="22" t="s">
        <v>70</v>
      </c>
      <c r="J1637" s="22" t="s">
        <v>46</v>
      </c>
      <c r="K1637" s="24">
        <v>3</v>
      </c>
      <c r="M1637" s="21">
        <v>46027</v>
      </c>
      <c r="N1637" s="22" t="s">
        <v>70</v>
      </c>
      <c r="O1637" s="22" t="s">
        <v>56</v>
      </c>
      <c r="P1637" s="49">
        <v>75.400000000000006</v>
      </c>
      <c r="Q1637" s="49">
        <v>75.5</v>
      </c>
      <c r="R1637" s="46">
        <f t="shared" si="54"/>
        <v>-9.9999999999994316E-2</v>
      </c>
      <c r="T1637" s="21">
        <v>46003</v>
      </c>
      <c r="U1637" s="22" t="s">
        <v>57</v>
      </c>
      <c r="V1637" s="24">
        <v>5</v>
      </c>
      <c r="W1637" s="24">
        <v>4</v>
      </c>
      <c r="X1637" s="24">
        <v>4</v>
      </c>
      <c r="Y1637" s="24">
        <v>4</v>
      </c>
      <c r="Z1637" s="20">
        <f t="shared" si="55"/>
        <v>17</v>
      </c>
    </row>
    <row r="1638" spans="1:26" x14ac:dyDescent="0.2">
      <c r="A1638" s="21"/>
      <c r="B1638" s="20"/>
      <c r="C1638" s="22"/>
      <c r="D1638" s="22"/>
      <c r="E1638" s="24"/>
      <c r="F1638" s="22"/>
      <c r="H1638" s="21">
        <v>45974</v>
      </c>
      <c r="I1638" s="22" t="s">
        <v>70</v>
      </c>
      <c r="J1638" s="22" t="s">
        <v>48</v>
      </c>
      <c r="K1638" s="24">
        <v>3</v>
      </c>
      <c r="M1638" s="21">
        <v>46027</v>
      </c>
      <c r="N1638" s="22" t="s">
        <v>70</v>
      </c>
      <c r="O1638" s="22" t="s">
        <v>57</v>
      </c>
      <c r="P1638" s="49">
        <v>90.2</v>
      </c>
      <c r="Q1638" s="49">
        <v>89.3</v>
      </c>
      <c r="R1638" s="46">
        <f t="shared" si="54"/>
        <v>0.90000000000000568</v>
      </c>
      <c r="T1638" s="21">
        <v>46003</v>
      </c>
      <c r="U1638" s="22" t="s">
        <v>58</v>
      </c>
      <c r="V1638" s="24">
        <v>4</v>
      </c>
      <c r="W1638" s="24">
        <v>4</v>
      </c>
      <c r="X1638" s="24">
        <v>4</v>
      </c>
      <c r="Y1638" s="24">
        <v>5</v>
      </c>
      <c r="Z1638" s="20">
        <f t="shared" si="55"/>
        <v>17</v>
      </c>
    </row>
    <row r="1639" spans="1:26" x14ac:dyDescent="0.2">
      <c r="A1639" s="21"/>
      <c r="B1639" s="20"/>
      <c r="C1639" s="22"/>
      <c r="D1639" s="22"/>
      <c r="E1639" s="24"/>
      <c r="F1639" s="22"/>
      <c r="H1639" s="21">
        <v>45974</v>
      </c>
      <c r="I1639" s="22" t="s">
        <v>70</v>
      </c>
      <c r="J1639" s="22" t="s">
        <v>56</v>
      </c>
      <c r="K1639" s="24">
        <v>7</v>
      </c>
      <c r="M1639" s="21">
        <v>46027</v>
      </c>
      <c r="N1639" s="22" t="s">
        <v>70</v>
      </c>
      <c r="O1639" s="22" t="s">
        <v>58</v>
      </c>
      <c r="P1639" s="49">
        <v>74.2</v>
      </c>
      <c r="Q1639" s="49">
        <v>74.099999999999994</v>
      </c>
      <c r="R1639" s="46">
        <f t="shared" si="54"/>
        <v>0.10000000000000853</v>
      </c>
      <c r="T1639" s="21">
        <v>46003</v>
      </c>
      <c r="U1639" s="22" t="s">
        <v>33</v>
      </c>
      <c r="V1639" s="24">
        <v>4.21428571428571</v>
      </c>
      <c r="W1639" s="24">
        <v>3.71428571428571</v>
      </c>
      <c r="X1639" s="24">
        <v>3.9285714285714302</v>
      </c>
      <c r="Y1639" s="24">
        <v>4.3571428571428603</v>
      </c>
      <c r="Z1639" s="20">
        <f t="shared" si="55"/>
        <v>16.214285714285712</v>
      </c>
    </row>
    <row r="1640" spans="1:26" x14ac:dyDescent="0.2">
      <c r="A1640" s="21"/>
      <c r="B1640" s="20"/>
      <c r="C1640" s="22"/>
      <c r="D1640" s="22"/>
      <c r="E1640" s="24"/>
      <c r="F1640" s="22"/>
      <c r="H1640" s="21">
        <v>45975</v>
      </c>
      <c r="I1640" s="22" t="s">
        <v>70</v>
      </c>
      <c r="J1640" s="22" t="s">
        <v>52</v>
      </c>
      <c r="K1640" s="24">
        <v>3</v>
      </c>
      <c r="M1640" s="21">
        <v>46028</v>
      </c>
      <c r="N1640" s="22" t="s">
        <v>71</v>
      </c>
      <c r="O1640" s="22" t="s">
        <v>41</v>
      </c>
      <c r="P1640" s="49">
        <v>77</v>
      </c>
      <c r="Q1640" s="49">
        <v>77.8</v>
      </c>
      <c r="R1640" s="46">
        <f t="shared" si="54"/>
        <v>-0.79999999999999716</v>
      </c>
      <c r="T1640" s="21">
        <v>46004</v>
      </c>
      <c r="U1640" s="22" t="s">
        <v>41</v>
      </c>
      <c r="V1640" s="24">
        <v>1</v>
      </c>
      <c r="W1640" s="24">
        <v>1</v>
      </c>
      <c r="X1640" s="24">
        <v>1</v>
      </c>
      <c r="Y1640" s="24">
        <v>1</v>
      </c>
      <c r="Z1640" s="20">
        <f t="shared" si="55"/>
        <v>4</v>
      </c>
    </row>
    <row r="1641" spans="1:26" x14ac:dyDescent="0.2">
      <c r="A1641" s="21"/>
      <c r="B1641" s="20"/>
      <c r="C1641" s="22"/>
      <c r="D1641" s="22"/>
      <c r="E1641" s="24"/>
      <c r="F1641" s="22"/>
      <c r="H1641" s="21">
        <v>45975</v>
      </c>
      <c r="I1641" s="22" t="s">
        <v>70</v>
      </c>
      <c r="J1641" s="22" t="s">
        <v>53</v>
      </c>
      <c r="K1641" s="24">
        <v>3</v>
      </c>
      <c r="M1641" s="21">
        <v>46028</v>
      </c>
      <c r="N1641" s="22" t="s">
        <v>71</v>
      </c>
      <c r="O1641" s="22" t="s">
        <v>42</v>
      </c>
      <c r="P1641" s="49">
        <v>79.900000000000006</v>
      </c>
      <c r="Q1641" s="49">
        <v>79.2</v>
      </c>
      <c r="R1641" s="46">
        <f t="shared" si="54"/>
        <v>0.70000000000000284</v>
      </c>
      <c r="T1641" s="21">
        <v>46004</v>
      </c>
      <c r="U1641" s="22" t="s">
        <v>42</v>
      </c>
      <c r="V1641" s="24">
        <v>3</v>
      </c>
      <c r="W1641" s="24">
        <v>4</v>
      </c>
      <c r="X1641" s="24">
        <v>3</v>
      </c>
      <c r="Y1641" s="24">
        <v>5</v>
      </c>
      <c r="Z1641" s="20">
        <f t="shared" si="55"/>
        <v>15</v>
      </c>
    </row>
    <row r="1642" spans="1:26" x14ac:dyDescent="0.2">
      <c r="A1642" s="21"/>
      <c r="B1642" s="20"/>
      <c r="C1642" s="22"/>
      <c r="D1642" s="22"/>
      <c r="E1642" s="24"/>
      <c r="F1642" s="22"/>
      <c r="H1642" s="21">
        <v>45975</v>
      </c>
      <c r="I1642" s="22" t="s">
        <v>70</v>
      </c>
      <c r="J1642" s="22" t="s">
        <v>44</v>
      </c>
      <c r="K1642" s="24">
        <v>3</v>
      </c>
      <c r="M1642" s="21">
        <v>46028</v>
      </c>
      <c r="N1642" s="22" t="s">
        <v>71</v>
      </c>
      <c r="O1642" s="22" t="s">
        <v>44</v>
      </c>
      <c r="P1642" s="49">
        <v>67.8</v>
      </c>
      <c r="Q1642" s="49">
        <v>68</v>
      </c>
      <c r="R1642" s="46">
        <f t="shared" si="54"/>
        <v>-0.20000000000000284</v>
      </c>
      <c r="T1642" s="21">
        <v>46004</v>
      </c>
      <c r="U1642" s="22" t="s">
        <v>44</v>
      </c>
      <c r="V1642" s="24">
        <v>5</v>
      </c>
      <c r="W1642" s="24">
        <v>5</v>
      </c>
      <c r="X1642" s="24">
        <v>5</v>
      </c>
      <c r="Y1642" s="24">
        <v>5</v>
      </c>
      <c r="Z1642" s="20">
        <f t="shared" si="55"/>
        <v>20</v>
      </c>
    </row>
    <row r="1643" spans="1:26" x14ac:dyDescent="0.2">
      <c r="A1643" s="21"/>
      <c r="B1643" s="20"/>
      <c r="C1643" s="22"/>
      <c r="D1643" s="22"/>
      <c r="E1643" s="24"/>
      <c r="F1643" s="22"/>
      <c r="H1643" s="21">
        <v>45975</v>
      </c>
      <c r="I1643" s="22" t="s">
        <v>70</v>
      </c>
      <c r="J1643" s="22" t="s">
        <v>45</v>
      </c>
      <c r="K1643" s="24">
        <v>3</v>
      </c>
      <c r="M1643" s="21">
        <v>46028</v>
      </c>
      <c r="N1643" s="22" t="s">
        <v>71</v>
      </c>
      <c r="O1643" s="22" t="s">
        <v>45</v>
      </c>
      <c r="P1643" s="49">
        <v>69</v>
      </c>
      <c r="Q1643" s="49">
        <v>68</v>
      </c>
      <c r="R1643" s="46">
        <f t="shared" si="54"/>
        <v>1</v>
      </c>
      <c r="T1643" s="21">
        <v>46004</v>
      </c>
      <c r="U1643" s="22" t="s">
        <v>45</v>
      </c>
      <c r="V1643" s="24">
        <v>5</v>
      </c>
      <c r="W1643" s="24">
        <v>4</v>
      </c>
      <c r="X1643" s="24">
        <v>4</v>
      </c>
      <c r="Y1643" s="24">
        <v>5</v>
      </c>
      <c r="Z1643" s="20">
        <f t="shared" si="55"/>
        <v>18</v>
      </c>
    </row>
    <row r="1644" spans="1:26" x14ac:dyDescent="0.2">
      <c r="A1644" s="21"/>
      <c r="B1644" s="20"/>
      <c r="C1644" s="22"/>
      <c r="D1644" s="22"/>
      <c r="E1644" s="24"/>
      <c r="F1644" s="22"/>
      <c r="H1644" s="21">
        <v>45975</v>
      </c>
      <c r="I1644" s="22" t="s">
        <v>70</v>
      </c>
      <c r="J1644" s="22" t="s">
        <v>57</v>
      </c>
      <c r="K1644" s="24">
        <v>3</v>
      </c>
      <c r="M1644" s="21">
        <v>46028</v>
      </c>
      <c r="N1644" s="22" t="s">
        <v>71</v>
      </c>
      <c r="O1644" s="22" t="s">
        <v>46</v>
      </c>
      <c r="P1644" s="49">
        <v>81.400000000000006</v>
      </c>
      <c r="Q1644" s="49">
        <v>81</v>
      </c>
      <c r="R1644" s="46">
        <f t="shared" si="54"/>
        <v>0.40000000000000568</v>
      </c>
      <c r="T1644" s="21">
        <v>46004</v>
      </c>
      <c r="U1644" s="22" t="s">
        <v>47</v>
      </c>
      <c r="V1644" s="24">
        <v>5</v>
      </c>
      <c r="W1644" s="24">
        <v>4</v>
      </c>
      <c r="X1644" s="24">
        <v>4</v>
      </c>
      <c r="Y1644" s="24">
        <v>5</v>
      </c>
      <c r="Z1644" s="20">
        <f t="shared" si="55"/>
        <v>18</v>
      </c>
    </row>
    <row r="1645" spans="1:26" x14ac:dyDescent="0.2">
      <c r="A1645" s="21"/>
      <c r="B1645" s="20"/>
      <c r="C1645" s="22"/>
      <c r="D1645" s="22"/>
      <c r="E1645" s="24"/>
      <c r="F1645" s="22"/>
      <c r="H1645" s="21">
        <v>45975</v>
      </c>
      <c r="I1645" s="22" t="s">
        <v>70</v>
      </c>
      <c r="J1645" s="22" t="s">
        <v>42</v>
      </c>
      <c r="K1645" s="24">
        <v>3</v>
      </c>
      <c r="M1645" s="21">
        <v>46028</v>
      </c>
      <c r="N1645" s="22" t="s">
        <v>71</v>
      </c>
      <c r="O1645" s="22" t="s">
        <v>47</v>
      </c>
      <c r="P1645" s="49">
        <v>71.5</v>
      </c>
      <c r="Q1645" s="49">
        <v>71</v>
      </c>
      <c r="R1645" s="46">
        <f t="shared" si="54"/>
        <v>0.5</v>
      </c>
      <c r="T1645" s="21">
        <v>46004</v>
      </c>
      <c r="U1645" s="22" t="s">
        <v>48</v>
      </c>
      <c r="V1645" s="24">
        <v>5</v>
      </c>
      <c r="W1645" s="24">
        <v>4</v>
      </c>
      <c r="X1645" s="24">
        <v>4</v>
      </c>
      <c r="Y1645" s="24">
        <v>5</v>
      </c>
      <c r="Z1645" s="20">
        <f t="shared" si="55"/>
        <v>18</v>
      </c>
    </row>
    <row r="1646" spans="1:26" x14ac:dyDescent="0.2">
      <c r="A1646" s="21"/>
      <c r="B1646" s="20"/>
      <c r="C1646" s="22"/>
      <c r="D1646" s="22"/>
      <c r="E1646" s="24"/>
      <c r="F1646" s="22"/>
      <c r="H1646" s="21">
        <v>45975</v>
      </c>
      <c r="I1646" s="22" t="s">
        <v>70</v>
      </c>
      <c r="J1646" s="22" t="s">
        <v>54</v>
      </c>
      <c r="K1646" s="24">
        <v>3</v>
      </c>
      <c r="M1646" s="21">
        <v>46028</v>
      </c>
      <c r="N1646" s="22" t="s">
        <v>71</v>
      </c>
      <c r="O1646" s="22" t="s">
        <v>48</v>
      </c>
      <c r="P1646" s="49">
        <v>80.900000000000006</v>
      </c>
      <c r="Q1646" s="49">
        <v>79.8</v>
      </c>
      <c r="R1646" s="46">
        <f t="shared" si="54"/>
        <v>1.1000000000000085</v>
      </c>
      <c r="T1646" s="21">
        <v>46004</v>
      </c>
      <c r="U1646" s="22" t="s">
        <v>49</v>
      </c>
      <c r="V1646" s="24">
        <v>4</v>
      </c>
      <c r="W1646" s="24">
        <v>4</v>
      </c>
      <c r="X1646" s="24">
        <v>4</v>
      </c>
      <c r="Y1646" s="24">
        <v>4</v>
      </c>
      <c r="Z1646" s="20">
        <f t="shared" si="55"/>
        <v>16</v>
      </c>
    </row>
    <row r="1647" spans="1:26" x14ac:dyDescent="0.2">
      <c r="A1647" s="21"/>
      <c r="B1647" s="20"/>
      <c r="C1647" s="22"/>
      <c r="D1647" s="22"/>
      <c r="E1647" s="24"/>
      <c r="F1647" s="22"/>
      <c r="H1647" s="21">
        <v>45975</v>
      </c>
      <c r="I1647" s="22" t="s">
        <v>70</v>
      </c>
      <c r="J1647" s="22" t="s">
        <v>47</v>
      </c>
      <c r="K1647" s="24">
        <v>3</v>
      </c>
      <c r="M1647" s="21">
        <v>46028</v>
      </c>
      <c r="N1647" s="22" t="s">
        <v>71</v>
      </c>
      <c r="O1647" s="22" t="s">
        <v>49</v>
      </c>
      <c r="P1647" s="49">
        <v>77.7</v>
      </c>
      <c r="Q1647" s="49">
        <v>77.8</v>
      </c>
      <c r="R1647" s="46">
        <f t="shared" si="54"/>
        <v>-9.9999999999994316E-2</v>
      </c>
      <c r="T1647" s="21">
        <v>46004</v>
      </c>
      <c r="U1647" s="22" t="s">
        <v>50</v>
      </c>
      <c r="V1647" s="24">
        <v>4</v>
      </c>
      <c r="W1647" s="24">
        <v>4</v>
      </c>
      <c r="X1647" s="24">
        <v>4</v>
      </c>
      <c r="Y1647" s="24">
        <v>4</v>
      </c>
      <c r="Z1647" s="20">
        <f t="shared" si="55"/>
        <v>16</v>
      </c>
    </row>
    <row r="1648" spans="1:26" x14ac:dyDescent="0.2">
      <c r="A1648" s="21"/>
      <c r="B1648" s="20"/>
      <c r="C1648" s="22"/>
      <c r="D1648" s="22"/>
      <c r="E1648" s="24"/>
      <c r="F1648" s="22"/>
      <c r="H1648" s="21">
        <v>45975</v>
      </c>
      <c r="I1648" s="22" t="s">
        <v>70</v>
      </c>
      <c r="J1648" s="22" t="s">
        <v>41</v>
      </c>
      <c r="K1648" s="24">
        <v>3</v>
      </c>
      <c r="M1648" s="21">
        <v>46028</v>
      </c>
      <c r="N1648" s="22" t="s">
        <v>71</v>
      </c>
      <c r="O1648" s="22" t="s">
        <v>50</v>
      </c>
      <c r="P1648" s="49">
        <v>66.3</v>
      </c>
      <c r="Q1648" s="49">
        <v>65.599999999999994</v>
      </c>
      <c r="R1648" s="46">
        <f t="shared" si="54"/>
        <v>0.70000000000000284</v>
      </c>
      <c r="T1648" s="21">
        <v>46004</v>
      </c>
      <c r="U1648" s="22" t="s">
        <v>51</v>
      </c>
      <c r="V1648" s="24">
        <v>5</v>
      </c>
      <c r="W1648" s="24">
        <v>4</v>
      </c>
      <c r="X1648" s="24">
        <v>5</v>
      </c>
      <c r="Y1648" s="24">
        <v>5</v>
      </c>
      <c r="Z1648" s="20">
        <f t="shared" si="55"/>
        <v>19</v>
      </c>
    </row>
    <row r="1649" spans="1:26" x14ac:dyDescent="0.2">
      <c r="A1649" s="21"/>
      <c r="B1649" s="20"/>
      <c r="C1649" s="22"/>
      <c r="D1649" s="22"/>
      <c r="E1649" s="24"/>
      <c r="F1649" s="22"/>
      <c r="H1649" s="21">
        <v>45975</v>
      </c>
      <c r="I1649" s="22" t="s">
        <v>70</v>
      </c>
      <c r="J1649" s="22" t="s">
        <v>49</v>
      </c>
      <c r="K1649" s="24">
        <v>3</v>
      </c>
      <c r="M1649" s="21">
        <v>46028</v>
      </c>
      <c r="N1649" s="22" t="s">
        <v>71</v>
      </c>
      <c r="O1649" s="22" t="s">
        <v>51</v>
      </c>
      <c r="P1649" s="49">
        <v>75.400000000000006</v>
      </c>
      <c r="Q1649" s="49">
        <v>75.8</v>
      </c>
      <c r="R1649" s="46">
        <f t="shared" si="54"/>
        <v>-0.39999999999999147</v>
      </c>
      <c r="T1649" s="21">
        <v>46004</v>
      </c>
      <c r="U1649" s="22" t="s">
        <v>52</v>
      </c>
      <c r="V1649" s="24">
        <v>5</v>
      </c>
      <c r="W1649" s="24">
        <v>5</v>
      </c>
      <c r="X1649" s="24">
        <v>5</v>
      </c>
      <c r="Y1649" s="24">
        <v>5</v>
      </c>
      <c r="Z1649" s="20">
        <f t="shared" si="55"/>
        <v>20</v>
      </c>
    </row>
    <row r="1650" spans="1:26" x14ac:dyDescent="0.2">
      <c r="A1650" s="21"/>
      <c r="B1650" s="20"/>
      <c r="C1650" s="22"/>
      <c r="D1650" s="22"/>
      <c r="E1650" s="24"/>
      <c r="F1650" s="22"/>
      <c r="H1650" s="21">
        <v>45975</v>
      </c>
      <c r="I1650" s="22" t="s">
        <v>70</v>
      </c>
      <c r="J1650" s="22" t="s">
        <v>50</v>
      </c>
      <c r="K1650" s="24">
        <v>3</v>
      </c>
      <c r="M1650" s="21">
        <v>46028</v>
      </c>
      <c r="N1650" s="22" t="s">
        <v>71</v>
      </c>
      <c r="O1650" s="22" t="s">
        <v>52</v>
      </c>
      <c r="P1650" s="49">
        <v>72</v>
      </c>
      <c r="Q1650" s="49">
        <v>71</v>
      </c>
      <c r="R1650" s="46">
        <f t="shared" si="54"/>
        <v>1</v>
      </c>
      <c r="T1650" s="21">
        <v>46004</v>
      </c>
      <c r="U1650" s="22" t="s">
        <v>53</v>
      </c>
      <c r="V1650" s="24">
        <v>4</v>
      </c>
      <c r="W1650" s="24">
        <v>5</v>
      </c>
      <c r="X1650" s="24">
        <v>5</v>
      </c>
      <c r="Y1650" s="24">
        <v>5</v>
      </c>
      <c r="Z1650" s="20">
        <f t="shared" si="55"/>
        <v>19</v>
      </c>
    </row>
    <row r="1651" spans="1:26" x14ac:dyDescent="0.2">
      <c r="A1651" s="21"/>
      <c r="B1651" s="20"/>
      <c r="C1651" s="22"/>
      <c r="D1651" s="22"/>
      <c r="E1651" s="24"/>
      <c r="F1651" s="22"/>
      <c r="H1651" s="21">
        <v>45975</v>
      </c>
      <c r="I1651" s="22" t="s">
        <v>70</v>
      </c>
      <c r="J1651" s="22" t="s">
        <v>51</v>
      </c>
      <c r="K1651" s="24">
        <v>3</v>
      </c>
      <c r="M1651" s="21">
        <v>46028</v>
      </c>
      <c r="N1651" s="22" t="s">
        <v>71</v>
      </c>
      <c r="O1651" s="22" t="s">
        <v>53</v>
      </c>
      <c r="P1651" s="49">
        <v>68.2</v>
      </c>
      <c r="Q1651" s="49">
        <v>68.099999999999994</v>
      </c>
      <c r="R1651" s="46">
        <f t="shared" si="54"/>
        <v>0.10000000000000853</v>
      </c>
      <c r="T1651" s="21">
        <v>46004</v>
      </c>
      <c r="U1651" s="22" t="s">
        <v>56</v>
      </c>
      <c r="V1651" s="24">
        <v>5</v>
      </c>
      <c r="W1651" s="24">
        <v>5</v>
      </c>
      <c r="X1651" s="24">
        <v>4</v>
      </c>
      <c r="Y1651" s="24">
        <v>5</v>
      </c>
      <c r="Z1651" s="20">
        <f t="shared" si="55"/>
        <v>19</v>
      </c>
    </row>
    <row r="1652" spans="1:26" x14ac:dyDescent="0.2">
      <c r="A1652" s="21"/>
      <c r="B1652" s="20"/>
      <c r="C1652" s="22"/>
      <c r="D1652" s="22"/>
      <c r="E1652" s="24"/>
      <c r="F1652" s="22"/>
      <c r="H1652" s="21">
        <v>45975</v>
      </c>
      <c r="I1652" s="22" t="s">
        <v>70</v>
      </c>
      <c r="J1652" s="22" t="s">
        <v>46</v>
      </c>
      <c r="K1652" s="24">
        <v>3</v>
      </c>
      <c r="M1652" s="21">
        <v>46028</v>
      </c>
      <c r="N1652" s="22" t="s">
        <v>71</v>
      </c>
      <c r="O1652" s="22" t="s">
        <v>56</v>
      </c>
      <c r="P1652" s="49">
        <v>76</v>
      </c>
      <c r="Q1652" s="49">
        <v>76</v>
      </c>
      <c r="R1652" s="46">
        <f t="shared" si="54"/>
        <v>0</v>
      </c>
      <c r="T1652" s="21">
        <v>46004</v>
      </c>
      <c r="U1652" s="22" t="s">
        <v>57</v>
      </c>
      <c r="V1652" s="24">
        <v>5</v>
      </c>
      <c r="W1652" s="24">
        <v>5</v>
      </c>
      <c r="X1652" s="24">
        <v>5</v>
      </c>
      <c r="Y1652" s="24">
        <v>5</v>
      </c>
      <c r="Z1652" s="20">
        <f t="shared" si="55"/>
        <v>20</v>
      </c>
    </row>
    <row r="1653" spans="1:26" x14ac:dyDescent="0.2">
      <c r="A1653" s="21"/>
      <c r="B1653" s="20"/>
      <c r="C1653" s="22"/>
      <c r="D1653" s="22"/>
      <c r="E1653" s="24"/>
      <c r="F1653" s="22"/>
      <c r="H1653" s="21">
        <v>45975</v>
      </c>
      <c r="I1653" s="22" t="s">
        <v>70</v>
      </c>
      <c r="J1653" s="22" t="s">
        <v>48</v>
      </c>
      <c r="K1653" s="24">
        <v>3</v>
      </c>
      <c r="M1653" s="21">
        <v>46028</v>
      </c>
      <c r="N1653" s="22" t="s">
        <v>71</v>
      </c>
      <c r="O1653" s="22" t="s">
        <v>57</v>
      </c>
      <c r="P1653" s="49">
        <v>90.5</v>
      </c>
      <c r="Q1653" s="49">
        <v>90.1</v>
      </c>
      <c r="R1653" s="46">
        <f t="shared" si="54"/>
        <v>0.40000000000000568</v>
      </c>
      <c r="T1653" s="21">
        <v>46004</v>
      </c>
      <c r="U1653" s="22" t="s">
        <v>58</v>
      </c>
      <c r="V1653" s="24">
        <v>5</v>
      </c>
      <c r="W1653" s="24">
        <v>5</v>
      </c>
      <c r="X1653" s="24">
        <v>4</v>
      </c>
      <c r="Y1653" s="24">
        <v>5</v>
      </c>
      <c r="Z1653" s="20">
        <f t="shared" si="55"/>
        <v>19</v>
      </c>
    </row>
    <row r="1654" spans="1:26" x14ac:dyDescent="0.2">
      <c r="A1654" s="21"/>
      <c r="B1654" s="20"/>
      <c r="C1654" s="22"/>
      <c r="D1654" s="22"/>
      <c r="E1654" s="24"/>
      <c r="F1654" s="22"/>
      <c r="H1654" s="21">
        <v>45975</v>
      </c>
      <c r="I1654" s="22" t="s">
        <v>70</v>
      </c>
      <c r="J1654" s="22" t="s">
        <v>56</v>
      </c>
      <c r="K1654" s="24">
        <v>3</v>
      </c>
      <c r="M1654" s="21">
        <v>46028</v>
      </c>
      <c r="N1654" s="22" t="s">
        <v>71</v>
      </c>
      <c r="O1654" s="22" t="s">
        <v>58</v>
      </c>
      <c r="P1654" s="49">
        <v>75.3</v>
      </c>
      <c r="Q1654" s="49">
        <v>75.2</v>
      </c>
      <c r="R1654" s="46">
        <f t="shared" si="54"/>
        <v>9.9999999999994316E-2</v>
      </c>
      <c r="T1654" s="21">
        <v>46004</v>
      </c>
      <c r="U1654" s="22" t="s">
        <v>33</v>
      </c>
      <c r="V1654" s="24">
        <v>4.3571428571428603</v>
      </c>
      <c r="W1654" s="24">
        <v>4.21428571428571</v>
      </c>
      <c r="X1654" s="24">
        <v>4.0714285714285703</v>
      </c>
      <c r="Y1654" s="24">
        <v>4.5714285714285703</v>
      </c>
      <c r="Z1654" s="20">
        <f t="shared" si="55"/>
        <v>17.214285714285708</v>
      </c>
    </row>
    <row r="1655" spans="1:26" x14ac:dyDescent="0.2">
      <c r="A1655" s="21"/>
      <c r="B1655" s="20"/>
      <c r="C1655" s="22"/>
      <c r="D1655" s="22"/>
      <c r="E1655" s="24"/>
      <c r="F1655" s="22"/>
      <c r="H1655" s="21">
        <v>45976</v>
      </c>
      <c r="I1655" s="22" t="s">
        <v>71</v>
      </c>
      <c r="J1655" s="22" t="s">
        <v>52</v>
      </c>
      <c r="K1655" s="24">
        <v>8</v>
      </c>
      <c r="M1655" s="21">
        <v>46030</v>
      </c>
      <c r="N1655" s="22" t="s">
        <v>70</v>
      </c>
      <c r="O1655" s="22" t="s">
        <v>41</v>
      </c>
      <c r="P1655" s="49">
        <v>77</v>
      </c>
      <c r="Q1655" s="49">
        <v>77</v>
      </c>
      <c r="R1655" s="46">
        <f t="shared" si="54"/>
        <v>0</v>
      </c>
      <c r="T1655" s="21">
        <v>46007</v>
      </c>
      <c r="U1655" s="22" t="s">
        <v>41</v>
      </c>
      <c r="V1655" s="24">
        <v>1</v>
      </c>
      <c r="W1655" s="24">
        <v>1</v>
      </c>
      <c r="X1655" s="24">
        <v>1</v>
      </c>
      <c r="Y1655" s="24">
        <v>1</v>
      </c>
      <c r="Z1655" s="20">
        <f t="shared" si="55"/>
        <v>4</v>
      </c>
    </row>
    <row r="1656" spans="1:26" x14ac:dyDescent="0.2">
      <c r="A1656" s="21"/>
      <c r="B1656" s="20"/>
      <c r="C1656" s="22"/>
      <c r="D1656" s="22"/>
      <c r="E1656" s="24"/>
      <c r="F1656" s="22"/>
      <c r="H1656" s="21">
        <v>45976</v>
      </c>
      <c r="I1656" s="22" t="s">
        <v>71</v>
      </c>
      <c r="J1656" s="22" t="s">
        <v>53</v>
      </c>
      <c r="K1656" s="24">
        <v>2</v>
      </c>
      <c r="M1656" s="21">
        <v>46030</v>
      </c>
      <c r="N1656" s="22" t="s">
        <v>70</v>
      </c>
      <c r="O1656" s="22" t="s">
        <v>42</v>
      </c>
      <c r="P1656" s="49">
        <v>79.400000000000006</v>
      </c>
      <c r="Q1656" s="49">
        <v>78.8</v>
      </c>
      <c r="R1656" s="46">
        <f t="shared" si="54"/>
        <v>0.60000000000000853</v>
      </c>
      <c r="T1656" s="21">
        <v>46007</v>
      </c>
      <c r="U1656" s="22" t="s">
        <v>42</v>
      </c>
      <c r="V1656" s="24">
        <v>4</v>
      </c>
      <c r="W1656" s="24">
        <v>4</v>
      </c>
      <c r="X1656" s="24">
        <v>4</v>
      </c>
      <c r="Y1656" s="24">
        <v>5</v>
      </c>
      <c r="Z1656" s="20">
        <f t="shared" si="55"/>
        <v>17</v>
      </c>
    </row>
    <row r="1657" spans="1:26" x14ac:dyDescent="0.2">
      <c r="A1657" s="21"/>
      <c r="B1657" s="20"/>
      <c r="C1657" s="22"/>
      <c r="D1657" s="22"/>
      <c r="E1657" s="24"/>
      <c r="F1657" s="22"/>
      <c r="H1657" s="21">
        <v>45976</v>
      </c>
      <c r="I1657" s="22" t="s">
        <v>71</v>
      </c>
      <c r="J1657" s="22" t="s">
        <v>44</v>
      </c>
      <c r="K1657" s="24">
        <v>8</v>
      </c>
      <c r="M1657" s="21">
        <v>46030</v>
      </c>
      <c r="N1657" s="22" t="s">
        <v>70</v>
      </c>
      <c r="O1657" s="22" t="s">
        <v>44</v>
      </c>
      <c r="P1657" s="49">
        <v>67.8</v>
      </c>
      <c r="Q1657" s="49">
        <v>67.599999999999994</v>
      </c>
      <c r="R1657" s="46">
        <f t="shared" si="54"/>
        <v>0.20000000000000284</v>
      </c>
      <c r="T1657" s="21">
        <v>46007</v>
      </c>
      <c r="U1657" s="22" t="s">
        <v>45</v>
      </c>
      <c r="V1657" s="24">
        <v>4</v>
      </c>
      <c r="W1657" s="24">
        <v>4</v>
      </c>
      <c r="X1657" s="24">
        <v>4</v>
      </c>
      <c r="Y1657" s="24">
        <v>5</v>
      </c>
      <c r="Z1657" s="20">
        <f t="shared" si="55"/>
        <v>17</v>
      </c>
    </row>
    <row r="1658" spans="1:26" x14ac:dyDescent="0.2">
      <c r="A1658" s="21"/>
      <c r="B1658" s="20"/>
      <c r="C1658" s="22"/>
      <c r="D1658" s="22"/>
      <c r="E1658" s="24"/>
      <c r="F1658" s="22"/>
      <c r="H1658" s="21">
        <v>45976</v>
      </c>
      <c r="I1658" s="22" t="s">
        <v>71</v>
      </c>
      <c r="J1658" s="22" t="s">
        <v>45</v>
      </c>
      <c r="K1658" s="24">
        <v>6</v>
      </c>
      <c r="M1658" s="21">
        <v>46030</v>
      </c>
      <c r="N1658" s="22" t="s">
        <v>70</v>
      </c>
      <c r="O1658" s="22" t="s">
        <v>45</v>
      </c>
      <c r="P1658" s="49">
        <v>69.3</v>
      </c>
      <c r="Q1658" s="49">
        <v>69</v>
      </c>
      <c r="R1658" s="46">
        <f t="shared" si="54"/>
        <v>0.29999999999999716</v>
      </c>
      <c r="T1658" s="21">
        <v>46007</v>
      </c>
      <c r="U1658" s="22" t="s">
        <v>46</v>
      </c>
      <c r="V1658" s="24">
        <v>5</v>
      </c>
      <c r="W1658" s="24">
        <v>4</v>
      </c>
      <c r="X1658" s="24">
        <v>4</v>
      </c>
      <c r="Y1658" s="24">
        <v>4</v>
      </c>
      <c r="Z1658" s="20">
        <f t="shared" si="55"/>
        <v>17</v>
      </c>
    </row>
    <row r="1659" spans="1:26" x14ac:dyDescent="0.2">
      <c r="A1659" s="21"/>
      <c r="B1659" s="20"/>
      <c r="C1659" s="22"/>
      <c r="D1659" s="22"/>
      <c r="E1659" s="24"/>
      <c r="F1659" s="22"/>
      <c r="H1659" s="21">
        <v>45976</v>
      </c>
      <c r="I1659" s="22" t="s">
        <v>71</v>
      </c>
      <c r="J1659" s="22" t="s">
        <v>57</v>
      </c>
      <c r="K1659" s="24" t="s">
        <v>63</v>
      </c>
      <c r="M1659" s="21">
        <v>46030</v>
      </c>
      <c r="N1659" s="22" t="s">
        <v>70</v>
      </c>
      <c r="O1659" s="22" t="s">
        <v>46</v>
      </c>
      <c r="P1659" s="49">
        <v>80.599999999999994</v>
      </c>
      <c r="Q1659" s="49">
        <v>80</v>
      </c>
      <c r="R1659" s="46">
        <f t="shared" si="54"/>
        <v>0.59999999999999432</v>
      </c>
      <c r="T1659" s="21">
        <v>46007</v>
      </c>
      <c r="U1659" s="22" t="s">
        <v>50</v>
      </c>
      <c r="V1659" s="24">
        <v>3</v>
      </c>
      <c r="W1659" s="24">
        <v>3</v>
      </c>
      <c r="X1659" s="24">
        <v>3</v>
      </c>
      <c r="Y1659" s="24">
        <v>4</v>
      </c>
      <c r="Z1659" s="20">
        <f t="shared" si="55"/>
        <v>13</v>
      </c>
    </row>
    <row r="1660" spans="1:26" x14ac:dyDescent="0.2">
      <c r="A1660" s="21"/>
      <c r="B1660" s="20"/>
      <c r="C1660" s="22"/>
      <c r="D1660" s="22"/>
      <c r="E1660" s="24"/>
      <c r="F1660" s="22"/>
      <c r="H1660" s="21">
        <v>45976</v>
      </c>
      <c r="I1660" s="22" t="s">
        <v>71</v>
      </c>
      <c r="J1660" s="22" t="s">
        <v>42</v>
      </c>
      <c r="K1660" s="24">
        <v>6</v>
      </c>
      <c r="M1660" s="21">
        <v>46030</v>
      </c>
      <c r="N1660" s="22" t="s">
        <v>70</v>
      </c>
      <c r="O1660" s="22" t="s">
        <v>47</v>
      </c>
      <c r="P1660" s="49">
        <v>72</v>
      </c>
      <c r="Q1660" s="49">
        <v>72</v>
      </c>
      <c r="R1660" s="46">
        <f t="shared" si="54"/>
        <v>0</v>
      </c>
      <c r="T1660" s="21">
        <v>46007</v>
      </c>
      <c r="U1660" s="22" t="s">
        <v>51</v>
      </c>
      <c r="V1660" s="24">
        <v>4</v>
      </c>
      <c r="W1660" s="24">
        <v>3</v>
      </c>
      <c r="X1660" s="24">
        <v>3</v>
      </c>
      <c r="Y1660" s="24">
        <v>5</v>
      </c>
      <c r="Z1660" s="20">
        <f t="shared" si="55"/>
        <v>15</v>
      </c>
    </row>
    <row r="1661" spans="1:26" x14ac:dyDescent="0.2">
      <c r="A1661" s="21"/>
      <c r="B1661" s="20"/>
      <c r="C1661" s="22"/>
      <c r="D1661" s="22"/>
      <c r="E1661" s="24"/>
      <c r="F1661" s="22"/>
      <c r="H1661" s="21">
        <v>45976</v>
      </c>
      <c r="I1661" s="22" t="s">
        <v>71</v>
      </c>
      <c r="J1661" s="22" t="s">
        <v>47</v>
      </c>
      <c r="K1661" s="24">
        <v>4</v>
      </c>
      <c r="M1661" s="21">
        <v>46030</v>
      </c>
      <c r="N1661" s="22" t="s">
        <v>70</v>
      </c>
      <c r="O1661" s="22" t="s">
        <v>48</v>
      </c>
      <c r="P1661" s="49">
        <v>80.599999999999994</v>
      </c>
      <c r="Q1661" s="49">
        <v>80.099999999999994</v>
      </c>
      <c r="R1661" s="46">
        <f t="shared" si="54"/>
        <v>0.5</v>
      </c>
      <c r="T1661" s="21">
        <v>46007</v>
      </c>
      <c r="U1661" s="22" t="s">
        <v>52</v>
      </c>
      <c r="V1661" s="24">
        <v>4</v>
      </c>
      <c r="W1661" s="24">
        <v>4</v>
      </c>
      <c r="X1661" s="24">
        <v>4</v>
      </c>
      <c r="Y1661" s="24">
        <v>4</v>
      </c>
      <c r="Z1661" s="20">
        <f t="shared" si="55"/>
        <v>16</v>
      </c>
    </row>
    <row r="1662" spans="1:26" x14ac:dyDescent="0.2">
      <c r="A1662" s="21"/>
      <c r="B1662" s="20"/>
      <c r="C1662" s="22"/>
      <c r="D1662" s="22"/>
      <c r="E1662" s="24"/>
      <c r="F1662" s="22"/>
      <c r="H1662" s="21">
        <v>45976</v>
      </c>
      <c r="I1662" s="22" t="s">
        <v>71</v>
      </c>
      <c r="J1662" s="22" t="s">
        <v>41</v>
      </c>
      <c r="K1662" s="24" t="s">
        <v>63</v>
      </c>
      <c r="M1662" s="21">
        <v>46030</v>
      </c>
      <c r="N1662" s="22" t="s">
        <v>70</v>
      </c>
      <c r="O1662" s="22" t="s">
        <v>49</v>
      </c>
      <c r="P1662" s="49">
        <v>77.400000000000006</v>
      </c>
      <c r="Q1662" s="49">
        <v>77</v>
      </c>
      <c r="R1662" s="46">
        <f t="shared" si="54"/>
        <v>0.40000000000000568</v>
      </c>
      <c r="T1662" s="21">
        <v>46007</v>
      </c>
      <c r="U1662" s="22" t="s">
        <v>53</v>
      </c>
      <c r="V1662" s="24">
        <v>5</v>
      </c>
      <c r="W1662" s="24">
        <v>4</v>
      </c>
      <c r="X1662" s="24">
        <v>4</v>
      </c>
      <c r="Y1662" s="24">
        <v>4</v>
      </c>
      <c r="Z1662" s="20">
        <f t="shared" si="55"/>
        <v>17</v>
      </c>
    </row>
    <row r="1663" spans="1:26" x14ac:dyDescent="0.2">
      <c r="A1663" s="21"/>
      <c r="B1663" s="20"/>
      <c r="C1663" s="22"/>
      <c r="D1663" s="22"/>
      <c r="E1663" s="24"/>
      <c r="F1663" s="22"/>
      <c r="H1663" s="21">
        <v>45976</v>
      </c>
      <c r="I1663" s="22" t="s">
        <v>71</v>
      </c>
      <c r="J1663" s="22" t="s">
        <v>49</v>
      </c>
      <c r="K1663" s="24">
        <v>9</v>
      </c>
      <c r="M1663" s="21">
        <v>46030</v>
      </c>
      <c r="N1663" s="22" t="s">
        <v>70</v>
      </c>
      <c r="O1663" s="22" t="s">
        <v>50</v>
      </c>
      <c r="P1663" s="49">
        <v>66.3</v>
      </c>
      <c r="Q1663" s="49">
        <v>65.8</v>
      </c>
      <c r="R1663" s="46">
        <f t="shared" si="54"/>
        <v>0.5</v>
      </c>
      <c r="T1663" s="21">
        <v>46007</v>
      </c>
      <c r="U1663" s="22" t="s">
        <v>54</v>
      </c>
      <c r="V1663" s="24">
        <v>3</v>
      </c>
      <c r="W1663" s="24">
        <v>4</v>
      </c>
      <c r="X1663" s="24">
        <v>4</v>
      </c>
      <c r="Y1663" s="24">
        <v>5</v>
      </c>
      <c r="Z1663" s="20">
        <f t="shared" si="55"/>
        <v>16</v>
      </c>
    </row>
    <row r="1664" spans="1:26" x14ac:dyDescent="0.2">
      <c r="A1664" s="21"/>
      <c r="B1664" s="20"/>
      <c r="C1664" s="22"/>
      <c r="D1664" s="22"/>
      <c r="E1664" s="24"/>
      <c r="F1664" s="22"/>
      <c r="H1664" s="21">
        <v>45976</v>
      </c>
      <c r="I1664" s="22" t="s">
        <v>71</v>
      </c>
      <c r="J1664" s="22" t="s">
        <v>50</v>
      </c>
      <c r="K1664" s="24">
        <v>6</v>
      </c>
      <c r="M1664" s="21">
        <v>46030</v>
      </c>
      <c r="N1664" s="22" t="s">
        <v>70</v>
      </c>
      <c r="O1664" s="22" t="s">
        <v>51</v>
      </c>
      <c r="P1664" s="49">
        <v>75.400000000000006</v>
      </c>
      <c r="Q1664" s="49">
        <v>75.3</v>
      </c>
      <c r="R1664" s="46">
        <f t="shared" si="54"/>
        <v>0.10000000000000853</v>
      </c>
      <c r="T1664" s="21">
        <v>46007</v>
      </c>
      <c r="U1664" s="22" t="s">
        <v>56</v>
      </c>
      <c r="V1664" s="24">
        <v>4</v>
      </c>
      <c r="W1664" s="24">
        <v>4</v>
      </c>
      <c r="X1664" s="24">
        <v>4</v>
      </c>
      <c r="Y1664" s="24">
        <v>5</v>
      </c>
      <c r="Z1664" s="20">
        <f t="shared" si="55"/>
        <v>17</v>
      </c>
    </row>
    <row r="1665" spans="1:26" x14ac:dyDescent="0.2">
      <c r="A1665" s="21"/>
      <c r="B1665" s="20"/>
      <c r="C1665" s="22"/>
      <c r="D1665" s="22"/>
      <c r="E1665" s="24"/>
      <c r="F1665" s="22"/>
      <c r="H1665" s="21">
        <v>45976</v>
      </c>
      <c r="I1665" s="22" t="s">
        <v>71</v>
      </c>
      <c r="J1665" s="22" t="s">
        <v>51</v>
      </c>
      <c r="K1665" s="24">
        <v>6</v>
      </c>
      <c r="M1665" s="21">
        <v>46030</v>
      </c>
      <c r="N1665" s="22" t="s">
        <v>70</v>
      </c>
      <c r="O1665" s="22" t="s">
        <v>52</v>
      </c>
      <c r="P1665" s="49">
        <v>71</v>
      </c>
      <c r="Q1665" s="49">
        <v>70.5</v>
      </c>
      <c r="R1665" s="46">
        <f t="shared" si="54"/>
        <v>0.5</v>
      </c>
      <c r="T1665" s="21">
        <v>46007</v>
      </c>
      <c r="U1665" s="22" t="s">
        <v>33</v>
      </c>
      <c r="V1665" s="24">
        <v>3.7</v>
      </c>
      <c r="W1665" s="24">
        <v>3.5</v>
      </c>
      <c r="X1665" s="24">
        <v>3.5</v>
      </c>
      <c r="Y1665" s="24">
        <v>4.2</v>
      </c>
      <c r="Z1665" s="20">
        <f t="shared" si="55"/>
        <v>14.899999999999999</v>
      </c>
    </row>
    <row r="1666" spans="1:26" x14ac:dyDescent="0.2">
      <c r="A1666" s="21"/>
      <c r="B1666" s="20"/>
      <c r="C1666" s="22"/>
      <c r="D1666" s="22"/>
      <c r="E1666" s="24"/>
      <c r="F1666" s="22"/>
      <c r="H1666" s="21">
        <v>45976</v>
      </c>
      <c r="I1666" s="22" t="s">
        <v>71</v>
      </c>
      <c r="J1666" s="22" t="s">
        <v>46</v>
      </c>
      <c r="K1666" s="24">
        <v>9</v>
      </c>
      <c r="M1666" s="21">
        <v>46030</v>
      </c>
      <c r="N1666" s="22" t="s">
        <v>70</v>
      </c>
      <c r="O1666" s="22" t="s">
        <v>53</v>
      </c>
      <c r="P1666" s="49">
        <v>69</v>
      </c>
      <c r="Q1666" s="49">
        <v>68.5</v>
      </c>
      <c r="R1666" s="46">
        <f t="shared" si="54"/>
        <v>0.5</v>
      </c>
      <c r="T1666" s="21">
        <v>46008</v>
      </c>
      <c r="U1666" s="22" t="s">
        <v>41</v>
      </c>
      <c r="V1666" s="24">
        <v>1</v>
      </c>
      <c r="W1666" s="24">
        <v>1</v>
      </c>
      <c r="X1666" s="24">
        <v>1</v>
      </c>
      <c r="Y1666" s="24">
        <v>1</v>
      </c>
      <c r="Z1666" s="20">
        <f t="shared" si="55"/>
        <v>4</v>
      </c>
    </row>
    <row r="1667" spans="1:26" x14ac:dyDescent="0.2">
      <c r="A1667" s="21"/>
      <c r="B1667" s="20"/>
      <c r="C1667" s="22"/>
      <c r="D1667" s="22"/>
      <c r="E1667" s="24"/>
      <c r="F1667" s="22"/>
      <c r="H1667" s="21">
        <v>45976</v>
      </c>
      <c r="I1667" s="22" t="s">
        <v>71</v>
      </c>
      <c r="J1667" s="22" t="s">
        <v>48</v>
      </c>
      <c r="K1667" s="24">
        <v>8</v>
      </c>
      <c r="M1667" s="21">
        <v>46030</v>
      </c>
      <c r="N1667" s="22" t="s">
        <v>70</v>
      </c>
      <c r="O1667" s="22" t="s">
        <v>57</v>
      </c>
      <c r="P1667" s="49">
        <v>90.3</v>
      </c>
      <c r="Q1667" s="49">
        <v>90</v>
      </c>
      <c r="R1667" s="46">
        <f t="shared" ref="R1667:R1730" si="56">IFERROR(P1667-Q1667,"")</f>
        <v>0.29999999999999716</v>
      </c>
      <c r="T1667" s="21">
        <v>46008</v>
      </c>
      <c r="U1667" s="22" t="s">
        <v>42</v>
      </c>
      <c r="V1667" s="24">
        <v>4</v>
      </c>
      <c r="W1667" s="24">
        <v>4</v>
      </c>
      <c r="X1667" s="24">
        <v>4</v>
      </c>
      <c r="Y1667" s="24">
        <v>5</v>
      </c>
      <c r="Z1667" s="20">
        <f t="shared" ref="Z1667:Z1730" si="57">SUM(V1667:Y1667)</f>
        <v>17</v>
      </c>
    </row>
    <row r="1668" spans="1:26" x14ac:dyDescent="0.2">
      <c r="A1668" s="21"/>
      <c r="B1668" s="20"/>
      <c r="C1668" s="22"/>
      <c r="D1668" s="22"/>
      <c r="E1668" s="24"/>
      <c r="F1668" s="22"/>
      <c r="H1668" s="21">
        <v>45976</v>
      </c>
      <c r="I1668" s="22" t="s">
        <v>71</v>
      </c>
      <c r="J1668" s="22" t="s">
        <v>56</v>
      </c>
      <c r="K1668" s="24">
        <v>8</v>
      </c>
      <c r="M1668" s="21">
        <v>46031</v>
      </c>
      <c r="N1668" s="22" t="s">
        <v>70</v>
      </c>
      <c r="O1668" s="22" t="s">
        <v>41</v>
      </c>
      <c r="P1668" s="49">
        <v>76.8</v>
      </c>
      <c r="Q1668" s="49">
        <v>76.599999999999994</v>
      </c>
      <c r="R1668" s="46">
        <f t="shared" si="56"/>
        <v>0.20000000000000284</v>
      </c>
      <c r="T1668" s="21">
        <v>46008</v>
      </c>
      <c r="U1668" s="22" t="s">
        <v>44</v>
      </c>
      <c r="V1668" s="24">
        <v>3</v>
      </c>
      <c r="W1668" s="24">
        <v>4</v>
      </c>
      <c r="X1668" s="24">
        <v>5</v>
      </c>
      <c r="Y1668" s="24">
        <v>5</v>
      </c>
      <c r="Z1668" s="20">
        <f t="shared" si="57"/>
        <v>17</v>
      </c>
    </row>
    <row r="1669" spans="1:26" x14ac:dyDescent="0.2">
      <c r="A1669" s="21"/>
      <c r="B1669" s="20"/>
      <c r="C1669" s="22"/>
      <c r="D1669" s="22"/>
      <c r="E1669" s="24"/>
      <c r="F1669" s="22"/>
      <c r="H1669" s="21">
        <v>45978</v>
      </c>
      <c r="I1669" s="22" t="s">
        <v>70</v>
      </c>
      <c r="J1669" s="22" t="s">
        <v>52</v>
      </c>
      <c r="K1669" s="24">
        <v>6</v>
      </c>
      <c r="M1669" s="21">
        <v>46031</v>
      </c>
      <c r="N1669" s="22" t="s">
        <v>70</v>
      </c>
      <c r="O1669" s="22" t="s">
        <v>42</v>
      </c>
      <c r="P1669" s="49">
        <v>79.2</v>
      </c>
      <c r="Q1669" s="49">
        <v>79.099999999999994</v>
      </c>
      <c r="R1669" s="46">
        <f t="shared" si="56"/>
        <v>0.10000000000000853</v>
      </c>
      <c r="T1669" s="21">
        <v>46008</v>
      </c>
      <c r="U1669" s="22" t="s">
        <v>45</v>
      </c>
      <c r="V1669" s="24">
        <v>5</v>
      </c>
      <c r="W1669" s="24">
        <v>4</v>
      </c>
      <c r="X1669" s="24">
        <v>4</v>
      </c>
      <c r="Y1669" s="24">
        <v>3</v>
      </c>
      <c r="Z1669" s="20">
        <f t="shared" si="57"/>
        <v>16</v>
      </c>
    </row>
    <row r="1670" spans="1:26" x14ac:dyDescent="0.2">
      <c r="A1670" s="21"/>
      <c r="B1670" s="20"/>
      <c r="C1670" s="22"/>
      <c r="D1670" s="22"/>
      <c r="E1670" s="24"/>
      <c r="F1670" s="22"/>
      <c r="H1670" s="21">
        <v>45978</v>
      </c>
      <c r="I1670" s="22" t="s">
        <v>70</v>
      </c>
      <c r="J1670" s="22" t="s">
        <v>53</v>
      </c>
      <c r="K1670" s="24">
        <v>5</v>
      </c>
      <c r="M1670" s="21">
        <v>46031</v>
      </c>
      <c r="N1670" s="22" t="s">
        <v>70</v>
      </c>
      <c r="O1670" s="22" t="s">
        <v>44</v>
      </c>
      <c r="P1670" s="49">
        <v>67.5</v>
      </c>
      <c r="Q1670" s="49">
        <v>67.5</v>
      </c>
      <c r="R1670" s="46">
        <f t="shared" si="56"/>
        <v>0</v>
      </c>
      <c r="T1670" s="21">
        <v>46008</v>
      </c>
      <c r="U1670" s="22" t="s">
        <v>50</v>
      </c>
      <c r="V1670" s="24">
        <v>3</v>
      </c>
      <c r="W1670" s="24">
        <v>3</v>
      </c>
      <c r="X1670" s="24">
        <v>4</v>
      </c>
      <c r="Y1670" s="24">
        <v>4</v>
      </c>
      <c r="Z1670" s="20">
        <f t="shared" si="57"/>
        <v>14</v>
      </c>
    </row>
    <row r="1671" spans="1:26" x14ac:dyDescent="0.2">
      <c r="A1671" s="21"/>
      <c r="B1671" s="20"/>
      <c r="C1671" s="22"/>
      <c r="D1671" s="22"/>
      <c r="E1671" s="24"/>
      <c r="F1671" s="22"/>
      <c r="H1671" s="21">
        <v>45978</v>
      </c>
      <c r="I1671" s="22" t="s">
        <v>70</v>
      </c>
      <c r="J1671" s="22" t="s">
        <v>44</v>
      </c>
      <c r="K1671" s="24">
        <v>7</v>
      </c>
      <c r="M1671" s="21">
        <v>46031</v>
      </c>
      <c r="N1671" s="22" t="s">
        <v>70</v>
      </c>
      <c r="O1671" s="22" t="s">
        <v>45</v>
      </c>
      <c r="P1671" s="49">
        <v>68.2</v>
      </c>
      <c r="Q1671" s="49">
        <v>68.7</v>
      </c>
      <c r="R1671" s="46">
        <f t="shared" si="56"/>
        <v>-0.5</v>
      </c>
      <c r="T1671" s="21">
        <v>46008</v>
      </c>
      <c r="U1671" s="22" t="s">
        <v>51</v>
      </c>
      <c r="V1671" s="24">
        <v>4</v>
      </c>
      <c r="W1671" s="24">
        <v>4</v>
      </c>
      <c r="X1671" s="24">
        <v>4</v>
      </c>
      <c r="Y1671" s="24">
        <v>5</v>
      </c>
      <c r="Z1671" s="20">
        <f t="shared" si="57"/>
        <v>17</v>
      </c>
    </row>
    <row r="1672" spans="1:26" x14ac:dyDescent="0.2">
      <c r="A1672" s="21"/>
      <c r="B1672" s="20"/>
      <c r="C1672" s="22"/>
      <c r="D1672" s="22"/>
      <c r="E1672" s="24"/>
      <c r="F1672" s="22"/>
      <c r="H1672" s="21">
        <v>45978</v>
      </c>
      <c r="I1672" s="22" t="s">
        <v>70</v>
      </c>
      <c r="J1672" s="22" t="s">
        <v>45</v>
      </c>
      <c r="K1672" s="24">
        <v>6</v>
      </c>
      <c r="M1672" s="21">
        <v>46031</v>
      </c>
      <c r="N1672" s="22" t="s">
        <v>70</v>
      </c>
      <c r="O1672" s="22" t="s">
        <v>46</v>
      </c>
      <c r="P1672" s="49">
        <v>80.7</v>
      </c>
      <c r="Q1672" s="49">
        <v>81</v>
      </c>
      <c r="R1672" s="46">
        <f t="shared" si="56"/>
        <v>-0.29999999999999716</v>
      </c>
      <c r="T1672" s="21">
        <v>46008</v>
      </c>
      <c r="U1672" s="22" t="s">
        <v>52</v>
      </c>
      <c r="V1672" s="24">
        <v>4</v>
      </c>
      <c r="W1672" s="24">
        <v>4</v>
      </c>
      <c r="X1672" s="24">
        <v>4</v>
      </c>
      <c r="Y1672" s="24">
        <v>4</v>
      </c>
      <c r="Z1672" s="20">
        <f t="shared" si="57"/>
        <v>16</v>
      </c>
    </row>
    <row r="1673" spans="1:26" x14ac:dyDescent="0.2">
      <c r="A1673" s="21"/>
      <c r="B1673" s="20"/>
      <c r="C1673" s="22"/>
      <c r="D1673" s="22"/>
      <c r="E1673" s="24"/>
      <c r="F1673" s="22"/>
      <c r="H1673" s="21">
        <v>45978</v>
      </c>
      <c r="I1673" s="22" t="s">
        <v>70</v>
      </c>
      <c r="J1673" s="22" t="s">
        <v>57</v>
      </c>
      <c r="K1673" s="24">
        <v>8</v>
      </c>
      <c r="M1673" s="21">
        <v>46031</v>
      </c>
      <c r="N1673" s="22" t="s">
        <v>70</v>
      </c>
      <c r="O1673" s="22" t="s">
        <v>47</v>
      </c>
      <c r="P1673" s="49">
        <v>71.900000000000006</v>
      </c>
      <c r="Q1673" s="49">
        <v>72</v>
      </c>
      <c r="R1673" s="46">
        <f t="shared" si="56"/>
        <v>-9.9999999999994316E-2</v>
      </c>
      <c r="T1673" s="21">
        <v>46008</v>
      </c>
      <c r="U1673" s="22" t="s">
        <v>53</v>
      </c>
      <c r="V1673" s="24">
        <v>4</v>
      </c>
      <c r="W1673" s="24">
        <v>4</v>
      </c>
      <c r="X1673" s="24">
        <v>4</v>
      </c>
      <c r="Y1673" s="24">
        <v>4</v>
      </c>
      <c r="Z1673" s="20">
        <f t="shared" si="57"/>
        <v>16</v>
      </c>
    </row>
    <row r="1674" spans="1:26" x14ac:dyDescent="0.2">
      <c r="A1674" s="21"/>
      <c r="B1674" s="20"/>
      <c r="C1674" s="22"/>
      <c r="D1674" s="22"/>
      <c r="E1674" s="24"/>
      <c r="F1674" s="22"/>
      <c r="H1674" s="21">
        <v>45978</v>
      </c>
      <c r="I1674" s="22" t="s">
        <v>70</v>
      </c>
      <c r="J1674" s="22" t="s">
        <v>42</v>
      </c>
      <c r="K1674" s="24">
        <v>4</v>
      </c>
      <c r="M1674" s="21">
        <v>46031</v>
      </c>
      <c r="N1674" s="22" t="s">
        <v>70</v>
      </c>
      <c r="O1674" s="22" t="s">
        <v>48</v>
      </c>
      <c r="P1674" s="49">
        <v>81.2</v>
      </c>
      <c r="Q1674" s="49">
        <v>81</v>
      </c>
      <c r="R1674" s="46">
        <f t="shared" si="56"/>
        <v>0.20000000000000284</v>
      </c>
      <c r="T1674" s="21">
        <v>46008</v>
      </c>
      <c r="U1674" s="22" t="s">
        <v>57</v>
      </c>
      <c r="V1674" s="24">
        <v>4</v>
      </c>
      <c r="W1674" s="24">
        <v>4</v>
      </c>
      <c r="X1674" s="24">
        <v>4</v>
      </c>
      <c r="Y1674" s="24">
        <v>2</v>
      </c>
      <c r="Z1674" s="20">
        <f t="shared" si="57"/>
        <v>14</v>
      </c>
    </row>
    <row r="1675" spans="1:26" x14ac:dyDescent="0.2">
      <c r="A1675" s="21"/>
      <c r="B1675" s="20"/>
      <c r="C1675" s="22"/>
      <c r="D1675" s="22"/>
      <c r="E1675" s="24"/>
      <c r="F1675" s="22"/>
      <c r="H1675" s="21">
        <v>45978</v>
      </c>
      <c r="I1675" s="22" t="s">
        <v>70</v>
      </c>
      <c r="J1675" s="22" t="s">
        <v>47</v>
      </c>
      <c r="K1675" s="24" t="s">
        <v>60</v>
      </c>
      <c r="M1675" s="21">
        <v>46031</v>
      </c>
      <c r="N1675" s="22" t="s">
        <v>70</v>
      </c>
      <c r="O1675" s="22" t="s">
        <v>49</v>
      </c>
      <c r="P1675" s="49">
        <v>77.7</v>
      </c>
      <c r="Q1675" s="49">
        <v>77.7</v>
      </c>
      <c r="R1675" s="46">
        <f t="shared" si="56"/>
        <v>0</v>
      </c>
      <c r="T1675" s="21">
        <v>46008</v>
      </c>
      <c r="U1675" s="22" t="s">
        <v>33</v>
      </c>
      <c r="V1675" s="24">
        <v>3.5555555555555598</v>
      </c>
      <c r="W1675" s="24">
        <v>3.5555555555555598</v>
      </c>
      <c r="X1675" s="24">
        <v>3.7777777777777799</v>
      </c>
      <c r="Y1675" s="24">
        <v>3.6666666666666701</v>
      </c>
      <c r="Z1675" s="20">
        <f t="shared" si="57"/>
        <v>14.55555555555557</v>
      </c>
    </row>
    <row r="1676" spans="1:26" x14ac:dyDescent="0.2">
      <c r="A1676" s="21"/>
      <c r="B1676" s="20"/>
      <c r="C1676" s="22"/>
      <c r="D1676" s="22"/>
      <c r="E1676" s="24"/>
      <c r="F1676" s="22"/>
      <c r="H1676" s="21">
        <v>45978</v>
      </c>
      <c r="I1676" s="22" t="s">
        <v>70</v>
      </c>
      <c r="J1676" s="22" t="s">
        <v>41</v>
      </c>
      <c r="K1676" s="24">
        <v>3</v>
      </c>
      <c r="M1676" s="21">
        <v>46031</v>
      </c>
      <c r="N1676" s="22" t="s">
        <v>70</v>
      </c>
      <c r="O1676" s="22" t="s">
        <v>50</v>
      </c>
      <c r="P1676" s="49">
        <v>66.400000000000006</v>
      </c>
      <c r="Q1676" s="49">
        <v>66</v>
      </c>
      <c r="R1676" s="46">
        <f t="shared" si="56"/>
        <v>0.40000000000000568</v>
      </c>
      <c r="T1676" s="21">
        <v>46009</v>
      </c>
      <c r="U1676" s="22" t="s">
        <v>41</v>
      </c>
      <c r="V1676" s="24">
        <v>1</v>
      </c>
      <c r="W1676" s="24">
        <v>1</v>
      </c>
      <c r="X1676" s="24">
        <v>1</v>
      </c>
      <c r="Y1676" s="24">
        <v>1</v>
      </c>
      <c r="Z1676" s="20">
        <f t="shared" si="57"/>
        <v>4</v>
      </c>
    </row>
    <row r="1677" spans="1:26" x14ac:dyDescent="0.2">
      <c r="A1677" s="21"/>
      <c r="B1677" s="20"/>
      <c r="C1677" s="22"/>
      <c r="D1677" s="22"/>
      <c r="E1677" s="24"/>
      <c r="F1677" s="22"/>
      <c r="H1677" s="21">
        <v>45978</v>
      </c>
      <c r="I1677" s="22" t="s">
        <v>70</v>
      </c>
      <c r="J1677" s="22" t="s">
        <v>58</v>
      </c>
      <c r="K1677" s="24">
        <v>7</v>
      </c>
      <c r="M1677" s="21">
        <v>46031</v>
      </c>
      <c r="N1677" s="22" t="s">
        <v>70</v>
      </c>
      <c r="O1677" s="22" t="s">
        <v>51</v>
      </c>
      <c r="P1677" s="49">
        <v>75.3</v>
      </c>
      <c r="Q1677" s="49">
        <v>75.099999999999994</v>
      </c>
      <c r="R1677" s="46">
        <f t="shared" si="56"/>
        <v>0.20000000000000284</v>
      </c>
      <c r="T1677" s="21">
        <v>46009</v>
      </c>
      <c r="U1677" s="22" t="s">
        <v>42</v>
      </c>
      <c r="V1677" s="24">
        <v>4</v>
      </c>
      <c r="W1677" s="24">
        <v>4</v>
      </c>
      <c r="X1677" s="24">
        <v>4</v>
      </c>
      <c r="Y1677" s="24">
        <v>5</v>
      </c>
      <c r="Z1677" s="20">
        <f t="shared" si="57"/>
        <v>17</v>
      </c>
    </row>
    <row r="1678" spans="1:26" x14ac:dyDescent="0.2">
      <c r="A1678" s="21"/>
      <c r="B1678" s="20"/>
      <c r="C1678" s="22"/>
      <c r="D1678" s="22"/>
      <c r="E1678" s="24"/>
      <c r="F1678" s="22"/>
      <c r="H1678" s="21">
        <v>45978</v>
      </c>
      <c r="I1678" s="22" t="s">
        <v>70</v>
      </c>
      <c r="J1678" s="22" t="s">
        <v>49</v>
      </c>
      <c r="K1678" s="24">
        <v>6</v>
      </c>
      <c r="M1678" s="21">
        <v>46031</v>
      </c>
      <c r="N1678" s="22" t="s">
        <v>70</v>
      </c>
      <c r="O1678" s="22" t="s">
        <v>52</v>
      </c>
      <c r="P1678" s="49">
        <v>71.900000000000006</v>
      </c>
      <c r="Q1678" s="49">
        <v>71.099999999999994</v>
      </c>
      <c r="R1678" s="46">
        <f t="shared" si="56"/>
        <v>0.80000000000001137</v>
      </c>
      <c r="T1678" s="21">
        <v>46009</v>
      </c>
      <c r="U1678" s="22" t="s">
        <v>45</v>
      </c>
      <c r="V1678" s="24">
        <v>5</v>
      </c>
      <c r="W1678" s="24">
        <v>4</v>
      </c>
      <c r="X1678" s="24">
        <v>4</v>
      </c>
      <c r="Y1678" s="24">
        <v>4</v>
      </c>
      <c r="Z1678" s="20">
        <f t="shared" si="57"/>
        <v>17</v>
      </c>
    </row>
    <row r="1679" spans="1:26" x14ac:dyDescent="0.2">
      <c r="A1679" s="21"/>
      <c r="B1679" s="20"/>
      <c r="C1679" s="22"/>
      <c r="D1679" s="22"/>
      <c r="E1679" s="24"/>
      <c r="F1679" s="22"/>
      <c r="H1679" s="21">
        <v>45978</v>
      </c>
      <c r="I1679" s="22" t="s">
        <v>70</v>
      </c>
      <c r="J1679" s="22" t="s">
        <v>50</v>
      </c>
      <c r="K1679" s="24" t="s">
        <v>61</v>
      </c>
      <c r="M1679" s="21">
        <v>46031</v>
      </c>
      <c r="N1679" s="22" t="s">
        <v>70</v>
      </c>
      <c r="O1679" s="22" t="s">
        <v>53</v>
      </c>
      <c r="P1679" s="49">
        <v>68</v>
      </c>
      <c r="Q1679" s="49">
        <v>67.7</v>
      </c>
      <c r="R1679" s="46">
        <f t="shared" si="56"/>
        <v>0.29999999999999716</v>
      </c>
      <c r="T1679" s="21">
        <v>46009</v>
      </c>
      <c r="U1679" s="22" t="s">
        <v>46</v>
      </c>
      <c r="V1679" s="24">
        <v>5</v>
      </c>
      <c r="W1679" s="24">
        <v>4</v>
      </c>
      <c r="X1679" s="24">
        <v>4</v>
      </c>
      <c r="Y1679" s="24">
        <v>4</v>
      </c>
      <c r="Z1679" s="20">
        <f t="shared" si="57"/>
        <v>17</v>
      </c>
    </row>
    <row r="1680" spans="1:26" x14ac:dyDescent="0.2">
      <c r="A1680" s="21"/>
      <c r="B1680" s="20"/>
      <c r="C1680" s="22"/>
      <c r="D1680" s="22"/>
      <c r="E1680" s="24"/>
      <c r="F1680" s="22"/>
      <c r="H1680" s="21">
        <v>45978</v>
      </c>
      <c r="I1680" s="22" t="s">
        <v>70</v>
      </c>
      <c r="J1680" s="22" t="s">
        <v>51</v>
      </c>
      <c r="K1680" s="24" t="s">
        <v>60</v>
      </c>
      <c r="M1680" s="21">
        <v>46031</v>
      </c>
      <c r="N1680" s="22" t="s">
        <v>70</v>
      </c>
      <c r="O1680" s="22" t="s">
        <v>56</v>
      </c>
      <c r="P1680" s="49">
        <v>75.2</v>
      </c>
      <c r="Q1680" s="49">
        <v>75.099999999999994</v>
      </c>
      <c r="R1680" s="46">
        <f t="shared" si="56"/>
        <v>0.10000000000000853</v>
      </c>
      <c r="T1680" s="21">
        <v>46009</v>
      </c>
      <c r="U1680" s="22" t="s">
        <v>50</v>
      </c>
      <c r="V1680" s="24">
        <v>4</v>
      </c>
      <c r="W1680" s="24">
        <v>4</v>
      </c>
      <c r="X1680" s="24">
        <v>3</v>
      </c>
      <c r="Y1680" s="24">
        <v>4</v>
      </c>
      <c r="Z1680" s="20">
        <f t="shared" si="57"/>
        <v>15</v>
      </c>
    </row>
    <row r="1681" spans="1:26" x14ac:dyDescent="0.2">
      <c r="A1681" s="21"/>
      <c r="B1681" s="20"/>
      <c r="C1681" s="22"/>
      <c r="D1681" s="22"/>
      <c r="E1681" s="24"/>
      <c r="F1681" s="22"/>
      <c r="H1681" s="21">
        <v>45978</v>
      </c>
      <c r="I1681" s="22" t="s">
        <v>70</v>
      </c>
      <c r="J1681" s="22" t="s">
        <v>46</v>
      </c>
      <c r="K1681" s="24">
        <v>6</v>
      </c>
      <c r="M1681" s="21">
        <v>46031</v>
      </c>
      <c r="N1681" s="22" t="s">
        <v>70</v>
      </c>
      <c r="O1681" s="22" t="s">
        <v>57</v>
      </c>
      <c r="P1681" s="49">
        <v>90.9</v>
      </c>
      <c r="Q1681" s="49">
        <v>90.8</v>
      </c>
      <c r="R1681" s="46">
        <f t="shared" si="56"/>
        <v>0.10000000000000853</v>
      </c>
      <c r="T1681" s="21">
        <v>46009</v>
      </c>
      <c r="U1681" s="22" t="s">
        <v>51</v>
      </c>
      <c r="V1681" s="24">
        <v>4</v>
      </c>
      <c r="W1681" s="24">
        <v>4</v>
      </c>
      <c r="X1681" s="24">
        <v>4</v>
      </c>
      <c r="Y1681" s="24">
        <v>5</v>
      </c>
      <c r="Z1681" s="20">
        <f t="shared" si="57"/>
        <v>17</v>
      </c>
    </row>
    <row r="1682" spans="1:26" x14ac:dyDescent="0.2">
      <c r="A1682" s="21"/>
      <c r="B1682" s="20"/>
      <c r="C1682" s="22"/>
      <c r="D1682" s="22"/>
      <c r="E1682" s="24"/>
      <c r="F1682" s="22"/>
      <c r="H1682" s="21">
        <v>45978</v>
      </c>
      <c r="I1682" s="22" t="s">
        <v>70</v>
      </c>
      <c r="J1682" s="22" t="s">
        <v>48</v>
      </c>
      <c r="K1682" s="24">
        <v>5</v>
      </c>
      <c r="M1682" s="21">
        <v>46031</v>
      </c>
      <c r="N1682" s="22" t="s">
        <v>70</v>
      </c>
      <c r="O1682" s="22" t="s">
        <v>58</v>
      </c>
      <c r="P1682" s="49">
        <v>75.3</v>
      </c>
      <c r="Q1682" s="49">
        <v>75.3</v>
      </c>
      <c r="R1682" s="46">
        <f t="shared" si="56"/>
        <v>0</v>
      </c>
      <c r="T1682" s="21">
        <v>46009</v>
      </c>
      <c r="U1682" s="22" t="s">
        <v>52</v>
      </c>
      <c r="V1682" s="24">
        <v>4</v>
      </c>
      <c r="W1682" s="24">
        <v>4</v>
      </c>
      <c r="X1682" s="24">
        <v>4</v>
      </c>
      <c r="Y1682" s="24">
        <v>4</v>
      </c>
      <c r="Z1682" s="20">
        <f t="shared" si="57"/>
        <v>16</v>
      </c>
    </row>
    <row r="1683" spans="1:26" x14ac:dyDescent="0.2">
      <c r="A1683" s="21"/>
      <c r="B1683" s="20"/>
      <c r="C1683" s="22"/>
      <c r="D1683" s="22"/>
      <c r="E1683" s="24"/>
      <c r="F1683" s="22"/>
      <c r="H1683" s="21">
        <v>45978</v>
      </c>
      <c r="I1683" s="22" t="s">
        <v>70</v>
      </c>
      <c r="J1683" s="22" t="s">
        <v>56</v>
      </c>
      <c r="K1683" s="24">
        <v>7</v>
      </c>
      <c r="M1683" s="21">
        <v>46041</v>
      </c>
      <c r="N1683" s="22" t="s">
        <v>70</v>
      </c>
      <c r="O1683" s="22" t="s">
        <v>41</v>
      </c>
      <c r="P1683" s="49">
        <v>77</v>
      </c>
      <c r="Q1683" s="49">
        <v>77</v>
      </c>
      <c r="R1683" s="46">
        <f t="shared" si="56"/>
        <v>0</v>
      </c>
      <c r="T1683" s="21">
        <v>46009</v>
      </c>
      <c r="U1683" s="22" t="s">
        <v>53</v>
      </c>
      <c r="V1683" s="24">
        <v>4</v>
      </c>
      <c r="W1683" s="24">
        <v>4</v>
      </c>
      <c r="X1683" s="24">
        <v>4</v>
      </c>
      <c r="Y1683" s="24">
        <v>4</v>
      </c>
      <c r="Z1683" s="20">
        <f t="shared" si="57"/>
        <v>16</v>
      </c>
    </row>
    <row r="1684" spans="1:26" x14ac:dyDescent="0.2">
      <c r="A1684" s="21"/>
      <c r="B1684" s="20"/>
      <c r="C1684" s="22"/>
      <c r="D1684" s="22"/>
      <c r="E1684" s="24"/>
      <c r="F1684" s="22"/>
      <c r="H1684" s="21">
        <v>45979</v>
      </c>
      <c r="I1684" s="22" t="s">
        <v>70</v>
      </c>
      <c r="J1684" s="22" t="s">
        <v>52</v>
      </c>
      <c r="K1684" s="24">
        <v>4</v>
      </c>
      <c r="M1684" s="21">
        <v>46041</v>
      </c>
      <c r="N1684" s="22" t="s">
        <v>71</v>
      </c>
      <c r="O1684" s="22" t="s">
        <v>41</v>
      </c>
      <c r="P1684" s="49">
        <v>77</v>
      </c>
      <c r="Q1684" s="49">
        <v>77</v>
      </c>
      <c r="R1684" s="46">
        <f t="shared" si="56"/>
        <v>0</v>
      </c>
      <c r="T1684" s="21">
        <v>46009</v>
      </c>
      <c r="U1684" s="22" t="s">
        <v>54</v>
      </c>
      <c r="V1684" s="24">
        <v>4</v>
      </c>
      <c r="W1684" s="24">
        <v>4</v>
      </c>
      <c r="X1684" s="24">
        <v>4</v>
      </c>
      <c r="Y1684" s="24">
        <v>5</v>
      </c>
      <c r="Z1684" s="20">
        <f t="shared" si="57"/>
        <v>17</v>
      </c>
    </row>
    <row r="1685" spans="1:26" x14ac:dyDescent="0.2">
      <c r="A1685" s="21"/>
      <c r="B1685" s="20"/>
      <c r="C1685" s="22"/>
      <c r="D1685" s="22"/>
      <c r="E1685" s="24"/>
      <c r="F1685" s="22"/>
      <c r="H1685" s="21">
        <v>45979</v>
      </c>
      <c r="I1685" s="22" t="s">
        <v>70</v>
      </c>
      <c r="J1685" s="22" t="s">
        <v>53</v>
      </c>
      <c r="K1685" s="24">
        <v>3</v>
      </c>
      <c r="M1685" s="21">
        <v>46041</v>
      </c>
      <c r="N1685" s="22" t="s">
        <v>70</v>
      </c>
      <c r="O1685" s="22" t="s">
        <v>42</v>
      </c>
      <c r="P1685" s="49">
        <v>79.3</v>
      </c>
      <c r="Q1685" s="49">
        <v>79.2</v>
      </c>
      <c r="R1685" s="46">
        <f t="shared" si="56"/>
        <v>9.9999999999994316E-2</v>
      </c>
      <c r="T1685" s="21">
        <v>46009</v>
      </c>
      <c r="U1685" s="22" t="s">
        <v>33</v>
      </c>
      <c r="V1685" s="24">
        <v>3.8888888888888902</v>
      </c>
      <c r="W1685" s="24">
        <v>3.6666666666666701</v>
      </c>
      <c r="X1685" s="24">
        <v>3.5555555555555598</v>
      </c>
      <c r="Y1685" s="24">
        <v>4</v>
      </c>
      <c r="Z1685" s="20">
        <f t="shared" si="57"/>
        <v>15.111111111111121</v>
      </c>
    </row>
    <row r="1686" spans="1:26" x14ac:dyDescent="0.2">
      <c r="A1686" s="21"/>
      <c r="B1686" s="20"/>
      <c r="C1686" s="22"/>
      <c r="D1686" s="22"/>
      <c r="E1686" s="24"/>
      <c r="F1686" s="22"/>
      <c r="H1686" s="21">
        <v>45979</v>
      </c>
      <c r="I1686" s="22" t="s">
        <v>70</v>
      </c>
      <c r="J1686" s="22" t="s">
        <v>44</v>
      </c>
      <c r="K1686" s="24">
        <v>3</v>
      </c>
      <c r="M1686" s="21">
        <v>46041</v>
      </c>
      <c r="N1686" s="22" t="s">
        <v>71</v>
      </c>
      <c r="O1686" s="22" t="s">
        <v>42</v>
      </c>
      <c r="P1686" s="49">
        <v>79.400000000000006</v>
      </c>
      <c r="Q1686" s="49">
        <v>79.099999999999994</v>
      </c>
      <c r="R1686" s="46">
        <f t="shared" si="56"/>
        <v>0.30000000000001137</v>
      </c>
      <c r="T1686" s="21">
        <v>46010</v>
      </c>
      <c r="U1686" s="22" t="s">
        <v>41</v>
      </c>
      <c r="V1686" s="24">
        <v>1</v>
      </c>
      <c r="W1686" s="24">
        <v>1</v>
      </c>
      <c r="X1686" s="24">
        <v>1</v>
      </c>
      <c r="Y1686" s="24">
        <v>1</v>
      </c>
      <c r="Z1686" s="20">
        <f t="shared" si="57"/>
        <v>4</v>
      </c>
    </row>
    <row r="1687" spans="1:26" x14ac:dyDescent="0.2">
      <c r="A1687" s="21"/>
      <c r="B1687" s="20"/>
      <c r="C1687" s="22"/>
      <c r="D1687" s="22"/>
      <c r="E1687" s="24"/>
      <c r="F1687" s="22"/>
      <c r="H1687" s="21">
        <v>45979</v>
      </c>
      <c r="I1687" s="22" t="s">
        <v>70</v>
      </c>
      <c r="J1687" s="22" t="s">
        <v>45</v>
      </c>
      <c r="K1687" s="24">
        <v>2</v>
      </c>
      <c r="M1687" s="21">
        <v>46041</v>
      </c>
      <c r="N1687" s="22" t="s">
        <v>70</v>
      </c>
      <c r="O1687" s="22" t="s">
        <v>45</v>
      </c>
      <c r="P1687" s="49">
        <v>69.400000000000006</v>
      </c>
      <c r="Q1687" s="49">
        <v>69</v>
      </c>
      <c r="R1687" s="46">
        <f t="shared" si="56"/>
        <v>0.40000000000000568</v>
      </c>
      <c r="T1687" s="21">
        <v>46010</v>
      </c>
      <c r="U1687" s="22" t="s">
        <v>42</v>
      </c>
      <c r="V1687" s="24">
        <v>4</v>
      </c>
      <c r="W1687" s="24">
        <v>4</v>
      </c>
      <c r="X1687" s="24">
        <v>4</v>
      </c>
      <c r="Y1687" s="24">
        <v>5</v>
      </c>
      <c r="Z1687" s="20">
        <f t="shared" si="57"/>
        <v>17</v>
      </c>
    </row>
    <row r="1688" spans="1:26" x14ac:dyDescent="0.2">
      <c r="A1688" s="21"/>
      <c r="B1688" s="20"/>
      <c r="C1688" s="22"/>
      <c r="D1688" s="22"/>
      <c r="E1688" s="24"/>
      <c r="F1688" s="22"/>
      <c r="H1688" s="21">
        <v>45979</v>
      </c>
      <c r="I1688" s="22" t="s">
        <v>70</v>
      </c>
      <c r="J1688" s="22" t="s">
        <v>57</v>
      </c>
      <c r="K1688" s="24">
        <v>3</v>
      </c>
      <c r="M1688" s="21">
        <v>46041</v>
      </c>
      <c r="N1688" s="22" t="s">
        <v>71</v>
      </c>
      <c r="O1688" s="22" t="s">
        <v>45</v>
      </c>
      <c r="P1688" s="49">
        <v>69.2</v>
      </c>
      <c r="Q1688" s="49">
        <v>68.7</v>
      </c>
      <c r="R1688" s="46">
        <f t="shared" si="56"/>
        <v>0.5</v>
      </c>
      <c r="T1688" s="21">
        <v>46010</v>
      </c>
      <c r="U1688" s="22" t="s">
        <v>45</v>
      </c>
      <c r="V1688" s="24">
        <v>4</v>
      </c>
      <c r="W1688" s="24">
        <v>4</v>
      </c>
      <c r="X1688" s="24">
        <v>4</v>
      </c>
      <c r="Y1688" s="24">
        <v>5</v>
      </c>
      <c r="Z1688" s="20">
        <f t="shared" si="57"/>
        <v>17</v>
      </c>
    </row>
    <row r="1689" spans="1:26" x14ac:dyDescent="0.2">
      <c r="A1689" s="21"/>
      <c r="B1689" s="20"/>
      <c r="C1689" s="22"/>
      <c r="D1689" s="22"/>
      <c r="E1689" s="24"/>
      <c r="F1689" s="22"/>
      <c r="H1689" s="21">
        <v>45979</v>
      </c>
      <c r="I1689" s="22" t="s">
        <v>70</v>
      </c>
      <c r="J1689" s="22" t="s">
        <v>42</v>
      </c>
      <c r="K1689" s="24">
        <v>2</v>
      </c>
      <c r="M1689" s="21">
        <v>46041</v>
      </c>
      <c r="N1689" s="22" t="s">
        <v>70</v>
      </c>
      <c r="O1689" s="22" t="s">
        <v>46</v>
      </c>
      <c r="P1689" s="49">
        <v>80.599999999999994</v>
      </c>
      <c r="Q1689" s="49">
        <v>80.599999999999994</v>
      </c>
      <c r="R1689" s="46">
        <f t="shared" si="56"/>
        <v>0</v>
      </c>
      <c r="T1689" s="21">
        <v>46010</v>
      </c>
      <c r="U1689" s="22" t="s">
        <v>46</v>
      </c>
      <c r="V1689" s="24">
        <v>5</v>
      </c>
      <c r="W1689" s="24">
        <v>4</v>
      </c>
      <c r="X1689" s="24">
        <v>4</v>
      </c>
      <c r="Y1689" s="24">
        <v>4</v>
      </c>
      <c r="Z1689" s="20">
        <f t="shared" si="57"/>
        <v>17</v>
      </c>
    </row>
    <row r="1690" spans="1:26" x14ac:dyDescent="0.2">
      <c r="A1690" s="21"/>
      <c r="B1690" s="20"/>
      <c r="C1690" s="22"/>
      <c r="D1690" s="22"/>
      <c r="E1690" s="24"/>
      <c r="F1690" s="22"/>
      <c r="H1690" s="21">
        <v>45979</v>
      </c>
      <c r="I1690" s="22" t="s">
        <v>70</v>
      </c>
      <c r="J1690" s="22" t="s">
        <v>47</v>
      </c>
      <c r="K1690" s="24">
        <v>2</v>
      </c>
      <c r="M1690" s="21">
        <v>46041</v>
      </c>
      <c r="N1690" s="22" t="s">
        <v>71</v>
      </c>
      <c r="O1690" s="22" t="s">
        <v>46</v>
      </c>
      <c r="P1690" s="49">
        <v>81</v>
      </c>
      <c r="Q1690" s="49">
        <v>81.400000000000006</v>
      </c>
      <c r="R1690" s="46">
        <f t="shared" si="56"/>
        <v>-0.40000000000000568</v>
      </c>
      <c r="T1690" s="21">
        <v>46010</v>
      </c>
      <c r="U1690" s="22" t="s">
        <v>50</v>
      </c>
      <c r="V1690" s="24">
        <v>3</v>
      </c>
      <c r="W1690" s="24">
        <v>3</v>
      </c>
      <c r="X1690" s="24">
        <v>3</v>
      </c>
      <c r="Y1690" s="24">
        <v>4</v>
      </c>
      <c r="Z1690" s="20">
        <f t="shared" si="57"/>
        <v>13</v>
      </c>
    </row>
    <row r="1691" spans="1:26" x14ac:dyDescent="0.2">
      <c r="A1691" s="21"/>
      <c r="B1691" s="20"/>
      <c r="C1691" s="22"/>
      <c r="D1691" s="22"/>
      <c r="E1691" s="24"/>
      <c r="F1691" s="22"/>
      <c r="H1691" s="21">
        <v>45979</v>
      </c>
      <c r="I1691" s="22" t="s">
        <v>70</v>
      </c>
      <c r="J1691" s="22" t="s">
        <v>41</v>
      </c>
      <c r="K1691" s="24">
        <v>1</v>
      </c>
      <c r="M1691" s="21">
        <v>46041</v>
      </c>
      <c r="N1691" s="22" t="s">
        <v>70</v>
      </c>
      <c r="O1691" s="22" t="s">
        <v>49</v>
      </c>
      <c r="P1691" s="49">
        <v>79.3</v>
      </c>
      <c r="Q1691" s="49">
        <v>79.099999999999994</v>
      </c>
      <c r="R1691" s="46">
        <f t="shared" si="56"/>
        <v>0.20000000000000284</v>
      </c>
      <c r="T1691" s="21">
        <v>46010</v>
      </c>
      <c r="U1691" s="22" t="s">
        <v>51</v>
      </c>
      <c r="V1691" s="24">
        <v>4</v>
      </c>
      <c r="W1691" s="24">
        <v>3</v>
      </c>
      <c r="X1691" s="24">
        <v>3</v>
      </c>
      <c r="Y1691" s="24">
        <v>5</v>
      </c>
      <c r="Z1691" s="20">
        <f t="shared" si="57"/>
        <v>15</v>
      </c>
    </row>
    <row r="1692" spans="1:26" x14ac:dyDescent="0.2">
      <c r="A1692" s="21"/>
      <c r="B1692" s="20"/>
      <c r="C1692" s="22"/>
      <c r="D1692" s="22"/>
      <c r="E1692" s="24"/>
      <c r="F1692" s="22"/>
      <c r="H1692" s="21">
        <v>45979</v>
      </c>
      <c r="I1692" s="22" t="s">
        <v>70</v>
      </c>
      <c r="J1692" s="22" t="s">
        <v>58</v>
      </c>
      <c r="K1692" s="24">
        <v>4</v>
      </c>
      <c r="M1692" s="21">
        <v>46041</v>
      </c>
      <c r="N1692" s="22" t="s">
        <v>71</v>
      </c>
      <c r="O1692" s="22" t="s">
        <v>49</v>
      </c>
      <c r="P1692" s="49">
        <v>79.599999999999994</v>
      </c>
      <c r="Q1692" s="49">
        <v>79.3</v>
      </c>
      <c r="R1692" s="46">
        <f t="shared" si="56"/>
        <v>0.29999999999999716</v>
      </c>
      <c r="T1692" s="21">
        <v>46010</v>
      </c>
      <c r="U1692" s="22" t="s">
        <v>52</v>
      </c>
      <c r="V1692" s="24">
        <v>4</v>
      </c>
      <c r="W1692" s="24">
        <v>4</v>
      </c>
      <c r="X1692" s="24">
        <v>4</v>
      </c>
      <c r="Y1692" s="24">
        <v>4</v>
      </c>
      <c r="Z1692" s="20">
        <f t="shared" si="57"/>
        <v>16</v>
      </c>
    </row>
    <row r="1693" spans="1:26" x14ac:dyDescent="0.2">
      <c r="A1693" s="21"/>
      <c r="B1693" s="20"/>
      <c r="C1693" s="22"/>
      <c r="D1693" s="22"/>
      <c r="E1693" s="24"/>
      <c r="F1693" s="22"/>
      <c r="H1693" s="21">
        <v>45979</v>
      </c>
      <c r="I1693" s="22" t="s">
        <v>70</v>
      </c>
      <c r="J1693" s="22" t="s">
        <v>49</v>
      </c>
      <c r="K1693" s="24">
        <v>2</v>
      </c>
      <c r="M1693" s="21">
        <v>46041</v>
      </c>
      <c r="N1693" s="22" t="s">
        <v>70</v>
      </c>
      <c r="O1693" s="22" t="s">
        <v>50</v>
      </c>
      <c r="P1693" s="49">
        <v>66.8</v>
      </c>
      <c r="Q1693" s="49">
        <v>66.3</v>
      </c>
      <c r="R1693" s="46">
        <f t="shared" si="56"/>
        <v>0.5</v>
      </c>
      <c r="T1693" s="21">
        <v>46010</v>
      </c>
      <c r="U1693" s="22" t="s">
        <v>53</v>
      </c>
      <c r="V1693" s="24">
        <v>4</v>
      </c>
      <c r="W1693" s="24">
        <v>4</v>
      </c>
      <c r="X1693" s="24">
        <v>4</v>
      </c>
      <c r="Y1693" s="24">
        <v>4</v>
      </c>
      <c r="Z1693" s="20">
        <f t="shared" si="57"/>
        <v>16</v>
      </c>
    </row>
    <row r="1694" spans="1:26" x14ac:dyDescent="0.2">
      <c r="A1694" s="21"/>
      <c r="B1694" s="20"/>
      <c r="C1694" s="22"/>
      <c r="D1694" s="22"/>
      <c r="E1694" s="24"/>
      <c r="F1694" s="22"/>
      <c r="H1694" s="21">
        <v>45979</v>
      </c>
      <c r="I1694" s="22" t="s">
        <v>70</v>
      </c>
      <c r="J1694" s="22" t="s">
        <v>50</v>
      </c>
      <c r="K1694" s="24" t="s">
        <v>61</v>
      </c>
      <c r="M1694" s="21">
        <v>46041</v>
      </c>
      <c r="N1694" s="22" t="s">
        <v>71</v>
      </c>
      <c r="O1694" s="22" t="s">
        <v>50</v>
      </c>
      <c r="P1694" s="49">
        <v>67</v>
      </c>
      <c r="Q1694" s="49">
        <v>66.099999999999994</v>
      </c>
      <c r="R1694" s="46">
        <f t="shared" si="56"/>
        <v>0.90000000000000568</v>
      </c>
      <c r="T1694" s="21">
        <v>46010</v>
      </c>
      <c r="U1694" s="22" t="s">
        <v>56</v>
      </c>
      <c r="V1694" s="24">
        <v>4</v>
      </c>
      <c r="W1694" s="24">
        <v>4</v>
      </c>
      <c r="X1694" s="24">
        <v>4</v>
      </c>
      <c r="Y1694" s="24">
        <v>4</v>
      </c>
      <c r="Z1694" s="20">
        <f t="shared" si="57"/>
        <v>16</v>
      </c>
    </row>
    <row r="1695" spans="1:26" x14ac:dyDescent="0.2">
      <c r="A1695" s="21"/>
      <c r="B1695" s="20"/>
      <c r="C1695" s="22"/>
      <c r="D1695" s="22"/>
      <c r="E1695" s="24"/>
      <c r="F1695" s="22"/>
      <c r="H1695" s="21">
        <v>45979</v>
      </c>
      <c r="I1695" s="22" t="s">
        <v>70</v>
      </c>
      <c r="J1695" s="22" t="s">
        <v>51</v>
      </c>
      <c r="K1695" s="24">
        <v>3</v>
      </c>
      <c r="M1695" s="21">
        <v>46041</v>
      </c>
      <c r="N1695" s="22" t="s">
        <v>70</v>
      </c>
      <c r="O1695" s="22" t="s">
        <v>51</v>
      </c>
      <c r="P1695" s="49">
        <v>75.900000000000006</v>
      </c>
      <c r="Q1695" s="49">
        <v>75.7</v>
      </c>
      <c r="R1695" s="46">
        <f t="shared" si="56"/>
        <v>0.20000000000000284</v>
      </c>
      <c r="T1695" s="21">
        <v>46010</v>
      </c>
      <c r="U1695" s="22" t="s">
        <v>57</v>
      </c>
      <c r="V1695" s="24">
        <v>4</v>
      </c>
      <c r="W1695" s="24">
        <v>4</v>
      </c>
      <c r="X1695" s="24">
        <v>4</v>
      </c>
      <c r="Y1695" s="24">
        <v>5</v>
      </c>
      <c r="Z1695" s="20">
        <f t="shared" si="57"/>
        <v>17</v>
      </c>
    </row>
    <row r="1696" spans="1:26" x14ac:dyDescent="0.2">
      <c r="A1696" s="21"/>
      <c r="B1696" s="20"/>
      <c r="C1696" s="22"/>
      <c r="D1696" s="22"/>
      <c r="E1696" s="24"/>
      <c r="F1696" s="22"/>
      <c r="H1696" s="21">
        <v>45979</v>
      </c>
      <c r="I1696" s="22" t="s">
        <v>70</v>
      </c>
      <c r="J1696" s="22" t="s">
        <v>46</v>
      </c>
      <c r="K1696" s="24">
        <v>1</v>
      </c>
      <c r="M1696" s="21">
        <v>46041</v>
      </c>
      <c r="N1696" s="22" t="s">
        <v>71</v>
      </c>
      <c r="O1696" s="22" t="s">
        <v>51</v>
      </c>
      <c r="P1696" s="49">
        <v>75.5</v>
      </c>
      <c r="Q1696" s="49">
        <v>75.099999999999994</v>
      </c>
      <c r="R1696" s="46">
        <f t="shared" si="56"/>
        <v>0.40000000000000568</v>
      </c>
      <c r="T1696" s="21">
        <v>46010</v>
      </c>
      <c r="U1696" s="22" t="s">
        <v>33</v>
      </c>
      <c r="V1696" s="24">
        <v>3.7</v>
      </c>
      <c r="W1696" s="24">
        <v>3.5</v>
      </c>
      <c r="X1696" s="24">
        <v>3.5</v>
      </c>
      <c r="Y1696" s="24">
        <v>4.0999999999999996</v>
      </c>
      <c r="Z1696" s="20">
        <f t="shared" si="57"/>
        <v>14.799999999999999</v>
      </c>
    </row>
    <row r="1697" spans="1:26" x14ac:dyDescent="0.2">
      <c r="A1697" s="21"/>
      <c r="B1697" s="20"/>
      <c r="C1697" s="22"/>
      <c r="D1697" s="22"/>
      <c r="E1697" s="24"/>
      <c r="F1697" s="22"/>
      <c r="H1697" s="21">
        <v>45979</v>
      </c>
      <c r="I1697" s="22" t="s">
        <v>70</v>
      </c>
      <c r="J1697" s="22" t="s">
        <v>48</v>
      </c>
      <c r="K1697" s="24">
        <v>2</v>
      </c>
      <c r="M1697" s="21">
        <v>46041</v>
      </c>
      <c r="N1697" s="22" t="s">
        <v>70</v>
      </c>
      <c r="O1697" s="22" t="s">
        <v>52</v>
      </c>
      <c r="P1697" s="49">
        <v>71</v>
      </c>
      <c r="Q1697" s="49">
        <v>70.7</v>
      </c>
      <c r="R1697" s="46">
        <f t="shared" si="56"/>
        <v>0.29999999999999716</v>
      </c>
      <c r="T1697" s="21">
        <v>46013</v>
      </c>
      <c r="U1697" s="22" t="s">
        <v>41</v>
      </c>
      <c r="V1697" s="24">
        <v>1</v>
      </c>
      <c r="W1697" s="24">
        <v>1</v>
      </c>
      <c r="X1697" s="24">
        <v>1</v>
      </c>
      <c r="Y1697" s="24">
        <v>1</v>
      </c>
      <c r="Z1697" s="20">
        <f t="shared" si="57"/>
        <v>4</v>
      </c>
    </row>
    <row r="1698" spans="1:26" x14ac:dyDescent="0.2">
      <c r="A1698" s="21"/>
      <c r="B1698" s="20"/>
      <c r="C1698" s="22"/>
      <c r="D1698" s="22"/>
      <c r="E1698" s="24"/>
      <c r="F1698" s="22"/>
      <c r="H1698" s="21">
        <v>45979</v>
      </c>
      <c r="I1698" s="22" t="s">
        <v>70</v>
      </c>
      <c r="J1698" s="22" t="s">
        <v>56</v>
      </c>
      <c r="K1698" s="24">
        <v>4</v>
      </c>
      <c r="M1698" s="21">
        <v>46041</v>
      </c>
      <c r="N1698" s="22" t="s">
        <v>71</v>
      </c>
      <c r="O1698" s="22" t="s">
        <v>52</v>
      </c>
      <c r="P1698" s="49">
        <v>71.5</v>
      </c>
      <c r="Q1698" s="49">
        <v>71.5</v>
      </c>
      <c r="R1698" s="46">
        <f t="shared" si="56"/>
        <v>0</v>
      </c>
      <c r="T1698" s="21">
        <v>46013</v>
      </c>
      <c r="U1698" s="22" t="s">
        <v>42</v>
      </c>
      <c r="V1698" s="24">
        <v>4</v>
      </c>
      <c r="W1698" s="24">
        <v>4</v>
      </c>
      <c r="X1698" s="24">
        <v>4</v>
      </c>
      <c r="Y1698" s="24">
        <v>5</v>
      </c>
      <c r="Z1698" s="20">
        <f t="shared" si="57"/>
        <v>17</v>
      </c>
    </row>
    <row r="1699" spans="1:26" x14ac:dyDescent="0.2">
      <c r="A1699" s="21"/>
      <c r="B1699" s="20"/>
      <c r="C1699" s="22"/>
      <c r="D1699" s="22"/>
      <c r="E1699" s="24"/>
      <c r="F1699" s="22"/>
      <c r="H1699" s="21">
        <v>45980</v>
      </c>
      <c r="I1699" s="22" t="s">
        <v>70</v>
      </c>
      <c r="J1699" s="22" t="s">
        <v>52</v>
      </c>
      <c r="K1699" s="24">
        <v>2</v>
      </c>
      <c r="M1699" s="21">
        <v>46041</v>
      </c>
      <c r="N1699" s="22" t="s">
        <v>70</v>
      </c>
      <c r="O1699" s="22" t="s">
        <v>53</v>
      </c>
      <c r="P1699" s="49">
        <v>68</v>
      </c>
      <c r="Q1699" s="49">
        <v>67.5</v>
      </c>
      <c r="R1699" s="46">
        <f t="shared" si="56"/>
        <v>0.5</v>
      </c>
      <c r="T1699" s="21">
        <v>46013</v>
      </c>
      <c r="U1699" s="22" t="s">
        <v>45</v>
      </c>
      <c r="V1699" s="24">
        <v>5</v>
      </c>
      <c r="W1699" s="24">
        <v>5</v>
      </c>
      <c r="X1699" s="24">
        <v>5</v>
      </c>
      <c r="Y1699" s="24">
        <v>5</v>
      </c>
      <c r="Z1699" s="20">
        <f t="shared" si="57"/>
        <v>20</v>
      </c>
    </row>
    <row r="1700" spans="1:26" x14ac:dyDescent="0.2">
      <c r="A1700" s="21"/>
      <c r="B1700" s="20"/>
      <c r="C1700" s="22"/>
      <c r="D1700" s="22"/>
      <c r="E1700" s="24"/>
      <c r="F1700" s="22"/>
      <c r="H1700" s="21">
        <v>45980</v>
      </c>
      <c r="I1700" s="22" t="s">
        <v>70</v>
      </c>
      <c r="J1700" s="22" t="s">
        <v>53</v>
      </c>
      <c r="K1700" s="24">
        <v>2</v>
      </c>
      <c r="M1700" s="21">
        <v>46041</v>
      </c>
      <c r="N1700" s="22" t="s">
        <v>71</v>
      </c>
      <c r="O1700" s="22" t="s">
        <v>53</v>
      </c>
      <c r="P1700" s="49">
        <v>67.7</v>
      </c>
      <c r="Q1700" s="49">
        <v>67.5</v>
      </c>
      <c r="R1700" s="46">
        <f t="shared" si="56"/>
        <v>0.20000000000000284</v>
      </c>
      <c r="T1700" s="21">
        <v>46013</v>
      </c>
      <c r="U1700" s="22" t="s">
        <v>46</v>
      </c>
      <c r="V1700" s="24">
        <v>4</v>
      </c>
      <c r="W1700" s="24">
        <v>5</v>
      </c>
      <c r="X1700" s="24">
        <v>5</v>
      </c>
      <c r="Y1700" s="24">
        <v>5</v>
      </c>
      <c r="Z1700" s="20">
        <f t="shared" si="57"/>
        <v>19</v>
      </c>
    </row>
    <row r="1701" spans="1:26" x14ac:dyDescent="0.2">
      <c r="A1701" s="21"/>
      <c r="B1701" s="20"/>
      <c r="C1701" s="22"/>
      <c r="D1701" s="22"/>
      <c r="E1701" s="24"/>
      <c r="F1701" s="22"/>
      <c r="H1701" s="21">
        <v>45980</v>
      </c>
      <c r="I1701" s="22" t="s">
        <v>70</v>
      </c>
      <c r="J1701" s="22" t="s">
        <v>44</v>
      </c>
      <c r="K1701" s="24">
        <v>2</v>
      </c>
      <c r="M1701" s="21">
        <v>46041</v>
      </c>
      <c r="N1701" s="22" t="s">
        <v>71</v>
      </c>
      <c r="O1701" s="22" t="s">
        <v>54</v>
      </c>
      <c r="P1701" s="49">
        <v>83.4</v>
      </c>
      <c r="Q1701" s="49">
        <v>83</v>
      </c>
      <c r="R1701" s="46">
        <f t="shared" si="56"/>
        <v>0.40000000000000568</v>
      </c>
      <c r="T1701" s="21">
        <v>46013</v>
      </c>
      <c r="U1701" s="22" t="s">
        <v>48</v>
      </c>
      <c r="V1701" s="24">
        <v>5</v>
      </c>
      <c r="W1701" s="24">
        <v>4</v>
      </c>
      <c r="X1701" s="24">
        <v>4</v>
      </c>
      <c r="Y1701" s="24">
        <v>5</v>
      </c>
      <c r="Z1701" s="20">
        <f t="shared" si="57"/>
        <v>18</v>
      </c>
    </row>
    <row r="1702" spans="1:26" x14ac:dyDescent="0.2">
      <c r="A1702" s="21"/>
      <c r="B1702" s="20"/>
      <c r="C1702" s="22"/>
      <c r="D1702" s="22"/>
      <c r="E1702" s="24"/>
      <c r="F1702" s="22"/>
      <c r="H1702" s="21">
        <v>45980</v>
      </c>
      <c r="I1702" s="22" t="s">
        <v>70</v>
      </c>
      <c r="J1702" s="22" t="s">
        <v>45</v>
      </c>
      <c r="K1702" s="24">
        <v>2</v>
      </c>
      <c r="M1702" s="21">
        <v>46041</v>
      </c>
      <c r="N1702" s="22" t="s">
        <v>70</v>
      </c>
      <c r="O1702" s="22" t="s">
        <v>56</v>
      </c>
      <c r="P1702" s="49">
        <v>75.7</v>
      </c>
      <c r="Q1702" s="49">
        <v>75.400000000000006</v>
      </c>
      <c r="R1702" s="46">
        <f t="shared" si="56"/>
        <v>0.29999999999999716</v>
      </c>
      <c r="T1702" s="21">
        <v>46013</v>
      </c>
      <c r="U1702" s="22" t="s">
        <v>50</v>
      </c>
      <c r="V1702" s="24">
        <v>1</v>
      </c>
      <c r="W1702" s="24">
        <v>5</v>
      </c>
      <c r="X1702" s="24">
        <v>4</v>
      </c>
      <c r="Y1702" s="24">
        <v>2</v>
      </c>
      <c r="Z1702" s="20">
        <f t="shared" si="57"/>
        <v>12</v>
      </c>
    </row>
    <row r="1703" spans="1:26" x14ac:dyDescent="0.2">
      <c r="A1703" s="21"/>
      <c r="B1703" s="20"/>
      <c r="C1703" s="22"/>
      <c r="D1703" s="22"/>
      <c r="E1703" s="24"/>
      <c r="F1703" s="22"/>
      <c r="H1703" s="21">
        <v>45980</v>
      </c>
      <c r="I1703" s="22" t="s">
        <v>70</v>
      </c>
      <c r="J1703" s="22" t="s">
        <v>57</v>
      </c>
      <c r="K1703" s="24">
        <v>2</v>
      </c>
      <c r="M1703" s="21">
        <v>46041</v>
      </c>
      <c r="N1703" s="22" t="s">
        <v>71</v>
      </c>
      <c r="O1703" s="22" t="s">
        <v>56</v>
      </c>
      <c r="P1703" s="49">
        <v>75.7</v>
      </c>
      <c r="Q1703" s="49">
        <v>75.5</v>
      </c>
      <c r="R1703" s="46">
        <f t="shared" si="56"/>
        <v>0.20000000000000284</v>
      </c>
      <c r="T1703" s="21">
        <v>46013</v>
      </c>
      <c r="U1703" s="22" t="s">
        <v>51</v>
      </c>
      <c r="V1703" s="24">
        <v>4</v>
      </c>
      <c r="W1703" s="24">
        <v>5</v>
      </c>
      <c r="X1703" s="24">
        <v>5</v>
      </c>
      <c r="Y1703" s="24">
        <v>5</v>
      </c>
      <c r="Z1703" s="20">
        <f t="shared" si="57"/>
        <v>19</v>
      </c>
    </row>
    <row r="1704" spans="1:26" x14ac:dyDescent="0.2">
      <c r="A1704" s="21"/>
      <c r="B1704" s="20"/>
      <c r="C1704" s="22"/>
      <c r="D1704" s="22"/>
      <c r="E1704" s="24"/>
      <c r="F1704" s="22"/>
      <c r="H1704" s="21">
        <v>45980</v>
      </c>
      <c r="I1704" s="22" t="s">
        <v>70</v>
      </c>
      <c r="J1704" s="22" t="s">
        <v>42</v>
      </c>
      <c r="K1704" s="24">
        <v>2</v>
      </c>
      <c r="M1704" s="21">
        <v>46041</v>
      </c>
      <c r="N1704" s="22" t="s">
        <v>70</v>
      </c>
      <c r="O1704" s="22" t="s">
        <v>57</v>
      </c>
      <c r="P1704" s="49">
        <v>92</v>
      </c>
      <c r="Q1704" s="49">
        <v>91.7</v>
      </c>
      <c r="R1704" s="46">
        <f t="shared" si="56"/>
        <v>0.29999999999999716</v>
      </c>
      <c r="T1704" s="21">
        <v>46013</v>
      </c>
      <c r="U1704" s="22" t="s">
        <v>52</v>
      </c>
      <c r="V1704" s="24">
        <v>4</v>
      </c>
      <c r="W1704" s="24">
        <v>4</v>
      </c>
      <c r="X1704" s="24">
        <v>4</v>
      </c>
      <c r="Y1704" s="24">
        <v>4</v>
      </c>
      <c r="Z1704" s="20">
        <f t="shared" si="57"/>
        <v>16</v>
      </c>
    </row>
    <row r="1705" spans="1:26" x14ac:dyDescent="0.2">
      <c r="A1705" s="21"/>
      <c r="B1705" s="20"/>
      <c r="C1705" s="22"/>
      <c r="D1705" s="22"/>
      <c r="E1705" s="24"/>
      <c r="F1705" s="22"/>
      <c r="H1705" s="21">
        <v>45980</v>
      </c>
      <c r="I1705" s="22" t="s">
        <v>70</v>
      </c>
      <c r="J1705" s="22" t="s">
        <v>47</v>
      </c>
      <c r="K1705" s="24">
        <v>2</v>
      </c>
      <c r="M1705" s="21">
        <v>46041</v>
      </c>
      <c r="N1705" s="22" t="s">
        <v>71</v>
      </c>
      <c r="O1705" s="22" t="s">
        <v>57</v>
      </c>
      <c r="P1705" s="49">
        <v>91.9</v>
      </c>
      <c r="Q1705" s="49">
        <v>91.7</v>
      </c>
      <c r="R1705" s="46">
        <f t="shared" si="56"/>
        <v>0.20000000000000284</v>
      </c>
      <c r="T1705" s="21">
        <v>46013</v>
      </c>
      <c r="U1705" s="22" t="s">
        <v>53</v>
      </c>
      <c r="V1705" s="24">
        <v>4</v>
      </c>
      <c r="W1705" s="24">
        <v>4</v>
      </c>
      <c r="X1705" s="24">
        <v>4</v>
      </c>
      <c r="Y1705" s="24">
        <v>4</v>
      </c>
      <c r="Z1705" s="20">
        <f t="shared" si="57"/>
        <v>16</v>
      </c>
    </row>
    <row r="1706" spans="1:26" x14ac:dyDescent="0.2">
      <c r="A1706" s="21"/>
      <c r="B1706" s="20"/>
      <c r="C1706" s="22"/>
      <c r="D1706" s="22"/>
      <c r="E1706" s="24"/>
      <c r="F1706" s="22"/>
      <c r="H1706" s="21">
        <v>45980</v>
      </c>
      <c r="I1706" s="22" t="s">
        <v>70</v>
      </c>
      <c r="J1706" s="22" t="s">
        <v>41</v>
      </c>
      <c r="K1706" s="24">
        <v>2</v>
      </c>
      <c r="M1706" s="21">
        <v>46041</v>
      </c>
      <c r="N1706" s="22" t="s">
        <v>70</v>
      </c>
      <c r="O1706" s="22" t="s">
        <v>58</v>
      </c>
      <c r="P1706" s="49">
        <v>75.7</v>
      </c>
      <c r="Q1706" s="49">
        <v>75.8</v>
      </c>
      <c r="R1706" s="46">
        <f t="shared" si="56"/>
        <v>-9.9999999999994316E-2</v>
      </c>
      <c r="T1706" s="21">
        <v>46013</v>
      </c>
      <c r="U1706" s="22" t="s">
        <v>54</v>
      </c>
      <c r="V1706" s="24">
        <v>4</v>
      </c>
      <c r="W1706" s="24">
        <v>4</v>
      </c>
      <c r="X1706" s="24">
        <v>4</v>
      </c>
      <c r="Y1706" s="24">
        <v>5</v>
      </c>
      <c r="Z1706" s="20">
        <f t="shared" si="57"/>
        <v>17</v>
      </c>
    </row>
    <row r="1707" spans="1:26" x14ac:dyDescent="0.2">
      <c r="A1707" s="21"/>
      <c r="B1707" s="20"/>
      <c r="C1707" s="22"/>
      <c r="D1707" s="22"/>
      <c r="E1707" s="24"/>
      <c r="F1707" s="22"/>
      <c r="H1707" s="21">
        <v>45980</v>
      </c>
      <c r="I1707" s="22" t="s">
        <v>70</v>
      </c>
      <c r="J1707" s="22" t="s">
        <v>58</v>
      </c>
      <c r="K1707" s="24">
        <v>2</v>
      </c>
      <c r="M1707" s="21">
        <v>46042</v>
      </c>
      <c r="N1707" s="22" t="s">
        <v>71</v>
      </c>
      <c r="O1707" s="22" t="s">
        <v>41</v>
      </c>
      <c r="P1707" s="49">
        <v>76.900000000000006</v>
      </c>
      <c r="Q1707" s="49">
        <v>76.099999999999994</v>
      </c>
      <c r="R1707" s="46">
        <f t="shared" si="56"/>
        <v>0.80000000000001137</v>
      </c>
      <c r="T1707" s="21">
        <v>46013</v>
      </c>
      <c r="U1707" s="22" t="s">
        <v>56</v>
      </c>
      <c r="V1707" s="24">
        <v>4</v>
      </c>
      <c r="W1707" s="24">
        <v>4</v>
      </c>
      <c r="X1707" s="24">
        <v>4</v>
      </c>
      <c r="Y1707" s="24">
        <v>4</v>
      </c>
      <c r="Z1707" s="20">
        <f t="shared" si="57"/>
        <v>16</v>
      </c>
    </row>
    <row r="1708" spans="1:26" x14ac:dyDescent="0.2">
      <c r="A1708" s="21"/>
      <c r="B1708" s="20"/>
      <c r="C1708" s="22"/>
      <c r="D1708" s="22"/>
      <c r="E1708" s="24"/>
      <c r="F1708" s="22"/>
      <c r="H1708" s="21">
        <v>45980</v>
      </c>
      <c r="I1708" s="22" t="s">
        <v>70</v>
      </c>
      <c r="J1708" s="22" t="s">
        <v>49</v>
      </c>
      <c r="K1708" s="24">
        <v>2</v>
      </c>
      <c r="M1708" s="21">
        <v>46042</v>
      </c>
      <c r="N1708" s="22" t="s">
        <v>71</v>
      </c>
      <c r="O1708" s="22" t="s">
        <v>42</v>
      </c>
      <c r="P1708" s="49">
        <v>79.3</v>
      </c>
      <c r="Q1708" s="49">
        <v>79</v>
      </c>
      <c r="R1708" s="46">
        <f t="shared" si="56"/>
        <v>0.29999999999999716</v>
      </c>
      <c r="T1708" s="21">
        <v>46013</v>
      </c>
      <c r="U1708" s="22" t="s">
        <v>57</v>
      </c>
      <c r="V1708" s="24">
        <v>4</v>
      </c>
      <c r="W1708" s="24">
        <v>4</v>
      </c>
      <c r="X1708" s="24">
        <v>4</v>
      </c>
      <c r="Y1708" s="24">
        <v>4</v>
      </c>
      <c r="Z1708" s="20">
        <f t="shared" si="57"/>
        <v>16</v>
      </c>
    </row>
    <row r="1709" spans="1:26" x14ac:dyDescent="0.2">
      <c r="A1709" s="21"/>
      <c r="B1709" s="20"/>
      <c r="C1709" s="22"/>
      <c r="D1709" s="22"/>
      <c r="E1709" s="24"/>
      <c r="F1709" s="22"/>
      <c r="H1709" s="21">
        <v>45980</v>
      </c>
      <c r="I1709" s="22" t="s">
        <v>70</v>
      </c>
      <c r="J1709" s="22" t="s">
        <v>50</v>
      </c>
      <c r="K1709" s="24" t="s">
        <v>61</v>
      </c>
      <c r="M1709" s="21">
        <v>46042</v>
      </c>
      <c r="N1709" s="22" t="s">
        <v>71</v>
      </c>
      <c r="O1709" s="22" t="s">
        <v>45</v>
      </c>
      <c r="P1709" s="49">
        <v>69.5</v>
      </c>
      <c r="Q1709" s="49">
        <v>69</v>
      </c>
      <c r="R1709" s="46">
        <f t="shared" si="56"/>
        <v>0.5</v>
      </c>
      <c r="T1709" s="21">
        <v>46013</v>
      </c>
      <c r="U1709" s="22" t="s">
        <v>58</v>
      </c>
      <c r="V1709" s="24">
        <v>4</v>
      </c>
      <c r="W1709" s="24">
        <v>5</v>
      </c>
      <c r="X1709" s="24">
        <v>4</v>
      </c>
      <c r="Y1709" s="24">
        <v>5</v>
      </c>
      <c r="Z1709" s="20">
        <f t="shared" si="57"/>
        <v>18</v>
      </c>
    </row>
    <row r="1710" spans="1:26" x14ac:dyDescent="0.2">
      <c r="A1710" s="21"/>
      <c r="B1710" s="20"/>
      <c r="C1710" s="22"/>
      <c r="D1710" s="22"/>
      <c r="E1710" s="24"/>
      <c r="F1710" s="22"/>
      <c r="H1710" s="21">
        <v>45980</v>
      </c>
      <c r="I1710" s="22" t="s">
        <v>70</v>
      </c>
      <c r="J1710" s="22" t="s">
        <v>51</v>
      </c>
      <c r="K1710" s="24">
        <v>2</v>
      </c>
      <c r="M1710" s="21">
        <v>46042</v>
      </c>
      <c r="N1710" s="22" t="s">
        <v>71</v>
      </c>
      <c r="O1710" s="22" t="s">
        <v>46</v>
      </c>
      <c r="P1710" s="49">
        <v>81.5</v>
      </c>
      <c r="Q1710" s="49">
        <v>81.599999999999994</v>
      </c>
      <c r="R1710" s="46">
        <f t="shared" si="56"/>
        <v>-9.9999999999994316E-2</v>
      </c>
      <c r="T1710" s="21">
        <v>46013</v>
      </c>
      <c r="U1710" s="22" t="s">
        <v>33</v>
      </c>
      <c r="V1710" s="24">
        <v>3.6923076923076898</v>
      </c>
      <c r="W1710" s="24">
        <v>4.1538461538461497</v>
      </c>
      <c r="X1710" s="24">
        <v>4</v>
      </c>
      <c r="Y1710" s="24">
        <v>4.1538461538461497</v>
      </c>
      <c r="Z1710" s="20">
        <f t="shared" si="57"/>
        <v>15.999999999999989</v>
      </c>
    </row>
    <row r="1711" spans="1:26" x14ac:dyDescent="0.2">
      <c r="A1711" s="21"/>
      <c r="B1711" s="20"/>
      <c r="C1711" s="22"/>
      <c r="D1711" s="22"/>
      <c r="E1711" s="24"/>
      <c r="F1711" s="22"/>
      <c r="H1711" s="21">
        <v>45980</v>
      </c>
      <c r="I1711" s="22" t="s">
        <v>70</v>
      </c>
      <c r="J1711" s="22" t="s">
        <v>46</v>
      </c>
      <c r="K1711" s="24">
        <v>2</v>
      </c>
      <c r="M1711" s="21">
        <v>46042</v>
      </c>
      <c r="N1711" s="22" t="s">
        <v>71</v>
      </c>
      <c r="O1711" s="22" t="s">
        <v>49</v>
      </c>
      <c r="P1711" s="49">
        <v>78.599999999999994</v>
      </c>
      <c r="Q1711" s="49">
        <v>78.599999999999994</v>
      </c>
      <c r="R1711" s="46">
        <f t="shared" si="56"/>
        <v>0</v>
      </c>
      <c r="T1711" s="21">
        <v>46014</v>
      </c>
      <c r="U1711" s="22" t="s">
        <v>41</v>
      </c>
      <c r="V1711" s="24">
        <v>1</v>
      </c>
      <c r="W1711" s="24">
        <v>1</v>
      </c>
      <c r="X1711" s="24">
        <v>1</v>
      </c>
      <c r="Y1711" s="24">
        <v>1</v>
      </c>
      <c r="Z1711" s="20">
        <f t="shared" si="57"/>
        <v>4</v>
      </c>
    </row>
    <row r="1712" spans="1:26" x14ac:dyDescent="0.2">
      <c r="A1712" s="21"/>
      <c r="B1712" s="20"/>
      <c r="C1712" s="22"/>
      <c r="D1712" s="22"/>
      <c r="E1712" s="24"/>
      <c r="F1712" s="22"/>
      <c r="H1712" s="21">
        <v>45980</v>
      </c>
      <c r="I1712" s="22" t="s">
        <v>70</v>
      </c>
      <c r="J1712" s="22" t="s">
        <v>48</v>
      </c>
      <c r="K1712" s="24">
        <v>2</v>
      </c>
      <c r="M1712" s="21">
        <v>46042</v>
      </c>
      <c r="N1712" s="22" t="s">
        <v>71</v>
      </c>
      <c r="O1712" s="22" t="s">
        <v>50</v>
      </c>
      <c r="P1712" s="49">
        <v>67.599999999999994</v>
      </c>
      <c r="Q1712" s="49">
        <v>66.7</v>
      </c>
      <c r="R1712" s="46">
        <f t="shared" si="56"/>
        <v>0.89999999999999147</v>
      </c>
      <c r="T1712" s="21">
        <v>46014</v>
      </c>
      <c r="U1712" s="22" t="s">
        <v>42</v>
      </c>
      <c r="V1712" s="24">
        <v>4</v>
      </c>
      <c r="W1712" s="24">
        <v>4</v>
      </c>
      <c r="X1712" s="24">
        <v>4</v>
      </c>
      <c r="Y1712" s="24">
        <v>5</v>
      </c>
      <c r="Z1712" s="20">
        <f t="shared" si="57"/>
        <v>17</v>
      </c>
    </row>
    <row r="1713" spans="1:26" x14ac:dyDescent="0.2">
      <c r="A1713" s="21"/>
      <c r="B1713" s="20"/>
      <c r="C1713" s="22"/>
      <c r="D1713" s="22"/>
      <c r="E1713" s="24"/>
      <c r="F1713" s="22"/>
      <c r="H1713" s="21">
        <v>45980</v>
      </c>
      <c r="I1713" s="22" t="s">
        <v>70</v>
      </c>
      <c r="J1713" s="22" t="s">
        <v>56</v>
      </c>
      <c r="K1713" s="24">
        <v>2</v>
      </c>
      <c r="M1713" s="21">
        <v>46042</v>
      </c>
      <c r="N1713" s="22" t="s">
        <v>71</v>
      </c>
      <c r="O1713" s="22" t="s">
        <v>51</v>
      </c>
      <c r="P1713" s="49">
        <v>75.3</v>
      </c>
      <c r="Q1713" s="49">
        <v>74.8</v>
      </c>
      <c r="R1713" s="46">
        <f t="shared" si="56"/>
        <v>0.5</v>
      </c>
      <c r="T1713" s="21">
        <v>46014</v>
      </c>
      <c r="U1713" s="22" t="s">
        <v>45</v>
      </c>
      <c r="V1713" s="24">
        <v>4</v>
      </c>
      <c r="W1713" s="24">
        <v>4</v>
      </c>
      <c r="X1713" s="24">
        <v>5</v>
      </c>
      <c r="Y1713" s="24">
        <v>5</v>
      </c>
      <c r="Z1713" s="20">
        <f t="shared" si="57"/>
        <v>18</v>
      </c>
    </row>
    <row r="1714" spans="1:26" x14ac:dyDescent="0.2">
      <c r="A1714" s="21"/>
      <c r="B1714" s="20"/>
      <c r="C1714" s="22"/>
      <c r="D1714" s="22"/>
      <c r="E1714" s="24"/>
      <c r="F1714" s="22"/>
      <c r="H1714" s="21">
        <v>45980</v>
      </c>
      <c r="I1714" s="22" t="s">
        <v>71</v>
      </c>
      <c r="J1714" s="22" t="s">
        <v>52</v>
      </c>
      <c r="K1714" s="24">
        <v>7</v>
      </c>
      <c r="M1714" s="21">
        <v>46042</v>
      </c>
      <c r="N1714" s="22" t="s">
        <v>71</v>
      </c>
      <c r="O1714" s="22" t="s">
        <v>52</v>
      </c>
      <c r="P1714" s="49">
        <v>70.8</v>
      </c>
      <c r="Q1714" s="49">
        <v>70.7</v>
      </c>
      <c r="R1714" s="46">
        <f t="shared" si="56"/>
        <v>9.9999999999994316E-2</v>
      </c>
      <c r="T1714" s="21">
        <v>46014</v>
      </c>
      <c r="U1714" s="22" t="s">
        <v>46</v>
      </c>
      <c r="V1714" s="24">
        <v>5</v>
      </c>
      <c r="W1714" s="24">
        <v>5</v>
      </c>
      <c r="X1714" s="24">
        <v>5</v>
      </c>
      <c r="Y1714" s="24">
        <v>5</v>
      </c>
      <c r="Z1714" s="20">
        <f t="shared" si="57"/>
        <v>20</v>
      </c>
    </row>
    <row r="1715" spans="1:26" x14ac:dyDescent="0.2">
      <c r="A1715" s="21"/>
      <c r="B1715" s="20"/>
      <c r="C1715" s="22"/>
      <c r="D1715" s="22"/>
      <c r="E1715" s="24"/>
      <c r="F1715" s="22"/>
      <c r="H1715" s="21">
        <v>45980</v>
      </c>
      <c r="I1715" s="22" t="s">
        <v>71</v>
      </c>
      <c r="J1715" s="22" t="s">
        <v>53</v>
      </c>
      <c r="K1715" s="24">
        <v>7</v>
      </c>
      <c r="M1715" s="21">
        <v>46042</v>
      </c>
      <c r="N1715" s="22" t="s">
        <v>71</v>
      </c>
      <c r="O1715" s="22" t="s">
        <v>53</v>
      </c>
      <c r="P1715" s="49">
        <v>68.5</v>
      </c>
      <c r="Q1715" s="49">
        <v>68.5</v>
      </c>
      <c r="R1715" s="46">
        <f t="shared" si="56"/>
        <v>0</v>
      </c>
      <c r="T1715" s="21">
        <v>46014</v>
      </c>
      <c r="U1715" s="22" t="s">
        <v>47</v>
      </c>
      <c r="V1715" s="24">
        <v>3</v>
      </c>
      <c r="W1715" s="24">
        <v>3</v>
      </c>
      <c r="X1715" s="24">
        <v>3</v>
      </c>
      <c r="Y1715" s="24">
        <v>5</v>
      </c>
      <c r="Z1715" s="20">
        <f t="shared" si="57"/>
        <v>14</v>
      </c>
    </row>
    <row r="1716" spans="1:26" x14ac:dyDescent="0.2">
      <c r="A1716" s="21"/>
      <c r="B1716" s="20"/>
      <c r="C1716" s="22"/>
      <c r="D1716" s="22"/>
      <c r="E1716" s="24"/>
      <c r="F1716" s="22"/>
      <c r="H1716" s="21">
        <v>45980</v>
      </c>
      <c r="I1716" s="22" t="s">
        <v>71</v>
      </c>
      <c r="J1716" s="22" t="s">
        <v>44</v>
      </c>
      <c r="K1716" s="24">
        <v>2</v>
      </c>
      <c r="M1716" s="21">
        <v>46042</v>
      </c>
      <c r="N1716" s="22" t="s">
        <v>71</v>
      </c>
      <c r="O1716" s="22" t="s">
        <v>54</v>
      </c>
      <c r="P1716" s="49">
        <v>83.5</v>
      </c>
      <c r="Q1716" s="49">
        <v>83.3</v>
      </c>
      <c r="R1716" s="46">
        <f t="shared" si="56"/>
        <v>0.20000000000000284</v>
      </c>
      <c r="T1716" s="21">
        <v>46014</v>
      </c>
      <c r="U1716" s="22" t="s">
        <v>48</v>
      </c>
      <c r="V1716" s="24">
        <v>5</v>
      </c>
      <c r="W1716" s="24">
        <v>4</v>
      </c>
      <c r="X1716" s="24">
        <v>4</v>
      </c>
      <c r="Y1716" s="24">
        <v>5</v>
      </c>
      <c r="Z1716" s="20">
        <f t="shared" si="57"/>
        <v>18</v>
      </c>
    </row>
    <row r="1717" spans="1:26" x14ac:dyDescent="0.2">
      <c r="A1717" s="21"/>
      <c r="B1717" s="20"/>
      <c r="C1717" s="22"/>
      <c r="D1717" s="22"/>
      <c r="E1717" s="24"/>
      <c r="F1717" s="22"/>
      <c r="H1717" s="21">
        <v>45980</v>
      </c>
      <c r="I1717" s="22" t="s">
        <v>71</v>
      </c>
      <c r="J1717" s="22" t="s">
        <v>45</v>
      </c>
      <c r="K1717" s="24">
        <v>5</v>
      </c>
      <c r="M1717" s="21">
        <v>46042</v>
      </c>
      <c r="N1717" s="22" t="s">
        <v>71</v>
      </c>
      <c r="O1717" s="22" t="s">
        <v>56</v>
      </c>
      <c r="P1717" s="49">
        <v>75.599999999999994</v>
      </c>
      <c r="Q1717" s="49">
        <v>75.5</v>
      </c>
      <c r="R1717" s="46">
        <f t="shared" si="56"/>
        <v>9.9999999999994316E-2</v>
      </c>
      <c r="T1717" s="21">
        <v>46014</v>
      </c>
      <c r="U1717" s="22" t="s">
        <v>50</v>
      </c>
      <c r="V1717" s="24">
        <v>3</v>
      </c>
      <c r="W1717" s="24">
        <v>4</v>
      </c>
      <c r="X1717" s="24">
        <v>4</v>
      </c>
      <c r="Y1717" s="24">
        <v>2</v>
      </c>
      <c r="Z1717" s="20">
        <f t="shared" si="57"/>
        <v>13</v>
      </c>
    </row>
    <row r="1718" spans="1:26" x14ac:dyDescent="0.2">
      <c r="A1718" s="21"/>
      <c r="B1718" s="20"/>
      <c r="C1718" s="22"/>
      <c r="D1718" s="22"/>
      <c r="E1718" s="24"/>
      <c r="F1718" s="22"/>
      <c r="H1718" s="21">
        <v>45980</v>
      </c>
      <c r="I1718" s="22" t="s">
        <v>71</v>
      </c>
      <c r="J1718" s="22" t="s">
        <v>57</v>
      </c>
      <c r="K1718" s="24">
        <v>8</v>
      </c>
      <c r="M1718" s="21">
        <v>46042</v>
      </c>
      <c r="N1718" s="22" t="s">
        <v>71</v>
      </c>
      <c r="O1718" s="22" t="s">
        <v>57</v>
      </c>
      <c r="P1718" s="49">
        <v>91.8</v>
      </c>
      <c r="Q1718" s="49">
        <v>92.1</v>
      </c>
      <c r="R1718" s="46">
        <f t="shared" si="56"/>
        <v>-0.29999999999999716</v>
      </c>
      <c r="T1718" s="21">
        <v>46014</v>
      </c>
      <c r="U1718" s="22" t="s">
        <v>51</v>
      </c>
      <c r="V1718" s="24">
        <v>4</v>
      </c>
      <c r="W1718" s="24">
        <v>4</v>
      </c>
      <c r="X1718" s="24">
        <v>3</v>
      </c>
      <c r="Y1718" s="24">
        <v>4</v>
      </c>
      <c r="Z1718" s="20">
        <f t="shared" si="57"/>
        <v>15</v>
      </c>
    </row>
    <row r="1719" spans="1:26" x14ac:dyDescent="0.2">
      <c r="A1719" s="21"/>
      <c r="B1719" s="20"/>
      <c r="C1719" s="22"/>
      <c r="D1719" s="22"/>
      <c r="E1719" s="24"/>
      <c r="F1719" s="22"/>
      <c r="H1719" s="21">
        <v>45980</v>
      </c>
      <c r="I1719" s="22" t="s">
        <v>71</v>
      </c>
      <c r="J1719" s="22" t="s">
        <v>42</v>
      </c>
      <c r="K1719" s="24">
        <v>5</v>
      </c>
      <c r="M1719" s="21">
        <v>46042</v>
      </c>
      <c r="N1719" s="22" t="s">
        <v>71</v>
      </c>
      <c r="O1719" s="22" t="s">
        <v>58</v>
      </c>
      <c r="P1719" s="49">
        <v>75.3</v>
      </c>
      <c r="Q1719" s="49">
        <v>75.2</v>
      </c>
      <c r="R1719" s="46">
        <f t="shared" si="56"/>
        <v>9.9999999999994316E-2</v>
      </c>
      <c r="T1719" s="21">
        <v>46014</v>
      </c>
      <c r="U1719" s="22" t="s">
        <v>52</v>
      </c>
      <c r="V1719" s="24">
        <v>4</v>
      </c>
      <c r="W1719" s="24">
        <v>4</v>
      </c>
      <c r="X1719" s="24">
        <v>4</v>
      </c>
      <c r="Y1719" s="24">
        <v>4</v>
      </c>
      <c r="Z1719" s="20">
        <f t="shared" si="57"/>
        <v>16</v>
      </c>
    </row>
    <row r="1720" spans="1:26" x14ac:dyDescent="0.2">
      <c r="A1720" s="21"/>
      <c r="B1720" s="20"/>
      <c r="C1720" s="22"/>
      <c r="D1720" s="22"/>
      <c r="E1720" s="24"/>
      <c r="F1720" s="22"/>
      <c r="H1720" s="21">
        <v>45980</v>
      </c>
      <c r="I1720" s="22" t="s">
        <v>71</v>
      </c>
      <c r="J1720" s="22" t="s">
        <v>47</v>
      </c>
      <c r="K1720" s="24">
        <v>4</v>
      </c>
      <c r="M1720" s="21">
        <v>46043</v>
      </c>
      <c r="N1720" s="22" t="s">
        <v>70</v>
      </c>
      <c r="O1720" s="22" t="s">
        <v>41</v>
      </c>
      <c r="P1720" s="49">
        <v>77</v>
      </c>
      <c r="Q1720" s="49">
        <v>77</v>
      </c>
      <c r="R1720" s="46">
        <f t="shared" si="56"/>
        <v>0</v>
      </c>
      <c r="T1720" s="21">
        <v>46014</v>
      </c>
      <c r="U1720" s="22" t="s">
        <v>53</v>
      </c>
      <c r="V1720" s="24">
        <v>4</v>
      </c>
      <c r="W1720" s="24">
        <v>4</v>
      </c>
      <c r="X1720" s="24">
        <v>4</v>
      </c>
      <c r="Y1720" s="24">
        <v>4</v>
      </c>
      <c r="Z1720" s="20">
        <f t="shared" si="57"/>
        <v>16</v>
      </c>
    </row>
    <row r="1721" spans="1:26" x14ac:dyDescent="0.2">
      <c r="A1721" s="21"/>
      <c r="B1721" s="20"/>
      <c r="C1721" s="22"/>
      <c r="D1721" s="22"/>
      <c r="E1721" s="24"/>
      <c r="F1721" s="22"/>
      <c r="H1721" s="21">
        <v>45980</v>
      </c>
      <c r="I1721" s="22" t="s">
        <v>71</v>
      </c>
      <c r="J1721" s="22" t="s">
        <v>41</v>
      </c>
      <c r="K1721" s="24" t="s">
        <v>63</v>
      </c>
      <c r="M1721" s="21">
        <v>46043</v>
      </c>
      <c r="N1721" s="22" t="s">
        <v>71</v>
      </c>
      <c r="O1721" s="22" t="s">
        <v>41</v>
      </c>
      <c r="P1721" s="49">
        <v>77</v>
      </c>
      <c r="Q1721" s="49">
        <v>76.099999999999994</v>
      </c>
      <c r="R1721" s="46">
        <f t="shared" si="56"/>
        <v>0.90000000000000568</v>
      </c>
      <c r="T1721" s="21">
        <v>46014</v>
      </c>
      <c r="U1721" s="22" t="s">
        <v>54</v>
      </c>
      <c r="V1721" s="24">
        <v>4</v>
      </c>
      <c r="W1721" s="24">
        <v>3</v>
      </c>
      <c r="X1721" s="24">
        <v>3</v>
      </c>
      <c r="Y1721" s="24">
        <v>4</v>
      </c>
      <c r="Z1721" s="20">
        <f t="shared" si="57"/>
        <v>14</v>
      </c>
    </row>
    <row r="1722" spans="1:26" x14ac:dyDescent="0.2">
      <c r="A1722" s="21"/>
      <c r="B1722" s="20"/>
      <c r="C1722" s="22"/>
      <c r="D1722" s="22"/>
      <c r="E1722" s="24"/>
      <c r="F1722" s="22"/>
      <c r="H1722" s="21">
        <v>45980</v>
      </c>
      <c r="I1722" s="22" t="s">
        <v>71</v>
      </c>
      <c r="J1722" s="22" t="s">
        <v>58</v>
      </c>
      <c r="K1722" s="24">
        <v>7</v>
      </c>
      <c r="M1722" s="21">
        <v>46043</v>
      </c>
      <c r="N1722" s="22" t="s">
        <v>70</v>
      </c>
      <c r="O1722" s="22" t="s">
        <v>42</v>
      </c>
      <c r="P1722" s="49">
        <v>79.400000000000006</v>
      </c>
      <c r="Q1722" s="49">
        <v>79</v>
      </c>
      <c r="R1722" s="46">
        <f t="shared" si="56"/>
        <v>0.40000000000000568</v>
      </c>
      <c r="T1722" s="21">
        <v>46014</v>
      </c>
      <c r="U1722" s="22" t="s">
        <v>56</v>
      </c>
      <c r="V1722" s="24">
        <v>4</v>
      </c>
      <c r="W1722" s="24">
        <v>4</v>
      </c>
      <c r="X1722" s="24">
        <v>4</v>
      </c>
      <c r="Y1722" s="24">
        <v>4</v>
      </c>
      <c r="Z1722" s="20">
        <f t="shared" si="57"/>
        <v>16</v>
      </c>
    </row>
    <row r="1723" spans="1:26" x14ac:dyDescent="0.2">
      <c r="A1723" s="21"/>
      <c r="B1723" s="20"/>
      <c r="C1723" s="22"/>
      <c r="D1723" s="22"/>
      <c r="E1723" s="24"/>
      <c r="F1723" s="22"/>
      <c r="H1723" s="21">
        <v>45980</v>
      </c>
      <c r="I1723" s="22" t="s">
        <v>71</v>
      </c>
      <c r="J1723" s="22" t="s">
        <v>49</v>
      </c>
      <c r="K1723" s="24">
        <v>7</v>
      </c>
      <c r="M1723" s="21">
        <v>46043</v>
      </c>
      <c r="N1723" s="22" t="s">
        <v>71</v>
      </c>
      <c r="O1723" s="22" t="s">
        <v>42</v>
      </c>
      <c r="P1723" s="49">
        <v>79.3</v>
      </c>
      <c r="Q1723" s="49">
        <v>79</v>
      </c>
      <c r="R1723" s="46">
        <f t="shared" si="56"/>
        <v>0.29999999999999716</v>
      </c>
      <c r="T1723" s="21">
        <v>46014</v>
      </c>
      <c r="U1723" s="22" t="s">
        <v>57</v>
      </c>
      <c r="V1723" s="24">
        <v>3</v>
      </c>
      <c r="W1723" s="24">
        <v>4</v>
      </c>
      <c r="X1723" s="24">
        <v>4</v>
      </c>
      <c r="Y1723" s="24">
        <v>4</v>
      </c>
      <c r="Z1723" s="20">
        <f t="shared" si="57"/>
        <v>15</v>
      </c>
    </row>
    <row r="1724" spans="1:26" x14ac:dyDescent="0.2">
      <c r="A1724" s="21"/>
      <c r="B1724" s="20"/>
      <c r="C1724" s="22"/>
      <c r="D1724" s="22"/>
      <c r="E1724" s="24"/>
      <c r="F1724" s="22"/>
      <c r="H1724" s="21">
        <v>45980</v>
      </c>
      <c r="I1724" s="22" t="s">
        <v>71</v>
      </c>
      <c r="J1724" s="22" t="s">
        <v>50</v>
      </c>
      <c r="K1724" s="24" t="s">
        <v>61</v>
      </c>
      <c r="M1724" s="21">
        <v>46043</v>
      </c>
      <c r="N1724" s="22" t="s">
        <v>70</v>
      </c>
      <c r="O1724" s="22" t="s">
        <v>45</v>
      </c>
      <c r="P1724" s="49">
        <v>69.5</v>
      </c>
      <c r="Q1724" s="49">
        <v>68.5</v>
      </c>
      <c r="R1724" s="46">
        <f t="shared" si="56"/>
        <v>1</v>
      </c>
      <c r="T1724" s="21">
        <v>46014</v>
      </c>
      <c r="U1724" s="22" t="s">
        <v>58</v>
      </c>
      <c r="V1724" s="24">
        <v>4</v>
      </c>
      <c r="W1724" s="24">
        <v>4</v>
      </c>
      <c r="X1724" s="24">
        <v>4</v>
      </c>
      <c r="Y1724" s="24">
        <v>5</v>
      </c>
      <c r="Z1724" s="20">
        <f t="shared" si="57"/>
        <v>17</v>
      </c>
    </row>
    <row r="1725" spans="1:26" x14ac:dyDescent="0.2">
      <c r="A1725" s="21"/>
      <c r="B1725" s="20"/>
      <c r="C1725" s="22"/>
      <c r="D1725" s="22"/>
      <c r="E1725" s="24"/>
      <c r="F1725" s="22"/>
      <c r="H1725" s="21">
        <v>45980</v>
      </c>
      <c r="I1725" s="22" t="s">
        <v>71</v>
      </c>
      <c r="J1725" s="22" t="s">
        <v>51</v>
      </c>
      <c r="K1725" s="24">
        <v>5</v>
      </c>
      <c r="M1725" s="21">
        <v>46043</v>
      </c>
      <c r="N1725" s="22" t="s">
        <v>71</v>
      </c>
      <c r="O1725" s="22" t="s">
        <v>45</v>
      </c>
      <c r="P1725" s="49">
        <v>69</v>
      </c>
      <c r="Q1725" s="49">
        <v>68.099999999999994</v>
      </c>
      <c r="R1725" s="46">
        <f t="shared" si="56"/>
        <v>0.90000000000000568</v>
      </c>
      <c r="T1725" s="21">
        <v>46014</v>
      </c>
      <c r="U1725" s="22" t="s">
        <v>33</v>
      </c>
      <c r="V1725" s="24">
        <v>3.71428571428571</v>
      </c>
      <c r="W1725" s="24">
        <v>3.71428571428571</v>
      </c>
      <c r="X1725" s="24">
        <v>3.71428571428571</v>
      </c>
      <c r="Y1725" s="24">
        <v>4.0714285714285703</v>
      </c>
      <c r="Z1725" s="20">
        <f t="shared" si="57"/>
        <v>15.214285714285701</v>
      </c>
    </row>
    <row r="1726" spans="1:26" x14ac:dyDescent="0.2">
      <c r="A1726" s="21"/>
      <c r="B1726" s="20"/>
      <c r="C1726" s="22"/>
      <c r="D1726" s="22"/>
      <c r="E1726" s="24"/>
      <c r="F1726" s="22"/>
      <c r="H1726" s="21">
        <v>45980</v>
      </c>
      <c r="I1726" s="22" t="s">
        <v>71</v>
      </c>
      <c r="J1726" s="22" t="s">
        <v>46</v>
      </c>
      <c r="K1726" s="24">
        <v>6</v>
      </c>
      <c r="M1726" s="21">
        <v>46043</v>
      </c>
      <c r="N1726" s="22" t="s">
        <v>70</v>
      </c>
      <c r="O1726" s="22" t="s">
        <v>46</v>
      </c>
      <c r="P1726" s="49">
        <v>81</v>
      </c>
      <c r="Q1726" s="49">
        <v>81.099999999999994</v>
      </c>
      <c r="R1726" s="46">
        <f t="shared" si="56"/>
        <v>-9.9999999999994316E-2</v>
      </c>
      <c r="T1726" s="21">
        <v>46017</v>
      </c>
      <c r="U1726" s="22" t="s">
        <v>41</v>
      </c>
      <c r="V1726" s="24">
        <v>1</v>
      </c>
      <c r="W1726" s="24">
        <v>1</v>
      </c>
      <c r="X1726" s="24">
        <v>1</v>
      </c>
      <c r="Y1726" s="24">
        <v>1</v>
      </c>
      <c r="Z1726" s="20">
        <f t="shared" si="57"/>
        <v>4</v>
      </c>
    </row>
    <row r="1727" spans="1:26" x14ac:dyDescent="0.2">
      <c r="A1727" s="21"/>
      <c r="B1727" s="20"/>
      <c r="C1727" s="22"/>
      <c r="D1727" s="22"/>
      <c r="E1727" s="24"/>
      <c r="F1727" s="22"/>
      <c r="H1727" s="21">
        <v>45980</v>
      </c>
      <c r="I1727" s="22" t="s">
        <v>71</v>
      </c>
      <c r="J1727" s="22" t="s">
        <v>48</v>
      </c>
      <c r="K1727" s="24">
        <v>6</v>
      </c>
      <c r="M1727" s="21">
        <v>46043</v>
      </c>
      <c r="N1727" s="22" t="s">
        <v>71</v>
      </c>
      <c r="O1727" s="22" t="s">
        <v>46</v>
      </c>
      <c r="P1727" s="49">
        <v>81</v>
      </c>
      <c r="Q1727" s="49">
        <v>81.5</v>
      </c>
      <c r="R1727" s="46">
        <f t="shared" si="56"/>
        <v>-0.5</v>
      </c>
      <c r="T1727" s="21">
        <v>46017</v>
      </c>
      <c r="U1727" s="22" t="s">
        <v>42</v>
      </c>
      <c r="V1727" s="24">
        <v>4</v>
      </c>
      <c r="W1727" s="24">
        <v>4</v>
      </c>
      <c r="X1727" s="24">
        <v>4</v>
      </c>
      <c r="Y1727" s="24">
        <v>5</v>
      </c>
      <c r="Z1727" s="20">
        <f t="shared" si="57"/>
        <v>17</v>
      </c>
    </row>
    <row r="1728" spans="1:26" x14ac:dyDescent="0.2">
      <c r="A1728" s="21"/>
      <c r="B1728" s="20"/>
      <c r="C1728" s="22"/>
      <c r="D1728" s="22"/>
      <c r="E1728" s="24"/>
      <c r="F1728" s="22"/>
      <c r="H1728" s="21">
        <v>45980</v>
      </c>
      <c r="I1728" s="22" t="s">
        <v>71</v>
      </c>
      <c r="J1728" s="22" t="s">
        <v>56</v>
      </c>
      <c r="K1728" s="24">
        <v>8</v>
      </c>
      <c r="M1728" s="21">
        <v>46043</v>
      </c>
      <c r="N1728" s="22" t="s">
        <v>70</v>
      </c>
      <c r="O1728" s="22" t="s">
        <v>49</v>
      </c>
      <c r="P1728" s="49">
        <v>78.8</v>
      </c>
      <c r="Q1728" s="49">
        <v>78.8</v>
      </c>
      <c r="R1728" s="46">
        <f t="shared" si="56"/>
        <v>0</v>
      </c>
      <c r="T1728" s="21">
        <v>46017</v>
      </c>
      <c r="U1728" s="22" t="s">
        <v>44</v>
      </c>
      <c r="V1728" s="24">
        <v>5</v>
      </c>
      <c r="W1728" s="24">
        <v>4</v>
      </c>
      <c r="X1728" s="24">
        <v>5</v>
      </c>
      <c r="Y1728" s="24">
        <v>5</v>
      </c>
      <c r="Z1728" s="20">
        <f t="shared" si="57"/>
        <v>19</v>
      </c>
    </row>
    <row r="1729" spans="1:26" x14ac:dyDescent="0.2">
      <c r="A1729" s="21"/>
      <c r="B1729" s="20"/>
      <c r="C1729" s="22"/>
      <c r="D1729" s="22"/>
      <c r="E1729" s="24"/>
      <c r="F1729" s="22"/>
      <c r="H1729" s="21">
        <v>45982</v>
      </c>
      <c r="I1729" s="22" t="s">
        <v>70</v>
      </c>
      <c r="J1729" s="22" t="s">
        <v>52</v>
      </c>
      <c r="K1729" s="24">
        <v>4</v>
      </c>
      <c r="M1729" s="21">
        <v>46043</v>
      </c>
      <c r="N1729" s="22" t="s">
        <v>71</v>
      </c>
      <c r="O1729" s="22" t="s">
        <v>49</v>
      </c>
      <c r="P1729" s="49">
        <v>78.7</v>
      </c>
      <c r="Q1729" s="49">
        <v>78.400000000000006</v>
      </c>
      <c r="R1729" s="46">
        <f t="shared" si="56"/>
        <v>0.29999999999999716</v>
      </c>
      <c r="T1729" s="21">
        <v>46017</v>
      </c>
      <c r="U1729" s="22" t="s">
        <v>45</v>
      </c>
      <c r="V1729" s="24">
        <v>4</v>
      </c>
      <c r="W1729" s="24">
        <v>4</v>
      </c>
      <c r="X1729" s="24">
        <v>5</v>
      </c>
      <c r="Y1729" s="24">
        <v>5</v>
      </c>
      <c r="Z1729" s="20">
        <f t="shared" si="57"/>
        <v>18</v>
      </c>
    </row>
    <row r="1730" spans="1:26" x14ac:dyDescent="0.2">
      <c r="A1730" s="21"/>
      <c r="B1730" s="20"/>
      <c r="C1730" s="22"/>
      <c r="D1730" s="22"/>
      <c r="E1730" s="24"/>
      <c r="F1730" s="22"/>
      <c r="H1730" s="21">
        <v>45982</v>
      </c>
      <c r="I1730" s="22" t="s">
        <v>70</v>
      </c>
      <c r="J1730" s="22" t="s">
        <v>53</v>
      </c>
      <c r="K1730" s="24">
        <v>5</v>
      </c>
      <c r="M1730" s="21">
        <v>46043</v>
      </c>
      <c r="N1730" s="22" t="s">
        <v>70</v>
      </c>
      <c r="O1730" s="22" t="s">
        <v>50</v>
      </c>
      <c r="P1730" s="49">
        <v>67.7</v>
      </c>
      <c r="Q1730" s="49">
        <v>66.900000000000006</v>
      </c>
      <c r="R1730" s="46">
        <f t="shared" si="56"/>
        <v>0.79999999999999716</v>
      </c>
      <c r="T1730" s="21">
        <v>46017</v>
      </c>
      <c r="U1730" s="22" t="s">
        <v>46</v>
      </c>
      <c r="V1730" s="24">
        <v>4</v>
      </c>
      <c r="W1730" s="24">
        <v>4</v>
      </c>
      <c r="X1730" s="24">
        <v>4</v>
      </c>
      <c r="Y1730" s="24">
        <v>5</v>
      </c>
      <c r="Z1730" s="20">
        <f t="shared" si="57"/>
        <v>17</v>
      </c>
    </row>
    <row r="1731" spans="1:26" x14ac:dyDescent="0.2">
      <c r="A1731" s="21"/>
      <c r="B1731" s="20"/>
      <c r="C1731" s="22"/>
      <c r="D1731" s="22"/>
      <c r="E1731" s="24"/>
      <c r="F1731" s="22"/>
      <c r="H1731" s="21">
        <v>45982</v>
      </c>
      <c r="I1731" s="22" t="s">
        <v>70</v>
      </c>
      <c r="J1731" s="22" t="s">
        <v>44</v>
      </c>
      <c r="K1731" s="24">
        <v>4</v>
      </c>
      <c r="M1731" s="21">
        <v>46043</v>
      </c>
      <c r="N1731" s="22" t="s">
        <v>71</v>
      </c>
      <c r="O1731" s="22" t="s">
        <v>50</v>
      </c>
      <c r="P1731" s="49">
        <v>68</v>
      </c>
      <c r="Q1731" s="49">
        <v>67</v>
      </c>
      <c r="R1731" s="46">
        <f t="shared" ref="R1731:R1794" si="58">IFERROR(P1731-Q1731,"")</f>
        <v>1</v>
      </c>
      <c r="T1731" s="21">
        <v>46017</v>
      </c>
      <c r="U1731" s="22" t="s">
        <v>47</v>
      </c>
      <c r="V1731" s="24">
        <v>4</v>
      </c>
      <c r="W1731" s="24">
        <v>4</v>
      </c>
      <c r="X1731" s="24">
        <v>4</v>
      </c>
      <c r="Y1731" s="24">
        <v>5</v>
      </c>
      <c r="Z1731" s="20">
        <f t="shared" ref="Z1731:Z1794" si="59">SUM(V1731:Y1731)</f>
        <v>17</v>
      </c>
    </row>
    <row r="1732" spans="1:26" x14ac:dyDescent="0.2">
      <c r="A1732" s="21"/>
      <c r="B1732" s="20"/>
      <c r="C1732" s="22"/>
      <c r="D1732" s="22"/>
      <c r="E1732" s="24"/>
      <c r="F1732" s="22"/>
      <c r="H1732" s="21">
        <v>45982</v>
      </c>
      <c r="I1732" s="22" t="s">
        <v>70</v>
      </c>
      <c r="J1732" s="22" t="s">
        <v>45</v>
      </c>
      <c r="K1732" s="24">
        <v>3</v>
      </c>
      <c r="M1732" s="21">
        <v>46043</v>
      </c>
      <c r="N1732" s="22" t="s">
        <v>70</v>
      </c>
      <c r="O1732" s="22" t="s">
        <v>51</v>
      </c>
      <c r="P1732" s="49">
        <v>75</v>
      </c>
      <c r="Q1732" s="49">
        <v>74.400000000000006</v>
      </c>
      <c r="R1732" s="46">
        <f t="shared" si="58"/>
        <v>0.59999999999999432</v>
      </c>
      <c r="T1732" s="21">
        <v>46017</v>
      </c>
      <c r="U1732" s="22" t="s">
        <v>48</v>
      </c>
      <c r="V1732" s="24">
        <v>5</v>
      </c>
      <c r="W1732" s="24">
        <v>4</v>
      </c>
      <c r="X1732" s="24">
        <v>4</v>
      </c>
      <c r="Y1732" s="24">
        <v>5</v>
      </c>
      <c r="Z1732" s="20">
        <f t="shared" si="59"/>
        <v>18</v>
      </c>
    </row>
    <row r="1733" spans="1:26" x14ac:dyDescent="0.2">
      <c r="A1733" s="21"/>
      <c r="B1733" s="20"/>
      <c r="C1733" s="22"/>
      <c r="D1733" s="22"/>
      <c r="E1733" s="24"/>
      <c r="F1733" s="22"/>
      <c r="H1733" s="21">
        <v>45982</v>
      </c>
      <c r="I1733" s="22" t="s">
        <v>70</v>
      </c>
      <c r="J1733" s="22" t="s">
        <v>57</v>
      </c>
      <c r="K1733" s="24">
        <v>4</v>
      </c>
      <c r="M1733" s="21">
        <v>46043</v>
      </c>
      <c r="N1733" s="22" t="s">
        <v>71</v>
      </c>
      <c r="O1733" s="22" t="s">
        <v>51</v>
      </c>
      <c r="P1733" s="49">
        <v>75.3</v>
      </c>
      <c r="Q1733" s="49">
        <v>75.400000000000006</v>
      </c>
      <c r="R1733" s="46">
        <f t="shared" si="58"/>
        <v>-0.10000000000000853</v>
      </c>
      <c r="T1733" s="21">
        <v>46017</v>
      </c>
      <c r="U1733" s="22" t="s">
        <v>49</v>
      </c>
      <c r="V1733" s="24">
        <v>4</v>
      </c>
      <c r="W1733" s="24">
        <v>4</v>
      </c>
      <c r="X1733" s="24">
        <v>4</v>
      </c>
      <c r="Y1733" s="24">
        <v>4</v>
      </c>
      <c r="Z1733" s="20">
        <f t="shared" si="59"/>
        <v>16</v>
      </c>
    </row>
    <row r="1734" spans="1:26" x14ac:dyDescent="0.2">
      <c r="A1734" s="21"/>
      <c r="B1734" s="20"/>
      <c r="C1734" s="22"/>
      <c r="D1734" s="22"/>
      <c r="E1734" s="24"/>
      <c r="F1734" s="22"/>
      <c r="H1734" s="21">
        <v>45982</v>
      </c>
      <c r="I1734" s="22" t="s">
        <v>70</v>
      </c>
      <c r="J1734" s="22" t="s">
        <v>42</v>
      </c>
      <c r="K1734" s="24">
        <v>1</v>
      </c>
      <c r="M1734" s="21">
        <v>46043</v>
      </c>
      <c r="N1734" s="22" t="s">
        <v>70</v>
      </c>
      <c r="O1734" s="22" t="s">
        <v>52</v>
      </c>
      <c r="P1734" s="49">
        <v>71</v>
      </c>
      <c r="Q1734" s="49">
        <v>71</v>
      </c>
      <c r="R1734" s="46">
        <f t="shared" si="58"/>
        <v>0</v>
      </c>
      <c r="T1734" s="21">
        <v>46017</v>
      </c>
      <c r="U1734" s="22" t="s">
        <v>50</v>
      </c>
      <c r="V1734" s="24">
        <v>5</v>
      </c>
      <c r="W1734" s="24">
        <v>4</v>
      </c>
      <c r="X1734" s="24">
        <v>4</v>
      </c>
      <c r="Y1734" s="24">
        <v>5</v>
      </c>
      <c r="Z1734" s="20">
        <f t="shared" si="59"/>
        <v>18</v>
      </c>
    </row>
    <row r="1735" spans="1:26" x14ac:dyDescent="0.2">
      <c r="A1735" s="21"/>
      <c r="B1735" s="20"/>
      <c r="C1735" s="22"/>
      <c r="D1735" s="22"/>
      <c r="E1735" s="24"/>
      <c r="F1735" s="22"/>
      <c r="H1735" s="21">
        <v>45982</v>
      </c>
      <c r="I1735" s="22" t="s">
        <v>70</v>
      </c>
      <c r="J1735" s="22" t="s">
        <v>47</v>
      </c>
      <c r="K1735" s="24">
        <v>2</v>
      </c>
      <c r="M1735" s="21">
        <v>46043</v>
      </c>
      <c r="N1735" s="22" t="s">
        <v>71</v>
      </c>
      <c r="O1735" s="22" t="s">
        <v>52</v>
      </c>
      <c r="P1735" s="49">
        <v>71</v>
      </c>
      <c r="Q1735" s="49">
        <v>71.099999999999994</v>
      </c>
      <c r="R1735" s="46">
        <f t="shared" si="58"/>
        <v>-9.9999999999994316E-2</v>
      </c>
      <c r="T1735" s="21">
        <v>46017</v>
      </c>
      <c r="U1735" s="22" t="s">
        <v>51</v>
      </c>
      <c r="V1735" s="24">
        <v>5</v>
      </c>
      <c r="W1735" s="24">
        <v>4</v>
      </c>
      <c r="X1735" s="24">
        <v>4</v>
      </c>
      <c r="Y1735" s="24">
        <v>5</v>
      </c>
      <c r="Z1735" s="20">
        <f t="shared" si="59"/>
        <v>18</v>
      </c>
    </row>
    <row r="1736" spans="1:26" x14ac:dyDescent="0.2">
      <c r="A1736" s="21"/>
      <c r="B1736" s="20"/>
      <c r="C1736" s="22"/>
      <c r="D1736" s="22"/>
      <c r="E1736" s="24"/>
      <c r="F1736" s="22"/>
      <c r="H1736" s="21">
        <v>45982</v>
      </c>
      <c r="I1736" s="22" t="s">
        <v>70</v>
      </c>
      <c r="J1736" s="22" t="s">
        <v>41</v>
      </c>
      <c r="K1736" s="24">
        <v>1</v>
      </c>
      <c r="M1736" s="21">
        <v>46043</v>
      </c>
      <c r="N1736" s="22" t="s">
        <v>70</v>
      </c>
      <c r="O1736" s="22" t="s">
        <v>53</v>
      </c>
      <c r="P1736" s="49">
        <v>68</v>
      </c>
      <c r="Q1736" s="49">
        <v>67.3</v>
      </c>
      <c r="R1736" s="46">
        <f t="shared" si="58"/>
        <v>0.70000000000000284</v>
      </c>
      <c r="T1736" s="21">
        <v>46017</v>
      </c>
      <c r="U1736" s="22" t="s">
        <v>52</v>
      </c>
      <c r="V1736" s="24">
        <v>4</v>
      </c>
      <c r="W1736" s="24">
        <v>4</v>
      </c>
      <c r="X1736" s="24">
        <v>4</v>
      </c>
      <c r="Y1736" s="24">
        <v>4</v>
      </c>
      <c r="Z1736" s="20">
        <f t="shared" si="59"/>
        <v>16</v>
      </c>
    </row>
    <row r="1737" spans="1:26" x14ac:dyDescent="0.2">
      <c r="A1737" s="21"/>
      <c r="B1737" s="20"/>
      <c r="C1737" s="22"/>
      <c r="D1737" s="22"/>
      <c r="E1737" s="24"/>
      <c r="F1737" s="22"/>
      <c r="H1737" s="21">
        <v>45982</v>
      </c>
      <c r="I1737" s="22" t="s">
        <v>70</v>
      </c>
      <c r="J1737" s="22" t="s">
        <v>58</v>
      </c>
      <c r="K1737" s="24">
        <v>5</v>
      </c>
      <c r="M1737" s="21">
        <v>46043</v>
      </c>
      <c r="N1737" s="22" t="s">
        <v>71</v>
      </c>
      <c r="O1737" s="22" t="s">
        <v>53</v>
      </c>
      <c r="P1737" s="49">
        <v>68.400000000000006</v>
      </c>
      <c r="Q1737" s="49">
        <v>67.2</v>
      </c>
      <c r="R1737" s="46">
        <f t="shared" si="58"/>
        <v>1.2000000000000028</v>
      </c>
      <c r="T1737" s="21">
        <v>46017</v>
      </c>
      <c r="U1737" s="22" t="s">
        <v>53</v>
      </c>
      <c r="V1737" s="24">
        <v>4</v>
      </c>
      <c r="W1737" s="24">
        <v>4</v>
      </c>
      <c r="X1737" s="24">
        <v>4</v>
      </c>
      <c r="Y1737" s="24">
        <v>4</v>
      </c>
      <c r="Z1737" s="20">
        <f t="shared" si="59"/>
        <v>16</v>
      </c>
    </row>
    <row r="1738" spans="1:26" x14ac:dyDescent="0.2">
      <c r="A1738" s="21"/>
      <c r="B1738" s="20"/>
      <c r="C1738" s="22"/>
      <c r="D1738" s="22"/>
      <c r="E1738" s="24"/>
      <c r="F1738" s="22"/>
      <c r="H1738" s="21">
        <v>45982</v>
      </c>
      <c r="I1738" s="22" t="s">
        <v>70</v>
      </c>
      <c r="J1738" s="22" t="s">
        <v>49</v>
      </c>
      <c r="K1738" s="24">
        <v>3</v>
      </c>
      <c r="M1738" s="21">
        <v>46043</v>
      </c>
      <c r="N1738" s="22" t="s">
        <v>70</v>
      </c>
      <c r="O1738" s="22" t="s">
        <v>56</v>
      </c>
      <c r="P1738" s="49">
        <v>74.599999999999994</v>
      </c>
      <c r="Q1738" s="49">
        <v>74.5</v>
      </c>
      <c r="R1738" s="46">
        <f t="shared" si="58"/>
        <v>9.9999999999994316E-2</v>
      </c>
      <c r="T1738" s="21">
        <v>46017</v>
      </c>
      <c r="U1738" s="22" t="s">
        <v>54</v>
      </c>
      <c r="V1738" s="24">
        <v>5</v>
      </c>
      <c r="W1738" s="24">
        <v>5</v>
      </c>
      <c r="X1738" s="24">
        <v>2</v>
      </c>
      <c r="Y1738" s="24">
        <v>2</v>
      </c>
      <c r="Z1738" s="20">
        <f t="shared" si="59"/>
        <v>14</v>
      </c>
    </row>
    <row r="1739" spans="1:26" x14ac:dyDescent="0.2">
      <c r="A1739" s="21"/>
      <c r="B1739" s="20"/>
      <c r="C1739" s="22"/>
      <c r="D1739" s="22"/>
      <c r="E1739" s="24"/>
      <c r="F1739" s="22"/>
      <c r="H1739" s="21">
        <v>45982</v>
      </c>
      <c r="I1739" s="22" t="s">
        <v>70</v>
      </c>
      <c r="J1739" s="22" t="s">
        <v>50</v>
      </c>
      <c r="K1739" s="24" t="s">
        <v>61</v>
      </c>
      <c r="M1739" s="21">
        <v>46043</v>
      </c>
      <c r="N1739" s="22" t="s">
        <v>71</v>
      </c>
      <c r="O1739" s="22" t="s">
        <v>56</v>
      </c>
      <c r="P1739" s="49">
        <v>74.599999999999994</v>
      </c>
      <c r="Q1739" s="49">
        <v>74.599999999999994</v>
      </c>
      <c r="R1739" s="46">
        <f t="shared" si="58"/>
        <v>0</v>
      </c>
      <c r="T1739" s="21">
        <v>46017</v>
      </c>
      <c r="U1739" s="22" t="s">
        <v>56</v>
      </c>
      <c r="V1739" s="24">
        <v>4</v>
      </c>
      <c r="W1739" s="24">
        <v>4</v>
      </c>
      <c r="X1739" s="24">
        <v>4</v>
      </c>
      <c r="Y1739" s="24">
        <v>4</v>
      </c>
      <c r="Z1739" s="20">
        <f t="shared" si="59"/>
        <v>16</v>
      </c>
    </row>
    <row r="1740" spans="1:26" x14ac:dyDescent="0.2">
      <c r="A1740" s="21"/>
      <c r="B1740" s="20"/>
      <c r="C1740" s="22"/>
      <c r="D1740" s="22"/>
      <c r="E1740" s="24"/>
      <c r="F1740" s="22"/>
      <c r="H1740" s="21">
        <v>45982</v>
      </c>
      <c r="I1740" s="22" t="s">
        <v>70</v>
      </c>
      <c r="J1740" s="22" t="s">
        <v>51</v>
      </c>
      <c r="K1740" s="24">
        <v>3</v>
      </c>
      <c r="M1740" s="21">
        <v>46043</v>
      </c>
      <c r="N1740" s="22" t="s">
        <v>70</v>
      </c>
      <c r="O1740" s="22" t="s">
        <v>57</v>
      </c>
      <c r="P1740" s="49">
        <v>91.6</v>
      </c>
      <c r="Q1740" s="49">
        <v>91.6</v>
      </c>
      <c r="R1740" s="46">
        <f t="shared" si="58"/>
        <v>0</v>
      </c>
      <c r="T1740" s="21">
        <v>46017</v>
      </c>
      <c r="U1740" s="22" t="s">
        <v>57</v>
      </c>
      <c r="V1740" s="24">
        <v>4</v>
      </c>
      <c r="W1740" s="24">
        <v>4</v>
      </c>
      <c r="X1740" s="24">
        <v>4</v>
      </c>
      <c r="Y1740" s="24">
        <v>5</v>
      </c>
      <c r="Z1740" s="20">
        <f t="shared" si="59"/>
        <v>17</v>
      </c>
    </row>
    <row r="1741" spans="1:26" x14ac:dyDescent="0.2">
      <c r="A1741" s="21"/>
      <c r="B1741" s="20"/>
      <c r="C1741" s="22"/>
      <c r="D1741" s="22"/>
      <c r="E1741" s="24"/>
      <c r="F1741" s="22"/>
      <c r="H1741" s="21">
        <v>45982</v>
      </c>
      <c r="I1741" s="22" t="s">
        <v>70</v>
      </c>
      <c r="J1741" s="22" t="s">
        <v>46</v>
      </c>
      <c r="K1741" s="24">
        <v>2</v>
      </c>
      <c r="M1741" s="21">
        <v>46043</v>
      </c>
      <c r="N1741" s="22" t="s">
        <v>70</v>
      </c>
      <c r="O1741" s="22" t="s">
        <v>58</v>
      </c>
      <c r="P1741" s="49">
        <v>75.2</v>
      </c>
      <c r="Q1741" s="49">
        <v>75.2</v>
      </c>
      <c r="R1741" s="46">
        <f t="shared" si="58"/>
        <v>0</v>
      </c>
      <c r="T1741" s="21">
        <v>46017</v>
      </c>
      <c r="U1741" s="22" t="s">
        <v>58</v>
      </c>
      <c r="V1741" s="24">
        <v>4</v>
      </c>
      <c r="W1741" s="24">
        <v>5</v>
      </c>
      <c r="X1741" s="24">
        <v>5</v>
      </c>
      <c r="Y1741" s="24">
        <v>5</v>
      </c>
      <c r="Z1741" s="20">
        <f t="shared" si="59"/>
        <v>19</v>
      </c>
    </row>
    <row r="1742" spans="1:26" x14ac:dyDescent="0.2">
      <c r="A1742" s="21"/>
      <c r="B1742" s="20"/>
      <c r="C1742" s="22"/>
      <c r="D1742" s="22"/>
      <c r="E1742" s="24"/>
      <c r="F1742" s="22"/>
      <c r="H1742" s="21">
        <v>45982</v>
      </c>
      <c r="I1742" s="22" t="s">
        <v>70</v>
      </c>
      <c r="J1742" s="22" t="s">
        <v>48</v>
      </c>
      <c r="K1742" s="24">
        <v>3</v>
      </c>
      <c r="M1742" s="21">
        <v>46044</v>
      </c>
      <c r="N1742" s="22" t="s">
        <v>70</v>
      </c>
      <c r="O1742" s="22" t="s">
        <v>41</v>
      </c>
      <c r="P1742" s="49">
        <v>76.900000000000006</v>
      </c>
      <c r="Q1742" s="49">
        <v>76.5</v>
      </c>
      <c r="R1742" s="46">
        <f t="shared" si="58"/>
        <v>0.40000000000000568</v>
      </c>
      <c r="T1742" s="21">
        <v>46017</v>
      </c>
      <c r="U1742" s="22" t="s">
        <v>33</v>
      </c>
      <c r="V1742" s="24">
        <v>4.125</v>
      </c>
      <c r="W1742" s="24">
        <v>3.9375</v>
      </c>
      <c r="X1742" s="24">
        <v>3.875</v>
      </c>
      <c r="Y1742" s="24">
        <v>4.3125</v>
      </c>
      <c r="Z1742" s="20">
        <f t="shared" si="59"/>
        <v>16.25</v>
      </c>
    </row>
    <row r="1743" spans="1:26" x14ac:dyDescent="0.2">
      <c r="A1743" s="21"/>
      <c r="B1743" s="20"/>
      <c r="C1743" s="22"/>
      <c r="D1743" s="22"/>
      <c r="E1743" s="24"/>
      <c r="F1743" s="22"/>
      <c r="H1743" s="21">
        <v>45982</v>
      </c>
      <c r="I1743" s="22" t="s">
        <v>70</v>
      </c>
      <c r="J1743" s="22" t="s">
        <v>56</v>
      </c>
      <c r="K1743" s="24">
        <v>4</v>
      </c>
      <c r="M1743" s="21">
        <v>46044</v>
      </c>
      <c r="N1743" s="22" t="s">
        <v>71</v>
      </c>
      <c r="O1743" s="22" t="s">
        <v>41</v>
      </c>
      <c r="P1743" s="49">
        <v>77</v>
      </c>
      <c r="Q1743" s="49">
        <v>76</v>
      </c>
      <c r="R1743" s="46">
        <f t="shared" si="58"/>
        <v>1</v>
      </c>
      <c r="T1743" s="21">
        <v>46018</v>
      </c>
      <c r="U1743" s="22" t="s">
        <v>41</v>
      </c>
      <c r="V1743" s="24">
        <v>1</v>
      </c>
      <c r="W1743" s="24">
        <v>1</v>
      </c>
      <c r="X1743" s="24">
        <v>1</v>
      </c>
      <c r="Y1743" s="24">
        <v>1</v>
      </c>
      <c r="Z1743" s="20">
        <f t="shared" si="59"/>
        <v>4</v>
      </c>
    </row>
    <row r="1744" spans="1:26" x14ac:dyDescent="0.2">
      <c r="A1744" s="21"/>
      <c r="B1744" s="20"/>
      <c r="C1744" s="22"/>
      <c r="D1744" s="22"/>
      <c r="E1744" s="24"/>
      <c r="F1744" s="22"/>
      <c r="H1744" s="21">
        <v>45983</v>
      </c>
      <c r="I1744" s="22" t="s">
        <v>70</v>
      </c>
      <c r="J1744" s="22" t="s">
        <v>52</v>
      </c>
      <c r="K1744" s="24">
        <v>2</v>
      </c>
      <c r="M1744" s="21">
        <v>46044</v>
      </c>
      <c r="N1744" s="22" t="s">
        <v>70</v>
      </c>
      <c r="O1744" s="22" t="s">
        <v>42</v>
      </c>
      <c r="P1744" s="49">
        <v>79.5</v>
      </c>
      <c r="Q1744" s="49">
        <v>79</v>
      </c>
      <c r="R1744" s="46">
        <f t="shared" si="58"/>
        <v>0.5</v>
      </c>
      <c r="T1744" s="21">
        <v>46018</v>
      </c>
      <c r="U1744" s="22" t="s">
        <v>42</v>
      </c>
      <c r="V1744" s="24">
        <v>4</v>
      </c>
      <c r="W1744" s="24">
        <v>4</v>
      </c>
      <c r="X1744" s="24">
        <v>4</v>
      </c>
      <c r="Y1744" s="24">
        <v>5</v>
      </c>
      <c r="Z1744" s="20">
        <f t="shared" si="59"/>
        <v>17</v>
      </c>
    </row>
    <row r="1745" spans="1:26" x14ac:dyDescent="0.2">
      <c r="A1745" s="21"/>
      <c r="B1745" s="20"/>
      <c r="C1745" s="22"/>
      <c r="D1745" s="22"/>
      <c r="E1745" s="24"/>
      <c r="F1745" s="22"/>
      <c r="H1745" s="21">
        <v>45983</v>
      </c>
      <c r="I1745" s="22" t="s">
        <v>70</v>
      </c>
      <c r="J1745" s="22" t="s">
        <v>53</v>
      </c>
      <c r="K1745" s="24">
        <v>2</v>
      </c>
      <c r="M1745" s="21">
        <v>46044</v>
      </c>
      <c r="N1745" s="22" t="s">
        <v>71</v>
      </c>
      <c r="O1745" s="22" t="s">
        <v>42</v>
      </c>
      <c r="P1745" s="49">
        <v>79.400000000000006</v>
      </c>
      <c r="Q1745" s="49">
        <v>79.2</v>
      </c>
      <c r="R1745" s="46">
        <f t="shared" si="58"/>
        <v>0.20000000000000284</v>
      </c>
      <c r="T1745" s="21">
        <v>46018</v>
      </c>
      <c r="U1745" s="22" t="s">
        <v>44</v>
      </c>
      <c r="V1745" s="24">
        <v>5</v>
      </c>
      <c r="W1745" s="24">
        <v>4</v>
      </c>
      <c r="X1745" s="24">
        <v>4</v>
      </c>
      <c r="Y1745" s="24">
        <v>5</v>
      </c>
      <c r="Z1745" s="20">
        <f t="shared" si="59"/>
        <v>18</v>
      </c>
    </row>
    <row r="1746" spans="1:26" x14ac:dyDescent="0.2">
      <c r="A1746" s="21"/>
      <c r="B1746" s="20"/>
      <c r="C1746" s="22"/>
      <c r="D1746" s="22"/>
      <c r="E1746" s="24"/>
      <c r="F1746" s="22"/>
      <c r="H1746" s="21">
        <v>45983</v>
      </c>
      <c r="I1746" s="22" t="s">
        <v>70</v>
      </c>
      <c r="J1746" s="22" t="s">
        <v>44</v>
      </c>
      <c r="K1746" s="24">
        <v>2</v>
      </c>
      <c r="M1746" s="21">
        <v>46044</v>
      </c>
      <c r="N1746" s="22" t="s">
        <v>70</v>
      </c>
      <c r="O1746" s="22" t="s">
        <v>45</v>
      </c>
      <c r="P1746" s="49">
        <v>69.5</v>
      </c>
      <c r="Q1746" s="49">
        <v>69</v>
      </c>
      <c r="R1746" s="46">
        <f t="shared" si="58"/>
        <v>0.5</v>
      </c>
      <c r="T1746" s="21">
        <v>46018</v>
      </c>
      <c r="U1746" s="22" t="s">
        <v>45</v>
      </c>
      <c r="V1746" s="24">
        <v>4</v>
      </c>
      <c r="W1746" s="24">
        <v>4</v>
      </c>
      <c r="X1746" s="24">
        <v>5</v>
      </c>
      <c r="Y1746" s="24">
        <v>5</v>
      </c>
      <c r="Z1746" s="20">
        <f t="shared" si="59"/>
        <v>18</v>
      </c>
    </row>
    <row r="1747" spans="1:26" x14ac:dyDescent="0.2">
      <c r="A1747" s="21"/>
      <c r="B1747" s="20"/>
      <c r="C1747" s="22"/>
      <c r="D1747" s="22"/>
      <c r="E1747" s="24"/>
      <c r="F1747" s="22"/>
      <c r="H1747" s="21">
        <v>45983</v>
      </c>
      <c r="I1747" s="22" t="s">
        <v>70</v>
      </c>
      <c r="J1747" s="22" t="s">
        <v>45</v>
      </c>
      <c r="K1747" s="24">
        <v>1</v>
      </c>
      <c r="M1747" s="21">
        <v>46044</v>
      </c>
      <c r="N1747" s="22" t="s">
        <v>71</v>
      </c>
      <c r="O1747" s="22" t="s">
        <v>45</v>
      </c>
      <c r="P1747" s="49">
        <v>69.599999999999994</v>
      </c>
      <c r="Q1747" s="49">
        <v>69</v>
      </c>
      <c r="R1747" s="46">
        <f t="shared" si="58"/>
        <v>0.59999999999999432</v>
      </c>
      <c r="T1747" s="21">
        <v>46018</v>
      </c>
      <c r="U1747" s="22" t="s">
        <v>46</v>
      </c>
      <c r="V1747" s="24">
        <v>5</v>
      </c>
      <c r="W1747" s="24">
        <v>4</v>
      </c>
      <c r="X1747" s="24">
        <v>4</v>
      </c>
      <c r="Y1747" s="24">
        <v>4</v>
      </c>
      <c r="Z1747" s="20">
        <f t="shared" si="59"/>
        <v>17</v>
      </c>
    </row>
    <row r="1748" spans="1:26" x14ac:dyDescent="0.2">
      <c r="A1748" s="21"/>
      <c r="B1748" s="20"/>
      <c r="C1748" s="22"/>
      <c r="D1748" s="22"/>
      <c r="E1748" s="24"/>
      <c r="F1748" s="22"/>
      <c r="H1748" s="21">
        <v>45983</v>
      </c>
      <c r="I1748" s="22" t="s">
        <v>70</v>
      </c>
      <c r="J1748" s="22" t="s">
        <v>57</v>
      </c>
      <c r="K1748" s="24">
        <v>2</v>
      </c>
      <c r="M1748" s="21">
        <v>46044</v>
      </c>
      <c r="N1748" s="22" t="s">
        <v>70</v>
      </c>
      <c r="O1748" s="22" t="s">
        <v>46</v>
      </c>
      <c r="P1748" s="49">
        <v>80.5</v>
      </c>
      <c r="Q1748" s="49">
        <v>80</v>
      </c>
      <c r="R1748" s="46">
        <f t="shared" si="58"/>
        <v>0.5</v>
      </c>
      <c r="T1748" s="21">
        <v>46018</v>
      </c>
      <c r="U1748" s="22" t="s">
        <v>47</v>
      </c>
      <c r="V1748" s="24">
        <v>4</v>
      </c>
      <c r="W1748" s="24">
        <v>5</v>
      </c>
      <c r="X1748" s="24">
        <v>5</v>
      </c>
      <c r="Y1748" s="24">
        <v>5</v>
      </c>
      <c r="Z1748" s="20">
        <f t="shared" si="59"/>
        <v>19</v>
      </c>
    </row>
    <row r="1749" spans="1:26" x14ac:dyDescent="0.2">
      <c r="A1749" s="21"/>
      <c r="B1749" s="20"/>
      <c r="C1749" s="22"/>
      <c r="D1749" s="22"/>
      <c r="E1749" s="24"/>
      <c r="F1749" s="22"/>
      <c r="H1749" s="21">
        <v>45983</v>
      </c>
      <c r="I1749" s="22" t="s">
        <v>70</v>
      </c>
      <c r="J1749" s="22" t="s">
        <v>42</v>
      </c>
      <c r="K1749" s="24">
        <v>1</v>
      </c>
      <c r="M1749" s="21">
        <v>46044</v>
      </c>
      <c r="N1749" s="22" t="s">
        <v>71</v>
      </c>
      <c r="O1749" s="22" t="s">
        <v>46</v>
      </c>
      <c r="P1749" s="49">
        <v>81</v>
      </c>
      <c r="Q1749" s="49">
        <v>81.099999999999994</v>
      </c>
      <c r="R1749" s="46">
        <f t="shared" si="58"/>
        <v>-9.9999999999994316E-2</v>
      </c>
      <c r="T1749" s="21">
        <v>46018</v>
      </c>
      <c r="U1749" s="22" t="s">
        <v>48</v>
      </c>
      <c r="V1749" s="24">
        <v>5</v>
      </c>
      <c r="W1749" s="24">
        <v>4</v>
      </c>
      <c r="X1749" s="24">
        <v>4</v>
      </c>
      <c r="Y1749" s="24">
        <v>5</v>
      </c>
      <c r="Z1749" s="20">
        <f t="shared" si="59"/>
        <v>18</v>
      </c>
    </row>
    <row r="1750" spans="1:26" x14ac:dyDescent="0.2">
      <c r="A1750" s="21"/>
      <c r="B1750" s="20"/>
      <c r="C1750" s="22"/>
      <c r="D1750" s="22"/>
      <c r="E1750" s="24"/>
      <c r="F1750" s="22"/>
      <c r="H1750" s="21">
        <v>45983</v>
      </c>
      <c r="I1750" s="22" t="s">
        <v>70</v>
      </c>
      <c r="J1750" s="22" t="s">
        <v>47</v>
      </c>
      <c r="K1750" s="24">
        <v>1</v>
      </c>
      <c r="M1750" s="21">
        <v>46044</v>
      </c>
      <c r="N1750" s="22" t="s">
        <v>70</v>
      </c>
      <c r="O1750" s="22" t="s">
        <v>49</v>
      </c>
      <c r="P1750" s="49">
        <v>78.900000000000006</v>
      </c>
      <c r="Q1750" s="49">
        <v>78.900000000000006</v>
      </c>
      <c r="R1750" s="46">
        <f t="shared" si="58"/>
        <v>0</v>
      </c>
      <c r="T1750" s="21">
        <v>46018</v>
      </c>
      <c r="U1750" s="22" t="s">
        <v>49</v>
      </c>
      <c r="V1750" s="24">
        <v>4</v>
      </c>
      <c r="W1750" s="24">
        <v>4</v>
      </c>
      <c r="X1750" s="24">
        <v>4</v>
      </c>
      <c r="Y1750" s="24">
        <v>4</v>
      </c>
      <c r="Z1750" s="20">
        <f t="shared" si="59"/>
        <v>16</v>
      </c>
    </row>
    <row r="1751" spans="1:26" x14ac:dyDescent="0.2">
      <c r="A1751" s="21"/>
      <c r="B1751" s="20"/>
      <c r="C1751" s="22"/>
      <c r="D1751" s="22"/>
      <c r="E1751" s="24"/>
      <c r="F1751" s="22"/>
      <c r="H1751" s="21">
        <v>45983</v>
      </c>
      <c r="I1751" s="22" t="s">
        <v>70</v>
      </c>
      <c r="J1751" s="22" t="s">
        <v>41</v>
      </c>
      <c r="K1751" s="24">
        <v>1</v>
      </c>
      <c r="M1751" s="21">
        <v>46044</v>
      </c>
      <c r="N1751" s="22" t="s">
        <v>71</v>
      </c>
      <c r="O1751" s="22" t="s">
        <v>49</v>
      </c>
      <c r="P1751" s="49">
        <v>79.599999999999994</v>
      </c>
      <c r="Q1751" s="49">
        <v>79.099999999999994</v>
      </c>
      <c r="R1751" s="46">
        <f t="shared" si="58"/>
        <v>0.5</v>
      </c>
      <c r="T1751" s="21">
        <v>46018</v>
      </c>
      <c r="U1751" s="22" t="s">
        <v>50</v>
      </c>
      <c r="V1751" s="24">
        <v>4</v>
      </c>
      <c r="W1751" s="24">
        <v>4</v>
      </c>
      <c r="X1751" s="24">
        <v>4</v>
      </c>
      <c r="Y1751" s="24">
        <v>4</v>
      </c>
      <c r="Z1751" s="20">
        <f t="shared" si="59"/>
        <v>16</v>
      </c>
    </row>
    <row r="1752" spans="1:26" x14ac:dyDescent="0.2">
      <c r="A1752" s="21"/>
      <c r="B1752" s="20"/>
      <c r="C1752" s="22"/>
      <c r="D1752" s="22"/>
      <c r="E1752" s="24"/>
      <c r="F1752" s="22"/>
      <c r="H1752" s="21">
        <v>45983</v>
      </c>
      <c r="I1752" s="22" t="s">
        <v>70</v>
      </c>
      <c r="J1752" s="22" t="s">
        <v>58</v>
      </c>
      <c r="K1752" s="24">
        <v>2</v>
      </c>
      <c r="M1752" s="21">
        <v>46044</v>
      </c>
      <c r="N1752" s="22" t="s">
        <v>70</v>
      </c>
      <c r="O1752" s="22" t="s">
        <v>50</v>
      </c>
      <c r="P1752" s="49">
        <v>66.900000000000006</v>
      </c>
      <c r="Q1752" s="49">
        <v>66.5</v>
      </c>
      <c r="R1752" s="46">
        <f t="shared" si="58"/>
        <v>0.40000000000000568</v>
      </c>
      <c r="T1752" s="21">
        <v>46018</v>
      </c>
      <c r="U1752" s="22" t="s">
        <v>51</v>
      </c>
      <c r="V1752" s="24">
        <v>4</v>
      </c>
      <c r="W1752" s="24">
        <v>4</v>
      </c>
      <c r="X1752" s="24">
        <v>4</v>
      </c>
      <c r="Y1752" s="24">
        <v>5</v>
      </c>
      <c r="Z1752" s="20">
        <f t="shared" si="59"/>
        <v>17</v>
      </c>
    </row>
    <row r="1753" spans="1:26" x14ac:dyDescent="0.2">
      <c r="A1753" s="21"/>
      <c r="B1753" s="20"/>
      <c r="C1753" s="22"/>
      <c r="D1753" s="22"/>
      <c r="E1753" s="24"/>
      <c r="F1753" s="22"/>
      <c r="H1753" s="21">
        <v>45983</v>
      </c>
      <c r="I1753" s="22" t="s">
        <v>70</v>
      </c>
      <c r="J1753" s="22" t="s">
        <v>49</v>
      </c>
      <c r="K1753" s="24">
        <v>2</v>
      </c>
      <c r="M1753" s="21">
        <v>46044</v>
      </c>
      <c r="N1753" s="22" t="s">
        <v>71</v>
      </c>
      <c r="O1753" s="22" t="s">
        <v>50</v>
      </c>
      <c r="P1753" s="49">
        <v>67.099999999999994</v>
      </c>
      <c r="Q1753" s="49">
        <v>66</v>
      </c>
      <c r="R1753" s="46">
        <f t="shared" si="58"/>
        <v>1.0999999999999943</v>
      </c>
      <c r="T1753" s="21">
        <v>46018</v>
      </c>
      <c r="U1753" s="22" t="s">
        <v>52</v>
      </c>
      <c r="V1753" s="24">
        <v>4</v>
      </c>
      <c r="W1753" s="24">
        <v>4</v>
      </c>
      <c r="X1753" s="24">
        <v>4</v>
      </c>
      <c r="Y1753" s="24">
        <v>4</v>
      </c>
      <c r="Z1753" s="20">
        <f t="shared" si="59"/>
        <v>16</v>
      </c>
    </row>
    <row r="1754" spans="1:26" x14ac:dyDescent="0.2">
      <c r="A1754" s="21"/>
      <c r="B1754" s="20"/>
      <c r="C1754" s="22"/>
      <c r="D1754" s="22"/>
      <c r="E1754" s="24"/>
      <c r="F1754" s="22"/>
      <c r="H1754" s="21">
        <v>45983</v>
      </c>
      <c r="I1754" s="22" t="s">
        <v>70</v>
      </c>
      <c r="J1754" s="22" t="s">
        <v>50</v>
      </c>
      <c r="K1754" s="24" t="s">
        <v>61</v>
      </c>
      <c r="M1754" s="21">
        <v>46044</v>
      </c>
      <c r="N1754" s="22" t="s">
        <v>70</v>
      </c>
      <c r="O1754" s="22" t="s">
        <v>51</v>
      </c>
      <c r="P1754" s="49">
        <v>75.599999999999994</v>
      </c>
      <c r="Q1754" s="49">
        <v>75</v>
      </c>
      <c r="R1754" s="46">
        <f t="shared" si="58"/>
        <v>0.59999999999999432</v>
      </c>
      <c r="T1754" s="21">
        <v>46018</v>
      </c>
      <c r="U1754" s="22" t="s">
        <v>53</v>
      </c>
      <c r="V1754" s="24">
        <v>4</v>
      </c>
      <c r="W1754" s="24">
        <v>4</v>
      </c>
      <c r="X1754" s="24">
        <v>4</v>
      </c>
      <c r="Y1754" s="24">
        <v>4</v>
      </c>
      <c r="Z1754" s="20">
        <f t="shared" si="59"/>
        <v>16</v>
      </c>
    </row>
    <row r="1755" spans="1:26" x14ac:dyDescent="0.2">
      <c r="A1755" s="21"/>
      <c r="B1755" s="20"/>
      <c r="C1755" s="22"/>
      <c r="D1755" s="22"/>
      <c r="E1755" s="24"/>
      <c r="F1755" s="22"/>
      <c r="H1755" s="21">
        <v>45983</v>
      </c>
      <c r="I1755" s="22" t="s">
        <v>70</v>
      </c>
      <c r="J1755" s="22" t="s">
        <v>51</v>
      </c>
      <c r="K1755" s="24">
        <v>2</v>
      </c>
      <c r="M1755" s="21">
        <v>46044</v>
      </c>
      <c r="N1755" s="22" t="s">
        <v>71</v>
      </c>
      <c r="O1755" s="22" t="s">
        <v>51</v>
      </c>
      <c r="P1755" s="49">
        <v>75.400000000000006</v>
      </c>
      <c r="Q1755" s="49">
        <v>75.2</v>
      </c>
      <c r="R1755" s="46">
        <f t="shared" si="58"/>
        <v>0.20000000000000284</v>
      </c>
      <c r="T1755" s="21">
        <v>46018</v>
      </c>
      <c r="U1755" s="22" t="s">
        <v>56</v>
      </c>
      <c r="V1755" s="24">
        <v>5</v>
      </c>
      <c r="W1755" s="24">
        <v>4</v>
      </c>
      <c r="X1755" s="24">
        <v>4</v>
      </c>
      <c r="Y1755" s="24">
        <v>5</v>
      </c>
      <c r="Z1755" s="20">
        <f t="shared" si="59"/>
        <v>18</v>
      </c>
    </row>
    <row r="1756" spans="1:26" x14ac:dyDescent="0.2">
      <c r="A1756" s="21"/>
      <c r="B1756" s="20"/>
      <c r="C1756" s="22"/>
      <c r="D1756" s="22"/>
      <c r="E1756" s="24"/>
      <c r="F1756" s="22"/>
      <c r="H1756" s="21">
        <v>45983</v>
      </c>
      <c r="I1756" s="22" t="s">
        <v>70</v>
      </c>
      <c r="J1756" s="22" t="s">
        <v>46</v>
      </c>
      <c r="K1756" s="24">
        <v>1</v>
      </c>
      <c r="M1756" s="21">
        <v>46044</v>
      </c>
      <c r="N1756" s="22" t="s">
        <v>70</v>
      </c>
      <c r="O1756" s="22" t="s">
        <v>52</v>
      </c>
      <c r="P1756" s="49">
        <v>71</v>
      </c>
      <c r="Q1756" s="49">
        <v>71</v>
      </c>
      <c r="R1756" s="46">
        <f t="shared" si="58"/>
        <v>0</v>
      </c>
      <c r="T1756" s="21">
        <v>46018</v>
      </c>
      <c r="U1756" s="22" t="s">
        <v>57</v>
      </c>
      <c r="V1756" s="24">
        <v>4</v>
      </c>
      <c r="W1756" s="24">
        <v>5</v>
      </c>
      <c r="X1756" s="24">
        <v>4</v>
      </c>
      <c r="Y1756" s="24">
        <v>5</v>
      </c>
      <c r="Z1756" s="20">
        <f t="shared" si="59"/>
        <v>18</v>
      </c>
    </row>
    <row r="1757" spans="1:26" x14ac:dyDescent="0.2">
      <c r="A1757" s="21"/>
      <c r="B1757" s="20"/>
      <c r="C1757" s="22"/>
      <c r="D1757" s="22"/>
      <c r="E1757" s="24"/>
      <c r="F1757" s="22"/>
      <c r="H1757" s="21">
        <v>45983</v>
      </c>
      <c r="I1757" s="22" t="s">
        <v>70</v>
      </c>
      <c r="J1757" s="22" t="s">
        <v>48</v>
      </c>
      <c r="K1757" s="24">
        <v>2</v>
      </c>
      <c r="M1757" s="21">
        <v>46044</v>
      </c>
      <c r="N1757" s="22" t="s">
        <v>71</v>
      </c>
      <c r="O1757" s="22" t="s">
        <v>52</v>
      </c>
      <c r="P1757" s="49">
        <v>71</v>
      </c>
      <c r="Q1757" s="49">
        <v>70.3</v>
      </c>
      <c r="R1757" s="46">
        <f t="shared" si="58"/>
        <v>0.70000000000000284</v>
      </c>
      <c r="T1757" s="21">
        <v>46018</v>
      </c>
      <c r="U1757" s="22" t="s">
        <v>58</v>
      </c>
      <c r="V1757" s="24">
        <v>5</v>
      </c>
      <c r="W1757" s="24">
        <v>5</v>
      </c>
      <c r="X1757" s="24">
        <v>4</v>
      </c>
      <c r="Y1757" s="24">
        <v>5</v>
      </c>
      <c r="Z1757" s="20">
        <f t="shared" si="59"/>
        <v>19</v>
      </c>
    </row>
    <row r="1758" spans="1:26" x14ac:dyDescent="0.2">
      <c r="A1758" s="21"/>
      <c r="B1758" s="20"/>
      <c r="C1758" s="22"/>
      <c r="D1758" s="22"/>
      <c r="E1758" s="24"/>
      <c r="F1758" s="22"/>
      <c r="H1758" s="21">
        <v>45983</v>
      </c>
      <c r="I1758" s="22" t="s">
        <v>70</v>
      </c>
      <c r="J1758" s="22" t="s">
        <v>56</v>
      </c>
      <c r="K1758" s="24">
        <v>2</v>
      </c>
      <c r="M1758" s="21">
        <v>46044</v>
      </c>
      <c r="N1758" s="22" t="s">
        <v>70</v>
      </c>
      <c r="O1758" s="22" t="s">
        <v>53</v>
      </c>
      <c r="P1758" s="49">
        <v>68</v>
      </c>
      <c r="Q1758" s="49">
        <v>67</v>
      </c>
      <c r="R1758" s="46">
        <f t="shared" si="58"/>
        <v>1</v>
      </c>
      <c r="T1758" s="21">
        <v>46018</v>
      </c>
      <c r="U1758" s="22" t="s">
        <v>33</v>
      </c>
      <c r="V1758" s="24">
        <v>4.1333333333333302</v>
      </c>
      <c r="W1758" s="24">
        <v>4</v>
      </c>
      <c r="X1758" s="24">
        <v>3.93333333333333</v>
      </c>
      <c r="Y1758" s="24">
        <v>4.4000000000000004</v>
      </c>
      <c r="Z1758" s="20">
        <f t="shared" si="59"/>
        <v>16.466666666666661</v>
      </c>
    </row>
    <row r="1759" spans="1:26" x14ac:dyDescent="0.2">
      <c r="A1759" s="21"/>
      <c r="B1759" s="20"/>
      <c r="C1759" s="22"/>
      <c r="D1759" s="22"/>
      <c r="E1759" s="24"/>
      <c r="F1759" s="22"/>
      <c r="H1759" s="21">
        <v>45983</v>
      </c>
      <c r="I1759" s="22" t="s">
        <v>71</v>
      </c>
      <c r="J1759" s="22" t="s">
        <v>52</v>
      </c>
      <c r="K1759" s="24">
        <v>8</v>
      </c>
      <c r="M1759" s="21">
        <v>46044</v>
      </c>
      <c r="N1759" s="22" t="s">
        <v>71</v>
      </c>
      <c r="O1759" s="22" t="s">
        <v>53</v>
      </c>
      <c r="P1759" s="49">
        <v>68.099999999999994</v>
      </c>
      <c r="Q1759" s="49">
        <v>67.3</v>
      </c>
      <c r="R1759" s="46">
        <f t="shared" si="58"/>
        <v>0.79999999999999716</v>
      </c>
      <c r="T1759" s="21">
        <v>46020</v>
      </c>
      <c r="U1759" s="22" t="s">
        <v>41</v>
      </c>
      <c r="V1759" s="24">
        <v>1</v>
      </c>
      <c r="W1759" s="24">
        <v>1</v>
      </c>
      <c r="X1759" s="24">
        <v>1</v>
      </c>
      <c r="Y1759" s="24">
        <v>1</v>
      </c>
      <c r="Z1759" s="20">
        <f t="shared" si="59"/>
        <v>4</v>
      </c>
    </row>
    <row r="1760" spans="1:26" x14ac:dyDescent="0.2">
      <c r="A1760" s="21"/>
      <c r="B1760" s="20"/>
      <c r="C1760" s="22"/>
      <c r="D1760" s="22"/>
      <c r="E1760" s="24"/>
      <c r="F1760" s="22"/>
      <c r="H1760" s="21">
        <v>45983</v>
      </c>
      <c r="I1760" s="22" t="s">
        <v>71</v>
      </c>
      <c r="J1760" s="22" t="s">
        <v>53</v>
      </c>
      <c r="K1760" s="24">
        <v>5</v>
      </c>
      <c r="M1760" s="21">
        <v>46044</v>
      </c>
      <c r="N1760" s="22" t="s">
        <v>70</v>
      </c>
      <c r="O1760" s="22" t="s">
        <v>54</v>
      </c>
      <c r="P1760" s="49">
        <v>84.2</v>
      </c>
      <c r="Q1760" s="49">
        <v>84.3</v>
      </c>
      <c r="R1760" s="46">
        <f t="shared" si="58"/>
        <v>-9.9999999999994316E-2</v>
      </c>
      <c r="T1760" s="21">
        <v>46020</v>
      </c>
      <c r="U1760" s="22" t="s">
        <v>42</v>
      </c>
      <c r="V1760" s="24">
        <v>4</v>
      </c>
      <c r="W1760" s="24">
        <v>4</v>
      </c>
      <c r="X1760" s="24">
        <v>4</v>
      </c>
      <c r="Y1760" s="24">
        <v>5</v>
      </c>
      <c r="Z1760" s="20">
        <f t="shared" si="59"/>
        <v>17</v>
      </c>
    </row>
    <row r="1761" spans="1:26" x14ac:dyDescent="0.2">
      <c r="A1761" s="21"/>
      <c r="B1761" s="20"/>
      <c r="C1761" s="22"/>
      <c r="D1761" s="22"/>
      <c r="E1761" s="24"/>
      <c r="F1761" s="22"/>
      <c r="H1761" s="21">
        <v>45983</v>
      </c>
      <c r="I1761" s="22" t="s">
        <v>71</v>
      </c>
      <c r="J1761" s="22" t="s">
        <v>44</v>
      </c>
      <c r="K1761" s="24" t="s">
        <v>60</v>
      </c>
      <c r="M1761" s="21">
        <v>46044</v>
      </c>
      <c r="N1761" s="22" t="s">
        <v>71</v>
      </c>
      <c r="O1761" s="22" t="s">
        <v>54</v>
      </c>
      <c r="P1761" s="49">
        <v>84.3</v>
      </c>
      <c r="Q1761" s="49">
        <v>84.2</v>
      </c>
      <c r="R1761" s="46">
        <f t="shared" si="58"/>
        <v>9.9999999999994316E-2</v>
      </c>
      <c r="T1761" s="21">
        <v>46020</v>
      </c>
      <c r="U1761" s="22" t="s">
        <v>44</v>
      </c>
      <c r="V1761" s="24">
        <v>5</v>
      </c>
      <c r="W1761" s="24">
        <v>3</v>
      </c>
      <c r="X1761" s="24">
        <v>4</v>
      </c>
      <c r="Y1761" s="24">
        <v>5</v>
      </c>
      <c r="Z1761" s="20">
        <f t="shared" si="59"/>
        <v>17</v>
      </c>
    </row>
    <row r="1762" spans="1:26" x14ac:dyDescent="0.2">
      <c r="A1762" s="21"/>
      <c r="B1762" s="20"/>
      <c r="C1762" s="22"/>
      <c r="D1762" s="22"/>
      <c r="E1762" s="24"/>
      <c r="F1762" s="22"/>
      <c r="H1762" s="21">
        <v>45983</v>
      </c>
      <c r="I1762" s="22" t="s">
        <v>71</v>
      </c>
      <c r="J1762" s="22" t="s">
        <v>45</v>
      </c>
      <c r="K1762" s="24">
        <v>4</v>
      </c>
      <c r="M1762" s="21">
        <v>46044</v>
      </c>
      <c r="N1762" s="22" t="s">
        <v>70</v>
      </c>
      <c r="O1762" s="22" t="s">
        <v>56</v>
      </c>
      <c r="P1762" s="49">
        <v>74.8</v>
      </c>
      <c r="Q1762" s="49">
        <v>74</v>
      </c>
      <c r="R1762" s="46">
        <f t="shared" si="58"/>
        <v>0.79999999999999716</v>
      </c>
      <c r="T1762" s="21">
        <v>46020</v>
      </c>
      <c r="U1762" s="22" t="s">
        <v>45</v>
      </c>
      <c r="V1762" s="24">
        <v>4</v>
      </c>
      <c r="W1762" s="24">
        <v>4</v>
      </c>
      <c r="X1762" s="24">
        <v>5</v>
      </c>
      <c r="Y1762" s="24">
        <v>5</v>
      </c>
      <c r="Z1762" s="20">
        <f t="shared" si="59"/>
        <v>18</v>
      </c>
    </row>
    <row r="1763" spans="1:26" x14ac:dyDescent="0.2">
      <c r="A1763" s="21"/>
      <c r="B1763" s="20"/>
      <c r="C1763" s="22"/>
      <c r="D1763" s="22"/>
      <c r="E1763" s="24"/>
      <c r="F1763" s="22"/>
      <c r="H1763" s="21">
        <v>45983</v>
      </c>
      <c r="I1763" s="22" t="s">
        <v>71</v>
      </c>
      <c r="J1763" s="22" t="s">
        <v>57</v>
      </c>
      <c r="K1763" s="24">
        <v>7</v>
      </c>
      <c r="M1763" s="21">
        <v>46044</v>
      </c>
      <c r="N1763" s="22" t="s">
        <v>71</v>
      </c>
      <c r="O1763" s="22" t="s">
        <v>56</v>
      </c>
      <c r="P1763" s="49">
        <v>74.7</v>
      </c>
      <c r="Q1763" s="49">
        <v>74.7</v>
      </c>
      <c r="R1763" s="46">
        <f t="shared" si="58"/>
        <v>0</v>
      </c>
      <c r="T1763" s="21">
        <v>46020</v>
      </c>
      <c r="U1763" s="22" t="s">
        <v>46</v>
      </c>
      <c r="V1763" s="24">
        <v>5</v>
      </c>
      <c r="W1763" s="24">
        <v>4</v>
      </c>
      <c r="X1763" s="24">
        <v>4</v>
      </c>
      <c r="Y1763" s="24">
        <v>4</v>
      </c>
      <c r="Z1763" s="20">
        <f t="shared" si="59"/>
        <v>17</v>
      </c>
    </row>
    <row r="1764" spans="1:26" x14ac:dyDescent="0.2">
      <c r="A1764" s="21"/>
      <c r="B1764" s="20"/>
      <c r="C1764" s="22"/>
      <c r="D1764" s="22"/>
      <c r="E1764" s="24"/>
      <c r="F1764" s="22"/>
      <c r="H1764" s="21">
        <v>45983</v>
      </c>
      <c r="I1764" s="22" t="s">
        <v>71</v>
      </c>
      <c r="J1764" s="22" t="s">
        <v>42</v>
      </c>
      <c r="K1764" s="24" t="s">
        <v>63</v>
      </c>
      <c r="M1764" s="21">
        <v>46044</v>
      </c>
      <c r="N1764" s="22" t="s">
        <v>70</v>
      </c>
      <c r="O1764" s="22" t="s">
        <v>57</v>
      </c>
      <c r="P1764" s="49">
        <v>91.7</v>
      </c>
      <c r="Q1764" s="49">
        <v>91.2</v>
      </c>
      <c r="R1764" s="46">
        <f t="shared" si="58"/>
        <v>0.5</v>
      </c>
      <c r="T1764" s="21">
        <v>46020</v>
      </c>
      <c r="U1764" s="22" t="s">
        <v>47</v>
      </c>
      <c r="V1764" s="24">
        <v>3</v>
      </c>
      <c r="W1764" s="24">
        <v>4</v>
      </c>
      <c r="X1764" s="24">
        <v>4</v>
      </c>
      <c r="Y1764" s="24">
        <v>5</v>
      </c>
      <c r="Z1764" s="20">
        <f t="shared" si="59"/>
        <v>16</v>
      </c>
    </row>
    <row r="1765" spans="1:26" x14ac:dyDescent="0.2">
      <c r="A1765" s="21"/>
      <c r="B1765" s="20"/>
      <c r="C1765" s="22"/>
      <c r="D1765" s="22"/>
      <c r="E1765" s="24"/>
      <c r="F1765" s="22"/>
      <c r="H1765" s="21">
        <v>45983</v>
      </c>
      <c r="I1765" s="22" t="s">
        <v>71</v>
      </c>
      <c r="J1765" s="22" t="s">
        <v>47</v>
      </c>
      <c r="K1765" s="24">
        <v>7</v>
      </c>
      <c r="M1765" s="21">
        <v>46044</v>
      </c>
      <c r="N1765" s="22" t="s">
        <v>71</v>
      </c>
      <c r="O1765" s="22" t="s">
        <v>57</v>
      </c>
      <c r="P1765" s="49">
        <v>92</v>
      </c>
      <c r="Q1765" s="49">
        <v>91.5</v>
      </c>
      <c r="R1765" s="46">
        <f t="shared" si="58"/>
        <v>0.5</v>
      </c>
      <c r="T1765" s="21">
        <v>46020</v>
      </c>
      <c r="U1765" s="22" t="s">
        <v>48</v>
      </c>
      <c r="V1765" s="24">
        <v>5</v>
      </c>
      <c r="W1765" s="24">
        <v>4</v>
      </c>
      <c r="X1765" s="24">
        <v>4</v>
      </c>
      <c r="Y1765" s="24">
        <v>5</v>
      </c>
      <c r="Z1765" s="20">
        <f t="shared" si="59"/>
        <v>18</v>
      </c>
    </row>
    <row r="1766" spans="1:26" x14ac:dyDescent="0.2">
      <c r="A1766" s="21"/>
      <c r="B1766" s="20"/>
      <c r="C1766" s="22"/>
      <c r="D1766" s="22"/>
      <c r="E1766" s="24"/>
      <c r="F1766" s="22"/>
      <c r="H1766" s="21">
        <v>45983</v>
      </c>
      <c r="I1766" s="22" t="s">
        <v>71</v>
      </c>
      <c r="J1766" s="22" t="s">
        <v>41</v>
      </c>
      <c r="K1766" s="24">
        <v>6</v>
      </c>
      <c r="M1766" s="21">
        <v>46044</v>
      </c>
      <c r="N1766" s="22" t="s">
        <v>70</v>
      </c>
      <c r="O1766" s="22" t="s">
        <v>58</v>
      </c>
      <c r="P1766" s="49">
        <v>75.7</v>
      </c>
      <c r="Q1766" s="49">
        <v>75.599999999999994</v>
      </c>
      <c r="R1766" s="46">
        <f t="shared" si="58"/>
        <v>0.10000000000000853</v>
      </c>
      <c r="T1766" s="21">
        <v>46020</v>
      </c>
      <c r="U1766" s="22" t="s">
        <v>49</v>
      </c>
      <c r="V1766" s="24">
        <v>4</v>
      </c>
      <c r="W1766" s="24">
        <v>3</v>
      </c>
      <c r="X1766" s="24">
        <v>3</v>
      </c>
      <c r="Y1766" s="24">
        <v>3</v>
      </c>
      <c r="Z1766" s="20">
        <f t="shared" si="59"/>
        <v>13</v>
      </c>
    </row>
    <row r="1767" spans="1:26" x14ac:dyDescent="0.2">
      <c r="A1767" s="21"/>
      <c r="B1767" s="20"/>
      <c r="C1767" s="22"/>
      <c r="D1767" s="22"/>
      <c r="E1767" s="24"/>
      <c r="F1767" s="22"/>
      <c r="H1767" s="21">
        <v>45983</v>
      </c>
      <c r="I1767" s="22" t="s">
        <v>71</v>
      </c>
      <c r="J1767" s="22" t="s">
        <v>58</v>
      </c>
      <c r="K1767" s="24">
        <v>7</v>
      </c>
      <c r="M1767" s="21">
        <v>46045</v>
      </c>
      <c r="N1767" s="22" t="s">
        <v>70</v>
      </c>
      <c r="O1767" s="22" t="s">
        <v>41</v>
      </c>
      <c r="P1767" s="49">
        <v>77</v>
      </c>
      <c r="Q1767" s="49">
        <v>76.099999999999994</v>
      </c>
      <c r="R1767" s="46">
        <f t="shared" si="58"/>
        <v>0.90000000000000568</v>
      </c>
      <c r="T1767" s="21">
        <v>46020</v>
      </c>
      <c r="U1767" s="22" t="s">
        <v>50</v>
      </c>
      <c r="V1767" s="24">
        <v>3</v>
      </c>
      <c r="W1767" s="24">
        <v>4</v>
      </c>
      <c r="X1767" s="24">
        <v>4</v>
      </c>
      <c r="Y1767" s="24">
        <v>4</v>
      </c>
      <c r="Z1767" s="20">
        <f t="shared" si="59"/>
        <v>15</v>
      </c>
    </row>
    <row r="1768" spans="1:26" x14ac:dyDescent="0.2">
      <c r="A1768" s="21"/>
      <c r="B1768" s="20"/>
      <c r="C1768" s="22"/>
      <c r="D1768" s="22"/>
      <c r="E1768" s="24"/>
      <c r="F1768" s="22"/>
      <c r="H1768" s="21">
        <v>45983</v>
      </c>
      <c r="I1768" s="22" t="s">
        <v>71</v>
      </c>
      <c r="J1768" s="22" t="s">
        <v>49</v>
      </c>
      <c r="K1768" s="24">
        <v>8</v>
      </c>
      <c r="M1768" s="21">
        <v>46045</v>
      </c>
      <c r="N1768" s="22" t="s">
        <v>70</v>
      </c>
      <c r="O1768" s="22" t="s">
        <v>42</v>
      </c>
      <c r="P1768" s="49">
        <v>79.2</v>
      </c>
      <c r="Q1768" s="49">
        <v>79</v>
      </c>
      <c r="R1768" s="46">
        <f t="shared" si="58"/>
        <v>0.20000000000000284</v>
      </c>
      <c r="T1768" s="21">
        <v>46020</v>
      </c>
      <c r="U1768" s="22" t="s">
        <v>51</v>
      </c>
      <c r="V1768" s="24">
        <v>4</v>
      </c>
      <c r="W1768" s="24">
        <v>4</v>
      </c>
      <c r="X1768" s="24">
        <v>4</v>
      </c>
      <c r="Y1768" s="24">
        <v>4</v>
      </c>
      <c r="Z1768" s="20">
        <f t="shared" si="59"/>
        <v>16</v>
      </c>
    </row>
    <row r="1769" spans="1:26" x14ac:dyDescent="0.2">
      <c r="A1769" s="21"/>
      <c r="B1769" s="20"/>
      <c r="C1769" s="22"/>
      <c r="D1769" s="22"/>
      <c r="E1769" s="24"/>
      <c r="F1769" s="22"/>
      <c r="H1769" s="21">
        <v>45983</v>
      </c>
      <c r="I1769" s="22" t="s">
        <v>71</v>
      </c>
      <c r="J1769" s="22" t="s">
        <v>50</v>
      </c>
      <c r="K1769" s="24" t="s">
        <v>61</v>
      </c>
      <c r="M1769" s="21">
        <v>46045</v>
      </c>
      <c r="N1769" s="22" t="s">
        <v>70</v>
      </c>
      <c r="O1769" s="22" t="s">
        <v>45</v>
      </c>
      <c r="P1769" s="49">
        <v>69.5</v>
      </c>
      <c r="Q1769" s="49">
        <v>69</v>
      </c>
      <c r="R1769" s="46">
        <f t="shared" si="58"/>
        <v>0.5</v>
      </c>
      <c r="T1769" s="21">
        <v>46020</v>
      </c>
      <c r="U1769" s="22" t="s">
        <v>52</v>
      </c>
      <c r="V1769" s="24">
        <v>4</v>
      </c>
      <c r="W1769" s="24">
        <v>4</v>
      </c>
      <c r="X1769" s="24">
        <v>4</v>
      </c>
      <c r="Y1769" s="24">
        <v>4</v>
      </c>
      <c r="Z1769" s="20">
        <f t="shared" si="59"/>
        <v>16</v>
      </c>
    </row>
    <row r="1770" spans="1:26" x14ac:dyDescent="0.2">
      <c r="A1770" s="21"/>
      <c r="B1770" s="20"/>
      <c r="C1770" s="22"/>
      <c r="D1770" s="22"/>
      <c r="E1770" s="24"/>
      <c r="F1770" s="22"/>
      <c r="H1770" s="21">
        <v>45983</v>
      </c>
      <c r="I1770" s="22" t="s">
        <v>71</v>
      </c>
      <c r="J1770" s="22" t="s">
        <v>51</v>
      </c>
      <c r="K1770" s="24">
        <v>7</v>
      </c>
      <c r="M1770" s="21">
        <v>46045</v>
      </c>
      <c r="N1770" s="22" t="s">
        <v>70</v>
      </c>
      <c r="O1770" s="22" t="s">
        <v>46</v>
      </c>
      <c r="P1770" s="49">
        <v>80.400000000000006</v>
      </c>
      <c r="Q1770" s="49">
        <v>80</v>
      </c>
      <c r="R1770" s="46">
        <f t="shared" si="58"/>
        <v>0.40000000000000568</v>
      </c>
      <c r="T1770" s="21">
        <v>46020</v>
      </c>
      <c r="U1770" s="22" t="s">
        <v>53</v>
      </c>
      <c r="V1770" s="24">
        <v>4</v>
      </c>
      <c r="W1770" s="24">
        <v>4</v>
      </c>
      <c r="X1770" s="24">
        <v>4</v>
      </c>
      <c r="Y1770" s="24">
        <v>4</v>
      </c>
      <c r="Z1770" s="20">
        <f t="shared" si="59"/>
        <v>16</v>
      </c>
    </row>
    <row r="1771" spans="1:26" x14ac:dyDescent="0.2">
      <c r="A1771" s="21"/>
      <c r="B1771" s="20"/>
      <c r="C1771" s="22"/>
      <c r="D1771" s="22"/>
      <c r="E1771" s="24"/>
      <c r="F1771" s="22"/>
      <c r="H1771" s="21">
        <v>45983</v>
      </c>
      <c r="I1771" s="22" t="s">
        <v>71</v>
      </c>
      <c r="J1771" s="22" t="s">
        <v>46</v>
      </c>
      <c r="K1771" s="24">
        <v>6</v>
      </c>
      <c r="M1771" s="21">
        <v>46045</v>
      </c>
      <c r="N1771" s="22" t="s">
        <v>70</v>
      </c>
      <c r="O1771" s="22" t="s">
        <v>49</v>
      </c>
      <c r="P1771" s="49">
        <v>78.5</v>
      </c>
      <c r="Q1771" s="49">
        <v>78.400000000000006</v>
      </c>
      <c r="R1771" s="46">
        <f t="shared" si="58"/>
        <v>9.9999999999994316E-2</v>
      </c>
      <c r="T1771" s="21">
        <v>46020</v>
      </c>
      <c r="U1771" s="22" t="s">
        <v>56</v>
      </c>
      <c r="V1771" s="24">
        <v>4</v>
      </c>
      <c r="W1771" s="24">
        <v>4</v>
      </c>
      <c r="X1771" s="24">
        <v>4</v>
      </c>
      <c r="Y1771" s="24">
        <v>4</v>
      </c>
      <c r="Z1771" s="20">
        <f t="shared" si="59"/>
        <v>16</v>
      </c>
    </row>
    <row r="1772" spans="1:26" x14ac:dyDescent="0.2">
      <c r="A1772" s="21"/>
      <c r="B1772" s="20"/>
      <c r="C1772" s="22"/>
      <c r="D1772" s="22"/>
      <c r="E1772" s="24"/>
      <c r="F1772" s="22"/>
      <c r="H1772" s="21">
        <v>45983</v>
      </c>
      <c r="I1772" s="22" t="s">
        <v>71</v>
      </c>
      <c r="J1772" s="22" t="s">
        <v>48</v>
      </c>
      <c r="K1772" s="24">
        <v>8</v>
      </c>
      <c r="M1772" s="21">
        <v>46045</v>
      </c>
      <c r="N1772" s="22" t="s">
        <v>70</v>
      </c>
      <c r="O1772" s="22" t="s">
        <v>50</v>
      </c>
      <c r="P1772" s="49">
        <v>66.2</v>
      </c>
      <c r="Q1772" s="49">
        <v>65.2</v>
      </c>
      <c r="R1772" s="46">
        <f t="shared" si="58"/>
        <v>1</v>
      </c>
      <c r="T1772" s="21">
        <v>46020</v>
      </c>
      <c r="U1772" s="22" t="s">
        <v>57</v>
      </c>
      <c r="V1772" s="24">
        <v>3</v>
      </c>
      <c r="W1772" s="24">
        <v>4</v>
      </c>
      <c r="X1772" s="24">
        <v>4</v>
      </c>
      <c r="Y1772" s="24">
        <v>4</v>
      </c>
      <c r="Z1772" s="20">
        <f t="shared" si="59"/>
        <v>15</v>
      </c>
    </row>
    <row r="1773" spans="1:26" x14ac:dyDescent="0.2">
      <c r="A1773" s="21"/>
      <c r="B1773" s="20"/>
      <c r="C1773" s="22"/>
      <c r="D1773" s="22"/>
      <c r="E1773" s="24"/>
      <c r="F1773" s="22"/>
      <c r="H1773" s="21">
        <v>45983</v>
      </c>
      <c r="I1773" s="22" t="s">
        <v>71</v>
      </c>
      <c r="J1773" s="22" t="s">
        <v>56</v>
      </c>
      <c r="K1773" s="24">
        <v>8</v>
      </c>
      <c r="M1773" s="21">
        <v>46045</v>
      </c>
      <c r="N1773" s="22" t="s">
        <v>70</v>
      </c>
      <c r="O1773" s="22" t="s">
        <v>51</v>
      </c>
      <c r="P1773" s="49">
        <v>74.7</v>
      </c>
      <c r="Q1773" s="49">
        <v>74.599999999999994</v>
      </c>
      <c r="R1773" s="46">
        <f t="shared" si="58"/>
        <v>0.10000000000000853</v>
      </c>
      <c r="T1773" s="21">
        <v>46020</v>
      </c>
      <c r="U1773" s="22" t="s">
        <v>58</v>
      </c>
      <c r="V1773" s="24">
        <v>4</v>
      </c>
      <c r="W1773" s="24">
        <v>4</v>
      </c>
      <c r="X1773" s="24">
        <v>4</v>
      </c>
      <c r="Y1773" s="24">
        <v>4</v>
      </c>
      <c r="Z1773" s="20">
        <f t="shared" si="59"/>
        <v>16</v>
      </c>
    </row>
    <row r="1774" spans="1:26" x14ac:dyDescent="0.2">
      <c r="A1774" s="21"/>
      <c r="B1774" s="20"/>
      <c r="C1774" s="22"/>
      <c r="D1774" s="22"/>
      <c r="E1774" s="24"/>
      <c r="F1774" s="22"/>
      <c r="H1774" s="21">
        <v>45985</v>
      </c>
      <c r="I1774" s="22" t="s">
        <v>70</v>
      </c>
      <c r="J1774" s="22" t="s">
        <v>52</v>
      </c>
      <c r="K1774" s="24">
        <v>4</v>
      </c>
      <c r="M1774" s="21">
        <v>46045</v>
      </c>
      <c r="N1774" s="22" t="s">
        <v>70</v>
      </c>
      <c r="O1774" s="22" t="s">
        <v>52</v>
      </c>
      <c r="P1774" s="49">
        <v>70</v>
      </c>
      <c r="Q1774" s="49">
        <v>70</v>
      </c>
      <c r="R1774" s="46">
        <f t="shared" si="58"/>
        <v>0</v>
      </c>
      <c r="T1774" s="21">
        <v>46020</v>
      </c>
      <c r="U1774" s="22" t="s">
        <v>33</v>
      </c>
      <c r="V1774" s="24">
        <v>3.8</v>
      </c>
      <c r="W1774" s="24">
        <v>3.6666666666666701</v>
      </c>
      <c r="X1774" s="24">
        <v>3.8</v>
      </c>
      <c r="Y1774" s="24">
        <v>4.06666666666667</v>
      </c>
      <c r="Z1774" s="20">
        <f t="shared" si="59"/>
        <v>15.333333333333339</v>
      </c>
    </row>
    <row r="1775" spans="1:26" x14ac:dyDescent="0.2">
      <c r="A1775" s="21"/>
      <c r="B1775" s="20"/>
      <c r="C1775" s="22"/>
      <c r="D1775" s="22"/>
      <c r="E1775" s="24"/>
      <c r="F1775" s="22"/>
      <c r="H1775" s="21">
        <v>45985</v>
      </c>
      <c r="I1775" s="22" t="s">
        <v>70</v>
      </c>
      <c r="J1775" s="22" t="s">
        <v>53</v>
      </c>
      <c r="K1775" s="24" t="s">
        <v>61</v>
      </c>
      <c r="M1775" s="21">
        <v>46045</v>
      </c>
      <c r="N1775" s="22" t="s">
        <v>70</v>
      </c>
      <c r="O1775" s="22" t="s">
        <v>53</v>
      </c>
      <c r="P1775" s="49">
        <v>68</v>
      </c>
      <c r="Q1775" s="49">
        <v>67.2</v>
      </c>
      <c r="R1775" s="46">
        <f t="shared" si="58"/>
        <v>0.79999999999999716</v>
      </c>
      <c r="T1775" s="21">
        <v>46021</v>
      </c>
      <c r="U1775" s="22" t="s">
        <v>41</v>
      </c>
      <c r="V1775" s="24">
        <v>1</v>
      </c>
      <c r="W1775" s="24">
        <v>1</v>
      </c>
      <c r="X1775" s="24">
        <v>1</v>
      </c>
      <c r="Y1775" s="24">
        <v>1</v>
      </c>
      <c r="Z1775" s="20">
        <f t="shared" si="59"/>
        <v>4</v>
      </c>
    </row>
    <row r="1776" spans="1:26" x14ac:dyDescent="0.2">
      <c r="A1776" s="21"/>
      <c r="B1776" s="20"/>
      <c r="C1776" s="22"/>
      <c r="D1776" s="22"/>
      <c r="E1776" s="24"/>
      <c r="F1776" s="22"/>
      <c r="H1776" s="21">
        <v>45985</v>
      </c>
      <c r="I1776" s="22" t="s">
        <v>70</v>
      </c>
      <c r="J1776" s="22" t="s">
        <v>44</v>
      </c>
      <c r="K1776" s="24">
        <v>3</v>
      </c>
      <c r="M1776" s="21">
        <v>46045</v>
      </c>
      <c r="N1776" s="22" t="s">
        <v>70</v>
      </c>
      <c r="O1776" s="22" t="s">
        <v>54</v>
      </c>
      <c r="P1776" s="49">
        <v>83.6</v>
      </c>
      <c r="Q1776" s="49">
        <v>83.4</v>
      </c>
      <c r="R1776" s="46">
        <f t="shared" si="58"/>
        <v>0.19999999999998863</v>
      </c>
      <c r="T1776" s="21">
        <v>46021</v>
      </c>
      <c r="U1776" s="22" t="s">
        <v>42</v>
      </c>
      <c r="V1776" s="24">
        <v>4</v>
      </c>
      <c r="W1776" s="24">
        <v>4</v>
      </c>
      <c r="X1776" s="24">
        <v>4</v>
      </c>
      <c r="Y1776" s="24">
        <v>5</v>
      </c>
      <c r="Z1776" s="20">
        <f t="shared" si="59"/>
        <v>17</v>
      </c>
    </row>
    <row r="1777" spans="1:26" x14ac:dyDescent="0.2">
      <c r="A1777" s="21"/>
      <c r="B1777" s="20"/>
      <c r="C1777" s="22"/>
      <c r="D1777" s="22"/>
      <c r="E1777" s="24"/>
      <c r="F1777" s="22"/>
      <c r="H1777" s="21">
        <v>45985</v>
      </c>
      <c r="I1777" s="22" t="s">
        <v>70</v>
      </c>
      <c r="J1777" s="22" t="s">
        <v>45</v>
      </c>
      <c r="K1777" s="24">
        <v>3</v>
      </c>
      <c r="M1777" s="21">
        <v>46045</v>
      </c>
      <c r="N1777" s="22" t="s">
        <v>70</v>
      </c>
      <c r="O1777" s="22" t="s">
        <v>56</v>
      </c>
      <c r="P1777" s="49">
        <v>75.099999999999994</v>
      </c>
      <c r="Q1777" s="49">
        <v>75</v>
      </c>
      <c r="R1777" s="46">
        <f t="shared" si="58"/>
        <v>9.9999999999994316E-2</v>
      </c>
      <c r="T1777" s="21">
        <v>46021</v>
      </c>
      <c r="U1777" s="22" t="s">
        <v>44</v>
      </c>
      <c r="V1777" s="24">
        <v>5</v>
      </c>
      <c r="W1777" s="24">
        <v>4</v>
      </c>
      <c r="X1777" s="24">
        <v>4</v>
      </c>
      <c r="Y1777" s="24">
        <v>5</v>
      </c>
      <c r="Z1777" s="20">
        <f t="shared" si="59"/>
        <v>18</v>
      </c>
    </row>
    <row r="1778" spans="1:26" x14ac:dyDescent="0.2">
      <c r="A1778" s="21"/>
      <c r="B1778" s="20"/>
      <c r="C1778" s="22"/>
      <c r="D1778" s="22"/>
      <c r="E1778" s="24"/>
      <c r="F1778" s="22"/>
      <c r="H1778" s="21">
        <v>45985</v>
      </c>
      <c r="I1778" s="22" t="s">
        <v>70</v>
      </c>
      <c r="J1778" s="22" t="s">
        <v>57</v>
      </c>
      <c r="K1778" s="24">
        <v>5</v>
      </c>
      <c r="M1778" s="21">
        <v>46045</v>
      </c>
      <c r="N1778" s="22" t="s">
        <v>70</v>
      </c>
      <c r="O1778" s="22" t="s">
        <v>57</v>
      </c>
      <c r="P1778" s="49">
        <v>91.9</v>
      </c>
      <c r="Q1778" s="49">
        <v>91.4</v>
      </c>
      <c r="R1778" s="46">
        <f t="shared" si="58"/>
        <v>0.5</v>
      </c>
      <c r="T1778" s="21">
        <v>46021</v>
      </c>
      <c r="U1778" s="22" t="s">
        <v>45</v>
      </c>
      <c r="V1778" s="24">
        <v>4</v>
      </c>
      <c r="W1778" s="24">
        <v>4</v>
      </c>
      <c r="X1778" s="24">
        <v>4</v>
      </c>
      <c r="Y1778" s="24">
        <v>5</v>
      </c>
      <c r="Z1778" s="20">
        <f t="shared" si="59"/>
        <v>17</v>
      </c>
    </row>
    <row r="1779" spans="1:26" x14ac:dyDescent="0.2">
      <c r="A1779" s="21"/>
      <c r="B1779" s="20"/>
      <c r="C1779" s="22"/>
      <c r="D1779" s="22"/>
      <c r="E1779" s="24"/>
      <c r="F1779" s="22"/>
      <c r="H1779" s="21">
        <v>45985</v>
      </c>
      <c r="I1779" s="22" t="s">
        <v>70</v>
      </c>
      <c r="J1779" s="22" t="s">
        <v>42</v>
      </c>
      <c r="K1779" s="24">
        <v>2</v>
      </c>
      <c r="M1779" s="21">
        <v>46045</v>
      </c>
      <c r="N1779" s="22" t="s">
        <v>70</v>
      </c>
      <c r="O1779" s="22" t="s">
        <v>58</v>
      </c>
      <c r="P1779" s="49">
        <v>74.900000000000006</v>
      </c>
      <c r="Q1779" s="49">
        <v>74.8</v>
      </c>
      <c r="R1779" s="46">
        <f t="shared" si="58"/>
        <v>0.10000000000000853</v>
      </c>
      <c r="T1779" s="21">
        <v>46021</v>
      </c>
      <c r="U1779" s="22" t="s">
        <v>46</v>
      </c>
      <c r="V1779" s="24">
        <v>5</v>
      </c>
      <c r="W1779" s="24">
        <v>4</v>
      </c>
      <c r="X1779" s="24">
        <v>4</v>
      </c>
      <c r="Y1779" s="24">
        <v>4</v>
      </c>
      <c r="Z1779" s="20">
        <f t="shared" si="59"/>
        <v>17</v>
      </c>
    </row>
    <row r="1780" spans="1:26" x14ac:dyDescent="0.2">
      <c r="A1780" s="21"/>
      <c r="B1780" s="20"/>
      <c r="C1780" s="22"/>
      <c r="D1780" s="22"/>
      <c r="E1780" s="24"/>
      <c r="F1780" s="22"/>
      <c r="H1780" s="21">
        <v>45985</v>
      </c>
      <c r="I1780" s="22" t="s">
        <v>70</v>
      </c>
      <c r="J1780" s="22" t="s">
        <v>47</v>
      </c>
      <c r="K1780" s="24">
        <v>3</v>
      </c>
      <c r="M1780" s="21">
        <v>46048</v>
      </c>
      <c r="N1780" s="22" t="s">
        <v>71</v>
      </c>
      <c r="O1780" s="22" t="s">
        <v>41</v>
      </c>
      <c r="P1780" s="49">
        <v>77</v>
      </c>
      <c r="Q1780" s="49">
        <v>76.400000000000006</v>
      </c>
      <c r="R1780" s="46">
        <f t="shared" si="58"/>
        <v>0.59999999999999432</v>
      </c>
      <c r="T1780" s="21">
        <v>46021</v>
      </c>
      <c r="U1780" s="22" t="s">
        <v>47</v>
      </c>
      <c r="V1780" s="24">
        <v>4</v>
      </c>
      <c r="W1780" s="24">
        <v>4</v>
      </c>
      <c r="X1780" s="24">
        <v>4</v>
      </c>
      <c r="Y1780" s="24">
        <v>5</v>
      </c>
      <c r="Z1780" s="20">
        <f t="shared" si="59"/>
        <v>17</v>
      </c>
    </row>
    <row r="1781" spans="1:26" x14ac:dyDescent="0.2">
      <c r="A1781" s="21"/>
      <c r="B1781" s="20"/>
      <c r="C1781" s="22"/>
      <c r="D1781" s="22"/>
      <c r="E1781" s="24"/>
      <c r="F1781" s="22"/>
      <c r="H1781" s="21">
        <v>45985</v>
      </c>
      <c r="I1781" s="22" t="s">
        <v>70</v>
      </c>
      <c r="J1781" s="22" t="s">
        <v>41</v>
      </c>
      <c r="K1781" s="24">
        <v>2</v>
      </c>
      <c r="M1781" s="21">
        <v>46048</v>
      </c>
      <c r="N1781" s="22" t="s">
        <v>71</v>
      </c>
      <c r="O1781" s="22" t="s">
        <v>42</v>
      </c>
      <c r="P1781" s="49">
        <v>79.2</v>
      </c>
      <c r="Q1781" s="49">
        <v>79</v>
      </c>
      <c r="R1781" s="46">
        <f t="shared" si="58"/>
        <v>0.20000000000000284</v>
      </c>
      <c r="T1781" s="21">
        <v>46021</v>
      </c>
      <c r="U1781" s="22" t="s">
        <v>49</v>
      </c>
      <c r="V1781" s="24">
        <v>4</v>
      </c>
      <c r="W1781" s="24">
        <v>3</v>
      </c>
      <c r="X1781" s="24">
        <v>4</v>
      </c>
      <c r="Y1781" s="24">
        <v>4</v>
      </c>
      <c r="Z1781" s="20">
        <f t="shared" si="59"/>
        <v>15</v>
      </c>
    </row>
    <row r="1782" spans="1:26" x14ac:dyDescent="0.2">
      <c r="A1782" s="21"/>
      <c r="B1782" s="20"/>
      <c r="C1782" s="22"/>
      <c r="D1782" s="22"/>
      <c r="E1782" s="24"/>
      <c r="F1782" s="22"/>
      <c r="H1782" s="21">
        <v>45985</v>
      </c>
      <c r="I1782" s="22" t="s">
        <v>70</v>
      </c>
      <c r="J1782" s="22" t="s">
        <v>58</v>
      </c>
      <c r="K1782" s="24">
        <v>6</v>
      </c>
      <c r="M1782" s="21">
        <v>46048</v>
      </c>
      <c r="N1782" s="22" t="s">
        <v>71</v>
      </c>
      <c r="O1782" s="22" t="s">
        <v>45</v>
      </c>
      <c r="P1782" s="49">
        <v>69.400000000000006</v>
      </c>
      <c r="Q1782" s="49">
        <v>78.5</v>
      </c>
      <c r="R1782" s="46">
        <f t="shared" si="58"/>
        <v>-9.0999999999999943</v>
      </c>
      <c r="T1782" s="21">
        <v>46021</v>
      </c>
      <c r="U1782" s="22" t="s">
        <v>50</v>
      </c>
      <c r="V1782" s="24">
        <v>3</v>
      </c>
      <c r="W1782" s="24">
        <v>4</v>
      </c>
      <c r="X1782" s="24">
        <v>4</v>
      </c>
      <c r="Y1782" s="24">
        <v>4</v>
      </c>
      <c r="Z1782" s="20">
        <f t="shared" si="59"/>
        <v>15</v>
      </c>
    </row>
    <row r="1783" spans="1:26" x14ac:dyDescent="0.2">
      <c r="A1783" s="21"/>
      <c r="B1783" s="20"/>
      <c r="C1783" s="22"/>
      <c r="D1783" s="22"/>
      <c r="E1783" s="24"/>
      <c r="F1783" s="22"/>
      <c r="H1783" s="21">
        <v>45985</v>
      </c>
      <c r="I1783" s="22" t="s">
        <v>70</v>
      </c>
      <c r="J1783" s="22" t="s">
        <v>49</v>
      </c>
      <c r="K1783" s="24">
        <v>4</v>
      </c>
      <c r="M1783" s="21">
        <v>46048</v>
      </c>
      <c r="N1783" s="22" t="s">
        <v>71</v>
      </c>
      <c r="O1783" s="22" t="s">
        <v>46</v>
      </c>
      <c r="P1783" s="49">
        <v>82.4</v>
      </c>
      <c r="Q1783" s="49">
        <v>81.8</v>
      </c>
      <c r="R1783" s="46">
        <f t="shared" si="58"/>
        <v>0.60000000000000853</v>
      </c>
      <c r="T1783" s="21">
        <v>46021</v>
      </c>
      <c r="U1783" s="22" t="s">
        <v>51</v>
      </c>
      <c r="V1783" s="24">
        <v>4</v>
      </c>
      <c r="W1783" s="24">
        <v>4</v>
      </c>
      <c r="X1783" s="24">
        <v>4</v>
      </c>
      <c r="Y1783" s="24">
        <v>4</v>
      </c>
      <c r="Z1783" s="20">
        <f t="shared" si="59"/>
        <v>16</v>
      </c>
    </row>
    <row r="1784" spans="1:26" x14ac:dyDescent="0.2">
      <c r="A1784" s="21"/>
      <c r="B1784" s="20"/>
      <c r="C1784" s="22"/>
      <c r="D1784" s="22"/>
      <c r="E1784" s="24"/>
      <c r="F1784" s="22"/>
      <c r="H1784" s="21">
        <v>45985</v>
      </c>
      <c r="I1784" s="22" t="s">
        <v>70</v>
      </c>
      <c r="J1784" s="22" t="s">
        <v>50</v>
      </c>
      <c r="K1784" s="24" t="s">
        <v>61</v>
      </c>
      <c r="M1784" s="21">
        <v>46048</v>
      </c>
      <c r="N1784" s="22" t="s">
        <v>71</v>
      </c>
      <c r="O1784" s="22" t="s">
        <v>49</v>
      </c>
      <c r="P1784" s="49">
        <v>79.2</v>
      </c>
      <c r="Q1784" s="49">
        <v>79</v>
      </c>
      <c r="R1784" s="46">
        <f t="shared" si="58"/>
        <v>0.20000000000000284</v>
      </c>
      <c r="T1784" s="21">
        <v>46021</v>
      </c>
      <c r="U1784" s="22" t="s">
        <v>52</v>
      </c>
      <c r="V1784" s="24">
        <v>4</v>
      </c>
      <c r="W1784" s="24">
        <v>4</v>
      </c>
      <c r="X1784" s="24">
        <v>4</v>
      </c>
      <c r="Y1784" s="24">
        <v>4</v>
      </c>
      <c r="Z1784" s="20">
        <f t="shared" si="59"/>
        <v>16</v>
      </c>
    </row>
    <row r="1785" spans="1:26" x14ac:dyDescent="0.2">
      <c r="A1785" s="21"/>
      <c r="B1785" s="20"/>
      <c r="C1785" s="22"/>
      <c r="D1785" s="22"/>
      <c r="E1785" s="24"/>
      <c r="F1785" s="22"/>
      <c r="H1785" s="21">
        <v>45985</v>
      </c>
      <c r="I1785" s="22" t="s">
        <v>70</v>
      </c>
      <c r="J1785" s="22" t="s">
        <v>51</v>
      </c>
      <c r="K1785" s="24">
        <v>4</v>
      </c>
      <c r="M1785" s="21">
        <v>46048</v>
      </c>
      <c r="N1785" s="22" t="s">
        <v>71</v>
      </c>
      <c r="O1785" s="22" t="s">
        <v>50</v>
      </c>
      <c r="P1785" s="49">
        <v>67.3</v>
      </c>
      <c r="Q1785" s="49">
        <v>66</v>
      </c>
      <c r="R1785" s="46">
        <f t="shared" si="58"/>
        <v>1.2999999999999972</v>
      </c>
      <c r="T1785" s="21">
        <v>46021</v>
      </c>
      <c r="U1785" s="22" t="s">
        <v>53</v>
      </c>
      <c r="V1785" s="24">
        <v>4</v>
      </c>
      <c r="W1785" s="24">
        <v>4</v>
      </c>
      <c r="X1785" s="24">
        <v>4</v>
      </c>
      <c r="Y1785" s="24">
        <v>4</v>
      </c>
      <c r="Z1785" s="20">
        <f t="shared" si="59"/>
        <v>16</v>
      </c>
    </row>
    <row r="1786" spans="1:26" x14ac:dyDescent="0.2">
      <c r="A1786" s="21"/>
      <c r="B1786" s="20"/>
      <c r="C1786" s="22"/>
      <c r="D1786" s="22"/>
      <c r="E1786" s="24"/>
      <c r="F1786" s="22"/>
      <c r="H1786" s="21">
        <v>45985</v>
      </c>
      <c r="I1786" s="22" t="s">
        <v>70</v>
      </c>
      <c r="J1786" s="22" t="s">
        <v>46</v>
      </c>
      <c r="K1786" s="24">
        <v>4</v>
      </c>
      <c r="M1786" s="21">
        <v>46048</v>
      </c>
      <c r="N1786" s="22" t="s">
        <v>71</v>
      </c>
      <c r="O1786" s="22" t="s">
        <v>51</v>
      </c>
      <c r="P1786" s="49">
        <v>75.599999999999994</v>
      </c>
      <c r="Q1786" s="49">
        <v>75.5</v>
      </c>
      <c r="R1786" s="46">
        <f t="shared" si="58"/>
        <v>9.9999999999994316E-2</v>
      </c>
      <c r="T1786" s="21">
        <v>46021</v>
      </c>
      <c r="U1786" s="22" t="s">
        <v>56</v>
      </c>
      <c r="V1786" s="24">
        <v>4</v>
      </c>
      <c r="W1786" s="24">
        <v>4</v>
      </c>
      <c r="X1786" s="24">
        <v>4</v>
      </c>
      <c r="Y1786" s="24">
        <v>4</v>
      </c>
      <c r="Z1786" s="20">
        <f t="shared" si="59"/>
        <v>16</v>
      </c>
    </row>
    <row r="1787" spans="1:26" x14ac:dyDescent="0.2">
      <c r="A1787" s="21"/>
      <c r="B1787" s="20"/>
      <c r="C1787" s="22"/>
      <c r="D1787" s="22"/>
      <c r="E1787" s="24"/>
      <c r="F1787" s="22"/>
      <c r="H1787" s="21">
        <v>45985</v>
      </c>
      <c r="I1787" s="22" t="s">
        <v>70</v>
      </c>
      <c r="J1787" s="22" t="s">
        <v>48</v>
      </c>
      <c r="K1787" s="24">
        <v>3</v>
      </c>
      <c r="M1787" s="21">
        <v>46048</v>
      </c>
      <c r="N1787" s="22" t="s">
        <v>71</v>
      </c>
      <c r="O1787" s="22" t="s">
        <v>52</v>
      </c>
      <c r="P1787" s="49">
        <v>71.900000000000006</v>
      </c>
      <c r="Q1787" s="49">
        <v>71.5</v>
      </c>
      <c r="R1787" s="46">
        <f t="shared" si="58"/>
        <v>0.40000000000000568</v>
      </c>
      <c r="T1787" s="21">
        <v>46021</v>
      </c>
      <c r="U1787" s="22" t="s">
        <v>57</v>
      </c>
      <c r="V1787" s="24">
        <v>3</v>
      </c>
      <c r="W1787" s="24">
        <v>4</v>
      </c>
      <c r="X1787" s="24">
        <v>4</v>
      </c>
      <c r="Y1787" s="24">
        <v>3</v>
      </c>
      <c r="Z1787" s="20">
        <f t="shared" si="59"/>
        <v>14</v>
      </c>
    </row>
    <row r="1788" spans="1:26" x14ac:dyDescent="0.2">
      <c r="A1788" s="21"/>
      <c r="B1788" s="20"/>
      <c r="C1788" s="22"/>
      <c r="D1788" s="22"/>
      <c r="E1788" s="24"/>
      <c r="F1788" s="22"/>
      <c r="H1788" s="21">
        <v>45985</v>
      </c>
      <c r="I1788" s="22" t="s">
        <v>70</v>
      </c>
      <c r="J1788" s="22" t="s">
        <v>56</v>
      </c>
      <c r="K1788" s="24">
        <v>6</v>
      </c>
      <c r="M1788" s="21">
        <v>46048</v>
      </c>
      <c r="N1788" s="22" t="s">
        <v>71</v>
      </c>
      <c r="O1788" s="22" t="s">
        <v>53</v>
      </c>
      <c r="P1788" s="49">
        <v>68</v>
      </c>
      <c r="Q1788" s="49">
        <v>68.2</v>
      </c>
      <c r="R1788" s="46">
        <f t="shared" si="58"/>
        <v>-0.20000000000000284</v>
      </c>
      <c r="T1788" s="21">
        <v>46021</v>
      </c>
      <c r="U1788" s="22" t="s">
        <v>58</v>
      </c>
      <c r="V1788" s="24">
        <v>4</v>
      </c>
      <c r="W1788" s="24">
        <v>4</v>
      </c>
      <c r="X1788" s="24">
        <v>4</v>
      </c>
      <c r="Y1788" s="24">
        <v>4</v>
      </c>
      <c r="Z1788" s="20">
        <f t="shared" si="59"/>
        <v>16</v>
      </c>
    </row>
    <row r="1789" spans="1:26" x14ac:dyDescent="0.2">
      <c r="A1789" s="21"/>
      <c r="B1789" s="20"/>
      <c r="C1789" s="22"/>
      <c r="D1789" s="22"/>
      <c r="E1789" s="24"/>
      <c r="F1789" s="22"/>
      <c r="H1789" s="21">
        <v>45986</v>
      </c>
      <c r="I1789" s="22" t="s">
        <v>70</v>
      </c>
      <c r="J1789" s="22" t="s">
        <v>52</v>
      </c>
      <c r="K1789" s="24">
        <v>2</v>
      </c>
      <c r="M1789" s="21">
        <v>46048</v>
      </c>
      <c r="N1789" s="22" t="s">
        <v>71</v>
      </c>
      <c r="O1789" s="22" t="s">
        <v>54</v>
      </c>
      <c r="P1789" s="49">
        <v>83.6</v>
      </c>
      <c r="Q1789" s="49">
        <v>83.4</v>
      </c>
      <c r="R1789" s="46">
        <f t="shared" si="58"/>
        <v>0.19999999999998863</v>
      </c>
      <c r="T1789" s="21">
        <v>46021</v>
      </c>
      <c r="U1789" s="22" t="s">
        <v>33</v>
      </c>
      <c r="V1789" s="24">
        <v>3.78571428571429</v>
      </c>
      <c r="W1789" s="24">
        <v>3.71428571428571</v>
      </c>
      <c r="X1789" s="24">
        <v>3.78571428571429</v>
      </c>
      <c r="Y1789" s="24">
        <v>4</v>
      </c>
      <c r="Z1789" s="20">
        <f t="shared" si="59"/>
        <v>15.28571428571429</v>
      </c>
    </row>
    <row r="1790" spans="1:26" x14ac:dyDescent="0.2">
      <c r="A1790" s="21"/>
      <c r="B1790" s="20"/>
      <c r="C1790" s="22"/>
      <c r="D1790" s="22"/>
      <c r="E1790" s="24"/>
      <c r="F1790" s="22"/>
      <c r="H1790" s="21">
        <v>45986</v>
      </c>
      <c r="I1790" s="22" t="s">
        <v>70</v>
      </c>
      <c r="J1790" s="22" t="s">
        <v>53</v>
      </c>
      <c r="K1790" s="24" t="s">
        <v>61</v>
      </c>
      <c r="M1790" s="21">
        <v>46048</v>
      </c>
      <c r="N1790" s="22" t="s">
        <v>71</v>
      </c>
      <c r="O1790" s="22" t="s">
        <v>57</v>
      </c>
      <c r="P1790" s="49">
        <v>91.9</v>
      </c>
      <c r="Q1790" s="49">
        <v>91.2</v>
      </c>
      <c r="R1790" s="46">
        <f t="shared" si="58"/>
        <v>0.70000000000000284</v>
      </c>
      <c r="T1790" s="21">
        <v>46022</v>
      </c>
      <c r="U1790" s="22" t="s">
        <v>41</v>
      </c>
      <c r="V1790" s="24">
        <v>1</v>
      </c>
      <c r="W1790" s="24">
        <v>1</v>
      </c>
      <c r="X1790" s="24">
        <v>1</v>
      </c>
      <c r="Y1790" s="24">
        <v>1</v>
      </c>
      <c r="Z1790" s="20">
        <f t="shared" si="59"/>
        <v>4</v>
      </c>
    </row>
    <row r="1791" spans="1:26" x14ac:dyDescent="0.2">
      <c r="A1791" s="21"/>
      <c r="B1791" s="20"/>
      <c r="C1791" s="22"/>
      <c r="D1791" s="22"/>
      <c r="E1791" s="24"/>
      <c r="F1791" s="22"/>
      <c r="H1791" s="21">
        <v>45986</v>
      </c>
      <c r="I1791" s="22" t="s">
        <v>70</v>
      </c>
      <c r="J1791" s="22" t="s">
        <v>44</v>
      </c>
      <c r="K1791" s="24">
        <v>2</v>
      </c>
      <c r="M1791" s="21">
        <v>46048</v>
      </c>
      <c r="N1791" s="22" t="s">
        <v>71</v>
      </c>
      <c r="O1791" s="22" t="s">
        <v>58</v>
      </c>
      <c r="P1791" s="49">
        <v>75.3</v>
      </c>
      <c r="Q1791" s="49">
        <v>76.3</v>
      </c>
      <c r="R1791" s="46">
        <f t="shared" si="58"/>
        <v>-1</v>
      </c>
      <c r="T1791" s="21">
        <v>46022</v>
      </c>
      <c r="U1791" s="22" t="s">
        <v>42</v>
      </c>
      <c r="V1791" s="24">
        <v>4</v>
      </c>
      <c r="W1791" s="24">
        <v>4</v>
      </c>
      <c r="X1791" s="24">
        <v>4</v>
      </c>
      <c r="Y1791" s="24">
        <v>5</v>
      </c>
      <c r="Z1791" s="20">
        <f t="shared" si="59"/>
        <v>17</v>
      </c>
    </row>
    <row r="1792" spans="1:26" x14ac:dyDescent="0.2">
      <c r="A1792" s="21"/>
      <c r="B1792" s="20"/>
      <c r="C1792" s="22"/>
      <c r="D1792" s="22"/>
      <c r="E1792" s="24"/>
      <c r="F1792" s="22"/>
      <c r="H1792" s="21">
        <v>45986</v>
      </c>
      <c r="I1792" s="22" t="s">
        <v>70</v>
      </c>
      <c r="J1792" s="22" t="s">
        <v>45</v>
      </c>
      <c r="K1792" s="24">
        <v>2</v>
      </c>
      <c r="M1792" s="21">
        <v>46049</v>
      </c>
      <c r="N1792" s="22" t="s">
        <v>70</v>
      </c>
      <c r="O1792" s="22" t="s">
        <v>41</v>
      </c>
      <c r="P1792" s="49">
        <v>77</v>
      </c>
      <c r="Q1792" s="49">
        <v>76.8</v>
      </c>
      <c r="R1792" s="46">
        <f t="shared" si="58"/>
        <v>0.20000000000000284</v>
      </c>
      <c r="T1792" s="21">
        <v>46022</v>
      </c>
      <c r="U1792" s="22" t="s">
        <v>44</v>
      </c>
      <c r="V1792" s="24">
        <v>5</v>
      </c>
      <c r="W1792" s="24">
        <v>4</v>
      </c>
      <c r="X1792" s="24">
        <v>3</v>
      </c>
      <c r="Y1792" s="24">
        <v>5</v>
      </c>
      <c r="Z1792" s="20">
        <f t="shared" si="59"/>
        <v>17</v>
      </c>
    </row>
    <row r="1793" spans="1:26" x14ac:dyDescent="0.2">
      <c r="A1793" s="21"/>
      <c r="B1793" s="20"/>
      <c r="C1793" s="22"/>
      <c r="D1793" s="22"/>
      <c r="E1793" s="24"/>
      <c r="F1793" s="22"/>
      <c r="H1793" s="21">
        <v>45986</v>
      </c>
      <c r="I1793" s="22" t="s">
        <v>70</v>
      </c>
      <c r="J1793" s="22" t="s">
        <v>57</v>
      </c>
      <c r="K1793" s="24">
        <v>2</v>
      </c>
      <c r="M1793" s="21">
        <v>46049</v>
      </c>
      <c r="N1793" s="22" t="s">
        <v>71</v>
      </c>
      <c r="O1793" s="22" t="s">
        <v>41</v>
      </c>
      <c r="P1793" s="49">
        <v>77</v>
      </c>
      <c r="Q1793" s="49">
        <v>76.2</v>
      </c>
      <c r="R1793" s="46">
        <f t="shared" si="58"/>
        <v>0.79999999999999716</v>
      </c>
      <c r="T1793" s="21">
        <v>46022</v>
      </c>
      <c r="U1793" s="22" t="s">
        <v>45</v>
      </c>
      <c r="V1793" s="24">
        <v>4</v>
      </c>
      <c r="W1793" s="24">
        <v>4</v>
      </c>
      <c r="X1793" s="24">
        <v>5</v>
      </c>
      <c r="Y1793" s="24">
        <v>5</v>
      </c>
      <c r="Z1793" s="20">
        <f t="shared" si="59"/>
        <v>18</v>
      </c>
    </row>
    <row r="1794" spans="1:26" x14ac:dyDescent="0.2">
      <c r="A1794" s="21"/>
      <c r="B1794" s="20"/>
      <c r="C1794" s="22"/>
      <c r="D1794" s="22"/>
      <c r="E1794" s="24"/>
      <c r="F1794" s="22"/>
      <c r="H1794" s="21">
        <v>45986</v>
      </c>
      <c r="I1794" s="22" t="s">
        <v>70</v>
      </c>
      <c r="J1794" s="22" t="s">
        <v>42</v>
      </c>
      <c r="K1794" s="24">
        <v>2</v>
      </c>
      <c r="M1794" s="21">
        <v>46049</v>
      </c>
      <c r="N1794" s="22" t="s">
        <v>70</v>
      </c>
      <c r="O1794" s="22" t="s">
        <v>42</v>
      </c>
      <c r="P1794" s="49">
        <v>79.3</v>
      </c>
      <c r="Q1794" s="49">
        <v>79.2</v>
      </c>
      <c r="R1794" s="46">
        <f t="shared" si="58"/>
        <v>9.9999999999994316E-2</v>
      </c>
      <c r="T1794" s="21">
        <v>46022</v>
      </c>
      <c r="U1794" s="22" t="s">
        <v>46</v>
      </c>
      <c r="V1794" s="24">
        <v>5</v>
      </c>
      <c r="W1794" s="24">
        <v>4</v>
      </c>
      <c r="X1794" s="24">
        <v>4</v>
      </c>
      <c r="Y1794" s="24">
        <v>4</v>
      </c>
      <c r="Z1794" s="20">
        <f t="shared" si="59"/>
        <v>17</v>
      </c>
    </row>
    <row r="1795" spans="1:26" x14ac:dyDescent="0.2">
      <c r="A1795" s="21"/>
      <c r="B1795" s="20"/>
      <c r="C1795" s="22"/>
      <c r="D1795" s="22"/>
      <c r="E1795" s="24"/>
      <c r="F1795" s="22"/>
      <c r="H1795" s="21">
        <v>45986</v>
      </c>
      <c r="I1795" s="22" t="s">
        <v>70</v>
      </c>
      <c r="J1795" s="22" t="s">
        <v>47</v>
      </c>
      <c r="K1795" s="24">
        <v>2</v>
      </c>
      <c r="M1795" s="21">
        <v>46049</v>
      </c>
      <c r="N1795" s="22" t="s">
        <v>71</v>
      </c>
      <c r="O1795" s="22" t="s">
        <v>42</v>
      </c>
      <c r="P1795" s="49">
        <v>79.599999999999994</v>
      </c>
      <c r="Q1795" s="49">
        <v>79.3</v>
      </c>
      <c r="R1795" s="46">
        <f t="shared" ref="R1795:R1858" si="60">IFERROR(P1795-Q1795,"")</f>
        <v>0.29999999999999716</v>
      </c>
      <c r="T1795" s="21">
        <v>46022</v>
      </c>
      <c r="U1795" s="22" t="s">
        <v>47</v>
      </c>
      <c r="V1795" s="24">
        <v>4</v>
      </c>
      <c r="W1795" s="24">
        <v>4</v>
      </c>
      <c r="X1795" s="24">
        <v>4</v>
      </c>
      <c r="Y1795" s="24">
        <v>5</v>
      </c>
      <c r="Z1795" s="20">
        <f t="shared" ref="Z1795:Z1858" si="61">SUM(V1795:Y1795)</f>
        <v>17</v>
      </c>
    </row>
    <row r="1796" spans="1:26" x14ac:dyDescent="0.2">
      <c r="A1796" s="21"/>
      <c r="B1796" s="20"/>
      <c r="C1796" s="22"/>
      <c r="D1796" s="22"/>
      <c r="E1796" s="24"/>
      <c r="F1796" s="22"/>
      <c r="H1796" s="21">
        <v>45986</v>
      </c>
      <c r="I1796" s="22" t="s">
        <v>70</v>
      </c>
      <c r="J1796" s="22" t="s">
        <v>41</v>
      </c>
      <c r="K1796" s="24">
        <v>2</v>
      </c>
      <c r="M1796" s="21">
        <v>46049</v>
      </c>
      <c r="N1796" s="22" t="s">
        <v>70</v>
      </c>
      <c r="O1796" s="22" t="s">
        <v>45</v>
      </c>
      <c r="P1796" s="49">
        <v>69</v>
      </c>
      <c r="Q1796" s="49">
        <v>68</v>
      </c>
      <c r="R1796" s="46">
        <f t="shared" si="60"/>
        <v>1</v>
      </c>
      <c r="T1796" s="21">
        <v>46022</v>
      </c>
      <c r="U1796" s="22" t="s">
        <v>48</v>
      </c>
      <c r="V1796" s="24">
        <v>5</v>
      </c>
      <c r="W1796" s="24">
        <v>4</v>
      </c>
      <c r="X1796" s="24">
        <v>4</v>
      </c>
      <c r="Y1796" s="24">
        <v>5</v>
      </c>
      <c r="Z1796" s="20">
        <f t="shared" si="61"/>
        <v>18</v>
      </c>
    </row>
    <row r="1797" spans="1:26" x14ac:dyDescent="0.2">
      <c r="A1797" s="21"/>
      <c r="B1797" s="20"/>
      <c r="C1797" s="22"/>
      <c r="D1797" s="22"/>
      <c r="E1797" s="24"/>
      <c r="F1797" s="22"/>
      <c r="H1797" s="21">
        <v>45986</v>
      </c>
      <c r="I1797" s="22" t="s">
        <v>70</v>
      </c>
      <c r="J1797" s="22" t="s">
        <v>58</v>
      </c>
      <c r="K1797" s="24">
        <v>2</v>
      </c>
      <c r="M1797" s="21">
        <v>46049</v>
      </c>
      <c r="N1797" s="22" t="s">
        <v>71</v>
      </c>
      <c r="O1797" s="22" t="s">
        <v>45</v>
      </c>
      <c r="P1797" s="49">
        <v>69.400000000000006</v>
      </c>
      <c r="Q1797" s="49">
        <v>68.5</v>
      </c>
      <c r="R1797" s="46">
        <f t="shared" si="60"/>
        <v>0.90000000000000568</v>
      </c>
      <c r="T1797" s="21">
        <v>46022</v>
      </c>
      <c r="U1797" s="22" t="s">
        <v>49</v>
      </c>
      <c r="V1797" s="24">
        <v>4</v>
      </c>
      <c r="W1797" s="24">
        <v>3</v>
      </c>
      <c r="X1797" s="24">
        <v>4</v>
      </c>
      <c r="Y1797" s="24">
        <v>4</v>
      </c>
      <c r="Z1797" s="20">
        <f t="shared" si="61"/>
        <v>15</v>
      </c>
    </row>
    <row r="1798" spans="1:26" x14ac:dyDescent="0.2">
      <c r="A1798" s="21"/>
      <c r="B1798" s="20"/>
      <c r="C1798" s="22"/>
      <c r="D1798" s="22"/>
      <c r="E1798" s="24"/>
      <c r="F1798" s="22"/>
      <c r="H1798" s="21">
        <v>45986</v>
      </c>
      <c r="I1798" s="22" t="s">
        <v>70</v>
      </c>
      <c r="J1798" s="22" t="s">
        <v>49</v>
      </c>
      <c r="K1798" s="24">
        <v>2</v>
      </c>
      <c r="M1798" s="21">
        <v>46049</v>
      </c>
      <c r="N1798" s="22" t="s">
        <v>70</v>
      </c>
      <c r="O1798" s="22" t="s">
        <v>46</v>
      </c>
      <c r="P1798" s="49">
        <v>81.8</v>
      </c>
      <c r="Q1798" s="49">
        <v>82</v>
      </c>
      <c r="R1798" s="46">
        <f t="shared" si="60"/>
        <v>-0.20000000000000284</v>
      </c>
      <c r="T1798" s="21">
        <v>46022</v>
      </c>
      <c r="U1798" s="22" t="s">
        <v>50</v>
      </c>
      <c r="V1798" s="24">
        <v>4</v>
      </c>
      <c r="W1798" s="24">
        <v>3</v>
      </c>
      <c r="X1798" s="24">
        <v>4</v>
      </c>
      <c r="Y1798" s="24">
        <v>4</v>
      </c>
      <c r="Z1798" s="20">
        <f t="shared" si="61"/>
        <v>15</v>
      </c>
    </row>
    <row r="1799" spans="1:26" x14ac:dyDescent="0.2">
      <c r="A1799" s="21"/>
      <c r="B1799" s="20"/>
      <c r="C1799" s="22"/>
      <c r="D1799" s="22"/>
      <c r="E1799" s="24"/>
      <c r="F1799" s="22"/>
      <c r="H1799" s="21">
        <v>45986</v>
      </c>
      <c r="I1799" s="22" t="s">
        <v>70</v>
      </c>
      <c r="J1799" s="22" t="s">
        <v>50</v>
      </c>
      <c r="K1799" s="24" t="s">
        <v>61</v>
      </c>
      <c r="M1799" s="21">
        <v>46049</v>
      </c>
      <c r="N1799" s="22" t="s">
        <v>71</v>
      </c>
      <c r="O1799" s="22" t="s">
        <v>46</v>
      </c>
      <c r="P1799" s="49">
        <v>81.900000000000006</v>
      </c>
      <c r="Q1799" s="49">
        <v>81.400000000000006</v>
      </c>
      <c r="R1799" s="46">
        <f t="shared" si="60"/>
        <v>0.5</v>
      </c>
      <c r="T1799" s="21">
        <v>46022</v>
      </c>
      <c r="U1799" s="22" t="s">
        <v>51</v>
      </c>
      <c r="V1799" s="24">
        <v>4</v>
      </c>
      <c r="W1799" s="24">
        <v>4</v>
      </c>
      <c r="X1799" s="24">
        <v>4</v>
      </c>
      <c r="Y1799" s="24">
        <v>4</v>
      </c>
      <c r="Z1799" s="20">
        <f t="shared" si="61"/>
        <v>16</v>
      </c>
    </row>
    <row r="1800" spans="1:26" x14ac:dyDescent="0.2">
      <c r="A1800" s="21"/>
      <c r="B1800" s="20"/>
      <c r="C1800" s="22"/>
      <c r="D1800" s="22"/>
      <c r="E1800" s="24"/>
      <c r="F1800" s="22"/>
      <c r="H1800" s="21">
        <v>45986</v>
      </c>
      <c r="I1800" s="22" t="s">
        <v>70</v>
      </c>
      <c r="J1800" s="22" t="s">
        <v>51</v>
      </c>
      <c r="K1800" s="24">
        <v>2</v>
      </c>
      <c r="M1800" s="21">
        <v>46049</v>
      </c>
      <c r="N1800" s="22" t="s">
        <v>70</v>
      </c>
      <c r="O1800" s="22" t="s">
        <v>49</v>
      </c>
      <c r="P1800" s="49">
        <v>79.099999999999994</v>
      </c>
      <c r="Q1800" s="49">
        <v>79.2</v>
      </c>
      <c r="R1800" s="46">
        <f t="shared" si="60"/>
        <v>-0.10000000000000853</v>
      </c>
      <c r="T1800" s="21">
        <v>46022</v>
      </c>
      <c r="U1800" s="22" t="s">
        <v>52</v>
      </c>
      <c r="V1800" s="24">
        <v>4</v>
      </c>
      <c r="W1800" s="24">
        <v>4</v>
      </c>
      <c r="X1800" s="24">
        <v>4</v>
      </c>
      <c r="Y1800" s="24">
        <v>4</v>
      </c>
      <c r="Z1800" s="20">
        <f t="shared" si="61"/>
        <v>16</v>
      </c>
    </row>
    <row r="1801" spans="1:26" x14ac:dyDescent="0.2">
      <c r="A1801" s="21"/>
      <c r="B1801" s="20"/>
      <c r="C1801" s="22"/>
      <c r="D1801" s="22"/>
      <c r="E1801" s="24"/>
      <c r="F1801" s="22"/>
      <c r="H1801" s="21">
        <v>45986</v>
      </c>
      <c r="I1801" s="22" t="s">
        <v>70</v>
      </c>
      <c r="J1801" s="22" t="s">
        <v>46</v>
      </c>
      <c r="K1801" s="24">
        <v>2</v>
      </c>
      <c r="M1801" s="21">
        <v>46049</v>
      </c>
      <c r="N1801" s="22" t="s">
        <v>71</v>
      </c>
      <c r="O1801" s="22" t="s">
        <v>49</v>
      </c>
      <c r="P1801" s="49">
        <v>79.400000000000006</v>
      </c>
      <c r="Q1801" s="49">
        <v>79.7</v>
      </c>
      <c r="R1801" s="46">
        <f t="shared" si="60"/>
        <v>-0.29999999999999716</v>
      </c>
      <c r="T1801" s="21">
        <v>46022</v>
      </c>
      <c r="U1801" s="22" t="s">
        <v>53</v>
      </c>
      <c r="V1801" s="24">
        <v>4</v>
      </c>
      <c r="W1801" s="24">
        <v>4</v>
      </c>
      <c r="X1801" s="24">
        <v>4</v>
      </c>
      <c r="Y1801" s="24">
        <v>4</v>
      </c>
      <c r="Z1801" s="20">
        <f t="shared" si="61"/>
        <v>16</v>
      </c>
    </row>
    <row r="1802" spans="1:26" x14ac:dyDescent="0.2">
      <c r="A1802" s="21"/>
      <c r="B1802" s="20"/>
      <c r="C1802" s="22"/>
      <c r="D1802" s="22"/>
      <c r="E1802" s="24"/>
      <c r="F1802" s="22"/>
      <c r="H1802" s="21">
        <v>45986</v>
      </c>
      <c r="I1802" s="22" t="s">
        <v>70</v>
      </c>
      <c r="J1802" s="22" t="s">
        <v>48</v>
      </c>
      <c r="K1802" s="24">
        <v>2</v>
      </c>
      <c r="M1802" s="21">
        <v>46049</v>
      </c>
      <c r="N1802" s="22" t="s">
        <v>70</v>
      </c>
      <c r="O1802" s="22" t="s">
        <v>50</v>
      </c>
      <c r="P1802" s="49">
        <v>67</v>
      </c>
      <c r="Q1802" s="49">
        <v>66.5</v>
      </c>
      <c r="R1802" s="46">
        <f t="shared" si="60"/>
        <v>0.5</v>
      </c>
      <c r="T1802" s="21">
        <v>46022</v>
      </c>
      <c r="U1802" s="22" t="s">
        <v>56</v>
      </c>
      <c r="V1802" s="24">
        <v>4</v>
      </c>
      <c r="W1802" s="24">
        <v>4</v>
      </c>
      <c r="X1802" s="24">
        <v>4</v>
      </c>
      <c r="Y1802" s="24">
        <v>5</v>
      </c>
      <c r="Z1802" s="20">
        <f t="shared" si="61"/>
        <v>17</v>
      </c>
    </row>
    <row r="1803" spans="1:26" x14ac:dyDescent="0.2">
      <c r="A1803" s="21"/>
      <c r="B1803" s="20"/>
      <c r="C1803" s="22"/>
      <c r="D1803" s="22"/>
      <c r="E1803" s="24"/>
      <c r="F1803" s="22"/>
      <c r="H1803" s="21">
        <v>45986</v>
      </c>
      <c r="I1803" s="22" t="s">
        <v>70</v>
      </c>
      <c r="J1803" s="22" t="s">
        <v>56</v>
      </c>
      <c r="K1803" s="24">
        <v>2</v>
      </c>
      <c r="M1803" s="21">
        <v>46049</v>
      </c>
      <c r="N1803" s="22" t="s">
        <v>71</v>
      </c>
      <c r="O1803" s="22" t="s">
        <v>50</v>
      </c>
      <c r="P1803" s="49">
        <v>67.5</v>
      </c>
      <c r="Q1803" s="49">
        <v>66.8</v>
      </c>
      <c r="R1803" s="46">
        <f t="shared" si="60"/>
        <v>0.70000000000000284</v>
      </c>
      <c r="T1803" s="21">
        <v>46022</v>
      </c>
      <c r="U1803" s="22" t="s">
        <v>57</v>
      </c>
      <c r="V1803" s="24">
        <v>3</v>
      </c>
      <c r="W1803" s="24">
        <v>4</v>
      </c>
      <c r="X1803" s="24">
        <v>4</v>
      </c>
      <c r="Y1803" s="24">
        <v>3</v>
      </c>
      <c r="Z1803" s="20">
        <f t="shared" si="61"/>
        <v>14</v>
      </c>
    </row>
    <row r="1804" spans="1:26" x14ac:dyDescent="0.2">
      <c r="A1804" s="21"/>
      <c r="B1804" s="20"/>
      <c r="C1804" s="22"/>
      <c r="D1804" s="22"/>
      <c r="E1804" s="24"/>
      <c r="F1804" s="22"/>
      <c r="H1804" s="21">
        <v>45986</v>
      </c>
      <c r="I1804" s="22" t="s">
        <v>71</v>
      </c>
      <c r="J1804" s="22" t="s">
        <v>52</v>
      </c>
      <c r="K1804" s="24">
        <v>7</v>
      </c>
      <c r="M1804" s="21">
        <v>46049</v>
      </c>
      <c r="N1804" s="22" t="s">
        <v>70</v>
      </c>
      <c r="O1804" s="22" t="s">
        <v>51</v>
      </c>
      <c r="P1804" s="49">
        <v>75.099999999999994</v>
      </c>
      <c r="Q1804" s="49">
        <v>75</v>
      </c>
      <c r="R1804" s="46">
        <f t="shared" si="60"/>
        <v>9.9999999999994316E-2</v>
      </c>
      <c r="T1804" s="21">
        <v>46022</v>
      </c>
      <c r="U1804" s="22" t="s">
        <v>58</v>
      </c>
      <c r="V1804" s="24">
        <v>4</v>
      </c>
      <c r="W1804" s="24">
        <v>4</v>
      </c>
      <c r="X1804" s="24">
        <v>4</v>
      </c>
      <c r="Y1804" s="24">
        <v>4</v>
      </c>
      <c r="Z1804" s="20">
        <f t="shared" si="61"/>
        <v>16</v>
      </c>
    </row>
    <row r="1805" spans="1:26" x14ac:dyDescent="0.2">
      <c r="A1805" s="21"/>
      <c r="B1805" s="20"/>
      <c r="C1805" s="22"/>
      <c r="D1805" s="22"/>
      <c r="E1805" s="24"/>
      <c r="F1805" s="22"/>
      <c r="H1805" s="21">
        <v>45986</v>
      </c>
      <c r="I1805" s="22" t="s">
        <v>71</v>
      </c>
      <c r="J1805" s="22" t="s">
        <v>53</v>
      </c>
      <c r="K1805" s="24" t="s">
        <v>61</v>
      </c>
      <c r="M1805" s="21">
        <v>46049</v>
      </c>
      <c r="N1805" s="22" t="s">
        <v>71</v>
      </c>
      <c r="O1805" s="22" t="s">
        <v>51</v>
      </c>
      <c r="P1805" s="49">
        <v>74.8</v>
      </c>
      <c r="Q1805" s="49">
        <v>75.099999999999994</v>
      </c>
      <c r="R1805" s="46">
        <f t="shared" si="60"/>
        <v>-0.29999999999999716</v>
      </c>
      <c r="T1805" s="21">
        <v>46022</v>
      </c>
      <c r="U1805" s="22" t="s">
        <v>33</v>
      </c>
      <c r="V1805" s="24">
        <v>3.93333333333333</v>
      </c>
      <c r="W1805" s="24">
        <v>3.6666666666666701</v>
      </c>
      <c r="X1805" s="24">
        <v>3.8</v>
      </c>
      <c r="Y1805" s="24">
        <v>4.1333333333333302</v>
      </c>
      <c r="Z1805" s="20">
        <f t="shared" si="61"/>
        <v>15.533333333333328</v>
      </c>
    </row>
    <row r="1806" spans="1:26" x14ac:dyDescent="0.2">
      <c r="A1806" s="21"/>
      <c r="B1806" s="20"/>
      <c r="C1806" s="22"/>
      <c r="D1806" s="22"/>
      <c r="E1806" s="24"/>
      <c r="F1806" s="22"/>
      <c r="H1806" s="21">
        <v>45986</v>
      </c>
      <c r="I1806" s="22" t="s">
        <v>71</v>
      </c>
      <c r="J1806" s="22" t="s">
        <v>44</v>
      </c>
      <c r="K1806" s="24">
        <v>7</v>
      </c>
      <c r="M1806" s="21">
        <v>46049</v>
      </c>
      <c r="N1806" s="22" t="s">
        <v>70</v>
      </c>
      <c r="O1806" s="22" t="s">
        <v>52</v>
      </c>
      <c r="P1806" s="49">
        <v>71.5</v>
      </c>
      <c r="Q1806" s="49">
        <v>70.599999999999994</v>
      </c>
      <c r="R1806" s="46">
        <f t="shared" si="60"/>
        <v>0.90000000000000568</v>
      </c>
      <c r="T1806" s="21">
        <v>46024</v>
      </c>
      <c r="U1806" s="22" t="s">
        <v>41</v>
      </c>
      <c r="V1806" s="24">
        <v>1</v>
      </c>
      <c r="W1806" s="24">
        <v>1</v>
      </c>
      <c r="X1806" s="24">
        <v>1</v>
      </c>
      <c r="Y1806" s="24">
        <v>1</v>
      </c>
      <c r="Z1806" s="20">
        <f t="shared" si="61"/>
        <v>4</v>
      </c>
    </row>
    <row r="1807" spans="1:26" x14ac:dyDescent="0.2">
      <c r="A1807" s="21"/>
      <c r="B1807" s="20"/>
      <c r="C1807" s="22"/>
      <c r="D1807" s="22"/>
      <c r="E1807" s="24"/>
      <c r="F1807" s="22"/>
      <c r="H1807" s="21">
        <v>45986</v>
      </c>
      <c r="I1807" s="22" t="s">
        <v>71</v>
      </c>
      <c r="J1807" s="22" t="s">
        <v>45</v>
      </c>
      <c r="K1807" s="24">
        <v>4</v>
      </c>
      <c r="M1807" s="21">
        <v>46049</v>
      </c>
      <c r="N1807" s="22" t="s">
        <v>71</v>
      </c>
      <c r="O1807" s="22" t="s">
        <v>52</v>
      </c>
      <c r="P1807" s="49">
        <v>71.099999999999994</v>
      </c>
      <c r="Q1807" s="49">
        <v>70.400000000000006</v>
      </c>
      <c r="R1807" s="46">
        <f t="shared" si="60"/>
        <v>0.69999999999998863</v>
      </c>
      <c r="T1807" s="21">
        <v>46024</v>
      </c>
      <c r="U1807" s="22" t="s">
        <v>42</v>
      </c>
      <c r="V1807" s="24">
        <v>4</v>
      </c>
      <c r="W1807" s="24">
        <v>4</v>
      </c>
      <c r="X1807" s="24">
        <v>4</v>
      </c>
      <c r="Y1807" s="24">
        <v>5</v>
      </c>
      <c r="Z1807" s="20">
        <f t="shared" si="61"/>
        <v>17</v>
      </c>
    </row>
    <row r="1808" spans="1:26" x14ac:dyDescent="0.2">
      <c r="A1808" s="21"/>
      <c r="B1808" s="20"/>
      <c r="C1808" s="22"/>
      <c r="D1808" s="22"/>
      <c r="E1808" s="24"/>
      <c r="F1808" s="22"/>
      <c r="H1808" s="21">
        <v>45986</v>
      </c>
      <c r="I1808" s="22" t="s">
        <v>71</v>
      </c>
      <c r="J1808" s="22" t="s">
        <v>57</v>
      </c>
      <c r="K1808" s="24">
        <v>7</v>
      </c>
      <c r="M1808" s="21">
        <v>46049</v>
      </c>
      <c r="N1808" s="22" t="s">
        <v>70</v>
      </c>
      <c r="O1808" s="22" t="s">
        <v>53</v>
      </c>
      <c r="P1808" s="49">
        <v>68</v>
      </c>
      <c r="Q1808" s="49">
        <v>67.3</v>
      </c>
      <c r="R1808" s="46">
        <f t="shared" si="60"/>
        <v>0.70000000000000284</v>
      </c>
      <c r="T1808" s="21">
        <v>46024</v>
      </c>
      <c r="U1808" s="22" t="s">
        <v>44</v>
      </c>
      <c r="V1808" s="24">
        <v>5</v>
      </c>
      <c r="W1808" s="24">
        <v>4</v>
      </c>
      <c r="X1808" s="24">
        <v>4</v>
      </c>
      <c r="Y1808" s="24">
        <v>5</v>
      </c>
      <c r="Z1808" s="20">
        <f t="shared" si="61"/>
        <v>18</v>
      </c>
    </row>
    <row r="1809" spans="1:26" x14ac:dyDescent="0.2">
      <c r="A1809" s="21"/>
      <c r="B1809" s="20"/>
      <c r="C1809" s="22"/>
      <c r="D1809" s="22"/>
      <c r="E1809" s="24"/>
      <c r="F1809" s="22"/>
      <c r="H1809" s="21">
        <v>45986</v>
      </c>
      <c r="I1809" s="22" t="s">
        <v>71</v>
      </c>
      <c r="J1809" s="22" t="s">
        <v>42</v>
      </c>
      <c r="K1809" s="24">
        <v>3</v>
      </c>
      <c r="M1809" s="21">
        <v>46049</v>
      </c>
      <c r="N1809" s="22" t="s">
        <v>71</v>
      </c>
      <c r="O1809" s="22" t="s">
        <v>53</v>
      </c>
      <c r="P1809" s="49">
        <v>68.400000000000006</v>
      </c>
      <c r="Q1809" s="49">
        <v>68</v>
      </c>
      <c r="R1809" s="46">
        <f t="shared" si="60"/>
        <v>0.40000000000000568</v>
      </c>
      <c r="T1809" s="21">
        <v>46024</v>
      </c>
      <c r="U1809" s="22" t="s">
        <v>45</v>
      </c>
      <c r="V1809" s="24">
        <v>4</v>
      </c>
      <c r="W1809" s="24">
        <v>4</v>
      </c>
      <c r="X1809" s="24">
        <v>4</v>
      </c>
      <c r="Y1809" s="24">
        <v>5</v>
      </c>
      <c r="Z1809" s="20">
        <f t="shared" si="61"/>
        <v>17</v>
      </c>
    </row>
    <row r="1810" spans="1:26" x14ac:dyDescent="0.2">
      <c r="A1810" s="21"/>
      <c r="B1810" s="20"/>
      <c r="C1810" s="22"/>
      <c r="D1810" s="22"/>
      <c r="E1810" s="24"/>
      <c r="F1810" s="22"/>
      <c r="H1810" s="21">
        <v>45986</v>
      </c>
      <c r="I1810" s="22" t="s">
        <v>71</v>
      </c>
      <c r="J1810" s="22" t="s">
        <v>47</v>
      </c>
      <c r="K1810" s="24">
        <v>7</v>
      </c>
      <c r="M1810" s="21">
        <v>46049</v>
      </c>
      <c r="N1810" s="22" t="s">
        <v>70</v>
      </c>
      <c r="O1810" s="22" t="s">
        <v>54</v>
      </c>
      <c r="P1810" s="49">
        <v>83.4</v>
      </c>
      <c r="Q1810" s="49">
        <v>83</v>
      </c>
      <c r="R1810" s="46">
        <f t="shared" si="60"/>
        <v>0.40000000000000568</v>
      </c>
      <c r="T1810" s="21">
        <v>46024</v>
      </c>
      <c r="U1810" s="22" t="s">
        <v>46</v>
      </c>
      <c r="V1810" s="24">
        <v>5</v>
      </c>
      <c r="W1810" s="24">
        <v>4</v>
      </c>
      <c r="X1810" s="24">
        <v>4</v>
      </c>
      <c r="Y1810" s="24">
        <v>4</v>
      </c>
      <c r="Z1810" s="20">
        <f t="shared" si="61"/>
        <v>17</v>
      </c>
    </row>
    <row r="1811" spans="1:26" x14ac:dyDescent="0.2">
      <c r="A1811" s="21"/>
      <c r="B1811" s="20"/>
      <c r="C1811" s="22"/>
      <c r="D1811" s="22"/>
      <c r="E1811" s="24"/>
      <c r="F1811" s="22"/>
      <c r="H1811" s="21">
        <v>45986</v>
      </c>
      <c r="I1811" s="22" t="s">
        <v>71</v>
      </c>
      <c r="J1811" s="22" t="s">
        <v>41</v>
      </c>
      <c r="K1811" s="24" t="s">
        <v>63</v>
      </c>
      <c r="M1811" s="21">
        <v>46049</v>
      </c>
      <c r="N1811" s="22" t="s">
        <v>71</v>
      </c>
      <c r="O1811" s="22" t="s">
        <v>54</v>
      </c>
      <c r="P1811" s="49">
        <v>83.5</v>
      </c>
      <c r="Q1811" s="49">
        <v>83.5</v>
      </c>
      <c r="R1811" s="46">
        <f t="shared" si="60"/>
        <v>0</v>
      </c>
      <c r="T1811" s="21">
        <v>46024</v>
      </c>
      <c r="U1811" s="22" t="s">
        <v>47</v>
      </c>
      <c r="V1811" s="24">
        <v>5</v>
      </c>
      <c r="W1811" s="24">
        <v>4</v>
      </c>
      <c r="X1811" s="24">
        <v>4</v>
      </c>
      <c r="Y1811" s="24">
        <v>5</v>
      </c>
      <c r="Z1811" s="20">
        <f t="shared" si="61"/>
        <v>18</v>
      </c>
    </row>
    <row r="1812" spans="1:26" x14ac:dyDescent="0.2">
      <c r="A1812" s="21"/>
      <c r="B1812" s="20"/>
      <c r="C1812" s="22"/>
      <c r="D1812" s="22"/>
      <c r="E1812" s="24"/>
      <c r="F1812" s="22"/>
      <c r="H1812" s="21">
        <v>45986</v>
      </c>
      <c r="I1812" s="22" t="s">
        <v>71</v>
      </c>
      <c r="J1812" s="22" t="s">
        <v>58</v>
      </c>
      <c r="K1812" s="24">
        <v>4</v>
      </c>
      <c r="M1812" s="21">
        <v>46049</v>
      </c>
      <c r="N1812" s="22" t="s">
        <v>70</v>
      </c>
      <c r="O1812" s="22" t="s">
        <v>57</v>
      </c>
      <c r="P1812" s="49">
        <v>92</v>
      </c>
      <c r="Q1812" s="49">
        <v>91.3</v>
      </c>
      <c r="R1812" s="46">
        <f t="shared" si="60"/>
        <v>0.70000000000000284</v>
      </c>
      <c r="T1812" s="21">
        <v>46024</v>
      </c>
      <c r="U1812" s="22" t="s">
        <v>48</v>
      </c>
      <c r="V1812" s="24">
        <v>5</v>
      </c>
      <c r="W1812" s="24">
        <v>4</v>
      </c>
      <c r="X1812" s="24">
        <v>4</v>
      </c>
      <c r="Y1812" s="24">
        <v>5</v>
      </c>
      <c r="Z1812" s="20">
        <f t="shared" si="61"/>
        <v>18</v>
      </c>
    </row>
    <row r="1813" spans="1:26" x14ac:dyDescent="0.2">
      <c r="A1813" s="21"/>
      <c r="B1813" s="20"/>
      <c r="C1813" s="22"/>
      <c r="D1813" s="22"/>
      <c r="E1813" s="24"/>
      <c r="F1813" s="22"/>
      <c r="H1813" s="21">
        <v>45986</v>
      </c>
      <c r="I1813" s="22" t="s">
        <v>71</v>
      </c>
      <c r="J1813" s="22" t="s">
        <v>49</v>
      </c>
      <c r="K1813" s="24">
        <v>6</v>
      </c>
      <c r="M1813" s="21">
        <v>46049</v>
      </c>
      <c r="N1813" s="22" t="s">
        <v>71</v>
      </c>
      <c r="O1813" s="22" t="s">
        <v>57</v>
      </c>
      <c r="P1813" s="49">
        <v>92.4</v>
      </c>
      <c r="Q1813" s="49">
        <v>91.3</v>
      </c>
      <c r="R1813" s="46">
        <f t="shared" si="60"/>
        <v>1.1000000000000085</v>
      </c>
      <c r="T1813" s="21">
        <v>46024</v>
      </c>
      <c r="U1813" s="22" t="s">
        <v>49</v>
      </c>
      <c r="V1813" s="24">
        <v>4</v>
      </c>
      <c r="W1813" s="24">
        <v>4</v>
      </c>
      <c r="X1813" s="24">
        <v>4</v>
      </c>
      <c r="Y1813" s="24">
        <v>4</v>
      </c>
      <c r="Z1813" s="20">
        <f t="shared" si="61"/>
        <v>16</v>
      </c>
    </row>
    <row r="1814" spans="1:26" x14ac:dyDescent="0.2">
      <c r="A1814" s="21"/>
      <c r="B1814" s="20"/>
      <c r="C1814" s="22"/>
      <c r="D1814" s="22"/>
      <c r="E1814" s="24"/>
      <c r="F1814" s="22"/>
      <c r="H1814" s="21">
        <v>45986</v>
      </c>
      <c r="I1814" s="22" t="s">
        <v>71</v>
      </c>
      <c r="J1814" s="22" t="s">
        <v>50</v>
      </c>
      <c r="K1814" s="24" t="s">
        <v>61</v>
      </c>
      <c r="M1814" s="21">
        <v>46049</v>
      </c>
      <c r="N1814" s="22" t="s">
        <v>70</v>
      </c>
      <c r="O1814" s="22" t="s">
        <v>58</v>
      </c>
      <c r="P1814" s="49">
        <v>75.7</v>
      </c>
      <c r="Q1814" s="49">
        <v>75.7</v>
      </c>
      <c r="R1814" s="46">
        <f t="shared" si="60"/>
        <v>0</v>
      </c>
      <c r="T1814" s="21">
        <v>46024</v>
      </c>
      <c r="U1814" s="22" t="s">
        <v>50</v>
      </c>
      <c r="V1814" s="24">
        <v>4</v>
      </c>
      <c r="W1814" s="24">
        <v>4</v>
      </c>
      <c r="X1814" s="24">
        <v>4</v>
      </c>
      <c r="Y1814" s="24">
        <v>5</v>
      </c>
      <c r="Z1814" s="20">
        <f t="shared" si="61"/>
        <v>17</v>
      </c>
    </row>
    <row r="1815" spans="1:26" x14ac:dyDescent="0.2">
      <c r="A1815" s="21"/>
      <c r="B1815" s="20"/>
      <c r="C1815" s="22"/>
      <c r="D1815" s="22"/>
      <c r="E1815" s="24"/>
      <c r="F1815" s="22"/>
      <c r="H1815" s="21">
        <v>45986</v>
      </c>
      <c r="I1815" s="22" t="s">
        <v>71</v>
      </c>
      <c r="J1815" s="22" t="s">
        <v>51</v>
      </c>
      <c r="K1815" s="24">
        <v>6</v>
      </c>
      <c r="M1815" s="21">
        <v>46049</v>
      </c>
      <c r="N1815" s="22" t="s">
        <v>71</v>
      </c>
      <c r="O1815" s="22" t="s">
        <v>58</v>
      </c>
      <c r="P1815" s="49">
        <v>75.8</v>
      </c>
      <c r="Q1815" s="49">
        <v>75.400000000000006</v>
      </c>
      <c r="R1815" s="46">
        <f t="shared" si="60"/>
        <v>0.39999999999999147</v>
      </c>
      <c r="T1815" s="21">
        <v>46024</v>
      </c>
      <c r="U1815" s="22" t="s">
        <v>51</v>
      </c>
      <c r="V1815" s="24">
        <v>5</v>
      </c>
      <c r="W1815" s="24">
        <v>4</v>
      </c>
      <c r="X1815" s="24">
        <v>4</v>
      </c>
      <c r="Y1815" s="24">
        <v>5</v>
      </c>
      <c r="Z1815" s="20">
        <f t="shared" si="61"/>
        <v>18</v>
      </c>
    </row>
    <row r="1816" spans="1:26" x14ac:dyDescent="0.2">
      <c r="A1816" s="21"/>
      <c r="B1816" s="20"/>
      <c r="C1816" s="22"/>
      <c r="D1816" s="22"/>
      <c r="E1816" s="24"/>
      <c r="F1816" s="22"/>
      <c r="H1816" s="21">
        <v>45986</v>
      </c>
      <c r="I1816" s="22" t="s">
        <v>71</v>
      </c>
      <c r="J1816" s="22" t="s">
        <v>46</v>
      </c>
      <c r="K1816" s="24">
        <v>8</v>
      </c>
      <c r="M1816" s="21">
        <v>46050</v>
      </c>
      <c r="N1816" s="22" t="s">
        <v>70</v>
      </c>
      <c r="O1816" s="22" t="s">
        <v>41</v>
      </c>
      <c r="P1816" s="49">
        <v>76.8</v>
      </c>
      <c r="Q1816" s="49">
        <v>76.099999999999994</v>
      </c>
      <c r="R1816" s="46">
        <f t="shared" si="60"/>
        <v>0.70000000000000284</v>
      </c>
      <c r="T1816" s="21">
        <v>46024</v>
      </c>
      <c r="U1816" s="22" t="s">
        <v>52</v>
      </c>
      <c r="V1816" s="24">
        <v>5</v>
      </c>
      <c r="W1816" s="24">
        <v>5</v>
      </c>
      <c r="X1816" s="24">
        <v>5</v>
      </c>
      <c r="Y1816" s="24">
        <v>5</v>
      </c>
      <c r="Z1816" s="20">
        <f t="shared" si="61"/>
        <v>20</v>
      </c>
    </row>
    <row r="1817" spans="1:26" x14ac:dyDescent="0.2">
      <c r="A1817" s="21"/>
      <c r="B1817" s="20"/>
      <c r="C1817" s="22"/>
      <c r="D1817" s="22"/>
      <c r="E1817" s="24"/>
      <c r="F1817" s="22"/>
      <c r="H1817" s="21">
        <v>45986</v>
      </c>
      <c r="I1817" s="22" t="s">
        <v>71</v>
      </c>
      <c r="J1817" s="22" t="s">
        <v>48</v>
      </c>
      <c r="K1817" s="24">
        <v>5</v>
      </c>
      <c r="M1817" s="21">
        <v>46050</v>
      </c>
      <c r="N1817" s="22" t="s">
        <v>70</v>
      </c>
      <c r="O1817" s="22" t="s">
        <v>45</v>
      </c>
      <c r="P1817" s="49">
        <v>68.900000000000006</v>
      </c>
      <c r="Q1817" s="49">
        <v>68.7</v>
      </c>
      <c r="R1817" s="46">
        <f t="shared" si="60"/>
        <v>0.20000000000000284</v>
      </c>
      <c r="T1817" s="21">
        <v>46024</v>
      </c>
      <c r="U1817" s="22" t="s">
        <v>53</v>
      </c>
      <c r="V1817" s="24">
        <v>4</v>
      </c>
      <c r="W1817" s="24">
        <v>5</v>
      </c>
      <c r="X1817" s="24">
        <v>5</v>
      </c>
      <c r="Y1817" s="24">
        <v>5</v>
      </c>
      <c r="Z1817" s="20">
        <f t="shared" si="61"/>
        <v>19</v>
      </c>
    </row>
    <row r="1818" spans="1:26" x14ac:dyDescent="0.2">
      <c r="A1818" s="21"/>
      <c r="B1818" s="20"/>
      <c r="C1818" s="22"/>
      <c r="D1818" s="22"/>
      <c r="E1818" s="24"/>
      <c r="F1818" s="22"/>
      <c r="H1818" s="21">
        <v>45986</v>
      </c>
      <c r="I1818" s="22" t="s">
        <v>71</v>
      </c>
      <c r="J1818" s="22" t="s">
        <v>56</v>
      </c>
      <c r="K1818" s="24">
        <v>8</v>
      </c>
      <c r="M1818" s="21">
        <v>46050</v>
      </c>
      <c r="N1818" s="22" t="s">
        <v>70</v>
      </c>
      <c r="O1818" s="22" t="s">
        <v>46</v>
      </c>
      <c r="P1818" s="49">
        <v>80.5</v>
      </c>
      <c r="Q1818" s="49">
        <v>80.5</v>
      </c>
      <c r="R1818" s="46">
        <f t="shared" si="60"/>
        <v>0</v>
      </c>
      <c r="T1818" s="21">
        <v>46024</v>
      </c>
      <c r="U1818" s="22" t="s">
        <v>56</v>
      </c>
      <c r="V1818" s="24">
        <v>5</v>
      </c>
      <c r="W1818" s="24">
        <v>5</v>
      </c>
      <c r="X1818" s="24">
        <v>4</v>
      </c>
      <c r="Y1818" s="24">
        <v>5</v>
      </c>
      <c r="Z1818" s="20">
        <f t="shared" si="61"/>
        <v>19</v>
      </c>
    </row>
    <row r="1819" spans="1:26" x14ac:dyDescent="0.2">
      <c r="A1819" s="21"/>
      <c r="B1819" s="20"/>
      <c r="C1819" s="22"/>
      <c r="D1819" s="22"/>
      <c r="E1819" s="24"/>
      <c r="F1819" s="22"/>
      <c r="H1819" s="21">
        <v>45987</v>
      </c>
      <c r="I1819" s="22" t="s">
        <v>70</v>
      </c>
      <c r="J1819" s="22" t="s">
        <v>52</v>
      </c>
      <c r="K1819" s="24">
        <v>1</v>
      </c>
      <c r="M1819" s="21">
        <v>46050</v>
      </c>
      <c r="N1819" s="22" t="s">
        <v>70</v>
      </c>
      <c r="O1819" s="22" t="s">
        <v>49</v>
      </c>
      <c r="P1819" s="49">
        <v>79.2</v>
      </c>
      <c r="Q1819" s="49">
        <v>79.099999999999994</v>
      </c>
      <c r="R1819" s="46">
        <f t="shared" si="60"/>
        <v>0.10000000000000853</v>
      </c>
      <c r="T1819" s="21">
        <v>46024</v>
      </c>
      <c r="U1819" s="22" t="s">
        <v>57</v>
      </c>
      <c r="V1819" s="24">
        <v>5</v>
      </c>
      <c r="W1819" s="24">
        <v>5</v>
      </c>
      <c r="X1819" s="24">
        <v>4</v>
      </c>
      <c r="Y1819" s="24">
        <v>5</v>
      </c>
      <c r="Z1819" s="20">
        <f t="shared" si="61"/>
        <v>19</v>
      </c>
    </row>
    <row r="1820" spans="1:26" x14ac:dyDescent="0.2">
      <c r="A1820" s="21"/>
      <c r="B1820" s="20"/>
      <c r="C1820" s="22"/>
      <c r="D1820" s="22"/>
      <c r="E1820" s="24"/>
      <c r="F1820" s="22"/>
      <c r="H1820" s="21">
        <v>45987</v>
      </c>
      <c r="I1820" s="22" t="s">
        <v>70</v>
      </c>
      <c r="J1820" s="22" t="s">
        <v>53</v>
      </c>
      <c r="K1820" s="24" t="s">
        <v>61</v>
      </c>
      <c r="M1820" s="21">
        <v>46050</v>
      </c>
      <c r="N1820" s="22" t="s">
        <v>70</v>
      </c>
      <c r="O1820" s="22" t="s">
        <v>50</v>
      </c>
      <c r="P1820" s="49">
        <v>66.5</v>
      </c>
      <c r="Q1820" s="49">
        <v>66</v>
      </c>
      <c r="R1820" s="46">
        <f t="shared" si="60"/>
        <v>0.5</v>
      </c>
      <c r="T1820" s="21">
        <v>46024</v>
      </c>
      <c r="U1820" s="22" t="s">
        <v>58</v>
      </c>
      <c r="V1820" s="24">
        <v>4</v>
      </c>
      <c r="W1820" s="24">
        <v>5</v>
      </c>
      <c r="X1820" s="24">
        <v>5</v>
      </c>
      <c r="Y1820" s="24">
        <v>5</v>
      </c>
      <c r="Z1820" s="20">
        <f t="shared" si="61"/>
        <v>19</v>
      </c>
    </row>
    <row r="1821" spans="1:26" x14ac:dyDescent="0.2">
      <c r="A1821" s="21"/>
      <c r="B1821" s="20"/>
      <c r="C1821" s="22"/>
      <c r="D1821" s="22"/>
      <c r="E1821" s="24"/>
      <c r="F1821" s="22"/>
      <c r="H1821" s="21">
        <v>45987</v>
      </c>
      <c r="I1821" s="22" t="s">
        <v>70</v>
      </c>
      <c r="J1821" s="22" t="s">
        <v>44</v>
      </c>
      <c r="K1821" s="24">
        <v>1</v>
      </c>
      <c r="M1821" s="21">
        <v>46050</v>
      </c>
      <c r="N1821" s="22" t="s">
        <v>70</v>
      </c>
      <c r="O1821" s="22" t="s">
        <v>51</v>
      </c>
      <c r="P1821" s="49">
        <v>75.3</v>
      </c>
      <c r="Q1821" s="49">
        <v>75.2</v>
      </c>
      <c r="R1821" s="46">
        <f t="shared" si="60"/>
        <v>9.9999999999994316E-2</v>
      </c>
      <c r="T1821" s="21">
        <v>46024</v>
      </c>
      <c r="U1821" s="22" t="s">
        <v>33</v>
      </c>
      <c r="V1821" s="24">
        <v>4.3333333333333304</v>
      </c>
      <c r="W1821" s="24">
        <v>4.1333333333333302</v>
      </c>
      <c r="X1821" s="24">
        <v>4</v>
      </c>
      <c r="Y1821" s="24">
        <v>4.5999999999999996</v>
      </c>
      <c r="Z1821" s="20">
        <f t="shared" si="61"/>
        <v>17.066666666666663</v>
      </c>
    </row>
    <row r="1822" spans="1:26" x14ac:dyDescent="0.2">
      <c r="A1822" s="21"/>
      <c r="B1822" s="20"/>
      <c r="C1822" s="22"/>
      <c r="D1822" s="22"/>
      <c r="E1822" s="24"/>
      <c r="F1822" s="22"/>
      <c r="H1822" s="21">
        <v>45987</v>
      </c>
      <c r="I1822" s="22" t="s">
        <v>70</v>
      </c>
      <c r="J1822" s="22" t="s">
        <v>45</v>
      </c>
      <c r="K1822" s="24">
        <v>1</v>
      </c>
      <c r="M1822" s="21">
        <v>46050</v>
      </c>
      <c r="N1822" s="22" t="s">
        <v>70</v>
      </c>
      <c r="O1822" s="22" t="s">
        <v>52</v>
      </c>
      <c r="P1822" s="49">
        <v>71</v>
      </c>
      <c r="Q1822" s="49">
        <v>70.5</v>
      </c>
      <c r="R1822" s="46">
        <f t="shared" si="60"/>
        <v>0.5</v>
      </c>
      <c r="T1822" s="21">
        <v>46025</v>
      </c>
      <c r="U1822" s="22" t="s">
        <v>41</v>
      </c>
      <c r="V1822" s="24">
        <v>1</v>
      </c>
      <c r="W1822" s="24">
        <v>1</v>
      </c>
      <c r="X1822" s="24">
        <v>1</v>
      </c>
      <c r="Y1822" s="24">
        <v>1</v>
      </c>
      <c r="Z1822" s="20">
        <f t="shared" si="61"/>
        <v>4</v>
      </c>
    </row>
    <row r="1823" spans="1:26" x14ac:dyDescent="0.2">
      <c r="A1823" s="21"/>
      <c r="B1823" s="20"/>
      <c r="C1823" s="22"/>
      <c r="D1823" s="22"/>
      <c r="E1823" s="24"/>
      <c r="F1823" s="22"/>
      <c r="H1823" s="21">
        <v>45987</v>
      </c>
      <c r="I1823" s="22" t="s">
        <v>70</v>
      </c>
      <c r="J1823" s="22" t="s">
        <v>57</v>
      </c>
      <c r="K1823" s="24">
        <v>1</v>
      </c>
      <c r="M1823" s="21">
        <v>46050</v>
      </c>
      <c r="N1823" s="22" t="s">
        <v>70</v>
      </c>
      <c r="O1823" s="22" t="s">
        <v>53</v>
      </c>
      <c r="P1823" s="49">
        <v>68</v>
      </c>
      <c r="Q1823" s="49">
        <v>67.8</v>
      </c>
      <c r="R1823" s="46">
        <f t="shared" si="60"/>
        <v>0.20000000000000284</v>
      </c>
      <c r="T1823" s="21">
        <v>46025</v>
      </c>
      <c r="U1823" s="22" t="s">
        <v>42</v>
      </c>
      <c r="V1823" s="24">
        <v>4</v>
      </c>
      <c r="W1823" s="24">
        <v>4</v>
      </c>
      <c r="X1823" s="24">
        <v>4</v>
      </c>
      <c r="Y1823" s="24">
        <v>5</v>
      </c>
      <c r="Z1823" s="20">
        <f t="shared" si="61"/>
        <v>17</v>
      </c>
    </row>
    <row r="1824" spans="1:26" x14ac:dyDescent="0.2">
      <c r="A1824" s="21"/>
      <c r="B1824" s="20"/>
      <c r="C1824" s="22"/>
      <c r="D1824" s="22"/>
      <c r="E1824" s="24"/>
      <c r="F1824" s="22"/>
      <c r="H1824" s="21">
        <v>45987</v>
      </c>
      <c r="I1824" s="22" t="s">
        <v>70</v>
      </c>
      <c r="J1824" s="22" t="s">
        <v>42</v>
      </c>
      <c r="K1824" s="24">
        <v>1</v>
      </c>
      <c r="M1824" s="21">
        <v>46050</v>
      </c>
      <c r="N1824" s="22" t="s">
        <v>70</v>
      </c>
      <c r="O1824" s="22" t="s">
        <v>54</v>
      </c>
      <c r="P1824" s="49">
        <v>83.4</v>
      </c>
      <c r="Q1824" s="49">
        <v>83.2</v>
      </c>
      <c r="R1824" s="46">
        <f t="shared" si="60"/>
        <v>0.20000000000000284</v>
      </c>
      <c r="T1824" s="21">
        <v>46025</v>
      </c>
      <c r="U1824" s="22" t="s">
        <v>44</v>
      </c>
      <c r="V1824" s="24">
        <v>5</v>
      </c>
      <c r="W1824" s="24">
        <v>5</v>
      </c>
      <c r="X1824" s="24">
        <v>5</v>
      </c>
      <c r="Y1824" s="24">
        <v>5</v>
      </c>
      <c r="Z1824" s="20">
        <f t="shared" si="61"/>
        <v>20</v>
      </c>
    </row>
    <row r="1825" spans="1:26" x14ac:dyDescent="0.2">
      <c r="A1825" s="21"/>
      <c r="B1825" s="20"/>
      <c r="C1825" s="22"/>
      <c r="D1825" s="22"/>
      <c r="E1825" s="24"/>
      <c r="F1825" s="22"/>
      <c r="H1825" s="21">
        <v>45987</v>
      </c>
      <c r="I1825" s="22" t="s">
        <v>70</v>
      </c>
      <c r="J1825" s="22" t="s">
        <v>47</v>
      </c>
      <c r="K1825" s="24">
        <v>1</v>
      </c>
      <c r="M1825" s="21">
        <v>46050</v>
      </c>
      <c r="N1825" s="22" t="s">
        <v>70</v>
      </c>
      <c r="O1825" s="22" t="s">
        <v>57</v>
      </c>
      <c r="P1825" s="49">
        <v>91.6</v>
      </c>
      <c r="Q1825" s="49">
        <v>90.6</v>
      </c>
      <c r="R1825" s="46">
        <f t="shared" si="60"/>
        <v>1</v>
      </c>
      <c r="T1825" s="21">
        <v>46025</v>
      </c>
      <c r="U1825" s="22" t="s">
        <v>45</v>
      </c>
      <c r="V1825" s="24">
        <v>5</v>
      </c>
      <c r="W1825" s="24">
        <v>5</v>
      </c>
      <c r="X1825" s="24">
        <v>5</v>
      </c>
      <c r="Y1825" s="24">
        <v>5</v>
      </c>
      <c r="Z1825" s="20">
        <f t="shared" si="61"/>
        <v>20</v>
      </c>
    </row>
    <row r="1826" spans="1:26" x14ac:dyDescent="0.2">
      <c r="A1826" s="21"/>
      <c r="B1826" s="20"/>
      <c r="C1826" s="22"/>
      <c r="D1826" s="22"/>
      <c r="E1826" s="24"/>
      <c r="F1826" s="22"/>
      <c r="H1826" s="21">
        <v>45987</v>
      </c>
      <c r="I1826" s="22" t="s">
        <v>70</v>
      </c>
      <c r="J1826" s="22" t="s">
        <v>41</v>
      </c>
      <c r="K1826" s="24">
        <v>1</v>
      </c>
      <c r="M1826" s="21">
        <v>46050</v>
      </c>
      <c r="N1826" s="22" t="s">
        <v>70</v>
      </c>
      <c r="O1826" s="22" t="s">
        <v>58</v>
      </c>
      <c r="P1826" s="49">
        <v>75.599999999999994</v>
      </c>
      <c r="Q1826" s="49">
        <v>75.400000000000006</v>
      </c>
      <c r="R1826" s="46">
        <f t="shared" si="60"/>
        <v>0.19999999999998863</v>
      </c>
      <c r="T1826" s="21">
        <v>46025</v>
      </c>
      <c r="U1826" s="22" t="s">
        <v>46</v>
      </c>
      <c r="V1826" s="24">
        <v>5</v>
      </c>
      <c r="W1826" s="24">
        <v>5</v>
      </c>
      <c r="X1826" s="24">
        <v>5</v>
      </c>
      <c r="Y1826" s="24">
        <v>5</v>
      </c>
      <c r="Z1826" s="20">
        <f t="shared" si="61"/>
        <v>20</v>
      </c>
    </row>
    <row r="1827" spans="1:26" x14ac:dyDescent="0.2">
      <c r="A1827" s="21"/>
      <c r="B1827" s="20"/>
      <c r="C1827" s="22"/>
      <c r="D1827" s="22"/>
      <c r="E1827" s="24"/>
      <c r="F1827" s="22"/>
      <c r="H1827" s="21">
        <v>45987</v>
      </c>
      <c r="I1827" s="22" t="s">
        <v>70</v>
      </c>
      <c r="J1827" s="22" t="s">
        <v>58</v>
      </c>
      <c r="K1827" s="24">
        <v>1</v>
      </c>
      <c r="M1827" s="21">
        <v>46051</v>
      </c>
      <c r="N1827" s="22" t="s">
        <v>70</v>
      </c>
      <c r="O1827" s="22" t="s">
        <v>41</v>
      </c>
      <c r="P1827" s="49">
        <v>77</v>
      </c>
      <c r="Q1827" s="49">
        <v>77</v>
      </c>
      <c r="R1827" s="46">
        <f t="shared" si="60"/>
        <v>0</v>
      </c>
      <c r="T1827" s="21">
        <v>46025</v>
      </c>
      <c r="U1827" s="22" t="s">
        <v>47</v>
      </c>
      <c r="V1827" s="24">
        <v>5</v>
      </c>
      <c r="W1827" s="24">
        <v>4</v>
      </c>
      <c r="X1827" s="24">
        <v>4</v>
      </c>
      <c r="Y1827" s="24">
        <v>5</v>
      </c>
      <c r="Z1827" s="20">
        <f t="shared" si="61"/>
        <v>18</v>
      </c>
    </row>
    <row r="1828" spans="1:26" x14ac:dyDescent="0.2">
      <c r="A1828" s="21"/>
      <c r="B1828" s="20"/>
      <c r="C1828" s="22"/>
      <c r="D1828" s="22"/>
      <c r="E1828" s="24"/>
      <c r="F1828" s="22"/>
      <c r="H1828" s="21">
        <v>45987</v>
      </c>
      <c r="I1828" s="22" t="s">
        <v>70</v>
      </c>
      <c r="J1828" s="22" t="s">
        <v>49</v>
      </c>
      <c r="K1828" s="24">
        <v>1</v>
      </c>
      <c r="M1828" s="21">
        <v>46051</v>
      </c>
      <c r="N1828" s="22" t="s">
        <v>70</v>
      </c>
      <c r="O1828" s="22" t="s">
        <v>42</v>
      </c>
      <c r="P1828" s="49">
        <v>79.3</v>
      </c>
      <c r="Q1828" s="49">
        <v>79.2</v>
      </c>
      <c r="R1828" s="46">
        <f t="shared" si="60"/>
        <v>9.9999999999994316E-2</v>
      </c>
      <c r="T1828" s="21">
        <v>46025</v>
      </c>
      <c r="U1828" s="22" t="s">
        <v>48</v>
      </c>
      <c r="V1828" s="24">
        <v>5</v>
      </c>
      <c r="W1828" s="24">
        <v>5</v>
      </c>
      <c r="X1828" s="24">
        <v>5</v>
      </c>
      <c r="Y1828" s="24">
        <v>5</v>
      </c>
      <c r="Z1828" s="20">
        <f t="shared" si="61"/>
        <v>20</v>
      </c>
    </row>
    <row r="1829" spans="1:26" x14ac:dyDescent="0.2">
      <c r="A1829" s="21"/>
      <c r="B1829" s="20"/>
      <c r="C1829" s="22"/>
      <c r="D1829" s="22"/>
      <c r="E1829" s="24"/>
      <c r="F1829" s="22"/>
      <c r="H1829" s="21">
        <v>45987</v>
      </c>
      <c r="I1829" s="22" t="s">
        <v>70</v>
      </c>
      <c r="J1829" s="22" t="s">
        <v>50</v>
      </c>
      <c r="K1829" s="24" t="s">
        <v>61</v>
      </c>
      <c r="M1829" s="21">
        <v>46051</v>
      </c>
      <c r="N1829" s="22" t="s">
        <v>70</v>
      </c>
      <c r="O1829" s="22" t="s">
        <v>45</v>
      </c>
      <c r="P1829" s="49">
        <v>69</v>
      </c>
      <c r="Q1829" s="49">
        <v>69</v>
      </c>
      <c r="R1829" s="46">
        <f t="shared" si="60"/>
        <v>0</v>
      </c>
      <c r="T1829" s="21">
        <v>46025</v>
      </c>
      <c r="U1829" s="22" t="s">
        <v>49</v>
      </c>
      <c r="V1829" s="24">
        <v>5</v>
      </c>
      <c r="W1829" s="24">
        <v>5</v>
      </c>
      <c r="X1829" s="24">
        <v>5</v>
      </c>
      <c r="Y1829" s="24">
        <v>5</v>
      </c>
      <c r="Z1829" s="20">
        <f t="shared" si="61"/>
        <v>20</v>
      </c>
    </row>
    <row r="1830" spans="1:26" x14ac:dyDescent="0.2">
      <c r="A1830" s="21"/>
      <c r="B1830" s="20"/>
      <c r="C1830" s="22"/>
      <c r="D1830" s="22"/>
      <c r="E1830" s="24"/>
      <c r="F1830" s="22"/>
      <c r="H1830" s="21">
        <v>45987</v>
      </c>
      <c r="I1830" s="22" t="s">
        <v>70</v>
      </c>
      <c r="J1830" s="22" t="s">
        <v>51</v>
      </c>
      <c r="K1830" s="24">
        <v>1</v>
      </c>
      <c r="M1830" s="21">
        <v>46051</v>
      </c>
      <c r="N1830" s="22" t="s">
        <v>70</v>
      </c>
      <c r="O1830" s="22" t="s">
        <v>46</v>
      </c>
      <c r="P1830" s="49">
        <v>81</v>
      </c>
      <c r="Q1830" s="49">
        <v>81</v>
      </c>
      <c r="R1830" s="46">
        <f t="shared" si="60"/>
        <v>0</v>
      </c>
      <c r="T1830" s="21">
        <v>46025</v>
      </c>
      <c r="U1830" s="22" t="s">
        <v>50</v>
      </c>
      <c r="V1830" s="24">
        <v>5</v>
      </c>
      <c r="W1830" s="24">
        <v>4</v>
      </c>
      <c r="X1830" s="24">
        <v>5</v>
      </c>
      <c r="Y1830" s="24">
        <v>5</v>
      </c>
      <c r="Z1830" s="20">
        <f t="shared" si="61"/>
        <v>19</v>
      </c>
    </row>
    <row r="1831" spans="1:26" x14ac:dyDescent="0.2">
      <c r="A1831" s="21"/>
      <c r="B1831" s="20"/>
      <c r="C1831" s="22"/>
      <c r="D1831" s="22"/>
      <c r="E1831" s="24"/>
      <c r="F1831" s="22"/>
      <c r="H1831" s="21">
        <v>45987</v>
      </c>
      <c r="I1831" s="22" t="s">
        <v>70</v>
      </c>
      <c r="J1831" s="22" t="s">
        <v>46</v>
      </c>
      <c r="K1831" s="24">
        <v>1</v>
      </c>
      <c r="M1831" s="21">
        <v>46051</v>
      </c>
      <c r="N1831" s="22" t="s">
        <v>70</v>
      </c>
      <c r="O1831" s="22" t="s">
        <v>49</v>
      </c>
      <c r="P1831" s="49">
        <v>79.099999999999994</v>
      </c>
      <c r="Q1831" s="49">
        <v>79.099999999999994</v>
      </c>
      <c r="R1831" s="46">
        <f t="shared" si="60"/>
        <v>0</v>
      </c>
      <c r="T1831" s="21">
        <v>46025</v>
      </c>
      <c r="U1831" s="22" t="s">
        <v>51</v>
      </c>
      <c r="V1831" s="24">
        <v>5</v>
      </c>
      <c r="W1831" s="24">
        <v>5</v>
      </c>
      <c r="X1831" s="24">
        <v>5</v>
      </c>
      <c r="Y1831" s="24">
        <v>5</v>
      </c>
      <c r="Z1831" s="20">
        <f t="shared" si="61"/>
        <v>20</v>
      </c>
    </row>
    <row r="1832" spans="1:26" x14ac:dyDescent="0.2">
      <c r="A1832" s="21"/>
      <c r="B1832" s="20"/>
      <c r="C1832" s="22"/>
      <c r="D1832" s="22"/>
      <c r="E1832" s="24"/>
      <c r="F1832" s="22"/>
      <c r="H1832" s="21">
        <v>45987</v>
      </c>
      <c r="I1832" s="22" t="s">
        <v>70</v>
      </c>
      <c r="J1832" s="22" t="s">
        <v>48</v>
      </c>
      <c r="K1832" s="24">
        <v>1</v>
      </c>
      <c r="M1832" s="21">
        <v>46051</v>
      </c>
      <c r="N1832" s="22" t="s">
        <v>70</v>
      </c>
      <c r="O1832" s="22" t="s">
        <v>50</v>
      </c>
      <c r="P1832" s="49">
        <v>67.5</v>
      </c>
      <c r="Q1832" s="49">
        <v>66.5</v>
      </c>
      <c r="R1832" s="46">
        <f t="shared" si="60"/>
        <v>1</v>
      </c>
      <c r="T1832" s="21">
        <v>46025</v>
      </c>
      <c r="U1832" s="22" t="s">
        <v>52</v>
      </c>
      <c r="V1832" s="24">
        <v>5</v>
      </c>
      <c r="W1832" s="24">
        <v>5</v>
      </c>
      <c r="X1832" s="24">
        <v>5</v>
      </c>
      <c r="Y1832" s="24">
        <v>5</v>
      </c>
      <c r="Z1832" s="20">
        <f t="shared" si="61"/>
        <v>20</v>
      </c>
    </row>
    <row r="1833" spans="1:26" x14ac:dyDescent="0.2">
      <c r="A1833" s="21"/>
      <c r="B1833" s="20"/>
      <c r="C1833" s="22"/>
      <c r="D1833" s="22"/>
      <c r="E1833" s="24"/>
      <c r="F1833" s="22"/>
      <c r="H1833" s="21">
        <v>45987</v>
      </c>
      <c r="I1833" s="22" t="s">
        <v>70</v>
      </c>
      <c r="J1833" s="22" t="s">
        <v>56</v>
      </c>
      <c r="K1833" s="24">
        <v>1</v>
      </c>
      <c r="M1833" s="21">
        <v>46051</v>
      </c>
      <c r="N1833" s="22" t="s">
        <v>70</v>
      </c>
      <c r="O1833" s="22" t="s">
        <v>51</v>
      </c>
      <c r="P1833" s="49">
        <v>74.7</v>
      </c>
      <c r="Q1833" s="49">
        <v>74.5</v>
      </c>
      <c r="R1833" s="46">
        <f t="shared" si="60"/>
        <v>0.20000000000000284</v>
      </c>
      <c r="T1833" s="21">
        <v>46025</v>
      </c>
      <c r="U1833" s="22" t="s">
        <v>53</v>
      </c>
      <c r="V1833" s="24">
        <v>4</v>
      </c>
      <c r="W1833" s="24">
        <v>5</v>
      </c>
      <c r="X1833" s="24">
        <v>5</v>
      </c>
      <c r="Y1833" s="24">
        <v>5</v>
      </c>
      <c r="Z1833" s="20">
        <f t="shared" si="61"/>
        <v>19</v>
      </c>
    </row>
    <row r="1834" spans="1:26" x14ac:dyDescent="0.2">
      <c r="A1834" s="21"/>
      <c r="B1834" s="20"/>
      <c r="C1834" s="22"/>
      <c r="D1834" s="22"/>
      <c r="E1834" s="24"/>
      <c r="F1834" s="22"/>
      <c r="H1834" s="21">
        <v>45988</v>
      </c>
      <c r="I1834" s="22" t="s">
        <v>70</v>
      </c>
      <c r="J1834" s="22" t="s">
        <v>52</v>
      </c>
      <c r="K1834" s="24">
        <v>5</v>
      </c>
      <c r="M1834" s="21">
        <v>46051</v>
      </c>
      <c r="N1834" s="22" t="s">
        <v>70</v>
      </c>
      <c r="O1834" s="22" t="s">
        <v>52</v>
      </c>
      <c r="P1834" s="49">
        <v>72</v>
      </c>
      <c r="Q1834" s="49">
        <v>71.599999999999994</v>
      </c>
      <c r="R1834" s="46">
        <f t="shared" si="60"/>
        <v>0.40000000000000568</v>
      </c>
      <c r="T1834" s="21">
        <v>46025</v>
      </c>
      <c r="U1834" s="22" t="s">
        <v>56</v>
      </c>
      <c r="V1834" s="24">
        <v>5</v>
      </c>
      <c r="W1834" s="24">
        <v>5</v>
      </c>
      <c r="X1834" s="24">
        <v>5</v>
      </c>
      <c r="Y1834" s="24">
        <v>5</v>
      </c>
      <c r="Z1834" s="20">
        <f t="shared" si="61"/>
        <v>20</v>
      </c>
    </row>
    <row r="1835" spans="1:26" x14ac:dyDescent="0.2">
      <c r="A1835" s="21"/>
      <c r="B1835" s="20"/>
      <c r="C1835" s="22"/>
      <c r="D1835" s="22"/>
      <c r="E1835" s="24"/>
      <c r="F1835" s="22"/>
      <c r="H1835" s="21">
        <v>45988</v>
      </c>
      <c r="I1835" s="22" t="s">
        <v>70</v>
      </c>
      <c r="J1835" s="22" t="s">
        <v>53</v>
      </c>
      <c r="K1835" s="24">
        <v>4</v>
      </c>
      <c r="M1835" s="21">
        <v>46051</v>
      </c>
      <c r="N1835" s="22" t="s">
        <v>70</v>
      </c>
      <c r="O1835" s="22" t="s">
        <v>53</v>
      </c>
      <c r="P1835" s="49">
        <v>68.2</v>
      </c>
      <c r="Q1835" s="49">
        <v>67.5</v>
      </c>
      <c r="R1835" s="46">
        <f t="shared" si="60"/>
        <v>0.70000000000000284</v>
      </c>
      <c r="T1835" s="21">
        <v>46025</v>
      </c>
      <c r="U1835" s="22" t="s">
        <v>57</v>
      </c>
      <c r="V1835" s="24">
        <v>4</v>
      </c>
      <c r="W1835" s="24">
        <v>5</v>
      </c>
      <c r="X1835" s="24">
        <v>5</v>
      </c>
      <c r="Y1835" s="24">
        <v>5</v>
      </c>
      <c r="Z1835" s="20">
        <f t="shared" si="61"/>
        <v>19</v>
      </c>
    </row>
    <row r="1836" spans="1:26" x14ac:dyDescent="0.2">
      <c r="A1836" s="21"/>
      <c r="B1836" s="20"/>
      <c r="C1836" s="22"/>
      <c r="D1836" s="22"/>
      <c r="E1836" s="24"/>
      <c r="F1836" s="22"/>
      <c r="H1836" s="21">
        <v>45988</v>
      </c>
      <c r="I1836" s="22" t="s">
        <v>70</v>
      </c>
      <c r="J1836" s="22" t="s">
        <v>44</v>
      </c>
      <c r="K1836" s="24">
        <v>4</v>
      </c>
      <c r="M1836" s="21">
        <v>46051</v>
      </c>
      <c r="N1836" s="22" t="s">
        <v>70</v>
      </c>
      <c r="O1836" s="22" t="s">
        <v>54</v>
      </c>
      <c r="P1836" s="49">
        <v>83.2</v>
      </c>
      <c r="Q1836" s="49">
        <v>83.2</v>
      </c>
      <c r="R1836" s="46">
        <f t="shared" si="60"/>
        <v>0</v>
      </c>
      <c r="T1836" s="21">
        <v>46025</v>
      </c>
      <c r="U1836" s="22" t="s">
        <v>58</v>
      </c>
      <c r="V1836" s="24">
        <v>5</v>
      </c>
      <c r="W1836" s="24">
        <v>5</v>
      </c>
      <c r="X1836" s="24">
        <v>5</v>
      </c>
      <c r="Y1836" s="24">
        <v>5</v>
      </c>
      <c r="Z1836" s="20">
        <f t="shared" si="61"/>
        <v>20</v>
      </c>
    </row>
    <row r="1837" spans="1:26" x14ac:dyDescent="0.2">
      <c r="A1837" s="21"/>
      <c r="B1837" s="20"/>
      <c r="C1837" s="22"/>
      <c r="D1837" s="22"/>
      <c r="E1837" s="24"/>
      <c r="F1837" s="22"/>
      <c r="H1837" s="21">
        <v>45988</v>
      </c>
      <c r="I1837" s="22" t="s">
        <v>70</v>
      </c>
      <c r="J1837" s="22" t="s">
        <v>45</v>
      </c>
      <c r="K1837" s="24">
        <v>3</v>
      </c>
      <c r="M1837" s="21">
        <v>46051</v>
      </c>
      <c r="N1837" s="22" t="s">
        <v>70</v>
      </c>
      <c r="O1837" s="22" t="s">
        <v>57</v>
      </c>
      <c r="P1837" s="49">
        <v>92</v>
      </c>
      <c r="Q1837" s="49">
        <v>91.2</v>
      </c>
      <c r="R1837" s="46">
        <f t="shared" si="60"/>
        <v>0.79999999999999716</v>
      </c>
      <c r="T1837" s="21">
        <v>46025</v>
      </c>
      <c r="U1837" s="22" t="s">
        <v>33</v>
      </c>
      <c r="V1837" s="24">
        <v>4.5333333333333297</v>
      </c>
      <c r="W1837" s="24">
        <v>4.5333333333333297</v>
      </c>
      <c r="X1837" s="24">
        <v>4.5999999999999996</v>
      </c>
      <c r="Y1837" s="24">
        <v>4.7333333333333298</v>
      </c>
      <c r="Z1837" s="20">
        <f t="shared" si="61"/>
        <v>18.399999999999988</v>
      </c>
    </row>
    <row r="1838" spans="1:26" x14ac:dyDescent="0.2">
      <c r="A1838" s="21"/>
      <c r="B1838" s="20"/>
      <c r="C1838" s="22"/>
      <c r="D1838" s="22"/>
      <c r="E1838" s="24"/>
      <c r="F1838" s="22"/>
      <c r="H1838" s="21">
        <v>45988</v>
      </c>
      <c r="I1838" s="22" t="s">
        <v>70</v>
      </c>
      <c r="J1838" s="22" t="s">
        <v>57</v>
      </c>
      <c r="K1838" s="24">
        <v>5</v>
      </c>
      <c r="M1838" s="21">
        <v>46051</v>
      </c>
      <c r="N1838" s="22" t="s">
        <v>70</v>
      </c>
      <c r="O1838" s="22" t="s">
        <v>58</v>
      </c>
      <c r="P1838" s="49">
        <v>76.599999999999994</v>
      </c>
      <c r="Q1838" s="49">
        <v>76.599999999999994</v>
      </c>
      <c r="R1838" s="46">
        <f t="shared" si="60"/>
        <v>0</v>
      </c>
      <c r="T1838" s="21">
        <v>46027</v>
      </c>
      <c r="U1838" s="22" t="s">
        <v>41</v>
      </c>
      <c r="V1838" s="24">
        <v>1</v>
      </c>
      <c r="W1838" s="24">
        <v>1</v>
      </c>
      <c r="X1838" s="24">
        <v>1</v>
      </c>
      <c r="Y1838" s="24">
        <v>1</v>
      </c>
      <c r="Z1838" s="20">
        <f t="shared" si="61"/>
        <v>4</v>
      </c>
    </row>
    <row r="1839" spans="1:26" x14ac:dyDescent="0.2">
      <c r="A1839" s="21"/>
      <c r="B1839" s="20"/>
      <c r="C1839" s="22"/>
      <c r="D1839" s="22"/>
      <c r="E1839" s="24"/>
      <c r="F1839" s="22"/>
      <c r="H1839" s="21">
        <v>45988</v>
      </c>
      <c r="I1839" s="22" t="s">
        <v>70</v>
      </c>
      <c r="J1839" s="22" t="s">
        <v>42</v>
      </c>
      <c r="K1839" s="24">
        <v>2</v>
      </c>
      <c r="M1839" s="21">
        <v>46052</v>
      </c>
      <c r="N1839" s="22" t="s">
        <v>71</v>
      </c>
      <c r="O1839" s="22" t="s">
        <v>41</v>
      </c>
      <c r="P1839" s="49">
        <v>77</v>
      </c>
      <c r="Q1839" s="49">
        <v>76.099999999999994</v>
      </c>
      <c r="R1839" s="46">
        <f t="shared" si="60"/>
        <v>0.90000000000000568</v>
      </c>
      <c r="T1839" s="21">
        <v>46027</v>
      </c>
      <c r="U1839" s="22" t="s">
        <v>42</v>
      </c>
      <c r="V1839" s="24">
        <v>4</v>
      </c>
      <c r="W1839" s="24">
        <v>4</v>
      </c>
      <c r="X1839" s="24">
        <v>4</v>
      </c>
      <c r="Y1839" s="24">
        <v>5</v>
      </c>
      <c r="Z1839" s="20">
        <f t="shared" si="61"/>
        <v>17</v>
      </c>
    </row>
    <row r="1840" spans="1:26" x14ac:dyDescent="0.2">
      <c r="A1840" s="21"/>
      <c r="B1840" s="20"/>
      <c r="C1840" s="22"/>
      <c r="D1840" s="22"/>
      <c r="E1840" s="24"/>
      <c r="F1840" s="22"/>
      <c r="H1840" s="21">
        <v>45988</v>
      </c>
      <c r="I1840" s="22" t="s">
        <v>70</v>
      </c>
      <c r="J1840" s="22" t="s">
        <v>47</v>
      </c>
      <c r="K1840" s="24">
        <v>2</v>
      </c>
      <c r="M1840" s="21">
        <v>46052</v>
      </c>
      <c r="N1840" s="22" t="s">
        <v>71</v>
      </c>
      <c r="O1840" s="22" t="s">
        <v>42</v>
      </c>
      <c r="P1840" s="49">
        <v>79.2</v>
      </c>
      <c r="Q1840" s="49">
        <v>79.099999999999994</v>
      </c>
      <c r="R1840" s="46">
        <f t="shared" si="60"/>
        <v>0.10000000000000853</v>
      </c>
      <c r="T1840" s="21">
        <v>46027</v>
      </c>
      <c r="U1840" s="22" t="s">
        <v>44</v>
      </c>
      <c r="V1840" s="24">
        <v>3</v>
      </c>
      <c r="W1840" s="24">
        <v>3</v>
      </c>
      <c r="X1840" s="24">
        <v>4</v>
      </c>
      <c r="Y1840" s="24">
        <v>4</v>
      </c>
      <c r="Z1840" s="20">
        <f t="shared" si="61"/>
        <v>14</v>
      </c>
    </row>
    <row r="1841" spans="1:26" x14ac:dyDescent="0.2">
      <c r="A1841" s="21"/>
      <c r="B1841" s="20"/>
      <c r="C1841" s="22"/>
      <c r="D1841" s="22"/>
      <c r="E1841" s="24"/>
      <c r="F1841" s="22"/>
      <c r="H1841" s="21">
        <v>45988</v>
      </c>
      <c r="I1841" s="22" t="s">
        <v>70</v>
      </c>
      <c r="J1841" s="22" t="s">
        <v>41</v>
      </c>
      <c r="K1841" s="24">
        <v>1</v>
      </c>
      <c r="M1841" s="21">
        <v>46052</v>
      </c>
      <c r="N1841" s="22" t="s">
        <v>71</v>
      </c>
      <c r="O1841" s="22" t="s">
        <v>45</v>
      </c>
      <c r="P1841" s="49">
        <v>69</v>
      </c>
      <c r="Q1841" s="49">
        <v>69</v>
      </c>
      <c r="R1841" s="46">
        <f t="shared" si="60"/>
        <v>0</v>
      </c>
      <c r="T1841" s="21">
        <v>46027</v>
      </c>
      <c r="U1841" s="22" t="s">
        <v>45</v>
      </c>
      <c r="V1841" s="24">
        <v>5</v>
      </c>
      <c r="W1841" s="24">
        <v>4</v>
      </c>
      <c r="X1841" s="24">
        <v>3</v>
      </c>
      <c r="Y1841" s="24">
        <v>5</v>
      </c>
      <c r="Z1841" s="20">
        <f t="shared" si="61"/>
        <v>17</v>
      </c>
    </row>
    <row r="1842" spans="1:26" x14ac:dyDescent="0.2">
      <c r="A1842" s="21"/>
      <c r="B1842" s="20"/>
      <c r="C1842" s="22"/>
      <c r="D1842" s="22"/>
      <c r="E1842" s="24"/>
      <c r="F1842" s="22"/>
      <c r="H1842" s="21">
        <v>45988</v>
      </c>
      <c r="I1842" s="22" t="s">
        <v>70</v>
      </c>
      <c r="J1842" s="22" t="s">
        <v>58</v>
      </c>
      <c r="K1842" s="24">
        <v>4</v>
      </c>
      <c r="M1842" s="21">
        <v>46052</v>
      </c>
      <c r="N1842" s="22" t="s">
        <v>71</v>
      </c>
      <c r="O1842" s="22" t="s">
        <v>46</v>
      </c>
      <c r="P1842" s="49">
        <v>81.5</v>
      </c>
      <c r="Q1842" s="49">
        <v>81</v>
      </c>
      <c r="R1842" s="46">
        <f t="shared" si="60"/>
        <v>0.5</v>
      </c>
      <c r="T1842" s="21">
        <v>46027</v>
      </c>
      <c r="U1842" s="22" t="s">
        <v>46</v>
      </c>
      <c r="V1842" s="24">
        <v>4</v>
      </c>
      <c r="W1842" s="24">
        <v>4</v>
      </c>
      <c r="X1842" s="24">
        <v>4</v>
      </c>
      <c r="Y1842" s="24">
        <v>4</v>
      </c>
      <c r="Z1842" s="20">
        <f t="shared" si="61"/>
        <v>16</v>
      </c>
    </row>
    <row r="1843" spans="1:26" x14ac:dyDescent="0.2">
      <c r="A1843" s="21"/>
      <c r="B1843" s="20"/>
      <c r="C1843" s="22"/>
      <c r="D1843" s="22"/>
      <c r="E1843" s="24"/>
      <c r="F1843" s="22"/>
      <c r="H1843" s="21">
        <v>45988</v>
      </c>
      <c r="I1843" s="22" t="s">
        <v>70</v>
      </c>
      <c r="J1843" s="22" t="s">
        <v>49</v>
      </c>
      <c r="K1843" s="24">
        <v>2</v>
      </c>
      <c r="M1843" s="21">
        <v>46052</v>
      </c>
      <c r="N1843" s="22" t="s">
        <v>71</v>
      </c>
      <c r="O1843" s="22" t="s">
        <v>49</v>
      </c>
      <c r="P1843" s="49">
        <v>79.599999999999994</v>
      </c>
      <c r="Q1843" s="49">
        <v>79</v>
      </c>
      <c r="R1843" s="46">
        <f t="shared" si="60"/>
        <v>0.59999999999999432</v>
      </c>
      <c r="T1843" s="21">
        <v>46027</v>
      </c>
      <c r="U1843" s="22" t="s">
        <v>47</v>
      </c>
      <c r="V1843" s="24">
        <v>4</v>
      </c>
      <c r="W1843" s="24">
        <v>3</v>
      </c>
      <c r="X1843" s="24">
        <v>3</v>
      </c>
      <c r="Y1843" s="24">
        <v>5</v>
      </c>
      <c r="Z1843" s="20">
        <f t="shared" si="61"/>
        <v>15</v>
      </c>
    </row>
    <row r="1844" spans="1:26" x14ac:dyDescent="0.2">
      <c r="A1844" s="21"/>
      <c r="B1844" s="20"/>
      <c r="C1844" s="22"/>
      <c r="D1844" s="22"/>
      <c r="E1844" s="24"/>
      <c r="F1844" s="22"/>
      <c r="H1844" s="21">
        <v>45988</v>
      </c>
      <c r="I1844" s="22" t="s">
        <v>70</v>
      </c>
      <c r="J1844" s="22" t="s">
        <v>50</v>
      </c>
      <c r="K1844" s="24">
        <v>3</v>
      </c>
      <c r="M1844" s="21">
        <v>46052</v>
      </c>
      <c r="N1844" s="22" t="s">
        <v>71</v>
      </c>
      <c r="O1844" s="22" t="s">
        <v>50</v>
      </c>
      <c r="P1844" s="49">
        <v>69.8</v>
      </c>
      <c r="Q1844" s="49">
        <v>66.5</v>
      </c>
      <c r="R1844" s="46">
        <f t="shared" si="60"/>
        <v>3.2999999999999972</v>
      </c>
      <c r="T1844" s="21">
        <v>46027</v>
      </c>
      <c r="U1844" s="22" t="s">
        <v>48</v>
      </c>
      <c r="V1844" s="24">
        <v>3</v>
      </c>
      <c r="W1844" s="24">
        <v>3</v>
      </c>
      <c r="X1844" s="24">
        <v>3</v>
      </c>
      <c r="Y1844" s="24">
        <v>5</v>
      </c>
      <c r="Z1844" s="20">
        <f t="shared" si="61"/>
        <v>14</v>
      </c>
    </row>
    <row r="1845" spans="1:26" x14ac:dyDescent="0.2">
      <c r="A1845" s="21"/>
      <c r="B1845" s="20"/>
      <c r="C1845" s="22"/>
      <c r="D1845" s="22"/>
      <c r="E1845" s="24"/>
      <c r="F1845" s="22"/>
      <c r="H1845" s="21">
        <v>45988</v>
      </c>
      <c r="I1845" s="22" t="s">
        <v>70</v>
      </c>
      <c r="J1845" s="22" t="s">
        <v>51</v>
      </c>
      <c r="K1845" s="24">
        <v>2</v>
      </c>
      <c r="M1845" s="21">
        <v>46052</v>
      </c>
      <c r="N1845" s="22" t="s">
        <v>71</v>
      </c>
      <c r="O1845" s="22" t="s">
        <v>51</v>
      </c>
      <c r="P1845" s="49">
        <v>74.8</v>
      </c>
      <c r="Q1845" s="49">
        <v>74.8</v>
      </c>
      <c r="R1845" s="46">
        <f t="shared" si="60"/>
        <v>0</v>
      </c>
      <c r="T1845" s="21">
        <v>46027</v>
      </c>
      <c r="U1845" s="22" t="s">
        <v>49</v>
      </c>
      <c r="V1845" s="24">
        <v>3</v>
      </c>
      <c r="W1845" s="24">
        <v>3</v>
      </c>
      <c r="X1845" s="24">
        <v>3</v>
      </c>
      <c r="Y1845" s="24">
        <v>4</v>
      </c>
      <c r="Z1845" s="20">
        <f t="shared" si="61"/>
        <v>13</v>
      </c>
    </row>
    <row r="1846" spans="1:26" x14ac:dyDescent="0.2">
      <c r="A1846" s="21"/>
      <c r="B1846" s="20"/>
      <c r="C1846" s="22"/>
      <c r="D1846" s="22"/>
      <c r="E1846" s="24"/>
      <c r="F1846" s="22"/>
      <c r="H1846" s="21">
        <v>45988</v>
      </c>
      <c r="I1846" s="22" t="s">
        <v>70</v>
      </c>
      <c r="J1846" s="22" t="s">
        <v>46</v>
      </c>
      <c r="K1846" s="24">
        <v>2</v>
      </c>
      <c r="M1846" s="21">
        <v>46052</v>
      </c>
      <c r="N1846" s="22" t="s">
        <v>71</v>
      </c>
      <c r="O1846" s="22" t="s">
        <v>52</v>
      </c>
      <c r="P1846" s="49">
        <v>71.599999999999994</v>
      </c>
      <c r="Q1846" s="49">
        <v>71.099999999999994</v>
      </c>
      <c r="R1846" s="46">
        <f t="shared" si="60"/>
        <v>0.5</v>
      </c>
      <c r="T1846" s="21">
        <v>46027</v>
      </c>
      <c r="U1846" s="22" t="s">
        <v>50</v>
      </c>
      <c r="V1846" s="24">
        <v>2</v>
      </c>
      <c r="W1846" s="24">
        <v>3</v>
      </c>
      <c r="X1846" s="24">
        <v>3</v>
      </c>
      <c r="Y1846" s="24">
        <v>4</v>
      </c>
      <c r="Z1846" s="20">
        <f t="shared" si="61"/>
        <v>12</v>
      </c>
    </row>
    <row r="1847" spans="1:26" x14ac:dyDescent="0.2">
      <c r="A1847" s="21"/>
      <c r="B1847" s="20"/>
      <c r="C1847" s="22"/>
      <c r="D1847" s="22"/>
      <c r="E1847" s="24"/>
      <c r="F1847" s="22"/>
      <c r="H1847" s="21">
        <v>45988</v>
      </c>
      <c r="I1847" s="22" t="s">
        <v>70</v>
      </c>
      <c r="J1847" s="22" t="s">
        <v>48</v>
      </c>
      <c r="K1847" s="24">
        <v>2</v>
      </c>
      <c r="M1847" s="21">
        <v>46052</v>
      </c>
      <c r="N1847" s="22" t="s">
        <v>71</v>
      </c>
      <c r="O1847" s="22" t="s">
        <v>53</v>
      </c>
      <c r="P1847" s="49">
        <v>67.7</v>
      </c>
      <c r="Q1847" s="49">
        <v>67.400000000000006</v>
      </c>
      <c r="R1847" s="46">
        <f t="shared" si="60"/>
        <v>0.29999999999999716</v>
      </c>
      <c r="T1847" s="21">
        <v>46027</v>
      </c>
      <c r="U1847" s="22" t="s">
        <v>51</v>
      </c>
      <c r="V1847" s="24">
        <v>3</v>
      </c>
      <c r="W1847" s="24">
        <v>4</v>
      </c>
      <c r="X1847" s="24">
        <v>4</v>
      </c>
      <c r="Y1847" s="24">
        <v>4</v>
      </c>
      <c r="Z1847" s="20">
        <f t="shared" si="61"/>
        <v>15</v>
      </c>
    </row>
    <row r="1848" spans="1:26" x14ac:dyDescent="0.2">
      <c r="A1848" s="21"/>
      <c r="B1848" s="20"/>
      <c r="C1848" s="22"/>
      <c r="D1848" s="22"/>
      <c r="E1848" s="24"/>
      <c r="F1848" s="22"/>
      <c r="H1848" s="21">
        <v>45988</v>
      </c>
      <c r="I1848" s="22" t="s">
        <v>70</v>
      </c>
      <c r="J1848" s="22" t="s">
        <v>56</v>
      </c>
      <c r="K1848" s="24">
        <v>5</v>
      </c>
      <c r="M1848" s="21">
        <v>46052</v>
      </c>
      <c r="N1848" s="22" t="s">
        <v>71</v>
      </c>
      <c r="O1848" s="22" t="s">
        <v>54</v>
      </c>
      <c r="P1848" s="49">
        <v>83.3</v>
      </c>
      <c r="Q1848" s="49">
        <v>83.3</v>
      </c>
      <c r="R1848" s="46">
        <f t="shared" si="60"/>
        <v>0</v>
      </c>
      <c r="T1848" s="21">
        <v>46027</v>
      </c>
      <c r="U1848" s="22" t="s">
        <v>52</v>
      </c>
      <c r="V1848" s="24">
        <v>4</v>
      </c>
      <c r="W1848" s="24">
        <v>4</v>
      </c>
      <c r="X1848" s="24">
        <v>4</v>
      </c>
      <c r="Y1848" s="24">
        <v>4</v>
      </c>
      <c r="Z1848" s="20">
        <f t="shared" si="61"/>
        <v>16</v>
      </c>
    </row>
    <row r="1849" spans="1:26" x14ac:dyDescent="0.2">
      <c r="A1849" s="21"/>
      <c r="B1849" s="20"/>
      <c r="C1849" s="22"/>
      <c r="D1849" s="22"/>
      <c r="E1849" s="24"/>
      <c r="F1849" s="22"/>
      <c r="H1849" s="21">
        <v>45989</v>
      </c>
      <c r="I1849" s="22" t="s">
        <v>70</v>
      </c>
      <c r="J1849" s="22" t="s">
        <v>52</v>
      </c>
      <c r="K1849" s="24">
        <v>2</v>
      </c>
      <c r="M1849" s="21">
        <v>46052</v>
      </c>
      <c r="N1849" s="22" t="s">
        <v>71</v>
      </c>
      <c r="O1849" s="22" t="s">
        <v>57</v>
      </c>
      <c r="P1849" s="49">
        <v>91.7</v>
      </c>
      <c r="Q1849" s="49">
        <v>91.3</v>
      </c>
      <c r="R1849" s="46">
        <f t="shared" si="60"/>
        <v>0.40000000000000568</v>
      </c>
      <c r="T1849" s="21">
        <v>46027</v>
      </c>
      <c r="U1849" s="22" t="s">
        <v>53</v>
      </c>
      <c r="V1849" s="24">
        <v>4</v>
      </c>
      <c r="W1849" s="24">
        <v>4</v>
      </c>
      <c r="X1849" s="24">
        <v>4</v>
      </c>
      <c r="Y1849" s="24">
        <v>3</v>
      </c>
      <c r="Z1849" s="20">
        <f t="shared" si="61"/>
        <v>15</v>
      </c>
    </row>
    <row r="1850" spans="1:26" x14ac:dyDescent="0.2">
      <c r="A1850" s="21"/>
      <c r="B1850" s="20"/>
      <c r="C1850" s="22"/>
      <c r="D1850" s="22"/>
      <c r="E1850" s="24"/>
      <c r="F1850" s="22"/>
      <c r="H1850" s="21">
        <v>45989</v>
      </c>
      <c r="I1850" s="22" t="s">
        <v>70</v>
      </c>
      <c r="J1850" s="22" t="s">
        <v>53</v>
      </c>
      <c r="K1850" s="24" t="s">
        <v>61</v>
      </c>
      <c r="M1850" s="21">
        <v>46052</v>
      </c>
      <c r="N1850" s="22" t="s">
        <v>71</v>
      </c>
      <c r="O1850" s="22" t="s">
        <v>58</v>
      </c>
      <c r="P1850" s="49">
        <v>75.7</v>
      </c>
      <c r="Q1850" s="49">
        <v>75.400000000000006</v>
      </c>
      <c r="R1850" s="46">
        <f t="shared" si="60"/>
        <v>0.29999999999999716</v>
      </c>
      <c r="T1850" s="21">
        <v>46027</v>
      </c>
      <c r="U1850" s="22" t="s">
        <v>56</v>
      </c>
      <c r="V1850" s="24">
        <v>2</v>
      </c>
      <c r="W1850" s="24">
        <v>4</v>
      </c>
      <c r="X1850" s="24">
        <v>4</v>
      </c>
      <c r="Y1850" s="24">
        <v>2</v>
      </c>
      <c r="Z1850" s="20">
        <f t="shared" si="61"/>
        <v>12</v>
      </c>
    </row>
    <row r="1851" spans="1:26" x14ac:dyDescent="0.2">
      <c r="A1851" s="21"/>
      <c r="B1851" s="20"/>
      <c r="C1851" s="22"/>
      <c r="D1851" s="22"/>
      <c r="E1851" s="24"/>
      <c r="F1851" s="22"/>
      <c r="H1851" s="21">
        <v>45989</v>
      </c>
      <c r="I1851" s="22" t="s">
        <v>70</v>
      </c>
      <c r="J1851" s="22" t="s">
        <v>44</v>
      </c>
      <c r="K1851" s="24">
        <v>2</v>
      </c>
      <c r="M1851" s="21">
        <v>46055</v>
      </c>
      <c r="N1851" s="22" t="s">
        <v>70</v>
      </c>
      <c r="O1851" s="22" t="s">
        <v>41</v>
      </c>
      <c r="P1851" s="49">
        <v>77</v>
      </c>
      <c r="Q1851" s="49">
        <v>76.099999999999994</v>
      </c>
      <c r="R1851" s="46">
        <f t="shared" si="60"/>
        <v>0.90000000000000568</v>
      </c>
      <c r="T1851" s="21">
        <v>46027</v>
      </c>
      <c r="U1851" s="22" t="s">
        <v>57</v>
      </c>
      <c r="V1851" s="24">
        <v>4</v>
      </c>
      <c r="W1851" s="24">
        <v>5</v>
      </c>
      <c r="X1851" s="24">
        <v>4</v>
      </c>
      <c r="Y1851" s="24">
        <v>4</v>
      </c>
      <c r="Z1851" s="20">
        <f t="shared" si="61"/>
        <v>17</v>
      </c>
    </row>
    <row r="1852" spans="1:26" x14ac:dyDescent="0.2">
      <c r="A1852" s="21"/>
      <c r="B1852" s="20"/>
      <c r="C1852" s="22"/>
      <c r="D1852" s="22"/>
      <c r="E1852" s="24"/>
      <c r="F1852" s="22"/>
      <c r="H1852" s="21">
        <v>45989</v>
      </c>
      <c r="I1852" s="22" t="s">
        <v>70</v>
      </c>
      <c r="J1852" s="22" t="s">
        <v>45</v>
      </c>
      <c r="K1852" s="24">
        <v>2</v>
      </c>
      <c r="M1852" s="21">
        <v>46055</v>
      </c>
      <c r="N1852" s="22" t="s">
        <v>71</v>
      </c>
      <c r="O1852" s="22" t="s">
        <v>41</v>
      </c>
      <c r="P1852" s="49">
        <v>76.8</v>
      </c>
      <c r="Q1852" s="49">
        <v>76.099999999999994</v>
      </c>
      <c r="R1852" s="46">
        <f t="shared" si="60"/>
        <v>0.70000000000000284</v>
      </c>
      <c r="T1852" s="21">
        <v>46027</v>
      </c>
      <c r="U1852" s="22" t="s">
        <v>58</v>
      </c>
      <c r="V1852" s="24">
        <v>4</v>
      </c>
      <c r="W1852" s="24">
        <v>5</v>
      </c>
      <c r="X1852" s="24">
        <v>4</v>
      </c>
      <c r="Y1852" s="24">
        <v>4</v>
      </c>
      <c r="Z1852" s="20">
        <f t="shared" si="61"/>
        <v>17</v>
      </c>
    </row>
    <row r="1853" spans="1:26" x14ac:dyDescent="0.2">
      <c r="A1853" s="21"/>
      <c r="B1853" s="20"/>
      <c r="C1853" s="22"/>
      <c r="D1853" s="22"/>
      <c r="E1853" s="24"/>
      <c r="F1853" s="22"/>
      <c r="H1853" s="21">
        <v>45989</v>
      </c>
      <c r="I1853" s="22" t="s">
        <v>70</v>
      </c>
      <c r="J1853" s="22" t="s">
        <v>57</v>
      </c>
      <c r="K1853" s="24">
        <v>2</v>
      </c>
      <c r="M1853" s="21">
        <v>46055</v>
      </c>
      <c r="N1853" s="22" t="s">
        <v>70</v>
      </c>
      <c r="O1853" s="22" t="s">
        <v>42</v>
      </c>
      <c r="P1853" s="49">
        <v>79.3</v>
      </c>
      <c r="Q1853" s="49">
        <v>79.3</v>
      </c>
      <c r="R1853" s="46">
        <f t="shared" si="60"/>
        <v>0</v>
      </c>
      <c r="T1853" s="21">
        <v>46027</v>
      </c>
      <c r="U1853" s="22" t="s">
        <v>33</v>
      </c>
      <c r="V1853" s="24">
        <v>3.3333333333333299</v>
      </c>
      <c r="W1853" s="24">
        <v>3.6</v>
      </c>
      <c r="X1853" s="24">
        <v>3.4666666666666699</v>
      </c>
      <c r="Y1853" s="24">
        <v>3.8666666666666698</v>
      </c>
      <c r="Z1853" s="20">
        <f t="shared" si="61"/>
        <v>14.266666666666669</v>
      </c>
    </row>
    <row r="1854" spans="1:26" x14ac:dyDescent="0.2">
      <c r="A1854" s="21"/>
      <c r="B1854" s="20"/>
      <c r="C1854" s="22"/>
      <c r="D1854" s="22"/>
      <c r="E1854" s="24"/>
      <c r="F1854" s="22"/>
      <c r="H1854" s="21">
        <v>45989</v>
      </c>
      <c r="I1854" s="22" t="s">
        <v>70</v>
      </c>
      <c r="J1854" s="22" t="s">
        <v>42</v>
      </c>
      <c r="K1854" s="24">
        <v>2</v>
      </c>
      <c r="M1854" s="21">
        <v>46055</v>
      </c>
      <c r="N1854" s="22" t="s">
        <v>71</v>
      </c>
      <c r="O1854" s="22" t="s">
        <v>42</v>
      </c>
      <c r="P1854" s="49">
        <v>79.400000000000006</v>
      </c>
      <c r="Q1854" s="49">
        <v>79.2</v>
      </c>
      <c r="R1854" s="46">
        <f t="shared" si="60"/>
        <v>0.20000000000000284</v>
      </c>
      <c r="T1854" s="21">
        <v>46028</v>
      </c>
      <c r="U1854" s="22" t="s">
        <v>41</v>
      </c>
      <c r="V1854" s="24">
        <v>1</v>
      </c>
      <c r="W1854" s="24">
        <v>1</v>
      </c>
      <c r="X1854" s="24">
        <v>1</v>
      </c>
      <c r="Y1854" s="24">
        <v>1</v>
      </c>
      <c r="Z1854" s="20">
        <f t="shared" si="61"/>
        <v>4</v>
      </c>
    </row>
    <row r="1855" spans="1:26" x14ac:dyDescent="0.2">
      <c r="A1855" s="21"/>
      <c r="B1855" s="20"/>
      <c r="C1855" s="22"/>
      <c r="D1855" s="22"/>
      <c r="E1855" s="24"/>
      <c r="F1855" s="22"/>
      <c r="H1855" s="21">
        <v>45989</v>
      </c>
      <c r="I1855" s="22" t="s">
        <v>70</v>
      </c>
      <c r="J1855" s="22" t="s">
        <v>47</v>
      </c>
      <c r="K1855" s="24">
        <v>2</v>
      </c>
      <c r="M1855" s="21">
        <v>46055</v>
      </c>
      <c r="N1855" s="22" t="s">
        <v>70</v>
      </c>
      <c r="O1855" s="22" t="s">
        <v>45</v>
      </c>
      <c r="P1855" s="49">
        <v>69</v>
      </c>
      <c r="Q1855" s="49">
        <v>68.3</v>
      </c>
      <c r="R1855" s="46">
        <f t="shared" si="60"/>
        <v>0.70000000000000284</v>
      </c>
      <c r="T1855" s="21">
        <v>46028</v>
      </c>
      <c r="U1855" s="22" t="s">
        <v>42</v>
      </c>
      <c r="V1855" s="24">
        <v>4</v>
      </c>
      <c r="W1855" s="24">
        <v>4</v>
      </c>
      <c r="X1855" s="24">
        <v>4</v>
      </c>
      <c r="Y1855" s="24">
        <v>5</v>
      </c>
      <c r="Z1855" s="20">
        <f t="shared" si="61"/>
        <v>17</v>
      </c>
    </row>
    <row r="1856" spans="1:26" x14ac:dyDescent="0.2">
      <c r="A1856" s="21"/>
      <c r="B1856" s="20"/>
      <c r="C1856" s="22"/>
      <c r="D1856" s="22"/>
      <c r="E1856" s="24"/>
      <c r="F1856" s="22"/>
      <c r="H1856" s="21">
        <v>45989</v>
      </c>
      <c r="I1856" s="22" t="s">
        <v>70</v>
      </c>
      <c r="J1856" s="22" t="s">
        <v>41</v>
      </c>
      <c r="K1856" s="24">
        <v>2</v>
      </c>
      <c r="M1856" s="21">
        <v>46055</v>
      </c>
      <c r="N1856" s="22" t="s">
        <v>71</v>
      </c>
      <c r="O1856" s="22" t="s">
        <v>45</v>
      </c>
      <c r="P1856" s="49">
        <v>69.400000000000006</v>
      </c>
      <c r="Q1856" s="49">
        <v>68.7</v>
      </c>
      <c r="R1856" s="46">
        <f t="shared" si="60"/>
        <v>0.70000000000000284</v>
      </c>
      <c r="T1856" s="21">
        <v>46028</v>
      </c>
      <c r="U1856" s="22" t="s">
        <v>44</v>
      </c>
      <c r="V1856" s="24">
        <v>5</v>
      </c>
      <c r="W1856" s="24">
        <v>4</v>
      </c>
      <c r="X1856" s="24">
        <v>4</v>
      </c>
      <c r="Y1856" s="24">
        <v>4</v>
      </c>
      <c r="Z1856" s="20">
        <f t="shared" si="61"/>
        <v>17</v>
      </c>
    </row>
    <row r="1857" spans="1:26" x14ac:dyDescent="0.2">
      <c r="A1857" s="21"/>
      <c r="B1857" s="20"/>
      <c r="C1857" s="22"/>
      <c r="D1857" s="22"/>
      <c r="E1857" s="24"/>
      <c r="F1857" s="22"/>
      <c r="H1857" s="21">
        <v>45989</v>
      </c>
      <c r="I1857" s="22" t="s">
        <v>70</v>
      </c>
      <c r="J1857" s="22" t="s">
        <v>58</v>
      </c>
      <c r="K1857" s="24">
        <v>2</v>
      </c>
      <c r="M1857" s="21">
        <v>46055</v>
      </c>
      <c r="N1857" s="22" t="s">
        <v>70</v>
      </c>
      <c r="O1857" s="22" t="s">
        <v>46</v>
      </c>
      <c r="P1857" s="49">
        <v>80.400000000000006</v>
      </c>
      <c r="Q1857" s="49">
        <v>80.3</v>
      </c>
      <c r="R1857" s="46">
        <f t="shared" si="60"/>
        <v>0.10000000000000853</v>
      </c>
      <c r="T1857" s="21">
        <v>46028</v>
      </c>
      <c r="U1857" s="22" t="s">
        <v>45</v>
      </c>
      <c r="V1857" s="24">
        <v>4</v>
      </c>
      <c r="W1857" s="24">
        <v>4</v>
      </c>
      <c r="X1857" s="24">
        <v>3</v>
      </c>
      <c r="Y1857" s="24">
        <v>5</v>
      </c>
      <c r="Z1857" s="20">
        <f t="shared" si="61"/>
        <v>16</v>
      </c>
    </row>
    <row r="1858" spans="1:26" x14ac:dyDescent="0.2">
      <c r="A1858" s="21"/>
      <c r="B1858" s="20"/>
      <c r="C1858" s="22"/>
      <c r="D1858" s="22"/>
      <c r="E1858" s="24"/>
      <c r="F1858" s="22"/>
      <c r="H1858" s="21">
        <v>45989</v>
      </c>
      <c r="I1858" s="22" t="s">
        <v>70</v>
      </c>
      <c r="J1858" s="22" t="s">
        <v>49</v>
      </c>
      <c r="K1858" s="24">
        <v>2</v>
      </c>
      <c r="M1858" s="21">
        <v>46055</v>
      </c>
      <c r="N1858" s="22" t="s">
        <v>71</v>
      </c>
      <c r="O1858" s="22" t="s">
        <v>46</v>
      </c>
      <c r="P1858" s="49">
        <v>80.900000000000006</v>
      </c>
      <c r="Q1858" s="49">
        <v>81</v>
      </c>
      <c r="R1858" s="46">
        <f t="shared" si="60"/>
        <v>-9.9999999999994316E-2</v>
      </c>
      <c r="T1858" s="21">
        <v>46028</v>
      </c>
      <c r="U1858" s="22" t="s">
        <v>46</v>
      </c>
      <c r="V1858" s="24">
        <v>5</v>
      </c>
      <c r="W1858" s="24">
        <v>4</v>
      </c>
      <c r="X1858" s="24">
        <v>4</v>
      </c>
      <c r="Y1858" s="24">
        <v>4</v>
      </c>
      <c r="Z1858" s="20">
        <f t="shared" si="61"/>
        <v>17</v>
      </c>
    </row>
    <row r="1859" spans="1:26" x14ac:dyDescent="0.2">
      <c r="A1859" s="21"/>
      <c r="B1859" s="20"/>
      <c r="C1859" s="22"/>
      <c r="D1859" s="22"/>
      <c r="E1859" s="24"/>
      <c r="F1859" s="22"/>
      <c r="H1859" s="21">
        <v>45989</v>
      </c>
      <c r="I1859" s="22" t="s">
        <v>70</v>
      </c>
      <c r="J1859" s="22" t="s">
        <v>50</v>
      </c>
      <c r="K1859" s="24">
        <v>2</v>
      </c>
      <c r="M1859" s="21">
        <v>46055</v>
      </c>
      <c r="N1859" s="22" t="s">
        <v>70</v>
      </c>
      <c r="O1859" s="22" t="s">
        <v>49</v>
      </c>
      <c r="P1859" s="49">
        <v>77.7</v>
      </c>
      <c r="Q1859" s="49">
        <v>77.7</v>
      </c>
      <c r="R1859" s="46">
        <f t="shared" ref="R1859:R1922" si="62">IFERROR(P1859-Q1859,"")</f>
        <v>0</v>
      </c>
      <c r="T1859" s="21">
        <v>46028</v>
      </c>
      <c r="U1859" s="22" t="s">
        <v>47</v>
      </c>
      <c r="V1859" s="24">
        <v>5</v>
      </c>
      <c r="W1859" s="24">
        <v>4</v>
      </c>
      <c r="X1859" s="24">
        <v>4</v>
      </c>
      <c r="Y1859" s="24">
        <v>5</v>
      </c>
      <c r="Z1859" s="20">
        <f t="shared" ref="Z1859:Z1922" si="63">SUM(V1859:Y1859)</f>
        <v>18</v>
      </c>
    </row>
    <row r="1860" spans="1:26" x14ac:dyDescent="0.2">
      <c r="A1860" s="21"/>
      <c r="B1860" s="20"/>
      <c r="C1860" s="22"/>
      <c r="D1860" s="22"/>
      <c r="E1860" s="24"/>
      <c r="F1860" s="22"/>
      <c r="H1860" s="21">
        <v>45989</v>
      </c>
      <c r="I1860" s="22" t="s">
        <v>70</v>
      </c>
      <c r="J1860" s="22" t="s">
        <v>51</v>
      </c>
      <c r="K1860" s="24">
        <v>2</v>
      </c>
      <c r="M1860" s="21">
        <v>46055</v>
      </c>
      <c r="N1860" s="22" t="s">
        <v>71</v>
      </c>
      <c r="O1860" s="22" t="s">
        <v>49</v>
      </c>
      <c r="P1860" s="49">
        <v>78.400000000000006</v>
      </c>
      <c r="Q1860" s="49">
        <v>78</v>
      </c>
      <c r="R1860" s="46">
        <f t="shared" si="62"/>
        <v>0.40000000000000568</v>
      </c>
      <c r="T1860" s="21">
        <v>46028</v>
      </c>
      <c r="U1860" s="22" t="s">
        <v>48</v>
      </c>
      <c r="V1860" s="24">
        <v>5</v>
      </c>
      <c r="W1860" s="24">
        <v>4</v>
      </c>
      <c r="X1860" s="24">
        <v>3</v>
      </c>
      <c r="Y1860" s="24">
        <v>5</v>
      </c>
      <c r="Z1860" s="20">
        <f t="shared" si="63"/>
        <v>17</v>
      </c>
    </row>
    <row r="1861" spans="1:26" x14ac:dyDescent="0.2">
      <c r="A1861" s="21"/>
      <c r="B1861" s="20"/>
      <c r="C1861" s="22"/>
      <c r="D1861" s="22"/>
      <c r="E1861" s="24"/>
      <c r="F1861" s="22"/>
      <c r="H1861" s="21">
        <v>45989</v>
      </c>
      <c r="I1861" s="22" t="s">
        <v>70</v>
      </c>
      <c r="J1861" s="22" t="s">
        <v>46</v>
      </c>
      <c r="K1861" s="24">
        <v>2</v>
      </c>
      <c r="M1861" s="21">
        <v>46055</v>
      </c>
      <c r="N1861" s="22" t="s">
        <v>70</v>
      </c>
      <c r="O1861" s="22" t="s">
        <v>50</v>
      </c>
      <c r="P1861" s="49">
        <v>66.8</v>
      </c>
      <c r="Q1861" s="49">
        <v>66.599999999999994</v>
      </c>
      <c r="R1861" s="46">
        <f t="shared" si="62"/>
        <v>0.20000000000000284</v>
      </c>
      <c r="T1861" s="21">
        <v>46028</v>
      </c>
      <c r="U1861" s="22" t="s">
        <v>49</v>
      </c>
      <c r="V1861" s="24">
        <v>4</v>
      </c>
      <c r="W1861" s="24">
        <v>4</v>
      </c>
      <c r="X1861" s="24">
        <v>4</v>
      </c>
      <c r="Y1861" s="24">
        <v>4</v>
      </c>
      <c r="Z1861" s="20">
        <f t="shared" si="63"/>
        <v>16</v>
      </c>
    </row>
    <row r="1862" spans="1:26" x14ac:dyDescent="0.2">
      <c r="A1862" s="21"/>
      <c r="B1862" s="20"/>
      <c r="C1862" s="22"/>
      <c r="D1862" s="22"/>
      <c r="E1862" s="24"/>
      <c r="F1862" s="22"/>
      <c r="H1862" s="21">
        <v>45989</v>
      </c>
      <c r="I1862" s="22" t="s">
        <v>70</v>
      </c>
      <c r="J1862" s="22" t="s">
        <v>48</v>
      </c>
      <c r="K1862" s="24">
        <v>2</v>
      </c>
      <c r="M1862" s="21">
        <v>46055</v>
      </c>
      <c r="N1862" s="22" t="s">
        <v>71</v>
      </c>
      <c r="O1862" s="22" t="s">
        <v>50</v>
      </c>
      <c r="P1862" s="49">
        <v>67.2</v>
      </c>
      <c r="Q1862" s="49">
        <v>66.3</v>
      </c>
      <c r="R1862" s="46">
        <f t="shared" si="62"/>
        <v>0.90000000000000568</v>
      </c>
      <c r="T1862" s="21">
        <v>46028</v>
      </c>
      <c r="U1862" s="22" t="s">
        <v>50</v>
      </c>
      <c r="V1862" s="24">
        <v>5</v>
      </c>
      <c r="W1862" s="24">
        <v>4</v>
      </c>
      <c r="X1862" s="24">
        <v>3</v>
      </c>
      <c r="Y1862" s="24">
        <v>4</v>
      </c>
      <c r="Z1862" s="20">
        <f t="shared" si="63"/>
        <v>16</v>
      </c>
    </row>
    <row r="1863" spans="1:26" x14ac:dyDescent="0.2">
      <c r="A1863" s="21"/>
      <c r="B1863" s="20"/>
      <c r="C1863" s="22"/>
      <c r="D1863" s="22"/>
      <c r="E1863" s="24"/>
      <c r="F1863" s="22"/>
      <c r="H1863" s="21">
        <v>45989</v>
      </c>
      <c r="I1863" s="22" t="s">
        <v>70</v>
      </c>
      <c r="J1863" s="22" t="s">
        <v>56</v>
      </c>
      <c r="K1863" s="24">
        <v>2</v>
      </c>
      <c r="M1863" s="21">
        <v>46055</v>
      </c>
      <c r="N1863" s="22" t="s">
        <v>70</v>
      </c>
      <c r="O1863" s="22" t="s">
        <v>51</v>
      </c>
      <c r="P1863" s="49">
        <v>75</v>
      </c>
      <c r="Q1863" s="49">
        <v>75</v>
      </c>
      <c r="R1863" s="46">
        <f t="shared" si="62"/>
        <v>0</v>
      </c>
      <c r="T1863" s="21">
        <v>46028</v>
      </c>
      <c r="U1863" s="22" t="s">
        <v>51</v>
      </c>
      <c r="V1863" s="24">
        <v>5</v>
      </c>
      <c r="W1863" s="24">
        <v>4</v>
      </c>
      <c r="X1863" s="24">
        <v>4</v>
      </c>
      <c r="Y1863" s="24">
        <v>4</v>
      </c>
      <c r="Z1863" s="20">
        <f t="shared" si="63"/>
        <v>17</v>
      </c>
    </row>
    <row r="1864" spans="1:26" x14ac:dyDescent="0.2">
      <c r="A1864" s="21"/>
      <c r="B1864" s="20"/>
      <c r="C1864" s="22"/>
      <c r="D1864" s="22"/>
      <c r="E1864" s="24"/>
      <c r="F1864" s="22"/>
      <c r="H1864" s="21">
        <v>45989</v>
      </c>
      <c r="I1864" s="22" t="s">
        <v>71</v>
      </c>
      <c r="J1864" s="22" t="s">
        <v>52</v>
      </c>
      <c r="K1864" s="24">
        <v>6</v>
      </c>
      <c r="M1864" s="21">
        <v>46055</v>
      </c>
      <c r="N1864" s="22" t="s">
        <v>71</v>
      </c>
      <c r="O1864" s="22" t="s">
        <v>51</v>
      </c>
      <c r="P1864" s="49">
        <v>74.7</v>
      </c>
      <c r="Q1864" s="49">
        <v>74</v>
      </c>
      <c r="R1864" s="46">
        <f t="shared" si="62"/>
        <v>0.70000000000000284</v>
      </c>
      <c r="T1864" s="21">
        <v>46028</v>
      </c>
      <c r="U1864" s="22" t="s">
        <v>52</v>
      </c>
      <c r="V1864" s="24">
        <v>4</v>
      </c>
      <c r="W1864" s="24">
        <v>4</v>
      </c>
      <c r="X1864" s="24">
        <v>4</v>
      </c>
      <c r="Y1864" s="24">
        <v>4</v>
      </c>
      <c r="Z1864" s="20">
        <f t="shared" si="63"/>
        <v>16</v>
      </c>
    </row>
    <row r="1865" spans="1:26" x14ac:dyDescent="0.2">
      <c r="A1865" s="21"/>
      <c r="B1865" s="20"/>
      <c r="C1865" s="22"/>
      <c r="D1865" s="22"/>
      <c r="E1865" s="24"/>
      <c r="F1865" s="22"/>
      <c r="H1865" s="21">
        <v>45989</v>
      </c>
      <c r="I1865" s="22" t="s">
        <v>71</v>
      </c>
      <c r="J1865" s="22" t="s">
        <v>53</v>
      </c>
      <c r="K1865" s="24" t="s">
        <v>61</v>
      </c>
      <c r="M1865" s="21">
        <v>46055</v>
      </c>
      <c r="N1865" s="22" t="s">
        <v>70</v>
      </c>
      <c r="O1865" s="22" t="s">
        <v>52</v>
      </c>
      <c r="P1865" s="49">
        <v>71.8</v>
      </c>
      <c r="Q1865" s="49">
        <v>71.099999999999994</v>
      </c>
      <c r="R1865" s="46">
        <f t="shared" si="62"/>
        <v>0.70000000000000284</v>
      </c>
      <c r="T1865" s="21">
        <v>46028</v>
      </c>
      <c r="U1865" s="22" t="s">
        <v>53</v>
      </c>
      <c r="V1865" s="24">
        <v>4</v>
      </c>
      <c r="W1865" s="24">
        <v>4</v>
      </c>
      <c r="X1865" s="24">
        <v>4</v>
      </c>
      <c r="Y1865" s="24">
        <v>4</v>
      </c>
      <c r="Z1865" s="20">
        <f t="shared" si="63"/>
        <v>16</v>
      </c>
    </row>
    <row r="1866" spans="1:26" x14ac:dyDescent="0.2">
      <c r="A1866" s="21"/>
      <c r="B1866" s="20"/>
      <c r="C1866" s="22"/>
      <c r="D1866" s="22"/>
      <c r="E1866" s="24"/>
      <c r="F1866" s="22"/>
      <c r="H1866" s="21">
        <v>45989</v>
      </c>
      <c r="I1866" s="22" t="s">
        <v>71</v>
      </c>
      <c r="J1866" s="22" t="s">
        <v>44</v>
      </c>
      <c r="K1866" s="24">
        <v>7</v>
      </c>
      <c r="M1866" s="21">
        <v>46055</v>
      </c>
      <c r="N1866" s="22" t="s">
        <v>71</v>
      </c>
      <c r="O1866" s="22" t="s">
        <v>52</v>
      </c>
      <c r="P1866" s="49">
        <v>71.8</v>
      </c>
      <c r="Q1866" s="49">
        <v>70.900000000000006</v>
      </c>
      <c r="R1866" s="46">
        <f t="shared" si="62"/>
        <v>0.89999999999999147</v>
      </c>
      <c r="T1866" s="21">
        <v>46028</v>
      </c>
      <c r="U1866" s="22" t="s">
        <v>56</v>
      </c>
      <c r="V1866" s="24">
        <v>4</v>
      </c>
      <c r="W1866" s="24">
        <v>4</v>
      </c>
      <c r="X1866" s="24">
        <v>4</v>
      </c>
      <c r="Y1866" s="24">
        <v>2</v>
      </c>
      <c r="Z1866" s="20">
        <f t="shared" si="63"/>
        <v>14</v>
      </c>
    </row>
    <row r="1867" spans="1:26" x14ac:dyDescent="0.2">
      <c r="A1867" s="21"/>
      <c r="B1867" s="20"/>
      <c r="C1867" s="22"/>
      <c r="D1867" s="22"/>
      <c r="E1867" s="24"/>
      <c r="F1867" s="22"/>
      <c r="H1867" s="21">
        <v>45989</v>
      </c>
      <c r="I1867" s="22" t="s">
        <v>71</v>
      </c>
      <c r="J1867" s="22" t="s">
        <v>45</v>
      </c>
      <c r="K1867" s="24">
        <v>8</v>
      </c>
      <c r="M1867" s="21">
        <v>46055</v>
      </c>
      <c r="N1867" s="22" t="s">
        <v>70</v>
      </c>
      <c r="O1867" s="22" t="s">
        <v>53</v>
      </c>
      <c r="P1867" s="49">
        <v>68.3</v>
      </c>
      <c r="Q1867" s="49">
        <v>68</v>
      </c>
      <c r="R1867" s="46">
        <f t="shared" si="62"/>
        <v>0.29999999999999716</v>
      </c>
      <c r="T1867" s="21">
        <v>46028</v>
      </c>
      <c r="U1867" s="22" t="s">
        <v>57</v>
      </c>
      <c r="V1867" s="24">
        <v>4</v>
      </c>
      <c r="W1867" s="24">
        <v>4</v>
      </c>
      <c r="X1867" s="24">
        <v>4</v>
      </c>
      <c r="Y1867" s="24">
        <v>4</v>
      </c>
      <c r="Z1867" s="20">
        <f t="shared" si="63"/>
        <v>16</v>
      </c>
    </row>
    <row r="1868" spans="1:26" x14ac:dyDescent="0.2">
      <c r="A1868" s="21"/>
      <c r="B1868" s="20"/>
      <c r="C1868" s="22"/>
      <c r="D1868" s="22"/>
      <c r="E1868" s="24"/>
      <c r="F1868" s="22"/>
      <c r="H1868" s="21">
        <v>45989</v>
      </c>
      <c r="I1868" s="22" t="s">
        <v>71</v>
      </c>
      <c r="J1868" s="22" t="s">
        <v>57</v>
      </c>
      <c r="K1868" s="24" t="s">
        <v>63</v>
      </c>
      <c r="M1868" s="21">
        <v>46055</v>
      </c>
      <c r="N1868" s="22" t="s">
        <v>71</v>
      </c>
      <c r="O1868" s="22" t="s">
        <v>53</v>
      </c>
      <c r="P1868" s="49">
        <v>68.5</v>
      </c>
      <c r="Q1868" s="49">
        <v>67.7</v>
      </c>
      <c r="R1868" s="46">
        <f t="shared" si="62"/>
        <v>0.79999999999999716</v>
      </c>
      <c r="T1868" s="21">
        <v>46028</v>
      </c>
      <c r="U1868" s="22" t="s">
        <v>58</v>
      </c>
      <c r="V1868" s="24">
        <v>4</v>
      </c>
      <c r="W1868" s="24">
        <v>4</v>
      </c>
      <c r="X1868" s="24">
        <v>4</v>
      </c>
      <c r="Y1868" s="24">
        <v>4</v>
      </c>
      <c r="Z1868" s="20">
        <f t="shared" si="63"/>
        <v>16</v>
      </c>
    </row>
    <row r="1869" spans="1:26" x14ac:dyDescent="0.2">
      <c r="A1869" s="21"/>
      <c r="B1869" s="20"/>
      <c r="C1869" s="22"/>
      <c r="D1869" s="22"/>
      <c r="E1869" s="24"/>
      <c r="F1869" s="22"/>
      <c r="H1869" s="21">
        <v>45989</v>
      </c>
      <c r="I1869" s="22" t="s">
        <v>71</v>
      </c>
      <c r="J1869" s="22" t="s">
        <v>42</v>
      </c>
      <c r="K1869" s="24" t="s">
        <v>63</v>
      </c>
      <c r="M1869" s="21">
        <v>46055</v>
      </c>
      <c r="N1869" s="22" t="s">
        <v>70</v>
      </c>
      <c r="O1869" s="22" t="s">
        <v>54</v>
      </c>
      <c r="P1869" s="49">
        <v>83.2</v>
      </c>
      <c r="Q1869" s="49">
        <v>83</v>
      </c>
      <c r="R1869" s="46">
        <f t="shared" si="62"/>
        <v>0.20000000000000284</v>
      </c>
      <c r="T1869" s="21">
        <v>46028</v>
      </c>
      <c r="U1869" s="22" t="s">
        <v>33</v>
      </c>
      <c r="V1869" s="24">
        <v>4.2</v>
      </c>
      <c r="W1869" s="24">
        <v>3.8</v>
      </c>
      <c r="X1869" s="24">
        <v>3.6</v>
      </c>
      <c r="Y1869" s="24">
        <v>3.93333333333333</v>
      </c>
      <c r="Z1869" s="20">
        <f t="shared" si="63"/>
        <v>15.53333333333333</v>
      </c>
    </row>
    <row r="1870" spans="1:26" x14ac:dyDescent="0.2">
      <c r="A1870" s="21"/>
      <c r="B1870" s="20"/>
      <c r="C1870" s="22"/>
      <c r="D1870" s="22"/>
      <c r="E1870" s="24"/>
      <c r="F1870" s="22"/>
      <c r="H1870" s="21">
        <v>45989</v>
      </c>
      <c r="I1870" s="22" t="s">
        <v>71</v>
      </c>
      <c r="J1870" s="22" t="s">
        <v>47</v>
      </c>
      <c r="K1870" s="24">
        <v>9</v>
      </c>
      <c r="M1870" s="21">
        <v>46055</v>
      </c>
      <c r="N1870" s="22" t="s">
        <v>71</v>
      </c>
      <c r="O1870" s="22" t="s">
        <v>54</v>
      </c>
      <c r="P1870" s="49">
        <v>83.4</v>
      </c>
      <c r="Q1870" s="49">
        <v>83</v>
      </c>
      <c r="R1870" s="46">
        <f t="shared" si="62"/>
        <v>0.40000000000000568</v>
      </c>
      <c r="T1870" s="21">
        <v>46029</v>
      </c>
      <c r="U1870" s="22" t="s">
        <v>41</v>
      </c>
      <c r="V1870" s="24">
        <v>1</v>
      </c>
      <c r="W1870" s="24">
        <v>1</v>
      </c>
      <c r="X1870" s="24">
        <v>1</v>
      </c>
      <c r="Y1870" s="24">
        <v>1</v>
      </c>
      <c r="Z1870" s="20">
        <f t="shared" si="63"/>
        <v>4</v>
      </c>
    </row>
    <row r="1871" spans="1:26" x14ac:dyDescent="0.2">
      <c r="A1871" s="21"/>
      <c r="B1871" s="20"/>
      <c r="C1871" s="22"/>
      <c r="D1871" s="22"/>
      <c r="E1871" s="24"/>
      <c r="F1871" s="22"/>
      <c r="H1871" s="21">
        <v>45989</v>
      </c>
      <c r="I1871" s="22" t="s">
        <v>71</v>
      </c>
      <c r="J1871" s="22" t="s">
        <v>41</v>
      </c>
      <c r="K1871" s="24">
        <v>8</v>
      </c>
      <c r="M1871" s="21">
        <v>46055</v>
      </c>
      <c r="N1871" s="22" t="s">
        <v>70</v>
      </c>
      <c r="O1871" s="22" t="s">
        <v>56</v>
      </c>
      <c r="P1871" s="49">
        <v>74.099999999999994</v>
      </c>
      <c r="Q1871" s="49">
        <v>74.3</v>
      </c>
      <c r="R1871" s="46">
        <f t="shared" si="62"/>
        <v>-0.20000000000000284</v>
      </c>
      <c r="T1871" s="21">
        <v>46029</v>
      </c>
      <c r="U1871" s="22" t="s">
        <v>42</v>
      </c>
      <c r="V1871" s="24">
        <v>4</v>
      </c>
      <c r="W1871" s="24">
        <v>4</v>
      </c>
      <c r="X1871" s="24">
        <v>4</v>
      </c>
      <c r="Y1871" s="24">
        <v>5</v>
      </c>
      <c r="Z1871" s="20">
        <f t="shared" si="63"/>
        <v>17</v>
      </c>
    </row>
    <row r="1872" spans="1:26" x14ac:dyDescent="0.2">
      <c r="A1872" s="21"/>
      <c r="B1872" s="20"/>
      <c r="C1872" s="22"/>
      <c r="D1872" s="22"/>
      <c r="E1872" s="24"/>
      <c r="F1872" s="22"/>
      <c r="H1872" s="21">
        <v>45989</v>
      </c>
      <c r="I1872" s="22" t="s">
        <v>71</v>
      </c>
      <c r="J1872" s="22" t="s">
        <v>58</v>
      </c>
      <c r="K1872" s="24">
        <v>3</v>
      </c>
      <c r="M1872" s="21">
        <v>46055</v>
      </c>
      <c r="N1872" s="22" t="s">
        <v>71</v>
      </c>
      <c r="O1872" s="22" t="s">
        <v>56</v>
      </c>
      <c r="P1872" s="49">
        <v>74.5</v>
      </c>
      <c r="Q1872" s="49">
        <v>74</v>
      </c>
      <c r="R1872" s="46">
        <f t="shared" si="62"/>
        <v>0.5</v>
      </c>
      <c r="T1872" s="21">
        <v>46029</v>
      </c>
      <c r="U1872" s="22" t="s">
        <v>44</v>
      </c>
      <c r="V1872" s="24">
        <v>5</v>
      </c>
      <c r="W1872" s="24">
        <v>5</v>
      </c>
      <c r="X1872" s="24">
        <v>5</v>
      </c>
      <c r="Y1872" s="24">
        <v>5</v>
      </c>
      <c r="Z1872" s="20">
        <f t="shared" si="63"/>
        <v>20</v>
      </c>
    </row>
    <row r="1873" spans="1:26" x14ac:dyDescent="0.2">
      <c r="A1873" s="21"/>
      <c r="B1873" s="20"/>
      <c r="C1873" s="22"/>
      <c r="D1873" s="22"/>
      <c r="E1873" s="24"/>
      <c r="F1873" s="22"/>
      <c r="H1873" s="21">
        <v>45989</v>
      </c>
      <c r="I1873" s="22" t="s">
        <v>71</v>
      </c>
      <c r="J1873" s="22" t="s">
        <v>49</v>
      </c>
      <c r="K1873" s="24">
        <v>9</v>
      </c>
      <c r="M1873" s="21">
        <v>46055</v>
      </c>
      <c r="N1873" s="22" t="s">
        <v>70</v>
      </c>
      <c r="O1873" s="22" t="s">
        <v>57</v>
      </c>
      <c r="P1873" s="49">
        <v>90.4</v>
      </c>
      <c r="Q1873" s="49">
        <v>90</v>
      </c>
      <c r="R1873" s="46">
        <f t="shared" si="62"/>
        <v>0.40000000000000568</v>
      </c>
      <c r="T1873" s="21">
        <v>46029</v>
      </c>
      <c r="U1873" s="22" t="s">
        <v>45</v>
      </c>
      <c r="V1873" s="24">
        <v>4</v>
      </c>
      <c r="W1873" s="24">
        <v>5</v>
      </c>
      <c r="X1873" s="24">
        <v>4</v>
      </c>
      <c r="Y1873" s="24">
        <v>5</v>
      </c>
      <c r="Z1873" s="20">
        <f t="shared" si="63"/>
        <v>18</v>
      </c>
    </row>
    <row r="1874" spans="1:26" x14ac:dyDescent="0.2">
      <c r="A1874" s="21"/>
      <c r="B1874" s="20"/>
      <c r="C1874" s="22"/>
      <c r="D1874" s="22"/>
      <c r="E1874" s="24"/>
      <c r="F1874" s="22"/>
      <c r="H1874" s="21">
        <v>45989</v>
      </c>
      <c r="I1874" s="22" t="s">
        <v>71</v>
      </c>
      <c r="J1874" s="22" t="s">
        <v>50</v>
      </c>
      <c r="K1874" s="24">
        <v>1</v>
      </c>
      <c r="M1874" s="21">
        <v>46055</v>
      </c>
      <c r="N1874" s="22" t="s">
        <v>71</v>
      </c>
      <c r="O1874" s="22" t="s">
        <v>57</v>
      </c>
      <c r="P1874" s="49">
        <v>91</v>
      </c>
      <c r="Q1874" s="49">
        <v>90.1</v>
      </c>
      <c r="R1874" s="46">
        <f t="shared" si="62"/>
        <v>0.90000000000000568</v>
      </c>
      <c r="T1874" s="21">
        <v>46029</v>
      </c>
      <c r="U1874" s="22" t="s">
        <v>46</v>
      </c>
      <c r="V1874" s="24">
        <v>4</v>
      </c>
      <c r="W1874" s="24">
        <v>4</v>
      </c>
      <c r="X1874" s="24">
        <v>4</v>
      </c>
      <c r="Y1874" s="24">
        <v>4</v>
      </c>
      <c r="Z1874" s="20">
        <f t="shared" si="63"/>
        <v>16</v>
      </c>
    </row>
    <row r="1875" spans="1:26" x14ac:dyDescent="0.2">
      <c r="A1875" s="21"/>
      <c r="B1875" s="20"/>
      <c r="C1875" s="22"/>
      <c r="D1875" s="22"/>
      <c r="E1875" s="24"/>
      <c r="F1875" s="22"/>
      <c r="H1875" s="21">
        <v>45989</v>
      </c>
      <c r="I1875" s="22" t="s">
        <v>71</v>
      </c>
      <c r="J1875" s="22" t="s">
        <v>51</v>
      </c>
      <c r="K1875" s="24">
        <v>8</v>
      </c>
      <c r="M1875" s="21">
        <v>46055</v>
      </c>
      <c r="N1875" s="22" t="s">
        <v>70</v>
      </c>
      <c r="O1875" s="22" t="s">
        <v>58</v>
      </c>
      <c r="P1875" s="49">
        <v>76.7</v>
      </c>
      <c r="Q1875" s="49">
        <v>76</v>
      </c>
      <c r="R1875" s="46">
        <f t="shared" si="62"/>
        <v>0.70000000000000284</v>
      </c>
      <c r="T1875" s="21">
        <v>46029</v>
      </c>
      <c r="U1875" s="22" t="s">
        <v>47</v>
      </c>
      <c r="V1875" s="24">
        <v>5</v>
      </c>
      <c r="W1875" s="24">
        <v>5</v>
      </c>
      <c r="X1875" s="24">
        <v>4</v>
      </c>
      <c r="Y1875" s="24">
        <v>5</v>
      </c>
      <c r="Z1875" s="20">
        <f t="shared" si="63"/>
        <v>19</v>
      </c>
    </row>
    <row r="1876" spans="1:26" x14ac:dyDescent="0.2">
      <c r="A1876" s="21"/>
      <c r="B1876" s="20"/>
      <c r="C1876" s="22"/>
      <c r="D1876" s="22"/>
      <c r="E1876" s="24"/>
      <c r="F1876" s="22"/>
      <c r="H1876" s="21">
        <v>45989</v>
      </c>
      <c r="I1876" s="22" t="s">
        <v>71</v>
      </c>
      <c r="J1876" s="22" t="s">
        <v>46</v>
      </c>
      <c r="K1876" s="24">
        <v>9</v>
      </c>
      <c r="M1876" s="21">
        <v>46055</v>
      </c>
      <c r="N1876" s="22" t="s">
        <v>71</v>
      </c>
      <c r="O1876" s="22" t="s">
        <v>58</v>
      </c>
      <c r="P1876" s="49">
        <v>76</v>
      </c>
      <c r="Q1876" s="49">
        <v>76</v>
      </c>
      <c r="R1876" s="46">
        <f t="shared" si="62"/>
        <v>0</v>
      </c>
      <c r="T1876" s="21">
        <v>46029</v>
      </c>
      <c r="U1876" s="22" t="s">
        <v>48</v>
      </c>
      <c r="V1876" s="24">
        <v>5</v>
      </c>
      <c r="W1876" s="24">
        <v>4</v>
      </c>
      <c r="X1876" s="24">
        <v>4</v>
      </c>
      <c r="Y1876" s="24">
        <v>5</v>
      </c>
      <c r="Z1876" s="20">
        <f t="shared" si="63"/>
        <v>18</v>
      </c>
    </row>
    <row r="1877" spans="1:26" x14ac:dyDescent="0.2">
      <c r="A1877" s="21"/>
      <c r="B1877" s="20"/>
      <c r="C1877" s="22"/>
      <c r="D1877" s="22"/>
      <c r="E1877" s="24"/>
      <c r="F1877" s="22"/>
      <c r="H1877" s="21">
        <v>45989</v>
      </c>
      <c r="I1877" s="22" t="s">
        <v>71</v>
      </c>
      <c r="J1877" s="22" t="s">
        <v>48</v>
      </c>
      <c r="K1877" s="24">
        <v>9</v>
      </c>
      <c r="M1877" s="21">
        <v>46056</v>
      </c>
      <c r="N1877" s="22" t="s">
        <v>71</v>
      </c>
      <c r="O1877" s="22" t="s">
        <v>41</v>
      </c>
      <c r="P1877" s="49">
        <v>77</v>
      </c>
      <c r="Q1877" s="49">
        <v>76</v>
      </c>
      <c r="R1877" s="46">
        <f t="shared" si="62"/>
        <v>1</v>
      </c>
      <c r="T1877" s="21">
        <v>46029</v>
      </c>
      <c r="U1877" s="22" t="s">
        <v>49</v>
      </c>
      <c r="V1877" s="24">
        <v>4</v>
      </c>
      <c r="W1877" s="24">
        <v>4</v>
      </c>
      <c r="X1877" s="24">
        <v>4</v>
      </c>
      <c r="Y1877" s="24">
        <v>4</v>
      </c>
      <c r="Z1877" s="20">
        <f t="shared" si="63"/>
        <v>16</v>
      </c>
    </row>
    <row r="1878" spans="1:26" x14ac:dyDescent="0.2">
      <c r="A1878" s="21"/>
      <c r="B1878" s="20"/>
      <c r="C1878" s="22"/>
      <c r="D1878" s="22"/>
      <c r="E1878" s="24"/>
      <c r="F1878" s="22"/>
      <c r="H1878" s="21">
        <v>45989</v>
      </c>
      <c r="I1878" s="22" t="s">
        <v>71</v>
      </c>
      <c r="J1878" s="22" t="s">
        <v>56</v>
      </c>
      <c r="K1878" s="24">
        <v>2</v>
      </c>
      <c r="M1878" s="21">
        <v>46056</v>
      </c>
      <c r="N1878" s="22" t="s">
        <v>71</v>
      </c>
      <c r="O1878" s="22" t="s">
        <v>42</v>
      </c>
      <c r="P1878" s="49">
        <v>79.3</v>
      </c>
      <c r="Q1878" s="49">
        <v>79.3</v>
      </c>
      <c r="R1878" s="46">
        <f t="shared" si="62"/>
        <v>0</v>
      </c>
      <c r="T1878" s="21">
        <v>46029</v>
      </c>
      <c r="U1878" s="22" t="s">
        <v>50</v>
      </c>
      <c r="V1878" s="24">
        <v>4</v>
      </c>
      <c r="W1878" s="24">
        <v>4</v>
      </c>
      <c r="X1878" s="24">
        <v>4</v>
      </c>
      <c r="Y1878" s="24">
        <v>5</v>
      </c>
      <c r="Z1878" s="20">
        <f t="shared" si="63"/>
        <v>17</v>
      </c>
    </row>
    <row r="1879" spans="1:26" x14ac:dyDescent="0.2">
      <c r="A1879" s="21"/>
      <c r="B1879" s="20"/>
      <c r="C1879" s="22"/>
      <c r="D1879" s="22"/>
      <c r="E1879" s="24"/>
      <c r="F1879" s="22"/>
      <c r="H1879" s="21">
        <v>45992</v>
      </c>
      <c r="I1879" s="22" t="s">
        <v>70</v>
      </c>
      <c r="J1879" s="22" t="s">
        <v>52</v>
      </c>
      <c r="K1879" s="24">
        <v>3</v>
      </c>
      <c r="M1879" s="21">
        <v>46056</v>
      </c>
      <c r="N1879" s="22" t="s">
        <v>71</v>
      </c>
      <c r="O1879" s="22" t="s">
        <v>45</v>
      </c>
      <c r="P1879" s="49">
        <v>69</v>
      </c>
      <c r="Q1879" s="49">
        <v>68.400000000000006</v>
      </c>
      <c r="R1879" s="46">
        <f t="shared" si="62"/>
        <v>0.59999999999999432</v>
      </c>
      <c r="T1879" s="21">
        <v>46029</v>
      </c>
      <c r="U1879" s="22" t="s">
        <v>51</v>
      </c>
      <c r="V1879" s="24">
        <v>4</v>
      </c>
      <c r="W1879" s="24">
        <v>5</v>
      </c>
      <c r="X1879" s="24">
        <v>5</v>
      </c>
      <c r="Y1879" s="24">
        <v>5</v>
      </c>
      <c r="Z1879" s="20">
        <f t="shared" si="63"/>
        <v>19</v>
      </c>
    </row>
    <row r="1880" spans="1:26" x14ac:dyDescent="0.2">
      <c r="A1880" s="21"/>
      <c r="B1880" s="20"/>
      <c r="C1880" s="22"/>
      <c r="D1880" s="22"/>
      <c r="E1880" s="24"/>
      <c r="F1880" s="22"/>
      <c r="H1880" s="21">
        <v>45992</v>
      </c>
      <c r="I1880" s="22" t="s">
        <v>70</v>
      </c>
      <c r="J1880" s="22" t="s">
        <v>53</v>
      </c>
      <c r="K1880" s="24">
        <v>3</v>
      </c>
      <c r="M1880" s="21">
        <v>46056</v>
      </c>
      <c r="N1880" s="22" t="s">
        <v>71</v>
      </c>
      <c r="O1880" s="22" t="s">
        <v>46</v>
      </c>
      <c r="P1880" s="49">
        <v>81.3</v>
      </c>
      <c r="Q1880" s="49">
        <v>81.3</v>
      </c>
      <c r="R1880" s="46">
        <f t="shared" si="62"/>
        <v>0</v>
      </c>
      <c r="T1880" s="21">
        <v>46029</v>
      </c>
      <c r="U1880" s="22" t="s">
        <v>52</v>
      </c>
      <c r="V1880" s="24">
        <v>5</v>
      </c>
      <c r="W1880" s="24">
        <v>5</v>
      </c>
      <c r="X1880" s="24">
        <v>5</v>
      </c>
      <c r="Y1880" s="24">
        <v>5</v>
      </c>
      <c r="Z1880" s="20">
        <f t="shared" si="63"/>
        <v>20</v>
      </c>
    </row>
    <row r="1881" spans="1:26" x14ac:dyDescent="0.2">
      <c r="A1881" s="21"/>
      <c r="B1881" s="20"/>
      <c r="C1881" s="22"/>
      <c r="D1881" s="22"/>
      <c r="E1881" s="24"/>
      <c r="F1881" s="22"/>
      <c r="H1881" s="21">
        <v>45992</v>
      </c>
      <c r="I1881" s="22" t="s">
        <v>70</v>
      </c>
      <c r="J1881" s="22" t="s">
        <v>44</v>
      </c>
      <c r="K1881" s="24">
        <v>3</v>
      </c>
      <c r="M1881" s="21">
        <v>46056</v>
      </c>
      <c r="N1881" s="22" t="s">
        <v>71</v>
      </c>
      <c r="O1881" s="22" t="s">
        <v>49</v>
      </c>
      <c r="P1881" s="49">
        <v>78.599999999999994</v>
      </c>
      <c r="Q1881" s="49">
        <v>78.5</v>
      </c>
      <c r="R1881" s="46">
        <f t="shared" si="62"/>
        <v>9.9999999999994316E-2</v>
      </c>
      <c r="T1881" s="21">
        <v>46029</v>
      </c>
      <c r="U1881" s="22" t="s">
        <v>53</v>
      </c>
      <c r="V1881" s="24">
        <v>5</v>
      </c>
      <c r="W1881" s="24">
        <v>5</v>
      </c>
      <c r="X1881" s="24">
        <v>5</v>
      </c>
      <c r="Y1881" s="24">
        <v>4</v>
      </c>
      <c r="Z1881" s="20">
        <f t="shared" si="63"/>
        <v>19</v>
      </c>
    </row>
    <row r="1882" spans="1:26" x14ac:dyDescent="0.2">
      <c r="A1882" s="21"/>
      <c r="B1882" s="20"/>
      <c r="C1882" s="22"/>
      <c r="D1882" s="22"/>
      <c r="E1882" s="24"/>
      <c r="F1882" s="22"/>
      <c r="H1882" s="21">
        <v>45992</v>
      </c>
      <c r="I1882" s="22" t="s">
        <v>70</v>
      </c>
      <c r="J1882" s="22" t="s">
        <v>45</v>
      </c>
      <c r="K1882" s="24">
        <v>3</v>
      </c>
      <c r="M1882" s="21">
        <v>46056</v>
      </c>
      <c r="N1882" s="22" t="s">
        <v>71</v>
      </c>
      <c r="O1882" s="22" t="s">
        <v>50</v>
      </c>
      <c r="P1882" s="49">
        <v>66.8</v>
      </c>
      <c r="Q1882" s="49">
        <v>65.900000000000006</v>
      </c>
      <c r="R1882" s="46">
        <f t="shared" si="62"/>
        <v>0.89999999999999147</v>
      </c>
      <c r="T1882" s="21">
        <v>46029</v>
      </c>
      <c r="U1882" s="22" t="s">
        <v>57</v>
      </c>
      <c r="V1882" s="24">
        <v>4</v>
      </c>
      <c r="W1882" s="24">
        <v>5</v>
      </c>
      <c r="X1882" s="24">
        <v>5</v>
      </c>
      <c r="Y1882" s="24">
        <v>5</v>
      </c>
      <c r="Z1882" s="20">
        <f t="shared" si="63"/>
        <v>19</v>
      </c>
    </row>
    <row r="1883" spans="1:26" x14ac:dyDescent="0.2">
      <c r="A1883" s="21"/>
      <c r="B1883" s="20"/>
      <c r="C1883" s="22"/>
      <c r="D1883" s="22"/>
      <c r="E1883" s="24"/>
      <c r="F1883" s="22"/>
      <c r="H1883" s="21">
        <v>45992</v>
      </c>
      <c r="I1883" s="22" t="s">
        <v>70</v>
      </c>
      <c r="J1883" s="22" t="s">
        <v>57</v>
      </c>
      <c r="K1883" s="24">
        <v>3</v>
      </c>
      <c r="M1883" s="21">
        <v>46056</v>
      </c>
      <c r="N1883" s="22" t="s">
        <v>71</v>
      </c>
      <c r="O1883" s="22" t="s">
        <v>51</v>
      </c>
      <c r="P1883" s="49">
        <v>74.7</v>
      </c>
      <c r="Q1883" s="49">
        <v>75</v>
      </c>
      <c r="R1883" s="46">
        <f t="shared" si="62"/>
        <v>-0.29999999999999716</v>
      </c>
      <c r="T1883" s="21">
        <v>46029</v>
      </c>
      <c r="U1883" s="22" t="s">
        <v>58</v>
      </c>
      <c r="V1883" s="24">
        <v>5</v>
      </c>
      <c r="W1883" s="24">
        <v>5</v>
      </c>
      <c r="X1883" s="24">
        <v>5</v>
      </c>
      <c r="Y1883" s="24">
        <v>5</v>
      </c>
      <c r="Z1883" s="20">
        <f t="shared" si="63"/>
        <v>20</v>
      </c>
    </row>
    <row r="1884" spans="1:26" x14ac:dyDescent="0.2">
      <c r="A1884" s="21"/>
      <c r="B1884" s="20"/>
      <c r="C1884" s="22"/>
      <c r="D1884" s="22"/>
      <c r="E1884" s="24"/>
      <c r="F1884" s="22"/>
      <c r="H1884" s="21">
        <v>45992</v>
      </c>
      <c r="I1884" s="22" t="s">
        <v>70</v>
      </c>
      <c r="J1884" s="22" t="s">
        <v>42</v>
      </c>
      <c r="K1884" s="24">
        <v>3</v>
      </c>
      <c r="M1884" s="21">
        <v>46056</v>
      </c>
      <c r="N1884" s="22" t="s">
        <v>71</v>
      </c>
      <c r="O1884" s="22" t="s">
        <v>52</v>
      </c>
      <c r="P1884" s="49">
        <v>71.5</v>
      </c>
      <c r="Q1884" s="49">
        <v>71.400000000000006</v>
      </c>
      <c r="R1884" s="46">
        <f t="shared" si="62"/>
        <v>9.9999999999994316E-2</v>
      </c>
      <c r="T1884" s="21">
        <v>46029</v>
      </c>
      <c r="U1884" s="22" t="s">
        <v>33</v>
      </c>
      <c r="V1884" s="24">
        <v>4.21428571428571</v>
      </c>
      <c r="W1884" s="24">
        <v>4.3571428571428603</v>
      </c>
      <c r="X1884" s="24">
        <v>4.21428571428571</v>
      </c>
      <c r="Y1884" s="24">
        <v>4.5</v>
      </c>
      <c r="Z1884" s="20">
        <f t="shared" si="63"/>
        <v>17.285714285714278</v>
      </c>
    </row>
    <row r="1885" spans="1:26" x14ac:dyDescent="0.2">
      <c r="A1885" s="21"/>
      <c r="B1885" s="20"/>
      <c r="C1885" s="22"/>
      <c r="D1885" s="22"/>
      <c r="E1885" s="24"/>
      <c r="F1885" s="22"/>
      <c r="H1885" s="21">
        <v>45992</v>
      </c>
      <c r="I1885" s="22" t="s">
        <v>70</v>
      </c>
      <c r="J1885" s="22" t="s">
        <v>47</v>
      </c>
      <c r="K1885" s="24">
        <v>3</v>
      </c>
      <c r="M1885" s="21">
        <v>46056</v>
      </c>
      <c r="N1885" s="22" t="s">
        <v>71</v>
      </c>
      <c r="O1885" s="22" t="s">
        <v>53</v>
      </c>
      <c r="P1885" s="49">
        <v>68.3</v>
      </c>
      <c r="Q1885" s="49">
        <v>67.7</v>
      </c>
      <c r="R1885" s="46">
        <f t="shared" si="62"/>
        <v>0.59999999999999432</v>
      </c>
      <c r="T1885" s="21">
        <v>46030</v>
      </c>
      <c r="U1885" s="22" t="s">
        <v>41</v>
      </c>
      <c r="V1885" s="24">
        <v>1</v>
      </c>
      <c r="W1885" s="24">
        <v>1</v>
      </c>
      <c r="X1885" s="24">
        <v>1</v>
      </c>
      <c r="Y1885" s="24">
        <v>1</v>
      </c>
      <c r="Z1885" s="20">
        <f t="shared" si="63"/>
        <v>4</v>
      </c>
    </row>
    <row r="1886" spans="1:26" x14ac:dyDescent="0.2">
      <c r="A1886" s="21"/>
      <c r="B1886" s="20"/>
      <c r="C1886" s="22"/>
      <c r="D1886" s="22"/>
      <c r="E1886" s="24"/>
      <c r="F1886" s="22"/>
      <c r="H1886" s="21">
        <v>45992</v>
      </c>
      <c r="I1886" s="22" t="s">
        <v>70</v>
      </c>
      <c r="J1886" s="22" t="s">
        <v>41</v>
      </c>
      <c r="K1886" s="24">
        <v>3</v>
      </c>
      <c r="M1886" s="21">
        <v>46056</v>
      </c>
      <c r="N1886" s="22" t="s">
        <v>71</v>
      </c>
      <c r="O1886" s="22" t="s">
        <v>54</v>
      </c>
      <c r="P1886" s="49">
        <v>83.1</v>
      </c>
      <c r="Q1886" s="49">
        <v>83.2</v>
      </c>
      <c r="R1886" s="46">
        <f t="shared" si="62"/>
        <v>-0.10000000000000853</v>
      </c>
      <c r="T1886" s="21">
        <v>46030</v>
      </c>
      <c r="U1886" s="22" t="s">
        <v>42</v>
      </c>
      <c r="V1886" s="24">
        <v>4</v>
      </c>
      <c r="W1886" s="24">
        <v>4</v>
      </c>
      <c r="X1886" s="24">
        <v>5</v>
      </c>
      <c r="Y1886" s="24">
        <v>5</v>
      </c>
      <c r="Z1886" s="20">
        <f t="shared" si="63"/>
        <v>18</v>
      </c>
    </row>
    <row r="1887" spans="1:26" x14ac:dyDescent="0.2">
      <c r="A1887" s="21"/>
      <c r="B1887" s="20"/>
      <c r="C1887" s="22"/>
      <c r="D1887" s="22"/>
      <c r="E1887" s="24"/>
      <c r="F1887" s="22"/>
      <c r="H1887" s="21">
        <v>45992</v>
      </c>
      <c r="I1887" s="22" t="s">
        <v>70</v>
      </c>
      <c r="J1887" s="22" t="s">
        <v>58</v>
      </c>
      <c r="K1887" s="24" t="s">
        <v>60</v>
      </c>
      <c r="M1887" s="21">
        <v>46056</v>
      </c>
      <c r="N1887" s="22" t="s">
        <v>71</v>
      </c>
      <c r="O1887" s="22" t="s">
        <v>56</v>
      </c>
      <c r="P1887" s="49">
        <v>75.2</v>
      </c>
      <c r="Q1887" s="49">
        <v>75.3</v>
      </c>
      <c r="R1887" s="46">
        <f t="shared" si="62"/>
        <v>-9.9999999999994316E-2</v>
      </c>
      <c r="T1887" s="21">
        <v>46030</v>
      </c>
      <c r="U1887" s="22" t="s">
        <v>44</v>
      </c>
      <c r="V1887" s="24">
        <v>3</v>
      </c>
      <c r="W1887" s="24">
        <v>4</v>
      </c>
      <c r="X1887" s="24">
        <v>4</v>
      </c>
      <c r="Y1887" s="24">
        <v>4</v>
      </c>
      <c r="Z1887" s="20">
        <f t="shared" si="63"/>
        <v>15</v>
      </c>
    </row>
    <row r="1888" spans="1:26" x14ac:dyDescent="0.2">
      <c r="A1888" s="21"/>
      <c r="B1888" s="20"/>
      <c r="C1888" s="22"/>
      <c r="D1888" s="22"/>
      <c r="E1888" s="24"/>
      <c r="F1888" s="22"/>
      <c r="H1888" s="21">
        <v>45992</v>
      </c>
      <c r="I1888" s="22" t="s">
        <v>70</v>
      </c>
      <c r="J1888" s="22" t="s">
        <v>49</v>
      </c>
      <c r="K1888" s="24">
        <v>3</v>
      </c>
      <c r="M1888" s="21">
        <v>46056</v>
      </c>
      <c r="N1888" s="22" t="s">
        <v>71</v>
      </c>
      <c r="O1888" s="22" t="s">
        <v>57</v>
      </c>
      <c r="P1888" s="49">
        <v>91.8</v>
      </c>
      <c r="Q1888" s="49">
        <v>90.7</v>
      </c>
      <c r="R1888" s="46">
        <f t="shared" si="62"/>
        <v>1.0999999999999943</v>
      </c>
      <c r="T1888" s="21">
        <v>46030</v>
      </c>
      <c r="U1888" s="22" t="s">
        <v>45</v>
      </c>
      <c r="V1888" s="24">
        <v>3</v>
      </c>
      <c r="W1888" s="24">
        <v>4</v>
      </c>
      <c r="X1888" s="24">
        <v>3</v>
      </c>
      <c r="Y1888" s="24">
        <v>5</v>
      </c>
      <c r="Z1888" s="20">
        <f t="shared" si="63"/>
        <v>15</v>
      </c>
    </row>
    <row r="1889" spans="1:26" x14ac:dyDescent="0.2">
      <c r="A1889" s="21"/>
      <c r="B1889" s="20"/>
      <c r="C1889" s="22"/>
      <c r="D1889" s="22"/>
      <c r="E1889" s="24"/>
      <c r="F1889" s="22"/>
      <c r="H1889" s="21">
        <v>45992</v>
      </c>
      <c r="I1889" s="22" t="s">
        <v>70</v>
      </c>
      <c r="J1889" s="22" t="s">
        <v>50</v>
      </c>
      <c r="K1889" s="24">
        <v>3</v>
      </c>
      <c r="M1889" s="21">
        <v>46056</v>
      </c>
      <c r="N1889" s="22" t="s">
        <v>71</v>
      </c>
      <c r="O1889" s="22" t="s">
        <v>58</v>
      </c>
      <c r="P1889" s="49">
        <v>76.3</v>
      </c>
      <c r="Q1889" s="49">
        <v>76.099999999999994</v>
      </c>
      <c r="R1889" s="46">
        <f t="shared" si="62"/>
        <v>0.20000000000000284</v>
      </c>
      <c r="T1889" s="21">
        <v>46030</v>
      </c>
      <c r="U1889" s="22" t="s">
        <v>46</v>
      </c>
      <c r="V1889" s="24">
        <v>4</v>
      </c>
      <c r="W1889" s="24">
        <v>4</v>
      </c>
      <c r="X1889" s="24">
        <v>4</v>
      </c>
      <c r="Y1889" s="24">
        <v>4</v>
      </c>
      <c r="Z1889" s="20">
        <f t="shared" si="63"/>
        <v>16</v>
      </c>
    </row>
    <row r="1890" spans="1:26" x14ac:dyDescent="0.2">
      <c r="A1890" s="21"/>
      <c r="B1890" s="20"/>
      <c r="C1890" s="22"/>
      <c r="D1890" s="22"/>
      <c r="E1890" s="24"/>
      <c r="F1890" s="22"/>
      <c r="H1890" s="21">
        <v>45992</v>
      </c>
      <c r="I1890" s="22" t="s">
        <v>70</v>
      </c>
      <c r="J1890" s="22" t="s">
        <v>51</v>
      </c>
      <c r="K1890" s="24">
        <v>3</v>
      </c>
      <c r="M1890" s="21">
        <v>46057</v>
      </c>
      <c r="N1890" s="22" t="s">
        <v>70</v>
      </c>
      <c r="O1890" s="22" t="s">
        <v>41</v>
      </c>
      <c r="P1890" s="49">
        <v>77</v>
      </c>
      <c r="Q1890" s="49">
        <v>76.8</v>
      </c>
      <c r="R1890" s="46">
        <f t="shared" si="62"/>
        <v>0.20000000000000284</v>
      </c>
      <c r="T1890" s="21">
        <v>46030</v>
      </c>
      <c r="U1890" s="22" t="s">
        <v>47</v>
      </c>
      <c r="V1890" s="24">
        <v>3</v>
      </c>
      <c r="W1890" s="24">
        <v>3</v>
      </c>
      <c r="X1890" s="24">
        <v>3</v>
      </c>
      <c r="Y1890" s="24">
        <v>4</v>
      </c>
      <c r="Z1890" s="20">
        <f t="shared" si="63"/>
        <v>13</v>
      </c>
    </row>
    <row r="1891" spans="1:26" x14ac:dyDescent="0.2">
      <c r="A1891" s="21"/>
      <c r="B1891" s="20"/>
      <c r="C1891" s="22"/>
      <c r="D1891" s="22"/>
      <c r="E1891" s="24"/>
      <c r="F1891" s="22"/>
      <c r="H1891" s="21">
        <v>45992</v>
      </c>
      <c r="I1891" s="22" t="s">
        <v>70</v>
      </c>
      <c r="J1891" s="22" t="s">
        <v>46</v>
      </c>
      <c r="K1891" s="24">
        <v>3</v>
      </c>
      <c r="M1891" s="21">
        <v>46057</v>
      </c>
      <c r="N1891" s="22" t="s">
        <v>70</v>
      </c>
      <c r="O1891" s="22" t="s">
        <v>42</v>
      </c>
      <c r="P1891" s="49">
        <v>79.400000000000006</v>
      </c>
      <c r="Q1891" s="49">
        <v>79.2</v>
      </c>
      <c r="R1891" s="46">
        <f t="shared" si="62"/>
        <v>0.20000000000000284</v>
      </c>
      <c r="T1891" s="21">
        <v>46030</v>
      </c>
      <c r="U1891" s="22" t="s">
        <v>48</v>
      </c>
      <c r="V1891" s="24">
        <v>4</v>
      </c>
      <c r="W1891" s="24">
        <v>3</v>
      </c>
      <c r="X1891" s="24">
        <v>4</v>
      </c>
      <c r="Y1891" s="24">
        <v>5</v>
      </c>
      <c r="Z1891" s="20">
        <f t="shared" si="63"/>
        <v>16</v>
      </c>
    </row>
    <row r="1892" spans="1:26" x14ac:dyDescent="0.2">
      <c r="A1892" s="21"/>
      <c r="B1892" s="20"/>
      <c r="C1892" s="22"/>
      <c r="D1892" s="22"/>
      <c r="E1892" s="24"/>
      <c r="F1892" s="22"/>
      <c r="H1892" s="21">
        <v>45992</v>
      </c>
      <c r="I1892" s="22" t="s">
        <v>70</v>
      </c>
      <c r="J1892" s="22" t="s">
        <v>48</v>
      </c>
      <c r="K1892" s="24">
        <v>3</v>
      </c>
      <c r="M1892" s="21">
        <v>46057</v>
      </c>
      <c r="N1892" s="22" t="s">
        <v>70</v>
      </c>
      <c r="O1892" s="22" t="s">
        <v>45</v>
      </c>
      <c r="P1892" s="49">
        <v>68.400000000000006</v>
      </c>
      <c r="Q1892" s="49">
        <v>68.5</v>
      </c>
      <c r="R1892" s="46">
        <f t="shared" si="62"/>
        <v>-9.9999999999994316E-2</v>
      </c>
      <c r="T1892" s="21">
        <v>46030</v>
      </c>
      <c r="U1892" s="22" t="s">
        <v>49</v>
      </c>
      <c r="V1892" s="24">
        <v>4</v>
      </c>
      <c r="W1892" s="24">
        <v>4</v>
      </c>
      <c r="X1892" s="24">
        <v>4</v>
      </c>
      <c r="Y1892" s="24">
        <v>4</v>
      </c>
      <c r="Z1892" s="20">
        <f t="shared" si="63"/>
        <v>16</v>
      </c>
    </row>
    <row r="1893" spans="1:26" x14ac:dyDescent="0.2">
      <c r="A1893" s="21"/>
      <c r="B1893" s="20"/>
      <c r="C1893" s="22"/>
      <c r="D1893" s="22"/>
      <c r="E1893" s="24"/>
      <c r="F1893" s="22"/>
      <c r="H1893" s="21">
        <v>45992</v>
      </c>
      <c r="I1893" s="22" t="s">
        <v>70</v>
      </c>
      <c r="J1893" s="22" t="s">
        <v>56</v>
      </c>
      <c r="K1893" s="24">
        <v>3</v>
      </c>
      <c r="M1893" s="21">
        <v>46057</v>
      </c>
      <c r="N1893" s="22" t="s">
        <v>70</v>
      </c>
      <c r="O1893" s="22" t="s">
        <v>46</v>
      </c>
      <c r="P1893" s="49">
        <v>80.400000000000006</v>
      </c>
      <c r="Q1893" s="49">
        <v>80.3</v>
      </c>
      <c r="R1893" s="46">
        <f t="shared" si="62"/>
        <v>0.10000000000000853</v>
      </c>
      <c r="T1893" s="21">
        <v>46030</v>
      </c>
      <c r="U1893" s="22" t="s">
        <v>50</v>
      </c>
      <c r="V1893" s="24">
        <v>3</v>
      </c>
      <c r="W1893" s="24">
        <v>3</v>
      </c>
      <c r="X1893" s="24">
        <v>3</v>
      </c>
      <c r="Y1893" s="24">
        <v>4</v>
      </c>
      <c r="Z1893" s="20">
        <f t="shared" si="63"/>
        <v>13</v>
      </c>
    </row>
    <row r="1894" spans="1:26" x14ac:dyDescent="0.2">
      <c r="A1894" s="21"/>
      <c r="B1894" s="20"/>
      <c r="C1894" s="22"/>
      <c r="D1894" s="22"/>
      <c r="E1894" s="24"/>
      <c r="F1894" s="22"/>
      <c r="H1894" s="21">
        <v>45992</v>
      </c>
      <c r="I1894" s="22" t="s">
        <v>71</v>
      </c>
      <c r="J1894" s="22" t="s">
        <v>52</v>
      </c>
      <c r="K1894" s="24" t="s">
        <v>61</v>
      </c>
      <c r="M1894" s="21">
        <v>46057</v>
      </c>
      <c r="N1894" s="22" t="s">
        <v>70</v>
      </c>
      <c r="O1894" s="22" t="s">
        <v>49</v>
      </c>
      <c r="P1894" s="49">
        <v>78.2</v>
      </c>
      <c r="Q1894" s="49">
        <v>78.2</v>
      </c>
      <c r="R1894" s="46">
        <f t="shared" si="62"/>
        <v>0</v>
      </c>
      <c r="T1894" s="21">
        <v>46030</v>
      </c>
      <c r="U1894" s="22" t="s">
        <v>51</v>
      </c>
      <c r="V1894" s="24">
        <v>3</v>
      </c>
      <c r="W1894" s="24">
        <v>4</v>
      </c>
      <c r="X1894" s="24">
        <v>4</v>
      </c>
      <c r="Y1894" s="24">
        <v>4</v>
      </c>
      <c r="Z1894" s="20">
        <f t="shared" si="63"/>
        <v>15</v>
      </c>
    </row>
    <row r="1895" spans="1:26" x14ac:dyDescent="0.2">
      <c r="A1895" s="21"/>
      <c r="B1895" s="20"/>
      <c r="C1895" s="22"/>
      <c r="D1895" s="22"/>
      <c r="E1895" s="24"/>
      <c r="F1895" s="22"/>
      <c r="H1895" s="21">
        <v>45992</v>
      </c>
      <c r="I1895" s="22" t="s">
        <v>71</v>
      </c>
      <c r="J1895" s="22" t="s">
        <v>53</v>
      </c>
      <c r="K1895" s="24">
        <v>7</v>
      </c>
      <c r="M1895" s="21">
        <v>46057</v>
      </c>
      <c r="N1895" s="22" t="s">
        <v>70</v>
      </c>
      <c r="O1895" s="22" t="s">
        <v>50</v>
      </c>
      <c r="P1895" s="49">
        <v>65.900000000000006</v>
      </c>
      <c r="Q1895" s="49">
        <v>65.3</v>
      </c>
      <c r="R1895" s="46">
        <f t="shared" si="62"/>
        <v>0.60000000000000853</v>
      </c>
      <c r="T1895" s="21">
        <v>46030</v>
      </c>
      <c r="U1895" s="22" t="s">
        <v>52</v>
      </c>
      <c r="V1895" s="24">
        <v>4</v>
      </c>
      <c r="W1895" s="24">
        <v>4</v>
      </c>
      <c r="X1895" s="24">
        <v>4</v>
      </c>
      <c r="Y1895" s="24">
        <v>4</v>
      </c>
      <c r="Z1895" s="20">
        <f t="shared" si="63"/>
        <v>16</v>
      </c>
    </row>
    <row r="1896" spans="1:26" x14ac:dyDescent="0.2">
      <c r="A1896" s="21"/>
      <c r="B1896" s="20"/>
      <c r="C1896" s="22"/>
      <c r="D1896" s="22"/>
      <c r="E1896" s="24"/>
      <c r="F1896" s="22"/>
      <c r="H1896" s="21">
        <v>45992</v>
      </c>
      <c r="I1896" s="22" t="s">
        <v>71</v>
      </c>
      <c r="J1896" s="22" t="s">
        <v>44</v>
      </c>
      <c r="K1896" s="24">
        <v>7</v>
      </c>
      <c r="M1896" s="21">
        <v>46057</v>
      </c>
      <c r="N1896" s="22" t="s">
        <v>70</v>
      </c>
      <c r="O1896" s="22" t="s">
        <v>51</v>
      </c>
      <c r="P1896" s="49">
        <v>74.7</v>
      </c>
      <c r="Q1896" s="49">
        <v>74.8</v>
      </c>
      <c r="R1896" s="46">
        <f t="shared" si="62"/>
        <v>-9.9999999999994316E-2</v>
      </c>
      <c r="T1896" s="21">
        <v>46030</v>
      </c>
      <c r="U1896" s="22" t="s">
        <v>53</v>
      </c>
      <c r="V1896" s="24">
        <v>4</v>
      </c>
      <c r="W1896" s="24">
        <v>4</v>
      </c>
      <c r="X1896" s="24">
        <v>4</v>
      </c>
      <c r="Y1896" s="24">
        <v>4</v>
      </c>
      <c r="Z1896" s="20">
        <f t="shared" si="63"/>
        <v>16</v>
      </c>
    </row>
    <row r="1897" spans="1:26" x14ac:dyDescent="0.2">
      <c r="A1897" s="21"/>
      <c r="B1897" s="20"/>
      <c r="C1897" s="22"/>
      <c r="D1897" s="22"/>
      <c r="E1897" s="24"/>
      <c r="F1897" s="22"/>
      <c r="H1897" s="21">
        <v>45992</v>
      </c>
      <c r="I1897" s="22" t="s">
        <v>71</v>
      </c>
      <c r="J1897" s="22" t="s">
        <v>45</v>
      </c>
      <c r="K1897" s="24">
        <v>6</v>
      </c>
      <c r="M1897" s="21">
        <v>46057</v>
      </c>
      <c r="N1897" s="22" t="s">
        <v>70</v>
      </c>
      <c r="O1897" s="22" t="s">
        <v>52</v>
      </c>
      <c r="P1897" s="49">
        <v>71.400000000000006</v>
      </c>
      <c r="Q1897" s="49">
        <v>70.8</v>
      </c>
      <c r="R1897" s="46">
        <f t="shared" si="62"/>
        <v>0.60000000000000853</v>
      </c>
      <c r="T1897" s="21">
        <v>46030</v>
      </c>
      <c r="U1897" s="22" t="s">
        <v>57</v>
      </c>
      <c r="V1897" s="24">
        <v>4</v>
      </c>
      <c r="W1897" s="24">
        <v>5</v>
      </c>
      <c r="X1897" s="24">
        <v>4</v>
      </c>
      <c r="Y1897" s="24">
        <v>3</v>
      </c>
      <c r="Z1897" s="20">
        <f t="shared" si="63"/>
        <v>16</v>
      </c>
    </row>
    <row r="1898" spans="1:26" x14ac:dyDescent="0.2">
      <c r="A1898" s="21"/>
      <c r="B1898" s="20"/>
      <c r="C1898" s="22"/>
      <c r="D1898" s="22"/>
      <c r="E1898" s="24"/>
      <c r="F1898" s="22"/>
      <c r="H1898" s="21">
        <v>45992</v>
      </c>
      <c r="I1898" s="22" t="s">
        <v>71</v>
      </c>
      <c r="J1898" s="22" t="s">
        <v>57</v>
      </c>
      <c r="K1898" s="24">
        <v>8</v>
      </c>
      <c r="M1898" s="21">
        <v>46057</v>
      </c>
      <c r="N1898" s="22" t="s">
        <v>70</v>
      </c>
      <c r="O1898" s="22" t="s">
        <v>53</v>
      </c>
      <c r="P1898" s="49">
        <v>68</v>
      </c>
      <c r="Q1898" s="49">
        <v>67</v>
      </c>
      <c r="R1898" s="46">
        <f t="shared" si="62"/>
        <v>1</v>
      </c>
      <c r="T1898" s="21">
        <v>46030</v>
      </c>
      <c r="U1898" s="22" t="s">
        <v>33</v>
      </c>
      <c r="V1898" s="24">
        <v>3.3846153846153801</v>
      </c>
      <c r="W1898" s="24">
        <v>3.6153846153846199</v>
      </c>
      <c r="X1898" s="24">
        <v>3.6153846153846199</v>
      </c>
      <c r="Y1898" s="24">
        <v>3.9230769230769198</v>
      </c>
      <c r="Z1898" s="20">
        <f t="shared" si="63"/>
        <v>14.53846153846154</v>
      </c>
    </row>
    <row r="1899" spans="1:26" x14ac:dyDescent="0.2">
      <c r="A1899" s="21"/>
      <c r="B1899" s="20"/>
      <c r="C1899" s="22"/>
      <c r="D1899" s="22"/>
      <c r="E1899" s="24"/>
      <c r="F1899" s="22"/>
      <c r="H1899" s="21">
        <v>45992</v>
      </c>
      <c r="I1899" s="22" t="s">
        <v>71</v>
      </c>
      <c r="J1899" s="22" t="s">
        <v>42</v>
      </c>
      <c r="K1899" s="24">
        <v>6</v>
      </c>
      <c r="M1899" s="21">
        <v>46057</v>
      </c>
      <c r="N1899" s="22" t="s">
        <v>70</v>
      </c>
      <c r="O1899" s="22" t="s">
        <v>54</v>
      </c>
      <c r="P1899" s="49">
        <v>83.3</v>
      </c>
      <c r="Q1899" s="49">
        <v>83.4</v>
      </c>
      <c r="R1899" s="46">
        <f t="shared" si="62"/>
        <v>-0.10000000000000853</v>
      </c>
      <c r="T1899" s="21">
        <v>46031</v>
      </c>
      <c r="U1899" s="22" t="s">
        <v>41</v>
      </c>
      <c r="V1899" s="24">
        <v>1</v>
      </c>
      <c r="W1899" s="24">
        <v>1</v>
      </c>
      <c r="X1899" s="24">
        <v>1</v>
      </c>
      <c r="Y1899" s="24">
        <v>1</v>
      </c>
      <c r="Z1899" s="20">
        <f t="shared" si="63"/>
        <v>4</v>
      </c>
    </row>
    <row r="1900" spans="1:26" x14ac:dyDescent="0.2">
      <c r="A1900" s="21"/>
      <c r="B1900" s="20"/>
      <c r="C1900" s="22"/>
      <c r="D1900" s="22"/>
      <c r="E1900" s="24"/>
      <c r="F1900" s="22"/>
      <c r="H1900" s="21">
        <v>45992</v>
      </c>
      <c r="I1900" s="22" t="s">
        <v>71</v>
      </c>
      <c r="J1900" s="22" t="s">
        <v>47</v>
      </c>
      <c r="K1900" s="24">
        <v>8</v>
      </c>
      <c r="M1900" s="21">
        <v>46057</v>
      </c>
      <c r="N1900" s="22" t="s">
        <v>70</v>
      </c>
      <c r="O1900" s="22" t="s">
        <v>56</v>
      </c>
      <c r="P1900" s="49">
        <v>75.2</v>
      </c>
      <c r="Q1900" s="49">
        <v>75.2</v>
      </c>
      <c r="R1900" s="46">
        <f t="shared" si="62"/>
        <v>0</v>
      </c>
      <c r="T1900" s="21">
        <v>46031</v>
      </c>
      <c r="U1900" s="22" t="s">
        <v>42</v>
      </c>
      <c r="V1900" s="24">
        <v>4</v>
      </c>
      <c r="W1900" s="24">
        <v>4</v>
      </c>
      <c r="X1900" s="24">
        <v>5</v>
      </c>
      <c r="Y1900" s="24">
        <v>5</v>
      </c>
      <c r="Z1900" s="20">
        <f t="shared" si="63"/>
        <v>18</v>
      </c>
    </row>
    <row r="1901" spans="1:26" x14ac:dyDescent="0.2">
      <c r="A1901" s="21"/>
      <c r="B1901" s="20"/>
      <c r="C1901" s="22"/>
      <c r="D1901" s="22"/>
      <c r="E1901" s="24"/>
      <c r="F1901" s="22"/>
      <c r="H1901" s="21">
        <v>45992</v>
      </c>
      <c r="I1901" s="22" t="s">
        <v>71</v>
      </c>
      <c r="J1901" s="22" t="s">
        <v>41</v>
      </c>
      <c r="K1901" s="24">
        <v>5</v>
      </c>
      <c r="M1901" s="21">
        <v>46057</v>
      </c>
      <c r="N1901" s="22" t="s">
        <v>70</v>
      </c>
      <c r="O1901" s="22" t="s">
        <v>57</v>
      </c>
      <c r="P1901" s="49">
        <v>91.7</v>
      </c>
      <c r="Q1901" s="49">
        <v>90.3</v>
      </c>
      <c r="R1901" s="46">
        <f t="shared" si="62"/>
        <v>1.4000000000000057</v>
      </c>
      <c r="T1901" s="21">
        <v>46031</v>
      </c>
      <c r="U1901" s="22" t="s">
        <v>44</v>
      </c>
      <c r="V1901" s="24">
        <v>5</v>
      </c>
      <c r="W1901" s="24">
        <v>4</v>
      </c>
      <c r="X1901" s="24">
        <v>4</v>
      </c>
      <c r="Y1901" s="24">
        <v>5</v>
      </c>
      <c r="Z1901" s="20">
        <f t="shared" si="63"/>
        <v>18</v>
      </c>
    </row>
    <row r="1902" spans="1:26" x14ac:dyDescent="0.2">
      <c r="A1902" s="21"/>
      <c r="B1902" s="20"/>
      <c r="C1902" s="22"/>
      <c r="D1902" s="22"/>
      <c r="E1902" s="24"/>
      <c r="F1902" s="22"/>
      <c r="H1902" s="21">
        <v>45992</v>
      </c>
      <c r="I1902" s="22" t="s">
        <v>71</v>
      </c>
      <c r="J1902" s="22" t="s">
        <v>58</v>
      </c>
      <c r="K1902" s="24" t="s">
        <v>60</v>
      </c>
      <c r="M1902" s="21">
        <v>46057</v>
      </c>
      <c r="N1902" s="22" t="s">
        <v>70</v>
      </c>
      <c r="O1902" s="22" t="s">
        <v>58</v>
      </c>
      <c r="P1902" s="49">
        <v>75.599999999999994</v>
      </c>
      <c r="Q1902" s="49">
        <v>75.599999999999994</v>
      </c>
      <c r="R1902" s="46">
        <f t="shared" si="62"/>
        <v>0</v>
      </c>
      <c r="T1902" s="21">
        <v>46031</v>
      </c>
      <c r="U1902" s="22" t="s">
        <v>45</v>
      </c>
      <c r="V1902" s="24">
        <v>4</v>
      </c>
      <c r="W1902" s="24">
        <v>4</v>
      </c>
      <c r="X1902" s="24">
        <v>4</v>
      </c>
      <c r="Y1902" s="24">
        <v>5</v>
      </c>
      <c r="Z1902" s="20">
        <f t="shared" si="63"/>
        <v>17</v>
      </c>
    </row>
    <row r="1903" spans="1:26" x14ac:dyDescent="0.2">
      <c r="A1903" s="21"/>
      <c r="B1903" s="20"/>
      <c r="C1903" s="22"/>
      <c r="D1903" s="22"/>
      <c r="E1903" s="24"/>
      <c r="F1903" s="22"/>
      <c r="H1903" s="21">
        <v>45992</v>
      </c>
      <c r="I1903" s="22" t="s">
        <v>71</v>
      </c>
      <c r="J1903" s="22" t="s">
        <v>49</v>
      </c>
      <c r="K1903" s="24">
        <v>7</v>
      </c>
      <c r="M1903" s="21">
        <v>46058</v>
      </c>
      <c r="N1903" s="22" t="s">
        <v>70</v>
      </c>
      <c r="O1903" s="22" t="s">
        <v>41</v>
      </c>
      <c r="P1903" s="49">
        <v>77</v>
      </c>
      <c r="Q1903" s="49">
        <v>76.900000000000006</v>
      </c>
      <c r="R1903" s="46">
        <f t="shared" si="62"/>
        <v>9.9999999999994316E-2</v>
      </c>
      <c r="T1903" s="21">
        <v>46031</v>
      </c>
      <c r="U1903" s="22" t="s">
        <v>46</v>
      </c>
      <c r="V1903" s="24">
        <v>5</v>
      </c>
      <c r="W1903" s="24">
        <v>4</v>
      </c>
      <c r="X1903" s="24">
        <v>4</v>
      </c>
      <c r="Y1903" s="24">
        <v>4</v>
      </c>
      <c r="Z1903" s="20">
        <f t="shared" si="63"/>
        <v>17</v>
      </c>
    </row>
    <row r="1904" spans="1:26" x14ac:dyDescent="0.2">
      <c r="A1904" s="21"/>
      <c r="B1904" s="20"/>
      <c r="C1904" s="22"/>
      <c r="D1904" s="22"/>
      <c r="E1904" s="24"/>
      <c r="F1904" s="22"/>
      <c r="H1904" s="21">
        <v>45992</v>
      </c>
      <c r="I1904" s="22" t="s">
        <v>71</v>
      </c>
      <c r="J1904" s="22" t="s">
        <v>50</v>
      </c>
      <c r="K1904" s="24">
        <v>6</v>
      </c>
      <c r="M1904" s="21">
        <v>46058</v>
      </c>
      <c r="N1904" s="22" t="s">
        <v>70</v>
      </c>
      <c r="O1904" s="22" t="s">
        <v>42</v>
      </c>
      <c r="P1904" s="49">
        <v>79.2</v>
      </c>
      <c r="Q1904" s="49">
        <v>79</v>
      </c>
      <c r="R1904" s="46">
        <f t="shared" si="62"/>
        <v>0.20000000000000284</v>
      </c>
      <c r="T1904" s="21">
        <v>46031</v>
      </c>
      <c r="U1904" s="22" t="s">
        <v>47</v>
      </c>
      <c r="V1904" s="24">
        <v>4</v>
      </c>
      <c r="W1904" s="24">
        <v>4</v>
      </c>
      <c r="X1904" s="24">
        <v>4</v>
      </c>
      <c r="Y1904" s="24">
        <v>5</v>
      </c>
      <c r="Z1904" s="20">
        <f t="shared" si="63"/>
        <v>17</v>
      </c>
    </row>
    <row r="1905" spans="1:26" x14ac:dyDescent="0.2">
      <c r="A1905" s="21"/>
      <c r="B1905" s="20"/>
      <c r="C1905" s="22"/>
      <c r="D1905" s="22"/>
      <c r="E1905" s="24"/>
      <c r="F1905" s="22"/>
      <c r="H1905" s="21">
        <v>45992</v>
      </c>
      <c r="I1905" s="22" t="s">
        <v>71</v>
      </c>
      <c r="J1905" s="22" t="s">
        <v>51</v>
      </c>
      <c r="K1905" s="24">
        <v>7</v>
      </c>
      <c r="M1905" s="21">
        <v>46058</v>
      </c>
      <c r="N1905" s="22" t="s">
        <v>70</v>
      </c>
      <c r="O1905" s="22" t="s">
        <v>45</v>
      </c>
      <c r="P1905" s="49">
        <v>68.900000000000006</v>
      </c>
      <c r="Q1905" s="49">
        <v>68</v>
      </c>
      <c r="R1905" s="46">
        <f t="shared" si="62"/>
        <v>0.90000000000000568</v>
      </c>
      <c r="T1905" s="21">
        <v>46031</v>
      </c>
      <c r="U1905" s="22" t="s">
        <v>48</v>
      </c>
      <c r="V1905" s="24">
        <v>4</v>
      </c>
      <c r="W1905" s="24">
        <v>4</v>
      </c>
      <c r="X1905" s="24">
        <v>4</v>
      </c>
      <c r="Y1905" s="24">
        <v>5</v>
      </c>
      <c r="Z1905" s="20">
        <f t="shared" si="63"/>
        <v>17</v>
      </c>
    </row>
    <row r="1906" spans="1:26" x14ac:dyDescent="0.2">
      <c r="A1906" s="21"/>
      <c r="B1906" s="20"/>
      <c r="C1906" s="22"/>
      <c r="D1906" s="22"/>
      <c r="E1906" s="24"/>
      <c r="F1906" s="22"/>
      <c r="H1906" s="21">
        <v>45992</v>
      </c>
      <c r="I1906" s="22" t="s">
        <v>71</v>
      </c>
      <c r="J1906" s="22" t="s">
        <v>46</v>
      </c>
      <c r="K1906" s="24">
        <v>7</v>
      </c>
      <c r="M1906" s="21">
        <v>46058</v>
      </c>
      <c r="N1906" s="22" t="s">
        <v>70</v>
      </c>
      <c r="O1906" s="22" t="s">
        <v>46</v>
      </c>
      <c r="P1906" s="49">
        <v>81</v>
      </c>
      <c r="Q1906" s="49">
        <v>81</v>
      </c>
      <c r="R1906" s="46">
        <f t="shared" si="62"/>
        <v>0</v>
      </c>
      <c r="T1906" s="21">
        <v>46031</v>
      </c>
      <c r="U1906" s="22" t="s">
        <v>49</v>
      </c>
      <c r="V1906" s="24">
        <v>4</v>
      </c>
      <c r="W1906" s="24">
        <v>4</v>
      </c>
      <c r="X1906" s="24">
        <v>4</v>
      </c>
      <c r="Y1906" s="24">
        <v>4</v>
      </c>
      <c r="Z1906" s="20">
        <f t="shared" si="63"/>
        <v>16</v>
      </c>
    </row>
    <row r="1907" spans="1:26" x14ac:dyDescent="0.2">
      <c r="A1907" s="21"/>
      <c r="B1907" s="20"/>
      <c r="C1907" s="22"/>
      <c r="D1907" s="22"/>
      <c r="E1907" s="24"/>
      <c r="F1907" s="22"/>
      <c r="H1907" s="21">
        <v>45992</v>
      </c>
      <c r="I1907" s="22" t="s">
        <v>71</v>
      </c>
      <c r="J1907" s="22" t="s">
        <v>48</v>
      </c>
      <c r="K1907" s="24">
        <v>6</v>
      </c>
      <c r="M1907" s="21">
        <v>46058</v>
      </c>
      <c r="N1907" s="22" t="s">
        <v>70</v>
      </c>
      <c r="O1907" s="22" t="s">
        <v>49</v>
      </c>
      <c r="P1907" s="49">
        <v>78.7</v>
      </c>
      <c r="Q1907" s="49">
        <v>78.900000000000006</v>
      </c>
      <c r="R1907" s="46">
        <f t="shared" si="62"/>
        <v>-0.20000000000000284</v>
      </c>
      <c r="T1907" s="21">
        <v>46031</v>
      </c>
      <c r="U1907" s="22" t="s">
        <v>50</v>
      </c>
      <c r="V1907" s="24">
        <v>3</v>
      </c>
      <c r="W1907" s="24">
        <v>3</v>
      </c>
      <c r="X1907" s="24">
        <v>4</v>
      </c>
      <c r="Y1907" s="24">
        <v>4</v>
      </c>
      <c r="Z1907" s="20">
        <f t="shared" si="63"/>
        <v>14</v>
      </c>
    </row>
    <row r="1908" spans="1:26" x14ac:dyDescent="0.2">
      <c r="A1908" s="21"/>
      <c r="B1908" s="20"/>
      <c r="C1908" s="22"/>
      <c r="D1908" s="22"/>
      <c r="E1908" s="24"/>
      <c r="F1908" s="22"/>
      <c r="H1908" s="21">
        <v>45992</v>
      </c>
      <c r="I1908" s="22" t="s">
        <v>71</v>
      </c>
      <c r="J1908" s="22" t="s">
        <v>56</v>
      </c>
      <c r="K1908" s="24">
        <v>8</v>
      </c>
      <c r="M1908" s="21">
        <v>46058</v>
      </c>
      <c r="N1908" s="22" t="s">
        <v>70</v>
      </c>
      <c r="O1908" s="22" t="s">
        <v>50</v>
      </c>
      <c r="P1908" s="49">
        <v>66</v>
      </c>
      <c r="Q1908" s="49">
        <v>65.5</v>
      </c>
      <c r="R1908" s="46">
        <f t="shared" si="62"/>
        <v>0.5</v>
      </c>
      <c r="T1908" s="21">
        <v>46031</v>
      </c>
      <c r="U1908" s="22" t="s">
        <v>51</v>
      </c>
      <c r="V1908" s="24">
        <v>4</v>
      </c>
      <c r="W1908" s="24">
        <v>4</v>
      </c>
      <c r="X1908" s="24">
        <v>4</v>
      </c>
      <c r="Y1908" s="24">
        <v>4</v>
      </c>
      <c r="Z1908" s="20">
        <f t="shared" si="63"/>
        <v>16</v>
      </c>
    </row>
    <row r="1909" spans="1:26" x14ac:dyDescent="0.2">
      <c r="A1909" s="21"/>
      <c r="B1909" s="20"/>
      <c r="C1909" s="22"/>
      <c r="D1909" s="22"/>
      <c r="E1909" s="24"/>
      <c r="F1909" s="22"/>
      <c r="H1909" s="21">
        <v>45993</v>
      </c>
      <c r="I1909" s="22" t="s">
        <v>70</v>
      </c>
      <c r="J1909" s="22" t="s">
        <v>52</v>
      </c>
      <c r="K1909" s="24">
        <v>5</v>
      </c>
      <c r="M1909" s="21">
        <v>46058</v>
      </c>
      <c r="N1909" s="22" t="s">
        <v>70</v>
      </c>
      <c r="O1909" s="22" t="s">
        <v>51</v>
      </c>
      <c r="P1909" s="49">
        <v>74.400000000000006</v>
      </c>
      <c r="Q1909" s="49">
        <v>75</v>
      </c>
      <c r="R1909" s="46">
        <f t="shared" si="62"/>
        <v>-0.59999999999999432</v>
      </c>
      <c r="T1909" s="21">
        <v>46031</v>
      </c>
      <c r="U1909" s="22" t="s">
        <v>52</v>
      </c>
      <c r="V1909" s="24">
        <v>4</v>
      </c>
      <c r="W1909" s="24">
        <v>4</v>
      </c>
      <c r="X1909" s="24">
        <v>4</v>
      </c>
      <c r="Y1909" s="24">
        <v>4</v>
      </c>
      <c r="Z1909" s="20">
        <f t="shared" si="63"/>
        <v>16</v>
      </c>
    </row>
    <row r="1910" spans="1:26" x14ac:dyDescent="0.2">
      <c r="A1910" s="21"/>
      <c r="B1910" s="20"/>
      <c r="C1910" s="22"/>
      <c r="D1910" s="22"/>
      <c r="E1910" s="24"/>
      <c r="F1910" s="22"/>
      <c r="H1910" s="21">
        <v>45993</v>
      </c>
      <c r="I1910" s="22" t="s">
        <v>70</v>
      </c>
      <c r="J1910" s="22" t="s">
        <v>53</v>
      </c>
      <c r="K1910" s="24">
        <v>6</v>
      </c>
      <c r="M1910" s="21">
        <v>46058</v>
      </c>
      <c r="N1910" s="22" t="s">
        <v>70</v>
      </c>
      <c r="O1910" s="22" t="s">
        <v>52</v>
      </c>
      <c r="P1910" s="49">
        <v>71</v>
      </c>
      <c r="Q1910" s="49">
        <v>71</v>
      </c>
      <c r="R1910" s="46">
        <f t="shared" si="62"/>
        <v>0</v>
      </c>
      <c r="T1910" s="21">
        <v>46031</v>
      </c>
      <c r="U1910" s="22" t="s">
        <v>53</v>
      </c>
      <c r="V1910" s="24">
        <v>4</v>
      </c>
      <c r="W1910" s="24">
        <v>4</v>
      </c>
      <c r="X1910" s="24">
        <v>4</v>
      </c>
      <c r="Y1910" s="24">
        <v>4</v>
      </c>
      <c r="Z1910" s="20">
        <f t="shared" si="63"/>
        <v>16</v>
      </c>
    </row>
    <row r="1911" spans="1:26" x14ac:dyDescent="0.2">
      <c r="A1911" s="21"/>
      <c r="B1911" s="20"/>
      <c r="C1911" s="22"/>
      <c r="D1911" s="22"/>
      <c r="E1911" s="24"/>
      <c r="F1911" s="22"/>
      <c r="H1911" s="21">
        <v>45993</v>
      </c>
      <c r="I1911" s="22" t="s">
        <v>70</v>
      </c>
      <c r="J1911" s="22" t="s">
        <v>44</v>
      </c>
      <c r="K1911" s="24">
        <v>7</v>
      </c>
      <c r="M1911" s="21">
        <v>46058</v>
      </c>
      <c r="N1911" s="22" t="s">
        <v>70</v>
      </c>
      <c r="O1911" s="22" t="s">
        <v>53</v>
      </c>
      <c r="P1911" s="49">
        <v>67</v>
      </c>
      <c r="Q1911" s="49">
        <v>67</v>
      </c>
      <c r="R1911" s="46">
        <f t="shared" si="62"/>
        <v>0</v>
      </c>
      <c r="T1911" s="21">
        <v>46031</v>
      </c>
      <c r="U1911" s="22" t="s">
        <v>56</v>
      </c>
      <c r="V1911" s="24">
        <v>4</v>
      </c>
      <c r="W1911" s="24">
        <v>4</v>
      </c>
      <c r="X1911" s="24">
        <v>5</v>
      </c>
      <c r="Y1911" s="24">
        <v>3</v>
      </c>
      <c r="Z1911" s="20">
        <f t="shared" si="63"/>
        <v>16</v>
      </c>
    </row>
    <row r="1912" spans="1:26" x14ac:dyDescent="0.2">
      <c r="A1912" s="21"/>
      <c r="B1912" s="20"/>
      <c r="C1912" s="22"/>
      <c r="D1912" s="22"/>
      <c r="E1912" s="24"/>
      <c r="F1912" s="22"/>
      <c r="H1912" s="21">
        <v>45993</v>
      </c>
      <c r="I1912" s="22" t="s">
        <v>70</v>
      </c>
      <c r="J1912" s="22" t="s">
        <v>45</v>
      </c>
      <c r="K1912" s="24">
        <v>7</v>
      </c>
      <c r="M1912" s="21">
        <v>46058</v>
      </c>
      <c r="N1912" s="22" t="s">
        <v>70</v>
      </c>
      <c r="O1912" s="22" t="s">
        <v>54</v>
      </c>
      <c r="P1912" s="49">
        <v>83.2</v>
      </c>
      <c r="Q1912" s="49">
        <v>83.2</v>
      </c>
      <c r="R1912" s="46">
        <f t="shared" si="62"/>
        <v>0</v>
      </c>
      <c r="T1912" s="21">
        <v>46031</v>
      </c>
      <c r="U1912" s="22" t="s">
        <v>57</v>
      </c>
      <c r="V1912" s="24">
        <v>4</v>
      </c>
      <c r="W1912" s="24">
        <v>5</v>
      </c>
      <c r="X1912" s="24">
        <v>4</v>
      </c>
      <c r="Y1912" s="24">
        <v>4</v>
      </c>
      <c r="Z1912" s="20">
        <f t="shared" si="63"/>
        <v>17</v>
      </c>
    </row>
    <row r="1913" spans="1:26" x14ac:dyDescent="0.2">
      <c r="A1913" s="21"/>
      <c r="B1913" s="20"/>
      <c r="C1913" s="22"/>
      <c r="D1913" s="22"/>
      <c r="E1913" s="24"/>
      <c r="F1913" s="22"/>
      <c r="H1913" s="21">
        <v>45993</v>
      </c>
      <c r="I1913" s="22" t="s">
        <v>70</v>
      </c>
      <c r="J1913" s="22" t="s">
        <v>57</v>
      </c>
      <c r="K1913" s="24">
        <v>7</v>
      </c>
      <c r="M1913" s="21">
        <v>46058</v>
      </c>
      <c r="N1913" s="22" t="s">
        <v>70</v>
      </c>
      <c r="O1913" s="22" t="s">
        <v>56</v>
      </c>
      <c r="P1913" s="49">
        <v>74.099999999999994</v>
      </c>
      <c r="Q1913" s="49">
        <v>74.099999999999994</v>
      </c>
      <c r="R1913" s="46">
        <f t="shared" si="62"/>
        <v>0</v>
      </c>
      <c r="T1913" s="21">
        <v>46031</v>
      </c>
      <c r="U1913" s="22" t="s">
        <v>58</v>
      </c>
      <c r="V1913" s="24">
        <v>5</v>
      </c>
      <c r="W1913" s="24">
        <v>5</v>
      </c>
      <c r="X1913" s="24">
        <v>5</v>
      </c>
      <c r="Y1913" s="24">
        <v>4</v>
      </c>
      <c r="Z1913" s="20">
        <f t="shared" si="63"/>
        <v>19</v>
      </c>
    </row>
    <row r="1914" spans="1:26" x14ac:dyDescent="0.2">
      <c r="A1914" s="21"/>
      <c r="B1914" s="20"/>
      <c r="C1914" s="22"/>
      <c r="D1914" s="22"/>
      <c r="E1914" s="24"/>
      <c r="F1914" s="22"/>
      <c r="H1914" s="21">
        <v>45993</v>
      </c>
      <c r="I1914" s="22" t="s">
        <v>70</v>
      </c>
      <c r="J1914" s="22" t="s">
        <v>42</v>
      </c>
      <c r="K1914" s="24">
        <v>3</v>
      </c>
      <c r="M1914" s="21">
        <v>46058</v>
      </c>
      <c r="N1914" s="22" t="s">
        <v>70</v>
      </c>
      <c r="O1914" s="22" t="s">
        <v>57</v>
      </c>
      <c r="P1914" s="49">
        <v>90.6</v>
      </c>
      <c r="Q1914" s="49">
        <v>90.3</v>
      </c>
      <c r="R1914" s="46">
        <f t="shared" si="62"/>
        <v>0.29999999999999716</v>
      </c>
      <c r="T1914" s="21">
        <v>46031</v>
      </c>
      <c r="U1914" s="22" t="s">
        <v>33</v>
      </c>
      <c r="V1914" s="24">
        <v>3.93333333333333</v>
      </c>
      <c r="W1914" s="24">
        <v>3.8666666666666698</v>
      </c>
      <c r="X1914" s="24">
        <v>4</v>
      </c>
      <c r="Y1914" s="24">
        <v>4.06666666666667</v>
      </c>
      <c r="Z1914" s="20">
        <f t="shared" si="63"/>
        <v>15.866666666666671</v>
      </c>
    </row>
    <row r="1915" spans="1:26" x14ac:dyDescent="0.2">
      <c r="A1915" s="21"/>
      <c r="B1915" s="20"/>
      <c r="C1915" s="22"/>
      <c r="D1915" s="22"/>
      <c r="E1915" s="24"/>
      <c r="F1915" s="22"/>
      <c r="H1915" s="21">
        <v>45993</v>
      </c>
      <c r="I1915" s="22" t="s">
        <v>70</v>
      </c>
      <c r="J1915" s="22" t="s">
        <v>47</v>
      </c>
      <c r="K1915" s="24">
        <v>7</v>
      </c>
      <c r="M1915" s="21">
        <v>46059</v>
      </c>
      <c r="N1915" s="22" t="s">
        <v>70</v>
      </c>
      <c r="O1915" s="22" t="s">
        <v>41</v>
      </c>
      <c r="P1915" s="49">
        <v>77</v>
      </c>
      <c r="Q1915" s="49">
        <v>77</v>
      </c>
      <c r="R1915" s="46">
        <f t="shared" si="62"/>
        <v>0</v>
      </c>
      <c r="T1915" s="21">
        <v>46041</v>
      </c>
      <c r="U1915" s="22" t="s">
        <v>41</v>
      </c>
      <c r="V1915" s="24">
        <v>1</v>
      </c>
      <c r="W1915" s="24">
        <v>1</v>
      </c>
      <c r="X1915" s="24">
        <v>1</v>
      </c>
      <c r="Y1915" s="24">
        <v>1</v>
      </c>
      <c r="Z1915" s="20">
        <f t="shared" si="63"/>
        <v>4</v>
      </c>
    </row>
    <row r="1916" spans="1:26" x14ac:dyDescent="0.2">
      <c r="A1916" s="21"/>
      <c r="B1916" s="20"/>
      <c r="C1916" s="22"/>
      <c r="D1916" s="22"/>
      <c r="E1916" s="24"/>
      <c r="F1916" s="22"/>
      <c r="H1916" s="21">
        <v>45993</v>
      </c>
      <c r="I1916" s="22" t="s">
        <v>70</v>
      </c>
      <c r="J1916" s="22" t="s">
        <v>41</v>
      </c>
      <c r="K1916" s="24">
        <v>2</v>
      </c>
      <c r="M1916" s="21">
        <v>46059</v>
      </c>
      <c r="N1916" s="22" t="s">
        <v>70</v>
      </c>
      <c r="O1916" s="22" t="s">
        <v>42</v>
      </c>
      <c r="P1916" s="49">
        <v>79</v>
      </c>
      <c r="Q1916" s="49">
        <v>79</v>
      </c>
      <c r="R1916" s="46">
        <f t="shared" si="62"/>
        <v>0</v>
      </c>
      <c r="T1916" s="21">
        <v>46041</v>
      </c>
      <c r="U1916" s="22" t="s">
        <v>42</v>
      </c>
      <c r="V1916" s="24">
        <v>5</v>
      </c>
      <c r="W1916" s="24">
        <v>5</v>
      </c>
      <c r="X1916" s="24">
        <v>4</v>
      </c>
      <c r="Y1916" s="24">
        <v>5</v>
      </c>
      <c r="Z1916" s="20">
        <f t="shared" si="63"/>
        <v>19</v>
      </c>
    </row>
    <row r="1917" spans="1:26" x14ac:dyDescent="0.2">
      <c r="A1917" s="21"/>
      <c r="B1917" s="20"/>
      <c r="C1917" s="22"/>
      <c r="D1917" s="22"/>
      <c r="E1917" s="24"/>
      <c r="F1917" s="22"/>
      <c r="H1917" s="21">
        <v>45993</v>
      </c>
      <c r="I1917" s="22" t="s">
        <v>70</v>
      </c>
      <c r="J1917" s="22" t="s">
        <v>58</v>
      </c>
      <c r="K1917" s="24">
        <v>8</v>
      </c>
      <c r="M1917" s="21">
        <v>46059</v>
      </c>
      <c r="N1917" s="22" t="s">
        <v>70</v>
      </c>
      <c r="O1917" s="22" t="s">
        <v>45</v>
      </c>
      <c r="P1917" s="49">
        <v>68.5</v>
      </c>
      <c r="Q1917" s="49">
        <v>68.5</v>
      </c>
      <c r="R1917" s="46">
        <f t="shared" si="62"/>
        <v>0</v>
      </c>
      <c r="T1917" s="21">
        <v>46041</v>
      </c>
      <c r="U1917" s="22" t="s">
        <v>45</v>
      </c>
      <c r="V1917" s="24">
        <v>5</v>
      </c>
      <c r="W1917" s="24">
        <v>5</v>
      </c>
      <c r="X1917" s="24">
        <v>5</v>
      </c>
      <c r="Y1917" s="24">
        <v>5</v>
      </c>
      <c r="Z1917" s="20">
        <f t="shared" si="63"/>
        <v>20</v>
      </c>
    </row>
    <row r="1918" spans="1:26" x14ac:dyDescent="0.2">
      <c r="A1918" s="21"/>
      <c r="B1918" s="20"/>
      <c r="C1918" s="22"/>
      <c r="D1918" s="22"/>
      <c r="E1918" s="24"/>
      <c r="F1918" s="22"/>
      <c r="H1918" s="21">
        <v>45993</v>
      </c>
      <c r="I1918" s="22" t="s">
        <v>70</v>
      </c>
      <c r="J1918" s="22" t="s">
        <v>49</v>
      </c>
      <c r="K1918" s="24">
        <v>7</v>
      </c>
      <c r="M1918" s="21">
        <v>46059</v>
      </c>
      <c r="N1918" s="22" t="s">
        <v>70</v>
      </c>
      <c r="O1918" s="22" t="s">
        <v>46</v>
      </c>
      <c r="P1918" s="49">
        <v>81</v>
      </c>
      <c r="Q1918" s="49">
        <v>81</v>
      </c>
      <c r="R1918" s="46">
        <f t="shared" si="62"/>
        <v>0</v>
      </c>
      <c r="T1918" s="21">
        <v>46041</v>
      </c>
      <c r="U1918" s="22" t="s">
        <v>46</v>
      </c>
      <c r="V1918" s="24">
        <v>5</v>
      </c>
      <c r="W1918" s="24">
        <v>5</v>
      </c>
      <c r="X1918" s="24">
        <v>5</v>
      </c>
      <c r="Y1918" s="24">
        <v>5</v>
      </c>
      <c r="Z1918" s="20">
        <f t="shared" si="63"/>
        <v>20</v>
      </c>
    </row>
    <row r="1919" spans="1:26" x14ac:dyDescent="0.2">
      <c r="A1919" s="21"/>
      <c r="B1919" s="20"/>
      <c r="C1919" s="22"/>
      <c r="D1919" s="22"/>
      <c r="E1919" s="24"/>
      <c r="F1919" s="22"/>
      <c r="H1919" s="21">
        <v>45993</v>
      </c>
      <c r="I1919" s="22" t="s">
        <v>70</v>
      </c>
      <c r="J1919" s="22" t="s">
        <v>50</v>
      </c>
      <c r="K1919" s="24">
        <v>6</v>
      </c>
      <c r="M1919" s="21">
        <v>46059</v>
      </c>
      <c r="N1919" s="22" t="s">
        <v>70</v>
      </c>
      <c r="O1919" s="22" t="s">
        <v>49</v>
      </c>
      <c r="P1919" s="49">
        <v>79</v>
      </c>
      <c r="Q1919" s="49">
        <v>79</v>
      </c>
      <c r="R1919" s="46">
        <f t="shared" si="62"/>
        <v>0</v>
      </c>
      <c r="T1919" s="21">
        <v>46041</v>
      </c>
      <c r="U1919" s="22" t="s">
        <v>49</v>
      </c>
      <c r="V1919" s="24">
        <v>3</v>
      </c>
      <c r="W1919" s="24">
        <v>5</v>
      </c>
      <c r="X1919" s="24">
        <v>4</v>
      </c>
      <c r="Y1919" s="24">
        <v>5</v>
      </c>
      <c r="Z1919" s="20">
        <f t="shared" si="63"/>
        <v>17</v>
      </c>
    </row>
    <row r="1920" spans="1:26" x14ac:dyDescent="0.2">
      <c r="A1920" s="21"/>
      <c r="B1920" s="20"/>
      <c r="C1920" s="22"/>
      <c r="D1920" s="22"/>
      <c r="E1920" s="24"/>
      <c r="F1920" s="22"/>
      <c r="H1920" s="21">
        <v>45993</v>
      </c>
      <c r="I1920" s="22" t="s">
        <v>70</v>
      </c>
      <c r="J1920" s="22" t="s">
        <v>51</v>
      </c>
      <c r="K1920" s="24">
        <v>6</v>
      </c>
      <c r="M1920" s="21">
        <v>46059</v>
      </c>
      <c r="N1920" s="22" t="s">
        <v>70</v>
      </c>
      <c r="O1920" s="22" t="s">
        <v>50</v>
      </c>
      <c r="P1920" s="49">
        <v>66.5</v>
      </c>
      <c r="Q1920" s="49">
        <v>66</v>
      </c>
      <c r="R1920" s="46">
        <f t="shared" si="62"/>
        <v>0.5</v>
      </c>
      <c r="T1920" s="21">
        <v>46041</v>
      </c>
      <c r="U1920" s="22" t="s">
        <v>50</v>
      </c>
      <c r="V1920" s="24">
        <v>3</v>
      </c>
      <c r="W1920" s="24">
        <v>4</v>
      </c>
      <c r="X1920" s="24">
        <v>4</v>
      </c>
      <c r="Y1920" s="24">
        <v>4</v>
      </c>
      <c r="Z1920" s="20">
        <f t="shared" si="63"/>
        <v>15</v>
      </c>
    </row>
    <row r="1921" spans="1:26" x14ac:dyDescent="0.2">
      <c r="A1921" s="21"/>
      <c r="B1921" s="20"/>
      <c r="C1921" s="22"/>
      <c r="D1921" s="22"/>
      <c r="E1921" s="24"/>
      <c r="F1921" s="22"/>
      <c r="H1921" s="21">
        <v>45993</v>
      </c>
      <c r="I1921" s="22" t="s">
        <v>70</v>
      </c>
      <c r="J1921" s="22" t="s">
        <v>46</v>
      </c>
      <c r="K1921" s="24">
        <v>8</v>
      </c>
      <c r="M1921" s="21">
        <v>46059</v>
      </c>
      <c r="N1921" s="22" t="s">
        <v>70</v>
      </c>
      <c r="O1921" s="22" t="s">
        <v>51</v>
      </c>
      <c r="P1921" s="49">
        <v>75</v>
      </c>
      <c r="Q1921" s="49">
        <v>75</v>
      </c>
      <c r="R1921" s="46">
        <f t="shared" si="62"/>
        <v>0</v>
      </c>
      <c r="T1921" s="21">
        <v>46041</v>
      </c>
      <c r="U1921" s="22" t="s">
        <v>51</v>
      </c>
      <c r="V1921" s="24">
        <v>4</v>
      </c>
      <c r="W1921" s="24">
        <v>5</v>
      </c>
      <c r="X1921" s="24">
        <v>5</v>
      </c>
      <c r="Y1921" s="24">
        <v>5</v>
      </c>
      <c r="Z1921" s="20">
        <f t="shared" si="63"/>
        <v>19</v>
      </c>
    </row>
    <row r="1922" spans="1:26" x14ac:dyDescent="0.2">
      <c r="A1922" s="21"/>
      <c r="B1922" s="20"/>
      <c r="C1922" s="22"/>
      <c r="D1922" s="22"/>
      <c r="E1922" s="24"/>
      <c r="F1922" s="22"/>
      <c r="H1922" s="21">
        <v>45993</v>
      </c>
      <c r="I1922" s="22" t="s">
        <v>70</v>
      </c>
      <c r="J1922" s="22" t="s">
        <v>48</v>
      </c>
      <c r="K1922" s="24">
        <v>7</v>
      </c>
      <c r="M1922" s="21">
        <v>46059</v>
      </c>
      <c r="N1922" s="22" t="s">
        <v>70</v>
      </c>
      <c r="O1922" s="22" t="s">
        <v>52</v>
      </c>
      <c r="P1922" s="49">
        <v>71.400000000000006</v>
      </c>
      <c r="Q1922" s="49">
        <v>71</v>
      </c>
      <c r="R1922" s="46">
        <f t="shared" si="62"/>
        <v>0.40000000000000568</v>
      </c>
      <c r="T1922" s="21">
        <v>46041</v>
      </c>
      <c r="U1922" s="22" t="s">
        <v>52</v>
      </c>
      <c r="V1922" s="24">
        <v>4</v>
      </c>
      <c r="W1922" s="24">
        <v>4</v>
      </c>
      <c r="X1922" s="24">
        <v>4</v>
      </c>
      <c r="Y1922" s="24">
        <v>4</v>
      </c>
      <c r="Z1922" s="20">
        <f t="shared" si="63"/>
        <v>16</v>
      </c>
    </row>
    <row r="1923" spans="1:26" x14ac:dyDescent="0.2">
      <c r="A1923" s="21"/>
      <c r="B1923" s="20"/>
      <c r="C1923" s="22"/>
      <c r="D1923" s="22"/>
      <c r="E1923" s="24"/>
      <c r="F1923" s="22"/>
      <c r="H1923" s="21">
        <v>45993</v>
      </c>
      <c r="I1923" s="22" t="s">
        <v>70</v>
      </c>
      <c r="J1923" s="22" t="s">
        <v>56</v>
      </c>
      <c r="K1923" s="24">
        <v>8</v>
      </c>
      <c r="M1923" s="21">
        <v>46059</v>
      </c>
      <c r="N1923" s="22" t="s">
        <v>70</v>
      </c>
      <c r="O1923" s="22" t="s">
        <v>53</v>
      </c>
      <c r="P1923" s="49">
        <v>67.7</v>
      </c>
      <c r="Q1923" s="49">
        <v>67</v>
      </c>
      <c r="R1923" s="46">
        <f t="shared" ref="R1923:R1986" si="64">IFERROR(P1923-Q1923,"")</f>
        <v>0.70000000000000284</v>
      </c>
      <c r="T1923" s="21">
        <v>46041</v>
      </c>
      <c r="U1923" s="22" t="s">
        <v>53</v>
      </c>
      <c r="V1923" s="24">
        <v>4</v>
      </c>
      <c r="W1923" s="24">
        <v>4</v>
      </c>
      <c r="X1923" s="24">
        <v>4</v>
      </c>
      <c r="Y1923" s="24">
        <v>4</v>
      </c>
      <c r="Z1923" s="20">
        <f t="shared" ref="Z1923:Z1986" si="65">SUM(V1923:Y1923)</f>
        <v>16</v>
      </c>
    </row>
    <row r="1924" spans="1:26" x14ac:dyDescent="0.2">
      <c r="A1924" s="21"/>
      <c r="B1924" s="20"/>
      <c r="C1924" s="22"/>
      <c r="D1924" s="22"/>
      <c r="E1924" s="24"/>
      <c r="F1924" s="22"/>
      <c r="H1924" s="21">
        <v>45994</v>
      </c>
      <c r="I1924" s="22" t="s">
        <v>70</v>
      </c>
      <c r="J1924" s="22" t="s">
        <v>52</v>
      </c>
      <c r="K1924" s="24">
        <v>7</v>
      </c>
      <c r="M1924" s="21">
        <v>46059</v>
      </c>
      <c r="N1924" s="22" t="s">
        <v>70</v>
      </c>
      <c r="O1924" s="22" t="s">
        <v>54</v>
      </c>
      <c r="P1924" s="49">
        <v>83</v>
      </c>
      <c r="Q1924" s="49">
        <v>83</v>
      </c>
      <c r="R1924" s="46">
        <f t="shared" si="64"/>
        <v>0</v>
      </c>
      <c r="T1924" s="21">
        <v>46041</v>
      </c>
      <c r="U1924" s="22" t="s">
        <v>56</v>
      </c>
      <c r="V1924" s="24">
        <v>5</v>
      </c>
      <c r="W1924" s="24">
        <v>4</v>
      </c>
      <c r="X1924" s="24">
        <v>4</v>
      </c>
      <c r="Y1924" s="24">
        <v>2</v>
      </c>
      <c r="Z1924" s="20">
        <f t="shared" si="65"/>
        <v>15</v>
      </c>
    </row>
    <row r="1925" spans="1:26" x14ac:dyDescent="0.2">
      <c r="A1925" s="21"/>
      <c r="B1925" s="20"/>
      <c r="C1925" s="22"/>
      <c r="D1925" s="22"/>
      <c r="E1925" s="24"/>
      <c r="F1925" s="22"/>
      <c r="H1925" s="21">
        <v>45994</v>
      </c>
      <c r="I1925" s="22" t="s">
        <v>70</v>
      </c>
      <c r="J1925" s="22" t="s">
        <v>53</v>
      </c>
      <c r="K1925" s="24">
        <v>8</v>
      </c>
      <c r="M1925" s="21">
        <v>46059</v>
      </c>
      <c r="N1925" s="22" t="s">
        <v>70</v>
      </c>
      <c r="O1925" s="22" t="s">
        <v>56</v>
      </c>
      <c r="P1925" s="49">
        <v>74</v>
      </c>
      <c r="Q1925" s="49">
        <v>74</v>
      </c>
      <c r="R1925" s="46">
        <f t="shared" si="64"/>
        <v>0</v>
      </c>
      <c r="T1925" s="21">
        <v>46041</v>
      </c>
      <c r="U1925" s="22" t="s">
        <v>57</v>
      </c>
      <c r="V1925" s="24">
        <v>4</v>
      </c>
      <c r="W1925" s="24">
        <v>4</v>
      </c>
      <c r="X1925" s="24">
        <v>4</v>
      </c>
      <c r="Y1925" s="24">
        <v>4</v>
      </c>
      <c r="Z1925" s="20">
        <f t="shared" si="65"/>
        <v>16</v>
      </c>
    </row>
    <row r="1926" spans="1:26" x14ac:dyDescent="0.2">
      <c r="A1926" s="21"/>
      <c r="B1926" s="20"/>
      <c r="C1926" s="22"/>
      <c r="D1926" s="22"/>
      <c r="E1926" s="24"/>
      <c r="F1926" s="22"/>
      <c r="H1926" s="21">
        <v>45994</v>
      </c>
      <c r="I1926" s="22" t="s">
        <v>70</v>
      </c>
      <c r="J1926" s="22" t="s">
        <v>44</v>
      </c>
      <c r="K1926" s="24">
        <v>8</v>
      </c>
      <c r="M1926" s="21">
        <v>46059</v>
      </c>
      <c r="N1926" s="22" t="s">
        <v>70</v>
      </c>
      <c r="O1926" s="22" t="s">
        <v>57</v>
      </c>
      <c r="P1926" s="49">
        <v>92.1</v>
      </c>
      <c r="Q1926" s="49">
        <v>91</v>
      </c>
      <c r="R1926" s="46">
        <f t="shared" si="64"/>
        <v>1.0999999999999943</v>
      </c>
      <c r="T1926" s="21">
        <v>46041</v>
      </c>
      <c r="U1926" s="22" t="s">
        <v>58</v>
      </c>
      <c r="V1926" s="24">
        <v>4</v>
      </c>
      <c r="W1926" s="24">
        <v>4</v>
      </c>
      <c r="X1926" s="24">
        <v>4</v>
      </c>
      <c r="Y1926" s="24">
        <v>4</v>
      </c>
      <c r="Z1926" s="20">
        <f t="shared" si="65"/>
        <v>16</v>
      </c>
    </row>
    <row r="1927" spans="1:26" x14ac:dyDescent="0.2">
      <c r="A1927" s="21"/>
      <c r="B1927" s="20"/>
      <c r="C1927" s="22"/>
      <c r="D1927" s="22"/>
      <c r="E1927" s="24"/>
      <c r="F1927" s="22"/>
      <c r="H1927" s="21">
        <v>45994</v>
      </c>
      <c r="I1927" s="22" t="s">
        <v>70</v>
      </c>
      <c r="J1927" s="22" t="s">
        <v>45</v>
      </c>
      <c r="K1927" s="24">
        <v>6</v>
      </c>
      <c r="M1927" s="21">
        <v>46059</v>
      </c>
      <c r="N1927" s="22" t="s">
        <v>70</v>
      </c>
      <c r="O1927" s="22" t="s">
        <v>58</v>
      </c>
      <c r="P1927" s="49">
        <v>76.5</v>
      </c>
      <c r="Q1927" s="49">
        <v>76</v>
      </c>
      <c r="R1927" s="46">
        <f t="shared" si="64"/>
        <v>0.5</v>
      </c>
      <c r="T1927" s="21">
        <v>46041</v>
      </c>
      <c r="U1927" s="22" t="s">
        <v>33</v>
      </c>
      <c r="V1927" s="24">
        <v>3.9166666666666701</v>
      </c>
      <c r="W1927" s="24">
        <v>4.1666666666666696</v>
      </c>
      <c r="X1927" s="24">
        <v>4</v>
      </c>
      <c r="Y1927" s="24">
        <v>4</v>
      </c>
      <c r="Z1927" s="20">
        <f t="shared" si="65"/>
        <v>16.083333333333339</v>
      </c>
    </row>
    <row r="1928" spans="1:26" x14ac:dyDescent="0.2">
      <c r="A1928" s="21"/>
      <c r="B1928" s="20"/>
      <c r="C1928" s="22"/>
      <c r="D1928" s="22"/>
      <c r="E1928" s="24"/>
      <c r="F1928" s="22"/>
      <c r="H1928" s="21">
        <v>45994</v>
      </c>
      <c r="I1928" s="22" t="s">
        <v>70</v>
      </c>
      <c r="J1928" s="22" t="s">
        <v>57</v>
      </c>
      <c r="K1928" s="24">
        <v>7</v>
      </c>
      <c r="M1928" s="21">
        <v>46062</v>
      </c>
      <c r="N1928" s="22" t="s">
        <v>70</v>
      </c>
      <c r="O1928" s="22" t="s">
        <v>41</v>
      </c>
      <c r="P1928" s="49">
        <v>77</v>
      </c>
      <c r="Q1928" s="49">
        <v>76.3</v>
      </c>
      <c r="R1928" s="46">
        <f t="shared" si="64"/>
        <v>0.70000000000000284</v>
      </c>
      <c r="T1928" s="21">
        <v>46042</v>
      </c>
      <c r="U1928" s="22" t="s">
        <v>41</v>
      </c>
      <c r="V1928" s="24">
        <v>1</v>
      </c>
      <c r="W1928" s="24">
        <v>1</v>
      </c>
      <c r="X1928" s="24">
        <v>1</v>
      </c>
      <c r="Y1928" s="24">
        <v>1</v>
      </c>
      <c r="Z1928" s="20">
        <f t="shared" si="65"/>
        <v>4</v>
      </c>
    </row>
    <row r="1929" spans="1:26" x14ac:dyDescent="0.2">
      <c r="A1929" s="21"/>
      <c r="B1929" s="20"/>
      <c r="C1929" s="22"/>
      <c r="D1929" s="22"/>
      <c r="E1929" s="24"/>
      <c r="F1929" s="22"/>
      <c r="H1929" s="21">
        <v>45994</v>
      </c>
      <c r="I1929" s="22" t="s">
        <v>70</v>
      </c>
      <c r="J1929" s="22" t="s">
        <v>42</v>
      </c>
      <c r="K1929" s="24">
        <v>4</v>
      </c>
      <c r="M1929" s="21">
        <v>46062</v>
      </c>
      <c r="N1929" s="22" t="s">
        <v>70</v>
      </c>
      <c r="O1929" s="22" t="s">
        <v>42</v>
      </c>
      <c r="P1929" s="49">
        <v>79.400000000000006</v>
      </c>
      <c r="Q1929" s="49">
        <v>79.2</v>
      </c>
      <c r="R1929" s="46">
        <f t="shared" si="64"/>
        <v>0.20000000000000284</v>
      </c>
      <c r="T1929" s="21">
        <v>46042</v>
      </c>
      <c r="U1929" s="22" t="s">
        <v>42</v>
      </c>
      <c r="V1929" s="24">
        <v>5</v>
      </c>
      <c r="W1929" s="24">
        <v>5</v>
      </c>
      <c r="X1929" s="24">
        <v>4</v>
      </c>
      <c r="Y1929" s="24">
        <v>5</v>
      </c>
      <c r="Z1929" s="20">
        <f t="shared" si="65"/>
        <v>19</v>
      </c>
    </row>
    <row r="1930" spans="1:26" x14ac:dyDescent="0.2">
      <c r="A1930" s="21"/>
      <c r="B1930" s="20"/>
      <c r="C1930" s="22"/>
      <c r="D1930" s="22"/>
      <c r="E1930" s="24"/>
      <c r="F1930" s="22"/>
      <c r="H1930" s="21">
        <v>45994</v>
      </c>
      <c r="I1930" s="22" t="s">
        <v>70</v>
      </c>
      <c r="J1930" s="22" t="s">
        <v>47</v>
      </c>
      <c r="K1930" s="24">
        <v>7</v>
      </c>
      <c r="M1930" s="21">
        <v>46062</v>
      </c>
      <c r="N1930" s="22" t="s">
        <v>70</v>
      </c>
      <c r="O1930" s="22" t="s">
        <v>45</v>
      </c>
      <c r="P1930" s="49">
        <v>69</v>
      </c>
      <c r="Q1930" s="49">
        <v>68.3</v>
      </c>
      <c r="R1930" s="46">
        <f t="shared" si="64"/>
        <v>0.70000000000000284</v>
      </c>
      <c r="T1930" s="21">
        <v>46042</v>
      </c>
      <c r="U1930" s="22" t="s">
        <v>45</v>
      </c>
      <c r="V1930" s="24">
        <v>4</v>
      </c>
      <c r="W1930" s="24">
        <v>3</v>
      </c>
      <c r="X1930" s="24">
        <v>2</v>
      </c>
      <c r="Y1930" s="24">
        <v>4</v>
      </c>
      <c r="Z1930" s="20">
        <f t="shared" si="65"/>
        <v>13</v>
      </c>
    </row>
    <row r="1931" spans="1:26" x14ac:dyDescent="0.2">
      <c r="A1931" s="21"/>
      <c r="B1931" s="20"/>
      <c r="C1931" s="22"/>
      <c r="D1931" s="22"/>
      <c r="E1931" s="24"/>
      <c r="F1931" s="22"/>
      <c r="H1931" s="21">
        <v>45994</v>
      </c>
      <c r="I1931" s="22" t="s">
        <v>70</v>
      </c>
      <c r="J1931" s="22" t="s">
        <v>41</v>
      </c>
      <c r="K1931" s="24">
        <v>2</v>
      </c>
      <c r="M1931" s="21">
        <v>46062</v>
      </c>
      <c r="N1931" s="22" t="s">
        <v>70</v>
      </c>
      <c r="O1931" s="22" t="s">
        <v>46</v>
      </c>
      <c r="P1931" s="49">
        <v>81</v>
      </c>
      <c r="Q1931" s="49">
        <v>81</v>
      </c>
      <c r="R1931" s="46">
        <f t="shared" si="64"/>
        <v>0</v>
      </c>
      <c r="T1931" s="21">
        <v>46042</v>
      </c>
      <c r="U1931" s="22" t="s">
        <v>46</v>
      </c>
      <c r="V1931" s="24">
        <v>5</v>
      </c>
      <c r="W1931" s="24">
        <v>4</v>
      </c>
      <c r="X1931" s="24">
        <v>4</v>
      </c>
      <c r="Y1931" s="24">
        <v>5</v>
      </c>
      <c r="Z1931" s="20">
        <f t="shared" si="65"/>
        <v>18</v>
      </c>
    </row>
    <row r="1932" spans="1:26" x14ac:dyDescent="0.2">
      <c r="A1932" s="21"/>
      <c r="B1932" s="20"/>
      <c r="C1932" s="22"/>
      <c r="D1932" s="22"/>
      <c r="E1932" s="24"/>
      <c r="F1932" s="22"/>
      <c r="H1932" s="21">
        <v>45994</v>
      </c>
      <c r="I1932" s="22" t="s">
        <v>70</v>
      </c>
      <c r="J1932" s="22" t="s">
        <v>58</v>
      </c>
      <c r="K1932" s="24">
        <v>7</v>
      </c>
      <c r="M1932" s="21">
        <v>46062</v>
      </c>
      <c r="N1932" s="22" t="s">
        <v>70</v>
      </c>
      <c r="O1932" s="22" t="s">
        <v>47</v>
      </c>
      <c r="P1932" s="49">
        <v>72</v>
      </c>
      <c r="Q1932" s="49">
        <v>72</v>
      </c>
      <c r="R1932" s="46">
        <f t="shared" si="64"/>
        <v>0</v>
      </c>
      <c r="T1932" s="21">
        <v>46042</v>
      </c>
      <c r="U1932" s="22" t="s">
        <v>49</v>
      </c>
      <c r="V1932" s="24">
        <v>2</v>
      </c>
      <c r="W1932" s="24">
        <v>2</v>
      </c>
      <c r="X1932" s="24">
        <v>2</v>
      </c>
      <c r="Y1932" s="24">
        <v>2</v>
      </c>
      <c r="Z1932" s="20">
        <f t="shared" si="65"/>
        <v>8</v>
      </c>
    </row>
    <row r="1933" spans="1:26" x14ac:dyDescent="0.2">
      <c r="A1933" s="21"/>
      <c r="B1933" s="20"/>
      <c r="C1933" s="22"/>
      <c r="D1933" s="22"/>
      <c r="E1933" s="24"/>
      <c r="F1933" s="22"/>
      <c r="H1933" s="21">
        <v>45994</v>
      </c>
      <c r="I1933" s="22" t="s">
        <v>70</v>
      </c>
      <c r="J1933" s="22" t="s">
        <v>49</v>
      </c>
      <c r="K1933" s="24">
        <v>7</v>
      </c>
      <c r="M1933" s="21">
        <v>46062</v>
      </c>
      <c r="N1933" s="22" t="s">
        <v>70</v>
      </c>
      <c r="O1933" s="22" t="s">
        <v>49</v>
      </c>
      <c r="P1933" s="49">
        <v>78.7</v>
      </c>
      <c r="Q1933" s="49">
        <v>78.400000000000006</v>
      </c>
      <c r="R1933" s="46">
        <f t="shared" si="64"/>
        <v>0.29999999999999716</v>
      </c>
      <c r="T1933" s="21">
        <v>46042</v>
      </c>
      <c r="U1933" s="22" t="s">
        <v>50</v>
      </c>
      <c r="V1933" s="24">
        <v>2</v>
      </c>
      <c r="W1933" s="24">
        <v>3</v>
      </c>
      <c r="X1933" s="24">
        <v>3</v>
      </c>
      <c r="Y1933" s="24">
        <v>4</v>
      </c>
      <c r="Z1933" s="20">
        <f t="shared" si="65"/>
        <v>12</v>
      </c>
    </row>
    <row r="1934" spans="1:26" x14ac:dyDescent="0.2">
      <c r="A1934" s="21"/>
      <c r="B1934" s="20"/>
      <c r="C1934" s="22"/>
      <c r="D1934" s="22"/>
      <c r="E1934" s="24"/>
      <c r="F1934" s="22"/>
      <c r="H1934" s="21">
        <v>45994</v>
      </c>
      <c r="I1934" s="22" t="s">
        <v>70</v>
      </c>
      <c r="J1934" s="22" t="s">
        <v>50</v>
      </c>
      <c r="K1934" s="24">
        <v>7</v>
      </c>
      <c r="M1934" s="21">
        <v>46062</v>
      </c>
      <c r="N1934" s="22" t="s">
        <v>70</v>
      </c>
      <c r="O1934" s="22" t="s">
        <v>50</v>
      </c>
      <c r="P1934" s="49">
        <v>66.5</v>
      </c>
      <c r="Q1934" s="49">
        <v>65.8</v>
      </c>
      <c r="R1934" s="46">
        <f t="shared" si="64"/>
        <v>0.70000000000000284</v>
      </c>
      <c r="T1934" s="21">
        <v>46042</v>
      </c>
      <c r="U1934" s="22" t="s">
        <v>51</v>
      </c>
      <c r="V1934" s="24">
        <v>4</v>
      </c>
      <c r="W1934" s="24">
        <v>3</v>
      </c>
      <c r="X1934" s="24">
        <v>3</v>
      </c>
      <c r="Y1934" s="24">
        <v>5</v>
      </c>
      <c r="Z1934" s="20">
        <f t="shared" si="65"/>
        <v>15</v>
      </c>
    </row>
    <row r="1935" spans="1:26" x14ac:dyDescent="0.2">
      <c r="A1935" s="21"/>
      <c r="B1935" s="20"/>
      <c r="C1935" s="22"/>
      <c r="D1935" s="22"/>
      <c r="E1935" s="24"/>
      <c r="F1935" s="22"/>
      <c r="H1935" s="21">
        <v>45994</v>
      </c>
      <c r="I1935" s="22" t="s">
        <v>70</v>
      </c>
      <c r="J1935" s="22" t="s">
        <v>51</v>
      </c>
      <c r="K1935" s="24">
        <v>8</v>
      </c>
      <c r="M1935" s="21">
        <v>46062</v>
      </c>
      <c r="N1935" s="22" t="s">
        <v>70</v>
      </c>
      <c r="O1935" s="22" t="s">
        <v>51</v>
      </c>
      <c r="P1935" s="49">
        <v>75.3</v>
      </c>
      <c r="Q1935" s="49">
        <v>75.099999999999994</v>
      </c>
      <c r="R1935" s="46">
        <f t="shared" si="64"/>
        <v>0.20000000000000284</v>
      </c>
      <c r="T1935" s="21">
        <v>46042</v>
      </c>
      <c r="U1935" s="22" t="s">
        <v>52</v>
      </c>
      <c r="V1935" s="24">
        <v>4</v>
      </c>
      <c r="W1935" s="24">
        <v>3</v>
      </c>
      <c r="X1935" s="24">
        <v>3</v>
      </c>
      <c r="Y1935" s="24">
        <v>4</v>
      </c>
      <c r="Z1935" s="20">
        <f t="shared" si="65"/>
        <v>14</v>
      </c>
    </row>
    <row r="1936" spans="1:26" x14ac:dyDescent="0.2">
      <c r="A1936" s="21"/>
      <c r="B1936" s="20"/>
      <c r="C1936" s="22"/>
      <c r="D1936" s="22"/>
      <c r="E1936" s="24"/>
      <c r="F1936" s="22"/>
      <c r="H1936" s="21">
        <v>45994</v>
      </c>
      <c r="I1936" s="22" t="s">
        <v>70</v>
      </c>
      <c r="J1936" s="22" t="s">
        <v>46</v>
      </c>
      <c r="K1936" s="24">
        <v>7</v>
      </c>
      <c r="M1936" s="21">
        <v>46062</v>
      </c>
      <c r="N1936" s="22" t="s">
        <v>70</v>
      </c>
      <c r="O1936" s="22" t="s">
        <v>52</v>
      </c>
      <c r="P1936" s="49">
        <v>72</v>
      </c>
      <c r="Q1936" s="49">
        <v>71</v>
      </c>
      <c r="R1936" s="46">
        <f t="shared" si="64"/>
        <v>1</v>
      </c>
      <c r="T1936" s="21">
        <v>46042</v>
      </c>
      <c r="U1936" s="22" t="s">
        <v>53</v>
      </c>
      <c r="V1936" s="24">
        <v>4</v>
      </c>
      <c r="W1936" s="24">
        <v>3</v>
      </c>
      <c r="X1936" s="24">
        <v>3</v>
      </c>
      <c r="Y1936" s="24">
        <v>4</v>
      </c>
      <c r="Z1936" s="20">
        <f t="shared" si="65"/>
        <v>14</v>
      </c>
    </row>
    <row r="1937" spans="1:26" x14ac:dyDescent="0.2">
      <c r="A1937" s="21"/>
      <c r="B1937" s="20"/>
      <c r="C1937" s="22"/>
      <c r="D1937" s="22"/>
      <c r="E1937" s="24"/>
      <c r="F1937" s="22"/>
      <c r="H1937" s="21">
        <v>45994</v>
      </c>
      <c r="I1937" s="22" t="s">
        <v>70</v>
      </c>
      <c r="J1937" s="22" t="s">
        <v>48</v>
      </c>
      <c r="K1937" s="24">
        <v>7</v>
      </c>
      <c r="M1937" s="21">
        <v>46062</v>
      </c>
      <c r="N1937" s="22" t="s">
        <v>70</v>
      </c>
      <c r="O1937" s="22" t="s">
        <v>53</v>
      </c>
      <c r="P1937" s="49">
        <v>67.900000000000006</v>
      </c>
      <c r="Q1937" s="49">
        <v>67.5</v>
      </c>
      <c r="R1937" s="46">
        <f t="shared" si="64"/>
        <v>0.40000000000000568</v>
      </c>
      <c r="T1937" s="21">
        <v>46042</v>
      </c>
      <c r="U1937" s="22" t="s">
        <v>55</v>
      </c>
      <c r="V1937" s="24">
        <v>5</v>
      </c>
      <c r="W1937" s="24">
        <v>1</v>
      </c>
      <c r="X1937" s="24">
        <v>2</v>
      </c>
      <c r="Y1937" s="24">
        <v>2</v>
      </c>
      <c r="Z1937" s="20">
        <f t="shared" si="65"/>
        <v>10</v>
      </c>
    </row>
    <row r="1938" spans="1:26" x14ac:dyDescent="0.2">
      <c r="A1938" s="21"/>
      <c r="B1938" s="20"/>
      <c r="C1938" s="22"/>
      <c r="D1938" s="22"/>
      <c r="E1938" s="24"/>
      <c r="F1938" s="22"/>
      <c r="H1938" s="21">
        <v>45994</v>
      </c>
      <c r="I1938" s="22" t="s">
        <v>70</v>
      </c>
      <c r="J1938" s="22" t="s">
        <v>56</v>
      </c>
      <c r="K1938" s="24">
        <v>7</v>
      </c>
      <c r="M1938" s="21">
        <v>46062</v>
      </c>
      <c r="N1938" s="22" t="s">
        <v>70</v>
      </c>
      <c r="O1938" s="22" t="s">
        <v>54</v>
      </c>
      <c r="P1938" s="49">
        <v>83.2</v>
      </c>
      <c r="Q1938" s="49">
        <v>83.1</v>
      </c>
      <c r="R1938" s="46">
        <f t="shared" si="64"/>
        <v>0.10000000000000853</v>
      </c>
      <c r="T1938" s="21">
        <v>46042</v>
      </c>
      <c r="U1938" s="22" t="s">
        <v>56</v>
      </c>
      <c r="V1938" s="24">
        <v>5</v>
      </c>
      <c r="W1938" s="24">
        <v>4</v>
      </c>
      <c r="X1938" s="24">
        <v>4</v>
      </c>
      <c r="Y1938" s="24">
        <v>2</v>
      </c>
      <c r="Z1938" s="20">
        <f t="shared" si="65"/>
        <v>15</v>
      </c>
    </row>
    <row r="1939" spans="1:26" x14ac:dyDescent="0.2">
      <c r="A1939" s="21"/>
      <c r="B1939" s="20"/>
      <c r="C1939" s="22"/>
      <c r="D1939" s="22"/>
      <c r="E1939" s="24"/>
      <c r="F1939" s="22"/>
      <c r="H1939" s="21">
        <v>45995</v>
      </c>
      <c r="I1939" s="22" t="s">
        <v>70</v>
      </c>
      <c r="J1939" s="22" t="s">
        <v>52</v>
      </c>
      <c r="K1939" s="24">
        <v>7</v>
      </c>
      <c r="M1939" s="21">
        <v>46062</v>
      </c>
      <c r="N1939" s="22" t="s">
        <v>70</v>
      </c>
      <c r="O1939" s="22" t="s">
        <v>57</v>
      </c>
      <c r="P1939" s="49">
        <v>91.9</v>
      </c>
      <c r="Q1939" s="49">
        <v>91.3</v>
      </c>
      <c r="R1939" s="46">
        <f t="shared" si="64"/>
        <v>0.60000000000000853</v>
      </c>
      <c r="T1939" s="21">
        <v>46042</v>
      </c>
      <c r="U1939" s="22" t="s">
        <v>57</v>
      </c>
      <c r="V1939" s="24">
        <v>4</v>
      </c>
      <c r="W1939" s="24">
        <v>4</v>
      </c>
      <c r="X1939" s="24">
        <v>2</v>
      </c>
      <c r="Y1939" s="24">
        <v>4</v>
      </c>
      <c r="Z1939" s="20">
        <f t="shared" si="65"/>
        <v>14</v>
      </c>
    </row>
    <row r="1940" spans="1:26" x14ac:dyDescent="0.2">
      <c r="A1940" s="21"/>
      <c r="B1940" s="20"/>
      <c r="C1940" s="22"/>
      <c r="D1940" s="22"/>
      <c r="E1940" s="24"/>
      <c r="F1940" s="22"/>
      <c r="H1940" s="21">
        <v>45995</v>
      </c>
      <c r="I1940" s="22" t="s">
        <v>70</v>
      </c>
      <c r="J1940" s="22" t="s">
        <v>53</v>
      </c>
      <c r="K1940" s="24">
        <v>6</v>
      </c>
      <c r="M1940" s="21">
        <v>46062</v>
      </c>
      <c r="N1940" s="22" t="s">
        <v>70</v>
      </c>
      <c r="O1940" s="22" t="s">
        <v>58</v>
      </c>
      <c r="P1940" s="49">
        <v>76.2</v>
      </c>
      <c r="Q1940" s="49">
        <v>76.400000000000006</v>
      </c>
      <c r="R1940" s="46">
        <f t="shared" si="64"/>
        <v>-0.20000000000000284</v>
      </c>
      <c r="T1940" s="21">
        <v>46042</v>
      </c>
      <c r="U1940" s="22" t="s">
        <v>58</v>
      </c>
      <c r="V1940" s="24">
        <v>4</v>
      </c>
      <c r="W1940" s="24">
        <v>4</v>
      </c>
      <c r="X1940" s="24">
        <v>2</v>
      </c>
      <c r="Y1940" s="24">
        <v>5</v>
      </c>
      <c r="Z1940" s="20">
        <f t="shared" si="65"/>
        <v>15</v>
      </c>
    </row>
    <row r="1941" spans="1:26" x14ac:dyDescent="0.2">
      <c r="A1941" s="21"/>
      <c r="B1941" s="20"/>
      <c r="C1941" s="22"/>
      <c r="D1941" s="22"/>
      <c r="E1941" s="24"/>
      <c r="F1941" s="22"/>
      <c r="H1941" s="21">
        <v>45995</v>
      </c>
      <c r="I1941" s="22" t="s">
        <v>70</v>
      </c>
      <c r="J1941" s="22" t="s">
        <v>44</v>
      </c>
      <c r="K1941" s="24">
        <v>8</v>
      </c>
      <c r="M1941" s="21">
        <v>46063</v>
      </c>
      <c r="N1941" s="22" t="s">
        <v>70</v>
      </c>
      <c r="O1941" s="22" t="s">
        <v>41</v>
      </c>
      <c r="P1941" s="49">
        <v>77</v>
      </c>
      <c r="Q1941" s="49">
        <v>76.099999999999994</v>
      </c>
      <c r="R1941" s="46">
        <f t="shared" si="64"/>
        <v>0.90000000000000568</v>
      </c>
      <c r="T1941" s="21">
        <v>46042</v>
      </c>
      <c r="U1941" s="22" t="s">
        <v>33</v>
      </c>
      <c r="V1941" s="24">
        <v>3.7692307692307701</v>
      </c>
      <c r="W1941" s="24">
        <v>3.0769230769230802</v>
      </c>
      <c r="X1941" s="24">
        <v>2.6923076923076898</v>
      </c>
      <c r="Y1941" s="24">
        <v>3.6153846153846199</v>
      </c>
      <c r="Z1941" s="20">
        <f t="shared" si="65"/>
        <v>13.15384615384616</v>
      </c>
    </row>
    <row r="1942" spans="1:26" x14ac:dyDescent="0.2">
      <c r="A1942" s="21"/>
      <c r="B1942" s="20"/>
      <c r="C1942" s="22"/>
      <c r="D1942" s="22"/>
      <c r="E1942" s="24"/>
      <c r="F1942" s="22"/>
      <c r="H1942" s="21">
        <v>45995</v>
      </c>
      <c r="I1942" s="22" t="s">
        <v>70</v>
      </c>
      <c r="J1942" s="22" t="s">
        <v>45</v>
      </c>
      <c r="K1942" s="24">
        <v>7</v>
      </c>
      <c r="M1942" s="21">
        <v>46063</v>
      </c>
      <c r="N1942" s="22" t="s">
        <v>70</v>
      </c>
      <c r="O1942" s="22" t="s">
        <v>42</v>
      </c>
      <c r="P1942" s="49">
        <v>78.900000000000006</v>
      </c>
      <c r="Q1942" s="49">
        <v>79</v>
      </c>
      <c r="R1942" s="46">
        <f t="shared" si="64"/>
        <v>-9.9999999999994316E-2</v>
      </c>
      <c r="T1942" s="21">
        <v>46043</v>
      </c>
      <c r="U1942" s="22" t="s">
        <v>41</v>
      </c>
      <c r="V1942" s="24">
        <v>1</v>
      </c>
      <c r="W1942" s="24">
        <v>1</v>
      </c>
      <c r="X1942" s="24">
        <v>1</v>
      </c>
      <c r="Y1942" s="24">
        <v>1</v>
      </c>
      <c r="Z1942" s="20">
        <f t="shared" si="65"/>
        <v>4</v>
      </c>
    </row>
    <row r="1943" spans="1:26" x14ac:dyDescent="0.2">
      <c r="A1943" s="21"/>
      <c r="B1943" s="20"/>
      <c r="C1943" s="22"/>
      <c r="D1943" s="22"/>
      <c r="E1943" s="24"/>
      <c r="F1943" s="22"/>
      <c r="H1943" s="21">
        <v>45995</v>
      </c>
      <c r="I1943" s="22" t="s">
        <v>70</v>
      </c>
      <c r="J1943" s="22" t="s">
        <v>57</v>
      </c>
      <c r="K1943" s="24">
        <v>8</v>
      </c>
      <c r="M1943" s="21">
        <v>46063</v>
      </c>
      <c r="N1943" s="22" t="s">
        <v>70</v>
      </c>
      <c r="O1943" s="22" t="s">
        <v>44</v>
      </c>
      <c r="P1943" s="49">
        <v>68.5</v>
      </c>
      <c r="Q1943" s="49">
        <v>68.599999999999994</v>
      </c>
      <c r="R1943" s="46">
        <f t="shared" si="64"/>
        <v>-9.9999999999994316E-2</v>
      </c>
      <c r="T1943" s="21">
        <v>46043</v>
      </c>
      <c r="U1943" s="22" t="s">
        <v>42</v>
      </c>
      <c r="V1943" s="24">
        <v>3</v>
      </c>
      <c r="W1943" s="24">
        <v>4</v>
      </c>
      <c r="X1943" s="24">
        <v>3</v>
      </c>
      <c r="Y1943" s="24">
        <v>4</v>
      </c>
      <c r="Z1943" s="20">
        <f t="shared" si="65"/>
        <v>14</v>
      </c>
    </row>
    <row r="1944" spans="1:26" x14ac:dyDescent="0.2">
      <c r="A1944" s="21"/>
      <c r="B1944" s="20"/>
      <c r="C1944" s="22"/>
      <c r="D1944" s="22"/>
      <c r="E1944" s="24"/>
      <c r="F1944" s="22"/>
      <c r="H1944" s="21">
        <v>45995</v>
      </c>
      <c r="I1944" s="22" t="s">
        <v>70</v>
      </c>
      <c r="J1944" s="22" t="s">
        <v>42</v>
      </c>
      <c r="K1944" s="24">
        <v>4</v>
      </c>
      <c r="M1944" s="21">
        <v>46063</v>
      </c>
      <c r="N1944" s="22" t="s">
        <v>70</v>
      </c>
      <c r="O1944" s="22" t="s">
        <v>45</v>
      </c>
      <c r="P1944" s="49">
        <v>69</v>
      </c>
      <c r="Q1944" s="49">
        <v>68.3</v>
      </c>
      <c r="R1944" s="46">
        <f t="shared" si="64"/>
        <v>0.70000000000000284</v>
      </c>
      <c r="T1944" s="21">
        <v>46043</v>
      </c>
      <c r="U1944" s="22" t="s">
        <v>45</v>
      </c>
      <c r="V1944" s="24">
        <v>4</v>
      </c>
      <c r="W1944" s="24">
        <v>3</v>
      </c>
      <c r="X1944" s="24">
        <v>2</v>
      </c>
      <c r="Y1944" s="24">
        <v>4</v>
      </c>
      <c r="Z1944" s="20">
        <f t="shared" si="65"/>
        <v>13</v>
      </c>
    </row>
    <row r="1945" spans="1:26" x14ac:dyDescent="0.2">
      <c r="A1945" s="21"/>
      <c r="B1945" s="20"/>
      <c r="C1945" s="22"/>
      <c r="D1945" s="22"/>
      <c r="E1945" s="24"/>
      <c r="F1945" s="22"/>
      <c r="H1945" s="21">
        <v>45995</v>
      </c>
      <c r="I1945" s="22" t="s">
        <v>70</v>
      </c>
      <c r="J1945" s="22" t="s">
        <v>47</v>
      </c>
      <c r="K1945" s="24">
        <v>8</v>
      </c>
      <c r="M1945" s="21">
        <v>46063</v>
      </c>
      <c r="N1945" s="22" t="s">
        <v>70</v>
      </c>
      <c r="O1945" s="22" t="s">
        <v>46</v>
      </c>
      <c r="P1945" s="49">
        <v>80.7</v>
      </c>
      <c r="Q1945" s="49">
        <v>81.3</v>
      </c>
      <c r="R1945" s="46">
        <f t="shared" si="64"/>
        <v>-0.59999999999999432</v>
      </c>
      <c r="T1945" s="21">
        <v>46043</v>
      </c>
      <c r="U1945" s="22" t="s">
        <v>46</v>
      </c>
      <c r="V1945" s="24">
        <v>5</v>
      </c>
      <c r="W1945" s="24">
        <v>3</v>
      </c>
      <c r="X1945" s="24">
        <v>4</v>
      </c>
      <c r="Y1945" s="24">
        <v>5</v>
      </c>
      <c r="Z1945" s="20">
        <f t="shared" si="65"/>
        <v>17</v>
      </c>
    </row>
    <row r="1946" spans="1:26" x14ac:dyDescent="0.2">
      <c r="A1946" s="21"/>
      <c r="B1946" s="20"/>
      <c r="C1946" s="22"/>
      <c r="D1946" s="22"/>
      <c r="E1946" s="24"/>
      <c r="F1946" s="22"/>
      <c r="H1946" s="21">
        <v>45995</v>
      </c>
      <c r="I1946" s="22" t="s">
        <v>70</v>
      </c>
      <c r="J1946" s="22" t="s">
        <v>41</v>
      </c>
      <c r="K1946" s="24">
        <v>7</v>
      </c>
      <c r="M1946" s="21">
        <v>46063</v>
      </c>
      <c r="N1946" s="22" t="s">
        <v>70</v>
      </c>
      <c r="O1946" s="22" t="s">
        <v>47</v>
      </c>
      <c r="P1946" s="49">
        <v>71.7</v>
      </c>
      <c r="Q1946" s="49">
        <v>72</v>
      </c>
      <c r="R1946" s="46">
        <f t="shared" si="64"/>
        <v>-0.29999999999999716</v>
      </c>
      <c r="T1946" s="21">
        <v>46043</v>
      </c>
      <c r="U1946" s="22" t="s">
        <v>49</v>
      </c>
      <c r="V1946" s="24">
        <v>3</v>
      </c>
      <c r="W1946" s="24">
        <v>2</v>
      </c>
      <c r="X1946" s="24">
        <v>2</v>
      </c>
      <c r="Y1946" s="24">
        <v>2</v>
      </c>
      <c r="Z1946" s="20">
        <f t="shared" si="65"/>
        <v>9</v>
      </c>
    </row>
    <row r="1947" spans="1:26" x14ac:dyDescent="0.2">
      <c r="A1947" s="21"/>
      <c r="B1947" s="20"/>
      <c r="C1947" s="22"/>
      <c r="D1947" s="22"/>
      <c r="E1947" s="24"/>
      <c r="F1947" s="22"/>
      <c r="H1947" s="21">
        <v>45995</v>
      </c>
      <c r="I1947" s="22" t="s">
        <v>70</v>
      </c>
      <c r="J1947" s="22" t="s">
        <v>58</v>
      </c>
      <c r="K1947" s="24" t="s">
        <v>60</v>
      </c>
      <c r="M1947" s="21">
        <v>46063</v>
      </c>
      <c r="N1947" s="22" t="s">
        <v>70</v>
      </c>
      <c r="O1947" s="22" t="s">
        <v>49</v>
      </c>
      <c r="P1947" s="49">
        <v>78.3</v>
      </c>
      <c r="Q1947" s="49">
        <v>78.3</v>
      </c>
      <c r="R1947" s="46">
        <f t="shared" si="64"/>
        <v>0</v>
      </c>
      <c r="T1947" s="21">
        <v>46043</v>
      </c>
      <c r="U1947" s="22" t="s">
        <v>50</v>
      </c>
      <c r="V1947" s="24">
        <v>3</v>
      </c>
      <c r="W1947" s="24">
        <v>1</v>
      </c>
      <c r="X1947" s="24">
        <v>2</v>
      </c>
      <c r="Y1947" s="24">
        <v>3</v>
      </c>
      <c r="Z1947" s="20">
        <f t="shared" si="65"/>
        <v>9</v>
      </c>
    </row>
    <row r="1948" spans="1:26" x14ac:dyDescent="0.2">
      <c r="A1948" s="21"/>
      <c r="B1948" s="20"/>
      <c r="C1948" s="22"/>
      <c r="D1948" s="22"/>
      <c r="E1948" s="24"/>
      <c r="F1948" s="22"/>
      <c r="H1948" s="21">
        <v>45995</v>
      </c>
      <c r="I1948" s="22" t="s">
        <v>70</v>
      </c>
      <c r="J1948" s="22" t="s">
        <v>49</v>
      </c>
      <c r="K1948" s="24">
        <v>8</v>
      </c>
      <c r="M1948" s="21">
        <v>46063</v>
      </c>
      <c r="N1948" s="22" t="s">
        <v>70</v>
      </c>
      <c r="O1948" s="22" t="s">
        <v>50</v>
      </c>
      <c r="P1948" s="49">
        <v>66.5</v>
      </c>
      <c r="Q1948" s="49">
        <v>66.099999999999994</v>
      </c>
      <c r="R1948" s="46">
        <f t="shared" si="64"/>
        <v>0.40000000000000568</v>
      </c>
      <c r="T1948" s="21">
        <v>46043</v>
      </c>
      <c r="U1948" s="22" t="s">
        <v>51</v>
      </c>
      <c r="V1948" s="24">
        <v>3</v>
      </c>
      <c r="W1948" s="24">
        <v>2</v>
      </c>
      <c r="X1948" s="24">
        <v>2</v>
      </c>
      <c r="Y1948" s="24">
        <v>5</v>
      </c>
      <c r="Z1948" s="20">
        <f t="shared" si="65"/>
        <v>12</v>
      </c>
    </row>
    <row r="1949" spans="1:26" x14ac:dyDescent="0.2">
      <c r="A1949" s="21"/>
      <c r="B1949" s="20"/>
      <c r="C1949" s="22"/>
      <c r="D1949" s="22"/>
      <c r="E1949" s="24"/>
      <c r="F1949" s="22"/>
      <c r="H1949" s="21">
        <v>45995</v>
      </c>
      <c r="I1949" s="22" t="s">
        <v>70</v>
      </c>
      <c r="J1949" s="22" t="s">
        <v>50</v>
      </c>
      <c r="K1949" s="24">
        <v>8</v>
      </c>
      <c r="M1949" s="21">
        <v>46063</v>
      </c>
      <c r="N1949" s="22" t="s">
        <v>70</v>
      </c>
      <c r="O1949" s="22" t="s">
        <v>51</v>
      </c>
      <c r="P1949" s="49">
        <v>75.3</v>
      </c>
      <c r="Q1949" s="49">
        <v>75</v>
      </c>
      <c r="R1949" s="46">
        <f t="shared" si="64"/>
        <v>0.29999999999999716</v>
      </c>
      <c r="T1949" s="21">
        <v>46043</v>
      </c>
      <c r="U1949" s="22" t="s">
        <v>52</v>
      </c>
      <c r="V1949" s="24">
        <v>4</v>
      </c>
      <c r="W1949" s="24">
        <v>4</v>
      </c>
      <c r="X1949" s="24">
        <v>4</v>
      </c>
      <c r="Y1949" s="24">
        <v>4</v>
      </c>
      <c r="Z1949" s="20">
        <f t="shared" si="65"/>
        <v>16</v>
      </c>
    </row>
    <row r="1950" spans="1:26" x14ac:dyDescent="0.2">
      <c r="A1950" s="21"/>
      <c r="B1950" s="20"/>
      <c r="C1950" s="22"/>
      <c r="D1950" s="22"/>
      <c r="E1950" s="24"/>
      <c r="F1950" s="22"/>
      <c r="H1950" s="21">
        <v>45995</v>
      </c>
      <c r="I1950" s="22" t="s">
        <v>70</v>
      </c>
      <c r="J1950" s="22" t="s">
        <v>51</v>
      </c>
      <c r="K1950" s="24">
        <v>7</v>
      </c>
      <c r="M1950" s="21">
        <v>46063</v>
      </c>
      <c r="N1950" s="22" t="s">
        <v>70</v>
      </c>
      <c r="O1950" s="22" t="s">
        <v>52</v>
      </c>
      <c r="P1950" s="49">
        <v>71</v>
      </c>
      <c r="Q1950" s="49">
        <v>70.5</v>
      </c>
      <c r="R1950" s="46">
        <f t="shared" si="64"/>
        <v>0.5</v>
      </c>
      <c r="T1950" s="21">
        <v>46043</v>
      </c>
      <c r="U1950" s="22" t="s">
        <v>53</v>
      </c>
      <c r="V1950" s="24">
        <v>3</v>
      </c>
      <c r="W1950" s="24">
        <v>2</v>
      </c>
      <c r="X1950" s="24">
        <v>2</v>
      </c>
      <c r="Y1950" s="24">
        <v>5</v>
      </c>
      <c r="Z1950" s="20">
        <f t="shared" si="65"/>
        <v>12</v>
      </c>
    </row>
    <row r="1951" spans="1:26" x14ac:dyDescent="0.2">
      <c r="A1951" s="21"/>
      <c r="B1951" s="20"/>
      <c r="C1951" s="22"/>
      <c r="D1951" s="22"/>
      <c r="E1951" s="24"/>
      <c r="F1951" s="22"/>
      <c r="H1951" s="21">
        <v>45995</v>
      </c>
      <c r="I1951" s="22" t="s">
        <v>70</v>
      </c>
      <c r="J1951" s="22" t="s">
        <v>46</v>
      </c>
      <c r="K1951" s="24">
        <v>7</v>
      </c>
      <c r="M1951" s="21">
        <v>46063</v>
      </c>
      <c r="N1951" s="22" t="s">
        <v>70</v>
      </c>
      <c r="O1951" s="22" t="s">
        <v>53</v>
      </c>
      <c r="P1951" s="49">
        <v>68</v>
      </c>
      <c r="Q1951" s="49">
        <v>67.5</v>
      </c>
      <c r="R1951" s="46">
        <f t="shared" si="64"/>
        <v>0.5</v>
      </c>
      <c r="T1951" s="21">
        <v>46043</v>
      </c>
      <c r="U1951" s="22" t="s">
        <v>56</v>
      </c>
      <c r="V1951" s="24">
        <v>2</v>
      </c>
      <c r="W1951" s="24">
        <v>2</v>
      </c>
      <c r="X1951" s="24">
        <v>2</v>
      </c>
      <c r="Y1951" s="24">
        <v>2</v>
      </c>
      <c r="Z1951" s="20">
        <f t="shared" si="65"/>
        <v>8</v>
      </c>
    </row>
    <row r="1952" spans="1:26" x14ac:dyDescent="0.2">
      <c r="A1952" s="21"/>
      <c r="B1952" s="20"/>
      <c r="C1952" s="22"/>
      <c r="D1952" s="22"/>
      <c r="E1952" s="24"/>
      <c r="F1952" s="22"/>
      <c r="H1952" s="21">
        <v>45995</v>
      </c>
      <c r="I1952" s="22" t="s">
        <v>70</v>
      </c>
      <c r="J1952" s="22" t="s">
        <v>48</v>
      </c>
      <c r="K1952" s="24">
        <v>8</v>
      </c>
      <c r="M1952" s="21">
        <v>46063</v>
      </c>
      <c r="N1952" s="22" t="s">
        <v>70</v>
      </c>
      <c r="O1952" s="22" t="s">
        <v>54</v>
      </c>
      <c r="P1952" s="49">
        <v>83.3</v>
      </c>
      <c r="Q1952" s="49">
        <v>83.4</v>
      </c>
      <c r="R1952" s="46">
        <f t="shared" si="64"/>
        <v>-0.10000000000000853</v>
      </c>
      <c r="T1952" s="21">
        <v>46043</v>
      </c>
      <c r="U1952" s="22" t="s">
        <v>57</v>
      </c>
      <c r="V1952" s="24">
        <v>3</v>
      </c>
      <c r="W1952" s="24">
        <v>3</v>
      </c>
      <c r="X1952" s="24">
        <v>2</v>
      </c>
      <c r="Y1952" s="24">
        <v>4</v>
      </c>
      <c r="Z1952" s="20">
        <f t="shared" si="65"/>
        <v>12</v>
      </c>
    </row>
    <row r="1953" spans="1:26" x14ac:dyDescent="0.2">
      <c r="A1953" s="21"/>
      <c r="B1953" s="20"/>
      <c r="C1953" s="22"/>
      <c r="D1953" s="22"/>
      <c r="E1953" s="24"/>
      <c r="F1953" s="22"/>
      <c r="H1953" s="21">
        <v>45995</v>
      </c>
      <c r="I1953" s="22" t="s">
        <v>70</v>
      </c>
      <c r="J1953" s="22" t="s">
        <v>56</v>
      </c>
      <c r="K1953" s="24">
        <v>8</v>
      </c>
      <c r="M1953" s="21">
        <v>46063</v>
      </c>
      <c r="N1953" s="22" t="s">
        <v>70</v>
      </c>
      <c r="O1953" s="22" t="s">
        <v>57</v>
      </c>
      <c r="P1953" s="49">
        <v>91.9</v>
      </c>
      <c r="Q1953" s="49">
        <v>92.1</v>
      </c>
      <c r="R1953" s="46">
        <f t="shared" si="64"/>
        <v>-0.19999999999998863</v>
      </c>
      <c r="T1953" s="21">
        <v>46043</v>
      </c>
      <c r="U1953" s="22" t="s">
        <v>58</v>
      </c>
      <c r="V1953" s="24">
        <v>5</v>
      </c>
      <c r="W1953" s="24">
        <v>4</v>
      </c>
      <c r="X1953" s="24">
        <v>4</v>
      </c>
      <c r="Y1953" s="24">
        <v>4</v>
      </c>
      <c r="Z1953" s="20">
        <f t="shared" si="65"/>
        <v>17</v>
      </c>
    </row>
    <row r="1954" spans="1:26" x14ac:dyDescent="0.2">
      <c r="A1954" s="21"/>
      <c r="B1954" s="20"/>
      <c r="C1954" s="22"/>
      <c r="D1954" s="22"/>
      <c r="E1954" s="24"/>
      <c r="F1954" s="22"/>
      <c r="H1954" s="21">
        <v>45996</v>
      </c>
      <c r="I1954" s="22" t="s">
        <v>70</v>
      </c>
      <c r="J1954" s="22" t="s">
        <v>52</v>
      </c>
      <c r="K1954" s="24">
        <v>3</v>
      </c>
      <c r="M1954" s="21">
        <v>46063</v>
      </c>
      <c r="N1954" s="22" t="s">
        <v>70</v>
      </c>
      <c r="O1954" s="22" t="s">
        <v>58</v>
      </c>
      <c r="P1954" s="49">
        <v>76.400000000000006</v>
      </c>
      <c r="Q1954" s="49">
        <v>76.2</v>
      </c>
      <c r="R1954" s="46">
        <f t="shared" si="64"/>
        <v>0.20000000000000284</v>
      </c>
      <c r="T1954" s="21">
        <v>46043</v>
      </c>
      <c r="U1954" s="22" t="s">
        <v>33</v>
      </c>
      <c r="V1954" s="24">
        <v>3.25</v>
      </c>
      <c r="W1954" s="24">
        <v>2.5833333333333299</v>
      </c>
      <c r="X1954" s="24">
        <v>2.5</v>
      </c>
      <c r="Y1954" s="24">
        <v>3.5833333333333299</v>
      </c>
      <c r="Z1954" s="20">
        <f t="shared" si="65"/>
        <v>11.916666666666661</v>
      </c>
    </row>
    <row r="1955" spans="1:26" x14ac:dyDescent="0.2">
      <c r="A1955" s="21"/>
      <c r="B1955" s="20"/>
      <c r="C1955" s="22"/>
      <c r="D1955" s="22"/>
      <c r="E1955" s="24"/>
      <c r="F1955" s="22"/>
      <c r="H1955" s="21">
        <v>45996</v>
      </c>
      <c r="I1955" s="22" t="s">
        <v>70</v>
      </c>
      <c r="J1955" s="22" t="s">
        <v>53</v>
      </c>
      <c r="K1955" s="24">
        <v>4</v>
      </c>
      <c r="M1955" s="21">
        <v>46064</v>
      </c>
      <c r="N1955" s="22" t="s">
        <v>70</v>
      </c>
      <c r="O1955" s="22" t="s">
        <v>41</v>
      </c>
      <c r="P1955" s="49">
        <v>77</v>
      </c>
      <c r="Q1955" s="49">
        <v>77</v>
      </c>
      <c r="R1955" s="46">
        <f t="shared" si="64"/>
        <v>0</v>
      </c>
      <c r="T1955" s="21">
        <v>46044</v>
      </c>
      <c r="U1955" s="22" t="s">
        <v>41</v>
      </c>
      <c r="V1955" s="24">
        <v>1</v>
      </c>
      <c r="W1955" s="24">
        <v>1</v>
      </c>
      <c r="X1955" s="24">
        <v>1</v>
      </c>
      <c r="Y1955" s="24">
        <v>1</v>
      </c>
      <c r="Z1955" s="20">
        <f t="shared" si="65"/>
        <v>4</v>
      </c>
    </row>
    <row r="1956" spans="1:26" x14ac:dyDescent="0.2">
      <c r="A1956" s="21"/>
      <c r="B1956" s="20"/>
      <c r="C1956" s="22"/>
      <c r="D1956" s="22"/>
      <c r="E1956" s="24"/>
      <c r="F1956" s="22"/>
      <c r="H1956" s="21">
        <v>45996</v>
      </c>
      <c r="I1956" s="22" t="s">
        <v>70</v>
      </c>
      <c r="J1956" s="22" t="s">
        <v>44</v>
      </c>
      <c r="K1956" s="24">
        <v>5</v>
      </c>
      <c r="M1956" s="21">
        <v>46064</v>
      </c>
      <c r="N1956" s="22" t="s">
        <v>71</v>
      </c>
      <c r="O1956" s="22" t="s">
        <v>41</v>
      </c>
      <c r="P1956" s="49">
        <v>77.099999999999994</v>
      </c>
      <c r="Q1956" s="49">
        <v>76</v>
      </c>
      <c r="R1956" s="46">
        <f t="shared" si="64"/>
        <v>1.0999999999999943</v>
      </c>
      <c r="T1956" s="21">
        <v>46044</v>
      </c>
      <c r="U1956" s="22" t="s">
        <v>42</v>
      </c>
      <c r="V1956" s="24">
        <v>4</v>
      </c>
      <c r="W1956" s="24">
        <v>4</v>
      </c>
      <c r="X1956" s="24">
        <v>3</v>
      </c>
      <c r="Y1956" s="24">
        <v>5</v>
      </c>
      <c r="Z1956" s="20">
        <f t="shared" si="65"/>
        <v>16</v>
      </c>
    </row>
    <row r="1957" spans="1:26" x14ac:dyDescent="0.2">
      <c r="A1957" s="21"/>
      <c r="B1957" s="20"/>
      <c r="C1957" s="22"/>
      <c r="D1957" s="22"/>
      <c r="E1957" s="24"/>
      <c r="F1957" s="22"/>
      <c r="H1957" s="21">
        <v>45996</v>
      </c>
      <c r="I1957" s="22" t="s">
        <v>70</v>
      </c>
      <c r="J1957" s="22" t="s">
        <v>45</v>
      </c>
      <c r="K1957" s="24">
        <v>5</v>
      </c>
      <c r="M1957" s="21">
        <v>46064</v>
      </c>
      <c r="N1957" s="22" t="s">
        <v>70</v>
      </c>
      <c r="O1957" s="22" t="s">
        <v>42</v>
      </c>
      <c r="P1957" s="49">
        <v>79.3</v>
      </c>
      <c r="Q1957" s="49">
        <v>79</v>
      </c>
      <c r="R1957" s="46">
        <f t="shared" si="64"/>
        <v>0.29999999999999716</v>
      </c>
      <c r="T1957" s="21">
        <v>46044</v>
      </c>
      <c r="U1957" s="22" t="s">
        <v>45</v>
      </c>
      <c r="V1957" s="24">
        <v>4</v>
      </c>
      <c r="W1957" s="24">
        <v>3</v>
      </c>
      <c r="X1957" s="24">
        <v>3</v>
      </c>
      <c r="Y1957" s="24">
        <v>5</v>
      </c>
      <c r="Z1957" s="20">
        <f t="shared" si="65"/>
        <v>15</v>
      </c>
    </row>
    <row r="1958" spans="1:26" x14ac:dyDescent="0.2">
      <c r="A1958" s="21"/>
      <c r="B1958" s="20"/>
      <c r="C1958" s="22"/>
      <c r="D1958" s="22"/>
      <c r="E1958" s="24"/>
      <c r="F1958" s="22"/>
      <c r="H1958" s="21">
        <v>45996</v>
      </c>
      <c r="I1958" s="22" t="s">
        <v>70</v>
      </c>
      <c r="J1958" s="22" t="s">
        <v>57</v>
      </c>
      <c r="K1958" s="24">
        <v>4</v>
      </c>
      <c r="M1958" s="21">
        <v>46064</v>
      </c>
      <c r="N1958" s="22" t="s">
        <v>71</v>
      </c>
      <c r="O1958" s="22" t="s">
        <v>42</v>
      </c>
      <c r="P1958" s="49">
        <v>79</v>
      </c>
      <c r="Q1958" s="49">
        <v>79</v>
      </c>
      <c r="R1958" s="46">
        <f t="shared" si="64"/>
        <v>0</v>
      </c>
      <c r="T1958" s="21">
        <v>46044</v>
      </c>
      <c r="U1958" s="22" t="s">
        <v>46</v>
      </c>
      <c r="V1958" s="24">
        <v>5</v>
      </c>
      <c r="W1958" s="24">
        <v>3</v>
      </c>
      <c r="X1958" s="24">
        <v>3</v>
      </c>
      <c r="Y1958" s="24">
        <v>5</v>
      </c>
      <c r="Z1958" s="20">
        <f t="shared" si="65"/>
        <v>16</v>
      </c>
    </row>
    <row r="1959" spans="1:26" x14ac:dyDescent="0.2">
      <c r="A1959" s="21"/>
      <c r="B1959" s="20"/>
      <c r="C1959" s="22"/>
      <c r="D1959" s="22"/>
      <c r="E1959" s="24"/>
      <c r="F1959" s="22"/>
      <c r="H1959" s="21">
        <v>45996</v>
      </c>
      <c r="I1959" s="22" t="s">
        <v>70</v>
      </c>
      <c r="J1959" s="22" t="s">
        <v>42</v>
      </c>
      <c r="K1959" s="24">
        <v>2</v>
      </c>
      <c r="M1959" s="21">
        <v>46064</v>
      </c>
      <c r="N1959" s="22" t="s">
        <v>70</v>
      </c>
      <c r="O1959" s="22" t="s">
        <v>44</v>
      </c>
      <c r="P1959" s="49">
        <v>67.900000000000006</v>
      </c>
      <c r="Q1959" s="49">
        <v>67.8</v>
      </c>
      <c r="R1959" s="46">
        <f t="shared" si="64"/>
        <v>0.10000000000000853</v>
      </c>
      <c r="T1959" s="21">
        <v>46044</v>
      </c>
      <c r="U1959" s="22" t="s">
        <v>49</v>
      </c>
      <c r="V1959" s="24">
        <v>3</v>
      </c>
      <c r="W1959" s="24">
        <v>2</v>
      </c>
      <c r="X1959" s="24">
        <v>2</v>
      </c>
      <c r="Y1959" s="24">
        <v>2</v>
      </c>
      <c r="Z1959" s="20">
        <f t="shared" si="65"/>
        <v>9</v>
      </c>
    </row>
    <row r="1960" spans="1:26" x14ac:dyDescent="0.2">
      <c r="A1960" s="21"/>
      <c r="B1960" s="20"/>
      <c r="C1960" s="22"/>
      <c r="D1960" s="22"/>
      <c r="E1960" s="24"/>
      <c r="F1960" s="22"/>
      <c r="H1960" s="21">
        <v>45996</v>
      </c>
      <c r="I1960" s="22" t="s">
        <v>70</v>
      </c>
      <c r="J1960" s="22" t="s">
        <v>47</v>
      </c>
      <c r="K1960" s="24">
        <v>2</v>
      </c>
      <c r="M1960" s="21">
        <v>46064</v>
      </c>
      <c r="N1960" s="22" t="s">
        <v>71</v>
      </c>
      <c r="O1960" s="22" t="s">
        <v>44</v>
      </c>
      <c r="P1960" s="49">
        <v>68.099999999999994</v>
      </c>
      <c r="Q1960" s="49">
        <v>68</v>
      </c>
      <c r="R1960" s="46">
        <f t="shared" si="64"/>
        <v>9.9999999999994316E-2</v>
      </c>
      <c r="T1960" s="21">
        <v>46044</v>
      </c>
      <c r="U1960" s="22" t="s">
        <v>50</v>
      </c>
      <c r="V1960" s="24">
        <v>4</v>
      </c>
      <c r="W1960" s="24">
        <v>2</v>
      </c>
      <c r="X1960" s="24">
        <v>3</v>
      </c>
      <c r="Y1960" s="24">
        <v>3</v>
      </c>
      <c r="Z1960" s="20">
        <f t="shared" si="65"/>
        <v>12</v>
      </c>
    </row>
    <row r="1961" spans="1:26" x14ac:dyDescent="0.2">
      <c r="A1961" s="21"/>
      <c r="B1961" s="20"/>
      <c r="C1961" s="22"/>
      <c r="D1961" s="22"/>
      <c r="E1961" s="24"/>
      <c r="F1961" s="22"/>
      <c r="H1961" s="21">
        <v>45996</v>
      </c>
      <c r="I1961" s="22" t="s">
        <v>70</v>
      </c>
      <c r="J1961" s="22" t="s">
        <v>41</v>
      </c>
      <c r="K1961" s="24">
        <v>1</v>
      </c>
      <c r="M1961" s="21">
        <v>46064</v>
      </c>
      <c r="N1961" s="22" t="s">
        <v>70</v>
      </c>
      <c r="O1961" s="22" t="s">
        <v>45</v>
      </c>
      <c r="P1961" s="49">
        <v>69</v>
      </c>
      <c r="Q1961" s="49">
        <v>68.8</v>
      </c>
      <c r="R1961" s="46">
        <f t="shared" si="64"/>
        <v>0.20000000000000284</v>
      </c>
      <c r="T1961" s="21">
        <v>46044</v>
      </c>
      <c r="U1961" s="22" t="s">
        <v>51</v>
      </c>
      <c r="V1961" s="24">
        <v>4</v>
      </c>
      <c r="W1961" s="24">
        <v>3</v>
      </c>
      <c r="X1961" s="24">
        <v>3</v>
      </c>
      <c r="Y1961" s="24">
        <v>4</v>
      </c>
      <c r="Z1961" s="20">
        <f t="shared" si="65"/>
        <v>14</v>
      </c>
    </row>
    <row r="1962" spans="1:26" x14ac:dyDescent="0.2">
      <c r="A1962" s="21"/>
      <c r="B1962" s="20"/>
      <c r="C1962" s="22"/>
      <c r="D1962" s="22"/>
      <c r="E1962" s="24"/>
      <c r="F1962" s="22"/>
      <c r="H1962" s="21">
        <v>45996</v>
      </c>
      <c r="I1962" s="22" t="s">
        <v>70</v>
      </c>
      <c r="J1962" s="22" t="s">
        <v>58</v>
      </c>
      <c r="K1962" s="24">
        <v>4</v>
      </c>
      <c r="M1962" s="21">
        <v>46064</v>
      </c>
      <c r="N1962" s="22" t="s">
        <v>71</v>
      </c>
      <c r="O1962" s="22" t="s">
        <v>45</v>
      </c>
      <c r="P1962" s="49">
        <v>69</v>
      </c>
      <c r="Q1962" s="49">
        <v>69</v>
      </c>
      <c r="R1962" s="46">
        <f t="shared" si="64"/>
        <v>0</v>
      </c>
      <c r="T1962" s="21">
        <v>46044</v>
      </c>
      <c r="U1962" s="22" t="s">
        <v>52</v>
      </c>
      <c r="V1962" s="24">
        <v>4</v>
      </c>
      <c r="W1962" s="24">
        <v>4</v>
      </c>
      <c r="X1962" s="24">
        <v>4</v>
      </c>
      <c r="Y1962" s="24">
        <v>4</v>
      </c>
      <c r="Z1962" s="20">
        <f t="shared" si="65"/>
        <v>16</v>
      </c>
    </row>
    <row r="1963" spans="1:26" x14ac:dyDescent="0.2">
      <c r="A1963" s="21"/>
      <c r="B1963" s="20"/>
      <c r="C1963" s="22"/>
      <c r="D1963" s="22"/>
      <c r="E1963" s="24"/>
      <c r="F1963" s="22"/>
      <c r="H1963" s="21">
        <v>45996</v>
      </c>
      <c r="I1963" s="22" t="s">
        <v>70</v>
      </c>
      <c r="J1963" s="22" t="s">
        <v>49</v>
      </c>
      <c r="K1963" s="24">
        <v>4</v>
      </c>
      <c r="M1963" s="21">
        <v>46064</v>
      </c>
      <c r="N1963" s="22" t="s">
        <v>70</v>
      </c>
      <c r="O1963" s="22" t="s">
        <v>46</v>
      </c>
      <c r="P1963" s="49">
        <v>80.5</v>
      </c>
      <c r="Q1963" s="49">
        <v>80.2</v>
      </c>
      <c r="R1963" s="46">
        <f t="shared" si="64"/>
        <v>0.29999999999999716</v>
      </c>
      <c r="T1963" s="21">
        <v>46044</v>
      </c>
      <c r="U1963" s="22" t="s">
        <v>53</v>
      </c>
      <c r="V1963" s="24">
        <v>4</v>
      </c>
      <c r="W1963" s="24">
        <v>3</v>
      </c>
      <c r="X1963" s="24">
        <v>3</v>
      </c>
      <c r="Y1963" s="24">
        <v>5</v>
      </c>
      <c r="Z1963" s="20">
        <f t="shared" si="65"/>
        <v>15</v>
      </c>
    </row>
    <row r="1964" spans="1:26" x14ac:dyDescent="0.2">
      <c r="A1964" s="21"/>
      <c r="B1964" s="20"/>
      <c r="C1964" s="22"/>
      <c r="D1964" s="22"/>
      <c r="E1964" s="24"/>
      <c r="F1964" s="22"/>
      <c r="H1964" s="21">
        <v>45996</v>
      </c>
      <c r="I1964" s="22" t="s">
        <v>70</v>
      </c>
      <c r="J1964" s="22" t="s">
        <v>50</v>
      </c>
      <c r="K1964" s="24">
        <v>3</v>
      </c>
      <c r="M1964" s="21">
        <v>46064</v>
      </c>
      <c r="N1964" s="22" t="s">
        <v>71</v>
      </c>
      <c r="O1964" s="22" t="s">
        <v>46</v>
      </c>
      <c r="P1964" s="49">
        <v>82</v>
      </c>
      <c r="Q1964" s="49">
        <v>80.7</v>
      </c>
      <c r="R1964" s="46">
        <f t="shared" si="64"/>
        <v>1.2999999999999972</v>
      </c>
      <c r="T1964" s="21">
        <v>46044</v>
      </c>
      <c r="U1964" s="22" t="s">
        <v>54</v>
      </c>
      <c r="V1964" s="24">
        <v>2</v>
      </c>
      <c r="W1964" s="24">
        <v>3</v>
      </c>
      <c r="X1964" s="24">
        <v>2</v>
      </c>
      <c r="Y1964" s="24">
        <v>2</v>
      </c>
      <c r="Z1964" s="20">
        <f t="shared" si="65"/>
        <v>9</v>
      </c>
    </row>
    <row r="1965" spans="1:26" x14ac:dyDescent="0.2">
      <c r="A1965" s="21"/>
      <c r="B1965" s="20"/>
      <c r="C1965" s="22"/>
      <c r="D1965" s="22"/>
      <c r="E1965" s="24"/>
      <c r="F1965" s="22"/>
      <c r="H1965" s="21">
        <v>45996</v>
      </c>
      <c r="I1965" s="22" t="s">
        <v>70</v>
      </c>
      <c r="J1965" s="22" t="s">
        <v>51</v>
      </c>
      <c r="K1965" s="24">
        <v>2</v>
      </c>
      <c r="M1965" s="21">
        <v>46064</v>
      </c>
      <c r="N1965" s="22" t="s">
        <v>70</v>
      </c>
      <c r="O1965" s="22" t="s">
        <v>47</v>
      </c>
      <c r="P1965" s="49">
        <v>72</v>
      </c>
      <c r="Q1965" s="49">
        <v>72</v>
      </c>
      <c r="R1965" s="46">
        <f t="shared" si="64"/>
        <v>0</v>
      </c>
      <c r="T1965" s="21">
        <v>46044</v>
      </c>
      <c r="U1965" s="22" t="s">
        <v>56</v>
      </c>
      <c r="V1965" s="24">
        <v>4</v>
      </c>
      <c r="W1965" s="24">
        <v>3</v>
      </c>
      <c r="X1965" s="24">
        <v>2</v>
      </c>
      <c r="Y1965" s="24">
        <v>1</v>
      </c>
      <c r="Z1965" s="20">
        <f t="shared" si="65"/>
        <v>10</v>
      </c>
    </row>
    <row r="1966" spans="1:26" x14ac:dyDescent="0.2">
      <c r="A1966" s="21"/>
      <c r="B1966" s="20"/>
      <c r="C1966" s="22"/>
      <c r="D1966" s="22"/>
      <c r="E1966" s="24"/>
      <c r="F1966" s="22"/>
      <c r="H1966" s="21">
        <v>45996</v>
      </c>
      <c r="I1966" s="22" t="s">
        <v>70</v>
      </c>
      <c r="J1966" s="22" t="s">
        <v>46</v>
      </c>
      <c r="K1966" s="24">
        <v>4</v>
      </c>
      <c r="M1966" s="21">
        <v>46064</v>
      </c>
      <c r="N1966" s="22" t="s">
        <v>70</v>
      </c>
      <c r="O1966" s="22" t="s">
        <v>48</v>
      </c>
      <c r="P1966" s="49">
        <v>81.2</v>
      </c>
      <c r="Q1966" s="49">
        <v>81</v>
      </c>
      <c r="R1966" s="46">
        <f t="shared" si="64"/>
        <v>0.20000000000000284</v>
      </c>
      <c r="T1966" s="21">
        <v>46044</v>
      </c>
      <c r="U1966" s="22" t="s">
        <v>57</v>
      </c>
      <c r="V1966" s="24">
        <v>4</v>
      </c>
      <c r="W1966" s="24">
        <v>4</v>
      </c>
      <c r="X1966" s="24">
        <v>4</v>
      </c>
      <c r="Y1966" s="24">
        <v>3</v>
      </c>
      <c r="Z1966" s="20">
        <f t="shared" si="65"/>
        <v>15</v>
      </c>
    </row>
    <row r="1967" spans="1:26" x14ac:dyDescent="0.2">
      <c r="A1967" s="21"/>
      <c r="B1967" s="20"/>
      <c r="C1967" s="22"/>
      <c r="D1967" s="22"/>
      <c r="E1967" s="24"/>
      <c r="F1967" s="22"/>
      <c r="H1967" s="21">
        <v>45996</v>
      </c>
      <c r="I1967" s="22" t="s">
        <v>70</v>
      </c>
      <c r="J1967" s="22" t="s">
        <v>48</v>
      </c>
      <c r="K1967" s="24">
        <v>2</v>
      </c>
      <c r="M1967" s="21">
        <v>46064</v>
      </c>
      <c r="N1967" s="22" t="s">
        <v>71</v>
      </c>
      <c r="O1967" s="22" t="s">
        <v>48</v>
      </c>
      <c r="P1967" s="49">
        <v>81.400000000000006</v>
      </c>
      <c r="Q1967" s="49">
        <v>81</v>
      </c>
      <c r="R1967" s="46">
        <f t="shared" si="64"/>
        <v>0.40000000000000568</v>
      </c>
      <c r="T1967" s="21">
        <v>46044</v>
      </c>
      <c r="U1967" s="22" t="s">
        <v>58</v>
      </c>
      <c r="V1967" s="24">
        <v>3</v>
      </c>
      <c r="W1967" s="24">
        <v>4</v>
      </c>
      <c r="X1967" s="24">
        <v>4</v>
      </c>
      <c r="Y1967" s="24">
        <v>3</v>
      </c>
      <c r="Z1967" s="20">
        <f t="shared" si="65"/>
        <v>14</v>
      </c>
    </row>
    <row r="1968" spans="1:26" x14ac:dyDescent="0.2">
      <c r="A1968" s="21"/>
      <c r="B1968" s="20"/>
      <c r="C1968" s="22"/>
      <c r="D1968" s="22"/>
      <c r="E1968" s="24"/>
      <c r="F1968" s="22"/>
      <c r="H1968" s="21">
        <v>45996</v>
      </c>
      <c r="I1968" s="22" t="s">
        <v>70</v>
      </c>
      <c r="J1968" s="22" t="s">
        <v>56</v>
      </c>
      <c r="K1968" s="24">
        <v>4</v>
      </c>
      <c r="M1968" s="21">
        <v>46064</v>
      </c>
      <c r="N1968" s="22" t="s">
        <v>70</v>
      </c>
      <c r="O1968" s="22" t="s">
        <v>49</v>
      </c>
      <c r="P1968" s="49">
        <v>79.099999999999994</v>
      </c>
      <c r="Q1968" s="49">
        <v>79</v>
      </c>
      <c r="R1968" s="46">
        <f t="shared" si="64"/>
        <v>9.9999999999994316E-2</v>
      </c>
      <c r="T1968" s="21">
        <v>46044</v>
      </c>
      <c r="U1968" s="22" t="s">
        <v>33</v>
      </c>
      <c r="V1968" s="24">
        <v>3.5384615384615401</v>
      </c>
      <c r="W1968" s="24">
        <v>3</v>
      </c>
      <c r="X1968" s="24">
        <v>2.8461538461538498</v>
      </c>
      <c r="Y1968" s="24">
        <v>3.3076923076923102</v>
      </c>
      <c r="Z1968" s="20">
        <f t="shared" si="65"/>
        <v>12.692307692307701</v>
      </c>
    </row>
    <row r="1969" spans="1:26" x14ac:dyDescent="0.2">
      <c r="A1969" s="21"/>
      <c r="B1969" s="20"/>
      <c r="C1969" s="22"/>
      <c r="D1969" s="22"/>
      <c r="E1969" s="24"/>
      <c r="F1969" s="22"/>
      <c r="H1969" s="21">
        <v>45997</v>
      </c>
      <c r="I1969" s="22" t="s">
        <v>70</v>
      </c>
      <c r="J1969" s="22" t="s">
        <v>52</v>
      </c>
      <c r="K1969" s="24">
        <v>8</v>
      </c>
      <c r="M1969" s="21">
        <v>46064</v>
      </c>
      <c r="N1969" s="22" t="s">
        <v>71</v>
      </c>
      <c r="O1969" s="22" t="s">
        <v>49</v>
      </c>
      <c r="P1969" s="49">
        <v>78.400000000000006</v>
      </c>
      <c r="Q1969" s="49">
        <v>78.5</v>
      </c>
      <c r="R1969" s="46">
        <f t="shared" si="64"/>
        <v>-9.9999999999994316E-2</v>
      </c>
      <c r="T1969" s="21">
        <v>46045</v>
      </c>
      <c r="U1969" s="22" t="s">
        <v>41</v>
      </c>
      <c r="V1969" s="24">
        <v>1</v>
      </c>
      <c r="W1969" s="24">
        <v>1</v>
      </c>
      <c r="X1969" s="24">
        <v>1</v>
      </c>
      <c r="Y1969" s="24">
        <v>1</v>
      </c>
      <c r="Z1969" s="20">
        <f t="shared" si="65"/>
        <v>4</v>
      </c>
    </row>
    <row r="1970" spans="1:26" x14ac:dyDescent="0.2">
      <c r="A1970" s="21"/>
      <c r="B1970" s="20"/>
      <c r="C1970" s="22"/>
      <c r="D1970" s="22"/>
      <c r="E1970" s="24"/>
      <c r="F1970" s="22"/>
      <c r="H1970" s="21">
        <v>45997</v>
      </c>
      <c r="I1970" s="22" t="s">
        <v>70</v>
      </c>
      <c r="J1970" s="22" t="s">
        <v>53</v>
      </c>
      <c r="K1970" s="24">
        <v>3</v>
      </c>
      <c r="M1970" s="21">
        <v>46064</v>
      </c>
      <c r="N1970" s="22" t="s">
        <v>70</v>
      </c>
      <c r="O1970" s="22" t="s">
        <v>50</v>
      </c>
      <c r="P1970" s="49">
        <v>66.2</v>
      </c>
      <c r="Q1970" s="49">
        <v>65.8</v>
      </c>
      <c r="R1970" s="46">
        <f t="shared" si="64"/>
        <v>0.40000000000000568</v>
      </c>
      <c r="T1970" s="21">
        <v>46045</v>
      </c>
      <c r="U1970" s="22" t="s">
        <v>42</v>
      </c>
      <c r="V1970" s="24">
        <v>4</v>
      </c>
      <c r="W1970" s="24">
        <v>4</v>
      </c>
      <c r="X1970" s="24">
        <v>3</v>
      </c>
      <c r="Y1970" s="24">
        <v>5</v>
      </c>
      <c r="Z1970" s="20">
        <f t="shared" si="65"/>
        <v>16</v>
      </c>
    </row>
    <row r="1971" spans="1:26" x14ac:dyDescent="0.2">
      <c r="A1971" s="21"/>
      <c r="B1971" s="20"/>
      <c r="C1971" s="22"/>
      <c r="D1971" s="22"/>
      <c r="E1971" s="24"/>
      <c r="F1971" s="22"/>
      <c r="H1971" s="21">
        <v>45997</v>
      </c>
      <c r="I1971" s="22" t="s">
        <v>70</v>
      </c>
      <c r="J1971" s="22" t="s">
        <v>44</v>
      </c>
      <c r="K1971" s="24">
        <v>8</v>
      </c>
      <c r="M1971" s="21">
        <v>46064</v>
      </c>
      <c r="N1971" s="22" t="s">
        <v>71</v>
      </c>
      <c r="O1971" s="22" t="s">
        <v>50</v>
      </c>
      <c r="P1971" s="49">
        <v>66.8</v>
      </c>
      <c r="Q1971" s="49">
        <v>66.8</v>
      </c>
      <c r="R1971" s="46">
        <f t="shared" si="64"/>
        <v>0</v>
      </c>
      <c r="T1971" s="21">
        <v>46045</v>
      </c>
      <c r="U1971" s="22" t="s">
        <v>45</v>
      </c>
      <c r="V1971" s="24">
        <v>4</v>
      </c>
      <c r="W1971" s="24">
        <v>3</v>
      </c>
      <c r="X1971" s="24">
        <v>5</v>
      </c>
      <c r="Y1971" s="24">
        <v>5</v>
      </c>
      <c r="Z1971" s="20">
        <f t="shared" si="65"/>
        <v>17</v>
      </c>
    </row>
    <row r="1972" spans="1:26" x14ac:dyDescent="0.2">
      <c r="A1972" s="21"/>
      <c r="B1972" s="20"/>
      <c r="C1972" s="22"/>
      <c r="D1972" s="22"/>
      <c r="E1972" s="24"/>
      <c r="F1972" s="22"/>
      <c r="H1972" s="21">
        <v>45997</v>
      </c>
      <c r="I1972" s="22" t="s">
        <v>70</v>
      </c>
      <c r="J1972" s="22" t="s">
        <v>45</v>
      </c>
      <c r="K1972" s="24">
        <v>7</v>
      </c>
      <c r="M1972" s="21">
        <v>46064</v>
      </c>
      <c r="N1972" s="22" t="s">
        <v>70</v>
      </c>
      <c r="O1972" s="22" t="s">
        <v>51</v>
      </c>
      <c r="P1972" s="49">
        <v>75.3</v>
      </c>
      <c r="Q1972" s="49">
        <v>75.2</v>
      </c>
      <c r="R1972" s="46">
        <f t="shared" si="64"/>
        <v>9.9999999999994316E-2</v>
      </c>
      <c r="T1972" s="21">
        <v>46045</v>
      </c>
      <c r="U1972" s="22" t="s">
        <v>46</v>
      </c>
      <c r="V1972" s="24">
        <v>5</v>
      </c>
      <c r="W1972" s="24">
        <v>3</v>
      </c>
      <c r="X1972" s="24">
        <v>3</v>
      </c>
      <c r="Y1972" s="24">
        <v>5</v>
      </c>
      <c r="Z1972" s="20">
        <f t="shared" si="65"/>
        <v>16</v>
      </c>
    </row>
    <row r="1973" spans="1:26" x14ac:dyDescent="0.2">
      <c r="A1973" s="21"/>
      <c r="B1973" s="20"/>
      <c r="C1973" s="22"/>
      <c r="D1973" s="22"/>
      <c r="E1973" s="24"/>
      <c r="F1973" s="22"/>
      <c r="H1973" s="21">
        <v>45997</v>
      </c>
      <c r="I1973" s="22" t="s">
        <v>70</v>
      </c>
      <c r="J1973" s="22" t="s">
        <v>57</v>
      </c>
      <c r="K1973" s="24" t="s">
        <v>63</v>
      </c>
      <c r="M1973" s="21">
        <v>46064</v>
      </c>
      <c r="N1973" s="22" t="s">
        <v>71</v>
      </c>
      <c r="O1973" s="22" t="s">
        <v>51</v>
      </c>
      <c r="P1973" s="49">
        <v>75</v>
      </c>
      <c r="Q1973" s="49">
        <v>75</v>
      </c>
      <c r="R1973" s="46">
        <f t="shared" si="64"/>
        <v>0</v>
      </c>
      <c r="T1973" s="21">
        <v>46045</v>
      </c>
      <c r="U1973" s="22" t="s">
        <v>49</v>
      </c>
      <c r="V1973" s="24">
        <v>4</v>
      </c>
      <c r="W1973" s="24">
        <v>3</v>
      </c>
      <c r="X1973" s="24">
        <v>3</v>
      </c>
      <c r="Y1973" s="24">
        <v>3</v>
      </c>
      <c r="Z1973" s="20">
        <f t="shared" si="65"/>
        <v>13</v>
      </c>
    </row>
    <row r="1974" spans="1:26" x14ac:dyDescent="0.2">
      <c r="A1974" s="21"/>
      <c r="B1974" s="20"/>
      <c r="C1974" s="22"/>
      <c r="D1974" s="22"/>
      <c r="E1974" s="24"/>
      <c r="F1974" s="22"/>
      <c r="H1974" s="21">
        <v>45997</v>
      </c>
      <c r="I1974" s="22" t="s">
        <v>70</v>
      </c>
      <c r="J1974" s="22" t="s">
        <v>42</v>
      </c>
      <c r="K1974" s="24" t="s">
        <v>63</v>
      </c>
      <c r="M1974" s="21">
        <v>46064</v>
      </c>
      <c r="N1974" s="22" t="s">
        <v>70</v>
      </c>
      <c r="O1974" s="22" t="s">
        <v>52</v>
      </c>
      <c r="P1974" s="49">
        <v>70.7</v>
      </c>
      <c r="Q1974" s="49">
        <v>70.5</v>
      </c>
      <c r="R1974" s="46">
        <f t="shared" si="64"/>
        <v>0.20000000000000284</v>
      </c>
      <c r="T1974" s="21">
        <v>46045</v>
      </c>
      <c r="U1974" s="22" t="s">
        <v>50</v>
      </c>
      <c r="V1974" s="24">
        <v>3</v>
      </c>
      <c r="W1974" s="24">
        <v>2</v>
      </c>
      <c r="X1974" s="24">
        <v>3</v>
      </c>
      <c r="Y1974" s="24">
        <v>3</v>
      </c>
      <c r="Z1974" s="20">
        <f t="shared" si="65"/>
        <v>11</v>
      </c>
    </row>
    <row r="1975" spans="1:26" x14ac:dyDescent="0.2">
      <c r="A1975" s="21"/>
      <c r="B1975" s="20"/>
      <c r="C1975" s="22"/>
      <c r="D1975" s="22"/>
      <c r="E1975" s="24"/>
      <c r="F1975" s="22"/>
      <c r="H1975" s="21">
        <v>45997</v>
      </c>
      <c r="I1975" s="22" t="s">
        <v>70</v>
      </c>
      <c r="J1975" s="22" t="s">
        <v>47</v>
      </c>
      <c r="K1975" s="24">
        <v>8</v>
      </c>
      <c r="M1975" s="21">
        <v>46064</v>
      </c>
      <c r="N1975" s="22" t="s">
        <v>71</v>
      </c>
      <c r="O1975" s="22" t="s">
        <v>52</v>
      </c>
      <c r="P1975" s="49">
        <v>71.400000000000006</v>
      </c>
      <c r="Q1975" s="49">
        <v>70.900000000000006</v>
      </c>
      <c r="R1975" s="46">
        <f t="shared" si="64"/>
        <v>0.5</v>
      </c>
      <c r="T1975" s="21">
        <v>46045</v>
      </c>
      <c r="U1975" s="22" t="s">
        <v>51</v>
      </c>
      <c r="V1975" s="24">
        <v>5</v>
      </c>
      <c r="W1975" s="24">
        <v>3</v>
      </c>
      <c r="X1975" s="24">
        <v>3</v>
      </c>
      <c r="Y1975" s="24">
        <v>4</v>
      </c>
      <c r="Z1975" s="20">
        <f t="shared" si="65"/>
        <v>15</v>
      </c>
    </row>
    <row r="1976" spans="1:26" x14ac:dyDescent="0.2">
      <c r="A1976" s="21"/>
      <c r="B1976" s="20"/>
      <c r="C1976" s="22"/>
      <c r="D1976" s="22"/>
      <c r="E1976" s="24"/>
      <c r="F1976" s="22"/>
      <c r="H1976" s="21">
        <v>45997</v>
      </c>
      <c r="I1976" s="22" t="s">
        <v>70</v>
      </c>
      <c r="J1976" s="22" t="s">
        <v>41</v>
      </c>
      <c r="K1976" s="24">
        <v>7</v>
      </c>
      <c r="M1976" s="21">
        <v>46064</v>
      </c>
      <c r="N1976" s="22" t="s">
        <v>70</v>
      </c>
      <c r="O1976" s="22" t="s">
        <v>53</v>
      </c>
      <c r="P1976" s="49">
        <v>67.5</v>
      </c>
      <c r="Q1976" s="49">
        <v>67.3</v>
      </c>
      <c r="R1976" s="46">
        <f t="shared" si="64"/>
        <v>0.20000000000000284</v>
      </c>
      <c r="T1976" s="21">
        <v>46045</v>
      </c>
      <c r="U1976" s="22" t="s">
        <v>52</v>
      </c>
      <c r="V1976" s="24">
        <v>4</v>
      </c>
      <c r="W1976" s="24">
        <v>4</v>
      </c>
      <c r="X1976" s="24">
        <v>4</v>
      </c>
      <c r="Y1976" s="24">
        <v>4</v>
      </c>
      <c r="Z1976" s="20">
        <f t="shared" si="65"/>
        <v>16</v>
      </c>
    </row>
    <row r="1977" spans="1:26" x14ac:dyDescent="0.2">
      <c r="A1977" s="21"/>
      <c r="B1977" s="20"/>
      <c r="C1977" s="22"/>
      <c r="D1977" s="22"/>
      <c r="E1977" s="24"/>
      <c r="F1977" s="22"/>
      <c r="H1977" s="21">
        <v>45997</v>
      </c>
      <c r="I1977" s="22" t="s">
        <v>70</v>
      </c>
      <c r="J1977" s="22" t="s">
        <v>49</v>
      </c>
      <c r="K1977" s="24">
        <v>8</v>
      </c>
      <c r="M1977" s="21">
        <v>46064</v>
      </c>
      <c r="N1977" s="22" t="s">
        <v>71</v>
      </c>
      <c r="O1977" s="22" t="s">
        <v>53</v>
      </c>
      <c r="P1977" s="49">
        <v>68.3</v>
      </c>
      <c r="Q1977" s="49">
        <v>67.599999999999994</v>
      </c>
      <c r="R1977" s="46">
        <f t="shared" si="64"/>
        <v>0.70000000000000284</v>
      </c>
      <c r="T1977" s="21">
        <v>46045</v>
      </c>
      <c r="U1977" s="22" t="s">
        <v>53</v>
      </c>
      <c r="V1977" s="24">
        <v>4</v>
      </c>
      <c r="W1977" s="24">
        <v>2</v>
      </c>
      <c r="X1977" s="24">
        <v>3</v>
      </c>
      <c r="Y1977" s="24">
        <v>5</v>
      </c>
      <c r="Z1977" s="20">
        <f t="shared" si="65"/>
        <v>14</v>
      </c>
    </row>
    <row r="1978" spans="1:26" x14ac:dyDescent="0.2">
      <c r="A1978" s="21"/>
      <c r="B1978" s="20"/>
      <c r="C1978" s="22"/>
      <c r="D1978" s="22"/>
      <c r="E1978" s="24"/>
      <c r="F1978" s="22"/>
      <c r="H1978" s="21">
        <v>45997</v>
      </c>
      <c r="I1978" s="22" t="s">
        <v>70</v>
      </c>
      <c r="J1978" s="22" t="s">
        <v>50</v>
      </c>
      <c r="K1978" s="24">
        <v>8</v>
      </c>
      <c r="M1978" s="21">
        <v>46064</v>
      </c>
      <c r="N1978" s="22" t="s">
        <v>70</v>
      </c>
      <c r="O1978" s="22" t="s">
        <v>54</v>
      </c>
      <c r="P1978" s="49">
        <v>83.4</v>
      </c>
      <c r="Q1978" s="49">
        <v>83.4</v>
      </c>
      <c r="R1978" s="46">
        <f t="shared" si="64"/>
        <v>0</v>
      </c>
      <c r="T1978" s="21">
        <v>46045</v>
      </c>
      <c r="U1978" s="22" t="s">
        <v>54</v>
      </c>
      <c r="V1978" s="24">
        <v>4</v>
      </c>
      <c r="W1978" s="24">
        <v>2</v>
      </c>
      <c r="X1978" s="24">
        <v>2</v>
      </c>
      <c r="Y1978" s="24">
        <v>3</v>
      </c>
      <c r="Z1978" s="20">
        <f t="shared" si="65"/>
        <v>11</v>
      </c>
    </row>
    <row r="1979" spans="1:26" x14ac:dyDescent="0.2">
      <c r="A1979" s="21"/>
      <c r="B1979" s="20"/>
      <c r="C1979" s="22"/>
      <c r="D1979" s="22"/>
      <c r="E1979" s="24"/>
      <c r="F1979" s="22"/>
      <c r="H1979" s="21">
        <v>45997</v>
      </c>
      <c r="I1979" s="22" t="s">
        <v>70</v>
      </c>
      <c r="J1979" s="22" t="s">
        <v>51</v>
      </c>
      <c r="K1979" s="24">
        <v>7</v>
      </c>
      <c r="M1979" s="21">
        <v>46064</v>
      </c>
      <c r="N1979" s="22" t="s">
        <v>71</v>
      </c>
      <c r="O1979" s="22" t="s">
        <v>54</v>
      </c>
      <c r="P1979" s="49">
        <v>83.4</v>
      </c>
      <c r="Q1979" s="49">
        <v>83</v>
      </c>
      <c r="R1979" s="46">
        <f t="shared" si="64"/>
        <v>0.40000000000000568</v>
      </c>
      <c r="T1979" s="21">
        <v>46045</v>
      </c>
      <c r="U1979" s="22" t="s">
        <v>56</v>
      </c>
      <c r="V1979" s="24">
        <v>4</v>
      </c>
      <c r="W1979" s="24">
        <v>2</v>
      </c>
      <c r="X1979" s="24">
        <v>2</v>
      </c>
      <c r="Y1979" s="24">
        <v>2</v>
      </c>
      <c r="Z1979" s="20">
        <f t="shared" si="65"/>
        <v>10</v>
      </c>
    </row>
    <row r="1980" spans="1:26" x14ac:dyDescent="0.2">
      <c r="A1980" s="21"/>
      <c r="B1980" s="20"/>
      <c r="C1980" s="22"/>
      <c r="D1980" s="22"/>
      <c r="E1980" s="24"/>
      <c r="F1980" s="22"/>
      <c r="H1980" s="21">
        <v>45997</v>
      </c>
      <c r="I1980" s="22" t="s">
        <v>70</v>
      </c>
      <c r="J1980" s="22" t="s">
        <v>46</v>
      </c>
      <c r="K1980" s="24">
        <v>7</v>
      </c>
      <c r="M1980" s="21">
        <v>46064</v>
      </c>
      <c r="N1980" s="22" t="s">
        <v>70</v>
      </c>
      <c r="O1980" s="22" t="s">
        <v>57</v>
      </c>
      <c r="P1980" s="49">
        <v>92</v>
      </c>
      <c r="Q1980" s="49">
        <v>91.4</v>
      </c>
      <c r="R1980" s="46">
        <f t="shared" si="64"/>
        <v>0.59999999999999432</v>
      </c>
      <c r="T1980" s="21">
        <v>46045</v>
      </c>
      <c r="U1980" s="22" t="s">
        <v>57</v>
      </c>
      <c r="V1980" s="24">
        <v>4</v>
      </c>
      <c r="W1980" s="24">
        <v>4</v>
      </c>
      <c r="X1980" s="24">
        <v>4</v>
      </c>
      <c r="Y1980" s="24">
        <v>4</v>
      </c>
      <c r="Z1980" s="20">
        <f t="shared" si="65"/>
        <v>16</v>
      </c>
    </row>
    <row r="1981" spans="1:26" x14ac:dyDescent="0.2">
      <c r="A1981" s="21"/>
      <c r="B1981" s="20"/>
      <c r="C1981" s="22"/>
      <c r="D1981" s="22"/>
      <c r="E1981" s="24"/>
      <c r="F1981" s="22"/>
      <c r="H1981" s="21">
        <v>45997</v>
      </c>
      <c r="I1981" s="22" t="s">
        <v>70</v>
      </c>
      <c r="J1981" s="22" t="s">
        <v>48</v>
      </c>
      <c r="K1981" s="24">
        <v>9</v>
      </c>
      <c r="M1981" s="21">
        <v>46064</v>
      </c>
      <c r="N1981" s="22" t="s">
        <v>71</v>
      </c>
      <c r="O1981" s="22" t="s">
        <v>57</v>
      </c>
      <c r="P1981" s="49">
        <v>92.1</v>
      </c>
      <c r="Q1981" s="49">
        <v>91.2</v>
      </c>
      <c r="R1981" s="46">
        <f t="shared" si="64"/>
        <v>0.89999999999999147</v>
      </c>
      <c r="T1981" s="21">
        <v>46045</v>
      </c>
      <c r="U1981" s="22" t="s">
        <v>58</v>
      </c>
      <c r="V1981" s="24">
        <v>4</v>
      </c>
      <c r="W1981" s="24">
        <v>4</v>
      </c>
      <c r="X1981" s="24">
        <v>4</v>
      </c>
      <c r="Y1981" s="24">
        <v>3</v>
      </c>
      <c r="Z1981" s="20">
        <f t="shared" si="65"/>
        <v>15</v>
      </c>
    </row>
    <row r="1982" spans="1:26" x14ac:dyDescent="0.2">
      <c r="A1982" s="21"/>
      <c r="B1982" s="20"/>
      <c r="C1982" s="22"/>
      <c r="D1982" s="22"/>
      <c r="E1982" s="24"/>
      <c r="F1982" s="22"/>
      <c r="H1982" s="21">
        <v>45997</v>
      </c>
      <c r="I1982" s="22" t="s">
        <v>70</v>
      </c>
      <c r="J1982" s="22" t="s">
        <v>56</v>
      </c>
      <c r="K1982" s="24" t="s">
        <v>63</v>
      </c>
      <c r="M1982" s="21">
        <v>46064</v>
      </c>
      <c r="N1982" s="22" t="s">
        <v>70</v>
      </c>
      <c r="O1982" s="22" t="s">
        <v>58</v>
      </c>
      <c r="P1982" s="49">
        <v>75.8</v>
      </c>
      <c r="Q1982" s="49">
        <v>75.7</v>
      </c>
      <c r="R1982" s="46">
        <f t="shared" si="64"/>
        <v>9.9999999999994316E-2</v>
      </c>
      <c r="T1982" s="21">
        <v>46045</v>
      </c>
      <c r="U1982" s="22" t="s">
        <v>33</v>
      </c>
      <c r="V1982" s="24">
        <v>3.8461538461538498</v>
      </c>
      <c r="W1982" s="24">
        <v>2.8461538461538498</v>
      </c>
      <c r="X1982" s="24">
        <v>3.0769230769230802</v>
      </c>
      <c r="Y1982" s="24">
        <v>3.6153846153846199</v>
      </c>
      <c r="Z1982" s="20">
        <f t="shared" si="65"/>
        <v>13.384615384615401</v>
      </c>
    </row>
    <row r="1983" spans="1:26" x14ac:dyDescent="0.2">
      <c r="A1983" s="21"/>
      <c r="B1983" s="20"/>
      <c r="C1983" s="22"/>
      <c r="D1983" s="22"/>
      <c r="E1983" s="24"/>
      <c r="F1983" s="22"/>
      <c r="H1983" s="21">
        <v>45999</v>
      </c>
      <c r="I1983" s="22" t="s">
        <v>70</v>
      </c>
      <c r="J1983" s="22" t="s">
        <v>52</v>
      </c>
      <c r="K1983" s="24">
        <v>3</v>
      </c>
      <c r="M1983" s="21">
        <v>46064</v>
      </c>
      <c r="N1983" s="22" t="s">
        <v>71</v>
      </c>
      <c r="O1983" s="22" t="s">
        <v>58</v>
      </c>
      <c r="P1983" s="49">
        <v>76</v>
      </c>
      <c r="Q1983" s="49">
        <v>76</v>
      </c>
      <c r="R1983" s="46">
        <f t="shared" si="64"/>
        <v>0</v>
      </c>
      <c r="T1983" s="21">
        <v>46048</v>
      </c>
      <c r="U1983" s="22" t="s">
        <v>41</v>
      </c>
      <c r="V1983" s="24">
        <v>1</v>
      </c>
      <c r="W1983" s="24">
        <v>1</v>
      </c>
      <c r="X1983" s="24">
        <v>1</v>
      </c>
      <c r="Y1983" s="24">
        <v>1</v>
      </c>
      <c r="Z1983" s="20">
        <f t="shared" si="65"/>
        <v>4</v>
      </c>
    </row>
    <row r="1984" spans="1:26" x14ac:dyDescent="0.2">
      <c r="A1984" s="21"/>
      <c r="B1984" s="20"/>
      <c r="C1984" s="22"/>
      <c r="D1984" s="22"/>
      <c r="E1984" s="24"/>
      <c r="F1984" s="22"/>
      <c r="H1984" s="21">
        <v>45999</v>
      </c>
      <c r="I1984" s="22" t="s">
        <v>70</v>
      </c>
      <c r="J1984" s="22" t="s">
        <v>53</v>
      </c>
      <c r="K1984" s="24">
        <v>3</v>
      </c>
      <c r="M1984" s="21">
        <v>46065</v>
      </c>
      <c r="N1984" s="22" t="s">
        <v>70</v>
      </c>
      <c r="O1984" s="22" t="s">
        <v>41</v>
      </c>
      <c r="P1984" s="49">
        <v>76.900000000000006</v>
      </c>
      <c r="Q1984" s="49">
        <v>76.900000000000006</v>
      </c>
      <c r="R1984" s="46">
        <f t="shared" si="64"/>
        <v>0</v>
      </c>
      <c r="T1984" s="21">
        <v>46048</v>
      </c>
      <c r="U1984" s="22" t="s">
        <v>42</v>
      </c>
      <c r="V1984" s="24">
        <v>4</v>
      </c>
      <c r="W1984" s="24">
        <v>4</v>
      </c>
      <c r="X1984" s="24">
        <v>3</v>
      </c>
      <c r="Y1984" s="24">
        <v>5</v>
      </c>
      <c r="Z1984" s="20">
        <f t="shared" si="65"/>
        <v>16</v>
      </c>
    </row>
    <row r="1985" spans="1:26" x14ac:dyDescent="0.2">
      <c r="A1985" s="21"/>
      <c r="B1985" s="20"/>
      <c r="C1985" s="22"/>
      <c r="D1985" s="22"/>
      <c r="E1985" s="24"/>
      <c r="F1985" s="22"/>
      <c r="H1985" s="21">
        <v>45999</v>
      </c>
      <c r="I1985" s="22" t="s">
        <v>70</v>
      </c>
      <c r="J1985" s="22" t="s">
        <v>44</v>
      </c>
      <c r="K1985" s="24">
        <v>3</v>
      </c>
      <c r="M1985" s="21">
        <v>46065</v>
      </c>
      <c r="N1985" s="22" t="s">
        <v>70</v>
      </c>
      <c r="O1985" s="22" t="s">
        <v>42</v>
      </c>
      <c r="P1985" s="49">
        <v>79.3</v>
      </c>
      <c r="Q1985" s="49">
        <v>79.099999999999994</v>
      </c>
      <c r="R1985" s="46">
        <f t="shared" si="64"/>
        <v>0.20000000000000284</v>
      </c>
      <c r="T1985" s="21">
        <v>46048</v>
      </c>
      <c r="U1985" s="22" t="s">
        <v>45</v>
      </c>
      <c r="V1985" s="24">
        <v>4</v>
      </c>
      <c r="W1985" s="24">
        <v>4</v>
      </c>
      <c r="X1985" s="24">
        <v>4</v>
      </c>
      <c r="Y1985" s="24">
        <v>4</v>
      </c>
      <c r="Z1985" s="20">
        <f t="shared" si="65"/>
        <v>16</v>
      </c>
    </row>
    <row r="1986" spans="1:26" x14ac:dyDescent="0.2">
      <c r="A1986" s="21"/>
      <c r="B1986" s="20"/>
      <c r="C1986" s="22"/>
      <c r="D1986" s="22"/>
      <c r="E1986" s="24"/>
      <c r="F1986" s="22"/>
      <c r="H1986" s="21">
        <v>45999</v>
      </c>
      <c r="I1986" s="22" t="s">
        <v>70</v>
      </c>
      <c r="J1986" s="22" t="s">
        <v>45</v>
      </c>
      <c r="K1986" s="24">
        <v>3</v>
      </c>
      <c r="M1986" s="21">
        <v>46065</v>
      </c>
      <c r="N1986" s="22" t="s">
        <v>70</v>
      </c>
      <c r="O1986" s="22" t="s">
        <v>44</v>
      </c>
      <c r="P1986" s="49">
        <v>67.900000000000006</v>
      </c>
      <c r="Q1986" s="49">
        <v>67.8</v>
      </c>
      <c r="R1986" s="46">
        <f t="shared" si="64"/>
        <v>0.10000000000000853</v>
      </c>
      <c r="T1986" s="21">
        <v>46048</v>
      </c>
      <c r="U1986" s="22" t="s">
        <v>46</v>
      </c>
      <c r="V1986" s="24">
        <v>5</v>
      </c>
      <c r="W1986" s="24">
        <v>4</v>
      </c>
      <c r="X1986" s="24">
        <v>4</v>
      </c>
      <c r="Y1986" s="24">
        <v>5</v>
      </c>
      <c r="Z1986" s="20">
        <f t="shared" si="65"/>
        <v>18</v>
      </c>
    </row>
    <row r="1987" spans="1:26" x14ac:dyDescent="0.2">
      <c r="A1987" s="21"/>
      <c r="B1987" s="20"/>
      <c r="C1987" s="22"/>
      <c r="D1987" s="22"/>
      <c r="E1987" s="24"/>
      <c r="F1987" s="22"/>
      <c r="H1987" s="21">
        <v>45999</v>
      </c>
      <c r="I1987" s="22" t="s">
        <v>70</v>
      </c>
      <c r="J1987" s="22" t="s">
        <v>57</v>
      </c>
      <c r="K1987" s="24" t="s">
        <v>61</v>
      </c>
      <c r="M1987" s="21">
        <v>46065</v>
      </c>
      <c r="N1987" s="22" t="s">
        <v>70</v>
      </c>
      <c r="O1987" s="22" t="s">
        <v>45</v>
      </c>
      <c r="P1987" s="49">
        <v>69</v>
      </c>
      <c r="Q1987" s="49">
        <v>69</v>
      </c>
      <c r="R1987" s="46">
        <f t="shared" ref="R1987:R2050" si="66">IFERROR(P1987-Q1987,"")</f>
        <v>0</v>
      </c>
      <c r="T1987" s="21">
        <v>46048</v>
      </c>
      <c r="U1987" s="22" t="s">
        <v>49</v>
      </c>
      <c r="V1987" s="24">
        <v>3</v>
      </c>
      <c r="W1987" s="24">
        <v>3</v>
      </c>
      <c r="X1987" s="24">
        <v>3</v>
      </c>
      <c r="Y1987" s="24">
        <v>3</v>
      </c>
      <c r="Z1987" s="20">
        <f t="shared" ref="Z1987:Z2050" si="67">SUM(V1987:Y1987)</f>
        <v>12</v>
      </c>
    </row>
    <row r="1988" spans="1:26" x14ac:dyDescent="0.2">
      <c r="A1988" s="21"/>
      <c r="B1988" s="20"/>
      <c r="C1988" s="22"/>
      <c r="D1988" s="22"/>
      <c r="E1988" s="24"/>
      <c r="F1988" s="22"/>
      <c r="H1988" s="21">
        <v>45999</v>
      </c>
      <c r="I1988" s="22" t="s">
        <v>70</v>
      </c>
      <c r="J1988" s="22" t="s">
        <v>42</v>
      </c>
      <c r="K1988" s="24">
        <v>1</v>
      </c>
      <c r="M1988" s="21">
        <v>46065</v>
      </c>
      <c r="N1988" s="22" t="s">
        <v>70</v>
      </c>
      <c r="O1988" s="22" t="s">
        <v>46</v>
      </c>
      <c r="P1988" s="49">
        <v>80.400000000000006</v>
      </c>
      <c r="Q1988" s="49">
        <v>80</v>
      </c>
      <c r="R1988" s="46">
        <f t="shared" si="66"/>
        <v>0.40000000000000568</v>
      </c>
      <c r="T1988" s="21">
        <v>46048</v>
      </c>
      <c r="U1988" s="22" t="s">
        <v>50</v>
      </c>
      <c r="V1988" s="24">
        <v>3</v>
      </c>
      <c r="W1988" s="24">
        <v>3</v>
      </c>
      <c r="X1988" s="24">
        <v>3</v>
      </c>
      <c r="Y1988" s="24">
        <v>3</v>
      </c>
      <c r="Z1988" s="20">
        <f t="shared" si="67"/>
        <v>12</v>
      </c>
    </row>
    <row r="1989" spans="1:26" x14ac:dyDescent="0.2">
      <c r="A1989" s="21"/>
      <c r="B1989" s="20"/>
      <c r="C1989" s="22"/>
      <c r="D1989" s="22"/>
      <c r="E1989" s="24"/>
      <c r="F1989" s="22"/>
      <c r="H1989" s="21">
        <v>45999</v>
      </c>
      <c r="I1989" s="22" t="s">
        <v>70</v>
      </c>
      <c r="J1989" s="22" t="s">
        <v>47</v>
      </c>
      <c r="K1989" s="24">
        <v>2</v>
      </c>
      <c r="M1989" s="21">
        <v>46065</v>
      </c>
      <c r="N1989" s="22" t="s">
        <v>70</v>
      </c>
      <c r="O1989" s="22" t="s">
        <v>47</v>
      </c>
      <c r="P1989" s="49">
        <v>72</v>
      </c>
      <c r="Q1989" s="49">
        <v>72</v>
      </c>
      <c r="R1989" s="46">
        <f t="shared" si="66"/>
        <v>0</v>
      </c>
      <c r="T1989" s="21">
        <v>46048</v>
      </c>
      <c r="U1989" s="22" t="s">
        <v>51</v>
      </c>
      <c r="V1989" s="24">
        <v>4</v>
      </c>
      <c r="W1989" s="24">
        <v>4</v>
      </c>
      <c r="X1989" s="24">
        <v>4</v>
      </c>
      <c r="Y1989" s="24">
        <v>4</v>
      </c>
      <c r="Z1989" s="20">
        <f t="shared" si="67"/>
        <v>16</v>
      </c>
    </row>
    <row r="1990" spans="1:26" x14ac:dyDescent="0.2">
      <c r="A1990" s="21"/>
      <c r="B1990" s="20"/>
      <c r="C1990" s="22"/>
      <c r="D1990" s="22"/>
      <c r="E1990" s="24"/>
      <c r="F1990" s="22"/>
      <c r="H1990" s="21">
        <v>45999</v>
      </c>
      <c r="I1990" s="22" t="s">
        <v>70</v>
      </c>
      <c r="J1990" s="22" t="s">
        <v>41</v>
      </c>
      <c r="K1990" s="24">
        <v>1</v>
      </c>
      <c r="M1990" s="21">
        <v>46065</v>
      </c>
      <c r="N1990" s="22" t="s">
        <v>70</v>
      </c>
      <c r="O1990" s="22" t="s">
        <v>48</v>
      </c>
      <c r="P1990" s="49">
        <v>81.3</v>
      </c>
      <c r="Q1990" s="49">
        <v>81</v>
      </c>
      <c r="R1990" s="46">
        <f t="shared" si="66"/>
        <v>0.29999999999999716</v>
      </c>
      <c r="T1990" s="21">
        <v>46048</v>
      </c>
      <c r="U1990" s="22" t="s">
        <v>52</v>
      </c>
      <c r="V1990" s="24">
        <v>4</v>
      </c>
      <c r="W1990" s="24">
        <v>4</v>
      </c>
      <c r="X1990" s="24">
        <v>4</v>
      </c>
      <c r="Y1990" s="24">
        <v>4</v>
      </c>
      <c r="Z1990" s="20">
        <f t="shared" si="67"/>
        <v>16</v>
      </c>
    </row>
    <row r="1991" spans="1:26" x14ac:dyDescent="0.2">
      <c r="A1991" s="21"/>
      <c r="B1991" s="20"/>
      <c r="C1991" s="22"/>
      <c r="D1991" s="22"/>
      <c r="E1991" s="24"/>
      <c r="F1991" s="22"/>
      <c r="H1991" s="21">
        <v>45999</v>
      </c>
      <c r="I1991" s="22" t="s">
        <v>70</v>
      </c>
      <c r="J1991" s="22" t="s">
        <v>58</v>
      </c>
      <c r="K1991" s="24">
        <v>3</v>
      </c>
      <c r="M1991" s="21">
        <v>46065</v>
      </c>
      <c r="N1991" s="22" t="s">
        <v>70</v>
      </c>
      <c r="O1991" s="22" t="s">
        <v>49</v>
      </c>
      <c r="P1991" s="49">
        <v>78.400000000000006</v>
      </c>
      <c r="Q1991" s="49">
        <v>78.400000000000006</v>
      </c>
      <c r="R1991" s="46">
        <f t="shared" si="66"/>
        <v>0</v>
      </c>
      <c r="T1991" s="21">
        <v>46048</v>
      </c>
      <c r="U1991" s="22" t="s">
        <v>53</v>
      </c>
      <c r="V1991" s="24">
        <v>4</v>
      </c>
      <c r="W1991" s="24">
        <v>4</v>
      </c>
      <c r="X1991" s="24">
        <v>4</v>
      </c>
      <c r="Y1991" s="24">
        <v>4</v>
      </c>
      <c r="Z1991" s="20">
        <f t="shared" si="67"/>
        <v>16</v>
      </c>
    </row>
    <row r="1992" spans="1:26" x14ac:dyDescent="0.2">
      <c r="A1992" s="21"/>
      <c r="B1992" s="20"/>
      <c r="C1992" s="22"/>
      <c r="D1992" s="22"/>
      <c r="E1992" s="24"/>
      <c r="F1992" s="22"/>
      <c r="H1992" s="21">
        <v>45999</v>
      </c>
      <c r="I1992" s="22" t="s">
        <v>70</v>
      </c>
      <c r="J1992" s="22" t="s">
        <v>49</v>
      </c>
      <c r="K1992" s="24">
        <v>3</v>
      </c>
      <c r="M1992" s="21">
        <v>46065</v>
      </c>
      <c r="N1992" s="22" t="s">
        <v>70</v>
      </c>
      <c r="O1992" s="22" t="s">
        <v>50</v>
      </c>
      <c r="P1992" s="49">
        <v>66.099999999999994</v>
      </c>
      <c r="Q1992" s="49">
        <v>66.2</v>
      </c>
      <c r="R1992" s="46">
        <f t="shared" si="66"/>
        <v>-0.10000000000000853</v>
      </c>
      <c r="T1992" s="21">
        <v>46048</v>
      </c>
      <c r="U1992" s="22" t="s">
        <v>54</v>
      </c>
      <c r="V1992" s="24">
        <v>4</v>
      </c>
      <c r="W1992" s="24">
        <v>2</v>
      </c>
      <c r="X1992" s="24">
        <v>2</v>
      </c>
      <c r="Y1992" s="24">
        <v>3</v>
      </c>
      <c r="Z1992" s="20">
        <f t="shared" si="67"/>
        <v>11</v>
      </c>
    </row>
    <row r="1993" spans="1:26" x14ac:dyDescent="0.2">
      <c r="A1993" s="21"/>
      <c r="B1993" s="20"/>
      <c r="C1993" s="22"/>
      <c r="D1993" s="22"/>
      <c r="E1993" s="24"/>
      <c r="F1993" s="22"/>
      <c r="H1993" s="21">
        <v>45999</v>
      </c>
      <c r="I1993" s="22" t="s">
        <v>70</v>
      </c>
      <c r="J1993" s="22" t="s">
        <v>50</v>
      </c>
      <c r="K1993" s="24">
        <v>2</v>
      </c>
      <c r="M1993" s="21">
        <v>46065</v>
      </c>
      <c r="N1993" s="22" t="s">
        <v>70</v>
      </c>
      <c r="O1993" s="22" t="s">
        <v>51</v>
      </c>
      <c r="P1993" s="49">
        <v>74.900000000000006</v>
      </c>
      <c r="Q1993" s="49">
        <v>75</v>
      </c>
      <c r="R1993" s="46">
        <f t="shared" si="66"/>
        <v>-9.9999999999994316E-2</v>
      </c>
      <c r="T1993" s="21">
        <v>46048</v>
      </c>
      <c r="U1993" s="22" t="s">
        <v>56</v>
      </c>
      <c r="V1993" s="24">
        <v>5</v>
      </c>
      <c r="W1993" s="24">
        <v>4</v>
      </c>
      <c r="X1993" s="24">
        <v>3</v>
      </c>
      <c r="Y1993" s="24">
        <v>2</v>
      </c>
      <c r="Z1993" s="20">
        <f t="shared" si="67"/>
        <v>14</v>
      </c>
    </row>
    <row r="1994" spans="1:26" x14ac:dyDescent="0.2">
      <c r="A1994" s="21"/>
      <c r="B1994" s="20"/>
      <c r="C1994" s="22"/>
      <c r="D1994" s="22"/>
      <c r="E1994" s="24"/>
      <c r="F1994" s="22"/>
      <c r="H1994" s="21">
        <v>45999</v>
      </c>
      <c r="I1994" s="22" t="s">
        <v>70</v>
      </c>
      <c r="J1994" s="22" t="s">
        <v>51</v>
      </c>
      <c r="K1994" s="24">
        <v>3</v>
      </c>
      <c r="M1994" s="21">
        <v>46065</v>
      </c>
      <c r="N1994" s="22" t="s">
        <v>70</v>
      </c>
      <c r="O1994" s="22" t="s">
        <v>52</v>
      </c>
      <c r="P1994" s="49">
        <v>71</v>
      </c>
      <c r="Q1994" s="49">
        <v>71</v>
      </c>
      <c r="R1994" s="46">
        <f t="shared" si="66"/>
        <v>0</v>
      </c>
      <c r="T1994" s="21">
        <v>46048</v>
      </c>
      <c r="U1994" s="22" t="s">
        <v>57</v>
      </c>
      <c r="V1994" s="24">
        <v>5</v>
      </c>
      <c r="W1994" s="24">
        <v>3</v>
      </c>
      <c r="X1994" s="24">
        <v>4</v>
      </c>
      <c r="Y1994" s="24">
        <v>4</v>
      </c>
      <c r="Z1994" s="20">
        <f t="shared" si="67"/>
        <v>16</v>
      </c>
    </row>
    <row r="1995" spans="1:26" x14ac:dyDescent="0.2">
      <c r="A1995" s="21"/>
      <c r="B1995" s="20"/>
      <c r="C1995" s="22"/>
      <c r="D1995" s="22"/>
      <c r="E1995" s="24"/>
      <c r="F1995" s="22"/>
      <c r="H1995" s="21">
        <v>45999</v>
      </c>
      <c r="I1995" s="22" t="s">
        <v>70</v>
      </c>
      <c r="J1995" s="22" t="s">
        <v>46</v>
      </c>
      <c r="K1995" s="24">
        <v>4</v>
      </c>
      <c r="M1995" s="21">
        <v>46065</v>
      </c>
      <c r="N1995" s="22" t="s">
        <v>70</v>
      </c>
      <c r="O1995" s="22" t="s">
        <v>53</v>
      </c>
      <c r="P1995" s="49">
        <v>68</v>
      </c>
      <c r="Q1995" s="49">
        <v>67.8</v>
      </c>
      <c r="R1995" s="46">
        <f t="shared" si="66"/>
        <v>0.20000000000000284</v>
      </c>
      <c r="T1995" s="21">
        <v>46048</v>
      </c>
      <c r="U1995" s="22" t="s">
        <v>58</v>
      </c>
      <c r="V1995" s="24">
        <v>4</v>
      </c>
      <c r="W1995" s="24">
        <v>3</v>
      </c>
      <c r="X1995" s="24">
        <v>4</v>
      </c>
      <c r="Y1995" s="24">
        <v>4</v>
      </c>
      <c r="Z1995" s="20">
        <f t="shared" si="67"/>
        <v>15</v>
      </c>
    </row>
    <row r="1996" spans="1:26" x14ac:dyDescent="0.2">
      <c r="A1996" s="21"/>
      <c r="B1996" s="20"/>
      <c r="C1996" s="22"/>
      <c r="D1996" s="22"/>
      <c r="E1996" s="24"/>
      <c r="F1996" s="22"/>
      <c r="H1996" s="21">
        <v>45999</v>
      </c>
      <c r="I1996" s="22" t="s">
        <v>70</v>
      </c>
      <c r="J1996" s="22" t="s">
        <v>48</v>
      </c>
      <c r="K1996" s="24">
        <v>2</v>
      </c>
      <c r="M1996" s="21">
        <v>46066</v>
      </c>
      <c r="N1996" s="22" t="s">
        <v>70</v>
      </c>
      <c r="O1996" s="22" t="s">
        <v>41</v>
      </c>
      <c r="P1996" s="49">
        <v>77</v>
      </c>
      <c r="Q1996" s="49">
        <v>76.400000000000006</v>
      </c>
      <c r="R1996" s="46">
        <f t="shared" si="66"/>
        <v>0.59999999999999432</v>
      </c>
      <c r="T1996" s="21">
        <v>46048</v>
      </c>
      <c r="U1996" s="22" t="s">
        <v>33</v>
      </c>
      <c r="V1996" s="24">
        <v>3.8461538461538498</v>
      </c>
      <c r="W1996" s="24">
        <v>3.3076923076923102</v>
      </c>
      <c r="X1996" s="24">
        <v>3.3076923076923102</v>
      </c>
      <c r="Y1996" s="24">
        <v>3.5384615384615401</v>
      </c>
      <c r="Z1996" s="20">
        <f t="shared" si="67"/>
        <v>14.000000000000011</v>
      </c>
    </row>
    <row r="1997" spans="1:26" x14ac:dyDescent="0.2">
      <c r="A1997" s="21"/>
      <c r="B1997" s="20"/>
      <c r="C1997" s="22"/>
      <c r="D1997" s="22"/>
      <c r="E1997" s="24"/>
      <c r="F1997" s="22"/>
      <c r="H1997" s="21">
        <v>45999</v>
      </c>
      <c r="I1997" s="22" t="s">
        <v>70</v>
      </c>
      <c r="J1997" s="22" t="s">
        <v>56</v>
      </c>
      <c r="K1997" s="24">
        <v>4</v>
      </c>
      <c r="M1997" s="21">
        <v>46066</v>
      </c>
      <c r="N1997" s="22" t="s">
        <v>70</v>
      </c>
      <c r="O1997" s="22" t="s">
        <v>42</v>
      </c>
      <c r="P1997" s="49">
        <v>78.900000000000006</v>
      </c>
      <c r="Q1997" s="49">
        <v>78.8</v>
      </c>
      <c r="R1997" s="46">
        <f t="shared" si="66"/>
        <v>0.10000000000000853</v>
      </c>
      <c r="T1997" s="21">
        <v>46049</v>
      </c>
      <c r="U1997" s="22" t="s">
        <v>41</v>
      </c>
      <c r="V1997" s="24">
        <v>1</v>
      </c>
      <c r="W1997" s="24">
        <v>1</v>
      </c>
      <c r="X1997" s="24">
        <v>1</v>
      </c>
      <c r="Y1997" s="24">
        <v>1</v>
      </c>
      <c r="Z1997" s="20">
        <f t="shared" si="67"/>
        <v>4</v>
      </c>
    </row>
    <row r="1998" spans="1:26" x14ac:dyDescent="0.2">
      <c r="A1998" s="21"/>
      <c r="B1998" s="20"/>
      <c r="C1998" s="22"/>
      <c r="D1998" s="22"/>
      <c r="E1998" s="24"/>
      <c r="F1998" s="22"/>
      <c r="H1998" s="21">
        <v>46000</v>
      </c>
      <c r="I1998" s="22" t="s">
        <v>70</v>
      </c>
      <c r="J1998" s="22" t="s">
        <v>52</v>
      </c>
      <c r="K1998" s="24">
        <v>2</v>
      </c>
      <c r="M1998" s="21">
        <v>46066</v>
      </c>
      <c r="N1998" s="22" t="s">
        <v>70</v>
      </c>
      <c r="O1998" s="22" t="s">
        <v>44</v>
      </c>
      <c r="P1998" s="49">
        <v>68.3</v>
      </c>
      <c r="Q1998" s="49">
        <v>68.099999999999994</v>
      </c>
      <c r="R1998" s="46">
        <f t="shared" si="66"/>
        <v>0.20000000000000284</v>
      </c>
      <c r="T1998" s="21">
        <v>46049</v>
      </c>
      <c r="U1998" s="22" t="s">
        <v>42</v>
      </c>
      <c r="V1998" s="24">
        <v>4</v>
      </c>
      <c r="W1998" s="24">
        <v>4</v>
      </c>
      <c r="X1998" s="24">
        <v>4</v>
      </c>
      <c r="Y1998" s="24">
        <v>5</v>
      </c>
      <c r="Z1998" s="20">
        <f t="shared" si="67"/>
        <v>17</v>
      </c>
    </row>
    <row r="1999" spans="1:26" x14ac:dyDescent="0.2">
      <c r="A1999" s="21"/>
      <c r="B1999" s="20"/>
      <c r="C1999" s="22"/>
      <c r="D1999" s="22"/>
      <c r="E1999" s="24"/>
      <c r="F1999" s="22"/>
      <c r="H1999" s="21">
        <v>46000</v>
      </c>
      <c r="I1999" s="22" t="s">
        <v>70</v>
      </c>
      <c r="J1999" s="22" t="s">
        <v>53</v>
      </c>
      <c r="K1999" s="24">
        <v>2</v>
      </c>
      <c r="M1999" s="21">
        <v>46066</v>
      </c>
      <c r="N1999" s="22" t="s">
        <v>70</v>
      </c>
      <c r="O1999" s="22" t="s">
        <v>45</v>
      </c>
      <c r="P1999" s="49">
        <v>69.3</v>
      </c>
      <c r="Q1999" s="49">
        <v>68.7</v>
      </c>
      <c r="R1999" s="46">
        <f t="shared" si="66"/>
        <v>0.59999999999999432</v>
      </c>
      <c r="T1999" s="21">
        <v>46049</v>
      </c>
      <c r="U1999" s="22" t="s">
        <v>45</v>
      </c>
      <c r="V1999" s="24">
        <v>4</v>
      </c>
      <c r="W1999" s="24">
        <v>4</v>
      </c>
      <c r="X1999" s="24">
        <v>4</v>
      </c>
      <c r="Y1999" s="24">
        <v>5</v>
      </c>
      <c r="Z1999" s="20">
        <f t="shared" si="67"/>
        <v>17</v>
      </c>
    </row>
    <row r="2000" spans="1:26" x14ac:dyDescent="0.2">
      <c r="A2000" s="21"/>
      <c r="B2000" s="20"/>
      <c r="C2000" s="22"/>
      <c r="D2000" s="22"/>
      <c r="E2000" s="24"/>
      <c r="F2000" s="22"/>
      <c r="H2000" s="21">
        <v>46000</v>
      </c>
      <c r="I2000" s="22" t="s">
        <v>70</v>
      </c>
      <c r="J2000" s="22" t="s">
        <v>44</v>
      </c>
      <c r="K2000" s="24">
        <v>2</v>
      </c>
      <c r="M2000" s="21">
        <v>46066</v>
      </c>
      <c r="N2000" s="22" t="s">
        <v>70</v>
      </c>
      <c r="O2000" s="22" t="s">
        <v>46</v>
      </c>
      <c r="P2000" s="49">
        <v>81</v>
      </c>
      <c r="Q2000" s="49">
        <v>80.2</v>
      </c>
      <c r="R2000" s="46">
        <f t="shared" si="66"/>
        <v>0.79999999999999716</v>
      </c>
      <c r="T2000" s="21">
        <v>46049</v>
      </c>
      <c r="U2000" s="22" t="s">
        <v>46</v>
      </c>
      <c r="V2000" s="24">
        <v>5</v>
      </c>
      <c r="W2000" s="24">
        <v>4</v>
      </c>
      <c r="X2000" s="24">
        <v>4</v>
      </c>
      <c r="Y2000" s="24">
        <v>4</v>
      </c>
      <c r="Z2000" s="20">
        <f t="shared" si="67"/>
        <v>17</v>
      </c>
    </row>
    <row r="2001" spans="1:26" x14ac:dyDescent="0.2">
      <c r="A2001" s="21"/>
      <c r="B2001" s="20"/>
      <c r="C2001" s="22"/>
      <c r="D2001" s="22"/>
      <c r="E2001" s="24"/>
      <c r="F2001" s="22"/>
      <c r="H2001" s="21">
        <v>46000</v>
      </c>
      <c r="I2001" s="22" t="s">
        <v>70</v>
      </c>
      <c r="J2001" s="22" t="s">
        <v>45</v>
      </c>
      <c r="K2001" s="24">
        <v>2</v>
      </c>
      <c r="M2001" s="21">
        <v>46066</v>
      </c>
      <c r="N2001" s="22" t="s">
        <v>70</v>
      </c>
      <c r="O2001" s="22" t="s">
        <v>47</v>
      </c>
      <c r="P2001" s="49">
        <v>72</v>
      </c>
      <c r="Q2001" s="49">
        <v>71.7</v>
      </c>
      <c r="R2001" s="46">
        <f t="shared" si="66"/>
        <v>0.29999999999999716</v>
      </c>
      <c r="T2001" s="21">
        <v>46049</v>
      </c>
      <c r="U2001" s="22" t="s">
        <v>49</v>
      </c>
      <c r="V2001" s="24">
        <v>3</v>
      </c>
      <c r="W2001" s="24">
        <v>3</v>
      </c>
      <c r="X2001" s="24">
        <v>3</v>
      </c>
      <c r="Y2001" s="24">
        <v>3</v>
      </c>
      <c r="Z2001" s="20">
        <f t="shared" si="67"/>
        <v>12</v>
      </c>
    </row>
    <row r="2002" spans="1:26" x14ac:dyDescent="0.2">
      <c r="A2002" s="21"/>
      <c r="B2002" s="20"/>
      <c r="C2002" s="22"/>
      <c r="D2002" s="22"/>
      <c r="E2002" s="24"/>
      <c r="F2002" s="22"/>
      <c r="H2002" s="21">
        <v>46000</v>
      </c>
      <c r="I2002" s="22" t="s">
        <v>70</v>
      </c>
      <c r="J2002" s="22" t="s">
        <v>57</v>
      </c>
      <c r="K2002" s="24" t="s">
        <v>61</v>
      </c>
      <c r="M2002" s="21">
        <v>46066</v>
      </c>
      <c r="N2002" s="22" t="s">
        <v>70</v>
      </c>
      <c r="O2002" s="22" t="s">
        <v>48</v>
      </c>
      <c r="P2002" s="49">
        <v>81.5</v>
      </c>
      <c r="Q2002" s="49">
        <v>81</v>
      </c>
      <c r="R2002" s="46">
        <f t="shared" si="66"/>
        <v>0.5</v>
      </c>
      <c r="T2002" s="21">
        <v>46049</v>
      </c>
      <c r="U2002" s="22" t="s">
        <v>50</v>
      </c>
      <c r="V2002" s="24">
        <v>3</v>
      </c>
      <c r="W2002" s="24">
        <v>3</v>
      </c>
      <c r="X2002" s="24">
        <v>3</v>
      </c>
      <c r="Y2002" s="24">
        <v>3</v>
      </c>
      <c r="Z2002" s="20">
        <f t="shared" si="67"/>
        <v>12</v>
      </c>
    </row>
    <row r="2003" spans="1:26" x14ac:dyDescent="0.2">
      <c r="A2003" s="21"/>
      <c r="B2003" s="20"/>
      <c r="C2003" s="22"/>
      <c r="D2003" s="22"/>
      <c r="E2003" s="24"/>
      <c r="F2003" s="22"/>
      <c r="H2003" s="21">
        <v>46000</v>
      </c>
      <c r="I2003" s="22" t="s">
        <v>70</v>
      </c>
      <c r="J2003" s="22" t="s">
        <v>42</v>
      </c>
      <c r="K2003" s="24">
        <v>2</v>
      </c>
      <c r="M2003" s="21">
        <v>46066</v>
      </c>
      <c r="N2003" s="22" t="s">
        <v>70</v>
      </c>
      <c r="O2003" s="22" t="s">
        <v>49</v>
      </c>
      <c r="P2003" s="49">
        <v>78.2</v>
      </c>
      <c r="Q2003" s="49">
        <v>78.2</v>
      </c>
      <c r="R2003" s="46">
        <f t="shared" si="66"/>
        <v>0</v>
      </c>
      <c r="T2003" s="21">
        <v>46049</v>
      </c>
      <c r="U2003" s="22" t="s">
        <v>51</v>
      </c>
      <c r="V2003" s="24">
        <v>4</v>
      </c>
      <c r="W2003" s="24">
        <v>4</v>
      </c>
      <c r="X2003" s="24">
        <v>4</v>
      </c>
      <c r="Y2003" s="24">
        <v>4</v>
      </c>
      <c r="Z2003" s="20">
        <f t="shared" si="67"/>
        <v>16</v>
      </c>
    </row>
    <row r="2004" spans="1:26" x14ac:dyDescent="0.2">
      <c r="A2004" s="21"/>
      <c r="B2004" s="20"/>
      <c r="C2004" s="22"/>
      <c r="D2004" s="22"/>
      <c r="E2004" s="24"/>
      <c r="F2004" s="22"/>
      <c r="H2004" s="21">
        <v>46000</v>
      </c>
      <c r="I2004" s="22" t="s">
        <v>70</v>
      </c>
      <c r="J2004" s="22" t="s">
        <v>47</v>
      </c>
      <c r="K2004" s="24">
        <v>2</v>
      </c>
      <c r="M2004" s="21">
        <v>46066</v>
      </c>
      <c r="N2004" s="22" t="s">
        <v>70</v>
      </c>
      <c r="O2004" s="22" t="s">
        <v>50</v>
      </c>
      <c r="P2004" s="49">
        <v>66.400000000000006</v>
      </c>
      <c r="Q2004" s="49">
        <v>65.599999999999994</v>
      </c>
      <c r="R2004" s="46">
        <f t="shared" si="66"/>
        <v>0.80000000000001137</v>
      </c>
      <c r="T2004" s="21">
        <v>46049</v>
      </c>
      <c r="U2004" s="22" t="s">
        <v>52</v>
      </c>
      <c r="V2004" s="24">
        <v>4</v>
      </c>
      <c r="W2004" s="24">
        <v>4</v>
      </c>
      <c r="X2004" s="24">
        <v>4</v>
      </c>
      <c r="Y2004" s="24">
        <v>4</v>
      </c>
      <c r="Z2004" s="20">
        <f t="shared" si="67"/>
        <v>16</v>
      </c>
    </row>
    <row r="2005" spans="1:26" x14ac:dyDescent="0.2">
      <c r="A2005" s="21"/>
      <c r="B2005" s="20"/>
      <c r="C2005" s="22"/>
      <c r="D2005" s="22"/>
      <c r="E2005" s="24"/>
      <c r="F2005" s="22"/>
      <c r="H2005" s="21">
        <v>46000</v>
      </c>
      <c r="I2005" s="22" t="s">
        <v>70</v>
      </c>
      <c r="J2005" s="22" t="s">
        <v>41</v>
      </c>
      <c r="K2005" s="24">
        <v>2</v>
      </c>
      <c r="M2005" s="21">
        <v>46066</v>
      </c>
      <c r="N2005" s="22" t="s">
        <v>70</v>
      </c>
      <c r="O2005" s="22" t="s">
        <v>51</v>
      </c>
      <c r="P2005" s="49">
        <v>75.5</v>
      </c>
      <c r="Q2005" s="49">
        <v>75.400000000000006</v>
      </c>
      <c r="R2005" s="46">
        <f t="shared" si="66"/>
        <v>9.9999999999994316E-2</v>
      </c>
      <c r="T2005" s="21">
        <v>46049</v>
      </c>
      <c r="U2005" s="22" t="s">
        <v>53</v>
      </c>
      <c r="V2005" s="24">
        <v>4</v>
      </c>
      <c r="W2005" s="24">
        <v>2</v>
      </c>
      <c r="X2005" s="24">
        <v>2</v>
      </c>
      <c r="Y2005" s="24">
        <v>4</v>
      </c>
      <c r="Z2005" s="20">
        <f t="shared" si="67"/>
        <v>12</v>
      </c>
    </row>
    <row r="2006" spans="1:26" x14ac:dyDescent="0.2">
      <c r="A2006" s="21"/>
      <c r="B2006" s="20"/>
      <c r="C2006" s="22"/>
      <c r="D2006" s="22"/>
      <c r="E2006" s="24"/>
      <c r="F2006" s="22"/>
      <c r="H2006" s="21">
        <v>46000</v>
      </c>
      <c r="I2006" s="22" t="s">
        <v>70</v>
      </c>
      <c r="J2006" s="22" t="s">
        <v>58</v>
      </c>
      <c r="K2006" s="24">
        <v>2</v>
      </c>
      <c r="M2006" s="21">
        <v>46066</v>
      </c>
      <c r="N2006" s="22" t="s">
        <v>70</v>
      </c>
      <c r="O2006" s="22" t="s">
        <v>52</v>
      </c>
      <c r="P2006" s="49">
        <v>71.2</v>
      </c>
      <c r="Q2006" s="49">
        <v>71.400000000000006</v>
      </c>
      <c r="R2006" s="46">
        <f t="shared" si="66"/>
        <v>-0.20000000000000284</v>
      </c>
      <c r="T2006" s="21">
        <v>46049</v>
      </c>
      <c r="U2006" s="22" t="s">
        <v>54</v>
      </c>
      <c r="V2006" s="24">
        <v>4</v>
      </c>
      <c r="W2006" s="24">
        <v>2</v>
      </c>
      <c r="X2006" s="24">
        <v>2</v>
      </c>
      <c r="Y2006" s="24">
        <v>3</v>
      </c>
      <c r="Z2006" s="20">
        <f t="shared" si="67"/>
        <v>11</v>
      </c>
    </row>
    <row r="2007" spans="1:26" x14ac:dyDescent="0.2">
      <c r="A2007" s="21"/>
      <c r="B2007" s="20"/>
      <c r="C2007" s="22"/>
      <c r="D2007" s="22"/>
      <c r="E2007" s="24"/>
      <c r="F2007" s="22"/>
      <c r="H2007" s="21">
        <v>46000</v>
      </c>
      <c r="I2007" s="22" t="s">
        <v>70</v>
      </c>
      <c r="J2007" s="22" t="s">
        <v>49</v>
      </c>
      <c r="K2007" s="24">
        <v>2</v>
      </c>
      <c r="M2007" s="21">
        <v>46066</v>
      </c>
      <c r="N2007" s="22" t="s">
        <v>70</v>
      </c>
      <c r="O2007" s="22" t="s">
        <v>53</v>
      </c>
      <c r="P2007" s="49">
        <v>68.400000000000006</v>
      </c>
      <c r="Q2007" s="49">
        <v>68</v>
      </c>
      <c r="R2007" s="46">
        <f t="shared" si="66"/>
        <v>0.40000000000000568</v>
      </c>
      <c r="T2007" s="21">
        <v>46049</v>
      </c>
      <c r="U2007" s="22" t="s">
        <v>57</v>
      </c>
      <c r="V2007" s="24">
        <v>3</v>
      </c>
      <c r="W2007" s="24">
        <v>3</v>
      </c>
      <c r="X2007" s="24">
        <v>3</v>
      </c>
      <c r="Y2007" s="24">
        <v>3</v>
      </c>
      <c r="Z2007" s="20">
        <f t="shared" si="67"/>
        <v>12</v>
      </c>
    </row>
    <row r="2008" spans="1:26" x14ac:dyDescent="0.2">
      <c r="A2008" s="21"/>
      <c r="B2008" s="20"/>
      <c r="C2008" s="22"/>
      <c r="D2008" s="22"/>
      <c r="E2008" s="24"/>
      <c r="F2008" s="22"/>
      <c r="H2008" s="21">
        <v>46000</v>
      </c>
      <c r="I2008" s="22" t="s">
        <v>70</v>
      </c>
      <c r="J2008" s="22" t="s">
        <v>50</v>
      </c>
      <c r="K2008" s="24">
        <v>2</v>
      </c>
      <c r="M2008" s="21">
        <v>46066</v>
      </c>
      <c r="N2008" s="22" t="s">
        <v>70</v>
      </c>
      <c r="O2008" s="22" t="s">
        <v>57</v>
      </c>
      <c r="P2008" s="49">
        <v>91.5</v>
      </c>
      <c r="Q2008" s="49">
        <v>91.3</v>
      </c>
      <c r="R2008" s="46">
        <f t="shared" si="66"/>
        <v>0.20000000000000284</v>
      </c>
      <c r="T2008" s="21">
        <v>46049</v>
      </c>
      <c r="U2008" s="22" t="s">
        <v>58</v>
      </c>
      <c r="V2008" s="24">
        <v>4</v>
      </c>
      <c r="W2008" s="24">
        <v>3</v>
      </c>
      <c r="X2008" s="24">
        <v>3</v>
      </c>
      <c r="Y2008" s="24">
        <v>4</v>
      </c>
      <c r="Z2008" s="20">
        <f t="shared" si="67"/>
        <v>14</v>
      </c>
    </row>
    <row r="2009" spans="1:26" x14ac:dyDescent="0.2">
      <c r="A2009" s="21"/>
      <c r="B2009" s="20"/>
      <c r="C2009" s="22"/>
      <c r="D2009" s="22"/>
      <c r="E2009" s="24"/>
      <c r="F2009" s="22"/>
      <c r="H2009" s="21">
        <v>46000</v>
      </c>
      <c r="I2009" s="22" t="s">
        <v>70</v>
      </c>
      <c r="J2009" s="22" t="s">
        <v>51</v>
      </c>
      <c r="K2009" s="24">
        <v>2</v>
      </c>
      <c r="M2009" s="21">
        <v>46066</v>
      </c>
      <c r="N2009" s="22" t="s">
        <v>70</v>
      </c>
      <c r="O2009" s="22" t="s">
        <v>58</v>
      </c>
      <c r="P2009" s="49">
        <v>75.8</v>
      </c>
      <c r="Q2009" s="49">
        <v>75.7</v>
      </c>
      <c r="R2009" s="46">
        <f t="shared" si="66"/>
        <v>9.9999999999994316E-2</v>
      </c>
      <c r="T2009" s="21">
        <v>46049</v>
      </c>
      <c r="U2009" s="22" t="s">
        <v>33</v>
      </c>
      <c r="V2009" s="24">
        <v>3.5833333333333299</v>
      </c>
      <c r="W2009" s="24">
        <v>3.0833333333333299</v>
      </c>
      <c r="X2009" s="24">
        <v>3.0833333333333299</v>
      </c>
      <c r="Y2009" s="24">
        <v>3.5833333333333299</v>
      </c>
      <c r="Z2009" s="20">
        <f t="shared" si="67"/>
        <v>13.33333333333332</v>
      </c>
    </row>
    <row r="2010" spans="1:26" x14ac:dyDescent="0.2">
      <c r="A2010" s="21"/>
      <c r="B2010" s="20"/>
      <c r="C2010" s="22"/>
      <c r="D2010" s="22"/>
      <c r="E2010" s="24"/>
      <c r="F2010" s="22"/>
      <c r="H2010" s="21">
        <v>46000</v>
      </c>
      <c r="I2010" s="22" t="s">
        <v>70</v>
      </c>
      <c r="J2010" s="22" t="s">
        <v>46</v>
      </c>
      <c r="K2010" s="24">
        <v>2</v>
      </c>
      <c r="M2010" s="21">
        <v>46069</v>
      </c>
      <c r="N2010" s="22" t="s">
        <v>70</v>
      </c>
      <c r="O2010" s="22" t="s">
        <v>41</v>
      </c>
      <c r="P2010" s="49">
        <v>77</v>
      </c>
      <c r="Q2010" s="49">
        <v>76.8</v>
      </c>
      <c r="R2010" s="46">
        <f t="shared" si="66"/>
        <v>0.20000000000000284</v>
      </c>
      <c r="T2010" s="21">
        <v>46050</v>
      </c>
      <c r="U2010" s="22" t="s">
        <v>41</v>
      </c>
      <c r="V2010" s="24">
        <v>1</v>
      </c>
      <c r="W2010" s="24">
        <v>1</v>
      </c>
      <c r="X2010" s="24">
        <v>1</v>
      </c>
      <c r="Y2010" s="24">
        <v>1</v>
      </c>
      <c r="Z2010" s="20">
        <f t="shared" si="67"/>
        <v>4</v>
      </c>
    </row>
    <row r="2011" spans="1:26" x14ac:dyDescent="0.2">
      <c r="A2011" s="21"/>
      <c r="B2011" s="20"/>
      <c r="C2011" s="22"/>
      <c r="D2011" s="22"/>
      <c r="E2011" s="24"/>
      <c r="F2011" s="22"/>
      <c r="H2011" s="21">
        <v>46000</v>
      </c>
      <c r="I2011" s="22" t="s">
        <v>70</v>
      </c>
      <c r="J2011" s="22" t="s">
        <v>48</v>
      </c>
      <c r="K2011" s="24">
        <v>2</v>
      </c>
      <c r="M2011" s="21">
        <v>46069</v>
      </c>
      <c r="N2011" s="22" t="s">
        <v>70</v>
      </c>
      <c r="O2011" s="22" t="s">
        <v>42</v>
      </c>
      <c r="P2011" s="49">
        <v>79.400000000000006</v>
      </c>
      <c r="Q2011" s="49">
        <v>79.2</v>
      </c>
      <c r="R2011" s="46">
        <f t="shared" si="66"/>
        <v>0.20000000000000284</v>
      </c>
      <c r="T2011" s="21">
        <v>46050</v>
      </c>
      <c r="U2011" s="22" t="s">
        <v>45</v>
      </c>
      <c r="V2011" s="24">
        <v>4</v>
      </c>
      <c r="W2011" s="24">
        <v>3</v>
      </c>
      <c r="X2011" s="24">
        <v>3</v>
      </c>
      <c r="Y2011" s="24">
        <v>4</v>
      </c>
      <c r="Z2011" s="20">
        <f t="shared" si="67"/>
        <v>14</v>
      </c>
    </row>
    <row r="2012" spans="1:26" x14ac:dyDescent="0.2">
      <c r="A2012" s="21"/>
      <c r="B2012" s="20"/>
      <c r="C2012" s="22"/>
      <c r="D2012" s="22"/>
      <c r="E2012" s="24"/>
      <c r="F2012" s="22"/>
      <c r="H2012" s="21">
        <v>46000</v>
      </c>
      <c r="I2012" s="22" t="s">
        <v>70</v>
      </c>
      <c r="J2012" s="22" t="s">
        <v>56</v>
      </c>
      <c r="K2012" s="24">
        <v>2</v>
      </c>
      <c r="M2012" s="21">
        <v>46069</v>
      </c>
      <c r="N2012" s="22" t="s">
        <v>70</v>
      </c>
      <c r="O2012" s="22" t="s">
        <v>44</v>
      </c>
      <c r="P2012" s="49">
        <v>69</v>
      </c>
      <c r="Q2012" s="49">
        <v>68.5</v>
      </c>
      <c r="R2012" s="46">
        <f t="shared" si="66"/>
        <v>0.5</v>
      </c>
      <c r="T2012" s="21">
        <v>46050</v>
      </c>
      <c r="U2012" s="22" t="s">
        <v>46</v>
      </c>
      <c r="V2012" s="24">
        <v>4</v>
      </c>
      <c r="W2012" s="24">
        <v>3</v>
      </c>
      <c r="X2012" s="24">
        <v>3</v>
      </c>
      <c r="Y2012" s="24">
        <v>2</v>
      </c>
      <c r="Z2012" s="20">
        <f t="shared" si="67"/>
        <v>12</v>
      </c>
    </row>
    <row r="2013" spans="1:26" x14ac:dyDescent="0.2">
      <c r="A2013" s="21"/>
      <c r="B2013" s="20"/>
      <c r="C2013" s="22"/>
      <c r="D2013" s="22"/>
      <c r="E2013" s="24"/>
      <c r="F2013" s="22"/>
      <c r="H2013" s="21">
        <v>46000</v>
      </c>
      <c r="I2013" s="22" t="s">
        <v>71</v>
      </c>
      <c r="J2013" s="22" t="s">
        <v>52</v>
      </c>
      <c r="K2013" s="24">
        <v>8</v>
      </c>
      <c r="M2013" s="21">
        <v>46069</v>
      </c>
      <c r="N2013" s="22" t="s">
        <v>70</v>
      </c>
      <c r="O2013" s="22" t="s">
        <v>45</v>
      </c>
      <c r="P2013" s="49">
        <v>69.3</v>
      </c>
      <c r="Q2013" s="49">
        <v>68.900000000000006</v>
      </c>
      <c r="R2013" s="46">
        <f t="shared" si="66"/>
        <v>0.39999999999999147</v>
      </c>
      <c r="T2013" s="21">
        <v>46050</v>
      </c>
      <c r="U2013" s="22" t="s">
        <v>49</v>
      </c>
      <c r="V2013" s="24">
        <v>2</v>
      </c>
      <c r="W2013" s="24">
        <v>2</v>
      </c>
      <c r="X2013" s="24">
        <v>2</v>
      </c>
      <c r="Y2013" s="24">
        <v>2</v>
      </c>
      <c r="Z2013" s="20">
        <f t="shared" si="67"/>
        <v>8</v>
      </c>
    </row>
    <row r="2014" spans="1:26" x14ac:dyDescent="0.2">
      <c r="A2014" s="21"/>
      <c r="B2014" s="20"/>
      <c r="C2014" s="22"/>
      <c r="D2014" s="22"/>
      <c r="E2014" s="24"/>
      <c r="F2014" s="22"/>
      <c r="H2014" s="21">
        <v>46000</v>
      </c>
      <c r="I2014" s="22" t="s">
        <v>71</v>
      </c>
      <c r="J2014" s="22" t="s">
        <v>53</v>
      </c>
      <c r="K2014" s="24" t="s">
        <v>63</v>
      </c>
      <c r="M2014" s="21">
        <v>46069</v>
      </c>
      <c r="N2014" s="22" t="s">
        <v>70</v>
      </c>
      <c r="O2014" s="22" t="s">
        <v>46</v>
      </c>
      <c r="P2014" s="49">
        <v>81</v>
      </c>
      <c r="Q2014" s="49">
        <v>81.5</v>
      </c>
      <c r="R2014" s="46">
        <f t="shared" si="66"/>
        <v>-0.5</v>
      </c>
      <c r="T2014" s="21">
        <v>46050</v>
      </c>
      <c r="U2014" s="22" t="s">
        <v>50</v>
      </c>
      <c r="V2014" s="24">
        <v>3</v>
      </c>
      <c r="W2014" s="24">
        <v>3</v>
      </c>
      <c r="X2014" s="24">
        <v>2</v>
      </c>
      <c r="Y2014" s="24">
        <v>3</v>
      </c>
      <c r="Z2014" s="20">
        <f t="shared" si="67"/>
        <v>11</v>
      </c>
    </row>
    <row r="2015" spans="1:26" x14ac:dyDescent="0.2">
      <c r="A2015" s="21"/>
      <c r="B2015" s="20"/>
      <c r="C2015" s="22"/>
      <c r="D2015" s="22"/>
      <c r="E2015" s="24"/>
      <c r="F2015" s="22"/>
      <c r="H2015" s="21">
        <v>46000</v>
      </c>
      <c r="I2015" s="22" t="s">
        <v>71</v>
      </c>
      <c r="J2015" s="22" t="s">
        <v>44</v>
      </c>
      <c r="K2015" s="24">
        <v>10</v>
      </c>
      <c r="M2015" s="21">
        <v>46069</v>
      </c>
      <c r="N2015" s="22" t="s">
        <v>70</v>
      </c>
      <c r="O2015" s="22" t="s">
        <v>47</v>
      </c>
      <c r="P2015" s="49">
        <v>72</v>
      </c>
      <c r="Q2015" s="49">
        <v>72</v>
      </c>
      <c r="R2015" s="46">
        <f t="shared" si="66"/>
        <v>0</v>
      </c>
      <c r="T2015" s="21">
        <v>46050</v>
      </c>
      <c r="U2015" s="22" t="s">
        <v>51</v>
      </c>
      <c r="V2015" s="24">
        <v>4</v>
      </c>
      <c r="W2015" s="24">
        <v>3</v>
      </c>
      <c r="X2015" s="24">
        <v>3</v>
      </c>
      <c r="Y2015" s="24">
        <v>4</v>
      </c>
      <c r="Z2015" s="20">
        <f t="shared" si="67"/>
        <v>14</v>
      </c>
    </row>
    <row r="2016" spans="1:26" x14ac:dyDescent="0.2">
      <c r="A2016" s="21"/>
      <c r="B2016" s="20"/>
      <c r="C2016" s="22"/>
      <c r="D2016" s="22"/>
      <c r="E2016" s="24"/>
      <c r="F2016" s="22"/>
      <c r="H2016" s="21">
        <v>46000</v>
      </c>
      <c r="I2016" s="22" t="s">
        <v>71</v>
      </c>
      <c r="J2016" s="22" t="s">
        <v>45</v>
      </c>
      <c r="K2016" s="24">
        <v>8</v>
      </c>
      <c r="M2016" s="21">
        <v>46069</v>
      </c>
      <c r="N2016" s="22" t="s">
        <v>70</v>
      </c>
      <c r="O2016" s="22" t="s">
        <v>48</v>
      </c>
      <c r="P2016" s="49">
        <v>80.5</v>
      </c>
      <c r="Q2016" s="49">
        <v>79.8</v>
      </c>
      <c r="R2016" s="46">
        <f t="shared" si="66"/>
        <v>0.70000000000000284</v>
      </c>
      <c r="T2016" s="21">
        <v>46050</v>
      </c>
      <c r="U2016" s="22" t="s">
        <v>52</v>
      </c>
      <c r="V2016" s="24">
        <v>4</v>
      </c>
      <c r="W2016" s="24">
        <v>4</v>
      </c>
      <c r="X2016" s="24">
        <v>4</v>
      </c>
      <c r="Y2016" s="24">
        <v>4</v>
      </c>
      <c r="Z2016" s="20">
        <f t="shared" si="67"/>
        <v>16</v>
      </c>
    </row>
    <row r="2017" spans="1:26" x14ac:dyDescent="0.2">
      <c r="A2017" s="21"/>
      <c r="B2017" s="20"/>
      <c r="C2017" s="22"/>
      <c r="D2017" s="22"/>
      <c r="E2017" s="24"/>
      <c r="F2017" s="22"/>
      <c r="H2017" s="21">
        <v>46000</v>
      </c>
      <c r="I2017" s="22" t="s">
        <v>71</v>
      </c>
      <c r="J2017" s="22" t="s">
        <v>42</v>
      </c>
      <c r="K2017" s="24" t="s">
        <v>63</v>
      </c>
      <c r="M2017" s="21">
        <v>46069</v>
      </c>
      <c r="N2017" s="22" t="s">
        <v>70</v>
      </c>
      <c r="O2017" s="22" t="s">
        <v>49</v>
      </c>
      <c r="P2017" s="49">
        <v>79</v>
      </c>
      <c r="Q2017" s="49">
        <v>79</v>
      </c>
      <c r="R2017" s="46">
        <f t="shared" si="66"/>
        <v>0</v>
      </c>
      <c r="T2017" s="21">
        <v>46050</v>
      </c>
      <c r="U2017" s="22" t="s">
        <v>53</v>
      </c>
      <c r="V2017" s="24">
        <v>4</v>
      </c>
      <c r="W2017" s="24">
        <v>3</v>
      </c>
      <c r="X2017" s="24">
        <v>3</v>
      </c>
      <c r="Y2017" s="24">
        <v>4</v>
      </c>
      <c r="Z2017" s="20">
        <f t="shared" si="67"/>
        <v>14</v>
      </c>
    </row>
    <row r="2018" spans="1:26" x14ac:dyDescent="0.2">
      <c r="A2018" s="21"/>
      <c r="B2018" s="20"/>
      <c r="C2018" s="22"/>
      <c r="D2018" s="22"/>
      <c r="E2018" s="24"/>
      <c r="F2018" s="22"/>
      <c r="H2018" s="21">
        <v>46000</v>
      </c>
      <c r="I2018" s="22" t="s">
        <v>71</v>
      </c>
      <c r="J2018" s="22" t="s">
        <v>47</v>
      </c>
      <c r="K2018" s="24">
        <v>9</v>
      </c>
      <c r="M2018" s="21">
        <v>46069</v>
      </c>
      <c r="N2018" s="22" t="s">
        <v>70</v>
      </c>
      <c r="O2018" s="22" t="s">
        <v>50</v>
      </c>
      <c r="P2018" s="49">
        <v>75.3</v>
      </c>
      <c r="Q2018" s="49">
        <v>75.099999999999994</v>
      </c>
      <c r="R2018" s="46">
        <f t="shared" si="66"/>
        <v>0.20000000000000284</v>
      </c>
      <c r="T2018" s="21">
        <v>46050</v>
      </c>
      <c r="U2018" s="22" t="s">
        <v>54</v>
      </c>
      <c r="V2018" s="24">
        <v>4</v>
      </c>
      <c r="W2018" s="24">
        <v>3</v>
      </c>
      <c r="X2018" s="24">
        <v>3</v>
      </c>
      <c r="Y2018" s="24">
        <v>4</v>
      </c>
      <c r="Z2018" s="20">
        <f t="shared" si="67"/>
        <v>14</v>
      </c>
    </row>
    <row r="2019" spans="1:26" x14ac:dyDescent="0.2">
      <c r="A2019" s="21"/>
      <c r="B2019" s="20"/>
      <c r="C2019" s="22"/>
      <c r="D2019" s="22"/>
      <c r="E2019" s="24"/>
      <c r="F2019" s="22"/>
      <c r="H2019" s="21">
        <v>46000</v>
      </c>
      <c r="I2019" s="22" t="s">
        <v>71</v>
      </c>
      <c r="J2019" s="22" t="s">
        <v>41</v>
      </c>
      <c r="K2019" s="24">
        <v>7</v>
      </c>
      <c r="M2019" s="21">
        <v>46069</v>
      </c>
      <c r="N2019" s="22" t="s">
        <v>70</v>
      </c>
      <c r="O2019" s="22" t="s">
        <v>51</v>
      </c>
      <c r="P2019" s="49">
        <v>72</v>
      </c>
      <c r="Q2019" s="49">
        <v>72</v>
      </c>
      <c r="R2019" s="46">
        <f t="shared" si="66"/>
        <v>0</v>
      </c>
      <c r="T2019" s="21">
        <v>46050</v>
      </c>
      <c r="U2019" s="22" t="s">
        <v>57</v>
      </c>
      <c r="V2019" s="24">
        <v>3</v>
      </c>
      <c r="W2019" s="24">
        <v>3</v>
      </c>
      <c r="X2019" s="24">
        <v>3</v>
      </c>
      <c r="Y2019" s="24">
        <v>3</v>
      </c>
      <c r="Z2019" s="20">
        <f t="shared" si="67"/>
        <v>12</v>
      </c>
    </row>
    <row r="2020" spans="1:26" x14ac:dyDescent="0.2">
      <c r="A2020" s="21"/>
      <c r="B2020" s="20"/>
      <c r="C2020" s="22"/>
      <c r="D2020" s="22"/>
      <c r="E2020" s="24"/>
      <c r="F2020" s="22"/>
      <c r="H2020" s="21">
        <v>46000</v>
      </c>
      <c r="I2020" s="22" t="s">
        <v>71</v>
      </c>
      <c r="J2020" s="22" t="s">
        <v>58</v>
      </c>
      <c r="K2020" s="24" t="s">
        <v>63</v>
      </c>
      <c r="M2020" s="21">
        <v>46069</v>
      </c>
      <c r="N2020" s="22" t="s">
        <v>70</v>
      </c>
      <c r="O2020" s="22" t="s">
        <v>52</v>
      </c>
      <c r="P2020" s="49">
        <v>68</v>
      </c>
      <c r="Q2020" s="49">
        <v>67.8</v>
      </c>
      <c r="R2020" s="46">
        <f t="shared" si="66"/>
        <v>0.20000000000000284</v>
      </c>
      <c r="T2020" s="21">
        <v>46050</v>
      </c>
      <c r="U2020" s="22" t="s">
        <v>58</v>
      </c>
      <c r="V2020" s="24">
        <v>3</v>
      </c>
      <c r="W2020" s="24">
        <v>3</v>
      </c>
      <c r="X2020" s="24">
        <v>4</v>
      </c>
      <c r="Y2020" s="24">
        <v>3</v>
      </c>
      <c r="Z2020" s="20">
        <f t="shared" si="67"/>
        <v>13</v>
      </c>
    </row>
    <row r="2021" spans="1:26" x14ac:dyDescent="0.2">
      <c r="A2021" s="21"/>
      <c r="B2021" s="20"/>
      <c r="C2021" s="22"/>
      <c r="D2021" s="22"/>
      <c r="E2021" s="24"/>
      <c r="F2021" s="22"/>
      <c r="H2021" s="21">
        <v>46000</v>
      </c>
      <c r="I2021" s="22" t="s">
        <v>71</v>
      </c>
      <c r="J2021" s="22" t="s">
        <v>49</v>
      </c>
      <c r="K2021" s="24">
        <v>9</v>
      </c>
      <c r="M2021" s="21">
        <v>46069</v>
      </c>
      <c r="N2021" s="22" t="s">
        <v>70</v>
      </c>
      <c r="O2021" s="22" t="s">
        <v>53</v>
      </c>
      <c r="P2021" s="49">
        <v>68</v>
      </c>
      <c r="Q2021" s="49">
        <v>67.8</v>
      </c>
      <c r="R2021" s="46">
        <f t="shared" si="66"/>
        <v>0.20000000000000284</v>
      </c>
      <c r="T2021" s="21">
        <v>46050</v>
      </c>
      <c r="U2021" s="22" t="s">
        <v>33</v>
      </c>
      <c r="V2021" s="24">
        <v>3.2727272727272698</v>
      </c>
      <c r="W2021" s="24">
        <v>2.8181818181818201</v>
      </c>
      <c r="X2021" s="24">
        <v>2.8181818181818201</v>
      </c>
      <c r="Y2021" s="24">
        <v>3.0909090909090899</v>
      </c>
      <c r="Z2021" s="20">
        <f t="shared" si="67"/>
        <v>12</v>
      </c>
    </row>
    <row r="2022" spans="1:26" x14ac:dyDescent="0.2">
      <c r="A2022" s="21"/>
      <c r="B2022" s="20"/>
      <c r="C2022" s="22"/>
      <c r="D2022" s="22"/>
      <c r="E2022" s="24"/>
      <c r="F2022" s="22"/>
      <c r="H2022" s="21">
        <v>46000</v>
      </c>
      <c r="I2022" s="22" t="s">
        <v>71</v>
      </c>
      <c r="J2022" s="22" t="s">
        <v>50</v>
      </c>
      <c r="K2022" s="24">
        <v>7</v>
      </c>
      <c r="M2022" s="21">
        <v>46069</v>
      </c>
      <c r="N2022" s="22" t="s">
        <v>70</v>
      </c>
      <c r="O2022" s="22" t="s">
        <v>57</v>
      </c>
      <c r="P2022" s="49">
        <v>91.9</v>
      </c>
      <c r="Q2022" s="49">
        <v>81.3</v>
      </c>
      <c r="R2022" s="46">
        <f t="shared" si="66"/>
        <v>10.600000000000009</v>
      </c>
      <c r="T2022" s="21">
        <v>46051</v>
      </c>
      <c r="U2022" s="22" t="s">
        <v>41</v>
      </c>
      <c r="V2022" s="24">
        <v>1</v>
      </c>
      <c r="W2022" s="24">
        <v>1</v>
      </c>
      <c r="X2022" s="24">
        <v>1</v>
      </c>
      <c r="Y2022" s="24">
        <v>1</v>
      </c>
      <c r="Z2022" s="20">
        <f t="shared" si="67"/>
        <v>4</v>
      </c>
    </row>
    <row r="2023" spans="1:26" x14ac:dyDescent="0.2">
      <c r="A2023" s="21"/>
      <c r="B2023" s="20"/>
      <c r="C2023" s="22"/>
      <c r="D2023" s="22"/>
      <c r="E2023" s="24"/>
      <c r="F2023" s="22"/>
      <c r="H2023" s="21">
        <v>46000</v>
      </c>
      <c r="I2023" s="22" t="s">
        <v>71</v>
      </c>
      <c r="J2023" s="22" t="s">
        <v>51</v>
      </c>
      <c r="K2023" s="24">
        <v>7</v>
      </c>
      <c r="M2023" s="21">
        <v>46069</v>
      </c>
      <c r="N2023" s="22" t="s">
        <v>70</v>
      </c>
      <c r="O2023" s="22" t="s">
        <v>58</v>
      </c>
      <c r="P2023" s="49">
        <v>74.8</v>
      </c>
      <c r="Q2023" s="49">
        <v>75</v>
      </c>
      <c r="R2023" s="46">
        <f t="shared" si="66"/>
        <v>-0.20000000000000284</v>
      </c>
      <c r="T2023" s="21">
        <v>46051</v>
      </c>
      <c r="U2023" s="22" t="s">
        <v>42</v>
      </c>
      <c r="V2023" s="24">
        <v>4</v>
      </c>
      <c r="W2023" s="24">
        <v>4</v>
      </c>
      <c r="X2023" s="24">
        <v>4</v>
      </c>
      <c r="Y2023" s="24">
        <v>5</v>
      </c>
      <c r="Z2023" s="20">
        <f t="shared" si="67"/>
        <v>17</v>
      </c>
    </row>
    <row r="2024" spans="1:26" x14ac:dyDescent="0.2">
      <c r="A2024" s="21"/>
      <c r="B2024" s="20"/>
      <c r="C2024" s="22"/>
      <c r="D2024" s="22"/>
      <c r="E2024" s="24"/>
      <c r="F2024" s="22"/>
      <c r="H2024" s="21">
        <v>46000</v>
      </c>
      <c r="I2024" s="22" t="s">
        <v>71</v>
      </c>
      <c r="J2024" s="22" t="s">
        <v>46</v>
      </c>
      <c r="K2024" s="24">
        <v>9</v>
      </c>
      <c r="M2024" s="21">
        <v>46072</v>
      </c>
      <c r="N2024" s="22" t="s">
        <v>70</v>
      </c>
      <c r="O2024" s="22" t="s">
        <v>41</v>
      </c>
      <c r="P2024" s="49">
        <v>77</v>
      </c>
      <c r="Q2024" s="49">
        <v>76.8</v>
      </c>
      <c r="R2024" s="46">
        <f t="shared" si="66"/>
        <v>0.20000000000000284</v>
      </c>
      <c r="T2024" s="21">
        <v>46051</v>
      </c>
      <c r="U2024" s="22" t="s">
        <v>45</v>
      </c>
      <c r="V2024" s="24">
        <v>4</v>
      </c>
      <c r="W2024" s="24">
        <v>4</v>
      </c>
      <c r="X2024" s="24">
        <v>4</v>
      </c>
      <c r="Y2024" s="24">
        <v>4</v>
      </c>
      <c r="Z2024" s="20">
        <f t="shared" si="67"/>
        <v>16</v>
      </c>
    </row>
    <row r="2025" spans="1:26" x14ac:dyDescent="0.2">
      <c r="A2025" s="21"/>
      <c r="B2025" s="20"/>
      <c r="C2025" s="22"/>
      <c r="D2025" s="22"/>
      <c r="E2025" s="24"/>
      <c r="F2025" s="22"/>
      <c r="H2025" s="21">
        <v>46000</v>
      </c>
      <c r="I2025" s="22" t="s">
        <v>71</v>
      </c>
      <c r="J2025" s="22" t="s">
        <v>48</v>
      </c>
      <c r="K2025" s="24">
        <v>9</v>
      </c>
      <c r="M2025" s="21">
        <v>46072</v>
      </c>
      <c r="N2025" s="22" t="s">
        <v>70</v>
      </c>
      <c r="O2025" s="22" t="s">
        <v>42</v>
      </c>
      <c r="P2025" s="49">
        <v>79.400000000000006</v>
      </c>
      <c r="Q2025" s="49">
        <v>79.099999999999994</v>
      </c>
      <c r="R2025" s="46">
        <f t="shared" si="66"/>
        <v>0.30000000000001137</v>
      </c>
      <c r="T2025" s="21">
        <v>46051</v>
      </c>
      <c r="U2025" s="22" t="s">
        <v>46</v>
      </c>
      <c r="V2025" s="24">
        <v>5</v>
      </c>
      <c r="W2025" s="24">
        <v>4</v>
      </c>
      <c r="X2025" s="24">
        <v>4</v>
      </c>
      <c r="Y2025" s="24">
        <v>1</v>
      </c>
      <c r="Z2025" s="20">
        <f t="shared" si="67"/>
        <v>14</v>
      </c>
    </row>
    <row r="2026" spans="1:26" x14ac:dyDescent="0.2">
      <c r="A2026" s="21"/>
      <c r="B2026" s="20"/>
      <c r="C2026" s="22"/>
      <c r="D2026" s="22"/>
      <c r="E2026" s="24"/>
      <c r="F2026" s="22"/>
      <c r="H2026" s="21">
        <v>46000</v>
      </c>
      <c r="I2026" s="22" t="s">
        <v>71</v>
      </c>
      <c r="J2026" s="22" t="s">
        <v>56</v>
      </c>
      <c r="K2026" s="24" t="s">
        <v>63</v>
      </c>
      <c r="M2026" s="21">
        <v>46072</v>
      </c>
      <c r="N2026" s="22" t="s">
        <v>70</v>
      </c>
      <c r="O2026" s="22" t="s">
        <v>45</v>
      </c>
      <c r="P2026" s="49">
        <v>69</v>
      </c>
      <c r="Q2026" s="49">
        <v>68.7</v>
      </c>
      <c r="R2026" s="46">
        <f t="shared" si="66"/>
        <v>0.29999999999999716</v>
      </c>
      <c r="T2026" s="21">
        <v>46051</v>
      </c>
      <c r="U2026" s="22" t="s">
        <v>49</v>
      </c>
      <c r="V2026" s="24">
        <v>4</v>
      </c>
      <c r="W2026" s="24">
        <v>3</v>
      </c>
      <c r="X2026" s="24">
        <v>3</v>
      </c>
      <c r="Y2026" s="24">
        <v>3</v>
      </c>
      <c r="Z2026" s="20">
        <f t="shared" si="67"/>
        <v>13</v>
      </c>
    </row>
    <row r="2027" spans="1:26" x14ac:dyDescent="0.2">
      <c r="A2027" s="21"/>
      <c r="B2027" s="20"/>
      <c r="C2027" s="22"/>
      <c r="D2027" s="22"/>
      <c r="E2027" s="24"/>
      <c r="F2027" s="22"/>
      <c r="H2027" s="21">
        <v>46001</v>
      </c>
      <c r="I2027" s="22" t="s">
        <v>70</v>
      </c>
      <c r="J2027" s="22" t="s">
        <v>52</v>
      </c>
      <c r="K2027" s="24">
        <v>1</v>
      </c>
      <c r="M2027" s="21">
        <v>46072</v>
      </c>
      <c r="N2027" s="22" t="s">
        <v>70</v>
      </c>
      <c r="O2027" s="22" t="s">
        <v>46</v>
      </c>
      <c r="P2027" s="49">
        <v>79.5</v>
      </c>
      <c r="Q2027" s="49">
        <v>81</v>
      </c>
      <c r="R2027" s="46">
        <f t="shared" si="66"/>
        <v>-1.5</v>
      </c>
      <c r="T2027" s="21">
        <v>46051</v>
      </c>
      <c r="U2027" s="22" t="s">
        <v>50</v>
      </c>
      <c r="V2027" s="24">
        <v>3</v>
      </c>
      <c r="W2027" s="24">
        <v>3</v>
      </c>
      <c r="X2027" s="24">
        <v>3</v>
      </c>
      <c r="Y2027" s="24">
        <v>3</v>
      </c>
      <c r="Z2027" s="20">
        <f t="shared" si="67"/>
        <v>12</v>
      </c>
    </row>
    <row r="2028" spans="1:26" x14ac:dyDescent="0.2">
      <c r="A2028" s="21"/>
      <c r="B2028" s="20"/>
      <c r="C2028" s="22"/>
      <c r="D2028" s="22"/>
      <c r="E2028" s="24"/>
      <c r="F2028" s="22"/>
      <c r="H2028" s="21">
        <v>46001</v>
      </c>
      <c r="I2028" s="22" t="s">
        <v>70</v>
      </c>
      <c r="J2028" s="22" t="s">
        <v>53</v>
      </c>
      <c r="K2028" s="24">
        <v>6</v>
      </c>
      <c r="M2028" s="21">
        <v>46072</v>
      </c>
      <c r="N2028" s="22" t="s">
        <v>70</v>
      </c>
      <c r="O2028" s="22" t="s">
        <v>47</v>
      </c>
      <c r="P2028" s="49">
        <v>72.3</v>
      </c>
      <c r="Q2028" s="49">
        <v>72</v>
      </c>
      <c r="R2028" s="46">
        <f t="shared" si="66"/>
        <v>0.29999999999999716</v>
      </c>
      <c r="T2028" s="21">
        <v>46051</v>
      </c>
      <c r="U2028" s="22" t="s">
        <v>51</v>
      </c>
      <c r="V2028" s="24">
        <v>4</v>
      </c>
      <c r="W2028" s="24">
        <v>4</v>
      </c>
      <c r="X2028" s="24">
        <v>4</v>
      </c>
      <c r="Y2028" s="24">
        <v>4</v>
      </c>
      <c r="Z2028" s="20">
        <f t="shared" si="67"/>
        <v>16</v>
      </c>
    </row>
    <row r="2029" spans="1:26" x14ac:dyDescent="0.2">
      <c r="A2029" s="21"/>
      <c r="B2029" s="20"/>
      <c r="C2029" s="22"/>
      <c r="D2029" s="22"/>
      <c r="E2029" s="24"/>
      <c r="F2029" s="22"/>
      <c r="H2029" s="21">
        <v>46001</v>
      </c>
      <c r="I2029" s="22" t="s">
        <v>70</v>
      </c>
      <c r="J2029" s="22" t="s">
        <v>44</v>
      </c>
      <c r="K2029" s="24">
        <v>1</v>
      </c>
      <c r="M2029" s="21">
        <v>46072</v>
      </c>
      <c r="N2029" s="22" t="s">
        <v>70</v>
      </c>
      <c r="O2029" s="22" t="s">
        <v>49</v>
      </c>
      <c r="P2029" s="49">
        <v>79.2</v>
      </c>
      <c r="Q2029" s="49">
        <v>79</v>
      </c>
      <c r="R2029" s="46">
        <f t="shared" si="66"/>
        <v>0.20000000000000284</v>
      </c>
      <c r="T2029" s="21">
        <v>46051</v>
      </c>
      <c r="U2029" s="22" t="s">
        <v>52</v>
      </c>
      <c r="V2029" s="24">
        <v>4</v>
      </c>
      <c r="W2029" s="24">
        <v>4</v>
      </c>
      <c r="X2029" s="24">
        <v>4</v>
      </c>
      <c r="Y2029" s="24">
        <v>4</v>
      </c>
      <c r="Z2029" s="20">
        <f t="shared" si="67"/>
        <v>16</v>
      </c>
    </row>
    <row r="2030" spans="1:26" x14ac:dyDescent="0.2">
      <c r="A2030" s="21"/>
      <c r="B2030" s="20"/>
      <c r="C2030" s="22"/>
      <c r="D2030" s="22"/>
      <c r="E2030" s="24"/>
      <c r="F2030" s="22"/>
      <c r="H2030" s="21">
        <v>46001</v>
      </c>
      <c r="I2030" s="22" t="s">
        <v>70</v>
      </c>
      <c r="J2030" s="22" t="s">
        <v>45</v>
      </c>
      <c r="K2030" s="24">
        <v>1</v>
      </c>
      <c r="M2030" s="21">
        <v>46072</v>
      </c>
      <c r="N2030" s="22" t="s">
        <v>70</v>
      </c>
      <c r="O2030" s="22" t="s">
        <v>50</v>
      </c>
      <c r="P2030" s="49">
        <v>66.400000000000006</v>
      </c>
      <c r="Q2030" s="49">
        <v>65.5</v>
      </c>
      <c r="R2030" s="46">
        <f t="shared" si="66"/>
        <v>0.90000000000000568</v>
      </c>
      <c r="T2030" s="21">
        <v>46051</v>
      </c>
      <c r="U2030" s="22" t="s">
        <v>53</v>
      </c>
      <c r="V2030" s="24">
        <v>4</v>
      </c>
      <c r="W2030" s="24">
        <v>3</v>
      </c>
      <c r="X2030" s="24">
        <v>4</v>
      </c>
      <c r="Y2030" s="24">
        <v>4</v>
      </c>
      <c r="Z2030" s="20">
        <f t="shared" si="67"/>
        <v>15</v>
      </c>
    </row>
    <row r="2031" spans="1:26" x14ac:dyDescent="0.2">
      <c r="A2031" s="21"/>
      <c r="B2031" s="20"/>
      <c r="C2031" s="22"/>
      <c r="D2031" s="22"/>
      <c r="E2031" s="24"/>
      <c r="F2031" s="22"/>
      <c r="H2031" s="21">
        <v>46001</v>
      </c>
      <c r="I2031" s="22" t="s">
        <v>70</v>
      </c>
      <c r="J2031" s="22" t="s">
        <v>57</v>
      </c>
      <c r="K2031" s="24" t="s">
        <v>61</v>
      </c>
      <c r="M2031" s="21">
        <v>46072</v>
      </c>
      <c r="N2031" s="22" t="s">
        <v>70</v>
      </c>
      <c r="O2031" s="22" t="s">
        <v>51</v>
      </c>
      <c r="P2031" s="49">
        <v>75.099999999999994</v>
      </c>
      <c r="Q2031" s="49">
        <v>75.2</v>
      </c>
      <c r="R2031" s="46">
        <f t="shared" si="66"/>
        <v>-0.10000000000000853</v>
      </c>
      <c r="T2031" s="21">
        <v>46051</v>
      </c>
      <c r="U2031" s="22" t="s">
        <v>54</v>
      </c>
      <c r="V2031" s="24">
        <v>4</v>
      </c>
      <c r="W2031" s="24">
        <v>3</v>
      </c>
      <c r="X2031" s="24">
        <v>3</v>
      </c>
      <c r="Y2031" s="24">
        <v>4</v>
      </c>
      <c r="Z2031" s="20">
        <f t="shared" si="67"/>
        <v>14</v>
      </c>
    </row>
    <row r="2032" spans="1:26" x14ac:dyDescent="0.2">
      <c r="A2032" s="21"/>
      <c r="B2032" s="20"/>
      <c r="C2032" s="22"/>
      <c r="D2032" s="22"/>
      <c r="E2032" s="24"/>
      <c r="F2032" s="22"/>
      <c r="H2032" s="21">
        <v>46001</v>
      </c>
      <c r="I2032" s="22" t="s">
        <v>70</v>
      </c>
      <c r="J2032" s="22" t="s">
        <v>42</v>
      </c>
      <c r="K2032" s="24">
        <v>3</v>
      </c>
      <c r="M2032" s="21">
        <v>46072</v>
      </c>
      <c r="N2032" s="22" t="s">
        <v>70</v>
      </c>
      <c r="O2032" s="22" t="s">
        <v>52</v>
      </c>
      <c r="P2032" s="49">
        <v>71.8</v>
      </c>
      <c r="Q2032" s="49">
        <v>71.7</v>
      </c>
      <c r="R2032" s="46">
        <f t="shared" si="66"/>
        <v>9.9999999999994316E-2</v>
      </c>
      <c r="T2032" s="21">
        <v>46051</v>
      </c>
      <c r="U2032" s="22" t="s">
        <v>57</v>
      </c>
      <c r="V2032" s="24">
        <v>4</v>
      </c>
      <c r="W2032" s="24">
        <v>3</v>
      </c>
      <c r="X2032" s="24">
        <v>3</v>
      </c>
      <c r="Y2032" s="24">
        <v>3</v>
      </c>
      <c r="Z2032" s="20">
        <f t="shared" si="67"/>
        <v>13</v>
      </c>
    </row>
    <row r="2033" spans="1:26" x14ac:dyDescent="0.2">
      <c r="A2033" s="21"/>
      <c r="B2033" s="20"/>
      <c r="C2033" s="22"/>
      <c r="D2033" s="22"/>
      <c r="E2033" s="24"/>
      <c r="F2033" s="22"/>
      <c r="H2033" s="21">
        <v>46001</v>
      </c>
      <c r="I2033" s="22" t="s">
        <v>70</v>
      </c>
      <c r="J2033" s="22" t="s">
        <v>47</v>
      </c>
      <c r="K2033" s="24">
        <v>1</v>
      </c>
      <c r="M2033" s="21">
        <v>46072</v>
      </c>
      <c r="N2033" s="22" t="s">
        <v>70</v>
      </c>
      <c r="O2033" s="22" t="s">
        <v>53</v>
      </c>
      <c r="P2033" s="49">
        <v>68.400000000000006</v>
      </c>
      <c r="Q2033" s="49">
        <v>67.400000000000006</v>
      </c>
      <c r="R2033" s="46">
        <f t="shared" si="66"/>
        <v>1</v>
      </c>
      <c r="T2033" s="21">
        <v>46051</v>
      </c>
      <c r="U2033" s="22" t="s">
        <v>58</v>
      </c>
      <c r="V2033" s="24">
        <v>4</v>
      </c>
      <c r="W2033" s="24">
        <v>3</v>
      </c>
      <c r="X2033" s="24">
        <v>4</v>
      </c>
      <c r="Y2033" s="24">
        <v>4</v>
      </c>
      <c r="Z2033" s="20">
        <f t="shared" si="67"/>
        <v>15</v>
      </c>
    </row>
    <row r="2034" spans="1:26" x14ac:dyDescent="0.2">
      <c r="A2034" s="21"/>
      <c r="B2034" s="20"/>
      <c r="C2034" s="22"/>
      <c r="D2034" s="22"/>
      <c r="E2034" s="24"/>
      <c r="F2034" s="22"/>
      <c r="H2034" s="21">
        <v>46001</v>
      </c>
      <c r="I2034" s="22" t="s">
        <v>70</v>
      </c>
      <c r="J2034" s="22" t="s">
        <v>41</v>
      </c>
      <c r="K2034" s="24">
        <v>1</v>
      </c>
      <c r="M2034" s="21">
        <v>46072</v>
      </c>
      <c r="N2034" s="22" t="s">
        <v>70</v>
      </c>
      <c r="O2034" s="22" t="s">
        <v>54</v>
      </c>
      <c r="P2034" s="49">
        <v>83</v>
      </c>
      <c r="Q2034" s="49">
        <v>82.9</v>
      </c>
      <c r="R2034" s="46">
        <f t="shared" si="66"/>
        <v>9.9999999999994316E-2</v>
      </c>
      <c r="T2034" s="21">
        <v>46051</v>
      </c>
      <c r="U2034" s="22" t="s">
        <v>33</v>
      </c>
      <c r="V2034" s="24">
        <v>3.75</v>
      </c>
      <c r="W2034" s="24">
        <v>3.25</v>
      </c>
      <c r="X2034" s="24">
        <v>3.4166666666666701</v>
      </c>
      <c r="Y2034" s="24">
        <v>3.3333333333333299</v>
      </c>
      <c r="Z2034" s="20">
        <f t="shared" si="67"/>
        <v>13.75</v>
      </c>
    </row>
    <row r="2035" spans="1:26" x14ac:dyDescent="0.2">
      <c r="A2035" s="21"/>
      <c r="B2035" s="20"/>
      <c r="C2035" s="22"/>
      <c r="D2035" s="22"/>
      <c r="E2035" s="24"/>
      <c r="F2035" s="22"/>
      <c r="H2035" s="21">
        <v>46001</v>
      </c>
      <c r="I2035" s="22" t="s">
        <v>70</v>
      </c>
      <c r="J2035" s="22" t="s">
        <v>58</v>
      </c>
      <c r="K2035" s="24">
        <v>8</v>
      </c>
      <c r="M2035" s="21">
        <v>46072</v>
      </c>
      <c r="N2035" s="22" t="s">
        <v>70</v>
      </c>
      <c r="O2035" s="22" t="s">
        <v>57</v>
      </c>
      <c r="P2035" s="49">
        <v>90.7</v>
      </c>
      <c r="Q2035" s="49">
        <v>91</v>
      </c>
      <c r="R2035" s="46">
        <f t="shared" si="66"/>
        <v>-0.29999999999999716</v>
      </c>
      <c r="T2035" s="21">
        <v>46052</v>
      </c>
      <c r="U2035" s="22" t="s">
        <v>41</v>
      </c>
      <c r="V2035" s="24">
        <v>1</v>
      </c>
      <c r="W2035" s="24">
        <v>1</v>
      </c>
      <c r="X2035" s="24">
        <v>1</v>
      </c>
      <c r="Y2035" s="24">
        <v>1</v>
      </c>
      <c r="Z2035" s="20">
        <f t="shared" si="67"/>
        <v>4</v>
      </c>
    </row>
    <row r="2036" spans="1:26" x14ac:dyDescent="0.2">
      <c r="A2036" s="21"/>
      <c r="B2036" s="20"/>
      <c r="C2036" s="22"/>
      <c r="D2036" s="22"/>
      <c r="E2036" s="24"/>
      <c r="F2036" s="22"/>
      <c r="H2036" s="21">
        <v>46001</v>
      </c>
      <c r="I2036" s="22" t="s">
        <v>70</v>
      </c>
      <c r="J2036" s="22" t="s">
        <v>49</v>
      </c>
      <c r="K2036" s="24">
        <v>1</v>
      </c>
      <c r="M2036" s="21">
        <v>46072</v>
      </c>
      <c r="N2036" s="22" t="s">
        <v>70</v>
      </c>
      <c r="O2036" s="22" t="s">
        <v>58</v>
      </c>
      <c r="P2036" s="49">
        <v>75.400000000000006</v>
      </c>
      <c r="Q2036" s="49">
        <v>75.2</v>
      </c>
      <c r="R2036" s="46">
        <f t="shared" si="66"/>
        <v>0.20000000000000284</v>
      </c>
      <c r="T2036" s="21">
        <v>46052</v>
      </c>
      <c r="U2036" s="22" t="s">
        <v>42</v>
      </c>
      <c r="V2036" s="24">
        <v>4</v>
      </c>
      <c r="W2036" s="24">
        <v>4</v>
      </c>
      <c r="X2036" s="24">
        <v>4</v>
      </c>
      <c r="Y2036" s="24">
        <v>5</v>
      </c>
      <c r="Z2036" s="20">
        <f t="shared" si="67"/>
        <v>17</v>
      </c>
    </row>
    <row r="2037" spans="1:26" x14ac:dyDescent="0.2">
      <c r="A2037" s="21"/>
      <c r="B2037" s="20"/>
      <c r="C2037" s="22"/>
      <c r="D2037" s="22"/>
      <c r="E2037" s="24"/>
      <c r="F2037" s="22"/>
      <c r="H2037" s="21">
        <v>46001</v>
      </c>
      <c r="I2037" s="22" t="s">
        <v>70</v>
      </c>
      <c r="J2037" s="22" t="s">
        <v>50</v>
      </c>
      <c r="K2037" s="24">
        <v>1</v>
      </c>
      <c r="M2037" s="21">
        <v>46073</v>
      </c>
      <c r="N2037" s="22" t="s">
        <v>70</v>
      </c>
      <c r="O2037" s="22" t="s">
        <v>41</v>
      </c>
      <c r="P2037" s="49">
        <v>77</v>
      </c>
      <c r="Q2037" s="49">
        <v>76.5</v>
      </c>
      <c r="R2037" s="46">
        <f t="shared" si="66"/>
        <v>0.5</v>
      </c>
      <c r="T2037" s="21">
        <v>46052</v>
      </c>
      <c r="U2037" s="22" t="s">
        <v>45</v>
      </c>
      <c r="V2037" s="24">
        <v>5</v>
      </c>
      <c r="W2037" s="24">
        <v>4</v>
      </c>
      <c r="X2037" s="24">
        <v>4</v>
      </c>
      <c r="Y2037" s="24">
        <v>5</v>
      </c>
      <c r="Z2037" s="20">
        <f t="shared" si="67"/>
        <v>18</v>
      </c>
    </row>
    <row r="2038" spans="1:26" x14ac:dyDescent="0.2">
      <c r="A2038" s="21"/>
      <c r="B2038" s="20"/>
      <c r="C2038" s="22"/>
      <c r="D2038" s="22"/>
      <c r="E2038" s="24"/>
      <c r="F2038" s="22"/>
      <c r="H2038" s="21">
        <v>46001</v>
      </c>
      <c r="I2038" s="22" t="s">
        <v>70</v>
      </c>
      <c r="J2038" s="22" t="s">
        <v>51</v>
      </c>
      <c r="K2038" s="24">
        <v>1</v>
      </c>
      <c r="M2038" s="21">
        <v>46073</v>
      </c>
      <c r="N2038" s="22" t="s">
        <v>70</v>
      </c>
      <c r="O2038" s="22" t="s">
        <v>42</v>
      </c>
      <c r="P2038" s="49">
        <v>79.3</v>
      </c>
      <c r="Q2038" s="49">
        <v>78.8</v>
      </c>
      <c r="R2038" s="46">
        <f t="shared" si="66"/>
        <v>0.5</v>
      </c>
      <c r="T2038" s="21">
        <v>46052</v>
      </c>
      <c r="U2038" s="22" t="s">
        <v>46</v>
      </c>
      <c r="V2038" s="24">
        <v>5</v>
      </c>
      <c r="W2038" s="24">
        <v>4</v>
      </c>
      <c r="X2038" s="24">
        <v>4</v>
      </c>
      <c r="Y2038" s="24">
        <v>3</v>
      </c>
      <c r="Z2038" s="20">
        <f t="shared" si="67"/>
        <v>16</v>
      </c>
    </row>
    <row r="2039" spans="1:26" x14ac:dyDescent="0.2">
      <c r="A2039" s="21"/>
      <c r="B2039" s="20"/>
      <c r="C2039" s="22"/>
      <c r="D2039" s="22"/>
      <c r="E2039" s="24"/>
      <c r="F2039" s="22"/>
      <c r="H2039" s="21">
        <v>46001</v>
      </c>
      <c r="I2039" s="22" t="s">
        <v>70</v>
      </c>
      <c r="J2039" s="22" t="s">
        <v>46</v>
      </c>
      <c r="K2039" s="24">
        <v>1</v>
      </c>
      <c r="M2039" s="21">
        <v>46073</v>
      </c>
      <c r="N2039" s="22" t="s">
        <v>70</v>
      </c>
      <c r="O2039" s="22" t="s">
        <v>45</v>
      </c>
      <c r="P2039" s="49">
        <v>68.7</v>
      </c>
      <c r="Q2039" s="49">
        <v>68.3</v>
      </c>
      <c r="R2039" s="46">
        <f t="shared" si="66"/>
        <v>0.40000000000000568</v>
      </c>
      <c r="T2039" s="21">
        <v>46052</v>
      </c>
      <c r="U2039" s="22" t="s">
        <v>49</v>
      </c>
      <c r="V2039" s="24">
        <v>4</v>
      </c>
      <c r="W2039" s="24">
        <v>3</v>
      </c>
      <c r="X2039" s="24">
        <v>3</v>
      </c>
      <c r="Y2039" s="24">
        <v>4</v>
      </c>
      <c r="Z2039" s="20">
        <f t="shared" si="67"/>
        <v>14</v>
      </c>
    </row>
    <row r="2040" spans="1:26" x14ac:dyDescent="0.2">
      <c r="A2040" s="21"/>
      <c r="B2040" s="20"/>
      <c r="C2040" s="22"/>
      <c r="D2040" s="22"/>
      <c r="E2040" s="24"/>
      <c r="F2040" s="22"/>
      <c r="H2040" s="21">
        <v>46001</v>
      </c>
      <c r="I2040" s="22" t="s">
        <v>70</v>
      </c>
      <c r="J2040" s="22" t="s">
        <v>48</v>
      </c>
      <c r="K2040" s="24">
        <v>1</v>
      </c>
      <c r="M2040" s="21">
        <v>46073</v>
      </c>
      <c r="N2040" s="22" t="s">
        <v>70</v>
      </c>
      <c r="O2040" s="22" t="s">
        <v>46</v>
      </c>
      <c r="P2040" s="49">
        <v>81</v>
      </c>
      <c r="Q2040" s="49">
        <v>81</v>
      </c>
      <c r="R2040" s="46">
        <f t="shared" si="66"/>
        <v>0</v>
      </c>
      <c r="T2040" s="21">
        <v>46052</v>
      </c>
      <c r="U2040" s="22" t="s">
        <v>50</v>
      </c>
      <c r="V2040" s="24">
        <v>4</v>
      </c>
      <c r="W2040" s="24">
        <v>3</v>
      </c>
      <c r="X2040" s="24">
        <v>3</v>
      </c>
      <c r="Y2040" s="24">
        <v>5</v>
      </c>
      <c r="Z2040" s="20">
        <f t="shared" si="67"/>
        <v>15</v>
      </c>
    </row>
    <row r="2041" spans="1:26" x14ac:dyDescent="0.2">
      <c r="A2041" s="21"/>
      <c r="B2041" s="20"/>
      <c r="C2041" s="22"/>
      <c r="D2041" s="22"/>
      <c r="E2041" s="24"/>
      <c r="F2041" s="22"/>
      <c r="H2041" s="21">
        <v>46001</v>
      </c>
      <c r="I2041" s="22" t="s">
        <v>70</v>
      </c>
      <c r="J2041" s="22" t="s">
        <v>56</v>
      </c>
      <c r="K2041" s="24">
        <v>7</v>
      </c>
      <c r="M2041" s="21">
        <v>46073</v>
      </c>
      <c r="N2041" s="22" t="s">
        <v>70</v>
      </c>
      <c r="O2041" s="22" t="s">
        <v>47</v>
      </c>
      <c r="P2041" s="49">
        <v>72</v>
      </c>
      <c r="Q2041" s="49">
        <v>72</v>
      </c>
      <c r="R2041" s="46">
        <f t="shared" si="66"/>
        <v>0</v>
      </c>
      <c r="T2041" s="21">
        <v>46052</v>
      </c>
      <c r="U2041" s="22" t="s">
        <v>51</v>
      </c>
      <c r="V2041" s="24">
        <v>4</v>
      </c>
      <c r="W2041" s="24">
        <v>4</v>
      </c>
      <c r="X2041" s="24">
        <v>4</v>
      </c>
      <c r="Y2041" s="24">
        <v>5</v>
      </c>
      <c r="Z2041" s="20">
        <f t="shared" si="67"/>
        <v>17</v>
      </c>
    </row>
    <row r="2042" spans="1:26" x14ac:dyDescent="0.2">
      <c r="A2042" s="21"/>
      <c r="B2042" s="20"/>
      <c r="C2042" s="22"/>
      <c r="D2042" s="22"/>
      <c r="E2042" s="24"/>
      <c r="F2042" s="22"/>
      <c r="H2042" s="21">
        <v>46002</v>
      </c>
      <c r="I2042" s="22" t="s">
        <v>70</v>
      </c>
      <c r="J2042" s="22" t="s">
        <v>52</v>
      </c>
      <c r="K2042" s="24">
        <v>5</v>
      </c>
      <c r="M2042" s="21">
        <v>46073</v>
      </c>
      <c r="N2042" s="22" t="s">
        <v>70</v>
      </c>
      <c r="O2042" s="22" t="s">
        <v>49</v>
      </c>
      <c r="P2042" s="49">
        <v>79</v>
      </c>
      <c r="Q2042" s="49">
        <v>79.2</v>
      </c>
      <c r="R2042" s="46">
        <f t="shared" si="66"/>
        <v>-0.20000000000000284</v>
      </c>
      <c r="T2042" s="21">
        <v>46052</v>
      </c>
      <c r="U2042" s="22" t="s">
        <v>52</v>
      </c>
      <c r="V2042" s="24">
        <v>5</v>
      </c>
      <c r="W2042" s="24">
        <v>5</v>
      </c>
      <c r="X2042" s="24">
        <v>5</v>
      </c>
      <c r="Y2042" s="24">
        <v>5</v>
      </c>
      <c r="Z2042" s="20">
        <f t="shared" si="67"/>
        <v>20</v>
      </c>
    </row>
    <row r="2043" spans="1:26" x14ac:dyDescent="0.2">
      <c r="A2043" s="21"/>
      <c r="B2043" s="20"/>
      <c r="C2043" s="22"/>
      <c r="D2043" s="22"/>
      <c r="E2043" s="24"/>
      <c r="F2043" s="22"/>
      <c r="H2043" s="21">
        <v>46002</v>
      </c>
      <c r="I2043" s="22" t="s">
        <v>70</v>
      </c>
      <c r="J2043" s="22" t="s">
        <v>53</v>
      </c>
      <c r="K2043" s="24">
        <v>5</v>
      </c>
      <c r="M2043" s="21">
        <v>46073</v>
      </c>
      <c r="N2043" s="22" t="s">
        <v>70</v>
      </c>
      <c r="O2043" s="22" t="s">
        <v>50</v>
      </c>
      <c r="P2043" s="49">
        <v>66.400000000000006</v>
      </c>
      <c r="Q2043" s="49">
        <v>65.599999999999994</v>
      </c>
      <c r="R2043" s="46">
        <f t="shared" si="66"/>
        <v>0.80000000000001137</v>
      </c>
      <c r="T2043" s="21">
        <v>46052</v>
      </c>
      <c r="U2043" s="22" t="s">
        <v>53</v>
      </c>
      <c r="V2043" s="24">
        <v>4</v>
      </c>
      <c r="W2043" s="24">
        <v>3</v>
      </c>
      <c r="X2043" s="24">
        <v>4</v>
      </c>
      <c r="Y2043" s="24">
        <v>5</v>
      </c>
      <c r="Z2043" s="20">
        <f t="shared" si="67"/>
        <v>16</v>
      </c>
    </row>
    <row r="2044" spans="1:26" x14ac:dyDescent="0.2">
      <c r="A2044" s="21"/>
      <c r="B2044" s="20"/>
      <c r="C2044" s="22"/>
      <c r="D2044" s="22"/>
      <c r="E2044" s="24"/>
      <c r="F2044" s="22"/>
      <c r="H2044" s="21">
        <v>46002</v>
      </c>
      <c r="I2044" s="22" t="s">
        <v>70</v>
      </c>
      <c r="J2044" s="22" t="s">
        <v>44</v>
      </c>
      <c r="K2044" s="24">
        <v>7</v>
      </c>
      <c r="M2044" s="21">
        <v>46073</v>
      </c>
      <c r="N2044" s="22" t="s">
        <v>70</v>
      </c>
      <c r="O2044" s="22" t="s">
        <v>51</v>
      </c>
      <c r="P2044" s="49">
        <v>75.3</v>
      </c>
      <c r="Q2044" s="49">
        <v>75.2</v>
      </c>
      <c r="R2044" s="46">
        <f t="shared" si="66"/>
        <v>9.9999999999994316E-2</v>
      </c>
      <c r="T2044" s="21">
        <v>46052</v>
      </c>
      <c r="U2044" s="22" t="s">
        <v>54</v>
      </c>
      <c r="V2044" s="24">
        <v>4</v>
      </c>
      <c r="W2044" s="24">
        <v>3</v>
      </c>
      <c r="X2044" s="24">
        <v>4</v>
      </c>
      <c r="Y2044" s="24">
        <v>5</v>
      </c>
      <c r="Z2044" s="20">
        <f t="shared" si="67"/>
        <v>16</v>
      </c>
    </row>
    <row r="2045" spans="1:26" x14ac:dyDescent="0.2">
      <c r="A2045" s="21"/>
      <c r="B2045" s="20"/>
      <c r="C2045" s="22"/>
      <c r="D2045" s="22"/>
      <c r="E2045" s="24"/>
      <c r="F2045" s="22"/>
      <c r="H2045" s="21">
        <v>46002</v>
      </c>
      <c r="I2045" s="22" t="s">
        <v>70</v>
      </c>
      <c r="J2045" s="22" t="s">
        <v>45</v>
      </c>
      <c r="K2045" s="24">
        <v>6</v>
      </c>
      <c r="M2045" s="21">
        <v>46073</v>
      </c>
      <c r="N2045" s="22" t="s">
        <v>70</v>
      </c>
      <c r="O2045" s="22" t="s">
        <v>52</v>
      </c>
      <c r="P2045" s="49">
        <v>71.400000000000006</v>
      </c>
      <c r="Q2045" s="49">
        <v>71.400000000000006</v>
      </c>
      <c r="R2045" s="46">
        <f t="shared" si="66"/>
        <v>0</v>
      </c>
      <c r="T2045" s="21">
        <v>46052</v>
      </c>
      <c r="U2045" s="22" t="s">
        <v>57</v>
      </c>
      <c r="V2045" s="24">
        <v>5</v>
      </c>
      <c r="W2045" s="24">
        <v>3</v>
      </c>
      <c r="X2045" s="24">
        <v>4</v>
      </c>
      <c r="Y2045" s="24">
        <v>5</v>
      </c>
      <c r="Z2045" s="20">
        <f t="shared" si="67"/>
        <v>17</v>
      </c>
    </row>
    <row r="2046" spans="1:26" x14ac:dyDescent="0.2">
      <c r="A2046" s="21"/>
      <c r="B2046" s="20"/>
      <c r="C2046" s="22"/>
      <c r="D2046" s="22"/>
      <c r="E2046" s="24"/>
      <c r="F2046" s="22"/>
      <c r="H2046" s="21">
        <v>46002</v>
      </c>
      <c r="I2046" s="22" t="s">
        <v>70</v>
      </c>
      <c r="J2046" s="22" t="s">
        <v>57</v>
      </c>
      <c r="K2046" s="24">
        <v>6</v>
      </c>
      <c r="M2046" s="21">
        <v>46073</v>
      </c>
      <c r="N2046" s="22" t="s">
        <v>70</v>
      </c>
      <c r="O2046" s="22" t="s">
        <v>53</v>
      </c>
      <c r="P2046" s="49">
        <v>68.5</v>
      </c>
      <c r="Q2046" s="49">
        <v>67.599999999999994</v>
      </c>
      <c r="R2046" s="46">
        <f t="shared" si="66"/>
        <v>0.90000000000000568</v>
      </c>
      <c r="T2046" s="21">
        <v>46052</v>
      </c>
      <c r="U2046" s="22" t="s">
        <v>58</v>
      </c>
      <c r="V2046" s="24">
        <v>5</v>
      </c>
      <c r="W2046" s="24">
        <v>4</v>
      </c>
      <c r="X2046" s="24">
        <v>4</v>
      </c>
      <c r="Y2046" s="24">
        <v>5</v>
      </c>
      <c r="Z2046" s="20">
        <f t="shared" si="67"/>
        <v>18</v>
      </c>
    </row>
    <row r="2047" spans="1:26" x14ac:dyDescent="0.2">
      <c r="A2047" s="21"/>
      <c r="B2047" s="20"/>
      <c r="C2047" s="22"/>
      <c r="D2047" s="22"/>
      <c r="E2047" s="24"/>
      <c r="F2047" s="22"/>
      <c r="H2047" s="21">
        <v>46002</v>
      </c>
      <c r="I2047" s="22" t="s">
        <v>70</v>
      </c>
      <c r="J2047" s="22" t="s">
        <v>42</v>
      </c>
      <c r="K2047" s="24">
        <v>3</v>
      </c>
      <c r="M2047" s="21">
        <v>46073</v>
      </c>
      <c r="N2047" s="22" t="s">
        <v>70</v>
      </c>
      <c r="O2047" s="22" t="s">
        <v>54</v>
      </c>
      <c r="P2047" s="49">
        <v>83</v>
      </c>
      <c r="Q2047" s="49">
        <v>83</v>
      </c>
      <c r="R2047" s="46">
        <f t="shared" si="66"/>
        <v>0</v>
      </c>
      <c r="T2047" s="21">
        <v>46052</v>
      </c>
      <c r="U2047" s="22" t="s">
        <v>33</v>
      </c>
      <c r="V2047" s="24">
        <v>4.1666666666666696</v>
      </c>
      <c r="W2047" s="24">
        <v>3.4166666666666701</v>
      </c>
      <c r="X2047" s="24">
        <v>3.6666666666666701</v>
      </c>
      <c r="Y2047" s="24">
        <v>4.4166666666666696</v>
      </c>
      <c r="Z2047" s="20">
        <f t="shared" si="67"/>
        <v>15.666666666666679</v>
      </c>
    </row>
    <row r="2048" spans="1:26" x14ac:dyDescent="0.2">
      <c r="A2048" s="21"/>
      <c r="B2048" s="20"/>
      <c r="C2048" s="22"/>
      <c r="D2048" s="22"/>
      <c r="E2048" s="24"/>
      <c r="F2048" s="22"/>
      <c r="H2048" s="21">
        <v>46002</v>
      </c>
      <c r="I2048" s="22" t="s">
        <v>70</v>
      </c>
      <c r="J2048" s="22" t="s">
        <v>47</v>
      </c>
      <c r="K2048" s="24">
        <v>5</v>
      </c>
      <c r="M2048" s="21">
        <v>46073</v>
      </c>
      <c r="N2048" s="22" t="s">
        <v>70</v>
      </c>
      <c r="O2048" s="22" t="s">
        <v>57</v>
      </c>
      <c r="P2048" s="49">
        <v>91.8</v>
      </c>
      <c r="Q2048" s="49">
        <v>91.3</v>
      </c>
      <c r="R2048" s="46">
        <f t="shared" si="66"/>
        <v>0.5</v>
      </c>
      <c r="T2048" s="21">
        <v>46055</v>
      </c>
      <c r="U2048" s="22" t="s">
        <v>41</v>
      </c>
      <c r="V2048" s="24">
        <v>1</v>
      </c>
      <c r="W2048" s="24">
        <v>1</v>
      </c>
      <c r="X2048" s="24">
        <v>1</v>
      </c>
      <c r="Y2048" s="24">
        <v>1</v>
      </c>
      <c r="Z2048" s="20">
        <f t="shared" si="67"/>
        <v>4</v>
      </c>
    </row>
    <row r="2049" spans="1:26" x14ac:dyDescent="0.2">
      <c r="A2049" s="21"/>
      <c r="B2049" s="20"/>
      <c r="C2049" s="22"/>
      <c r="D2049" s="22"/>
      <c r="E2049" s="24"/>
      <c r="F2049" s="22"/>
      <c r="H2049" s="21">
        <v>46002</v>
      </c>
      <c r="I2049" s="22" t="s">
        <v>70</v>
      </c>
      <c r="J2049" s="22" t="s">
        <v>41</v>
      </c>
      <c r="K2049" s="24">
        <v>4</v>
      </c>
      <c r="M2049" s="21">
        <v>46073</v>
      </c>
      <c r="N2049" s="22" t="s">
        <v>70</v>
      </c>
      <c r="O2049" s="22" t="s">
        <v>58</v>
      </c>
      <c r="P2049" s="49">
        <v>75.400000000000006</v>
      </c>
      <c r="Q2049" s="49">
        <v>75.7</v>
      </c>
      <c r="R2049" s="46">
        <f t="shared" si="66"/>
        <v>-0.29999999999999716</v>
      </c>
      <c r="T2049" s="21">
        <v>46055</v>
      </c>
      <c r="U2049" s="22" t="s">
        <v>42</v>
      </c>
      <c r="V2049" s="24">
        <v>4</v>
      </c>
      <c r="W2049" s="24">
        <v>4</v>
      </c>
      <c r="X2049" s="24">
        <v>4</v>
      </c>
      <c r="Y2049" s="24">
        <v>5</v>
      </c>
      <c r="Z2049" s="20">
        <f t="shared" si="67"/>
        <v>17</v>
      </c>
    </row>
    <row r="2050" spans="1:26" x14ac:dyDescent="0.2">
      <c r="A2050" s="21"/>
      <c r="B2050" s="20"/>
      <c r="C2050" s="22"/>
      <c r="D2050" s="22"/>
      <c r="E2050" s="24"/>
      <c r="F2050" s="22"/>
      <c r="H2050" s="21">
        <v>46002</v>
      </c>
      <c r="I2050" s="22" t="s">
        <v>70</v>
      </c>
      <c r="J2050" s="22" t="s">
        <v>58</v>
      </c>
      <c r="K2050" s="24">
        <v>7</v>
      </c>
      <c r="M2050" s="21">
        <v>46076</v>
      </c>
      <c r="N2050" s="22" t="s">
        <v>70</v>
      </c>
      <c r="O2050" s="22" t="s">
        <v>41</v>
      </c>
      <c r="P2050" s="49">
        <v>77</v>
      </c>
      <c r="Q2050" s="49">
        <v>76.400000000000006</v>
      </c>
      <c r="R2050" s="46">
        <f t="shared" si="66"/>
        <v>0.59999999999999432</v>
      </c>
      <c r="T2050" s="21">
        <v>46055</v>
      </c>
      <c r="U2050" s="22" t="s">
        <v>45</v>
      </c>
      <c r="V2050" s="24">
        <v>5</v>
      </c>
      <c r="W2050" s="24">
        <v>5</v>
      </c>
      <c r="X2050" s="24">
        <v>5</v>
      </c>
      <c r="Y2050" s="24">
        <v>5</v>
      </c>
      <c r="Z2050" s="20">
        <f t="shared" si="67"/>
        <v>20</v>
      </c>
    </row>
    <row r="2051" spans="1:26" x14ac:dyDescent="0.2">
      <c r="A2051" s="21"/>
      <c r="B2051" s="20"/>
      <c r="C2051" s="22"/>
      <c r="D2051" s="22"/>
      <c r="E2051" s="24"/>
      <c r="F2051" s="22"/>
      <c r="H2051" s="21">
        <v>46002</v>
      </c>
      <c r="I2051" s="22" t="s">
        <v>70</v>
      </c>
      <c r="J2051" s="22" t="s">
        <v>49</v>
      </c>
      <c r="K2051" s="24">
        <v>7</v>
      </c>
      <c r="M2051" s="21">
        <v>46076</v>
      </c>
      <c r="N2051" s="22" t="s">
        <v>71</v>
      </c>
      <c r="O2051" s="22" t="s">
        <v>41</v>
      </c>
      <c r="P2051" s="49">
        <v>77</v>
      </c>
      <c r="Q2051" s="49">
        <v>76.5</v>
      </c>
      <c r="R2051" s="46">
        <f t="shared" ref="R2051:R2114" si="68">IFERROR(P2051-Q2051,"")</f>
        <v>0.5</v>
      </c>
      <c r="T2051" s="21">
        <v>46055</v>
      </c>
      <c r="U2051" s="22" t="s">
        <v>46</v>
      </c>
      <c r="V2051" s="24">
        <v>5</v>
      </c>
      <c r="W2051" s="24">
        <v>4</v>
      </c>
      <c r="X2051" s="24">
        <v>4</v>
      </c>
      <c r="Y2051" s="24">
        <v>3</v>
      </c>
      <c r="Z2051" s="20">
        <f t="shared" ref="Z2051:Z2114" si="69">SUM(V2051:Y2051)</f>
        <v>16</v>
      </c>
    </row>
    <row r="2052" spans="1:26" x14ac:dyDescent="0.2">
      <c r="A2052" s="21"/>
      <c r="B2052" s="20"/>
      <c r="C2052" s="22"/>
      <c r="D2052" s="22"/>
      <c r="E2052" s="24"/>
      <c r="F2052" s="22"/>
      <c r="H2052" s="21">
        <v>46002</v>
      </c>
      <c r="I2052" s="22" t="s">
        <v>70</v>
      </c>
      <c r="J2052" s="22" t="s">
        <v>50</v>
      </c>
      <c r="K2052" s="24" t="s">
        <v>60</v>
      </c>
      <c r="M2052" s="21">
        <v>46076</v>
      </c>
      <c r="N2052" s="22" t="s">
        <v>70</v>
      </c>
      <c r="O2052" s="22" t="s">
        <v>42</v>
      </c>
      <c r="P2052" s="49">
        <v>79.3</v>
      </c>
      <c r="Q2052" s="49">
        <v>79.7</v>
      </c>
      <c r="R2052" s="46">
        <f t="shared" si="68"/>
        <v>-0.40000000000000568</v>
      </c>
      <c r="T2052" s="21">
        <v>46055</v>
      </c>
      <c r="U2052" s="22" t="s">
        <v>49</v>
      </c>
      <c r="V2052" s="24">
        <v>3</v>
      </c>
      <c r="W2052" s="24">
        <v>3</v>
      </c>
      <c r="X2052" s="24">
        <v>3</v>
      </c>
      <c r="Y2052" s="24">
        <v>3</v>
      </c>
      <c r="Z2052" s="20">
        <f t="shared" si="69"/>
        <v>12</v>
      </c>
    </row>
    <row r="2053" spans="1:26" x14ac:dyDescent="0.2">
      <c r="A2053" s="21"/>
      <c r="B2053" s="20"/>
      <c r="C2053" s="22"/>
      <c r="D2053" s="22"/>
      <c r="E2053" s="24"/>
      <c r="F2053" s="22"/>
      <c r="H2053" s="21">
        <v>46002</v>
      </c>
      <c r="I2053" s="22" t="s">
        <v>70</v>
      </c>
      <c r="J2053" s="22" t="s">
        <v>51</v>
      </c>
      <c r="K2053" s="24">
        <v>7</v>
      </c>
      <c r="M2053" s="21">
        <v>46076</v>
      </c>
      <c r="N2053" s="22" t="s">
        <v>71</v>
      </c>
      <c r="O2053" s="22" t="s">
        <v>42</v>
      </c>
      <c r="P2053" s="49">
        <v>79.5</v>
      </c>
      <c r="Q2053" s="49">
        <v>79.099999999999994</v>
      </c>
      <c r="R2053" s="46">
        <f t="shared" si="68"/>
        <v>0.40000000000000568</v>
      </c>
      <c r="T2053" s="21">
        <v>46055</v>
      </c>
      <c r="U2053" s="22" t="s">
        <v>50</v>
      </c>
      <c r="V2053" s="24">
        <v>3</v>
      </c>
      <c r="W2053" s="24">
        <v>3</v>
      </c>
      <c r="X2053" s="24">
        <v>2</v>
      </c>
      <c r="Y2053" s="24">
        <v>4</v>
      </c>
      <c r="Z2053" s="20">
        <f t="shared" si="69"/>
        <v>12</v>
      </c>
    </row>
    <row r="2054" spans="1:26" x14ac:dyDescent="0.2">
      <c r="A2054" s="21"/>
      <c r="B2054" s="20"/>
      <c r="C2054" s="22"/>
      <c r="D2054" s="22"/>
      <c r="E2054" s="24"/>
      <c r="F2054" s="22"/>
      <c r="H2054" s="21">
        <v>46002</v>
      </c>
      <c r="I2054" s="22" t="s">
        <v>70</v>
      </c>
      <c r="J2054" s="22" t="s">
        <v>46</v>
      </c>
      <c r="K2054" s="24">
        <v>7</v>
      </c>
      <c r="M2054" s="21">
        <v>46076</v>
      </c>
      <c r="N2054" s="22" t="s">
        <v>70</v>
      </c>
      <c r="O2054" s="22" t="s">
        <v>44</v>
      </c>
      <c r="P2054" s="49">
        <v>67.900000000000006</v>
      </c>
      <c r="Q2054" s="49">
        <v>67.599999999999994</v>
      </c>
      <c r="R2054" s="46">
        <f t="shared" si="68"/>
        <v>0.30000000000001137</v>
      </c>
      <c r="T2054" s="21">
        <v>46055</v>
      </c>
      <c r="U2054" s="22" t="s">
        <v>51</v>
      </c>
      <c r="V2054" s="24">
        <v>4</v>
      </c>
      <c r="W2054" s="24">
        <v>3</v>
      </c>
      <c r="X2054" s="24">
        <v>4</v>
      </c>
      <c r="Y2054" s="24">
        <v>4</v>
      </c>
      <c r="Z2054" s="20">
        <f t="shared" si="69"/>
        <v>15</v>
      </c>
    </row>
    <row r="2055" spans="1:26" x14ac:dyDescent="0.2">
      <c r="A2055" s="21"/>
      <c r="B2055" s="20"/>
      <c r="C2055" s="22"/>
      <c r="D2055" s="22"/>
      <c r="E2055" s="24"/>
      <c r="F2055" s="22"/>
      <c r="H2055" s="21">
        <v>46002</v>
      </c>
      <c r="I2055" s="22" t="s">
        <v>70</v>
      </c>
      <c r="J2055" s="22" t="s">
        <v>48</v>
      </c>
      <c r="K2055" s="24">
        <v>5</v>
      </c>
      <c r="M2055" s="21">
        <v>46076</v>
      </c>
      <c r="N2055" s="22" t="s">
        <v>70</v>
      </c>
      <c r="O2055" s="22" t="s">
        <v>45</v>
      </c>
      <c r="P2055" s="49">
        <v>69</v>
      </c>
      <c r="Q2055" s="49">
        <v>68.3</v>
      </c>
      <c r="R2055" s="46">
        <f t="shared" si="68"/>
        <v>0.70000000000000284</v>
      </c>
      <c r="T2055" s="21">
        <v>46055</v>
      </c>
      <c r="U2055" s="22" t="s">
        <v>52</v>
      </c>
      <c r="V2055" s="24">
        <v>4</v>
      </c>
      <c r="W2055" s="24">
        <v>4</v>
      </c>
      <c r="X2055" s="24">
        <v>4</v>
      </c>
      <c r="Y2055" s="24">
        <v>4</v>
      </c>
      <c r="Z2055" s="20">
        <f t="shared" si="69"/>
        <v>16</v>
      </c>
    </row>
    <row r="2056" spans="1:26" x14ac:dyDescent="0.2">
      <c r="A2056" s="21"/>
      <c r="B2056" s="20"/>
      <c r="C2056" s="22"/>
      <c r="D2056" s="22"/>
      <c r="E2056" s="24"/>
      <c r="F2056" s="22"/>
      <c r="H2056" s="21">
        <v>46002</v>
      </c>
      <c r="I2056" s="22" t="s">
        <v>70</v>
      </c>
      <c r="J2056" s="22" t="s">
        <v>56</v>
      </c>
      <c r="K2056" s="24">
        <v>7</v>
      </c>
      <c r="M2056" s="21">
        <v>46076</v>
      </c>
      <c r="N2056" s="22" t="s">
        <v>71</v>
      </c>
      <c r="O2056" s="22" t="s">
        <v>45</v>
      </c>
      <c r="P2056" s="49">
        <v>68.7</v>
      </c>
      <c r="Q2056" s="49">
        <v>68.5</v>
      </c>
      <c r="R2056" s="46">
        <f t="shared" si="68"/>
        <v>0.20000000000000284</v>
      </c>
      <c r="T2056" s="21">
        <v>46055</v>
      </c>
      <c r="U2056" s="22" t="s">
        <v>53</v>
      </c>
      <c r="V2056" s="24">
        <v>4</v>
      </c>
      <c r="W2056" s="24">
        <v>3</v>
      </c>
      <c r="X2056" s="24">
        <v>4</v>
      </c>
      <c r="Y2056" s="24">
        <v>4</v>
      </c>
      <c r="Z2056" s="20">
        <f t="shared" si="69"/>
        <v>15</v>
      </c>
    </row>
    <row r="2057" spans="1:26" x14ac:dyDescent="0.2">
      <c r="A2057" s="21"/>
      <c r="B2057" s="20"/>
      <c r="C2057" s="22"/>
      <c r="D2057" s="22"/>
      <c r="E2057" s="24"/>
      <c r="F2057" s="22"/>
      <c r="H2057" s="21">
        <v>46003</v>
      </c>
      <c r="I2057" s="22" t="s">
        <v>71</v>
      </c>
      <c r="J2057" s="22" t="s">
        <v>52</v>
      </c>
      <c r="K2057" s="24">
        <v>3</v>
      </c>
      <c r="M2057" s="21">
        <v>46076</v>
      </c>
      <c r="N2057" s="22" t="s">
        <v>70</v>
      </c>
      <c r="O2057" s="22" t="s">
        <v>46</v>
      </c>
      <c r="P2057" s="49">
        <v>80.5</v>
      </c>
      <c r="Q2057" s="49">
        <v>81</v>
      </c>
      <c r="R2057" s="46">
        <f t="shared" si="68"/>
        <v>-0.5</v>
      </c>
      <c r="T2057" s="21">
        <v>46055</v>
      </c>
      <c r="U2057" s="22" t="s">
        <v>54</v>
      </c>
      <c r="V2057" s="24">
        <v>3</v>
      </c>
      <c r="W2057" s="24">
        <v>1</v>
      </c>
      <c r="X2057" s="24">
        <v>1</v>
      </c>
      <c r="Y2057" s="24">
        <v>3</v>
      </c>
      <c r="Z2057" s="20">
        <f t="shared" si="69"/>
        <v>8</v>
      </c>
    </row>
    <row r="2058" spans="1:26" x14ac:dyDescent="0.2">
      <c r="A2058" s="21"/>
      <c r="B2058" s="20"/>
      <c r="C2058" s="22"/>
      <c r="D2058" s="22"/>
      <c r="E2058" s="24"/>
      <c r="F2058" s="22"/>
      <c r="H2058" s="21">
        <v>46003</v>
      </c>
      <c r="I2058" s="22" t="s">
        <v>71</v>
      </c>
      <c r="J2058" s="22" t="s">
        <v>53</v>
      </c>
      <c r="K2058" s="24">
        <v>3</v>
      </c>
      <c r="M2058" s="21">
        <v>46076</v>
      </c>
      <c r="N2058" s="22" t="s">
        <v>71</v>
      </c>
      <c r="O2058" s="22" t="s">
        <v>46</v>
      </c>
      <c r="P2058" s="49">
        <v>80.599999999999994</v>
      </c>
      <c r="Q2058" s="49">
        <v>80.8</v>
      </c>
      <c r="R2058" s="46">
        <f t="shared" si="68"/>
        <v>-0.20000000000000284</v>
      </c>
      <c r="T2058" s="21">
        <v>46055</v>
      </c>
      <c r="U2058" s="22" t="s">
        <v>57</v>
      </c>
      <c r="V2058" s="24">
        <v>3</v>
      </c>
      <c r="W2058" s="24">
        <v>2</v>
      </c>
      <c r="X2058" s="24">
        <v>4</v>
      </c>
      <c r="Y2058" s="24">
        <v>3</v>
      </c>
      <c r="Z2058" s="20">
        <f t="shared" si="69"/>
        <v>12</v>
      </c>
    </row>
    <row r="2059" spans="1:26" x14ac:dyDescent="0.2">
      <c r="A2059" s="21"/>
      <c r="B2059" s="20"/>
      <c r="C2059" s="22"/>
      <c r="D2059" s="22"/>
      <c r="E2059" s="24"/>
      <c r="F2059" s="22"/>
      <c r="H2059" s="21">
        <v>46003</v>
      </c>
      <c r="I2059" s="22" t="s">
        <v>71</v>
      </c>
      <c r="J2059" s="22" t="s">
        <v>44</v>
      </c>
      <c r="K2059" s="24">
        <v>6</v>
      </c>
      <c r="M2059" s="21">
        <v>46076</v>
      </c>
      <c r="N2059" s="22" t="s">
        <v>70</v>
      </c>
      <c r="O2059" s="22" t="s">
        <v>47</v>
      </c>
      <c r="P2059" s="49">
        <v>72</v>
      </c>
      <c r="Q2059" s="49">
        <v>72</v>
      </c>
      <c r="R2059" s="46">
        <f t="shared" si="68"/>
        <v>0</v>
      </c>
      <c r="T2059" s="21">
        <v>46055</v>
      </c>
      <c r="U2059" s="22" t="s">
        <v>58</v>
      </c>
      <c r="V2059" s="24">
        <v>4</v>
      </c>
      <c r="W2059" s="24">
        <v>5</v>
      </c>
      <c r="X2059" s="24">
        <v>4</v>
      </c>
      <c r="Y2059" s="24">
        <v>4</v>
      </c>
      <c r="Z2059" s="20">
        <f t="shared" si="69"/>
        <v>17</v>
      </c>
    </row>
    <row r="2060" spans="1:26" x14ac:dyDescent="0.2">
      <c r="A2060" s="21"/>
      <c r="B2060" s="20"/>
      <c r="C2060" s="22"/>
      <c r="D2060" s="22"/>
      <c r="E2060" s="24"/>
      <c r="F2060" s="22"/>
      <c r="H2060" s="21">
        <v>46003</v>
      </c>
      <c r="I2060" s="22" t="s">
        <v>71</v>
      </c>
      <c r="J2060" s="22" t="s">
        <v>45</v>
      </c>
      <c r="K2060" s="24">
        <v>4</v>
      </c>
      <c r="M2060" s="21">
        <v>46076</v>
      </c>
      <c r="N2060" s="22" t="s">
        <v>71</v>
      </c>
      <c r="O2060" s="22" t="s">
        <v>47</v>
      </c>
      <c r="P2060" s="49">
        <v>72</v>
      </c>
      <c r="Q2060" s="49">
        <v>71.8</v>
      </c>
      <c r="R2060" s="46">
        <f t="shared" si="68"/>
        <v>0.20000000000000284</v>
      </c>
      <c r="T2060" s="21">
        <v>46055</v>
      </c>
      <c r="U2060" s="22" t="s">
        <v>33</v>
      </c>
      <c r="V2060" s="24">
        <v>3.5833333333333299</v>
      </c>
      <c r="W2060" s="24">
        <v>3.1666666666666701</v>
      </c>
      <c r="X2060" s="24">
        <v>3.3333333333333299</v>
      </c>
      <c r="Y2060" s="24">
        <v>3.5833333333333299</v>
      </c>
      <c r="Z2060" s="20">
        <f t="shared" si="69"/>
        <v>13.666666666666661</v>
      </c>
    </row>
    <row r="2061" spans="1:26" x14ac:dyDescent="0.2">
      <c r="A2061" s="21"/>
      <c r="B2061" s="20"/>
      <c r="C2061" s="22"/>
      <c r="D2061" s="22"/>
      <c r="E2061" s="24"/>
      <c r="F2061" s="22"/>
      <c r="H2061" s="21">
        <v>46003</v>
      </c>
      <c r="I2061" s="22" t="s">
        <v>71</v>
      </c>
      <c r="J2061" s="22" t="s">
        <v>57</v>
      </c>
      <c r="K2061" s="24">
        <v>3</v>
      </c>
      <c r="M2061" s="21">
        <v>46076</v>
      </c>
      <c r="N2061" s="22" t="s">
        <v>70</v>
      </c>
      <c r="O2061" s="22" t="s">
        <v>48</v>
      </c>
      <c r="P2061" s="49">
        <v>82.5</v>
      </c>
      <c r="Q2061" s="49">
        <v>81.5</v>
      </c>
      <c r="R2061" s="46">
        <f t="shared" si="68"/>
        <v>1</v>
      </c>
      <c r="T2061" s="21">
        <v>46056</v>
      </c>
      <c r="U2061" s="22" t="s">
        <v>41</v>
      </c>
      <c r="V2061" s="24">
        <v>1</v>
      </c>
      <c r="W2061" s="24">
        <v>1</v>
      </c>
      <c r="X2061" s="24">
        <v>1</v>
      </c>
      <c r="Y2061" s="24">
        <v>1</v>
      </c>
      <c r="Z2061" s="20">
        <f t="shared" si="69"/>
        <v>4</v>
      </c>
    </row>
    <row r="2062" spans="1:26" x14ac:dyDescent="0.2">
      <c r="A2062" s="21"/>
      <c r="B2062" s="20"/>
      <c r="C2062" s="22"/>
      <c r="D2062" s="22"/>
      <c r="E2062" s="24"/>
      <c r="F2062" s="22"/>
      <c r="H2062" s="21">
        <v>46003</v>
      </c>
      <c r="I2062" s="22" t="s">
        <v>71</v>
      </c>
      <c r="J2062" s="22" t="s">
        <v>42</v>
      </c>
      <c r="K2062" s="24">
        <v>3</v>
      </c>
      <c r="M2062" s="21">
        <v>46076</v>
      </c>
      <c r="N2062" s="22" t="s">
        <v>71</v>
      </c>
      <c r="O2062" s="22" t="s">
        <v>48</v>
      </c>
      <c r="P2062" s="49">
        <v>81.400000000000006</v>
      </c>
      <c r="Q2062" s="49">
        <v>81.400000000000006</v>
      </c>
      <c r="R2062" s="46">
        <f t="shared" si="68"/>
        <v>0</v>
      </c>
      <c r="T2062" s="21">
        <v>46056</v>
      </c>
      <c r="U2062" s="22" t="s">
        <v>42</v>
      </c>
      <c r="V2062" s="24">
        <v>4</v>
      </c>
      <c r="W2062" s="24">
        <v>4</v>
      </c>
      <c r="X2062" s="24">
        <v>4</v>
      </c>
      <c r="Y2062" s="24">
        <v>5</v>
      </c>
      <c r="Z2062" s="20">
        <f t="shared" si="69"/>
        <v>17</v>
      </c>
    </row>
    <row r="2063" spans="1:26" x14ac:dyDescent="0.2">
      <c r="A2063" s="21"/>
      <c r="B2063" s="20"/>
      <c r="C2063" s="22"/>
      <c r="D2063" s="22"/>
      <c r="E2063" s="24"/>
      <c r="F2063" s="22"/>
      <c r="H2063" s="21">
        <v>46003</v>
      </c>
      <c r="I2063" s="22" t="s">
        <v>71</v>
      </c>
      <c r="J2063" s="22" t="s">
        <v>47</v>
      </c>
      <c r="K2063" s="24">
        <v>3</v>
      </c>
      <c r="M2063" s="21">
        <v>46076</v>
      </c>
      <c r="N2063" s="22" t="s">
        <v>70</v>
      </c>
      <c r="O2063" s="22" t="s">
        <v>49</v>
      </c>
      <c r="P2063" s="49">
        <v>80</v>
      </c>
      <c r="Q2063" s="49">
        <v>80</v>
      </c>
      <c r="R2063" s="46">
        <f t="shared" si="68"/>
        <v>0</v>
      </c>
      <c r="T2063" s="21">
        <v>46056</v>
      </c>
      <c r="U2063" s="22" t="s">
        <v>45</v>
      </c>
      <c r="V2063" s="24">
        <v>4</v>
      </c>
      <c r="W2063" s="24">
        <v>4</v>
      </c>
      <c r="X2063" s="24">
        <v>4</v>
      </c>
      <c r="Y2063" s="24">
        <v>4</v>
      </c>
      <c r="Z2063" s="20">
        <f t="shared" si="69"/>
        <v>16</v>
      </c>
    </row>
    <row r="2064" spans="1:26" x14ac:dyDescent="0.2">
      <c r="A2064" s="21"/>
      <c r="B2064" s="20"/>
      <c r="C2064" s="22"/>
      <c r="D2064" s="22"/>
      <c r="E2064" s="24"/>
      <c r="F2064" s="22"/>
      <c r="H2064" s="21">
        <v>46003</v>
      </c>
      <c r="I2064" s="22" t="s">
        <v>71</v>
      </c>
      <c r="J2064" s="22" t="s">
        <v>41</v>
      </c>
      <c r="K2064" s="24">
        <v>3</v>
      </c>
      <c r="M2064" s="21">
        <v>46076</v>
      </c>
      <c r="N2064" s="22" t="s">
        <v>71</v>
      </c>
      <c r="O2064" s="22" t="s">
        <v>49</v>
      </c>
      <c r="P2064" s="49">
        <v>79</v>
      </c>
      <c r="Q2064" s="49">
        <v>79</v>
      </c>
      <c r="R2064" s="46">
        <f t="shared" si="68"/>
        <v>0</v>
      </c>
      <c r="T2064" s="21">
        <v>46056</v>
      </c>
      <c r="U2064" s="22" t="s">
        <v>46</v>
      </c>
      <c r="V2064" s="24">
        <v>4</v>
      </c>
      <c r="W2064" s="24">
        <v>3</v>
      </c>
      <c r="X2064" s="24">
        <v>3</v>
      </c>
      <c r="Y2064" s="24">
        <v>3</v>
      </c>
      <c r="Z2064" s="20">
        <f t="shared" si="69"/>
        <v>13</v>
      </c>
    </row>
    <row r="2065" spans="1:26" x14ac:dyDescent="0.2">
      <c r="A2065" s="21"/>
      <c r="B2065" s="20"/>
      <c r="C2065" s="22"/>
      <c r="D2065" s="22"/>
      <c r="E2065" s="24"/>
      <c r="F2065" s="22"/>
      <c r="H2065" s="21">
        <v>46003</v>
      </c>
      <c r="I2065" s="22" t="s">
        <v>71</v>
      </c>
      <c r="J2065" s="22" t="s">
        <v>58</v>
      </c>
      <c r="K2065" s="24">
        <v>3</v>
      </c>
      <c r="M2065" s="21">
        <v>46076</v>
      </c>
      <c r="N2065" s="22" t="s">
        <v>70</v>
      </c>
      <c r="O2065" s="22" t="s">
        <v>50</v>
      </c>
      <c r="P2065" s="49">
        <v>67</v>
      </c>
      <c r="Q2065" s="49">
        <v>66</v>
      </c>
      <c r="R2065" s="46">
        <f t="shared" si="68"/>
        <v>1</v>
      </c>
      <c r="T2065" s="21">
        <v>46056</v>
      </c>
      <c r="U2065" s="22" t="s">
        <v>49</v>
      </c>
      <c r="V2065" s="24">
        <v>4</v>
      </c>
      <c r="W2065" s="24">
        <v>4</v>
      </c>
      <c r="X2065" s="24">
        <v>4</v>
      </c>
      <c r="Y2065" s="24">
        <v>4</v>
      </c>
      <c r="Z2065" s="20">
        <f t="shared" si="69"/>
        <v>16</v>
      </c>
    </row>
    <row r="2066" spans="1:26" x14ac:dyDescent="0.2">
      <c r="A2066" s="21"/>
      <c r="B2066" s="20"/>
      <c r="C2066" s="22"/>
      <c r="D2066" s="22"/>
      <c r="E2066" s="24"/>
      <c r="F2066" s="22"/>
      <c r="H2066" s="21">
        <v>46003</v>
      </c>
      <c r="I2066" s="22" t="s">
        <v>71</v>
      </c>
      <c r="J2066" s="22" t="s">
        <v>49</v>
      </c>
      <c r="K2066" s="24">
        <v>3</v>
      </c>
      <c r="M2066" s="21">
        <v>46076</v>
      </c>
      <c r="N2066" s="22" t="s">
        <v>71</v>
      </c>
      <c r="O2066" s="22" t="s">
        <v>50</v>
      </c>
      <c r="P2066" s="49">
        <v>66.8</v>
      </c>
      <c r="Q2066" s="49">
        <v>66.099999999999994</v>
      </c>
      <c r="R2066" s="46">
        <f t="shared" si="68"/>
        <v>0.70000000000000284</v>
      </c>
      <c r="T2066" s="21">
        <v>46056</v>
      </c>
      <c r="U2066" s="22" t="s">
        <v>50</v>
      </c>
      <c r="V2066" s="24">
        <v>2</v>
      </c>
      <c r="W2066" s="24">
        <v>2</v>
      </c>
      <c r="X2066" s="24">
        <v>3</v>
      </c>
      <c r="Y2066" s="24">
        <v>4</v>
      </c>
      <c r="Z2066" s="20">
        <f t="shared" si="69"/>
        <v>11</v>
      </c>
    </row>
    <row r="2067" spans="1:26" x14ac:dyDescent="0.2">
      <c r="A2067" s="21"/>
      <c r="B2067" s="20"/>
      <c r="C2067" s="22"/>
      <c r="D2067" s="22"/>
      <c r="E2067" s="24"/>
      <c r="F2067" s="22"/>
      <c r="H2067" s="21">
        <v>46003</v>
      </c>
      <c r="I2067" s="22" t="s">
        <v>71</v>
      </c>
      <c r="J2067" s="22" t="s">
        <v>50</v>
      </c>
      <c r="K2067" s="24">
        <v>3</v>
      </c>
      <c r="M2067" s="21">
        <v>46076</v>
      </c>
      <c r="N2067" s="22" t="s">
        <v>70</v>
      </c>
      <c r="O2067" s="22" t="s">
        <v>51</v>
      </c>
      <c r="P2067" s="49">
        <v>75.400000000000006</v>
      </c>
      <c r="Q2067" s="49">
        <v>75.099999999999994</v>
      </c>
      <c r="R2067" s="46">
        <f t="shared" si="68"/>
        <v>0.30000000000001137</v>
      </c>
      <c r="T2067" s="21">
        <v>46056</v>
      </c>
      <c r="U2067" s="22" t="s">
        <v>51</v>
      </c>
      <c r="V2067" s="24">
        <v>4</v>
      </c>
      <c r="W2067" s="24">
        <v>4</v>
      </c>
      <c r="X2067" s="24">
        <v>4</v>
      </c>
      <c r="Y2067" s="24">
        <v>4</v>
      </c>
      <c r="Z2067" s="20">
        <f t="shared" si="69"/>
        <v>16</v>
      </c>
    </row>
    <row r="2068" spans="1:26" x14ac:dyDescent="0.2">
      <c r="A2068" s="21"/>
      <c r="B2068" s="20"/>
      <c r="C2068" s="22"/>
      <c r="D2068" s="22"/>
      <c r="E2068" s="24"/>
      <c r="F2068" s="22"/>
      <c r="H2068" s="21">
        <v>46003</v>
      </c>
      <c r="I2068" s="22" t="s">
        <v>71</v>
      </c>
      <c r="J2068" s="22" t="s">
        <v>51</v>
      </c>
      <c r="K2068" s="24">
        <v>3</v>
      </c>
      <c r="M2068" s="21">
        <v>46076</v>
      </c>
      <c r="N2068" s="22" t="s">
        <v>71</v>
      </c>
      <c r="O2068" s="22" t="s">
        <v>51</v>
      </c>
      <c r="P2068" s="49">
        <v>75.2</v>
      </c>
      <c r="Q2068" s="49">
        <v>75.3</v>
      </c>
      <c r="R2068" s="46">
        <f t="shared" si="68"/>
        <v>-9.9999999999994316E-2</v>
      </c>
      <c r="T2068" s="21">
        <v>46056</v>
      </c>
      <c r="U2068" s="22" t="s">
        <v>52</v>
      </c>
      <c r="V2068" s="24">
        <v>4</v>
      </c>
      <c r="W2068" s="24">
        <v>4</v>
      </c>
      <c r="X2068" s="24">
        <v>4</v>
      </c>
      <c r="Y2068" s="24">
        <v>4</v>
      </c>
      <c r="Z2068" s="20">
        <f t="shared" si="69"/>
        <v>16</v>
      </c>
    </row>
    <row r="2069" spans="1:26" x14ac:dyDescent="0.2">
      <c r="A2069" s="21"/>
      <c r="B2069" s="20"/>
      <c r="C2069" s="22"/>
      <c r="D2069" s="22"/>
      <c r="E2069" s="24"/>
      <c r="F2069" s="22"/>
      <c r="H2069" s="21">
        <v>46003</v>
      </c>
      <c r="I2069" s="22" t="s">
        <v>71</v>
      </c>
      <c r="J2069" s="22" t="s">
        <v>46</v>
      </c>
      <c r="K2069" s="24" t="s">
        <v>60</v>
      </c>
      <c r="M2069" s="21">
        <v>46076</v>
      </c>
      <c r="N2069" s="22" t="s">
        <v>70</v>
      </c>
      <c r="O2069" s="22" t="s">
        <v>52</v>
      </c>
      <c r="P2069" s="49">
        <v>71</v>
      </c>
      <c r="Q2069" s="49">
        <v>70.8</v>
      </c>
      <c r="R2069" s="46">
        <f t="shared" si="68"/>
        <v>0.20000000000000284</v>
      </c>
      <c r="T2069" s="21">
        <v>46056</v>
      </c>
      <c r="U2069" s="22" t="s">
        <v>53</v>
      </c>
      <c r="V2069" s="24">
        <v>4</v>
      </c>
      <c r="W2069" s="24">
        <v>3</v>
      </c>
      <c r="X2069" s="24">
        <v>4</v>
      </c>
      <c r="Y2069" s="24">
        <v>5</v>
      </c>
      <c r="Z2069" s="20">
        <f t="shared" si="69"/>
        <v>16</v>
      </c>
    </row>
    <row r="2070" spans="1:26" x14ac:dyDescent="0.2">
      <c r="A2070" s="21"/>
      <c r="B2070" s="20"/>
      <c r="C2070" s="22"/>
      <c r="D2070" s="22"/>
      <c r="E2070" s="24"/>
      <c r="F2070" s="22"/>
      <c r="H2070" s="21">
        <v>46003</v>
      </c>
      <c r="I2070" s="22" t="s">
        <v>71</v>
      </c>
      <c r="J2070" s="22" t="s">
        <v>48</v>
      </c>
      <c r="K2070" s="24">
        <v>3</v>
      </c>
      <c r="M2070" s="21">
        <v>46076</v>
      </c>
      <c r="N2070" s="22" t="s">
        <v>71</v>
      </c>
      <c r="O2070" s="22" t="s">
        <v>52</v>
      </c>
      <c r="P2070" s="49">
        <v>70.5</v>
      </c>
      <c r="Q2070" s="49">
        <v>70.5</v>
      </c>
      <c r="R2070" s="46">
        <f t="shared" si="68"/>
        <v>0</v>
      </c>
      <c r="T2070" s="21">
        <v>46056</v>
      </c>
      <c r="U2070" s="22" t="s">
        <v>54</v>
      </c>
      <c r="V2070" s="24">
        <v>3</v>
      </c>
      <c r="W2070" s="24">
        <v>2</v>
      </c>
      <c r="X2070" s="24">
        <v>2</v>
      </c>
      <c r="Y2070" s="24">
        <v>3</v>
      </c>
      <c r="Z2070" s="20">
        <f t="shared" si="69"/>
        <v>10</v>
      </c>
    </row>
    <row r="2071" spans="1:26" x14ac:dyDescent="0.2">
      <c r="A2071" s="21"/>
      <c r="B2071" s="20"/>
      <c r="C2071" s="22"/>
      <c r="D2071" s="22"/>
      <c r="E2071" s="24"/>
      <c r="F2071" s="22"/>
      <c r="H2071" s="21">
        <v>46003</v>
      </c>
      <c r="I2071" s="22" t="s">
        <v>71</v>
      </c>
      <c r="J2071" s="22" t="s">
        <v>56</v>
      </c>
      <c r="K2071" s="24">
        <v>3</v>
      </c>
      <c r="M2071" s="21">
        <v>46076</v>
      </c>
      <c r="N2071" s="22" t="s">
        <v>70</v>
      </c>
      <c r="O2071" s="22" t="s">
        <v>53</v>
      </c>
      <c r="P2071" s="49">
        <v>68.400000000000006</v>
      </c>
      <c r="Q2071" s="49">
        <v>68.2</v>
      </c>
      <c r="R2071" s="46">
        <f t="shared" si="68"/>
        <v>0.20000000000000284</v>
      </c>
      <c r="T2071" s="21">
        <v>46056</v>
      </c>
      <c r="U2071" s="22" t="s">
        <v>56</v>
      </c>
      <c r="V2071" s="24">
        <v>5</v>
      </c>
      <c r="W2071" s="24">
        <v>3</v>
      </c>
      <c r="X2071" s="24">
        <v>3</v>
      </c>
      <c r="Y2071" s="24">
        <v>4</v>
      </c>
      <c r="Z2071" s="20">
        <f t="shared" si="69"/>
        <v>15</v>
      </c>
    </row>
    <row r="2072" spans="1:26" x14ac:dyDescent="0.2">
      <c r="A2072" s="21"/>
      <c r="B2072" s="20"/>
      <c r="C2072" s="22"/>
      <c r="D2072" s="22"/>
      <c r="E2072" s="24"/>
      <c r="F2072" s="22"/>
      <c r="H2072" s="21">
        <v>46004</v>
      </c>
      <c r="I2072" s="22" t="s">
        <v>71</v>
      </c>
      <c r="J2072" s="22" t="s">
        <v>52</v>
      </c>
      <c r="K2072" s="24">
        <v>6</v>
      </c>
      <c r="M2072" s="21">
        <v>46076</v>
      </c>
      <c r="N2072" s="22" t="s">
        <v>71</v>
      </c>
      <c r="O2072" s="22" t="s">
        <v>53</v>
      </c>
      <c r="P2072" s="49">
        <v>68.3</v>
      </c>
      <c r="Q2072" s="49">
        <v>67.8</v>
      </c>
      <c r="R2072" s="46">
        <f t="shared" si="68"/>
        <v>0.5</v>
      </c>
      <c r="T2072" s="21">
        <v>46056</v>
      </c>
      <c r="U2072" s="22" t="s">
        <v>57</v>
      </c>
      <c r="V2072" s="24">
        <v>4</v>
      </c>
      <c r="W2072" s="24">
        <v>2</v>
      </c>
      <c r="X2072" s="24">
        <v>4</v>
      </c>
      <c r="Y2072" s="24">
        <v>3</v>
      </c>
      <c r="Z2072" s="20">
        <f t="shared" si="69"/>
        <v>13</v>
      </c>
    </row>
    <row r="2073" spans="1:26" x14ac:dyDescent="0.2">
      <c r="A2073" s="21"/>
      <c r="B2073" s="20"/>
      <c r="C2073" s="22"/>
      <c r="D2073" s="22"/>
      <c r="E2073" s="24"/>
      <c r="F2073" s="22"/>
      <c r="H2073" s="21">
        <v>46004</v>
      </c>
      <c r="I2073" s="22" t="s">
        <v>71</v>
      </c>
      <c r="J2073" s="22" t="s">
        <v>53</v>
      </c>
      <c r="K2073" s="24">
        <v>2</v>
      </c>
      <c r="M2073" s="21">
        <v>46076</v>
      </c>
      <c r="N2073" s="22" t="s">
        <v>70</v>
      </c>
      <c r="O2073" s="22" t="s">
        <v>57</v>
      </c>
      <c r="P2073" s="49">
        <v>92</v>
      </c>
      <c r="Q2073" s="49">
        <v>91.2</v>
      </c>
      <c r="R2073" s="46">
        <f t="shared" si="68"/>
        <v>0.79999999999999716</v>
      </c>
      <c r="T2073" s="21">
        <v>46056</v>
      </c>
      <c r="U2073" s="22" t="s">
        <v>58</v>
      </c>
      <c r="V2073" s="24">
        <v>4</v>
      </c>
      <c r="W2073" s="24">
        <v>3</v>
      </c>
      <c r="X2073" s="24">
        <v>3</v>
      </c>
      <c r="Y2073" s="24">
        <v>4</v>
      </c>
      <c r="Z2073" s="20">
        <f t="shared" si="69"/>
        <v>14</v>
      </c>
    </row>
    <row r="2074" spans="1:26" x14ac:dyDescent="0.2">
      <c r="A2074" s="21"/>
      <c r="B2074" s="20"/>
      <c r="C2074" s="22"/>
      <c r="D2074" s="22"/>
      <c r="E2074" s="24"/>
      <c r="F2074" s="22"/>
      <c r="H2074" s="21">
        <v>46004</v>
      </c>
      <c r="I2074" s="22" t="s">
        <v>71</v>
      </c>
      <c r="J2074" s="22" t="s">
        <v>44</v>
      </c>
      <c r="K2074" s="24">
        <v>7</v>
      </c>
      <c r="M2074" s="21">
        <v>46076</v>
      </c>
      <c r="N2074" s="22" t="s">
        <v>71</v>
      </c>
      <c r="O2074" s="22" t="s">
        <v>57</v>
      </c>
      <c r="P2074" s="49">
        <v>91.4</v>
      </c>
      <c r="Q2074" s="49">
        <v>91</v>
      </c>
      <c r="R2074" s="46">
        <f t="shared" si="68"/>
        <v>0.40000000000000568</v>
      </c>
      <c r="T2074" s="21">
        <v>46056</v>
      </c>
      <c r="U2074" s="22" t="s">
        <v>33</v>
      </c>
      <c r="V2074" s="24">
        <v>3.6153846153846199</v>
      </c>
      <c r="W2074" s="24">
        <v>3</v>
      </c>
      <c r="X2074" s="24">
        <v>3.3076923076923102</v>
      </c>
      <c r="Y2074" s="24">
        <v>3.6923076923076898</v>
      </c>
      <c r="Z2074" s="20">
        <f t="shared" si="69"/>
        <v>13.61538461538462</v>
      </c>
    </row>
    <row r="2075" spans="1:26" x14ac:dyDescent="0.2">
      <c r="A2075" s="21"/>
      <c r="B2075" s="20"/>
      <c r="C2075" s="22"/>
      <c r="D2075" s="22"/>
      <c r="E2075" s="24"/>
      <c r="F2075" s="22"/>
      <c r="H2075" s="21">
        <v>46004</v>
      </c>
      <c r="I2075" s="22" t="s">
        <v>71</v>
      </c>
      <c r="J2075" s="22" t="s">
        <v>45</v>
      </c>
      <c r="K2075" s="24">
        <v>8</v>
      </c>
      <c r="M2075" s="21">
        <v>46076</v>
      </c>
      <c r="N2075" s="22" t="s">
        <v>70</v>
      </c>
      <c r="O2075" s="22" t="s">
        <v>58</v>
      </c>
      <c r="P2075" s="49">
        <v>75.400000000000006</v>
      </c>
      <c r="Q2075" s="49">
        <v>75.2</v>
      </c>
      <c r="R2075" s="46">
        <f t="shared" si="68"/>
        <v>0.20000000000000284</v>
      </c>
      <c r="T2075" s="21">
        <v>46057</v>
      </c>
      <c r="U2075" s="22" t="s">
        <v>41</v>
      </c>
      <c r="V2075" s="24">
        <v>1</v>
      </c>
      <c r="W2075" s="24">
        <v>1</v>
      </c>
      <c r="X2075" s="24">
        <v>1</v>
      </c>
      <c r="Y2075" s="24">
        <v>1</v>
      </c>
      <c r="Z2075" s="20">
        <f t="shared" si="69"/>
        <v>4</v>
      </c>
    </row>
    <row r="2076" spans="1:26" x14ac:dyDescent="0.2">
      <c r="A2076" s="21"/>
      <c r="B2076" s="20"/>
      <c r="C2076" s="22"/>
      <c r="D2076" s="22"/>
      <c r="E2076" s="24"/>
      <c r="F2076" s="22"/>
      <c r="H2076" s="21">
        <v>46004</v>
      </c>
      <c r="I2076" s="22" t="s">
        <v>71</v>
      </c>
      <c r="J2076" s="22" t="s">
        <v>57</v>
      </c>
      <c r="K2076" s="24">
        <v>8</v>
      </c>
      <c r="M2076" s="21">
        <v>46076</v>
      </c>
      <c r="N2076" s="22" t="s">
        <v>71</v>
      </c>
      <c r="O2076" s="22" t="s">
        <v>58</v>
      </c>
      <c r="P2076" s="49">
        <v>75.099999999999994</v>
      </c>
      <c r="Q2076" s="49">
        <v>75</v>
      </c>
      <c r="R2076" s="46">
        <f t="shared" si="68"/>
        <v>9.9999999999994316E-2</v>
      </c>
      <c r="T2076" s="21">
        <v>46057</v>
      </c>
      <c r="U2076" s="22" t="s">
        <v>42</v>
      </c>
      <c r="V2076" s="24">
        <v>4</v>
      </c>
      <c r="W2076" s="24">
        <v>4</v>
      </c>
      <c r="X2076" s="24">
        <v>4</v>
      </c>
      <c r="Y2076" s="24">
        <v>5</v>
      </c>
      <c r="Z2076" s="20">
        <f t="shared" si="69"/>
        <v>17</v>
      </c>
    </row>
    <row r="2077" spans="1:26" x14ac:dyDescent="0.2">
      <c r="A2077" s="21"/>
      <c r="B2077" s="20"/>
      <c r="C2077" s="22"/>
      <c r="D2077" s="22"/>
      <c r="E2077" s="24"/>
      <c r="F2077" s="22"/>
      <c r="H2077" s="21">
        <v>46004</v>
      </c>
      <c r="I2077" s="22" t="s">
        <v>71</v>
      </c>
      <c r="J2077" s="22" t="s">
        <v>42</v>
      </c>
      <c r="K2077" s="24" t="s">
        <v>63</v>
      </c>
      <c r="M2077" s="21">
        <v>46077</v>
      </c>
      <c r="N2077" s="22" t="s">
        <v>70</v>
      </c>
      <c r="O2077" s="22" t="s">
        <v>41</v>
      </c>
      <c r="P2077" s="49">
        <v>76.8</v>
      </c>
      <c r="Q2077" s="49">
        <v>76.400000000000006</v>
      </c>
      <c r="R2077" s="46">
        <f t="shared" si="68"/>
        <v>0.39999999999999147</v>
      </c>
      <c r="T2077" s="21">
        <v>46057</v>
      </c>
      <c r="U2077" s="22" t="s">
        <v>45</v>
      </c>
      <c r="V2077" s="24">
        <v>4</v>
      </c>
      <c r="W2077" s="24">
        <v>3</v>
      </c>
      <c r="X2077" s="24">
        <v>4</v>
      </c>
      <c r="Y2077" s="24">
        <v>5</v>
      </c>
      <c r="Z2077" s="20">
        <f t="shared" si="69"/>
        <v>16</v>
      </c>
    </row>
    <row r="2078" spans="1:26" x14ac:dyDescent="0.2">
      <c r="A2078" s="21"/>
      <c r="B2078" s="20"/>
      <c r="C2078" s="22"/>
      <c r="D2078" s="22"/>
      <c r="E2078" s="24"/>
      <c r="F2078" s="22"/>
      <c r="H2078" s="21">
        <v>46004</v>
      </c>
      <c r="I2078" s="22" t="s">
        <v>71</v>
      </c>
      <c r="J2078" s="22" t="s">
        <v>47</v>
      </c>
      <c r="K2078" s="24">
        <v>6</v>
      </c>
      <c r="M2078" s="21">
        <v>46077</v>
      </c>
      <c r="N2078" s="22" t="s">
        <v>70</v>
      </c>
      <c r="O2078" s="22" t="s">
        <v>42</v>
      </c>
      <c r="P2078" s="49">
        <v>79.400000000000006</v>
      </c>
      <c r="Q2078" s="49">
        <v>79.099999999999994</v>
      </c>
      <c r="R2078" s="46">
        <f t="shared" si="68"/>
        <v>0.30000000000001137</v>
      </c>
      <c r="T2078" s="21">
        <v>46057</v>
      </c>
      <c r="U2078" s="22" t="s">
        <v>46</v>
      </c>
      <c r="V2078" s="24">
        <v>4</v>
      </c>
      <c r="W2078" s="24">
        <v>3</v>
      </c>
      <c r="X2078" s="24">
        <v>3</v>
      </c>
      <c r="Y2078" s="24">
        <v>3</v>
      </c>
      <c r="Z2078" s="20">
        <f t="shared" si="69"/>
        <v>13</v>
      </c>
    </row>
    <row r="2079" spans="1:26" x14ac:dyDescent="0.2">
      <c r="A2079" s="21"/>
      <c r="B2079" s="20"/>
      <c r="C2079" s="22"/>
      <c r="D2079" s="22"/>
      <c r="E2079" s="24"/>
      <c r="F2079" s="22"/>
      <c r="H2079" s="21">
        <v>46004</v>
      </c>
      <c r="I2079" s="22" t="s">
        <v>71</v>
      </c>
      <c r="J2079" s="22" t="s">
        <v>41</v>
      </c>
      <c r="K2079" s="24">
        <v>7</v>
      </c>
      <c r="M2079" s="21">
        <v>46077</v>
      </c>
      <c r="N2079" s="22" t="s">
        <v>70</v>
      </c>
      <c r="O2079" s="22" t="s">
        <v>44</v>
      </c>
      <c r="P2079" s="49">
        <v>67.3</v>
      </c>
      <c r="Q2079" s="49">
        <v>67</v>
      </c>
      <c r="R2079" s="46">
        <f t="shared" si="68"/>
        <v>0.29999999999999716</v>
      </c>
      <c r="T2079" s="21">
        <v>46057</v>
      </c>
      <c r="U2079" s="22" t="s">
        <v>49</v>
      </c>
      <c r="V2079" s="24">
        <v>2</v>
      </c>
      <c r="W2079" s="24">
        <v>2</v>
      </c>
      <c r="X2079" s="24">
        <v>3</v>
      </c>
      <c r="Y2079" s="24">
        <v>3</v>
      </c>
      <c r="Z2079" s="20">
        <f t="shared" si="69"/>
        <v>10</v>
      </c>
    </row>
    <row r="2080" spans="1:26" x14ac:dyDescent="0.2">
      <c r="A2080" s="21"/>
      <c r="B2080" s="20"/>
      <c r="C2080" s="22"/>
      <c r="D2080" s="22"/>
      <c r="E2080" s="24"/>
      <c r="F2080" s="22"/>
      <c r="H2080" s="21">
        <v>46004</v>
      </c>
      <c r="I2080" s="22" t="s">
        <v>71</v>
      </c>
      <c r="J2080" s="22" t="s">
        <v>58</v>
      </c>
      <c r="K2080" s="24">
        <v>8</v>
      </c>
      <c r="M2080" s="21">
        <v>46077</v>
      </c>
      <c r="N2080" s="22" t="s">
        <v>70</v>
      </c>
      <c r="O2080" s="22" t="s">
        <v>45</v>
      </c>
      <c r="P2080" s="49">
        <v>68.7</v>
      </c>
      <c r="Q2080" s="49">
        <v>68.3</v>
      </c>
      <c r="R2080" s="46">
        <f t="shared" si="68"/>
        <v>0.40000000000000568</v>
      </c>
      <c r="T2080" s="21">
        <v>46057</v>
      </c>
      <c r="U2080" s="22" t="s">
        <v>50</v>
      </c>
      <c r="V2080" s="24">
        <v>3</v>
      </c>
      <c r="W2080" s="24">
        <v>3</v>
      </c>
      <c r="X2080" s="24">
        <v>3</v>
      </c>
      <c r="Y2080" s="24">
        <v>4</v>
      </c>
      <c r="Z2080" s="20">
        <f t="shared" si="69"/>
        <v>13</v>
      </c>
    </row>
    <row r="2081" spans="1:26" x14ac:dyDescent="0.2">
      <c r="A2081" s="21"/>
      <c r="B2081" s="20"/>
      <c r="C2081" s="22"/>
      <c r="D2081" s="22"/>
      <c r="E2081" s="24"/>
      <c r="F2081" s="22"/>
      <c r="H2081" s="21">
        <v>46004</v>
      </c>
      <c r="I2081" s="22" t="s">
        <v>71</v>
      </c>
      <c r="J2081" s="22" t="s">
        <v>49</v>
      </c>
      <c r="K2081" s="24">
        <v>9</v>
      </c>
      <c r="M2081" s="21">
        <v>46077</v>
      </c>
      <c r="N2081" s="22" t="s">
        <v>70</v>
      </c>
      <c r="O2081" s="22" t="s">
        <v>46</v>
      </c>
      <c r="P2081" s="49">
        <v>80.8</v>
      </c>
      <c r="Q2081" s="49">
        <v>81</v>
      </c>
      <c r="R2081" s="46">
        <f t="shared" si="68"/>
        <v>-0.20000000000000284</v>
      </c>
      <c r="T2081" s="21">
        <v>46057</v>
      </c>
      <c r="U2081" s="22" t="s">
        <v>51</v>
      </c>
      <c r="V2081" s="24">
        <v>4</v>
      </c>
      <c r="W2081" s="24">
        <v>3</v>
      </c>
      <c r="X2081" s="24">
        <v>4</v>
      </c>
      <c r="Y2081" s="24">
        <v>4</v>
      </c>
      <c r="Z2081" s="20">
        <f t="shared" si="69"/>
        <v>15</v>
      </c>
    </row>
    <row r="2082" spans="1:26" x14ac:dyDescent="0.2">
      <c r="A2082" s="21"/>
      <c r="B2082" s="20"/>
      <c r="C2082" s="22"/>
      <c r="D2082" s="22"/>
      <c r="E2082" s="24"/>
      <c r="F2082" s="22"/>
      <c r="H2082" s="21">
        <v>46004</v>
      </c>
      <c r="I2082" s="22" t="s">
        <v>71</v>
      </c>
      <c r="J2082" s="22" t="s">
        <v>50</v>
      </c>
      <c r="K2082" s="24">
        <v>7</v>
      </c>
      <c r="M2082" s="21">
        <v>46077</v>
      </c>
      <c r="N2082" s="22" t="s">
        <v>70</v>
      </c>
      <c r="O2082" s="22" t="s">
        <v>47</v>
      </c>
      <c r="P2082" s="49">
        <v>71.8</v>
      </c>
      <c r="Q2082" s="49">
        <v>72</v>
      </c>
      <c r="R2082" s="46">
        <f t="shared" si="68"/>
        <v>-0.20000000000000284</v>
      </c>
      <c r="T2082" s="21">
        <v>46057</v>
      </c>
      <c r="U2082" s="22" t="s">
        <v>52</v>
      </c>
      <c r="V2082" s="24">
        <v>4</v>
      </c>
      <c r="W2082" s="24">
        <v>4</v>
      </c>
      <c r="X2082" s="24">
        <v>4</v>
      </c>
      <c r="Y2082" s="24">
        <v>4</v>
      </c>
      <c r="Z2082" s="20">
        <f t="shared" si="69"/>
        <v>16</v>
      </c>
    </row>
    <row r="2083" spans="1:26" x14ac:dyDescent="0.2">
      <c r="A2083" s="21"/>
      <c r="B2083" s="20"/>
      <c r="C2083" s="22"/>
      <c r="D2083" s="22"/>
      <c r="E2083" s="24"/>
      <c r="F2083" s="22"/>
      <c r="H2083" s="21">
        <v>46004</v>
      </c>
      <c r="I2083" s="22" t="s">
        <v>71</v>
      </c>
      <c r="J2083" s="22" t="s">
        <v>51</v>
      </c>
      <c r="K2083" s="24">
        <v>7</v>
      </c>
      <c r="M2083" s="21">
        <v>46077</v>
      </c>
      <c r="N2083" s="22" t="s">
        <v>70</v>
      </c>
      <c r="O2083" s="22" t="s">
        <v>48</v>
      </c>
      <c r="P2083" s="49">
        <v>81.400000000000006</v>
      </c>
      <c r="Q2083" s="49">
        <v>80</v>
      </c>
      <c r="R2083" s="46">
        <f t="shared" si="68"/>
        <v>1.4000000000000057</v>
      </c>
      <c r="T2083" s="21">
        <v>46057</v>
      </c>
      <c r="U2083" s="22" t="s">
        <v>53</v>
      </c>
      <c r="V2083" s="24">
        <v>4</v>
      </c>
      <c r="W2083" s="24">
        <v>2</v>
      </c>
      <c r="X2083" s="24">
        <v>3</v>
      </c>
      <c r="Y2083" s="24">
        <v>5</v>
      </c>
      <c r="Z2083" s="20">
        <f t="shared" si="69"/>
        <v>14</v>
      </c>
    </row>
    <row r="2084" spans="1:26" x14ac:dyDescent="0.2">
      <c r="A2084" s="21"/>
      <c r="B2084" s="20"/>
      <c r="C2084" s="22"/>
      <c r="D2084" s="22"/>
      <c r="E2084" s="24"/>
      <c r="F2084" s="22"/>
      <c r="H2084" s="21">
        <v>46004</v>
      </c>
      <c r="I2084" s="22" t="s">
        <v>71</v>
      </c>
      <c r="J2084" s="22" t="s">
        <v>46</v>
      </c>
      <c r="K2084" s="24" t="s">
        <v>60</v>
      </c>
      <c r="M2084" s="21">
        <v>46077</v>
      </c>
      <c r="N2084" s="22" t="s">
        <v>70</v>
      </c>
      <c r="O2084" s="22" t="s">
        <v>49</v>
      </c>
      <c r="P2084" s="49">
        <v>78.7</v>
      </c>
      <c r="Q2084" s="49">
        <v>78.7</v>
      </c>
      <c r="R2084" s="46">
        <f t="shared" si="68"/>
        <v>0</v>
      </c>
      <c r="T2084" s="21">
        <v>46057</v>
      </c>
      <c r="U2084" s="22" t="s">
        <v>54</v>
      </c>
      <c r="V2084" s="24">
        <v>4</v>
      </c>
      <c r="W2084" s="24">
        <v>2</v>
      </c>
      <c r="X2084" s="24">
        <v>2</v>
      </c>
      <c r="Y2084" s="24">
        <v>4</v>
      </c>
      <c r="Z2084" s="20">
        <f t="shared" si="69"/>
        <v>12</v>
      </c>
    </row>
    <row r="2085" spans="1:26" x14ac:dyDescent="0.2">
      <c r="A2085" s="21"/>
      <c r="B2085" s="20"/>
      <c r="C2085" s="22"/>
      <c r="D2085" s="22"/>
      <c r="E2085" s="24"/>
      <c r="F2085" s="22"/>
      <c r="H2085" s="21">
        <v>46004</v>
      </c>
      <c r="I2085" s="22" t="s">
        <v>71</v>
      </c>
      <c r="J2085" s="22" t="s">
        <v>48</v>
      </c>
      <c r="K2085" s="24">
        <v>8</v>
      </c>
      <c r="M2085" s="21">
        <v>46077</v>
      </c>
      <c r="N2085" s="22" t="s">
        <v>70</v>
      </c>
      <c r="O2085" s="22" t="s">
        <v>50</v>
      </c>
      <c r="P2085" s="49">
        <v>66.8</v>
      </c>
      <c r="Q2085" s="49">
        <v>65.599999999999994</v>
      </c>
      <c r="R2085" s="46">
        <f t="shared" si="68"/>
        <v>1.2000000000000028</v>
      </c>
      <c r="T2085" s="21">
        <v>46057</v>
      </c>
      <c r="U2085" s="22" t="s">
        <v>56</v>
      </c>
      <c r="V2085" s="24">
        <v>4</v>
      </c>
      <c r="W2085" s="24">
        <v>3</v>
      </c>
      <c r="X2085" s="24">
        <v>3</v>
      </c>
      <c r="Y2085" s="24">
        <v>4</v>
      </c>
      <c r="Z2085" s="20">
        <f t="shared" si="69"/>
        <v>14</v>
      </c>
    </row>
    <row r="2086" spans="1:26" x14ac:dyDescent="0.2">
      <c r="A2086" s="21"/>
      <c r="B2086" s="20"/>
      <c r="C2086" s="22"/>
      <c r="D2086" s="22"/>
      <c r="E2086" s="24"/>
      <c r="F2086" s="22"/>
      <c r="H2086" s="21">
        <v>46004</v>
      </c>
      <c r="I2086" s="22" t="s">
        <v>71</v>
      </c>
      <c r="J2086" s="22" t="s">
        <v>56</v>
      </c>
      <c r="K2086" s="24" t="s">
        <v>63</v>
      </c>
      <c r="M2086" s="21">
        <v>46077</v>
      </c>
      <c r="N2086" s="22" t="s">
        <v>70</v>
      </c>
      <c r="O2086" s="22" t="s">
        <v>51</v>
      </c>
      <c r="P2086" s="49">
        <v>74.900000000000006</v>
      </c>
      <c r="Q2086" s="49">
        <v>75.099999999999994</v>
      </c>
      <c r="R2086" s="46">
        <f t="shared" si="68"/>
        <v>-0.19999999999998863</v>
      </c>
      <c r="T2086" s="21">
        <v>46057</v>
      </c>
      <c r="U2086" s="22" t="s">
        <v>57</v>
      </c>
      <c r="V2086" s="24">
        <v>4</v>
      </c>
      <c r="W2086" s="24">
        <v>2</v>
      </c>
      <c r="X2086" s="24">
        <v>4</v>
      </c>
      <c r="Y2086" s="24">
        <v>4</v>
      </c>
      <c r="Z2086" s="20">
        <f t="shared" si="69"/>
        <v>14</v>
      </c>
    </row>
    <row r="2087" spans="1:26" x14ac:dyDescent="0.2">
      <c r="A2087" s="21"/>
      <c r="B2087" s="20"/>
      <c r="C2087" s="22"/>
      <c r="D2087" s="22"/>
      <c r="E2087" s="24"/>
      <c r="F2087" s="22"/>
      <c r="H2087" s="21">
        <v>46007</v>
      </c>
      <c r="I2087" s="22" t="s">
        <v>71</v>
      </c>
      <c r="J2087" s="22" t="s">
        <v>52</v>
      </c>
      <c r="K2087" s="24">
        <v>7</v>
      </c>
      <c r="M2087" s="21">
        <v>46077</v>
      </c>
      <c r="N2087" s="22" t="s">
        <v>70</v>
      </c>
      <c r="O2087" s="22" t="s">
        <v>52</v>
      </c>
      <c r="P2087" s="49">
        <v>71.099999999999994</v>
      </c>
      <c r="Q2087" s="49">
        <v>70.5</v>
      </c>
      <c r="R2087" s="46">
        <f t="shared" si="68"/>
        <v>0.59999999999999432</v>
      </c>
      <c r="T2087" s="21">
        <v>46057</v>
      </c>
      <c r="U2087" s="22" t="s">
        <v>58</v>
      </c>
      <c r="V2087" s="24">
        <v>3</v>
      </c>
      <c r="W2087" s="24">
        <v>3</v>
      </c>
      <c r="X2087" s="24">
        <v>3</v>
      </c>
      <c r="Y2087" s="24">
        <v>4</v>
      </c>
      <c r="Z2087" s="20">
        <f t="shared" si="69"/>
        <v>13</v>
      </c>
    </row>
    <row r="2088" spans="1:26" x14ac:dyDescent="0.2">
      <c r="A2088" s="21"/>
      <c r="B2088" s="20"/>
      <c r="C2088" s="22"/>
      <c r="D2088" s="22"/>
      <c r="E2088" s="24"/>
      <c r="F2088" s="22"/>
      <c r="H2088" s="21">
        <v>46007</v>
      </c>
      <c r="I2088" s="22" t="s">
        <v>71</v>
      </c>
      <c r="J2088" s="22" t="s">
        <v>53</v>
      </c>
      <c r="K2088" s="24">
        <v>7</v>
      </c>
      <c r="M2088" s="21">
        <v>46077</v>
      </c>
      <c r="N2088" s="22" t="s">
        <v>70</v>
      </c>
      <c r="O2088" s="22" t="s">
        <v>53</v>
      </c>
      <c r="P2088" s="49">
        <v>68.3</v>
      </c>
      <c r="Q2088" s="49">
        <v>67.8</v>
      </c>
      <c r="R2088" s="46">
        <f t="shared" si="68"/>
        <v>0.5</v>
      </c>
      <c r="T2088" s="21">
        <v>46057</v>
      </c>
      <c r="U2088" s="22" t="s">
        <v>33</v>
      </c>
      <c r="V2088" s="24">
        <v>3.4615384615384599</v>
      </c>
      <c r="W2088" s="24">
        <v>2.6923076923076898</v>
      </c>
      <c r="X2088" s="24">
        <v>3.1538461538461502</v>
      </c>
      <c r="Y2088" s="24">
        <v>3.8461538461538498</v>
      </c>
      <c r="Z2088" s="20">
        <f t="shared" si="69"/>
        <v>13.15384615384615</v>
      </c>
    </row>
    <row r="2089" spans="1:26" x14ac:dyDescent="0.2">
      <c r="A2089" s="21"/>
      <c r="B2089" s="20"/>
      <c r="C2089" s="22"/>
      <c r="D2089" s="22"/>
      <c r="E2089" s="24"/>
      <c r="F2089" s="22"/>
      <c r="H2089" s="21">
        <v>46007</v>
      </c>
      <c r="I2089" s="22" t="s">
        <v>71</v>
      </c>
      <c r="J2089" s="22" t="s">
        <v>44</v>
      </c>
      <c r="K2089" s="24" t="s">
        <v>64</v>
      </c>
      <c r="M2089" s="21">
        <v>46077</v>
      </c>
      <c r="N2089" s="22" t="s">
        <v>70</v>
      </c>
      <c r="O2089" s="22" t="s">
        <v>57</v>
      </c>
      <c r="P2089" s="49">
        <v>91.5</v>
      </c>
      <c r="Q2089" s="49">
        <v>91</v>
      </c>
      <c r="R2089" s="46">
        <f t="shared" si="68"/>
        <v>0.5</v>
      </c>
      <c r="T2089" s="21">
        <v>46058</v>
      </c>
      <c r="U2089" s="22" t="s">
        <v>41</v>
      </c>
      <c r="V2089" s="24">
        <v>1</v>
      </c>
      <c r="W2089" s="24">
        <v>1</v>
      </c>
      <c r="X2089" s="24">
        <v>1</v>
      </c>
      <c r="Y2089" s="24">
        <v>1</v>
      </c>
      <c r="Z2089" s="20">
        <f t="shared" si="69"/>
        <v>4</v>
      </c>
    </row>
    <row r="2090" spans="1:26" x14ac:dyDescent="0.2">
      <c r="A2090" s="21"/>
      <c r="B2090" s="20"/>
      <c r="C2090" s="22"/>
      <c r="D2090" s="22"/>
      <c r="E2090" s="24"/>
      <c r="F2090" s="22"/>
      <c r="H2090" s="21">
        <v>46007</v>
      </c>
      <c r="I2090" s="22" t="s">
        <v>71</v>
      </c>
      <c r="J2090" s="22" t="s">
        <v>45</v>
      </c>
      <c r="K2090" s="24">
        <v>6</v>
      </c>
      <c r="M2090" s="21">
        <v>46077</v>
      </c>
      <c r="N2090" s="22" t="s">
        <v>70</v>
      </c>
      <c r="O2090" s="22" t="s">
        <v>58</v>
      </c>
      <c r="P2090" s="49">
        <v>75.5</v>
      </c>
      <c r="Q2090" s="49">
        <v>75</v>
      </c>
      <c r="R2090" s="46">
        <f t="shared" si="68"/>
        <v>0.5</v>
      </c>
      <c r="T2090" s="21">
        <v>46058</v>
      </c>
      <c r="U2090" s="22" t="s">
        <v>42</v>
      </c>
      <c r="V2090" s="24">
        <v>4</v>
      </c>
      <c r="W2090" s="24">
        <v>4</v>
      </c>
      <c r="X2090" s="24">
        <v>4</v>
      </c>
      <c r="Y2090" s="24">
        <v>5</v>
      </c>
      <c r="Z2090" s="20">
        <f t="shared" si="69"/>
        <v>17</v>
      </c>
    </row>
    <row r="2091" spans="1:26" x14ac:dyDescent="0.2">
      <c r="A2091" s="21"/>
      <c r="B2091" s="20"/>
      <c r="C2091" s="22"/>
      <c r="D2091" s="22"/>
      <c r="E2091" s="24"/>
      <c r="F2091" s="22"/>
      <c r="H2091" s="21">
        <v>46007</v>
      </c>
      <c r="I2091" s="22" t="s">
        <v>71</v>
      </c>
      <c r="J2091" s="22" t="s">
        <v>57</v>
      </c>
      <c r="K2091" s="24">
        <v>7</v>
      </c>
      <c r="M2091" s="21">
        <v>46078</v>
      </c>
      <c r="N2091" s="22" t="s">
        <v>70</v>
      </c>
      <c r="O2091" s="22" t="s">
        <v>41</v>
      </c>
      <c r="P2091" s="49">
        <v>77</v>
      </c>
      <c r="Q2091" s="49">
        <v>76.8</v>
      </c>
      <c r="R2091" s="46">
        <f t="shared" si="68"/>
        <v>0.20000000000000284</v>
      </c>
      <c r="T2091" s="21">
        <v>46058</v>
      </c>
      <c r="U2091" s="22" t="s">
        <v>45</v>
      </c>
      <c r="V2091" s="24">
        <v>4</v>
      </c>
      <c r="W2091" s="24">
        <v>4</v>
      </c>
      <c r="X2091" s="24">
        <v>4</v>
      </c>
      <c r="Y2091" s="24">
        <v>5</v>
      </c>
      <c r="Z2091" s="20">
        <f t="shared" si="69"/>
        <v>17</v>
      </c>
    </row>
    <row r="2092" spans="1:26" x14ac:dyDescent="0.2">
      <c r="A2092" s="21"/>
      <c r="B2092" s="20"/>
      <c r="C2092" s="22"/>
      <c r="D2092" s="22"/>
      <c r="E2092" s="24"/>
      <c r="F2092" s="22"/>
      <c r="H2092" s="21">
        <v>46007</v>
      </c>
      <c r="I2092" s="22" t="s">
        <v>71</v>
      </c>
      <c r="J2092" s="22" t="s">
        <v>42</v>
      </c>
      <c r="K2092" s="24">
        <v>3</v>
      </c>
      <c r="M2092" s="21">
        <v>46078</v>
      </c>
      <c r="N2092" s="22" t="s">
        <v>70</v>
      </c>
      <c r="O2092" s="22" t="s">
        <v>42</v>
      </c>
      <c r="P2092" s="49">
        <v>79.400000000000006</v>
      </c>
      <c r="Q2092" s="49">
        <v>79.3</v>
      </c>
      <c r="R2092" s="46">
        <f t="shared" si="68"/>
        <v>0.10000000000000853</v>
      </c>
      <c r="T2092" s="21">
        <v>46058</v>
      </c>
      <c r="U2092" s="22" t="s">
        <v>46</v>
      </c>
      <c r="V2092" s="24">
        <v>4</v>
      </c>
      <c r="W2092" s="24">
        <v>4</v>
      </c>
      <c r="X2092" s="24">
        <v>4</v>
      </c>
      <c r="Y2092" s="24">
        <v>4</v>
      </c>
      <c r="Z2092" s="20">
        <f t="shared" si="69"/>
        <v>16</v>
      </c>
    </row>
    <row r="2093" spans="1:26" x14ac:dyDescent="0.2">
      <c r="A2093" s="21"/>
      <c r="B2093" s="20"/>
      <c r="C2093" s="22"/>
      <c r="D2093" s="22"/>
      <c r="E2093" s="24"/>
      <c r="F2093" s="22"/>
      <c r="H2093" s="21">
        <v>46007</v>
      </c>
      <c r="I2093" s="22" t="s">
        <v>71</v>
      </c>
      <c r="J2093" s="22" t="s">
        <v>47</v>
      </c>
      <c r="K2093" s="24" t="s">
        <v>64</v>
      </c>
      <c r="M2093" s="21">
        <v>46078</v>
      </c>
      <c r="N2093" s="22" t="s">
        <v>70</v>
      </c>
      <c r="O2093" s="22" t="s">
        <v>44</v>
      </c>
      <c r="P2093" s="49">
        <v>67.900000000000006</v>
      </c>
      <c r="Q2093" s="49">
        <v>67.7</v>
      </c>
      <c r="R2093" s="46">
        <f t="shared" si="68"/>
        <v>0.20000000000000284</v>
      </c>
      <c r="T2093" s="21">
        <v>46058</v>
      </c>
      <c r="U2093" s="22" t="s">
        <v>49</v>
      </c>
      <c r="V2093" s="24">
        <v>3</v>
      </c>
      <c r="W2093" s="24">
        <v>3</v>
      </c>
      <c r="X2093" s="24">
        <v>3</v>
      </c>
      <c r="Y2093" s="24">
        <v>3</v>
      </c>
      <c r="Z2093" s="20">
        <f t="shared" si="69"/>
        <v>12</v>
      </c>
    </row>
    <row r="2094" spans="1:26" x14ac:dyDescent="0.2">
      <c r="A2094" s="21"/>
      <c r="B2094" s="20"/>
      <c r="C2094" s="22"/>
      <c r="D2094" s="22"/>
      <c r="E2094" s="24"/>
      <c r="F2094" s="22"/>
      <c r="H2094" s="21">
        <v>46007</v>
      </c>
      <c r="I2094" s="22" t="s">
        <v>71</v>
      </c>
      <c r="J2094" s="22" t="s">
        <v>41</v>
      </c>
      <c r="K2094" s="24" t="s">
        <v>61</v>
      </c>
      <c r="M2094" s="21">
        <v>46078</v>
      </c>
      <c r="N2094" s="22" t="s">
        <v>70</v>
      </c>
      <c r="O2094" s="22" t="s">
        <v>45</v>
      </c>
      <c r="P2094" s="49">
        <v>69.2</v>
      </c>
      <c r="Q2094" s="49">
        <v>68.7</v>
      </c>
      <c r="R2094" s="46">
        <f t="shared" si="68"/>
        <v>0.5</v>
      </c>
      <c r="T2094" s="21">
        <v>46058</v>
      </c>
      <c r="U2094" s="22" t="s">
        <v>50</v>
      </c>
      <c r="V2094" s="24">
        <v>3</v>
      </c>
      <c r="W2094" s="24">
        <v>3</v>
      </c>
      <c r="X2094" s="24">
        <v>3</v>
      </c>
      <c r="Y2094" s="24">
        <v>3</v>
      </c>
      <c r="Z2094" s="20">
        <f t="shared" si="69"/>
        <v>12</v>
      </c>
    </row>
    <row r="2095" spans="1:26" x14ac:dyDescent="0.2">
      <c r="A2095" s="21"/>
      <c r="B2095" s="20"/>
      <c r="C2095" s="22"/>
      <c r="D2095" s="22"/>
      <c r="E2095" s="24"/>
      <c r="F2095" s="22"/>
      <c r="H2095" s="21">
        <v>46007</v>
      </c>
      <c r="I2095" s="22" t="s">
        <v>71</v>
      </c>
      <c r="J2095" s="22" t="s">
        <v>58</v>
      </c>
      <c r="K2095" s="24" t="s">
        <v>64</v>
      </c>
      <c r="M2095" s="21">
        <v>46078</v>
      </c>
      <c r="N2095" s="22" t="s">
        <v>70</v>
      </c>
      <c r="O2095" s="22" t="s">
        <v>46</v>
      </c>
      <c r="P2095" s="49">
        <v>81.400000000000006</v>
      </c>
      <c r="Q2095" s="49">
        <v>81.3</v>
      </c>
      <c r="R2095" s="46">
        <f t="shared" si="68"/>
        <v>0.10000000000000853</v>
      </c>
      <c r="T2095" s="21">
        <v>46058</v>
      </c>
      <c r="U2095" s="22" t="s">
        <v>51</v>
      </c>
      <c r="V2095" s="24">
        <v>4</v>
      </c>
      <c r="W2095" s="24">
        <v>4</v>
      </c>
      <c r="X2095" s="24">
        <v>4</v>
      </c>
      <c r="Y2095" s="24">
        <v>4</v>
      </c>
      <c r="Z2095" s="20">
        <f t="shared" si="69"/>
        <v>16</v>
      </c>
    </row>
    <row r="2096" spans="1:26" x14ac:dyDescent="0.2">
      <c r="A2096" s="21"/>
      <c r="B2096" s="20"/>
      <c r="C2096" s="22"/>
      <c r="D2096" s="22"/>
      <c r="E2096" s="24"/>
      <c r="F2096" s="22"/>
      <c r="H2096" s="21">
        <v>46007</v>
      </c>
      <c r="I2096" s="22" t="s">
        <v>71</v>
      </c>
      <c r="J2096" s="22" t="s">
        <v>49</v>
      </c>
      <c r="K2096" s="24" t="s">
        <v>64</v>
      </c>
      <c r="M2096" s="21">
        <v>46078</v>
      </c>
      <c r="N2096" s="22" t="s">
        <v>70</v>
      </c>
      <c r="O2096" s="22" t="s">
        <v>47</v>
      </c>
      <c r="P2096" s="49">
        <v>72.099999999999994</v>
      </c>
      <c r="Q2096" s="49">
        <v>72</v>
      </c>
      <c r="R2096" s="46">
        <f t="shared" si="68"/>
        <v>9.9999999999994316E-2</v>
      </c>
      <c r="T2096" s="21">
        <v>46058</v>
      </c>
      <c r="U2096" s="22" t="s">
        <v>52</v>
      </c>
      <c r="V2096" s="24">
        <v>4</v>
      </c>
      <c r="W2096" s="24">
        <v>4</v>
      </c>
      <c r="X2096" s="24">
        <v>4</v>
      </c>
      <c r="Y2096" s="24">
        <v>4</v>
      </c>
      <c r="Z2096" s="20">
        <f t="shared" si="69"/>
        <v>16</v>
      </c>
    </row>
    <row r="2097" spans="1:26" x14ac:dyDescent="0.2">
      <c r="A2097" s="21"/>
      <c r="B2097" s="20"/>
      <c r="C2097" s="22"/>
      <c r="D2097" s="22"/>
      <c r="E2097" s="24"/>
      <c r="F2097" s="22"/>
      <c r="H2097" s="21">
        <v>46007</v>
      </c>
      <c r="I2097" s="22" t="s">
        <v>71</v>
      </c>
      <c r="J2097" s="22" t="s">
        <v>50</v>
      </c>
      <c r="K2097" s="24">
        <v>8</v>
      </c>
      <c r="M2097" s="21">
        <v>46078</v>
      </c>
      <c r="N2097" s="22" t="s">
        <v>70</v>
      </c>
      <c r="O2097" s="22" t="s">
        <v>48</v>
      </c>
      <c r="P2097" s="49">
        <v>81.2</v>
      </c>
      <c r="Q2097" s="49">
        <v>80</v>
      </c>
      <c r="R2097" s="46">
        <f t="shared" si="68"/>
        <v>1.2000000000000028</v>
      </c>
      <c r="T2097" s="21">
        <v>46058</v>
      </c>
      <c r="U2097" s="22" t="s">
        <v>53</v>
      </c>
      <c r="V2097" s="24">
        <v>4</v>
      </c>
      <c r="W2097" s="24">
        <v>4</v>
      </c>
      <c r="X2097" s="24">
        <v>3</v>
      </c>
      <c r="Y2097" s="24">
        <v>5</v>
      </c>
      <c r="Z2097" s="20">
        <f t="shared" si="69"/>
        <v>16</v>
      </c>
    </row>
    <row r="2098" spans="1:26" x14ac:dyDescent="0.2">
      <c r="A2098" s="21"/>
      <c r="B2098" s="20"/>
      <c r="C2098" s="22"/>
      <c r="D2098" s="22"/>
      <c r="E2098" s="24"/>
      <c r="F2098" s="22"/>
      <c r="H2098" s="21">
        <v>46007</v>
      </c>
      <c r="I2098" s="22" t="s">
        <v>71</v>
      </c>
      <c r="J2098" s="22" t="s">
        <v>51</v>
      </c>
      <c r="K2098" s="24">
        <v>7</v>
      </c>
      <c r="M2098" s="21">
        <v>46078</v>
      </c>
      <c r="N2098" s="22" t="s">
        <v>70</v>
      </c>
      <c r="O2098" s="22" t="s">
        <v>49</v>
      </c>
      <c r="P2098" s="49">
        <v>78.900000000000006</v>
      </c>
      <c r="Q2098" s="49">
        <v>78.5</v>
      </c>
      <c r="R2098" s="46">
        <f t="shared" si="68"/>
        <v>0.40000000000000568</v>
      </c>
      <c r="T2098" s="21">
        <v>46058</v>
      </c>
      <c r="U2098" s="22" t="s">
        <v>54</v>
      </c>
      <c r="V2098" s="24">
        <v>4</v>
      </c>
      <c r="W2098" s="24">
        <v>4</v>
      </c>
      <c r="X2098" s="24">
        <v>3</v>
      </c>
      <c r="Y2098" s="24">
        <v>4</v>
      </c>
      <c r="Z2098" s="20">
        <f t="shared" si="69"/>
        <v>15</v>
      </c>
    </row>
    <row r="2099" spans="1:26" x14ac:dyDescent="0.2">
      <c r="A2099" s="21"/>
      <c r="B2099" s="20"/>
      <c r="C2099" s="22"/>
      <c r="D2099" s="22"/>
      <c r="E2099" s="24"/>
      <c r="F2099" s="22"/>
      <c r="H2099" s="21">
        <v>46007</v>
      </c>
      <c r="I2099" s="22" t="s">
        <v>71</v>
      </c>
      <c r="J2099" s="22" t="s">
        <v>46</v>
      </c>
      <c r="K2099" s="24">
        <v>9</v>
      </c>
      <c r="M2099" s="21">
        <v>46078</v>
      </c>
      <c r="N2099" s="22" t="s">
        <v>70</v>
      </c>
      <c r="O2099" s="22" t="s">
        <v>50</v>
      </c>
      <c r="P2099" s="49">
        <v>66.900000000000006</v>
      </c>
      <c r="Q2099" s="49">
        <v>66.2</v>
      </c>
      <c r="R2099" s="46">
        <f t="shared" si="68"/>
        <v>0.70000000000000284</v>
      </c>
      <c r="T2099" s="21">
        <v>46058</v>
      </c>
      <c r="U2099" s="22" t="s">
        <v>56</v>
      </c>
      <c r="V2099" s="24">
        <v>4</v>
      </c>
      <c r="W2099" s="24">
        <v>4</v>
      </c>
      <c r="X2099" s="24">
        <v>3</v>
      </c>
      <c r="Y2099" s="24">
        <v>4</v>
      </c>
      <c r="Z2099" s="20">
        <f t="shared" si="69"/>
        <v>15</v>
      </c>
    </row>
    <row r="2100" spans="1:26" x14ac:dyDescent="0.2">
      <c r="A2100" s="21"/>
      <c r="B2100" s="20"/>
      <c r="C2100" s="22"/>
      <c r="D2100" s="22"/>
      <c r="E2100" s="24"/>
      <c r="F2100" s="22"/>
      <c r="H2100" s="21">
        <v>46007</v>
      </c>
      <c r="I2100" s="22" t="s">
        <v>71</v>
      </c>
      <c r="J2100" s="22" t="s">
        <v>48</v>
      </c>
      <c r="K2100" s="24" t="s">
        <v>64</v>
      </c>
      <c r="M2100" s="21">
        <v>46078</v>
      </c>
      <c r="N2100" s="22" t="s">
        <v>70</v>
      </c>
      <c r="O2100" s="22" t="s">
        <v>51</v>
      </c>
      <c r="P2100" s="49">
        <v>75.7</v>
      </c>
      <c r="Q2100" s="49">
        <v>74.7</v>
      </c>
      <c r="R2100" s="46">
        <f t="shared" si="68"/>
        <v>1</v>
      </c>
      <c r="T2100" s="21">
        <v>46058</v>
      </c>
      <c r="U2100" s="22" t="s">
        <v>57</v>
      </c>
      <c r="V2100" s="24">
        <v>4</v>
      </c>
      <c r="W2100" s="24">
        <v>4</v>
      </c>
      <c r="X2100" s="24">
        <v>3</v>
      </c>
      <c r="Y2100" s="24">
        <v>2</v>
      </c>
      <c r="Z2100" s="20">
        <f t="shared" si="69"/>
        <v>13</v>
      </c>
    </row>
    <row r="2101" spans="1:26" x14ac:dyDescent="0.2">
      <c r="A2101" s="21"/>
      <c r="B2101" s="20"/>
      <c r="C2101" s="22"/>
      <c r="D2101" s="22"/>
      <c r="E2101" s="24"/>
      <c r="F2101" s="22"/>
      <c r="H2101" s="21">
        <v>46007</v>
      </c>
      <c r="I2101" s="22" t="s">
        <v>71</v>
      </c>
      <c r="J2101" s="22" t="s">
        <v>56</v>
      </c>
      <c r="K2101" s="24">
        <v>7</v>
      </c>
      <c r="M2101" s="21">
        <v>46078</v>
      </c>
      <c r="N2101" s="22" t="s">
        <v>70</v>
      </c>
      <c r="O2101" s="22" t="s">
        <v>52</v>
      </c>
      <c r="P2101" s="49">
        <v>70.5</v>
      </c>
      <c r="Q2101" s="49">
        <v>70.5</v>
      </c>
      <c r="R2101" s="46">
        <f t="shared" si="68"/>
        <v>0</v>
      </c>
      <c r="T2101" s="21">
        <v>46058</v>
      </c>
      <c r="U2101" s="22" t="s">
        <v>58</v>
      </c>
      <c r="V2101" s="24">
        <v>3</v>
      </c>
      <c r="W2101" s="24">
        <v>3</v>
      </c>
      <c r="X2101" s="24">
        <v>4</v>
      </c>
      <c r="Y2101" s="24">
        <v>4</v>
      </c>
      <c r="Z2101" s="20">
        <f t="shared" si="69"/>
        <v>14</v>
      </c>
    </row>
    <row r="2102" spans="1:26" x14ac:dyDescent="0.2">
      <c r="A2102" s="21"/>
      <c r="B2102" s="20"/>
      <c r="C2102" s="22"/>
      <c r="D2102" s="22"/>
      <c r="E2102" s="24"/>
      <c r="F2102" s="22"/>
      <c r="H2102" s="21">
        <v>46008</v>
      </c>
      <c r="I2102" s="22" t="s">
        <v>71</v>
      </c>
      <c r="J2102" s="22" t="s">
        <v>52</v>
      </c>
      <c r="K2102" s="24">
        <v>8</v>
      </c>
      <c r="M2102" s="21">
        <v>46078</v>
      </c>
      <c r="N2102" s="22" t="s">
        <v>70</v>
      </c>
      <c r="O2102" s="22" t="s">
        <v>53</v>
      </c>
      <c r="P2102" s="49">
        <v>68.7</v>
      </c>
      <c r="Q2102" s="49">
        <v>68.5</v>
      </c>
      <c r="R2102" s="46">
        <f t="shared" si="68"/>
        <v>0.20000000000000284</v>
      </c>
      <c r="T2102" s="21">
        <v>46058</v>
      </c>
      <c r="U2102" s="22" t="s">
        <v>33</v>
      </c>
      <c r="V2102" s="24">
        <v>3.5384615384615401</v>
      </c>
      <c r="W2102" s="24">
        <v>3.5384615384615401</v>
      </c>
      <c r="X2102" s="24">
        <v>3.3076923076923102</v>
      </c>
      <c r="Y2102" s="24">
        <v>3.6923076923076898</v>
      </c>
      <c r="Z2102" s="20">
        <f t="shared" si="69"/>
        <v>14.07692307692308</v>
      </c>
    </row>
    <row r="2103" spans="1:26" x14ac:dyDescent="0.2">
      <c r="A2103" s="21"/>
      <c r="B2103" s="20"/>
      <c r="C2103" s="22"/>
      <c r="D2103" s="22"/>
      <c r="E2103" s="24"/>
      <c r="F2103" s="22"/>
      <c r="H2103" s="21">
        <v>46008</v>
      </c>
      <c r="I2103" s="22" t="s">
        <v>71</v>
      </c>
      <c r="J2103" s="22" t="s">
        <v>53</v>
      </c>
      <c r="K2103" s="24">
        <v>7</v>
      </c>
      <c r="M2103" s="21">
        <v>46078</v>
      </c>
      <c r="N2103" s="22" t="s">
        <v>70</v>
      </c>
      <c r="O2103" s="22" t="s">
        <v>57</v>
      </c>
      <c r="P2103" s="49">
        <v>91.3</v>
      </c>
      <c r="Q2103" s="49">
        <v>90.7</v>
      </c>
      <c r="R2103" s="46">
        <f t="shared" si="68"/>
        <v>0.59999999999999432</v>
      </c>
      <c r="T2103" s="21">
        <v>46059</v>
      </c>
      <c r="U2103" s="22" t="s">
        <v>41</v>
      </c>
      <c r="V2103" s="24">
        <v>1</v>
      </c>
      <c r="W2103" s="24">
        <v>1</v>
      </c>
      <c r="X2103" s="24">
        <v>1</v>
      </c>
      <c r="Y2103" s="24">
        <v>1</v>
      </c>
      <c r="Z2103" s="20">
        <f t="shared" si="69"/>
        <v>4</v>
      </c>
    </row>
    <row r="2104" spans="1:26" x14ac:dyDescent="0.2">
      <c r="A2104" s="21"/>
      <c r="B2104" s="20"/>
      <c r="C2104" s="22"/>
      <c r="D2104" s="22"/>
      <c r="E2104" s="24"/>
      <c r="F2104" s="22"/>
      <c r="H2104" s="21">
        <v>46008</v>
      </c>
      <c r="I2104" s="22" t="s">
        <v>71</v>
      </c>
      <c r="J2104" s="22" t="s">
        <v>44</v>
      </c>
      <c r="K2104" s="24" t="s">
        <v>64</v>
      </c>
      <c r="M2104" s="21">
        <v>46078</v>
      </c>
      <c r="N2104" s="22" t="s">
        <v>70</v>
      </c>
      <c r="O2104" s="22" t="s">
        <v>58</v>
      </c>
      <c r="P2104" s="49">
        <v>75.5</v>
      </c>
      <c r="Q2104" s="49">
        <v>75.400000000000006</v>
      </c>
      <c r="R2104" s="46">
        <f t="shared" si="68"/>
        <v>9.9999999999994316E-2</v>
      </c>
      <c r="T2104" s="21">
        <v>46059</v>
      </c>
      <c r="U2104" s="22" t="s">
        <v>42</v>
      </c>
      <c r="V2104" s="24">
        <v>4</v>
      </c>
      <c r="W2104" s="24">
        <v>4</v>
      </c>
      <c r="X2104" s="24">
        <v>4</v>
      </c>
      <c r="Y2104" s="24">
        <v>5</v>
      </c>
      <c r="Z2104" s="20">
        <f t="shared" si="69"/>
        <v>17</v>
      </c>
    </row>
    <row r="2105" spans="1:26" x14ac:dyDescent="0.2">
      <c r="A2105" s="21"/>
      <c r="B2105" s="20"/>
      <c r="C2105" s="22"/>
      <c r="D2105" s="22"/>
      <c r="E2105" s="24"/>
      <c r="F2105" s="22"/>
      <c r="H2105" s="21">
        <v>46008</v>
      </c>
      <c r="I2105" s="22" t="s">
        <v>71</v>
      </c>
      <c r="J2105" s="22" t="s">
        <v>45</v>
      </c>
      <c r="K2105" s="24">
        <v>8</v>
      </c>
      <c r="M2105" s="21">
        <v>46079</v>
      </c>
      <c r="N2105" s="22" t="s">
        <v>70</v>
      </c>
      <c r="O2105" s="22" t="s">
        <v>41</v>
      </c>
      <c r="P2105" s="49">
        <v>77</v>
      </c>
      <c r="Q2105" s="49">
        <v>76.2</v>
      </c>
      <c r="R2105" s="46">
        <f t="shared" si="68"/>
        <v>0.79999999999999716</v>
      </c>
      <c r="T2105" s="21">
        <v>46059</v>
      </c>
      <c r="U2105" s="22" t="s">
        <v>45</v>
      </c>
      <c r="V2105" s="24">
        <v>4</v>
      </c>
      <c r="W2105" s="24">
        <v>4</v>
      </c>
      <c r="X2105" s="24">
        <v>4</v>
      </c>
      <c r="Y2105" s="24">
        <v>5</v>
      </c>
      <c r="Z2105" s="20">
        <f t="shared" si="69"/>
        <v>17</v>
      </c>
    </row>
    <row r="2106" spans="1:26" x14ac:dyDescent="0.2">
      <c r="A2106" s="21"/>
      <c r="B2106" s="20"/>
      <c r="C2106" s="22"/>
      <c r="D2106" s="22"/>
      <c r="E2106" s="24"/>
      <c r="F2106" s="22"/>
      <c r="H2106" s="21">
        <v>46008</v>
      </c>
      <c r="I2106" s="22" t="s">
        <v>71</v>
      </c>
      <c r="J2106" s="22" t="s">
        <v>57</v>
      </c>
      <c r="K2106" s="24" t="s">
        <v>60</v>
      </c>
      <c r="M2106" s="21">
        <v>46079</v>
      </c>
      <c r="N2106" s="22" t="s">
        <v>70</v>
      </c>
      <c r="O2106" s="22" t="s">
        <v>42</v>
      </c>
      <c r="P2106" s="49">
        <v>79.400000000000006</v>
      </c>
      <c r="Q2106" s="49">
        <v>79</v>
      </c>
      <c r="R2106" s="46">
        <f t="shared" si="68"/>
        <v>0.40000000000000568</v>
      </c>
      <c r="T2106" s="21">
        <v>46059</v>
      </c>
      <c r="U2106" s="22" t="s">
        <v>46</v>
      </c>
      <c r="V2106" s="24">
        <v>5</v>
      </c>
      <c r="W2106" s="24">
        <v>4</v>
      </c>
      <c r="X2106" s="24">
        <v>4</v>
      </c>
      <c r="Y2106" s="24">
        <v>3</v>
      </c>
      <c r="Z2106" s="20">
        <f t="shared" si="69"/>
        <v>16</v>
      </c>
    </row>
    <row r="2107" spans="1:26" x14ac:dyDescent="0.2">
      <c r="A2107" s="21"/>
      <c r="B2107" s="20"/>
      <c r="C2107" s="22"/>
      <c r="D2107" s="22"/>
      <c r="E2107" s="24"/>
      <c r="F2107" s="22"/>
      <c r="H2107" s="21">
        <v>46008</v>
      </c>
      <c r="I2107" s="22" t="s">
        <v>71</v>
      </c>
      <c r="J2107" s="22" t="s">
        <v>42</v>
      </c>
      <c r="K2107" s="24">
        <v>2</v>
      </c>
      <c r="M2107" s="21">
        <v>46079</v>
      </c>
      <c r="N2107" s="22" t="s">
        <v>70</v>
      </c>
      <c r="O2107" s="22" t="s">
        <v>44</v>
      </c>
      <c r="P2107" s="49">
        <v>67.8</v>
      </c>
      <c r="Q2107" s="49">
        <v>67.3</v>
      </c>
      <c r="R2107" s="46">
        <f t="shared" si="68"/>
        <v>0.5</v>
      </c>
      <c r="T2107" s="21">
        <v>46059</v>
      </c>
      <c r="U2107" s="22" t="s">
        <v>49</v>
      </c>
      <c r="V2107" s="24">
        <v>4</v>
      </c>
      <c r="W2107" s="24">
        <v>4</v>
      </c>
      <c r="X2107" s="24">
        <v>4</v>
      </c>
      <c r="Y2107" s="24">
        <v>4</v>
      </c>
      <c r="Z2107" s="20">
        <f t="shared" si="69"/>
        <v>16</v>
      </c>
    </row>
    <row r="2108" spans="1:26" x14ac:dyDescent="0.2">
      <c r="A2108" s="21"/>
      <c r="B2108" s="20"/>
      <c r="C2108" s="22"/>
      <c r="D2108" s="22"/>
      <c r="E2108" s="24"/>
      <c r="F2108" s="22"/>
      <c r="H2108" s="21">
        <v>46008</v>
      </c>
      <c r="I2108" s="22" t="s">
        <v>71</v>
      </c>
      <c r="J2108" s="22" t="s">
        <v>54</v>
      </c>
      <c r="K2108" s="24">
        <v>9</v>
      </c>
      <c r="M2108" s="21">
        <v>46079</v>
      </c>
      <c r="N2108" s="22" t="s">
        <v>70</v>
      </c>
      <c r="O2108" s="22" t="s">
        <v>45</v>
      </c>
      <c r="P2108" s="49">
        <v>69</v>
      </c>
      <c r="Q2108" s="49">
        <v>68.3</v>
      </c>
      <c r="R2108" s="46">
        <f t="shared" si="68"/>
        <v>0.70000000000000284</v>
      </c>
      <c r="T2108" s="21">
        <v>46059</v>
      </c>
      <c r="U2108" s="22" t="s">
        <v>50</v>
      </c>
      <c r="V2108" s="24">
        <v>4</v>
      </c>
      <c r="W2108" s="24">
        <v>4</v>
      </c>
      <c r="X2108" s="24">
        <v>4</v>
      </c>
      <c r="Y2108" s="24">
        <v>5</v>
      </c>
      <c r="Z2108" s="20">
        <f t="shared" si="69"/>
        <v>17</v>
      </c>
    </row>
    <row r="2109" spans="1:26" x14ac:dyDescent="0.2">
      <c r="A2109" s="21"/>
      <c r="B2109" s="20"/>
      <c r="C2109" s="22"/>
      <c r="D2109" s="22"/>
      <c r="E2109" s="24"/>
      <c r="F2109" s="22"/>
      <c r="H2109" s="21">
        <v>46008</v>
      </c>
      <c r="I2109" s="22" t="s">
        <v>71</v>
      </c>
      <c r="J2109" s="22" t="s">
        <v>47</v>
      </c>
      <c r="K2109" s="24" t="s">
        <v>64</v>
      </c>
      <c r="M2109" s="21">
        <v>46079</v>
      </c>
      <c r="N2109" s="22" t="s">
        <v>70</v>
      </c>
      <c r="O2109" s="22" t="s">
        <v>46</v>
      </c>
      <c r="P2109" s="49">
        <v>71.400000000000006</v>
      </c>
      <c r="Q2109" s="49">
        <v>82</v>
      </c>
      <c r="R2109" s="46">
        <f t="shared" si="68"/>
        <v>-10.599999999999994</v>
      </c>
      <c r="T2109" s="21">
        <v>46059</v>
      </c>
      <c r="U2109" s="22" t="s">
        <v>51</v>
      </c>
      <c r="V2109" s="24">
        <v>4</v>
      </c>
      <c r="W2109" s="24">
        <v>4</v>
      </c>
      <c r="X2109" s="24">
        <v>4</v>
      </c>
      <c r="Y2109" s="24">
        <v>5</v>
      </c>
      <c r="Z2109" s="20">
        <f t="shared" si="69"/>
        <v>17</v>
      </c>
    </row>
    <row r="2110" spans="1:26" x14ac:dyDescent="0.2">
      <c r="A2110" s="21"/>
      <c r="B2110" s="20"/>
      <c r="C2110" s="22"/>
      <c r="D2110" s="22"/>
      <c r="E2110" s="24"/>
      <c r="F2110" s="22"/>
      <c r="H2110" s="21">
        <v>46008</v>
      </c>
      <c r="I2110" s="22" t="s">
        <v>71</v>
      </c>
      <c r="J2110" s="22" t="s">
        <v>41</v>
      </c>
      <c r="K2110" s="24">
        <v>2</v>
      </c>
      <c r="M2110" s="21">
        <v>46079</v>
      </c>
      <c r="N2110" s="22" t="s">
        <v>70</v>
      </c>
      <c r="O2110" s="22" t="s">
        <v>47</v>
      </c>
      <c r="P2110" s="49">
        <v>71.7</v>
      </c>
      <c r="Q2110" s="49">
        <v>72</v>
      </c>
      <c r="R2110" s="46">
        <f t="shared" si="68"/>
        <v>-0.29999999999999716</v>
      </c>
      <c r="T2110" s="21">
        <v>46059</v>
      </c>
      <c r="U2110" s="22" t="s">
        <v>52</v>
      </c>
      <c r="V2110" s="24">
        <v>5</v>
      </c>
      <c r="W2110" s="24">
        <v>5</v>
      </c>
      <c r="X2110" s="24">
        <v>5</v>
      </c>
      <c r="Y2110" s="24">
        <v>5</v>
      </c>
      <c r="Z2110" s="20">
        <f t="shared" si="69"/>
        <v>20</v>
      </c>
    </row>
    <row r="2111" spans="1:26" x14ac:dyDescent="0.2">
      <c r="A2111" s="21"/>
      <c r="B2111" s="20"/>
      <c r="C2111" s="22"/>
      <c r="D2111" s="22"/>
      <c r="E2111" s="24"/>
      <c r="F2111" s="22"/>
      <c r="H2111" s="21">
        <v>46008</v>
      </c>
      <c r="I2111" s="22" t="s">
        <v>71</v>
      </c>
      <c r="J2111" s="22" t="s">
        <v>58</v>
      </c>
      <c r="K2111" s="24" t="s">
        <v>64</v>
      </c>
      <c r="M2111" s="21">
        <v>46079</v>
      </c>
      <c r="N2111" s="22" t="s">
        <v>70</v>
      </c>
      <c r="O2111" s="22" t="s">
        <v>48</v>
      </c>
      <c r="P2111" s="49">
        <v>81.8</v>
      </c>
      <c r="Q2111" s="49">
        <v>80.2</v>
      </c>
      <c r="R2111" s="46">
        <f t="shared" si="68"/>
        <v>1.5999999999999943</v>
      </c>
      <c r="T2111" s="21">
        <v>46059</v>
      </c>
      <c r="U2111" s="22" t="s">
        <v>53</v>
      </c>
      <c r="V2111" s="24">
        <v>4</v>
      </c>
      <c r="W2111" s="24">
        <v>3</v>
      </c>
      <c r="X2111" s="24">
        <v>4</v>
      </c>
      <c r="Y2111" s="24">
        <v>5</v>
      </c>
      <c r="Z2111" s="20">
        <f t="shared" si="69"/>
        <v>16</v>
      </c>
    </row>
    <row r="2112" spans="1:26" x14ac:dyDescent="0.2">
      <c r="A2112" s="21"/>
      <c r="B2112" s="20"/>
      <c r="C2112" s="22"/>
      <c r="D2112" s="22"/>
      <c r="E2112" s="24"/>
      <c r="F2112" s="22"/>
      <c r="H2112" s="21">
        <v>46008</v>
      </c>
      <c r="I2112" s="22" t="s">
        <v>71</v>
      </c>
      <c r="J2112" s="22" t="s">
        <v>49</v>
      </c>
      <c r="K2112" s="24" t="s">
        <v>64</v>
      </c>
      <c r="M2112" s="21">
        <v>46079</v>
      </c>
      <c r="N2112" s="22" t="s">
        <v>70</v>
      </c>
      <c r="O2112" s="22" t="s">
        <v>49</v>
      </c>
      <c r="P2112" s="49">
        <v>79.2</v>
      </c>
      <c r="Q2112" s="49">
        <v>79.3</v>
      </c>
      <c r="R2112" s="46">
        <f t="shared" si="68"/>
        <v>-9.9999999999994316E-2</v>
      </c>
      <c r="T2112" s="21">
        <v>46059</v>
      </c>
      <c r="U2112" s="22" t="s">
        <v>54</v>
      </c>
      <c r="V2112" s="24">
        <v>3</v>
      </c>
      <c r="W2112" s="24">
        <v>4</v>
      </c>
      <c r="X2112" s="24">
        <v>4</v>
      </c>
      <c r="Y2112" s="24">
        <v>4</v>
      </c>
      <c r="Z2112" s="20">
        <f t="shared" si="69"/>
        <v>15</v>
      </c>
    </row>
    <row r="2113" spans="1:26" x14ac:dyDescent="0.2">
      <c r="A2113" s="21"/>
      <c r="B2113" s="20"/>
      <c r="C2113" s="22"/>
      <c r="D2113" s="22"/>
      <c r="E2113" s="24"/>
      <c r="F2113" s="22"/>
      <c r="H2113" s="21">
        <v>46008</v>
      </c>
      <c r="I2113" s="22" t="s">
        <v>71</v>
      </c>
      <c r="J2113" s="22" t="s">
        <v>50</v>
      </c>
      <c r="K2113" s="24">
        <v>7</v>
      </c>
      <c r="M2113" s="21">
        <v>46079</v>
      </c>
      <c r="N2113" s="22" t="s">
        <v>70</v>
      </c>
      <c r="O2113" s="22" t="s">
        <v>50</v>
      </c>
      <c r="P2113" s="49">
        <v>67</v>
      </c>
      <c r="Q2113" s="49">
        <v>66</v>
      </c>
      <c r="R2113" s="46">
        <f t="shared" si="68"/>
        <v>1</v>
      </c>
      <c r="T2113" s="21">
        <v>46059</v>
      </c>
      <c r="U2113" s="22" t="s">
        <v>56</v>
      </c>
      <c r="V2113" s="24">
        <v>4</v>
      </c>
      <c r="W2113" s="24">
        <v>4</v>
      </c>
      <c r="X2113" s="24">
        <v>3</v>
      </c>
      <c r="Y2113" s="24">
        <v>4</v>
      </c>
      <c r="Z2113" s="20">
        <f t="shared" si="69"/>
        <v>15</v>
      </c>
    </row>
    <row r="2114" spans="1:26" x14ac:dyDescent="0.2">
      <c r="A2114" s="21"/>
      <c r="B2114" s="20"/>
      <c r="C2114" s="22"/>
      <c r="D2114" s="22"/>
      <c r="E2114" s="24"/>
      <c r="F2114" s="22"/>
      <c r="H2114" s="21">
        <v>46008</v>
      </c>
      <c r="I2114" s="22" t="s">
        <v>71</v>
      </c>
      <c r="J2114" s="22" t="s">
        <v>51</v>
      </c>
      <c r="K2114" s="24">
        <v>8</v>
      </c>
      <c r="M2114" s="21">
        <v>46079</v>
      </c>
      <c r="N2114" s="22" t="s">
        <v>70</v>
      </c>
      <c r="O2114" s="22" t="s">
        <v>51</v>
      </c>
      <c r="P2114" s="49">
        <v>75.3</v>
      </c>
      <c r="Q2114" s="49">
        <v>75.099999999999994</v>
      </c>
      <c r="R2114" s="46">
        <f t="shared" si="68"/>
        <v>0.20000000000000284</v>
      </c>
      <c r="T2114" s="21">
        <v>46059</v>
      </c>
      <c r="U2114" s="22" t="s">
        <v>57</v>
      </c>
      <c r="V2114" s="24">
        <v>5</v>
      </c>
      <c r="W2114" s="24">
        <v>3</v>
      </c>
      <c r="X2114" s="24">
        <v>4</v>
      </c>
      <c r="Y2114" s="24">
        <v>5</v>
      </c>
      <c r="Z2114" s="20">
        <f t="shared" si="69"/>
        <v>17</v>
      </c>
    </row>
    <row r="2115" spans="1:26" x14ac:dyDescent="0.2">
      <c r="A2115" s="21"/>
      <c r="B2115" s="20"/>
      <c r="C2115" s="22"/>
      <c r="D2115" s="22"/>
      <c r="E2115" s="24"/>
      <c r="F2115" s="22"/>
      <c r="H2115" s="21">
        <v>46008</v>
      </c>
      <c r="I2115" s="22" t="s">
        <v>71</v>
      </c>
      <c r="J2115" s="22" t="s">
        <v>46</v>
      </c>
      <c r="K2115" s="24">
        <v>8</v>
      </c>
      <c r="M2115" s="21">
        <v>46079</v>
      </c>
      <c r="N2115" s="22" t="s">
        <v>70</v>
      </c>
      <c r="O2115" s="22" t="s">
        <v>52</v>
      </c>
      <c r="P2115" s="49">
        <v>70.5</v>
      </c>
      <c r="Q2115" s="49">
        <v>70.5</v>
      </c>
      <c r="R2115" s="46">
        <f t="shared" ref="R2115:R2178" si="70">IFERROR(P2115-Q2115,"")</f>
        <v>0</v>
      </c>
      <c r="T2115" s="21">
        <v>46059</v>
      </c>
      <c r="U2115" s="22" t="s">
        <v>58</v>
      </c>
      <c r="V2115" s="24">
        <v>4</v>
      </c>
      <c r="W2115" s="24">
        <v>5</v>
      </c>
      <c r="X2115" s="24">
        <v>4</v>
      </c>
      <c r="Y2115" s="24">
        <v>5</v>
      </c>
      <c r="Z2115" s="20">
        <f t="shared" ref="Z2115:Z2178" si="71">SUM(V2115:Y2115)</f>
        <v>18</v>
      </c>
    </row>
    <row r="2116" spans="1:26" x14ac:dyDescent="0.2">
      <c r="A2116" s="21"/>
      <c r="B2116" s="20"/>
      <c r="C2116" s="22"/>
      <c r="D2116" s="22"/>
      <c r="E2116" s="24"/>
      <c r="F2116" s="22"/>
      <c r="H2116" s="21">
        <v>46008</v>
      </c>
      <c r="I2116" s="22" t="s">
        <v>71</v>
      </c>
      <c r="J2116" s="22" t="s">
        <v>48</v>
      </c>
      <c r="K2116" s="24" t="s">
        <v>61</v>
      </c>
      <c r="M2116" s="21">
        <v>46079</v>
      </c>
      <c r="N2116" s="22" t="s">
        <v>70</v>
      </c>
      <c r="O2116" s="22" t="s">
        <v>53</v>
      </c>
      <c r="P2116" s="49">
        <v>68.3</v>
      </c>
      <c r="Q2116" s="49">
        <v>67.8</v>
      </c>
      <c r="R2116" s="46">
        <f t="shared" si="70"/>
        <v>0.5</v>
      </c>
      <c r="T2116" s="21">
        <v>46059</v>
      </c>
      <c r="U2116" s="22" t="s">
        <v>33</v>
      </c>
      <c r="V2116" s="24">
        <v>3.9230769230769198</v>
      </c>
      <c r="W2116" s="24">
        <v>3.7692307692307701</v>
      </c>
      <c r="X2116" s="24">
        <v>3.7692307692307701</v>
      </c>
      <c r="Y2116" s="24">
        <v>4.3076923076923102</v>
      </c>
      <c r="Z2116" s="20">
        <f t="shared" si="71"/>
        <v>15.76923076923077</v>
      </c>
    </row>
    <row r="2117" spans="1:26" x14ac:dyDescent="0.2">
      <c r="A2117" s="21"/>
      <c r="B2117" s="20"/>
      <c r="C2117" s="22"/>
      <c r="D2117" s="22"/>
      <c r="E2117" s="24"/>
      <c r="F2117" s="22"/>
      <c r="H2117" s="21">
        <v>46008</v>
      </c>
      <c r="I2117" s="22" t="s">
        <v>71</v>
      </c>
      <c r="J2117" s="22" t="s">
        <v>56</v>
      </c>
      <c r="K2117" s="24" t="s">
        <v>60</v>
      </c>
      <c r="M2117" s="21">
        <v>46079</v>
      </c>
      <c r="N2117" s="22" t="s">
        <v>70</v>
      </c>
      <c r="O2117" s="22" t="s">
        <v>57</v>
      </c>
      <c r="P2117" s="49">
        <v>92</v>
      </c>
      <c r="Q2117" s="49">
        <v>92</v>
      </c>
      <c r="R2117" s="46">
        <f t="shared" si="70"/>
        <v>0</v>
      </c>
      <c r="T2117" s="21">
        <v>46061</v>
      </c>
      <c r="U2117" s="22" t="s">
        <v>41</v>
      </c>
      <c r="V2117" s="24">
        <v>1</v>
      </c>
      <c r="W2117" s="24">
        <v>1</v>
      </c>
      <c r="X2117" s="24">
        <v>1</v>
      </c>
      <c r="Y2117" s="24">
        <v>1</v>
      </c>
      <c r="Z2117" s="20">
        <f t="shared" si="71"/>
        <v>4</v>
      </c>
    </row>
    <row r="2118" spans="1:26" x14ac:dyDescent="0.2">
      <c r="A2118" s="21"/>
      <c r="B2118" s="20"/>
      <c r="C2118" s="22"/>
      <c r="D2118" s="22"/>
      <c r="E2118" s="24"/>
      <c r="F2118" s="22"/>
      <c r="H2118" s="21">
        <v>46009</v>
      </c>
      <c r="I2118" s="22" t="s">
        <v>70</v>
      </c>
      <c r="J2118" s="22" t="s">
        <v>52</v>
      </c>
      <c r="K2118" s="24">
        <v>7</v>
      </c>
      <c r="M2118" s="21">
        <v>46079</v>
      </c>
      <c r="N2118" s="22" t="s">
        <v>70</v>
      </c>
      <c r="O2118" s="22" t="s">
        <v>58</v>
      </c>
      <c r="P2118" s="49">
        <v>75.599999999999994</v>
      </c>
      <c r="Q2118" s="49">
        <v>74.900000000000006</v>
      </c>
      <c r="R2118" s="46">
        <f t="shared" si="70"/>
        <v>0.69999999999998863</v>
      </c>
      <c r="T2118" s="21">
        <v>46061</v>
      </c>
      <c r="U2118" s="22" t="s">
        <v>42</v>
      </c>
      <c r="V2118" s="24">
        <v>4</v>
      </c>
      <c r="W2118" s="24">
        <v>4</v>
      </c>
      <c r="X2118" s="24">
        <v>4</v>
      </c>
      <c r="Y2118" s="24">
        <v>5</v>
      </c>
      <c r="Z2118" s="20">
        <f t="shared" si="71"/>
        <v>17</v>
      </c>
    </row>
    <row r="2119" spans="1:26" x14ac:dyDescent="0.2">
      <c r="A2119" s="21"/>
      <c r="B2119" s="20"/>
      <c r="C2119" s="22"/>
      <c r="D2119" s="22"/>
      <c r="E2119" s="24"/>
      <c r="F2119" s="22"/>
      <c r="H2119" s="21">
        <v>46009</v>
      </c>
      <c r="I2119" s="22" t="s">
        <v>70</v>
      </c>
      <c r="J2119" s="22" t="s">
        <v>53</v>
      </c>
      <c r="K2119" s="24">
        <v>6</v>
      </c>
      <c r="M2119" s="21">
        <v>46080</v>
      </c>
      <c r="N2119" s="22" t="s">
        <v>70</v>
      </c>
      <c r="O2119" s="22" t="s">
        <v>41</v>
      </c>
      <c r="P2119" s="49">
        <v>76.900000000000006</v>
      </c>
      <c r="Q2119" s="49">
        <v>76.599999999999994</v>
      </c>
      <c r="R2119" s="46">
        <f t="shared" si="70"/>
        <v>0.30000000000001137</v>
      </c>
      <c r="T2119" s="21">
        <v>46061</v>
      </c>
      <c r="U2119" s="22" t="s">
        <v>45</v>
      </c>
      <c r="V2119" s="24">
        <v>3</v>
      </c>
      <c r="W2119" s="24">
        <v>4</v>
      </c>
      <c r="X2119" s="24">
        <v>4</v>
      </c>
      <c r="Y2119" s="24">
        <v>5</v>
      </c>
      <c r="Z2119" s="20">
        <f t="shared" si="71"/>
        <v>16</v>
      </c>
    </row>
    <row r="2120" spans="1:26" x14ac:dyDescent="0.2">
      <c r="A2120" s="21"/>
      <c r="B2120" s="20"/>
      <c r="C2120" s="22"/>
      <c r="D2120" s="22"/>
      <c r="E2120" s="24"/>
      <c r="F2120" s="22"/>
      <c r="H2120" s="21">
        <v>46009</v>
      </c>
      <c r="I2120" s="22" t="s">
        <v>70</v>
      </c>
      <c r="J2120" s="22" t="s">
        <v>44</v>
      </c>
      <c r="K2120" s="24" t="s">
        <v>64</v>
      </c>
      <c r="M2120" s="21">
        <v>46080</v>
      </c>
      <c r="N2120" s="22" t="s">
        <v>70</v>
      </c>
      <c r="O2120" s="22" t="s">
        <v>42</v>
      </c>
      <c r="P2120" s="49">
        <v>79</v>
      </c>
      <c r="Q2120" s="49">
        <v>78.900000000000006</v>
      </c>
      <c r="R2120" s="46">
        <f t="shared" si="70"/>
        <v>9.9999999999994316E-2</v>
      </c>
      <c r="T2120" s="21">
        <v>46061</v>
      </c>
      <c r="U2120" s="22" t="s">
        <v>46</v>
      </c>
      <c r="V2120" s="24">
        <v>2</v>
      </c>
      <c r="W2120" s="24">
        <v>2</v>
      </c>
      <c r="X2120" s="24">
        <v>2</v>
      </c>
      <c r="Y2120" s="24">
        <v>2</v>
      </c>
      <c r="Z2120" s="20">
        <f t="shared" si="71"/>
        <v>8</v>
      </c>
    </row>
    <row r="2121" spans="1:26" x14ac:dyDescent="0.2">
      <c r="A2121" s="21"/>
      <c r="B2121" s="20"/>
      <c r="C2121" s="22"/>
      <c r="D2121" s="22"/>
      <c r="E2121" s="24"/>
      <c r="F2121" s="22"/>
      <c r="H2121" s="21">
        <v>46009</v>
      </c>
      <c r="I2121" s="22" t="s">
        <v>70</v>
      </c>
      <c r="J2121" s="22" t="s">
        <v>45</v>
      </c>
      <c r="K2121" s="24">
        <v>6</v>
      </c>
      <c r="M2121" s="21">
        <v>46080</v>
      </c>
      <c r="N2121" s="22" t="s">
        <v>70</v>
      </c>
      <c r="O2121" s="22" t="s">
        <v>44</v>
      </c>
      <c r="P2121" s="49">
        <v>68</v>
      </c>
      <c r="Q2121" s="49">
        <v>67.400000000000006</v>
      </c>
      <c r="R2121" s="46">
        <f t="shared" si="70"/>
        <v>0.59999999999999432</v>
      </c>
      <c r="T2121" s="21">
        <v>46061</v>
      </c>
      <c r="U2121" s="22" t="s">
        <v>47</v>
      </c>
      <c r="V2121" s="24">
        <v>2</v>
      </c>
      <c r="W2121" s="24">
        <v>4</v>
      </c>
      <c r="X2121" s="24">
        <v>4</v>
      </c>
      <c r="Y2121" s="24">
        <v>5</v>
      </c>
      <c r="Z2121" s="20">
        <f t="shared" si="71"/>
        <v>15</v>
      </c>
    </row>
    <row r="2122" spans="1:26" x14ac:dyDescent="0.2">
      <c r="A2122" s="21"/>
      <c r="B2122" s="20"/>
      <c r="C2122" s="22"/>
      <c r="D2122" s="22"/>
      <c r="E2122" s="24"/>
      <c r="F2122" s="22"/>
      <c r="H2122" s="21">
        <v>46009</v>
      </c>
      <c r="I2122" s="22" t="s">
        <v>70</v>
      </c>
      <c r="J2122" s="22" t="s">
        <v>57</v>
      </c>
      <c r="K2122" s="24">
        <v>8</v>
      </c>
      <c r="M2122" s="21">
        <v>46080</v>
      </c>
      <c r="N2122" s="22" t="s">
        <v>70</v>
      </c>
      <c r="O2122" s="22" t="s">
        <v>45</v>
      </c>
      <c r="P2122" s="49">
        <v>68.900000000000006</v>
      </c>
      <c r="Q2122" s="49">
        <v>68.400000000000006</v>
      </c>
      <c r="R2122" s="46">
        <f t="shared" si="70"/>
        <v>0.5</v>
      </c>
      <c r="T2122" s="21">
        <v>46061</v>
      </c>
      <c r="U2122" s="22" t="s">
        <v>49</v>
      </c>
      <c r="V2122" s="24">
        <v>2</v>
      </c>
      <c r="W2122" s="24">
        <v>2</v>
      </c>
      <c r="X2122" s="24">
        <v>2</v>
      </c>
      <c r="Y2122" s="24">
        <v>2</v>
      </c>
      <c r="Z2122" s="20">
        <f t="shared" si="71"/>
        <v>8</v>
      </c>
    </row>
    <row r="2123" spans="1:26" x14ac:dyDescent="0.2">
      <c r="A2123" s="21"/>
      <c r="B2123" s="20"/>
      <c r="C2123" s="22"/>
      <c r="D2123" s="22"/>
      <c r="E2123" s="24"/>
      <c r="F2123" s="22"/>
      <c r="H2123" s="21">
        <v>46009</v>
      </c>
      <c r="I2123" s="22" t="s">
        <v>70</v>
      </c>
      <c r="J2123" s="22" t="s">
        <v>42</v>
      </c>
      <c r="K2123" s="24">
        <v>1</v>
      </c>
      <c r="M2123" s="21">
        <v>46080</v>
      </c>
      <c r="N2123" s="22" t="s">
        <v>70</v>
      </c>
      <c r="O2123" s="22" t="s">
        <v>46</v>
      </c>
      <c r="P2123" s="49">
        <v>81.3</v>
      </c>
      <c r="Q2123" s="49">
        <v>81.400000000000006</v>
      </c>
      <c r="R2123" s="46">
        <f t="shared" si="70"/>
        <v>-0.10000000000000853</v>
      </c>
      <c r="T2123" s="21">
        <v>46061</v>
      </c>
      <c r="U2123" s="22" t="s">
        <v>50</v>
      </c>
      <c r="V2123" s="24">
        <v>2</v>
      </c>
      <c r="W2123" s="24">
        <v>3</v>
      </c>
      <c r="X2123" s="24">
        <v>3</v>
      </c>
      <c r="Y2123" s="24">
        <v>2</v>
      </c>
      <c r="Z2123" s="20">
        <f t="shared" si="71"/>
        <v>10</v>
      </c>
    </row>
    <row r="2124" spans="1:26" x14ac:dyDescent="0.2">
      <c r="A2124" s="21"/>
      <c r="B2124" s="20"/>
      <c r="C2124" s="22"/>
      <c r="D2124" s="22"/>
      <c r="E2124" s="24"/>
      <c r="F2124" s="22"/>
      <c r="H2124" s="21">
        <v>46009</v>
      </c>
      <c r="I2124" s="22" t="s">
        <v>70</v>
      </c>
      <c r="J2124" s="22" t="s">
        <v>54</v>
      </c>
      <c r="K2124" s="24">
        <v>7</v>
      </c>
      <c r="M2124" s="21">
        <v>46080</v>
      </c>
      <c r="N2124" s="22" t="s">
        <v>70</v>
      </c>
      <c r="O2124" s="22" t="s">
        <v>47</v>
      </c>
      <c r="P2124" s="49">
        <v>71.3</v>
      </c>
      <c r="Q2124" s="49">
        <v>70.900000000000006</v>
      </c>
      <c r="R2124" s="46">
        <f t="shared" si="70"/>
        <v>0.39999999999999147</v>
      </c>
      <c r="T2124" s="21">
        <v>46061</v>
      </c>
      <c r="U2124" s="22" t="s">
        <v>51</v>
      </c>
      <c r="V2124" s="24">
        <v>3</v>
      </c>
      <c r="W2124" s="24">
        <v>3</v>
      </c>
      <c r="X2124" s="24">
        <v>4</v>
      </c>
      <c r="Y2124" s="24">
        <v>4</v>
      </c>
      <c r="Z2124" s="20">
        <f t="shared" si="71"/>
        <v>14</v>
      </c>
    </row>
    <row r="2125" spans="1:26" x14ac:dyDescent="0.2">
      <c r="A2125" s="21"/>
      <c r="B2125" s="20"/>
      <c r="C2125" s="22"/>
      <c r="D2125" s="22"/>
      <c r="E2125" s="24"/>
      <c r="F2125" s="22"/>
      <c r="H2125" s="21">
        <v>46009</v>
      </c>
      <c r="I2125" s="22" t="s">
        <v>70</v>
      </c>
      <c r="J2125" s="22" t="s">
        <v>47</v>
      </c>
      <c r="K2125" s="24" t="s">
        <v>64</v>
      </c>
      <c r="M2125" s="21">
        <v>46080</v>
      </c>
      <c r="N2125" s="22" t="s">
        <v>70</v>
      </c>
      <c r="O2125" s="22" t="s">
        <v>48</v>
      </c>
      <c r="P2125" s="49">
        <v>81.599999999999994</v>
      </c>
      <c r="Q2125" s="49">
        <v>80.5</v>
      </c>
      <c r="R2125" s="46">
        <f t="shared" si="70"/>
        <v>1.0999999999999943</v>
      </c>
      <c r="T2125" s="21">
        <v>46061</v>
      </c>
      <c r="U2125" s="22" t="s">
        <v>52</v>
      </c>
      <c r="V2125" s="24">
        <v>4</v>
      </c>
      <c r="W2125" s="24">
        <v>4</v>
      </c>
      <c r="X2125" s="24">
        <v>4</v>
      </c>
      <c r="Y2125" s="24">
        <v>4</v>
      </c>
      <c r="Z2125" s="20">
        <f t="shared" si="71"/>
        <v>16</v>
      </c>
    </row>
    <row r="2126" spans="1:26" x14ac:dyDescent="0.2">
      <c r="A2126" s="21"/>
      <c r="B2126" s="20"/>
      <c r="C2126" s="22"/>
      <c r="D2126" s="22"/>
      <c r="E2126" s="24"/>
      <c r="F2126" s="22"/>
      <c r="H2126" s="21">
        <v>46009</v>
      </c>
      <c r="I2126" s="22" t="s">
        <v>70</v>
      </c>
      <c r="J2126" s="22" t="s">
        <v>41</v>
      </c>
      <c r="K2126" s="24">
        <v>1</v>
      </c>
      <c r="M2126" s="21">
        <v>46080</v>
      </c>
      <c r="N2126" s="22" t="s">
        <v>70</v>
      </c>
      <c r="O2126" s="22" t="s">
        <v>49</v>
      </c>
      <c r="P2126" s="49">
        <v>80</v>
      </c>
      <c r="Q2126" s="49">
        <v>80</v>
      </c>
      <c r="R2126" s="46">
        <f t="shared" si="70"/>
        <v>0</v>
      </c>
      <c r="T2126" s="21">
        <v>46061</v>
      </c>
      <c r="U2126" s="22" t="s">
        <v>53</v>
      </c>
      <c r="V2126" s="24">
        <v>4</v>
      </c>
      <c r="W2126" s="24">
        <v>3</v>
      </c>
      <c r="X2126" s="24">
        <v>4</v>
      </c>
      <c r="Y2126" s="24">
        <v>5</v>
      </c>
      <c r="Z2126" s="20">
        <f t="shared" si="71"/>
        <v>16</v>
      </c>
    </row>
    <row r="2127" spans="1:26" x14ac:dyDescent="0.2">
      <c r="A2127" s="21"/>
      <c r="B2127" s="20"/>
      <c r="C2127" s="22"/>
      <c r="D2127" s="22"/>
      <c r="E2127" s="24"/>
      <c r="F2127" s="22"/>
      <c r="H2127" s="21">
        <v>46009</v>
      </c>
      <c r="I2127" s="22" t="s">
        <v>70</v>
      </c>
      <c r="J2127" s="22" t="s">
        <v>58</v>
      </c>
      <c r="K2127" s="24" t="s">
        <v>64</v>
      </c>
      <c r="M2127" s="21">
        <v>46080</v>
      </c>
      <c r="N2127" s="22" t="s">
        <v>70</v>
      </c>
      <c r="O2127" s="22" t="s">
        <v>50</v>
      </c>
      <c r="P2127" s="49">
        <v>67</v>
      </c>
      <c r="Q2127" s="49">
        <v>66.400000000000006</v>
      </c>
      <c r="R2127" s="46">
        <f t="shared" si="70"/>
        <v>0.59999999999999432</v>
      </c>
      <c r="T2127" s="21">
        <v>46061</v>
      </c>
      <c r="U2127" s="22" t="s">
        <v>54</v>
      </c>
      <c r="V2127" s="24">
        <v>1</v>
      </c>
      <c r="W2127" s="24">
        <v>3</v>
      </c>
      <c r="X2127" s="24">
        <v>3</v>
      </c>
      <c r="Y2127" s="24">
        <v>1</v>
      </c>
      <c r="Z2127" s="20">
        <f t="shared" si="71"/>
        <v>8</v>
      </c>
    </row>
    <row r="2128" spans="1:26" x14ac:dyDescent="0.2">
      <c r="A2128" s="21"/>
      <c r="B2128" s="20"/>
      <c r="C2128" s="22"/>
      <c r="D2128" s="22"/>
      <c r="E2128" s="24"/>
      <c r="F2128" s="22"/>
      <c r="H2128" s="21">
        <v>46009</v>
      </c>
      <c r="I2128" s="22" t="s">
        <v>70</v>
      </c>
      <c r="J2128" s="22" t="s">
        <v>49</v>
      </c>
      <c r="K2128" s="24" t="s">
        <v>64</v>
      </c>
      <c r="M2128" s="21">
        <v>46080</v>
      </c>
      <c r="N2128" s="22" t="s">
        <v>70</v>
      </c>
      <c r="O2128" s="22" t="s">
        <v>51</v>
      </c>
      <c r="P2128" s="49">
        <v>75.599999999999994</v>
      </c>
      <c r="Q2128" s="49">
        <v>75.7</v>
      </c>
      <c r="R2128" s="46">
        <f t="shared" si="70"/>
        <v>-0.10000000000000853</v>
      </c>
      <c r="T2128" s="21">
        <v>46061</v>
      </c>
      <c r="U2128" s="22" t="s">
        <v>56</v>
      </c>
      <c r="V2128" s="24">
        <v>4</v>
      </c>
      <c r="W2128" s="24">
        <v>4</v>
      </c>
      <c r="X2128" s="24">
        <v>4</v>
      </c>
      <c r="Y2128" s="24">
        <v>1</v>
      </c>
      <c r="Z2128" s="20">
        <f t="shared" si="71"/>
        <v>13</v>
      </c>
    </row>
    <row r="2129" spans="1:26" x14ac:dyDescent="0.2">
      <c r="A2129" s="21"/>
      <c r="B2129" s="20"/>
      <c r="C2129" s="22"/>
      <c r="D2129" s="22"/>
      <c r="E2129" s="24"/>
      <c r="F2129" s="22"/>
      <c r="H2129" s="21">
        <v>46009</v>
      </c>
      <c r="I2129" s="22" t="s">
        <v>70</v>
      </c>
      <c r="J2129" s="22" t="s">
        <v>50</v>
      </c>
      <c r="K2129" s="24">
        <v>6</v>
      </c>
      <c r="M2129" s="21">
        <v>46080</v>
      </c>
      <c r="N2129" s="22" t="s">
        <v>70</v>
      </c>
      <c r="O2129" s="22" t="s">
        <v>52</v>
      </c>
      <c r="P2129" s="49">
        <v>71.2</v>
      </c>
      <c r="Q2129" s="49">
        <v>71</v>
      </c>
      <c r="R2129" s="46">
        <f t="shared" si="70"/>
        <v>0.20000000000000284</v>
      </c>
      <c r="T2129" s="21">
        <v>46061</v>
      </c>
      <c r="U2129" s="22" t="s">
        <v>57</v>
      </c>
      <c r="V2129" s="24">
        <v>2</v>
      </c>
      <c r="W2129" s="24">
        <v>3</v>
      </c>
      <c r="X2129" s="24">
        <v>4</v>
      </c>
      <c r="Y2129" s="24">
        <v>1</v>
      </c>
      <c r="Z2129" s="20">
        <f t="shared" si="71"/>
        <v>10</v>
      </c>
    </row>
    <row r="2130" spans="1:26" x14ac:dyDescent="0.2">
      <c r="A2130" s="21"/>
      <c r="B2130" s="20"/>
      <c r="C2130" s="22"/>
      <c r="D2130" s="22"/>
      <c r="E2130" s="24"/>
      <c r="F2130" s="22"/>
      <c r="H2130" s="21">
        <v>46009</v>
      </c>
      <c r="I2130" s="22" t="s">
        <v>70</v>
      </c>
      <c r="J2130" s="22" t="s">
        <v>51</v>
      </c>
      <c r="K2130" s="24">
        <v>6</v>
      </c>
      <c r="M2130" s="21">
        <v>46080</v>
      </c>
      <c r="N2130" s="22" t="s">
        <v>70</v>
      </c>
      <c r="O2130" s="22" t="s">
        <v>53</v>
      </c>
      <c r="P2130" s="49">
        <v>68.8</v>
      </c>
      <c r="Q2130" s="49">
        <v>68</v>
      </c>
      <c r="R2130" s="46">
        <f t="shared" si="70"/>
        <v>0.79999999999999716</v>
      </c>
      <c r="T2130" s="21">
        <v>46061</v>
      </c>
      <c r="U2130" s="22" t="s">
        <v>58</v>
      </c>
      <c r="V2130" s="24">
        <v>3</v>
      </c>
      <c r="W2130" s="24">
        <v>4</v>
      </c>
      <c r="X2130" s="24">
        <v>3</v>
      </c>
      <c r="Y2130" s="24">
        <v>2</v>
      </c>
      <c r="Z2130" s="20">
        <f t="shared" si="71"/>
        <v>12</v>
      </c>
    </row>
    <row r="2131" spans="1:26" x14ac:dyDescent="0.2">
      <c r="A2131" s="21"/>
      <c r="B2131" s="20"/>
      <c r="C2131" s="22"/>
      <c r="D2131" s="22"/>
      <c r="E2131" s="24"/>
      <c r="F2131" s="22"/>
      <c r="H2131" s="21">
        <v>46009</v>
      </c>
      <c r="I2131" s="22" t="s">
        <v>70</v>
      </c>
      <c r="J2131" s="22" t="s">
        <v>46</v>
      </c>
      <c r="K2131" s="24">
        <v>7</v>
      </c>
      <c r="M2131" s="21">
        <v>46080</v>
      </c>
      <c r="N2131" s="22" t="s">
        <v>70</v>
      </c>
      <c r="O2131" s="22" t="s">
        <v>57</v>
      </c>
      <c r="P2131" s="49">
        <v>91.3</v>
      </c>
      <c r="Q2131" s="49">
        <v>91</v>
      </c>
      <c r="R2131" s="46">
        <f t="shared" si="70"/>
        <v>0.29999999999999716</v>
      </c>
      <c r="T2131" s="21">
        <v>46061</v>
      </c>
      <c r="U2131" s="22" t="s">
        <v>33</v>
      </c>
      <c r="V2131" s="24">
        <v>2.6428571428571401</v>
      </c>
      <c r="W2131" s="24">
        <v>3.1428571428571401</v>
      </c>
      <c r="X2131" s="24">
        <v>3.28571428571429</v>
      </c>
      <c r="Y2131" s="24">
        <v>2.8571428571428599</v>
      </c>
      <c r="Z2131" s="20">
        <f t="shared" si="71"/>
        <v>11.928571428571429</v>
      </c>
    </row>
    <row r="2132" spans="1:26" x14ac:dyDescent="0.2">
      <c r="A2132" s="21"/>
      <c r="B2132" s="20"/>
      <c r="C2132" s="22"/>
      <c r="D2132" s="22"/>
      <c r="E2132" s="24"/>
      <c r="F2132" s="22"/>
      <c r="H2132" s="21">
        <v>46009</v>
      </c>
      <c r="I2132" s="22" t="s">
        <v>70</v>
      </c>
      <c r="J2132" s="22" t="s">
        <v>48</v>
      </c>
      <c r="K2132" s="24" t="s">
        <v>61</v>
      </c>
      <c r="M2132" s="21">
        <v>46080</v>
      </c>
      <c r="N2132" s="22" t="s">
        <v>70</v>
      </c>
      <c r="O2132" s="22" t="s">
        <v>58</v>
      </c>
      <c r="P2132" s="49">
        <v>75.2</v>
      </c>
      <c r="Q2132" s="49">
        <v>75</v>
      </c>
      <c r="R2132" s="46">
        <f t="shared" si="70"/>
        <v>0.20000000000000284</v>
      </c>
      <c r="T2132" s="21">
        <v>46062</v>
      </c>
      <c r="U2132" s="22" t="s">
        <v>41</v>
      </c>
      <c r="V2132" s="24">
        <v>1</v>
      </c>
      <c r="W2132" s="24">
        <v>1</v>
      </c>
      <c r="X2132" s="24">
        <v>1</v>
      </c>
      <c r="Y2132" s="24">
        <v>1</v>
      </c>
      <c r="Z2132" s="20">
        <f t="shared" si="71"/>
        <v>4</v>
      </c>
    </row>
    <row r="2133" spans="1:26" x14ac:dyDescent="0.2">
      <c r="A2133" s="21"/>
      <c r="B2133" s="20"/>
      <c r="C2133" s="22"/>
      <c r="D2133" s="22"/>
      <c r="E2133" s="24"/>
      <c r="F2133" s="22"/>
      <c r="H2133" s="21">
        <v>46009</v>
      </c>
      <c r="I2133" s="22" t="s">
        <v>70</v>
      </c>
      <c r="J2133" s="22" t="s">
        <v>56</v>
      </c>
      <c r="K2133" s="24" t="s">
        <v>60</v>
      </c>
      <c r="M2133" s="21">
        <v>46084</v>
      </c>
      <c r="N2133" s="22" t="s">
        <v>70</v>
      </c>
      <c r="O2133" s="22" t="s">
        <v>41</v>
      </c>
      <c r="P2133" s="49">
        <v>77</v>
      </c>
      <c r="Q2133" s="49">
        <v>76</v>
      </c>
      <c r="R2133" s="46">
        <f t="shared" si="70"/>
        <v>1</v>
      </c>
      <c r="T2133" s="21">
        <v>46062</v>
      </c>
      <c r="U2133" s="22" t="s">
        <v>42</v>
      </c>
      <c r="V2133" s="24">
        <v>4</v>
      </c>
      <c r="W2133" s="24">
        <v>4</v>
      </c>
      <c r="X2133" s="24">
        <v>3</v>
      </c>
      <c r="Y2133" s="24">
        <v>5</v>
      </c>
      <c r="Z2133" s="20">
        <f t="shared" si="71"/>
        <v>16</v>
      </c>
    </row>
    <row r="2134" spans="1:26" x14ac:dyDescent="0.2">
      <c r="A2134" s="21"/>
      <c r="B2134" s="20"/>
      <c r="C2134" s="22"/>
      <c r="D2134" s="22"/>
      <c r="E2134" s="24"/>
      <c r="F2134" s="22"/>
      <c r="H2134" s="21">
        <v>46010</v>
      </c>
      <c r="I2134" s="22" t="s">
        <v>70</v>
      </c>
      <c r="J2134" s="22" t="s">
        <v>52</v>
      </c>
      <c r="K2134" s="24">
        <v>5</v>
      </c>
      <c r="M2134" s="21">
        <v>46084</v>
      </c>
      <c r="N2134" s="22" t="s">
        <v>70</v>
      </c>
      <c r="O2134" s="22" t="s">
        <v>42</v>
      </c>
      <c r="P2134" s="49">
        <v>79.400000000000006</v>
      </c>
      <c r="Q2134" s="49">
        <v>79</v>
      </c>
      <c r="R2134" s="46">
        <f t="shared" si="70"/>
        <v>0.40000000000000568</v>
      </c>
      <c r="T2134" s="21">
        <v>46062</v>
      </c>
      <c r="U2134" s="22" t="s">
        <v>45</v>
      </c>
      <c r="V2134" s="24">
        <v>4</v>
      </c>
      <c r="W2134" s="24">
        <v>4</v>
      </c>
      <c r="X2134" s="24">
        <v>4</v>
      </c>
      <c r="Y2134" s="24">
        <v>5</v>
      </c>
      <c r="Z2134" s="20">
        <f t="shared" si="71"/>
        <v>17</v>
      </c>
    </row>
    <row r="2135" spans="1:26" x14ac:dyDescent="0.2">
      <c r="A2135" s="21"/>
      <c r="B2135" s="20"/>
      <c r="C2135" s="22"/>
      <c r="D2135" s="22"/>
      <c r="E2135" s="24"/>
      <c r="F2135" s="22"/>
      <c r="H2135" s="21">
        <v>46010</v>
      </c>
      <c r="I2135" s="22" t="s">
        <v>70</v>
      </c>
      <c r="J2135" s="22" t="s">
        <v>53</v>
      </c>
      <c r="K2135" s="24">
        <v>7</v>
      </c>
      <c r="M2135" s="21">
        <v>46084</v>
      </c>
      <c r="N2135" s="22" t="s">
        <v>70</v>
      </c>
      <c r="O2135" s="22" t="s">
        <v>44</v>
      </c>
      <c r="P2135" s="49">
        <v>67.400000000000006</v>
      </c>
      <c r="Q2135" s="49">
        <v>67</v>
      </c>
      <c r="R2135" s="46">
        <f t="shared" si="70"/>
        <v>0.40000000000000568</v>
      </c>
      <c r="T2135" s="21">
        <v>46062</v>
      </c>
      <c r="U2135" s="22" t="s">
        <v>46</v>
      </c>
      <c r="V2135" s="24">
        <v>5</v>
      </c>
      <c r="W2135" s="24">
        <v>4</v>
      </c>
      <c r="X2135" s="24">
        <v>4</v>
      </c>
      <c r="Y2135" s="24">
        <v>3</v>
      </c>
      <c r="Z2135" s="20">
        <f t="shared" si="71"/>
        <v>16</v>
      </c>
    </row>
    <row r="2136" spans="1:26" x14ac:dyDescent="0.2">
      <c r="A2136" s="21"/>
      <c r="B2136" s="20"/>
      <c r="C2136" s="22"/>
      <c r="D2136" s="22"/>
      <c r="E2136" s="24"/>
      <c r="F2136" s="22"/>
      <c r="H2136" s="21">
        <v>46010</v>
      </c>
      <c r="I2136" s="22" t="s">
        <v>70</v>
      </c>
      <c r="J2136" s="22" t="s">
        <v>44</v>
      </c>
      <c r="K2136" s="24" t="s">
        <v>64</v>
      </c>
      <c r="M2136" s="21">
        <v>46084</v>
      </c>
      <c r="N2136" s="22" t="s">
        <v>70</v>
      </c>
      <c r="O2136" s="22" t="s">
        <v>45</v>
      </c>
      <c r="P2136" s="49">
        <v>68.7</v>
      </c>
      <c r="Q2136" s="49">
        <v>68</v>
      </c>
      <c r="R2136" s="46">
        <f t="shared" si="70"/>
        <v>0.70000000000000284</v>
      </c>
      <c r="T2136" s="21">
        <v>46062</v>
      </c>
      <c r="U2136" s="22" t="s">
        <v>47</v>
      </c>
      <c r="V2136" s="24">
        <v>3</v>
      </c>
      <c r="W2136" s="24">
        <v>4</v>
      </c>
      <c r="X2136" s="24">
        <v>4</v>
      </c>
      <c r="Y2136" s="24">
        <v>4</v>
      </c>
      <c r="Z2136" s="20">
        <f t="shared" si="71"/>
        <v>15</v>
      </c>
    </row>
    <row r="2137" spans="1:26" x14ac:dyDescent="0.2">
      <c r="A2137" s="21"/>
      <c r="B2137" s="20"/>
      <c r="C2137" s="22"/>
      <c r="D2137" s="22"/>
      <c r="E2137" s="24"/>
      <c r="F2137" s="22"/>
      <c r="H2137" s="21">
        <v>46010</v>
      </c>
      <c r="I2137" s="22" t="s">
        <v>70</v>
      </c>
      <c r="J2137" s="22" t="s">
        <v>45</v>
      </c>
      <c r="K2137" s="24">
        <v>5</v>
      </c>
      <c r="M2137" s="21">
        <v>46084</v>
      </c>
      <c r="N2137" s="22" t="s">
        <v>70</v>
      </c>
      <c r="O2137" s="22" t="s">
        <v>46</v>
      </c>
      <c r="P2137" s="49">
        <v>81.7</v>
      </c>
      <c r="Q2137" s="49">
        <v>82</v>
      </c>
      <c r="R2137" s="46">
        <f t="shared" si="70"/>
        <v>-0.29999999999999716</v>
      </c>
      <c r="T2137" s="21">
        <v>46062</v>
      </c>
      <c r="U2137" s="22" t="s">
        <v>49</v>
      </c>
      <c r="V2137" s="24">
        <v>3</v>
      </c>
      <c r="W2137" s="24">
        <v>3</v>
      </c>
      <c r="X2137" s="24">
        <v>3</v>
      </c>
      <c r="Y2137" s="24">
        <v>3</v>
      </c>
      <c r="Z2137" s="20">
        <f t="shared" si="71"/>
        <v>12</v>
      </c>
    </row>
    <row r="2138" spans="1:26" x14ac:dyDescent="0.2">
      <c r="A2138" s="21"/>
      <c r="B2138" s="20"/>
      <c r="C2138" s="22"/>
      <c r="D2138" s="22"/>
      <c r="E2138" s="24"/>
      <c r="F2138" s="22"/>
      <c r="H2138" s="21">
        <v>46010</v>
      </c>
      <c r="I2138" s="22" t="s">
        <v>70</v>
      </c>
      <c r="J2138" s="22" t="s">
        <v>57</v>
      </c>
      <c r="K2138" s="24">
        <v>9</v>
      </c>
      <c r="M2138" s="21">
        <v>46084</v>
      </c>
      <c r="N2138" s="22" t="s">
        <v>70</v>
      </c>
      <c r="O2138" s="22" t="s">
        <v>47</v>
      </c>
      <c r="P2138" s="49">
        <v>71.7</v>
      </c>
      <c r="Q2138" s="49">
        <v>71.3</v>
      </c>
      <c r="R2138" s="46">
        <f t="shared" si="70"/>
        <v>0.40000000000000568</v>
      </c>
      <c r="T2138" s="21">
        <v>46062</v>
      </c>
      <c r="U2138" s="22" t="s">
        <v>50</v>
      </c>
      <c r="V2138" s="24">
        <v>3</v>
      </c>
      <c r="W2138" s="24">
        <v>3</v>
      </c>
      <c r="X2138" s="24">
        <v>3</v>
      </c>
      <c r="Y2138" s="24">
        <v>3</v>
      </c>
      <c r="Z2138" s="20">
        <f t="shared" si="71"/>
        <v>12</v>
      </c>
    </row>
    <row r="2139" spans="1:26" x14ac:dyDescent="0.2">
      <c r="A2139" s="21"/>
      <c r="B2139" s="20"/>
      <c r="C2139" s="22"/>
      <c r="D2139" s="22"/>
      <c r="E2139" s="24"/>
      <c r="F2139" s="22"/>
      <c r="H2139" s="21">
        <v>46010</v>
      </c>
      <c r="I2139" s="22" t="s">
        <v>70</v>
      </c>
      <c r="J2139" s="22" t="s">
        <v>42</v>
      </c>
      <c r="K2139" s="24">
        <v>2</v>
      </c>
      <c r="M2139" s="21">
        <v>46084</v>
      </c>
      <c r="N2139" s="22" t="s">
        <v>70</v>
      </c>
      <c r="O2139" s="22" t="s">
        <v>48</v>
      </c>
      <c r="P2139" s="49">
        <v>80.5</v>
      </c>
      <c r="Q2139" s="49">
        <v>80</v>
      </c>
      <c r="R2139" s="46">
        <f t="shared" si="70"/>
        <v>0.5</v>
      </c>
      <c r="T2139" s="21">
        <v>46062</v>
      </c>
      <c r="U2139" s="22" t="s">
        <v>51</v>
      </c>
      <c r="V2139" s="24">
        <v>4</v>
      </c>
      <c r="W2139" s="24">
        <v>3</v>
      </c>
      <c r="X2139" s="24">
        <v>4</v>
      </c>
      <c r="Y2139" s="24">
        <v>4</v>
      </c>
      <c r="Z2139" s="20">
        <f t="shared" si="71"/>
        <v>15</v>
      </c>
    </row>
    <row r="2140" spans="1:26" x14ac:dyDescent="0.2">
      <c r="A2140" s="21"/>
      <c r="B2140" s="20"/>
      <c r="C2140" s="22"/>
      <c r="D2140" s="22"/>
      <c r="E2140" s="24"/>
      <c r="F2140" s="22"/>
      <c r="H2140" s="21">
        <v>46010</v>
      </c>
      <c r="I2140" s="22" t="s">
        <v>70</v>
      </c>
      <c r="J2140" s="22" t="s">
        <v>47</v>
      </c>
      <c r="K2140" s="24" t="s">
        <v>64</v>
      </c>
      <c r="M2140" s="21">
        <v>46084</v>
      </c>
      <c r="N2140" s="22" t="s">
        <v>70</v>
      </c>
      <c r="O2140" s="22" t="s">
        <v>49</v>
      </c>
      <c r="P2140" s="49">
        <v>79</v>
      </c>
      <c r="Q2140" s="49">
        <v>79</v>
      </c>
      <c r="R2140" s="46">
        <f t="shared" si="70"/>
        <v>0</v>
      </c>
      <c r="T2140" s="21">
        <v>46062</v>
      </c>
      <c r="U2140" s="22" t="s">
        <v>52</v>
      </c>
      <c r="V2140" s="24">
        <v>4</v>
      </c>
      <c r="W2140" s="24">
        <v>4</v>
      </c>
      <c r="X2140" s="24">
        <v>4</v>
      </c>
      <c r="Y2140" s="24">
        <v>4</v>
      </c>
      <c r="Z2140" s="20">
        <f t="shared" si="71"/>
        <v>16</v>
      </c>
    </row>
    <row r="2141" spans="1:26" x14ac:dyDescent="0.2">
      <c r="A2141" s="21"/>
      <c r="B2141" s="20"/>
      <c r="C2141" s="22"/>
      <c r="D2141" s="22"/>
      <c r="E2141" s="24"/>
      <c r="F2141" s="22"/>
      <c r="H2141" s="21">
        <v>46010</v>
      </c>
      <c r="I2141" s="22" t="s">
        <v>70</v>
      </c>
      <c r="J2141" s="22" t="s">
        <v>41</v>
      </c>
      <c r="K2141" s="24">
        <v>2</v>
      </c>
      <c r="M2141" s="21">
        <v>46084</v>
      </c>
      <c r="N2141" s="22" t="s">
        <v>70</v>
      </c>
      <c r="O2141" s="22" t="s">
        <v>50</v>
      </c>
      <c r="P2141" s="49">
        <v>66.5</v>
      </c>
      <c r="Q2141" s="49">
        <v>65.8</v>
      </c>
      <c r="R2141" s="46">
        <f t="shared" si="70"/>
        <v>0.70000000000000284</v>
      </c>
      <c r="T2141" s="21">
        <v>46062</v>
      </c>
      <c r="U2141" s="22" t="s">
        <v>53</v>
      </c>
      <c r="V2141" s="24">
        <v>4</v>
      </c>
      <c r="W2141" s="24">
        <v>3</v>
      </c>
      <c r="X2141" s="24">
        <v>4</v>
      </c>
      <c r="Y2141" s="24">
        <v>5</v>
      </c>
      <c r="Z2141" s="20">
        <f t="shared" si="71"/>
        <v>16</v>
      </c>
    </row>
    <row r="2142" spans="1:26" x14ac:dyDescent="0.2">
      <c r="A2142" s="21"/>
      <c r="B2142" s="20"/>
      <c r="C2142" s="22"/>
      <c r="D2142" s="22"/>
      <c r="E2142" s="24"/>
      <c r="F2142" s="22"/>
      <c r="H2142" s="21">
        <v>46010</v>
      </c>
      <c r="I2142" s="22" t="s">
        <v>70</v>
      </c>
      <c r="J2142" s="22" t="s">
        <v>58</v>
      </c>
      <c r="K2142" s="24">
        <v>8</v>
      </c>
      <c r="M2142" s="21">
        <v>46084</v>
      </c>
      <c r="N2142" s="22" t="s">
        <v>70</v>
      </c>
      <c r="O2142" s="22" t="s">
        <v>51</v>
      </c>
      <c r="P2142" s="49">
        <v>75.7</v>
      </c>
      <c r="Q2142" s="49">
        <v>75.5</v>
      </c>
      <c r="R2142" s="46">
        <f t="shared" si="70"/>
        <v>0.20000000000000284</v>
      </c>
      <c r="T2142" s="21">
        <v>46062</v>
      </c>
      <c r="U2142" s="22" t="s">
        <v>54</v>
      </c>
      <c r="V2142" s="24">
        <v>5</v>
      </c>
      <c r="W2142" s="24">
        <v>3</v>
      </c>
      <c r="X2142" s="24">
        <v>3</v>
      </c>
      <c r="Y2142" s="24">
        <v>2</v>
      </c>
      <c r="Z2142" s="20">
        <f t="shared" si="71"/>
        <v>13</v>
      </c>
    </row>
    <row r="2143" spans="1:26" x14ac:dyDescent="0.2">
      <c r="A2143" s="21"/>
      <c r="B2143" s="20"/>
      <c r="C2143" s="22"/>
      <c r="D2143" s="22"/>
      <c r="E2143" s="24"/>
      <c r="F2143" s="22"/>
      <c r="H2143" s="21">
        <v>46010</v>
      </c>
      <c r="I2143" s="22" t="s">
        <v>70</v>
      </c>
      <c r="J2143" s="22" t="s">
        <v>49</v>
      </c>
      <c r="K2143" s="24" t="s">
        <v>64</v>
      </c>
      <c r="M2143" s="21">
        <v>46084</v>
      </c>
      <c r="N2143" s="22" t="s">
        <v>70</v>
      </c>
      <c r="O2143" s="22" t="s">
        <v>52</v>
      </c>
      <c r="P2143" s="49">
        <v>71.2</v>
      </c>
      <c r="Q2143" s="49">
        <v>71.2</v>
      </c>
      <c r="R2143" s="46">
        <f t="shared" si="70"/>
        <v>0</v>
      </c>
      <c r="T2143" s="21">
        <v>46062</v>
      </c>
      <c r="U2143" s="22" t="s">
        <v>57</v>
      </c>
      <c r="V2143" s="24">
        <v>4</v>
      </c>
      <c r="W2143" s="24">
        <v>3</v>
      </c>
      <c r="X2143" s="24">
        <v>3</v>
      </c>
      <c r="Y2143" s="24">
        <v>4</v>
      </c>
      <c r="Z2143" s="20">
        <f t="shared" si="71"/>
        <v>14</v>
      </c>
    </row>
    <row r="2144" spans="1:26" x14ac:dyDescent="0.2">
      <c r="A2144" s="21"/>
      <c r="B2144" s="20"/>
      <c r="C2144" s="22"/>
      <c r="D2144" s="22"/>
      <c r="E2144" s="24"/>
      <c r="F2144" s="22"/>
      <c r="H2144" s="21">
        <v>46010</v>
      </c>
      <c r="I2144" s="22" t="s">
        <v>70</v>
      </c>
      <c r="J2144" s="22" t="s">
        <v>50</v>
      </c>
      <c r="K2144" s="24">
        <v>6</v>
      </c>
      <c r="M2144" s="21">
        <v>46084</v>
      </c>
      <c r="N2144" s="22" t="s">
        <v>70</v>
      </c>
      <c r="O2144" s="22" t="s">
        <v>53</v>
      </c>
      <c r="P2144" s="49">
        <v>68.2</v>
      </c>
      <c r="Q2144" s="49">
        <v>67.5</v>
      </c>
      <c r="R2144" s="46">
        <f t="shared" si="70"/>
        <v>0.70000000000000284</v>
      </c>
      <c r="T2144" s="21">
        <v>46062</v>
      </c>
      <c r="U2144" s="22" t="s">
        <v>58</v>
      </c>
      <c r="V2144" s="24">
        <v>3</v>
      </c>
      <c r="W2144" s="24">
        <v>4</v>
      </c>
      <c r="X2144" s="24">
        <v>3</v>
      </c>
      <c r="Y2144" s="24">
        <v>4</v>
      </c>
      <c r="Z2144" s="20">
        <f t="shared" si="71"/>
        <v>14</v>
      </c>
    </row>
    <row r="2145" spans="1:26" x14ac:dyDescent="0.2">
      <c r="A2145" s="21"/>
      <c r="B2145" s="20"/>
      <c r="C2145" s="22"/>
      <c r="D2145" s="22"/>
      <c r="E2145" s="24"/>
      <c r="F2145" s="22"/>
      <c r="H2145" s="21">
        <v>46010</v>
      </c>
      <c r="I2145" s="22" t="s">
        <v>70</v>
      </c>
      <c r="J2145" s="22" t="s">
        <v>51</v>
      </c>
      <c r="K2145" s="24">
        <v>7</v>
      </c>
      <c r="M2145" s="21">
        <v>46084</v>
      </c>
      <c r="N2145" s="22" t="s">
        <v>70</v>
      </c>
      <c r="O2145" s="22" t="s">
        <v>57</v>
      </c>
      <c r="P2145" s="49">
        <v>90.6</v>
      </c>
      <c r="Q2145" s="49">
        <v>90</v>
      </c>
      <c r="R2145" s="46">
        <f t="shared" si="70"/>
        <v>0.59999999999999432</v>
      </c>
      <c r="T2145" s="21">
        <v>46062</v>
      </c>
      <c r="U2145" s="22" t="s">
        <v>33</v>
      </c>
      <c r="V2145" s="24">
        <v>3.6153846153846199</v>
      </c>
      <c r="W2145" s="24">
        <v>3.3076923076923102</v>
      </c>
      <c r="X2145" s="24">
        <v>3.3076923076923102</v>
      </c>
      <c r="Y2145" s="24">
        <v>3.6153846153846199</v>
      </c>
      <c r="Z2145" s="20">
        <f t="shared" si="71"/>
        <v>13.846153846153861</v>
      </c>
    </row>
    <row r="2146" spans="1:26" x14ac:dyDescent="0.2">
      <c r="A2146" s="21"/>
      <c r="B2146" s="20"/>
      <c r="C2146" s="22"/>
      <c r="D2146" s="22"/>
      <c r="E2146" s="24"/>
      <c r="F2146" s="22"/>
      <c r="H2146" s="21">
        <v>46010</v>
      </c>
      <c r="I2146" s="22" t="s">
        <v>70</v>
      </c>
      <c r="J2146" s="22" t="s">
        <v>46</v>
      </c>
      <c r="K2146" s="24">
        <v>6</v>
      </c>
      <c r="M2146" s="21">
        <v>46084</v>
      </c>
      <c r="N2146" s="22" t="s">
        <v>70</v>
      </c>
      <c r="O2146" s="22" t="s">
        <v>58</v>
      </c>
      <c r="P2146" s="49">
        <v>76.2</v>
      </c>
      <c r="Q2146" s="49">
        <v>76.099999999999994</v>
      </c>
      <c r="R2146" s="46">
        <f t="shared" si="70"/>
        <v>0.10000000000000853</v>
      </c>
      <c r="T2146" s="21">
        <v>46063</v>
      </c>
      <c r="U2146" s="22" t="s">
        <v>41</v>
      </c>
      <c r="V2146" s="24">
        <v>1</v>
      </c>
      <c r="W2146" s="24">
        <v>1</v>
      </c>
      <c r="X2146" s="24">
        <v>1</v>
      </c>
      <c r="Y2146" s="24">
        <v>1</v>
      </c>
      <c r="Z2146" s="20">
        <f t="shared" si="71"/>
        <v>4</v>
      </c>
    </row>
    <row r="2147" spans="1:26" x14ac:dyDescent="0.2">
      <c r="A2147" s="21"/>
      <c r="B2147" s="20"/>
      <c r="C2147" s="22"/>
      <c r="D2147" s="22"/>
      <c r="E2147" s="24"/>
      <c r="F2147" s="22"/>
      <c r="H2147" s="21">
        <v>46010</v>
      </c>
      <c r="I2147" s="22" t="s">
        <v>70</v>
      </c>
      <c r="J2147" s="22" t="s">
        <v>48</v>
      </c>
      <c r="K2147" s="24" t="s">
        <v>61</v>
      </c>
      <c r="M2147" s="21">
        <v>46085</v>
      </c>
      <c r="N2147" s="22" t="s">
        <v>70</v>
      </c>
      <c r="O2147" s="22" t="s">
        <v>41</v>
      </c>
      <c r="P2147" s="49">
        <v>76.900000000000006</v>
      </c>
      <c r="Q2147" s="49">
        <v>76.099999999999994</v>
      </c>
      <c r="R2147" s="46">
        <f t="shared" si="70"/>
        <v>0.80000000000001137</v>
      </c>
      <c r="T2147" s="21">
        <v>46063</v>
      </c>
      <c r="U2147" s="22" t="s">
        <v>42</v>
      </c>
      <c r="V2147" s="24">
        <v>4</v>
      </c>
      <c r="W2147" s="24">
        <v>4</v>
      </c>
      <c r="X2147" s="24">
        <v>4</v>
      </c>
      <c r="Y2147" s="24">
        <v>5</v>
      </c>
      <c r="Z2147" s="20">
        <f t="shared" si="71"/>
        <v>17</v>
      </c>
    </row>
    <row r="2148" spans="1:26" x14ac:dyDescent="0.2">
      <c r="A2148" s="21"/>
      <c r="B2148" s="20"/>
      <c r="C2148" s="22"/>
      <c r="D2148" s="22"/>
      <c r="E2148" s="24"/>
      <c r="F2148" s="22"/>
      <c r="H2148" s="21">
        <v>46010</v>
      </c>
      <c r="I2148" s="22" t="s">
        <v>70</v>
      </c>
      <c r="J2148" s="22" t="s">
        <v>56</v>
      </c>
      <c r="K2148" s="24">
        <v>8</v>
      </c>
      <c r="M2148" s="21">
        <v>46085</v>
      </c>
      <c r="N2148" s="22" t="s">
        <v>70</v>
      </c>
      <c r="O2148" s="22" t="s">
        <v>42</v>
      </c>
      <c r="P2148" s="49">
        <v>79.400000000000006</v>
      </c>
      <c r="Q2148" s="49">
        <v>79</v>
      </c>
      <c r="R2148" s="46">
        <f t="shared" si="70"/>
        <v>0.40000000000000568</v>
      </c>
      <c r="T2148" s="21">
        <v>46063</v>
      </c>
      <c r="U2148" s="22" t="s">
        <v>44</v>
      </c>
      <c r="V2148" s="24">
        <v>5</v>
      </c>
      <c r="W2148" s="24">
        <v>3</v>
      </c>
      <c r="X2148" s="24">
        <v>3</v>
      </c>
      <c r="Y2148" s="24">
        <v>5</v>
      </c>
      <c r="Z2148" s="20">
        <f t="shared" si="71"/>
        <v>16</v>
      </c>
    </row>
    <row r="2149" spans="1:26" x14ac:dyDescent="0.2">
      <c r="A2149" s="21"/>
      <c r="B2149" s="20"/>
      <c r="C2149" s="22"/>
      <c r="D2149" s="22"/>
      <c r="E2149" s="24"/>
      <c r="F2149" s="22"/>
      <c r="H2149" s="21">
        <v>46013</v>
      </c>
      <c r="I2149" s="22" t="s">
        <v>70</v>
      </c>
      <c r="J2149" s="22" t="s">
        <v>52</v>
      </c>
      <c r="K2149" s="24">
        <v>6</v>
      </c>
      <c r="M2149" s="21">
        <v>46085</v>
      </c>
      <c r="N2149" s="22" t="s">
        <v>70</v>
      </c>
      <c r="O2149" s="22" t="s">
        <v>44</v>
      </c>
      <c r="P2149" s="49">
        <v>67.5</v>
      </c>
      <c r="Q2149" s="49">
        <v>67</v>
      </c>
      <c r="R2149" s="46">
        <f t="shared" si="70"/>
        <v>0.5</v>
      </c>
      <c r="T2149" s="21">
        <v>46063</v>
      </c>
      <c r="U2149" s="22" t="s">
        <v>45</v>
      </c>
      <c r="V2149" s="24">
        <v>4</v>
      </c>
      <c r="W2149" s="24">
        <v>4</v>
      </c>
      <c r="X2149" s="24">
        <v>4</v>
      </c>
      <c r="Y2149" s="24">
        <v>5</v>
      </c>
      <c r="Z2149" s="20">
        <f t="shared" si="71"/>
        <v>17</v>
      </c>
    </row>
    <row r="2150" spans="1:26" x14ac:dyDescent="0.2">
      <c r="A2150" s="21"/>
      <c r="B2150" s="20"/>
      <c r="C2150" s="22"/>
      <c r="D2150" s="22"/>
      <c r="E2150" s="24"/>
      <c r="F2150" s="22"/>
      <c r="H2150" s="21">
        <v>46013</v>
      </c>
      <c r="I2150" s="22" t="s">
        <v>70</v>
      </c>
      <c r="J2150" s="22" t="s">
        <v>53</v>
      </c>
      <c r="K2150" s="24">
        <v>6</v>
      </c>
      <c r="M2150" s="21">
        <v>46085</v>
      </c>
      <c r="N2150" s="22" t="s">
        <v>70</v>
      </c>
      <c r="O2150" s="22" t="s">
        <v>45</v>
      </c>
      <c r="P2150" s="49">
        <v>68.5</v>
      </c>
      <c r="Q2150" s="49">
        <v>68</v>
      </c>
      <c r="R2150" s="46">
        <f t="shared" si="70"/>
        <v>0.5</v>
      </c>
      <c r="T2150" s="21">
        <v>46063</v>
      </c>
      <c r="U2150" s="22" t="s">
        <v>46</v>
      </c>
      <c r="V2150" s="24">
        <v>5</v>
      </c>
      <c r="W2150" s="24">
        <v>4</v>
      </c>
      <c r="X2150" s="24">
        <v>4</v>
      </c>
      <c r="Y2150" s="24">
        <v>3</v>
      </c>
      <c r="Z2150" s="20">
        <f t="shared" si="71"/>
        <v>16</v>
      </c>
    </row>
    <row r="2151" spans="1:26" x14ac:dyDescent="0.2">
      <c r="A2151" s="21"/>
      <c r="B2151" s="20"/>
      <c r="C2151" s="22"/>
      <c r="D2151" s="22"/>
      <c r="E2151" s="24"/>
      <c r="F2151" s="22"/>
      <c r="H2151" s="21">
        <v>46013</v>
      </c>
      <c r="I2151" s="22" t="s">
        <v>70</v>
      </c>
      <c r="J2151" s="22" t="s">
        <v>44</v>
      </c>
      <c r="K2151" s="24" t="s">
        <v>64</v>
      </c>
      <c r="M2151" s="21">
        <v>46085</v>
      </c>
      <c r="N2151" s="22" t="s">
        <v>70</v>
      </c>
      <c r="O2151" s="22" t="s">
        <v>46</v>
      </c>
      <c r="P2151" s="49">
        <v>81.3</v>
      </c>
      <c r="Q2151" s="49">
        <v>81.900000000000006</v>
      </c>
      <c r="R2151" s="46">
        <f t="shared" si="70"/>
        <v>-0.60000000000000853</v>
      </c>
      <c r="T2151" s="21">
        <v>46063</v>
      </c>
      <c r="U2151" s="22" t="s">
        <v>47</v>
      </c>
      <c r="V2151" s="24">
        <v>4</v>
      </c>
      <c r="W2151" s="24">
        <v>4</v>
      </c>
      <c r="X2151" s="24">
        <v>4</v>
      </c>
      <c r="Y2151" s="24">
        <v>5</v>
      </c>
      <c r="Z2151" s="20">
        <f t="shared" si="71"/>
        <v>17</v>
      </c>
    </row>
    <row r="2152" spans="1:26" x14ac:dyDescent="0.2">
      <c r="A2152" s="21"/>
      <c r="B2152" s="20"/>
      <c r="C2152" s="22"/>
      <c r="D2152" s="22"/>
      <c r="E2152" s="24"/>
      <c r="F2152" s="22"/>
      <c r="H2152" s="21">
        <v>46013</v>
      </c>
      <c r="I2152" s="22" t="s">
        <v>70</v>
      </c>
      <c r="J2152" s="22" t="s">
        <v>45</v>
      </c>
      <c r="K2152" s="24">
        <v>7</v>
      </c>
      <c r="M2152" s="21">
        <v>46085</v>
      </c>
      <c r="N2152" s="22" t="s">
        <v>70</v>
      </c>
      <c r="O2152" s="22" t="s">
        <v>47</v>
      </c>
      <c r="P2152" s="49">
        <v>71.7</v>
      </c>
      <c r="Q2152" s="49">
        <v>71.5</v>
      </c>
      <c r="R2152" s="46">
        <f t="shared" si="70"/>
        <v>0.20000000000000284</v>
      </c>
      <c r="T2152" s="21">
        <v>46063</v>
      </c>
      <c r="U2152" s="22" t="s">
        <v>49</v>
      </c>
      <c r="V2152" s="24">
        <v>4</v>
      </c>
      <c r="W2152" s="24">
        <v>3</v>
      </c>
      <c r="X2152" s="24">
        <v>3</v>
      </c>
      <c r="Y2152" s="24">
        <v>3</v>
      </c>
      <c r="Z2152" s="20">
        <f t="shared" si="71"/>
        <v>13</v>
      </c>
    </row>
    <row r="2153" spans="1:26" x14ac:dyDescent="0.2">
      <c r="A2153" s="21"/>
      <c r="B2153" s="20"/>
      <c r="C2153" s="22"/>
      <c r="D2153" s="22"/>
      <c r="E2153" s="24"/>
      <c r="F2153" s="22"/>
      <c r="H2153" s="21">
        <v>46013</v>
      </c>
      <c r="I2153" s="22" t="s">
        <v>70</v>
      </c>
      <c r="J2153" s="22" t="s">
        <v>57</v>
      </c>
      <c r="K2153" s="24">
        <v>7</v>
      </c>
      <c r="M2153" s="21">
        <v>46085</v>
      </c>
      <c r="N2153" s="22" t="s">
        <v>70</v>
      </c>
      <c r="O2153" s="22" t="s">
        <v>49</v>
      </c>
      <c r="P2153" s="49">
        <v>79.599999999999994</v>
      </c>
      <c r="Q2153" s="49">
        <v>79.599999999999994</v>
      </c>
      <c r="R2153" s="46">
        <f t="shared" si="70"/>
        <v>0</v>
      </c>
      <c r="T2153" s="21">
        <v>46063</v>
      </c>
      <c r="U2153" s="22" t="s">
        <v>50</v>
      </c>
      <c r="V2153" s="24">
        <v>3</v>
      </c>
      <c r="W2153" s="24">
        <v>3</v>
      </c>
      <c r="X2153" s="24">
        <v>4</v>
      </c>
      <c r="Y2153" s="24">
        <v>4</v>
      </c>
      <c r="Z2153" s="20">
        <f t="shared" si="71"/>
        <v>14</v>
      </c>
    </row>
    <row r="2154" spans="1:26" x14ac:dyDescent="0.2">
      <c r="A2154" s="21"/>
      <c r="B2154" s="20"/>
      <c r="C2154" s="22"/>
      <c r="D2154" s="22"/>
      <c r="E2154" s="24"/>
      <c r="F2154" s="22"/>
      <c r="H2154" s="21">
        <v>46013</v>
      </c>
      <c r="I2154" s="22" t="s">
        <v>70</v>
      </c>
      <c r="J2154" s="22" t="s">
        <v>42</v>
      </c>
      <c r="K2154" s="24">
        <v>2</v>
      </c>
      <c r="M2154" s="21">
        <v>46085</v>
      </c>
      <c r="N2154" s="22" t="s">
        <v>70</v>
      </c>
      <c r="O2154" s="22" t="s">
        <v>50</v>
      </c>
      <c r="P2154" s="49">
        <v>66.5</v>
      </c>
      <c r="Q2154" s="49">
        <v>65.900000000000006</v>
      </c>
      <c r="R2154" s="46">
        <f t="shared" si="70"/>
        <v>0.59999999999999432</v>
      </c>
      <c r="T2154" s="21">
        <v>46063</v>
      </c>
      <c r="U2154" s="22" t="s">
        <v>51</v>
      </c>
      <c r="V2154" s="24">
        <v>4</v>
      </c>
      <c r="W2154" s="24">
        <v>3</v>
      </c>
      <c r="X2154" s="24">
        <v>4</v>
      </c>
      <c r="Y2154" s="24">
        <v>4</v>
      </c>
      <c r="Z2154" s="20">
        <f t="shared" si="71"/>
        <v>15</v>
      </c>
    </row>
    <row r="2155" spans="1:26" x14ac:dyDescent="0.2">
      <c r="A2155" s="21"/>
      <c r="B2155" s="20"/>
      <c r="C2155" s="22"/>
      <c r="D2155" s="22"/>
      <c r="E2155" s="24"/>
      <c r="F2155" s="22"/>
      <c r="H2155" s="21">
        <v>46013</v>
      </c>
      <c r="I2155" s="22" t="s">
        <v>70</v>
      </c>
      <c r="J2155" s="22" t="s">
        <v>54</v>
      </c>
      <c r="K2155" s="24">
        <v>6</v>
      </c>
      <c r="M2155" s="21">
        <v>46085</v>
      </c>
      <c r="N2155" s="22" t="s">
        <v>70</v>
      </c>
      <c r="O2155" s="22" t="s">
        <v>51</v>
      </c>
      <c r="P2155" s="49">
        <v>75.599999999999994</v>
      </c>
      <c r="Q2155" s="49">
        <v>75</v>
      </c>
      <c r="R2155" s="46">
        <f t="shared" si="70"/>
        <v>0.59999999999999432</v>
      </c>
      <c r="T2155" s="21">
        <v>46063</v>
      </c>
      <c r="U2155" s="22" t="s">
        <v>52</v>
      </c>
      <c r="V2155" s="24">
        <v>4</v>
      </c>
      <c r="W2155" s="24">
        <v>4</v>
      </c>
      <c r="X2155" s="24">
        <v>4</v>
      </c>
      <c r="Y2155" s="24">
        <v>4</v>
      </c>
      <c r="Z2155" s="20">
        <f t="shared" si="71"/>
        <v>16</v>
      </c>
    </row>
    <row r="2156" spans="1:26" x14ac:dyDescent="0.2">
      <c r="A2156" s="21"/>
      <c r="B2156" s="20"/>
      <c r="C2156" s="22"/>
      <c r="D2156" s="22"/>
      <c r="E2156" s="24"/>
      <c r="F2156" s="22"/>
      <c r="H2156" s="21">
        <v>46013</v>
      </c>
      <c r="I2156" s="22" t="s">
        <v>70</v>
      </c>
      <c r="J2156" s="22" t="s">
        <v>47</v>
      </c>
      <c r="K2156" s="24" t="s">
        <v>64</v>
      </c>
      <c r="M2156" s="21">
        <v>46085</v>
      </c>
      <c r="N2156" s="22" t="s">
        <v>70</v>
      </c>
      <c r="O2156" s="22" t="s">
        <v>52</v>
      </c>
      <c r="P2156" s="49">
        <v>71.2</v>
      </c>
      <c r="Q2156" s="49">
        <v>71.2</v>
      </c>
      <c r="R2156" s="46">
        <f t="shared" si="70"/>
        <v>0</v>
      </c>
      <c r="T2156" s="21">
        <v>46063</v>
      </c>
      <c r="U2156" s="22" t="s">
        <v>53</v>
      </c>
      <c r="V2156" s="24">
        <v>4</v>
      </c>
      <c r="W2156" s="24">
        <v>3</v>
      </c>
      <c r="X2156" s="24">
        <v>4</v>
      </c>
      <c r="Y2156" s="24">
        <v>5</v>
      </c>
      <c r="Z2156" s="20">
        <f t="shared" si="71"/>
        <v>16</v>
      </c>
    </row>
    <row r="2157" spans="1:26" x14ac:dyDescent="0.2">
      <c r="A2157" s="21"/>
      <c r="B2157" s="20"/>
      <c r="C2157" s="22"/>
      <c r="D2157" s="22"/>
      <c r="E2157" s="24"/>
      <c r="F2157" s="22"/>
      <c r="H2157" s="21">
        <v>46013</v>
      </c>
      <c r="I2157" s="22" t="s">
        <v>70</v>
      </c>
      <c r="J2157" s="22" t="s">
        <v>41</v>
      </c>
      <c r="K2157" s="24">
        <v>3</v>
      </c>
      <c r="M2157" s="21">
        <v>46085</v>
      </c>
      <c r="N2157" s="22" t="s">
        <v>70</v>
      </c>
      <c r="O2157" s="22" t="s">
        <v>53</v>
      </c>
      <c r="P2157" s="49">
        <v>68.8</v>
      </c>
      <c r="Q2157" s="49">
        <v>68.099999999999994</v>
      </c>
      <c r="R2157" s="46">
        <f t="shared" si="70"/>
        <v>0.70000000000000284</v>
      </c>
      <c r="T2157" s="21">
        <v>46063</v>
      </c>
      <c r="U2157" s="22" t="s">
        <v>54</v>
      </c>
      <c r="V2157" s="24">
        <v>3</v>
      </c>
      <c r="W2157" s="24">
        <v>3</v>
      </c>
      <c r="X2157" s="24">
        <v>3</v>
      </c>
      <c r="Y2157" s="24">
        <v>2</v>
      </c>
      <c r="Z2157" s="20">
        <f t="shared" si="71"/>
        <v>11</v>
      </c>
    </row>
    <row r="2158" spans="1:26" x14ac:dyDescent="0.2">
      <c r="A2158" s="21"/>
      <c r="B2158" s="20"/>
      <c r="C2158" s="22"/>
      <c r="D2158" s="22"/>
      <c r="E2158" s="24"/>
      <c r="F2158" s="22"/>
      <c r="H2158" s="21">
        <v>46013</v>
      </c>
      <c r="I2158" s="22" t="s">
        <v>70</v>
      </c>
      <c r="J2158" s="22" t="s">
        <v>58</v>
      </c>
      <c r="K2158" s="24">
        <v>7</v>
      </c>
      <c r="M2158" s="21">
        <v>46085</v>
      </c>
      <c r="N2158" s="22" t="s">
        <v>70</v>
      </c>
      <c r="O2158" s="22" t="s">
        <v>57</v>
      </c>
      <c r="P2158" s="49">
        <v>90.1</v>
      </c>
      <c r="Q2158" s="49">
        <v>90.1</v>
      </c>
      <c r="R2158" s="46">
        <f t="shared" si="70"/>
        <v>0</v>
      </c>
      <c r="T2158" s="21">
        <v>46063</v>
      </c>
      <c r="U2158" s="22" t="s">
        <v>57</v>
      </c>
      <c r="V2158" s="24">
        <v>4</v>
      </c>
      <c r="W2158" s="24">
        <v>3</v>
      </c>
      <c r="X2158" s="24">
        <v>4</v>
      </c>
      <c r="Y2158" s="24">
        <v>4</v>
      </c>
      <c r="Z2158" s="20">
        <f t="shared" si="71"/>
        <v>15</v>
      </c>
    </row>
    <row r="2159" spans="1:26" x14ac:dyDescent="0.2">
      <c r="A2159" s="21"/>
      <c r="B2159" s="20"/>
      <c r="C2159" s="22"/>
      <c r="D2159" s="22"/>
      <c r="E2159" s="24"/>
      <c r="F2159" s="22"/>
      <c r="H2159" s="21">
        <v>46013</v>
      </c>
      <c r="I2159" s="22" t="s">
        <v>70</v>
      </c>
      <c r="J2159" s="22" t="s">
        <v>49</v>
      </c>
      <c r="K2159" s="24" t="s">
        <v>64</v>
      </c>
      <c r="M2159" s="21">
        <v>46086</v>
      </c>
      <c r="N2159" s="22" t="s">
        <v>70</v>
      </c>
      <c r="O2159" s="22" t="s">
        <v>41</v>
      </c>
      <c r="P2159" s="49">
        <v>76.900000000000006</v>
      </c>
      <c r="Q2159" s="49">
        <v>76</v>
      </c>
      <c r="R2159" s="46">
        <f t="shared" si="70"/>
        <v>0.90000000000000568</v>
      </c>
      <c r="T2159" s="21">
        <v>46063</v>
      </c>
      <c r="U2159" s="22" t="s">
        <v>58</v>
      </c>
      <c r="V2159" s="24">
        <v>4</v>
      </c>
      <c r="W2159" s="24">
        <v>4</v>
      </c>
      <c r="X2159" s="24">
        <v>4</v>
      </c>
      <c r="Y2159" s="24">
        <v>4</v>
      </c>
      <c r="Z2159" s="20">
        <f t="shared" si="71"/>
        <v>16</v>
      </c>
    </row>
    <row r="2160" spans="1:26" x14ac:dyDescent="0.2">
      <c r="A2160" s="21"/>
      <c r="B2160" s="20"/>
      <c r="C2160" s="22"/>
      <c r="D2160" s="22"/>
      <c r="E2160" s="24"/>
      <c r="F2160" s="22"/>
      <c r="H2160" s="21">
        <v>46013</v>
      </c>
      <c r="I2160" s="22" t="s">
        <v>70</v>
      </c>
      <c r="J2160" s="22" t="s">
        <v>50</v>
      </c>
      <c r="K2160" s="24">
        <v>6</v>
      </c>
      <c r="M2160" s="21">
        <v>46086</v>
      </c>
      <c r="N2160" s="22" t="s">
        <v>70</v>
      </c>
      <c r="O2160" s="22" t="s">
        <v>42</v>
      </c>
      <c r="P2160" s="49">
        <v>79</v>
      </c>
      <c r="Q2160" s="49">
        <v>79</v>
      </c>
      <c r="R2160" s="46">
        <f t="shared" si="70"/>
        <v>0</v>
      </c>
      <c r="T2160" s="21">
        <v>46063</v>
      </c>
      <c r="U2160" s="22" t="s">
        <v>33</v>
      </c>
      <c r="V2160" s="24">
        <v>3.78571428571429</v>
      </c>
      <c r="W2160" s="24">
        <v>3.28571428571429</v>
      </c>
      <c r="X2160" s="24">
        <v>3.5714285714285698</v>
      </c>
      <c r="Y2160" s="24">
        <v>3.8571428571428599</v>
      </c>
      <c r="Z2160" s="20">
        <f t="shared" si="71"/>
        <v>14.500000000000009</v>
      </c>
    </row>
    <row r="2161" spans="1:26" x14ac:dyDescent="0.2">
      <c r="A2161" s="21"/>
      <c r="B2161" s="20"/>
      <c r="C2161" s="22"/>
      <c r="D2161" s="22"/>
      <c r="E2161" s="24"/>
      <c r="F2161" s="22"/>
      <c r="H2161" s="21">
        <v>46013</v>
      </c>
      <c r="I2161" s="22" t="s">
        <v>70</v>
      </c>
      <c r="J2161" s="22" t="s">
        <v>51</v>
      </c>
      <c r="K2161" s="24">
        <v>7</v>
      </c>
      <c r="M2161" s="21">
        <v>46086</v>
      </c>
      <c r="N2161" s="22" t="s">
        <v>70</v>
      </c>
      <c r="O2161" s="22" t="s">
        <v>44</v>
      </c>
      <c r="P2161" s="49">
        <v>67</v>
      </c>
      <c r="Q2161" s="49">
        <v>67</v>
      </c>
      <c r="R2161" s="46">
        <f t="shared" si="70"/>
        <v>0</v>
      </c>
      <c r="T2161" s="21">
        <v>46064</v>
      </c>
      <c r="U2161" s="22" t="s">
        <v>41</v>
      </c>
      <c r="V2161" s="24">
        <v>1</v>
      </c>
      <c r="W2161" s="24">
        <v>1</v>
      </c>
      <c r="X2161" s="24">
        <v>1</v>
      </c>
      <c r="Y2161" s="24">
        <v>1</v>
      </c>
      <c r="Z2161" s="20">
        <f t="shared" si="71"/>
        <v>4</v>
      </c>
    </row>
    <row r="2162" spans="1:26" x14ac:dyDescent="0.2">
      <c r="A2162" s="21"/>
      <c r="B2162" s="20"/>
      <c r="C2162" s="22"/>
      <c r="D2162" s="22"/>
      <c r="E2162" s="24"/>
      <c r="F2162" s="22"/>
      <c r="H2162" s="21">
        <v>46013</v>
      </c>
      <c r="I2162" s="22" t="s">
        <v>70</v>
      </c>
      <c r="J2162" s="22" t="s">
        <v>46</v>
      </c>
      <c r="K2162" s="24">
        <v>7</v>
      </c>
      <c r="M2162" s="21">
        <v>46086</v>
      </c>
      <c r="N2162" s="22" t="s">
        <v>70</v>
      </c>
      <c r="O2162" s="22" t="s">
        <v>45</v>
      </c>
      <c r="P2162" s="49">
        <v>69</v>
      </c>
      <c r="Q2162" s="49">
        <v>68.5</v>
      </c>
      <c r="R2162" s="46">
        <f t="shared" si="70"/>
        <v>0.5</v>
      </c>
      <c r="T2162" s="21">
        <v>46064</v>
      </c>
      <c r="U2162" s="22" t="s">
        <v>42</v>
      </c>
      <c r="V2162" s="24">
        <v>4</v>
      </c>
      <c r="W2162" s="24">
        <v>4</v>
      </c>
      <c r="X2162" s="24">
        <v>4</v>
      </c>
      <c r="Y2162" s="24">
        <v>5</v>
      </c>
      <c r="Z2162" s="20">
        <f t="shared" si="71"/>
        <v>17</v>
      </c>
    </row>
    <row r="2163" spans="1:26" x14ac:dyDescent="0.2">
      <c r="A2163" s="21"/>
      <c r="B2163" s="20"/>
      <c r="C2163" s="22"/>
      <c r="D2163" s="22"/>
      <c r="E2163" s="24"/>
      <c r="F2163" s="22"/>
      <c r="H2163" s="21">
        <v>46013</v>
      </c>
      <c r="I2163" s="22" t="s">
        <v>70</v>
      </c>
      <c r="J2163" s="22" t="s">
        <v>48</v>
      </c>
      <c r="K2163" s="24" t="s">
        <v>61</v>
      </c>
      <c r="M2163" s="21">
        <v>46086</v>
      </c>
      <c r="N2163" s="22" t="s">
        <v>70</v>
      </c>
      <c r="O2163" s="22" t="s">
        <v>46</v>
      </c>
      <c r="P2163" s="49">
        <v>81.900000000000006</v>
      </c>
      <c r="Q2163" s="49">
        <v>82</v>
      </c>
      <c r="R2163" s="46">
        <f t="shared" si="70"/>
        <v>-9.9999999999994316E-2</v>
      </c>
      <c r="T2163" s="21">
        <v>46064</v>
      </c>
      <c r="U2163" s="22" t="s">
        <v>44</v>
      </c>
      <c r="V2163" s="24">
        <v>5</v>
      </c>
      <c r="W2163" s="24">
        <v>4</v>
      </c>
      <c r="X2163" s="24">
        <v>4</v>
      </c>
      <c r="Y2163" s="24">
        <v>5</v>
      </c>
      <c r="Z2163" s="20">
        <f t="shared" si="71"/>
        <v>18</v>
      </c>
    </row>
    <row r="2164" spans="1:26" x14ac:dyDescent="0.2">
      <c r="A2164" s="21"/>
      <c r="B2164" s="20"/>
      <c r="C2164" s="22"/>
      <c r="D2164" s="22"/>
      <c r="E2164" s="24"/>
      <c r="F2164" s="22"/>
      <c r="H2164" s="21">
        <v>46013</v>
      </c>
      <c r="I2164" s="22" t="s">
        <v>70</v>
      </c>
      <c r="J2164" s="22" t="s">
        <v>56</v>
      </c>
      <c r="K2164" s="24">
        <v>7</v>
      </c>
      <c r="M2164" s="21">
        <v>46086</v>
      </c>
      <c r="N2164" s="22" t="s">
        <v>70</v>
      </c>
      <c r="O2164" s="22" t="s">
        <v>47</v>
      </c>
      <c r="P2164" s="49">
        <v>71.599999999999994</v>
      </c>
      <c r="Q2164" s="49">
        <v>71.3</v>
      </c>
      <c r="R2164" s="46">
        <f t="shared" si="70"/>
        <v>0.29999999999999716</v>
      </c>
      <c r="T2164" s="21">
        <v>46064</v>
      </c>
      <c r="U2164" s="22" t="s">
        <v>45</v>
      </c>
      <c r="V2164" s="24">
        <v>4</v>
      </c>
      <c r="W2164" s="24">
        <v>4</v>
      </c>
      <c r="X2164" s="24">
        <v>4</v>
      </c>
      <c r="Y2164" s="24">
        <v>5</v>
      </c>
      <c r="Z2164" s="20">
        <f t="shared" si="71"/>
        <v>17</v>
      </c>
    </row>
    <row r="2165" spans="1:26" x14ac:dyDescent="0.2">
      <c r="A2165" s="21"/>
      <c r="B2165" s="20"/>
      <c r="C2165" s="22"/>
      <c r="D2165" s="22"/>
      <c r="E2165" s="24"/>
      <c r="F2165" s="22"/>
      <c r="H2165" s="21">
        <v>46014</v>
      </c>
      <c r="I2165" s="22" t="s">
        <v>70</v>
      </c>
      <c r="J2165" s="22" t="s">
        <v>52</v>
      </c>
      <c r="K2165" s="24">
        <v>7</v>
      </c>
      <c r="M2165" s="21">
        <v>46086</v>
      </c>
      <c r="N2165" s="22" t="s">
        <v>70</v>
      </c>
      <c r="O2165" s="22" t="s">
        <v>48</v>
      </c>
      <c r="P2165" s="49">
        <v>80.8</v>
      </c>
      <c r="Q2165" s="49">
        <v>79.7</v>
      </c>
      <c r="R2165" s="46">
        <f t="shared" si="70"/>
        <v>1.0999999999999943</v>
      </c>
      <c r="T2165" s="21">
        <v>46064</v>
      </c>
      <c r="U2165" s="22" t="s">
        <v>46</v>
      </c>
      <c r="V2165" s="24">
        <v>5</v>
      </c>
      <c r="W2165" s="24">
        <v>4</v>
      </c>
      <c r="X2165" s="24">
        <v>4</v>
      </c>
      <c r="Y2165" s="24">
        <v>3</v>
      </c>
      <c r="Z2165" s="20">
        <f t="shared" si="71"/>
        <v>16</v>
      </c>
    </row>
    <row r="2166" spans="1:26" x14ac:dyDescent="0.2">
      <c r="A2166" s="21"/>
      <c r="B2166" s="20"/>
      <c r="C2166" s="22"/>
      <c r="D2166" s="22"/>
      <c r="E2166" s="24"/>
      <c r="F2166" s="22"/>
      <c r="H2166" s="21">
        <v>46014</v>
      </c>
      <c r="I2166" s="22" t="s">
        <v>70</v>
      </c>
      <c r="J2166" s="22" t="s">
        <v>53</v>
      </c>
      <c r="K2166" s="24">
        <v>5</v>
      </c>
      <c r="M2166" s="21">
        <v>46086</v>
      </c>
      <c r="N2166" s="22" t="s">
        <v>70</v>
      </c>
      <c r="O2166" s="22" t="s">
        <v>49</v>
      </c>
      <c r="P2166" s="49">
        <v>79.2</v>
      </c>
      <c r="Q2166" s="49">
        <v>78.900000000000006</v>
      </c>
      <c r="R2166" s="46">
        <f t="shared" si="70"/>
        <v>0.29999999999999716</v>
      </c>
      <c r="T2166" s="21">
        <v>46064</v>
      </c>
      <c r="U2166" s="22" t="s">
        <v>47</v>
      </c>
      <c r="V2166" s="24">
        <v>5</v>
      </c>
      <c r="W2166" s="24">
        <v>4</v>
      </c>
      <c r="X2166" s="24">
        <v>4</v>
      </c>
      <c r="Y2166" s="24">
        <v>5</v>
      </c>
      <c r="Z2166" s="20">
        <f t="shared" si="71"/>
        <v>18</v>
      </c>
    </row>
    <row r="2167" spans="1:26" x14ac:dyDescent="0.2">
      <c r="A2167" s="21"/>
      <c r="B2167" s="20"/>
      <c r="C2167" s="22"/>
      <c r="D2167" s="22"/>
      <c r="E2167" s="24"/>
      <c r="F2167" s="22"/>
      <c r="H2167" s="21">
        <v>46014</v>
      </c>
      <c r="I2167" s="22" t="s">
        <v>70</v>
      </c>
      <c r="J2167" s="22" t="s">
        <v>44</v>
      </c>
      <c r="K2167" s="24" t="s">
        <v>64</v>
      </c>
      <c r="M2167" s="21">
        <v>46086</v>
      </c>
      <c r="N2167" s="22" t="s">
        <v>70</v>
      </c>
      <c r="O2167" s="22" t="s">
        <v>50</v>
      </c>
      <c r="P2167" s="49">
        <v>66.5</v>
      </c>
      <c r="Q2167" s="49">
        <v>65.900000000000006</v>
      </c>
      <c r="R2167" s="46">
        <f t="shared" si="70"/>
        <v>0.59999999999999432</v>
      </c>
      <c r="T2167" s="21">
        <v>46064</v>
      </c>
      <c r="U2167" s="22" t="s">
        <v>48</v>
      </c>
      <c r="V2167" s="24">
        <v>5</v>
      </c>
      <c r="W2167" s="24">
        <v>3</v>
      </c>
      <c r="X2167" s="24">
        <v>4</v>
      </c>
      <c r="Y2167" s="24">
        <v>5</v>
      </c>
      <c r="Z2167" s="20">
        <f t="shared" si="71"/>
        <v>17</v>
      </c>
    </row>
    <row r="2168" spans="1:26" x14ac:dyDescent="0.2">
      <c r="A2168" s="21"/>
      <c r="B2168" s="20"/>
      <c r="C2168" s="22"/>
      <c r="D2168" s="22"/>
      <c r="E2168" s="24"/>
      <c r="F2168" s="22"/>
      <c r="H2168" s="21">
        <v>46014</v>
      </c>
      <c r="I2168" s="22" t="s">
        <v>70</v>
      </c>
      <c r="J2168" s="22" t="s">
        <v>45</v>
      </c>
      <c r="K2168" s="24">
        <v>7</v>
      </c>
      <c r="M2168" s="21">
        <v>46086</v>
      </c>
      <c r="N2168" s="22" t="s">
        <v>70</v>
      </c>
      <c r="O2168" s="22" t="s">
        <v>51</v>
      </c>
      <c r="P2168" s="49">
        <v>74.599999999999994</v>
      </c>
      <c r="Q2168" s="49">
        <v>74</v>
      </c>
      <c r="R2168" s="46">
        <f t="shared" si="70"/>
        <v>0.59999999999999432</v>
      </c>
      <c r="T2168" s="21">
        <v>46064</v>
      </c>
      <c r="U2168" s="22" t="s">
        <v>49</v>
      </c>
      <c r="V2168" s="24">
        <v>4</v>
      </c>
      <c r="W2168" s="24">
        <v>4</v>
      </c>
      <c r="X2168" s="24">
        <v>4</v>
      </c>
      <c r="Y2168" s="24">
        <v>4</v>
      </c>
      <c r="Z2168" s="20">
        <f t="shared" si="71"/>
        <v>16</v>
      </c>
    </row>
    <row r="2169" spans="1:26" x14ac:dyDescent="0.2">
      <c r="A2169" s="21"/>
      <c r="B2169" s="20"/>
      <c r="C2169" s="22"/>
      <c r="D2169" s="22"/>
      <c r="E2169" s="24"/>
      <c r="F2169" s="22"/>
      <c r="H2169" s="21">
        <v>46014</v>
      </c>
      <c r="I2169" s="22" t="s">
        <v>70</v>
      </c>
      <c r="J2169" s="22" t="s">
        <v>57</v>
      </c>
      <c r="K2169" s="24">
        <v>8</v>
      </c>
      <c r="M2169" s="21">
        <v>46086</v>
      </c>
      <c r="N2169" s="22" t="s">
        <v>70</v>
      </c>
      <c r="O2169" s="22" t="s">
        <v>52</v>
      </c>
      <c r="P2169" s="49">
        <v>71.2</v>
      </c>
      <c r="Q2169" s="49">
        <v>71</v>
      </c>
      <c r="R2169" s="46">
        <f t="shared" si="70"/>
        <v>0.20000000000000284</v>
      </c>
      <c r="T2169" s="21">
        <v>46064</v>
      </c>
      <c r="U2169" s="22" t="s">
        <v>50</v>
      </c>
      <c r="V2169" s="24">
        <v>5</v>
      </c>
      <c r="W2169" s="24">
        <v>4</v>
      </c>
      <c r="X2169" s="24">
        <v>4</v>
      </c>
      <c r="Y2169" s="24">
        <v>4</v>
      </c>
      <c r="Z2169" s="20">
        <f t="shared" si="71"/>
        <v>17</v>
      </c>
    </row>
    <row r="2170" spans="1:26" x14ac:dyDescent="0.2">
      <c r="A2170" s="21"/>
      <c r="B2170" s="20"/>
      <c r="C2170" s="22"/>
      <c r="D2170" s="22"/>
      <c r="E2170" s="24"/>
      <c r="F2170" s="22"/>
      <c r="H2170" s="21">
        <v>46014</v>
      </c>
      <c r="I2170" s="22" t="s">
        <v>70</v>
      </c>
      <c r="J2170" s="22" t="s">
        <v>42</v>
      </c>
      <c r="K2170" s="24">
        <v>3</v>
      </c>
      <c r="M2170" s="21">
        <v>46086</v>
      </c>
      <c r="N2170" s="22" t="s">
        <v>70</v>
      </c>
      <c r="O2170" s="22" t="s">
        <v>53</v>
      </c>
      <c r="P2170" s="49">
        <v>67.7</v>
      </c>
      <c r="Q2170" s="49">
        <v>67.400000000000006</v>
      </c>
      <c r="R2170" s="46">
        <f t="shared" si="70"/>
        <v>0.29999999999999716</v>
      </c>
      <c r="T2170" s="21">
        <v>46064</v>
      </c>
      <c r="U2170" s="22" t="s">
        <v>51</v>
      </c>
      <c r="V2170" s="24">
        <v>5</v>
      </c>
      <c r="W2170" s="24">
        <v>4</v>
      </c>
      <c r="X2170" s="24">
        <v>4</v>
      </c>
      <c r="Y2170" s="24">
        <v>4</v>
      </c>
      <c r="Z2170" s="20">
        <f t="shared" si="71"/>
        <v>17</v>
      </c>
    </row>
    <row r="2171" spans="1:26" x14ac:dyDescent="0.2">
      <c r="A2171" s="21"/>
      <c r="B2171" s="20"/>
      <c r="C2171" s="22"/>
      <c r="D2171" s="22"/>
      <c r="E2171" s="24"/>
      <c r="F2171" s="22"/>
      <c r="H2171" s="21">
        <v>46014</v>
      </c>
      <c r="I2171" s="22" t="s">
        <v>70</v>
      </c>
      <c r="J2171" s="22" t="s">
        <v>54</v>
      </c>
      <c r="K2171" s="24">
        <v>8</v>
      </c>
      <c r="M2171" s="21">
        <v>46086</v>
      </c>
      <c r="N2171" s="22" t="s">
        <v>70</v>
      </c>
      <c r="O2171" s="22" t="s">
        <v>57</v>
      </c>
      <c r="P2171" s="49">
        <v>90.3</v>
      </c>
      <c r="Q2171" s="49">
        <v>90</v>
      </c>
      <c r="R2171" s="46">
        <f t="shared" si="70"/>
        <v>0.29999999999999716</v>
      </c>
      <c r="T2171" s="21">
        <v>46064</v>
      </c>
      <c r="U2171" s="22" t="s">
        <v>52</v>
      </c>
      <c r="V2171" s="24">
        <v>4</v>
      </c>
      <c r="W2171" s="24">
        <v>4</v>
      </c>
      <c r="X2171" s="24">
        <v>4</v>
      </c>
      <c r="Y2171" s="24">
        <v>4</v>
      </c>
      <c r="Z2171" s="20">
        <f t="shared" si="71"/>
        <v>16</v>
      </c>
    </row>
    <row r="2172" spans="1:26" x14ac:dyDescent="0.2">
      <c r="A2172" s="21"/>
      <c r="B2172" s="20"/>
      <c r="C2172" s="22"/>
      <c r="D2172" s="22"/>
      <c r="E2172" s="24"/>
      <c r="F2172" s="22"/>
      <c r="H2172" s="21">
        <v>46014</v>
      </c>
      <c r="I2172" s="22" t="s">
        <v>70</v>
      </c>
      <c r="J2172" s="22" t="s">
        <v>47</v>
      </c>
      <c r="K2172" s="24">
        <v>5</v>
      </c>
      <c r="M2172" s="21">
        <v>46090</v>
      </c>
      <c r="N2172" s="22" t="s">
        <v>70</v>
      </c>
      <c r="O2172" s="22" t="s">
        <v>41</v>
      </c>
      <c r="P2172" s="49">
        <v>77</v>
      </c>
      <c r="Q2172" s="49">
        <v>76.099999999999994</v>
      </c>
      <c r="R2172" s="46">
        <f t="shared" si="70"/>
        <v>0.90000000000000568</v>
      </c>
      <c r="T2172" s="21">
        <v>46064</v>
      </c>
      <c r="U2172" s="22" t="s">
        <v>53</v>
      </c>
      <c r="V2172" s="24">
        <v>4</v>
      </c>
      <c r="W2172" s="24">
        <v>4</v>
      </c>
      <c r="X2172" s="24">
        <v>4</v>
      </c>
      <c r="Y2172" s="24">
        <v>5</v>
      </c>
      <c r="Z2172" s="20">
        <f t="shared" si="71"/>
        <v>17</v>
      </c>
    </row>
    <row r="2173" spans="1:26" x14ac:dyDescent="0.2">
      <c r="A2173" s="21"/>
      <c r="B2173" s="20"/>
      <c r="C2173" s="22"/>
      <c r="D2173" s="22"/>
      <c r="E2173" s="24"/>
      <c r="F2173" s="22"/>
      <c r="H2173" s="21">
        <v>46014</v>
      </c>
      <c r="I2173" s="22" t="s">
        <v>70</v>
      </c>
      <c r="J2173" s="22" t="s">
        <v>41</v>
      </c>
      <c r="K2173" s="24">
        <v>3</v>
      </c>
      <c r="M2173" s="21">
        <v>46090</v>
      </c>
      <c r="N2173" s="22" t="s">
        <v>70</v>
      </c>
      <c r="O2173" s="22" t="s">
        <v>42</v>
      </c>
      <c r="P2173" s="49">
        <v>79.400000000000006</v>
      </c>
      <c r="Q2173" s="49">
        <v>79</v>
      </c>
      <c r="R2173" s="46">
        <f t="shared" si="70"/>
        <v>0.40000000000000568</v>
      </c>
      <c r="T2173" s="21">
        <v>46064</v>
      </c>
      <c r="U2173" s="22" t="s">
        <v>54</v>
      </c>
      <c r="V2173" s="24">
        <v>3</v>
      </c>
      <c r="W2173" s="24">
        <v>4</v>
      </c>
      <c r="X2173" s="24">
        <v>4</v>
      </c>
      <c r="Y2173" s="24">
        <v>4</v>
      </c>
      <c r="Z2173" s="20">
        <f t="shared" si="71"/>
        <v>15</v>
      </c>
    </row>
    <row r="2174" spans="1:26" x14ac:dyDescent="0.2">
      <c r="A2174" s="21"/>
      <c r="B2174" s="20"/>
      <c r="C2174" s="22"/>
      <c r="D2174" s="22"/>
      <c r="E2174" s="24"/>
      <c r="F2174" s="22"/>
      <c r="H2174" s="21">
        <v>46014</v>
      </c>
      <c r="I2174" s="22" t="s">
        <v>70</v>
      </c>
      <c r="J2174" s="22" t="s">
        <v>58</v>
      </c>
      <c r="K2174" s="24">
        <v>10</v>
      </c>
      <c r="M2174" s="21">
        <v>46090</v>
      </c>
      <c r="N2174" s="22" t="s">
        <v>70</v>
      </c>
      <c r="O2174" s="22" t="s">
        <v>44</v>
      </c>
      <c r="P2174" s="49">
        <v>67</v>
      </c>
      <c r="Q2174" s="49">
        <v>67.099999999999994</v>
      </c>
      <c r="R2174" s="46">
        <f t="shared" si="70"/>
        <v>-9.9999999999994316E-2</v>
      </c>
      <c r="T2174" s="21">
        <v>46064</v>
      </c>
      <c r="U2174" s="22" t="s">
        <v>57</v>
      </c>
      <c r="V2174" s="24">
        <v>4</v>
      </c>
      <c r="W2174" s="24">
        <v>3</v>
      </c>
      <c r="X2174" s="24">
        <v>4</v>
      </c>
      <c r="Y2174" s="24">
        <v>5</v>
      </c>
      <c r="Z2174" s="20">
        <f t="shared" si="71"/>
        <v>16</v>
      </c>
    </row>
    <row r="2175" spans="1:26" x14ac:dyDescent="0.2">
      <c r="A2175" s="21"/>
      <c r="B2175" s="20"/>
      <c r="C2175" s="22"/>
      <c r="D2175" s="22"/>
      <c r="E2175" s="24"/>
      <c r="F2175" s="22"/>
      <c r="H2175" s="21">
        <v>46014</v>
      </c>
      <c r="I2175" s="22" t="s">
        <v>70</v>
      </c>
      <c r="J2175" s="22" t="s">
        <v>49</v>
      </c>
      <c r="K2175" s="24" t="s">
        <v>64</v>
      </c>
      <c r="M2175" s="21">
        <v>46090</v>
      </c>
      <c r="N2175" s="22" t="s">
        <v>70</v>
      </c>
      <c r="O2175" s="22" t="s">
        <v>45</v>
      </c>
      <c r="P2175" s="49">
        <v>68.7</v>
      </c>
      <c r="Q2175" s="49">
        <v>68</v>
      </c>
      <c r="R2175" s="46">
        <f t="shared" si="70"/>
        <v>0.70000000000000284</v>
      </c>
      <c r="T2175" s="21">
        <v>46064</v>
      </c>
      <c r="U2175" s="22" t="s">
        <v>58</v>
      </c>
      <c r="V2175" s="24">
        <v>4</v>
      </c>
      <c r="W2175" s="24">
        <v>4</v>
      </c>
      <c r="X2175" s="24">
        <v>4</v>
      </c>
      <c r="Y2175" s="24">
        <v>4</v>
      </c>
      <c r="Z2175" s="20">
        <f t="shared" si="71"/>
        <v>16</v>
      </c>
    </row>
    <row r="2176" spans="1:26" x14ac:dyDescent="0.2">
      <c r="A2176" s="21"/>
      <c r="B2176" s="20"/>
      <c r="C2176" s="22"/>
      <c r="D2176" s="22"/>
      <c r="E2176" s="24"/>
      <c r="F2176" s="22"/>
      <c r="H2176" s="21">
        <v>46014</v>
      </c>
      <c r="I2176" s="22" t="s">
        <v>70</v>
      </c>
      <c r="J2176" s="22" t="s">
        <v>50</v>
      </c>
      <c r="K2176" s="24">
        <v>6</v>
      </c>
      <c r="M2176" s="21">
        <v>46090</v>
      </c>
      <c r="N2176" s="22" t="s">
        <v>70</v>
      </c>
      <c r="O2176" s="22" t="s">
        <v>46</v>
      </c>
      <c r="P2176" s="49">
        <v>80.8</v>
      </c>
      <c r="Q2176" s="49">
        <v>80.900000000000006</v>
      </c>
      <c r="R2176" s="46">
        <f t="shared" si="70"/>
        <v>-0.10000000000000853</v>
      </c>
      <c r="T2176" s="21">
        <v>46064</v>
      </c>
      <c r="U2176" s="22" t="s">
        <v>33</v>
      </c>
      <c r="V2176" s="24">
        <v>4.1333333333333302</v>
      </c>
      <c r="W2176" s="24">
        <v>3.6666666666666701</v>
      </c>
      <c r="X2176" s="24">
        <v>3.8</v>
      </c>
      <c r="Y2176" s="24">
        <v>4.2</v>
      </c>
      <c r="Z2176" s="20">
        <f t="shared" si="71"/>
        <v>15.8</v>
      </c>
    </row>
    <row r="2177" spans="1:26" x14ac:dyDescent="0.2">
      <c r="A2177" s="21"/>
      <c r="B2177" s="20"/>
      <c r="C2177" s="22"/>
      <c r="D2177" s="22"/>
      <c r="E2177" s="24"/>
      <c r="F2177" s="22"/>
      <c r="H2177" s="21">
        <v>46014</v>
      </c>
      <c r="I2177" s="22" t="s">
        <v>70</v>
      </c>
      <c r="J2177" s="22" t="s">
        <v>51</v>
      </c>
      <c r="K2177" s="24">
        <v>8</v>
      </c>
      <c r="M2177" s="21">
        <v>46090</v>
      </c>
      <c r="N2177" s="22" t="s">
        <v>70</v>
      </c>
      <c r="O2177" s="22" t="s">
        <v>47</v>
      </c>
      <c r="P2177" s="49">
        <v>71.5</v>
      </c>
      <c r="Q2177" s="49">
        <v>71</v>
      </c>
      <c r="R2177" s="46">
        <f t="shared" si="70"/>
        <v>0.5</v>
      </c>
      <c r="T2177" s="21">
        <v>46065</v>
      </c>
      <c r="U2177" s="22" t="s">
        <v>41</v>
      </c>
      <c r="V2177" s="24">
        <v>1</v>
      </c>
      <c r="W2177" s="24">
        <v>1</v>
      </c>
      <c r="X2177" s="24">
        <v>1</v>
      </c>
      <c r="Y2177" s="24">
        <v>1</v>
      </c>
      <c r="Z2177" s="20">
        <f t="shared" si="71"/>
        <v>4</v>
      </c>
    </row>
    <row r="2178" spans="1:26" x14ac:dyDescent="0.2">
      <c r="A2178" s="21"/>
      <c r="B2178" s="20"/>
      <c r="C2178" s="22"/>
      <c r="D2178" s="22"/>
      <c r="E2178" s="24"/>
      <c r="F2178" s="22"/>
      <c r="H2178" s="21">
        <v>46014</v>
      </c>
      <c r="I2178" s="22" t="s">
        <v>70</v>
      </c>
      <c r="J2178" s="22" t="s">
        <v>46</v>
      </c>
      <c r="K2178" s="24">
        <v>6</v>
      </c>
      <c r="M2178" s="21">
        <v>46090</v>
      </c>
      <c r="N2178" s="22" t="s">
        <v>70</v>
      </c>
      <c r="O2178" s="22" t="s">
        <v>48</v>
      </c>
      <c r="P2178" s="49">
        <v>81.900000000000006</v>
      </c>
      <c r="Q2178" s="49">
        <v>81.900000000000006</v>
      </c>
      <c r="R2178" s="46">
        <f t="shared" si="70"/>
        <v>0</v>
      </c>
      <c r="T2178" s="21">
        <v>46065</v>
      </c>
      <c r="U2178" s="22" t="s">
        <v>42</v>
      </c>
      <c r="V2178" s="24">
        <v>3</v>
      </c>
      <c r="W2178" s="24">
        <v>4</v>
      </c>
      <c r="X2178" s="24">
        <v>4</v>
      </c>
      <c r="Y2178" s="24">
        <v>5</v>
      </c>
      <c r="Z2178" s="20">
        <f t="shared" si="71"/>
        <v>16</v>
      </c>
    </row>
    <row r="2179" spans="1:26" x14ac:dyDescent="0.2">
      <c r="A2179" s="21"/>
      <c r="B2179" s="20"/>
      <c r="C2179" s="22"/>
      <c r="D2179" s="22"/>
      <c r="E2179" s="24"/>
      <c r="F2179" s="22"/>
      <c r="H2179" s="21">
        <v>46014</v>
      </c>
      <c r="I2179" s="22" t="s">
        <v>70</v>
      </c>
      <c r="J2179" s="22" t="s">
        <v>48</v>
      </c>
      <c r="K2179" s="24" t="s">
        <v>61</v>
      </c>
      <c r="M2179" s="21">
        <v>46090</v>
      </c>
      <c r="N2179" s="22" t="s">
        <v>70</v>
      </c>
      <c r="O2179" s="22" t="s">
        <v>49</v>
      </c>
      <c r="P2179" s="49">
        <v>78.900000000000006</v>
      </c>
      <c r="Q2179" s="49">
        <v>78.7</v>
      </c>
      <c r="R2179" s="46">
        <f t="shared" ref="R2179:R2242" si="72">IFERROR(P2179-Q2179,"")</f>
        <v>0.20000000000000284</v>
      </c>
      <c r="T2179" s="21">
        <v>46065</v>
      </c>
      <c r="U2179" s="22" t="s">
        <v>44</v>
      </c>
      <c r="V2179" s="24">
        <v>4</v>
      </c>
      <c r="W2179" s="24">
        <v>3</v>
      </c>
      <c r="X2179" s="24">
        <v>4</v>
      </c>
      <c r="Y2179" s="24">
        <v>5</v>
      </c>
      <c r="Z2179" s="20">
        <f t="shared" ref="Z2179:Z2242" si="73">SUM(V2179:Y2179)</f>
        <v>16</v>
      </c>
    </row>
    <row r="2180" spans="1:26" x14ac:dyDescent="0.2">
      <c r="A2180" s="21"/>
      <c r="B2180" s="20"/>
      <c r="C2180" s="22"/>
      <c r="D2180" s="22"/>
      <c r="E2180" s="24"/>
      <c r="F2180" s="22"/>
      <c r="H2180" s="21">
        <v>46014</v>
      </c>
      <c r="I2180" s="22" t="s">
        <v>70</v>
      </c>
      <c r="J2180" s="22" t="s">
        <v>56</v>
      </c>
      <c r="K2180" s="24">
        <v>9</v>
      </c>
      <c r="M2180" s="21">
        <v>46090</v>
      </c>
      <c r="N2180" s="22" t="s">
        <v>70</v>
      </c>
      <c r="O2180" s="22" t="s">
        <v>50</v>
      </c>
      <c r="P2180" s="49">
        <v>67</v>
      </c>
      <c r="Q2180" s="49">
        <v>66.5</v>
      </c>
      <c r="R2180" s="46">
        <f t="shared" si="72"/>
        <v>0.5</v>
      </c>
      <c r="T2180" s="21">
        <v>46065</v>
      </c>
      <c r="U2180" s="22" t="s">
        <v>45</v>
      </c>
      <c r="V2180" s="24">
        <v>2</v>
      </c>
      <c r="W2180" s="24">
        <v>3</v>
      </c>
      <c r="X2180" s="24">
        <v>4</v>
      </c>
      <c r="Y2180" s="24">
        <v>5</v>
      </c>
      <c r="Z2180" s="20">
        <f t="shared" si="73"/>
        <v>14</v>
      </c>
    </row>
    <row r="2181" spans="1:26" x14ac:dyDescent="0.2">
      <c r="A2181" s="21"/>
      <c r="B2181" s="20"/>
      <c r="C2181" s="22"/>
      <c r="D2181" s="22"/>
      <c r="E2181" s="24"/>
      <c r="F2181" s="22"/>
      <c r="H2181" s="21">
        <v>46014</v>
      </c>
      <c r="I2181" s="22" t="s">
        <v>71</v>
      </c>
      <c r="J2181" s="22" t="s">
        <v>52</v>
      </c>
      <c r="K2181" s="24">
        <v>4</v>
      </c>
      <c r="M2181" s="21">
        <v>46090</v>
      </c>
      <c r="N2181" s="22" t="s">
        <v>70</v>
      </c>
      <c r="O2181" s="22" t="s">
        <v>51</v>
      </c>
      <c r="P2181" s="49">
        <v>75.3</v>
      </c>
      <c r="Q2181" s="49">
        <v>75.2</v>
      </c>
      <c r="R2181" s="46">
        <f t="shared" si="72"/>
        <v>9.9999999999994316E-2</v>
      </c>
      <c r="T2181" s="21">
        <v>46065</v>
      </c>
      <c r="U2181" s="22" t="s">
        <v>46</v>
      </c>
      <c r="V2181" s="24">
        <v>4</v>
      </c>
      <c r="W2181" s="24">
        <v>3</v>
      </c>
      <c r="X2181" s="24">
        <v>4</v>
      </c>
      <c r="Y2181" s="24">
        <v>3</v>
      </c>
      <c r="Z2181" s="20">
        <f t="shared" si="73"/>
        <v>14</v>
      </c>
    </row>
    <row r="2182" spans="1:26" x14ac:dyDescent="0.2">
      <c r="A2182" s="21"/>
      <c r="B2182" s="20"/>
      <c r="C2182" s="22"/>
      <c r="D2182" s="22"/>
      <c r="E2182" s="24"/>
      <c r="F2182" s="22"/>
      <c r="H2182" s="21">
        <v>46014</v>
      </c>
      <c r="I2182" s="22" t="s">
        <v>71</v>
      </c>
      <c r="J2182" s="22" t="s">
        <v>53</v>
      </c>
      <c r="K2182" s="24">
        <v>2</v>
      </c>
      <c r="M2182" s="21">
        <v>46090</v>
      </c>
      <c r="N2182" s="22" t="s">
        <v>70</v>
      </c>
      <c r="O2182" s="22" t="s">
        <v>52</v>
      </c>
      <c r="P2182" s="49">
        <v>71.2</v>
      </c>
      <c r="Q2182" s="49">
        <v>71.2</v>
      </c>
      <c r="R2182" s="46">
        <f t="shared" si="72"/>
        <v>0</v>
      </c>
      <c r="T2182" s="21">
        <v>46065</v>
      </c>
      <c r="U2182" s="22" t="s">
        <v>47</v>
      </c>
      <c r="V2182" s="24">
        <v>5</v>
      </c>
      <c r="W2182" s="24">
        <v>4</v>
      </c>
      <c r="X2182" s="24">
        <v>4</v>
      </c>
      <c r="Y2182" s="24">
        <v>5</v>
      </c>
      <c r="Z2182" s="20">
        <f t="shared" si="73"/>
        <v>18</v>
      </c>
    </row>
    <row r="2183" spans="1:26" x14ac:dyDescent="0.2">
      <c r="A2183" s="21"/>
      <c r="B2183" s="20"/>
      <c r="C2183" s="22"/>
      <c r="D2183" s="22"/>
      <c r="E2183" s="24"/>
      <c r="F2183" s="22"/>
      <c r="H2183" s="21">
        <v>46014</v>
      </c>
      <c r="I2183" s="22" t="s">
        <v>71</v>
      </c>
      <c r="J2183" s="22" t="s">
        <v>44</v>
      </c>
      <c r="K2183" s="24" t="s">
        <v>64</v>
      </c>
      <c r="M2183" s="21">
        <v>46090</v>
      </c>
      <c r="N2183" s="22" t="s">
        <v>70</v>
      </c>
      <c r="O2183" s="22" t="s">
        <v>53</v>
      </c>
      <c r="P2183" s="49">
        <v>68.900000000000006</v>
      </c>
      <c r="Q2183" s="49">
        <v>68</v>
      </c>
      <c r="R2183" s="46">
        <f t="shared" si="72"/>
        <v>0.90000000000000568</v>
      </c>
      <c r="T2183" s="21">
        <v>46065</v>
      </c>
      <c r="U2183" s="22" t="s">
        <v>48</v>
      </c>
      <c r="V2183" s="24">
        <v>5</v>
      </c>
      <c r="W2183" s="24">
        <v>3</v>
      </c>
      <c r="X2183" s="24">
        <v>4</v>
      </c>
      <c r="Y2183" s="24">
        <v>5</v>
      </c>
      <c r="Z2183" s="20">
        <f t="shared" si="73"/>
        <v>17</v>
      </c>
    </row>
    <row r="2184" spans="1:26" x14ac:dyDescent="0.2">
      <c r="A2184" s="21"/>
      <c r="B2184" s="20"/>
      <c r="C2184" s="22"/>
      <c r="D2184" s="22"/>
      <c r="E2184" s="24"/>
      <c r="F2184" s="22"/>
      <c r="H2184" s="21">
        <v>46014</v>
      </c>
      <c r="I2184" s="22" t="s">
        <v>71</v>
      </c>
      <c r="J2184" s="22" t="s">
        <v>45</v>
      </c>
      <c r="K2184" s="24">
        <v>6</v>
      </c>
      <c r="M2184" s="21">
        <v>46090</v>
      </c>
      <c r="N2184" s="22" t="s">
        <v>70</v>
      </c>
      <c r="O2184" s="22" t="s">
        <v>58</v>
      </c>
      <c r="P2184" s="49">
        <v>76.8</v>
      </c>
      <c r="Q2184" s="49">
        <v>76.8</v>
      </c>
      <c r="R2184" s="46">
        <f t="shared" si="72"/>
        <v>0</v>
      </c>
      <c r="T2184" s="21">
        <v>46065</v>
      </c>
      <c r="U2184" s="22" t="s">
        <v>49</v>
      </c>
      <c r="V2184" s="24">
        <v>2</v>
      </c>
      <c r="W2184" s="24">
        <v>3</v>
      </c>
      <c r="X2184" s="24">
        <v>3</v>
      </c>
      <c r="Y2184" s="24">
        <v>3</v>
      </c>
      <c r="Z2184" s="20">
        <f t="shared" si="73"/>
        <v>11</v>
      </c>
    </row>
    <row r="2185" spans="1:26" x14ac:dyDescent="0.2">
      <c r="A2185" s="21"/>
      <c r="B2185" s="20"/>
      <c r="C2185" s="22"/>
      <c r="D2185" s="22"/>
      <c r="E2185" s="24"/>
      <c r="F2185" s="22"/>
      <c r="H2185" s="21">
        <v>46014</v>
      </c>
      <c r="I2185" s="22" t="s">
        <v>71</v>
      </c>
      <c r="J2185" s="22" t="s">
        <v>57</v>
      </c>
      <c r="K2185" s="24">
        <v>5</v>
      </c>
      <c r="M2185" s="21">
        <v>46091</v>
      </c>
      <c r="N2185" s="22" t="s">
        <v>70</v>
      </c>
      <c r="O2185" s="22" t="s">
        <v>41</v>
      </c>
      <c r="P2185" s="49">
        <v>77</v>
      </c>
      <c r="Q2185" s="49">
        <v>76.099999999999994</v>
      </c>
      <c r="R2185" s="46">
        <f t="shared" si="72"/>
        <v>0.90000000000000568</v>
      </c>
      <c r="T2185" s="21">
        <v>46065</v>
      </c>
      <c r="U2185" s="22" t="s">
        <v>50</v>
      </c>
      <c r="V2185" s="24">
        <v>3</v>
      </c>
      <c r="W2185" s="24">
        <v>3</v>
      </c>
      <c r="X2185" s="24">
        <v>3</v>
      </c>
      <c r="Y2185" s="24">
        <v>4</v>
      </c>
      <c r="Z2185" s="20">
        <f t="shared" si="73"/>
        <v>13</v>
      </c>
    </row>
    <row r="2186" spans="1:26" x14ac:dyDescent="0.2">
      <c r="A2186" s="21"/>
      <c r="B2186" s="20"/>
      <c r="C2186" s="22"/>
      <c r="D2186" s="22"/>
      <c r="E2186" s="24"/>
      <c r="F2186" s="22"/>
      <c r="H2186" s="21">
        <v>46014</v>
      </c>
      <c r="I2186" s="22" t="s">
        <v>71</v>
      </c>
      <c r="J2186" s="22" t="s">
        <v>42</v>
      </c>
      <c r="K2186" s="24">
        <v>2</v>
      </c>
      <c r="M2186" s="21">
        <v>46091</v>
      </c>
      <c r="N2186" s="22" t="s">
        <v>70</v>
      </c>
      <c r="O2186" s="22" t="s">
        <v>42</v>
      </c>
      <c r="P2186" s="49">
        <v>79.5</v>
      </c>
      <c r="Q2186" s="49">
        <v>79</v>
      </c>
      <c r="R2186" s="46">
        <f t="shared" si="72"/>
        <v>0.5</v>
      </c>
      <c r="T2186" s="21">
        <v>46065</v>
      </c>
      <c r="U2186" s="22" t="s">
        <v>51</v>
      </c>
      <c r="V2186" s="24">
        <v>3</v>
      </c>
      <c r="W2186" s="24">
        <v>3</v>
      </c>
      <c r="X2186" s="24">
        <v>3</v>
      </c>
      <c r="Y2186" s="24">
        <v>4</v>
      </c>
      <c r="Z2186" s="20">
        <f t="shared" si="73"/>
        <v>13</v>
      </c>
    </row>
    <row r="2187" spans="1:26" x14ac:dyDescent="0.2">
      <c r="A2187" s="21"/>
      <c r="B2187" s="20"/>
      <c r="C2187" s="22"/>
      <c r="D2187" s="22"/>
      <c r="E2187" s="24"/>
      <c r="F2187" s="22"/>
      <c r="H2187" s="21">
        <v>46014</v>
      </c>
      <c r="I2187" s="22" t="s">
        <v>71</v>
      </c>
      <c r="J2187" s="22" t="s">
        <v>47</v>
      </c>
      <c r="K2187" s="24">
        <v>4</v>
      </c>
      <c r="M2187" s="21">
        <v>46091</v>
      </c>
      <c r="N2187" s="22" t="s">
        <v>70</v>
      </c>
      <c r="O2187" s="22" t="s">
        <v>45</v>
      </c>
      <c r="P2187" s="49">
        <v>69</v>
      </c>
      <c r="Q2187" s="49">
        <v>68.599999999999994</v>
      </c>
      <c r="R2187" s="46">
        <f t="shared" si="72"/>
        <v>0.40000000000000568</v>
      </c>
      <c r="T2187" s="21">
        <v>46065</v>
      </c>
      <c r="U2187" s="22" t="s">
        <v>52</v>
      </c>
      <c r="V2187" s="24">
        <v>4</v>
      </c>
      <c r="W2187" s="24">
        <v>4</v>
      </c>
      <c r="X2187" s="24">
        <v>4</v>
      </c>
      <c r="Y2187" s="24">
        <v>4</v>
      </c>
      <c r="Z2187" s="20">
        <f t="shared" si="73"/>
        <v>16</v>
      </c>
    </row>
    <row r="2188" spans="1:26" x14ac:dyDescent="0.2">
      <c r="A2188" s="21"/>
      <c r="B2188" s="20"/>
      <c r="C2188" s="22"/>
      <c r="D2188" s="22"/>
      <c r="E2188" s="24"/>
      <c r="F2188" s="22"/>
      <c r="H2188" s="21">
        <v>46014</v>
      </c>
      <c r="I2188" s="22" t="s">
        <v>71</v>
      </c>
      <c r="J2188" s="22" t="s">
        <v>41</v>
      </c>
      <c r="K2188" s="24">
        <v>2</v>
      </c>
      <c r="M2188" s="21">
        <v>46091</v>
      </c>
      <c r="N2188" s="22" t="s">
        <v>70</v>
      </c>
      <c r="O2188" s="22" t="s">
        <v>46</v>
      </c>
      <c r="P2188" s="49">
        <v>81.5</v>
      </c>
      <c r="Q2188" s="49">
        <v>82</v>
      </c>
      <c r="R2188" s="46">
        <f t="shared" si="72"/>
        <v>-0.5</v>
      </c>
      <c r="T2188" s="21">
        <v>46065</v>
      </c>
      <c r="U2188" s="22" t="s">
        <v>53</v>
      </c>
      <c r="V2188" s="24">
        <v>3</v>
      </c>
      <c r="W2188" s="24">
        <v>3</v>
      </c>
      <c r="X2188" s="24">
        <v>4</v>
      </c>
      <c r="Y2188" s="24">
        <v>5</v>
      </c>
      <c r="Z2188" s="20">
        <f t="shared" si="73"/>
        <v>15</v>
      </c>
    </row>
    <row r="2189" spans="1:26" x14ac:dyDescent="0.2">
      <c r="A2189" s="21"/>
      <c r="B2189" s="20"/>
      <c r="C2189" s="22"/>
      <c r="D2189" s="22"/>
      <c r="E2189" s="24"/>
      <c r="F2189" s="22"/>
      <c r="H2189" s="21">
        <v>46014</v>
      </c>
      <c r="I2189" s="22" t="s">
        <v>71</v>
      </c>
      <c r="J2189" s="22" t="s">
        <v>58</v>
      </c>
      <c r="K2189" s="24">
        <v>4</v>
      </c>
      <c r="M2189" s="21">
        <v>46091</v>
      </c>
      <c r="N2189" s="22" t="s">
        <v>70</v>
      </c>
      <c r="O2189" s="22" t="s">
        <v>47</v>
      </c>
      <c r="P2189" s="49">
        <v>71.599999999999994</v>
      </c>
      <c r="Q2189" s="49">
        <v>71.5</v>
      </c>
      <c r="R2189" s="46">
        <f t="shared" si="72"/>
        <v>9.9999999999994316E-2</v>
      </c>
      <c r="T2189" s="21">
        <v>46065</v>
      </c>
      <c r="U2189" s="22" t="s">
        <v>33</v>
      </c>
      <c r="V2189" s="24">
        <v>3.25</v>
      </c>
      <c r="W2189" s="24">
        <v>3.0833333333333299</v>
      </c>
      <c r="X2189" s="24">
        <v>3.5</v>
      </c>
      <c r="Y2189" s="24">
        <v>4.0833333333333304</v>
      </c>
      <c r="Z2189" s="20">
        <f t="shared" si="73"/>
        <v>13.916666666666661</v>
      </c>
    </row>
    <row r="2190" spans="1:26" x14ac:dyDescent="0.2">
      <c r="A2190" s="21"/>
      <c r="B2190" s="20"/>
      <c r="C2190" s="22"/>
      <c r="D2190" s="22"/>
      <c r="E2190" s="24"/>
      <c r="F2190" s="22"/>
      <c r="H2190" s="21">
        <v>46014</v>
      </c>
      <c r="I2190" s="22" t="s">
        <v>71</v>
      </c>
      <c r="J2190" s="22" t="s">
        <v>49</v>
      </c>
      <c r="K2190" s="24" t="s">
        <v>64</v>
      </c>
      <c r="M2190" s="21">
        <v>46091</v>
      </c>
      <c r="N2190" s="22" t="s">
        <v>70</v>
      </c>
      <c r="O2190" s="22" t="s">
        <v>48</v>
      </c>
      <c r="P2190" s="49">
        <v>82</v>
      </c>
      <c r="Q2190" s="49">
        <v>81.5</v>
      </c>
      <c r="R2190" s="46">
        <f t="shared" si="72"/>
        <v>0.5</v>
      </c>
      <c r="T2190" s="21">
        <v>46066</v>
      </c>
      <c r="U2190" s="22" t="s">
        <v>41</v>
      </c>
      <c r="V2190" s="24">
        <v>1</v>
      </c>
      <c r="W2190" s="24">
        <v>1</v>
      </c>
      <c r="X2190" s="24">
        <v>1</v>
      </c>
      <c r="Y2190" s="24">
        <v>1</v>
      </c>
      <c r="Z2190" s="20">
        <f t="shared" si="73"/>
        <v>4</v>
      </c>
    </row>
    <row r="2191" spans="1:26" x14ac:dyDescent="0.2">
      <c r="A2191" s="21"/>
      <c r="B2191" s="20"/>
      <c r="C2191" s="22"/>
      <c r="D2191" s="22"/>
      <c r="E2191" s="24"/>
      <c r="F2191" s="22"/>
      <c r="H2191" s="21">
        <v>46014</v>
      </c>
      <c r="I2191" s="22" t="s">
        <v>71</v>
      </c>
      <c r="J2191" s="22" t="s">
        <v>50</v>
      </c>
      <c r="K2191" s="24">
        <v>3</v>
      </c>
      <c r="M2191" s="21">
        <v>46091</v>
      </c>
      <c r="N2191" s="22" t="s">
        <v>70</v>
      </c>
      <c r="O2191" s="22" t="s">
        <v>49</v>
      </c>
      <c r="P2191" s="49">
        <v>79.599999999999994</v>
      </c>
      <c r="Q2191" s="49">
        <v>79.5</v>
      </c>
      <c r="R2191" s="46">
        <f t="shared" si="72"/>
        <v>9.9999999999994316E-2</v>
      </c>
      <c r="T2191" s="21">
        <v>46066</v>
      </c>
      <c r="U2191" s="22" t="s">
        <v>42</v>
      </c>
      <c r="V2191" s="24">
        <v>4</v>
      </c>
      <c r="W2191" s="24">
        <v>4</v>
      </c>
      <c r="X2191" s="24">
        <v>4</v>
      </c>
      <c r="Y2191" s="24">
        <v>5</v>
      </c>
      <c r="Z2191" s="20">
        <f t="shared" si="73"/>
        <v>17</v>
      </c>
    </row>
    <row r="2192" spans="1:26" x14ac:dyDescent="0.2">
      <c r="A2192" s="21"/>
      <c r="B2192" s="20"/>
      <c r="C2192" s="22"/>
      <c r="D2192" s="22"/>
      <c r="E2192" s="24"/>
      <c r="F2192" s="22"/>
      <c r="H2192" s="21">
        <v>46014</v>
      </c>
      <c r="I2192" s="22" t="s">
        <v>71</v>
      </c>
      <c r="J2192" s="22" t="s">
        <v>51</v>
      </c>
      <c r="K2192" s="24">
        <v>6</v>
      </c>
      <c r="M2192" s="21">
        <v>46091</v>
      </c>
      <c r="N2192" s="22" t="s">
        <v>70</v>
      </c>
      <c r="O2192" s="22" t="s">
        <v>50</v>
      </c>
      <c r="P2192" s="49">
        <v>66.3</v>
      </c>
      <c r="Q2192" s="49">
        <v>66</v>
      </c>
      <c r="R2192" s="46">
        <f t="shared" si="72"/>
        <v>0.29999999999999716</v>
      </c>
      <c r="T2192" s="21">
        <v>46066</v>
      </c>
      <c r="U2192" s="22" t="s">
        <v>44</v>
      </c>
      <c r="V2192" s="24">
        <v>5</v>
      </c>
      <c r="W2192" s="24">
        <v>3</v>
      </c>
      <c r="X2192" s="24">
        <v>3</v>
      </c>
      <c r="Y2192" s="24">
        <v>5</v>
      </c>
      <c r="Z2192" s="20">
        <f t="shared" si="73"/>
        <v>16</v>
      </c>
    </row>
    <row r="2193" spans="1:26" x14ac:dyDescent="0.2">
      <c r="A2193" s="21"/>
      <c r="B2193" s="20"/>
      <c r="C2193" s="22"/>
      <c r="D2193" s="22"/>
      <c r="E2193" s="24"/>
      <c r="F2193" s="22"/>
      <c r="H2193" s="21">
        <v>46014</v>
      </c>
      <c r="I2193" s="22" t="s">
        <v>71</v>
      </c>
      <c r="J2193" s="22" t="s">
        <v>46</v>
      </c>
      <c r="K2193" s="24">
        <v>4</v>
      </c>
      <c r="M2193" s="21">
        <v>46091</v>
      </c>
      <c r="N2193" s="22" t="s">
        <v>70</v>
      </c>
      <c r="O2193" s="22" t="s">
        <v>51</v>
      </c>
      <c r="P2193" s="49">
        <v>75.7</v>
      </c>
      <c r="Q2193" s="49">
        <v>75.599999999999994</v>
      </c>
      <c r="R2193" s="46">
        <f t="shared" si="72"/>
        <v>0.10000000000000853</v>
      </c>
      <c r="T2193" s="21">
        <v>46066</v>
      </c>
      <c r="U2193" s="22" t="s">
        <v>45</v>
      </c>
      <c r="V2193" s="24">
        <v>4</v>
      </c>
      <c r="W2193" s="24">
        <v>3</v>
      </c>
      <c r="X2193" s="24">
        <v>4</v>
      </c>
      <c r="Y2193" s="24">
        <v>5</v>
      </c>
      <c r="Z2193" s="20">
        <f t="shared" si="73"/>
        <v>16</v>
      </c>
    </row>
    <row r="2194" spans="1:26" x14ac:dyDescent="0.2">
      <c r="A2194" s="21"/>
      <c r="B2194" s="20"/>
      <c r="C2194" s="22"/>
      <c r="D2194" s="22"/>
      <c r="E2194" s="24"/>
      <c r="F2194" s="22"/>
      <c r="H2194" s="21">
        <v>46014</v>
      </c>
      <c r="I2194" s="22" t="s">
        <v>71</v>
      </c>
      <c r="J2194" s="22" t="s">
        <v>48</v>
      </c>
      <c r="K2194" s="24" t="s">
        <v>61</v>
      </c>
      <c r="M2194" s="21">
        <v>46091</v>
      </c>
      <c r="N2194" s="22" t="s">
        <v>70</v>
      </c>
      <c r="O2194" s="22" t="s">
        <v>52</v>
      </c>
      <c r="P2194" s="49">
        <v>71.599999999999994</v>
      </c>
      <c r="Q2194" s="49">
        <v>71</v>
      </c>
      <c r="R2194" s="46">
        <f t="shared" si="72"/>
        <v>0.59999999999999432</v>
      </c>
      <c r="T2194" s="21">
        <v>46066</v>
      </c>
      <c r="U2194" s="22" t="s">
        <v>46</v>
      </c>
      <c r="V2194" s="24">
        <v>4</v>
      </c>
      <c r="W2194" s="24">
        <v>4</v>
      </c>
      <c r="X2194" s="24">
        <v>4</v>
      </c>
      <c r="Y2194" s="24">
        <v>3</v>
      </c>
      <c r="Z2194" s="20">
        <f t="shared" si="73"/>
        <v>15</v>
      </c>
    </row>
    <row r="2195" spans="1:26" x14ac:dyDescent="0.2">
      <c r="A2195" s="21"/>
      <c r="B2195" s="20"/>
      <c r="C2195" s="22"/>
      <c r="D2195" s="22"/>
      <c r="E2195" s="24"/>
      <c r="F2195" s="22"/>
      <c r="H2195" s="21">
        <v>46014</v>
      </c>
      <c r="I2195" s="22" t="s">
        <v>71</v>
      </c>
      <c r="J2195" s="22" t="s">
        <v>56</v>
      </c>
      <c r="K2195" s="24">
        <v>6</v>
      </c>
      <c r="M2195" s="21">
        <v>46091</v>
      </c>
      <c r="N2195" s="22" t="s">
        <v>70</v>
      </c>
      <c r="O2195" s="22" t="s">
        <v>53</v>
      </c>
      <c r="P2195" s="49">
        <v>69</v>
      </c>
      <c r="Q2195" s="49">
        <v>68.3</v>
      </c>
      <c r="R2195" s="46">
        <f t="shared" si="72"/>
        <v>0.70000000000000284</v>
      </c>
      <c r="T2195" s="21">
        <v>46066</v>
      </c>
      <c r="U2195" s="22" t="s">
        <v>47</v>
      </c>
      <c r="V2195" s="24">
        <v>3</v>
      </c>
      <c r="W2195" s="24">
        <v>4</v>
      </c>
      <c r="X2195" s="24">
        <v>4</v>
      </c>
      <c r="Y2195" s="24">
        <v>5</v>
      </c>
      <c r="Z2195" s="20">
        <f t="shared" si="73"/>
        <v>16</v>
      </c>
    </row>
    <row r="2196" spans="1:26" x14ac:dyDescent="0.2">
      <c r="A2196" s="21"/>
      <c r="B2196" s="20"/>
      <c r="C2196" s="22"/>
      <c r="D2196" s="22"/>
      <c r="E2196" s="24"/>
      <c r="F2196" s="22"/>
      <c r="H2196" s="21">
        <v>46017</v>
      </c>
      <c r="I2196" s="22" t="s">
        <v>70</v>
      </c>
      <c r="J2196" s="22" t="s">
        <v>52</v>
      </c>
      <c r="K2196" s="24">
        <v>4</v>
      </c>
      <c r="M2196" s="21">
        <v>46091</v>
      </c>
      <c r="N2196" s="22" t="s">
        <v>70</v>
      </c>
      <c r="O2196" s="22" t="s">
        <v>56</v>
      </c>
      <c r="P2196" s="49">
        <v>75.099999999999994</v>
      </c>
      <c r="Q2196" s="49">
        <v>74.8</v>
      </c>
      <c r="R2196" s="46">
        <f t="shared" si="72"/>
        <v>0.29999999999999716</v>
      </c>
      <c r="T2196" s="21">
        <v>46066</v>
      </c>
      <c r="U2196" s="22" t="s">
        <v>48</v>
      </c>
      <c r="V2196" s="24">
        <v>5</v>
      </c>
      <c r="W2196" s="24">
        <v>3</v>
      </c>
      <c r="X2196" s="24">
        <v>4</v>
      </c>
      <c r="Y2196" s="24">
        <v>5</v>
      </c>
      <c r="Z2196" s="20">
        <f t="shared" si="73"/>
        <v>17</v>
      </c>
    </row>
    <row r="2197" spans="1:26" x14ac:dyDescent="0.2">
      <c r="A2197" s="21"/>
      <c r="B2197" s="20"/>
      <c r="C2197" s="22"/>
      <c r="D2197" s="22"/>
      <c r="E2197" s="24"/>
      <c r="F2197" s="22"/>
      <c r="H2197" s="21">
        <v>46017</v>
      </c>
      <c r="I2197" s="22" t="s">
        <v>70</v>
      </c>
      <c r="J2197" s="22" t="s">
        <v>53</v>
      </c>
      <c r="K2197" s="24">
        <v>3</v>
      </c>
      <c r="M2197" s="21">
        <v>46091</v>
      </c>
      <c r="N2197" s="22" t="s">
        <v>70</v>
      </c>
      <c r="O2197" s="22" t="s">
        <v>57</v>
      </c>
      <c r="P2197" s="49">
        <v>90.3</v>
      </c>
      <c r="Q2197" s="49">
        <v>90.6</v>
      </c>
      <c r="R2197" s="46">
        <f t="shared" si="72"/>
        <v>-0.29999999999999716</v>
      </c>
      <c r="T2197" s="21">
        <v>46066</v>
      </c>
      <c r="U2197" s="22" t="s">
        <v>49</v>
      </c>
      <c r="V2197" s="24">
        <v>4</v>
      </c>
      <c r="W2197" s="24">
        <v>3</v>
      </c>
      <c r="X2197" s="24">
        <v>3</v>
      </c>
      <c r="Y2197" s="24">
        <v>4</v>
      </c>
      <c r="Z2197" s="20">
        <f t="shared" si="73"/>
        <v>14</v>
      </c>
    </row>
    <row r="2198" spans="1:26" x14ac:dyDescent="0.2">
      <c r="A2198" s="21"/>
      <c r="B2198" s="20"/>
      <c r="C2198" s="22"/>
      <c r="D2198" s="22"/>
      <c r="E2198" s="24"/>
      <c r="F2198" s="22"/>
      <c r="H2198" s="21">
        <v>46017</v>
      </c>
      <c r="I2198" s="22" t="s">
        <v>70</v>
      </c>
      <c r="J2198" s="22" t="s">
        <v>44</v>
      </c>
      <c r="K2198" s="24">
        <v>5</v>
      </c>
      <c r="M2198" s="21">
        <v>46091</v>
      </c>
      <c r="N2198" s="22" t="s">
        <v>70</v>
      </c>
      <c r="O2198" s="22" t="s">
        <v>58</v>
      </c>
      <c r="P2198" s="49">
        <v>76.8</v>
      </c>
      <c r="Q2198" s="49">
        <v>76.7</v>
      </c>
      <c r="R2198" s="46">
        <f t="shared" si="72"/>
        <v>9.9999999999994316E-2</v>
      </c>
      <c r="T2198" s="21">
        <v>46066</v>
      </c>
      <c r="U2198" s="22" t="s">
        <v>50</v>
      </c>
      <c r="V2198" s="24">
        <v>3</v>
      </c>
      <c r="W2198" s="24">
        <v>3</v>
      </c>
      <c r="X2198" s="24">
        <v>3</v>
      </c>
      <c r="Y2198" s="24">
        <v>4</v>
      </c>
      <c r="Z2198" s="20">
        <f t="shared" si="73"/>
        <v>13</v>
      </c>
    </row>
    <row r="2199" spans="1:26" x14ac:dyDescent="0.2">
      <c r="A2199" s="21"/>
      <c r="B2199" s="20"/>
      <c r="C2199" s="22"/>
      <c r="D2199" s="22"/>
      <c r="E2199" s="24"/>
      <c r="F2199" s="22"/>
      <c r="H2199" s="21">
        <v>46017</v>
      </c>
      <c r="I2199" s="22" t="s">
        <v>70</v>
      </c>
      <c r="J2199" s="22" t="s">
        <v>45</v>
      </c>
      <c r="K2199" s="24">
        <v>4</v>
      </c>
      <c r="M2199" s="21">
        <v>46092</v>
      </c>
      <c r="N2199" s="22" t="s">
        <v>70</v>
      </c>
      <c r="O2199" s="22" t="s">
        <v>41</v>
      </c>
      <c r="P2199" s="49">
        <v>77</v>
      </c>
      <c r="Q2199" s="49">
        <v>77</v>
      </c>
      <c r="R2199" s="46">
        <f t="shared" si="72"/>
        <v>0</v>
      </c>
      <c r="T2199" s="21">
        <v>46066</v>
      </c>
      <c r="U2199" s="22" t="s">
        <v>51</v>
      </c>
      <c r="V2199" s="24">
        <v>4</v>
      </c>
      <c r="W2199" s="24">
        <v>3</v>
      </c>
      <c r="X2199" s="24">
        <v>4</v>
      </c>
      <c r="Y2199" s="24">
        <v>4</v>
      </c>
      <c r="Z2199" s="20">
        <f t="shared" si="73"/>
        <v>15</v>
      </c>
    </row>
    <row r="2200" spans="1:26" x14ac:dyDescent="0.2">
      <c r="A2200" s="21"/>
      <c r="B2200" s="20"/>
      <c r="C2200" s="22"/>
      <c r="D2200" s="22"/>
      <c r="E2200" s="24"/>
      <c r="F2200" s="22"/>
      <c r="H2200" s="21">
        <v>46017</v>
      </c>
      <c r="I2200" s="22" t="s">
        <v>70</v>
      </c>
      <c r="J2200" s="22" t="s">
        <v>57</v>
      </c>
      <c r="K2200" s="24">
        <v>4</v>
      </c>
      <c r="M2200" s="21">
        <v>46092</v>
      </c>
      <c r="N2200" s="22" t="s">
        <v>70</v>
      </c>
      <c r="O2200" s="22" t="s">
        <v>42</v>
      </c>
      <c r="P2200" s="49">
        <v>79.5</v>
      </c>
      <c r="Q2200" s="49">
        <v>79</v>
      </c>
      <c r="R2200" s="46">
        <f t="shared" si="72"/>
        <v>0.5</v>
      </c>
      <c r="T2200" s="21">
        <v>46066</v>
      </c>
      <c r="U2200" s="22" t="s">
        <v>52</v>
      </c>
      <c r="V2200" s="24">
        <v>4</v>
      </c>
      <c r="W2200" s="24">
        <v>4</v>
      </c>
      <c r="X2200" s="24">
        <v>4</v>
      </c>
      <c r="Y2200" s="24">
        <v>4</v>
      </c>
      <c r="Z2200" s="20">
        <f t="shared" si="73"/>
        <v>16</v>
      </c>
    </row>
    <row r="2201" spans="1:26" x14ac:dyDescent="0.2">
      <c r="A2201" s="21"/>
      <c r="B2201" s="20"/>
      <c r="C2201" s="22"/>
      <c r="D2201" s="22"/>
      <c r="E2201" s="24"/>
      <c r="F2201" s="22"/>
      <c r="H2201" s="21">
        <v>46017</v>
      </c>
      <c r="I2201" s="22" t="s">
        <v>70</v>
      </c>
      <c r="J2201" s="22" t="s">
        <v>42</v>
      </c>
      <c r="K2201" s="24">
        <v>2</v>
      </c>
      <c r="M2201" s="21">
        <v>46092</v>
      </c>
      <c r="N2201" s="22" t="s">
        <v>70</v>
      </c>
      <c r="O2201" s="22" t="s">
        <v>44</v>
      </c>
      <c r="P2201" s="49">
        <v>66.599999999999994</v>
      </c>
      <c r="Q2201" s="49">
        <v>66.2</v>
      </c>
      <c r="R2201" s="46">
        <f t="shared" si="72"/>
        <v>0.39999999999999147</v>
      </c>
      <c r="T2201" s="21">
        <v>46066</v>
      </c>
      <c r="U2201" s="22" t="s">
        <v>53</v>
      </c>
      <c r="V2201" s="24">
        <v>4</v>
      </c>
      <c r="W2201" s="24">
        <v>3</v>
      </c>
      <c r="X2201" s="24">
        <v>4</v>
      </c>
      <c r="Y2201" s="24">
        <v>5</v>
      </c>
      <c r="Z2201" s="20">
        <f t="shared" si="73"/>
        <v>16</v>
      </c>
    </row>
    <row r="2202" spans="1:26" x14ac:dyDescent="0.2">
      <c r="A2202" s="21"/>
      <c r="B2202" s="20"/>
      <c r="C2202" s="22"/>
      <c r="D2202" s="22"/>
      <c r="E2202" s="24"/>
      <c r="F2202" s="22"/>
      <c r="H2202" s="21">
        <v>46017</v>
      </c>
      <c r="I2202" s="22" t="s">
        <v>70</v>
      </c>
      <c r="J2202" s="22" t="s">
        <v>54</v>
      </c>
      <c r="K2202" s="24" t="s">
        <v>61</v>
      </c>
      <c r="M2202" s="21">
        <v>46092</v>
      </c>
      <c r="N2202" s="22" t="s">
        <v>70</v>
      </c>
      <c r="O2202" s="22" t="s">
        <v>45</v>
      </c>
      <c r="P2202" s="49">
        <v>68.7</v>
      </c>
      <c r="Q2202" s="49">
        <v>68.3</v>
      </c>
      <c r="R2202" s="46">
        <f t="shared" si="72"/>
        <v>0.40000000000000568</v>
      </c>
      <c r="T2202" s="21">
        <v>46066</v>
      </c>
      <c r="U2202" s="22" t="s">
        <v>57</v>
      </c>
      <c r="V2202" s="24">
        <v>4</v>
      </c>
      <c r="W2202" s="24">
        <v>2</v>
      </c>
      <c r="X2202" s="24">
        <v>3</v>
      </c>
      <c r="Y2202" s="24">
        <v>4</v>
      </c>
      <c r="Z2202" s="20">
        <f t="shared" si="73"/>
        <v>13</v>
      </c>
    </row>
    <row r="2203" spans="1:26" x14ac:dyDescent="0.2">
      <c r="A2203" s="21"/>
      <c r="B2203" s="20"/>
      <c r="C2203" s="22"/>
      <c r="D2203" s="22"/>
      <c r="E2203" s="24"/>
      <c r="F2203" s="22"/>
      <c r="H2203" s="21">
        <v>46017</v>
      </c>
      <c r="I2203" s="22" t="s">
        <v>70</v>
      </c>
      <c r="J2203" s="22" t="s">
        <v>47</v>
      </c>
      <c r="K2203" s="24">
        <v>3</v>
      </c>
      <c r="M2203" s="21">
        <v>46092</v>
      </c>
      <c r="N2203" s="22" t="s">
        <v>70</v>
      </c>
      <c r="O2203" s="22" t="s">
        <v>46</v>
      </c>
      <c r="P2203" s="49">
        <v>81</v>
      </c>
      <c r="Q2203" s="49">
        <v>80.900000000000006</v>
      </c>
      <c r="R2203" s="46">
        <f t="shared" si="72"/>
        <v>9.9999999999994316E-2</v>
      </c>
      <c r="T2203" s="21">
        <v>46066</v>
      </c>
      <c r="U2203" s="22" t="s">
        <v>58</v>
      </c>
      <c r="V2203" s="24">
        <v>4</v>
      </c>
      <c r="W2203" s="24">
        <v>4</v>
      </c>
      <c r="X2203" s="24">
        <v>4</v>
      </c>
      <c r="Y2203" s="24">
        <v>4</v>
      </c>
      <c r="Z2203" s="20">
        <f t="shared" si="73"/>
        <v>16</v>
      </c>
    </row>
    <row r="2204" spans="1:26" x14ac:dyDescent="0.2">
      <c r="A2204" s="21"/>
      <c r="B2204" s="20"/>
      <c r="C2204" s="22"/>
      <c r="D2204" s="22"/>
      <c r="E2204" s="24"/>
      <c r="F2204" s="22"/>
      <c r="H2204" s="21">
        <v>46017</v>
      </c>
      <c r="I2204" s="22" t="s">
        <v>70</v>
      </c>
      <c r="J2204" s="22" t="s">
        <v>41</v>
      </c>
      <c r="K2204" s="24">
        <v>1</v>
      </c>
      <c r="M2204" s="21">
        <v>46092</v>
      </c>
      <c r="N2204" s="22" t="s">
        <v>70</v>
      </c>
      <c r="O2204" s="22" t="s">
        <v>47</v>
      </c>
      <c r="P2204" s="49">
        <v>71.599999999999994</v>
      </c>
      <c r="Q2204" s="49">
        <v>71.599999999999994</v>
      </c>
      <c r="R2204" s="46">
        <f t="shared" si="72"/>
        <v>0</v>
      </c>
      <c r="T2204" s="21">
        <v>46066</v>
      </c>
      <c r="U2204" s="22" t="s">
        <v>33</v>
      </c>
      <c r="V2204" s="24">
        <v>3.78571428571429</v>
      </c>
      <c r="W2204" s="24">
        <v>3.1428571428571401</v>
      </c>
      <c r="X2204" s="24">
        <v>3.5</v>
      </c>
      <c r="Y2204" s="24">
        <v>4.1428571428571397</v>
      </c>
      <c r="Z2204" s="20">
        <f t="shared" si="73"/>
        <v>14.571428571428569</v>
      </c>
    </row>
    <row r="2205" spans="1:26" x14ac:dyDescent="0.2">
      <c r="A2205" s="21"/>
      <c r="B2205" s="20"/>
      <c r="C2205" s="22"/>
      <c r="D2205" s="22"/>
      <c r="E2205" s="24"/>
      <c r="F2205" s="22"/>
      <c r="H2205" s="21">
        <v>46017</v>
      </c>
      <c r="I2205" s="22" t="s">
        <v>70</v>
      </c>
      <c r="J2205" s="22" t="s">
        <v>58</v>
      </c>
      <c r="K2205" s="24">
        <v>4</v>
      </c>
      <c r="M2205" s="21">
        <v>46092</v>
      </c>
      <c r="N2205" s="22" t="s">
        <v>70</v>
      </c>
      <c r="O2205" s="22" t="s">
        <v>48</v>
      </c>
      <c r="P2205" s="49">
        <v>81.599999999999994</v>
      </c>
      <c r="Q2205" s="49">
        <v>80.400000000000006</v>
      </c>
      <c r="R2205" s="46">
        <f t="shared" si="72"/>
        <v>1.1999999999999886</v>
      </c>
      <c r="T2205" s="21">
        <v>46067</v>
      </c>
      <c r="U2205" s="22" t="s">
        <v>41</v>
      </c>
      <c r="V2205" s="24">
        <v>1</v>
      </c>
      <c r="W2205" s="24">
        <v>1</v>
      </c>
      <c r="X2205" s="24">
        <v>1</v>
      </c>
      <c r="Y2205" s="24">
        <v>1</v>
      </c>
      <c r="Z2205" s="20">
        <f t="shared" si="73"/>
        <v>4</v>
      </c>
    </row>
    <row r="2206" spans="1:26" x14ac:dyDescent="0.2">
      <c r="A2206" s="21"/>
      <c r="B2206" s="20"/>
      <c r="C2206" s="22"/>
      <c r="D2206" s="22"/>
      <c r="E2206" s="24"/>
      <c r="F2206" s="22"/>
      <c r="H2206" s="21">
        <v>46017</v>
      </c>
      <c r="I2206" s="22" t="s">
        <v>70</v>
      </c>
      <c r="J2206" s="22" t="s">
        <v>49</v>
      </c>
      <c r="K2206" s="24">
        <v>5</v>
      </c>
      <c r="M2206" s="21">
        <v>46092</v>
      </c>
      <c r="N2206" s="22" t="s">
        <v>70</v>
      </c>
      <c r="O2206" s="22" t="s">
        <v>49</v>
      </c>
      <c r="P2206" s="49">
        <v>79.7</v>
      </c>
      <c r="Q2206" s="49">
        <v>79.599999999999994</v>
      </c>
      <c r="R2206" s="46">
        <f t="shared" si="72"/>
        <v>0.10000000000000853</v>
      </c>
      <c r="T2206" s="21">
        <v>46067</v>
      </c>
      <c r="U2206" s="22" t="s">
        <v>42</v>
      </c>
      <c r="V2206" s="24">
        <v>4</v>
      </c>
      <c r="W2206" s="24">
        <v>4</v>
      </c>
      <c r="X2206" s="24">
        <v>4</v>
      </c>
      <c r="Y2206" s="24">
        <v>5</v>
      </c>
      <c r="Z2206" s="20">
        <f t="shared" si="73"/>
        <v>17</v>
      </c>
    </row>
    <row r="2207" spans="1:26" x14ac:dyDescent="0.2">
      <c r="A2207" s="21"/>
      <c r="B2207" s="20"/>
      <c r="C2207" s="22"/>
      <c r="D2207" s="22"/>
      <c r="E2207" s="24"/>
      <c r="F2207" s="22"/>
      <c r="H2207" s="21">
        <v>46017</v>
      </c>
      <c r="I2207" s="22" t="s">
        <v>70</v>
      </c>
      <c r="J2207" s="22" t="s">
        <v>50</v>
      </c>
      <c r="K2207" s="24">
        <v>4</v>
      </c>
      <c r="M2207" s="21">
        <v>46092</v>
      </c>
      <c r="N2207" s="22" t="s">
        <v>70</v>
      </c>
      <c r="O2207" s="22" t="s">
        <v>50</v>
      </c>
      <c r="P2207" s="49">
        <v>67.3</v>
      </c>
      <c r="Q2207" s="49">
        <v>66.400000000000006</v>
      </c>
      <c r="R2207" s="46">
        <f t="shared" si="72"/>
        <v>0.89999999999999147</v>
      </c>
      <c r="T2207" s="21">
        <v>46067</v>
      </c>
      <c r="U2207" s="22" t="s">
        <v>44</v>
      </c>
      <c r="V2207" s="24">
        <v>5</v>
      </c>
      <c r="W2207" s="24">
        <v>5</v>
      </c>
      <c r="X2207" s="24">
        <v>5</v>
      </c>
      <c r="Y2207" s="24">
        <v>5</v>
      </c>
      <c r="Z2207" s="20">
        <f t="shared" si="73"/>
        <v>20</v>
      </c>
    </row>
    <row r="2208" spans="1:26" x14ac:dyDescent="0.2">
      <c r="A2208" s="21"/>
      <c r="B2208" s="20"/>
      <c r="C2208" s="22"/>
      <c r="D2208" s="22"/>
      <c r="E2208" s="24"/>
      <c r="F2208" s="22"/>
      <c r="H2208" s="21">
        <v>46017</v>
      </c>
      <c r="I2208" s="22" t="s">
        <v>70</v>
      </c>
      <c r="J2208" s="22" t="s">
        <v>51</v>
      </c>
      <c r="K2208" s="24">
        <v>4</v>
      </c>
      <c r="M2208" s="21">
        <v>46092</v>
      </c>
      <c r="N2208" s="22" t="s">
        <v>70</v>
      </c>
      <c r="O2208" s="22" t="s">
        <v>51</v>
      </c>
      <c r="P2208" s="49">
        <v>75.900000000000006</v>
      </c>
      <c r="Q2208" s="49">
        <v>75.900000000000006</v>
      </c>
      <c r="R2208" s="46">
        <f t="shared" si="72"/>
        <v>0</v>
      </c>
      <c r="T2208" s="21">
        <v>46067</v>
      </c>
      <c r="U2208" s="22" t="s">
        <v>45</v>
      </c>
      <c r="V2208" s="24">
        <v>4</v>
      </c>
      <c r="W2208" s="24">
        <v>4</v>
      </c>
      <c r="X2208" s="24">
        <v>5</v>
      </c>
      <c r="Y2208" s="24">
        <v>5</v>
      </c>
      <c r="Z2208" s="20">
        <f t="shared" si="73"/>
        <v>18</v>
      </c>
    </row>
    <row r="2209" spans="1:26" x14ac:dyDescent="0.2">
      <c r="A2209" s="21"/>
      <c r="B2209" s="20"/>
      <c r="C2209" s="22"/>
      <c r="D2209" s="22"/>
      <c r="E2209" s="24"/>
      <c r="F2209" s="22"/>
      <c r="H2209" s="21">
        <v>46017</v>
      </c>
      <c r="I2209" s="22" t="s">
        <v>70</v>
      </c>
      <c r="J2209" s="22" t="s">
        <v>46</v>
      </c>
      <c r="K2209" s="24">
        <v>4</v>
      </c>
      <c r="M2209" s="21">
        <v>46092</v>
      </c>
      <c r="N2209" s="22" t="s">
        <v>70</v>
      </c>
      <c r="O2209" s="22" t="s">
        <v>52</v>
      </c>
      <c r="P2209" s="49">
        <v>71.5</v>
      </c>
      <c r="Q2209" s="49">
        <v>71</v>
      </c>
      <c r="R2209" s="46">
        <f t="shared" si="72"/>
        <v>0.5</v>
      </c>
      <c r="T2209" s="21">
        <v>46067</v>
      </c>
      <c r="U2209" s="22" t="s">
        <v>46</v>
      </c>
      <c r="V2209" s="24">
        <v>5</v>
      </c>
      <c r="W2209" s="24">
        <v>4</v>
      </c>
      <c r="X2209" s="24">
        <v>4</v>
      </c>
      <c r="Y2209" s="24">
        <v>4</v>
      </c>
      <c r="Z2209" s="20">
        <f t="shared" si="73"/>
        <v>17</v>
      </c>
    </row>
    <row r="2210" spans="1:26" x14ac:dyDescent="0.2">
      <c r="A2210" s="21"/>
      <c r="B2210" s="20"/>
      <c r="C2210" s="22"/>
      <c r="D2210" s="22"/>
      <c r="E2210" s="24"/>
      <c r="F2210" s="22"/>
      <c r="H2210" s="21">
        <v>46017</v>
      </c>
      <c r="I2210" s="22" t="s">
        <v>70</v>
      </c>
      <c r="J2210" s="22" t="s">
        <v>48</v>
      </c>
      <c r="K2210" s="24" t="s">
        <v>61</v>
      </c>
      <c r="M2210" s="21">
        <v>46092</v>
      </c>
      <c r="N2210" s="22" t="s">
        <v>70</v>
      </c>
      <c r="O2210" s="22" t="s">
        <v>53</v>
      </c>
      <c r="P2210" s="49">
        <v>69.3</v>
      </c>
      <c r="Q2210" s="49">
        <v>68.599999999999994</v>
      </c>
      <c r="R2210" s="46">
        <f t="shared" si="72"/>
        <v>0.70000000000000284</v>
      </c>
      <c r="T2210" s="21">
        <v>46067</v>
      </c>
      <c r="U2210" s="22" t="s">
        <v>47</v>
      </c>
      <c r="V2210" s="24">
        <v>4</v>
      </c>
      <c r="W2210" s="24">
        <v>5</v>
      </c>
      <c r="X2210" s="24">
        <v>5</v>
      </c>
      <c r="Y2210" s="24">
        <v>4</v>
      </c>
      <c r="Z2210" s="20">
        <f t="shared" si="73"/>
        <v>18</v>
      </c>
    </row>
    <row r="2211" spans="1:26" x14ac:dyDescent="0.2">
      <c r="A2211" s="21"/>
      <c r="B2211" s="20"/>
      <c r="C2211" s="22"/>
      <c r="D2211" s="22"/>
      <c r="E2211" s="24"/>
      <c r="F2211" s="22"/>
      <c r="H2211" s="21">
        <v>46017</v>
      </c>
      <c r="I2211" s="22" t="s">
        <v>70</v>
      </c>
      <c r="J2211" s="22" t="s">
        <v>56</v>
      </c>
      <c r="K2211" s="24">
        <v>4</v>
      </c>
      <c r="M2211" s="21">
        <v>46092</v>
      </c>
      <c r="N2211" s="22" t="s">
        <v>70</v>
      </c>
      <c r="O2211" s="22" t="s">
        <v>56</v>
      </c>
      <c r="P2211" s="49">
        <v>71.8</v>
      </c>
      <c r="Q2211" s="49">
        <v>71</v>
      </c>
      <c r="R2211" s="46">
        <f t="shared" si="72"/>
        <v>0.79999999999999716</v>
      </c>
      <c r="T2211" s="21">
        <v>46067</v>
      </c>
      <c r="U2211" s="22" t="s">
        <v>48</v>
      </c>
      <c r="V2211" s="24">
        <v>5</v>
      </c>
      <c r="W2211" s="24">
        <v>5</v>
      </c>
      <c r="X2211" s="24">
        <v>5</v>
      </c>
      <c r="Y2211" s="24">
        <v>5</v>
      </c>
      <c r="Z2211" s="20">
        <f t="shared" si="73"/>
        <v>20</v>
      </c>
    </row>
    <row r="2212" spans="1:26" x14ac:dyDescent="0.2">
      <c r="A2212" s="21"/>
      <c r="B2212" s="20"/>
      <c r="C2212" s="22"/>
      <c r="D2212" s="22"/>
      <c r="E2212" s="24"/>
      <c r="F2212" s="22"/>
      <c r="H2212" s="21">
        <v>46018</v>
      </c>
      <c r="I2212" s="22" t="s">
        <v>70</v>
      </c>
      <c r="J2212" s="22" t="s">
        <v>52</v>
      </c>
      <c r="K2212" s="24">
        <v>1</v>
      </c>
      <c r="M2212" s="21">
        <v>46092</v>
      </c>
      <c r="N2212" s="22" t="s">
        <v>70</v>
      </c>
      <c r="O2212" s="22" t="s">
        <v>57</v>
      </c>
      <c r="P2212" s="49">
        <v>91</v>
      </c>
      <c r="Q2212" s="49">
        <v>91</v>
      </c>
      <c r="R2212" s="46">
        <f t="shared" si="72"/>
        <v>0</v>
      </c>
      <c r="T2212" s="21">
        <v>46067</v>
      </c>
      <c r="U2212" s="22" t="s">
        <v>49</v>
      </c>
      <c r="V2212" s="24">
        <v>4</v>
      </c>
      <c r="W2212" s="24">
        <v>4</v>
      </c>
      <c r="X2212" s="24">
        <v>4</v>
      </c>
      <c r="Y2212" s="24">
        <v>4</v>
      </c>
      <c r="Z2212" s="20">
        <f t="shared" si="73"/>
        <v>16</v>
      </c>
    </row>
    <row r="2213" spans="1:26" x14ac:dyDescent="0.2">
      <c r="A2213" s="21"/>
      <c r="B2213" s="20"/>
      <c r="C2213" s="22"/>
      <c r="D2213" s="22"/>
      <c r="E2213" s="24"/>
      <c r="F2213" s="22"/>
      <c r="H2213" s="21">
        <v>46018</v>
      </c>
      <c r="I2213" s="22" t="s">
        <v>70</v>
      </c>
      <c r="J2213" s="22" t="s">
        <v>53</v>
      </c>
      <c r="K2213" s="24">
        <v>1</v>
      </c>
      <c r="M2213" s="21">
        <v>46092</v>
      </c>
      <c r="N2213" s="22" t="s">
        <v>70</v>
      </c>
      <c r="O2213" s="22" t="s">
        <v>58</v>
      </c>
      <c r="P2213" s="49">
        <v>77</v>
      </c>
      <c r="Q2213" s="49">
        <v>77</v>
      </c>
      <c r="R2213" s="46">
        <f t="shared" si="72"/>
        <v>0</v>
      </c>
      <c r="T2213" s="21">
        <v>46067</v>
      </c>
      <c r="U2213" s="22" t="s">
        <v>50</v>
      </c>
      <c r="V2213" s="24">
        <v>4</v>
      </c>
      <c r="W2213" s="24">
        <v>4</v>
      </c>
      <c r="X2213" s="24">
        <v>4</v>
      </c>
      <c r="Y2213" s="24">
        <v>4</v>
      </c>
      <c r="Z2213" s="20">
        <f t="shared" si="73"/>
        <v>16</v>
      </c>
    </row>
    <row r="2214" spans="1:26" x14ac:dyDescent="0.2">
      <c r="A2214" s="21"/>
      <c r="B2214" s="20"/>
      <c r="C2214" s="22"/>
      <c r="D2214" s="22"/>
      <c r="E2214" s="24"/>
      <c r="F2214" s="22"/>
      <c r="H2214" s="21">
        <v>46018</v>
      </c>
      <c r="I2214" s="22" t="s">
        <v>70</v>
      </c>
      <c r="J2214" s="22" t="s">
        <v>44</v>
      </c>
      <c r="K2214" s="24">
        <v>1</v>
      </c>
      <c r="M2214" s="21">
        <v>46093</v>
      </c>
      <c r="N2214" s="22" t="s">
        <v>70</v>
      </c>
      <c r="O2214" s="22" t="s">
        <v>41</v>
      </c>
      <c r="P2214" s="49">
        <v>77</v>
      </c>
      <c r="Q2214" s="49">
        <v>76.400000000000006</v>
      </c>
      <c r="R2214" s="46">
        <f t="shared" si="72"/>
        <v>0.59999999999999432</v>
      </c>
      <c r="T2214" s="21">
        <v>46067</v>
      </c>
      <c r="U2214" s="22" t="s">
        <v>51</v>
      </c>
      <c r="V2214" s="24">
        <v>4</v>
      </c>
      <c r="W2214" s="24">
        <v>4</v>
      </c>
      <c r="X2214" s="24">
        <v>5</v>
      </c>
      <c r="Y2214" s="24">
        <v>5</v>
      </c>
      <c r="Z2214" s="20">
        <f t="shared" si="73"/>
        <v>18</v>
      </c>
    </row>
    <row r="2215" spans="1:26" x14ac:dyDescent="0.2">
      <c r="A2215" s="21"/>
      <c r="B2215" s="20"/>
      <c r="C2215" s="22"/>
      <c r="D2215" s="22"/>
      <c r="E2215" s="24"/>
      <c r="F2215" s="22"/>
      <c r="H2215" s="21">
        <v>46018</v>
      </c>
      <c r="I2215" s="22" t="s">
        <v>70</v>
      </c>
      <c r="J2215" s="22" t="s">
        <v>45</v>
      </c>
      <c r="K2215" s="24">
        <v>1</v>
      </c>
      <c r="M2215" s="21">
        <v>46093</v>
      </c>
      <c r="N2215" s="22" t="s">
        <v>70</v>
      </c>
      <c r="O2215" s="22" t="s">
        <v>42</v>
      </c>
      <c r="P2215" s="49">
        <v>79.599999999999994</v>
      </c>
      <c r="Q2215" s="49">
        <v>79</v>
      </c>
      <c r="R2215" s="46">
        <f t="shared" si="72"/>
        <v>0.59999999999999432</v>
      </c>
      <c r="T2215" s="21">
        <v>46067</v>
      </c>
      <c r="U2215" s="22" t="s">
        <v>52</v>
      </c>
      <c r="V2215" s="24">
        <v>5</v>
      </c>
      <c r="W2215" s="24">
        <v>5</v>
      </c>
      <c r="X2215" s="24">
        <v>5</v>
      </c>
      <c r="Y2215" s="24">
        <v>5</v>
      </c>
      <c r="Z2215" s="20">
        <f t="shared" si="73"/>
        <v>20</v>
      </c>
    </row>
    <row r="2216" spans="1:26" x14ac:dyDescent="0.2">
      <c r="A2216" s="21"/>
      <c r="B2216" s="20"/>
      <c r="C2216" s="22"/>
      <c r="D2216" s="22"/>
      <c r="E2216" s="24"/>
      <c r="F2216" s="22"/>
      <c r="H2216" s="21">
        <v>46018</v>
      </c>
      <c r="I2216" s="22" t="s">
        <v>70</v>
      </c>
      <c r="J2216" s="22" t="s">
        <v>57</v>
      </c>
      <c r="K2216" s="24">
        <v>1</v>
      </c>
      <c r="M2216" s="21">
        <v>46093</v>
      </c>
      <c r="N2216" s="22" t="s">
        <v>70</v>
      </c>
      <c r="O2216" s="22" t="s">
        <v>44</v>
      </c>
      <c r="P2216" s="49">
        <v>67.3</v>
      </c>
      <c r="Q2216" s="49">
        <v>67.599999999999994</v>
      </c>
      <c r="R2216" s="46">
        <f t="shared" si="72"/>
        <v>-0.29999999999999716</v>
      </c>
      <c r="T2216" s="21">
        <v>46067</v>
      </c>
      <c r="U2216" s="22" t="s">
        <v>53</v>
      </c>
      <c r="V2216" s="24">
        <v>4</v>
      </c>
      <c r="W2216" s="24">
        <v>4</v>
      </c>
      <c r="X2216" s="24">
        <v>4</v>
      </c>
      <c r="Y2216" s="24">
        <v>5</v>
      </c>
      <c r="Z2216" s="20">
        <f t="shared" si="73"/>
        <v>17</v>
      </c>
    </row>
    <row r="2217" spans="1:26" x14ac:dyDescent="0.2">
      <c r="A2217" s="21"/>
      <c r="B2217" s="20"/>
      <c r="C2217" s="22"/>
      <c r="D2217" s="22"/>
      <c r="E2217" s="24"/>
      <c r="F2217" s="22"/>
      <c r="H2217" s="21">
        <v>46018</v>
      </c>
      <c r="I2217" s="22" t="s">
        <v>70</v>
      </c>
      <c r="J2217" s="22" t="s">
        <v>42</v>
      </c>
      <c r="K2217" s="24">
        <v>1</v>
      </c>
      <c r="M2217" s="21">
        <v>46093</v>
      </c>
      <c r="N2217" s="22" t="s">
        <v>70</v>
      </c>
      <c r="O2217" s="22" t="s">
        <v>45</v>
      </c>
      <c r="P2217" s="49">
        <v>69</v>
      </c>
      <c r="Q2217" s="49">
        <v>68.8</v>
      </c>
      <c r="R2217" s="46">
        <f t="shared" si="72"/>
        <v>0.20000000000000284</v>
      </c>
      <c r="T2217" s="21">
        <v>46067</v>
      </c>
      <c r="U2217" s="22" t="s">
        <v>57</v>
      </c>
      <c r="V2217" s="24">
        <v>4</v>
      </c>
      <c r="W2217" s="24">
        <v>4</v>
      </c>
      <c r="X2217" s="24">
        <v>4</v>
      </c>
      <c r="Y2217" s="24">
        <v>4</v>
      </c>
      <c r="Z2217" s="20">
        <f t="shared" si="73"/>
        <v>16</v>
      </c>
    </row>
    <row r="2218" spans="1:26" x14ac:dyDescent="0.2">
      <c r="A2218" s="21"/>
      <c r="B2218" s="20"/>
      <c r="C2218" s="22"/>
      <c r="D2218" s="22"/>
      <c r="E2218" s="24"/>
      <c r="F2218" s="22"/>
      <c r="H2218" s="21">
        <v>46018</v>
      </c>
      <c r="I2218" s="22" t="s">
        <v>70</v>
      </c>
      <c r="J2218" s="22" t="s">
        <v>47</v>
      </c>
      <c r="K2218" s="24">
        <v>1</v>
      </c>
      <c r="M2218" s="21">
        <v>46093</v>
      </c>
      <c r="N2218" s="22" t="s">
        <v>70</v>
      </c>
      <c r="O2218" s="22" t="s">
        <v>46</v>
      </c>
      <c r="P2218" s="49">
        <v>81.5</v>
      </c>
      <c r="Q2218" s="49">
        <v>81</v>
      </c>
      <c r="R2218" s="46">
        <f t="shared" si="72"/>
        <v>0.5</v>
      </c>
      <c r="T2218" s="21">
        <v>46067</v>
      </c>
      <c r="U2218" s="22" t="s">
        <v>58</v>
      </c>
      <c r="V2218" s="24">
        <v>4</v>
      </c>
      <c r="W2218" s="24">
        <v>4</v>
      </c>
      <c r="X2218" s="24">
        <v>4</v>
      </c>
      <c r="Y2218" s="24">
        <v>5</v>
      </c>
      <c r="Z2218" s="20">
        <f t="shared" si="73"/>
        <v>17</v>
      </c>
    </row>
    <row r="2219" spans="1:26" x14ac:dyDescent="0.2">
      <c r="A2219" s="21"/>
      <c r="B2219" s="20"/>
      <c r="C2219" s="22"/>
      <c r="D2219" s="22"/>
      <c r="E2219" s="24"/>
      <c r="F2219" s="22"/>
      <c r="H2219" s="21">
        <v>46018</v>
      </c>
      <c r="I2219" s="22" t="s">
        <v>70</v>
      </c>
      <c r="J2219" s="22" t="s">
        <v>41</v>
      </c>
      <c r="K2219" s="24">
        <v>1</v>
      </c>
      <c r="M2219" s="21">
        <v>46093</v>
      </c>
      <c r="N2219" s="22" t="s">
        <v>70</v>
      </c>
      <c r="O2219" s="22" t="s">
        <v>47</v>
      </c>
      <c r="P2219" s="49">
        <v>72</v>
      </c>
      <c r="Q2219" s="49">
        <v>72</v>
      </c>
      <c r="R2219" s="46">
        <f t="shared" si="72"/>
        <v>0</v>
      </c>
      <c r="T2219" s="21">
        <v>46067</v>
      </c>
      <c r="U2219" s="22" t="s">
        <v>33</v>
      </c>
      <c r="V2219" s="24">
        <v>4.0714285714285703</v>
      </c>
      <c r="W2219" s="24">
        <v>4.0714285714285703</v>
      </c>
      <c r="X2219" s="24">
        <v>4.21428571428571</v>
      </c>
      <c r="Y2219" s="24">
        <v>4.3571428571428603</v>
      </c>
      <c r="Z2219" s="20">
        <f t="shared" si="73"/>
        <v>16.714285714285712</v>
      </c>
    </row>
    <row r="2220" spans="1:26" x14ac:dyDescent="0.2">
      <c r="A2220" s="21"/>
      <c r="B2220" s="20"/>
      <c r="C2220" s="22"/>
      <c r="D2220" s="22"/>
      <c r="E2220" s="24"/>
      <c r="F2220" s="22"/>
      <c r="H2220" s="21">
        <v>46018</v>
      </c>
      <c r="I2220" s="22" t="s">
        <v>70</v>
      </c>
      <c r="J2220" s="22" t="s">
        <v>58</v>
      </c>
      <c r="K2220" s="24">
        <v>1</v>
      </c>
      <c r="M2220" s="21">
        <v>46093</v>
      </c>
      <c r="N2220" s="22" t="s">
        <v>70</v>
      </c>
      <c r="O2220" s="22" t="s">
        <v>48</v>
      </c>
      <c r="P2220" s="49">
        <v>82.5</v>
      </c>
      <c r="Q2220" s="49">
        <v>81.8</v>
      </c>
      <c r="R2220" s="46">
        <f t="shared" si="72"/>
        <v>0.70000000000000284</v>
      </c>
      <c r="T2220" s="21">
        <v>46069</v>
      </c>
      <c r="U2220" s="22" t="s">
        <v>41</v>
      </c>
      <c r="V2220" s="24">
        <v>1</v>
      </c>
      <c r="W2220" s="24">
        <v>1</v>
      </c>
      <c r="X2220" s="24">
        <v>1</v>
      </c>
      <c r="Y2220" s="24">
        <v>1</v>
      </c>
      <c r="Z2220" s="20">
        <f t="shared" si="73"/>
        <v>4</v>
      </c>
    </row>
    <row r="2221" spans="1:26" x14ac:dyDescent="0.2">
      <c r="A2221" s="21"/>
      <c r="B2221" s="20"/>
      <c r="C2221" s="22"/>
      <c r="D2221" s="22"/>
      <c r="E2221" s="24"/>
      <c r="F2221" s="22"/>
      <c r="H2221" s="21">
        <v>46018</v>
      </c>
      <c r="I2221" s="22" t="s">
        <v>70</v>
      </c>
      <c r="J2221" s="22" t="s">
        <v>49</v>
      </c>
      <c r="K2221" s="24">
        <v>1</v>
      </c>
      <c r="M2221" s="21">
        <v>46093</v>
      </c>
      <c r="N2221" s="22" t="s">
        <v>70</v>
      </c>
      <c r="O2221" s="22" t="s">
        <v>49</v>
      </c>
      <c r="P2221" s="49">
        <v>79.099999999999994</v>
      </c>
      <c r="Q2221" s="49">
        <v>78.7</v>
      </c>
      <c r="R2221" s="46">
        <f t="shared" si="72"/>
        <v>0.39999999999999147</v>
      </c>
      <c r="T2221" s="21">
        <v>46069</v>
      </c>
      <c r="U2221" s="22" t="s">
        <v>42</v>
      </c>
      <c r="V2221" s="24">
        <v>3</v>
      </c>
      <c r="W2221" s="24">
        <v>4</v>
      </c>
      <c r="X2221" s="24">
        <v>4</v>
      </c>
      <c r="Y2221" s="24">
        <v>5</v>
      </c>
      <c r="Z2221" s="20">
        <f t="shared" si="73"/>
        <v>16</v>
      </c>
    </row>
    <row r="2222" spans="1:26" x14ac:dyDescent="0.2">
      <c r="A2222" s="21"/>
      <c r="B2222" s="20"/>
      <c r="C2222" s="22"/>
      <c r="D2222" s="22"/>
      <c r="E2222" s="24"/>
      <c r="F2222" s="22"/>
      <c r="H2222" s="21">
        <v>46018</v>
      </c>
      <c r="I2222" s="22" t="s">
        <v>70</v>
      </c>
      <c r="J2222" s="22" t="s">
        <v>50</v>
      </c>
      <c r="K2222" s="24">
        <v>1</v>
      </c>
      <c r="M2222" s="21">
        <v>46093</v>
      </c>
      <c r="N2222" s="22" t="s">
        <v>70</v>
      </c>
      <c r="O2222" s="22" t="s">
        <v>50</v>
      </c>
      <c r="P2222" s="49">
        <v>67.400000000000006</v>
      </c>
      <c r="Q2222" s="49">
        <v>67.3</v>
      </c>
      <c r="R2222" s="46">
        <f t="shared" si="72"/>
        <v>0.10000000000000853</v>
      </c>
      <c r="T2222" s="21">
        <v>46069</v>
      </c>
      <c r="U2222" s="22" t="s">
        <v>44</v>
      </c>
      <c r="V2222" s="24">
        <v>5</v>
      </c>
      <c r="W2222" s="24">
        <v>3</v>
      </c>
      <c r="X2222" s="24">
        <v>3</v>
      </c>
      <c r="Y2222" s="24">
        <v>5</v>
      </c>
      <c r="Z2222" s="20">
        <f t="shared" si="73"/>
        <v>16</v>
      </c>
    </row>
    <row r="2223" spans="1:26" x14ac:dyDescent="0.2">
      <c r="A2223" s="21"/>
      <c r="B2223" s="20"/>
      <c r="C2223" s="22"/>
      <c r="D2223" s="22"/>
      <c r="E2223" s="24"/>
      <c r="F2223" s="22"/>
      <c r="H2223" s="21">
        <v>46018</v>
      </c>
      <c r="I2223" s="22" t="s">
        <v>70</v>
      </c>
      <c r="J2223" s="22" t="s">
        <v>51</v>
      </c>
      <c r="K2223" s="24">
        <v>1</v>
      </c>
      <c r="M2223" s="21">
        <v>46093</v>
      </c>
      <c r="N2223" s="22" t="s">
        <v>70</v>
      </c>
      <c r="O2223" s="22" t="s">
        <v>51</v>
      </c>
      <c r="P2223" s="49">
        <v>76</v>
      </c>
      <c r="Q2223" s="49">
        <v>75.8</v>
      </c>
      <c r="R2223" s="46">
        <f t="shared" si="72"/>
        <v>0.20000000000000284</v>
      </c>
      <c r="T2223" s="21">
        <v>46069</v>
      </c>
      <c r="U2223" s="22" t="s">
        <v>45</v>
      </c>
      <c r="V2223" s="24">
        <v>4</v>
      </c>
      <c r="W2223" s="24">
        <v>4</v>
      </c>
      <c r="X2223" s="24">
        <v>4</v>
      </c>
      <c r="Y2223" s="24">
        <v>5</v>
      </c>
      <c r="Z2223" s="20">
        <f t="shared" si="73"/>
        <v>17</v>
      </c>
    </row>
    <row r="2224" spans="1:26" x14ac:dyDescent="0.2">
      <c r="A2224" s="21"/>
      <c r="B2224" s="20"/>
      <c r="C2224" s="22"/>
      <c r="D2224" s="22"/>
      <c r="E2224" s="24"/>
      <c r="F2224" s="22"/>
      <c r="H2224" s="21">
        <v>46018</v>
      </c>
      <c r="I2224" s="22" t="s">
        <v>70</v>
      </c>
      <c r="J2224" s="22" t="s">
        <v>46</v>
      </c>
      <c r="K2224" s="24">
        <v>1</v>
      </c>
      <c r="M2224" s="21">
        <v>46093</v>
      </c>
      <c r="N2224" s="22" t="s">
        <v>70</v>
      </c>
      <c r="O2224" s="22" t="s">
        <v>52</v>
      </c>
      <c r="P2224" s="49">
        <v>71.5</v>
      </c>
      <c r="Q2224" s="49">
        <v>71</v>
      </c>
      <c r="R2224" s="46">
        <f t="shared" si="72"/>
        <v>0.5</v>
      </c>
      <c r="T2224" s="21">
        <v>46069</v>
      </c>
      <c r="U2224" s="22" t="s">
        <v>46</v>
      </c>
      <c r="V2224" s="24">
        <v>5</v>
      </c>
      <c r="W2224" s="24">
        <v>4</v>
      </c>
      <c r="X2224" s="24">
        <v>4</v>
      </c>
      <c r="Y2224" s="24">
        <v>5</v>
      </c>
      <c r="Z2224" s="20">
        <f t="shared" si="73"/>
        <v>18</v>
      </c>
    </row>
    <row r="2225" spans="1:26" x14ac:dyDescent="0.2">
      <c r="A2225" s="21"/>
      <c r="B2225" s="20"/>
      <c r="C2225" s="22"/>
      <c r="D2225" s="22"/>
      <c r="E2225" s="24"/>
      <c r="F2225" s="22"/>
      <c r="H2225" s="21">
        <v>46018</v>
      </c>
      <c r="I2225" s="22" t="s">
        <v>70</v>
      </c>
      <c r="J2225" s="22" t="s">
        <v>48</v>
      </c>
      <c r="K2225" s="24" t="s">
        <v>61</v>
      </c>
      <c r="M2225" s="21">
        <v>46093</v>
      </c>
      <c r="N2225" s="22" t="s">
        <v>70</v>
      </c>
      <c r="O2225" s="22" t="s">
        <v>53</v>
      </c>
      <c r="P2225" s="49">
        <v>68.7</v>
      </c>
      <c r="Q2225" s="49">
        <v>68.2</v>
      </c>
      <c r="R2225" s="46">
        <f t="shared" si="72"/>
        <v>0.5</v>
      </c>
      <c r="T2225" s="21">
        <v>46069</v>
      </c>
      <c r="U2225" s="22" t="s">
        <v>47</v>
      </c>
      <c r="V2225" s="24">
        <v>4</v>
      </c>
      <c r="W2225" s="24">
        <v>4</v>
      </c>
      <c r="X2225" s="24">
        <v>4</v>
      </c>
      <c r="Y2225" s="24">
        <v>2</v>
      </c>
      <c r="Z2225" s="20">
        <f t="shared" si="73"/>
        <v>14</v>
      </c>
    </row>
    <row r="2226" spans="1:26" x14ac:dyDescent="0.2">
      <c r="A2226" s="21"/>
      <c r="B2226" s="20"/>
      <c r="C2226" s="22"/>
      <c r="D2226" s="22"/>
      <c r="E2226" s="24"/>
      <c r="F2226" s="22"/>
      <c r="H2226" s="21">
        <v>46018</v>
      </c>
      <c r="I2226" s="22" t="s">
        <v>70</v>
      </c>
      <c r="J2226" s="22" t="s">
        <v>56</v>
      </c>
      <c r="K2226" s="24">
        <v>1</v>
      </c>
      <c r="M2226" s="21">
        <v>46093</v>
      </c>
      <c r="N2226" s="22" t="s">
        <v>70</v>
      </c>
      <c r="O2226" s="22" t="s">
        <v>56</v>
      </c>
      <c r="P2226" s="49">
        <v>74.8</v>
      </c>
      <c r="Q2226" s="49">
        <v>74.8</v>
      </c>
      <c r="R2226" s="46">
        <f t="shared" si="72"/>
        <v>0</v>
      </c>
      <c r="T2226" s="21">
        <v>46069</v>
      </c>
      <c r="U2226" s="22" t="s">
        <v>48</v>
      </c>
      <c r="V2226" s="24">
        <v>5</v>
      </c>
      <c r="W2226" s="24">
        <v>3</v>
      </c>
      <c r="X2226" s="24">
        <v>4</v>
      </c>
      <c r="Y2226" s="24">
        <v>5</v>
      </c>
      <c r="Z2226" s="20">
        <f t="shared" si="73"/>
        <v>17</v>
      </c>
    </row>
    <row r="2227" spans="1:26" x14ac:dyDescent="0.2">
      <c r="A2227" s="21"/>
      <c r="B2227" s="20"/>
      <c r="C2227" s="22"/>
      <c r="D2227" s="22"/>
      <c r="E2227" s="24"/>
      <c r="F2227" s="22"/>
      <c r="H2227" s="21">
        <v>46018</v>
      </c>
      <c r="I2227" s="22" t="s">
        <v>71</v>
      </c>
      <c r="J2227" s="22" t="s">
        <v>52</v>
      </c>
      <c r="K2227" s="24">
        <v>7</v>
      </c>
      <c r="M2227" s="21">
        <v>46093</v>
      </c>
      <c r="N2227" s="22" t="s">
        <v>70</v>
      </c>
      <c r="O2227" s="22" t="s">
        <v>57</v>
      </c>
      <c r="P2227" s="49">
        <v>91.1</v>
      </c>
      <c r="Q2227" s="49">
        <v>90.5</v>
      </c>
      <c r="R2227" s="46">
        <f t="shared" si="72"/>
        <v>0.59999999999999432</v>
      </c>
      <c r="T2227" s="21">
        <v>46069</v>
      </c>
      <c r="U2227" s="22" t="s">
        <v>49</v>
      </c>
      <c r="V2227" s="24">
        <v>5</v>
      </c>
      <c r="W2227" s="24">
        <v>3</v>
      </c>
      <c r="X2227" s="24">
        <v>3</v>
      </c>
      <c r="Y2227" s="24">
        <v>4</v>
      </c>
      <c r="Z2227" s="20">
        <f t="shared" si="73"/>
        <v>15</v>
      </c>
    </row>
    <row r="2228" spans="1:26" x14ac:dyDescent="0.2">
      <c r="A2228" s="21"/>
      <c r="B2228" s="20"/>
      <c r="C2228" s="22"/>
      <c r="D2228" s="22"/>
      <c r="E2228" s="24"/>
      <c r="F2228" s="22"/>
      <c r="H2228" s="21">
        <v>46018</v>
      </c>
      <c r="I2228" s="22" t="s">
        <v>71</v>
      </c>
      <c r="J2228" s="22" t="s">
        <v>53</v>
      </c>
      <c r="K2228" s="24">
        <v>2</v>
      </c>
      <c r="M2228" s="21">
        <v>46093</v>
      </c>
      <c r="N2228" s="22" t="s">
        <v>70</v>
      </c>
      <c r="O2228" s="22" t="s">
        <v>58</v>
      </c>
      <c r="P2228" s="49">
        <v>77</v>
      </c>
      <c r="Q2228" s="49">
        <v>77</v>
      </c>
      <c r="R2228" s="46">
        <f t="shared" si="72"/>
        <v>0</v>
      </c>
      <c r="T2228" s="21">
        <v>46069</v>
      </c>
      <c r="U2228" s="22" t="s">
        <v>50</v>
      </c>
      <c r="V2228" s="24">
        <v>4</v>
      </c>
      <c r="W2228" s="24">
        <v>3</v>
      </c>
      <c r="X2228" s="24">
        <v>3</v>
      </c>
      <c r="Y2228" s="24">
        <v>4</v>
      </c>
      <c r="Z2228" s="20">
        <f t="shared" si="73"/>
        <v>14</v>
      </c>
    </row>
    <row r="2229" spans="1:26" x14ac:dyDescent="0.2">
      <c r="A2229" s="21"/>
      <c r="B2229" s="20"/>
      <c r="C2229" s="22"/>
      <c r="D2229" s="22"/>
      <c r="E2229" s="24"/>
      <c r="F2229" s="22"/>
      <c r="H2229" s="21">
        <v>46018</v>
      </c>
      <c r="I2229" s="22" t="s">
        <v>71</v>
      </c>
      <c r="J2229" s="22" t="s">
        <v>44</v>
      </c>
      <c r="K2229" s="24">
        <v>7</v>
      </c>
      <c r="M2229" s="21">
        <v>46094</v>
      </c>
      <c r="N2229" s="22" t="s">
        <v>70</v>
      </c>
      <c r="O2229" s="22" t="s">
        <v>41</v>
      </c>
      <c r="P2229" s="49">
        <v>77</v>
      </c>
      <c r="Q2229" s="49">
        <v>76.900000000000006</v>
      </c>
      <c r="R2229" s="46">
        <f t="shared" si="72"/>
        <v>9.9999999999994316E-2</v>
      </c>
      <c r="T2229" s="21">
        <v>46069</v>
      </c>
      <c r="U2229" s="22" t="s">
        <v>51</v>
      </c>
      <c r="V2229" s="24">
        <v>4</v>
      </c>
      <c r="W2229" s="24">
        <v>4</v>
      </c>
      <c r="X2229" s="24">
        <v>4</v>
      </c>
      <c r="Y2229" s="24">
        <v>4</v>
      </c>
      <c r="Z2229" s="20">
        <f t="shared" si="73"/>
        <v>16</v>
      </c>
    </row>
    <row r="2230" spans="1:26" x14ac:dyDescent="0.2">
      <c r="A2230" s="21"/>
      <c r="B2230" s="20"/>
      <c r="C2230" s="22"/>
      <c r="D2230" s="22"/>
      <c r="E2230" s="24"/>
      <c r="F2230" s="22"/>
      <c r="H2230" s="21">
        <v>46018</v>
      </c>
      <c r="I2230" s="22" t="s">
        <v>71</v>
      </c>
      <c r="J2230" s="22" t="s">
        <v>45</v>
      </c>
      <c r="K2230" s="24">
        <v>7</v>
      </c>
      <c r="M2230" s="21">
        <v>46094</v>
      </c>
      <c r="N2230" s="22" t="s">
        <v>71</v>
      </c>
      <c r="O2230" s="22" t="s">
        <v>41</v>
      </c>
      <c r="P2230" s="49">
        <v>77</v>
      </c>
      <c r="Q2230" s="49">
        <v>76.400000000000006</v>
      </c>
      <c r="R2230" s="46">
        <f t="shared" si="72"/>
        <v>0.59999999999999432</v>
      </c>
      <c r="T2230" s="21">
        <v>46069</v>
      </c>
      <c r="U2230" s="22" t="s">
        <v>52</v>
      </c>
      <c r="V2230" s="24">
        <v>4</v>
      </c>
      <c r="W2230" s="24">
        <v>4</v>
      </c>
      <c r="X2230" s="24">
        <v>4</v>
      </c>
      <c r="Y2230" s="24">
        <v>4</v>
      </c>
      <c r="Z2230" s="20">
        <f t="shared" si="73"/>
        <v>16</v>
      </c>
    </row>
    <row r="2231" spans="1:26" x14ac:dyDescent="0.2">
      <c r="A2231" s="21"/>
      <c r="B2231" s="20"/>
      <c r="C2231" s="22"/>
      <c r="D2231" s="22"/>
      <c r="E2231" s="24"/>
      <c r="F2231" s="22"/>
      <c r="H2231" s="21">
        <v>46018</v>
      </c>
      <c r="I2231" s="22" t="s">
        <v>71</v>
      </c>
      <c r="J2231" s="22" t="s">
        <v>57</v>
      </c>
      <c r="K2231" s="24" t="s">
        <v>63</v>
      </c>
      <c r="M2231" s="21">
        <v>46094</v>
      </c>
      <c r="N2231" s="22" t="s">
        <v>70</v>
      </c>
      <c r="O2231" s="22" t="s">
        <v>42</v>
      </c>
      <c r="P2231" s="49">
        <v>79.599999999999994</v>
      </c>
      <c r="Q2231" s="49">
        <v>79.400000000000006</v>
      </c>
      <c r="R2231" s="46">
        <f t="shared" si="72"/>
        <v>0.19999999999998863</v>
      </c>
      <c r="T2231" s="21">
        <v>46069</v>
      </c>
      <c r="U2231" s="22" t="s">
        <v>53</v>
      </c>
      <c r="V2231" s="24">
        <v>4</v>
      </c>
      <c r="W2231" s="24">
        <v>4</v>
      </c>
      <c r="X2231" s="24">
        <v>4</v>
      </c>
      <c r="Y2231" s="24">
        <v>5</v>
      </c>
      <c r="Z2231" s="20">
        <f t="shared" si="73"/>
        <v>17</v>
      </c>
    </row>
    <row r="2232" spans="1:26" x14ac:dyDescent="0.2">
      <c r="A2232" s="21"/>
      <c r="B2232" s="20"/>
      <c r="C2232" s="22"/>
      <c r="D2232" s="22"/>
      <c r="E2232" s="24"/>
      <c r="F2232" s="22"/>
      <c r="H2232" s="21">
        <v>46018</v>
      </c>
      <c r="I2232" s="22" t="s">
        <v>71</v>
      </c>
      <c r="J2232" s="22" t="s">
        <v>42</v>
      </c>
      <c r="K2232" s="24">
        <v>4</v>
      </c>
      <c r="M2232" s="21">
        <v>46094</v>
      </c>
      <c r="N2232" s="22" t="s">
        <v>71</v>
      </c>
      <c r="O2232" s="22" t="s">
        <v>42</v>
      </c>
      <c r="P2232" s="49">
        <v>78.900000000000006</v>
      </c>
      <c r="Q2232" s="49">
        <v>78.8</v>
      </c>
      <c r="R2232" s="46">
        <f t="shared" si="72"/>
        <v>0.10000000000000853</v>
      </c>
      <c r="T2232" s="21">
        <v>46069</v>
      </c>
      <c r="U2232" s="22" t="s">
        <v>57</v>
      </c>
      <c r="V2232" s="24">
        <v>3</v>
      </c>
      <c r="W2232" s="24">
        <v>3</v>
      </c>
      <c r="X2232" s="24">
        <v>4</v>
      </c>
      <c r="Y2232" s="24">
        <v>1</v>
      </c>
      <c r="Z2232" s="20">
        <f t="shared" si="73"/>
        <v>11</v>
      </c>
    </row>
    <row r="2233" spans="1:26" x14ac:dyDescent="0.2">
      <c r="A2233" s="21"/>
      <c r="B2233" s="20"/>
      <c r="C2233" s="22"/>
      <c r="D2233" s="22"/>
      <c r="E2233" s="24"/>
      <c r="F2233" s="22"/>
      <c r="H2233" s="21">
        <v>46018</v>
      </c>
      <c r="I2233" s="22" t="s">
        <v>71</v>
      </c>
      <c r="J2233" s="22" t="s">
        <v>47</v>
      </c>
      <c r="K2233" s="24">
        <v>7</v>
      </c>
      <c r="M2233" s="21">
        <v>46094</v>
      </c>
      <c r="N2233" s="22" t="s">
        <v>70</v>
      </c>
      <c r="O2233" s="22" t="s">
        <v>44</v>
      </c>
      <c r="P2233" s="49">
        <v>67.099999999999994</v>
      </c>
      <c r="Q2233" s="49">
        <v>67</v>
      </c>
      <c r="R2233" s="46">
        <f t="shared" si="72"/>
        <v>9.9999999999994316E-2</v>
      </c>
      <c r="T2233" s="21">
        <v>46069</v>
      </c>
      <c r="U2233" s="22" t="s">
        <v>58</v>
      </c>
      <c r="V2233" s="24">
        <v>3</v>
      </c>
      <c r="W2233" s="24">
        <v>5</v>
      </c>
      <c r="X2233" s="24">
        <v>5</v>
      </c>
      <c r="Y2233" s="24">
        <v>5</v>
      </c>
      <c r="Z2233" s="20">
        <f t="shared" si="73"/>
        <v>18</v>
      </c>
    </row>
    <row r="2234" spans="1:26" x14ac:dyDescent="0.2">
      <c r="A2234" s="21"/>
      <c r="B2234" s="20"/>
      <c r="C2234" s="22"/>
      <c r="D2234" s="22"/>
      <c r="E2234" s="24"/>
      <c r="F2234" s="22"/>
      <c r="H2234" s="21">
        <v>46018</v>
      </c>
      <c r="I2234" s="22" t="s">
        <v>71</v>
      </c>
      <c r="J2234" s="22" t="s">
        <v>41</v>
      </c>
      <c r="K2234" s="24" t="s">
        <v>63</v>
      </c>
      <c r="M2234" s="21">
        <v>46094</v>
      </c>
      <c r="N2234" s="22" t="s">
        <v>71</v>
      </c>
      <c r="O2234" s="22" t="s">
        <v>44</v>
      </c>
      <c r="P2234" s="49">
        <v>67</v>
      </c>
      <c r="Q2234" s="49">
        <v>67</v>
      </c>
      <c r="R2234" s="46">
        <f t="shared" si="72"/>
        <v>0</v>
      </c>
      <c r="T2234" s="21">
        <v>46069</v>
      </c>
      <c r="U2234" s="22" t="s">
        <v>33</v>
      </c>
      <c r="V2234" s="24">
        <v>3.8571428571428599</v>
      </c>
      <c r="W2234" s="24">
        <v>3.5</v>
      </c>
      <c r="X2234" s="24">
        <v>3.6428571428571401</v>
      </c>
      <c r="Y2234" s="24">
        <v>3.9285714285714302</v>
      </c>
      <c r="Z2234" s="20">
        <f t="shared" si="73"/>
        <v>14.928571428571431</v>
      </c>
    </row>
    <row r="2235" spans="1:26" x14ac:dyDescent="0.2">
      <c r="A2235" s="21"/>
      <c r="B2235" s="20"/>
      <c r="C2235" s="22"/>
      <c r="D2235" s="22"/>
      <c r="E2235" s="24"/>
      <c r="F2235" s="22"/>
      <c r="H2235" s="21">
        <v>46018</v>
      </c>
      <c r="I2235" s="22" t="s">
        <v>71</v>
      </c>
      <c r="J2235" s="22" t="s">
        <v>58</v>
      </c>
      <c r="K2235" s="24">
        <v>8</v>
      </c>
      <c r="M2235" s="21">
        <v>46094</v>
      </c>
      <c r="N2235" s="22" t="s">
        <v>70</v>
      </c>
      <c r="O2235" s="22" t="s">
        <v>45</v>
      </c>
      <c r="P2235" s="49">
        <v>69</v>
      </c>
      <c r="Q2235" s="49">
        <v>68.5</v>
      </c>
      <c r="R2235" s="46">
        <f t="shared" si="72"/>
        <v>0.5</v>
      </c>
      <c r="T2235" s="21">
        <v>46072</v>
      </c>
      <c r="U2235" s="22" t="s">
        <v>41</v>
      </c>
      <c r="V2235" s="24">
        <v>1</v>
      </c>
      <c r="W2235" s="24">
        <v>1</v>
      </c>
      <c r="X2235" s="24">
        <v>1</v>
      </c>
      <c r="Y2235" s="24">
        <v>1</v>
      </c>
      <c r="Z2235" s="20">
        <f t="shared" si="73"/>
        <v>4</v>
      </c>
    </row>
    <row r="2236" spans="1:26" x14ac:dyDescent="0.2">
      <c r="A2236" s="21"/>
      <c r="B2236" s="20"/>
      <c r="C2236" s="22"/>
      <c r="D2236" s="22"/>
      <c r="E2236" s="24"/>
      <c r="F2236" s="22"/>
      <c r="H2236" s="21">
        <v>46018</v>
      </c>
      <c r="I2236" s="22" t="s">
        <v>71</v>
      </c>
      <c r="J2236" s="22" t="s">
        <v>49</v>
      </c>
      <c r="K2236" s="24">
        <v>8</v>
      </c>
      <c r="M2236" s="21">
        <v>46094</v>
      </c>
      <c r="N2236" s="22" t="s">
        <v>70</v>
      </c>
      <c r="O2236" s="22" t="s">
        <v>46</v>
      </c>
      <c r="P2236" s="49">
        <v>80.900000000000006</v>
      </c>
      <c r="Q2236" s="49">
        <v>81</v>
      </c>
      <c r="R2236" s="46">
        <f t="shared" si="72"/>
        <v>-9.9999999999994316E-2</v>
      </c>
      <c r="T2236" s="21">
        <v>46072</v>
      </c>
      <c r="U2236" s="22" t="s">
        <v>42</v>
      </c>
      <c r="V2236" s="24">
        <v>4</v>
      </c>
      <c r="W2236" s="24">
        <v>4</v>
      </c>
      <c r="X2236" s="24">
        <v>4</v>
      </c>
      <c r="Y2236" s="24">
        <v>4</v>
      </c>
      <c r="Z2236" s="20">
        <f t="shared" si="73"/>
        <v>16</v>
      </c>
    </row>
    <row r="2237" spans="1:26" x14ac:dyDescent="0.2">
      <c r="A2237" s="21"/>
      <c r="B2237" s="20"/>
      <c r="C2237" s="22"/>
      <c r="D2237" s="22"/>
      <c r="E2237" s="24"/>
      <c r="F2237" s="22"/>
      <c r="H2237" s="21">
        <v>46018</v>
      </c>
      <c r="I2237" s="22" t="s">
        <v>71</v>
      </c>
      <c r="J2237" s="22" t="s">
        <v>50</v>
      </c>
      <c r="K2237" s="24">
        <v>7</v>
      </c>
      <c r="M2237" s="21">
        <v>46094</v>
      </c>
      <c r="N2237" s="22" t="s">
        <v>71</v>
      </c>
      <c r="O2237" s="22" t="s">
        <v>46</v>
      </c>
      <c r="P2237" s="49">
        <v>82</v>
      </c>
      <c r="Q2237" s="49">
        <v>82</v>
      </c>
      <c r="R2237" s="46">
        <f t="shared" si="72"/>
        <v>0</v>
      </c>
      <c r="T2237" s="21">
        <v>46072</v>
      </c>
      <c r="U2237" s="22" t="s">
        <v>45</v>
      </c>
      <c r="V2237" s="24">
        <v>3</v>
      </c>
      <c r="W2237" s="24">
        <v>4</v>
      </c>
      <c r="X2237" s="24">
        <v>4</v>
      </c>
      <c r="Y2237" s="24">
        <v>4</v>
      </c>
      <c r="Z2237" s="20">
        <f t="shared" si="73"/>
        <v>15</v>
      </c>
    </row>
    <row r="2238" spans="1:26" x14ac:dyDescent="0.2">
      <c r="A2238" s="21"/>
      <c r="B2238" s="20"/>
      <c r="C2238" s="22"/>
      <c r="D2238" s="22"/>
      <c r="E2238" s="24"/>
      <c r="F2238" s="22"/>
      <c r="H2238" s="21">
        <v>46018</v>
      </c>
      <c r="I2238" s="22" t="s">
        <v>71</v>
      </c>
      <c r="J2238" s="22" t="s">
        <v>51</v>
      </c>
      <c r="K2238" s="24">
        <v>7</v>
      </c>
      <c r="M2238" s="21">
        <v>46094</v>
      </c>
      <c r="N2238" s="22" t="s">
        <v>70</v>
      </c>
      <c r="O2238" s="22" t="s">
        <v>47</v>
      </c>
      <c r="P2238" s="49">
        <v>71.7</v>
      </c>
      <c r="Q2238" s="49">
        <v>71.599999999999994</v>
      </c>
      <c r="R2238" s="46">
        <f t="shared" si="72"/>
        <v>0.10000000000000853</v>
      </c>
      <c r="T2238" s="21">
        <v>46072</v>
      </c>
      <c r="U2238" s="22" t="s">
        <v>46</v>
      </c>
      <c r="V2238" s="24">
        <v>4</v>
      </c>
      <c r="W2238" s="24">
        <v>3</v>
      </c>
      <c r="X2238" s="24">
        <v>4</v>
      </c>
      <c r="Y2238" s="24">
        <v>4</v>
      </c>
      <c r="Z2238" s="20">
        <f t="shared" si="73"/>
        <v>15</v>
      </c>
    </row>
    <row r="2239" spans="1:26" x14ac:dyDescent="0.2">
      <c r="A2239" s="21"/>
      <c r="B2239" s="20"/>
      <c r="C2239" s="22"/>
      <c r="D2239" s="22"/>
      <c r="E2239" s="24"/>
      <c r="F2239" s="22"/>
      <c r="H2239" s="21">
        <v>46018</v>
      </c>
      <c r="I2239" s="22" t="s">
        <v>71</v>
      </c>
      <c r="J2239" s="22" t="s">
        <v>46</v>
      </c>
      <c r="K2239" s="24">
        <v>8</v>
      </c>
      <c r="M2239" s="21">
        <v>46094</v>
      </c>
      <c r="N2239" s="22" t="s">
        <v>71</v>
      </c>
      <c r="O2239" s="22" t="s">
        <v>47</v>
      </c>
      <c r="P2239" s="49">
        <v>71</v>
      </c>
      <c r="Q2239" s="49">
        <v>71</v>
      </c>
      <c r="R2239" s="46">
        <f t="shared" si="72"/>
        <v>0</v>
      </c>
      <c r="T2239" s="21">
        <v>46072</v>
      </c>
      <c r="U2239" s="22" t="s">
        <v>47</v>
      </c>
      <c r="V2239" s="24">
        <v>4</v>
      </c>
      <c r="W2239" s="24">
        <v>4</v>
      </c>
      <c r="X2239" s="24">
        <v>4</v>
      </c>
      <c r="Y2239" s="24">
        <v>4</v>
      </c>
      <c r="Z2239" s="20">
        <f t="shared" si="73"/>
        <v>16</v>
      </c>
    </row>
    <row r="2240" spans="1:26" x14ac:dyDescent="0.2">
      <c r="A2240" s="21"/>
      <c r="B2240" s="20"/>
      <c r="C2240" s="22"/>
      <c r="D2240" s="22"/>
      <c r="E2240" s="24"/>
      <c r="F2240" s="22"/>
      <c r="H2240" s="21">
        <v>46018</v>
      </c>
      <c r="I2240" s="22" t="s">
        <v>71</v>
      </c>
      <c r="J2240" s="22" t="s">
        <v>48</v>
      </c>
      <c r="K2240" s="24" t="s">
        <v>61</v>
      </c>
      <c r="M2240" s="21">
        <v>46094</v>
      </c>
      <c r="N2240" s="22" t="s">
        <v>70</v>
      </c>
      <c r="O2240" s="22" t="s">
        <v>48</v>
      </c>
      <c r="P2240" s="49">
        <v>82.2</v>
      </c>
      <c r="Q2240" s="49">
        <v>81.5</v>
      </c>
      <c r="R2240" s="46">
        <f t="shared" si="72"/>
        <v>0.70000000000000284</v>
      </c>
      <c r="T2240" s="21">
        <v>46072</v>
      </c>
      <c r="U2240" s="22" t="s">
        <v>49</v>
      </c>
      <c r="V2240" s="24">
        <v>5</v>
      </c>
      <c r="W2240" s="24">
        <v>2</v>
      </c>
      <c r="X2240" s="24">
        <v>2</v>
      </c>
      <c r="Y2240" s="24">
        <v>3</v>
      </c>
      <c r="Z2240" s="20">
        <f t="shared" si="73"/>
        <v>12</v>
      </c>
    </row>
    <row r="2241" spans="1:26" x14ac:dyDescent="0.2">
      <c r="A2241" s="21"/>
      <c r="B2241" s="20"/>
      <c r="C2241" s="22"/>
      <c r="D2241" s="22"/>
      <c r="E2241" s="24"/>
      <c r="F2241" s="22"/>
      <c r="H2241" s="21">
        <v>46018</v>
      </c>
      <c r="I2241" s="22" t="s">
        <v>71</v>
      </c>
      <c r="J2241" s="22" t="s">
        <v>56</v>
      </c>
      <c r="K2241" s="24" t="s">
        <v>63</v>
      </c>
      <c r="M2241" s="21">
        <v>46094</v>
      </c>
      <c r="N2241" s="22" t="s">
        <v>71</v>
      </c>
      <c r="O2241" s="22" t="s">
        <v>48</v>
      </c>
      <c r="P2241" s="49">
        <v>82</v>
      </c>
      <c r="Q2241" s="49">
        <v>81</v>
      </c>
      <c r="R2241" s="46">
        <f t="shared" si="72"/>
        <v>1</v>
      </c>
      <c r="T2241" s="21">
        <v>46072</v>
      </c>
      <c r="U2241" s="22" t="s">
        <v>50</v>
      </c>
      <c r="V2241" s="24">
        <v>3</v>
      </c>
      <c r="W2241" s="24">
        <v>2</v>
      </c>
      <c r="X2241" s="24">
        <v>3</v>
      </c>
      <c r="Y2241" s="24">
        <v>3</v>
      </c>
      <c r="Z2241" s="20">
        <f t="shared" si="73"/>
        <v>11</v>
      </c>
    </row>
    <row r="2242" spans="1:26" x14ac:dyDescent="0.2">
      <c r="A2242" s="21"/>
      <c r="B2242" s="20"/>
      <c r="C2242" s="22"/>
      <c r="D2242" s="22"/>
      <c r="E2242" s="24"/>
      <c r="F2242" s="22"/>
      <c r="H2242" s="21">
        <v>46020</v>
      </c>
      <c r="I2242" s="22" t="s">
        <v>70</v>
      </c>
      <c r="J2242" s="22" t="s">
        <v>52</v>
      </c>
      <c r="K2242" s="24">
        <v>5</v>
      </c>
      <c r="M2242" s="21">
        <v>46094</v>
      </c>
      <c r="N2242" s="22" t="s">
        <v>70</v>
      </c>
      <c r="O2242" s="22" t="s">
        <v>49</v>
      </c>
      <c r="P2242" s="49">
        <v>79.599999999999994</v>
      </c>
      <c r="Q2242" s="49">
        <v>79.7</v>
      </c>
      <c r="R2242" s="46">
        <f t="shared" si="72"/>
        <v>-0.10000000000000853</v>
      </c>
      <c r="T2242" s="21">
        <v>46072</v>
      </c>
      <c r="U2242" s="22" t="s">
        <v>51</v>
      </c>
      <c r="V2242" s="24">
        <v>4</v>
      </c>
      <c r="W2242" s="24">
        <v>4</v>
      </c>
      <c r="X2242" s="24">
        <v>3</v>
      </c>
      <c r="Y2242" s="24">
        <v>3</v>
      </c>
      <c r="Z2242" s="20">
        <f t="shared" si="73"/>
        <v>14</v>
      </c>
    </row>
    <row r="2243" spans="1:26" x14ac:dyDescent="0.2">
      <c r="A2243" s="21"/>
      <c r="B2243" s="20"/>
      <c r="C2243" s="22"/>
      <c r="D2243" s="22"/>
      <c r="E2243" s="24"/>
      <c r="F2243" s="22"/>
      <c r="H2243" s="21">
        <v>46020</v>
      </c>
      <c r="I2243" s="22" t="s">
        <v>70</v>
      </c>
      <c r="J2243" s="22" t="s">
        <v>53</v>
      </c>
      <c r="K2243" s="24">
        <v>6</v>
      </c>
      <c r="M2243" s="21">
        <v>46094</v>
      </c>
      <c r="N2243" s="22" t="s">
        <v>71</v>
      </c>
      <c r="O2243" s="22" t="s">
        <v>49</v>
      </c>
      <c r="P2243" s="49">
        <v>79.5</v>
      </c>
      <c r="Q2243" s="49">
        <v>79.5</v>
      </c>
      <c r="R2243" s="46">
        <f t="shared" ref="R2243:R2306" si="74">IFERROR(P2243-Q2243,"")</f>
        <v>0</v>
      </c>
      <c r="T2243" s="21">
        <v>46072</v>
      </c>
      <c r="U2243" s="22" t="s">
        <v>52</v>
      </c>
      <c r="V2243" s="24">
        <v>4</v>
      </c>
      <c r="W2243" s="24">
        <v>4</v>
      </c>
      <c r="X2243" s="24">
        <v>4</v>
      </c>
      <c r="Y2243" s="24">
        <v>4</v>
      </c>
      <c r="Z2243" s="20">
        <f t="shared" ref="Z2243:Z2306" si="75">SUM(V2243:Y2243)</f>
        <v>16</v>
      </c>
    </row>
    <row r="2244" spans="1:26" x14ac:dyDescent="0.2">
      <c r="A2244" s="21"/>
      <c r="B2244" s="20"/>
      <c r="C2244" s="22"/>
      <c r="D2244" s="22"/>
      <c r="E2244" s="24"/>
      <c r="F2244" s="22"/>
      <c r="H2244" s="21">
        <v>46020</v>
      </c>
      <c r="I2244" s="22" t="s">
        <v>70</v>
      </c>
      <c r="J2244" s="22" t="s">
        <v>44</v>
      </c>
      <c r="K2244" s="24">
        <v>7</v>
      </c>
      <c r="M2244" s="21">
        <v>46094</v>
      </c>
      <c r="N2244" s="22" t="s">
        <v>70</v>
      </c>
      <c r="O2244" s="22" t="s">
        <v>50</v>
      </c>
      <c r="P2244" s="49">
        <v>67</v>
      </c>
      <c r="Q2244" s="49">
        <v>66.7</v>
      </c>
      <c r="R2244" s="46">
        <f t="shared" si="74"/>
        <v>0.29999999999999716</v>
      </c>
      <c r="T2244" s="21">
        <v>46072</v>
      </c>
      <c r="U2244" s="22" t="s">
        <v>53</v>
      </c>
      <c r="V2244" s="24">
        <v>4</v>
      </c>
      <c r="W2244" s="24">
        <v>4</v>
      </c>
      <c r="X2244" s="24">
        <v>4</v>
      </c>
      <c r="Y2244" s="24">
        <v>4</v>
      </c>
      <c r="Z2244" s="20">
        <f t="shared" si="75"/>
        <v>16</v>
      </c>
    </row>
    <row r="2245" spans="1:26" x14ac:dyDescent="0.2">
      <c r="A2245" s="21"/>
      <c r="B2245" s="20"/>
      <c r="C2245" s="22"/>
      <c r="D2245" s="22"/>
      <c r="E2245" s="24"/>
      <c r="F2245" s="22"/>
      <c r="H2245" s="21">
        <v>46020</v>
      </c>
      <c r="I2245" s="22" t="s">
        <v>70</v>
      </c>
      <c r="J2245" s="22" t="s">
        <v>45</v>
      </c>
      <c r="K2245" s="24">
        <v>7</v>
      </c>
      <c r="M2245" s="21">
        <v>46094</v>
      </c>
      <c r="N2245" s="22" t="s">
        <v>71</v>
      </c>
      <c r="O2245" s="22" t="s">
        <v>50</v>
      </c>
      <c r="P2245" s="49">
        <v>67.2</v>
      </c>
      <c r="Q2245" s="49">
        <v>67</v>
      </c>
      <c r="R2245" s="46">
        <f t="shared" si="74"/>
        <v>0.20000000000000284</v>
      </c>
      <c r="T2245" s="21">
        <v>46072</v>
      </c>
      <c r="U2245" s="22" t="s">
        <v>54</v>
      </c>
      <c r="V2245" s="24">
        <v>3</v>
      </c>
      <c r="W2245" s="24">
        <v>3</v>
      </c>
      <c r="X2245" s="24">
        <v>3</v>
      </c>
      <c r="Y2245" s="24">
        <v>4</v>
      </c>
      <c r="Z2245" s="20">
        <f t="shared" si="75"/>
        <v>13</v>
      </c>
    </row>
    <row r="2246" spans="1:26" x14ac:dyDescent="0.2">
      <c r="A2246" s="21"/>
      <c r="B2246" s="20"/>
      <c r="C2246" s="22"/>
      <c r="D2246" s="22"/>
      <c r="E2246" s="24"/>
      <c r="F2246" s="22"/>
      <c r="H2246" s="21">
        <v>46020</v>
      </c>
      <c r="I2246" s="22" t="s">
        <v>70</v>
      </c>
      <c r="J2246" s="22" t="s">
        <v>57</v>
      </c>
      <c r="K2246" s="24">
        <v>7</v>
      </c>
      <c r="M2246" s="21">
        <v>46094</v>
      </c>
      <c r="N2246" s="22" t="s">
        <v>70</v>
      </c>
      <c r="O2246" s="22" t="s">
        <v>51</v>
      </c>
      <c r="P2246" s="49">
        <v>75.900000000000006</v>
      </c>
      <c r="Q2246" s="49">
        <v>75.8</v>
      </c>
      <c r="R2246" s="46">
        <f t="shared" si="74"/>
        <v>0.10000000000000853</v>
      </c>
      <c r="T2246" s="21">
        <v>46072</v>
      </c>
      <c r="U2246" s="22" t="s">
        <v>57</v>
      </c>
      <c r="V2246" s="24">
        <v>4</v>
      </c>
      <c r="W2246" s="24">
        <v>3</v>
      </c>
      <c r="X2246" s="24">
        <v>3</v>
      </c>
      <c r="Y2246" s="24">
        <v>2</v>
      </c>
      <c r="Z2246" s="20">
        <f t="shared" si="75"/>
        <v>12</v>
      </c>
    </row>
    <row r="2247" spans="1:26" x14ac:dyDescent="0.2">
      <c r="A2247" s="21"/>
      <c r="B2247" s="20"/>
      <c r="C2247" s="22"/>
      <c r="D2247" s="22"/>
      <c r="E2247" s="24"/>
      <c r="F2247" s="22"/>
      <c r="H2247" s="21">
        <v>46020</v>
      </c>
      <c r="I2247" s="22" t="s">
        <v>70</v>
      </c>
      <c r="J2247" s="22" t="s">
        <v>42</v>
      </c>
      <c r="K2247" s="24">
        <v>3</v>
      </c>
      <c r="M2247" s="21">
        <v>46094</v>
      </c>
      <c r="N2247" s="22" t="s">
        <v>71</v>
      </c>
      <c r="O2247" s="22" t="s">
        <v>51</v>
      </c>
      <c r="P2247" s="49">
        <v>75.900000000000006</v>
      </c>
      <c r="Q2247" s="49">
        <v>75.5</v>
      </c>
      <c r="R2247" s="46">
        <f t="shared" si="74"/>
        <v>0.40000000000000568</v>
      </c>
      <c r="T2247" s="21">
        <v>46072</v>
      </c>
      <c r="U2247" s="22" t="s">
        <v>58</v>
      </c>
      <c r="V2247" s="24">
        <v>3</v>
      </c>
      <c r="W2247" s="24">
        <v>5</v>
      </c>
      <c r="X2247" s="24">
        <v>5</v>
      </c>
      <c r="Y2247" s="24">
        <v>3</v>
      </c>
      <c r="Z2247" s="20">
        <f t="shared" si="75"/>
        <v>16</v>
      </c>
    </row>
    <row r="2248" spans="1:26" x14ac:dyDescent="0.2">
      <c r="A2248" s="21"/>
      <c r="B2248" s="20"/>
      <c r="C2248" s="22"/>
      <c r="D2248" s="22"/>
      <c r="E2248" s="24"/>
      <c r="F2248" s="22"/>
      <c r="H2248" s="21">
        <v>46020</v>
      </c>
      <c r="I2248" s="22" t="s">
        <v>70</v>
      </c>
      <c r="J2248" s="22" t="s">
        <v>47</v>
      </c>
      <c r="K2248" s="24">
        <v>8</v>
      </c>
      <c r="M2248" s="21">
        <v>46094</v>
      </c>
      <c r="N2248" s="22" t="s">
        <v>70</v>
      </c>
      <c r="O2248" s="22" t="s">
        <v>52</v>
      </c>
      <c r="P2248" s="49">
        <v>71.2</v>
      </c>
      <c r="Q2248" s="49">
        <v>71</v>
      </c>
      <c r="R2248" s="46">
        <f t="shared" si="74"/>
        <v>0.20000000000000284</v>
      </c>
      <c r="T2248" s="21">
        <v>46072</v>
      </c>
      <c r="U2248" s="22" t="s">
        <v>33</v>
      </c>
      <c r="V2248" s="24">
        <v>3.5384615384615401</v>
      </c>
      <c r="W2248" s="24">
        <v>3.3076923076923102</v>
      </c>
      <c r="X2248" s="24">
        <v>3.3846153846153801</v>
      </c>
      <c r="Y2248" s="24">
        <v>3.3076923076923102</v>
      </c>
      <c r="Z2248" s="20">
        <f t="shared" si="75"/>
        <v>13.53846153846154</v>
      </c>
    </row>
    <row r="2249" spans="1:26" x14ac:dyDescent="0.2">
      <c r="A2249" s="21"/>
      <c r="B2249" s="20"/>
      <c r="C2249" s="22"/>
      <c r="D2249" s="22"/>
      <c r="E2249" s="24"/>
      <c r="F2249" s="22"/>
      <c r="H2249" s="21">
        <v>46020</v>
      </c>
      <c r="I2249" s="22" t="s">
        <v>70</v>
      </c>
      <c r="J2249" s="22" t="s">
        <v>41</v>
      </c>
      <c r="K2249" s="24">
        <v>3</v>
      </c>
      <c r="M2249" s="21">
        <v>46094</v>
      </c>
      <c r="N2249" s="22" t="s">
        <v>71</v>
      </c>
      <c r="O2249" s="22" t="s">
        <v>52</v>
      </c>
      <c r="P2249" s="49">
        <v>71</v>
      </c>
      <c r="Q2249" s="49">
        <v>71</v>
      </c>
      <c r="R2249" s="46">
        <f t="shared" si="74"/>
        <v>0</v>
      </c>
      <c r="T2249" s="21">
        <v>46073</v>
      </c>
      <c r="U2249" s="22" t="s">
        <v>41</v>
      </c>
      <c r="V2249" s="24">
        <v>1</v>
      </c>
      <c r="W2249" s="24">
        <v>1</v>
      </c>
      <c r="X2249" s="24">
        <v>1</v>
      </c>
      <c r="Y2249" s="24">
        <v>1</v>
      </c>
      <c r="Z2249" s="20">
        <f t="shared" si="75"/>
        <v>4</v>
      </c>
    </row>
    <row r="2250" spans="1:26" x14ac:dyDescent="0.2">
      <c r="A2250" s="21"/>
      <c r="B2250" s="20"/>
      <c r="C2250" s="22"/>
      <c r="D2250" s="22"/>
      <c r="E2250" s="24"/>
      <c r="F2250" s="22"/>
      <c r="H2250" s="21">
        <v>46020</v>
      </c>
      <c r="I2250" s="22" t="s">
        <v>70</v>
      </c>
      <c r="J2250" s="22" t="s">
        <v>58</v>
      </c>
      <c r="K2250" s="24">
        <v>7</v>
      </c>
      <c r="M2250" s="21">
        <v>46094</v>
      </c>
      <c r="N2250" s="22" t="s">
        <v>70</v>
      </c>
      <c r="O2250" s="22" t="s">
        <v>53</v>
      </c>
      <c r="P2250" s="49">
        <v>68.5</v>
      </c>
      <c r="Q2250" s="49">
        <v>68.2</v>
      </c>
      <c r="R2250" s="46">
        <f t="shared" si="74"/>
        <v>0.29999999999999716</v>
      </c>
      <c r="T2250" s="21">
        <v>46073</v>
      </c>
      <c r="U2250" s="22" t="s">
        <v>42</v>
      </c>
      <c r="V2250" s="24">
        <v>3</v>
      </c>
      <c r="W2250" s="24">
        <v>4</v>
      </c>
      <c r="X2250" s="24">
        <v>4</v>
      </c>
      <c r="Y2250" s="24">
        <v>4</v>
      </c>
      <c r="Z2250" s="20">
        <f t="shared" si="75"/>
        <v>15</v>
      </c>
    </row>
    <row r="2251" spans="1:26" x14ac:dyDescent="0.2">
      <c r="A2251" s="21"/>
      <c r="B2251" s="20"/>
      <c r="C2251" s="22"/>
      <c r="D2251" s="22"/>
      <c r="E2251" s="24"/>
      <c r="F2251" s="22"/>
      <c r="H2251" s="21">
        <v>46020</v>
      </c>
      <c r="I2251" s="22" t="s">
        <v>70</v>
      </c>
      <c r="J2251" s="22" t="s">
        <v>49</v>
      </c>
      <c r="K2251" s="24">
        <v>7</v>
      </c>
      <c r="M2251" s="21">
        <v>46094</v>
      </c>
      <c r="N2251" s="22" t="s">
        <v>71</v>
      </c>
      <c r="O2251" s="22" t="s">
        <v>53</v>
      </c>
      <c r="P2251" s="49">
        <v>68.599999999999994</v>
      </c>
      <c r="Q2251" s="49">
        <v>68</v>
      </c>
      <c r="R2251" s="46">
        <f t="shared" si="74"/>
        <v>0.59999999999999432</v>
      </c>
      <c r="T2251" s="21">
        <v>46073</v>
      </c>
      <c r="U2251" s="22" t="s">
        <v>45</v>
      </c>
      <c r="V2251" s="24">
        <v>4</v>
      </c>
      <c r="W2251" s="24">
        <v>4</v>
      </c>
      <c r="X2251" s="24">
        <v>4</v>
      </c>
      <c r="Y2251" s="24">
        <v>5</v>
      </c>
      <c r="Z2251" s="20">
        <f t="shared" si="75"/>
        <v>17</v>
      </c>
    </row>
    <row r="2252" spans="1:26" x14ac:dyDescent="0.2">
      <c r="A2252" s="21"/>
      <c r="B2252" s="20"/>
      <c r="C2252" s="22"/>
      <c r="D2252" s="22"/>
      <c r="E2252" s="24"/>
      <c r="F2252" s="22"/>
      <c r="H2252" s="21">
        <v>46020</v>
      </c>
      <c r="I2252" s="22" t="s">
        <v>70</v>
      </c>
      <c r="J2252" s="22" t="s">
        <v>50</v>
      </c>
      <c r="K2252" s="24">
        <v>6</v>
      </c>
      <c r="M2252" s="21">
        <v>46094</v>
      </c>
      <c r="N2252" s="22" t="s">
        <v>70</v>
      </c>
      <c r="O2252" s="22" t="s">
        <v>56</v>
      </c>
      <c r="P2252" s="49">
        <v>74.5</v>
      </c>
      <c r="Q2252" s="49">
        <v>74.5</v>
      </c>
      <c r="R2252" s="46">
        <f t="shared" si="74"/>
        <v>0</v>
      </c>
      <c r="T2252" s="21">
        <v>46073</v>
      </c>
      <c r="U2252" s="22" t="s">
        <v>46</v>
      </c>
      <c r="V2252" s="24">
        <v>4</v>
      </c>
      <c r="W2252" s="24">
        <v>4</v>
      </c>
      <c r="X2252" s="24">
        <v>4</v>
      </c>
      <c r="Y2252" s="24">
        <v>4</v>
      </c>
      <c r="Z2252" s="20">
        <f t="shared" si="75"/>
        <v>16</v>
      </c>
    </row>
    <row r="2253" spans="1:26" x14ac:dyDescent="0.2">
      <c r="A2253" s="21"/>
      <c r="B2253" s="20"/>
      <c r="C2253" s="22"/>
      <c r="D2253" s="22"/>
      <c r="E2253" s="24"/>
      <c r="F2253" s="22"/>
      <c r="H2253" s="21">
        <v>46020</v>
      </c>
      <c r="I2253" s="22" t="s">
        <v>70</v>
      </c>
      <c r="J2253" s="22" t="s">
        <v>51</v>
      </c>
      <c r="K2253" s="24">
        <v>6</v>
      </c>
      <c r="M2253" s="21">
        <v>46094</v>
      </c>
      <c r="N2253" s="22" t="s">
        <v>70</v>
      </c>
      <c r="O2253" s="22" t="s">
        <v>57</v>
      </c>
      <c r="P2253" s="49">
        <v>90.7</v>
      </c>
      <c r="Q2253" s="49">
        <v>90.2</v>
      </c>
      <c r="R2253" s="46">
        <f t="shared" si="74"/>
        <v>0.5</v>
      </c>
      <c r="T2253" s="21">
        <v>46073</v>
      </c>
      <c r="U2253" s="22" t="s">
        <v>47</v>
      </c>
      <c r="V2253" s="24">
        <v>4</v>
      </c>
      <c r="W2253" s="24">
        <v>4</v>
      </c>
      <c r="X2253" s="24">
        <v>3</v>
      </c>
      <c r="Y2253" s="24">
        <v>4</v>
      </c>
      <c r="Z2253" s="20">
        <f t="shared" si="75"/>
        <v>15</v>
      </c>
    </row>
    <row r="2254" spans="1:26" x14ac:dyDescent="0.2">
      <c r="A2254" s="21"/>
      <c r="B2254" s="20"/>
      <c r="C2254" s="22"/>
      <c r="D2254" s="22"/>
      <c r="E2254" s="24"/>
      <c r="F2254" s="22"/>
      <c r="H2254" s="21">
        <v>46020</v>
      </c>
      <c r="I2254" s="22" t="s">
        <v>70</v>
      </c>
      <c r="J2254" s="22" t="s">
        <v>46</v>
      </c>
      <c r="K2254" s="24">
        <v>5</v>
      </c>
      <c r="M2254" s="21">
        <v>46094</v>
      </c>
      <c r="N2254" s="22" t="s">
        <v>71</v>
      </c>
      <c r="O2254" s="22" t="s">
        <v>57</v>
      </c>
      <c r="P2254" s="49">
        <v>90</v>
      </c>
      <c r="Q2254" s="49">
        <v>90</v>
      </c>
      <c r="R2254" s="46">
        <f t="shared" si="74"/>
        <v>0</v>
      </c>
      <c r="T2254" s="21">
        <v>46073</v>
      </c>
      <c r="U2254" s="22" t="s">
        <v>49</v>
      </c>
      <c r="V2254" s="24">
        <v>2</v>
      </c>
      <c r="W2254" s="24">
        <v>3</v>
      </c>
      <c r="X2254" s="24">
        <v>4</v>
      </c>
      <c r="Y2254" s="24">
        <v>3</v>
      </c>
      <c r="Z2254" s="20">
        <f t="shared" si="75"/>
        <v>12</v>
      </c>
    </row>
    <row r="2255" spans="1:26" x14ac:dyDescent="0.2">
      <c r="A2255" s="21"/>
      <c r="B2255" s="20"/>
      <c r="C2255" s="22"/>
      <c r="D2255" s="22"/>
      <c r="E2255" s="24"/>
      <c r="F2255" s="22"/>
      <c r="H2255" s="21">
        <v>46020</v>
      </c>
      <c r="I2255" s="22" t="s">
        <v>70</v>
      </c>
      <c r="J2255" s="22" t="s">
        <v>48</v>
      </c>
      <c r="K2255" s="24" t="s">
        <v>61</v>
      </c>
      <c r="M2255" s="21">
        <v>46094</v>
      </c>
      <c r="N2255" s="22" t="s">
        <v>70</v>
      </c>
      <c r="O2255" s="22" t="s">
        <v>58</v>
      </c>
      <c r="P2255" s="49">
        <v>76.7</v>
      </c>
      <c r="Q2255" s="49">
        <v>76.8</v>
      </c>
      <c r="R2255" s="46">
        <f t="shared" si="74"/>
        <v>-9.9999999999994316E-2</v>
      </c>
      <c r="T2255" s="21">
        <v>46073</v>
      </c>
      <c r="U2255" s="22" t="s">
        <v>50</v>
      </c>
      <c r="V2255" s="24">
        <v>3</v>
      </c>
      <c r="W2255" s="24">
        <v>3</v>
      </c>
      <c r="X2255" s="24">
        <v>3</v>
      </c>
      <c r="Y2255" s="24">
        <v>4</v>
      </c>
      <c r="Z2255" s="20">
        <f t="shared" si="75"/>
        <v>13</v>
      </c>
    </row>
    <row r="2256" spans="1:26" x14ac:dyDescent="0.2">
      <c r="A2256" s="21"/>
      <c r="B2256" s="20"/>
      <c r="C2256" s="22"/>
      <c r="D2256" s="22"/>
      <c r="E2256" s="24"/>
      <c r="F2256" s="22"/>
      <c r="H2256" s="21">
        <v>46020</v>
      </c>
      <c r="I2256" s="22" t="s">
        <v>70</v>
      </c>
      <c r="J2256" s="22" t="s">
        <v>56</v>
      </c>
      <c r="K2256" s="24">
        <v>7</v>
      </c>
      <c r="M2256" s="21">
        <v>46094</v>
      </c>
      <c r="N2256" s="22" t="s">
        <v>71</v>
      </c>
      <c r="O2256" s="22" t="s">
        <v>58</v>
      </c>
      <c r="P2256" s="49">
        <v>77</v>
      </c>
      <c r="Q2256" s="49">
        <v>77</v>
      </c>
      <c r="R2256" s="46">
        <f t="shared" si="74"/>
        <v>0</v>
      </c>
      <c r="T2256" s="21">
        <v>46073</v>
      </c>
      <c r="U2256" s="22" t="s">
        <v>51</v>
      </c>
      <c r="V2256" s="24">
        <v>4</v>
      </c>
      <c r="W2256" s="24">
        <v>3</v>
      </c>
      <c r="X2256" s="24">
        <v>3</v>
      </c>
      <c r="Y2256" s="24">
        <v>4</v>
      </c>
      <c r="Z2256" s="20">
        <f t="shared" si="75"/>
        <v>14</v>
      </c>
    </row>
    <row r="2257" spans="1:26" x14ac:dyDescent="0.2">
      <c r="A2257" s="21"/>
      <c r="B2257" s="20"/>
      <c r="C2257" s="22"/>
      <c r="D2257" s="22"/>
      <c r="E2257" s="24"/>
      <c r="F2257" s="22"/>
      <c r="H2257" s="21">
        <v>46020</v>
      </c>
      <c r="I2257" s="22" t="s">
        <v>70</v>
      </c>
      <c r="J2257" s="22" t="s">
        <v>55</v>
      </c>
      <c r="K2257" s="24">
        <v>7</v>
      </c>
      <c r="M2257" s="21">
        <v>46097</v>
      </c>
      <c r="N2257" s="22" t="s">
        <v>70</v>
      </c>
      <c r="O2257" s="22" t="s">
        <v>41</v>
      </c>
      <c r="P2257" s="49">
        <v>77</v>
      </c>
      <c r="Q2257" s="49">
        <v>77</v>
      </c>
      <c r="R2257" s="46">
        <f t="shared" si="74"/>
        <v>0</v>
      </c>
      <c r="T2257" s="21">
        <v>46073</v>
      </c>
      <c r="U2257" s="22" t="s">
        <v>52</v>
      </c>
      <c r="V2257" s="24">
        <v>4</v>
      </c>
      <c r="W2257" s="24">
        <v>4</v>
      </c>
      <c r="X2257" s="24">
        <v>4</v>
      </c>
      <c r="Y2257" s="24">
        <v>4</v>
      </c>
      <c r="Z2257" s="20">
        <f t="shared" si="75"/>
        <v>16</v>
      </c>
    </row>
    <row r="2258" spans="1:26" x14ac:dyDescent="0.2">
      <c r="A2258" s="21"/>
      <c r="B2258" s="20"/>
      <c r="C2258" s="22"/>
      <c r="D2258" s="22"/>
      <c r="E2258" s="24"/>
      <c r="F2258" s="22"/>
      <c r="H2258" s="21">
        <v>46021</v>
      </c>
      <c r="I2258" s="22" t="s">
        <v>70</v>
      </c>
      <c r="J2258" s="22" t="s">
        <v>52</v>
      </c>
      <c r="K2258" s="24">
        <v>6</v>
      </c>
      <c r="M2258" s="21">
        <v>46097</v>
      </c>
      <c r="N2258" s="22" t="s">
        <v>70</v>
      </c>
      <c r="O2258" s="22" t="s">
        <v>42</v>
      </c>
      <c r="P2258" s="49">
        <v>79.599999999999994</v>
      </c>
      <c r="Q2258" s="49">
        <v>79</v>
      </c>
      <c r="R2258" s="46">
        <f t="shared" si="74"/>
        <v>0.59999999999999432</v>
      </c>
      <c r="T2258" s="21">
        <v>46073</v>
      </c>
      <c r="U2258" s="22" t="s">
        <v>53</v>
      </c>
      <c r="V2258" s="24">
        <v>4</v>
      </c>
      <c r="W2258" s="24">
        <v>4</v>
      </c>
      <c r="X2258" s="24">
        <v>4</v>
      </c>
      <c r="Y2258" s="24">
        <v>4</v>
      </c>
      <c r="Z2258" s="20">
        <f t="shared" si="75"/>
        <v>16</v>
      </c>
    </row>
    <row r="2259" spans="1:26" x14ac:dyDescent="0.2">
      <c r="A2259" s="21"/>
      <c r="B2259" s="20"/>
      <c r="C2259" s="22"/>
      <c r="D2259" s="22"/>
      <c r="E2259" s="24"/>
      <c r="F2259" s="22"/>
      <c r="H2259" s="21">
        <v>46021</v>
      </c>
      <c r="I2259" s="22" t="s">
        <v>70</v>
      </c>
      <c r="J2259" s="22" t="s">
        <v>53</v>
      </c>
      <c r="K2259" s="24">
        <v>7</v>
      </c>
      <c r="M2259" s="21">
        <v>46097</v>
      </c>
      <c r="N2259" s="22" t="s">
        <v>70</v>
      </c>
      <c r="O2259" s="22" t="s">
        <v>44</v>
      </c>
      <c r="P2259" s="49">
        <v>67</v>
      </c>
      <c r="Q2259" s="49">
        <v>67.099999999999994</v>
      </c>
      <c r="R2259" s="46">
        <f t="shared" si="74"/>
        <v>-9.9999999999994316E-2</v>
      </c>
      <c r="T2259" s="21">
        <v>46073</v>
      </c>
      <c r="U2259" s="22" t="s">
        <v>54</v>
      </c>
      <c r="V2259" s="24">
        <v>4</v>
      </c>
      <c r="W2259" s="24">
        <v>4</v>
      </c>
      <c r="X2259" s="24">
        <v>4</v>
      </c>
      <c r="Y2259" s="24">
        <v>4</v>
      </c>
      <c r="Z2259" s="20">
        <f t="shared" si="75"/>
        <v>16</v>
      </c>
    </row>
    <row r="2260" spans="1:26" x14ac:dyDescent="0.2">
      <c r="A2260" s="21"/>
      <c r="B2260" s="20"/>
      <c r="C2260" s="22"/>
      <c r="D2260" s="22"/>
      <c r="E2260" s="24"/>
      <c r="F2260" s="22"/>
      <c r="H2260" s="21">
        <v>46021</v>
      </c>
      <c r="I2260" s="22" t="s">
        <v>70</v>
      </c>
      <c r="J2260" s="22" t="s">
        <v>44</v>
      </c>
      <c r="K2260" s="24">
        <v>8</v>
      </c>
      <c r="M2260" s="21">
        <v>46097</v>
      </c>
      <c r="N2260" s="22" t="s">
        <v>70</v>
      </c>
      <c r="O2260" s="22" t="s">
        <v>45</v>
      </c>
      <c r="P2260" s="49">
        <v>68.599999999999994</v>
      </c>
      <c r="Q2260" s="49">
        <v>68.099999999999994</v>
      </c>
      <c r="R2260" s="46">
        <f t="shared" si="74"/>
        <v>0.5</v>
      </c>
      <c r="T2260" s="21">
        <v>46073</v>
      </c>
      <c r="U2260" s="22" t="s">
        <v>57</v>
      </c>
      <c r="V2260" s="24">
        <v>3</v>
      </c>
      <c r="W2260" s="24">
        <v>2</v>
      </c>
      <c r="X2260" s="24">
        <v>3</v>
      </c>
      <c r="Y2260" s="24">
        <v>3</v>
      </c>
      <c r="Z2260" s="20">
        <f t="shared" si="75"/>
        <v>11</v>
      </c>
    </row>
    <row r="2261" spans="1:26" x14ac:dyDescent="0.2">
      <c r="A2261" s="21"/>
      <c r="B2261" s="20"/>
      <c r="C2261" s="22"/>
      <c r="D2261" s="22"/>
      <c r="E2261" s="24"/>
      <c r="F2261" s="22"/>
      <c r="H2261" s="21">
        <v>46021</v>
      </c>
      <c r="I2261" s="22" t="s">
        <v>70</v>
      </c>
      <c r="J2261" s="22" t="s">
        <v>45</v>
      </c>
      <c r="K2261" s="24">
        <v>6</v>
      </c>
      <c r="M2261" s="21">
        <v>46097</v>
      </c>
      <c r="N2261" s="22" t="s">
        <v>70</v>
      </c>
      <c r="O2261" s="22" t="s">
        <v>46</v>
      </c>
      <c r="P2261" s="49">
        <v>81.599999999999994</v>
      </c>
      <c r="Q2261" s="49">
        <v>81</v>
      </c>
      <c r="R2261" s="46">
        <f t="shared" si="74"/>
        <v>0.59999999999999432</v>
      </c>
      <c r="T2261" s="21">
        <v>46073</v>
      </c>
      <c r="U2261" s="22" t="s">
        <v>58</v>
      </c>
      <c r="V2261" s="24">
        <v>4</v>
      </c>
      <c r="W2261" s="24">
        <v>4</v>
      </c>
      <c r="X2261" s="24">
        <v>4</v>
      </c>
      <c r="Y2261" s="24">
        <v>4</v>
      </c>
      <c r="Z2261" s="20">
        <f t="shared" si="75"/>
        <v>16</v>
      </c>
    </row>
    <row r="2262" spans="1:26" x14ac:dyDescent="0.2">
      <c r="A2262" s="21"/>
      <c r="B2262" s="20"/>
      <c r="C2262" s="22"/>
      <c r="D2262" s="22"/>
      <c r="E2262" s="24"/>
      <c r="F2262" s="22"/>
      <c r="H2262" s="21">
        <v>46021</v>
      </c>
      <c r="I2262" s="22" t="s">
        <v>70</v>
      </c>
      <c r="J2262" s="22" t="s">
        <v>57</v>
      </c>
      <c r="K2262" s="24">
        <v>6</v>
      </c>
      <c r="M2262" s="21">
        <v>46097</v>
      </c>
      <c r="N2262" s="22" t="s">
        <v>70</v>
      </c>
      <c r="O2262" s="22" t="s">
        <v>47</v>
      </c>
      <c r="P2262" s="49">
        <v>71.599999999999994</v>
      </c>
      <c r="Q2262" s="49">
        <v>71.5</v>
      </c>
      <c r="R2262" s="46">
        <f t="shared" si="74"/>
        <v>9.9999999999994316E-2</v>
      </c>
      <c r="T2262" s="21">
        <v>46073</v>
      </c>
      <c r="U2262" s="22" t="s">
        <v>33</v>
      </c>
      <c r="V2262" s="24">
        <v>3.3846153846153801</v>
      </c>
      <c r="W2262" s="24">
        <v>3.3846153846153801</v>
      </c>
      <c r="X2262" s="24">
        <v>3.4615384615384599</v>
      </c>
      <c r="Y2262" s="24">
        <v>3.6923076923076898</v>
      </c>
      <c r="Z2262" s="20">
        <f t="shared" si="75"/>
        <v>13.923076923076909</v>
      </c>
    </row>
    <row r="2263" spans="1:26" x14ac:dyDescent="0.2">
      <c r="A2263" s="21"/>
      <c r="B2263" s="20"/>
      <c r="C2263" s="22"/>
      <c r="D2263" s="22"/>
      <c r="E2263" s="24"/>
      <c r="F2263" s="22"/>
      <c r="H2263" s="21">
        <v>46021</v>
      </c>
      <c r="I2263" s="22" t="s">
        <v>70</v>
      </c>
      <c r="J2263" s="22" t="s">
        <v>42</v>
      </c>
      <c r="K2263" s="24">
        <v>3</v>
      </c>
      <c r="M2263" s="21">
        <v>46097</v>
      </c>
      <c r="N2263" s="22" t="s">
        <v>70</v>
      </c>
      <c r="O2263" s="22" t="s">
        <v>48</v>
      </c>
      <c r="P2263" s="49">
        <v>82.5</v>
      </c>
      <c r="Q2263" s="49">
        <v>81.400000000000006</v>
      </c>
      <c r="R2263" s="46">
        <f t="shared" si="74"/>
        <v>1.0999999999999943</v>
      </c>
      <c r="T2263" s="21">
        <v>46076</v>
      </c>
      <c r="U2263" s="22" t="s">
        <v>41</v>
      </c>
      <c r="V2263" s="24">
        <v>1</v>
      </c>
      <c r="W2263" s="24">
        <v>1</v>
      </c>
      <c r="X2263" s="24">
        <v>1</v>
      </c>
      <c r="Y2263" s="24">
        <v>1</v>
      </c>
      <c r="Z2263" s="20">
        <f t="shared" si="75"/>
        <v>4</v>
      </c>
    </row>
    <row r="2264" spans="1:26" x14ac:dyDescent="0.2">
      <c r="A2264" s="21"/>
      <c r="B2264" s="20"/>
      <c r="C2264" s="22"/>
      <c r="D2264" s="22"/>
      <c r="E2264" s="24"/>
      <c r="F2264" s="22"/>
      <c r="H2264" s="21">
        <v>46021</v>
      </c>
      <c r="I2264" s="22" t="s">
        <v>70</v>
      </c>
      <c r="J2264" s="22" t="s">
        <v>47</v>
      </c>
      <c r="K2264" s="24">
        <v>6</v>
      </c>
      <c r="M2264" s="21">
        <v>46097</v>
      </c>
      <c r="N2264" s="22" t="s">
        <v>70</v>
      </c>
      <c r="O2264" s="22" t="s">
        <v>49</v>
      </c>
      <c r="P2264" s="49">
        <v>79.5</v>
      </c>
      <c r="Q2264" s="49">
        <v>79.5</v>
      </c>
      <c r="R2264" s="46">
        <f t="shared" si="74"/>
        <v>0</v>
      </c>
      <c r="T2264" s="21">
        <v>46076</v>
      </c>
      <c r="U2264" s="22" t="s">
        <v>42</v>
      </c>
      <c r="V2264" s="24">
        <v>4</v>
      </c>
      <c r="W2264" s="24">
        <v>4</v>
      </c>
      <c r="X2264" s="24">
        <v>4</v>
      </c>
      <c r="Y2264" s="24">
        <v>4</v>
      </c>
      <c r="Z2264" s="20">
        <f t="shared" si="75"/>
        <v>16</v>
      </c>
    </row>
    <row r="2265" spans="1:26" x14ac:dyDescent="0.2">
      <c r="A2265" s="21"/>
      <c r="B2265" s="20"/>
      <c r="C2265" s="22"/>
      <c r="D2265" s="22"/>
      <c r="E2265" s="24"/>
      <c r="F2265" s="22"/>
      <c r="H2265" s="21">
        <v>46021</v>
      </c>
      <c r="I2265" s="22" t="s">
        <v>70</v>
      </c>
      <c r="J2265" s="22" t="s">
        <v>41</v>
      </c>
      <c r="K2265" s="24">
        <v>3</v>
      </c>
      <c r="M2265" s="21">
        <v>46097</v>
      </c>
      <c r="N2265" s="22" t="s">
        <v>70</v>
      </c>
      <c r="O2265" s="22" t="s">
        <v>50</v>
      </c>
      <c r="P2265" s="49">
        <v>66.8</v>
      </c>
      <c r="Q2265" s="49">
        <v>66</v>
      </c>
      <c r="R2265" s="46">
        <f t="shared" si="74"/>
        <v>0.79999999999999716</v>
      </c>
      <c r="T2265" s="21">
        <v>46076</v>
      </c>
      <c r="U2265" s="22" t="s">
        <v>44</v>
      </c>
      <c r="V2265" s="24">
        <v>5</v>
      </c>
      <c r="W2265" s="24">
        <v>5</v>
      </c>
      <c r="X2265" s="24">
        <v>5</v>
      </c>
      <c r="Y2265" s="24">
        <v>5</v>
      </c>
      <c r="Z2265" s="20">
        <f t="shared" si="75"/>
        <v>20</v>
      </c>
    </row>
    <row r="2266" spans="1:26" x14ac:dyDescent="0.2">
      <c r="A2266" s="21"/>
      <c r="B2266" s="20"/>
      <c r="C2266" s="22"/>
      <c r="D2266" s="22"/>
      <c r="E2266" s="24"/>
      <c r="F2266" s="22"/>
      <c r="H2266" s="21">
        <v>46021</v>
      </c>
      <c r="I2266" s="22" t="s">
        <v>70</v>
      </c>
      <c r="J2266" s="22" t="s">
        <v>58</v>
      </c>
      <c r="K2266" s="24">
        <v>8</v>
      </c>
      <c r="M2266" s="21">
        <v>46097</v>
      </c>
      <c r="N2266" s="22" t="s">
        <v>70</v>
      </c>
      <c r="O2266" s="22" t="s">
        <v>51</v>
      </c>
      <c r="P2266" s="49">
        <v>75.8</v>
      </c>
      <c r="Q2266" s="49">
        <v>75.7</v>
      </c>
      <c r="R2266" s="46">
        <f t="shared" si="74"/>
        <v>9.9999999999994316E-2</v>
      </c>
      <c r="T2266" s="21">
        <v>46076</v>
      </c>
      <c r="U2266" s="22" t="s">
        <v>45</v>
      </c>
      <c r="V2266" s="24">
        <v>4</v>
      </c>
      <c r="W2266" s="24">
        <v>4</v>
      </c>
      <c r="X2266" s="24">
        <v>5</v>
      </c>
      <c r="Y2266" s="24">
        <v>5</v>
      </c>
      <c r="Z2266" s="20">
        <f t="shared" si="75"/>
        <v>18</v>
      </c>
    </row>
    <row r="2267" spans="1:26" x14ac:dyDescent="0.2">
      <c r="A2267" s="21"/>
      <c r="B2267" s="20"/>
      <c r="C2267" s="22"/>
      <c r="D2267" s="22"/>
      <c r="E2267" s="24"/>
      <c r="F2267" s="22"/>
      <c r="H2267" s="21">
        <v>46021</v>
      </c>
      <c r="I2267" s="22" t="s">
        <v>70</v>
      </c>
      <c r="J2267" s="22" t="s">
        <v>49</v>
      </c>
      <c r="K2267" s="24">
        <v>7</v>
      </c>
      <c r="M2267" s="21">
        <v>46097</v>
      </c>
      <c r="N2267" s="22" t="s">
        <v>70</v>
      </c>
      <c r="O2267" s="22" t="s">
        <v>52</v>
      </c>
      <c r="P2267" s="49">
        <v>71</v>
      </c>
      <c r="Q2267" s="49">
        <v>71</v>
      </c>
      <c r="R2267" s="46">
        <f t="shared" si="74"/>
        <v>0</v>
      </c>
      <c r="T2267" s="21">
        <v>46076</v>
      </c>
      <c r="U2267" s="22" t="s">
        <v>46</v>
      </c>
      <c r="V2267" s="24">
        <v>4</v>
      </c>
      <c r="W2267" s="24">
        <v>4</v>
      </c>
      <c r="X2267" s="24">
        <v>4</v>
      </c>
      <c r="Y2267" s="24">
        <v>4</v>
      </c>
      <c r="Z2267" s="20">
        <f t="shared" si="75"/>
        <v>16</v>
      </c>
    </row>
    <row r="2268" spans="1:26" x14ac:dyDescent="0.2">
      <c r="A2268" s="21"/>
      <c r="B2268" s="20"/>
      <c r="C2268" s="22"/>
      <c r="D2268" s="22"/>
      <c r="E2268" s="24"/>
      <c r="F2268" s="22"/>
      <c r="H2268" s="21">
        <v>46021</v>
      </c>
      <c r="I2268" s="22" t="s">
        <v>70</v>
      </c>
      <c r="J2268" s="22" t="s">
        <v>50</v>
      </c>
      <c r="K2268" s="24">
        <v>7</v>
      </c>
      <c r="M2268" s="21">
        <v>46097</v>
      </c>
      <c r="N2268" s="22" t="s">
        <v>70</v>
      </c>
      <c r="O2268" s="22" t="s">
        <v>53</v>
      </c>
      <c r="P2268" s="49">
        <v>68.3</v>
      </c>
      <c r="Q2268" s="49">
        <v>68</v>
      </c>
      <c r="R2268" s="46">
        <f t="shared" si="74"/>
        <v>0.29999999999999716</v>
      </c>
      <c r="T2268" s="21">
        <v>46076</v>
      </c>
      <c r="U2268" s="22" t="s">
        <v>47</v>
      </c>
      <c r="V2268" s="24">
        <v>3</v>
      </c>
      <c r="W2268" s="24">
        <v>4</v>
      </c>
      <c r="X2268" s="24">
        <v>4</v>
      </c>
      <c r="Y2268" s="24">
        <v>5</v>
      </c>
      <c r="Z2268" s="20">
        <f t="shared" si="75"/>
        <v>16</v>
      </c>
    </row>
    <row r="2269" spans="1:26" x14ac:dyDescent="0.2">
      <c r="A2269" s="21"/>
      <c r="B2269" s="20"/>
      <c r="C2269" s="22"/>
      <c r="D2269" s="22"/>
      <c r="E2269" s="24"/>
      <c r="F2269" s="22"/>
      <c r="H2269" s="21">
        <v>46021</v>
      </c>
      <c r="I2269" s="22" t="s">
        <v>70</v>
      </c>
      <c r="J2269" s="22" t="s">
        <v>51</v>
      </c>
      <c r="K2269" s="24">
        <v>7</v>
      </c>
      <c r="M2269" s="21">
        <v>46097</v>
      </c>
      <c r="N2269" s="22" t="s">
        <v>70</v>
      </c>
      <c r="O2269" s="22" t="s">
        <v>57</v>
      </c>
      <c r="P2269" s="49">
        <v>91</v>
      </c>
      <c r="Q2269" s="49">
        <v>90.4</v>
      </c>
      <c r="R2269" s="46">
        <f t="shared" si="74"/>
        <v>0.59999999999999432</v>
      </c>
      <c r="T2269" s="21">
        <v>46076</v>
      </c>
      <c r="U2269" s="22" t="s">
        <v>48</v>
      </c>
      <c r="V2269" s="24">
        <v>5</v>
      </c>
      <c r="W2269" s="24">
        <v>5</v>
      </c>
      <c r="X2269" s="24">
        <v>5</v>
      </c>
      <c r="Y2269" s="24">
        <v>5</v>
      </c>
      <c r="Z2269" s="20">
        <f t="shared" si="75"/>
        <v>20</v>
      </c>
    </row>
    <row r="2270" spans="1:26" x14ac:dyDescent="0.2">
      <c r="A2270" s="21"/>
      <c r="B2270" s="20"/>
      <c r="C2270" s="22"/>
      <c r="D2270" s="22"/>
      <c r="E2270" s="24"/>
      <c r="F2270" s="22"/>
      <c r="H2270" s="21">
        <v>46021</v>
      </c>
      <c r="I2270" s="22" t="s">
        <v>70</v>
      </c>
      <c r="J2270" s="22" t="s">
        <v>46</v>
      </c>
      <c r="K2270" s="24">
        <v>6</v>
      </c>
      <c r="M2270" s="21">
        <v>46097</v>
      </c>
      <c r="N2270" s="22" t="s">
        <v>70</v>
      </c>
      <c r="O2270" s="22" t="s">
        <v>58</v>
      </c>
      <c r="P2270" s="49">
        <v>75.7</v>
      </c>
      <c r="Q2270" s="49">
        <v>75.599999999999994</v>
      </c>
      <c r="R2270" s="46">
        <f t="shared" si="74"/>
        <v>0.10000000000000853</v>
      </c>
      <c r="T2270" s="21">
        <v>46076</v>
      </c>
      <c r="U2270" s="22" t="s">
        <v>49</v>
      </c>
      <c r="V2270" s="24">
        <v>2</v>
      </c>
      <c r="W2270" s="24">
        <v>4</v>
      </c>
      <c r="X2270" s="24">
        <v>3</v>
      </c>
      <c r="Y2270" s="24">
        <v>3</v>
      </c>
      <c r="Z2270" s="20">
        <f t="shared" si="75"/>
        <v>12</v>
      </c>
    </row>
    <row r="2271" spans="1:26" x14ac:dyDescent="0.2">
      <c r="A2271" s="21"/>
      <c r="B2271" s="20"/>
      <c r="C2271" s="22"/>
      <c r="D2271" s="22"/>
      <c r="E2271" s="24"/>
      <c r="F2271" s="22"/>
      <c r="H2271" s="21">
        <v>46021</v>
      </c>
      <c r="I2271" s="22" t="s">
        <v>70</v>
      </c>
      <c r="J2271" s="22" t="s">
        <v>48</v>
      </c>
      <c r="K2271" s="24" t="s">
        <v>61</v>
      </c>
      <c r="M2271" s="21">
        <v>46098</v>
      </c>
      <c r="N2271" s="22" t="s">
        <v>70</v>
      </c>
      <c r="O2271" s="22" t="s">
        <v>41</v>
      </c>
      <c r="P2271" s="49">
        <v>77</v>
      </c>
      <c r="Q2271" s="49">
        <v>76.599999999999994</v>
      </c>
      <c r="R2271" s="46">
        <f t="shared" si="74"/>
        <v>0.40000000000000568</v>
      </c>
      <c r="T2271" s="21">
        <v>46076</v>
      </c>
      <c r="U2271" s="22" t="s">
        <v>50</v>
      </c>
      <c r="V2271" s="24">
        <v>3</v>
      </c>
      <c r="W2271" s="24">
        <v>4</v>
      </c>
      <c r="X2271" s="24">
        <v>4</v>
      </c>
      <c r="Y2271" s="24">
        <v>4</v>
      </c>
      <c r="Z2271" s="20">
        <f t="shared" si="75"/>
        <v>15</v>
      </c>
    </row>
    <row r="2272" spans="1:26" x14ac:dyDescent="0.2">
      <c r="A2272" s="21"/>
      <c r="B2272" s="20"/>
      <c r="C2272" s="22"/>
      <c r="D2272" s="22"/>
      <c r="E2272" s="24"/>
      <c r="F2272" s="22"/>
      <c r="H2272" s="21">
        <v>46021</v>
      </c>
      <c r="I2272" s="22" t="s">
        <v>70</v>
      </c>
      <c r="J2272" s="22" t="s">
        <v>56</v>
      </c>
      <c r="K2272" s="24">
        <v>7</v>
      </c>
      <c r="M2272" s="21">
        <v>46098</v>
      </c>
      <c r="N2272" s="22" t="s">
        <v>70</v>
      </c>
      <c r="O2272" s="22" t="s">
        <v>42</v>
      </c>
      <c r="P2272" s="49">
        <v>79.7</v>
      </c>
      <c r="Q2272" s="49">
        <v>79.599999999999994</v>
      </c>
      <c r="R2272" s="46">
        <f t="shared" si="74"/>
        <v>0.10000000000000853</v>
      </c>
      <c r="T2272" s="21">
        <v>46076</v>
      </c>
      <c r="U2272" s="22" t="s">
        <v>51</v>
      </c>
      <c r="V2272" s="24">
        <v>4</v>
      </c>
      <c r="W2272" s="24">
        <v>4</v>
      </c>
      <c r="X2272" s="24">
        <v>4</v>
      </c>
      <c r="Y2272" s="24">
        <v>4</v>
      </c>
      <c r="Z2272" s="20">
        <f t="shared" si="75"/>
        <v>16</v>
      </c>
    </row>
    <row r="2273" spans="1:26" x14ac:dyDescent="0.2">
      <c r="A2273" s="21"/>
      <c r="B2273" s="20"/>
      <c r="C2273" s="22"/>
      <c r="D2273" s="22"/>
      <c r="E2273" s="24"/>
      <c r="F2273" s="22"/>
      <c r="H2273" s="21">
        <v>46022</v>
      </c>
      <c r="I2273" s="22" t="s">
        <v>70</v>
      </c>
      <c r="J2273" s="22" t="s">
        <v>52</v>
      </c>
      <c r="K2273" s="24">
        <v>5</v>
      </c>
      <c r="M2273" s="21">
        <v>46098</v>
      </c>
      <c r="N2273" s="22" t="s">
        <v>70</v>
      </c>
      <c r="O2273" s="22" t="s">
        <v>44</v>
      </c>
      <c r="P2273" s="49">
        <v>67.099999999999994</v>
      </c>
      <c r="Q2273" s="49">
        <v>66.900000000000006</v>
      </c>
      <c r="R2273" s="46">
        <f t="shared" si="74"/>
        <v>0.19999999999998863</v>
      </c>
      <c r="T2273" s="21">
        <v>46076</v>
      </c>
      <c r="U2273" s="22" t="s">
        <v>52</v>
      </c>
      <c r="V2273" s="24">
        <v>4</v>
      </c>
      <c r="W2273" s="24">
        <v>4</v>
      </c>
      <c r="X2273" s="24">
        <v>4</v>
      </c>
      <c r="Y2273" s="24">
        <v>4</v>
      </c>
      <c r="Z2273" s="20">
        <f t="shared" si="75"/>
        <v>16</v>
      </c>
    </row>
    <row r="2274" spans="1:26" x14ac:dyDescent="0.2">
      <c r="A2274" s="21"/>
      <c r="B2274" s="20"/>
      <c r="C2274" s="22"/>
      <c r="D2274" s="22"/>
      <c r="E2274" s="24"/>
      <c r="F2274" s="22"/>
      <c r="H2274" s="21">
        <v>46022</v>
      </c>
      <c r="I2274" s="22" t="s">
        <v>70</v>
      </c>
      <c r="J2274" s="22" t="s">
        <v>53</v>
      </c>
      <c r="K2274" s="24">
        <v>4</v>
      </c>
      <c r="M2274" s="21">
        <v>46098</v>
      </c>
      <c r="N2274" s="22" t="s">
        <v>70</v>
      </c>
      <c r="O2274" s="22" t="s">
        <v>45</v>
      </c>
      <c r="P2274" s="49">
        <v>68.900000000000006</v>
      </c>
      <c r="Q2274" s="49">
        <v>68.3</v>
      </c>
      <c r="R2274" s="46">
        <f t="shared" si="74"/>
        <v>0.60000000000000853</v>
      </c>
      <c r="T2274" s="21">
        <v>46076</v>
      </c>
      <c r="U2274" s="22" t="s">
        <v>53</v>
      </c>
      <c r="V2274" s="24">
        <v>4</v>
      </c>
      <c r="W2274" s="24">
        <v>4</v>
      </c>
      <c r="X2274" s="24">
        <v>4</v>
      </c>
      <c r="Y2274" s="24">
        <v>5</v>
      </c>
      <c r="Z2274" s="20">
        <f t="shared" si="75"/>
        <v>17</v>
      </c>
    </row>
    <row r="2275" spans="1:26" x14ac:dyDescent="0.2">
      <c r="A2275" s="21"/>
      <c r="B2275" s="20"/>
      <c r="C2275" s="22"/>
      <c r="D2275" s="22"/>
      <c r="E2275" s="24"/>
      <c r="F2275" s="22"/>
      <c r="H2275" s="21">
        <v>46022</v>
      </c>
      <c r="I2275" s="22" t="s">
        <v>70</v>
      </c>
      <c r="J2275" s="22" t="s">
        <v>44</v>
      </c>
      <c r="K2275" s="24">
        <v>6</v>
      </c>
      <c r="M2275" s="21">
        <v>46098</v>
      </c>
      <c r="N2275" s="22" t="s">
        <v>70</v>
      </c>
      <c r="O2275" s="22" t="s">
        <v>46</v>
      </c>
      <c r="P2275" s="49">
        <v>82</v>
      </c>
      <c r="Q2275" s="49">
        <v>81.5</v>
      </c>
      <c r="R2275" s="46">
        <f t="shared" si="74"/>
        <v>0.5</v>
      </c>
      <c r="T2275" s="21">
        <v>46076</v>
      </c>
      <c r="U2275" s="22" t="s">
        <v>57</v>
      </c>
      <c r="V2275" s="24">
        <v>4</v>
      </c>
      <c r="W2275" s="24">
        <v>2</v>
      </c>
      <c r="X2275" s="24">
        <v>4</v>
      </c>
      <c r="Y2275" s="24">
        <v>2</v>
      </c>
      <c r="Z2275" s="20">
        <f t="shared" si="75"/>
        <v>12</v>
      </c>
    </row>
    <row r="2276" spans="1:26" x14ac:dyDescent="0.2">
      <c r="A2276" s="21"/>
      <c r="B2276" s="20"/>
      <c r="C2276" s="22"/>
      <c r="D2276" s="22"/>
      <c r="E2276" s="24"/>
      <c r="F2276" s="22"/>
      <c r="H2276" s="21">
        <v>46022</v>
      </c>
      <c r="I2276" s="22" t="s">
        <v>70</v>
      </c>
      <c r="J2276" s="22" t="s">
        <v>45</v>
      </c>
      <c r="K2276" s="24">
        <v>6</v>
      </c>
      <c r="M2276" s="21">
        <v>46098</v>
      </c>
      <c r="N2276" s="22" t="s">
        <v>70</v>
      </c>
      <c r="O2276" s="22" t="s">
        <v>47</v>
      </c>
      <c r="P2276" s="49">
        <v>71</v>
      </c>
      <c r="Q2276" s="49">
        <v>71</v>
      </c>
      <c r="R2276" s="46">
        <f t="shared" si="74"/>
        <v>0</v>
      </c>
      <c r="T2276" s="21">
        <v>46076</v>
      </c>
      <c r="U2276" s="22" t="s">
        <v>58</v>
      </c>
      <c r="V2276" s="24">
        <v>4</v>
      </c>
      <c r="W2276" s="24">
        <v>5</v>
      </c>
      <c r="X2276" s="24">
        <v>5</v>
      </c>
      <c r="Y2276" s="24">
        <v>5</v>
      </c>
      <c r="Z2276" s="20">
        <f t="shared" si="75"/>
        <v>19</v>
      </c>
    </row>
    <row r="2277" spans="1:26" x14ac:dyDescent="0.2">
      <c r="A2277" s="21"/>
      <c r="B2277" s="20"/>
      <c r="C2277" s="22"/>
      <c r="D2277" s="22"/>
      <c r="E2277" s="24"/>
      <c r="F2277" s="22"/>
      <c r="H2277" s="21">
        <v>46022</v>
      </c>
      <c r="I2277" s="22" t="s">
        <v>70</v>
      </c>
      <c r="J2277" s="22" t="s">
        <v>57</v>
      </c>
      <c r="K2277" s="24">
        <v>5</v>
      </c>
      <c r="M2277" s="21">
        <v>46098</v>
      </c>
      <c r="N2277" s="22" t="s">
        <v>70</v>
      </c>
      <c r="O2277" s="22" t="s">
        <v>48</v>
      </c>
      <c r="P2277" s="49">
        <v>81.8</v>
      </c>
      <c r="Q2277" s="49">
        <v>80.5</v>
      </c>
      <c r="R2277" s="46">
        <f t="shared" si="74"/>
        <v>1.2999999999999972</v>
      </c>
      <c r="T2277" s="21">
        <v>46076</v>
      </c>
      <c r="U2277" s="22" t="s">
        <v>33</v>
      </c>
      <c r="V2277" s="24">
        <v>3.6428571428571401</v>
      </c>
      <c r="W2277" s="24">
        <v>3.8571428571428599</v>
      </c>
      <c r="X2277" s="24">
        <v>4</v>
      </c>
      <c r="Y2277" s="24">
        <v>4</v>
      </c>
      <c r="Z2277" s="20">
        <f t="shared" si="75"/>
        <v>15.5</v>
      </c>
    </row>
    <row r="2278" spans="1:26" x14ac:dyDescent="0.2">
      <c r="A2278" s="21"/>
      <c r="B2278" s="20"/>
      <c r="C2278" s="22"/>
      <c r="D2278" s="22"/>
      <c r="E2278" s="24"/>
      <c r="F2278" s="22"/>
      <c r="H2278" s="21">
        <v>46022</v>
      </c>
      <c r="I2278" s="22" t="s">
        <v>70</v>
      </c>
      <c r="J2278" s="22" t="s">
        <v>42</v>
      </c>
      <c r="K2278" s="24">
        <v>2</v>
      </c>
      <c r="M2278" s="21">
        <v>46098</v>
      </c>
      <c r="N2278" s="22" t="s">
        <v>70</v>
      </c>
      <c r="O2278" s="22" t="s">
        <v>49</v>
      </c>
      <c r="P2278" s="49">
        <v>79.099999999999994</v>
      </c>
      <c r="Q2278" s="49">
        <v>79</v>
      </c>
      <c r="R2278" s="46">
        <f t="shared" si="74"/>
        <v>9.9999999999994316E-2</v>
      </c>
      <c r="T2278" s="21">
        <v>46077</v>
      </c>
      <c r="U2278" s="22" t="s">
        <v>41</v>
      </c>
      <c r="V2278" s="24">
        <v>1</v>
      </c>
      <c r="W2278" s="24">
        <v>1</v>
      </c>
      <c r="X2278" s="24">
        <v>1</v>
      </c>
      <c r="Y2278" s="24">
        <v>1</v>
      </c>
      <c r="Z2278" s="20">
        <f t="shared" si="75"/>
        <v>4</v>
      </c>
    </row>
    <row r="2279" spans="1:26" x14ac:dyDescent="0.2">
      <c r="A2279" s="21"/>
      <c r="B2279" s="20"/>
      <c r="C2279" s="22"/>
      <c r="D2279" s="22"/>
      <c r="E2279" s="24"/>
      <c r="F2279" s="22"/>
      <c r="H2279" s="21">
        <v>46022</v>
      </c>
      <c r="I2279" s="22" t="s">
        <v>70</v>
      </c>
      <c r="J2279" s="22" t="s">
        <v>47</v>
      </c>
      <c r="K2279" s="24">
        <v>6</v>
      </c>
      <c r="M2279" s="21">
        <v>46098</v>
      </c>
      <c r="N2279" s="22" t="s">
        <v>70</v>
      </c>
      <c r="O2279" s="22" t="s">
        <v>50</v>
      </c>
      <c r="P2279" s="49">
        <v>67</v>
      </c>
      <c r="Q2279" s="49">
        <v>67</v>
      </c>
      <c r="R2279" s="46">
        <f t="shared" si="74"/>
        <v>0</v>
      </c>
      <c r="T2279" s="21">
        <v>46077</v>
      </c>
      <c r="U2279" s="22" t="s">
        <v>42</v>
      </c>
      <c r="V2279" s="24">
        <v>4</v>
      </c>
      <c r="W2279" s="24">
        <v>4</v>
      </c>
      <c r="X2279" s="24">
        <v>4</v>
      </c>
      <c r="Y2279" s="24">
        <v>4</v>
      </c>
      <c r="Z2279" s="20">
        <f t="shared" si="75"/>
        <v>16</v>
      </c>
    </row>
    <row r="2280" spans="1:26" x14ac:dyDescent="0.2">
      <c r="A2280" s="21"/>
      <c r="B2280" s="20"/>
      <c r="C2280" s="22"/>
      <c r="D2280" s="22"/>
      <c r="E2280" s="24"/>
      <c r="F2280" s="22"/>
      <c r="H2280" s="21">
        <v>46022</v>
      </c>
      <c r="I2280" s="22" t="s">
        <v>70</v>
      </c>
      <c r="J2280" s="22" t="s">
        <v>41</v>
      </c>
      <c r="K2280" s="24">
        <v>1</v>
      </c>
      <c r="M2280" s="21">
        <v>46098</v>
      </c>
      <c r="N2280" s="22" t="s">
        <v>70</v>
      </c>
      <c r="O2280" s="22" t="s">
        <v>51</v>
      </c>
      <c r="P2280" s="49">
        <v>76</v>
      </c>
      <c r="Q2280" s="49">
        <v>75.900000000000006</v>
      </c>
      <c r="R2280" s="46">
        <f t="shared" si="74"/>
        <v>9.9999999999994316E-2</v>
      </c>
      <c r="T2280" s="21">
        <v>46077</v>
      </c>
      <c r="U2280" s="22" t="s">
        <v>44</v>
      </c>
      <c r="V2280" s="24">
        <v>5</v>
      </c>
      <c r="W2280" s="24">
        <v>4</v>
      </c>
      <c r="X2280" s="24">
        <v>4</v>
      </c>
      <c r="Y2280" s="24">
        <v>5</v>
      </c>
      <c r="Z2280" s="20">
        <f t="shared" si="75"/>
        <v>18</v>
      </c>
    </row>
    <row r="2281" spans="1:26" x14ac:dyDescent="0.2">
      <c r="A2281" s="21"/>
      <c r="B2281" s="20"/>
      <c r="C2281" s="22"/>
      <c r="D2281" s="22"/>
      <c r="E2281" s="24"/>
      <c r="F2281" s="22"/>
      <c r="H2281" s="21">
        <v>46022</v>
      </c>
      <c r="I2281" s="22" t="s">
        <v>70</v>
      </c>
      <c r="J2281" s="22" t="s">
        <v>58</v>
      </c>
      <c r="K2281" s="24">
        <v>6</v>
      </c>
      <c r="M2281" s="21">
        <v>46098</v>
      </c>
      <c r="N2281" s="22" t="s">
        <v>70</v>
      </c>
      <c r="O2281" s="22" t="s">
        <v>52</v>
      </c>
      <c r="P2281" s="49">
        <v>70</v>
      </c>
      <c r="Q2281" s="49">
        <v>70</v>
      </c>
      <c r="R2281" s="46">
        <f t="shared" si="74"/>
        <v>0</v>
      </c>
      <c r="T2281" s="21">
        <v>46077</v>
      </c>
      <c r="U2281" s="22" t="s">
        <v>45</v>
      </c>
      <c r="V2281" s="24">
        <v>4</v>
      </c>
      <c r="W2281" s="24">
        <v>4</v>
      </c>
      <c r="X2281" s="24">
        <v>4</v>
      </c>
      <c r="Y2281" s="24">
        <v>5</v>
      </c>
      <c r="Z2281" s="20">
        <f t="shared" si="75"/>
        <v>17</v>
      </c>
    </row>
    <row r="2282" spans="1:26" x14ac:dyDescent="0.2">
      <c r="A2282" s="21"/>
      <c r="B2282" s="20"/>
      <c r="C2282" s="22"/>
      <c r="D2282" s="22"/>
      <c r="E2282" s="24"/>
      <c r="F2282" s="22"/>
      <c r="H2282" s="21">
        <v>46022</v>
      </c>
      <c r="I2282" s="22" t="s">
        <v>70</v>
      </c>
      <c r="J2282" s="22" t="s">
        <v>49</v>
      </c>
      <c r="K2282" s="24">
        <v>5</v>
      </c>
      <c r="M2282" s="21">
        <v>46098</v>
      </c>
      <c r="N2282" s="22" t="s">
        <v>70</v>
      </c>
      <c r="O2282" s="22" t="s">
        <v>53</v>
      </c>
      <c r="P2282" s="49">
        <v>68.5</v>
      </c>
      <c r="Q2282" s="49">
        <v>68.099999999999994</v>
      </c>
      <c r="R2282" s="46">
        <f t="shared" si="74"/>
        <v>0.40000000000000568</v>
      </c>
      <c r="T2282" s="21">
        <v>46077</v>
      </c>
      <c r="U2282" s="22" t="s">
        <v>46</v>
      </c>
      <c r="V2282" s="24">
        <v>4</v>
      </c>
      <c r="W2282" s="24">
        <v>4</v>
      </c>
      <c r="X2282" s="24">
        <v>4</v>
      </c>
      <c r="Y2282" s="24">
        <v>5</v>
      </c>
      <c r="Z2282" s="20">
        <f t="shared" si="75"/>
        <v>17</v>
      </c>
    </row>
    <row r="2283" spans="1:26" x14ac:dyDescent="0.2">
      <c r="A2283" s="21"/>
      <c r="B2283" s="20"/>
      <c r="C2283" s="22"/>
      <c r="D2283" s="22"/>
      <c r="E2283" s="24"/>
      <c r="F2283" s="22"/>
      <c r="H2283" s="21">
        <v>46022</v>
      </c>
      <c r="I2283" s="22" t="s">
        <v>70</v>
      </c>
      <c r="J2283" s="22" t="s">
        <v>50</v>
      </c>
      <c r="K2283" s="24">
        <v>5</v>
      </c>
      <c r="M2283" s="21">
        <v>46098</v>
      </c>
      <c r="N2283" s="22" t="s">
        <v>70</v>
      </c>
      <c r="O2283" s="22" t="s">
        <v>57</v>
      </c>
      <c r="P2283" s="49">
        <v>90.6</v>
      </c>
      <c r="Q2283" s="49">
        <v>90.2</v>
      </c>
      <c r="R2283" s="46">
        <f t="shared" si="74"/>
        <v>0.39999999999999147</v>
      </c>
      <c r="T2283" s="21">
        <v>46077</v>
      </c>
      <c r="U2283" s="22" t="s">
        <v>47</v>
      </c>
      <c r="V2283" s="24">
        <v>4</v>
      </c>
      <c r="W2283" s="24">
        <v>4</v>
      </c>
      <c r="X2283" s="24">
        <v>4</v>
      </c>
      <c r="Y2283" s="24">
        <v>5</v>
      </c>
      <c r="Z2283" s="20">
        <f t="shared" si="75"/>
        <v>17</v>
      </c>
    </row>
    <row r="2284" spans="1:26" x14ac:dyDescent="0.2">
      <c r="A2284" s="21"/>
      <c r="B2284" s="20"/>
      <c r="C2284" s="22"/>
      <c r="D2284" s="22"/>
      <c r="E2284" s="24"/>
      <c r="F2284" s="22"/>
      <c r="H2284" s="21">
        <v>46022</v>
      </c>
      <c r="I2284" s="22" t="s">
        <v>70</v>
      </c>
      <c r="J2284" s="22" t="s">
        <v>51</v>
      </c>
      <c r="K2284" s="24">
        <v>5</v>
      </c>
      <c r="M2284" s="21">
        <v>46098</v>
      </c>
      <c r="N2284" s="22" t="s">
        <v>70</v>
      </c>
      <c r="O2284" s="22" t="s">
        <v>58</v>
      </c>
      <c r="P2284" s="49">
        <v>76.7</v>
      </c>
      <c r="Q2284" s="49">
        <v>76.400000000000006</v>
      </c>
      <c r="R2284" s="46">
        <f t="shared" si="74"/>
        <v>0.29999999999999716</v>
      </c>
      <c r="T2284" s="21">
        <v>46077</v>
      </c>
      <c r="U2284" s="22" t="s">
        <v>48</v>
      </c>
      <c r="V2284" s="24">
        <v>5</v>
      </c>
      <c r="W2284" s="24">
        <v>5</v>
      </c>
      <c r="X2284" s="24">
        <v>5</v>
      </c>
      <c r="Y2284" s="24">
        <v>5</v>
      </c>
      <c r="Z2284" s="20">
        <f t="shared" si="75"/>
        <v>20</v>
      </c>
    </row>
    <row r="2285" spans="1:26" x14ac:dyDescent="0.2">
      <c r="A2285" s="21"/>
      <c r="B2285" s="20"/>
      <c r="C2285" s="22"/>
      <c r="D2285" s="22"/>
      <c r="E2285" s="24"/>
      <c r="F2285" s="22"/>
      <c r="H2285" s="21">
        <v>46022</v>
      </c>
      <c r="I2285" s="22" t="s">
        <v>70</v>
      </c>
      <c r="J2285" s="22" t="s">
        <v>46</v>
      </c>
      <c r="K2285" s="24">
        <v>6</v>
      </c>
      <c r="M2285" s="21">
        <v>46108</v>
      </c>
      <c r="N2285" s="22" t="s">
        <v>70</v>
      </c>
      <c r="O2285" s="22" t="s">
        <v>41</v>
      </c>
      <c r="P2285" s="49">
        <v>77</v>
      </c>
      <c r="Q2285" s="49">
        <v>76.8</v>
      </c>
      <c r="R2285" s="46">
        <f t="shared" si="74"/>
        <v>0.20000000000000284</v>
      </c>
      <c r="T2285" s="21">
        <v>46077</v>
      </c>
      <c r="U2285" s="22" t="s">
        <v>49</v>
      </c>
      <c r="V2285" s="24">
        <v>5</v>
      </c>
      <c r="W2285" s="24">
        <v>3</v>
      </c>
      <c r="X2285" s="24">
        <v>3</v>
      </c>
      <c r="Y2285" s="24">
        <v>3</v>
      </c>
      <c r="Z2285" s="20">
        <f t="shared" si="75"/>
        <v>14</v>
      </c>
    </row>
    <row r="2286" spans="1:26" x14ac:dyDescent="0.2">
      <c r="A2286" s="21"/>
      <c r="B2286" s="20"/>
      <c r="C2286" s="22"/>
      <c r="D2286" s="22"/>
      <c r="E2286" s="24"/>
      <c r="F2286" s="22"/>
      <c r="H2286" s="21">
        <v>46022</v>
      </c>
      <c r="I2286" s="22" t="s">
        <v>70</v>
      </c>
      <c r="J2286" s="22" t="s">
        <v>48</v>
      </c>
      <c r="K2286" s="24" t="s">
        <v>61</v>
      </c>
      <c r="M2286" s="21">
        <v>46108</v>
      </c>
      <c r="N2286" s="22" t="s">
        <v>70</v>
      </c>
      <c r="O2286" s="22" t="s">
        <v>42</v>
      </c>
      <c r="P2286" s="49">
        <v>79.099999999999994</v>
      </c>
      <c r="Q2286" s="49">
        <v>78.900000000000006</v>
      </c>
      <c r="R2286" s="46">
        <f t="shared" si="74"/>
        <v>0.19999999999998863</v>
      </c>
      <c r="T2286" s="21">
        <v>46077</v>
      </c>
      <c r="U2286" s="22" t="s">
        <v>50</v>
      </c>
      <c r="V2286" s="24">
        <v>3</v>
      </c>
      <c r="W2286" s="24">
        <v>3</v>
      </c>
      <c r="X2286" s="24">
        <v>3</v>
      </c>
      <c r="Y2286" s="24">
        <v>4</v>
      </c>
      <c r="Z2286" s="20">
        <f t="shared" si="75"/>
        <v>13</v>
      </c>
    </row>
    <row r="2287" spans="1:26" x14ac:dyDescent="0.2">
      <c r="A2287" s="21"/>
      <c r="B2287" s="20"/>
      <c r="C2287" s="22"/>
      <c r="D2287" s="22"/>
      <c r="E2287" s="24"/>
      <c r="F2287" s="22"/>
      <c r="H2287" s="21">
        <v>46022</v>
      </c>
      <c r="I2287" s="22" t="s">
        <v>70</v>
      </c>
      <c r="J2287" s="22" t="s">
        <v>56</v>
      </c>
      <c r="K2287" s="24">
        <v>7</v>
      </c>
      <c r="M2287" s="21">
        <v>46108</v>
      </c>
      <c r="N2287" s="22" t="s">
        <v>70</v>
      </c>
      <c r="O2287" s="22" t="s">
        <v>44</v>
      </c>
      <c r="P2287" s="49">
        <v>67.599999999999994</v>
      </c>
      <c r="Q2287" s="49">
        <v>67.599999999999994</v>
      </c>
      <c r="R2287" s="46">
        <f t="shared" si="74"/>
        <v>0</v>
      </c>
      <c r="T2287" s="21">
        <v>46077</v>
      </c>
      <c r="U2287" s="22" t="s">
        <v>51</v>
      </c>
      <c r="V2287" s="24">
        <v>4</v>
      </c>
      <c r="W2287" s="24">
        <v>4</v>
      </c>
      <c r="X2287" s="24">
        <v>4</v>
      </c>
      <c r="Y2287" s="24">
        <v>4</v>
      </c>
      <c r="Z2287" s="20">
        <f t="shared" si="75"/>
        <v>16</v>
      </c>
    </row>
    <row r="2288" spans="1:26" x14ac:dyDescent="0.2">
      <c r="A2288" s="21"/>
      <c r="B2288" s="20"/>
      <c r="C2288" s="22"/>
      <c r="D2288" s="22"/>
      <c r="E2288" s="24"/>
      <c r="F2288" s="22"/>
      <c r="H2288" s="21">
        <v>46024</v>
      </c>
      <c r="I2288" s="22" t="s">
        <v>71</v>
      </c>
      <c r="J2288" s="22" t="s">
        <v>52</v>
      </c>
      <c r="K2288" s="24">
        <v>6</v>
      </c>
      <c r="M2288" s="21">
        <v>46108</v>
      </c>
      <c r="N2288" s="22" t="s">
        <v>70</v>
      </c>
      <c r="O2288" s="22" t="s">
        <v>45</v>
      </c>
      <c r="P2288" s="49">
        <v>69</v>
      </c>
      <c r="Q2288" s="49">
        <v>68.7</v>
      </c>
      <c r="R2288" s="46">
        <f t="shared" si="74"/>
        <v>0.29999999999999716</v>
      </c>
      <c r="T2288" s="21">
        <v>46077</v>
      </c>
      <c r="U2288" s="22" t="s">
        <v>52</v>
      </c>
      <c r="V2288" s="24">
        <v>4</v>
      </c>
      <c r="W2288" s="24">
        <v>4</v>
      </c>
      <c r="X2288" s="24">
        <v>4</v>
      </c>
      <c r="Y2288" s="24">
        <v>4</v>
      </c>
      <c r="Z2288" s="20">
        <f t="shared" si="75"/>
        <v>16</v>
      </c>
    </row>
    <row r="2289" spans="1:26" x14ac:dyDescent="0.2">
      <c r="A2289" s="21"/>
      <c r="B2289" s="20"/>
      <c r="C2289" s="22"/>
      <c r="D2289" s="22"/>
      <c r="E2289" s="24"/>
      <c r="F2289" s="22"/>
      <c r="H2289" s="21">
        <v>46024</v>
      </c>
      <c r="I2289" s="22" t="s">
        <v>71</v>
      </c>
      <c r="J2289" s="22" t="s">
        <v>53</v>
      </c>
      <c r="K2289" s="24">
        <v>6</v>
      </c>
      <c r="M2289" s="21">
        <v>46108</v>
      </c>
      <c r="N2289" s="22" t="s">
        <v>70</v>
      </c>
      <c r="O2289" s="22" t="s">
        <v>46</v>
      </c>
      <c r="P2289" s="49">
        <v>80.8</v>
      </c>
      <c r="Q2289" s="49">
        <v>81</v>
      </c>
      <c r="R2289" s="46">
        <f t="shared" si="74"/>
        <v>-0.20000000000000284</v>
      </c>
      <c r="T2289" s="21">
        <v>46077</v>
      </c>
      <c r="U2289" s="22" t="s">
        <v>53</v>
      </c>
      <c r="V2289" s="24">
        <v>4</v>
      </c>
      <c r="W2289" s="24">
        <v>4</v>
      </c>
      <c r="X2289" s="24">
        <v>4</v>
      </c>
      <c r="Y2289" s="24">
        <v>5</v>
      </c>
      <c r="Z2289" s="20">
        <f t="shared" si="75"/>
        <v>17</v>
      </c>
    </row>
    <row r="2290" spans="1:26" x14ac:dyDescent="0.2">
      <c r="A2290" s="21"/>
      <c r="B2290" s="20"/>
      <c r="C2290" s="22"/>
      <c r="D2290" s="22"/>
      <c r="E2290" s="24"/>
      <c r="F2290" s="22"/>
      <c r="H2290" s="21">
        <v>46024</v>
      </c>
      <c r="I2290" s="22" t="s">
        <v>71</v>
      </c>
      <c r="J2290" s="22" t="s">
        <v>44</v>
      </c>
      <c r="K2290" s="24">
        <v>6</v>
      </c>
      <c r="M2290" s="21">
        <v>46108</v>
      </c>
      <c r="N2290" s="22" t="s">
        <v>70</v>
      </c>
      <c r="O2290" s="22" t="s">
        <v>47</v>
      </c>
      <c r="P2290" s="49">
        <v>71</v>
      </c>
      <c r="Q2290" s="49">
        <v>71</v>
      </c>
      <c r="R2290" s="46">
        <f t="shared" si="74"/>
        <v>0</v>
      </c>
      <c r="T2290" s="21">
        <v>46077</v>
      </c>
      <c r="U2290" s="22" t="s">
        <v>57</v>
      </c>
      <c r="V2290" s="24">
        <v>4</v>
      </c>
      <c r="W2290" s="24">
        <v>2</v>
      </c>
      <c r="X2290" s="24">
        <v>3</v>
      </c>
      <c r="Y2290" s="24">
        <v>3</v>
      </c>
      <c r="Z2290" s="20">
        <f t="shared" si="75"/>
        <v>12</v>
      </c>
    </row>
    <row r="2291" spans="1:26" x14ac:dyDescent="0.2">
      <c r="A2291" s="21"/>
      <c r="B2291" s="20"/>
      <c r="C2291" s="22"/>
      <c r="D2291" s="22"/>
      <c r="E2291" s="24"/>
      <c r="F2291" s="22"/>
      <c r="H2291" s="21">
        <v>46024</v>
      </c>
      <c r="I2291" s="22" t="s">
        <v>71</v>
      </c>
      <c r="J2291" s="22" t="s">
        <v>45</v>
      </c>
      <c r="K2291" s="24">
        <v>6</v>
      </c>
      <c r="M2291" s="21">
        <v>46108</v>
      </c>
      <c r="N2291" s="22" t="s">
        <v>70</v>
      </c>
      <c r="O2291" s="22" t="s">
        <v>49</v>
      </c>
      <c r="P2291" s="49">
        <v>78.400000000000006</v>
      </c>
      <c r="Q2291" s="49">
        <v>78.599999999999994</v>
      </c>
      <c r="R2291" s="46">
        <f t="shared" si="74"/>
        <v>-0.19999999999998863</v>
      </c>
      <c r="T2291" s="21">
        <v>46077</v>
      </c>
      <c r="U2291" s="22" t="s">
        <v>58</v>
      </c>
      <c r="V2291" s="24">
        <v>4</v>
      </c>
      <c r="W2291" s="24">
        <v>3</v>
      </c>
      <c r="X2291" s="24">
        <v>4</v>
      </c>
      <c r="Y2291" s="24">
        <v>5</v>
      </c>
      <c r="Z2291" s="20">
        <f t="shared" si="75"/>
        <v>16</v>
      </c>
    </row>
    <row r="2292" spans="1:26" x14ac:dyDescent="0.2">
      <c r="A2292" s="21"/>
      <c r="B2292" s="20"/>
      <c r="C2292" s="22"/>
      <c r="D2292" s="22"/>
      <c r="E2292" s="24"/>
      <c r="F2292" s="22"/>
      <c r="H2292" s="21">
        <v>46024</v>
      </c>
      <c r="I2292" s="22" t="s">
        <v>71</v>
      </c>
      <c r="J2292" s="22" t="s">
        <v>57</v>
      </c>
      <c r="K2292" s="24">
        <v>6</v>
      </c>
      <c r="M2292" s="21">
        <v>46108</v>
      </c>
      <c r="N2292" s="22" t="s">
        <v>70</v>
      </c>
      <c r="O2292" s="22" t="s">
        <v>50</v>
      </c>
      <c r="P2292" s="49">
        <v>67</v>
      </c>
      <c r="Q2292" s="49">
        <v>66.400000000000006</v>
      </c>
      <c r="R2292" s="46">
        <f t="shared" si="74"/>
        <v>0.59999999999999432</v>
      </c>
      <c r="T2292" s="21">
        <v>46077</v>
      </c>
      <c r="U2292" s="22" t="s">
        <v>33</v>
      </c>
      <c r="V2292" s="24">
        <v>3.9285714285714302</v>
      </c>
      <c r="W2292" s="24">
        <v>3.5</v>
      </c>
      <c r="X2292" s="24">
        <v>3.6428571428571401</v>
      </c>
      <c r="Y2292" s="24">
        <v>4.1428571428571397</v>
      </c>
      <c r="Z2292" s="20">
        <f t="shared" si="75"/>
        <v>15.214285714285712</v>
      </c>
    </row>
    <row r="2293" spans="1:26" x14ac:dyDescent="0.2">
      <c r="A2293" s="21"/>
      <c r="B2293" s="20"/>
      <c r="C2293" s="22"/>
      <c r="D2293" s="22"/>
      <c r="E2293" s="24"/>
      <c r="F2293" s="22"/>
      <c r="H2293" s="21">
        <v>46024</v>
      </c>
      <c r="I2293" s="22" t="s">
        <v>71</v>
      </c>
      <c r="J2293" s="22" t="s">
        <v>42</v>
      </c>
      <c r="K2293" s="24">
        <v>2</v>
      </c>
      <c r="M2293" s="21">
        <v>46108</v>
      </c>
      <c r="N2293" s="22" t="s">
        <v>70</v>
      </c>
      <c r="O2293" s="22" t="s">
        <v>51</v>
      </c>
      <c r="P2293" s="49">
        <v>76</v>
      </c>
      <c r="Q2293" s="49">
        <v>75.8</v>
      </c>
      <c r="R2293" s="46">
        <f t="shared" si="74"/>
        <v>0.20000000000000284</v>
      </c>
      <c r="T2293" s="21">
        <v>46078</v>
      </c>
      <c r="U2293" s="22" t="s">
        <v>41</v>
      </c>
      <c r="V2293" s="24">
        <v>1</v>
      </c>
      <c r="W2293" s="24">
        <v>1</v>
      </c>
      <c r="X2293" s="24">
        <v>1</v>
      </c>
      <c r="Y2293" s="24">
        <v>1</v>
      </c>
      <c r="Z2293" s="20">
        <f t="shared" si="75"/>
        <v>4</v>
      </c>
    </row>
    <row r="2294" spans="1:26" x14ac:dyDescent="0.2">
      <c r="A2294" s="21"/>
      <c r="B2294" s="20"/>
      <c r="C2294" s="22"/>
      <c r="D2294" s="22"/>
      <c r="E2294" s="24"/>
      <c r="F2294" s="22"/>
      <c r="H2294" s="21">
        <v>46024</v>
      </c>
      <c r="I2294" s="22" t="s">
        <v>71</v>
      </c>
      <c r="J2294" s="22" t="s">
        <v>47</v>
      </c>
      <c r="K2294" s="24">
        <v>4</v>
      </c>
      <c r="M2294" s="21">
        <v>46108</v>
      </c>
      <c r="N2294" s="22" t="s">
        <v>70</v>
      </c>
      <c r="O2294" s="22" t="s">
        <v>55</v>
      </c>
      <c r="P2294" s="49">
        <v>76.400000000000006</v>
      </c>
      <c r="Q2294" s="49">
        <v>76.400000000000006</v>
      </c>
      <c r="R2294" s="46">
        <f t="shared" si="74"/>
        <v>0</v>
      </c>
      <c r="T2294" s="21">
        <v>46078</v>
      </c>
      <c r="U2294" s="22" t="s">
        <v>42</v>
      </c>
      <c r="V2294" s="24">
        <v>4</v>
      </c>
      <c r="W2294" s="24">
        <v>4</v>
      </c>
      <c r="X2294" s="24">
        <v>4</v>
      </c>
      <c r="Y2294" s="24">
        <v>4</v>
      </c>
      <c r="Z2294" s="20">
        <f t="shared" si="75"/>
        <v>16</v>
      </c>
    </row>
    <row r="2295" spans="1:26" x14ac:dyDescent="0.2">
      <c r="A2295" s="21"/>
      <c r="B2295" s="20"/>
      <c r="C2295" s="22"/>
      <c r="D2295" s="22"/>
      <c r="E2295" s="24"/>
      <c r="F2295" s="22"/>
      <c r="H2295" s="21">
        <v>46024</v>
      </c>
      <c r="I2295" s="22" t="s">
        <v>71</v>
      </c>
      <c r="J2295" s="22" t="s">
        <v>41</v>
      </c>
      <c r="K2295" s="24">
        <v>2</v>
      </c>
      <c r="M2295" s="21">
        <v>46108</v>
      </c>
      <c r="N2295" s="22" t="s">
        <v>70</v>
      </c>
      <c r="O2295" s="22" t="s">
        <v>58</v>
      </c>
      <c r="P2295" s="49">
        <v>76</v>
      </c>
      <c r="Q2295" s="49">
        <v>76</v>
      </c>
      <c r="R2295" s="46">
        <f t="shared" si="74"/>
        <v>0</v>
      </c>
      <c r="T2295" s="21">
        <v>46078</v>
      </c>
      <c r="U2295" s="22" t="s">
        <v>44</v>
      </c>
      <c r="V2295" s="24">
        <v>5</v>
      </c>
      <c r="W2295" s="24">
        <v>4</v>
      </c>
      <c r="X2295" s="24">
        <v>4</v>
      </c>
      <c r="Y2295" s="24">
        <v>5</v>
      </c>
      <c r="Z2295" s="20">
        <f t="shared" si="75"/>
        <v>18</v>
      </c>
    </row>
    <row r="2296" spans="1:26" x14ac:dyDescent="0.2">
      <c r="A2296" s="21"/>
      <c r="B2296" s="20"/>
      <c r="C2296" s="22"/>
      <c r="D2296" s="22"/>
      <c r="E2296" s="24"/>
      <c r="F2296" s="22"/>
      <c r="H2296" s="21">
        <v>46024</v>
      </c>
      <c r="I2296" s="22" t="s">
        <v>71</v>
      </c>
      <c r="J2296" s="22" t="s">
        <v>58</v>
      </c>
      <c r="K2296" s="24">
        <v>6</v>
      </c>
      <c r="M2296" s="21">
        <v>46111</v>
      </c>
      <c r="N2296" s="22" t="s">
        <v>70</v>
      </c>
      <c r="O2296" s="22" t="s">
        <v>41</v>
      </c>
      <c r="P2296" s="49">
        <v>77</v>
      </c>
      <c r="Q2296" s="49">
        <v>76.099999999999994</v>
      </c>
      <c r="R2296" s="46">
        <f t="shared" si="74"/>
        <v>0.90000000000000568</v>
      </c>
      <c r="T2296" s="21">
        <v>46078</v>
      </c>
      <c r="U2296" s="22" t="s">
        <v>45</v>
      </c>
      <c r="V2296" s="24">
        <v>4</v>
      </c>
      <c r="W2296" s="24">
        <v>4</v>
      </c>
      <c r="X2296" s="24">
        <v>4</v>
      </c>
      <c r="Y2296" s="24">
        <v>5</v>
      </c>
      <c r="Z2296" s="20">
        <f t="shared" si="75"/>
        <v>17</v>
      </c>
    </row>
    <row r="2297" spans="1:26" x14ac:dyDescent="0.2">
      <c r="A2297" s="21"/>
      <c r="B2297" s="20"/>
      <c r="C2297" s="22"/>
      <c r="D2297" s="22"/>
      <c r="E2297" s="24"/>
      <c r="F2297" s="22"/>
      <c r="H2297" s="21">
        <v>46024</v>
      </c>
      <c r="I2297" s="22" t="s">
        <v>71</v>
      </c>
      <c r="J2297" s="22" t="s">
        <v>49</v>
      </c>
      <c r="K2297" s="24">
        <v>5</v>
      </c>
      <c r="M2297" s="21">
        <v>46111</v>
      </c>
      <c r="N2297" s="22" t="s">
        <v>70</v>
      </c>
      <c r="O2297" s="22" t="s">
        <v>42</v>
      </c>
      <c r="P2297" s="49">
        <v>79.8</v>
      </c>
      <c r="Q2297" s="49">
        <v>79.2</v>
      </c>
      <c r="R2297" s="46">
        <f t="shared" si="74"/>
        <v>0.59999999999999432</v>
      </c>
      <c r="T2297" s="21">
        <v>46078</v>
      </c>
      <c r="U2297" s="22" t="s">
        <v>46</v>
      </c>
      <c r="V2297" s="24">
        <v>5</v>
      </c>
      <c r="W2297" s="24">
        <v>4</v>
      </c>
      <c r="X2297" s="24">
        <v>4</v>
      </c>
      <c r="Y2297" s="24">
        <v>5</v>
      </c>
      <c r="Z2297" s="20">
        <f t="shared" si="75"/>
        <v>18</v>
      </c>
    </row>
    <row r="2298" spans="1:26" x14ac:dyDescent="0.2">
      <c r="A2298" s="21"/>
      <c r="B2298" s="20"/>
      <c r="C2298" s="22"/>
      <c r="D2298" s="22"/>
      <c r="E2298" s="24"/>
      <c r="F2298" s="22"/>
      <c r="H2298" s="21">
        <v>46024</v>
      </c>
      <c r="I2298" s="22" t="s">
        <v>71</v>
      </c>
      <c r="J2298" s="22" t="s">
        <v>50</v>
      </c>
      <c r="K2298" s="24">
        <v>5</v>
      </c>
      <c r="M2298" s="21">
        <v>46111</v>
      </c>
      <c r="N2298" s="22" t="s">
        <v>70</v>
      </c>
      <c r="O2298" s="22" t="s">
        <v>44</v>
      </c>
      <c r="P2298" s="49">
        <v>67.8</v>
      </c>
      <c r="Q2298" s="49">
        <v>67.400000000000006</v>
      </c>
      <c r="R2298" s="46">
        <f t="shared" si="74"/>
        <v>0.39999999999999147</v>
      </c>
      <c r="T2298" s="21">
        <v>46078</v>
      </c>
      <c r="U2298" s="22" t="s">
        <v>47</v>
      </c>
      <c r="V2298" s="24">
        <v>5</v>
      </c>
      <c r="W2298" s="24">
        <v>4</v>
      </c>
      <c r="X2298" s="24">
        <v>4</v>
      </c>
      <c r="Y2298" s="24">
        <v>4</v>
      </c>
      <c r="Z2298" s="20">
        <f t="shared" si="75"/>
        <v>17</v>
      </c>
    </row>
    <row r="2299" spans="1:26" x14ac:dyDescent="0.2">
      <c r="A2299" s="21"/>
      <c r="B2299" s="20"/>
      <c r="C2299" s="22"/>
      <c r="D2299" s="22"/>
      <c r="E2299" s="24"/>
      <c r="F2299" s="22"/>
      <c r="H2299" s="21">
        <v>46024</v>
      </c>
      <c r="I2299" s="22" t="s">
        <v>71</v>
      </c>
      <c r="J2299" s="22" t="s">
        <v>51</v>
      </c>
      <c r="K2299" s="24">
        <v>6</v>
      </c>
      <c r="M2299" s="21">
        <v>46111</v>
      </c>
      <c r="N2299" s="22" t="s">
        <v>70</v>
      </c>
      <c r="O2299" s="22" t="s">
        <v>45</v>
      </c>
      <c r="P2299" s="49">
        <v>69</v>
      </c>
      <c r="Q2299" s="49">
        <v>68.7</v>
      </c>
      <c r="R2299" s="46">
        <f t="shared" si="74"/>
        <v>0.29999999999999716</v>
      </c>
      <c r="T2299" s="21">
        <v>46078</v>
      </c>
      <c r="U2299" s="22" t="s">
        <v>48</v>
      </c>
      <c r="V2299" s="24">
        <v>5</v>
      </c>
      <c r="W2299" s="24">
        <v>5</v>
      </c>
      <c r="X2299" s="24">
        <v>5</v>
      </c>
      <c r="Y2299" s="24">
        <v>5</v>
      </c>
      <c r="Z2299" s="20">
        <f t="shared" si="75"/>
        <v>20</v>
      </c>
    </row>
    <row r="2300" spans="1:26" x14ac:dyDescent="0.2">
      <c r="A2300" s="21"/>
      <c r="B2300" s="20"/>
      <c r="C2300" s="22"/>
      <c r="D2300" s="22"/>
      <c r="E2300" s="24"/>
      <c r="F2300" s="22"/>
      <c r="H2300" s="21">
        <v>46024</v>
      </c>
      <c r="I2300" s="22" t="s">
        <v>71</v>
      </c>
      <c r="J2300" s="22" t="s">
        <v>46</v>
      </c>
      <c r="K2300" s="24">
        <v>6</v>
      </c>
      <c r="M2300" s="21">
        <v>46111</v>
      </c>
      <c r="N2300" s="22" t="s">
        <v>70</v>
      </c>
      <c r="O2300" s="22" t="s">
        <v>46</v>
      </c>
      <c r="P2300" s="49">
        <v>80.900000000000006</v>
      </c>
      <c r="Q2300" s="49">
        <v>80.900000000000006</v>
      </c>
      <c r="R2300" s="46">
        <f t="shared" si="74"/>
        <v>0</v>
      </c>
      <c r="T2300" s="21">
        <v>46078</v>
      </c>
      <c r="U2300" s="22" t="s">
        <v>49</v>
      </c>
      <c r="V2300" s="24">
        <v>4</v>
      </c>
      <c r="W2300" s="24">
        <v>3</v>
      </c>
      <c r="X2300" s="24">
        <v>3</v>
      </c>
      <c r="Y2300" s="24">
        <v>3</v>
      </c>
      <c r="Z2300" s="20">
        <f t="shared" si="75"/>
        <v>13</v>
      </c>
    </row>
    <row r="2301" spans="1:26" x14ac:dyDescent="0.2">
      <c r="A2301" s="21"/>
      <c r="B2301" s="20"/>
      <c r="C2301" s="22"/>
      <c r="D2301" s="22"/>
      <c r="E2301" s="24"/>
      <c r="F2301" s="22"/>
      <c r="H2301" s="21">
        <v>46024</v>
      </c>
      <c r="I2301" s="22" t="s">
        <v>71</v>
      </c>
      <c r="J2301" s="22" t="s">
        <v>48</v>
      </c>
      <c r="K2301" s="24">
        <v>6</v>
      </c>
      <c r="M2301" s="21">
        <v>46111</v>
      </c>
      <c r="N2301" s="22" t="s">
        <v>70</v>
      </c>
      <c r="O2301" s="22" t="s">
        <v>47</v>
      </c>
      <c r="P2301" s="49">
        <v>72</v>
      </c>
      <c r="Q2301" s="49">
        <v>72</v>
      </c>
      <c r="R2301" s="46">
        <f t="shared" si="74"/>
        <v>0</v>
      </c>
      <c r="T2301" s="21">
        <v>46078</v>
      </c>
      <c r="U2301" s="22" t="s">
        <v>50</v>
      </c>
      <c r="V2301" s="24">
        <v>3</v>
      </c>
      <c r="W2301" s="24">
        <v>3</v>
      </c>
      <c r="X2301" s="24">
        <v>3</v>
      </c>
      <c r="Y2301" s="24">
        <v>4</v>
      </c>
      <c r="Z2301" s="20">
        <f t="shared" si="75"/>
        <v>13</v>
      </c>
    </row>
    <row r="2302" spans="1:26" x14ac:dyDescent="0.2">
      <c r="A2302" s="21"/>
      <c r="B2302" s="20"/>
      <c r="C2302" s="22"/>
      <c r="D2302" s="22"/>
      <c r="E2302" s="24"/>
      <c r="F2302" s="22"/>
      <c r="H2302" s="21">
        <v>46024</v>
      </c>
      <c r="I2302" s="22" t="s">
        <v>71</v>
      </c>
      <c r="J2302" s="22" t="s">
        <v>56</v>
      </c>
      <c r="K2302" s="24">
        <v>6</v>
      </c>
      <c r="M2302" s="21">
        <v>46111</v>
      </c>
      <c r="N2302" s="22" t="s">
        <v>70</v>
      </c>
      <c r="O2302" s="22" t="s">
        <v>49</v>
      </c>
      <c r="P2302" s="49">
        <v>79.7</v>
      </c>
      <c r="Q2302" s="49">
        <v>79.5</v>
      </c>
      <c r="R2302" s="46">
        <f t="shared" si="74"/>
        <v>0.20000000000000284</v>
      </c>
      <c r="T2302" s="21">
        <v>46078</v>
      </c>
      <c r="U2302" s="22" t="s">
        <v>51</v>
      </c>
      <c r="V2302" s="24">
        <v>4</v>
      </c>
      <c r="W2302" s="24">
        <v>4</v>
      </c>
      <c r="X2302" s="24">
        <v>4</v>
      </c>
      <c r="Y2302" s="24">
        <v>4</v>
      </c>
      <c r="Z2302" s="20">
        <f t="shared" si="75"/>
        <v>16</v>
      </c>
    </row>
    <row r="2303" spans="1:26" x14ac:dyDescent="0.2">
      <c r="A2303" s="21"/>
      <c r="B2303" s="20"/>
      <c r="C2303" s="22"/>
      <c r="D2303" s="22"/>
      <c r="E2303" s="24"/>
      <c r="F2303" s="22"/>
      <c r="H2303" s="21">
        <v>46025</v>
      </c>
      <c r="I2303" s="22" t="s">
        <v>71</v>
      </c>
      <c r="J2303" s="22" t="s">
        <v>52</v>
      </c>
      <c r="K2303" s="24">
        <v>6</v>
      </c>
      <c r="M2303" s="21">
        <v>46111</v>
      </c>
      <c r="N2303" s="22" t="s">
        <v>70</v>
      </c>
      <c r="O2303" s="22" t="s">
        <v>50</v>
      </c>
      <c r="P2303" s="49">
        <v>68</v>
      </c>
      <c r="Q2303" s="49">
        <v>68</v>
      </c>
      <c r="R2303" s="46">
        <f t="shared" si="74"/>
        <v>0</v>
      </c>
      <c r="T2303" s="21">
        <v>46078</v>
      </c>
      <c r="U2303" s="22" t="s">
        <v>52</v>
      </c>
      <c r="V2303" s="24">
        <v>4</v>
      </c>
      <c r="W2303" s="24">
        <v>4</v>
      </c>
      <c r="X2303" s="24">
        <v>4</v>
      </c>
      <c r="Y2303" s="24">
        <v>4</v>
      </c>
      <c r="Z2303" s="20">
        <f t="shared" si="75"/>
        <v>16</v>
      </c>
    </row>
    <row r="2304" spans="1:26" x14ac:dyDescent="0.2">
      <c r="A2304" s="21"/>
      <c r="B2304" s="20"/>
      <c r="C2304" s="22"/>
      <c r="D2304" s="22"/>
      <c r="E2304" s="24"/>
      <c r="F2304" s="22"/>
      <c r="H2304" s="21">
        <v>46025</v>
      </c>
      <c r="I2304" s="22" t="s">
        <v>71</v>
      </c>
      <c r="J2304" s="22" t="s">
        <v>53</v>
      </c>
      <c r="K2304" s="24">
        <v>2</v>
      </c>
      <c r="M2304" s="21">
        <v>46111</v>
      </c>
      <c r="N2304" s="22" t="s">
        <v>70</v>
      </c>
      <c r="O2304" s="22" t="s">
        <v>51</v>
      </c>
      <c r="P2304" s="49">
        <v>75.400000000000006</v>
      </c>
      <c r="Q2304" s="49">
        <v>75.400000000000006</v>
      </c>
      <c r="R2304" s="46">
        <f t="shared" si="74"/>
        <v>0</v>
      </c>
      <c r="T2304" s="21">
        <v>46078</v>
      </c>
      <c r="U2304" s="22" t="s">
        <v>53</v>
      </c>
      <c r="V2304" s="24">
        <v>4</v>
      </c>
      <c r="W2304" s="24">
        <v>4</v>
      </c>
      <c r="X2304" s="24">
        <v>4</v>
      </c>
      <c r="Y2304" s="24">
        <v>5</v>
      </c>
      <c r="Z2304" s="20">
        <f t="shared" si="75"/>
        <v>17</v>
      </c>
    </row>
    <row r="2305" spans="1:26" x14ac:dyDescent="0.2">
      <c r="A2305" s="21"/>
      <c r="B2305" s="20"/>
      <c r="C2305" s="22"/>
      <c r="D2305" s="22"/>
      <c r="E2305" s="24"/>
      <c r="F2305" s="22"/>
      <c r="H2305" s="21">
        <v>46025</v>
      </c>
      <c r="I2305" s="22" t="s">
        <v>71</v>
      </c>
      <c r="J2305" s="22" t="s">
        <v>44</v>
      </c>
      <c r="K2305" s="24">
        <v>9</v>
      </c>
      <c r="M2305" s="21">
        <v>46111</v>
      </c>
      <c r="N2305" s="22" t="s">
        <v>70</v>
      </c>
      <c r="O2305" s="22" t="s">
        <v>52</v>
      </c>
      <c r="P2305" s="49">
        <v>71</v>
      </c>
      <c r="Q2305" s="49">
        <v>71</v>
      </c>
      <c r="R2305" s="46">
        <f t="shared" si="74"/>
        <v>0</v>
      </c>
      <c r="T2305" s="21">
        <v>46078</v>
      </c>
      <c r="U2305" s="22" t="s">
        <v>57</v>
      </c>
      <c r="V2305" s="24">
        <v>4</v>
      </c>
      <c r="W2305" s="24">
        <v>3</v>
      </c>
      <c r="X2305" s="24">
        <v>3</v>
      </c>
      <c r="Y2305" s="24">
        <v>1</v>
      </c>
      <c r="Z2305" s="20">
        <f t="shared" si="75"/>
        <v>11</v>
      </c>
    </row>
    <row r="2306" spans="1:26" x14ac:dyDescent="0.2">
      <c r="A2306" s="21"/>
      <c r="B2306" s="20"/>
      <c r="C2306" s="22"/>
      <c r="D2306" s="22"/>
      <c r="E2306" s="24"/>
      <c r="F2306" s="22"/>
      <c r="H2306" s="21">
        <v>46025</v>
      </c>
      <c r="I2306" s="22" t="s">
        <v>71</v>
      </c>
      <c r="J2306" s="22" t="s">
        <v>45</v>
      </c>
      <c r="K2306" s="24">
        <v>6</v>
      </c>
      <c r="M2306" s="21">
        <v>46111</v>
      </c>
      <c r="N2306" s="22" t="s">
        <v>70</v>
      </c>
      <c r="O2306" s="22" t="s">
        <v>53</v>
      </c>
      <c r="P2306" s="49">
        <v>68.5</v>
      </c>
      <c r="Q2306" s="49">
        <v>68</v>
      </c>
      <c r="R2306" s="46">
        <f t="shared" si="74"/>
        <v>0.5</v>
      </c>
      <c r="T2306" s="21">
        <v>46078</v>
      </c>
      <c r="U2306" s="22" t="s">
        <v>58</v>
      </c>
      <c r="V2306" s="24">
        <v>4</v>
      </c>
      <c r="W2306" s="24">
        <v>3</v>
      </c>
      <c r="X2306" s="24">
        <v>4</v>
      </c>
      <c r="Y2306" s="24">
        <v>4</v>
      </c>
      <c r="Z2306" s="20">
        <f t="shared" si="75"/>
        <v>15</v>
      </c>
    </row>
    <row r="2307" spans="1:26" x14ac:dyDescent="0.2">
      <c r="A2307" s="21"/>
      <c r="B2307" s="20"/>
      <c r="C2307" s="22"/>
      <c r="D2307" s="22"/>
      <c r="E2307" s="24"/>
      <c r="F2307" s="22"/>
      <c r="H2307" s="21">
        <v>46025</v>
      </c>
      <c r="I2307" s="22" t="s">
        <v>71</v>
      </c>
      <c r="J2307" s="22" t="s">
        <v>57</v>
      </c>
      <c r="K2307" s="24">
        <v>7</v>
      </c>
      <c r="M2307" s="21">
        <v>46111</v>
      </c>
      <c r="N2307" s="22" t="s">
        <v>70</v>
      </c>
      <c r="O2307" s="22" t="s">
        <v>55</v>
      </c>
      <c r="P2307" s="49">
        <v>76.8</v>
      </c>
      <c r="Q2307" s="49">
        <v>76.5</v>
      </c>
      <c r="R2307" s="46">
        <f t="shared" ref="R2307:R2370" si="76">IFERROR(P2307-Q2307,"")</f>
        <v>0.29999999999999716</v>
      </c>
      <c r="T2307" s="21">
        <v>46078</v>
      </c>
      <c r="U2307" s="22" t="s">
        <v>33</v>
      </c>
      <c r="V2307" s="24">
        <v>4</v>
      </c>
      <c r="W2307" s="24">
        <v>3.5714285714285698</v>
      </c>
      <c r="X2307" s="24">
        <v>3.6428571428571401</v>
      </c>
      <c r="Y2307" s="24">
        <v>3.8571428571428599</v>
      </c>
      <c r="Z2307" s="20">
        <f t="shared" ref="Z2307:Z2370" si="77">SUM(V2307:Y2307)</f>
        <v>15.071428571428569</v>
      </c>
    </row>
    <row r="2308" spans="1:26" x14ac:dyDescent="0.2">
      <c r="A2308" s="21"/>
      <c r="B2308" s="20"/>
      <c r="C2308" s="22"/>
      <c r="D2308" s="22"/>
      <c r="E2308" s="24"/>
      <c r="F2308" s="22"/>
      <c r="H2308" s="21">
        <v>46025</v>
      </c>
      <c r="I2308" s="22" t="s">
        <v>71</v>
      </c>
      <c r="J2308" s="22" t="s">
        <v>42</v>
      </c>
      <c r="K2308" s="24" t="s">
        <v>63</v>
      </c>
      <c r="M2308" s="21">
        <v>46111</v>
      </c>
      <c r="N2308" s="22" t="s">
        <v>70</v>
      </c>
      <c r="O2308" s="22" t="s">
        <v>56</v>
      </c>
      <c r="P2308" s="49">
        <v>74.5</v>
      </c>
      <c r="Q2308" s="49">
        <v>74.5</v>
      </c>
      <c r="R2308" s="46">
        <f t="shared" si="76"/>
        <v>0</v>
      </c>
      <c r="T2308" s="21">
        <v>46079</v>
      </c>
      <c r="U2308" s="22" t="s">
        <v>41</v>
      </c>
      <c r="V2308" s="24">
        <v>1</v>
      </c>
      <c r="W2308" s="24">
        <v>1</v>
      </c>
      <c r="X2308" s="24">
        <v>1</v>
      </c>
      <c r="Y2308" s="24">
        <v>1</v>
      </c>
      <c r="Z2308" s="20">
        <f t="shared" si="77"/>
        <v>4</v>
      </c>
    </row>
    <row r="2309" spans="1:26" x14ac:dyDescent="0.2">
      <c r="A2309" s="21"/>
      <c r="B2309" s="20"/>
      <c r="C2309" s="22"/>
      <c r="D2309" s="22"/>
      <c r="E2309" s="24"/>
      <c r="F2309" s="22"/>
      <c r="H2309" s="21">
        <v>46025</v>
      </c>
      <c r="I2309" s="22" t="s">
        <v>71</v>
      </c>
      <c r="J2309" s="22" t="s">
        <v>47</v>
      </c>
      <c r="K2309" s="24">
        <v>8</v>
      </c>
      <c r="M2309" s="21">
        <v>46111</v>
      </c>
      <c r="N2309" s="22" t="s">
        <v>70</v>
      </c>
      <c r="O2309" s="22" t="s">
        <v>57</v>
      </c>
      <c r="P2309" s="49">
        <v>91</v>
      </c>
      <c r="Q2309" s="49">
        <v>90.5</v>
      </c>
      <c r="R2309" s="46">
        <f t="shared" si="76"/>
        <v>0.5</v>
      </c>
      <c r="T2309" s="21">
        <v>46079</v>
      </c>
      <c r="U2309" s="22" t="s">
        <v>42</v>
      </c>
      <c r="V2309" s="24">
        <v>4</v>
      </c>
      <c r="W2309" s="24">
        <v>4</v>
      </c>
      <c r="X2309" s="24">
        <v>4</v>
      </c>
      <c r="Y2309" s="24">
        <v>4</v>
      </c>
      <c r="Z2309" s="20">
        <f t="shared" si="77"/>
        <v>16</v>
      </c>
    </row>
    <row r="2310" spans="1:26" x14ac:dyDescent="0.2">
      <c r="A2310" s="21"/>
      <c r="B2310" s="20"/>
      <c r="C2310" s="22"/>
      <c r="D2310" s="22"/>
      <c r="E2310" s="24"/>
      <c r="F2310" s="22"/>
      <c r="H2310" s="21">
        <v>46025</v>
      </c>
      <c r="I2310" s="22" t="s">
        <v>71</v>
      </c>
      <c r="J2310" s="22" t="s">
        <v>41</v>
      </c>
      <c r="K2310" s="24">
        <v>7</v>
      </c>
      <c r="M2310" s="21">
        <v>46111</v>
      </c>
      <c r="N2310" s="22" t="s">
        <v>70</v>
      </c>
      <c r="O2310" s="22" t="s">
        <v>58</v>
      </c>
      <c r="P2310" s="49">
        <v>76.3</v>
      </c>
      <c r="Q2310" s="49">
        <v>76.2</v>
      </c>
      <c r="R2310" s="46">
        <f t="shared" si="76"/>
        <v>9.9999999999994316E-2</v>
      </c>
      <c r="T2310" s="21">
        <v>46079</v>
      </c>
      <c r="U2310" s="22" t="s">
        <v>44</v>
      </c>
      <c r="V2310" s="24">
        <v>5</v>
      </c>
      <c r="W2310" s="24">
        <v>3</v>
      </c>
      <c r="X2310" s="24">
        <v>4</v>
      </c>
      <c r="Y2310" s="24">
        <v>5</v>
      </c>
      <c r="Z2310" s="20">
        <f t="shared" si="77"/>
        <v>17</v>
      </c>
    </row>
    <row r="2311" spans="1:26" x14ac:dyDescent="0.2">
      <c r="A2311" s="21"/>
      <c r="B2311" s="20"/>
      <c r="C2311" s="22"/>
      <c r="D2311" s="22"/>
      <c r="E2311" s="24"/>
      <c r="F2311" s="22"/>
      <c r="H2311" s="21">
        <v>46025</v>
      </c>
      <c r="I2311" s="22" t="s">
        <v>71</v>
      </c>
      <c r="J2311" s="22" t="s">
        <v>58</v>
      </c>
      <c r="K2311" s="24">
        <v>4</v>
      </c>
      <c r="M2311" s="21">
        <v>46112</v>
      </c>
      <c r="N2311" s="22" t="s">
        <v>70</v>
      </c>
      <c r="O2311" s="22" t="s">
        <v>41</v>
      </c>
      <c r="P2311" s="49">
        <v>77</v>
      </c>
      <c r="Q2311" s="49">
        <v>77</v>
      </c>
      <c r="R2311" s="46">
        <f t="shared" si="76"/>
        <v>0</v>
      </c>
      <c r="T2311" s="21">
        <v>46079</v>
      </c>
      <c r="U2311" s="22" t="s">
        <v>45</v>
      </c>
      <c r="V2311" s="24">
        <v>4</v>
      </c>
      <c r="W2311" s="24">
        <v>4</v>
      </c>
      <c r="X2311" s="24">
        <v>4</v>
      </c>
      <c r="Y2311" s="24">
        <v>5</v>
      </c>
      <c r="Z2311" s="20">
        <f t="shared" si="77"/>
        <v>17</v>
      </c>
    </row>
    <row r="2312" spans="1:26" x14ac:dyDescent="0.2">
      <c r="A2312" s="21"/>
      <c r="B2312" s="20"/>
      <c r="C2312" s="22"/>
      <c r="D2312" s="22"/>
      <c r="E2312" s="24"/>
      <c r="F2312" s="22"/>
      <c r="H2312" s="21">
        <v>46025</v>
      </c>
      <c r="I2312" s="22" t="s">
        <v>71</v>
      </c>
      <c r="J2312" s="22" t="s">
        <v>49</v>
      </c>
      <c r="K2312" s="24">
        <v>8</v>
      </c>
      <c r="M2312" s="21">
        <v>46112</v>
      </c>
      <c r="N2312" s="22" t="s">
        <v>70</v>
      </c>
      <c r="O2312" s="22" t="s">
        <v>42</v>
      </c>
      <c r="P2312" s="49">
        <v>79.5</v>
      </c>
      <c r="Q2312" s="49">
        <v>79</v>
      </c>
      <c r="R2312" s="46">
        <f t="shared" si="76"/>
        <v>0.5</v>
      </c>
      <c r="T2312" s="21">
        <v>46079</v>
      </c>
      <c r="U2312" s="22" t="s">
        <v>46</v>
      </c>
      <c r="V2312" s="24">
        <v>4</v>
      </c>
      <c r="W2312" s="24">
        <v>4</v>
      </c>
      <c r="X2312" s="24">
        <v>4</v>
      </c>
      <c r="Y2312" s="24">
        <v>5</v>
      </c>
      <c r="Z2312" s="20">
        <f t="shared" si="77"/>
        <v>17</v>
      </c>
    </row>
    <row r="2313" spans="1:26" x14ac:dyDescent="0.2">
      <c r="A2313" s="21"/>
      <c r="B2313" s="20"/>
      <c r="C2313" s="22"/>
      <c r="D2313" s="22"/>
      <c r="E2313" s="24"/>
      <c r="F2313" s="22"/>
      <c r="H2313" s="21">
        <v>46025</v>
      </c>
      <c r="I2313" s="22" t="s">
        <v>71</v>
      </c>
      <c r="J2313" s="22" t="s">
        <v>50</v>
      </c>
      <c r="K2313" s="24">
        <v>7</v>
      </c>
      <c r="M2313" s="21">
        <v>46112</v>
      </c>
      <c r="N2313" s="22" t="s">
        <v>70</v>
      </c>
      <c r="O2313" s="22" t="s">
        <v>44</v>
      </c>
      <c r="P2313" s="49">
        <v>67.2</v>
      </c>
      <c r="Q2313" s="49">
        <v>67.099999999999994</v>
      </c>
      <c r="R2313" s="46">
        <f t="shared" si="76"/>
        <v>0.10000000000000853</v>
      </c>
      <c r="T2313" s="21">
        <v>46079</v>
      </c>
      <c r="U2313" s="22" t="s">
        <v>47</v>
      </c>
      <c r="V2313" s="24">
        <v>2</v>
      </c>
      <c r="W2313" s="24">
        <v>4</v>
      </c>
      <c r="X2313" s="24">
        <v>4</v>
      </c>
      <c r="Y2313" s="24">
        <v>2</v>
      </c>
      <c r="Z2313" s="20">
        <f t="shared" si="77"/>
        <v>12</v>
      </c>
    </row>
    <row r="2314" spans="1:26" x14ac:dyDescent="0.2">
      <c r="A2314" s="21"/>
      <c r="B2314" s="20"/>
      <c r="C2314" s="22"/>
      <c r="D2314" s="22"/>
      <c r="E2314" s="24"/>
      <c r="F2314" s="22"/>
      <c r="H2314" s="21">
        <v>46025</v>
      </c>
      <c r="I2314" s="22" t="s">
        <v>71</v>
      </c>
      <c r="J2314" s="22" t="s">
        <v>51</v>
      </c>
      <c r="K2314" s="24">
        <v>7</v>
      </c>
      <c r="M2314" s="21">
        <v>46112</v>
      </c>
      <c r="N2314" s="22" t="s">
        <v>70</v>
      </c>
      <c r="O2314" s="22" t="s">
        <v>45</v>
      </c>
      <c r="P2314" s="49">
        <v>69</v>
      </c>
      <c r="Q2314" s="49">
        <v>68.5</v>
      </c>
      <c r="R2314" s="46">
        <f t="shared" si="76"/>
        <v>0.5</v>
      </c>
      <c r="T2314" s="21">
        <v>46079</v>
      </c>
      <c r="U2314" s="22" t="s">
        <v>48</v>
      </c>
      <c r="V2314" s="24">
        <v>5</v>
      </c>
      <c r="W2314" s="24">
        <v>5</v>
      </c>
      <c r="X2314" s="24">
        <v>5</v>
      </c>
      <c r="Y2314" s="24">
        <v>1</v>
      </c>
      <c r="Z2314" s="20">
        <f t="shared" si="77"/>
        <v>16</v>
      </c>
    </row>
    <row r="2315" spans="1:26" x14ac:dyDescent="0.2">
      <c r="A2315" s="21"/>
      <c r="B2315" s="20"/>
      <c r="C2315" s="22"/>
      <c r="D2315" s="22"/>
      <c r="E2315" s="24"/>
      <c r="F2315" s="22"/>
      <c r="H2315" s="21">
        <v>46025</v>
      </c>
      <c r="I2315" s="22" t="s">
        <v>71</v>
      </c>
      <c r="J2315" s="22" t="s">
        <v>46</v>
      </c>
      <c r="K2315" s="24">
        <v>10</v>
      </c>
      <c r="M2315" s="21">
        <v>46112</v>
      </c>
      <c r="N2315" s="22" t="s">
        <v>70</v>
      </c>
      <c r="O2315" s="22" t="s">
        <v>46</v>
      </c>
      <c r="P2315" s="49">
        <v>81.599999999999994</v>
      </c>
      <c r="Q2315" s="49">
        <v>82</v>
      </c>
      <c r="R2315" s="46">
        <f t="shared" si="76"/>
        <v>-0.40000000000000568</v>
      </c>
      <c r="T2315" s="21">
        <v>46079</v>
      </c>
      <c r="U2315" s="22" t="s">
        <v>49</v>
      </c>
      <c r="V2315" s="24">
        <v>5</v>
      </c>
      <c r="W2315" s="24">
        <v>3</v>
      </c>
      <c r="X2315" s="24">
        <v>3</v>
      </c>
      <c r="Y2315" s="24">
        <v>3</v>
      </c>
      <c r="Z2315" s="20">
        <f t="shared" si="77"/>
        <v>14</v>
      </c>
    </row>
    <row r="2316" spans="1:26" x14ac:dyDescent="0.2">
      <c r="A2316" s="21"/>
      <c r="B2316" s="20"/>
      <c r="C2316" s="22"/>
      <c r="D2316" s="22"/>
      <c r="E2316" s="24"/>
      <c r="F2316" s="22"/>
      <c r="H2316" s="21">
        <v>46025</v>
      </c>
      <c r="I2316" s="22" t="s">
        <v>71</v>
      </c>
      <c r="J2316" s="22" t="s">
        <v>48</v>
      </c>
      <c r="K2316" s="24">
        <v>4</v>
      </c>
      <c r="M2316" s="21">
        <v>46112</v>
      </c>
      <c r="N2316" s="22" t="s">
        <v>70</v>
      </c>
      <c r="O2316" s="22" t="s">
        <v>47</v>
      </c>
      <c r="P2316" s="49">
        <v>72</v>
      </c>
      <c r="Q2316" s="49">
        <v>72</v>
      </c>
      <c r="R2316" s="46">
        <f t="shared" si="76"/>
        <v>0</v>
      </c>
      <c r="T2316" s="21">
        <v>46079</v>
      </c>
      <c r="U2316" s="22" t="s">
        <v>50</v>
      </c>
      <c r="V2316" s="24">
        <v>3</v>
      </c>
      <c r="W2316" s="24">
        <v>3</v>
      </c>
      <c r="X2316" s="24">
        <v>3</v>
      </c>
      <c r="Y2316" s="24">
        <v>4</v>
      </c>
      <c r="Z2316" s="20">
        <f t="shared" si="77"/>
        <v>13</v>
      </c>
    </row>
    <row r="2317" spans="1:26" x14ac:dyDescent="0.2">
      <c r="A2317" s="21"/>
      <c r="B2317" s="20"/>
      <c r="C2317" s="22"/>
      <c r="D2317" s="22"/>
      <c r="E2317" s="24"/>
      <c r="F2317" s="22"/>
      <c r="H2317" s="21">
        <v>46025</v>
      </c>
      <c r="I2317" s="22" t="s">
        <v>71</v>
      </c>
      <c r="J2317" s="22" t="s">
        <v>56</v>
      </c>
      <c r="K2317" s="24" t="s">
        <v>63</v>
      </c>
      <c r="M2317" s="21">
        <v>46112</v>
      </c>
      <c r="N2317" s="22" t="s">
        <v>70</v>
      </c>
      <c r="O2317" s="22" t="s">
        <v>48</v>
      </c>
      <c r="P2317" s="49">
        <v>81.5</v>
      </c>
      <c r="Q2317" s="49">
        <v>81</v>
      </c>
      <c r="R2317" s="46">
        <f t="shared" si="76"/>
        <v>0.5</v>
      </c>
      <c r="T2317" s="21">
        <v>46079</v>
      </c>
      <c r="U2317" s="22" t="s">
        <v>51</v>
      </c>
      <c r="V2317" s="24">
        <v>4</v>
      </c>
      <c r="W2317" s="24">
        <v>4</v>
      </c>
      <c r="X2317" s="24">
        <v>4</v>
      </c>
      <c r="Y2317" s="24">
        <v>4</v>
      </c>
      <c r="Z2317" s="20">
        <f t="shared" si="77"/>
        <v>16</v>
      </c>
    </row>
    <row r="2318" spans="1:26" x14ac:dyDescent="0.2">
      <c r="A2318" s="21"/>
      <c r="B2318" s="20"/>
      <c r="C2318" s="22"/>
      <c r="D2318" s="22"/>
      <c r="E2318" s="24"/>
      <c r="F2318" s="22"/>
      <c r="H2318" s="21">
        <v>46027</v>
      </c>
      <c r="I2318" s="22" t="s">
        <v>70</v>
      </c>
      <c r="J2318" s="22" t="s">
        <v>52</v>
      </c>
      <c r="K2318" s="24">
        <v>6</v>
      </c>
      <c r="M2318" s="21">
        <v>46112</v>
      </c>
      <c r="N2318" s="22" t="s">
        <v>70</v>
      </c>
      <c r="O2318" s="22" t="s">
        <v>49</v>
      </c>
      <c r="P2318" s="49">
        <v>79.3</v>
      </c>
      <c r="Q2318" s="49">
        <v>79.2</v>
      </c>
      <c r="R2318" s="46">
        <f t="shared" si="76"/>
        <v>9.9999999999994316E-2</v>
      </c>
      <c r="T2318" s="21">
        <v>46079</v>
      </c>
      <c r="U2318" s="22" t="s">
        <v>52</v>
      </c>
      <c r="V2318" s="24">
        <v>4</v>
      </c>
      <c r="W2318" s="24">
        <v>4</v>
      </c>
      <c r="X2318" s="24">
        <v>4</v>
      </c>
      <c r="Y2318" s="24">
        <v>4</v>
      </c>
      <c r="Z2318" s="20">
        <f t="shared" si="77"/>
        <v>16</v>
      </c>
    </row>
    <row r="2319" spans="1:26" x14ac:dyDescent="0.2">
      <c r="A2319" s="21"/>
      <c r="B2319" s="20"/>
      <c r="C2319" s="22"/>
      <c r="D2319" s="22"/>
      <c r="E2319" s="24"/>
      <c r="F2319" s="22"/>
      <c r="H2319" s="21">
        <v>46027</v>
      </c>
      <c r="I2319" s="22" t="s">
        <v>70</v>
      </c>
      <c r="J2319" s="22" t="s">
        <v>53</v>
      </c>
      <c r="K2319" s="24">
        <v>5</v>
      </c>
      <c r="M2319" s="21">
        <v>46112</v>
      </c>
      <c r="N2319" s="22" t="s">
        <v>70</v>
      </c>
      <c r="O2319" s="22" t="s">
        <v>50</v>
      </c>
      <c r="P2319" s="49">
        <v>67.5</v>
      </c>
      <c r="Q2319" s="49">
        <v>66.099999999999994</v>
      </c>
      <c r="R2319" s="46">
        <f t="shared" si="76"/>
        <v>1.4000000000000057</v>
      </c>
      <c r="T2319" s="21">
        <v>46079</v>
      </c>
      <c r="U2319" s="22" t="s">
        <v>53</v>
      </c>
      <c r="V2319" s="24">
        <v>4</v>
      </c>
      <c r="W2319" s="24">
        <v>4</v>
      </c>
      <c r="X2319" s="24">
        <v>4</v>
      </c>
      <c r="Y2319" s="24">
        <v>5</v>
      </c>
      <c r="Z2319" s="20">
        <f t="shared" si="77"/>
        <v>17</v>
      </c>
    </row>
    <row r="2320" spans="1:26" x14ac:dyDescent="0.2">
      <c r="A2320" s="21"/>
      <c r="B2320" s="20"/>
      <c r="C2320" s="22"/>
      <c r="D2320" s="22"/>
      <c r="E2320" s="24"/>
      <c r="F2320" s="22"/>
      <c r="H2320" s="21">
        <v>46027</v>
      </c>
      <c r="I2320" s="22" t="s">
        <v>70</v>
      </c>
      <c r="J2320" s="22" t="s">
        <v>44</v>
      </c>
      <c r="K2320" s="24">
        <v>7</v>
      </c>
      <c r="M2320" s="21">
        <v>46112</v>
      </c>
      <c r="N2320" s="22" t="s">
        <v>70</v>
      </c>
      <c r="O2320" s="22" t="s">
        <v>51</v>
      </c>
      <c r="P2320" s="49">
        <v>75.900000000000006</v>
      </c>
      <c r="Q2320" s="49">
        <v>75.8</v>
      </c>
      <c r="R2320" s="46">
        <f t="shared" si="76"/>
        <v>0.10000000000000853</v>
      </c>
      <c r="T2320" s="21">
        <v>46079</v>
      </c>
      <c r="U2320" s="22" t="s">
        <v>57</v>
      </c>
      <c r="V2320" s="24">
        <v>3</v>
      </c>
      <c r="W2320" s="24">
        <v>3</v>
      </c>
      <c r="X2320" s="24">
        <v>3</v>
      </c>
      <c r="Y2320" s="24">
        <v>3</v>
      </c>
      <c r="Z2320" s="20">
        <f t="shared" si="77"/>
        <v>12</v>
      </c>
    </row>
    <row r="2321" spans="1:26" x14ac:dyDescent="0.2">
      <c r="A2321" s="21"/>
      <c r="B2321" s="20"/>
      <c r="C2321" s="22"/>
      <c r="D2321" s="22"/>
      <c r="E2321" s="24"/>
      <c r="F2321" s="22"/>
      <c r="H2321" s="21">
        <v>46027</v>
      </c>
      <c r="I2321" s="22" t="s">
        <v>70</v>
      </c>
      <c r="J2321" s="22" t="s">
        <v>45</v>
      </c>
      <c r="K2321" s="24">
        <v>7</v>
      </c>
      <c r="M2321" s="21">
        <v>46112</v>
      </c>
      <c r="N2321" s="22" t="s">
        <v>70</v>
      </c>
      <c r="O2321" s="22" t="s">
        <v>52</v>
      </c>
      <c r="P2321" s="49">
        <v>71</v>
      </c>
      <c r="Q2321" s="49">
        <v>71</v>
      </c>
      <c r="R2321" s="46">
        <f t="shared" si="76"/>
        <v>0</v>
      </c>
      <c r="T2321" s="21">
        <v>46079</v>
      </c>
      <c r="U2321" s="22" t="s">
        <v>58</v>
      </c>
      <c r="V2321" s="24">
        <v>4</v>
      </c>
      <c r="W2321" s="24">
        <v>3</v>
      </c>
      <c r="X2321" s="24">
        <v>4</v>
      </c>
      <c r="Y2321" s="24">
        <v>5</v>
      </c>
      <c r="Z2321" s="20">
        <f t="shared" si="77"/>
        <v>16</v>
      </c>
    </row>
    <row r="2322" spans="1:26" x14ac:dyDescent="0.2">
      <c r="A2322" s="21"/>
      <c r="B2322" s="20"/>
      <c r="C2322" s="22"/>
      <c r="D2322" s="22"/>
      <c r="E2322" s="24"/>
      <c r="F2322" s="22"/>
      <c r="H2322" s="21">
        <v>46027</v>
      </c>
      <c r="I2322" s="22" t="s">
        <v>70</v>
      </c>
      <c r="J2322" s="22" t="s">
        <v>57</v>
      </c>
      <c r="K2322" s="24">
        <v>7</v>
      </c>
      <c r="M2322" s="21">
        <v>46112</v>
      </c>
      <c r="N2322" s="22" t="s">
        <v>70</v>
      </c>
      <c r="O2322" s="22" t="s">
        <v>56</v>
      </c>
      <c r="P2322" s="49">
        <v>74.5</v>
      </c>
      <c r="Q2322" s="49">
        <v>74.599999999999994</v>
      </c>
      <c r="R2322" s="46">
        <f t="shared" si="76"/>
        <v>-9.9999999999994316E-2</v>
      </c>
      <c r="T2322" s="21">
        <v>46079</v>
      </c>
      <c r="U2322" s="22" t="s">
        <v>33</v>
      </c>
      <c r="V2322" s="24">
        <v>3.71428571428571</v>
      </c>
      <c r="W2322" s="24">
        <v>3.5</v>
      </c>
      <c r="X2322" s="24">
        <v>3.6428571428571401</v>
      </c>
      <c r="Y2322" s="24">
        <v>3.6428571428571401</v>
      </c>
      <c r="Z2322" s="20">
        <f t="shared" si="77"/>
        <v>14.499999999999991</v>
      </c>
    </row>
    <row r="2323" spans="1:26" x14ac:dyDescent="0.2">
      <c r="A2323" s="21"/>
      <c r="B2323" s="20"/>
      <c r="C2323" s="22"/>
      <c r="D2323" s="22"/>
      <c r="E2323" s="24"/>
      <c r="F2323" s="22"/>
      <c r="H2323" s="21">
        <v>46027</v>
      </c>
      <c r="I2323" s="22" t="s">
        <v>70</v>
      </c>
      <c r="J2323" s="22" t="s">
        <v>42</v>
      </c>
      <c r="K2323" s="24">
        <v>3</v>
      </c>
      <c r="M2323" s="21">
        <v>46112</v>
      </c>
      <c r="N2323" s="22" t="s">
        <v>70</v>
      </c>
      <c r="O2323" s="22" t="s">
        <v>57</v>
      </c>
      <c r="P2323" s="49">
        <v>90</v>
      </c>
      <c r="Q2323" s="49">
        <v>89.3</v>
      </c>
      <c r="R2323" s="46">
        <f t="shared" si="76"/>
        <v>0.70000000000000284</v>
      </c>
      <c r="T2323" s="21">
        <v>46080</v>
      </c>
      <c r="U2323" s="22" t="s">
        <v>41</v>
      </c>
      <c r="V2323" s="24">
        <v>1</v>
      </c>
      <c r="W2323" s="24">
        <v>1</v>
      </c>
      <c r="X2323" s="24">
        <v>1</v>
      </c>
      <c r="Y2323" s="24">
        <v>1</v>
      </c>
      <c r="Z2323" s="20">
        <f t="shared" si="77"/>
        <v>4</v>
      </c>
    </row>
    <row r="2324" spans="1:26" x14ac:dyDescent="0.2">
      <c r="A2324" s="21"/>
      <c r="B2324" s="20"/>
      <c r="C2324" s="22"/>
      <c r="D2324" s="22"/>
      <c r="E2324" s="24"/>
      <c r="F2324" s="22"/>
      <c r="H2324" s="21">
        <v>46027</v>
      </c>
      <c r="I2324" s="22" t="s">
        <v>70</v>
      </c>
      <c r="J2324" s="22" t="s">
        <v>47</v>
      </c>
      <c r="K2324" s="24">
        <v>7</v>
      </c>
      <c r="M2324" s="21">
        <v>46112</v>
      </c>
      <c r="N2324" s="22" t="s">
        <v>70</v>
      </c>
      <c r="O2324" s="22" t="s">
        <v>58</v>
      </c>
      <c r="P2324" s="49">
        <v>76.400000000000006</v>
      </c>
      <c r="Q2324" s="49">
        <v>76.5</v>
      </c>
      <c r="R2324" s="46">
        <f t="shared" si="76"/>
        <v>-9.9999999999994316E-2</v>
      </c>
      <c r="T2324" s="21">
        <v>46080</v>
      </c>
      <c r="U2324" s="22" t="s">
        <v>42</v>
      </c>
      <c r="V2324" s="24">
        <v>4</v>
      </c>
      <c r="W2324" s="24">
        <v>4</v>
      </c>
      <c r="X2324" s="24">
        <v>4</v>
      </c>
      <c r="Y2324" s="24">
        <v>4</v>
      </c>
      <c r="Z2324" s="20">
        <f t="shared" si="77"/>
        <v>16</v>
      </c>
    </row>
    <row r="2325" spans="1:26" x14ac:dyDescent="0.2">
      <c r="A2325" s="21"/>
      <c r="B2325" s="20"/>
      <c r="C2325" s="22"/>
      <c r="D2325" s="22"/>
      <c r="E2325" s="24"/>
      <c r="F2325" s="22"/>
      <c r="H2325" s="21">
        <v>46027</v>
      </c>
      <c r="I2325" s="22" t="s">
        <v>70</v>
      </c>
      <c r="J2325" s="22" t="s">
        <v>41</v>
      </c>
      <c r="K2325" s="24">
        <v>2</v>
      </c>
      <c r="M2325" s="21">
        <v>46113</v>
      </c>
      <c r="N2325" s="22" t="s">
        <v>70</v>
      </c>
      <c r="O2325" s="22" t="s">
        <v>41</v>
      </c>
      <c r="P2325" s="49">
        <v>77</v>
      </c>
      <c r="Q2325" s="49">
        <v>76.8</v>
      </c>
      <c r="R2325" s="46">
        <f t="shared" si="76"/>
        <v>0.20000000000000284</v>
      </c>
      <c r="T2325" s="21">
        <v>46080</v>
      </c>
      <c r="U2325" s="22" t="s">
        <v>44</v>
      </c>
      <c r="V2325" s="24">
        <v>5</v>
      </c>
      <c r="W2325" s="24">
        <v>4</v>
      </c>
      <c r="X2325" s="24">
        <v>4</v>
      </c>
      <c r="Y2325" s="24">
        <v>5</v>
      </c>
      <c r="Z2325" s="20">
        <f t="shared" si="77"/>
        <v>18</v>
      </c>
    </row>
    <row r="2326" spans="1:26" x14ac:dyDescent="0.2">
      <c r="A2326" s="21"/>
      <c r="B2326" s="20"/>
      <c r="C2326" s="22"/>
      <c r="D2326" s="22"/>
      <c r="E2326" s="24"/>
      <c r="F2326" s="22"/>
      <c r="H2326" s="21">
        <v>46027</v>
      </c>
      <c r="I2326" s="22" t="s">
        <v>70</v>
      </c>
      <c r="J2326" s="22" t="s">
        <v>58</v>
      </c>
      <c r="K2326" s="24">
        <v>7</v>
      </c>
      <c r="M2326" s="21">
        <v>46113</v>
      </c>
      <c r="N2326" s="22" t="s">
        <v>70</v>
      </c>
      <c r="O2326" s="22" t="s">
        <v>42</v>
      </c>
      <c r="P2326" s="49">
        <v>79</v>
      </c>
      <c r="Q2326" s="49">
        <v>79</v>
      </c>
      <c r="R2326" s="46">
        <f t="shared" si="76"/>
        <v>0</v>
      </c>
      <c r="T2326" s="21">
        <v>46080</v>
      </c>
      <c r="U2326" s="22" t="s">
        <v>45</v>
      </c>
      <c r="V2326" s="24">
        <v>4</v>
      </c>
      <c r="W2326" s="24">
        <v>2</v>
      </c>
      <c r="X2326" s="24">
        <v>3</v>
      </c>
      <c r="Y2326" s="24">
        <v>5</v>
      </c>
      <c r="Z2326" s="20">
        <f t="shared" si="77"/>
        <v>14</v>
      </c>
    </row>
    <row r="2327" spans="1:26" x14ac:dyDescent="0.2">
      <c r="A2327" s="21"/>
      <c r="B2327" s="20"/>
      <c r="C2327" s="22"/>
      <c r="D2327" s="22"/>
      <c r="E2327" s="24"/>
      <c r="F2327" s="22"/>
      <c r="H2327" s="21">
        <v>46027</v>
      </c>
      <c r="I2327" s="22" t="s">
        <v>70</v>
      </c>
      <c r="J2327" s="22" t="s">
        <v>49</v>
      </c>
      <c r="K2327" s="24">
        <v>7</v>
      </c>
      <c r="M2327" s="21">
        <v>46113</v>
      </c>
      <c r="N2327" s="22" t="s">
        <v>70</v>
      </c>
      <c r="O2327" s="22" t="s">
        <v>44</v>
      </c>
      <c r="P2327" s="49">
        <v>67.900000000000006</v>
      </c>
      <c r="Q2327" s="49">
        <v>67.5</v>
      </c>
      <c r="R2327" s="46">
        <f t="shared" si="76"/>
        <v>0.40000000000000568</v>
      </c>
      <c r="T2327" s="21">
        <v>46080</v>
      </c>
      <c r="U2327" s="22" t="s">
        <v>46</v>
      </c>
      <c r="V2327" s="24">
        <v>5</v>
      </c>
      <c r="W2327" s="24">
        <v>3</v>
      </c>
      <c r="X2327" s="24">
        <v>4</v>
      </c>
      <c r="Y2327" s="24">
        <v>5</v>
      </c>
      <c r="Z2327" s="20">
        <f t="shared" si="77"/>
        <v>17</v>
      </c>
    </row>
    <row r="2328" spans="1:26" x14ac:dyDescent="0.2">
      <c r="A2328" s="21"/>
      <c r="B2328" s="20"/>
      <c r="C2328" s="22"/>
      <c r="D2328" s="22"/>
      <c r="E2328" s="24"/>
      <c r="F2328" s="22"/>
      <c r="H2328" s="21">
        <v>46027</v>
      </c>
      <c r="I2328" s="22" t="s">
        <v>70</v>
      </c>
      <c r="J2328" s="22" t="s">
        <v>50</v>
      </c>
      <c r="K2328" s="24">
        <v>6</v>
      </c>
      <c r="M2328" s="21">
        <v>46113</v>
      </c>
      <c r="N2328" s="22" t="s">
        <v>70</v>
      </c>
      <c r="O2328" s="22" t="s">
        <v>45</v>
      </c>
      <c r="P2328" s="49">
        <v>69</v>
      </c>
      <c r="Q2328" s="49">
        <v>68.5</v>
      </c>
      <c r="R2328" s="46">
        <f t="shared" si="76"/>
        <v>0.5</v>
      </c>
      <c r="T2328" s="21">
        <v>46080</v>
      </c>
      <c r="U2328" s="22" t="s">
        <v>47</v>
      </c>
      <c r="V2328" s="24">
        <v>2</v>
      </c>
      <c r="W2328" s="24">
        <v>3</v>
      </c>
      <c r="X2328" s="24">
        <v>3</v>
      </c>
      <c r="Y2328" s="24">
        <v>2</v>
      </c>
      <c r="Z2328" s="20">
        <f t="shared" si="77"/>
        <v>10</v>
      </c>
    </row>
    <row r="2329" spans="1:26" x14ac:dyDescent="0.2">
      <c r="A2329" s="21"/>
      <c r="B2329" s="20"/>
      <c r="C2329" s="22"/>
      <c r="D2329" s="22"/>
      <c r="E2329" s="24"/>
      <c r="F2329" s="22"/>
      <c r="H2329" s="21">
        <v>46027</v>
      </c>
      <c r="I2329" s="22" t="s">
        <v>70</v>
      </c>
      <c r="J2329" s="22" t="s">
        <v>51</v>
      </c>
      <c r="K2329" s="24">
        <v>7</v>
      </c>
      <c r="M2329" s="21">
        <v>46113</v>
      </c>
      <c r="N2329" s="22" t="s">
        <v>70</v>
      </c>
      <c r="O2329" s="22" t="s">
        <v>46</v>
      </c>
      <c r="P2329" s="49">
        <v>81.2</v>
      </c>
      <c r="Q2329" s="49">
        <v>81.599999999999994</v>
      </c>
      <c r="R2329" s="46">
        <f t="shared" si="76"/>
        <v>-0.39999999999999147</v>
      </c>
      <c r="T2329" s="21">
        <v>46080</v>
      </c>
      <c r="U2329" s="22" t="s">
        <v>48</v>
      </c>
      <c r="V2329" s="24">
        <v>5</v>
      </c>
      <c r="W2329" s="24">
        <v>5</v>
      </c>
      <c r="X2329" s="24">
        <v>5</v>
      </c>
      <c r="Y2329" s="24">
        <v>1</v>
      </c>
      <c r="Z2329" s="20">
        <f t="shared" si="77"/>
        <v>16</v>
      </c>
    </row>
    <row r="2330" spans="1:26" x14ac:dyDescent="0.2">
      <c r="A2330" s="21"/>
      <c r="B2330" s="20"/>
      <c r="C2330" s="22"/>
      <c r="D2330" s="22"/>
      <c r="E2330" s="24"/>
      <c r="F2330" s="22"/>
      <c r="H2330" s="21">
        <v>46027</v>
      </c>
      <c r="I2330" s="22" t="s">
        <v>70</v>
      </c>
      <c r="J2330" s="22" t="s">
        <v>46</v>
      </c>
      <c r="K2330" s="24">
        <v>7</v>
      </c>
      <c r="M2330" s="21">
        <v>46113</v>
      </c>
      <c r="N2330" s="22" t="s">
        <v>70</v>
      </c>
      <c r="O2330" s="22" t="s">
        <v>47</v>
      </c>
      <c r="P2330" s="49">
        <v>72.7</v>
      </c>
      <c r="Q2330" s="49">
        <v>72.3</v>
      </c>
      <c r="R2330" s="46">
        <f t="shared" si="76"/>
        <v>0.40000000000000568</v>
      </c>
      <c r="T2330" s="21">
        <v>46080</v>
      </c>
      <c r="U2330" s="22" t="s">
        <v>49</v>
      </c>
      <c r="V2330" s="24">
        <v>3</v>
      </c>
      <c r="W2330" s="24">
        <v>3</v>
      </c>
      <c r="X2330" s="24">
        <v>3</v>
      </c>
      <c r="Y2330" s="24">
        <v>4</v>
      </c>
      <c r="Z2330" s="20">
        <f t="shared" si="77"/>
        <v>13</v>
      </c>
    </row>
    <row r="2331" spans="1:26" x14ac:dyDescent="0.2">
      <c r="A2331" s="21"/>
      <c r="B2331" s="20"/>
      <c r="C2331" s="22"/>
      <c r="D2331" s="22"/>
      <c r="E2331" s="24"/>
      <c r="F2331" s="22"/>
      <c r="H2331" s="21">
        <v>46027</v>
      </c>
      <c r="I2331" s="22" t="s">
        <v>70</v>
      </c>
      <c r="J2331" s="22" t="s">
        <v>48</v>
      </c>
      <c r="K2331" s="24">
        <v>6</v>
      </c>
      <c r="M2331" s="21">
        <v>46113</v>
      </c>
      <c r="N2331" s="22" t="s">
        <v>70</v>
      </c>
      <c r="O2331" s="22" t="s">
        <v>48</v>
      </c>
      <c r="P2331" s="49">
        <v>80.5</v>
      </c>
      <c r="Q2331" s="49">
        <v>80</v>
      </c>
      <c r="R2331" s="46">
        <f t="shared" si="76"/>
        <v>0.5</v>
      </c>
      <c r="T2331" s="21">
        <v>46080</v>
      </c>
      <c r="U2331" s="22" t="s">
        <v>50</v>
      </c>
      <c r="V2331" s="24">
        <v>3</v>
      </c>
      <c r="W2331" s="24">
        <v>3</v>
      </c>
      <c r="X2331" s="24">
        <v>2</v>
      </c>
      <c r="Y2331" s="24">
        <v>4</v>
      </c>
      <c r="Z2331" s="20">
        <f t="shared" si="77"/>
        <v>12</v>
      </c>
    </row>
    <row r="2332" spans="1:26" x14ac:dyDescent="0.2">
      <c r="A2332" s="21"/>
      <c r="B2332" s="20"/>
      <c r="C2332" s="22"/>
      <c r="D2332" s="22"/>
      <c r="E2332" s="24"/>
      <c r="F2332" s="22"/>
      <c r="H2332" s="21">
        <v>46027</v>
      </c>
      <c r="I2332" s="22" t="s">
        <v>70</v>
      </c>
      <c r="J2332" s="22" t="s">
        <v>56</v>
      </c>
      <c r="K2332" s="24">
        <v>7</v>
      </c>
      <c r="M2332" s="21">
        <v>46113</v>
      </c>
      <c r="N2332" s="22" t="s">
        <v>70</v>
      </c>
      <c r="O2332" s="22" t="s">
        <v>49</v>
      </c>
      <c r="P2332" s="49">
        <v>79</v>
      </c>
      <c r="Q2332" s="49">
        <v>79</v>
      </c>
      <c r="R2332" s="46">
        <f t="shared" si="76"/>
        <v>0</v>
      </c>
      <c r="T2332" s="21">
        <v>46080</v>
      </c>
      <c r="U2332" s="22" t="s">
        <v>51</v>
      </c>
      <c r="V2332" s="24">
        <v>4</v>
      </c>
      <c r="W2332" s="24">
        <v>4</v>
      </c>
      <c r="X2332" s="24">
        <v>3</v>
      </c>
      <c r="Y2332" s="24">
        <v>4</v>
      </c>
      <c r="Z2332" s="20">
        <f t="shared" si="77"/>
        <v>15</v>
      </c>
    </row>
    <row r="2333" spans="1:26" x14ac:dyDescent="0.2">
      <c r="A2333" s="21"/>
      <c r="B2333" s="20"/>
      <c r="C2333" s="22"/>
      <c r="D2333" s="22"/>
      <c r="E2333" s="24"/>
      <c r="F2333" s="22"/>
      <c r="H2333" s="21">
        <v>46028</v>
      </c>
      <c r="I2333" s="22" t="s">
        <v>71</v>
      </c>
      <c r="J2333" s="22" t="s">
        <v>52</v>
      </c>
      <c r="K2333" s="24">
        <v>2</v>
      </c>
      <c r="M2333" s="21">
        <v>46113</v>
      </c>
      <c r="N2333" s="22" t="s">
        <v>70</v>
      </c>
      <c r="O2333" s="22" t="s">
        <v>50</v>
      </c>
      <c r="P2333" s="49">
        <v>66.400000000000006</v>
      </c>
      <c r="Q2333" s="49">
        <v>65.900000000000006</v>
      </c>
      <c r="R2333" s="46">
        <f t="shared" si="76"/>
        <v>0.5</v>
      </c>
      <c r="T2333" s="21">
        <v>46080</v>
      </c>
      <c r="U2333" s="22" t="s">
        <v>52</v>
      </c>
      <c r="V2333" s="24">
        <v>4</v>
      </c>
      <c r="W2333" s="24">
        <v>4</v>
      </c>
      <c r="X2333" s="24">
        <v>4</v>
      </c>
      <c r="Y2333" s="24">
        <v>4</v>
      </c>
      <c r="Z2333" s="20">
        <f t="shared" si="77"/>
        <v>16</v>
      </c>
    </row>
    <row r="2334" spans="1:26" x14ac:dyDescent="0.2">
      <c r="A2334" s="21"/>
      <c r="B2334" s="20"/>
      <c r="C2334" s="22"/>
      <c r="D2334" s="22"/>
      <c r="E2334" s="24"/>
      <c r="F2334" s="22"/>
      <c r="H2334" s="21">
        <v>46028</v>
      </c>
      <c r="I2334" s="22" t="s">
        <v>71</v>
      </c>
      <c r="J2334" s="22" t="s">
        <v>53</v>
      </c>
      <c r="K2334" s="24">
        <v>4</v>
      </c>
      <c r="M2334" s="21">
        <v>46113</v>
      </c>
      <c r="N2334" s="22" t="s">
        <v>70</v>
      </c>
      <c r="O2334" s="22" t="s">
        <v>51</v>
      </c>
      <c r="P2334" s="49">
        <v>74.8</v>
      </c>
      <c r="Q2334" s="49">
        <v>74.5</v>
      </c>
      <c r="R2334" s="46">
        <f t="shared" si="76"/>
        <v>0.29999999999999716</v>
      </c>
      <c r="T2334" s="21">
        <v>46080</v>
      </c>
      <c r="U2334" s="22" t="s">
        <v>53</v>
      </c>
      <c r="V2334" s="24">
        <v>4</v>
      </c>
      <c r="W2334" s="24">
        <v>4</v>
      </c>
      <c r="X2334" s="24">
        <v>3</v>
      </c>
      <c r="Y2334" s="24">
        <v>5</v>
      </c>
      <c r="Z2334" s="20">
        <f t="shared" si="77"/>
        <v>16</v>
      </c>
    </row>
    <row r="2335" spans="1:26" x14ac:dyDescent="0.2">
      <c r="A2335" s="21"/>
      <c r="B2335" s="20"/>
      <c r="C2335" s="22"/>
      <c r="D2335" s="22"/>
      <c r="E2335" s="24"/>
      <c r="F2335" s="22"/>
      <c r="H2335" s="21">
        <v>46028</v>
      </c>
      <c r="I2335" s="22" t="s">
        <v>71</v>
      </c>
      <c r="J2335" s="22" t="s">
        <v>44</v>
      </c>
      <c r="K2335" s="24">
        <v>3</v>
      </c>
      <c r="M2335" s="21">
        <v>46113</v>
      </c>
      <c r="N2335" s="22" t="s">
        <v>70</v>
      </c>
      <c r="O2335" s="22" t="s">
        <v>52</v>
      </c>
      <c r="P2335" s="49">
        <v>71</v>
      </c>
      <c r="Q2335" s="49">
        <v>71</v>
      </c>
      <c r="R2335" s="46">
        <f t="shared" si="76"/>
        <v>0</v>
      </c>
      <c r="T2335" s="21">
        <v>46080</v>
      </c>
      <c r="U2335" s="22" t="s">
        <v>57</v>
      </c>
      <c r="V2335" s="24">
        <v>4</v>
      </c>
      <c r="W2335" s="24">
        <v>3</v>
      </c>
      <c r="X2335" s="24">
        <v>3</v>
      </c>
      <c r="Y2335" s="24">
        <v>3</v>
      </c>
      <c r="Z2335" s="20">
        <f t="shared" si="77"/>
        <v>13</v>
      </c>
    </row>
    <row r="2336" spans="1:26" x14ac:dyDescent="0.2">
      <c r="A2336" s="21"/>
      <c r="B2336" s="20"/>
      <c r="C2336" s="22"/>
      <c r="D2336" s="22"/>
      <c r="E2336" s="24"/>
      <c r="F2336" s="22"/>
      <c r="H2336" s="21">
        <v>46028</v>
      </c>
      <c r="I2336" s="22" t="s">
        <v>71</v>
      </c>
      <c r="J2336" s="22" t="s">
        <v>45</v>
      </c>
      <c r="K2336" s="24">
        <v>1</v>
      </c>
      <c r="M2336" s="21">
        <v>46113</v>
      </c>
      <c r="N2336" s="22" t="s">
        <v>70</v>
      </c>
      <c r="O2336" s="22" t="s">
        <v>55</v>
      </c>
      <c r="P2336" s="49">
        <v>83.4</v>
      </c>
      <c r="Q2336" s="49">
        <v>83.3</v>
      </c>
      <c r="R2336" s="46">
        <f t="shared" si="76"/>
        <v>0.10000000000000853</v>
      </c>
      <c r="T2336" s="21">
        <v>46080</v>
      </c>
      <c r="U2336" s="22" t="s">
        <v>58</v>
      </c>
      <c r="V2336" s="24">
        <v>4</v>
      </c>
      <c r="W2336" s="24">
        <v>3</v>
      </c>
      <c r="X2336" s="24">
        <v>3</v>
      </c>
      <c r="Y2336" s="24">
        <v>3</v>
      </c>
      <c r="Z2336" s="20">
        <f t="shared" si="77"/>
        <v>13</v>
      </c>
    </row>
    <row r="2337" spans="1:26" x14ac:dyDescent="0.2">
      <c r="A2337" s="21"/>
      <c r="B2337" s="20"/>
      <c r="C2337" s="22"/>
      <c r="D2337" s="22"/>
      <c r="E2337" s="24"/>
      <c r="F2337" s="22"/>
      <c r="H2337" s="21">
        <v>46028</v>
      </c>
      <c r="I2337" s="22" t="s">
        <v>71</v>
      </c>
      <c r="J2337" s="22" t="s">
        <v>57</v>
      </c>
      <c r="K2337" s="24">
        <v>3</v>
      </c>
      <c r="M2337" s="21">
        <v>46113</v>
      </c>
      <c r="N2337" s="22" t="s">
        <v>70</v>
      </c>
      <c r="O2337" s="22" t="s">
        <v>56</v>
      </c>
      <c r="P2337" s="49">
        <v>75.2</v>
      </c>
      <c r="Q2337" s="49">
        <v>75</v>
      </c>
      <c r="R2337" s="46">
        <f t="shared" si="76"/>
        <v>0.20000000000000284</v>
      </c>
      <c r="T2337" s="21">
        <v>46080</v>
      </c>
      <c r="U2337" s="22" t="s">
        <v>33</v>
      </c>
      <c r="V2337" s="24">
        <v>3.71428571428571</v>
      </c>
      <c r="W2337" s="24">
        <v>3.28571428571429</v>
      </c>
      <c r="X2337" s="24">
        <v>3.21428571428571</v>
      </c>
      <c r="Y2337" s="24">
        <v>3.5714285714285698</v>
      </c>
      <c r="Z2337" s="20">
        <f t="shared" si="77"/>
        <v>13.785714285714279</v>
      </c>
    </row>
    <row r="2338" spans="1:26" x14ac:dyDescent="0.2">
      <c r="A2338" s="21"/>
      <c r="B2338" s="20"/>
      <c r="C2338" s="22"/>
      <c r="D2338" s="22"/>
      <c r="E2338" s="24"/>
      <c r="F2338" s="22"/>
      <c r="H2338" s="21">
        <v>46028</v>
      </c>
      <c r="I2338" s="22" t="s">
        <v>71</v>
      </c>
      <c r="J2338" s="22" t="s">
        <v>42</v>
      </c>
      <c r="K2338" s="24">
        <v>1</v>
      </c>
      <c r="M2338" s="21">
        <v>46113</v>
      </c>
      <c r="N2338" s="22" t="s">
        <v>70</v>
      </c>
      <c r="O2338" s="22" t="s">
        <v>58</v>
      </c>
      <c r="P2338" s="49">
        <v>76.400000000000006</v>
      </c>
      <c r="Q2338" s="49">
        <v>76.2</v>
      </c>
      <c r="R2338" s="46">
        <f t="shared" si="76"/>
        <v>0.20000000000000284</v>
      </c>
      <c r="T2338" s="21">
        <v>46082</v>
      </c>
      <c r="U2338" s="22" t="s">
        <v>41</v>
      </c>
      <c r="V2338" s="24">
        <v>1</v>
      </c>
      <c r="W2338" s="24">
        <v>1</v>
      </c>
      <c r="X2338" s="24">
        <v>1</v>
      </c>
      <c r="Y2338" s="24">
        <v>1</v>
      </c>
      <c r="Z2338" s="20">
        <f t="shared" si="77"/>
        <v>4</v>
      </c>
    </row>
    <row r="2339" spans="1:26" x14ac:dyDescent="0.2">
      <c r="A2339" s="21"/>
      <c r="B2339" s="20"/>
      <c r="C2339" s="22"/>
      <c r="D2339" s="22"/>
      <c r="E2339" s="24"/>
      <c r="F2339" s="22"/>
      <c r="H2339" s="21">
        <v>46028</v>
      </c>
      <c r="I2339" s="22" t="s">
        <v>71</v>
      </c>
      <c r="J2339" s="22" t="s">
        <v>47</v>
      </c>
      <c r="K2339" s="24">
        <v>4</v>
      </c>
      <c r="M2339" s="21">
        <v>46114</v>
      </c>
      <c r="N2339" s="22" t="s">
        <v>70</v>
      </c>
      <c r="O2339" s="22" t="s">
        <v>41</v>
      </c>
      <c r="P2339" s="49">
        <v>77</v>
      </c>
      <c r="Q2339" s="49">
        <v>76</v>
      </c>
      <c r="R2339" s="46">
        <f t="shared" si="76"/>
        <v>1</v>
      </c>
      <c r="T2339" s="21">
        <v>46082</v>
      </c>
      <c r="U2339" s="22" t="s">
        <v>42</v>
      </c>
      <c r="V2339" s="24">
        <v>5</v>
      </c>
      <c r="W2339" s="24">
        <v>5</v>
      </c>
      <c r="X2339" s="24">
        <v>5</v>
      </c>
      <c r="Y2339" s="24">
        <v>5</v>
      </c>
      <c r="Z2339" s="20">
        <f t="shared" si="77"/>
        <v>20</v>
      </c>
    </row>
    <row r="2340" spans="1:26" x14ac:dyDescent="0.2">
      <c r="A2340" s="21"/>
      <c r="B2340" s="20"/>
      <c r="C2340" s="22"/>
      <c r="D2340" s="22"/>
      <c r="E2340" s="24"/>
      <c r="F2340" s="22"/>
      <c r="H2340" s="21">
        <v>46028</v>
      </c>
      <c r="I2340" s="22" t="s">
        <v>71</v>
      </c>
      <c r="J2340" s="22" t="s">
        <v>41</v>
      </c>
      <c r="K2340" s="24">
        <v>1</v>
      </c>
      <c r="M2340" s="21">
        <v>46114</v>
      </c>
      <c r="N2340" s="22" t="s">
        <v>70</v>
      </c>
      <c r="O2340" s="22" t="s">
        <v>42</v>
      </c>
      <c r="P2340" s="49">
        <v>79.599999999999994</v>
      </c>
      <c r="Q2340" s="49">
        <v>79</v>
      </c>
      <c r="R2340" s="46">
        <f t="shared" si="76"/>
        <v>0.59999999999999432</v>
      </c>
      <c r="T2340" s="21">
        <v>46082</v>
      </c>
      <c r="U2340" s="22" t="s">
        <v>44</v>
      </c>
      <c r="V2340" s="24">
        <v>5</v>
      </c>
      <c r="W2340" s="24">
        <v>5</v>
      </c>
      <c r="X2340" s="24">
        <v>5</v>
      </c>
      <c r="Y2340" s="24">
        <v>5</v>
      </c>
      <c r="Z2340" s="20">
        <f t="shared" si="77"/>
        <v>20</v>
      </c>
    </row>
    <row r="2341" spans="1:26" x14ac:dyDescent="0.2">
      <c r="A2341" s="21"/>
      <c r="B2341" s="20"/>
      <c r="C2341" s="22"/>
      <c r="D2341" s="22"/>
      <c r="E2341" s="24"/>
      <c r="F2341" s="22"/>
      <c r="H2341" s="21">
        <v>46028</v>
      </c>
      <c r="I2341" s="22" t="s">
        <v>71</v>
      </c>
      <c r="J2341" s="22" t="s">
        <v>58</v>
      </c>
      <c r="K2341" s="24">
        <v>5</v>
      </c>
      <c r="M2341" s="21">
        <v>46114</v>
      </c>
      <c r="N2341" s="22" t="s">
        <v>70</v>
      </c>
      <c r="O2341" s="22" t="s">
        <v>44</v>
      </c>
      <c r="P2341" s="49">
        <v>68</v>
      </c>
      <c r="Q2341" s="49">
        <v>67.900000000000006</v>
      </c>
      <c r="R2341" s="46">
        <f t="shared" si="76"/>
        <v>9.9999999999994316E-2</v>
      </c>
      <c r="T2341" s="21">
        <v>46082</v>
      </c>
      <c r="U2341" s="22" t="s">
        <v>45</v>
      </c>
      <c r="V2341" s="24">
        <v>5</v>
      </c>
      <c r="W2341" s="24">
        <v>3</v>
      </c>
      <c r="X2341" s="24">
        <v>4</v>
      </c>
      <c r="Y2341" s="24">
        <v>5</v>
      </c>
      <c r="Z2341" s="20">
        <f t="shared" si="77"/>
        <v>17</v>
      </c>
    </row>
    <row r="2342" spans="1:26" x14ac:dyDescent="0.2">
      <c r="A2342" s="21"/>
      <c r="B2342" s="20"/>
      <c r="C2342" s="22"/>
      <c r="D2342" s="22"/>
      <c r="E2342" s="24"/>
      <c r="F2342" s="22"/>
      <c r="H2342" s="21">
        <v>46028</v>
      </c>
      <c r="I2342" s="22" t="s">
        <v>71</v>
      </c>
      <c r="J2342" s="22" t="s">
        <v>49</v>
      </c>
      <c r="K2342" s="24">
        <v>4</v>
      </c>
      <c r="M2342" s="21">
        <v>46114</v>
      </c>
      <c r="N2342" s="22" t="s">
        <v>70</v>
      </c>
      <c r="O2342" s="22" t="s">
        <v>45</v>
      </c>
      <c r="P2342" s="49">
        <v>69</v>
      </c>
      <c r="Q2342" s="49">
        <v>68.3</v>
      </c>
      <c r="R2342" s="46">
        <f t="shared" si="76"/>
        <v>0.70000000000000284</v>
      </c>
      <c r="T2342" s="21">
        <v>46082</v>
      </c>
      <c r="U2342" s="22" t="s">
        <v>46</v>
      </c>
      <c r="V2342" s="24">
        <v>5</v>
      </c>
      <c r="W2342" s="24">
        <v>5</v>
      </c>
      <c r="X2342" s="24">
        <v>5</v>
      </c>
      <c r="Y2342" s="24">
        <v>5</v>
      </c>
      <c r="Z2342" s="20">
        <f t="shared" si="77"/>
        <v>20</v>
      </c>
    </row>
    <row r="2343" spans="1:26" x14ac:dyDescent="0.2">
      <c r="A2343" s="21"/>
      <c r="B2343" s="20"/>
      <c r="C2343" s="22"/>
      <c r="D2343" s="22"/>
      <c r="E2343" s="24"/>
      <c r="F2343" s="22"/>
      <c r="H2343" s="21">
        <v>46028</v>
      </c>
      <c r="I2343" s="22" t="s">
        <v>71</v>
      </c>
      <c r="J2343" s="22" t="s">
        <v>50</v>
      </c>
      <c r="K2343" s="24">
        <v>4</v>
      </c>
      <c r="M2343" s="21">
        <v>46114</v>
      </c>
      <c r="N2343" s="22" t="s">
        <v>70</v>
      </c>
      <c r="O2343" s="22" t="s">
        <v>46</v>
      </c>
      <c r="P2343" s="49">
        <v>81.2</v>
      </c>
      <c r="Q2343" s="49">
        <v>81.3</v>
      </c>
      <c r="R2343" s="46">
        <f t="shared" si="76"/>
        <v>-9.9999999999994316E-2</v>
      </c>
      <c r="T2343" s="21">
        <v>46082</v>
      </c>
      <c r="U2343" s="22" t="s">
        <v>47</v>
      </c>
      <c r="V2343" s="24">
        <v>4</v>
      </c>
      <c r="W2343" s="24">
        <v>4</v>
      </c>
      <c r="X2343" s="24">
        <v>4</v>
      </c>
      <c r="Y2343" s="24">
        <v>5</v>
      </c>
      <c r="Z2343" s="20">
        <f t="shared" si="77"/>
        <v>17</v>
      </c>
    </row>
    <row r="2344" spans="1:26" x14ac:dyDescent="0.2">
      <c r="A2344" s="21"/>
      <c r="B2344" s="20"/>
      <c r="C2344" s="22"/>
      <c r="D2344" s="22"/>
      <c r="E2344" s="24"/>
      <c r="F2344" s="22"/>
      <c r="H2344" s="21">
        <v>46028</v>
      </c>
      <c r="I2344" s="22" t="s">
        <v>71</v>
      </c>
      <c r="J2344" s="22" t="s">
        <v>51</v>
      </c>
      <c r="K2344" s="24">
        <v>3</v>
      </c>
      <c r="M2344" s="21">
        <v>46114</v>
      </c>
      <c r="N2344" s="22" t="s">
        <v>70</v>
      </c>
      <c r="O2344" s="22" t="s">
        <v>47</v>
      </c>
      <c r="P2344" s="49">
        <v>72</v>
      </c>
      <c r="Q2344" s="49">
        <v>72</v>
      </c>
      <c r="R2344" s="46">
        <f t="shared" si="76"/>
        <v>0</v>
      </c>
      <c r="T2344" s="21">
        <v>46082</v>
      </c>
      <c r="U2344" s="22" t="s">
        <v>48</v>
      </c>
      <c r="V2344" s="24">
        <v>5</v>
      </c>
      <c r="W2344" s="24">
        <v>5</v>
      </c>
      <c r="X2344" s="24">
        <v>5</v>
      </c>
      <c r="Y2344" s="24">
        <v>1</v>
      </c>
      <c r="Z2344" s="20">
        <f t="shared" si="77"/>
        <v>16</v>
      </c>
    </row>
    <row r="2345" spans="1:26" x14ac:dyDescent="0.2">
      <c r="A2345" s="21"/>
      <c r="B2345" s="20"/>
      <c r="C2345" s="22"/>
      <c r="D2345" s="22"/>
      <c r="E2345" s="24"/>
      <c r="F2345" s="22"/>
      <c r="H2345" s="21">
        <v>46028</v>
      </c>
      <c r="I2345" s="22" t="s">
        <v>71</v>
      </c>
      <c r="J2345" s="22" t="s">
        <v>46</v>
      </c>
      <c r="K2345" s="24">
        <v>4</v>
      </c>
      <c r="M2345" s="21">
        <v>46114</v>
      </c>
      <c r="N2345" s="22" t="s">
        <v>70</v>
      </c>
      <c r="O2345" s="22" t="s">
        <v>49</v>
      </c>
      <c r="P2345" s="49">
        <v>79.2</v>
      </c>
      <c r="Q2345" s="49">
        <v>79.099999999999994</v>
      </c>
      <c r="R2345" s="46">
        <f t="shared" si="76"/>
        <v>0.10000000000000853</v>
      </c>
      <c r="T2345" s="21">
        <v>46082</v>
      </c>
      <c r="U2345" s="22" t="s">
        <v>49</v>
      </c>
      <c r="V2345" s="24">
        <v>4</v>
      </c>
      <c r="W2345" s="24">
        <v>4</v>
      </c>
      <c r="X2345" s="24">
        <v>4</v>
      </c>
      <c r="Y2345" s="24">
        <v>5</v>
      </c>
      <c r="Z2345" s="20">
        <f t="shared" si="77"/>
        <v>17</v>
      </c>
    </row>
    <row r="2346" spans="1:26" x14ac:dyDescent="0.2">
      <c r="A2346" s="21"/>
      <c r="B2346" s="20"/>
      <c r="C2346" s="22"/>
      <c r="D2346" s="22"/>
      <c r="E2346" s="24"/>
      <c r="F2346" s="22"/>
      <c r="H2346" s="21">
        <v>46028</v>
      </c>
      <c r="I2346" s="22" t="s">
        <v>71</v>
      </c>
      <c r="J2346" s="22" t="s">
        <v>48</v>
      </c>
      <c r="K2346" s="24">
        <v>3</v>
      </c>
      <c r="M2346" s="21">
        <v>46114</v>
      </c>
      <c r="N2346" s="22" t="s">
        <v>70</v>
      </c>
      <c r="O2346" s="22" t="s">
        <v>50</v>
      </c>
      <c r="P2346" s="49">
        <v>67</v>
      </c>
      <c r="Q2346" s="49">
        <v>65.900000000000006</v>
      </c>
      <c r="R2346" s="46">
        <f t="shared" si="76"/>
        <v>1.0999999999999943</v>
      </c>
      <c r="T2346" s="21">
        <v>46082</v>
      </c>
      <c r="U2346" s="22" t="s">
        <v>50</v>
      </c>
      <c r="V2346" s="24">
        <v>4</v>
      </c>
      <c r="W2346" s="24">
        <v>4</v>
      </c>
      <c r="X2346" s="24">
        <v>3</v>
      </c>
      <c r="Y2346" s="24">
        <v>5</v>
      </c>
      <c r="Z2346" s="20">
        <f t="shared" si="77"/>
        <v>16</v>
      </c>
    </row>
    <row r="2347" spans="1:26" x14ac:dyDescent="0.2">
      <c r="A2347" s="21"/>
      <c r="B2347" s="20"/>
      <c r="C2347" s="22"/>
      <c r="D2347" s="22"/>
      <c r="E2347" s="24"/>
      <c r="F2347" s="22"/>
      <c r="H2347" s="21">
        <v>46028</v>
      </c>
      <c r="I2347" s="22" t="s">
        <v>71</v>
      </c>
      <c r="J2347" s="22" t="s">
        <v>56</v>
      </c>
      <c r="K2347" s="24">
        <v>4</v>
      </c>
      <c r="M2347" s="21">
        <v>46114</v>
      </c>
      <c r="N2347" s="22" t="s">
        <v>70</v>
      </c>
      <c r="O2347" s="22" t="s">
        <v>51</v>
      </c>
      <c r="P2347" s="49">
        <v>75.400000000000006</v>
      </c>
      <c r="Q2347" s="49">
        <v>75.3</v>
      </c>
      <c r="R2347" s="46">
        <f t="shared" si="76"/>
        <v>0.10000000000000853</v>
      </c>
      <c r="T2347" s="21">
        <v>46082</v>
      </c>
      <c r="U2347" s="22" t="s">
        <v>51</v>
      </c>
      <c r="V2347" s="24">
        <v>5</v>
      </c>
      <c r="W2347" s="24">
        <v>5</v>
      </c>
      <c r="X2347" s="24">
        <v>4</v>
      </c>
      <c r="Y2347" s="24">
        <v>5</v>
      </c>
      <c r="Z2347" s="20">
        <f t="shared" si="77"/>
        <v>19</v>
      </c>
    </row>
    <row r="2348" spans="1:26" x14ac:dyDescent="0.2">
      <c r="A2348" s="21"/>
      <c r="B2348" s="20"/>
      <c r="C2348" s="22"/>
      <c r="D2348" s="22"/>
      <c r="E2348" s="24"/>
      <c r="F2348" s="22"/>
      <c r="H2348" s="21">
        <v>46029</v>
      </c>
      <c r="I2348" s="22" t="s">
        <v>71</v>
      </c>
      <c r="J2348" s="22" t="s">
        <v>52</v>
      </c>
      <c r="K2348" s="24">
        <v>6</v>
      </c>
      <c r="M2348" s="21">
        <v>46114</v>
      </c>
      <c r="N2348" s="22" t="s">
        <v>70</v>
      </c>
      <c r="O2348" s="22" t="s">
        <v>52</v>
      </c>
      <c r="P2348" s="49">
        <v>71</v>
      </c>
      <c r="Q2348" s="49">
        <v>71</v>
      </c>
      <c r="R2348" s="46">
        <f t="shared" si="76"/>
        <v>0</v>
      </c>
      <c r="T2348" s="21">
        <v>46082</v>
      </c>
      <c r="U2348" s="22" t="s">
        <v>52</v>
      </c>
      <c r="V2348" s="24">
        <v>5</v>
      </c>
      <c r="W2348" s="24">
        <v>5</v>
      </c>
      <c r="X2348" s="24">
        <v>5</v>
      </c>
      <c r="Y2348" s="24">
        <v>5</v>
      </c>
      <c r="Z2348" s="20">
        <f t="shared" si="77"/>
        <v>20</v>
      </c>
    </row>
    <row r="2349" spans="1:26" x14ac:dyDescent="0.2">
      <c r="A2349" s="21"/>
      <c r="B2349" s="20"/>
      <c r="C2349" s="22"/>
      <c r="D2349" s="22"/>
      <c r="E2349" s="24"/>
      <c r="F2349" s="22"/>
      <c r="H2349" s="21">
        <v>46029</v>
      </c>
      <c r="I2349" s="22" t="s">
        <v>71</v>
      </c>
      <c r="J2349" s="22" t="s">
        <v>53</v>
      </c>
      <c r="K2349" s="24">
        <v>5</v>
      </c>
      <c r="M2349" s="21">
        <v>46114</v>
      </c>
      <c r="N2349" s="22" t="s">
        <v>70</v>
      </c>
      <c r="O2349" s="22" t="s">
        <v>53</v>
      </c>
      <c r="P2349" s="49">
        <v>68.5</v>
      </c>
      <c r="Q2349" s="49">
        <v>68</v>
      </c>
      <c r="R2349" s="46">
        <f t="shared" si="76"/>
        <v>0.5</v>
      </c>
      <c r="T2349" s="21">
        <v>46082</v>
      </c>
      <c r="U2349" s="22" t="s">
        <v>53</v>
      </c>
      <c r="V2349" s="24">
        <v>4</v>
      </c>
      <c r="W2349" s="24">
        <v>4</v>
      </c>
      <c r="X2349" s="24">
        <v>4</v>
      </c>
      <c r="Y2349" s="24">
        <v>5</v>
      </c>
      <c r="Z2349" s="20">
        <f t="shared" si="77"/>
        <v>17</v>
      </c>
    </row>
    <row r="2350" spans="1:26" x14ac:dyDescent="0.2">
      <c r="A2350" s="21"/>
      <c r="B2350" s="20"/>
      <c r="C2350" s="22"/>
      <c r="D2350" s="22"/>
      <c r="E2350" s="24"/>
      <c r="F2350" s="22"/>
      <c r="H2350" s="21">
        <v>46029</v>
      </c>
      <c r="I2350" s="22" t="s">
        <v>71</v>
      </c>
      <c r="J2350" s="22" t="s">
        <v>44</v>
      </c>
      <c r="K2350" s="24">
        <v>9</v>
      </c>
      <c r="M2350" s="21">
        <v>46114</v>
      </c>
      <c r="N2350" s="22" t="s">
        <v>70</v>
      </c>
      <c r="O2350" s="22" t="s">
        <v>57</v>
      </c>
      <c r="P2350" s="49">
        <v>90</v>
      </c>
      <c r="Q2350" s="49">
        <v>90</v>
      </c>
      <c r="R2350" s="46">
        <f t="shared" si="76"/>
        <v>0</v>
      </c>
      <c r="T2350" s="21">
        <v>46082</v>
      </c>
      <c r="U2350" s="22" t="s">
        <v>57</v>
      </c>
      <c r="V2350" s="24">
        <v>4</v>
      </c>
      <c r="W2350" s="24">
        <v>2</v>
      </c>
      <c r="X2350" s="24">
        <v>3</v>
      </c>
      <c r="Y2350" s="24">
        <v>4</v>
      </c>
      <c r="Z2350" s="20">
        <f t="shared" si="77"/>
        <v>13</v>
      </c>
    </row>
    <row r="2351" spans="1:26" x14ac:dyDescent="0.2">
      <c r="A2351" s="21"/>
      <c r="B2351" s="20"/>
      <c r="C2351" s="22"/>
      <c r="D2351" s="22"/>
      <c r="E2351" s="24"/>
      <c r="F2351" s="22"/>
      <c r="H2351" s="21">
        <v>46029</v>
      </c>
      <c r="I2351" s="22" t="s">
        <v>71</v>
      </c>
      <c r="J2351" s="22" t="s">
        <v>45</v>
      </c>
      <c r="K2351" s="24">
        <v>9</v>
      </c>
      <c r="M2351" s="21">
        <v>46114</v>
      </c>
      <c r="N2351" s="22" t="s">
        <v>70</v>
      </c>
      <c r="O2351" s="22" t="s">
        <v>58</v>
      </c>
      <c r="P2351" s="49">
        <v>76.5</v>
      </c>
      <c r="Q2351" s="49">
        <v>76.400000000000006</v>
      </c>
      <c r="R2351" s="46">
        <f t="shared" si="76"/>
        <v>9.9999999999994316E-2</v>
      </c>
      <c r="T2351" s="21">
        <v>46082</v>
      </c>
      <c r="U2351" s="22" t="s">
        <v>58</v>
      </c>
      <c r="V2351" s="24">
        <v>5</v>
      </c>
      <c r="W2351" s="24">
        <v>5</v>
      </c>
      <c r="X2351" s="24">
        <v>3</v>
      </c>
      <c r="Y2351" s="24">
        <v>5</v>
      </c>
      <c r="Z2351" s="20">
        <f t="shared" si="77"/>
        <v>18</v>
      </c>
    </row>
    <row r="2352" spans="1:26" x14ac:dyDescent="0.2">
      <c r="A2352" s="21"/>
      <c r="B2352" s="20"/>
      <c r="C2352" s="22"/>
      <c r="D2352" s="22"/>
      <c r="E2352" s="24"/>
      <c r="F2352" s="22"/>
      <c r="H2352" s="21">
        <v>46029</v>
      </c>
      <c r="I2352" s="22" t="s">
        <v>71</v>
      </c>
      <c r="J2352" s="22" t="s">
        <v>57</v>
      </c>
      <c r="K2352" s="24" t="s">
        <v>63</v>
      </c>
      <c r="M2352" s="21">
        <v>46115</v>
      </c>
      <c r="N2352" s="22" t="s">
        <v>70</v>
      </c>
      <c r="O2352" s="22" t="s">
        <v>41</v>
      </c>
      <c r="P2352" s="49">
        <v>77</v>
      </c>
      <c r="Q2352" s="49">
        <v>77</v>
      </c>
      <c r="R2352" s="46">
        <f t="shared" si="76"/>
        <v>0</v>
      </c>
      <c r="T2352" s="21">
        <v>46082</v>
      </c>
      <c r="U2352" s="22" t="s">
        <v>33</v>
      </c>
      <c r="V2352" s="24">
        <v>4.3571428571428603</v>
      </c>
      <c r="W2352" s="24">
        <v>4.0714285714285703</v>
      </c>
      <c r="X2352" s="24">
        <v>3.9285714285714302</v>
      </c>
      <c r="Y2352" s="24">
        <v>4.3571428571428603</v>
      </c>
      <c r="Z2352" s="20">
        <f t="shared" si="77"/>
        <v>16.714285714285722</v>
      </c>
    </row>
    <row r="2353" spans="1:26" x14ac:dyDescent="0.2">
      <c r="A2353" s="21"/>
      <c r="B2353" s="20"/>
      <c r="C2353" s="22"/>
      <c r="D2353" s="22"/>
      <c r="E2353" s="24"/>
      <c r="F2353" s="22"/>
      <c r="H2353" s="21">
        <v>46029</v>
      </c>
      <c r="I2353" s="22" t="s">
        <v>71</v>
      </c>
      <c r="J2353" s="22" t="s">
        <v>42</v>
      </c>
      <c r="K2353" s="24" t="s">
        <v>63</v>
      </c>
      <c r="M2353" s="21">
        <v>46115</v>
      </c>
      <c r="N2353" s="22" t="s">
        <v>70</v>
      </c>
      <c r="O2353" s="22" t="s">
        <v>42</v>
      </c>
      <c r="P2353" s="49">
        <v>79.2</v>
      </c>
      <c r="Q2353" s="49">
        <v>78.900000000000006</v>
      </c>
      <c r="R2353" s="46">
        <f t="shared" si="76"/>
        <v>0.29999999999999716</v>
      </c>
      <c r="T2353" s="21">
        <v>46084</v>
      </c>
      <c r="U2353" s="22" t="s">
        <v>41</v>
      </c>
      <c r="V2353" s="24">
        <v>1</v>
      </c>
      <c r="W2353" s="24">
        <v>1</v>
      </c>
      <c r="X2353" s="24">
        <v>1</v>
      </c>
      <c r="Y2353" s="24">
        <v>1</v>
      </c>
      <c r="Z2353" s="20">
        <f t="shared" si="77"/>
        <v>4</v>
      </c>
    </row>
    <row r="2354" spans="1:26" x14ac:dyDescent="0.2">
      <c r="A2354" s="21"/>
      <c r="B2354" s="20"/>
      <c r="C2354" s="22"/>
      <c r="D2354" s="22"/>
      <c r="E2354" s="24"/>
      <c r="F2354" s="22"/>
      <c r="H2354" s="21">
        <v>46029</v>
      </c>
      <c r="I2354" s="22" t="s">
        <v>71</v>
      </c>
      <c r="J2354" s="22" t="s">
        <v>47</v>
      </c>
      <c r="K2354" s="24">
        <v>6</v>
      </c>
      <c r="M2354" s="21">
        <v>46115</v>
      </c>
      <c r="N2354" s="22" t="s">
        <v>70</v>
      </c>
      <c r="O2354" s="22" t="s">
        <v>44</v>
      </c>
      <c r="P2354" s="49">
        <v>67.8</v>
      </c>
      <c r="Q2354" s="49">
        <v>67.5</v>
      </c>
      <c r="R2354" s="46">
        <f t="shared" si="76"/>
        <v>0.29999999999999716</v>
      </c>
      <c r="T2354" s="21">
        <v>46084</v>
      </c>
      <c r="U2354" s="22" t="s">
        <v>42</v>
      </c>
      <c r="V2354" s="24">
        <v>4</v>
      </c>
      <c r="W2354" s="24">
        <v>4</v>
      </c>
      <c r="X2354" s="24">
        <v>4</v>
      </c>
      <c r="Y2354" s="24">
        <v>4</v>
      </c>
      <c r="Z2354" s="20">
        <f t="shared" si="77"/>
        <v>16</v>
      </c>
    </row>
    <row r="2355" spans="1:26" x14ac:dyDescent="0.2">
      <c r="A2355" s="21"/>
      <c r="B2355" s="20"/>
      <c r="C2355" s="22"/>
      <c r="D2355" s="22"/>
      <c r="E2355" s="24"/>
      <c r="F2355" s="22"/>
      <c r="H2355" s="21">
        <v>46029</v>
      </c>
      <c r="I2355" s="22" t="s">
        <v>71</v>
      </c>
      <c r="J2355" s="22" t="s">
        <v>41</v>
      </c>
      <c r="K2355" s="24">
        <v>7</v>
      </c>
      <c r="M2355" s="21">
        <v>46115</v>
      </c>
      <c r="N2355" s="22" t="s">
        <v>70</v>
      </c>
      <c r="O2355" s="22" t="s">
        <v>45</v>
      </c>
      <c r="P2355" s="49">
        <v>69</v>
      </c>
      <c r="Q2355" s="49">
        <v>68.5</v>
      </c>
      <c r="R2355" s="46">
        <f t="shared" si="76"/>
        <v>0.5</v>
      </c>
      <c r="T2355" s="21">
        <v>46084</v>
      </c>
      <c r="U2355" s="22" t="s">
        <v>44</v>
      </c>
      <c r="V2355" s="24">
        <v>5</v>
      </c>
      <c r="W2355" s="24">
        <v>5</v>
      </c>
      <c r="X2355" s="24">
        <v>4</v>
      </c>
      <c r="Y2355" s="24">
        <v>5</v>
      </c>
      <c r="Z2355" s="20">
        <f t="shared" si="77"/>
        <v>19</v>
      </c>
    </row>
    <row r="2356" spans="1:26" x14ac:dyDescent="0.2">
      <c r="A2356" s="21"/>
      <c r="B2356" s="20"/>
      <c r="C2356" s="22"/>
      <c r="D2356" s="22"/>
      <c r="E2356" s="24"/>
      <c r="F2356" s="22"/>
      <c r="H2356" s="21">
        <v>46029</v>
      </c>
      <c r="I2356" s="22" t="s">
        <v>71</v>
      </c>
      <c r="J2356" s="22" t="s">
        <v>58</v>
      </c>
      <c r="K2356" s="24">
        <v>4</v>
      </c>
      <c r="M2356" s="21">
        <v>46115</v>
      </c>
      <c r="N2356" s="22" t="s">
        <v>70</v>
      </c>
      <c r="O2356" s="22" t="s">
        <v>46</v>
      </c>
      <c r="P2356" s="49">
        <v>81.2</v>
      </c>
      <c r="Q2356" s="49">
        <v>81.8</v>
      </c>
      <c r="R2356" s="46">
        <f t="shared" si="76"/>
        <v>-0.59999999999999432</v>
      </c>
      <c r="T2356" s="21">
        <v>46084</v>
      </c>
      <c r="U2356" s="22" t="s">
        <v>45</v>
      </c>
      <c r="V2356" s="24">
        <v>4</v>
      </c>
      <c r="W2356" s="24">
        <v>4</v>
      </c>
      <c r="X2356" s="24">
        <v>5</v>
      </c>
      <c r="Y2356" s="24">
        <v>5</v>
      </c>
      <c r="Z2356" s="20">
        <f t="shared" si="77"/>
        <v>18</v>
      </c>
    </row>
    <row r="2357" spans="1:26" x14ac:dyDescent="0.2">
      <c r="A2357" s="21"/>
      <c r="B2357" s="20"/>
      <c r="C2357" s="22"/>
      <c r="D2357" s="22"/>
      <c r="E2357" s="24"/>
      <c r="F2357" s="22"/>
      <c r="H2357" s="21">
        <v>46029</v>
      </c>
      <c r="I2357" s="22" t="s">
        <v>71</v>
      </c>
      <c r="J2357" s="22" t="s">
        <v>49</v>
      </c>
      <c r="K2357" s="24">
        <v>8</v>
      </c>
      <c r="M2357" s="21">
        <v>46115</v>
      </c>
      <c r="N2357" s="22" t="s">
        <v>70</v>
      </c>
      <c r="O2357" s="22" t="s">
        <v>47</v>
      </c>
      <c r="P2357" s="49">
        <v>72.400000000000006</v>
      </c>
      <c r="Q2357" s="49">
        <v>72</v>
      </c>
      <c r="R2357" s="46">
        <f t="shared" si="76"/>
        <v>0.40000000000000568</v>
      </c>
      <c r="T2357" s="21">
        <v>46084</v>
      </c>
      <c r="U2357" s="22" t="s">
        <v>46</v>
      </c>
      <c r="V2357" s="24">
        <v>4</v>
      </c>
      <c r="W2357" s="24">
        <v>4</v>
      </c>
      <c r="X2357" s="24">
        <v>4</v>
      </c>
      <c r="Y2357" s="24">
        <v>5</v>
      </c>
      <c r="Z2357" s="20">
        <f t="shared" si="77"/>
        <v>17</v>
      </c>
    </row>
    <row r="2358" spans="1:26" x14ac:dyDescent="0.2">
      <c r="A2358" s="21"/>
      <c r="B2358" s="20"/>
      <c r="C2358" s="22"/>
      <c r="D2358" s="22"/>
      <c r="E2358" s="24"/>
      <c r="F2358" s="22"/>
      <c r="H2358" s="21">
        <v>46029</v>
      </c>
      <c r="I2358" s="22" t="s">
        <v>71</v>
      </c>
      <c r="J2358" s="22" t="s">
        <v>50</v>
      </c>
      <c r="K2358" s="24">
        <v>9</v>
      </c>
      <c r="M2358" s="21">
        <v>46115</v>
      </c>
      <c r="N2358" s="22" t="s">
        <v>70</v>
      </c>
      <c r="O2358" s="22" t="s">
        <v>49</v>
      </c>
      <c r="P2358" s="49">
        <v>79.900000000000006</v>
      </c>
      <c r="Q2358" s="49">
        <v>79.5</v>
      </c>
      <c r="R2358" s="46">
        <f t="shared" si="76"/>
        <v>0.40000000000000568</v>
      </c>
      <c r="T2358" s="21">
        <v>46084</v>
      </c>
      <c r="U2358" s="22" t="s">
        <v>47</v>
      </c>
      <c r="V2358" s="24">
        <v>4</v>
      </c>
      <c r="W2358" s="24">
        <v>4</v>
      </c>
      <c r="X2358" s="24">
        <v>4</v>
      </c>
      <c r="Y2358" s="24">
        <v>3</v>
      </c>
      <c r="Z2358" s="20">
        <f t="shared" si="77"/>
        <v>15</v>
      </c>
    </row>
    <row r="2359" spans="1:26" x14ac:dyDescent="0.2">
      <c r="A2359" s="21"/>
      <c r="B2359" s="20"/>
      <c r="C2359" s="22"/>
      <c r="D2359" s="22"/>
      <c r="E2359" s="24"/>
      <c r="F2359" s="22"/>
      <c r="H2359" s="21">
        <v>46029</v>
      </c>
      <c r="I2359" s="22" t="s">
        <v>71</v>
      </c>
      <c r="J2359" s="22" t="s">
        <v>51</v>
      </c>
      <c r="K2359" s="24">
        <v>2</v>
      </c>
      <c r="M2359" s="21">
        <v>46115</v>
      </c>
      <c r="N2359" s="22" t="s">
        <v>70</v>
      </c>
      <c r="O2359" s="22" t="s">
        <v>50</v>
      </c>
      <c r="P2359" s="49">
        <v>66.3</v>
      </c>
      <c r="Q2359" s="49">
        <v>65.900000000000006</v>
      </c>
      <c r="R2359" s="46">
        <f t="shared" si="76"/>
        <v>0.39999999999999147</v>
      </c>
      <c r="T2359" s="21">
        <v>46084</v>
      </c>
      <c r="U2359" s="22" t="s">
        <v>48</v>
      </c>
      <c r="V2359" s="24">
        <v>5</v>
      </c>
      <c r="W2359" s="24">
        <v>5</v>
      </c>
      <c r="X2359" s="24">
        <v>5</v>
      </c>
      <c r="Y2359" s="24">
        <v>2</v>
      </c>
      <c r="Z2359" s="20">
        <f t="shared" si="77"/>
        <v>17</v>
      </c>
    </row>
    <row r="2360" spans="1:26" x14ac:dyDescent="0.2">
      <c r="A2360" s="21"/>
      <c r="B2360" s="20"/>
      <c r="C2360" s="22"/>
      <c r="D2360" s="22"/>
      <c r="E2360" s="24"/>
      <c r="F2360" s="22"/>
      <c r="H2360" s="21">
        <v>46029</v>
      </c>
      <c r="I2360" s="22" t="s">
        <v>71</v>
      </c>
      <c r="J2360" s="22" t="s">
        <v>46</v>
      </c>
      <c r="K2360" s="24">
        <v>8</v>
      </c>
      <c r="M2360" s="21">
        <v>46115</v>
      </c>
      <c r="N2360" s="22" t="s">
        <v>70</v>
      </c>
      <c r="O2360" s="22" t="s">
        <v>51</v>
      </c>
      <c r="P2360" s="49">
        <v>75.2</v>
      </c>
      <c r="Q2360" s="49">
        <v>75.099999999999994</v>
      </c>
      <c r="R2360" s="46">
        <f t="shared" si="76"/>
        <v>0.10000000000000853</v>
      </c>
      <c r="T2360" s="21">
        <v>46084</v>
      </c>
      <c r="U2360" s="22" t="s">
        <v>49</v>
      </c>
      <c r="V2360" s="24">
        <v>4</v>
      </c>
      <c r="W2360" s="24">
        <v>4</v>
      </c>
      <c r="X2360" s="24">
        <v>3</v>
      </c>
      <c r="Y2360" s="24">
        <v>4</v>
      </c>
      <c r="Z2360" s="20">
        <f t="shared" si="77"/>
        <v>15</v>
      </c>
    </row>
    <row r="2361" spans="1:26" x14ac:dyDescent="0.2">
      <c r="A2361" s="21"/>
      <c r="B2361" s="20"/>
      <c r="C2361" s="22"/>
      <c r="D2361" s="22"/>
      <c r="E2361" s="24"/>
      <c r="F2361" s="22"/>
      <c r="H2361" s="21">
        <v>46029</v>
      </c>
      <c r="I2361" s="22" t="s">
        <v>71</v>
      </c>
      <c r="J2361" s="22" t="s">
        <v>48</v>
      </c>
      <c r="K2361" s="24">
        <v>7</v>
      </c>
      <c r="M2361" s="21">
        <v>46115</v>
      </c>
      <c r="N2361" s="22" t="s">
        <v>70</v>
      </c>
      <c r="O2361" s="22" t="s">
        <v>52</v>
      </c>
      <c r="P2361" s="49">
        <v>71.2</v>
      </c>
      <c r="Q2361" s="49">
        <v>71</v>
      </c>
      <c r="R2361" s="46">
        <f t="shared" si="76"/>
        <v>0.20000000000000284</v>
      </c>
      <c r="T2361" s="21">
        <v>46084</v>
      </c>
      <c r="U2361" s="22" t="s">
        <v>50</v>
      </c>
      <c r="V2361" s="24">
        <v>4</v>
      </c>
      <c r="W2361" s="24">
        <v>4</v>
      </c>
      <c r="X2361" s="24">
        <v>4</v>
      </c>
      <c r="Y2361" s="24">
        <v>4</v>
      </c>
      <c r="Z2361" s="20">
        <f t="shared" si="77"/>
        <v>16</v>
      </c>
    </row>
    <row r="2362" spans="1:26" x14ac:dyDescent="0.2">
      <c r="A2362" s="21"/>
      <c r="B2362" s="20"/>
      <c r="C2362" s="22"/>
      <c r="D2362" s="22"/>
      <c r="E2362" s="24"/>
      <c r="F2362" s="22"/>
      <c r="H2362" s="21">
        <v>46030</v>
      </c>
      <c r="I2362" s="22" t="s">
        <v>70</v>
      </c>
      <c r="J2362" s="22" t="s">
        <v>52</v>
      </c>
      <c r="K2362" s="24">
        <v>1</v>
      </c>
      <c r="M2362" s="21">
        <v>46115</v>
      </c>
      <c r="N2362" s="22" t="s">
        <v>70</v>
      </c>
      <c r="O2362" s="22" t="s">
        <v>53</v>
      </c>
      <c r="P2362" s="49">
        <v>68.5</v>
      </c>
      <c r="Q2362" s="49">
        <v>68.2</v>
      </c>
      <c r="R2362" s="46">
        <f t="shared" si="76"/>
        <v>0.29999999999999716</v>
      </c>
      <c r="T2362" s="21">
        <v>46084</v>
      </c>
      <c r="U2362" s="22" t="s">
        <v>51</v>
      </c>
      <c r="V2362" s="24">
        <v>4</v>
      </c>
      <c r="W2362" s="24">
        <v>4</v>
      </c>
      <c r="X2362" s="24">
        <v>4</v>
      </c>
      <c r="Y2362" s="24">
        <v>3</v>
      </c>
      <c r="Z2362" s="20">
        <f t="shared" si="77"/>
        <v>15</v>
      </c>
    </row>
    <row r="2363" spans="1:26" x14ac:dyDescent="0.2">
      <c r="A2363" s="21"/>
      <c r="B2363" s="20"/>
      <c r="C2363" s="22"/>
      <c r="D2363" s="22"/>
      <c r="E2363" s="24"/>
      <c r="F2363" s="22"/>
      <c r="H2363" s="21">
        <v>46030</v>
      </c>
      <c r="I2363" s="22" t="s">
        <v>70</v>
      </c>
      <c r="J2363" s="22" t="s">
        <v>53</v>
      </c>
      <c r="K2363" s="24">
        <v>7</v>
      </c>
      <c r="M2363" s="21">
        <v>46115</v>
      </c>
      <c r="N2363" s="22" t="s">
        <v>70</v>
      </c>
      <c r="O2363" s="22" t="s">
        <v>57</v>
      </c>
      <c r="P2363" s="49">
        <v>90</v>
      </c>
      <c r="Q2363" s="49">
        <v>90.3</v>
      </c>
      <c r="R2363" s="46">
        <f t="shared" si="76"/>
        <v>-0.29999999999999716</v>
      </c>
      <c r="T2363" s="21">
        <v>46084</v>
      </c>
      <c r="U2363" s="22" t="s">
        <v>52</v>
      </c>
      <c r="V2363" s="24">
        <v>4</v>
      </c>
      <c r="W2363" s="24">
        <v>4</v>
      </c>
      <c r="X2363" s="24">
        <v>4</v>
      </c>
      <c r="Y2363" s="24">
        <v>4</v>
      </c>
      <c r="Z2363" s="20">
        <f t="shared" si="77"/>
        <v>16</v>
      </c>
    </row>
    <row r="2364" spans="1:26" x14ac:dyDescent="0.2">
      <c r="A2364" s="21"/>
      <c r="B2364" s="20"/>
      <c r="C2364" s="22"/>
      <c r="D2364" s="22"/>
      <c r="E2364" s="24"/>
      <c r="F2364" s="22"/>
      <c r="H2364" s="21">
        <v>46030</v>
      </c>
      <c r="I2364" s="22" t="s">
        <v>70</v>
      </c>
      <c r="J2364" s="22" t="s">
        <v>44</v>
      </c>
      <c r="K2364" s="24">
        <v>1</v>
      </c>
      <c r="M2364" s="21">
        <v>46115</v>
      </c>
      <c r="N2364" s="22" t="s">
        <v>70</v>
      </c>
      <c r="O2364" s="22" t="s">
        <v>58</v>
      </c>
      <c r="P2364" s="49">
        <v>76.5</v>
      </c>
      <c r="Q2364" s="49">
        <v>76.5</v>
      </c>
      <c r="R2364" s="46">
        <f t="shared" si="76"/>
        <v>0</v>
      </c>
      <c r="T2364" s="21">
        <v>46084</v>
      </c>
      <c r="U2364" s="22" t="s">
        <v>53</v>
      </c>
      <c r="V2364" s="24">
        <v>4</v>
      </c>
      <c r="W2364" s="24">
        <v>4</v>
      </c>
      <c r="X2364" s="24">
        <v>4</v>
      </c>
      <c r="Y2364" s="24">
        <v>5</v>
      </c>
      <c r="Z2364" s="20">
        <f t="shared" si="77"/>
        <v>17</v>
      </c>
    </row>
    <row r="2365" spans="1:26" x14ac:dyDescent="0.2">
      <c r="A2365" s="21"/>
      <c r="B2365" s="20"/>
      <c r="C2365" s="22"/>
      <c r="D2365" s="22"/>
      <c r="E2365" s="24"/>
      <c r="F2365" s="22"/>
      <c r="H2365" s="21">
        <v>46030</v>
      </c>
      <c r="I2365" s="22" t="s">
        <v>70</v>
      </c>
      <c r="J2365" s="22" t="s">
        <v>45</v>
      </c>
      <c r="K2365" s="24">
        <v>1</v>
      </c>
      <c r="M2365" s="21">
        <v>46116</v>
      </c>
      <c r="N2365" s="22" t="s">
        <v>70</v>
      </c>
      <c r="O2365" s="22" t="s">
        <v>41</v>
      </c>
      <c r="P2365" s="49">
        <v>77</v>
      </c>
      <c r="Q2365" s="49">
        <v>77</v>
      </c>
      <c r="R2365" s="46">
        <f t="shared" si="76"/>
        <v>0</v>
      </c>
      <c r="T2365" s="21">
        <v>46084</v>
      </c>
      <c r="U2365" s="22" t="s">
        <v>57</v>
      </c>
      <c r="V2365" s="24">
        <v>4</v>
      </c>
      <c r="W2365" s="24">
        <v>4</v>
      </c>
      <c r="X2365" s="24">
        <v>3</v>
      </c>
      <c r="Y2365" s="24">
        <v>4</v>
      </c>
      <c r="Z2365" s="20">
        <f t="shared" si="77"/>
        <v>15</v>
      </c>
    </row>
    <row r="2366" spans="1:26" x14ac:dyDescent="0.2">
      <c r="A2366" s="21"/>
      <c r="B2366" s="20"/>
      <c r="C2366" s="22"/>
      <c r="D2366" s="22"/>
      <c r="E2366" s="24"/>
      <c r="F2366" s="22"/>
      <c r="H2366" s="21">
        <v>46030</v>
      </c>
      <c r="I2366" s="22" t="s">
        <v>70</v>
      </c>
      <c r="J2366" s="22" t="s">
        <v>57</v>
      </c>
      <c r="K2366" s="24">
        <v>7</v>
      </c>
      <c r="M2366" s="21">
        <v>46116</v>
      </c>
      <c r="N2366" s="22" t="s">
        <v>71</v>
      </c>
      <c r="O2366" s="22" t="s">
        <v>41</v>
      </c>
      <c r="P2366" s="49">
        <v>77</v>
      </c>
      <c r="Q2366" s="49">
        <v>77</v>
      </c>
      <c r="R2366" s="46">
        <f t="shared" si="76"/>
        <v>0</v>
      </c>
      <c r="T2366" s="21">
        <v>46084</v>
      </c>
      <c r="U2366" s="22" t="s">
        <v>58</v>
      </c>
      <c r="V2366" s="24">
        <v>3</v>
      </c>
      <c r="W2366" s="24">
        <v>5</v>
      </c>
      <c r="X2366" s="24">
        <v>3</v>
      </c>
      <c r="Y2366" s="24">
        <v>4</v>
      </c>
      <c r="Z2366" s="20">
        <f t="shared" si="77"/>
        <v>15</v>
      </c>
    </row>
    <row r="2367" spans="1:26" x14ac:dyDescent="0.2">
      <c r="A2367" s="21"/>
      <c r="B2367" s="20"/>
      <c r="C2367" s="22"/>
      <c r="D2367" s="22"/>
      <c r="E2367" s="24"/>
      <c r="F2367" s="22"/>
      <c r="H2367" s="21">
        <v>46030</v>
      </c>
      <c r="I2367" s="22" t="s">
        <v>70</v>
      </c>
      <c r="J2367" s="22" t="s">
        <v>42</v>
      </c>
      <c r="K2367" s="24">
        <v>2</v>
      </c>
      <c r="M2367" s="21">
        <v>46116</v>
      </c>
      <c r="N2367" s="22" t="s">
        <v>70</v>
      </c>
      <c r="O2367" s="22" t="s">
        <v>42</v>
      </c>
      <c r="P2367" s="49">
        <v>79.2</v>
      </c>
      <c r="Q2367" s="49">
        <v>79</v>
      </c>
      <c r="R2367" s="46">
        <f t="shared" si="76"/>
        <v>0.20000000000000284</v>
      </c>
      <c r="T2367" s="21">
        <v>46084</v>
      </c>
      <c r="U2367" s="22" t="s">
        <v>33</v>
      </c>
      <c r="V2367" s="24">
        <v>3.8571428571428599</v>
      </c>
      <c r="W2367" s="24">
        <v>4</v>
      </c>
      <c r="X2367" s="24">
        <v>3.71428571428571</v>
      </c>
      <c r="Y2367" s="24">
        <v>3.78571428571429</v>
      </c>
      <c r="Z2367" s="20">
        <f t="shared" si="77"/>
        <v>15.357142857142859</v>
      </c>
    </row>
    <row r="2368" spans="1:26" x14ac:dyDescent="0.2">
      <c r="A2368" s="21"/>
      <c r="B2368" s="20"/>
      <c r="C2368" s="22"/>
      <c r="D2368" s="22"/>
      <c r="E2368" s="24"/>
      <c r="F2368" s="22"/>
      <c r="H2368" s="21">
        <v>46030</v>
      </c>
      <c r="I2368" s="22" t="s">
        <v>70</v>
      </c>
      <c r="J2368" s="22" t="s">
        <v>47</v>
      </c>
      <c r="K2368" s="24">
        <v>1</v>
      </c>
      <c r="M2368" s="21">
        <v>46116</v>
      </c>
      <c r="N2368" s="22" t="s">
        <v>71</v>
      </c>
      <c r="O2368" s="22" t="s">
        <v>42</v>
      </c>
      <c r="P2368" s="49">
        <v>79</v>
      </c>
      <c r="Q2368" s="49">
        <v>79</v>
      </c>
      <c r="R2368" s="46">
        <f t="shared" si="76"/>
        <v>0</v>
      </c>
      <c r="T2368" s="21">
        <v>46085</v>
      </c>
      <c r="U2368" s="22" t="s">
        <v>41</v>
      </c>
      <c r="V2368" s="24">
        <v>1</v>
      </c>
      <c r="W2368" s="24">
        <v>1</v>
      </c>
      <c r="X2368" s="24">
        <v>1</v>
      </c>
      <c r="Y2368" s="24">
        <v>1</v>
      </c>
      <c r="Z2368" s="20">
        <f t="shared" si="77"/>
        <v>4</v>
      </c>
    </row>
    <row r="2369" spans="1:26" x14ac:dyDescent="0.2">
      <c r="A2369" s="21"/>
      <c r="B2369" s="20"/>
      <c r="C2369" s="22"/>
      <c r="D2369" s="22"/>
      <c r="E2369" s="24"/>
      <c r="F2369" s="22"/>
      <c r="H2369" s="21">
        <v>46030</v>
      </c>
      <c r="I2369" s="22" t="s">
        <v>70</v>
      </c>
      <c r="J2369" s="22" t="s">
        <v>41</v>
      </c>
      <c r="K2369" s="24">
        <v>1</v>
      </c>
      <c r="M2369" s="21">
        <v>46116</v>
      </c>
      <c r="N2369" s="22" t="s">
        <v>70</v>
      </c>
      <c r="O2369" s="22" t="s">
        <v>44</v>
      </c>
      <c r="P2369" s="49">
        <v>68</v>
      </c>
      <c r="Q2369" s="49">
        <v>67.099999999999994</v>
      </c>
      <c r="R2369" s="46">
        <f t="shared" si="76"/>
        <v>0.90000000000000568</v>
      </c>
      <c r="T2369" s="21">
        <v>46085</v>
      </c>
      <c r="U2369" s="22" t="s">
        <v>42</v>
      </c>
      <c r="V2369" s="24">
        <v>4</v>
      </c>
      <c r="W2369" s="24">
        <v>4</v>
      </c>
      <c r="X2369" s="24">
        <v>4</v>
      </c>
      <c r="Y2369" s="24">
        <v>5</v>
      </c>
      <c r="Z2369" s="20">
        <f t="shared" si="77"/>
        <v>17</v>
      </c>
    </row>
    <row r="2370" spans="1:26" x14ac:dyDescent="0.2">
      <c r="A2370" s="21"/>
      <c r="B2370" s="20"/>
      <c r="C2370" s="22"/>
      <c r="D2370" s="22"/>
      <c r="E2370" s="24"/>
      <c r="F2370" s="22"/>
      <c r="H2370" s="21">
        <v>46030</v>
      </c>
      <c r="I2370" s="22" t="s">
        <v>70</v>
      </c>
      <c r="J2370" s="22" t="s">
        <v>49</v>
      </c>
      <c r="K2370" s="24">
        <v>1</v>
      </c>
      <c r="M2370" s="21">
        <v>46116</v>
      </c>
      <c r="N2370" s="22" t="s">
        <v>71</v>
      </c>
      <c r="O2370" s="22" t="s">
        <v>44</v>
      </c>
      <c r="P2370" s="49">
        <v>69</v>
      </c>
      <c r="Q2370" s="49">
        <v>67.099999999999994</v>
      </c>
      <c r="R2370" s="46">
        <f t="shared" si="76"/>
        <v>1.9000000000000057</v>
      </c>
      <c r="T2370" s="21">
        <v>46085</v>
      </c>
      <c r="U2370" s="22" t="s">
        <v>44</v>
      </c>
      <c r="V2370" s="24">
        <v>5</v>
      </c>
      <c r="W2370" s="24">
        <v>5</v>
      </c>
      <c r="X2370" s="24">
        <v>4</v>
      </c>
      <c r="Y2370" s="24">
        <v>5</v>
      </c>
      <c r="Z2370" s="20">
        <f t="shared" si="77"/>
        <v>19</v>
      </c>
    </row>
    <row r="2371" spans="1:26" x14ac:dyDescent="0.2">
      <c r="A2371" s="21"/>
      <c r="B2371" s="20"/>
      <c r="C2371" s="22"/>
      <c r="D2371" s="22"/>
      <c r="E2371" s="24"/>
      <c r="F2371" s="22"/>
      <c r="H2371" s="21">
        <v>46030</v>
      </c>
      <c r="I2371" s="22" t="s">
        <v>70</v>
      </c>
      <c r="J2371" s="22" t="s">
        <v>50</v>
      </c>
      <c r="K2371" s="24">
        <v>1</v>
      </c>
      <c r="M2371" s="21">
        <v>46116</v>
      </c>
      <c r="N2371" s="22" t="s">
        <v>70</v>
      </c>
      <c r="O2371" s="22" t="s">
        <v>45</v>
      </c>
      <c r="P2371" s="49">
        <v>69</v>
      </c>
      <c r="Q2371" s="49">
        <v>68.7</v>
      </c>
      <c r="R2371" s="46">
        <f t="shared" ref="R2371:R2434" si="78">IFERROR(P2371-Q2371,"")</f>
        <v>0.29999999999999716</v>
      </c>
      <c r="T2371" s="21">
        <v>46085</v>
      </c>
      <c r="U2371" s="22" t="s">
        <v>45</v>
      </c>
      <c r="V2371" s="24">
        <v>4</v>
      </c>
      <c r="W2371" s="24">
        <v>4</v>
      </c>
      <c r="X2371" s="24">
        <v>4</v>
      </c>
      <c r="Y2371" s="24">
        <v>5</v>
      </c>
      <c r="Z2371" s="20">
        <f t="shared" ref="Z2371:Z2434" si="79">SUM(V2371:Y2371)</f>
        <v>17</v>
      </c>
    </row>
    <row r="2372" spans="1:26" x14ac:dyDescent="0.2">
      <c r="A2372" s="21"/>
      <c r="B2372" s="20"/>
      <c r="C2372" s="22"/>
      <c r="D2372" s="22"/>
      <c r="E2372" s="24"/>
      <c r="F2372" s="22"/>
      <c r="H2372" s="21">
        <v>46030</v>
      </c>
      <c r="I2372" s="22" t="s">
        <v>70</v>
      </c>
      <c r="J2372" s="22" t="s">
        <v>51</v>
      </c>
      <c r="K2372" s="24">
        <v>1</v>
      </c>
      <c r="M2372" s="21">
        <v>46116</v>
      </c>
      <c r="N2372" s="22" t="s">
        <v>71</v>
      </c>
      <c r="O2372" s="22" t="s">
        <v>45</v>
      </c>
      <c r="P2372" s="49">
        <v>69</v>
      </c>
      <c r="Q2372" s="49">
        <v>68</v>
      </c>
      <c r="R2372" s="46">
        <f t="shared" si="78"/>
        <v>1</v>
      </c>
      <c r="T2372" s="21">
        <v>46085</v>
      </c>
      <c r="U2372" s="22" t="s">
        <v>46</v>
      </c>
      <c r="V2372" s="24">
        <v>5</v>
      </c>
      <c r="W2372" s="24">
        <v>4</v>
      </c>
      <c r="X2372" s="24">
        <v>4</v>
      </c>
      <c r="Y2372" s="24">
        <v>5</v>
      </c>
      <c r="Z2372" s="20">
        <f t="shared" si="79"/>
        <v>18</v>
      </c>
    </row>
    <row r="2373" spans="1:26" x14ac:dyDescent="0.2">
      <c r="A2373" s="21"/>
      <c r="B2373" s="20"/>
      <c r="C2373" s="22"/>
      <c r="D2373" s="22"/>
      <c r="E2373" s="24"/>
      <c r="F2373" s="22"/>
      <c r="H2373" s="21">
        <v>46030</v>
      </c>
      <c r="I2373" s="22" t="s">
        <v>70</v>
      </c>
      <c r="J2373" s="22" t="s">
        <v>46</v>
      </c>
      <c r="K2373" s="24">
        <v>1</v>
      </c>
      <c r="M2373" s="21">
        <v>46116</v>
      </c>
      <c r="N2373" s="22" t="s">
        <v>70</v>
      </c>
      <c r="O2373" s="22" t="s">
        <v>46</v>
      </c>
      <c r="P2373" s="49">
        <v>81.3</v>
      </c>
      <c r="Q2373" s="49">
        <v>81.2</v>
      </c>
      <c r="R2373" s="46">
        <f t="shared" si="78"/>
        <v>9.9999999999994316E-2</v>
      </c>
      <c r="T2373" s="21">
        <v>46085</v>
      </c>
      <c r="U2373" s="22" t="s">
        <v>47</v>
      </c>
      <c r="V2373" s="24">
        <v>4</v>
      </c>
      <c r="W2373" s="24">
        <v>4</v>
      </c>
      <c r="X2373" s="24">
        <v>4</v>
      </c>
      <c r="Y2373" s="24">
        <v>3</v>
      </c>
      <c r="Z2373" s="20">
        <f t="shared" si="79"/>
        <v>15</v>
      </c>
    </row>
    <row r="2374" spans="1:26" x14ac:dyDescent="0.2">
      <c r="A2374" s="21"/>
      <c r="B2374" s="20"/>
      <c r="C2374" s="22"/>
      <c r="D2374" s="22"/>
      <c r="E2374" s="24"/>
      <c r="F2374" s="22"/>
      <c r="H2374" s="21">
        <v>46030</v>
      </c>
      <c r="I2374" s="22" t="s">
        <v>70</v>
      </c>
      <c r="J2374" s="22" t="s">
        <v>48</v>
      </c>
      <c r="K2374" s="24">
        <v>1</v>
      </c>
      <c r="M2374" s="21">
        <v>46116</v>
      </c>
      <c r="N2374" s="22" t="s">
        <v>71</v>
      </c>
      <c r="O2374" s="22" t="s">
        <v>46</v>
      </c>
      <c r="P2374" s="49">
        <v>82</v>
      </c>
      <c r="Q2374" s="49">
        <v>81</v>
      </c>
      <c r="R2374" s="46">
        <f t="shared" si="78"/>
        <v>1</v>
      </c>
      <c r="T2374" s="21">
        <v>46085</v>
      </c>
      <c r="U2374" s="22" t="s">
        <v>48</v>
      </c>
      <c r="V2374" s="24">
        <v>5</v>
      </c>
      <c r="W2374" s="24">
        <v>5</v>
      </c>
      <c r="X2374" s="24">
        <v>5</v>
      </c>
      <c r="Y2374" s="24">
        <v>2</v>
      </c>
      <c r="Z2374" s="20">
        <f t="shared" si="79"/>
        <v>17</v>
      </c>
    </row>
    <row r="2375" spans="1:26" x14ac:dyDescent="0.2">
      <c r="A2375" s="21"/>
      <c r="B2375" s="20"/>
      <c r="C2375" s="22"/>
      <c r="D2375" s="22"/>
      <c r="E2375" s="24"/>
      <c r="F2375" s="22"/>
      <c r="H2375" s="21">
        <v>46031</v>
      </c>
      <c r="I2375" s="22" t="s">
        <v>70</v>
      </c>
      <c r="J2375" s="22" t="s">
        <v>52</v>
      </c>
      <c r="K2375" s="24">
        <v>5</v>
      </c>
      <c r="M2375" s="21">
        <v>46116</v>
      </c>
      <c r="N2375" s="22" t="s">
        <v>70</v>
      </c>
      <c r="O2375" s="22" t="s">
        <v>47</v>
      </c>
      <c r="P2375" s="49">
        <v>72</v>
      </c>
      <c r="Q2375" s="49">
        <v>72</v>
      </c>
      <c r="R2375" s="46">
        <f t="shared" si="78"/>
        <v>0</v>
      </c>
      <c r="T2375" s="21">
        <v>46085</v>
      </c>
      <c r="U2375" s="22" t="s">
        <v>49</v>
      </c>
      <c r="V2375" s="24">
        <v>4</v>
      </c>
      <c r="W2375" s="24">
        <v>3</v>
      </c>
      <c r="X2375" s="24">
        <v>3</v>
      </c>
      <c r="Y2375" s="24">
        <v>4</v>
      </c>
      <c r="Z2375" s="20">
        <f t="shared" si="79"/>
        <v>14</v>
      </c>
    </row>
    <row r="2376" spans="1:26" x14ac:dyDescent="0.2">
      <c r="A2376" s="21"/>
      <c r="B2376" s="20"/>
      <c r="C2376" s="22"/>
      <c r="D2376" s="22"/>
      <c r="E2376" s="24"/>
      <c r="F2376" s="22"/>
      <c r="H2376" s="21">
        <v>46031</v>
      </c>
      <c r="I2376" s="22" t="s">
        <v>70</v>
      </c>
      <c r="J2376" s="22" t="s">
        <v>53</v>
      </c>
      <c r="K2376" s="24">
        <v>5</v>
      </c>
      <c r="M2376" s="21">
        <v>46116</v>
      </c>
      <c r="N2376" s="22" t="s">
        <v>71</v>
      </c>
      <c r="O2376" s="22" t="s">
        <v>47</v>
      </c>
      <c r="P2376" s="49">
        <v>71.7</v>
      </c>
      <c r="Q2376" s="49">
        <v>72</v>
      </c>
      <c r="R2376" s="46">
        <f t="shared" si="78"/>
        <v>-0.29999999999999716</v>
      </c>
      <c r="T2376" s="21">
        <v>46085</v>
      </c>
      <c r="U2376" s="22" t="s">
        <v>50</v>
      </c>
      <c r="V2376" s="24">
        <v>4</v>
      </c>
      <c r="W2376" s="24">
        <v>3</v>
      </c>
      <c r="X2376" s="24">
        <v>3</v>
      </c>
      <c r="Y2376" s="24">
        <v>4</v>
      </c>
      <c r="Z2376" s="20">
        <f t="shared" si="79"/>
        <v>14</v>
      </c>
    </row>
    <row r="2377" spans="1:26" x14ac:dyDescent="0.2">
      <c r="A2377" s="21"/>
      <c r="B2377" s="20"/>
      <c r="C2377" s="22"/>
      <c r="D2377" s="22"/>
      <c r="E2377" s="24"/>
      <c r="F2377" s="22"/>
      <c r="H2377" s="21">
        <v>46031</v>
      </c>
      <c r="I2377" s="22" t="s">
        <v>70</v>
      </c>
      <c r="J2377" s="22" t="s">
        <v>44</v>
      </c>
      <c r="K2377" s="24">
        <v>3</v>
      </c>
      <c r="M2377" s="21">
        <v>46116</v>
      </c>
      <c r="N2377" s="22" t="s">
        <v>70</v>
      </c>
      <c r="O2377" s="22" t="s">
        <v>49</v>
      </c>
      <c r="P2377" s="49">
        <v>79.5</v>
      </c>
      <c r="Q2377" s="49">
        <v>79.400000000000006</v>
      </c>
      <c r="R2377" s="46">
        <f t="shared" si="78"/>
        <v>9.9999999999994316E-2</v>
      </c>
      <c r="T2377" s="21">
        <v>46085</v>
      </c>
      <c r="U2377" s="22" t="s">
        <v>51</v>
      </c>
      <c r="V2377" s="24">
        <v>4</v>
      </c>
      <c r="W2377" s="24">
        <v>4</v>
      </c>
      <c r="X2377" s="24">
        <v>3</v>
      </c>
      <c r="Y2377" s="24">
        <v>3</v>
      </c>
      <c r="Z2377" s="20">
        <f t="shared" si="79"/>
        <v>14</v>
      </c>
    </row>
    <row r="2378" spans="1:26" x14ac:dyDescent="0.2">
      <c r="A2378" s="21"/>
      <c r="B2378" s="20"/>
      <c r="C2378" s="22"/>
      <c r="D2378" s="22"/>
      <c r="E2378" s="24"/>
      <c r="F2378" s="22"/>
      <c r="H2378" s="21">
        <v>46031</v>
      </c>
      <c r="I2378" s="22" t="s">
        <v>70</v>
      </c>
      <c r="J2378" s="22" t="s">
        <v>45</v>
      </c>
      <c r="K2378" s="24">
        <v>5</v>
      </c>
      <c r="M2378" s="21">
        <v>46116</v>
      </c>
      <c r="N2378" s="22" t="s">
        <v>71</v>
      </c>
      <c r="O2378" s="22" t="s">
        <v>49</v>
      </c>
      <c r="P2378" s="49">
        <v>79.5</v>
      </c>
      <c r="Q2378" s="49">
        <v>79.5</v>
      </c>
      <c r="R2378" s="46">
        <f t="shared" si="78"/>
        <v>0</v>
      </c>
      <c r="T2378" s="21">
        <v>46085</v>
      </c>
      <c r="U2378" s="22" t="s">
        <v>52</v>
      </c>
      <c r="V2378" s="24">
        <v>4</v>
      </c>
      <c r="W2378" s="24">
        <v>4</v>
      </c>
      <c r="X2378" s="24">
        <v>4</v>
      </c>
      <c r="Y2378" s="24">
        <v>4</v>
      </c>
      <c r="Z2378" s="20">
        <f t="shared" si="79"/>
        <v>16</v>
      </c>
    </row>
    <row r="2379" spans="1:26" x14ac:dyDescent="0.2">
      <c r="A2379" s="21"/>
      <c r="B2379" s="20"/>
      <c r="C2379" s="22"/>
      <c r="D2379" s="22"/>
      <c r="E2379" s="24"/>
      <c r="F2379" s="22"/>
      <c r="H2379" s="21">
        <v>46031</v>
      </c>
      <c r="I2379" s="22" t="s">
        <v>70</v>
      </c>
      <c r="J2379" s="22" t="s">
        <v>57</v>
      </c>
      <c r="K2379" s="24">
        <v>4</v>
      </c>
      <c r="M2379" s="21">
        <v>46116</v>
      </c>
      <c r="N2379" s="22" t="s">
        <v>70</v>
      </c>
      <c r="O2379" s="22" t="s">
        <v>50</v>
      </c>
      <c r="P2379" s="49">
        <v>66.2</v>
      </c>
      <c r="Q2379" s="49">
        <v>65.400000000000006</v>
      </c>
      <c r="R2379" s="46">
        <f t="shared" si="78"/>
        <v>0.79999999999999716</v>
      </c>
      <c r="T2379" s="21">
        <v>46085</v>
      </c>
      <c r="U2379" s="22" t="s">
        <v>53</v>
      </c>
      <c r="V2379" s="24">
        <v>4</v>
      </c>
      <c r="W2379" s="24">
        <v>4</v>
      </c>
      <c r="X2379" s="24">
        <v>4</v>
      </c>
      <c r="Y2379" s="24">
        <v>5</v>
      </c>
      <c r="Z2379" s="20">
        <f t="shared" si="79"/>
        <v>17</v>
      </c>
    </row>
    <row r="2380" spans="1:26" x14ac:dyDescent="0.2">
      <c r="A2380" s="21"/>
      <c r="B2380" s="20"/>
      <c r="C2380" s="22"/>
      <c r="D2380" s="22"/>
      <c r="E2380" s="24"/>
      <c r="F2380" s="22"/>
      <c r="H2380" s="21">
        <v>46031</v>
      </c>
      <c r="I2380" s="22" t="s">
        <v>70</v>
      </c>
      <c r="J2380" s="22" t="s">
        <v>42</v>
      </c>
      <c r="K2380" s="24">
        <v>1</v>
      </c>
      <c r="M2380" s="21">
        <v>46116</v>
      </c>
      <c r="N2380" s="22" t="s">
        <v>71</v>
      </c>
      <c r="O2380" s="22" t="s">
        <v>50</v>
      </c>
      <c r="P2380" s="49">
        <v>66.900000000000006</v>
      </c>
      <c r="Q2380" s="49">
        <v>66.099999999999994</v>
      </c>
      <c r="R2380" s="46">
        <f t="shared" si="78"/>
        <v>0.80000000000001137</v>
      </c>
      <c r="T2380" s="21">
        <v>46085</v>
      </c>
      <c r="U2380" s="22" t="s">
        <v>57</v>
      </c>
      <c r="V2380" s="24">
        <v>4</v>
      </c>
      <c r="W2380" s="24">
        <v>3</v>
      </c>
      <c r="X2380" s="24">
        <v>4</v>
      </c>
      <c r="Y2380" s="24">
        <v>4</v>
      </c>
      <c r="Z2380" s="20">
        <f t="shared" si="79"/>
        <v>15</v>
      </c>
    </row>
    <row r="2381" spans="1:26" x14ac:dyDescent="0.2">
      <c r="A2381" s="21"/>
      <c r="B2381" s="20"/>
      <c r="C2381" s="22"/>
      <c r="D2381" s="22"/>
      <c r="E2381" s="24"/>
      <c r="F2381" s="22"/>
      <c r="H2381" s="21">
        <v>46031</v>
      </c>
      <c r="I2381" s="22" t="s">
        <v>70</v>
      </c>
      <c r="J2381" s="22" t="s">
        <v>47</v>
      </c>
      <c r="K2381" s="24">
        <v>4</v>
      </c>
      <c r="M2381" s="21">
        <v>46116</v>
      </c>
      <c r="N2381" s="22" t="s">
        <v>70</v>
      </c>
      <c r="O2381" s="22" t="s">
        <v>51</v>
      </c>
      <c r="P2381" s="49">
        <v>75.8</v>
      </c>
      <c r="Q2381" s="49">
        <v>85.6</v>
      </c>
      <c r="R2381" s="46">
        <f t="shared" si="78"/>
        <v>-9.7999999999999972</v>
      </c>
      <c r="T2381" s="21">
        <v>46085</v>
      </c>
      <c r="U2381" s="22" t="s">
        <v>33</v>
      </c>
      <c r="V2381" s="24">
        <v>4</v>
      </c>
      <c r="W2381" s="24">
        <v>3.6923076923076898</v>
      </c>
      <c r="X2381" s="24">
        <v>3.6153846153846199</v>
      </c>
      <c r="Y2381" s="24">
        <v>3.8461538461538498</v>
      </c>
      <c r="Z2381" s="20">
        <f t="shared" si="79"/>
        <v>15.15384615384616</v>
      </c>
    </row>
    <row r="2382" spans="1:26" x14ac:dyDescent="0.2">
      <c r="A2382" s="21"/>
      <c r="B2382" s="20"/>
      <c r="C2382" s="22"/>
      <c r="D2382" s="22"/>
      <c r="E2382" s="24"/>
      <c r="F2382" s="22"/>
      <c r="H2382" s="21">
        <v>46031</v>
      </c>
      <c r="I2382" s="22" t="s">
        <v>70</v>
      </c>
      <c r="J2382" s="22" t="s">
        <v>41</v>
      </c>
      <c r="K2382" s="24">
        <v>1</v>
      </c>
      <c r="M2382" s="21">
        <v>46116</v>
      </c>
      <c r="N2382" s="22" t="s">
        <v>71</v>
      </c>
      <c r="O2382" s="22" t="s">
        <v>51</v>
      </c>
      <c r="P2382" s="49">
        <v>75</v>
      </c>
      <c r="Q2382" s="49">
        <v>75</v>
      </c>
      <c r="R2382" s="46">
        <f t="shared" si="78"/>
        <v>0</v>
      </c>
      <c r="T2382" s="21">
        <v>46086</v>
      </c>
      <c r="U2382" s="22" t="s">
        <v>41</v>
      </c>
      <c r="V2382" s="24">
        <v>1</v>
      </c>
      <c r="W2382" s="24">
        <v>1</v>
      </c>
      <c r="X2382" s="24">
        <v>1</v>
      </c>
      <c r="Y2382" s="24">
        <v>1</v>
      </c>
      <c r="Z2382" s="20">
        <f t="shared" si="79"/>
        <v>4</v>
      </c>
    </row>
    <row r="2383" spans="1:26" x14ac:dyDescent="0.2">
      <c r="A2383" s="21"/>
      <c r="B2383" s="20"/>
      <c r="C2383" s="22"/>
      <c r="D2383" s="22"/>
      <c r="E2383" s="24"/>
      <c r="F2383" s="22"/>
      <c r="H2383" s="21">
        <v>46031</v>
      </c>
      <c r="I2383" s="22" t="s">
        <v>70</v>
      </c>
      <c r="J2383" s="22" t="s">
        <v>58</v>
      </c>
      <c r="K2383" s="24">
        <v>4</v>
      </c>
      <c r="M2383" s="21">
        <v>46116</v>
      </c>
      <c r="N2383" s="22" t="s">
        <v>70</v>
      </c>
      <c r="O2383" s="22" t="s">
        <v>52</v>
      </c>
      <c r="P2383" s="49">
        <v>70.599999999999994</v>
      </c>
      <c r="Q2383" s="49">
        <v>70.599999999999994</v>
      </c>
      <c r="R2383" s="46">
        <f t="shared" si="78"/>
        <v>0</v>
      </c>
      <c r="T2383" s="21">
        <v>46086</v>
      </c>
      <c r="U2383" s="22" t="s">
        <v>42</v>
      </c>
      <c r="V2383" s="24">
        <v>4</v>
      </c>
      <c r="W2383" s="24">
        <v>4</v>
      </c>
      <c r="X2383" s="24">
        <v>4</v>
      </c>
      <c r="Y2383" s="24">
        <v>5</v>
      </c>
      <c r="Z2383" s="20">
        <f t="shared" si="79"/>
        <v>17</v>
      </c>
    </row>
    <row r="2384" spans="1:26" x14ac:dyDescent="0.2">
      <c r="A2384" s="21"/>
      <c r="B2384" s="20"/>
      <c r="C2384" s="22"/>
      <c r="D2384" s="22"/>
      <c r="E2384" s="24"/>
      <c r="F2384" s="22"/>
      <c r="H2384" s="21">
        <v>46031</v>
      </c>
      <c r="I2384" s="22" t="s">
        <v>70</v>
      </c>
      <c r="J2384" s="22" t="s">
        <v>49</v>
      </c>
      <c r="K2384" s="24">
        <v>5</v>
      </c>
      <c r="M2384" s="21">
        <v>46116</v>
      </c>
      <c r="N2384" s="22" t="s">
        <v>71</v>
      </c>
      <c r="O2384" s="22" t="s">
        <v>52</v>
      </c>
      <c r="P2384" s="49">
        <v>70.599999999999994</v>
      </c>
      <c r="Q2384" s="49">
        <v>70.599999999999994</v>
      </c>
      <c r="R2384" s="46">
        <f t="shared" si="78"/>
        <v>0</v>
      </c>
      <c r="T2384" s="21">
        <v>46086</v>
      </c>
      <c r="U2384" s="22" t="s">
        <v>44</v>
      </c>
      <c r="V2384" s="24">
        <v>5</v>
      </c>
      <c r="W2384" s="24">
        <v>4</v>
      </c>
      <c r="X2384" s="24">
        <v>4</v>
      </c>
      <c r="Y2384" s="24">
        <v>5</v>
      </c>
      <c r="Z2384" s="20">
        <f t="shared" si="79"/>
        <v>18</v>
      </c>
    </row>
    <row r="2385" spans="1:26" x14ac:dyDescent="0.2">
      <c r="A2385" s="21"/>
      <c r="B2385" s="20"/>
      <c r="C2385" s="22"/>
      <c r="D2385" s="22"/>
      <c r="E2385" s="24"/>
      <c r="F2385" s="22"/>
      <c r="H2385" s="21">
        <v>46031</v>
      </c>
      <c r="I2385" s="22" t="s">
        <v>70</v>
      </c>
      <c r="J2385" s="22" t="s">
        <v>50</v>
      </c>
      <c r="K2385" s="24">
        <v>4</v>
      </c>
      <c r="M2385" s="21">
        <v>46116</v>
      </c>
      <c r="N2385" s="22" t="s">
        <v>70</v>
      </c>
      <c r="O2385" s="22" t="s">
        <v>53</v>
      </c>
      <c r="P2385" s="49">
        <v>68.7</v>
      </c>
      <c r="Q2385" s="49">
        <v>68.7</v>
      </c>
      <c r="R2385" s="46">
        <f t="shared" si="78"/>
        <v>0</v>
      </c>
      <c r="T2385" s="21">
        <v>46086</v>
      </c>
      <c r="U2385" s="22" t="s">
        <v>45</v>
      </c>
      <c r="V2385" s="24">
        <v>4</v>
      </c>
      <c r="W2385" s="24">
        <v>3</v>
      </c>
      <c r="X2385" s="24">
        <v>4</v>
      </c>
      <c r="Y2385" s="24">
        <v>5</v>
      </c>
      <c r="Z2385" s="20">
        <f t="shared" si="79"/>
        <v>16</v>
      </c>
    </row>
    <row r="2386" spans="1:26" x14ac:dyDescent="0.2">
      <c r="A2386" s="21"/>
      <c r="B2386" s="20"/>
      <c r="C2386" s="22"/>
      <c r="D2386" s="22"/>
      <c r="E2386" s="24"/>
      <c r="F2386" s="22"/>
      <c r="H2386" s="21">
        <v>46031</v>
      </c>
      <c r="I2386" s="22" t="s">
        <v>70</v>
      </c>
      <c r="J2386" s="22" t="s">
        <v>51</v>
      </c>
      <c r="K2386" s="24">
        <v>5</v>
      </c>
      <c r="M2386" s="21">
        <v>46116</v>
      </c>
      <c r="N2386" s="22" t="s">
        <v>71</v>
      </c>
      <c r="O2386" s="22" t="s">
        <v>53</v>
      </c>
      <c r="P2386" s="49">
        <v>68.3</v>
      </c>
      <c r="Q2386" s="49">
        <v>67.8</v>
      </c>
      <c r="R2386" s="46">
        <f t="shared" si="78"/>
        <v>0.5</v>
      </c>
      <c r="T2386" s="21">
        <v>46086</v>
      </c>
      <c r="U2386" s="22" t="s">
        <v>46</v>
      </c>
      <c r="V2386" s="24">
        <v>5</v>
      </c>
      <c r="W2386" s="24">
        <v>4</v>
      </c>
      <c r="X2386" s="24">
        <v>5</v>
      </c>
      <c r="Y2386" s="24">
        <v>5</v>
      </c>
      <c r="Z2386" s="20">
        <f t="shared" si="79"/>
        <v>19</v>
      </c>
    </row>
    <row r="2387" spans="1:26" x14ac:dyDescent="0.2">
      <c r="A2387" s="21"/>
      <c r="B2387" s="20"/>
      <c r="C2387" s="22"/>
      <c r="D2387" s="22"/>
      <c r="E2387" s="24"/>
      <c r="F2387" s="22"/>
      <c r="H2387" s="21">
        <v>46031</v>
      </c>
      <c r="I2387" s="22" t="s">
        <v>70</v>
      </c>
      <c r="J2387" s="22" t="s">
        <v>46</v>
      </c>
      <c r="K2387" s="24">
        <v>4</v>
      </c>
      <c r="M2387" s="21">
        <v>46116</v>
      </c>
      <c r="N2387" s="22" t="s">
        <v>70</v>
      </c>
      <c r="O2387" s="22" t="s">
        <v>55</v>
      </c>
      <c r="P2387" s="49">
        <v>78.3</v>
      </c>
      <c r="Q2387" s="49">
        <v>78.400000000000006</v>
      </c>
      <c r="R2387" s="46">
        <f t="shared" si="78"/>
        <v>-0.10000000000000853</v>
      </c>
      <c r="T2387" s="21">
        <v>46086</v>
      </c>
      <c r="U2387" s="22" t="s">
        <v>47</v>
      </c>
      <c r="V2387" s="24">
        <v>4</v>
      </c>
      <c r="W2387" s="24">
        <v>5</v>
      </c>
      <c r="X2387" s="24">
        <v>5</v>
      </c>
      <c r="Y2387" s="24">
        <v>5</v>
      </c>
      <c r="Z2387" s="20">
        <f t="shared" si="79"/>
        <v>19</v>
      </c>
    </row>
    <row r="2388" spans="1:26" x14ac:dyDescent="0.2">
      <c r="A2388" s="21"/>
      <c r="B2388" s="20"/>
      <c r="C2388" s="22"/>
      <c r="D2388" s="22"/>
      <c r="E2388" s="24"/>
      <c r="F2388" s="22"/>
      <c r="H2388" s="21">
        <v>46031</v>
      </c>
      <c r="I2388" s="22" t="s">
        <v>70</v>
      </c>
      <c r="J2388" s="22" t="s">
        <v>48</v>
      </c>
      <c r="K2388" s="24">
        <v>4</v>
      </c>
      <c r="M2388" s="21">
        <v>46116</v>
      </c>
      <c r="N2388" s="22" t="s">
        <v>71</v>
      </c>
      <c r="O2388" s="22" t="s">
        <v>55</v>
      </c>
      <c r="P2388" s="49">
        <v>78.099999999999994</v>
      </c>
      <c r="Q2388" s="49">
        <v>78</v>
      </c>
      <c r="R2388" s="46">
        <f t="shared" si="78"/>
        <v>9.9999999999994316E-2</v>
      </c>
      <c r="T2388" s="21">
        <v>46086</v>
      </c>
      <c r="U2388" s="22" t="s">
        <v>48</v>
      </c>
      <c r="V2388" s="24">
        <v>4</v>
      </c>
      <c r="W2388" s="24">
        <v>4</v>
      </c>
      <c r="X2388" s="24">
        <v>4</v>
      </c>
      <c r="Y2388" s="24">
        <v>2</v>
      </c>
      <c r="Z2388" s="20">
        <f t="shared" si="79"/>
        <v>14</v>
      </c>
    </row>
    <row r="2389" spans="1:26" x14ac:dyDescent="0.2">
      <c r="A2389" s="21"/>
      <c r="B2389" s="20"/>
      <c r="C2389" s="22"/>
      <c r="D2389" s="22"/>
      <c r="E2389" s="24"/>
      <c r="F2389" s="22"/>
      <c r="H2389" s="21">
        <v>46031</v>
      </c>
      <c r="I2389" s="22" t="s">
        <v>70</v>
      </c>
      <c r="J2389" s="22" t="s">
        <v>56</v>
      </c>
      <c r="K2389" s="24">
        <v>5</v>
      </c>
      <c r="M2389" s="21">
        <v>46116</v>
      </c>
      <c r="N2389" s="22" t="s">
        <v>70</v>
      </c>
      <c r="O2389" s="22" t="s">
        <v>58</v>
      </c>
      <c r="P2389" s="49">
        <v>76.400000000000006</v>
      </c>
      <c r="Q2389" s="49">
        <v>76.400000000000006</v>
      </c>
      <c r="R2389" s="46">
        <f t="shared" si="78"/>
        <v>0</v>
      </c>
      <c r="T2389" s="21">
        <v>46086</v>
      </c>
      <c r="U2389" s="22" t="s">
        <v>49</v>
      </c>
      <c r="V2389" s="24">
        <v>3</v>
      </c>
      <c r="W2389" s="24">
        <v>4</v>
      </c>
      <c r="X2389" s="24">
        <v>3</v>
      </c>
      <c r="Y2389" s="24">
        <v>4</v>
      </c>
      <c r="Z2389" s="20">
        <f t="shared" si="79"/>
        <v>14</v>
      </c>
    </row>
    <row r="2390" spans="1:26" x14ac:dyDescent="0.2">
      <c r="A2390" s="21"/>
      <c r="B2390" s="20"/>
      <c r="C2390" s="22"/>
      <c r="D2390" s="22"/>
      <c r="E2390" s="24"/>
      <c r="F2390" s="22"/>
      <c r="H2390" s="21">
        <v>46032</v>
      </c>
      <c r="I2390" s="22" t="s">
        <v>70</v>
      </c>
      <c r="J2390" s="22" t="s">
        <v>52</v>
      </c>
      <c r="K2390" s="24" t="s">
        <v>63</v>
      </c>
      <c r="M2390" s="21">
        <v>46116</v>
      </c>
      <c r="N2390" s="22" t="s">
        <v>71</v>
      </c>
      <c r="O2390" s="22" t="s">
        <v>58</v>
      </c>
      <c r="P2390" s="49">
        <v>76.400000000000006</v>
      </c>
      <c r="Q2390" s="49">
        <v>76</v>
      </c>
      <c r="R2390" s="46">
        <f t="shared" si="78"/>
        <v>0.40000000000000568</v>
      </c>
      <c r="T2390" s="21">
        <v>46086</v>
      </c>
      <c r="U2390" s="22" t="s">
        <v>50</v>
      </c>
      <c r="V2390" s="24">
        <v>3</v>
      </c>
      <c r="W2390" s="24">
        <v>3</v>
      </c>
      <c r="X2390" s="24">
        <v>4</v>
      </c>
      <c r="Y2390" s="24">
        <v>4</v>
      </c>
      <c r="Z2390" s="20">
        <f t="shared" si="79"/>
        <v>14</v>
      </c>
    </row>
    <row r="2391" spans="1:26" x14ac:dyDescent="0.2">
      <c r="A2391" s="21"/>
      <c r="B2391" s="20"/>
      <c r="C2391" s="22"/>
      <c r="D2391" s="22"/>
      <c r="E2391" s="24"/>
      <c r="F2391" s="22"/>
      <c r="H2391" s="21">
        <v>46032</v>
      </c>
      <c r="I2391" s="22" t="s">
        <v>70</v>
      </c>
      <c r="J2391" s="22" t="s">
        <v>53</v>
      </c>
      <c r="K2391" s="24">
        <v>9</v>
      </c>
      <c r="M2391" s="21">
        <v>46118</v>
      </c>
      <c r="N2391" s="22" t="s">
        <v>70</v>
      </c>
      <c r="O2391" s="22" t="s">
        <v>41</v>
      </c>
      <c r="P2391" s="49">
        <v>77</v>
      </c>
      <c r="Q2391" s="49">
        <v>76.8</v>
      </c>
      <c r="R2391" s="46">
        <f t="shared" si="78"/>
        <v>0.20000000000000284</v>
      </c>
      <c r="T2391" s="21">
        <v>46086</v>
      </c>
      <c r="U2391" s="22" t="s">
        <v>51</v>
      </c>
      <c r="V2391" s="24">
        <v>4</v>
      </c>
      <c r="W2391" s="24">
        <v>4</v>
      </c>
      <c r="X2391" s="24">
        <v>3</v>
      </c>
      <c r="Y2391" s="24">
        <v>4</v>
      </c>
      <c r="Z2391" s="20">
        <f t="shared" si="79"/>
        <v>15</v>
      </c>
    </row>
    <row r="2392" spans="1:26" x14ac:dyDescent="0.2">
      <c r="A2392" s="21"/>
      <c r="B2392" s="20"/>
      <c r="C2392" s="22"/>
      <c r="D2392" s="22"/>
      <c r="E2392" s="24"/>
      <c r="F2392" s="22"/>
      <c r="H2392" s="21">
        <v>46032</v>
      </c>
      <c r="I2392" s="22" t="s">
        <v>70</v>
      </c>
      <c r="J2392" s="22" t="s">
        <v>44</v>
      </c>
      <c r="K2392" s="24">
        <v>9</v>
      </c>
      <c r="M2392" s="21">
        <v>46118</v>
      </c>
      <c r="N2392" s="22" t="s">
        <v>70</v>
      </c>
      <c r="O2392" s="22" t="s">
        <v>42</v>
      </c>
      <c r="P2392" s="49">
        <v>79.8</v>
      </c>
      <c r="Q2392" s="49">
        <v>79.900000000000006</v>
      </c>
      <c r="R2392" s="46">
        <f t="shared" si="78"/>
        <v>-0.10000000000000853</v>
      </c>
      <c r="T2392" s="21">
        <v>46086</v>
      </c>
      <c r="U2392" s="22" t="s">
        <v>52</v>
      </c>
      <c r="V2392" s="24">
        <v>4</v>
      </c>
      <c r="W2392" s="24">
        <v>4</v>
      </c>
      <c r="X2392" s="24">
        <v>4</v>
      </c>
      <c r="Y2392" s="24">
        <v>4</v>
      </c>
      <c r="Z2392" s="20">
        <f t="shared" si="79"/>
        <v>16</v>
      </c>
    </row>
    <row r="2393" spans="1:26" x14ac:dyDescent="0.2">
      <c r="A2393" s="21"/>
      <c r="B2393" s="20"/>
      <c r="C2393" s="22"/>
      <c r="D2393" s="22"/>
      <c r="E2393" s="24"/>
      <c r="F2393" s="22"/>
      <c r="H2393" s="21">
        <v>46032</v>
      </c>
      <c r="I2393" s="22" t="s">
        <v>70</v>
      </c>
      <c r="J2393" s="22" t="s">
        <v>45</v>
      </c>
      <c r="K2393" s="24">
        <v>9</v>
      </c>
      <c r="M2393" s="21">
        <v>46118</v>
      </c>
      <c r="N2393" s="22" t="s">
        <v>70</v>
      </c>
      <c r="O2393" s="22" t="s">
        <v>45</v>
      </c>
      <c r="P2393" s="49">
        <v>69</v>
      </c>
      <c r="Q2393" s="49">
        <v>68.7</v>
      </c>
      <c r="R2393" s="46">
        <f t="shared" si="78"/>
        <v>0.29999999999999716</v>
      </c>
      <c r="T2393" s="21">
        <v>46086</v>
      </c>
      <c r="U2393" s="22" t="s">
        <v>53</v>
      </c>
      <c r="V2393" s="24">
        <v>4</v>
      </c>
      <c r="W2393" s="24">
        <v>4</v>
      </c>
      <c r="X2393" s="24">
        <v>4</v>
      </c>
      <c r="Y2393" s="24">
        <v>4</v>
      </c>
      <c r="Z2393" s="20">
        <f t="shared" si="79"/>
        <v>16</v>
      </c>
    </row>
    <row r="2394" spans="1:26" x14ac:dyDescent="0.2">
      <c r="A2394" s="21"/>
      <c r="B2394" s="20"/>
      <c r="C2394" s="22"/>
      <c r="D2394" s="22"/>
      <c r="E2394" s="24"/>
      <c r="F2394" s="22"/>
      <c r="H2394" s="21">
        <v>46032</v>
      </c>
      <c r="I2394" s="22" t="s">
        <v>70</v>
      </c>
      <c r="J2394" s="22" t="s">
        <v>57</v>
      </c>
      <c r="K2394" s="24" t="s">
        <v>63</v>
      </c>
      <c r="M2394" s="21">
        <v>46118</v>
      </c>
      <c r="N2394" s="22" t="s">
        <v>70</v>
      </c>
      <c r="O2394" s="22" t="s">
        <v>46</v>
      </c>
      <c r="P2394" s="49">
        <v>82</v>
      </c>
      <c r="Q2394" s="49">
        <v>82</v>
      </c>
      <c r="R2394" s="46">
        <f t="shared" si="78"/>
        <v>0</v>
      </c>
      <c r="T2394" s="21">
        <v>46086</v>
      </c>
      <c r="U2394" s="22" t="s">
        <v>57</v>
      </c>
      <c r="V2394" s="24">
        <v>4</v>
      </c>
      <c r="W2394" s="24">
        <v>3</v>
      </c>
      <c r="X2394" s="24">
        <v>4</v>
      </c>
      <c r="Y2394" s="24">
        <v>4</v>
      </c>
      <c r="Z2394" s="20">
        <f t="shared" si="79"/>
        <v>15</v>
      </c>
    </row>
    <row r="2395" spans="1:26" x14ac:dyDescent="0.2">
      <c r="A2395" s="21"/>
      <c r="B2395" s="20"/>
      <c r="C2395" s="22"/>
      <c r="D2395" s="22"/>
      <c r="E2395" s="24"/>
      <c r="F2395" s="22"/>
      <c r="H2395" s="21">
        <v>46032</v>
      </c>
      <c r="I2395" s="22" t="s">
        <v>70</v>
      </c>
      <c r="J2395" s="22" t="s">
        <v>42</v>
      </c>
      <c r="K2395" s="24" t="s">
        <v>63</v>
      </c>
      <c r="M2395" s="21">
        <v>46118</v>
      </c>
      <c r="N2395" s="22" t="s">
        <v>70</v>
      </c>
      <c r="O2395" s="22" t="s">
        <v>47</v>
      </c>
      <c r="P2395" s="49">
        <v>72.400000000000006</v>
      </c>
      <c r="Q2395" s="49">
        <v>72</v>
      </c>
      <c r="R2395" s="46">
        <f t="shared" si="78"/>
        <v>0.40000000000000568</v>
      </c>
      <c r="T2395" s="21">
        <v>46086</v>
      </c>
      <c r="U2395" s="22" t="s">
        <v>33</v>
      </c>
      <c r="V2395" s="24">
        <v>3.7692307692307701</v>
      </c>
      <c r="W2395" s="24">
        <v>3.6153846153846199</v>
      </c>
      <c r="X2395" s="24">
        <v>3.7692307692307701</v>
      </c>
      <c r="Y2395" s="24">
        <v>4</v>
      </c>
      <c r="Z2395" s="20">
        <f t="shared" si="79"/>
        <v>15.15384615384616</v>
      </c>
    </row>
    <row r="2396" spans="1:26" x14ac:dyDescent="0.2">
      <c r="A2396" s="21"/>
      <c r="B2396" s="20"/>
      <c r="C2396" s="22"/>
      <c r="D2396" s="22"/>
      <c r="E2396" s="24"/>
      <c r="F2396" s="22"/>
      <c r="H2396" s="21">
        <v>46032</v>
      </c>
      <c r="I2396" s="22" t="s">
        <v>70</v>
      </c>
      <c r="J2396" s="22" t="s">
        <v>47</v>
      </c>
      <c r="K2396" s="24" t="s">
        <v>60</v>
      </c>
      <c r="M2396" s="21">
        <v>46118</v>
      </c>
      <c r="N2396" s="22" t="s">
        <v>70</v>
      </c>
      <c r="O2396" s="22" t="s">
        <v>49</v>
      </c>
      <c r="P2396" s="49">
        <v>78.5</v>
      </c>
      <c r="Q2396" s="49">
        <v>78</v>
      </c>
      <c r="R2396" s="46">
        <f t="shared" si="78"/>
        <v>0.5</v>
      </c>
      <c r="T2396" s="21">
        <v>46087</v>
      </c>
      <c r="U2396" s="22" t="s">
        <v>41</v>
      </c>
      <c r="V2396" s="24">
        <v>1</v>
      </c>
      <c r="W2396" s="24">
        <v>1</v>
      </c>
      <c r="X2396" s="24">
        <v>1</v>
      </c>
      <c r="Y2396" s="24">
        <v>1</v>
      </c>
      <c r="Z2396" s="20">
        <f t="shared" si="79"/>
        <v>4</v>
      </c>
    </row>
    <row r="2397" spans="1:26" x14ac:dyDescent="0.2">
      <c r="A2397" s="21"/>
      <c r="B2397" s="20"/>
      <c r="C2397" s="22"/>
      <c r="D2397" s="22"/>
      <c r="E2397" s="24"/>
      <c r="F2397" s="22"/>
      <c r="H2397" s="21">
        <v>46032</v>
      </c>
      <c r="I2397" s="22" t="s">
        <v>70</v>
      </c>
      <c r="J2397" s="22" t="s">
        <v>41</v>
      </c>
      <c r="K2397" s="24">
        <v>9</v>
      </c>
      <c r="M2397" s="21">
        <v>46118</v>
      </c>
      <c r="N2397" s="22" t="s">
        <v>70</v>
      </c>
      <c r="O2397" s="22" t="s">
        <v>50</v>
      </c>
      <c r="P2397" s="49">
        <v>66.900000000000006</v>
      </c>
      <c r="Q2397" s="49">
        <v>66.8</v>
      </c>
      <c r="R2397" s="46">
        <f t="shared" si="78"/>
        <v>0.10000000000000853</v>
      </c>
      <c r="T2397" s="21">
        <v>46087</v>
      </c>
      <c r="U2397" s="22" t="s">
        <v>42</v>
      </c>
      <c r="V2397" s="24">
        <v>5</v>
      </c>
      <c r="W2397" s="24">
        <v>5</v>
      </c>
      <c r="X2397" s="24">
        <v>5</v>
      </c>
      <c r="Y2397" s="24">
        <v>5</v>
      </c>
      <c r="Z2397" s="20">
        <f t="shared" si="79"/>
        <v>20</v>
      </c>
    </row>
    <row r="2398" spans="1:26" x14ac:dyDescent="0.2">
      <c r="A2398" s="21"/>
      <c r="B2398" s="20"/>
      <c r="C2398" s="22"/>
      <c r="D2398" s="22"/>
      <c r="E2398" s="24"/>
      <c r="F2398" s="22"/>
      <c r="H2398" s="21">
        <v>46032</v>
      </c>
      <c r="I2398" s="22" t="s">
        <v>70</v>
      </c>
      <c r="J2398" s="22" t="s">
        <v>58</v>
      </c>
      <c r="K2398" s="24" t="s">
        <v>63</v>
      </c>
      <c r="M2398" s="21">
        <v>46118</v>
      </c>
      <c r="N2398" s="22" t="s">
        <v>70</v>
      </c>
      <c r="O2398" s="22" t="s">
        <v>51</v>
      </c>
      <c r="P2398" s="49">
        <v>75.7</v>
      </c>
      <c r="Q2398" s="49">
        <v>75.8</v>
      </c>
      <c r="R2398" s="46">
        <f t="shared" si="78"/>
        <v>-9.9999999999994316E-2</v>
      </c>
      <c r="T2398" s="21">
        <v>46087</v>
      </c>
      <c r="U2398" s="22" t="s">
        <v>44</v>
      </c>
      <c r="V2398" s="24">
        <v>5</v>
      </c>
      <c r="W2398" s="24">
        <v>5</v>
      </c>
      <c r="X2398" s="24">
        <v>5</v>
      </c>
      <c r="Y2398" s="24">
        <v>5</v>
      </c>
      <c r="Z2398" s="20">
        <f t="shared" si="79"/>
        <v>20</v>
      </c>
    </row>
    <row r="2399" spans="1:26" x14ac:dyDescent="0.2">
      <c r="A2399" s="21"/>
      <c r="B2399" s="20"/>
      <c r="C2399" s="22"/>
      <c r="D2399" s="22"/>
      <c r="E2399" s="24"/>
      <c r="F2399" s="22"/>
      <c r="H2399" s="21">
        <v>46032</v>
      </c>
      <c r="I2399" s="22" t="s">
        <v>70</v>
      </c>
      <c r="J2399" s="22" t="s">
        <v>49</v>
      </c>
      <c r="K2399" s="24">
        <v>9</v>
      </c>
      <c r="M2399" s="21">
        <v>46118</v>
      </c>
      <c r="N2399" s="22" t="s">
        <v>70</v>
      </c>
      <c r="O2399" s="22" t="s">
        <v>52</v>
      </c>
      <c r="P2399" s="49">
        <v>71.5</v>
      </c>
      <c r="Q2399" s="49">
        <v>71</v>
      </c>
      <c r="R2399" s="46">
        <f t="shared" si="78"/>
        <v>0.5</v>
      </c>
      <c r="T2399" s="21">
        <v>46087</v>
      </c>
      <c r="U2399" s="22" t="s">
        <v>45</v>
      </c>
      <c r="V2399" s="24">
        <v>5</v>
      </c>
      <c r="W2399" s="24">
        <v>4</v>
      </c>
      <c r="X2399" s="24">
        <v>3</v>
      </c>
      <c r="Y2399" s="24">
        <v>5</v>
      </c>
      <c r="Z2399" s="20">
        <f t="shared" si="79"/>
        <v>17</v>
      </c>
    </row>
    <row r="2400" spans="1:26" x14ac:dyDescent="0.2">
      <c r="A2400" s="21"/>
      <c r="B2400" s="20"/>
      <c r="C2400" s="22"/>
      <c r="D2400" s="22"/>
      <c r="E2400" s="24"/>
      <c r="F2400" s="22"/>
      <c r="H2400" s="21">
        <v>46032</v>
      </c>
      <c r="I2400" s="22" t="s">
        <v>70</v>
      </c>
      <c r="J2400" s="22" t="s">
        <v>50</v>
      </c>
      <c r="K2400" s="24">
        <v>9</v>
      </c>
      <c r="M2400" s="21">
        <v>46118</v>
      </c>
      <c r="N2400" s="22" t="s">
        <v>70</v>
      </c>
      <c r="O2400" s="22" t="s">
        <v>53</v>
      </c>
      <c r="P2400" s="49">
        <v>68.3</v>
      </c>
      <c r="Q2400" s="49">
        <v>68</v>
      </c>
      <c r="R2400" s="46">
        <f t="shared" si="78"/>
        <v>0.29999999999999716</v>
      </c>
      <c r="T2400" s="21">
        <v>46087</v>
      </c>
      <c r="U2400" s="22" t="s">
        <v>46</v>
      </c>
      <c r="V2400" s="24">
        <v>4</v>
      </c>
      <c r="W2400" s="24">
        <v>5</v>
      </c>
      <c r="X2400" s="24">
        <v>5</v>
      </c>
      <c r="Y2400" s="24">
        <v>5</v>
      </c>
      <c r="Z2400" s="20">
        <f t="shared" si="79"/>
        <v>19</v>
      </c>
    </row>
    <row r="2401" spans="1:26" x14ac:dyDescent="0.2">
      <c r="A2401" s="21"/>
      <c r="B2401" s="20"/>
      <c r="C2401" s="22"/>
      <c r="D2401" s="22"/>
      <c r="E2401" s="24"/>
      <c r="F2401" s="22"/>
      <c r="H2401" s="21">
        <v>46032</v>
      </c>
      <c r="I2401" s="22" t="s">
        <v>70</v>
      </c>
      <c r="J2401" s="22" t="s">
        <v>51</v>
      </c>
      <c r="K2401" s="24">
        <v>9</v>
      </c>
      <c r="M2401" s="21">
        <v>46118</v>
      </c>
      <c r="N2401" s="22" t="s">
        <v>70</v>
      </c>
      <c r="O2401" s="22" t="s">
        <v>56</v>
      </c>
      <c r="P2401" s="49">
        <v>74.5</v>
      </c>
      <c r="Q2401" s="49">
        <v>74.3</v>
      </c>
      <c r="R2401" s="46">
        <f t="shared" si="78"/>
        <v>0.20000000000000284</v>
      </c>
      <c r="T2401" s="21">
        <v>46087</v>
      </c>
      <c r="U2401" s="22" t="s">
        <v>47</v>
      </c>
      <c r="V2401" s="24">
        <v>5</v>
      </c>
      <c r="W2401" s="24">
        <v>5</v>
      </c>
      <c r="X2401" s="24">
        <v>5</v>
      </c>
      <c r="Y2401" s="24">
        <v>5</v>
      </c>
      <c r="Z2401" s="20">
        <f t="shared" si="79"/>
        <v>20</v>
      </c>
    </row>
    <row r="2402" spans="1:26" x14ac:dyDescent="0.2">
      <c r="A2402" s="21"/>
      <c r="B2402" s="20"/>
      <c r="C2402" s="22"/>
      <c r="D2402" s="22"/>
      <c r="E2402" s="24"/>
      <c r="F2402" s="22"/>
      <c r="H2402" s="21">
        <v>46032</v>
      </c>
      <c r="I2402" s="22" t="s">
        <v>70</v>
      </c>
      <c r="J2402" s="22" t="s">
        <v>46</v>
      </c>
      <c r="K2402" s="24">
        <v>9</v>
      </c>
      <c r="M2402" s="21">
        <v>46118</v>
      </c>
      <c r="N2402" s="22" t="s">
        <v>70</v>
      </c>
      <c r="O2402" s="22" t="s">
        <v>57</v>
      </c>
      <c r="P2402" s="49">
        <v>90.3</v>
      </c>
      <c r="Q2402" s="49">
        <v>90</v>
      </c>
      <c r="R2402" s="46">
        <f t="shared" si="78"/>
        <v>0.29999999999999716</v>
      </c>
      <c r="T2402" s="21">
        <v>46087</v>
      </c>
      <c r="U2402" s="22" t="s">
        <v>48</v>
      </c>
      <c r="V2402" s="24">
        <v>5</v>
      </c>
      <c r="W2402" s="24">
        <v>5</v>
      </c>
      <c r="X2402" s="24">
        <v>5</v>
      </c>
      <c r="Y2402" s="24">
        <v>5</v>
      </c>
      <c r="Z2402" s="20">
        <f t="shared" si="79"/>
        <v>20</v>
      </c>
    </row>
    <row r="2403" spans="1:26" x14ac:dyDescent="0.2">
      <c r="A2403" s="21"/>
      <c r="B2403" s="20"/>
      <c r="C2403" s="22"/>
      <c r="D2403" s="22"/>
      <c r="E2403" s="24"/>
      <c r="F2403" s="22"/>
      <c r="H2403" s="21">
        <v>46032</v>
      </c>
      <c r="I2403" s="22" t="s">
        <v>70</v>
      </c>
      <c r="J2403" s="22" t="s">
        <v>48</v>
      </c>
      <c r="K2403" s="24">
        <v>9</v>
      </c>
      <c r="M2403" s="21">
        <v>46118</v>
      </c>
      <c r="N2403" s="22" t="s">
        <v>70</v>
      </c>
      <c r="O2403" s="22" t="s">
        <v>58</v>
      </c>
      <c r="P2403" s="49">
        <v>76.5</v>
      </c>
      <c r="Q2403" s="49">
        <v>76.5</v>
      </c>
      <c r="R2403" s="46">
        <f t="shared" si="78"/>
        <v>0</v>
      </c>
      <c r="T2403" s="21">
        <v>46087</v>
      </c>
      <c r="U2403" s="22" t="s">
        <v>49</v>
      </c>
      <c r="V2403" s="24">
        <v>5</v>
      </c>
      <c r="W2403" s="24">
        <v>4</v>
      </c>
      <c r="X2403" s="24">
        <v>4</v>
      </c>
      <c r="Y2403" s="24">
        <v>5</v>
      </c>
      <c r="Z2403" s="20">
        <f t="shared" si="79"/>
        <v>18</v>
      </c>
    </row>
    <row r="2404" spans="1:26" x14ac:dyDescent="0.2">
      <c r="A2404" s="21"/>
      <c r="B2404" s="20"/>
      <c r="C2404" s="22"/>
      <c r="D2404" s="22"/>
      <c r="E2404" s="24"/>
      <c r="F2404" s="22"/>
      <c r="H2404" s="21">
        <v>46032</v>
      </c>
      <c r="I2404" s="22" t="s">
        <v>70</v>
      </c>
      <c r="J2404" s="22" t="s">
        <v>56</v>
      </c>
      <c r="K2404" s="24" t="s">
        <v>63</v>
      </c>
      <c r="M2404" s="21">
        <v>46119</v>
      </c>
      <c r="N2404" s="22" t="s">
        <v>70</v>
      </c>
      <c r="O2404" s="22" t="s">
        <v>41</v>
      </c>
      <c r="P2404" s="49">
        <v>77</v>
      </c>
      <c r="Q2404" s="49">
        <v>76.099999999999994</v>
      </c>
      <c r="R2404" s="46">
        <f t="shared" si="78"/>
        <v>0.90000000000000568</v>
      </c>
      <c r="T2404" s="21">
        <v>46087</v>
      </c>
      <c r="U2404" s="22" t="s">
        <v>50</v>
      </c>
      <c r="V2404" s="24">
        <v>5</v>
      </c>
      <c r="W2404" s="24">
        <v>4</v>
      </c>
      <c r="X2404" s="24">
        <v>4</v>
      </c>
      <c r="Y2404" s="24">
        <v>5</v>
      </c>
      <c r="Z2404" s="20">
        <f t="shared" si="79"/>
        <v>18</v>
      </c>
    </row>
    <row r="2405" spans="1:26" x14ac:dyDescent="0.2">
      <c r="A2405" s="21"/>
      <c r="B2405" s="20"/>
      <c r="C2405" s="22"/>
      <c r="D2405" s="22"/>
      <c r="E2405" s="24"/>
      <c r="F2405" s="22"/>
      <c r="H2405" s="21">
        <v>46041</v>
      </c>
      <c r="I2405" s="22" t="s">
        <v>70</v>
      </c>
      <c r="J2405" s="22" t="s">
        <v>52</v>
      </c>
      <c r="K2405" s="24">
        <v>7</v>
      </c>
      <c r="M2405" s="21">
        <v>46119</v>
      </c>
      <c r="N2405" s="22" t="s">
        <v>70</v>
      </c>
      <c r="O2405" s="22" t="s">
        <v>42</v>
      </c>
      <c r="P2405" s="49">
        <v>79.400000000000006</v>
      </c>
      <c r="Q2405" s="49">
        <v>79</v>
      </c>
      <c r="R2405" s="46">
        <f t="shared" si="78"/>
        <v>0.40000000000000568</v>
      </c>
      <c r="T2405" s="21">
        <v>46087</v>
      </c>
      <c r="U2405" s="22" t="s">
        <v>51</v>
      </c>
      <c r="V2405" s="24">
        <v>5</v>
      </c>
      <c r="W2405" s="24">
        <v>5</v>
      </c>
      <c r="X2405" s="24">
        <v>5</v>
      </c>
      <c r="Y2405" s="24">
        <v>5</v>
      </c>
      <c r="Z2405" s="20">
        <f t="shared" si="79"/>
        <v>20</v>
      </c>
    </row>
    <row r="2406" spans="1:26" x14ac:dyDescent="0.2">
      <c r="A2406" s="21"/>
      <c r="B2406" s="20"/>
      <c r="C2406" s="22"/>
      <c r="D2406" s="22"/>
      <c r="E2406" s="24"/>
      <c r="F2406" s="22"/>
      <c r="H2406" s="21">
        <v>46041</v>
      </c>
      <c r="I2406" s="22" t="s">
        <v>70</v>
      </c>
      <c r="J2406" s="22" t="s">
        <v>53</v>
      </c>
      <c r="K2406" s="24">
        <v>7</v>
      </c>
      <c r="M2406" s="21">
        <v>46119</v>
      </c>
      <c r="N2406" s="22" t="s">
        <v>70</v>
      </c>
      <c r="O2406" s="22" t="s">
        <v>45</v>
      </c>
      <c r="P2406" s="49">
        <v>69</v>
      </c>
      <c r="Q2406" s="49">
        <v>69</v>
      </c>
      <c r="R2406" s="46">
        <f t="shared" si="78"/>
        <v>0</v>
      </c>
      <c r="T2406" s="21">
        <v>46087</v>
      </c>
      <c r="U2406" s="22" t="s">
        <v>53</v>
      </c>
      <c r="V2406" s="24">
        <v>4</v>
      </c>
      <c r="W2406" s="24">
        <v>4</v>
      </c>
      <c r="X2406" s="24">
        <v>3</v>
      </c>
      <c r="Y2406" s="24">
        <v>5</v>
      </c>
      <c r="Z2406" s="20">
        <f t="shared" si="79"/>
        <v>16</v>
      </c>
    </row>
    <row r="2407" spans="1:26" x14ac:dyDescent="0.2">
      <c r="A2407" s="21"/>
      <c r="B2407" s="20"/>
      <c r="C2407" s="22"/>
      <c r="D2407" s="22"/>
      <c r="E2407" s="24"/>
      <c r="F2407" s="22"/>
      <c r="H2407" s="21">
        <v>46041</v>
      </c>
      <c r="I2407" s="22" t="s">
        <v>70</v>
      </c>
      <c r="J2407" s="22" t="s">
        <v>44</v>
      </c>
      <c r="K2407" s="24" t="s">
        <v>64</v>
      </c>
      <c r="M2407" s="21">
        <v>46119</v>
      </c>
      <c r="N2407" s="22" t="s">
        <v>70</v>
      </c>
      <c r="O2407" s="22" t="s">
        <v>46</v>
      </c>
      <c r="P2407" s="49">
        <v>82</v>
      </c>
      <c r="Q2407" s="49">
        <v>81.7</v>
      </c>
      <c r="R2407" s="46">
        <f t="shared" si="78"/>
        <v>0.29999999999999716</v>
      </c>
      <c r="T2407" s="21">
        <v>46087</v>
      </c>
      <c r="U2407" s="22" t="s">
        <v>57</v>
      </c>
      <c r="V2407" s="24">
        <v>5</v>
      </c>
      <c r="W2407" s="24">
        <v>4</v>
      </c>
      <c r="X2407" s="24">
        <v>5</v>
      </c>
      <c r="Y2407" s="24">
        <v>5</v>
      </c>
      <c r="Z2407" s="20">
        <f t="shared" si="79"/>
        <v>19</v>
      </c>
    </row>
    <row r="2408" spans="1:26" x14ac:dyDescent="0.2">
      <c r="A2408" s="21"/>
      <c r="B2408" s="20"/>
      <c r="C2408" s="22"/>
      <c r="D2408" s="22"/>
      <c r="E2408" s="24"/>
      <c r="F2408" s="22"/>
      <c r="H2408" s="21">
        <v>46041</v>
      </c>
      <c r="I2408" s="22" t="s">
        <v>70</v>
      </c>
      <c r="J2408" s="22" t="s">
        <v>45</v>
      </c>
      <c r="K2408" s="24">
        <v>8</v>
      </c>
      <c r="M2408" s="21">
        <v>46119</v>
      </c>
      <c r="N2408" s="22" t="s">
        <v>70</v>
      </c>
      <c r="O2408" s="22" t="s">
        <v>47</v>
      </c>
      <c r="P2408" s="49">
        <v>72</v>
      </c>
      <c r="Q2408" s="49">
        <v>72</v>
      </c>
      <c r="R2408" s="46">
        <f t="shared" si="78"/>
        <v>0</v>
      </c>
      <c r="T2408" s="21">
        <v>46087</v>
      </c>
      <c r="U2408" s="22" t="s">
        <v>33</v>
      </c>
      <c r="V2408" s="24">
        <v>4.5</v>
      </c>
      <c r="W2408" s="24">
        <v>4.25</v>
      </c>
      <c r="X2408" s="24">
        <v>4.1666666666666696</v>
      </c>
      <c r="Y2408" s="24">
        <v>4.6666666666666696</v>
      </c>
      <c r="Z2408" s="20">
        <f t="shared" si="79"/>
        <v>17.583333333333339</v>
      </c>
    </row>
    <row r="2409" spans="1:26" x14ac:dyDescent="0.2">
      <c r="A2409" s="21"/>
      <c r="B2409" s="20"/>
      <c r="C2409" s="22"/>
      <c r="D2409" s="22"/>
      <c r="E2409" s="24"/>
      <c r="F2409" s="22"/>
      <c r="H2409" s="21">
        <v>46041</v>
      </c>
      <c r="I2409" s="22" t="s">
        <v>70</v>
      </c>
      <c r="J2409" s="22" t="s">
        <v>57</v>
      </c>
      <c r="K2409" s="24">
        <v>8</v>
      </c>
      <c r="M2409" s="21">
        <v>46119</v>
      </c>
      <c r="N2409" s="22" t="s">
        <v>70</v>
      </c>
      <c r="O2409" s="22" t="s">
        <v>49</v>
      </c>
      <c r="P2409" s="49">
        <v>79.599999999999994</v>
      </c>
      <c r="Q2409" s="49">
        <v>79</v>
      </c>
      <c r="R2409" s="46">
        <f t="shared" si="78"/>
        <v>0.59999999999999432</v>
      </c>
      <c r="T2409" s="21">
        <v>46090</v>
      </c>
      <c r="U2409" s="22" t="s">
        <v>41</v>
      </c>
      <c r="V2409" s="24">
        <v>1</v>
      </c>
      <c r="W2409" s="24">
        <v>1</v>
      </c>
      <c r="X2409" s="24">
        <v>1</v>
      </c>
      <c r="Y2409" s="24">
        <v>1</v>
      </c>
      <c r="Z2409" s="20">
        <f t="shared" si="79"/>
        <v>4</v>
      </c>
    </row>
    <row r="2410" spans="1:26" x14ac:dyDescent="0.2">
      <c r="A2410" s="21"/>
      <c r="B2410" s="20"/>
      <c r="C2410" s="22"/>
      <c r="D2410" s="22"/>
      <c r="E2410" s="24"/>
      <c r="F2410" s="22"/>
      <c r="H2410" s="21">
        <v>46041</v>
      </c>
      <c r="I2410" s="22" t="s">
        <v>70</v>
      </c>
      <c r="J2410" s="22" t="s">
        <v>42</v>
      </c>
      <c r="K2410" s="24">
        <v>3</v>
      </c>
      <c r="M2410" s="21">
        <v>46119</v>
      </c>
      <c r="N2410" s="22" t="s">
        <v>70</v>
      </c>
      <c r="O2410" s="22" t="s">
        <v>50</v>
      </c>
      <c r="P2410" s="49">
        <v>66.900000000000006</v>
      </c>
      <c r="Q2410" s="49">
        <v>65.599999999999994</v>
      </c>
      <c r="R2410" s="46">
        <f t="shared" si="78"/>
        <v>1.3000000000000114</v>
      </c>
      <c r="T2410" s="21">
        <v>46090</v>
      </c>
      <c r="U2410" s="22" t="s">
        <v>42</v>
      </c>
      <c r="V2410" s="24">
        <v>4</v>
      </c>
      <c r="W2410" s="24">
        <v>4</v>
      </c>
      <c r="X2410" s="24">
        <v>4</v>
      </c>
      <c r="Y2410" s="24">
        <v>4</v>
      </c>
      <c r="Z2410" s="20">
        <f t="shared" si="79"/>
        <v>16</v>
      </c>
    </row>
    <row r="2411" spans="1:26" x14ac:dyDescent="0.2">
      <c r="A2411" s="21"/>
      <c r="B2411" s="20"/>
      <c r="C2411" s="22"/>
      <c r="D2411" s="22"/>
      <c r="E2411" s="24"/>
      <c r="F2411" s="22"/>
      <c r="H2411" s="21">
        <v>46041</v>
      </c>
      <c r="I2411" s="22" t="s">
        <v>70</v>
      </c>
      <c r="J2411" s="22" t="s">
        <v>47</v>
      </c>
      <c r="K2411" s="24" t="s">
        <v>64</v>
      </c>
      <c r="M2411" s="21">
        <v>46119</v>
      </c>
      <c r="N2411" s="22" t="s">
        <v>70</v>
      </c>
      <c r="O2411" s="22" t="s">
        <v>51</v>
      </c>
      <c r="P2411" s="49">
        <v>75.8</v>
      </c>
      <c r="Q2411" s="49">
        <v>75.7</v>
      </c>
      <c r="R2411" s="46">
        <f t="shared" si="78"/>
        <v>9.9999999999994316E-2</v>
      </c>
      <c r="T2411" s="21">
        <v>46090</v>
      </c>
      <c r="U2411" s="22" t="s">
        <v>44</v>
      </c>
      <c r="V2411" s="24">
        <v>5</v>
      </c>
      <c r="W2411" s="24">
        <v>4</v>
      </c>
      <c r="X2411" s="24">
        <v>3</v>
      </c>
      <c r="Y2411" s="24">
        <v>5</v>
      </c>
      <c r="Z2411" s="20">
        <f t="shared" si="79"/>
        <v>17</v>
      </c>
    </row>
    <row r="2412" spans="1:26" x14ac:dyDescent="0.2">
      <c r="A2412" s="21"/>
      <c r="B2412" s="20"/>
      <c r="C2412" s="22"/>
      <c r="D2412" s="22"/>
      <c r="E2412" s="24"/>
      <c r="F2412" s="22"/>
      <c r="H2412" s="21">
        <v>46041</v>
      </c>
      <c r="I2412" s="22" t="s">
        <v>70</v>
      </c>
      <c r="J2412" s="22" t="s">
        <v>41</v>
      </c>
      <c r="K2412" s="24">
        <v>2</v>
      </c>
      <c r="M2412" s="21">
        <v>46119</v>
      </c>
      <c r="N2412" s="22" t="s">
        <v>70</v>
      </c>
      <c r="O2412" s="22" t="s">
        <v>52</v>
      </c>
      <c r="P2412" s="49">
        <v>71</v>
      </c>
      <c r="Q2412" s="49">
        <v>71</v>
      </c>
      <c r="R2412" s="46">
        <f t="shared" si="78"/>
        <v>0</v>
      </c>
      <c r="T2412" s="21">
        <v>46090</v>
      </c>
      <c r="U2412" s="22" t="s">
        <v>45</v>
      </c>
      <c r="V2412" s="24">
        <v>5</v>
      </c>
      <c r="W2412" s="24">
        <v>4</v>
      </c>
      <c r="X2412" s="24">
        <v>3</v>
      </c>
      <c r="Y2412" s="24">
        <v>5</v>
      </c>
      <c r="Z2412" s="20">
        <f t="shared" si="79"/>
        <v>17</v>
      </c>
    </row>
    <row r="2413" spans="1:26" x14ac:dyDescent="0.2">
      <c r="A2413" s="21"/>
      <c r="B2413" s="20"/>
      <c r="C2413" s="22"/>
      <c r="D2413" s="22"/>
      <c r="E2413" s="24"/>
      <c r="F2413" s="22"/>
      <c r="H2413" s="21">
        <v>46041</v>
      </c>
      <c r="I2413" s="22" t="s">
        <v>70</v>
      </c>
      <c r="J2413" s="22" t="s">
        <v>58</v>
      </c>
      <c r="K2413" s="24">
        <v>8</v>
      </c>
      <c r="M2413" s="21">
        <v>46119</v>
      </c>
      <c r="N2413" s="22" t="s">
        <v>70</v>
      </c>
      <c r="O2413" s="22" t="s">
        <v>56</v>
      </c>
      <c r="P2413" s="49">
        <v>74.2</v>
      </c>
      <c r="Q2413" s="49">
        <v>74.2</v>
      </c>
      <c r="R2413" s="46">
        <f t="shared" si="78"/>
        <v>0</v>
      </c>
      <c r="T2413" s="21">
        <v>46090</v>
      </c>
      <c r="U2413" s="22" t="s">
        <v>46</v>
      </c>
      <c r="V2413" s="24">
        <v>5</v>
      </c>
      <c r="W2413" s="24">
        <v>3</v>
      </c>
      <c r="X2413" s="24">
        <v>4</v>
      </c>
      <c r="Y2413" s="24">
        <v>5</v>
      </c>
      <c r="Z2413" s="20">
        <f t="shared" si="79"/>
        <v>17</v>
      </c>
    </row>
    <row r="2414" spans="1:26" x14ac:dyDescent="0.2">
      <c r="A2414" s="21"/>
      <c r="B2414" s="20"/>
      <c r="C2414" s="22"/>
      <c r="D2414" s="22"/>
      <c r="E2414" s="24"/>
      <c r="F2414" s="22"/>
      <c r="H2414" s="21">
        <v>46041</v>
      </c>
      <c r="I2414" s="22" t="s">
        <v>70</v>
      </c>
      <c r="J2414" s="22" t="s">
        <v>49</v>
      </c>
      <c r="K2414" s="24">
        <v>7</v>
      </c>
      <c r="M2414" s="21">
        <v>46119</v>
      </c>
      <c r="N2414" s="22" t="s">
        <v>70</v>
      </c>
      <c r="O2414" s="22" t="s">
        <v>57</v>
      </c>
      <c r="P2414" s="49">
        <v>90.5</v>
      </c>
      <c r="Q2414" s="49">
        <v>90</v>
      </c>
      <c r="R2414" s="46">
        <f t="shared" si="78"/>
        <v>0.5</v>
      </c>
      <c r="T2414" s="21">
        <v>46090</v>
      </c>
      <c r="U2414" s="22" t="s">
        <v>47</v>
      </c>
      <c r="V2414" s="24">
        <v>4</v>
      </c>
      <c r="W2414" s="24">
        <v>4</v>
      </c>
      <c r="X2414" s="24">
        <v>4</v>
      </c>
      <c r="Y2414" s="24">
        <v>3</v>
      </c>
      <c r="Z2414" s="20">
        <f t="shared" si="79"/>
        <v>15</v>
      </c>
    </row>
    <row r="2415" spans="1:26" x14ac:dyDescent="0.2">
      <c r="A2415" s="21"/>
      <c r="B2415" s="20"/>
      <c r="C2415" s="22"/>
      <c r="D2415" s="22"/>
      <c r="E2415" s="24"/>
      <c r="F2415" s="22"/>
      <c r="H2415" s="21">
        <v>46041</v>
      </c>
      <c r="I2415" s="22" t="s">
        <v>70</v>
      </c>
      <c r="J2415" s="22" t="s">
        <v>50</v>
      </c>
      <c r="K2415" s="24">
        <v>7</v>
      </c>
      <c r="M2415" s="21">
        <v>46119</v>
      </c>
      <c r="N2415" s="22" t="s">
        <v>70</v>
      </c>
      <c r="O2415" s="22" t="s">
        <v>58</v>
      </c>
      <c r="P2415" s="49">
        <v>76.5</v>
      </c>
      <c r="Q2415" s="49">
        <v>76.5</v>
      </c>
      <c r="R2415" s="46">
        <f t="shared" si="78"/>
        <v>0</v>
      </c>
      <c r="T2415" s="21">
        <v>46090</v>
      </c>
      <c r="U2415" s="22" t="s">
        <v>48</v>
      </c>
      <c r="V2415" s="24">
        <v>3</v>
      </c>
      <c r="W2415" s="24">
        <v>5</v>
      </c>
      <c r="X2415" s="24">
        <v>3</v>
      </c>
      <c r="Y2415" s="24">
        <v>5</v>
      </c>
      <c r="Z2415" s="20">
        <f t="shared" si="79"/>
        <v>16</v>
      </c>
    </row>
    <row r="2416" spans="1:26" x14ac:dyDescent="0.2">
      <c r="A2416" s="21"/>
      <c r="B2416" s="20"/>
      <c r="C2416" s="22"/>
      <c r="D2416" s="22"/>
      <c r="E2416" s="24"/>
      <c r="F2416" s="22"/>
      <c r="H2416" s="21">
        <v>46041</v>
      </c>
      <c r="I2416" s="22" t="s">
        <v>70</v>
      </c>
      <c r="J2416" s="22" t="s">
        <v>51</v>
      </c>
      <c r="K2416" s="24">
        <v>8</v>
      </c>
      <c r="M2416" s="21">
        <v>46120</v>
      </c>
      <c r="N2416" s="22" t="s">
        <v>70</v>
      </c>
      <c r="O2416" s="22" t="s">
        <v>41</v>
      </c>
      <c r="P2416" s="49">
        <v>77</v>
      </c>
      <c r="Q2416" s="49">
        <v>76.099999999999994</v>
      </c>
      <c r="R2416" s="46">
        <f t="shared" si="78"/>
        <v>0.90000000000000568</v>
      </c>
      <c r="T2416" s="21">
        <v>46090</v>
      </c>
      <c r="U2416" s="22" t="s">
        <v>49</v>
      </c>
      <c r="V2416" s="24">
        <v>3</v>
      </c>
      <c r="W2416" s="24">
        <v>4</v>
      </c>
      <c r="X2416" s="24">
        <v>4</v>
      </c>
      <c r="Y2416" s="24">
        <v>4</v>
      </c>
      <c r="Z2416" s="20">
        <f t="shared" si="79"/>
        <v>15</v>
      </c>
    </row>
    <row r="2417" spans="1:26" x14ac:dyDescent="0.2">
      <c r="A2417" s="21"/>
      <c r="B2417" s="20"/>
      <c r="C2417" s="22"/>
      <c r="D2417" s="22"/>
      <c r="E2417" s="24"/>
      <c r="F2417" s="22"/>
      <c r="H2417" s="21">
        <v>46041</v>
      </c>
      <c r="I2417" s="22" t="s">
        <v>70</v>
      </c>
      <c r="J2417" s="22" t="s">
        <v>46</v>
      </c>
      <c r="K2417" s="24">
        <v>8</v>
      </c>
      <c r="M2417" s="21">
        <v>46120</v>
      </c>
      <c r="N2417" s="22" t="s">
        <v>70</v>
      </c>
      <c r="O2417" s="22" t="s">
        <v>42</v>
      </c>
      <c r="P2417" s="49">
        <v>79.8</v>
      </c>
      <c r="Q2417" s="49">
        <v>79</v>
      </c>
      <c r="R2417" s="46">
        <f t="shared" si="78"/>
        <v>0.79999999999999716</v>
      </c>
      <c r="T2417" s="21">
        <v>46090</v>
      </c>
      <c r="U2417" s="22" t="s">
        <v>50</v>
      </c>
      <c r="V2417" s="24">
        <v>3</v>
      </c>
      <c r="W2417" s="24">
        <v>4</v>
      </c>
      <c r="X2417" s="24">
        <v>2</v>
      </c>
      <c r="Y2417" s="24">
        <v>4</v>
      </c>
      <c r="Z2417" s="20">
        <f t="shared" si="79"/>
        <v>13</v>
      </c>
    </row>
    <row r="2418" spans="1:26" x14ac:dyDescent="0.2">
      <c r="A2418" s="21"/>
      <c r="B2418" s="20"/>
      <c r="C2418" s="22"/>
      <c r="D2418" s="22"/>
      <c r="E2418" s="24"/>
      <c r="F2418" s="22"/>
      <c r="H2418" s="21">
        <v>46041</v>
      </c>
      <c r="I2418" s="22" t="s">
        <v>70</v>
      </c>
      <c r="J2418" s="22" t="s">
        <v>48</v>
      </c>
      <c r="K2418" s="24" t="s">
        <v>64</v>
      </c>
      <c r="M2418" s="21">
        <v>46120</v>
      </c>
      <c r="N2418" s="22" t="s">
        <v>70</v>
      </c>
      <c r="O2418" s="22" t="s">
        <v>45</v>
      </c>
      <c r="P2418" s="49">
        <v>69</v>
      </c>
      <c r="Q2418" s="49">
        <v>69</v>
      </c>
      <c r="R2418" s="46">
        <f t="shared" si="78"/>
        <v>0</v>
      </c>
      <c r="T2418" s="21">
        <v>46090</v>
      </c>
      <c r="U2418" s="22" t="s">
        <v>51</v>
      </c>
      <c r="V2418" s="24">
        <v>3</v>
      </c>
      <c r="W2418" s="24">
        <v>4</v>
      </c>
      <c r="X2418" s="24">
        <v>5</v>
      </c>
      <c r="Y2418" s="24">
        <v>4</v>
      </c>
      <c r="Z2418" s="20">
        <f t="shared" si="79"/>
        <v>16</v>
      </c>
    </row>
    <row r="2419" spans="1:26" x14ac:dyDescent="0.2">
      <c r="A2419" s="21"/>
      <c r="B2419" s="20"/>
      <c r="C2419" s="22"/>
      <c r="D2419" s="22"/>
      <c r="E2419" s="24"/>
      <c r="F2419" s="22"/>
      <c r="H2419" s="21">
        <v>46041</v>
      </c>
      <c r="I2419" s="22" t="s">
        <v>70</v>
      </c>
      <c r="J2419" s="22" t="s">
        <v>56</v>
      </c>
      <c r="K2419" s="24">
        <v>8</v>
      </c>
      <c r="M2419" s="21">
        <v>46120</v>
      </c>
      <c r="N2419" s="22" t="s">
        <v>70</v>
      </c>
      <c r="O2419" s="22" t="s">
        <v>46</v>
      </c>
      <c r="P2419" s="49">
        <v>81.8</v>
      </c>
      <c r="Q2419" s="49">
        <v>82</v>
      </c>
      <c r="R2419" s="46">
        <f t="shared" si="78"/>
        <v>-0.20000000000000284</v>
      </c>
      <c r="T2419" s="21">
        <v>46090</v>
      </c>
      <c r="U2419" s="22" t="s">
        <v>52</v>
      </c>
      <c r="V2419" s="24">
        <v>4</v>
      </c>
      <c r="W2419" s="24">
        <v>4</v>
      </c>
      <c r="X2419" s="24">
        <v>4</v>
      </c>
      <c r="Y2419" s="24">
        <v>4</v>
      </c>
      <c r="Z2419" s="20">
        <f t="shared" si="79"/>
        <v>16</v>
      </c>
    </row>
    <row r="2420" spans="1:26" x14ac:dyDescent="0.2">
      <c r="A2420" s="21"/>
      <c r="B2420" s="20"/>
      <c r="C2420" s="22"/>
      <c r="D2420" s="22"/>
      <c r="E2420" s="24"/>
      <c r="F2420" s="22"/>
      <c r="H2420" s="21">
        <v>46041</v>
      </c>
      <c r="I2420" s="22" t="s">
        <v>71</v>
      </c>
      <c r="J2420" s="22" t="s">
        <v>52</v>
      </c>
      <c r="K2420" s="24">
        <v>9</v>
      </c>
      <c r="M2420" s="21">
        <v>46120</v>
      </c>
      <c r="N2420" s="22" t="s">
        <v>70</v>
      </c>
      <c r="O2420" s="22" t="s">
        <v>47</v>
      </c>
      <c r="P2420" s="49">
        <v>71.8</v>
      </c>
      <c r="Q2420" s="49">
        <v>71</v>
      </c>
      <c r="R2420" s="46">
        <f t="shared" si="78"/>
        <v>0.79999999999999716</v>
      </c>
      <c r="T2420" s="21">
        <v>46090</v>
      </c>
      <c r="U2420" s="22" t="s">
        <v>53</v>
      </c>
      <c r="V2420" s="24">
        <v>4</v>
      </c>
      <c r="W2420" s="24">
        <v>4</v>
      </c>
      <c r="X2420" s="24">
        <v>4</v>
      </c>
      <c r="Y2420" s="24">
        <v>5</v>
      </c>
      <c r="Z2420" s="20">
        <f t="shared" si="79"/>
        <v>17</v>
      </c>
    </row>
    <row r="2421" spans="1:26" x14ac:dyDescent="0.2">
      <c r="A2421" s="21"/>
      <c r="B2421" s="20"/>
      <c r="C2421" s="22"/>
      <c r="D2421" s="22"/>
      <c r="E2421" s="24"/>
      <c r="F2421" s="22"/>
      <c r="H2421" s="21">
        <v>46041</v>
      </c>
      <c r="I2421" s="22" t="s">
        <v>71</v>
      </c>
      <c r="J2421" s="22" t="s">
        <v>53</v>
      </c>
      <c r="K2421" s="24">
        <v>9</v>
      </c>
      <c r="M2421" s="21">
        <v>46120</v>
      </c>
      <c r="N2421" s="22" t="s">
        <v>70</v>
      </c>
      <c r="O2421" s="22" t="s">
        <v>48</v>
      </c>
      <c r="P2421" s="49">
        <v>80.900000000000006</v>
      </c>
      <c r="Q2421" s="49">
        <v>80.5</v>
      </c>
      <c r="R2421" s="46">
        <f t="shared" si="78"/>
        <v>0.40000000000000568</v>
      </c>
      <c r="T2421" s="21">
        <v>46090</v>
      </c>
      <c r="U2421" s="22" t="s">
        <v>58</v>
      </c>
      <c r="V2421" s="24">
        <v>5</v>
      </c>
      <c r="W2421" s="24">
        <v>4</v>
      </c>
      <c r="X2421" s="24">
        <v>4</v>
      </c>
      <c r="Y2421" s="24">
        <v>5</v>
      </c>
      <c r="Z2421" s="20">
        <f t="shared" si="79"/>
        <v>18</v>
      </c>
    </row>
    <row r="2422" spans="1:26" x14ac:dyDescent="0.2">
      <c r="A2422" s="21"/>
      <c r="B2422" s="20"/>
      <c r="C2422" s="22"/>
      <c r="D2422" s="22"/>
      <c r="E2422" s="24"/>
      <c r="F2422" s="22"/>
      <c r="H2422" s="21">
        <v>46041</v>
      </c>
      <c r="I2422" s="22" t="s">
        <v>71</v>
      </c>
      <c r="J2422" s="22" t="s">
        <v>44</v>
      </c>
      <c r="K2422" s="24" t="s">
        <v>64</v>
      </c>
      <c r="M2422" s="21">
        <v>46120</v>
      </c>
      <c r="N2422" s="22" t="s">
        <v>70</v>
      </c>
      <c r="O2422" s="22" t="s">
        <v>49</v>
      </c>
      <c r="P2422" s="49">
        <v>79</v>
      </c>
      <c r="Q2422" s="49">
        <v>79</v>
      </c>
      <c r="R2422" s="46">
        <f t="shared" si="78"/>
        <v>0</v>
      </c>
      <c r="T2422" s="21">
        <v>46090</v>
      </c>
      <c r="U2422" s="22" t="s">
        <v>33</v>
      </c>
      <c r="V2422" s="24">
        <v>3.7692307692307701</v>
      </c>
      <c r="W2422" s="24">
        <v>3.7692307692307701</v>
      </c>
      <c r="X2422" s="24">
        <v>3.4615384615384599</v>
      </c>
      <c r="Y2422" s="24">
        <v>4.1538461538461497</v>
      </c>
      <c r="Z2422" s="20">
        <f t="shared" si="79"/>
        <v>15.15384615384615</v>
      </c>
    </row>
    <row r="2423" spans="1:26" x14ac:dyDescent="0.2">
      <c r="A2423" s="21"/>
      <c r="B2423" s="20"/>
      <c r="C2423" s="22"/>
      <c r="D2423" s="22"/>
      <c r="E2423" s="24"/>
      <c r="F2423" s="22"/>
      <c r="H2423" s="21">
        <v>46041</v>
      </c>
      <c r="I2423" s="22" t="s">
        <v>71</v>
      </c>
      <c r="J2423" s="22" t="s">
        <v>45</v>
      </c>
      <c r="K2423" s="24">
        <v>9</v>
      </c>
      <c r="M2423" s="21">
        <v>46120</v>
      </c>
      <c r="N2423" s="22" t="s">
        <v>70</v>
      </c>
      <c r="O2423" s="22" t="s">
        <v>50</v>
      </c>
      <c r="P2423" s="49">
        <v>67</v>
      </c>
      <c r="Q2423" s="49">
        <v>66.5</v>
      </c>
      <c r="R2423" s="46">
        <f t="shared" si="78"/>
        <v>0.5</v>
      </c>
      <c r="T2423" s="21">
        <v>46091</v>
      </c>
      <c r="U2423" s="22" t="s">
        <v>41</v>
      </c>
      <c r="V2423" s="24">
        <v>1</v>
      </c>
      <c r="W2423" s="24">
        <v>1</v>
      </c>
      <c r="X2423" s="24">
        <v>1</v>
      </c>
      <c r="Y2423" s="24">
        <v>1</v>
      </c>
      <c r="Z2423" s="20">
        <f t="shared" si="79"/>
        <v>4</v>
      </c>
    </row>
    <row r="2424" spans="1:26" x14ac:dyDescent="0.2">
      <c r="A2424" s="21"/>
      <c r="B2424" s="20"/>
      <c r="C2424" s="22"/>
      <c r="D2424" s="22"/>
      <c r="E2424" s="24"/>
      <c r="F2424" s="22"/>
      <c r="H2424" s="21">
        <v>46041</v>
      </c>
      <c r="I2424" s="22" t="s">
        <v>71</v>
      </c>
      <c r="J2424" s="22" t="s">
        <v>57</v>
      </c>
      <c r="K2424" s="24">
        <v>9</v>
      </c>
      <c r="M2424" s="21">
        <v>46120</v>
      </c>
      <c r="N2424" s="22" t="s">
        <v>70</v>
      </c>
      <c r="O2424" s="22" t="s">
        <v>51</v>
      </c>
      <c r="P2424" s="49">
        <v>75.8</v>
      </c>
      <c r="Q2424" s="49">
        <v>75.7</v>
      </c>
      <c r="R2424" s="46">
        <f t="shared" si="78"/>
        <v>9.9999999999994316E-2</v>
      </c>
      <c r="T2424" s="21">
        <v>46091</v>
      </c>
      <c r="U2424" s="22" t="s">
        <v>42</v>
      </c>
      <c r="V2424" s="24">
        <v>4</v>
      </c>
      <c r="W2424" s="24">
        <v>4</v>
      </c>
      <c r="X2424" s="24">
        <v>4</v>
      </c>
      <c r="Y2424" s="24">
        <v>4</v>
      </c>
      <c r="Z2424" s="20">
        <f t="shared" si="79"/>
        <v>16</v>
      </c>
    </row>
    <row r="2425" spans="1:26" x14ac:dyDescent="0.2">
      <c r="A2425" s="21"/>
      <c r="B2425" s="20"/>
      <c r="C2425" s="22"/>
      <c r="D2425" s="22"/>
      <c r="E2425" s="24"/>
      <c r="F2425" s="22"/>
      <c r="H2425" s="21">
        <v>46041</v>
      </c>
      <c r="I2425" s="22" t="s">
        <v>71</v>
      </c>
      <c r="J2425" s="22" t="s">
        <v>42</v>
      </c>
      <c r="K2425" s="24">
        <v>2</v>
      </c>
      <c r="M2425" s="21">
        <v>46120</v>
      </c>
      <c r="N2425" s="22" t="s">
        <v>70</v>
      </c>
      <c r="O2425" s="22" t="s">
        <v>52</v>
      </c>
      <c r="P2425" s="49">
        <v>71.400000000000006</v>
      </c>
      <c r="Q2425" s="49">
        <v>71.400000000000006</v>
      </c>
      <c r="R2425" s="46">
        <f t="shared" si="78"/>
        <v>0</v>
      </c>
      <c r="T2425" s="21">
        <v>46091</v>
      </c>
      <c r="U2425" s="22" t="s">
        <v>45</v>
      </c>
      <c r="V2425" s="24">
        <v>4</v>
      </c>
      <c r="W2425" s="24">
        <v>4</v>
      </c>
      <c r="X2425" s="24">
        <v>4</v>
      </c>
      <c r="Y2425" s="24">
        <v>5</v>
      </c>
      <c r="Z2425" s="20">
        <f t="shared" si="79"/>
        <v>17</v>
      </c>
    </row>
    <row r="2426" spans="1:26" x14ac:dyDescent="0.2">
      <c r="A2426" s="21"/>
      <c r="B2426" s="20"/>
      <c r="C2426" s="22"/>
      <c r="D2426" s="22"/>
      <c r="E2426" s="24"/>
      <c r="F2426" s="22"/>
      <c r="H2426" s="21">
        <v>46041</v>
      </c>
      <c r="I2426" s="22" t="s">
        <v>71</v>
      </c>
      <c r="J2426" s="22" t="s">
        <v>47</v>
      </c>
      <c r="K2426" s="24" t="s">
        <v>64</v>
      </c>
      <c r="M2426" s="21">
        <v>46120</v>
      </c>
      <c r="N2426" s="22" t="s">
        <v>70</v>
      </c>
      <c r="O2426" s="22" t="s">
        <v>53</v>
      </c>
      <c r="P2426" s="49">
        <v>68.5</v>
      </c>
      <c r="Q2426" s="49">
        <v>68.5</v>
      </c>
      <c r="R2426" s="46">
        <f t="shared" si="78"/>
        <v>0</v>
      </c>
      <c r="T2426" s="21">
        <v>46091</v>
      </c>
      <c r="U2426" s="22" t="s">
        <v>46</v>
      </c>
      <c r="V2426" s="24">
        <v>5</v>
      </c>
      <c r="W2426" s="24">
        <v>4</v>
      </c>
      <c r="X2426" s="24">
        <v>4</v>
      </c>
      <c r="Y2426" s="24">
        <v>5</v>
      </c>
      <c r="Z2426" s="20">
        <f t="shared" si="79"/>
        <v>18</v>
      </c>
    </row>
    <row r="2427" spans="1:26" x14ac:dyDescent="0.2">
      <c r="A2427" s="21"/>
      <c r="B2427" s="20"/>
      <c r="C2427" s="22"/>
      <c r="D2427" s="22"/>
      <c r="E2427" s="24"/>
      <c r="F2427" s="22"/>
      <c r="H2427" s="21">
        <v>46041</v>
      </c>
      <c r="I2427" s="22" t="s">
        <v>71</v>
      </c>
      <c r="J2427" s="22" t="s">
        <v>41</v>
      </c>
      <c r="K2427" s="24">
        <v>2</v>
      </c>
      <c r="M2427" s="21">
        <v>46120</v>
      </c>
      <c r="N2427" s="22" t="s">
        <v>70</v>
      </c>
      <c r="O2427" s="22" t="s">
        <v>55</v>
      </c>
      <c r="P2427" s="49">
        <v>76.400000000000006</v>
      </c>
      <c r="Q2427" s="49">
        <v>76.3</v>
      </c>
      <c r="R2427" s="46">
        <f t="shared" si="78"/>
        <v>0.10000000000000853</v>
      </c>
      <c r="T2427" s="21">
        <v>46091</v>
      </c>
      <c r="U2427" s="22" t="s">
        <v>47</v>
      </c>
      <c r="V2427" s="24">
        <v>4</v>
      </c>
      <c r="W2427" s="24">
        <v>4</v>
      </c>
      <c r="X2427" s="24">
        <v>4</v>
      </c>
      <c r="Y2427" s="24">
        <v>3</v>
      </c>
      <c r="Z2427" s="20">
        <f t="shared" si="79"/>
        <v>15</v>
      </c>
    </row>
    <row r="2428" spans="1:26" x14ac:dyDescent="0.2">
      <c r="A2428" s="21"/>
      <c r="B2428" s="20"/>
      <c r="C2428" s="22"/>
      <c r="D2428" s="22"/>
      <c r="E2428" s="24"/>
      <c r="F2428" s="22"/>
      <c r="H2428" s="21">
        <v>46041</v>
      </c>
      <c r="I2428" s="22" t="s">
        <v>71</v>
      </c>
      <c r="J2428" s="22" t="s">
        <v>49</v>
      </c>
      <c r="K2428" s="24">
        <v>9</v>
      </c>
      <c r="M2428" s="21">
        <v>46120</v>
      </c>
      <c r="N2428" s="22" t="s">
        <v>70</v>
      </c>
      <c r="O2428" s="22" t="s">
        <v>56</v>
      </c>
      <c r="P2428" s="49">
        <v>74.2</v>
      </c>
      <c r="Q2428" s="49">
        <v>74.2</v>
      </c>
      <c r="R2428" s="46">
        <f t="shared" si="78"/>
        <v>0</v>
      </c>
      <c r="T2428" s="21">
        <v>46091</v>
      </c>
      <c r="U2428" s="22" t="s">
        <v>48</v>
      </c>
      <c r="V2428" s="24">
        <v>3</v>
      </c>
      <c r="W2428" s="24">
        <v>5</v>
      </c>
      <c r="X2428" s="24">
        <v>4</v>
      </c>
      <c r="Y2428" s="24">
        <v>5</v>
      </c>
      <c r="Z2428" s="20">
        <f t="shared" si="79"/>
        <v>17</v>
      </c>
    </row>
    <row r="2429" spans="1:26" x14ac:dyDescent="0.2">
      <c r="A2429" s="21"/>
      <c r="B2429" s="20"/>
      <c r="C2429" s="22"/>
      <c r="D2429" s="22"/>
      <c r="E2429" s="24"/>
      <c r="F2429" s="22"/>
      <c r="H2429" s="21">
        <v>46041</v>
      </c>
      <c r="I2429" s="22" t="s">
        <v>71</v>
      </c>
      <c r="J2429" s="22" t="s">
        <v>50</v>
      </c>
      <c r="K2429" s="24">
        <v>9</v>
      </c>
      <c r="M2429" s="21">
        <v>46120</v>
      </c>
      <c r="N2429" s="22" t="s">
        <v>70</v>
      </c>
      <c r="O2429" s="22" t="s">
        <v>57</v>
      </c>
      <c r="P2429" s="49">
        <v>90.3</v>
      </c>
      <c r="Q2429" s="49">
        <v>90</v>
      </c>
      <c r="R2429" s="46">
        <f t="shared" si="78"/>
        <v>0.29999999999999716</v>
      </c>
      <c r="T2429" s="21">
        <v>46091</v>
      </c>
      <c r="U2429" s="22" t="s">
        <v>49</v>
      </c>
      <c r="V2429" s="24">
        <v>3</v>
      </c>
      <c r="W2429" s="24">
        <v>3</v>
      </c>
      <c r="X2429" s="24">
        <v>3</v>
      </c>
      <c r="Y2429" s="24">
        <v>4</v>
      </c>
      <c r="Z2429" s="20">
        <f t="shared" si="79"/>
        <v>13</v>
      </c>
    </row>
    <row r="2430" spans="1:26" x14ac:dyDescent="0.2">
      <c r="A2430" s="21"/>
      <c r="B2430" s="20"/>
      <c r="C2430" s="22"/>
      <c r="D2430" s="22"/>
      <c r="E2430" s="24"/>
      <c r="F2430" s="22"/>
      <c r="H2430" s="21">
        <v>46041</v>
      </c>
      <c r="I2430" s="22" t="s">
        <v>71</v>
      </c>
      <c r="J2430" s="22" t="s">
        <v>51</v>
      </c>
      <c r="K2430" s="24">
        <v>9</v>
      </c>
      <c r="M2430" s="21">
        <v>46120</v>
      </c>
      <c r="N2430" s="22" t="s">
        <v>70</v>
      </c>
      <c r="O2430" s="22" t="s">
        <v>58</v>
      </c>
      <c r="P2430" s="49">
        <v>76.5</v>
      </c>
      <c r="Q2430" s="49">
        <v>76.5</v>
      </c>
      <c r="R2430" s="46">
        <f t="shared" si="78"/>
        <v>0</v>
      </c>
      <c r="T2430" s="21">
        <v>46091</v>
      </c>
      <c r="U2430" s="22" t="s">
        <v>50</v>
      </c>
      <c r="V2430" s="24">
        <v>3</v>
      </c>
      <c r="W2430" s="24">
        <v>5</v>
      </c>
      <c r="X2430" s="24">
        <v>3</v>
      </c>
      <c r="Y2430" s="24">
        <v>3</v>
      </c>
      <c r="Z2430" s="20">
        <f t="shared" si="79"/>
        <v>14</v>
      </c>
    </row>
    <row r="2431" spans="1:26" x14ac:dyDescent="0.2">
      <c r="A2431" s="21"/>
      <c r="B2431" s="20"/>
      <c r="C2431" s="22"/>
      <c r="D2431" s="22"/>
      <c r="E2431" s="24"/>
      <c r="F2431" s="22"/>
      <c r="H2431" s="21">
        <v>46041</v>
      </c>
      <c r="I2431" s="22" t="s">
        <v>71</v>
      </c>
      <c r="J2431" s="22" t="s">
        <v>46</v>
      </c>
      <c r="K2431" s="24">
        <v>9</v>
      </c>
      <c r="M2431" s="21">
        <v>46121</v>
      </c>
      <c r="N2431" s="22" t="s">
        <v>70</v>
      </c>
      <c r="O2431" s="22" t="s">
        <v>41</v>
      </c>
      <c r="P2431" s="49">
        <v>77</v>
      </c>
      <c r="Q2431" s="49">
        <v>76</v>
      </c>
      <c r="R2431" s="46">
        <f t="shared" si="78"/>
        <v>1</v>
      </c>
      <c r="T2431" s="21">
        <v>46091</v>
      </c>
      <c r="U2431" s="22" t="s">
        <v>51</v>
      </c>
      <c r="V2431" s="24">
        <v>4</v>
      </c>
      <c r="W2431" s="24">
        <v>4</v>
      </c>
      <c r="X2431" s="24">
        <v>4</v>
      </c>
      <c r="Y2431" s="24">
        <v>4</v>
      </c>
      <c r="Z2431" s="20">
        <f t="shared" si="79"/>
        <v>16</v>
      </c>
    </row>
    <row r="2432" spans="1:26" x14ac:dyDescent="0.2">
      <c r="A2432" s="21"/>
      <c r="B2432" s="20"/>
      <c r="C2432" s="22"/>
      <c r="D2432" s="22"/>
      <c r="E2432" s="24"/>
      <c r="F2432" s="22"/>
      <c r="H2432" s="21">
        <v>46041</v>
      </c>
      <c r="I2432" s="22" t="s">
        <v>71</v>
      </c>
      <c r="J2432" s="22" t="s">
        <v>48</v>
      </c>
      <c r="K2432" s="24" t="s">
        <v>64</v>
      </c>
      <c r="M2432" s="21">
        <v>46121</v>
      </c>
      <c r="N2432" s="22" t="s">
        <v>70</v>
      </c>
      <c r="O2432" s="22" t="s">
        <v>42</v>
      </c>
      <c r="P2432" s="49">
        <v>79</v>
      </c>
      <c r="Q2432" s="49">
        <v>78.900000000000006</v>
      </c>
      <c r="R2432" s="46">
        <f t="shared" si="78"/>
        <v>9.9999999999994316E-2</v>
      </c>
      <c r="T2432" s="21">
        <v>46091</v>
      </c>
      <c r="U2432" s="22" t="s">
        <v>52</v>
      </c>
      <c r="V2432" s="24">
        <v>4</v>
      </c>
      <c r="W2432" s="24">
        <v>4</v>
      </c>
      <c r="X2432" s="24">
        <v>4</v>
      </c>
      <c r="Y2432" s="24">
        <v>4</v>
      </c>
      <c r="Z2432" s="20">
        <f t="shared" si="79"/>
        <v>16</v>
      </c>
    </row>
    <row r="2433" spans="1:26" x14ac:dyDescent="0.2">
      <c r="A2433" s="21"/>
      <c r="B2433" s="20"/>
      <c r="C2433" s="22"/>
      <c r="D2433" s="22"/>
      <c r="E2433" s="24"/>
      <c r="F2433" s="22"/>
      <c r="H2433" s="21">
        <v>46041</v>
      </c>
      <c r="I2433" s="22" t="s">
        <v>71</v>
      </c>
      <c r="J2433" s="22" t="s">
        <v>56</v>
      </c>
      <c r="K2433" s="24">
        <v>9</v>
      </c>
      <c r="M2433" s="21">
        <v>46121</v>
      </c>
      <c r="N2433" s="22" t="s">
        <v>70</v>
      </c>
      <c r="O2433" s="22" t="s">
        <v>46</v>
      </c>
      <c r="P2433" s="49">
        <v>82</v>
      </c>
      <c r="Q2433" s="49">
        <v>82.5</v>
      </c>
      <c r="R2433" s="46">
        <f t="shared" si="78"/>
        <v>-0.5</v>
      </c>
      <c r="T2433" s="21">
        <v>46091</v>
      </c>
      <c r="U2433" s="22" t="s">
        <v>53</v>
      </c>
      <c r="V2433" s="24">
        <v>4</v>
      </c>
      <c r="W2433" s="24">
        <v>4</v>
      </c>
      <c r="X2433" s="24">
        <v>4</v>
      </c>
      <c r="Y2433" s="24">
        <v>5</v>
      </c>
      <c r="Z2433" s="20">
        <f t="shared" si="79"/>
        <v>17</v>
      </c>
    </row>
    <row r="2434" spans="1:26" x14ac:dyDescent="0.2">
      <c r="A2434" s="21"/>
      <c r="B2434" s="20"/>
      <c r="C2434" s="22"/>
      <c r="D2434" s="22"/>
      <c r="E2434" s="24"/>
      <c r="F2434" s="22"/>
      <c r="H2434" s="21">
        <v>46042</v>
      </c>
      <c r="I2434" s="22" t="s">
        <v>71</v>
      </c>
      <c r="J2434" s="22" t="s">
        <v>52</v>
      </c>
      <c r="K2434" s="24">
        <v>8</v>
      </c>
      <c r="M2434" s="21">
        <v>46121</v>
      </c>
      <c r="N2434" s="22" t="s">
        <v>70</v>
      </c>
      <c r="O2434" s="22" t="s">
        <v>47</v>
      </c>
      <c r="P2434" s="49">
        <v>71</v>
      </c>
      <c r="Q2434" s="49">
        <v>71</v>
      </c>
      <c r="R2434" s="46">
        <f t="shared" si="78"/>
        <v>0</v>
      </c>
      <c r="T2434" s="21">
        <v>46091</v>
      </c>
      <c r="U2434" s="22" t="s">
        <v>56</v>
      </c>
      <c r="V2434" s="24">
        <v>5</v>
      </c>
      <c r="W2434" s="24">
        <v>4</v>
      </c>
      <c r="X2434" s="24">
        <v>4</v>
      </c>
      <c r="Y2434" s="24">
        <v>5</v>
      </c>
      <c r="Z2434" s="20">
        <f t="shared" si="79"/>
        <v>18</v>
      </c>
    </row>
    <row r="2435" spans="1:26" x14ac:dyDescent="0.2">
      <c r="A2435" s="21"/>
      <c r="B2435" s="20"/>
      <c r="C2435" s="22"/>
      <c r="D2435" s="22"/>
      <c r="E2435" s="24"/>
      <c r="F2435" s="22"/>
      <c r="H2435" s="21">
        <v>46042</v>
      </c>
      <c r="I2435" s="22" t="s">
        <v>71</v>
      </c>
      <c r="J2435" s="22" t="s">
        <v>53</v>
      </c>
      <c r="K2435" s="24">
        <v>8</v>
      </c>
      <c r="M2435" s="21">
        <v>46121</v>
      </c>
      <c r="N2435" s="22" t="s">
        <v>70</v>
      </c>
      <c r="O2435" s="22" t="s">
        <v>49</v>
      </c>
      <c r="P2435" s="49">
        <v>79.400000000000006</v>
      </c>
      <c r="Q2435" s="49">
        <v>79.599999999999994</v>
      </c>
      <c r="R2435" s="46">
        <f t="shared" ref="R2435:R2498" si="80">IFERROR(P2435-Q2435,"")</f>
        <v>-0.19999999999998863</v>
      </c>
      <c r="T2435" s="21">
        <v>46091</v>
      </c>
      <c r="U2435" s="22" t="s">
        <v>57</v>
      </c>
      <c r="V2435" s="24">
        <v>4</v>
      </c>
      <c r="W2435" s="24">
        <v>4</v>
      </c>
      <c r="X2435" s="24">
        <v>4</v>
      </c>
      <c r="Y2435" s="24">
        <v>4</v>
      </c>
      <c r="Z2435" s="20">
        <f t="shared" ref="Z2435:Z2498" si="81">SUM(V2435:Y2435)</f>
        <v>16</v>
      </c>
    </row>
    <row r="2436" spans="1:26" x14ac:dyDescent="0.2">
      <c r="A2436" s="21"/>
      <c r="B2436" s="20"/>
      <c r="C2436" s="22"/>
      <c r="D2436" s="22"/>
      <c r="E2436" s="24"/>
      <c r="F2436" s="22"/>
      <c r="H2436" s="21">
        <v>46042</v>
      </c>
      <c r="I2436" s="22" t="s">
        <v>71</v>
      </c>
      <c r="J2436" s="22" t="s">
        <v>44</v>
      </c>
      <c r="K2436" s="24" t="s">
        <v>64</v>
      </c>
      <c r="M2436" s="21">
        <v>46121</v>
      </c>
      <c r="N2436" s="22" t="s">
        <v>70</v>
      </c>
      <c r="O2436" s="22" t="s">
        <v>50</v>
      </c>
      <c r="P2436" s="49">
        <v>67</v>
      </c>
      <c r="Q2436" s="49">
        <v>65.8</v>
      </c>
      <c r="R2436" s="46">
        <f t="shared" si="80"/>
        <v>1.2000000000000028</v>
      </c>
      <c r="T2436" s="21">
        <v>46091</v>
      </c>
      <c r="U2436" s="22" t="s">
        <v>58</v>
      </c>
      <c r="V2436" s="24">
        <v>5</v>
      </c>
      <c r="W2436" s="24">
        <v>5</v>
      </c>
      <c r="X2436" s="24">
        <v>4</v>
      </c>
      <c r="Y2436" s="24">
        <v>5</v>
      </c>
      <c r="Z2436" s="20">
        <f t="shared" si="81"/>
        <v>19</v>
      </c>
    </row>
    <row r="2437" spans="1:26" x14ac:dyDescent="0.2">
      <c r="A2437" s="21"/>
      <c r="B2437" s="20"/>
      <c r="C2437" s="22"/>
      <c r="D2437" s="22"/>
      <c r="E2437" s="24"/>
      <c r="F2437" s="22"/>
      <c r="H2437" s="21">
        <v>46042</v>
      </c>
      <c r="I2437" s="22" t="s">
        <v>71</v>
      </c>
      <c r="J2437" s="22" t="s">
        <v>45</v>
      </c>
      <c r="K2437" s="24">
        <v>9</v>
      </c>
      <c r="M2437" s="21">
        <v>46121</v>
      </c>
      <c r="N2437" s="22" t="s">
        <v>70</v>
      </c>
      <c r="O2437" s="22" t="s">
        <v>51</v>
      </c>
      <c r="P2437" s="49">
        <v>75.599999999999994</v>
      </c>
      <c r="Q2437" s="49">
        <v>75.599999999999994</v>
      </c>
      <c r="R2437" s="46">
        <f t="shared" si="80"/>
        <v>0</v>
      </c>
      <c r="T2437" s="21">
        <v>46091</v>
      </c>
      <c r="U2437" s="22" t="s">
        <v>33</v>
      </c>
      <c r="V2437" s="24">
        <v>3.78571428571429</v>
      </c>
      <c r="W2437" s="24">
        <v>3.9285714285714302</v>
      </c>
      <c r="X2437" s="24">
        <v>3.6428571428571401</v>
      </c>
      <c r="Y2437" s="24">
        <v>4.0714285714285703</v>
      </c>
      <c r="Z2437" s="20">
        <f t="shared" si="81"/>
        <v>15.428571428571431</v>
      </c>
    </row>
    <row r="2438" spans="1:26" x14ac:dyDescent="0.2">
      <c r="A2438" s="21"/>
      <c r="B2438" s="20"/>
      <c r="C2438" s="22"/>
      <c r="D2438" s="22"/>
      <c r="E2438" s="24"/>
      <c r="F2438" s="22"/>
      <c r="H2438" s="21">
        <v>46042</v>
      </c>
      <c r="I2438" s="22" t="s">
        <v>71</v>
      </c>
      <c r="J2438" s="22" t="s">
        <v>57</v>
      </c>
      <c r="K2438" s="24">
        <v>10</v>
      </c>
      <c r="M2438" s="21">
        <v>46121</v>
      </c>
      <c r="N2438" s="22" t="s">
        <v>70</v>
      </c>
      <c r="O2438" s="22" t="s">
        <v>52</v>
      </c>
      <c r="P2438" s="49">
        <v>71.5</v>
      </c>
      <c r="Q2438" s="49">
        <v>71.5</v>
      </c>
      <c r="R2438" s="46">
        <f t="shared" si="80"/>
        <v>0</v>
      </c>
      <c r="T2438" s="21">
        <v>46092</v>
      </c>
      <c r="U2438" s="22" t="s">
        <v>41</v>
      </c>
      <c r="V2438" s="24">
        <v>1</v>
      </c>
      <c r="W2438" s="24">
        <v>1</v>
      </c>
      <c r="X2438" s="24">
        <v>1</v>
      </c>
      <c r="Y2438" s="24">
        <v>1</v>
      </c>
      <c r="Z2438" s="20">
        <f t="shared" si="81"/>
        <v>4</v>
      </c>
    </row>
    <row r="2439" spans="1:26" x14ac:dyDescent="0.2">
      <c r="A2439" s="21"/>
      <c r="B2439" s="20"/>
      <c r="C2439" s="22"/>
      <c r="D2439" s="22"/>
      <c r="E2439" s="24"/>
      <c r="F2439" s="22"/>
      <c r="H2439" s="21">
        <v>46042</v>
      </c>
      <c r="I2439" s="22" t="s">
        <v>71</v>
      </c>
      <c r="J2439" s="22" t="s">
        <v>42</v>
      </c>
      <c r="K2439" s="24">
        <v>3</v>
      </c>
      <c r="M2439" s="21">
        <v>46121</v>
      </c>
      <c r="N2439" s="22" t="s">
        <v>70</v>
      </c>
      <c r="O2439" s="22" t="s">
        <v>56</v>
      </c>
      <c r="P2439" s="49">
        <v>74.5</v>
      </c>
      <c r="Q2439" s="49">
        <v>74</v>
      </c>
      <c r="R2439" s="46">
        <f t="shared" si="80"/>
        <v>0.5</v>
      </c>
      <c r="T2439" s="21">
        <v>46092</v>
      </c>
      <c r="U2439" s="22" t="s">
        <v>42</v>
      </c>
      <c r="V2439" s="24">
        <v>4</v>
      </c>
      <c r="W2439" s="24">
        <v>4</v>
      </c>
      <c r="X2439" s="24">
        <v>4</v>
      </c>
      <c r="Y2439" s="24">
        <v>4</v>
      </c>
      <c r="Z2439" s="20">
        <f t="shared" si="81"/>
        <v>16</v>
      </c>
    </row>
    <row r="2440" spans="1:26" x14ac:dyDescent="0.2">
      <c r="A2440" s="21"/>
      <c r="B2440" s="20"/>
      <c r="C2440" s="22"/>
      <c r="D2440" s="22"/>
      <c r="E2440" s="24"/>
      <c r="F2440" s="22"/>
      <c r="H2440" s="21">
        <v>46042</v>
      </c>
      <c r="I2440" s="22" t="s">
        <v>71</v>
      </c>
      <c r="J2440" s="22" t="s">
        <v>54</v>
      </c>
      <c r="K2440" s="24">
        <v>9</v>
      </c>
      <c r="M2440" s="21">
        <v>46121</v>
      </c>
      <c r="N2440" s="22" t="s">
        <v>70</v>
      </c>
      <c r="O2440" s="22" t="s">
        <v>57</v>
      </c>
      <c r="P2440" s="49">
        <v>90</v>
      </c>
      <c r="Q2440" s="49">
        <v>90.3</v>
      </c>
      <c r="R2440" s="46">
        <f t="shared" si="80"/>
        <v>-0.29999999999999716</v>
      </c>
      <c r="T2440" s="21">
        <v>46092</v>
      </c>
      <c r="U2440" s="22" t="s">
        <v>44</v>
      </c>
      <c r="V2440" s="24">
        <v>5</v>
      </c>
      <c r="W2440" s="24">
        <v>5</v>
      </c>
      <c r="X2440" s="24">
        <v>3</v>
      </c>
      <c r="Y2440" s="24">
        <v>5</v>
      </c>
      <c r="Z2440" s="20">
        <f t="shared" si="81"/>
        <v>18</v>
      </c>
    </row>
    <row r="2441" spans="1:26" x14ac:dyDescent="0.2">
      <c r="A2441" s="21"/>
      <c r="B2441" s="20"/>
      <c r="C2441" s="22"/>
      <c r="D2441" s="22"/>
      <c r="E2441" s="24"/>
      <c r="F2441" s="22"/>
      <c r="H2441" s="21">
        <v>46042</v>
      </c>
      <c r="I2441" s="22" t="s">
        <v>71</v>
      </c>
      <c r="J2441" s="22" t="s">
        <v>47</v>
      </c>
      <c r="K2441" s="24" t="s">
        <v>64</v>
      </c>
      <c r="M2441" s="21">
        <v>46125</v>
      </c>
      <c r="N2441" s="22" t="s">
        <v>70</v>
      </c>
      <c r="O2441" s="22" t="s">
        <v>41</v>
      </c>
      <c r="P2441" s="49">
        <v>77</v>
      </c>
      <c r="Q2441" s="49">
        <v>76.8</v>
      </c>
      <c r="R2441" s="46">
        <f t="shared" si="80"/>
        <v>0.20000000000000284</v>
      </c>
      <c r="T2441" s="21">
        <v>46092</v>
      </c>
      <c r="U2441" s="22" t="s">
        <v>45</v>
      </c>
      <c r="V2441" s="24">
        <v>4</v>
      </c>
      <c r="W2441" s="24">
        <v>4</v>
      </c>
      <c r="X2441" s="24">
        <v>4</v>
      </c>
      <c r="Y2441" s="24">
        <v>5</v>
      </c>
      <c r="Z2441" s="20">
        <f t="shared" si="81"/>
        <v>17</v>
      </c>
    </row>
    <row r="2442" spans="1:26" x14ac:dyDescent="0.2">
      <c r="A2442" s="21"/>
      <c r="B2442" s="20"/>
      <c r="C2442" s="22"/>
      <c r="D2442" s="22"/>
      <c r="E2442" s="24"/>
      <c r="F2442" s="22"/>
      <c r="H2442" s="21">
        <v>46042</v>
      </c>
      <c r="I2442" s="22" t="s">
        <v>71</v>
      </c>
      <c r="J2442" s="22" t="s">
        <v>41</v>
      </c>
      <c r="K2442" s="24">
        <v>5</v>
      </c>
      <c r="M2442" s="21">
        <v>46125</v>
      </c>
      <c r="N2442" s="22" t="s">
        <v>70</v>
      </c>
      <c r="O2442" s="22" t="s">
        <v>42</v>
      </c>
      <c r="P2442" s="49">
        <v>79.5</v>
      </c>
      <c r="Q2442" s="49">
        <v>79</v>
      </c>
      <c r="R2442" s="46">
        <f t="shared" si="80"/>
        <v>0.5</v>
      </c>
      <c r="T2442" s="21">
        <v>46092</v>
      </c>
      <c r="U2442" s="22" t="s">
        <v>46</v>
      </c>
      <c r="V2442" s="24">
        <v>5</v>
      </c>
      <c r="W2442" s="24">
        <v>4</v>
      </c>
      <c r="X2442" s="24">
        <v>5</v>
      </c>
      <c r="Y2442" s="24">
        <v>5</v>
      </c>
      <c r="Z2442" s="20">
        <f t="shared" si="81"/>
        <v>19</v>
      </c>
    </row>
    <row r="2443" spans="1:26" x14ac:dyDescent="0.2">
      <c r="A2443" s="21"/>
      <c r="B2443" s="20"/>
      <c r="C2443" s="22"/>
      <c r="D2443" s="22"/>
      <c r="E2443" s="24"/>
      <c r="F2443" s="22"/>
      <c r="H2443" s="21">
        <v>46042</v>
      </c>
      <c r="I2443" s="22" t="s">
        <v>71</v>
      </c>
      <c r="J2443" s="22" t="s">
        <v>49</v>
      </c>
      <c r="K2443" s="24">
        <v>9</v>
      </c>
      <c r="M2443" s="21">
        <v>46125</v>
      </c>
      <c r="N2443" s="22" t="s">
        <v>70</v>
      </c>
      <c r="O2443" s="22" t="s">
        <v>45</v>
      </c>
      <c r="P2443" s="49">
        <v>69</v>
      </c>
      <c r="Q2443" s="49">
        <v>68.5</v>
      </c>
      <c r="R2443" s="46">
        <f t="shared" si="80"/>
        <v>0.5</v>
      </c>
      <c r="T2443" s="21">
        <v>46092</v>
      </c>
      <c r="U2443" s="22" t="s">
        <v>47</v>
      </c>
      <c r="V2443" s="24">
        <v>5</v>
      </c>
      <c r="W2443" s="24">
        <v>4</v>
      </c>
      <c r="X2443" s="24">
        <v>4</v>
      </c>
      <c r="Y2443" s="24">
        <v>5</v>
      </c>
      <c r="Z2443" s="20">
        <f t="shared" si="81"/>
        <v>18</v>
      </c>
    </row>
    <row r="2444" spans="1:26" x14ac:dyDescent="0.2">
      <c r="A2444" s="21"/>
      <c r="B2444" s="20"/>
      <c r="C2444" s="22"/>
      <c r="D2444" s="22"/>
      <c r="E2444" s="24"/>
      <c r="F2444" s="22"/>
      <c r="H2444" s="21">
        <v>46042</v>
      </c>
      <c r="I2444" s="22" t="s">
        <v>71</v>
      </c>
      <c r="J2444" s="22" t="s">
        <v>50</v>
      </c>
      <c r="K2444" s="24">
        <v>9</v>
      </c>
      <c r="M2444" s="21">
        <v>46125</v>
      </c>
      <c r="N2444" s="22" t="s">
        <v>70</v>
      </c>
      <c r="O2444" s="22" t="s">
        <v>46</v>
      </c>
      <c r="P2444" s="49">
        <v>80.5</v>
      </c>
      <c r="Q2444" s="49">
        <v>81</v>
      </c>
      <c r="R2444" s="46">
        <f t="shared" si="80"/>
        <v>-0.5</v>
      </c>
      <c r="T2444" s="21">
        <v>46092</v>
      </c>
      <c r="U2444" s="22" t="s">
        <v>48</v>
      </c>
      <c r="V2444" s="24">
        <v>5</v>
      </c>
      <c r="W2444" s="24">
        <v>5</v>
      </c>
      <c r="X2444" s="24">
        <v>5</v>
      </c>
      <c r="Y2444" s="24">
        <v>5</v>
      </c>
      <c r="Z2444" s="20">
        <f t="shared" si="81"/>
        <v>20</v>
      </c>
    </row>
    <row r="2445" spans="1:26" x14ac:dyDescent="0.2">
      <c r="A2445" s="21"/>
      <c r="B2445" s="20"/>
      <c r="C2445" s="22"/>
      <c r="D2445" s="22"/>
      <c r="E2445" s="24"/>
      <c r="F2445" s="22"/>
      <c r="H2445" s="21">
        <v>46042</v>
      </c>
      <c r="I2445" s="22" t="s">
        <v>71</v>
      </c>
      <c r="J2445" s="22" t="s">
        <v>51</v>
      </c>
      <c r="K2445" s="24">
        <v>9</v>
      </c>
      <c r="M2445" s="21">
        <v>46125</v>
      </c>
      <c r="N2445" s="22" t="s">
        <v>70</v>
      </c>
      <c r="O2445" s="22" t="s">
        <v>47</v>
      </c>
      <c r="P2445" s="49">
        <v>72</v>
      </c>
      <c r="Q2445" s="49">
        <v>72</v>
      </c>
      <c r="R2445" s="46">
        <f t="shared" si="80"/>
        <v>0</v>
      </c>
      <c r="T2445" s="21">
        <v>46092</v>
      </c>
      <c r="U2445" s="22" t="s">
        <v>49</v>
      </c>
      <c r="V2445" s="24">
        <v>3</v>
      </c>
      <c r="W2445" s="24">
        <v>3</v>
      </c>
      <c r="X2445" s="24">
        <v>3</v>
      </c>
      <c r="Y2445" s="24">
        <v>4</v>
      </c>
      <c r="Z2445" s="20">
        <f t="shared" si="81"/>
        <v>13</v>
      </c>
    </row>
    <row r="2446" spans="1:26" x14ac:dyDescent="0.2">
      <c r="A2446" s="21"/>
      <c r="B2446" s="20"/>
      <c r="C2446" s="22"/>
      <c r="D2446" s="22"/>
      <c r="E2446" s="24"/>
      <c r="F2446" s="22"/>
      <c r="H2446" s="21">
        <v>46042</v>
      </c>
      <c r="I2446" s="22" t="s">
        <v>71</v>
      </c>
      <c r="J2446" s="22" t="s">
        <v>46</v>
      </c>
      <c r="K2446" s="24">
        <v>9</v>
      </c>
      <c r="M2446" s="21">
        <v>46125</v>
      </c>
      <c r="N2446" s="22" t="s">
        <v>70</v>
      </c>
      <c r="O2446" s="22" t="s">
        <v>49</v>
      </c>
      <c r="P2446" s="49">
        <v>79.7</v>
      </c>
      <c r="Q2446" s="49">
        <v>79.400000000000006</v>
      </c>
      <c r="R2446" s="46">
        <f t="shared" si="80"/>
        <v>0.29999999999999716</v>
      </c>
      <c r="T2446" s="21">
        <v>46092</v>
      </c>
      <c r="U2446" s="22" t="s">
        <v>50</v>
      </c>
      <c r="V2446" s="24">
        <v>3</v>
      </c>
      <c r="W2446" s="24">
        <v>5</v>
      </c>
      <c r="X2446" s="24">
        <v>3</v>
      </c>
      <c r="Y2446" s="24">
        <v>4</v>
      </c>
      <c r="Z2446" s="20">
        <f t="shared" si="81"/>
        <v>15</v>
      </c>
    </row>
    <row r="2447" spans="1:26" x14ac:dyDescent="0.2">
      <c r="A2447" s="21"/>
      <c r="B2447" s="20"/>
      <c r="C2447" s="22"/>
      <c r="D2447" s="22"/>
      <c r="E2447" s="24"/>
      <c r="F2447" s="22"/>
      <c r="H2447" s="21">
        <v>46042</v>
      </c>
      <c r="I2447" s="22" t="s">
        <v>71</v>
      </c>
      <c r="J2447" s="22" t="s">
        <v>48</v>
      </c>
      <c r="K2447" s="24" t="s">
        <v>64</v>
      </c>
      <c r="M2447" s="21">
        <v>46125</v>
      </c>
      <c r="N2447" s="22" t="s">
        <v>70</v>
      </c>
      <c r="O2447" s="22" t="s">
        <v>50</v>
      </c>
      <c r="P2447" s="49">
        <v>68</v>
      </c>
      <c r="Q2447" s="49">
        <v>67.5</v>
      </c>
      <c r="R2447" s="46">
        <f t="shared" si="80"/>
        <v>0.5</v>
      </c>
      <c r="T2447" s="21">
        <v>46092</v>
      </c>
      <c r="U2447" s="22" t="s">
        <v>51</v>
      </c>
      <c r="V2447" s="24">
        <v>4</v>
      </c>
      <c r="W2447" s="24">
        <v>4</v>
      </c>
      <c r="X2447" s="24">
        <v>4</v>
      </c>
      <c r="Y2447" s="24">
        <v>4</v>
      </c>
      <c r="Z2447" s="20">
        <f t="shared" si="81"/>
        <v>16</v>
      </c>
    </row>
    <row r="2448" spans="1:26" x14ac:dyDescent="0.2">
      <c r="A2448" s="21"/>
      <c r="B2448" s="20"/>
      <c r="C2448" s="22"/>
      <c r="D2448" s="22"/>
      <c r="E2448" s="24"/>
      <c r="F2448" s="22"/>
      <c r="H2448" s="21">
        <v>46042</v>
      </c>
      <c r="I2448" s="22" t="s">
        <v>71</v>
      </c>
      <c r="J2448" s="22" t="s">
        <v>56</v>
      </c>
      <c r="K2448" s="24">
        <v>10</v>
      </c>
      <c r="M2448" s="21">
        <v>46125</v>
      </c>
      <c r="N2448" s="22" t="s">
        <v>70</v>
      </c>
      <c r="O2448" s="22" t="s">
        <v>51</v>
      </c>
      <c r="P2448" s="49">
        <v>75</v>
      </c>
      <c r="Q2448" s="49">
        <v>74.900000000000006</v>
      </c>
      <c r="R2448" s="46">
        <f t="shared" si="80"/>
        <v>9.9999999999994316E-2</v>
      </c>
      <c r="T2448" s="21">
        <v>46092</v>
      </c>
      <c r="U2448" s="22" t="s">
        <v>52</v>
      </c>
      <c r="V2448" s="24">
        <v>4</v>
      </c>
      <c r="W2448" s="24">
        <v>4</v>
      </c>
      <c r="X2448" s="24">
        <v>4</v>
      </c>
      <c r="Y2448" s="24">
        <v>4</v>
      </c>
      <c r="Z2448" s="20">
        <f t="shared" si="81"/>
        <v>16</v>
      </c>
    </row>
    <row r="2449" spans="1:26" x14ac:dyDescent="0.2">
      <c r="A2449" s="21"/>
      <c r="B2449" s="20"/>
      <c r="C2449" s="22"/>
      <c r="D2449" s="22"/>
      <c r="E2449" s="24"/>
      <c r="F2449" s="22"/>
      <c r="H2449" s="21">
        <v>46043</v>
      </c>
      <c r="I2449" s="22" t="s">
        <v>70</v>
      </c>
      <c r="J2449" s="22" t="s">
        <v>52</v>
      </c>
      <c r="K2449" s="24">
        <v>6</v>
      </c>
      <c r="M2449" s="21">
        <v>46125</v>
      </c>
      <c r="N2449" s="22" t="s">
        <v>70</v>
      </c>
      <c r="O2449" s="22" t="s">
        <v>52</v>
      </c>
      <c r="P2449" s="49">
        <v>71.099999999999994</v>
      </c>
      <c r="Q2449" s="49">
        <v>71.5</v>
      </c>
      <c r="R2449" s="46">
        <f t="shared" si="80"/>
        <v>-0.40000000000000568</v>
      </c>
      <c r="T2449" s="21">
        <v>46092</v>
      </c>
      <c r="U2449" s="22" t="s">
        <v>53</v>
      </c>
      <c r="V2449" s="24">
        <v>4</v>
      </c>
      <c r="W2449" s="24">
        <v>4</v>
      </c>
      <c r="X2449" s="24">
        <v>4</v>
      </c>
      <c r="Y2449" s="24">
        <v>5</v>
      </c>
      <c r="Z2449" s="20">
        <f t="shared" si="81"/>
        <v>17</v>
      </c>
    </row>
    <row r="2450" spans="1:26" x14ac:dyDescent="0.2">
      <c r="A2450" s="21"/>
      <c r="B2450" s="20"/>
      <c r="C2450" s="22"/>
      <c r="D2450" s="22"/>
      <c r="E2450" s="24"/>
      <c r="F2450" s="22"/>
      <c r="H2450" s="21">
        <v>46043</v>
      </c>
      <c r="I2450" s="22" t="s">
        <v>70</v>
      </c>
      <c r="J2450" s="22" t="s">
        <v>53</v>
      </c>
      <c r="K2450" s="24">
        <v>6</v>
      </c>
      <c r="M2450" s="21">
        <v>46125</v>
      </c>
      <c r="N2450" s="22" t="s">
        <v>70</v>
      </c>
      <c r="O2450" s="22" t="s">
        <v>53</v>
      </c>
      <c r="P2450" s="49">
        <v>68.7</v>
      </c>
      <c r="Q2450" s="49">
        <v>68.5</v>
      </c>
      <c r="R2450" s="46">
        <f t="shared" si="80"/>
        <v>0.20000000000000284</v>
      </c>
      <c r="T2450" s="21">
        <v>46092</v>
      </c>
      <c r="U2450" s="22" t="s">
        <v>56</v>
      </c>
      <c r="V2450" s="24">
        <v>4</v>
      </c>
      <c r="W2450" s="24">
        <v>4</v>
      </c>
      <c r="X2450" s="24">
        <v>4</v>
      </c>
      <c r="Y2450" s="24">
        <v>5</v>
      </c>
      <c r="Z2450" s="20">
        <f t="shared" si="81"/>
        <v>17</v>
      </c>
    </row>
    <row r="2451" spans="1:26" x14ac:dyDescent="0.2">
      <c r="A2451" s="21"/>
      <c r="B2451" s="20"/>
      <c r="C2451" s="22"/>
      <c r="D2451" s="22"/>
      <c r="E2451" s="24"/>
      <c r="F2451" s="22"/>
      <c r="H2451" s="21">
        <v>46043</v>
      </c>
      <c r="I2451" s="22" t="s">
        <v>70</v>
      </c>
      <c r="J2451" s="22" t="s">
        <v>44</v>
      </c>
      <c r="K2451" s="24" t="s">
        <v>64</v>
      </c>
      <c r="M2451" s="21">
        <v>46125</v>
      </c>
      <c r="N2451" s="22" t="s">
        <v>70</v>
      </c>
      <c r="O2451" s="22" t="s">
        <v>57</v>
      </c>
      <c r="P2451" s="49">
        <v>90.2</v>
      </c>
      <c r="Q2451" s="49">
        <v>90</v>
      </c>
      <c r="R2451" s="46">
        <f t="shared" si="80"/>
        <v>0.20000000000000284</v>
      </c>
      <c r="T2451" s="21">
        <v>46092</v>
      </c>
      <c r="U2451" s="22" t="s">
        <v>57</v>
      </c>
      <c r="V2451" s="24">
        <v>4</v>
      </c>
      <c r="W2451" s="24">
        <v>4</v>
      </c>
      <c r="X2451" s="24">
        <v>4</v>
      </c>
      <c r="Y2451" s="24">
        <v>4</v>
      </c>
      <c r="Z2451" s="20">
        <f t="shared" si="81"/>
        <v>16</v>
      </c>
    </row>
    <row r="2452" spans="1:26" x14ac:dyDescent="0.2">
      <c r="A2452" s="21"/>
      <c r="B2452" s="20"/>
      <c r="C2452" s="22"/>
      <c r="D2452" s="22"/>
      <c r="E2452" s="24"/>
      <c r="F2452" s="22"/>
      <c r="H2452" s="21">
        <v>46043</v>
      </c>
      <c r="I2452" s="22" t="s">
        <v>70</v>
      </c>
      <c r="J2452" s="22" t="s">
        <v>45</v>
      </c>
      <c r="K2452" s="24">
        <v>7</v>
      </c>
      <c r="M2452" s="21">
        <v>46126</v>
      </c>
      <c r="N2452" s="22" t="s">
        <v>70</v>
      </c>
      <c r="O2452" s="22" t="s">
        <v>41</v>
      </c>
      <c r="P2452" s="49">
        <v>77</v>
      </c>
      <c r="Q2452" s="49">
        <v>77</v>
      </c>
      <c r="R2452" s="46">
        <f t="shared" si="80"/>
        <v>0</v>
      </c>
      <c r="T2452" s="21">
        <v>46092</v>
      </c>
      <c r="U2452" s="22" t="s">
        <v>58</v>
      </c>
      <c r="V2452" s="24">
        <v>5</v>
      </c>
      <c r="W2452" s="24">
        <v>4</v>
      </c>
      <c r="X2452" s="24">
        <v>4</v>
      </c>
      <c r="Y2452" s="24">
        <v>5</v>
      </c>
      <c r="Z2452" s="20">
        <f t="shared" si="81"/>
        <v>18</v>
      </c>
    </row>
    <row r="2453" spans="1:26" x14ac:dyDescent="0.2">
      <c r="A2453" s="21"/>
      <c r="B2453" s="20"/>
      <c r="C2453" s="22"/>
      <c r="D2453" s="22"/>
      <c r="E2453" s="24"/>
      <c r="F2453" s="22"/>
      <c r="H2453" s="21">
        <v>46043</v>
      </c>
      <c r="I2453" s="22" t="s">
        <v>70</v>
      </c>
      <c r="J2453" s="22" t="s">
        <v>42</v>
      </c>
      <c r="K2453" s="24">
        <v>4</v>
      </c>
      <c r="M2453" s="21">
        <v>46126</v>
      </c>
      <c r="N2453" s="22" t="s">
        <v>70</v>
      </c>
      <c r="O2453" s="22" t="s">
        <v>42</v>
      </c>
      <c r="P2453" s="49">
        <v>79</v>
      </c>
      <c r="Q2453" s="49">
        <v>78.7</v>
      </c>
      <c r="R2453" s="46">
        <f t="shared" si="80"/>
        <v>0.29999999999999716</v>
      </c>
      <c r="T2453" s="21">
        <v>46092</v>
      </c>
      <c r="U2453" s="22" t="s">
        <v>33</v>
      </c>
      <c r="V2453" s="24">
        <v>4</v>
      </c>
      <c r="W2453" s="24">
        <v>3.93333333333333</v>
      </c>
      <c r="X2453" s="24">
        <v>3.7333333333333298</v>
      </c>
      <c r="Y2453" s="24">
        <v>4.3333333333333304</v>
      </c>
      <c r="Z2453" s="20">
        <f t="shared" si="81"/>
        <v>15.999999999999991</v>
      </c>
    </row>
    <row r="2454" spans="1:26" x14ac:dyDescent="0.2">
      <c r="A2454" s="21"/>
      <c r="B2454" s="20"/>
      <c r="C2454" s="22"/>
      <c r="D2454" s="22"/>
      <c r="E2454" s="24"/>
      <c r="F2454" s="22"/>
      <c r="H2454" s="21">
        <v>46043</v>
      </c>
      <c r="I2454" s="22" t="s">
        <v>70</v>
      </c>
      <c r="J2454" s="22" t="s">
        <v>47</v>
      </c>
      <c r="K2454" s="24" t="s">
        <v>64</v>
      </c>
      <c r="M2454" s="21">
        <v>46126</v>
      </c>
      <c r="N2454" s="22" t="s">
        <v>70</v>
      </c>
      <c r="O2454" s="22" t="s">
        <v>44</v>
      </c>
      <c r="P2454" s="49">
        <v>67.5</v>
      </c>
      <c r="Q2454" s="49">
        <v>67.400000000000006</v>
      </c>
      <c r="R2454" s="46">
        <f t="shared" si="80"/>
        <v>9.9999999999994316E-2</v>
      </c>
      <c r="T2454" s="21">
        <v>46093</v>
      </c>
      <c r="U2454" s="22" t="s">
        <v>41</v>
      </c>
      <c r="V2454" s="24">
        <v>1</v>
      </c>
      <c r="W2454" s="24">
        <v>1</v>
      </c>
      <c r="X2454" s="24">
        <v>1</v>
      </c>
      <c r="Y2454" s="24">
        <v>1</v>
      </c>
      <c r="Z2454" s="20">
        <f t="shared" si="81"/>
        <v>4</v>
      </c>
    </row>
    <row r="2455" spans="1:26" x14ac:dyDescent="0.2">
      <c r="A2455" s="21"/>
      <c r="B2455" s="20"/>
      <c r="C2455" s="22"/>
      <c r="D2455" s="22"/>
      <c r="E2455" s="24"/>
      <c r="F2455" s="22"/>
      <c r="H2455" s="21">
        <v>46043</v>
      </c>
      <c r="I2455" s="22" t="s">
        <v>70</v>
      </c>
      <c r="J2455" s="22" t="s">
        <v>41</v>
      </c>
      <c r="K2455" s="24">
        <v>4</v>
      </c>
      <c r="M2455" s="21">
        <v>46126</v>
      </c>
      <c r="N2455" s="22" t="s">
        <v>70</v>
      </c>
      <c r="O2455" s="22" t="s">
        <v>45</v>
      </c>
      <c r="P2455" s="49">
        <v>69</v>
      </c>
      <c r="Q2455" s="49">
        <v>69</v>
      </c>
      <c r="R2455" s="46">
        <f t="shared" si="80"/>
        <v>0</v>
      </c>
      <c r="T2455" s="21">
        <v>46093</v>
      </c>
      <c r="U2455" s="22" t="s">
        <v>42</v>
      </c>
      <c r="V2455" s="24">
        <v>4</v>
      </c>
      <c r="W2455" s="24">
        <v>4</v>
      </c>
      <c r="X2455" s="24">
        <v>4</v>
      </c>
      <c r="Y2455" s="24">
        <v>4</v>
      </c>
      <c r="Z2455" s="20">
        <f t="shared" si="81"/>
        <v>16</v>
      </c>
    </row>
    <row r="2456" spans="1:26" x14ac:dyDescent="0.2">
      <c r="A2456" s="21"/>
      <c r="B2456" s="20"/>
      <c r="C2456" s="22"/>
      <c r="D2456" s="22"/>
      <c r="E2456" s="24"/>
      <c r="F2456" s="22"/>
      <c r="H2456" s="21">
        <v>46043</v>
      </c>
      <c r="I2456" s="22" t="s">
        <v>70</v>
      </c>
      <c r="J2456" s="22" t="s">
        <v>58</v>
      </c>
      <c r="K2456" s="24">
        <v>7</v>
      </c>
      <c r="M2456" s="21">
        <v>46126</v>
      </c>
      <c r="N2456" s="22" t="s">
        <v>70</v>
      </c>
      <c r="O2456" s="22" t="s">
        <v>46</v>
      </c>
      <c r="P2456" s="49">
        <v>80.5</v>
      </c>
      <c r="Q2456" s="49">
        <v>81.7</v>
      </c>
      <c r="R2456" s="46">
        <f t="shared" si="80"/>
        <v>-1.2000000000000028</v>
      </c>
      <c r="T2456" s="21">
        <v>46093</v>
      </c>
      <c r="U2456" s="22" t="s">
        <v>44</v>
      </c>
      <c r="V2456" s="24">
        <v>5</v>
      </c>
      <c r="W2456" s="24">
        <v>5</v>
      </c>
      <c r="X2456" s="24">
        <v>4</v>
      </c>
      <c r="Y2456" s="24">
        <v>5</v>
      </c>
      <c r="Z2456" s="20">
        <f t="shared" si="81"/>
        <v>19</v>
      </c>
    </row>
    <row r="2457" spans="1:26" x14ac:dyDescent="0.2">
      <c r="A2457" s="21"/>
      <c r="B2457" s="20"/>
      <c r="C2457" s="22"/>
      <c r="D2457" s="22"/>
      <c r="E2457" s="24"/>
      <c r="F2457" s="22"/>
      <c r="H2457" s="21">
        <v>46043</v>
      </c>
      <c r="I2457" s="22" t="s">
        <v>70</v>
      </c>
      <c r="J2457" s="22" t="s">
        <v>49</v>
      </c>
      <c r="K2457" s="24">
        <v>7</v>
      </c>
      <c r="M2457" s="21">
        <v>46126</v>
      </c>
      <c r="N2457" s="22" t="s">
        <v>70</v>
      </c>
      <c r="O2457" s="22" t="s">
        <v>47</v>
      </c>
      <c r="P2457" s="49">
        <v>72</v>
      </c>
      <c r="Q2457" s="49">
        <v>72</v>
      </c>
      <c r="R2457" s="46">
        <f t="shared" si="80"/>
        <v>0</v>
      </c>
      <c r="T2457" s="21">
        <v>46093</v>
      </c>
      <c r="U2457" s="22" t="s">
        <v>45</v>
      </c>
      <c r="V2457" s="24">
        <v>4</v>
      </c>
      <c r="W2457" s="24">
        <v>4</v>
      </c>
      <c r="X2457" s="24">
        <v>4</v>
      </c>
      <c r="Y2457" s="24">
        <v>5</v>
      </c>
      <c r="Z2457" s="20">
        <f t="shared" si="81"/>
        <v>17</v>
      </c>
    </row>
    <row r="2458" spans="1:26" x14ac:dyDescent="0.2">
      <c r="A2458" s="21"/>
      <c r="B2458" s="20"/>
      <c r="C2458" s="22"/>
      <c r="D2458" s="22"/>
      <c r="E2458" s="24"/>
      <c r="F2458" s="22"/>
      <c r="H2458" s="21">
        <v>46043</v>
      </c>
      <c r="I2458" s="22" t="s">
        <v>70</v>
      </c>
      <c r="J2458" s="22" t="s">
        <v>50</v>
      </c>
      <c r="K2458" s="24">
        <v>8</v>
      </c>
      <c r="M2458" s="21">
        <v>46126</v>
      </c>
      <c r="N2458" s="22" t="s">
        <v>70</v>
      </c>
      <c r="O2458" s="22" t="s">
        <v>48</v>
      </c>
      <c r="P2458" s="49">
        <v>81.8</v>
      </c>
      <c r="Q2458" s="49">
        <v>81.5</v>
      </c>
      <c r="R2458" s="46">
        <f t="shared" si="80"/>
        <v>0.29999999999999716</v>
      </c>
      <c r="T2458" s="21">
        <v>46093</v>
      </c>
      <c r="U2458" s="22" t="s">
        <v>46</v>
      </c>
      <c r="V2458" s="24">
        <v>5</v>
      </c>
      <c r="W2458" s="24">
        <v>4</v>
      </c>
      <c r="X2458" s="24">
        <v>5</v>
      </c>
      <c r="Y2458" s="24">
        <v>5</v>
      </c>
      <c r="Z2458" s="20">
        <f t="shared" si="81"/>
        <v>19</v>
      </c>
    </row>
    <row r="2459" spans="1:26" x14ac:dyDescent="0.2">
      <c r="A2459" s="21"/>
      <c r="B2459" s="20"/>
      <c r="C2459" s="22"/>
      <c r="D2459" s="22"/>
      <c r="E2459" s="24"/>
      <c r="F2459" s="22"/>
      <c r="H2459" s="21">
        <v>46043</v>
      </c>
      <c r="I2459" s="22" t="s">
        <v>70</v>
      </c>
      <c r="J2459" s="22" t="s">
        <v>51</v>
      </c>
      <c r="K2459" s="24">
        <v>8</v>
      </c>
      <c r="M2459" s="21">
        <v>46126</v>
      </c>
      <c r="N2459" s="22" t="s">
        <v>70</v>
      </c>
      <c r="O2459" s="22" t="s">
        <v>49</v>
      </c>
      <c r="P2459" s="49">
        <v>79.5</v>
      </c>
      <c r="Q2459" s="49">
        <v>79.3</v>
      </c>
      <c r="R2459" s="46">
        <f t="shared" si="80"/>
        <v>0.20000000000000284</v>
      </c>
      <c r="T2459" s="21">
        <v>46093</v>
      </c>
      <c r="U2459" s="22" t="s">
        <v>47</v>
      </c>
      <c r="V2459" s="24">
        <v>5</v>
      </c>
      <c r="W2459" s="24">
        <v>5</v>
      </c>
      <c r="X2459" s="24">
        <v>5</v>
      </c>
      <c r="Y2459" s="24">
        <v>5</v>
      </c>
      <c r="Z2459" s="20">
        <f t="shared" si="81"/>
        <v>20</v>
      </c>
    </row>
    <row r="2460" spans="1:26" x14ac:dyDescent="0.2">
      <c r="A2460" s="21"/>
      <c r="B2460" s="20"/>
      <c r="C2460" s="22"/>
      <c r="D2460" s="22"/>
      <c r="E2460" s="24"/>
      <c r="F2460" s="22"/>
      <c r="H2460" s="21">
        <v>46043</v>
      </c>
      <c r="I2460" s="22" t="s">
        <v>70</v>
      </c>
      <c r="J2460" s="22" t="s">
        <v>46</v>
      </c>
      <c r="K2460" s="24">
        <v>8</v>
      </c>
      <c r="M2460" s="21">
        <v>46126</v>
      </c>
      <c r="N2460" s="22" t="s">
        <v>70</v>
      </c>
      <c r="O2460" s="22" t="s">
        <v>50</v>
      </c>
      <c r="P2460" s="49">
        <v>67.099999999999994</v>
      </c>
      <c r="Q2460" s="49">
        <v>66.2</v>
      </c>
      <c r="R2460" s="46">
        <f t="shared" si="80"/>
        <v>0.89999999999999147</v>
      </c>
      <c r="T2460" s="21">
        <v>46093</v>
      </c>
      <c r="U2460" s="22" t="s">
        <v>48</v>
      </c>
      <c r="V2460" s="24">
        <v>5</v>
      </c>
      <c r="W2460" s="24">
        <v>5</v>
      </c>
      <c r="X2460" s="24">
        <v>5</v>
      </c>
      <c r="Y2460" s="24">
        <v>5</v>
      </c>
      <c r="Z2460" s="20">
        <f t="shared" si="81"/>
        <v>20</v>
      </c>
    </row>
    <row r="2461" spans="1:26" x14ac:dyDescent="0.2">
      <c r="A2461" s="21"/>
      <c r="B2461" s="20"/>
      <c r="C2461" s="22"/>
      <c r="D2461" s="22"/>
      <c r="E2461" s="24"/>
      <c r="F2461" s="22"/>
      <c r="H2461" s="21">
        <v>46043</v>
      </c>
      <c r="I2461" s="22" t="s">
        <v>70</v>
      </c>
      <c r="J2461" s="22" t="s">
        <v>48</v>
      </c>
      <c r="K2461" s="24" t="s">
        <v>64</v>
      </c>
      <c r="M2461" s="21">
        <v>46126</v>
      </c>
      <c r="N2461" s="22" t="s">
        <v>70</v>
      </c>
      <c r="O2461" s="22" t="s">
        <v>51</v>
      </c>
      <c r="P2461" s="49">
        <v>75.3</v>
      </c>
      <c r="Q2461" s="49">
        <v>75.2</v>
      </c>
      <c r="R2461" s="46">
        <f t="shared" si="80"/>
        <v>9.9999999999994316E-2</v>
      </c>
      <c r="T2461" s="21">
        <v>46093</v>
      </c>
      <c r="U2461" s="22" t="s">
        <v>49</v>
      </c>
      <c r="V2461" s="24">
        <v>5</v>
      </c>
      <c r="W2461" s="24">
        <v>4</v>
      </c>
      <c r="X2461" s="24">
        <v>4</v>
      </c>
      <c r="Y2461" s="24">
        <v>4</v>
      </c>
      <c r="Z2461" s="20">
        <f t="shared" si="81"/>
        <v>17</v>
      </c>
    </row>
    <row r="2462" spans="1:26" x14ac:dyDescent="0.2">
      <c r="A2462" s="21"/>
      <c r="B2462" s="20"/>
      <c r="C2462" s="22"/>
      <c r="D2462" s="22"/>
      <c r="E2462" s="24"/>
      <c r="F2462" s="22"/>
      <c r="H2462" s="21">
        <v>46043</v>
      </c>
      <c r="I2462" s="22" t="s">
        <v>70</v>
      </c>
      <c r="J2462" s="22" t="s">
        <v>56</v>
      </c>
      <c r="K2462" s="24">
        <v>8</v>
      </c>
      <c r="M2462" s="21">
        <v>46126</v>
      </c>
      <c r="N2462" s="22" t="s">
        <v>70</v>
      </c>
      <c r="O2462" s="22" t="s">
        <v>52</v>
      </c>
      <c r="P2462" s="49">
        <v>71.400000000000006</v>
      </c>
      <c r="Q2462" s="49">
        <v>71.400000000000006</v>
      </c>
      <c r="R2462" s="46">
        <f t="shared" si="80"/>
        <v>0</v>
      </c>
      <c r="T2462" s="21">
        <v>46093</v>
      </c>
      <c r="U2462" s="22" t="s">
        <v>50</v>
      </c>
      <c r="V2462" s="24">
        <v>3</v>
      </c>
      <c r="W2462" s="24">
        <v>4</v>
      </c>
      <c r="X2462" s="24">
        <v>3</v>
      </c>
      <c r="Y2462" s="24">
        <v>4</v>
      </c>
      <c r="Z2462" s="20">
        <f t="shared" si="81"/>
        <v>14</v>
      </c>
    </row>
    <row r="2463" spans="1:26" x14ac:dyDescent="0.2">
      <c r="A2463" s="21"/>
      <c r="B2463" s="20"/>
      <c r="C2463" s="22"/>
      <c r="D2463" s="22"/>
      <c r="E2463" s="24"/>
      <c r="F2463" s="22"/>
      <c r="H2463" s="21">
        <v>46043</v>
      </c>
      <c r="I2463" s="22" t="s">
        <v>71</v>
      </c>
      <c r="J2463" s="22" t="s">
        <v>52</v>
      </c>
      <c r="K2463" s="24">
        <v>4</v>
      </c>
      <c r="M2463" s="21">
        <v>46126</v>
      </c>
      <c r="N2463" s="22" t="s">
        <v>70</v>
      </c>
      <c r="O2463" s="22" t="s">
        <v>53</v>
      </c>
      <c r="P2463" s="49">
        <v>69</v>
      </c>
      <c r="Q2463" s="49">
        <v>68.5</v>
      </c>
      <c r="R2463" s="46">
        <f t="shared" si="80"/>
        <v>0.5</v>
      </c>
      <c r="T2463" s="21">
        <v>46093</v>
      </c>
      <c r="U2463" s="22" t="s">
        <v>51</v>
      </c>
      <c r="V2463" s="24">
        <v>4</v>
      </c>
      <c r="W2463" s="24">
        <v>4</v>
      </c>
      <c r="X2463" s="24">
        <v>4</v>
      </c>
      <c r="Y2463" s="24">
        <v>4</v>
      </c>
      <c r="Z2463" s="20">
        <f t="shared" si="81"/>
        <v>16</v>
      </c>
    </row>
    <row r="2464" spans="1:26" x14ac:dyDescent="0.2">
      <c r="A2464" s="21"/>
      <c r="B2464" s="20"/>
      <c r="C2464" s="22"/>
      <c r="D2464" s="22"/>
      <c r="E2464" s="24"/>
      <c r="F2464" s="22"/>
      <c r="H2464" s="21">
        <v>46043</v>
      </c>
      <c r="I2464" s="22" t="s">
        <v>71</v>
      </c>
      <c r="J2464" s="22" t="s">
        <v>53</v>
      </c>
      <c r="K2464" s="24">
        <v>6</v>
      </c>
      <c r="M2464" s="21">
        <v>46126</v>
      </c>
      <c r="N2464" s="22" t="s">
        <v>70</v>
      </c>
      <c r="O2464" s="22" t="s">
        <v>57</v>
      </c>
      <c r="P2464" s="49">
        <v>91</v>
      </c>
      <c r="Q2464" s="49">
        <v>90.4</v>
      </c>
      <c r="R2464" s="46">
        <f t="shared" si="80"/>
        <v>0.59999999999999432</v>
      </c>
      <c r="T2464" s="21">
        <v>46093</v>
      </c>
      <c r="U2464" s="22" t="s">
        <v>52</v>
      </c>
      <c r="V2464" s="24">
        <v>4</v>
      </c>
      <c r="W2464" s="24">
        <v>4</v>
      </c>
      <c r="X2464" s="24">
        <v>4</v>
      </c>
      <c r="Y2464" s="24">
        <v>4</v>
      </c>
      <c r="Z2464" s="20">
        <f t="shared" si="81"/>
        <v>16</v>
      </c>
    </row>
    <row r="2465" spans="1:26" x14ac:dyDescent="0.2">
      <c r="A2465" s="21"/>
      <c r="B2465" s="20"/>
      <c r="C2465" s="22"/>
      <c r="D2465" s="22"/>
      <c r="E2465" s="24"/>
      <c r="F2465" s="22"/>
      <c r="H2465" s="21">
        <v>46043</v>
      </c>
      <c r="I2465" s="22" t="s">
        <v>71</v>
      </c>
      <c r="J2465" s="22" t="s">
        <v>44</v>
      </c>
      <c r="K2465" s="24" t="s">
        <v>64</v>
      </c>
      <c r="M2465" s="21">
        <v>46127</v>
      </c>
      <c r="N2465" s="22" t="s">
        <v>70</v>
      </c>
      <c r="O2465" s="22" t="s">
        <v>41</v>
      </c>
      <c r="P2465" s="49">
        <v>77</v>
      </c>
      <c r="Q2465" s="49">
        <v>76.099999999999994</v>
      </c>
      <c r="R2465" s="46">
        <f t="shared" si="80"/>
        <v>0.90000000000000568</v>
      </c>
      <c r="T2465" s="21">
        <v>46093</v>
      </c>
      <c r="U2465" s="22" t="s">
        <v>53</v>
      </c>
      <c r="V2465" s="24">
        <v>4</v>
      </c>
      <c r="W2465" s="24">
        <v>4</v>
      </c>
      <c r="X2465" s="24">
        <v>4</v>
      </c>
      <c r="Y2465" s="24">
        <v>5</v>
      </c>
      <c r="Z2465" s="20">
        <f t="shared" si="81"/>
        <v>17</v>
      </c>
    </row>
    <row r="2466" spans="1:26" x14ac:dyDescent="0.2">
      <c r="A2466" s="21"/>
      <c r="B2466" s="20"/>
      <c r="C2466" s="22"/>
      <c r="D2466" s="22"/>
      <c r="E2466" s="24"/>
      <c r="F2466" s="22"/>
      <c r="H2466" s="21">
        <v>46043</v>
      </c>
      <c r="I2466" s="22" t="s">
        <v>71</v>
      </c>
      <c r="J2466" s="22" t="s">
        <v>45</v>
      </c>
      <c r="K2466" s="24">
        <v>4</v>
      </c>
      <c r="M2466" s="21">
        <v>46127</v>
      </c>
      <c r="N2466" s="22" t="s">
        <v>70</v>
      </c>
      <c r="O2466" s="22" t="s">
        <v>42</v>
      </c>
      <c r="P2466" s="49">
        <v>79.2</v>
      </c>
      <c r="Q2466" s="49">
        <v>78.8</v>
      </c>
      <c r="R2466" s="46">
        <f t="shared" si="80"/>
        <v>0.40000000000000568</v>
      </c>
      <c r="T2466" s="21">
        <v>46093</v>
      </c>
      <c r="U2466" s="22" t="s">
        <v>56</v>
      </c>
      <c r="V2466" s="24">
        <v>4</v>
      </c>
      <c r="W2466" s="24">
        <v>4</v>
      </c>
      <c r="X2466" s="24">
        <v>4</v>
      </c>
      <c r="Y2466" s="24">
        <v>5</v>
      </c>
      <c r="Z2466" s="20">
        <f t="shared" si="81"/>
        <v>17</v>
      </c>
    </row>
    <row r="2467" spans="1:26" x14ac:dyDescent="0.2">
      <c r="A2467" s="21"/>
      <c r="B2467" s="20"/>
      <c r="C2467" s="22"/>
      <c r="D2467" s="22"/>
      <c r="E2467" s="24"/>
      <c r="F2467" s="22"/>
      <c r="H2467" s="21">
        <v>46043</v>
      </c>
      <c r="I2467" s="22" t="s">
        <v>71</v>
      </c>
      <c r="J2467" s="22" t="s">
        <v>42</v>
      </c>
      <c r="K2467" s="24">
        <v>2</v>
      </c>
      <c r="M2467" s="21">
        <v>46127</v>
      </c>
      <c r="N2467" s="22" t="s">
        <v>70</v>
      </c>
      <c r="O2467" s="22" t="s">
        <v>44</v>
      </c>
      <c r="P2467" s="49">
        <v>67.5</v>
      </c>
      <c r="Q2467" s="49">
        <v>67.3</v>
      </c>
      <c r="R2467" s="46">
        <f t="shared" si="80"/>
        <v>0.20000000000000284</v>
      </c>
      <c r="T2467" s="21">
        <v>46093</v>
      </c>
      <c r="U2467" s="22" t="s">
        <v>57</v>
      </c>
      <c r="V2467" s="24">
        <v>4</v>
      </c>
      <c r="W2467" s="24">
        <v>4</v>
      </c>
      <c r="X2467" s="24">
        <v>4</v>
      </c>
      <c r="Y2467" s="24">
        <v>4</v>
      </c>
      <c r="Z2467" s="20">
        <f t="shared" si="81"/>
        <v>16</v>
      </c>
    </row>
    <row r="2468" spans="1:26" x14ac:dyDescent="0.2">
      <c r="A2468" s="21"/>
      <c r="B2468" s="20"/>
      <c r="C2468" s="22"/>
      <c r="D2468" s="22"/>
      <c r="E2468" s="24"/>
      <c r="F2468" s="22"/>
      <c r="H2468" s="21">
        <v>46043</v>
      </c>
      <c r="I2468" s="22" t="s">
        <v>71</v>
      </c>
      <c r="J2468" s="22" t="s">
        <v>54</v>
      </c>
      <c r="K2468" s="24">
        <v>6</v>
      </c>
      <c r="M2468" s="21">
        <v>46127</v>
      </c>
      <c r="N2468" s="22" t="s">
        <v>70</v>
      </c>
      <c r="O2468" s="22" t="s">
        <v>45</v>
      </c>
      <c r="P2468" s="49">
        <v>69</v>
      </c>
      <c r="Q2468" s="49">
        <v>68.400000000000006</v>
      </c>
      <c r="R2468" s="46">
        <f t="shared" si="80"/>
        <v>0.59999999999999432</v>
      </c>
      <c r="T2468" s="21">
        <v>46093</v>
      </c>
      <c r="U2468" s="22" t="s">
        <v>58</v>
      </c>
      <c r="V2468" s="24">
        <v>4</v>
      </c>
      <c r="W2468" s="24">
        <v>4</v>
      </c>
      <c r="X2468" s="24">
        <v>4</v>
      </c>
      <c r="Y2468" s="24">
        <v>5</v>
      </c>
      <c r="Z2468" s="20">
        <f t="shared" si="81"/>
        <v>17</v>
      </c>
    </row>
    <row r="2469" spans="1:26" x14ac:dyDescent="0.2">
      <c r="A2469" s="21"/>
      <c r="B2469" s="20"/>
      <c r="C2469" s="22"/>
      <c r="D2469" s="22"/>
      <c r="E2469" s="24"/>
      <c r="F2469" s="22"/>
      <c r="H2469" s="21">
        <v>46043</v>
      </c>
      <c r="I2469" s="22" t="s">
        <v>71</v>
      </c>
      <c r="J2469" s="22" t="s">
        <v>47</v>
      </c>
      <c r="K2469" s="24" t="s">
        <v>64</v>
      </c>
      <c r="M2469" s="21">
        <v>46127</v>
      </c>
      <c r="N2469" s="22" t="s">
        <v>70</v>
      </c>
      <c r="O2469" s="22" t="s">
        <v>46</v>
      </c>
      <c r="P2469" s="49">
        <v>81</v>
      </c>
      <c r="Q2469" s="49">
        <v>81.400000000000006</v>
      </c>
      <c r="R2469" s="46">
        <f t="shared" si="80"/>
        <v>-0.40000000000000568</v>
      </c>
      <c r="T2469" s="21">
        <v>46093</v>
      </c>
      <c r="U2469" s="22" t="s">
        <v>33</v>
      </c>
      <c r="V2469" s="24">
        <v>4.06666666666667</v>
      </c>
      <c r="W2469" s="24">
        <v>4</v>
      </c>
      <c r="X2469" s="24">
        <v>3.93333333333333</v>
      </c>
      <c r="Y2469" s="24">
        <v>4.3333333333333304</v>
      </c>
      <c r="Z2469" s="20">
        <f t="shared" si="81"/>
        <v>16.333333333333329</v>
      </c>
    </row>
    <row r="2470" spans="1:26" x14ac:dyDescent="0.2">
      <c r="A2470" s="21"/>
      <c r="B2470" s="20"/>
      <c r="C2470" s="22"/>
      <c r="D2470" s="22"/>
      <c r="E2470" s="24"/>
      <c r="F2470" s="22"/>
      <c r="H2470" s="21">
        <v>46043</v>
      </c>
      <c r="I2470" s="22" t="s">
        <v>71</v>
      </c>
      <c r="J2470" s="22" t="s">
        <v>41</v>
      </c>
      <c r="K2470" s="24">
        <v>1</v>
      </c>
      <c r="M2470" s="21">
        <v>46127</v>
      </c>
      <c r="N2470" s="22" t="s">
        <v>70</v>
      </c>
      <c r="O2470" s="22" t="s">
        <v>47</v>
      </c>
      <c r="P2470" s="49">
        <v>71.7</v>
      </c>
      <c r="Q2470" s="49">
        <v>71.5</v>
      </c>
      <c r="R2470" s="46">
        <f t="shared" si="80"/>
        <v>0.20000000000000284</v>
      </c>
      <c r="T2470" s="21">
        <v>46094</v>
      </c>
      <c r="U2470" s="22" t="s">
        <v>41</v>
      </c>
      <c r="V2470" s="24">
        <v>1</v>
      </c>
      <c r="W2470" s="24">
        <v>1</v>
      </c>
      <c r="X2470" s="24">
        <v>1</v>
      </c>
      <c r="Y2470" s="24">
        <v>1</v>
      </c>
      <c r="Z2470" s="20">
        <f t="shared" si="81"/>
        <v>4</v>
      </c>
    </row>
    <row r="2471" spans="1:26" x14ac:dyDescent="0.2">
      <c r="A2471" s="21"/>
      <c r="B2471" s="20"/>
      <c r="C2471" s="22"/>
      <c r="D2471" s="22"/>
      <c r="E2471" s="24"/>
      <c r="F2471" s="22"/>
      <c r="H2471" s="21">
        <v>46043</v>
      </c>
      <c r="I2471" s="22" t="s">
        <v>71</v>
      </c>
      <c r="J2471" s="22" t="s">
        <v>49</v>
      </c>
      <c r="K2471" s="24">
        <v>6</v>
      </c>
      <c r="M2471" s="21">
        <v>46127</v>
      </c>
      <c r="N2471" s="22" t="s">
        <v>70</v>
      </c>
      <c r="O2471" s="22" t="s">
        <v>48</v>
      </c>
      <c r="P2471" s="49">
        <v>81.5</v>
      </c>
      <c r="Q2471" s="49">
        <v>81.5</v>
      </c>
      <c r="R2471" s="46">
        <f t="shared" si="80"/>
        <v>0</v>
      </c>
      <c r="T2471" s="21">
        <v>46094</v>
      </c>
      <c r="U2471" s="22" t="s">
        <v>42</v>
      </c>
      <c r="V2471" s="24">
        <v>4</v>
      </c>
      <c r="W2471" s="24">
        <v>4</v>
      </c>
      <c r="X2471" s="24">
        <v>4</v>
      </c>
      <c r="Y2471" s="24">
        <v>4</v>
      </c>
      <c r="Z2471" s="20">
        <f t="shared" si="81"/>
        <v>16</v>
      </c>
    </row>
    <row r="2472" spans="1:26" x14ac:dyDescent="0.2">
      <c r="A2472" s="21"/>
      <c r="B2472" s="20"/>
      <c r="C2472" s="22"/>
      <c r="D2472" s="22"/>
      <c r="E2472" s="24"/>
      <c r="F2472" s="22"/>
      <c r="H2472" s="21">
        <v>46043</v>
      </c>
      <c r="I2472" s="22" t="s">
        <v>71</v>
      </c>
      <c r="J2472" s="22" t="s">
        <v>50</v>
      </c>
      <c r="K2472" s="24">
        <v>8</v>
      </c>
      <c r="M2472" s="21">
        <v>46127</v>
      </c>
      <c r="N2472" s="22" t="s">
        <v>70</v>
      </c>
      <c r="O2472" s="22" t="s">
        <v>49</v>
      </c>
      <c r="P2472" s="49">
        <v>79.599999999999994</v>
      </c>
      <c r="Q2472" s="49">
        <v>79.3</v>
      </c>
      <c r="R2472" s="46">
        <f t="shared" si="80"/>
        <v>0.29999999999999716</v>
      </c>
      <c r="T2472" s="21">
        <v>46094</v>
      </c>
      <c r="U2472" s="22" t="s">
        <v>44</v>
      </c>
      <c r="V2472" s="24">
        <v>5</v>
      </c>
      <c r="W2472" s="24">
        <v>5</v>
      </c>
      <c r="X2472" s="24">
        <v>3</v>
      </c>
      <c r="Y2472" s="24">
        <v>5</v>
      </c>
      <c r="Z2472" s="20">
        <f t="shared" si="81"/>
        <v>18</v>
      </c>
    </row>
    <row r="2473" spans="1:26" x14ac:dyDescent="0.2">
      <c r="A2473" s="21"/>
      <c r="B2473" s="20"/>
      <c r="C2473" s="22"/>
      <c r="D2473" s="22"/>
      <c r="E2473" s="24"/>
      <c r="F2473" s="22"/>
      <c r="H2473" s="21">
        <v>46043</v>
      </c>
      <c r="I2473" s="22" t="s">
        <v>71</v>
      </c>
      <c r="J2473" s="22" t="s">
        <v>51</v>
      </c>
      <c r="K2473" s="24">
        <v>7</v>
      </c>
      <c r="M2473" s="21">
        <v>46127</v>
      </c>
      <c r="N2473" s="22" t="s">
        <v>70</v>
      </c>
      <c r="O2473" s="22" t="s">
        <v>50</v>
      </c>
      <c r="P2473" s="49">
        <v>67.5</v>
      </c>
      <c r="Q2473" s="49">
        <v>66.2</v>
      </c>
      <c r="R2473" s="46">
        <f t="shared" si="80"/>
        <v>1.2999999999999972</v>
      </c>
      <c r="T2473" s="21">
        <v>46094</v>
      </c>
      <c r="U2473" s="22" t="s">
        <v>45</v>
      </c>
      <c r="V2473" s="24">
        <v>4</v>
      </c>
      <c r="W2473" s="24">
        <v>4</v>
      </c>
      <c r="X2473" s="24">
        <v>3</v>
      </c>
      <c r="Y2473" s="24">
        <v>5</v>
      </c>
      <c r="Z2473" s="20">
        <f t="shared" si="81"/>
        <v>16</v>
      </c>
    </row>
    <row r="2474" spans="1:26" x14ac:dyDescent="0.2">
      <c r="A2474" s="21"/>
      <c r="B2474" s="20"/>
      <c r="C2474" s="22"/>
      <c r="D2474" s="22"/>
      <c r="E2474" s="24"/>
      <c r="F2474" s="22"/>
      <c r="H2474" s="21">
        <v>46043</v>
      </c>
      <c r="I2474" s="22" t="s">
        <v>71</v>
      </c>
      <c r="J2474" s="22" t="s">
        <v>46</v>
      </c>
      <c r="K2474" s="24">
        <v>8</v>
      </c>
      <c r="M2474" s="21">
        <v>46127</v>
      </c>
      <c r="N2474" s="22" t="s">
        <v>70</v>
      </c>
      <c r="O2474" s="22" t="s">
        <v>51</v>
      </c>
      <c r="P2474" s="49">
        <v>75.099999999999994</v>
      </c>
      <c r="Q2474" s="49">
        <v>75.2</v>
      </c>
      <c r="R2474" s="46">
        <f t="shared" si="80"/>
        <v>-0.10000000000000853</v>
      </c>
      <c r="T2474" s="21">
        <v>46094</v>
      </c>
      <c r="U2474" s="22" t="s">
        <v>46</v>
      </c>
      <c r="V2474" s="24">
        <v>5</v>
      </c>
      <c r="W2474" s="24">
        <v>4</v>
      </c>
      <c r="X2474" s="24">
        <v>5</v>
      </c>
      <c r="Y2474" s="24">
        <v>5</v>
      </c>
      <c r="Z2474" s="20">
        <f t="shared" si="81"/>
        <v>19</v>
      </c>
    </row>
    <row r="2475" spans="1:26" x14ac:dyDescent="0.2">
      <c r="A2475" s="21"/>
      <c r="B2475" s="20"/>
      <c r="C2475" s="22"/>
      <c r="D2475" s="22"/>
      <c r="E2475" s="24"/>
      <c r="F2475" s="22"/>
      <c r="H2475" s="21">
        <v>46043</v>
      </c>
      <c r="I2475" s="22" t="s">
        <v>71</v>
      </c>
      <c r="J2475" s="22" t="s">
        <v>48</v>
      </c>
      <c r="K2475" s="24" t="s">
        <v>64</v>
      </c>
      <c r="M2475" s="21">
        <v>46127</v>
      </c>
      <c r="N2475" s="22" t="s">
        <v>70</v>
      </c>
      <c r="O2475" s="22" t="s">
        <v>52</v>
      </c>
      <c r="P2475" s="49">
        <v>71</v>
      </c>
      <c r="Q2475" s="49">
        <v>71</v>
      </c>
      <c r="R2475" s="46">
        <f t="shared" si="80"/>
        <v>0</v>
      </c>
      <c r="T2475" s="21">
        <v>46094</v>
      </c>
      <c r="U2475" s="22" t="s">
        <v>47</v>
      </c>
      <c r="V2475" s="24">
        <v>5</v>
      </c>
      <c r="W2475" s="24">
        <v>5</v>
      </c>
      <c r="X2475" s="24">
        <v>5</v>
      </c>
      <c r="Y2475" s="24">
        <v>5</v>
      </c>
      <c r="Z2475" s="20">
        <f t="shared" si="81"/>
        <v>20</v>
      </c>
    </row>
    <row r="2476" spans="1:26" x14ac:dyDescent="0.2">
      <c r="A2476" s="21"/>
      <c r="B2476" s="20"/>
      <c r="C2476" s="22"/>
      <c r="D2476" s="22"/>
      <c r="E2476" s="24"/>
      <c r="F2476" s="22"/>
      <c r="H2476" s="21">
        <v>46043</v>
      </c>
      <c r="I2476" s="22" t="s">
        <v>71</v>
      </c>
      <c r="J2476" s="22" t="s">
        <v>56</v>
      </c>
      <c r="K2476" s="24">
        <v>6</v>
      </c>
      <c r="M2476" s="21">
        <v>46127</v>
      </c>
      <c r="N2476" s="22" t="s">
        <v>70</v>
      </c>
      <c r="O2476" s="22" t="s">
        <v>53</v>
      </c>
      <c r="P2476" s="49">
        <v>67.8</v>
      </c>
      <c r="Q2476" s="49">
        <v>67.599999999999994</v>
      </c>
      <c r="R2476" s="46">
        <f t="shared" si="80"/>
        <v>0.20000000000000284</v>
      </c>
      <c r="T2476" s="21">
        <v>46094</v>
      </c>
      <c r="U2476" s="22" t="s">
        <v>48</v>
      </c>
      <c r="V2476" s="24">
        <v>5</v>
      </c>
      <c r="W2476" s="24">
        <v>5</v>
      </c>
      <c r="X2476" s="24">
        <v>5</v>
      </c>
      <c r="Y2476" s="24">
        <v>5</v>
      </c>
      <c r="Z2476" s="20">
        <f t="shared" si="81"/>
        <v>20</v>
      </c>
    </row>
    <row r="2477" spans="1:26" x14ac:dyDescent="0.2">
      <c r="A2477" s="21"/>
      <c r="B2477" s="20"/>
      <c r="C2477" s="22"/>
      <c r="D2477" s="22"/>
      <c r="E2477" s="24"/>
      <c r="F2477" s="22"/>
      <c r="H2477" s="21">
        <v>46044</v>
      </c>
      <c r="I2477" s="22" t="s">
        <v>70</v>
      </c>
      <c r="J2477" s="22" t="s">
        <v>52</v>
      </c>
      <c r="K2477" s="24">
        <v>8</v>
      </c>
      <c r="M2477" s="21">
        <v>46128</v>
      </c>
      <c r="N2477" s="22" t="s">
        <v>70</v>
      </c>
      <c r="O2477" s="22" t="s">
        <v>41</v>
      </c>
      <c r="P2477" s="49">
        <v>77</v>
      </c>
      <c r="Q2477" s="49">
        <v>76.8</v>
      </c>
      <c r="R2477" s="46">
        <f t="shared" si="80"/>
        <v>0.20000000000000284</v>
      </c>
      <c r="T2477" s="21">
        <v>46094</v>
      </c>
      <c r="U2477" s="22" t="s">
        <v>49</v>
      </c>
      <c r="V2477" s="24">
        <v>4</v>
      </c>
      <c r="W2477" s="24">
        <v>4</v>
      </c>
      <c r="X2477" s="24">
        <v>4</v>
      </c>
      <c r="Y2477" s="24">
        <v>4</v>
      </c>
      <c r="Z2477" s="20">
        <f t="shared" si="81"/>
        <v>16</v>
      </c>
    </row>
    <row r="2478" spans="1:26" x14ac:dyDescent="0.2">
      <c r="A2478" s="21"/>
      <c r="B2478" s="20"/>
      <c r="C2478" s="22"/>
      <c r="D2478" s="22"/>
      <c r="E2478" s="24"/>
      <c r="F2478" s="22"/>
      <c r="H2478" s="21">
        <v>46044</v>
      </c>
      <c r="I2478" s="22" t="s">
        <v>70</v>
      </c>
      <c r="J2478" s="22" t="s">
        <v>53</v>
      </c>
      <c r="K2478" s="24">
        <v>7</v>
      </c>
      <c r="M2478" s="21">
        <v>46128</v>
      </c>
      <c r="N2478" s="22" t="s">
        <v>70</v>
      </c>
      <c r="O2478" s="22" t="s">
        <v>42</v>
      </c>
      <c r="P2478" s="49">
        <v>78.8</v>
      </c>
      <c r="Q2478" s="49">
        <v>78.900000000000006</v>
      </c>
      <c r="R2478" s="46">
        <f t="shared" si="80"/>
        <v>-0.10000000000000853</v>
      </c>
      <c r="T2478" s="21">
        <v>46094</v>
      </c>
      <c r="U2478" s="22" t="s">
        <v>50</v>
      </c>
      <c r="V2478" s="24">
        <v>5</v>
      </c>
      <c r="W2478" s="24">
        <v>5</v>
      </c>
      <c r="X2478" s="24">
        <v>3</v>
      </c>
      <c r="Y2478" s="24">
        <v>4</v>
      </c>
      <c r="Z2478" s="20">
        <f t="shared" si="81"/>
        <v>17</v>
      </c>
    </row>
    <row r="2479" spans="1:26" x14ac:dyDescent="0.2">
      <c r="A2479" s="21"/>
      <c r="B2479" s="20"/>
      <c r="C2479" s="22"/>
      <c r="D2479" s="22"/>
      <c r="E2479" s="24"/>
      <c r="F2479" s="22"/>
      <c r="H2479" s="21">
        <v>46044</v>
      </c>
      <c r="I2479" s="22" t="s">
        <v>70</v>
      </c>
      <c r="J2479" s="22" t="s">
        <v>44</v>
      </c>
      <c r="K2479" s="24" t="s">
        <v>64</v>
      </c>
      <c r="M2479" s="21">
        <v>46128</v>
      </c>
      <c r="N2479" s="22" t="s">
        <v>70</v>
      </c>
      <c r="O2479" s="22" t="s">
        <v>44</v>
      </c>
      <c r="P2479" s="49">
        <v>67.2</v>
      </c>
      <c r="Q2479" s="49">
        <v>67.599999999999994</v>
      </c>
      <c r="R2479" s="46">
        <f t="shared" si="80"/>
        <v>-0.39999999999999147</v>
      </c>
      <c r="T2479" s="21">
        <v>46094</v>
      </c>
      <c r="U2479" s="22" t="s">
        <v>51</v>
      </c>
      <c r="V2479" s="24">
        <v>4</v>
      </c>
      <c r="W2479" s="24">
        <v>5</v>
      </c>
      <c r="X2479" s="24">
        <v>5</v>
      </c>
      <c r="Y2479" s="24">
        <v>5</v>
      </c>
      <c r="Z2479" s="20">
        <f t="shared" si="81"/>
        <v>19</v>
      </c>
    </row>
    <row r="2480" spans="1:26" x14ac:dyDescent="0.2">
      <c r="A2480" s="21"/>
      <c r="B2480" s="20"/>
      <c r="C2480" s="22"/>
      <c r="D2480" s="22"/>
      <c r="E2480" s="24"/>
      <c r="F2480" s="22"/>
      <c r="H2480" s="21">
        <v>46044</v>
      </c>
      <c r="I2480" s="22" t="s">
        <v>70</v>
      </c>
      <c r="J2480" s="22" t="s">
        <v>45</v>
      </c>
      <c r="K2480" s="24">
        <v>9</v>
      </c>
      <c r="M2480" s="21">
        <v>46128</v>
      </c>
      <c r="N2480" s="22" t="s">
        <v>70</v>
      </c>
      <c r="O2480" s="22" t="s">
        <v>45</v>
      </c>
      <c r="P2480" s="49">
        <v>69</v>
      </c>
      <c r="Q2480" s="49">
        <v>68.7</v>
      </c>
      <c r="R2480" s="46">
        <f t="shared" si="80"/>
        <v>0.29999999999999716</v>
      </c>
      <c r="T2480" s="21">
        <v>46094</v>
      </c>
      <c r="U2480" s="22" t="s">
        <v>52</v>
      </c>
      <c r="V2480" s="24">
        <v>4</v>
      </c>
      <c r="W2480" s="24">
        <v>4</v>
      </c>
      <c r="X2480" s="24">
        <v>4</v>
      </c>
      <c r="Y2480" s="24">
        <v>4</v>
      </c>
      <c r="Z2480" s="20">
        <f t="shared" si="81"/>
        <v>16</v>
      </c>
    </row>
    <row r="2481" spans="1:26" x14ac:dyDescent="0.2">
      <c r="A2481" s="21"/>
      <c r="B2481" s="20"/>
      <c r="C2481" s="22"/>
      <c r="D2481" s="22"/>
      <c r="E2481" s="24"/>
      <c r="F2481" s="22"/>
      <c r="H2481" s="21">
        <v>46044</v>
      </c>
      <c r="I2481" s="22" t="s">
        <v>70</v>
      </c>
      <c r="J2481" s="22" t="s">
        <v>57</v>
      </c>
      <c r="K2481" s="24">
        <v>7</v>
      </c>
      <c r="M2481" s="21">
        <v>46128</v>
      </c>
      <c r="N2481" s="22" t="s">
        <v>70</v>
      </c>
      <c r="O2481" s="22" t="s">
        <v>46</v>
      </c>
      <c r="P2481" s="49">
        <v>82</v>
      </c>
      <c r="Q2481" s="49">
        <v>81.5</v>
      </c>
      <c r="R2481" s="46">
        <f t="shared" si="80"/>
        <v>0.5</v>
      </c>
      <c r="T2481" s="21">
        <v>46094</v>
      </c>
      <c r="U2481" s="22" t="s">
        <v>53</v>
      </c>
      <c r="V2481" s="24">
        <v>4</v>
      </c>
      <c r="W2481" s="24">
        <v>4</v>
      </c>
      <c r="X2481" s="24">
        <v>4</v>
      </c>
      <c r="Y2481" s="24">
        <v>5</v>
      </c>
      <c r="Z2481" s="20">
        <f t="shared" si="81"/>
        <v>17</v>
      </c>
    </row>
    <row r="2482" spans="1:26" x14ac:dyDescent="0.2">
      <c r="A2482" s="21"/>
      <c r="B2482" s="20"/>
      <c r="C2482" s="22"/>
      <c r="D2482" s="22"/>
      <c r="E2482" s="24"/>
      <c r="F2482" s="22"/>
      <c r="H2482" s="21">
        <v>46044</v>
      </c>
      <c r="I2482" s="22" t="s">
        <v>70</v>
      </c>
      <c r="J2482" s="22" t="s">
        <v>42</v>
      </c>
      <c r="K2482" s="24">
        <v>3</v>
      </c>
      <c r="M2482" s="21">
        <v>46128</v>
      </c>
      <c r="N2482" s="22" t="s">
        <v>70</v>
      </c>
      <c r="O2482" s="22" t="s">
        <v>47</v>
      </c>
      <c r="P2482" s="49">
        <v>71.7</v>
      </c>
      <c r="Q2482" s="49">
        <v>71.5</v>
      </c>
      <c r="R2482" s="46">
        <f t="shared" si="80"/>
        <v>0.20000000000000284</v>
      </c>
      <c r="T2482" s="21">
        <v>46094</v>
      </c>
      <c r="U2482" s="22" t="s">
        <v>56</v>
      </c>
      <c r="V2482" s="24">
        <v>5</v>
      </c>
      <c r="W2482" s="24">
        <v>4</v>
      </c>
      <c r="X2482" s="24">
        <v>4</v>
      </c>
      <c r="Y2482" s="24">
        <v>5</v>
      </c>
      <c r="Z2482" s="20">
        <f t="shared" si="81"/>
        <v>18</v>
      </c>
    </row>
    <row r="2483" spans="1:26" x14ac:dyDescent="0.2">
      <c r="A2483" s="21"/>
      <c r="B2483" s="20"/>
      <c r="C2483" s="22"/>
      <c r="D2483" s="22"/>
      <c r="E2483" s="24"/>
      <c r="F2483" s="22"/>
      <c r="H2483" s="21">
        <v>46044</v>
      </c>
      <c r="I2483" s="22" t="s">
        <v>70</v>
      </c>
      <c r="J2483" s="22" t="s">
        <v>54</v>
      </c>
      <c r="K2483" s="24">
        <v>8</v>
      </c>
      <c r="M2483" s="21">
        <v>46128</v>
      </c>
      <c r="N2483" s="22" t="s">
        <v>70</v>
      </c>
      <c r="O2483" s="22" t="s">
        <v>48</v>
      </c>
      <c r="P2483" s="49">
        <v>81.8</v>
      </c>
      <c r="Q2483" s="49">
        <v>81.3</v>
      </c>
      <c r="R2483" s="46">
        <f t="shared" si="80"/>
        <v>0.5</v>
      </c>
      <c r="T2483" s="21">
        <v>46094</v>
      </c>
      <c r="U2483" s="22" t="s">
        <v>57</v>
      </c>
      <c r="V2483" s="24">
        <v>4</v>
      </c>
      <c r="W2483" s="24">
        <v>4</v>
      </c>
      <c r="X2483" s="24">
        <v>4</v>
      </c>
      <c r="Y2483" s="24">
        <v>5</v>
      </c>
      <c r="Z2483" s="20">
        <f t="shared" si="81"/>
        <v>17</v>
      </c>
    </row>
    <row r="2484" spans="1:26" x14ac:dyDescent="0.2">
      <c r="A2484" s="21"/>
      <c r="B2484" s="20"/>
      <c r="C2484" s="22"/>
      <c r="D2484" s="22"/>
      <c r="E2484" s="24"/>
      <c r="F2484" s="22"/>
      <c r="H2484" s="21">
        <v>46044</v>
      </c>
      <c r="I2484" s="22" t="s">
        <v>70</v>
      </c>
      <c r="J2484" s="22" t="s">
        <v>47</v>
      </c>
      <c r="K2484" s="24" t="s">
        <v>64</v>
      </c>
      <c r="M2484" s="21">
        <v>46128</v>
      </c>
      <c r="N2484" s="22" t="s">
        <v>70</v>
      </c>
      <c r="O2484" s="22" t="s">
        <v>49</v>
      </c>
      <c r="P2484" s="49">
        <v>79.599999999999994</v>
      </c>
      <c r="Q2484" s="49">
        <v>79.400000000000006</v>
      </c>
      <c r="R2484" s="46">
        <f t="shared" si="80"/>
        <v>0.19999999999998863</v>
      </c>
      <c r="T2484" s="21">
        <v>46094</v>
      </c>
      <c r="U2484" s="22" t="s">
        <v>58</v>
      </c>
      <c r="V2484" s="24">
        <v>4</v>
      </c>
      <c r="W2484" s="24">
        <v>4</v>
      </c>
      <c r="X2484" s="24">
        <v>4</v>
      </c>
      <c r="Y2484" s="24">
        <v>5</v>
      </c>
      <c r="Z2484" s="20">
        <f t="shared" si="81"/>
        <v>17</v>
      </c>
    </row>
    <row r="2485" spans="1:26" x14ac:dyDescent="0.2">
      <c r="A2485" s="21"/>
      <c r="B2485" s="20"/>
      <c r="C2485" s="22"/>
      <c r="D2485" s="22"/>
      <c r="E2485" s="24"/>
      <c r="F2485" s="22"/>
      <c r="H2485" s="21">
        <v>46044</v>
      </c>
      <c r="I2485" s="22" t="s">
        <v>70</v>
      </c>
      <c r="J2485" s="22" t="s">
        <v>41</v>
      </c>
      <c r="K2485" s="24">
        <v>4</v>
      </c>
      <c r="M2485" s="21">
        <v>46128</v>
      </c>
      <c r="N2485" s="22" t="s">
        <v>70</v>
      </c>
      <c r="O2485" s="22" t="s">
        <v>50</v>
      </c>
      <c r="P2485" s="49">
        <v>67</v>
      </c>
      <c r="Q2485" s="49">
        <v>65.8</v>
      </c>
      <c r="R2485" s="46">
        <f t="shared" si="80"/>
        <v>1.2000000000000028</v>
      </c>
      <c r="T2485" s="21">
        <v>46094</v>
      </c>
      <c r="U2485" s="22" t="s">
        <v>33</v>
      </c>
      <c r="V2485" s="24">
        <v>4.2</v>
      </c>
      <c r="W2485" s="24">
        <v>4.1333333333333302</v>
      </c>
      <c r="X2485" s="24">
        <v>3.8666666666666698</v>
      </c>
      <c r="Y2485" s="24">
        <v>4.4666666666666703</v>
      </c>
      <c r="Z2485" s="20">
        <f t="shared" si="81"/>
        <v>16.666666666666671</v>
      </c>
    </row>
    <row r="2486" spans="1:26" x14ac:dyDescent="0.2">
      <c r="A2486" s="21"/>
      <c r="B2486" s="20"/>
      <c r="C2486" s="22"/>
      <c r="D2486" s="22"/>
      <c r="E2486" s="24"/>
      <c r="F2486" s="22"/>
      <c r="H2486" s="21">
        <v>46044</v>
      </c>
      <c r="I2486" s="22" t="s">
        <v>70</v>
      </c>
      <c r="J2486" s="22" t="s">
        <v>58</v>
      </c>
      <c r="K2486" s="24">
        <v>7</v>
      </c>
      <c r="M2486" s="21">
        <v>46128</v>
      </c>
      <c r="N2486" s="22" t="s">
        <v>70</v>
      </c>
      <c r="O2486" s="22" t="s">
        <v>51</v>
      </c>
      <c r="P2486" s="49">
        <v>75.400000000000006</v>
      </c>
      <c r="Q2486" s="49">
        <v>75</v>
      </c>
      <c r="R2486" s="46">
        <f t="shared" si="80"/>
        <v>0.40000000000000568</v>
      </c>
      <c r="T2486" s="21">
        <v>46096</v>
      </c>
      <c r="U2486" s="22" t="s">
        <v>41</v>
      </c>
      <c r="V2486" s="24">
        <v>1</v>
      </c>
      <c r="W2486" s="24">
        <v>1</v>
      </c>
      <c r="X2486" s="24">
        <v>1</v>
      </c>
      <c r="Y2486" s="24">
        <v>1</v>
      </c>
      <c r="Z2486" s="20">
        <f t="shared" si="81"/>
        <v>4</v>
      </c>
    </row>
    <row r="2487" spans="1:26" x14ac:dyDescent="0.2">
      <c r="A2487" s="21"/>
      <c r="B2487" s="20"/>
      <c r="C2487" s="22"/>
      <c r="D2487" s="22"/>
      <c r="E2487" s="24"/>
      <c r="F2487" s="22"/>
      <c r="H2487" s="21">
        <v>46044</v>
      </c>
      <c r="I2487" s="22" t="s">
        <v>70</v>
      </c>
      <c r="J2487" s="22" t="s">
        <v>49</v>
      </c>
      <c r="K2487" s="24">
        <v>8</v>
      </c>
      <c r="M2487" s="21">
        <v>46128</v>
      </c>
      <c r="N2487" s="22" t="s">
        <v>70</v>
      </c>
      <c r="O2487" s="22" t="s">
        <v>52</v>
      </c>
      <c r="P2487" s="49">
        <v>71.2</v>
      </c>
      <c r="Q2487" s="49">
        <v>71</v>
      </c>
      <c r="R2487" s="46">
        <f t="shared" si="80"/>
        <v>0.20000000000000284</v>
      </c>
      <c r="T2487" s="21">
        <v>46096</v>
      </c>
      <c r="U2487" s="22" t="s">
        <v>42</v>
      </c>
      <c r="V2487" s="24">
        <v>4</v>
      </c>
      <c r="W2487" s="24">
        <v>4</v>
      </c>
      <c r="X2487" s="24">
        <v>4</v>
      </c>
      <c r="Y2487" s="24">
        <v>4</v>
      </c>
      <c r="Z2487" s="20">
        <f t="shared" si="81"/>
        <v>16</v>
      </c>
    </row>
    <row r="2488" spans="1:26" x14ac:dyDescent="0.2">
      <c r="A2488" s="21"/>
      <c r="B2488" s="20"/>
      <c r="C2488" s="22"/>
      <c r="D2488" s="22"/>
      <c r="E2488" s="24"/>
      <c r="F2488" s="22"/>
      <c r="H2488" s="21">
        <v>46044</v>
      </c>
      <c r="I2488" s="22" t="s">
        <v>70</v>
      </c>
      <c r="J2488" s="22" t="s">
        <v>50</v>
      </c>
      <c r="K2488" s="24">
        <v>9</v>
      </c>
      <c r="M2488" s="21">
        <v>46128</v>
      </c>
      <c r="N2488" s="22" t="s">
        <v>70</v>
      </c>
      <c r="O2488" s="22" t="s">
        <v>53</v>
      </c>
      <c r="P2488" s="49">
        <v>68.8</v>
      </c>
      <c r="Q2488" s="49">
        <v>68</v>
      </c>
      <c r="R2488" s="46">
        <f t="shared" si="80"/>
        <v>0.79999999999999716</v>
      </c>
      <c r="T2488" s="21">
        <v>46096</v>
      </c>
      <c r="U2488" s="22" t="s">
        <v>44</v>
      </c>
      <c r="V2488" s="24">
        <v>5</v>
      </c>
      <c r="W2488" s="24">
        <v>5</v>
      </c>
      <c r="X2488" s="24">
        <v>3</v>
      </c>
      <c r="Y2488" s="24">
        <v>5</v>
      </c>
      <c r="Z2488" s="20">
        <f t="shared" si="81"/>
        <v>18</v>
      </c>
    </row>
    <row r="2489" spans="1:26" x14ac:dyDescent="0.2">
      <c r="A2489" s="21"/>
      <c r="B2489" s="20"/>
      <c r="C2489" s="22"/>
      <c r="D2489" s="22"/>
      <c r="E2489" s="24"/>
      <c r="F2489" s="22"/>
      <c r="H2489" s="21">
        <v>46044</v>
      </c>
      <c r="I2489" s="22" t="s">
        <v>70</v>
      </c>
      <c r="J2489" s="22" t="s">
        <v>51</v>
      </c>
      <c r="K2489" s="24">
        <v>9</v>
      </c>
      <c r="M2489" s="21">
        <v>46128</v>
      </c>
      <c r="N2489" s="22" t="s">
        <v>70</v>
      </c>
      <c r="O2489" s="22" t="s">
        <v>57</v>
      </c>
      <c r="P2489" s="49">
        <v>90.3</v>
      </c>
      <c r="Q2489" s="49">
        <v>90</v>
      </c>
      <c r="R2489" s="46">
        <f t="shared" si="80"/>
        <v>0.29999999999999716</v>
      </c>
      <c r="T2489" s="21">
        <v>46096</v>
      </c>
      <c r="U2489" s="22" t="s">
        <v>45</v>
      </c>
      <c r="V2489" s="24">
        <v>4</v>
      </c>
      <c r="W2489" s="24">
        <v>4</v>
      </c>
      <c r="X2489" s="24">
        <v>3</v>
      </c>
      <c r="Y2489" s="24">
        <v>5</v>
      </c>
      <c r="Z2489" s="20">
        <f t="shared" si="81"/>
        <v>16</v>
      </c>
    </row>
    <row r="2490" spans="1:26" x14ac:dyDescent="0.2">
      <c r="A2490" s="21"/>
      <c r="B2490" s="20"/>
      <c r="C2490" s="22"/>
      <c r="D2490" s="22"/>
      <c r="E2490" s="24"/>
      <c r="F2490" s="22"/>
      <c r="H2490" s="21">
        <v>46044</v>
      </c>
      <c r="I2490" s="22" t="s">
        <v>70</v>
      </c>
      <c r="J2490" s="22" t="s">
        <v>46</v>
      </c>
      <c r="K2490" s="24">
        <v>8</v>
      </c>
      <c r="M2490" s="21">
        <v>46129</v>
      </c>
      <c r="N2490" s="22" t="s">
        <v>70</v>
      </c>
      <c r="O2490" s="22" t="s">
        <v>41</v>
      </c>
      <c r="P2490" s="49">
        <v>77</v>
      </c>
      <c r="Q2490" s="49">
        <v>76.900000000000006</v>
      </c>
      <c r="R2490" s="46">
        <f t="shared" si="80"/>
        <v>9.9999999999994316E-2</v>
      </c>
      <c r="T2490" s="21">
        <v>46096</v>
      </c>
      <c r="U2490" s="22" t="s">
        <v>46</v>
      </c>
      <c r="V2490" s="24">
        <v>5</v>
      </c>
      <c r="W2490" s="24">
        <v>4</v>
      </c>
      <c r="X2490" s="24">
        <v>5</v>
      </c>
      <c r="Y2490" s="24">
        <v>5</v>
      </c>
      <c r="Z2490" s="20">
        <f t="shared" si="81"/>
        <v>19</v>
      </c>
    </row>
    <row r="2491" spans="1:26" x14ac:dyDescent="0.2">
      <c r="A2491" s="21"/>
      <c r="B2491" s="20"/>
      <c r="C2491" s="22"/>
      <c r="D2491" s="22"/>
      <c r="E2491" s="24"/>
      <c r="F2491" s="22"/>
      <c r="H2491" s="21">
        <v>46044</v>
      </c>
      <c r="I2491" s="22" t="s">
        <v>70</v>
      </c>
      <c r="J2491" s="22" t="s">
        <v>48</v>
      </c>
      <c r="K2491" s="24" t="s">
        <v>64</v>
      </c>
      <c r="M2491" s="21">
        <v>46129</v>
      </c>
      <c r="N2491" s="22" t="s">
        <v>70</v>
      </c>
      <c r="O2491" s="22" t="s">
        <v>42</v>
      </c>
      <c r="P2491" s="49">
        <v>78.7</v>
      </c>
      <c r="Q2491" s="49">
        <v>78.599999999999994</v>
      </c>
      <c r="R2491" s="46">
        <f t="shared" si="80"/>
        <v>0.10000000000000853</v>
      </c>
      <c r="T2491" s="21">
        <v>46096</v>
      </c>
      <c r="U2491" s="22" t="s">
        <v>47</v>
      </c>
      <c r="V2491" s="24">
        <v>5</v>
      </c>
      <c r="W2491" s="24">
        <v>5</v>
      </c>
      <c r="X2491" s="24">
        <v>5</v>
      </c>
      <c r="Y2491" s="24">
        <v>5</v>
      </c>
      <c r="Z2491" s="20">
        <f t="shared" si="81"/>
        <v>20</v>
      </c>
    </row>
    <row r="2492" spans="1:26" x14ac:dyDescent="0.2">
      <c r="A2492" s="21"/>
      <c r="B2492" s="20"/>
      <c r="C2492" s="22"/>
      <c r="D2492" s="22"/>
      <c r="E2492" s="24"/>
      <c r="F2492" s="22"/>
      <c r="H2492" s="21">
        <v>46044</v>
      </c>
      <c r="I2492" s="22" t="s">
        <v>70</v>
      </c>
      <c r="J2492" s="22" t="s">
        <v>56</v>
      </c>
      <c r="K2492" s="24">
        <v>8</v>
      </c>
      <c r="M2492" s="21">
        <v>46129</v>
      </c>
      <c r="N2492" s="22" t="s">
        <v>70</v>
      </c>
      <c r="O2492" s="22" t="s">
        <v>44</v>
      </c>
      <c r="P2492" s="49">
        <v>67.2</v>
      </c>
      <c r="Q2492" s="49">
        <v>67.099999999999994</v>
      </c>
      <c r="R2492" s="46">
        <f t="shared" si="80"/>
        <v>0.10000000000000853</v>
      </c>
      <c r="T2492" s="21">
        <v>46096</v>
      </c>
      <c r="U2492" s="22" t="s">
        <v>48</v>
      </c>
      <c r="V2492" s="24">
        <v>5</v>
      </c>
      <c r="W2492" s="24">
        <v>5</v>
      </c>
      <c r="X2492" s="24">
        <v>5</v>
      </c>
      <c r="Y2492" s="24">
        <v>5</v>
      </c>
      <c r="Z2492" s="20">
        <f t="shared" si="81"/>
        <v>20</v>
      </c>
    </row>
    <row r="2493" spans="1:26" x14ac:dyDescent="0.2">
      <c r="A2493" s="21"/>
      <c r="B2493" s="20"/>
      <c r="C2493" s="22"/>
      <c r="D2493" s="22"/>
      <c r="E2493" s="24"/>
      <c r="F2493" s="22"/>
      <c r="H2493" s="21">
        <v>46044</v>
      </c>
      <c r="I2493" s="22" t="s">
        <v>71</v>
      </c>
      <c r="J2493" s="22" t="s">
        <v>52</v>
      </c>
      <c r="K2493" s="24">
        <v>8</v>
      </c>
      <c r="M2493" s="21">
        <v>46129</v>
      </c>
      <c r="N2493" s="22" t="s">
        <v>70</v>
      </c>
      <c r="O2493" s="22" t="s">
        <v>45</v>
      </c>
      <c r="P2493" s="49">
        <v>69</v>
      </c>
      <c r="Q2493" s="49">
        <v>68.5</v>
      </c>
      <c r="R2493" s="46">
        <f t="shared" si="80"/>
        <v>0.5</v>
      </c>
      <c r="T2493" s="21">
        <v>46096</v>
      </c>
      <c r="U2493" s="22" t="s">
        <v>49</v>
      </c>
      <c r="V2493" s="24">
        <v>4</v>
      </c>
      <c r="W2493" s="24">
        <v>4</v>
      </c>
      <c r="X2493" s="24">
        <v>4</v>
      </c>
      <c r="Y2493" s="24">
        <v>4</v>
      </c>
      <c r="Z2493" s="20">
        <f t="shared" si="81"/>
        <v>16</v>
      </c>
    </row>
    <row r="2494" spans="1:26" x14ac:dyDescent="0.2">
      <c r="A2494" s="21"/>
      <c r="B2494" s="20"/>
      <c r="C2494" s="22"/>
      <c r="D2494" s="22"/>
      <c r="E2494" s="24"/>
      <c r="F2494" s="22"/>
      <c r="H2494" s="21">
        <v>46044</v>
      </c>
      <c r="I2494" s="22" t="s">
        <v>71</v>
      </c>
      <c r="J2494" s="22" t="s">
        <v>53</v>
      </c>
      <c r="K2494" s="24">
        <v>8</v>
      </c>
      <c r="M2494" s="21">
        <v>46129</v>
      </c>
      <c r="N2494" s="22" t="s">
        <v>70</v>
      </c>
      <c r="O2494" s="22" t="s">
        <v>46</v>
      </c>
      <c r="P2494" s="49">
        <v>81</v>
      </c>
      <c r="Q2494" s="49">
        <v>81</v>
      </c>
      <c r="R2494" s="46">
        <f t="shared" si="80"/>
        <v>0</v>
      </c>
      <c r="T2494" s="21">
        <v>46096</v>
      </c>
      <c r="U2494" s="22" t="s">
        <v>50</v>
      </c>
      <c r="V2494" s="24">
        <v>5</v>
      </c>
      <c r="W2494" s="24">
        <v>5</v>
      </c>
      <c r="X2494" s="24">
        <v>3</v>
      </c>
      <c r="Y2494" s="24">
        <v>4</v>
      </c>
      <c r="Z2494" s="20">
        <f t="shared" si="81"/>
        <v>17</v>
      </c>
    </row>
    <row r="2495" spans="1:26" x14ac:dyDescent="0.2">
      <c r="A2495" s="21"/>
      <c r="B2495" s="20"/>
      <c r="C2495" s="22"/>
      <c r="D2495" s="22"/>
      <c r="E2495" s="24"/>
      <c r="F2495" s="22"/>
      <c r="H2495" s="21">
        <v>46044</v>
      </c>
      <c r="I2495" s="22" t="s">
        <v>71</v>
      </c>
      <c r="J2495" s="22" t="s">
        <v>44</v>
      </c>
      <c r="K2495" s="24" t="s">
        <v>64</v>
      </c>
      <c r="M2495" s="21">
        <v>46129</v>
      </c>
      <c r="N2495" s="22" t="s">
        <v>70</v>
      </c>
      <c r="O2495" s="22" t="s">
        <v>47</v>
      </c>
      <c r="P2495" s="49">
        <v>71.5</v>
      </c>
      <c r="Q2495" s="49">
        <v>71.599999999999994</v>
      </c>
      <c r="R2495" s="46">
        <f t="shared" si="80"/>
        <v>-9.9999999999994316E-2</v>
      </c>
      <c r="T2495" s="21">
        <v>46096</v>
      </c>
      <c r="U2495" s="22" t="s">
        <v>51</v>
      </c>
      <c r="V2495" s="24">
        <v>4</v>
      </c>
      <c r="W2495" s="24">
        <v>5</v>
      </c>
      <c r="X2495" s="24">
        <v>5</v>
      </c>
      <c r="Y2495" s="24">
        <v>5</v>
      </c>
      <c r="Z2495" s="20">
        <f t="shared" si="81"/>
        <v>19</v>
      </c>
    </row>
    <row r="2496" spans="1:26" x14ac:dyDescent="0.2">
      <c r="A2496" s="21"/>
      <c r="B2496" s="20"/>
      <c r="C2496" s="22"/>
      <c r="D2496" s="22"/>
      <c r="E2496" s="24"/>
      <c r="F2496" s="22"/>
      <c r="H2496" s="21">
        <v>46044</v>
      </c>
      <c r="I2496" s="22" t="s">
        <v>71</v>
      </c>
      <c r="J2496" s="22" t="s">
        <v>45</v>
      </c>
      <c r="K2496" s="24">
        <v>9</v>
      </c>
      <c r="M2496" s="21">
        <v>46129</v>
      </c>
      <c r="N2496" s="22" t="s">
        <v>70</v>
      </c>
      <c r="O2496" s="22" t="s">
        <v>48</v>
      </c>
      <c r="P2496" s="49">
        <v>82</v>
      </c>
      <c r="Q2496" s="49">
        <v>81.5</v>
      </c>
      <c r="R2496" s="46">
        <f t="shared" si="80"/>
        <v>0.5</v>
      </c>
      <c r="T2496" s="21">
        <v>46096</v>
      </c>
      <c r="U2496" s="22" t="s">
        <v>52</v>
      </c>
      <c r="V2496" s="24">
        <v>4</v>
      </c>
      <c r="W2496" s="24">
        <v>4</v>
      </c>
      <c r="X2496" s="24">
        <v>4</v>
      </c>
      <c r="Y2496" s="24">
        <v>4</v>
      </c>
      <c r="Z2496" s="20">
        <f t="shared" si="81"/>
        <v>16</v>
      </c>
    </row>
    <row r="2497" spans="1:26" x14ac:dyDescent="0.2">
      <c r="A2497" s="21"/>
      <c r="B2497" s="20"/>
      <c r="C2497" s="22"/>
      <c r="D2497" s="22"/>
      <c r="E2497" s="24"/>
      <c r="F2497" s="22"/>
      <c r="H2497" s="21">
        <v>46044</v>
      </c>
      <c r="I2497" s="22" t="s">
        <v>71</v>
      </c>
      <c r="J2497" s="22" t="s">
        <v>57</v>
      </c>
      <c r="K2497" s="24">
        <v>7</v>
      </c>
      <c r="M2497" s="21">
        <v>46129</v>
      </c>
      <c r="N2497" s="22" t="s">
        <v>70</v>
      </c>
      <c r="O2497" s="22" t="s">
        <v>49</v>
      </c>
      <c r="P2497" s="49">
        <v>79.5</v>
      </c>
      <c r="Q2497" s="49">
        <v>79.5</v>
      </c>
      <c r="R2497" s="46">
        <f t="shared" si="80"/>
        <v>0</v>
      </c>
      <c r="T2497" s="21">
        <v>46096</v>
      </c>
      <c r="U2497" s="22" t="s">
        <v>53</v>
      </c>
      <c r="V2497" s="24">
        <v>4</v>
      </c>
      <c r="W2497" s="24">
        <v>4</v>
      </c>
      <c r="X2497" s="24">
        <v>4</v>
      </c>
      <c r="Y2497" s="24">
        <v>5</v>
      </c>
      <c r="Z2497" s="20">
        <f t="shared" si="81"/>
        <v>17</v>
      </c>
    </row>
    <row r="2498" spans="1:26" x14ac:dyDescent="0.2">
      <c r="A2498" s="21"/>
      <c r="B2498" s="20"/>
      <c r="C2498" s="22"/>
      <c r="D2498" s="22"/>
      <c r="E2498" s="24"/>
      <c r="F2498" s="22"/>
      <c r="H2498" s="21">
        <v>46044</v>
      </c>
      <c r="I2498" s="22" t="s">
        <v>71</v>
      </c>
      <c r="J2498" s="22" t="s">
        <v>42</v>
      </c>
      <c r="K2498" s="24">
        <v>3</v>
      </c>
      <c r="M2498" s="21">
        <v>46129</v>
      </c>
      <c r="N2498" s="22" t="s">
        <v>70</v>
      </c>
      <c r="O2498" s="22" t="s">
        <v>50</v>
      </c>
      <c r="P2498" s="49">
        <v>67</v>
      </c>
      <c r="Q2498" s="49">
        <v>65.900000000000006</v>
      </c>
      <c r="R2498" s="46">
        <f t="shared" si="80"/>
        <v>1.0999999999999943</v>
      </c>
      <c r="T2498" s="21">
        <v>46096</v>
      </c>
      <c r="U2498" s="22" t="s">
        <v>57</v>
      </c>
      <c r="V2498" s="24">
        <v>4</v>
      </c>
      <c r="W2498" s="24">
        <v>4</v>
      </c>
      <c r="X2498" s="24">
        <v>4</v>
      </c>
      <c r="Y2498" s="24">
        <v>5</v>
      </c>
      <c r="Z2498" s="20">
        <f t="shared" si="81"/>
        <v>17</v>
      </c>
    </row>
    <row r="2499" spans="1:26" x14ac:dyDescent="0.2">
      <c r="A2499" s="21"/>
      <c r="B2499" s="20"/>
      <c r="C2499" s="22"/>
      <c r="D2499" s="22"/>
      <c r="E2499" s="24"/>
      <c r="F2499" s="22"/>
      <c r="H2499" s="21">
        <v>46044</v>
      </c>
      <c r="I2499" s="22" t="s">
        <v>71</v>
      </c>
      <c r="J2499" s="22" t="s">
        <v>54</v>
      </c>
      <c r="K2499" s="24">
        <v>7</v>
      </c>
      <c r="M2499" s="21">
        <v>46129</v>
      </c>
      <c r="N2499" s="22" t="s">
        <v>70</v>
      </c>
      <c r="O2499" s="22" t="s">
        <v>51</v>
      </c>
      <c r="P2499" s="49">
        <v>75.3</v>
      </c>
      <c r="Q2499" s="49">
        <v>75</v>
      </c>
      <c r="R2499" s="46">
        <f t="shared" ref="R2499:R2517" si="82">IFERROR(P2499-Q2499,"")</f>
        <v>0.29999999999999716</v>
      </c>
      <c r="T2499" s="21">
        <v>46096</v>
      </c>
      <c r="U2499" s="22" t="s">
        <v>58</v>
      </c>
      <c r="V2499" s="24">
        <v>4</v>
      </c>
      <c r="W2499" s="24">
        <v>4</v>
      </c>
      <c r="X2499" s="24">
        <v>4</v>
      </c>
      <c r="Y2499" s="24">
        <v>5</v>
      </c>
      <c r="Z2499" s="20">
        <f t="shared" ref="Z2499:Z2562" si="83">SUM(V2499:Y2499)</f>
        <v>17</v>
      </c>
    </row>
    <row r="2500" spans="1:26" x14ac:dyDescent="0.2">
      <c r="A2500" s="21"/>
      <c r="B2500" s="20"/>
      <c r="C2500" s="22"/>
      <c r="D2500" s="22"/>
      <c r="E2500" s="24"/>
      <c r="F2500" s="22"/>
      <c r="H2500" s="21">
        <v>46044</v>
      </c>
      <c r="I2500" s="22" t="s">
        <v>71</v>
      </c>
      <c r="J2500" s="22" t="s">
        <v>47</v>
      </c>
      <c r="K2500" s="24" t="s">
        <v>64</v>
      </c>
      <c r="M2500" s="21">
        <v>46129</v>
      </c>
      <c r="N2500" s="22" t="s">
        <v>70</v>
      </c>
      <c r="O2500" s="22" t="s">
        <v>52</v>
      </c>
      <c r="P2500" s="49">
        <v>71.5</v>
      </c>
      <c r="Q2500" s="49">
        <v>71.5</v>
      </c>
      <c r="R2500" s="46">
        <f t="shared" si="82"/>
        <v>0</v>
      </c>
      <c r="T2500" s="21">
        <v>46096</v>
      </c>
      <c r="U2500" s="22" t="s">
        <v>33</v>
      </c>
      <c r="V2500" s="24">
        <v>4.1428571428571397</v>
      </c>
      <c r="W2500" s="24">
        <v>4.1428571428571397</v>
      </c>
      <c r="X2500" s="24">
        <v>3.8571428571428599</v>
      </c>
      <c r="Y2500" s="24">
        <v>4.4285714285714297</v>
      </c>
      <c r="Z2500" s="20">
        <f t="shared" si="83"/>
        <v>16.571428571428569</v>
      </c>
    </row>
    <row r="2501" spans="1:26" x14ac:dyDescent="0.2">
      <c r="A2501" s="21"/>
      <c r="B2501" s="20"/>
      <c r="C2501" s="22"/>
      <c r="D2501" s="22"/>
      <c r="E2501" s="24"/>
      <c r="F2501" s="22"/>
      <c r="H2501" s="21">
        <v>46044</v>
      </c>
      <c r="I2501" s="22" t="s">
        <v>71</v>
      </c>
      <c r="J2501" s="22" t="s">
        <v>41</v>
      </c>
      <c r="K2501" s="24">
        <v>6</v>
      </c>
      <c r="M2501" s="21">
        <v>46129</v>
      </c>
      <c r="N2501" s="22" t="s">
        <v>70</v>
      </c>
      <c r="O2501" s="22" t="s">
        <v>53</v>
      </c>
      <c r="P2501" s="49">
        <v>68.5</v>
      </c>
      <c r="Q2501" s="49">
        <v>67.900000000000006</v>
      </c>
      <c r="R2501" s="46">
        <f t="shared" si="82"/>
        <v>0.59999999999999432</v>
      </c>
      <c r="T2501" s="21">
        <v>46097</v>
      </c>
      <c r="U2501" s="22" t="s">
        <v>41</v>
      </c>
      <c r="V2501" s="24">
        <v>1</v>
      </c>
      <c r="W2501" s="24">
        <v>1</v>
      </c>
      <c r="X2501" s="24">
        <v>1</v>
      </c>
      <c r="Y2501" s="24">
        <v>1</v>
      </c>
      <c r="Z2501" s="20">
        <f t="shared" si="83"/>
        <v>4</v>
      </c>
    </row>
    <row r="2502" spans="1:26" x14ac:dyDescent="0.2">
      <c r="A2502" s="21"/>
      <c r="B2502" s="20"/>
      <c r="C2502" s="22"/>
      <c r="D2502" s="22"/>
      <c r="E2502" s="24"/>
      <c r="F2502" s="22"/>
      <c r="H2502" s="21">
        <v>46044</v>
      </c>
      <c r="I2502" s="22" t="s">
        <v>71</v>
      </c>
      <c r="J2502" s="22" t="s">
        <v>49</v>
      </c>
      <c r="K2502" s="24">
        <v>10</v>
      </c>
      <c r="M2502" s="21">
        <v>46129</v>
      </c>
      <c r="N2502" s="22" t="s">
        <v>70</v>
      </c>
      <c r="O2502" s="22" t="s">
        <v>55</v>
      </c>
      <c r="P2502" s="49">
        <v>79.3</v>
      </c>
      <c r="Q2502" s="49">
        <v>79.400000000000006</v>
      </c>
      <c r="R2502" s="46">
        <f t="shared" si="82"/>
        <v>-0.10000000000000853</v>
      </c>
      <c r="T2502" s="21">
        <v>46097</v>
      </c>
      <c r="U2502" s="22" t="s">
        <v>42</v>
      </c>
      <c r="V2502" s="24">
        <v>4</v>
      </c>
      <c r="W2502" s="24">
        <v>4</v>
      </c>
      <c r="X2502" s="24">
        <v>4</v>
      </c>
      <c r="Y2502" s="24">
        <v>4</v>
      </c>
      <c r="Z2502" s="20">
        <f t="shared" si="83"/>
        <v>16</v>
      </c>
    </row>
    <row r="2503" spans="1:26" x14ac:dyDescent="0.2">
      <c r="A2503" s="21"/>
      <c r="B2503" s="20"/>
      <c r="C2503" s="22"/>
      <c r="D2503" s="22"/>
      <c r="E2503" s="24"/>
      <c r="F2503" s="22"/>
      <c r="H2503" s="21">
        <v>46044</v>
      </c>
      <c r="I2503" s="22" t="s">
        <v>71</v>
      </c>
      <c r="J2503" s="22" t="s">
        <v>50</v>
      </c>
      <c r="K2503" s="24">
        <v>8</v>
      </c>
      <c r="M2503" s="21">
        <v>46132</v>
      </c>
      <c r="N2503" s="22" t="s">
        <v>70</v>
      </c>
      <c r="O2503" s="22" t="s">
        <v>41</v>
      </c>
      <c r="P2503" s="49">
        <v>77</v>
      </c>
      <c r="Q2503" s="49">
        <v>76.8</v>
      </c>
      <c r="R2503" s="46">
        <f t="shared" si="82"/>
        <v>0.20000000000000284</v>
      </c>
      <c r="T2503" s="21">
        <v>46097</v>
      </c>
      <c r="U2503" s="22" t="s">
        <v>44</v>
      </c>
      <c r="V2503" s="24">
        <v>5</v>
      </c>
      <c r="W2503" s="24">
        <v>3</v>
      </c>
      <c r="X2503" s="24">
        <v>3</v>
      </c>
      <c r="Y2503" s="24">
        <v>5</v>
      </c>
      <c r="Z2503" s="20">
        <f t="shared" si="83"/>
        <v>16</v>
      </c>
    </row>
    <row r="2504" spans="1:26" x14ac:dyDescent="0.2">
      <c r="A2504" s="21"/>
      <c r="B2504" s="20"/>
      <c r="C2504" s="22"/>
      <c r="D2504" s="22"/>
      <c r="E2504" s="24"/>
      <c r="F2504" s="22"/>
      <c r="H2504" s="21">
        <v>46044</v>
      </c>
      <c r="I2504" s="22" t="s">
        <v>71</v>
      </c>
      <c r="J2504" s="22" t="s">
        <v>51</v>
      </c>
      <c r="K2504" s="24">
        <v>9</v>
      </c>
      <c r="M2504" s="21">
        <v>46132</v>
      </c>
      <c r="N2504" s="22" t="s">
        <v>70</v>
      </c>
      <c r="O2504" s="22" t="s">
        <v>42</v>
      </c>
      <c r="P2504" s="49">
        <v>79.400000000000006</v>
      </c>
      <c r="Q2504" s="49">
        <v>78.8</v>
      </c>
      <c r="R2504" s="46">
        <f t="shared" si="82"/>
        <v>0.60000000000000853</v>
      </c>
      <c r="T2504" s="21">
        <v>46097</v>
      </c>
      <c r="U2504" s="22" t="s">
        <v>45</v>
      </c>
      <c r="V2504" s="24">
        <v>5</v>
      </c>
      <c r="W2504" s="24">
        <v>4</v>
      </c>
      <c r="X2504" s="24">
        <v>4</v>
      </c>
      <c r="Y2504" s="24">
        <v>5</v>
      </c>
      <c r="Z2504" s="20">
        <f t="shared" si="83"/>
        <v>18</v>
      </c>
    </row>
    <row r="2505" spans="1:26" x14ac:dyDescent="0.2">
      <c r="A2505" s="21"/>
      <c r="B2505" s="20"/>
      <c r="C2505" s="22"/>
      <c r="D2505" s="22"/>
      <c r="E2505" s="24"/>
      <c r="F2505" s="22"/>
      <c r="H2505" s="21">
        <v>46044</v>
      </c>
      <c r="I2505" s="22" t="s">
        <v>71</v>
      </c>
      <c r="J2505" s="22" t="s">
        <v>46</v>
      </c>
      <c r="K2505" s="24">
        <v>9</v>
      </c>
      <c r="M2505" s="21">
        <v>46132</v>
      </c>
      <c r="N2505" s="22" t="s">
        <v>70</v>
      </c>
      <c r="O2505" s="22" t="s">
        <v>44</v>
      </c>
      <c r="P2505" s="49">
        <v>67.099999999999994</v>
      </c>
      <c r="Q2505" s="49">
        <v>67.5</v>
      </c>
      <c r="R2505" s="46">
        <f t="shared" si="82"/>
        <v>-0.40000000000000568</v>
      </c>
      <c r="T2505" s="21">
        <v>46097</v>
      </c>
      <c r="U2505" s="22" t="s">
        <v>46</v>
      </c>
      <c r="V2505" s="24">
        <v>5</v>
      </c>
      <c r="W2505" s="24">
        <v>4</v>
      </c>
      <c r="X2505" s="24">
        <v>4</v>
      </c>
      <c r="Y2505" s="24">
        <v>5</v>
      </c>
      <c r="Z2505" s="20">
        <f t="shared" si="83"/>
        <v>18</v>
      </c>
    </row>
    <row r="2506" spans="1:26" x14ac:dyDescent="0.2">
      <c r="A2506" s="21"/>
      <c r="B2506" s="20"/>
      <c r="C2506" s="22"/>
      <c r="D2506" s="22"/>
      <c r="E2506" s="24"/>
      <c r="F2506" s="22"/>
      <c r="H2506" s="21">
        <v>46044</v>
      </c>
      <c r="I2506" s="22" t="s">
        <v>71</v>
      </c>
      <c r="J2506" s="22" t="s">
        <v>48</v>
      </c>
      <c r="K2506" s="24" t="s">
        <v>64</v>
      </c>
      <c r="M2506" s="21">
        <v>46132</v>
      </c>
      <c r="N2506" s="22" t="s">
        <v>70</v>
      </c>
      <c r="O2506" s="22" t="s">
        <v>45</v>
      </c>
      <c r="P2506" s="49">
        <v>69</v>
      </c>
      <c r="Q2506" s="49">
        <v>68.5</v>
      </c>
      <c r="R2506" s="46">
        <f t="shared" si="82"/>
        <v>0.5</v>
      </c>
      <c r="T2506" s="21">
        <v>46097</v>
      </c>
      <c r="U2506" s="22" t="s">
        <v>47</v>
      </c>
      <c r="V2506" s="24">
        <v>5</v>
      </c>
      <c r="W2506" s="24">
        <v>4</v>
      </c>
      <c r="X2506" s="24">
        <v>4</v>
      </c>
      <c r="Y2506" s="24">
        <v>4</v>
      </c>
      <c r="Z2506" s="20">
        <f t="shared" si="83"/>
        <v>17</v>
      </c>
    </row>
    <row r="2507" spans="1:26" x14ac:dyDescent="0.2">
      <c r="A2507" s="21"/>
      <c r="B2507" s="20"/>
      <c r="C2507" s="22"/>
      <c r="D2507" s="22"/>
      <c r="E2507" s="24"/>
      <c r="F2507" s="22"/>
      <c r="H2507" s="21">
        <v>46044</v>
      </c>
      <c r="I2507" s="22" t="s">
        <v>71</v>
      </c>
      <c r="J2507" s="22" t="s">
        <v>56</v>
      </c>
      <c r="K2507" s="24">
        <v>9</v>
      </c>
      <c r="M2507" s="21">
        <v>46132</v>
      </c>
      <c r="N2507" s="22" t="s">
        <v>70</v>
      </c>
      <c r="O2507" s="22" t="s">
        <v>46</v>
      </c>
      <c r="P2507" s="49">
        <v>81.5</v>
      </c>
      <c r="Q2507" s="49">
        <v>81.3</v>
      </c>
      <c r="R2507" s="46">
        <f t="shared" si="82"/>
        <v>0.20000000000000284</v>
      </c>
      <c r="T2507" s="21">
        <v>46097</v>
      </c>
      <c r="U2507" s="22" t="s">
        <v>48</v>
      </c>
      <c r="V2507" s="24">
        <v>5</v>
      </c>
      <c r="W2507" s="24">
        <v>5</v>
      </c>
      <c r="X2507" s="24">
        <v>5</v>
      </c>
      <c r="Y2507" s="24">
        <v>5</v>
      </c>
      <c r="Z2507" s="20">
        <f t="shared" si="83"/>
        <v>20</v>
      </c>
    </row>
    <row r="2508" spans="1:26" x14ac:dyDescent="0.2">
      <c r="A2508" s="21"/>
      <c r="B2508" s="20"/>
      <c r="C2508" s="22"/>
      <c r="D2508" s="22"/>
      <c r="E2508" s="24"/>
      <c r="F2508" s="22"/>
      <c r="H2508" s="21">
        <v>46045</v>
      </c>
      <c r="I2508" s="22" t="s">
        <v>70</v>
      </c>
      <c r="J2508" s="22" t="s">
        <v>52</v>
      </c>
      <c r="K2508" s="24">
        <v>9</v>
      </c>
      <c r="M2508" s="21">
        <v>46132</v>
      </c>
      <c r="N2508" s="22" t="s">
        <v>70</v>
      </c>
      <c r="O2508" s="22" t="s">
        <v>47</v>
      </c>
      <c r="P2508" s="49">
        <v>71.5</v>
      </c>
      <c r="Q2508" s="49">
        <v>71</v>
      </c>
      <c r="R2508" s="46">
        <f t="shared" si="82"/>
        <v>0.5</v>
      </c>
      <c r="T2508" s="21">
        <v>46097</v>
      </c>
      <c r="U2508" s="22" t="s">
        <v>49</v>
      </c>
      <c r="V2508" s="24">
        <v>4</v>
      </c>
      <c r="W2508" s="24">
        <v>3</v>
      </c>
      <c r="X2508" s="24">
        <v>3</v>
      </c>
      <c r="Y2508" s="24">
        <v>4</v>
      </c>
      <c r="Z2508" s="20">
        <f t="shared" si="83"/>
        <v>14</v>
      </c>
    </row>
    <row r="2509" spans="1:26" x14ac:dyDescent="0.2">
      <c r="A2509" s="21"/>
      <c r="B2509" s="20"/>
      <c r="C2509" s="22"/>
      <c r="D2509" s="22"/>
      <c r="E2509" s="24"/>
      <c r="F2509" s="22"/>
      <c r="H2509" s="21">
        <v>46045</v>
      </c>
      <c r="I2509" s="22" t="s">
        <v>70</v>
      </c>
      <c r="J2509" s="22" t="s">
        <v>53</v>
      </c>
      <c r="K2509" s="24">
        <v>8</v>
      </c>
      <c r="M2509" s="21">
        <v>46132</v>
      </c>
      <c r="N2509" s="22" t="s">
        <v>70</v>
      </c>
      <c r="O2509" s="22" t="s">
        <v>48</v>
      </c>
      <c r="P2509" s="49">
        <v>80</v>
      </c>
      <c r="Q2509" s="49">
        <v>80</v>
      </c>
      <c r="R2509" s="46">
        <f t="shared" si="82"/>
        <v>0</v>
      </c>
      <c r="T2509" s="21">
        <v>46097</v>
      </c>
      <c r="U2509" s="22" t="s">
        <v>50</v>
      </c>
      <c r="V2509" s="24">
        <v>4</v>
      </c>
      <c r="W2509" s="24">
        <v>3</v>
      </c>
      <c r="X2509" s="24">
        <v>3</v>
      </c>
      <c r="Y2509" s="24">
        <v>4</v>
      </c>
      <c r="Z2509" s="20">
        <f t="shared" si="83"/>
        <v>14</v>
      </c>
    </row>
    <row r="2510" spans="1:26" x14ac:dyDescent="0.2">
      <c r="A2510" s="21"/>
      <c r="B2510" s="20"/>
      <c r="C2510" s="22"/>
      <c r="D2510" s="22"/>
      <c r="E2510" s="24"/>
      <c r="F2510" s="22"/>
      <c r="H2510" s="21">
        <v>46045</v>
      </c>
      <c r="I2510" s="22" t="s">
        <v>70</v>
      </c>
      <c r="J2510" s="22" t="s">
        <v>44</v>
      </c>
      <c r="K2510" s="24" t="s">
        <v>64</v>
      </c>
      <c r="M2510" s="21">
        <v>46132</v>
      </c>
      <c r="N2510" s="22" t="s">
        <v>70</v>
      </c>
      <c r="O2510" s="22" t="s">
        <v>49</v>
      </c>
      <c r="P2510" s="49">
        <v>79.599999999999994</v>
      </c>
      <c r="Q2510" s="49">
        <v>79.400000000000006</v>
      </c>
      <c r="R2510" s="46">
        <f t="shared" si="82"/>
        <v>0.19999999999998863</v>
      </c>
      <c r="T2510" s="21">
        <v>46097</v>
      </c>
      <c r="U2510" s="22" t="s">
        <v>51</v>
      </c>
      <c r="V2510" s="24">
        <v>4</v>
      </c>
      <c r="W2510" s="24">
        <v>4</v>
      </c>
      <c r="X2510" s="24">
        <v>4</v>
      </c>
      <c r="Y2510" s="24">
        <v>5</v>
      </c>
      <c r="Z2510" s="20">
        <f t="shared" si="83"/>
        <v>17</v>
      </c>
    </row>
    <row r="2511" spans="1:26" x14ac:dyDescent="0.2">
      <c r="A2511" s="21"/>
      <c r="B2511" s="20"/>
      <c r="C2511" s="22"/>
      <c r="D2511" s="22"/>
      <c r="E2511" s="24"/>
      <c r="F2511" s="22"/>
      <c r="H2511" s="21">
        <v>46045</v>
      </c>
      <c r="I2511" s="22" t="s">
        <v>70</v>
      </c>
      <c r="J2511" s="22" t="s">
        <v>45</v>
      </c>
      <c r="K2511" s="24">
        <v>9</v>
      </c>
      <c r="M2511" s="21">
        <v>46132</v>
      </c>
      <c r="N2511" s="22" t="s">
        <v>70</v>
      </c>
      <c r="O2511" s="22" t="s">
        <v>50</v>
      </c>
      <c r="P2511" s="49">
        <v>67.8</v>
      </c>
      <c r="Q2511" s="49">
        <v>66.5</v>
      </c>
      <c r="R2511" s="46">
        <f t="shared" si="82"/>
        <v>1.2999999999999972</v>
      </c>
      <c r="T2511" s="21">
        <v>46097</v>
      </c>
      <c r="U2511" s="22" t="s">
        <v>52</v>
      </c>
      <c r="V2511" s="24">
        <v>4</v>
      </c>
      <c r="W2511" s="24">
        <v>4</v>
      </c>
      <c r="X2511" s="24">
        <v>4</v>
      </c>
      <c r="Y2511" s="24">
        <v>4</v>
      </c>
      <c r="Z2511" s="20">
        <f t="shared" si="83"/>
        <v>16</v>
      </c>
    </row>
    <row r="2512" spans="1:26" x14ac:dyDescent="0.2">
      <c r="A2512" s="21"/>
      <c r="B2512" s="20"/>
      <c r="C2512" s="22"/>
      <c r="D2512" s="22"/>
      <c r="E2512" s="24"/>
      <c r="F2512" s="22"/>
      <c r="H2512" s="21">
        <v>46045</v>
      </c>
      <c r="I2512" s="22" t="s">
        <v>70</v>
      </c>
      <c r="J2512" s="22" t="s">
        <v>57</v>
      </c>
      <c r="K2512" s="24">
        <v>7</v>
      </c>
      <c r="M2512" s="21">
        <v>46132</v>
      </c>
      <c r="N2512" s="22" t="s">
        <v>70</v>
      </c>
      <c r="O2512" s="22" t="s">
        <v>51</v>
      </c>
      <c r="P2512" s="49">
        <v>75.5</v>
      </c>
      <c r="Q2512" s="49">
        <v>75</v>
      </c>
      <c r="R2512" s="46">
        <f t="shared" si="82"/>
        <v>0.5</v>
      </c>
      <c r="T2512" s="21">
        <v>46097</v>
      </c>
      <c r="U2512" s="22" t="s">
        <v>53</v>
      </c>
      <c r="V2512" s="24">
        <v>4</v>
      </c>
      <c r="W2512" s="24">
        <v>4</v>
      </c>
      <c r="X2512" s="24">
        <v>4</v>
      </c>
      <c r="Y2512" s="24">
        <v>4</v>
      </c>
      <c r="Z2512" s="20">
        <f t="shared" si="83"/>
        <v>16</v>
      </c>
    </row>
    <row r="2513" spans="1:26" x14ac:dyDescent="0.2">
      <c r="A2513" s="21"/>
      <c r="B2513" s="20"/>
      <c r="C2513" s="22"/>
      <c r="D2513" s="22"/>
      <c r="E2513" s="24"/>
      <c r="F2513" s="22"/>
      <c r="H2513" s="21">
        <v>46045</v>
      </c>
      <c r="I2513" s="22" t="s">
        <v>70</v>
      </c>
      <c r="J2513" s="22" t="s">
        <v>42</v>
      </c>
      <c r="K2513" s="24">
        <v>4</v>
      </c>
      <c r="M2513" s="21">
        <v>46132</v>
      </c>
      <c r="N2513" s="22" t="s">
        <v>70</v>
      </c>
      <c r="O2513" s="22" t="s">
        <v>52</v>
      </c>
      <c r="P2513" s="49">
        <v>71.5</v>
      </c>
      <c r="Q2513" s="49">
        <v>71.5</v>
      </c>
      <c r="R2513" s="46">
        <f t="shared" si="82"/>
        <v>0</v>
      </c>
      <c r="T2513" s="21">
        <v>46097</v>
      </c>
      <c r="U2513" s="22" t="s">
        <v>57</v>
      </c>
      <c r="V2513" s="24">
        <v>3</v>
      </c>
      <c r="W2513" s="24">
        <v>4</v>
      </c>
      <c r="X2513" s="24">
        <v>4</v>
      </c>
      <c r="Y2513" s="24">
        <v>4</v>
      </c>
      <c r="Z2513" s="20">
        <f t="shared" si="83"/>
        <v>15</v>
      </c>
    </row>
    <row r="2514" spans="1:26" x14ac:dyDescent="0.2">
      <c r="A2514" s="21"/>
      <c r="B2514" s="20"/>
      <c r="C2514" s="22"/>
      <c r="D2514" s="22"/>
      <c r="E2514" s="24"/>
      <c r="F2514" s="22"/>
      <c r="H2514" s="21">
        <v>46045</v>
      </c>
      <c r="I2514" s="22" t="s">
        <v>70</v>
      </c>
      <c r="J2514" s="22" t="s">
        <v>54</v>
      </c>
      <c r="K2514" s="24">
        <v>9</v>
      </c>
      <c r="M2514" s="21">
        <v>46132</v>
      </c>
      <c r="N2514" s="22" t="s">
        <v>70</v>
      </c>
      <c r="O2514" s="22" t="s">
        <v>53</v>
      </c>
      <c r="P2514" s="49">
        <v>69</v>
      </c>
      <c r="Q2514" s="49">
        <v>68.5</v>
      </c>
      <c r="R2514" s="46">
        <f t="shared" si="82"/>
        <v>0.5</v>
      </c>
      <c r="T2514" s="21">
        <v>46097</v>
      </c>
      <c r="U2514" s="22" t="s">
        <v>58</v>
      </c>
      <c r="V2514" s="24">
        <v>5</v>
      </c>
      <c r="W2514" s="24">
        <v>4</v>
      </c>
      <c r="X2514" s="24">
        <v>4</v>
      </c>
      <c r="Y2514" s="24">
        <v>4</v>
      </c>
      <c r="Z2514" s="20">
        <f t="shared" si="83"/>
        <v>17</v>
      </c>
    </row>
    <row r="2515" spans="1:26" x14ac:dyDescent="0.2">
      <c r="A2515" s="21"/>
      <c r="B2515" s="20"/>
      <c r="C2515" s="22"/>
      <c r="D2515" s="22"/>
      <c r="E2515" s="24"/>
      <c r="F2515" s="22"/>
      <c r="H2515" s="21">
        <v>46045</v>
      </c>
      <c r="I2515" s="22" t="s">
        <v>70</v>
      </c>
      <c r="J2515" s="22" t="s">
        <v>47</v>
      </c>
      <c r="K2515" s="24" t="s">
        <v>64</v>
      </c>
      <c r="M2515" s="21">
        <v>46132</v>
      </c>
      <c r="N2515" s="22" t="s">
        <v>70</v>
      </c>
      <c r="O2515" s="22" t="s">
        <v>55</v>
      </c>
      <c r="P2515" s="49">
        <v>78</v>
      </c>
      <c r="Q2515" s="49">
        <v>77.400000000000006</v>
      </c>
      <c r="R2515" s="46">
        <f t="shared" si="82"/>
        <v>0.59999999999999432</v>
      </c>
      <c r="T2515" s="21">
        <v>46097</v>
      </c>
      <c r="U2515" s="22" t="s">
        <v>33</v>
      </c>
      <c r="V2515" s="24">
        <v>4.1428571428571397</v>
      </c>
      <c r="W2515" s="24">
        <v>3.6428571428571401</v>
      </c>
      <c r="X2515" s="24">
        <v>3.6428571428571401</v>
      </c>
      <c r="Y2515" s="24">
        <v>4.1428571428571397</v>
      </c>
      <c r="Z2515" s="20">
        <f t="shared" si="83"/>
        <v>15.571428571428559</v>
      </c>
    </row>
    <row r="2516" spans="1:26" x14ac:dyDescent="0.2">
      <c r="A2516" s="21"/>
      <c r="B2516" s="20"/>
      <c r="C2516" s="22"/>
      <c r="D2516" s="22"/>
      <c r="E2516" s="24"/>
      <c r="F2516" s="22"/>
      <c r="H2516" s="21">
        <v>46045</v>
      </c>
      <c r="I2516" s="22" t="s">
        <v>70</v>
      </c>
      <c r="J2516" s="22" t="s">
        <v>41</v>
      </c>
      <c r="K2516" s="24">
        <v>4</v>
      </c>
      <c r="M2516" s="21">
        <v>46132</v>
      </c>
      <c r="N2516" s="22" t="s">
        <v>70</v>
      </c>
      <c r="O2516" s="22" t="s">
        <v>56</v>
      </c>
      <c r="P2516" s="49">
        <v>74.099999999999994</v>
      </c>
      <c r="Q2516" s="49">
        <v>74.099999999999994</v>
      </c>
      <c r="R2516" s="46">
        <f t="shared" si="82"/>
        <v>0</v>
      </c>
      <c r="T2516" s="21">
        <v>46098</v>
      </c>
      <c r="U2516" s="22" t="s">
        <v>41</v>
      </c>
      <c r="V2516" s="24">
        <v>1</v>
      </c>
      <c r="W2516" s="24">
        <v>1</v>
      </c>
      <c r="X2516" s="24">
        <v>1</v>
      </c>
      <c r="Y2516" s="24">
        <v>1</v>
      </c>
      <c r="Z2516" s="20">
        <f t="shared" si="83"/>
        <v>4</v>
      </c>
    </row>
    <row r="2517" spans="1:26" x14ac:dyDescent="0.2">
      <c r="A2517" s="21"/>
      <c r="B2517" s="20"/>
      <c r="C2517" s="22"/>
      <c r="D2517" s="22"/>
      <c r="E2517" s="24"/>
      <c r="F2517" s="22"/>
      <c r="H2517" s="21">
        <v>46045</v>
      </c>
      <c r="I2517" s="22" t="s">
        <v>70</v>
      </c>
      <c r="J2517" s="22" t="s">
        <v>58</v>
      </c>
      <c r="K2517" s="24">
        <v>8</v>
      </c>
      <c r="M2517" s="21">
        <v>46132</v>
      </c>
      <c r="N2517" s="22" t="s">
        <v>70</v>
      </c>
      <c r="O2517" s="22" t="s">
        <v>57</v>
      </c>
      <c r="P2517" s="49">
        <v>89.5</v>
      </c>
      <c r="Q2517" s="49">
        <v>89.3</v>
      </c>
      <c r="R2517" s="46">
        <f t="shared" si="82"/>
        <v>0.20000000000000284</v>
      </c>
      <c r="T2517" s="21">
        <v>46098</v>
      </c>
      <c r="U2517" s="22" t="s">
        <v>42</v>
      </c>
      <c r="V2517" s="24">
        <v>4</v>
      </c>
      <c r="W2517" s="24">
        <v>4</v>
      </c>
      <c r="X2517" s="24">
        <v>4</v>
      </c>
      <c r="Y2517" s="24">
        <v>4</v>
      </c>
      <c r="Z2517" s="20">
        <f t="shared" si="83"/>
        <v>16</v>
      </c>
    </row>
    <row r="2518" spans="1:26" x14ac:dyDescent="0.2">
      <c r="A2518" s="21"/>
      <c r="B2518" s="20"/>
      <c r="C2518" s="22"/>
      <c r="D2518" s="22"/>
      <c r="E2518" s="24"/>
      <c r="F2518" s="22"/>
      <c r="H2518" s="21">
        <v>46045</v>
      </c>
      <c r="I2518" s="22" t="s">
        <v>70</v>
      </c>
      <c r="J2518" s="22" t="s">
        <v>49</v>
      </c>
      <c r="K2518" s="24">
        <v>9</v>
      </c>
      <c r="M2518" s="21">
        <v>46133</v>
      </c>
      <c r="N2518" s="22" t="s">
        <v>70</v>
      </c>
      <c r="O2518" s="22" t="s">
        <v>41</v>
      </c>
      <c r="P2518" s="49">
        <v>77</v>
      </c>
      <c r="Q2518" s="49">
        <v>76.2</v>
      </c>
      <c r="R2518" s="46">
        <f t="shared" ref="R2518:R2581" si="84">IF(OR(P2518="",Q2518=""),"",IFERROR(P2518-Q2518,""))</f>
        <v>0.79999999999999716</v>
      </c>
      <c r="T2518" s="21">
        <v>46098</v>
      </c>
      <c r="U2518" s="22" t="s">
        <v>44</v>
      </c>
      <c r="V2518" s="24">
        <v>5</v>
      </c>
      <c r="W2518" s="24">
        <v>3</v>
      </c>
      <c r="X2518" s="24">
        <v>3</v>
      </c>
      <c r="Y2518" s="24">
        <v>5</v>
      </c>
      <c r="Z2518" s="20">
        <f t="shared" si="83"/>
        <v>16</v>
      </c>
    </row>
    <row r="2519" spans="1:26" x14ac:dyDescent="0.2">
      <c r="A2519" s="21"/>
      <c r="B2519" s="20"/>
      <c r="C2519" s="22"/>
      <c r="D2519" s="22"/>
      <c r="E2519" s="24"/>
      <c r="F2519" s="22"/>
      <c r="H2519" s="21">
        <v>46045</v>
      </c>
      <c r="I2519" s="22" t="s">
        <v>70</v>
      </c>
      <c r="J2519" s="22" t="s">
        <v>50</v>
      </c>
      <c r="K2519" s="24">
        <v>9</v>
      </c>
      <c r="M2519" s="21">
        <v>46133</v>
      </c>
      <c r="N2519" s="22" t="s">
        <v>70</v>
      </c>
      <c r="O2519" s="22" t="s">
        <v>42</v>
      </c>
      <c r="P2519" s="49">
        <v>79</v>
      </c>
      <c r="Q2519" s="49">
        <v>78.8</v>
      </c>
      <c r="R2519" s="46">
        <f t="shared" si="84"/>
        <v>0.20000000000000284</v>
      </c>
      <c r="T2519" s="21">
        <v>46098</v>
      </c>
      <c r="U2519" s="22" t="s">
        <v>45</v>
      </c>
      <c r="V2519" s="24">
        <v>4</v>
      </c>
      <c r="W2519" s="24">
        <v>4</v>
      </c>
      <c r="X2519" s="24">
        <v>4</v>
      </c>
      <c r="Y2519" s="24">
        <v>5</v>
      </c>
      <c r="Z2519" s="20">
        <f t="shared" si="83"/>
        <v>17</v>
      </c>
    </row>
    <row r="2520" spans="1:26" x14ac:dyDescent="0.2">
      <c r="A2520" s="21"/>
      <c r="B2520" s="20"/>
      <c r="C2520" s="22"/>
      <c r="D2520" s="22"/>
      <c r="E2520" s="24"/>
      <c r="F2520" s="22"/>
      <c r="H2520" s="21">
        <v>46045</v>
      </c>
      <c r="I2520" s="22" t="s">
        <v>70</v>
      </c>
      <c r="J2520" s="22" t="s">
        <v>51</v>
      </c>
      <c r="K2520" s="24">
        <v>9</v>
      </c>
      <c r="M2520" s="21">
        <v>46133</v>
      </c>
      <c r="N2520" s="22" t="s">
        <v>70</v>
      </c>
      <c r="O2520" s="22" t="s">
        <v>44</v>
      </c>
      <c r="P2520" s="49">
        <v>67.2</v>
      </c>
      <c r="Q2520" s="49">
        <v>67.099999999999994</v>
      </c>
      <c r="R2520" s="46">
        <f t="shared" si="84"/>
        <v>0.10000000000000853</v>
      </c>
      <c r="T2520" s="21">
        <v>46098</v>
      </c>
      <c r="U2520" s="22" t="s">
        <v>46</v>
      </c>
      <c r="V2520" s="24">
        <v>5</v>
      </c>
      <c r="W2520" s="24">
        <v>4</v>
      </c>
      <c r="X2520" s="24">
        <v>4</v>
      </c>
      <c r="Y2520" s="24">
        <v>5</v>
      </c>
      <c r="Z2520" s="20">
        <f t="shared" si="83"/>
        <v>18</v>
      </c>
    </row>
    <row r="2521" spans="1:26" x14ac:dyDescent="0.2">
      <c r="A2521" s="21"/>
      <c r="B2521" s="20"/>
      <c r="C2521" s="22"/>
      <c r="D2521" s="22"/>
      <c r="E2521" s="24"/>
      <c r="F2521" s="22"/>
      <c r="H2521" s="21">
        <v>46045</v>
      </c>
      <c r="I2521" s="22" t="s">
        <v>70</v>
      </c>
      <c r="J2521" s="22" t="s">
        <v>46</v>
      </c>
      <c r="K2521" s="24">
        <v>9</v>
      </c>
      <c r="M2521" s="21">
        <v>46133</v>
      </c>
      <c r="N2521" s="22" t="s">
        <v>70</v>
      </c>
      <c r="O2521" s="22" t="s">
        <v>45</v>
      </c>
      <c r="P2521" s="49">
        <v>69</v>
      </c>
      <c r="Q2521" s="49">
        <v>68.5</v>
      </c>
      <c r="R2521" s="46">
        <f t="shared" si="84"/>
        <v>0.5</v>
      </c>
      <c r="T2521" s="21">
        <v>46098</v>
      </c>
      <c r="U2521" s="22" t="s">
        <v>47</v>
      </c>
      <c r="V2521" s="24">
        <v>4</v>
      </c>
      <c r="W2521" s="24">
        <v>4</v>
      </c>
      <c r="X2521" s="24">
        <v>4</v>
      </c>
      <c r="Y2521" s="24">
        <v>3</v>
      </c>
      <c r="Z2521" s="20">
        <f t="shared" si="83"/>
        <v>15</v>
      </c>
    </row>
    <row r="2522" spans="1:26" x14ac:dyDescent="0.2">
      <c r="A2522" s="21"/>
      <c r="B2522" s="20"/>
      <c r="C2522" s="22"/>
      <c r="D2522" s="22"/>
      <c r="E2522" s="24"/>
      <c r="F2522" s="22"/>
      <c r="H2522" s="21">
        <v>46045</v>
      </c>
      <c r="I2522" s="22" t="s">
        <v>70</v>
      </c>
      <c r="J2522" s="22" t="s">
        <v>48</v>
      </c>
      <c r="K2522" s="24" t="s">
        <v>64</v>
      </c>
      <c r="M2522" s="21">
        <v>46133</v>
      </c>
      <c r="N2522" s="22" t="s">
        <v>70</v>
      </c>
      <c r="O2522" s="22" t="s">
        <v>46</v>
      </c>
      <c r="P2522" s="49">
        <v>81.400000000000006</v>
      </c>
      <c r="Q2522" s="49">
        <v>81.5</v>
      </c>
      <c r="R2522" s="46">
        <f t="shared" si="84"/>
        <v>-9.9999999999994316E-2</v>
      </c>
      <c r="T2522" s="21">
        <v>46098</v>
      </c>
      <c r="U2522" s="22" t="s">
        <v>48</v>
      </c>
      <c r="V2522" s="24">
        <v>5</v>
      </c>
      <c r="W2522" s="24">
        <v>5</v>
      </c>
      <c r="X2522" s="24">
        <v>5</v>
      </c>
      <c r="Y2522" s="24">
        <v>5</v>
      </c>
      <c r="Z2522" s="20">
        <f t="shared" si="83"/>
        <v>20</v>
      </c>
    </row>
    <row r="2523" spans="1:26" x14ac:dyDescent="0.2">
      <c r="A2523" s="21"/>
      <c r="B2523" s="20"/>
      <c r="C2523" s="22"/>
      <c r="D2523" s="22"/>
      <c r="E2523" s="24"/>
      <c r="F2523" s="22"/>
      <c r="H2523" s="21">
        <v>46045</v>
      </c>
      <c r="I2523" s="22" t="s">
        <v>70</v>
      </c>
      <c r="J2523" s="22" t="s">
        <v>56</v>
      </c>
      <c r="K2523" s="24">
        <v>9</v>
      </c>
      <c r="M2523" s="21">
        <v>46133</v>
      </c>
      <c r="N2523" s="22" t="s">
        <v>70</v>
      </c>
      <c r="O2523" s="22" t="s">
        <v>47</v>
      </c>
      <c r="P2523" s="49">
        <v>71.5</v>
      </c>
      <c r="Q2523" s="49">
        <v>72</v>
      </c>
      <c r="R2523" s="46">
        <f t="shared" si="84"/>
        <v>-0.5</v>
      </c>
      <c r="T2523" s="21">
        <v>46098</v>
      </c>
      <c r="U2523" s="22" t="s">
        <v>49</v>
      </c>
      <c r="V2523" s="24">
        <v>4</v>
      </c>
      <c r="W2523" s="24">
        <v>4</v>
      </c>
      <c r="X2523" s="24">
        <v>4</v>
      </c>
      <c r="Y2523" s="24">
        <v>4</v>
      </c>
      <c r="Z2523" s="20">
        <f t="shared" si="83"/>
        <v>16</v>
      </c>
    </row>
    <row r="2524" spans="1:26" x14ac:dyDescent="0.2">
      <c r="A2524" s="21"/>
      <c r="B2524" s="20"/>
      <c r="C2524" s="22"/>
      <c r="D2524" s="22"/>
      <c r="E2524" s="24"/>
      <c r="F2524" s="22"/>
      <c r="H2524" s="21">
        <v>46048</v>
      </c>
      <c r="I2524" s="22" t="s">
        <v>71</v>
      </c>
      <c r="J2524" s="22" t="s">
        <v>52</v>
      </c>
      <c r="K2524" s="24">
        <v>6</v>
      </c>
      <c r="M2524" s="21">
        <v>46133</v>
      </c>
      <c r="N2524" s="22" t="s">
        <v>70</v>
      </c>
      <c r="O2524" s="22" t="s">
        <v>48</v>
      </c>
      <c r="P2524" s="49">
        <v>80.8</v>
      </c>
      <c r="Q2524" s="49">
        <v>80</v>
      </c>
      <c r="R2524" s="46">
        <f t="shared" si="84"/>
        <v>0.79999999999999716</v>
      </c>
      <c r="T2524" s="21">
        <v>46098</v>
      </c>
      <c r="U2524" s="22" t="s">
        <v>50</v>
      </c>
      <c r="V2524" s="24">
        <v>3</v>
      </c>
      <c r="W2524" s="24">
        <v>4</v>
      </c>
      <c r="X2524" s="24">
        <v>3</v>
      </c>
      <c r="Y2524" s="24">
        <v>4</v>
      </c>
      <c r="Z2524" s="20">
        <f t="shared" si="83"/>
        <v>14</v>
      </c>
    </row>
    <row r="2525" spans="1:26" x14ac:dyDescent="0.2">
      <c r="A2525" s="21"/>
      <c r="B2525" s="20"/>
      <c r="C2525" s="22"/>
      <c r="D2525" s="22"/>
      <c r="E2525" s="24"/>
      <c r="F2525" s="22"/>
      <c r="H2525" s="21">
        <v>46048</v>
      </c>
      <c r="I2525" s="22" t="s">
        <v>71</v>
      </c>
      <c r="J2525" s="22" t="s">
        <v>53</v>
      </c>
      <c r="K2525" s="24">
        <v>6</v>
      </c>
      <c r="M2525" s="21">
        <v>46133</v>
      </c>
      <c r="N2525" s="22" t="s">
        <v>70</v>
      </c>
      <c r="O2525" s="22" t="s">
        <v>49</v>
      </c>
      <c r="P2525" s="49">
        <v>79.599999999999994</v>
      </c>
      <c r="Q2525" s="49">
        <v>79.2</v>
      </c>
      <c r="R2525" s="46">
        <f t="shared" si="84"/>
        <v>0.39999999999999147</v>
      </c>
      <c r="T2525" s="21">
        <v>46098</v>
      </c>
      <c r="U2525" s="22" t="s">
        <v>51</v>
      </c>
      <c r="V2525" s="24">
        <v>4</v>
      </c>
      <c r="W2525" s="24">
        <v>4</v>
      </c>
      <c r="X2525" s="24">
        <v>4</v>
      </c>
      <c r="Y2525" s="24">
        <v>4</v>
      </c>
      <c r="Z2525" s="20">
        <f t="shared" si="83"/>
        <v>16</v>
      </c>
    </row>
    <row r="2526" spans="1:26" x14ac:dyDescent="0.2">
      <c r="A2526" s="21"/>
      <c r="B2526" s="20"/>
      <c r="C2526" s="22"/>
      <c r="D2526" s="22"/>
      <c r="E2526" s="24"/>
      <c r="F2526" s="22"/>
      <c r="H2526" s="21">
        <v>46048</v>
      </c>
      <c r="I2526" s="22" t="s">
        <v>71</v>
      </c>
      <c r="J2526" s="22" t="s">
        <v>44</v>
      </c>
      <c r="K2526" s="24" t="s">
        <v>64</v>
      </c>
      <c r="M2526" s="21">
        <v>46133</v>
      </c>
      <c r="N2526" s="22" t="s">
        <v>70</v>
      </c>
      <c r="O2526" s="22" t="s">
        <v>50</v>
      </c>
      <c r="P2526" s="49">
        <v>67.3</v>
      </c>
      <c r="Q2526" s="49">
        <v>66.3</v>
      </c>
      <c r="R2526" s="46">
        <f t="shared" si="84"/>
        <v>1</v>
      </c>
      <c r="T2526" s="21">
        <v>46098</v>
      </c>
      <c r="U2526" s="22" t="s">
        <v>52</v>
      </c>
      <c r="V2526" s="24">
        <v>4</v>
      </c>
      <c r="W2526" s="24">
        <v>4</v>
      </c>
      <c r="X2526" s="24">
        <v>4</v>
      </c>
      <c r="Y2526" s="24">
        <v>4</v>
      </c>
      <c r="Z2526" s="20">
        <f t="shared" si="83"/>
        <v>16</v>
      </c>
    </row>
    <row r="2527" spans="1:26" x14ac:dyDescent="0.2">
      <c r="A2527" s="21"/>
      <c r="B2527" s="20"/>
      <c r="C2527" s="22"/>
      <c r="D2527" s="22"/>
      <c r="E2527" s="24"/>
      <c r="F2527" s="22"/>
      <c r="H2527" s="21">
        <v>46048</v>
      </c>
      <c r="I2527" s="22" t="s">
        <v>71</v>
      </c>
      <c r="J2527" s="22" t="s">
        <v>45</v>
      </c>
      <c r="K2527" s="24">
        <v>6</v>
      </c>
      <c r="M2527" s="21">
        <v>46133</v>
      </c>
      <c r="N2527" s="22" t="s">
        <v>70</v>
      </c>
      <c r="O2527" s="22" t="s">
        <v>51</v>
      </c>
      <c r="P2527" s="49">
        <v>74.7</v>
      </c>
      <c r="Q2527" s="49">
        <v>74.8</v>
      </c>
      <c r="R2527" s="46">
        <f t="shared" si="84"/>
        <v>-9.9999999999994316E-2</v>
      </c>
      <c r="T2527" s="21">
        <v>46098</v>
      </c>
      <c r="U2527" s="22" t="s">
        <v>53</v>
      </c>
      <c r="V2527" s="24">
        <v>4</v>
      </c>
      <c r="W2527" s="24">
        <v>4</v>
      </c>
      <c r="X2527" s="24">
        <v>4</v>
      </c>
      <c r="Y2527" s="24">
        <v>4</v>
      </c>
      <c r="Z2527" s="20">
        <f t="shared" si="83"/>
        <v>16</v>
      </c>
    </row>
    <row r="2528" spans="1:26" x14ac:dyDescent="0.2">
      <c r="A2528" s="21"/>
      <c r="B2528" s="20"/>
      <c r="C2528" s="22"/>
      <c r="D2528" s="22"/>
      <c r="E2528" s="24"/>
      <c r="F2528" s="22"/>
      <c r="H2528" s="21">
        <v>46048</v>
      </c>
      <c r="I2528" s="22" t="s">
        <v>71</v>
      </c>
      <c r="J2528" s="22" t="s">
        <v>57</v>
      </c>
      <c r="K2528" s="24">
        <v>9</v>
      </c>
      <c r="M2528" s="21">
        <v>46133</v>
      </c>
      <c r="N2528" s="22" t="s">
        <v>70</v>
      </c>
      <c r="O2528" s="22" t="s">
        <v>52</v>
      </c>
      <c r="P2528" s="49">
        <v>71</v>
      </c>
      <c r="Q2528" s="49">
        <v>71</v>
      </c>
      <c r="R2528" s="46">
        <f t="shared" si="84"/>
        <v>0</v>
      </c>
      <c r="T2528" s="21">
        <v>46098</v>
      </c>
      <c r="U2528" s="22" t="s">
        <v>57</v>
      </c>
      <c r="V2528" s="24">
        <v>4</v>
      </c>
      <c r="W2528" s="24">
        <v>4</v>
      </c>
      <c r="X2528" s="24">
        <v>4</v>
      </c>
      <c r="Y2528" s="24">
        <v>4</v>
      </c>
      <c r="Z2528" s="20">
        <f t="shared" si="83"/>
        <v>16</v>
      </c>
    </row>
    <row r="2529" spans="1:26" x14ac:dyDescent="0.2">
      <c r="A2529" s="21"/>
      <c r="B2529" s="20"/>
      <c r="C2529" s="22"/>
      <c r="D2529" s="22"/>
      <c r="E2529" s="24"/>
      <c r="F2529" s="22"/>
      <c r="H2529" s="21">
        <v>46048</v>
      </c>
      <c r="I2529" s="22" t="s">
        <v>71</v>
      </c>
      <c r="J2529" s="22" t="s">
        <v>42</v>
      </c>
      <c r="K2529" s="24">
        <v>3</v>
      </c>
      <c r="M2529" s="21">
        <v>46133</v>
      </c>
      <c r="N2529" s="22" t="s">
        <v>70</v>
      </c>
      <c r="O2529" s="22" t="s">
        <v>53</v>
      </c>
      <c r="P2529" s="49">
        <v>69.3</v>
      </c>
      <c r="Q2529" s="49">
        <v>68.8</v>
      </c>
      <c r="R2529" s="46">
        <f t="shared" si="84"/>
        <v>0.5</v>
      </c>
      <c r="T2529" s="21">
        <v>46098</v>
      </c>
      <c r="U2529" s="22" t="s">
        <v>58</v>
      </c>
      <c r="V2529" s="24">
        <v>4</v>
      </c>
      <c r="W2529" s="24">
        <v>4</v>
      </c>
      <c r="X2529" s="24">
        <v>4</v>
      </c>
      <c r="Y2529" s="24">
        <v>4</v>
      </c>
      <c r="Z2529" s="20">
        <f t="shared" si="83"/>
        <v>16</v>
      </c>
    </row>
    <row r="2530" spans="1:26" x14ac:dyDescent="0.2">
      <c r="A2530" s="21"/>
      <c r="B2530" s="20"/>
      <c r="C2530" s="22"/>
      <c r="D2530" s="22"/>
      <c r="E2530" s="24"/>
      <c r="F2530" s="22"/>
      <c r="H2530" s="21">
        <v>46048</v>
      </c>
      <c r="I2530" s="22" t="s">
        <v>71</v>
      </c>
      <c r="J2530" s="22" t="s">
        <v>54</v>
      </c>
      <c r="K2530" s="24">
        <v>10</v>
      </c>
      <c r="M2530" s="21">
        <v>46133</v>
      </c>
      <c r="N2530" s="22" t="s">
        <v>70</v>
      </c>
      <c r="O2530" s="22" t="s">
        <v>55</v>
      </c>
      <c r="P2530" s="49">
        <v>77.599999999999994</v>
      </c>
      <c r="Q2530" s="49">
        <v>77.8</v>
      </c>
      <c r="R2530" s="46">
        <f t="shared" si="84"/>
        <v>-0.20000000000000284</v>
      </c>
      <c r="T2530" s="21">
        <v>46098</v>
      </c>
      <c r="U2530" s="22" t="s">
        <v>33</v>
      </c>
      <c r="V2530" s="24">
        <v>3.9285714285714302</v>
      </c>
      <c r="W2530" s="24">
        <v>3.78571428571429</v>
      </c>
      <c r="X2530" s="24">
        <v>3.71428571428571</v>
      </c>
      <c r="Y2530" s="24">
        <v>4</v>
      </c>
      <c r="Z2530" s="20">
        <f t="shared" si="83"/>
        <v>15.428571428571431</v>
      </c>
    </row>
    <row r="2531" spans="1:26" x14ac:dyDescent="0.2">
      <c r="A2531" s="21"/>
      <c r="B2531" s="20"/>
      <c r="C2531" s="22"/>
      <c r="D2531" s="22"/>
      <c r="E2531" s="24"/>
      <c r="F2531" s="22"/>
      <c r="H2531" s="21">
        <v>46048</v>
      </c>
      <c r="I2531" s="22" t="s">
        <v>71</v>
      </c>
      <c r="J2531" s="22" t="s">
        <v>47</v>
      </c>
      <c r="K2531" s="24" t="s">
        <v>64</v>
      </c>
      <c r="M2531" s="21">
        <v>46133</v>
      </c>
      <c r="N2531" s="22" t="s">
        <v>70</v>
      </c>
      <c r="O2531" s="22" t="s">
        <v>56</v>
      </c>
      <c r="P2531" s="49">
        <v>74.099999999999994</v>
      </c>
      <c r="Q2531" s="49">
        <v>74.099999999999994</v>
      </c>
      <c r="R2531" s="46">
        <f t="shared" si="84"/>
        <v>0</v>
      </c>
      <c r="T2531" s="21">
        <v>46099</v>
      </c>
      <c r="U2531" s="22" t="s">
        <v>41</v>
      </c>
      <c r="V2531" s="24">
        <v>1</v>
      </c>
      <c r="W2531" s="24">
        <v>1</v>
      </c>
      <c r="X2531" s="24">
        <v>1</v>
      </c>
      <c r="Y2531" s="24">
        <v>1</v>
      </c>
      <c r="Z2531" s="20">
        <f t="shared" si="83"/>
        <v>4</v>
      </c>
    </row>
    <row r="2532" spans="1:26" x14ac:dyDescent="0.2">
      <c r="A2532" s="21"/>
      <c r="B2532" s="20"/>
      <c r="C2532" s="22"/>
      <c r="D2532" s="22"/>
      <c r="E2532" s="24"/>
      <c r="F2532" s="22"/>
      <c r="H2532" s="21">
        <v>46048</v>
      </c>
      <c r="I2532" s="22" t="s">
        <v>71</v>
      </c>
      <c r="J2532" s="22" t="s">
        <v>41</v>
      </c>
      <c r="K2532" s="24">
        <v>2</v>
      </c>
      <c r="M2532" s="21">
        <v>46133</v>
      </c>
      <c r="N2532" s="22" t="s">
        <v>70</v>
      </c>
      <c r="O2532" s="22" t="s">
        <v>57</v>
      </c>
      <c r="P2532" s="49">
        <v>91.1</v>
      </c>
      <c r="Q2532" s="49">
        <v>90.5</v>
      </c>
      <c r="R2532" s="46">
        <f t="shared" si="84"/>
        <v>0.59999999999999432</v>
      </c>
      <c r="T2532" s="21">
        <v>46099</v>
      </c>
      <c r="U2532" s="22" t="s">
        <v>42</v>
      </c>
      <c r="V2532" s="24">
        <v>4</v>
      </c>
      <c r="W2532" s="24">
        <v>4</v>
      </c>
      <c r="X2532" s="24">
        <v>4</v>
      </c>
      <c r="Y2532" s="24">
        <v>4</v>
      </c>
      <c r="Z2532" s="20">
        <f t="shared" si="83"/>
        <v>16</v>
      </c>
    </row>
    <row r="2533" spans="1:26" x14ac:dyDescent="0.2">
      <c r="A2533" s="21"/>
      <c r="B2533" s="20"/>
      <c r="C2533" s="22"/>
      <c r="D2533" s="22"/>
      <c r="E2533" s="24"/>
      <c r="F2533" s="22"/>
      <c r="H2533" s="21">
        <v>46048</v>
      </c>
      <c r="I2533" s="22" t="s">
        <v>71</v>
      </c>
      <c r="J2533" s="22" t="s">
        <v>58</v>
      </c>
      <c r="K2533" s="24">
        <v>10</v>
      </c>
      <c r="M2533" s="21"/>
      <c r="N2533" s="22"/>
      <c r="O2533" s="22"/>
      <c r="P2533" s="49"/>
      <c r="Q2533" s="49"/>
      <c r="R2533" s="188" t="str">
        <f t="shared" si="84"/>
        <v/>
      </c>
      <c r="T2533" s="21">
        <v>46099</v>
      </c>
      <c r="U2533" s="22" t="s">
        <v>44</v>
      </c>
      <c r="V2533" s="24">
        <v>5</v>
      </c>
      <c r="W2533" s="24">
        <v>4</v>
      </c>
      <c r="X2533" s="24">
        <v>4</v>
      </c>
      <c r="Y2533" s="24">
        <v>5</v>
      </c>
      <c r="Z2533" s="20">
        <f t="shared" si="83"/>
        <v>18</v>
      </c>
    </row>
    <row r="2534" spans="1:26" x14ac:dyDescent="0.2">
      <c r="A2534" s="21"/>
      <c r="B2534" s="20"/>
      <c r="C2534" s="22"/>
      <c r="D2534" s="22"/>
      <c r="E2534" s="24"/>
      <c r="F2534" s="22"/>
      <c r="H2534" s="21">
        <v>46048</v>
      </c>
      <c r="I2534" s="22" t="s">
        <v>71</v>
      </c>
      <c r="J2534" s="22" t="s">
        <v>49</v>
      </c>
      <c r="K2534" s="24">
        <v>7</v>
      </c>
      <c r="M2534" s="21"/>
      <c r="N2534" s="22"/>
      <c r="O2534" s="22"/>
      <c r="P2534" s="49"/>
      <c r="Q2534" s="49"/>
      <c r="R2534" s="188" t="str">
        <f t="shared" si="84"/>
        <v/>
      </c>
      <c r="T2534" s="21">
        <v>46099</v>
      </c>
      <c r="U2534" s="22" t="s">
        <v>45</v>
      </c>
      <c r="V2534" s="24">
        <v>4</v>
      </c>
      <c r="W2534" s="24">
        <v>4</v>
      </c>
      <c r="X2534" s="24">
        <v>4</v>
      </c>
      <c r="Y2534" s="24">
        <v>5</v>
      </c>
      <c r="Z2534" s="20">
        <f t="shared" si="83"/>
        <v>17</v>
      </c>
    </row>
    <row r="2535" spans="1:26" x14ac:dyDescent="0.2">
      <c r="A2535" s="21"/>
      <c r="B2535" s="20"/>
      <c r="C2535" s="22"/>
      <c r="D2535" s="22"/>
      <c r="E2535" s="24"/>
      <c r="F2535" s="22"/>
      <c r="H2535" s="21">
        <v>46048</v>
      </c>
      <c r="I2535" s="22" t="s">
        <v>71</v>
      </c>
      <c r="J2535" s="22" t="s">
        <v>50</v>
      </c>
      <c r="K2535" s="24">
        <v>6</v>
      </c>
      <c r="M2535" s="21"/>
      <c r="N2535" s="22"/>
      <c r="O2535" s="22"/>
      <c r="P2535" s="49"/>
      <c r="Q2535" s="49"/>
      <c r="R2535" s="188" t="str">
        <f t="shared" si="84"/>
        <v/>
      </c>
      <c r="T2535" s="21">
        <v>46099</v>
      </c>
      <c r="U2535" s="22" t="s">
        <v>46</v>
      </c>
      <c r="V2535" s="24">
        <v>4</v>
      </c>
      <c r="W2535" s="24">
        <v>4</v>
      </c>
      <c r="X2535" s="24">
        <v>5</v>
      </c>
      <c r="Y2535" s="24">
        <v>5</v>
      </c>
      <c r="Z2535" s="20">
        <f t="shared" si="83"/>
        <v>18</v>
      </c>
    </row>
    <row r="2536" spans="1:26" x14ac:dyDescent="0.2">
      <c r="A2536" s="21"/>
      <c r="B2536" s="20"/>
      <c r="C2536" s="22"/>
      <c r="D2536" s="22"/>
      <c r="E2536" s="24"/>
      <c r="F2536" s="22"/>
      <c r="H2536" s="21">
        <v>46048</v>
      </c>
      <c r="I2536" s="22" t="s">
        <v>71</v>
      </c>
      <c r="J2536" s="22" t="s">
        <v>51</v>
      </c>
      <c r="K2536" s="24">
        <v>7</v>
      </c>
      <c r="M2536" s="21"/>
      <c r="N2536" s="22"/>
      <c r="O2536" s="22"/>
      <c r="P2536" s="49"/>
      <c r="Q2536" s="49"/>
      <c r="R2536" s="188" t="str">
        <f t="shared" si="84"/>
        <v/>
      </c>
      <c r="T2536" s="21">
        <v>46099</v>
      </c>
      <c r="U2536" s="22" t="s">
        <v>47</v>
      </c>
      <c r="V2536" s="24">
        <v>5</v>
      </c>
      <c r="W2536" s="24">
        <v>5</v>
      </c>
      <c r="X2536" s="24">
        <v>5</v>
      </c>
      <c r="Y2536" s="24">
        <v>5</v>
      </c>
      <c r="Z2536" s="20">
        <f t="shared" si="83"/>
        <v>20</v>
      </c>
    </row>
    <row r="2537" spans="1:26" x14ac:dyDescent="0.2">
      <c r="A2537" s="21"/>
      <c r="B2537" s="20"/>
      <c r="C2537" s="22"/>
      <c r="D2537" s="22"/>
      <c r="E2537" s="24"/>
      <c r="F2537" s="22"/>
      <c r="H2537" s="21">
        <v>46048</v>
      </c>
      <c r="I2537" s="22" t="s">
        <v>71</v>
      </c>
      <c r="J2537" s="22" t="s">
        <v>46</v>
      </c>
      <c r="K2537" s="24">
        <v>6</v>
      </c>
      <c r="M2537" s="21"/>
      <c r="N2537" s="22"/>
      <c r="O2537" s="22"/>
      <c r="P2537" s="49"/>
      <c r="Q2537" s="49"/>
      <c r="R2537" s="188" t="str">
        <f t="shared" si="84"/>
        <v/>
      </c>
      <c r="T2537" s="21">
        <v>46099</v>
      </c>
      <c r="U2537" s="22" t="s">
        <v>48</v>
      </c>
      <c r="V2537" s="24">
        <v>5</v>
      </c>
      <c r="W2537" s="24">
        <v>5</v>
      </c>
      <c r="X2537" s="24">
        <v>5</v>
      </c>
      <c r="Y2537" s="24">
        <v>5</v>
      </c>
      <c r="Z2537" s="20">
        <f t="shared" si="83"/>
        <v>20</v>
      </c>
    </row>
    <row r="2538" spans="1:26" x14ac:dyDescent="0.2">
      <c r="A2538" s="21"/>
      <c r="B2538" s="20"/>
      <c r="C2538" s="22"/>
      <c r="D2538" s="22"/>
      <c r="E2538" s="24"/>
      <c r="F2538" s="22"/>
      <c r="H2538" s="21">
        <v>46048</v>
      </c>
      <c r="I2538" s="22" t="s">
        <v>71</v>
      </c>
      <c r="J2538" s="22" t="s">
        <v>48</v>
      </c>
      <c r="K2538" s="24" t="s">
        <v>64</v>
      </c>
      <c r="M2538" s="21"/>
      <c r="N2538" s="22"/>
      <c r="O2538" s="22"/>
      <c r="P2538" s="49"/>
      <c r="Q2538" s="49"/>
      <c r="R2538" s="188" t="str">
        <f t="shared" si="84"/>
        <v/>
      </c>
      <c r="T2538" s="21">
        <v>46099</v>
      </c>
      <c r="U2538" s="22" t="s">
        <v>49</v>
      </c>
      <c r="V2538" s="24">
        <v>4</v>
      </c>
      <c r="W2538" s="24">
        <v>4</v>
      </c>
      <c r="X2538" s="24">
        <v>4</v>
      </c>
      <c r="Y2538" s="24">
        <v>4</v>
      </c>
      <c r="Z2538" s="20">
        <f t="shared" si="83"/>
        <v>16</v>
      </c>
    </row>
    <row r="2539" spans="1:26" x14ac:dyDescent="0.2">
      <c r="A2539" s="21"/>
      <c r="B2539" s="20"/>
      <c r="C2539" s="22"/>
      <c r="D2539" s="22"/>
      <c r="E2539" s="24"/>
      <c r="F2539" s="22"/>
      <c r="H2539" s="21">
        <v>46049</v>
      </c>
      <c r="I2539" s="22" t="s">
        <v>70</v>
      </c>
      <c r="J2539" s="22" t="s">
        <v>52</v>
      </c>
      <c r="K2539" s="24">
        <v>6</v>
      </c>
      <c r="M2539" s="21"/>
      <c r="N2539" s="22"/>
      <c r="O2539" s="22"/>
      <c r="P2539" s="49"/>
      <c r="Q2539" s="49"/>
      <c r="R2539" s="188" t="str">
        <f t="shared" si="84"/>
        <v/>
      </c>
      <c r="T2539" s="21">
        <v>46099</v>
      </c>
      <c r="U2539" s="22" t="s">
        <v>50</v>
      </c>
      <c r="V2539" s="24">
        <v>5</v>
      </c>
      <c r="W2539" s="24">
        <v>4</v>
      </c>
      <c r="X2539" s="24">
        <v>4</v>
      </c>
      <c r="Y2539" s="24">
        <v>5</v>
      </c>
      <c r="Z2539" s="20">
        <f t="shared" si="83"/>
        <v>18</v>
      </c>
    </row>
    <row r="2540" spans="1:26" x14ac:dyDescent="0.2">
      <c r="A2540" s="21"/>
      <c r="B2540" s="20"/>
      <c r="C2540" s="22"/>
      <c r="D2540" s="22"/>
      <c r="E2540" s="24"/>
      <c r="F2540" s="22"/>
      <c r="H2540" s="21">
        <v>46049</v>
      </c>
      <c r="I2540" s="22" t="s">
        <v>70</v>
      </c>
      <c r="J2540" s="22" t="s">
        <v>53</v>
      </c>
      <c r="K2540" s="24">
        <v>7</v>
      </c>
      <c r="M2540" s="21"/>
      <c r="N2540" s="22"/>
      <c r="O2540" s="22"/>
      <c r="P2540" s="49"/>
      <c r="Q2540" s="49"/>
      <c r="R2540" s="188" t="str">
        <f t="shared" si="84"/>
        <v/>
      </c>
      <c r="T2540" s="21">
        <v>46099</v>
      </c>
      <c r="U2540" s="22" t="s">
        <v>51</v>
      </c>
      <c r="V2540" s="24">
        <v>4</v>
      </c>
      <c r="W2540" s="24">
        <v>5</v>
      </c>
      <c r="X2540" s="24">
        <v>5</v>
      </c>
      <c r="Y2540" s="24">
        <v>5</v>
      </c>
      <c r="Z2540" s="20">
        <f t="shared" si="83"/>
        <v>19</v>
      </c>
    </row>
    <row r="2541" spans="1:26" x14ac:dyDescent="0.2">
      <c r="A2541" s="21"/>
      <c r="B2541" s="20"/>
      <c r="C2541" s="22"/>
      <c r="D2541" s="22"/>
      <c r="E2541" s="24"/>
      <c r="F2541" s="22"/>
      <c r="H2541" s="21">
        <v>46049</v>
      </c>
      <c r="I2541" s="22" t="s">
        <v>70</v>
      </c>
      <c r="J2541" s="22" t="s">
        <v>44</v>
      </c>
      <c r="K2541" s="24" t="s">
        <v>64</v>
      </c>
      <c r="M2541" s="21"/>
      <c r="N2541" s="22"/>
      <c r="O2541" s="22"/>
      <c r="P2541" s="49"/>
      <c r="Q2541" s="49"/>
      <c r="R2541" s="188" t="str">
        <f t="shared" si="84"/>
        <v/>
      </c>
      <c r="T2541" s="21">
        <v>46099</v>
      </c>
      <c r="U2541" s="22" t="s">
        <v>52</v>
      </c>
      <c r="V2541" s="24">
        <v>4</v>
      </c>
      <c r="W2541" s="24">
        <v>4</v>
      </c>
      <c r="X2541" s="24">
        <v>4</v>
      </c>
      <c r="Y2541" s="24">
        <v>4</v>
      </c>
      <c r="Z2541" s="20">
        <f t="shared" si="83"/>
        <v>16</v>
      </c>
    </row>
    <row r="2542" spans="1:26" x14ac:dyDescent="0.2">
      <c r="A2542" s="21"/>
      <c r="B2542" s="20"/>
      <c r="C2542" s="22"/>
      <c r="D2542" s="22"/>
      <c r="E2542" s="24"/>
      <c r="F2542" s="22"/>
      <c r="H2542" s="21">
        <v>46049</v>
      </c>
      <c r="I2542" s="22" t="s">
        <v>70</v>
      </c>
      <c r="J2542" s="22" t="s">
        <v>45</v>
      </c>
      <c r="K2542" s="24">
        <v>7</v>
      </c>
      <c r="M2542" s="21"/>
      <c r="N2542" s="22"/>
      <c r="O2542" s="22"/>
      <c r="P2542" s="49"/>
      <c r="Q2542" s="49"/>
      <c r="R2542" s="188" t="str">
        <f t="shared" si="84"/>
        <v/>
      </c>
      <c r="T2542" s="21">
        <v>46099</v>
      </c>
      <c r="U2542" s="22" t="s">
        <v>53</v>
      </c>
      <c r="V2542" s="24">
        <v>5</v>
      </c>
      <c r="W2542" s="24">
        <v>5</v>
      </c>
      <c r="X2542" s="24">
        <v>5</v>
      </c>
      <c r="Y2542" s="24">
        <v>5</v>
      </c>
      <c r="Z2542" s="20">
        <f t="shared" si="83"/>
        <v>20</v>
      </c>
    </row>
    <row r="2543" spans="1:26" x14ac:dyDescent="0.2">
      <c r="A2543" s="21"/>
      <c r="B2543" s="20"/>
      <c r="C2543" s="22"/>
      <c r="D2543" s="22"/>
      <c r="E2543" s="24"/>
      <c r="F2543" s="22"/>
      <c r="H2543" s="21">
        <v>46049</v>
      </c>
      <c r="I2543" s="22" t="s">
        <v>70</v>
      </c>
      <c r="J2543" s="22" t="s">
        <v>57</v>
      </c>
      <c r="K2543" s="24">
        <v>8</v>
      </c>
      <c r="M2543" s="21"/>
      <c r="N2543" s="22"/>
      <c r="O2543" s="22"/>
      <c r="P2543" s="49"/>
      <c r="Q2543" s="49"/>
      <c r="R2543" s="188" t="str">
        <f t="shared" si="84"/>
        <v/>
      </c>
      <c r="T2543" s="21">
        <v>46099</v>
      </c>
      <c r="U2543" s="22" t="s">
        <v>55</v>
      </c>
      <c r="V2543" s="24">
        <v>5</v>
      </c>
      <c r="W2543" s="24">
        <v>5</v>
      </c>
      <c r="X2543" s="24">
        <v>5</v>
      </c>
      <c r="Y2543" s="24">
        <v>5</v>
      </c>
      <c r="Z2543" s="20">
        <f t="shared" si="83"/>
        <v>20</v>
      </c>
    </row>
    <row r="2544" spans="1:26" x14ac:dyDescent="0.2">
      <c r="A2544" s="21"/>
      <c r="B2544" s="20"/>
      <c r="C2544" s="22"/>
      <c r="D2544" s="22"/>
      <c r="E2544" s="24"/>
      <c r="F2544" s="22"/>
      <c r="H2544" s="21">
        <v>46049</v>
      </c>
      <c r="I2544" s="22" t="s">
        <v>70</v>
      </c>
      <c r="J2544" s="22" t="s">
        <v>42</v>
      </c>
      <c r="K2544" s="24">
        <v>2</v>
      </c>
      <c r="M2544" s="21"/>
      <c r="N2544" s="22"/>
      <c r="O2544" s="22"/>
      <c r="P2544" s="49"/>
      <c r="Q2544" s="49"/>
      <c r="R2544" s="188" t="str">
        <f t="shared" si="84"/>
        <v/>
      </c>
      <c r="T2544" s="21">
        <v>46099</v>
      </c>
      <c r="U2544" s="22" t="s">
        <v>57</v>
      </c>
      <c r="V2544" s="24">
        <v>5</v>
      </c>
      <c r="W2544" s="24">
        <v>5</v>
      </c>
      <c r="X2544" s="24">
        <v>5</v>
      </c>
      <c r="Y2544" s="24">
        <v>5</v>
      </c>
      <c r="Z2544" s="20">
        <f t="shared" si="83"/>
        <v>20</v>
      </c>
    </row>
    <row r="2545" spans="1:26" x14ac:dyDescent="0.2">
      <c r="A2545" s="21"/>
      <c r="B2545" s="20"/>
      <c r="C2545" s="22"/>
      <c r="D2545" s="22"/>
      <c r="E2545" s="24"/>
      <c r="F2545" s="22"/>
      <c r="H2545" s="21">
        <v>46049</v>
      </c>
      <c r="I2545" s="22" t="s">
        <v>70</v>
      </c>
      <c r="J2545" s="22" t="s">
        <v>47</v>
      </c>
      <c r="K2545" s="24" t="s">
        <v>64</v>
      </c>
      <c r="M2545" s="21"/>
      <c r="N2545" s="22"/>
      <c r="O2545" s="22"/>
      <c r="P2545" s="49"/>
      <c r="Q2545" s="49"/>
      <c r="R2545" s="188" t="str">
        <f t="shared" si="84"/>
        <v/>
      </c>
      <c r="T2545" s="21">
        <v>46099</v>
      </c>
      <c r="U2545" s="22" t="s">
        <v>58</v>
      </c>
      <c r="V2545" s="24">
        <v>5</v>
      </c>
      <c r="W2545" s="24">
        <v>5</v>
      </c>
      <c r="X2545" s="24">
        <v>5</v>
      </c>
      <c r="Y2545" s="24">
        <v>5</v>
      </c>
      <c r="Z2545" s="20">
        <f t="shared" si="83"/>
        <v>20</v>
      </c>
    </row>
    <row r="2546" spans="1:26" x14ac:dyDescent="0.2">
      <c r="A2546" s="21"/>
      <c r="B2546" s="20"/>
      <c r="C2546" s="22"/>
      <c r="D2546" s="22"/>
      <c r="E2546" s="24"/>
      <c r="F2546" s="22"/>
      <c r="H2546" s="21">
        <v>46049</v>
      </c>
      <c r="I2546" s="22" t="s">
        <v>70</v>
      </c>
      <c r="J2546" s="22" t="s">
        <v>41</v>
      </c>
      <c r="K2546" s="24">
        <v>3</v>
      </c>
      <c r="M2546" s="21"/>
      <c r="N2546" s="22"/>
      <c r="O2546" s="22"/>
      <c r="P2546" s="49"/>
      <c r="Q2546" s="49"/>
      <c r="R2546" s="188" t="str">
        <f t="shared" si="84"/>
        <v/>
      </c>
      <c r="T2546" s="21">
        <v>46099</v>
      </c>
      <c r="U2546" s="22" t="s">
        <v>33</v>
      </c>
      <c r="V2546" s="24">
        <v>4.3333333333333304</v>
      </c>
      <c r="W2546" s="24">
        <v>4.2666666666666702</v>
      </c>
      <c r="X2546" s="24">
        <v>4.3333333333333304</v>
      </c>
      <c r="Y2546" s="24">
        <v>4.5333333333333297</v>
      </c>
      <c r="Z2546" s="20">
        <f t="shared" si="83"/>
        <v>17.466666666666661</v>
      </c>
    </row>
    <row r="2547" spans="1:26" x14ac:dyDescent="0.2">
      <c r="A2547" s="21"/>
      <c r="B2547" s="20"/>
      <c r="C2547" s="22"/>
      <c r="D2547" s="22"/>
      <c r="E2547" s="24"/>
      <c r="F2547" s="22"/>
      <c r="H2547" s="21">
        <v>46049</v>
      </c>
      <c r="I2547" s="22" t="s">
        <v>70</v>
      </c>
      <c r="J2547" s="22" t="s">
        <v>58</v>
      </c>
      <c r="K2547" s="24">
        <v>7</v>
      </c>
      <c r="M2547" s="21"/>
      <c r="N2547" s="22"/>
      <c r="O2547" s="22"/>
      <c r="P2547" s="49"/>
      <c r="Q2547" s="49"/>
      <c r="R2547" s="188" t="str">
        <f t="shared" si="84"/>
        <v/>
      </c>
      <c r="T2547" s="21">
        <v>46102</v>
      </c>
      <c r="U2547" s="22" t="s">
        <v>41</v>
      </c>
      <c r="V2547" s="24">
        <v>1</v>
      </c>
      <c r="W2547" s="24">
        <v>1</v>
      </c>
      <c r="X2547" s="24">
        <v>1</v>
      </c>
      <c r="Y2547" s="24">
        <v>1</v>
      </c>
      <c r="Z2547" s="20">
        <f t="shared" si="83"/>
        <v>4</v>
      </c>
    </row>
    <row r="2548" spans="1:26" x14ac:dyDescent="0.2">
      <c r="A2548" s="21"/>
      <c r="B2548" s="20"/>
      <c r="C2548" s="22"/>
      <c r="D2548" s="22"/>
      <c r="E2548" s="24"/>
      <c r="F2548" s="22"/>
      <c r="H2548" s="21">
        <v>46049</v>
      </c>
      <c r="I2548" s="22" t="s">
        <v>70</v>
      </c>
      <c r="J2548" s="22" t="s">
        <v>49</v>
      </c>
      <c r="K2548" s="24">
        <v>7</v>
      </c>
      <c r="M2548" s="21"/>
      <c r="N2548" s="22"/>
      <c r="O2548" s="22"/>
      <c r="P2548" s="49"/>
      <c r="Q2548" s="49"/>
      <c r="R2548" s="188" t="str">
        <f t="shared" si="84"/>
        <v/>
      </c>
      <c r="T2548" s="21">
        <v>46102</v>
      </c>
      <c r="U2548" s="22" t="s">
        <v>42</v>
      </c>
      <c r="V2548" s="24">
        <v>5</v>
      </c>
      <c r="W2548" s="24">
        <v>5</v>
      </c>
      <c r="X2548" s="24">
        <v>5</v>
      </c>
      <c r="Y2548" s="24">
        <v>5</v>
      </c>
      <c r="Z2548" s="20">
        <f t="shared" si="83"/>
        <v>20</v>
      </c>
    </row>
    <row r="2549" spans="1:26" x14ac:dyDescent="0.2">
      <c r="A2549" s="21"/>
      <c r="B2549" s="20"/>
      <c r="C2549" s="22"/>
      <c r="D2549" s="22"/>
      <c r="E2549" s="24"/>
      <c r="F2549" s="22"/>
      <c r="H2549" s="21">
        <v>46049</v>
      </c>
      <c r="I2549" s="22" t="s">
        <v>70</v>
      </c>
      <c r="J2549" s="22" t="s">
        <v>50</v>
      </c>
      <c r="K2549" s="24">
        <v>4</v>
      </c>
      <c r="M2549" s="21"/>
      <c r="N2549" s="22"/>
      <c r="O2549" s="22"/>
      <c r="P2549" s="49"/>
      <c r="Q2549" s="49"/>
      <c r="R2549" s="188" t="str">
        <f t="shared" si="84"/>
        <v/>
      </c>
      <c r="T2549" s="21">
        <v>46102</v>
      </c>
      <c r="U2549" s="22" t="s">
        <v>44</v>
      </c>
      <c r="V2549" s="24">
        <v>5</v>
      </c>
      <c r="W2549" s="24">
        <v>5</v>
      </c>
      <c r="X2549" s="24">
        <v>5</v>
      </c>
      <c r="Y2549" s="24">
        <v>5</v>
      </c>
      <c r="Z2549" s="20">
        <f t="shared" si="83"/>
        <v>20</v>
      </c>
    </row>
    <row r="2550" spans="1:26" x14ac:dyDescent="0.2">
      <c r="A2550" s="21"/>
      <c r="B2550" s="20"/>
      <c r="C2550" s="22"/>
      <c r="D2550" s="22"/>
      <c r="E2550" s="24"/>
      <c r="F2550" s="22"/>
      <c r="H2550" s="21">
        <v>46049</v>
      </c>
      <c r="I2550" s="22" t="s">
        <v>70</v>
      </c>
      <c r="J2550" s="22" t="s">
        <v>51</v>
      </c>
      <c r="K2550" s="24">
        <v>7</v>
      </c>
      <c r="M2550" s="21"/>
      <c r="N2550" s="22"/>
      <c r="O2550" s="22"/>
      <c r="P2550" s="49"/>
      <c r="Q2550" s="49"/>
      <c r="R2550" s="188" t="str">
        <f t="shared" si="84"/>
        <v/>
      </c>
      <c r="T2550" s="21">
        <v>46102</v>
      </c>
      <c r="U2550" s="22" t="s">
        <v>45</v>
      </c>
      <c r="V2550" s="24">
        <v>5</v>
      </c>
      <c r="W2550" s="24">
        <v>5</v>
      </c>
      <c r="X2550" s="24">
        <v>5</v>
      </c>
      <c r="Y2550" s="24">
        <v>5</v>
      </c>
      <c r="Z2550" s="20">
        <f t="shared" si="83"/>
        <v>20</v>
      </c>
    </row>
    <row r="2551" spans="1:26" x14ac:dyDescent="0.2">
      <c r="A2551" s="21"/>
      <c r="B2551" s="20"/>
      <c r="C2551" s="22"/>
      <c r="D2551" s="22"/>
      <c r="E2551" s="24"/>
      <c r="F2551" s="22"/>
      <c r="H2551" s="21">
        <v>46049</v>
      </c>
      <c r="I2551" s="22" t="s">
        <v>70</v>
      </c>
      <c r="J2551" s="22" t="s">
        <v>46</v>
      </c>
      <c r="K2551" s="24">
        <v>7</v>
      </c>
      <c r="M2551" s="21"/>
      <c r="N2551" s="22"/>
      <c r="O2551" s="22"/>
      <c r="P2551" s="49"/>
      <c r="Q2551" s="49"/>
      <c r="R2551" s="188" t="str">
        <f t="shared" si="84"/>
        <v/>
      </c>
      <c r="T2551" s="21">
        <v>46102</v>
      </c>
      <c r="U2551" s="22" t="s">
        <v>46</v>
      </c>
      <c r="V2551" s="24">
        <v>5</v>
      </c>
      <c r="W2551" s="24">
        <v>5</v>
      </c>
      <c r="X2551" s="24">
        <v>5</v>
      </c>
      <c r="Y2551" s="24">
        <v>5</v>
      </c>
      <c r="Z2551" s="20">
        <f t="shared" si="83"/>
        <v>20</v>
      </c>
    </row>
    <row r="2552" spans="1:26" x14ac:dyDescent="0.2">
      <c r="A2552" s="21"/>
      <c r="B2552" s="20"/>
      <c r="C2552" s="22"/>
      <c r="D2552" s="22"/>
      <c r="E2552" s="24"/>
      <c r="F2552" s="22"/>
      <c r="H2552" s="21">
        <v>46049</v>
      </c>
      <c r="I2552" s="22" t="s">
        <v>70</v>
      </c>
      <c r="J2552" s="22" t="s">
        <v>48</v>
      </c>
      <c r="K2552" s="24" t="s">
        <v>64</v>
      </c>
      <c r="M2552" s="21"/>
      <c r="N2552" s="22"/>
      <c r="O2552" s="22"/>
      <c r="P2552" s="49"/>
      <c r="Q2552" s="49"/>
      <c r="R2552" s="188" t="str">
        <f t="shared" si="84"/>
        <v/>
      </c>
      <c r="T2552" s="21">
        <v>46102</v>
      </c>
      <c r="U2552" s="22" t="s">
        <v>47</v>
      </c>
      <c r="V2552" s="24">
        <v>5</v>
      </c>
      <c r="W2552" s="24">
        <v>5</v>
      </c>
      <c r="X2552" s="24">
        <v>5</v>
      </c>
      <c r="Y2552" s="24">
        <v>5</v>
      </c>
      <c r="Z2552" s="20">
        <f t="shared" si="83"/>
        <v>20</v>
      </c>
    </row>
    <row r="2553" spans="1:26" x14ac:dyDescent="0.2">
      <c r="A2553" s="21"/>
      <c r="B2553" s="20"/>
      <c r="C2553" s="22"/>
      <c r="D2553" s="22"/>
      <c r="E2553" s="24"/>
      <c r="F2553" s="22"/>
      <c r="H2553" s="21">
        <v>46049</v>
      </c>
      <c r="I2553" s="22" t="s">
        <v>71</v>
      </c>
      <c r="J2553" s="22" t="s">
        <v>52</v>
      </c>
      <c r="K2553" s="24">
        <v>7</v>
      </c>
      <c r="M2553" s="21"/>
      <c r="N2553" s="22"/>
      <c r="O2553" s="22"/>
      <c r="P2553" s="49"/>
      <c r="Q2553" s="49"/>
      <c r="R2553" s="188" t="str">
        <f t="shared" si="84"/>
        <v/>
      </c>
      <c r="T2553" s="21">
        <v>46102</v>
      </c>
      <c r="U2553" s="22" t="s">
        <v>48</v>
      </c>
      <c r="V2553" s="24">
        <v>5</v>
      </c>
      <c r="W2553" s="24">
        <v>5</v>
      </c>
      <c r="X2553" s="24">
        <v>5</v>
      </c>
      <c r="Y2553" s="24">
        <v>5</v>
      </c>
      <c r="Z2553" s="20">
        <f t="shared" si="83"/>
        <v>20</v>
      </c>
    </row>
    <row r="2554" spans="1:26" x14ac:dyDescent="0.2">
      <c r="A2554" s="21"/>
      <c r="B2554" s="20"/>
      <c r="C2554" s="22"/>
      <c r="D2554" s="22"/>
      <c r="E2554" s="24"/>
      <c r="F2554" s="22"/>
      <c r="H2554" s="21">
        <v>46049</v>
      </c>
      <c r="I2554" s="22" t="s">
        <v>71</v>
      </c>
      <c r="J2554" s="22" t="s">
        <v>53</v>
      </c>
      <c r="K2554" s="24">
        <v>5</v>
      </c>
      <c r="M2554" s="21"/>
      <c r="N2554" s="22"/>
      <c r="O2554" s="22"/>
      <c r="P2554" s="49"/>
      <c r="Q2554" s="49"/>
      <c r="R2554" s="188" t="str">
        <f t="shared" si="84"/>
        <v/>
      </c>
      <c r="T2554" s="21">
        <v>46102</v>
      </c>
      <c r="U2554" s="22" t="s">
        <v>49</v>
      </c>
      <c r="V2554" s="24">
        <v>5</v>
      </c>
      <c r="W2554" s="24">
        <v>5</v>
      </c>
      <c r="X2554" s="24">
        <v>5</v>
      </c>
      <c r="Y2554" s="24">
        <v>5</v>
      </c>
      <c r="Z2554" s="20">
        <f t="shared" si="83"/>
        <v>20</v>
      </c>
    </row>
    <row r="2555" spans="1:26" x14ac:dyDescent="0.2">
      <c r="A2555" s="21"/>
      <c r="B2555" s="20"/>
      <c r="C2555" s="22"/>
      <c r="D2555" s="22"/>
      <c r="E2555" s="24"/>
      <c r="F2555" s="22"/>
      <c r="H2555" s="21">
        <v>46049</v>
      </c>
      <c r="I2555" s="22" t="s">
        <v>71</v>
      </c>
      <c r="J2555" s="22" t="s">
        <v>44</v>
      </c>
      <c r="K2555" s="24" t="s">
        <v>64</v>
      </c>
      <c r="M2555" s="21"/>
      <c r="N2555" s="22"/>
      <c r="O2555" s="22"/>
      <c r="P2555" s="49"/>
      <c r="Q2555" s="49"/>
      <c r="R2555" s="188" t="str">
        <f t="shared" si="84"/>
        <v/>
      </c>
      <c r="T2555" s="21">
        <v>46102</v>
      </c>
      <c r="U2555" s="22" t="s">
        <v>50</v>
      </c>
      <c r="V2555" s="24">
        <v>5</v>
      </c>
      <c r="W2555" s="24">
        <v>5</v>
      </c>
      <c r="X2555" s="24">
        <v>5</v>
      </c>
      <c r="Y2555" s="24">
        <v>5</v>
      </c>
      <c r="Z2555" s="20">
        <f t="shared" si="83"/>
        <v>20</v>
      </c>
    </row>
    <row r="2556" spans="1:26" x14ac:dyDescent="0.2">
      <c r="A2556" s="21"/>
      <c r="B2556" s="20"/>
      <c r="C2556" s="22"/>
      <c r="D2556" s="22"/>
      <c r="E2556" s="24"/>
      <c r="F2556" s="22"/>
      <c r="H2556" s="21">
        <v>46049</v>
      </c>
      <c r="I2556" s="22" t="s">
        <v>71</v>
      </c>
      <c r="J2556" s="22" t="s">
        <v>45</v>
      </c>
      <c r="K2556" s="24">
        <v>7</v>
      </c>
      <c r="M2556" s="21"/>
      <c r="N2556" s="22"/>
      <c r="O2556" s="22"/>
      <c r="P2556" s="49"/>
      <c r="Q2556" s="49"/>
      <c r="R2556" s="188" t="str">
        <f t="shared" si="84"/>
        <v/>
      </c>
      <c r="T2556" s="21">
        <v>46102</v>
      </c>
      <c r="U2556" s="22" t="s">
        <v>51</v>
      </c>
      <c r="V2556" s="24">
        <v>5</v>
      </c>
      <c r="W2556" s="24">
        <v>5</v>
      </c>
      <c r="X2556" s="24">
        <v>5</v>
      </c>
      <c r="Y2556" s="24">
        <v>5</v>
      </c>
      <c r="Z2556" s="20">
        <f t="shared" si="83"/>
        <v>20</v>
      </c>
    </row>
    <row r="2557" spans="1:26" x14ac:dyDescent="0.2">
      <c r="A2557" s="21"/>
      <c r="B2557" s="20"/>
      <c r="C2557" s="22"/>
      <c r="D2557" s="22"/>
      <c r="E2557" s="24"/>
      <c r="F2557" s="22"/>
      <c r="H2557" s="21">
        <v>46049</v>
      </c>
      <c r="I2557" s="22" t="s">
        <v>71</v>
      </c>
      <c r="J2557" s="22" t="s">
        <v>57</v>
      </c>
      <c r="K2557" s="24">
        <v>7</v>
      </c>
      <c r="M2557" s="21"/>
      <c r="N2557" s="22"/>
      <c r="O2557" s="22"/>
      <c r="P2557" s="49"/>
      <c r="Q2557" s="49"/>
      <c r="R2557" s="188" t="str">
        <f t="shared" si="84"/>
        <v/>
      </c>
      <c r="T2557" s="21">
        <v>46102</v>
      </c>
      <c r="U2557" s="22" t="s">
        <v>52</v>
      </c>
      <c r="V2557" s="24">
        <v>5</v>
      </c>
      <c r="W2557" s="24">
        <v>5</v>
      </c>
      <c r="X2557" s="24">
        <v>5</v>
      </c>
      <c r="Y2557" s="24">
        <v>5</v>
      </c>
      <c r="Z2557" s="20">
        <f t="shared" si="83"/>
        <v>20</v>
      </c>
    </row>
    <row r="2558" spans="1:26" x14ac:dyDescent="0.2">
      <c r="A2558" s="21"/>
      <c r="B2558" s="20"/>
      <c r="C2558" s="22"/>
      <c r="D2558" s="22"/>
      <c r="E2558" s="24"/>
      <c r="F2558" s="22"/>
      <c r="H2558" s="21">
        <v>46049</v>
      </c>
      <c r="I2558" s="22" t="s">
        <v>71</v>
      </c>
      <c r="J2558" s="22" t="s">
        <v>42</v>
      </c>
      <c r="K2558" s="24">
        <v>2</v>
      </c>
      <c r="M2558" s="21"/>
      <c r="N2558" s="22"/>
      <c r="O2558" s="22"/>
      <c r="P2558" s="49"/>
      <c r="Q2558" s="49"/>
      <c r="R2558" s="188" t="str">
        <f t="shared" si="84"/>
        <v/>
      </c>
      <c r="T2558" s="21">
        <v>46102</v>
      </c>
      <c r="U2558" s="22" t="s">
        <v>53</v>
      </c>
      <c r="V2558" s="24">
        <v>5</v>
      </c>
      <c r="W2558" s="24">
        <v>5</v>
      </c>
      <c r="X2558" s="24">
        <v>5</v>
      </c>
      <c r="Y2558" s="24">
        <v>5</v>
      </c>
      <c r="Z2558" s="20">
        <f t="shared" si="83"/>
        <v>20</v>
      </c>
    </row>
    <row r="2559" spans="1:26" x14ac:dyDescent="0.2">
      <c r="A2559" s="21"/>
      <c r="B2559" s="20"/>
      <c r="C2559" s="22"/>
      <c r="D2559" s="22"/>
      <c r="E2559" s="24"/>
      <c r="F2559" s="22"/>
      <c r="H2559" s="21">
        <v>46049</v>
      </c>
      <c r="I2559" s="22" t="s">
        <v>71</v>
      </c>
      <c r="J2559" s="22" t="s">
        <v>47</v>
      </c>
      <c r="K2559" s="24" t="s">
        <v>64</v>
      </c>
      <c r="M2559" s="21"/>
      <c r="N2559" s="22"/>
      <c r="O2559" s="22"/>
      <c r="P2559" s="49"/>
      <c r="Q2559" s="49"/>
      <c r="R2559" s="188" t="str">
        <f t="shared" si="84"/>
        <v/>
      </c>
      <c r="T2559" s="21">
        <v>46102</v>
      </c>
      <c r="U2559" s="22" t="s">
        <v>54</v>
      </c>
      <c r="V2559" s="24">
        <v>5</v>
      </c>
      <c r="W2559" s="24">
        <v>5</v>
      </c>
      <c r="X2559" s="24">
        <v>5</v>
      </c>
      <c r="Y2559" s="24">
        <v>5</v>
      </c>
      <c r="Z2559" s="20">
        <f t="shared" si="83"/>
        <v>20</v>
      </c>
    </row>
    <row r="2560" spans="1:26" x14ac:dyDescent="0.2">
      <c r="A2560" s="21"/>
      <c r="B2560" s="20"/>
      <c r="C2560" s="22"/>
      <c r="D2560" s="22"/>
      <c r="E2560" s="24"/>
      <c r="F2560" s="22"/>
      <c r="H2560" s="21">
        <v>46049</v>
      </c>
      <c r="I2560" s="22" t="s">
        <v>71</v>
      </c>
      <c r="J2560" s="22" t="s">
        <v>41</v>
      </c>
      <c r="K2560" s="24">
        <v>2</v>
      </c>
      <c r="M2560" s="21"/>
      <c r="N2560" s="22"/>
      <c r="O2560" s="22"/>
      <c r="P2560" s="49"/>
      <c r="Q2560" s="49"/>
      <c r="R2560" s="188" t="str">
        <f t="shared" si="84"/>
        <v/>
      </c>
      <c r="T2560" s="21">
        <v>46102</v>
      </c>
      <c r="U2560" s="22" t="s">
        <v>55</v>
      </c>
      <c r="V2560" s="24">
        <v>5</v>
      </c>
      <c r="W2560" s="24">
        <v>5</v>
      </c>
      <c r="X2560" s="24">
        <v>5</v>
      </c>
      <c r="Y2560" s="24">
        <v>5</v>
      </c>
      <c r="Z2560" s="20">
        <f t="shared" si="83"/>
        <v>20</v>
      </c>
    </row>
    <row r="2561" spans="1:26" x14ac:dyDescent="0.2">
      <c r="A2561" s="21"/>
      <c r="B2561" s="20"/>
      <c r="C2561" s="22"/>
      <c r="D2561" s="22"/>
      <c r="E2561" s="24"/>
      <c r="F2561" s="22"/>
      <c r="H2561" s="21">
        <v>46049</v>
      </c>
      <c r="I2561" s="22" t="s">
        <v>71</v>
      </c>
      <c r="J2561" s="22" t="s">
        <v>58</v>
      </c>
      <c r="K2561" s="24">
        <v>6</v>
      </c>
      <c r="M2561" s="21"/>
      <c r="N2561" s="22"/>
      <c r="O2561" s="22"/>
      <c r="P2561" s="49"/>
      <c r="Q2561" s="49"/>
      <c r="R2561" s="188" t="str">
        <f t="shared" si="84"/>
        <v/>
      </c>
      <c r="T2561" s="21">
        <v>46102</v>
      </c>
      <c r="U2561" s="22" t="s">
        <v>57</v>
      </c>
      <c r="V2561" s="24">
        <v>5</v>
      </c>
      <c r="W2561" s="24">
        <v>5</v>
      </c>
      <c r="X2561" s="24">
        <v>5</v>
      </c>
      <c r="Y2561" s="24">
        <v>5</v>
      </c>
      <c r="Z2561" s="20">
        <f t="shared" si="83"/>
        <v>20</v>
      </c>
    </row>
    <row r="2562" spans="1:26" x14ac:dyDescent="0.2">
      <c r="A2562" s="21"/>
      <c r="B2562" s="20"/>
      <c r="C2562" s="22"/>
      <c r="D2562" s="22"/>
      <c r="E2562" s="24"/>
      <c r="F2562" s="22"/>
      <c r="H2562" s="21">
        <v>46049</v>
      </c>
      <c r="I2562" s="22" t="s">
        <v>71</v>
      </c>
      <c r="J2562" s="22" t="s">
        <v>49</v>
      </c>
      <c r="K2562" s="24">
        <v>6</v>
      </c>
      <c r="M2562" s="21"/>
      <c r="N2562" s="22"/>
      <c r="O2562" s="22"/>
      <c r="P2562" s="49"/>
      <c r="Q2562" s="49"/>
      <c r="R2562" s="188" t="str">
        <f t="shared" si="84"/>
        <v/>
      </c>
      <c r="T2562" s="21">
        <v>46102</v>
      </c>
      <c r="U2562" s="22" t="s">
        <v>58</v>
      </c>
      <c r="V2562" s="24">
        <v>5</v>
      </c>
      <c r="W2562" s="24">
        <v>5</v>
      </c>
      <c r="X2562" s="24">
        <v>5</v>
      </c>
      <c r="Y2562" s="24">
        <v>5</v>
      </c>
      <c r="Z2562" s="20">
        <f t="shared" si="83"/>
        <v>20</v>
      </c>
    </row>
    <row r="2563" spans="1:26" x14ac:dyDescent="0.2">
      <c r="A2563" s="21"/>
      <c r="B2563" s="20"/>
      <c r="C2563" s="22"/>
      <c r="D2563" s="22"/>
      <c r="E2563" s="24"/>
      <c r="F2563" s="22"/>
      <c r="H2563" s="21">
        <v>46049</v>
      </c>
      <c r="I2563" s="22" t="s">
        <v>71</v>
      </c>
      <c r="J2563" s="22" t="s">
        <v>50</v>
      </c>
      <c r="K2563" s="24">
        <v>7</v>
      </c>
      <c r="M2563" s="21"/>
      <c r="N2563" s="22"/>
      <c r="O2563" s="22"/>
      <c r="P2563" s="49"/>
      <c r="Q2563" s="49"/>
      <c r="R2563" s="188" t="str">
        <f t="shared" si="84"/>
        <v/>
      </c>
      <c r="T2563" s="21">
        <v>46102</v>
      </c>
      <c r="U2563" s="22" t="s">
        <v>33</v>
      </c>
      <c r="V2563" s="24">
        <v>4.75</v>
      </c>
      <c r="W2563" s="24">
        <v>4.75</v>
      </c>
      <c r="X2563" s="24">
        <v>4.75</v>
      </c>
      <c r="Y2563" s="24">
        <v>4.75</v>
      </c>
      <c r="Z2563" s="20">
        <f t="shared" ref="Z2563:Z2626" si="85">SUM(V2563:Y2563)</f>
        <v>19</v>
      </c>
    </row>
    <row r="2564" spans="1:26" x14ac:dyDescent="0.2">
      <c r="A2564" s="21"/>
      <c r="B2564" s="20"/>
      <c r="C2564" s="22"/>
      <c r="D2564" s="22"/>
      <c r="E2564" s="24"/>
      <c r="F2564" s="22"/>
      <c r="H2564" s="21">
        <v>46049</v>
      </c>
      <c r="I2564" s="22" t="s">
        <v>71</v>
      </c>
      <c r="J2564" s="22" t="s">
        <v>51</v>
      </c>
      <c r="K2564" s="24">
        <v>6</v>
      </c>
      <c r="M2564" s="21"/>
      <c r="N2564" s="22"/>
      <c r="O2564" s="22"/>
      <c r="P2564" s="49"/>
      <c r="Q2564" s="49"/>
      <c r="R2564" s="188" t="str">
        <f t="shared" si="84"/>
        <v/>
      </c>
      <c r="T2564" s="21">
        <v>46105</v>
      </c>
      <c r="U2564" s="22" t="s">
        <v>41</v>
      </c>
      <c r="V2564" s="24">
        <v>1</v>
      </c>
      <c r="W2564" s="24">
        <v>1</v>
      </c>
      <c r="X2564" s="24">
        <v>1</v>
      </c>
      <c r="Y2564" s="24">
        <v>1</v>
      </c>
      <c r="Z2564" s="20">
        <f t="shared" si="85"/>
        <v>4</v>
      </c>
    </row>
    <row r="2565" spans="1:26" x14ac:dyDescent="0.2">
      <c r="A2565" s="21"/>
      <c r="B2565" s="20"/>
      <c r="C2565" s="22"/>
      <c r="D2565" s="22"/>
      <c r="E2565" s="24"/>
      <c r="F2565" s="22"/>
      <c r="H2565" s="21">
        <v>46049</v>
      </c>
      <c r="I2565" s="22" t="s">
        <v>71</v>
      </c>
      <c r="J2565" s="22" t="s">
        <v>46</v>
      </c>
      <c r="K2565" s="24">
        <v>6</v>
      </c>
      <c r="M2565" s="21"/>
      <c r="N2565" s="22"/>
      <c r="O2565" s="22"/>
      <c r="P2565" s="49"/>
      <c r="Q2565" s="49"/>
      <c r="R2565" s="188" t="str">
        <f t="shared" si="84"/>
        <v/>
      </c>
      <c r="T2565" s="21">
        <v>46105</v>
      </c>
      <c r="U2565" s="22" t="s">
        <v>42</v>
      </c>
      <c r="V2565" s="24">
        <v>4</v>
      </c>
      <c r="W2565" s="24">
        <v>4</v>
      </c>
      <c r="X2565" s="24">
        <v>4</v>
      </c>
      <c r="Y2565" s="24">
        <v>4</v>
      </c>
      <c r="Z2565" s="20">
        <f t="shared" si="85"/>
        <v>16</v>
      </c>
    </row>
    <row r="2566" spans="1:26" x14ac:dyDescent="0.2">
      <c r="A2566" s="21"/>
      <c r="B2566" s="20"/>
      <c r="C2566" s="22"/>
      <c r="D2566" s="22"/>
      <c r="E2566" s="24"/>
      <c r="F2566" s="22"/>
      <c r="H2566" s="21">
        <v>46049</v>
      </c>
      <c r="I2566" s="22" t="s">
        <v>71</v>
      </c>
      <c r="J2566" s="22" t="s">
        <v>48</v>
      </c>
      <c r="K2566" s="24" t="s">
        <v>64</v>
      </c>
      <c r="M2566" s="21"/>
      <c r="N2566" s="22"/>
      <c r="O2566" s="22"/>
      <c r="P2566" s="49"/>
      <c r="Q2566" s="49"/>
      <c r="R2566" s="188" t="str">
        <f t="shared" si="84"/>
        <v/>
      </c>
      <c r="T2566" s="21">
        <v>46105</v>
      </c>
      <c r="U2566" s="22" t="s">
        <v>44</v>
      </c>
      <c r="V2566" s="24">
        <v>5</v>
      </c>
      <c r="W2566" s="24">
        <v>5</v>
      </c>
      <c r="X2566" s="24">
        <v>4</v>
      </c>
      <c r="Y2566" s="24">
        <v>5</v>
      </c>
      <c r="Z2566" s="20">
        <f t="shared" si="85"/>
        <v>19</v>
      </c>
    </row>
    <row r="2567" spans="1:26" x14ac:dyDescent="0.2">
      <c r="A2567" s="21"/>
      <c r="B2567" s="20"/>
      <c r="C2567" s="22"/>
      <c r="D2567" s="22"/>
      <c r="E2567" s="24"/>
      <c r="F2567" s="22"/>
      <c r="H2567" s="21">
        <v>46050</v>
      </c>
      <c r="I2567" s="22" t="s">
        <v>70</v>
      </c>
      <c r="J2567" s="22" t="s">
        <v>52</v>
      </c>
      <c r="K2567" s="24">
        <v>8</v>
      </c>
      <c r="M2567" s="21"/>
      <c r="N2567" s="22"/>
      <c r="O2567" s="22"/>
      <c r="P2567" s="49"/>
      <c r="Q2567" s="49"/>
      <c r="R2567" s="188" t="str">
        <f t="shared" si="84"/>
        <v/>
      </c>
      <c r="T2567" s="21">
        <v>46105</v>
      </c>
      <c r="U2567" s="22" t="s">
        <v>45</v>
      </c>
      <c r="V2567" s="24">
        <v>5</v>
      </c>
      <c r="W2567" s="24">
        <v>5</v>
      </c>
      <c r="X2567" s="24">
        <v>5</v>
      </c>
      <c r="Y2567" s="24">
        <v>5</v>
      </c>
      <c r="Z2567" s="20">
        <f t="shared" si="85"/>
        <v>20</v>
      </c>
    </row>
    <row r="2568" spans="1:26" x14ac:dyDescent="0.2">
      <c r="A2568" s="21"/>
      <c r="B2568" s="20"/>
      <c r="C2568" s="22"/>
      <c r="D2568" s="22"/>
      <c r="E2568" s="24"/>
      <c r="F2568" s="22"/>
      <c r="H2568" s="21">
        <v>46050</v>
      </c>
      <c r="I2568" s="22" t="s">
        <v>70</v>
      </c>
      <c r="J2568" s="22" t="s">
        <v>53</v>
      </c>
      <c r="K2568" s="24">
        <v>8</v>
      </c>
      <c r="M2568" s="21"/>
      <c r="N2568" s="22"/>
      <c r="O2568" s="22"/>
      <c r="P2568" s="49"/>
      <c r="Q2568" s="49"/>
      <c r="R2568" s="188" t="str">
        <f t="shared" si="84"/>
        <v/>
      </c>
      <c r="T2568" s="21">
        <v>46105</v>
      </c>
      <c r="U2568" s="22" t="s">
        <v>46</v>
      </c>
      <c r="V2568" s="24">
        <v>5</v>
      </c>
      <c r="W2568" s="24">
        <v>5</v>
      </c>
      <c r="X2568" s="24">
        <v>5</v>
      </c>
      <c r="Y2568" s="24">
        <v>5</v>
      </c>
      <c r="Z2568" s="20">
        <f t="shared" si="85"/>
        <v>20</v>
      </c>
    </row>
    <row r="2569" spans="1:26" x14ac:dyDescent="0.2">
      <c r="A2569" s="21"/>
      <c r="B2569" s="20"/>
      <c r="C2569" s="22"/>
      <c r="D2569" s="22"/>
      <c r="E2569" s="24"/>
      <c r="F2569" s="22"/>
      <c r="H2569" s="21">
        <v>46050</v>
      </c>
      <c r="I2569" s="22" t="s">
        <v>70</v>
      </c>
      <c r="J2569" s="22" t="s">
        <v>44</v>
      </c>
      <c r="K2569" s="24" t="s">
        <v>64</v>
      </c>
      <c r="M2569" s="21"/>
      <c r="N2569" s="22"/>
      <c r="O2569" s="22"/>
      <c r="P2569" s="49"/>
      <c r="Q2569" s="49"/>
      <c r="R2569" s="188" t="str">
        <f t="shared" si="84"/>
        <v/>
      </c>
      <c r="T2569" s="21">
        <v>46105</v>
      </c>
      <c r="U2569" s="22" t="s">
        <v>47</v>
      </c>
      <c r="V2569" s="24">
        <v>4</v>
      </c>
      <c r="W2569" s="24">
        <v>4</v>
      </c>
      <c r="X2569" s="24">
        <v>4</v>
      </c>
      <c r="Y2569" s="24">
        <v>4</v>
      </c>
      <c r="Z2569" s="20">
        <f t="shared" si="85"/>
        <v>16</v>
      </c>
    </row>
    <row r="2570" spans="1:26" x14ac:dyDescent="0.2">
      <c r="A2570" s="21"/>
      <c r="B2570" s="20"/>
      <c r="C2570" s="22"/>
      <c r="D2570" s="22"/>
      <c r="E2570" s="24"/>
      <c r="F2570" s="22"/>
      <c r="H2570" s="21">
        <v>46050</v>
      </c>
      <c r="I2570" s="22" t="s">
        <v>70</v>
      </c>
      <c r="J2570" s="22" t="s">
        <v>45</v>
      </c>
      <c r="K2570" s="24">
        <v>4</v>
      </c>
      <c r="M2570" s="21"/>
      <c r="N2570" s="22"/>
      <c r="O2570" s="22"/>
      <c r="P2570" s="49"/>
      <c r="Q2570" s="49"/>
      <c r="R2570" s="188" t="str">
        <f t="shared" si="84"/>
        <v/>
      </c>
      <c r="T2570" s="21">
        <v>46105</v>
      </c>
      <c r="U2570" s="22" t="s">
        <v>49</v>
      </c>
      <c r="V2570" s="24">
        <v>4</v>
      </c>
      <c r="W2570" s="24">
        <v>3</v>
      </c>
      <c r="X2570" s="24">
        <v>2</v>
      </c>
      <c r="Y2570" s="24">
        <v>3</v>
      </c>
      <c r="Z2570" s="20">
        <f t="shared" si="85"/>
        <v>12</v>
      </c>
    </row>
    <row r="2571" spans="1:26" x14ac:dyDescent="0.2">
      <c r="A2571" s="21"/>
      <c r="B2571" s="20"/>
      <c r="C2571" s="22"/>
      <c r="D2571" s="22"/>
      <c r="E2571" s="24"/>
      <c r="F2571" s="22"/>
      <c r="H2571" s="21">
        <v>46050</v>
      </c>
      <c r="I2571" s="22" t="s">
        <v>70</v>
      </c>
      <c r="J2571" s="22" t="s">
        <v>57</v>
      </c>
      <c r="K2571" s="24">
        <v>7</v>
      </c>
      <c r="M2571" s="21"/>
      <c r="N2571" s="22"/>
      <c r="O2571" s="22"/>
      <c r="P2571" s="49"/>
      <c r="Q2571" s="49"/>
      <c r="R2571" s="188" t="str">
        <f t="shared" si="84"/>
        <v/>
      </c>
      <c r="T2571" s="21">
        <v>46105</v>
      </c>
      <c r="U2571" s="22" t="s">
        <v>50</v>
      </c>
      <c r="V2571" s="24">
        <v>4</v>
      </c>
      <c r="W2571" s="24">
        <v>2</v>
      </c>
      <c r="X2571" s="24">
        <v>4</v>
      </c>
      <c r="Y2571" s="24">
        <v>2</v>
      </c>
      <c r="Z2571" s="20">
        <f t="shared" si="85"/>
        <v>12</v>
      </c>
    </row>
    <row r="2572" spans="1:26" x14ac:dyDescent="0.2">
      <c r="A2572" s="21"/>
      <c r="B2572" s="20"/>
      <c r="C2572" s="22"/>
      <c r="D2572" s="22"/>
      <c r="E2572" s="24"/>
      <c r="F2572" s="22"/>
      <c r="H2572" s="21">
        <v>46050</v>
      </c>
      <c r="I2572" s="22" t="s">
        <v>70</v>
      </c>
      <c r="J2572" s="22" t="s">
        <v>42</v>
      </c>
      <c r="K2572" s="24" t="s">
        <v>60</v>
      </c>
      <c r="M2572" s="21"/>
      <c r="N2572" s="22"/>
      <c r="O2572" s="22"/>
      <c r="P2572" s="49"/>
      <c r="Q2572" s="49"/>
      <c r="R2572" s="188" t="str">
        <f t="shared" si="84"/>
        <v/>
      </c>
      <c r="T2572" s="21">
        <v>46105</v>
      </c>
      <c r="U2572" s="22" t="s">
        <v>51</v>
      </c>
      <c r="V2572" s="24">
        <v>4</v>
      </c>
      <c r="W2572" s="24">
        <v>4</v>
      </c>
      <c r="X2572" s="24">
        <v>4</v>
      </c>
      <c r="Y2572" s="24">
        <v>4</v>
      </c>
      <c r="Z2572" s="20">
        <f t="shared" si="85"/>
        <v>16</v>
      </c>
    </row>
    <row r="2573" spans="1:26" x14ac:dyDescent="0.2">
      <c r="A2573" s="21"/>
      <c r="B2573" s="20"/>
      <c r="C2573" s="22"/>
      <c r="D2573" s="22"/>
      <c r="E2573" s="24"/>
      <c r="F2573" s="22"/>
      <c r="H2573" s="21">
        <v>46050</v>
      </c>
      <c r="I2573" s="22" t="s">
        <v>70</v>
      </c>
      <c r="J2573" s="22" t="s">
        <v>54</v>
      </c>
      <c r="K2573" s="24">
        <v>8</v>
      </c>
      <c r="M2573" s="21"/>
      <c r="N2573" s="22"/>
      <c r="O2573" s="22"/>
      <c r="P2573" s="49"/>
      <c r="Q2573" s="49"/>
      <c r="R2573" s="188" t="str">
        <f t="shared" si="84"/>
        <v/>
      </c>
      <c r="T2573" s="21">
        <v>46105</v>
      </c>
      <c r="U2573" s="22" t="s">
        <v>52</v>
      </c>
      <c r="V2573" s="24">
        <v>4</v>
      </c>
      <c r="W2573" s="24">
        <v>4</v>
      </c>
      <c r="X2573" s="24">
        <v>4</v>
      </c>
      <c r="Y2573" s="24">
        <v>4</v>
      </c>
      <c r="Z2573" s="20">
        <f t="shared" si="85"/>
        <v>16</v>
      </c>
    </row>
    <row r="2574" spans="1:26" x14ac:dyDescent="0.2">
      <c r="A2574" s="21"/>
      <c r="B2574" s="20"/>
      <c r="C2574" s="22"/>
      <c r="D2574" s="22"/>
      <c r="E2574" s="24"/>
      <c r="F2574" s="22"/>
      <c r="H2574" s="21">
        <v>46050</v>
      </c>
      <c r="I2574" s="22" t="s">
        <v>70</v>
      </c>
      <c r="J2574" s="22" t="s">
        <v>47</v>
      </c>
      <c r="K2574" s="24" t="s">
        <v>64</v>
      </c>
      <c r="M2574" s="21"/>
      <c r="N2574" s="22"/>
      <c r="O2574" s="22"/>
      <c r="P2574" s="49"/>
      <c r="Q2574" s="49"/>
      <c r="R2574" s="188" t="str">
        <f t="shared" si="84"/>
        <v/>
      </c>
      <c r="T2574" s="21">
        <v>46105</v>
      </c>
      <c r="U2574" s="22" t="s">
        <v>53</v>
      </c>
      <c r="V2574" s="24">
        <v>4</v>
      </c>
      <c r="W2574" s="24">
        <v>4</v>
      </c>
      <c r="X2574" s="24">
        <v>2</v>
      </c>
      <c r="Y2574" s="24">
        <v>4</v>
      </c>
      <c r="Z2574" s="20">
        <f t="shared" si="85"/>
        <v>14</v>
      </c>
    </row>
    <row r="2575" spans="1:26" x14ac:dyDescent="0.2">
      <c r="A2575" s="21"/>
      <c r="B2575" s="20"/>
      <c r="C2575" s="22"/>
      <c r="D2575" s="22"/>
      <c r="E2575" s="24"/>
      <c r="F2575" s="22"/>
      <c r="H2575" s="21">
        <v>46050</v>
      </c>
      <c r="I2575" s="22" t="s">
        <v>70</v>
      </c>
      <c r="J2575" s="22" t="s">
        <v>41</v>
      </c>
      <c r="K2575" s="24">
        <v>3</v>
      </c>
      <c r="M2575" s="21"/>
      <c r="N2575" s="22"/>
      <c r="O2575" s="22"/>
      <c r="P2575" s="49"/>
      <c r="Q2575" s="49"/>
      <c r="R2575" s="188" t="str">
        <f t="shared" si="84"/>
        <v/>
      </c>
      <c r="T2575" s="21">
        <v>46105</v>
      </c>
      <c r="U2575" s="22" t="s">
        <v>54</v>
      </c>
      <c r="V2575" s="24">
        <v>5</v>
      </c>
      <c r="W2575" s="24">
        <v>5</v>
      </c>
      <c r="X2575" s="24">
        <v>5</v>
      </c>
      <c r="Y2575" s="24">
        <v>5</v>
      </c>
      <c r="Z2575" s="20">
        <f t="shared" si="85"/>
        <v>20</v>
      </c>
    </row>
    <row r="2576" spans="1:26" x14ac:dyDescent="0.2">
      <c r="A2576" s="21"/>
      <c r="B2576" s="20"/>
      <c r="C2576" s="22"/>
      <c r="D2576" s="22"/>
      <c r="E2576" s="24"/>
      <c r="F2576" s="22"/>
      <c r="H2576" s="21">
        <v>46050</v>
      </c>
      <c r="I2576" s="22" t="s">
        <v>70</v>
      </c>
      <c r="J2576" s="22" t="s">
        <v>58</v>
      </c>
      <c r="K2576" s="24">
        <v>9</v>
      </c>
      <c r="M2576" s="21"/>
      <c r="N2576" s="22"/>
      <c r="O2576" s="22"/>
      <c r="P2576" s="49"/>
      <c r="Q2576" s="49"/>
      <c r="R2576" s="188" t="str">
        <f t="shared" si="84"/>
        <v/>
      </c>
      <c r="T2576" s="21">
        <v>46105</v>
      </c>
      <c r="U2576" s="22" t="s">
        <v>57</v>
      </c>
      <c r="V2576" s="24">
        <v>4</v>
      </c>
      <c r="W2576" s="24">
        <v>4</v>
      </c>
      <c r="X2576" s="24">
        <v>4</v>
      </c>
      <c r="Y2576" s="24">
        <v>3</v>
      </c>
      <c r="Z2576" s="20">
        <f t="shared" si="85"/>
        <v>15</v>
      </c>
    </row>
    <row r="2577" spans="1:26" x14ac:dyDescent="0.2">
      <c r="A2577" s="21"/>
      <c r="B2577" s="20"/>
      <c r="C2577" s="22"/>
      <c r="D2577" s="22"/>
      <c r="E2577" s="24"/>
      <c r="F2577" s="22"/>
      <c r="H2577" s="21">
        <v>46050</v>
      </c>
      <c r="I2577" s="22" t="s">
        <v>70</v>
      </c>
      <c r="J2577" s="22" t="s">
        <v>49</v>
      </c>
      <c r="K2577" s="24">
        <v>8</v>
      </c>
      <c r="M2577" s="21"/>
      <c r="N2577" s="22"/>
      <c r="O2577" s="22"/>
      <c r="P2577" s="49"/>
      <c r="Q2577" s="49"/>
      <c r="R2577" s="188" t="str">
        <f t="shared" si="84"/>
        <v/>
      </c>
      <c r="T2577" s="21">
        <v>46105</v>
      </c>
      <c r="U2577" s="22" t="s">
        <v>58</v>
      </c>
      <c r="V2577" s="24">
        <v>4</v>
      </c>
      <c r="W2577" s="24">
        <v>4</v>
      </c>
      <c r="X2577" s="24">
        <v>4</v>
      </c>
      <c r="Y2577" s="24">
        <v>4</v>
      </c>
      <c r="Z2577" s="20">
        <f t="shared" si="85"/>
        <v>16</v>
      </c>
    </row>
    <row r="2578" spans="1:26" x14ac:dyDescent="0.2">
      <c r="A2578" s="21"/>
      <c r="B2578" s="20"/>
      <c r="C2578" s="22"/>
      <c r="D2578" s="22"/>
      <c r="E2578" s="24"/>
      <c r="F2578" s="22"/>
      <c r="H2578" s="21">
        <v>46050</v>
      </c>
      <c r="I2578" s="22" t="s">
        <v>70</v>
      </c>
      <c r="J2578" s="22" t="s">
        <v>50</v>
      </c>
      <c r="K2578" s="24">
        <v>8</v>
      </c>
      <c r="M2578" s="21"/>
      <c r="N2578" s="22"/>
      <c r="O2578" s="22"/>
      <c r="P2578" s="49"/>
      <c r="Q2578" s="49"/>
      <c r="R2578" s="188" t="str">
        <f t="shared" si="84"/>
        <v/>
      </c>
      <c r="T2578" s="21">
        <v>46105</v>
      </c>
      <c r="U2578" s="22" t="s">
        <v>33</v>
      </c>
      <c r="V2578" s="24">
        <v>4.0714285714285703</v>
      </c>
      <c r="W2578" s="24">
        <v>3.8571428571428599</v>
      </c>
      <c r="X2578" s="24">
        <v>3.71428571428571</v>
      </c>
      <c r="Y2578" s="24">
        <v>3.78571428571429</v>
      </c>
      <c r="Z2578" s="20">
        <f t="shared" si="85"/>
        <v>15.428571428571431</v>
      </c>
    </row>
    <row r="2579" spans="1:26" x14ac:dyDescent="0.2">
      <c r="A2579" s="21"/>
      <c r="B2579" s="20"/>
      <c r="C2579" s="22"/>
      <c r="D2579" s="22"/>
      <c r="E2579" s="24"/>
      <c r="F2579" s="22"/>
      <c r="H2579" s="21">
        <v>46050</v>
      </c>
      <c r="I2579" s="22" t="s">
        <v>70</v>
      </c>
      <c r="J2579" s="22" t="s">
        <v>51</v>
      </c>
      <c r="K2579" s="24">
        <v>8</v>
      </c>
      <c r="M2579" s="21"/>
      <c r="N2579" s="22"/>
      <c r="O2579" s="22"/>
      <c r="P2579" s="49"/>
      <c r="Q2579" s="49"/>
      <c r="R2579" s="188" t="str">
        <f t="shared" si="84"/>
        <v/>
      </c>
      <c r="T2579" s="21">
        <v>46106</v>
      </c>
      <c r="U2579" s="22" t="s">
        <v>41</v>
      </c>
      <c r="V2579" s="24">
        <v>1</v>
      </c>
      <c r="W2579" s="24">
        <v>1</v>
      </c>
      <c r="X2579" s="24">
        <v>1</v>
      </c>
      <c r="Y2579" s="24">
        <v>1</v>
      </c>
      <c r="Z2579" s="20">
        <f t="shared" si="85"/>
        <v>4</v>
      </c>
    </row>
    <row r="2580" spans="1:26" x14ac:dyDescent="0.2">
      <c r="A2580" s="21"/>
      <c r="B2580" s="20"/>
      <c r="C2580" s="22"/>
      <c r="D2580" s="22"/>
      <c r="E2580" s="24"/>
      <c r="F2580" s="22"/>
      <c r="H2580" s="21">
        <v>46050</v>
      </c>
      <c r="I2580" s="22" t="s">
        <v>70</v>
      </c>
      <c r="J2580" s="22" t="s">
        <v>46</v>
      </c>
      <c r="K2580" s="24">
        <v>6</v>
      </c>
      <c r="M2580" s="21"/>
      <c r="N2580" s="22"/>
      <c r="O2580" s="22"/>
      <c r="P2580" s="49"/>
      <c r="Q2580" s="49"/>
      <c r="R2580" s="188" t="str">
        <f t="shared" si="84"/>
        <v/>
      </c>
      <c r="T2580" s="21">
        <v>46106</v>
      </c>
      <c r="U2580" s="22" t="s">
        <v>42</v>
      </c>
      <c r="V2580" s="24">
        <v>4</v>
      </c>
      <c r="W2580" s="24">
        <v>4</v>
      </c>
      <c r="X2580" s="24">
        <v>4</v>
      </c>
      <c r="Y2580" s="24">
        <v>4</v>
      </c>
      <c r="Z2580" s="20">
        <f t="shared" si="85"/>
        <v>16</v>
      </c>
    </row>
    <row r="2581" spans="1:26" x14ac:dyDescent="0.2">
      <c r="A2581" s="21"/>
      <c r="B2581" s="20"/>
      <c r="C2581" s="22"/>
      <c r="D2581" s="22"/>
      <c r="E2581" s="24"/>
      <c r="F2581" s="22"/>
      <c r="H2581" s="21">
        <v>46050</v>
      </c>
      <c r="I2581" s="22" t="s">
        <v>70</v>
      </c>
      <c r="J2581" s="22" t="s">
        <v>48</v>
      </c>
      <c r="K2581" s="24" t="s">
        <v>64</v>
      </c>
      <c r="M2581" s="21"/>
      <c r="N2581" s="22"/>
      <c r="O2581" s="22"/>
      <c r="P2581" s="49"/>
      <c r="Q2581" s="49"/>
      <c r="R2581" s="188" t="str">
        <f t="shared" si="84"/>
        <v/>
      </c>
      <c r="T2581" s="21">
        <v>46106</v>
      </c>
      <c r="U2581" s="22" t="s">
        <v>44</v>
      </c>
      <c r="V2581" s="24">
        <v>5</v>
      </c>
      <c r="W2581" s="24">
        <v>5</v>
      </c>
      <c r="X2581" s="24">
        <v>4</v>
      </c>
      <c r="Y2581" s="24">
        <v>5</v>
      </c>
      <c r="Z2581" s="20">
        <f t="shared" si="85"/>
        <v>19</v>
      </c>
    </row>
    <row r="2582" spans="1:26" x14ac:dyDescent="0.2">
      <c r="A2582" s="21"/>
      <c r="B2582" s="20"/>
      <c r="C2582" s="22"/>
      <c r="D2582" s="22"/>
      <c r="E2582" s="24"/>
      <c r="F2582" s="22"/>
      <c r="H2582" s="21">
        <v>46051</v>
      </c>
      <c r="I2582" s="22" t="s">
        <v>71</v>
      </c>
      <c r="J2582" s="22" t="s">
        <v>52</v>
      </c>
      <c r="K2582" s="24">
        <v>5</v>
      </c>
      <c r="M2582" s="21"/>
      <c r="N2582" s="22"/>
      <c r="O2582" s="22"/>
      <c r="P2582" s="49"/>
      <c r="Q2582" s="49"/>
      <c r="R2582" s="188" t="str">
        <f t="shared" ref="R2582:R2645" si="86">IF(OR(P2582="",Q2582=""),"",IFERROR(P2582-Q2582,""))</f>
        <v/>
      </c>
      <c r="T2582" s="21">
        <v>46106</v>
      </c>
      <c r="U2582" s="22" t="s">
        <v>45</v>
      </c>
      <c r="V2582" s="24">
        <v>5</v>
      </c>
      <c r="W2582" s="24">
        <v>4</v>
      </c>
      <c r="X2582" s="24">
        <v>4</v>
      </c>
      <c r="Y2582" s="24">
        <v>5</v>
      </c>
      <c r="Z2582" s="20">
        <f t="shared" si="85"/>
        <v>18</v>
      </c>
    </row>
    <row r="2583" spans="1:26" x14ac:dyDescent="0.2">
      <c r="A2583" s="21"/>
      <c r="B2583" s="20"/>
      <c r="C2583" s="22"/>
      <c r="D2583" s="22"/>
      <c r="E2583" s="24"/>
      <c r="F2583" s="22"/>
      <c r="H2583" s="21">
        <v>46051</v>
      </c>
      <c r="I2583" s="22" t="s">
        <v>71</v>
      </c>
      <c r="J2583" s="22" t="s">
        <v>53</v>
      </c>
      <c r="K2583" s="24">
        <v>5</v>
      </c>
      <c r="M2583" s="21"/>
      <c r="N2583" s="22"/>
      <c r="O2583" s="22"/>
      <c r="P2583" s="49"/>
      <c r="Q2583" s="49"/>
      <c r="R2583" s="188" t="str">
        <f t="shared" si="86"/>
        <v/>
      </c>
      <c r="T2583" s="21">
        <v>46106</v>
      </c>
      <c r="U2583" s="22" t="s">
        <v>46</v>
      </c>
      <c r="V2583" s="24">
        <v>5</v>
      </c>
      <c r="W2583" s="24">
        <v>5</v>
      </c>
      <c r="X2583" s="24">
        <v>5</v>
      </c>
      <c r="Y2583" s="24">
        <v>5</v>
      </c>
      <c r="Z2583" s="20">
        <f t="shared" si="85"/>
        <v>20</v>
      </c>
    </row>
    <row r="2584" spans="1:26" x14ac:dyDescent="0.2">
      <c r="A2584" s="21"/>
      <c r="B2584" s="20"/>
      <c r="C2584" s="22"/>
      <c r="D2584" s="22"/>
      <c r="E2584" s="24"/>
      <c r="F2584" s="22"/>
      <c r="H2584" s="21">
        <v>46051</v>
      </c>
      <c r="I2584" s="22" t="s">
        <v>71</v>
      </c>
      <c r="J2584" s="22" t="s">
        <v>44</v>
      </c>
      <c r="K2584" s="24" t="s">
        <v>64</v>
      </c>
      <c r="M2584" s="21"/>
      <c r="N2584" s="22"/>
      <c r="O2584" s="22"/>
      <c r="P2584" s="49"/>
      <c r="Q2584" s="49"/>
      <c r="R2584" s="188" t="str">
        <f t="shared" si="86"/>
        <v/>
      </c>
      <c r="T2584" s="21">
        <v>46106</v>
      </c>
      <c r="U2584" s="22" t="s">
        <v>47</v>
      </c>
      <c r="V2584" s="24">
        <v>5</v>
      </c>
      <c r="W2584" s="24">
        <v>5</v>
      </c>
      <c r="X2584" s="24">
        <v>5</v>
      </c>
      <c r="Y2584" s="24">
        <v>5</v>
      </c>
      <c r="Z2584" s="20">
        <f t="shared" si="85"/>
        <v>20</v>
      </c>
    </row>
    <row r="2585" spans="1:26" x14ac:dyDescent="0.2">
      <c r="A2585" s="21"/>
      <c r="B2585" s="20"/>
      <c r="C2585" s="22"/>
      <c r="D2585" s="22"/>
      <c r="E2585" s="24"/>
      <c r="F2585" s="22"/>
      <c r="H2585" s="21">
        <v>46051</v>
      </c>
      <c r="I2585" s="22" t="s">
        <v>71</v>
      </c>
      <c r="J2585" s="22" t="s">
        <v>45</v>
      </c>
      <c r="K2585" s="24" t="s">
        <v>61</v>
      </c>
      <c r="M2585" s="21"/>
      <c r="N2585" s="22"/>
      <c r="O2585" s="22"/>
      <c r="P2585" s="49"/>
      <c r="Q2585" s="49"/>
      <c r="R2585" s="188" t="str">
        <f t="shared" si="86"/>
        <v/>
      </c>
      <c r="T2585" s="21">
        <v>46106</v>
      </c>
      <c r="U2585" s="22" t="s">
        <v>49</v>
      </c>
      <c r="V2585" s="24">
        <v>5</v>
      </c>
      <c r="W2585" s="24">
        <v>4</v>
      </c>
      <c r="X2585" s="24">
        <v>3</v>
      </c>
      <c r="Y2585" s="24">
        <v>4</v>
      </c>
      <c r="Z2585" s="20">
        <f t="shared" si="85"/>
        <v>16</v>
      </c>
    </row>
    <row r="2586" spans="1:26" x14ac:dyDescent="0.2">
      <c r="A2586" s="21"/>
      <c r="B2586" s="20"/>
      <c r="C2586" s="22"/>
      <c r="D2586" s="22"/>
      <c r="E2586" s="24"/>
      <c r="F2586" s="22"/>
      <c r="H2586" s="21">
        <v>46051</v>
      </c>
      <c r="I2586" s="22" t="s">
        <v>71</v>
      </c>
      <c r="J2586" s="22" t="s">
        <v>57</v>
      </c>
      <c r="K2586" s="24">
        <v>4</v>
      </c>
      <c r="M2586" s="21"/>
      <c r="N2586" s="22"/>
      <c r="O2586" s="22"/>
      <c r="P2586" s="49"/>
      <c r="Q2586" s="49"/>
      <c r="R2586" s="188" t="str">
        <f t="shared" si="86"/>
        <v/>
      </c>
      <c r="T2586" s="21">
        <v>46106</v>
      </c>
      <c r="U2586" s="22" t="s">
        <v>50</v>
      </c>
      <c r="V2586" s="24">
        <v>5</v>
      </c>
      <c r="W2586" s="24">
        <v>3</v>
      </c>
      <c r="X2586" s="24">
        <v>4</v>
      </c>
      <c r="Y2586" s="24">
        <v>4</v>
      </c>
      <c r="Z2586" s="20">
        <f t="shared" si="85"/>
        <v>16</v>
      </c>
    </row>
    <row r="2587" spans="1:26" x14ac:dyDescent="0.2">
      <c r="A2587" s="21"/>
      <c r="B2587" s="20"/>
      <c r="C2587" s="22"/>
      <c r="D2587" s="22"/>
      <c r="E2587" s="24"/>
      <c r="F2587" s="22"/>
      <c r="H2587" s="21">
        <v>46051</v>
      </c>
      <c r="I2587" s="22" t="s">
        <v>71</v>
      </c>
      <c r="J2587" s="22" t="s">
        <v>42</v>
      </c>
      <c r="K2587" s="24">
        <v>1</v>
      </c>
      <c r="M2587" s="21"/>
      <c r="N2587" s="22"/>
      <c r="O2587" s="22"/>
      <c r="P2587" s="49"/>
      <c r="Q2587" s="49"/>
      <c r="R2587" s="188" t="str">
        <f t="shared" si="86"/>
        <v/>
      </c>
      <c r="T2587" s="21">
        <v>46106</v>
      </c>
      <c r="U2587" s="22" t="s">
        <v>51</v>
      </c>
      <c r="V2587" s="24">
        <v>4</v>
      </c>
      <c r="W2587" s="24">
        <v>3</v>
      </c>
      <c r="X2587" s="24">
        <v>4</v>
      </c>
      <c r="Y2587" s="24">
        <v>4</v>
      </c>
      <c r="Z2587" s="20">
        <f t="shared" si="85"/>
        <v>15</v>
      </c>
    </row>
    <row r="2588" spans="1:26" x14ac:dyDescent="0.2">
      <c r="A2588" s="21"/>
      <c r="B2588" s="20"/>
      <c r="C2588" s="22"/>
      <c r="D2588" s="22"/>
      <c r="E2588" s="24"/>
      <c r="F2588" s="22"/>
      <c r="H2588" s="21">
        <v>46051</v>
      </c>
      <c r="I2588" s="22" t="s">
        <v>71</v>
      </c>
      <c r="J2588" s="22" t="s">
        <v>54</v>
      </c>
      <c r="K2588" s="24">
        <v>4</v>
      </c>
      <c r="M2588" s="21"/>
      <c r="N2588" s="22"/>
      <c r="O2588" s="22"/>
      <c r="P2588" s="49"/>
      <c r="Q2588" s="49"/>
      <c r="R2588" s="188" t="str">
        <f t="shared" si="86"/>
        <v/>
      </c>
      <c r="T2588" s="21">
        <v>46106</v>
      </c>
      <c r="U2588" s="22" t="s">
        <v>52</v>
      </c>
      <c r="V2588" s="24">
        <v>4</v>
      </c>
      <c r="W2588" s="24">
        <v>4</v>
      </c>
      <c r="X2588" s="24">
        <v>4</v>
      </c>
      <c r="Y2588" s="24">
        <v>4</v>
      </c>
      <c r="Z2588" s="20">
        <f t="shared" si="85"/>
        <v>16</v>
      </c>
    </row>
    <row r="2589" spans="1:26" x14ac:dyDescent="0.2">
      <c r="A2589" s="21"/>
      <c r="B2589" s="20"/>
      <c r="C2589" s="22"/>
      <c r="D2589" s="22"/>
      <c r="E2589" s="24"/>
      <c r="F2589" s="22"/>
      <c r="H2589" s="21">
        <v>46051</v>
      </c>
      <c r="I2589" s="22" t="s">
        <v>71</v>
      </c>
      <c r="J2589" s="22" t="s">
        <v>47</v>
      </c>
      <c r="K2589" s="24" t="s">
        <v>64</v>
      </c>
      <c r="M2589" s="21"/>
      <c r="N2589" s="22"/>
      <c r="O2589" s="22"/>
      <c r="P2589" s="49"/>
      <c r="Q2589" s="49"/>
      <c r="R2589" s="188" t="str">
        <f t="shared" si="86"/>
        <v/>
      </c>
      <c r="T2589" s="21">
        <v>46106</v>
      </c>
      <c r="U2589" s="22" t="s">
        <v>53</v>
      </c>
      <c r="V2589" s="24">
        <v>4</v>
      </c>
      <c r="W2589" s="24">
        <v>4</v>
      </c>
      <c r="X2589" s="24">
        <v>2</v>
      </c>
      <c r="Y2589" s="24">
        <v>5</v>
      </c>
      <c r="Z2589" s="20">
        <f t="shared" si="85"/>
        <v>15</v>
      </c>
    </row>
    <row r="2590" spans="1:26" x14ac:dyDescent="0.2">
      <c r="A2590" s="21"/>
      <c r="B2590" s="20"/>
      <c r="C2590" s="22"/>
      <c r="D2590" s="22"/>
      <c r="E2590" s="24"/>
      <c r="F2590" s="22"/>
      <c r="H2590" s="21">
        <v>46051</v>
      </c>
      <c r="I2590" s="22" t="s">
        <v>71</v>
      </c>
      <c r="J2590" s="22" t="s">
        <v>41</v>
      </c>
      <c r="K2590" s="24">
        <v>1</v>
      </c>
      <c r="M2590" s="21"/>
      <c r="N2590" s="22"/>
      <c r="O2590" s="22"/>
      <c r="P2590" s="49"/>
      <c r="Q2590" s="49"/>
      <c r="R2590" s="188" t="str">
        <f t="shared" si="86"/>
        <v/>
      </c>
      <c r="T2590" s="21">
        <v>46106</v>
      </c>
      <c r="U2590" s="22" t="s">
        <v>54</v>
      </c>
      <c r="V2590" s="24">
        <v>5</v>
      </c>
      <c r="W2590" s="24">
        <v>5</v>
      </c>
      <c r="X2590" s="24">
        <v>5</v>
      </c>
      <c r="Y2590" s="24">
        <v>5</v>
      </c>
      <c r="Z2590" s="20">
        <f t="shared" si="85"/>
        <v>20</v>
      </c>
    </row>
    <row r="2591" spans="1:26" x14ac:dyDescent="0.2">
      <c r="A2591" s="21"/>
      <c r="B2591" s="20"/>
      <c r="C2591" s="22"/>
      <c r="D2591" s="22"/>
      <c r="E2591" s="24"/>
      <c r="F2591" s="22"/>
      <c r="H2591" s="21">
        <v>46051</v>
      </c>
      <c r="I2591" s="22" t="s">
        <v>71</v>
      </c>
      <c r="J2591" s="22" t="s">
        <v>58</v>
      </c>
      <c r="K2591" s="24">
        <v>5</v>
      </c>
      <c r="M2591" s="21"/>
      <c r="N2591" s="22"/>
      <c r="O2591" s="22"/>
      <c r="P2591" s="49"/>
      <c r="Q2591" s="49"/>
      <c r="R2591" s="188" t="str">
        <f t="shared" si="86"/>
        <v/>
      </c>
      <c r="T2591" s="21">
        <v>46106</v>
      </c>
      <c r="U2591" s="22" t="s">
        <v>57</v>
      </c>
      <c r="V2591" s="24">
        <v>4</v>
      </c>
      <c r="W2591" s="24">
        <v>4</v>
      </c>
      <c r="X2591" s="24">
        <v>4</v>
      </c>
      <c r="Y2591" s="24">
        <v>4</v>
      </c>
      <c r="Z2591" s="20">
        <f t="shared" si="85"/>
        <v>16</v>
      </c>
    </row>
    <row r="2592" spans="1:26" x14ac:dyDescent="0.2">
      <c r="A2592" s="21"/>
      <c r="B2592" s="20"/>
      <c r="C2592" s="22"/>
      <c r="D2592" s="22"/>
      <c r="E2592" s="24"/>
      <c r="F2592" s="22"/>
      <c r="H2592" s="21">
        <v>46051</v>
      </c>
      <c r="I2592" s="22" t="s">
        <v>71</v>
      </c>
      <c r="J2592" s="22" t="s">
        <v>49</v>
      </c>
      <c r="K2592" s="24">
        <v>5</v>
      </c>
      <c r="M2592" s="21"/>
      <c r="N2592" s="22"/>
      <c r="O2592" s="22"/>
      <c r="P2592" s="49"/>
      <c r="Q2592" s="49"/>
      <c r="R2592" s="188" t="str">
        <f t="shared" si="86"/>
        <v/>
      </c>
      <c r="T2592" s="21">
        <v>46106</v>
      </c>
      <c r="U2592" s="22" t="s">
        <v>58</v>
      </c>
      <c r="V2592" s="24">
        <v>4</v>
      </c>
      <c r="W2592" s="24">
        <v>4</v>
      </c>
      <c r="X2592" s="24">
        <v>4</v>
      </c>
      <c r="Y2592" s="24">
        <v>4</v>
      </c>
      <c r="Z2592" s="20">
        <f t="shared" si="85"/>
        <v>16</v>
      </c>
    </row>
    <row r="2593" spans="1:26" x14ac:dyDescent="0.2">
      <c r="A2593" s="21"/>
      <c r="B2593" s="20"/>
      <c r="C2593" s="22"/>
      <c r="D2593" s="22"/>
      <c r="E2593" s="24"/>
      <c r="F2593" s="22"/>
      <c r="H2593" s="21">
        <v>46051</v>
      </c>
      <c r="I2593" s="22" t="s">
        <v>71</v>
      </c>
      <c r="J2593" s="22" t="s">
        <v>50</v>
      </c>
      <c r="K2593" s="24">
        <v>6</v>
      </c>
      <c r="M2593" s="21"/>
      <c r="N2593" s="22"/>
      <c r="O2593" s="22"/>
      <c r="P2593" s="49"/>
      <c r="Q2593" s="49"/>
      <c r="R2593" s="188" t="str">
        <f t="shared" si="86"/>
        <v/>
      </c>
      <c r="T2593" s="21">
        <v>46106</v>
      </c>
      <c r="U2593" s="22" t="s">
        <v>33</v>
      </c>
      <c r="V2593" s="24">
        <v>4.28571428571429</v>
      </c>
      <c r="W2593" s="24">
        <v>3.9285714285714302</v>
      </c>
      <c r="X2593" s="24">
        <v>3.78571428571429</v>
      </c>
      <c r="Y2593" s="24">
        <v>4.21428571428571</v>
      </c>
      <c r="Z2593" s="20">
        <f t="shared" si="85"/>
        <v>16.214285714285722</v>
      </c>
    </row>
    <row r="2594" spans="1:26" x14ac:dyDescent="0.2">
      <c r="A2594" s="21"/>
      <c r="B2594" s="20"/>
      <c r="C2594" s="22"/>
      <c r="D2594" s="22"/>
      <c r="E2594" s="24"/>
      <c r="F2594" s="22"/>
      <c r="H2594" s="21">
        <v>46051</v>
      </c>
      <c r="I2594" s="22" t="s">
        <v>71</v>
      </c>
      <c r="J2594" s="22" t="s">
        <v>51</v>
      </c>
      <c r="K2594" s="24">
        <v>4</v>
      </c>
      <c r="M2594" s="21"/>
      <c r="N2594" s="22"/>
      <c r="O2594" s="22"/>
      <c r="P2594" s="49"/>
      <c r="Q2594" s="49"/>
      <c r="R2594" s="188" t="str">
        <f t="shared" si="86"/>
        <v/>
      </c>
      <c r="T2594" s="21">
        <v>46107</v>
      </c>
      <c r="U2594" s="22" t="s">
        <v>41</v>
      </c>
      <c r="V2594" s="24">
        <v>1</v>
      </c>
      <c r="W2594" s="24">
        <v>1</v>
      </c>
      <c r="X2594" s="24">
        <v>1</v>
      </c>
      <c r="Y2594" s="24">
        <v>1</v>
      </c>
      <c r="Z2594" s="20">
        <f t="shared" si="85"/>
        <v>4</v>
      </c>
    </row>
    <row r="2595" spans="1:26" x14ac:dyDescent="0.2">
      <c r="A2595" s="21"/>
      <c r="B2595" s="20"/>
      <c r="C2595" s="22"/>
      <c r="D2595" s="22"/>
      <c r="E2595" s="24"/>
      <c r="F2595" s="22"/>
      <c r="H2595" s="21">
        <v>46051</v>
      </c>
      <c r="I2595" s="22" t="s">
        <v>71</v>
      </c>
      <c r="J2595" s="22" t="s">
        <v>46</v>
      </c>
      <c r="K2595" s="24">
        <v>5</v>
      </c>
      <c r="M2595" s="21"/>
      <c r="N2595" s="22"/>
      <c r="O2595" s="22"/>
      <c r="P2595" s="49"/>
      <c r="Q2595" s="49"/>
      <c r="R2595" s="188" t="str">
        <f t="shared" si="86"/>
        <v/>
      </c>
      <c r="T2595" s="21">
        <v>46107</v>
      </c>
      <c r="U2595" s="22" t="s">
        <v>42</v>
      </c>
      <c r="V2595" s="24">
        <v>4</v>
      </c>
      <c r="W2595" s="24">
        <v>4</v>
      </c>
      <c r="X2595" s="24">
        <v>4</v>
      </c>
      <c r="Y2595" s="24">
        <v>4</v>
      </c>
      <c r="Z2595" s="20">
        <f t="shared" si="85"/>
        <v>16</v>
      </c>
    </row>
    <row r="2596" spans="1:26" x14ac:dyDescent="0.2">
      <c r="A2596" s="21"/>
      <c r="B2596" s="20"/>
      <c r="C2596" s="22"/>
      <c r="D2596" s="22"/>
      <c r="E2596" s="24"/>
      <c r="F2596" s="22"/>
      <c r="H2596" s="21">
        <v>46051</v>
      </c>
      <c r="I2596" s="22" t="s">
        <v>71</v>
      </c>
      <c r="J2596" s="22" t="s">
        <v>48</v>
      </c>
      <c r="K2596" s="24" t="s">
        <v>64</v>
      </c>
      <c r="M2596" s="21"/>
      <c r="N2596" s="22"/>
      <c r="O2596" s="22"/>
      <c r="P2596" s="49"/>
      <c r="Q2596" s="49"/>
      <c r="R2596" s="188" t="str">
        <f t="shared" si="86"/>
        <v/>
      </c>
      <c r="T2596" s="21">
        <v>46107</v>
      </c>
      <c r="U2596" s="22" t="s">
        <v>44</v>
      </c>
      <c r="V2596" s="24">
        <v>5</v>
      </c>
      <c r="W2596" s="24">
        <v>5</v>
      </c>
      <c r="X2596" s="24">
        <v>4</v>
      </c>
      <c r="Y2596" s="24">
        <v>5</v>
      </c>
      <c r="Z2596" s="20">
        <f t="shared" si="85"/>
        <v>19</v>
      </c>
    </row>
    <row r="2597" spans="1:26" x14ac:dyDescent="0.2">
      <c r="A2597" s="21"/>
      <c r="B2597" s="20"/>
      <c r="C2597" s="22"/>
      <c r="D2597" s="22"/>
      <c r="E2597" s="24"/>
      <c r="F2597" s="22"/>
      <c r="H2597" s="21">
        <v>46051</v>
      </c>
      <c r="I2597" s="22" t="s">
        <v>71</v>
      </c>
      <c r="J2597" s="22" t="s">
        <v>56</v>
      </c>
      <c r="K2597" s="24">
        <v>5</v>
      </c>
      <c r="M2597" s="21"/>
      <c r="N2597" s="22"/>
      <c r="O2597" s="22"/>
      <c r="P2597" s="49"/>
      <c r="Q2597" s="49"/>
      <c r="R2597" s="188" t="str">
        <f t="shared" si="86"/>
        <v/>
      </c>
      <c r="T2597" s="21">
        <v>46107</v>
      </c>
      <c r="U2597" s="22" t="s">
        <v>45</v>
      </c>
      <c r="V2597" s="24">
        <v>4</v>
      </c>
      <c r="W2597" s="24">
        <v>4</v>
      </c>
      <c r="X2597" s="24">
        <v>4</v>
      </c>
      <c r="Y2597" s="24">
        <v>5</v>
      </c>
      <c r="Z2597" s="20">
        <f t="shared" si="85"/>
        <v>17</v>
      </c>
    </row>
    <row r="2598" spans="1:26" x14ac:dyDescent="0.2">
      <c r="A2598" s="21"/>
      <c r="B2598" s="20"/>
      <c r="C2598" s="22"/>
      <c r="D2598" s="22"/>
      <c r="E2598" s="24"/>
      <c r="F2598" s="22"/>
      <c r="H2598" s="21">
        <v>46052</v>
      </c>
      <c r="I2598" s="22" t="s">
        <v>71</v>
      </c>
      <c r="J2598" s="22" t="s">
        <v>52</v>
      </c>
      <c r="K2598" s="24">
        <v>5</v>
      </c>
      <c r="M2598" s="21"/>
      <c r="N2598" s="22"/>
      <c r="O2598" s="22"/>
      <c r="P2598" s="49"/>
      <c r="Q2598" s="49"/>
      <c r="R2598" s="188" t="str">
        <f t="shared" si="86"/>
        <v/>
      </c>
      <c r="T2598" s="21">
        <v>46107</v>
      </c>
      <c r="U2598" s="22" t="s">
        <v>46</v>
      </c>
      <c r="V2598" s="24">
        <v>5</v>
      </c>
      <c r="W2598" s="24">
        <v>5</v>
      </c>
      <c r="X2598" s="24">
        <v>5</v>
      </c>
      <c r="Y2598" s="24">
        <v>5</v>
      </c>
      <c r="Z2598" s="20">
        <f t="shared" si="85"/>
        <v>20</v>
      </c>
    </row>
    <row r="2599" spans="1:26" x14ac:dyDescent="0.2">
      <c r="A2599" s="21"/>
      <c r="B2599" s="20"/>
      <c r="C2599" s="22"/>
      <c r="D2599" s="22"/>
      <c r="E2599" s="24"/>
      <c r="F2599" s="22"/>
      <c r="H2599" s="21">
        <v>46052</v>
      </c>
      <c r="I2599" s="22" t="s">
        <v>71</v>
      </c>
      <c r="J2599" s="22" t="s">
        <v>53</v>
      </c>
      <c r="K2599" s="24">
        <v>9</v>
      </c>
      <c r="M2599" s="21"/>
      <c r="N2599" s="22"/>
      <c r="O2599" s="22"/>
      <c r="P2599" s="49"/>
      <c r="Q2599" s="49"/>
      <c r="R2599" s="188" t="str">
        <f t="shared" si="86"/>
        <v/>
      </c>
      <c r="T2599" s="21">
        <v>46107</v>
      </c>
      <c r="U2599" s="22" t="s">
        <v>47</v>
      </c>
      <c r="V2599" s="24">
        <v>5</v>
      </c>
      <c r="W2599" s="24">
        <v>5</v>
      </c>
      <c r="X2599" s="24">
        <v>5</v>
      </c>
      <c r="Y2599" s="24">
        <v>5</v>
      </c>
      <c r="Z2599" s="20">
        <f t="shared" si="85"/>
        <v>20</v>
      </c>
    </row>
    <row r="2600" spans="1:26" x14ac:dyDescent="0.2">
      <c r="A2600" s="21"/>
      <c r="B2600" s="20"/>
      <c r="C2600" s="22"/>
      <c r="D2600" s="22"/>
      <c r="E2600" s="24"/>
      <c r="F2600" s="22"/>
      <c r="H2600" s="21">
        <v>46052</v>
      </c>
      <c r="I2600" s="22" t="s">
        <v>71</v>
      </c>
      <c r="J2600" s="22" t="s">
        <v>44</v>
      </c>
      <c r="K2600" s="24" t="s">
        <v>64</v>
      </c>
      <c r="M2600" s="21"/>
      <c r="N2600" s="22"/>
      <c r="O2600" s="22"/>
      <c r="P2600" s="49"/>
      <c r="Q2600" s="49"/>
      <c r="R2600" s="188" t="str">
        <f t="shared" si="86"/>
        <v/>
      </c>
      <c r="T2600" s="21">
        <v>46107</v>
      </c>
      <c r="U2600" s="22" t="s">
        <v>49</v>
      </c>
      <c r="V2600" s="24">
        <v>2</v>
      </c>
      <c r="W2600" s="24">
        <v>4</v>
      </c>
      <c r="X2600" s="24">
        <v>3</v>
      </c>
      <c r="Y2600" s="24">
        <v>4</v>
      </c>
      <c r="Z2600" s="20">
        <f t="shared" si="85"/>
        <v>13</v>
      </c>
    </row>
    <row r="2601" spans="1:26" x14ac:dyDescent="0.2">
      <c r="A2601" s="21"/>
      <c r="B2601" s="20"/>
      <c r="C2601" s="22"/>
      <c r="D2601" s="22"/>
      <c r="E2601" s="24"/>
      <c r="F2601" s="22"/>
      <c r="H2601" s="21">
        <v>46052</v>
      </c>
      <c r="I2601" s="22" t="s">
        <v>71</v>
      </c>
      <c r="J2601" s="22" t="s">
        <v>45</v>
      </c>
      <c r="K2601" s="24">
        <v>8</v>
      </c>
      <c r="M2601" s="21"/>
      <c r="N2601" s="22"/>
      <c r="O2601" s="22"/>
      <c r="P2601" s="49"/>
      <c r="Q2601" s="49"/>
      <c r="R2601" s="188" t="str">
        <f t="shared" si="86"/>
        <v/>
      </c>
      <c r="T2601" s="21">
        <v>46107</v>
      </c>
      <c r="U2601" s="22" t="s">
        <v>50</v>
      </c>
      <c r="V2601" s="24">
        <v>4</v>
      </c>
      <c r="W2601" s="24">
        <v>4</v>
      </c>
      <c r="X2601" s="24">
        <v>4</v>
      </c>
      <c r="Y2601" s="24">
        <v>4</v>
      </c>
      <c r="Z2601" s="20">
        <f t="shared" si="85"/>
        <v>16</v>
      </c>
    </row>
    <row r="2602" spans="1:26" x14ac:dyDescent="0.2">
      <c r="A2602" s="21"/>
      <c r="B2602" s="20"/>
      <c r="C2602" s="22"/>
      <c r="D2602" s="22"/>
      <c r="E2602" s="24"/>
      <c r="F2602" s="22"/>
      <c r="H2602" s="21">
        <v>46052</v>
      </c>
      <c r="I2602" s="22" t="s">
        <v>71</v>
      </c>
      <c r="J2602" s="22" t="s">
        <v>57</v>
      </c>
      <c r="K2602" s="24">
        <v>8</v>
      </c>
      <c r="M2602" s="21"/>
      <c r="N2602" s="22"/>
      <c r="O2602" s="22"/>
      <c r="P2602" s="49"/>
      <c r="Q2602" s="49"/>
      <c r="R2602" s="188" t="str">
        <f t="shared" si="86"/>
        <v/>
      </c>
      <c r="T2602" s="21">
        <v>46107</v>
      </c>
      <c r="U2602" s="22" t="s">
        <v>51</v>
      </c>
      <c r="V2602" s="24">
        <v>4</v>
      </c>
      <c r="W2602" s="24">
        <v>4</v>
      </c>
      <c r="X2602" s="24">
        <v>4</v>
      </c>
      <c r="Y2602" s="24">
        <v>4</v>
      </c>
      <c r="Z2602" s="20">
        <f t="shared" si="85"/>
        <v>16</v>
      </c>
    </row>
    <row r="2603" spans="1:26" x14ac:dyDescent="0.2">
      <c r="A2603" s="21"/>
      <c r="B2603" s="20"/>
      <c r="C2603" s="22"/>
      <c r="D2603" s="22"/>
      <c r="E2603" s="24"/>
      <c r="F2603" s="22"/>
      <c r="H2603" s="21">
        <v>46052</v>
      </c>
      <c r="I2603" s="22" t="s">
        <v>71</v>
      </c>
      <c r="J2603" s="22" t="s">
        <v>42</v>
      </c>
      <c r="K2603" s="24">
        <v>3</v>
      </c>
      <c r="M2603" s="21"/>
      <c r="N2603" s="22"/>
      <c r="O2603" s="22"/>
      <c r="P2603" s="49"/>
      <c r="Q2603" s="49"/>
      <c r="R2603" s="188" t="str">
        <f t="shared" si="86"/>
        <v/>
      </c>
      <c r="T2603" s="21">
        <v>46107</v>
      </c>
      <c r="U2603" s="22" t="s">
        <v>52</v>
      </c>
      <c r="V2603" s="24">
        <v>4</v>
      </c>
      <c r="W2603" s="24">
        <v>4</v>
      </c>
      <c r="X2603" s="24">
        <v>4</v>
      </c>
      <c r="Y2603" s="24">
        <v>4</v>
      </c>
      <c r="Z2603" s="20">
        <f t="shared" si="85"/>
        <v>16</v>
      </c>
    </row>
    <row r="2604" spans="1:26" x14ac:dyDescent="0.2">
      <c r="A2604" s="21"/>
      <c r="B2604" s="20"/>
      <c r="C2604" s="22"/>
      <c r="D2604" s="22"/>
      <c r="E2604" s="24"/>
      <c r="F2604" s="22"/>
      <c r="H2604" s="21">
        <v>46052</v>
      </c>
      <c r="I2604" s="22" t="s">
        <v>71</v>
      </c>
      <c r="J2604" s="22" t="s">
        <v>54</v>
      </c>
      <c r="K2604" s="24" t="s">
        <v>63</v>
      </c>
      <c r="M2604" s="21"/>
      <c r="N2604" s="22"/>
      <c r="O2604" s="22"/>
      <c r="P2604" s="49"/>
      <c r="Q2604" s="49"/>
      <c r="R2604" s="188" t="str">
        <f t="shared" si="86"/>
        <v/>
      </c>
      <c r="T2604" s="21">
        <v>46107</v>
      </c>
      <c r="U2604" s="22" t="s">
        <v>53</v>
      </c>
      <c r="V2604" s="24">
        <v>4</v>
      </c>
      <c r="W2604" s="24">
        <v>4</v>
      </c>
      <c r="X2604" s="24">
        <v>2</v>
      </c>
      <c r="Y2604" s="24">
        <v>5</v>
      </c>
      <c r="Z2604" s="20">
        <f t="shared" si="85"/>
        <v>15</v>
      </c>
    </row>
    <row r="2605" spans="1:26" x14ac:dyDescent="0.2">
      <c r="A2605" s="21"/>
      <c r="B2605" s="20"/>
      <c r="C2605" s="22"/>
      <c r="D2605" s="22"/>
      <c r="E2605" s="24"/>
      <c r="F2605" s="22"/>
      <c r="H2605" s="21">
        <v>46052</v>
      </c>
      <c r="I2605" s="22" t="s">
        <v>71</v>
      </c>
      <c r="J2605" s="22" t="s">
        <v>47</v>
      </c>
      <c r="K2605" s="24" t="s">
        <v>64</v>
      </c>
      <c r="M2605" s="21"/>
      <c r="N2605" s="22"/>
      <c r="O2605" s="22"/>
      <c r="P2605" s="49"/>
      <c r="Q2605" s="49"/>
      <c r="R2605" s="188" t="str">
        <f t="shared" si="86"/>
        <v/>
      </c>
      <c r="T2605" s="21">
        <v>46107</v>
      </c>
      <c r="U2605" s="22" t="s">
        <v>54</v>
      </c>
      <c r="V2605" s="24">
        <v>5</v>
      </c>
      <c r="W2605" s="24">
        <v>5</v>
      </c>
      <c r="X2605" s="24">
        <v>5</v>
      </c>
      <c r="Y2605" s="24">
        <v>5</v>
      </c>
      <c r="Z2605" s="20">
        <f t="shared" si="85"/>
        <v>20</v>
      </c>
    </row>
    <row r="2606" spans="1:26" x14ac:dyDescent="0.2">
      <c r="A2606" s="21"/>
      <c r="B2606" s="20"/>
      <c r="C2606" s="22"/>
      <c r="D2606" s="22"/>
      <c r="E2606" s="24"/>
      <c r="F2606" s="22"/>
      <c r="H2606" s="21">
        <v>46052</v>
      </c>
      <c r="I2606" s="22" t="s">
        <v>71</v>
      </c>
      <c r="J2606" s="22" t="s">
        <v>41</v>
      </c>
      <c r="K2606" s="24">
        <v>5</v>
      </c>
      <c r="M2606" s="21"/>
      <c r="N2606" s="22"/>
      <c r="O2606" s="22"/>
      <c r="P2606" s="49"/>
      <c r="Q2606" s="49"/>
      <c r="R2606" s="188" t="str">
        <f t="shared" si="86"/>
        <v/>
      </c>
      <c r="T2606" s="21">
        <v>46107</v>
      </c>
      <c r="U2606" s="22" t="s">
        <v>55</v>
      </c>
      <c r="V2606" s="24">
        <v>4</v>
      </c>
      <c r="W2606" s="24">
        <v>4</v>
      </c>
      <c r="X2606" s="24">
        <v>4</v>
      </c>
      <c r="Y2606" s="24">
        <v>4</v>
      </c>
      <c r="Z2606" s="20">
        <f t="shared" si="85"/>
        <v>16</v>
      </c>
    </row>
    <row r="2607" spans="1:26" x14ac:dyDescent="0.2">
      <c r="A2607" s="21"/>
      <c r="B2607" s="20"/>
      <c r="C2607" s="22"/>
      <c r="D2607" s="22"/>
      <c r="E2607" s="24"/>
      <c r="F2607" s="22"/>
      <c r="H2607" s="21">
        <v>46052</v>
      </c>
      <c r="I2607" s="22" t="s">
        <v>71</v>
      </c>
      <c r="J2607" s="22" t="s">
        <v>58</v>
      </c>
      <c r="K2607" s="24">
        <v>8</v>
      </c>
      <c r="M2607" s="21"/>
      <c r="N2607" s="22"/>
      <c r="O2607" s="22"/>
      <c r="P2607" s="49"/>
      <c r="Q2607" s="49"/>
      <c r="R2607" s="188" t="str">
        <f t="shared" si="86"/>
        <v/>
      </c>
      <c r="T2607" s="21">
        <v>46107</v>
      </c>
      <c r="U2607" s="22" t="s">
        <v>57</v>
      </c>
      <c r="V2607" s="24">
        <v>4</v>
      </c>
      <c r="W2607" s="24">
        <v>4</v>
      </c>
      <c r="X2607" s="24">
        <v>4</v>
      </c>
      <c r="Y2607" s="24">
        <v>4</v>
      </c>
      <c r="Z2607" s="20">
        <f t="shared" si="85"/>
        <v>16</v>
      </c>
    </row>
    <row r="2608" spans="1:26" x14ac:dyDescent="0.2">
      <c r="A2608" s="21"/>
      <c r="B2608" s="20"/>
      <c r="C2608" s="22"/>
      <c r="D2608" s="22"/>
      <c r="E2608" s="24"/>
      <c r="F2608" s="22"/>
      <c r="H2608" s="21">
        <v>46052</v>
      </c>
      <c r="I2608" s="22" t="s">
        <v>71</v>
      </c>
      <c r="J2608" s="22" t="s">
        <v>49</v>
      </c>
      <c r="K2608" s="24">
        <v>8</v>
      </c>
      <c r="M2608" s="21"/>
      <c r="N2608" s="22"/>
      <c r="O2608" s="22"/>
      <c r="P2608" s="49"/>
      <c r="Q2608" s="49"/>
      <c r="R2608" s="188" t="str">
        <f t="shared" si="86"/>
        <v/>
      </c>
      <c r="T2608" s="21">
        <v>46107</v>
      </c>
      <c r="U2608" s="22" t="s">
        <v>58</v>
      </c>
      <c r="V2608" s="24">
        <v>4</v>
      </c>
      <c r="W2608" s="24">
        <v>4</v>
      </c>
      <c r="X2608" s="24">
        <v>4</v>
      </c>
      <c r="Y2608" s="24">
        <v>4</v>
      </c>
      <c r="Z2608" s="20">
        <f t="shared" si="85"/>
        <v>16</v>
      </c>
    </row>
    <row r="2609" spans="1:26" x14ac:dyDescent="0.2">
      <c r="A2609" s="21"/>
      <c r="B2609" s="20"/>
      <c r="C2609" s="22"/>
      <c r="D2609" s="22"/>
      <c r="E2609" s="24"/>
      <c r="F2609" s="22"/>
      <c r="H2609" s="21">
        <v>46052</v>
      </c>
      <c r="I2609" s="22" t="s">
        <v>71</v>
      </c>
      <c r="J2609" s="22" t="s">
        <v>50</v>
      </c>
      <c r="K2609" s="24">
        <v>8</v>
      </c>
      <c r="M2609" s="21"/>
      <c r="N2609" s="22"/>
      <c r="O2609" s="22"/>
      <c r="P2609" s="49"/>
      <c r="Q2609" s="49"/>
      <c r="R2609" s="188" t="str">
        <f t="shared" si="86"/>
        <v/>
      </c>
      <c r="T2609" s="21">
        <v>46107</v>
      </c>
      <c r="U2609" s="22" t="s">
        <v>33</v>
      </c>
      <c r="V2609" s="24">
        <v>3.93333333333333</v>
      </c>
      <c r="W2609" s="24">
        <v>4.06666666666667</v>
      </c>
      <c r="X2609" s="24">
        <v>3.8</v>
      </c>
      <c r="Y2609" s="24">
        <v>4.2</v>
      </c>
      <c r="Z2609" s="20">
        <f t="shared" si="85"/>
        <v>16</v>
      </c>
    </row>
    <row r="2610" spans="1:26" x14ac:dyDescent="0.2">
      <c r="A2610" s="21"/>
      <c r="B2610" s="20"/>
      <c r="C2610" s="22"/>
      <c r="D2610" s="22"/>
      <c r="E2610" s="24"/>
      <c r="F2610" s="22"/>
      <c r="H2610" s="21">
        <v>46052</v>
      </c>
      <c r="I2610" s="22" t="s">
        <v>71</v>
      </c>
      <c r="J2610" s="22" t="s">
        <v>51</v>
      </c>
      <c r="K2610" s="24">
        <v>6</v>
      </c>
      <c r="M2610" s="21"/>
      <c r="N2610" s="22"/>
      <c r="O2610" s="22"/>
      <c r="P2610" s="49"/>
      <c r="Q2610" s="49"/>
      <c r="R2610" s="188" t="str">
        <f t="shared" si="86"/>
        <v/>
      </c>
      <c r="T2610" s="21">
        <v>46108</v>
      </c>
      <c r="U2610" s="22" t="s">
        <v>41</v>
      </c>
      <c r="V2610" s="24">
        <v>1</v>
      </c>
      <c r="W2610" s="24">
        <v>1</v>
      </c>
      <c r="X2610" s="24">
        <v>1</v>
      </c>
      <c r="Y2610" s="24">
        <v>1</v>
      </c>
      <c r="Z2610" s="20">
        <f t="shared" si="85"/>
        <v>4</v>
      </c>
    </row>
    <row r="2611" spans="1:26" x14ac:dyDescent="0.2">
      <c r="A2611" s="21"/>
      <c r="B2611" s="20"/>
      <c r="C2611" s="22"/>
      <c r="D2611" s="22"/>
      <c r="E2611" s="24"/>
      <c r="F2611" s="22"/>
      <c r="H2611" s="21">
        <v>46052</v>
      </c>
      <c r="I2611" s="22" t="s">
        <v>71</v>
      </c>
      <c r="J2611" s="22" t="s">
        <v>46</v>
      </c>
      <c r="K2611" s="24">
        <v>8</v>
      </c>
      <c r="M2611" s="21"/>
      <c r="N2611" s="22"/>
      <c r="O2611" s="22"/>
      <c r="P2611" s="49"/>
      <c r="Q2611" s="49"/>
      <c r="R2611" s="188" t="str">
        <f t="shared" si="86"/>
        <v/>
      </c>
      <c r="T2611" s="21">
        <v>46108</v>
      </c>
      <c r="U2611" s="22" t="s">
        <v>42</v>
      </c>
      <c r="V2611" s="24">
        <v>4</v>
      </c>
      <c r="W2611" s="24">
        <v>4</v>
      </c>
      <c r="X2611" s="24">
        <v>4</v>
      </c>
      <c r="Y2611" s="24">
        <v>4</v>
      </c>
      <c r="Z2611" s="20">
        <f t="shared" si="85"/>
        <v>16</v>
      </c>
    </row>
    <row r="2612" spans="1:26" x14ac:dyDescent="0.2">
      <c r="A2612" s="21"/>
      <c r="B2612" s="20"/>
      <c r="C2612" s="22"/>
      <c r="D2612" s="22"/>
      <c r="E2612" s="24"/>
      <c r="F2612" s="22"/>
      <c r="H2612" s="21">
        <v>46052</v>
      </c>
      <c r="I2612" s="22" t="s">
        <v>71</v>
      </c>
      <c r="J2612" s="22" t="s">
        <v>48</v>
      </c>
      <c r="K2612" s="24" t="s">
        <v>64</v>
      </c>
      <c r="M2612" s="21"/>
      <c r="N2612" s="22"/>
      <c r="O2612" s="22"/>
      <c r="P2612" s="49"/>
      <c r="Q2612" s="49"/>
      <c r="R2612" s="188" t="str">
        <f t="shared" si="86"/>
        <v/>
      </c>
      <c r="T2612" s="21">
        <v>46108</v>
      </c>
      <c r="U2612" s="22" t="s">
        <v>44</v>
      </c>
      <c r="V2612" s="24">
        <v>5</v>
      </c>
      <c r="W2612" s="24">
        <v>5</v>
      </c>
      <c r="X2612" s="24">
        <v>4</v>
      </c>
      <c r="Y2612" s="24">
        <v>5</v>
      </c>
      <c r="Z2612" s="20">
        <f t="shared" si="85"/>
        <v>19</v>
      </c>
    </row>
    <row r="2613" spans="1:26" x14ac:dyDescent="0.2">
      <c r="A2613" s="21"/>
      <c r="B2613" s="20"/>
      <c r="C2613" s="22"/>
      <c r="D2613" s="22"/>
      <c r="E2613" s="24"/>
      <c r="F2613" s="22"/>
      <c r="H2613" s="21">
        <v>46052</v>
      </c>
      <c r="I2613" s="22" t="s">
        <v>71</v>
      </c>
      <c r="J2613" s="22" t="s">
        <v>56</v>
      </c>
      <c r="K2613" s="24">
        <v>5</v>
      </c>
      <c r="M2613" s="21"/>
      <c r="N2613" s="22"/>
      <c r="O2613" s="22"/>
      <c r="P2613" s="49"/>
      <c r="Q2613" s="49"/>
      <c r="R2613" s="188" t="str">
        <f t="shared" si="86"/>
        <v/>
      </c>
      <c r="T2613" s="21">
        <v>46108</v>
      </c>
      <c r="U2613" s="22" t="s">
        <v>45</v>
      </c>
      <c r="V2613" s="24">
        <v>4</v>
      </c>
      <c r="W2613" s="24">
        <v>4</v>
      </c>
      <c r="X2613" s="24">
        <v>4</v>
      </c>
      <c r="Y2613" s="24">
        <v>5</v>
      </c>
      <c r="Z2613" s="20">
        <f t="shared" si="85"/>
        <v>17</v>
      </c>
    </row>
    <row r="2614" spans="1:26" x14ac:dyDescent="0.2">
      <c r="A2614" s="21"/>
      <c r="B2614" s="20"/>
      <c r="C2614" s="22"/>
      <c r="D2614" s="22"/>
      <c r="E2614" s="24"/>
      <c r="F2614" s="22"/>
      <c r="H2614" s="21">
        <v>46055</v>
      </c>
      <c r="I2614" s="22" t="s">
        <v>70</v>
      </c>
      <c r="J2614" s="22" t="s">
        <v>52</v>
      </c>
      <c r="K2614" s="24">
        <v>8</v>
      </c>
      <c r="M2614" s="21"/>
      <c r="N2614" s="22"/>
      <c r="O2614" s="22"/>
      <c r="P2614" s="49"/>
      <c r="Q2614" s="49"/>
      <c r="R2614" s="188" t="str">
        <f t="shared" si="86"/>
        <v/>
      </c>
      <c r="T2614" s="21">
        <v>46108</v>
      </c>
      <c r="U2614" s="22" t="s">
        <v>46</v>
      </c>
      <c r="V2614" s="24">
        <v>5</v>
      </c>
      <c r="W2614" s="24">
        <v>5</v>
      </c>
      <c r="X2614" s="24">
        <v>5</v>
      </c>
      <c r="Y2614" s="24">
        <v>5</v>
      </c>
      <c r="Z2614" s="20">
        <f t="shared" si="85"/>
        <v>20</v>
      </c>
    </row>
    <row r="2615" spans="1:26" x14ac:dyDescent="0.2">
      <c r="A2615" s="21"/>
      <c r="B2615" s="20"/>
      <c r="C2615" s="22"/>
      <c r="D2615" s="22"/>
      <c r="E2615" s="24"/>
      <c r="F2615" s="22"/>
      <c r="H2615" s="21">
        <v>46055</v>
      </c>
      <c r="I2615" s="22" t="s">
        <v>70</v>
      </c>
      <c r="J2615" s="22" t="s">
        <v>53</v>
      </c>
      <c r="K2615" s="24">
        <v>8</v>
      </c>
      <c r="M2615" s="21"/>
      <c r="N2615" s="22"/>
      <c r="O2615" s="22"/>
      <c r="P2615" s="49"/>
      <c r="Q2615" s="49"/>
      <c r="R2615" s="188" t="str">
        <f t="shared" si="86"/>
        <v/>
      </c>
      <c r="T2615" s="21">
        <v>46108</v>
      </c>
      <c r="U2615" s="22" t="s">
        <v>47</v>
      </c>
      <c r="V2615" s="24">
        <v>5</v>
      </c>
      <c r="W2615" s="24">
        <v>5</v>
      </c>
      <c r="X2615" s="24">
        <v>5</v>
      </c>
      <c r="Y2615" s="24">
        <v>5</v>
      </c>
      <c r="Z2615" s="20">
        <f t="shared" si="85"/>
        <v>20</v>
      </c>
    </row>
    <row r="2616" spans="1:26" x14ac:dyDescent="0.2">
      <c r="A2616" s="21"/>
      <c r="B2616" s="20"/>
      <c r="C2616" s="22"/>
      <c r="D2616" s="22"/>
      <c r="E2616" s="24"/>
      <c r="F2616" s="22"/>
      <c r="H2616" s="21">
        <v>46055</v>
      </c>
      <c r="I2616" s="22" t="s">
        <v>70</v>
      </c>
      <c r="J2616" s="22" t="s">
        <v>44</v>
      </c>
      <c r="K2616" s="24" t="s">
        <v>64</v>
      </c>
      <c r="M2616" s="21"/>
      <c r="N2616" s="22"/>
      <c r="O2616" s="22"/>
      <c r="P2616" s="49"/>
      <c r="Q2616" s="49"/>
      <c r="R2616" s="188" t="str">
        <f t="shared" si="86"/>
        <v/>
      </c>
      <c r="T2616" s="21">
        <v>46108</v>
      </c>
      <c r="U2616" s="22" t="s">
        <v>49</v>
      </c>
      <c r="V2616" s="24">
        <v>2</v>
      </c>
      <c r="W2616" s="24">
        <v>4</v>
      </c>
      <c r="X2616" s="24">
        <v>3</v>
      </c>
      <c r="Y2616" s="24">
        <v>4</v>
      </c>
      <c r="Z2616" s="20">
        <f t="shared" si="85"/>
        <v>13</v>
      </c>
    </row>
    <row r="2617" spans="1:26" x14ac:dyDescent="0.2">
      <c r="A2617" s="21"/>
      <c r="B2617" s="20"/>
      <c r="C2617" s="22"/>
      <c r="D2617" s="22"/>
      <c r="E2617" s="24"/>
      <c r="F2617" s="22"/>
      <c r="H2617" s="21">
        <v>46055</v>
      </c>
      <c r="I2617" s="22" t="s">
        <v>70</v>
      </c>
      <c r="J2617" s="22" t="s">
        <v>45</v>
      </c>
      <c r="K2617" s="24">
        <v>9</v>
      </c>
      <c r="M2617" s="21"/>
      <c r="N2617" s="22"/>
      <c r="O2617" s="22"/>
      <c r="P2617" s="49"/>
      <c r="Q2617" s="49"/>
      <c r="R2617" s="188" t="str">
        <f t="shared" si="86"/>
        <v/>
      </c>
      <c r="T2617" s="21">
        <v>46108</v>
      </c>
      <c r="U2617" s="22" t="s">
        <v>50</v>
      </c>
      <c r="V2617" s="24">
        <v>4</v>
      </c>
      <c r="W2617" s="24">
        <v>4</v>
      </c>
      <c r="X2617" s="24">
        <v>4</v>
      </c>
      <c r="Y2617" s="24">
        <v>4</v>
      </c>
      <c r="Z2617" s="20">
        <f t="shared" si="85"/>
        <v>16</v>
      </c>
    </row>
    <row r="2618" spans="1:26" x14ac:dyDescent="0.2">
      <c r="A2618" s="21"/>
      <c r="B2618" s="20"/>
      <c r="C2618" s="22"/>
      <c r="D2618" s="22"/>
      <c r="E2618" s="24"/>
      <c r="F2618" s="22"/>
      <c r="H2618" s="21">
        <v>46055</v>
      </c>
      <c r="I2618" s="22" t="s">
        <v>70</v>
      </c>
      <c r="J2618" s="22" t="s">
        <v>42</v>
      </c>
      <c r="K2618" s="24">
        <v>2</v>
      </c>
      <c r="M2618" s="21"/>
      <c r="N2618" s="22"/>
      <c r="O2618" s="22"/>
      <c r="P2618" s="49"/>
      <c r="Q2618" s="49"/>
      <c r="R2618" s="188" t="str">
        <f t="shared" si="86"/>
        <v/>
      </c>
      <c r="T2618" s="21">
        <v>46108</v>
      </c>
      <c r="U2618" s="22" t="s">
        <v>51</v>
      </c>
      <c r="V2618" s="24">
        <v>4</v>
      </c>
      <c r="W2618" s="24">
        <v>4</v>
      </c>
      <c r="X2618" s="24">
        <v>4</v>
      </c>
      <c r="Y2618" s="24">
        <v>4</v>
      </c>
      <c r="Z2618" s="20">
        <f t="shared" si="85"/>
        <v>16</v>
      </c>
    </row>
    <row r="2619" spans="1:26" x14ac:dyDescent="0.2">
      <c r="A2619" s="21"/>
      <c r="B2619" s="20"/>
      <c r="C2619" s="22"/>
      <c r="D2619" s="22"/>
      <c r="E2619" s="24"/>
      <c r="F2619" s="22"/>
      <c r="H2619" s="21">
        <v>46055</v>
      </c>
      <c r="I2619" s="22" t="s">
        <v>70</v>
      </c>
      <c r="J2619" s="22" t="s">
        <v>47</v>
      </c>
      <c r="K2619" s="24" t="s">
        <v>64</v>
      </c>
      <c r="M2619" s="21"/>
      <c r="N2619" s="22"/>
      <c r="O2619" s="22"/>
      <c r="P2619" s="49"/>
      <c r="Q2619" s="49"/>
      <c r="R2619" s="188" t="str">
        <f t="shared" si="86"/>
        <v/>
      </c>
      <c r="T2619" s="21">
        <v>46108</v>
      </c>
      <c r="U2619" s="22" t="s">
        <v>52</v>
      </c>
      <c r="V2619" s="24">
        <v>4</v>
      </c>
      <c r="W2619" s="24">
        <v>4</v>
      </c>
      <c r="X2619" s="24">
        <v>4</v>
      </c>
      <c r="Y2619" s="24">
        <v>4</v>
      </c>
      <c r="Z2619" s="20">
        <f t="shared" si="85"/>
        <v>16</v>
      </c>
    </row>
    <row r="2620" spans="1:26" x14ac:dyDescent="0.2">
      <c r="A2620" s="21"/>
      <c r="B2620" s="20"/>
      <c r="C2620" s="22"/>
      <c r="D2620" s="22"/>
      <c r="E2620" s="24"/>
      <c r="F2620" s="22"/>
      <c r="H2620" s="21">
        <v>46055</v>
      </c>
      <c r="I2620" s="22" t="s">
        <v>70</v>
      </c>
      <c r="J2620" s="22" t="s">
        <v>41</v>
      </c>
      <c r="K2620" s="24">
        <v>4</v>
      </c>
      <c r="M2620" s="21"/>
      <c r="N2620" s="22"/>
      <c r="O2620" s="22"/>
      <c r="P2620" s="49"/>
      <c r="Q2620" s="49"/>
      <c r="R2620" s="188" t="str">
        <f t="shared" si="86"/>
        <v/>
      </c>
      <c r="T2620" s="21">
        <v>46108</v>
      </c>
      <c r="U2620" s="22" t="s">
        <v>53</v>
      </c>
      <c r="V2620" s="24">
        <v>4</v>
      </c>
      <c r="W2620" s="24">
        <v>4</v>
      </c>
      <c r="X2620" s="24">
        <v>2</v>
      </c>
      <c r="Y2620" s="24">
        <v>5</v>
      </c>
      <c r="Z2620" s="20">
        <f t="shared" si="85"/>
        <v>15</v>
      </c>
    </row>
    <row r="2621" spans="1:26" x14ac:dyDescent="0.2">
      <c r="A2621" s="21"/>
      <c r="B2621" s="20"/>
      <c r="C2621" s="22"/>
      <c r="D2621" s="22"/>
      <c r="E2621" s="24"/>
      <c r="F2621" s="22"/>
      <c r="H2621" s="21">
        <v>46055</v>
      </c>
      <c r="I2621" s="22" t="s">
        <v>70</v>
      </c>
      <c r="J2621" s="22" t="s">
        <v>58</v>
      </c>
      <c r="K2621" s="24">
        <v>8</v>
      </c>
      <c r="M2621" s="21"/>
      <c r="N2621" s="22"/>
      <c r="O2621" s="22"/>
      <c r="P2621" s="49"/>
      <c r="Q2621" s="49"/>
      <c r="R2621" s="188" t="str">
        <f t="shared" si="86"/>
        <v/>
      </c>
      <c r="T2621" s="21">
        <v>46108</v>
      </c>
      <c r="U2621" s="22" t="s">
        <v>54</v>
      </c>
      <c r="V2621" s="24">
        <v>5</v>
      </c>
      <c r="W2621" s="24">
        <v>5</v>
      </c>
      <c r="X2621" s="24">
        <v>5</v>
      </c>
      <c r="Y2621" s="24">
        <v>5</v>
      </c>
      <c r="Z2621" s="20">
        <f t="shared" si="85"/>
        <v>20</v>
      </c>
    </row>
    <row r="2622" spans="1:26" x14ac:dyDescent="0.2">
      <c r="A2622" s="21"/>
      <c r="B2622" s="20"/>
      <c r="C2622" s="22"/>
      <c r="D2622" s="22"/>
      <c r="E2622" s="24"/>
      <c r="F2622" s="22"/>
      <c r="H2622" s="21">
        <v>46055</v>
      </c>
      <c r="I2622" s="22" t="s">
        <v>70</v>
      </c>
      <c r="J2622" s="22" t="s">
        <v>49</v>
      </c>
      <c r="K2622" s="24">
        <v>9</v>
      </c>
      <c r="M2622" s="21"/>
      <c r="N2622" s="22"/>
      <c r="O2622" s="22"/>
      <c r="P2622" s="49"/>
      <c r="Q2622" s="49"/>
      <c r="R2622" s="188" t="str">
        <f t="shared" si="86"/>
        <v/>
      </c>
      <c r="T2622" s="21">
        <v>46108</v>
      </c>
      <c r="U2622" s="22" t="s">
        <v>55</v>
      </c>
      <c r="V2622" s="24">
        <v>4</v>
      </c>
      <c r="W2622" s="24">
        <v>4</v>
      </c>
      <c r="X2622" s="24">
        <v>4</v>
      </c>
      <c r="Y2622" s="24">
        <v>4</v>
      </c>
      <c r="Z2622" s="20">
        <f t="shared" si="85"/>
        <v>16</v>
      </c>
    </row>
    <row r="2623" spans="1:26" x14ac:dyDescent="0.2">
      <c r="A2623" s="21"/>
      <c r="B2623" s="20"/>
      <c r="C2623" s="22"/>
      <c r="D2623" s="22"/>
      <c r="E2623" s="24"/>
      <c r="F2623" s="22"/>
      <c r="H2623" s="21">
        <v>46055</v>
      </c>
      <c r="I2623" s="22" t="s">
        <v>70</v>
      </c>
      <c r="J2623" s="22" t="s">
        <v>50</v>
      </c>
      <c r="K2623" s="24">
        <v>8</v>
      </c>
      <c r="M2623" s="21"/>
      <c r="N2623" s="22"/>
      <c r="O2623" s="22"/>
      <c r="P2623" s="49"/>
      <c r="Q2623" s="49"/>
      <c r="R2623" s="188" t="str">
        <f t="shared" si="86"/>
        <v/>
      </c>
      <c r="T2623" s="21">
        <v>46108</v>
      </c>
      <c r="U2623" s="22" t="s">
        <v>58</v>
      </c>
      <c r="V2623" s="24">
        <v>4</v>
      </c>
      <c r="W2623" s="24">
        <v>4</v>
      </c>
      <c r="X2623" s="24">
        <v>4</v>
      </c>
      <c r="Y2623" s="24">
        <v>4</v>
      </c>
      <c r="Z2623" s="20">
        <f t="shared" si="85"/>
        <v>16</v>
      </c>
    </row>
    <row r="2624" spans="1:26" x14ac:dyDescent="0.2">
      <c r="A2624" s="21"/>
      <c r="B2624" s="20"/>
      <c r="C2624" s="22"/>
      <c r="D2624" s="22"/>
      <c r="E2624" s="24"/>
      <c r="F2624" s="22"/>
      <c r="H2624" s="21">
        <v>46055</v>
      </c>
      <c r="I2624" s="22" t="s">
        <v>70</v>
      </c>
      <c r="J2624" s="22" t="s">
        <v>51</v>
      </c>
      <c r="K2624" s="24">
        <v>9</v>
      </c>
      <c r="M2624" s="21"/>
      <c r="N2624" s="22"/>
      <c r="O2624" s="22"/>
      <c r="P2624" s="49"/>
      <c r="Q2624" s="49"/>
      <c r="R2624" s="188" t="str">
        <f t="shared" si="86"/>
        <v/>
      </c>
      <c r="T2624" s="21">
        <v>46108</v>
      </c>
      <c r="U2624" s="22" t="s">
        <v>33</v>
      </c>
      <c r="V2624" s="24">
        <v>3.9285714285714302</v>
      </c>
      <c r="W2624" s="24">
        <v>4.0714285714285703</v>
      </c>
      <c r="X2624" s="24">
        <v>3.78571428571429</v>
      </c>
      <c r="Y2624" s="24">
        <v>4.21428571428571</v>
      </c>
      <c r="Z2624" s="20">
        <f t="shared" si="85"/>
        <v>16</v>
      </c>
    </row>
    <row r="2625" spans="1:26" x14ac:dyDescent="0.2">
      <c r="A2625" s="21"/>
      <c r="B2625" s="20"/>
      <c r="C2625" s="22"/>
      <c r="D2625" s="22"/>
      <c r="E2625" s="24"/>
      <c r="F2625" s="22"/>
      <c r="H2625" s="21">
        <v>46055</v>
      </c>
      <c r="I2625" s="22" t="s">
        <v>70</v>
      </c>
      <c r="J2625" s="22" t="s">
        <v>46</v>
      </c>
      <c r="K2625" s="24">
        <v>8</v>
      </c>
      <c r="M2625" s="21"/>
      <c r="N2625" s="22"/>
      <c r="O2625" s="22"/>
      <c r="P2625" s="49"/>
      <c r="Q2625" s="49"/>
      <c r="R2625" s="188" t="str">
        <f t="shared" si="86"/>
        <v/>
      </c>
      <c r="T2625" s="21">
        <v>46109</v>
      </c>
      <c r="U2625" s="22" t="s">
        <v>41</v>
      </c>
      <c r="V2625" s="24">
        <v>1</v>
      </c>
      <c r="W2625" s="24">
        <v>1</v>
      </c>
      <c r="X2625" s="24">
        <v>1</v>
      </c>
      <c r="Y2625" s="24">
        <v>1</v>
      </c>
      <c r="Z2625" s="20">
        <f t="shared" si="85"/>
        <v>4</v>
      </c>
    </row>
    <row r="2626" spans="1:26" x14ac:dyDescent="0.2">
      <c r="A2626" s="21"/>
      <c r="B2626" s="20"/>
      <c r="C2626" s="22"/>
      <c r="D2626" s="22"/>
      <c r="E2626" s="24"/>
      <c r="F2626" s="22"/>
      <c r="H2626" s="21">
        <v>46055</v>
      </c>
      <c r="I2626" s="22" t="s">
        <v>70</v>
      </c>
      <c r="J2626" s="22" t="s">
        <v>48</v>
      </c>
      <c r="K2626" s="24" t="s">
        <v>64</v>
      </c>
      <c r="M2626" s="21"/>
      <c r="N2626" s="22"/>
      <c r="O2626" s="22"/>
      <c r="P2626" s="49"/>
      <c r="Q2626" s="49"/>
      <c r="R2626" s="188" t="str">
        <f t="shared" si="86"/>
        <v/>
      </c>
      <c r="T2626" s="21">
        <v>46109</v>
      </c>
      <c r="U2626" s="22" t="s">
        <v>42</v>
      </c>
      <c r="V2626" s="24">
        <v>4</v>
      </c>
      <c r="W2626" s="24">
        <v>4</v>
      </c>
      <c r="X2626" s="24">
        <v>4</v>
      </c>
      <c r="Y2626" s="24">
        <v>4</v>
      </c>
      <c r="Z2626" s="20">
        <f t="shared" si="85"/>
        <v>16</v>
      </c>
    </row>
    <row r="2627" spans="1:26" x14ac:dyDescent="0.2">
      <c r="A2627" s="21"/>
      <c r="B2627" s="20"/>
      <c r="C2627" s="22"/>
      <c r="D2627" s="22"/>
      <c r="E2627" s="24"/>
      <c r="F2627" s="22"/>
      <c r="H2627" s="21">
        <v>46055</v>
      </c>
      <c r="I2627" s="22" t="s">
        <v>71</v>
      </c>
      <c r="J2627" s="22" t="s">
        <v>52</v>
      </c>
      <c r="K2627" s="24">
        <v>8</v>
      </c>
      <c r="M2627" s="21"/>
      <c r="N2627" s="22"/>
      <c r="O2627" s="22"/>
      <c r="P2627" s="49"/>
      <c r="Q2627" s="49"/>
      <c r="R2627" s="188" t="str">
        <f t="shared" si="86"/>
        <v/>
      </c>
      <c r="T2627" s="21">
        <v>46109</v>
      </c>
      <c r="U2627" s="22" t="s">
        <v>44</v>
      </c>
      <c r="V2627" s="24">
        <v>5</v>
      </c>
      <c r="W2627" s="24">
        <v>5</v>
      </c>
      <c r="X2627" s="24">
        <v>5</v>
      </c>
      <c r="Y2627" s="24">
        <v>5</v>
      </c>
      <c r="Z2627" s="20">
        <f t="shared" ref="Z2627:Z2690" si="87">SUM(V2627:Y2627)</f>
        <v>20</v>
      </c>
    </row>
    <row r="2628" spans="1:26" x14ac:dyDescent="0.2">
      <c r="A2628" s="21"/>
      <c r="B2628" s="20"/>
      <c r="C2628" s="22"/>
      <c r="D2628" s="22"/>
      <c r="E2628" s="24"/>
      <c r="F2628" s="22"/>
      <c r="H2628" s="21">
        <v>46055</v>
      </c>
      <c r="I2628" s="22" t="s">
        <v>71</v>
      </c>
      <c r="J2628" s="22" t="s">
        <v>53</v>
      </c>
      <c r="K2628" s="24">
        <v>8</v>
      </c>
      <c r="M2628" s="21"/>
      <c r="N2628" s="22"/>
      <c r="O2628" s="22"/>
      <c r="P2628" s="49"/>
      <c r="Q2628" s="49"/>
      <c r="R2628" s="188" t="str">
        <f t="shared" si="86"/>
        <v/>
      </c>
      <c r="T2628" s="21">
        <v>46109</v>
      </c>
      <c r="U2628" s="22" t="s">
        <v>45</v>
      </c>
      <c r="V2628" s="24">
        <v>4</v>
      </c>
      <c r="W2628" s="24">
        <v>4</v>
      </c>
      <c r="X2628" s="24">
        <v>4</v>
      </c>
      <c r="Y2628" s="24">
        <v>5</v>
      </c>
      <c r="Z2628" s="20">
        <f t="shared" si="87"/>
        <v>17</v>
      </c>
    </row>
    <row r="2629" spans="1:26" x14ac:dyDescent="0.2">
      <c r="A2629" s="21"/>
      <c r="B2629" s="20"/>
      <c r="C2629" s="22"/>
      <c r="D2629" s="22"/>
      <c r="E2629" s="24"/>
      <c r="F2629" s="22"/>
      <c r="H2629" s="21">
        <v>46055</v>
      </c>
      <c r="I2629" s="22" t="s">
        <v>71</v>
      </c>
      <c r="J2629" s="22" t="s">
        <v>44</v>
      </c>
      <c r="K2629" s="24" t="s">
        <v>64</v>
      </c>
      <c r="M2629" s="21"/>
      <c r="N2629" s="22"/>
      <c r="O2629" s="22"/>
      <c r="P2629" s="49"/>
      <c r="Q2629" s="49"/>
      <c r="R2629" s="188" t="str">
        <f t="shared" si="86"/>
        <v/>
      </c>
      <c r="T2629" s="21">
        <v>46109</v>
      </c>
      <c r="U2629" s="22" t="s">
        <v>46</v>
      </c>
      <c r="V2629" s="24">
        <v>5</v>
      </c>
      <c r="W2629" s="24">
        <v>5</v>
      </c>
      <c r="X2629" s="24">
        <v>5</v>
      </c>
      <c r="Y2629" s="24">
        <v>5</v>
      </c>
      <c r="Z2629" s="20">
        <f t="shared" si="87"/>
        <v>20</v>
      </c>
    </row>
    <row r="2630" spans="1:26" x14ac:dyDescent="0.2">
      <c r="A2630" s="21"/>
      <c r="B2630" s="20"/>
      <c r="C2630" s="22"/>
      <c r="D2630" s="22"/>
      <c r="E2630" s="24"/>
      <c r="F2630" s="22"/>
      <c r="H2630" s="21">
        <v>46055</v>
      </c>
      <c r="I2630" s="22" t="s">
        <v>71</v>
      </c>
      <c r="J2630" s="22" t="s">
        <v>45</v>
      </c>
      <c r="K2630" s="24">
        <v>8</v>
      </c>
      <c r="M2630" s="21"/>
      <c r="N2630" s="22"/>
      <c r="O2630" s="22"/>
      <c r="P2630" s="49"/>
      <c r="Q2630" s="49"/>
      <c r="R2630" s="188" t="str">
        <f t="shared" si="86"/>
        <v/>
      </c>
      <c r="T2630" s="21">
        <v>46109</v>
      </c>
      <c r="U2630" s="22" t="s">
        <v>47</v>
      </c>
      <c r="V2630" s="24">
        <v>5</v>
      </c>
      <c r="W2630" s="24">
        <v>5</v>
      </c>
      <c r="X2630" s="24">
        <v>5</v>
      </c>
      <c r="Y2630" s="24">
        <v>5</v>
      </c>
      <c r="Z2630" s="20">
        <f t="shared" si="87"/>
        <v>20</v>
      </c>
    </row>
    <row r="2631" spans="1:26" x14ac:dyDescent="0.2">
      <c r="A2631" s="21"/>
      <c r="B2631" s="20"/>
      <c r="C2631" s="22"/>
      <c r="D2631" s="22"/>
      <c r="E2631" s="24"/>
      <c r="F2631" s="22"/>
      <c r="H2631" s="21">
        <v>46055</v>
      </c>
      <c r="I2631" s="22" t="s">
        <v>71</v>
      </c>
      <c r="J2631" s="22" t="s">
        <v>57</v>
      </c>
      <c r="K2631" s="24">
        <v>7</v>
      </c>
      <c r="M2631" s="21"/>
      <c r="N2631" s="22"/>
      <c r="O2631" s="22"/>
      <c r="P2631" s="49"/>
      <c r="Q2631" s="49"/>
      <c r="R2631" s="188" t="str">
        <f t="shared" si="86"/>
        <v/>
      </c>
      <c r="T2631" s="21">
        <v>46109</v>
      </c>
      <c r="U2631" s="22" t="s">
        <v>49</v>
      </c>
      <c r="V2631" s="24">
        <v>4</v>
      </c>
      <c r="W2631" s="24">
        <v>4</v>
      </c>
      <c r="X2631" s="24">
        <v>4</v>
      </c>
      <c r="Y2631" s="24">
        <v>4</v>
      </c>
      <c r="Z2631" s="20">
        <f t="shared" si="87"/>
        <v>16</v>
      </c>
    </row>
    <row r="2632" spans="1:26" x14ac:dyDescent="0.2">
      <c r="A2632" s="21"/>
      <c r="B2632" s="20"/>
      <c r="C2632" s="22"/>
      <c r="D2632" s="22"/>
      <c r="E2632" s="24"/>
      <c r="F2632" s="22"/>
      <c r="H2632" s="21">
        <v>46055</v>
      </c>
      <c r="I2632" s="22" t="s">
        <v>71</v>
      </c>
      <c r="J2632" s="22" t="s">
        <v>42</v>
      </c>
      <c r="K2632" s="24">
        <v>5</v>
      </c>
      <c r="M2632" s="21"/>
      <c r="N2632" s="22"/>
      <c r="O2632" s="22"/>
      <c r="P2632" s="49"/>
      <c r="Q2632" s="49"/>
      <c r="R2632" s="188" t="str">
        <f t="shared" si="86"/>
        <v/>
      </c>
      <c r="T2632" s="21">
        <v>46109</v>
      </c>
      <c r="U2632" s="22" t="s">
        <v>50</v>
      </c>
      <c r="V2632" s="24">
        <v>2</v>
      </c>
      <c r="W2632" s="24">
        <v>3</v>
      </c>
      <c r="X2632" s="24">
        <v>4</v>
      </c>
      <c r="Y2632" s="24">
        <v>4</v>
      </c>
      <c r="Z2632" s="20">
        <f t="shared" si="87"/>
        <v>13</v>
      </c>
    </row>
    <row r="2633" spans="1:26" x14ac:dyDescent="0.2">
      <c r="A2633" s="21"/>
      <c r="B2633" s="20"/>
      <c r="C2633" s="22"/>
      <c r="D2633" s="22"/>
      <c r="E2633" s="24"/>
      <c r="F2633" s="22"/>
      <c r="H2633" s="21">
        <v>46055</v>
      </c>
      <c r="I2633" s="22" t="s">
        <v>71</v>
      </c>
      <c r="J2633" s="22" t="s">
        <v>54</v>
      </c>
      <c r="K2633" s="24">
        <v>7</v>
      </c>
      <c r="M2633" s="21"/>
      <c r="N2633" s="22"/>
      <c r="O2633" s="22"/>
      <c r="P2633" s="49"/>
      <c r="Q2633" s="49"/>
      <c r="R2633" s="188" t="str">
        <f t="shared" si="86"/>
        <v/>
      </c>
      <c r="T2633" s="21">
        <v>46109</v>
      </c>
      <c r="U2633" s="22" t="s">
        <v>51</v>
      </c>
      <c r="V2633" s="24">
        <v>4</v>
      </c>
      <c r="W2633" s="24">
        <v>5</v>
      </c>
      <c r="X2633" s="24">
        <v>5</v>
      </c>
      <c r="Y2633" s="24">
        <v>5</v>
      </c>
      <c r="Z2633" s="20">
        <f t="shared" si="87"/>
        <v>19</v>
      </c>
    </row>
    <row r="2634" spans="1:26" x14ac:dyDescent="0.2">
      <c r="A2634" s="21"/>
      <c r="B2634" s="20"/>
      <c r="C2634" s="22"/>
      <c r="D2634" s="22"/>
      <c r="E2634" s="24"/>
      <c r="F2634" s="22"/>
      <c r="H2634" s="21">
        <v>46055</v>
      </c>
      <c r="I2634" s="22" t="s">
        <v>71</v>
      </c>
      <c r="J2634" s="22" t="s">
        <v>47</v>
      </c>
      <c r="K2634" s="24" t="s">
        <v>64</v>
      </c>
      <c r="M2634" s="21"/>
      <c r="N2634" s="22"/>
      <c r="O2634" s="22"/>
      <c r="P2634" s="49"/>
      <c r="Q2634" s="49"/>
      <c r="R2634" s="188" t="str">
        <f t="shared" si="86"/>
        <v/>
      </c>
      <c r="T2634" s="21">
        <v>46109</v>
      </c>
      <c r="U2634" s="22" t="s">
        <v>52</v>
      </c>
      <c r="V2634" s="24">
        <v>5</v>
      </c>
      <c r="W2634" s="24">
        <v>5</v>
      </c>
      <c r="X2634" s="24">
        <v>5</v>
      </c>
      <c r="Y2634" s="24">
        <v>5</v>
      </c>
      <c r="Z2634" s="20">
        <f t="shared" si="87"/>
        <v>20</v>
      </c>
    </row>
    <row r="2635" spans="1:26" x14ac:dyDescent="0.2">
      <c r="A2635" s="21"/>
      <c r="B2635" s="20"/>
      <c r="C2635" s="22"/>
      <c r="D2635" s="22"/>
      <c r="E2635" s="24"/>
      <c r="F2635" s="22"/>
      <c r="H2635" s="21">
        <v>46055</v>
      </c>
      <c r="I2635" s="22" t="s">
        <v>71</v>
      </c>
      <c r="J2635" s="22" t="s">
        <v>41</v>
      </c>
      <c r="K2635" s="24">
        <v>5</v>
      </c>
      <c r="M2635" s="21"/>
      <c r="N2635" s="22"/>
      <c r="O2635" s="22"/>
      <c r="P2635" s="49"/>
      <c r="Q2635" s="49"/>
      <c r="R2635" s="188" t="str">
        <f t="shared" si="86"/>
        <v/>
      </c>
      <c r="T2635" s="21">
        <v>46109</v>
      </c>
      <c r="U2635" s="22" t="s">
        <v>53</v>
      </c>
      <c r="V2635" s="24">
        <v>5</v>
      </c>
      <c r="W2635" s="24">
        <v>4</v>
      </c>
      <c r="X2635" s="24">
        <v>3</v>
      </c>
      <c r="Y2635" s="24">
        <v>5</v>
      </c>
      <c r="Z2635" s="20">
        <f t="shared" si="87"/>
        <v>17</v>
      </c>
    </row>
    <row r="2636" spans="1:26" x14ac:dyDescent="0.2">
      <c r="A2636" s="21"/>
      <c r="B2636" s="20"/>
      <c r="C2636" s="22"/>
      <c r="D2636" s="22"/>
      <c r="E2636" s="24"/>
      <c r="F2636" s="22"/>
      <c r="H2636" s="21">
        <v>46055</v>
      </c>
      <c r="I2636" s="22" t="s">
        <v>71</v>
      </c>
      <c r="J2636" s="22" t="s">
        <v>58</v>
      </c>
      <c r="K2636" s="24">
        <v>7</v>
      </c>
      <c r="M2636" s="21"/>
      <c r="N2636" s="22"/>
      <c r="O2636" s="22"/>
      <c r="P2636" s="49"/>
      <c r="Q2636" s="49"/>
      <c r="R2636" s="188" t="str">
        <f t="shared" si="86"/>
        <v/>
      </c>
      <c r="T2636" s="21">
        <v>46109</v>
      </c>
      <c r="U2636" s="22" t="s">
        <v>54</v>
      </c>
      <c r="V2636" s="24">
        <v>5</v>
      </c>
      <c r="W2636" s="24">
        <v>5</v>
      </c>
      <c r="X2636" s="24">
        <v>5</v>
      </c>
      <c r="Y2636" s="24">
        <v>5</v>
      </c>
      <c r="Z2636" s="20">
        <f t="shared" si="87"/>
        <v>20</v>
      </c>
    </row>
    <row r="2637" spans="1:26" x14ac:dyDescent="0.2">
      <c r="A2637" s="21"/>
      <c r="B2637" s="20"/>
      <c r="C2637" s="22"/>
      <c r="D2637" s="22"/>
      <c r="E2637" s="24"/>
      <c r="F2637" s="22"/>
      <c r="H2637" s="21">
        <v>46055</v>
      </c>
      <c r="I2637" s="22" t="s">
        <v>71</v>
      </c>
      <c r="J2637" s="22" t="s">
        <v>49</v>
      </c>
      <c r="K2637" s="24">
        <v>8</v>
      </c>
      <c r="M2637" s="21"/>
      <c r="N2637" s="22"/>
      <c r="O2637" s="22"/>
      <c r="P2637" s="49"/>
      <c r="Q2637" s="49"/>
      <c r="R2637" s="188" t="str">
        <f t="shared" si="86"/>
        <v/>
      </c>
      <c r="T2637" s="21">
        <v>46109</v>
      </c>
      <c r="U2637" s="22" t="s">
        <v>55</v>
      </c>
      <c r="V2637" s="24">
        <v>5</v>
      </c>
      <c r="W2637" s="24">
        <v>5</v>
      </c>
      <c r="X2637" s="24">
        <v>5</v>
      </c>
      <c r="Y2637" s="24">
        <v>5</v>
      </c>
      <c r="Z2637" s="20">
        <f t="shared" si="87"/>
        <v>20</v>
      </c>
    </row>
    <row r="2638" spans="1:26" x14ac:dyDescent="0.2">
      <c r="A2638" s="21"/>
      <c r="B2638" s="20"/>
      <c r="C2638" s="22"/>
      <c r="D2638" s="22"/>
      <c r="E2638" s="24"/>
      <c r="F2638" s="22"/>
      <c r="H2638" s="21">
        <v>46055</v>
      </c>
      <c r="I2638" s="22" t="s">
        <v>71</v>
      </c>
      <c r="J2638" s="22" t="s">
        <v>50</v>
      </c>
      <c r="K2638" s="24">
        <v>8</v>
      </c>
      <c r="M2638" s="21"/>
      <c r="N2638" s="22"/>
      <c r="O2638" s="22"/>
      <c r="P2638" s="49"/>
      <c r="Q2638" s="49"/>
      <c r="R2638" s="188" t="str">
        <f t="shared" si="86"/>
        <v/>
      </c>
      <c r="T2638" s="21">
        <v>46109</v>
      </c>
      <c r="U2638" s="22" t="s">
        <v>58</v>
      </c>
      <c r="V2638" s="24">
        <v>5</v>
      </c>
      <c r="W2638" s="24">
        <v>5</v>
      </c>
      <c r="X2638" s="24">
        <v>5</v>
      </c>
      <c r="Y2638" s="24">
        <v>5</v>
      </c>
      <c r="Z2638" s="20">
        <f t="shared" si="87"/>
        <v>20</v>
      </c>
    </row>
    <row r="2639" spans="1:26" x14ac:dyDescent="0.2">
      <c r="A2639" s="21"/>
      <c r="B2639" s="20"/>
      <c r="C2639" s="22"/>
      <c r="D2639" s="22"/>
      <c r="E2639" s="24"/>
      <c r="F2639" s="22"/>
      <c r="H2639" s="21">
        <v>46055</v>
      </c>
      <c r="I2639" s="22" t="s">
        <v>71</v>
      </c>
      <c r="J2639" s="22" t="s">
        <v>51</v>
      </c>
      <c r="K2639" s="24">
        <v>8</v>
      </c>
      <c r="M2639" s="21"/>
      <c r="N2639" s="22"/>
      <c r="O2639" s="22"/>
      <c r="P2639" s="49"/>
      <c r="Q2639" s="49"/>
      <c r="R2639" s="188" t="str">
        <f t="shared" si="86"/>
        <v/>
      </c>
      <c r="T2639" s="21">
        <v>46109</v>
      </c>
      <c r="U2639" s="22" t="s">
        <v>33</v>
      </c>
      <c r="V2639" s="24">
        <v>4.21428571428571</v>
      </c>
      <c r="W2639" s="24">
        <v>4.28571428571429</v>
      </c>
      <c r="X2639" s="24">
        <v>4.28571428571429</v>
      </c>
      <c r="Y2639" s="24">
        <v>4.5</v>
      </c>
      <c r="Z2639" s="20">
        <f t="shared" si="87"/>
        <v>17.285714285714292</v>
      </c>
    </row>
    <row r="2640" spans="1:26" x14ac:dyDescent="0.2">
      <c r="A2640" s="21"/>
      <c r="B2640" s="20"/>
      <c r="C2640" s="22"/>
      <c r="D2640" s="22"/>
      <c r="E2640" s="24"/>
      <c r="F2640" s="22"/>
      <c r="H2640" s="21">
        <v>46055</v>
      </c>
      <c r="I2640" s="22" t="s">
        <v>71</v>
      </c>
      <c r="J2640" s="22" t="s">
        <v>46</v>
      </c>
      <c r="K2640" s="24">
        <v>8</v>
      </c>
      <c r="M2640" s="21"/>
      <c r="N2640" s="22"/>
      <c r="O2640" s="22"/>
      <c r="P2640" s="49"/>
      <c r="Q2640" s="49"/>
      <c r="R2640" s="188" t="str">
        <f t="shared" si="86"/>
        <v/>
      </c>
      <c r="T2640" s="21">
        <v>46111</v>
      </c>
      <c r="U2640" s="22" t="s">
        <v>41</v>
      </c>
      <c r="V2640" s="24">
        <v>1</v>
      </c>
      <c r="W2640" s="24">
        <v>1</v>
      </c>
      <c r="X2640" s="24">
        <v>1</v>
      </c>
      <c r="Y2640" s="24">
        <v>1</v>
      </c>
      <c r="Z2640" s="20">
        <f t="shared" si="87"/>
        <v>4</v>
      </c>
    </row>
    <row r="2641" spans="1:26" x14ac:dyDescent="0.2">
      <c r="A2641" s="21"/>
      <c r="B2641" s="20"/>
      <c r="C2641" s="22"/>
      <c r="D2641" s="22"/>
      <c r="E2641" s="24"/>
      <c r="F2641" s="22"/>
      <c r="H2641" s="21">
        <v>46055</v>
      </c>
      <c r="I2641" s="22" t="s">
        <v>71</v>
      </c>
      <c r="J2641" s="22" t="s">
        <v>48</v>
      </c>
      <c r="K2641" s="24" t="s">
        <v>64</v>
      </c>
      <c r="M2641" s="21"/>
      <c r="N2641" s="22"/>
      <c r="O2641" s="22"/>
      <c r="P2641" s="49"/>
      <c r="Q2641" s="49"/>
      <c r="R2641" s="188" t="str">
        <f t="shared" si="86"/>
        <v/>
      </c>
      <c r="T2641" s="21">
        <v>46111</v>
      </c>
      <c r="U2641" s="22" t="s">
        <v>42</v>
      </c>
      <c r="V2641" s="24">
        <v>4</v>
      </c>
      <c r="W2641" s="24">
        <v>4</v>
      </c>
      <c r="X2641" s="24">
        <v>4</v>
      </c>
      <c r="Y2641" s="24">
        <v>4</v>
      </c>
      <c r="Z2641" s="20">
        <f t="shared" si="87"/>
        <v>16</v>
      </c>
    </row>
    <row r="2642" spans="1:26" x14ac:dyDescent="0.2">
      <c r="A2642" s="21"/>
      <c r="B2642" s="20"/>
      <c r="C2642" s="22"/>
      <c r="D2642" s="22"/>
      <c r="E2642" s="24"/>
      <c r="F2642" s="22"/>
      <c r="H2642" s="21">
        <v>46055</v>
      </c>
      <c r="I2642" s="22" t="s">
        <v>71</v>
      </c>
      <c r="J2642" s="22" t="s">
        <v>56</v>
      </c>
      <c r="K2642" s="24">
        <v>7</v>
      </c>
      <c r="M2642" s="21"/>
      <c r="N2642" s="22"/>
      <c r="O2642" s="22"/>
      <c r="P2642" s="49"/>
      <c r="Q2642" s="49"/>
      <c r="R2642" s="188" t="str">
        <f t="shared" si="86"/>
        <v/>
      </c>
      <c r="T2642" s="21">
        <v>46111</v>
      </c>
      <c r="U2642" s="22" t="s">
        <v>44</v>
      </c>
      <c r="V2642" s="24">
        <v>4</v>
      </c>
      <c r="W2642" s="24">
        <v>4</v>
      </c>
      <c r="X2642" s="24">
        <v>3</v>
      </c>
      <c r="Y2642" s="24">
        <v>5</v>
      </c>
      <c r="Z2642" s="20">
        <f t="shared" si="87"/>
        <v>16</v>
      </c>
    </row>
    <row r="2643" spans="1:26" x14ac:dyDescent="0.2">
      <c r="A2643" s="21"/>
      <c r="B2643" s="20"/>
      <c r="C2643" s="22"/>
      <c r="D2643" s="22"/>
      <c r="E2643" s="24"/>
      <c r="F2643" s="22"/>
      <c r="H2643" s="21">
        <v>46056</v>
      </c>
      <c r="I2643" s="22" t="s">
        <v>71</v>
      </c>
      <c r="J2643" s="22" t="s">
        <v>52</v>
      </c>
      <c r="K2643" s="24">
        <v>7</v>
      </c>
      <c r="M2643" s="21"/>
      <c r="N2643" s="22"/>
      <c r="O2643" s="22"/>
      <c r="P2643" s="49"/>
      <c r="Q2643" s="49"/>
      <c r="R2643" s="188" t="str">
        <f t="shared" si="86"/>
        <v/>
      </c>
      <c r="T2643" s="21">
        <v>46111</v>
      </c>
      <c r="U2643" s="22" t="s">
        <v>45</v>
      </c>
      <c r="V2643" s="24">
        <v>5</v>
      </c>
      <c r="W2643" s="24">
        <v>4</v>
      </c>
      <c r="X2643" s="24">
        <v>4</v>
      </c>
      <c r="Y2643" s="24">
        <v>5</v>
      </c>
      <c r="Z2643" s="20">
        <f t="shared" si="87"/>
        <v>18</v>
      </c>
    </row>
    <row r="2644" spans="1:26" x14ac:dyDescent="0.2">
      <c r="A2644" s="21"/>
      <c r="B2644" s="20"/>
      <c r="C2644" s="22"/>
      <c r="D2644" s="22"/>
      <c r="E2644" s="24"/>
      <c r="F2644" s="22"/>
      <c r="H2644" s="21">
        <v>46056</v>
      </c>
      <c r="I2644" s="22" t="s">
        <v>71</v>
      </c>
      <c r="J2644" s="22" t="s">
        <v>53</v>
      </c>
      <c r="K2644" s="24">
        <v>5</v>
      </c>
      <c r="M2644" s="21"/>
      <c r="N2644" s="22"/>
      <c r="O2644" s="22"/>
      <c r="P2644" s="49"/>
      <c r="Q2644" s="49"/>
      <c r="R2644" s="188" t="str">
        <f t="shared" si="86"/>
        <v/>
      </c>
      <c r="T2644" s="21">
        <v>46111</v>
      </c>
      <c r="U2644" s="22" t="s">
        <v>46</v>
      </c>
      <c r="V2644" s="24">
        <v>5</v>
      </c>
      <c r="W2644" s="24">
        <v>5</v>
      </c>
      <c r="X2644" s="24">
        <v>5</v>
      </c>
      <c r="Y2644" s="24">
        <v>5</v>
      </c>
      <c r="Z2644" s="20">
        <f t="shared" si="87"/>
        <v>20</v>
      </c>
    </row>
    <row r="2645" spans="1:26" x14ac:dyDescent="0.2">
      <c r="A2645" s="21"/>
      <c r="B2645" s="20"/>
      <c r="C2645" s="22"/>
      <c r="D2645" s="22"/>
      <c r="E2645" s="24"/>
      <c r="F2645" s="22"/>
      <c r="H2645" s="21">
        <v>46056</v>
      </c>
      <c r="I2645" s="22" t="s">
        <v>71</v>
      </c>
      <c r="J2645" s="22" t="s">
        <v>44</v>
      </c>
      <c r="K2645" s="24" t="s">
        <v>64</v>
      </c>
      <c r="M2645" s="21"/>
      <c r="N2645" s="22"/>
      <c r="O2645" s="22"/>
      <c r="P2645" s="49"/>
      <c r="Q2645" s="49"/>
      <c r="R2645" s="188" t="str">
        <f t="shared" si="86"/>
        <v/>
      </c>
      <c r="T2645" s="21">
        <v>46111</v>
      </c>
      <c r="U2645" s="22" t="s">
        <v>47</v>
      </c>
      <c r="V2645" s="24">
        <v>3</v>
      </c>
      <c r="W2645" s="24">
        <v>4</v>
      </c>
      <c r="X2645" s="24">
        <v>4</v>
      </c>
      <c r="Y2645" s="24">
        <v>3</v>
      </c>
      <c r="Z2645" s="20">
        <f t="shared" si="87"/>
        <v>14</v>
      </c>
    </row>
    <row r="2646" spans="1:26" x14ac:dyDescent="0.2">
      <c r="A2646" s="21"/>
      <c r="B2646" s="20"/>
      <c r="C2646" s="22"/>
      <c r="D2646" s="22"/>
      <c r="E2646" s="24"/>
      <c r="F2646" s="22"/>
      <c r="H2646" s="21">
        <v>46056</v>
      </c>
      <c r="I2646" s="22" t="s">
        <v>71</v>
      </c>
      <c r="J2646" s="22" t="s">
        <v>45</v>
      </c>
      <c r="K2646" s="24">
        <v>7</v>
      </c>
      <c r="M2646" s="21"/>
      <c r="N2646" s="22"/>
      <c r="O2646" s="22"/>
      <c r="P2646" s="49"/>
      <c r="Q2646" s="49"/>
      <c r="R2646" s="188" t="str">
        <f t="shared" ref="R2646:R2709" si="88">IF(OR(P2646="",Q2646=""),"",IFERROR(P2646-Q2646,""))</f>
        <v/>
      </c>
      <c r="T2646" s="21">
        <v>46111</v>
      </c>
      <c r="U2646" s="22" t="s">
        <v>48</v>
      </c>
      <c r="V2646" s="24">
        <v>5</v>
      </c>
      <c r="W2646" s="24">
        <v>5</v>
      </c>
      <c r="X2646" s="24">
        <v>5</v>
      </c>
      <c r="Y2646" s="24">
        <v>5</v>
      </c>
      <c r="Z2646" s="20">
        <f t="shared" si="87"/>
        <v>20</v>
      </c>
    </row>
    <row r="2647" spans="1:26" x14ac:dyDescent="0.2">
      <c r="A2647" s="21"/>
      <c r="B2647" s="20"/>
      <c r="C2647" s="22"/>
      <c r="D2647" s="22"/>
      <c r="E2647" s="24"/>
      <c r="F2647" s="22"/>
      <c r="H2647" s="21">
        <v>46056</v>
      </c>
      <c r="I2647" s="22" t="s">
        <v>71</v>
      </c>
      <c r="J2647" s="22" t="s">
        <v>57</v>
      </c>
      <c r="K2647" s="24">
        <v>7</v>
      </c>
      <c r="M2647" s="21"/>
      <c r="N2647" s="22"/>
      <c r="O2647" s="22"/>
      <c r="P2647" s="49"/>
      <c r="Q2647" s="49"/>
      <c r="R2647" s="188" t="str">
        <f t="shared" si="88"/>
        <v/>
      </c>
      <c r="T2647" s="21">
        <v>46111</v>
      </c>
      <c r="U2647" s="22" t="s">
        <v>49</v>
      </c>
      <c r="V2647" s="24">
        <v>3</v>
      </c>
      <c r="W2647" s="24">
        <v>3</v>
      </c>
      <c r="X2647" s="24">
        <v>3</v>
      </c>
      <c r="Y2647" s="24">
        <v>4</v>
      </c>
      <c r="Z2647" s="20">
        <f t="shared" si="87"/>
        <v>13</v>
      </c>
    </row>
    <row r="2648" spans="1:26" x14ac:dyDescent="0.2">
      <c r="A2648" s="21"/>
      <c r="B2648" s="20"/>
      <c r="C2648" s="22"/>
      <c r="D2648" s="22"/>
      <c r="E2648" s="24"/>
      <c r="F2648" s="22"/>
      <c r="H2648" s="21">
        <v>46056</v>
      </c>
      <c r="I2648" s="22" t="s">
        <v>71</v>
      </c>
      <c r="J2648" s="22" t="s">
        <v>42</v>
      </c>
      <c r="K2648" s="24">
        <v>1</v>
      </c>
      <c r="M2648" s="21"/>
      <c r="N2648" s="22"/>
      <c r="O2648" s="22"/>
      <c r="P2648" s="49"/>
      <c r="Q2648" s="49"/>
      <c r="R2648" s="188" t="str">
        <f t="shared" si="88"/>
        <v/>
      </c>
      <c r="T2648" s="21">
        <v>46111</v>
      </c>
      <c r="U2648" s="22" t="s">
        <v>50</v>
      </c>
      <c r="V2648" s="24">
        <v>3</v>
      </c>
      <c r="W2648" s="24">
        <v>3</v>
      </c>
      <c r="X2648" s="24">
        <v>3</v>
      </c>
      <c r="Y2648" s="24">
        <v>4</v>
      </c>
      <c r="Z2648" s="20">
        <f t="shared" si="87"/>
        <v>13</v>
      </c>
    </row>
    <row r="2649" spans="1:26" x14ac:dyDescent="0.2">
      <c r="A2649" s="21"/>
      <c r="B2649" s="20"/>
      <c r="C2649" s="22"/>
      <c r="D2649" s="22"/>
      <c r="E2649" s="24"/>
      <c r="F2649" s="22"/>
      <c r="H2649" s="21">
        <v>46056</v>
      </c>
      <c r="I2649" s="22" t="s">
        <v>71</v>
      </c>
      <c r="J2649" s="22" t="s">
        <v>54</v>
      </c>
      <c r="K2649" s="24">
        <v>8</v>
      </c>
      <c r="M2649" s="21"/>
      <c r="N2649" s="22"/>
      <c r="O2649" s="22"/>
      <c r="P2649" s="49"/>
      <c r="Q2649" s="49"/>
      <c r="R2649" s="188" t="str">
        <f t="shared" si="88"/>
        <v/>
      </c>
      <c r="T2649" s="21">
        <v>46111</v>
      </c>
      <c r="U2649" s="22" t="s">
        <v>51</v>
      </c>
      <c r="V2649" s="24">
        <v>4</v>
      </c>
      <c r="W2649" s="24">
        <v>4</v>
      </c>
      <c r="X2649" s="24">
        <v>3</v>
      </c>
      <c r="Y2649" s="24">
        <v>4</v>
      </c>
      <c r="Z2649" s="20">
        <f t="shared" si="87"/>
        <v>15</v>
      </c>
    </row>
    <row r="2650" spans="1:26" x14ac:dyDescent="0.2">
      <c r="A2650" s="21"/>
      <c r="B2650" s="20"/>
      <c r="C2650" s="22"/>
      <c r="D2650" s="22"/>
      <c r="E2650" s="24"/>
      <c r="F2650" s="22"/>
      <c r="H2650" s="21">
        <v>46056</v>
      </c>
      <c r="I2650" s="22" t="s">
        <v>71</v>
      </c>
      <c r="J2650" s="22" t="s">
        <v>47</v>
      </c>
      <c r="K2650" s="24" t="s">
        <v>64</v>
      </c>
      <c r="M2650" s="21"/>
      <c r="N2650" s="22"/>
      <c r="O2650" s="22"/>
      <c r="P2650" s="49"/>
      <c r="Q2650" s="49"/>
      <c r="R2650" s="188" t="str">
        <f t="shared" si="88"/>
        <v/>
      </c>
      <c r="T2650" s="21">
        <v>46111</v>
      </c>
      <c r="U2650" s="22" t="s">
        <v>52</v>
      </c>
      <c r="V2650" s="24">
        <v>4</v>
      </c>
      <c r="W2650" s="24">
        <v>4</v>
      </c>
      <c r="X2650" s="24">
        <v>4</v>
      </c>
      <c r="Y2650" s="24">
        <v>4</v>
      </c>
      <c r="Z2650" s="20">
        <f t="shared" si="87"/>
        <v>16</v>
      </c>
    </row>
    <row r="2651" spans="1:26" x14ac:dyDescent="0.2">
      <c r="A2651" s="21"/>
      <c r="B2651" s="20"/>
      <c r="C2651" s="22"/>
      <c r="D2651" s="22"/>
      <c r="E2651" s="24"/>
      <c r="F2651" s="22"/>
      <c r="H2651" s="21">
        <v>46056</v>
      </c>
      <c r="I2651" s="22" t="s">
        <v>71</v>
      </c>
      <c r="J2651" s="22" t="s">
        <v>41</v>
      </c>
      <c r="K2651" s="24">
        <v>1</v>
      </c>
      <c r="M2651" s="21"/>
      <c r="N2651" s="22"/>
      <c r="O2651" s="22"/>
      <c r="P2651" s="49"/>
      <c r="Q2651" s="49"/>
      <c r="R2651" s="188" t="str">
        <f t="shared" si="88"/>
        <v/>
      </c>
      <c r="T2651" s="21">
        <v>46111</v>
      </c>
      <c r="U2651" s="22" t="s">
        <v>53</v>
      </c>
      <c r="V2651" s="24">
        <v>4</v>
      </c>
      <c r="W2651" s="24">
        <v>3</v>
      </c>
      <c r="X2651" s="24">
        <v>3</v>
      </c>
      <c r="Y2651" s="24">
        <v>5</v>
      </c>
      <c r="Z2651" s="20">
        <f t="shared" si="87"/>
        <v>15</v>
      </c>
    </row>
    <row r="2652" spans="1:26" x14ac:dyDescent="0.2">
      <c r="A2652" s="21"/>
      <c r="B2652" s="20"/>
      <c r="C2652" s="22"/>
      <c r="D2652" s="22"/>
      <c r="E2652" s="24"/>
      <c r="F2652" s="22"/>
      <c r="H2652" s="21">
        <v>46056</v>
      </c>
      <c r="I2652" s="22" t="s">
        <v>71</v>
      </c>
      <c r="J2652" s="22" t="s">
        <v>58</v>
      </c>
      <c r="K2652" s="24">
        <v>7</v>
      </c>
      <c r="M2652" s="21"/>
      <c r="N2652" s="22"/>
      <c r="O2652" s="22"/>
      <c r="P2652" s="49"/>
      <c r="Q2652" s="49"/>
      <c r="R2652" s="188" t="str">
        <f t="shared" si="88"/>
        <v/>
      </c>
      <c r="T2652" s="21">
        <v>46111</v>
      </c>
      <c r="U2652" s="22" t="s">
        <v>54</v>
      </c>
      <c r="V2652" s="24">
        <v>2</v>
      </c>
      <c r="W2652" s="24">
        <v>2</v>
      </c>
      <c r="X2652" s="24">
        <v>3</v>
      </c>
      <c r="Y2652" s="24">
        <v>4</v>
      </c>
      <c r="Z2652" s="20">
        <f t="shared" si="87"/>
        <v>11</v>
      </c>
    </row>
    <row r="2653" spans="1:26" x14ac:dyDescent="0.2">
      <c r="A2653" s="21"/>
      <c r="B2653" s="20"/>
      <c r="C2653" s="22"/>
      <c r="D2653" s="22"/>
      <c r="E2653" s="24"/>
      <c r="F2653" s="22"/>
      <c r="H2653" s="21">
        <v>46056</v>
      </c>
      <c r="I2653" s="22" t="s">
        <v>71</v>
      </c>
      <c r="J2653" s="22" t="s">
        <v>49</v>
      </c>
      <c r="K2653" s="24">
        <v>7</v>
      </c>
      <c r="M2653" s="21"/>
      <c r="N2653" s="22"/>
      <c r="O2653" s="22"/>
      <c r="P2653" s="49"/>
      <c r="Q2653" s="49"/>
      <c r="R2653" s="188" t="str">
        <f t="shared" si="88"/>
        <v/>
      </c>
      <c r="T2653" s="21">
        <v>46111</v>
      </c>
      <c r="U2653" s="22" t="s">
        <v>55</v>
      </c>
      <c r="V2653" s="24">
        <v>4</v>
      </c>
      <c r="W2653" s="24">
        <v>4</v>
      </c>
      <c r="X2653" s="24">
        <v>3</v>
      </c>
      <c r="Y2653" s="24">
        <v>4</v>
      </c>
      <c r="Z2653" s="20">
        <f t="shared" si="87"/>
        <v>15</v>
      </c>
    </row>
    <row r="2654" spans="1:26" x14ac:dyDescent="0.2">
      <c r="A2654" s="21"/>
      <c r="B2654" s="20"/>
      <c r="C2654" s="22"/>
      <c r="D2654" s="22"/>
      <c r="E2654" s="24"/>
      <c r="F2654" s="22"/>
      <c r="H2654" s="21">
        <v>46056</v>
      </c>
      <c r="I2654" s="22" t="s">
        <v>71</v>
      </c>
      <c r="J2654" s="22" t="s">
        <v>50</v>
      </c>
      <c r="K2654" s="24">
        <v>7</v>
      </c>
      <c r="M2654" s="21"/>
      <c r="N2654" s="22"/>
      <c r="O2654" s="22"/>
      <c r="P2654" s="49"/>
      <c r="Q2654" s="49"/>
      <c r="R2654" s="188" t="str">
        <f t="shared" si="88"/>
        <v/>
      </c>
      <c r="T2654" s="21">
        <v>46111</v>
      </c>
      <c r="U2654" s="22" t="s">
        <v>56</v>
      </c>
      <c r="V2654" s="24">
        <v>4</v>
      </c>
      <c r="W2654" s="24">
        <v>4</v>
      </c>
      <c r="X2654" s="24">
        <v>4</v>
      </c>
      <c r="Y2654" s="24">
        <v>4</v>
      </c>
      <c r="Z2654" s="20">
        <f t="shared" si="87"/>
        <v>16</v>
      </c>
    </row>
    <row r="2655" spans="1:26" x14ac:dyDescent="0.2">
      <c r="A2655" s="21"/>
      <c r="B2655" s="20"/>
      <c r="C2655" s="22"/>
      <c r="D2655" s="22"/>
      <c r="E2655" s="24"/>
      <c r="F2655" s="22"/>
      <c r="H2655" s="21">
        <v>46056</v>
      </c>
      <c r="I2655" s="22" t="s">
        <v>71</v>
      </c>
      <c r="J2655" s="22" t="s">
        <v>51</v>
      </c>
      <c r="K2655" s="24">
        <v>7</v>
      </c>
      <c r="M2655" s="21"/>
      <c r="N2655" s="22"/>
      <c r="O2655" s="22"/>
      <c r="P2655" s="49"/>
      <c r="Q2655" s="49"/>
      <c r="R2655" s="188" t="str">
        <f t="shared" si="88"/>
        <v/>
      </c>
      <c r="T2655" s="21">
        <v>46111</v>
      </c>
      <c r="U2655" s="22" t="s">
        <v>58</v>
      </c>
      <c r="V2655" s="24">
        <v>4</v>
      </c>
      <c r="W2655" s="24">
        <v>3</v>
      </c>
      <c r="X2655" s="24">
        <v>4</v>
      </c>
      <c r="Y2655" s="24">
        <v>4</v>
      </c>
      <c r="Z2655" s="20">
        <f t="shared" si="87"/>
        <v>15</v>
      </c>
    </row>
    <row r="2656" spans="1:26" x14ac:dyDescent="0.2">
      <c r="A2656" s="21"/>
      <c r="B2656" s="20"/>
      <c r="C2656" s="22"/>
      <c r="D2656" s="22"/>
      <c r="E2656" s="24"/>
      <c r="F2656" s="22"/>
      <c r="H2656" s="21">
        <v>46056</v>
      </c>
      <c r="I2656" s="22" t="s">
        <v>71</v>
      </c>
      <c r="J2656" s="22" t="s">
        <v>46</v>
      </c>
      <c r="K2656" s="24">
        <v>6</v>
      </c>
      <c r="M2656" s="21"/>
      <c r="N2656" s="22"/>
      <c r="O2656" s="22"/>
      <c r="P2656" s="49"/>
      <c r="Q2656" s="49"/>
      <c r="R2656" s="188" t="str">
        <f t="shared" si="88"/>
        <v/>
      </c>
      <c r="T2656" s="21">
        <v>46111</v>
      </c>
      <c r="U2656" s="22" t="s">
        <v>33</v>
      </c>
      <c r="V2656" s="24">
        <v>3.6875</v>
      </c>
      <c r="W2656" s="24">
        <v>3.5625</v>
      </c>
      <c r="X2656" s="24">
        <v>3.5</v>
      </c>
      <c r="Y2656" s="24">
        <v>4.0625</v>
      </c>
      <c r="Z2656" s="20">
        <f t="shared" si="87"/>
        <v>14.8125</v>
      </c>
    </row>
    <row r="2657" spans="1:26" x14ac:dyDescent="0.2">
      <c r="A2657" s="21"/>
      <c r="B2657" s="20"/>
      <c r="C2657" s="22"/>
      <c r="D2657" s="22"/>
      <c r="E2657" s="24"/>
      <c r="F2657" s="22"/>
      <c r="H2657" s="21">
        <v>46056</v>
      </c>
      <c r="I2657" s="22" t="s">
        <v>71</v>
      </c>
      <c r="J2657" s="22" t="s">
        <v>48</v>
      </c>
      <c r="K2657" s="24" t="s">
        <v>64</v>
      </c>
      <c r="M2657" s="21"/>
      <c r="N2657" s="22"/>
      <c r="O2657" s="22"/>
      <c r="P2657" s="49"/>
      <c r="Q2657" s="49"/>
      <c r="R2657" s="188" t="str">
        <f t="shared" si="88"/>
        <v/>
      </c>
      <c r="T2657" s="21">
        <v>46112</v>
      </c>
      <c r="U2657" s="22" t="s">
        <v>41</v>
      </c>
      <c r="V2657" s="24">
        <v>1</v>
      </c>
      <c r="W2657" s="24">
        <v>1</v>
      </c>
      <c r="X2657" s="24">
        <v>1</v>
      </c>
      <c r="Y2657" s="24">
        <v>1</v>
      </c>
      <c r="Z2657" s="20">
        <f t="shared" si="87"/>
        <v>4</v>
      </c>
    </row>
    <row r="2658" spans="1:26" x14ac:dyDescent="0.2">
      <c r="A2658" s="21"/>
      <c r="B2658" s="20"/>
      <c r="C2658" s="22"/>
      <c r="D2658" s="22"/>
      <c r="E2658" s="24"/>
      <c r="F2658" s="22"/>
      <c r="H2658" s="21">
        <v>46056</v>
      </c>
      <c r="I2658" s="22" t="s">
        <v>71</v>
      </c>
      <c r="J2658" s="22" t="s">
        <v>56</v>
      </c>
      <c r="K2658" s="24">
        <v>7</v>
      </c>
      <c r="M2658" s="21"/>
      <c r="N2658" s="22"/>
      <c r="O2658" s="22"/>
      <c r="P2658" s="49"/>
      <c r="Q2658" s="49"/>
      <c r="R2658" s="188" t="str">
        <f t="shared" si="88"/>
        <v/>
      </c>
      <c r="T2658" s="21">
        <v>46112</v>
      </c>
      <c r="U2658" s="22" t="s">
        <v>42</v>
      </c>
      <c r="V2658" s="24">
        <v>4</v>
      </c>
      <c r="W2658" s="24">
        <v>4</v>
      </c>
      <c r="X2658" s="24">
        <v>4</v>
      </c>
      <c r="Y2658" s="24">
        <v>4</v>
      </c>
      <c r="Z2658" s="20">
        <f t="shared" si="87"/>
        <v>16</v>
      </c>
    </row>
    <row r="2659" spans="1:26" x14ac:dyDescent="0.2">
      <c r="A2659" s="21"/>
      <c r="B2659" s="20"/>
      <c r="C2659" s="22"/>
      <c r="D2659" s="22"/>
      <c r="E2659" s="24"/>
      <c r="F2659" s="22"/>
      <c r="H2659" s="21">
        <v>46057</v>
      </c>
      <c r="I2659" s="22" t="s">
        <v>70</v>
      </c>
      <c r="J2659" s="22" t="s">
        <v>52</v>
      </c>
      <c r="K2659" s="24">
        <v>8</v>
      </c>
      <c r="M2659" s="21"/>
      <c r="N2659" s="22"/>
      <c r="O2659" s="22"/>
      <c r="P2659" s="49"/>
      <c r="Q2659" s="49"/>
      <c r="R2659" s="188" t="str">
        <f t="shared" si="88"/>
        <v/>
      </c>
      <c r="T2659" s="21">
        <v>46112</v>
      </c>
      <c r="U2659" s="22" t="s">
        <v>44</v>
      </c>
      <c r="V2659" s="24">
        <v>5</v>
      </c>
      <c r="W2659" s="24">
        <v>4</v>
      </c>
      <c r="X2659" s="24">
        <v>4</v>
      </c>
      <c r="Y2659" s="24">
        <v>5</v>
      </c>
      <c r="Z2659" s="20">
        <f t="shared" si="87"/>
        <v>18</v>
      </c>
    </row>
    <row r="2660" spans="1:26" x14ac:dyDescent="0.2">
      <c r="A2660" s="21"/>
      <c r="B2660" s="20"/>
      <c r="C2660" s="22"/>
      <c r="D2660" s="22"/>
      <c r="E2660" s="24"/>
      <c r="F2660" s="22"/>
      <c r="H2660" s="21">
        <v>46057</v>
      </c>
      <c r="I2660" s="22" t="s">
        <v>70</v>
      </c>
      <c r="J2660" s="22" t="s">
        <v>53</v>
      </c>
      <c r="K2660" s="24">
        <v>6</v>
      </c>
      <c r="M2660" s="21"/>
      <c r="N2660" s="22"/>
      <c r="O2660" s="22"/>
      <c r="P2660" s="49"/>
      <c r="Q2660" s="49"/>
      <c r="R2660" s="188" t="str">
        <f t="shared" si="88"/>
        <v/>
      </c>
      <c r="T2660" s="21">
        <v>46112</v>
      </c>
      <c r="U2660" s="22" t="s">
        <v>45</v>
      </c>
      <c r="V2660" s="24">
        <v>4</v>
      </c>
      <c r="W2660" s="24">
        <v>4</v>
      </c>
      <c r="X2660" s="24">
        <v>4</v>
      </c>
      <c r="Y2660" s="24">
        <v>5</v>
      </c>
      <c r="Z2660" s="20">
        <f t="shared" si="87"/>
        <v>17</v>
      </c>
    </row>
    <row r="2661" spans="1:26" x14ac:dyDescent="0.2">
      <c r="A2661" s="21"/>
      <c r="B2661" s="20"/>
      <c r="C2661" s="22"/>
      <c r="D2661" s="22"/>
      <c r="E2661" s="24"/>
      <c r="F2661" s="22"/>
      <c r="H2661" s="21">
        <v>46057</v>
      </c>
      <c r="I2661" s="22" t="s">
        <v>70</v>
      </c>
      <c r="J2661" s="22" t="s">
        <v>44</v>
      </c>
      <c r="K2661" s="24" t="s">
        <v>64</v>
      </c>
      <c r="M2661" s="21"/>
      <c r="N2661" s="22"/>
      <c r="O2661" s="22"/>
      <c r="P2661" s="49"/>
      <c r="Q2661" s="49"/>
      <c r="R2661" s="188" t="str">
        <f t="shared" si="88"/>
        <v/>
      </c>
      <c r="T2661" s="21">
        <v>46112</v>
      </c>
      <c r="U2661" s="22" t="s">
        <v>46</v>
      </c>
      <c r="V2661" s="24">
        <v>5</v>
      </c>
      <c r="W2661" s="24">
        <v>5</v>
      </c>
      <c r="X2661" s="24">
        <v>5</v>
      </c>
      <c r="Y2661" s="24">
        <v>5</v>
      </c>
      <c r="Z2661" s="20">
        <f t="shared" si="87"/>
        <v>20</v>
      </c>
    </row>
    <row r="2662" spans="1:26" x14ac:dyDescent="0.2">
      <c r="A2662" s="21"/>
      <c r="B2662" s="20"/>
      <c r="C2662" s="22"/>
      <c r="D2662" s="22"/>
      <c r="E2662" s="24"/>
      <c r="F2662" s="22"/>
      <c r="H2662" s="21">
        <v>46057</v>
      </c>
      <c r="I2662" s="22" t="s">
        <v>70</v>
      </c>
      <c r="J2662" s="22" t="s">
        <v>45</v>
      </c>
      <c r="K2662" s="24">
        <v>8</v>
      </c>
      <c r="M2662" s="21"/>
      <c r="N2662" s="22"/>
      <c r="O2662" s="22"/>
      <c r="P2662" s="49"/>
      <c r="Q2662" s="49"/>
      <c r="R2662" s="188" t="str">
        <f t="shared" si="88"/>
        <v/>
      </c>
      <c r="T2662" s="21">
        <v>46112</v>
      </c>
      <c r="U2662" s="22" t="s">
        <v>47</v>
      </c>
      <c r="V2662" s="24">
        <v>4</v>
      </c>
      <c r="W2662" s="24">
        <v>4</v>
      </c>
      <c r="X2662" s="24">
        <v>4</v>
      </c>
      <c r="Y2662" s="24">
        <v>4</v>
      </c>
      <c r="Z2662" s="20">
        <f t="shared" si="87"/>
        <v>16</v>
      </c>
    </row>
    <row r="2663" spans="1:26" x14ac:dyDescent="0.2">
      <c r="A2663" s="21"/>
      <c r="B2663" s="20"/>
      <c r="C2663" s="22"/>
      <c r="D2663" s="22"/>
      <c r="E2663" s="24"/>
      <c r="F2663" s="22"/>
      <c r="H2663" s="21">
        <v>46057</v>
      </c>
      <c r="I2663" s="22" t="s">
        <v>70</v>
      </c>
      <c r="J2663" s="22" t="s">
        <v>57</v>
      </c>
      <c r="K2663" s="24">
        <v>7</v>
      </c>
      <c r="M2663" s="21"/>
      <c r="N2663" s="22"/>
      <c r="O2663" s="22"/>
      <c r="P2663" s="49"/>
      <c r="Q2663" s="49"/>
      <c r="R2663" s="188" t="str">
        <f t="shared" si="88"/>
        <v/>
      </c>
      <c r="T2663" s="21">
        <v>46112</v>
      </c>
      <c r="U2663" s="22" t="s">
        <v>48</v>
      </c>
      <c r="V2663" s="24">
        <v>5</v>
      </c>
      <c r="W2663" s="24">
        <v>5</v>
      </c>
      <c r="X2663" s="24">
        <v>5</v>
      </c>
      <c r="Y2663" s="24">
        <v>5</v>
      </c>
      <c r="Z2663" s="20">
        <f t="shared" si="87"/>
        <v>20</v>
      </c>
    </row>
    <row r="2664" spans="1:26" x14ac:dyDescent="0.2">
      <c r="A2664" s="21"/>
      <c r="B2664" s="20"/>
      <c r="C2664" s="22"/>
      <c r="D2664" s="22"/>
      <c r="E2664" s="24"/>
      <c r="F2664" s="22"/>
      <c r="H2664" s="21">
        <v>46057</v>
      </c>
      <c r="I2664" s="22" t="s">
        <v>70</v>
      </c>
      <c r="J2664" s="22" t="s">
        <v>42</v>
      </c>
      <c r="K2664" s="24">
        <v>1</v>
      </c>
      <c r="M2664" s="21"/>
      <c r="N2664" s="22"/>
      <c r="O2664" s="22"/>
      <c r="P2664" s="49"/>
      <c r="Q2664" s="49"/>
      <c r="R2664" s="188" t="str">
        <f t="shared" si="88"/>
        <v/>
      </c>
      <c r="T2664" s="21">
        <v>46112</v>
      </c>
      <c r="U2664" s="22" t="s">
        <v>49</v>
      </c>
      <c r="V2664" s="24">
        <v>3</v>
      </c>
      <c r="W2664" s="24">
        <v>3</v>
      </c>
      <c r="X2664" s="24">
        <v>3</v>
      </c>
      <c r="Y2664" s="24">
        <v>4</v>
      </c>
      <c r="Z2664" s="20">
        <f t="shared" si="87"/>
        <v>13</v>
      </c>
    </row>
    <row r="2665" spans="1:26" x14ac:dyDescent="0.2">
      <c r="A2665" s="21"/>
      <c r="B2665" s="20"/>
      <c r="C2665" s="22"/>
      <c r="D2665" s="22"/>
      <c r="E2665" s="24"/>
      <c r="F2665" s="22"/>
      <c r="H2665" s="21">
        <v>46057</v>
      </c>
      <c r="I2665" s="22" t="s">
        <v>70</v>
      </c>
      <c r="J2665" s="22" t="s">
        <v>54</v>
      </c>
      <c r="K2665" s="24">
        <v>7</v>
      </c>
      <c r="M2665" s="21"/>
      <c r="N2665" s="22"/>
      <c r="O2665" s="22"/>
      <c r="P2665" s="49"/>
      <c r="Q2665" s="49"/>
      <c r="R2665" s="188" t="str">
        <f t="shared" si="88"/>
        <v/>
      </c>
      <c r="T2665" s="21">
        <v>46112</v>
      </c>
      <c r="U2665" s="22" t="s">
        <v>50</v>
      </c>
      <c r="V2665" s="24">
        <v>3</v>
      </c>
      <c r="W2665" s="24">
        <v>3</v>
      </c>
      <c r="X2665" s="24">
        <v>4</v>
      </c>
      <c r="Y2665" s="24">
        <v>4</v>
      </c>
      <c r="Z2665" s="20">
        <f t="shared" si="87"/>
        <v>14</v>
      </c>
    </row>
    <row r="2666" spans="1:26" x14ac:dyDescent="0.2">
      <c r="A2666" s="21"/>
      <c r="B2666" s="20"/>
      <c r="C2666" s="22"/>
      <c r="D2666" s="22"/>
      <c r="E2666" s="24"/>
      <c r="F2666" s="22"/>
      <c r="H2666" s="21">
        <v>46057</v>
      </c>
      <c r="I2666" s="22" t="s">
        <v>70</v>
      </c>
      <c r="J2666" s="22" t="s">
        <v>47</v>
      </c>
      <c r="K2666" s="24" t="s">
        <v>64</v>
      </c>
      <c r="M2666" s="21"/>
      <c r="N2666" s="22"/>
      <c r="O2666" s="22"/>
      <c r="P2666" s="49"/>
      <c r="Q2666" s="49"/>
      <c r="R2666" s="188" t="str">
        <f t="shared" si="88"/>
        <v/>
      </c>
      <c r="T2666" s="21">
        <v>46112</v>
      </c>
      <c r="U2666" s="22" t="s">
        <v>51</v>
      </c>
      <c r="V2666" s="24">
        <v>4</v>
      </c>
      <c r="W2666" s="24">
        <v>3</v>
      </c>
      <c r="X2666" s="24">
        <v>4</v>
      </c>
      <c r="Y2666" s="24">
        <v>4</v>
      </c>
      <c r="Z2666" s="20">
        <f t="shared" si="87"/>
        <v>15</v>
      </c>
    </row>
    <row r="2667" spans="1:26" x14ac:dyDescent="0.2">
      <c r="A2667" s="21"/>
      <c r="B2667" s="20"/>
      <c r="C2667" s="22"/>
      <c r="D2667" s="22"/>
      <c r="E2667" s="24"/>
      <c r="F2667" s="22"/>
      <c r="H2667" s="21">
        <v>46057</v>
      </c>
      <c r="I2667" s="22" t="s">
        <v>70</v>
      </c>
      <c r="J2667" s="22" t="s">
        <v>41</v>
      </c>
      <c r="K2667" s="24">
        <v>1</v>
      </c>
      <c r="M2667" s="21"/>
      <c r="N2667" s="22"/>
      <c r="O2667" s="22"/>
      <c r="P2667" s="49"/>
      <c r="Q2667" s="49"/>
      <c r="R2667" s="188" t="str">
        <f t="shared" si="88"/>
        <v/>
      </c>
      <c r="T2667" s="21">
        <v>46112</v>
      </c>
      <c r="U2667" s="22" t="s">
        <v>52</v>
      </c>
      <c r="V2667" s="24">
        <v>4</v>
      </c>
      <c r="W2667" s="24">
        <v>4</v>
      </c>
      <c r="X2667" s="24">
        <v>4</v>
      </c>
      <c r="Y2667" s="24">
        <v>4</v>
      </c>
      <c r="Z2667" s="20">
        <f t="shared" si="87"/>
        <v>16</v>
      </c>
    </row>
    <row r="2668" spans="1:26" x14ac:dyDescent="0.2">
      <c r="A2668" s="21"/>
      <c r="B2668" s="20"/>
      <c r="C2668" s="22"/>
      <c r="D2668" s="22"/>
      <c r="E2668" s="24"/>
      <c r="F2668" s="22"/>
      <c r="H2668" s="21">
        <v>46057</v>
      </c>
      <c r="I2668" s="22" t="s">
        <v>70</v>
      </c>
      <c r="J2668" s="22" t="s">
        <v>58</v>
      </c>
      <c r="K2668" s="24">
        <v>8</v>
      </c>
      <c r="M2668" s="21"/>
      <c r="N2668" s="22"/>
      <c r="O2668" s="22"/>
      <c r="P2668" s="49"/>
      <c r="Q2668" s="49"/>
      <c r="R2668" s="188" t="str">
        <f t="shared" si="88"/>
        <v/>
      </c>
      <c r="T2668" s="21">
        <v>46112</v>
      </c>
      <c r="U2668" s="22" t="s">
        <v>54</v>
      </c>
      <c r="V2668" s="24">
        <v>2</v>
      </c>
      <c r="W2668" s="24">
        <v>2</v>
      </c>
      <c r="X2668" s="24">
        <v>3</v>
      </c>
      <c r="Y2668" s="24">
        <v>4</v>
      </c>
      <c r="Z2668" s="20">
        <f t="shared" si="87"/>
        <v>11</v>
      </c>
    </row>
    <row r="2669" spans="1:26" x14ac:dyDescent="0.2">
      <c r="A2669" s="21"/>
      <c r="B2669" s="20"/>
      <c r="C2669" s="22"/>
      <c r="D2669" s="22"/>
      <c r="E2669" s="24"/>
      <c r="F2669" s="22"/>
      <c r="H2669" s="21">
        <v>46057</v>
      </c>
      <c r="I2669" s="22" t="s">
        <v>70</v>
      </c>
      <c r="J2669" s="22" t="s">
        <v>49</v>
      </c>
      <c r="K2669" s="24">
        <v>8</v>
      </c>
      <c r="M2669" s="21"/>
      <c r="N2669" s="22"/>
      <c r="O2669" s="22"/>
      <c r="P2669" s="49"/>
      <c r="Q2669" s="49"/>
      <c r="R2669" s="188" t="str">
        <f t="shared" si="88"/>
        <v/>
      </c>
      <c r="T2669" s="21">
        <v>46112</v>
      </c>
      <c r="U2669" s="22" t="s">
        <v>55</v>
      </c>
      <c r="V2669" s="24">
        <v>4</v>
      </c>
      <c r="W2669" s="24">
        <v>4</v>
      </c>
      <c r="X2669" s="24">
        <v>3</v>
      </c>
      <c r="Y2669" s="24">
        <v>4</v>
      </c>
      <c r="Z2669" s="20">
        <f t="shared" si="87"/>
        <v>15</v>
      </c>
    </row>
    <row r="2670" spans="1:26" x14ac:dyDescent="0.2">
      <c r="A2670" s="21"/>
      <c r="B2670" s="20"/>
      <c r="C2670" s="22"/>
      <c r="D2670" s="22"/>
      <c r="E2670" s="24"/>
      <c r="F2670" s="22"/>
      <c r="H2670" s="21">
        <v>46057</v>
      </c>
      <c r="I2670" s="22" t="s">
        <v>70</v>
      </c>
      <c r="J2670" s="22" t="s">
        <v>50</v>
      </c>
      <c r="K2670" s="24">
        <v>8</v>
      </c>
      <c r="M2670" s="21"/>
      <c r="N2670" s="22"/>
      <c r="O2670" s="22"/>
      <c r="P2670" s="49"/>
      <c r="Q2670" s="49"/>
      <c r="R2670" s="188" t="str">
        <f t="shared" si="88"/>
        <v/>
      </c>
      <c r="T2670" s="21">
        <v>46112</v>
      </c>
      <c r="U2670" s="22" t="s">
        <v>56</v>
      </c>
      <c r="V2670" s="24">
        <v>3</v>
      </c>
      <c r="W2670" s="24">
        <v>4</v>
      </c>
      <c r="X2670" s="24">
        <v>4</v>
      </c>
      <c r="Y2670" s="24">
        <v>4</v>
      </c>
      <c r="Z2670" s="20">
        <f t="shared" si="87"/>
        <v>15</v>
      </c>
    </row>
    <row r="2671" spans="1:26" x14ac:dyDescent="0.2">
      <c r="A2671" s="21"/>
      <c r="B2671" s="20"/>
      <c r="C2671" s="22"/>
      <c r="D2671" s="22"/>
      <c r="E2671" s="24"/>
      <c r="F2671" s="22"/>
      <c r="H2671" s="21">
        <v>46057</v>
      </c>
      <c r="I2671" s="22" t="s">
        <v>70</v>
      </c>
      <c r="J2671" s="22" t="s">
        <v>51</v>
      </c>
      <c r="K2671" s="24">
        <v>8</v>
      </c>
      <c r="M2671" s="21"/>
      <c r="N2671" s="22"/>
      <c r="O2671" s="22"/>
      <c r="P2671" s="49"/>
      <c r="Q2671" s="49"/>
      <c r="R2671" s="188" t="str">
        <f t="shared" si="88"/>
        <v/>
      </c>
      <c r="T2671" s="21">
        <v>46112</v>
      </c>
      <c r="U2671" s="22" t="s">
        <v>58</v>
      </c>
      <c r="V2671" s="24">
        <v>4</v>
      </c>
      <c r="W2671" s="24">
        <v>4</v>
      </c>
      <c r="X2671" s="24">
        <v>4</v>
      </c>
      <c r="Y2671" s="24">
        <v>4</v>
      </c>
      <c r="Z2671" s="20">
        <f t="shared" si="87"/>
        <v>16</v>
      </c>
    </row>
    <row r="2672" spans="1:26" x14ac:dyDescent="0.2">
      <c r="A2672" s="21"/>
      <c r="B2672" s="20"/>
      <c r="C2672" s="22"/>
      <c r="D2672" s="22"/>
      <c r="E2672" s="24"/>
      <c r="F2672" s="22"/>
      <c r="H2672" s="21">
        <v>46057</v>
      </c>
      <c r="I2672" s="22" t="s">
        <v>70</v>
      </c>
      <c r="J2672" s="22" t="s">
        <v>46</v>
      </c>
      <c r="K2672" s="24">
        <v>8</v>
      </c>
      <c r="M2672" s="21"/>
      <c r="N2672" s="22"/>
      <c r="O2672" s="22"/>
      <c r="P2672" s="49"/>
      <c r="Q2672" s="49"/>
      <c r="R2672" s="188" t="str">
        <f t="shared" si="88"/>
        <v/>
      </c>
      <c r="T2672" s="21">
        <v>46112</v>
      </c>
      <c r="U2672" s="22" t="s">
        <v>33</v>
      </c>
      <c r="V2672" s="24">
        <v>3.6666666666666701</v>
      </c>
      <c r="W2672" s="24">
        <v>3.6</v>
      </c>
      <c r="X2672" s="24">
        <v>3.7333333333333298</v>
      </c>
      <c r="Y2672" s="24">
        <v>4.06666666666667</v>
      </c>
      <c r="Z2672" s="20">
        <f t="shared" si="87"/>
        <v>15.06666666666667</v>
      </c>
    </row>
    <row r="2673" spans="1:26" x14ac:dyDescent="0.2">
      <c r="A2673" s="21"/>
      <c r="B2673" s="20"/>
      <c r="C2673" s="22"/>
      <c r="D2673" s="22"/>
      <c r="E2673" s="24"/>
      <c r="F2673" s="22"/>
      <c r="H2673" s="21">
        <v>46057</v>
      </c>
      <c r="I2673" s="22" t="s">
        <v>70</v>
      </c>
      <c r="J2673" s="22" t="s">
        <v>48</v>
      </c>
      <c r="K2673" s="24" t="s">
        <v>64</v>
      </c>
      <c r="M2673" s="21"/>
      <c r="N2673" s="22"/>
      <c r="O2673" s="22"/>
      <c r="P2673" s="49"/>
      <c r="Q2673" s="49"/>
      <c r="R2673" s="188" t="str">
        <f t="shared" si="88"/>
        <v/>
      </c>
      <c r="T2673" s="21">
        <v>46113</v>
      </c>
      <c r="U2673" s="22" t="s">
        <v>41</v>
      </c>
      <c r="V2673" s="24">
        <v>1</v>
      </c>
      <c r="W2673" s="24">
        <v>1</v>
      </c>
      <c r="X2673" s="24">
        <v>1</v>
      </c>
      <c r="Y2673" s="24">
        <v>1</v>
      </c>
      <c r="Z2673" s="20">
        <f t="shared" si="87"/>
        <v>4</v>
      </c>
    </row>
    <row r="2674" spans="1:26" x14ac:dyDescent="0.2">
      <c r="A2674" s="21"/>
      <c r="B2674" s="20"/>
      <c r="C2674" s="22"/>
      <c r="D2674" s="22"/>
      <c r="E2674" s="24"/>
      <c r="F2674" s="22"/>
      <c r="H2674" s="21">
        <v>46057</v>
      </c>
      <c r="I2674" s="22" t="s">
        <v>70</v>
      </c>
      <c r="J2674" s="22" t="s">
        <v>56</v>
      </c>
      <c r="K2674" s="24">
        <v>7</v>
      </c>
      <c r="M2674" s="21"/>
      <c r="N2674" s="22"/>
      <c r="O2674" s="22"/>
      <c r="P2674" s="49"/>
      <c r="Q2674" s="49"/>
      <c r="R2674" s="188" t="str">
        <f t="shared" si="88"/>
        <v/>
      </c>
      <c r="T2674" s="21">
        <v>46113</v>
      </c>
      <c r="U2674" s="22" t="s">
        <v>42</v>
      </c>
      <c r="V2674" s="24">
        <v>4</v>
      </c>
      <c r="W2674" s="24">
        <v>4</v>
      </c>
      <c r="X2674" s="24">
        <v>4</v>
      </c>
      <c r="Y2674" s="24">
        <v>4</v>
      </c>
      <c r="Z2674" s="20">
        <f t="shared" si="87"/>
        <v>16</v>
      </c>
    </row>
    <row r="2675" spans="1:26" x14ac:dyDescent="0.2">
      <c r="A2675" s="21"/>
      <c r="B2675" s="20"/>
      <c r="C2675" s="22"/>
      <c r="D2675" s="22"/>
      <c r="E2675" s="24"/>
      <c r="F2675" s="22"/>
      <c r="H2675" s="21">
        <v>46058</v>
      </c>
      <c r="I2675" s="22" t="s">
        <v>70</v>
      </c>
      <c r="J2675" s="22" t="s">
        <v>52</v>
      </c>
      <c r="K2675" s="24">
        <v>5</v>
      </c>
      <c r="M2675" s="21"/>
      <c r="N2675" s="22"/>
      <c r="O2675" s="22"/>
      <c r="P2675" s="49"/>
      <c r="Q2675" s="49"/>
      <c r="R2675" s="188" t="str">
        <f t="shared" si="88"/>
        <v/>
      </c>
      <c r="T2675" s="21">
        <v>46113</v>
      </c>
      <c r="U2675" s="22" t="s">
        <v>44</v>
      </c>
      <c r="V2675" s="24">
        <v>5</v>
      </c>
      <c r="W2675" s="24">
        <v>4</v>
      </c>
      <c r="X2675" s="24">
        <v>4</v>
      </c>
      <c r="Y2675" s="24">
        <v>5</v>
      </c>
      <c r="Z2675" s="20">
        <f t="shared" si="87"/>
        <v>18</v>
      </c>
    </row>
    <row r="2676" spans="1:26" x14ac:dyDescent="0.2">
      <c r="A2676" s="21"/>
      <c r="B2676" s="20"/>
      <c r="C2676" s="22"/>
      <c r="D2676" s="22"/>
      <c r="E2676" s="24"/>
      <c r="F2676" s="22"/>
      <c r="H2676" s="21">
        <v>46058</v>
      </c>
      <c r="I2676" s="22" t="s">
        <v>70</v>
      </c>
      <c r="J2676" s="22" t="s">
        <v>53</v>
      </c>
      <c r="K2676" s="24">
        <v>4</v>
      </c>
      <c r="M2676" s="21"/>
      <c r="N2676" s="22"/>
      <c r="O2676" s="22"/>
      <c r="P2676" s="49"/>
      <c r="Q2676" s="49"/>
      <c r="R2676" s="188" t="str">
        <f t="shared" si="88"/>
        <v/>
      </c>
      <c r="T2676" s="21">
        <v>46113</v>
      </c>
      <c r="U2676" s="22" t="s">
        <v>45</v>
      </c>
      <c r="V2676" s="24">
        <v>4</v>
      </c>
      <c r="W2676" s="24">
        <v>4</v>
      </c>
      <c r="X2676" s="24">
        <v>4</v>
      </c>
      <c r="Y2676" s="24">
        <v>5</v>
      </c>
      <c r="Z2676" s="20">
        <f t="shared" si="87"/>
        <v>17</v>
      </c>
    </row>
    <row r="2677" spans="1:26" x14ac:dyDescent="0.2">
      <c r="A2677" s="21"/>
      <c r="B2677" s="20"/>
      <c r="C2677" s="22"/>
      <c r="D2677" s="22"/>
      <c r="E2677" s="24"/>
      <c r="F2677" s="22"/>
      <c r="H2677" s="21">
        <v>46058</v>
      </c>
      <c r="I2677" s="22" t="s">
        <v>70</v>
      </c>
      <c r="J2677" s="22" t="s">
        <v>44</v>
      </c>
      <c r="K2677" s="24" t="s">
        <v>64</v>
      </c>
      <c r="M2677" s="21"/>
      <c r="N2677" s="22"/>
      <c r="O2677" s="22"/>
      <c r="P2677" s="49"/>
      <c r="Q2677" s="49"/>
      <c r="R2677" s="188" t="str">
        <f t="shared" si="88"/>
        <v/>
      </c>
      <c r="T2677" s="21">
        <v>46113</v>
      </c>
      <c r="U2677" s="22" t="s">
        <v>46</v>
      </c>
      <c r="V2677" s="24">
        <v>5</v>
      </c>
      <c r="W2677" s="24">
        <v>5</v>
      </c>
      <c r="X2677" s="24">
        <v>5</v>
      </c>
      <c r="Y2677" s="24">
        <v>5</v>
      </c>
      <c r="Z2677" s="20">
        <f t="shared" si="87"/>
        <v>20</v>
      </c>
    </row>
    <row r="2678" spans="1:26" x14ac:dyDescent="0.2">
      <c r="A2678" s="21"/>
      <c r="B2678" s="20"/>
      <c r="C2678" s="22"/>
      <c r="D2678" s="22"/>
      <c r="E2678" s="24"/>
      <c r="F2678" s="22"/>
      <c r="H2678" s="21">
        <v>46058</v>
      </c>
      <c r="I2678" s="22" t="s">
        <v>70</v>
      </c>
      <c r="J2678" s="22" t="s">
        <v>45</v>
      </c>
      <c r="K2678" s="24">
        <v>5</v>
      </c>
      <c r="M2678" s="21"/>
      <c r="N2678" s="22"/>
      <c r="O2678" s="22"/>
      <c r="P2678" s="49"/>
      <c r="Q2678" s="49"/>
      <c r="R2678" s="188" t="str">
        <f t="shared" si="88"/>
        <v/>
      </c>
      <c r="T2678" s="21">
        <v>46113</v>
      </c>
      <c r="U2678" s="22" t="s">
        <v>47</v>
      </c>
      <c r="V2678" s="24">
        <v>5</v>
      </c>
      <c r="W2678" s="24">
        <v>5</v>
      </c>
      <c r="X2678" s="24">
        <v>5</v>
      </c>
      <c r="Y2678" s="24">
        <v>5</v>
      </c>
      <c r="Z2678" s="20">
        <f t="shared" si="87"/>
        <v>20</v>
      </c>
    </row>
    <row r="2679" spans="1:26" x14ac:dyDescent="0.2">
      <c r="A2679" s="21"/>
      <c r="B2679" s="20"/>
      <c r="C2679" s="22"/>
      <c r="D2679" s="22"/>
      <c r="E2679" s="24"/>
      <c r="F2679" s="22"/>
      <c r="H2679" s="21">
        <v>46058</v>
      </c>
      <c r="I2679" s="22" t="s">
        <v>70</v>
      </c>
      <c r="J2679" s="22" t="s">
        <v>57</v>
      </c>
      <c r="K2679" s="24">
        <v>4</v>
      </c>
      <c r="M2679" s="21"/>
      <c r="N2679" s="22"/>
      <c r="O2679" s="22"/>
      <c r="P2679" s="49"/>
      <c r="Q2679" s="49"/>
      <c r="R2679" s="188" t="str">
        <f t="shared" si="88"/>
        <v/>
      </c>
      <c r="T2679" s="21">
        <v>46113</v>
      </c>
      <c r="U2679" s="22" t="s">
        <v>48</v>
      </c>
      <c r="V2679" s="24">
        <v>5</v>
      </c>
      <c r="W2679" s="24">
        <v>5</v>
      </c>
      <c r="X2679" s="24">
        <v>5</v>
      </c>
      <c r="Y2679" s="24">
        <v>5</v>
      </c>
      <c r="Z2679" s="20">
        <f t="shared" si="87"/>
        <v>20</v>
      </c>
    </row>
    <row r="2680" spans="1:26" x14ac:dyDescent="0.2">
      <c r="A2680" s="21"/>
      <c r="B2680" s="20"/>
      <c r="C2680" s="22"/>
      <c r="D2680" s="22"/>
      <c r="E2680" s="24"/>
      <c r="F2680" s="22"/>
      <c r="H2680" s="21">
        <v>46058</v>
      </c>
      <c r="I2680" s="22" t="s">
        <v>70</v>
      </c>
      <c r="J2680" s="22" t="s">
        <v>42</v>
      </c>
      <c r="K2680" s="24">
        <v>1</v>
      </c>
      <c r="M2680" s="21"/>
      <c r="N2680" s="22"/>
      <c r="O2680" s="22"/>
      <c r="P2680" s="49"/>
      <c r="Q2680" s="49"/>
      <c r="R2680" s="188" t="str">
        <f t="shared" si="88"/>
        <v/>
      </c>
      <c r="T2680" s="21">
        <v>46113</v>
      </c>
      <c r="U2680" s="22" t="s">
        <v>49</v>
      </c>
      <c r="V2680" s="24">
        <v>3</v>
      </c>
      <c r="W2680" s="24">
        <v>3</v>
      </c>
      <c r="X2680" s="24">
        <v>3</v>
      </c>
      <c r="Y2680" s="24">
        <v>4</v>
      </c>
      <c r="Z2680" s="20">
        <f t="shared" si="87"/>
        <v>13</v>
      </c>
    </row>
    <row r="2681" spans="1:26" x14ac:dyDescent="0.2">
      <c r="A2681" s="21"/>
      <c r="B2681" s="20"/>
      <c r="C2681" s="22"/>
      <c r="D2681" s="22"/>
      <c r="E2681" s="24"/>
      <c r="F2681" s="22"/>
      <c r="H2681" s="21">
        <v>46058</v>
      </c>
      <c r="I2681" s="22" t="s">
        <v>70</v>
      </c>
      <c r="J2681" s="22" t="s">
        <v>54</v>
      </c>
      <c r="K2681" s="24">
        <v>5</v>
      </c>
      <c r="M2681" s="21"/>
      <c r="N2681" s="22"/>
      <c r="O2681" s="22"/>
      <c r="P2681" s="49"/>
      <c r="Q2681" s="49"/>
      <c r="R2681" s="188" t="str">
        <f t="shared" si="88"/>
        <v/>
      </c>
      <c r="T2681" s="21">
        <v>46113</v>
      </c>
      <c r="U2681" s="22" t="s">
        <v>50</v>
      </c>
      <c r="V2681" s="24">
        <v>3</v>
      </c>
      <c r="W2681" s="24">
        <v>3</v>
      </c>
      <c r="X2681" s="24">
        <v>4</v>
      </c>
      <c r="Y2681" s="24">
        <v>4</v>
      </c>
      <c r="Z2681" s="20">
        <f t="shared" si="87"/>
        <v>14</v>
      </c>
    </row>
    <row r="2682" spans="1:26" x14ac:dyDescent="0.2">
      <c r="A2682" s="21"/>
      <c r="B2682" s="20"/>
      <c r="C2682" s="22"/>
      <c r="D2682" s="22"/>
      <c r="E2682" s="24"/>
      <c r="F2682" s="22"/>
      <c r="H2682" s="21">
        <v>46058</v>
      </c>
      <c r="I2682" s="22" t="s">
        <v>70</v>
      </c>
      <c r="J2682" s="22" t="s">
        <v>47</v>
      </c>
      <c r="K2682" s="24" t="s">
        <v>64</v>
      </c>
      <c r="M2682" s="21"/>
      <c r="N2682" s="22"/>
      <c r="O2682" s="22"/>
      <c r="P2682" s="49"/>
      <c r="Q2682" s="49"/>
      <c r="R2682" s="188" t="str">
        <f t="shared" si="88"/>
        <v/>
      </c>
      <c r="T2682" s="21">
        <v>46113</v>
      </c>
      <c r="U2682" s="22" t="s">
        <v>51</v>
      </c>
      <c r="V2682" s="24">
        <v>4</v>
      </c>
      <c r="W2682" s="24">
        <v>4</v>
      </c>
      <c r="X2682" s="24">
        <v>4</v>
      </c>
      <c r="Y2682" s="24">
        <v>4</v>
      </c>
      <c r="Z2682" s="20">
        <f t="shared" si="87"/>
        <v>16</v>
      </c>
    </row>
    <row r="2683" spans="1:26" x14ac:dyDescent="0.2">
      <c r="A2683" s="21"/>
      <c r="B2683" s="20"/>
      <c r="C2683" s="22"/>
      <c r="D2683" s="22"/>
      <c r="E2683" s="24"/>
      <c r="F2683" s="22"/>
      <c r="H2683" s="21">
        <v>46058</v>
      </c>
      <c r="I2683" s="22" t="s">
        <v>70</v>
      </c>
      <c r="J2683" s="22" t="s">
        <v>41</v>
      </c>
      <c r="K2683" s="24">
        <v>1</v>
      </c>
      <c r="M2683" s="21"/>
      <c r="N2683" s="22"/>
      <c r="O2683" s="22"/>
      <c r="P2683" s="49"/>
      <c r="Q2683" s="49"/>
      <c r="R2683" s="188" t="str">
        <f t="shared" si="88"/>
        <v/>
      </c>
      <c r="T2683" s="21">
        <v>46113</v>
      </c>
      <c r="U2683" s="22" t="s">
        <v>52</v>
      </c>
      <c r="V2683" s="24">
        <v>4</v>
      </c>
      <c r="W2683" s="24">
        <v>4</v>
      </c>
      <c r="X2683" s="24">
        <v>4</v>
      </c>
      <c r="Y2683" s="24">
        <v>4</v>
      </c>
      <c r="Z2683" s="20">
        <f t="shared" si="87"/>
        <v>16</v>
      </c>
    </row>
    <row r="2684" spans="1:26" x14ac:dyDescent="0.2">
      <c r="A2684" s="21"/>
      <c r="B2684" s="20"/>
      <c r="C2684" s="22"/>
      <c r="D2684" s="22"/>
      <c r="E2684" s="24"/>
      <c r="F2684" s="22"/>
      <c r="H2684" s="21">
        <v>46058</v>
      </c>
      <c r="I2684" s="22" t="s">
        <v>70</v>
      </c>
      <c r="J2684" s="22" t="s">
        <v>49</v>
      </c>
      <c r="K2684" s="24">
        <v>5</v>
      </c>
      <c r="M2684" s="21"/>
      <c r="N2684" s="22"/>
      <c r="O2684" s="22"/>
      <c r="P2684" s="49"/>
      <c r="Q2684" s="49"/>
      <c r="R2684" s="188" t="str">
        <f t="shared" si="88"/>
        <v/>
      </c>
      <c r="T2684" s="21">
        <v>46113</v>
      </c>
      <c r="U2684" s="22" t="s">
        <v>53</v>
      </c>
      <c r="V2684" s="24">
        <v>4</v>
      </c>
      <c r="W2684" s="24">
        <v>4</v>
      </c>
      <c r="X2684" s="24">
        <v>3</v>
      </c>
      <c r="Y2684" s="24">
        <v>5</v>
      </c>
      <c r="Z2684" s="20">
        <f t="shared" si="87"/>
        <v>16</v>
      </c>
    </row>
    <row r="2685" spans="1:26" x14ac:dyDescent="0.2">
      <c r="A2685" s="21"/>
      <c r="B2685" s="20"/>
      <c r="C2685" s="22"/>
      <c r="D2685" s="22"/>
      <c r="E2685" s="24"/>
      <c r="F2685" s="22"/>
      <c r="H2685" s="21">
        <v>46058</v>
      </c>
      <c r="I2685" s="22" t="s">
        <v>70</v>
      </c>
      <c r="J2685" s="22" t="s">
        <v>50</v>
      </c>
      <c r="K2685" s="24">
        <v>6</v>
      </c>
      <c r="M2685" s="21"/>
      <c r="N2685" s="22"/>
      <c r="O2685" s="22"/>
      <c r="P2685" s="49"/>
      <c r="Q2685" s="49"/>
      <c r="R2685" s="188" t="str">
        <f t="shared" si="88"/>
        <v/>
      </c>
      <c r="T2685" s="21">
        <v>46113</v>
      </c>
      <c r="U2685" s="22" t="s">
        <v>54</v>
      </c>
      <c r="V2685" s="24">
        <v>3</v>
      </c>
      <c r="W2685" s="24">
        <v>1</v>
      </c>
      <c r="X2685" s="24">
        <v>2</v>
      </c>
      <c r="Y2685" s="24">
        <v>4</v>
      </c>
      <c r="Z2685" s="20">
        <f t="shared" si="87"/>
        <v>10</v>
      </c>
    </row>
    <row r="2686" spans="1:26" x14ac:dyDescent="0.2">
      <c r="A2686" s="21"/>
      <c r="B2686" s="20"/>
      <c r="C2686" s="22"/>
      <c r="D2686" s="22"/>
      <c r="E2686" s="24"/>
      <c r="F2686" s="22"/>
      <c r="H2686" s="21">
        <v>46058</v>
      </c>
      <c r="I2686" s="22" t="s">
        <v>70</v>
      </c>
      <c r="J2686" s="22" t="s">
        <v>51</v>
      </c>
      <c r="K2686" s="24">
        <v>4</v>
      </c>
      <c r="M2686" s="21"/>
      <c r="N2686" s="22"/>
      <c r="O2686" s="22"/>
      <c r="P2686" s="49"/>
      <c r="Q2686" s="49"/>
      <c r="R2686" s="188" t="str">
        <f t="shared" si="88"/>
        <v/>
      </c>
      <c r="T2686" s="21">
        <v>46113</v>
      </c>
      <c r="U2686" s="22" t="s">
        <v>55</v>
      </c>
      <c r="V2686" s="24">
        <v>4</v>
      </c>
      <c r="W2686" s="24">
        <v>4</v>
      </c>
      <c r="X2686" s="24">
        <v>3</v>
      </c>
      <c r="Y2686" s="24">
        <v>4</v>
      </c>
      <c r="Z2686" s="20">
        <f t="shared" si="87"/>
        <v>15</v>
      </c>
    </row>
    <row r="2687" spans="1:26" x14ac:dyDescent="0.2">
      <c r="A2687" s="21"/>
      <c r="B2687" s="20"/>
      <c r="C2687" s="22"/>
      <c r="D2687" s="22"/>
      <c r="E2687" s="24"/>
      <c r="F2687" s="22"/>
      <c r="H2687" s="21">
        <v>46058</v>
      </c>
      <c r="I2687" s="22" t="s">
        <v>70</v>
      </c>
      <c r="J2687" s="22" t="s">
        <v>46</v>
      </c>
      <c r="K2687" s="24">
        <v>5</v>
      </c>
      <c r="M2687" s="21"/>
      <c r="N2687" s="22"/>
      <c r="O2687" s="22"/>
      <c r="P2687" s="49"/>
      <c r="Q2687" s="49"/>
      <c r="R2687" s="188" t="str">
        <f t="shared" si="88"/>
        <v/>
      </c>
      <c r="T2687" s="21">
        <v>46113</v>
      </c>
      <c r="U2687" s="22" t="s">
        <v>56</v>
      </c>
      <c r="V2687" s="24">
        <v>4</v>
      </c>
      <c r="W2687" s="24">
        <v>2</v>
      </c>
      <c r="X2687" s="24">
        <v>2</v>
      </c>
      <c r="Y2687" s="24">
        <v>4</v>
      </c>
      <c r="Z2687" s="20">
        <f t="shared" si="87"/>
        <v>12</v>
      </c>
    </row>
    <row r="2688" spans="1:26" x14ac:dyDescent="0.2">
      <c r="A2688" s="21"/>
      <c r="B2688" s="20"/>
      <c r="C2688" s="22"/>
      <c r="D2688" s="22"/>
      <c r="E2688" s="24"/>
      <c r="F2688" s="22"/>
      <c r="H2688" s="21">
        <v>46058</v>
      </c>
      <c r="I2688" s="22" t="s">
        <v>70</v>
      </c>
      <c r="J2688" s="22" t="s">
        <v>48</v>
      </c>
      <c r="K2688" s="24" t="s">
        <v>64</v>
      </c>
      <c r="M2688" s="21"/>
      <c r="N2688" s="22"/>
      <c r="O2688" s="22"/>
      <c r="P2688" s="49"/>
      <c r="Q2688" s="49"/>
      <c r="R2688" s="188" t="str">
        <f t="shared" si="88"/>
        <v/>
      </c>
      <c r="T2688" s="21">
        <v>46113</v>
      </c>
      <c r="U2688" s="22" t="s">
        <v>58</v>
      </c>
      <c r="V2688" s="24">
        <v>4</v>
      </c>
      <c r="W2688" s="24">
        <v>4</v>
      </c>
      <c r="X2688" s="24">
        <v>4</v>
      </c>
      <c r="Y2688" s="24">
        <v>4</v>
      </c>
      <c r="Z2688" s="20">
        <f t="shared" si="87"/>
        <v>16</v>
      </c>
    </row>
    <row r="2689" spans="1:26" x14ac:dyDescent="0.2">
      <c r="A2689" s="21"/>
      <c r="B2689" s="20"/>
      <c r="C2689" s="22"/>
      <c r="D2689" s="22"/>
      <c r="E2689" s="24"/>
      <c r="F2689" s="22"/>
      <c r="H2689" s="21">
        <v>46058</v>
      </c>
      <c r="I2689" s="22" t="s">
        <v>70</v>
      </c>
      <c r="J2689" s="22" t="s">
        <v>56</v>
      </c>
      <c r="K2689" s="24">
        <v>6</v>
      </c>
      <c r="M2689" s="21"/>
      <c r="N2689" s="22"/>
      <c r="O2689" s="22"/>
      <c r="P2689" s="49"/>
      <c r="Q2689" s="49"/>
      <c r="R2689" s="188" t="str">
        <f t="shared" si="88"/>
        <v/>
      </c>
      <c r="T2689" s="21">
        <v>46113</v>
      </c>
      <c r="U2689" s="22" t="s">
        <v>33</v>
      </c>
      <c r="V2689" s="24">
        <v>3.875</v>
      </c>
      <c r="W2689" s="24">
        <v>3.5625</v>
      </c>
      <c r="X2689" s="24">
        <v>3.5625</v>
      </c>
      <c r="Y2689" s="24">
        <v>4.1875</v>
      </c>
      <c r="Z2689" s="20">
        <f t="shared" si="87"/>
        <v>15.1875</v>
      </c>
    </row>
    <row r="2690" spans="1:26" x14ac:dyDescent="0.2">
      <c r="A2690" s="21"/>
      <c r="B2690" s="20"/>
      <c r="C2690" s="22"/>
      <c r="D2690" s="22"/>
      <c r="E2690" s="24"/>
      <c r="F2690" s="22"/>
      <c r="H2690" s="21">
        <v>46059</v>
      </c>
      <c r="I2690" s="22" t="s">
        <v>71</v>
      </c>
      <c r="J2690" s="22" t="s">
        <v>52</v>
      </c>
      <c r="K2690" s="24">
        <v>8</v>
      </c>
      <c r="M2690" s="21"/>
      <c r="N2690" s="22"/>
      <c r="O2690" s="22"/>
      <c r="P2690" s="49"/>
      <c r="Q2690" s="49"/>
      <c r="R2690" s="188" t="str">
        <f t="shared" si="88"/>
        <v/>
      </c>
      <c r="T2690" s="21">
        <v>46114</v>
      </c>
      <c r="U2690" s="22" t="s">
        <v>41</v>
      </c>
      <c r="V2690" s="24">
        <v>1</v>
      </c>
      <c r="W2690" s="24">
        <v>1</v>
      </c>
      <c r="X2690" s="24">
        <v>1</v>
      </c>
      <c r="Y2690" s="24">
        <v>1</v>
      </c>
      <c r="Z2690" s="20">
        <f t="shared" si="87"/>
        <v>4</v>
      </c>
    </row>
    <row r="2691" spans="1:26" x14ac:dyDescent="0.2">
      <c r="A2691" s="21"/>
      <c r="B2691" s="20"/>
      <c r="C2691" s="22"/>
      <c r="D2691" s="22"/>
      <c r="E2691" s="24"/>
      <c r="F2691" s="22"/>
      <c r="H2691" s="21">
        <v>46059</v>
      </c>
      <c r="I2691" s="22" t="s">
        <v>71</v>
      </c>
      <c r="J2691" s="22" t="s">
        <v>53</v>
      </c>
      <c r="K2691" s="24">
        <v>9</v>
      </c>
      <c r="M2691" s="21"/>
      <c r="N2691" s="22"/>
      <c r="O2691" s="22"/>
      <c r="P2691" s="49"/>
      <c r="Q2691" s="49"/>
      <c r="R2691" s="188" t="str">
        <f t="shared" si="88"/>
        <v/>
      </c>
      <c r="T2691" s="21">
        <v>46114</v>
      </c>
      <c r="U2691" s="22" t="s">
        <v>42</v>
      </c>
      <c r="V2691" s="24">
        <v>4</v>
      </c>
      <c r="W2691" s="24">
        <v>4</v>
      </c>
      <c r="X2691" s="24">
        <v>4</v>
      </c>
      <c r="Y2691" s="24">
        <v>4</v>
      </c>
      <c r="Z2691" s="20">
        <f t="shared" ref="Z2691:Z2754" si="89">SUM(V2691:Y2691)</f>
        <v>16</v>
      </c>
    </row>
    <row r="2692" spans="1:26" x14ac:dyDescent="0.2">
      <c r="A2692" s="21"/>
      <c r="B2692" s="20"/>
      <c r="C2692" s="22"/>
      <c r="D2692" s="22"/>
      <c r="E2692" s="24"/>
      <c r="F2692" s="22"/>
      <c r="H2692" s="21">
        <v>46059</v>
      </c>
      <c r="I2692" s="22" t="s">
        <v>71</v>
      </c>
      <c r="J2692" s="22" t="s">
        <v>44</v>
      </c>
      <c r="K2692" s="24" t="s">
        <v>64</v>
      </c>
      <c r="M2692" s="21"/>
      <c r="N2692" s="22"/>
      <c r="O2692" s="22"/>
      <c r="P2692" s="49"/>
      <c r="Q2692" s="49"/>
      <c r="R2692" s="188" t="str">
        <f t="shared" si="88"/>
        <v/>
      </c>
      <c r="T2692" s="21">
        <v>46114</v>
      </c>
      <c r="U2692" s="22" t="s">
        <v>44</v>
      </c>
      <c r="V2692" s="24">
        <v>5</v>
      </c>
      <c r="W2692" s="24">
        <v>4</v>
      </c>
      <c r="X2692" s="24">
        <v>4</v>
      </c>
      <c r="Y2692" s="24">
        <v>5</v>
      </c>
      <c r="Z2692" s="20">
        <f t="shared" si="89"/>
        <v>18</v>
      </c>
    </row>
    <row r="2693" spans="1:26" x14ac:dyDescent="0.2">
      <c r="A2693" s="21"/>
      <c r="B2693" s="20"/>
      <c r="C2693" s="22"/>
      <c r="D2693" s="22"/>
      <c r="E2693" s="24"/>
      <c r="F2693" s="22"/>
      <c r="H2693" s="21">
        <v>46059</v>
      </c>
      <c r="I2693" s="22" t="s">
        <v>71</v>
      </c>
      <c r="J2693" s="22" t="s">
        <v>45</v>
      </c>
      <c r="K2693" s="24">
        <v>8</v>
      </c>
      <c r="M2693" s="21"/>
      <c r="N2693" s="22"/>
      <c r="O2693" s="22"/>
      <c r="P2693" s="49"/>
      <c r="Q2693" s="49"/>
      <c r="R2693" s="188" t="str">
        <f t="shared" si="88"/>
        <v/>
      </c>
      <c r="T2693" s="21">
        <v>46114</v>
      </c>
      <c r="U2693" s="22" t="s">
        <v>45</v>
      </c>
      <c r="V2693" s="24">
        <v>4</v>
      </c>
      <c r="W2693" s="24">
        <v>4</v>
      </c>
      <c r="X2693" s="24">
        <v>4</v>
      </c>
      <c r="Y2693" s="24">
        <v>5</v>
      </c>
      <c r="Z2693" s="20">
        <f t="shared" si="89"/>
        <v>17</v>
      </c>
    </row>
    <row r="2694" spans="1:26" x14ac:dyDescent="0.2">
      <c r="A2694" s="21"/>
      <c r="B2694" s="20"/>
      <c r="C2694" s="22"/>
      <c r="D2694" s="22"/>
      <c r="E2694" s="24"/>
      <c r="F2694" s="22"/>
      <c r="H2694" s="21">
        <v>46059</v>
      </c>
      <c r="I2694" s="22" t="s">
        <v>71</v>
      </c>
      <c r="J2694" s="22" t="s">
        <v>57</v>
      </c>
      <c r="K2694" s="24">
        <v>7</v>
      </c>
      <c r="M2694" s="21"/>
      <c r="N2694" s="22"/>
      <c r="O2694" s="22"/>
      <c r="P2694" s="49"/>
      <c r="Q2694" s="49"/>
      <c r="R2694" s="188" t="str">
        <f t="shared" si="88"/>
        <v/>
      </c>
      <c r="T2694" s="21">
        <v>46114</v>
      </c>
      <c r="U2694" s="22" t="s">
        <v>46</v>
      </c>
      <c r="V2694" s="24">
        <v>5</v>
      </c>
      <c r="W2694" s="24">
        <v>4</v>
      </c>
      <c r="X2694" s="24">
        <v>5</v>
      </c>
      <c r="Y2694" s="24">
        <v>5</v>
      </c>
      <c r="Z2694" s="20">
        <f t="shared" si="89"/>
        <v>19</v>
      </c>
    </row>
    <row r="2695" spans="1:26" x14ac:dyDescent="0.2">
      <c r="A2695" s="21"/>
      <c r="B2695" s="20"/>
      <c r="C2695" s="22"/>
      <c r="D2695" s="22"/>
      <c r="E2695" s="24"/>
      <c r="F2695" s="22"/>
      <c r="H2695" s="21">
        <v>46059</v>
      </c>
      <c r="I2695" s="22" t="s">
        <v>71</v>
      </c>
      <c r="J2695" s="22" t="s">
        <v>42</v>
      </c>
      <c r="K2695" s="24">
        <v>4</v>
      </c>
      <c r="M2695" s="21"/>
      <c r="N2695" s="22"/>
      <c r="O2695" s="22"/>
      <c r="P2695" s="49"/>
      <c r="Q2695" s="49"/>
      <c r="R2695" s="188" t="str">
        <f t="shared" si="88"/>
        <v/>
      </c>
      <c r="T2695" s="21">
        <v>46114</v>
      </c>
      <c r="U2695" s="22" t="s">
        <v>47</v>
      </c>
      <c r="V2695" s="24">
        <v>5</v>
      </c>
      <c r="W2695" s="24">
        <v>5</v>
      </c>
      <c r="X2695" s="24">
        <v>5</v>
      </c>
      <c r="Y2695" s="24">
        <v>3</v>
      </c>
      <c r="Z2695" s="20">
        <f t="shared" si="89"/>
        <v>18</v>
      </c>
    </row>
    <row r="2696" spans="1:26" x14ac:dyDescent="0.2">
      <c r="A2696" s="21"/>
      <c r="B2696" s="20"/>
      <c r="C2696" s="22"/>
      <c r="D2696" s="22"/>
      <c r="E2696" s="24"/>
      <c r="F2696" s="22"/>
      <c r="H2696" s="21">
        <v>46059</v>
      </c>
      <c r="I2696" s="22" t="s">
        <v>71</v>
      </c>
      <c r="J2696" s="22" t="s">
        <v>54</v>
      </c>
      <c r="K2696" s="24">
        <v>6</v>
      </c>
      <c r="M2696" s="21"/>
      <c r="N2696" s="22"/>
      <c r="O2696" s="22"/>
      <c r="P2696" s="49"/>
      <c r="Q2696" s="49"/>
      <c r="R2696" s="188" t="str">
        <f t="shared" si="88"/>
        <v/>
      </c>
      <c r="T2696" s="21">
        <v>46114</v>
      </c>
      <c r="U2696" s="22" t="s">
        <v>49</v>
      </c>
      <c r="V2696" s="24">
        <v>5</v>
      </c>
      <c r="W2696" s="24">
        <v>3</v>
      </c>
      <c r="X2696" s="24">
        <v>3</v>
      </c>
      <c r="Y2696" s="24">
        <v>4</v>
      </c>
      <c r="Z2696" s="20">
        <f t="shared" si="89"/>
        <v>15</v>
      </c>
    </row>
    <row r="2697" spans="1:26" x14ac:dyDescent="0.2">
      <c r="A2697" s="21"/>
      <c r="B2697" s="20"/>
      <c r="C2697" s="22"/>
      <c r="D2697" s="22"/>
      <c r="E2697" s="24"/>
      <c r="F2697" s="22"/>
      <c r="H2697" s="21">
        <v>46059</v>
      </c>
      <c r="I2697" s="22" t="s">
        <v>71</v>
      </c>
      <c r="J2697" s="22" t="s">
        <v>47</v>
      </c>
      <c r="K2697" s="24" t="s">
        <v>64</v>
      </c>
      <c r="M2697" s="21"/>
      <c r="N2697" s="22"/>
      <c r="O2697" s="22"/>
      <c r="P2697" s="49"/>
      <c r="Q2697" s="49"/>
      <c r="R2697" s="188" t="str">
        <f t="shared" si="88"/>
        <v/>
      </c>
      <c r="T2697" s="21">
        <v>46114</v>
      </c>
      <c r="U2697" s="22" t="s">
        <v>50</v>
      </c>
      <c r="V2697" s="24">
        <v>3</v>
      </c>
      <c r="W2697" s="24">
        <v>3</v>
      </c>
      <c r="X2697" s="24">
        <v>3</v>
      </c>
      <c r="Y2697" s="24">
        <v>4</v>
      </c>
      <c r="Z2697" s="20">
        <f t="shared" si="89"/>
        <v>13</v>
      </c>
    </row>
    <row r="2698" spans="1:26" x14ac:dyDescent="0.2">
      <c r="A2698" s="21"/>
      <c r="B2698" s="20"/>
      <c r="C2698" s="22"/>
      <c r="D2698" s="22"/>
      <c r="E2698" s="24"/>
      <c r="F2698" s="22"/>
      <c r="H2698" s="21">
        <v>46059</v>
      </c>
      <c r="I2698" s="22" t="s">
        <v>71</v>
      </c>
      <c r="J2698" s="22" t="s">
        <v>41</v>
      </c>
      <c r="K2698" s="24">
        <v>5</v>
      </c>
      <c r="M2698" s="21"/>
      <c r="N2698" s="22"/>
      <c r="O2698" s="22"/>
      <c r="P2698" s="49"/>
      <c r="Q2698" s="49"/>
      <c r="R2698" s="188" t="str">
        <f t="shared" si="88"/>
        <v/>
      </c>
      <c r="T2698" s="21">
        <v>46114</v>
      </c>
      <c r="U2698" s="22" t="s">
        <v>51</v>
      </c>
      <c r="V2698" s="24">
        <v>4</v>
      </c>
      <c r="W2698" s="24">
        <v>3</v>
      </c>
      <c r="X2698" s="24">
        <v>4</v>
      </c>
      <c r="Y2698" s="24">
        <v>4</v>
      </c>
      <c r="Z2698" s="20">
        <f t="shared" si="89"/>
        <v>15</v>
      </c>
    </row>
    <row r="2699" spans="1:26" x14ac:dyDescent="0.2">
      <c r="A2699" s="21"/>
      <c r="B2699" s="20"/>
      <c r="C2699" s="22"/>
      <c r="D2699" s="22"/>
      <c r="E2699" s="24"/>
      <c r="F2699" s="22"/>
      <c r="H2699" s="21">
        <v>46059</v>
      </c>
      <c r="I2699" s="22" t="s">
        <v>71</v>
      </c>
      <c r="J2699" s="22" t="s">
        <v>58</v>
      </c>
      <c r="K2699" s="24">
        <v>9</v>
      </c>
      <c r="M2699" s="21"/>
      <c r="N2699" s="22"/>
      <c r="O2699" s="22"/>
      <c r="P2699" s="49"/>
      <c r="Q2699" s="49"/>
      <c r="R2699" s="188" t="str">
        <f t="shared" si="88"/>
        <v/>
      </c>
      <c r="T2699" s="21">
        <v>46114</v>
      </c>
      <c r="U2699" s="22" t="s">
        <v>52</v>
      </c>
      <c r="V2699" s="24">
        <v>4</v>
      </c>
      <c r="W2699" s="24">
        <v>4</v>
      </c>
      <c r="X2699" s="24">
        <v>4</v>
      </c>
      <c r="Y2699" s="24">
        <v>4</v>
      </c>
      <c r="Z2699" s="20">
        <f t="shared" si="89"/>
        <v>16</v>
      </c>
    </row>
    <row r="2700" spans="1:26" x14ac:dyDescent="0.2">
      <c r="A2700" s="21"/>
      <c r="B2700" s="20"/>
      <c r="C2700" s="22"/>
      <c r="D2700" s="22"/>
      <c r="E2700" s="24"/>
      <c r="F2700" s="22"/>
      <c r="H2700" s="21">
        <v>46059</v>
      </c>
      <c r="I2700" s="22" t="s">
        <v>71</v>
      </c>
      <c r="J2700" s="22" t="s">
        <v>49</v>
      </c>
      <c r="K2700" s="24">
        <v>8</v>
      </c>
      <c r="M2700" s="21"/>
      <c r="N2700" s="22"/>
      <c r="O2700" s="22"/>
      <c r="P2700" s="49"/>
      <c r="Q2700" s="49"/>
      <c r="R2700" s="188" t="str">
        <f t="shared" si="88"/>
        <v/>
      </c>
      <c r="T2700" s="21">
        <v>46114</v>
      </c>
      <c r="U2700" s="22" t="s">
        <v>53</v>
      </c>
      <c r="V2700" s="24">
        <v>4</v>
      </c>
      <c r="W2700" s="24">
        <v>4</v>
      </c>
      <c r="X2700" s="24">
        <v>3</v>
      </c>
      <c r="Y2700" s="24">
        <v>5</v>
      </c>
      <c r="Z2700" s="20">
        <f t="shared" si="89"/>
        <v>16</v>
      </c>
    </row>
    <row r="2701" spans="1:26" x14ac:dyDescent="0.2">
      <c r="A2701" s="21"/>
      <c r="B2701" s="20"/>
      <c r="C2701" s="22"/>
      <c r="D2701" s="22"/>
      <c r="E2701" s="24"/>
      <c r="F2701" s="22"/>
      <c r="H2701" s="21">
        <v>46059</v>
      </c>
      <c r="I2701" s="22" t="s">
        <v>71</v>
      </c>
      <c r="J2701" s="22" t="s">
        <v>50</v>
      </c>
      <c r="K2701" s="24">
        <v>10</v>
      </c>
      <c r="M2701" s="21"/>
      <c r="N2701" s="22"/>
      <c r="O2701" s="22"/>
      <c r="P2701" s="49"/>
      <c r="Q2701" s="49"/>
      <c r="R2701" s="188" t="str">
        <f t="shared" si="88"/>
        <v/>
      </c>
      <c r="T2701" s="21">
        <v>46114</v>
      </c>
      <c r="U2701" s="22" t="s">
        <v>54</v>
      </c>
      <c r="V2701" s="24">
        <v>2</v>
      </c>
      <c r="W2701" s="24">
        <v>2</v>
      </c>
      <c r="X2701" s="24">
        <v>2</v>
      </c>
      <c r="Y2701" s="24">
        <v>4</v>
      </c>
      <c r="Z2701" s="20">
        <f t="shared" si="89"/>
        <v>10</v>
      </c>
    </row>
    <row r="2702" spans="1:26" x14ac:dyDescent="0.2">
      <c r="A2702" s="21"/>
      <c r="B2702" s="20"/>
      <c r="C2702" s="22"/>
      <c r="D2702" s="22"/>
      <c r="E2702" s="24"/>
      <c r="F2702" s="22"/>
      <c r="H2702" s="21">
        <v>46059</v>
      </c>
      <c r="I2702" s="22" t="s">
        <v>71</v>
      </c>
      <c r="J2702" s="22" t="s">
        <v>51</v>
      </c>
      <c r="K2702" s="24">
        <v>8</v>
      </c>
      <c r="M2702" s="21"/>
      <c r="N2702" s="22"/>
      <c r="O2702" s="22"/>
      <c r="P2702" s="49"/>
      <c r="Q2702" s="49"/>
      <c r="R2702" s="188" t="str">
        <f t="shared" si="88"/>
        <v/>
      </c>
      <c r="T2702" s="21">
        <v>46114</v>
      </c>
      <c r="U2702" s="22" t="s">
        <v>55</v>
      </c>
      <c r="V2702" s="24">
        <v>4</v>
      </c>
      <c r="W2702" s="24">
        <v>4</v>
      </c>
      <c r="X2702" s="24">
        <v>3</v>
      </c>
      <c r="Y2702" s="24">
        <v>4</v>
      </c>
      <c r="Z2702" s="20">
        <f t="shared" si="89"/>
        <v>15</v>
      </c>
    </row>
    <row r="2703" spans="1:26" x14ac:dyDescent="0.2">
      <c r="A2703" s="21"/>
      <c r="B2703" s="20"/>
      <c r="C2703" s="22"/>
      <c r="D2703" s="22"/>
      <c r="E2703" s="24"/>
      <c r="F2703" s="22"/>
      <c r="H2703" s="21">
        <v>46059</v>
      </c>
      <c r="I2703" s="22" t="s">
        <v>71</v>
      </c>
      <c r="J2703" s="22" t="s">
        <v>46</v>
      </c>
      <c r="K2703" s="24">
        <v>9</v>
      </c>
      <c r="M2703" s="21"/>
      <c r="N2703" s="22"/>
      <c r="O2703" s="22"/>
      <c r="P2703" s="49"/>
      <c r="Q2703" s="49"/>
      <c r="R2703" s="188" t="str">
        <f t="shared" si="88"/>
        <v/>
      </c>
      <c r="T2703" s="21">
        <v>46114</v>
      </c>
      <c r="U2703" s="22" t="s">
        <v>57</v>
      </c>
      <c r="V2703" s="24">
        <v>4</v>
      </c>
      <c r="W2703" s="24">
        <v>4</v>
      </c>
      <c r="X2703" s="24">
        <v>4</v>
      </c>
      <c r="Y2703" s="24">
        <v>4</v>
      </c>
      <c r="Z2703" s="20">
        <f t="shared" si="89"/>
        <v>16</v>
      </c>
    </row>
    <row r="2704" spans="1:26" x14ac:dyDescent="0.2">
      <c r="A2704" s="21"/>
      <c r="B2704" s="20"/>
      <c r="C2704" s="22"/>
      <c r="D2704" s="22"/>
      <c r="E2704" s="24"/>
      <c r="F2704" s="22"/>
      <c r="H2704" s="21">
        <v>46059</v>
      </c>
      <c r="I2704" s="22" t="s">
        <v>71</v>
      </c>
      <c r="J2704" s="22" t="s">
        <v>48</v>
      </c>
      <c r="K2704" s="24" t="s">
        <v>64</v>
      </c>
      <c r="M2704" s="21"/>
      <c r="N2704" s="22"/>
      <c r="O2704" s="22"/>
      <c r="P2704" s="49"/>
      <c r="Q2704" s="49"/>
      <c r="R2704" s="188" t="str">
        <f t="shared" si="88"/>
        <v/>
      </c>
      <c r="T2704" s="21">
        <v>46114</v>
      </c>
      <c r="U2704" s="22" t="s">
        <v>58</v>
      </c>
      <c r="V2704" s="24">
        <v>4</v>
      </c>
      <c r="W2704" s="24">
        <v>4</v>
      </c>
      <c r="X2704" s="24">
        <v>4</v>
      </c>
      <c r="Y2704" s="24">
        <v>4</v>
      </c>
      <c r="Z2704" s="20">
        <f t="shared" si="89"/>
        <v>16</v>
      </c>
    </row>
    <row r="2705" spans="1:26" x14ac:dyDescent="0.2">
      <c r="A2705" s="21"/>
      <c r="B2705" s="20"/>
      <c r="C2705" s="22"/>
      <c r="D2705" s="22"/>
      <c r="E2705" s="24"/>
      <c r="F2705" s="22"/>
      <c r="H2705" s="21">
        <v>46059</v>
      </c>
      <c r="I2705" s="22" t="s">
        <v>71</v>
      </c>
      <c r="J2705" s="22" t="s">
        <v>56</v>
      </c>
      <c r="K2705" s="24">
        <v>7</v>
      </c>
      <c r="M2705" s="21"/>
      <c r="N2705" s="22"/>
      <c r="O2705" s="22"/>
      <c r="P2705" s="49"/>
      <c r="Q2705" s="49"/>
      <c r="R2705" s="188" t="str">
        <f t="shared" si="88"/>
        <v/>
      </c>
      <c r="T2705" s="21">
        <v>46114</v>
      </c>
      <c r="U2705" s="22" t="s">
        <v>33</v>
      </c>
      <c r="V2705" s="24">
        <v>3.8666666666666698</v>
      </c>
      <c r="W2705" s="24">
        <v>3.5333333333333301</v>
      </c>
      <c r="X2705" s="24">
        <v>3.5333333333333301</v>
      </c>
      <c r="Y2705" s="24">
        <v>4</v>
      </c>
      <c r="Z2705" s="20">
        <f t="shared" si="89"/>
        <v>14.93333333333333</v>
      </c>
    </row>
    <row r="2706" spans="1:26" x14ac:dyDescent="0.2">
      <c r="A2706" s="21"/>
      <c r="B2706" s="20"/>
      <c r="C2706" s="22"/>
      <c r="D2706" s="22"/>
      <c r="E2706" s="24"/>
      <c r="F2706" s="22"/>
      <c r="H2706" s="21">
        <v>46061</v>
      </c>
      <c r="I2706" s="22" t="s">
        <v>70</v>
      </c>
      <c r="J2706" s="22" t="s">
        <v>52</v>
      </c>
      <c r="K2706" s="24">
        <v>6</v>
      </c>
      <c r="M2706" s="21"/>
      <c r="N2706" s="22"/>
      <c r="O2706" s="22"/>
      <c r="P2706" s="49"/>
      <c r="Q2706" s="49"/>
      <c r="R2706" s="188" t="str">
        <f t="shared" si="88"/>
        <v/>
      </c>
      <c r="T2706" s="21">
        <v>46115</v>
      </c>
      <c r="U2706" s="22" t="s">
        <v>41</v>
      </c>
      <c r="V2706" s="24">
        <v>1</v>
      </c>
      <c r="W2706" s="24">
        <v>1</v>
      </c>
      <c r="X2706" s="24">
        <v>1</v>
      </c>
      <c r="Y2706" s="24">
        <v>1</v>
      </c>
      <c r="Z2706" s="20">
        <f t="shared" si="89"/>
        <v>4</v>
      </c>
    </row>
    <row r="2707" spans="1:26" x14ac:dyDescent="0.2">
      <c r="A2707" s="21"/>
      <c r="B2707" s="20"/>
      <c r="C2707" s="22"/>
      <c r="D2707" s="22"/>
      <c r="E2707" s="24"/>
      <c r="F2707" s="22"/>
      <c r="H2707" s="21">
        <v>46061</v>
      </c>
      <c r="I2707" s="22" t="s">
        <v>70</v>
      </c>
      <c r="J2707" s="22" t="s">
        <v>53</v>
      </c>
      <c r="K2707" s="24">
        <v>7</v>
      </c>
      <c r="M2707" s="21"/>
      <c r="N2707" s="22"/>
      <c r="O2707" s="22"/>
      <c r="P2707" s="49"/>
      <c r="Q2707" s="49"/>
      <c r="R2707" s="188" t="str">
        <f t="shared" si="88"/>
        <v/>
      </c>
      <c r="T2707" s="21">
        <v>46115</v>
      </c>
      <c r="U2707" s="22" t="s">
        <v>42</v>
      </c>
      <c r="V2707" s="24">
        <v>4</v>
      </c>
      <c r="W2707" s="24">
        <v>4</v>
      </c>
      <c r="X2707" s="24">
        <v>4</v>
      </c>
      <c r="Y2707" s="24">
        <v>4</v>
      </c>
      <c r="Z2707" s="20">
        <f t="shared" si="89"/>
        <v>16</v>
      </c>
    </row>
    <row r="2708" spans="1:26" x14ac:dyDescent="0.2">
      <c r="A2708" s="21"/>
      <c r="B2708" s="20"/>
      <c r="C2708" s="22"/>
      <c r="D2708" s="22"/>
      <c r="E2708" s="24"/>
      <c r="F2708" s="22"/>
      <c r="H2708" s="21">
        <v>46061</v>
      </c>
      <c r="I2708" s="22" t="s">
        <v>70</v>
      </c>
      <c r="J2708" s="22" t="s">
        <v>44</v>
      </c>
      <c r="K2708" s="24" t="s">
        <v>64</v>
      </c>
      <c r="M2708" s="21"/>
      <c r="N2708" s="22"/>
      <c r="O2708" s="22"/>
      <c r="P2708" s="49"/>
      <c r="Q2708" s="49"/>
      <c r="R2708" s="188" t="str">
        <f t="shared" si="88"/>
        <v/>
      </c>
      <c r="T2708" s="21">
        <v>46115</v>
      </c>
      <c r="U2708" s="22" t="s">
        <v>44</v>
      </c>
      <c r="V2708" s="24">
        <v>5</v>
      </c>
      <c r="W2708" s="24">
        <v>4</v>
      </c>
      <c r="X2708" s="24">
        <v>4</v>
      </c>
      <c r="Y2708" s="24">
        <v>4</v>
      </c>
      <c r="Z2708" s="20">
        <f t="shared" si="89"/>
        <v>17</v>
      </c>
    </row>
    <row r="2709" spans="1:26" x14ac:dyDescent="0.2">
      <c r="A2709" s="21"/>
      <c r="B2709" s="20"/>
      <c r="C2709" s="22"/>
      <c r="D2709" s="22"/>
      <c r="E2709" s="24"/>
      <c r="F2709" s="22"/>
      <c r="H2709" s="21">
        <v>46061</v>
      </c>
      <c r="I2709" s="22" t="s">
        <v>70</v>
      </c>
      <c r="J2709" s="22" t="s">
        <v>45</v>
      </c>
      <c r="K2709" s="24">
        <v>8</v>
      </c>
      <c r="M2709" s="21"/>
      <c r="N2709" s="22"/>
      <c r="O2709" s="22"/>
      <c r="P2709" s="49"/>
      <c r="Q2709" s="49"/>
      <c r="R2709" s="188" t="str">
        <f t="shared" si="88"/>
        <v/>
      </c>
      <c r="T2709" s="21">
        <v>46115</v>
      </c>
      <c r="U2709" s="22" t="s">
        <v>45</v>
      </c>
      <c r="V2709" s="24">
        <v>4</v>
      </c>
      <c r="W2709" s="24">
        <v>4</v>
      </c>
      <c r="X2709" s="24">
        <v>4</v>
      </c>
      <c r="Y2709" s="24">
        <v>5</v>
      </c>
      <c r="Z2709" s="20">
        <f t="shared" si="89"/>
        <v>17</v>
      </c>
    </row>
    <row r="2710" spans="1:26" x14ac:dyDescent="0.2">
      <c r="A2710" s="21"/>
      <c r="B2710" s="20"/>
      <c r="C2710" s="22"/>
      <c r="D2710" s="22"/>
      <c r="E2710" s="24"/>
      <c r="F2710" s="22"/>
      <c r="H2710" s="21">
        <v>46061</v>
      </c>
      <c r="I2710" s="22" t="s">
        <v>70</v>
      </c>
      <c r="J2710" s="22" t="s">
        <v>57</v>
      </c>
      <c r="K2710" s="24">
        <v>7</v>
      </c>
      <c r="M2710" s="21"/>
      <c r="N2710" s="22"/>
      <c r="O2710" s="22"/>
      <c r="P2710" s="49"/>
      <c r="Q2710" s="49"/>
      <c r="R2710" s="188" t="str">
        <f t="shared" ref="R2710:R2773" si="90">IF(OR(P2710="",Q2710=""),"",IFERROR(P2710-Q2710,""))</f>
        <v/>
      </c>
      <c r="T2710" s="21">
        <v>46115</v>
      </c>
      <c r="U2710" s="22" t="s">
        <v>46</v>
      </c>
      <c r="V2710" s="24">
        <v>5</v>
      </c>
      <c r="W2710" s="24">
        <v>5</v>
      </c>
      <c r="X2710" s="24">
        <v>5</v>
      </c>
      <c r="Y2710" s="24">
        <v>5</v>
      </c>
      <c r="Z2710" s="20">
        <f t="shared" si="89"/>
        <v>20</v>
      </c>
    </row>
    <row r="2711" spans="1:26" x14ac:dyDescent="0.2">
      <c r="A2711" s="21"/>
      <c r="B2711" s="20"/>
      <c r="C2711" s="22"/>
      <c r="D2711" s="22"/>
      <c r="E2711" s="24"/>
      <c r="F2711" s="22"/>
      <c r="H2711" s="21">
        <v>46061</v>
      </c>
      <c r="I2711" s="22" t="s">
        <v>70</v>
      </c>
      <c r="J2711" s="22" t="s">
        <v>42</v>
      </c>
      <c r="K2711" s="24">
        <v>2</v>
      </c>
      <c r="M2711" s="21"/>
      <c r="N2711" s="22"/>
      <c r="O2711" s="22"/>
      <c r="P2711" s="49"/>
      <c r="Q2711" s="49"/>
      <c r="R2711" s="188" t="str">
        <f t="shared" si="90"/>
        <v/>
      </c>
      <c r="T2711" s="21">
        <v>46115</v>
      </c>
      <c r="U2711" s="22" t="s">
        <v>47</v>
      </c>
      <c r="V2711" s="24">
        <v>4</v>
      </c>
      <c r="W2711" s="24">
        <v>4</v>
      </c>
      <c r="X2711" s="24">
        <v>5</v>
      </c>
      <c r="Y2711" s="24">
        <v>5</v>
      </c>
      <c r="Z2711" s="20">
        <f t="shared" si="89"/>
        <v>18</v>
      </c>
    </row>
    <row r="2712" spans="1:26" x14ac:dyDescent="0.2">
      <c r="A2712" s="21"/>
      <c r="B2712" s="20"/>
      <c r="C2712" s="22"/>
      <c r="D2712" s="22"/>
      <c r="E2712" s="24"/>
      <c r="F2712" s="22"/>
      <c r="H2712" s="21">
        <v>46061</v>
      </c>
      <c r="I2712" s="22" t="s">
        <v>70</v>
      </c>
      <c r="J2712" s="22" t="s">
        <v>54</v>
      </c>
      <c r="K2712" s="24">
        <v>8</v>
      </c>
      <c r="M2712" s="21"/>
      <c r="N2712" s="22"/>
      <c r="O2712" s="22"/>
      <c r="P2712" s="49"/>
      <c r="Q2712" s="49"/>
      <c r="R2712" s="188" t="str">
        <f t="shared" si="90"/>
        <v/>
      </c>
      <c r="T2712" s="21">
        <v>46115</v>
      </c>
      <c r="U2712" s="22" t="s">
        <v>49</v>
      </c>
      <c r="V2712" s="24">
        <v>3</v>
      </c>
      <c r="W2712" s="24">
        <v>4</v>
      </c>
      <c r="X2712" s="24">
        <v>4</v>
      </c>
      <c r="Y2712" s="24">
        <v>4</v>
      </c>
      <c r="Z2712" s="20">
        <f t="shared" si="89"/>
        <v>15</v>
      </c>
    </row>
    <row r="2713" spans="1:26" x14ac:dyDescent="0.2">
      <c r="A2713" s="21"/>
      <c r="B2713" s="20"/>
      <c r="C2713" s="22"/>
      <c r="D2713" s="22"/>
      <c r="E2713" s="24"/>
      <c r="F2713" s="22"/>
      <c r="H2713" s="21">
        <v>46061</v>
      </c>
      <c r="I2713" s="22" t="s">
        <v>70</v>
      </c>
      <c r="J2713" s="22" t="s">
        <v>47</v>
      </c>
      <c r="K2713" s="24">
        <v>8</v>
      </c>
      <c r="M2713" s="21"/>
      <c r="N2713" s="22"/>
      <c r="O2713" s="22"/>
      <c r="P2713" s="49"/>
      <c r="Q2713" s="49"/>
      <c r="R2713" s="188" t="str">
        <f t="shared" si="90"/>
        <v/>
      </c>
      <c r="T2713" s="21">
        <v>46115</v>
      </c>
      <c r="U2713" s="22" t="s">
        <v>50</v>
      </c>
      <c r="V2713" s="24">
        <v>3</v>
      </c>
      <c r="W2713" s="24">
        <v>3</v>
      </c>
      <c r="X2713" s="24">
        <v>3</v>
      </c>
      <c r="Y2713" s="24">
        <v>4</v>
      </c>
      <c r="Z2713" s="20">
        <f t="shared" si="89"/>
        <v>13</v>
      </c>
    </row>
    <row r="2714" spans="1:26" x14ac:dyDescent="0.2">
      <c r="A2714" s="21"/>
      <c r="B2714" s="20"/>
      <c r="C2714" s="22"/>
      <c r="D2714" s="22"/>
      <c r="E2714" s="24"/>
      <c r="F2714" s="22"/>
      <c r="H2714" s="21">
        <v>46061</v>
      </c>
      <c r="I2714" s="22" t="s">
        <v>70</v>
      </c>
      <c r="J2714" s="22" t="s">
        <v>41</v>
      </c>
      <c r="K2714" s="24">
        <v>2</v>
      </c>
      <c r="M2714" s="21"/>
      <c r="N2714" s="22"/>
      <c r="O2714" s="22"/>
      <c r="P2714" s="49"/>
      <c r="Q2714" s="49"/>
      <c r="R2714" s="188" t="str">
        <f t="shared" si="90"/>
        <v/>
      </c>
      <c r="T2714" s="21">
        <v>46115</v>
      </c>
      <c r="U2714" s="22" t="s">
        <v>51</v>
      </c>
      <c r="V2714" s="24">
        <v>4</v>
      </c>
      <c r="W2714" s="24">
        <v>4</v>
      </c>
      <c r="X2714" s="24">
        <v>4</v>
      </c>
      <c r="Y2714" s="24">
        <v>4</v>
      </c>
      <c r="Z2714" s="20">
        <f t="shared" si="89"/>
        <v>16</v>
      </c>
    </row>
    <row r="2715" spans="1:26" x14ac:dyDescent="0.2">
      <c r="A2715" s="21"/>
      <c r="B2715" s="20"/>
      <c r="C2715" s="22"/>
      <c r="D2715" s="22"/>
      <c r="E2715" s="24"/>
      <c r="F2715" s="22"/>
      <c r="H2715" s="21">
        <v>46061</v>
      </c>
      <c r="I2715" s="22" t="s">
        <v>70</v>
      </c>
      <c r="J2715" s="22" t="s">
        <v>58</v>
      </c>
      <c r="K2715" s="24">
        <v>8</v>
      </c>
      <c r="M2715" s="21"/>
      <c r="N2715" s="22"/>
      <c r="O2715" s="22"/>
      <c r="P2715" s="49"/>
      <c r="Q2715" s="49"/>
      <c r="R2715" s="188" t="str">
        <f t="shared" si="90"/>
        <v/>
      </c>
      <c r="T2715" s="21">
        <v>46115</v>
      </c>
      <c r="U2715" s="22" t="s">
        <v>52</v>
      </c>
      <c r="V2715" s="24">
        <v>4</v>
      </c>
      <c r="W2715" s="24">
        <v>4</v>
      </c>
      <c r="X2715" s="24">
        <v>4</v>
      </c>
      <c r="Y2715" s="24">
        <v>4</v>
      </c>
      <c r="Z2715" s="20">
        <f t="shared" si="89"/>
        <v>16</v>
      </c>
    </row>
    <row r="2716" spans="1:26" x14ac:dyDescent="0.2">
      <c r="A2716" s="21"/>
      <c r="B2716" s="20"/>
      <c r="C2716" s="22"/>
      <c r="D2716" s="22"/>
      <c r="E2716" s="24"/>
      <c r="F2716" s="22"/>
      <c r="H2716" s="21">
        <v>46061</v>
      </c>
      <c r="I2716" s="22" t="s">
        <v>70</v>
      </c>
      <c r="J2716" s="22" t="s">
        <v>49</v>
      </c>
      <c r="K2716" s="24">
        <v>8</v>
      </c>
      <c r="M2716" s="21"/>
      <c r="N2716" s="22"/>
      <c r="O2716" s="22"/>
      <c r="P2716" s="49"/>
      <c r="Q2716" s="49"/>
      <c r="R2716" s="188" t="str">
        <f t="shared" si="90"/>
        <v/>
      </c>
      <c r="T2716" s="21">
        <v>46115</v>
      </c>
      <c r="U2716" s="22" t="s">
        <v>53</v>
      </c>
      <c r="V2716" s="24">
        <v>4</v>
      </c>
      <c r="W2716" s="24">
        <v>4</v>
      </c>
      <c r="X2716" s="24">
        <v>3</v>
      </c>
      <c r="Y2716" s="24">
        <v>5</v>
      </c>
      <c r="Z2716" s="20">
        <f t="shared" si="89"/>
        <v>16</v>
      </c>
    </row>
    <row r="2717" spans="1:26" x14ac:dyDescent="0.2">
      <c r="A2717" s="21"/>
      <c r="B2717" s="20"/>
      <c r="C2717" s="22"/>
      <c r="D2717" s="22"/>
      <c r="E2717" s="24"/>
      <c r="F2717" s="22"/>
      <c r="H2717" s="21">
        <v>46061</v>
      </c>
      <c r="I2717" s="22" t="s">
        <v>70</v>
      </c>
      <c r="J2717" s="22" t="s">
        <v>50</v>
      </c>
      <c r="K2717" s="24">
        <v>8</v>
      </c>
      <c r="M2717" s="21"/>
      <c r="N2717" s="22"/>
      <c r="O2717" s="22"/>
      <c r="P2717" s="49"/>
      <c r="Q2717" s="49"/>
      <c r="R2717" s="188" t="str">
        <f t="shared" si="90"/>
        <v/>
      </c>
      <c r="T2717" s="21">
        <v>46115</v>
      </c>
      <c r="U2717" s="22" t="s">
        <v>55</v>
      </c>
      <c r="V2717" s="24">
        <v>4</v>
      </c>
      <c r="W2717" s="24">
        <v>4</v>
      </c>
      <c r="X2717" s="24">
        <v>3</v>
      </c>
      <c r="Y2717" s="24">
        <v>4</v>
      </c>
      <c r="Z2717" s="20">
        <f t="shared" si="89"/>
        <v>15</v>
      </c>
    </row>
    <row r="2718" spans="1:26" x14ac:dyDescent="0.2">
      <c r="A2718" s="21"/>
      <c r="B2718" s="20"/>
      <c r="C2718" s="22"/>
      <c r="D2718" s="22"/>
      <c r="E2718" s="24"/>
      <c r="F2718" s="22"/>
      <c r="H2718" s="21">
        <v>46061</v>
      </c>
      <c r="I2718" s="22" t="s">
        <v>70</v>
      </c>
      <c r="J2718" s="22" t="s">
        <v>51</v>
      </c>
      <c r="K2718" s="24">
        <v>8</v>
      </c>
      <c r="M2718" s="21"/>
      <c r="N2718" s="22"/>
      <c r="O2718" s="22"/>
      <c r="P2718" s="49"/>
      <c r="Q2718" s="49"/>
      <c r="R2718" s="188" t="str">
        <f t="shared" si="90"/>
        <v/>
      </c>
      <c r="T2718" s="21">
        <v>46115</v>
      </c>
      <c r="U2718" s="22" t="s">
        <v>57</v>
      </c>
      <c r="V2718" s="24">
        <v>3</v>
      </c>
      <c r="W2718" s="24">
        <v>4</v>
      </c>
      <c r="X2718" s="24">
        <v>4</v>
      </c>
      <c r="Y2718" s="24">
        <v>4</v>
      </c>
      <c r="Z2718" s="20">
        <f t="shared" si="89"/>
        <v>15</v>
      </c>
    </row>
    <row r="2719" spans="1:26" x14ac:dyDescent="0.2">
      <c r="A2719" s="21"/>
      <c r="B2719" s="20"/>
      <c r="C2719" s="22"/>
      <c r="D2719" s="22"/>
      <c r="E2719" s="24"/>
      <c r="F2719" s="22"/>
      <c r="H2719" s="21">
        <v>46061</v>
      </c>
      <c r="I2719" s="22" t="s">
        <v>70</v>
      </c>
      <c r="J2719" s="22" t="s">
        <v>46</v>
      </c>
      <c r="K2719" s="24">
        <v>8</v>
      </c>
      <c r="M2719" s="21"/>
      <c r="N2719" s="22"/>
      <c r="O2719" s="22"/>
      <c r="P2719" s="49"/>
      <c r="Q2719" s="49"/>
      <c r="R2719" s="188" t="str">
        <f t="shared" si="90"/>
        <v/>
      </c>
      <c r="T2719" s="21">
        <v>46115</v>
      </c>
      <c r="U2719" s="22" t="s">
        <v>58</v>
      </c>
      <c r="V2719" s="24">
        <v>4</v>
      </c>
      <c r="W2719" s="24">
        <v>4</v>
      </c>
      <c r="X2719" s="24">
        <v>4</v>
      </c>
      <c r="Y2719" s="24">
        <v>4</v>
      </c>
      <c r="Z2719" s="20">
        <f t="shared" si="89"/>
        <v>16</v>
      </c>
    </row>
    <row r="2720" spans="1:26" x14ac:dyDescent="0.2">
      <c r="A2720" s="21"/>
      <c r="B2720" s="20"/>
      <c r="C2720" s="22"/>
      <c r="D2720" s="22"/>
      <c r="E2720" s="24"/>
      <c r="F2720" s="22"/>
      <c r="H2720" s="21">
        <v>46061</v>
      </c>
      <c r="I2720" s="22" t="s">
        <v>70</v>
      </c>
      <c r="J2720" s="22" t="s">
        <v>48</v>
      </c>
      <c r="K2720" s="24" t="s">
        <v>64</v>
      </c>
      <c r="M2720" s="21"/>
      <c r="N2720" s="22"/>
      <c r="O2720" s="22"/>
      <c r="P2720" s="49"/>
      <c r="Q2720" s="49"/>
      <c r="R2720" s="188" t="str">
        <f t="shared" si="90"/>
        <v/>
      </c>
      <c r="T2720" s="21">
        <v>46115</v>
      </c>
      <c r="U2720" s="22" t="s">
        <v>33</v>
      </c>
      <c r="V2720" s="24">
        <v>3.71428571428571</v>
      </c>
      <c r="W2720" s="24">
        <v>3.78571428571429</v>
      </c>
      <c r="X2720" s="24">
        <v>3.71428571428571</v>
      </c>
      <c r="Y2720" s="24">
        <v>4.0714285714285703</v>
      </c>
      <c r="Z2720" s="20">
        <f t="shared" si="89"/>
        <v>15.285714285714281</v>
      </c>
    </row>
    <row r="2721" spans="1:26" x14ac:dyDescent="0.2">
      <c r="A2721" s="21"/>
      <c r="B2721" s="20"/>
      <c r="C2721" s="22"/>
      <c r="D2721" s="22"/>
      <c r="E2721" s="24"/>
      <c r="F2721" s="22"/>
      <c r="H2721" s="21">
        <v>46061</v>
      </c>
      <c r="I2721" s="22" t="s">
        <v>70</v>
      </c>
      <c r="J2721" s="22" t="s">
        <v>56</v>
      </c>
      <c r="K2721" s="24">
        <v>8</v>
      </c>
      <c r="M2721" s="21"/>
      <c r="N2721" s="22"/>
      <c r="O2721" s="22"/>
      <c r="P2721" s="49"/>
      <c r="Q2721" s="49"/>
      <c r="R2721" s="188" t="str">
        <f t="shared" si="90"/>
        <v/>
      </c>
      <c r="T2721" s="21">
        <v>46116</v>
      </c>
      <c r="U2721" s="22" t="s">
        <v>41</v>
      </c>
      <c r="V2721" s="24">
        <v>1</v>
      </c>
      <c r="W2721" s="24">
        <v>1</v>
      </c>
      <c r="X2721" s="24">
        <v>1</v>
      </c>
      <c r="Y2721" s="24">
        <v>1</v>
      </c>
      <c r="Z2721" s="20">
        <f t="shared" si="89"/>
        <v>4</v>
      </c>
    </row>
    <row r="2722" spans="1:26" x14ac:dyDescent="0.2">
      <c r="A2722" s="21"/>
      <c r="B2722" s="20"/>
      <c r="C2722" s="22"/>
      <c r="D2722" s="22"/>
      <c r="E2722" s="24"/>
      <c r="F2722" s="22"/>
      <c r="H2722" s="21">
        <v>46062</v>
      </c>
      <c r="I2722" s="22" t="s">
        <v>70</v>
      </c>
      <c r="J2722" s="22" t="s">
        <v>52</v>
      </c>
      <c r="K2722" s="24">
        <v>7</v>
      </c>
      <c r="M2722" s="21"/>
      <c r="N2722" s="22"/>
      <c r="O2722" s="22"/>
      <c r="P2722" s="49"/>
      <c r="Q2722" s="49"/>
      <c r="R2722" s="188" t="str">
        <f t="shared" si="90"/>
        <v/>
      </c>
      <c r="T2722" s="21">
        <v>46116</v>
      </c>
      <c r="U2722" s="22" t="s">
        <v>42</v>
      </c>
      <c r="V2722" s="24">
        <v>4</v>
      </c>
      <c r="W2722" s="24">
        <v>4</v>
      </c>
      <c r="X2722" s="24">
        <v>4</v>
      </c>
      <c r="Y2722" s="24">
        <v>4</v>
      </c>
      <c r="Z2722" s="20">
        <f t="shared" si="89"/>
        <v>16</v>
      </c>
    </row>
    <row r="2723" spans="1:26" x14ac:dyDescent="0.2">
      <c r="A2723" s="21"/>
      <c r="B2723" s="20"/>
      <c r="C2723" s="22"/>
      <c r="D2723" s="22"/>
      <c r="E2723" s="24"/>
      <c r="F2723" s="22"/>
      <c r="H2723" s="21">
        <v>46062</v>
      </c>
      <c r="I2723" s="22" t="s">
        <v>70</v>
      </c>
      <c r="J2723" s="22" t="s">
        <v>53</v>
      </c>
      <c r="K2723" s="24">
        <v>7</v>
      </c>
      <c r="M2723" s="21"/>
      <c r="N2723" s="22"/>
      <c r="O2723" s="22"/>
      <c r="P2723" s="49"/>
      <c r="Q2723" s="49"/>
      <c r="R2723" s="188" t="str">
        <f t="shared" si="90"/>
        <v/>
      </c>
      <c r="T2723" s="21">
        <v>46116</v>
      </c>
      <c r="U2723" s="22" t="s">
        <v>44</v>
      </c>
      <c r="V2723" s="24">
        <v>5</v>
      </c>
      <c r="W2723" s="24">
        <v>4</v>
      </c>
      <c r="X2723" s="24">
        <v>4</v>
      </c>
      <c r="Y2723" s="24">
        <v>5</v>
      </c>
      <c r="Z2723" s="20">
        <f t="shared" si="89"/>
        <v>18</v>
      </c>
    </row>
    <row r="2724" spans="1:26" x14ac:dyDescent="0.2">
      <c r="A2724" s="21"/>
      <c r="B2724" s="20"/>
      <c r="C2724" s="22"/>
      <c r="D2724" s="22"/>
      <c r="E2724" s="24"/>
      <c r="F2724" s="22"/>
      <c r="H2724" s="21">
        <v>46062</v>
      </c>
      <c r="I2724" s="22" t="s">
        <v>70</v>
      </c>
      <c r="J2724" s="22" t="s">
        <v>44</v>
      </c>
      <c r="K2724" s="24" t="s">
        <v>64</v>
      </c>
      <c r="M2724" s="21"/>
      <c r="N2724" s="22"/>
      <c r="O2724" s="22"/>
      <c r="P2724" s="49"/>
      <c r="Q2724" s="49"/>
      <c r="R2724" s="188" t="str">
        <f t="shared" si="90"/>
        <v/>
      </c>
      <c r="T2724" s="21">
        <v>46116</v>
      </c>
      <c r="U2724" s="22" t="s">
        <v>45</v>
      </c>
      <c r="V2724" s="24">
        <v>4</v>
      </c>
      <c r="W2724" s="24">
        <v>4</v>
      </c>
      <c r="X2724" s="24">
        <v>4</v>
      </c>
      <c r="Y2724" s="24">
        <v>5</v>
      </c>
      <c r="Z2724" s="20">
        <f t="shared" si="89"/>
        <v>17</v>
      </c>
    </row>
    <row r="2725" spans="1:26" x14ac:dyDescent="0.2">
      <c r="A2725" s="21"/>
      <c r="B2725" s="20"/>
      <c r="C2725" s="22"/>
      <c r="D2725" s="22"/>
      <c r="E2725" s="24"/>
      <c r="F2725" s="22"/>
      <c r="H2725" s="21">
        <v>46062</v>
      </c>
      <c r="I2725" s="22" t="s">
        <v>70</v>
      </c>
      <c r="J2725" s="22" t="s">
        <v>45</v>
      </c>
      <c r="K2725" s="24">
        <v>7</v>
      </c>
      <c r="M2725" s="21"/>
      <c r="N2725" s="22"/>
      <c r="O2725" s="22"/>
      <c r="P2725" s="49"/>
      <c r="Q2725" s="49"/>
      <c r="R2725" s="188" t="str">
        <f t="shared" si="90"/>
        <v/>
      </c>
      <c r="T2725" s="21">
        <v>46116</v>
      </c>
      <c r="U2725" s="22" t="s">
        <v>46</v>
      </c>
      <c r="V2725" s="24">
        <v>5</v>
      </c>
      <c r="W2725" s="24">
        <v>5</v>
      </c>
      <c r="X2725" s="24">
        <v>5</v>
      </c>
      <c r="Y2725" s="24">
        <v>5</v>
      </c>
      <c r="Z2725" s="20">
        <f t="shared" si="89"/>
        <v>20</v>
      </c>
    </row>
    <row r="2726" spans="1:26" x14ac:dyDescent="0.2">
      <c r="A2726" s="21"/>
      <c r="B2726" s="20"/>
      <c r="C2726" s="22"/>
      <c r="D2726" s="22"/>
      <c r="E2726" s="24"/>
      <c r="F2726" s="22"/>
      <c r="H2726" s="21">
        <v>46062</v>
      </c>
      <c r="I2726" s="22" t="s">
        <v>70</v>
      </c>
      <c r="J2726" s="22" t="s">
        <v>57</v>
      </c>
      <c r="K2726" s="24">
        <v>8</v>
      </c>
      <c r="M2726" s="21"/>
      <c r="N2726" s="22"/>
      <c r="O2726" s="22"/>
      <c r="P2726" s="49"/>
      <c r="Q2726" s="49"/>
      <c r="R2726" s="188" t="str">
        <f t="shared" si="90"/>
        <v/>
      </c>
      <c r="T2726" s="21">
        <v>46116</v>
      </c>
      <c r="U2726" s="22" t="s">
        <v>47</v>
      </c>
      <c r="V2726" s="24">
        <v>5</v>
      </c>
      <c r="W2726" s="24">
        <v>5</v>
      </c>
      <c r="X2726" s="24">
        <v>5</v>
      </c>
      <c r="Y2726" s="24">
        <v>5</v>
      </c>
      <c r="Z2726" s="20">
        <f t="shared" si="89"/>
        <v>20</v>
      </c>
    </row>
    <row r="2727" spans="1:26" x14ac:dyDescent="0.2">
      <c r="A2727" s="21"/>
      <c r="B2727" s="20"/>
      <c r="C2727" s="22"/>
      <c r="D2727" s="22"/>
      <c r="E2727" s="24"/>
      <c r="F2727" s="22"/>
      <c r="H2727" s="21">
        <v>46062</v>
      </c>
      <c r="I2727" s="22" t="s">
        <v>70</v>
      </c>
      <c r="J2727" s="22" t="s">
        <v>42</v>
      </c>
      <c r="K2727" s="24">
        <v>5</v>
      </c>
      <c r="M2727" s="21"/>
      <c r="N2727" s="22"/>
      <c r="O2727" s="22"/>
      <c r="P2727" s="49"/>
      <c r="Q2727" s="49"/>
      <c r="R2727" s="188" t="str">
        <f t="shared" si="90"/>
        <v/>
      </c>
      <c r="T2727" s="21">
        <v>46116</v>
      </c>
      <c r="U2727" s="22" t="s">
        <v>49</v>
      </c>
      <c r="V2727" s="24">
        <v>5</v>
      </c>
      <c r="W2727" s="24">
        <v>4</v>
      </c>
      <c r="X2727" s="24">
        <v>4</v>
      </c>
      <c r="Y2727" s="24">
        <v>4</v>
      </c>
      <c r="Z2727" s="20">
        <f t="shared" si="89"/>
        <v>17</v>
      </c>
    </row>
    <row r="2728" spans="1:26" x14ac:dyDescent="0.2">
      <c r="A2728" s="21"/>
      <c r="B2728" s="20"/>
      <c r="C2728" s="22"/>
      <c r="D2728" s="22"/>
      <c r="E2728" s="24"/>
      <c r="F2728" s="22"/>
      <c r="H2728" s="21">
        <v>46062</v>
      </c>
      <c r="I2728" s="22" t="s">
        <v>70</v>
      </c>
      <c r="J2728" s="22" t="s">
        <v>54</v>
      </c>
      <c r="K2728" s="24">
        <v>7</v>
      </c>
      <c r="M2728" s="21"/>
      <c r="N2728" s="22"/>
      <c r="O2728" s="22"/>
      <c r="P2728" s="49"/>
      <c r="Q2728" s="49"/>
      <c r="R2728" s="188" t="str">
        <f t="shared" si="90"/>
        <v/>
      </c>
      <c r="T2728" s="21">
        <v>46116</v>
      </c>
      <c r="U2728" s="22" t="s">
        <v>50</v>
      </c>
      <c r="V2728" s="24">
        <v>3</v>
      </c>
      <c r="W2728" s="24">
        <v>3</v>
      </c>
      <c r="X2728" s="24">
        <v>4</v>
      </c>
      <c r="Y2728" s="24">
        <v>4</v>
      </c>
      <c r="Z2728" s="20">
        <f t="shared" si="89"/>
        <v>14</v>
      </c>
    </row>
    <row r="2729" spans="1:26" x14ac:dyDescent="0.2">
      <c r="A2729" s="21"/>
      <c r="B2729" s="20"/>
      <c r="C2729" s="22"/>
      <c r="D2729" s="22"/>
      <c r="E2729" s="24"/>
      <c r="F2729" s="22"/>
      <c r="H2729" s="21">
        <v>46062</v>
      </c>
      <c r="I2729" s="22" t="s">
        <v>70</v>
      </c>
      <c r="J2729" s="22" t="s">
        <v>47</v>
      </c>
      <c r="K2729" s="24">
        <v>8</v>
      </c>
      <c r="M2729" s="21"/>
      <c r="N2729" s="22"/>
      <c r="O2729" s="22"/>
      <c r="P2729" s="49"/>
      <c r="Q2729" s="49"/>
      <c r="R2729" s="188" t="str">
        <f t="shared" si="90"/>
        <v/>
      </c>
      <c r="T2729" s="21">
        <v>46116</v>
      </c>
      <c r="U2729" s="22" t="s">
        <v>51</v>
      </c>
      <c r="V2729" s="24">
        <v>4</v>
      </c>
      <c r="W2729" s="24">
        <v>4</v>
      </c>
      <c r="X2729" s="24">
        <v>4</v>
      </c>
      <c r="Y2729" s="24">
        <v>5</v>
      </c>
      <c r="Z2729" s="20">
        <f t="shared" si="89"/>
        <v>17</v>
      </c>
    </row>
    <row r="2730" spans="1:26" x14ac:dyDescent="0.2">
      <c r="A2730" s="21"/>
      <c r="B2730" s="20"/>
      <c r="C2730" s="22"/>
      <c r="D2730" s="22"/>
      <c r="E2730" s="24"/>
      <c r="F2730" s="22"/>
      <c r="H2730" s="21">
        <v>46062</v>
      </c>
      <c r="I2730" s="22" t="s">
        <v>70</v>
      </c>
      <c r="J2730" s="22" t="s">
        <v>41</v>
      </c>
      <c r="K2730" s="24">
        <v>4</v>
      </c>
      <c r="M2730" s="21"/>
      <c r="N2730" s="22"/>
      <c r="O2730" s="22"/>
      <c r="P2730" s="49"/>
      <c r="Q2730" s="49"/>
      <c r="R2730" s="188" t="str">
        <f t="shared" si="90"/>
        <v/>
      </c>
      <c r="T2730" s="21">
        <v>46116</v>
      </c>
      <c r="U2730" s="22" t="s">
        <v>52</v>
      </c>
      <c r="V2730" s="24">
        <v>4</v>
      </c>
      <c r="W2730" s="24">
        <v>4</v>
      </c>
      <c r="X2730" s="24">
        <v>4</v>
      </c>
      <c r="Y2730" s="24">
        <v>4</v>
      </c>
      <c r="Z2730" s="20">
        <f t="shared" si="89"/>
        <v>16</v>
      </c>
    </row>
    <row r="2731" spans="1:26" x14ac:dyDescent="0.2">
      <c r="A2731" s="21"/>
      <c r="B2731" s="20"/>
      <c r="C2731" s="22"/>
      <c r="D2731" s="22"/>
      <c r="E2731" s="24"/>
      <c r="F2731" s="22"/>
      <c r="H2731" s="21">
        <v>46062</v>
      </c>
      <c r="I2731" s="22" t="s">
        <v>70</v>
      </c>
      <c r="J2731" s="22" t="s">
        <v>58</v>
      </c>
      <c r="K2731" s="24">
        <v>7</v>
      </c>
      <c r="M2731" s="21"/>
      <c r="N2731" s="22"/>
      <c r="O2731" s="22"/>
      <c r="P2731" s="49"/>
      <c r="Q2731" s="49"/>
      <c r="R2731" s="188" t="str">
        <f t="shared" si="90"/>
        <v/>
      </c>
      <c r="T2731" s="21">
        <v>46116</v>
      </c>
      <c r="U2731" s="22" t="s">
        <v>53</v>
      </c>
      <c r="V2731" s="24">
        <v>5</v>
      </c>
      <c r="W2731" s="24">
        <v>5</v>
      </c>
      <c r="X2731" s="24">
        <v>2</v>
      </c>
      <c r="Y2731" s="24">
        <v>4</v>
      </c>
      <c r="Z2731" s="20">
        <f t="shared" si="89"/>
        <v>16</v>
      </c>
    </row>
    <row r="2732" spans="1:26" x14ac:dyDescent="0.2">
      <c r="A2732" s="21"/>
      <c r="B2732" s="20"/>
      <c r="C2732" s="22"/>
      <c r="D2732" s="22"/>
      <c r="E2732" s="24"/>
      <c r="F2732" s="22"/>
      <c r="H2732" s="21">
        <v>46062</v>
      </c>
      <c r="I2732" s="22" t="s">
        <v>70</v>
      </c>
      <c r="J2732" s="22" t="s">
        <v>49</v>
      </c>
      <c r="K2732" s="24">
        <v>7</v>
      </c>
      <c r="M2732" s="21"/>
      <c r="N2732" s="22"/>
      <c r="O2732" s="22"/>
      <c r="P2732" s="49"/>
      <c r="Q2732" s="49"/>
      <c r="R2732" s="188" t="str">
        <f t="shared" si="90"/>
        <v/>
      </c>
      <c r="T2732" s="21">
        <v>46116</v>
      </c>
      <c r="U2732" s="22" t="s">
        <v>55</v>
      </c>
      <c r="V2732" s="24">
        <v>5</v>
      </c>
      <c r="W2732" s="24">
        <v>5</v>
      </c>
      <c r="X2732" s="24">
        <v>5</v>
      </c>
      <c r="Y2732" s="24">
        <v>5</v>
      </c>
      <c r="Z2732" s="20">
        <f t="shared" si="89"/>
        <v>20</v>
      </c>
    </row>
    <row r="2733" spans="1:26" x14ac:dyDescent="0.2">
      <c r="A2733" s="21"/>
      <c r="B2733" s="20"/>
      <c r="C2733" s="22"/>
      <c r="D2733" s="22"/>
      <c r="E2733" s="24"/>
      <c r="F2733" s="22"/>
      <c r="H2733" s="21">
        <v>46062</v>
      </c>
      <c r="I2733" s="22" t="s">
        <v>70</v>
      </c>
      <c r="J2733" s="22" t="s">
        <v>50</v>
      </c>
      <c r="K2733" s="24">
        <v>7</v>
      </c>
      <c r="M2733" s="21"/>
      <c r="N2733" s="22"/>
      <c r="O2733" s="22"/>
      <c r="P2733" s="49"/>
      <c r="Q2733" s="49"/>
      <c r="R2733" s="188" t="str">
        <f t="shared" si="90"/>
        <v/>
      </c>
      <c r="T2733" s="21">
        <v>46116</v>
      </c>
      <c r="U2733" s="22" t="s">
        <v>57</v>
      </c>
      <c r="V2733" s="24">
        <v>3</v>
      </c>
      <c r="W2733" s="24">
        <v>4</v>
      </c>
      <c r="X2733" s="24">
        <v>4</v>
      </c>
      <c r="Y2733" s="24">
        <v>4</v>
      </c>
      <c r="Z2733" s="20">
        <f t="shared" si="89"/>
        <v>15</v>
      </c>
    </row>
    <row r="2734" spans="1:26" x14ac:dyDescent="0.2">
      <c r="A2734" s="21"/>
      <c r="B2734" s="20"/>
      <c r="C2734" s="22"/>
      <c r="D2734" s="22"/>
      <c r="E2734" s="24"/>
      <c r="F2734" s="22"/>
      <c r="H2734" s="21">
        <v>46062</v>
      </c>
      <c r="I2734" s="22" t="s">
        <v>70</v>
      </c>
      <c r="J2734" s="22" t="s">
        <v>51</v>
      </c>
      <c r="K2734" s="24">
        <v>8</v>
      </c>
      <c r="M2734" s="21"/>
      <c r="N2734" s="22"/>
      <c r="O2734" s="22"/>
      <c r="P2734" s="49"/>
      <c r="Q2734" s="49"/>
      <c r="R2734" s="188" t="str">
        <f t="shared" si="90"/>
        <v/>
      </c>
      <c r="T2734" s="21">
        <v>46116</v>
      </c>
      <c r="U2734" s="22" t="s">
        <v>58</v>
      </c>
      <c r="V2734" s="24">
        <v>4</v>
      </c>
      <c r="W2734" s="24">
        <v>4</v>
      </c>
      <c r="X2734" s="24">
        <v>4</v>
      </c>
      <c r="Y2734" s="24">
        <v>4</v>
      </c>
      <c r="Z2734" s="20">
        <f t="shared" si="89"/>
        <v>16</v>
      </c>
    </row>
    <row r="2735" spans="1:26" x14ac:dyDescent="0.2">
      <c r="A2735" s="21"/>
      <c r="B2735" s="20"/>
      <c r="C2735" s="22"/>
      <c r="D2735" s="22"/>
      <c r="E2735" s="24"/>
      <c r="F2735" s="22"/>
      <c r="H2735" s="21">
        <v>46062</v>
      </c>
      <c r="I2735" s="22" t="s">
        <v>70</v>
      </c>
      <c r="J2735" s="22" t="s">
        <v>46</v>
      </c>
      <c r="K2735" s="24">
        <v>6</v>
      </c>
      <c r="M2735" s="21"/>
      <c r="N2735" s="22"/>
      <c r="O2735" s="22"/>
      <c r="P2735" s="49"/>
      <c r="Q2735" s="49"/>
      <c r="R2735" s="188" t="str">
        <f t="shared" si="90"/>
        <v/>
      </c>
      <c r="T2735" s="21">
        <v>46116</v>
      </c>
      <c r="U2735" s="22" t="s">
        <v>33</v>
      </c>
      <c r="V2735" s="24">
        <v>4.0714285714285703</v>
      </c>
      <c r="W2735" s="24">
        <v>4</v>
      </c>
      <c r="X2735" s="24">
        <v>3.8571428571428599</v>
      </c>
      <c r="Y2735" s="24">
        <v>4.21428571428571</v>
      </c>
      <c r="Z2735" s="20">
        <f t="shared" si="89"/>
        <v>16.142857142857139</v>
      </c>
    </row>
    <row r="2736" spans="1:26" x14ac:dyDescent="0.2">
      <c r="A2736" s="21"/>
      <c r="B2736" s="20"/>
      <c r="C2736" s="22"/>
      <c r="D2736" s="22"/>
      <c r="E2736" s="24"/>
      <c r="F2736" s="22"/>
      <c r="H2736" s="21">
        <v>46062</v>
      </c>
      <c r="I2736" s="22" t="s">
        <v>70</v>
      </c>
      <c r="J2736" s="22" t="s">
        <v>48</v>
      </c>
      <c r="K2736" s="24" t="s">
        <v>64</v>
      </c>
      <c r="M2736" s="21"/>
      <c r="N2736" s="22"/>
      <c r="O2736" s="22"/>
      <c r="P2736" s="49"/>
      <c r="Q2736" s="49"/>
      <c r="R2736" s="188" t="str">
        <f t="shared" si="90"/>
        <v/>
      </c>
      <c r="T2736" s="21">
        <v>46118</v>
      </c>
      <c r="U2736" s="22" t="s">
        <v>41</v>
      </c>
      <c r="V2736" s="24">
        <v>1</v>
      </c>
      <c r="W2736" s="24">
        <v>1</v>
      </c>
      <c r="X2736" s="24">
        <v>1</v>
      </c>
      <c r="Y2736" s="24">
        <v>1</v>
      </c>
      <c r="Z2736" s="20">
        <f t="shared" si="89"/>
        <v>4</v>
      </c>
    </row>
    <row r="2737" spans="1:26" x14ac:dyDescent="0.2">
      <c r="A2737" s="21"/>
      <c r="B2737" s="20"/>
      <c r="C2737" s="22"/>
      <c r="D2737" s="22"/>
      <c r="E2737" s="24"/>
      <c r="F2737" s="22"/>
      <c r="H2737" s="21">
        <v>46063</v>
      </c>
      <c r="I2737" s="22" t="s">
        <v>70</v>
      </c>
      <c r="J2737" s="22" t="s">
        <v>52</v>
      </c>
      <c r="K2737" s="24">
        <v>6</v>
      </c>
      <c r="M2737" s="21"/>
      <c r="N2737" s="22"/>
      <c r="O2737" s="22"/>
      <c r="P2737" s="49"/>
      <c r="Q2737" s="49"/>
      <c r="R2737" s="188" t="str">
        <f t="shared" si="90"/>
        <v/>
      </c>
      <c r="T2737" s="21">
        <v>46118</v>
      </c>
      <c r="U2737" s="22" t="s">
        <v>42</v>
      </c>
      <c r="V2737" s="24">
        <v>4</v>
      </c>
      <c r="W2737" s="24">
        <v>4</v>
      </c>
      <c r="X2737" s="24">
        <v>4</v>
      </c>
      <c r="Y2737" s="24">
        <v>4</v>
      </c>
      <c r="Z2737" s="20">
        <f t="shared" si="89"/>
        <v>16</v>
      </c>
    </row>
    <row r="2738" spans="1:26" x14ac:dyDescent="0.2">
      <c r="A2738" s="21"/>
      <c r="B2738" s="20"/>
      <c r="C2738" s="22"/>
      <c r="D2738" s="22"/>
      <c r="E2738" s="24"/>
      <c r="F2738" s="22"/>
      <c r="H2738" s="21">
        <v>46063</v>
      </c>
      <c r="I2738" s="22" t="s">
        <v>70</v>
      </c>
      <c r="J2738" s="22" t="s">
        <v>53</v>
      </c>
      <c r="K2738" s="24">
        <v>6</v>
      </c>
      <c r="M2738" s="21"/>
      <c r="N2738" s="22"/>
      <c r="O2738" s="22"/>
      <c r="P2738" s="49"/>
      <c r="Q2738" s="49"/>
      <c r="R2738" s="188" t="str">
        <f t="shared" si="90"/>
        <v/>
      </c>
      <c r="T2738" s="21">
        <v>46118</v>
      </c>
      <c r="U2738" s="22" t="s">
        <v>45</v>
      </c>
      <c r="V2738" s="24">
        <v>4</v>
      </c>
      <c r="W2738" s="24">
        <v>4</v>
      </c>
      <c r="X2738" s="24">
        <v>4</v>
      </c>
      <c r="Y2738" s="24">
        <v>5</v>
      </c>
      <c r="Z2738" s="20">
        <f t="shared" si="89"/>
        <v>17</v>
      </c>
    </row>
    <row r="2739" spans="1:26" x14ac:dyDescent="0.2">
      <c r="A2739" s="21"/>
      <c r="B2739" s="20"/>
      <c r="C2739" s="22"/>
      <c r="D2739" s="22"/>
      <c r="E2739" s="24"/>
      <c r="F2739" s="22"/>
      <c r="H2739" s="21">
        <v>46063</v>
      </c>
      <c r="I2739" s="22" t="s">
        <v>70</v>
      </c>
      <c r="J2739" s="22" t="s">
        <v>44</v>
      </c>
      <c r="K2739" s="24">
        <v>5</v>
      </c>
      <c r="M2739" s="21"/>
      <c r="N2739" s="22"/>
      <c r="O2739" s="22"/>
      <c r="P2739" s="49"/>
      <c r="Q2739" s="49"/>
      <c r="R2739" s="188" t="str">
        <f t="shared" si="90"/>
        <v/>
      </c>
      <c r="T2739" s="21">
        <v>46118</v>
      </c>
      <c r="U2739" s="22" t="s">
        <v>46</v>
      </c>
      <c r="V2739" s="24">
        <v>5</v>
      </c>
      <c r="W2739" s="24">
        <v>4</v>
      </c>
      <c r="X2739" s="24">
        <v>5</v>
      </c>
      <c r="Y2739" s="24">
        <v>5</v>
      </c>
      <c r="Z2739" s="20">
        <f t="shared" si="89"/>
        <v>19</v>
      </c>
    </row>
    <row r="2740" spans="1:26" x14ac:dyDescent="0.2">
      <c r="A2740" s="21"/>
      <c r="B2740" s="20"/>
      <c r="C2740" s="22"/>
      <c r="D2740" s="22"/>
      <c r="E2740" s="24"/>
      <c r="F2740" s="22"/>
      <c r="H2740" s="21">
        <v>46063</v>
      </c>
      <c r="I2740" s="22" t="s">
        <v>70</v>
      </c>
      <c r="J2740" s="22" t="s">
        <v>45</v>
      </c>
      <c r="K2740" s="24">
        <v>6</v>
      </c>
      <c r="M2740" s="21"/>
      <c r="N2740" s="22"/>
      <c r="O2740" s="22"/>
      <c r="P2740" s="49"/>
      <c r="Q2740" s="49"/>
      <c r="R2740" s="188" t="str">
        <f t="shared" si="90"/>
        <v/>
      </c>
      <c r="T2740" s="21">
        <v>46118</v>
      </c>
      <c r="U2740" s="22" t="s">
        <v>47</v>
      </c>
      <c r="V2740" s="24">
        <v>4</v>
      </c>
      <c r="W2740" s="24">
        <v>4</v>
      </c>
      <c r="X2740" s="24">
        <v>4</v>
      </c>
      <c r="Y2740" s="24">
        <v>4</v>
      </c>
      <c r="Z2740" s="20">
        <f t="shared" si="89"/>
        <v>16</v>
      </c>
    </row>
    <row r="2741" spans="1:26" x14ac:dyDescent="0.2">
      <c r="A2741" s="21"/>
      <c r="B2741" s="20"/>
      <c r="C2741" s="22"/>
      <c r="D2741" s="22"/>
      <c r="E2741" s="24"/>
      <c r="F2741" s="22"/>
      <c r="H2741" s="21">
        <v>46063</v>
      </c>
      <c r="I2741" s="22" t="s">
        <v>70</v>
      </c>
      <c r="J2741" s="22" t="s">
        <v>57</v>
      </c>
      <c r="K2741" s="24">
        <v>6</v>
      </c>
      <c r="M2741" s="21"/>
      <c r="N2741" s="22"/>
      <c r="O2741" s="22"/>
      <c r="P2741" s="49"/>
      <c r="Q2741" s="49"/>
      <c r="R2741" s="188" t="str">
        <f t="shared" si="90"/>
        <v/>
      </c>
      <c r="T2741" s="21">
        <v>46118</v>
      </c>
      <c r="U2741" s="22" t="s">
        <v>49</v>
      </c>
      <c r="V2741" s="24">
        <v>2</v>
      </c>
      <c r="W2741" s="24">
        <v>2</v>
      </c>
      <c r="X2741" s="24">
        <v>3</v>
      </c>
      <c r="Y2741" s="24">
        <v>3</v>
      </c>
      <c r="Z2741" s="20">
        <f t="shared" si="89"/>
        <v>10</v>
      </c>
    </row>
    <row r="2742" spans="1:26" x14ac:dyDescent="0.2">
      <c r="A2742" s="21"/>
      <c r="B2742" s="20"/>
      <c r="C2742" s="22"/>
      <c r="D2742" s="22"/>
      <c r="E2742" s="24"/>
      <c r="F2742" s="22"/>
      <c r="H2742" s="21">
        <v>46063</v>
      </c>
      <c r="I2742" s="22" t="s">
        <v>70</v>
      </c>
      <c r="J2742" s="22" t="s">
        <v>42</v>
      </c>
      <c r="K2742" s="24">
        <v>1</v>
      </c>
      <c r="M2742" s="21"/>
      <c r="N2742" s="22"/>
      <c r="O2742" s="22"/>
      <c r="P2742" s="49"/>
      <c r="Q2742" s="49"/>
      <c r="R2742" s="188" t="str">
        <f t="shared" si="90"/>
        <v/>
      </c>
      <c r="T2742" s="21">
        <v>46118</v>
      </c>
      <c r="U2742" s="22" t="s">
        <v>50</v>
      </c>
      <c r="V2742" s="24">
        <v>4</v>
      </c>
      <c r="W2742" s="24">
        <v>3</v>
      </c>
      <c r="X2742" s="24">
        <v>3</v>
      </c>
      <c r="Y2742" s="24">
        <v>4</v>
      </c>
      <c r="Z2742" s="20">
        <f t="shared" si="89"/>
        <v>14</v>
      </c>
    </row>
    <row r="2743" spans="1:26" x14ac:dyDescent="0.2">
      <c r="A2743" s="21"/>
      <c r="B2743" s="20"/>
      <c r="C2743" s="22"/>
      <c r="D2743" s="22"/>
      <c r="E2743" s="24"/>
      <c r="F2743" s="22"/>
      <c r="H2743" s="21">
        <v>46063</v>
      </c>
      <c r="I2743" s="22" t="s">
        <v>70</v>
      </c>
      <c r="J2743" s="22" t="s">
        <v>54</v>
      </c>
      <c r="K2743" s="24">
        <v>5</v>
      </c>
      <c r="M2743" s="21"/>
      <c r="N2743" s="22"/>
      <c r="O2743" s="22"/>
      <c r="P2743" s="49"/>
      <c r="Q2743" s="49"/>
      <c r="R2743" s="188" t="str">
        <f t="shared" si="90"/>
        <v/>
      </c>
      <c r="T2743" s="21">
        <v>46118</v>
      </c>
      <c r="U2743" s="22" t="s">
        <v>51</v>
      </c>
      <c r="V2743" s="24">
        <v>4</v>
      </c>
      <c r="W2743" s="24">
        <v>4</v>
      </c>
      <c r="X2743" s="24">
        <v>4</v>
      </c>
      <c r="Y2743" s="24">
        <v>4</v>
      </c>
      <c r="Z2743" s="20">
        <f t="shared" si="89"/>
        <v>16</v>
      </c>
    </row>
    <row r="2744" spans="1:26" x14ac:dyDescent="0.2">
      <c r="A2744" s="21"/>
      <c r="B2744" s="20"/>
      <c r="C2744" s="22"/>
      <c r="D2744" s="22"/>
      <c r="E2744" s="24"/>
      <c r="F2744" s="22"/>
      <c r="H2744" s="21">
        <v>46063</v>
      </c>
      <c r="I2744" s="22" t="s">
        <v>70</v>
      </c>
      <c r="J2744" s="22" t="s">
        <v>47</v>
      </c>
      <c r="K2744" s="24">
        <v>4</v>
      </c>
      <c r="M2744" s="21"/>
      <c r="N2744" s="22"/>
      <c r="O2744" s="22"/>
      <c r="P2744" s="49"/>
      <c r="Q2744" s="49"/>
      <c r="R2744" s="188" t="str">
        <f t="shared" si="90"/>
        <v/>
      </c>
      <c r="T2744" s="21">
        <v>46118</v>
      </c>
      <c r="U2744" s="22" t="s">
        <v>52</v>
      </c>
      <c r="V2744" s="24">
        <v>4</v>
      </c>
      <c r="W2744" s="24">
        <v>4</v>
      </c>
      <c r="X2744" s="24">
        <v>4</v>
      </c>
      <c r="Y2744" s="24">
        <v>4</v>
      </c>
      <c r="Z2744" s="20">
        <f t="shared" si="89"/>
        <v>16</v>
      </c>
    </row>
    <row r="2745" spans="1:26" x14ac:dyDescent="0.2">
      <c r="A2745" s="21"/>
      <c r="B2745" s="20"/>
      <c r="C2745" s="22"/>
      <c r="D2745" s="22"/>
      <c r="E2745" s="24"/>
      <c r="F2745" s="22"/>
      <c r="H2745" s="21">
        <v>46063</v>
      </c>
      <c r="I2745" s="22" t="s">
        <v>70</v>
      </c>
      <c r="J2745" s="22" t="s">
        <v>41</v>
      </c>
      <c r="K2745" s="24">
        <v>2</v>
      </c>
      <c r="M2745" s="21"/>
      <c r="N2745" s="22"/>
      <c r="O2745" s="22"/>
      <c r="P2745" s="49"/>
      <c r="Q2745" s="49"/>
      <c r="R2745" s="188" t="str">
        <f t="shared" si="90"/>
        <v/>
      </c>
      <c r="T2745" s="21">
        <v>46118</v>
      </c>
      <c r="U2745" s="22" t="s">
        <v>53</v>
      </c>
      <c r="V2745" s="24">
        <v>4</v>
      </c>
      <c r="W2745" s="24">
        <v>4</v>
      </c>
      <c r="X2745" s="24">
        <v>2</v>
      </c>
      <c r="Y2745" s="24">
        <v>5</v>
      </c>
      <c r="Z2745" s="20">
        <f t="shared" si="89"/>
        <v>15</v>
      </c>
    </row>
    <row r="2746" spans="1:26" x14ac:dyDescent="0.2">
      <c r="A2746" s="21"/>
      <c r="B2746" s="20"/>
      <c r="C2746" s="22"/>
      <c r="D2746" s="22"/>
      <c r="E2746" s="24"/>
      <c r="F2746" s="22"/>
      <c r="H2746" s="21">
        <v>46063</v>
      </c>
      <c r="I2746" s="22" t="s">
        <v>70</v>
      </c>
      <c r="J2746" s="22" t="s">
        <v>58</v>
      </c>
      <c r="K2746" s="24">
        <v>6</v>
      </c>
      <c r="M2746" s="21"/>
      <c r="N2746" s="22"/>
      <c r="O2746" s="22"/>
      <c r="P2746" s="49"/>
      <c r="Q2746" s="49"/>
      <c r="R2746" s="188" t="str">
        <f t="shared" si="90"/>
        <v/>
      </c>
      <c r="T2746" s="21">
        <v>46118</v>
      </c>
      <c r="U2746" s="22" t="s">
        <v>54</v>
      </c>
      <c r="V2746" s="24">
        <v>3</v>
      </c>
      <c r="W2746" s="24">
        <v>5</v>
      </c>
      <c r="X2746" s="24">
        <v>4</v>
      </c>
      <c r="Y2746" s="24">
        <v>4</v>
      </c>
      <c r="Z2746" s="20">
        <f t="shared" si="89"/>
        <v>16</v>
      </c>
    </row>
    <row r="2747" spans="1:26" x14ac:dyDescent="0.2">
      <c r="A2747" s="21"/>
      <c r="B2747" s="20"/>
      <c r="C2747" s="22"/>
      <c r="D2747" s="22"/>
      <c r="E2747" s="24"/>
      <c r="F2747" s="22"/>
      <c r="H2747" s="21">
        <v>46063</v>
      </c>
      <c r="I2747" s="22" t="s">
        <v>70</v>
      </c>
      <c r="J2747" s="22" t="s">
        <v>49</v>
      </c>
      <c r="K2747" s="24">
        <v>5</v>
      </c>
      <c r="M2747" s="21"/>
      <c r="N2747" s="22"/>
      <c r="O2747" s="22"/>
      <c r="P2747" s="49"/>
      <c r="Q2747" s="49"/>
      <c r="R2747" s="188" t="str">
        <f t="shared" si="90"/>
        <v/>
      </c>
      <c r="T2747" s="21">
        <v>46118</v>
      </c>
      <c r="U2747" s="22" t="s">
        <v>55</v>
      </c>
      <c r="V2747" s="24">
        <v>5</v>
      </c>
      <c r="W2747" s="24">
        <v>5</v>
      </c>
      <c r="X2747" s="24">
        <v>5</v>
      </c>
      <c r="Y2747" s="24">
        <v>5</v>
      </c>
      <c r="Z2747" s="20">
        <f t="shared" si="89"/>
        <v>20</v>
      </c>
    </row>
    <row r="2748" spans="1:26" x14ac:dyDescent="0.2">
      <c r="A2748" s="21"/>
      <c r="B2748" s="20"/>
      <c r="C2748" s="22"/>
      <c r="D2748" s="22"/>
      <c r="E2748" s="24"/>
      <c r="F2748" s="22"/>
      <c r="H2748" s="21">
        <v>46063</v>
      </c>
      <c r="I2748" s="22" t="s">
        <v>70</v>
      </c>
      <c r="J2748" s="22" t="s">
        <v>50</v>
      </c>
      <c r="K2748" s="24">
        <v>6</v>
      </c>
      <c r="M2748" s="21"/>
      <c r="N2748" s="22"/>
      <c r="O2748" s="22"/>
      <c r="P2748" s="49"/>
      <c r="Q2748" s="49"/>
      <c r="R2748" s="188" t="str">
        <f t="shared" si="90"/>
        <v/>
      </c>
      <c r="T2748" s="21">
        <v>46118</v>
      </c>
      <c r="U2748" s="22" t="s">
        <v>56</v>
      </c>
      <c r="V2748" s="24">
        <v>4</v>
      </c>
      <c r="W2748" s="24">
        <v>4</v>
      </c>
      <c r="X2748" s="24">
        <v>4</v>
      </c>
      <c r="Y2748" s="24">
        <v>5</v>
      </c>
      <c r="Z2748" s="20">
        <f t="shared" si="89"/>
        <v>17</v>
      </c>
    </row>
    <row r="2749" spans="1:26" x14ac:dyDescent="0.2">
      <c r="A2749" s="21"/>
      <c r="B2749" s="20"/>
      <c r="C2749" s="22"/>
      <c r="D2749" s="22"/>
      <c r="E2749" s="24"/>
      <c r="F2749" s="22"/>
      <c r="H2749" s="21">
        <v>46063</v>
      </c>
      <c r="I2749" s="22" t="s">
        <v>70</v>
      </c>
      <c r="J2749" s="22" t="s">
        <v>51</v>
      </c>
      <c r="K2749" s="24">
        <v>4</v>
      </c>
      <c r="M2749" s="21"/>
      <c r="N2749" s="22"/>
      <c r="O2749" s="22"/>
      <c r="P2749" s="49"/>
      <c r="Q2749" s="49"/>
      <c r="R2749" s="188" t="str">
        <f t="shared" si="90"/>
        <v/>
      </c>
      <c r="T2749" s="21">
        <v>46118</v>
      </c>
      <c r="U2749" s="22" t="s">
        <v>57</v>
      </c>
      <c r="V2749" s="24">
        <v>4</v>
      </c>
      <c r="W2749" s="24">
        <v>4</v>
      </c>
      <c r="X2749" s="24">
        <v>4</v>
      </c>
      <c r="Y2749" s="24">
        <v>4</v>
      </c>
      <c r="Z2749" s="20">
        <f t="shared" si="89"/>
        <v>16</v>
      </c>
    </row>
    <row r="2750" spans="1:26" x14ac:dyDescent="0.2">
      <c r="A2750" s="21"/>
      <c r="B2750" s="20"/>
      <c r="C2750" s="22"/>
      <c r="D2750" s="22"/>
      <c r="E2750" s="24"/>
      <c r="F2750" s="22"/>
      <c r="H2750" s="21">
        <v>46063</v>
      </c>
      <c r="I2750" s="22" t="s">
        <v>70</v>
      </c>
      <c r="J2750" s="22" t="s">
        <v>46</v>
      </c>
      <c r="K2750" s="24">
        <v>4</v>
      </c>
      <c r="M2750" s="21"/>
      <c r="N2750" s="22"/>
      <c r="O2750" s="22"/>
      <c r="P2750" s="49"/>
      <c r="Q2750" s="49"/>
      <c r="R2750" s="188" t="str">
        <f t="shared" si="90"/>
        <v/>
      </c>
      <c r="T2750" s="21">
        <v>46118</v>
      </c>
      <c r="U2750" s="22" t="s">
        <v>58</v>
      </c>
      <c r="V2750" s="24">
        <v>4</v>
      </c>
      <c r="W2750" s="24">
        <v>4</v>
      </c>
      <c r="X2750" s="24">
        <v>4</v>
      </c>
      <c r="Y2750" s="24">
        <v>4</v>
      </c>
      <c r="Z2750" s="20">
        <f t="shared" si="89"/>
        <v>16</v>
      </c>
    </row>
    <row r="2751" spans="1:26" x14ac:dyDescent="0.2">
      <c r="A2751" s="21"/>
      <c r="B2751" s="20"/>
      <c r="C2751" s="22"/>
      <c r="D2751" s="22"/>
      <c r="E2751" s="24"/>
      <c r="F2751" s="22"/>
      <c r="H2751" s="21">
        <v>46063</v>
      </c>
      <c r="I2751" s="22" t="s">
        <v>70</v>
      </c>
      <c r="J2751" s="22" t="s">
        <v>48</v>
      </c>
      <c r="K2751" s="24">
        <v>5</v>
      </c>
      <c r="M2751" s="21"/>
      <c r="N2751" s="22"/>
      <c r="O2751" s="22"/>
      <c r="P2751" s="49"/>
      <c r="Q2751" s="49"/>
      <c r="R2751" s="188" t="str">
        <f t="shared" si="90"/>
        <v/>
      </c>
      <c r="T2751" s="21">
        <v>46118</v>
      </c>
      <c r="U2751" s="22" t="s">
        <v>33</v>
      </c>
      <c r="V2751" s="24">
        <v>3.7333333333333298</v>
      </c>
      <c r="W2751" s="24">
        <v>3.7333333333333298</v>
      </c>
      <c r="X2751" s="24">
        <v>3.6666666666666701</v>
      </c>
      <c r="Y2751" s="24">
        <v>4.06666666666667</v>
      </c>
      <c r="Z2751" s="20">
        <f t="shared" si="89"/>
        <v>15.2</v>
      </c>
    </row>
    <row r="2752" spans="1:26" x14ac:dyDescent="0.2">
      <c r="A2752" s="21"/>
      <c r="B2752" s="20"/>
      <c r="C2752" s="22"/>
      <c r="D2752" s="22"/>
      <c r="E2752" s="24"/>
      <c r="F2752" s="22"/>
      <c r="H2752" s="21">
        <v>46063</v>
      </c>
      <c r="I2752" s="22" t="s">
        <v>70</v>
      </c>
      <c r="J2752" s="22" t="s">
        <v>56</v>
      </c>
      <c r="K2752" s="24" t="s">
        <v>60</v>
      </c>
      <c r="M2752" s="21"/>
      <c r="N2752" s="22"/>
      <c r="O2752" s="22"/>
      <c r="P2752" s="49"/>
      <c r="Q2752" s="49"/>
      <c r="R2752" s="188" t="str">
        <f t="shared" si="90"/>
        <v/>
      </c>
      <c r="T2752" s="21">
        <v>46119</v>
      </c>
      <c r="U2752" s="22" t="s">
        <v>41</v>
      </c>
      <c r="V2752" s="24">
        <v>1</v>
      </c>
      <c r="W2752" s="24">
        <v>1</v>
      </c>
      <c r="X2752" s="24">
        <v>1</v>
      </c>
      <c r="Y2752" s="24">
        <v>1</v>
      </c>
      <c r="Z2752" s="20">
        <f t="shared" si="89"/>
        <v>4</v>
      </c>
    </row>
    <row r="2753" spans="1:26" x14ac:dyDescent="0.2">
      <c r="A2753" s="21"/>
      <c r="B2753" s="20"/>
      <c r="C2753" s="22"/>
      <c r="D2753" s="22"/>
      <c r="E2753" s="24"/>
      <c r="F2753" s="22"/>
      <c r="H2753" s="21">
        <v>46064</v>
      </c>
      <c r="I2753" s="22" t="s">
        <v>70</v>
      </c>
      <c r="J2753" s="22" t="s">
        <v>52</v>
      </c>
      <c r="K2753" s="24">
        <v>1</v>
      </c>
      <c r="M2753" s="21"/>
      <c r="N2753" s="22"/>
      <c r="O2753" s="22"/>
      <c r="P2753" s="49"/>
      <c r="Q2753" s="49"/>
      <c r="R2753" s="188" t="str">
        <f t="shared" si="90"/>
        <v/>
      </c>
      <c r="T2753" s="21">
        <v>46119</v>
      </c>
      <c r="U2753" s="22" t="s">
        <v>42</v>
      </c>
      <c r="V2753" s="24">
        <v>4</v>
      </c>
      <c r="W2753" s="24">
        <v>4</v>
      </c>
      <c r="X2753" s="24">
        <v>4</v>
      </c>
      <c r="Y2753" s="24">
        <v>4</v>
      </c>
      <c r="Z2753" s="20">
        <f t="shared" si="89"/>
        <v>16</v>
      </c>
    </row>
    <row r="2754" spans="1:26" x14ac:dyDescent="0.2">
      <c r="A2754" s="21"/>
      <c r="B2754" s="20"/>
      <c r="C2754" s="22"/>
      <c r="D2754" s="22"/>
      <c r="E2754" s="24"/>
      <c r="F2754" s="22"/>
      <c r="H2754" s="21">
        <v>46064</v>
      </c>
      <c r="I2754" s="22" t="s">
        <v>70</v>
      </c>
      <c r="J2754" s="22" t="s">
        <v>53</v>
      </c>
      <c r="K2754" s="24">
        <v>1</v>
      </c>
      <c r="M2754" s="21"/>
      <c r="N2754" s="22"/>
      <c r="O2754" s="22"/>
      <c r="P2754" s="49"/>
      <c r="Q2754" s="49"/>
      <c r="R2754" s="188" t="str">
        <f t="shared" si="90"/>
        <v/>
      </c>
      <c r="T2754" s="21">
        <v>46119</v>
      </c>
      <c r="U2754" s="22" t="s">
        <v>45</v>
      </c>
      <c r="V2754" s="24">
        <v>4</v>
      </c>
      <c r="W2754" s="24">
        <v>4</v>
      </c>
      <c r="X2754" s="24">
        <v>3</v>
      </c>
      <c r="Y2754" s="24">
        <v>5</v>
      </c>
      <c r="Z2754" s="20">
        <f t="shared" si="89"/>
        <v>16</v>
      </c>
    </row>
    <row r="2755" spans="1:26" x14ac:dyDescent="0.2">
      <c r="A2755" s="21"/>
      <c r="B2755" s="20"/>
      <c r="C2755" s="22"/>
      <c r="D2755" s="22"/>
      <c r="E2755" s="24"/>
      <c r="F2755" s="22"/>
      <c r="H2755" s="21">
        <v>46064</v>
      </c>
      <c r="I2755" s="22" t="s">
        <v>70</v>
      </c>
      <c r="J2755" s="22" t="s">
        <v>44</v>
      </c>
      <c r="K2755" s="24">
        <v>3</v>
      </c>
      <c r="M2755" s="21"/>
      <c r="N2755" s="22"/>
      <c r="O2755" s="22"/>
      <c r="P2755" s="49"/>
      <c r="Q2755" s="49"/>
      <c r="R2755" s="188" t="str">
        <f t="shared" si="90"/>
        <v/>
      </c>
      <c r="T2755" s="21">
        <v>46119</v>
      </c>
      <c r="U2755" s="22" t="s">
        <v>46</v>
      </c>
      <c r="V2755" s="24">
        <v>5</v>
      </c>
      <c r="W2755" s="24">
        <v>4</v>
      </c>
      <c r="X2755" s="24">
        <v>5</v>
      </c>
      <c r="Y2755" s="24">
        <v>5</v>
      </c>
      <c r="Z2755" s="20">
        <f t="shared" ref="Z2755:Z2818" si="91">SUM(V2755:Y2755)</f>
        <v>19</v>
      </c>
    </row>
    <row r="2756" spans="1:26" x14ac:dyDescent="0.2">
      <c r="A2756" s="21"/>
      <c r="B2756" s="20"/>
      <c r="C2756" s="22"/>
      <c r="D2756" s="22"/>
      <c r="E2756" s="24"/>
      <c r="F2756" s="22"/>
      <c r="H2756" s="21">
        <v>46064</v>
      </c>
      <c r="I2756" s="22" t="s">
        <v>70</v>
      </c>
      <c r="J2756" s="22" t="s">
        <v>45</v>
      </c>
      <c r="K2756" s="24">
        <v>1</v>
      </c>
      <c r="M2756" s="21"/>
      <c r="N2756" s="22"/>
      <c r="O2756" s="22"/>
      <c r="P2756" s="49"/>
      <c r="Q2756" s="49"/>
      <c r="R2756" s="188" t="str">
        <f t="shared" si="90"/>
        <v/>
      </c>
      <c r="T2756" s="21">
        <v>46119</v>
      </c>
      <c r="U2756" s="22" t="s">
        <v>47</v>
      </c>
      <c r="V2756" s="24">
        <v>4</v>
      </c>
      <c r="W2756" s="24">
        <v>5</v>
      </c>
      <c r="X2756" s="24">
        <v>5</v>
      </c>
      <c r="Y2756" s="24">
        <v>5</v>
      </c>
      <c r="Z2756" s="20">
        <f t="shared" si="91"/>
        <v>19</v>
      </c>
    </row>
    <row r="2757" spans="1:26" x14ac:dyDescent="0.2">
      <c r="A2757" s="21"/>
      <c r="B2757" s="20"/>
      <c r="C2757" s="22"/>
      <c r="D2757" s="22"/>
      <c r="E2757" s="24"/>
      <c r="F2757" s="22"/>
      <c r="H2757" s="21">
        <v>46064</v>
      </c>
      <c r="I2757" s="22" t="s">
        <v>70</v>
      </c>
      <c r="J2757" s="22" t="s">
        <v>57</v>
      </c>
      <c r="K2757" s="24">
        <v>1</v>
      </c>
      <c r="M2757" s="21"/>
      <c r="N2757" s="22"/>
      <c r="O2757" s="22"/>
      <c r="P2757" s="49"/>
      <c r="Q2757" s="49"/>
      <c r="R2757" s="188" t="str">
        <f t="shared" si="90"/>
        <v/>
      </c>
      <c r="T2757" s="21">
        <v>46119</v>
      </c>
      <c r="U2757" s="22" t="s">
        <v>49</v>
      </c>
      <c r="V2757" s="24">
        <v>4</v>
      </c>
      <c r="W2757" s="24">
        <v>3</v>
      </c>
      <c r="X2757" s="24">
        <v>3</v>
      </c>
      <c r="Y2757" s="24">
        <v>3</v>
      </c>
      <c r="Z2757" s="20">
        <f t="shared" si="91"/>
        <v>13</v>
      </c>
    </row>
    <row r="2758" spans="1:26" x14ac:dyDescent="0.2">
      <c r="A2758" s="21"/>
      <c r="B2758" s="20"/>
      <c r="C2758" s="22"/>
      <c r="D2758" s="22"/>
      <c r="E2758" s="24"/>
      <c r="F2758" s="22"/>
      <c r="H2758" s="21">
        <v>46064</v>
      </c>
      <c r="I2758" s="22" t="s">
        <v>70</v>
      </c>
      <c r="J2758" s="22" t="s">
        <v>42</v>
      </c>
      <c r="K2758" s="24">
        <v>1</v>
      </c>
      <c r="M2758" s="21"/>
      <c r="N2758" s="22"/>
      <c r="O2758" s="22"/>
      <c r="P2758" s="49"/>
      <c r="Q2758" s="49"/>
      <c r="R2758" s="188" t="str">
        <f t="shared" si="90"/>
        <v/>
      </c>
      <c r="T2758" s="21">
        <v>46119</v>
      </c>
      <c r="U2758" s="22" t="s">
        <v>50</v>
      </c>
      <c r="V2758" s="24">
        <v>3</v>
      </c>
      <c r="W2758" s="24">
        <v>3</v>
      </c>
      <c r="X2758" s="24">
        <v>2</v>
      </c>
      <c r="Y2758" s="24">
        <v>3</v>
      </c>
      <c r="Z2758" s="20">
        <f t="shared" si="91"/>
        <v>11</v>
      </c>
    </row>
    <row r="2759" spans="1:26" x14ac:dyDescent="0.2">
      <c r="A2759" s="21"/>
      <c r="B2759" s="20"/>
      <c r="C2759" s="22"/>
      <c r="D2759" s="22"/>
      <c r="E2759" s="24"/>
      <c r="F2759" s="22"/>
      <c r="H2759" s="21">
        <v>46064</v>
      </c>
      <c r="I2759" s="22" t="s">
        <v>70</v>
      </c>
      <c r="J2759" s="22" t="s">
        <v>54</v>
      </c>
      <c r="K2759" s="24">
        <v>1</v>
      </c>
      <c r="M2759" s="21"/>
      <c r="N2759" s="22"/>
      <c r="O2759" s="22"/>
      <c r="P2759" s="49"/>
      <c r="Q2759" s="49"/>
      <c r="R2759" s="188" t="str">
        <f t="shared" si="90"/>
        <v/>
      </c>
      <c r="T2759" s="21">
        <v>46119</v>
      </c>
      <c r="U2759" s="22" t="s">
        <v>51</v>
      </c>
      <c r="V2759" s="24">
        <v>4</v>
      </c>
      <c r="W2759" s="24">
        <v>4</v>
      </c>
      <c r="X2759" s="24">
        <v>4</v>
      </c>
      <c r="Y2759" s="24">
        <v>4</v>
      </c>
      <c r="Z2759" s="20">
        <f t="shared" si="91"/>
        <v>16</v>
      </c>
    </row>
    <row r="2760" spans="1:26" x14ac:dyDescent="0.2">
      <c r="A2760" s="21"/>
      <c r="B2760" s="20"/>
      <c r="C2760" s="22"/>
      <c r="D2760" s="22"/>
      <c r="E2760" s="24"/>
      <c r="F2760" s="22"/>
      <c r="H2760" s="21">
        <v>46064</v>
      </c>
      <c r="I2760" s="22" t="s">
        <v>70</v>
      </c>
      <c r="J2760" s="22" t="s">
        <v>47</v>
      </c>
      <c r="K2760" s="24">
        <v>7</v>
      </c>
      <c r="M2760" s="21"/>
      <c r="N2760" s="22"/>
      <c r="O2760" s="22"/>
      <c r="P2760" s="49"/>
      <c r="Q2760" s="49"/>
      <c r="R2760" s="188" t="str">
        <f t="shared" si="90"/>
        <v/>
      </c>
      <c r="T2760" s="21">
        <v>46119</v>
      </c>
      <c r="U2760" s="22" t="s">
        <v>52</v>
      </c>
      <c r="V2760" s="24">
        <v>4</v>
      </c>
      <c r="W2760" s="24">
        <v>4</v>
      </c>
      <c r="X2760" s="24">
        <v>4</v>
      </c>
      <c r="Y2760" s="24">
        <v>4</v>
      </c>
      <c r="Z2760" s="20">
        <f t="shared" si="91"/>
        <v>16</v>
      </c>
    </row>
    <row r="2761" spans="1:26" x14ac:dyDescent="0.2">
      <c r="A2761" s="21"/>
      <c r="B2761" s="20"/>
      <c r="C2761" s="22"/>
      <c r="D2761" s="22"/>
      <c r="E2761" s="24"/>
      <c r="F2761" s="22"/>
      <c r="H2761" s="21">
        <v>46064</v>
      </c>
      <c r="I2761" s="22" t="s">
        <v>70</v>
      </c>
      <c r="J2761" s="22" t="s">
        <v>41</v>
      </c>
      <c r="K2761" s="24">
        <v>1</v>
      </c>
      <c r="M2761" s="21"/>
      <c r="N2761" s="22"/>
      <c r="O2761" s="22"/>
      <c r="P2761" s="49"/>
      <c r="Q2761" s="49"/>
      <c r="R2761" s="188" t="str">
        <f t="shared" si="90"/>
        <v/>
      </c>
      <c r="T2761" s="21">
        <v>46119</v>
      </c>
      <c r="U2761" s="22" t="s">
        <v>53</v>
      </c>
      <c r="V2761" s="24">
        <v>4</v>
      </c>
      <c r="W2761" s="24">
        <v>3</v>
      </c>
      <c r="X2761" s="24">
        <v>2</v>
      </c>
      <c r="Y2761" s="24">
        <v>4</v>
      </c>
      <c r="Z2761" s="20">
        <f t="shared" si="91"/>
        <v>13</v>
      </c>
    </row>
    <row r="2762" spans="1:26" x14ac:dyDescent="0.2">
      <c r="A2762" s="21"/>
      <c r="B2762" s="20"/>
      <c r="C2762" s="22"/>
      <c r="D2762" s="22"/>
      <c r="E2762" s="24"/>
      <c r="F2762" s="22"/>
      <c r="H2762" s="21">
        <v>46064</v>
      </c>
      <c r="I2762" s="22" t="s">
        <v>70</v>
      </c>
      <c r="J2762" s="22" t="s">
        <v>58</v>
      </c>
      <c r="K2762" s="24">
        <v>1</v>
      </c>
      <c r="M2762" s="21"/>
      <c r="N2762" s="22"/>
      <c r="O2762" s="22"/>
      <c r="P2762" s="49"/>
      <c r="Q2762" s="49"/>
      <c r="R2762" s="188" t="str">
        <f t="shared" si="90"/>
        <v/>
      </c>
      <c r="T2762" s="21">
        <v>46119</v>
      </c>
      <c r="U2762" s="22" t="s">
        <v>54</v>
      </c>
      <c r="V2762" s="24">
        <v>2</v>
      </c>
      <c r="W2762" s="24">
        <v>4</v>
      </c>
      <c r="X2762" s="24">
        <v>3</v>
      </c>
      <c r="Y2762" s="24">
        <v>2</v>
      </c>
      <c r="Z2762" s="20">
        <f t="shared" si="91"/>
        <v>11</v>
      </c>
    </row>
    <row r="2763" spans="1:26" x14ac:dyDescent="0.2">
      <c r="A2763" s="21"/>
      <c r="B2763" s="20"/>
      <c r="C2763" s="22"/>
      <c r="D2763" s="22"/>
      <c r="E2763" s="24"/>
      <c r="F2763" s="22"/>
      <c r="H2763" s="21">
        <v>46064</v>
      </c>
      <c r="I2763" s="22" t="s">
        <v>70</v>
      </c>
      <c r="J2763" s="22" t="s">
        <v>49</v>
      </c>
      <c r="K2763" s="24">
        <v>1</v>
      </c>
      <c r="M2763" s="21"/>
      <c r="N2763" s="22"/>
      <c r="O2763" s="22"/>
      <c r="P2763" s="49"/>
      <c r="Q2763" s="49"/>
      <c r="R2763" s="188" t="str">
        <f t="shared" si="90"/>
        <v/>
      </c>
      <c r="T2763" s="21">
        <v>46119</v>
      </c>
      <c r="U2763" s="22" t="s">
        <v>55</v>
      </c>
      <c r="V2763" s="24">
        <v>5</v>
      </c>
      <c r="W2763" s="24">
        <v>5</v>
      </c>
      <c r="X2763" s="24">
        <v>5</v>
      </c>
      <c r="Y2763" s="24">
        <v>5</v>
      </c>
      <c r="Z2763" s="20">
        <f t="shared" si="91"/>
        <v>20</v>
      </c>
    </row>
    <row r="2764" spans="1:26" x14ac:dyDescent="0.2">
      <c r="A2764" s="21"/>
      <c r="B2764" s="20"/>
      <c r="C2764" s="22"/>
      <c r="D2764" s="22"/>
      <c r="E2764" s="24"/>
      <c r="F2764" s="22"/>
      <c r="H2764" s="21">
        <v>46064</v>
      </c>
      <c r="I2764" s="22" t="s">
        <v>70</v>
      </c>
      <c r="J2764" s="22" t="s">
        <v>50</v>
      </c>
      <c r="K2764" s="24">
        <v>1</v>
      </c>
      <c r="M2764" s="21"/>
      <c r="N2764" s="22"/>
      <c r="O2764" s="22"/>
      <c r="P2764" s="49"/>
      <c r="Q2764" s="49"/>
      <c r="R2764" s="188" t="str">
        <f t="shared" si="90"/>
        <v/>
      </c>
      <c r="T2764" s="21">
        <v>46119</v>
      </c>
      <c r="U2764" s="22" t="s">
        <v>56</v>
      </c>
      <c r="V2764" s="24">
        <v>4</v>
      </c>
      <c r="W2764" s="24">
        <v>4</v>
      </c>
      <c r="X2764" s="24">
        <v>4</v>
      </c>
      <c r="Y2764" s="24">
        <v>5</v>
      </c>
      <c r="Z2764" s="20">
        <f t="shared" si="91"/>
        <v>17</v>
      </c>
    </row>
    <row r="2765" spans="1:26" x14ac:dyDescent="0.2">
      <c r="A2765" s="21"/>
      <c r="B2765" s="20"/>
      <c r="C2765" s="22"/>
      <c r="D2765" s="22"/>
      <c r="E2765" s="24"/>
      <c r="F2765" s="22"/>
      <c r="H2765" s="21">
        <v>46064</v>
      </c>
      <c r="I2765" s="22" t="s">
        <v>70</v>
      </c>
      <c r="J2765" s="22" t="s">
        <v>51</v>
      </c>
      <c r="K2765" s="24">
        <v>1</v>
      </c>
      <c r="M2765" s="21"/>
      <c r="N2765" s="22"/>
      <c r="O2765" s="22"/>
      <c r="P2765" s="49"/>
      <c r="Q2765" s="49"/>
      <c r="R2765" s="188" t="str">
        <f t="shared" si="90"/>
        <v/>
      </c>
      <c r="T2765" s="21">
        <v>46119</v>
      </c>
      <c r="U2765" s="22" t="s">
        <v>57</v>
      </c>
      <c r="V2765" s="24">
        <v>4</v>
      </c>
      <c r="W2765" s="24">
        <v>4</v>
      </c>
      <c r="X2765" s="24">
        <v>4</v>
      </c>
      <c r="Y2765" s="24">
        <v>4</v>
      </c>
      <c r="Z2765" s="20">
        <f t="shared" si="91"/>
        <v>16</v>
      </c>
    </row>
    <row r="2766" spans="1:26" x14ac:dyDescent="0.2">
      <c r="A2766" s="21"/>
      <c r="B2766" s="20"/>
      <c r="C2766" s="22"/>
      <c r="D2766" s="22"/>
      <c r="E2766" s="24"/>
      <c r="F2766" s="22"/>
      <c r="H2766" s="21">
        <v>46064</v>
      </c>
      <c r="I2766" s="22" t="s">
        <v>70</v>
      </c>
      <c r="J2766" s="22" t="s">
        <v>46</v>
      </c>
      <c r="K2766" s="24">
        <v>1</v>
      </c>
      <c r="M2766" s="21"/>
      <c r="N2766" s="22"/>
      <c r="O2766" s="22"/>
      <c r="P2766" s="49"/>
      <c r="Q2766" s="49"/>
      <c r="R2766" s="188" t="str">
        <f t="shared" si="90"/>
        <v/>
      </c>
      <c r="T2766" s="21">
        <v>46119</v>
      </c>
      <c r="U2766" s="22" t="s">
        <v>58</v>
      </c>
      <c r="V2766" s="24">
        <v>4</v>
      </c>
      <c r="W2766" s="24">
        <v>4</v>
      </c>
      <c r="X2766" s="24">
        <v>4</v>
      </c>
      <c r="Y2766" s="24">
        <v>4</v>
      </c>
      <c r="Z2766" s="20">
        <f t="shared" si="91"/>
        <v>16</v>
      </c>
    </row>
    <row r="2767" spans="1:26" x14ac:dyDescent="0.2">
      <c r="A2767" s="21"/>
      <c r="B2767" s="20"/>
      <c r="C2767" s="22"/>
      <c r="D2767" s="22"/>
      <c r="E2767" s="24"/>
      <c r="F2767" s="22"/>
      <c r="H2767" s="21">
        <v>46064</v>
      </c>
      <c r="I2767" s="22" t="s">
        <v>70</v>
      </c>
      <c r="J2767" s="22" t="s">
        <v>48</v>
      </c>
      <c r="K2767" s="24">
        <v>1</v>
      </c>
      <c r="M2767" s="21"/>
      <c r="N2767" s="22"/>
      <c r="O2767" s="22"/>
      <c r="P2767" s="49"/>
      <c r="Q2767" s="49"/>
      <c r="R2767" s="188" t="str">
        <f t="shared" si="90"/>
        <v/>
      </c>
      <c r="T2767" s="21">
        <v>46119</v>
      </c>
      <c r="U2767" s="22" t="s">
        <v>33</v>
      </c>
      <c r="V2767" s="24">
        <v>3.7333333333333298</v>
      </c>
      <c r="W2767" s="24">
        <v>3.7333333333333298</v>
      </c>
      <c r="X2767" s="24">
        <v>3.5333333333333301</v>
      </c>
      <c r="Y2767" s="24">
        <v>3.8666666666666698</v>
      </c>
      <c r="Z2767" s="20">
        <f t="shared" si="91"/>
        <v>14.86666666666666</v>
      </c>
    </row>
    <row r="2768" spans="1:26" x14ac:dyDescent="0.2">
      <c r="A2768" s="21"/>
      <c r="B2768" s="20"/>
      <c r="C2768" s="22"/>
      <c r="D2768" s="22"/>
      <c r="E2768" s="24"/>
      <c r="F2768" s="22"/>
      <c r="H2768" s="21">
        <v>46064</v>
      </c>
      <c r="I2768" s="22" t="s">
        <v>70</v>
      </c>
      <c r="J2768" s="22" t="s">
        <v>56</v>
      </c>
      <c r="K2768" s="24" t="s">
        <v>60</v>
      </c>
      <c r="M2768" s="21"/>
      <c r="N2768" s="22"/>
      <c r="O2768" s="22"/>
      <c r="P2768" s="49"/>
      <c r="Q2768" s="49"/>
      <c r="R2768" s="188" t="str">
        <f t="shared" si="90"/>
        <v/>
      </c>
      <c r="T2768" s="21">
        <v>46120</v>
      </c>
      <c r="U2768" s="22" t="s">
        <v>41</v>
      </c>
      <c r="V2768" s="24">
        <v>1</v>
      </c>
      <c r="W2768" s="24">
        <v>1</v>
      </c>
      <c r="X2768" s="24">
        <v>1</v>
      </c>
      <c r="Y2768" s="24">
        <v>1</v>
      </c>
      <c r="Z2768" s="20">
        <f t="shared" si="91"/>
        <v>4</v>
      </c>
    </row>
    <row r="2769" spans="1:26" x14ac:dyDescent="0.2">
      <c r="A2769" s="21"/>
      <c r="B2769" s="20"/>
      <c r="C2769" s="22"/>
      <c r="D2769" s="22"/>
      <c r="E2769" s="24"/>
      <c r="F2769" s="22"/>
      <c r="H2769" s="21">
        <v>46064</v>
      </c>
      <c r="I2769" s="22" t="s">
        <v>71</v>
      </c>
      <c r="J2769" s="22" t="s">
        <v>52</v>
      </c>
      <c r="K2769" s="24">
        <v>7</v>
      </c>
      <c r="M2769" s="21"/>
      <c r="N2769" s="22"/>
      <c r="O2769" s="22"/>
      <c r="P2769" s="49"/>
      <c r="Q2769" s="49"/>
      <c r="R2769" s="188" t="str">
        <f t="shared" si="90"/>
        <v/>
      </c>
      <c r="T2769" s="21">
        <v>46120</v>
      </c>
      <c r="U2769" s="22" t="s">
        <v>42</v>
      </c>
      <c r="V2769" s="24">
        <v>4</v>
      </c>
      <c r="W2769" s="24">
        <v>4</v>
      </c>
      <c r="X2769" s="24">
        <v>4</v>
      </c>
      <c r="Y2769" s="24">
        <v>4</v>
      </c>
      <c r="Z2769" s="20">
        <f t="shared" si="91"/>
        <v>16</v>
      </c>
    </row>
    <row r="2770" spans="1:26" x14ac:dyDescent="0.2">
      <c r="A2770" s="21"/>
      <c r="B2770" s="20"/>
      <c r="C2770" s="22"/>
      <c r="D2770" s="22"/>
      <c r="E2770" s="24"/>
      <c r="F2770" s="22"/>
      <c r="H2770" s="21">
        <v>46064</v>
      </c>
      <c r="I2770" s="22" t="s">
        <v>71</v>
      </c>
      <c r="J2770" s="22" t="s">
        <v>53</v>
      </c>
      <c r="K2770" s="24">
        <v>9</v>
      </c>
      <c r="M2770" s="21"/>
      <c r="N2770" s="22"/>
      <c r="O2770" s="22"/>
      <c r="P2770" s="49"/>
      <c r="Q2770" s="49"/>
      <c r="R2770" s="188" t="str">
        <f t="shared" si="90"/>
        <v/>
      </c>
      <c r="T2770" s="21">
        <v>46120</v>
      </c>
      <c r="U2770" s="22" t="s">
        <v>45</v>
      </c>
      <c r="V2770" s="24">
        <v>4</v>
      </c>
      <c r="W2770" s="24">
        <v>4</v>
      </c>
      <c r="X2770" s="24">
        <v>3</v>
      </c>
      <c r="Y2770" s="24">
        <v>5</v>
      </c>
      <c r="Z2770" s="20">
        <f t="shared" si="91"/>
        <v>16</v>
      </c>
    </row>
    <row r="2771" spans="1:26" x14ac:dyDescent="0.2">
      <c r="A2771" s="21"/>
      <c r="B2771" s="20"/>
      <c r="C2771" s="22"/>
      <c r="D2771" s="22"/>
      <c r="E2771" s="24"/>
      <c r="F2771" s="22"/>
      <c r="H2771" s="21">
        <v>46064</v>
      </c>
      <c r="I2771" s="22" t="s">
        <v>71</v>
      </c>
      <c r="J2771" s="22" t="s">
        <v>44</v>
      </c>
      <c r="K2771" s="24">
        <v>9</v>
      </c>
      <c r="M2771" s="21"/>
      <c r="N2771" s="22"/>
      <c r="O2771" s="22"/>
      <c r="P2771" s="49"/>
      <c r="Q2771" s="49"/>
      <c r="R2771" s="188" t="str">
        <f t="shared" si="90"/>
        <v/>
      </c>
      <c r="T2771" s="21">
        <v>46120</v>
      </c>
      <c r="U2771" s="22" t="s">
        <v>46</v>
      </c>
      <c r="V2771" s="24">
        <v>5</v>
      </c>
      <c r="W2771" s="24">
        <v>4</v>
      </c>
      <c r="X2771" s="24">
        <v>5</v>
      </c>
      <c r="Y2771" s="24">
        <v>5</v>
      </c>
      <c r="Z2771" s="20">
        <f t="shared" si="91"/>
        <v>19</v>
      </c>
    </row>
    <row r="2772" spans="1:26" x14ac:dyDescent="0.2">
      <c r="A2772" s="21"/>
      <c r="B2772" s="20"/>
      <c r="C2772" s="22"/>
      <c r="D2772" s="22"/>
      <c r="E2772" s="24"/>
      <c r="F2772" s="22"/>
      <c r="H2772" s="21">
        <v>46064</v>
      </c>
      <c r="I2772" s="22" t="s">
        <v>71</v>
      </c>
      <c r="J2772" s="22" t="s">
        <v>45</v>
      </c>
      <c r="K2772" s="24">
        <v>8</v>
      </c>
      <c r="M2772" s="21"/>
      <c r="N2772" s="22"/>
      <c r="O2772" s="22"/>
      <c r="P2772" s="49"/>
      <c r="Q2772" s="49"/>
      <c r="R2772" s="188" t="str">
        <f t="shared" si="90"/>
        <v/>
      </c>
      <c r="T2772" s="21">
        <v>46120</v>
      </c>
      <c r="U2772" s="22" t="s">
        <v>47</v>
      </c>
      <c r="V2772" s="24">
        <v>3</v>
      </c>
      <c r="W2772" s="24">
        <v>4</v>
      </c>
      <c r="X2772" s="24">
        <v>4</v>
      </c>
      <c r="Y2772" s="24">
        <v>2</v>
      </c>
      <c r="Z2772" s="20">
        <f t="shared" si="91"/>
        <v>13</v>
      </c>
    </row>
    <row r="2773" spans="1:26" x14ac:dyDescent="0.2">
      <c r="A2773" s="21"/>
      <c r="B2773" s="20"/>
      <c r="C2773" s="22"/>
      <c r="D2773" s="22"/>
      <c r="E2773" s="24"/>
      <c r="F2773" s="22"/>
      <c r="H2773" s="21">
        <v>46064</v>
      </c>
      <c r="I2773" s="22" t="s">
        <v>71</v>
      </c>
      <c r="J2773" s="22" t="s">
        <v>57</v>
      </c>
      <c r="K2773" s="24">
        <v>3</v>
      </c>
      <c r="M2773" s="21"/>
      <c r="N2773" s="22"/>
      <c r="O2773" s="22"/>
      <c r="P2773" s="49"/>
      <c r="Q2773" s="49"/>
      <c r="R2773" s="188" t="str">
        <f t="shared" si="90"/>
        <v/>
      </c>
      <c r="T2773" s="21">
        <v>46120</v>
      </c>
      <c r="U2773" s="22" t="s">
        <v>48</v>
      </c>
      <c r="V2773" s="24">
        <v>5</v>
      </c>
      <c r="W2773" s="24">
        <v>5</v>
      </c>
      <c r="X2773" s="24">
        <v>5</v>
      </c>
      <c r="Y2773" s="24">
        <v>5</v>
      </c>
      <c r="Z2773" s="20">
        <f t="shared" si="91"/>
        <v>20</v>
      </c>
    </row>
    <row r="2774" spans="1:26" x14ac:dyDescent="0.2">
      <c r="A2774" s="21"/>
      <c r="B2774" s="20"/>
      <c r="C2774" s="22"/>
      <c r="D2774" s="22"/>
      <c r="E2774" s="24"/>
      <c r="F2774" s="22"/>
      <c r="H2774" s="21">
        <v>46064</v>
      </c>
      <c r="I2774" s="22" t="s">
        <v>71</v>
      </c>
      <c r="J2774" s="22" t="s">
        <v>42</v>
      </c>
      <c r="K2774" s="24" t="s">
        <v>63</v>
      </c>
      <c r="M2774" s="21"/>
      <c r="N2774" s="22"/>
      <c r="O2774" s="22"/>
      <c r="P2774" s="49"/>
      <c r="Q2774" s="49"/>
      <c r="R2774" s="188" t="str">
        <f t="shared" ref="R2774:R2837" si="92">IF(OR(P2774="",Q2774=""),"",IFERROR(P2774-Q2774,""))</f>
        <v/>
      </c>
      <c r="T2774" s="21">
        <v>46120</v>
      </c>
      <c r="U2774" s="22" t="s">
        <v>49</v>
      </c>
      <c r="V2774" s="24">
        <v>4</v>
      </c>
      <c r="W2774" s="24">
        <v>3</v>
      </c>
      <c r="X2774" s="24">
        <v>3</v>
      </c>
      <c r="Y2774" s="24">
        <v>3</v>
      </c>
      <c r="Z2774" s="20">
        <f t="shared" si="91"/>
        <v>13</v>
      </c>
    </row>
    <row r="2775" spans="1:26" x14ac:dyDescent="0.2">
      <c r="A2775" s="21"/>
      <c r="B2775" s="20"/>
      <c r="C2775" s="22"/>
      <c r="D2775" s="22"/>
      <c r="E2775" s="24"/>
      <c r="F2775" s="22"/>
      <c r="H2775" s="21">
        <v>46064</v>
      </c>
      <c r="I2775" s="22" t="s">
        <v>71</v>
      </c>
      <c r="J2775" s="22" t="s">
        <v>54</v>
      </c>
      <c r="K2775" s="24" t="s">
        <v>63</v>
      </c>
      <c r="M2775" s="21"/>
      <c r="N2775" s="22"/>
      <c r="O2775" s="22"/>
      <c r="P2775" s="49"/>
      <c r="Q2775" s="49"/>
      <c r="R2775" s="188" t="str">
        <f t="shared" si="92"/>
        <v/>
      </c>
      <c r="T2775" s="21">
        <v>46120</v>
      </c>
      <c r="U2775" s="22" t="s">
        <v>50</v>
      </c>
      <c r="V2775" s="24">
        <v>3</v>
      </c>
      <c r="W2775" s="24">
        <v>1</v>
      </c>
      <c r="X2775" s="24">
        <v>2</v>
      </c>
      <c r="Y2775" s="24">
        <v>2</v>
      </c>
      <c r="Z2775" s="20">
        <f t="shared" si="91"/>
        <v>8</v>
      </c>
    </row>
    <row r="2776" spans="1:26" x14ac:dyDescent="0.2">
      <c r="A2776" s="21"/>
      <c r="B2776" s="20"/>
      <c r="C2776" s="22"/>
      <c r="D2776" s="22"/>
      <c r="E2776" s="24"/>
      <c r="F2776" s="22"/>
      <c r="H2776" s="21">
        <v>46064</v>
      </c>
      <c r="I2776" s="22" t="s">
        <v>71</v>
      </c>
      <c r="J2776" s="22" t="s">
        <v>47</v>
      </c>
      <c r="K2776" s="24" t="s">
        <v>63</v>
      </c>
      <c r="M2776" s="21"/>
      <c r="N2776" s="22"/>
      <c r="O2776" s="22"/>
      <c r="P2776" s="49"/>
      <c r="Q2776" s="49"/>
      <c r="R2776" s="188" t="str">
        <f t="shared" si="92"/>
        <v/>
      </c>
      <c r="T2776" s="21">
        <v>46120</v>
      </c>
      <c r="U2776" s="22" t="s">
        <v>51</v>
      </c>
      <c r="V2776" s="24">
        <v>4</v>
      </c>
      <c r="W2776" s="24">
        <v>4</v>
      </c>
      <c r="X2776" s="24">
        <v>4</v>
      </c>
      <c r="Y2776" s="24">
        <v>4</v>
      </c>
      <c r="Z2776" s="20">
        <f t="shared" si="91"/>
        <v>16</v>
      </c>
    </row>
    <row r="2777" spans="1:26" x14ac:dyDescent="0.2">
      <c r="A2777" s="21"/>
      <c r="B2777" s="20"/>
      <c r="C2777" s="22"/>
      <c r="D2777" s="22"/>
      <c r="E2777" s="24"/>
      <c r="F2777" s="22"/>
      <c r="H2777" s="21">
        <v>46064</v>
      </c>
      <c r="I2777" s="22" t="s">
        <v>71</v>
      </c>
      <c r="J2777" s="22" t="s">
        <v>41</v>
      </c>
      <c r="K2777" s="24">
        <v>9</v>
      </c>
      <c r="M2777" s="21"/>
      <c r="N2777" s="22"/>
      <c r="O2777" s="22"/>
      <c r="P2777" s="49"/>
      <c r="Q2777" s="49"/>
      <c r="R2777" s="188" t="str">
        <f t="shared" si="92"/>
        <v/>
      </c>
      <c r="T2777" s="21">
        <v>46120</v>
      </c>
      <c r="U2777" s="22" t="s">
        <v>52</v>
      </c>
      <c r="V2777" s="24">
        <v>4</v>
      </c>
      <c r="W2777" s="24">
        <v>4</v>
      </c>
      <c r="X2777" s="24">
        <v>4</v>
      </c>
      <c r="Y2777" s="24">
        <v>4</v>
      </c>
      <c r="Z2777" s="20">
        <f t="shared" si="91"/>
        <v>16</v>
      </c>
    </row>
    <row r="2778" spans="1:26" x14ac:dyDescent="0.2">
      <c r="A2778" s="21"/>
      <c r="B2778" s="20"/>
      <c r="C2778" s="22"/>
      <c r="D2778" s="22"/>
      <c r="E2778" s="24"/>
      <c r="F2778" s="22"/>
      <c r="H2778" s="21">
        <v>46064</v>
      </c>
      <c r="I2778" s="22" t="s">
        <v>71</v>
      </c>
      <c r="J2778" s="22" t="s">
        <v>58</v>
      </c>
      <c r="K2778" s="24">
        <v>2</v>
      </c>
      <c r="M2778" s="21"/>
      <c r="N2778" s="22"/>
      <c r="O2778" s="22"/>
      <c r="P2778" s="49"/>
      <c r="Q2778" s="49"/>
      <c r="R2778" s="188" t="str">
        <f t="shared" si="92"/>
        <v/>
      </c>
      <c r="T2778" s="21">
        <v>46120</v>
      </c>
      <c r="U2778" s="22" t="s">
        <v>53</v>
      </c>
      <c r="V2778" s="24">
        <v>4</v>
      </c>
      <c r="W2778" s="24">
        <v>3</v>
      </c>
      <c r="X2778" s="24">
        <v>2</v>
      </c>
      <c r="Y2778" s="24">
        <v>4</v>
      </c>
      <c r="Z2778" s="20">
        <f t="shared" si="91"/>
        <v>13</v>
      </c>
    </row>
    <row r="2779" spans="1:26" x14ac:dyDescent="0.2">
      <c r="A2779" s="21"/>
      <c r="B2779" s="20"/>
      <c r="C2779" s="22"/>
      <c r="D2779" s="22"/>
      <c r="E2779" s="24"/>
      <c r="F2779" s="22"/>
      <c r="H2779" s="21">
        <v>46064</v>
      </c>
      <c r="I2779" s="22" t="s">
        <v>71</v>
      </c>
      <c r="J2779" s="22" t="s">
        <v>49</v>
      </c>
      <c r="K2779" s="24">
        <v>9</v>
      </c>
      <c r="M2779" s="21"/>
      <c r="N2779" s="22"/>
      <c r="O2779" s="22"/>
      <c r="P2779" s="49"/>
      <c r="Q2779" s="49"/>
      <c r="R2779" s="188" t="str">
        <f t="shared" si="92"/>
        <v/>
      </c>
      <c r="T2779" s="21">
        <v>46120</v>
      </c>
      <c r="U2779" s="22" t="s">
        <v>54</v>
      </c>
      <c r="V2779" s="24">
        <v>4</v>
      </c>
      <c r="W2779" s="24">
        <v>3</v>
      </c>
      <c r="X2779" s="24">
        <v>4</v>
      </c>
      <c r="Y2779" s="24">
        <v>3</v>
      </c>
      <c r="Z2779" s="20">
        <f t="shared" si="91"/>
        <v>14</v>
      </c>
    </row>
    <row r="2780" spans="1:26" x14ac:dyDescent="0.2">
      <c r="A2780" s="21"/>
      <c r="B2780" s="20"/>
      <c r="C2780" s="22"/>
      <c r="D2780" s="22"/>
      <c r="E2780" s="24"/>
      <c r="F2780" s="22"/>
      <c r="H2780" s="21">
        <v>46064</v>
      </c>
      <c r="I2780" s="22" t="s">
        <v>71</v>
      </c>
      <c r="J2780" s="22" t="s">
        <v>50</v>
      </c>
      <c r="K2780" s="24">
        <v>8</v>
      </c>
      <c r="M2780" s="21"/>
      <c r="N2780" s="22"/>
      <c r="O2780" s="22"/>
      <c r="P2780" s="49"/>
      <c r="Q2780" s="49"/>
      <c r="R2780" s="188" t="str">
        <f t="shared" si="92"/>
        <v/>
      </c>
      <c r="T2780" s="21">
        <v>46120</v>
      </c>
      <c r="U2780" s="22" t="s">
        <v>55</v>
      </c>
      <c r="V2780" s="24">
        <v>5</v>
      </c>
      <c r="W2780" s="24">
        <v>5</v>
      </c>
      <c r="X2780" s="24">
        <v>5</v>
      </c>
      <c r="Y2780" s="24">
        <v>5</v>
      </c>
      <c r="Z2780" s="20">
        <f t="shared" si="91"/>
        <v>20</v>
      </c>
    </row>
    <row r="2781" spans="1:26" x14ac:dyDescent="0.2">
      <c r="A2781" s="21"/>
      <c r="B2781" s="20"/>
      <c r="C2781" s="22"/>
      <c r="D2781" s="22"/>
      <c r="E2781" s="24"/>
      <c r="F2781" s="22"/>
      <c r="H2781" s="21">
        <v>46064</v>
      </c>
      <c r="I2781" s="22" t="s">
        <v>71</v>
      </c>
      <c r="J2781" s="22" t="s">
        <v>51</v>
      </c>
      <c r="K2781" s="24">
        <v>9</v>
      </c>
      <c r="M2781" s="21"/>
      <c r="N2781" s="22"/>
      <c r="O2781" s="22"/>
      <c r="P2781" s="49"/>
      <c r="Q2781" s="49"/>
      <c r="R2781" s="188" t="str">
        <f t="shared" si="92"/>
        <v/>
      </c>
      <c r="T2781" s="21">
        <v>46120</v>
      </c>
      <c r="U2781" s="22" t="s">
        <v>56</v>
      </c>
      <c r="V2781" s="24">
        <v>4</v>
      </c>
      <c r="W2781" s="24">
        <v>3</v>
      </c>
      <c r="X2781" s="24">
        <v>3</v>
      </c>
      <c r="Y2781" s="24">
        <v>4</v>
      </c>
      <c r="Z2781" s="20">
        <f t="shared" si="91"/>
        <v>14</v>
      </c>
    </row>
    <row r="2782" spans="1:26" x14ac:dyDescent="0.2">
      <c r="A2782" s="21"/>
      <c r="B2782" s="20"/>
      <c r="C2782" s="22"/>
      <c r="D2782" s="22"/>
      <c r="E2782" s="24"/>
      <c r="F2782" s="22"/>
      <c r="H2782" s="21">
        <v>46064</v>
      </c>
      <c r="I2782" s="22" t="s">
        <v>71</v>
      </c>
      <c r="J2782" s="22" t="s">
        <v>46</v>
      </c>
      <c r="K2782" s="24">
        <v>10</v>
      </c>
      <c r="M2782" s="21"/>
      <c r="N2782" s="22"/>
      <c r="O2782" s="22"/>
      <c r="P2782" s="49"/>
      <c r="Q2782" s="49"/>
      <c r="R2782" s="188" t="str">
        <f t="shared" si="92"/>
        <v/>
      </c>
      <c r="T2782" s="21">
        <v>46120</v>
      </c>
      <c r="U2782" s="22" t="s">
        <v>57</v>
      </c>
      <c r="V2782" s="24">
        <v>3</v>
      </c>
      <c r="W2782" s="24">
        <v>2</v>
      </c>
      <c r="X2782" s="24">
        <v>4</v>
      </c>
      <c r="Y2782" s="24">
        <v>3</v>
      </c>
      <c r="Z2782" s="20">
        <f t="shared" si="91"/>
        <v>12</v>
      </c>
    </row>
    <row r="2783" spans="1:26" x14ac:dyDescent="0.2">
      <c r="A2783" s="21"/>
      <c r="B2783" s="20"/>
      <c r="C2783" s="22"/>
      <c r="D2783" s="22"/>
      <c r="E2783" s="24"/>
      <c r="F2783" s="22"/>
      <c r="H2783" s="21">
        <v>46064</v>
      </c>
      <c r="I2783" s="22" t="s">
        <v>71</v>
      </c>
      <c r="J2783" s="22" t="s">
        <v>48</v>
      </c>
      <c r="K2783" s="24">
        <v>8</v>
      </c>
      <c r="M2783" s="21"/>
      <c r="N2783" s="22"/>
      <c r="O2783" s="22"/>
      <c r="P2783" s="49"/>
      <c r="Q2783" s="49"/>
      <c r="R2783" s="188" t="str">
        <f t="shared" si="92"/>
        <v/>
      </c>
      <c r="T2783" s="21">
        <v>46120</v>
      </c>
      <c r="U2783" s="22" t="s">
        <v>58</v>
      </c>
      <c r="V2783" s="24">
        <v>4</v>
      </c>
      <c r="W2783" s="24">
        <v>3</v>
      </c>
      <c r="X2783" s="24">
        <v>3</v>
      </c>
      <c r="Y2783" s="24">
        <v>4</v>
      </c>
      <c r="Z2783" s="20">
        <f t="shared" si="91"/>
        <v>14</v>
      </c>
    </row>
    <row r="2784" spans="1:26" x14ac:dyDescent="0.2">
      <c r="A2784" s="21"/>
      <c r="B2784" s="20"/>
      <c r="C2784" s="22"/>
      <c r="D2784" s="22"/>
      <c r="E2784" s="24"/>
      <c r="F2784" s="22"/>
      <c r="H2784" s="21">
        <v>46064</v>
      </c>
      <c r="I2784" s="22" t="s">
        <v>71</v>
      </c>
      <c r="J2784" s="22" t="s">
        <v>56</v>
      </c>
      <c r="K2784" s="24" t="s">
        <v>60</v>
      </c>
      <c r="M2784" s="21"/>
      <c r="N2784" s="22"/>
      <c r="O2784" s="22"/>
      <c r="P2784" s="49"/>
      <c r="Q2784" s="49"/>
      <c r="R2784" s="188" t="str">
        <f t="shared" si="92"/>
        <v/>
      </c>
      <c r="T2784" s="21">
        <v>46120</v>
      </c>
      <c r="U2784" s="22" t="s">
        <v>33</v>
      </c>
      <c r="V2784" s="24">
        <v>3.8125</v>
      </c>
      <c r="W2784" s="24">
        <v>3.3125</v>
      </c>
      <c r="X2784" s="24">
        <v>3.5</v>
      </c>
      <c r="Y2784" s="24">
        <v>3.625</v>
      </c>
      <c r="Z2784" s="20">
        <f t="shared" si="91"/>
        <v>14.25</v>
      </c>
    </row>
    <row r="2785" spans="1:26" x14ac:dyDescent="0.2">
      <c r="A2785" s="21"/>
      <c r="B2785" s="20"/>
      <c r="C2785" s="22"/>
      <c r="D2785" s="22"/>
      <c r="E2785" s="24"/>
      <c r="F2785" s="22"/>
      <c r="H2785" s="21">
        <v>46065</v>
      </c>
      <c r="I2785" s="22" t="s">
        <v>70</v>
      </c>
      <c r="J2785" s="22" t="s">
        <v>52</v>
      </c>
      <c r="K2785" s="24">
        <v>1</v>
      </c>
      <c r="M2785" s="21"/>
      <c r="N2785" s="22"/>
      <c r="O2785" s="22"/>
      <c r="P2785" s="49"/>
      <c r="Q2785" s="49"/>
      <c r="R2785" s="188" t="str">
        <f t="shared" si="92"/>
        <v/>
      </c>
      <c r="T2785" s="21">
        <v>46121</v>
      </c>
      <c r="U2785" s="22" t="s">
        <v>41</v>
      </c>
      <c r="V2785" s="24">
        <v>1</v>
      </c>
      <c r="W2785" s="24">
        <v>1</v>
      </c>
      <c r="X2785" s="24">
        <v>1</v>
      </c>
      <c r="Y2785" s="24">
        <v>1</v>
      </c>
      <c r="Z2785" s="20">
        <f t="shared" si="91"/>
        <v>4</v>
      </c>
    </row>
    <row r="2786" spans="1:26" x14ac:dyDescent="0.2">
      <c r="A2786" s="21"/>
      <c r="B2786" s="20"/>
      <c r="C2786" s="22"/>
      <c r="D2786" s="22"/>
      <c r="E2786" s="24"/>
      <c r="F2786" s="22"/>
      <c r="H2786" s="21">
        <v>46065</v>
      </c>
      <c r="I2786" s="22" t="s">
        <v>70</v>
      </c>
      <c r="J2786" s="22" t="s">
        <v>53</v>
      </c>
      <c r="K2786" s="24">
        <v>1</v>
      </c>
      <c r="M2786" s="21"/>
      <c r="N2786" s="22"/>
      <c r="O2786" s="22"/>
      <c r="P2786" s="49"/>
      <c r="Q2786" s="49"/>
      <c r="R2786" s="188" t="str">
        <f t="shared" si="92"/>
        <v/>
      </c>
      <c r="T2786" s="21">
        <v>46121</v>
      </c>
      <c r="U2786" s="22" t="s">
        <v>42</v>
      </c>
      <c r="V2786" s="24">
        <v>4</v>
      </c>
      <c r="W2786" s="24">
        <v>4</v>
      </c>
      <c r="X2786" s="24">
        <v>4</v>
      </c>
      <c r="Y2786" s="24">
        <v>4</v>
      </c>
      <c r="Z2786" s="20">
        <f t="shared" si="91"/>
        <v>16</v>
      </c>
    </row>
    <row r="2787" spans="1:26" x14ac:dyDescent="0.2">
      <c r="A2787" s="21"/>
      <c r="B2787" s="20"/>
      <c r="C2787" s="22"/>
      <c r="D2787" s="22"/>
      <c r="E2787" s="24"/>
      <c r="F2787" s="22"/>
      <c r="H2787" s="21">
        <v>46065</v>
      </c>
      <c r="I2787" s="22" t="s">
        <v>70</v>
      </c>
      <c r="J2787" s="22" t="s">
        <v>44</v>
      </c>
      <c r="K2787" s="24">
        <v>1</v>
      </c>
      <c r="M2787" s="21"/>
      <c r="N2787" s="22"/>
      <c r="O2787" s="22"/>
      <c r="P2787" s="49"/>
      <c r="Q2787" s="49"/>
      <c r="R2787" s="188" t="str">
        <f t="shared" si="92"/>
        <v/>
      </c>
      <c r="T2787" s="21">
        <v>46121</v>
      </c>
      <c r="U2787" s="22" t="s">
        <v>46</v>
      </c>
      <c r="V2787" s="24">
        <v>5</v>
      </c>
      <c r="W2787" s="24">
        <v>5</v>
      </c>
      <c r="X2787" s="24">
        <v>5</v>
      </c>
      <c r="Y2787" s="24">
        <v>5</v>
      </c>
      <c r="Z2787" s="20">
        <f t="shared" si="91"/>
        <v>20</v>
      </c>
    </row>
    <row r="2788" spans="1:26" x14ac:dyDescent="0.2">
      <c r="A2788" s="21"/>
      <c r="B2788" s="20"/>
      <c r="C2788" s="22"/>
      <c r="D2788" s="22"/>
      <c r="E2788" s="24"/>
      <c r="F2788" s="22"/>
      <c r="H2788" s="21">
        <v>46065</v>
      </c>
      <c r="I2788" s="22" t="s">
        <v>70</v>
      </c>
      <c r="J2788" s="22" t="s">
        <v>45</v>
      </c>
      <c r="K2788" s="24">
        <v>1</v>
      </c>
      <c r="M2788" s="21"/>
      <c r="N2788" s="22"/>
      <c r="O2788" s="22"/>
      <c r="P2788" s="49"/>
      <c r="Q2788" s="49"/>
      <c r="R2788" s="188" t="str">
        <f t="shared" si="92"/>
        <v/>
      </c>
      <c r="T2788" s="21">
        <v>46121</v>
      </c>
      <c r="U2788" s="22" t="s">
        <v>47</v>
      </c>
      <c r="V2788" s="24">
        <v>5</v>
      </c>
      <c r="W2788" s="24">
        <v>5</v>
      </c>
      <c r="X2788" s="24">
        <v>5</v>
      </c>
      <c r="Y2788" s="24">
        <v>5</v>
      </c>
      <c r="Z2788" s="20">
        <f t="shared" si="91"/>
        <v>20</v>
      </c>
    </row>
    <row r="2789" spans="1:26" x14ac:dyDescent="0.2">
      <c r="A2789" s="21"/>
      <c r="B2789" s="20"/>
      <c r="C2789" s="22"/>
      <c r="D2789" s="22"/>
      <c r="E2789" s="24"/>
      <c r="F2789" s="22"/>
      <c r="H2789" s="21">
        <v>46065</v>
      </c>
      <c r="I2789" s="22" t="s">
        <v>70</v>
      </c>
      <c r="J2789" s="22" t="s">
        <v>42</v>
      </c>
      <c r="K2789" s="24">
        <v>3</v>
      </c>
      <c r="M2789" s="21"/>
      <c r="N2789" s="22"/>
      <c r="O2789" s="22"/>
      <c r="P2789" s="49"/>
      <c r="Q2789" s="49"/>
      <c r="R2789" s="188" t="str">
        <f t="shared" si="92"/>
        <v/>
      </c>
      <c r="T2789" s="21">
        <v>46121</v>
      </c>
      <c r="U2789" s="22" t="s">
        <v>49</v>
      </c>
      <c r="V2789" s="24">
        <v>4</v>
      </c>
      <c r="W2789" s="24">
        <v>3</v>
      </c>
      <c r="X2789" s="24">
        <v>3</v>
      </c>
      <c r="Y2789" s="24">
        <v>3</v>
      </c>
      <c r="Z2789" s="20">
        <f t="shared" si="91"/>
        <v>13</v>
      </c>
    </row>
    <row r="2790" spans="1:26" x14ac:dyDescent="0.2">
      <c r="A2790" s="21"/>
      <c r="B2790" s="20"/>
      <c r="C2790" s="22"/>
      <c r="D2790" s="22"/>
      <c r="E2790" s="24"/>
      <c r="F2790" s="22"/>
      <c r="H2790" s="21">
        <v>46065</v>
      </c>
      <c r="I2790" s="22" t="s">
        <v>70</v>
      </c>
      <c r="J2790" s="22" t="s">
        <v>47</v>
      </c>
      <c r="K2790" s="24">
        <v>1</v>
      </c>
      <c r="M2790" s="21"/>
      <c r="N2790" s="22"/>
      <c r="O2790" s="22"/>
      <c r="P2790" s="49"/>
      <c r="Q2790" s="49"/>
      <c r="R2790" s="188" t="str">
        <f t="shared" si="92"/>
        <v/>
      </c>
      <c r="T2790" s="21">
        <v>46121</v>
      </c>
      <c r="U2790" s="22" t="s">
        <v>50</v>
      </c>
      <c r="V2790" s="24">
        <v>4</v>
      </c>
      <c r="W2790" s="24">
        <v>3</v>
      </c>
      <c r="X2790" s="24">
        <v>3</v>
      </c>
      <c r="Y2790" s="24">
        <v>3</v>
      </c>
      <c r="Z2790" s="20">
        <f t="shared" si="91"/>
        <v>13</v>
      </c>
    </row>
    <row r="2791" spans="1:26" x14ac:dyDescent="0.2">
      <c r="A2791" s="21"/>
      <c r="B2791" s="20"/>
      <c r="C2791" s="22"/>
      <c r="D2791" s="22"/>
      <c r="E2791" s="24"/>
      <c r="F2791" s="22"/>
      <c r="H2791" s="21">
        <v>46065</v>
      </c>
      <c r="I2791" s="22" t="s">
        <v>70</v>
      </c>
      <c r="J2791" s="22" t="s">
        <v>41</v>
      </c>
      <c r="K2791" s="24">
        <v>1</v>
      </c>
      <c r="M2791" s="21"/>
      <c r="N2791" s="22"/>
      <c r="O2791" s="22"/>
      <c r="P2791" s="49"/>
      <c r="Q2791" s="49"/>
      <c r="R2791" s="188" t="str">
        <f t="shared" si="92"/>
        <v/>
      </c>
      <c r="T2791" s="21">
        <v>46121</v>
      </c>
      <c r="U2791" s="22" t="s">
        <v>51</v>
      </c>
      <c r="V2791" s="24">
        <v>4</v>
      </c>
      <c r="W2791" s="24">
        <v>4</v>
      </c>
      <c r="X2791" s="24">
        <v>4</v>
      </c>
      <c r="Y2791" s="24">
        <v>4</v>
      </c>
      <c r="Z2791" s="20">
        <f t="shared" si="91"/>
        <v>16</v>
      </c>
    </row>
    <row r="2792" spans="1:26" x14ac:dyDescent="0.2">
      <c r="A2792" s="21"/>
      <c r="B2792" s="20"/>
      <c r="C2792" s="22"/>
      <c r="D2792" s="22"/>
      <c r="E2792" s="24"/>
      <c r="F2792" s="22"/>
      <c r="H2792" s="21">
        <v>46065</v>
      </c>
      <c r="I2792" s="22" t="s">
        <v>70</v>
      </c>
      <c r="J2792" s="22" t="s">
        <v>49</v>
      </c>
      <c r="K2792" s="24">
        <v>1</v>
      </c>
      <c r="M2792" s="21"/>
      <c r="N2792" s="22"/>
      <c r="O2792" s="22"/>
      <c r="P2792" s="49"/>
      <c r="Q2792" s="49"/>
      <c r="R2792" s="188" t="str">
        <f t="shared" si="92"/>
        <v/>
      </c>
      <c r="T2792" s="21">
        <v>46121</v>
      </c>
      <c r="U2792" s="22" t="s">
        <v>52</v>
      </c>
      <c r="V2792" s="24">
        <v>4</v>
      </c>
      <c r="W2792" s="24">
        <v>4</v>
      </c>
      <c r="X2792" s="24">
        <v>4</v>
      </c>
      <c r="Y2792" s="24">
        <v>4</v>
      </c>
      <c r="Z2792" s="20">
        <f t="shared" si="91"/>
        <v>16</v>
      </c>
    </row>
    <row r="2793" spans="1:26" x14ac:dyDescent="0.2">
      <c r="A2793" s="21"/>
      <c r="B2793" s="20"/>
      <c r="C2793" s="22"/>
      <c r="D2793" s="22"/>
      <c r="E2793" s="24"/>
      <c r="F2793" s="22"/>
      <c r="H2793" s="21">
        <v>46065</v>
      </c>
      <c r="I2793" s="22" t="s">
        <v>70</v>
      </c>
      <c r="J2793" s="22" t="s">
        <v>50</v>
      </c>
      <c r="K2793" s="24">
        <v>1</v>
      </c>
      <c r="M2793" s="21"/>
      <c r="N2793" s="22"/>
      <c r="O2793" s="22"/>
      <c r="P2793" s="49"/>
      <c r="Q2793" s="49"/>
      <c r="R2793" s="188" t="str">
        <f t="shared" si="92"/>
        <v/>
      </c>
      <c r="T2793" s="21">
        <v>46121</v>
      </c>
      <c r="U2793" s="22" t="s">
        <v>53</v>
      </c>
      <c r="V2793" s="24">
        <v>4</v>
      </c>
      <c r="W2793" s="24">
        <v>4</v>
      </c>
      <c r="X2793" s="24">
        <v>3</v>
      </c>
      <c r="Y2793" s="24">
        <v>4</v>
      </c>
      <c r="Z2793" s="20">
        <f t="shared" si="91"/>
        <v>15</v>
      </c>
    </row>
    <row r="2794" spans="1:26" x14ac:dyDescent="0.2">
      <c r="A2794" s="21"/>
      <c r="B2794" s="20"/>
      <c r="C2794" s="22"/>
      <c r="D2794" s="22"/>
      <c r="E2794" s="24"/>
      <c r="F2794" s="22"/>
      <c r="H2794" s="21">
        <v>46065</v>
      </c>
      <c r="I2794" s="22" t="s">
        <v>70</v>
      </c>
      <c r="J2794" s="22" t="s">
        <v>51</v>
      </c>
      <c r="K2794" s="24">
        <v>1</v>
      </c>
      <c r="M2794" s="21"/>
      <c r="N2794" s="22"/>
      <c r="O2794" s="22"/>
      <c r="P2794" s="49"/>
      <c r="Q2794" s="49"/>
      <c r="R2794" s="188" t="str">
        <f t="shared" si="92"/>
        <v/>
      </c>
      <c r="T2794" s="21">
        <v>46121</v>
      </c>
      <c r="U2794" s="22" t="s">
        <v>55</v>
      </c>
      <c r="V2794" s="24">
        <v>5</v>
      </c>
      <c r="W2794" s="24">
        <v>5</v>
      </c>
      <c r="X2794" s="24">
        <v>5</v>
      </c>
      <c r="Y2794" s="24">
        <v>5</v>
      </c>
      <c r="Z2794" s="20">
        <f t="shared" si="91"/>
        <v>20</v>
      </c>
    </row>
    <row r="2795" spans="1:26" x14ac:dyDescent="0.2">
      <c r="A2795" s="21"/>
      <c r="B2795" s="20"/>
      <c r="C2795" s="22"/>
      <c r="D2795" s="22"/>
      <c r="E2795" s="24"/>
      <c r="F2795" s="22"/>
      <c r="H2795" s="21">
        <v>46065</v>
      </c>
      <c r="I2795" s="22" t="s">
        <v>70</v>
      </c>
      <c r="J2795" s="22" t="s">
        <v>46</v>
      </c>
      <c r="K2795" s="24">
        <v>1</v>
      </c>
      <c r="M2795" s="21"/>
      <c r="N2795" s="22"/>
      <c r="O2795" s="22"/>
      <c r="P2795" s="49"/>
      <c r="Q2795" s="49"/>
      <c r="R2795" s="188" t="str">
        <f t="shared" si="92"/>
        <v/>
      </c>
      <c r="T2795" s="21">
        <v>46121</v>
      </c>
      <c r="U2795" s="22" t="s">
        <v>56</v>
      </c>
      <c r="V2795" s="24">
        <v>4</v>
      </c>
      <c r="W2795" s="24">
        <v>3</v>
      </c>
      <c r="X2795" s="24">
        <v>3</v>
      </c>
      <c r="Y2795" s="24">
        <v>5</v>
      </c>
      <c r="Z2795" s="20">
        <f t="shared" si="91"/>
        <v>15</v>
      </c>
    </row>
    <row r="2796" spans="1:26" x14ac:dyDescent="0.2">
      <c r="A2796" s="21"/>
      <c r="B2796" s="20"/>
      <c r="C2796" s="22"/>
      <c r="D2796" s="22"/>
      <c r="E2796" s="24"/>
      <c r="F2796" s="22"/>
      <c r="H2796" s="21">
        <v>46065</v>
      </c>
      <c r="I2796" s="22" t="s">
        <v>70</v>
      </c>
      <c r="J2796" s="22" t="s">
        <v>48</v>
      </c>
      <c r="K2796" s="24">
        <v>1</v>
      </c>
      <c r="M2796" s="21"/>
      <c r="N2796" s="22"/>
      <c r="O2796" s="22"/>
      <c r="P2796" s="49"/>
      <c r="Q2796" s="49"/>
      <c r="R2796" s="188" t="str">
        <f t="shared" si="92"/>
        <v/>
      </c>
      <c r="T2796" s="21">
        <v>46121</v>
      </c>
      <c r="U2796" s="22" t="s">
        <v>57</v>
      </c>
      <c r="V2796" s="24">
        <v>4</v>
      </c>
      <c r="W2796" s="24">
        <v>4</v>
      </c>
      <c r="X2796" s="24">
        <v>4</v>
      </c>
      <c r="Y2796" s="24">
        <v>4</v>
      </c>
      <c r="Z2796" s="20">
        <f t="shared" si="91"/>
        <v>16</v>
      </c>
    </row>
    <row r="2797" spans="1:26" x14ac:dyDescent="0.2">
      <c r="A2797" s="21"/>
      <c r="B2797" s="20"/>
      <c r="C2797" s="22"/>
      <c r="D2797" s="22"/>
      <c r="E2797" s="24"/>
      <c r="F2797" s="22"/>
      <c r="H2797" s="21">
        <v>46066</v>
      </c>
      <c r="I2797" s="22" t="s">
        <v>70</v>
      </c>
      <c r="J2797" s="22" t="s">
        <v>52</v>
      </c>
      <c r="K2797" s="24">
        <v>4</v>
      </c>
      <c r="M2797" s="21"/>
      <c r="N2797" s="22"/>
      <c r="O2797" s="22"/>
      <c r="P2797" s="49"/>
      <c r="Q2797" s="49"/>
      <c r="R2797" s="188" t="str">
        <f t="shared" si="92"/>
        <v/>
      </c>
      <c r="T2797" s="21">
        <v>46121</v>
      </c>
      <c r="U2797" s="22" t="s">
        <v>33</v>
      </c>
      <c r="V2797" s="24">
        <v>4</v>
      </c>
      <c r="W2797" s="24">
        <v>3.75</v>
      </c>
      <c r="X2797" s="24">
        <v>3.6666666666666701</v>
      </c>
      <c r="Y2797" s="24">
        <v>3.9166666666666701</v>
      </c>
      <c r="Z2797" s="20">
        <f t="shared" si="91"/>
        <v>15.333333333333339</v>
      </c>
    </row>
    <row r="2798" spans="1:26" x14ac:dyDescent="0.2">
      <c r="A2798" s="21"/>
      <c r="B2798" s="20"/>
      <c r="C2798" s="22"/>
      <c r="D2798" s="22"/>
      <c r="E2798" s="24"/>
      <c r="F2798" s="22"/>
      <c r="H2798" s="21">
        <v>46066</v>
      </c>
      <c r="I2798" s="22" t="s">
        <v>70</v>
      </c>
      <c r="J2798" s="22" t="s">
        <v>53</v>
      </c>
      <c r="K2798" s="24">
        <v>4</v>
      </c>
      <c r="M2798" s="21"/>
      <c r="N2798" s="22"/>
      <c r="O2798" s="22"/>
      <c r="P2798" s="49"/>
      <c r="Q2798" s="49"/>
      <c r="R2798" s="188" t="str">
        <f t="shared" si="92"/>
        <v/>
      </c>
      <c r="T2798" s="21">
        <v>46122</v>
      </c>
      <c r="U2798" s="22" t="s">
        <v>41</v>
      </c>
      <c r="V2798" s="24">
        <v>1</v>
      </c>
      <c r="W2798" s="24">
        <v>1</v>
      </c>
      <c r="X2798" s="24">
        <v>1</v>
      </c>
      <c r="Y2798" s="24">
        <v>1</v>
      </c>
      <c r="Z2798" s="20">
        <f t="shared" si="91"/>
        <v>4</v>
      </c>
    </row>
    <row r="2799" spans="1:26" x14ac:dyDescent="0.2">
      <c r="A2799" s="21"/>
      <c r="B2799" s="20"/>
      <c r="C2799" s="22"/>
      <c r="D2799" s="22"/>
      <c r="E2799" s="24"/>
      <c r="F2799" s="22"/>
      <c r="H2799" s="21">
        <v>46066</v>
      </c>
      <c r="I2799" s="22" t="s">
        <v>70</v>
      </c>
      <c r="J2799" s="22" t="s">
        <v>44</v>
      </c>
      <c r="K2799" s="24">
        <v>3</v>
      </c>
      <c r="M2799" s="21"/>
      <c r="N2799" s="22"/>
      <c r="O2799" s="22"/>
      <c r="P2799" s="49"/>
      <c r="Q2799" s="49"/>
      <c r="R2799" s="188" t="str">
        <f t="shared" si="92"/>
        <v/>
      </c>
      <c r="T2799" s="21">
        <v>46122</v>
      </c>
      <c r="U2799" s="22" t="s">
        <v>42</v>
      </c>
      <c r="V2799" s="24">
        <v>4</v>
      </c>
      <c r="W2799" s="24">
        <v>4</v>
      </c>
      <c r="X2799" s="24">
        <v>4</v>
      </c>
      <c r="Y2799" s="24">
        <v>4</v>
      </c>
      <c r="Z2799" s="20">
        <f t="shared" si="91"/>
        <v>16</v>
      </c>
    </row>
    <row r="2800" spans="1:26" x14ac:dyDescent="0.2">
      <c r="A2800" s="21"/>
      <c r="B2800" s="20"/>
      <c r="C2800" s="22"/>
      <c r="D2800" s="22"/>
      <c r="E2800" s="24"/>
      <c r="F2800" s="22"/>
      <c r="H2800" s="21">
        <v>46066</v>
      </c>
      <c r="I2800" s="22" t="s">
        <v>70</v>
      </c>
      <c r="J2800" s="22" t="s">
        <v>45</v>
      </c>
      <c r="K2800" s="24">
        <v>4</v>
      </c>
      <c r="M2800" s="21"/>
      <c r="N2800" s="22"/>
      <c r="O2800" s="22"/>
      <c r="P2800" s="49"/>
      <c r="Q2800" s="49"/>
      <c r="R2800" s="188" t="str">
        <f t="shared" si="92"/>
        <v/>
      </c>
      <c r="T2800" s="21">
        <v>46122</v>
      </c>
      <c r="U2800" s="22" t="s">
        <v>46</v>
      </c>
      <c r="V2800" s="24">
        <v>5</v>
      </c>
      <c r="W2800" s="24">
        <v>5</v>
      </c>
      <c r="X2800" s="24">
        <v>5</v>
      </c>
      <c r="Y2800" s="24">
        <v>5</v>
      </c>
      <c r="Z2800" s="20">
        <f t="shared" si="91"/>
        <v>20</v>
      </c>
    </row>
    <row r="2801" spans="1:26" x14ac:dyDescent="0.2">
      <c r="A2801" s="21"/>
      <c r="B2801" s="20"/>
      <c r="C2801" s="22"/>
      <c r="D2801" s="22"/>
      <c r="E2801" s="24"/>
      <c r="F2801" s="22"/>
      <c r="H2801" s="21">
        <v>46066</v>
      </c>
      <c r="I2801" s="22" t="s">
        <v>70</v>
      </c>
      <c r="J2801" s="22" t="s">
        <v>57</v>
      </c>
      <c r="K2801" s="24">
        <v>3</v>
      </c>
      <c r="M2801" s="21"/>
      <c r="N2801" s="22"/>
      <c r="O2801" s="22"/>
      <c r="P2801" s="49"/>
      <c r="Q2801" s="49"/>
      <c r="R2801" s="188" t="str">
        <f t="shared" si="92"/>
        <v/>
      </c>
      <c r="T2801" s="21">
        <v>46122</v>
      </c>
      <c r="U2801" s="22" t="s">
        <v>47</v>
      </c>
      <c r="V2801" s="24">
        <v>5</v>
      </c>
      <c r="W2801" s="24">
        <v>5</v>
      </c>
      <c r="X2801" s="24">
        <v>5</v>
      </c>
      <c r="Y2801" s="24">
        <v>5</v>
      </c>
      <c r="Z2801" s="20">
        <f t="shared" si="91"/>
        <v>20</v>
      </c>
    </row>
    <row r="2802" spans="1:26" x14ac:dyDescent="0.2">
      <c r="A2802" s="21"/>
      <c r="B2802" s="20"/>
      <c r="C2802" s="22"/>
      <c r="D2802" s="22"/>
      <c r="E2802" s="24"/>
      <c r="F2802" s="22"/>
      <c r="H2802" s="21">
        <v>46066</v>
      </c>
      <c r="I2802" s="22" t="s">
        <v>70</v>
      </c>
      <c r="J2802" s="22" t="s">
        <v>42</v>
      </c>
      <c r="K2802" s="24">
        <v>1</v>
      </c>
      <c r="M2802" s="21"/>
      <c r="N2802" s="22"/>
      <c r="O2802" s="22"/>
      <c r="P2802" s="49"/>
      <c r="Q2802" s="49"/>
      <c r="R2802" s="188" t="str">
        <f t="shared" si="92"/>
        <v/>
      </c>
      <c r="T2802" s="21">
        <v>46122</v>
      </c>
      <c r="U2802" s="22" t="s">
        <v>49</v>
      </c>
      <c r="V2802" s="24">
        <v>4</v>
      </c>
      <c r="W2802" s="24">
        <v>3</v>
      </c>
      <c r="X2802" s="24">
        <v>3</v>
      </c>
      <c r="Y2802" s="24">
        <v>3</v>
      </c>
      <c r="Z2802" s="20">
        <f t="shared" si="91"/>
        <v>13</v>
      </c>
    </row>
    <row r="2803" spans="1:26" x14ac:dyDescent="0.2">
      <c r="A2803" s="21"/>
      <c r="B2803" s="20"/>
      <c r="C2803" s="22"/>
      <c r="D2803" s="22"/>
      <c r="E2803" s="24"/>
      <c r="F2803" s="22"/>
      <c r="H2803" s="21">
        <v>46066</v>
      </c>
      <c r="I2803" s="22" t="s">
        <v>70</v>
      </c>
      <c r="J2803" s="22" t="s">
        <v>47</v>
      </c>
      <c r="K2803" s="24">
        <v>2</v>
      </c>
      <c r="M2803" s="21"/>
      <c r="N2803" s="22"/>
      <c r="O2803" s="22"/>
      <c r="P2803" s="49"/>
      <c r="Q2803" s="49"/>
      <c r="R2803" s="188" t="str">
        <f t="shared" si="92"/>
        <v/>
      </c>
      <c r="T2803" s="21">
        <v>46122</v>
      </c>
      <c r="U2803" s="22" t="s">
        <v>50</v>
      </c>
      <c r="V2803" s="24">
        <v>4</v>
      </c>
      <c r="W2803" s="24">
        <v>3</v>
      </c>
      <c r="X2803" s="24">
        <v>3</v>
      </c>
      <c r="Y2803" s="24">
        <v>3</v>
      </c>
      <c r="Z2803" s="20">
        <f t="shared" si="91"/>
        <v>13</v>
      </c>
    </row>
    <row r="2804" spans="1:26" x14ac:dyDescent="0.2">
      <c r="A2804" s="21"/>
      <c r="B2804" s="20"/>
      <c r="C2804" s="22"/>
      <c r="D2804" s="22"/>
      <c r="E2804" s="24"/>
      <c r="F2804" s="22"/>
      <c r="H2804" s="21">
        <v>46066</v>
      </c>
      <c r="I2804" s="22" t="s">
        <v>70</v>
      </c>
      <c r="J2804" s="22" t="s">
        <v>41</v>
      </c>
      <c r="K2804" s="24">
        <v>3</v>
      </c>
      <c r="M2804" s="21"/>
      <c r="N2804" s="22"/>
      <c r="O2804" s="22"/>
      <c r="P2804" s="49"/>
      <c r="Q2804" s="49"/>
      <c r="R2804" s="188" t="str">
        <f t="shared" si="92"/>
        <v/>
      </c>
      <c r="T2804" s="21">
        <v>46122</v>
      </c>
      <c r="U2804" s="22" t="s">
        <v>51</v>
      </c>
      <c r="V2804" s="24">
        <v>4</v>
      </c>
      <c r="W2804" s="24">
        <v>4</v>
      </c>
      <c r="X2804" s="24">
        <v>4</v>
      </c>
      <c r="Y2804" s="24">
        <v>4</v>
      </c>
      <c r="Z2804" s="20">
        <f t="shared" si="91"/>
        <v>16</v>
      </c>
    </row>
    <row r="2805" spans="1:26" x14ac:dyDescent="0.2">
      <c r="A2805" s="21"/>
      <c r="B2805" s="20"/>
      <c r="C2805" s="22"/>
      <c r="D2805" s="22"/>
      <c r="E2805" s="24"/>
      <c r="F2805" s="22"/>
      <c r="H2805" s="21">
        <v>46066</v>
      </c>
      <c r="I2805" s="22" t="s">
        <v>70</v>
      </c>
      <c r="J2805" s="22" t="s">
        <v>58</v>
      </c>
      <c r="K2805" s="24">
        <v>4</v>
      </c>
      <c r="M2805" s="21"/>
      <c r="N2805" s="22"/>
      <c r="O2805" s="22"/>
      <c r="P2805" s="49"/>
      <c r="Q2805" s="49"/>
      <c r="R2805" s="188" t="str">
        <f t="shared" si="92"/>
        <v/>
      </c>
      <c r="T2805" s="21">
        <v>46122</v>
      </c>
      <c r="U2805" s="22" t="s">
        <v>52</v>
      </c>
      <c r="V2805" s="24">
        <v>4</v>
      </c>
      <c r="W2805" s="24">
        <v>4</v>
      </c>
      <c r="X2805" s="24">
        <v>4</v>
      </c>
      <c r="Y2805" s="24">
        <v>4</v>
      </c>
      <c r="Z2805" s="20">
        <f t="shared" si="91"/>
        <v>16</v>
      </c>
    </row>
    <row r="2806" spans="1:26" x14ac:dyDescent="0.2">
      <c r="A2806" s="21"/>
      <c r="B2806" s="20"/>
      <c r="C2806" s="22"/>
      <c r="D2806" s="22"/>
      <c r="E2806" s="24"/>
      <c r="F2806" s="22"/>
      <c r="H2806" s="21">
        <v>46066</v>
      </c>
      <c r="I2806" s="22" t="s">
        <v>70</v>
      </c>
      <c r="J2806" s="22" t="s">
        <v>49</v>
      </c>
      <c r="K2806" s="24">
        <v>3</v>
      </c>
      <c r="M2806" s="21"/>
      <c r="N2806" s="22"/>
      <c r="O2806" s="22"/>
      <c r="P2806" s="49"/>
      <c r="Q2806" s="49"/>
      <c r="R2806" s="188" t="str">
        <f t="shared" si="92"/>
        <v/>
      </c>
      <c r="T2806" s="21">
        <v>46122</v>
      </c>
      <c r="U2806" s="22" t="s">
        <v>53</v>
      </c>
      <c r="V2806" s="24">
        <v>4</v>
      </c>
      <c r="W2806" s="24">
        <v>4</v>
      </c>
      <c r="X2806" s="24">
        <v>3</v>
      </c>
      <c r="Y2806" s="24">
        <v>4</v>
      </c>
      <c r="Z2806" s="20">
        <f t="shared" si="91"/>
        <v>15</v>
      </c>
    </row>
    <row r="2807" spans="1:26" x14ac:dyDescent="0.2">
      <c r="A2807" s="21"/>
      <c r="B2807" s="20"/>
      <c r="C2807" s="22"/>
      <c r="D2807" s="22"/>
      <c r="E2807" s="24"/>
      <c r="F2807" s="22"/>
      <c r="H2807" s="21">
        <v>46066</v>
      </c>
      <c r="I2807" s="22" t="s">
        <v>70</v>
      </c>
      <c r="J2807" s="22" t="s">
        <v>50</v>
      </c>
      <c r="K2807" s="24">
        <v>4</v>
      </c>
      <c r="M2807" s="21"/>
      <c r="N2807" s="22"/>
      <c r="O2807" s="22"/>
      <c r="P2807" s="49"/>
      <c r="Q2807" s="49"/>
      <c r="R2807" s="188" t="str">
        <f t="shared" si="92"/>
        <v/>
      </c>
      <c r="T2807" s="21">
        <v>46122</v>
      </c>
      <c r="U2807" s="22" t="s">
        <v>55</v>
      </c>
      <c r="V2807" s="24">
        <v>5</v>
      </c>
      <c r="W2807" s="24">
        <v>5</v>
      </c>
      <c r="X2807" s="24">
        <v>5</v>
      </c>
      <c r="Y2807" s="24">
        <v>5</v>
      </c>
      <c r="Z2807" s="20">
        <f t="shared" si="91"/>
        <v>20</v>
      </c>
    </row>
    <row r="2808" spans="1:26" x14ac:dyDescent="0.2">
      <c r="A2808" s="21"/>
      <c r="B2808" s="20"/>
      <c r="C2808" s="22"/>
      <c r="D2808" s="22"/>
      <c r="E2808" s="24"/>
      <c r="F2808" s="22"/>
      <c r="H2808" s="21">
        <v>46066</v>
      </c>
      <c r="I2808" s="22" t="s">
        <v>70</v>
      </c>
      <c r="J2808" s="22" t="s">
        <v>51</v>
      </c>
      <c r="K2808" s="24">
        <v>2</v>
      </c>
      <c r="M2808" s="21"/>
      <c r="N2808" s="22"/>
      <c r="O2808" s="22"/>
      <c r="P2808" s="49"/>
      <c r="Q2808" s="49"/>
      <c r="R2808" s="188" t="str">
        <f t="shared" si="92"/>
        <v/>
      </c>
      <c r="T2808" s="21">
        <v>46122</v>
      </c>
      <c r="U2808" s="22" t="s">
        <v>56</v>
      </c>
      <c r="V2808" s="24">
        <v>4</v>
      </c>
      <c r="W2808" s="24">
        <v>3</v>
      </c>
      <c r="X2808" s="24">
        <v>3</v>
      </c>
      <c r="Y2808" s="24">
        <v>5</v>
      </c>
      <c r="Z2808" s="20">
        <f t="shared" si="91"/>
        <v>15</v>
      </c>
    </row>
    <row r="2809" spans="1:26" x14ac:dyDescent="0.2">
      <c r="A2809" s="21"/>
      <c r="B2809" s="20"/>
      <c r="C2809" s="22"/>
      <c r="D2809" s="22"/>
      <c r="E2809" s="24"/>
      <c r="F2809" s="22"/>
      <c r="H2809" s="21">
        <v>46066</v>
      </c>
      <c r="I2809" s="22" t="s">
        <v>70</v>
      </c>
      <c r="J2809" s="22" t="s">
        <v>46</v>
      </c>
      <c r="K2809" s="24">
        <v>3</v>
      </c>
      <c r="M2809" s="21"/>
      <c r="N2809" s="22"/>
      <c r="O2809" s="22"/>
      <c r="P2809" s="49"/>
      <c r="Q2809" s="49"/>
      <c r="R2809" s="188" t="str">
        <f t="shared" si="92"/>
        <v/>
      </c>
      <c r="T2809" s="21">
        <v>46122</v>
      </c>
      <c r="U2809" s="22" t="s">
        <v>57</v>
      </c>
      <c r="V2809" s="24">
        <v>4</v>
      </c>
      <c r="W2809" s="24">
        <v>4</v>
      </c>
      <c r="X2809" s="24">
        <v>4</v>
      </c>
      <c r="Y2809" s="24">
        <v>4</v>
      </c>
      <c r="Z2809" s="20">
        <f t="shared" si="91"/>
        <v>16</v>
      </c>
    </row>
    <row r="2810" spans="1:26" x14ac:dyDescent="0.2">
      <c r="A2810" s="21"/>
      <c r="B2810" s="20"/>
      <c r="C2810" s="22"/>
      <c r="D2810" s="22"/>
      <c r="E2810" s="24"/>
      <c r="F2810" s="22"/>
      <c r="H2810" s="21">
        <v>46066</v>
      </c>
      <c r="I2810" s="22" t="s">
        <v>70</v>
      </c>
      <c r="J2810" s="22" t="s">
        <v>48</v>
      </c>
      <c r="K2810" s="24">
        <v>3</v>
      </c>
      <c r="M2810" s="21"/>
      <c r="N2810" s="22"/>
      <c r="O2810" s="22"/>
      <c r="P2810" s="49"/>
      <c r="Q2810" s="49"/>
      <c r="R2810" s="188" t="str">
        <f t="shared" si="92"/>
        <v/>
      </c>
      <c r="T2810" s="21">
        <v>46122</v>
      </c>
      <c r="U2810" s="22" t="s">
        <v>33</v>
      </c>
      <c r="V2810" s="24">
        <v>4</v>
      </c>
      <c r="W2810" s="24">
        <v>3.75</v>
      </c>
      <c r="X2810" s="24">
        <v>3.6666666666666701</v>
      </c>
      <c r="Y2810" s="24">
        <v>3.9166666666666701</v>
      </c>
      <c r="Z2810" s="20">
        <f t="shared" si="91"/>
        <v>15.333333333333339</v>
      </c>
    </row>
    <row r="2811" spans="1:26" x14ac:dyDescent="0.2">
      <c r="A2811" s="21"/>
      <c r="B2811" s="20"/>
      <c r="C2811" s="22"/>
      <c r="D2811" s="22"/>
      <c r="E2811" s="24"/>
      <c r="F2811" s="22"/>
      <c r="H2811" s="21">
        <v>46066</v>
      </c>
      <c r="I2811" s="22" t="s">
        <v>71</v>
      </c>
      <c r="J2811" s="22" t="s">
        <v>52</v>
      </c>
      <c r="K2811" s="24">
        <v>6</v>
      </c>
      <c r="M2811" s="21"/>
      <c r="N2811" s="22"/>
      <c r="O2811" s="22"/>
      <c r="P2811" s="49"/>
      <c r="Q2811" s="49"/>
      <c r="R2811" s="188" t="str">
        <f t="shared" si="92"/>
        <v/>
      </c>
      <c r="T2811" s="21">
        <v>46125</v>
      </c>
      <c r="U2811" s="22" t="s">
        <v>41</v>
      </c>
      <c r="V2811" s="24">
        <v>1</v>
      </c>
      <c r="W2811" s="24">
        <v>1</v>
      </c>
      <c r="X2811" s="24">
        <v>1</v>
      </c>
      <c r="Y2811" s="24">
        <v>1</v>
      </c>
      <c r="Z2811" s="20">
        <f t="shared" si="91"/>
        <v>4</v>
      </c>
    </row>
    <row r="2812" spans="1:26" x14ac:dyDescent="0.2">
      <c r="A2812" s="21"/>
      <c r="B2812" s="20"/>
      <c r="C2812" s="22"/>
      <c r="D2812" s="22"/>
      <c r="E2812" s="24"/>
      <c r="F2812" s="22"/>
      <c r="H2812" s="21">
        <v>46066</v>
      </c>
      <c r="I2812" s="22" t="s">
        <v>71</v>
      </c>
      <c r="J2812" s="22" t="s">
        <v>53</v>
      </c>
      <c r="K2812" s="24">
        <v>8</v>
      </c>
      <c r="M2812" s="21"/>
      <c r="N2812" s="22"/>
      <c r="O2812" s="22"/>
      <c r="P2812" s="49"/>
      <c r="Q2812" s="49"/>
      <c r="R2812" s="188" t="str">
        <f t="shared" si="92"/>
        <v/>
      </c>
      <c r="T2812" s="21">
        <v>46125</v>
      </c>
      <c r="U2812" s="22" t="s">
        <v>42</v>
      </c>
      <c r="V2812" s="24">
        <v>4</v>
      </c>
      <c r="W2812" s="24">
        <v>4</v>
      </c>
      <c r="X2812" s="24">
        <v>4</v>
      </c>
      <c r="Y2812" s="24">
        <v>4</v>
      </c>
      <c r="Z2812" s="20">
        <f t="shared" si="91"/>
        <v>16</v>
      </c>
    </row>
    <row r="2813" spans="1:26" x14ac:dyDescent="0.2">
      <c r="A2813" s="21"/>
      <c r="B2813" s="20"/>
      <c r="C2813" s="22"/>
      <c r="D2813" s="22"/>
      <c r="E2813" s="24"/>
      <c r="F2813" s="22"/>
      <c r="H2813" s="21">
        <v>46066</v>
      </c>
      <c r="I2813" s="22" t="s">
        <v>71</v>
      </c>
      <c r="J2813" s="22" t="s">
        <v>44</v>
      </c>
      <c r="K2813" s="24">
        <v>9</v>
      </c>
      <c r="M2813" s="21"/>
      <c r="N2813" s="22"/>
      <c r="O2813" s="22"/>
      <c r="P2813" s="49"/>
      <c r="Q2813" s="49"/>
      <c r="R2813" s="188" t="str">
        <f t="shared" si="92"/>
        <v/>
      </c>
      <c r="T2813" s="21">
        <v>46125</v>
      </c>
      <c r="U2813" s="22" t="s">
        <v>45</v>
      </c>
      <c r="V2813" s="24">
        <v>5</v>
      </c>
      <c r="W2813" s="24">
        <v>5</v>
      </c>
      <c r="X2813" s="24">
        <v>4</v>
      </c>
      <c r="Y2813" s="24">
        <v>5</v>
      </c>
      <c r="Z2813" s="20">
        <f t="shared" si="91"/>
        <v>19</v>
      </c>
    </row>
    <row r="2814" spans="1:26" x14ac:dyDescent="0.2">
      <c r="A2814" s="21"/>
      <c r="B2814" s="20"/>
      <c r="C2814" s="22"/>
      <c r="D2814" s="22"/>
      <c r="E2814" s="24"/>
      <c r="F2814" s="22"/>
      <c r="H2814" s="21">
        <v>46066</v>
      </c>
      <c r="I2814" s="22" t="s">
        <v>71</v>
      </c>
      <c r="J2814" s="22" t="s">
        <v>45</v>
      </c>
      <c r="K2814" s="24">
        <v>7</v>
      </c>
      <c r="M2814" s="21"/>
      <c r="N2814" s="22"/>
      <c r="O2814" s="22"/>
      <c r="P2814" s="49"/>
      <c r="Q2814" s="49"/>
      <c r="R2814" s="188" t="str">
        <f t="shared" si="92"/>
        <v/>
      </c>
      <c r="T2814" s="21">
        <v>46125</v>
      </c>
      <c r="U2814" s="22" t="s">
        <v>46</v>
      </c>
      <c r="V2814" s="24">
        <v>5</v>
      </c>
      <c r="W2814" s="24">
        <v>4</v>
      </c>
      <c r="X2814" s="24">
        <v>5</v>
      </c>
      <c r="Y2814" s="24">
        <v>5</v>
      </c>
      <c r="Z2814" s="20">
        <f t="shared" si="91"/>
        <v>19</v>
      </c>
    </row>
    <row r="2815" spans="1:26" x14ac:dyDescent="0.2">
      <c r="A2815" s="21"/>
      <c r="B2815" s="20"/>
      <c r="C2815" s="22"/>
      <c r="D2815" s="22"/>
      <c r="E2815" s="24"/>
      <c r="F2815" s="22"/>
      <c r="H2815" s="21">
        <v>46066</v>
      </c>
      <c r="I2815" s="22" t="s">
        <v>71</v>
      </c>
      <c r="J2815" s="22" t="s">
        <v>57</v>
      </c>
      <c r="K2815" s="24" t="s">
        <v>63</v>
      </c>
      <c r="M2815" s="21"/>
      <c r="N2815" s="22"/>
      <c r="O2815" s="22"/>
      <c r="P2815" s="49"/>
      <c r="Q2815" s="49"/>
      <c r="R2815" s="188" t="str">
        <f t="shared" si="92"/>
        <v/>
      </c>
      <c r="T2815" s="21">
        <v>46125</v>
      </c>
      <c r="U2815" s="22" t="s">
        <v>47</v>
      </c>
      <c r="V2815" s="24">
        <v>4</v>
      </c>
      <c r="W2815" s="24">
        <v>5</v>
      </c>
      <c r="X2815" s="24">
        <v>5</v>
      </c>
      <c r="Y2815" s="24">
        <v>4</v>
      </c>
      <c r="Z2815" s="20">
        <f t="shared" si="91"/>
        <v>18</v>
      </c>
    </row>
    <row r="2816" spans="1:26" x14ac:dyDescent="0.2">
      <c r="A2816" s="21"/>
      <c r="B2816" s="20"/>
      <c r="C2816" s="22"/>
      <c r="D2816" s="22"/>
      <c r="E2816" s="24"/>
      <c r="F2816" s="22"/>
      <c r="H2816" s="21">
        <v>46066</v>
      </c>
      <c r="I2816" s="22" t="s">
        <v>71</v>
      </c>
      <c r="J2816" s="22" t="s">
        <v>42</v>
      </c>
      <c r="K2816" s="24" t="s">
        <v>63</v>
      </c>
      <c r="M2816" s="21"/>
      <c r="N2816" s="22"/>
      <c r="O2816" s="22"/>
      <c r="P2816" s="49"/>
      <c r="Q2816" s="49"/>
      <c r="R2816" s="188" t="str">
        <f t="shared" si="92"/>
        <v/>
      </c>
      <c r="T2816" s="21">
        <v>46125</v>
      </c>
      <c r="U2816" s="22" t="s">
        <v>48</v>
      </c>
      <c r="V2816" s="24">
        <v>4</v>
      </c>
      <c r="W2816" s="24">
        <v>4</v>
      </c>
      <c r="X2816" s="24">
        <v>4</v>
      </c>
      <c r="Y2816" s="24">
        <v>4</v>
      </c>
      <c r="Z2816" s="20">
        <f t="shared" si="91"/>
        <v>16</v>
      </c>
    </row>
    <row r="2817" spans="1:26" x14ac:dyDescent="0.2">
      <c r="A2817" s="21"/>
      <c r="B2817" s="20"/>
      <c r="C2817" s="22"/>
      <c r="D2817" s="22"/>
      <c r="E2817" s="24"/>
      <c r="F2817" s="22"/>
      <c r="H2817" s="21">
        <v>46066</v>
      </c>
      <c r="I2817" s="22" t="s">
        <v>71</v>
      </c>
      <c r="J2817" s="22" t="s">
        <v>47</v>
      </c>
      <c r="K2817" s="24">
        <v>1</v>
      </c>
      <c r="M2817" s="21"/>
      <c r="N2817" s="22"/>
      <c r="O2817" s="22"/>
      <c r="P2817" s="49"/>
      <c r="Q2817" s="49"/>
      <c r="R2817" s="188" t="str">
        <f t="shared" si="92"/>
        <v/>
      </c>
      <c r="T2817" s="21">
        <v>46125</v>
      </c>
      <c r="U2817" s="22" t="s">
        <v>49</v>
      </c>
      <c r="V2817" s="24">
        <v>3</v>
      </c>
      <c r="W2817" s="24">
        <v>4</v>
      </c>
      <c r="X2817" s="24">
        <v>4</v>
      </c>
      <c r="Y2817" s="24">
        <v>4</v>
      </c>
      <c r="Z2817" s="20">
        <f t="shared" si="91"/>
        <v>15</v>
      </c>
    </row>
    <row r="2818" spans="1:26" x14ac:dyDescent="0.2">
      <c r="A2818" s="21"/>
      <c r="B2818" s="20"/>
      <c r="C2818" s="22"/>
      <c r="D2818" s="22"/>
      <c r="E2818" s="24"/>
      <c r="F2818" s="22"/>
      <c r="H2818" s="21">
        <v>46066</v>
      </c>
      <c r="I2818" s="22" t="s">
        <v>71</v>
      </c>
      <c r="J2818" s="22" t="s">
        <v>41</v>
      </c>
      <c r="K2818" s="24">
        <v>8</v>
      </c>
      <c r="M2818" s="21"/>
      <c r="N2818" s="22"/>
      <c r="O2818" s="22"/>
      <c r="P2818" s="49"/>
      <c r="Q2818" s="49"/>
      <c r="R2818" s="188" t="str">
        <f t="shared" si="92"/>
        <v/>
      </c>
      <c r="T2818" s="21">
        <v>46125</v>
      </c>
      <c r="U2818" s="22" t="s">
        <v>50</v>
      </c>
      <c r="V2818" s="24">
        <v>4</v>
      </c>
      <c r="W2818" s="24">
        <v>3</v>
      </c>
      <c r="X2818" s="24">
        <v>4</v>
      </c>
      <c r="Y2818" s="24">
        <v>4</v>
      </c>
      <c r="Z2818" s="20">
        <f t="shared" si="91"/>
        <v>15</v>
      </c>
    </row>
    <row r="2819" spans="1:26" x14ac:dyDescent="0.2">
      <c r="A2819" s="21"/>
      <c r="B2819" s="20"/>
      <c r="C2819" s="22"/>
      <c r="D2819" s="22"/>
      <c r="E2819" s="24"/>
      <c r="F2819" s="22"/>
      <c r="H2819" s="21">
        <v>46066</v>
      </c>
      <c r="I2819" s="22" t="s">
        <v>71</v>
      </c>
      <c r="J2819" s="22" t="s">
        <v>58</v>
      </c>
      <c r="K2819" s="24">
        <v>1</v>
      </c>
      <c r="M2819" s="21"/>
      <c r="N2819" s="22"/>
      <c r="O2819" s="22"/>
      <c r="P2819" s="49"/>
      <c r="Q2819" s="49"/>
      <c r="R2819" s="188" t="str">
        <f t="shared" si="92"/>
        <v/>
      </c>
      <c r="T2819" s="21">
        <v>46125</v>
      </c>
      <c r="U2819" s="22" t="s">
        <v>51</v>
      </c>
      <c r="V2819" s="24">
        <v>4</v>
      </c>
      <c r="W2819" s="24">
        <v>4</v>
      </c>
      <c r="X2819" s="24">
        <v>4</v>
      </c>
      <c r="Y2819" s="24">
        <v>4</v>
      </c>
      <c r="Z2819" s="20">
        <f t="shared" ref="Z2819:Z2882" si="93">SUM(V2819:Y2819)</f>
        <v>16</v>
      </c>
    </row>
    <row r="2820" spans="1:26" x14ac:dyDescent="0.2">
      <c r="A2820" s="21"/>
      <c r="B2820" s="20"/>
      <c r="C2820" s="22"/>
      <c r="D2820" s="22"/>
      <c r="E2820" s="24"/>
      <c r="F2820" s="22"/>
      <c r="H2820" s="21">
        <v>46066</v>
      </c>
      <c r="I2820" s="22" t="s">
        <v>71</v>
      </c>
      <c r="J2820" s="22" t="s">
        <v>49</v>
      </c>
      <c r="K2820" s="24">
        <v>8</v>
      </c>
      <c r="M2820" s="21"/>
      <c r="N2820" s="22"/>
      <c r="O2820" s="22"/>
      <c r="P2820" s="49"/>
      <c r="Q2820" s="49"/>
      <c r="R2820" s="188" t="str">
        <f t="shared" si="92"/>
        <v/>
      </c>
      <c r="T2820" s="21">
        <v>46125</v>
      </c>
      <c r="U2820" s="22" t="s">
        <v>52</v>
      </c>
      <c r="V2820" s="24">
        <v>4</v>
      </c>
      <c r="W2820" s="24">
        <v>4</v>
      </c>
      <c r="X2820" s="24">
        <v>4</v>
      </c>
      <c r="Y2820" s="24">
        <v>4</v>
      </c>
      <c r="Z2820" s="20">
        <f t="shared" si="93"/>
        <v>16</v>
      </c>
    </row>
    <row r="2821" spans="1:26" x14ac:dyDescent="0.2">
      <c r="A2821" s="21"/>
      <c r="B2821" s="20"/>
      <c r="C2821" s="22"/>
      <c r="D2821" s="22"/>
      <c r="E2821" s="24"/>
      <c r="F2821" s="22"/>
      <c r="H2821" s="21">
        <v>46066</v>
      </c>
      <c r="I2821" s="22" t="s">
        <v>71</v>
      </c>
      <c r="J2821" s="22" t="s">
        <v>50</v>
      </c>
      <c r="K2821" s="24">
        <v>8</v>
      </c>
      <c r="M2821" s="21"/>
      <c r="N2821" s="22"/>
      <c r="O2821" s="22"/>
      <c r="P2821" s="49"/>
      <c r="Q2821" s="49"/>
      <c r="R2821" s="188" t="str">
        <f t="shared" si="92"/>
        <v/>
      </c>
      <c r="T2821" s="21">
        <v>46125</v>
      </c>
      <c r="U2821" s="22" t="s">
        <v>53</v>
      </c>
      <c r="V2821" s="24">
        <v>4</v>
      </c>
      <c r="W2821" s="24">
        <v>4</v>
      </c>
      <c r="X2821" s="24">
        <v>3</v>
      </c>
      <c r="Y2821" s="24">
        <v>4</v>
      </c>
      <c r="Z2821" s="20">
        <f t="shared" si="93"/>
        <v>15</v>
      </c>
    </row>
    <row r="2822" spans="1:26" x14ac:dyDescent="0.2">
      <c r="A2822" s="21"/>
      <c r="B2822" s="20"/>
      <c r="C2822" s="22"/>
      <c r="D2822" s="22"/>
      <c r="E2822" s="24"/>
      <c r="F2822" s="22"/>
      <c r="H2822" s="21">
        <v>46066</v>
      </c>
      <c r="I2822" s="22" t="s">
        <v>71</v>
      </c>
      <c r="J2822" s="22" t="s">
        <v>51</v>
      </c>
      <c r="K2822" s="24">
        <v>2</v>
      </c>
      <c r="M2822" s="21"/>
      <c r="N2822" s="22"/>
      <c r="O2822" s="22"/>
      <c r="P2822" s="49"/>
      <c r="Q2822" s="49"/>
      <c r="R2822" s="188" t="str">
        <f t="shared" si="92"/>
        <v/>
      </c>
      <c r="T2822" s="21">
        <v>46125</v>
      </c>
      <c r="U2822" s="22" t="s">
        <v>55</v>
      </c>
      <c r="V2822" s="24">
        <v>5</v>
      </c>
      <c r="W2822" s="24">
        <v>5</v>
      </c>
      <c r="X2822" s="24">
        <v>5</v>
      </c>
      <c r="Y2822" s="24">
        <v>5</v>
      </c>
      <c r="Z2822" s="20">
        <f t="shared" si="93"/>
        <v>20</v>
      </c>
    </row>
    <row r="2823" spans="1:26" x14ac:dyDescent="0.2">
      <c r="A2823" s="21"/>
      <c r="B2823" s="20"/>
      <c r="C2823" s="22"/>
      <c r="D2823" s="22"/>
      <c r="E2823" s="24"/>
      <c r="F2823" s="22"/>
      <c r="H2823" s="21">
        <v>46066</v>
      </c>
      <c r="I2823" s="22" t="s">
        <v>71</v>
      </c>
      <c r="J2823" s="22" t="s">
        <v>46</v>
      </c>
      <c r="K2823" s="24">
        <v>8</v>
      </c>
      <c r="M2823" s="21"/>
      <c r="N2823" s="22"/>
      <c r="O2823" s="22"/>
      <c r="P2823" s="49"/>
      <c r="Q2823" s="49"/>
      <c r="R2823" s="188" t="str">
        <f t="shared" si="92"/>
        <v/>
      </c>
      <c r="T2823" s="21">
        <v>46125</v>
      </c>
      <c r="U2823" s="22" t="s">
        <v>57</v>
      </c>
      <c r="V2823" s="24">
        <v>2</v>
      </c>
      <c r="W2823" s="24">
        <v>4</v>
      </c>
      <c r="X2823" s="24">
        <v>3</v>
      </c>
      <c r="Y2823" s="24">
        <v>4</v>
      </c>
      <c r="Z2823" s="20">
        <f t="shared" si="93"/>
        <v>13</v>
      </c>
    </row>
    <row r="2824" spans="1:26" x14ac:dyDescent="0.2">
      <c r="A2824" s="21"/>
      <c r="B2824" s="20"/>
      <c r="C2824" s="22"/>
      <c r="D2824" s="22"/>
      <c r="E2824" s="24"/>
      <c r="F2824" s="22"/>
      <c r="H2824" s="21">
        <v>46066</v>
      </c>
      <c r="I2824" s="22" t="s">
        <v>71</v>
      </c>
      <c r="J2824" s="22" t="s">
        <v>48</v>
      </c>
      <c r="K2824" s="24">
        <v>9</v>
      </c>
      <c r="M2824" s="21"/>
      <c r="N2824" s="22"/>
      <c r="O2824" s="22"/>
      <c r="P2824" s="49"/>
      <c r="Q2824" s="49"/>
      <c r="R2824" s="188" t="str">
        <f t="shared" si="92"/>
        <v/>
      </c>
      <c r="T2824" s="21">
        <v>46125</v>
      </c>
      <c r="U2824" s="22" t="s">
        <v>33</v>
      </c>
      <c r="V2824" s="24">
        <v>3.7692307692307701</v>
      </c>
      <c r="W2824" s="24">
        <v>3.9230769230769198</v>
      </c>
      <c r="X2824" s="24">
        <v>3.8461538461538498</v>
      </c>
      <c r="Y2824" s="24">
        <v>4</v>
      </c>
      <c r="Z2824" s="20">
        <f t="shared" si="93"/>
        <v>15.53846153846154</v>
      </c>
    </row>
    <row r="2825" spans="1:26" x14ac:dyDescent="0.2">
      <c r="A2825" s="21"/>
      <c r="B2825" s="20"/>
      <c r="C2825" s="22"/>
      <c r="D2825" s="22"/>
      <c r="E2825" s="24"/>
      <c r="F2825" s="22"/>
      <c r="H2825" s="21">
        <v>46069</v>
      </c>
      <c r="I2825" s="22" t="s">
        <v>70</v>
      </c>
      <c r="J2825" s="22" t="s">
        <v>52</v>
      </c>
      <c r="K2825" s="24">
        <v>3</v>
      </c>
      <c r="M2825" s="21"/>
      <c r="N2825" s="22"/>
      <c r="O2825" s="22"/>
      <c r="P2825" s="49"/>
      <c r="Q2825" s="49"/>
      <c r="R2825" s="188" t="str">
        <f t="shared" si="92"/>
        <v/>
      </c>
      <c r="T2825" s="21">
        <v>46126</v>
      </c>
      <c r="U2825" s="22" t="s">
        <v>41</v>
      </c>
      <c r="V2825" s="24">
        <v>1</v>
      </c>
      <c r="W2825" s="24">
        <v>1</v>
      </c>
      <c r="X2825" s="24">
        <v>1</v>
      </c>
      <c r="Y2825" s="24">
        <v>1</v>
      </c>
      <c r="Z2825" s="20">
        <f t="shared" si="93"/>
        <v>4</v>
      </c>
    </row>
    <row r="2826" spans="1:26" x14ac:dyDescent="0.2">
      <c r="A2826" s="21"/>
      <c r="B2826" s="20"/>
      <c r="C2826" s="22"/>
      <c r="D2826" s="22"/>
      <c r="E2826" s="24"/>
      <c r="F2826" s="22"/>
      <c r="H2826" s="21">
        <v>46069</v>
      </c>
      <c r="I2826" s="22" t="s">
        <v>70</v>
      </c>
      <c r="J2826" s="22" t="s">
        <v>53</v>
      </c>
      <c r="K2826" s="24">
        <v>3</v>
      </c>
      <c r="M2826" s="21"/>
      <c r="N2826" s="22"/>
      <c r="O2826" s="22"/>
      <c r="P2826" s="49"/>
      <c r="Q2826" s="49"/>
      <c r="R2826" s="188" t="str">
        <f t="shared" si="92"/>
        <v/>
      </c>
      <c r="T2826" s="21">
        <v>46126</v>
      </c>
      <c r="U2826" s="22" t="s">
        <v>42</v>
      </c>
      <c r="V2826" s="24">
        <v>4</v>
      </c>
      <c r="W2826" s="24">
        <v>4</v>
      </c>
      <c r="X2826" s="24">
        <v>4</v>
      </c>
      <c r="Y2826" s="24">
        <v>4</v>
      </c>
      <c r="Z2826" s="20">
        <f t="shared" si="93"/>
        <v>16</v>
      </c>
    </row>
    <row r="2827" spans="1:26" x14ac:dyDescent="0.2">
      <c r="A2827" s="21"/>
      <c r="B2827" s="20"/>
      <c r="C2827" s="22"/>
      <c r="D2827" s="22"/>
      <c r="E2827" s="24"/>
      <c r="F2827" s="22"/>
      <c r="H2827" s="21">
        <v>46069</v>
      </c>
      <c r="I2827" s="22" t="s">
        <v>70</v>
      </c>
      <c r="J2827" s="22" t="s">
        <v>44</v>
      </c>
      <c r="K2827" s="24">
        <v>4</v>
      </c>
      <c r="M2827" s="21"/>
      <c r="N2827" s="22"/>
      <c r="O2827" s="22"/>
      <c r="P2827" s="49"/>
      <c r="Q2827" s="49"/>
      <c r="R2827" s="188" t="str">
        <f t="shared" si="92"/>
        <v/>
      </c>
      <c r="T2827" s="21">
        <v>46126</v>
      </c>
      <c r="U2827" s="22" t="s">
        <v>44</v>
      </c>
      <c r="V2827" s="24">
        <v>5</v>
      </c>
      <c r="W2827" s="24">
        <v>3</v>
      </c>
      <c r="X2827" s="24">
        <v>3</v>
      </c>
      <c r="Y2827" s="24">
        <v>5</v>
      </c>
      <c r="Z2827" s="20">
        <f t="shared" si="93"/>
        <v>16</v>
      </c>
    </row>
    <row r="2828" spans="1:26" x14ac:dyDescent="0.2">
      <c r="A2828" s="21"/>
      <c r="B2828" s="20"/>
      <c r="C2828" s="22"/>
      <c r="D2828" s="22"/>
      <c r="E2828" s="24"/>
      <c r="F2828" s="22"/>
      <c r="H2828" s="21">
        <v>46069</v>
      </c>
      <c r="I2828" s="22" t="s">
        <v>70</v>
      </c>
      <c r="J2828" s="22" t="s">
        <v>45</v>
      </c>
      <c r="K2828" s="24">
        <v>3</v>
      </c>
      <c r="M2828" s="21"/>
      <c r="N2828" s="22"/>
      <c r="O2828" s="22"/>
      <c r="P2828" s="49"/>
      <c r="Q2828" s="49"/>
      <c r="R2828" s="188" t="str">
        <f t="shared" si="92"/>
        <v/>
      </c>
      <c r="T2828" s="21">
        <v>46126</v>
      </c>
      <c r="U2828" s="22" t="s">
        <v>45</v>
      </c>
      <c r="V2828" s="24">
        <v>4</v>
      </c>
      <c r="W2828" s="24">
        <v>4</v>
      </c>
      <c r="X2828" s="24">
        <v>4</v>
      </c>
      <c r="Y2828" s="24">
        <v>5</v>
      </c>
      <c r="Z2828" s="20">
        <f t="shared" si="93"/>
        <v>17</v>
      </c>
    </row>
    <row r="2829" spans="1:26" x14ac:dyDescent="0.2">
      <c r="A2829" s="21"/>
      <c r="B2829" s="20"/>
      <c r="C2829" s="22"/>
      <c r="D2829" s="22"/>
      <c r="E2829" s="24"/>
      <c r="F2829" s="22"/>
      <c r="H2829" s="21">
        <v>46069</v>
      </c>
      <c r="I2829" s="22" t="s">
        <v>70</v>
      </c>
      <c r="J2829" s="22" t="s">
        <v>57</v>
      </c>
      <c r="K2829" s="24">
        <v>4</v>
      </c>
      <c r="M2829" s="21"/>
      <c r="N2829" s="22"/>
      <c r="O2829" s="22"/>
      <c r="P2829" s="49"/>
      <c r="Q2829" s="49"/>
      <c r="R2829" s="188" t="str">
        <f t="shared" si="92"/>
        <v/>
      </c>
      <c r="T2829" s="21">
        <v>46126</v>
      </c>
      <c r="U2829" s="22" t="s">
        <v>46</v>
      </c>
      <c r="V2829" s="24">
        <v>5</v>
      </c>
      <c r="W2829" s="24">
        <v>4</v>
      </c>
      <c r="X2829" s="24">
        <v>5</v>
      </c>
      <c r="Y2829" s="24">
        <v>5</v>
      </c>
      <c r="Z2829" s="20">
        <f t="shared" si="93"/>
        <v>19</v>
      </c>
    </row>
    <row r="2830" spans="1:26" x14ac:dyDescent="0.2">
      <c r="A2830" s="21"/>
      <c r="B2830" s="20"/>
      <c r="C2830" s="22"/>
      <c r="D2830" s="22"/>
      <c r="E2830" s="24"/>
      <c r="F2830" s="22"/>
      <c r="H2830" s="21">
        <v>46069</v>
      </c>
      <c r="I2830" s="22" t="s">
        <v>70</v>
      </c>
      <c r="J2830" s="22" t="s">
        <v>42</v>
      </c>
      <c r="K2830" s="24">
        <v>1</v>
      </c>
      <c r="M2830" s="21"/>
      <c r="N2830" s="22"/>
      <c r="O2830" s="22"/>
      <c r="P2830" s="49"/>
      <c r="Q2830" s="49"/>
      <c r="R2830" s="188" t="str">
        <f t="shared" si="92"/>
        <v/>
      </c>
      <c r="T2830" s="21">
        <v>46126</v>
      </c>
      <c r="U2830" s="22" t="s">
        <v>47</v>
      </c>
      <c r="V2830" s="24">
        <v>4</v>
      </c>
      <c r="W2830" s="24">
        <v>5</v>
      </c>
      <c r="X2830" s="24">
        <v>5</v>
      </c>
      <c r="Y2830" s="24">
        <v>5</v>
      </c>
      <c r="Z2830" s="20">
        <f t="shared" si="93"/>
        <v>19</v>
      </c>
    </row>
    <row r="2831" spans="1:26" x14ac:dyDescent="0.2">
      <c r="A2831" s="21"/>
      <c r="B2831" s="20"/>
      <c r="C2831" s="22"/>
      <c r="D2831" s="22"/>
      <c r="E2831" s="24"/>
      <c r="F2831" s="22"/>
      <c r="H2831" s="21">
        <v>46069</v>
      </c>
      <c r="I2831" s="22" t="s">
        <v>70</v>
      </c>
      <c r="J2831" s="22" t="s">
        <v>47</v>
      </c>
      <c r="K2831" s="24">
        <v>3</v>
      </c>
      <c r="M2831" s="21"/>
      <c r="N2831" s="22"/>
      <c r="O2831" s="22"/>
      <c r="P2831" s="49"/>
      <c r="Q2831" s="49"/>
      <c r="R2831" s="188" t="str">
        <f t="shared" si="92"/>
        <v/>
      </c>
      <c r="T2831" s="21">
        <v>46126</v>
      </c>
      <c r="U2831" s="22" t="s">
        <v>48</v>
      </c>
      <c r="V2831" s="24">
        <v>5</v>
      </c>
      <c r="W2831" s="24">
        <v>5</v>
      </c>
      <c r="X2831" s="24">
        <v>5</v>
      </c>
      <c r="Y2831" s="24">
        <v>5</v>
      </c>
      <c r="Z2831" s="20">
        <f t="shared" si="93"/>
        <v>20</v>
      </c>
    </row>
    <row r="2832" spans="1:26" x14ac:dyDescent="0.2">
      <c r="A2832" s="21"/>
      <c r="B2832" s="20"/>
      <c r="C2832" s="22"/>
      <c r="D2832" s="22"/>
      <c r="E2832" s="24"/>
      <c r="F2832" s="22"/>
      <c r="H2832" s="21">
        <v>46069</v>
      </c>
      <c r="I2832" s="22" t="s">
        <v>70</v>
      </c>
      <c r="J2832" s="22" t="s">
        <v>41</v>
      </c>
      <c r="K2832" s="24">
        <v>2</v>
      </c>
      <c r="M2832" s="21"/>
      <c r="N2832" s="22"/>
      <c r="O2832" s="22"/>
      <c r="P2832" s="49"/>
      <c r="Q2832" s="49"/>
      <c r="R2832" s="188" t="str">
        <f t="shared" si="92"/>
        <v/>
      </c>
      <c r="T2832" s="21">
        <v>46126</v>
      </c>
      <c r="U2832" s="22" t="s">
        <v>49</v>
      </c>
      <c r="V2832" s="24">
        <v>3</v>
      </c>
      <c r="W2832" s="24">
        <v>4</v>
      </c>
      <c r="X2832" s="24">
        <v>4</v>
      </c>
      <c r="Y2832" s="24">
        <v>4</v>
      </c>
      <c r="Z2832" s="20">
        <f t="shared" si="93"/>
        <v>15</v>
      </c>
    </row>
    <row r="2833" spans="1:26" x14ac:dyDescent="0.2">
      <c r="A2833" s="21"/>
      <c r="B2833" s="20"/>
      <c r="C2833" s="22"/>
      <c r="D2833" s="22"/>
      <c r="E2833" s="24"/>
      <c r="F2833" s="22"/>
      <c r="H2833" s="21">
        <v>46069</v>
      </c>
      <c r="I2833" s="22" t="s">
        <v>70</v>
      </c>
      <c r="J2833" s="22" t="s">
        <v>58</v>
      </c>
      <c r="K2833" s="24">
        <v>4</v>
      </c>
      <c r="M2833" s="21"/>
      <c r="N2833" s="22"/>
      <c r="O2833" s="22"/>
      <c r="P2833" s="49"/>
      <c r="Q2833" s="49"/>
      <c r="R2833" s="188" t="str">
        <f t="shared" si="92"/>
        <v/>
      </c>
      <c r="T2833" s="21">
        <v>46126</v>
      </c>
      <c r="U2833" s="22" t="s">
        <v>50</v>
      </c>
      <c r="V2833" s="24">
        <v>3</v>
      </c>
      <c r="W2833" s="24">
        <v>4</v>
      </c>
      <c r="X2833" s="24">
        <v>4</v>
      </c>
      <c r="Y2833" s="24">
        <v>4</v>
      </c>
      <c r="Z2833" s="20">
        <f t="shared" si="93"/>
        <v>15</v>
      </c>
    </row>
    <row r="2834" spans="1:26" x14ac:dyDescent="0.2">
      <c r="A2834" s="21"/>
      <c r="B2834" s="20"/>
      <c r="C2834" s="22"/>
      <c r="D2834" s="22"/>
      <c r="E2834" s="24"/>
      <c r="F2834" s="22"/>
      <c r="H2834" s="21">
        <v>46069</v>
      </c>
      <c r="I2834" s="22" t="s">
        <v>70</v>
      </c>
      <c r="J2834" s="22" t="s">
        <v>49</v>
      </c>
      <c r="K2834" s="24">
        <v>4</v>
      </c>
      <c r="M2834" s="21"/>
      <c r="N2834" s="22"/>
      <c r="O2834" s="22"/>
      <c r="P2834" s="49"/>
      <c r="Q2834" s="49"/>
      <c r="R2834" s="188" t="str">
        <f t="shared" si="92"/>
        <v/>
      </c>
      <c r="T2834" s="21">
        <v>46126</v>
      </c>
      <c r="U2834" s="22" t="s">
        <v>51</v>
      </c>
      <c r="V2834" s="24">
        <v>4</v>
      </c>
      <c r="W2834" s="24">
        <v>4</v>
      </c>
      <c r="X2834" s="24">
        <v>4</v>
      </c>
      <c r="Y2834" s="24">
        <v>4</v>
      </c>
      <c r="Z2834" s="20">
        <f t="shared" si="93"/>
        <v>16</v>
      </c>
    </row>
    <row r="2835" spans="1:26" x14ac:dyDescent="0.2">
      <c r="A2835" s="21"/>
      <c r="B2835" s="20"/>
      <c r="C2835" s="22"/>
      <c r="D2835" s="22"/>
      <c r="E2835" s="24"/>
      <c r="F2835" s="22"/>
      <c r="H2835" s="21">
        <v>46069</v>
      </c>
      <c r="I2835" s="22" t="s">
        <v>70</v>
      </c>
      <c r="J2835" s="22" t="s">
        <v>50</v>
      </c>
      <c r="K2835" s="24">
        <v>3</v>
      </c>
      <c r="M2835" s="21"/>
      <c r="N2835" s="22"/>
      <c r="O2835" s="22"/>
      <c r="P2835" s="49"/>
      <c r="Q2835" s="49"/>
      <c r="R2835" s="188" t="str">
        <f t="shared" si="92"/>
        <v/>
      </c>
      <c r="T2835" s="21">
        <v>46126</v>
      </c>
      <c r="U2835" s="22" t="s">
        <v>52</v>
      </c>
      <c r="V2835" s="24">
        <v>4</v>
      </c>
      <c r="W2835" s="24">
        <v>4</v>
      </c>
      <c r="X2835" s="24">
        <v>4</v>
      </c>
      <c r="Y2835" s="24">
        <v>4</v>
      </c>
      <c r="Z2835" s="20">
        <f t="shared" si="93"/>
        <v>16</v>
      </c>
    </row>
    <row r="2836" spans="1:26" x14ac:dyDescent="0.2">
      <c r="A2836" s="21"/>
      <c r="B2836" s="20"/>
      <c r="C2836" s="22"/>
      <c r="D2836" s="22"/>
      <c r="E2836" s="24"/>
      <c r="F2836" s="22"/>
      <c r="H2836" s="21">
        <v>46069</v>
      </c>
      <c r="I2836" s="22" t="s">
        <v>70</v>
      </c>
      <c r="J2836" s="22" t="s">
        <v>51</v>
      </c>
      <c r="K2836" s="24">
        <v>3</v>
      </c>
      <c r="M2836" s="21"/>
      <c r="N2836" s="22"/>
      <c r="O2836" s="22"/>
      <c r="P2836" s="49"/>
      <c r="Q2836" s="49"/>
      <c r="R2836" s="188" t="str">
        <f t="shared" si="92"/>
        <v/>
      </c>
      <c r="T2836" s="21">
        <v>46126</v>
      </c>
      <c r="U2836" s="22" t="s">
        <v>53</v>
      </c>
      <c r="V2836" s="24">
        <v>4</v>
      </c>
      <c r="W2836" s="24">
        <v>4</v>
      </c>
      <c r="X2836" s="24">
        <v>3</v>
      </c>
      <c r="Y2836" s="24">
        <v>4</v>
      </c>
      <c r="Z2836" s="20">
        <f t="shared" si="93"/>
        <v>15</v>
      </c>
    </row>
    <row r="2837" spans="1:26" x14ac:dyDescent="0.2">
      <c r="A2837" s="21"/>
      <c r="B2837" s="20"/>
      <c r="C2837" s="22"/>
      <c r="D2837" s="22"/>
      <c r="E2837" s="24"/>
      <c r="F2837" s="22"/>
      <c r="H2837" s="21">
        <v>46069</v>
      </c>
      <c r="I2837" s="22" t="s">
        <v>70</v>
      </c>
      <c r="J2837" s="22" t="s">
        <v>46</v>
      </c>
      <c r="K2837" s="24">
        <v>4</v>
      </c>
      <c r="M2837" s="21"/>
      <c r="N2837" s="22"/>
      <c r="O2837" s="22"/>
      <c r="P2837" s="49"/>
      <c r="Q2837" s="49"/>
      <c r="R2837" s="188" t="str">
        <f t="shared" si="92"/>
        <v/>
      </c>
      <c r="T2837" s="21">
        <v>46126</v>
      </c>
      <c r="U2837" s="22" t="s">
        <v>54</v>
      </c>
      <c r="V2837" s="24">
        <v>4</v>
      </c>
      <c r="W2837" s="24">
        <v>4</v>
      </c>
      <c r="X2837" s="24">
        <v>3</v>
      </c>
      <c r="Y2837" s="24">
        <v>4</v>
      </c>
      <c r="Z2837" s="20">
        <f t="shared" si="93"/>
        <v>15</v>
      </c>
    </row>
    <row r="2838" spans="1:26" x14ac:dyDescent="0.2">
      <c r="A2838" s="21"/>
      <c r="B2838" s="20"/>
      <c r="C2838" s="22"/>
      <c r="D2838" s="22"/>
      <c r="E2838" s="24"/>
      <c r="F2838" s="22"/>
      <c r="H2838" s="21">
        <v>46069</v>
      </c>
      <c r="I2838" s="22" t="s">
        <v>70</v>
      </c>
      <c r="J2838" s="22" t="s">
        <v>48</v>
      </c>
      <c r="K2838" s="24">
        <v>3</v>
      </c>
      <c r="M2838" s="21"/>
      <c r="N2838" s="22"/>
      <c r="O2838" s="22"/>
      <c r="P2838" s="49"/>
      <c r="Q2838" s="49"/>
      <c r="R2838" s="188" t="str">
        <f t="shared" ref="R2838:R2901" si="94">IF(OR(P2838="",Q2838=""),"",IFERROR(P2838-Q2838,""))</f>
        <v/>
      </c>
      <c r="T2838" s="21">
        <v>46126</v>
      </c>
      <c r="U2838" s="22" t="s">
        <v>55</v>
      </c>
      <c r="V2838" s="24">
        <v>5</v>
      </c>
      <c r="W2838" s="24">
        <v>5</v>
      </c>
      <c r="X2838" s="24">
        <v>5</v>
      </c>
      <c r="Y2838" s="24">
        <v>5</v>
      </c>
      <c r="Z2838" s="20">
        <f t="shared" si="93"/>
        <v>20</v>
      </c>
    </row>
    <row r="2839" spans="1:26" x14ac:dyDescent="0.2">
      <c r="A2839" s="21"/>
      <c r="B2839" s="20"/>
      <c r="C2839" s="22"/>
      <c r="D2839" s="22"/>
      <c r="E2839" s="24"/>
      <c r="F2839" s="22"/>
      <c r="H2839" s="21">
        <v>46070</v>
      </c>
      <c r="I2839" s="22" t="s">
        <v>70</v>
      </c>
      <c r="J2839" s="22" t="s">
        <v>52</v>
      </c>
      <c r="K2839" s="24">
        <v>5</v>
      </c>
      <c r="M2839" s="21"/>
      <c r="N2839" s="22"/>
      <c r="O2839" s="22"/>
      <c r="P2839" s="49"/>
      <c r="Q2839" s="49"/>
      <c r="R2839" s="188" t="str">
        <f t="shared" si="94"/>
        <v/>
      </c>
      <c r="T2839" s="21">
        <v>46126</v>
      </c>
      <c r="U2839" s="22" t="s">
        <v>57</v>
      </c>
      <c r="V2839" s="24">
        <v>4</v>
      </c>
      <c r="W2839" s="24">
        <v>4</v>
      </c>
      <c r="X2839" s="24">
        <v>4</v>
      </c>
      <c r="Y2839" s="24">
        <v>4</v>
      </c>
      <c r="Z2839" s="20">
        <f t="shared" si="93"/>
        <v>16</v>
      </c>
    </row>
    <row r="2840" spans="1:26" x14ac:dyDescent="0.2">
      <c r="A2840" s="21"/>
      <c r="B2840" s="20"/>
      <c r="C2840" s="22"/>
      <c r="D2840" s="22"/>
      <c r="E2840" s="24"/>
      <c r="F2840" s="22"/>
      <c r="H2840" s="21">
        <v>46070</v>
      </c>
      <c r="I2840" s="22" t="s">
        <v>70</v>
      </c>
      <c r="J2840" s="22" t="s">
        <v>53</v>
      </c>
      <c r="K2840" s="24">
        <v>5</v>
      </c>
      <c r="M2840" s="21"/>
      <c r="N2840" s="22"/>
      <c r="O2840" s="22"/>
      <c r="P2840" s="49"/>
      <c r="Q2840" s="49"/>
      <c r="R2840" s="188" t="str">
        <f t="shared" si="94"/>
        <v/>
      </c>
      <c r="T2840" s="21">
        <v>46126</v>
      </c>
      <c r="U2840" s="22" t="s">
        <v>33</v>
      </c>
      <c r="V2840" s="24">
        <v>3.93333333333333</v>
      </c>
      <c r="W2840" s="24">
        <v>3.93333333333333</v>
      </c>
      <c r="X2840" s="24">
        <v>3.8666666666666698</v>
      </c>
      <c r="Y2840" s="24">
        <v>4.2</v>
      </c>
      <c r="Z2840" s="20">
        <f t="shared" si="93"/>
        <v>15.93333333333333</v>
      </c>
    </row>
    <row r="2841" spans="1:26" x14ac:dyDescent="0.2">
      <c r="A2841" s="21"/>
      <c r="B2841" s="20"/>
      <c r="C2841" s="22"/>
      <c r="D2841" s="22"/>
      <c r="E2841" s="24"/>
      <c r="F2841" s="22"/>
      <c r="H2841" s="21">
        <v>46070</v>
      </c>
      <c r="I2841" s="22" t="s">
        <v>70</v>
      </c>
      <c r="J2841" s="22" t="s">
        <v>44</v>
      </c>
      <c r="K2841" s="24">
        <v>5</v>
      </c>
      <c r="M2841" s="21"/>
      <c r="N2841" s="22"/>
      <c r="O2841" s="22"/>
      <c r="P2841" s="49"/>
      <c r="Q2841" s="49"/>
      <c r="R2841" s="188" t="str">
        <f t="shared" si="94"/>
        <v/>
      </c>
      <c r="T2841" s="21">
        <v>46127</v>
      </c>
      <c r="U2841" s="22" t="s">
        <v>41</v>
      </c>
      <c r="V2841" s="24">
        <v>1</v>
      </c>
      <c r="W2841" s="24">
        <v>1</v>
      </c>
      <c r="X2841" s="24">
        <v>1</v>
      </c>
      <c r="Y2841" s="24">
        <v>1</v>
      </c>
      <c r="Z2841" s="20">
        <f t="shared" si="93"/>
        <v>4</v>
      </c>
    </row>
    <row r="2842" spans="1:26" x14ac:dyDescent="0.2">
      <c r="A2842" s="21"/>
      <c r="B2842" s="20"/>
      <c r="C2842" s="22"/>
      <c r="D2842" s="22"/>
      <c r="E2842" s="24"/>
      <c r="F2842" s="22"/>
      <c r="H2842" s="21">
        <v>46070</v>
      </c>
      <c r="I2842" s="22" t="s">
        <v>70</v>
      </c>
      <c r="J2842" s="22" t="s">
        <v>45</v>
      </c>
      <c r="K2842" s="24">
        <v>5</v>
      </c>
      <c r="M2842" s="21"/>
      <c r="N2842" s="22"/>
      <c r="O2842" s="22"/>
      <c r="P2842" s="49"/>
      <c r="Q2842" s="49"/>
      <c r="R2842" s="188" t="str">
        <f t="shared" si="94"/>
        <v/>
      </c>
      <c r="T2842" s="21">
        <v>46127</v>
      </c>
      <c r="U2842" s="22" t="s">
        <v>42</v>
      </c>
      <c r="V2842" s="24">
        <v>4</v>
      </c>
      <c r="W2842" s="24">
        <v>4</v>
      </c>
      <c r="X2842" s="24">
        <v>4</v>
      </c>
      <c r="Y2842" s="24">
        <v>4</v>
      </c>
      <c r="Z2842" s="20">
        <f t="shared" si="93"/>
        <v>16</v>
      </c>
    </row>
    <row r="2843" spans="1:26" x14ac:dyDescent="0.2">
      <c r="A2843" s="21"/>
      <c r="B2843" s="20"/>
      <c r="C2843" s="22"/>
      <c r="D2843" s="22"/>
      <c r="E2843" s="24"/>
      <c r="F2843" s="22"/>
      <c r="H2843" s="21">
        <v>46070</v>
      </c>
      <c r="I2843" s="22" t="s">
        <v>70</v>
      </c>
      <c r="J2843" s="22" t="s">
        <v>57</v>
      </c>
      <c r="K2843" s="24">
        <v>5</v>
      </c>
      <c r="M2843" s="21"/>
      <c r="N2843" s="22"/>
      <c r="O2843" s="22"/>
      <c r="P2843" s="49"/>
      <c r="Q2843" s="49"/>
      <c r="R2843" s="188" t="str">
        <f t="shared" si="94"/>
        <v/>
      </c>
      <c r="T2843" s="21">
        <v>46127</v>
      </c>
      <c r="U2843" s="22" t="s">
        <v>44</v>
      </c>
      <c r="V2843" s="24">
        <v>5</v>
      </c>
      <c r="W2843" s="24">
        <v>3</v>
      </c>
      <c r="X2843" s="24">
        <v>4</v>
      </c>
      <c r="Y2843" s="24">
        <v>5</v>
      </c>
      <c r="Z2843" s="20">
        <f t="shared" si="93"/>
        <v>17</v>
      </c>
    </row>
    <row r="2844" spans="1:26" x14ac:dyDescent="0.2">
      <c r="A2844" s="21"/>
      <c r="B2844" s="20"/>
      <c r="C2844" s="22"/>
      <c r="D2844" s="22"/>
      <c r="E2844" s="24"/>
      <c r="F2844" s="22"/>
      <c r="H2844" s="21">
        <v>46070</v>
      </c>
      <c r="I2844" s="22" t="s">
        <v>70</v>
      </c>
      <c r="J2844" s="22" t="s">
        <v>42</v>
      </c>
      <c r="K2844" s="24">
        <v>2</v>
      </c>
      <c r="M2844" s="21"/>
      <c r="N2844" s="22"/>
      <c r="O2844" s="22"/>
      <c r="P2844" s="49"/>
      <c r="Q2844" s="49"/>
      <c r="R2844" s="188" t="str">
        <f t="shared" si="94"/>
        <v/>
      </c>
      <c r="T2844" s="21">
        <v>46127</v>
      </c>
      <c r="U2844" s="22" t="s">
        <v>45</v>
      </c>
      <c r="V2844" s="24">
        <v>4</v>
      </c>
      <c r="W2844" s="24">
        <v>4</v>
      </c>
      <c r="X2844" s="24">
        <v>4</v>
      </c>
      <c r="Y2844" s="24">
        <v>5</v>
      </c>
      <c r="Z2844" s="20">
        <f t="shared" si="93"/>
        <v>17</v>
      </c>
    </row>
    <row r="2845" spans="1:26" x14ac:dyDescent="0.2">
      <c r="A2845" s="21"/>
      <c r="B2845" s="20"/>
      <c r="C2845" s="22"/>
      <c r="D2845" s="22"/>
      <c r="E2845" s="24"/>
      <c r="F2845" s="22"/>
      <c r="H2845" s="21">
        <v>46070</v>
      </c>
      <c r="I2845" s="22" t="s">
        <v>70</v>
      </c>
      <c r="J2845" s="22" t="s">
        <v>47</v>
      </c>
      <c r="K2845" s="24">
        <v>5</v>
      </c>
      <c r="M2845" s="21"/>
      <c r="N2845" s="22"/>
      <c r="O2845" s="22"/>
      <c r="P2845" s="49"/>
      <c r="Q2845" s="49"/>
      <c r="R2845" s="188" t="str">
        <f t="shared" si="94"/>
        <v/>
      </c>
      <c r="T2845" s="21">
        <v>46127</v>
      </c>
      <c r="U2845" s="22" t="s">
        <v>46</v>
      </c>
      <c r="V2845" s="24">
        <v>5</v>
      </c>
      <c r="W2845" s="24">
        <v>4</v>
      </c>
      <c r="X2845" s="24">
        <v>4</v>
      </c>
      <c r="Y2845" s="24">
        <v>5</v>
      </c>
      <c r="Z2845" s="20">
        <f t="shared" si="93"/>
        <v>18</v>
      </c>
    </row>
    <row r="2846" spans="1:26" x14ac:dyDescent="0.2">
      <c r="A2846" s="21"/>
      <c r="B2846" s="20"/>
      <c r="C2846" s="22"/>
      <c r="D2846" s="22"/>
      <c r="E2846" s="24"/>
      <c r="F2846" s="22"/>
      <c r="H2846" s="21">
        <v>46070</v>
      </c>
      <c r="I2846" s="22" t="s">
        <v>70</v>
      </c>
      <c r="J2846" s="22" t="s">
        <v>41</v>
      </c>
      <c r="K2846" s="24">
        <v>2</v>
      </c>
      <c r="M2846" s="21"/>
      <c r="N2846" s="22"/>
      <c r="O2846" s="22"/>
      <c r="P2846" s="49"/>
      <c r="Q2846" s="49"/>
      <c r="R2846" s="188" t="str">
        <f t="shared" si="94"/>
        <v/>
      </c>
      <c r="T2846" s="21">
        <v>46127</v>
      </c>
      <c r="U2846" s="22" t="s">
        <v>47</v>
      </c>
      <c r="V2846" s="24">
        <v>4</v>
      </c>
      <c r="W2846" s="24">
        <v>4</v>
      </c>
      <c r="X2846" s="24">
        <v>3</v>
      </c>
      <c r="Y2846" s="24">
        <v>4</v>
      </c>
      <c r="Z2846" s="20">
        <f t="shared" si="93"/>
        <v>15</v>
      </c>
    </row>
    <row r="2847" spans="1:26" x14ac:dyDescent="0.2">
      <c r="A2847" s="21"/>
      <c r="B2847" s="20"/>
      <c r="C2847" s="22"/>
      <c r="D2847" s="22"/>
      <c r="E2847" s="24"/>
      <c r="F2847" s="22"/>
      <c r="H2847" s="21">
        <v>46070</v>
      </c>
      <c r="I2847" s="22" t="s">
        <v>70</v>
      </c>
      <c r="J2847" s="22" t="s">
        <v>58</v>
      </c>
      <c r="K2847" s="24">
        <v>5</v>
      </c>
      <c r="M2847" s="21"/>
      <c r="N2847" s="22"/>
      <c r="O2847" s="22"/>
      <c r="P2847" s="49"/>
      <c r="Q2847" s="49"/>
      <c r="R2847" s="188" t="str">
        <f t="shared" si="94"/>
        <v/>
      </c>
      <c r="T2847" s="21">
        <v>46127</v>
      </c>
      <c r="U2847" s="22" t="s">
        <v>48</v>
      </c>
      <c r="V2847" s="24">
        <v>5</v>
      </c>
      <c r="W2847" s="24">
        <v>5</v>
      </c>
      <c r="X2847" s="24">
        <v>5</v>
      </c>
      <c r="Y2847" s="24">
        <v>5</v>
      </c>
      <c r="Z2847" s="20">
        <f t="shared" si="93"/>
        <v>20</v>
      </c>
    </row>
    <row r="2848" spans="1:26" x14ac:dyDescent="0.2">
      <c r="A2848" s="21"/>
      <c r="B2848" s="20"/>
      <c r="C2848" s="22"/>
      <c r="D2848" s="22"/>
      <c r="E2848" s="24"/>
      <c r="F2848" s="22"/>
      <c r="H2848" s="21">
        <v>46070</v>
      </c>
      <c r="I2848" s="22" t="s">
        <v>70</v>
      </c>
      <c r="J2848" s="22" t="s">
        <v>49</v>
      </c>
      <c r="K2848" s="24">
        <v>5</v>
      </c>
      <c r="M2848" s="21"/>
      <c r="N2848" s="22"/>
      <c r="O2848" s="22"/>
      <c r="P2848" s="49"/>
      <c r="Q2848" s="49"/>
      <c r="R2848" s="188" t="str">
        <f t="shared" si="94"/>
        <v/>
      </c>
      <c r="T2848" s="21">
        <v>46127</v>
      </c>
      <c r="U2848" s="22" t="s">
        <v>49</v>
      </c>
      <c r="V2848" s="24">
        <v>5</v>
      </c>
      <c r="W2848" s="24">
        <v>3</v>
      </c>
      <c r="X2848" s="24">
        <v>4</v>
      </c>
      <c r="Y2848" s="24">
        <v>3</v>
      </c>
      <c r="Z2848" s="20">
        <f t="shared" si="93"/>
        <v>15</v>
      </c>
    </row>
    <row r="2849" spans="1:26" x14ac:dyDescent="0.2">
      <c r="A2849" s="21"/>
      <c r="B2849" s="20"/>
      <c r="C2849" s="22"/>
      <c r="D2849" s="22"/>
      <c r="E2849" s="24"/>
      <c r="F2849" s="22"/>
      <c r="H2849" s="21">
        <v>46070</v>
      </c>
      <c r="I2849" s="22" t="s">
        <v>70</v>
      </c>
      <c r="J2849" s="22" t="s">
        <v>50</v>
      </c>
      <c r="K2849" s="24">
        <v>5</v>
      </c>
      <c r="M2849" s="21"/>
      <c r="N2849" s="22"/>
      <c r="O2849" s="22"/>
      <c r="P2849" s="49"/>
      <c r="Q2849" s="49"/>
      <c r="R2849" s="188" t="str">
        <f t="shared" si="94"/>
        <v/>
      </c>
      <c r="T2849" s="21">
        <v>46127</v>
      </c>
      <c r="U2849" s="22" t="s">
        <v>50</v>
      </c>
      <c r="V2849" s="24">
        <v>4</v>
      </c>
      <c r="W2849" s="24">
        <v>3</v>
      </c>
      <c r="X2849" s="24">
        <v>3</v>
      </c>
      <c r="Y2849" s="24">
        <v>4</v>
      </c>
      <c r="Z2849" s="20">
        <f t="shared" si="93"/>
        <v>14</v>
      </c>
    </row>
    <row r="2850" spans="1:26" x14ac:dyDescent="0.2">
      <c r="A2850" s="21"/>
      <c r="B2850" s="20"/>
      <c r="C2850" s="22"/>
      <c r="D2850" s="22"/>
      <c r="E2850" s="24"/>
      <c r="F2850" s="22"/>
      <c r="H2850" s="21">
        <v>46070</v>
      </c>
      <c r="I2850" s="22" t="s">
        <v>70</v>
      </c>
      <c r="J2850" s="22" t="s">
        <v>51</v>
      </c>
      <c r="K2850" s="24">
        <v>5</v>
      </c>
      <c r="M2850" s="21"/>
      <c r="N2850" s="22"/>
      <c r="O2850" s="22"/>
      <c r="P2850" s="49"/>
      <c r="Q2850" s="49"/>
      <c r="R2850" s="188" t="str">
        <f t="shared" si="94"/>
        <v/>
      </c>
      <c r="T2850" s="21">
        <v>46127</v>
      </c>
      <c r="U2850" s="22" t="s">
        <v>51</v>
      </c>
      <c r="V2850" s="24">
        <v>4</v>
      </c>
      <c r="W2850" s="24">
        <v>3</v>
      </c>
      <c r="X2850" s="24">
        <v>3</v>
      </c>
      <c r="Y2850" s="24">
        <v>4</v>
      </c>
      <c r="Z2850" s="20">
        <f t="shared" si="93"/>
        <v>14</v>
      </c>
    </row>
    <row r="2851" spans="1:26" x14ac:dyDescent="0.2">
      <c r="A2851" s="21"/>
      <c r="B2851" s="20"/>
      <c r="C2851" s="22"/>
      <c r="D2851" s="22"/>
      <c r="E2851" s="24"/>
      <c r="F2851" s="22"/>
      <c r="H2851" s="21">
        <v>46070</v>
      </c>
      <c r="I2851" s="22" t="s">
        <v>70</v>
      </c>
      <c r="J2851" s="22" t="s">
        <v>46</v>
      </c>
      <c r="K2851" s="24">
        <v>5</v>
      </c>
      <c r="M2851" s="21"/>
      <c r="N2851" s="22"/>
      <c r="O2851" s="22"/>
      <c r="P2851" s="49"/>
      <c r="Q2851" s="49"/>
      <c r="R2851" s="188" t="str">
        <f t="shared" si="94"/>
        <v/>
      </c>
      <c r="T2851" s="21">
        <v>46127</v>
      </c>
      <c r="U2851" s="22" t="s">
        <v>52</v>
      </c>
      <c r="V2851" s="24">
        <v>4</v>
      </c>
      <c r="W2851" s="24">
        <v>4</v>
      </c>
      <c r="X2851" s="24">
        <v>4</v>
      </c>
      <c r="Y2851" s="24">
        <v>4</v>
      </c>
      <c r="Z2851" s="20">
        <f t="shared" si="93"/>
        <v>16</v>
      </c>
    </row>
    <row r="2852" spans="1:26" x14ac:dyDescent="0.2">
      <c r="A2852" s="21"/>
      <c r="B2852" s="20"/>
      <c r="C2852" s="22"/>
      <c r="D2852" s="22"/>
      <c r="E2852" s="24"/>
      <c r="F2852" s="22"/>
      <c r="H2852" s="21">
        <v>46070</v>
      </c>
      <c r="I2852" s="22" t="s">
        <v>70</v>
      </c>
      <c r="J2852" s="22" t="s">
        <v>48</v>
      </c>
      <c r="K2852" s="24">
        <v>5</v>
      </c>
      <c r="M2852" s="21"/>
      <c r="N2852" s="22"/>
      <c r="O2852" s="22"/>
      <c r="P2852" s="49"/>
      <c r="Q2852" s="49"/>
      <c r="R2852" s="188" t="str">
        <f t="shared" si="94"/>
        <v/>
      </c>
      <c r="T2852" s="21">
        <v>46127</v>
      </c>
      <c r="U2852" s="22" t="s">
        <v>53</v>
      </c>
      <c r="V2852" s="24">
        <v>4</v>
      </c>
      <c r="W2852" s="24">
        <v>4</v>
      </c>
      <c r="X2852" s="24">
        <v>3</v>
      </c>
      <c r="Y2852" s="24">
        <v>4</v>
      </c>
      <c r="Z2852" s="20">
        <f t="shared" si="93"/>
        <v>15</v>
      </c>
    </row>
    <row r="2853" spans="1:26" x14ac:dyDescent="0.2">
      <c r="A2853" s="21"/>
      <c r="B2853" s="20"/>
      <c r="C2853" s="22"/>
      <c r="D2853" s="22"/>
      <c r="E2853" s="24"/>
      <c r="F2853" s="22"/>
      <c r="H2853" s="21">
        <v>46071</v>
      </c>
      <c r="I2853" s="22" t="s">
        <v>70</v>
      </c>
      <c r="J2853" s="22" t="s">
        <v>52</v>
      </c>
      <c r="K2853" s="24">
        <v>2</v>
      </c>
      <c r="M2853" s="21"/>
      <c r="N2853" s="22"/>
      <c r="O2853" s="22"/>
      <c r="P2853" s="49"/>
      <c r="Q2853" s="49"/>
      <c r="R2853" s="188" t="str">
        <f t="shared" si="94"/>
        <v/>
      </c>
      <c r="T2853" s="21">
        <v>46127</v>
      </c>
      <c r="U2853" s="22" t="s">
        <v>54</v>
      </c>
      <c r="V2853" s="24">
        <v>4</v>
      </c>
      <c r="W2853" s="24">
        <v>4</v>
      </c>
      <c r="X2853" s="24">
        <v>3</v>
      </c>
      <c r="Y2853" s="24">
        <v>4</v>
      </c>
      <c r="Z2853" s="20">
        <f t="shared" si="93"/>
        <v>15</v>
      </c>
    </row>
    <row r="2854" spans="1:26" x14ac:dyDescent="0.2">
      <c r="A2854" s="21"/>
      <c r="B2854" s="20"/>
      <c r="C2854" s="22"/>
      <c r="D2854" s="22"/>
      <c r="E2854" s="24"/>
      <c r="F2854" s="22"/>
      <c r="H2854" s="21">
        <v>46071</v>
      </c>
      <c r="I2854" s="22" t="s">
        <v>70</v>
      </c>
      <c r="J2854" s="22" t="s">
        <v>53</v>
      </c>
      <c r="K2854" s="24">
        <v>2</v>
      </c>
      <c r="M2854" s="21"/>
      <c r="N2854" s="22"/>
      <c r="O2854" s="22"/>
      <c r="P2854" s="49"/>
      <c r="Q2854" s="49"/>
      <c r="R2854" s="188" t="str">
        <f t="shared" si="94"/>
        <v/>
      </c>
      <c r="T2854" s="21">
        <v>46127</v>
      </c>
      <c r="U2854" s="22" t="s">
        <v>55</v>
      </c>
      <c r="V2854" s="24">
        <v>5</v>
      </c>
      <c r="W2854" s="24">
        <v>5</v>
      </c>
      <c r="X2854" s="24">
        <v>5</v>
      </c>
      <c r="Y2854" s="24">
        <v>5</v>
      </c>
      <c r="Z2854" s="20">
        <f t="shared" si="93"/>
        <v>20</v>
      </c>
    </row>
    <row r="2855" spans="1:26" x14ac:dyDescent="0.2">
      <c r="A2855" s="21"/>
      <c r="B2855" s="20"/>
      <c r="C2855" s="22"/>
      <c r="D2855" s="22"/>
      <c r="E2855" s="24"/>
      <c r="F2855" s="22"/>
      <c r="H2855" s="21">
        <v>46071</v>
      </c>
      <c r="I2855" s="22" t="s">
        <v>70</v>
      </c>
      <c r="J2855" s="22" t="s">
        <v>44</v>
      </c>
      <c r="K2855" s="24">
        <v>2</v>
      </c>
      <c r="M2855" s="21"/>
      <c r="N2855" s="22"/>
      <c r="O2855" s="22"/>
      <c r="P2855" s="49"/>
      <c r="Q2855" s="49"/>
      <c r="R2855" s="188" t="str">
        <f t="shared" si="94"/>
        <v/>
      </c>
      <c r="T2855" s="21">
        <v>46127</v>
      </c>
      <c r="U2855" s="22" t="s">
        <v>57</v>
      </c>
      <c r="V2855" s="24">
        <v>4</v>
      </c>
      <c r="W2855" s="24">
        <v>4</v>
      </c>
      <c r="X2855" s="24">
        <v>4</v>
      </c>
      <c r="Y2855" s="24">
        <v>4</v>
      </c>
      <c r="Z2855" s="20">
        <f t="shared" si="93"/>
        <v>16</v>
      </c>
    </row>
    <row r="2856" spans="1:26" x14ac:dyDescent="0.2">
      <c r="A2856" s="21"/>
      <c r="B2856" s="20"/>
      <c r="C2856" s="22"/>
      <c r="D2856" s="22"/>
      <c r="E2856" s="24"/>
      <c r="F2856" s="22"/>
      <c r="H2856" s="21">
        <v>46071</v>
      </c>
      <c r="I2856" s="22" t="s">
        <v>70</v>
      </c>
      <c r="J2856" s="22" t="s">
        <v>45</v>
      </c>
      <c r="K2856" s="24">
        <v>2</v>
      </c>
      <c r="M2856" s="21"/>
      <c r="N2856" s="22"/>
      <c r="O2856" s="22"/>
      <c r="P2856" s="49"/>
      <c r="Q2856" s="49"/>
      <c r="R2856" s="188" t="str">
        <f t="shared" si="94"/>
        <v/>
      </c>
      <c r="T2856" s="21">
        <v>46127</v>
      </c>
      <c r="U2856" s="22" t="s">
        <v>33</v>
      </c>
      <c r="V2856" s="24">
        <v>4.1333333333333302</v>
      </c>
      <c r="W2856" s="24">
        <v>3.6666666666666701</v>
      </c>
      <c r="X2856" s="24">
        <v>3.6</v>
      </c>
      <c r="Y2856" s="24">
        <v>4.06666666666667</v>
      </c>
      <c r="Z2856" s="20">
        <f t="shared" si="93"/>
        <v>15.46666666666667</v>
      </c>
    </row>
    <row r="2857" spans="1:26" x14ac:dyDescent="0.2">
      <c r="A2857" s="21"/>
      <c r="B2857" s="20"/>
      <c r="C2857" s="22"/>
      <c r="D2857" s="22"/>
      <c r="E2857" s="24"/>
      <c r="F2857" s="22"/>
      <c r="H2857" s="21">
        <v>46071</v>
      </c>
      <c r="I2857" s="22" t="s">
        <v>70</v>
      </c>
      <c r="J2857" s="22" t="s">
        <v>57</v>
      </c>
      <c r="K2857" s="24">
        <v>2</v>
      </c>
      <c r="M2857" s="21"/>
      <c r="N2857" s="22"/>
      <c r="O2857" s="22"/>
      <c r="P2857" s="49"/>
      <c r="Q2857" s="49"/>
      <c r="R2857" s="188" t="str">
        <f t="shared" si="94"/>
        <v/>
      </c>
      <c r="T2857" s="21">
        <v>46128</v>
      </c>
      <c r="U2857" s="22" t="s">
        <v>41</v>
      </c>
      <c r="V2857" s="24">
        <v>1</v>
      </c>
      <c r="W2857" s="24">
        <v>1</v>
      </c>
      <c r="X2857" s="24">
        <v>1</v>
      </c>
      <c r="Y2857" s="24">
        <v>1</v>
      </c>
      <c r="Z2857" s="20">
        <f t="shared" si="93"/>
        <v>4</v>
      </c>
    </row>
    <row r="2858" spans="1:26" x14ac:dyDescent="0.2">
      <c r="A2858" s="21"/>
      <c r="B2858" s="20"/>
      <c r="C2858" s="22"/>
      <c r="D2858" s="22"/>
      <c r="E2858" s="24"/>
      <c r="F2858" s="22"/>
      <c r="H2858" s="21">
        <v>46071</v>
      </c>
      <c r="I2858" s="22" t="s">
        <v>70</v>
      </c>
      <c r="J2858" s="22" t="s">
        <v>42</v>
      </c>
      <c r="K2858" s="24">
        <v>2</v>
      </c>
      <c r="M2858" s="21"/>
      <c r="N2858" s="22"/>
      <c r="O2858" s="22"/>
      <c r="P2858" s="49"/>
      <c r="Q2858" s="49"/>
      <c r="R2858" s="188" t="str">
        <f t="shared" si="94"/>
        <v/>
      </c>
      <c r="T2858" s="21">
        <v>46128</v>
      </c>
      <c r="U2858" s="22" t="s">
        <v>42</v>
      </c>
      <c r="V2858" s="24">
        <v>4</v>
      </c>
      <c r="W2858" s="24">
        <v>4</v>
      </c>
      <c r="X2858" s="24">
        <v>4</v>
      </c>
      <c r="Y2858" s="24">
        <v>4</v>
      </c>
      <c r="Z2858" s="20">
        <f t="shared" si="93"/>
        <v>16</v>
      </c>
    </row>
    <row r="2859" spans="1:26" x14ac:dyDescent="0.2">
      <c r="A2859" s="21"/>
      <c r="B2859" s="20"/>
      <c r="C2859" s="22"/>
      <c r="D2859" s="22"/>
      <c r="E2859" s="24"/>
      <c r="F2859" s="22"/>
      <c r="H2859" s="21">
        <v>46071</v>
      </c>
      <c r="I2859" s="22" t="s">
        <v>70</v>
      </c>
      <c r="J2859" s="22" t="s">
        <v>47</v>
      </c>
      <c r="K2859" s="24">
        <v>2</v>
      </c>
      <c r="M2859" s="21"/>
      <c r="N2859" s="22"/>
      <c r="O2859" s="22"/>
      <c r="P2859" s="49"/>
      <c r="Q2859" s="49"/>
      <c r="R2859" s="188" t="str">
        <f t="shared" si="94"/>
        <v/>
      </c>
      <c r="T2859" s="21">
        <v>46128</v>
      </c>
      <c r="U2859" s="22" t="s">
        <v>44</v>
      </c>
      <c r="V2859" s="24">
        <v>5</v>
      </c>
      <c r="W2859" s="24">
        <v>3</v>
      </c>
      <c r="X2859" s="24">
        <v>3</v>
      </c>
      <c r="Y2859" s="24">
        <v>5</v>
      </c>
      <c r="Z2859" s="20">
        <f t="shared" si="93"/>
        <v>16</v>
      </c>
    </row>
    <row r="2860" spans="1:26" x14ac:dyDescent="0.2">
      <c r="A2860" s="21"/>
      <c r="B2860" s="20"/>
      <c r="C2860" s="22"/>
      <c r="D2860" s="22"/>
      <c r="E2860" s="24"/>
      <c r="F2860" s="22"/>
      <c r="H2860" s="21">
        <v>46071</v>
      </c>
      <c r="I2860" s="22" t="s">
        <v>70</v>
      </c>
      <c r="J2860" s="22" t="s">
        <v>41</v>
      </c>
      <c r="K2860" s="24">
        <v>2</v>
      </c>
      <c r="M2860" s="21"/>
      <c r="N2860" s="22"/>
      <c r="O2860" s="22"/>
      <c r="P2860" s="49"/>
      <c r="Q2860" s="49"/>
      <c r="R2860" s="188" t="str">
        <f t="shared" si="94"/>
        <v/>
      </c>
      <c r="T2860" s="21">
        <v>46128</v>
      </c>
      <c r="U2860" s="22" t="s">
        <v>45</v>
      </c>
      <c r="V2860" s="24">
        <v>4</v>
      </c>
      <c r="W2860" s="24">
        <v>4</v>
      </c>
      <c r="X2860" s="24">
        <v>4</v>
      </c>
      <c r="Y2860" s="24">
        <v>5</v>
      </c>
      <c r="Z2860" s="20">
        <f t="shared" si="93"/>
        <v>17</v>
      </c>
    </row>
    <row r="2861" spans="1:26" x14ac:dyDescent="0.2">
      <c r="A2861" s="21"/>
      <c r="B2861" s="20"/>
      <c r="C2861" s="22"/>
      <c r="D2861" s="22"/>
      <c r="E2861" s="24"/>
      <c r="F2861" s="22"/>
      <c r="H2861" s="21">
        <v>46071</v>
      </c>
      <c r="I2861" s="22" t="s">
        <v>70</v>
      </c>
      <c r="J2861" s="22" t="s">
        <v>58</v>
      </c>
      <c r="K2861" s="24">
        <v>2</v>
      </c>
      <c r="M2861" s="21"/>
      <c r="N2861" s="22"/>
      <c r="O2861" s="22"/>
      <c r="P2861" s="49"/>
      <c r="Q2861" s="49"/>
      <c r="R2861" s="188" t="str">
        <f t="shared" si="94"/>
        <v/>
      </c>
      <c r="T2861" s="21">
        <v>46128</v>
      </c>
      <c r="U2861" s="22" t="s">
        <v>46</v>
      </c>
      <c r="V2861" s="24">
        <v>5</v>
      </c>
      <c r="W2861" s="24">
        <v>4</v>
      </c>
      <c r="X2861" s="24">
        <v>4</v>
      </c>
      <c r="Y2861" s="24">
        <v>5</v>
      </c>
      <c r="Z2861" s="20">
        <f t="shared" si="93"/>
        <v>18</v>
      </c>
    </row>
    <row r="2862" spans="1:26" x14ac:dyDescent="0.2">
      <c r="A2862" s="21"/>
      <c r="B2862" s="20"/>
      <c r="C2862" s="22"/>
      <c r="D2862" s="22"/>
      <c r="E2862" s="24"/>
      <c r="F2862" s="22"/>
      <c r="H2862" s="21">
        <v>46071</v>
      </c>
      <c r="I2862" s="22" t="s">
        <v>70</v>
      </c>
      <c r="J2862" s="22" t="s">
        <v>49</v>
      </c>
      <c r="K2862" s="24">
        <v>2</v>
      </c>
      <c r="M2862" s="21"/>
      <c r="N2862" s="22"/>
      <c r="O2862" s="22"/>
      <c r="P2862" s="49"/>
      <c r="Q2862" s="49"/>
      <c r="R2862" s="188" t="str">
        <f t="shared" si="94"/>
        <v/>
      </c>
      <c r="T2862" s="21">
        <v>46128</v>
      </c>
      <c r="U2862" s="22" t="s">
        <v>47</v>
      </c>
      <c r="V2862" s="24">
        <v>5</v>
      </c>
      <c r="W2862" s="24">
        <v>4</v>
      </c>
      <c r="X2862" s="24">
        <v>3</v>
      </c>
      <c r="Y2862" s="24">
        <v>3</v>
      </c>
      <c r="Z2862" s="20">
        <f t="shared" si="93"/>
        <v>15</v>
      </c>
    </row>
    <row r="2863" spans="1:26" x14ac:dyDescent="0.2">
      <c r="A2863" s="21"/>
      <c r="B2863" s="20"/>
      <c r="C2863" s="22"/>
      <c r="D2863" s="22"/>
      <c r="E2863" s="24"/>
      <c r="F2863" s="22"/>
      <c r="H2863" s="21">
        <v>46071</v>
      </c>
      <c r="I2863" s="22" t="s">
        <v>70</v>
      </c>
      <c r="J2863" s="22" t="s">
        <v>50</v>
      </c>
      <c r="K2863" s="24">
        <v>2</v>
      </c>
      <c r="M2863" s="21"/>
      <c r="N2863" s="22"/>
      <c r="O2863" s="22"/>
      <c r="P2863" s="49"/>
      <c r="Q2863" s="49"/>
      <c r="R2863" s="188" t="str">
        <f t="shared" si="94"/>
        <v/>
      </c>
      <c r="T2863" s="21">
        <v>46128</v>
      </c>
      <c r="U2863" s="22" t="s">
        <v>48</v>
      </c>
      <c r="V2863" s="24">
        <v>5</v>
      </c>
      <c r="W2863" s="24">
        <v>5</v>
      </c>
      <c r="X2863" s="24">
        <v>5</v>
      </c>
      <c r="Y2863" s="24">
        <v>5</v>
      </c>
      <c r="Z2863" s="20">
        <f t="shared" si="93"/>
        <v>20</v>
      </c>
    </row>
    <row r="2864" spans="1:26" x14ac:dyDescent="0.2">
      <c r="A2864" s="21"/>
      <c r="B2864" s="20"/>
      <c r="C2864" s="22"/>
      <c r="D2864" s="22"/>
      <c r="E2864" s="24"/>
      <c r="F2864" s="22"/>
      <c r="H2864" s="21">
        <v>46071</v>
      </c>
      <c r="I2864" s="22" t="s">
        <v>70</v>
      </c>
      <c r="J2864" s="22" t="s">
        <v>51</v>
      </c>
      <c r="K2864" s="24">
        <v>2</v>
      </c>
      <c r="M2864" s="21"/>
      <c r="N2864" s="22"/>
      <c r="O2864" s="22"/>
      <c r="P2864" s="49"/>
      <c r="Q2864" s="49"/>
      <c r="R2864" s="188" t="str">
        <f t="shared" si="94"/>
        <v/>
      </c>
      <c r="T2864" s="21">
        <v>46128</v>
      </c>
      <c r="U2864" s="22" t="s">
        <v>49</v>
      </c>
      <c r="V2864" s="24">
        <v>5</v>
      </c>
      <c r="W2864" s="24">
        <v>3</v>
      </c>
      <c r="X2864" s="24">
        <v>3</v>
      </c>
      <c r="Y2864" s="24">
        <v>4</v>
      </c>
      <c r="Z2864" s="20">
        <f t="shared" si="93"/>
        <v>15</v>
      </c>
    </row>
    <row r="2865" spans="1:26" x14ac:dyDescent="0.2">
      <c r="A2865" s="21"/>
      <c r="B2865" s="20"/>
      <c r="C2865" s="22"/>
      <c r="D2865" s="22"/>
      <c r="E2865" s="24"/>
      <c r="F2865" s="22"/>
      <c r="H2865" s="21">
        <v>46071</v>
      </c>
      <c r="I2865" s="22" t="s">
        <v>70</v>
      </c>
      <c r="J2865" s="22" t="s">
        <v>46</v>
      </c>
      <c r="K2865" s="24">
        <v>2</v>
      </c>
      <c r="M2865" s="21"/>
      <c r="N2865" s="22"/>
      <c r="O2865" s="22"/>
      <c r="P2865" s="49"/>
      <c r="Q2865" s="49"/>
      <c r="R2865" s="188" t="str">
        <f t="shared" si="94"/>
        <v/>
      </c>
      <c r="T2865" s="21">
        <v>46128</v>
      </c>
      <c r="U2865" s="22" t="s">
        <v>50</v>
      </c>
      <c r="V2865" s="24">
        <v>3</v>
      </c>
      <c r="W2865" s="24">
        <v>3</v>
      </c>
      <c r="X2865" s="24">
        <v>3</v>
      </c>
      <c r="Y2865" s="24">
        <v>3</v>
      </c>
      <c r="Z2865" s="20">
        <f t="shared" si="93"/>
        <v>12</v>
      </c>
    </row>
    <row r="2866" spans="1:26" x14ac:dyDescent="0.2">
      <c r="A2866" s="21"/>
      <c r="B2866" s="20"/>
      <c r="C2866" s="22"/>
      <c r="D2866" s="22"/>
      <c r="E2866" s="24"/>
      <c r="F2866" s="22"/>
      <c r="H2866" s="21">
        <v>46071</v>
      </c>
      <c r="I2866" s="22" t="s">
        <v>70</v>
      </c>
      <c r="J2866" s="22" t="s">
        <v>48</v>
      </c>
      <c r="K2866" s="24">
        <v>2</v>
      </c>
      <c r="M2866" s="21"/>
      <c r="N2866" s="22"/>
      <c r="O2866" s="22"/>
      <c r="P2866" s="49"/>
      <c r="Q2866" s="49"/>
      <c r="R2866" s="188" t="str">
        <f t="shared" si="94"/>
        <v/>
      </c>
      <c r="T2866" s="21">
        <v>46128</v>
      </c>
      <c r="U2866" s="22" t="s">
        <v>51</v>
      </c>
      <c r="V2866" s="24">
        <v>4</v>
      </c>
      <c r="W2866" s="24">
        <v>4</v>
      </c>
      <c r="X2866" s="24">
        <v>4</v>
      </c>
      <c r="Y2866" s="24">
        <v>4</v>
      </c>
      <c r="Z2866" s="20">
        <f t="shared" si="93"/>
        <v>16</v>
      </c>
    </row>
    <row r="2867" spans="1:26" x14ac:dyDescent="0.2">
      <c r="A2867" s="21"/>
      <c r="B2867" s="20"/>
      <c r="C2867" s="22"/>
      <c r="D2867" s="22"/>
      <c r="E2867" s="24"/>
      <c r="F2867" s="22"/>
      <c r="H2867" s="21">
        <v>46071</v>
      </c>
      <c r="I2867" s="22" t="s">
        <v>71</v>
      </c>
      <c r="J2867" s="22" t="s">
        <v>52</v>
      </c>
      <c r="K2867" s="24">
        <v>7</v>
      </c>
      <c r="M2867" s="21"/>
      <c r="N2867" s="22"/>
      <c r="O2867" s="22"/>
      <c r="P2867" s="49"/>
      <c r="Q2867" s="49"/>
      <c r="R2867" s="188" t="str">
        <f t="shared" si="94"/>
        <v/>
      </c>
      <c r="T2867" s="21">
        <v>46128</v>
      </c>
      <c r="U2867" s="22" t="s">
        <v>52</v>
      </c>
      <c r="V2867" s="24">
        <v>4</v>
      </c>
      <c r="W2867" s="24">
        <v>4</v>
      </c>
      <c r="X2867" s="24">
        <v>4</v>
      </c>
      <c r="Y2867" s="24">
        <v>4</v>
      </c>
      <c r="Z2867" s="20">
        <f t="shared" si="93"/>
        <v>16</v>
      </c>
    </row>
    <row r="2868" spans="1:26" x14ac:dyDescent="0.2">
      <c r="A2868" s="21"/>
      <c r="B2868" s="20"/>
      <c r="C2868" s="22"/>
      <c r="D2868" s="22"/>
      <c r="E2868" s="24"/>
      <c r="F2868" s="22"/>
      <c r="H2868" s="21">
        <v>46071</v>
      </c>
      <c r="I2868" s="22" t="s">
        <v>71</v>
      </c>
      <c r="J2868" s="22" t="s">
        <v>53</v>
      </c>
      <c r="K2868" s="24">
        <v>8</v>
      </c>
      <c r="M2868" s="21"/>
      <c r="N2868" s="22"/>
      <c r="O2868" s="22"/>
      <c r="P2868" s="49"/>
      <c r="Q2868" s="49"/>
      <c r="R2868" s="188" t="str">
        <f t="shared" si="94"/>
        <v/>
      </c>
      <c r="T2868" s="21">
        <v>46128</v>
      </c>
      <c r="U2868" s="22" t="s">
        <v>53</v>
      </c>
      <c r="V2868" s="24">
        <v>4</v>
      </c>
      <c r="W2868" s="24">
        <v>4</v>
      </c>
      <c r="X2868" s="24">
        <v>4</v>
      </c>
      <c r="Y2868" s="24">
        <v>4</v>
      </c>
      <c r="Z2868" s="20">
        <f t="shared" si="93"/>
        <v>16</v>
      </c>
    </row>
    <row r="2869" spans="1:26" x14ac:dyDescent="0.2">
      <c r="A2869" s="21"/>
      <c r="B2869" s="20"/>
      <c r="C2869" s="22"/>
      <c r="D2869" s="22"/>
      <c r="E2869" s="24"/>
      <c r="F2869" s="22"/>
      <c r="H2869" s="21">
        <v>46071</v>
      </c>
      <c r="I2869" s="22" t="s">
        <v>71</v>
      </c>
      <c r="J2869" s="22" t="s">
        <v>44</v>
      </c>
      <c r="K2869" s="24">
        <v>8</v>
      </c>
      <c r="M2869" s="21"/>
      <c r="N2869" s="22"/>
      <c r="O2869" s="22"/>
      <c r="P2869" s="49"/>
      <c r="Q2869" s="49"/>
      <c r="R2869" s="188" t="str">
        <f t="shared" si="94"/>
        <v/>
      </c>
      <c r="T2869" s="21">
        <v>46128</v>
      </c>
      <c r="U2869" s="22" t="s">
        <v>55</v>
      </c>
      <c r="V2869" s="24">
        <v>5</v>
      </c>
      <c r="W2869" s="24">
        <v>5</v>
      </c>
      <c r="X2869" s="24">
        <v>5</v>
      </c>
      <c r="Y2869" s="24">
        <v>5</v>
      </c>
      <c r="Z2869" s="20">
        <f t="shared" si="93"/>
        <v>20</v>
      </c>
    </row>
    <row r="2870" spans="1:26" x14ac:dyDescent="0.2">
      <c r="A2870" s="21"/>
      <c r="B2870" s="20"/>
      <c r="C2870" s="22"/>
      <c r="D2870" s="22"/>
      <c r="E2870" s="24"/>
      <c r="F2870" s="22"/>
      <c r="H2870" s="21">
        <v>46071</v>
      </c>
      <c r="I2870" s="22" t="s">
        <v>71</v>
      </c>
      <c r="J2870" s="22" t="s">
        <v>45</v>
      </c>
      <c r="K2870" s="24">
        <v>9</v>
      </c>
      <c r="M2870" s="21"/>
      <c r="N2870" s="22"/>
      <c r="O2870" s="22"/>
      <c r="P2870" s="49"/>
      <c r="Q2870" s="49"/>
      <c r="R2870" s="188" t="str">
        <f t="shared" si="94"/>
        <v/>
      </c>
      <c r="T2870" s="21">
        <v>46128</v>
      </c>
      <c r="U2870" s="22" t="s">
        <v>57</v>
      </c>
      <c r="V2870" s="24">
        <v>4</v>
      </c>
      <c r="W2870" s="24">
        <v>4</v>
      </c>
      <c r="X2870" s="24">
        <v>2</v>
      </c>
      <c r="Y2870" s="24">
        <v>2</v>
      </c>
      <c r="Z2870" s="20">
        <f t="shared" si="93"/>
        <v>12</v>
      </c>
    </row>
    <row r="2871" spans="1:26" x14ac:dyDescent="0.2">
      <c r="A2871" s="21"/>
      <c r="B2871" s="20"/>
      <c r="C2871" s="22"/>
      <c r="D2871" s="22"/>
      <c r="E2871" s="24"/>
      <c r="F2871" s="22"/>
      <c r="H2871" s="21">
        <v>46071</v>
      </c>
      <c r="I2871" s="22" t="s">
        <v>71</v>
      </c>
      <c r="J2871" s="22" t="s">
        <v>57</v>
      </c>
      <c r="K2871" s="24" t="s">
        <v>63</v>
      </c>
      <c r="M2871" s="21"/>
      <c r="N2871" s="22"/>
      <c r="O2871" s="22"/>
      <c r="P2871" s="49"/>
      <c r="Q2871" s="49"/>
      <c r="R2871" s="188" t="str">
        <f t="shared" si="94"/>
        <v/>
      </c>
      <c r="T2871" s="21">
        <v>46128</v>
      </c>
      <c r="U2871" s="22" t="s">
        <v>33</v>
      </c>
      <c r="V2871" s="24">
        <v>4.1428571428571397</v>
      </c>
      <c r="W2871" s="24">
        <v>3.71428571428571</v>
      </c>
      <c r="X2871" s="24">
        <v>3.5</v>
      </c>
      <c r="Y2871" s="24">
        <v>3.8571428571428599</v>
      </c>
      <c r="Z2871" s="20">
        <f t="shared" si="93"/>
        <v>15.21428571428571</v>
      </c>
    </row>
    <row r="2872" spans="1:26" x14ac:dyDescent="0.2">
      <c r="A2872" s="21"/>
      <c r="B2872" s="20"/>
      <c r="C2872" s="22"/>
      <c r="D2872" s="22"/>
      <c r="E2872" s="24"/>
      <c r="F2872" s="22"/>
      <c r="H2872" s="21">
        <v>46071</v>
      </c>
      <c r="I2872" s="22" t="s">
        <v>71</v>
      </c>
      <c r="J2872" s="22" t="s">
        <v>42</v>
      </c>
      <c r="K2872" s="24" t="s">
        <v>63</v>
      </c>
      <c r="M2872" s="21"/>
      <c r="N2872" s="22"/>
      <c r="O2872" s="22"/>
      <c r="P2872" s="49"/>
      <c r="Q2872" s="49"/>
      <c r="R2872" s="188" t="str">
        <f t="shared" si="94"/>
        <v/>
      </c>
      <c r="T2872" s="21">
        <v>46129</v>
      </c>
      <c r="U2872" s="22" t="s">
        <v>41</v>
      </c>
      <c r="V2872" s="24">
        <v>1</v>
      </c>
      <c r="W2872" s="24">
        <v>1</v>
      </c>
      <c r="X2872" s="24">
        <v>1</v>
      </c>
      <c r="Y2872" s="24">
        <v>1</v>
      </c>
      <c r="Z2872" s="20">
        <f t="shared" si="93"/>
        <v>4</v>
      </c>
    </row>
    <row r="2873" spans="1:26" x14ac:dyDescent="0.2">
      <c r="A2873" s="21"/>
      <c r="B2873" s="20"/>
      <c r="C2873" s="22"/>
      <c r="D2873" s="22"/>
      <c r="E2873" s="24"/>
      <c r="F2873" s="22"/>
      <c r="H2873" s="21">
        <v>46071</v>
      </c>
      <c r="I2873" s="22" t="s">
        <v>71</v>
      </c>
      <c r="J2873" s="22" t="s">
        <v>47</v>
      </c>
      <c r="K2873" s="24">
        <v>5</v>
      </c>
      <c r="M2873" s="21"/>
      <c r="N2873" s="22"/>
      <c r="O2873" s="22"/>
      <c r="P2873" s="49"/>
      <c r="Q2873" s="49"/>
      <c r="R2873" s="188" t="str">
        <f t="shared" si="94"/>
        <v/>
      </c>
      <c r="T2873" s="21">
        <v>46129</v>
      </c>
      <c r="U2873" s="22" t="s">
        <v>42</v>
      </c>
      <c r="V2873" s="24">
        <v>4</v>
      </c>
      <c r="W2873" s="24">
        <v>4</v>
      </c>
      <c r="X2873" s="24">
        <v>4</v>
      </c>
      <c r="Y2873" s="24">
        <v>4</v>
      </c>
      <c r="Z2873" s="20">
        <f t="shared" si="93"/>
        <v>16</v>
      </c>
    </row>
    <row r="2874" spans="1:26" x14ac:dyDescent="0.2">
      <c r="A2874" s="21"/>
      <c r="B2874" s="20"/>
      <c r="C2874" s="22"/>
      <c r="D2874" s="22"/>
      <c r="E2874" s="24"/>
      <c r="F2874" s="22"/>
      <c r="H2874" s="21">
        <v>46071</v>
      </c>
      <c r="I2874" s="22" t="s">
        <v>71</v>
      </c>
      <c r="J2874" s="22" t="s">
        <v>41</v>
      </c>
      <c r="K2874" s="24">
        <v>7</v>
      </c>
      <c r="M2874" s="21"/>
      <c r="N2874" s="22"/>
      <c r="O2874" s="22"/>
      <c r="P2874" s="49"/>
      <c r="Q2874" s="49"/>
      <c r="R2874" s="188" t="str">
        <f t="shared" si="94"/>
        <v/>
      </c>
      <c r="T2874" s="21">
        <v>46129</v>
      </c>
      <c r="U2874" s="22" t="s">
        <v>44</v>
      </c>
      <c r="V2874" s="24">
        <v>5</v>
      </c>
      <c r="W2874" s="24">
        <v>3</v>
      </c>
      <c r="X2874" s="24">
        <v>4</v>
      </c>
      <c r="Y2874" s="24">
        <v>5</v>
      </c>
      <c r="Z2874" s="20">
        <f t="shared" si="93"/>
        <v>17</v>
      </c>
    </row>
    <row r="2875" spans="1:26" x14ac:dyDescent="0.2">
      <c r="A2875" s="21"/>
      <c r="B2875" s="20"/>
      <c r="C2875" s="22"/>
      <c r="D2875" s="22"/>
      <c r="E2875" s="24"/>
      <c r="F2875" s="22"/>
      <c r="H2875" s="21">
        <v>46071</v>
      </c>
      <c r="I2875" s="22" t="s">
        <v>71</v>
      </c>
      <c r="J2875" s="22" t="s">
        <v>58</v>
      </c>
      <c r="K2875" s="24" t="s">
        <v>63</v>
      </c>
      <c r="M2875" s="21"/>
      <c r="N2875" s="22"/>
      <c r="O2875" s="22"/>
      <c r="P2875" s="49"/>
      <c r="Q2875" s="49"/>
      <c r="R2875" s="188" t="str">
        <f t="shared" si="94"/>
        <v/>
      </c>
      <c r="T2875" s="21">
        <v>46129</v>
      </c>
      <c r="U2875" s="22" t="s">
        <v>45</v>
      </c>
      <c r="V2875" s="24">
        <v>4</v>
      </c>
      <c r="W2875" s="24">
        <v>4</v>
      </c>
      <c r="X2875" s="24">
        <v>4</v>
      </c>
      <c r="Y2875" s="24">
        <v>5</v>
      </c>
      <c r="Z2875" s="20">
        <f t="shared" si="93"/>
        <v>17</v>
      </c>
    </row>
    <row r="2876" spans="1:26" x14ac:dyDescent="0.2">
      <c r="A2876" s="21"/>
      <c r="B2876" s="20"/>
      <c r="C2876" s="22"/>
      <c r="D2876" s="22"/>
      <c r="E2876" s="24"/>
      <c r="F2876" s="22"/>
      <c r="H2876" s="21">
        <v>46071</v>
      </c>
      <c r="I2876" s="22" t="s">
        <v>71</v>
      </c>
      <c r="J2876" s="22" t="s">
        <v>49</v>
      </c>
      <c r="K2876" s="24">
        <v>9</v>
      </c>
      <c r="M2876" s="21"/>
      <c r="N2876" s="22"/>
      <c r="O2876" s="22"/>
      <c r="P2876" s="49"/>
      <c r="Q2876" s="49"/>
      <c r="R2876" s="188" t="str">
        <f t="shared" si="94"/>
        <v/>
      </c>
      <c r="T2876" s="21">
        <v>46129</v>
      </c>
      <c r="U2876" s="22" t="s">
        <v>46</v>
      </c>
      <c r="V2876" s="24">
        <v>5</v>
      </c>
      <c r="W2876" s="24">
        <v>4</v>
      </c>
      <c r="X2876" s="24">
        <v>4</v>
      </c>
      <c r="Y2876" s="24">
        <v>5</v>
      </c>
      <c r="Z2876" s="20">
        <f t="shared" si="93"/>
        <v>18</v>
      </c>
    </row>
    <row r="2877" spans="1:26" x14ac:dyDescent="0.2">
      <c r="A2877" s="21"/>
      <c r="B2877" s="20"/>
      <c r="C2877" s="22"/>
      <c r="D2877" s="22"/>
      <c r="E2877" s="24"/>
      <c r="F2877" s="22"/>
      <c r="H2877" s="21">
        <v>46071</v>
      </c>
      <c r="I2877" s="22" t="s">
        <v>71</v>
      </c>
      <c r="J2877" s="22" t="s">
        <v>50</v>
      </c>
      <c r="K2877" s="24">
        <v>9</v>
      </c>
      <c r="M2877" s="21"/>
      <c r="N2877" s="22"/>
      <c r="O2877" s="22"/>
      <c r="P2877" s="49"/>
      <c r="Q2877" s="49"/>
      <c r="R2877" s="188" t="str">
        <f t="shared" si="94"/>
        <v/>
      </c>
      <c r="T2877" s="21">
        <v>46129</v>
      </c>
      <c r="U2877" s="22" t="s">
        <v>47</v>
      </c>
      <c r="V2877" s="24">
        <v>5</v>
      </c>
      <c r="W2877" s="24">
        <v>5</v>
      </c>
      <c r="X2877" s="24">
        <v>4</v>
      </c>
      <c r="Y2877" s="24">
        <v>3</v>
      </c>
      <c r="Z2877" s="20">
        <f t="shared" si="93"/>
        <v>17</v>
      </c>
    </row>
    <row r="2878" spans="1:26" x14ac:dyDescent="0.2">
      <c r="A2878" s="21"/>
      <c r="B2878" s="20"/>
      <c r="C2878" s="22"/>
      <c r="D2878" s="22"/>
      <c r="E2878" s="24"/>
      <c r="F2878" s="22"/>
      <c r="H2878" s="21">
        <v>46071</v>
      </c>
      <c r="I2878" s="22" t="s">
        <v>71</v>
      </c>
      <c r="J2878" s="22" t="s">
        <v>51</v>
      </c>
      <c r="K2878" s="24">
        <v>7</v>
      </c>
      <c r="M2878" s="21"/>
      <c r="N2878" s="22"/>
      <c r="O2878" s="22"/>
      <c r="P2878" s="49"/>
      <c r="Q2878" s="49"/>
      <c r="R2878" s="188" t="str">
        <f t="shared" si="94"/>
        <v/>
      </c>
      <c r="T2878" s="21">
        <v>46129</v>
      </c>
      <c r="U2878" s="22" t="s">
        <v>48</v>
      </c>
      <c r="V2878" s="24">
        <v>5</v>
      </c>
      <c r="W2878" s="24">
        <v>5</v>
      </c>
      <c r="X2878" s="24">
        <v>5</v>
      </c>
      <c r="Y2878" s="24">
        <v>5</v>
      </c>
      <c r="Z2878" s="20">
        <f t="shared" si="93"/>
        <v>20</v>
      </c>
    </row>
    <row r="2879" spans="1:26" x14ac:dyDescent="0.2">
      <c r="A2879" s="21"/>
      <c r="B2879" s="20"/>
      <c r="C2879" s="22"/>
      <c r="D2879" s="22"/>
      <c r="E2879" s="24"/>
      <c r="F2879" s="22"/>
      <c r="H2879" s="21">
        <v>46071</v>
      </c>
      <c r="I2879" s="22" t="s">
        <v>71</v>
      </c>
      <c r="J2879" s="22" t="s">
        <v>46</v>
      </c>
      <c r="K2879" s="24">
        <v>9</v>
      </c>
      <c r="M2879" s="21"/>
      <c r="N2879" s="22"/>
      <c r="O2879" s="22"/>
      <c r="P2879" s="49"/>
      <c r="Q2879" s="49"/>
      <c r="R2879" s="188" t="str">
        <f t="shared" si="94"/>
        <v/>
      </c>
      <c r="T2879" s="21">
        <v>46129</v>
      </c>
      <c r="U2879" s="22" t="s">
        <v>49</v>
      </c>
      <c r="V2879" s="24">
        <v>4</v>
      </c>
      <c r="W2879" s="24">
        <v>4</v>
      </c>
      <c r="X2879" s="24">
        <v>4</v>
      </c>
      <c r="Y2879" s="24">
        <v>4</v>
      </c>
      <c r="Z2879" s="20">
        <f t="shared" si="93"/>
        <v>16</v>
      </c>
    </row>
    <row r="2880" spans="1:26" x14ac:dyDescent="0.2">
      <c r="A2880" s="21"/>
      <c r="B2880" s="20"/>
      <c r="C2880" s="22"/>
      <c r="D2880" s="22"/>
      <c r="E2880" s="24"/>
      <c r="F2880" s="22"/>
      <c r="H2880" s="21">
        <v>46071</v>
      </c>
      <c r="I2880" s="22" t="s">
        <v>71</v>
      </c>
      <c r="J2880" s="22" t="s">
        <v>48</v>
      </c>
      <c r="K2880" s="24">
        <v>9</v>
      </c>
      <c r="M2880" s="21"/>
      <c r="N2880" s="22"/>
      <c r="O2880" s="22"/>
      <c r="P2880" s="49"/>
      <c r="Q2880" s="49"/>
      <c r="R2880" s="188" t="str">
        <f t="shared" si="94"/>
        <v/>
      </c>
      <c r="T2880" s="21">
        <v>46129</v>
      </c>
      <c r="U2880" s="22" t="s">
        <v>50</v>
      </c>
      <c r="V2880" s="24">
        <v>3</v>
      </c>
      <c r="W2880" s="24">
        <v>3</v>
      </c>
      <c r="X2880" s="24">
        <v>3</v>
      </c>
      <c r="Y2880" s="24">
        <v>3</v>
      </c>
      <c r="Z2880" s="20">
        <f t="shared" si="93"/>
        <v>12</v>
      </c>
    </row>
    <row r="2881" spans="1:26" x14ac:dyDescent="0.2">
      <c r="A2881" s="21"/>
      <c r="B2881" s="20"/>
      <c r="C2881" s="22"/>
      <c r="D2881" s="22"/>
      <c r="E2881" s="24"/>
      <c r="F2881" s="22"/>
      <c r="H2881" s="21">
        <v>46072</v>
      </c>
      <c r="I2881" s="22" t="s">
        <v>70</v>
      </c>
      <c r="J2881" s="22" t="s">
        <v>52</v>
      </c>
      <c r="K2881" s="24">
        <v>5</v>
      </c>
      <c r="M2881" s="21"/>
      <c r="N2881" s="22"/>
      <c r="O2881" s="22"/>
      <c r="P2881" s="49"/>
      <c r="Q2881" s="49"/>
      <c r="R2881" s="188" t="str">
        <f t="shared" si="94"/>
        <v/>
      </c>
      <c r="T2881" s="21">
        <v>46129</v>
      </c>
      <c r="U2881" s="22" t="s">
        <v>51</v>
      </c>
      <c r="V2881" s="24">
        <v>4</v>
      </c>
      <c r="W2881" s="24">
        <v>4</v>
      </c>
      <c r="X2881" s="24">
        <v>4</v>
      </c>
      <c r="Y2881" s="24">
        <v>4</v>
      </c>
      <c r="Z2881" s="20">
        <f t="shared" si="93"/>
        <v>16</v>
      </c>
    </row>
    <row r="2882" spans="1:26" x14ac:dyDescent="0.2">
      <c r="A2882" s="21"/>
      <c r="B2882" s="20"/>
      <c r="C2882" s="22"/>
      <c r="D2882" s="22"/>
      <c r="E2882" s="24"/>
      <c r="F2882" s="22"/>
      <c r="H2882" s="21">
        <v>46072</v>
      </c>
      <c r="I2882" s="22" t="s">
        <v>70</v>
      </c>
      <c r="J2882" s="22" t="s">
        <v>53</v>
      </c>
      <c r="K2882" s="24">
        <v>7</v>
      </c>
      <c r="M2882" s="21"/>
      <c r="N2882" s="22"/>
      <c r="O2882" s="22"/>
      <c r="P2882" s="49"/>
      <c r="Q2882" s="49"/>
      <c r="R2882" s="188" t="str">
        <f t="shared" si="94"/>
        <v/>
      </c>
      <c r="T2882" s="21">
        <v>46129</v>
      </c>
      <c r="U2882" s="22" t="s">
        <v>52</v>
      </c>
      <c r="V2882" s="24">
        <v>4</v>
      </c>
      <c r="W2882" s="24">
        <v>4</v>
      </c>
      <c r="X2882" s="24">
        <v>4</v>
      </c>
      <c r="Y2882" s="24">
        <v>4</v>
      </c>
      <c r="Z2882" s="20">
        <f t="shared" si="93"/>
        <v>16</v>
      </c>
    </row>
    <row r="2883" spans="1:26" x14ac:dyDescent="0.2">
      <c r="A2883" s="21"/>
      <c r="B2883" s="20"/>
      <c r="C2883" s="22"/>
      <c r="D2883" s="22"/>
      <c r="E2883" s="24"/>
      <c r="F2883" s="22"/>
      <c r="H2883" s="21">
        <v>46072</v>
      </c>
      <c r="I2883" s="22" t="s">
        <v>70</v>
      </c>
      <c r="J2883" s="22" t="s">
        <v>44</v>
      </c>
      <c r="K2883" s="24" t="s">
        <v>61</v>
      </c>
      <c r="M2883" s="21"/>
      <c r="N2883" s="22"/>
      <c r="O2883" s="22"/>
      <c r="P2883" s="49"/>
      <c r="Q2883" s="49"/>
      <c r="R2883" s="188" t="str">
        <f t="shared" si="94"/>
        <v/>
      </c>
      <c r="T2883" s="21">
        <v>46129</v>
      </c>
      <c r="U2883" s="22" t="s">
        <v>53</v>
      </c>
      <c r="V2883" s="24">
        <v>4</v>
      </c>
      <c r="W2883" s="24">
        <v>4</v>
      </c>
      <c r="X2883" s="24">
        <v>4</v>
      </c>
      <c r="Y2883" s="24">
        <v>4</v>
      </c>
      <c r="Z2883" s="20">
        <f t="shared" ref="Z2883:Z2898" si="95">SUM(V2883:Y2883)</f>
        <v>16</v>
      </c>
    </row>
    <row r="2884" spans="1:26" x14ac:dyDescent="0.2">
      <c r="A2884" s="21"/>
      <c r="B2884" s="20"/>
      <c r="C2884" s="22"/>
      <c r="D2884" s="22"/>
      <c r="E2884" s="24"/>
      <c r="F2884" s="22"/>
      <c r="H2884" s="21">
        <v>46072</v>
      </c>
      <c r="I2884" s="22" t="s">
        <v>70</v>
      </c>
      <c r="J2884" s="22" t="s">
        <v>45</v>
      </c>
      <c r="K2884" s="24">
        <v>4</v>
      </c>
      <c r="M2884" s="21"/>
      <c r="N2884" s="22"/>
      <c r="O2884" s="22"/>
      <c r="P2884" s="49"/>
      <c r="Q2884" s="49"/>
      <c r="R2884" s="188" t="str">
        <f t="shared" si="94"/>
        <v/>
      </c>
      <c r="T2884" s="21">
        <v>46129</v>
      </c>
      <c r="U2884" s="22" t="s">
        <v>55</v>
      </c>
      <c r="V2884" s="24">
        <v>4</v>
      </c>
      <c r="W2884" s="24">
        <v>4</v>
      </c>
      <c r="X2884" s="24">
        <v>4</v>
      </c>
      <c r="Y2884" s="24">
        <v>5</v>
      </c>
      <c r="Z2884" s="20">
        <f t="shared" si="95"/>
        <v>17</v>
      </c>
    </row>
    <row r="2885" spans="1:26" x14ac:dyDescent="0.2">
      <c r="A2885" s="21"/>
      <c r="B2885" s="20"/>
      <c r="C2885" s="22"/>
      <c r="D2885" s="22"/>
      <c r="E2885" s="24"/>
      <c r="F2885" s="22"/>
      <c r="H2885" s="21">
        <v>46072</v>
      </c>
      <c r="I2885" s="22" t="s">
        <v>70</v>
      </c>
      <c r="J2885" s="22" t="s">
        <v>57</v>
      </c>
      <c r="K2885" s="24">
        <v>8</v>
      </c>
      <c r="M2885" s="21"/>
      <c r="N2885" s="22"/>
      <c r="O2885" s="22"/>
      <c r="P2885" s="49"/>
      <c r="Q2885" s="49"/>
      <c r="R2885" s="188" t="str">
        <f t="shared" si="94"/>
        <v/>
      </c>
      <c r="T2885" s="21">
        <v>46129</v>
      </c>
      <c r="U2885" s="22" t="s">
        <v>33</v>
      </c>
      <c r="V2885" s="24">
        <v>4</v>
      </c>
      <c r="W2885" s="24">
        <v>3.7692307692307701</v>
      </c>
      <c r="X2885" s="24">
        <v>3.7692307692307701</v>
      </c>
      <c r="Y2885" s="24">
        <v>4</v>
      </c>
      <c r="Z2885" s="20">
        <f t="shared" si="95"/>
        <v>15.53846153846154</v>
      </c>
    </row>
    <row r="2886" spans="1:26" x14ac:dyDescent="0.2">
      <c r="A2886" s="21"/>
      <c r="B2886" s="20"/>
      <c r="C2886" s="22"/>
      <c r="D2886" s="22"/>
      <c r="E2886" s="24"/>
      <c r="F2886" s="22"/>
      <c r="H2886" s="21">
        <v>46072</v>
      </c>
      <c r="I2886" s="22" t="s">
        <v>70</v>
      </c>
      <c r="J2886" s="22" t="s">
        <v>42</v>
      </c>
      <c r="K2886" s="24">
        <v>2</v>
      </c>
      <c r="M2886" s="21"/>
      <c r="N2886" s="22"/>
      <c r="O2886" s="22"/>
      <c r="P2886" s="49"/>
      <c r="Q2886" s="49"/>
      <c r="R2886" s="188" t="str">
        <f t="shared" si="94"/>
        <v/>
      </c>
      <c r="T2886" s="21">
        <v>46130</v>
      </c>
      <c r="U2886" s="22" t="s">
        <v>41</v>
      </c>
      <c r="V2886" s="24">
        <v>1</v>
      </c>
      <c r="W2886" s="24">
        <v>1</v>
      </c>
      <c r="X2886" s="24">
        <v>1</v>
      </c>
      <c r="Y2886" s="24">
        <v>1</v>
      </c>
      <c r="Z2886" s="20">
        <f t="shared" si="95"/>
        <v>4</v>
      </c>
    </row>
    <row r="2887" spans="1:26" x14ac:dyDescent="0.2">
      <c r="A2887" s="21"/>
      <c r="B2887" s="20"/>
      <c r="C2887" s="22"/>
      <c r="D2887" s="22"/>
      <c r="E2887" s="24"/>
      <c r="F2887" s="22"/>
      <c r="H2887" s="21">
        <v>46072</v>
      </c>
      <c r="I2887" s="22" t="s">
        <v>70</v>
      </c>
      <c r="J2887" s="22" t="s">
        <v>54</v>
      </c>
      <c r="K2887" s="24">
        <v>7</v>
      </c>
      <c r="M2887" s="21"/>
      <c r="N2887" s="22"/>
      <c r="O2887" s="22"/>
      <c r="P2887" s="49"/>
      <c r="Q2887" s="49"/>
      <c r="R2887" s="188" t="str">
        <f t="shared" si="94"/>
        <v/>
      </c>
      <c r="T2887" s="21">
        <v>46130</v>
      </c>
      <c r="U2887" s="22" t="s">
        <v>42</v>
      </c>
      <c r="V2887" s="24">
        <v>5</v>
      </c>
      <c r="W2887" s="24">
        <v>5</v>
      </c>
      <c r="X2887" s="24">
        <v>5</v>
      </c>
      <c r="Y2887" s="24">
        <v>5</v>
      </c>
      <c r="Z2887" s="20">
        <f t="shared" si="95"/>
        <v>20</v>
      </c>
    </row>
    <row r="2888" spans="1:26" x14ac:dyDescent="0.2">
      <c r="A2888" s="21"/>
      <c r="B2888" s="20"/>
      <c r="C2888" s="22"/>
      <c r="D2888" s="22"/>
      <c r="E2888" s="24"/>
      <c r="F2888" s="22"/>
      <c r="H2888" s="21">
        <v>46072</v>
      </c>
      <c r="I2888" s="22" t="s">
        <v>70</v>
      </c>
      <c r="J2888" s="22" t="s">
        <v>47</v>
      </c>
      <c r="K2888" s="24">
        <v>6</v>
      </c>
      <c r="M2888" s="21"/>
      <c r="N2888" s="22"/>
      <c r="O2888" s="22"/>
      <c r="P2888" s="49"/>
      <c r="Q2888" s="49"/>
      <c r="R2888" s="188" t="str">
        <f t="shared" si="94"/>
        <v/>
      </c>
      <c r="T2888" s="21">
        <v>46130</v>
      </c>
      <c r="U2888" s="22" t="s">
        <v>44</v>
      </c>
      <c r="V2888" s="24">
        <v>5</v>
      </c>
      <c r="W2888" s="24">
        <v>5</v>
      </c>
      <c r="X2888" s="24">
        <v>5</v>
      </c>
      <c r="Y2888" s="24">
        <v>5</v>
      </c>
      <c r="Z2888" s="20">
        <f t="shared" si="95"/>
        <v>20</v>
      </c>
    </row>
    <row r="2889" spans="1:26" x14ac:dyDescent="0.2">
      <c r="A2889" s="21"/>
      <c r="B2889" s="20"/>
      <c r="C2889" s="22"/>
      <c r="D2889" s="22"/>
      <c r="E2889" s="24"/>
      <c r="F2889" s="22"/>
      <c r="H2889" s="21">
        <v>46072</v>
      </c>
      <c r="I2889" s="22" t="s">
        <v>70</v>
      </c>
      <c r="J2889" s="22" t="s">
        <v>41</v>
      </c>
      <c r="K2889" s="24">
        <v>2</v>
      </c>
      <c r="M2889" s="21"/>
      <c r="N2889" s="22"/>
      <c r="O2889" s="22"/>
      <c r="P2889" s="49"/>
      <c r="Q2889" s="49"/>
      <c r="R2889" s="188" t="str">
        <f t="shared" si="94"/>
        <v/>
      </c>
      <c r="T2889" s="21">
        <v>46130</v>
      </c>
      <c r="U2889" s="22" t="s">
        <v>45</v>
      </c>
      <c r="V2889" s="24">
        <v>4</v>
      </c>
      <c r="W2889" s="24">
        <v>4</v>
      </c>
      <c r="X2889" s="24">
        <v>4</v>
      </c>
      <c r="Y2889" s="24">
        <v>5</v>
      </c>
      <c r="Z2889" s="20">
        <f t="shared" si="95"/>
        <v>17</v>
      </c>
    </row>
    <row r="2890" spans="1:26" x14ac:dyDescent="0.2">
      <c r="A2890" s="21"/>
      <c r="B2890" s="20"/>
      <c r="C2890" s="22"/>
      <c r="D2890" s="22"/>
      <c r="E2890" s="24"/>
      <c r="F2890" s="22"/>
      <c r="H2890" s="21">
        <v>46072</v>
      </c>
      <c r="I2890" s="22" t="s">
        <v>70</v>
      </c>
      <c r="J2890" s="22" t="s">
        <v>58</v>
      </c>
      <c r="K2890" s="24">
        <v>6</v>
      </c>
      <c r="M2890" s="21"/>
      <c r="N2890" s="22"/>
      <c r="O2890" s="22"/>
      <c r="P2890" s="49"/>
      <c r="Q2890" s="49"/>
      <c r="R2890" s="188" t="str">
        <f t="shared" si="94"/>
        <v/>
      </c>
      <c r="T2890" s="21">
        <v>46130</v>
      </c>
      <c r="U2890" s="22" t="s">
        <v>46</v>
      </c>
      <c r="V2890" s="24">
        <v>5</v>
      </c>
      <c r="W2890" s="24">
        <v>5</v>
      </c>
      <c r="X2890" s="24">
        <v>5</v>
      </c>
      <c r="Y2890" s="24">
        <v>5</v>
      </c>
      <c r="Z2890" s="20">
        <f t="shared" si="95"/>
        <v>20</v>
      </c>
    </row>
    <row r="2891" spans="1:26" x14ac:dyDescent="0.2">
      <c r="A2891" s="21"/>
      <c r="B2891" s="20"/>
      <c r="C2891" s="22"/>
      <c r="D2891" s="22"/>
      <c r="E2891" s="24"/>
      <c r="F2891" s="22"/>
      <c r="H2891" s="21">
        <v>46072</v>
      </c>
      <c r="I2891" s="22" t="s">
        <v>70</v>
      </c>
      <c r="J2891" s="22" t="s">
        <v>49</v>
      </c>
      <c r="K2891" s="24">
        <v>6</v>
      </c>
      <c r="M2891" s="21"/>
      <c r="N2891" s="22"/>
      <c r="O2891" s="22"/>
      <c r="P2891" s="49"/>
      <c r="Q2891" s="49"/>
      <c r="R2891" s="188" t="str">
        <f t="shared" si="94"/>
        <v/>
      </c>
      <c r="T2891" s="21">
        <v>46130</v>
      </c>
      <c r="U2891" s="22" t="s">
        <v>47</v>
      </c>
      <c r="V2891" s="24">
        <v>5</v>
      </c>
      <c r="W2891" s="24">
        <v>5</v>
      </c>
      <c r="X2891" s="24">
        <v>5</v>
      </c>
      <c r="Y2891" s="24">
        <v>5</v>
      </c>
      <c r="Z2891" s="20">
        <f t="shared" si="95"/>
        <v>20</v>
      </c>
    </row>
    <row r="2892" spans="1:26" x14ac:dyDescent="0.2">
      <c r="A2892" s="21"/>
      <c r="B2892" s="20"/>
      <c r="C2892" s="22"/>
      <c r="D2892" s="22"/>
      <c r="E2892" s="24"/>
      <c r="F2892" s="22"/>
      <c r="H2892" s="21">
        <v>46072</v>
      </c>
      <c r="I2892" s="22" t="s">
        <v>70</v>
      </c>
      <c r="J2892" s="22" t="s">
        <v>50</v>
      </c>
      <c r="K2892" s="24">
        <v>5</v>
      </c>
      <c r="M2892" s="21"/>
      <c r="N2892" s="22"/>
      <c r="O2892" s="22"/>
      <c r="P2892" s="49"/>
      <c r="Q2892" s="49"/>
      <c r="R2892" s="188" t="str">
        <f t="shared" si="94"/>
        <v/>
      </c>
      <c r="T2892" s="21">
        <v>46130</v>
      </c>
      <c r="U2892" s="22" t="s">
        <v>48</v>
      </c>
      <c r="V2892" s="24">
        <v>5</v>
      </c>
      <c r="W2892" s="24">
        <v>5</v>
      </c>
      <c r="X2892" s="24">
        <v>5</v>
      </c>
      <c r="Y2892" s="24">
        <v>5</v>
      </c>
      <c r="Z2892" s="20">
        <f t="shared" si="95"/>
        <v>20</v>
      </c>
    </row>
    <row r="2893" spans="1:26" x14ac:dyDescent="0.2">
      <c r="A2893" s="21"/>
      <c r="B2893" s="20"/>
      <c r="C2893" s="22"/>
      <c r="D2893" s="22"/>
      <c r="E2893" s="24"/>
      <c r="F2893" s="22"/>
      <c r="H2893" s="21">
        <v>46072</v>
      </c>
      <c r="I2893" s="22" t="s">
        <v>70</v>
      </c>
      <c r="J2893" s="22" t="s">
        <v>51</v>
      </c>
      <c r="K2893" s="24">
        <v>7</v>
      </c>
      <c r="M2893" s="21"/>
      <c r="N2893" s="22"/>
      <c r="O2893" s="22"/>
      <c r="P2893" s="49"/>
      <c r="Q2893" s="49"/>
      <c r="R2893" s="188" t="str">
        <f t="shared" si="94"/>
        <v/>
      </c>
      <c r="T2893" s="21">
        <v>46130</v>
      </c>
      <c r="U2893" s="22" t="s">
        <v>49</v>
      </c>
      <c r="V2893" s="24">
        <v>4</v>
      </c>
      <c r="W2893" s="24">
        <v>4</v>
      </c>
      <c r="X2893" s="24">
        <v>4</v>
      </c>
      <c r="Y2893" s="24">
        <v>4</v>
      </c>
      <c r="Z2893" s="20">
        <f t="shared" si="95"/>
        <v>16</v>
      </c>
    </row>
    <row r="2894" spans="1:26" x14ac:dyDescent="0.2">
      <c r="A2894" s="21"/>
      <c r="B2894" s="20"/>
      <c r="C2894" s="22"/>
      <c r="D2894" s="22"/>
      <c r="E2894" s="24"/>
      <c r="F2894" s="22"/>
      <c r="H2894" s="21">
        <v>46072</v>
      </c>
      <c r="I2894" s="22" t="s">
        <v>70</v>
      </c>
      <c r="J2894" s="22" t="s">
        <v>46</v>
      </c>
      <c r="K2894" s="24">
        <v>5</v>
      </c>
      <c r="M2894" s="21"/>
      <c r="N2894" s="22"/>
      <c r="O2894" s="22"/>
      <c r="P2894" s="49"/>
      <c r="Q2894" s="49"/>
      <c r="R2894" s="188" t="str">
        <f t="shared" si="94"/>
        <v/>
      </c>
      <c r="T2894" s="21">
        <v>46130</v>
      </c>
      <c r="U2894" s="22" t="s">
        <v>50</v>
      </c>
      <c r="V2894" s="24">
        <v>4</v>
      </c>
      <c r="W2894" s="24">
        <v>3</v>
      </c>
      <c r="X2894" s="24">
        <v>4</v>
      </c>
      <c r="Y2894" s="24">
        <v>5</v>
      </c>
      <c r="Z2894" s="20">
        <f t="shared" si="95"/>
        <v>16</v>
      </c>
    </row>
    <row r="2895" spans="1:26" x14ac:dyDescent="0.2">
      <c r="A2895" s="21"/>
      <c r="B2895" s="20"/>
      <c r="C2895" s="22"/>
      <c r="D2895" s="22"/>
      <c r="E2895" s="24"/>
      <c r="F2895" s="22"/>
      <c r="H2895" s="21">
        <v>46072</v>
      </c>
      <c r="I2895" s="22" t="s">
        <v>70</v>
      </c>
      <c r="J2895" s="22" t="s">
        <v>48</v>
      </c>
      <c r="K2895" s="24" t="s">
        <v>61</v>
      </c>
      <c r="M2895" s="21"/>
      <c r="N2895" s="22"/>
      <c r="O2895" s="22"/>
      <c r="P2895" s="49"/>
      <c r="Q2895" s="49"/>
      <c r="R2895" s="188" t="str">
        <f t="shared" si="94"/>
        <v/>
      </c>
      <c r="T2895" s="21">
        <v>46130</v>
      </c>
      <c r="U2895" s="22" t="s">
        <v>51</v>
      </c>
      <c r="V2895" s="24">
        <v>5</v>
      </c>
      <c r="W2895" s="24">
        <v>5</v>
      </c>
      <c r="X2895" s="24">
        <v>5</v>
      </c>
      <c r="Y2895" s="24">
        <v>5</v>
      </c>
      <c r="Z2895" s="20">
        <f t="shared" si="95"/>
        <v>20</v>
      </c>
    </row>
    <row r="2896" spans="1:26" x14ac:dyDescent="0.2">
      <c r="A2896" s="21"/>
      <c r="B2896" s="20"/>
      <c r="C2896" s="22"/>
      <c r="D2896" s="22"/>
      <c r="E2896" s="24"/>
      <c r="F2896" s="22"/>
      <c r="H2896" s="21">
        <v>46073</v>
      </c>
      <c r="I2896" s="22" t="s">
        <v>70</v>
      </c>
      <c r="J2896" s="22" t="s">
        <v>52</v>
      </c>
      <c r="K2896" s="24">
        <v>6</v>
      </c>
      <c r="M2896" s="21"/>
      <c r="N2896" s="22"/>
      <c r="O2896" s="22"/>
      <c r="P2896" s="49"/>
      <c r="Q2896" s="49"/>
      <c r="R2896" s="188" t="str">
        <f t="shared" si="94"/>
        <v/>
      </c>
      <c r="T2896" s="21">
        <v>46130</v>
      </c>
      <c r="U2896" s="22" t="s">
        <v>52</v>
      </c>
      <c r="V2896" s="24">
        <v>5</v>
      </c>
      <c r="W2896" s="24">
        <v>5</v>
      </c>
      <c r="X2896" s="24">
        <v>5</v>
      </c>
      <c r="Y2896" s="24">
        <v>5</v>
      </c>
      <c r="Z2896" s="20">
        <f t="shared" si="95"/>
        <v>20</v>
      </c>
    </row>
    <row r="2897" spans="1:26" x14ac:dyDescent="0.2">
      <c r="A2897" s="21"/>
      <c r="B2897" s="20"/>
      <c r="C2897" s="22"/>
      <c r="D2897" s="22"/>
      <c r="E2897" s="24"/>
      <c r="F2897" s="22"/>
      <c r="H2897" s="21">
        <v>46073</v>
      </c>
      <c r="I2897" s="22" t="s">
        <v>70</v>
      </c>
      <c r="J2897" s="22" t="s">
        <v>53</v>
      </c>
      <c r="K2897" s="24">
        <v>7</v>
      </c>
      <c r="M2897" s="21"/>
      <c r="N2897" s="22"/>
      <c r="O2897" s="22"/>
      <c r="P2897" s="49"/>
      <c r="Q2897" s="49"/>
      <c r="R2897" s="188" t="str">
        <f t="shared" si="94"/>
        <v/>
      </c>
      <c r="T2897" s="21">
        <v>46130</v>
      </c>
      <c r="U2897" s="22" t="s">
        <v>53</v>
      </c>
      <c r="V2897" s="24">
        <v>4</v>
      </c>
      <c r="W2897" s="24">
        <v>5</v>
      </c>
      <c r="X2897" s="24">
        <v>4</v>
      </c>
      <c r="Y2897" s="24">
        <v>5</v>
      </c>
      <c r="Z2897" s="20">
        <f t="shared" si="95"/>
        <v>18</v>
      </c>
    </row>
    <row r="2898" spans="1:26" x14ac:dyDescent="0.2">
      <c r="A2898" s="21"/>
      <c r="B2898" s="20"/>
      <c r="C2898" s="22"/>
      <c r="D2898" s="22"/>
      <c r="E2898" s="24"/>
      <c r="F2898" s="22"/>
      <c r="H2898" s="21">
        <v>46073</v>
      </c>
      <c r="I2898" s="22" t="s">
        <v>70</v>
      </c>
      <c r="J2898" s="22" t="s">
        <v>44</v>
      </c>
      <c r="K2898" s="24" t="s">
        <v>61</v>
      </c>
      <c r="M2898" s="21"/>
      <c r="N2898" s="22"/>
      <c r="O2898" s="22"/>
      <c r="P2898" s="49"/>
      <c r="Q2898" s="49"/>
      <c r="R2898" s="188" t="str">
        <f t="shared" si="94"/>
        <v/>
      </c>
      <c r="T2898" s="21">
        <v>46130</v>
      </c>
      <c r="U2898" s="22" t="s">
        <v>55</v>
      </c>
      <c r="V2898" s="24">
        <v>4</v>
      </c>
      <c r="W2898" s="24">
        <v>5</v>
      </c>
      <c r="X2898" s="24">
        <v>4</v>
      </c>
      <c r="Y2898" s="24">
        <v>5</v>
      </c>
      <c r="Z2898" s="20">
        <f t="shared" si="95"/>
        <v>18</v>
      </c>
    </row>
    <row r="2899" spans="1:26" x14ac:dyDescent="0.2">
      <c r="A2899" s="21"/>
      <c r="B2899" s="20"/>
      <c r="C2899" s="22"/>
      <c r="D2899" s="22"/>
      <c r="E2899" s="24"/>
      <c r="F2899" s="22"/>
      <c r="H2899" s="21">
        <v>46073</v>
      </c>
      <c r="I2899" s="22" t="s">
        <v>70</v>
      </c>
      <c r="J2899" s="22" t="s">
        <v>45</v>
      </c>
      <c r="K2899" s="24">
        <v>5</v>
      </c>
      <c r="M2899" s="21"/>
      <c r="N2899" s="22"/>
      <c r="O2899" s="22"/>
      <c r="P2899" s="49"/>
      <c r="Q2899" s="49"/>
      <c r="R2899" s="188" t="str">
        <f t="shared" si="94"/>
        <v/>
      </c>
      <c r="T2899" s="21">
        <v>46132</v>
      </c>
      <c r="U2899" s="22" t="s">
        <v>41</v>
      </c>
      <c r="V2899" s="24">
        <v>1</v>
      </c>
      <c r="W2899" s="24">
        <v>1</v>
      </c>
      <c r="X2899" s="24">
        <v>1</v>
      </c>
      <c r="Y2899" s="24">
        <v>1</v>
      </c>
      <c r="Z2899" s="20">
        <f t="shared" ref="Z2899:Z2962" si="96">IF(COUNT(V2899:Y2899)=0,"",SUM(V2899:Y2899))</f>
        <v>4</v>
      </c>
    </row>
    <row r="2900" spans="1:26" x14ac:dyDescent="0.2">
      <c r="A2900" s="21"/>
      <c r="B2900" s="20"/>
      <c r="C2900" s="22"/>
      <c r="D2900" s="22"/>
      <c r="E2900" s="24"/>
      <c r="F2900" s="22"/>
      <c r="H2900" s="21">
        <v>46073</v>
      </c>
      <c r="I2900" s="22" t="s">
        <v>70</v>
      </c>
      <c r="J2900" s="22" t="s">
        <v>57</v>
      </c>
      <c r="K2900" s="24">
        <v>8</v>
      </c>
      <c r="M2900" s="21"/>
      <c r="N2900" s="22"/>
      <c r="O2900" s="22"/>
      <c r="P2900" s="49"/>
      <c r="Q2900" s="49"/>
      <c r="R2900" s="188" t="str">
        <f t="shared" si="94"/>
        <v/>
      </c>
      <c r="T2900" s="21">
        <v>46132</v>
      </c>
      <c r="U2900" s="22" t="s">
        <v>42</v>
      </c>
      <c r="V2900" s="24">
        <v>4</v>
      </c>
      <c r="W2900" s="24">
        <v>4</v>
      </c>
      <c r="X2900" s="24">
        <v>4</v>
      </c>
      <c r="Y2900" s="24">
        <v>4</v>
      </c>
      <c r="Z2900" s="20">
        <f t="shared" si="96"/>
        <v>16</v>
      </c>
    </row>
    <row r="2901" spans="1:26" x14ac:dyDescent="0.2">
      <c r="A2901" s="21"/>
      <c r="B2901" s="20"/>
      <c r="C2901" s="22"/>
      <c r="D2901" s="22"/>
      <c r="E2901" s="24"/>
      <c r="F2901" s="22"/>
      <c r="H2901" s="21">
        <v>46073</v>
      </c>
      <c r="I2901" s="22" t="s">
        <v>70</v>
      </c>
      <c r="J2901" s="22" t="s">
        <v>42</v>
      </c>
      <c r="K2901" s="24">
        <v>2</v>
      </c>
      <c r="M2901" s="21"/>
      <c r="N2901" s="22"/>
      <c r="O2901" s="22"/>
      <c r="P2901" s="49"/>
      <c r="Q2901" s="49"/>
      <c r="R2901" s="188" t="str">
        <f t="shared" si="94"/>
        <v/>
      </c>
      <c r="T2901" s="21">
        <v>46132</v>
      </c>
      <c r="U2901" s="22" t="s">
        <v>44</v>
      </c>
      <c r="V2901" s="24">
        <v>5</v>
      </c>
      <c r="W2901" s="24">
        <v>4</v>
      </c>
      <c r="X2901" s="24">
        <v>4</v>
      </c>
      <c r="Y2901" s="24">
        <v>5</v>
      </c>
      <c r="Z2901" s="20">
        <f t="shared" si="96"/>
        <v>18</v>
      </c>
    </row>
    <row r="2902" spans="1:26" x14ac:dyDescent="0.2">
      <c r="A2902" s="21"/>
      <c r="B2902" s="20"/>
      <c r="C2902" s="22"/>
      <c r="D2902" s="22"/>
      <c r="E2902" s="24"/>
      <c r="F2902" s="22"/>
      <c r="H2902" s="21">
        <v>46073</v>
      </c>
      <c r="I2902" s="22" t="s">
        <v>70</v>
      </c>
      <c r="J2902" s="22" t="s">
        <v>47</v>
      </c>
      <c r="K2902" s="24">
        <v>7</v>
      </c>
      <c r="M2902" s="21"/>
      <c r="N2902" s="22"/>
      <c r="O2902" s="22"/>
      <c r="P2902" s="49"/>
      <c r="Q2902" s="49"/>
      <c r="R2902" s="188" t="str">
        <f t="shared" ref="R2902:R2965" si="97">IF(OR(P2902="",Q2902=""),"",IFERROR(P2902-Q2902,""))</f>
        <v/>
      </c>
      <c r="T2902" s="21">
        <v>46132</v>
      </c>
      <c r="U2902" s="22" t="s">
        <v>45</v>
      </c>
      <c r="V2902" s="24">
        <v>4</v>
      </c>
      <c r="W2902" s="24">
        <v>4</v>
      </c>
      <c r="X2902" s="24">
        <v>4</v>
      </c>
      <c r="Y2902" s="24">
        <v>5</v>
      </c>
      <c r="Z2902" s="20">
        <f t="shared" si="96"/>
        <v>17</v>
      </c>
    </row>
    <row r="2903" spans="1:26" x14ac:dyDescent="0.2">
      <c r="A2903" s="21"/>
      <c r="B2903" s="20"/>
      <c r="C2903" s="22"/>
      <c r="D2903" s="22"/>
      <c r="E2903" s="24"/>
      <c r="F2903" s="22"/>
      <c r="H2903" s="21">
        <v>46073</v>
      </c>
      <c r="I2903" s="22" t="s">
        <v>70</v>
      </c>
      <c r="J2903" s="22" t="s">
        <v>41</v>
      </c>
      <c r="K2903" s="24">
        <v>3</v>
      </c>
      <c r="M2903" s="21"/>
      <c r="N2903" s="22"/>
      <c r="O2903" s="22"/>
      <c r="P2903" s="49"/>
      <c r="Q2903" s="49"/>
      <c r="R2903" s="188" t="str">
        <f t="shared" si="97"/>
        <v/>
      </c>
      <c r="T2903" s="21">
        <v>46132</v>
      </c>
      <c r="U2903" s="22" t="s">
        <v>46</v>
      </c>
      <c r="V2903" s="24">
        <v>5</v>
      </c>
      <c r="W2903" s="24">
        <v>4</v>
      </c>
      <c r="X2903" s="24">
        <v>4</v>
      </c>
      <c r="Y2903" s="24">
        <v>5</v>
      </c>
      <c r="Z2903" s="20">
        <f t="shared" si="96"/>
        <v>18</v>
      </c>
    </row>
    <row r="2904" spans="1:26" x14ac:dyDescent="0.2">
      <c r="A2904" s="21"/>
      <c r="B2904" s="20"/>
      <c r="C2904" s="22"/>
      <c r="D2904" s="22"/>
      <c r="E2904" s="24"/>
      <c r="F2904" s="22"/>
      <c r="H2904" s="21">
        <v>46073</v>
      </c>
      <c r="I2904" s="22" t="s">
        <v>70</v>
      </c>
      <c r="J2904" s="22" t="s">
        <v>58</v>
      </c>
      <c r="K2904" s="24">
        <v>9</v>
      </c>
      <c r="M2904" s="21"/>
      <c r="N2904" s="22"/>
      <c r="O2904" s="22"/>
      <c r="P2904" s="49"/>
      <c r="Q2904" s="49"/>
      <c r="R2904" s="188" t="str">
        <f t="shared" si="97"/>
        <v/>
      </c>
      <c r="T2904" s="21">
        <v>46132</v>
      </c>
      <c r="U2904" s="22" t="s">
        <v>47</v>
      </c>
      <c r="V2904" s="24">
        <v>5</v>
      </c>
      <c r="W2904" s="24">
        <v>5</v>
      </c>
      <c r="X2904" s="24">
        <v>5</v>
      </c>
      <c r="Y2904" s="24">
        <v>3</v>
      </c>
      <c r="Z2904" s="20">
        <f t="shared" si="96"/>
        <v>18</v>
      </c>
    </row>
    <row r="2905" spans="1:26" x14ac:dyDescent="0.2">
      <c r="A2905" s="21"/>
      <c r="B2905" s="20"/>
      <c r="C2905" s="22"/>
      <c r="D2905" s="22"/>
      <c r="E2905" s="24"/>
      <c r="F2905" s="22"/>
      <c r="H2905" s="21">
        <v>46073</v>
      </c>
      <c r="I2905" s="22" t="s">
        <v>70</v>
      </c>
      <c r="J2905" s="22" t="s">
        <v>49</v>
      </c>
      <c r="K2905" s="24">
        <v>7</v>
      </c>
      <c r="M2905" s="21"/>
      <c r="N2905" s="22"/>
      <c r="O2905" s="22"/>
      <c r="P2905" s="49"/>
      <c r="Q2905" s="49"/>
      <c r="R2905" s="188" t="str">
        <f t="shared" si="97"/>
        <v/>
      </c>
      <c r="T2905" s="21">
        <v>46132</v>
      </c>
      <c r="U2905" s="22" t="s">
        <v>48</v>
      </c>
      <c r="V2905" s="24">
        <v>5</v>
      </c>
      <c r="W2905" s="24">
        <v>4</v>
      </c>
      <c r="X2905" s="24">
        <v>4</v>
      </c>
      <c r="Y2905" s="24">
        <v>4</v>
      </c>
      <c r="Z2905" s="20">
        <f t="shared" si="96"/>
        <v>17</v>
      </c>
    </row>
    <row r="2906" spans="1:26" x14ac:dyDescent="0.2">
      <c r="A2906" s="21"/>
      <c r="B2906" s="20"/>
      <c r="C2906" s="22"/>
      <c r="D2906" s="22"/>
      <c r="E2906" s="24"/>
      <c r="F2906" s="22"/>
      <c r="H2906" s="21">
        <v>46073</v>
      </c>
      <c r="I2906" s="22" t="s">
        <v>70</v>
      </c>
      <c r="J2906" s="22" t="s">
        <v>50</v>
      </c>
      <c r="K2906" s="24">
        <v>8</v>
      </c>
      <c r="M2906" s="21"/>
      <c r="N2906" s="22"/>
      <c r="O2906" s="22"/>
      <c r="P2906" s="49"/>
      <c r="Q2906" s="49"/>
      <c r="R2906" s="188" t="str">
        <f t="shared" si="97"/>
        <v/>
      </c>
      <c r="T2906" s="21">
        <v>46132</v>
      </c>
      <c r="U2906" s="22" t="s">
        <v>49</v>
      </c>
      <c r="V2906" s="24">
        <v>5</v>
      </c>
      <c r="W2906" s="24">
        <v>3</v>
      </c>
      <c r="X2906" s="24">
        <v>3</v>
      </c>
      <c r="Y2906" s="24">
        <v>3</v>
      </c>
      <c r="Z2906" s="20">
        <f t="shared" si="96"/>
        <v>14</v>
      </c>
    </row>
    <row r="2907" spans="1:26" x14ac:dyDescent="0.2">
      <c r="A2907" s="21"/>
      <c r="B2907" s="20"/>
      <c r="C2907" s="22"/>
      <c r="D2907" s="22"/>
      <c r="E2907" s="24"/>
      <c r="F2907" s="22"/>
      <c r="H2907" s="21">
        <v>46073</v>
      </c>
      <c r="I2907" s="22" t="s">
        <v>70</v>
      </c>
      <c r="J2907" s="22" t="s">
        <v>51</v>
      </c>
      <c r="K2907" s="24">
        <v>7</v>
      </c>
      <c r="M2907" s="21"/>
      <c r="N2907" s="22"/>
      <c r="O2907" s="22"/>
      <c r="P2907" s="49"/>
      <c r="Q2907" s="49"/>
      <c r="R2907" s="188" t="str">
        <f t="shared" si="97"/>
        <v/>
      </c>
      <c r="T2907" s="21">
        <v>46132</v>
      </c>
      <c r="U2907" s="22" t="s">
        <v>50</v>
      </c>
      <c r="V2907" s="24">
        <v>3</v>
      </c>
      <c r="W2907" s="24">
        <v>3</v>
      </c>
      <c r="X2907" s="24">
        <v>2</v>
      </c>
      <c r="Y2907" s="24">
        <v>4</v>
      </c>
      <c r="Z2907" s="20">
        <f t="shared" si="96"/>
        <v>12</v>
      </c>
    </row>
    <row r="2908" spans="1:26" x14ac:dyDescent="0.2">
      <c r="A2908" s="21"/>
      <c r="B2908" s="20"/>
      <c r="C2908" s="22"/>
      <c r="D2908" s="22"/>
      <c r="E2908" s="24"/>
      <c r="F2908" s="22"/>
      <c r="H2908" s="21">
        <v>46073</v>
      </c>
      <c r="I2908" s="22" t="s">
        <v>70</v>
      </c>
      <c r="J2908" s="22" t="s">
        <v>46</v>
      </c>
      <c r="K2908" s="24">
        <v>7</v>
      </c>
      <c r="M2908" s="21"/>
      <c r="N2908" s="22"/>
      <c r="O2908" s="22"/>
      <c r="P2908" s="49"/>
      <c r="Q2908" s="49"/>
      <c r="R2908" s="188" t="str">
        <f t="shared" si="97"/>
        <v/>
      </c>
      <c r="T2908" s="21">
        <v>46132</v>
      </c>
      <c r="U2908" s="22" t="s">
        <v>51</v>
      </c>
      <c r="V2908" s="24">
        <v>4</v>
      </c>
      <c r="W2908" s="24">
        <v>3</v>
      </c>
      <c r="X2908" s="24">
        <v>4</v>
      </c>
      <c r="Y2908" s="24">
        <v>4</v>
      </c>
      <c r="Z2908" s="20">
        <f t="shared" si="96"/>
        <v>15</v>
      </c>
    </row>
    <row r="2909" spans="1:26" x14ac:dyDescent="0.2">
      <c r="A2909" s="21"/>
      <c r="B2909" s="20"/>
      <c r="C2909" s="22"/>
      <c r="D2909" s="22"/>
      <c r="E2909" s="24"/>
      <c r="F2909" s="22"/>
      <c r="H2909" s="21">
        <v>46073</v>
      </c>
      <c r="I2909" s="22" t="s">
        <v>70</v>
      </c>
      <c r="J2909" s="22" t="s">
        <v>48</v>
      </c>
      <c r="K2909" s="24" t="s">
        <v>61</v>
      </c>
      <c r="M2909" s="21"/>
      <c r="N2909" s="22"/>
      <c r="O2909" s="22"/>
      <c r="P2909" s="49"/>
      <c r="Q2909" s="49"/>
      <c r="R2909" s="188" t="str">
        <f t="shared" si="97"/>
        <v/>
      </c>
      <c r="T2909" s="21">
        <v>46132</v>
      </c>
      <c r="U2909" s="22" t="s">
        <v>52</v>
      </c>
      <c r="V2909" s="24">
        <v>4</v>
      </c>
      <c r="W2909" s="24">
        <v>4</v>
      </c>
      <c r="X2909" s="24">
        <v>4</v>
      </c>
      <c r="Y2909" s="24">
        <v>4</v>
      </c>
      <c r="Z2909" s="20">
        <f t="shared" si="96"/>
        <v>16</v>
      </c>
    </row>
    <row r="2910" spans="1:26" x14ac:dyDescent="0.2">
      <c r="A2910" s="21"/>
      <c r="B2910" s="20"/>
      <c r="C2910" s="22"/>
      <c r="D2910" s="22"/>
      <c r="E2910" s="24"/>
      <c r="F2910" s="22"/>
      <c r="H2910" s="21">
        <v>46076</v>
      </c>
      <c r="I2910" s="22" t="s">
        <v>70</v>
      </c>
      <c r="J2910" s="22" t="s">
        <v>52</v>
      </c>
      <c r="K2910" s="24">
        <v>8</v>
      </c>
      <c r="M2910" s="21"/>
      <c r="N2910" s="22"/>
      <c r="O2910" s="22"/>
      <c r="P2910" s="49"/>
      <c r="Q2910" s="49"/>
      <c r="R2910" s="188" t="str">
        <f t="shared" si="97"/>
        <v/>
      </c>
      <c r="T2910" s="21">
        <v>46132</v>
      </c>
      <c r="U2910" s="22" t="s">
        <v>53</v>
      </c>
      <c r="V2910" s="24">
        <v>4</v>
      </c>
      <c r="W2910" s="24">
        <v>4</v>
      </c>
      <c r="X2910" s="24">
        <v>3</v>
      </c>
      <c r="Y2910" s="24">
        <v>4</v>
      </c>
      <c r="Z2910" s="20">
        <f t="shared" si="96"/>
        <v>15</v>
      </c>
    </row>
    <row r="2911" spans="1:26" x14ac:dyDescent="0.2">
      <c r="A2911" s="21"/>
      <c r="B2911" s="20"/>
      <c r="C2911" s="22"/>
      <c r="D2911" s="22"/>
      <c r="E2911" s="24"/>
      <c r="F2911" s="22"/>
      <c r="H2911" s="21">
        <v>46076</v>
      </c>
      <c r="I2911" s="22" t="s">
        <v>70</v>
      </c>
      <c r="J2911" s="22" t="s">
        <v>53</v>
      </c>
      <c r="K2911" s="24">
        <v>6</v>
      </c>
      <c r="M2911" s="21"/>
      <c r="N2911" s="22"/>
      <c r="O2911" s="22"/>
      <c r="P2911" s="49"/>
      <c r="Q2911" s="49"/>
      <c r="R2911" s="188" t="str">
        <f t="shared" si="97"/>
        <v/>
      </c>
      <c r="T2911" s="21">
        <v>46132</v>
      </c>
      <c r="U2911" s="22" t="s">
        <v>55</v>
      </c>
      <c r="V2911" s="24">
        <v>4</v>
      </c>
      <c r="W2911" s="24">
        <v>3</v>
      </c>
      <c r="X2911" s="24">
        <v>3</v>
      </c>
      <c r="Y2911" s="24">
        <v>3</v>
      </c>
      <c r="Z2911" s="20">
        <f t="shared" si="96"/>
        <v>13</v>
      </c>
    </row>
    <row r="2912" spans="1:26" x14ac:dyDescent="0.2">
      <c r="A2912" s="21"/>
      <c r="B2912" s="20"/>
      <c r="C2912" s="22"/>
      <c r="D2912" s="22"/>
      <c r="E2912" s="24"/>
      <c r="F2912" s="22"/>
      <c r="H2912" s="21">
        <v>46076</v>
      </c>
      <c r="I2912" s="22" t="s">
        <v>70</v>
      </c>
      <c r="J2912" s="22" t="s">
        <v>44</v>
      </c>
      <c r="K2912" s="24">
        <v>6</v>
      </c>
      <c r="M2912" s="21"/>
      <c r="N2912" s="22"/>
      <c r="O2912" s="22"/>
      <c r="P2912" s="49"/>
      <c r="Q2912" s="49"/>
      <c r="R2912" s="188" t="str">
        <f t="shared" si="97"/>
        <v/>
      </c>
      <c r="T2912" s="21">
        <v>46132</v>
      </c>
      <c r="U2912" s="22" t="s">
        <v>56</v>
      </c>
      <c r="V2912" s="24">
        <v>4</v>
      </c>
      <c r="W2912" s="24">
        <v>3</v>
      </c>
      <c r="X2912" s="24">
        <v>3</v>
      </c>
      <c r="Y2912" s="24">
        <v>5</v>
      </c>
      <c r="Z2912" s="20">
        <f t="shared" si="96"/>
        <v>15</v>
      </c>
    </row>
    <row r="2913" spans="1:26" x14ac:dyDescent="0.2">
      <c r="A2913" s="21"/>
      <c r="B2913" s="20"/>
      <c r="C2913" s="22"/>
      <c r="D2913" s="22"/>
      <c r="E2913" s="24"/>
      <c r="F2913" s="22"/>
      <c r="H2913" s="21">
        <v>46076</v>
      </c>
      <c r="I2913" s="22" t="s">
        <v>70</v>
      </c>
      <c r="J2913" s="22" t="s">
        <v>45</v>
      </c>
      <c r="K2913" s="24">
        <v>6</v>
      </c>
      <c r="M2913" s="21"/>
      <c r="N2913" s="22"/>
      <c r="O2913" s="22"/>
      <c r="P2913" s="49"/>
      <c r="Q2913" s="49"/>
      <c r="R2913" s="188" t="str">
        <f t="shared" si="97"/>
        <v/>
      </c>
      <c r="T2913" s="21">
        <v>46132</v>
      </c>
      <c r="U2913" s="22" t="s">
        <v>57</v>
      </c>
      <c r="V2913" s="24">
        <v>3</v>
      </c>
      <c r="W2913" s="24">
        <v>2</v>
      </c>
      <c r="X2913" s="24">
        <v>4</v>
      </c>
      <c r="Y2913" s="24">
        <v>4</v>
      </c>
      <c r="Z2913" s="20">
        <f t="shared" si="96"/>
        <v>13</v>
      </c>
    </row>
    <row r="2914" spans="1:26" x14ac:dyDescent="0.2">
      <c r="A2914" s="21"/>
      <c r="B2914" s="20"/>
      <c r="C2914" s="22"/>
      <c r="D2914" s="22"/>
      <c r="E2914" s="24"/>
      <c r="F2914" s="22"/>
      <c r="H2914" s="21">
        <v>46076</v>
      </c>
      <c r="I2914" s="22" t="s">
        <v>70</v>
      </c>
      <c r="J2914" s="22" t="s">
        <v>57</v>
      </c>
      <c r="K2914" s="24">
        <v>7</v>
      </c>
      <c r="M2914" s="21"/>
      <c r="N2914" s="22"/>
      <c r="O2914" s="22"/>
      <c r="P2914" s="49"/>
      <c r="Q2914" s="49"/>
      <c r="R2914" s="188" t="str">
        <f t="shared" si="97"/>
        <v/>
      </c>
      <c r="T2914" s="21">
        <v>46133</v>
      </c>
      <c r="U2914" s="22" t="s">
        <v>41</v>
      </c>
      <c r="V2914" s="24">
        <v>1</v>
      </c>
      <c r="W2914" s="24">
        <v>1</v>
      </c>
      <c r="X2914" s="24">
        <v>1</v>
      </c>
      <c r="Y2914" s="24">
        <v>1</v>
      </c>
      <c r="Z2914" s="20">
        <f t="shared" si="96"/>
        <v>4</v>
      </c>
    </row>
    <row r="2915" spans="1:26" x14ac:dyDescent="0.2">
      <c r="A2915" s="21"/>
      <c r="B2915" s="20"/>
      <c r="C2915" s="22"/>
      <c r="D2915" s="22"/>
      <c r="E2915" s="24"/>
      <c r="F2915" s="22"/>
      <c r="H2915" s="21">
        <v>46076</v>
      </c>
      <c r="I2915" s="22" t="s">
        <v>70</v>
      </c>
      <c r="J2915" s="22" t="s">
        <v>42</v>
      </c>
      <c r="K2915" s="24">
        <v>2</v>
      </c>
      <c r="M2915" s="21"/>
      <c r="N2915" s="22"/>
      <c r="O2915" s="22"/>
      <c r="P2915" s="49"/>
      <c r="Q2915" s="49"/>
      <c r="R2915" s="188" t="str">
        <f t="shared" si="97"/>
        <v/>
      </c>
      <c r="T2915" s="21">
        <v>46133</v>
      </c>
      <c r="U2915" s="22" t="s">
        <v>42</v>
      </c>
      <c r="V2915" s="24">
        <v>4</v>
      </c>
      <c r="W2915" s="24">
        <v>4</v>
      </c>
      <c r="X2915" s="24">
        <v>4</v>
      </c>
      <c r="Y2915" s="24">
        <v>4</v>
      </c>
      <c r="Z2915" s="20">
        <f t="shared" si="96"/>
        <v>16</v>
      </c>
    </row>
    <row r="2916" spans="1:26" x14ac:dyDescent="0.2">
      <c r="A2916" s="21"/>
      <c r="B2916" s="20"/>
      <c r="C2916" s="22"/>
      <c r="D2916" s="22"/>
      <c r="E2916" s="24"/>
      <c r="F2916" s="22"/>
      <c r="H2916" s="21">
        <v>46076</v>
      </c>
      <c r="I2916" s="22" t="s">
        <v>70</v>
      </c>
      <c r="J2916" s="22" t="s">
        <v>47</v>
      </c>
      <c r="K2916" s="24">
        <v>8</v>
      </c>
      <c r="M2916" s="21"/>
      <c r="N2916" s="22"/>
      <c r="O2916" s="22"/>
      <c r="P2916" s="49"/>
      <c r="Q2916" s="49"/>
      <c r="R2916" s="188" t="str">
        <f t="shared" si="97"/>
        <v/>
      </c>
      <c r="T2916" s="21">
        <v>46133</v>
      </c>
      <c r="U2916" s="22" t="s">
        <v>44</v>
      </c>
      <c r="V2916" s="24">
        <v>5</v>
      </c>
      <c r="W2916" s="24">
        <v>4</v>
      </c>
      <c r="X2916" s="24">
        <v>4</v>
      </c>
      <c r="Y2916" s="24">
        <v>5</v>
      </c>
      <c r="Z2916" s="20">
        <f t="shared" si="96"/>
        <v>18</v>
      </c>
    </row>
    <row r="2917" spans="1:26" x14ac:dyDescent="0.2">
      <c r="A2917" s="21"/>
      <c r="B2917" s="20"/>
      <c r="C2917" s="22"/>
      <c r="D2917" s="22"/>
      <c r="E2917" s="24"/>
      <c r="F2917" s="22"/>
      <c r="H2917" s="21">
        <v>46076</v>
      </c>
      <c r="I2917" s="22" t="s">
        <v>70</v>
      </c>
      <c r="J2917" s="22" t="s">
        <v>41</v>
      </c>
      <c r="K2917" s="24">
        <v>3</v>
      </c>
      <c r="M2917" s="21"/>
      <c r="N2917" s="22"/>
      <c r="O2917" s="22"/>
      <c r="P2917" s="49"/>
      <c r="Q2917" s="49"/>
      <c r="R2917" s="188" t="str">
        <f t="shared" si="97"/>
        <v/>
      </c>
      <c r="T2917" s="21">
        <v>46133</v>
      </c>
      <c r="U2917" s="22" t="s">
        <v>45</v>
      </c>
      <c r="V2917" s="24">
        <v>4</v>
      </c>
      <c r="W2917" s="24">
        <v>4</v>
      </c>
      <c r="X2917" s="24">
        <v>4</v>
      </c>
      <c r="Y2917" s="24">
        <v>5</v>
      </c>
      <c r="Z2917" s="20">
        <f t="shared" si="96"/>
        <v>17</v>
      </c>
    </row>
    <row r="2918" spans="1:26" x14ac:dyDescent="0.2">
      <c r="A2918" s="21"/>
      <c r="B2918" s="20"/>
      <c r="C2918" s="22"/>
      <c r="D2918" s="22"/>
      <c r="E2918" s="24"/>
      <c r="F2918" s="22"/>
      <c r="H2918" s="21">
        <v>46076</v>
      </c>
      <c r="I2918" s="22" t="s">
        <v>70</v>
      </c>
      <c r="J2918" s="22" t="s">
        <v>58</v>
      </c>
      <c r="K2918" s="24">
        <v>8</v>
      </c>
      <c r="M2918" s="21"/>
      <c r="N2918" s="22"/>
      <c r="O2918" s="22"/>
      <c r="P2918" s="49"/>
      <c r="Q2918" s="49"/>
      <c r="R2918" s="188" t="str">
        <f t="shared" si="97"/>
        <v/>
      </c>
      <c r="T2918" s="21">
        <v>46133</v>
      </c>
      <c r="U2918" s="22" t="s">
        <v>46</v>
      </c>
      <c r="V2918" s="24">
        <v>5</v>
      </c>
      <c r="W2918" s="24">
        <v>4</v>
      </c>
      <c r="X2918" s="24">
        <v>5</v>
      </c>
      <c r="Y2918" s="24">
        <v>5</v>
      </c>
      <c r="Z2918" s="20">
        <f t="shared" si="96"/>
        <v>19</v>
      </c>
    </row>
    <row r="2919" spans="1:26" x14ac:dyDescent="0.2">
      <c r="A2919" s="21"/>
      <c r="B2919" s="20"/>
      <c r="C2919" s="22"/>
      <c r="D2919" s="22"/>
      <c r="E2919" s="24"/>
      <c r="F2919" s="22"/>
      <c r="H2919" s="21">
        <v>46076</v>
      </c>
      <c r="I2919" s="22" t="s">
        <v>70</v>
      </c>
      <c r="J2919" s="22" t="s">
        <v>49</v>
      </c>
      <c r="K2919" s="24">
        <v>8</v>
      </c>
      <c r="M2919" s="21"/>
      <c r="N2919" s="22"/>
      <c r="O2919" s="22"/>
      <c r="P2919" s="49"/>
      <c r="Q2919" s="49"/>
      <c r="R2919" s="188" t="str">
        <f t="shared" si="97"/>
        <v/>
      </c>
      <c r="T2919" s="21">
        <v>46133</v>
      </c>
      <c r="U2919" s="22" t="s">
        <v>47</v>
      </c>
      <c r="V2919" s="24">
        <v>4</v>
      </c>
      <c r="W2919" s="24">
        <v>4</v>
      </c>
      <c r="X2919" s="24">
        <v>4</v>
      </c>
      <c r="Y2919" s="24">
        <v>3</v>
      </c>
      <c r="Z2919" s="20">
        <f t="shared" si="96"/>
        <v>15</v>
      </c>
    </row>
    <row r="2920" spans="1:26" x14ac:dyDescent="0.2">
      <c r="A2920" s="21"/>
      <c r="B2920" s="20"/>
      <c r="C2920" s="22"/>
      <c r="D2920" s="22"/>
      <c r="E2920" s="24"/>
      <c r="F2920" s="22"/>
      <c r="H2920" s="21">
        <v>46076</v>
      </c>
      <c r="I2920" s="22" t="s">
        <v>70</v>
      </c>
      <c r="J2920" s="22" t="s">
        <v>50</v>
      </c>
      <c r="K2920" s="24">
        <v>7</v>
      </c>
      <c r="M2920" s="21"/>
      <c r="N2920" s="22"/>
      <c r="O2920" s="22"/>
      <c r="P2920" s="49"/>
      <c r="Q2920" s="49"/>
      <c r="R2920" s="188" t="str">
        <f t="shared" si="97"/>
        <v/>
      </c>
      <c r="T2920" s="21">
        <v>46133</v>
      </c>
      <c r="U2920" s="22" t="s">
        <v>48</v>
      </c>
      <c r="V2920" s="24">
        <v>5</v>
      </c>
      <c r="W2920" s="24">
        <v>5</v>
      </c>
      <c r="X2920" s="24">
        <v>5</v>
      </c>
      <c r="Y2920" s="24">
        <v>5</v>
      </c>
      <c r="Z2920" s="20">
        <f t="shared" si="96"/>
        <v>20</v>
      </c>
    </row>
    <row r="2921" spans="1:26" x14ac:dyDescent="0.2">
      <c r="A2921" s="21"/>
      <c r="B2921" s="20"/>
      <c r="C2921" s="22"/>
      <c r="D2921" s="22"/>
      <c r="E2921" s="24"/>
      <c r="F2921" s="22"/>
      <c r="H2921" s="21">
        <v>46076</v>
      </c>
      <c r="I2921" s="22" t="s">
        <v>70</v>
      </c>
      <c r="J2921" s="22" t="s">
        <v>51</v>
      </c>
      <c r="K2921" s="24">
        <v>7</v>
      </c>
      <c r="M2921" s="21"/>
      <c r="N2921" s="22"/>
      <c r="O2921" s="22"/>
      <c r="P2921" s="49"/>
      <c r="Q2921" s="49"/>
      <c r="R2921" s="188" t="str">
        <f t="shared" si="97"/>
        <v/>
      </c>
      <c r="T2921" s="21">
        <v>46133</v>
      </c>
      <c r="U2921" s="22" t="s">
        <v>49</v>
      </c>
      <c r="V2921" s="24">
        <v>5</v>
      </c>
      <c r="W2921" s="24">
        <v>3</v>
      </c>
      <c r="X2921" s="24">
        <v>3</v>
      </c>
      <c r="Y2921" s="24">
        <v>3</v>
      </c>
      <c r="Z2921" s="20">
        <f t="shared" si="96"/>
        <v>14</v>
      </c>
    </row>
    <row r="2922" spans="1:26" x14ac:dyDescent="0.2">
      <c r="A2922" s="21"/>
      <c r="B2922" s="20"/>
      <c r="C2922" s="22"/>
      <c r="D2922" s="22"/>
      <c r="E2922" s="24"/>
      <c r="F2922" s="22"/>
      <c r="H2922" s="21">
        <v>46076</v>
      </c>
      <c r="I2922" s="22" t="s">
        <v>70</v>
      </c>
      <c r="J2922" s="22" t="s">
        <v>46</v>
      </c>
      <c r="K2922" s="24">
        <v>6</v>
      </c>
      <c r="M2922" s="21"/>
      <c r="N2922" s="22"/>
      <c r="O2922" s="22"/>
      <c r="P2922" s="49"/>
      <c r="Q2922" s="49"/>
      <c r="R2922" s="188" t="str">
        <f t="shared" si="97"/>
        <v/>
      </c>
      <c r="T2922" s="21">
        <v>46133</v>
      </c>
      <c r="U2922" s="22" t="s">
        <v>50</v>
      </c>
      <c r="V2922" s="24">
        <v>3</v>
      </c>
      <c r="W2922" s="24">
        <v>3</v>
      </c>
      <c r="X2922" s="24">
        <v>3</v>
      </c>
      <c r="Y2922" s="24">
        <v>4</v>
      </c>
      <c r="Z2922" s="20">
        <f t="shared" si="96"/>
        <v>13</v>
      </c>
    </row>
    <row r="2923" spans="1:26" x14ac:dyDescent="0.2">
      <c r="A2923" s="21"/>
      <c r="B2923" s="20"/>
      <c r="C2923" s="22"/>
      <c r="D2923" s="22"/>
      <c r="E2923" s="24"/>
      <c r="F2923" s="22"/>
      <c r="H2923" s="21">
        <v>46076</v>
      </c>
      <c r="I2923" s="22" t="s">
        <v>70</v>
      </c>
      <c r="J2923" s="22" t="s">
        <v>48</v>
      </c>
      <c r="K2923" s="24">
        <v>5</v>
      </c>
      <c r="M2923" s="21"/>
      <c r="N2923" s="22"/>
      <c r="O2923" s="22"/>
      <c r="P2923" s="49"/>
      <c r="Q2923" s="49"/>
      <c r="R2923" s="188" t="str">
        <f t="shared" si="97"/>
        <v/>
      </c>
      <c r="T2923" s="21">
        <v>46133</v>
      </c>
      <c r="U2923" s="22" t="s">
        <v>51</v>
      </c>
      <c r="V2923" s="24">
        <v>4</v>
      </c>
      <c r="W2923" s="24">
        <v>4</v>
      </c>
      <c r="X2923" s="24">
        <v>4</v>
      </c>
      <c r="Y2923" s="24">
        <v>4</v>
      </c>
      <c r="Z2923" s="20">
        <f t="shared" si="96"/>
        <v>16</v>
      </c>
    </row>
    <row r="2924" spans="1:26" x14ac:dyDescent="0.2">
      <c r="A2924" s="21"/>
      <c r="B2924" s="20"/>
      <c r="C2924" s="22"/>
      <c r="D2924" s="22"/>
      <c r="E2924" s="24"/>
      <c r="F2924" s="22"/>
      <c r="H2924" s="21">
        <v>46076</v>
      </c>
      <c r="I2924" s="22" t="s">
        <v>71</v>
      </c>
      <c r="J2924" s="22" t="s">
        <v>52</v>
      </c>
      <c r="K2924" s="24">
        <v>8</v>
      </c>
      <c r="M2924" s="21"/>
      <c r="N2924" s="22"/>
      <c r="O2924" s="22"/>
      <c r="P2924" s="49"/>
      <c r="Q2924" s="49"/>
      <c r="R2924" s="188" t="str">
        <f t="shared" si="97"/>
        <v/>
      </c>
      <c r="T2924" s="21">
        <v>46133</v>
      </c>
      <c r="U2924" s="22" t="s">
        <v>52</v>
      </c>
      <c r="V2924" s="24">
        <v>4</v>
      </c>
      <c r="W2924" s="24">
        <v>4</v>
      </c>
      <c r="X2924" s="24">
        <v>4</v>
      </c>
      <c r="Y2924" s="24">
        <v>4</v>
      </c>
      <c r="Z2924" s="20">
        <f t="shared" si="96"/>
        <v>16</v>
      </c>
    </row>
    <row r="2925" spans="1:26" x14ac:dyDescent="0.2">
      <c r="A2925" s="21"/>
      <c r="B2925" s="20"/>
      <c r="C2925" s="22"/>
      <c r="D2925" s="22"/>
      <c r="E2925" s="24"/>
      <c r="F2925" s="22"/>
      <c r="H2925" s="21">
        <v>46076</v>
      </c>
      <c r="I2925" s="22" t="s">
        <v>71</v>
      </c>
      <c r="J2925" s="22" t="s">
        <v>53</v>
      </c>
      <c r="K2925" s="24">
        <v>8</v>
      </c>
      <c r="M2925" s="21"/>
      <c r="N2925" s="22"/>
      <c r="O2925" s="22"/>
      <c r="P2925" s="49"/>
      <c r="Q2925" s="49"/>
      <c r="R2925" s="188" t="str">
        <f t="shared" si="97"/>
        <v/>
      </c>
      <c r="T2925" s="21">
        <v>46133</v>
      </c>
      <c r="U2925" s="22" t="s">
        <v>53</v>
      </c>
      <c r="V2925" s="24">
        <v>4</v>
      </c>
      <c r="W2925" s="24">
        <v>4</v>
      </c>
      <c r="X2925" s="24">
        <v>3</v>
      </c>
      <c r="Y2925" s="24">
        <v>4</v>
      </c>
      <c r="Z2925" s="20">
        <f t="shared" si="96"/>
        <v>15</v>
      </c>
    </row>
    <row r="2926" spans="1:26" x14ac:dyDescent="0.2">
      <c r="A2926" s="21"/>
      <c r="B2926" s="20"/>
      <c r="C2926" s="22"/>
      <c r="D2926" s="22"/>
      <c r="E2926" s="24"/>
      <c r="F2926" s="22"/>
      <c r="H2926" s="21">
        <v>46076</v>
      </c>
      <c r="I2926" s="22" t="s">
        <v>71</v>
      </c>
      <c r="J2926" s="22" t="s">
        <v>44</v>
      </c>
      <c r="K2926" s="24" t="s">
        <v>60</v>
      </c>
      <c r="M2926" s="21"/>
      <c r="N2926" s="22"/>
      <c r="O2926" s="22"/>
      <c r="P2926" s="49"/>
      <c r="Q2926" s="49"/>
      <c r="R2926" s="188" t="str">
        <f t="shared" si="97"/>
        <v/>
      </c>
      <c r="T2926" s="21">
        <v>46133</v>
      </c>
      <c r="U2926" s="22" t="s">
        <v>55</v>
      </c>
      <c r="V2926" s="24">
        <v>4</v>
      </c>
      <c r="W2926" s="24">
        <v>4</v>
      </c>
      <c r="X2926" s="24">
        <v>3</v>
      </c>
      <c r="Y2926" s="24">
        <v>5</v>
      </c>
      <c r="Z2926" s="20">
        <f t="shared" si="96"/>
        <v>16</v>
      </c>
    </row>
    <row r="2927" spans="1:26" x14ac:dyDescent="0.2">
      <c r="A2927" s="21"/>
      <c r="B2927" s="20"/>
      <c r="C2927" s="22"/>
      <c r="D2927" s="22"/>
      <c r="E2927" s="24"/>
      <c r="F2927" s="22"/>
      <c r="H2927" s="21">
        <v>46076</v>
      </c>
      <c r="I2927" s="22" t="s">
        <v>71</v>
      </c>
      <c r="J2927" s="22" t="s">
        <v>45</v>
      </c>
      <c r="K2927" s="24">
        <v>5</v>
      </c>
      <c r="M2927" s="21"/>
      <c r="N2927" s="22"/>
      <c r="O2927" s="22"/>
      <c r="P2927" s="49"/>
      <c r="Q2927" s="49"/>
      <c r="R2927" s="188" t="str">
        <f t="shared" si="97"/>
        <v/>
      </c>
      <c r="T2927" s="21">
        <v>46133</v>
      </c>
      <c r="U2927" s="22" t="s">
        <v>56</v>
      </c>
      <c r="V2927" s="24">
        <v>4</v>
      </c>
      <c r="W2927" s="24">
        <v>4</v>
      </c>
      <c r="X2927" s="24">
        <v>4</v>
      </c>
      <c r="Y2927" s="24">
        <v>4</v>
      </c>
      <c r="Z2927" s="20">
        <f t="shared" si="96"/>
        <v>16</v>
      </c>
    </row>
    <row r="2928" spans="1:26" x14ac:dyDescent="0.2">
      <c r="A2928" s="21"/>
      <c r="B2928" s="20"/>
      <c r="C2928" s="22"/>
      <c r="D2928" s="22"/>
      <c r="E2928" s="24"/>
      <c r="F2928" s="22"/>
      <c r="H2928" s="21">
        <v>46076</v>
      </c>
      <c r="I2928" s="22" t="s">
        <v>71</v>
      </c>
      <c r="J2928" s="22" t="s">
        <v>57</v>
      </c>
      <c r="K2928" s="24">
        <v>7</v>
      </c>
      <c r="M2928" s="21"/>
      <c r="N2928" s="22"/>
      <c r="O2928" s="22"/>
      <c r="P2928" s="49"/>
      <c r="Q2928" s="49"/>
      <c r="R2928" s="188" t="str">
        <f t="shared" si="97"/>
        <v/>
      </c>
      <c r="T2928" s="21">
        <v>46133</v>
      </c>
      <c r="U2928" s="22" t="s">
        <v>57</v>
      </c>
      <c r="V2928" s="24">
        <v>4</v>
      </c>
      <c r="W2928" s="24">
        <v>3</v>
      </c>
      <c r="X2928" s="24">
        <v>4</v>
      </c>
      <c r="Y2928" s="24">
        <v>4</v>
      </c>
      <c r="Z2928" s="20">
        <f t="shared" si="96"/>
        <v>15</v>
      </c>
    </row>
    <row r="2929" spans="1:26" x14ac:dyDescent="0.2">
      <c r="A2929" s="21"/>
      <c r="B2929" s="20"/>
      <c r="C2929" s="22"/>
      <c r="D2929" s="22"/>
      <c r="E2929" s="24"/>
      <c r="F2929" s="22"/>
      <c r="H2929" s="21">
        <v>46076</v>
      </c>
      <c r="I2929" s="22" t="s">
        <v>71</v>
      </c>
      <c r="J2929" s="22" t="s">
        <v>42</v>
      </c>
      <c r="K2929" s="24">
        <v>5</v>
      </c>
      <c r="M2929" s="21"/>
      <c r="N2929" s="22"/>
      <c r="O2929" s="22"/>
      <c r="P2929" s="49"/>
      <c r="Q2929" s="49"/>
      <c r="R2929" s="188" t="str">
        <f t="shared" si="97"/>
        <v/>
      </c>
      <c r="T2929" s="21"/>
      <c r="U2929" s="22"/>
      <c r="V2929" s="24"/>
      <c r="W2929" s="24"/>
      <c r="X2929" s="24"/>
      <c r="Y2929" s="24"/>
      <c r="Z2929" s="20" t="str">
        <f t="shared" si="96"/>
        <v/>
      </c>
    </row>
    <row r="2930" spans="1:26" x14ac:dyDescent="0.2">
      <c r="A2930" s="21"/>
      <c r="B2930" s="20"/>
      <c r="C2930" s="22"/>
      <c r="D2930" s="22"/>
      <c r="E2930" s="24"/>
      <c r="F2930" s="22"/>
      <c r="H2930" s="21">
        <v>46076</v>
      </c>
      <c r="I2930" s="22" t="s">
        <v>71</v>
      </c>
      <c r="J2930" s="22" t="s">
        <v>47</v>
      </c>
      <c r="K2930" s="24">
        <v>6</v>
      </c>
      <c r="M2930" s="21"/>
      <c r="N2930" s="22"/>
      <c r="O2930" s="22"/>
      <c r="P2930" s="49"/>
      <c r="Q2930" s="49"/>
      <c r="R2930" s="188" t="str">
        <f t="shared" si="97"/>
        <v/>
      </c>
      <c r="T2930" s="21"/>
      <c r="U2930" s="22"/>
      <c r="V2930" s="24"/>
      <c r="W2930" s="24"/>
      <c r="X2930" s="24"/>
      <c r="Y2930" s="24"/>
      <c r="Z2930" s="20" t="str">
        <f t="shared" si="96"/>
        <v/>
      </c>
    </row>
    <row r="2931" spans="1:26" x14ac:dyDescent="0.2">
      <c r="A2931" s="21"/>
      <c r="B2931" s="20"/>
      <c r="C2931" s="22"/>
      <c r="D2931" s="22"/>
      <c r="E2931" s="24"/>
      <c r="F2931" s="22"/>
      <c r="H2931" s="21">
        <v>46076</v>
      </c>
      <c r="I2931" s="22" t="s">
        <v>71</v>
      </c>
      <c r="J2931" s="22" t="s">
        <v>41</v>
      </c>
      <c r="K2931" s="24">
        <v>5</v>
      </c>
      <c r="M2931" s="21"/>
      <c r="N2931" s="22"/>
      <c r="O2931" s="22"/>
      <c r="P2931" s="49"/>
      <c r="Q2931" s="49"/>
      <c r="R2931" s="188" t="str">
        <f t="shared" si="97"/>
        <v/>
      </c>
      <c r="T2931" s="21"/>
      <c r="U2931" s="22"/>
      <c r="V2931" s="24"/>
      <c r="W2931" s="24"/>
      <c r="X2931" s="24"/>
      <c r="Y2931" s="24"/>
      <c r="Z2931" s="20" t="str">
        <f t="shared" si="96"/>
        <v/>
      </c>
    </row>
    <row r="2932" spans="1:26" x14ac:dyDescent="0.2">
      <c r="A2932" s="21"/>
      <c r="B2932" s="20"/>
      <c r="C2932" s="22"/>
      <c r="D2932" s="22"/>
      <c r="E2932" s="24"/>
      <c r="F2932" s="22"/>
      <c r="H2932" s="21">
        <v>46076</v>
      </c>
      <c r="I2932" s="22" t="s">
        <v>71</v>
      </c>
      <c r="J2932" s="22" t="s">
        <v>58</v>
      </c>
      <c r="K2932" s="24">
        <v>8</v>
      </c>
      <c r="M2932" s="21"/>
      <c r="N2932" s="22"/>
      <c r="O2932" s="22"/>
      <c r="P2932" s="49"/>
      <c r="Q2932" s="49"/>
      <c r="R2932" s="188" t="str">
        <f t="shared" si="97"/>
        <v/>
      </c>
      <c r="T2932" s="21"/>
      <c r="U2932" s="22"/>
      <c r="V2932" s="24"/>
      <c r="W2932" s="24"/>
      <c r="X2932" s="24"/>
      <c r="Y2932" s="24"/>
      <c r="Z2932" s="20" t="str">
        <f t="shared" si="96"/>
        <v/>
      </c>
    </row>
    <row r="2933" spans="1:26" x14ac:dyDescent="0.2">
      <c r="A2933" s="21"/>
      <c r="B2933" s="20"/>
      <c r="C2933" s="22"/>
      <c r="D2933" s="22"/>
      <c r="E2933" s="24"/>
      <c r="F2933" s="22"/>
      <c r="H2933" s="21">
        <v>46076</v>
      </c>
      <c r="I2933" s="22" t="s">
        <v>71</v>
      </c>
      <c r="J2933" s="22" t="s">
        <v>49</v>
      </c>
      <c r="K2933" s="24">
        <v>6</v>
      </c>
      <c r="M2933" s="21"/>
      <c r="N2933" s="22"/>
      <c r="O2933" s="22"/>
      <c r="P2933" s="49"/>
      <c r="Q2933" s="49"/>
      <c r="R2933" s="188" t="str">
        <f t="shared" si="97"/>
        <v/>
      </c>
      <c r="T2933" s="21"/>
      <c r="U2933" s="22"/>
      <c r="V2933" s="24"/>
      <c r="W2933" s="24"/>
      <c r="X2933" s="24"/>
      <c r="Y2933" s="24"/>
      <c r="Z2933" s="20" t="str">
        <f t="shared" si="96"/>
        <v/>
      </c>
    </row>
    <row r="2934" spans="1:26" x14ac:dyDescent="0.2">
      <c r="A2934" s="21"/>
      <c r="B2934" s="20"/>
      <c r="C2934" s="22"/>
      <c r="D2934" s="22"/>
      <c r="E2934" s="24"/>
      <c r="F2934" s="22"/>
      <c r="H2934" s="21">
        <v>46076</v>
      </c>
      <c r="I2934" s="22" t="s">
        <v>71</v>
      </c>
      <c r="J2934" s="22" t="s">
        <v>50</v>
      </c>
      <c r="K2934" s="24">
        <v>6</v>
      </c>
      <c r="M2934" s="21"/>
      <c r="N2934" s="22"/>
      <c r="O2934" s="22"/>
      <c r="P2934" s="49"/>
      <c r="Q2934" s="49"/>
      <c r="R2934" s="188" t="str">
        <f t="shared" si="97"/>
        <v/>
      </c>
      <c r="T2934" s="21"/>
      <c r="U2934" s="22"/>
      <c r="V2934" s="24"/>
      <c r="W2934" s="24"/>
      <c r="X2934" s="24"/>
      <c r="Y2934" s="24"/>
      <c r="Z2934" s="20" t="str">
        <f t="shared" si="96"/>
        <v/>
      </c>
    </row>
    <row r="2935" spans="1:26" x14ac:dyDescent="0.2">
      <c r="A2935" s="21"/>
      <c r="B2935" s="20"/>
      <c r="C2935" s="22"/>
      <c r="D2935" s="22"/>
      <c r="E2935" s="24"/>
      <c r="F2935" s="22"/>
      <c r="H2935" s="21">
        <v>46076</v>
      </c>
      <c r="I2935" s="22" t="s">
        <v>71</v>
      </c>
      <c r="J2935" s="22" t="s">
        <v>51</v>
      </c>
      <c r="K2935" s="24">
        <v>9</v>
      </c>
      <c r="M2935" s="21"/>
      <c r="N2935" s="22"/>
      <c r="O2935" s="22"/>
      <c r="P2935" s="49"/>
      <c r="Q2935" s="49"/>
      <c r="R2935" s="188" t="str">
        <f t="shared" si="97"/>
        <v/>
      </c>
      <c r="T2935" s="21"/>
      <c r="U2935" s="22"/>
      <c r="V2935" s="24"/>
      <c r="W2935" s="24"/>
      <c r="X2935" s="24"/>
      <c r="Y2935" s="24"/>
      <c r="Z2935" s="20" t="str">
        <f t="shared" si="96"/>
        <v/>
      </c>
    </row>
    <row r="2936" spans="1:26" x14ac:dyDescent="0.2">
      <c r="A2936" s="21"/>
      <c r="B2936" s="20"/>
      <c r="C2936" s="22"/>
      <c r="D2936" s="22"/>
      <c r="E2936" s="24"/>
      <c r="F2936" s="22"/>
      <c r="H2936" s="21">
        <v>46076</v>
      </c>
      <c r="I2936" s="22" t="s">
        <v>71</v>
      </c>
      <c r="J2936" s="22" t="s">
        <v>46</v>
      </c>
      <c r="K2936" s="24">
        <v>9</v>
      </c>
      <c r="M2936" s="21"/>
      <c r="N2936" s="22"/>
      <c r="O2936" s="22"/>
      <c r="P2936" s="49"/>
      <c r="Q2936" s="49"/>
      <c r="R2936" s="188" t="str">
        <f t="shared" si="97"/>
        <v/>
      </c>
      <c r="T2936" s="21"/>
      <c r="U2936" s="22"/>
      <c r="V2936" s="24"/>
      <c r="W2936" s="24"/>
      <c r="X2936" s="24"/>
      <c r="Y2936" s="24"/>
      <c r="Z2936" s="20" t="str">
        <f t="shared" si="96"/>
        <v/>
      </c>
    </row>
    <row r="2937" spans="1:26" x14ac:dyDescent="0.2">
      <c r="A2937" s="21"/>
      <c r="B2937" s="20"/>
      <c r="C2937" s="22"/>
      <c r="D2937" s="22"/>
      <c r="E2937" s="24"/>
      <c r="F2937" s="22"/>
      <c r="H2937" s="21">
        <v>46076</v>
      </c>
      <c r="I2937" s="22" t="s">
        <v>71</v>
      </c>
      <c r="J2937" s="22" t="s">
        <v>48</v>
      </c>
      <c r="K2937" s="24">
        <v>6</v>
      </c>
      <c r="M2937" s="21"/>
      <c r="N2937" s="22"/>
      <c r="O2937" s="22"/>
      <c r="P2937" s="49"/>
      <c r="Q2937" s="49"/>
      <c r="R2937" s="188" t="str">
        <f t="shared" si="97"/>
        <v/>
      </c>
      <c r="T2937" s="21"/>
      <c r="U2937" s="22"/>
      <c r="V2937" s="24"/>
      <c r="W2937" s="24"/>
      <c r="X2937" s="24"/>
      <c r="Y2937" s="24"/>
      <c r="Z2937" s="20" t="str">
        <f t="shared" si="96"/>
        <v/>
      </c>
    </row>
    <row r="2938" spans="1:26" x14ac:dyDescent="0.2">
      <c r="A2938" s="21"/>
      <c r="B2938" s="20"/>
      <c r="C2938" s="22"/>
      <c r="D2938" s="22"/>
      <c r="E2938" s="24"/>
      <c r="F2938" s="22"/>
      <c r="H2938" s="21">
        <v>46077</v>
      </c>
      <c r="I2938" s="22" t="s">
        <v>70</v>
      </c>
      <c r="J2938" s="22" t="s">
        <v>52</v>
      </c>
      <c r="K2938" s="24">
        <v>6</v>
      </c>
      <c r="M2938" s="21"/>
      <c r="N2938" s="22"/>
      <c r="O2938" s="22"/>
      <c r="P2938" s="49"/>
      <c r="Q2938" s="49"/>
      <c r="R2938" s="188" t="str">
        <f t="shared" si="97"/>
        <v/>
      </c>
      <c r="T2938" s="21"/>
      <c r="U2938" s="22"/>
      <c r="V2938" s="24"/>
      <c r="W2938" s="24"/>
      <c r="X2938" s="24"/>
      <c r="Y2938" s="24"/>
      <c r="Z2938" s="20" t="str">
        <f t="shared" si="96"/>
        <v/>
      </c>
    </row>
    <row r="2939" spans="1:26" x14ac:dyDescent="0.2">
      <c r="A2939" s="21"/>
      <c r="B2939" s="20"/>
      <c r="C2939" s="22"/>
      <c r="D2939" s="22"/>
      <c r="E2939" s="24"/>
      <c r="F2939" s="22"/>
      <c r="H2939" s="21">
        <v>46077</v>
      </c>
      <c r="I2939" s="22" t="s">
        <v>70</v>
      </c>
      <c r="J2939" s="22" t="s">
        <v>53</v>
      </c>
      <c r="K2939" s="24">
        <v>4</v>
      </c>
      <c r="M2939" s="21"/>
      <c r="N2939" s="22"/>
      <c r="O2939" s="22"/>
      <c r="P2939" s="49"/>
      <c r="Q2939" s="49"/>
      <c r="R2939" s="188" t="str">
        <f t="shared" si="97"/>
        <v/>
      </c>
      <c r="T2939" s="21"/>
      <c r="U2939" s="22"/>
      <c r="V2939" s="24"/>
      <c r="W2939" s="24"/>
      <c r="X2939" s="24"/>
      <c r="Y2939" s="24"/>
      <c r="Z2939" s="20" t="str">
        <f t="shared" si="96"/>
        <v/>
      </c>
    </row>
    <row r="2940" spans="1:26" x14ac:dyDescent="0.2">
      <c r="A2940" s="21"/>
      <c r="B2940" s="20"/>
      <c r="C2940" s="22"/>
      <c r="D2940" s="22"/>
      <c r="E2940" s="24"/>
      <c r="F2940" s="22"/>
      <c r="H2940" s="21">
        <v>46077</v>
      </c>
      <c r="I2940" s="22" t="s">
        <v>70</v>
      </c>
      <c r="J2940" s="22" t="s">
        <v>44</v>
      </c>
      <c r="K2940" s="24">
        <v>6</v>
      </c>
      <c r="M2940" s="21"/>
      <c r="N2940" s="22"/>
      <c r="O2940" s="22"/>
      <c r="P2940" s="49"/>
      <c r="Q2940" s="49"/>
      <c r="R2940" s="188" t="str">
        <f t="shared" si="97"/>
        <v/>
      </c>
      <c r="T2940" s="21"/>
      <c r="U2940" s="22"/>
      <c r="V2940" s="24"/>
      <c r="W2940" s="24"/>
      <c r="X2940" s="24"/>
      <c r="Y2940" s="24"/>
      <c r="Z2940" s="20" t="str">
        <f t="shared" si="96"/>
        <v/>
      </c>
    </row>
    <row r="2941" spans="1:26" x14ac:dyDescent="0.2">
      <c r="A2941" s="21"/>
      <c r="B2941" s="20"/>
      <c r="C2941" s="22"/>
      <c r="D2941" s="22"/>
      <c r="E2941" s="24"/>
      <c r="F2941" s="22"/>
      <c r="H2941" s="21">
        <v>46077</v>
      </c>
      <c r="I2941" s="22" t="s">
        <v>70</v>
      </c>
      <c r="J2941" s="22" t="s">
        <v>45</v>
      </c>
      <c r="K2941" s="24">
        <v>5</v>
      </c>
      <c r="M2941" s="21"/>
      <c r="N2941" s="22"/>
      <c r="O2941" s="22"/>
      <c r="P2941" s="49"/>
      <c r="Q2941" s="49"/>
      <c r="R2941" s="188" t="str">
        <f t="shared" si="97"/>
        <v/>
      </c>
      <c r="T2941" s="21"/>
      <c r="U2941" s="22"/>
      <c r="V2941" s="24"/>
      <c r="W2941" s="24"/>
      <c r="X2941" s="24"/>
      <c r="Y2941" s="24"/>
      <c r="Z2941" s="20" t="str">
        <f t="shared" si="96"/>
        <v/>
      </c>
    </row>
    <row r="2942" spans="1:26" x14ac:dyDescent="0.2">
      <c r="A2942" s="21"/>
      <c r="B2942" s="20"/>
      <c r="C2942" s="22"/>
      <c r="D2942" s="22"/>
      <c r="E2942" s="24"/>
      <c r="F2942" s="22"/>
      <c r="H2942" s="21">
        <v>46077</v>
      </c>
      <c r="I2942" s="22" t="s">
        <v>70</v>
      </c>
      <c r="J2942" s="22" t="s">
        <v>57</v>
      </c>
      <c r="K2942" s="24">
        <v>6</v>
      </c>
      <c r="M2942" s="21"/>
      <c r="N2942" s="22"/>
      <c r="O2942" s="22"/>
      <c r="P2942" s="49"/>
      <c r="Q2942" s="49"/>
      <c r="R2942" s="188" t="str">
        <f t="shared" si="97"/>
        <v/>
      </c>
      <c r="T2942" s="21"/>
      <c r="U2942" s="22"/>
      <c r="V2942" s="24"/>
      <c r="W2942" s="24"/>
      <c r="X2942" s="24"/>
      <c r="Y2942" s="24"/>
      <c r="Z2942" s="20" t="str">
        <f t="shared" si="96"/>
        <v/>
      </c>
    </row>
    <row r="2943" spans="1:26" x14ac:dyDescent="0.2">
      <c r="A2943" s="21"/>
      <c r="B2943" s="20"/>
      <c r="C2943" s="22"/>
      <c r="D2943" s="22"/>
      <c r="E2943" s="24"/>
      <c r="F2943" s="22"/>
      <c r="H2943" s="21">
        <v>46077</v>
      </c>
      <c r="I2943" s="22" t="s">
        <v>70</v>
      </c>
      <c r="J2943" s="22" t="s">
        <v>42</v>
      </c>
      <c r="K2943" s="24">
        <v>4</v>
      </c>
      <c r="M2943" s="21"/>
      <c r="N2943" s="22"/>
      <c r="O2943" s="22"/>
      <c r="P2943" s="49"/>
      <c r="Q2943" s="49"/>
      <c r="R2943" s="188" t="str">
        <f t="shared" si="97"/>
        <v/>
      </c>
      <c r="T2943" s="21"/>
      <c r="U2943" s="22"/>
      <c r="V2943" s="24"/>
      <c r="W2943" s="24"/>
      <c r="X2943" s="24"/>
      <c r="Y2943" s="24"/>
      <c r="Z2943" s="20" t="str">
        <f t="shared" si="96"/>
        <v/>
      </c>
    </row>
    <row r="2944" spans="1:26" x14ac:dyDescent="0.2">
      <c r="A2944" s="21"/>
      <c r="B2944" s="20"/>
      <c r="C2944" s="22"/>
      <c r="D2944" s="22"/>
      <c r="E2944" s="24"/>
      <c r="F2944" s="22"/>
      <c r="H2944" s="21">
        <v>46077</v>
      </c>
      <c r="I2944" s="22" t="s">
        <v>70</v>
      </c>
      <c r="J2944" s="22" t="s">
        <v>47</v>
      </c>
      <c r="K2944" s="24">
        <v>5</v>
      </c>
      <c r="M2944" s="21"/>
      <c r="N2944" s="22"/>
      <c r="O2944" s="22"/>
      <c r="P2944" s="49"/>
      <c r="Q2944" s="49"/>
      <c r="R2944" s="188" t="str">
        <f t="shared" si="97"/>
        <v/>
      </c>
      <c r="T2944" s="21"/>
      <c r="U2944" s="22"/>
      <c r="V2944" s="24"/>
      <c r="W2944" s="24"/>
      <c r="X2944" s="24"/>
      <c r="Y2944" s="24"/>
      <c r="Z2944" s="20" t="str">
        <f t="shared" si="96"/>
        <v/>
      </c>
    </row>
    <row r="2945" spans="1:26" x14ac:dyDescent="0.2">
      <c r="A2945" s="21"/>
      <c r="B2945" s="20"/>
      <c r="C2945" s="22"/>
      <c r="D2945" s="22"/>
      <c r="E2945" s="24"/>
      <c r="F2945" s="22"/>
      <c r="H2945" s="21">
        <v>46077</v>
      </c>
      <c r="I2945" s="22" t="s">
        <v>70</v>
      </c>
      <c r="J2945" s="22" t="s">
        <v>41</v>
      </c>
      <c r="K2945" s="24">
        <v>4</v>
      </c>
      <c r="M2945" s="21"/>
      <c r="N2945" s="22"/>
      <c r="O2945" s="22"/>
      <c r="P2945" s="49"/>
      <c r="Q2945" s="49"/>
      <c r="R2945" s="188" t="str">
        <f t="shared" si="97"/>
        <v/>
      </c>
      <c r="T2945" s="21"/>
      <c r="U2945" s="22"/>
      <c r="V2945" s="24"/>
      <c r="W2945" s="24"/>
      <c r="X2945" s="24"/>
      <c r="Y2945" s="24"/>
      <c r="Z2945" s="20" t="str">
        <f t="shared" si="96"/>
        <v/>
      </c>
    </row>
    <row r="2946" spans="1:26" x14ac:dyDescent="0.2">
      <c r="A2946" s="21"/>
      <c r="B2946" s="20"/>
      <c r="C2946" s="22"/>
      <c r="D2946" s="22"/>
      <c r="E2946" s="24"/>
      <c r="F2946" s="22"/>
      <c r="H2946" s="21">
        <v>46077</v>
      </c>
      <c r="I2946" s="22" t="s">
        <v>70</v>
      </c>
      <c r="J2946" s="22" t="s">
        <v>58</v>
      </c>
      <c r="K2946" s="24">
        <v>6</v>
      </c>
      <c r="M2946" s="21"/>
      <c r="N2946" s="22"/>
      <c r="O2946" s="22"/>
      <c r="P2946" s="49"/>
      <c r="Q2946" s="49"/>
      <c r="R2946" s="188" t="str">
        <f t="shared" si="97"/>
        <v/>
      </c>
      <c r="T2946" s="21"/>
      <c r="U2946" s="22"/>
      <c r="V2946" s="24"/>
      <c r="W2946" s="24"/>
      <c r="X2946" s="24"/>
      <c r="Y2946" s="24"/>
      <c r="Z2946" s="20" t="str">
        <f t="shared" si="96"/>
        <v/>
      </c>
    </row>
    <row r="2947" spans="1:26" x14ac:dyDescent="0.2">
      <c r="A2947" s="21"/>
      <c r="B2947" s="20"/>
      <c r="C2947" s="22"/>
      <c r="D2947" s="22"/>
      <c r="E2947" s="24"/>
      <c r="F2947" s="22"/>
      <c r="H2947" s="21">
        <v>46077</v>
      </c>
      <c r="I2947" s="22" t="s">
        <v>70</v>
      </c>
      <c r="J2947" s="22" t="s">
        <v>49</v>
      </c>
      <c r="K2947" s="24">
        <v>6</v>
      </c>
      <c r="M2947" s="21"/>
      <c r="N2947" s="22"/>
      <c r="O2947" s="22"/>
      <c r="P2947" s="49"/>
      <c r="Q2947" s="49"/>
      <c r="R2947" s="188" t="str">
        <f t="shared" si="97"/>
        <v/>
      </c>
      <c r="T2947" s="21"/>
      <c r="U2947" s="22"/>
      <c r="V2947" s="24"/>
      <c r="W2947" s="24"/>
      <c r="X2947" s="24"/>
      <c r="Y2947" s="24"/>
      <c r="Z2947" s="20" t="str">
        <f t="shared" si="96"/>
        <v/>
      </c>
    </row>
    <row r="2948" spans="1:26" x14ac:dyDescent="0.2">
      <c r="A2948" s="21"/>
      <c r="B2948" s="20"/>
      <c r="C2948" s="22"/>
      <c r="D2948" s="22"/>
      <c r="E2948" s="24"/>
      <c r="F2948" s="22"/>
      <c r="H2948" s="21">
        <v>46077</v>
      </c>
      <c r="I2948" s="22" t="s">
        <v>70</v>
      </c>
      <c r="J2948" s="22" t="s">
        <v>50</v>
      </c>
      <c r="K2948" s="24">
        <v>6</v>
      </c>
      <c r="M2948" s="21"/>
      <c r="N2948" s="22"/>
      <c r="O2948" s="22"/>
      <c r="P2948" s="49"/>
      <c r="Q2948" s="49"/>
      <c r="R2948" s="188" t="str">
        <f t="shared" si="97"/>
        <v/>
      </c>
      <c r="T2948" s="21"/>
      <c r="U2948" s="22"/>
      <c r="V2948" s="24"/>
      <c r="W2948" s="24"/>
      <c r="X2948" s="24"/>
      <c r="Y2948" s="24"/>
      <c r="Z2948" s="20" t="str">
        <f t="shared" si="96"/>
        <v/>
      </c>
    </row>
    <row r="2949" spans="1:26" x14ac:dyDescent="0.2">
      <c r="A2949" s="21"/>
      <c r="B2949" s="20"/>
      <c r="C2949" s="22"/>
      <c r="D2949" s="22"/>
      <c r="E2949" s="24"/>
      <c r="F2949" s="22"/>
      <c r="H2949" s="21">
        <v>46077</v>
      </c>
      <c r="I2949" s="22" t="s">
        <v>70</v>
      </c>
      <c r="J2949" s="22" t="s">
        <v>51</v>
      </c>
      <c r="K2949" s="24">
        <v>6</v>
      </c>
      <c r="M2949" s="21"/>
      <c r="N2949" s="22"/>
      <c r="O2949" s="22"/>
      <c r="P2949" s="49"/>
      <c r="Q2949" s="49"/>
      <c r="R2949" s="188" t="str">
        <f t="shared" si="97"/>
        <v/>
      </c>
      <c r="T2949" s="21"/>
      <c r="U2949" s="22"/>
      <c r="V2949" s="24"/>
      <c r="W2949" s="24"/>
      <c r="X2949" s="24"/>
      <c r="Y2949" s="24"/>
      <c r="Z2949" s="20" t="str">
        <f t="shared" si="96"/>
        <v/>
      </c>
    </row>
    <row r="2950" spans="1:26" x14ac:dyDescent="0.2">
      <c r="A2950" s="21"/>
      <c r="B2950" s="20"/>
      <c r="C2950" s="22"/>
      <c r="D2950" s="22"/>
      <c r="E2950" s="24"/>
      <c r="F2950" s="22"/>
      <c r="H2950" s="21">
        <v>46077</v>
      </c>
      <c r="I2950" s="22" t="s">
        <v>70</v>
      </c>
      <c r="J2950" s="22" t="s">
        <v>46</v>
      </c>
      <c r="K2950" s="24">
        <v>7</v>
      </c>
      <c r="M2950" s="21"/>
      <c r="N2950" s="22"/>
      <c r="O2950" s="22"/>
      <c r="P2950" s="49"/>
      <c r="Q2950" s="49"/>
      <c r="R2950" s="188" t="str">
        <f t="shared" si="97"/>
        <v/>
      </c>
      <c r="T2950" s="21"/>
      <c r="U2950" s="22"/>
      <c r="V2950" s="24"/>
      <c r="W2950" s="24"/>
      <c r="X2950" s="24"/>
      <c r="Y2950" s="24"/>
      <c r="Z2950" s="20" t="str">
        <f t="shared" si="96"/>
        <v/>
      </c>
    </row>
    <row r="2951" spans="1:26" x14ac:dyDescent="0.2">
      <c r="A2951" s="21"/>
      <c r="B2951" s="20"/>
      <c r="C2951" s="22"/>
      <c r="D2951" s="22"/>
      <c r="E2951" s="24"/>
      <c r="F2951" s="22"/>
      <c r="H2951" s="21">
        <v>46077</v>
      </c>
      <c r="I2951" s="22" t="s">
        <v>70</v>
      </c>
      <c r="J2951" s="22" t="s">
        <v>48</v>
      </c>
      <c r="K2951" s="24">
        <v>4</v>
      </c>
      <c r="M2951" s="21"/>
      <c r="N2951" s="22"/>
      <c r="O2951" s="22"/>
      <c r="P2951" s="49"/>
      <c r="Q2951" s="49"/>
      <c r="R2951" s="188" t="str">
        <f t="shared" si="97"/>
        <v/>
      </c>
      <c r="T2951" s="21"/>
      <c r="U2951" s="22"/>
      <c r="V2951" s="24"/>
      <c r="W2951" s="24"/>
      <c r="X2951" s="24"/>
      <c r="Y2951" s="24"/>
      <c r="Z2951" s="20" t="str">
        <f t="shared" si="96"/>
        <v/>
      </c>
    </row>
    <row r="2952" spans="1:26" x14ac:dyDescent="0.2">
      <c r="A2952" s="21"/>
      <c r="B2952" s="20"/>
      <c r="C2952" s="22"/>
      <c r="D2952" s="22"/>
      <c r="E2952" s="24"/>
      <c r="F2952" s="22"/>
      <c r="H2952" s="21">
        <v>46078</v>
      </c>
      <c r="I2952" s="22" t="s">
        <v>70</v>
      </c>
      <c r="J2952" s="22" t="s">
        <v>52</v>
      </c>
      <c r="K2952" s="24">
        <v>7</v>
      </c>
      <c r="M2952" s="21"/>
      <c r="N2952" s="22"/>
      <c r="O2952" s="22"/>
      <c r="P2952" s="49"/>
      <c r="Q2952" s="49"/>
      <c r="R2952" s="188" t="str">
        <f t="shared" si="97"/>
        <v/>
      </c>
      <c r="T2952" s="21"/>
      <c r="U2952" s="22"/>
      <c r="V2952" s="24"/>
      <c r="W2952" s="24"/>
      <c r="X2952" s="24"/>
      <c r="Y2952" s="24"/>
      <c r="Z2952" s="20" t="str">
        <f t="shared" si="96"/>
        <v/>
      </c>
    </row>
    <row r="2953" spans="1:26" x14ac:dyDescent="0.2">
      <c r="A2953" s="21"/>
      <c r="B2953" s="20"/>
      <c r="C2953" s="22"/>
      <c r="D2953" s="22"/>
      <c r="E2953" s="24"/>
      <c r="F2953" s="22"/>
      <c r="H2953" s="21">
        <v>46078</v>
      </c>
      <c r="I2953" s="22" t="s">
        <v>70</v>
      </c>
      <c r="J2953" s="22" t="s">
        <v>53</v>
      </c>
      <c r="K2953" s="24">
        <v>6</v>
      </c>
      <c r="M2953" s="21"/>
      <c r="N2953" s="22"/>
      <c r="O2953" s="22"/>
      <c r="P2953" s="49"/>
      <c r="Q2953" s="49"/>
      <c r="R2953" s="188" t="str">
        <f t="shared" si="97"/>
        <v/>
      </c>
      <c r="T2953" s="21"/>
      <c r="U2953" s="22"/>
      <c r="V2953" s="24"/>
      <c r="W2953" s="24"/>
      <c r="X2953" s="24"/>
      <c r="Y2953" s="24"/>
      <c r="Z2953" s="20" t="str">
        <f t="shared" si="96"/>
        <v/>
      </c>
    </row>
    <row r="2954" spans="1:26" x14ac:dyDescent="0.2">
      <c r="A2954" s="21"/>
      <c r="B2954" s="20"/>
      <c r="C2954" s="22"/>
      <c r="D2954" s="22"/>
      <c r="E2954" s="24"/>
      <c r="F2954" s="22"/>
      <c r="H2954" s="21">
        <v>46078</v>
      </c>
      <c r="I2954" s="22" t="s">
        <v>70</v>
      </c>
      <c r="J2954" s="22" t="s">
        <v>44</v>
      </c>
      <c r="K2954" s="24">
        <v>8</v>
      </c>
      <c r="M2954" s="21"/>
      <c r="N2954" s="22"/>
      <c r="O2954" s="22"/>
      <c r="P2954" s="49"/>
      <c r="Q2954" s="49"/>
      <c r="R2954" s="188" t="str">
        <f t="shared" si="97"/>
        <v/>
      </c>
      <c r="T2954" s="21"/>
      <c r="U2954" s="22"/>
      <c r="V2954" s="24"/>
      <c r="W2954" s="24"/>
      <c r="X2954" s="24"/>
      <c r="Y2954" s="24"/>
      <c r="Z2954" s="20" t="str">
        <f t="shared" si="96"/>
        <v/>
      </c>
    </row>
    <row r="2955" spans="1:26" x14ac:dyDescent="0.2">
      <c r="A2955" s="21"/>
      <c r="B2955" s="20"/>
      <c r="C2955" s="22"/>
      <c r="D2955" s="22"/>
      <c r="E2955" s="24"/>
      <c r="F2955" s="22"/>
      <c r="H2955" s="21">
        <v>46078</v>
      </c>
      <c r="I2955" s="22" t="s">
        <v>70</v>
      </c>
      <c r="J2955" s="22" t="s">
        <v>45</v>
      </c>
      <c r="K2955" s="24">
        <v>7</v>
      </c>
      <c r="M2955" s="21"/>
      <c r="N2955" s="22"/>
      <c r="O2955" s="22"/>
      <c r="P2955" s="49"/>
      <c r="Q2955" s="49"/>
      <c r="R2955" s="188" t="str">
        <f t="shared" si="97"/>
        <v/>
      </c>
      <c r="T2955" s="21"/>
      <c r="U2955" s="22"/>
      <c r="V2955" s="24"/>
      <c r="W2955" s="24"/>
      <c r="X2955" s="24"/>
      <c r="Y2955" s="24"/>
      <c r="Z2955" s="20" t="str">
        <f t="shared" si="96"/>
        <v/>
      </c>
    </row>
    <row r="2956" spans="1:26" x14ac:dyDescent="0.2">
      <c r="A2956" s="21"/>
      <c r="B2956" s="20"/>
      <c r="C2956" s="22"/>
      <c r="D2956" s="22"/>
      <c r="E2956" s="24"/>
      <c r="F2956" s="22"/>
      <c r="H2956" s="21">
        <v>46078</v>
      </c>
      <c r="I2956" s="22" t="s">
        <v>70</v>
      </c>
      <c r="J2956" s="22" t="s">
        <v>57</v>
      </c>
      <c r="K2956" s="24">
        <v>7</v>
      </c>
      <c r="M2956" s="21"/>
      <c r="N2956" s="22"/>
      <c r="O2956" s="22"/>
      <c r="P2956" s="49"/>
      <c r="Q2956" s="49"/>
      <c r="R2956" s="188" t="str">
        <f t="shared" si="97"/>
        <v/>
      </c>
      <c r="T2956" s="21"/>
      <c r="U2956" s="22"/>
      <c r="V2956" s="24"/>
      <c r="W2956" s="24"/>
      <c r="X2956" s="24"/>
      <c r="Y2956" s="24"/>
      <c r="Z2956" s="20" t="str">
        <f t="shared" si="96"/>
        <v/>
      </c>
    </row>
    <row r="2957" spans="1:26" x14ac:dyDescent="0.2">
      <c r="A2957" s="21"/>
      <c r="B2957" s="20"/>
      <c r="C2957" s="22"/>
      <c r="D2957" s="22"/>
      <c r="E2957" s="24"/>
      <c r="F2957" s="22"/>
      <c r="H2957" s="21">
        <v>46078</v>
      </c>
      <c r="I2957" s="22" t="s">
        <v>70</v>
      </c>
      <c r="J2957" s="22" t="s">
        <v>42</v>
      </c>
      <c r="K2957" s="24">
        <v>2</v>
      </c>
      <c r="M2957" s="21"/>
      <c r="N2957" s="22"/>
      <c r="O2957" s="22"/>
      <c r="P2957" s="49"/>
      <c r="Q2957" s="49"/>
      <c r="R2957" s="188" t="str">
        <f t="shared" si="97"/>
        <v/>
      </c>
      <c r="T2957" s="21"/>
      <c r="U2957" s="22"/>
      <c r="V2957" s="24"/>
      <c r="W2957" s="24"/>
      <c r="X2957" s="24"/>
      <c r="Y2957" s="24"/>
      <c r="Z2957" s="20" t="str">
        <f t="shared" si="96"/>
        <v/>
      </c>
    </row>
    <row r="2958" spans="1:26" x14ac:dyDescent="0.2">
      <c r="A2958" s="21"/>
      <c r="B2958" s="20"/>
      <c r="C2958" s="22"/>
      <c r="D2958" s="22"/>
      <c r="E2958" s="24"/>
      <c r="F2958" s="22"/>
      <c r="H2958" s="21">
        <v>46078</v>
      </c>
      <c r="I2958" s="22" t="s">
        <v>70</v>
      </c>
      <c r="J2958" s="22" t="s">
        <v>47</v>
      </c>
      <c r="K2958" s="24">
        <v>7</v>
      </c>
      <c r="M2958" s="21"/>
      <c r="N2958" s="22"/>
      <c r="O2958" s="22"/>
      <c r="P2958" s="49"/>
      <c r="Q2958" s="49"/>
      <c r="R2958" s="188" t="str">
        <f t="shared" si="97"/>
        <v/>
      </c>
      <c r="T2958" s="21"/>
      <c r="U2958" s="22"/>
      <c r="V2958" s="24"/>
      <c r="W2958" s="24"/>
      <c r="X2958" s="24"/>
      <c r="Y2958" s="24"/>
      <c r="Z2958" s="20" t="str">
        <f t="shared" si="96"/>
        <v/>
      </c>
    </row>
    <row r="2959" spans="1:26" x14ac:dyDescent="0.2">
      <c r="A2959" s="21"/>
      <c r="B2959" s="20"/>
      <c r="C2959" s="22"/>
      <c r="D2959" s="22"/>
      <c r="E2959" s="24"/>
      <c r="F2959" s="22"/>
      <c r="H2959" s="21">
        <v>46078</v>
      </c>
      <c r="I2959" s="22" t="s">
        <v>70</v>
      </c>
      <c r="J2959" s="22" t="s">
        <v>41</v>
      </c>
      <c r="K2959" s="24">
        <v>3</v>
      </c>
      <c r="M2959" s="21"/>
      <c r="N2959" s="22"/>
      <c r="O2959" s="22"/>
      <c r="P2959" s="49"/>
      <c r="Q2959" s="49"/>
      <c r="R2959" s="188" t="str">
        <f t="shared" si="97"/>
        <v/>
      </c>
      <c r="T2959" s="21"/>
      <c r="U2959" s="22"/>
      <c r="V2959" s="24"/>
      <c r="W2959" s="24"/>
      <c r="X2959" s="24"/>
      <c r="Y2959" s="24"/>
      <c r="Z2959" s="20" t="str">
        <f t="shared" si="96"/>
        <v/>
      </c>
    </row>
    <row r="2960" spans="1:26" x14ac:dyDescent="0.2">
      <c r="A2960" s="21"/>
      <c r="B2960" s="20"/>
      <c r="C2960" s="22"/>
      <c r="D2960" s="22"/>
      <c r="E2960" s="24"/>
      <c r="F2960" s="22"/>
      <c r="H2960" s="21">
        <v>46078</v>
      </c>
      <c r="I2960" s="22" t="s">
        <v>70</v>
      </c>
      <c r="J2960" s="22" t="s">
        <v>58</v>
      </c>
      <c r="K2960" s="24">
        <v>7</v>
      </c>
      <c r="M2960" s="21"/>
      <c r="N2960" s="22"/>
      <c r="O2960" s="22"/>
      <c r="P2960" s="49"/>
      <c r="Q2960" s="49"/>
      <c r="R2960" s="188" t="str">
        <f t="shared" si="97"/>
        <v/>
      </c>
      <c r="T2960" s="21"/>
      <c r="U2960" s="22"/>
      <c r="V2960" s="24"/>
      <c r="W2960" s="24"/>
      <c r="X2960" s="24"/>
      <c r="Y2960" s="24"/>
      <c r="Z2960" s="20" t="str">
        <f t="shared" si="96"/>
        <v/>
      </c>
    </row>
    <row r="2961" spans="1:26" x14ac:dyDescent="0.2">
      <c r="A2961" s="21"/>
      <c r="B2961" s="20"/>
      <c r="C2961" s="22"/>
      <c r="D2961" s="22"/>
      <c r="E2961" s="24"/>
      <c r="F2961" s="22"/>
      <c r="H2961" s="21">
        <v>46078</v>
      </c>
      <c r="I2961" s="22" t="s">
        <v>70</v>
      </c>
      <c r="J2961" s="22" t="s">
        <v>49</v>
      </c>
      <c r="K2961" s="24">
        <v>8</v>
      </c>
      <c r="M2961" s="21"/>
      <c r="N2961" s="22"/>
      <c r="O2961" s="22"/>
      <c r="P2961" s="49"/>
      <c r="Q2961" s="49"/>
      <c r="R2961" s="188" t="str">
        <f t="shared" si="97"/>
        <v/>
      </c>
      <c r="T2961" s="21"/>
      <c r="U2961" s="22"/>
      <c r="V2961" s="24"/>
      <c r="W2961" s="24"/>
      <c r="X2961" s="24"/>
      <c r="Y2961" s="24"/>
      <c r="Z2961" s="20" t="str">
        <f t="shared" si="96"/>
        <v/>
      </c>
    </row>
    <row r="2962" spans="1:26" x14ac:dyDescent="0.2">
      <c r="A2962" s="21"/>
      <c r="B2962" s="20"/>
      <c r="C2962" s="22"/>
      <c r="D2962" s="22"/>
      <c r="E2962" s="24"/>
      <c r="F2962" s="22"/>
      <c r="H2962" s="21">
        <v>46078</v>
      </c>
      <c r="I2962" s="22" t="s">
        <v>70</v>
      </c>
      <c r="J2962" s="22" t="s">
        <v>50</v>
      </c>
      <c r="K2962" s="24">
        <v>7</v>
      </c>
      <c r="M2962" s="21"/>
      <c r="N2962" s="22"/>
      <c r="O2962" s="22"/>
      <c r="P2962" s="49"/>
      <c r="Q2962" s="49"/>
      <c r="R2962" s="188" t="str">
        <f t="shared" si="97"/>
        <v/>
      </c>
      <c r="T2962" s="21"/>
      <c r="U2962" s="22"/>
      <c r="V2962" s="24"/>
      <c r="W2962" s="24"/>
      <c r="X2962" s="24"/>
      <c r="Y2962" s="24"/>
      <c r="Z2962" s="20" t="str">
        <f t="shared" si="96"/>
        <v/>
      </c>
    </row>
    <row r="2963" spans="1:26" x14ac:dyDescent="0.2">
      <c r="A2963" s="21"/>
      <c r="B2963" s="20"/>
      <c r="C2963" s="22"/>
      <c r="D2963" s="22"/>
      <c r="E2963" s="24"/>
      <c r="F2963" s="22"/>
      <c r="H2963" s="21">
        <v>46078</v>
      </c>
      <c r="I2963" s="22" t="s">
        <v>70</v>
      </c>
      <c r="J2963" s="22" t="s">
        <v>51</v>
      </c>
      <c r="K2963" s="24">
        <v>7</v>
      </c>
      <c r="M2963" s="21"/>
      <c r="N2963" s="22"/>
      <c r="O2963" s="22"/>
      <c r="P2963" s="49"/>
      <c r="Q2963" s="49"/>
      <c r="R2963" s="188" t="str">
        <f t="shared" si="97"/>
        <v/>
      </c>
      <c r="T2963" s="21"/>
      <c r="U2963" s="22"/>
      <c r="V2963" s="24"/>
      <c r="W2963" s="24"/>
      <c r="X2963" s="24"/>
      <c r="Y2963" s="24"/>
      <c r="Z2963" s="20" t="str">
        <f t="shared" ref="Z2963:Z3026" si="98">IF(COUNT(V2963:Y2963)=0,"",SUM(V2963:Y2963))</f>
        <v/>
      </c>
    </row>
    <row r="2964" spans="1:26" x14ac:dyDescent="0.2">
      <c r="A2964" s="21"/>
      <c r="B2964" s="20"/>
      <c r="C2964" s="22"/>
      <c r="D2964" s="22"/>
      <c r="E2964" s="24"/>
      <c r="F2964" s="22"/>
      <c r="H2964" s="21">
        <v>46078</v>
      </c>
      <c r="I2964" s="22" t="s">
        <v>70</v>
      </c>
      <c r="J2964" s="22" t="s">
        <v>46</v>
      </c>
      <c r="K2964" s="24">
        <v>8</v>
      </c>
      <c r="M2964" s="21"/>
      <c r="N2964" s="22"/>
      <c r="O2964" s="22"/>
      <c r="P2964" s="49"/>
      <c r="Q2964" s="49"/>
      <c r="R2964" s="188" t="str">
        <f t="shared" si="97"/>
        <v/>
      </c>
      <c r="T2964" s="21"/>
      <c r="U2964" s="22"/>
      <c r="V2964" s="24"/>
      <c r="W2964" s="24"/>
      <c r="X2964" s="24"/>
      <c r="Y2964" s="24"/>
      <c r="Z2964" s="20" t="str">
        <f t="shared" si="98"/>
        <v/>
      </c>
    </row>
    <row r="2965" spans="1:26" x14ac:dyDescent="0.2">
      <c r="A2965" s="21"/>
      <c r="B2965" s="20"/>
      <c r="C2965" s="22"/>
      <c r="D2965" s="22"/>
      <c r="E2965" s="24"/>
      <c r="F2965" s="22"/>
      <c r="H2965" s="21">
        <v>46078</v>
      </c>
      <c r="I2965" s="22" t="s">
        <v>70</v>
      </c>
      <c r="J2965" s="22" t="s">
        <v>48</v>
      </c>
      <c r="K2965" s="24">
        <v>8</v>
      </c>
      <c r="M2965" s="21"/>
      <c r="N2965" s="22"/>
      <c r="O2965" s="22"/>
      <c r="P2965" s="49"/>
      <c r="Q2965" s="49"/>
      <c r="R2965" s="188" t="str">
        <f t="shared" si="97"/>
        <v/>
      </c>
      <c r="T2965" s="21"/>
      <c r="U2965" s="22"/>
      <c r="V2965" s="24"/>
      <c r="W2965" s="24"/>
      <c r="X2965" s="24"/>
      <c r="Y2965" s="24"/>
      <c r="Z2965" s="20" t="str">
        <f t="shared" si="98"/>
        <v/>
      </c>
    </row>
    <row r="2966" spans="1:26" x14ac:dyDescent="0.2">
      <c r="A2966" s="21"/>
      <c r="B2966" s="20"/>
      <c r="C2966" s="22"/>
      <c r="D2966" s="22"/>
      <c r="E2966" s="24"/>
      <c r="F2966" s="22"/>
      <c r="H2966" s="21">
        <v>46079</v>
      </c>
      <c r="I2966" s="22" t="s">
        <v>70</v>
      </c>
      <c r="J2966" s="22" t="s">
        <v>52</v>
      </c>
      <c r="K2966" s="24">
        <v>6</v>
      </c>
      <c r="M2966" s="21"/>
      <c r="N2966" s="22"/>
      <c r="O2966" s="22"/>
      <c r="P2966" s="49"/>
      <c r="Q2966" s="49"/>
      <c r="R2966" s="188" t="str">
        <f t="shared" ref="R2966:R3029" si="99">IF(OR(P2966="",Q2966=""),"",IFERROR(P2966-Q2966,""))</f>
        <v/>
      </c>
      <c r="T2966" s="21"/>
      <c r="U2966" s="22"/>
      <c r="V2966" s="24"/>
      <c r="W2966" s="24"/>
      <c r="X2966" s="24"/>
      <c r="Y2966" s="24"/>
      <c r="Z2966" s="20" t="str">
        <f t="shared" si="98"/>
        <v/>
      </c>
    </row>
    <row r="2967" spans="1:26" x14ac:dyDescent="0.2">
      <c r="A2967" s="21"/>
      <c r="B2967" s="20"/>
      <c r="C2967" s="22"/>
      <c r="D2967" s="22"/>
      <c r="E2967" s="24"/>
      <c r="F2967" s="22"/>
      <c r="H2967" s="21">
        <v>46079</v>
      </c>
      <c r="I2967" s="22" t="s">
        <v>70</v>
      </c>
      <c r="J2967" s="22" t="s">
        <v>53</v>
      </c>
      <c r="K2967" s="24">
        <v>6</v>
      </c>
      <c r="M2967" s="21"/>
      <c r="N2967" s="22"/>
      <c r="O2967" s="22"/>
      <c r="P2967" s="49"/>
      <c r="Q2967" s="49"/>
      <c r="R2967" s="188" t="str">
        <f t="shared" si="99"/>
        <v/>
      </c>
      <c r="T2967" s="21"/>
      <c r="U2967" s="22"/>
      <c r="V2967" s="24"/>
      <c r="W2967" s="24"/>
      <c r="X2967" s="24"/>
      <c r="Y2967" s="24"/>
      <c r="Z2967" s="20" t="str">
        <f t="shared" si="98"/>
        <v/>
      </c>
    </row>
    <row r="2968" spans="1:26" x14ac:dyDescent="0.2">
      <c r="A2968" s="21"/>
      <c r="B2968" s="20"/>
      <c r="C2968" s="22"/>
      <c r="D2968" s="22"/>
      <c r="E2968" s="24"/>
      <c r="F2968" s="22"/>
      <c r="H2968" s="21">
        <v>46079</v>
      </c>
      <c r="I2968" s="22" t="s">
        <v>70</v>
      </c>
      <c r="J2968" s="22" t="s">
        <v>44</v>
      </c>
      <c r="K2968" s="24">
        <v>4</v>
      </c>
      <c r="M2968" s="21"/>
      <c r="N2968" s="22"/>
      <c r="O2968" s="22"/>
      <c r="P2968" s="49"/>
      <c r="Q2968" s="49"/>
      <c r="R2968" s="188" t="str">
        <f t="shared" si="99"/>
        <v/>
      </c>
      <c r="T2968" s="21"/>
      <c r="U2968" s="22"/>
      <c r="V2968" s="24"/>
      <c r="W2968" s="24"/>
      <c r="X2968" s="24"/>
      <c r="Y2968" s="24"/>
      <c r="Z2968" s="20" t="str">
        <f t="shared" si="98"/>
        <v/>
      </c>
    </row>
    <row r="2969" spans="1:26" x14ac:dyDescent="0.2">
      <c r="A2969" s="21"/>
      <c r="B2969" s="20"/>
      <c r="C2969" s="22"/>
      <c r="D2969" s="22"/>
      <c r="E2969" s="24"/>
      <c r="F2969" s="22"/>
      <c r="H2969" s="21">
        <v>46079</v>
      </c>
      <c r="I2969" s="22" t="s">
        <v>70</v>
      </c>
      <c r="J2969" s="22" t="s">
        <v>45</v>
      </c>
      <c r="K2969" s="24">
        <v>7</v>
      </c>
      <c r="M2969" s="21"/>
      <c r="N2969" s="22"/>
      <c r="O2969" s="22"/>
      <c r="P2969" s="49"/>
      <c r="Q2969" s="49"/>
      <c r="R2969" s="188" t="str">
        <f t="shared" si="99"/>
        <v/>
      </c>
      <c r="T2969" s="21"/>
      <c r="U2969" s="22"/>
      <c r="V2969" s="24"/>
      <c r="W2969" s="24"/>
      <c r="X2969" s="24"/>
      <c r="Y2969" s="24"/>
      <c r="Z2969" s="20" t="str">
        <f t="shared" si="98"/>
        <v/>
      </c>
    </row>
    <row r="2970" spans="1:26" x14ac:dyDescent="0.2">
      <c r="A2970" s="21"/>
      <c r="B2970" s="20"/>
      <c r="C2970" s="22"/>
      <c r="D2970" s="22"/>
      <c r="E2970" s="24"/>
      <c r="F2970" s="22"/>
      <c r="H2970" s="21">
        <v>46079</v>
      </c>
      <c r="I2970" s="22" t="s">
        <v>70</v>
      </c>
      <c r="J2970" s="22" t="s">
        <v>57</v>
      </c>
      <c r="K2970" s="24">
        <v>8</v>
      </c>
      <c r="M2970" s="21"/>
      <c r="N2970" s="22"/>
      <c r="O2970" s="22"/>
      <c r="P2970" s="49"/>
      <c r="Q2970" s="49"/>
      <c r="R2970" s="188" t="str">
        <f t="shared" si="99"/>
        <v/>
      </c>
      <c r="T2970" s="21"/>
      <c r="U2970" s="22"/>
      <c r="V2970" s="24"/>
      <c r="W2970" s="24"/>
      <c r="X2970" s="24"/>
      <c r="Y2970" s="24"/>
      <c r="Z2970" s="20" t="str">
        <f t="shared" si="98"/>
        <v/>
      </c>
    </row>
    <row r="2971" spans="1:26" x14ac:dyDescent="0.2">
      <c r="A2971" s="21"/>
      <c r="B2971" s="20"/>
      <c r="C2971" s="22"/>
      <c r="D2971" s="22"/>
      <c r="E2971" s="24"/>
      <c r="F2971" s="22"/>
      <c r="H2971" s="21">
        <v>46079</v>
      </c>
      <c r="I2971" s="22" t="s">
        <v>70</v>
      </c>
      <c r="J2971" s="22" t="s">
        <v>42</v>
      </c>
      <c r="K2971" s="24">
        <v>4</v>
      </c>
      <c r="M2971" s="21"/>
      <c r="N2971" s="22"/>
      <c r="O2971" s="22"/>
      <c r="P2971" s="49"/>
      <c r="Q2971" s="49"/>
      <c r="R2971" s="188" t="str">
        <f t="shared" si="99"/>
        <v/>
      </c>
      <c r="T2971" s="21"/>
      <c r="U2971" s="22"/>
      <c r="V2971" s="24"/>
      <c r="W2971" s="24"/>
      <c r="X2971" s="24"/>
      <c r="Y2971" s="24"/>
      <c r="Z2971" s="20" t="str">
        <f t="shared" si="98"/>
        <v/>
      </c>
    </row>
    <row r="2972" spans="1:26" x14ac:dyDescent="0.2">
      <c r="A2972" s="21"/>
      <c r="B2972" s="20"/>
      <c r="C2972" s="22"/>
      <c r="D2972" s="22"/>
      <c r="E2972" s="24"/>
      <c r="F2972" s="22"/>
      <c r="H2972" s="21">
        <v>46079</v>
      </c>
      <c r="I2972" s="22" t="s">
        <v>70</v>
      </c>
      <c r="J2972" s="22" t="s">
        <v>47</v>
      </c>
      <c r="K2972" s="24">
        <v>4</v>
      </c>
      <c r="M2972" s="21"/>
      <c r="N2972" s="22"/>
      <c r="O2972" s="22"/>
      <c r="P2972" s="49"/>
      <c r="Q2972" s="49"/>
      <c r="R2972" s="188" t="str">
        <f t="shared" si="99"/>
        <v/>
      </c>
      <c r="T2972" s="21"/>
      <c r="U2972" s="22"/>
      <c r="V2972" s="24"/>
      <c r="W2972" s="24"/>
      <c r="X2972" s="24"/>
      <c r="Y2972" s="24"/>
      <c r="Z2972" s="20" t="str">
        <f t="shared" si="98"/>
        <v/>
      </c>
    </row>
    <row r="2973" spans="1:26" x14ac:dyDescent="0.2">
      <c r="A2973" s="21"/>
      <c r="B2973" s="20"/>
      <c r="C2973" s="22"/>
      <c r="D2973" s="22"/>
      <c r="E2973" s="24"/>
      <c r="F2973" s="22"/>
      <c r="H2973" s="21">
        <v>46079</v>
      </c>
      <c r="I2973" s="22" t="s">
        <v>70</v>
      </c>
      <c r="J2973" s="22" t="s">
        <v>41</v>
      </c>
      <c r="K2973" s="24">
        <v>5</v>
      </c>
      <c r="M2973" s="21"/>
      <c r="N2973" s="22"/>
      <c r="O2973" s="22"/>
      <c r="P2973" s="49"/>
      <c r="Q2973" s="49"/>
      <c r="R2973" s="188" t="str">
        <f t="shared" si="99"/>
        <v/>
      </c>
      <c r="T2973" s="21"/>
      <c r="U2973" s="22"/>
      <c r="V2973" s="24"/>
      <c r="W2973" s="24"/>
      <c r="X2973" s="24"/>
      <c r="Y2973" s="24"/>
      <c r="Z2973" s="20" t="str">
        <f t="shared" si="98"/>
        <v/>
      </c>
    </row>
    <row r="2974" spans="1:26" x14ac:dyDescent="0.2">
      <c r="A2974" s="21"/>
      <c r="B2974" s="20"/>
      <c r="C2974" s="22"/>
      <c r="D2974" s="22"/>
      <c r="E2974" s="24"/>
      <c r="F2974" s="22"/>
      <c r="H2974" s="21">
        <v>46079</v>
      </c>
      <c r="I2974" s="22" t="s">
        <v>70</v>
      </c>
      <c r="J2974" s="22" t="s">
        <v>58</v>
      </c>
      <c r="K2974" s="24">
        <v>9</v>
      </c>
      <c r="M2974" s="21"/>
      <c r="N2974" s="22"/>
      <c r="O2974" s="22"/>
      <c r="P2974" s="49"/>
      <c r="Q2974" s="49"/>
      <c r="R2974" s="188" t="str">
        <f t="shared" si="99"/>
        <v/>
      </c>
      <c r="T2974" s="21"/>
      <c r="U2974" s="22"/>
      <c r="V2974" s="24"/>
      <c r="W2974" s="24"/>
      <c r="X2974" s="24"/>
      <c r="Y2974" s="24"/>
      <c r="Z2974" s="20" t="str">
        <f t="shared" si="98"/>
        <v/>
      </c>
    </row>
    <row r="2975" spans="1:26" x14ac:dyDescent="0.2">
      <c r="A2975" s="21"/>
      <c r="B2975" s="20"/>
      <c r="C2975" s="22"/>
      <c r="D2975" s="22"/>
      <c r="E2975" s="24"/>
      <c r="F2975" s="22"/>
      <c r="H2975" s="21">
        <v>46079</v>
      </c>
      <c r="I2975" s="22" t="s">
        <v>70</v>
      </c>
      <c r="J2975" s="22" t="s">
        <v>49</v>
      </c>
      <c r="K2975" s="24">
        <v>7</v>
      </c>
      <c r="M2975" s="21"/>
      <c r="N2975" s="22"/>
      <c r="O2975" s="22"/>
      <c r="P2975" s="49"/>
      <c r="Q2975" s="49"/>
      <c r="R2975" s="188" t="str">
        <f t="shared" si="99"/>
        <v/>
      </c>
      <c r="T2975" s="21"/>
      <c r="U2975" s="22"/>
      <c r="V2975" s="24"/>
      <c r="W2975" s="24"/>
      <c r="X2975" s="24"/>
      <c r="Y2975" s="24"/>
      <c r="Z2975" s="20" t="str">
        <f t="shared" si="98"/>
        <v/>
      </c>
    </row>
    <row r="2976" spans="1:26" x14ac:dyDescent="0.2">
      <c r="A2976" s="21"/>
      <c r="B2976" s="20"/>
      <c r="C2976" s="22"/>
      <c r="D2976" s="22"/>
      <c r="E2976" s="24"/>
      <c r="F2976" s="22"/>
      <c r="H2976" s="21">
        <v>46079</v>
      </c>
      <c r="I2976" s="22" t="s">
        <v>70</v>
      </c>
      <c r="J2976" s="22" t="s">
        <v>50</v>
      </c>
      <c r="K2976" s="24">
        <v>7</v>
      </c>
      <c r="M2976" s="21"/>
      <c r="N2976" s="22"/>
      <c r="O2976" s="22"/>
      <c r="P2976" s="49"/>
      <c r="Q2976" s="49"/>
      <c r="R2976" s="188" t="str">
        <f t="shared" si="99"/>
        <v/>
      </c>
      <c r="T2976" s="21"/>
      <c r="U2976" s="22"/>
      <c r="V2976" s="24"/>
      <c r="W2976" s="24"/>
      <c r="X2976" s="24"/>
      <c r="Y2976" s="24"/>
      <c r="Z2976" s="20" t="str">
        <f t="shared" si="98"/>
        <v/>
      </c>
    </row>
    <row r="2977" spans="1:26" x14ac:dyDescent="0.2">
      <c r="A2977" s="21"/>
      <c r="B2977" s="20"/>
      <c r="C2977" s="22"/>
      <c r="D2977" s="22"/>
      <c r="E2977" s="24"/>
      <c r="F2977" s="22"/>
      <c r="H2977" s="21">
        <v>46079</v>
      </c>
      <c r="I2977" s="22" t="s">
        <v>70</v>
      </c>
      <c r="J2977" s="22" t="s">
        <v>51</v>
      </c>
      <c r="K2977" s="24">
        <v>7</v>
      </c>
      <c r="M2977" s="21"/>
      <c r="N2977" s="22"/>
      <c r="O2977" s="22"/>
      <c r="P2977" s="49"/>
      <c r="Q2977" s="49"/>
      <c r="R2977" s="188" t="str">
        <f t="shared" si="99"/>
        <v/>
      </c>
      <c r="T2977" s="21"/>
      <c r="U2977" s="22"/>
      <c r="V2977" s="24"/>
      <c r="W2977" s="24"/>
      <c r="X2977" s="24"/>
      <c r="Y2977" s="24"/>
      <c r="Z2977" s="20" t="str">
        <f t="shared" si="98"/>
        <v/>
      </c>
    </row>
    <row r="2978" spans="1:26" x14ac:dyDescent="0.2">
      <c r="A2978" s="21"/>
      <c r="B2978" s="20"/>
      <c r="C2978" s="22"/>
      <c r="D2978" s="22"/>
      <c r="E2978" s="24"/>
      <c r="F2978" s="22"/>
      <c r="H2978" s="21">
        <v>46079</v>
      </c>
      <c r="I2978" s="22" t="s">
        <v>70</v>
      </c>
      <c r="J2978" s="22" t="s">
        <v>46</v>
      </c>
      <c r="K2978" s="24">
        <v>7</v>
      </c>
      <c r="M2978" s="21"/>
      <c r="N2978" s="22"/>
      <c r="O2978" s="22"/>
      <c r="P2978" s="49"/>
      <c r="Q2978" s="49"/>
      <c r="R2978" s="188" t="str">
        <f t="shared" si="99"/>
        <v/>
      </c>
      <c r="T2978" s="21"/>
      <c r="U2978" s="22"/>
      <c r="V2978" s="24"/>
      <c r="W2978" s="24"/>
      <c r="X2978" s="24"/>
      <c r="Y2978" s="24"/>
      <c r="Z2978" s="20" t="str">
        <f t="shared" si="98"/>
        <v/>
      </c>
    </row>
    <row r="2979" spans="1:26" x14ac:dyDescent="0.2">
      <c r="A2979" s="21"/>
      <c r="B2979" s="20"/>
      <c r="C2979" s="22"/>
      <c r="D2979" s="22"/>
      <c r="E2979" s="24"/>
      <c r="F2979" s="22"/>
      <c r="H2979" s="21">
        <v>46079</v>
      </c>
      <c r="I2979" s="22" t="s">
        <v>70</v>
      </c>
      <c r="J2979" s="22" t="s">
        <v>48</v>
      </c>
      <c r="K2979" s="24">
        <v>5</v>
      </c>
      <c r="M2979" s="21"/>
      <c r="N2979" s="22"/>
      <c r="O2979" s="22"/>
      <c r="P2979" s="49"/>
      <c r="Q2979" s="49"/>
      <c r="R2979" s="188" t="str">
        <f t="shared" si="99"/>
        <v/>
      </c>
      <c r="T2979" s="21"/>
      <c r="U2979" s="22"/>
      <c r="V2979" s="24"/>
      <c r="W2979" s="24"/>
      <c r="X2979" s="24"/>
      <c r="Y2979" s="24"/>
      <c r="Z2979" s="20" t="str">
        <f t="shared" si="98"/>
        <v/>
      </c>
    </row>
    <row r="2980" spans="1:26" x14ac:dyDescent="0.2">
      <c r="A2980" s="21"/>
      <c r="B2980" s="20"/>
      <c r="C2980" s="22"/>
      <c r="D2980" s="22"/>
      <c r="E2980" s="24"/>
      <c r="F2980" s="22"/>
      <c r="H2980" s="21">
        <v>46080</v>
      </c>
      <c r="I2980" s="22" t="s">
        <v>70</v>
      </c>
      <c r="J2980" s="22" t="s">
        <v>52</v>
      </c>
      <c r="K2980" s="24">
        <v>5</v>
      </c>
      <c r="M2980" s="21"/>
      <c r="N2980" s="22"/>
      <c r="O2980" s="22"/>
      <c r="P2980" s="49"/>
      <c r="Q2980" s="49"/>
      <c r="R2980" s="188" t="str">
        <f t="shared" si="99"/>
        <v/>
      </c>
      <c r="T2980" s="21"/>
      <c r="U2980" s="22"/>
      <c r="V2980" s="24"/>
      <c r="W2980" s="24"/>
      <c r="X2980" s="24"/>
      <c r="Y2980" s="24"/>
      <c r="Z2980" s="20" t="str">
        <f t="shared" si="98"/>
        <v/>
      </c>
    </row>
    <row r="2981" spans="1:26" x14ac:dyDescent="0.2">
      <c r="A2981" s="21"/>
      <c r="B2981" s="20"/>
      <c r="C2981" s="22"/>
      <c r="D2981" s="22"/>
      <c r="E2981" s="24"/>
      <c r="F2981" s="22"/>
      <c r="H2981" s="21">
        <v>46080</v>
      </c>
      <c r="I2981" s="22" t="s">
        <v>70</v>
      </c>
      <c r="J2981" s="22" t="s">
        <v>53</v>
      </c>
      <c r="K2981" s="24">
        <v>5</v>
      </c>
      <c r="M2981" s="21"/>
      <c r="N2981" s="22"/>
      <c r="O2981" s="22"/>
      <c r="P2981" s="49"/>
      <c r="Q2981" s="49"/>
      <c r="R2981" s="188" t="str">
        <f t="shared" si="99"/>
        <v/>
      </c>
      <c r="T2981" s="21"/>
      <c r="U2981" s="22"/>
      <c r="V2981" s="24"/>
      <c r="W2981" s="24"/>
      <c r="X2981" s="24"/>
      <c r="Y2981" s="24"/>
      <c r="Z2981" s="20" t="str">
        <f t="shared" si="98"/>
        <v/>
      </c>
    </row>
    <row r="2982" spans="1:26" x14ac:dyDescent="0.2">
      <c r="A2982" s="21"/>
      <c r="B2982" s="20"/>
      <c r="C2982" s="22"/>
      <c r="D2982" s="22"/>
      <c r="E2982" s="24"/>
      <c r="F2982" s="22"/>
      <c r="H2982" s="21">
        <v>46080</v>
      </c>
      <c r="I2982" s="22" t="s">
        <v>70</v>
      </c>
      <c r="J2982" s="22" t="s">
        <v>44</v>
      </c>
      <c r="K2982" s="24">
        <v>5</v>
      </c>
      <c r="M2982" s="21"/>
      <c r="N2982" s="22"/>
      <c r="O2982" s="22"/>
      <c r="P2982" s="49"/>
      <c r="Q2982" s="49"/>
      <c r="R2982" s="188" t="str">
        <f t="shared" si="99"/>
        <v/>
      </c>
      <c r="T2982" s="21"/>
      <c r="U2982" s="22"/>
      <c r="V2982" s="24"/>
      <c r="W2982" s="24"/>
      <c r="X2982" s="24"/>
      <c r="Y2982" s="24"/>
      <c r="Z2982" s="20" t="str">
        <f t="shared" si="98"/>
        <v/>
      </c>
    </row>
    <row r="2983" spans="1:26" x14ac:dyDescent="0.2">
      <c r="A2983" s="21"/>
      <c r="B2983" s="20"/>
      <c r="C2983" s="22"/>
      <c r="D2983" s="22"/>
      <c r="E2983" s="24"/>
      <c r="F2983" s="22"/>
      <c r="H2983" s="21">
        <v>46080</v>
      </c>
      <c r="I2983" s="22" t="s">
        <v>70</v>
      </c>
      <c r="J2983" s="22" t="s">
        <v>45</v>
      </c>
      <c r="K2983" s="24">
        <v>5</v>
      </c>
      <c r="M2983" s="21"/>
      <c r="N2983" s="22"/>
      <c r="O2983" s="22"/>
      <c r="P2983" s="49"/>
      <c r="Q2983" s="49"/>
      <c r="R2983" s="188" t="str">
        <f t="shared" si="99"/>
        <v/>
      </c>
      <c r="T2983" s="21"/>
      <c r="U2983" s="22"/>
      <c r="V2983" s="24"/>
      <c r="W2983" s="24"/>
      <c r="X2983" s="24"/>
      <c r="Y2983" s="24"/>
      <c r="Z2983" s="20" t="str">
        <f t="shared" si="98"/>
        <v/>
      </c>
    </row>
    <row r="2984" spans="1:26" x14ac:dyDescent="0.2">
      <c r="A2984" s="21"/>
      <c r="B2984" s="20"/>
      <c r="C2984" s="22"/>
      <c r="D2984" s="22"/>
      <c r="E2984" s="24"/>
      <c r="F2984" s="22"/>
      <c r="H2984" s="21">
        <v>46080</v>
      </c>
      <c r="I2984" s="22" t="s">
        <v>70</v>
      </c>
      <c r="J2984" s="22" t="s">
        <v>57</v>
      </c>
      <c r="K2984" s="24">
        <v>7</v>
      </c>
      <c r="M2984" s="21"/>
      <c r="N2984" s="22"/>
      <c r="O2984" s="22"/>
      <c r="P2984" s="49"/>
      <c r="Q2984" s="49"/>
      <c r="R2984" s="188" t="str">
        <f t="shared" si="99"/>
        <v/>
      </c>
      <c r="T2984" s="21"/>
      <c r="U2984" s="22"/>
      <c r="V2984" s="24"/>
      <c r="W2984" s="24"/>
      <c r="X2984" s="24"/>
      <c r="Y2984" s="24"/>
      <c r="Z2984" s="20" t="str">
        <f t="shared" si="98"/>
        <v/>
      </c>
    </row>
    <row r="2985" spans="1:26" x14ac:dyDescent="0.2">
      <c r="A2985" s="21"/>
      <c r="B2985" s="20"/>
      <c r="C2985" s="22"/>
      <c r="D2985" s="22"/>
      <c r="E2985" s="24"/>
      <c r="F2985" s="22"/>
      <c r="H2985" s="21">
        <v>46080</v>
      </c>
      <c r="I2985" s="22" t="s">
        <v>70</v>
      </c>
      <c r="J2985" s="22" t="s">
        <v>42</v>
      </c>
      <c r="K2985" s="24">
        <v>2</v>
      </c>
      <c r="M2985" s="21"/>
      <c r="N2985" s="22"/>
      <c r="O2985" s="22"/>
      <c r="P2985" s="49"/>
      <c r="Q2985" s="49"/>
      <c r="R2985" s="188" t="str">
        <f t="shared" si="99"/>
        <v/>
      </c>
      <c r="T2985" s="21"/>
      <c r="U2985" s="22"/>
      <c r="V2985" s="24"/>
      <c r="W2985" s="24"/>
      <c r="X2985" s="24"/>
      <c r="Y2985" s="24"/>
      <c r="Z2985" s="20" t="str">
        <f t="shared" si="98"/>
        <v/>
      </c>
    </row>
    <row r="2986" spans="1:26" x14ac:dyDescent="0.2">
      <c r="A2986" s="21"/>
      <c r="B2986" s="20"/>
      <c r="C2986" s="22"/>
      <c r="D2986" s="22"/>
      <c r="E2986" s="24"/>
      <c r="F2986" s="22"/>
      <c r="H2986" s="21">
        <v>46080</v>
      </c>
      <c r="I2986" s="22" t="s">
        <v>70</v>
      </c>
      <c r="J2986" s="22" t="s">
        <v>47</v>
      </c>
      <c r="K2986" s="24">
        <v>3</v>
      </c>
      <c r="M2986" s="21"/>
      <c r="N2986" s="22"/>
      <c r="O2986" s="22"/>
      <c r="P2986" s="49"/>
      <c r="Q2986" s="49"/>
      <c r="R2986" s="188" t="str">
        <f t="shared" si="99"/>
        <v/>
      </c>
      <c r="T2986" s="21"/>
      <c r="U2986" s="22"/>
      <c r="V2986" s="24"/>
      <c r="W2986" s="24"/>
      <c r="X2986" s="24"/>
      <c r="Y2986" s="24"/>
      <c r="Z2986" s="20" t="str">
        <f t="shared" si="98"/>
        <v/>
      </c>
    </row>
    <row r="2987" spans="1:26" x14ac:dyDescent="0.2">
      <c r="A2987" s="21"/>
      <c r="B2987" s="20"/>
      <c r="C2987" s="22"/>
      <c r="D2987" s="22"/>
      <c r="E2987" s="24"/>
      <c r="F2987" s="22"/>
      <c r="H2987" s="21">
        <v>46080</v>
      </c>
      <c r="I2987" s="22" t="s">
        <v>70</v>
      </c>
      <c r="J2987" s="22" t="s">
        <v>41</v>
      </c>
      <c r="K2987" s="24">
        <v>1</v>
      </c>
      <c r="M2987" s="21"/>
      <c r="N2987" s="22"/>
      <c r="O2987" s="22"/>
      <c r="P2987" s="49"/>
      <c r="Q2987" s="49"/>
      <c r="R2987" s="188" t="str">
        <f t="shared" si="99"/>
        <v/>
      </c>
      <c r="T2987" s="21"/>
      <c r="U2987" s="22"/>
      <c r="V2987" s="24"/>
      <c r="W2987" s="24"/>
      <c r="X2987" s="24"/>
      <c r="Y2987" s="24"/>
      <c r="Z2987" s="20" t="str">
        <f t="shared" si="98"/>
        <v/>
      </c>
    </row>
    <row r="2988" spans="1:26" x14ac:dyDescent="0.2">
      <c r="A2988" s="21"/>
      <c r="B2988" s="20"/>
      <c r="C2988" s="22"/>
      <c r="D2988" s="22"/>
      <c r="E2988" s="24"/>
      <c r="F2988" s="22"/>
      <c r="H2988" s="21">
        <v>46080</v>
      </c>
      <c r="I2988" s="22" t="s">
        <v>70</v>
      </c>
      <c r="J2988" s="22" t="s">
        <v>58</v>
      </c>
      <c r="K2988" s="24">
        <v>7</v>
      </c>
      <c r="M2988" s="21"/>
      <c r="N2988" s="22"/>
      <c r="O2988" s="22"/>
      <c r="P2988" s="49"/>
      <c r="Q2988" s="49"/>
      <c r="R2988" s="188" t="str">
        <f t="shared" si="99"/>
        <v/>
      </c>
      <c r="T2988" s="21"/>
      <c r="U2988" s="22"/>
      <c r="V2988" s="24"/>
      <c r="W2988" s="24"/>
      <c r="X2988" s="24"/>
      <c r="Y2988" s="24"/>
      <c r="Z2988" s="20" t="str">
        <f t="shared" si="98"/>
        <v/>
      </c>
    </row>
    <row r="2989" spans="1:26" x14ac:dyDescent="0.2">
      <c r="A2989" s="21"/>
      <c r="B2989" s="20"/>
      <c r="C2989" s="22"/>
      <c r="D2989" s="22"/>
      <c r="E2989" s="24"/>
      <c r="F2989" s="22"/>
      <c r="H2989" s="21">
        <v>46080</v>
      </c>
      <c r="I2989" s="22" t="s">
        <v>70</v>
      </c>
      <c r="J2989" s="22" t="s">
        <v>49</v>
      </c>
      <c r="K2989" s="24">
        <v>5</v>
      </c>
      <c r="M2989" s="21"/>
      <c r="N2989" s="22"/>
      <c r="O2989" s="22"/>
      <c r="P2989" s="49"/>
      <c r="Q2989" s="49"/>
      <c r="R2989" s="188" t="str">
        <f t="shared" si="99"/>
        <v/>
      </c>
      <c r="T2989" s="21"/>
      <c r="U2989" s="22"/>
      <c r="V2989" s="24"/>
      <c r="W2989" s="24"/>
      <c r="X2989" s="24"/>
      <c r="Y2989" s="24"/>
      <c r="Z2989" s="20" t="str">
        <f t="shared" si="98"/>
        <v/>
      </c>
    </row>
    <row r="2990" spans="1:26" x14ac:dyDescent="0.2">
      <c r="A2990" s="21"/>
      <c r="B2990" s="20"/>
      <c r="C2990" s="22"/>
      <c r="D2990" s="22"/>
      <c r="E2990" s="24"/>
      <c r="F2990" s="22"/>
      <c r="H2990" s="21">
        <v>46080</v>
      </c>
      <c r="I2990" s="22" t="s">
        <v>70</v>
      </c>
      <c r="J2990" s="22" t="s">
        <v>50</v>
      </c>
      <c r="K2990" s="24">
        <v>8</v>
      </c>
      <c r="M2990" s="21"/>
      <c r="N2990" s="22"/>
      <c r="O2990" s="22"/>
      <c r="P2990" s="49"/>
      <c r="Q2990" s="49"/>
      <c r="R2990" s="188" t="str">
        <f t="shared" si="99"/>
        <v/>
      </c>
      <c r="T2990" s="21"/>
      <c r="U2990" s="22"/>
      <c r="V2990" s="24"/>
      <c r="W2990" s="24"/>
      <c r="X2990" s="24"/>
      <c r="Y2990" s="24"/>
      <c r="Z2990" s="20" t="str">
        <f t="shared" si="98"/>
        <v/>
      </c>
    </row>
    <row r="2991" spans="1:26" x14ac:dyDescent="0.2">
      <c r="A2991" s="21"/>
      <c r="B2991" s="20"/>
      <c r="C2991" s="22"/>
      <c r="D2991" s="22"/>
      <c r="E2991" s="24"/>
      <c r="F2991" s="22"/>
      <c r="H2991" s="21">
        <v>46080</v>
      </c>
      <c r="I2991" s="22" t="s">
        <v>70</v>
      </c>
      <c r="J2991" s="22" t="s">
        <v>51</v>
      </c>
      <c r="K2991" s="24">
        <v>4</v>
      </c>
      <c r="M2991" s="21"/>
      <c r="N2991" s="22"/>
      <c r="O2991" s="22"/>
      <c r="P2991" s="49"/>
      <c r="Q2991" s="49"/>
      <c r="R2991" s="188" t="str">
        <f t="shared" si="99"/>
        <v/>
      </c>
      <c r="T2991" s="21"/>
      <c r="U2991" s="22"/>
      <c r="V2991" s="24"/>
      <c r="W2991" s="24"/>
      <c r="X2991" s="24"/>
      <c r="Y2991" s="24"/>
      <c r="Z2991" s="20" t="str">
        <f t="shared" si="98"/>
        <v/>
      </c>
    </row>
    <row r="2992" spans="1:26" x14ac:dyDescent="0.2">
      <c r="A2992" s="21"/>
      <c r="B2992" s="20"/>
      <c r="C2992" s="22"/>
      <c r="D2992" s="22"/>
      <c r="E2992" s="24"/>
      <c r="F2992" s="22"/>
      <c r="H2992" s="21">
        <v>46080</v>
      </c>
      <c r="I2992" s="22" t="s">
        <v>70</v>
      </c>
      <c r="J2992" s="22" t="s">
        <v>46</v>
      </c>
      <c r="K2992" s="24">
        <v>4</v>
      </c>
      <c r="M2992" s="21"/>
      <c r="N2992" s="22"/>
      <c r="O2992" s="22"/>
      <c r="P2992" s="49"/>
      <c r="Q2992" s="49"/>
      <c r="R2992" s="188" t="str">
        <f t="shared" si="99"/>
        <v/>
      </c>
      <c r="T2992" s="21"/>
      <c r="U2992" s="22"/>
      <c r="V2992" s="24"/>
      <c r="W2992" s="24"/>
      <c r="X2992" s="24"/>
      <c r="Y2992" s="24"/>
      <c r="Z2992" s="20" t="str">
        <f t="shared" si="98"/>
        <v/>
      </c>
    </row>
    <row r="2993" spans="1:26" x14ac:dyDescent="0.2">
      <c r="A2993" s="21"/>
      <c r="B2993" s="20"/>
      <c r="C2993" s="22"/>
      <c r="D2993" s="22"/>
      <c r="E2993" s="24"/>
      <c r="F2993" s="22"/>
      <c r="H2993" s="21">
        <v>46080</v>
      </c>
      <c r="I2993" s="22" t="s">
        <v>70</v>
      </c>
      <c r="J2993" s="22" t="s">
        <v>48</v>
      </c>
      <c r="K2993" s="24">
        <v>4</v>
      </c>
      <c r="M2993" s="21"/>
      <c r="N2993" s="22"/>
      <c r="O2993" s="22"/>
      <c r="P2993" s="49"/>
      <c r="Q2993" s="49"/>
      <c r="R2993" s="188" t="str">
        <f t="shared" si="99"/>
        <v/>
      </c>
      <c r="T2993" s="21"/>
      <c r="U2993" s="22"/>
      <c r="V2993" s="24"/>
      <c r="W2993" s="24"/>
      <c r="X2993" s="24"/>
      <c r="Y2993" s="24"/>
      <c r="Z2993" s="20" t="str">
        <f t="shared" si="98"/>
        <v/>
      </c>
    </row>
    <row r="2994" spans="1:26" x14ac:dyDescent="0.2">
      <c r="A2994" s="21"/>
      <c r="B2994" s="20"/>
      <c r="C2994" s="22"/>
      <c r="D2994" s="22"/>
      <c r="E2994" s="24"/>
      <c r="F2994" s="22"/>
      <c r="H2994" s="21">
        <v>46081</v>
      </c>
      <c r="I2994" s="22" t="s">
        <v>70</v>
      </c>
      <c r="J2994" s="22" t="s">
        <v>52</v>
      </c>
      <c r="K2994" s="24">
        <v>4</v>
      </c>
      <c r="M2994" s="21"/>
      <c r="N2994" s="22"/>
      <c r="O2994" s="22"/>
      <c r="P2994" s="49"/>
      <c r="Q2994" s="49"/>
      <c r="R2994" s="188" t="str">
        <f t="shared" si="99"/>
        <v/>
      </c>
      <c r="T2994" s="21"/>
      <c r="U2994" s="22"/>
      <c r="V2994" s="24"/>
      <c r="W2994" s="24"/>
      <c r="X2994" s="24"/>
      <c r="Y2994" s="24"/>
      <c r="Z2994" s="20" t="str">
        <f t="shared" si="98"/>
        <v/>
      </c>
    </row>
    <row r="2995" spans="1:26" x14ac:dyDescent="0.2">
      <c r="A2995" s="21"/>
      <c r="B2995" s="20"/>
      <c r="C2995" s="22"/>
      <c r="D2995" s="22"/>
      <c r="E2995" s="24"/>
      <c r="F2995" s="22"/>
      <c r="H2995" s="21">
        <v>46081</v>
      </c>
      <c r="I2995" s="22" t="s">
        <v>70</v>
      </c>
      <c r="J2995" s="22" t="s">
        <v>53</v>
      </c>
      <c r="K2995" s="24">
        <v>4</v>
      </c>
      <c r="M2995" s="21"/>
      <c r="N2995" s="22"/>
      <c r="O2995" s="22"/>
      <c r="P2995" s="49"/>
      <c r="Q2995" s="49"/>
      <c r="R2995" s="188" t="str">
        <f t="shared" si="99"/>
        <v/>
      </c>
      <c r="T2995" s="21"/>
      <c r="U2995" s="22"/>
      <c r="V2995" s="24"/>
      <c r="W2995" s="24"/>
      <c r="X2995" s="24"/>
      <c r="Y2995" s="24"/>
      <c r="Z2995" s="20" t="str">
        <f t="shared" si="98"/>
        <v/>
      </c>
    </row>
    <row r="2996" spans="1:26" x14ac:dyDescent="0.2">
      <c r="A2996" s="21"/>
      <c r="B2996" s="20"/>
      <c r="C2996" s="22"/>
      <c r="D2996" s="22"/>
      <c r="E2996" s="24"/>
      <c r="F2996" s="22"/>
      <c r="H2996" s="21">
        <v>46081</v>
      </c>
      <c r="I2996" s="22" t="s">
        <v>70</v>
      </c>
      <c r="J2996" s="22" t="s">
        <v>44</v>
      </c>
      <c r="K2996" s="24">
        <v>4</v>
      </c>
      <c r="M2996" s="21"/>
      <c r="N2996" s="22"/>
      <c r="O2996" s="22"/>
      <c r="P2996" s="49"/>
      <c r="Q2996" s="49"/>
      <c r="R2996" s="188" t="str">
        <f t="shared" si="99"/>
        <v/>
      </c>
      <c r="T2996" s="21"/>
      <c r="U2996" s="22"/>
      <c r="V2996" s="24"/>
      <c r="W2996" s="24"/>
      <c r="X2996" s="24"/>
      <c r="Y2996" s="24"/>
      <c r="Z2996" s="20" t="str">
        <f t="shared" si="98"/>
        <v/>
      </c>
    </row>
    <row r="2997" spans="1:26" x14ac:dyDescent="0.2">
      <c r="A2997" s="21"/>
      <c r="B2997" s="20"/>
      <c r="C2997" s="22"/>
      <c r="D2997" s="22"/>
      <c r="E2997" s="24"/>
      <c r="F2997" s="22"/>
      <c r="H2997" s="21">
        <v>46081</v>
      </c>
      <c r="I2997" s="22" t="s">
        <v>70</v>
      </c>
      <c r="J2997" s="22" t="s">
        <v>45</v>
      </c>
      <c r="K2997" s="24">
        <v>4</v>
      </c>
      <c r="M2997" s="21"/>
      <c r="N2997" s="22"/>
      <c r="O2997" s="22"/>
      <c r="P2997" s="49"/>
      <c r="Q2997" s="49"/>
      <c r="R2997" s="188" t="str">
        <f t="shared" si="99"/>
        <v/>
      </c>
      <c r="T2997" s="21"/>
      <c r="U2997" s="22"/>
      <c r="V2997" s="24"/>
      <c r="W2997" s="24"/>
      <c r="X2997" s="24"/>
      <c r="Y2997" s="24"/>
      <c r="Z2997" s="20" t="str">
        <f t="shared" si="98"/>
        <v/>
      </c>
    </row>
    <row r="2998" spans="1:26" x14ac:dyDescent="0.2">
      <c r="A2998" s="21"/>
      <c r="B2998" s="20"/>
      <c r="C2998" s="22"/>
      <c r="D2998" s="22"/>
      <c r="E2998" s="24"/>
      <c r="F2998" s="22"/>
      <c r="H2998" s="21">
        <v>46081</v>
      </c>
      <c r="I2998" s="22" t="s">
        <v>70</v>
      </c>
      <c r="J2998" s="22" t="s">
        <v>42</v>
      </c>
      <c r="K2998" s="24">
        <v>4</v>
      </c>
      <c r="M2998" s="21"/>
      <c r="N2998" s="22"/>
      <c r="O2998" s="22"/>
      <c r="P2998" s="49"/>
      <c r="Q2998" s="49"/>
      <c r="R2998" s="188" t="str">
        <f t="shared" si="99"/>
        <v/>
      </c>
      <c r="T2998" s="21"/>
      <c r="U2998" s="22"/>
      <c r="V2998" s="24"/>
      <c r="W2998" s="24"/>
      <c r="X2998" s="24"/>
      <c r="Y2998" s="24"/>
      <c r="Z2998" s="20" t="str">
        <f t="shared" si="98"/>
        <v/>
      </c>
    </row>
    <row r="2999" spans="1:26" x14ac:dyDescent="0.2">
      <c r="A2999" s="21"/>
      <c r="B2999" s="20"/>
      <c r="C2999" s="22"/>
      <c r="D2999" s="22"/>
      <c r="E2999" s="24"/>
      <c r="F2999" s="22"/>
      <c r="H2999" s="21">
        <v>46081</v>
      </c>
      <c r="I2999" s="22" t="s">
        <v>70</v>
      </c>
      <c r="J2999" s="22" t="s">
        <v>47</v>
      </c>
      <c r="K2999" s="24">
        <v>4</v>
      </c>
      <c r="M2999" s="21"/>
      <c r="N2999" s="22"/>
      <c r="O2999" s="22"/>
      <c r="P2999" s="49"/>
      <c r="Q2999" s="49"/>
      <c r="R2999" s="188" t="str">
        <f t="shared" si="99"/>
        <v/>
      </c>
      <c r="T2999" s="21"/>
      <c r="U2999" s="22"/>
      <c r="V2999" s="24"/>
      <c r="W2999" s="24"/>
      <c r="X2999" s="24"/>
      <c r="Y2999" s="24"/>
      <c r="Z2999" s="20" t="str">
        <f t="shared" si="98"/>
        <v/>
      </c>
    </row>
    <row r="3000" spans="1:26" x14ac:dyDescent="0.2">
      <c r="A3000" s="21"/>
      <c r="B3000" s="20"/>
      <c r="C3000" s="22"/>
      <c r="D3000" s="22"/>
      <c r="E3000" s="24"/>
      <c r="F3000" s="22"/>
      <c r="H3000" s="21">
        <v>46081</v>
      </c>
      <c r="I3000" s="22" t="s">
        <v>70</v>
      </c>
      <c r="J3000" s="22" t="s">
        <v>41</v>
      </c>
      <c r="K3000" s="24">
        <v>4</v>
      </c>
      <c r="M3000" s="21"/>
      <c r="N3000" s="22"/>
      <c r="O3000" s="22"/>
      <c r="P3000" s="49"/>
      <c r="Q3000" s="49"/>
      <c r="R3000" s="188" t="str">
        <f t="shared" si="99"/>
        <v/>
      </c>
      <c r="T3000" s="21"/>
      <c r="U3000" s="22"/>
      <c r="V3000" s="24"/>
      <c r="W3000" s="24"/>
      <c r="X3000" s="24"/>
      <c r="Y3000" s="24"/>
      <c r="Z3000" s="20" t="str">
        <f t="shared" si="98"/>
        <v/>
      </c>
    </row>
    <row r="3001" spans="1:26" x14ac:dyDescent="0.2">
      <c r="A3001" s="21"/>
      <c r="B3001" s="20"/>
      <c r="C3001" s="22"/>
      <c r="D3001" s="22"/>
      <c r="E3001" s="24"/>
      <c r="F3001" s="22"/>
      <c r="H3001" s="21">
        <v>46081</v>
      </c>
      <c r="I3001" s="22" t="s">
        <v>70</v>
      </c>
      <c r="J3001" s="22" t="s">
        <v>58</v>
      </c>
      <c r="K3001" s="24">
        <v>4</v>
      </c>
      <c r="M3001" s="21"/>
      <c r="N3001" s="22"/>
      <c r="O3001" s="22"/>
      <c r="P3001" s="49"/>
      <c r="Q3001" s="49"/>
      <c r="R3001" s="188" t="str">
        <f t="shared" si="99"/>
        <v/>
      </c>
      <c r="T3001" s="21"/>
      <c r="U3001" s="22"/>
      <c r="V3001" s="24"/>
      <c r="W3001" s="24"/>
      <c r="X3001" s="24"/>
      <c r="Y3001" s="24"/>
      <c r="Z3001" s="20" t="str">
        <f t="shared" si="98"/>
        <v/>
      </c>
    </row>
    <row r="3002" spans="1:26" x14ac:dyDescent="0.2">
      <c r="A3002" s="21"/>
      <c r="B3002" s="20"/>
      <c r="C3002" s="22"/>
      <c r="D3002" s="22"/>
      <c r="E3002" s="24"/>
      <c r="F3002" s="22"/>
      <c r="H3002" s="21">
        <v>46081</v>
      </c>
      <c r="I3002" s="22" t="s">
        <v>70</v>
      </c>
      <c r="J3002" s="22" t="s">
        <v>49</v>
      </c>
      <c r="K3002" s="24">
        <v>4</v>
      </c>
      <c r="M3002" s="21"/>
      <c r="N3002" s="22"/>
      <c r="O3002" s="22"/>
      <c r="P3002" s="49"/>
      <c r="Q3002" s="49"/>
      <c r="R3002" s="188" t="str">
        <f t="shared" si="99"/>
        <v/>
      </c>
      <c r="T3002" s="21"/>
      <c r="U3002" s="22"/>
      <c r="V3002" s="24"/>
      <c r="W3002" s="24"/>
      <c r="X3002" s="24"/>
      <c r="Y3002" s="24"/>
      <c r="Z3002" s="20" t="str">
        <f t="shared" si="98"/>
        <v/>
      </c>
    </row>
    <row r="3003" spans="1:26" x14ac:dyDescent="0.2">
      <c r="A3003" s="21"/>
      <c r="B3003" s="20"/>
      <c r="C3003" s="22"/>
      <c r="D3003" s="22"/>
      <c r="E3003" s="24"/>
      <c r="F3003" s="22"/>
      <c r="H3003" s="21">
        <v>46081</v>
      </c>
      <c r="I3003" s="22" t="s">
        <v>70</v>
      </c>
      <c r="J3003" s="22" t="s">
        <v>50</v>
      </c>
      <c r="K3003" s="24">
        <v>4</v>
      </c>
      <c r="M3003" s="21"/>
      <c r="N3003" s="22"/>
      <c r="O3003" s="22"/>
      <c r="P3003" s="49"/>
      <c r="Q3003" s="49"/>
      <c r="R3003" s="188" t="str">
        <f t="shared" si="99"/>
        <v/>
      </c>
      <c r="T3003" s="21"/>
      <c r="U3003" s="22"/>
      <c r="V3003" s="24"/>
      <c r="W3003" s="24"/>
      <c r="X3003" s="24"/>
      <c r="Y3003" s="24"/>
      <c r="Z3003" s="20" t="str">
        <f t="shared" si="98"/>
        <v/>
      </c>
    </row>
    <row r="3004" spans="1:26" x14ac:dyDescent="0.2">
      <c r="A3004" s="21"/>
      <c r="B3004" s="20"/>
      <c r="C3004" s="22"/>
      <c r="D3004" s="22"/>
      <c r="E3004" s="24"/>
      <c r="F3004" s="22"/>
      <c r="H3004" s="21">
        <v>46081</v>
      </c>
      <c r="I3004" s="22" t="s">
        <v>70</v>
      </c>
      <c r="J3004" s="22" t="s">
        <v>51</v>
      </c>
      <c r="K3004" s="24">
        <v>4</v>
      </c>
      <c r="M3004" s="21"/>
      <c r="N3004" s="22"/>
      <c r="O3004" s="22"/>
      <c r="P3004" s="49"/>
      <c r="Q3004" s="49"/>
      <c r="R3004" s="188" t="str">
        <f t="shared" si="99"/>
        <v/>
      </c>
      <c r="T3004" s="21"/>
      <c r="U3004" s="22"/>
      <c r="V3004" s="24"/>
      <c r="W3004" s="24"/>
      <c r="X3004" s="24"/>
      <c r="Y3004" s="24"/>
      <c r="Z3004" s="20" t="str">
        <f t="shared" si="98"/>
        <v/>
      </c>
    </row>
    <row r="3005" spans="1:26" x14ac:dyDescent="0.2">
      <c r="A3005" s="21"/>
      <c r="B3005" s="20"/>
      <c r="C3005" s="22"/>
      <c r="D3005" s="22"/>
      <c r="E3005" s="24"/>
      <c r="F3005" s="22"/>
      <c r="H3005" s="21">
        <v>46081</v>
      </c>
      <c r="I3005" s="22" t="s">
        <v>70</v>
      </c>
      <c r="J3005" s="22" t="s">
        <v>46</v>
      </c>
      <c r="K3005" s="24">
        <v>4</v>
      </c>
      <c r="M3005" s="21"/>
      <c r="N3005" s="22"/>
      <c r="O3005" s="22"/>
      <c r="P3005" s="49"/>
      <c r="Q3005" s="49"/>
      <c r="R3005" s="188" t="str">
        <f t="shared" si="99"/>
        <v/>
      </c>
      <c r="T3005" s="21"/>
      <c r="U3005" s="22"/>
      <c r="V3005" s="24"/>
      <c r="W3005" s="24"/>
      <c r="X3005" s="24"/>
      <c r="Y3005" s="24"/>
      <c r="Z3005" s="20" t="str">
        <f t="shared" si="98"/>
        <v/>
      </c>
    </row>
    <row r="3006" spans="1:26" x14ac:dyDescent="0.2">
      <c r="A3006" s="21"/>
      <c r="B3006" s="20"/>
      <c r="C3006" s="22"/>
      <c r="D3006" s="22"/>
      <c r="E3006" s="24"/>
      <c r="F3006" s="22"/>
      <c r="H3006" s="21">
        <v>46081</v>
      </c>
      <c r="I3006" s="22" t="s">
        <v>70</v>
      </c>
      <c r="J3006" s="22" t="s">
        <v>48</v>
      </c>
      <c r="K3006" s="24">
        <v>4</v>
      </c>
      <c r="M3006" s="21"/>
      <c r="N3006" s="22"/>
      <c r="O3006" s="22"/>
      <c r="P3006" s="49"/>
      <c r="Q3006" s="49"/>
      <c r="R3006" s="188" t="str">
        <f t="shared" si="99"/>
        <v/>
      </c>
      <c r="T3006" s="21"/>
      <c r="U3006" s="22"/>
      <c r="V3006" s="24"/>
      <c r="W3006" s="24"/>
      <c r="X3006" s="24"/>
      <c r="Y3006" s="24"/>
      <c r="Z3006" s="20" t="str">
        <f t="shared" si="98"/>
        <v/>
      </c>
    </row>
    <row r="3007" spans="1:26" x14ac:dyDescent="0.2">
      <c r="A3007" s="21"/>
      <c r="B3007" s="20"/>
      <c r="C3007" s="22"/>
      <c r="D3007" s="22"/>
      <c r="E3007" s="24"/>
      <c r="F3007" s="22"/>
      <c r="H3007" s="21">
        <v>46082</v>
      </c>
      <c r="I3007" s="22" t="s">
        <v>70</v>
      </c>
      <c r="J3007" s="22" t="s">
        <v>52</v>
      </c>
      <c r="K3007" s="24" t="s">
        <v>63</v>
      </c>
      <c r="M3007" s="21"/>
      <c r="N3007" s="22"/>
      <c r="O3007" s="22"/>
      <c r="P3007" s="49"/>
      <c r="Q3007" s="49"/>
      <c r="R3007" s="188" t="str">
        <f t="shared" si="99"/>
        <v/>
      </c>
      <c r="T3007" s="21"/>
      <c r="U3007" s="22"/>
      <c r="V3007" s="24"/>
      <c r="W3007" s="24"/>
      <c r="X3007" s="24"/>
      <c r="Y3007" s="24"/>
      <c r="Z3007" s="20" t="str">
        <f t="shared" si="98"/>
        <v/>
      </c>
    </row>
    <row r="3008" spans="1:26" x14ac:dyDescent="0.2">
      <c r="A3008" s="21"/>
      <c r="B3008" s="20"/>
      <c r="C3008" s="22"/>
      <c r="D3008" s="22"/>
      <c r="E3008" s="24"/>
      <c r="F3008" s="22"/>
      <c r="H3008" s="21">
        <v>46082</v>
      </c>
      <c r="I3008" s="22" t="s">
        <v>70</v>
      </c>
      <c r="J3008" s="22" t="s">
        <v>53</v>
      </c>
      <c r="K3008" s="24">
        <v>7</v>
      </c>
      <c r="M3008" s="21"/>
      <c r="N3008" s="22"/>
      <c r="O3008" s="22"/>
      <c r="P3008" s="49"/>
      <c r="Q3008" s="49"/>
      <c r="R3008" s="188" t="str">
        <f t="shared" si="99"/>
        <v/>
      </c>
      <c r="T3008" s="21"/>
      <c r="U3008" s="22"/>
      <c r="V3008" s="24"/>
      <c r="W3008" s="24"/>
      <c r="X3008" s="24"/>
      <c r="Y3008" s="24"/>
      <c r="Z3008" s="20" t="str">
        <f t="shared" si="98"/>
        <v/>
      </c>
    </row>
    <row r="3009" spans="1:26" x14ac:dyDescent="0.2">
      <c r="A3009" s="21"/>
      <c r="B3009" s="20"/>
      <c r="C3009" s="22"/>
      <c r="D3009" s="22"/>
      <c r="E3009" s="24"/>
      <c r="F3009" s="22"/>
      <c r="H3009" s="21">
        <v>46082</v>
      </c>
      <c r="I3009" s="22" t="s">
        <v>70</v>
      </c>
      <c r="J3009" s="22" t="s">
        <v>44</v>
      </c>
      <c r="K3009" s="24">
        <v>8</v>
      </c>
      <c r="M3009" s="21"/>
      <c r="N3009" s="22"/>
      <c r="O3009" s="22"/>
      <c r="P3009" s="49"/>
      <c r="Q3009" s="49"/>
      <c r="R3009" s="188" t="str">
        <f t="shared" si="99"/>
        <v/>
      </c>
      <c r="T3009" s="21"/>
      <c r="U3009" s="22"/>
      <c r="V3009" s="24"/>
      <c r="W3009" s="24"/>
      <c r="X3009" s="24"/>
      <c r="Y3009" s="24"/>
      <c r="Z3009" s="20" t="str">
        <f t="shared" si="98"/>
        <v/>
      </c>
    </row>
    <row r="3010" spans="1:26" x14ac:dyDescent="0.2">
      <c r="A3010" s="21"/>
      <c r="B3010" s="20"/>
      <c r="C3010" s="22"/>
      <c r="D3010" s="22"/>
      <c r="E3010" s="24"/>
      <c r="F3010" s="22"/>
      <c r="H3010" s="21">
        <v>46082</v>
      </c>
      <c r="I3010" s="22" t="s">
        <v>70</v>
      </c>
      <c r="J3010" s="22" t="s">
        <v>45</v>
      </c>
      <c r="K3010" s="24">
        <v>7</v>
      </c>
      <c r="M3010" s="21"/>
      <c r="N3010" s="22"/>
      <c r="O3010" s="22"/>
      <c r="P3010" s="49"/>
      <c r="Q3010" s="49"/>
      <c r="R3010" s="188" t="str">
        <f t="shared" si="99"/>
        <v/>
      </c>
      <c r="T3010" s="21"/>
      <c r="U3010" s="22"/>
      <c r="V3010" s="24"/>
      <c r="W3010" s="24"/>
      <c r="X3010" s="24"/>
      <c r="Y3010" s="24"/>
      <c r="Z3010" s="20" t="str">
        <f t="shared" si="98"/>
        <v/>
      </c>
    </row>
    <row r="3011" spans="1:26" x14ac:dyDescent="0.2">
      <c r="A3011" s="21"/>
      <c r="B3011" s="20"/>
      <c r="C3011" s="22"/>
      <c r="D3011" s="22"/>
      <c r="E3011" s="24"/>
      <c r="F3011" s="22"/>
      <c r="H3011" s="21">
        <v>46082</v>
      </c>
      <c r="I3011" s="22" t="s">
        <v>70</v>
      </c>
      <c r="J3011" s="22" t="s">
        <v>57</v>
      </c>
      <c r="K3011" s="24" t="s">
        <v>63</v>
      </c>
      <c r="M3011" s="21"/>
      <c r="N3011" s="22"/>
      <c r="O3011" s="22"/>
      <c r="P3011" s="49"/>
      <c r="Q3011" s="49"/>
      <c r="R3011" s="188" t="str">
        <f t="shared" si="99"/>
        <v/>
      </c>
      <c r="T3011" s="21"/>
      <c r="U3011" s="22"/>
      <c r="V3011" s="24"/>
      <c r="W3011" s="24"/>
      <c r="X3011" s="24"/>
      <c r="Y3011" s="24"/>
      <c r="Z3011" s="20" t="str">
        <f t="shared" si="98"/>
        <v/>
      </c>
    </row>
    <row r="3012" spans="1:26" x14ac:dyDescent="0.2">
      <c r="A3012" s="21"/>
      <c r="B3012" s="20"/>
      <c r="C3012" s="22"/>
      <c r="D3012" s="22"/>
      <c r="E3012" s="24"/>
      <c r="F3012" s="22"/>
      <c r="H3012" s="21">
        <v>46082</v>
      </c>
      <c r="I3012" s="22" t="s">
        <v>70</v>
      </c>
      <c r="J3012" s="22" t="s">
        <v>42</v>
      </c>
      <c r="K3012" s="24" t="s">
        <v>63</v>
      </c>
      <c r="M3012" s="21"/>
      <c r="N3012" s="22"/>
      <c r="O3012" s="22"/>
      <c r="P3012" s="49"/>
      <c r="Q3012" s="49"/>
      <c r="R3012" s="188" t="str">
        <f t="shared" si="99"/>
        <v/>
      </c>
      <c r="T3012" s="21"/>
      <c r="U3012" s="22"/>
      <c r="V3012" s="24"/>
      <c r="W3012" s="24"/>
      <c r="X3012" s="24"/>
      <c r="Y3012" s="24"/>
      <c r="Z3012" s="20" t="str">
        <f t="shared" si="98"/>
        <v/>
      </c>
    </row>
    <row r="3013" spans="1:26" x14ac:dyDescent="0.2">
      <c r="A3013" s="21"/>
      <c r="B3013" s="20"/>
      <c r="C3013" s="22"/>
      <c r="D3013" s="22"/>
      <c r="E3013" s="24"/>
      <c r="F3013" s="22"/>
      <c r="H3013" s="21">
        <v>46082</v>
      </c>
      <c r="I3013" s="22" t="s">
        <v>70</v>
      </c>
      <c r="J3013" s="22" t="s">
        <v>47</v>
      </c>
      <c r="K3013" s="24">
        <v>7</v>
      </c>
      <c r="M3013" s="21"/>
      <c r="N3013" s="22"/>
      <c r="O3013" s="22"/>
      <c r="P3013" s="49"/>
      <c r="Q3013" s="49"/>
      <c r="R3013" s="188" t="str">
        <f t="shared" si="99"/>
        <v/>
      </c>
      <c r="T3013" s="21"/>
      <c r="U3013" s="22"/>
      <c r="V3013" s="24"/>
      <c r="W3013" s="24"/>
      <c r="X3013" s="24"/>
      <c r="Y3013" s="24"/>
      <c r="Z3013" s="20" t="str">
        <f t="shared" si="98"/>
        <v/>
      </c>
    </row>
    <row r="3014" spans="1:26" x14ac:dyDescent="0.2">
      <c r="A3014" s="21"/>
      <c r="B3014" s="20"/>
      <c r="C3014" s="22"/>
      <c r="D3014" s="22"/>
      <c r="E3014" s="24"/>
      <c r="F3014" s="22"/>
      <c r="H3014" s="21">
        <v>46082</v>
      </c>
      <c r="I3014" s="22" t="s">
        <v>70</v>
      </c>
      <c r="J3014" s="22" t="s">
        <v>41</v>
      </c>
      <c r="K3014" s="24">
        <v>8</v>
      </c>
      <c r="M3014" s="21"/>
      <c r="N3014" s="22"/>
      <c r="O3014" s="22"/>
      <c r="P3014" s="49"/>
      <c r="Q3014" s="49"/>
      <c r="R3014" s="188" t="str">
        <f t="shared" si="99"/>
        <v/>
      </c>
      <c r="T3014" s="21"/>
      <c r="U3014" s="22"/>
      <c r="V3014" s="24"/>
      <c r="W3014" s="24"/>
      <c r="X3014" s="24"/>
      <c r="Y3014" s="24"/>
      <c r="Z3014" s="20" t="str">
        <f t="shared" si="98"/>
        <v/>
      </c>
    </row>
    <row r="3015" spans="1:26" x14ac:dyDescent="0.2">
      <c r="A3015" s="21"/>
      <c r="B3015" s="20"/>
      <c r="C3015" s="22"/>
      <c r="D3015" s="22"/>
      <c r="E3015" s="24"/>
      <c r="F3015" s="22"/>
      <c r="H3015" s="21">
        <v>46082</v>
      </c>
      <c r="I3015" s="22" t="s">
        <v>70</v>
      </c>
      <c r="J3015" s="22" t="s">
        <v>58</v>
      </c>
      <c r="K3015" s="24" t="s">
        <v>63</v>
      </c>
      <c r="M3015" s="21"/>
      <c r="N3015" s="22"/>
      <c r="O3015" s="22"/>
      <c r="P3015" s="49"/>
      <c r="Q3015" s="49"/>
      <c r="R3015" s="188" t="str">
        <f t="shared" si="99"/>
        <v/>
      </c>
      <c r="T3015" s="21"/>
      <c r="U3015" s="22"/>
      <c r="V3015" s="24"/>
      <c r="W3015" s="24"/>
      <c r="X3015" s="24"/>
      <c r="Y3015" s="24"/>
      <c r="Z3015" s="20" t="str">
        <f t="shared" si="98"/>
        <v/>
      </c>
    </row>
    <row r="3016" spans="1:26" x14ac:dyDescent="0.2">
      <c r="A3016" s="21"/>
      <c r="B3016" s="20"/>
      <c r="C3016" s="22"/>
      <c r="D3016" s="22"/>
      <c r="E3016" s="24"/>
      <c r="F3016" s="22"/>
      <c r="H3016" s="21">
        <v>46082</v>
      </c>
      <c r="I3016" s="22" t="s">
        <v>70</v>
      </c>
      <c r="J3016" s="22" t="s">
        <v>49</v>
      </c>
      <c r="K3016" s="24">
        <v>10</v>
      </c>
      <c r="M3016" s="21"/>
      <c r="N3016" s="22"/>
      <c r="O3016" s="22"/>
      <c r="P3016" s="49"/>
      <c r="Q3016" s="49"/>
      <c r="R3016" s="188" t="str">
        <f t="shared" si="99"/>
        <v/>
      </c>
      <c r="T3016" s="21"/>
      <c r="U3016" s="22"/>
      <c r="V3016" s="24"/>
      <c r="W3016" s="24"/>
      <c r="X3016" s="24"/>
      <c r="Y3016" s="24"/>
      <c r="Z3016" s="20" t="str">
        <f t="shared" si="98"/>
        <v/>
      </c>
    </row>
    <row r="3017" spans="1:26" x14ac:dyDescent="0.2">
      <c r="A3017" s="21"/>
      <c r="B3017" s="20"/>
      <c r="C3017" s="22"/>
      <c r="D3017" s="22"/>
      <c r="E3017" s="24"/>
      <c r="F3017" s="22"/>
      <c r="H3017" s="21">
        <v>46082</v>
      </c>
      <c r="I3017" s="22" t="s">
        <v>70</v>
      </c>
      <c r="J3017" s="22" t="s">
        <v>50</v>
      </c>
      <c r="K3017" s="24">
        <v>7</v>
      </c>
      <c r="M3017" s="21"/>
      <c r="N3017" s="22"/>
      <c r="O3017" s="22"/>
      <c r="P3017" s="49"/>
      <c r="Q3017" s="49"/>
      <c r="R3017" s="188" t="str">
        <f t="shared" si="99"/>
        <v/>
      </c>
      <c r="T3017" s="21"/>
      <c r="U3017" s="22"/>
      <c r="V3017" s="24"/>
      <c r="W3017" s="24"/>
      <c r="X3017" s="24"/>
      <c r="Y3017" s="24"/>
      <c r="Z3017" s="20" t="str">
        <f t="shared" si="98"/>
        <v/>
      </c>
    </row>
    <row r="3018" spans="1:26" x14ac:dyDescent="0.2">
      <c r="A3018" s="21"/>
      <c r="B3018" s="20"/>
      <c r="C3018" s="22"/>
      <c r="D3018" s="22"/>
      <c r="E3018" s="24"/>
      <c r="F3018" s="22"/>
      <c r="H3018" s="21">
        <v>46082</v>
      </c>
      <c r="I3018" s="22" t="s">
        <v>70</v>
      </c>
      <c r="J3018" s="22" t="s">
        <v>51</v>
      </c>
      <c r="K3018" s="24">
        <v>2</v>
      </c>
      <c r="M3018" s="21"/>
      <c r="N3018" s="22"/>
      <c r="O3018" s="22"/>
      <c r="P3018" s="49"/>
      <c r="Q3018" s="49"/>
      <c r="R3018" s="188" t="str">
        <f t="shared" si="99"/>
        <v/>
      </c>
      <c r="T3018" s="21"/>
      <c r="U3018" s="22"/>
      <c r="V3018" s="24"/>
      <c r="W3018" s="24"/>
      <c r="X3018" s="24"/>
      <c r="Y3018" s="24"/>
      <c r="Z3018" s="20" t="str">
        <f t="shared" si="98"/>
        <v/>
      </c>
    </row>
    <row r="3019" spans="1:26" x14ac:dyDescent="0.2">
      <c r="A3019" s="21"/>
      <c r="B3019" s="20"/>
      <c r="C3019" s="22"/>
      <c r="D3019" s="22"/>
      <c r="E3019" s="24"/>
      <c r="F3019" s="22"/>
      <c r="H3019" s="21">
        <v>46082</v>
      </c>
      <c r="I3019" s="22" t="s">
        <v>70</v>
      </c>
      <c r="J3019" s="22" t="s">
        <v>46</v>
      </c>
      <c r="K3019" s="24">
        <v>10</v>
      </c>
      <c r="M3019" s="21"/>
      <c r="N3019" s="22"/>
      <c r="O3019" s="22"/>
      <c r="P3019" s="49"/>
      <c r="Q3019" s="49"/>
      <c r="R3019" s="188" t="str">
        <f t="shared" si="99"/>
        <v/>
      </c>
      <c r="T3019" s="21"/>
      <c r="U3019" s="22"/>
      <c r="V3019" s="24"/>
      <c r="W3019" s="24"/>
      <c r="X3019" s="24"/>
      <c r="Y3019" s="24"/>
      <c r="Z3019" s="20" t="str">
        <f t="shared" si="98"/>
        <v/>
      </c>
    </row>
    <row r="3020" spans="1:26" x14ac:dyDescent="0.2">
      <c r="A3020" s="21"/>
      <c r="B3020" s="20"/>
      <c r="C3020" s="22"/>
      <c r="D3020" s="22"/>
      <c r="E3020" s="24"/>
      <c r="F3020" s="22"/>
      <c r="H3020" s="21">
        <v>46082</v>
      </c>
      <c r="I3020" s="22" t="s">
        <v>70</v>
      </c>
      <c r="J3020" s="22" t="s">
        <v>48</v>
      </c>
      <c r="K3020" s="24">
        <v>8</v>
      </c>
      <c r="M3020" s="21"/>
      <c r="N3020" s="22"/>
      <c r="O3020" s="22"/>
      <c r="P3020" s="49"/>
      <c r="Q3020" s="49"/>
      <c r="R3020" s="188" t="str">
        <f t="shared" si="99"/>
        <v/>
      </c>
      <c r="T3020" s="21"/>
      <c r="U3020" s="22"/>
      <c r="V3020" s="24"/>
      <c r="W3020" s="24"/>
      <c r="X3020" s="24"/>
      <c r="Y3020" s="24"/>
      <c r="Z3020" s="20" t="str">
        <f t="shared" si="98"/>
        <v/>
      </c>
    </row>
    <row r="3021" spans="1:26" x14ac:dyDescent="0.2">
      <c r="A3021" s="21"/>
      <c r="B3021" s="20"/>
      <c r="C3021" s="22"/>
      <c r="D3021" s="22"/>
      <c r="E3021" s="24"/>
      <c r="F3021" s="22"/>
      <c r="H3021" s="21">
        <v>46084</v>
      </c>
      <c r="I3021" s="22" t="s">
        <v>70</v>
      </c>
      <c r="J3021" s="22" t="s">
        <v>52</v>
      </c>
      <c r="K3021" s="24" t="s">
        <v>61</v>
      </c>
      <c r="M3021" s="21"/>
      <c r="N3021" s="22"/>
      <c r="O3021" s="22"/>
      <c r="P3021" s="49"/>
      <c r="Q3021" s="49"/>
      <c r="R3021" s="188" t="str">
        <f t="shared" si="99"/>
        <v/>
      </c>
      <c r="T3021" s="21"/>
      <c r="U3021" s="22"/>
      <c r="V3021" s="24"/>
      <c r="W3021" s="24"/>
      <c r="X3021" s="24"/>
      <c r="Y3021" s="24"/>
      <c r="Z3021" s="20" t="str">
        <f t="shared" si="98"/>
        <v/>
      </c>
    </row>
    <row r="3022" spans="1:26" x14ac:dyDescent="0.2">
      <c r="A3022" s="21"/>
      <c r="B3022" s="20"/>
      <c r="C3022" s="22"/>
      <c r="D3022" s="22"/>
      <c r="E3022" s="24"/>
      <c r="F3022" s="22"/>
      <c r="H3022" s="21">
        <v>46084</v>
      </c>
      <c r="I3022" s="22" t="s">
        <v>70</v>
      </c>
      <c r="J3022" s="22" t="s">
        <v>53</v>
      </c>
      <c r="K3022" s="24">
        <v>8</v>
      </c>
      <c r="M3022" s="21"/>
      <c r="N3022" s="22"/>
      <c r="O3022" s="22"/>
      <c r="P3022" s="49"/>
      <c r="Q3022" s="49"/>
      <c r="R3022" s="188" t="str">
        <f t="shared" si="99"/>
        <v/>
      </c>
      <c r="T3022" s="21"/>
      <c r="U3022" s="22"/>
      <c r="V3022" s="24"/>
      <c r="W3022" s="24"/>
      <c r="X3022" s="24"/>
      <c r="Y3022" s="24"/>
      <c r="Z3022" s="20" t="str">
        <f t="shared" si="98"/>
        <v/>
      </c>
    </row>
    <row r="3023" spans="1:26" x14ac:dyDescent="0.2">
      <c r="A3023" s="21"/>
      <c r="B3023" s="20"/>
      <c r="C3023" s="22"/>
      <c r="D3023" s="22"/>
      <c r="E3023" s="24"/>
      <c r="F3023" s="22"/>
      <c r="H3023" s="21">
        <v>46084</v>
      </c>
      <c r="I3023" s="22" t="s">
        <v>70</v>
      </c>
      <c r="J3023" s="22" t="s">
        <v>44</v>
      </c>
      <c r="K3023" s="24">
        <v>8</v>
      </c>
      <c r="M3023" s="21"/>
      <c r="N3023" s="22"/>
      <c r="O3023" s="22"/>
      <c r="P3023" s="49"/>
      <c r="Q3023" s="49"/>
      <c r="R3023" s="188" t="str">
        <f t="shared" si="99"/>
        <v/>
      </c>
      <c r="T3023" s="21"/>
      <c r="U3023" s="22"/>
      <c r="V3023" s="24"/>
      <c r="W3023" s="24"/>
      <c r="X3023" s="24"/>
      <c r="Y3023" s="24"/>
      <c r="Z3023" s="20" t="str">
        <f t="shared" si="98"/>
        <v/>
      </c>
    </row>
    <row r="3024" spans="1:26" x14ac:dyDescent="0.2">
      <c r="A3024" s="21"/>
      <c r="B3024" s="20"/>
      <c r="C3024" s="22"/>
      <c r="D3024" s="22"/>
      <c r="E3024" s="24"/>
      <c r="F3024" s="22"/>
      <c r="H3024" s="21">
        <v>46084</v>
      </c>
      <c r="I3024" s="22" t="s">
        <v>70</v>
      </c>
      <c r="J3024" s="22" t="s">
        <v>45</v>
      </c>
      <c r="K3024" s="24">
        <v>9</v>
      </c>
      <c r="M3024" s="21"/>
      <c r="N3024" s="22"/>
      <c r="O3024" s="22"/>
      <c r="P3024" s="49"/>
      <c r="Q3024" s="49"/>
      <c r="R3024" s="188" t="str">
        <f t="shared" si="99"/>
        <v/>
      </c>
      <c r="T3024" s="21"/>
      <c r="U3024" s="22"/>
      <c r="V3024" s="24"/>
      <c r="W3024" s="24"/>
      <c r="X3024" s="24"/>
      <c r="Y3024" s="24"/>
      <c r="Z3024" s="20" t="str">
        <f t="shared" si="98"/>
        <v/>
      </c>
    </row>
    <row r="3025" spans="1:26" x14ac:dyDescent="0.2">
      <c r="A3025" s="21"/>
      <c r="B3025" s="20"/>
      <c r="C3025" s="22"/>
      <c r="D3025" s="22"/>
      <c r="E3025" s="24"/>
      <c r="F3025" s="22"/>
      <c r="H3025" s="21">
        <v>46084</v>
      </c>
      <c r="I3025" s="22" t="s">
        <v>70</v>
      </c>
      <c r="J3025" s="22" t="s">
        <v>57</v>
      </c>
      <c r="K3025" s="24">
        <v>8</v>
      </c>
      <c r="M3025" s="21"/>
      <c r="N3025" s="22"/>
      <c r="O3025" s="22"/>
      <c r="P3025" s="49"/>
      <c r="Q3025" s="49"/>
      <c r="R3025" s="188" t="str">
        <f t="shared" si="99"/>
        <v/>
      </c>
      <c r="T3025" s="21"/>
      <c r="U3025" s="22"/>
      <c r="V3025" s="24"/>
      <c r="W3025" s="24"/>
      <c r="X3025" s="24"/>
      <c r="Y3025" s="24"/>
      <c r="Z3025" s="20" t="str">
        <f t="shared" si="98"/>
        <v/>
      </c>
    </row>
    <row r="3026" spans="1:26" x14ac:dyDescent="0.2">
      <c r="A3026" s="21"/>
      <c r="B3026" s="20"/>
      <c r="C3026" s="22"/>
      <c r="D3026" s="22"/>
      <c r="E3026" s="24"/>
      <c r="F3026" s="22"/>
      <c r="H3026" s="21">
        <v>46084</v>
      </c>
      <c r="I3026" s="22" t="s">
        <v>70</v>
      </c>
      <c r="J3026" s="22" t="s">
        <v>42</v>
      </c>
      <c r="K3026" s="24">
        <v>1</v>
      </c>
      <c r="M3026" s="21"/>
      <c r="N3026" s="22"/>
      <c r="O3026" s="22"/>
      <c r="P3026" s="49"/>
      <c r="Q3026" s="49"/>
      <c r="R3026" s="188" t="str">
        <f t="shared" si="99"/>
        <v/>
      </c>
      <c r="T3026" s="21"/>
      <c r="U3026" s="22"/>
      <c r="V3026" s="24"/>
      <c r="W3026" s="24"/>
      <c r="X3026" s="24"/>
      <c r="Y3026" s="24"/>
      <c r="Z3026" s="20" t="str">
        <f t="shared" si="98"/>
        <v/>
      </c>
    </row>
    <row r="3027" spans="1:26" x14ac:dyDescent="0.2">
      <c r="A3027" s="21"/>
      <c r="B3027" s="20"/>
      <c r="C3027" s="22"/>
      <c r="D3027" s="22"/>
      <c r="E3027" s="24"/>
      <c r="F3027" s="22"/>
      <c r="H3027" s="21">
        <v>46084</v>
      </c>
      <c r="I3027" s="22" t="s">
        <v>70</v>
      </c>
      <c r="J3027" s="22" t="s">
        <v>47</v>
      </c>
      <c r="K3027" s="24">
        <v>7</v>
      </c>
      <c r="M3027" s="21"/>
      <c r="N3027" s="22"/>
      <c r="O3027" s="22"/>
      <c r="P3027" s="49"/>
      <c r="Q3027" s="49"/>
      <c r="R3027" s="188" t="str">
        <f t="shared" si="99"/>
        <v/>
      </c>
      <c r="T3027" s="21"/>
      <c r="U3027" s="22"/>
      <c r="V3027" s="24"/>
      <c r="W3027" s="24"/>
      <c r="X3027" s="24"/>
      <c r="Y3027" s="24"/>
      <c r="Z3027" s="20" t="str">
        <f t="shared" ref="Z3027:Z3090" si="100">IF(COUNT(V3027:Y3027)=0,"",SUM(V3027:Y3027))</f>
        <v/>
      </c>
    </row>
    <row r="3028" spans="1:26" x14ac:dyDescent="0.2">
      <c r="A3028" s="21"/>
      <c r="B3028" s="20"/>
      <c r="C3028" s="22"/>
      <c r="D3028" s="22"/>
      <c r="E3028" s="24"/>
      <c r="F3028" s="22"/>
      <c r="H3028" s="21">
        <v>46084</v>
      </c>
      <c r="I3028" s="22" t="s">
        <v>70</v>
      </c>
      <c r="J3028" s="22" t="s">
        <v>41</v>
      </c>
      <c r="K3028" s="24">
        <v>3</v>
      </c>
      <c r="M3028" s="21"/>
      <c r="N3028" s="22"/>
      <c r="O3028" s="22"/>
      <c r="P3028" s="49"/>
      <c r="Q3028" s="49"/>
      <c r="R3028" s="188" t="str">
        <f t="shared" si="99"/>
        <v/>
      </c>
      <c r="T3028" s="21"/>
      <c r="U3028" s="22"/>
      <c r="V3028" s="24"/>
      <c r="W3028" s="24"/>
      <c r="X3028" s="24"/>
      <c r="Y3028" s="24"/>
      <c r="Z3028" s="20" t="str">
        <f t="shared" si="100"/>
        <v/>
      </c>
    </row>
    <row r="3029" spans="1:26" x14ac:dyDescent="0.2">
      <c r="A3029" s="21"/>
      <c r="B3029" s="20"/>
      <c r="C3029" s="22"/>
      <c r="D3029" s="22"/>
      <c r="E3029" s="24"/>
      <c r="F3029" s="22"/>
      <c r="H3029" s="21">
        <v>46084</v>
      </c>
      <c r="I3029" s="22" t="s">
        <v>70</v>
      </c>
      <c r="J3029" s="22" t="s">
        <v>58</v>
      </c>
      <c r="K3029" s="24" t="s">
        <v>61</v>
      </c>
      <c r="M3029" s="21"/>
      <c r="N3029" s="22"/>
      <c r="O3029" s="22"/>
      <c r="P3029" s="49"/>
      <c r="Q3029" s="49"/>
      <c r="R3029" s="188" t="str">
        <f t="shared" si="99"/>
        <v/>
      </c>
      <c r="T3029" s="21"/>
      <c r="U3029" s="22"/>
      <c r="V3029" s="24"/>
      <c r="W3029" s="24"/>
      <c r="X3029" s="24"/>
      <c r="Y3029" s="24"/>
      <c r="Z3029" s="20" t="str">
        <f t="shared" si="100"/>
        <v/>
      </c>
    </row>
    <row r="3030" spans="1:26" x14ac:dyDescent="0.2">
      <c r="A3030" s="21"/>
      <c r="B3030" s="20"/>
      <c r="C3030" s="22"/>
      <c r="D3030" s="22"/>
      <c r="E3030" s="24"/>
      <c r="F3030" s="22"/>
      <c r="H3030" s="21">
        <v>46084</v>
      </c>
      <c r="I3030" s="22" t="s">
        <v>70</v>
      </c>
      <c r="J3030" s="22" t="s">
        <v>49</v>
      </c>
      <c r="K3030" s="24">
        <v>8</v>
      </c>
      <c r="M3030" s="21"/>
      <c r="N3030" s="22"/>
      <c r="O3030" s="22"/>
      <c r="P3030" s="49"/>
      <c r="Q3030" s="49"/>
      <c r="R3030" s="188" t="str">
        <f t="shared" ref="R3030:R3093" si="101">IF(OR(P3030="",Q3030=""),"",IFERROR(P3030-Q3030,""))</f>
        <v/>
      </c>
      <c r="T3030" s="21"/>
      <c r="U3030" s="22"/>
      <c r="V3030" s="24"/>
      <c r="W3030" s="24"/>
      <c r="X3030" s="24"/>
      <c r="Y3030" s="24"/>
      <c r="Z3030" s="20" t="str">
        <f t="shared" si="100"/>
        <v/>
      </c>
    </row>
    <row r="3031" spans="1:26" x14ac:dyDescent="0.2">
      <c r="A3031" s="21"/>
      <c r="B3031" s="20"/>
      <c r="C3031" s="22"/>
      <c r="D3031" s="22"/>
      <c r="E3031" s="24"/>
      <c r="F3031" s="22"/>
      <c r="H3031" s="21">
        <v>46084</v>
      </c>
      <c r="I3031" s="22" t="s">
        <v>70</v>
      </c>
      <c r="J3031" s="22" t="s">
        <v>50</v>
      </c>
      <c r="K3031" s="24">
        <v>8</v>
      </c>
      <c r="M3031" s="21"/>
      <c r="N3031" s="22"/>
      <c r="O3031" s="22"/>
      <c r="P3031" s="49"/>
      <c r="Q3031" s="49"/>
      <c r="R3031" s="188" t="str">
        <f t="shared" si="101"/>
        <v/>
      </c>
      <c r="T3031" s="21"/>
      <c r="U3031" s="22"/>
      <c r="V3031" s="24"/>
      <c r="W3031" s="24"/>
      <c r="X3031" s="24"/>
      <c r="Y3031" s="24"/>
      <c r="Z3031" s="20" t="str">
        <f t="shared" si="100"/>
        <v/>
      </c>
    </row>
    <row r="3032" spans="1:26" x14ac:dyDescent="0.2">
      <c r="A3032" s="21"/>
      <c r="B3032" s="20"/>
      <c r="C3032" s="22"/>
      <c r="D3032" s="22"/>
      <c r="E3032" s="24"/>
      <c r="F3032" s="22"/>
      <c r="H3032" s="21">
        <v>46084</v>
      </c>
      <c r="I3032" s="22" t="s">
        <v>70</v>
      </c>
      <c r="J3032" s="22" t="s">
        <v>51</v>
      </c>
      <c r="K3032" s="24">
        <v>8</v>
      </c>
      <c r="M3032" s="21"/>
      <c r="N3032" s="22"/>
      <c r="O3032" s="22"/>
      <c r="P3032" s="49"/>
      <c r="Q3032" s="49"/>
      <c r="R3032" s="188" t="str">
        <f t="shared" si="101"/>
        <v/>
      </c>
      <c r="T3032" s="21"/>
      <c r="U3032" s="22"/>
      <c r="V3032" s="24"/>
      <c r="W3032" s="24"/>
      <c r="X3032" s="24"/>
      <c r="Y3032" s="24"/>
      <c r="Z3032" s="20" t="str">
        <f t="shared" si="100"/>
        <v/>
      </c>
    </row>
    <row r="3033" spans="1:26" x14ac:dyDescent="0.2">
      <c r="A3033" s="21"/>
      <c r="B3033" s="20"/>
      <c r="C3033" s="22"/>
      <c r="D3033" s="22"/>
      <c r="E3033" s="24"/>
      <c r="F3033" s="22"/>
      <c r="H3033" s="21">
        <v>46084</v>
      </c>
      <c r="I3033" s="22" t="s">
        <v>70</v>
      </c>
      <c r="J3033" s="22" t="s">
        <v>46</v>
      </c>
      <c r="K3033" s="24">
        <v>9</v>
      </c>
      <c r="M3033" s="21"/>
      <c r="N3033" s="22"/>
      <c r="O3033" s="22"/>
      <c r="P3033" s="49"/>
      <c r="Q3033" s="49"/>
      <c r="R3033" s="188" t="str">
        <f t="shared" si="101"/>
        <v/>
      </c>
      <c r="T3033" s="21"/>
      <c r="U3033" s="22"/>
      <c r="V3033" s="24"/>
      <c r="W3033" s="24"/>
      <c r="X3033" s="24"/>
      <c r="Y3033" s="24"/>
      <c r="Z3033" s="20" t="str">
        <f t="shared" si="100"/>
        <v/>
      </c>
    </row>
    <row r="3034" spans="1:26" x14ac:dyDescent="0.2">
      <c r="A3034" s="21"/>
      <c r="B3034" s="20"/>
      <c r="C3034" s="22"/>
      <c r="D3034" s="22"/>
      <c r="E3034" s="24"/>
      <c r="F3034" s="22"/>
      <c r="H3034" s="21">
        <v>46084</v>
      </c>
      <c r="I3034" s="22" t="s">
        <v>70</v>
      </c>
      <c r="J3034" s="22" t="s">
        <v>48</v>
      </c>
      <c r="K3034" s="24">
        <v>8</v>
      </c>
      <c r="M3034" s="21"/>
      <c r="N3034" s="22"/>
      <c r="O3034" s="22"/>
      <c r="P3034" s="49"/>
      <c r="Q3034" s="49"/>
      <c r="R3034" s="188" t="str">
        <f t="shared" si="101"/>
        <v/>
      </c>
      <c r="T3034" s="21"/>
      <c r="U3034" s="22"/>
      <c r="V3034" s="24"/>
      <c r="W3034" s="24"/>
      <c r="X3034" s="24"/>
      <c r="Y3034" s="24"/>
      <c r="Z3034" s="20" t="str">
        <f t="shared" si="100"/>
        <v/>
      </c>
    </row>
    <row r="3035" spans="1:26" x14ac:dyDescent="0.2">
      <c r="A3035" s="21"/>
      <c r="B3035" s="20"/>
      <c r="C3035" s="22"/>
      <c r="D3035" s="22"/>
      <c r="E3035" s="24"/>
      <c r="F3035" s="22"/>
      <c r="H3035" s="21">
        <v>46085</v>
      </c>
      <c r="I3035" s="22" t="s">
        <v>70</v>
      </c>
      <c r="J3035" s="22" t="s">
        <v>52</v>
      </c>
      <c r="K3035" s="24" t="s">
        <v>61</v>
      </c>
      <c r="M3035" s="21"/>
      <c r="N3035" s="22"/>
      <c r="O3035" s="22"/>
      <c r="P3035" s="49"/>
      <c r="Q3035" s="49"/>
      <c r="R3035" s="188" t="str">
        <f t="shared" si="101"/>
        <v/>
      </c>
      <c r="T3035" s="21"/>
      <c r="U3035" s="22"/>
      <c r="V3035" s="24"/>
      <c r="W3035" s="24"/>
      <c r="X3035" s="24"/>
      <c r="Y3035" s="24"/>
      <c r="Z3035" s="20" t="str">
        <f t="shared" si="100"/>
        <v/>
      </c>
    </row>
    <row r="3036" spans="1:26" x14ac:dyDescent="0.2">
      <c r="A3036" s="21"/>
      <c r="B3036" s="20"/>
      <c r="C3036" s="22"/>
      <c r="D3036" s="22"/>
      <c r="E3036" s="24"/>
      <c r="F3036" s="22"/>
      <c r="H3036" s="21">
        <v>46085</v>
      </c>
      <c r="I3036" s="22" t="s">
        <v>70</v>
      </c>
      <c r="J3036" s="22" t="s">
        <v>53</v>
      </c>
      <c r="K3036" s="24">
        <v>6</v>
      </c>
      <c r="M3036" s="21"/>
      <c r="N3036" s="22"/>
      <c r="O3036" s="22"/>
      <c r="P3036" s="49"/>
      <c r="Q3036" s="49"/>
      <c r="R3036" s="188" t="str">
        <f t="shared" si="101"/>
        <v/>
      </c>
      <c r="T3036" s="21"/>
      <c r="U3036" s="22"/>
      <c r="V3036" s="24"/>
      <c r="W3036" s="24"/>
      <c r="X3036" s="24"/>
      <c r="Y3036" s="24"/>
      <c r="Z3036" s="20" t="str">
        <f t="shared" si="100"/>
        <v/>
      </c>
    </row>
    <row r="3037" spans="1:26" x14ac:dyDescent="0.2">
      <c r="A3037" s="21"/>
      <c r="B3037" s="20"/>
      <c r="C3037" s="22"/>
      <c r="D3037" s="22"/>
      <c r="E3037" s="24"/>
      <c r="F3037" s="22"/>
      <c r="H3037" s="21">
        <v>46085</v>
      </c>
      <c r="I3037" s="22" t="s">
        <v>70</v>
      </c>
      <c r="J3037" s="22" t="s">
        <v>44</v>
      </c>
      <c r="K3037" s="24">
        <v>6</v>
      </c>
      <c r="M3037" s="21"/>
      <c r="N3037" s="22"/>
      <c r="O3037" s="22"/>
      <c r="P3037" s="49"/>
      <c r="Q3037" s="49"/>
      <c r="R3037" s="188" t="str">
        <f t="shared" si="101"/>
        <v/>
      </c>
      <c r="T3037" s="21"/>
      <c r="U3037" s="22"/>
      <c r="V3037" s="24"/>
      <c r="W3037" s="24"/>
      <c r="X3037" s="24"/>
      <c r="Y3037" s="24"/>
      <c r="Z3037" s="20" t="str">
        <f t="shared" si="100"/>
        <v/>
      </c>
    </row>
    <row r="3038" spans="1:26" x14ac:dyDescent="0.2">
      <c r="A3038" s="21"/>
      <c r="B3038" s="20"/>
      <c r="C3038" s="22"/>
      <c r="D3038" s="22"/>
      <c r="E3038" s="24"/>
      <c r="F3038" s="22"/>
      <c r="H3038" s="21">
        <v>46085</v>
      </c>
      <c r="I3038" s="22" t="s">
        <v>70</v>
      </c>
      <c r="J3038" s="22" t="s">
        <v>45</v>
      </c>
      <c r="K3038" s="24">
        <v>7</v>
      </c>
      <c r="M3038" s="21"/>
      <c r="N3038" s="22"/>
      <c r="O3038" s="22"/>
      <c r="P3038" s="49"/>
      <c r="Q3038" s="49"/>
      <c r="R3038" s="188" t="str">
        <f t="shared" si="101"/>
        <v/>
      </c>
      <c r="T3038" s="21"/>
      <c r="U3038" s="22"/>
      <c r="V3038" s="24"/>
      <c r="W3038" s="24"/>
      <c r="X3038" s="24"/>
      <c r="Y3038" s="24"/>
      <c r="Z3038" s="20" t="str">
        <f t="shared" si="100"/>
        <v/>
      </c>
    </row>
    <row r="3039" spans="1:26" x14ac:dyDescent="0.2">
      <c r="A3039" s="21"/>
      <c r="B3039" s="20"/>
      <c r="C3039" s="22"/>
      <c r="D3039" s="22"/>
      <c r="E3039" s="24"/>
      <c r="F3039" s="22"/>
      <c r="H3039" s="21">
        <v>46085</v>
      </c>
      <c r="I3039" s="22" t="s">
        <v>70</v>
      </c>
      <c r="J3039" s="22" t="s">
        <v>57</v>
      </c>
      <c r="K3039" s="24">
        <v>6</v>
      </c>
      <c r="M3039" s="21"/>
      <c r="N3039" s="22"/>
      <c r="O3039" s="22"/>
      <c r="P3039" s="49"/>
      <c r="Q3039" s="49"/>
      <c r="R3039" s="188" t="str">
        <f t="shared" si="101"/>
        <v/>
      </c>
      <c r="T3039" s="21"/>
      <c r="U3039" s="22"/>
      <c r="V3039" s="24"/>
      <c r="W3039" s="24"/>
      <c r="X3039" s="24"/>
      <c r="Y3039" s="24"/>
      <c r="Z3039" s="20" t="str">
        <f t="shared" si="100"/>
        <v/>
      </c>
    </row>
    <row r="3040" spans="1:26" x14ac:dyDescent="0.2">
      <c r="A3040" s="21"/>
      <c r="B3040" s="20"/>
      <c r="C3040" s="22"/>
      <c r="D3040" s="22"/>
      <c r="E3040" s="24"/>
      <c r="F3040" s="22"/>
      <c r="H3040" s="21">
        <v>46085</v>
      </c>
      <c r="I3040" s="22" t="s">
        <v>70</v>
      </c>
      <c r="J3040" s="22" t="s">
        <v>42</v>
      </c>
      <c r="K3040" s="24">
        <v>1</v>
      </c>
      <c r="M3040" s="21"/>
      <c r="N3040" s="22"/>
      <c r="O3040" s="22"/>
      <c r="P3040" s="49"/>
      <c r="Q3040" s="49"/>
      <c r="R3040" s="188" t="str">
        <f t="shared" si="101"/>
        <v/>
      </c>
      <c r="T3040" s="21"/>
      <c r="U3040" s="22"/>
      <c r="V3040" s="24"/>
      <c r="W3040" s="24"/>
      <c r="X3040" s="24"/>
      <c r="Y3040" s="24"/>
      <c r="Z3040" s="20" t="str">
        <f t="shared" si="100"/>
        <v/>
      </c>
    </row>
    <row r="3041" spans="1:26" x14ac:dyDescent="0.2">
      <c r="A3041" s="21"/>
      <c r="B3041" s="20"/>
      <c r="C3041" s="22"/>
      <c r="D3041" s="22"/>
      <c r="E3041" s="24"/>
      <c r="F3041" s="22"/>
      <c r="H3041" s="21">
        <v>46085</v>
      </c>
      <c r="I3041" s="22" t="s">
        <v>70</v>
      </c>
      <c r="J3041" s="22" t="s">
        <v>47</v>
      </c>
      <c r="K3041" s="24">
        <v>7</v>
      </c>
      <c r="M3041" s="21"/>
      <c r="N3041" s="22"/>
      <c r="O3041" s="22"/>
      <c r="P3041" s="49"/>
      <c r="Q3041" s="49"/>
      <c r="R3041" s="188" t="str">
        <f t="shared" si="101"/>
        <v/>
      </c>
      <c r="T3041" s="21"/>
      <c r="U3041" s="22"/>
      <c r="V3041" s="24"/>
      <c r="W3041" s="24"/>
      <c r="X3041" s="24"/>
      <c r="Y3041" s="24"/>
      <c r="Z3041" s="20" t="str">
        <f t="shared" si="100"/>
        <v/>
      </c>
    </row>
    <row r="3042" spans="1:26" x14ac:dyDescent="0.2">
      <c r="A3042" s="21"/>
      <c r="B3042" s="20"/>
      <c r="C3042" s="22"/>
      <c r="D3042" s="22"/>
      <c r="E3042" s="24"/>
      <c r="F3042" s="22"/>
      <c r="H3042" s="21">
        <v>46085</v>
      </c>
      <c r="I3042" s="22" t="s">
        <v>70</v>
      </c>
      <c r="J3042" s="22" t="s">
        <v>41</v>
      </c>
      <c r="K3042" s="24">
        <v>2</v>
      </c>
      <c r="M3042" s="21"/>
      <c r="N3042" s="22"/>
      <c r="O3042" s="22"/>
      <c r="P3042" s="49"/>
      <c r="Q3042" s="49"/>
      <c r="R3042" s="188" t="str">
        <f t="shared" si="101"/>
        <v/>
      </c>
      <c r="T3042" s="21"/>
      <c r="U3042" s="22"/>
      <c r="V3042" s="24"/>
      <c r="W3042" s="24"/>
      <c r="X3042" s="24"/>
      <c r="Y3042" s="24"/>
      <c r="Z3042" s="20" t="str">
        <f t="shared" si="100"/>
        <v/>
      </c>
    </row>
    <row r="3043" spans="1:26" x14ac:dyDescent="0.2">
      <c r="A3043" s="21"/>
      <c r="B3043" s="20"/>
      <c r="C3043" s="22"/>
      <c r="D3043" s="22"/>
      <c r="E3043" s="24"/>
      <c r="F3043" s="22"/>
      <c r="H3043" s="21">
        <v>46085</v>
      </c>
      <c r="I3043" s="22" t="s">
        <v>70</v>
      </c>
      <c r="J3043" s="22" t="s">
        <v>49</v>
      </c>
      <c r="K3043" s="24">
        <v>7</v>
      </c>
      <c r="M3043" s="21"/>
      <c r="N3043" s="22"/>
      <c r="O3043" s="22"/>
      <c r="P3043" s="49"/>
      <c r="Q3043" s="49"/>
      <c r="R3043" s="188" t="str">
        <f t="shared" si="101"/>
        <v/>
      </c>
      <c r="T3043" s="21"/>
      <c r="U3043" s="22"/>
      <c r="V3043" s="24"/>
      <c r="W3043" s="24"/>
      <c r="X3043" s="24"/>
      <c r="Y3043" s="24"/>
      <c r="Z3043" s="20" t="str">
        <f t="shared" si="100"/>
        <v/>
      </c>
    </row>
    <row r="3044" spans="1:26" x14ac:dyDescent="0.2">
      <c r="A3044" s="21"/>
      <c r="B3044" s="20"/>
      <c r="C3044" s="22"/>
      <c r="D3044" s="22"/>
      <c r="E3044" s="24"/>
      <c r="F3044" s="22"/>
      <c r="H3044" s="21">
        <v>46085</v>
      </c>
      <c r="I3044" s="22" t="s">
        <v>70</v>
      </c>
      <c r="J3044" s="22" t="s">
        <v>50</v>
      </c>
      <c r="K3044" s="24">
        <v>7</v>
      </c>
      <c r="M3044" s="21"/>
      <c r="N3044" s="22"/>
      <c r="O3044" s="22"/>
      <c r="P3044" s="49"/>
      <c r="Q3044" s="49"/>
      <c r="R3044" s="188" t="str">
        <f t="shared" si="101"/>
        <v/>
      </c>
      <c r="T3044" s="21"/>
      <c r="U3044" s="22"/>
      <c r="V3044" s="24"/>
      <c r="W3044" s="24"/>
      <c r="X3044" s="24"/>
      <c r="Y3044" s="24"/>
      <c r="Z3044" s="20" t="str">
        <f t="shared" si="100"/>
        <v/>
      </c>
    </row>
    <row r="3045" spans="1:26" x14ac:dyDescent="0.2">
      <c r="A3045" s="21"/>
      <c r="B3045" s="20"/>
      <c r="C3045" s="22"/>
      <c r="D3045" s="22"/>
      <c r="E3045" s="24"/>
      <c r="F3045" s="22"/>
      <c r="H3045" s="21">
        <v>46085</v>
      </c>
      <c r="I3045" s="22" t="s">
        <v>70</v>
      </c>
      <c r="J3045" s="22" t="s">
        <v>51</v>
      </c>
      <c r="K3045" s="24">
        <v>7</v>
      </c>
      <c r="M3045" s="21"/>
      <c r="N3045" s="22"/>
      <c r="O3045" s="22"/>
      <c r="P3045" s="49"/>
      <c r="Q3045" s="49"/>
      <c r="R3045" s="188" t="str">
        <f t="shared" si="101"/>
        <v/>
      </c>
      <c r="T3045" s="21"/>
      <c r="U3045" s="22"/>
      <c r="V3045" s="24"/>
      <c r="W3045" s="24"/>
      <c r="X3045" s="24"/>
      <c r="Y3045" s="24"/>
      <c r="Z3045" s="20" t="str">
        <f t="shared" si="100"/>
        <v/>
      </c>
    </row>
    <row r="3046" spans="1:26" x14ac:dyDescent="0.2">
      <c r="A3046" s="21"/>
      <c r="B3046" s="20"/>
      <c r="C3046" s="22"/>
      <c r="D3046" s="22"/>
      <c r="E3046" s="24"/>
      <c r="F3046" s="22"/>
      <c r="H3046" s="21">
        <v>46085</v>
      </c>
      <c r="I3046" s="22" t="s">
        <v>70</v>
      </c>
      <c r="J3046" s="22" t="s">
        <v>46</v>
      </c>
      <c r="K3046" s="24">
        <v>7</v>
      </c>
      <c r="M3046" s="21"/>
      <c r="N3046" s="22"/>
      <c r="O3046" s="22"/>
      <c r="P3046" s="49"/>
      <c r="Q3046" s="49"/>
      <c r="R3046" s="188" t="str">
        <f t="shared" si="101"/>
        <v/>
      </c>
      <c r="T3046" s="21"/>
      <c r="U3046" s="22"/>
      <c r="V3046" s="24"/>
      <c r="W3046" s="24"/>
      <c r="X3046" s="24"/>
      <c r="Y3046" s="24"/>
      <c r="Z3046" s="20" t="str">
        <f t="shared" si="100"/>
        <v/>
      </c>
    </row>
    <row r="3047" spans="1:26" x14ac:dyDescent="0.2">
      <c r="A3047" s="21"/>
      <c r="B3047" s="20"/>
      <c r="C3047" s="22"/>
      <c r="D3047" s="22"/>
      <c r="E3047" s="24"/>
      <c r="F3047" s="22"/>
      <c r="H3047" s="21">
        <v>46085</v>
      </c>
      <c r="I3047" s="22" t="s">
        <v>70</v>
      </c>
      <c r="J3047" s="22" t="s">
        <v>48</v>
      </c>
      <c r="K3047" s="24">
        <v>7</v>
      </c>
      <c r="M3047" s="21"/>
      <c r="N3047" s="22"/>
      <c r="O3047" s="22"/>
      <c r="P3047" s="49"/>
      <c r="Q3047" s="49"/>
      <c r="R3047" s="188" t="str">
        <f t="shared" si="101"/>
        <v/>
      </c>
      <c r="T3047" s="21"/>
      <c r="U3047" s="22"/>
      <c r="V3047" s="24"/>
      <c r="W3047" s="24"/>
      <c r="X3047" s="24"/>
      <c r="Y3047" s="24"/>
      <c r="Z3047" s="20" t="str">
        <f t="shared" si="100"/>
        <v/>
      </c>
    </row>
    <row r="3048" spans="1:26" x14ac:dyDescent="0.2">
      <c r="A3048" s="21"/>
      <c r="B3048" s="20"/>
      <c r="C3048" s="22"/>
      <c r="D3048" s="22"/>
      <c r="E3048" s="24"/>
      <c r="F3048" s="22"/>
      <c r="H3048" s="21">
        <v>46086</v>
      </c>
      <c r="I3048" s="22" t="s">
        <v>70</v>
      </c>
      <c r="J3048" s="22" t="s">
        <v>52</v>
      </c>
      <c r="K3048" s="24" t="s">
        <v>61</v>
      </c>
      <c r="M3048" s="21"/>
      <c r="N3048" s="22"/>
      <c r="O3048" s="22"/>
      <c r="P3048" s="49"/>
      <c r="Q3048" s="49"/>
      <c r="R3048" s="188" t="str">
        <f t="shared" si="101"/>
        <v/>
      </c>
      <c r="T3048" s="21"/>
      <c r="U3048" s="22"/>
      <c r="V3048" s="24"/>
      <c r="W3048" s="24"/>
      <c r="X3048" s="24"/>
      <c r="Y3048" s="24"/>
      <c r="Z3048" s="20" t="str">
        <f t="shared" si="100"/>
        <v/>
      </c>
    </row>
    <row r="3049" spans="1:26" x14ac:dyDescent="0.2">
      <c r="A3049" s="21"/>
      <c r="B3049" s="20"/>
      <c r="C3049" s="22"/>
      <c r="D3049" s="22"/>
      <c r="E3049" s="24"/>
      <c r="F3049" s="22"/>
      <c r="H3049" s="21">
        <v>46086</v>
      </c>
      <c r="I3049" s="22" t="s">
        <v>70</v>
      </c>
      <c r="J3049" s="22" t="s">
        <v>53</v>
      </c>
      <c r="K3049" s="24">
        <v>5</v>
      </c>
      <c r="M3049" s="21"/>
      <c r="N3049" s="22"/>
      <c r="O3049" s="22"/>
      <c r="P3049" s="49"/>
      <c r="Q3049" s="49"/>
      <c r="R3049" s="188" t="str">
        <f t="shared" si="101"/>
        <v/>
      </c>
      <c r="T3049" s="21"/>
      <c r="U3049" s="22"/>
      <c r="V3049" s="24"/>
      <c r="W3049" s="24"/>
      <c r="X3049" s="24"/>
      <c r="Y3049" s="24"/>
      <c r="Z3049" s="20" t="str">
        <f t="shared" si="100"/>
        <v/>
      </c>
    </row>
    <row r="3050" spans="1:26" x14ac:dyDescent="0.2">
      <c r="A3050" s="21"/>
      <c r="B3050" s="20"/>
      <c r="C3050" s="22"/>
      <c r="D3050" s="22"/>
      <c r="E3050" s="24"/>
      <c r="F3050" s="22"/>
      <c r="H3050" s="21">
        <v>46086</v>
      </c>
      <c r="I3050" s="22" t="s">
        <v>70</v>
      </c>
      <c r="J3050" s="22" t="s">
        <v>44</v>
      </c>
      <c r="K3050" s="24">
        <v>5</v>
      </c>
      <c r="M3050" s="21"/>
      <c r="N3050" s="22"/>
      <c r="O3050" s="22"/>
      <c r="P3050" s="49"/>
      <c r="Q3050" s="49"/>
      <c r="R3050" s="188" t="str">
        <f t="shared" si="101"/>
        <v/>
      </c>
      <c r="T3050" s="21"/>
      <c r="U3050" s="22"/>
      <c r="V3050" s="24"/>
      <c r="W3050" s="24"/>
      <c r="X3050" s="24"/>
      <c r="Y3050" s="24"/>
      <c r="Z3050" s="20" t="str">
        <f t="shared" si="100"/>
        <v/>
      </c>
    </row>
    <row r="3051" spans="1:26" x14ac:dyDescent="0.2">
      <c r="A3051" s="21"/>
      <c r="B3051" s="20"/>
      <c r="C3051" s="22"/>
      <c r="D3051" s="22"/>
      <c r="E3051" s="24"/>
      <c r="F3051" s="22"/>
      <c r="H3051" s="21">
        <v>46086</v>
      </c>
      <c r="I3051" s="22" t="s">
        <v>70</v>
      </c>
      <c r="J3051" s="22" t="s">
        <v>45</v>
      </c>
      <c r="K3051" s="24">
        <v>5</v>
      </c>
      <c r="M3051" s="21"/>
      <c r="N3051" s="22"/>
      <c r="O3051" s="22"/>
      <c r="P3051" s="49"/>
      <c r="Q3051" s="49"/>
      <c r="R3051" s="188" t="str">
        <f t="shared" si="101"/>
        <v/>
      </c>
      <c r="T3051" s="21"/>
      <c r="U3051" s="22"/>
      <c r="V3051" s="24"/>
      <c r="W3051" s="24"/>
      <c r="X3051" s="24"/>
      <c r="Y3051" s="24"/>
      <c r="Z3051" s="20" t="str">
        <f t="shared" si="100"/>
        <v/>
      </c>
    </row>
    <row r="3052" spans="1:26" x14ac:dyDescent="0.2">
      <c r="A3052" s="21"/>
      <c r="B3052" s="20"/>
      <c r="C3052" s="22"/>
      <c r="D3052" s="22"/>
      <c r="E3052" s="24"/>
      <c r="F3052" s="22"/>
      <c r="H3052" s="21">
        <v>46086</v>
      </c>
      <c r="I3052" s="22" t="s">
        <v>70</v>
      </c>
      <c r="J3052" s="22" t="s">
        <v>57</v>
      </c>
      <c r="K3052" s="24">
        <v>4</v>
      </c>
      <c r="M3052" s="21"/>
      <c r="N3052" s="22"/>
      <c r="O3052" s="22"/>
      <c r="P3052" s="49"/>
      <c r="Q3052" s="49"/>
      <c r="R3052" s="188" t="str">
        <f t="shared" si="101"/>
        <v/>
      </c>
      <c r="T3052" s="21"/>
      <c r="U3052" s="22"/>
      <c r="V3052" s="24"/>
      <c r="W3052" s="24"/>
      <c r="X3052" s="24"/>
      <c r="Y3052" s="24"/>
      <c r="Z3052" s="20" t="str">
        <f t="shared" si="100"/>
        <v/>
      </c>
    </row>
    <row r="3053" spans="1:26" x14ac:dyDescent="0.2">
      <c r="A3053" s="21"/>
      <c r="B3053" s="20"/>
      <c r="C3053" s="22"/>
      <c r="D3053" s="22"/>
      <c r="E3053" s="24"/>
      <c r="F3053" s="22"/>
      <c r="H3053" s="21">
        <v>46086</v>
      </c>
      <c r="I3053" s="22" t="s">
        <v>70</v>
      </c>
      <c r="J3053" s="22" t="s">
        <v>42</v>
      </c>
      <c r="K3053" s="24">
        <v>1</v>
      </c>
      <c r="M3053" s="21"/>
      <c r="N3053" s="22"/>
      <c r="O3053" s="22"/>
      <c r="P3053" s="49"/>
      <c r="Q3053" s="49"/>
      <c r="R3053" s="188" t="str">
        <f t="shared" si="101"/>
        <v/>
      </c>
      <c r="T3053" s="21"/>
      <c r="U3053" s="22"/>
      <c r="V3053" s="24"/>
      <c r="W3053" s="24"/>
      <c r="X3053" s="24"/>
      <c r="Y3053" s="24"/>
      <c r="Z3053" s="20" t="str">
        <f t="shared" si="100"/>
        <v/>
      </c>
    </row>
    <row r="3054" spans="1:26" x14ac:dyDescent="0.2">
      <c r="A3054" s="21"/>
      <c r="B3054" s="20"/>
      <c r="C3054" s="22"/>
      <c r="D3054" s="22"/>
      <c r="E3054" s="24"/>
      <c r="F3054" s="22"/>
      <c r="H3054" s="21">
        <v>46086</v>
      </c>
      <c r="I3054" s="22" t="s">
        <v>70</v>
      </c>
      <c r="J3054" s="22" t="s">
        <v>47</v>
      </c>
      <c r="K3054" s="24">
        <v>4</v>
      </c>
      <c r="M3054" s="21"/>
      <c r="N3054" s="22"/>
      <c r="O3054" s="22"/>
      <c r="P3054" s="49"/>
      <c r="Q3054" s="49"/>
      <c r="R3054" s="188" t="str">
        <f t="shared" si="101"/>
        <v/>
      </c>
      <c r="T3054" s="21"/>
      <c r="U3054" s="22"/>
      <c r="V3054" s="24"/>
      <c r="W3054" s="24"/>
      <c r="X3054" s="24"/>
      <c r="Y3054" s="24"/>
      <c r="Z3054" s="20" t="str">
        <f t="shared" si="100"/>
        <v/>
      </c>
    </row>
    <row r="3055" spans="1:26" x14ac:dyDescent="0.2">
      <c r="A3055" s="21"/>
      <c r="B3055" s="20"/>
      <c r="C3055" s="22"/>
      <c r="D3055" s="22"/>
      <c r="E3055" s="24"/>
      <c r="F3055" s="22"/>
      <c r="H3055" s="21">
        <v>46086</v>
      </c>
      <c r="I3055" s="22" t="s">
        <v>70</v>
      </c>
      <c r="J3055" s="22" t="s">
        <v>41</v>
      </c>
      <c r="K3055" s="24">
        <v>1</v>
      </c>
      <c r="M3055" s="21"/>
      <c r="N3055" s="22"/>
      <c r="O3055" s="22"/>
      <c r="P3055" s="49"/>
      <c r="Q3055" s="49"/>
      <c r="R3055" s="188" t="str">
        <f t="shared" si="101"/>
        <v/>
      </c>
      <c r="T3055" s="21"/>
      <c r="U3055" s="22"/>
      <c r="V3055" s="24"/>
      <c r="W3055" s="24"/>
      <c r="X3055" s="24"/>
      <c r="Y3055" s="24"/>
      <c r="Z3055" s="20" t="str">
        <f t="shared" si="100"/>
        <v/>
      </c>
    </row>
    <row r="3056" spans="1:26" x14ac:dyDescent="0.2">
      <c r="A3056" s="21"/>
      <c r="B3056" s="20"/>
      <c r="C3056" s="22"/>
      <c r="D3056" s="22"/>
      <c r="E3056" s="24"/>
      <c r="F3056" s="22"/>
      <c r="H3056" s="21">
        <v>46086</v>
      </c>
      <c r="I3056" s="22" t="s">
        <v>70</v>
      </c>
      <c r="J3056" s="22" t="s">
        <v>49</v>
      </c>
      <c r="K3056" s="24">
        <v>5</v>
      </c>
      <c r="M3056" s="21"/>
      <c r="N3056" s="22"/>
      <c r="O3056" s="22"/>
      <c r="P3056" s="49"/>
      <c r="Q3056" s="49"/>
      <c r="R3056" s="188" t="str">
        <f t="shared" si="101"/>
        <v/>
      </c>
      <c r="T3056" s="21"/>
      <c r="U3056" s="22"/>
      <c r="V3056" s="24"/>
      <c r="W3056" s="24"/>
      <c r="X3056" s="24"/>
      <c r="Y3056" s="24"/>
      <c r="Z3056" s="20" t="str">
        <f t="shared" si="100"/>
        <v/>
      </c>
    </row>
    <row r="3057" spans="1:26" x14ac:dyDescent="0.2">
      <c r="A3057" s="21"/>
      <c r="B3057" s="20"/>
      <c r="C3057" s="22"/>
      <c r="D3057" s="22"/>
      <c r="E3057" s="24"/>
      <c r="F3057" s="22"/>
      <c r="H3057" s="21">
        <v>46086</v>
      </c>
      <c r="I3057" s="22" t="s">
        <v>70</v>
      </c>
      <c r="J3057" s="22" t="s">
        <v>50</v>
      </c>
      <c r="K3057" s="24">
        <v>5</v>
      </c>
      <c r="M3057" s="21"/>
      <c r="N3057" s="22"/>
      <c r="O3057" s="22"/>
      <c r="P3057" s="49"/>
      <c r="Q3057" s="49"/>
      <c r="R3057" s="188" t="str">
        <f t="shared" si="101"/>
        <v/>
      </c>
      <c r="T3057" s="21"/>
      <c r="U3057" s="22"/>
      <c r="V3057" s="24"/>
      <c r="W3057" s="24"/>
      <c r="X3057" s="24"/>
      <c r="Y3057" s="24"/>
      <c r="Z3057" s="20" t="str">
        <f t="shared" si="100"/>
        <v/>
      </c>
    </row>
    <row r="3058" spans="1:26" x14ac:dyDescent="0.2">
      <c r="A3058" s="21"/>
      <c r="B3058" s="20"/>
      <c r="C3058" s="22"/>
      <c r="D3058" s="22"/>
      <c r="E3058" s="24"/>
      <c r="F3058" s="22"/>
      <c r="H3058" s="21">
        <v>46086</v>
      </c>
      <c r="I3058" s="22" t="s">
        <v>70</v>
      </c>
      <c r="J3058" s="22" t="s">
        <v>51</v>
      </c>
      <c r="K3058" s="24">
        <v>5</v>
      </c>
      <c r="M3058" s="21"/>
      <c r="N3058" s="22"/>
      <c r="O3058" s="22"/>
      <c r="P3058" s="49"/>
      <c r="Q3058" s="49"/>
      <c r="R3058" s="188" t="str">
        <f t="shared" si="101"/>
        <v/>
      </c>
      <c r="T3058" s="21"/>
      <c r="U3058" s="22"/>
      <c r="V3058" s="24"/>
      <c r="W3058" s="24"/>
      <c r="X3058" s="24"/>
      <c r="Y3058" s="24"/>
      <c r="Z3058" s="20" t="str">
        <f t="shared" si="100"/>
        <v/>
      </c>
    </row>
    <row r="3059" spans="1:26" x14ac:dyDescent="0.2">
      <c r="A3059" s="21"/>
      <c r="B3059" s="20"/>
      <c r="C3059" s="22"/>
      <c r="D3059" s="22"/>
      <c r="E3059" s="24"/>
      <c r="F3059" s="22"/>
      <c r="H3059" s="21">
        <v>46086</v>
      </c>
      <c r="I3059" s="22" t="s">
        <v>70</v>
      </c>
      <c r="J3059" s="22" t="s">
        <v>46</v>
      </c>
      <c r="K3059" s="24">
        <v>4</v>
      </c>
      <c r="M3059" s="21"/>
      <c r="N3059" s="22"/>
      <c r="O3059" s="22"/>
      <c r="P3059" s="49"/>
      <c r="Q3059" s="49"/>
      <c r="R3059" s="188" t="str">
        <f t="shared" si="101"/>
        <v/>
      </c>
      <c r="T3059" s="21"/>
      <c r="U3059" s="22"/>
      <c r="V3059" s="24"/>
      <c r="W3059" s="24"/>
      <c r="X3059" s="24"/>
      <c r="Y3059" s="24"/>
      <c r="Z3059" s="20" t="str">
        <f t="shared" si="100"/>
        <v/>
      </c>
    </row>
    <row r="3060" spans="1:26" x14ac:dyDescent="0.2">
      <c r="A3060" s="21"/>
      <c r="B3060" s="20"/>
      <c r="C3060" s="22"/>
      <c r="D3060" s="22"/>
      <c r="E3060" s="24"/>
      <c r="F3060" s="22"/>
      <c r="H3060" s="21">
        <v>46086</v>
      </c>
      <c r="I3060" s="22" t="s">
        <v>70</v>
      </c>
      <c r="J3060" s="22" t="s">
        <v>48</v>
      </c>
      <c r="K3060" s="24">
        <v>3</v>
      </c>
      <c r="M3060" s="21"/>
      <c r="N3060" s="22"/>
      <c r="O3060" s="22"/>
      <c r="P3060" s="49"/>
      <c r="Q3060" s="49"/>
      <c r="R3060" s="188" t="str">
        <f t="shared" si="101"/>
        <v/>
      </c>
      <c r="T3060" s="21"/>
      <c r="U3060" s="22"/>
      <c r="V3060" s="24"/>
      <c r="W3060" s="24"/>
      <c r="X3060" s="24"/>
      <c r="Y3060" s="24"/>
      <c r="Z3060" s="20" t="str">
        <f t="shared" si="100"/>
        <v/>
      </c>
    </row>
    <row r="3061" spans="1:26" x14ac:dyDescent="0.2">
      <c r="A3061" s="21"/>
      <c r="B3061" s="20"/>
      <c r="C3061" s="22"/>
      <c r="D3061" s="22"/>
      <c r="E3061" s="24"/>
      <c r="F3061" s="22"/>
      <c r="H3061" s="21">
        <v>46087</v>
      </c>
      <c r="I3061" s="22" t="s">
        <v>70</v>
      </c>
      <c r="J3061" s="22" t="s">
        <v>52</v>
      </c>
      <c r="K3061" s="24" t="s">
        <v>61</v>
      </c>
      <c r="M3061" s="21"/>
      <c r="N3061" s="22"/>
      <c r="O3061" s="22"/>
      <c r="P3061" s="49"/>
      <c r="Q3061" s="49"/>
      <c r="R3061" s="188" t="str">
        <f t="shared" si="101"/>
        <v/>
      </c>
      <c r="T3061" s="21"/>
      <c r="U3061" s="22"/>
      <c r="V3061" s="24"/>
      <c r="W3061" s="24"/>
      <c r="X3061" s="24"/>
      <c r="Y3061" s="24"/>
      <c r="Z3061" s="20" t="str">
        <f t="shared" si="100"/>
        <v/>
      </c>
    </row>
    <row r="3062" spans="1:26" x14ac:dyDescent="0.2">
      <c r="A3062" s="21"/>
      <c r="B3062" s="20"/>
      <c r="C3062" s="22"/>
      <c r="D3062" s="22"/>
      <c r="E3062" s="24"/>
      <c r="F3062" s="22"/>
      <c r="H3062" s="21">
        <v>46087</v>
      </c>
      <c r="I3062" s="22" t="s">
        <v>70</v>
      </c>
      <c r="J3062" s="22" t="s">
        <v>53</v>
      </c>
      <c r="K3062" s="24">
        <v>2</v>
      </c>
      <c r="M3062" s="21"/>
      <c r="N3062" s="22"/>
      <c r="O3062" s="22"/>
      <c r="P3062" s="49"/>
      <c r="Q3062" s="49"/>
      <c r="R3062" s="188" t="str">
        <f t="shared" si="101"/>
        <v/>
      </c>
      <c r="T3062" s="21"/>
      <c r="U3062" s="22"/>
      <c r="V3062" s="24"/>
      <c r="W3062" s="24"/>
      <c r="X3062" s="24"/>
      <c r="Y3062" s="24"/>
      <c r="Z3062" s="20" t="str">
        <f t="shared" si="100"/>
        <v/>
      </c>
    </row>
    <row r="3063" spans="1:26" x14ac:dyDescent="0.2">
      <c r="A3063" s="21"/>
      <c r="B3063" s="20"/>
      <c r="C3063" s="22"/>
      <c r="D3063" s="22"/>
      <c r="E3063" s="24"/>
      <c r="F3063" s="22"/>
      <c r="H3063" s="21">
        <v>46087</v>
      </c>
      <c r="I3063" s="22" t="s">
        <v>70</v>
      </c>
      <c r="J3063" s="22" t="s">
        <v>44</v>
      </c>
      <c r="K3063" s="24">
        <v>2</v>
      </c>
      <c r="M3063" s="21"/>
      <c r="N3063" s="22"/>
      <c r="O3063" s="22"/>
      <c r="P3063" s="49"/>
      <c r="Q3063" s="49"/>
      <c r="R3063" s="188" t="str">
        <f t="shared" si="101"/>
        <v/>
      </c>
      <c r="T3063" s="21"/>
      <c r="U3063" s="22"/>
      <c r="V3063" s="24"/>
      <c r="W3063" s="24"/>
      <c r="X3063" s="24"/>
      <c r="Y3063" s="24"/>
      <c r="Z3063" s="20" t="str">
        <f t="shared" si="100"/>
        <v/>
      </c>
    </row>
    <row r="3064" spans="1:26" x14ac:dyDescent="0.2">
      <c r="A3064" s="21"/>
      <c r="B3064" s="20"/>
      <c r="C3064" s="22"/>
      <c r="D3064" s="22"/>
      <c r="E3064" s="24"/>
      <c r="F3064" s="22"/>
      <c r="H3064" s="21">
        <v>46087</v>
      </c>
      <c r="I3064" s="22" t="s">
        <v>70</v>
      </c>
      <c r="J3064" s="22" t="s">
        <v>45</v>
      </c>
      <c r="K3064" s="24">
        <v>2</v>
      </c>
      <c r="M3064" s="21"/>
      <c r="N3064" s="22"/>
      <c r="O3064" s="22"/>
      <c r="P3064" s="49"/>
      <c r="Q3064" s="49"/>
      <c r="R3064" s="188" t="str">
        <f t="shared" si="101"/>
        <v/>
      </c>
      <c r="T3064" s="21"/>
      <c r="U3064" s="22"/>
      <c r="V3064" s="24"/>
      <c r="W3064" s="24"/>
      <c r="X3064" s="24"/>
      <c r="Y3064" s="24"/>
      <c r="Z3064" s="20" t="str">
        <f t="shared" si="100"/>
        <v/>
      </c>
    </row>
    <row r="3065" spans="1:26" x14ac:dyDescent="0.2">
      <c r="A3065" s="21"/>
      <c r="B3065" s="20"/>
      <c r="C3065" s="22"/>
      <c r="D3065" s="22"/>
      <c r="E3065" s="24"/>
      <c r="F3065" s="22"/>
      <c r="H3065" s="21">
        <v>46087</v>
      </c>
      <c r="I3065" s="22" t="s">
        <v>70</v>
      </c>
      <c r="J3065" s="22" t="s">
        <v>57</v>
      </c>
      <c r="K3065" s="24">
        <v>2</v>
      </c>
      <c r="M3065" s="21"/>
      <c r="N3065" s="22"/>
      <c r="O3065" s="22"/>
      <c r="P3065" s="49"/>
      <c r="Q3065" s="49"/>
      <c r="R3065" s="188" t="str">
        <f t="shared" si="101"/>
        <v/>
      </c>
      <c r="T3065" s="21"/>
      <c r="U3065" s="22"/>
      <c r="V3065" s="24"/>
      <c r="W3065" s="24"/>
      <c r="X3065" s="24"/>
      <c r="Y3065" s="24"/>
      <c r="Z3065" s="20" t="str">
        <f t="shared" si="100"/>
        <v/>
      </c>
    </row>
    <row r="3066" spans="1:26" x14ac:dyDescent="0.2">
      <c r="A3066" s="21"/>
      <c r="B3066" s="20"/>
      <c r="C3066" s="22"/>
      <c r="D3066" s="22"/>
      <c r="E3066" s="24"/>
      <c r="F3066" s="22"/>
      <c r="H3066" s="21">
        <v>46087</v>
      </c>
      <c r="I3066" s="22" t="s">
        <v>70</v>
      </c>
      <c r="J3066" s="22" t="s">
        <v>42</v>
      </c>
      <c r="K3066" s="24">
        <v>2</v>
      </c>
      <c r="M3066" s="21"/>
      <c r="N3066" s="22"/>
      <c r="O3066" s="22"/>
      <c r="P3066" s="49"/>
      <c r="Q3066" s="49"/>
      <c r="R3066" s="188" t="str">
        <f t="shared" si="101"/>
        <v/>
      </c>
      <c r="T3066" s="21"/>
      <c r="U3066" s="22"/>
      <c r="V3066" s="24"/>
      <c r="W3066" s="24"/>
      <c r="X3066" s="24"/>
      <c r="Y3066" s="24"/>
      <c r="Z3066" s="20" t="str">
        <f t="shared" si="100"/>
        <v/>
      </c>
    </row>
    <row r="3067" spans="1:26" x14ac:dyDescent="0.2">
      <c r="A3067" s="21"/>
      <c r="B3067" s="20"/>
      <c r="C3067" s="22"/>
      <c r="D3067" s="22"/>
      <c r="E3067" s="24"/>
      <c r="F3067" s="22"/>
      <c r="H3067" s="21">
        <v>46087</v>
      </c>
      <c r="I3067" s="22" t="s">
        <v>70</v>
      </c>
      <c r="J3067" s="22" t="s">
        <v>47</v>
      </c>
      <c r="K3067" s="24">
        <v>2</v>
      </c>
      <c r="M3067" s="21"/>
      <c r="N3067" s="22"/>
      <c r="O3067" s="22"/>
      <c r="P3067" s="49"/>
      <c r="Q3067" s="49"/>
      <c r="R3067" s="188" t="str">
        <f t="shared" si="101"/>
        <v/>
      </c>
      <c r="T3067" s="21"/>
      <c r="U3067" s="22"/>
      <c r="V3067" s="24"/>
      <c r="W3067" s="24"/>
      <c r="X3067" s="24"/>
      <c r="Y3067" s="24"/>
      <c r="Z3067" s="20" t="str">
        <f t="shared" si="100"/>
        <v/>
      </c>
    </row>
    <row r="3068" spans="1:26" x14ac:dyDescent="0.2">
      <c r="A3068" s="21"/>
      <c r="B3068" s="20"/>
      <c r="C3068" s="22"/>
      <c r="D3068" s="22"/>
      <c r="E3068" s="24"/>
      <c r="F3068" s="22"/>
      <c r="H3068" s="21">
        <v>46087</v>
      </c>
      <c r="I3068" s="22" t="s">
        <v>70</v>
      </c>
      <c r="J3068" s="22" t="s">
        <v>41</v>
      </c>
      <c r="K3068" s="24">
        <v>2</v>
      </c>
      <c r="M3068" s="21"/>
      <c r="N3068" s="22"/>
      <c r="O3068" s="22"/>
      <c r="P3068" s="49"/>
      <c r="Q3068" s="49"/>
      <c r="R3068" s="188" t="str">
        <f t="shared" si="101"/>
        <v/>
      </c>
      <c r="T3068" s="21"/>
      <c r="U3068" s="22"/>
      <c r="V3068" s="24"/>
      <c r="W3068" s="24"/>
      <c r="X3068" s="24"/>
      <c r="Y3068" s="24"/>
      <c r="Z3068" s="20" t="str">
        <f t="shared" si="100"/>
        <v/>
      </c>
    </row>
    <row r="3069" spans="1:26" x14ac:dyDescent="0.2">
      <c r="A3069" s="21"/>
      <c r="B3069" s="20"/>
      <c r="C3069" s="22"/>
      <c r="D3069" s="22"/>
      <c r="E3069" s="24"/>
      <c r="F3069" s="22"/>
      <c r="H3069" s="21">
        <v>46087</v>
      </c>
      <c r="I3069" s="22" t="s">
        <v>70</v>
      </c>
      <c r="J3069" s="22" t="s">
        <v>49</v>
      </c>
      <c r="K3069" s="24">
        <v>2</v>
      </c>
      <c r="M3069" s="21"/>
      <c r="N3069" s="22"/>
      <c r="O3069" s="22"/>
      <c r="P3069" s="49"/>
      <c r="Q3069" s="49"/>
      <c r="R3069" s="188" t="str">
        <f t="shared" si="101"/>
        <v/>
      </c>
      <c r="T3069" s="21"/>
      <c r="U3069" s="22"/>
      <c r="V3069" s="24"/>
      <c r="W3069" s="24"/>
      <c r="X3069" s="24"/>
      <c r="Y3069" s="24"/>
      <c r="Z3069" s="20" t="str">
        <f t="shared" si="100"/>
        <v/>
      </c>
    </row>
    <row r="3070" spans="1:26" x14ac:dyDescent="0.2">
      <c r="A3070" s="21"/>
      <c r="B3070" s="20"/>
      <c r="C3070" s="22"/>
      <c r="D3070" s="22"/>
      <c r="E3070" s="24"/>
      <c r="F3070" s="22"/>
      <c r="H3070" s="21">
        <v>46087</v>
      </c>
      <c r="I3070" s="22" t="s">
        <v>70</v>
      </c>
      <c r="J3070" s="22" t="s">
        <v>50</v>
      </c>
      <c r="K3070" s="24">
        <v>2</v>
      </c>
      <c r="M3070" s="21"/>
      <c r="N3070" s="22"/>
      <c r="O3070" s="22"/>
      <c r="P3070" s="49"/>
      <c r="Q3070" s="49"/>
      <c r="R3070" s="188" t="str">
        <f t="shared" si="101"/>
        <v/>
      </c>
      <c r="T3070" s="21"/>
      <c r="U3070" s="22"/>
      <c r="V3070" s="24"/>
      <c r="W3070" s="24"/>
      <c r="X3070" s="24"/>
      <c r="Y3070" s="24"/>
      <c r="Z3070" s="20" t="str">
        <f t="shared" si="100"/>
        <v/>
      </c>
    </row>
    <row r="3071" spans="1:26" x14ac:dyDescent="0.2">
      <c r="A3071" s="21"/>
      <c r="B3071" s="20"/>
      <c r="C3071" s="22"/>
      <c r="D3071" s="22"/>
      <c r="E3071" s="24"/>
      <c r="F3071" s="22"/>
      <c r="H3071" s="21">
        <v>46087</v>
      </c>
      <c r="I3071" s="22" t="s">
        <v>70</v>
      </c>
      <c r="J3071" s="22" t="s">
        <v>51</v>
      </c>
      <c r="K3071" s="24">
        <v>2</v>
      </c>
      <c r="M3071" s="21"/>
      <c r="N3071" s="22"/>
      <c r="O3071" s="22"/>
      <c r="P3071" s="49"/>
      <c r="Q3071" s="49"/>
      <c r="R3071" s="188" t="str">
        <f t="shared" si="101"/>
        <v/>
      </c>
      <c r="T3071" s="21"/>
      <c r="U3071" s="22"/>
      <c r="V3071" s="24"/>
      <c r="W3071" s="24"/>
      <c r="X3071" s="24"/>
      <c r="Y3071" s="24"/>
      <c r="Z3071" s="20" t="str">
        <f t="shared" si="100"/>
        <v/>
      </c>
    </row>
    <row r="3072" spans="1:26" x14ac:dyDescent="0.2">
      <c r="A3072" s="21"/>
      <c r="B3072" s="20"/>
      <c r="C3072" s="22"/>
      <c r="D3072" s="22"/>
      <c r="E3072" s="24"/>
      <c r="F3072" s="22"/>
      <c r="H3072" s="21">
        <v>46087</v>
      </c>
      <c r="I3072" s="22" t="s">
        <v>70</v>
      </c>
      <c r="J3072" s="22" t="s">
        <v>46</v>
      </c>
      <c r="K3072" s="24">
        <v>2</v>
      </c>
      <c r="M3072" s="21"/>
      <c r="N3072" s="22"/>
      <c r="O3072" s="22"/>
      <c r="P3072" s="49"/>
      <c r="Q3072" s="49"/>
      <c r="R3072" s="188" t="str">
        <f t="shared" si="101"/>
        <v/>
      </c>
      <c r="T3072" s="21"/>
      <c r="U3072" s="22"/>
      <c r="V3072" s="24"/>
      <c r="W3072" s="24"/>
      <c r="X3072" s="24"/>
      <c r="Y3072" s="24"/>
      <c r="Z3072" s="20" t="str">
        <f t="shared" si="100"/>
        <v/>
      </c>
    </row>
    <row r="3073" spans="1:26" x14ac:dyDescent="0.2">
      <c r="A3073" s="21"/>
      <c r="B3073" s="20"/>
      <c r="C3073" s="22"/>
      <c r="D3073" s="22"/>
      <c r="E3073" s="24"/>
      <c r="F3073" s="22"/>
      <c r="H3073" s="21">
        <v>46087</v>
      </c>
      <c r="I3073" s="22" t="s">
        <v>70</v>
      </c>
      <c r="J3073" s="22" t="s">
        <v>48</v>
      </c>
      <c r="K3073" s="24">
        <v>2</v>
      </c>
      <c r="M3073" s="21"/>
      <c r="N3073" s="22"/>
      <c r="O3073" s="22"/>
      <c r="P3073" s="49"/>
      <c r="Q3073" s="49"/>
      <c r="R3073" s="188" t="str">
        <f t="shared" si="101"/>
        <v/>
      </c>
      <c r="T3073" s="21"/>
      <c r="U3073" s="22"/>
      <c r="V3073" s="24"/>
      <c r="W3073" s="24"/>
      <c r="X3073" s="24"/>
      <c r="Y3073" s="24"/>
      <c r="Z3073" s="20" t="str">
        <f t="shared" si="100"/>
        <v/>
      </c>
    </row>
    <row r="3074" spans="1:26" x14ac:dyDescent="0.2">
      <c r="A3074" s="21"/>
      <c r="B3074" s="20"/>
      <c r="C3074" s="22"/>
      <c r="D3074" s="22"/>
      <c r="E3074" s="24"/>
      <c r="F3074" s="22"/>
      <c r="H3074" s="21">
        <v>46087</v>
      </c>
      <c r="I3074" s="22" t="s">
        <v>71</v>
      </c>
      <c r="J3074" s="22" t="s">
        <v>52</v>
      </c>
      <c r="K3074" s="24" t="s">
        <v>61</v>
      </c>
      <c r="M3074" s="21"/>
      <c r="N3074" s="22"/>
      <c r="O3074" s="22"/>
      <c r="P3074" s="49"/>
      <c r="Q3074" s="49"/>
      <c r="R3074" s="188" t="str">
        <f t="shared" si="101"/>
        <v/>
      </c>
      <c r="T3074" s="21"/>
      <c r="U3074" s="22"/>
      <c r="V3074" s="24"/>
      <c r="W3074" s="24"/>
      <c r="X3074" s="24"/>
      <c r="Y3074" s="24"/>
      <c r="Z3074" s="20" t="str">
        <f t="shared" si="100"/>
        <v/>
      </c>
    </row>
    <row r="3075" spans="1:26" x14ac:dyDescent="0.2">
      <c r="A3075" s="21"/>
      <c r="B3075" s="20"/>
      <c r="C3075" s="22"/>
      <c r="D3075" s="22"/>
      <c r="E3075" s="24"/>
      <c r="F3075" s="22"/>
      <c r="H3075" s="21">
        <v>46087</v>
      </c>
      <c r="I3075" s="22" t="s">
        <v>71</v>
      </c>
      <c r="J3075" s="22" t="s">
        <v>53</v>
      </c>
      <c r="K3075" s="24">
        <v>9</v>
      </c>
      <c r="M3075" s="21"/>
      <c r="N3075" s="22"/>
      <c r="O3075" s="22"/>
      <c r="P3075" s="49"/>
      <c r="Q3075" s="49"/>
      <c r="R3075" s="188" t="str">
        <f t="shared" si="101"/>
        <v/>
      </c>
      <c r="T3075" s="21"/>
      <c r="U3075" s="22"/>
      <c r="V3075" s="24"/>
      <c r="W3075" s="24"/>
      <c r="X3075" s="24"/>
      <c r="Y3075" s="24"/>
      <c r="Z3075" s="20" t="str">
        <f t="shared" si="100"/>
        <v/>
      </c>
    </row>
    <row r="3076" spans="1:26" x14ac:dyDescent="0.2">
      <c r="A3076" s="21"/>
      <c r="B3076" s="20"/>
      <c r="C3076" s="22"/>
      <c r="D3076" s="22"/>
      <c r="E3076" s="24"/>
      <c r="F3076" s="22"/>
      <c r="H3076" s="21">
        <v>46087</v>
      </c>
      <c r="I3076" s="22" t="s">
        <v>71</v>
      </c>
      <c r="J3076" s="22" t="s">
        <v>44</v>
      </c>
      <c r="K3076" s="24">
        <v>7</v>
      </c>
      <c r="M3076" s="21"/>
      <c r="N3076" s="22"/>
      <c r="O3076" s="22"/>
      <c r="P3076" s="49"/>
      <c r="Q3076" s="49"/>
      <c r="R3076" s="188" t="str">
        <f t="shared" si="101"/>
        <v/>
      </c>
      <c r="T3076" s="21"/>
      <c r="U3076" s="22"/>
      <c r="V3076" s="24"/>
      <c r="W3076" s="24"/>
      <c r="X3076" s="24"/>
      <c r="Y3076" s="24"/>
      <c r="Z3076" s="20" t="str">
        <f t="shared" si="100"/>
        <v/>
      </c>
    </row>
    <row r="3077" spans="1:26" x14ac:dyDescent="0.2">
      <c r="A3077" s="21"/>
      <c r="B3077" s="20"/>
      <c r="C3077" s="22"/>
      <c r="D3077" s="22"/>
      <c r="E3077" s="24"/>
      <c r="F3077" s="22"/>
      <c r="H3077" s="21">
        <v>46087</v>
      </c>
      <c r="I3077" s="22" t="s">
        <v>71</v>
      </c>
      <c r="J3077" s="22" t="s">
        <v>45</v>
      </c>
      <c r="K3077" s="24">
        <v>7</v>
      </c>
      <c r="M3077" s="21"/>
      <c r="N3077" s="22"/>
      <c r="O3077" s="22"/>
      <c r="P3077" s="49"/>
      <c r="Q3077" s="49"/>
      <c r="R3077" s="188" t="str">
        <f t="shared" si="101"/>
        <v/>
      </c>
      <c r="T3077" s="21"/>
      <c r="U3077" s="22"/>
      <c r="V3077" s="24"/>
      <c r="W3077" s="24"/>
      <c r="X3077" s="24"/>
      <c r="Y3077" s="24"/>
      <c r="Z3077" s="20" t="str">
        <f t="shared" si="100"/>
        <v/>
      </c>
    </row>
    <row r="3078" spans="1:26" x14ac:dyDescent="0.2">
      <c r="A3078" s="21"/>
      <c r="B3078" s="20"/>
      <c r="C3078" s="22"/>
      <c r="D3078" s="22"/>
      <c r="E3078" s="24"/>
      <c r="F3078" s="22"/>
      <c r="H3078" s="21">
        <v>46087</v>
      </c>
      <c r="I3078" s="22" t="s">
        <v>71</v>
      </c>
      <c r="J3078" s="22" t="s">
        <v>57</v>
      </c>
      <c r="K3078" s="24" t="s">
        <v>63</v>
      </c>
      <c r="M3078" s="21"/>
      <c r="N3078" s="22"/>
      <c r="O3078" s="22"/>
      <c r="P3078" s="49"/>
      <c r="Q3078" s="49"/>
      <c r="R3078" s="188" t="str">
        <f t="shared" si="101"/>
        <v/>
      </c>
      <c r="T3078" s="21"/>
      <c r="U3078" s="22"/>
      <c r="V3078" s="24"/>
      <c r="W3078" s="24"/>
      <c r="X3078" s="24"/>
      <c r="Y3078" s="24"/>
      <c r="Z3078" s="20" t="str">
        <f t="shared" si="100"/>
        <v/>
      </c>
    </row>
    <row r="3079" spans="1:26" x14ac:dyDescent="0.2">
      <c r="A3079" s="21"/>
      <c r="B3079" s="20"/>
      <c r="C3079" s="22"/>
      <c r="D3079" s="22"/>
      <c r="E3079" s="24"/>
      <c r="F3079" s="22"/>
      <c r="H3079" s="21">
        <v>46087</v>
      </c>
      <c r="I3079" s="22" t="s">
        <v>71</v>
      </c>
      <c r="J3079" s="22" t="s">
        <v>42</v>
      </c>
      <c r="K3079" s="24" t="s">
        <v>63</v>
      </c>
      <c r="M3079" s="21"/>
      <c r="N3079" s="22"/>
      <c r="O3079" s="22"/>
      <c r="P3079" s="49"/>
      <c r="Q3079" s="49"/>
      <c r="R3079" s="188" t="str">
        <f t="shared" si="101"/>
        <v/>
      </c>
      <c r="T3079" s="21"/>
      <c r="U3079" s="22"/>
      <c r="V3079" s="24"/>
      <c r="W3079" s="24"/>
      <c r="X3079" s="24"/>
      <c r="Y3079" s="24"/>
      <c r="Z3079" s="20" t="str">
        <f t="shared" si="100"/>
        <v/>
      </c>
    </row>
    <row r="3080" spans="1:26" x14ac:dyDescent="0.2">
      <c r="A3080" s="21"/>
      <c r="B3080" s="20"/>
      <c r="C3080" s="22"/>
      <c r="D3080" s="22"/>
      <c r="E3080" s="24"/>
      <c r="F3080" s="22"/>
      <c r="H3080" s="21">
        <v>46087</v>
      </c>
      <c r="I3080" s="22" t="s">
        <v>71</v>
      </c>
      <c r="J3080" s="22" t="s">
        <v>47</v>
      </c>
      <c r="K3080" s="24">
        <v>8</v>
      </c>
      <c r="M3080" s="21"/>
      <c r="N3080" s="22"/>
      <c r="O3080" s="22"/>
      <c r="P3080" s="49"/>
      <c r="Q3080" s="49"/>
      <c r="R3080" s="188" t="str">
        <f t="shared" si="101"/>
        <v/>
      </c>
      <c r="T3080" s="21"/>
      <c r="U3080" s="22"/>
      <c r="V3080" s="24"/>
      <c r="W3080" s="24"/>
      <c r="X3080" s="24"/>
      <c r="Y3080" s="24"/>
      <c r="Z3080" s="20" t="str">
        <f t="shared" si="100"/>
        <v/>
      </c>
    </row>
    <row r="3081" spans="1:26" x14ac:dyDescent="0.2">
      <c r="A3081" s="21"/>
      <c r="B3081" s="20"/>
      <c r="C3081" s="22"/>
      <c r="D3081" s="22"/>
      <c r="E3081" s="24"/>
      <c r="F3081" s="22"/>
      <c r="H3081" s="21">
        <v>46087</v>
      </c>
      <c r="I3081" s="22" t="s">
        <v>71</v>
      </c>
      <c r="J3081" s="22" t="s">
        <v>41</v>
      </c>
      <c r="K3081" s="24">
        <v>7</v>
      </c>
      <c r="M3081" s="21"/>
      <c r="N3081" s="22"/>
      <c r="O3081" s="22"/>
      <c r="P3081" s="49"/>
      <c r="Q3081" s="49"/>
      <c r="R3081" s="188" t="str">
        <f t="shared" si="101"/>
        <v/>
      </c>
      <c r="T3081" s="21"/>
      <c r="U3081" s="22"/>
      <c r="V3081" s="24"/>
      <c r="W3081" s="24"/>
      <c r="X3081" s="24"/>
      <c r="Y3081" s="24"/>
      <c r="Z3081" s="20" t="str">
        <f t="shared" si="100"/>
        <v/>
      </c>
    </row>
    <row r="3082" spans="1:26" x14ac:dyDescent="0.2">
      <c r="A3082" s="21"/>
      <c r="B3082" s="20"/>
      <c r="C3082" s="22"/>
      <c r="D3082" s="22"/>
      <c r="E3082" s="24"/>
      <c r="F3082" s="22"/>
      <c r="H3082" s="21">
        <v>46087</v>
      </c>
      <c r="I3082" s="22" t="s">
        <v>71</v>
      </c>
      <c r="J3082" s="22" t="s">
        <v>49</v>
      </c>
      <c r="K3082" s="24">
        <v>8</v>
      </c>
      <c r="M3082" s="21"/>
      <c r="N3082" s="22"/>
      <c r="O3082" s="22"/>
      <c r="P3082" s="49"/>
      <c r="Q3082" s="49"/>
      <c r="R3082" s="188" t="str">
        <f t="shared" si="101"/>
        <v/>
      </c>
      <c r="T3082" s="21"/>
      <c r="U3082" s="22"/>
      <c r="V3082" s="24"/>
      <c r="W3082" s="24"/>
      <c r="X3082" s="24"/>
      <c r="Y3082" s="24"/>
      <c r="Z3082" s="20" t="str">
        <f t="shared" si="100"/>
        <v/>
      </c>
    </row>
    <row r="3083" spans="1:26" x14ac:dyDescent="0.2">
      <c r="A3083" s="21"/>
      <c r="B3083" s="20"/>
      <c r="C3083" s="22"/>
      <c r="D3083" s="22"/>
      <c r="E3083" s="24"/>
      <c r="F3083" s="22"/>
      <c r="H3083" s="21">
        <v>46087</v>
      </c>
      <c r="I3083" s="22" t="s">
        <v>71</v>
      </c>
      <c r="J3083" s="22" t="s">
        <v>50</v>
      </c>
      <c r="K3083" s="24">
        <v>6</v>
      </c>
      <c r="M3083" s="21"/>
      <c r="N3083" s="22"/>
      <c r="O3083" s="22"/>
      <c r="P3083" s="49"/>
      <c r="Q3083" s="49"/>
      <c r="R3083" s="188" t="str">
        <f t="shared" si="101"/>
        <v/>
      </c>
      <c r="T3083" s="21"/>
      <c r="U3083" s="22"/>
      <c r="V3083" s="24"/>
      <c r="W3083" s="24"/>
      <c r="X3083" s="24"/>
      <c r="Y3083" s="24"/>
      <c r="Z3083" s="20" t="str">
        <f t="shared" si="100"/>
        <v/>
      </c>
    </row>
    <row r="3084" spans="1:26" x14ac:dyDescent="0.2">
      <c r="A3084" s="21"/>
      <c r="B3084" s="20"/>
      <c r="C3084" s="22"/>
      <c r="D3084" s="22"/>
      <c r="E3084" s="24"/>
      <c r="F3084" s="22"/>
      <c r="H3084" s="21">
        <v>46087</v>
      </c>
      <c r="I3084" s="22" t="s">
        <v>71</v>
      </c>
      <c r="J3084" s="22" t="s">
        <v>51</v>
      </c>
      <c r="K3084" s="24">
        <v>4</v>
      </c>
      <c r="M3084" s="21"/>
      <c r="N3084" s="22"/>
      <c r="O3084" s="22"/>
      <c r="P3084" s="49"/>
      <c r="Q3084" s="49"/>
      <c r="R3084" s="188" t="str">
        <f t="shared" si="101"/>
        <v/>
      </c>
      <c r="T3084" s="21"/>
      <c r="U3084" s="22"/>
      <c r="V3084" s="24"/>
      <c r="W3084" s="24"/>
      <c r="X3084" s="24"/>
      <c r="Y3084" s="24"/>
      <c r="Z3084" s="20" t="str">
        <f t="shared" si="100"/>
        <v/>
      </c>
    </row>
    <row r="3085" spans="1:26" x14ac:dyDescent="0.2">
      <c r="A3085" s="21"/>
      <c r="B3085" s="20"/>
      <c r="C3085" s="22"/>
      <c r="D3085" s="22"/>
      <c r="E3085" s="24"/>
      <c r="F3085" s="22"/>
      <c r="H3085" s="21">
        <v>46087</v>
      </c>
      <c r="I3085" s="22" t="s">
        <v>71</v>
      </c>
      <c r="J3085" s="22" t="s">
        <v>46</v>
      </c>
      <c r="K3085" s="24">
        <v>8</v>
      </c>
      <c r="M3085" s="21"/>
      <c r="N3085" s="22"/>
      <c r="O3085" s="22"/>
      <c r="P3085" s="49"/>
      <c r="Q3085" s="49"/>
      <c r="R3085" s="188" t="str">
        <f t="shared" si="101"/>
        <v/>
      </c>
      <c r="T3085" s="21"/>
      <c r="U3085" s="22"/>
      <c r="V3085" s="24"/>
      <c r="W3085" s="24"/>
      <c r="X3085" s="24"/>
      <c r="Y3085" s="24"/>
      <c r="Z3085" s="20" t="str">
        <f t="shared" si="100"/>
        <v/>
      </c>
    </row>
    <row r="3086" spans="1:26" x14ac:dyDescent="0.2">
      <c r="A3086" s="21"/>
      <c r="B3086" s="20"/>
      <c r="C3086" s="22"/>
      <c r="D3086" s="22"/>
      <c r="E3086" s="24"/>
      <c r="F3086" s="22"/>
      <c r="H3086" s="21">
        <v>46087</v>
      </c>
      <c r="I3086" s="22" t="s">
        <v>71</v>
      </c>
      <c r="J3086" s="22" t="s">
        <v>48</v>
      </c>
      <c r="K3086" s="24">
        <v>8</v>
      </c>
      <c r="M3086" s="21"/>
      <c r="N3086" s="22"/>
      <c r="O3086" s="22"/>
      <c r="P3086" s="49"/>
      <c r="Q3086" s="49"/>
      <c r="R3086" s="188" t="str">
        <f t="shared" si="101"/>
        <v/>
      </c>
      <c r="T3086" s="21"/>
      <c r="U3086" s="22"/>
      <c r="V3086" s="24"/>
      <c r="W3086" s="24"/>
      <c r="X3086" s="24"/>
      <c r="Y3086" s="24"/>
      <c r="Z3086" s="20" t="str">
        <f t="shared" si="100"/>
        <v/>
      </c>
    </row>
    <row r="3087" spans="1:26" x14ac:dyDescent="0.2">
      <c r="A3087" s="21"/>
      <c r="B3087" s="20"/>
      <c r="C3087" s="22"/>
      <c r="D3087" s="22"/>
      <c r="E3087" s="24"/>
      <c r="F3087" s="22"/>
      <c r="H3087" s="21">
        <v>46090</v>
      </c>
      <c r="I3087" s="22" t="s">
        <v>70</v>
      </c>
      <c r="J3087" s="22" t="s">
        <v>52</v>
      </c>
      <c r="K3087" s="24" t="s">
        <v>61</v>
      </c>
      <c r="M3087" s="21"/>
      <c r="N3087" s="22"/>
      <c r="O3087" s="22"/>
      <c r="P3087" s="49"/>
      <c r="Q3087" s="49"/>
      <c r="R3087" s="188" t="str">
        <f t="shared" si="101"/>
        <v/>
      </c>
      <c r="T3087" s="21"/>
      <c r="U3087" s="22"/>
      <c r="V3087" s="24"/>
      <c r="W3087" s="24"/>
      <c r="X3087" s="24"/>
      <c r="Y3087" s="24"/>
      <c r="Z3087" s="20" t="str">
        <f t="shared" si="100"/>
        <v/>
      </c>
    </row>
    <row r="3088" spans="1:26" x14ac:dyDescent="0.2">
      <c r="A3088" s="21"/>
      <c r="B3088" s="20"/>
      <c r="C3088" s="22"/>
      <c r="D3088" s="22"/>
      <c r="E3088" s="24"/>
      <c r="F3088" s="22"/>
      <c r="H3088" s="21">
        <v>46090</v>
      </c>
      <c r="I3088" s="22" t="s">
        <v>70</v>
      </c>
      <c r="J3088" s="22" t="s">
        <v>53</v>
      </c>
      <c r="K3088" s="24">
        <v>8</v>
      </c>
      <c r="M3088" s="21"/>
      <c r="N3088" s="22"/>
      <c r="O3088" s="22"/>
      <c r="P3088" s="49"/>
      <c r="Q3088" s="49"/>
      <c r="R3088" s="188" t="str">
        <f t="shared" si="101"/>
        <v/>
      </c>
      <c r="T3088" s="21"/>
      <c r="U3088" s="22"/>
      <c r="V3088" s="24"/>
      <c r="W3088" s="24"/>
      <c r="X3088" s="24"/>
      <c r="Y3088" s="24"/>
      <c r="Z3088" s="20" t="str">
        <f t="shared" si="100"/>
        <v/>
      </c>
    </row>
    <row r="3089" spans="1:26" x14ac:dyDescent="0.2">
      <c r="A3089" s="21"/>
      <c r="B3089" s="20"/>
      <c r="C3089" s="22"/>
      <c r="D3089" s="22"/>
      <c r="E3089" s="24"/>
      <c r="F3089" s="22"/>
      <c r="H3089" s="21">
        <v>46090</v>
      </c>
      <c r="I3089" s="22" t="s">
        <v>70</v>
      </c>
      <c r="J3089" s="22" t="s">
        <v>44</v>
      </c>
      <c r="K3089" s="24">
        <v>8</v>
      </c>
      <c r="M3089" s="21"/>
      <c r="N3089" s="22"/>
      <c r="O3089" s="22"/>
      <c r="P3089" s="49"/>
      <c r="Q3089" s="49"/>
      <c r="R3089" s="188" t="str">
        <f t="shared" si="101"/>
        <v/>
      </c>
      <c r="T3089" s="21"/>
      <c r="U3089" s="22"/>
      <c r="V3089" s="24"/>
      <c r="W3089" s="24"/>
      <c r="X3089" s="24"/>
      <c r="Y3089" s="24"/>
      <c r="Z3089" s="20" t="str">
        <f t="shared" si="100"/>
        <v/>
      </c>
    </row>
    <row r="3090" spans="1:26" x14ac:dyDescent="0.2">
      <c r="A3090" s="21"/>
      <c r="B3090" s="20"/>
      <c r="C3090" s="22"/>
      <c r="D3090" s="22"/>
      <c r="E3090" s="24"/>
      <c r="F3090" s="22"/>
      <c r="H3090" s="21">
        <v>46090</v>
      </c>
      <c r="I3090" s="22" t="s">
        <v>70</v>
      </c>
      <c r="J3090" s="22" t="s">
        <v>45</v>
      </c>
      <c r="K3090" s="24" t="s">
        <v>61</v>
      </c>
      <c r="M3090" s="21"/>
      <c r="N3090" s="22"/>
      <c r="O3090" s="22"/>
      <c r="P3090" s="49"/>
      <c r="Q3090" s="49"/>
      <c r="R3090" s="188" t="str">
        <f t="shared" si="101"/>
        <v/>
      </c>
      <c r="T3090" s="21"/>
      <c r="U3090" s="22"/>
      <c r="V3090" s="24"/>
      <c r="W3090" s="24"/>
      <c r="X3090" s="24"/>
      <c r="Y3090" s="24"/>
      <c r="Z3090" s="20" t="str">
        <f t="shared" si="100"/>
        <v/>
      </c>
    </row>
    <row r="3091" spans="1:26" x14ac:dyDescent="0.2">
      <c r="A3091" s="21"/>
      <c r="B3091" s="20"/>
      <c r="C3091" s="22"/>
      <c r="D3091" s="22"/>
      <c r="E3091" s="24"/>
      <c r="F3091" s="22"/>
      <c r="H3091" s="21">
        <v>46090</v>
      </c>
      <c r="I3091" s="22" t="s">
        <v>70</v>
      </c>
      <c r="J3091" s="22" t="s">
        <v>42</v>
      </c>
      <c r="K3091" s="24">
        <v>1</v>
      </c>
      <c r="M3091" s="21"/>
      <c r="N3091" s="22"/>
      <c r="O3091" s="22"/>
      <c r="P3091" s="49"/>
      <c r="Q3091" s="49"/>
      <c r="R3091" s="188" t="str">
        <f t="shared" si="101"/>
        <v/>
      </c>
      <c r="T3091" s="21"/>
      <c r="U3091" s="22"/>
      <c r="V3091" s="24"/>
      <c r="W3091" s="24"/>
      <c r="X3091" s="24"/>
      <c r="Y3091" s="24"/>
      <c r="Z3091" s="20" t="str">
        <f t="shared" ref="Z3091:Z3154" si="102">IF(COUNT(V3091:Y3091)=0,"",SUM(V3091:Y3091))</f>
        <v/>
      </c>
    </row>
    <row r="3092" spans="1:26" x14ac:dyDescent="0.2">
      <c r="A3092" s="21"/>
      <c r="B3092" s="20"/>
      <c r="C3092" s="22"/>
      <c r="D3092" s="22"/>
      <c r="E3092" s="24"/>
      <c r="F3092" s="22"/>
      <c r="H3092" s="21">
        <v>46090</v>
      </c>
      <c r="I3092" s="22" t="s">
        <v>70</v>
      </c>
      <c r="J3092" s="22" t="s">
        <v>47</v>
      </c>
      <c r="K3092" s="24">
        <v>8</v>
      </c>
      <c r="M3092" s="21"/>
      <c r="N3092" s="22"/>
      <c r="O3092" s="22"/>
      <c r="P3092" s="49"/>
      <c r="Q3092" s="49"/>
      <c r="R3092" s="188" t="str">
        <f t="shared" si="101"/>
        <v/>
      </c>
      <c r="T3092" s="21"/>
      <c r="U3092" s="22"/>
      <c r="V3092" s="24"/>
      <c r="W3092" s="24"/>
      <c r="X3092" s="24"/>
      <c r="Y3092" s="24"/>
      <c r="Z3092" s="20" t="str">
        <f t="shared" si="102"/>
        <v/>
      </c>
    </row>
    <row r="3093" spans="1:26" x14ac:dyDescent="0.2">
      <c r="A3093" s="21"/>
      <c r="B3093" s="20"/>
      <c r="C3093" s="22"/>
      <c r="D3093" s="22"/>
      <c r="E3093" s="24"/>
      <c r="F3093" s="22"/>
      <c r="H3093" s="21">
        <v>46090</v>
      </c>
      <c r="I3093" s="22" t="s">
        <v>70</v>
      </c>
      <c r="J3093" s="22" t="s">
        <v>41</v>
      </c>
      <c r="K3093" s="24">
        <v>4</v>
      </c>
      <c r="M3093" s="21"/>
      <c r="N3093" s="22"/>
      <c r="O3093" s="22"/>
      <c r="P3093" s="49"/>
      <c r="Q3093" s="49"/>
      <c r="R3093" s="188" t="str">
        <f t="shared" si="101"/>
        <v/>
      </c>
      <c r="T3093" s="21"/>
      <c r="U3093" s="22"/>
      <c r="V3093" s="24"/>
      <c r="W3093" s="24"/>
      <c r="X3093" s="24"/>
      <c r="Y3093" s="24"/>
      <c r="Z3093" s="20" t="str">
        <f t="shared" si="102"/>
        <v/>
      </c>
    </row>
    <row r="3094" spans="1:26" x14ac:dyDescent="0.2">
      <c r="A3094" s="21"/>
      <c r="B3094" s="20"/>
      <c r="C3094" s="22"/>
      <c r="D3094" s="22"/>
      <c r="E3094" s="24"/>
      <c r="F3094" s="22"/>
      <c r="H3094" s="21">
        <v>46090</v>
      </c>
      <c r="I3094" s="22" t="s">
        <v>70</v>
      </c>
      <c r="J3094" s="22" t="s">
        <v>58</v>
      </c>
      <c r="K3094" s="24" t="s">
        <v>61</v>
      </c>
      <c r="M3094" s="21"/>
      <c r="N3094" s="22"/>
      <c r="O3094" s="22"/>
      <c r="P3094" s="49"/>
      <c r="Q3094" s="49"/>
      <c r="R3094" s="188" t="str">
        <f t="shared" ref="R3094:R3157" si="103">IF(OR(P3094="",Q3094=""),"",IFERROR(P3094-Q3094,""))</f>
        <v/>
      </c>
      <c r="T3094" s="21"/>
      <c r="U3094" s="22"/>
      <c r="V3094" s="24"/>
      <c r="W3094" s="24"/>
      <c r="X3094" s="24"/>
      <c r="Y3094" s="24"/>
      <c r="Z3094" s="20" t="str">
        <f t="shared" si="102"/>
        <v/>
      </c>
    </row>
    <row r="3095" spans="1:26" x14ac:dyDescent="0.2">
      <c r="A3095" s="21"/>
      <c r="B3095" s="20"/>
      <c r="C3095" s="22"/>
      <c r="D3095" s="22"/>
      <c r="E3095" s="24"/>
      <c r="F3095" s="22"/>
      <c r="H3095" s="21">
        <v>46090</v>
      </c>
      <c r="I3095" s="22" t="s">
        <v>70</v>
      </c>
      <c r="J3095" s="22" t="s">
        <v>49</v>
      </c>
      <c r="K3095" s="24">
        <v>8</v>
      </c>
      <c r="M3095" s="21"/>
      <c r="N3095" s="22"/>
      <c r="O3095" s="22"/>
      <c r="P3095" s="49"/>
      <c r="Q3095" s="49"/>
      <c r="R3095" s="188" t="str">
        <f t="shared" si="103"/>
        <v/>
      </c>
      <c r="T3095" s="21"/>
      <c r="U3095" s="22"/>
      <c r="V3095" s="24"/>
      <c r="W3095" s="24"/>
      <c r="X3095" s="24"/>
      <c r="Y3095" s="24"/>
      <c r="Z3095" s="20" t="str">
        <f t="shared" si="102"/>
        <v/>
      </c>
    </row>
    <row r="3096" spans="1:26" x14ac:dyDescent="0.2">
      <c r="A3096" s="21"/>
      <c r="B3096" s="20"/>
      <c r="C3096" s="22"/>
      <c r="D3096" s="22"/>
      <c r="E3096" s="24"/>
      <c r="F3096" s="22"/>
      <c r="H3096" s="21">
        <v>46090</v>
      </c>
      <c r="I3096" s="22" t="s">
        <v>70</v>
      </c>
      <c r="J3096" s="22" t="s">
        <v>50</v>
      </c>
      <c r="K3096" s="24" t="s">
        <v>61</v>
      </c>
      <c r="M3096" s="21"/>
      <c r="N3096" s="22"/>
      <c r="O3096" s="22"/>
      <c r="P3096" s="49"/>
      <c r="Q3096" s="49"/>
      <c r="R3096" s="188" t="str">
        <f t="shared" si="103"/>
        <v/>
      </c>
      <c r="T3096" s="21"/>
      <c r="U3096" s="22"/>
      <c r="V3096" s="24"/>
      <c r="W3096" s="24"/>
      <c r="X3096" s="24"/>
      <c r="Y3096" s="24"/>
      <c r="Z3096" s="20" t="str">
        <f t="shared" si="102"/>
        <v/>
      </c>
    </row>
    <row r="3097" spans="1:26" x14ac:dyDescent="0.2">
      <c r="A3097" s="21"/>
      <c r="B3097" s="20"/>
      <c r="C3097" s="22"/>
      <c r="D3097" s="22"/>
      <c r="E3097" s="24"/>
      <c r="F3097" s="22"/>
      <c r="H3097" s="21">
        <v>46090</v>
      </c>
      <c r="I3097" s="22" t="s">
        <v>70</v>
      </c>
      <c r="J3097" s="22" t="s">
        <v>51</v>
      </c>
      <c r="K3097" s="24">
        <v>8</v>
      </c>
      <c r="M3097" s="21"/>
      <c r="N3097" s="22"/>
      <c r="O3097" s="22"/>
      <c r="P3097" s="49"/>
      <c r="Q3097" s="49"/>
      <c r="R3097" s="188" t="str">
        <f t="shared" si="103"/>
        <v/>
      </c>
      <c r="T3097" s="21"/>
      <c r="U3097" s="22"/>
      <c r="V3097" s="24"/>
      <c r="W3097" s="24"/>
      <c r="X3097" s="24"/>
      <c r="Y3097" s="24"/>
      <c r="Z3097" s="20" t="str">
        <f t="shared" si="102"/>
        <v/>
      </c>
    </row>
    <row r="3098" spans="1:26" x14ac:dyDescent="0.2">
      <c r="A3098" s="21"/>
      <c r="B3098" s="20"/>
      <c r="C3098" s="22"/>
      <c r="D3098" s="22"/>
      <c r="E3098" s="24"/>
      <c r="F3098" s="22"/>
      <c r="H3098" s="21">
        <v>46090</v>
      </c>
      <c r="I3098" s="22" t="s">
        <v>70</v>
      </c>
      <c r="J3098" s="22" t="s">
        <v>46</v>
      </c>
      <c r="K3098" s="24">
        <v>8</v>
      </c>
      <c r="M3098" s="21"/>
      <c r="N3098" s="22"/>
      <c r="O3098" s="22"/>
      <c r="P3098" s="49"/>
      <c r="Q3098" s="49"/>
      <c r="R3098" s="188" t="str">
        <f t="shared" si="103"/>
        <v/>
      </c>
      <c r="T3098" s="21"/>
      <c r="U3098" s="22"/>
      <c r="V3098" s="24"/>
      <c r="W3098" s="24"/>
      <c r="X3098" s="24"/>
      <c r="Y3098" s="24"/>
      <c r="Z3098" s="20" t="str">
        <f t="shared" si="102"/>
        <v/>
      </c>
    </row>
    <row r="3099" spans="1:26" x14ac:dyDescent="0.2">
      <c r="A3099" s="21"/>
      <c r="B3099" s="20"/>
      <c r="C3099" s="22"/>
      <c r="D3099" s="22"/>
      <c r="E3099" s="24"/>
      <c r="F3099" s="22"/>
      <c r="H3099" s="21">
        <v>46090</v>
      </c>
      <c r="I3099" s="22" t="s">
        <v>70</v>
      </c>
      <c r="J3099" s="22" t="s">
        <v>48</v>
      </c>
      <c r="K3099" s="24" t="s">
        <v>61</v>
      </c>
      <c r="M3099" s="21"/>
      <c r="N3099" s="22"/>
      <c r="O3099" s="22"/>
      <c r="P3099" s="49"/>
      <c r="Q3099" s="49"/>
      <c r="R3099" s="188" t="str">
        <f t="shared" si="103"/>
        <v/>
      </c>
      <c r="T3099" s="21"/>
      <c r="U3099" s="22"/>
      <c r="V3099" s="24"/>
      <c r="W3099" s="24"/>
      <c r="X3099" s="24"/>
      <c r="Y3099" s="24"/>
      <c r="Z3099" s="20" t="str">
        <f t="shared" si="102"/>
        <v/>
      </c>
    </row>
    <row r="3100" spans="1:26" x14ac:dyDescent="0.2">
      <c r="A3100" s="21"/>
      <c r="B3100" s="20"/>
      <c r="C3100" s="22"/>
      <c r="D3100" s="22"/>
      <c r="E3100" s="24"/>
      <c r="F3100" s="22"/>
      <c r="H3100" s="21">
        <v>46091</v>
      </c>
      <c r="I3100" s="22" t="s">
        <v>70</v>
      </c>
      <c r="J3100" s="22" t="s">
        <v>52</v>
      </c>
      <c r="K3100" s="24">
        <v>5</v>
      </c>
      <c r="M3100" s="21"/>
      <c r="N3100" s="22"/>
      <c r="O3100" s="22"/>
      <c r="P3100" s="49"/>
      <c r="Q3100" s="49"/>
      <c r="R3100" s="188" t="str">
        <f t="shared" si="103"/>
        <v/>
      </c>
      <c r="T3100" s="21"/>
      <c r="U3100" s="22"/>
      <c r="V3100" s="24"/>
      <c r="W3100" s="24"/>
      <c r="X3100" s="24"/>
      <c r="Y3100" s="24"/>
      <c r="Z3100" s="20" t="str">
        <f t="shared" si="102"/>
        <v/>
      </c>
    </row>
    <row r="3101" spans="1:26" x14ac:dyDescent="0.2">
      <c r="A3101" s="21"/>
      <c r="B3101" s="20"/>
      <c r="C3101" s="22"/>
      <c r="D3101" s="22"/>
      <c r="E3101" s="24"/>
      <c r="F3101" s="22"/>
      <c r="H3101" s="21">
        <v>46091</v>
      </c>
      <c r="I3101" s="22" t="s">
        <v>70</v>
      </c>
      <c r="J3101" s="22" t="s">
        <v>53</v>
      </c>
      <c r="K3101" s="24">
        <v>6</v>
      </c>
      <c r="M3101" s="21"/>
      <c r="N3101" s="22"/>
      <c r="O3101" s="22"/>
      <c r="P3101" s="49"/>
      <c r="Q3101" s="49"/>
      <c r="R3101" s="188" t="str">
        <f t="shared" si="103"/>
        <v/>
      </c>
      <c r="T3101" s="21"/>
      <c r="U3101" s="22"/>
      <c r="V3101" s="24"/>
      <c r="W3101" s="24"/>
      <c r="X3101" s="24"/>
      <c r="Y3101" s="24"/>
      <c r="Z3101" s="20" t="str">
        <f t="shared" si="102"/>
        <v/>
      </c>
    </row>
    <row r="3102" spans="1:26" x14ac:dyDescent="0.2">
      <c r="A3102" s="21"/>
      <c r="B3102" s="20"/>
      <c r="C3102" s="22"/>
      <c r="D3102" s="22"/>
      <c r="E3102" s="24"/>
      <c r="F3102" s="22"/>
      <c r="H3102" s="21">
        <v>46091</v>
      </c>
      <c r="I3102" s="22" t="s">
        <v>70</v>
      </c>
      <c r="J3102" s="22" t="s">
        <v>44</v>
      </c>
      <c r="K3102" s="24" t="s">
        <v>61</v>
      </c>
      <c r="M3102" s="21"/>
      <c r="N3102" s="22"/>
      <c r="O3102" s="22"/>
      <c r="P3102" s="49"/>
      <c r="Q3102" s="49"/>
      <c r="R3102" s="188" t="str">
        <f t="shared" si="103"/>
        <v/>
      </c>
      <c r="T3102" s="21"/>
      <c r="U3102" s="22"/>
      <c r="V3102" s="24"/>
      <c r="W3102" s="24"/>
      <c r="X3102" s="24"/>
      <c r="Y3102" s="24"/>
      <c r="Z3102" s="20" t="str">
        <f t="shared" si="102"/>
        <v/>
      </c>
    </row>
    <row r="3103" spans="1:26" x14ac:dyDescent="0.2">
      <c r="A3103" s="21"/>
      <c r="B3103" s="20"/>
      <c r="C3103" s="22"/>
      <c r="D3103" s="22"/>
      <c r="E3103" s="24"/>
      <c r="F3103" s="22"/>
      <c r="H3103" s="21">
        <v>46091</v>
      </c>
      <c r="I3103" s="22" t="s">
        <v>70</v>
      </c>
      <c r="J3103" s="22" t="s">
        <v>45</v>
      </c>
      <c r="K3103" s="24">
        <v>5</v>
      </c>
      <c r="M3103" s="21"/>
      <c r="N3103" s="22"/>
      <c r="O3103" s="22"/>
      <c r="P3103" s="49"/>
      <c r="Q3103" s="49"/>
      <c r="R3103" s="188" t="str">
        <f t="shared" si="103"/>
        <v/>
      </c>
      <c r="T3103" s="21"/>
      <c r="U3103" s="22"/>
      <c r="V3103" s="24"/>
      <c r="W3103" s="24"/>
      <c r="X3103" s="24"/>
      <c r="Y3103" s="24"/>
      <c r="Z3103" s="20" t="str">
        <f t="shared" si="102"/>
        <v/>
      </c>
    </row>
    <row r="3104" spans="1:26" x14ac:dyDescent="0.2">
      <c r="A3104" s="21"/>
      <c r="B3104" s="20"/>
      <c r="C3104" s="22"/>
      <c r="D3104" s="22"/>
      <c r="E3104" s="24"/>
      <c r="F3104" s="22"/>
      <c r="H3104" s="21">
        <v>46091</v>
      </c>
      <c r="I3104" s="22" t="s">
        <v>70</v>
      </c>
      <c r="J3104" s="22" t="s">
        <v>57</v>
      </c>
      <c r="K3104" s="24">
        <v>7</v>
      </c>
      <c r="M3104" s="21"/>
      <c r="N3104" s="22"/>
      <c r="O3104" s="22"/>
      <c r="P3104" s="49"/>
      <c r="Q3104" s="49"/>
      <c r="R3104" s="188" t="str">
        <f t="shared" si="103"/>
        <v/>
      </c>
      <c r="T3104" s="21"/>
      <c r="U3104" s="22"/>
      <c r="V3104" s="24"/>
      <c r="W3104" s="24"/>
      <c r="X3104" s="24"/>
      <c r="Y3104" s="24"/>
      <c r="Z3104" s="20" t="str">
        <f t="shared" si="102"/>
        <v/>
      </c>
    </row>
    <row r="3105" spans="1:26" x14ac:dyDescent="0.2">
      <c r="A3105" s="21"/>
      <c r="B3105" s="20"/>
      <c r="C3105" s="22"/>
      <c r="D3105" s="22"/>
      <c r="E3105" s="24"/>
      <c r="F3105" s="22"/>
      <c r="H3105" s="21">
        <v>46091</v>
      </c>
      <c r="I3105" s="22" t="s">
        <v>70</v>
      </c>
      <c r="J3105" s="22" t="s">
        <v>42</v>
      </c>
      <c r="K3105" s="24">
        <v>2</v>
      </c>
      <c r="M3105" s="21"/>
      <c r="N3105" s="22"/>
      <c r="O3105" s="22"/>
      <c r="P3105" s="49"/>
      <c r="Q3105" s="49"/>
      <c r="R3105" s="188" t="str">
        <f t="shared" si="103"/>
        <v/>
      </c>
      <c r="T3105" s="21"/>
      <c r="U3105" s="22"/>
      <c r="V3105" s="24"/>
      <c r="W3105" s="24"/>
      <c r="X3105" s="24"/>
      <c r="Y3105" s="24"/>
      <c r="Z3105" s="20" t="str">
        <f t="shared" si="102"/>
        <v/>
      </c>
    </row>
    <row r="3106" spans="1:26" x14ac:dyDescent="0.2">
      <c r="A3106" s="21"/>
      <c r="B3106" s="20"/>
      <c r="C3106" s="22"/>
      <c r="D3106" s="22"/>
      <c r="E3106" s="24"/>
      <c r="F3106" s="22"/>
      <c r="H3106" s="21">
        <v>46091</v>
      </c>
      <c r="I3106" s="22" t="s">
        <v>70</v>
      </c>
      <c r="J3106" s="22" t="s">
        <v>47</v>
      </c>
      <c r="K3106" s="24">
        <v>6</v>
      </c>
      <c r="M3106" s="21"/>
      <c r="N3106" s="22"/>
      <c r="O3106" s="22"/>
      <c r="P3106" s="49"/>
      <c r="Q3106" s="49"/>
      <c r="R3106" s="188" t="str">
        <f t="shared" si="103"/>
        <v/>
      </c>
      <c r="T3106" s="21"/>
      <c r="U3106" s="22"/>
      <c r="V3106" s="24"/>
      <c r="W3106" s="24"/>
      <c r="X3106" s="24"/>
      <c r="Y3106" s="24"/>
      <c r="Z3106" s="20" t="str">
        <f t="shared" si="102"/>
        <v/>
      </c>
    </row>
    <row r="3107" spans="1:26" x14ac:dyDescent="0.2">
      <c r="A3107" s="21"/>
      <c r="B3107" s="20"/>
      <c r="C3107" s="22"/>
      <c r="D3107" s="22"/>
      <c r="E3107" s="24"/>
      <c r="F3107" s="22"/>
      <c r="H3107" s="21">
        <v>46091</v>
      </c>
      <c r="I3107" s="22" t="s">
        <v>70</v>
      </c>
      <c r="J3107" s="22" t="s">
        <v>41</v>
      </c>
      <c r="K3107" s="24">
        <v>4</v>
      </c>
      <c r="M3107" s="21"/>
      <c r="N3107" s="22"/>
      <c r="O3107" s="22"/>
      <c r="P3107" s="49"/>
      <c r="Q3107" s="49"/>
      <c r="R3107" s="188" t="str">
        <f t="shared" si="103"/>
        <v/>
      </c>
      <c r="T3107" s="21"/>
      <c r="U3107" s="22"/>
      <c r="V3107" s="24"/>
      <c r="W3107" s="24"/>
      <c r="X3107" s="24"/>
      <c r="Y3107" s="24"/>
      <c r="Z3107" s="20" t="str">
        <f t="shared" si="102"/>
        <v/>
      </c>
    </row>
    <row r="3108" spans="1:26" x14ac:dyDescent="0.2">
      <c r="A3108" s="21"/>
      <c r="B3108" s="20"/>
      <c r="C3108" s="22"/>
      <c r="D3108" s="22"/>
      <c r="E3108" s="24"/>
      <c r="F3108" s="22"/>
      <c r="H3108" s="21">
        <v>46091</v>
      </c>
      <c r="I3108" s="22" t="s">
        <v>70</v>
      </c>
      <c r="J3108" s="22" t="s">
        <v>58</v>
      </c>
      <c r="K3108" s="24" t="s">
        <v>61</v>
      </c>
      <c r="M3108" s="21"/>
      <c r="N3108" s="22"/>
      <c r="O3108" s="22"/>
      <c r="P3108" s="49"/>
      <c r="Q3108" s="49"/>
      <c r="R3108" s="188" t="str">
        <f t="shared" si="103"/>
        <v/>
      </c>
      <c r="T3108" s="21"/>
      <c r="U3108" s="22"/>
      <c r="V3108" s="24"/>
      <c r="W3108" s="24"/>
      <c r="X3108" s="24"/>
      <c r="Y3108" s="24"/>
      <c r="Z3108" s="20" t="str">
        <f t="shared" si="102"/>
        <v/>
      </c>
    </row>
    <row r="3109" spans="1:26" x14ac:dyDescent="0.2">
      <c r="A3109" s="21"/>
      <c r="B3109" s="20"/>
      <c r="C3109" s="22"/>
      <c r="D3109" s="22"/>
      <c r="E3109" s="24"/>
      <c r="F3109" s="22"/>
      <c r="H3109" s="21">
        <v>46091</v>
      </c>
      <c r="I3109" s="22" t="s">
        <v>70</v>
      </c>
      <c r="J3109" s="22" t="s">
        <v>49</v>
      </c>
      <c r="K3109" s="24">
        <v>7</v>
      </c>
      <c r="M3109" s="21"/>
      <c r="N3109" s="22"/>
      <c r="O3109" s="22"/>
      <c r="P3109" s="49"/>
      <c r="Q3109" s="49"/>
      <c r="R3109" s="188" t="str">
        <f t="shared" si="103"/>
        <v/>
      </c>
      <c r="T3109" s="21"/>
      <c r="U3109" s="22"/>
      <c r="V3109" s="24"/>
      <c r="W3109" s="24"/>
      <c r="X3109" s="24"/>
      <c r="Y3109" s="24"/>
      <c r="Z3109" s="20" t="str">
        <f t="shared" si="102"/>
        <v/>
      </c>
    </row>
    <row r="3110" spans="1:26" x14ac:dyDescent="0.2">
      <c r="A3110" s="21"/>
      <c r="B3110" s="20"/>
      <c r="C3110" s="22"/>
      <c r="D3110" s="22"/>
      <c r="E3110" s="24"/>
      <c r="F3110" s="22"/>
      <c r="H3110" s="21">
        <v>46091</v>
      </c>
      <c r="I3110" s="22" t="s">
        <v>70</v>
      </c>
      <c r="J3110" s="22" t="s">
        <v>50</v>
      </c>
      <c r="K3110" s="24" t="s">
        <v>61</v>
      </c>
      <c r="M3110" s="21"/>
      <c r="N3110" s="22"/>
      <c r="O3110" s="22"/>
      <c r="P3110" s="49"/>
      <c r="Q3110" s="49"/>
      <c r="R3110" s="188" t="str">
        <f t="shared" si="103"/>
        <v/>
      </c>
      <c r="T3110" s="21"/>
      <c r="U3110" s="22"/>
      <c r="V3110" s="24"/>
      <c r="W3110" s="24"/>
      <c r="X3110" s="24"/>
      <c r="Y3110" s="24"/>
      <c r="Z3110" s="20" t="str">
        <f t="shared" si="102"/>
        <v/>
      </c>
    </row>
    <row r="3111" spans="1:26" x14ac:dyDescent="0.2">
      <c r="A3111" s="21"/>
      <c r="B3111" s="20"/>
      <c r="C3111" s="22"/>
      <c r="D3111" s="22"/>
      <c r="E3111" s="24"/>
      <c r="F3111" s="22"/>
      <c r="H3111" s="21">
        <v>46091</v>
      </c>
      <c r="I3111" s="22" t="s">
        <v>70</v>
      </c>
      <c r="J3111" s="22" t="s">
        <v>51</v>
      </c>
      <c r="K3111" s="24">
        <v>7</v>
      </c>
      <c r="M3111" s="21"/>
      <c r="N3111" s="22"/>
      <c r="O3111" s="22"/>
      <c r="P3111" s="49"/>
      <c r="Q3111" s="49"/>
      <c r="R3111" s="188" t="str">
        <f t="shared" si="103"/>
        <v/>
      </c>
      <c r="T3111" s="21"/>
      <c r="U3111" s="22"/>
      <c r="V3111" s="24"/>
      <c r="W3111" s="24"/>
      <c r="X3111" s="24"/>
      <c r="Y3111" s="24"/>
      <c r="Z3111" s="20" t="str">
        <f t="shared" si="102"/>
        <v/>
      </c>
    </row>
    <row r="3112" spans="1:26" x14ac:dyDescent="0.2">
      <c r="A3112" s="21"/>
      <c r="B3112" s="20"/>
      <c r="C3112" s="22"/>
      <c r="D3112" s="22"/>
      <c r="E3112" s="24"/>
      <c r="F3112" s="22"/>
      <c r="H3112" s="21">
        <v>46091</v>
      </c>
      <c r="I3112" s="22" t="s">
        <v>70</v>
      </c>
      <c r="J3112" s="22" t="s">
        <v>46</v>
      </c>
      <c r="K3112" s="24">
        <v>4</v>
      </c>
      <c r="M3112" s="21"/>
      <c r="N3112" s="22"/>
      <c r="O3112" s="22"/>
      <c r="P3112" s="49"/>
      <c r="Q3112" s="49"/>
      <c r="R3112" s="188" t="str">
        <f t="shared" si="103"/>
        <v/>
      </c>
      <c r="T3112" s="21"/>
      <c r="U3112" s="22"/>
      <c r="V3112" s="24"/>
      <c r="W3112" s="24"/>
      <c r="X3112" s="24"/>
      <c r="Y3112" s="24"/>
      <c r="Z3112" s="20" t="str">
        <f t="shared" si="102"/>
        <v/>
      </c>
    </row>
    <row r="3113" spans="1:26" x14ac:dyDescent="0.2">
      <c r="A3113" s="21"/>
      <c r="B3113" s="20"/>
      <c r="C3113" s="22"/>
      <c r="D3113" s="22"/>
      <c r="E3113" s="24"/>
      <c r="F3113" s="22"/>
      <c r="H3113" s="21">
        <v>46091</v>
      </c>
      <c r="I3113" s="22" t="s">
        <v>70</v>
      </c>
      <c r="J3113" s="22" t="s">
        <v>48</v>
      </c>
      <c r="K3113" s="24" t="s">
        <v>61</v>
      </c>
      <c r="M3113" s="21"/>
      <c r="N3113" s="22"/>
      <c r="O3113" s="22"/>
      <c r="P3113" s="49"/>
      <c r="Q3113" s="49"/>
      <c r="R3113" s="188" t="str">
        <f t="shared" si="103"/>
        <v/>
      </c>
      <c r="T3113" s="21"/>
      <c r="U3113" s="22"/>
      <c r="V3113" s="24"/>
      <c r="W3113" s="24"/>
      <c r="X3113" s="24"/>
      <c r="Y3113" s="24"/>
      <c r="Z3113" s="20" t="str">
        <f t="shared" si="102"/>
        <v/>
      </c>
    </row>
    <row r="3114" spans="1:26" x14ac:dyDescent="0.2">
      <c r="A3114" s="21"/>
      <c r="B3114" s="20"/>
      <c r="C3114" s="22"/>
      <c r="D3114" s="22"/>
      <c r="E3114" s="24"/>
      <c r="F3114" s="22"/>
      <c r="H3114" s="21">
        <v>46091</v>
      </c>
      <c r="I3114" s="22" t="s">
        <v>70</v>
      </c>
      <c r="J3114" s="22" t="s">
        <v>56</v>
      </c>
      <c r="K3114" s="24">
        <v>8</v>
      </c>
      <c r="M3114" s="21"/>
      <c r="N3114" s="22"/>
      <c r="O3114" s="22"/>
      <c r="P3114" s="49"/>
      <c r="Q3114" s="49"/>
      <c r="R3114" s="188" t="str">
        <f t="shared" si="103"/>
        <v/>
      </c>
      <c r="T3114" s="21"/>
      <c r="U3114" s="22"/>
      <c r="V3114" s="24"/>
      <c r="W3114" s="24"/>
      <c r="X3114" s="24"/>
      <c r="Y3114" s="24"/>
      <c r="Z3114" s="20" t="str">
        <f t="shared" si="102"/>
        <v/>
      </c>
    </row>
    <row r="3115" spans="1:26" x14ac:dyDescent="0.2">
      <c r="A3115" s="21"/>
      <c r="B3115" s="20"/>
      <c r="C3115" s="22"/>
      <c r="D3115" s="22"/>
      <c r="E3115" s="24"/>
      <c r="F3115" s="22"/>
      <c r="H3115" s="21">
        <v>46092</v>
      </c>
      <c r="I3115" s="22" t="s">
        <v>70</v>
      </c>
      <c r="J3115" s="22" t="s">
        <v>52</v>
      </c>
      <c r="K3115" s="24">
        <v>7</v>
      </c>
      <c r="M3115" s="21"/>
      <c r="N3115" s="22"/>
      <c r="O3115" s="22"/>
      <c r="P3115" s="49"/>
      <c r="Q3115" s="49"/>
      <c r="R3115" s="188" t="str">
        <f t="shared" si="103"/>
        <v/>
      </c>
      <c r="T3115" s="21"/>
      <c r="U3115" s="22"/>
      <c r="V3115" s="24"/>
      <c r="W3115" s="24"/>
      <c r="X3115" s="24"/>
      <c r="Y3115" s="24"/>
      <c r="Z3115" s="20" t="str">
        <f t="shared" si="102"/>
        <v/>
      </c>
    </row>
    <row r="3116" spans="1:26" x14ac:dyDescent="0.2">
      <c r="A3116" s="21"/>
      <c r="B3116" s="20"/>
      <c r="C3116" s="22"/>
      <c r="D3116" s="22"/>
      <c r="E3116" s="24"/>
      <c r="F3116" s="22"/>
      <c r="H3116" s="21">
        <v>46092</v>
      </c>
      <c r="I3116" s="22" t="s">
        <v>70</v>
      </c>
      <c r="J3116" s="22" t="s">
        <v>53</v>
      </c>
      <c r="K3116" s="24">
        <v>7</v>
      </c>
      <c r="M3116" s="21"/>
      <c r="N3116" s="22"/>
      <c r="O3116" s="22"/>
      <c r="P3116" s="49"/>
      <c r="Q3116" s="49"/>
      <c r="R3116" s="188" t="str">
        <f t="shared" si="103"/>
        <v/>
      </c>
      <c r="T3116" s="21"/>
      <c r="U3116" s="22"/>
      <c r="V3116" s="24"/>
      <c r="W3116" s="24"/>
      <c r="X3116" s="24"/>
      <c r="Y3116" s="24"/>
      <c r="Z3116" s="20" t="str">
        <f t="shared" si="102"/>
        <v/>
      </c>
    </row>
    <row r="3117" spans="1:26" x14ac:dyDescent="0.2">
      <c r="A3117" s="21"/>
      <c r="B3117" s="20"/>
      <c r="C3117" s="22"/>
      <c r="D3117" s="22"/>
      <c r="E3117" s="24"/>
      <c r="F3117" s="22"/>
      <c r="H3117" s="21">
        <v>46092</v>
      </c>
      <c r="I3117" s="22" t="s">
        <v>70</v>
      </c>
      <c r="J3117" s="22" t="s">
        <v>44</v>
      </c>
      <c r="K3117" s="24" t="s">
        <v>61</v>
      </c>
      <c r="M3117" s="21"/>
      <c r="N3117" s="22"/>
      <c r="O3117" s="22"/>
      <c r="P3117" s="49"/>
      <c r="Q3117" s="49"/>
      <c r="R3117" s="188" t="str">
        <f t="shared" si="103"/>
        <v/>
      </c>
      <c r="T3117" s="21"/>
      <c r="U3117" s="22"/>
      <c r="V3117" s="24"/>
      <c r="W3117" s="24"/>
      <c r="X3117" s="24"/>
      <c r="Y3117" s="24"/>
      <c r="Z3117" s="20" t="str">
        <f t="shared" si="102"/>
        <v/>
      </c>
    </row>
    <row r="3118" spans="1:26" x14ac:dyDescent="0.2">
      <c r="A3118" s="21"/>
      <c r="B3118" s="20"/>
      <c r="C3118" s="22"/>
      <c r="D3118" s="22"/>
      <c r="E3118" s="24"/>
      <c r="F3118" s="22"/>
      <c r="H3118" s="21">
        <v>46092</v>
      </c>
      <c r="I3118" s="22" t="s">
        <v>70</v>
      </c>
      <c r="J3118" s="22" t="s">
        <v>45</v>
      </c>
      <c r="K3118" s="24">
        <v>5</v>
      </c>
      <c r="M3118" s="21"/>
      <c r="N3118" s="22"/>
      <c r="O3118" s="22"/>
      <c r="P3118" s="49"/>
      <c r="Q3118" s="49"/>
      <c r="R3118" s="188" t="str">
        <f t="shared" si="103"/>
        <v/>
      </c>
      <c r="T3118" s="21"/>
      <c r="U3118" s="22"/>
      <c r="V3118" s="24"/>
      <c r="W3118" s="24"/>
      <c r="X3118" s="24"/>
      <c r="Y3118" s="24"/>
      <c r="Z3118" s="20" t="str">
        <f t="shared" si="102"/>
        <v/>
      </c>
    </row>
    <row r="3119" spans="1:26" x14ac:dyDescent="0.2">
      <c r="A3119" s="21"/>
      <c r="B3119" s="20"/>
      <c r="C3119" s="22"/>
      <c r="D3119" s="22"/>
      <c r="E3119" s="24"/>
      <c r="F3119" s="22"/>
      <c r="H3119" s="21">
        <v>46092</v>
      </c>
      <c r="I3119" s="22" t="s">
        <v>70</v>
      </c>
      <c r="J3119" s="22" t="s">
        <v>57</v>
      </c>
      <c r="K3119" s="24">
        <v>7</v>
      </c>
      <c r="M3119" s="21"/>
      <c r="N3119" s="22"/>
      <c r="O3119" s="22"/>
      <c r="P3119" s="49"/>
      <c r="Q3119" s="49"/>
      <c r="R3119" s="188" t="str">
        <f t="shared" si="103"/>
        <v/>
      </c>
      <c r="T3119" s="21"/>
      <c r="U3119" s="22"/>
      <c r="V3119" s="24"/>
      <c r="W3119" s="24"/>
      <c r="X3119" s="24"/>
      <c r="Y3119" s="24"/>
      <c r="Z3119" s="20" t="str">
        <f t="shared" si="102"/>
        <v/>
      </c>
    </row>
    <row r="3120" spans="1:26" x14ac:dyDescent="0.2">
      <c r="A3120" s="21"/>
      <c r="B3120" s="20"/>
      <c r="C3120" s="22"/>
      <c r="D3120" s="22"/>
      <c r="E3120" s="24"/>
      <c r="F3120" s="22"/>
      <c r="H3120" s="21">
        <v>46092</v>
      </c>
      <c r="I3120" s="22" t="s">
        <v>70</v>
      </c>
      <c r="J3120" s="22" t="s">
        <v>42</v>
      </c>
      <c r="K3120" s="24">
        <v>5</v>
      </c>
      <c r="M3120" s="21"/>
      <c r="N3120" s="22"/>
      <c r="O3120" s="22"/>
      <c r="P3120" s="49"/>
      <c r="Q3120" s="49"/>
      <c r="R3120" s="188" t="str">
        <f t="shared" si="103"/>
        <v/>
      </c>
      <c r="T3120" s="21"/>
      <c r="U3120" s="22"/>
      <c r="V3120" s="24"/>
      <c r="W3120" s="24"/>
      <c r="X3120" s="24"/>
      <c r="Y3120" s="24"/>
      <c r="Z3120" s="20" t="str">
        <f t="shared" si="102"/>
        <v/>
      </c>
    </row>
    <row r="3121" spans="1:26" x14ac:dyDescent="0.2">
      <c r="A3121" s="21"/>
      <c r="B3121" s="20"/>
      <c r="C3121" s="22"/>
      <c r="D3121" s="22"/>
      <c r="E3121" s="24"/>
      <c r="F3121" s="22"/>
      <c r="H3121" s="21">
        <v>46092</v>
      </c>
      <c r="I3121" s="22" t="s">
        <v>70</v>
      </c>
      <c r="J3121" s="22" t="s">
        <v>47</v>
      </c>
      <c r="K3121" s="24">
        <v>7</v>
      </c>
      <c r="M3121" s="21"/>
      <c r="N3121" s="22"/>
      <c r="O3121" s="22"/>
      <c r="P3121" s="49"/>
      <c r="Q3121" s="49"/>
      <c r="R3121" s="188" t="str">
        <f t="shared" si="103"/>
        <v/>
      </c>
      <c r="T3121" s="21"/>
      <c r="U3121" s="22"/>
      <c r="V3121" s="24"/>
      <c r="W3121" s="24"/>
      <c r="X3121" s="24"/>
      <c r="Y3121" s="24"/>
      <c r="Z3121" s="20" t="str">
        <f t="shared" si="102"/>
        <v/>
      </c>
    </row>
    <row r="3122" spans="1:26" x14ac:dyDescent="0.2">
      <c r="A3122" s="21"/>
      <c r="B3122" s="20"/>
      <c r="C3122" s="22"/>
      <c r="D3122" s="22"/>
      <c r="E3122" s="24"/>
      <c r="F3122" s="22"/>
      <c r="H3122" s="21">
        <v>46092</v>
      </c>
      <c r="I3122" s="22" t="s">
        <v>70</v>
      </c>
      <c r="J3122" s="22" t="s">
        <v>41</v>
      </c>
      <c r="K3122" s="24">
        <v>5</v>
      </c>
      <c r="M3122" s="21"/>
      <c r="N3122" s="22"/>
      <c r="O3122" s="22"/>
      <c r="P3122" s="49"/>
      <c r="Q3122" s="49"/>
      <c r="R3122" s="188" t="str">
        <f t="shared" si="103"/>
        <v/>
      </c>
      <c r="T3122" s="21"/>
      <c r="U3122" s="22"/>
      <c r="V3122" s="24"/>
      <c r="W3122" s="24"/>
      <c r="X3122" s="24"/>
      <c r="Y3122" s="24"/>
      <c r="Z3122" s="20" t="str">
        <f t="shared" si="102"/>
        <v/>
      </c>
    </row>
    <row r="3123" spans="1:26" x14ac:dyDescent="0.2">
      <c r="A3123" s="21"/>
      <c r="B3123" s="20"/>
      <c r="C3123" s="22"/>
      <c r="D3123" s="22"/>
      <c r="E3123" s="24"/>
      <c r="F3123" s="22"/>
      <c r="H3123" s="21">
        <v>46092</v>
      </c>
      <c r="I3123" s="22" t="s">
        <v>70</v>
      </c>
      <c r="J3123" s="22" t="s">
        <v>58</v>
      </c>
      <c r="K3123" s="24" t="s">
        <v>61</v>
      </c>
      <c r="M3123" s="21"/>
      <c r="N3123" s="22"/>
      <c r="O3123" s="22"/>
      <c r="P3123" s="49"/>
      <c r="Q3123" s="49"/>
      <c r="R3123" s="188" t="str">
        <f t="shared" si="103"/>
        <v/>
      </c>
      <c r="T3123" s="21"/>
      <c r="U3123" s="22"/>
      <c r="V3123" s="24"/>
      <c r="W3123" s="24"/>
      <c r="X3123" s="24"/>
      <c r="Y3123" s="24"/>
      <c r="Z3123" s="20" t="str">
        <f t="shared" si="102"/>
        <v/>
      </c>
    </row>
    <row r="3124" spans="1:26" x14ac:dyDescent="0.2">
      <c r="A3124" s="21"/>
      <c r="B3124" s="20"/>
      <c r="C3124" s="22"/>
      <c r="D3124" s="22"/>
      <c r="E3124" s="24"/>
      <c r="F3124" s="22"/>
      <c r="H3124" s="21">
        <v>46092</v>
      </c>
      <c r="I3124" s="22" t="s">
        <v>70</v>
      </c>
      <c r="J3124" s="22" t="s">
        <v>49</v>
      </c>
      <c r="K3124" s="24">
        <v>7</v>
      </c>
      <c r="M3124" s="21"/>
      <c r="N3124" s="22"/>
      <c r="O3124" s="22"/>
      <c r="P3124" s="49"/>
      <c r="Q3124" s="49"/>
      <c r="R3124" s="188" t="str">
        <f t="shared" si="103"/>
        <v/>
      </c>
      <c r="T3124" s="21"/>
      <c r="U3124" s="22"/>
      <c r="V3124" s="24"/>
      <c r="W3124" s="24"/>
      <c r="X3124" s="24"/>
      <c r="Y3124" s="24"/>
      <c r="Z3124" s="20" t="str">
        <f t="shared" si="102"/>
        <v/>
      </c>
    </row>
    <row r="3125" spans="1:26" x14ac:dyDescent="0.2">
      <c r="A3125" s="21"/>
      <c r="B3125" s="20"/>
      <c r="C3125" s="22"/>
      <c r="D3125" s="22"/>
      <c r="E3125" s="24"/>
      <c r="F3125" s="22"/>
      <c r="H3125" s="21">
        <v>46092</v>
      </c>
      <c r="I3125" s="22" t="s">
        <v>70</v>
      </c>
      <c r="J3125" s="22" t="s">
        <v>50</v>
      </c>
      <c r="K3125" s="24">
        <v>6</v>
      </c>
      <c r="M3125" s="21"/>
      <c r="N3125" s="22"/>
      <c r="O3125" s="22"/>
      <c r="P3125" s="49"/>
      <c r="Q3125" s="49"/>
      <c r="R3125" s="188" t="str">
        <f t="shared" si="103"/>
        <v/>
      </c>
      <c r="T3125" s="21"/>
      <c r="U3125" s="22"/>
      <c r="V3125" s="24"/>
      <c r="W3125" s="24"/>
      <c r="X3125" s="24"/>
      <c r="Y3125" s="24"/>
      <c r="Z3125" s="20" t="str">
        <f t="shared" si="102"/>
        <v/>
      </c>
    </row>
    <row r="3126" spans="1:26" x14ac:dyDescent="0.2">
      <c r="A3126" s="21"/>
      <c r="B3126" s="20"/>
      <c r="C3126" s="22"/>
      <c r="D3126" s="22"/>
      <c r="E3126" s="24"/>
      <c r="F3126" s="22"/>
      <c r="H3126" s="21">
        <v>46092</v>
      </c>
      <c r="I3126" s="22" t="s">
        <v>70</v>
      </c>
      <c r="J3126" s="22" t="s">
        <v>51</v>
      </c>
      <c r="K3126" s="24">
        <v>8</v>
      </c>
      <c r="M3126" s="21"/>
      <c r="N3126" s="22"/>
      <c r="O3126" s="22"/>
      <c r="P3126" s="49"/>
      <c r="Q3126" s="49"/>
      <c r="R3126" s="188" t="str">
        <f t="shared" si="103"/>
        <v/>
      </c>
      <c r="T3126" s="21"/>
      <c r="U3126" s="22"/>
      <c r="V3126" s="24"/>
      <c r="W3126" s="24"/>
      <c r="X3126" s="24"/>
      <c r="Y3126" s="24"/>
      <c r="Z3126" s="20" t="str">
        <f t="shared" si="102"/>
        <v/>
      </c>
    </row>
    <row r="3127" spans="1:26" x14ac:dyDescent="0.2">
      <c r="A3127" s="21"/>
      <c r="B3127" s="20"/>
      <c r="C3127" s="22"/>
      <c r="D3127" s="22"/>
      <c r="E3127" s="24"/>
      <c r="F3127" s="22"/>
      <c r="H3127" s="21">
        <v>46092</v>
      </c>
      <c r="I3127" s="22" t="s">
        <v>70</v>
      </c>
      <c r="J3127" s="22" t="s">
        <v>46</v>
      </c>
      <c r="K3127" s="24">
        <v>6</v>
      </c>
      <c r="M3127" s="21"/>
      <c r="N3127" s="22"/>
      <c r="O3127" s="22"/>
      <c r="P3127" s="49"/>
      <c r="Q3127" s="49"/>
      <c r="R3127" s="188" t="str">
        <f t="shared" si="103"/>
        <v/>
      </c>
      <c r="T3127" s="21"/>
      <c r="U3127" s="22"/>
      <c r="V3127" s="24"/>
      <c r="W3127" s="24"/>
      <c r="X3127" s="24"/>
      <c r="Y3127" s="24"/>
      <c r="Z3127" s="20" t="str">
        <f t="shared" si="102"/>
        <v/>
      </c>
    </row>
    <row r="3128" spans="1:26" x14ac:dyDescent="0.2">
      <c r="A3128" s="21"/>
      <c r="B3128" s="20"/>
      <c r="C3128" s="22"/>
      <c r="D3128" s="22"/>
      <c r="E3128" s="24"/>
      <c r="F3128" s="22"/>
      <c r="H3128" s="21">
        <v>46092</v>
      </c>
      <c r="I3128" s="22" t="s">
        <v>70</v>
      </c>
      <c r="J3128" s="22" t="s">
        <v>48</v>
      </c>
      <c r="K3128" s="24">
        <v>7</v>
      </c>
      <c r="M3128" s="21"/>
      <c r="N3128" s="22"/>
      <c r="O3128" s="22"/>
      <c r="P3128" s="49"/>
      <c r="Q3128" s="49"/>
      <c r="R3128" s="188" t="str">
        <f t="shared" si="103"/>
        <v/>
      </c>
      <c r="T3128" s="21"/>
      <c r="U3128" s="22"/>
      <c r="V3128" s="24"/>
      <c r="W3128" s="24"/>
      <c r="X3128" s="24"/>
      <c r="Y3128" s="24"/>
      <c r="Z3128" s="20" t="str">
        <f t="shared" si="102"/>
        <v/>
      </c>
    </row>
    <row r="3129" spans="1:26" x14ac:dyDescent="0.2">
      <c r="A3129" s="21"/>
      <c r="B3129" s="20"/>
      <c r="C3129" s="22"/>
      <c r="D3129" s="22"/>
      <c r="E3129" s="24"/>
      <c r="F3129" s="22"/>
      <c r="H3129" s="21">
        <v>46092</v>
      </c>
      <c r="I3129" s="22" t="s">
        <v>70</v>
      </c>
      <c r="J3129" s="22" t="s">
        <v>56</v>
      </c>
      <c r="K3129" s="24">
        <v>7</v>
      </c>
      <c r="M3129" s="21"/>
      <c r="N3129" s="22"/>
      <c r="O3129" s="22"/>
      <c r="P3129" s="49"/>
      <c r="Q3129" s="49"/>
      <c r="R3129" s="188" t="str">
        <f t="shared" si="103"/>
        <v/>
      </c>
      <c r="T3129" s="21"/>
      <c r="U3129" s="22"/>
      <c r="V3129" s="24"/>
      <c r="W3129" s="24"/>
      <c r="X3129" s="24"/>
      <c r="Y3129" s="24"/>
      <c r="Z3129" s="20" t="str">
        <f t="shared" si="102"/>
        <v/>
      </c>
    </row>
    <row r="3130" spans="1:26" x14ac:dyDescent="0.2">
      <c r="A3130" s="21"/>
      <c r="B3130" s="20"/>
      <c r="C3130" s="22"/>
      <c r="D3130" s="22"/>
      <c r="E3130" s="24"/>
      <c r="F3130" s="22"/>
      <c r="H3130" s="21">
        <v>46093</v>
      </c>
      <c r="I3130" s="22" t="s">
        <v>70</v>
      </c>
      <c r="J3130" s="22" t="s">
        <v>52</v>
      </c>
      <c r="K3130" s="24">
        <v>4</v>
      </c>
      <c r="M3130" s="21"/>
      <c r="N3130" s="22"/>
      <c r="O3130" s="22"/>
      <c r="P3130" s="49"/>
      <c r="Q3130" s="49"/>
      <c r="R3130" s="188" t="str">
        <f t="shared" si="103"/>
        <v/>
      </c>
      <c r="T3130" s="21"/>
      <c r="U3130" s="22"/>
      <c r="V3130" s="24"/>
      <c r="W3130" s="24"/>
      <c r="X3130" s="24"/>
      <c r="Y3130" s="24"/>
      <c r="Z3130" s="20" t="str">
        <f t="shared" si="102"/>
        <v/>
      </c>
    </row>
    <row r="3131" spans="1:26" x14ac:dyDescent="0.2">
      <c r="A3131" s="21"/>
      <c r="B3131" s="20"/>
      <c r="C3131" s="22"/>
      <c r="D3131" s="22"/>
      <c r="E3131" s="24"/>
      <c r="F3131" s="22"/>
      <c r="H3131" s="21">
        <v>46093</v>
      </c>
      <c r="I3131" s="22" t="s">
        <v>70</v>
      </c>
      <c r="J3131" s="22" t="s">
        <v>53</v>
      </c>
      <c r="K3131" s="24">
        <v>4</v>
      </c>
      <c r="M3131" s="21"/>
      <c r="N3131" s="22"/>
      <c r="O3131" s="22"/>
      <c r="P3131" s="49"/>
      <c r="Q3131" s="49"/>
      <c r="R3131" s="188" t="str">
        <f t="shared" si="103"/>
        <v/>
      </c>
      <c r="T3131" s="21"/>
      <c r="U3131" s="22"/>
      <c r="V3131" s="24"/>
      <c r="W3131" s="24"/>
      <c r="X3131" s="24"/>
      <c r="Y3131" s="24"/>
      <c r="Z3131" s="20" t="str">
        <f t="shared" si="102"/>
        <v/>
      </c>
    </row>
    <row r="3132" spans="1:26" x14ac:dyDescent="0.2">
      <c r="A3132" s="21"/>
      <c r="B3132" s="20"/>
      <c r="C3132" s="22"/>
      <c r="D3132" s="22"/>
      <c r="E3132" s="24"/>
      <c r="F3132" s="22"/>
      <c r="H3132" s="21">
        <v>46093</v>
      </c>
      <c r="I3132" s="22" t="s">
        <v>70</v>
      </c>
      <c r="J3132" s="22" t="s">
        <v>44</v>
      </c>
      <c r="K3132" s="24">
        <v>6</v>
      </c>
      <c r="M3132" s="21"/>
      <c r="N3132" s="22"/>
      <c r="O3132" s="22"/>
      <c r="P3132" s="49"/>
      <c r="Q3132" s="49"/>
      <c r="R3132" s="188" t="str">
        <f t="shared" si="103"/>
        <v/>
      </c>
      <c r="T3132" s="21"/>
      <c r="U3132" s="22"/>
      <c r="V3132" s="24"/>
      <c r="W3132" s="24"/>
      <c r="X3132" s="24"/>
      <c r="Y3132" s="24"/>
      <c r="Z3132" s="20" t="str">
        <f t="shared" si="102"/>
        <v/>
      </c>
    </row>
    <row r="3133" spans="1:26" x14ac:dyDescent="0.2">
      <c r="A3133" s="21"/>
      <c r="B3133" s="20"/>
      <c r="C3133" s="22"/>
      <c r="D3133" s="22"/>
      <c r="E3133" s="24"/>
      <c r="F3133" s="22"/>
      <c r="H3133" s="21">
        <v>46093</v>
      </c>
      <c r="I3133" s="22" t="s">
        <v>70</v>
      </c>
      <c r="J3133" s="22" t="s">
        <v>45</v>
      </c>
      <c r="K3133" s="24" t="s">
        <v>61</v>
      </c>
      <c r="M3133" s="21"/>
      <c r="N3133" s="22"/>
      <c r="O3133" s="22"/>
      <c r="P3133" s="49"/>
      <c r="Q3133" s="49"/>
      <c r="R3133" s="188" t="str">
        <f t="shared" si="103"/>
        <v/>
      </c>
      <c r="T3133" s="21"/>
      <c r="U3133" s="22"/>
      <c r="V3133" s="24"/>
      <c r="W3133" s="24"/>
      <c r="X3133" s="24"/>
      <c r="Y3133" s="24"/>
      <c r="Z3133" s="20" t="str">
        <f t="shared" si="102"/>
        <v/>
      </c>
    </row>
    <row r="3134" spans="1:26" x14ac:dyDescent="0.2">
      <c r="A3134" s="21"/>
      <c r="B3134" s="20"/>
      <c r="C3134" s="22"/>
      <c r="D3134" s="22"/>
      <c r="E3134" s="24"/>
      <c r="F3134" s="22"/>
      <c r="H3134" s="21">
        <v>46093</v>
      </c>
      <c r="I3134" s="22" t="s">
        <v>70</v>
      </c>
      <c r="J3134" s="22" t="s">
        <v>57</v>
      </c>
      <c r="K3134" s="24">
        <v>6</v>
      </c>
      <c r="M3134" s="21"/>
      <c r="N3134" s="22"/>
      <c r="O3134" s="22"/>
      <c r="P3134" s="49"/>
      <c r="Q3134" s="49"/>
      <c r="R3134" s="188" t="str">
        <f t="shared" si="103"/>
        <v/>
      </c>
      <c r="T3134" s="21"/>
      <c r="U3134" s="22"/>
      <c r="V3134" s="24"/>
      <c r="W3134" s="24"/>
      <c r="X3134" s="24"/>
      <c r="Y3134" s="24"/>
      <c r="Z3134" s="20" t="str">
        <f t="shared" si="102"/>
        <v/>
      </c>
    </row>
    <row r="3135" spans="1:26" x14ac:dyDescent="0.2">
      <c r="A3135" s="21"/>
      <c r="B3135" s="20"/>
      <c r="C3135" s="22"/>
      <c r="D3135" s="22"/>
      <c r="E3135" s="24"/>
      <c r="F3135" s="22"/>
      <c r="H3135" s="21">
        <v>46093</v>
      </c>
      <c r="I3135" s="22" t="s">
        <v>70</v>
      </c>
      <c r="J3135" s="22" t="s">
        <v>42</v>
      </c>
      <c r="K3135" s="24">
        <v>1</v>
      </c>
      <c r="M3135" s="21"/>
      <c r="N3135" s="22"/>
      <c r="O3135" s="22"/>
      <c r="P3135" s="49"/>
      <c r="Q3135" s="49"/>
      <c r="R3135" s="188" t="str">
        <f t="shared" si="103"/>
        <v/>
      </c>
      <c r="T3135" s="21"/>
      <c r="U3135" s="22"/>
      <c r="V3135" s="24"/>
      <c r="W3135" s="24"/>
      <c r="X3135" s="24"/>
      <c r="Y3135" s="24"/>
      <c r="Z3135" s="20" t="str">
        <f t="shared" si="102"/>
        <v/>
      </c>
    </row>
    <row r="3136" spans="1:26" x14ac:dyDescent="0.2">
      <c r="A3136" s="21"/>
      <c r="B3136" s="20"/>
      <c r="C3136" s="22"/>
      <c r="D3136" s="22"/>
      <c r="E3136" s="24"/>
      <c r="F3136" s="22"/>
      <c r="H3136" s="21">
        <v>46093</v>
      </c>
      <c r="I3136" s="22" t="s">
        <v>70</v>
      </c>
      <c r="J3136" s="22" t="s">
        <v>47</v>
      </c>
      <c r="K3136" s="24">
        <v>3</v>
      </c>
      <c r="M3136" s="21"/>
      <c r="N3136" s="22"/>
      <c r="O3136" s="22"/>
      <c r="P3136" s="49"/>
      <c r="Q3136" s="49"/>
      <c r="R3136" s="188" t="str">
        <f t="shared" si="103"/>
        <v/>
      </c>
      <c r="T3136" s="21"/>
      <c r="U3136" s="22"/>
      <c r="V3136" s="24"/>
      <c r="W3136" s="24"/>
      <c r="X3136" s="24"/>
      <c r="Y3136" s="24"/>
      <c r="Z3136" s="20" t="str">
        <f t="shared" si="102"/>
        <v/>
      </c>
    </row>
    <row r="3137" spans="1:26" x14ac:dyDescent="0.2">
      <c r="A3137" s="21"/>
      <c r="B3137" s="20"/>
      <c r="C3137" s="22"/>
      <c r="D3137" s="22"/>
      <c r="E3137" s="24"/>
      <c r="F3137" s="22"/>
      <c r="H3137" s="21">
        <v>46093</v>
      </c>
      <c r="I3137" s="22" t="s">
        <v>70</v>
      </c>
      <c r="J3137" s="22" t="s">
        <v>41</v>
      </c>
      <c r="K3137" s="24">
        <v>1</v>
      </c>
      <c r="M3137" s="21"/>
      <c r="N3137" s="22"/>
      <c r="O3137" s="22"/>
      <c r="P3137" s="49"/>
      <c r="Q3137" s="49"/>
      <c r="R3137" s="188" t="str">
        <f t="shared" si="103"/>
        <v/>
      </c>
      <c r="T3137" s="21"/>
      <c r="U3137" s="22"/>
      <c r="V3137" s="24"/>
      <c r="W3137" s="24"/>
      <c r="X3137" s="24"/>
      <c r="Y3137" s="24"/>
      <c r="Z3137" s="20" t="str">
        <f t="shared" si="102"/>
        <v/>
      </c>
    </row>
    <row r="3138" spans="1:26" x14ac:dyDescent="0.2">
      <c r="A3138" s="21"/>
      <c r="B3138" s="20"/>
      <c r="C3138" s="22"/>
      <c r="D3138" s="22"/>
      <c r="E3138" s="24"/>
      <c r="F3138" s="22"/>
      <c r="H3138" s="21">
        <v>46093</v>
      </c>
      <c r="I3138" s="22" t="s">
        <v>70</v>
      </c>
      <c r="J3138" s="22" t="s">
        <v>58</v>
      </c>
      <c r="K3138" s="24">
        <v>6</v>
      </c>
      <c r="M3138" s="21"/>
      <c r="N3138" s="22"/>
      <c r="O3138" s="22"/>
      <c r="P3138" s="49"/>
      <c r="Q3138" s="49"/>
      <c r="R3138" s="188" t="str">
        <f t="shared" si="103"/>
        <v/>
      </c>
      <c r="T3138" s="21"/>
      <c r="U3138" s="22"/>
      <c r="V3138" s="24"/>
      <c r="W3138" s="24"/>
      <c r="X3138" s="24"/>
      <c r="Y3138" s="24"/>
      <c r="Z3138" s="20" t="str">
        <f t="shared" si="102"/>
        <v/>
      </c>
    </row>
    <row r="3139" spans="1:26" x14ac:dyDescent="0.2">
      <c r="A3139" s="21"/>
      <c r="B3139" s="20"/>
      <c r="C3139" s="22"/>
      <c r="D3139" s="22"/>
      <c r="E3139" s="24"/>
      <c r="F3139" s="22"/>
      <c r="H3139" s="21">
        <v>46093</v>
      </c>
      <c r="I3139" s="22" t="s">
        <v>70</v>
      </c>
      <c r="J3139" s="22" t="s">
        <v>49</v>
      </c>
      <c r="K3139" s="24">
        <v>5</v>
      </c>
      <c r="M3139" s="21"/>
      <c r="N3139" s="22"/>
      <c r="O3139" s="22"/>
      <c r="P3139" s="49"/>
      <c r="Q3139" s="49"/>
      <c r="R3139" s="188" t="str">
        <f t="shared" si="103"/>
        <v/>
      </c>
      <c r="T3139" s="21"/>
      <c r="U3139" s="22"/>
      <c r="V3139" s="24"/>
      <c r="W3139" s="24"/>
      <c r="X3139" s="24"/>
      <c r="Y3139" s="24"/>
      <c r="Z3139" s="20" t="str">
        <f t="shared" si="102"/>
        <v/>
      </c>
    </row>
    <row r="3140" spans="1:26" x14ac:dyDescent="0.2">
      <c r="A3140" s="21"/>
      <c r="B3140" s="20"/>
      <c r="C3140" s="22"/>
      <c r="D3140" s="22"/>
      <c r="E3140" s="24"/>
      <c r="F3140" s="22"/>
      <c r="H3140" s="21">
        <v>46093</v>
      </c>
      <c r="I3140" s="22" t="s">
        <v>70</v>
      </c>
      <c r="J3140" s="22" t="s">
        <v>50</v>
      </c>
      <c r="K3140" s="24">
        <v>4</v>
      </c>
      <c r="M3140" s="21"/>
      <c r="N3140" s="22"/>
      <c r="O3140" s="22"/>
      <c r="P3140" s="49"/>
      <c r="Q3140" s="49"/>
      <c r="R3140" s="188" t="str">
        <f t="shared" si="103"/>
        <v/>
      </c>
      <c r="T3140" s="21"/>
      <c r="U3140" s="22"/>
      <c r="V3140" s="24"/>
      <c r="W3140" s="24"/>
      <c r="X3140" s="24"/>
      <c r="Y3140" s="24"/>
      <c r="Z3140" s="20" t="str">
        <f t="shared" si="102"/>
        <v/>
      </c>
    </row>
    <row r="3141" spans="1:26" x14ac:dyDescent="0.2">
      <c r="A3141" s="21"/>
      <c r="B3141" s="20"/>
      <c r="C3141" s="22"/>
      <c r="D3141" s="22"/>
      <c r="E3141" s="24"/>
      <c r="F3141" s="22"/>
      <c r="H3141" s="21">
        <v>46093</v>
      </c>
      <c r="I3141" s="22" t="s">
        <v>70</v>
      </c>
      <c r="J3141" s="22" t="s">
        <v>51</v>
      </c>
      <c r="K3141" s="24">
        <v>4</v>
      </c>
      <c r="M3141" s="21"/>
      <c r="N3141" s="22"/>
      <c r="O3141" s="22"/>
      <c r="P3141" s="49"/>
      <c r="Q3141" s="49"/>
      <c r="R3141" s="188" t="str">
        <f t="shared" si="103"/>
        <v/>
      </c>
      <c r="T3141" s="21"/>
      <c r="U3141" s="22"/>
      <c r="V3141" s="24"/>
      <c r="W3141" s="24"/>
      <c r="X3141" s="24"/>
      <c r="Y3141" s="24"/>
      <c r="Z3141" s="20" t="str">
        <f t="shared" si="102"/>
        <v/>
      </c>
    </row>
    <row r="3142" spans="1:26" x14ac:dyDescent="0.2">
      <c r="A3142" s="21"/>
      <c r="B3142" s="20"/>
      <c r="C3142" s="22"/>
      <c r="D3142" s="22"/>
      <c r="E3142" s="24"/>
      <c r="F3142" s="22"/>
      <c r="H3142" s="21">
        <v>46093</v>
      </c>
      <c r="I3142" s="22" t="s">
        <v>70</v>
      </c>
      <c r="J3142" s="22" t="s">
        <v>46</v>
      </c>
      <c r="K3142" s="24">
        <v>4</v>
      </c>
      <c r="M3142" s="21"/>
      <c r="N3142" s="22"/>
      <c r="O3142" s="22"/>
      <c r="P3142" s="49"/>
      <c r="Q3142" s="49"/>
      <c r="R3142" s="188" t="str">
        <f t="shared" si="103"/>
        <v/>
      </c>
      <c r="T3142" s="21"/>
      <c r="U3142" s="22"/>
      <c r="V3142" s="24"/>
      <c r="W3142" s="24"/>
      <c r="X3142" s="24"/>
      <c r="Y3142" s="24"/>
      <c r="Z3142" s="20" t="str">
        <f t="shared" si="102"/>
        <v/>
      </c>
    </row>
    <row r="3143" spans="1:26" x14ac:dyDescent="0.2">
      <c r="A3143" s="21"/>
      <c r="B3143" s="20"/>
      <c r="C3143" s="22"/>
      <c r="D3143" s="22"/>
      <c r="E3143" s="24"/>
      <c r="F3143" s="22"/>
      <c r="H3143" s="21">
        <v>46093</v>
      </c>
      <c r="I3143" s="22" t="s">
        <v>70</v>
      </c>
      <c r="J3143" s="22" t="s">
        <v>48</v>
      </c>
      <c r="K3143" s="24">
        <v>3</v>
      </c>
      <c r="M3143" s="21"/>
      <c r="N3143" s="22"/>
      <c r="O3143" s="22"/>
      <c r="P3143" s="49"/>
      <c r="Q3143" s="49"/>
      <c r="R3143" s="188" t="str">
        <f t="shared" si="103"/>
        <v/>
      </c>
      <c r="T3143" s="21"/>
      <c r="U3143" s="22"/>
      <c r="V3143" s="24"/>
      <c r="W3143" s="24"/>
      <c r="X3143" s="24"/>
      <c r="Y3143" s="24"/>
      <c r="Z3143" s="20" t="str">
        <f t="shared" si="102"/>
        <v/>
      </c>
    </row>
    <row r="3144" spans="1:26" x14ac:dyDescent="0.2">
      <c r="A3144" s="21"/>
      <c r="B3144" s="20"/>
      <c r="C3144" s="22"/>
      <c r="D3144" s="22"/>
      <c r="E3144" s="24"/>
      <c r="F3144" s="22"/>
      <c r="H3144" s="21">
        <v>46093</v>
      </c>
      <c r="I3144" s="22" t="s">
        <v>70</v>
      </c>
      <c r="J3144" s="22" t="s">
        <v>56</v>
      </c>
      <c r="K3144" s="24">
        <v>6</v>
      </c>
      <c r="M3144" s="21"/>
      <c r="N3144" s="22"/>
      <c r="O3144" s="22"/>
      <c r="P3144" s="49"/>
      <c r="Q3144" s="49"/>
      <c r="R3144" s="188" t="str">
        <f t="shared" si="103"/>
        <v/>
      </c>
      <c r="T3144" s="21"/>
      <c r="U3144" s="22"/>
      <c r="V3144" s="24"/>
      <c r="W3144" s="24"/>
      <c r="X3144" s="24"/>
      <c r="Y3144" s="24"/>
      <c r="Z3144" s="20" t="str">
        <f t="shared" si="102"/>
        <v/>
      </c>
    </row>
    <row r="3145" spans="1:26" x14ac:dyDescent="0.2">
      <c r="A3145" s="21"/>
      <c r="B3145" s="20"/>
      <c r="C3145" s="22"/>
      <c r="D3145" s="22"/>
      <c r="E3145" s="24"/>
      <c r="F3145" s="22"/>
      <c r="H3145" s="21">
        <v>46094</v>
      </c>
      <c r="I3145" s="22" t="s">
        <v>70</v>
      </c>
      <c r="J3145" s="22" t="s">
        <v>52</v>
      </c>
      <c r="K3145" s="24">
        <v>2</v>
      </c>
      <c r="M3145" s="21"/>
      <c r="N3145" s="22"/>
      <c r="O3145" s="22"/>
      <c r="P3145" s="49"/>
      <c r="Q3145" s="49"/>
      <c r="R3145" s="188" t="str">
        <f t="shared" si="103"/>
        <v/>
      </c>
      <c r="T3145" s="21"/>
      <c r="U3145" s="22"/>
      <c r="V3145" s="24"/>
      <c r="W3145" s="24"/>
      <c r="X3145" s="24"/>
      <c r="Y3145" s="24"/>
      <c r="Z3145" s="20" t="str">
        <f t="shared" si="102"/>
        <v/>
      </c>
    </row>
    <row r="3146" spans="1:26" x14ac:dyDescent="0.2">
      <c r="A3146" s="21"/>
      <c r="B3146" s="20"/>
      <c r="C3146" s="22"/>
      <c r="D3146" s="22"/>
      <c r="E3146" s="24"/>
      <c r="F3146" s="22"/>
      <c r="H3146" s="21">
        <v>46094</v>
      </c>
      <c r="I3146" s="22" t="s">
        <v>70</v>
      </c>
      <c r="J3146" s="22" t="s">
        <v>53</v>
      </c>
      <c r="K3146" s="24">
        <v>2</v>
      </c>
      <c r="M3146" s="21"/>
      <c r="N3146" s="22"/>
      <c r="O3146" s="22"/>
      <c r="P3146" s="49"/>
      <c r="Q3146" s="49"/>
      <c r="R3146" s="188" t="str">
        <f t="shared" si="103"/>
        <v/>
      </c>
      <c r="T3146" s="21"/>
      <c r="U3146" s="22"/>
      <c r="V3146" s="24"/>
      <c r="W3146" s="24"/>
      <c r="X3146" s="24"/>
      <c r="Y3146" s="24"/>
      <c r="Z3146" s="20" t="str">
        <f t="shared" si="102"/>
        <v/>
      </c>
    </row>
    <row r="3147" spans="1:26" x14ac:dyDescent="0.2">
      <c r="A3147" s="21"/>
      <c r="B3147" s="20"/>
      <c r="C3147" s="22"/>
      <c r="D3147" s="22"/>
      <c r="E3147" s="24"/>
      <c r="F3147" s="22"/>
      <c r="H3147" s="21">
        <v>46094</v>
      </c>
      <c r="I3147" s="22" t="s">
        <v>70</v>
      </c>
      <c r="J3147" s="22" t="s">
        <v>44</v>
      </c>
      <c r="K3147" s="24">
        <v>2</v>
      </c>
      <c r="M3147" s="21"/>
      <c r="N3147" s="22"/>
      <c r="O3147" s="22"/>
      <c r="P3147" s="49"/>
      <c r="Q3147" s="49"/>
      <c r="R3147" s="188" t="str">
        <f t="shared" si="103"/>
        <v/>
      </c>
      <c r="T3147" s="21"/>
      <c r="U3147" s="22"/>
      <c r="V3147" s="24"/>
      <c r="W3147" s="24"/>
      <c r="X3147" s="24"/>
      <c r="Y3147" s="24"/>
      <c r="Z3147" s="20" t="str">
        <f t="shared" si="102"/>
        <v/>
      </c>
    </row>
    <row r="3148" spans="1:26" x14ac:dyDescent="0.2">
      <c r="A3148" s="21"/>
      <c r="B3148" s="20"/>
      <c r="C3148" s="22"/>
      <c r="D3148" s="22"/>
      <c r="E3148" s="24"/>
      <c r="F3148" s="22"/>
      <c r="H3148" s="21">
        <v>46094</v>
      </c>
      <c r="I3148" s="22" t="s">
        <v>70</v>
      </c>
      <c r="J3148" s="22" t="s">
        <v>45</v>
      </c>
      <c r="K3148" s="24" t="s">
        <v>61</v>
      </c>
      <c r="M3148" s="21"/>
      <c r="N3148" s="22"/>
      <c r="O3148" s="22"/>
      <c r="P3148" s="49"/>
      <c r="Q3148" s="49"/>
      <c r="R3148" s="188" t="str">
        <f t="shared" si="103"/>
        <v/>
      </c>
      <c r="T3148" s="21"/>
      <c r="U3148" s="22"/>
      <c r="V3148" s="24"/>
      <c r="W3148" s="24"/>
      <c r="X3148" s="24"/>
      <c r="Y3148" s="24"/>
      <c r="Z3148" s="20" t="str">
        <f t="shared" si="102"/>
        <v/>
      </c>
    </row>
    <row r="3149" spans="1:26" x14ac:dyDescent="0.2">
      <c r="A3149" s="21"/>
      <c r="B3149" s="20"/>
      <c r="C3149" s="22"/>
      <c r="D3149" s="22"/>
      <c r="E3149" s="24"/>
      <c r="F3149" s="22"/>
      <c r="H3149" s="21">
        <v>46094</v>
      </c>
      <c r="I3149" s="22" t="s">
        <v>70</v>
      </c>
      <c r="J3149" s="22" t="s">
        <v>57</v>
      </c>
      <c r="K3149" s="24">
        <v>2</v>
      </c>
      <c r="M3149" s="21"/>
      <c r="N3149" s="22"/>
      <c r="O3149" s="22"/>
      <c r="P3149" s="49"/>
      <c r="Q3149" s="49"/>
      <c r="R3149" s="188" t="str">
        <f t="shared" si="103"/>
        <v/>
      </c>
      <c r="T3149" s="21"/>
      <c r="U3149" s="22"/>
      <c r="V3149" s="24"/>
      <c r="W3149" s="24"/>
      <c r="X3149" s="24"/>
      <c r="Y3149" s="24"/>
      <c r="Z3149" s="20" t="str">
        <f t="shared" si="102"/>
        <v/>
      </c>
    </row>
    <row r="3150" spans="1:26" x14ac:dyDescent="0.2">
      <c r="A3150" s="21"/>
      <c r="B3150" s="20"/>
      <c r="C3150" s="22"/>
      <c r="D3150" s="22"/>
      <c r="E3150" s="24"/>
      <c r="F3150" s="22"/>
      <c r="H3150" s="21">
        <v>46094</v>
      </c>
      <c r="I3150" s="22" t="s">
        <v>70</v>
      </c>
      <c r="J3150" s="22" t="s">
        <v>42</v>
      </c>
      <c r="K3150" s="24">
        <v>2</v>
      </c>
      <c r="M3150" s="21"/>
      <c r="N3150" s="22"/>
      <c r="O3150" s="22"/>
      <c r="P3150" s="49"/>
      <c r="Q3150" s="49"/>
      <c r="R3150" s="188" t="str">
        <f t="shared" si="103"/>
        <v/>
      </c>
      <c r="T3150" s="21"/>
      <c r="U3150" s="22"/>
      <c r="V3150" s="24"/>
      <c r="W3150" s="24"/>
      <c r="X3150" s="24"/>
      <c r="Y3150" s="24"/>
      <c r="Z3150" s="20" t="str">
        <f t="shared" si="102"/>
        <v/>
      </c>
    </row>
    <row r="3151" spans="1:26" x14ac:dyDescent="0.2">
      <c r="A3151" s="21"/>
      <c r="B3151" s="20"/>
      <c r="C3151" s="22"/>
      <c r="D3151" s="22"/>
      <c r="E3151" s="24"/>
      <c r="F3151" s="22"/>
      <c r="H3151" s="21">
        <v>46094</v>
      </c>
      <c r="I3151" s="22" t="s">
        <v>70</v>
      </c>
      <c r="J3151" s="22" t="s">
        <v>47</v>
      </c>
      <c r="K3151" s="24">
        <v>2</v>
      </c>
      <c r="M3151" s="21"/>
      <c r="N3151" s="22"/>
      <c r="O3151" s="22"/>
      <c r="P3151" s="49"/>
      <c r="Q3151" s="49"/>
      <c r="R3151" s="188" t="str">
        <f t="shared" si="103"/>
        <v/>
      </c>
      <c r="T3151" s="21"/>
      <c r="U3151" s="22"/>
      <c r="V3151" s="24"/>
      <c r="W3151" s="24"/>
      <c r="X3151" s="24"/>
      <c r="Y3151" s="24"/>
      <c r="Z3151" s="20" t="str">
        <f t="shared" si="102"/>
        <v/>
      </c>
    </row>
    <row r="3152" spans="1:26" x14ac:dyDescent="0.2">
      <c r="A3152" s="21"/>
      <c r="B3152" s="20"/>
      <c r="C3152" s="22"/>
      <c r="D3152" s="22"/>
      <c r="E3152" s="24"/>
      <c r="F3152" s="22"/>
      <c r="H3152" s="21">
        <v>46094</v>
      </c>
      <c r="I3152" s="22" t="s">
        <v>70</v>
      </c>
      <c r="J3152" s="22" t="s">
        <v>41</v>
      </c>
      <c r="K3152" s="24">
        <v>2</v>
      </c>
      <c r="M3152" s="21"/>
      <c r="N3152" s="22"/>
      <c r="O3152" s="22"/>
      <c r="P3152" s="49"/>
      <c r="Q3152" s="49"/>
      <c r="R3152" s="188" t="str">
        <f t="shared" si="103"/>
        <v/>
      </c>
      <c r="T3152" s="21"/>
      <c r="U3152" s="22"/>
      <c r="V3152" s="24"/>
      <c r="W3152" s="24"/>
      <c r="X3152" s="24"/>
      <c r="Y3152" s="24"/>
      <c r="Z3152" s="20" t="str">
        <f t="shared" si="102"/>
        <v/>
      </c>
    </row>
    <row r="3153" spans="1:26" x14ac:dyDescent="0.2">
      <c r="A3153" s="21"/>
      <c r="B3153" s="20"/>
      <c r="C3153" s="22"/>
      <c r="D3153" s="22"/>
      <c r="E3153" s="24"/>
      <c r="F3153" s="22"/>
      <c r="H3153" s="21">
        <v>46094</v>
      </c>
      <c r="I3153" s="22" t="s">
        <v>70</v>
      </c>
      <c r="J3153" s="22" t="s">
        <v>58</v>
      </c>
      <c r="K3153" s="24">
        <v>2</v>
      </c>
      <c r="M3153" s="21"/>
      <c r="N3153" s="22"/>
      <c r="O3153" s="22"/>
      <c r="P3153" s="49"/>
      <c r="Q3153" s="49"/>
      <c r="R3153" s="188" t="str">
        <f t="shared" si="103"/>
        <v/>
      </c>
      <c r="T3153" s="21"/>
      <c r="U3153" s="22"/>
      <c r="V3153" s="24"/>
      <c r="W3153" s="24"/>
      <c r="X3153" s="24"/>
      <c r="Y3153" s="24"/>
      <c r="Z3153" s="20" t="str">
        <f t="shared" si="102"/>
        <v/>
      </c>
    </row>
    <row r="3154" spans="1:26" x14ac:dyDescent="0.2">
      <c r="A3154" s="21"/>
      <c r="B3154" s="20"/>
      <c r="C3154" s="22"/>
      <c r="D3154" s="22"/>
      <c r="E3154" s="24"/>
      <c r="F3154" s="22"/>
      <c r="H3154" s="21">
        <v>46094</v>
      </c>
      <c r="I3154" s="22" t="s">
        <v>70</v>
      </c>
      <c r="J3154" s="22" t="s">
        <v>49</v>
      </c>
      <c r="K3154" s="24">
        <v>2</v>
      </c>
      <c r="M3154" s="21"/>
      <c r="N3154" s="22"/>
      <c r="O3154" s="22"/>
      <c r="P3154" s="49"/>
      <c r="Q3154" s="49"/>
      <c r="R3154" s="188" t="str">
        <f t="shared" si="103"/>
        <v/>
      </c>
      <c r="T3154" s="21"/>
      <c r="U3154" s="22"/>
      <c r="V3154" s="24"/>
      <c r="W3154" s="24"/>
      <c r="X3154" s="24"/>
      <c r="Y3154" s="24"/>
      <c r="Z3154" s="20" t="str">
        <f t="shared" si="102"/>
        <v/>
      </c>
    </row>
    <row r="3155" spans="1:26" x14ac:dyDescent="0.2">
      <c r="A3155" s="21"/>
      <c r="B3155" s="20"/>
      <c r="C3155" s="22"/>
      <c r="D3155" s="22"/>
      <c r="E3155" s="24"/>
      <c r="F3155" s="22"/>
      <c r="H3155" s="21">
        <v>46094</v>
      </c>
      <c r="I3155" s="22" t="s">
        <v>70</v>
      </c>
      <c r="J3155" s="22" t="s">
        <v>50</v>
      </c>
      <c r="K3155" s="24">
        <v>2</v>
      </c>
      <c r="M3155" s="21"/>
      <c r="N3155" s="22"/>
      <c r="O3155" s="22"/>
      <c r="P3155" s="49"/>
      <c r="Q3155" s="49"/>
      <c r="R3155" s="188" t="str">
        <f t="shared" si="103"/>
        <v/>
      </c>
      <c r="T3155" s="21"/>
      <c r="U3155" s="22"/>
      <c r="V3155" s="24"/>
      <c r="W3155" s="24"/>
      <c r="X3155" s="24"/>
      <c r="Y3155" s="24"/>
      <c r="Z3155" s="20" t="str">
        <f t="shared" ref="Z3155:Z3218" si="104">IF(COUNT(V3155:Y3155)=0,"",SUM(V3155:Y3155))</f>
        <v/>
      </c>
    </row>
    <row r="3156" spans="1:26" x14ac:dyDescent="0.2">
      <c r="A3156" s="21"/>
      <c r="B3156" s="20"/>
      <c r="C3156" s="22"/>
      <c r="D3156" s="22"/>
      <c r="E3156" s="24"/>
      <c r="F3156" s="22"/>
      <c r="H3156" s="21">
        <v>46094</v>
      </c>
      <c r="I3156" s="22" t="s">
        <v>70</v>
      </c>
      <c r="J3156" s="22" t="s">
        <v>51</v>
      </c>
      <c r="K3156" s="24">
        <v>2</v>
      </c>
      <c r="M3156" s="21"/>
      <c r="N3156" s="22"/>
      <c r="O3156" s="22"/>
      <c r="P3156" s="49"/>
      <c r="Q3156" s="49"/>
      <c r="R3156" s="188" t="str">
        <f t="shared" si="103"/>
        <v/>
      </c>
      <c r="T3156" s="21"/>
      <c r="U3156" s="22"/>
      <c r="V3156" s="24"/>
      <c r="W3156" s="24"/>
      <c r="X3156" s="24"/>
      <c r="Y3156" s="24"/>
      <c r="Z3156" s="20" t="str">
        <f t="shared" si="104"/>
        <v/>
      </c>
    </row>
    <row r="3157" spans="1:26" x14ac:dyDescent="0.2">
      <c r="A3157" s="21"/>
      <c r="B3157" s="20"/>
      <c r="C3157" s="22"/>
      <c r="D3157" s="22"/>
      <c r="E3157" s="24"/>
      <c r="F3157" s="22"/>
      <c r="H3157" s="21">
        <v>46094</v>
      </c>
      <c r="I3157" s="22" t="s">
        <v>70</v>
      </c>
      <c r="J3157" s="22" t="s">
        <v>46</v>
      </c>
      <c r="K3157" s="24">
        <v>2</v>
      </c>
      <c r="M3157" s="21"/>
      <c r="N3157" s="22"/>
      <c r="O3157" s="22"/>
      <c r="P3157" s="49"/>
      <c r="Q3157" s="49"/>
      <c r="R3157" s="188" t="str">
        <f t="shared" si="103"/>
        <v/>
      </c>
      <c r="T3157" s="21"/>
      <c r="U3157" s="22"/>
      <c r="V3157" s="24"/>
      <c r="W3157" s="24"/>
      <c r="X3157" s="24"/>
      <c r="Y3157" s="24"/>
      <c r="Z3157" s="20" t="str">
        <f t="shared" si="104"/>
        <v/>
      </c>
    </row>
    <row r="3158" spans="1:26" x14ac:dyDescent="0.2">
      <c r="A3158" s="21"/>
      <c r="B3158" s="20"/>
      <c r="C3158" s="22"/>
      <c r="D3158" s="22"/>
      <c r="E3158" s="24"/>
      <c r="F3158" s="22"/>
      <c r="H3158" s="21">
        <v>46094</v>
      </c>
      <c r="I3158" s="22" t="s">
        <v>70</v>
      </c>
      <c r="J3158" s="22" t="s">
        <v>48</v>
      </c>
      <c r="K3158" s="24">
        <v>2</v>
      </c>
      <c r="M3158" s="21"/>
      <c r="N3158" s="22"/>
      <c r="O3158" s="22"/>
      <c r="P3158" s="49"/>
      <c r="Q3158" s="49"/>
      <c r="R3158" s="188" t="str">
        <f t="shared" ref="R3158:R3221" si="105">IF(OR(P3158="",Q3158=""),"",IFERROR(P3158-Q3158,""))</f>
        <v/>
      </c>
      <c r="T3158" s="21"/>
      <c r="U3158" s="22"/>
      <c r="V3158" s="24"/>
      <c r="W3158" s="24"/>
      <c r="X3158" s="24"/>
      <c r="Y3158" s="24"/>
      <c r="Z3158" s="20" t="str">
        <f t="shared" si="104"/>
        <v/>
      </c>
    </row>
    <row r="3159" spans="1:26" x14ac:dyDescent="0.2">
      <c r="A3159" s="21"/>
      <c r="B3159" s="20"/>
      <c r="C3159" s="22"/>
      <c r="D3159" s="22"/>
      <c r="E3159" s="24"/>
      <c r="F3159" s="22"/>
      <c r="H3159" s="21">
        <v>46094</v>
      </c>
      <c r="I3159" s="22" t="s">
        <v>70</v>
      </c>
      <c r="J3159" s="22" t="s">
        <v>56</v>
      </c>
      <c r="K3159" s="24">
        <v>2</v>
      </c>
      <c r="M3159" s="21"/>
      <c r="N3159" s="22"/>
      <c r="O3159" s="22"/>
      <c r="P3159" s="49"/>
      <c r="Q3159" s="49"/>
      <c r="R3159" s="188" t="str">
        <f t="shared" si="105"/>
        <v/>
      </c>
      <c r="T3159" s="21"/>
      <c r="U3159" s="22"/>
      <c r="V3159" s="24"/>
      <c r="W3159" s="24"/>
      <c r="X3159" s="24"/>
      <c r="Y3159" s="24"/>
      <c r="Z3159" s="20" t="str">
        <f t="shared" si="104"/>
        <v/>
      </c>
    </row>
    <row r="3160" spans="1:26" x14ac:dyDescent="0.2">
      <c r="A3160" s="21"/>
      <c r="B3160" s="20"/>
      <c r="C3160" s="22"/>
      <c r="D3160" s="22"/>
      <c r="E3160" s="24"/>
      <c r="F3160" s="22"/>
      <c r="H3160" s="21">
        <v>46094</v>
      </c>
      <c r="I3160" s="22" t="s">
        <v>71</v>
      </c>
      <c r="J3160" s="22" t="s">
        <v>52</v>
      </c>
      <c r="K3160" s="24">
        <v>7</v>
      </c>
      <c r="M3160" s="21"/>
      <c r="N3160" s="22"/>
      <c r="O3160" s="22"/>
      <c r="P3160" s="49"/>
      <c r="Q3160" s="49"/>
      <c r="R3160" s="188" t="str">
        <f t="shared" si="105"/>
        <v/>
      </c>
      <c r="T3160" s="21"/>
      <c r="U3160" s="22"/>
      <c r="V3160" s="24"/>
      <c r="W3160" s="24"/>
      <c r="X3160" s="24"/>
      <c r="Y3160" s="24"/>
      <c r="Z3160" s="20" t="str">
        <f t="shared" si="104"/>
        <v/>
      </c>
    </row>
    <row r="3161" spans="1:26" x14ac:dyDescent="0.2">
      <c r="A3161" s="21"/>
      <c r="B3161" s="20"/>
      <c r="C3161" s="22"/>
      <c r="D3161" s="22"/>
      <c r="E3161" s="24"/>
      <c r="F3161" s="22"/>
      <c r="H3161" s="21">
        <v>46094</v>
      </c>
      <c r="I3161" s="22" t="s">
        <v>71</v>
      </c>
      <c r="J3161" s="22" t="s">
        <v>53</v>
      </c>
      <c r="K3161" s="24">
        <v>6</v>
      </c>
      <c r="M3161" s="21"/>
      <c r="N3161" s="22"/>
      <c r="O3161" s="22"/>
      <c r="P3161" s="49"/>
      <c r="Q3161" s="49"/>
      <c r="R3161" s="188" t="str">
        <f t="shared" si="105"/>
        <v/>
      </c>
      <c r="T3161" s="21"/>
      <c r="U3161" s="22"/>
      <c r="V3161" s="24"/>
      <c r="W3161" s="24"/>
      <c r="X3161" s="24"/>
      <c r="Y3161" s="24"/>
      <c r="Z3161" s="20" t="str">
        <f t="shared" si="104"/>
        <v/>
      </c>
    </row>
    <row r="3162" spans="1:26" x14ac:dyDescent="0.2">
      <c r="A3162" s="21"/>
      <c r="B3162" s="20"/>
      <c r="C3162" s="22"/>
      <c r="D3162" s="22"/>
      <c r="E3162" s="24"/>
      <c r="F3162" s="22"/>
      <c r="H3162" s="21">
        <v>46094</v>
      </c>
      <c r="I3162" s="22" t="s">
        <v>71</v>
      </c>
      <c r="J3162" s="22" t="s">
        <v>44</v>
      </c>
      <c r="K3162" s="24">
        <v>8</v>
      </c>
      <c r="M3162" s="21"/>
      <c r="N3162" s="22"/>
      <c r="O3162" s="22"/>
      <c r="P3162" s="49"/>
      <c r="Q3162" s="49"/>
      <c r="R3162" s="188" t="str">
        <f t="shared" si="105"/>
        <v/>
      </c>
      <c r="T3162" s="21"/>
      <c r="U3162" s="22"/>
      <c r="V3162" s="24"/>
      <c r="W3162" s="24"/>
      <c r="X3162" s="24"/>
      <c r="Y3162" s="24"/>
      <c r="Z3162" s="20" t="str">
        <f t="shared" si="104"/>
        <v/>
      </c>
    </row>
    <row r="3163" spans="1:26" x14ac:dyDescent="0.2">
      <c r="A3163" s="21"/>
      <c r="B3163" s="20"/>
      <c r="C3163" s="22"/>
      <c r="D3163" s="22"/>
      <c r="E3163" s="24"/>
      <c r="F3163" s="22"/>
      <c r="H3163" s="21">
        <v>46094</v>
      </c>
      <c r="I3163" s="22" t="s">
        <v>71</v>
      </c>
      <c r="J3163" s="22" t="s">
        <v>45</v>
      </c>
      <c r="K3163" s="24" t="s">
        <v>61</v>
      </c>
      <c r="M3163" s="21"/>
      <c r="N3163" s="22"/>
      <c r="O3163" s="22"/>
      <c r="P3163" s="49"/>
      <c r="Q3163" s="49"/>
      <c r="R3163" s="188" t="str">
        <f t="shared" si="105"/>
        <v/>
      </c>
      <c r="T3163" s="21"/>
      <c r="U3163" s="22"/>
      <c r="V3163" s="24"/>
      <c r="W3163" s="24"/>
      <c r="X3163" s="24"/>
      <c r="Y3163" s="24"/>
      <c r="Z3163" s="20" t="str">
        <f t="shared" si="104"/>
        <v/>
      </c>
    </row>
    <row r="3164" spans="1:26" x14ac:dyDescent="0.2">
      <c r="A3164" s="21"/>
      <c r="B3164" s="20"/>
      <c r="C3164" s="22"/>
      <c r="D3164" s="22"/>
      <c r="E3164" s="24"/>
      <c r="F3164" s="22"/>
      <c r="H3164" s="21">
        <v>46094</v>
      </c>
      <c r="I3164" s="22" t="s">
        <v>71</v>
      </c>
      <c r="J3164" s="22" t="s">
        <v>57</v>
      </c>
      <c r="K3164" s="24">
        <v>7</v>
      </c>
      <c r="M3164" s="21"/>
      <c r="N3164" s="22"/>
      <c r="O3164" s="22"/>
      <c r="P3164" s="49"/>
      <c r="Q3164" s="49"/>
      <c r="R3164" s="188" t="str">
        <f t="shared" si="105"/>
        <v/>
      </c>
      <c r="T3164" s="21"/>
      <c r="U3164" s="22"/>
      <c r="V3164" s="24"/>
      <c r="W3164" s="24"/>
      <c r="X3164" s="24"/>
      <c r="Y3164" s="24"/>
      <c r="Z3164" s="20" t="str">
        <f t="shared" si="104"/>
        <v/>
      </c>
    </row>
    <row r="3165" spans="1:26" x14ac:dyDescent="0.2">
      <c r="A3165" s="21"/>
      <c r="B3165" s="20"/>
      <c r="C3165" s="22"/>
      <c r="D3165" s="22"/>
      <c r="E3165" s="24"/>
      <c r="F3165" s="22"/>
      <c r="H3165" s="21">
        <v>46094</v>
      </c>
      <c r="I3165" s="22" t="s">
        <v>71</v>
      </c>
      <c r="J3165" s="22" t="s">
        <v>42</v>
      </c>
      <c r="K3165" s="24">
        <v>4</v>
      </c>
      <c r="M3165" s="21"/>
      <c r="N3165" s="22"/>
      <c r="O3165" s="22"/>
      <c r="P3165" s="49"/>
      <c r="Q3165" s="49"/>
      <c r="R3165" s="188" t="str">
        <f t="shared" si="105"/>
        <v/>
      </c>
      <c r="T3165" s="21"/>
      <c r="U3165" s="22"/>
      <c r="V3165" s="24"/>
      <c r="W3165" s="24"/>
      <c r="X3165" s="24"/>
      <c r="Y3165" s="24"/>
      <c r="Z3165" s="20" t="str">
        <f t="shared" si="104"/>
        <v/>
      </c>
    </row>
    <row r="3166" spans="1:26" x14ac:dyDescent="0.2">
      <c r="A3166" s="21"/>
      <c r="B3166" s="20"/>
      <c r="C3166" s="22"/>
      <c r="D3166" s="22"/>
      <c r="E3166" s="24"/>
      <c r="F3166" s="22"/>
      <c r="H3166" s="21">
        <v>46094</v>
      </c>
      <c r="I3166" s="22" t="s">
        <v>71</v>
      </c>
      <c r="J3166" s="22" t="s">
        <v>47</v>
      </c>
      <c r="K3166" s="24">
        <v>8</v>
      </c>
      <c r="M3166" s="21"/>
      <c r="N3166" s="22"/>
      <c r="O3166" s="22"/>
      <c r="P3166" s="49"/>
      <c r="Q3166" s="49"/>
      <c r="R3166" s="188" t="str">
        <f t="shared" si="105"/>
        <v/>
      </c>
      <c r="T3166" s="21"/>
      <c r="U3166" s="22"/>
      <c r="V3166" s="24"/>
      <c r="W3166" s="24"/>
      <c r="X3166" s="24"/>
      <c r="Y3166" s="24"/>
      <c r="Z3166" s="20" t="str">
        <f t="shared" si="104"/>
        <v/>
      </c>
    </row>
    <row r="3167" spans="1:26" x14ac:dyDescent="0.2">
      <c r="A3167" s="21"/>
      <c r="B3167" s="20"/>
      <c r="C3167" s="22"/>
      <c r="D3167" s="22"/>
      <c r="E3167" s="24"/>
      <c r="F3167" s="22"/>
      <c r="H3167" s="21">
        <v>46094</v>
      </c>
      <c r="I3167" s="22" t="s">
        <v>71</v>
      </c>
      <c r="J3167" s="22" t="s">
        <v>41</v>
      </c>
      <c r="K3167" s="24" t="s">
        <v>63</v>
      </c>
      <c r="M3167" s="21"/>
      <c r="N3167" s="22"/>
      <c r="O3167" s="22"/>
      <c r="P3167" s="49"/>
      <c r="Q3167" s="49"/>
      <c r="R3167" s="188" t="str">
        <f t="shared" si="105"/>
        <v/>
      </c>
      <c r="T3167" s="21"/>
      <c r="U3167" s="22"/>
      <c r="V3167" s="24"/>
      <c r="W3167" s="24"/>
      <c r="X3167" s="24"/>
      <c r="Y3167" s="24"/>
      <c r="Z3167" s="20" t="str">
        <f t="shared" si="104"/>
        <v/>
      </c>
    </row>
    <row r="3168" spans="1:26" x14ac:dyDescent="0.2">
      <c r="A3168" s="21"/>
      <c r="B3168" s="20"/>
      <c r="C3168" s="22"/>
      <c r="D3168" s="22"/>
      <c r="E3168" s="24"/>
      <c r="F3168" s="22"/>
      <c r="H3168" s="21">
        <v>46094</v>
      </c>
      <c r="I3168" s="22" t="s">
        <v>71</v>
      </c>
      <c r="J3168" s="22" t="s">
        <v>58</v>
      </c>
      <c r="K3168" s="24">
        <v>8</v>
      </c>
      <c r="M3168" s="21"/>
      <c r="N3168" s="22"/>
      <c r="O3168" s="22"/>
      <c r="P3168" s="49"/>
      <c r="Q3168" s="49"/>
      <c r="R3168" s="188" t="str">
        <f t="shared" si="105"/>
        <v/>
      </c>
      <c r="T3168" s="21"/>
      <c r="U3168" s="22"/>
      <c r="V3168" s="24"/>
      <c r="W3168" s="24"/>
      <c r="X3168" s="24"/>
      <c r="Y3168" s="24"/>
      <c r="Z3168" s="20" t="str">
        <f t="shared" si="104"/>
        <v/>
      </c>
    </row>
    <row r="3169" spans="1:26" x14ac:dyDescent="0.2">
      <c r="A3169" s="21"/>
      <c r="B3169" s="20"/>
      <c r="C3169" s="22"/>
      <c r="D3169" s="22"/>
      <c r="E3169" s="24"/>
      <c r="F3169" s="22"/>
      <c r="H3169" s="21">
        <v>46094</v>
      </c>
      <c r="I3169" s="22" t="s">
        <v>71</v>
      </c>
      <c r="J3169" s="22" t="s">
        <v>49</v>
      </c>
      <c r="K3169" s="24">
        <v>8</v>
      </c>
      <c r="M3169" s="21"/>
      <c r="N3169" s="22"/>
      <c r="O3169" s="22"/>
      <c r="P3169" s="49"/>
      <c r="Q3169" s="49"/>
      <c r="R3169" s="188" t="str">
        <f t="shared" si="105"/>
        <v/>
      </c>
      <c r="T3169" s="21"/>
      <c r="U3169" s="22"/>
      <c r="V3169" s="24"/>
      <c r="W3169" s="24"/>
      <c r="X3169" s="24"/>
      <c r="Y3169" s="24"/>
      <c r="Z3169" s="20" t="str">
        <f t="shared" si="104"/>
        <v/>
      </c>
    </row>
    <row r="3170" spans="1:26" x14ac:dyDescent="0.2">
      <c r="A3170" s="21"/>
      <c r="B3170" s="20"/>
      <c r="C3170" s="22"/>
      <c r="D3170" s="22"/>
      <c r="E3170" s="24"/>
      <c r="F3170" s="22"/>
      <c r="H3170" s="21">
        <v>46094</v>
      </c>
      <c r="I3170" s="22" t="s">
        <v>71</v>
      </c>
      <c r="J3170" s="22" t="s">
        <v>50</v>
      </c>
      <c r="K3170" s="24">
        <v>8</v>
      </c>
      <c r="M3170" s="21"/>
      <c r="N3170" s="22"/>
      <c r="O3170" s="22"/>
      <c r="P3170" s="49"/>
      <c r="Q3170" s="49"/>
      <c r="R3170" s="188" t="str">
        <f t="shared" si="105"/>
        <v/>
      </c>
      <c r="T3170" s="21"/>
      <c r="U3170" s="22"/>
      <c r="V3170" s="24"/>
      <c r="W3170" s="24"/>
      <c r="X3170" s="24"/>
      <c r="Y3170" s="24"/>
      <c r="Z3170" s="20" t="str">
        <f t="shared" si="104"/>
        <v/>
      </c>
    </row>
    <row r="3171" spans="1:26" x14ac:dyDescent="0.2">
      <c r="A3171" s="21"/>
      <c r="B3171" s="20"/>
      <c r="C3171" s="22"/>
      <c r="D3171" s="22"/>
      <c r="E3171" s="24"/>
      <c r="F3171" s="22"/>
      <c r="H3171" s="21">
        <v>46094</v>
      </c>
      <c r="I3171" s="22" t="s">
        <v>71</v>
      </c>
      <c r="J3171" s="22" t="s">
        <v>51</v>
      </c>
      <c r="K3171" s="24">
        <v>7</v>
      </c>
      <c r="M3171" s="21"/>
      <c r="N3171" s="22"/>
      <c r="O3171" s="22"/>
      <c r="P3171" s="49"/>
      <c r="Q3171" s="49"/>
      <c r="R3171" s="188" t="str">
        <f t="shared" si="105"/>
        <v/>
      </c>
      <c r="T3171" s="21"/>
      <c r="U3171" s="22"/>
      <c r="V3171" s="24"/>
      <c r="W3171" s="24"/>
      <c r="X3171" s="24"/>
      <c r="Y3171" s="24"/>
      <c r="Z3171" s="20" t="str">
        <f t="shared" si="104"/>
        <v/>
      </c>
    </row>
    <row r="3172" spans="1:26" x14ac:dyDescent="0.2">
      <c r="A3172" s="21"/>
      <c r="B3172" s="20"/>
      <c r="C3172" s="22"/>
      <c r="D3172" s="22"/>
      <c r="E3172" s="24"/>
      <c r="F3172" s="22"/>
      <c r="H3172" s="21">
        <v>46094</v>
      </c>
      <c r="I3172" s="22" t="s">
        <v>71</v>
      </c>
      <c r="J3172" s="22" t="s">
        <v>46</v>
      </c>
      <c r="K3172" s="24">
        <v>5</v>
      </c>
      <c r="M3172" s="21"/>
      <c r="N3172" s="22"/>
      <c r="O3172" s="22"/>
      <c r="P3172" s="49"/>
      <c r="Q3172" s="49"/>
      <c r="R3172" s="188" t="str">
        <f t="shared" si="105"/>
        <v/>
      </c>
      <c r="T3172" s="21"/>
      <c r="U3172" s="22"/>
      <c r="V3172" s="24"/>
      <c r="W3172" s="24"/>
      <c r="X3172" s="24"/>
      <c r="Y3172" s="24"/>
      <c r="Z3172" s="20" t="str">
        <f t="shared" si="104"/>
        <v/>
      </c>
    </row>
    <row r="3173" spans="1:26" x14ac:dyDescent="0.2">
      <c r="A3173" s="21"/>
      <c r="B3173" s="20"/>
      <c r="C3173" s="22"/>
      <c r="D3173" s="22"/>
      <c r="E3173" s="24"/>
      <c r="F3173" s="22"/>
      <c r="H3173" s="21">
        <v>46094</v>
      </c>
      <c r="I3173" s="22" t="s">
        <v>71</v>
      </c>
      <c r="J3173" s="22" t="s">
        <v>48</v>
      </c>
      <c r="K3173" s="24">
        <v>8</v>
      </c>
      <c r="M3173" s="21"/>
      <c r="N3173" s="22"/>
      <c r="O3173" s="22"/>
      <c r="P3173" s="49"/>
      <c r="Q3173" s="49"/>
      <c r="R3173" s="188" t="str">
        <f t="shared" si="105"/>
        <v/>
      </c>
      <c r="T3173" s="21"/>
      <c r="U3173" s="22"/>
      <c r="V3173" s="24"/>
      <c r="W3173" s="24"/>
      <c r="X3173" s="24"/>
      <c r="Y3173" s="24"/>
      <c r="Z3173" s="20" t="str">
        <f t="shared" si="104"/>
        <v/>
      </c>
    </row>
    <row r="3174" spans="1:26" x14ac:dyDescent="0.2">
      <c r="A3174" s="21"/>
      <c r="B3174" s="20"/>
      <c r="C3174" s="22"/>
      <c r="D3174" s="22"/>
      <c r="E3174" s="24"/>
      <c r="F3174" s="22"/>
      <c r="H3174" s="21">
        <v>46094</v>
      </c>
      <c r="I3174" s="22" t="s">
        <v>71</v>
      </c>
      <c r="J3174" s="22" t="s">
        <v>56</v>
      </c>
      <c r="K3174" s="24" t="s">
        <v>63</v>
      </c>
      <c r="M3174" s="21"/>
      <c r="N3174" s="22"/>
      <c r="O3174" s="22"/>
      <c r="P3174" s="49"/>
      <c r="Q3174" s="49"/>
      <c r="R3174" s="188" t="str">
        <f t="shared" si="105"/>
        <v/>
      </c>
      <c r="T3174" s="21"/>
      <c r="U3174" s="22"/>
      <c r="V3174" s="24"/>
      <c r="W3174" s="24"/>
      <c r="X3174" s="24"/>
      <c r="Y3174" s="24"/>
      <c r="Z3174" s="20" t="str">
        <f t="shared" si="104"/>
        <v/>
      </c>
    </row>
    <row r="3175" spans="1:26" x14ac:dyDescent="0.2">
      <c r="A3175" s="21"/>
      <c r="B3175" s="20"/>
      <c r="C3175" s="22"/>
      <c r="D3175" s="22"/>
      <c r="E3175" s="24"/>
      <c r="F3175" s="22"/>
      <c r="H3175" s="21">
        <v>46096</v>
      </c>
      <c r="I3175" s="22" t="s">
        <v>70</v>
      </c>
      <c r="J3175" s="22" t="s">
        <v>52</v>
      </c>
      <c r="K3175" s="24">
        <v>5</v>
      </c>
      <c r="M3175" s="21"/>
      <c r="N3175" s="22"/>
      <c r="O3175" s="22"/>
      <c r="P3175" s="49"/>
      <c r="Q3175" s="49"/>
      <c r="R3175" s="188" t="str">
        <f t="shared" si="105"/>
        <v/>
      </c>
      <c r="T3175" s="21"/>
      <c r="U3175" s="22"/>
      <c r="V3175" s="24"/>
      <c r="W3175" s="24"/>
      <c r="X3175" s="24"/>
      <c r="Y3175" s="24"/>
      <c r="Z3175" s="20" t="str">
        <f t="shared" si="104"/>
        <v/>
      </c>
    </row>
    <row r="3176" spans="1:26" x14ac:dyDescent="0.2">
      <c r="A3176" s="21"/>
      <c r="B3176" s="20"/>
      <c r="C3176" s="22"/>
      <c r="D3176" s="22"/>
      <c r="E3176" s="24"/>
      <c r="F3176" s="22"/>
      <c r="H3176" s="21">
        <v>46096</v>
      </c>
      <c r="I3176" s="22" t="s">
        <v>70</v>
      </c>
      <c r="J3176" s="22" t="s">
        <v>53</v>
      </c>
      <c r="K3176" s="24">
        <v>5</v>
      </c>
      <c r="M3176" s="21"/>
      <c r="N3176" s="22"/>
      <c r="O3176" s="22"/>
      <c r="P3176" s="49"/>
      <c r="Q3176" s="49"/>
      <c r="R3176" s="188" t="str">
        <f t="shared" si="105"/>
        <v/>
      </c>
      <c r="T3176" s="21"/>
      <c r="U3176" s="22"/>
      <c r="V3176" s="24"/>
      <c r="W3176" s="24"/>
      <c r="X3176" s="24"/>
      <c r="Y3176" s="24"/>
      <c r="Z3176" s="20" t="str">
        <f t="shared" si="104"/>
        <v/>
      </c>
    </row>
    <row r="3177" spans="1:26" x14ac:dyDescent="0.2">
      <c r="A3177" s="21"/>
      <c r="B3177" s="20"/>
      <c r="C3177" s="22"/>
      <c r="D3177" s="22"/>
      <c r="E3177" s="24"/>
      <c r="F3177" s="22"/>
      <c r="H3177" s="21">
        <v>46096</v>
      </c>
      <c r="I3177" s="22" t="s">
        <v>70</v>
      </c>
      <c r="J3177" s="22" t="s">
        <v>44</v>
      </c>
      <c r="K3177" s="24">
        <v>5</v>
      </c>
      <c r="M3177" s="21"/>
      <c r="N3177" s="22"/>
      <c r="O3177" s="22"/>
      <c r="P3177" s="49"/>
      <c r="Q3177" s="49"/>
      <c r="R3177" s="188" t="str">
        <f t="shared" si="105"/>
        <v/>
      </c>
      <c r="T3177" s="21"/>
      <c r="U3177" s="22"/>
      <c r="V3177" s="24"/>
      <c r="W3177" s="24"/>
      <c r="X3177" s="24"/>
      <c r="Y3177" s="24"/>
      <c r="Z3177" s="20" t="str">
        <f t="shared" si="104"/>
        <v/>
      </c>
    </row>
    <row r="3178" spans="1:26" x14ac:dyDescent="0.2">
      <c r="A3178" s="21"/>
      <c r="B3178" s="20"/>
      <c r="C3178" s="22"/>
      <c r="D3178" s="22"/>
      <c r="E3178" s="24"/>
      <c r="F3178" s="22"/>
      <c r="H3178" s="21">
        <v>46096</v>
      </c>
      <c r="I3178" s="22" t="s">
        <v>70</v>
      </c>
      <c r="J3178" s="22" t="s">
        <v>45</v>
      </c>
      <c r="K3178" s="24">
        <v>5</v>
      </c>
      <c r="M3178" s="21"/>
      <c r="N3178" s="22"/>
      <c r="O3178" s="22"/>
      <c r="P3178" s="49"/>
      <c r="Q3178" s="49"/>
      <c r="R3178" s="188" t="str">
        <f t="shared" si="105"/>
        <v/>
      </c>
      <c r="T3178" s="21"/>
      <c r="U3178" s="22"/>
      <c r="V3178" s="24"/>
      <c r="W3178" s="24"/>
      <c r="X3178" s="24"/>
      <c r="Y3178" s="24"/>
      <c r="Z3178" s="20" t="str">
        <f t="shared" si="104"/>
        <v/>
      </c>
    </row>
    <row r="3179" spans="1:26" x14ac:dyDescent="0.2">
      <c r="A3179" s="21"/>
      <c r="B3179" s="20"/>
      <c r="C3179" s="22"/>
      <c r="D3179" s="22"/>
      <c r="E3179" s="24"/>
      <c r="F3179" s="22"/>
      <c r="H3179" s="21">
        <v>46096</v>
      </c>
      <c r="I3179" s="22" t="s">
        <v>70</v>
      </c>
      <c r="J3179" s="22" t="s">
        <v>57</v>
      </c>
      <c r="K3179" s="24">
        <v>5</v>
      </c>
      <c r="M3179" s="21"/>
      <c r="N3179" s="22"/>
      <c r="O3179" s="22"/>
      <c r="P3179" s="49"/>
      <c r="Q3179" s="49"/>
      <c r="R3179" s="188" t="str">
        <f t="shared" si="105"/>
        <v/>
      </c>
      <c r="T3179" s="21"/>
      <c r="U3179" s="22"/>
      <c r="V3179" s="24"/>
      <c r="W3179" s="24"/>
      <c r="X3179" s="24"/>
      <c r="Y3179" s="24"/>
      <c r="Z3179" s="20" t="str">
        <f t="shared" si="104"/>
        <v/>
      </c>
    </row>
    <row r="3180" spans="1:26" x14ac:dyDescent="0.2">
      <c r="A3180" s="21"/>
      <c r="B3180" s="20"/>
      <c r="C3180" s="22"/>
      <c r="D3180" s="22"/>
      <c r="E3180" s="24"/>
      <c r="F3180" s="22"/>
      <c r="H3180" s="21">
        <v>46096</v>
      </c>
      <c r="I3180" s="22" t="s">
        <v>70</v>
      </c>
      <c r="J3180" s="22" t="s">
        <v>42</v>
      </c>
      <c r="K3180" s="24">
        <v>4</v>
      </c>
      <c r="M3180" s="21"/>
      <c r="N3180" s="22"/>
      <c r="O3180" s="22"/>
      <c r="P3180" s="49"/>
      <c r="Q3180" s="49"/>
      <c r="R3180" s="188" t="str">
        <f t="shared" si="105"/>
        <v/>
      </c>
      <c r="T3180" s="21"/>
      <c r="U3180" s="22"/>
      <c r="V3180" s="24"/>
      <c r="W3180" s="24"/>
      <c r="X3180" s="24"/>
      <c r="Y3180" s="24"/>
      <c r="Z3180" s="20" t="str">
        <f t="shared" si="104"/>
        <v/>
      </c>
    </row>
    <row r="3181" spans="1:26" x14ac:dyDescent="0.2">
      <c r="A3181" s="21"/>
      <c r="B3181" s="20"/>
      <c r="C3181" s="22"/>
      <c r="D3181" s="22"/>
      <c r="E3181" s="24"/>
      <c r="F3181" s="22"/>
      <c r="H3181" s="21">
        <v>46096</v>
      </c>
      <c r="I3181" s="22" t="s">
        <v>70</v>
      </c>
      <c r="J3181" s="22" t="s">
        <v>47</v>
      </c>
      <c r="K3181" s="24">
        <v>5</v>
      </c>
      <c r="M3181" s="21"/>
      <c r="N3181" s="22"/>
      <c r="O3181" s="22"/>
      <c r="P3181" s="49"/>
      <c r="Q3181" s="49"/>
      <c r="R3181" s="188" t="str">
        <f t="shared" si="105"/>
        <v/>
      </c>
      <c r="T3181" s="21"/>
      <c r="U3181" s="22"/>
      <c r="V3181" s="24"/>
      <c r="W3181" s="24"/>
      <c r="X3181" s="24"/>
      <c r="Y3181" s="24"/>
      <c r="Z3181" s="20" t="str">
        <f t="shared" si="104"/>
        <v/>
      </c>
    </row>
    <row r="3182" spans="1:26" x14ac:dyDescent="0.2">
      <c r="A3182" s="21"/>
      <c r="B3182" s="20"/>
      <c r="C3182" s="22"/>
      <c r="D3182" s="22"/>
      <c r="E3182" s="24"/>
      <c r="F3182" s="22"/>
      <c r="H3182" s="21">
        <v>46096</v>
      </c>
      <c r="I3182" s="22" t="s">
        <v>70</v>
      </c>
      <c r="J3182" s="22" t="s">
        <v>41</v>
      </c>
      <c r="K3182" s="24">
        <v>4</v>
      </c>
      <c r="M3182" s="21"/>
      <c r="N3182" s="22"/>
      <c r="O3182" s="22"/>
      <c r="P3182" s="49"/>
      <c r="Q3182" s="49"/>
      <c r="R3182" s="188" t="str">
        <f t="shared" si="105"/>
        <v/>
      </c>
      <c r="T3182" s="21"/>
      <c r="U3182" s="22"/>
      <c r="V3182" s="24"/>
      <c r="W3182" s="24"/>
      <c r="X3182" s="24"/>
      <c r="Y3182" s="24"/>
      <c r="Z3182" s="20" t="str">
        <f t="shared" si="104"/>
        <v/>
      </c>
    </row>
    <row r="3183" spans="1:26" x14ac:dyDescent="0.2">
      <c r="A3183" s="21"/>
      <c r="B3183" s="20"/>
      <c r="C3183" s="22"/>
      <c r="D3183" s="22"/>
      <c r="E3183" s="24"/>
      <c r="F3183" s="22"/>
      <c r="H3183" s="21">
        <v>46096</v>
      </c>
      <c r="I3183" s="22" t="s">
        <v>70</v>
      </c>
      <c r="J3183" s="22" t="s">
        <v>58</v>
      </c>
      <c r="K3183" s="24">
        <v>5</v>
      </c>
      <c r="M3183" s="21"/>
      <c r="N3183" s="22"/>
      <c r="O3183" s="22"/>
      <c r="P3183" s="49"/>
      <c r="Q3183" s="49"/>
      <c r="R3183" s="188" t="str">
        <f t="shared" si="105"/>
        <v/>
      </c>
      <c r="T3183" s="21"/>
      <c r="U3183" s="22"/>
      <c r="V3183" s="24"/>
      <c r="W3183" s="24"/>
      <c r="X3183" s="24"/>
      <c r="Y3183" s="24"/>
      <c r="Z3183" s="20" t="str">
        <f t="shared" si="104"/>
        <v/>
      </c>
    </row>
    <row r="3184" spans="1:26" x14ac:dyDescent="0.2">
      <c r="A3184" s="21"/>
      <c r="B3184" s="20"/>
      <c r="C3184" s="22"/>
      <c r="D3184" s="22"/>
      <c r="E3184" s="24"/>
      <c r="F3184" s="22"/>
      <c r="H3184" s="21">
        <v>46096</v>
      </c>
      <c r="I3184" s="22" t="s">
        <v>70</v>
      </c>
      <c r="J3184" s="22" t="s">
        <v>49</v>
      </c>
      <c r="K3184" s="24">
        <v>5</v>
      </c>
      <c r="M3184" s="21"/>
      <c r="N3184" s="22"/>
      <c r="O3184" s="22"/>
      <c r="P3184" s="49"/>
      <c r="Q3184" s="49"/>
      <c r="R3184" s="188" t="str">
        <f t="shared" si="105"/>
        <v/>
      </c>
      <c r="T3184" s="21"/>
      <c r="U3184" s="22"/>
      <c r="V3184" s="24"/>
      <c r="W3184" s="24"/>
      <c r="X3184" s="24"/>
      <c r="Y3184" s="24"/>
      <c r="Z3184" s="20" t="str">
        <f t="shared" si="104"/>
        <v/>
      </c>
    </row>
    <row r="3185" spans="1:26" x14ac:dyDescent="0.2">
      <c r="A3185" s="21"/>
      <c r="B3185" s="20"/>
      <c r="C3185" s="22"/>
      <c r="D3185" s="22"/>
      <c r="E3185" s="24"/>
      <c r="F3185" s="22"/>
      <c r="H3185" s="21">
        <v>46096</v>
      </c>
      <c r="I3185" s="22" t="s">
        <v>70</v>
      </c>
      <c r="J3185" s="22" t="s">
        <v>50</v>
      </c>
      <c r="K3185" s="24">
        <v>5</v>
      </c>
      <c r="M3185" s="21"/>
      <c r="N3185" s="22"/>
      <c r="O3185" s="22"/>
      <c r="P3185" s="49"/>
      <c r="Q3185" s="49"/>
      <c r="R3185" s="188" t="str">
        <f t="shared" si="105"/>
        <v/>
      </c>
      <c r="T3185" s="21"/>
      <c r="U3185" s="22"/>
      <c r="V3185" s="24"/>
      <c r="W3185" s="24"/>
      <c r="X3185" s="24"/>
      <c r="Y3185" s="24"/>
      <c r="Z3185" s="20" t="str">
        <f t="shared" si="104"/>
        <v/>
      </c>
    </row>
    <row r="3186" spans="1:26" x14ac:dyDescent="0.2">
      <c r="A3186" s="21"/>
      <c r="B3186" s="20"/>
      <c r="C3186" s="22"/>
      <c r="D3186" s="22"/>
      <c r="E3186" s="24"/>
      <c r="F3186" s="22"/>
      <c r="H3186" s="21">
        <v>46096</v>
      </c>
      <c r="I3186" s="22" t="s">
        <v>70</v>
      </c>
      <c r="J3186" s="22" t="s">
        <v>51</v>
      </c>
      <c r="K3186" s="24">
        <v>5</v>
      </c>
      <c r="M3186" s="21"/>
      <c r="N3186" s="22"/>
      <c r="O3186" s="22"/>
      <c r="P3186" s="49"/>
      <c r="Q3186" s="49"/>
      <c r="R3186" s="188" t="str">
        <f t="shared" si="105"/>
        <v/>
      </c>
      <c r="T3186" s="21"/>
      <c r="U3186" s="22"/>
      <c r="V3186" s="24"/>
      <c r="W3186" s="24"/>
      <c r="X3186" s="24"/>
      <c r="Y3186" s="24"/>
      <c r="Z3186" s="20" t="str">
        <f t="shared" si="104"/>
        <v/>
      </c>
    </row>
    <row r="3187" spans="1:26" x14ac:dyDescent="0.2">
      <c r="A3187" s="21"/>
      <c r="B3187" s="20"/>
      <c r="C3187" s="22"/>
      <c r="D3187" s="22"/>
      <c r="E3187" s="24"/>
      <c r="F3187" s="22"/>
      <c r="H3187" s="21">
        <v>46096</v>
      </c>
      <c r="I3187" s="22" t="s">
        <v>70</v>
      </c>
      <c r="J3187" s="22" t="s">
        <v>46</v>
      </c>
      <c r="K3187" s="24">
        <v>5</v>
      </c>
      <c r="M3187" s="21"/>
      <c r="N3187" s="22"/>
      <c r="O3187" s="22"/>
      <c r="P3187" s="49"/>
      <c r="Q3187" s="49"/>
      <c r="R3187" s="188" t="str">
        <f t="shared" si="105"/>
        <v/>
      </c>
      <c r="T3187" s="21"/>
      <c r="U3187" s="22"/>
      <c r="V3187" s="24"/>
      <c r="W3187" s="24"/>
      <c r="X3187" s="24"/>
      <c r="Y3187" s="24"/>
      <c r="Z3187" s="20" t="str">
        <f t="shared" si="104"/>
        <v/>
      </c>
    </row>
    <row r="3188" spans="1:26" x14ac:dyDescent="0.2">
      <c r="A3188" s="21"/>
      <c r="B3188" s="20"/>
      <c r="C3188" s="22"/>
      <c r="D3188" s="22"/>
      <c r="E3188" s="24"/>
      <c r="F3188" s="22"/>
      <c r="H3188" s="21">
        <v>46096</v>
      </c>
      <c r="I3188" s="22" t="s">
        <v>70</v>
      </c>
      <c r="J3188" s="22" t="s">
        <v>48</v>
      </c>
      <c r="K3188" s="24">
        <v>5</v>
      </c>
      <c r="M3188" s="21"/>
      <c r="N3188" s="22"/>
      <c r="O3188" s="22"/>
      <c r="P3188" s="49"/>
      <c r="Q3188" s="49"/>
      <c r="R3188" s="188" t="str">
        <f t="shared" si="105"/>
        <v/>
      </c>
      <c r="T3188" s="21"/>
      <c r="U3188" s="22"/>
      <c r="V3188" s="24"/>
      <c r="W3188" s="24"/>
      <c r="X3188" s="24"/>
      <c r="Y3188" s="24"/>
      <c r="Z3188" s="20" t="str">
        <f t="shared" si="104"/>
        <v/>
      </c>
    </row>
    <row r="3189" spans="1:26" x14ac:dyDescent="0.2">
      <c r="A3189" s="21"/>
      <c r="B3189" s="20"/>
      <c r="C3189" s="22"/>
      <c r="D3189" s="22"/>
      <c r="E3189" s="24"/>
      <c r="F3189" s="22"/>
      <c r="H3189" s="21">
        <v>46097</v>
      </c>
      <c r="I3189" s="22" t="s">
        <v>70</v>
      </c>
      <c r="J3189" s="22" t="s">
        <v>52</v>
      </c>
      <c r="K3189" s="24">
        <v>6</v>
      </c>
      <c r="M3189" s="21"/>
      <c r="N3189" s="22"/>
      <c r="O3189" s="22"/>
      <c r="P3189" s="49"/>
      <c r="Q3189" s="49"/>
      <c r="R3189" s="188" t="str">
        <f t="shared" si="105"/>
        <v/>
      </c>
      <c r="T3189" s="21"/>
      <c r="U3189" s="22"/>
      <c r="V3189" s="24"/>
      <c r="W3189" s="24"/>
      <c r="X3189" s="24"/>
      <c r="Y3189" s="24"/>
      <c r="Z3189" s="20" t="str">
        <f t="shared" si="104"/>
        <v/>
      </c>
    </row>
    <row r="3190" spans="1:26" x14ac:dyDescent="0.2">
      <c r="A3190" s="21"/>
      <c r="B3190" s="20"/>
      <c r="C3190" s="22"/>
      <c r="D3190" s="22"/>
      <c r="E3190" s="24"/>
      <c r="F3190" s="22"/>
      <c r="H3190" s="21">
        <v>46097</v>
      </c>
      <c r="I3190" s="22" t="s">
        <v>70</v>
      </c>
      <c r="J3190" s="22" t="s">
        <v>53</v>
      </c>
      <c r="K3190" s="24">
        <v>6</v>
      </c>
      <c r="M3190" s="21"/>
      <c r="N3190" s="22"/>
      <c r="O3190" s="22"/>
      <c r="P3190" s="49"/>
      <c r="Q3190" s="49"/>
      <c r="R3190" s="188" t="str">
        <f t="shared" si="105"/>
        <v/>
      </c>
      <c r="T3190" s="21"/>
      <c r="U3190" s="22"/>
      <c r="V3190" s="24"/>
      <c r="W3190" s="24"/>
      <c r="X3190" s="24"/>
      <c r="Y3190" s="24"/>
      <c r="Z3190" s="20" t="str">
        <f t="shared" si="104"/>
        <v/>
      </c>
    </row>
    <row r="3191" spans="1:26" x14ac:dyDescent="0.2">
      <c r="A3191" s="21"/>
      <c r="B3191" s="20"/>
      <c r="C3191" s="22"/>
      <c r="D3191" s="22"/>
      <c r="E3191" s="24"/>
      <c r="F3191" s="22"/>
      <c r="H3191" s="21">
        <v>46097</v>
      </c>
      <c r="I3191" s="22" t="s">
        <v>70</v>
      </c>
      <c r="J3191" s="22" t="s">
        <v>44</v>
      </c>
      <c r="K3191" s="24">
        <v>7</v>
      </c>
      <c r="M3191" s="21"/>
      <c r="N3191" s="22"/>
      <c r="O3191" s="22"/>
      <c r="P3191" s="49"/>
      <c r="Q3191" s="49"/>
      <c r="R3191" s="188" t="str">
        <f t="shared" si="105"/>
        <v/>
      </c>
      <c r="T3191" s="21"/>
      <c r="U3191" s="22"/>
      <c r="V3191" s="24"/>
      <c r="W3191" s="24"/>
      <c r="X3191" s="24"/>
      <c r="Y3191" s="24"/>
      <c r="Z3191" s="20" t="str">
        <f t="shared" si="104"/>
        <v/>
      </c>
    </row>
    <row r="3192" spans="1:26" x14ac:dyDescent="0.2">
      <c r="A3192" s="21"/>
      <c r="B3192" s="20"/>
      <c r="C3192" s="22"/>
      <c r="D3192" s="22"/>
      <c r="E3192" s="24"/>
      <c r="F3192" s="22"/>
      <c r="H3192" s="21">
        <v>46097</v>
      </c>
      <c r="I3192" s="22" t="s">
        <v>70</v>
      </c>
      <c r="J3192" s="22" t="s">
        <v>45</v>
      </c>
      <c r="K3192" s="24">
        <v>5</v>
      </c>
      <c r="M3192" s="21"/>
      <c r="N3192" s="22"/>
      <c r="O3192" s="22"/>
      <c r="P3192" s="49"/>
      <c r="Q3192" s="49"/>
      <c r="R3192" s="188" t="str">
        <f t="shared" si="105"/>
        <v/>
      </c>
      <c r="T3192" s="21"/>
      <c r="U3192" s="22"/>
      <c r="V3192" s="24"/>
      <c r="W3192" s="24"/>
      <c r="X3192" s="24"/>
      <c r="Y3192" s="24"/>
      <c r="Z3192" s="20" t="str">
        <f t="shared" si="104"/>
        <v/>
      </c>
    </row>
    <row r="3193" spans="1:26" x14ac:dyDescent="0.2">
      <c r="A3193" s="21"/>
      <c r="B3193" s="20"/>
      <c r="C3193" s="22"/>
      <c r="D3193" s="22"/>
      <c r="E3193" s="24"/>
      <c r="F3193" s="22"/>
      <c r="H3193" s="21">
        <v>46097</v>
      </c>
      <c r="I3193" s="22" t="s">
        <v>70</v>
      </c>
      <c r="J3193" s="22" t="s">
        <v>57</v>
      </c>
      <c r="K3193" s="24">
        <v>7</v>
      </c>
      <c r="M3193" s="21"/>
      <c r="N3193" s="22"/>
      <c r="O3193" s="22"/>
      <c r="P3193" s="49"/>
      <c r="Q3193" s="49"/>
      <c r="R3193" s="188" t="str">
        <f t="shared" si="105"/>
        <v/>
      </c>
      <c r="T3193" s="21"/>
      <c r="U3193" s="22"/>
      <c r="V3193" s="24"/>
      <c r="W3193" s="24"/>
      <c r="X3193" s="24"/>
      <c r="Y3193" s="24"/>
      <c r="Z3193" s="20" t="str">
        <f t="shared" si="104"/>
        <v/>
      </c>
    </row>
    <row r="3194" spans="1:26" x14ac:dyDescent="0.2">
      <c r="A3194" s="21"/>
      <c r="B3194" s="20"/>
      <c r="C3194" s="22"/>
      <c r="D3194" s="22"/>
      <c r="E3194" s="24"/>
      <c r="F3194" s="22"/>
      <c r="H3194" s="21">
        <v>46097</v>
      </c>
      <c r="I3194" s="22" t="s">
        <v>70</v>
      </c>
      <c r="J3194" s="22" t="s">
        <v>42</v>
      </c>
      <c r="K3194" s="24">
        <v>2</v>
      </c>
      <c r="M3194" s="21"/>
      <c r="N3194" s="22"/>
      <c r="O3194" s="22"/>
      <c r="P3194" s="49"/>
      <c r="Q3194" s="49"/>
      <c r="R3194" s="188" t="str">
        <f t="shared" si="105"/>
        <v/>
      </c>
      <c r="T3194" s="21"/>
      <c r="U3194" s="22"/>
      <c r="V3194" s="24"/>
      <c r="W3194" s="24"/>
      <c r="X3194" s="24"/>
      <c r="Y3194" s="24"/>
      <c r="Z3194" s="20" t="str">
        <f t="shared" si="104"/>
        <v/>
      </c>
    </row>
    <row r="3195" spans="1:26" x14ac:dyDescent="0.2">
      <c r="A3195" s="21"/>
      <c r="B3195" s="20"/>
      <c r="C3195" s="22"/>
      <c r="D3195" s="22"/>
      <c r="E3195" s="24"/>
      <c r="F3195" s="22"/>
      <c r="H3195" s="21">
        <v>46097</v>
      </c>
      <c r="I3195" s="22" t="s">
        <v>70</v>
      </c>
      <c r="J3195" s="22" t="s">
        <v>47</v>
      </c>
      <c r="K3195" s="24">
        <v>4</v>
      </c>
      <c r="M3195" s="21"/>
      <c r="N3195" s="22"/>
      <c r="O3195" s="22"/>
      <c r="P3195" s="49"/>
      <c r="Q3195" s="49"/>
      <c r="R3195" s="188" t="str">
        <f t="shared" si="105"/>
        <v/>
      </c>
      <c r="T3195" s="21"/>
      <c r="U3195" s="22"/>
      <c r="V3195" s="24"/>
      <c r="W3195" s="24"/>
      <c r="X3195" s="24"/>
      <c r="Y3195" s="24"/>
      <c r="Z3195" s="20" t="str">
        <f t="shared" si="104"/>
        <v/>
      </c>
    </row>
    <row r="3196" spans="1:26" x14ac:dyDescent="0.2">
      <c r="A3196" s="21"/>
      <c r="B3196" s="20"/>
      <c r="C3196" s="22"/>
      <c r="D3196" s="22"/>
      <c r="E3196" s="24"/>
      <c r="F3196" s="22"/>
      <c r="H3196" s="21">
        <v>46097</v>
      </c>
      <c r="I3196" s="22" t="s">
        <v>70</v>
      </c>
      <c r="J3196" s="22" t="s">
        <v>41</v>
      </c>
      <c r="K3196" s="24">
        <v>4</v>
      </c>
      <c r="M3196" s="21"/>
      <c r="N3196" s="22"/>
      <c r="O3196" s="22"/>
      <c r="P3196" s="49"/>
      <c r="Q3196" s="49"/>
      <c r="R3196" s="188" t="str">
        <f t="shared" si="105"/>
        <v/>
      </c>
      <c r="T3196" s="21"/>
      <c r="U3196" s="22"/>
      <c r="V3196" s="24"/>
      <c r="W3196" s="24"/>
      <c r="X3196" s="24"/>
      <c r="Y3196" s="24"/>
      <c r="Z3196" s="20" t="str">
        <f t="shared" si="104"/>
        <v/>
      </c>
    </row>
    <row r="3197" spans="1:26" x14ac:dyDescent="0.2">
      <c r="A3197" s="21"/>
      <c r="B3197" s="20"/>
      <c r="C3197" s="22"/>
      <c r="D3197" s="22"/>
      <c r="E3197" s="24"/>
      <c r="F3197" s="22"/>
      <c r="H3197" s="21">
        <v>46097</v>
      </c>
      <c r="I3197" s="22" t="s">
        <v>70</v>
      </c>
      <c r="J3197" s="22" t="s">
        <v>58</v>
      </c>
      <c r="K3197" s="24">
        <v>6</v>
      </c>
      <c r="M3197" s="21"/>
      <c r="N3197" s="22"/>
      <c r="O3197" s="22"/>
      <c r="P3197" s="49"/>
      <c r="Q3197" s="49"/>
      <c r="R3197" s="188" t="str">
        <f t="shared" si="105"/>
        <v/>
      </c>
      <c r="T3197" s="21"/>
      <c r="U3197" s="22"/>
      <c r="V3197" s="24"/>
      <c r="W3197" s="24"/>
      <c r="X3197" s="24"/>
      <c r="Y3197" s="24"/>
      <c r="Z3197" s="20" t="str">
        <f t="shared" si="104"/>
        <v/>
      </c>
    </row>
    <row r="3198" spans="1:26" x14ac:dyDescent="0.2">
      <c r="A3198" s="21"/>
      <c r="B3198" s="20"/>
      <c r="C3198" s="22"/>
      <c r="D3198" s="22"/>
      <c r="E3198" s="24"/>
      <c r="F3198" s="22"/>
      <c r="H3198" s="21">
        <v>46097</v>
      </c>
      <c r="I3198" s="22" t="s">
        <v>70</v>
      </c>
      <c r="J3198" s="22" t="s">
        <v>49</v>
      </c>
      <c r="K3198" s="24">
        <v>6</v>
      </c>
      <c r="M3198" s="21"/>
      <c r="N3198" s="22"/>
      <c r="O3198" s="22"/>
      <c r="P3198" s="49"/>
      <c r="Q3198" s="49"/>
      <c r="R3198" s="188" t="str">
        <f t="shared" si="105"/>
        <v/>
      </c>
      <c r="T3198" s="21"/>
      <c r="U3198" s="22"/>
      <c r="V3198" s="24"/>
      <c r="W3198" s="24"/>
      <c r="X3198" s="24"/>
      <c r="Y3198" s="24"/>
      <c r="Z3198" s="20" t="str">
        <f t="shared" si="104"/>
        <v/>
      </c>
    </row>
    <row r="3199" spans="1:26" x14ac:dyDescent="0.2">
      <c r="A3199" s="21"/>
      <c r="B3199" s="20"/>
      <c r="C3199" s="22"/>
      <c r="D3199" s="22"/>
      <c r="E3199" s="24"/>
      <c r="F3199" s="22"/>
      <c r="H3199" s="21">
        <v>46097</v>
      </c>
      <c r="I3199" s="22" t="s">
        <v>70</v>
      </c>
      <c r="J3199" s="22" t="s">
        <v>50</v>
      </c>
      <c r="K3199" s="24">
        <v>5</v>
      </c>
      <c r="M3199" s="21"/>
      <c r="N3199" s="22"/>
      <c r="O3199" s="22"/>
      <c r="P3199" s="49"/>
      <c r="Q3199" s="49"/>
      <c r="R3199" s="188" t="str">
        <f t="shared" si="105"/>
        <v/>
      </c>
      <c r="T3199" s="21"/>
      <c r="U3199" s="22"/>
      <c r="V3199" s="24"/>
      <c r="W3199" s="24"/>
      <c r="X3199" s="24"/>
      <c r="Y3199" s="24"/>
      <c r="Z3199" s="20" t="str">
        <f t="shared" si="104"/>
        <v/>
      </c>
    </row>
    <row r="3200" spans="1:26" x14ac:dyDescent="0.2">
      <c r="A3200" s="21"/>
      <c r="B3200" s="20"/>
      <c r="C3200" s="22"/>
      <c r="D3200" s="22"/>
      <c r="E3200" s="24"/>
      <c r="F3200" s="22"/>
      <c r="H3200" s="21">
        <v>46097</v>
      </c>
      <c r="I3200" s="22" t="s">
        <v>70</v>
      </c>
      <c r="J3200" s="22" t="s">
        <v>51</v>
      </c>
      <c r="K3200" s="24">
        <v>6</v>
      </c>
      <c r="M3200" s="21"/>
      <c r="N3200" s="22"/>
      <c r="O3200" s="22"/>
      <c r="P3200" s="49"/>
      <c r="Q3200" s="49"/>
      <c r="R3200" s="188" t="str">
        <f t="shared" si="105"/>
        <v/>
      </c>
      <c r="T3200" s="21"/>
      <c r="U3200" s="22"/>
      <c r="V3200" s="24"/>
      <c r="W3200" s="24"/>
      <c r="X3200" s="24"/>
      <c r="Y3200" s="24"/>
      <c r="Z3200" s="20" t="str">
        <f t="shared" si="104"/>
        <v/>
      </c>
    </row>
    <row r="3201" spans="1:26" x14ac:dyDescent="0.2">
      <c r="A3201" s="21"/>
      <c r="B3201" s="20"/>
      <c r="C3201" s="22"/>
      <c r="D3201" s="22"/>
      <c r="E3201" s="24"/>
      <c r="F3201" s="22"/>
      <c r="H3201" s="21">
        <v>46097</v>
      </c>
      <c r="I3201" s="22" t="s">
        <v>70</v>
      </c>
      <c r="J3201" s="22" t="s">
        <v>46</v>
      </c>
      <c r="K3201" s="24">
        <v>5</v>
      </c>
      <c r="M3201" s="21"/>
      <c r="N3201" s="22"/>
      <c r="O3201" s="22"/>
      <c r="P3201" s="49"/>
      <c r="Q3201" s="49"/>
      <c r="R3201" s="188" t="str">
        <f t="shared" si="105"/>
        <v/>
      </c>
      <c r="T3201" s="21"/>
      <c r="U3201" s="22"/>
      <c r="V3201" s="24"/>
      <c r="W3201" s="24"/>
      <c r="X3201" s="24"/>
      <c r="Y3201" s="24"/>
      <c r="Z3201" s="20" t="str">
        <f t="shared" si="104"/>
        <v/>
      </c>
    </row>
    <row r="3202" spans="1:26" x14ac:dyDescent="0.2">
      <c r="A3202" s="21"/>
      <c r="B3202" s="20"/>
      <c r="C3202" s="22"/>
      <c r="D3202" s="22"/>
      <c r="E3202" s="24"/>
      <c r="F3202" s="22"/>
      <c r="H3202" s="21">
        <v>46097</v>
      </c>
      <c r="I3202" s="22" t="s">
        <v>70</v>
      </c>
      <c r="J3202" s="22" t="s">
        <v>48</v>
      </c>
      <c r="K3202" s="24">
        <v>5</v>
      </c>
      <c r="M3202" s="21"/>
      <c r="N3202" s="22"/>
      <c r="O3202" s="22"/>
      <c r="P3202" s="49"/>
      <c r="Q3202" s="49"/>
      <c r="R3202" s="188" t="str">
        <f t="shared" si="105"/>
        <v/>
      </c>
      <c r="T3202" s="21"/>
      <c r="U3202" s="22"/>
      <c r="V3202" s="24"/>
      <c r="W3202" s="24"/>
      <c r="X3202" s="24"/>
      <c r="Y3202" s="24"/>
      <c r="Z3202" s="20" t="str">
        <f t="shared" si="104"/>
        <v/>
      </c>
    </row>
    <row r="3203" spans="1:26" x14ac:dyDescent="0.2">
      <c r="A3203" s="21"/>
      <c r="B3203" s="20"/>
      <c r="C3203" s="22"/>
      <c r="D3203" s="22"/>
      <c r="E3203" s="24"/>
      <c r="F3203" s="22"/>
      <c r="H3203" s="21">
        <v>46098</v>
      </c>
      <c r="I3203" s="22" t="s">
        <v>70</v>
      </c>
      <c r="J3203" s="22" t="s">
        <v>52</v>
      </c>
      <c r="K3203" s="24">
        <v>5</v>
      </c>
      <c r="M3203" s="21"/>
      <c r="N3203" s="22"/>
      <c r="O3203" s="22"/>
      <c r="P3203" s="49"/>
      <c r="Q3203" s="49"/>
      <c r="R3203" s="188" t="str">
        <f t="shared" si="105"/>
        <v/>
      </c>
      <c r="T3203" s="21"/>
      <c r="U3203" s="22"/>
      <c r="V3203" s="24"/>
      <c r="W3203" s="24"/>
      <c r="X3203" s="24"/>
      <c r="Y3203" s="24"/>
      <c r="Z3203" s="20" t="str">
        <f t="shared" si="104"/>
        <v/>
      </c>
    </row>
    <row r="3204" spans="1:26" x14ac:dyDescent="0.2">
      <c r="A3204" s="21"/>
      <c r="B3204" s="20"/>
      <c r="C3204" s="22"/>
      <c r="D3204" s="22"/>
      <c r="E3204" s="24"/>
      <c r="F3204" s="22"/>
      <c r="H3204" s="21">
        <v>46098</v>
      </c>
      <c r="I3204" s="22" t="s">
        <v>70</v>
      </c>
      <c r="J3204" s="22" t="s">
        <v>53</v>
      </c>
      <c r="K3204" s="24">
        <v>4</v>
      </c>
      <c r="M3204" s="21"/>
      <c r="N3204" s="22"/>
      <c r="O3204" s="22"/>
      <c r="P3204" s="49"/>
      <c r="Q3204" s="49"/>
      <c r="R3204" s="188" t="str">
        <f t="shared" si="105"/>
        <v/>
      </c>
      <c r="T3204" s="21"/>
      <c r="U3204" s="22"/>
      <c r="V3204" s="24"/>
      <c r="W3204" s="24"/>
      <c r="X3204" s="24"/>
      <c r="Y3204" s="24"/>
      <c r="Z3204" s="20" t="str">
        <f t="shared" si="104"/>
        <v/>
      </c>
    </row>
    <row r="3205" spans="1:26" x14ac:dyDescent="0.2">
      <c r="A3205" s="21"/>
      <c r="B3205" s="20"/>
      <c r="C3205" s="22"/>
      <c r="D3205" s="22"/>
      <c r="E3205" s="24"/>
      <c r="F3205" s="22"/>
      <c r="H3205" s="21">
        <v>46098</v>
      </c>
      <c r="I3205" s="22" t="s">
        <v>70</v>
      </c>
      <c r="J3205" s="22" t="s">
        <v>44</v>
      </c>
      <c r="K3205" s="24">
        <v>2</v>
      </c>
      <c r="M3205" s="21"/>
      <c r="N3205" s="22"/>
      <c r="O3205" s="22"/>
      <c r="P3205" s="49"/>
      <c r="Q3205" s="49"/>
      <c r="R3205" s="188" t="str">
        <f t="shared" si="105"/>
        <v/>
      </c>
      <c r="T3205" s="21"/>
      <c r="U3205" s="22"/>
      <c r="V3205" s="24"/>
      <c r="W3205" s="24"/>
      <c r="X3205" s="24"/>
      <c r="Y3205" s="24"/>
      <c r="Z3205" s="20" t="str">
        <f t="shared" si="104"/>
        <v/>
      </c>
    </row>
    <row r="3206" spans="1:26" x14ac:dyDescent="0.2">
      <c r="A3206" s="21"/>
      <c r="B3206" s="20"/>
      <c r="C3206" s="22"/>
      <c r="D3206" s="22"/>
      <c r="E3206" s="24"/>
      <c r="F3206" s="22"/>
      <c r="H3206" s="21">
        <v>46098</v>
      </c>
      <c r="I3206" s="22" t="s">
        <v>70</v>
      </c>
      <c r="J3206" s="22" t="s">
        <v>45</v>
      </c>
      <c r="K3206" s="24">
        <v>3</v>
      </c>
      <c r="M3206" s="21"/>
      <c r="N3206" s="22"/>
      <c r="O3206" s="22"/>
      <c r="P3206" s="49"/>
      <c r="Q3206" s="49"/>
      <c r="R3206" s="188" t="str">
        <f t="shared" si="105"/>
        <v/>
      </c>
      <c r="T3206" s="21"/>
      <c r="U3206" s="22"/>
      <c r="V3206" s="24"/>
      <c r="W3206" s="24"/>
      <c r="X3206" s="24"/>
      <c r="Y3206" s="24"/>
      <c r="Z3206" s="20" t="str">
        <f t="shared" si="104"/>
        <v/>
      </c>
    </row>
    <row r="3207" spans="1:26" x14ac:dyDescent="0.2">
      <c r="A3207" s="21"/>
      <c r="B3207" s="20"/>
      <c r="C3207" s="22"/>
      <c r="D3207" s="22"/>
      <c r="E3207" s="24"/>
      <c r="F3207" s="22"/>
      <c r="H3207" s="21">
        <v>46098</v>
      </c>
      <c r="I3207" s="22" t="s">
        <v>70</v>
      </c>
      <c r="J3207" s="22" t="s">
        <v>57</v>
      </c>
      <c r="K3207" s="24">
        <v>3</v>
      </c>
      <c r="M3207" s="21"/>
      <c r="N3207" s="22"/>
      <c r="O3207" s="22"/>
      <c r="P3207" s="49"/>
      <c r="Q3207" s="49"/>
      <c r="R3207" s="188" t="str">
        <f t="shared" si="105"/>
        <v/>
      </c>
      <c r="T3207" s="21"/>
      <c r="U3207" s="22"/>
      <c r="V3207" s="24"/>
      <c r="W3207" s="24"/>
      <c r="X3207" s="24"/>
      <c r="Y3207" s="24"/>
      <c r="Z3207" s="20" t="str">
        <f t="shared" si="104"/>
        <v/>
      </c>
    </row>
    <row r="3208" spans="1:26" x14ac:dyDescent="0.2">
      <c r="A3208" s="21"/>
      <c r="B3208" s="20"/>
      <c r="C3208" s="22"/>
      <c r="D3208" s="22"/>
      <c r="E3208" s="24"/>
      <c r="F3208" s="22"/>
      <c r="H3208" s="21">
        <v>46098</v>
      </c>
      <c r="I3208" s="22" t="s">
        <v>70</v>
      </c>
      <c r="J3208" s="22" t="s">
        <v>42</v>
      </c>
      <c r="K3208" s="24">
        <v>1</v>
      </c>
      <c r="M3208" s="21"/>
      <c r="N3208" s="22"/>
      <c r="O3208" s="22"/>
      <c r="P3208" s="49"/>
      <c r="Q3208" s="49"/>
      <c r="R3208" s="188" t="str">
        <f t="shared" si="105"/>
        <v/>
      </c>
      <c r="T3208" s="21"/>
      <c r="U3208" s="22"/>
      <c r="V3208" s="24"/>
      <c r="W3208" s="24"/>
      <c r="X3208" s="24"/>
      <c r="Y3208" s="24"/>
      <c r="Z3208" s="20" t="str">
        <f t="shared" si="104"/>
        <v/>
      </c>
    </row>
    <row r="3209" spans="1:26" x14ac:dyDescent="0.2">
      <c r="A3209" s="21"/>
      <c r="B3209" s="20"/>
      <c r="C3209" s="22"/>
      <c r="D3209" s="22"/>
      <c r="E3209" s="24"/>
      <c r="F3209" s="22"/>
      <c r="H3209" s="21">
        <v>46098</v>
      </c>
      <c r="I3209" s="22" t="s">
        <v>70</v>
      </c>
      <c r="J3209" s="22" t="s">
        <v>47</v>
      </c>
      <c r="K3209" s="24">
        <v>2</v>
      </c>
      <c r="M3209" s="21"/>
      <c r="N3209" s="22"/>
      <c r="O3209" s="22"/>
      <c r="P3209" s="49"/>
      <c r="Q3209" s="49"/>
      <c r="R3209" s="188" t="str">
        <f t="shared" si="105"/>
        <v/>
      </c>
      <c r="T3209" s="21"/>
      <c r="U3209" s="22"/>
      <c r="V3209" s="24"/>
      <c r="W3209" s="24"/>
      <c r="X3209" s="24"/>
      <c r="Y3209" s="24"/>
      <c r="Z3209" s="20" t="str">
        <f t="shared" si="104"/>
        <v/>
      </c>
    </row>
    <row r="3210" spans="1:26" x14ac:dyDescent="0.2">
      <c r="A3210" s="21"/>
      <c r="B3210" s="20"/>
      <c r="C3210" s="22"/>
      <c r="D3210" s="22"/>
      <c r="E3210" s="24"/>
      <c r="F3210" s="22"/>
      <c r="H3210" s="21">
        <v>46098</v>
      </c>
      <c r="I3210" s="22" t="s">
        <v>70</v>
      </c>
      <c r="J3210" s="22" t="s">
        <v>41</v>
      </c>
      <c r="K3210" s="24">
        <v>1</v>
      </c>
      <c r="M3210" s="21"/>
      <c r="N3210" s="22"/>
      <c r="O3210" s="22"/>
      <c r="P3210" s="49"/>
      <c r="Q3210" s="49"/>
      <c r="R3210" s="188" t="str">
        <f t="shared" si="105"/>
        <v/>
      </c>
      <c r="T3210" s="21"/>
      <c r="U3210" s="22"/>
      <c r="V3210" s="24"/>
      <c r="W3210" s="24"/>
      <c r="X3210" s="24"/>
      <c r="Y3210" s="24"/>
      <c r="Z3210" s="20" t="str">
        <f t="shared" si="104"/>
        <v/>
      </c>
    </row>
    <row r="3211" spans="1:26" x14ac:dyDescent="0.2">
      <c r="A3211" s="21"/>
      <c r="B3211" s="20"/>
      <c r="C3211" s="22"/>
      <c r="D3211" s="22"/>
      <c r="E3211" s="24"/>
      <c r="F3211" s="22"/>
      <c r="H3211" s="21">
        <v>46098</v>
      </c>
      <c r="I3211" s="22" t="s">
        <v>70</v>
      </c>
      <c r="J3211" s="22" t="s">
        <v>58</v>
      </c>
      <c r="K3211" s="24">
        <v>3</v>
      </c>
      <c r="M3211" s="21"/>
      <c r="N3211" s="22"/>
      <c r="O3211" s="22"/>
      <c r="P3211" s="49"/>
      <c r="Q3211" s="49"/>
      <c r="R3211" s="188" t="str">
        <f t="shared" si="105"/>
        <v/>
      </c>
      <c r="T3211" s="21"/>
      <c r="U3211" s="22"/>
      <c r="V3211" s="24"/>
      <c r="W3211" s="24"/>
      <c r="X3211" s="24"/>
      <c r="Y3211" s="24"/>
      <c r="Z3211" s="20" t="str">
        <f t="shared" si="104"/>
        <v/>
      </c>
    </row>
    <row r="3212" spans="1:26" x14ac:dyDescent="0.2">
      <c r="A3212" s="21"/>
      <c r="B3212" s="20"/>
      <c r="C3212" s="22"/>
      <c r="D3212" s="22"/>
      <c r="E3212" s="24"/>
      <c r="F3212" s="22"/>
      <c r="H3212" s="21">
        <v>46098</v>
      </c>
      <c r="I3212" s="22" t="s">
        <v>70</v>
      </c>
      <c r="J3212" s="22" t="s">
        <v>49</v>
      </c>
      <c r="K3212" s="24">
        <v>4</v>
      </c>
      <c r="M3212" s="21"/>
      <c r="N3212" s="22"/>
      <c r="O3212" s="22"/>
      <c r="P3212" s="49"/>
      <c r="Q3212" s="49"/>
      <c r="R3212" s="188" t="str">
        <f t="shared" si="105"/>
        <v/>
      </c>
      <c r="T3212" s="21"/>
      <c r="U3212" s="22"/>
      <c r="V3212" s="24"/>
      <c r="W3212" s="24"/>
      <c r="X3212" s="24"/>
      <c r="Y3212" s="24"/>
      <c r="Z3212" s="20" t="str">
        <f t="shared" si="104"/>
        <v/>
      </c>
    </row>
    <row r="3213" spans="1:26" x14ac:dyDescent="0.2">
      <c r="A3213" s="21"/>
      <c r="B3213" s="20"/>
      <c r="C3213" s="22"/>
      <c r="D3213" s="22"/>
      <c r="E3213" s="24"/>
      <c r="F3213" s="22"/>
      <c r="H3213" s="21">
        <v>46098</v>
      </c>
      <c r="I3213" s="22" t="s">
        <v>70</v>
      </c>
      <c r="J3213" s="22" t="s">
        <v>50</v>
      </c>
      <c r="K3213" s="24">
        <v>4</v>
      </c>
      <c r="M3213" s="21"/>
      <c r="N3213" s="22"/>
      <c r="O3213" s="22"/>
      <c r="P3213" s="49"/>
      <c r="Q3213" s="49"/>
      <c r="R3213" s="188" t="str">
        <f t="shared" si="105"/>
        <v/>
      </c>
      <c r="T3213" s="21"/>
      <c r="U3213" s="22"/>
      <c r="V3213" s="24"/>
      <c r="W3213" s="24"/>
      <c r="X3213" s="24"/>
      <c r="Y3213" s="24"/>
      <c r="Z3213" s="20" t="str">
        <f t="shared" si="104"/>
        <v/>
      </c>
    </row>
    <row r="3214" spans="1:26" x14ac:dyDescent="0.2">
      <c r="A3214" s="21"/>
      <c r="B3214" s="20"/>
      <c r="C3214" s="22"/>
      <c r="D3214" s="22"/>
      <c r="E3214" s="24"/>
      <c r="F3214" s="22"/>
      <c r="H3214" s="21">
        <v>46098</v>
      </c>
      <c r="I3214" s="22" t="s">
        <v>70</v>
      </c>
      <c r="J3214" s="22" t="s">
        <v>51</v>
      </c>
      <c r="K3214" s="24">
        <v>2</v>
      </c>
      <c r="M3214" s="21"/>
      <c r="N3214" s="22"/>
      <c r="O3214" s="22"/>
      <c r="P3214" s="49"/>
      <c r="Q3214" s="49"/>
      <c r="R3214" s="188" t="str">
        <f t="shared" si="105"/>
        <v/>
      </c>
      <c r="T3214" s="21"/>
      <c r="U3214" s="22"/>
      <c r="V3214" s="24"/>
      <c r="W3214" s="24"/>
      <c r="X3214" s="24"/>
      <c r="Y3214" s="24"/>
      <c r="Z3214" s="20" t="str">
        <f t="shared" si="104"/>
        <v/>
      </c>
    </row>
    <row r="3215" spans="1:26" x14ac:dyDescent="0.2">
      <c r="A3215" s="21"/>
      <c r="B3215" s="20"/>
      <c r="C3215" s="22"/>
      <c r="D3215" s="22"/>
      <c r="E3215" s="24"/>
      <c r="F3215" s="22"/>
      <c r="H3215" s="21">
        <v>46098</v>
      </c>
      <c r="I3215" s="22" t="s">
        <v>70</v>
      </c>
      <c r="J3215" s="22" t="s">
        <v>46</v>
      </c>
      <c r="K3215" s="24">
        <v>2</v>
      </c>
      <c r="M3215" s="21"/>
      <c r="N3215" s="22"/>
      <c r="O3215" s="22"/>
      <c r="P3215" s="49"/>
      <c r="Q3215" s="49"/>
      <c r="R3215" s="188" t="str">
        <f t="shared" si="105"/>
        <v/>
      </c>
      <c r="T3215" s="21"/>
      <c r="U3215" s="22"/>
      <c r="V3215" s="24"/>
      <c r="W3215" s="24"/>
      <c r="X3215" s="24"/>
      <c r="Y3215" s="24"/>
      <c r="Z3215" s="20" t="str">
        <f t="shared" si="104"/>
        <v/>
      </c>
    </row>
    <row r="3216" spans="1:26" x14ac:dyDescent="0.2">
      <c r="A3216" s="21"/>
      <c r="B3216" s="20"/>
      <c r="C3216" s="22"/>
      <c r="D3216" s="22"/>
      <c r="E3216" s="24"/>
      <c r="F3216" s="22"/>
      <c r="H3216" s="21">
        <v>46098</v>
      </c>
      <c r="I3216" s="22" t="s">
        <v>70</v>
      </c>
      <c r="J3216" s="22" t="s">
        <v>48</v>
      </c>
      <c r="K3216" s="24">
        <v>2</v>
      </c>
      <c r="M3216" s="21"/>
      <c r="N3216" s="22"/>
      <c r="O3216" s="22"/>
      <c r="P3216" s="49"/>
      <c r="Q3216" s="49"/>
      <c r="R3216" s="188" t="str">
        <f t="shared" si="105"/>
        <v/>
      </c>
      <c r="T3216" s="21"/>
      <c r="U3216" s="22"/>
      <c r="V3216" s="24"/>
      <c r="W3216" s="24"/>
      <c r="X3216" s="24"/>
      <c r="Y3216" s="24"/>
      <c r="Z3216" s="20" t="str">
        <f t="shared" si="104"/>
        <v/>
      </c>
    </row>
    <row r="3217" spans="1:26" x14ac:dyDescent="0.2">
      <c r="A3217" s="21"/>
      <c r="B3217" s="20"/>
      <c r="C3217" s="22"/>
      <c r="D3217" s="22"/>
      <c r="E3217" s="24"/>
      <c r="F3217" s="22"/>
      <c r="H3217" s="21">
        <v>46099</v>
      </c>
      <c r="I3217" s="22" t="s">
        <v>71</v>
      </c>
      <c r="J3217" s="22" t="s">
        <v>52</v>
      </c>
      <c r="K3217" s="24">
        <v>5</v>
      </c>
      <c r="M3217" s="21"/>
      <c r="N3217" s="22"/>
      <c r="O3217" s="22"/>
      <c r="P3217" s="49"/>
      <c r="Q3217" s="49"/>
      <c r="R3217" s="188" t="str">
        <f t="shared" si="105"/>
        <v/>
      </c>
      <c r="T3217" s="21"/>
      <c r="U3217" s="22"/>
      <c r="V3217" s="24"/>
      <c r="W3217" s="24"/>
      <c r="X3217" s="24"/>
      <c r="Y3217" s="24"/>
      <c r="Z3217" s="20" t="str">
        <f t="shared" si="104"/>
        <v/>
      </c>
    </row>
    <row r="3218" spans="1:26" x14ac:dyDescent="0.2">
      <c r="A3218" s="21"/>
      <c r="B3218" s="20"/>
      <c r="C3218" s="22"/>
      <c r="D3218" s="22"/>
      <c r="E3218" s="24"/>
      <c r="F3218" s="22"/>
      <c r="H3218" s="21">
        <v>46099</v>
      </c>
      <c r="I3218" s="22" t="s">
        <v>71</v>
      </c>
      <c r="J3218" s="22" t="s">
        <v>53</v>
      </c>
      <c r="K3218" s="24">
        <v>6</v>
      </c>
      <c r="M3218" s="21"/>
      <c r="N3218" s="22"/>
      <c r="O3218" s="22"/>
      <c r="P3218" s="49"/>
      <c r="Q3218" s="49"/>
      <c r="R3218" s="188" t="str">
        <f t="shared" si="105"/>
        <v/>
      </c>
      <c r="T3218" s="21"/>
      <c r="U3218" s="22"/>
      <c r="V3218" s="24"/>
      <c r="W3218" s="24"/>
      <c r="X3218" s="24"/>
      <c r="Y3218" s="24"/>
      <c r="Z3218" s="20" t="str">
        <f t="shared" si="104"/>
        <v/>
      </c>
    </row>
    <row r="3219" spans="1:26" x14ac:dyDescent="0.2">
      <c r="A3219" s="21"/>
      <c r="B3219" s="20"/>
      <c r="C3219" s="22"/>
      <c r="D3219" s="22"/>
      <c r="E3219" s="24"/>
      <c r="F3219" s="22"/>
      <c r="H3219" s="21">
        <v>46099</v>
      </c>
      <c r="I3219" s="22" t="s">
        <v>71</v>
      </c>
      <c r="J3219" s="22" t="s">
        <v>44</v>
      </c>
      <c r="K3219" s="24">
        <v>5</v>
      </c>
      <c r="M3219" s="21"/>
      <c r="N3219" s="22"/>
      <c r="O3219" s="22"/>
      <c r="P3219" s="49"/>
      <c r="Q3219" s="49"/>
      <c r="R3219" s="188" t="str">
        <f t="shared" si="105"/>
        <v/>
      </c>
      <c r="T3219" s="21"/>
      <c r="U3219" s="22"/>
      <c r="V3219" s="24"/>
      <c r="W3219" s="24"/>
      <c r="X3219" s="24"/>
      <c r="Y3219" s="24"/>
      <c r="Z3219" s="20" t="str">
        <f t="shared" ref="Z3219:Z3282" si="106">IF(COUNT(V3219:Y3219)=0,"",SUM(V3219:Y3219))</f>
        <v/>
      </c>
    </row>
    <row r="3220" spans="1:26" x14ac:dyDescent="0.2">
      <c r="A3220" s="21"/>
      <c r="B3220" s="20"/>
      <c r="C3220" s="22"/>
      <c r="D3220" s="22"/>
      <c r="E3220" s="24"/>
      <c r="F3220" s="22"/>
      <c r="H3220" s="21">
        <v>46099</v>
      </c>
      <c r="I3220" s="22" t="s">
        <v>71</v>
      </c>
      <c r="J3220" s="22" t="s">
        <v>45</v>
      </c>
      <c r="K3220" s="24">
        <v>5</v>
      </c>
      <c r="M3220" s="21"/>
      <c r="N3220" s="22"/>
      <c r="O3220" s="22"/>
      <c r="P3220" s="49"/>
      <c r="Q3220" s="49"/>
      <c r="R3220" s="188" t="str">
        <f t="shared" si="105"/>
        <v/>
      </c>
      <c r="T3220" s="21"/>
      <c r="U3220" s="22"/>
      <c r="V3220" s="24"/>
      <c r="W3220" s="24"/>
      <c r="X3220" s="24"/>
      <c r="Y3220" s="24"/>
      <c r="Z3220" s="20" t="str">
        <f t="shared" si="106"/>
        <v/>
      </c>
    </row>
    <row r="3221" spans="1:26" x14ac:dyDescent="0.2">
      <c r="A3221" s="21"/>
      <c r="B3221" s="20"/>
      <c r="C3221" s="22"/>
      <c r="D3221" s="22"/>
      <c r="E3221" s="24"/>
      <c r="F3221" s="22"/>
      <c r="H3221" s="21">
        <v>46099</v>
      </c>
      <c r="I3221" s="22" t="s">
        <v>71</v>
      </c>
      <c r="J3221" s="22" t="s">
        <v>57</v>
      </c>
      <c r="K3221" s="24">
        <v>6</v>
      </c>
      <c r="M3221" s="21"/>
      <c r="N3221" s="22"/>
      <c r="O3221" s="22"/>
      <c r="P3221" s="49"/>
      <c r="Q3221" s="49"/>
      <c r="R3221" s="188" t="str">
        <f t="shared" si="105"/>
        <v/>
      </c>
      <c r="T3221" s="21"/>
      <c r="U3221" s="22"/>
      <c r="V3221" s="24"/>
      <c r="W3221" s="24"/>
      <c r="X3221" s="24"/>
      <c r="Y3221" s="24"/>
      <c r="Z3221" s="20" t="str">
        <f t="shared" si="106"/>
        <v/>
      </c>
    </row>
    <row r="3222" spans="1:26" x14ac:dyDescent="0.2">
      <c r="A3222" s="21"/>
      <c r="B3222" s="20"/>
      <c r="C3222" s="22"/>
      <c r="D3222" s="22"/>
      <c r="E3222" s="24"/>
      <c r="F3222" s="22"/>
      <c r="H3222" s="21">
        <v>46099</v>
      </c>
      <c r="I3222" s="22" t="s">
        <v>71</v>
      </c>
      <c r="J3222" s="22" t="s">
        <v>42</v>
      </c>
      <c r="K3222" s="24">
        <v>1</v>
      </c>
      <c r="M3222" s="21"/>
      <c r="N3222" s="22"/>
      <c r="O3222" s="22"/>
      <c r="P3222" s="49"/>
      <c r="Q3222" s="49"/>
      <c r="R3222" s="188" t="str">
        <f t="shared" ref="R3222:R3285" si="107">IF(OR(P3222="",Q3222=""),"",IFERROR(P3222-Q3222,""))</f>
        <v/>
      </c>
      <c r="T3222" s="21"/>
      <c r="U3222" s="22"/>
      <c r="V3222" s="24"/>
      <c r="W3222" s="24"/>
      <c r="X3222" s="24"/>
      <c r="Y3222" s="24"/>
      <c r="Z3222" s="20" t="str">
        <f t="shared" si="106"/>
        <v/>
      </c>
    </row>
    <row r="3223" spans="1:26" x14ac:dyDescent="0.2">
      <c r="A3223" s="21"/>
      <c r="B3223" s="20"/>
      <c r="C3223" s="22"/>
      <c r="D3223" s="22"/>
      <c r="E3223" s="24"/>
      <c r="F3223" s="22"/>
      <c r="H3223" s="21">
        <v>46099</v>
      </c>
      <c r="I3223" s="22" t="s">
        <v>71</v>
      </c>
      <c r="J3223" s="22" t="s">
        <v>47</v>
      </c>
      <c r="K3223" s="24">
        <v>3</v>
      </c>
      <c r="M3223" s="21"/>
      <c r="N3223" s="22"/>
      <c r="O3223" s="22"/>
      <c r="P3223" s="49"/>
      <c r="Q3223" s="49"/>
      <c r="R3223" s="188" t="str">
        <f t="shared" si="107"/>
        <v/>
      </c>
      <c r="T3223" s="21"/>
      <c r="U3223" s="22"/>
      <c r="V3223" s="24"/>
      <c r="W3223" s="24"/>
      <c r="X3223" s="24"/>
      <c r="Y3223" s="24"/>
      <c r="Z3223" s="20" t="str">
        <f t="shared" si="106"/>
        <v/>
      </c>
    </row>
    <row r="3224" spans="1:26" x14ac:dyDescent="0.2">
      <c r="A3224" s="21"/>
      <c r="B3224" s="20"/>
      <c r="C3224" s="22"/>
      <c r="D3224" s="22"/>
      <c r="E3224" s="24"/>
      <c r="F3224" s="22"/>
      <c r="H3224" s="21">
        <v>46099</v>
      </c>
      <c r="I3224" s="22" t="s">
        <v>71</v>
      </c>
      <c r="J3224" s="22" t="s">
        <v>41</v>
      </c>
      <c r="K3224" s="24">
        <v>1</v>
      </c>
      <c r="M3224" s="21"/>
      <c r="N3224" s="22"/>
      <c r="O3224" s="22"/>
      <c r="P3224" s="49"/>
      <c r="Q3224" s="49"/>
      <c r="R3224" s="188" t="str">
        <f t="shared" si="107"/>
        <v/>
      </c>
      <c r="T3224" s="21"/>
      <c r="U3224" s="22"/>
      <c r="V3224" s="24"/>
      <c r="W3224" s="24"/>
      <c r="X3224" s="24"/>
      <c r="Y3224" s="24"/>
      <c r="Z3224" s="20" t="str">
        <f t="shared" si="106"/>
        <v/>
      </c>
    </row>
    <row r="3225" spans="1:26" x14ac:dyDescent="0.2">
      <c r="A3225" s="21"/>
      <c r="B3225" s="20"/>
      <c r="C3225" s="22"/>
      <c r="D3225" s="22"/>
      <c r="E3225" s="24"/>
      <c r="F3225" s="22"/>
      <c r="H3225" s="21">
        <v>46099</v>
      </c>
      <c r="I3225" s="22" t="s">
        <v>71</v>
      </c>
      <c r="J3225" s="22" t="s">
        <v>58</v>
      </c>
      <c r="K3225" s="24">
        <v>6</v>
      </c>
      <c r="M3225" s="21"/>
      <c r="N3225" s="22"/>
      <c r="O3225" s="22"/>
      <c r="P3225" s="49"/>
      <c r="Q3225" s="49"/>
      <c r="R3225" s="188" t="str">
        <f t="shared" si="107"/>
        <v/>
      </c>
      <c r="T3225" s="21"/>
      <c r="U3225" s="22"/>
      <c r="V3225" s="24"/>
      <c r="W3225" s="24"/>
      <c r="X3225" s="24"/>
      <c r="Y3225" s="24"/>
      <c r="Z3225" s="20" t="str">
        <f t="shared" si="106"/>
        <v/>
      </c>
    </row>
    <row r="3226" spans="1:26" x14ac:dyDescent="0.2">
      <c r="A3226" s="21"/>
      <c r="B3226" s="20"/>
      <c r="C3226" s="22"/>
      <c r="D3226" s="22"/>
      <c r="E3226" s="24"/>
      <c r="F3226" s="22"/>
      <c r="H3226" s="21">
        <v>46099</v>
      </c>
      <c r="I3226" s="22" t="s">
        <v>71</v>
      </c>
      <c r="J3226" s="22" t="s">
        <v>49</v>
      </c>
      <c r="K3226" s="24">
        <v>5</v>
      </c>
      <c r="M3226" s="21"/>
      <c r="N3226" s="22"/>
      <c r="O3226" s="22"/>
      <c r="P3226" s="49"/>
      <c r="Q3226" s="49"/>
      <c r="R3226" s="188" t="str">
        <f t="shared" si="107"/>
        <v/>
      </c>
      <c r="T3226" s="21"/>
      <c r="U3226" s="22"/>
      <c r="V3226" s="24"/>
      <c r="W3226" s="24"/>
      <c r="X3226" s="24"/>
      <c r="Y3226" s="24"/>
      <c r="Z3226" s="20" t="str">
        <f t="shared" si="106"/>
        <v/>
      </c>
    </row>
    <row r="3227" spans="1:26" x14ac:dyDescent="0.2">
      <c r="A3227" s="21"/>
      <c r="B3227" s="20"/>
      <c r="C3227" s="22"/>
      <c r="D3227" s="22"/>
      <c r="E3227" s="24"/>
      <c r="F3227" s="22"/>
      <c r="H3227" s="21">
        <v>46099</v>
      </c>
      <c r="I3227" s="22" t="s">
        <v>71</v>
      </c>
      <c r="J3227" s="22" t="s">
        <v>50</v>
      </c>
      <c r="K3227" s="24">
        <v>6</v>
      </c>
      <c r="M3227" s="21"/>
      <c r="N3227" s="22"/>
      <c r="O3227" s="22"/>
      <c r="P3227" s="49"/>
      <c r="Q3227" s="49"/>
      <c r="R3227" s="188" t="str">
        <f t="shared" si="107"/>
        <v/>
      </c>
      <c r="T3227" s="21"/>
      <c r="U3227" s="22"/>
      <c r="V3227" s="24"/>
      <c r="W3227" s="24"/>
      <c r="X3227" s="24"/>
      <c r="Y3227" s="24"/>
      <c r="Z3227" s="20" t="str">
        <f t="shared" si="106"/>
        <v/>
      </c>
    </row>
    <row r="3228" spans="1:26" x14ac:dyDescent="0.2">
      <c r="A3228" s="21"/>
      <c r="B3228" s="20"/>
      <c r="C3228" s="22"/>
      <c r="D3228" s="22"/>
      <c r="E3228" s="24"/>
      <c r="F3228" s="22"/>
      <c r="H3228" s="21">
        <v>46099</v>
      </c>
      <c r="I3228" s="22" t="s">
        <v>71</v>
      </c>
      <c r="J3228" s="22" t="s">
        <v>51</v>
      </c>
      <c r="K3228" s="24">
        <v>5</v>
      </c>
      <c r="M3228" s="21"/>
      <c r="N3228" s="22"/>
      <c r="O3228" s="22"/>
      <c r="P3228" s="49"/>
      <c r="Q3228" s="49"/>
      <c r="R3228" s="188" t="str">
        <f t="shared" si="107"/>
        <v/>
      </c>
      <c r="T3228" s="21"/>
      <c r="U3228" s="22"/>
      <c r="V3228" s="24"/>
      <c r="W3228" s="24"/>
      <c r="X3228" s="24"/>
      <c r="Y3228" s="24"/>
      <c r="Z3228" s="20" t="str">
        <f t="shared" si="106"/>
        <v/>
      </c>
    </row>
    <row r="3229" spans="1:26" x14ac:dyDescent="0.2">
      <c r="A3229" s="21"/>
      <c r="B3229" s="20"/>
      <c r="C3229" s="22"/>
      <c r="D3229" s="22"/>
      <c r="E3229" s="24"/>
      <c r="F3229" s="22"/>
      <c r="H3229" s="21">
        <v>46099</v>
      </c>
      <c r="I3229" s="22" t="s">
        <v>71</v>
      </c>
      <c r="J3229" s="22" t="s">
        <v>46</v>
      </c>
      <c r="K3229" s="24">
        <v>6</v>
      </c>
      <c r="M3229" s="21"/>
      <c r="N3229" s="22"/>
      <c r="O3229" s="22"/>
      <c r="P3229" s="49"/>
      <c r="Q3229" s="49"/>
      <c r="R3229" s="188" t="str">
        <f t="shared" si="107"/>
        <v/>
      </c>
      <c r="T3229" s="21"/>
      <c r="U3229" s="22"/>
      <c r="V3229" s="24"/>
      <c r="W3229" s="24"/>
      <c r="X3229" s="24"/>
      <c r="Y3229" s="24"/>
      <c r="Z3229" s="20" t="str">
        <f t="shared" si="106"/>
        <v/>
      </c>
    </row>
    <row r="3230" spans="1:26" x14ac:dyDescent="0.2">
      <c r="A3230" s="21"/>
      <c r="B3230" s="20"/>
      <c r="C3230" s="22"/>
      <c r="D3230" s="22"/>
      <c r="E3230" s="24"/>
      <c r="F3230" s="22"/>
      <c r="H3230" s="21">
        <v>46099</v>
      </c>
      <c r="I3230" s="22" t="s">
        <v>71</v>
      </c>
      <c r="J3230" s="22" t="s">
        <v>48</v>
      </c>
      <c r="K3230" s="24">
        <v>3</v>
      </c>
      <c r="M3230" s="21"/>
      <c r="N3230" s="22"/>
      <c r="O3230" s="22"/>
      <c r="P3230" s="49"/>
      <c r="Q3230" s="49"/>
      <c r="R3230" s="188" t="str">
        <f t="shared" si="107"/>
        <v/>
      </c>
      <c r="T3230" s="21"/>
      <c r="U3230" s="22"/>
      <c r="V3230" s="24"/>
      <c r="W3230" s="24"/>
      <c r="X3230" s="24"/>
      <c r="Y3230" s="24"/>
      <c r="Z3230" s="20" t="str">
        <f t="shared" si="106"/>
        <v/>
      </c>
    </row>
    <row r="3231" spans="1:26" x14ac:dyDescent="0.2">
      <c r="A3231" s="21"/>
      <c r="B3231" s="20"/>
      <c r="C3231" s="22"/>
      <c r="D3231" s="22"/>
      <c r="E3231" s="24"/>
      <c r="F3231" s="22"/>
      <c r="H3231" s="21">
        <v>46099</v>
      </c>
      <c r="I3231" s="22" t="s">
        <v>71</v>
      </c>
      <c r="J3231" s="22" t="s">
        <v>55</v>
      </c>
      <c r="K3231" s="24">
        <v>5</v>
      </c>
      <c r="M3231" s="21"/>
      <c r="N3231" s="22"/>
      <c r="O3231" s="22"/>
      <c r="P3231" s="49"/>
      <c r="Q3231" s="49"/>
      <c r="R3231" s="188" t="str">
        <f t="shared" si="107"/>
        <v/>
      </c>
      <c r="T3231" s="21"/>
      <c r="U3231" s="22"/>
      <c r="V3231" s="24"/>
      <c r="W3231" s="24"/>
      <c r="X3231" s="24"/>
      <c r="Y3231" s="24"/>
      <c r="Z3231" s="20" t="str">
        <f t="shared" si="106"/>
        <v/>
      </c>
    </row>
    <row r="3232" spans="1:26" x14ac:dyDescent="0.2">
      <c r="A3232" s="21"/>
      <c r="B3232" s="20"/>
      <c r="C3232" s="22"/>
      <c r="D3232" s="22"/>
      <c r="E3232" s="24"/>
      <c r="F3232" s="22"/>
      <c r="H3232" s="21">
        <v>46100</v>
      </c>
      <c r="I3232" s="22" t="s">
        <v>70</v>
      </c>
      <c r="J3232" s="22" t="s">
        <v>52</v>
      </c>
      <c r="K3232" s="24">
        <v>2</v>
      </c>
      <c r="M3232" s="21"/>
      <c r="N3232" s="22"/>
      <c r="O3232" s="22"/>
      <c r="P3232" s="49"/>
      <c r="Q3232" s="49"/>
      <c r="R3232" s="188" t="str">
        <f t="shared" si="107"/>
        <v/>
      </c>
      <c r="T3232" s="21"/>
      <c r="U3232" s="22"/>
      <c r="V3232" s="24"/>
      <c r="W3232" s="24"/>
      <c r="X3232" s="24"/>
      <c r="Y3232" s="24"/>
      <c r="Z3232" s="20" t="str">
        <f t="shared" si="106"/>
        <v/>
      </c>
    </row>
    <row r="3233" spans="1:26" x14ac:dyDescent="0.2">
      <c r="A3233" s="21"/>
      <c r="B3233" s="20"/>
      <c r="C3233" s="22"/>
      <c r="D3233" s="22"/>
      <c r="E3233" s="24"/>
      <c r="F3233" s="22"/>
      <c r="H3233" s="21">
        <v>46100</v>
      </c>
      <c r="I3233" s="22" t="s">
        <v>70</v>
      </c>
      <c r="J3233" s="22" t="s">
        <v>53</v>
      </c>
      <c r="K3233" s="24">
        <v>2</v>
      </c>
      <c r="M3233" s="21"/>
      <c r="N3233" s="22"/>
      <c r="O3233" s="22"/>
      <c r="P3233" s="49"/>
      <c r="Q3233" s="49"/>
      <c r="R3233" s="188" t="str">
        <f t="shared" si="107"/>
        <v/>
      </c>
      <c r="T3233" s="21"/>
      <c r="U3233" s="22"/>
      <c r="V3233" s="24"/>
      <c r="W3233" s="24"/>
      <c r="X3233" s="24"/>
      <c r="Y3233" s="24"/>
      <c r="Z3233" s="20" t="str">
        <f t="shared" si="106"/>
        <v/>
      </c>
    </row>
    <row r="3234" spans="1:26" x14ac:dyDescent="0.2">
      <c r="A3234" s="21"/>
      <c r="B3234" s="20"/>
      <c r="C3234" s="22"/>
      <c r="D3234" s="22"/>
      <c r="E3234" s="24"/>
      <c r="F3234" s="22"/>
      <c r="H3234" s="21">
        <v>46100</v>
      </c>
      <c r="I3234" s="22" t="s">
        <v>70</v>
      </c>
      <c r="J3234" s="22" t="s">
        <v>44</v>
      </c>
      <c r="K3234" s="24">
        <v>2</v>
      </c>
      <c r="M3234" s="21"/>
      <c r="N3234" s="22"/>
      <c r="O3234" s="22"/>
      <c r="P3234" s="49"/>
      <c r="Q3234" s="49"/>
      <c r="R3234" s="188" t="str">
        <f t="shared" si="107"/>
        <v/>
      </c>
      <c r="T3234" s="21"/>
      <c r="U3234" s="22"/>
      <c r="V3234" s="24"/>
      <c r="W3234" s="24"/>
      <c r="X3234" s="24"/>
      <c r="Y3234" s="24"/>
      <c r="Z3234" s="20" t="str">
        <f t="shared" si="106"/>
        <v/>
      </c>
    </row>
    <row r="3235" spans="1:26" x14ac:dyDescent="0.2">
      <c r="A3235" s="21"/>
      <c r="B3235" s="20"/>
      <c r="C3235" s="22"/>
      <c r="D3235" s="22"/>
      <c r="E3235" s="24"/>
      <c r="F3235" s="22"/>
      <c r="H3235" s="21">
        <v>46100</v>
      </c>
      <c r="I3235" s="22" t="s">
        <v>70</v>
      </c>
      <c r="J3235" s="22" t="s">
        <v>45</v>
      </c>
      <c r="K3235" s="24">
        <v>2</v>
      </c>
      <c r="M3235" s="21"/>
      <c r="N3235" s="22"/>
      <c r="O3235" s="22"/>
      <c r="P3235" s="49"/>
      <c r="Q3235" s="49"/>
      <c r="R3235" s="188" t="str">
        <f t="shared" si="107"/>
        <v/>
      </c>
      <c r="T3235" s="21"/>
      <c r="U3235" s="22"/>
      <c r="V3235" s="24"/>
      <c r="W3235" s="24"/>
      <c r="X3235" s="24"/>
      <c r="Y3235" s="24"/>
      <c r="Z3235" s="20" t="str">
        <f t="shared" si="106"/>
        <v/>
      </c>
    </row>
    <row r="3236" spans="1:26" x14ac:dyDescent="0.2">
      <c r="A3236" s="21"/>
      <c r="B3236" s="20"/>
      <c r="C3236" s="22"/>
      <c r="D3236" s="22"/>
      <c r="E3236" s="24"/>
      <c r="F3236" s="22"/>
      <c r="H3236" s="21">
        <v>46100</v>
      </c>
      <c r="I3236" s="22" t="s">
        <v>70</v>
      </c>
      <c r="J3236" s="22" t="s">
        <v>57</v>
      </c>
      <c r="K3236" s="24">
        <v>2</v>
      </c>
      <c r="M3236" s="21"/>
      <c r="N3236" s="22"/>
      <c r="O3236" s="22"/>
      <c r="P3236" s="49"/>
      <c r="Q3236" s="49"/>
      <c r="R3236" s="188" t="str">
        <f t="shared" si="107"/>
        <v/>
      </c>
      <c r="T3236" s="21"/>
      <c r="U3236" s="22"/>
      <c r="V3236" s="24"/>
      <c r="W3236" s="24"/>
      <c r="X3236" s="24"/>
      <c r="Y3236" s="24"/>
      <c r="Z3236" s="20" t="str">
        <f t="shared" si="106"/>
        <v/>
      </c>
    </row>
    <row r="3237" spans="1:26" x14ac:dyDescent="0.2">
      <c r="A3237" s="21"/>
      <c r="B3237" s="20"/>
      <c r="C3237" s="22"/>
      <c r="D3237" s="22"/>
      <c r="E3237" s="24"/>
      <c r="F3237" s="22"/>
      <c r="H3237" s="21">
        <v>46100</v>
      </c>
      <c r="I3237" s="22" t="s">
        <v>70</v>
      </c>
      <c r="J3237" s="22" t="s">
        <v>42</v>
      </c>
      <c r="K3237" s="24">
        <v>2</v>
      </c>
      <c r="M3237" s="21"/>
      <c r="N3237" s="22"/>
      <c r="O3237" s="22"/>
      <c r="P3237" s="49"/>
      <c r="Q3237" s="49"/>
      <c r="R3237" s="188" t="str">
        <f t="shared" si="107"/>
        <v/>
      </c>
      <c r="T3237" s="21"/>
      <c r="U3237" s="22"/>
      <c r="V3237" s="24"/>
      <c r="W3237" s="24"/>
      <c r="X3237" s="24"/>
      <c r="Y3237" s="24"/>
      <c r="Z3237" s="20" t="str">
        <f t="shared" si="106"/>
        <v/>
      </c>
    </row>
    <row r="3238" spans="1:26" x14ac:dyDescent="0.2">
      <c r="A3238" s="21"/>
      <c r="B3238" s="20"/>
      <c r="C3238" s="22"/>
      <c r="D3238" s="22"/>
      <c r="E3238" s="24"/>
      <c r="F3238" s="22"/>
      <c r="H3238" s="21">
        <v>46100</v>
      </c>
      <c r="I3238" s="22" t="s">
        <v>70</v>
      </c>
      <c r="J3238" s="22" t="s">
        <v>47</v>
      </c>
      <c r="K3238" s="24">
        <v>2</v>
      </c>
      <c r="M3238" s="21"/>
      <c r="N3238" s="22"/>
      <c r="O3238" s="22"/>
      <c r="P3238" s="49"/>
      <c r="Q3238" s="49"/>
      <c r="R3238" s="188" t="str">
        <f t="shared" si="107"/>
        <v/>
      </c>
      <c r="T3238" s="21"/>
      <c r="U3238" s="22"/>
      <c r="V3238" s="24"/>
      <c r="W3238" s="24"/>
      <c r="X3238" s="24"/>
      <c r="Y3238" s="24"/>
      <c r="Z3238" s="20" t="str">
        <f t="shared" si="106"/>
        <v/>
      </c>
    </row>
    <row r="3239" spans="1:26" x14ac:dyDescent="0.2">
      <c r="A3239" s="21"/>
      <c r="B3239" s="20"/>
      <c r="C3239" s="22"/>
      <c r="D3239" s="22"/>
      <c r="E3239" s="24"/>
      <c r="F3239" s="22"/>
      <c r="H3239" s="21">
        <v>46100</v>
      </c>
      <c r="I3239" s="22" t="s">
        <v>70</v>
      </c>
      <c r="J3239" s="22" t="s">
        <v>41</v>
      </c>
      <c r="K3239" s="24">
        <v>2</v>
      </c>
      <c r="M3239" s="21"/>
      <c r="N3239" s="22"/>
      <c r="O3239" s="22"/>
      <c r="P3239" s="49"/>
      <c r="Q3239" s="49"/>
      <c r="R3239" s="188" t="str">
        <f t="shared" si="107"/>
        <v/>
      </c>
      <c r="T3239" s="21"/>
      <c r="U3239" s="22"/>
      <c r="V3239" s="24"/>
      <c r="W3239" s="24"/>
      <c r="X3239" s="24"/>
      <c r="Y3239" s="24"/>
      <c r="Z3239" s="20" t="str">
        <f t="shared" si="106"/>
        <v/>
      </c>
    </row>
    <row r="3240" spans="1:26" x14ac:dyDescent="0.2">
      <c r="A3240" s="21"/>
      <c r="B3240" s="20"/>
      <c r="C3240" s="22"/>
      <c r="D3240" s="22"/>
      <c r="E3240" s="24"/>
      <c r="F3240" s="22"/>
      <c r="H3240" s="21">
        <v>46100</v>
      </c>
      <c r="I3240" s="22" t="s">
        <v>70</v>
      </c>
      <c r="J3240" s="22" t="s">
        <v>58</v>
      </c>
      <c r="K3240" s="24">
        <v>2</v>
      </c>
      <c r="M3240" s="21"/>
      <c r="N3240" s="22"/>
      <c r="O3240" s="22"/>
      <c r="P3240" s="49"/>
      <c r="Q3240" s="49"/>
      <c r="R3240" s="188" t="str">
        <f t="shared" si="107"/>
        <v/>
      </c>
      <c r="T3240" s="21"/>
      <c r="U3240" s="22"/>
      <c r="V3240" s="24"/>
      <c r="W3240" s="24"/>
      <c r="X3240" s="24"/>
      <c r="Y3240" s="24"/>
      <c r="Z3240" s="20" t="str">
        <f t="shared" si="106"/>
        <v/>
      </c>
    </row>
    <row r="3241" spans="1:26" x14ac:dyDescent="0.2">
      <c r="A3241" s="21"/>
      <c r="B3241" s="20"/>
      <c r="C3241" s="22"/>
      <c r="D3241" s="22"/>
      <c r="E3241" s="24"/>
      <c r="F3241" s="22"/>
      <c r="H3241" s="21">
        <v>46100</v>
      </c>
      <c r="I3241" s="22" t="s">
        <v>70</v>
      </c>
      <c r="J3241" s="22" t="s">
        <v>49</v>
      </c>
      <c r="K3241" s="24">
        <v>2</v>
      </c>
      <c r="M3241" s="21"/>
      <c r="N3241" s="22"/>
      <c r="O3241" s="22"/>
      <c r="P3241" s="49"/>
      <c r="Q3241" s="49"/>
      <c r="R3241" s="188" t="str">
        <f t="shared" si="107"/>
        <v/>
      </c>
      <c r="T3241" s="21"/>
      <c r="U3241" s="22"/>
      <c r="V3241" s="24"/>
      <c r="W3241" s="24"/>
      <c r="X3241" s="24"/>
      <c r="Y3241" s="24"/>
      <c r="Z3241" s="20" t="str">
        <f t="shared" si="106"/>
        <v/>
      </c>
    </row>
    <row r="3242" spans="1:26" x14ac:dyDescent="0.2">
      <c r="A3242" s="21"/>
      <c r="B3242" s="20"/>
      <c r="C3242" s="22"/>
      <c r="D3242" s="22"/>
      <c r="E3242" s="24"/>
      <c r="F3242" s="22"/>
      <c r="H3242" s="21">
        <v>46100</v>
      </c>
      <c r="I3242" s="22" t="s">
        <v>70</v>
      </c>
      <c r="J3242" s="22" t="s">
        <v>50</v>
      </c>
      <c r="K3242" s="24">
        <v>2</v>
      </c>
      <c r="M3242" s="21"/>
      <c r="N3242" s="22"/>
      <c r="O3242" s="22"/>
      <c r="P3242" s="49"/>
      <c r="Q3242" s="49"/>
      <c r="R3242" s="188" t="str">
        <f t="shared" si="107"/>
        <v/>
      </c>
      <c r="T3242" s="21"/>
      <c r="U3242" s="22"/>
      <c r="V3242" s="24"/>
      <c r="W3242" s="24"/>
      <c r="X3242" s="24"/>
      <c r="Y3242" s="24"/>
      <c r="Z3242" s="20" t="str">
        <f t="shared" si="106"/>
        <v/>
      </c>
    </row>
    <row r="3243" spans="1:26" x14ac:dyDescent="0.2">
      <c r="A3243" s="21"/>
      <c r="B3243" s="20"/>
      <c r="C3243" s="22"/>
      <c r="D3243" s="22"/>
      <c r="E3243" s="24"/>
      <c r="F3243" s="22"/>
      <c r="H3243" s="21">
        <v>46100</v>
      </c>
      <c r="I3243" s="22" t="s">
        <v>70</v>
      </c>
      <c r="J3243" s="22" t="s">
        <v>51</v>
      </c>
      <c r="K3243" s="24">
        <v>2</v>
      </c>
      <c r="M3243" s="21"/>
      <c r="N3243" s="22"/>
      <c r="O3243" s="22"/>
      <c r="P3243" s="49"/>
      <c r="Q3243" s="49"/>
      <c r="R3243" s="188" t="str">
        <f t="shared" si="107"/>
        <v/>
      </c>
      <c r="T3243" s="21"/>
      <c r="U3243" s="22"/>
      <c r="V3243" s="24"/>
      <c r="W3243" s="24"/>
      <c r="X3243" s="24"/>
      <c r="Y3243" s="24"/>
      <c r="Z3243" s="20" t="str">
        <f t="shared" si="106"/>
        <v/>
      </c>
    </row>
    <row r="3244" spans="1:26" x14ac:dyDescent="0.2">
      <c r="A3244" s="21"/>
      <c r="B3244" s="20"/>
      <c r="C3244" s="22"/>
      <c r="D3244" s="22"/>
      <c r="E3244" s="24"/>
      <c r="F3244" s="22"/>
      <c r="H3244" s="21">
        <v>46100</v>
      </c>
      <c r="I3244" s="22" t="s">
        <v>70</v>
      </c>
      <c r="J3244" s="22" t="s">
        <v>46</v>
      </c>
      <c r="K3244" s="24">
        <v>2</v>
      </c>
      <c r="M3244" s="21"/>
      <c r="N3244" s="22"/>
      <c r="O3244" s="22"/>
      <c r="P3244" s="49"/>
      <c r="Q3244" s="49"/>
      <c r="R3244" s="188" t="str">
        <f t="shared" si="107"/>
        <v/>
      </c>
      <c r="T3244" s="21"/>
      <c r="U3244" s="22"/>
      <c r="V3244" s="24"/>
      <c r="W3244" s="24"/>
      <c r="X3244" s="24"/>
      <c r="Y3244" s="24"/>
      <c r="Z3244" s="20" t="str">
        <f t="shared" si="106"/>
        <v/>
      </c>
    </row>
    <row r="3245" spans="1:26" x14ac:dyDescent="0.2">
      <c r="A3245" s="21"/>
      <c r="B3245" s="20"/>
      <c r="C3245" s="22"/>
      <c r="D3245" s="22"/>
      <c r="E3245" s="24"/>
      <c r="F3245" s="22"/>
      <c r="H3245" s="21">
        <v>46100</v>
      </c>
      <c r="I3245" s="22" t="s">
        <v>70</v>
      </c>
      <c r="J3245" s="22" t="s">
        <v>48</v>
      </c>
      <c r="K3245" s="24">
        <v>2</v>
      </c>
      <c r="M3245" s="21"/>
      <c r="N3245" s="22"/>
      <c r="O3245" s="22"/>
      <c r="P3245" s="49"/>
      <c r="Q3245" s="49"/>
      <c r="R3245" s="188" t="str">
        <f t="shared" si="107"/>
        <v/>
      </c>
      <c r="T3245" s="21"/>
      <c r="U3245" s="22"/>
      <c r="V3245" s="24"/>
      <c r="W3245" s="24"/>
      <c r="X3245" s="24"/>
      <c r="Y3245" s="24"/>
      <c r="Z3245" s="20" t="str">
        <f t="shared" si="106"/>
        <v/>
      </c>
    </row>
    <row r="3246" spans="1:26" x14ac:dyDescent="0.2">
      <c r="A3246" s="21"/>
      <c r="B3246" s="20"/>
      <c r="C3246" s="22"/>
      <c r="D3246" s="22"/>
      <c r="E3246" s="24"/>
      <c r="F3246" s="22"/>
      <c r="H3246" s="21">
        <v>46100</v>
      </c>
      <c r="I3246" s="22" t="s">
        <v>70</v>
      </c>
      <c r="J3246" s="22" t="s">
        <v>55</v>
      </c>
      <c r="K3246" s="24">
        <v>2</v>
      </c>
      <c r="M3246" s="21"/>
      <c r="N3246" s="22"/>
      <c r="O3246" s="22"/>
      <c r="P3246" s="49"/>
      <c r="Q3246" s="49"/>
      <c r="R3246" s="188" t="str">
        <f t="shared" si="107"/>
        <v/>
      </c>
      <c r="T3246" s="21"/>
      <c r="U3246" s="22"/>
      <c r="V3246" s="24"/>
      <c r="W3246" s="24"/>
      <c r="X3246" s="24"/>
      <c r="Y3246" s="24"/>
      <c r="Z3246" s="20" t="str">
        <f t="shared" si="106"/>
        <v/>
      </c>
    </row>
    <row r="3247" spans="1:26" x14ac:dyDescent="0.2">
      <c r="A3247" s="21"/>
      <c r="B3247" s="20"/>
      <c r="C3247" s="22"/>
      <c r="D3247" s="22"/>
      <c r="E3247" s="24"/>
      <c r="F3247" s="22"/>
      <c r="H3247" s="21">
        <v>46100</v>
      </c>
      <c r="I3247" s="22" t="s">
        <v>71</v>
      </c>
      <c r="J3247" s="22" t="s">
        <v>52</v>
      </c>
      <c r="K3247" s="24">
        <v>2</v>
      </c>
      <c r="M3247" s="21"/>
      <c r="N3247" s="22"/>
      <c r="O3247" s="22"/>
      <c r="P3247" s="49"/>
      <c r="Q3247" s="49"/>
      <c r="R3247" s="188" t="str">
        <f t="shared" si="107"/>
        <v/>
      </c>
      <c r="T3247" s="21"/>
      <c r="U3247" s="22"/>
      <c r="V3247" s="24"/>
      <c r="W3247" s="24"/>
      <c r="X3247" s="24"/>
      <c r="Y3247" s="24"/>
      <c r="Z3247" s="20" t="str">
        <f t="shared" si="106"/>
        <v/>
      </c>
    </row>
    <row r="3248" spans="1:26" x14ac:dyDescent="0.2">
      <c r="A3248" s="21"/>
      <c r="B3248" s="20"/>
      <c r="C3248" s="22"/>
      <c r="D3248" s="22"/>
      <c r="E3248" s="24"/>
      <c r="F3248" s="22"/>
      <c r="H3248" s="21">
        <v>46100</v>
      </c>
      <c r="I3248" s="22" t="s">
        <v>71</v>
      </c>
      <c r="J3248" s="22" t="s">
        <v>53</v>
      </c>
      <c r="K3248" s="24">
        <v>5</v>
      </c>
      <c r="M3248" s="21"/>
      <c r="N3248" s="22"/>
      <c r="O3248" s="22"/>
      <c r="P3248" s="49"/>
      <c r="Q3248" s="49"/>
      <c r="R3248" s="188" t="str">
        <f t="shared" si="107"/>
        <v/>
      </c>
      <c r="T3248" s="21"/>
      <c r="U3248" s="22"/>
      <c r="V3248" s="24"/>
      <c r="W3248" s="24"/>
      <c r="X3248" s="24"/>
      <c r="Y3248" s="24"/>
      <c r="Z3248" s="20" t="str">
        <f t="shared" si="106"/>
        <v/>
      </c>
    </row>
    <row r="3249" spans="1:26" x14ac:dyDescent="0.2">
      <c r="A3249" s="21"/>
      <c r="B3249" s="20"/>
      <c r="C3249" s="22"/>
      <c r="D3249" s="22"/>
      <c r="E3249" s="24"/>
      <c r="F3249" s="22"/>
      <c r="H3249" s="21">
        <v>46100</v>
      </c>
      <c r="I3249" s="22" t="s">
        <v>71</v>
      </c>
      <c r="J3249" s="22" t="s">
        <v>44</v>
      </c>
      <c r="K3249" s="24">
        <v>8</v>
      </c>
      <c r="M3249" s="21"/>
      <c r="N3249" s="22"/>
      <c r="O3249" s="22"/>
      <c r="P3249" s="49"/>
      <c r="Q3249" s="49"/>
      <c r="R3249" s="188" t="str">
        <f t="shared" si="107"/>
        <v/>
      </c>
      <c r="T3249" s="21"/>
      <c r="U3249" s="22"/>
      <c r="V3249" s="24"/>
      <c r="W3249" s="24"/>
      <c r="X3249" s="24"/>
      <c r="Y3249" s="24"/>
      <c r="Z3249" s="20" t="str">
        <f t="shared" si="106"/>
        <v/>
      </c>
    </row>
    <row r="3250" spans="1:26" x14ac:dyDescent="0.2">
      <c r="A3250" s="21"/>
      <c r="B3250" s="20"/>
      <c r="C3250" s="22"/>
      <c r="D3250" s="22"/>
      <c r="E3250" s="24"/>
      <c r="F3250" s="22"/>
      <c r="H3250" s="21">
        <v>46100</v>
      </c>
      <c r="I3250" s="22" t="s">
        <v>71</v>
      </c>
      <c r="J3250" s="22" t="s">
        <v>45</v>
      </c>
      <c r="K3250" s="24">
        <v>8</v>
      </c>
      <c r="M3250" s="21"/>
      <c r="N3250" s="22"/>
      <c r="O3250" s="22"/>
      <c r="P3250" s="49"/>
      <c r="Q3250" s="49"/>
      <c r="R3250" s="188" t="str">
        <f t="shared" si="107"/>
        <v/>
      </c>
      <c r="T3250" s="21"/>
      <c r="U3250" s="22"/>
      <c r="V3250" s="24"/>
      <c r="W3250" s="24"/>
      <c r="X3250" s="24"/>
      <c r="Y3250" s="24"/>
      <c r="Z3250" s="20" t="str">
        <f t="shared" si="106"/>
        <v/>
      </c>
    </row>
    <row r="3251" spans="1:26" x14ac:dyDescent="0.2">
      <c r="A3251" s="21"/>
      <c r="B3251" s="20"/>
      <c r="C3251" s="22"/>
      <c r="D3251" s="22"/>
      <c r="E3251" s="24"/>
      <c r="F3251" s="22"/>
      <c r="H3251" s="21">
        <v>46100</v>
      </c>
      <c r="I3251" s="22" t="s">
        <v>71</v>
      </c>
      <c r="J3251" s="22" t="s">
        <v>57</v>
      </c>
      <c r="K3251" s="24" t="s">
        <v>63</v>
      </c>
      <c r="M3251" s="21"/>
      <c r="N3251" s="22"/>
      <c r="O3251" s="22"/>
      <c r="P3251" s="49"/>
      <c r="Q3251" s="49"/>
      <c r="R3251" s="188" t="str">
        <f t="shared" si="107"/>
        <v/>
      </c>
      <c r="T3251" s="21"/>
      <c r="U3251" s="22"/>
      <c r="V3251" s="24"/>
      <c r="W3251" s="24"/>
      <c r="X3251" s="24"/>
      <c r="Y3251" s="24"/>
      <c r="Z3251" s="20" t="str">
        <f t="shared" si="106"/>
        <v/>
      </c>
    </row>
    <row r="3252" spans="1:26" x14ac:dyDescent="0.2">
      <c r="A3252" s="21"/>
      <c r="B3252" s="20"/>
      <c r="C3252" s="22"/>
      <c r="D3252" s="22"/>
      <c r="E3252" s="24"/>
      <c r="F3252" s="22"/>
      <c r="H3252" s="21">
        <v>46100</v>
      </c>
      <c r="I3252" s="22" t="s">
        <v>71</v>
      </c>
      <c r="J3252" s="22" t="s">
        <v>42</v>
      </c>
      <c r="K3252" s="24" t="s">
        <v>63</v>
      </c>
      <c r="M3252" s="21"/>
      <c r="N3252" s="22"/>
      <c r="O3252" s="22"/>
      <c r="P3252" s="49"/>
      <c r="Q3252" s="49"/>
      <c r="R3252" s="188" t="str">
        <f t="shared" si="107"/>
        <v/>
      </c>
      <c r="T3252" s="21"/>
      <c r="U3252" s="22"/>
      <c r="V3252" s="24"/>
      <c r="W3252" s="24"/>
      <c r="X3252" s="24"/>
      <c r="Y3252" s="24"/>
      <c r="Z3252" s="20" t="str">
        <f t="shared" si="106"/>
        <v/>
      </c>
    </row>
    <row r="3253" spans="1:26" x14ac:dyDescent="0.2">
      <c r="A3253" s="21"/>
      <c r="B3253" s="20"/>
      <c r="C3253" s="22"/>
      <c r="D3253" s="22"/>
      <c r="E3253" s="24"/>
      <c r="F3253" s="22"/>
      <c r="H3253" s="21">
        <v>46100</v>
      </c>
      <c r="I3253" s="22" t="s">
        <v>71</v>
      </c>
      <c r="J3253" s="22" t="s">
        <v>47</v>
      </c>
      <c r="K3253" s="24">
        <v>8</v>
      </c>
      <c r="M3253" s="21"/>
      <c r="N3253" s="22"/>
      <c r="O3253" s="22"/>
      <c r="P3253" s="49"/>
      <c r="Q3253" s="49"/>
      <c r="R3253" s="188" t="str">
        <f t="shared" si="107"/>
        <v/>
      </c>
      <c r="T3253" s="21"/>
      <c r="U3253" s="22"/>
      <c r="V3253" s="24"/>
      <c r="W3253" s="24"/>
      <c r="X3253" s="24"/>
      <c r="Y3253" s="24"/>
      <c r="Z3253" s="20" t="str">
        <f t="shared" si="106"/>
        <v/>
      </c>
    </row>
    <row r="3254" spans="1:26" x14ac:dyDescent="0.2">
      <c r="A3254" s="21"/>
      <c r="B3254" s="20"/>
      <c r="C3254" s="22"/>
      <c r="D3254" s="22"/>
      <c r="E3254" s="24"/>
      <c r="F3254" s="22"/>
      <c r="H3254" s="21">
        <v>46100</v>
      </c>
      <c r="I3254" s="22" t="s">
        <v>71</v>
      </c>
      <c r="J3254" s="22" t="s">
        <v>41</v>
      </c>
      <c r="K3254" s="24">
        <v>7</v>
      </c>
      <c r="M3254" s="21"/>
      <c r="N3254" s="22"/>
      <c r="O3254" s="22"/>
      <c r="P3254" s="49"/>
      <c r="Q3254" s="49"/>
      <c r="R3254" s="188" t="str">
        <f t="shared" si="107"/>
        <v/>
      </c>
      <c r="T3254" s="21"/>
      <c r="U3254" s="22"/>
      <c r="V3254" s="24"/>
      <c r="W3254" s="24"/>
      <c r="X3254" s="24"/>
      <c r="Y3254" s="24"/>
      <c r="Z3254" s="20" t="str">
        <f t="shared" si="106"/>
        <v/>
      </c>
    </row>
    <row r="3255" spans="1:26" x14ac:dyDescent="0.2">
      <c r="A3255" s="21"/>
      <c r="B3255" s="20"/>
      <c r="C3255" s="22"/>
      <c r="D3255" s="22"/>
      <c r="E3255" s="24"/>
      <c r="F3255" s="22"/>
      <c r="H3255" s="21">
        <v>46100</v>
      </c>
      <c r="I3255" s="22" t="s">
        <v>71</v>
      </c>
      <c r="J3255" s="22" t="s">
        <v>58</v>
      </c>
      <c r="K3255" s="24">
        <v>8</v>
      </c>
      <c r="M3255" s="21"/>
      <c r="N3255" s="22"/>
      <c r="O3255" s="22"/>
      <c r="P3255" s="49"/>
      <c r="Q3255" s="49"/>
      <c r="R3255" s="188" t="str">
        <f t="shared" si="107"/>
        <v/>
      </c>
      <c r="T3255" s="21"/>
      <c r="U3255" s="22"/>
      <c r="V3255" s="24"/>
      <c r="W3255" s="24"/>
      <c r="X3255" s="24"/>
      <c r="Y3255" s="24"/>
      <c r="Z3255" s="20" t="str">
        <f t="shared" si="106"/>
        <v/>
      </c>
    </row>
    <row r="3256" spans="1:26" x14ac:dyDescent="0.2">
      <c r="A3256" s="21"/>
      <c r="B3256" s="20"/>
      <c r="C3256" s="22"/>
      <c r="D3256" s="22"/>
      <c r="E3256" s="24"/>
      <c r="F3256" s="22"/>
      <c r="H3256" s="21">
        <v>46100</v>
      </c>
      <c r="I3256" s="22" t="s">
        <v>71</v>
      </c>
      <c r="J3256" s="22" t="s">
        <v>49</v>
      </c>
      <c r="K3256" s="24">
        <v>6</v>
      </c>
      <c r="M3256" s="21"/>
      <c r="N3256" s="22"/>
      <c r="O3256" s="22"/>
      <c r="P3256" s="49"/>
      <c r="Q3256" s="49"/>
      <c r="R3256" s="188" t="str">
        <f t="shared" si="107"/>
        <v/>
      </c>
      <c r="T3256" s="21"/>
      <c r="U3256" s="22"/>
      <c r="V3256" s="24"/>
      <c r="W3256" s="24"/>
      <c r="X3256" s="24"/>
      <c r="Y3256" s="24"/>
      <c r="Z3256" s="20" t="str">
        <f t="shared" si="106"/>
        <v/>
      </c>
    </row>
    <row r="3257" spans="1:26" x14ac:dyDescent="0.2">
      <c r="A3257" s="21"/>
      <c r="B3257" s="20"/>
      <c r="C3257" s="22"/>
      <c r="D3257" s="22"/>
      <c r="E3257" s="24"/>
      <c r="F3257" s="22"/>
      <c r="H3257" s="21">
        <v>46100</v>
      </c>
      <c r="I3257" s="22" t="s">
        <v>71</v>
      </c>
      <c r="J3257" s="22" t="s">
        <v>50</v>
      </c>
      <c r="K3257" s="24">
        <v>8</v>
      </c>
      <c r="M3257" s="21"/>
      <c r="N3257" s="22"/>
      <c r="O3257" s="22"/>
      <c r="P3257" s="49"/>
      <c r="Q3257" s="49"/>
      <c r="R3257" s="188" t="str">
        <f t="shared" si="107"/>
        <v/>
      </c>
      <c r="T3257" s="21"/>
      <c r="U3257" s="22"/>
      <c r="V3257" s="24"/>
      <c r="W3257" s="24"/>
      <c r="X3257" s="24"/>
      <c r="Y3257" s="24"/>
      <c r="Z3257" s="20" t="str">
        <f t="shared" si="106"/>
        <v/>
      </c>
    </row>
    <row r="3258" spans="1:26" x14ac:dyDescent="0.2">
      <c r="A3258" s="21"/>
      <c r="B3258" s="20"/>
      <c r="C3258" s="22"/>
      <c r="D3258" s="22"/>
      <c r="E3258" s="24"/>
      <c r="F3258" s="22"/>
      <c r="H3258" s="21">
        <v>46100</v>
      </c>
      <c r="I3258" s="22" t="s">
        <v>71</v>
      </c>
      <c r="J3258" s="22" t="s">
        <v>51</v>
      </c>
      <c r="K3258" s="24">
        <v>7</v>
      </c>
      <c r="M3258" s="21"/>
      <c r="N3258" s="22"/>
      <c r="O3258" s="22"/>
      <c r="P3258" s="49"/>
      <c r="Q3258" s="49"/>
      <c r="R3258" s="188" t="str">
        <f t="shared" si="107"/>
        <v/>
      </c>
      <c r="T3258" s="21"/>
      <c r="U3258" s="22"/>
      <c r="V3258" s="24"/>
      <c r="W3258" s="24"/>
      <c r="X3258" s="24"/>
      <c r="Y3258" s="24"/>
      <c r="Z3258" s="20" t="str">
        <f t="shared" si="106"/>
        <v/>
      </c>
    </row>
    <row r="3259" spans="1:26" x14ac:dyDescent="0.2">
      <c r="A3259" s="21"/>
      <c r="B3259" s="20"/>
      <c r="C3259" s="22"/>
      <c r="D3259" s="22"/>
      <c r="E3259" s="24"/>
      <c r="F3259" s="22"/>
      <c r="H3259" s="21">
        <v>46100</v>
      </c>
      <c r="I3259" s="22" t="s">
        <v>71</v>
      </c>
      <c r="J3259" s="22" t="s">
        <v>46</v>
      </c>
      <c r="K3259" s="24">
        <v>9</v>
      </c>
      <c r="M3259" s="21"/>
      <c r="N3259" s="22"/>
      <c r="O3259" s="22"/>
      <c r="P3259" s="49"/>
      <c r="Q3259" s="49"/>
      <c r="R3259" s="188" t="str">
        <f t="shared" si="107"/>
        <v/>
      </c>
      <c r="T3259" s="21"/>
      <c r="U3259" s="22"/>
      <c r="V3259" s="24"/>
      <c r="W3259" s="24"/>
      <c r="X3259" s="24"/>
      <c r="Y3259" s="24"/>
      <c r="Z3259" s="20" t="str">
        <f t="shared" si="106"/>
        <v/>
      </c>
    </row>
    <row r="3260" spans="1:26" x14ac:dyDescent="0.2">
      <c r="A3260" s="21"/>
      <c r="B3260" s="20"/>
      <c r="C3260" s="22"/>
      <c r="D3260" s="22"/>
      <c r="E3260" s="24"/>
      <c r="F3260" s="22"/>
      <c r="H3260" s="21">
        <v>46100</v>
      </c>
      <c r="I3260" s="22" t="s">
        <v>71</v>
      </c>
      <c r="J3260" s="22" t="s">
        <v>48</v>
      </c>
      <c r="K3260" s="24">
        <v>9</v>
      </c>
      <c r="M3260" s="21"/>
      <c r="N3260" s="22"/>
      <c r="O3260" s="22"/>
      <c r="P3260" s="49"/>
      <c r="Q3260" s="49"/>
      <c r="R3260" s="188" t="str">
        <f t="shared" si="107"/>
        <v/>
      </c>
      <c r="T3260" s="21"/>
      <c r="U3260" s="22"/>
      <c r="V3260" s="24"/>
      <c r="W3260" s="24"/>
      <c r="X3260" s="24"/>
      <c r="Y3260" s="24"/>
      <c r="Z3260" s="20" t="str">
        <f t="shared" si="106"/>
        <v/>
      </c>
    </row>
    <row r="3261" spans="1:26" x14ac:dyDescent="0.2">
      <c r="A3261" s="21"/>
      <c r="B3261" s="20"/>
      <c r="C3261" s="22"/>
      <c r="D3261" s="22"/>
      <c r="E3261" s="24"/>
      <c r="F3261" s="22"/>
      <c r="H3261" s="21">
        <v>46101</v>
      </c>
      <c r="I3261" s="22" t="s">
        <v>70</v>
      </c>
      <c r="J3261" s="22" t="s">
        <v>52</v>
      </c>
      <c r="K3261" s="24">
        <v>1</v>
      </c>
      <c r="M3261" s="21"/>
      <c r="N3261" s="22"/>
      <c r="O3261" s="22"/>
      <c r="P3261" s="49"/>
      <c r="Q3261" s="49"/>
      <c r="R3261" s="188" t="str">
        <f t="shared" si="107"/>
        <v/>
      </c>
      <c r="T3261" s="21"/>
      <c r="U3261" s="22"/>
      <c r="V3261" s="24"/>
      <c r="W3261" s="24"/>
      <c r="X3261" s="24"/>
      <c r="Y3261" s="24"/>
      <c r="Z3261" s="20" t="str">
        <f t="shared" si="106"/>
        <v/>
      </c>
    </row>
    <row r="3262" spans="1:26" x14ac:dyDescent="0.2">
      <c r="A3262" s="21"/>
      <c r="B3262" s="20"/>
      <c r="C3262" s="22"/>
      <c r="D3262" s="22"/>
      <c r="E3262" s="24"/>
      <c r="F3262" s="22"/>
      <c r="H3262" s="21">
        <v>46101</v>
      </c>
      <c r="I3262" s="22" t="s">
        <v>70</v>
      </c>
      <c r="J3262" s="22" t="s">
        <v>53</v>
      </c>
      <c r="K3262" s="24">
        <v>1</v>
      </c>
      <c r="M3262" s="21"/>
      <c r="N3262" s="22"/>
      <c r="O3262" s="22"/>
      <c r="P3262" s="49"/>
      <c r="Q3262" s="49"/>
      <c r="R3262" s="188" t="str">
        <f t="shared" si="107"/>
        <v/>
      </c>
      <c r="T3262" s="21"/>
      <c r="U3262" s="22"/>
      <c r="V3262" s="24"/>
      <c r="W3262" s="24"/>
      <c r="X3262" s="24"/>
      <c r="Y3262" s="24"/>
      <c r="Z3262" s="20" t="str">
        <f t="shared" si="106"/>
        <v/>
      </c>
    </row>
    <row r="3263" spans="1:26" x14ac:dyDescent="0.2">
      <c r="A3263" s="21"/>
      <c r="B3263" s="20"/>
      <c r="C3263" s="22"/>
      <c r="D3263" s="22"/>
      <c r="E3263" s="24"/>
      <c r="F3263" s="22"/>
      <c r="H3263" s="21">
        <v>46101</v>
      </c>
      <c r="I3263" s="22" t="s">
        <v>70</v>
      </c>
      <c r="J3263" s="22" t="s">
        <v>44</v>
      </c>
      <c r="K3263" s="24">
        <v>1</v>
      </c>
      <c r="M3263" s="21"/>
      <c r="N3263" s="22"/>
      <c r="O3263" s="22"/>
      <c r="P3263" s="49"/>
      <c r="Q3263" s="49"/>
      <c r="R3263" s="188" t="str">
        <f t="shared" si="107"/>
        <v/>
      </c>
      <c r="T3263" s="21"/>
      <c r="U3263" s="22"/>
      <c r="V3263" s="24"/>
      <c r="W3263" s="24"/>
      <c r="X3263" s="24"/>
      <c r="Y3263" s="24"/>
      <c r="Z3263" s="20" t="str">
        <f t="shared" si="106"/>
        <v/>
      </c>
    </row>
    <row r="3264" spans="1:26" x14ac:dyDescent="0.2">
      <c r="A3264" s="21"/>
      <c r="B3264" s="20"/>
      <c r="C3264" s="22"/>
      <c r="D3264" s="22"/>
      <c r="E3264" s="24"/>
      <c r="F3264" s="22"/>
      <c r="H3264" s="21">
        <v>46101</v>
      </c>
      <c r="I3264" s="22" t="s">
        <v>70</v>
      </c>
      <c r="J3264" s="22" t="s">
        <v>45</v>
      </c>
      <c r="K3264" s="24">
        <v>1</v>
      </c>
      <c r="M3264" s="21"/>
      <c r="N3264" s="22"/>
      <c r="O3264" s="22"/>
      <c r="P3264" s="49"/>
      <c r="Q3264" s="49"/>
      <c r="R3264" s="188" t="str">
        <f t="shared" si="107"/>
        <v/>
      </c>
      <c r="T3264" s="21"/>
      <c r="U3264" s="22"/>
      <c r="V3264" s="24"/>
      <c r="W3264" s="24"/>
      <c r="X3264" s="24"/>
      <c r="Y3264" s="24"/>
      <c r="Z3264" s="20" t="str">
        <f t="shared" si="106"/>
        <v/>
      </c>
    </row>
    <row r="3265" spans="1:26" x14ac:dyDescent="0.2">
      <c r="A3265" s="21"/>
      <c r="B3265" s="20"/>
      <c r="C3265" s="22"/>
      <c r="D3265" s="22"/>
      <c r="E3265" s="24"/>
      <c r="F3265" s="22"/>
      <c r="H3265" s="21">
        <v>46101</v>
      </c>
      <c r="I3265" s="22" t="s">
        <v>70</v>
      </c>
      <c r="J3265" s="22" t="s">
        <v>57</v>
      </c>
      <c r="K3265" s="24">
        <v>1</v>
      </c>
      <c r="M3265" s="21"/>
      <c r="N3265" s="22"/>
      <c r="O3265" s="22"/>
      <c r="P3265" s="49"/>
      <c r="Q3265" s="49"/>
      <c r="R3265" s="188" t="str">
        <f t="shared" si="107"/>
        <v/>
      </c>
      <c r="T3265" s="21"/>
      <c r="U3265" s="22"/>
      <c r="V3265" s="24"/>
      <c r="W3265" s="24"/>
      <c r="X3265" s="24"/>
      <c r="Y3265" s="24"/>
      <c r="Z3265" s="20" t="str">
        <f t="shared" si="106"/>
        <v/>
      </c>
    </row>
    <row r="3266" spans="1:26" x14ac:dyDescent="0.2">
      <c r="A3266" s="21"/>
      <c r="B3266" s="20"/>
      <c r="C3266" s="22"/>
      <c r="D3266" s="22"/>
      <c r="E3266" s="24"/>
      <c r="F3266" s="22"/>
      <c r="H3266" s="21">
        <v>46101</v>
      </c>
      <c r="I3266" s="22" t="s">
        <v>70</v>
      </c>
      <c r="J3266" s="22" t="s">
        <v>42</v>
      </c>
      <c r="K3266" s="24">
        <v>1</v>
      </c>
      <c r="M3266" s="21"/>
      <c r="N3266" s="22"/>
      <c r="O3266" s="22"/>
      <c r="P3266" s="49"/>
      <c r="Q3266" s="49"/>
      <c r="R3266" s="188" t="str">
        <f t="shared" si="107"/>
        <v/>
      </c>
      <c r="T3266" s="21"/>
      <c r="U3266" s="22"/>
      <c r="V3266" s="24"/>
      <c r="W3266" s="24"/>
      <c r="X3266" s="24"/>
      <c r="Y3266" s="24"/>
      <c r="Z3266" s="20" t="str">
        <f t="shared" si="106"/>
        <v/>
      </c>
    </row>
    <row r="3267" spans="1:26" x14ac:dyDescent="0.2">
      <c r="A3267" s="21"/>
      <c r="B3267" s="20"/>
      <c r="C3267" s="22"/>
      <c r="D3267" s="22"/>
      <c r="E3267" s="24"/>
      <c r="F3267" s="22"/>
      <c r="H3267" s="21">
        <v>46101</v>
      </c>
      <c r="I3267" s="22" t="s">
        <v>70</v>
      </c>
      <c r="J3267" s="22" t="s">
        <v>47</v>
      </c>
      <c r="K3267" s="24">
        <v>1</v>
      </c>
      <c r="M3267" s="21"/>
      <c r="N3267" s="22"/>
      <c r="O3267" s="22"/>
      <c r="P3267" s="49"/>
      <c r="Q3267" s="49"/>
      <c r="R3267" s="188" t="str">
        <f t="shared" si="107"/>
        <v/>
      </c>
      <c r="T3267" s="21"/>
      <c r="U3267" s="22"/>
      <c r="V3267" s="24"/>
      <c r="W3267" s="24"/>
      <c r="X3267" s="24"/>
      <c r="Y3267" s="24"/>
      <c r="Z3267" s="20" t="str">
        <f t="shared" si="106"/>
        <v/>
      </c>
    </row>
    <row r="3268" spans="1:26" x14ac:dyDescent="0.2">
      <c r="A3268" s="21"/>
      <c r="B3268" s="20"/>
      <c r="C3268" s="22"/>
      <c r="D3268" s="22"/>
      <c r="E3268" s="24"/>
      <c r="F3268" s="22"/>
      <c r="H3268" s="21">
        <v>46101</v>
      </c>
      <c r="I3268" s="22" t="s">
        <v>70</v>
      </c>
      <c r="J3268" s="22" t="s">
        <v>41</v>
      </c>
      <c r="K3268" s="24">
        <v>1</v>
      </c>
      <c r="M3268" s="21"/>
      <c r="N3268" s="22"/>
      <c r="O3268" s="22"/>
      <c r="P3268" s="49"/>
      <c r="Q3268" s="49"/>
      <c r="R3268" s="188" t="str">
        <f t="shared" si="107"/>
        <v/>
      </c>
      <c r="T3268" s="21"/>
      <c r="U3268" s="22"/>
      <c r="V3268" s="24"/>
      <c r="W3268" s="24"/>
      <c r="X3268" s="24"/>
      <c r="Y3268" s="24"/>
      <c r="Z3268" s="20" t="str">
        <f t="shared" si="106"/>
        <v/>
      </c>
    </row>
    <row r="3269" spans="1:26" x14ac:dyDescent="0.2">
      <c r="A3269" s="21"/>
      <c r="B3269" s="20"/>
      <c r="C3269" s="22"/>
      <c r="D3269" s="22"/>
      <c r="E3269" s="24"/>
      <c r="F3269" s="22"/>
      <c r="H3269" s="21">
        <v>46101</v>
      </c>
      <c r="I3269" s="22" t="s">
        <v>70</v>
      </c>
      <c r="J3269" s="22" t="s">
        <v>58</v>
      </c>
      <c r="K3269" s="24">
        <v>1</v>
      </c>
      <c r="M3269" s="21"/>
      <c r="N3269" s="22"/>
      <c r="O3269" s="22"/>
      <c r="P3269" s="49"/>
      <c r="Q3269" s="49"/>
      <c r="R3269" s="188" t="str">
        <f t="shared" si="107"/>
        <v/>
      </c>
      <c r="T3269" s="21"/>
      <c r="U3269" s="22"/>
      <c r="V3269" s="24"/>
      <c r="W3269" s="24"/>
      <c r="X3269" s="24"/>
      <c r="Y3269" s="24"/>
      <c r="Z3269" s="20" t="str">
        <f t="shared" si="106"/>
        <v/>
      </c>
    </row>
    <row r="3270" spans="1:26" x14ac:dyDescent="0.2">
      <c r="A3270" s="21"/>
      <c r="B3270" s="20"/>
      <c r="C3270" s="22"/>
      <c r="D3270" s="22"/>
      <c r="E3270" s="24"/>
      <c r="F3270" s="22"/>
      <c r="H3270" s="21">
        <v>46101</v>
      </c>
      <c r="I3270" s="22" t="s">
        <v>70</v>
      </c>
      <c r="J3270" s="22" t="s">
        <v>49</v>
      </c>
      <c r="K3270" s="24">
        <v>1</v>
      </c>
      <c r="M3270" s="21"/>
      <c r="N3270" s="22"/>
      <c r="O3270" s="22"/>
      <c r="P3270" s="49"/>
      <c r="Q3270" s="49"/>
      <c r="R3270" s="188" t="str">
        <f t="shared" si="107"/>
        <v/>
      </c>
      <c r="T3270" s="21"/>
      <c r="U3270" s="22"/>
      <c r="V3270" s="24"/>
      <c r="W3270" s="24"/>
      <c r="X3270" s="24"/>
      <c r="Y3270" s="24"/>
      <c r="Z3270" s="20" t="str">
        <f t="shared" si="106"/>
        <v/>
      </c>
    </row>
    <row r="3271" spans="1:26" x14ac:dyDescent="0.2">
      <c r="A3271" s="21"/>
      <c r="B3271" s="20"/>
      <c r="C3271" s="22"/>
      <c r="D3271" s="22"/>
      <c r="E3271" s="24"/>
      <c r="F3271" s="22"/>
      <c r="H3271" s="21">
        <v>46101</v>
      </c>
      <c r="I3271" s="22" t="s">
        <v>70</v>
      </c>
      <c r="J3271" s="22" t="s">
        <v>50</v>
      </c>
      <c r="K3271" s="24">
        <v>1</v>
      </c>
      <c r="M3271" s="21"/>
      <c r="N3271" s="22"/>
      <c r="O3271" s="22"/>
      <c r="P3271" s="49"/>
      <c r="Q3271" s="49"/>
      <c r="R3271" s="188" t="str">
        <f t="shared" si="107"/>
        <v/>
      </c>
      <c r="T3271" s="21"/>
      <c r="U3271" s="22"/>
      <c r="V3271" s="24"/>
      <c r="W3271" s="24"/>
      <c r="X3271" s="24"/>
      <c r="Y3271" s="24"/>
      <c r="Z3271" s="20" t="str">
        <f t="shared" si="106"/>
        <v/>
      </c>
    </row>
    <row r="3272" spans="1:26" x14ac:dyDescent="0.2">
      <c r="A3272" s="21"/>
      <c r="B3272" s="20"/>
      <c r="C3272" s="22"/>
      <c r="D3272" s="22"/>
      <c r="E3272" s="24"/>
      <c r="F3272" s="22"/>
      <c r="H3272" s="21">
        <v>46101</v>
      </c>
      <c r="I3272" s="22" t="s">
        <v>70</v>
      </c>
      <c r="J3272" s="22" t="s">
        <v>51</v>
      </c>
      <c r="K3272" s="24">
        <v>1</v>
      </c>
      <c r="M3272" s="21"/>
      <c r="N3272" s="22"/>
      <c r="O3272" s="22"/>
      <c r="P3272" s="49"/>
      <c r="Q3272" s="49"/>
      <c r="R3272" s="188" t="str">
        <f t="shared" si="107"/>
        <v/>
      </c>
      <c r="T3272" s="21"/>
      <c r="U3272" s="22"/>
      <c r="V3272" s="24"/>
      <c r="W3272" s="24"/>
      <c r="X3272" s="24"/>
      <c r="Y3272" s="24"/>
      <c r="Z3272" s="20" t="str">
        <f t="shared" si="106"/>
        <v/>
      </c>
    </row>
    <row r="3273" spans="1:26" x14ac:dyDescent="0.2">
      <c r="A3273" s="21"/>
      <c r="B3273" s="20"/>
      <c r="C3273" s="22"/>
      <c r="D3273" s="22"/>
      <c r="E3273" s="24"/>
      <c r="F3273" s="22"/>
      <c r="H3273" s="21">
        <v>46101</v>
      </c>
      <c r="I3273" s="22" t="s">
        <v>70</v>
      </c>
      <c r="J3273" s="22" t="s">
        <v>46</v>
      </c>
      <c r="K3273" s="24">
        <v>1</v>
      </c>
      <c r="M3273" s="21"/>
      <c r="N3273" s="22"/>
      <c r="O3273" s="22"/>
      <c r="P3273" s="49"/>
      <c r="Q3273" s="49"/>
      <c r="R3273" s="188" t="str">
        <f t="shared" si="107"/>
        <v/>
      </c>
      <c r="T3273" s="21"/>
      <c r="U3273" s="22"/>
      <c r="V3273" s="24"/>
      <c r="W3273" s="24"/>
      <c r="X3273" s="24"/>
      <c r="Y3273" s="24"/>
      <c r="Z3273" s="20" t="str">
        <f t="shared" si="106"/>
        <v/>
      </c>
    </row>
    <row r="3274" spans="1:26" x14ac:dyDescent="0.2">
      <c r="A3274" s="21"/>
      <c r="B3274" s="20"/>
      <c r="C3274" s="22"/>
      <c r="D3274" s="22"/>
      <c r="E3274" s="24"/>
      <c r="F3274" s="22"/>
      <c r="H3274" s="21">
        <v>46101</v>
      </c>
      <c r="I3274" s="22" t="s">
        <v>70</v>
      </c>
      <c r="J3274" s="22" t="s">
        <v>48</v>
      </c>
      <c r="K3274" s="24">
        <v>1</v>
      </c>
      <c r="M3274" s="21"/>
      <c r="N3274" s="22"/>
      <c r="O3274" s="22"/>
      <c r="P3274" s="49"/>
      <c r="Q3274" s="49"/>
      <c r="R3274" s="188" t="str">
        <f t="shared" si="107"/>
        <v/>
      </c>
      <c r="T3274" s="21"/>
      <c r="U3274" s="22"/>
      <c r="V3274" s="24"/>
      <c r="W3274" s="24"/>
      <c r="X3274" s="24"/>
      <c r="Y3274" s="24"/>
      <c r="Z3274" s="20" t="str">
        <f t="shared" si="106"/>
        <v/>
      </c>
    </row>
    <row r="3275" spans="1:26" x14ac:dyDescent="0.2">
      <c r="A3275" s="21"/>
      <c r="B3275" s="20"/>
      <c r="C3275" s="22"/>
      <c r="D3275" s="22"/>
      <c r="E3275" s="24"/>
      <c r="F3275" s="22"/>
      <c r="H3275" s="21">
        <v>46101</v>
      </c>
      <c r="I3275" s="22" t="s">
        <v>70</v>
      </c>
      <c r="J3275" s="22" t="s">
        <v>55</v>
      </c>
      <c r="K3275" s="24">
        <v>1</v>
      </c>
      <c r="M3275" s="21"/>
      <c r="N3275" s="22"/>
      <c r="O3275" s="22"/>
      <c r="P3275" s="49"/>
      <c r="Q3275" s="49"/>
      <c r="R3275" s="188" t="str">
        <f t="shared" si="107"/>
        <v/>
      </c>
      <c r="T3275" s="21"/>
      <c r="U3275" s="22"/>
      <c r="V3275" s="24"/>
      <c r="W3275" s="24"/>
      <c r="X3275" s="24"/>
      <c r="Y3275" s="24"/>
      <c r="Z3275" s="20" t="str">
        <f t="shared" si="106"/>
        <v/>
      </c>
    </row>
    <row r="3276" spans="1:26" x14ac:dyDescent="0.2">
      <c r="A3276" s="21"/>
      <c r="B3276" s="20"/>
      <c r="C3276" s="22"/>
      <c r="D3276" s="22"/>
      <c r="E3276" s="24"/>
      <c r="F3276" s="22"/>
      <c r="H3276" s="21">
        <v>46102</v>
      </c>
      <c r="I3276" s="22" t="s">
        <v>70</v>
      </c>
      <c r="J3276" s="22" t="s">
        <v>52</v>
      </c>
      <c r="K3276" s="24">
        <v>2</v>
      </c>
      <c r="M3276" s="21"/>
      <c r="N3276" s="22"/>
      <c r="O3276" s="22"/>
      <c r="P3276" s="49"/>
      <c r="Q3276" s="49"/>
      <c r="R3276" s="188" t="str">
        <f t="shared" si="107"/>
        <v/>
      </c>
      <c r="T3276" s="21"/>
      <c r="U3276" s="22"/>
      <c r="V3276" s="24"/>
      <c r="W3276" s="24"/>
      <c r="X3276" s="24"/>
      <c r="Y3276" s="24"/>
      <c r="Z3276" s="20" t="str">
        <f t="shared" si="106"/>
        <v/>
      </c>
    </row>
    <row r="3277" spans="1:26" x14ac:dyDescent="0.2">
      <c r="A3277" s="21"/>
      <c r="B3277" s="20"/>
      <c r="C3277" s="22"/>
      <c r="D3277" s="22"/>
      <c r="E3277" s="24"/>
      <c r="F3277" s="22"/>
      <c r="H3277" s="21">
        <v>46102</v>
      </c>
      <c r="I3277" s="22" t="s">
        <v>70</v>
      </c>
      <c r="J3277" s="22" t="s">
        <v>53</v>
      </c>
      <c r="K3277" s="24">
        <v>2</v>
      </c>
      <c r="M3277" s="21"/>
      <c r="N3277" s="22"/>
      <c r="O3277" s="22"/>
      <c r="P3277" s="49"/>
      <c r="Q3277" s="49"/>
      <c r="R3277" s="188" t="str">
        <f t="shared" si="107"/>
        <v/>
      </c>
      <c r="T3277" s="21"/>
      <c r="U3277" s="22"/>
      <c r="V3277" s="24"/>
      <c r="W3277" s="24"/>
      <c r="X3277" s="24"/>
      <c r="Y3277" s="24"/>
      <c r="Z3277" s="20" t="str">
        <f t="shared" si="106"/>
        <v/>
      </c>
    </row>
    <row r="3278" spans="1:26" x14ac:dyDescent="0.2">
      <c r="A3278" s="21"/>
      <c r="B3278" s="20"/>
      <c r="C3278" s="22"/>
      <c r="D3278" s="22"/>
      <c r="E3278" s="24"/>
      <c r="F3278" s="22"/>
      <c r="H3278" s="21">
        <v>46102</v>
      </c>
      <c r="I3278" s="22" t="s">
        <v>70</v>
      </c>
      <c r="J3278" s="22" t="s">
        <v>44</v>
      </c>
      <c r="K3278" s="24">
        <v>2</v>
      </c>
      <c r="M3278" s="21"/>
      <c r="N3278" s="22"/>
      <c r="O3278" s="22"/>
      <c r="P3278" s="49"/>
      <c r="Q3278" s="49"/>
      <c r="R3278" s="188" t="str">
        <f t="shared" si="107"/>
        <v/>
      </c>
      <c r="T3278" s="21"/>
      <c r="U3278" s="22"/>
      <c r="V3278" s="24"/>
      <c r="W3278" s="24"/>
      <c r="X3278" s="24"/>
      <c r="Y3278" s="24"/>
      <c r="Z3278" s="20" t="str">
        <f t="shared" si="106"/>
        <v/>
      </c>
    </row>
    <row r="3279" spans="1:26" x14ac:dyDescent="0.2">
      <c r="A3279" s="21"/>
      <c r="B3279" s="20"/>
      <c r="C3279" s="22"/>
      <c r="D3279" s="22"/>
      <c r="E3279" s="24"/>
      <c r="F3279" s="22"/>
      <c r="H3279" s="21">
        <v>46102</v>
      </c>
      <c r="I3279" s="22" t="s">
        <v>70</v>
      </c>
      <c r="J3279" s="22" t="s">
        <v>45</v>
      </c>
      <c r="K3279" s="24">
        <v>2</v>
      </c>
      <c r="M3279" s="21"/>
      <c r="N3279" s="22"/>
      <c r="O3279" s="22"/>
      <c r="P3279" s="49"/>
      <c r="Q3279" s="49"/>
      <c r="R3279" s="188" t="str">
        <f t="shared" si="107"/>
        <v/>
      </c>
      <c r="T3279" s="21"/>
      <c r="U3279" s="22"/>
      <c r="V3279" s="24"/>
      <c r="W3279" s="24"/>
      <c r="X3279" s="24"/>
      <c r="Y3279" s="24"/>
      <c r="Z3279" s="20" t="str">
        <f t="shared" si="106"/>
        <v/>
      </c>
    </row>
    <row r="3280" spans="1:26" x14ac:dyDescent="0.2">
      <c r="A3280" s="21"/>
      <c r="B3280" s="20"/>
      <c r="C3280" s="22"/>
      <c r="D3280" s="22"/>
      <c r="E3280" s="24"/>
      <c r="F3280" s="22"/>
      <c r="H3280" s="21">
        <v>46102</v>
      </c>
      <c r="I3280" s="22" t="s">
        <v>70</v>
      </c>
      <c r="J3280" s="22" t="s">
        <v>57</v>
      </c>
      <c r="K3280" s="24">
        <v>2</v>
      </c>
      <c r="M3280" s="21"/>
      <c r="N3280" s="22"/>
      <c r="O3280" s="22"/>
      <c r="P3280" s="49"/>
      <c r="Q3280" s="49"/>
      <c r="R3280" s="188" t="str">
        <f t="shared" si="107"/>
        <v/>
      </c>
      <c r="T3280" s="21"/>
      <c r="U3280" s="22"/>
      <c r="V3280" s="24"/>
      <c r="W3280" s="24"/>
      <c r="X3280" s="24"/>
      <c r="Y3280" s="24"/>
      <c r="Z3280" s="20" t="str">
        <f t="shared" si="106"/>
        <v/>
      </c>
    </row>
    <row r="3281" spans="1:26" x14ac:dyDescent="0.2">
      <c r="A3281" s="21"/>
      <c r="B3281" s="20"/>
      <c r="C3281" s="22"/>
      <c r="D3281" s="22"/>
      <c r="E3281" s="24"/>
      <c r="F3281" s="22"/>
      <c r="H3281" s="21">
        <v>46102</v>
      </c>
      <c r="I3281" s="22" t="s">
        <v>70</v>
      </c>
      <c r="J3281" s="22" t="s">
        <v>42</v>
      </c>
      <c r="K3281" s="24">
        <v>2</v>
      </c>
      <c r="M3281" s="21"/>
      <c r="N3281" s="22"/>
      <c r="O3281" s="22"/>
      <c r="P3281" s="49"/>
      <c r="Q3281" s="49"/>
      <c r="R3281" s="188" t="str">
        <f t="shared" si="107"/>
        <v/>
      </c>
      <c r="T3281" s="21"/>
      <c r="U3281" s="22"/>
      <c r="V3281" s="24"/>
      <c r="W3281" s="24"/>
      <c r="X3281" s="24"/>
      <c r="Y3281" s="24"/>
      <c r="Z3281" s="20" t="str">
        <f t="shared" si="106"/>
        <v/>
      </c>
    </row>
    <row r="3282" spans="1:26" x14ac:dyDescent="0.2">
      <c r="A3282" s="21"/>
      <c r="B3282" s="20"/>
      <c r="C3282" s="22"/>
      <c r="D3282" s="22"/>
      <c r="E3282" s="24"/>
      <c r="F3282" s="22"/>
      <c r="H3282" s="21">
        <v>46102</v>
      </c>
      <c r="I3282" s="22" t="s">
        <v>70</v>
      </c>
      <c r="J3282" s="22" t="s">
        <v>47</v>
      </c>
      <c r="K3282" s="24">
        <v>2</v>
      </c>
      <c r="M3282" s="21"/>
      <c r="N3282" s="22"/>
      <c r="O3282" s="22"/>
      <c r="P3282" s="49"/>
      <c r="Q3282" s="49"/>
      <c r="R3282" s="188" t="str">
        <f t="shared" si="107"/>
        <v/>
      </c>
      <c r="T3282" s="21"/>
      <c r="U3282" s="22"/>
      <c r="V3282" s="24"/>
      <c r="W3282" s="24"/>
      <c r="X3282" s="24"/>
      <c r="Y3282" s="24"/>
      <c r="Z3282" s="20" t="str">
        <f t="shared" si="106"/>
        <v/>
      </c>
    </row>
    <row r="3283" spans="1:26" x14ac:dyDescent="0.2">
      <c r="A3283" s="21"/>
      <c r="B3283" s="20"/>
      <c r="C3283" s="22"/>
      <c r="D3283" s="22"/>
      <c r="E3283" s="24"/>
      <c r="F3283" s="22"/>
      <c r="H3283" s="21">
        <v>46102</v>
      </c>
      <c r="I3283" s="22" t="s">
        <v>70</v>
      </c>
      <c r="J3283" s="22" t="s">
        <v>41</v>
      </c>
      <c r="K3283" s="24">
        <v>2</v>
      </c>
      <c r="M3283" s="21"/>
      <c r="N3283" s="22"/>
      <c r="O3283" s="22"/>
      <c r="P3283" s="49"/>
      <c r="Q3283" s="49"/>
      <c r="R3283" s="188" t="str">
        <f t="shared" si="107"/>
        <v/>
      </c>
      <c r="T3283" s="21"/>
      <c r="U3283" s="22"/>
      <c r="V3283" s="24"/>
      <c r="W3283" s="24"/>
      <c r="X3283" s="24"/>
      <c r="Y3283" s="24"/>
      <c r="Z3283" s="20" t="str">
        <f t="shared" ref="Z3283:Z3346" si="108">IF(COUNT(V3283:Y3283)=0,"",SUM(V3283:Y3283))</f>
        <v/>
      </c>
    </row>
    <row r="3284" spans="1:26" x14ac:dyDescent="0.2">
      <c r="A3284" s="21"/>
      <c r="B3284" s="20"/>
      <c r="C3284" s="22"/>
      <c r="D3284" s="22"/>
      <c r="E3284" s="24"/>
      <c r="F3284" s="22"/>
      <c r="H3284" s="21">
        <v>46102</v>
      </c>
      <c r="I3284" s="22" t="s">
        <v>70</v>
      </c>
      <c r="J3284" s="22" t="s">
        <v>58</v>
      </c>
      <c r="K3284" s="24">
        <v>2</v>
      </c>
      <c r="M3284" s="21"/>
      <c r="N3284" s="22"/>
      <c r="O3284" s="22"/>
      <c r="P3284" s="49"/>
      <c r="Q3284" s="49"/>
      <c r="R3284" s="188" t="str">
        <f t="shared" si="107"/>
        <v/>
      </c>
      <c r="T3284" s="21"/>
      <c r="U3284" s="22"/>
      <c r="V3284" s="24"/>
      <c r="W3284" s="24"/>
      <c r="X3284" s="24"/>
      <c r="Y3284" s="24"/>
      <c r="Z3284" s="20" t="str">
        <f t="shared" si="108"/>
        <v/>
      </c>
    </row>
    <row r="3285" spans="1:26" x14ac:dyDescent="0.2">
      <c r="A3285" s="21"/>
      <c r="B3285" s="20"/>
      <c r="C3285" s="22"/>
      <c r="D3285" s="22"/>
      <c r="E3285" s="24"/>
      <c r="F3285" s="22"/>
      <c r="H3285" s="21">
        <v>46102</v>
      </c>
      <c r="I3285" s="22" t="s">
        <v>70</v>
      </c>
      <c r="J3285" s="22" t="s">
        <v>49</v>
      </c>
      <c r="K3285" s="24">
        <v>2</v>
      </c>
      <c r="M3285" s="21"/>
      <c r="N3285" s="22"/>
      <c r="O3285" s="22"/>
      <c r="P3285" s="49"/>
      <c r="Q3285" s="49"/>
      <c r="R3285" s="188" t="str">
        <f t="shared" si="107"/>
        <v/>
      </c>
      <c r="T3285" s="21"/>
      <c r="U3285" s="22"/>
      <c r="V3285" s="24"/>
      <c r="W3285" s="24"/>
      <c r="X3285" s="24"/>
      <c r="Y3285" s="24"/>
      <c r="Z3285" s="20" t="str">
        <f t="shared" si="108"/>
        <v/>
      </c>
    </row>
    <row r="3286" spans="1:26" x14ac:dyDescent="0.2">
      <c r="A3286" s="21"/>
      <c r="B3286" s="20"/>
      <c r="C3286" s="22"/>
      <c r="D3286" s="22"/>
      <c r="E3286" s="24"/>
      <c r="F3286" s="22"/>
      <c r="H3286" s="21">
        <v>46102</v>
      </c>
      <c r="I3286" s="22" t="s">
        <v>70</v>
      </c>
      <c r="J3286" s="22" t="s">
        <v>50</v>
      </c>
      <c r="K3286" s="24">
        <v>2</v>
      </c>
      <c r="M3286" s="21"/>
      <c r="N3286" s="22"/>
      <c r="O3286" s="22"/>
      <c r="P3286" s="49"/>
      <c r="Q3286" s="49"/>
      <c r="R3286" s="188" t="str">
        <f t="shared" ref="R3286:R3349" si="109">IF(OR(P3286="",Q3286=""),"",IFERROR(P3286-Q3286,""))</f>
        <v/>
      </c>
      <c r="T3286" s="21"/>
      <c r="U3286" s="22"/>
      <c r="V3286" s="24"/>
      <c r="W3286" s="24"/>
      <c r="X3286" s="24"/>
      <c r="Y3286" s="24"/>
      <c r="Z3286" s="20" t="str">
        <f t="shared" si="108"/>
        <v/>
      </c>
    </row>
    <row r="3287" spans="1:26" x14ac:dyDescent="0.2">
      <c r="A3287" s="21"/>
      <c r="B3287" s="20"/>
      <c r="C3287" s="22"/>
      <c r="D3287" s="22"/>
      <c r="E3287" s="24"/>
      <c r="F3287" s="22"/>
      <c r="H3287" s="21">
        <v>46102</v>
      </c>
      <c r="I3287" s="22" t="s">
        <v>70</v>
      </c>
      <c r="J3287" s="22" t="s">
        <v>51</v>
      </c>
      <c r="K3287" s="24">
        <v>2</v>
      </c>
      <c r="M3287" s="21"/>
      <c r="N3287" s="22"/>
      <c r="O3287" s="22"/>
      <c r="P3287" s="49"/>
      <c r="Q3287" s="49"/>
      <c r="R3287" s="188" t="str">
        <f t="shared" si="109"/>
        <v/>
      </c>
      <c r="T3287" s="21"/>
      <c r="U3287" s="22"/>
      <c r="V3287" s="24"/>
      <c r="W3287" s="24"/>
      <c r="X3287" s="24"/>
      <c r="Y3287" s="24"/>
      <c r="Z3287" s="20" t="str">
        <f t="shared" si="108"/>
        <v/>
      </c>
    </row>
    <row r="3288" spans="1:26" x14ac:dyDescent="0.2">
      <c r="A3288" s="21"/>
      <c r="B3288" s="20"/>
      <c r="C3288" s="22"/>
      <c r="D3288" s="22"/>
      <c r="E3288" s="24"/>
      <c r="F3288" s="22"/>
      <c r="H3288" s="21">
        <v>46102</v>
      </c>
      <c r="I3288" s="22" t="s">
        <v>70</v>
      </c>
      <c r="J3288" s="22" t="s">
        <v>46</v>
      </c>
      <c r="K3288" s="24">
        <v>2</v>
      </c>
      <c r="M3288" s="21"/>
      <c r="N3288" s="22"/>
      <c r="O3288" s="22"/>
      <c r="P3288" s="49"/>
      <c r="Q3288" s="49"/>
      <c r="R3288" s="188" t="str">
        <f t="shared" si="109"/>
        <v/>
      </c>
      <c r="T3288" s="21"/>
      <c r="U3288" s="22"/>
      <c r="V3288" s="24"/>
      <c r="W3288" s="24"/>
      <c r="X3288" s="24"/>
      <c r="Y3288" s="24"/>
      <c r="Z3288" s="20" t="str">
        <f t="shared" si="108"/>
        <v/>
      </c>
    </row>
    <row r="3289" spans="1:26" x14ac:dyDescent="0.2">
      <c r="A3289" s="21"/>
      <c r="B3289" s="20"/>
      <c r="C3289" s="22"/>
      <c r="D3289" s="22"/>
      <c r="E3289" s="24"/>
      <c r="F3289" s="22"/>
      <c r="H3289" s="21">
        <v>46102</v>
      </c>
      <c r="I3289" s="22" t="s">
        <v>70</v>
      </c>
      <c r="J3289" s="22" t="s">
        <v>48</v>
      </c>
      <c r="K3289" s="24">
        <v>2</v>
      </c>
      <c r="M3289" s="21"/>
      <c r="N3289" s="22"/>
      <c r="O3289" s="22"/>
      <c r="P3289" s="49"/>
      <c r="Q3289" s="49"/>
      <c r="R3289" s="188" t="str">
        <f t="shared" si="109"/>
        <v/>
      </c>
      <c r="T3289" s="21"/>
      <c r="U3289" s="22"/>
      <c r="V3289" s="24"/>
      <c r="W3289" s="24"/>
      <c r="X3289" s="24"/>
      <c r="Y3289" s="24"/>
      <c r="Z3289" s="20" t="str">
        <f t="shared" si="108"/>
        <v/>
      </c>
    </row>
    <row r="3290" spans="1:26" x14ac:dyDescent="0.2">
      <c r="A3290" s="21"/>
      <c r="B3290" s="20"/>
      <c r="C3290" s="22"/>
      <c r="D3290" s="22"/>
      <c r="E3290" s="24"/>
      <c r="F3290" s="22"/>
      <c r="H3290" s="21">
        <v>46102</v>
      </c>
      <c r="I3290" s="22" t="s">
        <v>70</v>
      </c>
      <c r="J3290" s="22" t="s">
        <v>55</v>
      </c>
      <c r="K3290" s="24">
        <v>2</v>
      </c>
      <c r="M3290" s="21"/>
      <c r="N3290" s="22"/>
      <c r="O3290" s="22"/>
      <c r="P3290" s="49"/>
      <c r="Q3290" s="49"/>
      <c r="R3290" s="188" t="str">
        <f t="shared" si="109"/>
        <v/>
      </c>
      <c r="T3290" s="21"/>
      <c r="U3290" s="22"/>
      <c r="V3290" s="24"/>
      <c r="W3290" s="24"/>
      <c r="X3290" s="24"/>
      <c r="Y3290" s="24"/>
      <c r="Z3290" s="20" t="str">
        <f t="shared" si="108"/>
        <v/>
      </c>
    </row>
    <row r="3291" spans="1:26" x14ac:dyDescent="0.2">
      <c r="A3291" s="21"/>
      <c r="B3291" s="20"/>
      <c r="C3291" s="22"/>
      <c r="D3291" s="22"/>
      <c r="E3291" s="24"/>
      <c r="F3291" s="22"/>
      <c r="H3291" s="21">
        <v>46102</v>
      </c>
      <c r="I3291" s="22" t="s">
        <v>71</v>
      </c>
      <c r="J3291" s="22" t="s">
        <v>52</v>
      </c>
      <c r="K3291" s="24" t="s">
        <v>63</v>
      </c>
      <c r="M3291" s="21"/>
      <c r="N3291" s="22"/>
      <c r="O3291" s="22"/>
      <c r="P3291" s="49"/>
      <c r="Q3291" s="49"/>
      <c r="R3291" s="188" t="str">
        <f t="shared" si="109"/>
        <v/>
      </c>
      <c r="T3291" s="21"/>
      <c r="U3291" s="22"/>
      <c r="V3291" s="24"/>
      <c r="W3291" s="24"/>
      <c r="X3291" s="24"/>
      <c r="Y3291" s="24"/>
      <c r="Z3291" s="20" t="str">
        <f t="shared" si="108"/>
        <v/>
      </c>
    </row>
    <row r="3292" spans="1:26" x14ac:dyDescent="0.2">
      <c r="A3292" s="21"/>
      <c r="B3292" s="20"/>
      <c r="C3292" s="22"/>
      <c r="D3292" s="22"/>
      <c r="E3292" s="24"/>
      <c r="F3292" s="22"/>
      <c r="H3292" s="21">
        <v>46102</v>
      </c>
      <c r="I3292" s="22" t="s">
        <v>71</v>
      </c>
      <c r="J3292" s="22" t="s">
        <v>53</v>
      </c>
      <c r="K3292" s="24">
        <v>8</v>
      </c>
      <c r="M3292" s="21"/>
      <c r="N3292" s="22"/>
      <c r="O3292" s="22"/>
      <c r="P3292" s="49"/>
      <c r="Q3292" s="49"/>
      <c r="R3292" s="188" t="str">
        <f t="shared" si="109"/>
        <v/>
      </c>
      <c r="T3292" s="21"/>
      <c r="U3292" s="22"/>
      <c r="V3292" s="24"/>
      <c r="W3292" s="24"/>
      <c r="X3292" s="24"/>
      <c r="Y3292" s="24"/>
      <c r="Z3292" s="20" t="str">
        <f t="shared" si="108"/>
        <v/>
      </c>
    </row>
    <row r="3293" spans="1:26" x14ac:dyDescent="0.2">
      <c r="A3293" s="21"/>
      <c r="B3293" s="20"/>
      <c r="C3293" s="22"/>
      <c r="D3293" s="22"/>
      <c r="E3293" s="24"/>
      <c r="F3293" s="22"/>
      <c r="H3293" s="21">
        <v>46102</v>
      </c>
      <c r="I3293" s="22" t="s">
        <v>71</v>
      </c>
      <c r="J3293" s="22" t="s">
        <v>44</v>
      </c>
      <c r="K3293" s="24">
        <v>5</v>
      </c>
      <c r="M3293" s="21"/>
      <c r="N3293" s="22"/>
      <c r="O3293" s="22"/>
      <c r="P3293" s="49"/>
      <c r="Q3293" s="49"/>
      <c r="R3293" s="188" t="str">
        <f t="shared" si="109"/>
        <v/>
      </c>
      <c r="T3293" s="21"/>
      <c r="U3293" s="22"/>
      <c r="V3293" s="24"/>
      <c r="W3293" s="24"/>
      <c r="X3293" s="24"/>
      <c r="Y3293" s="24"/>
      <c r="Z3293" s="20" t="str">
        <f t="shared" si="108"/>
        <v/>
      </c>
    </row>
    <row r="3294" spans="1:26" x14ac:dyDescent="0.2">
      <c r="A3294" s="21"/>
      <c r="B3294" s="20"/>
      <c r="C3294" s="22"/>
      <c r="D3294" s="22"/>
      <c r="E3294" s="24"/>
      <c r="F3294" s="22"/>
      <c r="H3294" s="21">
        <v>46102</v>
      </c>
      <c r="I3294" s="22" t="s">
        <v>71</v>
      </c>
      <c r="J3294" s="22" t="s">
        <v>45</v>
      </c>
      <c r="K3294" s="24">
        <v>5</v>
      </c>
      <c r="M3294" s="21"/>
      <c r="N3294" s="22"/>
      <c r="O3294" s="22"/>
      <c r="P3294" s="49"/>
      <c r="Q3294" s="49"/>
      <c r="R3294" s="188" t="str">
        <f t="shared" si="109"/>
        <v/>
      </c>
      <c r="T3294" s="21"/>
      <c r="U3294" s="22"/>
      <c r="V3294" s="24"/>
      <c r="W3294" s="24"/>
      <c r="X3294" s="24"/>
      <c r="Y3294" s="24"/>
      <c r="Z3294" s="20" t="str">
        <f t="shared" si="108"/>
        <v/>
      </c>
    </row>
    <row r="3295" spans="1:26" x14ac:dyDescent="0.2">
      <c r="A3295" s="21"/>
      <c r="B3295" s="20"/>
      <c r="C3295" s="22"/>
      <c r="D3295" s="22"/>
      <c r="E3295" s="24"/>
      <c r="F3295" s="22"/>
      <c r="H3295" s="21">
        <v>46102</v>
      </c>
      <c r="I3295" s="22" t="s">
        <v>71</v>
      </c>
      <c r="J3295" s="22" t="s">
        <v>57</v>
      </c>
      <c r="K3295" s="24" t="s">
        <v>63</v>
      </c>
      <c r="M3295" s="21"/>
      <c r="N3295" s="22"/>
      <c r="O3295" s="22"/>
      <c r="P3295" s="49"/>
      <c r="Q3295" s="49"/>
      <c r="R3295" s="188" t="str">
        <f t="shared" si="109"/>
        <v/>
      </c>
      <c r="T3295" s="21"/>
      <c r="U3295" s="22"/>
      <c r="V3295" s="24"/>
      <c r="W3295" s="24"/>
      <c r="X3295" s="24"/>
      <c r="Y3295" s="24"/>
      <c r="Z3295" s="20" t="str">
        <f t="shared" si="108"/>
        <v/>
      </c>
    </row>
    <row r="3296" spans="1:26" x14ac:dyDescent="0.2">
      <c r="A3296" s="21"/>
      <c r="B3296" s="20"/>
      <c r="C3296" s="22"/>
      <c r="D3296" s="22"/>
      <c r="E3296" s="24"/>
      <c r="F3296" s="22"/>
      <c r="H3296" s="21">
        <v>46102</v>
      </c>
      <c r="I3296" s="22" t="s">
        <v>71</v>
      </c>
      <c r="J3296" s="22" t="s">
        <v>42</v>
      </c>
      <c r="K3296" s="24" t="s">
        <v>63</v>
      </c>
      <c r="M3296" s="21"/>
      <c r="N3296" s="22"/>
      <c r="O3296" s="22"/>
      <c r="P3296" s="49"/>
      <c r="Q3296" s="49"/>
      <c r="R3296" s="188" t="str">
        <f t="shared" si="109"/>
        <v/>
      </c>
      <c r="T3296" s="21"/>
      <c r="U3296" s="22"/>
      <c r="V3296" s="24"/>
      <c r="W3296" s="24"/>
      <c r="X3296" s="24"/>
      <c r="Y3296" s="24"/>
      <c r="Z3296" s="20" t="str">
        <f t="shared" si="108"/>
        <v/>
      </c>
    </row>
    <row r="3297" spans="1:26" x14ac:dyDescent="0.2">
      <c r="A3297" s="21"/>
      <c r="B3297" s="20"/>
      <c r="C3297" s="22"/>
      <c r="D3297" s="22"/>
      <c r="E3297" s="24"/>
      <c r="F3297" s="22"/>
      <c r="H3297" s="21">
        <v>46102</v>
      </c>
      <c r="I3297" s="22" t="s">
        <v>71</v>
      </c>
      <c r="J3297" s="22" t="s">
        <v>47</v>
      </c>
      <c r="K3297" s="24">
        <v>8</v>
      </c>
      <c r="M3297" s="21"/>
      <c r="N3297" s="22"/>
      <c r="O3297" s="22"/>
      <c r="P3297" s="49"/>
      <c r="Q3297" s="49"/>
      <c r="R3297" s="188" t="str">
        <f t="shared" si="109"/>
        <v/>
      </c>
      <c r="T3297" s="21"/>
      <c r="U3297" s="22"/>
      <c r="V3297" s="24"/>
      <c r="W3297" s="24"/>
      <c r="X3297" s="24"/>
      <c r="Y3297" s="24"/>
      <c r="Z3297" s="20" t="str">
        <f t="shared" si="108"/>
        <v/>
      </c>
    </row>
    <row r="3298" spans="1:26" x14ac:dyDescent="0.2">
      <c r="A3298" s="21"/>
      <c r="B3298" s="20"/>
      <c r="C3298" s="22"/>
      <c r="D3298" s="22"/>
      <c r="E3298" s="24"/>
      <c r="F3298" s="22"/>
      <c r="H3298" s="21">
        <v>46102</v>
      </c>
      <c r="I3298" s="22" t="s">
        <v>71</v>
      </c>
      <c r="J3298" s="22" t="s">
        <v>41</v>
      </c>
      <c r="K3298" s="24">
        <v>7</v>
      </c>
      <c r="M3298" s="21"/>
      <c r="N3298" s="22"/>
      <c r="O3298" s="22"/>
      <c r="P3298" s="49"/>
      <c r="Q3298" s="49"/>
      <c r="R3298" s="188" t="str">
        <f t="shared" si="109"/>
        <v/>
      </c>
      <c r="T3298" s="21"/>
      <c r="U3298" s="22"/>
      <c r="V3298" s="24"/>
      <c r="W3298" s="24"/>
      <c r="X3298" s="24"/>
      <c r="Y3298" s="24"/>
      <c r="Z3298" s="20" t="str">
        <f t="shared" si="108"/>
        <v/>
      </c>
    </row>
    <row r="3299" spans="1:26" x14ac:dyDescent="0.2">
      <c r="A3299" s="21"/>
      <c r="B3299" s="20"/>
      <c r="C3299" s="22"/>
      <c r="D3299" s="22"/>
      <c r="E3299" s="24"/>
      <c r="F3299" s="22"/>
      <c r="H3299" s="21">
        <v>46102</v>
      </c>
      <c r="I3299" s="22" t="s">
        <v>71</v>
      </c>
      <c r="J3299" s="22" t="s">
        <v>58</v>
      </c>
      <c r="K3299" s="24">
        <v>7</v>
      </c>
      <c r="M3299" s="21"/>
      <c r="N3299" s="22"/>
      <c r="O3299" s="22"/>
      <c r="P3299" s="49"/>
      <c r="Q3299" s="49"/>
      <c r="R3299" s="188" t="str">
        <f t="shared" si="109"/>
        <v/>
      </c>
      <c r="T3299" s="21"/>
      <c r="U3299" s="22"/>
      <c r="V3299" s="24"/>
      <c r="W3299" s="24"/>
      <c r="X3299" s="24"/>
      <c r="Y3299" s="24"/>
      <c r="Z3299" s="20" t="str">
        <f t="shared" si="108"/>
        <v/>
      </c>
    </row>
    <row r="3300" spans="1:26" x14ac:dyDescent="0.2">
      <c r="A3300" s="21"/>
      <c r="B3300" s="20"/>
      <c r="C3300" s="22"/>
      <c r="D3300" s="22"/>
      <c r="E3300" s="24"/>
      <c r="F3300" s="22"/>
      <c r="H3300" s="21">
        <v>46102</v>
      </c>
      <c r="I3300" s="22" t="s">
        <v>71</v>
      </c>
      <c r="J3300" s="22" t="s">
        <v>49</v>
      </c>
      <c r="K3300" s="24">
        <v>10</v>
      </c>
      <c r="M3300" s="21"/>
      <c r="N3300" s="22"/>
      <c r="O3300" s="22"/>
      <c r="P3300" s="49"/>
      <c r="Q3300" s="49"/>
      <c r="R3300" s="188" t="str">
        <f t="shared" si="109"/>
        <v/>
      </c>
      <c r="T3300" s="21"/>
      <c r="U3300" s="22"/>
      <c r="V3300" s="24"/>
      <c r="W3300" s="24"/>
      <c r="X3300" s="24"/>
      <c r="Y3300" s="24"/>
      <c r="Z3300" s="20" t="str">
        <f t="shared" si="108"/>
        <v/>
      </c>
    </row>
    <row r="3301" spans="1:26" x14ac:dyDescent="0.2">
      <c r="A3301" s="21"/>
      <c r="B3301" s="20"/>
      <c r="C3301" s="22"/>
      <c r="D3301" s="22"/>
      <c r="E3301" s="24"/>
      <c r="F3301" s="22"/>
      <c r="H3301" s="21">
        <v>46102</v>
      </c>
      <c r="I3301" s="22" t="s">
        <v>71</v>
      </c>
      <c r="J3301" s="22" t="s">
        <v>50</v>
      </c>
      <c r="K3301" s="24">
        <v>8</v>
      </c>
      <c r="M3301" s="21"/>
      <c r="N3301" s="22"/>
      <c r="O3301" s="22"/>
      <c r="P3301" s="49"/>
      <c r="Q3301" s="49"/>
      <c r="R3301" s="188" t="str">
        <f t="shared" si="109"/>
        <v/>
      </c>
      <c r="T3301" s="21"/>
      <c r="U3301" s="22"/>
      <c r="V3301" s="24"/>
      <c r="W3301" s="24"/>
      <c r="X3301" s="24"/>
      <c r="Y3301" s="24"/>
      <c r="Z3301" s="20" t="str">
        <f t="shared" si="108"/>
        <v/>
      </c>
    </row>
    <row r="3302" spans="1:26" x14ac:dyDescent="0.2">
      <c r="A3302" s="21"/>
      <c r="B3302" s="20"/>
      <c r="C3302" s="22"/>
      <c r="D3302" s="22"/>
      <c r="E3302" s="24"/>
      <c r="F3302" s="22"/>
      <c r="H3302" s="21">
        <v>46102</v>
      </c>
      <c r="I3302" s="22" t="s">
        <v>71</v>
      </c>
      <c r="J3302" s="22" t="s">
        <v>51</v>
      </c>
      <c r="K3302" s="24">
        <v>7</v>
      </c>
      <c r="M3302" s="21"/>
      <c r="N3302" s="22"/>
      <c r="O3302" s="22"/>
      <c r="P3302" s="49"/>
      <c r="Q3302" s="49"/>
      <c r="R3302" s="188" t="str">
        <f t="shared" si="109"/>
        <v/>
      </c>
      <c r="T3302" s="21"/>
      <c r="U3302" s="22"/>
      <c r="V3302" s="24"/>
      <c r="W3302" s="24"/>
      <c r="X3302" s="24"/>
      <c r="Y3302" s="24"/>
      <c r="Z3302" s="20" t="str">
        <f t="shared" si="108"/>
        <v/>
      </c>
    </row>
    <row r="3303" spans="1:26" x14ac:dyDescent="0.2">
      <c r="A3303" s="21"/>
      <c r="B3303" s="20"/>
      <c r="C3303" s="22"/>
      <c r="D3303" s="22"/>
      <c r="E3303" s="24"/>
      <c r="F3303" s="22"/>
      <c r="H3303" s="21">
        <v>46102</v>
      </c>
      <c r="I3303" s="22" t="s">
        <v>71</v>
      </c>
      <c r="J3303" s="22" t="s">
        <v>46</v>
      </c>
      <c r="K3303" s="24">
        <v>8</v>
      </c>
      <c r="M3303" s="21"/>
      <c r="N3303" s="22"/>
      <c r="O3303" s="22"/>
      <c r="P3303" s="49"/>
      <c r="Q3303" s="49"/>
      <c r="R3303" s="188" t="str">
        <f t="shared" si="109"/>
        <v/>
      </c>
      <c r="T3303" s="21"/>
      <c r="U3303" s="22"/>
      <c r="V3303" s="24"/>
      <c r="W3303" s="24"/>
      <c r="X3303" s="24"/>
      <c r="Y3303" s="24"/>
      <c r="Z3303" s="20" t="str">
        <f t="shared" si="108"/>
        <v/>
      </c>
    </row>
    <row r="3304" spans="1:26" x14ac:dyDescent="0.2">
      <c r="A3304" s="21"/>
      <c r="B3304" s="20"/>
      <c r="C3304" s="22"/>
      <c r="D3304" s="22"/>
      <c r="E3304" s="24"/>
      <c r="F3304" s="22"/>
      <c r="H3304" s="21">
        <v>46102</v>
      </c>
      <c r="I3304" s="22" t="s">
        <v>71</v>
      </c>
      <c r="J3304" s="22" t="s">
        <v>48</v>
      </c>
      <c r="K3304" s="24" t="s">
        <v>63</v>
      </c>
      <c r="M3304" s="21"/>
      <c r="N3304" s="22"/>
      <c r="O3304" s="22"/>
      <c r="P3304" s="49"/>
      <c r="Q3304" s="49"/>
      <c r="R3304" s="188" t="str">
        <f t="shared" si="109"/>
        <v/>
      </c>
      <c r="T3304" s="21"/>
      <c r="U3304" s="22"/>
      <c r="V3304" s="24"/>
      <c r="W3304" s="24"/>
      <c r="X3304" s="24"/>
      <c r="Y3304" s="24"/>
      <c r="Z3304" s="20" t="str">
        <f t="shared" si="108"/>
        <v/>
      </c>
    </row>
    <row r="3305" spans="1:26" x14ac:dyDescent="0.2">
      <c r="A3305" s="21"/>
      <c r="B3305" s="20"/>
      <c r="C3305" s="22"/>
      <c r="D3305" s="22"/>
      <c r="E3305" s="24"/>
      <c r="F3305" s="22"/>
      <c r="H3305" s="21">
        <v>46105</v>
      </c>
      <c r="I3305" s="22" t="s">
        <v>70</v>
      </c>
      <c r="J3305" s="22" t="s">
        <v>52</v>
      </c>
      <c r="K3305" s="24">
        <v>8</v>
      </c>
      <c r="M3305" s="21"/>
      <c r="N3305" s="22"/>
      <c r="O3305" s="22"/>
      <c r="P3305" s="49"/>
      <c r="Q3305" s="49"/>
      <c r="R3305" s="188" t="str">
        <f t="shared" si="109"/>
        <v/>
      </c>
      <c r="T3305" s="21"/>
      <c r="U3305" s="22"/>
      <c r="V3305" s="24"/>
      <c r="W3305" s="24"/>
      <c r="X3305" s="24"/>
      <c r="Y3305" s="24"/>
      <c r="Z3305" s="20" t="str">
        <f t="shared" si="108"/>
        <v/>
      </c>
    </row>
    <row r="3306" spans="1:26" x14ac:dyDescent="0.2">
      <c r="A3306" s="21"/>
      <c r="B3306" s="20"/>
      <c r="C3306" s="22"/>
      <c r="D3306" s="22"/>
      <c r="E3306" s="24"/>
      <c r="F3306" s="22"/>
      <c r="H3306" s="21">
        <v>46105</v>
      </c>
      <c r="I3306" s="22" t="s">
        <v>70</v>
      </c>
      <c r="J3306" s="22" t="s">
        <v>53</v>
      </c>
      <c r="K3306" s="24">
        <v>7</v>
      </c>
      <c r="M3306" s="21"/>
      <c r="N3306" s="22"/>
      <c r="O3306" s="22"/>
      <c r="P3306" s="49"/>
      <c r="Q3306" s="49"/>
      <c r="R3306" s="188" t="str">
        <f t="shared" si="109"/>
        <v/>
      </c>
      <c r="T3306" s="21"/>
      <c r="U3306" s="22"/>
      <c r="V3306" s="24"/>
      <c r="W3306" s="24"/>
      <c r="X3306" s="24"/>
      <c r="Y3306" s="24"/>
      <c r="Z3306" s="20" t="str">
        <f t="shared" si="108"/>
        <v/>
      </c>
    </row>
    <row r="3307" spans="1:26" x14ac:dyDescent="0.2">
      <c r="A3307" s="21"/>
      <c r="B3307" s="20"/>
      <c r="C3307" s="22"/>
      <c r="D3307" s="22"/>
      <c r="E3307" s="24"/>
      <c r="F3307" s="22"/>
      <c r="H3307" s="21">
        <v>46105</v>
      </c>
      <c r="I3307" s="22" t="s">
        <v>70</v>
      </c>
      <c r="J3307" s="22" t="s">
        <v>44</v>
      </c>
      <c r="K3307" s="24">
        <v>2</v>
      </c>
      <c r="M3307" s="21"/>
      <c r="N3307" s="22"/>
      <c r="O3307" s="22"/>
      <c r="P3307" s="49"/>
      <c r="Q3307" s="49"/>
      <c r="R3307" s="188" t="str">
        <f t="shared" si="109"/>
        <v/>
      </c>
      <c r="T3307" s="21"/>
      <c r="U3307" s="22"/>
      <c r="V3307" s="24"/>
      <c r="W3307" s="24"/>
      <c r="X3307" s="24"/>
      <c r="Y3307" s="24"/>
      <c r="Z3307" s="20" t="str">
        <f t="shared" si="108"/>
        <v/>
      </c>
    </row>
    <row r="3308" spans="1:26" x14ac:dyDescent="0.2">
      <c r="A3308" s="21"/>
      <c r="B3308" s="20"/>
      <c r="C3308" s="22"/>
      <c r="D3308" s="22"/>
      <c r="E3308" s="24"/>
      <c r="F3308" s="22"/>
      <c r="H3308" s="21">
        <v>46105</v>
      </c>
      <c r="I3308" s="22" t="s">
        <v>70</v>
      </c>
      <c r="J3308" s="22" t="s">
        <v>45</v>
      </c>
      <c r="K3308" s="24">
        <v>2</v>
      </c>
      <c r="M3308" s="21"/>
      <c r="N3308" s="22"/>
      <c r="O3308" s="22"/>
      <c r="P3308" s="49"/>
      <c r="Q3308" s="49"/>
      <c r="R3308" s="188" t="str">
        <f t="shared" si="109"/>
        <v/>
      </c>
      <c r="T3308" s="21"/>
      <c r="U3308" s="22"/>
      <c r="V3308" s="24"/>
      <c r="W3308" s="24"/>
      <c r="X3308" s="24"/>
      <c r="Y3308" s="24"/>
      <c r="Z3308" s="20" t="str">
        <f t="shared" si="108"/>
        <v/>
      </c>
    </row>
    <row r="3309" spans="1:26" x14ac:dyDescent="0.2">
      <c r="A3309" s="21"/>
      <c r="B3309" s="20"/>
      <c r="C3309" s="22"/>
      <c r="D3309" s="22"/>
      <c r="E3309" s="24"/>
      <c r="F3309" s="22"/>
      <c r="H3309" s="21">
        <v>46105</v>
      </c>
      <c r="I3309" s="22" t="s">
        <v>70</v>
      </c>
      <c r="J3309" s="22" t="s">
        <v>57</v>
      </c>
      <c r="K3309" s="24">
        <v>8</v>
      </c>
      <c r="M3309" s="21"/>
      <c r="N3309" s="22"/>
      <c r="O3309" s="22"/>
      <c r="P3309" s="49"/>
      <c r="Q3309" s="49"/>
      <c r="R3309" s="188" t="str">
        <f t="shared" si="109"/>
        <v/>
      </c>
      <c r="T3309" s="21"/>
      <c r="U3309" s="22"/>
      <c r="V3309" s="24"/>
      <c r="W3309" s="24"/>
      <c r="X3309" s="24"/>
      <c r="Y3309" s="24"/>
      <c r="Z3309" s="20" t="str">
        <f t="shared" si="108"/>
        <v/>
      </c>
    </row>
    <row r="3310" spans="1:26" x14ac:dyDescent="0.2">
      <c r="A3310" s="21"/>
      <c r="B3310" s="20"/>
      <c r="C3310" s="22"/>
      <c r="D3310" s="22"/>
      <c r="E3310" s="24"/>
      <c r="F3310" s="22"/>
      <c r="H3310" s="21">
        <v>46105</v>
      </c>
      <c r="I3310" s="22" t="s">
        <v>70</v>
      </c>
      <c r="J3310" s="22" t="s">
        <v>42</v>
      </c>
      <c r="K3310" s="24">
        <v>1</v>
      </c>
      <c r="M3310" s="21"/>
      <c r="N3310" s="22"/>
      <c r="O3310" s="22"/>
      <c r="P3310" s="49"/>
      <c r="Q3310" s="49"/>
      <c r="R3310" s="188" t="str">
        <f t="shared" si="109"/>
        <v/>
      </c>
      <c r="T3310" s="21"/>
      <c r="U3310" s="22"/>
      <c r="V3310" s="24"/>
      <c r="W3310" s="24"/>
      <c r="X3310" s="24"/>
      <c r="Y3310" s="24"/>
      <c r="Z3310" s="20" t="str">
        <f t="shared" si="108"/>
        <v/>
      </c>
    </row>
    <row r="3311" spans="1:26" x14ac:dyDescent="0.2">
      <c r="A3311" s="21"/>
      <c r="B3311" s="20"/>
      <c r="C3311" s="22"/>
      <c r="D3311" s="22"/>
      <c r="E3311" s="24"/>
      <c r="F3311" s="22"/>
      <c r="H3311" s="21">
        <v>46105</v>
      </c>
      <c r="I3311" s="22" t="s">
        <v>70</v>
      </c>
      <c r="J3311" s="22" t="s">
        <v>47</v>
      </c>
      <c r="K3311" s="24">
        <v>5</v>
      </c>
      <c r="M3311" s="21"/>
      <c r="N3311" s="22"/>
      <c r="O3311" s="22"/>
      <c r="P3311" s="49"/>
      <c r="Q3311" s="49"/>
      <c r="R3311" s="188" t="str">
        <f t="shared" si="109"/>
        <v/>
      </c>
      <c r="T3311" s="21"/>
      <c r="U3311" s="22"/>
      <c r="V3311" s="24"/>
      <c r="W3311" s="24"/>
      <c r="X3311" s="24"/>
      <c r="Y3311" s="24"/>
      <c r="Z3311" s="20" t="str">
        <f t="shared" si="108"/>
        <v/>
      </c>
    </row>
    <row r="3312" spans="1:26" x14ac:dyDescent="0.2">
      <c r="A3312" s="21"/>
      <c r="B3312" s="20"/>
      <c r="C3312" s="22"/>
      <c r="D3312" s="22"/>
      <c r="E3312" s="24"/>
      <c r="F3312" s="22"/>
      <c r="H3312" s="21">
        <v>46105</v>
      </c>
      <c r="I3312" s="22" t="s">
        <v>70</v>
      </c>
      <c r="J3312" s="22" t="s">
        <v>41</v>
      </c>
      <c r="K3312" s="24">
        <v>3</v>
      </c>
      <c r="M3312" s="21"/>
      <c r="N3312" s="22"/>
      <c r="O3312" s="22"/>
      <c r="P3312" s="49"/>
      <c r="Q3312" s="49"/>
      <c r="R3312" s="188" t="str">
        <f t="shared" si="109"/>
        <v/>
      </c>
      <c r="T3312" s="21"/>
      <c r="U3312" s="22"/>
      <c r="V3312" s="24"/>
      <c r="W3312" s="24"/>
      <c r="X3312" s="24"/>
      <c r="Y3312" s="24"/>
      <c r="Z3312" s="20" t="str">
        <f t="shared" si="108"/>
        <v/>
      </c>
    </row>
    <row r="3313" spans="1:26" x14ac:dyDescent="0.2">
      <c r="A3313" s="21"/>
      <c r="B3313" s="20"/>
      <c r="C3313" s="22"/>
      <c r="D3313" s="22"/>
      <c r="E3313" s="24"/>
      <c r="F3313" s="22"/>
      <c r="H3313" s="21">
        <v>46105</v>
      </c>
      <c r="I3313" s="22" t="s">
        <v>70</v>
      </c>
      <c r="J3313" s="22" t="s">
        <v>58</v>
      </c>
      <c r="K3313" s="24">
        <v>9</v>
      </c>
      <c r="M3313" s="21"/>
      <c r="N3313" s="22"/>
      <c r="O3313" s="22"/>
      <c r="P3313" s="49"/>
      <c r="Q3313" s="49"/>
      <c r="R3313" s="188" t="str">
        <f t="shared" si="109"/>
        <v/>
      </c>
      <c r="T3313" s="21"/>
      <c r="U3313" s="22"/>
      <c r="V3313" s="24"/>
      <c r="W3313" s="24"/>
      <c r="X3313" s="24"/>
      <c r="Y3313" s="24"/>
      <c r="Z3313" s="20" t="str">
        <f t="shared" si="108"/>
        <v/>
      </c>
    </row>
    <row r="3314" spans="1:26" x14ac:dyDescent="0.2">
      <c r="A3314" s="21"/>
      <c r="B3314" s="20"/>
      <c r="C3314" s="22"/>
      <c r="D3314" s="22"/>
      <c r="E3314" s="24"/>
      <c r="F3314" s="22"/>
      <c r="H3314" s="21">
        <v>46105</v>
      </c>
      <c r="I3314" s="22" t="s">
        <v>70</v>
      </c>
      <c r="J3314" s="22" t="s">
        <v>49</v>
      </c>
      <c r="K3314" s="24" t="s">
        <v>61</v>
      </c>
      <c r="M3314" s="21"/>
      <c r="N3314" s="22"/>
      <c r="O3314" s="22"/>
      <c r="P3314" s="49"/>
      <c r="Q3314" s="49"/>
      <c r="R3314" s="188" t="str">
        <f t="shared" si="109"/>
        <v/>
      </c>
      <c r="T3314" s="21"/>
      <c r="U3314" s="22"/>
      <c r="V3314" s="24"/>
      <c r="W3314" s="24"/>
      <c r="X3314" s="24"/>
      <c r="Y3314" s="24"/>
      <c r="Z3314" s="20" t="str">
        <f t="shared" si="108"/>
        <v/>
      </c>
    </row>
    <row r="3315" spans="1:26" x14ac:dyDescent="0.2">
      <c r="A3315" s="21"/>
      <c r="B3315" s="20"/>
      <c r="C3315" s="22"/>
      <c r="D3315" s="22"/>
      <c r="E3315" s="24"/>
      <c r="F3315" s="22"/>
      <c r="H3315" s="21">
        <v>46105</v>
      </c>
      <c r="I3315" s="22" t="s">
        <v>70</v>
      </c>
      <c r="J3315" s="22" t="s">
        <v>50</v>
      </c>
      <c r="K3315" s="24">
        <v>3</v>
      </c>
      <c r="M3315" s="21"/>
      <c r="N3315" s="22"/>
      <c r="O3315" s="22"/>
      <c r="P3315" s="49"/>
      <c r="Q3315" s="49"/>
      <c r="R3315" s="188" t="str">
        <f t="shared" si="109"/>
        <v/>
      </c>
      <c r="T3315" s="21"/>
      <c r="U3315" s="22"/>
      <c r="V3315" s="24"/>
      <c r="W3315" s="24"/>
      <c r="X3315" s="24"/>
      <c r="Y3315" s="24"/>
      <c r="Z3315" s="20" t="str">
        <f t="shared" si="108"/>
        <v/>
      </c>
    </row>
    <row r="3316" spans="1:26" x14ac:dyDescent="0.2">
      <c r="A3316" s="21"/>
      <c r="B3316" s="20"/>
      <c r="C3316" s="22"/>
      <c r="D3316" s="22"/>
      <c r="E3316" s="24"/>
      <c r="F3316" s="22"/>
      <c r="H3316" s="21">
        <v>46105</v>
      </c>
      <c r="I3316" s="22" t="s">
        <v>70</v>
      </c>
      <c r="J3316" s="22" t="s">
        <v>51</v>
      </c>
      <c r="K3316" s="24">
        <v>8</v>
      </c>
      <c r="M3316" s="21"/>
      <c r="N3316" s="22"/>
      <c r="O3316" s="22"/>
      <c r="P3316" s="49"/>
      <c r="Q3316" s="49"/>
      <c r="R3316" s="188" t="str">
        <f t="shared" si="109"/>
        <v/>
      </c>
      <c r="T3316" s="21"/>
      <c r="U3316" s="22"/>
      <c r="V3316" s="24"/>
      <c r="W3316" s="24"/>
      <c r="X3316" s="24"/>
      <c r="Y3316" s="24"/>
      <c r="Z3316" s="20" t="str">
        <f t="shared" si="108"/>
        <v/>
      </c>
    </row>
    <row r="3317" spans="1:26" x14ac:dyDescent="0.2">
      <c r="A3317" s="21"/>
      <c r="B3317" s="20"/>
      <c r="C3317" s="22"/>
      <c r="D3317" s="22"/>
      <c r="E3317" s="24"/>
      <c r="F3317" s="22"/>
      <c r="H3317" s="21">
        <v>46105</v>
      </c>
      <c r="I3317" s="22" t="s">
        <v>70</v>
      </c>
      <c r="J3317" s="22" t="s">
        <v>46</v>
      </c>
      <c r="K3317" s="24">
        <v>2</v>
      </c>
      <c r="M3317" s="21"/>
      <c r="N3317" s="22"/>
      <c r="O3317" s="22"/>
      <c r="P3317" s="49"/>
      <c r="Q3317" s="49"/>
      <c r="R3317" s="188" t="str">
        <f t="shared" si="109"/>
        <v/>
      </c>
      <c r="T3317" s="21"/>
      <c r="U3317" s="22"/>
      <c r="V3317" s="24"/>
      <c r="W3317" s="24"/>
      <c r="X3317" s="24"/>
      <c r="Y3317" s="24"/>
      <c r="Z3317" s="20" t="str">
        <f t="shared" si="108"/>
        <v/>
      </c>
    </row>
    <row r="3318" spans="1:26" x14ac:dyDescent="0.2">
      <c r="A3318" s="21"/>
      <c r="B3318" s="20"/>
      <c r="C3318" s="22"/>
      <c r="D3318" s="22"/>
      <c r="E3318" s="24"/>
      <c r="F3318" s="22"/>
      <c r="H3318" s="21">
        <v>46105</v>
      </c>
      <c r="I3318" s="22" t="s">
        <v>70</v>
      </c>
      <c r="J3318" s="22" t="s">
        <v>48</v>
      </c>
      <c r="K3318" s="24" t="s">
        <v>61</v>
      </c>
      <c r="M3318" s="21"/>
      <c r="N3318" s="22"/>
      <c r="O3318" s="22"/>
      <c r="P3318" s="49"/>
      <c r="Q3318" s="49"/>
      <c r="R3318" s="188" t="str">
        <f t="shared" si="109"/>
        <v/>
      </c>
      <c r="T3318" s="21"/>
      <c r="U3318" s="22"/>
      <c r="V3318" s="24"/>
      <c r="W3318" s="24"/>
      <c r="X3318" s="24"/>
      <c r="Y3318" s="24"/>
      <c r="Z3318" s="20" t="str">
        <f t="shared" si="108"/>
        <v/>
      </c>
    </row>
    <row r="3319" spans="1:26" x14ac:dyDescent="0.2">
      <c r="A3319" s="21"/>
      <c r="B3319" s="20"/>
      <c r="C3319" s="22"/>
      <c r="D3319" s="22"/>
      <c r="E3319" s="24"/>
      <c r="F3319" s="22"/>
      <c r="H3319" s="21">
        <v>46105</v>
      </c>
      <c r="I3319" s="22" t="s">
        <v>70</v>
      </c>
      <c r="J3319" s="22" t="s">
        <v>55</v>
      </c>
      <c r="K3319" s="24">
        <v>8</v>
      </c>
      <c r="M3319" s="21"/>
      <c r="N3319" s="22"/>
      <c r="O3319" s="22"/>
      <c r="P3319" s="49"/>
      <c r="Q3319" s="49"/>
      <c r="R3319" s="188" t="str">
        <f t="shared" si="109"/>
        <v/>
      </c>
      <c r="T3319" s="21"/>
      <c r="U3319" s="22"/>
      <c r="V3319" s="24"/>
      <c r="W3319" s="24"/>
      <c r="X3319" s="24"/>
      <c r="Y3319" s="24"/>
      <c r="Z3319" s="20" t="str">
        <f t="shared" si="108"/>
        <v/>
      </c>
    </row>
    <row r="3320" spans="1:26" x14ac:dyDescent="0.2">
      <c r="A3320" s="21"/>
      <c r="B3320" s="20"/>
      <c r="C3320" s="22"/>
      <c r="D3320" s="22"/>
      <c r="E3320" s="24"/>
      <c r="F3320" s="22"/>
      <c r="H3320" s="21">
        <v>46106</v>
      </c>
      <c r="I3320" s="22" t="s">
        <v>70</v>
      </c>
      <c r="J3320" s="22" t="s">
        <v>52</v>
      </c>
      <c r="K3320" s="24">
        <v>7</v>
      </c>
      <c r="M3320" s="21"/>
      <c r="N3320" s="22"/>
      <c r="O3320" s="22"/>
      <c r="P3320" s="49"/>
      <c r="Q3320" s="49"/>
      <c r="R3320" s="188" t="str">
        <f t="shared" si="109"/>
        <v/>
      </c>
      <c r="T3320" s="21"/>
      <c r="U3320" s="22"/>
      <c r="V3320" s="24"/>
      <c r="W3320" s="24"/>
      <c r="X3320" s="24"/>
      <c r="Y3320" s="24"/>
      <c r="Z3320" s="20" t="str">
        <f t="shared" si="108"/>
        <v/>
      </c>
    </row>
    <row r="3321" spans="1:26" x14ac:dyDescent="0.2">
      <c r="A3321" s="21"/>
      <c r="B3321" s="20"/>
      <c r="C3321" s="22"/>
      <c r="D3321" s="22"/>
      <c r="E3321" s="24"/>
      <c r="F3321" s="22"/>
      <c r="H3321" s="21">
        <v>46106</v>
      </c>
      <c r="I3321" s="22" t="s">
        <v>70</v>
      </c>
      <c r="J3321" s="22" t="s">
        <v>53</v>
      </c>
      <c r="K3321" s="24">
        <v>7</v>
      </c>
      <c r="M3321" s="21"/>
      <c r="N3321" s="22"/>
      <c r="O3321" s="22"/>
      <c r="P3321" s="49"/>
      <c r="Q3321" s="49"/>
      <c r="R3321" s="188" t="str">
        <f t="shared" si="109"/>
        <v/>
      </c>
      <c r="T3321" s="21"/>
      <c r="U3321" s="22"/>
      <c r="V3321" s="24"/>
      <c r="W3321" s="24"/>
      <c r="X3321" s="24"/>
      <c r="Y3321" s="24"/>
      <c r="Z3321" s="20" t="str">
        <f t="shared" si="108"/>
        <v/>
      </c>
    </row>
    <row r="3322" spans="1:26" x14ac:dyDescent="0.2">
      <c r="A3322" s="21"/>
      <c r="B3322" s="20"/>
      <c r="C3322" s="22"/>
      <c r="D3322" s="22"/>
      <c r="E3322" s="24"/>
      <c r="F3322" s="22"/>
      <c r="H3322" s="21">
        <v>46106</v>
      </c>
      <c r="I3322" s="22" t="s">
        <v>70</v>
      </c>
      <c r="J3322" s="22" t="s">
        <v>44</v>
      </c>
      <c r="K3322" s="24">
        <v>6</v>
      </c>
      <c r="M3322" s="21"/>
      <c r="N3322" s="22"/>
      <c r="O3322" s="22"/>
      <c r="P3322" s="49"/>
      <c r="Q3322" s="49"/>
      <c r="R3322" s="188" t="str">
        <f t="shared" si="109"/>
        <v/>
      </c>
      <c r="T3322" s="21"/>
      <c r="U3322" s="22"/>
      <c r="V3322" s="24"/>
      <c r="W3322" s="24"/>
      <c r="X3322" s="24"/>
      <c r="Y3322" s="24"/>
      <c r="Z3322" s="20" t="str">
        <f t="shared" si="108"/>
        <v/>
      </c>
    </row>
    <row r="3323" spans="1:26" x14ac:dyDescent="0.2">
      <c r="A3323" s="21"/>
      <c r="B3323" s="20"/>
      <c r="C3323" s="22"/>
      <c r="D3323" s="22"/>
      <c r="E3323" s="24"/>
      <c r="F3323" s="22"/>
      <c r="H3323" s="21">
        <v>46106</v>
      </c>
      <c r="I3323" s="22" t="s">
        <v>70</v>
      </c>
      <c r="J3323" s="22" t="s">
        <v>45</v>
      </c>
      <c r="K3323" s="24">
        <v>7</v>
      </c>
      <c r="M3323" s="21"/>
      <c r="N3323" s="22"/>
      <c r="O3323" s="22"/>
      <c r="P3323" s="49"/>
      <c r="Q3323" s="49"/>
      <c r="R3323" s="188" t="str">
        <f t="shared" si="109"/>
        <v/>
      </c>
      <c r="T3323" s="21"/>
      <c r="U3323" s="22"/>
      <c r="V3323" s="24"/>
      <c r="W3323" s="24"/>
      <c r="X3323" s="24"/>
      <c r="Y3323" s="24"/>
      <c r="Z3323" s="20" t="str">
        <f t="shared" si="108"/>
        <v/>
      </c>
    </row>
    <row r="3324" spans="1:26" x14ac:dyDescent="0.2">
      <c r="A3324" s="21"/>
      <c r="B3324" s="20"/>
      <c r="C3324" s="22"/>
      <c r="D3324" s="22"/>
      <c r="E3324" s="24"/>
      <c r="F3324" s="22"/>
      <c r="H3324" s="21">
        <v>46106</v>
      </c>
      <c r="I3324" s="22" t="s">
        <v>70</v>
      </c>
      <c r="J3324" s="22" t="s">
        <v>57</v>
      </c>
      <c r="K3324" s="24">
        <v>7</v>
      </c>
      <c r="M3324" s="21"/>
      <c r="N3324" s="22"/>
      <c r="O3324" s="22"/>
      <c r="P3324" s="49"/>
      <c r="Q3324" s="49"/>
      <c r="R3324" s="188" t="str">
        <f t="shared" si="109"/>
        <v/>
      </c>
      <c r="T3324" s="21"/>
      <c r="U3324" s="22"/>
      <c r="V3324" s="24"/>
      <c r="W3324" s="24"/>
      <c r="X3324" s="24"/>
      <c r="Y3324" s="24"/>
      <c r="Z3324" s="20" t="str">
        <f t="shared" si="108"/>
        <v/>
      </c>
    </row>
    <row r="3325" spans="1:26" x14ac:dyDescent="0.2">
      <c r="A3325" s="21"/>
      <c r="B3325" s="20"/>
      <c r="C3325" s="22"/>
      <c r="D3325" s="22"/>
      <c r="E3325" s="24"/>
      <c r="F3325" s="22"/>
      <c r="H3325" s="21">
        <v>46106</v>
      </c>
      <c r="I3325" s="22" t="s">
        <v>70</v>
      </c>
      <c r="J3325" s="22" t="s">
        <v>42</v>
      </c>
      <c r="K3325" s="24">
        <v>1</v>
      </c>
      <c r="M3325" s="21"/>
      <c r="N3325" s="22"/>
      <c r="O3325" s="22"/>
      <c r="P3325" s="49"/>
      <c r="Q3325" s="49"/>
      <c r="R3325" s="188" t="str">
        <f t="shared" si="109"/>
        <v/>
      </c>
      <c r="T3325" s="21"/>
      <c r="U3325" s="22"/>
      <c r="V3325" s="24"/>
      <c r="W3325" s="24"/>
      <c r="X3325" s="24"/>
      <c r="Y3325" s="24"/>
      <c r="Z3325" s="20" t="str">
        <f t="shared" si="108"/>
        <v/>
      </c>
    </row>
    <row r="3326" spans="1:26" x14ac:dyDescent="0.2">
      <c r="A3326" s="21"/>
      <c r="B3326" s="20"/>
      <c r="C3326" s="22"/>
      <c r="D3326" s="22"/>
      <c r="E3326" s="24"/>
      <c r="F3326" s="22"/>
      <c r="H3326" s="21">
        <v>46106</v>
      </c>
      <c r="I3326" s="22" t="s">
        <v>70</v>
      </c>
      <c r="J3326" s="22" t="s">
        <v>47</v>
      </c>
      <c r="K3326" s="24">
        <v>7</v>
      </c>
      <c r="M3326" s="21"/>
      <c r="N3326" s="22"/>
      <c r="O3326" s="22"/>
      <c r="P3326" s="49"/>
      <c r="Q3326" s="49"/>
      <c r="R3326" s="188" t="str">
        <f t="shared" si="109"/>
        <v/>
      </c>
      <c r="T3326" s="21"/>
      <c r="U3326" s="22"/>
      <c r="V3326" s="24"/>
      <c r="W3326" s="24"/>
      <c r="X3326" s="24"/>
      <c r="Y3326" s="24"/>
      <c r="Z3326" s="20" t="str">
        <f t="shared" si="108"/>
        <v/>
      </c>
    </row>
    <row r="3327" spans="1:26" x14ac:dyDescent="0.2">
      <c r="A3327" s="21"/>
      <c r="B3327" s="20"/>
      <c r="C3327" s="22"/>
      <c r="D3327" s="22"/>
      <c r="E3327" s="24"/>
      <c r="F3327" s="22"/>
      <c r="H3327" s="21">
        <v>46106</v>
      </c>
      <c r="I3327" s="22" t="s">
        <v>70</v>
      </c>
      <c r="J3327" s="22" t="s">
        <v>41</v>
      </c>
      <c r="K3327" s="24">
        <v>2</v>
      </c>
      <c r="M3327" s="21"/>
      <c r="N3327" s="22"/>
      <c r="O3327" s="22"/>
      <c r="P3327" s="49"/>
      <c r="Q3327" s="49"/>
      <c r="R3327" s="188" t="str">
        <f t="shared" si="109"/>
        <v/>
      </c>
      <c r="T3327" s="21"/>
      <c r="U3327" s="22"/>
      <c r="V3327" s="24"/>
      <c r="W3327" s="24"/>
      <c r="X3327" s="24"/>
      <c r="Y3327" s="24"/>
      <c r="Z3327" s="20" t="str">
        <f t="shared" si="108"/>
        <v/>
      </c>
    </row>
    <row r="3328" spans="1:26" x14ac:dyDescent="0.2">
      <c r="A3328" s="21"/>
      <c r="B3328" s="20"/>
      <c r="C3328" s="22"/>
      <c r="D3328" s="22"/>
      <c r="E3328" s="24"/>
      <c r="F3328" s="22"/>
      <c r="H3328" s="21">
        <v>46106</v>
      </c>
      <c r="I3328" s="22" t="s">
        <v>70</v>
      </c>
      <c r="J3328" s="22" t="s">
        <v>58</v>
      </c>
      <c r="K3328" s="24">
        <v>6</v>
      </c>
      <c r="M3328" s="21"/>
      <c r="N3328" s="22"/>
      <c r="O3328" s="22"/>
      <c r="P3328" s="49"/>
      <c r="Q3328" s="49"/>
      <c r="R3328" s="188" t="str">
        <f t="shared" si="109"/>
        <v/>
      </c>
      <c r="T3328" s="21"/>
      <c r="U3328" s="22"/>
      <c r="V3328" s="24"/>
      <c r="W3328" s="24"/>
      <c r="X3328" s="24"/>
      <c r="Y3328" s="24"/>
      <c r="Z3328" s="20" t="str">
        <f t="shared" si="108"/>
        <v/>
      </c>
    </row>
    <row r="3329" spans="1:26" x14ac:dyDescent="0.2">
      <c r="A3329" s="21"/>
      <c r="B3329" s="20"/>
      <c r="C3329" s="22"/>
      <c r="D3329" s="22"/>
      <c r="E3329" s="24"/>
      <c r="F3329" s="22"/>
      <c r="H3329" s="21">
        <v>46106</v>
      </c>
      <c r="I3329" s="22" t="s">
        <v>70</v>
      </c>
      <c r="J3329" s="22" t="s">
        <v>49</v>
      </c>
      <c r="K3329" s="24" t="s">
        <v>61</v>
      </c>
      <c r="M3329" s="21"/>
      <c r="N3329" s="22"/>
      <c r="O3329" s="22"/>
      <c r="P3329" s="49"/>
      <c r="Q3329" s="49"/>
      <c r="R3329" s="188" t="str">
        <f t="shared" si="109"/>
        <v/>
      </c>
      <c r="T3329" s="21"/>
      <c r="U3329" s="22"/>
      <c r="V3329" s="24"/>
      <c r="W3329" s="24"/>
      <c r="X3329" s="24"/>
      <c r="Y3329" s="24"/>
      <c r="Z3329" s="20" t="str">
        <f t="shared" si="108"/>
        <v/>
      </c>
    </row>
    <row r="3330" spans="1:26" x14ac:dyDescent="0.2">
      <c r="A3330" s="21"/>
      <c r="B3330" s="20"/>
      <c r="C3330" s="22"/>
      <c r="D3330" s="22"/>
      <c r="E3330" s="24"/>
      <c r="F3330" s="22"/>
      <c r="H3330" s="21">
        <v>46106</v>
      </c>
      <c r="I3330" s="22" t="s">
        <v>70</v>
      </c>
      <c r="J3330" s="22" t="s">
        <v>50</v>
      </c>
      <c r="K3330" s="24">
        <v>7</v>
      </c>
      <c r="M3330" s="21"/>
      <c r="N3330" s="22"/>
      <c r="O3330" s="22"/>
      <c r="P3330" s="49"/>
      <c r="Q3330" s="49"/>
      <c r="R3330" s="188" t="str">
        <f t="shared" si="109"/>
        <v/>
      </c>
      <c r="T3330" s="21"/>
      <c r="U3330" s="22"/>
      <c r="V3330" s="24"/>
      <c r="W3330" s="24"/>
      <c r="X3330" s="24"/>
      <c r="Y3330" s="24"/>
      <c r="Z3330" s="20" t="str">
        <f t="shared" si="108"/>
        <v/>
      </c>
    </row>
    <row r="3331" spans="1:26" x14ac:dyDescent="0.2">
      <c r="A3331" s="21"/>
      <c r="B3331" s="20"/>
      <c r="C3331" s="22"/>
      <c r="D3331" s="22"/>
      <c r="E3331" s="24"/>
      <c r="F3331" s="22"/>
      <c r="H3331" s="21">
        <v>46106</v>
      </c>
      <c r="I3331" s="22" t="s">
        <v>70</v>
      </c>
      <c r="J3331" s="22" t="s">
        <v>51</v>
      </c>
      <c r="K3331" s="24">
        <v>8</v>
      </c>
      <c r="M3331" s="21"/>
      <c r="N3331" s="22"/>
      <c r="O3331" s="22"/>
      <c r="P3331" s="49"/>
      <c r="Q3331" s="49"/>
      <c r="R3331" s="188" t="str">
        <f t="shared" si="109"/>
        <v/>
      </c>
      <c r="T3331" s="21"/>
      <c r="U3331" s="22"/>
      <c r="V3331" s="24"/>
      <c r="W3331" s="24"/>
      <c r="X3331" s="24"/>
      <c r="Y3331" s="24"/>
      <c r="Z3331" s="20" t="str">
        <f t="shared" si="108"/>
        <v/>
      </c>
    </row>
    <row r="3332" spans="1:26" x14ac:dyDescent="0.2">
      <c r="A3332" s="21"/>
      <c r="B3332" s="20"/>
      <c r="C3332" s="22"/>
      <c r="D3332" s="22"/>
      <c r="E3332" s="24"/>
      <c r="F3332" s="22"/>
      <c r="H3332" s="21">
        <v>46106</v>
      </c>
      <c r="I3332" s="22" t="s">
        <v>70</v>
      </c>
      <c r="J3332" s="22" t="s">
        <v>46</v>
      </c>
      <c r="K3332" s="24">
        <v>7</v>
      </c>
      <c r="M3332" s="21"/>
      <c r="N3332" s="22"/>
      <c r="O3332" s="22"/>
      <c r="P3332" s="49"/>
      <c r="Q3332" s="49"/>
      <c r="R3332" s="188" t="str">
        <f t="shared" si="109"/>
        <v/>
      </c>
      <c r="T3332" s="21"/>
      <c r="U3332" s="22"/>
      <c r="V3332" s="24"/>
      <c r="W3332" s="24"/>
      <c r="X3332" s="24"/>
      <c r="Y3332" s="24"/>
      <c r="Z3332" s="20" t="str">
        <f t="shared" si="108"/>
        <v/>
      </c>
    </row>
    <row r="3333" spans="1:26" x14ac:dyDescent="0.2">
      <c r="A3333" s="21"/>
      <c r="B3333" s="20"/>
      <c r="C3333" s="22"/>
      <c r="D3333" s="22"/>
      <c r="E3333" s="24"/>
      <c r="F3333" s="22"/>
      <c r="H3333" s="21">
        <v>46106</v>
      </c>
      <c r="I3333" s="22" t="s">
        <v>70</v>
      </c>
      <c r="J3333" s="22" t="s">
        <v>48</v>
      </c>
      <c r="K3333" s="24" t="s">
        <v>61</v>
      </c>
      <c r="M3333" s="21"/>
      <c r="N3333" s="22"/>
      <c r="O3333" s="22"/>
      <c r="P3333" s="49"/>
      <c r="Q3333" s="49"/>
      <c r="R3333" s="188" t="str">
        <f t="shared" si="109"/>
        <v/>
      </c>
      <c r="T3333" s="21"/>
      <c r="U3333" s="22"/>
      <c r="V3333" s="24"/>
      <c r="W3333" s="24"/>
      <c r="X3333" s="24"/>
      <c r="Y3333" s="24"/>
      <c r="Z3333" s="20" t="str">
        <f t="shared" si="108"/>
        <v/>
      </c>
    </row>
    <row r="3334" spans="1:26" x14ac:dyDescent="0.2">
      <c r="A3334" s="21"/>
      <c r="B3334" s="20"/>
      <c r="C3334" s="22"/>
      <c r="D3334" s="22"/>
      <c r="E3334" s="24"/>
      <c r="F3334" s="22"/>
      <c r="H3334" s="21">
        <v>46106</v>
      </c>
      <c r="I3334" s="22" t="s">
        <v>70</v>
      </c>
      <c r="J3334" s="22" t="s">
        <v>55</v>
      </c>
      <c r="K3334" s="24">
        <v>7</v>
      </c>
      <c r="M3334" s="21"/>
      <c r="N3334" s="22"/>
      <c r="O3334" s="22"/>
      <c r="P3334" s="49"/>
      <c r="Q3334" s="49"/>
      <c r="R3334" s="188" t="str">
        <f t="shared" si="109"/>
        <v/>
      </c>
      <c r="T3334" s="21"/>
      <c r="U3334" s="22"/>
      <c r="V3334" s="24"/>
      <c r="W3334" s="24"/>
      <c r="X3334" s="24"/>
      <c r="Y3334" s="24"/>
      <c r="Z3334" s="20" t="str">
        <f t="shared" si="108"/>
        <v/>
      </c>
    </row>
    <row r="3335" spans="1:26" x14ac:dyDescent="0.2">
      <c r="A3335" s="21"/>
      <c r="B3335" s="20"/>
      <c r="C3335" s="22"/>
      <c r="D3335" s="22"/>
      <c r="E3335" s="24"/>
      <c r="F3335" s="22"/>
      <c r="H3335" s="21">
        <v>46107</v>
      </c>
      <c r="I3335" s="22" t="s">
        <v>70</v>
      </c>
      <c r="J3335" s="22" t="s">
        <v>52</v>
      </c>
      <c r="K3335" s="24">
        <v>7</v>
      </c>
      <c r="M3335" s="21"/>
      <c r="N3335" s="22"/>
      <c r="O3335" s="22"/>
      <c r="P3335" s="49"/>
      <c r="Q3335" s="49"/>
      <c r="R3335" s="188" t="str">
        <f t="shared" si="109"/>
        <v/>
      </c>
      <c r="T3335" s="21"/>
      <c r="U3335" s="22"/>
      <c r="V3335" s="24"/>
      <c r="W3335" s="24"/>
      <c r="X3335" s="24"/>
      <c r="Y3335" s="24"/>
      <c r="Z3335" s="20" t="str">
        <f t="shared" si="108"/>
        <v/>
      </c>
    </row>
    <row r="3336" spans="1:26" x14ac:dyDescent="0.2">
      <c r="A3336" s="21"/>
      <c r="B3336" s="20"/>
      <c r="C3336" s="22"/>
      <c r="D3336" s="22"/>
      <c r="E3336" s="24"/>
      <c r="F3336" s="22"/>
      <c r="H3336" s="21">
        <v>46107</v>
      </c>
      <c r="I3336" s="22" t="s">
        <v>70</v>
      </c>
      <c r="J3336" s="22" t="s">
        <v>53</v>
      </c>
      <c r="K3336" s="24">
        <v>7</v>
      </c>
      <c r="M3336" s="21"/>
      <c r="N3336" s="22"/>
      <c r="O3336" s="22"/>
      <c r="P3336" s="49"/>
      <c r="Q3336" s="49"/>
      <c r="R3336" s="188" t="str">
        <f t="shared" si="109"/>
        <v/>
      </c>
      <c r="T3336" s="21"/>
      <c r="U3336" s="22"/>
      <c r="V3336" s="24"/>
      <c r="W3336" s="24"/>
      <c r="X3336" s="24"/>
      <c r="Y3336" s="24"/>
      <c r="Z3336" s="20" t="str">
        <f t="shared" si="108"/>
        <v/>
      </c>
    </row>
    <row r="3337" spans="1:26" x14ac:dyDescent="0.2">
      <c r="A3337" s="21"/>
      <c r="B3337" s="20"/>
      <c r="C3337" s="22"/>
      <c r="D3337" s="22"/>
      <c r="E3337" s="24"/>
      <c r="F3337" s="22"/>
      <c r="H3337" s="21">
        <v>46107</v>
      </c>
      <c r="I3337" s="22" t="s">
        <v>70</v>
      </c>
      <c r="J3337" s="22" t="s">
        <v>44</v>
      </c>
      <c r="K3337" s="24">
        <v>7</v>
      </c>
      <c r="M3337" s="21"/>
      <c r="N3337" s="22"/>
      <c r="O3337" s="22"/>
      <c r="P3337" s="49"/>
      <c r="Q3337" s="49"/>
      <c r="R3337" s="188" t="str">
        <f t="shared" si="109"/>
        <v/>
      </c>
      <c r="T3337" s="21"/>
      <c r="U3337" s="22"/>
      <c r="V3337" s="24"/>
      <c r="W3337" s="24"/>
      <c r="X3337" s="24"/>
      <c r="Y3337" s="24"/>
      <c r="Z3337" s="20" t="str">
        <f t="shared" si="108"/>
        <v/>
      </c>
    </row>
    <row r="3338" spans="1:26" x14ac:dyDescent="0.2">
      <c r="A3338" s="21"/>
      <c r="B3338" s="20"/>
      <c r="C3338" s="22"/>
      <c r="D3338" s="22"/>
      <c r="E3338" s="24"/>
      <c r="F3338" s="22"/>
      <c r="H3338" s="21">
        <v>46107</v>
      </c>
      <c r="I3338" s="22" t="s">
        <v>70</v>
      </c>
      <c r="J3338" s="22" t="s">
        <v>45</v>
      </c>
      <c r="K3338" s="24">
        <v>7</v>
      </c>
      <c r="M3338" s="21"/>
      <c r="N3338" s="22"/>
      <c r="O3338" s="22"/>
      <c r="P3338" s="49"/>
      <c r="Q3338" s="49"/>
      <c r="R3338" s="188" t="str">
        <f t="shared" si="109"/>
        <v/>
      </c>
      <c r="T3338" s="21"/>
      <c r="U3338" s="22"/>
      <c r="V3338" s="24"/>
      <c r="W3338" s="24"/>
      <c r="X3338" s="24"/>
      <c r="Y3338" s="24"/>
      <c r="Z3338" s="20" t="str">
        <f t="shared" si="108"/>
        <v/>
      </c>
    </row>
    <row r="3339" spans="1:26" x14ac:dyDescent="0.2">
      <c r="A3339" s="21"/>
      <c r="B3339" s="20"/>
      <c r="C3339" s="22"/>
      <c r="D3339" s="22"/>
      <c r="E3339" s="24"/>
      <c r="F3339" s="22"/>
      <c r="H3339" s="21">
        <v>46107</v>
      </c>
      <c r="I3339" s="22" t="s">
        <v>70</v>
      </c>
      <c r="J3339" s="22" t="s">
        <v>57</v>
      </c>
      <c r="K3339" s="24">
        <v>5</v>
      </c>
      <c r="M3339" s="21"/>
      <c r="N3339" s="22"/>
      <c r="O3339" s="22"/>
      <c r="P3339" s="49"/>
      <c r="Q3339" s="49"/>
      <c r="R3339" s="188" t="str">
        <f t="shared" si="109"/>
        <v/>
      </c>
      <c r="T3339" s="21"/>
      <c r="U3339" s="22"/>
      <c r="V3339" s="24"/>
      <c r="W3339" s="24"/>
      <c r="X3339" s="24"/>
      <c r="Y3339" s="24"/>
      <c r="Z3339" s="20" t="str">
        <f t="shared" si="108"/>
        <v/>
      </c>
    </row>
    <row r="3340" spans="1:26" x14ac:dyDescent="0.2">
      <c r="A3340" s="21"/>
      <c r="B3340" s="20"/>
      <c r="C3340" s="22"/>
      <c r="D3340" s="22"/>
      <c r="E3340" s="24"/>
      <c r="F3340" s="22"/>
      <c r="H3340" s="21">
        <v>46107</v>
      </c>
      <c r="I3340" s="22" t="s">
        <v>70</v>
      </c>
      <c r="J3340" s="22" t="s">
        <v>42</v>
      </c>
      <c r="K3340" s="24">
        <v>3</v>
      </c>
      <c r="M3340" s="21"/>
      <c r="N3340" s="22"/>
      <c r="O3340" s="22"/>
      <c r="P3340" s="49"/>
      <c r="Q3340" s="49"/>
      <c r="R3340" s="188" t="str">
        <f t="shared" si="109"/>
        <v/>
      </c>
      <c r="T3340" s="21"/>
      <c r="U3340" s="22"/>
      <c r="V3340" s="24"/>
      <c r="W3340" s="24"/>
      <c r="X3340" s="24"/>
      <c r="Y3340" s="24"/>
      <c r="Z3340" s="20" t="str">
        <f t="shared" si="108"/>
        <v/>
      </c>
    </row>
    <row r="3341" spans="1:26" x14ac:dyDescent="0.2">
      <c r="A3341" s="21"/>
      <c r="B3341" s="20"/>
      <c r="C3341" s="22"/>
      <c r="D3341" s="22"/>
      <c r="E3341" s="24"/>
      <c r="F3341" s="22"/>
      <c r="H3341" s="21">
        <v>46107</v>
      </c>
      <c r="I3341" s="22" t="s">
        <v>70</v>
      </c>
      <c r="J3341" s="22" t="s">
        <v>47</v>
      </c>
      <c r="K3341" s="24">
        <v>7</v>
      </c>
      <c r="M3341" s="21"/>
      <c r="N3341" s="22"/>
      <c r="O3341" s="22"/>
      <c r="P3341" s="49"/>
      <c r="Q3341" s="49"/>
      <c r="R3341" s="188" t="str">
        <f t="shared" si="109"/>
        <v/>
      </c>
      <c r="T3341" s="21"/>
      <c r="U3341" s="22"/>
      <c r="V3341" s="24"/>
      <c r="W3341" s="24"/>
      <c r="X3341" s="24"/>
      <c r="Y3341" s="24"/>
      <c r="Z3341" s="20" t="str">
        <f t="shared" si="108"/>
        <v/>
      </c>
    </row>
    <row r="3342" spans="1:26" x14ac:dyDescent="0.2">
      <c r="A3342" s="21"/>
      <c r="B3342" s="20"/>
      <c r="C3342" s="22"/>
      <c r="D3342" s="22"/>
      <c r="E3342" s="24"/>
      <c r="F3342" s="22"/>
      <c r="H3342" s="21">
        <v>46107</v>
      </c>
      <c r="I3342" s="22" t="s">
        <v>70</v>
      </c>
      <c r="J3342" s="22" t="s">
        <v>41</v>
      </c>
      <c r="K3342" s="24">
        <v>3</v>
      </c>
      <c r="M3342" s="21"/>
      <c r="N3342" s="22"/>
      <c r="O3342" s="22"/>
      <c r="P3342" s="49"/>
      <c r="Q3342" s="49"/>
      <c r="R3342" s="188" t="str">
        <f t="shared" si="109"/>
        <v/>
      </c>
      <c r="T3342" s="21"/>
      <c r="U3342" s="22"/>
      <c r="V3342" s="24"/>
      <c r="W3342" s="24"/>
      <c r="X3342" s="24"/>
      <c r="Y3342" s="24"/>
      <c r="Z3342" s="20" t="str">
        <f t="shared" si="108"/>
        <v/>
      </c>
    </row>
    <row r="3343" spans="1:26" x14ac:dyDescent="0.2">
      <c r="A3343" s="21"/>
      <c r="B3343" s="20"/>
      <c r="C3343" s="22"/>
      <c r="D3343" s="22"/>
      <c r="E3343" s="24"/>
      <c r="F3343" s="22"/>
      <c r="H3343" s="21">
        <v>46107</v>
      </c>
      <c r="I3343" s="22" t="s">
        <v>70</v>
      </c>
      <c r="J3343" s="22" t="s">
        <v>58</v>
      </c>
      <c r="K3343" s="24">
        <v>7</v>
      </c>
      <c r="M3343" s="21"/>
      <c r="N3343" s="22"/>
      <c r="O3343" s="22"/>
      <c r="P3343" s="49"/>
      <c r="Q3343" s="49"/>
      <c r="R3343" s="188" t="str">
        <f t="shared" si="109"/>
        <v/>
      </c>
      <c r="T3343" s="21"/>
      <c r="U3343" s="22"/>
      <c r="V3343" s="24"/>
      <c r="W3343" s="24"/>
      <c r="X3343" s="24"/>
      <c r="Y3343" s="24"/>
      <c r="Z3343" s="20" t="str">
        <f t="shared" si="108"/>
        <v/>
      </c>
    </row>
    <row r="3344" spans="1:26" x14ac:dyDescent="0.2">
      <c r="A3344" s="21"/>
      <c r="B3344" s="20"/>
      <c r="C3344" s="22"/>
      <c r="D3344" s="22"/>
      <c r="E3344" s="24"/>
      <c r="F3344" s="22"/>
      <c r="H3344" s="21">
        <v>46107</v>
      </c>
      <c r="I3344" s="22" t="s">
        <v>70</v>
      </c>
      <c r="J3344" s="22" t="s">
        <v>49</v>
      </c>
      <c r="K3344" s="24">
        <v>7</v>
      </c>
      <c r="M3344" s="21"/>
      <c r="N3344" s="22"/>
      <c r="O3344" s="22"/>
      <c r="P3344" s="49"/>
      <c r="Q3344" s="49"/>
      <c r="R3344" s="188" t="str">
        <f t="shared" si="109"/>
        <v/>
      </c>
      <c r="T3344" s="21"/>
      <c r="U3344" s="22"/>
      <c r="V3344" s="24"/>
      <c r="W3344" s="24"/>
      <c r="X3344" s="24"/>
      <c r="Y3344" s="24"/>
      <c r="Z3344" s="20" t="str">
        <f t="shared" si="108"/>
        <v/>
      </c>
    </row>
    <row r="3345" spans="1:26" x14ac:dyDescent="0.2">
      <c r="A3345" s="21"/>
      <c r="B3345" s="20"/>
      <c r="C3345" s="22"/>
      <c r="D3345" s="22"/>
      <c r="E3345" s="24"/>
      <c r="F3345" s="22"/>
      <c r="H3345" s="21">
        <v>46107</v>
      </c>
      <c r="I3345" s="22" t="s">
        <v>70</v>
      </c>
      <c r="J3345" s="22" t="s">
        <v>50</v>
      </c>
      <c r="K3345" s="24">
        <v>7</v>
      </c>
      <c r="M3345" s="21"/>
      <c r="N3345" s="22"/>
      <c r="O3345" s="22"/>
      <c r="P3345" s="49"/>
      <c r="Q3345" s="49"/>
      <c r="R3345" s="188" t="str">
        <f t="shared" si="109"/>
        <v/>
      </c>
      <c r="T3345" s="21"/>
      <c r="U3345" s="22"/>
      <c r="V3345" s="24"/>
      <c r="W3345" s="24"/>
      <c r="X3345" s="24"/>
      <c r="Y3345" s="24"/>
      <c r="Z3345" s="20" t="str">
        <f t="shared" si="108"/>
        <v/>
      </c>
    </row>
    <row r="3346" spans="1:26" x14ac:dyDescent="0.2">
      <c r="A3346" s="21"/>
      <c r="B3346" s="20"/>
      <c r="C3346" s="22"/>
      <c r="D3346" s="22"/>
      <c r="E3346" s="24"/>
      <c r="F3346" s="22"/>
      <c r="H3346" s="21">
        <v>46107</v>
      </c>
      <c r="I3346" s="22" t="s">
        <v>70</v>
      </c>
      <c r="J3346" s="22" t="s">
        <v>51</v>
      </c>
      <c r="K3346" s="24">
        <v>8</v>
      </c>
      <c r="M3346" s="21"/>
      <c r="N3346" s="22"/>
      <c r="O3346" s="22"/>
      <c r="P3346" s="49"/>
      <c r="Q3346" s="49"/>
      <c r="R3346" s="188" t="str">
        <f t="shared" si="109"/>
        <v/>
      </c>
      <c r="T3346" s="21"/>
      <c r="U3346" s="22"/>
      <c r="V3346" s="24"/>
      <c r="W3346" s="24"/>
      <c r="X3346" s="24"/>
      <c r="Y3346" s="24"/>
      <c r="Z3346" s="20" t="str">
        <f t="shared" si="108"/>
        <v/>
      </c>
    </row>
    <row r="3347" spans="1:26" x14ac:dyDescent="0.2">
      <c r="A3347" s="21"/>
      <c r="B3347" s="20"/>
      <c r="C3347" s="22"/>
      <c r="D3347" s="22"/>
      <c r="E3347" s="24"/>
      <c r="F3347" s="22"/>
      <c r="H3347" s="21">
        <v>46107</v>
      </c>
      <c r="I3347" s="22" t="s">
        <v>70</v>
      </c>
      <c r="J3347" s="22" t="s">
        <v>46</v>
      </c>
      <c r="K3347" s="24">
        <v>6</v>
      </c>
      <c r="M3347" s="21"/>
      <c r="N3347" s="22"/>
      <c r="O3347" s="22"/>
      <c r="P3347" s="49"/>
      <c r="Q3347" s="49"/>
      <c r="R3347" s="188" t="str">
        <f t="shared" si="109"/>
        <v/>
      </c>
      <c r="T3347" s="21"/>
      <c r="U3347" s="22"/>
      <c r="V3347" s="24"/>
      <c r="W3347" s="24"/>
      <c r="X3347" s="24"/>
      <c r="Y3347" s="24"/>
      <c r="Z3347" s="20" t="str">
        <f t="shared" ref="Z3347:Z3410" si="110">IF(COUNT(V3347:Y3347)=0,"",SUM(V3347:Y3347))</f>
        <v/>
      </c>
    </row>
    <row r="3348" spans="1:26" x14ac:dyDescent="0.2">
      <c r="A3348" s="21"/>
      <c r="B3348" s="20"/>
      <c r="C3348" s="22"/>
      <c r="D3348" s="22"/>
      <c r="E3348" s="24"/>
      <c r="F3348" s="22"/>
      <c r="H3348" s="21">
        <v>46107</v>
      </c>
      <c r="I3348" s="22" t="s">
        <v>70</v>
      </c>
      <c r="J3348" s="22" t="s">
        <v>48</v>
      </c>
      <c r="K3348" s="24" t="s">
        <v>61</v>
      </c>
      <c r="M3348" s="21"/>
      <c r="N3348" s="22"/>
      <c r="O3348" s="22"/>
      <c r="P3348" s="49"/>
      <c r="Q3348" s="49"/>
      <c r="R3348" s="188" t="str">
        <f t="shared" si="109"/>
        <v/>
      </c>
      <c r="T3348" s="21"/>
      <c r="U3348" s="22"/>
      <c r="V3348" s="24"/>
      <c r="W3348" s="24"/>
      <c r="X3348" s="24"/>
      <c r="Y3348" s="24"/>
      <c r="Z3348" s="20" t="str">
        <f t="shared" si="110"/>
        <v/>
      </c>
    </row>
    <row r="3349" spans="1:26" x14ac:dyDescent="0.2">
      <c r="A3349" s="21"/>
      <c r="B3349" s="20"/>
      <c r="C3349" s="22"/>
      <c r="D3349" s="22"/>
      <c r="E3349" s="24"/>
      <c r="F3349" s="22"/>
      <c r="H3349" s="21">
        <v>46107</v>
      </c>
      <c r="I3349" s="22" t="s">
        <v>70</v>
      </c>
      <c r="J3349" s="22" t="s">
        <v>55</v>
      </c>
      <c r="K3349" s="24">
        <v>7</v>
      </c>
      <c r="M3349" s="21"/>
      <c r="N3349" s="22"/>
      <c r="O3349" s="22"/>
      <c r="P3349" s="49"/>
      <c r="Q3349" s="49"/>
      <c r="R3349" s="188" t="str">
        <f t="shared" si="109"/>
        <v/>
      </c>
      <c r="T3349" s="21"/>
      <c r="U3349" s="22"/>
      <c r="V3349" s="24"/>
      <c r="W3349" s="24"/>
      <c r="X3349" s="24"/>
      <c r="Y3349" s="24"/>
      <c r="Z3349" s="20" t="str">
        <f t="shared" si="110"/>
        <v/>
      </c>
    </row>
    <row r="3350" spans="1:26" x14ac:dyDescent="0.2">
      <c r="A3350" s="21"/>
      <c r="B3350" s="20"/>
      <c r="C3350" s="22"/>
      <c r="D3350" s="22"/>
      <c r="E3350" s="24"/>
      <c r="F3350" s="22"/>
      <c r="H3350" s="21">
        <v>46108</v>
      </c>
      <c r="I3350" s="22" t="s">
        <v>70</v>
      </c>
      <c r="J3350" s="22" t="s">
        <v>52</v>
      </c>
      <c r="K3350" s="24">
        <v>1</v>
      </c>
      <c r="M3350" s="21"/>
      <c r="N3350" s="22"/>
      <c r="O3350" s="22"/>
      <c r="P3350" s="49"/>
      <c r="Q3350" s="49"/>
      <c r="R3350" s="188" t="str">
        <f t="shared" ref="R3350:R3413" si="111">IF(OR(P3350="",Q3350=""),"",IFERROR(P3350-Q3350,""))</f>
        <v/>
      </c>
      <c r="T3350" s="21"/>
      <c r="U3350" s="22"/>
      <c r="V3350" s="24"/>
      <c r="W3350" s="24"/>
      <c r="X3350" s="24"/>
      <c r="Y3350" s="24"/>
      <c r="Z3350" s="20" t="str">
        <f t="shared" si="110"/>
        <v/>
      </c>
    </row>
    <row r="3351" spans="1:26" x14ac:dyDescent="0.2">
      <c r="A3351" s="21"/>
      <c r="B3351" s="20"/>
      <c r="C3351" s="22"/>
      <c r="D3351" s="22"/>
      <c r="E3351" s="24"/>
      <c r="F3351" s="22"/>
      <c r="H3351" s="21">
        <v>46108</v>
      </c>
      <c r="I3351" s="22" t="s">
        <v>70</v>
      </c>
      <c r="J3351" s="22" t="s">
        <v>53</v>
      </c>
      <c r="K3351" s="24">
        <v>2</v>
      </c>
      <c r="M3351" s="21"/>
      <c r="N3351" s="22"/>
      <c r="O3351" s="22"/>
      <c r="P3351" s="49"/>
      <c r="Q3351" s="49"/>
      <c r="R3351" s="188" t="str">
        <f t="shared" si="111"/>
        <v/>
      </c>
      <c r="T3351" s="21"/>
      <c r="U3351" s="22"/>
      <c r="V3351" s="24"/>
      <c r="W3351" s="24"/>
      <c r="X3351" s="24"/>
      <c r="Y3351" s="24"/>
      <c r="Z3351" s="20" t="str">
        <f t="shared" si="110"/>
        <v/>
      </c>
    </row>
    <row r="3352" spans="1:26" x14ac:dyDescent="0.2">
      <c r="A3352" s="21"/>
      <c r="B3352" s="20"/>
      <c r="C3352" s="22"/>
      <c r="D3352" s="22"/>
      <c r="E3352" s="24"/>
      <c r="F3352" s="22"/>
      <c r="H3352" s="21">
        <v>46108</v>
      </c>
      <c r="I3352" s="22" t="s">
        <v>70</v>
      </c>
      <c r="J3352" s="22" t="s">
        <v>44</v>
      </c>
      <c r="K3352" s="24">
        <v>1</v>
      </c>
      <c r="M3352" s="21"/>
      <c r="N3352" s="22"/>
      <c r="O3352" s="22"/>
      <c r="P3352" s="49"/>
      <c r="Q3352" s="49"/>
      <c r="R3352" s="188" t="str">
        <f t="shared" si="111"/>
        <v/>
      </c>
      <c r="T3352" s="21"/>
      <c r="U3352" s="22"/>
      <c r="V3352" s="24"/>
      <c r="W3352" s="24"/>
      <c r="X3352" s="24"/>
      <c r="Y3352" s="24"/>
      <c r="Z3352" s="20" t="str">
        <f t="shared" si="110"/>
        <v/>
      </c>
    </row>
    <row r="3353" spans="1:26" x14ac:dyDescent="0.2">
      <c r="A3353" s="21"/>
      <c r="B3353" s="20"/>
      <c r="C3353" s="22"/>
      <c r="D3353" s="22"/>
      <c r="E3353" s="24"/>
      <c r="F3353" s="22"/>
      <c r="H3353" s="21">
        <v>46108</v>
      </c>
      <c r="I3353" s="22" t="s">
        <v>70</v>
      </c>
      <c r="J3353" s="22" t="s">
        <v>45</v>
      </c>
      <c r="K3353" s="24">
        <v>3</v>
      </c>
      <c r="M3353" s="21"/>
      <c r="N3353" s="22"/>
      <c r="O3353" s="22"/>
      <c r="P3353" s="49"/>
      <c r="Q3353" s="49"/>
      <c r="R3353" s="188" t="str">
        <f t="shared" si="111"/>
        <v/>
      </c>
      <c r="T3353" s="21"/>
      <c r="U3353" s="22"/>
      <c r="V3353" s="24"/>
      <c r="W3353" s="24"/>
      <c r="X3353" s="24"/>
      <c r="Y3353" s="24"/>
      <c r="Z3353" s="20" t="str">
        <f t="shared" si="110"/>
        <v/>
      </c>
    </row>
    <row r="3354" spans="1:26" x14ac:dyDescent="0.2">
      <c r="A3354" s="21"/>
      <c r="B3354" s="20"/>
      <c r="C3354" s="22"/>
      <c r="D3354" s="22"/>
      <c r="E3354" s="24"/>
      <c r="F3354" s="22"/>
      <c r="H3354" s="21">
        <v>46108</v>
      </c>
      <c r="I3354" s="22" t="s">
        <v>70</v>
      </c>
      <c r="J3354" s="22" t="s">
        <v>57</v>
      </c>
      <c r="K3354" s="24" t="s">
        <v>61</v>
      </c>
      <c r="M3354" s="21"/>
      <c r="N3354" s="22"/>
      <c r="O3354" s="22"/>
      <c r="P3354" s="49"/>
      <c r="Q3354" s="49"/>
      <c r="R3354" s="188" t="str">
        <f t="shared" si="111"/>
        <v/>
      </c>
      <c r="T3354" s="21"/>
      <c r="U3354" s="22"/>
      <c r="V3354" s="24"/>
      <c r="W3354" s="24"/>
      <c r="X3354" s="24"/>
      <c r="Y3354" s="24"/>
      <c r="Z3354" s="20" t="str">
        <f t="shared" si="110"/>
        <v/>
      </c>
    </row>
    <row r="3355" spans="1:26" x14ac:dyDescent="0.2">
      <c r="A3355" s="21"/>
      <c r="B3355" s="20"/>
      <c r="C3355" s="22"/>
      <c r="D3355" s="22"/>
      <c r="E3355" s="24"/>
      <c r="F3355" s="22"/>
      <c r="H3355" s="21">
        <v>46108</v>
      </c>
      <c r="I3355" s="22" t="s">
        <v>70</v>
      </c>
      <c r="J3355" s="22" t="s">
        <v>42</v>
      </c>
      <c r="K3355" s="24">
        <v>1</v>
      </c>
      <c r="M3355" s="21"/>
      <c r="N3355" s="22"/>
      <c r="O3355" s="22"/>
      <c r="P3355" s="49"/>
      <c r="Q3355" s="49"/>
      <c r="R3355" s="188" t="str">
        <f t="shared" si="111"/>
        <v/>
      </c>
      <c r="T3355" s="21"/>
      <c r="U3355" s="22"/>
      <c r="V3355" s="24"/>
      <c r="W3355" s="24"/>
      <c r="X3355" s="24"/>
      <c r="Y3355" s="24"/>
      <c r="Z3355" s="20" t="str">
        <f t="shared" si="110"/>
        <v/>
      </c>
    </row>
    <row r="3356" spans="1:26" x14ac:dyDescent="0.2">
      <c r="A3356" s="21"/>
      <c r="B3356" s="20"/>
      <c r="C3356" s="22"/>
      <c r="D3356" s="22"/>
      <c r="E3356" s="24"/>
      <c r="F3356" s="22"/>
      <c r="H3356" s="21">
        <v>46108</v>
      </c>
      <c r="I3356" s="22" t="s">
        <v>70</v>
      </c>
      <c r="J3356" s="22" t="s">
        <v>47</v>
      </c>
      <c r="K3356" s="24">
        <v>4</v>
      </c>
      <c r="M3356" s="21"/>
      <c r="N3356" s="22"/>
      <c r="O3356" s="22"/>
      <c r="P3356" s="49"/>
      <c r="Q3356" s="49"/>
      <c r="R3356" s="188" t="str">
        <f t="shared" si="111"/>
        <v/>
      </c>
      <c r="T3356" s="21"/>
      <c r="U3356" s="22"/>
      <c r="V3356" s="24"/>
      <c r="W3356" s="24"/>
      <c r="X3356" s="24"/>
      <c r="Y3356" s="24"/>
      <c r="Z3356" s="20" t="str">
        <f t="shared" si="110"/>
        <v/>
      </c>
    </row>
    <row r="3357" spans="1:26" x14ac:dyDescent="0.2">
      <c r="A3357" s="21"/>
      <c r="B3357" s="20"/>
      <c r="C3357" s="22"/>
      <c r="D3357" s="22"/>
      <c r="E3357" s="24"/>
      <c r="F3357" s="22"/>
      <c r="H3357" s="21">
        <v>46108</v>
      </c>
      <c r="I3357" s="22" t="s">
        <v>70</v>
      </c>
      <c r="J3357" s="22" t="s">
        <v>41</v>
      </c>
      <c r="K3357" s="24">
        <v>1</v>
      </c>
      <c r="M3357" s="21"/>
      <c r="N3357" s="22"/>
      <c r="O3357" s="22"/>
      <c r="P3357" s="49"/>
      <c r="Q3357" s="49"/>
      <c r="R3357" s="188" t="str">
        <f t="shared" si="111"/>
        <v/>
      </c>
      <c r="T3357" s="21"/>
      <c r="U3357" s="22"/>
      <c r="V3357" s="24"/>
      <c r="W3357" s="24"/>
      <c r="X3357" s="24"/>
      <c r="Y3357" s="24"/>
      <c r="Z3357" s="20" t="str">
        <f t="shared" si="110"/>
        <v/>
      </c>
    </row>
    <row r="3358" spans="1:26" x14ac:dyDescent="0.2">
      <c r="A3358" s="21"/>
      <c r="B3358" s="20"/>
      <c r="C3358" s="22"/>
      <c r="D3358" s="22"/>
      <c r="E3358" s="24"/>
      <c r="F3358" s="22"/>
      <c r="H3358" s="21">
        <v>46108</v>
      </c>
      <c r="I3358" s="22" t="s">
        <v>70</v>
      </c>
      <c r="J3358" s="22" t="s">
        <v>58</v>
      </c>
      <c r="K3358" s="24">
        <v>5</v>
      </c>
      <c r="M3358" s="21"/>
      <c r="N3358" s="22"/>
      <c r="O3358" s="22"/>
      <c r="P3358" s="49"/>
      <c r="Q3358" s="49"/>
      <c r="R3358" s="188" t="str">
        <f t="shared" si="111"/>
        <v/>
      </c>
      <c r="T3358" s="21"/>
      <c r="U3358" s="22"/>
      <c r="V3358" s="24"/>
      <c r="W3358" s="24"/>
      <c r="X3358" s="24"/>
      <c r="Y3358" s="24"/>
      <c r="Z3358" s="20" t="str">
        <f t="shared" si="110"/>
        <v/>
      </c>
    </row>
    <row r="3359" spans="1:26" x14ac:dyDescent="0.2">
      <c r="A3359" s="21"/>
      <c r="B3359" s="20"/>
      <c r="C3359" s="22"/>
      <c r="D3359" s="22"/>
      <c r="E3359" s="24"/>
      <c r="F3359" s="22"/>
      <c r="H3359" s="21">
        <v>46108</v>
      </c>
      <c r="I3359" s="22" t="s">
        <v>70</v>
      </c>
      <c r="J3359" s="22" t="s">
        <v>49</v>
      </c>
      <c r="K3359" s="24">
        <v>3</v>
      </c>
      <c r="M3359" s="21"/>
      <c r="N3359" s="22"/>
      <c r="O3359" s="22"/>
      <c r="P3359" s="49"/>
      <c r="Q3359" s="49"/>
      <c r="R3359" s="188" t="str">
        <f t="shared" si="111"/>
        <v/>
      </c>
      <c r="T3359" s="21"/>
      <c r="U3359" s="22"/>
      <c r="V3359" s="24"/>
      <c r="W3359" s="24"/>
      <c r="X3359" s="24"/>
      <c r="Y3359" s="24"/>
      <c r="Z3359" s="20" t="str">
        <f t="shared" si="110"/>
        <v/>
      </c>
    </row>
    <row r="3360" spans="1:26" x14ac:dyDescent="0.2">
      <c r="A3360" s="21"/>
      <c r="B3360" s="20"/>
      <c r="C3360" s="22"/>
      <c r="D3360" s="22"/>
      <c r="E3360" s="24"/>
      <c r="F3360" s="22"/>
      <c r="H3360" s="21">
        <v>46108</v>
      </c>
      <c r="I3360" s="22" t="s">
        <v>70</v>
      </c>
      <c r="J3360" s="22" t="s">
        <v>50</v>
      </c>
      <c r="K3360" s="24">
        <v>5</v>
      </c>
      <c r="M3360" s="21"/>
      <c r="N3360" s="22"/>
      <c r="O3360" s="22"/>
      <c r="P3360" s="49"/>
      <c r="Q3360" s="49"/>
      <c r="R3360" s="188" t="str">
        <f t="shared" si="111"/>
        <v/>
      </c>
      <c r="T3360" s="21"/>
      <c r="U3360" s="22"/>
      <c r="V3360" s="24"/>
      <c r="W3360" s="24"/>
      <c r="X3360" s="24"/>
      <c r="Y3360" s="24"/>
      <c r="Z3360" s="20" t="str">
        <f t="shared" si="110"/>
        <v/>
      </c>
    </row>
    <row r="3361" spans="1:26" x14ac:dyDescent="0.2">
      <c r="A3361" s="21"/>
      <c r="B3361" s="20"/>
      <c r="C3361" s="22"/>
      <c r="D3361" s="22"/>
      <c r="E3361" s="24"/>
      <c r="F3361" s="22"/>
      <c r="H3361" s="21">
        <v>46108</v>
      </c>
      <c r="I3361" s="22" t="s">
        <v>70</v>
      </c>
      <c r="J3361" s="22" t="s">
        <v>51</v>
      </c>
      <c r="K3361" s="24">
        <v>3</v>
      </c>
      <c r="M3361" s="21"/>
      <c r="N3361" s="22"/>
      <c r="O3361" s="22"/>
      <c r="P3361" s="49"/>
      <c r="Q3361" s="49"/>
      <c r="R3361" s="188" t="str">
        <f t="shared" si="111"/>
        <v/>
      </c>
      <c r="T3361" s="21"/>
      <c r="U3361" s="22"/>
      <c r="V3361" s="24"/>
      <c r="W3361" s="24"/>
      <c r="X3361" s="24"/>
      <c r="Y3361" s="24"/>
      <c r="Z3361" s="20" t="str">
        <f t="shared" si="110"/>
        <v/>
      </c>
    </row>
    <row r="3362" spans="1:26" x14ac:dyDescent="0.2">
      <c r="A3362" s="21"/>
      <c r="B3362" s="20"/>
      <c r="C3362" s="22"/>
      <c r="D3362" s="22"/>
      <c r="E3362" s="24"/>
      <c r="F3362" s="22"/>
      <c r="H3362" s="21">
        <v>46108</v>
      </c>
      <c r="I3362" s="22" t="s">
        <v>70</v>
      </c>
      <c r="J3362" s="22" t="s">
        <v>46</v>
      </c>
      <c r="K3362" s="24">
        <v>4</v>
      </c>
      <c r="M3362" s="21"/>
      <c r="N3362" s="22"/>
      <c r="O3362" s="22"/>
      <c r="P3362" s="49"/>
      <c r="Q3362" s="49"/>
      <c r="R3362" s="188" t="str">
        <f t="shared" si="111"/>
        <v/>
      </c>
      <c r="T3362" s="21"/>
      <c r="U3362" s="22"/>
      <c r="V3362" s="24"/>
      <c r="W3362" s="24"/>
      <c r="X3362" s="24"/>
      <c r="Y3362" s="24"/>
      <c r="Z3362" s="20" t="str">
        <f t="shared" si="110"/>
        <v/>
      </c>
    </row>
    <row r="3363" spans="1:26" x14ac:dyDescent="0.2">
      <c r="A3363" s="21"/>
      <c r="B3363" s="20"/>
      <c r="C3363" s="22"/>
      <c r="D3363" s="22"/>
      <c r="E3363" s="24"/>
      <c r="F3363" s="22"/>
      <c r="H3363" s="21">
        <v>46108</v>
      </c>
      <c r="I3363" s="22" t="s">
        <v>70</v>
      </c>
      <c r="J3363" s="22" t="s">
        <v>48</v>
      </c>
      <c r="K3363" s="24" t="s">
        <v>61</v>
      </c>
      <c r="M3363" s="21"/>
      <c r="N3363" s="22"/>
      <c r="O3363" s="22"/>
      <c r="P3363" s="49"/>
      <c r="Q3363" s="49"/>
      <c r="R3363" s="188" t="str">
        <f t="shared" si="111"/>
        <v/>
      </c>
      <c r="T3363" s="21"/>
      <c r="U3363" s="22"/>
      <c r="V3363" s="24"/>
      <c r="W3363" s="24"/>
      <c r="X3363" s="24"/>
      <c r="Y3363" s="24"/>
      <c r="Z3363" s="20" t="str">
        <f t="shared" si="110"/>
        <v/>
      </c>
    </row>
    <row r="3364" spans="1:26" x14ac:dyDescent="0.2">
      <c r="A3364" s="21"/>
      <c r="B3364" s="20"/>
      <c r="C3364" s="22"/>
      <c r="D3364" s="22"/>
      <c r="E3364" s="24"/>
      <c r="F3364" s="22"/>
      <c r="H3364" s="21">
        <v>46108</v>
      </c>
      <c r="I3364" s="22" t="s">
        <v>70</v>
      </c>
      <c r="J3364" s="22" t="s">
        <v>55</v>
      </c>
      <c r="K3364" s="24">
        <v>6</v>
      </c>
      <c r="M3364" s="21"/>
      <c r="N3364" s="22"/>
      <c r="O3364" s="22"/>
      <c r="P3364" s="49"/>
      <c r="Q3364" s="49"/>
      <c r="R3364" s="188" t="str">
        <f t="shared" si="111"/>
        <v/>
      </c>
      <c r="T3364" s="21"/>
      <c r="U3364" s="22"/>
      <c r="V3364" s="24"/>
      <c r="W3364" s="24"/>
      <c r="X3364" s="24"/>
      <c r="Y3364" s="24"/>
      <c r="Z3364" s="20" t="str">
        <f t="shared" si="110"/>
        <v/>
      </c>
    </row>
    <row r="3365" spans="1:26" x14ac:dyDescent="0.2">
      <c r="A3365" s="21"/>
      <c r="B3365" s="20"/>
      <c r="C3365" s="22"/>
      <c r="D3365" s="22"/>
      <c r="E3365" s="24"/>
      <c r="F3365" s="22"/>
      <c r="H3365" s="21">
        <v>46109</v>
      </c>
      <c r="I3365" s="22" t="s">
        <v>70</v>
      </c>
      <c r="J3365" s="22" t="s">
        <v>52</v>
      </c>
      <c r="K3365" s="24">
        <v>2</v>
      </c>
      <c r="M3365" s="21"/>
      <c r="N3365" s="22"/>
      <c r="O3365" s="22"/>
      <c r="P3365" s="49"/>
      <c r="Q3365" s="49"/>
      <c r="R3365" s="188" t="str">
        <f t="shared" si="111"/>
        <v/>
      </c>
      <c r="T3365" s="21"/>
      <c r="U3365" s="22"/>
      <c r="V3365" s="24"/>
      <c r="W3365" s="24"/>
      <c r="X3365" s="24"/>
      <c r="Y3365" s="24"/>
      <c r="Z3365" s="20" t="str">
        <f t="shared" si="110"/>
        <v/>
      </c>
    </row>
    <row r="3366" spans="1:26" x14ac:dyDescent="0.2">
      <c r="A3366" s="21"/>
      <c r="B3366" s="20"/>
      <c r="C3366" s="22"/>
      <c r="D3366" s="22"/>
      <c r="E3366" s="24"/>
      <c r="F3366" s="22"/>
      <c r="H3366" s="21">
        <v>46109</v>
      </c>
      <c r="I3366" s="22" t="s">
        <v>70</v>
      </c>
      <c r="J3366" s="22" t="s">
        <v>53</v>
      </c>
      <c r="K3366" s="24">
        <v>9</v>
      </c>
      <c r="M3366" s="21"/>
      <c r="N3366" s="22"/>
      <c r="O3366" s="22"/>
      <c r="P3366" s="49"/>
      <c r="Q3366" s="49"/>
      <c r="R3366" s="188" t="str">
        <f t="shared" si="111"/>
        <v/>
      </c>
      <c r="T3366" s="21"/>
      <c r="U3366" s="22"/>
      <c r="V3366" s="24"/>
      <c r="W3366" s="24"/>
      <c r="X3366" s="24"/>
      <c r="Y3366" s="24"/>
      <c r="Z3366" s="20" t="str">
        <f t="shared" si="110"/>
        <v/>
      </c>
    </row>
    <row r="3367" spans="1:26" x14ac:dyDescent="0.2">
      <c r="A3367" s="21"/>
      <c r="B3367" s="20"/>
      <c r="C3367" s="22"/>
      <c r="D3367" s="22"/>
      <c r="E3367" s="24"/>
      <c r="F3367" s="22"/>
      <c r="H3367" s="21">
        <v>46109</v>
      </c>
      <c r="I3367" s="22" t="s">
        <v>70</v>
      </c>
      <c r="J3367" s="22" t="s">
        <v>44</v>
      </c>
      <c r="K3367" s="24">
        <v>7</v>
      </c>
      <c r="M3367" s="21"/>
      <c r="N3367" s="22"/>
      <c r="O3367" s="22"/>
      <c r="P3367" s="49"/>
      <c r="Q3367" s="49"/>
      <c r="R3367" s="188" t="str">
        <f t="shared" si="111"/>
        <v/>
      </c>
      <c r="T3367" s="21"/>
      <c r="U3367" s="22"/>
      <c r="V3367" s="24"/>
      <c r="W3367" s="24"/>
      <c r="X3367" s="24"/>
      <c r="Y3367" s="24"/>
      <c r="Z3367" s="20" t="str">
        <f t="shared" si="110"/>
        <v/>
      </c>
    </row>
    <row r="3368" spans="1:26" x14ac:dyDescent="0.2">
      <c r="A3368" s="21"/>
      <c r="B3368" s="20"/>
      <c r="C3368" s="22"/>
      <c r="D3368" s="22"/>
      <c r="E3368" s="24"/>
      <c r="F3368" s="22"/>
      <c r="H3368" s="21">
        <v>46109</v>
      </c>
      <c r="I3368" s="22" t="s">
        <v>70</v>
      </c>
      <c r="J3368" s="22" t="s">
        <v>45</v>
      </c>
      <c r="K3368" s="24">
        <v>3</v>
      </c>
      <c r="M3368" s="21"/>
      <c r="N3368" s="22"/>
      <c r="O3368" s="22"/>
      <c r="P3368" s="49"/>
      <c r="Q3368" s="49"/>
      <c r="R3368" s="188" t="str">
        <f t="shared" si="111"/>
        <v/>
      </c>
      <c r="T3368" s="21"/>
      <c r="U3368" s="22"/>
      <c r="V3368" s="24"/>
      <c r="W3368" s="24"/>
      <c r="X3368" s="24"/>
      <c r="Y3368" s="24"/>
      <c r="Z3368" s="20" t="str">
        <f t="shared" si="110"/>
        <v/>
      </c>
    </row>
    <row r="3369" spans="1:26" x14ac:dyDescent="0.2">
      <c r="A3369" s="21"/>
      <c r="B3369" s="20"/>
      <c r="C3369" s="22"/>
      <c r="D3369" s="22"/>
      <c r="E3369" s="24"/>
      <c r="F3369" s="22"/>
      <c r="H3369" s="21">
        <v>46109</v>
      </c>
      <c r="I3369" s="22" t="s">
        <v>70</v>
      </c>
      <c r="J3369" s="22" t="s">
        <v>57</v>
      </c>
      <c r="K3369" s="24" t="s">
        <v>61</v>
      </c>
      <c r="M3369" s="21"/>
      <c r="N3369" s="22"/>
      <c r="O3369" s="22"/>
      <c r="P3369" s="49"/>
      <c r="Q3369" s="49"/>
      <c r="R3369" s="188" t="str">
        <f t="shared" si="111"/>
        <v/>
      </c>
      <c r="T3369" s="21"/>
      <c r="U3369" s="22"/>
      <c r="V3369" s="24"/>
      <c r="W3369" s="24"/>
      <c r="X3369" s="24"/>
      <c r="Y3369" s="24"/>
      <c r="Z3369" s="20" t="str">
        <f t="shared" si="110"/>
        <v/>
      </c>
    </row>
    <row r="3370" spans="1:26" x14ac:dyDescent="0.2">
      <c r="A3370" s="21"/>
      <c r="B3370" s="20"/>
      <c r="C3370" s="22"/>
      <c r="D3370" s="22"/>
      <c r="E3370" s="24"/>
      <c r="F3370" s="22"/>
      <c r="H3370" s="21">
        <v>46109</v>
      </c>
      <c r="I3370" s="22" t="s">
        <v>70</v>
      </c>
      <c r="J3370" s="22" t="s">
        <v>42</v>
      </c>
      <c r="K3370" s="24" t="s">
        <v>63</v>
      </c>
      <c r="M3370" s="21"/>
      <c r="N3370" s="22"/>
      <c r="O3370" s="22"/>
      <c r="P3370" s="49"/>
      <c r="Q3370" s="49"/>
      <c r="R3370" s="188" t="str">
        <f t="shared" si="111"/>
        <v/>
      </c>
      <c r="T3370" s="21"/>
      <c r="U3370" s="22"/>
      <c r="V3370" s="24"/>
      <c r="W3370" s="24"/>
      <c r="X3370" s="24"/>
      <c r="Y3370" s="24"/>
      <c r="Z3370" s="20" t="str">
        <f t="shared" si="110"/>
        <v/>
      </c>
    </row>
    <row r="3371" spans="1:26" x14ac:dyDescent="0.2">
      <c r="A3371" s="21"/>
      <c r="B3371" s="20"/>
      <c r="C3371" s="22"/>
      <c r="D3371" s="22"/>
      <c r="E3371" s="24"/>
      <c r="F3371" s="22"/>
      <c r="H3371" s="21">
        <v>46109</v>
      </c>
      <c r="I3371" s="22" t="s">
        <v>70</v>
      </c>
      <c r="J3371" s="22" t="s">
        <v>47</v>
      </c>
      <c r="K3371" s="24">
        <v>5</v>
      </c>
      <c r="M3371" s="21"/>
      <c r="N3371" s="22"/>
      <c r="O3371" s="22"/>
      <c r="P3371" s="49"/>
      <c r="Q3371" s="49"/>
      <c r="R3371" s="188" t="str">
        <f t="shared" si="111"/>
        <v/>
      </c>
      <c r="T3371" s="21"/>
      <c r="U3371" s="22"/>
      <c r="V3371" s="24"/>
      <c r="W3371" s="24"/>
      <c r="X3371" s="24"/>
      <c r="Y3371" s="24"/>
      <c r="Z3371" s="20" t="str">
        <f t="shared" si="110"/>
        <v/>
      </c>
    </row>
    <row r="3372" spans="1:26" x14ac:dyDescent="0.2">
      <c r="A3372" s="21"/>
      <c r="B3372" s="20"/>
      <c r="C3372" s="22"/>
      <c r="D3372" s="22"/>
      <c r="E3372" s="24"/>
      <c r="F3372" s="22"/>
      <c r="H3372" s="21">
        <v>46109</v>
      </c>
      <c r="I3372" s="22" t="s">
        <v>70</v>
      </c>
      <c r="J3372" s="22" t="s">
        <v>41</v>
      </c>
      <c r="K3372" s="24">
        <v>7</v>
      </c>
      <c r="M3372" s="21"/>
      <c r="N3372" s="22"/>
      <c r="O3372" s="22"/>
      <c r="P3372" s="49"/>
      <c r="Q3372" s="49"/>
      <c r="R3372" s="188" t="str">
        <f t="shared" si="111"/>
        <v/>
      </c>
      <c r="T3372" s="21"/>
      <c r="U3372" s="22"/>
      <c r="V3372" s="24"/>
      <c r="W3372" s="24"/>
      <c r="X3372" s="24"/>
      <c r="Y3372" s="24"/>
      <c r="Z3372" s="20" t="str">
        <f t="shared" si="110"/>
        <v/>
      </c>
    </row>
    <row r="3373" spans="1:26" x14ac:dyDescent="0.2">
      <c r="A3373" s="21"/>
      <c r="B3373" s="20"/>
      <c r="C3373" s="22"/>
      <c r="D3373" s="22"/>
      <c r="E3373" s="24"/>
      <c r="F3373" s="22"/>
      <c r="H3373" s="21">
        <v>46109</v>
      </c>
      <c r="I3373" s="22" t="s">
        <v>70</v>
      </c>
      <c r="J3373" s="22" t="s">
        <v>58</v>
      </c>
      <c r="K3373" s="24">
        <v>9</v>
      </c>
      <c r="M3373" s="21"/>
      <c r="N3373" s="22"/>
      <c r="O3373" s="22"/>
      <c r="P3373" s="49"/>
      <c r="Q3373" s="49"/>
      <c r="R3373" s="188" t="str">
        <f t="shared" si="111"/>
        <v/>
      </c>
      <c r="T3373" s="21"/>
      <c r="U3373" s="22"/>
      <c r="V3373" s="24"/>
      <c r="W3373" s="24"/>
      <c r="X3373" s="24"/>
      <c r="Y3373" s="24"/>
      <c r="Z3373" s="20" t="str">
        <f t="shared" si="110"/>
        <v/>
      </c>
    </row>
    <row r="3374" spans="1:26" x14ac:dyDescent="0.2">
      <c r="A3374" s="21"/>
      <c r="B3374" s="20"/>
      <c r="C3374" s="22"/>
      <c r="D3374" s="22"/>
      <c r="E3374" s="24"/>
      <c r="F3374" s="22"/>
      <c r="H3374" s="21">
        <v>46109</v>
      </c>
      <c r="I3374" s="22" t="s">
        <v>70</v>
      </c>
      <c r="J3374" s="22" t="s">
        <v>49</v>
      </c>
      <c r="K3374" s="24">
        <v>8</v>
      </c>
      <c r="M3374" s="21"/>
      <c r="N3374" s="22"/>
      <c r="O3374" s="22"/>
      <c r="P3374" s="49"/>
      <c r="Q3374" s="49"/>
      <c r="R3374" s="188" t="str">
        <f t="shared" si="111"/>
        <v/>
      </c>
      <c r="T3374" s="21"/>
      <c r="U3374" s="22"/>
      <c r="V3374" s="24"/>
      <c r="W3374" s="24"/>
      <c r="X3374" s="24"/>
      <c r="Y3374" s="24"/>
      <c r="Z3374" s="20" t="str">
        <f t="shared" si="110"/>
        <v/>
      </c>
    </row>
    <row r="3375" spans="1:26" x14ac:dyDescent="0.2">
      <c r="A3375" s="21"/>
      <c r="B3375" s="20"/>
      <c r="C3375" s="22"/>
      <c r="D3375" s="22"/>
      <c r="E3375" s="24"/>
      <c r="F3375" s="22"/>
      <c r="H3375" s="21">
        <v>46109</v>
      </c>
      <c r="I3375" s="22" t="s">
        <v>70</v>
      </c>
      <c r="J3375" s="22" t="s">
        <v>50</v>
      </c>
      <c r="K3375" s="24">
        <v>9</v>
      </c>
      <c r="M3375" s="21"/>
      <c r="N3375" s="22"/>
      <c r="O3375" s="22"/>
      <c r="P3375" s="49"/>
      <c r="Q3375" s="49"/>
      <c r="R3375" s="188" t="str">
        <f t="shared" si="111"/>
        <v/>
      </c>
      <c r="T3375" s="21"/>
      <c r="U3375" s="22"/>
      <c r="V3375" s="24"/>
      <c r="W3375" s="24"/>
      <c r="X3375" s="24"/>
      <c r="Y3375" s="24"/>
      <c r="Z3375" s="20" t="str">
        <f t="shared" si="110"/>
        <v/>
      </c>
    </row>
    <row r="3376" spans="1:26" x14ac:dyDescent="0.2">
      <c r="A3376" s="21"/>
      <c r="B3376" s="20"/>
      <c r="C3376" s="22"/>
      <c r="D3376" s="22"/>
      <c r="E3376" s="24"/>
      <c r="F3376" s="22"/>
      <c r="H3376" s="21">
        <v>46109</v>
      </c>
      <c r="I3376" s="22" t="s">
        <v>70</v>
      </c>
      <c r="J3376" s="22" t="s">
        <v>51</v>
      </c>
      <c r="K3376" s="24">
        <v>6</v>
      </c>
      <c r="M3376" s="21"/>
      <c r="N3376" s="22"/>
      <c r="O3376" s="22"/>
      <c r="P3376" s="49"/>
      <c r="Q3376" s="49"/>
      <c r="R3376" s="188" t="str">
        <f t="shared" si="111"/>
        <v/>
      </c>
      <c r="T3376" s="21"/>
      <c r="U3376" s="22"/>
      <c r="V3376" s="24"/>
      <c r="W3376" s="24"/>
      <c r="X3376" s="24"/>
      <c r="Y3376" s="24"/>
      <c r="Z3376" s="20" t="str">
        <f t="shared" si="110"/>
        <v/>
      </c>
    </row>
    <row r="3377" spans="1:26" x14ac:dyDescent="0.2">
      <c r="A3377" s="21"/>
      <c r="B3377" s="20"/>
      <c r="C3377" s="22"/>
      <c r="D3377" s="22"/>
      <c r="E3377" s="24"/>
      <c r="F3377" s="22"/>
      <c r="H3377" s="21">
        <v>46109</v>
      </c>
      <c r="I3377" s="22" t="s">
        <v>70</v>
      </c>
      <c r="J3377" s="22" t="s">
        <v>46</v>
      </c>
      <c r="K3377" s="24">
        <v>10</v>
      </c>
      <c r="M3377" s="21"/>
      <c r="N3377" s="22"/>
      <c r="O3377" s="22"/>
      <c r="P3377" s="49"/>
      <c r="Q3377" s="49"/>
      <c r="R3377" s="188" t="str">
        <f t="shared" si="111"/>
        <v/>
      </c>
      <c r="T3377" s="21"/>
      <c r="U3377" s="22"/>
      <c r="V3377" s="24"/>
      <c r="W3377" s="24"/>
      <c r="X3377" s="24"/>
      <c r="Y3377" s="24"/>
      <c r="Z3377" s="20" t="str">
        <f t="shared" si="110"/>
        <v/>
      </c>
    </row>
    <row r="3378" spans="1:26" x14ac:dyDescent="0.2">
      <c r="A3378" s="21"/>
      <c r="B3378" s="20"/>
      <c r="C3378" s="22"/>
      <c r="D3378" s="22"/>
      <c r="E3378" s="24"/>
      <c r="F3378" s="22"/>
      <c r="H3378" s="21">
        <v>46109</v>
      </c>
      <c r="I3378" s="22" t="s">
        <v>70</v>
      </c>
      <c r="J3378" s="22" t="s">
        <v>48</v>
      </c>
      <c r="K3378" s="24" t="s">
        <v>61</v>
      </c>
      <c r="M3378" s="21"/>
      <c r="N3378" s="22"/>
      <c r="O3378" s="22"/>
      <c r="P3378" s="49"/>
      <c r="Q3378" s="49"/>
      <c r="R3378" s="188" t="str">
        <f t="shared" si="111"/>
        <v/>
      </c>
      <c r="T3378" s="21"/>
      <c r="U3378" s="22"/>
      <c r="V3378" s="24"/>
      <c r="W3378" s="24"/>
      <c r="X3378" s="24"/>
      <c r="Y3378" s="24"/>
      <c r="Z3378" s="20" t="str">
        <f t="shared" si="110"/>
        <v/>
      </c>
    </row>
    <row r="3379" spans="1:26" x14ac:dyDescent="0.2">
      <c r="A3379" s="21"/>
      <c r="B3379" s="20"/>
      <c r="C3379" s="22"/>
      <c r="D3379" s="22"/>
      <c r="E3379" s="24"/>
      <c r="F3379" s="22"/>
      <c r="H3379" s="21">
        <v>46109</v>
      </c>
      <c r="I3379" s="22" t="s">
        <v>70</v>
      </c>
      <c r="J3379" s="22" t="s">
        <v>55</v>
      </c>
      <c r="K3379" s="24">
        <v>3</v>
      </c>
      <c r="M3379" s="21"/>
      <c r="N3379" s="22"/>
      <c r="O3379" s="22"/>
      <c r="P3379" s="49"/>
      <c r="Q3379" s="49"/>
      <c r="R3379" s="188" t="str">
        <f t="shared" si="111"/>
        <v/>
      </c>
      <c r="T3379" s="21"/>
      <c r="U3379" s="22"/>
      <c r="V3379" s="24"/>
      <c r="W3379" s="24"/>
      <c r="X3379" s="24"/>
      <c r="Y3379" s="24"/>
      <c r="Z3379" s="20" t="str">
        <f t="shared" si="110"/>
        <v/>
      </c>
    </row>
    <row r="3380" spans="1:26" x14ac:dyDescent="0.2">
      <c r="A3380" s="21"/>
      <c r="B3380" s="20"/>
      <c r="C3380" s="22"/>
      <c r="D3380" s="22"/>
      <c r="E3380" s="24"/>
      <c r="F3380" s="22"/>
      <c r="H3380" s="21">
        <v>46111</v>
      </c>
      <c r="I3380" s="22" t="s">
        <v>70</v>
      </c>
      <c r="J3380" s="22" t="s">
        <v>52</v>
      </c>
      <c r="K3380" s="24">
        <v>6</v>
      </c>
      <c r="M3380" s="21"/>
      <c r="N3380" s="22"/>
      <c r="O3380" s="22"/>
      <c r="P3380" s="49"/>
      <c r="Q3380" s="49"/>
      <c r="R3380" s="188" t="str">
        <f t="shared" si="111"/>
        <v/>
      </c>
      <c r="T3380" s="21"/>
      <c r="U3380" s="22"/>
      <c r="V3380" s="24"/>
      <c r="W3380" s="24"/>
      <c r="X3380" s="24"/>
      <c r="Y3380" s="24"/>
      <c r="Z3380" s="20" t="str">
        <f t="shared" si="110"/>
        <v/>
      </c>
    </row>
    <row r="3381" spans="1:26" x14ac:dyDescent="0.2">
      <c r="A3381" s="21"/>
      <c r="B3381" s="20"/>
      <c r="C3381" s="22"/>
      <c r="D3381" s="22"/>
      <c r="E3381" s="24"/>
      <c r="F3381" s="22"/>
      <c r="H3381" s="21">
        <v>46111</v>
      </c>
      <c r="I3381" s="22" t="s">
        <v>70</v>
      </c>
      <c r="J3381" s="22" t="s">
        <v>53</v>
      </c>
      <c r="K3381" s="24" t="s">
        <v>61</v>
      </c>
      <c r="M3381" s="21"/>
      <c r="N3381" s="22"/>
      <c r="O3381" s="22"/>
      <c r="P3381" s="49"/>
      <c r="Q3381" s="49"/>
      <c r="R3381" s="188" t="str">
        <f t="shared" si="111"/>
        <v/>
      </c>
      <c r="T3381" s="21"/>
      <c r="U3381" s="22"/>
      <c r="V3381" s="24"/>
      <c r="W3381" s="24"/>
      <c r="X3381" s="24"/>
      <c r="Y3381" s="24"/>
      <c r="Z3381" s="20" t="str">
        <f t="shared" si="110"/>
        <v/>
      </c>
    </row>
    <row r="3382" spans="1:26" x14ac:dyDescent="0.2">
      <c r="A3382" s="21"/>
      <c r="B3382" s="20"/>
      <c r="C3382" s="22"/>
      <c r="D3382" s="22"/>
      <c r="E3382" s="24"/>
      <c r="F3382" s="22"/>
      <c r="H3382" s="21">
        <v>46111</v>
      </c>
      <c r="I3382" s="22" t="s">
        <v>70</v>
      </c>
      <c r="J3382" s="22" t="s">
        <v>44</v>
      </c>
      <c r="K3382" s="24">
        <v>5</v>
      </c>
      <c r="M3382" s="21"/>
      <c r="N3382" s="22"/>
      <c r="O3382" s="22"/>
      <c r="P3382" s="49"/>
      <c r="Q3382" s="49"/>
      <c r="R3382" s="188" t="str">
        <f t="shared" si="111"/>
        <v/>
      </c>
      <c r="T3382" s="21"/>
      <c r="U3382" s="22"/>
      <c r="V3382" s="24"/>
      <c r="W3382" s="24"/>
      <c r="X3382" s="24"/>
      <c r="Y3382" s="24"/>
      <c r="Z3382" s="20" t="str">
        <f t="shared" si="110"/>
        <v/>
      </c>
    </row>
    <row r="3383" spans="1:26" x14ac:dyDescent="0.2">
      <c r="A3383" s="21"/>
      <c r="B3383" s="20"/>
      <c r="C3383" s="22"/>
      <c r="D3383" s="22"/>
      <c r="E3383" s="24"/>
      <c r="F3383" s="22"/>
      <c r="H3383" s="21">
        <v>46111</v>
      </c>
      <c r="I3383" s="22" t="s">
        <v>70</v>
      </c>
      <c r="J3383" s="22" t="s">
        <v>45</v>
      </c>
      <c r="K3383" s="24">
        <v>4</v>
      </c>
      <c r="M3383" s="21"/>
      <c r="N3383" s="22"/>
      <c r="O3383" s="22"/>
      <c r="P3383" s="49"/>
      <c r="Q3383" s="49"/>
      <c r="R3383" s="188" t="str">
        <f t="shared" si="111"/>
        <v/>
      </c>
      <c r="T3383" s="21"/>
      <c r="U3383" s="22"/>
      <c r="V3383" s="24"/>
      <c r="W3383" s="24"/>
      <c r="X3383" s="24"/>
      <c r="Y3383" s="24"/>
      <c r="Z3383" s="20" t="str">
        <f t="shared" si="110"/>
        <v/>
      </c>
    </row>
    <row r="3384" spans="1:26" x14ac:dyDescent="0.2">
      <c r="A3384" s="21"/>
      <c r="B3384" s="20"/>
      <c r="C3384" s="22"/>
      <c r="D3384" s="22"/>
      <c r="E3384" s="24"/>
      <c r="F3384" s="22"/>
      <c r="H3384" s="21">
        <v>46111</v>
      </c>
      <c r="I3384" s="22" t="s">
        <v>70</v>
      </c>
      <c r="J3384" s="22" t="s">
        <v>57</v>
      </c>
      <c r="K3384" s="24" t="s">
        <v>61</v>
      </c>
      <c r="M3384" s="21"/>
      <c r="N3384" s="22"/>
      <c r="O3384" s="22"/>
      <c r="P3384" s="49"/>
      <c r="Q3384" s="49"/>
      <c r="R3384" s="188" t="str">
        <f t="shared" si="111"/>
        <v/>
      </c>
      <c r="T3384" s="21"/>
      <c r="U3384" s="22"/>
      <c r="V3384" s="24"/>
      <c r="W3384" s="24"/>
      <c r="X3384" s="24"/>
      <c r="Y3384" s="24"/>
      <c r="Z3384" s="20" t="str">
        <f t="shared" si="110"/>
        <v/>
      </c>
    </row>
    <row r="3385" spans="1:26" x14ac:dyDescent="0.2">
      <c r="A3385" s="21"/>
      <c r="B3385" s="20"/>
      <c r="C3385" s="22"/>
      <c r="D3385" s="22"/>
      <c r="E3385" s="24"/>
      <c r="F3385" s="22"/>
      <c r="H3385" s="21">
        <v>46111</v>
      </c>
      <c r="I3385" s="22" t="s">
        <v>70</v>
      </c>
      <c r="J3385" s="22" t="s">
        <v>42</v>
      </c>
      <c r="K3385" s="24">
        <v>1</v>
      </c>
      <c r="M3385" s="21"/>
      <c r="N3385" s="22"/>
      <c r="O3385" s="22"/>
      <c r="P3385" s="49"/>
      <c r="Q3385" s="49"/>
      <c r="R3385" s="188" t="str">
        <f t="shared" si="111"/>
        <v/>
      </c>
      <c r="T3385" s="21"/>
      <c r="U3385" s="22"/>
      <c r="V3385" s="24"/>
      <c r="W3385" s="24"/>
      <c r="X3385" s="24"/>
      <c r="Y3385" s="24"/>
      <c r="Z3385" s="20" t="str">
        <f t="shared" si="110"/>
        <v/>
      </c>
    </row>
    <row r="3386" spans="1:26" x14ac:dyDescent="0.2">
      <c r="A3386" s="21"/>
      <c r="B3386" s="20"/>
      <c r="C3386" s="22"/>
      <c r="D3386" s="22"/>
      <c r="E3386" s="24"/>
      <c r="F3386" s="22"/>
      <c r="H3386" s="21">
        <v>46111</v>
      </c>
      <c r="I3386" s="22" t="s">
        <v>70</v>
      </c>
      <c r="J3386" s="22" t="s">
        <v>54</v>
      </c>
      <c r="K3386" s="24">
        <v>9</v>
      </c>
      <c r="M3386" s="21"/>
      <c r="N3386" s="22"/>
      <c r="O3386" s="22"/>
      <c r="P3386" s="49"/>
      <c r="Q3386" s="49"/>
      <c r="R3386" s="188" t="str">
        <f t="shared" si="111"/>
        <v/>
      </c>
      <c r="T3386" s="21"/>
      <c r="U3386" s="22"/>
      <c r="V3386" s="24"/>
      <c r="W3386" s="24"/>
      <c r="X3386" s="24"/>
      <c r="Y3386" s="24"/>
      <c r="Z3386" s="20" t="str">
        <f t="shared" si="110"/>
        <v/>
      </c>
    </row>
    <row r="3387" spans="1:26" x14ac:dyDescent="0.2">
      <c r="A3387" s="21"/>
      <c r="B3387" s="20"/>
      <c r="C3387" s="22"/>
      <c r="D3387" s="22"/>
      <c r="E3387" s="24"/>
      <c r="F3387" s="22"/>
      <c r="H3387" s="21">
        <v>46111</v>
      </c>
      <c r="I3387" s="22" t="s">
        <v>70</v>
      </c>
      <c r="J3387" s="22" t="s">
        <v>47</v>
      </c>
      <c r="K3387" s="24">
        <v>8</v>
      </c>
      <c r="M3387" s="21"/>
      <c r="N3387" s="22"/>
      <c r="O3387" s="22"/>
      <c r="P3387" s="49"/>
      <c r="Q3387" s="49"/>
      <c r="R3387" s="188" t="str">
        <f t="shared" si="111"/>
        <v/>
      </c>
      <c r="T3387" s="21"/>
      <c r="U3387" s="22"/>
      <c r="V3387" s="24"/>
      <c r="W3387" s="24"/>
      <c r="X3387" s="24"/>
      <c r="Y3387" s="24"/>
      <c r="Z3387" s="20" t="str">
        <f t="shared" si="110"/>
        <v/>
      </c>
    </row>
    <row r="3388" spans="1:26" x14ac:dyDescent="0.2">
      <c r="A3388" s="21"/>
      <c r="B3388" s="20"/>
      <c r="C3388" s="22"/>
      <c r="D3388" s="22"/>
      <c r="E3388" s="24"/>
      <c r="F3388" s="22"/>
      <c r="H3388" s="21">
        <v>46111</v>
      </c>
      <c r="I3388" s="22" t="s">
        <v>70</v>
      </c>
      <c r="J3388" s="22" t="s">
        <v>41</v>
      </c>
      <c r="K3388" s="24">
        <v>2</v>
      </c>
      <c r="M3388" s="21"/>
      <c r="N3388" s="22"/>
      <c r="O3388" s="22"/>
      <c r="P3388" s="49"/>
      <c r="Q3388" s="49"/>
      <c r="R3388" s="188" t="str">
        <f t="shared" si="111"/>
        <v/>
      </c>
      <c r="T3388" s="21"/>
      <c r="U3388" s="22"/>
      <c r="V3388" s="24"/>
      <c r="W3388" s="24"/>
      <c r="X3388" s="24"/>
      <c r="Y3388" s="24"/>
      <c r="Z3388" s="20" t="str">
        <f t="shared" si="110"/>
        <v/>
      </c>
    </row>
    <row r="3389" spans="1:26" x14ac:dyDescent="0.2">
      <c r="A3389" s="21"/>
      <c r="B3389" s="20"/>
      <c r="C3389" s="22"/>
      <c r="D3389" s="22"/>
      <c r="E3389" s="24"/>
      <c r="F3389" s="22"/>
      <c r="H3389" s="21">
        <v>46111</v>
      </c>
      <c r="I3389" s="22" t="s">
        <v>70</v>
      </c>
      <c r="J3389" s="22" t="s">
        <v>58</v>
      </c>
      <c r="K3389" s="24">
        <v>9</v>
      </c>
      <c r="M3389" s="21"/>
      <c r="N3389" s="22"/>
      <c r="O3389" s="22"/>
      <c r="P3389" s="49"/>
      <c r="Q3389" s="49"/>
      <c r="R3389" s="188" t="str">
        <f t="shared" si="111"/>
        <v/>
      </c>
      <c r="T3389" s="21"/>
      <c r="U3389" s="22"/>
      <c r="V3389" s="24"/>
      <c r="W3389" s="24"/>
      <c r="X3389" s="24"/>
      <c r="Y3389" s="24"/>
      <c r="Z3389" s="20" t="str">
        <f t="shared" si="110"/>
        <v/>
      </c>
    </row>
    <row r="3390" spans="1:26" x14ac:dyDescent="0.2">
      <c r="A3390" s="21"/>
      <c r="B3390" s="20"/>
      <c r="C3390" s="22"/>
      <c r="D3390" s="22"/>
      <c r="E3390" s="24"/>
      <c r="F3390" s="22"/>
      <c r="H3390" s="21">
        <v>46111</v>
      </c>
      <c r="I3390" s="22" t="s">
        <v>70</v>
      </c>
      <c r="J3390" s="22" t="s">
        <v>49</v>
      </c>
      <c r="K3390" s="24">
        <v>6</v>
      </c>
      <c r="M3390" s="21"/>
      <c r="N3390" s="22"/>
      <c r="O3390" s="22"/>
      <c r="P3390" s="49"/>
      <c r="Q3390" s="49"/>
      <c r="R3390" s="188" t="str">
        <f t="shared" si="111"/>
        <v/>
      </c>
      <c r="T3390" s="21"/>
      <c r="U3390" s="22"/>
      <c r="V3390" s="24"/>
      <c r="W3390" s="24"/>
      <c r="X3390" s="24"/>
      <c r="Y3390" s="24"/>
      <c r="Z3390" s="20" t="str">
        <f t="shared" si="110"/>
        <v/>
      </c>
    </row>
    <row r="3391" spans="1:26" x14ac:dyDescent="0.2">
      <c r="A3391" s="21"/>
      <c r="B3391" s="20"/>
      <c r="C3391" s="22"/>
      <c r="D3391" s="22"/>
      <c r="E3391" s="24"/>
      <c r="F3391" s="22"/>
      <c r="H3391" s="21">
        <v>46111</v>
      </c>
      <c r="I3391" s="22" t="s">
        <v>70</v>
      </c>
      <c r="J3391" s="22" t="s">
        <v>50</v>
      </c>
      <c r="K3391" s="24">
        <v>9</v>
      </c>
      <c r="M3391" s="21"/>
      <c r="N3391" s="22"/>
      <c r="O3391" s="22"/>
      <c r="P3391" s="49"/>
      <c r="Q3391" s="49"/>
      <c r="R3391" s="188" t="str">
        <f t="shared" si="111"/>
        <v/>
      </c>
      <c r="T3391" s="21"/>
      <c r="U3391" s="22"/>
      <c r="V3391" s="24"/>
      <c r="W3391" s="24"/>
      <c r="X3391" s="24"/>
      <c r="Y3391" s="24"/>
      <c r="Z3391" s="20" t="str">
        <f t="shared" si="110"/>
        <v/>
      </c>
    </row>
    <row r="3392" spans="1:26" x14ac:dyDescent="0.2">
      <c r="A3392" s="21"/>
      <c r="B3392" s="20"/>
      <c r="C3392" s="22"/>
      <c r="D3392" s="22"/>
      <c r="E3392" s="24"/>
      <c r="F3392" s="22"/>
      <c r="H3392" s="21">
        <v>46111</v>
      </c>
      <c r="I3392" s="22" t="s">
        <v>70</v>
      </c>
      <c r="J3392" s="22" t="s">
        <v>51</v>
      </c>
      <c r="K3392" s="24">
        <v>9</v>
      </c>
      <c r="M3392" s="21"/>
      <c r="N3392" s="22"/>
      <c r="O3392" s="22"/>
      <c r="P3392" s="49"/>
      <c r="Q3392" s="49"/>
      <c r="R3392" s="188" t="str">
        <f t="shared" si="111"/>
        <v/>
      </c>
      <c r="T3392" s="21"/>
      <c r="U3392" s="22"/>
      <c r="V3392" s="24"/>
      <c r="W3392" s="24"/>
      <c r="X3392" s="24"/>
      <c r="Y3392" s="24"/>
      <c r="Z3392" s="20" t="str">
        <f t="shared" si="110"/>
        <v/>
      </c>
    </row>
    <row r="3393" spans="1:26" x14ac:dyDescent="0.2">
      <c r="A3393" s="21"/>
      <c r="B3393" s="20"/>
      <c r="C3393" s="22"/>
      <c r="D3393" s="22"/>
      <c r="E3393" s="24"/>
      <c r="F3393" s="22"/>
      <c r="H3393" s="21">
        <v>46111</v>
      </c>
      <c r="I3393" s="22" t="s">
        <v>70</v>
      </c>
      <c r="J3393" s="22" t="s">
        <v>46</v>
      </c>
      <c r="K3393" s="24">
        <v>3</v>
      </c>
      <c r="M3393" s="21"/>
      <c r="N3393" s="22"/>
      <c r="O3393" s="22"/>
      <c r="P3393" s="49"/>
      <c r="Q3393" s="49"/>
      <c r="R3393" s="188" t="str">
        <f t="shared" si="111"/>
        <v/>
      </c>
      <c r="T3393" s="21"/>
      <c r="U3393" s="22"/>
      <c r="V3393" s="24"/>
      <c r="W3393" s="24"/>
      <c r="X3393" s="24"/>
      <c r="Y3393" s="24"/>
      <c r="Z3393" s="20" t="str">
        <f t="shared" si="110"/>
        <v/>
      </c>
    </row>
    <row r="3394" spans="1:26" x14ac:dyDescent="0.2">
      <c r="A3394" s="21"/>
      <c r="B3394" s="20"/>
      <c r="C3394" s="22"/>
      <c r="D3394" s="22"/>
      <c r="E3394" s="24"/>
      <c r="F3394" s="22"/>
      <c r="H3394" s="21">
        <v>46111</v>
      </c>
      <c r="I3394" s="22" t="s">
        <v>70</v>
      </c>
      <c r="J3394" s="22" t="s">
        <v>48</v>
      </c>
      <c r="K3394" s="24" t="s">
        <v>61</v>
      </c>
      <c r="M3394" s="21"/>
      <c r="N3394" s="22"/>
      <c r="O3394" s="22"/>
      <c r="P3394" s="49"/>
      <c r="Q3394" s="49"/>
      <c r="R3394" s="188" t="str">
        <f t="shared" si="111"/>
        <v/>
      </c>
      <c r="T3394" s="21"/>
      <c r="U3394" s="22"/>
      <c r="V3394" s="24"/>
      <c r="W3394" s="24"/>
      <c r="X3394" s="24"/>
      <c r="Y3394" s="24"/>
      <c r="Z3394" s="20" t="str">
        <f t="shared" si="110"/>
        <v/>
      </c>
    </row>
    <row r="3395" spans="1:26" x14ac:dyDescent="0.2">
      <c r="A3395" s="21"/>
      <c r="B3395" s="20"/>
      <c r="C3395" s="22"/>
      <c r="D3395" s="22"/>
      <c r="E3395" s="24"/>
      <c r="F3395" s="22"/>
      <c r="H3395" s="21">
        <v>46111</v>
      </c>
      <c r="I3395" s="22" t="s">
        <v>70</v>
      </c>
      <c r="J3395" s="22" t="s">
        <v>56</v>
      </c>
      <c r="K3395" s="24">
        <v>9</v>
      </c>
      <c r="M3395" s="21"/>
      <c r="N3395" s="22"/>
      <c r="O3395" s="22"/>
      <c r="P3395" s="49"/>
      <c r="Q3395" s="49"/>
      <c r="R3395" s="188" t="str">
        <f t="shared" si="111"/>
        <v/>
      </c>
      <c r="T3395" s="21"/>
      <c r="U3395" s="22"/>
      <c r="V3395" s="24"/>
      <c r="W3395" s="24"/>
      <c r="X3395" s="24"/>
      <c r="Y3395" s="24"/>
      <c r="Z3395" s="20" t="str">
        <f t="shared" si="110"/>
        <v/>
      </c>
    </row>
    <row r="3396" spans="1:26" x14ac:dyDescent="0.2">
      <c r="A3396" s="21"/>
      <c r="B3396" s="20"/>
      <c r="C3396" s="22"/>
      <c r="D3396" s="22"/>
      <c r="E3396" s="24"/>
      <c r="F3396" s="22"/>
      <c r="H3396" s="21">
        <v>46111</v>
      </c>
      <c r="I3396" s="22" t="s">
        <v>70</v>
      </c>
      <c r="J3396" s="22" t="s">
        <v>55</v>
      </c>
      <c r="K3396" s="24">
        <v>9</v>
      </c>
      <c r="M3396" s="21"/>
      <c r="N3396" s="22"/>
      <c r="O3396" s="22"/>
      <c r="P3396" s="49"/>
      <c r="Q3396" s="49"/>
      <c r="R3396" s="188" t="str">
        <f t="shared" si="111"/>
        <v/>
      </c>
      <c r="T3396" s="21"/>
      <c r="U3396" s="22"/>
      <c r="V3396" s="24"/>
      <c r="W3396" s="24"/>
      <c r="X3396" s="24"/>
      <c r="Y3396" s="24"/>
      <c r="Z3396" s="20" t="str">
        <f t="shared" si="110"/>
        <v/>
      </c>
    </row>
    <row r="3397" spans="1:26" x14ac:dyDescent="0.2">
      <c r="A3397" s="21"/>
      <c r="B3397" s="20"/>
      <c r="C3397" s="22"/>
      <c r="D3397" s="22"/>
      <c r="E3397" s="24"/>
      <c r="F3397" s="22"/>
      <c r="H3397" s="21">
        <v>46112</v>
      </c>
      <c r="I3397" s="22" t="s">
        <v>70</v>
      </c>
      <c r="J3397" s="22" t="s">
        <v>52</v>
      </c>
      <c r="K3397" s="24">
        <v>7</v>
      </c>
      <c r="M3397" s="21"/>
      <c r="N3397" s="22"/>
      <c r="O3397" s="22"/>
      <c r="P3397" s="49"/>
      <c r="Q3397" s="49"/>
      <c r="R3397" s="188" t="str">
        <f t="shared" si="111"/>
        <v/>
      </c>
      <c r="T3397" s="21"/>
      <c r="U3397" s="22"/>
      <c r="V3397" s="24"/>
      <c r="W3397" s="24"/>
      <c r="X3397" s="24"/>
      <c r="Y3397" s="24"/>
      <c r="Z3397" s="20" t="str">
        <f t="shared" si="110"/>
        <v/>
      </c>
    </row>
    <row r="3398" spans="1:26" x14ac:dyDescent="0.2">
      <c r="A3398" s="21"/>
      <c r="B3398" s="20"/>
      <c r="C3398" s="22"/>
      <c r="D3398" s="22"/>
      <c r="E3398" s="24"/>
      <c r="F3398" s="22"/>
      <c r="H3398" s="21">
        <v>46112</v>
      </c>
      <c r="I3398" s="22" t="s">
        <v>70</v>
      </c>
      <c r="J3398" s="22" t="s">
        <v>53</v>
      </c>
      <c r="K3398" s="24" t="s">
        <v>61</v>
      </c>
      <c r="M3398" s="21"/>
      <c r="N3398" s="22"/>
      <c r="O3398" s="22"/>
      <c r="P3398" s="49"/>
      <c r="Q3398" s="49"/>
      <c r="R3398" s="188" t="str">
        <f t="shared" si="111"/>
        <v/>
      </c>
      <c r="T3398" s="21"/>
      <c r="U3398" s="22"/>
      <c r="V3398" s="24"/>
      <c r="W3398" s="24"/>
      <c r="X3398" s="24"/>
      <c r="Y3398" s="24"/>
      <c r="Z3398" s="20" t="str">
        <f t="shared" si="110"/>
        <v/>
      </c>
    </row>
    <row r="3399" spans="1:26" x14ac:dyDescent="0.2">
      <c r="A3399" s="21"/>
      <c r="B3399" s="20"/>
      <c r="C3399" s="22"/>
      <c r="D3399" s="22"/>
      <c r="E3399" s="24"/>
      <c r="F3399" s="22"/>
      <c r="H3399" s="21">
        <v>46112</v>
      </c>
      <c r="I3399" s="22" t="s">
        <v>70</v>
      </c>
      <c r="J3399" s="22" t="s">
        <v>44</v>
      </c>
      <c r="K3399" s="24">
        <v>7</v>
      </c>
      <c r="M3399" s="21"/>
      <c r="N3399" s="22"/>
      <c r="O3399" s="22"/>
      <c r="P3399" s="49"/>
      <c r="Q3399" s="49"/>
      <c r="R3399" s="188" t="str">
        <f t="shared" si="111"/>
        <v/>
      </c>
      <c r="T3399" s="21"/>
      <c r="U3399" s="22"/>
      <c r="V3399" s="24"/>
      <c r="W3399" s="24"/>
      <c r="X3399" s="24"/>
      <c r="Y3399" s="24"/>
      <c r="Z3399" s="20" t="str">
        <f t="shared" si="110"/>
        <v/>
      </c>
    </row>
    <row r="3400" spans="1:26" x14ac:dyDescent="0.2">
      <c r="A3400" s="21"/>
      <c r="B3400" s="20"/>
      <c r="C3400" s="22"/>
      <c r="D3400" s="22"/>
      <c r="E3400" s="24"/>
      <c r="F3400" s="22"/>
      <c r="H3400" s="21">
        <v>46112</v>
      </c>
      <c r="I3400" s="22" t="s">
        <v>70</v>
      </c>
      <c r="J3400" s="22" t="s">
        <v>45</v>
      </c>
      <c r="K3400" s="24">
        <v>7</v>
      </c>
      <c r="M3400" s="21"/>
      <c r="N3400" s="22"/>
      <c r="O3400" s="22"/>
      <c r="P3400" s="49"/>
      <c r="Q3400" s="49"/>
      <c r="R3400" s="188" t="str">
        <f t="shared" si="111"/>
        <v/>
      </c>
      <c r="T3400" s="21"/>
      <c r="U3400" s="22"/>
      <c r="V3400" s="24"/>
      <c r="W3400" s="24"/>
      <c r="X3400" s="24"/>
      <c r="Y3400" s="24"/>
      <c r="Z3400" s="20" t="str">
        <f t="shared" si="110"/>
        <v/>
      </c>
    </row>
    <row r="3401" spans="1:26" x14ac:dyDescent="0.2">
      <c r="A3401" s="21"/>
      <c r="B3401" s="20"/>
      <c r="C3401" s="22"/>
      <c r="D3401" s="22"/>
      <c r="E3401" s="24"/>
      <c r="F3401" s="22"/>
      <c r="H3401" s="21">
        <v>46112</v>
      </c>
      <c r="I3401" s="22" t="s">
        <v>70</v>
      </c>
      <c r="J3401" s="22" t="s">
        <v>57</v>
      </c>
      <c r="K3401" s="24" t="s">
        <v>61</v>
      </c>
      <c r="M3401" s="21"/>
      <c r="N3401" s="22"/>
      <c r="O3401" s="22"/>
      <c r="P3401" s="49"/>
      <c r="Q3401" s="49"/>
      <c r="R3401" s="188" t="str">
        <f t="shared" si="111"/>
        <v/>
      </c>
      <c r="T3401" s="21"/>
      <c r="U3401" s="22"/>
      <c r="V3401" s="24"/>
      <c r="W3401" s="24"/>
      <c r="X3401" s="24"/>
      <c r="Y3401" s="24"/>
      <c r="Z3401" s="20" t="str">
        <f t="shared" si="110"/>
        <v/>
      </c>
    </row>
    <row r="3402" spans="1:26" x14ac:dyDescent="0.2">
      <c r="A3402" s="21"/>
      <c r="B3402" s="20"/>
      <c r="C3402" s="22"/>
      <c r="D3402" s="22"/>
      <c r="E3402" s="24"/>
      <c r="F3402" s="22"/>
      <c r="H3402" s="21">
        <v>46112</v>
      </c>
      <c r="I3402" s="22" t="s">
        <v>70</v>
      </c>
      <c r="J3402" s="22" t="s">
        <v>42</v>
      </c>
      <c r="K3402" s="24">
        <v>3</v>
      </c>
      <c r="M3402" s="21"/>
      <c r="N3402" s="22"/>
      <c r="O3402" s="22"/>
      <c r="P3402" s="49"/>
      <c r="Q3402" s="49"/>
      <c r="R3402" s="188" t="str">
        <f t="shared" si="111"/>
        <v/>
      </c>
      <c r="T3402" s="21"/>
      <c r="U3402" s="22"/>
      <c r="V3402" s="24"/>
      <c r="W3402" s="24"/>
      <c r="X3402" s="24"/>
      <c r="Y3402" s="24"/>
      <c r="Z3402" s="20" t="str">
        <f t="shared" si="110"/>
        <v/>
      </c>
    </row>
    <row r="3403" spans="1:26" x14ac:dyDescent="0.2">
      <c r="A3403" s="21"/>
      <c r="B3403" s="20"/>
      <c r="C3403" s="22"/>
      <c r="D3403" s="22"/>
      <c r="E3403" s="24"/>
      <c r="F3403" s="22"/>
      <c r="H3403" s="21">
        <v>46112</v>
      </c>
      <c r="I3403" s="22" t="s">
        <v>70</v>
      </c>
      <c r="J3403" s="22" t="s">
        <v>54</v>
      </c>
      <c r="K3403" s="24">
        <v>8</v>
      </c>
      <c r="M3403" s="21"/>
      <c r="N3403" s="22"/>
      <c r="O3403" s="22"/>
      <c r="P3403" s="49"/>
      <c r="Q3403" s="49"/>
      <c r="R3403" s="188" t="str">
        <f t="shared" si="111"/>
        <v/>
      </c>
      <c r="T3403" s="21"/>
      <c r="U3403" s="22"/>
      <c r="V3403" s="24"/>
      <c r="W3403" s="24"/>
      <c r="X3403" s="24"/>
      <c r="Y3403" s="24"/>
      <c r="Z3403" s="20" t="str">
        <f t="shared" si="110"/>
        <v/>
      </c>
    </row>
    <row r="3404" spans="1:26" x14ac:dyDescent="0.2">
      <c r="A3404" s="21"/>
      <c r="B3404" s="20"/>
      <c r="C3404" s="22"/>
      <c r="D3404" s="22"/>
      <c r="E3404" s="24"/>
      <c r="F3404" s="22"/>
      <c r="H3404" s="21">
        <v>46112</v>
      </c>
      <c r="I3404" s="22" t="s">
        <v>70</v>
      </c>
      <c r="J3404" s="22" t="s">
        <v>47</v>
      </c>
      <c r="K3404" s="24">
        <v>7</v>
      </c>
      <c r="M3404" s="21"/>
      <c r="N3404" s="22"/>
      <c r="O3404" s="22"/>
      <c r="P3404" s="49"/>
      <c r="Q3404" s="49"/>
      <c r="R3404" s="188" t="str">
        <f t="shared" si="111"/>
        <v/>
      </c>
      <c r="T3404" s="21"/>
      <c r="U3404" s="22"/>
      <c r="V3404" s="24"/>
      <c r="W3404" s="24"/>
      <c r="X3404" s="24"/>
      <c r="Y3404" s="24"/>
      <c r="Z3404" s="20" t="str">
        <f t="shared" si="110"/>
        <v/>
      </c>
    </row>
    <row r="3405" spans="1:26" x14ac:dyDescent="0.2">
      <c r="A3405" s="21"/>
      <c r="B3405" s="20"/>
      <c r="C3405" s="22"/>
      <c r="D3405" s="22"/>
      <c r="E3405" s="24"/>
      <c r="F3405" s="22"/>
      <c r="H3405" s="21">
        <v>46112</v>
      </c>
      <c r="I3405" s="22" t="s">
        <v>70</v>
      </c>
      <c r="J3405" s="22" t="s">
        <v>41</v>
      </c>
      <c r="K3405" s="24">
        <v>3</v>
      </c>
      <c r="M3405" s="21"/>
      <c r="N3405" s="22"/>
      <c r="O3405" s="22"/>
      <c r="P3405" s="49"/>
      <c r="Q3405" s="49"/>
      <c r="R3405" s="188" t="str">
        <f t="shared" si="111"/>
        <v/>
      </c>
      <c r="T3405" s="21"/>
      <c r="U3405" s="22"/>
      <c r="V3405" s="24"/>
      <c r="W3405" s="24"/>
      <c r="X3405" s="24"/>
      <c r="Y3405" s="24"/>
      <c r="Z3405" s="20" t="str">
        <f t="shared" si="110"/>
        <v/>
      </c>
    </row>
    <row r="3406" spans="1:26" x14ac:dyDescent="0.2">
      <c r="A3406" s="21"/>
      <c r="B3406" s="20"/>
      <c r="C3406" s="22"/>
      <c r="D3406" s="22"/>
      <c r="E3406" s="24"/>
      <c r="F3406" s="22"/>
      <c r="H3406" s="21">
        <v>46112</v>
      </c>
      <c r="I3406" s="22" t="s">
        <v>70</v>
      </c>
      <c r="J3406" s="22" t="s">
        <v>58</v>
      </c>
      <c r="K3406" s="24">
        <v>8</v>
      </c>
      <c r="M3406" s="21"/>
      <c r="N3406" s="22"/>
      <c r="O3406" s="22"/>
      <c r="P3406" s="49"/>
      <c r="Q3406" s="49"/>
      <c r="R3406" s="188" t="str">
        <f t="shared" si="111"/>
        <v/>
      </c>
      <c r="T3406" s="21"/>
      <c r="U3406" s="22"/>
      <c r="V3406" s="24"/>
      <c r="W3406" s="24"/>
      <c r="X3406" s="24"/>
      <c r="Y3406" s="24"/>
      <c r="Z3406" s="20" t="str">
        <f t="shared" si="110"/>
        <v/>
      </c>
    </row>
    <row r="3407" spans="1:26" x14ac:dyDescent="0.2">
      <c r="A3407" s="21"/>
      <c r="B3407" s="20"/>
      <c r="C3407" s="22"/>
      <c r="D3407" s="22"/>
      <c r="E3407" s="24"/>
      <c r="F3407" s="22"/>
      <c r="H3407" s="21">
        <v>46112</v>
      </c>
      <c r="I3407" s="22" t="s">
        <v>70</v>
      </c>
      <c r="J3407" s="22" t="s">
        <v>49</v>
      </c>
      <c r="K3407" s="24">
        <v>7</v>
      </c>
      <c r="M3407" s="21"/>
      <c r="N3407" s="22"/>
      <c r="O3407" s="22"/>
      <c r="P3407" s="49"/>
      <c r="Q3407" s="49"/>
      <c r="R3407" s="188" t="str">
        <f t="shared" si="111"/>
        <v/>
      </c>
      <c r="T3407" s="21"/>
      <c r="U3407" s="22"/>
      <c r="V3407" s="24"/>
      <c r="W3407" s="24"/>
      <c r="X3407" s="24"/>
      <c r="Y3407" s="24"/>
      <c r="Z3407" s="20" t="str">
        <f t="shared" si="110"/>
        <v/>
      </c>
    </row>
    <row r="3408" spans="1:26" x14ac:dyDescent="0.2">
      <c r="A3408" s="21"/>
      <c r="B3408" s="20"/>
      <c r="C3408" s="22"/>
      <c r="D3408" s="22"/>
      <c r="E3408" s="24"/>
      <c r="F3408" s="22"/>
      <c r="H3408" s="21">
        <v>46112</v>
      </c>
      <c r="I3408" s="22" t="s">
        <v>70</v>
      </c>
      <c r="J3408" s="22" t="s">
        <v>50</v>
      </c>
      <c r="K3408" s="24">
        <v>8</v>
      </c>
      <c r="M3408" s="21"/>
      <c r="N3408" s="22"/>
      <c r="O3408" s="22"/>
      <c r="P3408" s="49"/>
      <c r="Q3408" s="49"/>
      <c r="R3408" s="188" t="str">
        <f t="shared" si="111"/>
        <v/>
      </c>
      <c r="T3408" s="21"/>
      <c r="U3408" s="22"/>
      <c r="V3408" s="24"/>
      <c r="W3408" s="24"/>
      <c r="X3408" s="24"/>
      <c r="Y3408" s="24"/>
      <c r="Z3408" s="20" t="str">
        <f t="shared" si="110"/>
        <v/>
      </c>
    </row>
    <row r="3409" spans="1:26" x14ac:dyDescent="0.2">
      <c r="A3409" s="21"/>
      <c r="B3409" s="20"/>
      <c r="C3409" s="22"/>
      <c r="D3409" s="22"/>
      <c r="E3409" s="24"/>
      <c r="F3409" s="22"/>
      <c r="H3409" s="21">
        <v>46112</v>
      </c>
      <c r="I3409" s="22" t="s">
        <v>70</v>
      </c>
      <c r="J3409" s="22" t="s">
        <v>51</v>
      </c>
      <c r="K3409" s="24">
        <v>8</v>
      </c>
      <c r="M3409" s="21"/>
      <c r="N3409" s="22"/>
      <c r="O3409" s="22"/>
      <c r="P3409" s="49"/>
      <c r="Q3409" s="49"/>
      <c r="R3409" s="188" t="str">
        <f t="shared" si="111"/>
        <v/>
      </c>
      <c r="T3409" s="21"/>
      <c r="U3409" s="22"/>
      <c r="V3409" s="24"/>
      <c r="W3409" s="24"/>
      <c r="X3409" s="24"/>
      <c r="Y3409" s="24"/>
      <c r="Z3409" s="20" t="str">
        <f t="shared" si="110"/>
        <v/>
      </c>
    </row>
    <row r="3410" spans="1:26" x14ac:dyDescent="0.2">
      <c r="A3410" s="21"/>
      <c r="B3410" s="20"/>
      <c r="C3410" s="22"/>
      <c r="D3410" s="22"/>
      <c r="E3410" s="24"/>
      <c r="F3410" s="22"/>
      <c r="H3410" s="21">
        <v>46112</v>
      </c>
      <c r="I3410" s="22" t="s">
        <v>70</v>
      </c>
      <c r="J3410" s="22" t="s">
        <v>46</v>
      </c>
      <c r="K3410" s="24">
        <v>7</v>
      </c>
      <c r="M3410" s="21"/>
      <c r="N3410" s="22"/>
      <c r="O3410" s="22"/>
      <c r="P3410" s="49"/>
      <c r="Q3410" s="49"/>
      <c r="R3410" s="188" t="str">
        <f t="shared" si="111"/>
        <v/>
      </c>
      <c r="T3410" s="21"/>
      <c r="U3410" s="22"/>
      <c r="V3410" s="24"/>
      <c r="W3410" s="24"/>
      <c r="X3410" s="24"/>
      <c r="Y3410" s="24"/>
      <c r="Z3410" s="20" t="str">
        <f t="shared" si="110"/>
        <v/>
      </c>
    </row>
    <row r="3411" spans="1:26" x14ac:dyDescent="0.2">
      <c r="A3411" s="21"/>
      <c r="B3411" s="20"/>
      <c r="C3411" s="22"/>
      <c r="D3411" s="22"/>
      <c r="E3411" s="24"/>
      <c r="F3411" s="22"/>
      <c r="H3411" s="21">
        <v>46112</v>
      </c>
      <c r="I3411" s="22" t="s">
        <v>70</v>
      </c>
      <c r="J3411" s="22" t="s">
        <v>48</v>
      </c>
      <c r="K3411" s="24" t="s">
        <v>61</v>
      </c>
      <c r="M3411" s="21"/>
      <c r="N3411" s="22"/>
      <c r="O3411" s="22"/>
      <c r="P3411" s="49"/>
      <c r="Q3411" s="49"/>
      <c r="R3411" s="188" t="str">
        <f t="shared" si="111"/>
        <v/>
      </c>
      <c r="T3411" s="21"/>
      <c r="U3411" s="22"/>
      <c r="V3411" s="24"/>
      <c r="W3411" s="24"/>
      <c r="X3411" s="24"/>
      <c r="Y3411" s="24"/>
      <c r="Z3411" s="20" t="str">
        <f t="shared" ref="Z3411:Z3474" si="112">IF(COUNT(V3411:Y3411)=0,"",SUM(V3411:Y3411))</f>
        <v/>
      </c>
    </row>
    <row r="3412" spans="1:26" x14ac:dyDescent="0.2">
      <c r="A3412" s="21"/>
      <c r="B3412" s="20"/>
      <c r="C3412" s="22"/>
      <c r="D3412" s="22"/>
      <c r="E3412" s="24"/>
      <c r="F3412" s="22"/>
      <c r="H3412" s="21">
        <v>46112</v>
      </c>
      <c r="I3412" s="22" t="s">
        <v>70</v>
      </c>
      <c r="J3412" s="22" t="s">
        <v>56</v>
      </c>
      <c r="K3412" s="24">
        <v>8</v>
      </c>
      <c r="M3412" s="21"/>
      <c r="N3412" s="22"/>
      <c r="O3412" s="22"/>
      <c r="P3412" s="49"/>
      <c r="Q3412" s="49"/>
      <c r="R3412" s="188" t="str">
        <f t="shared" si="111"/>
        <v/>
      </c>
      <c r="T3412" s="21"/>
      <c r="U3412" s="22"/>
      <c r="V3412" s="24"/>
      <c r="W3412" s="24"/>
      <c r="X3412" s="24"/>
      <c r="Y3412" s="24"/>
      <c r="Z3412" s="20" t="str">
        <f t="shared" si="112"/>
        <v/>
      </c>
    </row>
    <row r="3413" spans="1:26" x14ac:dyDescent="0.2">
      <c r="A3413" s="21"/>
      <c r="B3413" s="20"/>
      <c r="C3413" s="22"/>
      <c r="D3413" s="22"/>
      <c r="E3413" s="24"/>
      <c r="F3413" s="22"/>
      <c r="H3413" s="21">
        <v>46112</v>
      </c>
      <c r="I3413" s="22" t="s">
        <v>70</v>
      </c>
      <c r="J3413" s="22" t="s">
        <v>55</v>
      </c>
      <c r="K3413" s="24">
        <v>8</v>
      </c>
      <c r="M3413" s="21"/>
      <c r="N3413" s="22"/>
      <c r="O3413" s="22"/>
      <c r="P3413" s="49"/>
      <c r="Q3413" s="49"/>
      <c r="R3413" s="188" t="str">
        <f t="shared" si="111"/>
        <v/>
      </c>
      <c r="T3413" s="21"/>
      <c r="U3413" s="22"/>
      <c r="V3413" s="24"/>
      <c r="W3413" s="24"/>
      <c r="X3413" s="24"/>
      <c r="Y3413" s="24"/>
      <c r="Z3413" s="20" t="str">
        <f t="shared" si="112"/>
        <v/>
      </c>
    </row>
    <row r="3414" spans="1:26" x14ac:dyDescent="0.2">
      <c r="A3414" s="21"/>
      <c r="B3414" s="20"/>
      <c r="C3414" s="22"/>
      <c r="D3414" s="22"/>
      <c r="E3414" s="24"/>
      <c r="F3414" s="22"/>
      <c r="H3414" s="21">
        <v>46113</v>
      </c>
      <c r="I3414" s="22" t="s">
        <v>70</v>
      </c>
      <c r="J3414" s="22" t="s">
        <v>52</v>
      </c>
      <c r="K3414" s="24">
        <v>8</v>
      </c>
      <c r="M3414" s="21"/>
      <c r="N3414" s="22"/>
      <c r="O3414" s="22"/>
      <c r="P3414" s="49"/>
      <c r="Q3414" s="49"/>
      <c r="R3414" s="188" t="str">
        <f t="shared" ref="R3414:R3477" si="113">IF(OR(P3414="",Q3414=""),"",IFERROR(P3414-Q3414,""))</f>
        <v/>
      </c>
      <c r="T3414" s="21"/>
      <c r="U3414" s="22"/>
      <c r="V3414" s="24"/>
      <c r="W3414" s="24"/>
      <c r="X3414" s="24"/>
      <c r="Y3414" s="24"/>
      <c r="Z3414" s="20" t="str">
        <f t="shared" si="112"/>
        <v/>
      </c>
    </row>
    <row r="3415" spans="1:26" x14ac:dyDescent="0.2">
      <c r="A3415" s="21"/>
      <c r="B3415" s="20"/>
      <c r="C3415" s="22"/>
      <c r="D3415" s="22"/>
      <c r="E3415" s="24"/>
      <c r="F3415" s="22"/>
      <c r="H3415" s="21">
        <v>46113</v>
      </c>
      <c r="I3415" s="22" t="s">
        <v>70</v>
      </c>
      <c r="J3415" s="22" t="s">
        <v>53</v>
      </c>
      <c r="K3415" s="24" t="s">
        <v>61</v>
      </c>
      <c r="M3415" s="21"/>
      <c r="N3415" s="22"/>
      <c r="O3415" s="22"/>
      <c r="P3415" s="49"/>
      <c r="Q3415" s="49"/>
      <c r="R3415" s="188" t="str">
        <f t="shared" si="113"/>
        <v/>
      </c>
      <c r="T3415" s="21"/>
      <c r="U3415" s="22"/>
      <c r="V3415" s="24"/>
      <c r="W3415" s="24"/>
      <c r="X3415" s="24"/>
      <c r="Y3415" s="24"/>
      <c r="Z3415" s="20" t="str">
        <f t="shared" si="112"/>
        <v/>
      </c>
    </row>
    <row r="3416" spans="1:26" x14ac:dyDescent="0.2">
      <c r="A3416" s="21"/>
      <c r="B3416" s="20"/>
      <c r="C3416" s="22"/>
      <c r="D3416" s="22"/>
      <c r="E3416" s="24"/>
      <c r="F3416" s="22"/>
      <c r="H3416" s="21">
        <v>46113</v>
      </c>
      <c r="I3416" s="22" t="s">
        <v>70</v>
      </c>
      <c r="J3416" s="22" t="s">
        <v>44</v>
      </c>
      <c r="K3416" s="24">
        <v>8</v>
      </c>
      <c r="M3416" s="21"/>
      <c r="N3416" s="22"/>
      <c r="O3416" s="22"/>
      <c r="P3416" s="49"/>
      <c r="Q3416" s="49"/>
      <c r="R3416" s="188" t="str">
        <f t="shared" si="113"/>
        <v/>
      </c>
      <c r="T3416" s="21"/>
      <c r="U3416" s="22"/>
      <c r="V3416" s="24"/>
      <c r="W3416" s="24"/>
      <c r="X3416" s="24"/>
      <c r="Y3416" s="24"/>
      <c r="Z3416" s="20" t="str">
        <f t="shared" si="112"/>
        <v/>
      </c>
    </row>
    <row r="3417" spans="1:26" x14ac:dyDescent="0.2">
      <c r="A3417" s="21"/>
      <c r="B3417" s="20"/>
      <c r="C3417" s="22"/>
      <c r="D3417" s="22"/>
      <c r="E3417" s="24"/>
      <c r="F3417" s="22"/>
      <c r="H3417" s="21">
        <v>46113</v>
      </c>
      <c r="I3417" s="22" t="s">
        <v>70</v>
      </c>
      <c r="J3417" s="22" t="s">
        <v>45</v>
      </c>
      <c r="K3417" s="24">
        <v>5</v>
      </c>
      <c r="M3417" s="21"/>
      <c r="N3417" s="22"/>
      <c r="O3417" s="22"/>
      <c r="P3417" s="49"/>
      <c r="Q3417" s="49"/>
      <c r="R3417" s="188" t="str">
        <f t="shared" si="113"/>
        <v/>
      </c>
      <c r="T3417" s="21"/>
      <c r="U3417" s="22"/>
      <c r="V3417" s="24"/>
      <c r="W3417" s="24"/>
      <c r="X3417" s="24"/>
      <c r="Y3417" s="24"/>
      <c r="Z3417" s="20" t="str">
        <f t="shared" si="112"/>
        <v/>
      </c>
    </row>
    <row r="3418" spans="1:26" x14ac:dyDescent="0.2">
      <c r="A3418" s="21"/>
      <c r="B3418" s="20"/>
      <c r="C3418" s="22"/>
      <c r="D3418" s="22"/>
      <c r="E3418" s="24"/>
      <c r="F3418" s="22"/>
      <c r="H3418" s="21">
        <v>46113</v>
      </c>
      <c r="I3418" s="22" t="s">
        <v>70</v>
      </c>
      <c r="J3418" s="22" t="s">
        <v>57</v>
      </c>
      <c r="K3418" s="24" t="s">
        <v>61</v>
      </c>
      <c r="M3418" s="21"/>
      <c r="N3418" s="22"/>
      <c r="O3418" s="22"/>
      <c r="P3418" s="49"/>
      <c r="Q3418" s="49"/>
      <c r="R3418" s="188" t="str">
        <f t="shared" si="113"/>
        <v/>
      </c>
      <c r="T3418" s="21"/>
      <c r="U3418" s="22"/>
      <c r="V3418" s="24"/>
      <c r="W3418" s="24"/>
      <c r="X3418" s="24"/>
      <c r="Y3418" s="24"/>
      <c r="Z3418" s="20" t="str">
        <f t="shared" si="112"/>
        <v/>
      </c>
    </row>
    <row r="3419" spans="1:26" x14ac:dyDescent="0.2">
      <c r="A3419" s="21"/>
      <c r="B3419" s="20"/>
      <c r="C3419" s="22"/>
      <c r="D3419" s="22"/>
      <c r="E3419" s="24"/>
      <c r="F3419" s="22"/>
      <c r="H3419" s="21">
        <v>46113</v>
      </c>
      <c r="I3419" s="22" t="s">
        <v>70</v>
      </c>
      <c r="J3419" s="22" t="s">
        <v>42</v>
      </c>
      <c r="K3419" s="24">
        <v>2</v>
      </c>
      <c r="M3419" s="21"/>
      <c r="N3419" s="22"/>
      <c r="O3419" s="22"/>
      <c r="P3419" s="49"/>
      <c r="Q3419" s="49"/>
      <c r="R3419" s="188" t="str">
        <f t="shared" si="113"/>
        <v/>
      </c>
      <c r="T3419" s="21"/>
      <c r="U3419" s="22"/>
      <c r="V3419" s="24"/>
      <c r="W3419" s="24"/>
      <c r="X3419" s="24"/>
      <c r="Y3419" s="24"/>
      <c r="Z3419" s="20" t="str">
        <f t="shared" si="112"/>
        <v/>
      </c>
    </row>
    <row r="3420" spans="1:26" x14ac:dyDescent="0.2">
      <c r="A3420" s="21"/>
      <c r="B3420" s="20"/>
      <c r="C3420" s="22"/>
      <c r="D3420" s="22"/>
      <c r="E3420" s="24"/>
      <c r="F3420" s="22"/>
      <c r="H3420" s="21">
        <v>46113</v>
      </c>
      <c r="I3420" s="22" t="s">
        <v>70</v>
      </c>
      <c r="J3420" s="22" t="s">
        <v>54</v>
      </c>
      <c r="K3420" s="24">
        <v>7</v>
      </c>
      <c r="M3420" s="21"/>
      <c r="N3420" s="22"/>
      <c r="O3420" s="22"/>
      <c r="P3420" s="49"/>
      <c r="Q3420" s="49"/>
      <c r="R3420" s="188" t="str">
        <f t="shared" si="113"/>
        <v/>
      </c>
      <c r="T3420" s="21"/>
      <c r="U3420" s="22"/>
      <c r="V3420" s="24"/>
      <c r="W3420" s="24"/>
      <c r="X3420" s="24"/>
      <c r="Y3420" s="24"/>
      <c r="Z3420" s="20" t="str">
        <f t="shared" si="112"/>
        <v/>
      </c>
    </row>
    <row r="3421" spans="1:26" x14ac:dyDescent="0.2">
      <c r="A3421" s="21"/>
      <c r="B3421" s="20"/>
      <c r="C3421" s="22"/>
      <c r="D3421" s="22"/>
      <c r="E3421" s="24"/>
      <c r="F3421" s="22"/>
      <c r="H3421" s="21">
        <v>46113</v>
      </c>
      <c r="I3421" s="22" t="s">
        <v>70</v>
      </c>
      <c r="J3421" s="22" t="s">
        <v>47</v>
      </c>
      <c r="K3421" s="24">
        <v>8</v>
      </c>
      <c r="M3421" s="21"/>
      <c r="N3421" s="22"/>
      <c r="O3421" s="22"/>
      <c r="P3421" s="49"/>
      <c r="Q3421" s="49"/>
      <c r="R3421" s="188" t="str">
        <f t="shared" si="113"/>
        <v/>
      </c>
      <c r="T3421" s="21"/>
      <c r="U3421" s="22"/>
      <c r="V3421" s="24"/>
      <c r="W3421" s="24"/>
      <c r="X3421" s="24"/>
      <c r="Y3421" s="24"/>
      <c r="Z3421" s="20" t="str">
        <f t="shared" si="112"/>
        <v/>
      </c>
    </row>
    <row r="3422" spans="1:26" x14ac:dyDescent="0.2">
      <c r="A3422" s="21"/>
      <c r="B3422" s="20"/>
      <c r="C3422" s="22"/>
      <c r="D3422" s="22"/>
      <c r="E3422" s="24"/>
      <c r="F3422" s="22"/>
      <c r="H3422" s="21">
        <v>46113</v>
      </c>
      <c r="I3422" s="22" t="s">
        <v>70</v>
      </c>
      <c r="J3422" s="22" t="s">
        <v>41</v>
      </c>
      <c r="K3422" s="24">
        <v>2</v>
      </c>
      <c r="M3422" s="21"/>
      <c r="N3422" s="22"/>
      <c r="O3422" s="22"/>
      <c r="P3422" s="49"/>
      <c r="Q3422" s="49"/>
      <c r="R3422" s="188" t="str">
        <f t="shared" si="113"/>
        <v/>
      </c>
      <c r="T3422" s="21"/>
      <c r="U3422" s="22"/>
      <c r="V3422" s="24"/>
      <c r="W3422" s="24"/>
      <c r="X3422" s="24"/>
      <c r="Y3422" s="24"/>
      <c r="Z3422" s="20" t="str">
        <f t="shared" si="112"/>
        <v/>
      </c>
    </row>
    <row r="3423" spans="1:26" x14ac:dyDescent="0.2">
      <c r="A3423" s="21"/>
      <c r="B3423" s="20"/>
      <c r="C3423" s="22"/>
      <c r="D3423" s="22"/>
      <c r="E3423" s="24"/>
      <c r="F3423" s="22"/>
      <c r="H3423" s="21">
        <v>46113</v>
      </c>
      <c r="I3423" s="22" t="s">
        <v>70</v>
      </c>
      <c r="J3423" s="22" t="s">
        <v>58</v>
      </c>
      <c r="K3423" s="24">
        <v>7</v>
      </c>
      <c r="M3423" s="21"/>
      <c r="N3423" s="22"/>
      <c r="O3423" s="22"/>
      <c r="P3423" s="49"/>
      <c r="Q3423" s="49"/>
      <c r="R3423" s="188" t="str">
        <f t="shared" si="113"/>
        <v/>
      </c>
      <c r="T3423" s="21"/>
      <c r="U3423" s="22"/>
      <c r="V3423" s="24"/>
      <c r="W3423" s="24"/>
      <c r="X3423" s="24"/>
      <c r="Y3423" s="24"/>
      <c r="Z3423" s="20" t="str">
        <f t="shared" si="112"/>
        <v/>
      </c>
    </row>
    <row r="3424" spans="1:26" x14ac:dyDescent="0.2">
      <c r="A3424" s="21"/>
      <c r="B3424" s="20"/>
      <c r="C3424" s="22"/>
      <c r="D3424" s="22"/>
      <c r="E3424" s="24"/>
      <c r="F3424" s="22"/>
      <c r="H3424" s="21">
        <v>46113</v>
      </c>
      <c r="I3424" s="22" t="s">
        <v>70</v>
      </c>
      <c r="J3424" s="22" t="s">
        <v>49</v>
      </c>
      <c r="K3424" s="24">
        <v>8</v>
      </c>
      <c r="M3424" s="21"/>
      <c r="N3424" s="22"/>
      <c r="O3424" s="22"/>
      <c r="P3424" s="49"/>
      <c r="Q3424" s="49"/>
      <c r="R3424" s="188" t="str">
        <f t="shared" si="113"/>
        <v/>
      </c>
      <c r="T3424" s="21"/>
      <c r="U3424" s="22"/>
      <c r="V3424" s="24"/>
      <c r="W3424" s="24"/>
      <c r="X3424" s="24"/>
      <c r="Y3424" s="24"/>
      <c r="Z3424" s="20" t="str">
        <f t="shared" si="112"/>
        <v/>
      </c>
    </row>
    <row r="3425" spans="1:26" x14ac:dyDescent="0.2">
      <c r="A3425" s="21"/>
      <c r="B3425" s="20"/>
      <c r="C3425" s="22"/>
      <c r="D3425" s="22"/>
      <c r="E3425" s="24"/>
      <c r="F3425" s="22"/>
      <c r="H3425" s="21">
        <v>46113</v>
      </c>
      <c r="I3425" s="22" t="s">
        <v>70</v>
      </c>
      <c r="J3425" s="22" t="s">
        <v>50</v>
      </c>
      <c r="K3425" s="24">
        <v>8</v>
      </c>
      <c r="M3425" s="21"/>
      <c r="N3425" s="22"/>
      <c r="O3425" s="22"/>
      <c r="P3425" s="49"/>
      <c r="Q3425" s="49"/>
      <c r="R3425" s="188" t="str">
        <f t="shared" si="113"/>
        <v/>
      </c>
      <c r="T3425" s="21"/>
      <c r="U3425" s="22"/>
      <c r="V3425" s="24"/>
      <c r="W3425" s="24"/>
      <c r="X3425" s="24"/>
      <c r="Y3425" s="24"/>
      <c r="Z3425" s="20" t="str">
        <f t="shared" si="112"/>
        <v/>
      </c>
    </row>
    <row r="3426" spans="1:26" x14ac:dyDescent="0.2">
      <c r="A3426" s="21"/>
      <c r="B3426" s="20"/>
      <c r="C3426" s="22"/>
      <c r="D3426" s="22"/>
      <c r="E3426" s="24"/>
      <c r="F3426" s="22"/>
      <c r="H3426" s="21">
        <v>46113</v>
      </c>
      <c r="I3426" s="22" t="s">
        <v>70</v>
      </c>
      <c r="J3426" s="22" t="s">
        <v>51</v>
      </c>
      <c r="K3426" s="24">
        <v>8</v>
      </c>
      <c r="M3426" s="21"/>
      <c r="N3426" s="22"/>
      <c r="O3426" s="22"/>
      <c r="P3426" s="49"/>
      <c r="Q3426" s="49"/>
      <c r="R3426" s="188" t="str">
        <f t="shared" si="113"/>
        <v/>
      </c>
      <c r="T3426" s="21"/>
      <c r="U3426" s="22"/>
      <c r="V3426" s="24"/>
      <c r="W3426" s="24"/>
      <c r="X3426" s="24"/>
      <c r="Y3426" s="24"/>
      <c r="Z3426" s="20" t="str">
        <f t="shared" si="112"/>
        <v/>
      </c>
    </row>
    <row r="3427" spans="1:26" x14ac:dyDescent="0.2">
      <c r="A3427" s="21"/>
      <c r="B3427" s="20"/>
      <c r="C3427" s="22"/>
      <c r="D3427" s="22"/>
      <c r="E3427" s="24"/>
      <c r="F3427" s="22"/>
      <c r="H3427" s="21">
        <v>46113</v>
      </c>
      <c r="I3427" s="22" t="s">
        <v>70</v>
      </c>
      <c r="J3427" s="22" t="s">
        <v>46</v>
      </c>
      <c r="K3427" s="24">
        <v>8</v>
      </c>
      <c r="M3427" s="21"/>
      <c r="N3427" s="22"/>
      <c r="O3427" s="22"/>
      <c r="P3427" s="49"/>
      <c r="Q3427" s="49"/>
      <c r="R3427" s="188" t="str">
        <f t="shared" si="113"/>
        <v/>
      </c>
      <c r="T3427" s="21"/>
      <c r="U3427" s="22"/>
      <c r="V3427" s="24"/>
      <c r="W3427" s="24"/>
      <c r="X3427" s="24"/>
      <c r="Y3427" s="24"/>
      <c r="Z3427" s="20" t="str">
        <f t="shared" si="112"/>
        <v/>
      </c>
    </row>
    <row r="3428" spans="1:26" x14ac:dyDescent="0.2">
      <c r="A3428" s="21"/>
      <c r="B3428" s="20"/>
      <c r="C3428" s="22"/>
      <c r="D3428" s="22"/>
      <c r="E3428" s="24"/>
      <c r="F3428" s="22"/>
      <c r="H3428" s="21">
        <v>46113</v>
      </c>
      <c r="I3428" s="22" t="s">
        <v>70</v>
      </c>
      <c r="J3428" s="22" t="s">
        <v>48</v>
      </c>
      <c r="K3428" s="24" t="s">
        <v>61</v>
      </c>
      <c r="M3428" s="21"/>
      <c r="N3428" s="22"/>
      <c r="O3428" s="22"/>
      <c r="P3428" s="49"/>
      <c r="Q3428" s="49"/>
      <c r="R3428" s="188" t="str">
        <f t="shared" si="113"/>
        <v/>
      </c>
      <c r="T3428" s="21"/>
      <c r="U3428" s="22"/>
      <c r="V3428" s="24"/>
      <c r="W3428" s="24"/>
      <c r="X3428" s="24"/>
      <c r="Y3428" s="24"/>
      <c r="Z3428" s="20" t="str">
        <f t="shared" si="112"/>
        <v/>
      </c>
    </row>
    <row r="3429" spans="1:26" x14ac:dyDescent="0.2">
      <c r="A3429" s="21"/>
      <c r="B3429" s="20"/>
      <c r="C3429" s="22"/>
      <c r="D3429" s="22"/>
      <c r="E3429" s="24"/>
      <c r="F3429" s="22"/>
      <c r="H3429" s="21">
        <v>46113</v>
      </c>
      <c r="I3429" s="22" t="s">
        <v>70</v>
      </c>
      <c r="J3429" s="22" t="s">
        <v>56</v>
      </c>
      <c r="K3429" s="24">
        <v>8</v>
      </c>
      <c r="M3429" s="21"/>
      <c r="N3429" s="22"/>
      <c r="O3429" s="22"/>
      <c r="P3429" s="49"/>
      <c r="Q3429" s="49"/>
      <c r="R3429" s="188" t="str">
        <f t="shared" si="113"/>
        <v/>
      </c>
      <c r="T3429" s="21"/>
      <c r="U3429" s="22"/>
      <c r="V3429" s="24"/>
      <c r="W3429" s="24"/>
      <c r="X3429" s="24"/>
      <c r="Y3429" s="24"/>
      <c r="Z3429" s="20" t="str">
        <f t="shared" si="112"/>
        <v/>
      </c>
    </row>
    <row r="3430" spans="1:26" x14ac:dyDescent="0.2">
      <c r="A3430" s="21"/>
      <c r="B3430" s="20"/>
      <c r="C3430" s="22"/>
      <c r="D3430" s="22"/>
      <c r="E3430" s="24"/>
      <c r="F3430" s="22"/>
      <c r="H3430" s="21">
        <v>46113</v>
      </c>
      <c r="I3430" s="22" t="s">
        <v>70</v>
      </c>
      <c r="J3430" s="22" t="s">
        <v>55</v>
      </c>
      <c r="K3430" s="24">
        <v>7</v>
      </c>
      <c r="M3430" s="21"/>
      <c r="N3430" s="22"/>
      <c r="O3430" s="22"/>
      <c r="P3430" s="49"/>
      <c r="Q3430" s="49"/>
      <c r="R3430" s="188" t="str">
        <f t="shared" si="113"/>
        <v/>
      </c>
      <c r="T3430" s="21"/>
      <c r="U3430" s="22"/>
      <c r="V3430" s="24"/>
      <c r="W3430" s="24"/>
      <c r="X3430" s="24"/>
      <c r="Y3430" s="24"/>
      <c r="Z3430" s="20" t="str">
        <f t="shared" si="112"/>
        <v/>
      </c>
    </row>
    <row r="3431" spans="1:26" x14ac:dyDescent="0.2">
      <c r="A3431" s="21"/>
      <c r="B3431" s="20"/>
      <c r="C3431" s="22"/>
      <c r="D3431" s="22"/>
      <c r="E3431" s="24"/>
      <c r="F3431" s="22"/>
      <c r="H3431" s="21">
        <v>46114</v>
      </c>
      <c r="I3431" s="22" t="s">
        <v>70</v>
      </c>
      <c r="J3431" s="22" t="s">
        <v>52</v>
      </c>
      <c r="K3431" s="24">
        <v>7</v>
      </c>
      <c r="M3431" s="21"/>
      <c r="N3431" s="22"/>
      <c r="O3431" s="22"/>
      <c r="P3431" s="49"/>
      <c r="Q3431" s="49"/>
      <c r="R3431" s="188" t="str">
        <f t="shared" si="113"/>
        <v/>
      </c>
      <c r="T3431" s="21"/>
      <c r="U3431" s="22"/>
      <c r="V3431" s="24"/>
      <c r="W3431" s="24"/>
      <c r="X3431" s="24"/>
      <c r="Y3431" s="24"/>
      <c r="Z3431" s="20" t="str">
        <f t="shared" si="112"/>
        <v/>
      </c>
    </row>
    <row r="3432" spans="1:26" x14ac:dyDescent="0.2">
      <c r="A3432" s="21"/>
      <c r="B3432" s="20"/>
      <c r="C3432" s="22"/>
      <c r="D3432" s="22"/>
      <c r="E3432" s="24"/>
      <c r="F3432" s="22"/>
      <c r="H3432" s="21">
        <v>46114</v>
      </c>
      <c r="I3432" s="22" t="s">
        <v>70</v>
      </c>
      <c r="J3432" s="22" t="s">
        <v>53</v>
      </c>
      <c r="K3432" s="24">
        <v>5</v>
      </c>
      <c r="M3432" s="21"/>
      <c r="N3432" s="22"/>
      <c r="O3432" s="22"/>
      <c r="P3432" s="49"/>
      <c r="Q3432" s="49"/>
      <c r="R3432" s="188" t="str">
        <f t="shared" si="113"/>
        <v/>
      </c>
      <c r="T3432" s="21"/>
      <c r="U3432" s="22"/>
      <c r="V3432" s="24"/>
      <c r="W3432" s="24"/>
      <c r="X3432" s="24"/>
      <c r="Y3432" s="24"/>
      <c r="Z3432" s="20" t="str">
        <f t="shared" si="112"/>
        <v/>
      </c>
    </row>
    <row r="3433" spans="1:26" x14ac:dyDescent="0.2">
      <c r="A3433" s="21"/>
      <c r="B3433" s="20"/>
      <c r="C3433" s="22"/>
      <c r="D3433" s="22"/>
      <c r="E3433" s="24"/>
      <c r="F3433" s="22"/>
      <c r="H3433" s="21">
        <v>46114</v>
      </c>
      <c r="I3433" s="22" t="s">
        <v>70</v>
      </c>
      <c r="J3433" s="22" t="s">
        <v>44</v>
      </c>
      <c r="K3433" s="24">
        <v>8</v>
      </c>
      <c r="M3433" s="21"/>
      <c r="N3433" s="22"/>
      <c r="O3433" s="22"/>
      <c r="P3433" s="49"/>
      <c r="Q3433" s="49"/>
      <c r="R3433" s="188" t="str">
        <f t="shared" si="113"/>
        <v/>
      </c>
      <c r="T3433" s="21"/>
      <c r="U3433" s="22"/>
      <c r="V3433" s="24"/>
      <c r="W3433" s="24"/>
      <c r="X3433" s="24"/>
      <c r="Y3433" s="24"/>
      <c r="Z3433" s="20" t="str">
        <f t="shared" si="112"/>
        <v/>
      </c>
    </row>
    <row r="3434" spans="1:26" x14ac:dyDescent="0.2">
      <c r="A3434" s="21"/>
      <c r="B3434" s="20"/>
      <c r="C3434" s="22"/>
      <c r="D3434" s="22"/>
      <c r="E3434" s="24"/>
      <c r="F3434" s="22"/>
      <c r="H3434" s="21">
        <v>46114</v>
      </c>
      <c r="I3434" s="22" t="s">
        <v>70</v>
      </c>
      <c r="J3434" s="22" t="s">
        <v>45</v>
      </c>
      <c r="K3434" s="24">
        <v>4</v>
      </c>
      <c r="M3434" s="21"/>
      <c r="N3434" s="22"/>
      <c r="O3434" s="22"/>
      <c r="P3434" s="49"/>
      <c r="Q3434" s="49"/>
      <c r="R3434" s="188" t="str">
        <f t="shared" si="113"/>
        <v/>
      </c>
      <c r="T3434" s="21"/>
      <c r="U3434" s="22"/>
      <c r="V3434" s="24"/>
      <c r="W3434" s="24"/>
      <c r="X3434" s="24"/>
      <c r="Y3434" s="24"/>
      <c r="Z3434" s="20" t="str">
        <f t="shared" si="112"/>
        <v/>
      </c>
    </row>
    <row r="3435" spans="1:26" x14ac:dyDescent="0.2">
      <c r="A3435" s="21"/>
      <c r="B3435" s="20"/>
      <c r="C3435" s="22"/>
      <c r="D3435" s="22"/>
      <c r="E3435" s="24"/>
      <c r="F3435" s="22"/>
      <c r="H3435" s="21">
        <v>46114</v>
      </c>
      <c r="I3435" s="22" t="s">
        <v>70</v>
      </c>
      <c r="J3435" s="22" t="s">
        <v>57</v>
      </c>
      <c r="K3435" s="24">
        <v>7</v>
      </c>
      <c r="M3435" s="21"/>
      <c r="N3435" s="22"/>
      <c r="O3435" s="22"/>
      <c r="P3435" s="49"/>
      <c r="Q3435" s="49"/>
      <c r="R3435" s="188" t="str">
        <f t="shared" si="113"/>
        <v/>
      </c>
      <c r="T3435" s="21"/>
      <c r="U3435" s="22"/>
      <c r="V3435" s="24"/>
      <c r="W3435" s="24"/>
      <c r="X3435" s="24"/>
      <c r="Y3435" s="24"/>
      <c r="Z3435" s="20" t="str">
        <f t="shared" si="112"/>
        <v/>
      </c>
    </row>
    <row r="3436" spans="1:26" x14ac:dyDescent="0.2">
      <c r="A3436" s="21"/>
      <c r="B3436" s="20"/>
      <c r="C3436" s="22"/>
      <c r="D3436" s="22"/>
      <c r="E3436" s="24"/>
      <c r="F3436" s="22"/>
      <c r="H3436" s="21">
        <v>46114</v>
      </c>
      <c r="I3436" s="22" t="s">
        <v>70</v>
      </c>
      <c r="J3436" s="22" t="s">
        <v>42</v>
      </c>
      <c r="K3436" s="24">
        <v>3</v>
      </c>
      <c r="M3436" s="21"/>
      <c r="N3436" s="22"/>
      <c r="O3436" s="22"/>
      <c r="P3436" s="49"/>
      <c r="Q3436" s="49"/>
      <c r="R3436" s="188" t="str">
        <f t="shared" si="113"/>
        <v/>
      </c>
      <c r="T3436" s="21"/>
      <c r="U3436" s="22"/>
      <c r="V3436" s="24"/>
      <c r="W3436" s="24"/>
      <c r="X3436" s="24"/>
      <c r="Y3436" s="24"/>
      <c r="Z3436" s="20" t="str">
        <f t="shared" si="112"/>
        <v/>
      </c>
    </row>
    <row r="3437" spans="1:26" x14ac:dyDescent="0.2">
      <c r="A3437" s="21"/>
      <c r="B3437" s="20"/>
      <c r="C3437" s="22"/>
      <c r="D3437" s="22"/>
      <c r="E3437" s="24"/>
      <c r="F3437" s="22"/>
      <c r="H3437" s="21">
        <v>46114</v>
      </c>
      <c r="I3437" s="22" t="s">
        <v>70</v>
      </c>
      <c r="J3437" s="22" t="s">
        <v>54</v>
      </c>
      <c r="K3437" s="24">
        <v>8</v>
      </c>
      <c r="M3437" s="21"/>
      <c r="N3437" s="22"/>
      <c r="O3437" s="22"/>
      <c r="P3437" s="49"/>
      <c r="Q3437" s="49"/>
      <c r="R3437" s="188" t="str">
        <f t="shared" si="113"/>
        <v/>
      </c>
      <c r="T3437" s="21"/>
      <c r="U3437" s="22"/>
      <c r="V3437" s="24"/>
      <c r="W3437" s="24"/>
      <c r="X3437" s="24"/>
      <c r="Y3437" s="24"/>
      <c r="Z3437" s="20" t="str">
        <f t="shared" si="112"/>
        <v/>
      </c>
    </row>
    <row r="3438" spans="1:26" x14ac:dyDescent="0.2">
      <c r="A3438" s="21"/>
      <c r="B3438" s="20"/>
      <c r="C3438" s="22"/>
      <c r="D3438" s="22"/>
      <c r="E3438" s="24"/>
      <c r="F3438" s="22"/>
      <c r="H3438" s="21">
        <v>46114</v>
      </c>
      <c r="I3438" s="22" t="s">
        <v>70</v>
      </c>
      <c r="J3438" s="22" t="s">
        <v>47</v>
      </c>
      <c r="K3438" s="24">
        <v>7</v>
      </c>
      <c r="M3438" s="21"/>
      <c r="N3438" s="22"/>
      <c r="O3438" s="22"/>
      <c r="P3438" s="49"/>
      <c r="Q3438" s="49"/>
      <c r="R3438" s="188" t="str">
        <f t="shared" si="113"/>
        <v/>
      </c>
      <c r="T3438" s="21"/>
      <c r="U3438" s="22"/>
      <c r="V3438" s="24"/>
      <c r="W3438" s="24"/>
      <c r="X3438" s="24"/>
      <c r="Y3438" s="24"/>
      <c r="Z3438" s="20" t="str">
        <f t="shared" si="112"/>
        <v/>
      </c>
    </row>
    <row r="3439" spans="1:26" x14ac:dyDescent="0.2">
      <c r="A3439" s="21"/>
      <c r="B3439" s="20"/>
      <c r="C3439" s="22"/>
      <c r="D3439" s="22"/>
      <c r="E3439" s="24"/>
      <c r="F3439" s="22"/>
      <c r="H3439" s="21">
        <v>46114</v>
      </c>
      <c r="I3439" s="22" t="s">
        <v>70</v>
      </c>
      <c r="J3439" s="22" t="s">
        <v>41</v>
      </c>
      <c r="K3439" s="24">
        <v>5</v>
      </c>
      <c r="M3439" s="21"/>
      <c r="N3439" s="22"/>
      <c r="O3439" s="22"/>
      <c r="P3439" s="49"/>
      <c r="Q3439" s="49"/>
      <c r="R3439" s="188" t="str">
        <f t="shared" si="113"/>
        <v/>
      </c>
      <c r="T3439" s="21"/>
      <c r="U3439" s="22"/>
      <c r="V3439" s="24"/>
      <c r="W3439" s="24"/>
      <c r="X3439" s="24"/>
      <c r="Y3439" s="24"/>
      <c r="Z3439" s="20" t="str">
        <f t="shared" si="112"/>
        <v/>
      </c>
    </row>
    <row r="3440" spans="1:26" x14ac:dyDescent="0.2">
      <c r="A3440" s="21"/>
      <c r="B3440" s="20"/>
      <c r="C3440" s="22"/>
      <c r="D3440" s="22"/>
      <c r="E3440" s="24"/>
      <c r="F3440" s="22"/>
      <c r="H3440" s="21">
        <v>46114</v>
      </c>
      <c r="I3440" s="22" t="s">
        <v>70</v>
      </c>
      <c r="J3440" s="22" t="s">
        <v>58</v>
      </c>
      <c r="K3440" s="24">
        <v>6</v>
      </c>
      <c r="M3440" s="21"/>
      <c r="N3440" s="22"/>
      <c r="O3440" s="22"/>
      <c r="P3440" s="49"/>
      <c r="Q3440" s="49"/>
      <c r="R3440" s="188" t="str">
        <f t="shared" si="113"/>
        <v/>
      </c>
      <c r="T3440" s="21"/>
      <c r="U3440" s="22"/>
      <c r="V3440" s="24"/>
      <c r="W3440" s="24"/>
      <c r="X3440" s="24"/>
      <c r="Y3440" s="24"/>
      <c r="Z3440" s="20" t="str">
        <f t="shared" si="112"/>
        <v/>
      </c>
    </row>
    <row r="3441" spans="1:26" x14ac:dyDescent="0.2">
      <c r="A3441" s="21"/>
      <c r="B3441" s="20"/>
      <c r="C3441" s="22"/>
      <c r="D3441" s="22"/>
      <c r="E3441" s="24"/>
      <c r="F3441" s="22"/>
      <c r="H3441" s="21">
        <v>46114</v>
      </c>
      <c r="I3441" s="22" t="s">
        <v>70</v>
      </c>
      <c r="J3441" s="22" t="s">
        <v>49</v>
      </c>
      <c r="K3441" s="24">
        <v>7</v>
      </c>
      <c r="M3441" s="21"/>
      <c r="N3441" s="22"/>
      <c r="O3441" s="22"/>
      <c r="P3441" s="49"/>
      <c r="Q3441" s="49"/>
      <c r="R3441" s="188" t="str">
        <f t="shared" si="113"/>
        <v/>
      </c>
      <c r="T3441" s="21"/>
      <c r="U3441" s="22"/>
      <c r="V3441" s="24"/>
      <c r="W3441" s="24"/>
      <c r="X3441" s="24"/>
      <c r="Y3441" s="24"/>
      <c r="Z3441" s="20" t="str">
        <f t="shared" si="112"/>
        <v/>
      </c>
    </row>
    <row r="3442" spans="1:26" x14ac:dyDescent="0.2">
      <c r="A3442" s="21"/>
      <c r="B3442" s="20"/>
      <c r="C3442" s="22"/>
      <c r="D3442" s="22"/>
      <c r="E3442" s="24"/>
      <c r="F3442" s="22"/>
      <c r="H3442" s="21">
        <v>46114</v>
      </c>
      <c r="I3442" s="22" t="s">
        <v>70</v>
      </c>
      <c r="J3442" s="22" t="s">
        <v>50</v>
      </c>
      <c r="K3442" s="24">
        <v>6</v>
      </c>
      <c r="M3442" s="21"/>
      <c r="N3442" s="22"/>
      <c r="O3442" s="22"/>
      <c r="P3442" s="49"/>
      <c r="Q3442" s="49"/>
      <c r="R3442" s="188" t="str">
        <f t="shared" si="113"/>
        <v/>
      </c>
      <c r="T3442" s="21"/>
      <c r="U3442" s="22"/>
      <c r="V3442" s="24"/>
      <c r="W3442" s="24"/>
      <c r="X3442" s="24"/>
      <c r="Y3442" s="24"/>
      <c r="Z3442" s="20" t="str">
        <f t="shared" si="112"/>
        <v/>
      </c>
    </row>
    <row r="3443" spans="1:26" x14ac:dyDescent="0.2">
      <c r="A3443" s="21"/>
      <c r="B3443" s="20"/>
      <c r="C3443" s="22"/>
      <c r="D3443" s="22"/>
      <c r="E3443" s="24"/>
      <c r="F3443" s="22"/>
      <c r="H3443" s="21">
        <v>46114</v>
      </c>
      <c r="I3443" s="22" t="s">
        <v>70</v>
      </c>
      <c r="J3443" s="22" t="s">
        <v>51</v>
      </c>
      <c r="K3443" s="24">
        <v>5</v>
      </c>
      <c r="M3443" s="21"/>
      <c r="N3443" s="22"/>
      <c r="O3443" s="22"/>
      <c r="P3443" s="49"/>
      <c r="Q3443" s="49"/>
      <c r="R3443" s="188" t="str">
        <f t="shared" si="113"/>
        <v/>
      </c>
      <c r="T3443" s="21"/>
      <c r="U3443" s="22"/>
      <c r="V3443" s="24"/>
      <c r="W3443" s="24"/>
      <c r="X3443" s="24"/>
      <c r="Y3443" s="24"/>
      <c r="Z3443" s="20" t="str">
        <f t="shared" si="112"/>
        <v/>
      </c>
    </row>
    <row r="3444" spans="1:26" x14ac:dyDescent="0.2">
      <c r="A3444" s="21"/>
      <c r="B3444" s="20"/>
      <c r="C3444" s="22"/>
      <c r="D3444" s="22"/>
      <c r="E3444" s="24"/>
      <c r="F3444" s="22"/>
      <c r="H3444" s="21">
        <v>46114</v>
      </c>
      <c r="I3444" s="22" t="s">
        <v>70</v>
      </c>
      <c r="J3444" s="22" t="s">
        <v>46</v>
      </c>
      <c r="K3444" s="24">
        <v>5</v>
      </c>
      <c r="M3444" s="21"/>
      <c r="N3444" s="22"/>
      <c r="O3444" s="22"/>
      <c r="P3444" s="49"/>
      <c r="Q3444" s="49"/>
      <c r="R3444" s="188" t="str">
        <f t="shared" si="113"/>
        <v/>
      </c>
      <c r="T3444" s="21"/>
      <c r="U3444" s="22"/>
      <c r="V3444" s="24"/>
      <c r="W3444" s="24"/>
      <c r="X3444" s="24"/>
      <c r="Y3444" s="24"/>
      <c r="Z3444" s="20" t="str">
        <f t="shared" si="112"/>
        <v/>
      </c>
    </row>
    <row r="3445" spans="1:26" x14ac:dyDescent="0.2">
      <c r="A3445" s="21"/>
      <c r="B3445" s="20"/>
      <c r="C3445" s="22"/>
      <c r="D3445" s="22"/>
      <c r="E3445" s="24"/>
      <c r="F3445" s="22"/>
      <c r="H3445" s="21">
        <v>46114</v>
      </c>
      <c r="I3445" s="22" t="s">
        <v>70</v>
      </c>
      <c r="J3445" s="22" t="s">
        <v>48</v>
      </c>
      <c r="K3445" s="24" t="s">
        <v>61</v>
      </c>
      <c r="M3445" s="21"/>
      <c r="N3445" s="22"/>
      <c r="O3445" s="22"/>
      <c r="P3445" s="49"/>
      <c r="Q3445" s="49"/>
      <c r="R3445" s="188" t="str">
        <f t="shared" si="113"/>
        <v/>
      </c>
      <c r="T3445" s="21"/>
      <c r="U3445" s="22"/>
      <c r="V3445" s="24"/>
      <c r="W3445" s="24"/>
      <c r="X3445" s="24"/>
      <c r="Y3445" s="24"/>
      <c r="Z3445" s="20" t="str">
        <f t="shared" si="112"/>
        <v/>
      </c>
    </row>
    <row r="3446" spans="1:26" x14ac:dyDescent="0.2">
      <c r="A3446" s="21"/>
      <c r="B3446" s="20"/>
      <c r="C3446" s="22"/>
      <c r="D3446" s="22"/>
      <c r="E3446" s="24"/>
      <c r="F3446" s="22"/>
      <c r="H3446" s="21">
        <v>46114</v>
      </c>
      <c r="I3446" s="22" t="s">
        <v>70</v>
      </c>
      <c r="J3446" s="22" t="s">
        <v>55</v>
      </c>
      <c r="K3446" s="24">
        <v>7</v>
      </c>
      <c r="M3446" s="21"/>
      <c r="N3446" s="22"/>
      <c r="O3446" s="22"/>
      <c r="P3446" s="49"/>
      <c r="Q3446" s="49"/>
      <c r="R3446" s="188" t="str">
        <f t="shared" si="113"/>
        <v/>
      </c>
      <c r="T3446" s="21"/>
      <c r="U3446" s="22"/>
      <c r="V3446" s="24"/>
      <c r="W3446" s="24"/>
      <c r="X3446" s="24"/>
      <c r="Y3446" s="24"/>
      <c r="Z3446" s="20" t="str">
        <f t="shared" si="112"/>
        <v/>
      </c>
    </row>
    <row r="3447" spans="1:26" x14ac:dyDescent="0.2">
      <c r="A3447" s="21"/>
      <c r="B3447" s="20"/>
      <c r="C3447" s="22"/>
      <c r="D3447" s="22"/>
      <c r="E3447" s="24"/>
      <c r="F3447" s="22"/>
      <c r="H3447" s="21">
        <v>46115</v>
      </c>
      <c r="I3447" s="22" t="s">
        <v>70</v>
      </c>
      <c r="J3447" s="22" t="s">
        <v>52</v>
      </c>
      <c r="K3447" s="24">
        <v>3</v>
      </c>
      <c r="M3447" s="21"/>
      <c r="N3447" s="22"/>
      <c r="O3447" s="22"/>
      <c r="P3447" s="49"/>
      <c r="Q3447" s="49"/>
      <c r="R3447" s="188" t="str">
        <f t="shared" si="113"/>
        <v/>
      </c>
      <c r="T3447" s="21"/>
      <c r="U3447" s="22"/>
      <c r="V3447" s="24"/>
      <c r="W3447" s="24"/>
      <c r="X3447" s="24"/>
      <c r="Y3447" s="24"/>
      <c r="Z3447" s="20" t="str">
        <f t="shared" si="112"/>
        <v/>
      </c>
    </row>
    <row r="3448" spans="1:26" x14ac:dyDescent="0.2">
      <c r="A3448" s="21"/>
      <c r="B3448" s="20"/>
      <c r="C3448" s="22"/>
      <c r="D3448" s="22"/>
      <c r="E3448" s="24"/>
      <c r="F3448" s="22"/>
      <c r="H3448" s="21">
        <v>46115</v>
      </c>
      <c r="I3448" s="22" t="s">
        <v>70</v>
      </c>
      <c r="J3448" s="22" t="s">
        <v>53</v>
      </c>
      <c r="K3448" s="24">
        <v>5</v>
      </c>
      <c r="M3448" s="21"/>
      <c r="N3448" s="22"/>
      <c r="O3448" s="22"/>
      <c r="P3448" s="49"/>
      <c r="Q3448" s="49"/>
      <c r="R3448" s="188" t="str">
        <f t="shared" si="113"/>
        <v/>
      </c>
      <c r="T3448" s="21"/>
      <c r="U3448" s="22"/>
      <c r="V3448" s="24"/>
      <c r="W3448" s="24"/>
      <c r="X3448" s="24"/>
      <c r="Y3448" s="24"/>
      <c r="Z3448" s="20" t="str">
        <f t="shared" si="112"/>
        <v/>
      </c>
    </row>
    <row r="3449" spans="1:26" x14ac:dyDescent="0.2">
      <c r="A3449" s="21"/>
      <c r="B3449" s="20"/>
      <c r="C3449" s="22"/>
      <c r="D3449" s="22"/>
      <c r="E3449" s="24"/>
      <c r="F3449" s="22"/>
      <c r="H3449" s="21">
        <v>46115</v>
      </c>
      <c r="I3449" s="22" t="s">
        <v>70</v>
      </c>
      <c r="J3449" s="22" t="s">
        <v>44</v>
      </c>
      <c r="K3449" s="24">
        <v>2</v>
      </c>
      <c r="M3449" s="21"/>
      <c r="N3449" s="22"/>
      <c r="O3449" s="22"/>
      <c r="P3449" s="49"/>
      <c r="Q3449" s="49"/>
      <c r="R3449" s="188" t="str">
        <f t="shared" si="113"/>
        <v/>
      </c>
      <c r="T3449" s="21"/>
      <c r="U3449" s="22"/>
      <c r="V3449" s="24"/>
      <c r="W3449" s="24"/>
      <c r="X3449" s="24"/>
      <c r="Y3449" s="24"/>
      <c r="Z3449" s="20" t="str">
        <f t="shared" si="112"/>
        <v/>
      </c>
    </row>
    <row r="3450" spans="1:26" x14ac:dyDescent="0.2">
      <c r="A3450" s="21"/>
      <c r="B3450" s="20"/>
      <c r="C3450" s="22"/>
      <c r="D3450" s="22"/>
      <c r="E3450" s="24"/>
      <c r="F3450" s="22"/>
      <c r="H3450" s="21">
        <v>46115</v>
      </c>
      <c r="I3450" s="22" t="s">
        <v>70</v>
      </c>
      <c r="J3450" s="22" t="s">
        <v>45</v>
      </c>
      <c r="K3450" s="24">
        <v>2</v>
      </c>
      <c r="M3450" s="21"/>
      <c r="N3450" s="22"/>
      <c r="O3450" s="22"/>
      <c r="P3450" s="49"/>
      <c r="Q3450" s="49"/>
      <c r="R3450" s="188" t="str">
        <f t="shared" si="113"/>
        <v/>
      </c>
      <c r="T3450" s="21"/>
      <c r="U3450" s="22"/>
      <c r="V3450" s="24"/>
      <c r="W3450" s="24"/>
      <c r="X3450" s="24"/>
      <c r="Y3450" s="24"/>
      <c r="Z3450" s="20" t="str">
        <f t="shared" si="112"/>
        <v/>
      </c>
    </row>
    <row r="3451" spans="1:26" x14ac:dyDescent="0.2">
      <c r="A3451" s="21"/>
      <c r="B3451" s="20"/>
      <c r="C3451" s="22"/>
      <c r="D3451" s="22"/>
      <c r="E3451" s="24"/>
      <c r="F3451" s="22"/>
      <c r="H3451" s="21">
        <v>46115</v>
      </c>
      <c r="I3451" s="22" t="s">
        <v>70</v>
      </c>
      <c r="J3451" s="22" t="s">
        <v>57</v>
      </c>
      <c r="K3451" s="24">
        <v>3</v>
      </c>
      <c r="M3451" s="21"/>
      <c r="N3451" s="22"/>
      <c r="O3451" s="22"/>
      <c r="P3451" s="49"/>
      <c r="Q3451" s="49"/>
      <c r="R3451" s="188" t="str">
        <f t="shared" si="113"/>
        <v/>
      </c>
      <c r="T3451" s="21"/>
      <c r="U3451" s="22"/>
      <c r="V3451" s="24"/>
      <c r="W3451" s="24"/>
      <c r="X3451" s="24"/>
      <c r="Y3451" s="24"/>
      <c r="Z3451" s="20" t="str">
        <f t="shared" si="112"/>
        <v/>
      </c>
    </row>
    <row r="3452" spans="1:26" x14ac:dyDescent="0.2">
      <c r="A3452" s="21"/>
      <c r="B3452" s="20"/>
      <c r="C3452" s="22"/>
      <c r="D3452" s="22"/>
      <c r="E3452" s="24"/>
      <c r="F3452" s="22"/>
      <c r="H3452" s="21">
        <v>46115</v>
      </c>
      <c r="I3452" s="22" t="s">
        <v>70</v>
      </c>
      <c r="J3452" s="22" t="s">
        <v>42</v>
      </c>
      <c r="K3452" s="24">
        <v>1</v>
      </c>
      <c r="M3452" s="21"/>
      <c r="N3452" s="22"/>
      <c r="O3452" s="22"/>
      <c r="P3452" s="49"/>
      <c r="Q3452" s="49"/>
      <c r="R3452" s="188" t="str">
        <f t="shared" si="113"/>
        <v/>
      </c>
      <c r="T3452" s="21"/>
      <c r="U3452" s="22"/>
      <c r="V3452" s="24"/>
      <c r="W3452" s="24"/>
      <c r="X3452" s="24"/>
      <c r="Y3452" s="24"/>
      <c r="Z3452" s="20" t="str">
        <f t="shared" si="112"/>
        <v/>
      </c>
    </row>
    <row r="3453" spans="1:26" x14ac:dyDescent="0.2">
      <c r="A3453" s="21"/>
      <c r="B3453" s="20"/>
      <c r="C3453" s="22"/>
      <c r="D3453" s="22"/>
      <c r="E3453" s="24"/>
      <c r="F3453" s="22"/>
      <c r="H3453" s="21">
        <v>46115</v>
      </c>
      <c r="I3453" s="22" t="s">
        <v>70</v>
      </c>
      <c r="J3453" s="22" t="s">
        <v>47</v>
      </c>
      <c r="K3453" s="24">
        <v>4</v>
      </c>
      <c r="M3453" s="21"/>
      <c r="N3453" s="22"/>
      <c r="O3453" s="22"/>
      <c r="P3453" s="49"/>
      <c r="Q3453" s="49"/>
      <c r="R3453" s="188" t="str">
        <f t="shared" si="113"/>
        <v/>
      </c>
      <c r="T3453" s="21"/>
      <c r="U3453" s="22"/>
      <c r="V3453" s="24"/>
      <c r="W3453" s="24"/>
      <c r="X3453" s="24"/>
      <c r="Y3453" s="24"/>
      <c r="Z3453" s="20" t="str">
        <f t="shared" si="112"/>
        <v/>
      </c>
    </row>
    <row r="3454" spans="1:26" x14ac:dyDescent="0.2">
      <c r="A3454" s="21"/>
      <c r="B3454" s="20"/>
      <c r="C3454" s="22"/>
      <c r="D3454" s="22"/>
      <c r="E3454" s="24"/>
      <c r="F3454" s="22"/>
      <c r="H3454" s="21">
        <v>46115</v>
      </c>
      <c r="I3454" s="22" t="s">
        <v>70</v>
      </c>
      <c r="J3454" s="22" t="s">
        <v>41</v>
      </c>
      <c r="K3454" s="24">
        <v>1</v>
      </c>
      <c r="M3454" s="21"/>
      <c r="N3454" s="22"/>
      <c r="O3454" s="22"/>
      <c r="P3454" s="49"/>
      <c r="Q3454" s="49"/>
      <c r="R3454" s="188" t="str">
        <f t="shared" si="113"/>
        <v/>
      </c>
      <c r="T3454" s="21"/>
      <c r="U3454" s="22"/>
      <c r="V3454" s="24"/>
      <c r="W3454" s="24"/>
      <c r="X3454" s="24"/>
      <c r="Y3454" s="24"/>
      <c r="Z3454" s="20" t="str">
        <f t="shared" si="112"/>
        <v/>
      </c>
    </row>
    <row r="3455" spans="1:26" x14ac:dyDescent="0.2">
      <c r="A3455" s="21"/>
      <c r="B3455" s="20"/>
      <c r="C3455" s="22"/>
      <c r="D3455" s="22"/>
      <c r="E3455" s="24"/>
      <c r="F3455" s="22"/>
      <c r="H3455" s="21">
        <v>46115</v>
      </c>
      <c r="I3455" s="22" t="s">
        <v>70</v>
      </c>
      <c r="J3455" s="22" t="s">
        <v>58</v>
      </c>
      <c r="K3455" s="24">
        <v>5</v>
      </c>
      <c r="M3455" s="21"/>
      <c r="N3455" s="22"/>
      <c r="O3455" s="22"/>
      <c r="P3455" s="49"/>
      <c r="Q3455" s="49"/>
      <c r="R3455" s="188" t="str">
        <f t="shared" si="113"/>
        <v/>
      </c>
      <c r="T3455" s="21"/>
      <c r="U3455" s="22"/>
      <c r="V3455" s="24"/>
      <c r="W3455" s="24"/>
      <c r="X3455" s="24"/>
      <c r="Y3455" s="24"/>
      <c r="Z3455" s="20" t="str">
        <f t="shared" si="112"/>
        <v/>
      </c>
    </row>
    <row r="3456" spans="1:26" x14ac:dyDescent="0.2">
      <c r="A3456" s="21"/>
      <c r="B3456" s="20"/>
      <c r="C3456" s="22"/>
      <c r="D3456" s="22"/>
      <c r="E3456" s="24"/>
      <c r="F3456" s="22"/>
      <c r="H3456" s="21">
        <v>46115</v>
      </c>
      <c r="I3456" s="22" t="s">
        <v>70</v>
      </c>
      <c r="J3456" s="22" t="s">
        <v>49</v>
      </c>
      <c r="K3456" s="24">
        <v>3</v>
      </c>
      <c r="M3456" s="21"/>
      <c r="N3456" s="22"/>
      <c r="O3456" s="22"/>
      <c r="P3456" s="49"/>
      <c r="Q3456" s="49"/>
      <c r="R3456" s="188" t="str">
        <f t="shared" si="113"/>
        <v/>
      </c>
      <c r="T3456" s="21"/>
      <c r="U3456" s="22"/>
      <c r="V3456" s="24"/>
      <c r="W3456" s="24"/>
      <c r="X3456" s="24"/>
      <c r="Y3456" s="24"/>
      <c r="Z3456" s="20" t="str">
        <f t="shared" si="112"/>
        <v/>
      </c>
    </row>
    <row r="3457" spans="1:26" x14ac:dyDescent="0.2">
      <c r="A3457" s="21"/>
      <c r="B3457" s="20"/>
      <c r="C3457" s="22"/>
      <c r="D3457" s="22"/>
      <c r="E3457" s="24"/>
      <c r="F3457" s="22"/>
      <c r="H3457" s="21">
        <v>46115</v>
      </c>
      <c r="I3457" s="22" t="s">
        <v>70</v>
      </c>
      <c r="J3457" s="22" t="s">
        <v>50</v>
      </c>
      <c r="K3457" s="24">
        <v>4</v>
      </c>
      <c r="M3457" s="21"/>
      <c r="N3457" s="22"/>
      <c r="O3457" s="22"/>
      <c r="P3457" s="49"/>
      <c r="Q3457" s="49"/>
      <c r="R3457" s="188" t="str">
        <f t="shared" si="113"/>
        <v/>
      </c>
      <c r="T3457" s="21"/>
      <c r="U3457" s="22"/>
      <c r="V3457" s="24"/>
      <c r="W3457" s="24"/>
      <c r="X3457" s="24"/>
      <c r="Y3457" s="24"/>
      <c r="Z3457" s="20" t="str">
        <f t="shared" si="112"/>
        <v/>
      </c>
    </row>
    <row r="3458" spans="1:26" x14ac:dyDescent="0.2">
      <c r="A3458" s="21"/>
      <c r="B3458" s="20"/>
      <c r="C3458" s="22"/>
      <c r="D3458" s="22"/>
      <c r="E3458" s="24"/>
      <c r="F3458" s="22"/>
      <c r="H3458" s="21">
        <v>46115</v>
      </c>
      <c r="I3458" s="22" t="s">
        <v>70</v>
      </c>
      <c r="J3458" s="22" t="s">
        <v>51</v>
      </c>
      <c r="K3458" s="24">
        <v>3</v>
      </c>
      <c r="M3458" s="21"/>
      <c r="N3458" s="22"/>
      <c r="O3458" s="22"/>
      <c r="P3458" s="49"/>
      <c r="Q3458" s="49"/>
      <c r="R3458" s="188" t="str">
        <f t="shared" si="113"/>
        <v/>
      </c>
      <c r="T3458" s="21"/>
      <c r="U3458" s="22"/>
      <c r="V3458" s="24"/>
      <c r="W3458" s="24"/>
      <c r="X3458" s="24"/>
      <c r="Y3458" s="24"/>
      <c r="Z3458" s="20" t="str">
        <f t="shared" si="112"/>
        <v/>
      </c>
    </row>
    <row r="3459" spans="1:26" x14ac:dyDescent="0.2">
      <c r="A3459" s="21"/>
      <c r="B3459" s="20"/>
      <c r="C3459" s="22"/>
      <c r="D3459" s="22"/>
      <c r="E3459" s="24"/>
      <c r="F3459" s="22"/>
      <c r="H3459" s="21">
        <v>46115</v>
      </c>
      <c r="I3459" s="22" t="s">
        <v>70</v>
      </c>
      <c r="J3459" s="22" t="s">
        <v>46</v>
      </c>
      <c r="K3459" s="24">
        <v>4</v>
      </c>
      <c r="M3459" s="21"/>
      <c r="N3459" s="22"/>
      <c r="O3459" s="22"/>
      <c r="P3459" s="49"/>
      <c r="Q3459" s="49"/>
      <c r="R3459" s="188" t="str">
        <f t="shared" si="113"/>
        <v/>
      </c>
      <c r="T3459" s="21"/>
      <c r="U3459" s="22"/>
      <c r="V3459" s="24"/>
      <c r="W3459" s="24"/>
      <c r="X3459" s="24"/>
      <c r="Y3459" s="24"/>
      <c r="Z3459" s="20" t="str">
        <f t="shared" si="112"/>
        <v/>
      </c>
    </row>
    <row r="3460" spans="1:26" x14ac:dyDescent="0.2">
      <c r="A3460" s="21"/>
      <c r="B3460" s="20"/>
      <c r="C3460" s="22"/>
      <c r="D3460" s="22"/>
      <c r="E3460" s="24"/>
      <c r="F3460" s="22"/>
      <c r="H3460" s="21">
        <v>46115</v>
      </c>
      <c r="I3460" s="22" t="s">
        <v>70</v>
      </c>
      <c r="J3460" s="22" t="s">
        <v>48</v>
      </c>
      <c r="K3460" s="24" t="s">
        <v>61</v>
      </c>
      <c r="M3460" s="21"/>
      <c r="N3460" s="22"/>
      <c r="O3460" s="22"/>
      <c r="P3460" s="49"/>
      <c r="Q3460" s="49"/>
      <c r="R3460" s="188" t="str">
        <f t="shared" si="113"/>
        <v/>
      </c>
      <c r="T3460" s="21"/>
      <c r="U3460" s="22"/>
      <c r="V3460" s="24"/>
      <c r="W3460" s="24"/>
      <c r="X3460" s="24"/>
      <c r="Y3460" s="24"/>
      <c r="Z3460" s="20" t="str">
        <f t="shared" si="112"/>
        <v/>
      </c>
    </row>
    <row r="3461" spans="1:26" x14ac:dyDescent="0.2">
      <c r="A3461" s="21"/>
      <c r="B3461" s="20"/>
      <c r="C3461" s="22"/>
      <c r="D3461" s="22"/>
      <c r="E3461" s="24"/>
      <c r="F3461" s="22"/>
      <c r="H3461" s="21">
        <v>46115</v>
      </c>
      <c r="I3461" s="22" t="s">
        <v>70</v>
      </c>
      <c r="J3461" s="22" t="s">
        <v>55</v>
      </c>
      <c r="K3461" s="24">
        <v>4</v>
      </c>
      <c r="M3461" s="21"/>
      <c r="N3461" s="22"/>
      <c r="O3461" s="22"/>
      <c r="P3461" s="49"/>
      <c r="Q3461" s="49"/>
      <c r="R3461" s="188" t="str">
        <f t="shared" si="113"/>
        <v/>
      </c>
      <c r="T3461" s="21"/>
      <c r="U3461" s="22"/>
      <c r="V3461" s="24"/>
      <c r="W3461" s="24"/>
      <c r="X3461" s="24"/>
      <c r="Y3461" s="24"/>
      <c r="Z3461" s="20" t="str">
        <f t="shared" si="112"/>
        <v/>
      </c>
    </row>
    <row r="3462" spans="1:26" x14ac:dyDescent="0.2">
      <c r="A3462" s="21"/>
      <c r="B3462" s="20"/>
      <c r="C3462" s="22"/>
      <c r="D3462" s="22"/>
      <c r="E3462" s="24"/>
      <c r="F3462" s="22"/>
      <c r="H3462" s="21">
        <v>46116</v>
      </c>
      <c r="I3462" s="22" t="s">
        <v>70</v>
      </c>
      <c r="J3462" s="22" t="s">
        <v>52</v>
      </c>
      <c r="K3462" s="24">
        <v>2</v>
      </c>
      <c r="M3462" s="21"/>
      <c r="N3462" s="22"/>
      <c r="O3462" s="22"/>
      <c r="P3462" s="49"/>
      <c r="Q3462" s="49"/>
      <c r="R3462" s="188" t="str">
        <f t="shared" si="113"/>
        <v/>
      </c>
      <c r="T3462" s="21"/>
      <c r="U3462" s="22"/>
      <c r="V3462" s="24"/>
      <c r="W3462" s="24"/>
      <c r="X3462" s="24"/>
      <c r="Y3462" s="24"/>
      <c r="Z3462" s="20" t="str">
        <f t="shared" si="112"/>
        <v/>
      </c>
    </row>
    <row r="3463" spans="1:26" x14ac:dyDescent="0.2">
      <c r="A3463" s="21"/>
      <c r="B3463" s="20"/>
      <c r="C3463" s="22"/>
      <c r="D3463" s="22"/>
      <c r="E3463" s="24"/>
      <c r="F3463" s="22"/>
      <c r="H3463" s="21">
        <v>46116</v>
      </c>
      <c r="I3463" s="22" t="s">
        <v>70</v>
      </c>
      <c r="J3463" s="22" t="s">
        <v>53</v>
      </c>
      <c r="K3463" s="24">
        <v>2</v>
      </c>
      <c r="M3463" s="21"/>
      <c r="N3463" s="22"/>
      <c r="O3463" s="22"/>
      <c r="P3463" s="49"/>
      <c r="Q3463" s="49"/>
      <c r="R3463" s="188" t="str">
        <f t="shared" si="113"/>
        <v/>
      </c>
      <c r="T3463" s="21"/>
      <c r="U3463" s="22"/>
      <c r="V3463" s="24"/>
      <c r="W3463" s="24"/>
      <c r="X3463" s="24"/>
      <c r="Y3463" s="24"/>
      <c r="Z3463" s="20" t="str">
        <f t="shared" si="112"/>
        <v/>
      </c>
    </row>
    <row r="3464" spans="1:26" x14ac:dyDescent="0.2">
      <c r="A3464" s="21"/>
      <c r="B3464" s="20"/>
      <c r="C3464" s="22"/>
      <c r="D3464" s="22"/>
      <c r="E3464" s="24"/>
      <c r="F3464" s="22"/>
      <c r="H3464" s="21">
        <v>46116</v>
      </c>
      <c r="I3464" s="22" t="s">
        <v>70</v>
      </c>
      <c r="J3464" s="22" t="s">
        <v>44</v>
      </c>
      <c r="K3464" s="24">
        <v>2</v>
      </c>
      <c r="M3464" s="21"/>
      <c r="N3464" s="22"/>
      <c r="O3464" s="22"/>
      <c r="P3464" s="49"/>
      <c r="Q3464" s="49"/>
      <c r="R3464" s="188" t="str">
        <f t="shared" si="113"/>
        <v/>
      </c>
      <c r="T3464" s="21"/>
      <c r="U3464" s="22"/>
      <c r="V3464" s="24"/>
      <c r="W3464" s="24"/>
      <c r="X3464" s="24"/>
      <c r="Y3464" s="24"/>
      <c r="Z3464" s="20" t="str">
        <f t="shared" si="112"/>
        <v/>
      </c>
    </row>
    <row r="3465" spans="1:26" x14ac:dyDescent="0.2">
      <c r="A3465" s="21"/>
      <c r="B3465" s="20"/>
      <c r="C3465" s="22"/>
      <c r="D3465" s="22"/>
      <c r="E3465" s="24"/>
      <c r="F3465" s="22"/>
      <c r="H3465" s="21">
        <v>46116</v>
      </c>
      <c r="I3465" s="22" t="s">
        <v>70</v>
      </c>
      <c r="J3465" s="22" t="s">
        <v>45</v>
      </c>
      <c r="K3465" s="24">
        <v>2</v>
      </c>
      <c r="M3465" s="21"/>
      <c r="N3465" s="22"/>
      <c r="O3465" s="22"/>
      <c r="P3465" s="49"/>
      <c r="Q3465" s="49"/>
      <c r="R3465" s="188" t="str">
        <f t="shared" si="113"/>
        <v/>
      </c>
      <c r="T3465" s="21"/>
      <c r="U3465" s="22"/>
      <c r="V3465" s="24"/>
      <c r="W3465" s="24"/>
      <c r="X3465" s="24"/>
      <c r="Y3465" s="24"/>
      <c r="Z3465" s="20" t="str">
        <f t="shared" si="112"/>
        <v/>
      </c>
    </row>
    <row r="3466" spans="1:26" x14ac:dyDescent="0.2">
      <c r="A3466" s="21"/>
      <c r="B3466" s="20"/>
      <c r="C3466" s="22"/>
      <c r="D3466" s="22"/>
      <c r="E3466" s="24"/>
      <c r="F3466" s="22"/>
      <c r="H3466" s="21">
        <v>46116</v>
      </c>
      <c r="I3466" s="22" t="s">
        <v>70</v>
      </c>
      <c r="J3466" s="22" t="s">
        <v>57</v>
      </c>
      <c r="K3466" s="24">
        <v>7</v>
      </c>
      <c r="M3466" s="21"/>
      <c r="N3466" s="22"/>
      <c r="O3466" s="22"/>
      <c r="P3466" s="49"/>
      <c r="Q3466" s="49"/>
      <c r="R3466" s="188" t="str">
        <f t="shared" si="113"/>
        <v/>
      </c>
      <c r="T3466" s="21"/>
      <c r="U3466" s="22"/>
      <c r="V3466" s="24"/>
      <c r="W3466" s="24"/>
      <c r="X3466" s="24"/>
      <c r="Y3466" s="24"/>
      <c r="Z3466" s="20" t="str">
        <f t="shared" si="112"/>
        <v/>
      </c>
    </row>
    <row r="3467" spans="1:26" x14ac:dyDescent="0.2">
      <c r="A3467" s="21"/>
      <c r="B3467" s="20"/>
      <c r="C3467" s="22"/>
      <c r="D3467" s="22"/>
      <c r="E3467" s="24"/>
      <c r="F3467" s="22"/>
      <c r="H3467" s="21">
        <v>46116</v>
      </c>
      <c r="I3467" s="22" t="s">
        <v>70</v>
      </c>
      <c r="J3467" s="22" t="s">
        <v>42</v>
      </c>
      <c r="K3467" s="24">
        <v>2</v>
      </c>
      <c r="M3467" s="21"/>
      <c r="N3467" s="22"/>
      <c r="O3467" s="22"/>
      <c r="P3467" s="49"/>
      <c r="Q3467" s="49"/>
      <c r="R3467" s="188" t="str">
        <f t="shared" si="113"/>
        <v/>
      </c>
      <c r="T3467" s="21"/>
      <c r="U3467" s="22"/>
      <c r="V3467" s="24"/>
      <c r="W3467" s="24"/>
      <c r="X3467" s="24"/>
      <c r="Y3467" s="24"/>
      <c r="Z3467" s="20" t="str">
        <f t="shared" si="112"/>
        <v/>
      </c>
    </row>
    <row r="3468" spans="1:26" x14ac:dyDescent="0.2">
      <c r="A3468" s="21"/>
      <c r="B3468" s="20"/>
      <c r="C3468" s="22"/>
      <c r="D3468" s="22"/>
      <c r="E3468" s="24"/>
      <c r="F3468" s="22"/>
      <c r="H3468" s="21">
        <v>46116</v>
      </c>
      <c r="I3468" s="22" t="s">
        <v>70</v>
      </c>
      <c r="J3468" s="22" t="s">
        <v>47</v>
      </c>
      <c r="K3468" s="24">
        <v>2</v>
      </c>
      <c r="M3468" s="21"/>
      <c r="N3468" s="22"/>
      <c r="O3468" s="22"/>
      <c r="P3468" s="49"/>
      <c r="Q3468" s="49"/>
      <c r="R3468" s="188" t="str">
        <f t="shared" si="113"/>
        <v/>
      </c>
      <c r="T3468" s="21"/>
      <c r="U3468" s="22"/>
      <c r="V3468" s="24"/>
      <c r="W3468" s="24"/>
      <c r="X3468" s="24"/>
      <c r="Y3468" s="24"/>
      <c r="Z3468" s="20" t="str">
        <f t="shared" si="112"/>
        <v/>
      </c>
    </row>
    <row r="3469" spans="1:26" x14ac:dyDescent="0.2">
      <c r="A3469" s="21"/>
      <c r="B3469" s="20"/>
      <c r="C3469" s="22"/>
      <c r="D3469" s="22"/>
      <c r="E3469" s="24"/>
      <c r="F3469" s="22"/>
      <c r="H3469" s="21">
        <v>46116</v>
      </c>
      <c r="I3469" s="22" t="s">
        <v>70</v>
      </c>
      <c r="J3469" s="22" t="s">
        <v>41</v>
      </c>
      <c r="K3469" s="24">
        <v>2</v>
      </c>
      <c r="M3469" s="21"/>
      <c r="N3469" s="22"/>
      <c r="O3469" s="22"/>
      <c r="P3469" s="49"/>
      <c r="Q3469" s="49"/>
      <c r="R3469" s="188" t="str">
        <f t="shared" si="113"/>
        <v/>
      </c>
      <c r="T3469" s="21"/>
      <c r="U3469" s="22"/>
      <c r="V3469" s="24"/>
      <c r="W3469" s="24"/>
      <c r="X3469" s="24"/>
      <c r="Y3469" s="24"/>
      <c r="Z3469" s="20" t="str">
        <f t="shared" si="112"/>
        <v/>
      </c>
    </row>
    <row r="3470" spans="1:26" x14ac:dyDescent="0.2">
      <c r="A3470" s="21"/>
      <c r="B3470" s="20"/>
      <c r="C3470" s="22"/>
      <c r="D3470" s="22"/>
      <c r="E3470" s="24"/>
      <c r="F3470" s="22"/>
      <c r="H3470" s="21">
        <v>46116</v>
      </c>
      <c r="I3470" s="22" t="s">
        <v>70</v>
      </c>
      <c r="J3470" s="22" t="s">
        <v>49</v>
      </c>
      <c r="K3470" s="24">
        <v>2</v>
      </c>
      <c r="M3470" s="21"/>
      <c r="N3470" s="22"/>
      <c r="O3470" s="22"/>
      <c r="P3470" s="49"/>
      <c r="Q3470" s="49"/>
      <c r="R3470" s="188" t="str">
        <f t="shared" si="113"/>
        <v/>
      </c>
      <c r="T3470" s="21"/>
      <c r="U3470" s="22"/>
      <c r="V3470" s="24"/>
      <c r="W3470" s="24"/>
      <c r="X3470" s="24"/>
      <c r="Y3470" s="24"/>
      <c r="Z3470" s="20" t="str">
        <f t="shared" si="112"/>
        <v/>
      </c>
    </row>
    <row r="3471" spans="1:26" x14ac:dyDescent="0.2">
      <c r="A3471" s="21"/>
      <c r="B3471" s="20"/>
      <c r="C3471" s="22"/>
      <c r="D3471" s="22"/>
      <c r="E3471" s="24"/>
      <c r="F3471" s="22"/>
      <c r="H3471" s="21">
        <v>46116</v>
      </c>
      <c r="I3471" s="22" t="s">
        <v>70</v>
      </c>
      <c r="J3471" s="22" t="s">
        <v>50</v>
      </c>
      <c r="K3471" s="24">
        <v>2</v>
      </c>
      <c r="M3471" s="21"/>
      <c r="N3471" s="22"/>
      <c r="O3471" s="22"/>
      <c r="P3471" s="49"/>
      <c r="Q3471" s="49"/>
      <c r="R3471" s="188" t="str">
        <f t="shared" si="113"/>
        <v/>
      </c>
      <c r="T3471" s="21"/>
      <c r="U3471" s="22"/>
      <c r="V3471" s="24"/>
      <c r="W3471" s="24"/>
      <c r="X3471" s="24"/>
      <c r="Y3471" s="24"/>
      <c r="Z3471" s="20" t="str">
        <f t="shared" si="112"/>
        <v/>
      </c>
    </row>
    <row r="3472" spans="1:26" x14ac:dyDescent="0.2">
      <c r="A3472" s="21"/>
      <c r="B3472" s="20"/>
      <c r="C3472" s="22"/>
      <c r="D3472" s="22"/>
      <c r="E3472" s="24"/>
      <c r="F3472" s="22"/>
      <c r="H3472" s="21">
        <v>46116</v>
      </c>
      <c r="I3472" s="22" t="s">
        <v>70</v>
      </c>
      <c r="J3472" s="22" t="s">
        <v>51</v>
      </c>
      <c r="K3472" s="24">
        <v>2</v>
      </c>
      <c r="M3472" s="21"/>
      <c r="N3472" s="22"/>
      <c r="O3472" s="22"/>
      <c r="P3472" s="49"/>
      <c r="Q3472" s="49"/>
      <c r="R3472" s="188" t="str">
        <f t="shared" si="113"/>
        <v/>
      </c>
      <c r="T3472" s="21"/>
      <c r="U3472" s="22"/>
      <c r="V3472" s="24"/>
      <c r="W3472" s="24"/>
      <c r="X3472" s="24"/>
      <c r="Y3472" s="24"/>
      <c r="Z3472" s="20" t="str">
        <f t="shared" si="112"/>
        <v/>
      </c>
    </row>
    <row r="3473" spans="1:26" x14ac:dyDescent="0.2">
      <c r="A3473" s="21"/>
      <c r="B3473" s="20"/>
      <c r="C3473" s="22"/>
      <c r="D3473" s="22"/>
      <c r="E3473" s="24"/>
      <c r="F3473" s="22"/>
      <c r="H3473" s="21">
        <v>46116</v>
      </c>
      <c r="I3473" s="22" t="s">
        <v>70</v>
      </c>
      <c r="J3473" s="22" t="s">
        <v>46</v>
      </c>
      <c r="K3473" s="24">
        <v>2</v>
      </c>
      <c r="M3473" s="21"/>
      <c r="N3473" s="22"/>
      <c r="O3473" s="22"/>
      <c r="P3473" s="49"/>
      <c r="Q3473" s="49"/>
      <c r="R3473" s="188" t="str">
        <f t="shared" si="113"/>
        <v/>
      </c>
      <c r="T3473" s="21"/>
      <c r="U3473" s="22"/>
      <c r="V3473" s="24"/>
      <c r="W3473" s="24"/>
      <c r="X3473" s="24"/>
      <c r="Y3473" s="24"/>
      <c r="Z3473" s="20" t="str">
        <f t="shared" si="112"/>
        <v/>
      </c>
    </row>
    <row r="3474" spans="1:26" x14ac:dyDescent="0.2">
      <c r="A3474" s="21"/>
      <c r="B3474" s="20"/>
      <c r="C3474" s="22"/>
      <c r="D3474" s="22"/>
      <c r="E3474" s="24"/>
      <c r="F3474" s="22"/>
      <c r="H3474" s="21">
        <v>46116</v>
      </c>
      <c r="I3474" s="22" t="s">
        <v>70</v>
      </c>
      <c r="J3474" s="22" t="s">
        <v>48</v>
      </c>
      <c r="K3474" s="24" t="s">
        <v>61</v>
      </c>
      <c r="M3474" s="21"/>
      <c r="N3474" s="22"/>
      <c r="O3474" s="22"/>
      <c r="P3474" s="49"/>
      <c r="Q3474" s="49"/>
      <c r="R3474" s="188" t="str">
        <f t="shared" si="113"/>
        <v/>
      </c>
      <c r="T3474" s="21"/>
      <c r="U3474" s="22"/>
      <c r="V3474" s="24"/>
      <c r="W3474" s="24"/>
      <c r="X3474" s="24"/>
      <c r="Y3474" s="24"/>
      <c r="Z3474" s="20" t="str">
        <f t="shared" si="112"/>
        <v/>
      </c>
    </row>
    <row r="3475" spans="1:26" x14ac:dyDescent="0.2">
      <c r="A3475" s="21"/>
      <c r="B3475" s="20"/>
      <c r="C3475" s="22"/>
      <c r="D3475" s="22"/>
      <c r="E3475" s="24"/>
      <c r="F3475" s="22"/>
      <c r="H3475" s="21">
        <v>46116</v>
      </c>
      <c r="I3475" s="22" t="s">
        <v>70</v>
      </c>
      <c r="J3475" s="22" t="s">
        <v>55</v>
      </c>
      <c r="K3475" s="24">
        <v>2</v>
      </c>
      <c r="M3475" s="21"/>
      <c r="N3475" s="22"/>
      <c r="O3475" s="22"/>
      <c r="P3475" s="49"/>
      <c r="Q3475" s="49"/>
      <c r="R3475" s="188" t="str">
        <f t="shared" si="113"/>
        <v/>
      </c>
      <c r="T3475" s="21"/>
      <c r="U3475" s="22"/>
      <c r="V3475" s="24"/>
      <c r="W3475" s="24"/>
      <c r="X3475" s="24"/>
      <c r="Y3475" s="24"/>
      <c r="Z3475" s="20" t="str">
        <f t="shared" ref="Z3475:Z3538" si="114">IF(COUNT(V3475:Y3475)=0,"",SUM(V3475:Y3475))</f>
        <v/>
      </c>
    </row>
    <row r="3476" spans="1:26" x14ac:dyDescent="0.2">
      <c r="A3476" s="21"/>
      <c r="B3476" s="20"/>
      <c r="C3476" s="22"/>
      <c r="D3476" s="22"/>
      <c r="E3476" s="24"/>
      <c r="F3476" s="22"/>
      <c r="H3476" s="21">
        <v>46116</v>
      </c>
      <c r="I3476" s="22" t="s">
        <v>71</v>
      </c>
      <c r="J3476" s="22" t="s">
        <v>52</v>
      </c>
      <c r="K3476" s="24" t="s">
        <v>63</v>
      </c>
      <c r="M3476" s="21"/>
      <c r="N3476" s="22"/>
      <c r="O3476" s="22"/>
      <c r="P3476" s="49"/>
      <c r="Q3476" s="49"/>
      <c r="R3476" s="188" t="str">
        <f t="shared" si="113"/>
        <v/>
      </c>
      <c r="T3476" s="21"/>
      <c r="U3476" s="22"/>
      <c r="V3476" s="24"/>
      <c r="W3476" s="24"/>
      <c r="X3476" s="24"/>
      <c r="Y3476" s="24"/>
      <c r="Z3476" s="20" t="str">
        <f t="shared" si="114"/>
        <v/>
      </c>
    </row>
    <row r="3477" spans="1:26" x14ac:dyDescent="0.2">
      <c r="A3477" s="21"/>
      <c r="B3477" s="20"/>
      <c r="C3477" s="22"/>
      <c r="D3477" s="22"/>
      <c r="E3477" s="24"/>
      <c r="F3477" s="22"/>
      <c r="H3477" s="21">
        <v>46116</v>
      </c>
      <c r="I3477" s="22" t="s">
        <v>71</v>
      </c>
      <c r="J3477" s="22" t="s">
        <v>53</v>
      </c>
      <c r="K3477" s="24" t="s">
        <v>63</v>
      </c>
      <c r="M3477" s="21"/>
      <c r="N3477" s="22"/>
      <c r="O3477" s="22"/>
      <c r="P3477" s="49"/>
      <c r="Q3477" s="49"/>
      <c r="R3477" s="188" t="str">
        <f t="shared" si="113"/>
        <v/>
      </c>
      <c r="T3477" s="21"/>
      <c r="U3477" s="22"/>
      <c r="V3477" s="24"/>
      <c r="W3477" s="24"/>
      <c r="X3477" s="24"/>
      <c r="Y3477" s="24"/>
      <c r="Z3477" s="20" t="str">
        <f t="shared" si="114"/>
        <v/>
      </c>
    </row>
    <row r="3478" spans="1:26" x14ac:dyDescent="0.2">
      <c r="A3478" s="21"/>
      <c r="B3478" s="20"/>
      <c r="C3478" s="22"/>
      <c r="D3478" s="22"/>
      <c r="E3478" s="24"/>
      <c r="F3478" s="22"/>
      <c r="H3478" s="21">
        <v>46116</v>
      </c>
      <c r="I3478" s="22" t="s">
        <v>71</v>
      </c>
      <c r="J3478" s="22" t="s">
        <v>44</v>
      </c>
      <c r="K3478" s="24">
        <v>8</v>
      </c>
      <c r="M3478" s="21"/>
      <c r="N3478" s="22"/>
      <c r="O3478" s="22"/>
      <c r="P3478" s="49"/>
      <c r="Q3478" s="49"/>
      <c r="R3478" s="188" t="str">
        <f t="shared" ref="R3478:R3541" si="115">IF(OR(P3478="",Q3478=""),"",IFERROR(P3478-Q3478,""))</f>
        <v/>
      </c>
      <c r="T3478" s="21"/>
      <c r="U3478" s="22"/>
      <c r="V3478" s="24"/>
      <c r="W3478" s="24"/>
      <c r="X3478" s="24"/>
      <c r="Y3478" s="24"/>
      <c r="Z3478" s="20" t="str">
        <f t="shared" si="114"/>
        <v/>
      </c>
    </row>
    <row r="3479" spans="1:26" x14ac:dyDescent="0.2">
      <c r="A3479" s="21"/>
      <c r="B3479" s="20"/>
      <c r="C3479" s="22"/>
      <c r="D3479" s="22"/>
      <c r="E3479" s="24"/>
      <c r="F3479" s="22"/>
      <c r="H3479" s="21">
        <v>46116</v>
      </c>
      <c r="I3479" s="22" t="s">
        <v>71</v>
      </c>
      <c r="J3479" s="22" t="s">
        <v>45</v>
      </c>
      <c r="K3479" s="24">
        <v>6</v>
      </c>
      <c r="M3479" s="21"/>
      <c r="N3479" s="22"/>
      <c r="O3479" s="22"/>
      <c r="P3479" s="49"/>
      <c r="Q3479" s="49"/>
      <c r="R3479" s="188" t="str">
        <f t="shared" si="115"/>
        <v/>
      </c>
      <c r="T3479" s="21"/>
      <c r="U3479" s="22"/>
      <c r="V3479" s="24"/>
      <c r="W3479" s="24"/>
      <c r="X3479" s="24"/>
      <c r="Y3479" s="24"/>
      <c r="Z3479" s="20" t="str">
        <f t="shared" si="114"/>
        <v/>
      </c>
    </row>
    <row r="3480" spans="1:26" x14ac:dyDescent="0.2">
      <c r="A3480" s="21"/>
      <c r="B3480" s="20"/>
      <c r="C3480" s="22"/>
      <c r="D3480" s="22"/>
      <c r="E3480" s="24"/>
      <c r="F3480" s="22"/>
      <c r="H3480" s="21">
        <v>46116</v>
      </c>
      <c r="I3480" s="22" t="s">
        <v>71</v>
      </c>
      <c r="J3480" s="22" t="s">
        <v>42</v>
      </c>
      <c r="K3480" s="24">
        <v>4</v>
      </c>
      <c r="M3480" s="21"/>
      <c r="N3480" s="22"/>
      <c r="O3480" s="22"/>
      <c r="P3480" s="49"/>
      <c r="Q3480" s="49"/>
      <c r="R3480" s="188" t="str">
        <f t="shared" si="115"/>
        <v/>
      </c>
      <c r="T3480" s="21"/>
      <c r="U3480" s="22"/>
      <c r="V3480" s="24"/>
      <c r="W3480" s="24"/>
      <c r="X3480" s="24"/>
      <c r="Y3480" s="24"/>
      <c r="Z3480" s="20" t="str">
        <f t="shared" si="114"/>
        <v/>
      </c>
    </row>
    <row r="3481" spans="1:26" x14ac:dyDescent="0.2">
      <c r="A3481" s="21"/>
      <c r="B3481" s="20"/>
      <c r="C3481" s="22"/>
      <c r="D3481" s="22"/>
      <c r="E3481" s="24"/>
      <c r="F3481" s="22"/>
      <c r="H3481" s="21">
        <v>46116</v>
      </c>
      <c r="I3481" s="22" t="s">
        <v>71</v>
      </c>
      <c r="J3481" s="22" t="s">
        <v>47</v>
      </c>
      <c r="K3481" s="24">
        <v>6</v>
      </c>
      <c r="M3481" s="21"/>
      <c r="N3481" s="22"/>
      <c r="O3481" s="22"/>
      <c r="P3481" s="49"/>
      <c r="Q3481" s="49"/>
      <c r="R3481" s="188" t="str">
        <f t="shared" si="115"/>
        <v/>
      </c>
      <c r="T3481" s="21"/>
      <c r="U3481" s="22"/>
      <c r="V3481" s="24"/>
      <c r="W3481" s="24"/>
      <c r="X3481" s="24"/>
      <c r="Y3481" s="24"/>
      <c r="Z3481" s="20" t="str">
        <f t="shared" si="114"/>
        <v/>
      </c>
    </row>
    <row r="3482" spans="1:26" x14ac:dyDescent="0.2">
      <c r="A3482" s="21"/>
      <c r="B3482" s="20"/>
      <c r="C3482" s="22"/>
      <c r="D3482" s="22"/>
      <c r="E3482" s="24"/>
      <c r="F3482" s="22"/>
      <c r="H3482" s="21">
        <v>46116</v>
      </c>
      <c r="I3482" s="22" t="s">
        <v>71</v>
      </c>
      <c r="J3482" s="22" t="s">
        <v>41</v>
      </c>
      <c r="K3482" s="24" t="s">
        <v>63</v>
      </c>
      <c r="M3482" s="21"/>
      <c r="N3482" s="22"/>
      <c r="O3482" s="22"/>
      <c r="P3482" s="49"/>
      <c r="Q3482" s="49"/>
      <c r="R3482" s="188" t="str">
        <f t="shared" si="115"/>
        <v/>
      </c>
      <c r="T3482" s="21"/>
      <c r="U3482" s="22"/>
      <c r="V3482" s="24"/>
      <c r="W3482" s="24"/>
      <c r="X3482" s="24"/>
      <c r="Y3482" s="24"/>
      <c r="Z3482" s="20" t="str">
        <f t="shared" si="114"/>
        <v/>
      </c>
    </row>
    <row r="3483" spans="1:26" x14ac:dyDescent="0.2">
      <c r="A3483" s="21"/>
      <c r="B3483" s="20"/>
      <c r="C3483" s="22"/>
      <c r="D3483" s="22"/>
      <c r="E3483" s="24"/>
      <c r="F3483" s="22"/>
      <c r="H3483" s="21">
        <v>46116</v>
      </c>
      <c r="I3483" s="22" t="s">
        <v>71</v>
      </c>
      <c r="J3483" s="22" t="s">
        <v>58</v>
      </c>
      <c r="K3483" s="24">
        <v>9</v>
      </c>
      <c r="M3483" s="21"/>
      <c r="N3483" s="22"/>
      <c r="O3483" s="22"/>
      <c r="P3483" s="49"/>
      <c r="Q3483" s="49"/>
      <c r="R3483" s="188" t="str">
        <f t="shared" si="115"/>
        <v/>
      </c>
      <c r="T3483" s="21"/>
      <c r="U3483" s="22"/>
      <c r="V3483" s="24"/>
      <c r="W3483" s="24"/>
      <c r="X3483" s="24"/>
      <c r="Y3483" s="24"/>
      <c r="Z3483" s="20" t="str">
        <f t="shared" si="114"/>
        <v/>
      </c>
    </row>
    <row r="3484" spans="1:26" x14ac:dyDescent="0.2">
      <c r="A3484" s="21"/>
      <c r="B3484" s="20"/>
      <c r="C3484" s="22"/>
      <c r="D3484" s="22"/>
      <c r="E3484" s="24"/>
      <c r="F3484" s="22"/>
      <c r="H3484" s="21">
        <v>46116</v>
      </c>
      <c r="I3484" s="22" t="s">
        <v>71</v>
      </c>
      <c r="J3484" s="22" t="s">
        <v>49</v>
      </c>
      <c r="K3484" s="24">
        <v>9</v>
      </c>
      <c r="M3484" s="21"/>
      <c r="N3484" s="22"/>
      <c r="O3484" s="22"/>
      <c r="P3484" s="49"/>
      <c r="Q3484" s="49"/>
      <c r="R3484" s="188" t="str">
        <f t="shared" si="115"/>
        <v/>
      </c>
      <c r="T3484" s="21"/>
      <c r="U3484" s="22"/>
      <c r="V3484" s="24"/>
      <c r="W3484" s="24"/>
      <c r="X3484" s="24"/>
      <c r="Y3484" s="24"/>
      <c r="Z3484" s="20" t="str">
        <f t="shared" si="114"/>
        <v/>
      </c>
    </row>
    <row r="3485" spans="1:26" x14ac:dyDescent="0.2">
      <c r="A3485" s="21"/>
      <c r="B3485" s="20"/>
      <c r="C3485" s="22"/>
      <c r="D3485" s="22"/>
      <c r="E3485" s="24"/>
      <c r="F3485" s="22"/>
      <c r="H3485" s="21">
        <v>46116</v>
      </c>
      <c r="I3485" s="22" t="s">
        <v>71</v>
      </c>
      <c r="J3485" s="22" t="s">
        <v>50</v>
      </c>
      <c r="K3485" s="24">
        <v>9</v>
      </c>
      <c r="M3485" s="21"/>
      <c r="N3485" s="22"/>
      <c r="O3485" s="22"/>
      <c r="P3485" s="49"/>
      <c r="Q3485" s="49"/>
      <c r="R3485" s="188" t="str">
        <f t="shared" si="115"/>
        <v/>
      </c>
      <c r="T3485" s="21"/>
      <c r="U3485" s="22"/>
      <c r="V3485" s="24"/>
      <c r="W3485" s="24"/>
      <c r="X3485" s="24"/>
      <c r="Y3485" s="24"/>
      <c r="Z3485" s="20" t="str">
        <f t="shared" si="114"/>
        <v/>
      </c>
    </row>
    <row r="3486" spans="1:26" x14ac:dyDescent="0.2">
      <c r="A3486" s="21"/>
      <c r="B3486" s="20"/>
      <c r="C3486" s="22"/>
      <c r="D3486" s="22"/>
      <c r="E3486" s="24"/>
      <c r="F3486" s="22"/>
      <c r="H3486" s="21">
        <v>46116</v>
      </c>
      <c r="I3486" s="22" t="s">
        <v>71</v>
      </c>
      <c r="J3486" s="22" t="s">
        <v>51</v>
      </c>
      <c r="K3486" s="24">
        <v>7</v>
      </c>
      <c r="M3486" s="21"/>
      <c r="N3486" s="22"/>
      <c r="O3486" s="22"/>
      <c r="P3486" s="49"/>
      <c r="Q3486" s="49"/>
      <c r="R3486" s="188" t="str">
        <f t="shared" si="115"/>
        <v/>
      </c>
      <c r="T3486" s="21"/>
      <c r="U3486" s="22"/>
      <c r="V3486" s="24"/>
      <c r="W3486" s="24"/>
      <c r="X3486" s="24"/>
      <c r="Y3486" s="24"/>
      <c r="Z3486" s="20" t="str">
        <f t="shared" si="114"/>
        <v/>
      </c>
    </row>
    <row r="3487" spans="1:26" x14ac:dyDescent="0.2">
      <c r="A3487" s="21"/>
      <c r="B3487" s="20"/>
      <c r="C3487" s="22"/>
      <c r="D3487" s="22"/>
      <c r="E3487" s="24"/>
      <c r="F3487" s="22"/>
      <c r="H3487" s="21">
        <v>46116</v>
      </c>
      <c r="I3487" s="22" t="s">
        <v>71</v>
      </c>
      <c r="J3487" s="22" t="s">
        <v>46</v>
      </c>
      <c r="K3487" s="24">
        <v>8</v>
      </c>
      <c r="M3487" s="21"/>
      <c r="N3487" s="22"/>
      <c r="O3487" s="22"/>
      <c r="P3487" s="49"/>
      <c r="Q3487" s="49"/>
      <c r="R3487" s="188" t="str">
        <f t="shared" si="115"/>
        <v/>
      </c>
      <c r="T3487" s="21"/>
      <c r="U3487" s="22"/>
      <c r="V3487" s="24"/>
      <c r="W3487" s="24"/>
      <c r="X3487" s="24"/>
      <c r="Y3487" s="24"/>
      <c r="Z3487" s="20" t="str">
        <f t="shared" si="114"/>
        <v/>
      </c>
    </row>
    <row r="3488" spans="1:26" x14ac:dyDescent="0.2">
      <c r="A3488" s="21"/>
      <c r="B3488" s="20"/>
      <c r="C3488" s="22"/>
      <c r="D3488" s="22"/>
      <c r="E3488" s="24"/>
      <c r="F3488" s="22"/>
      <c r="H3488" s="21">
        <v>46116</v>
      </c>
      <c r="I3488" s="22" t="s">
        <v>71</v>
      </c>
      <c r="J3488" s="22" t="s">
        <v>48</v>
      </c>
      <c r="K3488" s="24" t="s">
        <v>61</v>
      </c>
      <c r="M3488" s="21"/>
      <c r="N3488" s="22"/>
      <c r="O3488" s="22"/>
      <c r="P3488" s="49"/>
      <c r="Q3488" s="49"/>
      <c r="R3488" s="188" t="str">
        <f t="shared" si="115"/>
        <v/>
      </c>
      <c r="T3488" s="21"/>
      <c r="U3488" s="22"/>
      <c r="V3488" s="24"/>
      <c r="W3488" s="24"/>
      <c r="X3488" s="24"/>
      <c r="Y3488" s="24"/>
      <c r="Z3488" s="20" t="str">
        <f t="shared" si="114"/>
        <v/>
      </c>
    </row>
    <row r="3489" spans="1:26" x14ac:dyDescent="0.2">
      <c r="A3489" s="21"/>
      <c r="B3489" s="20"/>
      <c r="C3489" s="22"/>
      <c r="D3489" s="22"/>
      <c r="E3489" s="24"/>
      <c r="F3489" s="22"/>
      <c r="H3489" s="21">
        <v>46116</v>
      </c>
      <c r="I3489" s="22" t="s">
        <v>71</v>
      </c>
      <c r="J3489" s="22" t="s">
        <v>55</v>
      </c>
      <c r="K3489" s="24" t="s">
        <v>63</v>
      </c>
      <c r="M3489" s="21"/>
      <c r="N3489" s="22"/>
      <c r="O3489" s="22"/>
      <c r="P3489" s="49"/>
      <c r="Q3489" s="49"/>
      <c r="R3489" s="188" t="str">
        <f t="shared" si="115"/>
        <v/>
      </c>
      <c r="T3489" s="21"/>
      <c r="U3489" s="22"/>
      <c r="V3489" s="24"/>
      <c r="W3489" s="24"/>
      <c r="X3489" s="24"/>
      <c r="Y3489" s="24"/>
      <c r="Z3489" s="20" t="str">
        <f t="shared" si="114"/>
        <v/>
      </c>
    </row>
    <row r="3490" spans="1:26" x14ac:dyDescent="0.2">
      <c r="A3490" s="21"/>
      <c r="B3490" s="20"/>
      <c r="C3490" s="22"/>
      <c r="D3490" s="22"/>
      <c r="E3490" s="24"/>
      <c r="F3490" s="22"/>
      <c r="H3490" s="21">
        <v>46118</v>
      </c>
      <c r="I3490" s="22" t="s">
        <v>70</v>
      </c>
      <c r="J3490" s="22" t="s">
        <v>52</v>
      </c>
      <c r="K3490" s="24">
        <v>7</v>
      </c>
      <c r="M3490" s="21"/>
      <c r="N3490" s="22"/>
      <c r="O3490" s="22"/>
      <c r="P3490" s="49"/>
      <c r="Q3490" s="49"/>
      <c r="R3490" s="188" t="str">
        <f t="shared" si="115"/>
        <v/>
      </c>
      <c r="T3490" s="21"/>
      <c r="U3490" s="22"/>
      <c r="V3490" s="24"/>
      <c r="W3490" s="24"/>
      <c r="X3490" s="24"/>
      <c r="Y3490" s="24"/>
      <c r="Z3490" s="20" t="str">
        <f t="shared" si="114"/>
        <v/>
      </c>
    </row>
    <row r="3491" spans="1:26" x14ac:dyDescent="0.2">
      <c r="A3491" s="21"/>
      <c r="B3491" s="20"/>
      <c r="C3491" s="22"/>
      <c r="D3491" s="22"/>
      <c r="E3491" s="24"/>
      <c r="F3491" s="22"/>
      <c r="H3491" s="21">
        <v>46118</v>
      </c>
      <c r="I3491" s="22" t="s">
        <v>70</v>
      </c>
      <c r="J3491" s="22" t="s">
        <v>53</v>
      </c>
      <c r="K3491" s="24" t="s">
        <v>61</v>
      </c>
      <c r="M3491" s="21"/>
      <c r="N3491" s="22"/>
      <c r="O3491" s="22"/>
      <c r="P3491" s="49"/>
      <c r="Q3491" s="49"/>
      <c r="R3491" s="188" t="str">
        <f t="shared" si="115"/>
        <v/>
      </c>
      <c r="T3491" s="21"/>
      <c r="U3491" s="22"/>
      <c r="V3491" s="24"/>
      <c r="W3491" s="24"/>
      <c r="X3491" s="24"/>
      <c r="Y3491" s="24"/>
      <c r="Z3491" s="20" t="str">
        <f t="shared" si="114"/>
        <v/>
      </c>
    </row>
    <row r="3492" spans="1:26" x14ac:dyDescent="0.2">
      <c r="A3492" s="21"/>
      <c r="B3492" s="20"/>
      <c r="C3492" s="22"/>
      <c r="D3492" s="22"/>
      <c r="E3492" s="24"/>
      <c r="F3492" s="22"/>
      <c r="H3492" s="21">
        <v>46118</v>
      </c>
      <c r="I3492" s="22" t="s">
        <v>70</v>
      </c>
      <c r="J3492" s="22" t="s">
        <v>44</v>
      </c>
      <c r="K3492" s="24" t="s">
        <v>64</v>
      </c>
      <c r="M3492" s="21"/>
      <c r="N3492" s="22"/>
      <c r="O3492" s="22"/>
      <c r="P3492" s="49"/>
      <c r="Q3492" s="49"/>
      <c r="R3492" s="188" t="str">
        <f t="shared" si="115"/>
        <v/>
      </c>
      <c r="T3492" s="21"/>
      <c r="U3492" s="22"/>
      <c r="V3492" s="24"/>
      <c r="W3492" s="24"/>
      <c r="X3492" s="24"/>
      <c r="Y3492" s="24"/>
      <c r="Z3492" s="20" t="str">
        <f t="shared" si="114"/>
        <v/>
      </c>
    </row>
    <row r="3493" spans="1:26" x14ac:dyDescent="0.2">
      <c r="A3493" s="21"/>
      <c r="B3493" s="20"/>
      <c r="C3493" s="22"/>
      <c r="D3493" s="22"/>
      <c r="E3493" s="24"/>
      <c r="F3493" s="22"/>
      <c r="H3493" s="21">
        <v>46118</v>
      </c>
      <c r="I3493" s="22" t="s">
        <v>70</v>
      </c>
      <c r="J3493" s="22" t="s">
        <v>45</v>
      </c>
      <c r="K3493" s="24">
        <v>8</v>
      </c>
      <c r="M3493" s="21"/>
      <c r="N3493" s="22"/>
      <c r="O3493" s="22"/>
      <c r="P3493" s="49"/>
      <c r="Q3493" s="49"/>
      <c r="R3493" s="188" t="str">
        <f t="shared" si="115"/>
        <v/>
      </c>
      <c r="T3493" s="21"/>
      <c r="U3493" s="22"/>
      <c r="V3493" s="24"/>
      <c r="W3493" s="24"/>
      <c r="X3493" s="24"/>
      <c r="Y3493" s="24"/>
      <c r="Z3493" s="20" t="str">
        <f t="shared" si="114"/>
        <v/>
      </c>
    </row>
    <row r="3494" spans="1:26" x14ac:dyDescent="0.2">
      <c r="A3494" s="21"/>
      <c r="B3494" s="20"/>
      <c r="C3494" s="22"/>
      <c r="D3494" s="22"/>
      <c r="E3494" s="24"/>
      <c r="F3494" s="22"/>
      <c r="H3494" s="21">
        <v>46118</v>
      </c>
      <c r="I3494" s="22" t="s">
        <v>70</v>
      </c>
      <c r="J3494" s="22" t="s">
        <v>57</v>
      </c>
      <c r="K3494" s="24">
        <v>8</v>
      </c>
      <c r="M3494" s="21"/>
      <c r="N3494" s="22"/>
      <c r="O3494" s="22"/>
      <c r="P3494" s="49"/>
      <c r="Q3494" s="49"/>
      <c r="R3494" s="188" t="str">
        <f t="shared" si="115"/>
        <v/>
      </c>
      <c r="T3494" s="21"/>
      <c r="U3494" s="22"/>
      <c r="V3494" s="24"/>
      <c r="W3494" s="24"/>
      <c r="X3494" s="24"/>
      <c r="Y3494" s="24"/>
      <c r="Z3494" s="20" t="str">
        <f t="shared" si="114"/>
        <v/>
      </c>
    </row>
    <row r="3495" spans="1:26" x14ac:dyDescent="0.2">
      <c r="A3495" s="21"/>
      <c r="B3495" s="20"/>
      <c r="C3495" s="22"/>
      <c r="D3495" s="22"/>
      <c r="E3495" s="24"/>
      <c r="F3495" s="22"/>
      <c r="H3495" s="21">
        <v>46118</v>
      </c>
      <c r="I3495" s="22" t="s">
        <v>70</v>
      </c>
      <c r="J3495" s="22" t="s">
        <v>42</v>
      </c>
      <c r="K3495" s="24">
        <v>2</v>
      </c>
      <c r="M3495" s="21"/>
      <c r="N3495" s="22"/>
      <c r="O3495" s="22"/>
      <c r="P3495" s="49"/>
      <c r="Q3495" s="49"/>
      <c r="R3495" s="188" t="str">
        <f t="shared" si="115"/>
        <v/>
      </c>
      <c r="T3495" s="21"/>
      <c r="U3495" s="22"/>
      <c r="V3495" s="24"/>
      <c r="W3495" s="24"/>
      <c r="X3495" s="24"/>
      <c r="Y3495" s="24"/>
      <c r="Z3495" s="20" t="str">
        <f t="shared" si="114"/>
        <v/>
      </c>
    </row>
    <row r="3496" spans="1:26" x14ac:dyDescent="0.2">
      <c r="A3496" s="21"/>
      <c r="B3496" s="20"/>
      <c r="C3496" s="22"/>
      <c r="D3496" s="22"/>
      <c r="E3496" s="24"/>
      <c r="F3496" s="22"/>
      <c r="H3496" s="21">
        <v>46118</v>
      </c>
      <c r="I3496" s="22" t="s">
        <v>70</v>
      </c>
      <c r="J3496" s="22" t="s">
        <v>54</v>
      </c>
      <c r="K3496" s="24">
        <v>8</v>
      </c>
      <c r="M3496" s="21"/>
      <c r="N3496" s="22"/>
      <c r="O3496" s="22"/>
      <c r="P3496" s="49"/>
      <c r="Q3496" s="49"/>
      <c r="R3496" s="188" t="str">
        <f t="shared" si="115"/>
        <v/>
      </c>
      <c r="T3496" s="21"/>
      <c r="U3496" s="22"/>
      <c r="V3496" s="24"/>
      <c r="W3496" s="24"/>
      <c r="X3496" s="24"/>
      <c r="Y3496" s="24"/>
      <c r="Z3496" s="20" t="str">
        <f t="shared" si="114"/>
        <v/>
      </c>
    </row>
    <row r="3497" spans="1:26" x14ac:dyDescent="0.2">
      <c r="A3497" s="21"/>
      <c r="B3497" s="20"/>
      <c r="C3497" s="22"/>
      <c r="D3497" s="22"/>
      <c r="E3497" s="24"/>
      <c r="F3497" s="22"/>
      <c r="H3497" s="21">
        <v>46118</v>
      </c>
      <c r="I3497" s="22" t="s">
        <v>70</v>
      </c>
      <c r="J3497" s="22" t="s">
        <v>47</v>
      </c>
      <c r="K3497" s="24">
        <v>8</v>
      </c>
      <c r="M3497" s="21"/>
      <c r="N3497" s="22"/>
      <c r="O3497" s="22"/>
      <c r="P3497" s="49"/>
      <c r="Q3497" s="49"/>
      <c r="R3497" s="188" t="str">
        <f t="shared" si="115"/>
        <v/>
      </c>
      <c r="T3497" s="21"/>
      <c r="U3497" s="22"/>
      <c r="V3497" s="24"/>
      <c r="W3497" s="24"/>
      <c r="X3497" s="24"/>
      <c r="Y3497" s="24"/>
      <c r="Z3497" s="20" t="str">
        <f t="shared" si="114"/>
        <v/>
      </c>
    </row>
    <row r="3498" spans="1:26" x14ac:dyDescent="0.2">
      <c r="A3498" s="21"/>
      <c r="B3498" s="20"/>
      <c r="C3498" s="22"/>
      <c r="D3498" s="22"/>
      <c r="E3498" s="24"/>
      <c r="F3498" s="22"/>
      <c r="H3498" s="21">
        <v>46118</v>
      </c>
      <c r="I3498" s="22" t="s">
        <v>70</v>
      </c>
      <c r="J3498" s="22" t="s">
        <v>41</v>
      </c>
      <c r="K3498" s="24">
        <v>3</v>
      </c>
      <c r="M3498" s="21"/>
      <c r="N3498" s="22"/>
      <c r="O3498" s="22"/>
      <c r="P3498" s="49"/>
      <c r="Q3498" s="49"/>
      <c r="R3498" s="188" t="str">
        <f t="shared" si="115"/>
        <v/>
      </c>
      <c r="T3498" s="21"/>
      <c r="U3498" s="22"/>
      <c r="V3498" s="24"/>
      <c r="W3498" s="24"/>
      <c r="X3498" s="24"/>
      <c r="Y3498" s="24"/>
      <c r="Z3498" s="20" t="str">
        <f t="shared" si="114"/>
        <v/>
      </c>
    </row>
    <row r="3499" spans="1:26" x14ac:dyDescent="0.2">
      <c r="A3499" s="21"/>
      <c r="B3499" s="20"/>
      <c r="C3499" s="22"/>
      <c r="D3499" s="22"/>
      <c r="E3499" s="24"/>
      <c r="F3499" s="22"/>
      <c r="H3499" s="21">
        <v>46118</v>
      </c>
      <c r="I3499" s="22" t="s">
        <v>70</v>
      </c>
      <c r="J3499" s="22" t="s">
        <v>58</v>
      </c>
      <c r="K3499" s="24">
        <v>8</v>
      </c>
      <c r="M3499" s="21"/>
      <c r="N3499" s="22"/>
      <c r="O3499" s="22"/>
      <c r="P3499" s="49"/>
      <c r="Q3499" s="49"/>
      <c r="R3499" s="188" t="str">
        <f t="shared" si="115"/>
        <v/>
      </c>
      <c r="T3499" s="21"/>
      <c r="U3499" s="22"/>
      <c r="V3499" s="24"/>
      <c r="W3499" s="24"/>
      <c r="X3499" s="24"/>
      <c r="Y3499" s="24"/>
      <c r="Z3499" s="20" t="str">
        <f t="shared" si="114"/>
        <v/>
      </c>
    </row>
    <row r="3500" spans="1:26" x14ac:dyDescent="0.2">
      <c r="A3500" s="21"/>
      <c r="B3500" s="20"/>
      <c r="C3500" s="22"/>
      <c r="D3500" s="22"/>
      <c r="E3500" s="24"/>
      <c r="F3500" s="22"/>
      <c r="H3500" s="21">
        <v>46118</v>
      </c>
      <c r="I3500" s="22" t="s">
        <v>70</v>
      </c>
      <c r="J3500" s="22" t="s">
        <v>49</v>
      </c>
      <c r="K3500" s="24">
        <v>7</v>
      </c>
      <c r="M3500" s="21"/>
      <c r="N3500" s="22"/>
      <c r="O3500" s="22"/>
      <c r="P3500" s="49"/>
      <c r="Q3500" s="49"/>
      <c r="R3500" s="188" t="str">
        <f t="shared" si="115"/>
        <v/>
      </c>
      <c r="T3500" s="21"/>
      <c r="U3500" s="22"/>
      <c r="V3500" s="24"/>
      <c r="W3500" s="24"/>
      <c r="X3500" s="24"/>
      <c r="Y3500" s="24"/>
      <c r="Z3500" s="20" t="str">
        <f t="shared" si="114"/>
        <v/>
      </c>
    </row>
    <row r="3501" spans="1:26" x14ac:dyDescent="0.2">
      <c r="A3501" s="21"/>
      <c r="B3501" s="20"/>
      <c r="C3501" s="22"/>
      <c r="D3501" s="22"/>
      <c r="E3501" s="24"/>
      <c r="F3501" s="22"/>
      <c r="H3501" s="21">
        <v>46118</v>
      </c>
      <c r="I3501" s="22" t="s">
        <v>70</v>
      </c>
      <c r="J3501" s="22" t="s">
        <v>50</v>
      </c>
      <c r="K3501" s="24">
        <v>8</v>
      </c>
      <c r="M3501" s="21"/>
      <c r="N3501" s="22"/>
      <c r="O3501" s="22"/>
      <c r="P3501" s="49"/>
      <c r="Q3501" s="49"/>
      <c r="R3501" s="188" t="str">
        <f t="shared" si="115"/>
        <v/>
      </c>
      <c r="T3501" s="21"/>
      <c r="U3501" s="22"/>
      <c r="V3501" s="24"/>
      <c r="W3501" s="24"/>
      <c r="X3501" s="24"/>
      <c r="Y3501" s="24"/>
      <c r="Z3501" s="20" t="str">
        <f t="shared" si="114"/>
        <v/>
      </c>
    </row>
    <row r="3502" spans="1:26" x14ac:dyDescent="0.2">
      <c r="A3502" s="21"/>
      <c r="B3502" s="20"/>
      <c r="C3502" s="22"/>
      <c r="D3502" s="22"/>
      <c r="E3502" s="24"/>
      <c r="F3502" s="22"/>
      <c r="H3502" s="21">
        <v>46118</v>
      </c>
      <c r="I3502" s="22" t="s">
        <v>70</v>
      </c>
      <c r="J3502" s="22" t="s">
        <v>51</v>
      </c>
      <c r="K3502" s="24">
        <v>7</v>
      </c>
      <c r="M3502" s="21"/>
      <c r="N3502" s="22"/>
      <c r="O3502" s="22"/>
      <c r="P3502" s="49"/>
      <c r="Q3502" s="49"/>
      <c r="R3502" s="188" t="str">
        <f t="shared" si="115"/>
        <v/>
      </c>
      <c r="T3502" s="21"/>
      <c r="U3502" s="22"/>
      <c r="V3502" s="24"/>
      <c r="W3502" s="24"/>
      <c r="X3502" s="24"/>
      <c r="Y3502" s="24"/>
      <c r="Z3502" s="20" t="str">
        <f t="shared" si="114"/>
        <v/>
      </c>
    </row>
    <row r="3503" spans="1:26" x14ac:dyDescent="0.2">
      <c r="A3503" s="21"/>
      <c r="B3503" s="20"/>
      <c r="C3503" s="22"/>
      <c r="D3503" s="22"/>
      <c r="E3503" s="24"/>
      <c r="F3503" s="22"/>
      <c r="H3503" s="21">
        <v>46118</v>
      </c>
      <c r="I3503" s="22" t="s">
        <v>70</v>
      </c>
      <c r="J3503" s="22" t="s">
        <v>46</v>
      </c>
      <c r="K3503" s="24">
        <v>8</v>
      </c>
      <c r="M3503" s="21"/>
      <c r="N3503" s="22"/>
      <c r="O3503" s="22"/>
      <c r="P3503" s="49"/>
      <c r="Q3503" s="49"/>
      <c r="R3503" s="188" t="str">
        <f t="shared" si="115"/>
        <v/>
      </c>
      <c r="T3503" s="21"/>
      <c r="U3503" s="22"/>
      <c r="V3503" s="24"/>
      <c r="W3503" s="24"/>
      <c r="X3503" s="24"/>
      <c r="Y3503" s="24"/>
      <c r="Z3503" s="20" t="str">
        <f t="shared" si="114"/>
        <v/>
      </c>
    </row>
    <row r="3504" spans="1:26" x14ac:dyDescent="0.2">
      <c r="A3504" s="21"/>
      <c r="B3504" s="20"/>
      <c r="C3504" s="22"/>
      <c r="D3504" s="22"/>
      <c r="E3504" s="24"/>
      <c r="F3504" s="22"/>
      <c r="H3504" s="21">
        <v>46118</v>
      </c>
      <c r="I3504" s="22" t="s">
        <v>70</v>
      </c>
      <c r="J3504" s="22" t="s">
        <v>48</v>
      </c>
      <c r="K3504" s="24" t="s">
        <v>61</v>
      </c>
      <c r="M3504" s="21"/>
      <c r="N3504" s="22"/>
      <c r="O3504" s="22"/>
      <c r="P3504" s="49"/>
      <c r="Q3504" s="49"/>
      <c r="R3504" s="188" t="str">
        <f t="shared" si="115"/>
        <v/>
      </c>
      <c r="T3504" s="21"/>
      <c r="U3504" s="22"/>
      <c r="V3504" s="24"/>
      <c r="W3504" s="24"/>
      <c r="X3504" s="24"/>
      <c r="Y3504" s="24"/>
      <c r="Z3504" s="20" t="str">
        <f t="shared" si="114"/>
        <v/>
      </c>
    </row>
    <row r="3505" spans="1:26" x14ac:dyDescent="0.2">
      <c r="A3505" s="21"/>
      <c r="B3505" s="20"/>
      <c r="C3505" s="22"/>
      <c r="D3505" s="22"/>
      <c r="E3505" s="24"/>
      <c r="F3505" s="22"/>
      <c r="H3505" s="21">
        <v>46118</v>
      </c>
      <c r="I3505" s="22" t="s">
        <v>70</v>
      </c>
      <c r="J3505" s="22" t="s">
        <v>56</v>
      </c>
      <c r="K3505" s="24">
        <v>7</v>
      </c>
      <c r="M3505" s="21"/>
      <c r="N3505" s="22"/>
      <c r="O3505" s="22"/>
      <c r="P3505" s="49"/>
      <c r="Q3505" s="49"/>
      <c r="R3505" s="188" t="str">
        <f t="shared" si="115"/>
        <v/>
      </c>
      <c r="T3505" s="21"/>
      <c r="U3505" s="22"/>
      <c r="V3505" s="24"/>
      <c r="W3505" s="24"/>
      <c r="X3505" s="24"/>
      <c r="Y3505" s="24"/>
      <c r="Z3505" s="20" t="str">
        <f t="shared" si="114"/>
        <v/>
      </c>
    </row>
    <row r="3506" spans="1:26" x14ac:dyDescent="0.2">
      <c r="A3506" s="21"/>
      <c r="B3506" s="20"/>
      <c r="C3506" s="22"/>
      <c r="D3506" s="22"/>
      <c r="E3506" s="24"/>
      <c r="F3506" s="22"/>
      <c r="H3506" s="21">
        <v>46118</v>
      </c>
      <c r="I3506" s="22" t="s">
        <v>70</v>
      </c>
      <c r="J3506" s="22" t="s">
        <v>55</v>
      </c>
      <c r="K3506" s="24">
        <v>8</v>
      </c>
      <c r="M3506" s="21"/>
      <c r="N3506" s="22"/>
      <c r="O3506" s="22"/>
      <c r="P3506" s="49"/>
      <c r="Q3506" s="49"/>
      <c r="R3506" s="188" t="str">
        <f t="shared" si="115"/>
        <v/>
      </c>
      <c r="T3506" s="21"/>
      <c r="U3506" s="22"/>
      <c r="V3506" s="24"/>
      <c r="W3506" s="24"/>
      <c r="X3506" s="24"/>
      <c r="Y3506" s="24"/>
      <c r="Z3506" s="20" t="str">
        <f t="shared" si="114"/>
        <v/>
      </c>
    </row>
    <row r="3507" spans="1:26" x14ac:dyDescent="0.2">
      <c r="A3507" s="21"/>
      <c r="B3507" s="20"/>
      <c r="C3507" s="22"/>
      <c r="D3507" s="22"/>
      <c r="E3507" s="24"/>
      <c r="F3507" s="22"/>
      <c r="H3507" s="21">
        <v>46119</v>
      </c>
      <c r="I3507" s="22" t="s">
        <v>70</v>
      </c>
      <c r="J3507" s="22" t="s">
        <v>52</v>
      </c>
      <c r="K3507" s="24">
        <v>8</v>
      </c>
      <c r="M3507" s="21"/>
      <c r="N3507" s="22"/>
      <c r="O3507" s="22"/>
      <c r="P3507" s="49"/>
      <c r="Q3507" s="49"/>
      <c r="R3507" s="188" t="str">
        <f t="shared" si="115"/>
        <v/>
      </c>
      <c r="T3507" s="21"/>
      <c r="U3507" s="22"/>
      <c r="V3507" s="24"/>
      <c r="W3507" s="24"/>
      <c r="X3507" s="24"/>
      <c r="Y3507" s="24"/>
      <c r="Z3507" s="20" t="str">
        <f t="shared" si="114"/>
        <v/>
      </c>
    </row>
    <row r="3508" spans="1:26" x14ac:dyDescent="0.2">
      <c r="A3508" s="21"/>
      <c r="B3508" s="20"/>
      <c r="C3508" s="22"/>
      <c r="D3508" s="22"/>
      <c r="E3508" s="24"/>
      <c r="F3508" s="22"/>
      <c r="H3508" s="21">
        <v>46119</v>
      </c>
      <c r="I3508" s="22" t="s">
        <v>70</v>
      </c>
      <c r="J3508" s="22" t="s">
        <v>53</v>
      </c>
      <c r="K3508" s="24" t="s">
        <v>61</v>
      </c>
      <c r="M3508" s="21"/>
      <c r="N3508" s="22"/>
      <c r="O3508" s="22"/>
      <c r="P3508" s="49"/>
      <c r="Q3508" s="49"/>
      <c r="R3508" s="188" t="str">
        <f t="shared" si="115"/>
        <v/>
      </c>
      <c r="T3508" s="21"/>
      <c r="U3508" s="22"/>
      <c r="V3508" s="24"/>
      <c r="W3508" s="24"/>
      <c r="X3508" s="24"/>
      <c r="Y3508" s="24"/>
      <c r="Z3508" s="20" t="str">
        <f t="shared" si="114"/>
        <v/>
      </c>
    </row>
    <row r="3509" spans="1:26" x14ac:dyDescent="0.2">
      <c r="A3509" s="21"/>
      <c r="B3509" s="20"/>
      <c r="C3509" s="22"/>
      <c r="D3509" s="22"/>
      <c r="E3509" s="24"/>
      <c r="F3509" s="22"/>
      <c r="H3509" s="21">
        <v>46119</v>
      </c>
      <c r="I3509" s="22" t="s">
        <v>70</v>
      </c>
      <c r="J3509" s="22" t="s">
        <v>44</v>
      </c>
      <c r="K3509" s="24" t="s">
        <v>64</v>
      </c>
      <c r="M3509" s="21"/>
      <c r="N3509" s="22"/>
      <c r="O3509" s="22"/>
      <c r="P3509" s="49"/>
      <c r="Q3509" s="49"/>
      <c r="R3509" s="188" t="str">
        <f t="shared" si="115"/>
        <v/>
      </c>
      <c r="T3509" s="21"/>
      <c r="U3509" s="22"/>
      <c r="V3509" s="24"/>
      <c r="W3509" s="24"/>
      <c r="X3509" s="24"/>
      <c r="Y3509" s="24"/>
      <c r="Z3509" s="20" t="str">
        <f t="shared" si="114"/>
        <v/>
      </c>
    </row>
    <row r="3510" spans="1:26" x14ac:dyDescent="0.2">
      <c r="A3510" s="21"/>
      <c r="B3510" s="20"/>
      <c r="C3510" s="22"/>
      <c r="D3510" s="22"/>
      <c r="E3510" s="24"/>
      <c r="F3510" s="22"/>
      <c r="H3510" s="21">
        <v>46119</v>
      </c>
      <c r="I3510" s="22" t="s">
        <v>70</v>
      </c>
      <c r="J3510" s="22" t="s">
        <v>45</v>
      </c>
      <c r="K3510" s="24" t="s">
        <v>61</v>
      </c>
      <c r="M3510" s="21"/>
      <c r="N3510" s="22"/>
      <c r="O3510" s="22"/>
      <c r="P3510" s="49"/>
      <c r="Q3510" s="49"/>
      <c r="R3510" s="188" t="str">
        <f t="shared" si="115"/>
        <v/>
      </c>
      <c r="T3510" s="21"/>
      <c r="U3510" s="22"/>
      <c r="V3510" s="24"/>
      <c r="W3510" s="24"/>
      <c r="X3510" s="24"/>
      <c r="Y3510" s="24"/>
      <c r="Z3510" s="20" t="str">
        <f t="shared" si="114"/>
        <v/>
      </c>
    </row>
    <row r="3511" spans="1:26" x14ac:dyDescent="0.2">
      <c r="A3511" s="21"/>
      <c r="B3511" s="20"/>
      <c r="C3511" s="22"/>
      <c r="D3511" s="22"/>
      <c r="E3511" s="24"/>
      <c r="F3511" s="22"/>
      <c r="H3511" s="21">
        <v>46119</v>
      </c>
      <c r="I3511" s="22" t="s">
        <v>70</v>
      </c>
      <c r="J3511" s="22" t="s">
        <v>57</v>
      </c>
      <c r="K3511" s="24">
        <v>9</v>
      </c>
      <c r="M3511" s="21"/>
      <c r="N3511" s="22"/>
      <c r="O3511" s="22"/>
      <c r="P3511" s="49"/>
      <c r="Q3511" s="49"/>
      <c r="R3511" s="188" t="str">
        <f t="shared" si="115"/>
        <v/>
      </c>
      <c r="T3511" s="21"/>
      <c r="U3511" s="22"/>
      <c r="V3511" s="24"/>
      <c r="W3511" s="24"/>
      <c r="X3511" s="24"/>
      <c r="Y3511" s="24"/>
      <c r="Z3511" s="20" t="str">
        <f t="shared" si="114"/>
        <v/>
      </c>
    </row>
    <row r="3512" spans="1:26" x14ac:dyDescent="0.2">
      <c r="A3512" s="21"/>
      <c r="B3512" s="20"/>
      <c r="C3512" s="22"/>
      <c r="D3512" s="22"/>
      <c r="E3512" s="24"/>
      <c r="F3512" s="22"/>
      <c r="H3512" s="21">
        <v>46119</v>
      </c>
      <c r="I3512" s="22" t="s">
        <v>70</v>
      </c>
      <c r="J3512" s="22" t="s">
        <v>42</v>
      </c>
      <c r="K3512" s="24">
        <v>3</v>
      </c>
      <c r="M3512" s="21"/>
      <c r="N3512" s="22"/>
      <c r="O3512" s="22"/>
      <c r="P3512" s="49"/>
      <c r="Q3512" s="49"/>
      <c r="R3512" s="188" t="str">
        <f t="shared" si="115"/>
        <v/>
      </c>
      <c r="T3512" s="21"/>
      <c r="U3512" s="22"/>
      <c r="V3512" s="24"/>
      <c r="W3512" s="24"/>
      <c r="X3512" s="24"/>
      <c r="Y3512" s="24"/>
      <c r="Z3512" s="20" t="str">
        <f t="shared" si="114"/>
        <v/>
      </c>
    </row>
    <row r="3513" spans="1:26" x14ac:dyDescent="0.2">
      <c r="A3513" s="21"/>
      <c r="B3513" s="20"/>
      <c r="C3513" s="22"/>
      <c r="D3513" s="22"/>
      <c r="E3513" s="24"/>
      <c r="F3513" s="22"/>
      <c r="H3513" s="21">
        <v>46119</v>
      </c>
      <c r="I3513" s="22" t="s">
        <v>70</v>
      </c>
      <c r="J3513" s="22" t="s">
        <v>54</v>
      </c>
      <c r="K3513" s="24">
        <v>8</v>
      </c>
      <c r="M3513" s="21"/>
      <c r="N3513" s="22"/>
      <c r="O3513" s="22"/>
      <c r="P3513" s="49"/>
      <c r="Q3513" s="49"/>
      <c r="R3513" s="188" t="str">
        <f t="shared" si="115"/>
        <v/>
      </c>
      <c r="T3513" s="21"/>
      <c r="U3513" s="22"/>
      <c r="V3513" s="24"/>
      <c r="W3513" s="24"/>
      <c r="X3513" s="24"/>
      <c r="Y3513" s="24"/>
      <c r="Z3513" s="20" t="str">
        <f t="shared" si="114"/>
        <v/>
      </c>
    </row>
    <row r="3514" spans="1:26" x14ac:dyDescent="0.2">
      <c r="A3514" s="21"/>
      <c r="B3514" s="20"/>
      <c r="C3514" s="22"/>
      <c r="D3514" s="22"/>
      <c r="E3514" s="24"/>
      <c r="F3514" s="22"/>
      <c r="H3514" s="21">
        <v>46119</v>
      </c>
      <c r="I3514" s="22" t="s">
        <v>70</v>
      </c>
      <c r="J3514" s="22" t="s">
        <v>47</v>
      </c>
      <c r="K3514" s="24">
        <v>8</v>
      </c>
      <c r="M3514" s="21"/>
      <c r="N3514" s="22"/>
      <c r="O3514" s="22"/>
      <c r="P3514" s="49"/>
      <c r="Q3514" s="49"/>
      <c r="R3514" s="188" t="str">
        <f t="shared" si="115"/>
        <v/>
      </c>
      <c r="T3514" s="21"/>
      <c r="U3514" s="22"/>
      <c r="V3514" s="24"/>
      <c r="W3514" s="24"/>
      <c r="X3514" s="24"/>
      <c r="Y3514" s="24"/>
      <c r="Z3514" s="20" t="str">
        <f t="shared" si="114"/>
        <v/>
      </c>
    </row>
    <row r="3515" spans="1:26" x14ac:dyDescent="0.2">
      <c r="A3515" s="21"/>
      <c r="B3515" s="20"/>
      <c r="C3515" s="22"/>
      <c r="D3515" s="22"/>
      <c r="E3515" s="24"/>
      <c r="F3515" s="22"/>
      <c r="H3515" s="21">
        <v>46119</v>
      </c>
      <c r="I3515" s="22" t="s">
        <v>70</v>
      </c>
      <c r="J3515" s="22" t="s">
        <v>41</v>
      </c>
      <c r="K3515" s="24">
        <v>4</v>
      </c>
      <c r="M3515" s="21"/>
      <c r="N3515" s="22"/>
      <c r="O3515" s="22"/>
      <c r="P3515" s="49"/>
      <c r="Q3515" s="49"/>
      <c r="R3515" s="188" t="str">
        <f t="shared" si="115"/>
        <v/>
      </c>
      <c r="T3515" s="21"/>
      <c r="U3515" s="22"/>
      <c r="V3515" s="24"/>
      <c r="W3515" s="24"/>
      <c r="X3515" s="24"/>
      <c r="Y3515" s="24"/>
      <c r="Z3515" s="20" t="str">
        <f t="shared" si="114"/>
        <v/>
      </c>
    </row>
    <row r="3516" spans="1:26" x14ac:dyDescent="0.2">
      <c r="A3516" s="21"/>
      <c r="B3516" s="20"/>
      <c r="C3516" s="22"/>
      <c r="D3516" s="22"/>
      <c r="E3516" s="24"/>
      <c r="F3516" s="22"/>
      <c r="H3516" s="21">
        <v>46119</v>
      </c>
      <c r="I3516" s="22" t="s">
        <v>70</v>
      </c>
      <c r="J3516" s="22" t="s">
        <v>58</v>
      </c>
      <c r="K3516" s="24">
        <v>9</v>
      </c>
      <c r="M3516" s="21"/>
      <c r="N3516" s="22"/>
      <c r="O3516" s="22"/>
      <c r="P3516" s="49"/>
      <c r="Q3516" s="49"/>
      <c r="R3516" s="188" t="str">
        <f t="shared" si="115"/>
        <v/>
      </c>
      <c r="T3516" s="21"/>
      <c r="U3516" s="22"/>
      <c r="V3516" s="24"/>
      <c r="W3516" s="24"/>
      <c r="X3516" s="24"/>
      <c r="Y3516" s="24"/>
      <c r="Z3516" s="20" t="str">
        <f t="shared" si="114"/>
        <v/>
      </c>
    </row>
    <row r="3517" spans="1:26" x14ac:dyDescent="0.2">
      <c r="A3517" s="21"/>
      <c r="B3517" s="20"/>
      <c r="C3517" s="22"/>
      <c r="D3517" s="22"/>
      <c r="E3517" s="24"/>
      <c r="F3517" s="22"/>
      <c r="H3517" s="21">
        <v>46119</v>
      </c>
      <c r="I3517" s="22" t="s">
        <v>70</v>
      </c>
      <c r="J3517" s="22" t="s">
        <v>49</v>
      </c>
      <c r="K3517" s="24">
        <v>9</v>
      </c>
      <c r="M3517" s="21"/>
      <c r="N3517" s="22"/>
      <c r="O3517" s="22"/>
      <c r="P3517" s="49"/>
      <c r="Q3517" s="49"/>
      <c r="R3517" s="188" t="str">
        <f t="shared" si="115"/>
        <v/>
      </c>
      <c r="T3517" s="21"/>
      <c r="U3517" s="22"/>
      <c r="V3517" s="24"/>
      <c r="W3517" s="24"/>
      <c r="X3517" s="24"/>
      <c r="Y3517" s="24"/>
      <c r="Z3517" s="20" t="str">
        <f t="shared" si="114"/>
        <v/>
      </c>
    </row>
    <row r="3518" spans="1:26" x14ac:dyDescent="0.2">
      <c r="A3518" s="21"/>
      <c r="B3518" s="20"/>
      <c r="C3518" s="22"/>
      <c r="D3518" s="22"/>
      <c r="E3518" s="24"/>
      <c r="F3518" s="22"/>
      <c r="H3518" s="21">
        <v>46119</v>
      </c>
      <c r="I3518" s="22" t="s">
        <v>70</v>
      </c>
      <c r="J3518" s="22" t="s">
        <v>50</v>
      </c>
      <c r="K3518" s="24">
        <v>8</v>
      </c>
      <c r="M3518" s="21"/>
      <c r="N3518" s="22"/>
      <c r="O3518" s="22"/>
      <c r="P3518" s="49"/>
      <c r="Q3518" s="49"/>
      <c r="R3518" s="188" t="str">
        <f t="shared" si="115"/>
        <v/>
      </c>
      <c r="T3518" s="21"/>
      <c r="U3518" s="22"/>
      <c r="V3518" s="24"/>
      <c r="W3518" s="24"/>
      <c r="X3518" s="24"/>
      <c r="Y3518" s="24"/>
      <c r="Z3518" s="20" t="str">
        <f t="shared" si="114"/>
        <v/>
      </c>
    </row>
    <row r="3519" spans="1:26" x14ac:dyDescent="0.2">
      <c r="A3519" s="21"/>
      <c r="B3519" s="20"/>
      <c r="C3519" s="22"/>
      <c r="D3519" s="22"/>
      <c r="E3519" s="24"/>
      <c r="F3519" s="22"/>
      <c r="H3519" s="21">
        <v>46119</v>
      </c>
      <c r="I3519" s="22" t="s">
        <v>70</v>
      </c>
      <c r="J3519" s="22" t="s">
        <v>51</v>
      </c>
      <c r="K3519" s="24">
        <v>9</v>
      </c>
      <c r="M3519" s="21"/>
      <c r="N3519" s="22"/>
      <c r="O3519" s="22"/>
      <c r="P3519" s="49"/>
      <c r="Q3519" s="49"/>
      <c r="R3519" s="188" t="str">
        <f t="shared" si="115"/>
        <v/>
      </c>
      <c r="T3519" s="21"/>
      <c r="U3519" s="22"/>
      <c r="V3519" s="24"/>
      <c r="W3519" s="24"/>
      <c r="X3519" s="24"/>
      <c r="Y3519" s="24"/>
      <c r="Z3519" s="20" t="str">
        <f t="shared" si="114"/>
        <v/>
      </c>
    </row>
    <row r="3520" spans="1:26" x14ac:dyDescent="0.2">
      <c r="A3520" s="21"/>
      <c r="B3520" s="20"/>
      <c r="C3520" s="22"/>
      <c r="D3520" s="22"/>
      <c r="E3520" s="24"/>
      <c r="F3520" s="22"/>
      <c r="H3520" s="21">
        <v>46119</v>
      </c>
      <c r="I3520" s="22" t="s">
        <v>70</v>
      </c>
      <c r="J3520" s="22" t="s">
        <v>46</v>
      </c>
      <c r="K3520" s="24">
        <v>10</v>
      </c>
      <c r="M3520" s="21"/>
      <c r="N3520" s="22"/>
      <c r="O3520" s="22"/>
      <c r="P3520" s="49"/>
      <c r="Q3520" s="49"/>
      <c r="R3520" s="188" t="str">
        <f t="shared" si="115"/>
        <v/>
      </c>
      <c r="T3520" s="21"/>
      <c r="U3520" s="22"/>
      <c r="V3520" s="24"/>
      <c r="W3520" s="24"/>
      <c r="X3520" s="24"/>
      <c r="Y3520" s="24"/>
      <c r="Z3520" s="20" t="str">
        <f t="shared" si="114"/>
        <v/>
      </c>
    </row>
    <row r="3521" spans="1:26" x14ac:dyDescent="0.2">
      <c r="A3521" s="21"/>
      <c r="B3521" s="20"/>
      <c r="C3521" s="22"/>
      <c r="D3521" s="22"/>
      <c r="E3521" s="24"/>
      <c r="F3521" s="22"/>
      <c r="H3521" s="21">
        <v>46119</v>
      </c>
      <c r="I3521" s="22" t="s">
        <v>70</v>
      </c>
      <c r="J3521" s="22" t="s">
        <v>48</v>
      </c>
      <c r="K3521" s="24" t="s">
        <v>61</v>
      </c>
      <c r="M3521" s="21"/>
      <c r="N3521" s="22"/>
      <c r="O3521" s="22"/>
      <c r="P3521" s="49"/>
      <c r="Q3521" s="49"/>
      <c r="R3521" s="188" t="str">
        <f t="shared" si="115"/>
        <v/>
      </c>
      <c r="T3521" s="21"/>
      <c r="U3521" s="22"/>
      <c r="V3521" s="24"/>
      <c r="W3521" s="24"/>
      <c r="X3521" s="24"/>
      <c r="Y3521" s="24"/>
      <c r="Z3521" s="20" t="str">
        <f t="shared" si="114"/>
        <v/>
      </c>
    </row>
    <row r="3522" spans="1:26" x14ac:dyDescent="0.2">
      <c r="A3522" s="21"/>
      <c r="B3522" s="20"/>
      <c r="C3522" s="22"/>
      <c r="D3522" s="22"/>
      <c r="E3522" s="24"/>
      <c r="F3522" s="22"/>
      <c r="H3522" s="21">
        <v>46119</v>
      </c>
      <c r="I3522" s="22" t="s">
        <v>70</v>
      </c>
      <c r="J3522" s="22" t="s">
        <v>56</v>
      </c>
      <c r="K3522" s="24">
        <v>8</v>
      </c>
      <c r="M3522" s="21"/>
      <c r="N3522" s="22"/>
      <c r="O3522" s="22"/>
      <c r="P3522" s="49"/>
      <c r="Q3522" s="49"/>
      <c r="R3522" s="188" t="str">
        <f t="shared" si="115"/>
        <v/>
      </c>
      <c r="T3522" s="21"/>
      <c r="U3522" s="22"/>
      <c r="V3522" s="24"/>
      <c r="W3522" s="24"/>
      <c r="X3522" s="24"/>
      <c r="Y3522" s="24"/>
      <c r="Z3522" s="20" t="str">
        <f t="shared" si="114"/>
        <v/>
      </c>
    </row>
    <row r="3523" spans="1:26" x14ac:dyDescent="0.2">
      <c r="A3523" s="21"/>
      <c r="B3523" s="20"/>
      <c r="C3523" s="22"/>
      <c r="D3523" s="22"/>
      <c r="E3523" s="24"/>
      <c r="F3523" s="22"/>
      <c r="H3523" s="21">
        <v>46119</v>
      </c>
      <c r="I3523" s="22" t="s">
        <v>70</v>
      </c>
      <c r="J3523" s="22" t="s">
        <v>55</v>
      </c>
      <c r="K3523" s="24">
        <v>8</v>
      </c>
      <c r="M3523" s="21"/>
      <c r="N3523" s="22"/>
      <c r="O3523" s="22"/>
      <c r="P3523" s="49"/>
      <c r="Q3523" s="49"/>
      <c r="R3523" s="188" t="str">
        <f t="shared" si="115"/>
        <v/>
      </c>
      <c r="T3523" s="21"/>
      <c r="U3523" s="22"/>
      <c r="V3523" s="24"/>
      <c r="W3523" s="24"/>
      <c r="X3523" s="24"/>
      <c r="Y3523" s="24"/>
      <c r="Z3523" s="20" t="str">
        <f t="shared" si="114"/>
        <v/>
      </c>
    </row>
    <row r="3524" spans="1:26" x14ac:dyDescent="0.2">
      <c r="A3524" s="21"/>
      <c r="B3524" s="20"/>
      <c r="C3524" s="22"/>
      <c r="D3524" s="22"/>
      <c r="E3524" s="24"/>
      <c r="F3524" s="22"/>
      <c r="H3524" s="21">
        <v>46120</v>
      </c>
      <c r="I3524" s="22" t="s">
        <v>70</v>
      </c>
      <c r="J3524" s="22" t="s">
        <v>52</v>
      </c>
      <c r="K3524" s="24">
        <v>7</v>
      </c>
      <c r="M3524" s="21"/>
      <c r="N3524" s="22"/>
      <c r="O3524" s="22"/>
      <c r="P3524" s="49"/>
      <c r="Q3524" s="49"/>
      <c r="R3524" s="188" t="str">
        <f t="shared" si="115"/>
        <v/>
      </c>
      <c r="T3524" s="21"/>
      <c r="U3524" s="22"/>
      <c r="V3524" s="24"/>
      <c r="W3524" s="24"/>
      <c r="X3524" s="24"/>
      <c r="Y3524" s="24"/>
      <c r="Z3524" s="20" t="str">
        <f t="shared" si="114"/>
        <v/>
      </c>
    </row>
    <row r="3525" spans="1:26" x14ac:dyDescent="0.2">
      <c r="A3525" s="21"/>
      <c r="B3525" s="20"/>
      <c r="C3525" s="22"/>
      <c r="D3525" s="22"/>
      <c r="E3525" s="24"/>
      <c r="F3525" s="22"/>
      <c r="H3525" s="21">
        <v>46120</v>
      </c>
      <c r="I3525" s="22" t="s">
        <v>70</v>
      </c>
      <c r="J3525" s="22" t="s">
        <v>53</v>
      </c>
      <c r="K3525" s="24" t="s">
        <v>61</v>
      </c>
      <c r="M3525" s="21"/>
      <c r="N3525" s="22"/>
      <c r="O3525" s="22"/>
      <c r="P3525" s="49"/>
      <c r="Q3525" s="49"/>
      <c r="R3525" s="188" t="str">
        <f t="shared" si="115"/>
        <v/>
      </c>
      <c r="T3525" s="21"/>
      <c r="U3525" s="22"/>
      <c r="V3525" s="24"/>
      <c r="W3525" s="24"/>
      <c r="X3525" s="24"/>
      <c r="Y3525" s="24"/>
      <c r="Z3525" s="20" t="str">
        <f t="shared" si="114"/>
        <v/>
      </c>
    </row>
    <row r="3526" spans="1:26" x14ac:dyDescent="0.2">
      <c r="A3526" s="21"/>
      <c r="B3526" s="20"/>
      <c r="C3526" s="22"/>
      <c r="D3526" s="22"/>
      <c r="E3526" s="24"/>
      <c r="F3526" s="22"/>
      <c r="H3526" s="21">
        <v>46120</v>
      </c>
      <c r="I3526" s="22" t="s">
        <v>70</v>
      </c>
      <c r="J3526" s="22" t="s">
        <v>44</v>
      </c>
      <c r="K3526" s="24" t="s">
        <v>64</v>
      </c>
      <c r="M3526" s="21"/>
      <c r="N3526" s="22"/>
      <c r="O3526" s="22"/>
      <c r="P3526" s="49"/>
      <c r="Q3526" s="49"/>
      <c r="R3526" s="188" t="str">
        <f t="shared" si="115"/>
        <v/>
      </c>
      <c r="T3526" s="21"/>
      <c r="U3526" s="22"/>
      <c r="V3526" s="24"/>
      <c r="W3526" s="24"/>
      <c r="X3526" s="24"/>
      <c r="Y3526" s="24"/>
      <c r="Z3526" s="20" t="str">
        <f t="shared" si="114"/>
        <v/>
      </c>
    </row>
    <row r="3527" spans="1:26" x14ac:dyDescent="0.2">
      <c r="A3527" s="21"/>
      <c r="B3527" s="20"/>
      <c r="C3527" s="22"/>
      <c r="D3527" s="22"/>
      <c r="E3527" s="24"/>
      <c r="F3527" s="22"/>
      <c r="H3527" s="21">
        <v>46120</v>
      </c>
      <c r="I3527" s="22" t="s">
        <v>70</v>
      </c>
      <c r="J3527" s="22" t="s">
        <v>45</v>
      </c>
      <c r="K3527" s="24" t="s">
        <v>61</v>
      </c>
      <c r="M3527" s="21"/>
      <c r="N3527" s="22"/>
      <c r="O3527" s="22"/>
      <c r="P3527" s="49"/>
      <c r="Q3527" s="49"/>
      <c r="R3527" s="188" t="str">
        <f t="shared" si="115"/>
        <v/>
      </c>
      <c r="T3527" s="21"/>
      <c r="U3527" s="22"/>
      <c r="V3527" s="24"/>
      <c r="W3527" s="24"/>
      <c r="X3527" s="24"/>
      <c r="Y3527" s="24"/>
      <c r="Z3527" s="20" t="str">
        <f t="shared" si="114"/>
        <v/>
      </c>
    </row>
    <row r="3528" spans="1:26" x14ac:dyDescent="0.2">
      <c r="A3528" s="21"/>
      <c r="B3528" s="20"/>
      <c r="C3528" s="22"/>
      <c r="D3528" s="22"/>
      <c r="E3528" s="24"/>
      <c r="F3528" s="22"/>
      <c r="H3528" s="21">
        <v>46120</v>
      </c>
      <c r="I3528" s="22" t="s">
        <v>70</v>
      </c>
      <c r="J3528" s="22" t="s">
        <v>57</v>
      </c>
      <c r="K3528" s="24">
        <v>9</v>
      </c>
      <c r="M3528" s="21"/>
      <c r="N3528" s="22"/>
      <c r="O3528" s="22"/>
      <c r="P3528" s="49"/>
      <c r="Q3528" s="49"/>
      <c r="R3528" s="188" t="str">
        <f t="shared" si="115"/>
        <v/>
      </c>
      <c r="T3528" s="21"/>
      <c r="U3528" s="22"/>
      <c r="V3528" s="24"/>
      <c r="W3528" s="24"/>
      <c r="X3528" s="24"/>
      <c r="Y3528" s="24"/>
      <c r="Z3528" s="20" t="str">
        <f t="shared" si="114"/>
        <v/>
      </c>
    </row>
    <row r="3529" spans="1:26" x14ac:dyDescent="0.2">
      <c r="A3529" s="21"/>
      <c r="B3529" s="20"/>
      <c r="C3529" s="22"/>
      <c r="D3529" s="22"/>
      <c r="E3529" s="24"/>
      <c r="F3529" s="22"/>
      <c r="H3529" s="21">
        <v>46120</v>
      </c>
      <c r="I3529" s="22" t="s">
        <v>70</v>
      </c>
      <c r="J3529" s="22" t="s">
        <v>42</v>
      </c>
      <c r="K3529" s="24">
        <v>2</v>
      </c>
      <c r="M3529" s="21"/>
      <c r="N3529" s="22"/>
      <c r="O3529" s="22"/>
      <c r="P3529" s="49"/>
      <c r="Q3529" s="49"/>
      <c r="R3529" s="188" t="str">
        <f t="shared" si="115"/>
        <v/>
      </c>
      <c r="T3529" s="21"/>
      <c r="U3529" s="22"/>
      <c r="V3529" s="24"/>
      <c r="W3529" s="24"/>
      <c r="X3529" s="24"/>
      <c r="Y3529" s="24"/>
      <c r="Z3529" s="20" t="str">
        <f t="shared" si="114"/>
        <v/>
      </c>
    </row>
    <row r="3530" spans="1:26" x14ac:dyDescent="0.2">
      <c r="A3530" s="21"/>
      <c r="B3530" s="20"/>
      <c r="C3530" s="22"/>
      <c r="D3530" s="22"/>
      <c r="E3530" s="24"/>
      <c r="F3530" s="22"/>
      <c r="H3530" s="21">
        <v>46120</v>
      </c>
      <c r="I3530" s="22" t="s">
        <v>70</v>
      </c>
      <c r="J3530" s="22" t="s">
        <v>54</v>
      </c>
      <c r="K3530" s="24">
        <v>9</v>
      </c>
      <c r="M3530" s="21"/>
      <c r="N3530" s="22"/>
      <c r="O3530" s="22"/>
      <c r="P3530" s="49"/>
      <c r="Q3530" s="49"/>
      <c r="R3530" s="188" t="str">
        <f t="shared" si="115"/>
        <v/>
      </c>
      <c r="T3530" s="21"/>
      <c r="U3530" s="22"/>
      <c r="V3530" s="24"/>
      <c r="W3530" s="24"/>
      <c r="X3530" s="24"/>
      <c r="Y3530" s="24"/>
      <c r="Z3530" s="20" t="str">
        <f t="shared" si="114"/>
        <v/>
      </c>
    </row>
    <row r="3531" spans="1:26" x14ac:dyDescent="0.2">
      <c r="A3531" s="21"/>
      <c r="B3531" s="20"/>
      <c r="C3531" s="22"/>
      <c r="D3531" s="22"/>
      <c r="E3531" s="24"/>
      <c r="F3531" s="22"/>
      <c r="H3531" s="21">
        <v>46120</v>
      </c>
      <c r="I3531" s="22" t="s">
        <v>70</v>
      </c>
      <c r="J3531" s="22" t="s">
        <v>47</v>
      </c>
      <c r="K3531" s="24">
        <v>9</v>
      </c>
      <c r="M3531" s="21"/>
      <c r="N3531" s="22"/>
      <c r="O3531" s="22"/>
      <c r="P3531" s="49"/>
      <c r="Q3531" s="49"/>
      <c r="R3531" s="188" t="str">
        <f t="shared" si="115"/>
        <v/>
      </c>
      <c r="T3531" s="21"/>
      <c r="U3531" s="22"/>
      <c r="V3531" s="24"/>
      <c r="W3531" s="24"/>
      <c r="X3531" s="24"/>
      <c r="Y3531" s="24"/>
      <c r="Z3531" s="20" t="str">
        <f t="shared" si="114"/>
        <v/>
      </c>
    </row>
    <row r="3532" spans="1:26" x14ac:dyDescent="0.2">
      <c r="A3532" s="21"/>
      <c r="B3532" s="20"/>
      <c r="C3532" s="22"/>
      <c r="D3532" s="22"/>
      <c r="E3532" s="24"/>
      <c r="F3532" s="22"/>
      <c r="H3532" s="21">
        <v>46120</v>
      </c>
      <c r="I3532" s="22" t="s">
        <v>70</v>
      </c>
      <c r="J3532" s="22" t="s">
        <v>41</v>
      </c>
      <c r="K3532" s="24">
        <v>5</v>
      </c>
      <c r="M3532" s="21"/>
      <c r="N3532" s="22"/>
      <c r="O3532" s="22"/>
      <c r="P3532" s="49"/>
      <c r="Q3532" s="49"/>
      <c r="R3532" s="188" t="str">
        <f t="shared" si="115"/>
        <v/>
      </c>
      <c r="T3532" s="21"/>
      <c r="U3532" s="22"/>
      <c r="V3532" s="24"/>
      <c r="W3532" s="24"/>
      <c r="X3532" s="24"/>
      <c r="Y3532" s="24"/>
      <c r="Z3532" s="20" t="str">
        <f t="shared" si="114"/>
        <v/>
      </c>
    </row>
    <row r="3533" spans="1:26" x14ac:dyDescent="0.2">
      <c r="A3533" s="21"/>
      <c r="B3533" s="20"/>
      <c r="C3533" s="22"/>
      <c r="D3533" s="22"/>
      <c r="E3533" s="24"/>
      <c r="F3533" s="22"/>
      <c r="H3533" s="21">
        <v>46120</v>
      </c>
      <c r="I3533" s="22" t="s">
        <v>70</v>
      </c>
      <c r="J3533" s="22" t="s">
        <v>58</v>
      </c>
      <c r="K3533" s="24">
        <v>10</v>
      </c>
      <c r="M3533" s="21"/>
      <c r="N3533" s="22"/>
      <c r="O3533" s="22"/>
      <c r="P3533" s="49"/>
      <c r="Q3533" s="49"/>
      <c r="R3533" s="188" t="str">
        <f t="shared" si="115"/>
        <v/>
      </c>
      <c r="T3533" s="21"/>
      <c r="U3533" s="22"/>
      <c r="V3533" s="24"/>
      <c r="W3533" s="24"/>
      <c r="X3533" s="24"/>
      <c r="Y3533" s="24"/>
      <c r="Z3533" s="20" t="str">
        <f t="shared" si="114"/>
        <v/>
      </c>
    </row>
    <row r="3534" spans="1:26" x14ac:dyDescent="0.2">
      <c r="A3534" s="21"/>
      <c r="B3534" s="20"/>
      <c r="C3534" s="22"/>
      <c r="D3534" s="22"/>
      <c r="E3534" s="24"/>
      <c r="F3534" s="22"/>
      <c r="H3534" s="21">
        <v>46120</v>
      </c>
      <c r="I3534" s="22" t="s">
        <v>70</v>
      </c>
      <c r="J3534" s="22" t="s">
        <v>49</v>
      </c>
      <c r="K3534" s="24">
        <v>9</v>
      </c>
      <c r="M3534" s="21"/>
      <c r="N3534" s="22"/>
      <c r="O3534" s="22"/>
      <c r="P3534" s="49"/>
      <c r="Q3534" s="49"/>
      <c r="R3534" s="188" t="str">
        <f t="shared" si="115"/>
        <v/>
      </c>
      <c r="T3534" s="21"/>
      <c r="U3534" s="22"/>
      <c r="V3534" s="24"/>
      <c r="W3534" s="24"/>
      <c r="X3534" s="24"/>
      <c r="Y3534" s="24"/>
      <c r="Z3534" s="20" t="str">
        <f t="shared" si="114"/>
        <v/>
      </c>
    </row>
    <row r="3535" spans="1:26" x14ac:dyDescent="0.2">
      <c r="A3535" s="21"/>
      <c r="B3535" s="20"/>
      <c r="C3535" s="22"/>
      <c r="D3535" s="22"/>
      <c r="E3535" s="24"/>
      <c r="F3535" s="22"/>
      <c r="H3535" s="21">
        <v>46120</v>
      </c>
      <c r="I3535" s="22" t="s">
        <v>70</v>
      </c>
      <c r="J3535" s="22" t="s">
        <v>50</v>
      </c>
      <c r="K3535" s="24">
        <v>10</v>
      </c>
      <c r="M3535" s="21"/>
      <c r="N3535" s="22"/>
      <c r="O3535" s="22"/>
      <c r="P3535" s="49"/>
      <c r="Q3535" s="49"/>
      <c r="R3535" s="188" t="str">
        <f t="shared" si="115"/>
        <v/>
      </c>
      <c r="T3535" s="21"/>
      <c r="U3535" s="22"/>
      <c r="V3535" s="24"/>
      <c r="W3535" s="24"/>
      <c r="X3535" s="24"/>
      <c r="Y3535" s="24"/>
      <c r="Z3535" s="20" t="str">
        <f t="shared" si="114"/>
        <v/>
      </c>
    </row>
    <row r="3536" spans="1:26" x14ac:dyDescent="0.2">
      <c r="A3536" s="21"/>
      <c r="B3536" s="20"/>
      <c r="C3536" s="22"/>
      <c r="D3536" s="22"/>
      <c r="E3536" s="24"/>
      <c r="F3536" s="22"/>
      <c r="H3536" s="21">
        <v>46120</v>
      </c>
      <c r="I3536" s="22" t="s">
        <v>70</v>
      </c>
      <c r="J3536" s="22" t="s">
        <v>51</v>
      </c>
      <c r="K3536" s="24">
        <v>9</v>
      </c>
      <c r="M3536" s="21"/>
      <c r="N3536" s="22"/>
      <c r="O3536" s="22"/>
      <c r="P3536" s="49"/>
      <c r="Q3536" s="49"/>
      <c r="R3536" s="188" t="str">
        <f t="shared" si="115"/>
        <v/>
      </c>
      <c r="T3536" s="21"/>
      <c r="U3536" s="22"/>
      <c r="V3536" s="24"/>
      <c r="W3536" s="24"/>
      <c r="X3536" s="24"/>
      <c r="Y3536" s="24"/>
      <c r="Z3536" s="20" t="str">
        <f t="shared" si="114"/>
        <v/>
      </c>
    </row>
    <row r="3537" spans="1:26" x14ac:dyDescent="0.2">
      <c r="A3537" s="21"/>
      <c r="B3537" s="20"/>
      <c r="C3537" s="22"/>
      <c r="D3537" s="22"/>
      <c r="E3537" s="24"/>
      <c r="F3537" s="22"/>
      <c r="H3537" s="21">
        <v>46120</v>
      </c>
      <c r="I3537" s="22" t="s">
        <v>70</v>
      </c>
      <c r="J3537" s="22" t="s">
        <v>46</v>
      </c>
      <c r="K3537" s="24">
        <v>8</v>
      </c>
      <c r="M3537" s="21"/>
      <c r="N3537" s="22"/>
      <c r="O3537" s="22"/>
      <c r="P3537" s="49"/>
      <c r="Q3537" s="49"/>
      <c r="R3537" s="188" t="str">
        <f t="shared" si="115"/>
        <v/>
      </c>
      <c r="T3537" s="21"/>
      <c r="U3537" s="22"/>
      <c r="V3537" s="24"/>
      <c r="W3537" s="24"/>
      <c r="X3537" s="24"/>
      <c r="Y3537" s="24"/>
      <c r="Z3537" s="20" t="str">
        <f t="shared" si="114"/>
        <v/>
      </c>
    </row>
    <row r="3538" spans="1:26" x14ac:dyDescent="0.2">
      <c r="A3538" s="21"/>
      <c r="B3538" s="20"/>
      <c r="C3538" s="22"/>
      <c r="D3538" s="22"/>
      <c r="E3538" s="24"/>
      <c r="F3538" s="22"/>
      <c r="H3538" s="21">
        <v>46120</v>
      </c>
      <c r="I3538" s="22" t="s">
        <v>70</v>
      </c>
      <c r="J3538" s="22" t="s">
        <v>48</v>
      </c>
      <c r="K3538" s="24" t="s">
        <v>61</v>
      </c>
      <c r="M3538" s="21"/>
      <c r="N3538" s="22"/>
      <c r="O3538" s="22"/>
      <c r="P3538" s="49"/>
      <c r="Q3538" s="49"/>
      <c r="R3538" s="188" t="str">
        <f t="shared" si="115"/>
        <v/>
      </c>
      <c r="T3538" s="21"/>
      <c r="U3538" s="22"/>
      <c r="V3538" s="24"/>
      <c r="W3538" s="24"/>
      <c r="X3538" s="24"/>
      <c r="Y3538" s="24"/>
      <c r="Z3538" s="20" t="str">
        <f t="shared" si="114"/>
        <v/>
      </c>
    </row>
    <row r="3539" spans="1:26" x14ac:dyDescent="0.2">
      <c r="A3539" s="21"/>
      <c r="B3539" s="20"/>
      <c r="C3539" s="22"/>
      <c r="D3539" s="22"/>
      <c r="E3539" s="24"/>
      <c r="F3539" s="22"/>
      <c r="H3539" s="21">
        <v>46120</v>
      </c>
      <c r="I3539" s="22" t="s">
        <v>70</v>
      </c>
      <c r="J3539" s="22" t="s">
        <v>56</v>
      </c>
      <c r="K3539" s="24">
        <v>9</v>
      </c>
      <c r="M3539" s="21"/>
      <c r="N3539" s="22"/>
      <c r="O3539" s="22"/>
      <c r="P3539" s="49"/>
      <c r="Q3539" s="49"/>
      <c r="R3539" s="188" t="str">
        <f t="shared" si="115"/>
        <v/>
      </c>
      <c r="T3539" s="21"/>
      <c r="U3539" s="22"/>
      <c r="V3539" s="24"/>
      <c r="W3539" s="24"/>
      <c r="X3539" s="24"/>
      <c r="Y3539" s="24"/>
      <c r="Z3539" s="20" t="str">
        <f t="shared" ref="Z3539:Z3602" si="116">IF(COUNT(V3539:Y3539)=0,"",SUM(V3539:Y3539))</f>
        <v/>
      </c>
    </row>
    <row r="3540" spans="1:26" x14ac:dyDescent="0.2">
      <c r="A3540" s="21"/>
      <c r="B3540" s="20"/>
      <c r="C3540" s="22"/>
      <c r="D3540" s="22"/>
      <c r="E3540" s="24"/>
      <c r="F3540" s="22"/>
      <c r="H3540" s="21">
        <v>46120</v>
      </c>
      <c r="I3540" s="22" t="s">
        <v>70</v>
      </c>
      <c r="J3540" s="22" t="s">
        <v>55</v>
      </c>
      <c r="K3540" s="24">
        <v>9</v>
      </c>
      <c r="M3540" s="21"/>
      <c r="N3540" s="22"/>
      <c r="O3540" s="22"/>
      <c r="P3540" s="49"/>
      <c r="Q3540" s="49"/>
      <c r="R3540" s="188" t="str">
        <f t="shared" si="115"/>
        <v/>
      </c>
      <c r="T3540" s="21"/>
      <c r="U3540" s="22"/>
      <c r="V3540" s="24"/>
      <c r="W3540" s="24"/>
      <c r="X3540" s="24"/>
      <c r="Y3540" s="24"/>
      <c r="Z3540" s="20" t="str">
        <f t="shared" si="116"/>
        <v/>
      </c>
    </row>
    <row r="3541" spans="1:26" x14ac:dyDescent="0.2">
      <c r="A3541" s="21"/>
      <c r="B3541" s="20"/>
      <c r="C3541" s="22"/>
      <c r="D3541" s="22"/>
      <c r="E3541" s="24"/>
      <c r="F3541" s="22"/>
      <c r="H3541" s="21">
        <v>46121</v>
      </c>
      <c r="I3541" s="22" t="s">
        <v>71</v>
      </c>
      <c r="J3541" s="22" t="s">
        <v>52</v>
      </c>
      <c r="K3541" s="24">
        <v>6</v>
      </c>
      <c r="M3541" s="21"/>
      <c r="N3541" s="22"/>
      <c r="O3541" s="22"/>
      <c r="P3541" s="49"/>
      <c r="Q3541" s="49"/>
      <c r="R3541" s="188" t="str">
        <f t="shared" si="115"/>
        <v/>
      </c>
      <c r="T3541" s="21"/>
      <c r="U3541" s="22"/>
      <c r="V3541" s="24"/>
      <c r="W3541" s="24"/>
      <c r="X3541" s="24"/>
      <c r="Y3541" s="24"/>
      <c r="Z3541" s="20" t="str">
        <f t="shared" si="116"/>
        <v/>
      </c>
    </row>
    <row r="3542" spans="1:26" x14ac:dyDescent="0.2">
      <c r="A3542" s="21"/>
      <c r="B3542" s="20"/>
      <c r="C3542" s="22"/>
      <c r="D3542" s="22"/>
      <c r="E3542" s="24"/>
      <c r="F3542" s="22"/>
      <c r="H3542" s="21">
        <v>46121</v>
      </c>
      <c r="I3542" s="22" t="s">
        <v>71</v>
      </c>
      <c r="J3542" s="22" t="s">
        <v>53</v>
      </c>
      <c r="K3542" s="24" t="s">
        <v>61</v>
      </c>
      <c r="M3542" s="21"/>
      <c r="N3542" s="22"/>
      <c r="O3542" s="22"/>
      <c r="P3542" s="49"/>
      <c r="Q3542" s="49"/>
      <c r="R3542" s="188" t="str">
        <f t="shared" ref="R3542:R3605" si="117">IF(OR(P3542="",Q3542=""),"",IFERROR(P3542-Q3542,""))</f>
        <v/>
      </c>
      <c r="T3542" s="21"/>
      <c r="U3542" s="22"/>
      <c r="V3542" s="24"/>
      <c r="W3542" s="24"/>
      <c r="X3542" s="24"/>
      <c r="Y3542" s="24"/>
      <c r="Z3542" s="20" t="str">
        <f t="shared" si="116"/>
        <v/>
      </c>
    </row>
    <row r="3543" spans="1:26" x14ac:dyDescent="0.2">
      <c r="A3543" s="21"/>
      <c r="B3543" s="20"/>
      <c r="C3543" s="22"/>
      <c r="D3543" s="22"/>
      <c r="E3543" s="24"/>
      <c r="F3543" s="22"/>
      <c r="H3543" s="21">
        <v>46121</v>
      </c>
      <c r="I3543" s="22" t="s">
        <v>71</v>
      </c>
      <c r="J3543" s="22" t="s">
        <v>44</v>
      </c>
      <c r="K3543" s="24" t="s">
        <v>64</v>
      </c>
      <c r="M3543" s="21"/>
      <c r="N3543" s="22"/>
      <c r="O3543" s="22"/>
      <c r="P3543" s="49"/>
      <c r="Q3543" s="49"/>
      <c r="R3543" s="188" t="str">
        <f t="shared" si="117"/>
        <v/>
      </c>
      <c r="T3543" s="21"/>
      <c r="U3543" s="22"/>
      <c r="V3543" s="24"/>
      <c r="W3543" s="24"/>
      <c r="X3543" s="24"/>
      <c r="Y3543" s="24"/>
      <c r="Z3543" s="20" t="str">
        <f t="shared" si="116"/>
        <v/>
      </c>
    </row>
    <row r="3544" spans="1:26" x14ac:dyDescent="0.2">
      <c r="A3544" s="21"/>
      <c r="B3544" s="20"/>
      <c r="C3544" s="22"/>
      <c r="D3544" s="22"/>
      <c r="E3544" s="24"/>
      <c r="F3544" s="22"/>
      <c r="H3544" s="21">
        <v>46121</v>
      </c>
      <c r="I3544" s="22" t="s">
        <v>71</v>
      </c>
      <c r="J3544" s="22" t="s">
        <v>45</v>
      </c>
      <c r="K3544" s="24" t="s">
        <v>61</v>
      </c>
      <c r="M3544" s="21"/>
      <c r="N3544" s="22"/>
      <c r="O3544" s="22"/>
      <c r="P3544" s="49"/>
      <c r="Q3544" s="49"/>
      <c r="R3544" s="188" t="str">
        <f t="shared" si="117"/>
        <v/>
      </c>
      <c r="T3544" s="21"/>
      <c r="U3544" s="22"/>
      <c r="V3544" s="24"/>
      <c r="W3544" s="24"/>
      <c r="X3544" s="24"/>
      <c r="Y3544" s="24"/>
      <c r="Z3544" s="20" t="str">
        <f t="shared" si="116"/>
        <v/>
      </c>
    </row>
    <row r="3545" spans="1:26" x14ac:dyDescent="0.2">
      <c r="A3545" s="21"/>
      <c r="B3545" s="20"/>
      <c r="C3545" s="22"/>
      <c r="D3545" s="22"/>
      <c r="E3545" s="24"/>
      <c r="F3545" s="22"/>
      <c r="H3545" s="21">
        <v>46121</v>
      </c>
      <c r="I3545" s="22" t="s">
        <v>71</v>
      </c>
      <c r="J3545" s="22" t="s">
        <v>57</v>
      </c>
      <c r="K3545" s="24">
        <v>7</v>
      </c>
      <c r="M3545" s="21"/>
      <c r="N3545" s="22"/>
      <c r="O3545" s="22"/>
      <c r="P3545" s="49"/>
      <c r="Q3545" s="49"/>
      <c r="R3545" s="188" t="str">
        <f t="shared" si="117"/>
        <v/>
      </c>
      <c r="T3545" s="21"/>
      <c r="U3545" s="22"/>
      <c r="V3545" s="24"/>
      <c r="W3545" s="24"/>
      <c r="X3545" s="24"/>
      <c r="Y3545" s="24"/>
      <c r="Z3545" s="20" t="str">
        <f t="shared" si="116"/>
        <v/>
      </c>
    </row>
    <row r="3546" spans="1:26" x14ac:dyDescent="0.2">
      <c r="A3546" s="21"/>
      <c r="B3546" s="20"/>
      <c r="C3546" s="22"/>
      <c r="D3546" s="22"/>
      <c r="E3546" s="24"/>
      <c r="F3546" s="22"/>
      <c r="H3546" s="21">
        <v>46121</v>
      </c>
      <c r="I3546" s="22" t="s">
        <v>71</v>
      </c>
      <c r="J3546" s="22" t="s">
        <v>42</v>
      </c>
      <c r="K3546" s="24">
        <v>2</v>
      </c>
      <c r="M3546" s="21"/>
      <c r="N3546" s="22"/>
      <c r="O3546" s="22"/>
      <c r="P3546" s="49"/>
      <c r="Q3546" s="49"/>
      <c r="R3546" s="188" t="str">
        <f t="shared" si="117"/>
        <v/>
      </c>
      <c r="T3546" s="21"/>
      <c r="U3546" s="22"/>
      <c r="V3546" s="24"/>
      <c r="W3546" s="24"/>
      <c r="X3546" s="24"/>
      <c r="Y3546" s="24"/>
      <c r="Z3546" s="20" t="str">
        <f t="shared" si="116"/>
        <v/>
      </c>
    </row>
    <row r="3547" spans="1:26" x14ac:dyDescent="0.2">
      <c r="A3547" s="21"/>
      <c r="B3547" s="20"/>
      <c r="C3547" s="22"/>
      <c r="D3547" s="22"/>
      <c r="E3547" s="24"/>
      <c r="F3547" s="22"/>
      <c r="H3547" s="21">
        <v>46121</v>
      </c>
      <c r="I3547" s="22" t="s">
        <v>71</v>
      </c>
      <c r="J3547" s="22" t="s">
        <v>47</v>
      </c>
      <c r="K3547" s="24">
        <v>6</v>
      </c>
      <c r="M3547" s="21"/>
      <c r="N3547" s="22"/>
      <c r="O3547" s="22"/>
      <c r="P3547" s="49"/>
      <c r="Q3547" s="49"/>
      <c r="R3547" s="188" t="str">
        <f t="shared" si="117"/>
        <v/>
      </c>
      <c r="T3547" s="21"/>
      <c r="U3547" s="22"/>
      <c r="V3547" s="24"/>
      <c r="W3547" s="24"/>
      <c r="X3547" s="24"/>
      <c r="Y3547" s="24"/>
      <c r="Z3547" s="20" t="str">
        <f t="shared" si="116"/>
        <v/>
      </c>
    </row>
    <row r="3548" spans="1:26" x14ac:dyDescent="0.2">
      <c r="A3548" s="21"/>
      <c r="B3548" s="20"/>
      <c r="C3548" s="22"/>
      <c r="D3548" s="22"/>
      <c r="E3548" s="24"/>
      <c r="F3548" s="22"/>
      <c r="H3548" s="21">
        <v>46121</v>
      </c>
      <c r="I3548" s="22" t="s">
        <v>71</v>
      </c>
      <c r="J3548" s="22" t="s">
        <v>41</v>
      </c>
      <c r="K3548" s="24">
        <v>3</v>
      </c>
      <c r="M3548" s="21"/>
      <c r="N3548" s="22"/>
      <c r="O3548" s="22"/>
      <c r="P3548" s="49"/>
      <c r="Q3548" s="49"/>
      <c r="R3548" s="188" t="str">
        <f t="shared" si="117"/>
        <v/>
      </c>
      <c r="T3548" s="21"/>
      <c r="U3548" s="22"/>
      <c r="V3548" s="24"/>
      <c r="W3548" s="24"/>
      <c r="X3548" s="24"/>
      <c r="Y3548" s="24"/>
      <c r="Z3548" s="20" t="str">
        <f t="shared" si="116"/>
        <v/>
      </c>
    </row>
    <row r="3549" spans="1:26" x14ac:dyDescent="0.2">
      <c r="A3549" s="21"/>
      <c r="B3549" s="20"/>
      <c r="C3549" s="22"/>
      <c r="D3549" s="22"/>
      <c r="E3549" s="24"/>
      <c r="F3549" s="22"/>
      <c r="H3549" s="21">
        <v>46121</v>
      </c>
      <c r="I3549" s="22" t="s">
        <v>71</v>
      </c>
      <c r="J3549" s="22" t="s">
        <v>58</v>
      </c>
      <c r="K3549" s="24" t="s">
        <v>61</v>
      </c>
      <c r="M3549" s="21"/>
      <c r="N3549" s="22"/>
      <c r="O3549" s="22"/>
      <c r="P3549" s="49"/>
      <c r="Q3549" s="49"/>
      <c r="R3549" s="188" t="str">
        <f t="shared" si="117"/>
        <v/>
      </c>
      <c r="T3549" s="21"/>
      <c r="U3549" s="22"/>
      <c r="V3549" s="24"/>
      <c r="W3549" s="24"/>
      <c r="X3549" s="24"/>
      <c r="Y3549" s="24"/>
      <c r="Z3549" s="20" t="str">
        <f t="shared" si="116"/>
        <v/>
      </c>
    </row>
    <row r="3550" spans="1:26" x14ac:dyDescent="0.2">
      <c r="A3550" s="21"/>
      <c r="B3550" s="20"/>
      <c r="C3550" s="22"/>
      <c r="D3550" s="22"/>
      <c r="E3550" s="24"/>
      <c r="F3550" s="22"/>
      <c r="H3550" s="21">
        <v>46121</v>
      </c>
      <c r="I3550" s="22" t="s">
        <v>71</v>
      </c>
      <c r="J3550" s="22" t="s">
        <v>49</v>
      </c>
      <c r="K3550" s="24">
        <v>7</v>
      </c>
      <c r="M3550" s="21"/>
      <c r="N3550" s="22"/>
      <c r="O3550" s="22"/>
      <c r="P3550" s="49"/>
      <c r="Q3550" s="49"/>
      <c r="R3550" s="188" t="str">
        <f t="shared" si="117"/>
        <v/>
      </c>
      <c r="T3550" s="21"/>
      <c r="U3550" s="22"/>
      <c r="V3550" s="24"/>
      <c r="W3550" s="24"/>
      <c r="X3550" s="24"/>
      <c r="Y3550" s="24"/>
      <c r="Z3550" s="20" t="str">
        <f t="shared" si="116"/>
        <v/>
      </c>
    </row>
    <row r="3551" spans="1:26" x14ac:dyDescent="0.2">
      <c r="A3551" s="21"/>
      <c r="B3551" s="20"/>
      <c r="C3551" s="22"/>
      <c r="D3551" s="22"/>
      <c r="E3551" s="24"/>
      <c r="F3551" s="22"/>
      <c r="H3551" s="21">
        <v>46121</v>
      </c>
      <c r="I3551" s="22" t="s">
        <v>71</v>
      </c>
      <c r="J3551" s="22" t="s">
        <v>50</v>
      </c>
      <c r="K3551" s="24">
        <v>7</v>
      </c>
      <c r="M3551" s="21"/>
      <c r="N3551" s="22"/>
      <c r="O3551" s="22"/>
      <c r="P3551" s="49"/>
      <c r="Q3551" s="49"/>
      <c r="R3551" s="188" t="str">
        <f t="shared" si="117"/>
        <v/>
      </c>
      <c r="T3551" s="21"/>
      <c r="U3551" s="22"/>
      <c r="V3551" s="24"/>
      <c r="W3551" s="24"/>
      <c r="X3551" s="24"/>
      <c r="Y3551" s="24"/>
      <c r="Z3551" s="20" t="str">
        <f t="shared" si="116"/>
        <v/>
      </c>
    </row>
    <row r="3552" spans="1:26" x14ac:dyDescent="0.2">
      <c r="A3552" s="21"/>
      <c r="B3552" s="20"/>
      <c r="C3552" s="22"/>
      <c r="D3552" s="22"/>
      <c r="E3552" s="24"/>
      <c r="F3552" s="22"/>
      <c r="H3552" s="21">
        <v>46121</v>
      </c>
      <c r="I3552" s="22" t="s">
        <v>71</v>
      </c>
      <c r="J3552" s="22" t="s">
        <v>51</v>
      </c>
      <c r="K3552" s="24">
        <v>7</v>
      </c>
      <c r="M3552" s="21"/>
      <c r="N3552" s="22"/>
      <c r="O3552" s="22"/>
      <c r="P3552" s="49"/>
      <c r="Q3552" s="49"/>
      <c r="R3552" s="188" t="str">
        <f t="shared" si="117"/>
        <v/>
      </c>
      <c r="T3552" s="21"/>
      <c r="U3552" s="22"/>
      <c r="V3552" s="24"/>
      <c r="W3552" s="24"/>
      <c r="X3552" s="24"/>
      <c r="Y3552" s="24"/>
      <c r="Z3552" s="20" t="str">
        <f t="shared" si="116"/>
        <v/>
      </c>
    </row>
    <row r="3553" spans="1:26" x14ac:dyDescent="0.2">
      <c r="A3553" s="21"/>
      <c r="B3553" s="20"/>
      <c r="C3553" s="22"/>
      <c r="D3553" s="22"/>
      <c r="E3553" s="24"/>
      <c r="F3553" s="22"/>
      <c r="H3553" s="21">
        <v>46121</v>
      </c>
      <c r="I3553" s="22" t="s">
        <v>71</v>
      </c>
      <c r="J3553" s="22" t="s">
        <v>46</v>
      </c>
      <c r="K3553" s="24">
        <v>6</v>
      </c>
      <c r="M3553" s="21"/>
      <c r="N3553" s="22"/>
      <c r="O3553" s="22"/>
      <c r="P3553" s="49"/>
      <c r="Q3553" s="49"/>
      <c r="R3553" s="188" t="str">
        <f t="shared" si="117"/>
        <v/>
      </c>
      <c r="T3553" s="21"/>
      <c r="U3553" s="22"/>
      <c r="V3553" s="24"/>
      <c r="W3553" s="24"/>
      <c r="X3553" s="24"/>
      <c r="Y3553" s="24"/>
      <c r="Z3553" s="20" t="str">
        <f t="shared" si="116"/>
        <v/>
      </c>
    </row>
    <row r="3554" spans="1:26" x14ac:dyDescent="0.2">
      <c r="A3554" s="21"/>
      <c r="B3554" s="20"/>
      <c r="C3554" s="22"/>
      <c r="D3554" s="22"/>
      <c r="E3554" s="24"/>
      <c r="F3554" s="22"/>
      <c r="H3554" s="21">
        <v>46121</v>
      </c>
      <c r="I3554" s="22" t="s">
        <v>71</v>
      </c>
      <c r="J3554" s="22" t="s">
        <v>48</v>
      </c>
      <c r="K3554" s="24" t="s">
        <v>61</v>
      </c>
      <c r="M3554" s="21"/>
      <c r="N3554" s="22"/>
      <c r="O3554" s="22"/>
      <c r="P3554" s="49"/>
      <c r="Q3554" s="49"/>
      <c r="R3554" s="188" t="str">
        <f t="shared" si="117"/>
        <v/>
      </c>
      <c r="T3554" s="21"/>
      <c r="U3554" s="22"/>
      <c r="V3554" s="24"/>
      <c r="W3554" s="24"/>
      <c r="X3554" s="24"/>
      <c r="Y3554" s="24"/>
      <c r="Z3554" s="20" t="str">
        <f t="shared" si="116"/>
        <v/>
      </c>
    </row>
    <row r="3555" spans="1:26" x14ac:dyDescent="0.2">
      <c r="A3555" s="21"/>
      <c r="B3555" s="20"/>
      <c r="C3555" s="22"/>
      <c r="D3555" s="22"/>
      <c r="E3555" s="24"/>
      <c r="F3555" s="22"/>
      <c r="H3555" s="21">
        <v>46121</v>
      </c>
      <c r="I3555" s="22" t="s">
        <v>71</v>
      </c>
      <c r="J3555" s="22" t="s">
        <v>56</v>
      </c>
      <c r="K3555" s="24">
        <v>7</v>
      </c>
      <c r="M3555" s="21"/>
      <c r="N3555" s="22"/>
      <c r="O3555" s="22"/>
      <c r="P3555" s="49"/>
      <c r="Q3555" s="49"/>
      <c r="R3555" s="188" t="str">
        <f t="shared" si="117"/>
        <v/>
      </c>
      <c r="T3555" s="21"/>
      <c r="U3555" s="22"/>
      <c r="V3555" s="24"/>
      <c r="W3555" s="24"/>
      <c r="X3555" s="24"/>
      <c r="Y3555" s="24"/>
      <c r="Z3555" s="20" t="str">
        <f t="shared" si="116"/>
        <v/>
      </c>
    </row>
    <row r="3556" spans="1:26" x14ac:dyDescent="0.2">
      <c r="A3556" s="21"/>
      <c r="B3556" s="20"/>
      <c r="C3556" s="22"/>
      <c r="D3556" s="22"/>
      <c r="E3556" s="24"/>
      <c r="F3556" s="22"/>
      <c r="H3556" s="21">
        <v>46121</v>
      </c>
      <c r="I3556" s="22" t="s">
        <v>71</v>
      </c>
      <c r="J3556" s="22" t="s">
        <v>55</v>
      </c>
      <c r="K3556" s="24">
        <v>7</v>
      </c>
      <c r="M3556" s="21"/>
      <c r="N3556" s="22"/>
      <c r="O3556" s="22"/>
      <c r="P3556" s="49"/>
      <c r="Q3556" s="49"/>
      <c r="R3556" s="188" t="str">
        <f t="shared" si="117"/>
        <v/>
      </c>
      <c r="T3556" s="21"/>
      <c r="U3556" s="22"/>
      <c r="V3556" s="24"/>
      <c r="W3556" s="24"/>
      <c r="X3556" s="24"/>
      <c r="Y3556" s="24"/>
      <c r="Z3556" s="20" t="str">
        <f t="shared" si="116"/>
        <v/>
      </c>
    </row>
    <row r="3557" spans="1:26" x14ac:dyDescent="0.2">
      <c r="A3557" s="21"/>
      <c r="B3557" s="20"/>
      <c r="C3557" s="22"/>
      <c r="D3557" s="22"/>
      <c r="E3557" s="24"/>
      <c r="F3557" s="22"/>
      <c r="H3557" s="21">
        <v>46122</v>
      </c>
      <c r="I3557" s="22" t="s">
        <v>70</v>
      </c>
      <c r="J3557" s="22" t="s">
        <v>52</v>
      </c>
      <c r="K3557" s="24">
        <v>8</v>
      </c>
      <c r="M3557" s="21"/>
      <c r="N3557" s="22"/>
      <c r="O3557" s="22"/>
      <c r="P3557" s="49"/>
      <c r="Q3557" s="49"/>
      <c r="R3557" s="188" t="str">
        <f t="shared" si="117"/>
        <v/>
      </c>
      <c r="T3557" s="21"/>
      <c r="U3557" s="22"/>
      <c r="V3557" s="24"/>
      <c r="W3557" s="24"/>
      <c r="X3557" s="24"/>
      <c r="Y3557" s="24"/>
      <c r="Z3557" s="20" t="str">
        <f t="shared" si="116"/>
        <v/>
      </c>
    </row>
    <row r="3558" spans="1:26" x14ac:dyDescent="0.2">
      <c r="A3558" s="21"/>
      <c r="B3558" s="20"/>
      <c r="C3558" s="22"/>
      <c r="D3558" s="22"/>
      <c r="E3558" s="24"/>
      <c r="F3558" s="22"/>
      <c r="H3558" s="21">
        <v>46122</v>
      </c>
      <c r="I3558" s="22" t="s">
        <v>70</v>
      </c>
      <c r="J3558" s="22" t="s">
        <v>53</v>
      </c>
      <c r="K3558" s="24" t="s">
        <v>61</v>
      </c>
      <c r="M3558" s="21"/>
      <c r="N3558" s="22"/>
      <c r="O3558" s="22"/>
      <c r="P3558" s="49"/>
      <c r="Q3558" s="49"/>
      <c r="R3558" s="188" t="str">
        <f t="shared" si="117"/>
        <v/>
      </c>
      <c r="T3558" s="21"/>
      <c r="U3558" s="22"/>
      <c r="V3558" s="24"/>
      <c r="W3558" s="24"/>
      <c r="X3558" s="24"/>
      <c r="Y3558" s="24"/>
      <c r="Z3558" s="20" t="str">
        <f t="shared" si="116"/>
        <v/>
      </c>
    </row>
    <row r="3559" spans="1:26" x14ac:dyDescent="0.2">
      <c r="A3559" s="21"/>
      <c r="B3559" s="20"/>
      <c r="C3559" s="22"/>
      <c r="D3559" s="22"/>
      <c r="E3559" s="24"/>
      <c r="F3559" s="22"/>
      <c r="H3559" s="21">
        <v>46122</v>
      </c>
      <c r="I3559" s="22" t="s">
        <v>70</v>
      </c>
      <c r="J3559" s="22" t="s">
        <v>44</v>
      </c>
      <c r="K3559" s="24" t="s">
        <v>64</v>
      </c>
      <c r="M3559" s="21"/>
      <c r="N3559" s="22"/>
      <c r="O3559" s="22"/>
      <c r="P3559" s="49"/>
      <c r="Q3559" s="49"/>
      <c r="R3559" s="188" t="str">
        <f t="shared" si="117"/>
        <v/>
      </c>
      <c r="T3559" s="21"/>
      <c r="U3559" s="22"/>
      <c r="V3559" s="24"/>
      <c r="W3559" s="24"/>
      <c r="X3559" s="24"/>
      <c r="Y3559" s="24"/>
      <c r="Z3559" s="20" t="str">
        <f t="shared" si="116"/>
        <v/>
      </c>
    </row>
    <row r="3560" spans="1:26" x14ac:dyDescent="0.2">
      <c r="A3560" s="21"/>
      <c r="B3560" s="20"/>
      <c r="C3560" s="22"/>
      <c r="D3560" s="22"/>
      <c r="E3560" s="24"/>
      <c r="F3560" s="22"/>
      <c r="H3560" s="21">
        <v>46122</v>
      </c>
      <c r="I3560" s="22" t="s">
        <v>70</v>
      </c>
      <c r="J3560" s="22" t="s">
        <v>45</v>
      </c>
      <c r="K3560" s="24" t="s">
        <v>61</v>
      </c>
      <c r="M3560" s="21"/>
      <c r="N3560" s="22"/>
      <c r="O3560" s="22"/>
      <c r="P3560" s="49"/>
      <c r="Q3560" s="49"/>
      <c r="R3560" s="188" t="str">
        <f t="shared" si="117"/>
        <v/>
      </c>
      <c r="T3560" s="21"/>
      <c r="U3560" s="22"/>
      <c r="V3560" s="24"/>
      <c r="W3560" s="24"/>
      <c r="X3560" s="24"/>
      <c r="Y3560" s="24"/>
      <c r="Z3560" s="20" t="str">
        <f t="shared" si="116"/>
        <v/>
      </c>
    </row>
    <row r="3561" spans="1:26" x14ac:dyDescent="0.2">
      <c r="A3561" s="21"/>
      <c r="B3561" s="20"/>
      <c r="C3561" s="22"/>
      <c r="D3561" s="22"/>
      <c r="E3561" s="24"/>
      <c r="F3561" s="22"/>
      <c r="H3561" s="21">
        <v>46122</v>
      </c>
      <c r="I3561" s="22" t="s">
        <v>70</v>
      </c>
      <c r="J3561" s="22" t="s">
        <v>57</v>
      </c>
      <c r="K3561" s="24">
        <v>8</v>
      </c>
      <c r="M3561" s="21"/>
      <c r="N3561" s="22"/>
      <c r="O3561" s="22"/>
      <c r="P3561" s="49"/>
      <c r="Q3561" s="49"/>
      <c r="R3561" s="188" t="str">
        <f t="shared" si="117"/>
        <v/>
      </c>
      <c r="T3561" s="21"/>
      <c r="U3561" s="22"/>
      <c r="V3561" s="24"/>
      <c r="W3561" s="24"/>
      <c r="X3561" s="24"/>
      <c r="Y3561" s="24"/>
      <c r="Z3561" s="20" t="str">
        <f t="shared" si="116"/>
        <v/>
      </c>
    </row>
    <row r="3562" spans="1:26" x14ac:dyDescent="0.2">
      <c r="A3562" s="21"/>
      <c r="B3562" s="20"/>
      <c r="C3562" s="22"/>
      <c r="D3562" s="22"/>
      <c r="E3562" s="24"/>
      <c r="F3562" s="22"/>
      <c r="H3562" s="21">
        <v>46122</v>
      </c>
      <c r="I3562" s="22" t="s">
        <v>70</v>
      </c>
      <c r="J3562" s="22" t="s">
        <v>42</v>
      </c>
      <c r="K3562" s="24">
        <v>8</v>
      </c>
      <c r="M3562" s="21"/>
      <c r="N3562" s="22"/>
      <c r="O3562" s="22"/>
      <c r="P3562" s="49"/>
      <c r="Q3562" s="49"/>
      <c r="R3562" s="188" t="str">
        <f t="shared" si="117"/>
        <v/>
      </c>
      <c r="T3562" s="21"/>
      <c r="U3562" s="22"/>
      <c r="V3562" s="24"/>
      <c r="W3562" s="24"/>
      <c r="X3562" s="24"/>
      <c r="Y3562" s="24"/>
      <c r="Z3562" s="20" t="str">
        <f t="shared" si="116"/>
        <v/>
      </c>
    </row>
    <row r="3563" spans="1:26" x14ac:dyDescent="0.2">
      <c r="A3563" s="21"/>
      <c r="B3563" s="20"/>
      <c r="C3563" s="22"/>
      <c r="D3563" s="22"/>
      <c r="E3563" s="24"/>
      <c r="F3563" s="22"/>
      <c r="H3563" s="21">
        <v>46122</v>
      </c>
      <c r="I3563" s="22" t="s">
        <v>70</v>
      </c>
      <c r="J3563" s="22" t="s">
        <v>54</v>
      </c>
      <c r="K3563" s="24">
        <v>8</v>
      </c>
      <c r="M3563" s="21"/>
      <c r="N3563" s="22"/>
      <c r="O3563" s="22"/>
      <c r="P3563" s="49"/>
      <c r="Q3563" s="49"/>
      <c r="R3563" s="188" t="str">
        <f t="shared" si="117"/>
        <v/>
      </c>
      <c r="T3563" s="21"/>
      <c r="U3563" s="22"/>
      <c r="V3563" s="24"/>
      <c r="W3563" s="24"/>
      <c r="X3563" s="24"/>
      <c r="Y3563" s="24"/>
      <c r="Z3563" s="20" t="str">
        <f t="shared" si="116"/>
        <v/>
      </c>
    </row>
    <row r="3564" spans="1:26" x14ac:dyDescent="0.2">
      <c r="A3564" s="21"/>
      <c r="B3564" s="20"/>
      <c r="C3564" s="22"/>
      <c r="D3564" s="22"/>
      <c r="E3564" s="24"/>
      <c r="F3564" s="22"/>
      <c r="H3564" s="21">
        <v>46122</v>
      </c>
      <c r="I3564" s="22" t="s">
        <v>70</v>
      </c>
      <c r="J3564" s="22" t="s">
        <v>47</v>
      </c>
      <c r="K3564" s="24">
        <v>8</v>
      </c>
      <c r="M3564" s="21"/>
      <c r="N3564" s="22"/>
      <c r="O3564" s="22"/>
      <c r="P3564" s="49"/>
      <c r="Q3564" s="49"/>
      <c r="R3564" s="188" t="str">
        <f t="shared" si="117"/>
        <v/>
      </c>
      <c r="T3564" s="21"/>
      <c r="U3564" s="22"/>
      <c r="V3564" s="24"/>
      <c r="W3564" s="24"/>
      <c r="X3564" s="24"/>
      <c r="Y3564" s="24"/>
      <c r="Z3564" s="20" t="str">
        <f t="shared" si="116"/>
        <v/>
      </c>
    </row>
    <row r="3565" spans="1:26" x14ac:dyDescent="0.2">
      <c r="A3565" s="21"/>
      <c r="B3565" s="20"/>
      <c r="C3565" s="22"/>
      <c r="D3565" s="22"/>
      <c r="E3565" s="24"/>
      <c r="F3565" s="22"/>
      <c r="H3565" s="21">
        <v>46122</v>
      </c>
      <c r="I3565" s="22" t="s">
        <v>70</v>
      </c>
      <c r="J3565" s="22" t="s">
        <v>41</v>
      </c>
      <c r="K3565" s="24">
        <v>8</v>
      </c>
      <c r="M3565" s="21"/>
      <c r="N3565" s="22"/>
      <c r="O3565" s="22"/>
      <c r="P3565" s="49"/>
      <c r="Q3565" s="49"/>
      <c r="R3565" s="188" t="str">
        <f t="shared" si="117"/>
        <v/>
      </c>
      <c r="T3565" s="21"/>
      <c r="U3565" s="22"/>
      <c r="V3565" s="24"/>
      <c r="W3565" s="24"/>
      <c r="X3565" s="24"/>
      <c r="Y3565" s="24"/>
      <c r="Z3565" s="20" t="str">
        <f t="shared" si="116"/>
        <v/>
      </c>
    </row>
    <row r="3566" spans="1:26" x14ac:dyDescent="0.2">
      <c r="A3566" s="21"/>
      <c r="B3566" s="20"/>
      <c r="C3566" s="22"/>
      <c r="D3566" s="22"/>
      <c r="E3566" s="24"/>
      <c r="F3566" s="22"/>
      <c r="H3566" s="21">
        <v>46122</v>
      </c>
      <c r="I3566" s="22" t="s">
        <v>70</v>
      </c>
      <c r="J3566" s="22" t="s">
        <v>58</v>
      </c>
      <c r="K3566" s="24" t="s">
        <v>61</v>
      </c>
      <c r="M3566" s="21"/>
      <c r="N3566" s="22"/>
      <c r="O3566" s="22"/>
      <c r="P3566" s="49"/>
      <c r="Q3566" s="49"/>
      <c r="R3566" s="188" t="str">
        <f t="shared" si="117"/>
        <v/>
      </c>
      <c r="T3566" s="21"/>
      <c r="U3566" s="22"/>
      <c r="V3566" s="24"/>
      <c r="W3566" s="24"/>
      <c r="X3566" s="24"/>
      <c r="Y3566" s="24"/>
      <c r="Z3566" s="20" t="str">
        <f t="shared" si="116"/>
        <v/>
      </c>
    </row>
    <row r="3567" spans="1:26" x14ac:dyDescent="0.2">
      <c r="A3567" s="21"/>
      <c r="B3567" s="20"/>
      <c r="C3567" s="22"/>
      <c r="D3567" s="22"/>
      <c r="E3567" s="24"/>
      <c r="F3567" s="22"/>
      <c r="H3567" s="21">
        <v>46122</v>
      </c>
      <c r="I3567" s="22" t="s">
        <v>70</v>
      </c>
      <c r="J3567" s="22" t="s">
        <v>49</v>
      </c>
      <c r="K3567" s="24">
        <v>8</v>
      </c>
      <c r="M3567" s="21"/>
      <c r="N3567" s="22"/>
      <c r="O3567" s="22"/>
      <c r="P3567" s="49"/>
      <c r="Q3567" s="49"/>
      <c r="R3567" s="188" t="str">
        <f t="shared" si="117"/>
        <v/>
      </c>
      <c r="T3567" s="21"/>
      <c r="U3567" s="22"/>
      <c r="V3567" s="24"/>
      <c r="W3567" s="24"/>
      <c r="X3567" s="24"/>
      <c r="Y3567" s="24"/>
      <c r="Z3567" s="20" t="str">
        <f t="shared" si="116"/>
        <v/>
      </c>
    </row>
    <row r="3568" spans="1:26" x14ac:dyDescent="0.2">
      <c r="A3568" s="21"/>
      <c r="B3568" s="20"/>
      <c r="C3568" s="22"/>
      <c r="D3568" s="22"/>
      <c r="E3568" s="24"/>
      <c r="F3568" s="22"/>
      <c r="H3568" s="21">
        <v>46122</v>
      </c>
      <c r="I3568" s="22" t="s">
        <v>70</v>
      </c>
      <c r="J3568" s="22" t="s">
        <v>50</v>
      </c>
      <c r="K3568" s="24">
        <v>8</v>
      </c>
      <c r="M3568" s="21"/>
      <c r="N3568" s="22"/>
      <c r="O3568" s="22"/>
      <c r="P3568" s="49"/>
      <c r="Q3568" s="49"/>
      <c r="R3568" s="188" t="str">
        <f t="shared" si="117"/>
        <v/>
      </c>
      <c r="T3568" s="21"/>
      <c r="U3568" s="22"/>
      <c r="V3568" s="24"/>
      <c r="W3568" s="24"/>
      <c r="X3568" s="24"/>
      <c r="Y3568" s="24"/>
      <c r="Z3568" s="20" t="str">
        <f t="shared" si="116"/>
        <v/>
      </c>
    </row>
    <row r="3569" spans="1:26" x14ac:dyDescent="0.2">
      <c r="A3569" s="21"/>
      <c r="B3569" s="20"/>
      <c r="C3569" s="22"/>
      <c r="D3569" s="22"/>
      <c r="E3569" s="24"/>
      <c r="F3569" s="22"/>
      <c r="H3569" s="21">
        <v>46122</v>
      </c>
      <c r="I3569" s="22" t="s">
        <v>70</v>
      </c>
      <c r="J3569" s="22" t="s">
        <v>51</v>
      </c>
      <c r="K3569" s="24">
        <v>8</v>
      </c>
      <c r="M3569" s="21"/>
      <c r="N3569" s="22"/>
      <c r="O3569" s="22"/>
      <c r="P3569" s="49"/>
      <c r="Q3569" s="49"/>
      <c r="R3569" s="188" t="str">
        <f t="shared" si="117"/>
        <v/>
      </c>
      <c r="T3569" s="21"/>
      <c r="U3569" s="22"/>
      <c r="V3569" s="24"/>
      <c r="W3569" s="24"/>
      <c r="X3569" s="24"/>
      <c r="Y3569" s="24"/>
      <c r="Z3569" s="20" t="str">
        <f t="shared" si="116"/>
        <v/>
      </c>
    </row>
    <row r="3570" spans="1:26" x14ac:dyDescent="0.2">
      <c r="A3570" s="21"/>
      <c r="B3570" s="20"/>
      <c r="C3570" s="22"/>
      <c r="D3570" s="22"/>
      <c r="E3570" s="24"/>
      <c r="F3570" s="22"/>
      <c r="H3570" s="21">
        <v>46122</v>
      </c>
      <c r="I3570" s="22" t="s">
        <v>70</v>
      </c>
      <c r="J3570" s="22" t="s">
        <v>46</v>
      </c>
      <c r="K3570" s="24">
        <v>8</v>
      </c>
      <c r="M3570" s="21"/>
      <c r="N3570" s="22"/>
      <c r="O3570" s="22"/>
      <c r="P3570" s="49"/>
      <c r="Q3570" s="49"/>
      <c r="R3570" s="188" t="str">
        <f t="shared" si="117"/>
        <v/>
      </c>
      <c r="T3570" s="21"/>
      <c r="U3570" s="22"/>
      <c r="V3570" s="24"/>
      <c r="W3570" s="24"/>
      <c r="X3570" s="24"/>
      <c r="Y3570" s="24"/>
      <c r="Z3570" s="20" t="str">
        <f t="shared" si="116"/>
        <v/>
      </c>
    </row>
    <row r="3571" spans="1:26" x14ac:dyDescent="0.2">
      <c r="A3571" s="21"/>
      <c r="B3571" s="20"/>
      <c r="C3571" s="22"/>
      <c r="D3571" s="22"/>
      <c r="E3571" s="24"/>
      <c r="F3571" s="22"/>
      <c r="H3571" s="21">
        <v>46122</v>
      </c>
      <c r="I3571" s="22" t="s">
        <v>70</v>
      </c>
      <c r="J3571" s="22" t="s">
        <v>48</v>
      </c>
      <c r="K3571" s="24" t="s">
        <v>61</v>
      </c>
      <c r="M3571" s="21"/>
      <c r="N3571" s="22"/>
      <c r="O3571" s="22"/>
      <c r="P3571" s="49"/>
      <c r="Q3571" s="49"/>
      <c r="R3571" s="188" t="str">
        <f t="shared" si="117"/>
        <v/>
      </c>
      <c r="T3571" s="21"/>
      <c r="U3571" s="22"/>
      <c r="V3571" s="24"/>
      <c r="W3571" s="24"/>
      <c r="X3571" s="24"/>
      <c r="Y3571" s="24"/>
      <c r="Z3571" s="20" t="str">
        <f t="shared" si="116"/>
        <v/>
      </c>
    </row>
    <row r="3572" spans="1:26" x14ac:dyDescent="0.2">
      <c r="A3572" s="21"/>
      <c r="B3572" s="20"/>
      <c r="C3572" s="22"/>
      <c r="D3572" s="22"/>
      <c r="E3572" s="24"/>
      <c r="F3572" s="22"/>
      <c r="H3572" s="21">
        <v>46122</v>
      </c>
      <c r="I3572" s="22" t="s">
        <v>70</v>
      </c>
      <c r="J3572" s="22" t="s">
        <v>56</v>
      </c>
      <c r="K3572" s="24">
        <v>8</v>
      </c>
      <c r="M3572" s="21"/>
      <c r="N3572" s="22"/>
      <c r="O3572" s="22"/>
      <c r="P3572" s="49"/>
      <c r="Q3572" s="49"/>
      <c r="R3572" s="188" t="str">
        <f t="shared" si="117"/>
        <v/>
      </c>
      <c r="T3572" s="21"/>
      <c r="U3572" s="22"/>
      <c r="V3572" s="24"/>
      <c r="W3572" s="24"/>
      <c r="X3572" s="24"/>
      <c r="Y3572" s="24"/>
      <c r="Z3572" s="20" t="str">
        <f t="shared" si="116"/>
        <v/>
      </c>
    </row>
    <row r="3573" spans="1:26" x14ac:dyDescent="0.2">
      <c r="A3573" s="21"/>
      <c r="B3573" s="20"/>
      <c r="C3573" s="22"/>
      <c r="D3573" s="22"/>
      <c r="E3573" s="24"/>
      <c r="F3573" s="22"/>
      <c r="H3573" s="21">
        <v>46122</v>
      </c>
      <c r="I3573" s="22" t="s">
        <v>70</v>
      </c>
      <c r="J3573" s="22" t="s">
        <v>55</v>
      </c>
      <c r="K3573" s="24">
        <v>8</v>
      </c>
      <c r="M3573" s="21"/>
      <c r="N3573" s="22"/>
      <c r="O3573" s="22"/>
      <c r="P3573" s="49"/>
      <c r="Q3573" s="49"/>
      <c r="R3573" s="188" t="str">
        <f t="shared" si="117"/>
        <v/>
      </c>
      <c r="T3573" s="21"/>
      <c r="U3573" s="22"/>
      <c r="V3573" s="24"/>
      <c r="W3573" s="24"/>
      <c r="X3573" s="24"/>
      <c r="Y3573" s="24"/>
      <c r="Z3573" s="20" t="str">
        <f t="shared" si="116"/>
        <v/>
      </c>
    </row>
    <row r="3574" spans="1:26" x14ac:dyDescent="0.2">
      <c r="A3574" s="21"/>
      <c r="B3574" s="20"/>
      <c r="C3574" s="22"/>
      <c r="D3574" s="22"/>
      <c r="E3574" s="24"/>
      <c r="F3574" s="22"/>
      <c r="H3574" s="21">
        <v>46125</v>
      </c>
      <c r="I3574" s="22" t="s">
        <v>70</v>
      </c>
      <c r="J3574" s="22" t="s">
        <v>52</v>
      </c>
      <c r="K3574" s="24">
        <v>5</v>
      </c>
      <c r="M3574" s="21"/>
      <c r="N3574" s="22"/>
      <c r="O3574" s="22"/>
      <c r="P3574" s="49"/>
      <c r="Q3574" s="49"/>
      <c r="R3574" s="188" t="str">
        <f t="shared" si="117"/>
        <v/>
      </c>
      <c r="T3574" s="21"/>
      <c r="U3574" s="22"/>
      <c r="V3574" s="24"/>
      <c r="W3574" s="24"/>
      <c r="X3574" s="24"/>
      <c r="Y3574" s="24"/>
      <c r="Z3574" s="20" t="str">
        <f t="shared" si="116"/>
        <v/>
      </c>
    </row>
    <row r="3575" spans="1:26" x14ac:dyDescent="0.2">
      <c r="A3575" s="21"/>
      <c r="B3575" s="20"/>
      <c r="C3575" s="22"/>
      <c r="D3575" s="22"/>
      <c r="E3575" s="24"/>
      <c r="F3575" s="22"/>
      <c r="H3575" s="21">
        <v>46125</v>
      </c>
      <c r="I3575" s="22" t="s">
        <v>70</v>
      </c>
      <c r="J3575" s="22" t="s">
        <v>53</v>
      </c>
      <c r="K3575" s="24">
        <v>7</v>
      </c>
      <c r="M3575" s="21"/>
      <c r="N3575" s="22"/>
      <c r="O3575" s="22"/>
      <c r="P3575" s="49"/>
      <c r="Q3575" s="49"/>
      <c r="R3575" s="188" t="str">
        <f t="shared" si="117"/>
        <v/>
      </c>
      <c r="T3575" s="21"/>
      <c r="U3575" s="22"/>
      <c r="V3575" s="24"/>
      <c r="W3575" s="24"/>
      <c r="X3575" s="24"/>
      <c r="Y3575" s="24"/>
      <c r="Z3575" s="20" t="str">
        <f t="shared" si="116"/>
        <v/>
      </c>
    </row>
    <row r="3576" spans="1:26" x14ac:dyDescent="0.2">
      <c r="A3576" s="21"/>
      <c r="B3576" s="20"/>
      <c r="C3576" s="22"/>
      <c r="D3576" s="22"/>
      <c r="E3576" s="24"/>
      <c r="F3576" s="22"/>
      <c r="H3576" s="21">
        <v>46125</v>
      </c>
      <c r="I3576" s="22" t="s">
        <v>70</v>
      </c>
      <c r="J3576" s="22" t="s">
        <v>44</v>
      </c>
      <c r="K3576" s="24" t="s">
        <v>64</v>
      </c>
      <c r="M3576" s="21"/>
      <c r="N3576" s="22"/>
      <c r="O3576" s="22"/>
      <c r="P3576" s="49"/>
      <c r="Q3576" s="49"/>
      <c r="R3576" s="188" t="str">
        <f t="shared" si="117"/>
        <v/>
      </c>
      <c r="T3576" s="21"/>
      <c r="U3576" s="22"/>
      <c r="V3576" s="24"/>
      <c r="W3576" s="24"/>
      <c r="X3576" s="24"/>
      <c r="Y3576" s="24"/>
      <c r="Z3576" s="20" t="str">
        <f t="shared" si="116"/>
        <v/>
      </c>
    </row>
    <row r="3577" spans="1:26" x14ac:dyDescent="0.2">
      <c r="A3577" s="21"/>
      <c r="B3577" s="20"/>
      <c r="C3577" s="22"/>
      <c r="D3577" s="22"/>
      <c r="E3577" s="24"/>
      <c r="F3577" s="22"/>
      <c r="H3577" s="21">
        <v>46125</v>
      </c>
      <c r="I3577" s="22" t="s">
        <v>70</v>
      </c>
      <c r="J3577" s="22" t="s">
        <v>45</v>
      </c>
      <c r="K3577" s="24">
        <v>5</v>
      </c>
      <c r="M3577" s="21"/>
      <c r="N3577" s="22"/>
      <c r="O3577" s="22"/>
      <c r="P3577" s="49"/>
      <c r="Q3577" s="49"/>
      <c r="R3577" s="188" t="str">
        <f t="shared" si="117"/>
        <v/>
      </c>
      <c r="T3577" s="21"/>
      <c r="U3577" s="22"/>
      <c r="V3577" s="24"/>
      <c r="W3577" s="24"/>
      <c r="X3577" s="24"/>
      <c r="Y3577" s="24"/>
      <c r="Z3577" s="20" t="str">
        <f t="shared" si="116"/>
        <v/>
      </c>
    </row>
    <row r="3578" spans="1:26" x14ac:dyDescent="0.2">
      <c r="A3578" s="21"/>
      <c r="B3578" s="20"/>
      <c r="C3578" s="22"/>
      <c r="D3578" s="22"/>
      <c r="E3578" s="24"/>
      <c r="F3578" s="22"/>
      <c r="H3578" s="21">
        <v>46125</v>
      </c>
      <c r="I3578" s="22" t="s">
        <v>70</v>
      </c>
      <c r="J3578" s="22" t="s">
        <v>57</v>
      </c>
      <c r="K3578" s="24">
        <v>7</v>
      </c>
      <c r="M3578" s="21"/>
      <c r="N3578" s="22"/>
      <c r="O3578" s="22"/>
      <c r="P3578" s="49"/>
      <c r="Q3578" s="49"/>
      <c r="R3578" s="188" t="str">
        <f t="shared" si="117"/>
        <v/>
      </c>
      <c r="T3578" s="21"/>
      <c r="U3578" s="22"/>
      <c r="V3578" s="24"/>
      <c r="W3578" s="24"/>
      <c r="X3578" s="24"/>
      <c r="Y3578" s="24"/>
      <c r="Z3578" s="20" t="str">
        <f t="shared" si="116"/>
        <v/>
      </c>
    </row>
    <row r="3579" spans="1:26" x14ac:dyDescent="0.2">
      <c r="A3579" s="21"/>
      <c r="B3579" s="20"/>
      <c r="C3579" s="22"/>
      <c r="D3579" s="22"/>
      <c r="E3579" s="24"/>
      <c r="F3579" s="22"/>
      <c r="H3579" s="21">
        <v>46125</v>
      </c>
      <c r="I3579" s="22" t="s">
        <v>70</v>
      </c>
      <c r="J3579" s="22" t="s">
        <v>42</v>
      </c>
      <c r="K3579" s="24">
        <v>2</v>
      </c>
      <c r="M3579" s="21"/>
      <c r="N3579" s="22"/>
      <c r="O3579" s="22"/>
      <c r="P3579" s="49"/>
      <c r="Q3579" s="49"/>
      <c r="R3579" s="188" t="str">
        <f t="shared" si="117"/>
        <v/>
      </c>
      <c r="T3579" s="21"/>
      <c r="U3579" s="22"/>
      <c r="V3579" s="24"/>
      <c r="W3579" s="24"/>
      <c r="X3579" s="24"/>
      <c r="Y3579" s="24"/>
      <c r="Z3579" s="20" t="str">
        <f t="shared" si="116"/>
        <v/>
      </c>
    </row>
    <row r="3580" spans="1:26" x14ac:dyDescent="0.2">
      <c r="A3580" s="21"/>
      <c r="B3580" s="20"/>
      <c r="C3580" s="22"/>
      <c r="D3580" s="22"/>
      <c r="E3580" s="24"/>
      <c r="F3580" s="22"/>
      <c r="H3580" s="21">
        <v>46125</v>
      </c>
      <c r="I3580" s="22" t="s">
        <v>70</v>
      </c>
      <c r="J3580" s="22" t="s">
        <v>47</v>
      </c>
      <c r="K3580" s="24">
        <v>7</v>
      </c>
      <c r="M3580" s="21"/>
      <c r="N3580" s="22"/>
      <c r="O3580" s="22"/>
      <c r="P3580" s="49"/>
      <c r="Q3580" s="49"/>
      <c r="R3580" s="188" t="str">
        <f t="shared" si="117"/>
        <v/>
      </c>
      <c r="T3580" s="21"/>
      <c r="U3580" s="22"/>
      <c r="V3580" s="24"/>
      <c r="W3580" s="24"/>
      <c r="X3580" s="24"/>
      <c r="Y3580" s="24"/>
      <c r="Z3580" s="20" t="str">
        <f t="shared" si="116"/>
        <v/>
      </c>
    </row>
    <row r="3581" spans="1:26" x14ac:dyDescent="0.2">
      <c r="A3581" s="21"/>
      <c r="B3581" s="20"/>
      <c r="C3581" s="22"/>
      <c r="D3581" s="22"/>
      <c r="E3581" s="24"/>
      <c r="F3581" s="22"/>
      <c r="H3581" s="21">
        <v>46125</v>
      </c>
      <c r="I3581" s="22" t="s">
        <v>70</v>
      </c>
      <c r="J3581" s="22" t="s">
        <v>41</v>
      </c>
      <c r="K3581" s="24">
        <v>2</v>
      </c>
      <c r="M3581" s="21"/>
      <c r="N3581" s="22"/>
      <c r="O3581" s="22"/>
      <c r="P3581" s="49"/>
      <c r="Q3581" s="49"/>
      <c r="R3581" s="188" t="str">
        <f t="shared" si="117"/>
        <v/>
      </c>
      <c r="T3581" s="21"/>
      <c r="U3581" s="22"/>
      <c r="V3581" s="24"/>
      <c r="W3581" s="24"/>
      <c r="X3581" s="24"/>
      <c r="Y3581" s="24"/>
      <c r="Z3581" s="20" t="str">
        <f t="shared" si="116"/>
        <v/>
      </c>
    </row>
    <row r="3582" spans="1:26" x14ac:dyDescent="0.2">
      <c r="A3582" s="21"/>
      <c r="B3582" s="20"/>
      <c r="C3582" s="22"/>
      <c r="D3582" s="22"/>
      <c r="E3582" s="24"/>
      <c r="F3582" s="22"/>
      <c r="H3582" s="21">
        <v>46125</v>
      </c>
      <c r="I3582" s="22" t="s">
        <v>70</v>
      </c>
      <c r="J3582" s="22" t="s">
        <v>58</v>
      </c>
      <c r="K3582" s="24" t="s">
        <v>61</v>
      </c>
      <c r="M3582" s="21"/>
      <c r="N3582" s="22"/>
      <c r="O3582" s="22"/>
      <c r="P3582" s="49"/>
      <c r="Q3582" s="49"/>
      <c r="R3582" s="188" t="str">
        <f t="shared" si="117"/>
        <v/>
      </c>
      <c r="T3582" s="21"/>
      <c r="U3582" s="22"/>
      <c r="V3582" s="24"/>
      <c r="W3582" s="24"/>
      <c r="X3582" s="24"/>
      <c r="Y3582" s="24"/>
      <c r="Z3582" s="20" t="str">
        <f t="shared" si="116"/>
        <v/>
      </c>
    </row>
    <row r="3583" spans="1:26" x14ac:dyDescent="0.2">
      <c r="A3583" s="21"/>
      <c r="B3583" s="20"/>
      <c r="C3583" s="22"/>
      <c r="D3583" s="22"/>
      <c r="E3583" s="24"/>
      <c r="F3583" s="22"/>
      <c r="H3583" s="21">
        <v>46125</v>
      </c>
      <c r="I3583" s="22" t="s">
        <v>70</v>
      </c>
      <c r="J3583" s="22" t="s">
        <v>49</v>
      </c>
      <c r="K3583" s="24">
        <v>7</v>
      </c>
      <c r="M3583" s="21"/>
      <c r="N3583" s="22"/>
      <c r="O3583" s="22"/>
      <c r="P3583" s="49"/>
      <c r="Q3583" s="49"/>
      <c r="R3583" s="188" t="str">
        <f t="shared" si="117"/>
        <v/>
      </c>
      <c r="T3583" s="21"/>
      <c r="U3583" s="22"/>
      <c r="V3583" s="24"/>
      <c r="W3583" s="24"/>
      <c r="X3583" s="24"/>
      <c r="Y3583" s="24"/>
      <c r="Z3583" s="20" t="str">
        <f t="shared" si="116"/>
        <v/>
      </c>
    </row>
    <row r="3584" spans="1:26" x14ac:dyDescent="0.2">
      <c r="A3584" s="21"/>
      <c r="B3584" s="20"/>
      <c r="C3584" s="22"/>
      <c r="D3584" s="22"/>
      <c r="E3584" s="24"/>
      <c r="F3584" s="22"/>
      <c r="H3584" s="21">
        <v>46125</v>
      </c>
      <c r="I3584" s="22" t="s">
        <v>70</v>
      </c>
      <c r="J3584" s="22" t="s">
        <v>50</v>
      </c>
      <c r="K3584" s="24">
        <v>5</v>
      </c>
      <c r="M3584" s="21"/>
      <c r="N3584" s="22"/>
      <c r="O3584" s="22"/>
      <c r="P3584" s="49"/>
      <c r="Q3584" s="49"/>
      <c r="R3584" s="188" t="str">
        <f t="shared" si="117"/>
        <v/>
      </c>
      <c r="T3584" s="21"/>
      <c r="U3584" s="22"/>
      <c r="V3584" s="24"/>
      <c r="W3584" s="24"/>
      <c r="X3584" s="24"/>
      <c r="Y3584" s="24"/>
      <c r="Z3584" s="20" t="str">
        <f t="shared" si="116"/>
        <v/>
      </c>
    </row>
    <row r="3585" spans="1:26" x14ac:dyDescent="0.2">
      <c r="A3585" s="21"/>
      <c r="B3585" s="20"/>
      <c r="C3585" s="22"/>
      <c r="D3585" s="22"/>
      <c r="E3585" s="24"/>
      <c r="F3585" s="22"/>
      <c r="H3585" s="21">
        <v>46125</v>
      </c>
      <c r="I3585" s="22" t="s">
        <v>70</v>
      </c>
      <c r="J3585" s="22" t="s">
        <v>51</v>
      </c>
      <c r="K3585" s="24">
        <v>7</v>
      </c>
      <c r="M3585" s="21"/>
      <c r="N3585" s="22"/>
      <c r="O3585" s="22"/>
      <c r="P3585" s="49"/>
      <c r="Q3585" s="49"/>
      <c r="R3585" s="188" t="str">
        <f t="shared" si="117"/>
        <v/>
      </c>
      <c r="T3585" s="21"/>
      <c r="U3585" s="22"/>
      <c r="V3585" s="24"/>
      <c r="W3585" s="24"/>
      <c r="X3585" s="24"/>
      <c r="Y3585" s="24"/>
      <c r="Z3585" s="20" t="str">
        <f t="shared" si="116"/>
        <v/>
      </c>
    </row>
    <row r="3586" spans="1:26" x14ac:dyDescent="0.2">
      <c r="A3586" s="21"/>
      <c r="B3586" s="20"/>
      <c r="C3586" s="22"/>
      <c r="D3586" s="22"/>
      <c r="E3586" s="24"/>
      <c r="F3586" s="22"/>
      <c r="H3586" s="21">
        <v>46125</v>
      </c>
      <c r="I3586" s="22" t="s">
        <v>70</v>
      </c>
      <c r="J3586" s="22" t="s">
        <v>46</v>
      </c>
      <c r="K3586" s="24">
        <v>6</v>
      </c>
      <c r="M3586" s="21"/>
      <c r="N3586" s="22"/>
      <c r="O3586" s="22"/>
      <c r="P3586" s="49"/>
      <c r="Q3586" s="49"/>
      <c r="R3586" s="188" t="str">
        <f t="shared" si="117"/>
        <v/>
      </c>
      <c r="T3586" s="21"/>
      <c r="U3586" s="22"/>
      <c r="V3586" s="24"/>
      <c r="W3586" s="24"/>
      <c r="X3586" s="24"/>
      <c r="Y3586" s="24"/>
      <c r="Z3586" s="20" t="str">
        <f t="shared" si="116"/>
        <v/>
      </c>
    </row>
    <row r="3587" spans="1:26" x14ac:dyDescent="0.2">
      <c r="A3587" s="21"/>
      <c r="B3587" s="20"/>
      <c r="C3587" s="22"/>
      <c r="D3587" s="22"/>
      <c r="E3587" s="24"/>
      <c r="F3587" s="22"/>
      <c r="H3587" s="21">
        <v>46125</v>
      </c>
      <c r="I3587" s="22" t="s">
        <v>70</v>
      </c>
      <c r="J3587" s="22" t="s">
        <v>48</v>
      </c>
      <c r="K3587" s="24">
        <v>7</v>
      </c>
      <c r="M3587" s="21"/>
      <c r="N3587" s="22"/>
      <c r="O3587" s="22"/>
      <c r="P3587" s="49"/>
      <c r="Q3587" s="49"/>
      <c r="R3587" s="188" t="str">
        <f t="shared" si="117"/>
        <v/>
      </c>
      <c r="T3587" s="21"/>
      <c r="U3587" s="22"/>
      <c r="V3587" s="24"/>
      <c r="W3587" s="24"/>
      <c r="X3587" s="24"/>
      <c r="Y3587" s="24"/>
      <c r="Z3587" s="20" t="str">
        <f t="shared" si="116"/>
        <v/>
      </c>
    </row>
    <row r="3588" spans="1:26" x14ac:dyDescent="0.2">
      <c r="A3588" s="21"/>
      <c r="B3588" s="20"/>
      <c r="C3588" s="22"/>
      <c r="D3588" s="22"/>
      <c r="E3588" s="24"/>
      <c r="F3588" s="22"/>
      <c r="H3588" s="21">
        <v>46125</v>
      </c>
      <c r="I3588" s="22" t="s">
        <v>70</v>
      </c>
      <c r="J3588" s="22" t="s">
        <v>55</v>
      </c>
      <c r="K3588" s="24">
        <v>7</v>
      </c>
      <c r="M3588" s="21"/>
      <c r="N3588" s="22"/>
      <c r="O3588" s="22"/>
      <c r="P3588" s="49"/>
      <c r="Q3588" s="49"/>
      <c r="R3588" s="188" t="str">
        <f t="shared" si="117"/>
        <v/>
      </c>
      <c r="T3588" s="21"/>
      <c r="U3588" s="22"/>
      <c r="V3588" s="24"/>
      <c r="W3588" s="24"/>
      <c r="X3588" s="24"/>
      <c r="Y3588" s="24"/>
      <c r="Z3588" s="20" t="str">
        <f t="shared" si="116"/>
        <v/>
      </c>
    </row>
    <row r="3589" spans="1:26" x14ac:dyDescent="0.2">
      <c r="A3589" s="21"/>
      <c r="B3589" s="20"/>
      <c r="C3589" s="22"/>
      <c r="D3589" s="22"/>
      <c r="E3589" s="24"/>
      <c r="F3589" s="22"/>
      <c r="H3589" s="21">
        <v>46126</v>
      </c>
      <c r="I3589" s="22" t="s">
        <v>70</v>
      </c>
      <c r="J3589" s="22" t="s">
        <v>52</v>
      </c>
      <c r="K3589" s="24">
        <v>7</v>
      </c>
      <c r="M3589" s="21"/>
      <c r="N3589" s="22"/>
      <c r="O3589" s="22"/>
      <c r="P3589" s="49"/>
      <c r="Q3589" s="49"/>
      <c r="R3589" s="188" t="str">
        <f t="shared" si="117"/>
        <v/>
      </c>
      <c r="T3589" s="21"/>
      <c r="U3589" s="22"/>
      <c r="V3589" s="24"/>
      <c r="W3589" s="24"/>
      <c r="X3589" s="24"/>
      <c r="Y3589" s="24"/>
      <c r="Z3589" s="20" t="str">
        <f t="shared" si="116"/>
        <v/>
      </c>
    </row>
    <row r="3590" spans="1:26" x14ac:dyDescent="0.2">
      <c r="A3590" s="21"/>
      <c r="B3590" s="20"/>
      <c r="C3590" s="22"/>
      <c r="D3590" s="22"/>
      <c r="E3590" s="24"/>
      <c r="F3590" s="22"/>
      <c r="H3590" s="21">
        <v>46126</v>
      </c>
      <c r="I3590" s="22" t="s">
        <v>70</v>
      </c>
      <c r="J3590" s="22" t="s">
        <v>53</v>
      </c>
      <c r="K3590" s="24">
        <v>7</v>
      </c>
      <c r="M3590" s="21"/>
      <c r="N3590" s="22"/>
      <c r="O3590" s="22"/>
      <c r="P3590" s="49"/>
      <c r="Q3590" s="49"/>
      <c r="R3590" s="188" t="str">
        <f t="shared" si="117"/>
        <v/>
      </c>
      <c r="T3590" s="21"/>
      <c r="U3590" s="22"/>
      <c r="V3590" s="24"/>
      <c r="W3590" s="24"/>
      <c r="X3590" s="24"/>
      <c r="Y3590" s="24"/>
      <c r="Z3590" s="20" t="str">
        <f t="shared" si="116"/>
        <v/>
      </c>
    </row>
    <row r="3591" spans="1:26" x14ac:dyDescent="0.2">
      <c r="A3591" s="21"/>
      <c r="B3591" s="20"/>
      <c r="C3591" s="22"/>
      <c r="D3591" s="22"/>
      <c r="E3591" s="24"/>
      <c r="F3591" s="22"/>
      <c r="H3591" s="21">
        <v>46126</v>
      </c>
      <c r="I3591" s="22" t="s">
        <v>70</v>
      </c>
      <c r="J3591" s="22" t="s">
        <v>44</v>
      </c>
      <c r="K3591" s="24">
        <v>8</v>
      </c>
      <c r="M3591" s="21"/>
      <c r="N3591" s="22"/>
      <c r="O3591" s="22"/>
      <c r="P3591" s="49"/>
      <c r="Q3591" s="49"/>
      <c r="R3591" s="188" t="str">
        <f t="shared" si="117"/>
        <v/>
      </c>
      <c r="T3591" s="21"/>
      <c r="U3591" s="22"/>
      <c r="V3591" s="24"/>
      <c r="W3591" s="24"/>
      <c r="X3591" s="24"/>
      <c r="Y3591" s="24"/>
      <c r="Z3591" s="20" t="str">
        <f t="shared" si="116"/>
        <v/>
      </c>
    </row>
    <row r="3592" spans="1:26" x14ac:dyDescent="0.2">
      <c r="A3592" s="21"/>
      <c r="B3592" s="20"/>
      <c r="C3592" s="22"/>
      <c r="D3592" s="22"/>
      <c r="E3592" s="24"/>
      <c r="F3592" s="22"/>
      <c r="H3592" s="21">
        <v>46126</v>
      </c>
      <c r="I3592" s="22" t="s">
        <v>70</v>
      </c>
      <c r="J3592" s="22" t="s">
        <v>45</v>
      </c>
      <c r="K3592" s="24">
        <v>7</v>
      </c>
      <c r="M3592" s="21"/>
      <c r="N3592" s="22"/>
      <c r="O3592" s="22"/>
      <c r="P3592" s="49"/>
      <c r="Q3592" s="49"/>
      <c r="R3592" s="188" t="str">
        <f t="shared" si="117"/>
        <v/>
      </c>
      <c r="T3592" s="21"/>
      <c r="U3592" s="22"/>
      <c r="V3592" s="24"/>
      <c r="W3592" s="24"/>
      <c r="X3592" s="24"/>
      <c r="Y3592" s="24"/>
      <c r="Z3592" s="20" t="str">
        <f t="shared" si="116"/>
        <v/>
      </c>
    </row>
    <row r="3593" spans="1:26" x14ac:dyDescent="0.2">
      <c r="A3593" s="21"/>
      <c r="B3593" s="20"/>
      <c r="C3593" s="22"/>
      <c r="D3593" s="22"/>
      <c r="E3593" s="24"/>
      <c r="F3593" s="22"/>
      <c r="H3593" s="21">
        <v>46126</v>
      </c>
      <c r="I3593" s="22" t="s">
        <v>70</v>
      </c>
      <c r="J3593" s="22" t="s">
        <v>57</v>
      </c>
      <c r="K3593" s="24">
        <v>7</v>
      </c>
      <c r="M3593" s="21"/>
      <c r="N3593" s="22"/>
      <c r="O3593" s="22"/>
      <c r="P3593" s="49"/>
      <c r="Q3593" s="49"/>
      <c r="R3593" s="188" t="str">
        <f t="shared" si="117"/>
        <v/>
      </c>
      <c r="T3593" s="21"/>
      <c r="U3593" s="22"/>
      <c r="V3593" s="24"/>
      <c r="W3593" s="24"/>
      <c r="X3593" s="24"/>
      <c r="Y3593" s="24"/>
      <c r="Z3593" s="20" t="str">
        <f t="shared" si="116"/>
        <v/>
      </c>
    </row>
    <row r="3594" spans="1:26" x14ac:dyDescent="0.2">
      <c r="A3594" s="21"/>
      <c r="B3594" s="20"/>
      <c r="C3594" s="22"/>
      <c r="D3594" s="22"/>
      <c r="E3594" s="24"/>
      <c r="F3594" s="22"/>
      <c r="H3594" s="21">
        <v>46126</v>
      </c>
      <c r="I3594" s="22" t="s">
        <v>70</v>
      </c>
      <c r="J3594" s="22" t="s">
        <v>42</v>
      </c>
      <c r="K3594" s="24">
        <v>3</v>
      </c>
      <c r="M3594" s="21"/>
      <c r="N3594" s="22"/>
      <c r="O3594" s="22"/>
      <c r="P3594" s="49"/>
      <c r="Q3594" s="49"/>
      <c r="R3594" s="188" t="str">
        <f t="shared" si="117"/>
        <v/>
      </c>
      <c r="T3594" s="21"/>
      <c r="U3594" s="22"/>
      <c r="V3594" s="24"/>
      <c r="W3594" s="24"/>
      <c r="X3594" s="24"/>
      <c r="Y3594" s="24"/>
      <c r="Z3594" s="20" t="str">
        <f t="shared" si="116"/>
        <v/>
      </c>
    </row>
    <row r="3595" spans="1:26" x14ac:dyDescent="0.2">
      <c r="A3595" s="21"/>
      <c r="B3595" s="20"/>
      <c r="C3595" s="22"/>
      <c r="D3595" s="22"/>
      <c r="E3595" s="24"/>
      <c r="F3595" s="22"/>
      <c r="H3595" s="21">
        <v>46126</v>
      </c>
      <c r="I3595" s="22" t="s">
        <v>70</v>
      </c>
      <c r="J3595" s="22" t="s">
        <v>54</v>
      </c>
      <c r="K3595" s="24">
        <v>7</v>
      </c>
      <c r="M3595" s="21"/>
      <c r="N3595" s="22"/>
      <c r="O3595" s="22"/>
      <c r="P3595" s="49"/>
      <c r="Q3595" s="49"/>
      <c r="R3595" s="188" t="str">
        <f t="shared" si="117"/>
        <v/>
      </c>
      <c r="T3595" s="21"/>
      <c r="U3595" s="22"/>
      <c r="V3595" s="24"/>
      <c r="W3595" s="24"/>
      <c r="X3595" s="24"/>
      <c r="Y3595" s="24"/>
      <c r="Z3595" s="20" t="str">
        <f t="shared" si="116"/>
        <v/>
      </c>
    </row>
    <row r="3596" spans="1:26" x14ac:dyDescent="0.2">
      <c r="A3596" s="21"/>
      <c r="B3596" s="20"/>
      <c r="C3596" s="22"/>
      <c r="D3596" s="22"/>
      <c r="E3596" s="24"/>
      <c r="F3596" s="22"/>
      <c r="H3596" s="21">
        <v>46126</v>
      </c>
      <c r="I3596" s="22" t="s">
        <v>70</v>
      </c>
      <c r="J3596" s="22" t="s">
        <v>47</v>
      </c>
      <c r="K3596" s="24">
        <v>7</v>
      </c>
      <c r="M3596" s="21"/>
      <c r="N3596" s="22"/>
      <c r="O3596" s="22"/>
      <c r="P3596" s="49"/>
      <c r="Q3596" s="49"/>
      <c r="R3596" s="188" t="str">
        <f t="shared" si="117"/>
        <v/>
      </c>
      <c r="T3596" s="21"/>
      <c r="U3596" s="22"/>
      <c r="V3596" s="24"/>
      <c r="W3596" s="24"/>
      <c r="X3596" s="24"/>
      <c r="Y3596" s="24"/>
      <c r="Z3596" s="20" t="str">
        <f t="shared" si="116"/>
        <v/>
      </c>
    </row>
    <row r="3597" spans="1:26" x14ac:dyDescent="0.2">
      <c r="A3597" s="21"/>
      <c r="B3597" s="20"/>
      <c r="C3597" s="22"/>
      <c r="D3597" s="22"/>
      <c r="E3597" s="24"/>
      <c r="F3597" s="22"/>
      <c r="H3597" s="21">
        <v>46126</v>
      </c>
      <c r="I3597" s="22" t="s">
        <v>70</v>
      </c>
      <c r="J3597" s="22" t="s">
        <v>41</v>
      </c>
      <c r="K3597" s="24">
        <v>3</v>
      </c>
      <c r="M3597" s="21"/>
      <c r="N3597" s="22"/>
      <c r="O3597" s="22"/>
      <c r="P3597" s="49"/>
      <c r="Q3597" s="49"/>
      <c r="R3597" s="188" t="str">
        <f t="shared" si="117"/>
        <v/>
      </c>
      <c r="T3597" s="21"/>
      <c r="U3597" s="22"/>
      <c r="V3597" s="24"/>
      <c r="W3597" s="24"/>
      <c r="X3597" s="24"/>
      <c r="Y3597" s="24"/>
      <c r="Z3597" s="20" t="str">
        <f t="shared" si="116"/>
        <v/>
      </c>
    </row>
    <row r="3598" spans="1:26" x14ac:dyDescent="0.2">
      <c r="A3598" s="21"/>
      <c r="B3598" s="20"/>
      <c r="C3598" s="22"/>
      <c r="D3598" s="22"/>
      <c r="E3598" s="24"/>
      <c r="F3598" s="22"/>
      <c r="H3598" s="21">
        <v>46126</v>
      </c>
      <c r="I3598" s="22" t="s">
        <v>70</v>
      </c>
      <c r="J3598" s="22" t="s">
        <v>58</v>
      </c>
      <c r="K3598" s="24" t="s">
        <v>61</v>
      </c>
      <c r="M3598" s="21"/>
      <c r="N3598" s="22"/>
      <c r="O3598" s="22"/>
      <c r="P3598" s="49"/>
      <c r="Q3598" s="49"/>
      <c r="R3598" s="188" t="str">
        <f t="shared" si="117"/>
        <v/>
      </c>
      <c r="T3598" s="21"/>
      <c r="U3598" s="22"/>
      <c r="V3598" s="24"/>
      <c r="W3598" s="24"/>
      <c r="X3598" s="24"/>
      <c r="Y3598" s="24"/>
      <c r="Z3598" s="20" t="str">
        <f t="shared" si="116"/>
        <v/>
      </c>
    </row>
    <row r="3599" spans="1:26" x14ac:dyDescent="0.2">
      <c r="A3599" s="21"/>
      <c r="B3599" s="20"/>
      <c r="C3599" s="22"/>
      <c r="D3599" s="22"/>
      <c r="E3599" s="24"/>
      <c r="F3599" s="22"/>
      <c r="H3599" s="21">
        <v>46126</v>
      </c>
      <c r="I3599" s="22" t="s">
        <v>70</v>
      </c>
      <c r="J3599" s="22" t="s">
        <v>49</v>
      </c>
      <c r="K3599" s="24">
        <v>8</v>
      </c>
      <c r="M3599" s="21"/>
      <c r="N3599" s="22"/>
      <c r="O3599" s="22"/>
      <c r="P3599" s="49"/>
      <c r="Q3599" s="49"/>
      <c r="R3599" s="188" t="str">
        <f t="shared" si="117"/>
        <v/>
      </c>
      <c r="T3599" s="21"/>
      <c r="U3599" s="22"/>
      <c r="V3599" s="24"/>
      <c r="W3599" s="24"/>
      <c r="X3599" s="24"/>
      <c r="Y3599" s="24"/>
      <c r="Z3599" s="20" t="str">
        <f t="shared" si="116"/>
        <v/>
      </c>
    </row>
    <row r="3600" spans="1:26" x14ac:dyDescent="0.2">
      <c r="A3600" s="21"/>
      <c r="B3600" s="20"/>
      <c r="C3600" s="22"/>
      <c r="D3600" s="22"/>
      <c r="E3600" s="24"/>
      <c r="F3600" s="22"/>
      <c r="H3600" s="21">
        <v>46126</v>
      </c>
      <c r="I3600" s="22" t="s">
        <v>70</v>
      </c>
      <c r="J3600" s="22" t="s">
        <v>50</v>
      </c>
      <c r="K3600" s="24">
        <v>6</v>
      </c>
      <c r="M3600" s="21"/>
      <c r="N3600" s="22"/>
      <c r="O3600" s="22"/>
      <c r="P3600" s="49"/>
      <c r="Q3600" s="49"/>
      <c r="R3600" s="188" t="str">
        <f t="shared" si="117"/>
        <v/>
      </c>
      <c r="T3600" s="21"/>
      <c r="U3600" s="22"/>
      <c r="V3600" s="24"/>
      <c r="W3600" s="24"/>
      <c r="X3600" s="24"/>
      <c r="Y3600" s="24"/>
      <c r="Z3600" s="20" t="str">
        <f t="shared" si="116"/>
        <v/>
      </c>
    </row>
    <row r="3601" spans="1:26" x14ac:dyDescent="0.2">
      <c r="A3601" s="21"/>
      <c r="B3601" s="20"/>
      <c r="C3601" s="22"/>
      <c r="D3601" s="22"/>
      <c r="E3601" s="24"/>
      <c r="F3601" s="22"/>
      <c r="H3601" s="21">
        <v>46126</v>
      </c>
      <c r="I3601" s="22" t="s">
        <v>70</v>
      </c>
      <c r="J3601" s="22" t="s">
        <v>51</v>
      </c>
      <c r="K3601" s="24">
        <v>8</v>
      </c>
      <c r="M3601" s="21"/>
      <c r="N3601" s="22"/>
      <c r="O3601" s="22"/>
      <c r="P3601" s="49"/>
      <c r="Q3601" s="49"/>
      <c r="R3601" s="188" t="str">
        <f t="shared" si="117"/>
        <v/>
      </c>
      <c r="T3601" s="21"/>
      <c r="U3601" s="22"/>
      <c r="V3601" s="24"/>
      <c r="W3601" s="24"/>
      <c r="X3601" s="24"/>
      <c r="Y3601" s="24"/>
      <c r="Z3601" s="20" t="str">
        <f t="shared" si="116"/>
        <v/>
      </c>
    </row>
    <row r="3602" spans="1:26" x14ac:dyDescent="0.2">
      <c r="A3602" s="21"/>
      <c r="B3602" s="20"/>
      <c r="C3602" s="22"/>
      <c r="D3602" s="22"/>
      <c r="E3602" s="24"/>
      <c r="F3602" s="22"/>
      <c r="H3602" s="21">
        <v>46126</v>
      </c>
      <c r="I3602" s="22" t="s">
        <v>70</v>
      </c>
      <c r="J3602" s="22" t="s">
        <v>46</v>
      </c>
      <c r="K3602" s="24">
        <v>7</v>
      </c>
      <c r="M3602" s="21"/>
      <c r="N3602" s="22"/>
      <c r="O3602" s="22"/>
      <c r="P3602" s="49"/>
      <c r="Q3602" s="49"/>
      <c r="R3602" s="188" t="str">
        <f t="shared" si="117"/>
        <v/>
      </c>
      <c r="T3602" s="21"/>
      <c r="U3602" s="22"/>
      <c r="V3602" s="24"/>
      <c r="W3602" s="24"/>
      <c r="X3602" s="24"/>
      <c r="Y3602" s="24"/>
      <c r="Z3602" s="20" t="str">
        <f t="shared" si="116"/>
        <v/>
      </c>
    </row>
    <row r="3603" spans="1:26" x14ac:dyDescent="0.2">
      <c r="A3603" s="21"/>
      <c r="B3603" s="20"/>
      <c r="C3603" s="22"/>
      <c r="D3603" s="22"/>
      <c r="E3603" s="24"/>
      <c r="F3603" s="22"/>
      <c r="H3603" s="21">
        <v>46126</v>
      </c>
      <c r="I3603" s="22" t="s">
        <v>70</v>
      </c>
      <c r="J3603" s="22" t="s">
        <v>48</v>
      </c>
      <c r="K3603" s="24">
        <v>7</v>
      </c>
      <c r="M3603" s="21"/>
      <c r="N3603" s="22"/>
      <c r="O3603" s="22"/>
      <c r="P3603" s="49"/>
      <c r="Q3603" s="49"/>
      <c r="R3603" s="188" t="str">
        <f t="shared" si="117"/>
        <v/>
      </c>
      <c r="T3603" s="21"/>
      <c r="U3603" s="22"/>
      <c r="V3603" s="24"/>
      <c r="W3603" s="24"/>
      <c r="X3603" s="24"/>
      <c r="Y3603" s="24"/>
      <c r="Z3603" s="20" t="str">
        <f t="shared" ref="Z3603:Z3666" si="118">IF(COUNT(V3603:Y3603)=0,"",SUM(V3603:Y3603))</f>
        <v/>
      </c>
    </row>
    <row r="3604" spans="1:26" x14ac:dyDescent="0.2">
      <c r="A3604" s="21"/>
      <c r="B3604" s="20"/>
      <c r="C3604" s="22"/>
      <c r="D3604" s="22"/>
      <c r="E3604" s="24"/>
      <c r="F3604" s="22"/>
      <c r="H3604" s="21">
        <v>46126</v>
      </c>
      <c r="I3604" s="22" t="s">
        <v>70</v>
      </c>
      <c r="J3604" s="22" t="s">
        <v>55</v>
      </c>
      <c r="K3604" s="24">
        <v>7</v>
      </c>
      <c r="M3604" s="21"/>
      <c r="N3604" s="22"/>
      <c r="O3604" s="22"/>
      <c r="P3604" s="49"/>
      <c r="Q3604" s="49"/>
      <c r="R3604" s="188" t="str">
        <f t="shared" si="117"/>
        <v/>
      </c>
      <c r="T3604" s="21"/>
      <c r="U3604" s="22"/>
      <c r="V3604" s="24"/>
      <c r="W3604" s="24"/>
      <c r="X3604" s="24"/>
      <c r="Y3604" s="24"/>
      <c r="Z3604" s="20" t="str">
        <f t="shared" si="118"/>
        <v/>
      </c>
    </row>
    <row r="3605" spans="1:26" x14ac:dyDescent="0.2">
      <c r="A3605" s="21"/>
      <c r="B3605" s="20"/>
      <c r="C3605" s="22"/>
      <c r="D3605" s="22"/>
      <c r="E3605" s="24"/>
      <c r="F3605" s="22"/>
      <c r="H3605" s="21">
        <v>46127</v>
      </c>
      <c r="I3605" s="22" t="s">
        <v>70</v>
      </c>
      <c r="J3605" s="22" t="s">
        <v>52</v>
      </c>
      <c r="K3605" s="24">
        <v>8</v>
      </c>
      <c r="M3605" s="21"/>
      <c r="N3605" s="22"/>
      <c r="O3605" s="22"/>
      <c r="P3605" s="49"/>
      <c r="Q3605" s="49"/>
      <c r="R3605" s="188" t="str">
        <f t="shared" si="117"/>
        <v/>
      </c>
      <c r="T3605" s="21"/>
      <c r="U3605" s="22"/>
      <c r="V3605" s="24"/>
      <c r="W3605" s="24"/>
      <c r="X3605" s="24"/>
      <c r="Y3605" s="24"/>
      <c r="Z3605" s="20" t="str">
        <f t="shared" si="118"/>
        <v/>
      </c>
    </row>
    <row r="3606" spans="1:26" x14ac:dyDescent="0.2">
      <c r="A3606" s="21"/>
      <c r="B3606" s="20"/>
      <c r="C3606" s="22"/>
      <c r="D3606" s="22"/>
      <c r="E3606" s="24"/>
      <c r="F3606" s="22"/>
      <c r="H3606" s="21">
        <v>46127</v>
      </c>
      <c r="I3606" s="22" t="s">
        <v>70</v>
      </c>
      <c r="J3606" s="22" t="s">
        <v>53</v>
      </c>
      <c r="K3606" s="24">
        <v>7</v>
      </c>
      <c r="M3606" s="21"/>
      <c r="N3606" s="22"/>
      <c r="O3606" s="22"/>
      <c r="P3606" s="49"/>
      <c r="Q3606" s="49"/>
      <c r="R3606" s="188" t="str">
        <f t="shared" ref="R3606:R3669" si="119">IF(OR(P3606="",Q3606=""),"",IFERROR(P3606-Q3606,""))</f>
        <v/>
      </c>
      <c r="T3606" s="21"/>
      <c r="U3606" s="22"/>
      <c r="V3606" s="24"/>
      <c r="W3606" s="24"/>
      <c r="X3606" s="24"/>
      <c r="Y3606" s="24"/>
      <c r="Z3606" s="20" t="str">
        <f t="shared" si="118"/>
        <v/>
      </c>
    </row>
    <row r="3607" spans="1:26" x14ac:dyDescent="0.2">
      <c r="A3607" s="21"/>
      <c r="B3607" s="20"/>
      <c r="C3607" s="22"/>
      <c r="D3607" s="22"/>
      <c r="E3607" s="24"/>
      <c r="F3607" s="22"/>
      <c r="H3607" s="21">
        <v>46127</v>
      </c>
      <c r="I3607" s="22" t="s">
        <v>70</v>
      </c>
      <c r="J3607" s="22" t="s">
        <v>44</v>
      </c>
      <c r="K3607" s="24">
        <v>9</v>
      </c>
      <c r="M3607" s="21"/>
      <c r="N3607" s="22"/>
      <c r="O3607" s="22"/>
      <c r="P3607" s="49"/>
      <c r="Q3607" s="49"/>
      <c r="R3607" s="188" t="str">
        <f t="shared" si="119"/>
        <v/>
      </c>
      <c r="T3607" s="21"/>
      <c r="U3607" s="22"/>
      <c r="V3607" s="24"/>
      <c r="W3607" s="24"/>
      <c r="X3607" s="24"/>
      <c r="Y3607" s="24"/>
      <c r="Z3607" s="20" t="str">
        <f t="shared" si="118"/>
        <v/>
      </c>
    </row>
    <row r="3608" spans="1:26" x14ac:dyDescent="0.2">
      <c r="A3608" s="21"/>
      <c r="B3608" s="20"/>
      <c r="C3608" s="22"/>
      <c r="D3608" s="22"/>
      <c r="E3608" s="24"/>
      <c r="F3608" s="22"/>
      <c r="H3608" s="21">
        <v>46127</v>
      </c>
      <c r="I3608" s="22" t="s">
        <v>70</v>
      </c>
      <c r="J3608" s="22" t="s">
        <v>45</v>
      </c>
      <c r="K3608" s="24">
        <v>7</v>
      </c>
      <c r="M3608" s="21"/>
      <c r="N3608" s="22"/>
      <c r="O3608" s="22"/>
      <c r="P3608" s="49"/>
      <c r="Q3608" s="49"/>
      <c r="R3608" s="188" t="str">
        <f t="shared" si="119"/>
        <v/>
      </c>
      <c r="T3608" s="21"/>
      <c r="U3608" s="22"/>
      <c r="V3608" s="24"/>
      <c r="W3608" s="24"/>
      <c r="X3608" s="24"/>
      <c r="Y3608" s="24"/>
      <c r="Z3608" s="20" t="str">
        <f t="shared" si="118"/>
        <v/>
      </c>
    </row>
    <row r="3609" spans="1:26" x14ac:dyDescent="0.2">
      <c r="A3609" s="21"/>
      <c r="B3609" s="20"/>
      <c r="C3609" s="22"/>
      <c r="D3609" s="22"/>
      <c r="E3609" s="24"/>
      <c r="F3609" s="22"/>
      <c r="H3609" s="21">
        <v>46127</v>
      </c>
      <c r="I3609" s="22" t="s">
        <v>70</v>
      </c>
      <c r="J3609" s="22" t="s">
        <v>57</v>
      </c>
      <c r="K3609" s="24">
        <v>7</v>
      </c>
      <c r="M3609" s="21"/>
      <c r="N3609" s="22"/>
      <c r="O3609" s="22"/>
      <c r="P3609" s="49"/>
      <c r="Q3609" s="49"/>
      <c r="R3609" s="188" t="str">
        <f t="shared" si="119"/>
        <v/>
      </c>
      <c r="T3609" s="21"/>
      <c r="U3609" s="22"/>
      <c r="V3609" s="24"/>
      <c r="W3609" s="24"/>
      <c r="X3609" s="24"/>
      <c r="Y3609" s="24"/>
      <c r="Z3609" s="20" t="str">
        <f t="shared" si="118"/>
        <v/>
      </c>
    </row>
    <row r="3610" spans="1:26" x14ac:dyDescent="0.2">
      <c r="A3610" s="21"/>
      <c r="B3610" s="20"/>
      <c r="C3610" s="22"/>
      <c r="D3610" s="22"/>
      <c r="E3610" s="24"/>
      <c r="F3610" s="22"/>
      <c r="H3610" s="21">
        <v>46127</v>
      </c>
      <c r="I3610" s="22" t="s">
        <v>70</v>
      </c>
      <c r="J3610" s="22" t="s">
        <v>42</v>
      </c>
      <c r="K3610" s="24">
        <v>2</v>
      </c>
      <c r="M3610" s="21"/>
      <c r="N3610" s="22"/>
      <c r="O3610" s="22"/>
      <c r="P3610" s="49"/>
      <c r="Q3610" s="49"/>
      <c r="R3610" s="188" t="str">
        <f t="shared" si="119"/>
        <v/>
      </c>
      <c r="T3610" s="21"/>
      <c r="U3610" s="22"/>
      <c r="V3610" s="24"/>
      <c r="W3610" s="24"/>
      <c r="X3610" s="24"/>
      <c r="Y3610" s="24"/>
      <c r="Z3610" s="20" t="str">
        <f t="shared" si="118"/>
        <v/>
      </c>
    </row>
    <row r="3611" spans="1:26" x14ac:dyDescent="0.2">
      <c r="A3611" s="21"/>
      <c r="B3611" s="20"/>
      <c r="C3611" s="22"/>
      <c r="D3611" s="22"/>
      <c r="E3611" s="24"/>
      <c r="F3611" s="22"/>
      <c r="H3611" s="21">
        <v>46127</v>
      </c>
      <c r="I3611" s="22" t="s">
        <v>70</v>
      </c>
      <c r="J3611" s="22" t="s">
        <v>54</v>
      </c>
      <c r="K3611" s="24">
        <v>5</v>
      </c>
      <c r="M3611" s="21"/>
      <c r="N3611" s="22"/>
      <c r="O3611" s="22"/>
      <c r="P3611" s="49"/>
      <c r="Q3611" s="49"/>
      <c r="R3611" s="188" t="str">
        <f t="shared" si="119"/>
        <v/>
      </c>
      <c r="T3611" s="21"/>
      <c r="U3611" s="22"/>
      <c r="V3611" s="24"/>
      <c r="W3611" s="24"/>
      <c r="X3611" s="24"/>
      <c r="Y3611" s="24"/>
      <c r="Z3611" s="20" t="str">
        <f t="shared" si="118"/>
        <v/>
      </c>
    </row>
    <row r="3612" spans="1:26" x14ac:dyDescent="0.2">
      <c r="A3612" s="21"/>
      <c r="B3612" s="20"/>
      <c r="C3612" s="22"/>
      <c r="D3612" s="22"/>
      <c r="E3612" s="24"/>
      <c r="F3612" s="22"/>
      <c r="H3612" s="21">
        <v>46127</v>
      </c>
      <c r="I3612" s="22" t="s">
        <v>70</v>
      </c>
      <c r="J3612" s="22" t="s">
        <v>47</v>
      </c>
      <c r="K3612" s="24">
        <v>8</v>
      </c>
      <c r="M3612" s="21"/>
      <c r="N3612" s="22"/>
      <c r="O3612" s="22"/>
      <c r="P3612" s="49"/>
      <c r="Q3612" s="49"/>
      <c r="R3612" s="188" t="str">
        <f t="shared" si="119"/>
        <v/>
      </c>
      <c r="T3612" s="21"/>
      <c r="U3612" s="22"/>
      <c r="V3612" s="24"/>
      <c r="W3612" s="24"/>
      <c r="X3612" s="24"/>
      <c r="Y3612" s="24"/>
      <c r="Z3612" s="20" t="str">
        <f t="shared" si="118"/>
        <v/>
      </c>
    </row>
    <row r="3613" spans="1:26" x14ac:dyDescent="0.2">
      <c r="A3613" s="21"/>
      <c r="B3613" s="20"/>
      <c r="C3613" s="22"/>
      <c r="D3613" s="22"/>
      <c r="E3613" s="24"/>
      <c r="F3613" s="22"/>
      <c r="H3613" s="21">
        <v>46127</v>
      </c>
      <c r="I3613" s="22" t="s">
        <v>70</v>
      </c>
      <c r="J3613" s="22" t="s">
        <v>41</v>
      </c>
      <c r="K3613" s="24">
        <v>2</v>
      </c>
      <c r="M3613" s="21"/>
      <c r="N3613" s="22"/>
      <c r="O3613" s="22"/>
      <c r="P3613" s="49"/>
      <c r="Q3613" s="49"/>
      <c r="R3613" s="188" t="str">
        <f t="shared" si="119"/>
        <v/>
      </c>
      <c r="T3613" s="21"/>
      <c r="U3613" s="22"/>
      <c r="V3613" s="24"/>
      <c r="W3613" s="24"/>
      <c r="X3613" s="24"/>
      <c r="Y3613" s="24"/>
      <c r="Z3613" s="20" t="str">
        <f t="shared" si="118"/>
        <v/>
      </c>
    </row>
    <row r="3614" spans="1:26" x14ac:dyDescent="0.2">
      <c r="A3614" s="21"/>
      <c r="B3614" s="20"/>
      <c r="C3614" s="22"/>
      <c r="D3614" s="22"/>
      <c r="E3614" s="24"/>
      <c r="F3614" s="22"/>
      <c r="H3614" s="21">
        <v>46127</v>
      </c>
      <c r="I3614" s="22" t="s">
        <v>70</v>
      </c>
      <c r="J3614" s="22" t="s">
        <v>58</v>
      </c>
      <c r="K3614" s="24" t="s">
        <v>61</v>
      </c>
      <c r="M3614" s="21"/>
      <c r="N3614" s="22"/>
      <c r="O3614" s="22"/>
      <c r="P3614" s="49"/>
      <c r="Q3614" s="49"/>
      <c r="R3614" s="188" t="str">
        <f t="shared" si="119"/>
        <v/>
      </c>
      <c r="T3614" s="21"/>
      <c r="U3614" s="22"/>
      <c r="V3614" s="24"/>
      <c r="W3614" s="24"/>
      <c r="X3614" s="24"/>
      <c r="Y3614" s="24"/>
      <c r="Z3614" s="20" t="str">
        <f t="shared" si="118"/>
        <v/>
      </c>
    </row>
    <row r="3615" spans="1:26" x14ac:dyDescent="0.2">
      <c r="A3615" s="21"/>
      <c r="B3615" s="20"/>
      <c r="C3615" s="22"/>
      <c r="D3615" s="22"/>
      <c r="E3615" s="24"/>
      <c r="F3615" s="22"/>
      <c r="H3615" s="21">
        <v>46127</v>
      </c>
      <c r="I3615" s="22" t="s">
        <v>70</v>
      </c>
      <c r="J3615" s="22" t="s">
        <v>49</v>
      </c>
      <c r="K3615" s="24">
        <v>8</v>
      </c>
      <c r="M3615" s="21"/>
      <c r="N3615" s="22"/>
      <c r="O3615" s="22"/>
      <c r="P3615" s="49"/>
      <c r="Q3615" s="49"/>
      <c r="R3615" s="188" t="str">
        <f t="shared" si="119"/>
        <v/>
      </c>
      <c r="T3615" s="21"/>
      <c r="U3615" s="22"/>
      <c r="V3615" s="24"/>
      <c r="W3615" s="24"/>
      <c r="X3615" s="24"/>
      <c r="Y3615" s="24"/>
      <c r="Z3615" s="20" t="str">
        <f t="shared" si="118"/>
        <v/>
      </c>
    </row>
    <row r="3616" spans="1:26" x14ac:dyDescent="0.2">
      <c r="A3616" s="21"/>
      <c r="B3616" s="20"/>
      <c r="C3616" s="22"/>
      <c r="D3616" s="22"/>
      <c r="E3616" s="24"/>
      <c r="F3616" s="22"/>
      <c r="H3616" s="21">
        <v>46127</v>
      </c>
      <c r="I3616" s="22" t="s">
        <v>70</v>
      </c>
      <c r="J3616" s="22" t="s">
        <v>50</v>
      </c>
      <c r="K3616" s="24">
        <v>7</v>
      </c>
      <c r="M3616" s="21"/>
      <c r="N3616" s="22"/>
      <c r="O3616" s="22"/>
      <c r="P3616" s="49"/>
      <c r="Q3616" s="49"/>
      <c r="R3616" s="188" t="str">
        <f t="shared" si="119"/>
        <v/>
      </c>
      <c r="T3616" s="21"/>
      <c r="U3616" s="22"/>
      <c r="V3616" s="24"/>
      <c r="W3616" s="24"/>
      <c r="X3616" s="24"/>
      <c r="Y3616" s="24"/>
      <c r="Z3616" s="20" t="str">
        <f t="shared" si="118"/>
        <v/>
      </c>
    </row>
    <row r="3617" spans="1:26" x14ac:dyDescent="0.2">
      <c r="A3617" s="21"/>
      <c r="B3617" s="20"/>
      <c r="C3617" s="22"/>
      <c r="D3617" s="22"/>
      <c r="E3617" s="24"/>
      <c r="F3617" s="22"/>
      <c r="H3617" s="21">
        <v>46127</v>
      </c>
      <c r="I3617" s="22" t="s">
        <v>70</v>
      </c>
      <c r="J3617" s="22" t="s">
        <v>51</v>
      </c>
      <c r="K3617" s="24">
        <v>7</v>
      </c>
      <c r="M3617" s="21"/>
      <c r="N3617" s="22"/>
      <c r="O3617" s="22"/>
      <c r="P3617" s="49"/>
      <c r="Q3617" s="49"/>
      <c r="R3617" s="188" t="str">
        <f t="shared" si="119"/>
        <v/>
      </c>
      <c r="T3617" s="21"/>
      <c r="U3617" s="22"/>
      <c r="V3617" s="24"/>
      <c r="W3617" s="24"/>
      <c r="X3617" s="24"/>
      <c r="Y3617" s="24"/>
      <c r="Z3617" s="20" t="str">
        <f t="shared" si="118"/>
        <v/>
      </c>
    </row>
    <row r="3618" spans="1:26" x14ac:dyDescent="0.2">
      <c r="A3618" s="21"/>
      <c r="B3618" s="20"/>
      <c r="C3618" s="22"/>
      <c r="D3618" s="22"/>
      <c r="E3618" s="24"/>
      <c r="F3618" s="22"/>
      <c r="H3618" s="21">
        <v>46127</v>
      </c>
      <c r="I3618" s="22" t="s">
        <v>70</v>
      </c>
      <c r="J3618" s="22" t="s">
        <v>46</v>
      </c>
      <c r="K3618" s="24">
        <v>8</v>
      </c>
      <c r="M3618" s="21"/>
      <c r="N3618" s="22"/>
      <c r="O3618" s="22"/>
      <c r="P3618" s="49"/>
      <c r="Q3618" s="49"/>
      <c r="R3618" s="188" t="str">
        <f t="shared" si="119"/>
        <v/>
      </c>
      <c r="T3618" s="21"/>
      <c r="U3618" s="22"/>
      <c r="V3618" s="24"/>
      <c r="W3618" s="24"/>
      <c r="X3618" s="24"/>
      <c r="Y3618" s="24"/>
      <c r="Z3618" s="20" t="str">
        <f t="shared" si="118"/>
        <v/>
      </c>
    </row>
    <row r="3619" spans="1:26" x14ac:dyDescent="0.2">
      <c r="A3619" s="21"/>
      <c r="B3619" s="20"/>
      <c r="C3619" s="22"/>
      <c r="D3619" s="22"/>
      <c r="E3619" s="24"/>
      <c r="F3619" s="22"/>
      <c r="H3619" s="21">
        <v>46127</v>
      </c>
      <c r="I3619" s="22" t="s">
        <v>70</v>
      </c>
      <c r="J3619" s="22" t="s">
        <v>48</v>
      </c>
      <c r="K3619" s="24">
        <v>8</v>
      </c>
      <c r="M3619" s="21"/>
      <c r="N3619" s="22"/>
      <c r="O3619" s="22"/>
      <c r="P3619" s="49"/>
      <c r="Q3619" s="49"/>
      <c r="R3619" s="188" t="str">
        <f t="shared" si="119"/>
        <v/>
      </c>
      <c r="T3619" s="21"/>
      <c r="U3619" s="22"/>
      <c r="V3619" s="24"/>
      <c r="W3619" s="24"/>
      <c r="X3619" s="24"/>
      <c r="Y3619" s="24"/>
      <c r="Z3619" s="20" t="str">
        <f t="shared" si="118"/>
        <v/>
      </c>
    </row>
    <row r="3620" spans="1:26" x14ac:dyDescent="0.2">
      <c r="A3620" s="21"/>
      <c r="B3620" s="20"/>
      <c r="C3620" s="22"/>
      <c r="D3620" s="22"/>
      <c r="E3620" s="24"/>
      <c r="F3620" s="22"/>
      <c r="H3620" s="21">
        <v>46127</v>
      </c>
      <c r="I3620" s="22" t="s">
        <v>70</v>
      </c>
      <c r="J3620" s="22" t="s">
        <v>55</v>
      </c>
      <c r="K3620" s="24">
        <v>7</v>
      </c>
      <c r="M3620" s="21"/>
      <c r="N3620" s="22"/>
      <c r="O3620" s="22"/>
      <c r="P3620" s="49"/>
      <c r="Q3620" s="49"/>
      <c r="R3620" s="188" t="str">
        <f t="shared" si="119"/>
        <v/>
      </c>
      <c r="T3620" s="21"/>
      <c r="U3620" s="22"/>
      <c r="V3620" s="24"/>
      <c r="W3620" s="24"/>
      <c r="X3620" s="24"/>
      <c r="Y3620" s="24"/>
      <c r="Z3620" s="20" t="str">
        <f t="shared" si="118"/>
        <v/>
      </c>
    </row>
    <row r="3621" spans="1:26" x14ac:dyDescent="0.2">
      <c r="A3621" s="21"/>
      <c r="B3621" s="20"/>
      <c r="C3621" s="22"/>
      <c r="D3621" s="22"/>
      <c r="E3621" s="24"/>
      <c r="F3621" s="22"/>
      <c r="H3621" s="21">
        <v>46128</v>
      </c>
      <c r="I3621" s="22" t="s">
        <v>70</v>
      </c>
      <c r="J3621" s="22" t="s">
        <v>52</v>
      </c>
      <c r="K3621" s="24">
        <v>5</v>
      </c>
      <c r="M3621" s="21"/>
      <c r="N3621" s="22"/>
      <c r="O3621" s="22"/>
      <c r="P3621" s="49"/>
      <c r="Q3621" s="49"/>
      <c r="R3621" s="188" t="str">
        <f t="shared" si="119"/>
        <v/>
      </c>
      <c r="T3621" s="21"/>
      <c r="U3621" s="22"/>
      <c r="V3621" s="24"/>
      <c r="W3621" s="24"/>
      <c r="X3621" s="24"/>
      <c r="Y3621" s="24"/>
      <c r="Z3621" s="20" t="str">
        <f t="shared" si="118"/>
        <v/>
      </c>
    </row>
    <row r="3622" spans="1:26" x14ac:dyDescent="0.2">
      <c r="A3622" s="21"/>
      <c r="B3622" s="20"/>
      <c r="C3622" s="22"/>
      <c r="D3622" s="22"/>
      <c r="E3622" s="24"/>
      <c r="F3622" s="22"/>
      <c r="H3622" s="21">
        <v>46128</v>
      </c>
      <c r="I3622" s="22" t="s">
        <v>70</v>
      </c>
      <c r="J3622" s="22" t="s">
        <v>53</v>
      </c>
      <c r="K3622" s="24">
        <v>6</v>
      </c>
      <c r="M3622" s="21"/>
      <c r="N3622" s="22"/>
      <c r="O3622" s="22"/>
      <c r="P3622" s="49"/>
      <c r="Q3622" s="49"/>
      <c r="R3622" s="188" t="str">
        <f t="shared" si="119"/>
        <v/>
      </c>
      <c r="T3622" s="21"/>
      <c r="U3622" s="22"/>
      <c r="V3622" s="24"/>
      <c r="W3622" s="24"/>
      <c r="X3622" s="24"/>
      <c r="Y3622" s="24"/>
      <c r="Z3622" s="20" t="str">
        <f t="shared" si="118"/>
        <v/>
      </c>
    </row>
    <row r="3623" spans="1:26" x14ac:dyDescent="0.2">
      <c r="A3623" s="21"/>
      <c r="B3623" s="20"/>
      <c r="C3623" s="22"/>
      <c r="D3623" s="22"/>
      <c r="E3623" s="24"/>
      <c r="F3623" s="22"/>
      <c r="H3623" s="21">
        <v>46128</v>
      </c>
      <c r="I3623" s="22" t="s">
        <v>70</v>
      </c>
      <c r="J3623" s="22" t="s">
        <v>44</v>
      </c>
      <c r="K3623" s="24">
        <v>7</v>
      </c>
      <c r="M3623" s="21"/>
      <c r="N3623" s="22"/>
      <c r="O3623" s="22"/>
      <c r="P3623" s="49"/>
      <c r="Q3623" s="49"/>
      <c r="R3623" s="188" t="str">
        <f t="shared" si="119"/>
        <v/>
      </c>
      <c r="T3623" s="21"/>
      <c r="U3623" s="22"/>
      <c r="V3623" s="24"/>
      <c r="W3623" s="24"/>
      <c r="X3623" s="24"/>
      <c r="Y3623" s="24"/>
      <c r="Z3623" s="20" t="str">
        <f t="shared" si="118"/>
        <v/>
      </c>
    </row>
    <row r="3624" spans="1:26" x14ac:dyDescent="0.2">
      <c r="A3624" s="21"/>
      <c r="B3624" s="20"/>
      <c r="C3624" s="22"/>
      <c r="D3624" s="22"/>
      <c r="E3624" s="24"/>
      <c r="F3624" s="22"/>
      <c r="H3624" s="21">
        <v>46128</v>
      </c>
      <c r="I3624" s="22" t="s">
        <v>70</v>
      </c>
      <c r="J3624" s="22" t="s">
        <v>45</v>
      </c>
      <c r="K3624" s="24">
        <v>6</v>
      </c>
      <c r="M3624" s="21"/>
      <c r="N3624" s="22"/>
      <c r="O3624" s="22"/>
      <c r="P3624" s="49"/>
      <c r="Q3624" s="49"/>
      <c r="R3624" s="188" t="str">
        <f t="shared" si="119"/>
        <v/>
      </c>
      <c r="T3624" s="21"/>
      <c r="U3624" s="22"/>
      <c r="V3624" s="24"/>
      <c r="W3624" s="24"/>
      <c r="X3624" s="24"/>
      <c r="Y3624" s="24"/>
      <c r="Z3624" s="20" t="str">
        <f t="shared" si="118"/>
        <v/>
      </c>
    </row>
    <row r="3625" spans="1:26" x14ac:dyDescent="0.2">
      <c r="A3625" s="21"/>
      <c r="B3625" s="20"/>
      <c r="C3625" s="22"/>
      <c r="D3625" s="22"/>
      <c r="E3625" s="24"/>
      <c r="F3625" s="22"/>
      <c r="H3625" s="21">
        <v>46128</v>
      </c>
      <c r="I3625" s="22" t="s">
        <v>70</v>
      </c>
      <c r="J3625" s="22" t="s">
        <v>57</v>
      </c>
      <c r="K3625" s="24">
        <v>6</v>
      </c>
      <c r="M3625" s="21"/>
      <c r="N3625" s="22"/>
      <c r="O3625" s="22"/>
      <c r="P3625" s="49"/>
      <c r="Q3625" s="49"/>
      <c r="R3625" s="188" t="str">
        <f t="shared" si="119"/>
        <v/>
      </c>
      <c r="T3625" s="21"/>
      <c r="U3625" s="22"/>
      <c r="V3625" s="24"/>
      <c r="W3625" s="24"/>
      <c r="X3625" s="24"/>
      <c r="Y3625" s="24"/>
      <c r="Z3625" s="20" t="str">
        <f t="shared" si="118"/>
        <v/>
      </c>
    </row>
    <row r="3626" spans="1:26" x14ac:dyDescent="0.2">
      <c r="A3626" s="21"/>
      <c r="B3626" s="20"/>
      <c r="C3626" s="22"/>
      <c r="D3626" s="22"/>
      <c r="E3626" s="24"/>
      <c r="F3626" s="22"/>
      <c r="H3626" s="21">
        <v>46128</v>
      </c>
      <c r="I3626" s="22" t="s">
        <v>70</v>
      </c>
      <c r="J3626" s="22" t="s">
        <v>42</v>
      </c>
      <c r="K3626" s="24">
        <v>2</v>
      </c>
      <c r="M3626" s="21"/>
      <c r="N3626" s="22"/>
      <c r="O3626" s="22"/>
      <c r="P3626" s="49"/>
      <c r="Q3626" s="49"/>
      <c r="R3626" s="188" t="str">
        <f t="shared" si="119"/>
        <v/>
      </c>
      <c r="T3626" s="21"/>
      <c r="U3626" s="22"/>
      <c r="V3626" s="24"/>
      <c r="W3626" s="24"/>
      <c r="X3626" s="24"/>
      <c r="Y3626" s="24"/>
      <c r="Z3626" s="20" t="str">
        <f t="shared" si="118"/>
        <v/>
      </c>
    </row>
    <row r="3627" spans="1:26" x14ac:dyDescent="0.2">
      <c r="A3627" s="21"/>
      <c r="B3627" s="20"/>
      <c r="C3627" s="22"/>
      <c r="D3627" s="22"/>
      <c r="E3627" s="24"/>
      <c r="F3627" s="22"/>
      <c r="H3627" s="21">
        <v>46128</v>
      </c>
      <c r="I3627" s="22" t="s">
        <v>70</v>
      </c>
      <c r="J3627" s="22" t="s">
        <v>47</v>
      </c>
      <c r="K3627" s="24">
        <v>6</v>
      </c>
      <c r="M3627" s="21"/>
      <c r="N3627" s="22"/>
      <c r="O3627" s="22"/>
      <c r="P3627" s="49"/>
      <c r="Q3627" s="49"/>
      <c r="R3627" s="188" t="str">
        <f t="shared" si="119"/>
        <v/>
      </c>
      <c r="T3627" s="21"/>
      <c r="U3627" s="22"/>
      <c r="V3627" s="24"/>
      <c r="W3627" s="24"/>
      <c r="X3627" s="24"/>
      <c r="Y3627" s="24"/>
      <c r="Z3627" s="20" t="str">
        <f t="shared" si="118"/>
        <v/>
      </c>
    </row>
    <row r="3628" spans="1:26" x14ac:dyDescent="0.2">
      <c r="A3628" s="21"/>
      <c r="B3628" s="20"/>
      <c r="C3628" s="22"/>
      <c r="D3628" s="22"/>
      <c r="E3628" s="24"/>
      <c r="F3628" s="22"/>
      <c r="H3628" s="21">
        <v>46128</v>
      </c>
      <c r="I3628" s="22" t="s">
        <v>70</v>
      </c>
      <c r="J3628" s="22" t="s">
        <v>41</v>
      </c>
      <c r="K3628" s="24">
        <v>2</v>
      </c>
      <c r="M3628" s="21"/>
      <c r="N3628" s="22"/>
      <c r="O3628" s="22"/>
      <c r="P3628" s="49"/>
      <c r="Q3628" s="49"/>
      <c r="R3628" s="188" t="str">
        <f t="shared" si="119"/>
        <v/>
      </c>
      <c r="T3628" s="21"/>
      <c r="U3628" s="22"/>
      <c r="V3628" s="24"/>
      <c r="W3628" s="24"/>
      <c r="X3628" s="24"/>
      <c r="Y3628" s="24"/>
      <c r="Z3628" s="20" t="str">
        <f t="shared" si="118"/>
        <v/>
      </c>
    </row>
    <row r="3629" spans="1:26" x14ac:dyDescent="0.2">
      <c r="A3629" s="21"/>
      <c r="B3629" s="20"/>
      <c r="C3629" s="22"/>
      <c r="D3629" s="22"/>
      <c r="E3629" s="24"/>
      <c r="F3629" s="22"/>
      <c r="H3629" s="21">
        <v>46128</v>
      </c>
      <c r="I3629" s="22" t="s">
        <v>70</v>
      </c>
      <c r="J3629" s="22" t="s">
        <v>58</v>
      </c>
      <c r="K3629" s="24" t="s">
        <v>61</v>
      </c>
      <c r="M3629" s="21"/>
      <c r="N3629" s="22"/>
      <c r="O3629" s="22"/>
      <c r="P3629" s="49"/>
      <c r="Q3629" s="49"/>
      <c r="R3629" s="188" t="str">
        <f t="shared" si="119"/>
        <v/>
      </c>
      <c r="T3629" s="21"/>
      <c r="U3629" s="22"/>
      <c r="V3629" s="24"/>
      <c r="W3629" s="24"/>
      <c r="X3629" s="24"/>
      <c r="Y3629" s="24"/>
      <c r="Z3629" s="20" t="str">
        <f t="shared" si="118"/>
        <v/>
      </c>
    </row>
    <row r="3630" spans="1:26" x14ac:dyDescent="0.2">
      <c r="A3630" s="21"/>
      <c r="B3630" s="20"/>
      <c r="C3630" s="22"/>
      <c r="D3630" s="22"/>
      <c r="E3630" s="24"/>
      <c r="F3630" s="22"/>
      <c r="H3630" s="21">
        <v>46128</v>
      </c>
      <c r="I3630" s="22" t="s">
        <v>70</v>
      </c>
      <c r="J3630" s="22" t="s">
        <v>49</v>
      </c>
      <c r="K3630" s="24">
        <v>5</v>
      </c>
      <c r="M3630" s="21"/>
      <c r="N3630" s="22"/>
      <c r="O3630" s="22"/>
      <c r="P3630" s="49"/>
      <c r="Q3630" s="49"/>
      <c r="R3630" s="188" t="str">
        <f t="shared" si="119"/>
        <v/>
      </c>
      <c r="T3630" s="21"/>
      <c r="U3630" s="22"/>
      <c r="V3630" s="24"/>
      <c r="W3630" s="24"/>
      <c r="X3630" s="24"/>
      <c r="Y3630" s="24"/>
      <c r="Z3630" s="20" t="str">
        <f t="shared" si="118"/>
        <v/>
      </c>
    </row>
    <row r="3631" spans="1:26" x14ac:dyDescent="0.2">
      <c r="A3631" s="21"/>
      <c r="B3631" s="20"/>
      <c r="C3631" s="22"/>
      <c r="D3631" s="22"/>
      <c r="E3631" s="24"/>
      <c r="F3631" s="22"/>
      <c r="H3631" s="21">
        <v>46128</v>
      </c>
      <c r="I3631" s="22" t="s">
        <v>70</v>
      </c>
      <c r="J3631" s="22" t="s">
        <v>50</v>
      </c>
      <c r="K3631" s="24">
        <v>4</v>
      </c>
      <c r="M3631" s="21"/>
      <c r="N3631" s="22"/>
      <c r="O3631" s="22"/>
      <c r="P3631" s="49"/>
      <c r="Q3631" s="49"/>
      <c r="R3631" s="188" t="str">
        <f t="shared" si="119"/>
        <v/>
      </c>
      <c r="T3631" s="21"/>
      <c r="U3631" s="22"/>
      <c r="V3631" s="24"/>
      <c r="W3631" s="24"/>
      <c r="X3631" s="24"/>
      <c r="Y3631" s="24"/>
      <c r="Z3631" s="20" t="str">
        <f t="shared" si="118"/>
        <v/>
      </c>
    </row>
    <row r="3632" spans="1:26" x14ac:dyDescent="0.2">
      <c r="A3632" s="21"/>
      <c r="B3632" s="20"/>
      <c r="C3632" s="22"/>
      <c r="D3632" s="22"/>
      <c r="E3632" s="24"/>
      <c r="F3632" s="22"/>
      <c r="H3632" s="21">
        <v>46128</v>
      </c>
      <c r="I3632" s="22" t="s">
        <v>70</v>
      </c>
      <c r="J3632" s="22" t="s">
        <v>51</v>
      </c>
      <c r="K3632" s="24">
        <v>5</v>
      </c>
      <c r="M3632" s="21"/>
      <c r="N3632" s="22"/>
      <c r="O3632" s="22"/>
      <c r="P3632" s="49"/>
      <c r="Q3632" s="49"/>
      <c r="R3632" s="188" t="str">
        <f t="shared" si="119"/>
        <v/>
      </c>
      <c r="T3632" s="21"/>
      <c r="U3632" s="22"/>
      <c r="V3632" s="24"/>
      <c r="W3632" s="24"/>
      <c r="X3632" s="24"/>
      <c r="Y3632" s="24"/>
      <c r="Z3632" s="20" t="str">
        <f t="shared" si="118"/>
        <v/>
      </c>
    </row>
    <row r="3633" spans="1:26" x14ac:dyDescent="0.2">
      <c r="A3633" s="21"/>
      <c r="B3633" s="20"/>
      <c r="C3633" s="22"/>
      <c r="D3633" s="22"/>
      <c r="E3633" s="24"/>
      <c r="F3633" s="22"/>
      <c r="H3633" s="21">
        <v>46128</v>
      </c>
      <c r="I3633" s="22" t="s">
        <v>70</v>
      </c>
      <c r="J3633" s="22" t="s">
        <v>46</v>
      </c>
      <c r="K3633" s="24">
        <v>6</v>
      </c>
      <c r="M3633" s="21"/>
      <c r="N3633" s="22"/>
      <c r="O3633" s="22"/>
      <c r="P3633" s="49"/>
      <c r="Q3633" s="49"/>
      <c r="R3633" s="188" t="str">
        <f t="shared" si="119"/>
        <v/>
      </c>
      <c r="T3633" s="21"/>
      <c r="U3633" s="22"/>
      <c r="V3633" s="24"/>
      <c r="W3633" s="24"/>
      <c r="X3633" s="24"/>
      <c r="Y3633" s="24"/>
      <c r="Z3633" s="20" t="str">
        <f t="shared" si="118"/>
        <v/>
      </c>
    </row>
    <row r="3634" spans="1:26" x14ac:dyDescent="0.2">
      <c r="A3634" s="21"/>
      <c r="B3634" s="20"/>
      <c r="C3634" s="22"/>
      <c r="D3634" s="22"/>
      <c r="E3634" s="24"/>
      <c r="F3634" s="22"/>
      <c r="H3634" s="21">
        <v>46128</v>
      </c>
      <c r="I3634" s="22" t="s">
        <v>70</v>
      </c>
      <c r="J3634" s="22" t="s">
        <v>48</v>
      </c>
      <c r="K3634" s="24">
        <v>6</v>
      </c>
      <c r="M3634" s="21"/>
      <c r="N3634" s="22"/>
      <c r="O3634" s="22"/>
      <c r="P3634" s="49"/>
      <c r="Q3634" s="49"/>
      <c r="R3634" s="188" t="str">
        <f t="shared" si="119"/>
        <v/>
      </c>
      <c r="T3634" s="21"/>
      <c r="U3634" s="22"/>
      <c r="V3634" s="24"/>
      <c r="W3634" s="24"/>
      <c r="X3634" s="24"/>
      <c r="Y3634" s="24"/>
      <c r="Z3634" s="20" t="str">
        <f t="shared" si="118"/>
        <v/>
      </c>
    </row>
    <row r="3635" spans="1:26" x14ac:dyDescent="0.2">
      <c r="A3635" s="21"/>
      <c r="B3635" s="20"/>
      <c r="C3635" s="22"/>
      <c r="D3635" s="22"/>
      <c r="E3635" s="24"/>
      <c r="F3635" s="22"/>
      <c r="H3635" s="21">
        <v>46128</v>
      </c>
      <c r="I3635" s="22" t="s">
        <v>70</v>
      </c>
      <c r="J3635" s="22" t="s">
        <v>55</v>
      </c>
      <c r="K3635" s="24">
        <v>6</v>
      </c>
      <c r="M3635" s="21"/>
      <c r="N3635" s="22"/>
      <c r="O3635" s="22"/>
      <c r="P3635" s="49"/>
      <c r="Q3635" s="49"/>
      <c r="R3635" s="188" t="str">
        <f t="shared" si="119"/>
        <v/>
      </c>
      <c r="T3635" s="21"/>
      <c r="U3635" s="22"/>
      <c r="V3635" s="24"/>
      <c r="W3635" s="24"/>
      <c r="X3635" s="24"/>
      <c r="Y3635" s="24"/>
      <c r="Z3635" s="20" t="str">
        <f t="shared" si="118"/>
        <v/>
      </c>
    </row>
    <row r="3636" spans="1:26" x14ac:dyDescent="0.2">
      <c r="A3636" s="21"/>
      <c r="B3636" s="20"/>
      <c r="C3636" s="22"/>
      <c r="D3636" s="22"/>
      <c r="E3636" s="24"/>
      <c r="F3636" s="22"/>
      <c r="H3636" s="21">
        <v>46129</v>
      </c>
      <c r="I3636" s="22" t="s">
        <v>70</v>
      </c>
      <c r="J3636" s="22" t="s">
        <v>52</v>
      </c>
      <c r="K3636" s="24">
        <v>2</v>
      </c>
      <c r="M3636" s="21"/>
      <c r="N3636" s="22"/>
      <c r="O3636" s="22"/>
      <c r="P3636" s="49"/>
      <c r="Q3636" s="49"/>
      <c r="R3636" s="188" t="str">
        <f t="shared" si="119"/>
        <v/>
      </c>
      <c r="T3636" s="21"/>
      <c r="U3636" s="22"/>
      <c r="V3636" s="24"/>
      <c r="W3636" s="24"/>
      <c r="X3636" s="24"/>
      <c r="Y3636" s="24"/>
      <c r="Z3636" s="20" t="str">
        <f t="shared" si="118"/>
        <v/>
      </c>
    </row>
    <row r="3637" spans="1:26" x14ac:dyDescent="0.2">
      <c r="A3637" s="21"/>
      <c r="B3637" s="20"/>
      <c r="C3637" s="22"/>
      <c r="D3637" s="22"/>
      <c r="E3637" s="24"/>
      <c r="F3637" s="22"/>
      <c r="H3637" s="21">
        <v>46129</v>
      </c>
      <c r="I3637" s="22" t="s">
        <v>70</v>
      </c>
      <c r="J3637" s="22" t="s">
        <v>53</v>
      </c>
      <c r="K3637" s="24">
        <v>4</v>
      </c>
      <c r="M3637" s="21"/>
      <c r="N3637" s="22"/>
      <c r="O3637" s="22"/>
      <c r="P3637" s="49"/>
      <c r="Q3637" s="49"/>
      <c r="R3637" s="188" t="str">
        <f t="shared" si="119"/>
        <v/>
      </c>
      <c r="T3637" s="21"/>
      <c r="U3637" s="22"/>
      <c r="V3637" s="24"/>
      <c r="W3637" s="24"/>
      <c r="X3637" s="24"/>
      <c r="Y3637" s="24"/>
      <c r="Z3637" s="20" t="str">
        <f t="shared" si="118"/>
        <v/>
      </c>
    </row>
    <row r="3638" spans="1:26" x14ac:dyDescent="0.2">
      <c r="A3638" s="21"/>
      <c r="B3638" s="20"/>
      <c r="C3638" s="22"/>
      <c r="D3638" s="22"/>
      <c r="E3638" s="24"/>
      <c r="F3638" s="22"/>
      <c r="H3638" s="21">
        <v>46129</v>
      </c>
      <c r="I3638" s="22" t="s">
        <v>70</v>
      </c>
      <c r="J3638" s="22" t="s">
        <v>44</v>
      </c>
      <c r="K3638" s="24">
        <v>2</v>
      </c>
      <c r="M3638" s="21"/>
      <c r="N3638" s="22"/>
      <c r="O3638" s="22"/>
      <c r="P3638" s="49"/>
      <c r="Q3638" s="49"/>
      <c r="R3638" s="188" t="str">
        <f t="shared" si="119"/>
        <v/>
      </c>
      <c r="T3638" s="21"/>
      <c r="U3638" s="22"/>
      <c r="V3638" s="24"/>
      <c r="W3638" s="24"/>
      <c r="X3638" s="24"/>
      <c r="Y3638" s="24"/>
      <c r="Z3638" s="20" t="str">
        <f t="shared" si="118"/>
        <v/>
      </c>
    </row>
    <row r="3639" spans="1:26" x14ac:dyDescent="0.2">
      <c r="A3639" s="21"/>
      <c r="B3639" s="20"/>
      <c r="C3639" s="22"/>
      <c r="D3639" s="22"/>
      <c r="E3639" s="24"/>
      <c r="F3639" s="22"/>
      <c r="H3639" s="21">
        <v>46129</v>
      </c>
      <c r="I3639" s="22" t="s">
        <v>70</v>
      </c>
      <c r="J3639" s="22" t="s">
        <v>45</v>
      </c>
      <c r="K3639" s="24">
        <v>1</v>
      </c>
      <c r="M3639" s="21"/>
      <c r="N3639" s="22"/>
      <c r="O3639" s="22"/>
      <c r="P3639" s="49"/>
      <c r="Q3639" s="49"/>
      <c r="R3639" s="188" t="str">
        <f t="shared" si="119"/>
        <v/>
      </c>
      <c r="T3639" s="21"/>
      <c r="U3639" s="22"/>
      <c r="V3639" s="24"/>
      <c r="W3639" s="24"/>
      <c r="X3639" s="24"/>
      <c r="Y3639" s="24"/>
      <c r="Z3639" s="20" t="str">
        <f t="shared" si="118"/>
        <v/>
      </c>
    </row>
    <row r="3640" spans="1:26" x14ac:dyDescent="0.2">
      <c r="A3640" s="21"/>
      <c r="B3640" s="20"/>
      <c r="C3640" s="22"/>
      <c r="D3640" s="22"/>
      <c r="E3640" s="24"/>
      <c r="F3640" s="22"/>
      <c r="H3640" s="21">
        <v>46129</v>
      </c>
      <c r="I3640" s="22" t="s">
        <v>70</v>
      </c>
      <c r="J3640" s="22" t="s">
        <v>42</v>
      </c>
      <c r="K3640" s="24">
        <v>1</v>
      </c>
      <c r="M3640" s="21"/>
      <c r="N3640" s="22"/>
      <c r="O3640" s="22"/>
      <c r="P3640" s="49"/>
      <c r="Q3640" s="49"/>
      <c r="R3640" s="188" t="str">
        <f t="shared" si="119"/>
        <v/>
      </c>
      <c r="T3640" s="21"/>
      <c r="U3640" s="22"/>
      <c r="V3640" s="24"/>
      <c r="W3640" s="24"/>
      <c r="X3640" s="24"/>
      <c r="Y3640" s="24"/>
      <c r="Z3640" s="20" t="str">
        <f t="shared" si="118"/>
        <v/>
      </c>
    </row>
    <row r="3641" spans="1:26" x14ac:dyDescent="0.2">
      <c r="A3641" s="21"/>
      <c r="B3641" s="20"/>
      <c r="C3641" s="22"/>
      <c r="D3641" s="22"/>
      <c r="E3641" s="24"/>
      <c r="F3641" s="22"/>
      <c r="H3641" s="21">
        <v>46129</v>
      </c>
      <c r="I3641" s="22" t="s">
        <v>70</v>
      </c>
      <c r="J3641" s="22" t="s">
        <v>47</v>
      </c>
      <c r="K3641" s="24">
        <v>2</v>
      </c>
      <c r="M3641" s="21"/>
      <c r="N3641" s="22"/>
      <c r="O3641" s="22"/>
      <c r="P3641" s="49"/>
      <c r="Q3641" s="49"/>
      <c r="R3641" s="188" t="str">
        <f t="shared" si="119"/>
        <v/>
      </c>
      <c r="T3641" s="21"/>
      <c r="U3641" s="22"/>
      <c r="V3641" s="24"/>
      <c r="W3641" s="24"/>
      <c r="X3641" s="24"/>
      <c r="Y3641" s="24"/>
      <c r="Z3641" s="20" t="str">
        <f t="shared" si="118"/>
        <v/>
      </c>
    </row>
    <row r="3642" spans="1:26" x14ac:dyDescent="0.2">
      <c r="A3642" s="21"/>
      <c r="B3642" s="20"/>
      <c r="C3642" s="22"/>
      <c r="D3642" s="22"/>
      <c r="E3642" s="24"/>
      <c r="F3642" s="22"/>
      <c r="H3642" s="21">
        <v>46129</v>
      </c>
      <c r="I3642" s="22" t="s">
        <v>70</v>
      </c>
      <c r="J3642" s="22" t="s">
        <v>41</v>
      </c>
      <c r="K3642" s="24">
        <v>1</v>
      </c>
      <c r="M3642" s="21"/>
      <c r="N3642" s="22"/>
      <c r="O3642" s="22"/>
      <c r="P3642" s="49"/>
      <c r="Q3642" s="49"/>
      <c r="R3642" s="188" t="str">
        <f t="shared" si="119"/>
        <v/>
      </c>
      <c r="T3642" s="21"/>
      <c r="U3642" s="22"/>
      <c r="V3642" s="24"/>
      <c r="W3642" s="24"/>
      <c r="X3642" s="24"/>
      <c r="Y3642" s="24"/>
      <c r="Z3642" s="20" t="str">
        <f t="shared" si="118"/>
        <v/>
      </c>
    </row>
    <row r="3643" spans="1:26" x14ac:dyDescent="0.2">
      <c r="A3643" s="21"/>
      <c r="B3643" s="20"/>
      <c r="C3643" s="22"/>
      <c r="D3643" s="22"/>
      <c r="E3643" s="24"/>
      <c r="F3643" s="22"/>
      <c r="H3643" s="21">
        <v>46129</v>
      </c>
      <c r="I3643" s="22" t="s">
        <v>70</v>
      </c>
      <c r="J3643" s="22" t="s">
        <v>49</v>
      </c>
      <c r="K3643" s="24">
        <v>2</v>
      </c>
      <c r="M3643" s="21"/>
      <c r="N3643" s="22"/>
      <c r="O3643" s="22"/>
      <c r="P3643" s="49"/>
      <c r="Q3643" s="49"/>
      <c r="R3643" s="188" t="str">
        <f t="shared" si="119"/>
        <v/>
      </c>
      <c r="T3643" s="21"/>
      <c r="U3643" s="22"/>
      <c r="V3643" s="24"/>
      <c r="W3643" s="24"/>
      <c r="X3643" s="24"/>
      <c r="Y3643" s="24"/>
      <c r="Z3643" s="20" t="str">
        <f t="shared" si="118"/>
        <v/>
      </c>
    </row>
    <row r="3644" spans="1:26" x14ac:dyDescent="0.2">
      <c r="A3644" s="21"/>
      <c r="B3644" s="20"/>
      <c r="C3644" s="22"/>
      <c r="D3644" s="22"/>
      <c r="E3644" s="24"/>
      <c r="F3644" s="22"/>
      <c r="H3644" s="21">
        <v>46129</v>
      </c>
      <c r="I3644" s="22" t="s">
        <v>70</v>
      </c>
      <c r="J3644" s="22" t="s">
        <v>50</v>
      </c>
      <c r="K3644" s="24">
        <v>3</v>
      </c>
      <c r="M3644" s="21"/>
      <c r="N3644" s="22"/>
      <c r="O3644" s="22"/>
      <c r="P3644" s="49"/>
      <c r="Q3644" s="49"/>
      <c r="R3644" s="188" t="str">
        <f t="shared" si="119"/>
        <v/>
      </c>
      <c r="T3644" s="21"/>
      <c r="U3644" s="22"/>
      <c r="V3644" s="24"/>
      <c r="W3644" s="24"/>
      <c r="X3644" s="24"/>
      <c r="Y3644" s="24"/>
      <c r="Z3644" s="20" t="str">
        <f t="shared" si="118"/>
        <v/>
      </c>
    </row>
    <row r="3645" spans="1:26" x14ac:dyDescent="0.2">
      <c r="A3645" s="21"/>
      <c r="B3645" s="20"/>
      <c r="C3645" s="22"/>
      <c r="D3645" s="22"/>
      <c r="E3645" s="24"/>
      <c r="F3645" s="22"/>
      <c r="H3645" s="21">
        <v>46129</v>
      </c>
      <c r="I3645" s="22" t="s">
        <v>70</v>
      </c>
      <c r="J3645" s="22" t="s">
        <v>51</v>
      </c>
      <c r="K3645" s="24">
        <v>2</v>
      </c>
      <c r="M3645" s="21"/>
      <c r="N3645" s="22"/>
      <c r="O3645" s="22"/>
      <c r="P3645" s="49"/>
      <c r="Q3645" s="49"/>
      <c r="R3645" s="188" t="str">
        <f t="shared" si="119"/>
        <v/>
      </c>
      <c r="T3645" s="21"/>
      <c r="U3645" s="22"/>
      <c r="V3645" s="24"/>
      <c r="W3645" s="24"/>
      <c r="X3645" s="24"/>
      <c r="Y3645" s="24"/>
      <c r="Z3645" s="20" t="str">
        <f t="shared" si="118"/>
        <v/>
      </c>
    </row>
    <row r="3646" spans="1:26" x14ac:dyDescent="0.2">
      <c r="A3646" s="21"/>
      <c r="B3646" s="20"/>
      <c r="C3646" s="22"/>
      <c r="D3646" s="22"/>
      <c r="E3646" s="24"/>
      <c r="F3646" s="22"/>
      <c r="H3646" s="21">
        <v>46129</v>
      </c>
      <c r="I3646" s="22" t="s">
        <v>70</v>
      </c>
      <c r="J3646" s="22" t="s">
        <v>46</v>
      </c>
      <c r="K3646" s="24">
        <v>4</v>
      </c>
      <c r="M3646" s="21"/>
      <c r="N3646" s="22"/>
      <c r="O3646" s="22"/>
      <c r="P3646" s="49"/>
      <c r="Q3646" s="49"/>
      <c r="R3646" s="188" t="str">
        <f t="shared" si="119"/>
        <v/>
      </c>
      <c r="T3646" s="21"/>
      <c r="U3646" s="22"/>
      <c r="V3646" s="24"/>
      <c r="W3646" s="24"/>
      <c r="X3646" s="24"/>
      <c r="Y3646" s="24"/>
      <c r="Z3646" s="20" t="str">
        <f t="shared" si="118"/>
        <v/>
      </c>
    </row>
    <row r="3647" spans="1:26" x14ac:dyDescent="0.2">
      <c r="A3647" s="21"/>
      <c r="B3647" s="20"/>
      <c r="C3647" s="22"/>
      <c r="D3647" s="22"/>
      <c r="E3647" s="24"/>
      <c r="F3647" s="22"/>
      <c r="H3647" s="21">
        <v>46129</v>
      </c>
      <c r="I3647" s="22" t="s">
        <v>70</v>
      </c>
      <c r="J3647" s="22" t="s">
        <v>48</v>
      </c>
      <c r="K3647" s="24">
        <v>2</v>
      </c>
      <c r="M3647" s="21"/>
      <c r="N3647" s="22"/>
      <c r="O3647" s="22"/>
      <c r="P3647" s="49"/>
      <c r="Q3647" s="49"/>
      <c r="R3647" s="188" t="str">
        <f t="shared" si="119"/>
        <v/>
      </c>
      <c r="T3647" s="21"/>
      <c r="U3647" s="22"/>
      <c r="V3647" s="24"/>
      <c r="W3647" s="24"/>
      <c r="X3647" s="24"/>
      <c r="Y3647" s="24"/>
      <c r="Z3647" s="20" t="str">
        <f t="shared" si="118"/>
        <v/>
      </c>
    </row>
    <row r="3648" spans="1:26" x14ac:dyDescent="0.2">
      <c r="A3648" s="21"/>
      <c r="B3648" s="20"/>
      <c r="C3648" s="22"/>
      <c r="D3648" s="22"/>
      <c r="E3648" s="24"/>
      <c r="F3648" s="22"/>
      <c r="H3648" s="21">
        <v>46129</v>
      </c>
      <c r="I3648" s="22" t="s">
        <v>70</v>
      </c>
      <c r="J3648" s="22" t="s">
        <v>55</v>
      </c>
      <c r="K3648" s="24">
        <v>3</v>
      </c>
      <c r="M3648" s="21"/>
      <c r="N3648" s="22"/>
      <c r="O3648" s="22"/>
      <c r="P3648" s="49"/>
      <c r="Q3648" s="49"/>
      <c r="R3648" s="188" t="str">
        <f t="shared" si="119"/>
        <v/>
      </c>
      <c r="T3648" s="21"/>
      <c r="U3648" s="22"/>
      <c r="V3648" s="24"/>
      <c r="W3648" s="24"/>
      <c r="X3648" s="24"/>
      <c r="Y3648" s="24"/>
      <c r="Z3648" s="20" t="str">
        <f t="shared" si="118"/>
        <v/>
      </c>
    </row>
    <row r="3649" spans="1:26" x14ac:dyDescent="0.2">
      <c r="A3649" s="21"/>
      <c r="B3649" s="20"/>
      <c r="C3649" s="22"/>
      <c r="D3649" s="22"/>
      <c r="E3649" s="24"/>
      <c r="F3649" s="22"/>
      <c r="H3649" s="21">
        <v>46130</v>
      </c>
      <c r="I3649" s="22" t="s">
        <v>70</v>
      </c>
      <c r="J3649" s="22" t="s">
        <v>52</v>
      </c>
      <c r="K3649" s="24">
        <v>2</v>
      </c>
      <c r="M3649" s="21"/>
      <c r="N3649" s="22"/>
      <c r="O3649" s="22"/>
      <c r="P3649" s="49"/>
      <c r="Q3649" s="49"/>
      <c r="R3649" s="188" t="str">
        <f t="shared" si="119"/>
        <v/>
      </c>
      <c r="T3649" s="21"/>
      <c r="U3649" s="22"/>
      <c r="V3649" s="24"/>
      <c r="W3649" s="24"/>
      <c r="X3649" s="24"/>
      <c r="Y3649" s="24"/>
      <c r="Z3649" s="20" t="str">
        <f t="shared" si="118"/>
        <v/>
      </c>
    </row>
    <row r="3650" spans="1:26" x14ac:dyDescent="0.2">
      <c r="A3650" s="21"/>
      <c r="B3650" s="20"/>
      <c r="C3650" s="22"/>
      <c r="D3650" s="22"/>
      <c r="E3650" s="24"/>
      <c r="F3650" s="22"/>
      <c r="H3650" s="21">
        <v>46130</v>
      </c>
      <c r="I3650" s="22" t="s">
        <v>70</v>
      </c>
      <c r="J3650" s="22" t="s">
        <v>53</v>
      </c>
      <c r="K3650" s="24">
        <v>2</v>
      </c>
      <c r="M3650" s="21"/>
      <c r="N3650" s="22"/>
      <c r="O3650" s="22"/>
      <c r="P3650" s="49"/>
      <c r="Q3650" s="49"/>
      <c r="R3650" s="188" t="str">
        <f t="shared" si="119"/>
        <v/>
      </c>
      <c r="T3650" s="21"/>
      <c r="U3650" s="22"/>
      <c r="V3650" s="24"/>
      <c r="W3650" s="24"/>
      <c r="X3650" s="24"/>
      <c r="Y3650" s="24"/>
      <c r="Z3650" s="20" t="str">
        <f t="shared" si="118"/>
        <v/>
      </c>
    </row>
    <row r="3651" spans="1:26" x14ac:dyDescent="0.2">
      <c r="A3651" s="21"/>
      <c r="B3651" s="20"/>
      <c r="C3651" s="22"/>
      <c r="D3651" s="22"/>
      <c r="E3651" s="24"/>
      <c r="F3651" s="22"/>
      <c r="H3651" s="21">
        <v>46130</v>
      </c>
      <c r="I3651" s="22" t="s">
        <v>70</v>
      </c>
      <c r="J3651" s="22" t="s">
        <v>44</v>
      </c>
      <c r="K3651" s="24">
        <v>2</v>
      </c>
      <c r="M3651" s="21"/>
      <c r="N3651" s="22"/>
      <c r="O3651" s="22"/>
      <c r="P3651" s="49"/>
      <c r="Q3651" s="49"/>
      <c r="R3651" s="188" t="str">
        <f t="shared" si="119"/>
        <v/>
      </c>
      <c r="T3651" s="21"/>
      <c r="U3651" s="22"/>
      <c r="V3651" s="24"/>
      <c r="W3651" s="24"/>
      <c r="X3651" s="24"/>
      <c r="Y3651" s="24"/>
      <c r="Z3651" s="20" t="str">
        <f t="shared" si="118"/>
        <v/>
      </c>
    </row>
    <row r="3652" spans="1:26" x14ac:dyDescent="0.2">
      <c r="A3652" s="21"/>
      <c r="B3652" s="20"/>
      <c r="C3652" s="22"/>
      <c r="D3652" s="22"/>
      <c r="E3652" s="24"/>
      <c r="F3652" s="22"/>
      <c r="H3652" s="21">
        <v>46130</v>
      </c>
      <c r="I3652" s="22" t="s">
        <v>70</v>
      </c>
      <c r="J3652" s="22" t="s">
        <v>45</v>
      </c>
      <c r="K3652" s="24">
        <v>2</v>
      </c>
      <c r="M3652" s="21"/>
      <c r="N3652" s="22"/>
      <c r="O3652" s="22"/>
      <c r="P3652" s="49"/>
      <c r="Q3652" s="49"/>
      <c r="R3652" s="188" t="str">
        <f t="shared" si="119"/>
        <v/>
      </c>
      <c r="T3652" s="21"/>
      <c r="U3652" s="22"/>
      <c r="V3652" s="24"/>
      <c r="W3652" s="24"/>
      <c r="X3652" s="24"/>
      <c r="Y3652" s="24"/>
      <c r="Z3652" s="20" t="str">
        <f t="shared" si="118"/>
        <v/>
      </c>
    </row>
    <row r="3653" spans="1:26" x14ac:dyDescent="0.2">
      <c r="A3653" s="21"/>
      <c r="B3653" s="20"/>
      <c r="C3653" s="22"/>
      <c r="D3653" s="22"/>
      <c r="E3653" s="24"/>
      <c r="F3653" s="22"/>
      <c r="H3653" s="21">
        <v>46130</v>
      </c>
      <c r="I3653" s="22" t="s">
        <v>70</v>
      </c>
      <c r="J3653" s="22" t="s">
        <v>42</v>
      </c>
      <c r="K3653" s="24">
        <v>2</v>
      </c>
      <c r="M3653" s="21"/>
      <c r="N3653" s="22"/>
      <c r="O3653" s="22"/>
      <c r="P3653" s="49"/>
      <c r="Q3653" s="49"/>
      <c r="R3653" s="188" t="str">
        <f t="shared" si="119"/>
        <v/>
      </c>
      <c r="T3653" s="21"/>
      <c r="U3653" s="22"/>
      <c r="V3653" s="24"/>
      <c r="W3653" s="24"/>
      <c r="X3653" s="24"/>
      <c r="Y3653" s="24"/>
      <c r="Z3653" s="20" t="str">
        <f t="shared" si="118"/>
        <v/>
      </c>
    </row>
    <row r="3654" spans="1:26" x14ac:dyDescent="0.2">
      <c r="A3654" s="21"/>
      <c r="B3654" s="20"/>
      <c r="C3654" s="22"/>
      <c r="D3654" s="22"/>
      <c r="E3654" s="24"/>
      <c r="F3654" s="22"/>
      <c r="H3654" s="21">
        <v>46130</v>
      </c>
      <c r="I3654" s="22" t="s">
        <v>70</v>
      </c>
      <c r="J3654" s="22" t="s">
        <v>47</v>
      </c>
      <c r="K3654" s="24">
        <v>2</v>
      </c>
      <c r="M3654" s="21"/>
      <c r="N3654" s="22"/>
      <c r="O3654" s="22"/>
      <c r="P3654" s="49"/>
      <c r="Q3654" s="49"/>
      <c r="R3654" s="188" t="str">
        <f t="shared" si="119"/>
        <v/>
      </c>
      <c r="T3654" s="21"/>
      <c r="U3654" s="22"/>
      <c r="V3654" s="24"/>
      <c r="W3654" s="24"/>
      <c r="X3654" s="24"/>
      <c r="Y3654" s="24"/>
      <c r="Z3654" s="20" t="str">
        <f t="shared" si="118"/>
        <v/>
      </c>
    </row>
    <row r="3655" spans="1:26" x14ac:dyDescent="0.2">
      <c r="A3655" s="21"/>
      <c r="B3655" s="20"/>
      <c r="C3655" s="22"/>
      <c r="D3655" s="22"/>
      <c r="E3655" s="24"/>
      <c r="F3655" s="22"/>
      <c r="H3655" s="21">
        <v>46130</v>
      </c>
      <c r="I3655" s="22" t="s">
        <v>70</v>
      </c>
      <c r="J3655" s="22" t="s">
        <v>41</v>
      </c>
      <c r="K3655" s="24">
        <v>2</v>
      </c>
      <c r="M3655" s="21"/>
      <c r="N3655" s="22"/>
      <c r="O3655" s="22"/>
      <c r="P3655" s="49"/>
      <c r="Q3655" s="49"/>
      <c r="R3655" s="188" t="str">
        <f t="shared" si="119"/>
        <v/>
      </c>
      <c r="T3655" s="21"/>
      <c r="U3655" s="22"/>
      <c r="V3655" s="24"/>
      <c r="W3655" s="24"/>
      <c r="X3655" s="24"/>
      <c r="Y3655" s="24"/>
      <c r="Z3655" s="20" t="str">
        <f t="shared" si="118"/>
        <v/>
      </c>
    </row>
    <row r="3656" spans="1:26" x14ac:dyDescent="0.2">
      <c r="A3656" s="21"/>
      <c r="B3656" s="20"/>
      <c r="C3656" s="22"/>
      <c r="D3656" s="22"/>
      <c r="E3656" s="24"/>
      <c r="F3656" s="22"/>
      <c r="H3656" s="21">
        <v>46130</v>
      </c>
      <c r="I3656" s="22" t="s">
        <v>70</v>
      </c>
      <c r="J3656" s="22" t="s">
        <v>49</v>
      </c>
      <c r="K3656" s="24">
        <v>2</v>
      </c>
      <c r="M3656" s="21"/>
      <c r="N3656" s="22"/>
      <c r="O3656" s="22"/>
      <c r="P3656" s="49"/>
      <c r="Q3656" s="49"/>
      <c r="R3656" s="188" t="str">
        <f t="shared" si="119"/>
        <v/>
      </c>
      <c r="T3656" s="21"/>
      <c r="U3656" s="22"/>
      <c r="V3656" s="24"/>
      <c r="W3656" s="24"/>
      <c r="X3656" s="24"/>
      <c r="Y3656" s="24"/>
      <c r="Z3656" s="20" t="str">
        <f t="shared" si="118"/>
        <v/>
      </c>
    </row>
    <row r="3657" spans="1:26" x14ac:dyDescent="0.2">
      <c r="A3657" s="21"/>
      <c r="B3657" s="20"/>
      <c r="C3657" s="22"/>
      <c r="D3657" s="22"/>
      <c r="E3657" s="24"/>
      <c r="F3657" s="22"/>
      <c r="H3657" s="21">
        <v>46130</v>
      </c>
      <c r="I3657" s="22" t="s">
        <v>70</v>
      </c>
      <c r="J3657" s="22" t="s">
        <v>50</v>
      </c>
      <c r="K3657" s="24">
        <v>2</v>
      </c>
      <c r="M3657" s="21"/>
      <c r="N3657" s="22"/>
      <c r="O3657" s="22"/>
      <c r="P3657" s="49"/>
      <c r="Q3657" s="49"/>
      <c r="R3657" s="188" t="str">
        <f t="shared" si="119"/>
        <v/>
      </c>
      <c r="T3657" s="21"/>
      <c r="U3657" s="22"/>
      <c r="V3657" s="24"/>
      <c r="W3657" s="24"/>
      <c r="X3657" s="24"/>
      <c r="Y3657" s="24"/>
      <c r="Z3657" s="20" t="str">
        <f t="shared" si="118"/>
        <v/>
      </c>
    </row>
    <row r="3658" spans="1:26" x14ac:dyDescent="0.2">
      <c r="A3658" s="21"/>
      <c r="B3658" s="20"/>
      <c r="C3658" s="22"/>
      <c r="D3658" s="22"/>
      <c r="E3658" s="24"/>
      <c r="F3658" s="22"/>
      <c r="H3658" s="21">
        <v>46130</v>
      </c>
      <c r="I3658" s="22" t="s">
        <v>70</v>
      </c>
      <c r="J3658" s="22" t="s">
        <v>51</v>
      </c>
      <c r="K3658" s="24">
        <v>2</v>
      </c>
      <c r="M3658" s="21"/>
      <c r="N3658" s="22"/>
      <c r="O3658" s="22"/>
      <c r="P3658" s="49"/>
      <c r="Q3658" s="49"/>
      <c r="R3658" s="188" t="str">
        <f t="shared" si="119"/>
        <v/>
      </c>
      <c r="T3658" s="21"/>
      <c r="U3658" s="22"/>
      <c r="V3658" s="24"/>
      <c r="W3658" s="24"/>
      <c r="X3658" s="24"/>
      <c r="Y3658" s="24"/>
      <c r="Z3658" s="20" t="str">
        <f t="shared" si="118"/>
        <v/>
      </c>
    </row>
    <row r="3659" spans="1:26" x14ac:dyDescent="0.2">
      <c r="A3659" s="21"/>
      <c r="B3659" s="20"/>
      <c r="C3659" s="22"/>
      <c r="D3659" s="22"/>
      <c r="E3659" s="24"/>
      <c r="F3659" s="22"/>
      <c r="H3659" s="21">
        <v>46130</v>
      </c>
      <c r="I3659" s="22" t="s">
        <v>70</v>
      </c>
      <c r="J3659" s="22" t="s">
        <v>46</v>
      </c>
      <c r="K3659" s="24">
        <v>2</v>
      </c>
      <c r="M3659" s="21"/>
      <c r="N3659" s="22"/>
      <c r="O3659" s="22"/>
      <c r="P3659" s="49"/>
      <c r="Q3659" s="49"/>
      <c r="R3659" s="188" t="str">
        <f t="shared" si="119"/>
        <v/>
      </c>
      <c r="T3659" s="21"/>
      <c r="U3659" s="22"/>
      <c r="V3659" s="24"/>
      <c r="W3659" s="24"/>
      <c r="X3659" s="24"/>
      <c r="Y3659" s="24"/>
      <c r="Z3659" s="20" t="str">
        <f t="shared" si="118"/>
        <v/>
      </c>
    </row>
    <row r="3660" spans="1:26" x14ac:dyDescent="0.2">
      <c r="A3660" s="21"/>
      <c r="B3660" s="20"/>
      <c r="C3660" s="22"/>
      <c r="D3660" s="22"/>
      <c r="E3660" s="24"/>
      <c r="F3660" s="22"/>
      <c r="H3660" s="21">
        <v>46130</v>
      </c>
      <c r="I3660" s="22" t="s">
        <v>70</v>
      </c>
      <c r="J3660" s="22" t="s">
        <v>48</v>
      </c>
      <c r="K3660" s="24">
        <v>2</v>
      </c>
      <c r="M3660" s="21"/>
      <c r="N3660" s="22"/>
      <c r="O3660" s="22"/>
      <c r="P3660" s="49"/>
      <c r="Q3660" s="49"/>
      <c r="R3660" s="188" t="str">
        <f t="shared" si="119"/>
        <v/>
      </c>
      <c r="T3660" s="21"/>
      <c r="U3660" s="22"/>
      <c r="V3660" s="24"/>
      <c r="W3660" s="24"/>
      <c r="X3660" s="24"/>
      <c r="Y3660" s="24"/>
      <c r="Z3660" s="20" t="str">
        <f t="shared" si="118"/>
        <v/>
      </c>
    </row>
    <row r="3661" spans="1:26" x14ac:dyDescent="0.2">
      <c r="A3661" s="21"/>
      <c r="B3661" s="20"/>
      <c r="C3661" s="22"/>
      <c r="D3661" s="22"/>
      <c r="E3661" s="24"/>
      <c r="F3661" s="22"/>
      <c r="H3661" s="21">
        <v>46130</v>
      </c>
      <c r="I3661" s="21" t="s">
        <v>70</v>
      </c>
      <c r="J3661" s="22" t="s">
        <v>55</v>
      </c>
      <c r="K3661" s="24">
        <v>2</v>
      </c>
      <c r="M3661" s="21"/>
      <c r="N3661" s="22"/>
      <c r="O3661" s="22"/>
      <c r="P3661" s="49"/>
      <c r="Q3661" s="49"/>
      <c r="R3661" s="188" t="str">
        <f t="shared" si="119"/>
        <v/>
      </c>
      <c r="T3661" s="21"/>
      <c r="U3661" s="22"/>
      <c r="V3661" s="24"/>
      <c r="W3661" s="24"/>
      <c r="X3661" s="24"/>
      <c r="Y3661" s="24"/>
      <c r="Z3661" s="20" t="str">
        <f t="shared" si="118"/>
        <v/>
      </c>
    </row>
    <row r="3662" spans="1:26" x14ac:dyDescent="0.2">
      <c r="A3662" s="21"/>
      <c r="B3662" s="20"/>
      <c r="C3662" s="22"/>
      <c r="D3662" s="22"/>
      <c r="E3662" s="24"/>
      <c r="F3662" s="22"/>
      <c r="H3662" s="21">
        <v>46130</v>
      </c>
      <c r="I3662" s="22" t="s">
        <v>71</v>
      </c>
      <c r="J3662" s="22" t="s">
        <v>41</v>
      </c>
      <c r="K3662" s="24">
        <v>7</v>
      </c>
      <c r="M3662" s="21"/>
      <c r="N3662" s="22"/>
      <c r="O3662" s="22"/>
      <c r="P3662" s="49"/>
      <c r="Q3662" s="49"/>
      <c r="R3662" s="188" t="str">
        <f t="shared" si="119"/>
        <v/>
      </c>
      <c r="T3662" s="21"/>
      <c r="U3662" s="22"/>
      <c r="V3662" s="24"/>
      <c r="W3662" s="24"/>
      <c r="X3662" s="24"/>
      <c r="Y3662" s="24"/>
      <c r="Z3662" s="20" t="str">
        <f t="shared" si="118"/>
        <v/>
      </c>
    </row>
    <row r="3663" spans="1:26" x14ac:dyDescent="0.2">
      <c r="A3663" s="21"/>
      <c r="B3663" s="20"/>
      <c r="C3663" s="22"/>
      <c r="D3663" s="22"/>
      <c r="E3663" s="24"/>
      <c r="F3663" s="22"/>
      <c r="H3663" s="21">
        <v>46130</v>
      </c>
      <c r="I3663" s="22" t="s">
        <v>71</v>
      </c>
      <c r="J3663" s="22" t="s">
        <v>42</v>
      </c>
      <c r="K3663" s="24" t="s">
        <v>63</v>
      </c>
      <c r="M3663" s="21"/>
      <c r="N3663" s="22"/>
      <c r="O3663" s="22"/>
      <c r="P3663" s="49"/>
      <c r="Q3663" s="49"/>
      <c r="R3663" s="188" t="str">
        <f t="shared" si="119"/>
        <v/>
      </c>
      <c r="T3663" s="21"/>
      <c r="U3663" s="22"/>
      <c r="V3663" s="24"/>
      <c r="W3663" s="24"/>
      <c r="X3663" s="24"/>
      <c r="Y3663" s="24"/>
      <c r="Z3663" s="20" t="str">
        <f t="shared" si="118"/>
        <v/>
      </c>
    </row>
    <row r="3664" spans="1:26" x14ac:dyDescent="0.2">
      <c r="A3664" s="21"/>
      <c r="B3664" s="20"/>
      <c r="C3664" s="22"/>
      <c r="D3664" s="22"/>
      <c r="E3664" s="24"/>
      <c r="F3664" s="22"/>
      <c r="H3664" s="21">
        <v>46130</v>
      </c>
      <c r="I3664" s="22" t="s">
        <v>71</v>
      </c>
      <c r="J3664" s="22" t="s">
        <v>44</v>
      </c>
      <c r="K3664" s="24">
        <v>9</v>
      </c>
      <c r="M3664" s="21"/>
      <c r="N3664" s="22"/>
      <c r="O3664" s="22"/>
      <c r="P3664" s="49"/>
      <c r="Q3664" s="49"/>
      <c r="R3664" s="188" t="str">
        <f t="shared" si="119"/>
        <v/>
      </c>
      <c r="T3664" s="21"/>
      <c r="U3664" s="22"/>
      <c r="V3664" s="24"/>
      <c r="W3664" s="24"/>
      <c r="X3664" s="24"/>
      <c r="Y3664" s="24"/>
      <c r="Z3664" s="20" t="str">
        <f t="shared" si="118"/>
        <v/>
      </c>
    </row>
    <row r="3665" spans="1:26" x14ac:dyDescent="0.2">
      <c r="A3665" s="21"/>
      <c r="B3665" s="20"/>
      <c r="C3665" s="22"/>
      <c r="D3665" s="22"/>
      <c r="E3665" s="24"/>
      <c r="F3665" s="22"/>
      <c r="H3665" s="21">
        <v>46130</v>
      </c>
      <c r="I3665" s="22" t="s">
        <v>71</v>
      </c>
      <c r="J3665" s="22" t="s">
        <v>45</v>
      </c>
      <c r="K3665" s="24">
        <v>6</v>
      </c>
      <c r="M3665" s="21"/>
      <c r="N3665" s="22"/>
      <c r="O3665" s="22"/>
      <c r="P3665" s="49"/>
      <c r="Q3665" s="49"/>
      <c r="R3665" s="188" t="str">
        <f t="shared" si="119"/>
        <v/>
      </c>
      <c r="T3665" s="21"/>
      <c r="U3665" s="22"/>
      <c r="V3665" s="24"/>
      <c r="W3665" s="24"/>
      <c r="X3665" s="24"/>
      <c r="Y3665" s="24"/>
      <c r="Z3665" s="20" t="str">
        <f t="shared" si="118"/>
        <v/>
      </c>
    </row>
    <row r="3666" spans="1:26" x14ac:dyDescent="0.2">
      <c r="A3666" s="21"/>
      <c r="B3666" s="20"/>
      <c r="C3666" s="22"/>
      <c r="D3666" s="22"/>
      <c r="E3666" s="24"/>
      <c r="F3666" s="22"/>
      <c r="H3666" s="21">
        <v>46130</v>
      </c>
      <c r="I3666" s="22" t="s">
        <v>71</v>
      </c>
      <c r="J3666" s="22" t="s">
        <v>46</v>
      </c>
      <c r="K3666" s="24">
        <v>8</v>
      </c>
      <c r="M3666" s="21"/>
      <c r="N3666" s="22"/>
      <c r="O3666" s="22"/>
      <c r="P3666" s="49"/>
      <c r="Q3666" s="49"/>
      <c r="R3666" s="188" t="str">
        <f t="shared" si="119"/>
        <v/>
      </c>
      <c r="T3666" s="21"/>
      <c r="U3666" s="22"/>
      <c r="V3666" s="24"/>
      <c r="W3666" s="24"/>
      <c r="X3666" s="24"/>
      <c r="Y3666" s="24"/>
      <c r="Z3666" s="20" t="str">
        <f t="shared" si="118"/>
        <v/>
      </c>
    </row>
    <row r="3667" spans="1:26" x14ac:dyDescent="0.2">
      <c r="A3667" s="21"/>
      <c r="B3667" s="20"/>
      <c r="C3667" s="22"/>
      <c r="D3667" s="22"/>
      <c r="E3667" s="24"/>
      <c r="F3667" s="22"/>
      <c r="H3667" s="21">
        <v>46130</v>
      </c>
      <c r="I3667" s="22" t="s">
        <v>71</v>
      </c>
      <c r="J3667" s="22" t="s">
        <v>47</v>
      </c>
      <c r="K3667" s="24">
        <v>7</v>
      </c>
      <c r="M3667" s="21"/>
      <c r="N3667" s="22"/>
      <c r="O3667" s="22"/>
      <c r="P3667" s="49"/>
      <c r="Q3667" s="49"/>
      <c r="R3667" s="188" t="str">
        <f t="shared" si="119"/>
        <v/>
      </c>
      <c r="T3667" s="21"/>
      <c r="U3667" s="22"/>
      <c r="V3667" s="24"/>
      <c r="W3667" s="24"/>
      <c r="X3667" s="24"/>
      <c r="Y3667" s="24"/>
      <c r="Z3667" s="20" t="str">
        <f t="shared" ref="Z3667:Z3730" si="120">IF(COUNT(V3667:Y3667)=0,"",SUM(V3667:Y3667))</f>
        <v/>
      </c>
    </row>
    <row r="3668" spans="1:26" x14ac:dyDescent="0.2">
      <c r="A3668" s="21"/>
      <c r="B3668" s="20"/>
      <c r="C3668" s="22"/>
      <c r="D3668" s="22"/>
      <c r="E3668" s="24"/>
      <c r="F3668" s="22"/>
      <c r="H3668" s="21">
        <v>46130</v>
      </c>
      <c r="I3668" s="22" t="s">
        <v>71</v>
      </c>
      <c r="J3668" s="22" t="s">
        <v>48</v>
      </c>
      <c r="K3668" s="24">
        <v>7</v>
      </c>
      <c r="M3668" s="21"/>
      <c r="N3668" s="22"/>
      <c r="O3668" s="22"/>
      <c r="P3668" s="49"/>
      <c r="Q3668" s="49"/>
      <c r="R3668" s="188" t="str">
        <f t="shared" si="119"/>
        <v/>
      </c>
      <c r="T3668" s="21"/>
      <c r="U3668" s="22"/>
      <c r="V3668" s="24"/>
      <c r="W3668" s="24"/>
      <c r="X3668" s="24"/>
      <c r="Y3668" s="24"/>
      <c r="Z3668" s="20" t="str">
        <f t="shared" si="120"/>
        <v/>
      </c>
    </row>
    <row r="3669" spans="1:26" x14ac:dyDescent="0.2">
      <c r="A3669" s="21"/>
      <c r="B3669" s="20"/>
      <c r="C3669" s="22"/>
      <c r="D3669" s="22"/>
      <c r="E3669" s="24"/>
      <c r="F3669" s="22"/>
      <c r="H3669" s="21">
        <v>46130</v>
      </c>
      <c r="I3669" s="22" t="s">
        <v>71</v>
      </c>
      <c r="J3669" s="22" t="s">
        <v>49</v>
      </c>
      <c r="K3669" s="24">
        <v>9</v>
      </c>
      <c r="M3669" s="21"/>
      <c r="N3669" s="22"/>
      <c r="O3669" s="22"/>
      <c r="P3669" s="49"/>
      <c r="Q3669" s="49"/>
      <c r="R3669" s="188" t="str">
        <f t="shared" si="119"/>
        <v/>
      </c>
      <c r="T3669" s="21"/>
      <c r="U3669" s="22"/>
      <c r="V3669" s="24"/>
      <c r="W3669" s="24"/>
      <c r="X3669" s="24"/>
      <c r="Y3669" s="24"/>
      <c r="Z3669" s="20" t="str">
        <f t="shared" si="120"/>
        <v/>
      </c>
    </row>
    <row r="3670" spans="1:26" x14ac:dyDescent="0.2">
      <c r="A3670" s="21"/>
      <c r="B3670" s="20"/>
      <c r="C3670" s="22"/>
      <c r="D3670" s="22"/>
      <c r="E3670" s="24"/>
      <c r="F3670" s="22"/>
      <c r="H3670" s="21">
        <v>46130</v>
      </c>
      <c r="I3670" s="22" t="s">
        <v>71</v>
      </c>
      <c r="J3670" s="22" t="s">
        <v>50</v>
      </c>
      <c r="K3670" s="24">
        <v>8</v>
      </c>
      <c r="M3670" s="21"/>
      <c r="N3670" s="22"/>
      <c r="O3670" s="22"/>
      <c r="P3670" s="49"/>
      <c r="Q3670" s="49"/>
      <c r="R3670" s="188" t="str">
        <f t="shared" ref="R3670:R3733" si="121">IF(OR(P3670="",Q3670=""),"",IFERROR(P3670-Q3670,""))</f>
        <v/>
      </c>
      <c r="T3670" s="21"/>
      <c r="U3670" s="22"/>
      <c r="V3670" s="24"/>
      <c r="W3670" s="24"/>
      <c r="X3670" s="24"/>
      <c r="Y3670" s="24"/>
      <c r="Z3670" s="20" t="str">
        <f t="shared" si="120"/>
        <v/>
      </c>
    </row>
    <row r="3671" spans="1:26" x14ac:dyDescent="0.2">
      <c r="A3671" s="21"/>
      <c r="B3671" s="20"/>
      <c r="C3671" s="22"/>
      <c r="D3671" s="22"/>
      <c r="E3671" s="24"/>
      <c r="F3671" s="22"/>
      <c r="H3671" s="21">
        <v>46130</v>
      </c>
      <c r="I3671" s="22" t="s">
        <v>71</v>
      </c>
      <c r="J3671" s="22" t="s">
        <v>51</v>
      </c>
      <c r="K3671" s="24">
        <v>8</v>
      </c>
      <c r="M3671" s="21"/>
      <c r="N3671" s="22"/>
      <c r="O3671" s="22"/>
      <c r="P3671" s="49"/>
      <c r="Q3671" s="49"/>
      <c r="R3671" s="188" t="str">
        <f t="shared" si="121"/>
        <v/>
      </c>
      <c r="T3671" s="21"/>
      <c r="U3671" s="22"/>
      <c r="V3671" s="24"/>
      <c r="W3671" s="24"/>
      <c r="X3671" s="24"/>
      <c r="Y3671" s="24"/>
      <c r="Z3671" s="20" t="str">
        <f t="shared" si="120"/>
        <v/>
      </c>
    </row>
    <row r="3672" spans="1:26" x14ac:dyDescent="0.2">
      <c r="A3672" s="21"/>
      <c r="B3672" s="20"/>
      <c r="C3672" s="22"/>
      <c r="D3672" s="22"/>
      <c r="E3672" s="24"/>
      <c r="F3672" s="22"/>
      <c r="H3672" s="21">
        <v>46130</v>
      </c>
      <c r="I3672" s="22" t="s">
        <v>71</v>
      </c>
      <c r="J3672" s="22" t="s">
        <v>52</v>
      </c>
      <c r="K3672" s="24">
        <v>2</v>
      </c>
      <c r="M3672" s="21"/>
      <c r="N3672" s="22"/>
      <c r="O3672" s="22"/>
      <c r="P3672" s="49"/>
      <c r="Q3672" s="49"/>
      <c r="R3672" s="188" t="str">
        <f t="shared" si="121"/>
        <v/>
      </c>
      <c r="T3672" s="21"/>
      <c r="U3672" s="22"/>
      <c r="V3672" s="24"/>
      <c r="W3672" s="24"/>
      <c r="X3672" s="24"/>
      <c r="Y3672" s="24"/>
      <c r="Z3672" s="20" t="str">
        <f t="shared" si="120"/>
        <v/>
      </c>
    </row>
    <row r="3673" spans="1:26" x14ac:dyDescent="0.2">
      <c r="A3673" s="21"/>
      <c r="B3673" s="20"/>
      <c r="C3673" s="22"/>
      <c r="D3673" s="22"/>
      <c r="E3673" s="24"/>
      <c r="F3673" s="22"/>
      <c r="H3673" s="21">
        <v>46130</v>
      </c>
      <c r="I3673" s="22" t="s">
        <v>71</v>
      </c>
      <c r="J3673" s="22" t="s">
        <v>53</v>
      </c>
      <c r="K3673" s="24">
        <v>5</v>
      </c>
      <c r="M3673" s="21"/>
      <c r="N3673" s="22"/>
      <c r="O3673" s="22"/>
      <c r="P3673" s="49"/>
      <c r="Q3673" s="49"/>
      <c r="R3673" s="188" t="str">
        <f t="shared" si="121"/>
        <v/>
      </c>
      <c r="T3673" s="21"/>
      <c r="U3673" s="22"/>
      <c r="V3673" s="24"/>
      <c r="W3673" s="24"/>
      <c r="X3673" s="24"/>
      <c r="Y3673" s="24"/>
      <c r="Z3673" s="20" t="str">
        <f t="shared" si="120"/>
        <v/>
      </c>
    </row>
    <row r="3674" spans="1:26" x14ac:dyDescent="0.2">
      <c r="A3674" s="21"/>
      <c r="B3674" s="20"/>
      <c r="C3674" s="22"/>
      <c r="D3674" s="22"/>
      <c r="E3674" s="24"/>
      <c r="F3674" s="22"/>
      <c r="H3674" s="21">
        <v>46130</v>
      </c>
      <c r="I3674" s="22" t="s">
        <v>71</v>
      </c>
      <c r="J3674" s="22" t="s">
        <v>55</v>
      </c>
      <c r="K3674" s="24" t="s">
        <v>63</v>
      </c>
      <c r="M3674" s="21"/>
      <c r="N3674" s="22"/>
      <c r="O3674" s="22"/>
      <c r="P3674" s="49"/>
      <c r="Q3674" s="49"/>
      <c r="R3674" s="188" t="str">
        <f t="shared" si="121"/>
        <v/>
      </c>
      <c r="T3674" s="21"/>
      <c r="U3674" s="22"/>
      <c r="V3674" s="24"/>
      <c r="W3674" s="24"/>
      <c r="X3674" s="24"/>
      <c r="Y3674" s="24"/>
      <c r="Z3674" s="20" t="str">
        <f t="shared" si="120"/>
        <v/>
      </c>
    </row>
    <row r="3675" spans="1:26" x14ac:dyDescent="0.2">
      <c r="A3675" s="21"/>
      <c r="B3675" s="20"/>
      <c r="C3675" s="22"/>
      <c r="D3675" s="22"/>
      <c r="E3675" s="24"/>
      <c r="F3675" s="22"/>
      <c r="H3675" s="21">
        <v>46132</v>
      </c>
      <c r="I3675" s="22" t="s">
        <v>70</v>
      </c>
      <c r="J3675" s="22" t="s">
        <v>41</v>
      </c>
      <c r="K3675" s="24">
        <v>4</v>
      </c>
      <c r="M3675" s="21"/>
      <c r="N3675" s="22"/>
      <c r="O3675" s="22"/>
      <c r="P3675" s="49"/>
      <c r="Q3675" s="49"/>
      <c r="R3675" s="188" t="str">
        <f t="shared" si="121"/>
        <v/>
      </c>
      <c r="T3675" s="21"/>
      <c r="U3675" s="22"/>
      <c r="V3675" s="24"/>
      <c r="W3675" s="24"/>
      <c r="X3675" s="24"/>
      <c r="Y3675" s="24"/>
      <c r="Z3675" s="20" t="str">
        <f t="shared" si="120"/>
        <v/>
      </c>
    </row>
    <row r="3676" spans="1:26" x14ac:dyDescent="0.2">
      <c r="A3676" s="21"/>
      <c r="B3676" s="20"/>
      <c r="C3676" s="22"/>
      <c r="D3676" s="22"/>
      <c r="E3676" s="24"/>
      <c r="F3676" s="22"/>
      <c r="H3676" s="21">
        <v>46132</v>
      </c>
      <c r="I3676" s="22" t="s">
        <v>70</v>
      </c>
      <c r="J3676" s="22" t="s">
        <v>42</v>
      </c>
      <c r="K3676" s="24">
        <v>3</v>
      </c>
      <c r="M3676" s="21"/>
      <c r="N3676" s="22"/>
      <c r="O3676" s="22"/>
      <c r="P3676" s="49"/>
      <c r="Q3676" s="49"/>
      <c r="R3676" s="188" t="str">
        <f t="shared" si="121"/>
        <v/>
      </c>
      <c r="T3676" s="21"/>
      <c r="U3676" s="22"/>
      <c r="V3676" s="24"/>
      <c r="W3676" s="24"/>
      <c r="X3676" s="24"/>
      <c r="Y3676" s="24"/>
      <c r="Z3676" s="20" t="str">
        <f t="shared" si="120"/>
        <v/>
      </c>
    </row>
    <row r="3677" spans="1:26" x14ac:dyDescent="0.2">
      <c r="A3677" s="21"/>
      <c r="B3677" s="20"/>
      <c r="C3677" s="22"/>
      <c r="D3677" s="22"/>
      <c r="E3677" s="24"/>
      <c r="F3677" s="22"/>
      <c r="H3677" s="21">
        <v>46132</v>
      </c>
      <c r="I3677" s="22" t="s">
        <v>70</v>
      </c>
      <c r="J3677" s="22" t="s">
        <v>44</v>
      </c>
      <c r="K3677" s="24">
        <v>7</v>
      </c>
      <c r="M3677" s="21"/>
      <c r="N3677" s="22"/>
      <c r="O3677" s="22"/>
      <c r="P3677" s="49"/>
      <c r="Q3677" s="49"/>
      <c r="R3677" s="188" t="str">
        <f t="shared" si="121"/>
        <v/>
      </c>
      <c r="T3677" s="21"/>
      <c r="U3677" s="22"/>
      <c r="V3677" s="24"/>
      <c r="W3677" s="24"/>
      <c r="X3677" s="24"/>
      <c r="Y3677" s="24"/>
      <c r="Z3677" s="20" t="str">
        <f t="shared" si="120"/>
        <v/>
      </c>
    </row>
    <row r="3678" spans="1:26" x14ac:dyDescent="0.2">
      <c r="A3678" s="21"/>
      <c r="B3678" s="20"/>
      <c r="C3678" s="22"/>
      <c r="D3678" s="22"/>
      <c r="E3678" s="24"/>
      <c r="F3678" s="22"/>
      <c r="H3678" s="21">
        <v>46132</v>
      </c>
      <c r="I3678" s="22" t="s">
        <v>70</v>
      </c>
      <c r="J3678" s="22" t="s">
        <v>45</v>
      </c>
      <c r="K3678" s="24">
        <v>6</v>
      </c>
      <c r="M3678" s="21"/>
      <c r="N3678" s="22"/>
      <c r="O3678" s="22"/>
      <c r="P3678" s="49"/>
      <c r="Q3678" s="49"/>
      <c r="R3678" s="188" t="str">
        <f t="shared" si="121"/>
        <v/>
      </c>
      <c r="T3678" s="21"/>
      <c r="U3678" s="22"/>
      <c r="V3678" s="24"/>
      <c r="W3678" s="24"/>
      <c r="X3678" s="24"/>
      <c r="Y3678" s="24"/>
      <c r="Z3678" s="20" t="str">
        <f t="shared" si="120"/>
        <v/>
      </c>
    </row>
    <row r="3679" spans="1:26" x14ac:dyDescent="0.2">
      <c r="A3679" s="21"/>
      <c r="B3679" s="20"/>
      <c r="C3679" s="22"/>
      <c r="D3679" s="22"/>
      <c r="E3679" s="24"/>
      <c r="F3679" s="22"/>
      <c r="H3679" s="21">
        <v>46132</v>
      </c>
      <c r="I3679" s="22" t="s">
        <v>70</v>
      </c>
      <c r="J3679" s="22" t="s">
        <v>46</v>
      </c>
      <c r="K3679" s="24">
        <v>8</v>
      </c>
      <c r="M3679" s="21"/>
      <c r="N3679" s="22"/>
      <c r="O3679" s="22"/>
      <c r="P3679" s="49"/>
      <c r="Q3679" s="49"/>
      <c r="R3679" s="188" t="str">
        <f t="shared" si="121"/>
        <v/>
      </c>
      <c r="T3679" s="21"/>
      <c r="U3679" s="22"/>
      <c r="V3679" s="24"/>
      <c r="W3679" s="24"/>
      <c r="X3679" s="24"/>
      <c r="Y3679" s="24"/>
      <c r="Z3679" s="20" t="str">
        <f t="shared" si="120"/>
        <v/>
      </c>
    </row>
    <row r="3680" spans="1:26" x14ac:dyDescent="0.2">
      <c r="A3680" s="21"/>
      <c r="B3680" s="20"/>
      <c r="C3680" s="22"/>
      <c r="D3680" s="22"/>
      <c r="E3680" s="24"/>
      <c r="F3680" s="22"/>
      <c r="H3680" s="21">
        <v>46132</v>
      </c>
      <c r="I3680" s="22" t="s">
        <v>70</v>
      </c>
      <c r="J3680" s="22" t="s">
        <v>47</v>
      </c>
      <c r="K3680" s="24">
        <v>7</v>
      </c>
      <c r="M3680" s="21"/>
      <c r="N3680" s="22"/>
      <c r="O3680" s="22"/>
      <c r="P3680" s="49"/>
      <c r="Q3680" s="49"/>
      <c r="R3680" s="188" t="str">
        <f t="shared" si="121"/>
        <v/>
      </c>
      <c r="T3680" s="21"/>
      <c r="U3680" s="22"/>
      <c r="V3680" s="24"/>
      <c r="W3680" s="24"/>
      <c r="X3680" s="24"/>
      <c r="Y3680" s="24"/>
      <c r="Z3680" s="20" t="str">
        <f t="shared" si="120"/>
        <v/>
      </c>
    </row>
    <row r="3681" spans="1:26" x14ac:dyDescent="0.2">
      <c r="A3681" s="21"/>
      <c r="B3681" s="20"/>
      <c r="C3681" s="22"/>
      <c r="D3681" s="22"/>
      <c r="E3681" s="24"/>
      <c r="F3681" s="22"/>
      <c r="H3681" s="21">
        <v>46132</v>
      </c>
      <c r="I3681" s="22" t="s">
        <v>70</v>
      </c>
      <c r="J3681" s="22" t="s">
        <v>48</v>
      </c>
      <c r="K3681" s="24">
        <v>6</v>
      </c>
      <c r="M3681" s="21"/>
      <c r="N3681" s="22"/>
      <c r="O3681" s="22"/>
      <c r="P3681" s="49"/>
      <c r="Q3681" s="49"/>
      <c r="R3681" s="188" t="str">
        <f t="shared" si="121"/>
        <v/>
      </c>
      <c r="T3681" s="21"/>
      <c r="U3681" s="22"/>
      <c r="V3681" s="24"/>
      <c r="W3681" s="24"/>
      <c r="X3681" s="24"/>
      <c r="Y3681" s="24"/>
      <c r="Z3681" s="20" t="str">
        <f t="shared" si="120"/>
        <v/>
      </c>
    </row>
    <row r="3682" spans="1:26" x14ac:dyDescent="0.2">
      <c r="A3682" s="21"/>
      <c r="B3682" s="20"/>
      <c r="C3682" s="22"/>
      <c r="D3682" s="22"/>
      <c r="E3682" s="24"/>
      <c r="F3682" s="22"/>
      <c r="H3682" s="21">
        <v>46132</v>
      </c>
      <c r="I3682" s="22" t="s">
        <v>70</v>
      </c>
      <c r="J3682" s="22" t="s">
        <v>49</v>
      </c>
      <c r="K3682" s="24">
        <v>7</v>
      </c>
      <c r="M3682" s="21"/>
      <c r="N3682" s="22"/>
      <c r="O3682" s="22"/>
      <c r="P3682" s="49"/>
      <c r="Q3682" s="49"/>
      <c r="R3682" s="188" t="str">
        <f t="shared" si="121"/>
        <v/>
      </c>
      <c r="T3682" s="21"/>
      <c r="U3682" s="22"/>
      <c r="V3682" s="24"/>
      <c r="W3682" s="24"/>
      <c r="X3682" s="24"/>
      <c r="Y3682" s="24"/>
      <c r="Z3682" s="20" t="str">
        <f t="shared" si="120"/>
        <v/>
      </c>
    </row>
    <row r="3683" spans="1:26" x14ac:dyDescent="0.2">
      <c r="A3683" s="21"/>
      <c r="B3683" s="20"/>
      <c r="C3683" s="22"/>
      <c r="D3683" s="22"/>
      <c r="E3683" s="24"/>
      <c r="F3683" s="22"/>
      <c r="H3683" s="21">
        <v>46132</v>
      </c>
      <c r="I3683" s="22" t="s">
        <v>70</v>
      </c>
      <c r="J3683" s="22" t="s">
        <v>50</v>
      </c>
      <c r="K3683" s="24">
        <v>7</v>
      </c>
      <c r="M3683" s="21"/>
      <c r="N3683" s="22"/>
      <c r="O3683" s="22"/>
      <c r="P3683" s="49"/>
      <c r="Q3683" s="49"/>
      <c r="R3683" s="188" t="str">
        <f t="shared" si="121"/>
        <v/>
      </c>
      <c r="T3683" s="21"/>
      <c r="U3683" s="22"/>
      <c r="V3683" s="24"/>
      <c r="W3683" s="24"/>
      <c r="X3683" s="24"/>
      <c r="Y3683" s="24"/>
      <c r="Z3683" s="20" t="str">
        <f t="shared" si="120"/>
        <v/>
      </c>
    </row>
    <row r="3684" spans="1:26" x14ac:dyDescent="0.2">
      <c r="A3684" s="21"/>
      <c r="B3684" s="20"/>
      <c r="C3684" s="22"/>
      <c r="D3684" s="22"/>
      <c r="E3684" s="24"/>
      <c r="F3684" s="22"/>
      <c r="H3684" s="21">
        <v>46132</v>
      </c>
      <c r="I3684" s="22" t="s">
        <v>70</v>
      </c>
      <c r="J3684" s="22" t="s">
        <v>51</v>
      </c>
      <c r="K3684" s="24">
        <v>7</v>
      </c>
      <c r="M3684" s="21"/>
      <c r="N3684" s="22"/>
      <c r="O3684" s="22"/>
      <c r="P3684" s="49"/>
      <c r="Q3684" s="49"/>
      <c r="R3684" s="188" t="str">
        <f t="shared" si="121"/>
        <v/>
      </c>
      <c r="T3684" s="21"/>
      <c r="U3684" s="22"/>
      <c r="V3684" s="24"/>
      <c r="W3684" s="24"/>
      <c r="X3684" s="24"/>
      <c r="Y3684" s="24"/>
      <c r="Z3684" s="20" t="str">
        <f t="shared" si="120"/>
        <v/>
      </c>
    </row>
    <row r="3685" spans="1:26" x14ac:dyDescent="0.2">
      <c r="A3685" s="21"/>
      <c r="B3685" s="20"/>
      <c r="C3685" s="22"/>
      <c r="D3685" s="22"/>
      <c r="E3685" s="24"/>
      <c r="F3685" s="22"/>
      <c r="H3685" s="21">
        <v>46132</v>
      </c>
      <c r="I3685" s="22" t="s">
        <v>70</v>
      </c>
      <c r="J3685" s="22" t="s">
        <v>52</v>
      </c>
      <c r="K3685" s="24">
        <v>6</v>
      </c>
      <c r="M3685" s="21"/>
      <c r="N3685" s="22"/>
      <c r="O3685" s="22"/>
      <c r="P3685" s="49"/>
      <c r="Q3685" s="49"/>
      <c r="R3685" s="188" t="str">
        <f t="shared" si="121"/>
        <v/>
      </c>
      <c r="T3685" s="21"/>
      <c r="U3685" s="22"/>
      <c r="V3685" s="24"/>
      <c r="W3685" s="24"/>
      <c r="X3685" s="24"/>
      <c r="Y3685" s="24"/>
      <c r="Z3685" s="20" t="str">
        <f t="shared" si="120"/>
        <v/>
      </c>
    </row>
    <row r="3686" spans="1:26" x14ac:dyDescent="0.2">
      <c r="A3686" s="21"/>
      <c r="B3686" s="20"/>
      <c r="C3686" s="22"/>
      <c r="D3686" s="22"/>
      <c r="E3686" s="24"/>
      <c r="F3686" s="22"/>
      <c r="H3686" s="21">
        <v>46132</v>
      </c>
      <c r="I3686" s="22" t="s">
        <v>70</v>
      </c>
      <c r="J3686" s="22" t="s">
        <v>53</v>
      </c>
      <c r="K3686" s="24">
        <v>6</v>
      </c>
      <c r="M3686" s="21"/>
      <c r="N3686" s="22"/>
      <c r="O3686" s="22"/>
      <c r="P3686" s="49"/>
      <c r="Q3686" s="49"/>
      <c r="R3686" s="188" t="str">
        <f t="shared" si="121"/>
        <v/>
      </c>
      <c r="T3686" s="21"/>
      <c r="U3686" s="22"/>
      <c r="V3686" s="24"/>
      <c r="W3686" s="24"/>
      <c r="X3686" s="24"/>
      <c r="Y3686" s="24"/>
      <c r="Z3686" s="20" t="str">
        <f t="shared" si="120"/>
        <v/>
      </c>
    </row>
    <row r="3687" spans="1:26" x14ac:dyDescent="0.2">
      <c r="A3687" s="21"/>
      <c r="B3687" s="20"/>
      <c r="C3687" s="22"/>
      <c r="D3687" s="22"/>
      <c r="E3687" s="24"/>
      <c r="F3687" s="22"/>
      <c r="H3687" s="21">
        <v>46132</v>
      </c>
      <c r="I3687" s="22" t="s">
        <v>70</v>
      </c>
      <c r="J3687" s="22" t="s">
        <v>55</v>
      </c>
      <c r="K3687" s="24">
        <v>7</v>
      </c>
      <c r="M3687" s="21"/>
      <c r="N3687" s="22"/>
      <c r="O3687" s="22"/>
      <c r="P3687" s="49"/>
      <c r="Q3687" s="49"/>
      <c r="R3687" s="188" t="str">
        <f t="shared" si="121"/>
        <v/>
      </c>
      <c r="T3687" s="21"/>
      <c r="U3687" s="22"/>
      <c r="V3687" s="24"/>
      <c r="W3687" s="24"/>
      <c r="X3687" s="24"/>
      <c r="Y3687" s="24"/>
      <c r="Z3687" s="20" t="str">
        <f t="shared" si="120"/>
        <v/>
      </c>
    </row>
    <row r="3688" spans="1:26" x14ac:dyDescent="0.2">
      <c r="A3688" s="21"/>
      <c r="B3688" s="20"/>
      <c r="C3688" s="22"/>
      <c r="D3688" s="22"/>
      <c r="E3688" s="24"/>
      <c r="F3688" s="22"/>
      <c r="H3688" s="21">
        <v>46132</v>
      </c>
      <c r="I3688" s="22" t="s">
        <v>70</v>
      </c>
      <c r="J3688" s="22" t="s">
        <v>56</v>
      </c>
      <c r="K3688" s="24">
        <v>9</v>
      </c>
      <c r="M3688" s="21"/>
      <c r="N3688" s="22"/>
      <c r="O3688" s="22"/>
      <c r="P3688" s="49"/>
      <c r="Q3688" s="49"/>
      <c r="R3688" s="188" t="str">
        <f t="shared" si="121"/>
        <v/>
      </c>
      <c r="T3688" s="21"/>
      <c r="U3688" s="22"/>
      <c r="V3688" s="24"/>
      <c r="W3688" s="24"/>
      <c r="X3688" s="24"/>
      <c r="Y3688" s="24"/>
      <c r="Z3688" s="20" t="str">
        <f t="shared" si="120"/>
        <v/>
      </c>
    </row>
    <row r="3689" spans="1:26" x14ac:dyDescent="0.2">
      <c r="A3689" s="21"/>
      <c r="B3689" s="20"/>
      <c r="C3689" s="22"/>
      <c r="D3689" s="22"/>
      <c r="E3689" s="24"/>
      <c r="F3689" s="22"/>
      <c r="H3689" s="21">
        <v>46132</v>
      </c>
      <c r="I3689" s="22" t="s">
        <v>70</v>
      </c>
      <c r="J3689" s="22" t="s">
        <v>57</v>
      </c>
      <c r="K3689" s="24">
        <v>9</v>
      </c>
      <c r="M3689" s="21"/>
      <c r="N3689" s="22"/>
      <c r="O3689" s="22"/>
      <c r="P3689" s="49"/>
      <c r="Q3689" s="49"/>
      <c r="R3689" s="188" t="str">
        <f t="shared" si="121"/>
        <v/>
      </c>
      <c r="T3689" s="21"/>
      <c r="U3689" s="22"/>
      <c r="V3689" s="24"/>
      <c r="W3689" s="24"/>
      <c r="X3689" s="24"/>
      <c r="Y3689" s="24"/>
      <c r="Z3689" s="20" t="str">
        <f t="shared" si="120"/>
        <v/>
      </c>
    </row>
    <row r="3690" spans="1:26" x14ac:dyDescent="0.2">
      <c r="A3690" s="21"/>
      <c r="B3690" s="20"/>
      <c r="C3690" s="22"/>
      <c r="D3690" s="22"/>
      <c r="E3690" s="24"/>
      <c r="F3690" s="22"/>
      <c r="H3690" s="21">
        <v>46133</v>
      </c>
      <c r="I3690" s="22" t="s">
        <v>70</v>
      </c>
      <c r="J3690" s="22" t="s">
        <v>41</v>
      </c>
      <c r="K3690" s="24">
        <v>4</v>
      </c>
      <c r="M3690" s="21"/>
      <c r="N3690" s="22"/>
      <c r="O3690" s="22"/>
      <c r="P3690" s="49"/>
      <c r="Q3690" s="49"/>
      <c r="R3690" s="188" t="str">
        <f t="shared" si="121"/>
        <v/>
      </c>
      <c r="T3690" s="21"/>
      <c r="U3690" s="22"/>
      <c r="V3690" s="24"/>
      <c r="W3690" s="24"/>
      <c r="X3690" s="24"/>
      <c r="Y3690" s="24"/>
      <c r="Z3690" s="20" t="str">
        <f t="shared" si="120"/>
        <v/>
      </c>
    </row>
    <row r="3691" spans="1:26" x14ac:dyDescent="0.2">
      <c r="A3691" s="21"/>
      <c r="B3691" s="20"/>
      <c r="C3691" s="22"/>
      <c r="D3691" s="22"/>
      <c r="E3691" s="24"/>
      <c r="F3691" s="22"/>
      <c r="H3691" s="21">
        <v>46133</v>
      </c>
      <c r="I3691" s="22" t="s">
        <v>70</v>
      </c>
      <c r="J3691" s="22" t="s">
        <v>42</v>
      </c>
      <c r="K3691" s="24">
        <v>3</v>
      </c>
      <c r="M3691" s="21"/>
      <c r="N3691" s="22"/>
      <c r="O3691" s="22"/>
      <c r="P3691" s="49"/>
      <c r="Q3691" s="49"/>
      <c r="R3691" s="188" t="str">
        <f t="shared" si="121"/>
        <v/>
      </c>
      <c r="T3691" s="21"/>
      <c r="U3691" s="22"/>
      <c r="V3691" s="24"/>
      <c r="W3691" s="24"/>
      <c r="X3691" s="24"/>
      <c r="Y3691" s="24"/>
      <c r="Z3691" s="20" t="str">
        <f t="shared" si="120"/>
        <v/>
      </c>
    </row>
    <row r="3692" spans="1:26" x14ac:dyDescent="0.2">
      <c r="A3692" s="21"/>
      <c r="B3692" s="20"/>
      <c r="C3692" s="22"/>
      <c r="D3692" s="22"/>
      <c r="E3692" s="24"/>
      <c r="F3692" s="22"/>
      <c r="H3692" s="21">
        <v>46133</v>
      </c>
      <c r="I3692" s="22" t="s">
        <v>70</v>
      </c>
      <c r="J3692" s="22" t="s">
        <v>44</v>
      </c>
      <c r="K3692" s="24">
        <v>3</v>
      </c>
      <c r="M3692" s="21"/>
      <c r="N3692" s="22"/>
      <c r="O3692" s="22"/>
      <c r="P3692" s="49"/>
      <c r="Q3692" s="49"/>
      <c r="R3692" s="188" t="str">
        <f t="shared" si="121"/>
        <v/>
      </c>
      <c r="T3692" s="21"/>
      <c r="U3692" s="22"/>
      <c r="V3692" s="24"/>
      <c r="W3692" s="24"/>
      <c r="X3692" s="24"/>
      <c r="Y3692" s="24"/>
      <c r="Z3692" s="20" t="str">
        <f t="shared" si="120"/>
        <v/>
      </c>
    </row>
    <row r="3693" spans="1:26" x14ac:dyDescent="0.2">
      <c r="A3693" s="21"/>
      <c r="B3693" s="20"/>
      <c r="C3693" s="22"/>
      <c r="D3693" s="22"/>
      <c r="E3693" s="24"/>
      <c r="F3693" s="22"/>
      <c r="H3693" s="21">
        <v>46133</v>
      </c>
      <c r="I3693" s="22" t="s">
        <v>70</v>
      </c>
      <c r="J3693" s="22" t="s">
        <v>45</v>
      </c>
      <c r="K3693" s="24">
        <v>5</v>
      </c>
      <c r="M3693" s="21"/>
      <c r="N3693" s="22"/>
      <c r="O3693" s="22"/>
      <c r="P3693" s="49"/>
      <c r="Q3693" s="49"/>
      <c r="R3693" s="188" t="str">
        <f t="shared" si="121"/>
        <v/>
      </c>
      <c r="T3693" s="21"/>
      <c r="U3693" s="22"/>
      <c r="V3693" s="24"/>
      <c r="W3693" s="24"/>
      <c r="X3693" s="24"/>
      <c r="Y3693" s="24"/>
      <c r="Z3693" s="20" t="str">
        <f t="shared" si="120"/>
        <v/>
      </c>
    </row>
    <row r="3694" spans="1:26" x14ac:dyDescent="0.2">
      <c r="A3694" s="21"/>
      <c r="B3694" s="20"/>
      <c r="C3694" s="22"/>
      <c r="D3694" s="22"/>
      <c r="E3694" s="24"/>
      <c r="F3694" s="22"/>
      <c r="H3694" s="21">
        <v>46133</v>
      </c>
      <c r="I3694" s="22" t="s">
        <v>70</v>
      </c>
      <c r="J3694" s="22" t="s">
        <v>46</v>
      </c>
      <c r="K3694" s="24">
        <v>6</v>
      </c>
      <c r="M3694" s="21"/>
      <c r="N3694" s="22"/>
      <c r="O3694" s="22"/>
      <c r="P3694" s="49"/>
      <c r="Q3694" s="49"/>
      <c r="R3694" s="188" t="str">
        <f t="shared" si="121"/>
        <v/>
      </c>
      <c r="T3694" s="21"/>
      <c r="U3694" s="22"/>
      <c r="V3694" s="24"/>
      <c r="W3694" s="24"/>
      <c r="X3694" s="24"/>
      <c r="Y3694" s="24"/>
      <c r="Z3694" s="20" t="str">
        <f t="shared" si="120"/>
        <v/>
      </c>
    </row>
    <row r="3695" spans="1:26" x14ac:dyDescent="0.2">
      <c r="A3695" s="21"/>
      <c r="B3695" s="20"/>
      <c r="C3695" s="22"/>
      <c r="D3695" s="22"/>
      <c r="E3695" s="24"/>
      <c r="F3695" s="22"/>
      <c r="H3695" s="21">
        <v>46133</v>
      </c>
      <c r="I3695" s="22" t="s">
        <v>70</v>
      </c>
      <c r="J3695" s="22" t="s">
        <v>47</v>
      </c>
      <c r="K3695" s="24">
        <v>6</v>
      </c>
      <c r="M3695" s="21"/>
      <c r="N3695" s="22"/>
      <c r="O3695" s="22"/>
      <c r="P3695" s="49"/>
      <c r="Q3695" s="49"/>
      <c r="R3695" s="188" t="str">
        <f t="shared" si="121"/>
        <v/>
      </c>
      <c r="T3695" s="21"/>
      <c r="U3695" s="22"/>
      <c r="V3695" s="24"/>
      <c r="W3695" s="24"/>
      <c r="X3695" s="24"/>
      <c r="Y3695" s="24"/>
      <c r="Z3695" s="20" t="str">
        <f t="shared" si="120"/>
        <v/>
      </c>
    </row>
    <row r="3696" spans="1:26" x14ac:dyDescent="0.2">
      <c r="A3696" s="21"/>
      <c r="B3696" s="20"/>
      <c r="C3696" s="22"/>
      <c r="D3696" s="22"/>
      <c r="E3696" s="24"/>
      <c r="F3696" s="22"/>
      <c r="H3696" s="21">
        <v>46133</v>
      </c>
      <c r="I3696" s="22" t="s">
        <v>70</v>
      </c>
      <c r="J3696" s="22" t="s">
        <v>48</v>
      </c>
      <c r="K3696" s="24">
        <v>6</v>
      </c>
      <c r="M3696" s="21"/>
      <c r="N3696" s="22"/>
      <c r="O3696" s="22"/>
      <c r="P3696" s="49"/>
      <c r="Q3696" s="49"/>
      <c r="R3696" s="188" t="str">
        <f t="shared" si="121"/>
        <v/>
      </c>
      <c r="T3696" s="21"/>
      <c r="U3696" s="22"/>
      <c r="V3696" s="24"/>
      <c r="W3696" s="24"/>
      <c r="X3696" s="24"/>
      <c r="Y3696" s="24"/>
      <c r="Z3696" s="20" t="str">
        <f t="shared" si="120"/>
        <v/>
      </c>
    </row>
    <row r="3697" spans="1:26" x14ac:dyDescent="0.2">
      <c r="A3697" s="21"/>
      <c r="B3697" s="20"/>
      <c r="C3697" s="22"/>
      <c r="D3697" s="22"/>
      <c r="E3697" s="24"/>
      <c r="F3697" s="22"/>
      <c r="H3697" s="21">
        <v>46133</v>
      </c>
      <c r="I3697" s="22" t="s">
        <v>70</v>
      </c>
      <c r="J3697" s="22" t="s">
        <v>49</v>
      </c>
      <c r="K3697" s="24">
        <v>6</v>
      </c>
      <c r="M3697" s="21"/>
      <c r="N3697" s="22"/>
      <c r="O3697" s="22"/>
      <c r="P3697" s="49"/>
      <c r="Q3697" s="49"/>
      <c r="R3697" s="188" t="str">
        <f t="shared" si="121"/>
        <v/>
      </c>
      <c r="T3697" s="21"/>
      <c r="U3697" s="22"/>
      <c r="V3697" s="24"/>
      <c r="W3697" s="24"/>
      <c r="X3697" s="24"/>
      <c r="Y3697" s="24"/>
      <c r="Z3697" s="20" t="str">
        <f t="shared" si="120"/>
        <v/>
      </c>
    </row>
    <row r="3698" spans="1:26" x14ac:dyDescent="0.2">
      <c r="A3698" s="21"/>
      <c r="B3698" s="20"/>
      <c r="C3698" s="22"/>
      <c r="D3698" s="22"/>
      <c r="E3698" s="24"/>
      <c r="F3698" s="22"/>
      <c r="H3698" s="21">
        <v>46133</v>
      </c>
      <c r="I3698" s="22" t="s">
        <v>70</v>
      </c>
      <c r="J3698" s="22" t="s">
        <v>50</v>
      </c>
      <c r="K3698" s="24">
        <v>6</v>
      </c>
      <c r="M3698" s="21"/>
      <c r="N3698" s="22"/>
      <c r="O3698" s="22"/>
      <c r="P3698" s="49"/>
      <c r="Q3698" s="49"/>
      <c r="R3698" s="188" t="str">
        <f t="shared" si="121"/>
        <v/>
      </c>
      <c r="T3698" s="21"/>
      <c r="U3698" s="22"/>
      <c r="V3698" s="24"/>
      <c r="W3698" s="24"/>
      <c r="X3698" s="24"/>
      <c r="Y3698" s="24"/>
      <c r="Z3698" s="20" t="str">
        <f t="shared" si="120"/>
        <v/>
      </c>
    </row>
    <row r="3699" spans="1:26" x14ac:dyDescent="0.2">
      <c r="A3699" s="21"/>
      <c r="B3699" s="20"/>
      <c r="C3699" s="22"/>
      <c r="D3699" s="22"/>
      <c r="E3699" s="24"/>
      <c r="F3699" s="22"/>
      <c r="H3699" s="21">
        <v>46133</v>
      </c>
      <c r="I3699" s="22" t="s">
        <v>70</v>
      </c>
      <c r="J3699" s="22" t="s">
        <v>51</v>
      </c>
      <c r="K3699" s="24">
        <v>7</v>
      </c>
      <c r="M3699" s="21"/>
      <c r="N3699" s="22"/>
      <c r="O3699" s="22"/>
      <c r="P3699" s="49"/>
      <c r="Q3699" s="49"/>
      <c r="R3699" s="188" t="str">
        <f t="shared" si="121"/>
        <v/>
      </c>
      <c r="T3699" s="21"/>
      <c r="U3699" s="22"/>
      <c r="V3699" s="24"/>
      <c r="W3699" s="24"/>
      <c r="X3699" s="24"/>
      <c r="Y3699" s="24"/>
      <c r="Z3699" s="20" t="str">
        <f t="shared" si="120"/>
        <v/>
      </c>
    </row>
    <row r="3700" spans="1:26" x14ac:dyDescent="0.2">
      <c r="A3700" s="21"/>
      <c r="B3700" s="20"/>
      <c r="C3700" s="22"/>
      <c r="D3700" s="22"/>
      <c r="E3700" s="24"/>
      <c r="F3700" s="22"/>
      <c r="H3700" s="21">
        <v>46133</v>
      </c>
      <c r="I3700" s="22" t="s">
        <v>70</v>
      </c>
      <c r="J3700" s="22" t="s">
        <v>52</v>
      </c>
      <c r="K3700" s="24">
        <v>6</v>
      </c>
      <c r="M3700" s="21"/>
      <c r="N3700" s="22"/>
      <c r="O3700" s="22"/>
      <c r="P3700" s="49"/>
      <c r="Q3700" s="49"/>
      <c r="R3700" s="188" t="str">
        <f t="shared" si="121"/>
        <v/>
      </c>
      <c r="T3700" s="21"/>
      <c r="U3700" s="22"/>
      <c r="V3700" s="24"/>
      <c r="W3700" s="24"/>
      <c r="X3700" s="24"/>
      <c r="Y3700" s="24"/>
      <c r="Z3700" s="20" t="str">
        <f t="shared" si="120"/>
        <v/>
      </c>
    </row>
    <row r="3701" spans="1:26" x14ac:dyDescent="0.2">
      <c r="A3701" s="21"/>
      <c r="B3701" s="20"/>
      <c r="C3701" s="22"/>
      <c r="D3701" s="22"/>
      <c r="E3701" s="24"/>
      <c r="F3701" s="22"/>
      <c r="H3701" s="21">
        <v>46133</v>
      </c>
      <c r="I3701" s="22" t="s">
        <v>70</v>
      </c>
      <c r="J3701" s="22" t="s">
        <v>53</v>
      </c>
      <c r="K3701" s="24">
        <v>6</v>
      </c>
      <c r="M3701" s="21"/>
      <c r="N3701" s="22"/>
      <c r="O3701" s="22"/>
      <c r="P3701" s="49"/>
      <c r="Q3701" s="49"/>
      <c r="R3701" s="188" t="str">
        <f t="shared" si="121"/>
        <v/>
      </c>
      <c r="T3701" s="21"/>
      <c r="U3701" s="22"/>
      <c r="V3701" s="24"/>
      <c r="W3701" s="24"/>
      <c r="X3701" s="24"/>
      <c r="Y3701" s="24"/>
      <c r="Z3701" s="20" t="str">
        <f t="shared" si="120"/>
        <v/>
      </c>
    </row>
    <row r="3702" spans="1:26" x14ac:dyDescent="0.2">
      <c r="A3702" s="21"/>
      <c r="B3702" s="20"/>
      <c r="C3702" s="22"/>
      <c r="D3702" s="22"/>
      <c r="E3702" s="24"/>
      <c r="F3702" s="22"/>
      <c r="H3702" s="21">
        <v>46133</v>
      </c>
      <c r="I3702" s="22" t="s">
        <v>70</v>
      </c>
      <c r="J3702" s="22" t="s">
        <v>55</v>
      </c>
      <c r="K3702" s="24">
        <v>6</v>
      </c>
      <c r="M3702" s="21"/>
      <c r="N3702" s="22"/>
      <c r="O3702" s="22"/>
      <c r="P3702" s="49"/>
      <c r="Q3702" s="49"/>
      <c r="R3702" s="188" t="str">
        <f t="shared" si="121"/>
        <v/>
      </c>
      <c r="T3702" s="21"/>
      <c r="U3702" s="22"/>
      <c r="V3702" s="24"/>
      <c r="W3702" s="24"/>
      <c r="X3702" s="24"/>
      <c r="Y3702" s="24"/>
      <c r="Z3702" s="20" t="str">
        <f t="shared" si="120"/>
        <v/>
      </c>
    </row>
    <row r="3703" spans="1:26" x14ac:dyDescent="0.2">
      <c r="A3703" s="21"/>
      <c r="B3703" s="20"/>
      <c r="C3703" s="22"/>
      <c r="D3703" s="22"/>
      <c r="E3703" s="24"/>
      <c r="F3703" s="22"/>
      <c r="H3703" s="21">
        <v>46133</v>
      </c>
      <c r="I3703" s="22" t="s">
        <v>70</v>
      </c>
      <c r="J3703" s="22" t="s">
        <v>56</v>
      </c>
      <c r="K3703" s="24">
        <v>8</v>
      </c>
      <c r="M3703" s="21"/>
      <c r="N3703" s="22"/>
      <c r="O3703" s="22"/>
      <c r="P3703" s="49"/>
      <c r="Q3703" s="49"/>
      <c r="R3703" s="188" t="str">
        <f t="shared" si="121"/>
        <v/>
      </c>
      <c r="T3703" s="21"/>
      <c r="U3703" s="22"/>
      <c r="V3703" s="24"/>
      <c r="W3703" s="24"/>
      <c r="X3703" s="24"/>
      <c r="Y3703" s="24"/>
      <c r="Z3703" s="20" t="str">
        <f t="shared" si="120"/>
        <v/>
      </c>
    </row>
    <row r="3704" spans="1:26" x14ac:dyDescent="0.2">
      <c r="A3704" s="21"/>
      <c r="B3704" s="20"/>
      <c r="C3704" s="22"/>
      <c r="D3704" s="22"/>
      <c r="E3704" s="24"/>
      <c r="F3704" s="22"/>
      <c r="H3704" s="21">
        <v>46133</v>
      </c>
      <c r="I3704" s="22" t="s">
        <v>70</v>
      </c>
      <c r="J3704" s="22" t="s">
        <v>57</v>
      </c>
      <c r="K3704" s="24">
        <v>8</v>
      </c>
      <c r="M3704" s="21"/>
      <c r="N3704" s="22"/>
      <c r="O3704" s="22"/>
      <c r="P3704" s="49"/>
      <c r="Q3704" s="49"/>
      <c r="R3704" s="188" t="str">
        <f t="shared" si="121"/>
        <v/>
      </c>
      <c r="T3704" s="21"/>
      <c r="U3704" s="22"/>
      <c r="V3704" s="24"/>
      <c r="W3704" s="24"/>
      <c r="X3704" s="24"/>
      <c r="Y3704" s="24"/>
      <c r="Z3704" s="20" t="str">
        <f t="shared" si="120"/>
        <v/>
      </c>
    </row>
    <row r="3705" spans="1:26" x14ac:dyDescent="0.2">
      <c r="A3705" s="21"/>
      <c r="B3705" s="20"/>
      <c r="C3705" s="22"/>
      <c r="D3705" s="22"/>
      <c r="E3705" s="24"/>
      <c r="F3705" s="22"/>
      <c r="H3705" s="21"/>
      <c r="I3705" s="22"/>
      <c r="J3705" s="22"/>
      <c r="K3705" s="24"/>
      <c r="M3705" s="21"/>
      <c r="N3705" s="22"/>
      <c r="O3705" s="22"/>
      <c r="P3705" s="49"/>
      <c r="Q3705" s="49"/>
      <c r="R3705" s="188" t="str">
        <f t="shared" si="121"/>
        <v/>
      </c>
      <c r="T3705" s="21"/>
      <c r="U3705" s="22"/>
      <c r="V3705" s="24"/>
      <c r="W3705" s="24"/>
      <c r="X3705" s="24"/>
      <c r="Y3705" s="24"/>
      <c r="Z3705" s="20" t="str">
        <f t="shared" si="120"/>
        <v/>
      </c>
    </row>
    <row r="3706" spans="1:26" x14ac:dyDescent="0.2">
      <c r="A3706" s="21"/>
      <c r="B3706" s="20"/>
      <c r="C3706" s="22"/>
      <c r="D3706" s="22"/>
      <c r="E3706" s="24"/>
      <c r="F3706" s="22"/>
      <c r="H3706" s="21"/>
      <c r="I3706" s="22"/>
      <c r="J3706" s="22"/>
      <c r="K3706" s="24"/>
      <c r="M3706" s="21"/>
      <c r="N3706" s="22"/>
      <c r="O3706" s="22"/>
      <c r="P3706" s="49"/>
      <c r="Q3706" s="49"/>
      <c r="R3706" s="188" t="str">
        <f t="shared" si="121"/>
        <v/>
      </c>
      <c r="T3706" s="21"/>
      <c r="U3706" s="22"/>
      <c r="V3706" s="24"/>
      <c r="W3706" s="24"/>
      <c r="X3706" s="24"/>
      <c r="Y3706" s="24"/>
      <c r="Z3706" s="20" t="str">
        <f t="shared" si="120"/>
        <v/>
      </c>
    </row>
    <row r="3707" spans="1:26" x14ac:dyDescent="0.2">
      <c r="A3707" s="21"/>
      <c r="B3707" s="20"/>
      <c r="C3707" s="22"/>
      <c r="D3707" s="22"/>
      <c r="E3707" s="24"/>
      <c r="F3707" s="22"/>
      <c r="H3707" s="21"/>
      <c r="I3707" s="22"/>
      <c r="J3707" s="22"/>
      <c r="K3707" s="24"/>
      <c r="M3707" s="21"/>
      <c r="N3707" s="22"/>
      <c r="O3707" s="22"/>
      <c r="P3707" s="49"/>
      <c r="Q3707" s="49"/>
      <c r="R3707" s="188" t="str">
        <f t="shared" si="121"/>
        <v/>
      </c>
      <c r="T3707" s="21"/>
      <c r="U3707" s="22"/>
      <c r="V3707" s="24"/>
      <c r="W3707" s="24"/>
      <c r="X3707" s="24"/>
      <c r="Y3707" s="24"/>
      <c r="Z3707" s="20" t="str">
        <f t="shared" si="120"/>
        <v/>
      </c>
    </row>
    <row r="3708" spans="1:26" x14ac:dyDescent="0.2">
      <c r="A3708" s="21"/>
      <c r="B3708" s="20"/>
      <c r="C3708" s="22"/>
      <c r="D3708" s="22"/>
      <c r="E3708" s="24"/>
      <c r="F3708" s="22"/>
      <c r="H3708" s="21"/>
      <c r="I3708" s="22"/>
      <c r="J3708" s="22"/>
      <c r="K3708" s="24"/>
      <c r="M3708" s="21"/>
      <c r="N3708" s="22"/>
      <c r="O3708" s="22"/>
      <c r="P3708" s="49"/>
      <c r="Q3708" s="49"/>
      <c r="R3708" s="188" t="str">
        <f t="shared" si="121"/>
        <v/>
      </c>
      <c r="T3708" s="21"/>
      <c r="U3708" s="22"/>
      <c r="V3708" s="24"/>
      <c r="W3708" s="24"/>
      <c r="X3708" s="24"/>
      <c r="Y3708" s="24"/>
      <c r="Z3708" s="20" t="str">
        <f t="shared" si="120"/>
        <v/>
      </c>
    </row>
    <row r="3709" spans="1:26" x14ac:dyDescent="0.2">
      <c r="A3709" s="21"/>
      <c r="B3709" s="20"/>
      <c r="C3709" s="22"/>
      <c r="D3709" s="22"/>
      <c r="E3709" s="24"/>
      <c r="F3709" s="22"/>
      <c r="H3709" s="21"/>
      <c r="I3709" s="22"/>
      <c r="J3709" s="22"/>
      <c r="K3709" s="24"/>
      <c r="M3709" s="21"/>
      <c r="N3709" s="22"/>
      <c r="O3709" s="22"/>
      <c r="P3709" s="49"/>
      <c r="Q3709" s="49"/>
      <c r="R3709" s="188" t="str">
        <f t="shared" si="121"/>
        <v/>
      </c>
      <c r="T3709" s="21"/>
      <c r="U3709" s="22"/>
      <c r="V3709" s="24"/>
      <c r="W3709" s="24"/>
      <c r="X3709" s="24"/>
      <c r="Y3709" s="24"/>
      <c r="Z3709" s="20" t="str">
        <f t="shared" si="120"/>
        <v/>
      </c>
    </row>
    <row r="3710" spans="1:26" x14ac:dyDescent="0.2">
      <c r="A3710" s="21"/>
      <c r="B3710" s="20"/>
      <c r="C3710" s="22"/>
      <c r="D3710" s="22"/>
      <c r="E3710" s="24"/>
      <c r="F3710" s="22"/>
      <c r="H3710" s="21"/>
      <c r="I3710" s="22"/>
      <c r="J3710" s="22"/>
      <c r="K3710" s="24"/>
      <c r="M3710" s="21"/>
      <c r="N3710" s="22"/>
      <c r="O3710" s="22"/>
      <c r="P3710" s="49"/>
      <c r="Q3710" s="49"/>
      <c r="R3710" s="188" t="str">
        <f t="shared" si="121"/>
        <v/>
      </c>
      <c r="T3710" s="21"/>
      <c r="U3710" s="22"/>
      <c r="V3710" s="24"/>
      <c r="W3710" s="24"/>
      <c r="X3710" s="24"/>
      <c r="Y3710" s="24"/>
      <c r="Z3710" s="20" t="str">
        <f t="shared" si="120"/>
        <v/>
      </c>
    </row>
    <row r="3711" spans="1:26" x14ac:dyDescent="0.2">
      <c r="A3711" s="21"/>
      <c r="B3711" s="20"/>
      <c r="C3711" s="22"/>
      <c r="D3711" s="22"/>
      <c r="E3711" s="24"/>
      <c r="F3711" s="22"/>
      <c r="H3711" s="21"/>
      <c r="I3711" s="22"/>
      <c r="J3711" s="22"/>
      <c r="K3711" s="24"/>
      <c r="M3711" s="21"/>
      <c r="N3711" s="22"/>
      <c r="O3711" s="22"/>
      <c r="P3711" s="49"/>
      <c r="Q3711" s="49"/>
      <c r="R3711" s="188" t="str">
        <f t="shared" si="121"/>
        <v/>
      </c>
      <c r="T3711" s="21"/>
      <c r="U3711" s="22"/>
      <c r="V3711" s="24"/>
      <c r="W3711" s="24"/>
      <c r="X3711" s="24"/>
      <c r="Y3711" s="24"/>
      <c r="Z3711" s="20" t="str">
        <f t="shared" si="120"/>
        <v/>
      </c>
    </row>
    <row r="3712" spans="1:26" x14ac:dyDescent="0.2">
      <c r="A3712" s="21"/>
      <c r="B3712" s="20"/>
      <c r="C3712" s="22"/>
      <c r="D3712" s="22"/>
      <c r="E3712" s="24"/>
      <c r="F3712" s="22"/>
      <c r="H3712" s="21"/>
      <c r="I3712" s="22"/>
      <c r="J3712" s="22"/>
      <c r="K3712" s="24"/>
      <c r="M3712" s="21"/>
      <c r="N3712" s="22"/>
      <c r="O3712" s="22"/>
      <c r="P3712" s="49"/>
      <c r="Q3712" s="49"/>
      <c r="R3712" s="188" t="str">
        <f t="shared" si="121"/>
        <v/>
      </c>
      <c r="T3712" s="21"/>
      <c r="U3712" s="22"/>
      <c r="V3712" s="24"/>
      <c r="W3712" s="24"/>
      <c r="X3712" s="24"/>
      <c r="Y3712" s="24"/>
      <c r="Z3712" s="20" t="str">
        <f t="shared" si="120"/>
        <v/>
      </c>
    </row>
    <row r="3713" spans="1:26" x14ac:dyDescent="0.2">
      <c r="A3713" s="21"/>
      <c r="B3713" s="20"/>
      <c r="C3713" s="22"/>
      <c r="D3713" s="22"/>
      <c r="E3713" s="24"/>
      <c r="F3713" s="22"/>
      <c r="H3713" s="21"/>
      <c r="I3713" s="22"/>
      <c r="J3713" s="22"/>
      <c r="K3713" s="24"/>
      <c r="M3713" s="21"/>
      <c r="N3713" s="22"/>
      <c r="O3713" s="22"/>
      <c r="P3713" s="49"/>
      <c r="Q3713" s="49"/>
      <c r="R3713" s="188" t="str">
        <f t="shared" si="121"/>
        <v/>
      </c>
      <c r="T3713" s="21"/>
      <c r="U3713" s="22"/>
      <c r="V3713" s="24"/>
      <c r="W3713" s="24"/>
      <c r="X3713" s="24"/>
      <c r="Y3713" s="24"/>
      <c r="Z3713" s="20" t="str">
        <f t="shared" si="120"/>
        <v/>
      </c>
    </row>
    <row r="3714" spans="1:26" x14ac:dyDescent="0.2">
      <c r="A3714" s="21"/>
      <c r="B3714" s="20"/>
      <c r="C3714" s="22"/>
      <c r="D3714" s="22"/>
      <c r="E3714" s="24"/>
      <c r="F3714" s="22"/>
      <c r="H3714" s="21"/>
      <c r="I3714" s="22"/>
      <c r="J3714" s="22"/>
      <c r="K3714" s="24"/>
      <c r="M3714" s="21"/>
      <c r="N3714" s="22"/>
      <c r="O3714" s="22"/>
      <c r="P3714" s="49"/>
      <c r="Q3714" s="49"/>
      <c r="R3714" s="188" t="str">
        <f t="shared" si="121"/>
        <v/>
      </c>
      <c r="T3714" s="21"/>
      <c r="U3714" s="22"/>
      <c r="V3714" s="24"/>
      <c r="W3714" s="24"/>
      <c r="X3714" s="24"/>
      <c r="Y3714" s="24"/>
      <c r="Z3714" s="20" t="str">
        <f t="shared" si="120"/>
        <v/>
      </c>
    </row>
    <row r="3715" spans="1:26" x14ac:dyDescent="0.2">
      <c r="A3715" s="21"/>
      <c r="B3715" s="20"/>
      <c r="C3715" s="22"/>
      <c r="D3715" s="22"/>
      <c r="E3715" s="24"/>
      <c r="F3715" s="22"/>
      <c r="H3715" s="21"/>
      <c r="I3715" s="22"/>
      <c r="J3715" s="22"/>
      <c r="K3715" s="24"/>
      <c r="M3715" s="21"/>
      <c r="N3715" s="22"/>
      <c r="O3715" s="22"/>
      <c r="P3715" s="49"/>
      <c r="Q3715" s="49"/>
      <c r="R3715" s="188" t="str">
        <f t="shared" si="121"/>
        <v/>
      </c>
      <c r="T3715" s="21"/>
      <c r="U3715" s="22"/>
      <c r="V3715" s="24"/>
      <c r="W3715" s="24"/>
      <c r="X3715" s="24"/>
      <c r="Y3715" s="24"/>
      <c r="Z3715" s="20" t="str">
        <f t="shared" si="120"/>
        <v/>
      </c>
    </row>
    <row r="3716" spans="1:26" x14ac:dyDescent="0.2">
      <c r="A3716" s="21"/>
      <c r="B3716" s="20"/>
      <c r="C3716" s="22"/>
      <c r="D3716" s="22"/>
      <c r="E3716" s="24"/>
      <c r="F3716" s="22"/>
      <c r="H3716" s="21"/>
      <c r="I3716" s="22"/>
      <c r="J3716" s="22"/>
      <c r="K3716" s="24"/>
      <c r="M3716" s="21"/>
      <c r="N3716" s="22"/>
      <c r="O3716" s="22"/>
      <c r="P3716" s="49"/>
      <c r="Q3716" s="49"/>
      <c r="R3716" s="188" t="str">
        <f t="shared" si="121"/>
        <v/>
      </c>
      <c r="T3716" s="21"/>
      <c r="U3716" s="22"/>
      <c r="V3716" s="24"/>
      <c r="W3716" s="24"/>
      <c r="X3716" s="24"/>
      <c r="Y3716" s="24"/>
      <c r="Z3716" s="20" t="str">
        <f t="shared" si="120"/>
        <v/>
      </c>
    </row>
    <row r="3717" spans="1:26" x14ac:dyDescent="0.2">
      <c r="A3717" s="21"/>
      <c r="B3717" s="20"/>
      <c r="C3717" s="22"/>
      <c r="D3717" s="22"/>
      <c r="E3717" s="24"/>
      <c r="F3717" s="22"/>
      <c r="H3717" s="21"/>
      <c r="I3717" s="22"/>
      <c r="J3717" s="22"/>
      <c r="K3717" s="24"/>
      <c r="M3717" s="21"/>
      <c r="N3717" s="22"/>
      <c r="O3717" s="22"/>
      <c r="P3717" s="49"/>
      <c r="Q3717" s="49"/>
      <c r="R3717" s="188" t="str">
        <f t="shared" si="121"/>
        <v/>
      </c>
      <c r="T3717" s="21"/>
      <c r="U3717" s="22"/>
      <c r="V3717" s="24"/>
      <c r="W3717" s="24"/>
      <c r="X3717" s="24"/>
      <c r="Y3717" s="24"/>
      <c r="Z3717" s="20" t="str">
        <f t="shared" si="120"/>
        <v/>
      </c>
    </row>
    <row r="3718" spans="1:26" x14ac:dyDescent="0.2">
      <c r="A3718" s="21"/>
      <c r="B3718" s="20"/>
      <c r="C3718" s="22"/>
      <c r="D3718" s="22"/>
      <c r="E3718" s="24"/>
      <c r="F3718" s="22"/>
      <c r="H3718" s="21"/>
      <c r="I3718" s="22"/>
      <c r="J3718" s="22"/>
      <c r="K3718" s="24"/>
      <c r="M3718" s="21"/>
      <c r="N3718" s="22"/>
      <c r="O3718" s="22"/>
      <c r="P3718" s="49"/>
      <c r="Q3718" s="49"/>
      <c r="R3718" s="188" t="str">
        <f t="shared" si="121"/>
        <v/>
      </c>
      <c r="T3718" s="21"/>
      <c r="U3718" s="22"/>
      <c r="V3718" s="24"/>
      <c r="W3718" s="24"/>
      <c r="X3718" s="24"/>
      <c r="Y3718" s="24"/>
      <c r="Z3718" s="20" t="str">
        <f t="shared" si="120"/>
        <v/>
      </c>
    </row>
    <row r="3719" spans="1:26" x14ac:dyDescent="0.2">
      <c r="A3719" s="21"/>
      <c r="B3719" s="20"/>
      <c r="C3719" s="22"/>
      <c r="D3719" s="22"/>
      <c r="E3719" s="24"/>
      <c r="F3719" s="22"/>
      <c r="H3719" s="21"/>
      <c r="I3719" s="22"/>
      <c r="J3719" s="22"/>
      <c r="K3719" s="24"/>
      <c r="M3719" s="21"/>
      <c r="N3719" s="22"/>
      <c r="O3719" s="22"/>
      <c r="P3719" s="49"/>
      <c r="Q3719" s="49"/>
      <c r="R3719" s="188" t="str">
        <f t="shared" si="121"/>
        <v/>
      </c>
      <c r="T3719" s="21"/>
      <c r="U3719" s="22"/>
      <c r="V3719" s="24"/>
      <c r="W3719" s="24"/>
      <c r="X3719" s="24"/>
      <c r="Y3719" s="24"/>
      <c r="Z3719" s="20" t="str">
        <f t="shared" si="120"/>
        <v/>
      </c>
    </row>
    <row r="3720" spans="1:26" x14ac:dyDescent="0.2">
      <c r="A3720" s="21"/>
      <c r="B3720" s="20"/>
      <c r="C3720" s="22"/>
      <c r="D3720" s="22"/>
      <c r="E3720" s="24"/>
      <c r="F3720" s="22"/>
      <c r="H3720" s="21"/>
      <c r="I3720" s="22"/>
      <c r="J3720" s="22"/>
      <c r="K3720" s="24"/>
      <c r="M3720" s="21"/>
      <c r="N3720" s="22"/>
      <c r="O3720" s="22"/>
      <c r="P3720" s="49"/>
      <c r="Q3720" s="49"/>
      <c r="R3720" s="188" t="str">
        <f t="shared" si="121"/>
        <v/>
      </c>
      <c r="T3720" s="21"/>
      <c r="U3720" s="22"/>
      <c r="V3720" s="24"/>
      <c r="W3720" s="24"/>
      <c r="X3720" s="24"/>
      <c r="Y3720" s="24"/>
      <c r="Z3720" s="20" t="str">
        <f t="shared" si="120"/>
        <v/>
      </c>
    </row>
    <row r="3721" spans="1:26" x14ac:dyDescent="0.2">
      <c r="A3721" s="21"/>
      <c r="B3721" s="20"/>
      <c r="C3721" s="22"/>
      <c r="D3721" s="22"/>
      <c r="E3721" s="24"/>
      <c r="F3721" s="22"/>
      <c r="H3721" s="21"/>
      <c r="I3721" s="22"/>
      <c r="J3721" s="22"/>
      <c r="K3721" s="24"/>
      <c r="M3721" s="21"/>
      <c r="N3721" s="22"/>
      <c r="O3721" s="22"/>
      <c r="P3721" s="49"/>
      <c r="Q3721" s="49"/>
      <c r="R3721" s="188" t="str">
        <f t="shared" si="121"/>
        <v/>
      </c>
      <c r="T3721" s="21"/>
      <c r="U3721" s="22"/>
      <c r="V3721" s="24"/>
      <c r="W3721" s="24"/>
      <c r="X3721" s="24"/>
      <c r="Y3721" s="24"/>
      <c r="Z3721" s="20" t="str">
        <f t="shared" si="120"/>
        <v/>
      </c>
    </row>
    <row r="3722" spans="1:26" x14ac:dyDescent="0.2">
      <c r="A3722" s="21"/>
      <c r="B3722" s="20"/>
      <c r="C3722" s="22"/>
      <c r="D3722" s="22"/>
      <c r="E3722" s="24"/>
      <c r="F3722" s="22"/>
      <c r="H3722" s="21"/>
      <c r="I3722" s="22"/>
      <c r="J3722" s="22"/>
      <c r="K3722" s="24"/>
      <c r="M3722" s="21"/>
      <c r="N3722" s="22"/>
      <c r="O3722" s="22"/>
      <c r="P3722" s="49"/>
      <c r="Q3722" s="49"/>
      <c r="R3722" s="188" t="str">
        <f t="shared" si="121"/>
        <v/>
      </c>
      <c r="T3722" s="21"/>
      <c r="U3722" s="22"/>
      <c r="V3722" s="24"/>
      <c r="W3722" s="24"/>
      <c r="X3722" s="24"/>
      <c r="Y3722" s="24"/>
      <c r="Z3722" s="20" t="str">
        <f t="shared" si="120"/>
        <v/>
      </c>
    </row>
    <row r="3723" spans="1:26" x14ac:dyDescent="0.2">
      <c r="A3723" s="21"/>
      <c r="B3723" s="20"/>
      <c r="C3723" s="22"/>
      <c r="D3723" s="22"/>
      <c r="E3723" s="24"/>
      <c r="F3723" s="22"/>
      <c r="H3723" s="21"/>
      <c r="I3723" s="22"/>
      <c r="J3723" s="22"/>
      <c r="K3723" s="24"/>
      <c r="M3723" s="21"/>
      <c r="N3723" s="22"/>
      <c r="O3723" s="22"/>
      <c r="P3723" s="49"/>
      <c r="Q3723" s="49"/>
      <c r="R3723" s="188" t="str">
        <f t="shared" si="121"/>
        <v/>
      </c>
      <c r="T3723" s="21"/>
      <c r="U3723" s="22"/>
      <c r="V3723" s="24"/>
      <c r="W3723" s="24"/>
      <c r="X3723" s="24"/>
      <c r="Y3723" s="24"/>
      <c r="Z3723" s="20" t="str">
        <f t="shared" si="120"/>
        <v/>
      </c>
    </row>
    <row r="3724" spans="1:26" x14ac:dyDescent="0.2">
      <c r="A3724" s="21"/>
      <c r="B3724" s="20"/>
      <c r="C3724" s="22"/>
      <c r="D3724" s="22"/>
      <c r="E3724" s="24"/>
      <c r="F3724" s="22"/>
      <c r="H3724" s="21"/>
      <c r="I3724" s="22"/>
      <c r="J3724" s="22"/>
      <c r="K3724" s="24"/>
      <c r="M3724" s="21"/>
      <c r="N3724" s="22"/>
      <c r="O3724" s="22"/>
      <c r="P3724" s="49"/>
      <c r="Q3724" s="49"/>
      <c r="R3724" s="188" t="str">
        <f t="shared" si="121"/>
        <v/>
      </c>
      <c r="T3724" s="21"/>
      <c r="U3724" s="22"/>
      <c r="V3724" s="24"/>
      <c r="W3724" s="24"/>
      <c r="X3724" s="24"/>
      <c r="Y3724" s="24"/>
      <c r="Z3724" s="20" t="str">
        <f t="shared" si="120"/>
        <v/>
      </c>
    </row>
    <row r="3725" spans="1:26" x14ac:dyDescent="0.2">
      <c r="A3725" s="21"/>
      <c r="B3725" s="20"/>
      <c r="C3725" s="22"/>
      <c r="D3725" s="22"/>
      <c r="E3725" s="24"/>
      <c r="F3725" s="22"/>
      <c r="H3725" s="21"/>
      <c r="I3725" s="22"/>
      <c r="J3725" s="22"/>
      <c r="K3725" s="24"/>
      <c r="M3725" s="21"/>
      <c r="N3725" s="22"/>
      <c r="O3725" s="22"/>
      <c r="P3725" s="49"/>
      <c r="Q3725" s="49"/>
      <c r="R3725" s="188" t="str">
        <f t="shared" si="121"/>
        <v/>
      </c>
      <c r="T3725" s="21"/>
      <c r="U3725" s="22"/>
      <c r="V3725" s="24"/>
      <c r="W3725" s="24"/>
      <c r="X3725" s="24"/>
      <c r="Y3725" s="24"/>
      <c r="Z3725" s="20" t="str">
        <f t="shared" si="120"/>
        <v/>
      </c>
    </row>
    <row r="3726" spans="1:26" x14ac:dyDescent="0.2">
      <c r="A3726" s="21"/>
      <c r="B3726" s="20"/>
      <c r="C3726" s="22"/>
      <c r="D3726" s="22"/>
      <c r="E3726" s="24"/>
      <c r="F3726" s="22"/>
      <c r="H3726" s="21"/>
      <c r="I3726" s="22"/>
      <c r="J3726" s="22"/>
      <c r="K3726" s="24"/>
      <c r="M3726" s="21"/>
      <c r="N3726" s="22"/>
      <c r="O3726" s="22"/>
      <c r="P3726" s="49"/>
      <c r="Q3726" s="49"/>
      <c r="R3726" s="188" t="str">
        <f t="shared" si="121"/>
        <v/>
      </c>
      <c r="T3726" s="21"/>
      <c r="U3726" s="22"/>
      <c r="V3726" s="24"/>
      <c r="W3726" s="24"/>
      <c r="X3726" s="24"/>
      <c r="Y3726" s="24"/>
      <c r="Z3726" s="20" t="str">
        <f t="shared" si="120"/>
        <v/>
      </c>
    </row>
    <row r="3727" spans="1:26" x14ac:dyDescent="0.2">
      <c r="A3727" s="21"/>
      <c r="B3727" s="20"/>
      <c r="C3727" s="22"/>
      <c r="D3727" s="22"/>
      <c r="E3727" s="24"/>
      <c r="F3727" s="22"/>
      <c r="H3727" s="21"/>
      <c r="I3727" s="22"/>
      <c r="J3727" s="22"/>
      <c r="K3727" s="24"/>
      <c r="M3727" s="21"/>
      <c r="N3727" s="22"/>
      <c r="O3727" s="22"/>
      <c r="P3727" s="49"/>
      <c r="Q3727" s="49"/>
      <c r="R3727" s="188" t="str">
        <f t="shared" si="121"/>
        <v/>
      </c>
      <c r="T3727" s="21"/>
      <c r="U3727" s="22"/>
      <c r="V3727" s="24"/>
      <c r="W3727" s="24"/>
      <c r="X3727" s="24"/>
      <c r="Y3727" s="24"/>
      <c r="Z3727" s="20" t="str">
        <f t="shared" si="120"/>
        <v/>
      </c>
    </row>
    <row r="3728" spans="1:26" x14ac:dyDescent="0.2">
      <c r="A3728" s="21"/>
      <c r="B3728" s="20"/>
      <c r="C3728" s="22"/>
      <c r="D3728" s="22"/>
      <c r="E3728" s="24"/>
      <c r="F3728" s="22"/>
      <c r="H3728" s="21"/>
      <c r="I3728" s="22"/>
      <c r="J3728" s="22"/>
      <c r="K3728" s="24"/>
      <c r="M3728" s="21"/>
      <c r="N3728" s="22"/>
      <c r="O3728" s="22"/>
      <c r="P3728" s="49"/>
      <c r="Q3728" s="49"/>
      <c r="R3728" s="188" t="str">
        <f t="shared" si="121"/>
        <v/>
      </c>
      <c r="T3728" s="21"/>
      <c r="U3728" s="22"/>
      <c r="V3728" s="24"/>
      <c r="W3728" s="24"/>
      <c r="X3728" s="24"/>
      <c r="Y3728" s="24"/>
      <c r="Z3728" s="20" t="str">
        <f t="shared" si="120"/>
        <v/>
      </c>
    </row>
    <row r="3729" spans="1:26" x14ac:dyDescent="0.2">
      <c r="A3729" s="21"/>
      <c r="B3729" s="20"/>
      <c r="C3729" s="22"/>
      <c r="D3729" s="22"/>
      <c r="E3729" s="24"/>
      <c r="F3729" s="22"/>
      <c r="H3729" s="21"/>
      <c r="I3729" s="22"/>
      <c r="J3729" s="22"/>
      <c r="K3729" s="24"/>
      <c r="M3729" s="21"/>
      <c r="N3729" s="22"/>
      <c r="O3729" s="22"/>
      <c r="P3729" s="49"/>
      <c r="Q3729" s="49"/>
      <c r="R3729" s="188" t="str">
        <f t="shared" si="121"/>
        <v/>
      </c>
      <c r="T3729" s="21"/>
      <c r="U3729" s="22"/>
      <c r="V3729" s="24"/>
      <c r="W3729" s="24"/>
      <c r="X3729" s="24"/>
      <c r="Y3729" s="24"/>
      <c r="Z3729" s="20" t="str">
        <f t="shared" si="120"/>
        <v/>
      </c>
    </row>
    <row r="3730" spans="1:26" x14ac:dyDescent="0.2">
      <c r="A3730" s="21"/>
      <c r="B3730" s="20"/>
      <c r="C3730" s="22"/>
      <c r="D3730" s="22"/>
      <c r="E3730" s="24"/>
      <c r="F3730" s="22"/>
      <c r="H3730" s="21"/>
      <c r="I3730" s="22"/>
      <c r="J3730" s="22"/>
      <c r="K3730" s="24"/>
      <c r="M3730" s="21"/>
      <c r="N3730" s="22"/>
      <c r="O3730" s="22"/>
      <c r="P3730" s="49"/>
      <c r="Q3730" s="49"/>
      <c r="R3730" s="188" t="str">
        <f t="shared" si="121"/>
        <v/>
      </c>
      <c r="T3730" s="21"/>
      <c r="U3730" s="22"/>
      <c r="V3730" s="24"/>
      <c r="W3730" s="24"/>
      <c r="X3730" s="24"/>
      <c r="Y3730" s="24"/>
      <c r="Z3730" s="20" t="str">
        <f t="shared" si="120"/>
        <v/>
      </c>
    </row>
    <row r="3731" spans="1:26" x14ac:dyDescent="0.2">
      <c r="A3731" s="21"/>
      <c r="B3731" s="20"/>
      <c r="C3731" s="22"/>
      <c r="D3731" s="22"/>
      <c r="E3731" s="24"/>
      <c r="F3731" s="22"/>
      <c r="H3731" s="21"/>
      <c r="I3731" s="22"/>
      <c r="J3731" s="22"/>
      <c r="K3731" s="24"/>
      <c r="M3731" s="21"/>
      <c r="N3731" s="22"/>
      <c r="O3731" s="22"/>
      <c r="P3731" s="49"/>
      <c r="Q3731" s="49"/>
      <c r="R3731" s="188" t="str">
        <f t="shared" si="121"/>
        <v/>
      </c>
      <c r="T3731" s="21"/>
      <c r="U3731" s="22"/>
      <c r="V3731" s="24"/>
      <c r="W3731" s="24"/>
      <c r="X3731" s="24"/>
      <c r="Y3731" s="24"/>
      <c r="Z3731" s="20" t="str">
        <f t="shared" ref="Z3731:Z3794" si="122">IF(COUNT(V3731:Y3731)=0,"",SUM(V3731:Y3731))</f>
        <v/>
      </c>
    </row>
    <row r="3732" spans="1:26" x14ac:dyDescent="0.2">
      <c r="A3732" s="21"/>
      <c r="B3732" s="20"/>
      <c r="C3732" s="22"/>
      <c r="D3732" s="22"/>
      <c r="E3732" s="24"/>
      <c r="F3732" s="22"/>
      <c r="H3732" s="21"/>
      <c r="I3732" s="22"/>
      <c r="J3732" s="22"/>
      <c r="K3732" s="24"/>
      <c r="M3732" s="21"/>
      <c r="N3732" s="22"/>
      <c r="O3732" s="22"/>
      <c r="P3732" s="49"/>
      <c r="Q3732" s="49"/>
      <c r="R3732" s="188" t="str">
        <f t="shared" si="121"/>
        <v/>
      </c>
      <c r="T3732" s="21"/>
      <c r="U3732" s="22"/>
      <c r="V3732" s="24"/>
      <c r="W3732" s="24"/>
      <c r="X3732" s="24"/>
      <c r="Y3732" s="24"/>
      <c r="Z3732" s="20" t="str">
        <f t="shared" si="122"/>
        <v/>
      </c>
    </row>
    <row r="3733" spans="1:26" x14ac:dyDescent="0.2">
      <c r="A3733" s="21"/>
      <c r="B3733" s="20"/>
      <c r="C3733" s="22"/>
      <c r="D3733" s="22"/>
      <c r="E3733" s="24"/>
      <c r="F3733" s="22"/>
      <c r="H3733" s="21"/>
      <c r="I3733" s="22"/>
      <c r="J3733" s="22"/>
      <c r="K3733" s="24"/>
      <c r="M3733" s="21"/>
      <c r="N3733" s="22"/>
      <c r="O3733" s="22"/>
      <c r="P3733" s="49"/>
      <c r="Q3733" s="49"/>
      <c r="R3733" s="188" t="str">
        <f t="shared" si="121"/>
        <v/>
      </c>
      <c r="T3733" s="21"/>
      <c r="U3733" s="22"/>
      <c r="V3733" s="24"/>
      <c r="W3733" s="24"/>
      <c r="X3733" s="24"/>
      <c r="Y3733" s="24"/>
      <c r="Z3733" s="20" t="str">
        <f t="shared" si="122"/>
        <v/>
      </c>
    </row>
    <row r="3734" spans="1:26" x14ac:dyDescent="0.2">
      <c r="A3734" s="21"/>
      <c r="B3734" s="20"/>
      <c r="C3734" s="22"/>
      <c r="D3734" s="22"/>
      <c r="E3734" s="24"/>
      <c r="F3734" s="22"/>
      <c r="H3734" s="21"/>
      <c r="I3734" s="22"/>
      <c r="J3734" s="22"/>
      <c r="K3734" s="24"/>
      <c r="M3734" s="21"/>
      <c r="N3734" s="22"/>
      <c r="O3734" s="22"/>
      <c r="P3734" s="49"/>
      <c r="Q3734" s="49"/>
      <c r="R3734" s="188" t="str">
        <f t="shared" ref="R3734:R3797" si="123">IF(OR(P3734="",Q3734=""),"",IFERROR(P3734-Q3734,""))</f>
        <v/>
      </c>
      <c r="T3734" s="21"/>
      <c r="U3734" s="22"/>
      <c r="V3734" s="24"/>
      <c r="W3734" s="24"/>
      <c r="X3734" s="24"/>
      <c r="Y3734" s="24"/>
      <c r="Z3734" s="20" t="str">
        <f t="shared" si="122"/>
        <v/>
      </c>
    </row>
    <row r="3735" spans="1:26" x14ac:dyDescent="0.2">
      <c r="A3735" s="21"/>
      <c r="B3735" s="20"/>
      <c r="C3735" s="22"/>
      <c r="D3735" s="22"/>
      <c r="E3735" s="24"/>
      <c r="F3735" s="22"/>
      <c r="H3735" s="21"/>
      <c r="I3735" s="22"/>
      <c r="J3735" s="22"/>
      <c r="K3735" s="24"/>
      <c r="M3735" s="21"/>
      <c r="N3735" s="22"/>
      <c r="O3735" s="22"/>
      <c r="P3735" s="49"/>
      <c r="Q3735" s="49"/>
      <c r="R3735" s="188" t="str">
        <f t="shared" si="123"/>
        <v/>
      </c>
      <c r="T3735" s="21"/>
      <c r="U3735" s="22"/>
      <c r="V3735" s="24"/>
      <c r="W3735" s="24"/>
      <c r="X3735" s="24"/>
      <c r="Y3735" s="24"/>
      <c r="Z3735" s="20" t="str">
        <f t="shared" si="122"/>
        <v/>
      </c>
    </row>
    <row r="3736" spans="1:26" x14ac:dyDescent="0.2">
      <c r="A3736" s="21"/>
      <c r="B3736" s="20"/>
      <c r="C3736" s="22"/>
      <c r="D3736" s="22"/>
      <c r="E3736" s="24"/>
      <c r="F3736" s="22"/>
      <c r="H3736" s="21"/>
      <c r="I3736" s="22"/>
      <c r="J3736" s="22"/>
      <c r="K3736" s="24"/>
      <c r="M3736" s="21"/>
      <c r="N3736" s="22"/>
      <c r="O3736" s="22"/>
      <c r="P3736" s="49"/>
      <c r="Q3736" s="49"/>
      <c r="R3736" s="188" t="str">
        <f t="shared" si="123"/>
        <v/>
      </c>
      <c r="T3736" s="21"/>
      <c r="U3736" s="22"/>
      <c r="V3736" s="24"/>
      <c r="W3736" s="24"/>
      <c r="X3736" s="24"/>
      <c r="Y3736" s="24"/>
      <c r="Z3736" s="20" t="str">
        <f t="shared" si="122"/>
        <v/>
      </c>
    </row>
    <row r="3737" spans="1:26" x14ac:dyDescent="0.2">
      <c r="A3737" s="21"/>
      <c r="B3737" s="20"/>
      <c r="C3737" s="22"/>
      <c r="D3737" s="22"/>
      <c r="E3737" s="24"/>
      <c r="F3737" s="22"/>
      <c r="H3737" s="21"/>
      <c r="I3737" s="22"/>
      <c r="J3737" s="22"/>
      <c r="K3737" s="24"/>
      <c r="M3737" s="21"/>
      <c r="N3737" s="22"/>
      <c r="O3737" s="22"/>
      <c r="P3737" s="49"/>
      <c r="Q3737" s="49"/>
      <c r="R3737" s="188" t="str">
        <f t="shared" si="123"/>
        <v/>
      </c>
      <c r="T3737" s="21"/>
      <c r="U3737" s="22"/>
      <c r="V3737" s="24"/>
      <c r="W3737" s="24"/>
      <c r="X3737" s="24"/>
      <c r="Y3737" s="24"/>
      <c r="Z3737" s="20" t="str">
        <f t="shared" si="122"/>
        <v/>
      </c>
    </row>
    <row r="3738" spans="1:26" x14ac:dyDescent="0.2">
      <c r="A3738" s="21"/>
      <c r="B3738" s="20"/>
      <c r="C3738" s="22"/>
      <c r="D3738" s="22"/>
      <c r="E3738" s="24"/>
      <c r="F3738" s="22"/>
      <c r="H3738" s="21"/>
      <c r="I3738" s="22"/>
      <c r="J3738" s="22"/>
      <c r="K3738" s="24"/>
      <c r="M3738" s="21"/>
      <c r="N3738" s="22"/>
      <c r="O3738" s="22"/>
      <c r="P3738" s="49"/>
      <c r="Q3738" s="49"/>
      <c r="R3738" s="188" t="str">
        <f t="shared" si="123"/>
        <v/>
      </c>
      <c r="T3738" s="21"/>
      <c r="U3738" s="22"/>
      <c r="V3738" s="24"/>
      <c r="W3738" s="24"/>
      <c r="X3738" s="24"/>
      <c r="Y3738" s="24"/>
      <c r="Z3738" s="20" t="str">
        <f t="shared" si="122"/>
        <v/>
      </c>
    </row>
    <row r="3739" spans="1:26" x14ac:dyDescent="0.2">
      <c r="A3739" s="21"/>
      <c r="B3739" s="20"/>
      <c r="C3739" s="22"/>
      <c r="D3739" s="22"/>
      <c r="E3739" s="24"/>
      <c r="F3739" s="22"/>
      <c r="H3739" s="21"/>
      <c r="I3739" s="22"/>
      <c r="J3739" s="22"/>
      <c r="K3739" s="24"/>
      <c r="M3739" s="21"/>
      <c r="N3739" s="22"/>
      <c r="O3739" s="22"/>
      <c r="P3739" s="49"/>
      <c r="Q3739" s="49"/>
      <c r="R3739" s="188" t="str">
        <f t="shared" si="123"/>
        <v/>
      </c>
      <c r="T3739" s="21"/>
      <c r="U3739" s="22"/>
      <c r="V3739" s="24"/>
      <c r="W3739" s="24"/>
      <c r="X3739" s="24"/>
      <c r="Y3739" s="24"/>
      <c r="Z3739" s="20" t="str">
        <f t="shared" si="122"/>
        <v/>
      </c>
    </row>
    <row r="3740" spans="1:26" x14ac:dyDescent="0.2">
      <c r="A3740" s="21"/>
      <c r="B3740" s="20"/>
      <c r="C3740" s="22"/>
      <c r="D3740" s="22"/>
      <c r="E3740" s="24"/>
      <c r="F3740" s="22"/>
      <c r="H3740" s="21"/>
      <c r="I3740" s="22"/>
      <c r="J3740" s="22"/>
      <c r="K3740" s="24"/>
      <c r="M3740" s="21"/>
      <c r="N3740" s="22"/>
      <c r="O3740" s="22"/>
      <c r="P3740" s="49"/>
      <c r="Q3740" s="49"/>
      <c r="R3740" s="188" t="str">
        <f t="shared" si="123"/>
        <v/>
      </c>
      <c r="T3740" s="21"/>
      <c r="U3740" s="22"/>
      <c r="V3740" s="24"/>
      <c r="W3740" s="24"/>
      <c r="X3740" s="24"/>
      <c r="Y3740" s="24"/>
      <c r="Z3740" s="20" t="str">
        <f t="shared" si="122"/>
        <v/>
      </c>
    </row>
    <row r="3741" spans="1:26" x14ac:dyDescent="0.2">
      <c r="A3741" s="21"/>
      <c r="B3741" s="20"/>
      <c r="C3741" s="22"/>
      <c r="D3741" s="22"/>
      <c r="E3741" s="24"/>
      <c r="F3741" s="22"/>
      <c r="H3741" s="21"/>
      <c r="I3741" s="22"/>
      <c r="J3741" s="22"/>
      <c r="K3741" s="24"/>
      <c r="M3741" s="21"/>
      <c r="N3741" s="22"/>
      <c r="O3741" s="22"/>
      <c r="P3741" s="49"/>
      <c r="Q3741" s="49"/>
      <c r="R3741" s="188" t="str">
        <f t="shared" si="123"/>
        <v/>
      </c>
      <c r="T3741" s="21"/>
      <c r="U3741" s="22"/>
      <c r="V3741" s="24"/>
      <c r="W3741" s="24"/>
      <c r="X3741" s="24"/>
      <c r="Y3741" s="24"/>
      <c r="Z3741" s="20" t="str">
        <f t="shared" si="122"/>
        <v/>
      </c>
    </row>
    <row r="3742" spans="1:26" x14ac:dyDescent="0.2">
      <c r="A3742" s="21"/>
      <c r="B3742" s="20"/>
      <c r="C3742" s="22"/>
      <c r="D3742" s="22"/>
      <c r="E3742" s="24"/>
      <c r="F3742" s="22"/>
      <c r="H3742" s="21"/>
      <c r="I3742" s="22"/>
      <c r="J3742" s="22"/>
      <c r="K3742" s="24"/>
      <c r="M3742" s="21"/>
      <c r="N3742" s="22"/>
      <c r="O3742" s="22"/>
      <c r="P3742" s="49"/>
      <c r="Q3742" s="49"/>
      <c r="R3742" s="188" t="str">
        <f t="shared" si="123"/>
        <v/>
      </c>
      <c r="T3742" s="21"/>
      <c r="U3742" s="22"/>
      <c r="V3742" s="24"/>
      <c r="W3742" s="24"/>
      <c r="X3742" s="24"/>
      <c r="Y3742" s="24"/>
      <c r="Z3742" s="20" t="str">
        <f t="shared" si="122"/>
        <v/>
      </c>
    </row>
    <row r="3743" spans="1:26" x14ac:dyDescent="0.2">
      <c r="A3743" s="21"/>
      <c r="B3743" s="20"/>
      <c r="C3743" s="22"/>
      <c r="D3743" s="22"/>
      <c r="E3743" s="24"/>
      <c r="F3743" s="22"/>
      <c r="H3743" s="21"/>
      <c r="I3743" s="22"/>
      <c r="J3743" s="22"/>
      <c r="K3743" s="24"/>
      <c r="M3743" s="21"/>
      <c r="N3743" s="22"/>
      <c r="O3743" s="22"/>
      <c r="P3743" s="49"/>
      <c r="Q3743" s="49"/>
      <c r="R3743" s="188" t="str">
        <f t="shared" si="123"/>
        <v/>
      </c>
      <c r="T3743" s="21"/>
      <c r="U3743" s="22"/>
      <c r="V3743" s="24"/>
      <c r="W3743" s="24"/>
      <c r="X3743" s="24"/>
      <c r="Y3743" s="24"/>
      <c r="Z3743" s="20" t="str">
        <f t="shared" si="122"/>
        <v/>
      </c>
    </row>
    <row r="3744" spans="1:26" x14ac:dyDescent="0.2">
      <c r="A3744" s="21"/>
      <c r="B3744" s="20"/>
      <c r="C3744" s="22"/>
      <c r="D3744" s="22"/>
      <c r="E3744" s="24"/>
      <c r="F3744" s="22"/>
      <c r="H3744" s="21"/>
      <c r="I3744" s="22"/>
      <c r="J3744" s="22"/>
      <c r="K3744" s="24"/>
      <c r="M3744" s="21"/>
      <c r="N3744" s="22"/>
      <c r="O3744" s="22"/>
      <c r="P3744" s="49"/>
      <c r="Q3744" s="49"/>
      <c r="R3744" s="188" t="str">
        <f t="shared" si="123"/>
        <v/>
      </c>
      <c r="T3744" s="21"/>
      <c r="U3744" s="22"/>
      <c r="V3744" s="24"/>
      <c r="W3744" s="24"/>
      <c r="X3744" s="24"/>
      <c r="Y3744" s="24"/>
      <c r="Z3744" s="20" t="str">
        <f t="shared" si="122"/>
        <v/>
      </c>
    </row>
    <row r="3745" spans="1:26" x14ac:dyDescent="0.2">
      <c r="A3745" s="21"/>
      <c r="B3745" s="20"/>
      <c r="C3745" s="22"/>
      <c r="D3745" s="22"/>
      <c r="E3745" s="24"/>
      <c r="F3745" s="22"/>
      <c r="H3745" s="21"/>
      <c r="I3745" s="22"/>
      <c r="J3745" s="22"/>
      <c r="K3745" s="24"/>
      <c r="M3745" s="21"/>
      <c r="N3745" s="22"/>
      <c r="O3745" s="22"/>
      <c r="P3745" s="49"/>
      <c r="Q3745" s="49"/>
      <c r="R3745" s="188" t="str">
        <f t="shared" si="123"/>
        <v/>
      </c>
      <c r="T3745" s="21"/>
      <c r="U3745" s="22"/>
      <c r="V3745" s="24"/>
      <c r="W3745" s="24"/>
      <c r="X3745" s="24"/>
      <c r="Y3745" s="24"/>
      <c r="Z3745" s="20" t="str">
        <f t="shared" si="122"/>
        <v/>
      </c>
    </row>
    <row r="3746" spans="1:26" x14ac:dyDescent="0.2">
      <c r="A3746" s="21"/>
      <c r="B3746" s="20"/>
      <c r="C3746" s="22"/>
      <c r="D3746" s="22"/>
      <c r="E3746" s="24"/>
      <c r="F3746" s="22"/>
      <c r="H3746" s="21"/>
      <c r="I3746" s="22"/>
      <c r="J3746" s="22"/>
      <c r="K3746" s="24"/>
      <c r="M3746" s="21"/>
      <c r="N3746" s="22"/>
      <c r="O3746" s="22"/>
      <c r="P3746" s="49"/>
      <c r="Q3746" s="49"/>
      <c r="R3746" s="188" t="str">
        <f t="shared" si="123"/>
        <v/>
      </c>
      <c r="T3746" s="21"/>
      <c r="U3746" s="22"/>
      <c r="V3746" s="24"/>
      <c r="W3746" s="24"/>
      <c r="X3746" s="24"/>
      <c r="Y3746" s="24"/>
      <c r="Z3746" s="20" t="str">
        <f t="shared" si="122"/>
        <v/>
      </c>
    </row>
    <row r="3747" spans="1:26" x14ac:dyDescent="0.2">
      <c r="A3747" s="21"/>
      <c r="B3747" s="20"/>
      <c r="C3747" s="22"/>
      <c r="D3747" s="22"/>
      <c r="E3747" s="24"/>
      <c r="F3747" s="22"/>
      <c r="H3747" s="21"/>
      <c r="I3747" s="22"/>
      <c r="J3747" s="22"/>
      <c r="K3747" s="24"/>
      <c r="M3747" s="21"/>
      <c r="N3747" s="22"/>
      <c r="O3747" s="22"/>
      <c r="P3747" s="49"/>
      <c r="Q3747" s="49"/>
      <c r="R3747" s="188" t="str">
        <f t="shared" si="123"/>
        <v/>
      </c>
      <c r="T3747" s="21"/>
      <c r="U3747" s="22"/>
      <c r="V3747" s="24"/>
      <c r="W3747" s="24"/>
      <c r="X3747" s="24"/>
      <c r="Y3747" s="24"/>
      <c r="Z3747" s="20" t="str">
        <f t="shared" si="122"/>
        <v/>
      </c>
    </row>
    <row r="3748" spans="1:26" x14ac:dyDescent="0.2">
      <c r="A3748" s="21"/>
      <c r="B3748" s="20"/>
      <c r="C3748" s="22"/>
      <c r="D3748" s="22"/>
      <c r="E3748" s="24"/>
      <c r="F3748" s="22"/>
      <c r="H3748" s="21"/>
      <c r="I3748" s="22"/>
      <c r="J3748" s="22"/>
      <c r="K3748" s="24"/>
      <c r="M3748" s="21"/>
      <c r="N3748" s="22"/>
      <c r="O3748" s="22"/>
      <c r="P3748" s="49"/>
      <c r="Q3748" s="49"/>
      <c r="R3748" s="188" t="str">
        <f t="shared" si="123"/>
        <v/>
      </c>
      <c r="T3748" s="21"/>
      <c r="U3748" s="22"/>
      <c r="V3748" s="24"/>
      <c r="W3748" s="24"/>
      <c r="X3748" s="24"/>
      <c r="Y3748" s="24"/>
      <c r="Z3748" s="20" t="str">
        <f t="shared" si="122"/>
        <v/>
      </c>
    </row>
    <row r="3749" spans="1:26" x14ac:dyDescent="0.2">
      <c r="A3749" s="21"/>
      <c r="B3749" s="20"/>
      <c r="C3749" s="22"/>
      <c r="D3749" s="22"/>
      <c r="E3749" s="24"/>
      <c r="F3749" s="22"/>
      <c r="H3749" s="21"/>
      <c r="I3749" s="22"/>
      <c r="J3749" s="22"/>
      <c r="K3749" s="24"/>
      <c r="M3749" s="21"/>
      <c r="N3749" s="22"/>
      <c r="O3749" s="22"/>
      <c r="P3749" s="49"/>
      <c r="Q3749" s="49"/>
      <c r="R3749" s="188" t="str">
        <f t="shared" si="123"/>
        <v/>
      </c>
      <c r="T3749" s="21"/>
      <c r="U3749" s="22"/>
      <c r="V3749" s="24"/>
      <c r="W3749" s="24"/>
      <c r="X3749" s="24"/>
      <c r="Y3749" s="24"/>
      <c r="Z3749" s="20" t="str">
        <f t="shared" si="122"/>
        <v/>
      </c>
    </row>
    <row r="3750" spans="1:26" x14ac:dyDescent="0.2">
      <c r="A3750" s="21"/>
      <c r="B3750" s="20"/>
      <c r="C3750" s="22"/>
      <c r="D3750" s="22"/>
      <c r="E3750" s="24"/>
      <c r="F3750" s="22"/>
      <c r="H3750" s="21"/>
      <c r="I3750" s="22"/>
      <c r="J3750" s="22"/>
      <c r="K3750" s="24"/>
      <c r="M3750" s="21"/>
      <c r="N3750" s="22"/>
      <c r="O3750" s="22"/>
      <c r="P3750" s="49"/>
      <c r="Q3750" s="49"/>
      <c r="R3750" s="188" t="str">
        <f t="shared" si="123"/>
        <v/>
      </c>
      <c r="T3750" s="21"/>
      <c r="U3750" s="22"/>
      <c r="V3750" s="24"/>
      <c r="W3750" s="24"/>
      <c r="X3750" s="24"/>
      <c r="Y3750" s="24"/>
      <c r="Z3750" s="20" t="str">
        <f t="shared" si="122"/>
        <v/>
      </c>
    </row>
    <row r="3751" spans="1:26" x14ac:dyDescent="0.2">
      <c r="A3751" s="21"/>
      <c r="B3751" s="20"/>
      <c r="C3751" s="22"/>
      <c r="D3751" s="22"/>
      <c r="E3751" s="24"/>
      <c r="F3751" s="22"/>
      <c r="H3751" s="21"/>
      <c r="I3751" s="22"/>
      <c r="J3751" s="22"/>
      <c r="K3751" s="24"/>
      <c r="M3751" s="21"/>
      <c r="N3751" s="22"/>
      <c r="O3751" s="22"/>
      <c r="P3751" s="49"/>
      <c r="Q3751" s="49"/>
      <c r="R3751" s="188" t="str">
        <f t="shared" si="123"/>
        <v/>
      </c>
      <c r="T3751" s="21"/>
      <c r="U3751" s="22"/>
      <c r="V3751" s="24"/>
      <c r="W3751" s="24"/>
      <c r="X3751" s="24"/>
      <c r="Y3751" s="24"/>
      <c r="Z3751" s="20" t="str">
        <f t="shared" si="122"/>
        <v/>
      </c>
    </row>
    <row r="3752" spans="1:26" x14ac:dyDescent="0.2">
      <c r="A3752" s="21"/>
      <c r="B3752" s="20"/>
      <c r="C3752" s="22"/>
      <c r="D3752" s="22"/>
      <c r="E3752" s="24"/>
      <c r="F3752" s="22"/>
      <c r="H3752" s="21"/>
      <c r="I3752" s="22"/>
      <c r="J3752" s="22"/>
      <c r="K3752" s="24"/>
      <c r="M3752" s="21"/>
      <c r="N3752" s="22"/>
      <c r="O3752" s="22"/>
      <c r="P3752" s="49"/>
      <c r="Q3752" s="49"/>
      <c r="R3752" s="188" t="str">
        <f t="shared" si="123"/>
        <v/>
      </c>
      <c r="T3752" s="21"/>
      <c r="U3752" s="22"/>
      <c r="V3752" s="24"/>
      <c r="W3752" s="24"/>
      <c r="X3752" s="24"/>
      <c r="Y3752" s="24"/>
      <c r="Z3752" s="20" t="str">
        <f t="shared" si="122"/>
        <v/>
      </c>
    </row>
    <row r="3753" spans="1:26" x14ac:dyDescent="0.2">
      <c r="A3753" s="21"/>
      <c r="B3753" s="20"/>
      <c r="C3753" s="22"/>
      <c r="D3753" s="22"/>
      <c r="E3753" s="24"/>
      <c r="F3753" s="22"/>
      <c r="H3753" s="21"/>
      <c r="I3753" s="22"/>
      <c r="J3753" s="22"/>
      <c r="K3753" s="24"/>
      <c r="M3753" s="21"/>
      <c r="N3753" s="22"/>
      <c r="O3753" s="22"/>
      <c r="P3753" s="49"/>
      <c r="Q3753" s="49"/>
      <c r="R3753" s="188" t="str">
        <f t="shared" si="123"/>
        <v/>
      </c>
      <c r="T3753" s="21"/>
      <c r="U3753" s="22"/>
      <c r="V3753" s="24"/>
      <c r="W3753" s="24"/>
      <c r="X3753" s="24"/>
      <c r="Y3753" s="24"/>
      <c r="Z3753" s="20" t="str">
        <f t="shared" si="122"/>
        <v/>
      </c>
    </row>
    <row r="3754" spans="1:26" x14ac:dyDescent="0.2">
      <c r="A3754" s="21"/>
      <c r="B3754" s="20"/>
      <c r="C3754" s="22"/>
      <c r="D3754" s="22"/>
      <c r="E3754" s="24"/>
      <c r="F3754" s="22"/>
      <c r="H3754" s="21"/>
      <c r="I3754" s="22"/>
      <c r="J3754" s="22"/>
      <c r="K3754" s="24"/>
      <c r="M3754" s="21"/>
      <c r="N3754" s="22"/>
      <c r="O3754" s="22"/>
      <c r="P3754" s="49"/>
      <c r="Q3754" s="49"/>
      <c r="R3754" s="188" t="str">
        <f t="shared" si="123"/>
        <v/>
      </c>
      <c r="T3754" s="21"/>
      <c r="U3754" s="22"/>
      <c r="V3754" s="24"/>
      <c r="W3754" s="24"/>
      <c r="X3754" s="24"/>
      <c r="Y3754" s="24"/>
      <c r="Z3754" s="20" t="str">
        <f t="shared" si="122"/>
        <v/>
      </c>
    </row>
    <row r="3755" spans="1:26" x14ac:dyDescent="0.2">
      <c r="A3755" s="21"/>
      <c r="B3755" s="20"/>
      <c r="C3755" s="22"/>
      <c r="D3755" s="22"/>
      <c r="E3755" s="24"/>
      <c r="F3755" s="22"/>
      <c r="H3755" s="21"/>
      <c r="I3755" s="22"/>
      <c r="J3755" s="22"/>
      <c r="K3755" s="24"/>
      <c r="M3755" s="21"/>
      <c r="N3755" s="22"/>
      <c r="O3755" s="22"/>
      <c r="P3755" s="49"/>
      <c r="Q3755" s="49"/>
      <c r="R3755" s="188" t="str">
        <f t="shared" si="123"/>
        <v/>
      </c>
      <c r="T3755" s="21"/>
      <c r="U3755" s="22"/>
      <c r="V3755" s="24"/>
      <c r="W3755" s="24"/>
      <c r="X3755" s="24"/>
      <c r="Y3755" s="24"/>
      <c r="Z3755" s="20" t="str">
        <f t="shared" si="122"/>
        <v/>
      </c>
    </row>
    <row r="3756" spans="1:26" x14ac:dyDescent="0.2">
      <c r="A3756" s="21"/>
      <c r="B3756" s="20"/>
      <c r="C3756" s="22"/>
      <c r="D3756" s="22"/>
      <c r="E3756" s="24"/>
      <c r="F3756" s="22"/>
      <c r="H3756" s="21"/>
      <c r="I3756" s="22"/>
      <c r="J3756" s="22"/>
      <c r="K3756" s="24"/>
      <c r="M3756" s="21"/>
      <c r="N3756" s="22"/>
      <c r="O3756" s="22"/>
      <c r="P3756" s="49"/>
      <c r="Q3756" s="49"/>
      <c r="R3756" s="188" t="str">
        <f t="shared" si="123"/>
        <v/>
      </c>
      <c r="T3756" s="21"/>
      <c r="U3756" s="22"/>
      <c r="V3756" s="24"/>
      <c r="W3756" s="24"/>
      <c r="X3756" s="24"/>
      <c r="Y3756" s="24"/>
      <c r="Z3756" s="20" t="str">
        <f t="shared" si="122"/>
        <v/>
      </c>
    </row>
    <row r="3757" spans="1:26" x14ac:dyDescent="0.2">
      <c r="A3757" s="21"/>
      <c r="B3757" s="20"/>
      <c r="C3757" s="22"/>
      <c r="D3757" s="22"/>
      <c r="E3757" s="24"/>
      <c r="F3757" s="22"/>
      <c r="H3757" s="21"/>
      <c r="I3757" s="22"/>
      <c r="J3757" s="22"/>
      <c r="K3757" s="24"/>
      <c r="M3757" s="21"/>
      <c r="N3757" s="22"/>
      <c r="O3757" s="22"/>
      <c r="P3757" s="49"/>
      <c r="Q3757" s="49"/>
      <c r="R3757" s="188" t="str">
        <f t="shared" si="123"/>
        <v/>
      </c>
      <c r="T3757" s="21"/>
      <c r="U3757" s="22"/>
      <c r="V3757" s="24"/>
      <c r="W3757" s="24"/>
      <c r="X3757" s="24"/>
      <c r="Y3757" s="24"/>
      <c r="Z3757" s="20" t="str">
        <f t="shared" si="122"/>
        <v/>
      </c>
    </row>
    <row r="3758" spans="1:26" x14ac:dyDescent="0.2">
      <c r="A3758" s="21"/>
      <c r="B3758" s="20"/>
      <c r="C3758" s="22"/>
      <c r="D3758" s="22"/>
      <c r="E3758" s="24"/>
      <c r="F3758" s="22"/>
      <c r="H3758" s="21"/>
      <c r="I3758" s="22"/>
      <c r="J3758" s="22"/>
      <c r="K3758" s="24"/>
      <c r="M3758" s="21"/>
      <c r="N3758" s="22"/>
      <c r="O3758" s="22"/>
      <c r="P3758" s="49"/>
      <c r="Q3758" s="49"/>
      <c r="R3758" s="188" t="str">
        <f t="shared" si="123"/>
        <v/>
      </c>
      <c r="T3758" s="21"/>
      <c r="U3758" s="22"/>
      <c r="V3758" s="24"/>
      <c r="W3758" s="24"/>
      <c r="X3758" s="24"/>
      <c r="Y3758" s="24"/>
      <c r="Z3758" s="20" t="str">
        <f t="shared" si="122"/>
        <v/>
      </c>
    </row>
    <row r="3759" spans="1:26" x14ac:dyDescent="0.2">
      <c r="A3759" s="21"/>
      <c r="B3759" s="20"/>
      <c r="C3759" s="22"/>
      <c r="D3759" s="22"/>
      <c r="E3759" s="24"/>
      <c r="F3759" s="22"/>
      <c r="H3759" s="21"/>
      <c r="I3759" s="22"/>
      <c r="J3759" s="22"/>
      <c r="K3759" s="24"/>
      <c r="M3759" s="21"/>
      <c r="N3759" s="22"/>
      <c r="O3759" s="22"/>
      <c r="P3759" s="49"/>
      <c r="Q3759" s="49"/>
      <c r="R3759" s="188" t="str">
        <f t="shared" si="123"/>
        <v/>
      </c>
      <c r="T3759" s="21"/>
      <c r="U3759" s="22"/>
      <c r="V3759" s="24"/>
      <c r="W3759" s="24"/>
      <c r="X3759" s="24"/>
      <c r="Y3759" s="24"/>
      <c r="Z3759" s="20" t="str">
        <f t="shared" si="122"/>
        <v/>
      </c>
    </row>
    <row r="3760" spans="1:26" x14ac:dyDescent="0.2">
      <c r="A3760" s="21"/>
      <c r="B3760" s="20"/>
      <c r="C3760" s="22"/>
      <c r="D3760" s="22"/>
      <c r="E3760" s="24"/>
      <c r="F3760" s="22"/>
      <c r="H3760" s="21"/>
      <c r="I3760" s="22"/>
      <c r="J3760" s="22"/>
      <c r="K3760" s="24"/>
      <c r="M3760" s="21"/>
      <c r="N3760" s="22"/>
      <c r="O3760" s="22"/>
      <c r="P3760" s="49"/>
      <c r="Q3760" s="49"/>
      <c r="R3760" s="188" t="str">
        <f t="shared" si="123"/>
        <v/>
      </c>
      <c r="T3760" s="21"/>
      <c r="U3760" s="22"/>
      <c r="V3760" s="24"/>
      <c r="W3760" s="24"/>
      <c r="X3760" s="24"/>
      <c r="Y3760" s="24"/>
      <c r="Z3760" s="20" t="str">
        <f t="shared" si="122"/>
        <v/>
      </c>
    </row>
    <row r="3761" spans="1:26" x14ac:dyDescent="0.2">
      <c r="A3761" s="21"/>
      <c r="B3761" s="20"/>
      <c r="C3761" s="22"/>
      <c r="D3761" s="22"/>
      <c r="E3761" s="24"/>
      <c r="F3761" s="22"/>
      <c r="H3761" s="21"/>
      <c r="I3761" s="22"/>
      <c r="J3761" s="22"/>
      <c r="K3761" s="24"/>
      <c r="M3761" s="21"/>
      <c r="N3761" s="22"/>
      <c r="O3761" s="22"/>
      <c r="P3761" s="49"/>
      <c r="Q3761" s="49"/>
      <c r="R3761" s="188" t="str">
        <f t="shared" si="123"/>
        <v/>
      </c>
      <c r="T3761" s="21"/>
      <c r="U3761" s="22"/>
      <c r="V3761" s="24"/>
      <c r="W3761" s="24"/>
      <c r="X3761" s="24"/>
      <c r="Y3761" s="24"/>
      <c r="Z3761" s="20" t="str">
        <f t="shared" si="122"/>
        <v/>
      </c>
    </row>
    <row r="3762" spans="1:26" x14ac:dyDescent="0.2">
      <c r="A3762" s="21"/>
      <c r="B3762" s="20"/>
      <c r="C3762" s="22"/>
      <c r="D3762" s="22"/>
      <c r="E3762" s="24"/>
      <c r="F3762" s="22"/>
      <c r="H3762" s="21"/>
      <c r="I3762" s="22"/>
      <c r="J3762" s="22"/>
      <c r="K3762" s="24"/>
      <c r="M3762" s="21"/>
      <c r="N3762" s="22"/>
      <c r="O3762" s="22"/>
      <c r="P3762" s="49"/>
      <c r="Q3762" s="49"/>
      <c r="R3762" s="188" t="str">
        <f t="shared" si="123"/>
        <v/>
      </c>
      <c r="T3762" s="21"/>
      <c r="U3762" s="22"/>
      <c r="V3762" s="24"/>
      <c r="W3762" s="24"/>
      <c r="X3762" s="24"/>
      <c r="Y3762" s="24"/>
      <c r="Z3762" s="20" t="str">
        <f t="shared" si="122"/>
        <v/>
      </c>
    </row>
    <row r="3763" spans="1:26" x14ac:dyDescent="0.2">
      <c r="A3763" s="21"/>
      <c r="B3763" s="20"/>
      <c r="C3763" s="22"/>
      <c r="D3763" s="22"/>
      <c r="E3763" s="24"/>
      <c r="F3763" s="22"/>
      <c r="H3763" s="21"/>
      <c r="I3763" s="22"/>
      <c r="J3763" s="22"/>
      <c r="K3763" s="24"/>
      <c r="M3763" s="21"/>
      <c r="N3763" s="22"/>
      <c r="O3763" s="22"/>
      <c r="P3763" s="49"/>
      <c r="Q3763" s="49"/>
      <c r="R3763" s="188" t="str">
        <f t="shared" si="123"/>
        <v/>
      </c>
      <c r="T3763" s="21"/>
      <c r="U3763" s="22"/>
      <c r="V3763" s="24"/>
      <c r="W3763" s="24"/>
      <c r="X3763" s="24"/>
      <c r="Y3763" s="24"/>
      <c r="Z3763" s="20" t="str">
        <f t="shared" si="122"/>
        <v/>
      </c>
    </row>
    <row r="3764" spans="1:26" x14ac:dyDescent="0.2">
      <c r="A3764" s="21"/>
      <c r="B3764" s="20"/>
      <c r="C3764" s="22"/>
      <c r="D3764" s="22"/>
      <c r="E3764" s="24"/>
      <c r="F3764" s="22"/>
      <c r="H3764" s="21"/>
      <c r="I3764" s="22"/>
      <c r="J3764" s="22"/>
      <c r="K3764" s="24"/>
      <c r="M3764" s="21"/>
      <c r="N3764" s="22"/>
      <c r="O3764" s="22"/>
      <c r="P3764" s="49"/>
      <c r="Q3764" s="49"/>
      <c r="R3764" s="188" t="str">
        <f t="shared" si="123"/>
        <v/>
      </c>
      <c r="T3764" s="21"/>
      <c r="U3764" s="22"/>
      <c r="V3764" s="24"/>
      <c r="W3764" s="24"/>
      <c r="X3764" s="24"/>
      <c r="Y3764" s="24"/>
      <c r="Z3764" s="20" t="str">
        <f t="shared" si="122"/>
        <v/>
      </c>
    </row>
    <row r="3765" spans="1:26" x14ac:dyDescent="0.2">
      <c r="A3765" s="21"/>
      <c r="B3765" s="20"/>
      <c r="C3765" s="22"/>
      <c r="D3765" s="22"/>
      <c r="E3765" s="24"/>
      <c r="F3765" s="22"/>
      <c r="H3765" s="21"/>
      <c r="I3765" s="22"/>
      <c r="J3765" s="22"/>
      <c r="K3765" s="24"/>
      <c r="M3765" s="21"/>
      <c r="N3765" s="22"/>
      <c r="O3765" s="22"/>
      <c r="P3765" s="49"/>
      <c r="Q3765" s="49"/>
      <c r="R3765" s="188" t="str">
        <f t="shared" si="123"/>
        <v/>
      </c>
      <c r="T3765" s="21"/>
      <c r="U3765" s="22"/>
      <c r="V3765" s="24"/>
      <c r="W3765" s="24"/>
      <c r="X3765" s="24"/>
      <c r="Y3765" s="24"/>
      <c r="Z3765" s="20" t="str">
        <f t="shared" si="122"/>
        <v/>
      </c>
    </row>
    <row r="3766" spans="1:26" x14ac:dyDescent="0.2">
      <c r="A3766" s="21"/>
      <c r="B3766" s="20"/>
      <c r="C3766" s="22"/>
      <c r="D3766" s="22"/>
      <c r="E3766" s="24"/>
      <c r="F3766" s="22"/>
      <c r="H3766" s="21"/>
      <c r="I3766" s="22"/>
      <c r="J3766" s="22"/>
      <c r="K3766" s="24"/>
      <c r="M3766" s="21"/>
      <c r="N3766" s="22"/>
      <c r="O3766" s="22"/>
      <c r="P3766" s="49"/>
      <c r="Q3766" s="49"/>
      <c r="R3766" s="188" t="str">
        <f t="shared" si="123"/>
        <v/>
      </c>
      <c r="T3766" s="21"/>
      <c r="U3766" s="22"/>
      <c r="V3766" s="24"/>
      <c r="W3766" s="24"/>
      <c r="X3766" s="24"/>
      <c r="Y3766" s="24"/>
      <c r="Z3766" s="20" t="str">
        <f t="shared" si="122"/>
        <v/>
      </c>
    </row>
    <row r="3767" spans="1:26" x14ac:dyDescent="0.2">
      <c r="A3767" s="21"/>
      <c r="B3767" s="20"/>
      <c r="C3767" s="22"/>
      <c r="D3767" s="22"/>
      <c r="E3767" s="24"/>
      <c r="F3767" s="22"/>
      <c r="H3767" s="21"/>
      <c r="I3767" s="22"/>
      <c r="J3767" s="22"/>
      <c r="K3767" s="24"/>
      <c r="M3767" s="21"/>
      <c r="N3767" s="22"/>
      <c r="O3767" s="22"/>
      <c r="P3767" s="49"/>
      <c r="Q3767" s="49"/>
      <c r="R3767" s="188" t="str">
        <f t="shared" si="123"/>
        <v/>
      </c>
      <c r="T3767" s="21"/>
      <c r="U3767" s="22"/>
      <c r="V3767" s="24"/>
      <c r="W3767" s="24"/>
      <c r="X3767" s="24"/>
      <c r="Y3767" s="24"/>
      <c r="Z3767" s="20" t="str">
        <f t="shared" si="122"/>
        <v/>
      </c>
    </row>
    <row r="3768" spans="1:26" x14ac:dyDescent="0.2">
      <c r="A3768" s="21"/>
      <c r="B3768" s="20"/>
      <c r="C3768" s="22"/>
      <c r="D3768" s="22"/>
      <c r="E3768" s="24"/>
      <c r="F3768" s="22"/>
      <c r="H3768" s="21"/>
      <c r="I3768" s="22"/>
      <c r="J3768" s="22"/>
      <c r="K3768" s="24"/>
      <c r="M3768" s="21"/>
      <c r="N3768" s="22"/>
      <c r="O3768" s="22"/>
      <c r="P3768" s="49"/>
      <c r="Q3768" s="49"/>
      <c r="R3768" s="188" t="str">
        <f t="shared" si="123"/>
        <v/>
      </c>
      <c r="T3768" s="21"/>
      <c r="U3768" s="22"/>
      <c r="V3768" s="24"/>
      <c r="W3768" s="24"/>
      <c r="X3768" s="24"/>
      <c r="Y3768" s="24"/>
      <c r="Z3768" s="20" t="str">
        <f t="shared" si="122"/>
        <v/>
      </c>
    </row>
    <row r="3769" spans="1:26" x14ac:dyDescent="0.2">
      <c r="A3769" s="21"/>
      <c r="B3769" s="20"/>
      <c r="C3769" s="22"/>
      <c r="D3769" s="22"/>
      <c r="E3769" s="24"/>
      <c r="F3769" s="22"/>
      <c r="H3769" s="21"/>
      <c r="I3769" s="22"/>
      <c r="J3769" s="22"/>
      <c r="K3769" s="24"/>
      <c r="M3769" s="21"/>
      <c r="N3769" s="22"/>
      <c r="O3769" s="22"/>
      <c r="P3769" s="49"/>
      <c r="Q3769" s="49"/>
      <c r="R3769" s="188" t="str">
        <f t="shared" si="123"/>
        <v/>
      </c>
      <c r="T3769" s="21"/>
      <c r="U3769" s="22"/>
      <c r="V3769" s="24"/>
      <c r="W3769" s="24"/>
      <c r="X3769" s="24"/>
      <c r="Y3769" s="24"/>
      <c r="Z3769" s="20" t="str">
        <f t="shared" si="122"/>
        <v/>
      </c>
    </row>
    <row r="3770" spans="1:26" x14ac:dyDescent="0.2">
      <c r="A3770" s="21"/>
      <c r="B3770" s="20"/>
      <c r="C3770" s="22"/>
      <c r="D3770" s="22"/>
      <c r="E3770" s="24"/>
      <c r="F3770" s="22"/>
      <c r="H3770" s="21"/>
      <c r="I3770" s="22"/>
      <c r="J3770" s="22"/>
      <c r="K3770" s="24"/>
      <c r="M3770" s="21"/>
      <c r="N3770" s="22"/>
      <c r="O3770" s="22"/>
      <c r="P3770" s="49"/>
      <c r="Q3770" s="49"/>
      <c r="R3770" s="188" t="str">
        <f t="shared" si="123"/>
        <v/>
      </c>
      <c r="T3770" s="21"/>
      <c r="U3770" s="22"/>
      <c r="V3770" s="24"/>
      <c r="W3770" s="24"/>
      <c r="X3770" s="24"/>
      <c r="Y3770" s="24"/>
      <c r="Z3770" s="20" t="str">
        <f t="shared" si="122"/>
        <v/>
      </c>
    </row>
    <row r="3771" spans="1:26" x14ac:dyDescent="0.2">
      <c r="A3771" s="21"/>
      <c r="B3771" s="20"/>
      <c r="C3771" s="22"/>
      <c r="D3771" s="22"/>
      <c r="E3771" s="24"/>
      <c r="F3771" s="22"/>
      <c r="H3771" s="21"/>
      <c r="I3771" s="22"/>
      <c r="J3771" s="22"/>
      <c r="K3771" s="24"/>
      <c r="M3771" s="21"/>
      <c r="N3771" s="22"/>
      <c r="O3771" s="22"/>
      <c r="P3771" s="49"/>
      <c r="Q3771" s="49"/>
      <c r="R3771" s="188" t="str">
        <f t="shared" si="123"/>
        <v/>
      </c>
      <c r="T3771" s="21"/>
      <c r="U3771" s="22"/>
      <c r="V3771" s="24"/>
      <c r="W3771" s="24"/>
      <c r="X3771" s="24"/>
      <c r="Y3771" s="24"/>
      <c r="Z3771" s="20" t="str">
        <f t="shared" si="122"/>
        <v/>
      </c>
    </row>
    <row r="3772" spans="1:26" x14ac:dyDescent="0.2">
      <c r="A3772" s="21"/>
      <c r="B3772" s="20"/>
      <c r="C3772" s="22"/>
      <c r="D3772" s="22"/>
      <c r="E3772" s="24"/>
      <c r="F3772" s="22"/>
      <c r="H3772" s="21"/>
      <c r="I3772" s="22"/>
      <c r="J3772" s="22"/>
      <c r="K3772" s="24"/>
      <c r="M3772" s="21"/>
      <c r="N3772" s="22"/>
      <c r="O3772" s="22"/>
      <c r="P3772" s="49"/>
      <c r="Q3772" s="49"/>
      <c r="R3772" s="188" t="str">
        <f t="shared" si="123"/>
        <v/>
      </c>
      <c r="T3772" s="21"/>
      <c r="U3772" s="22"/>
      <c r="V3772" s="24"/>
      <c r="W3772" s="24"/>
      <c r="X3772" s="24"/>
      <c r="Y3772" s="24"/>
      <c r="Z3772" s="20" t="str">
        <f t="shared" si="122"/>
        <v/>
      </c>
    </row>
    <row r="3773" spans="1:26" x14ac:dyDescent="0.2">
      <c r="A3773" s="21"/>
      <c r="B3773" s="20"/>
      <c r="C3773" s="22"/>
      <c r="D3773" s="22"/>
      <c r="E3773" s="24"/>
      <c r="F3773" s="22"/>
      <c r="H3773" s="21"/>
      <c r="I3773" s="22"/>
      <c r="J3773" s="22"/>
      <c r="K3773" s="24"/>
      <c r="M3773" s="21"/>
      <c r="N3773" s="22"/>
      <c r="O3773" s="22"/>
      <c r="P3773" s="49"/>
      <c r="Q3773" s="49"/>
      <c r="R3773" s="188" t="str">
        <f t="shared" si="123"/>
        <v/>
      </c>
      <c r="T3773" s="21"/>
      <c r="U3773" s="22"/>
      <c r="V3773" s="24"/>
      <c r="W3773" s="24"/>
      <c r="X3773" s="24"/>
      <c r="Y3773" s="24"/>
      <c r="Z3773" s="20" t="str">
        <f t="shared" si="122"/>
        <v/>
      </c>
    </row>
    <row r="3774" spans="1:26" x14ac:dyDescent="0.2">
      <c r="A3774" s="21"/>
      <c r="B3774" s="20"/>
      <c r="C3774" s="22"/>
      <c r="D3774" s="22"/>
      <c r="E3774" s="24"/>
      <c r="F3774" s="22"/>
      <c r="H3774" s="21"/>
      <c r="I3774" s="22"/>
      <c r="J3774" s="22"/>
      <c r="K3774" s="24"/>
      <c r="M3774" s="21"/>
      <c r="N3774" s="22"/>
      <c r="O3774" s="22"/>
      <c r="P3774" s="49"/>
      <c r="Q3774" s="49"/>
      <c r="R3774" s="188" t="str">
        <f t="shared" si="123"/>
        <v/>
      </c>
      <c r="T3774" s="21"/>
      <c r="U3774" s="22"/>
      <c r="V3774" s="24"/>
      <c r="W3774" s="24"/>
      <c r="X3774" s="24"/>
      <c r="Y3774" s="24"/>
      <c r="Z3774" s="20" t="str">
        <f t="shared" si="122"/>
        <v/>
      </c>
    </row>
    <row r="3775" spans="1:26" x14ac:dyDescent="0.2">
      <c r="A3775" s="21"/>
      <c r="B3775" s="20"/>
      <c r="C3775" s="22"/>
      <c r="D3775" s="22"/>
      <c r="E3775" s="24"/>
      <c r="F3775" s="22"/>
      <c r="H3775" s="21"/>
      <c r="I3775" s="22"/>
      <c r="J3775" s="22"/>
      <c r="K3775" s="24"/>
      <c r="M3775" s="21"/>
      <c r="N3775" s="22"/>
      <c r="O3775" s="22"/>
      <c r="P3775" s="49"/>
      <c r="Q3775" s="49"/>
      <c r="R3775" s="188" t="str">
        <f t="shared" si="123"/>
        <v/>
      </c>
      <c r="T3775" s="21"/>
      <c r="U3775" s="22"/>
      <c r="V3775" s="24"/>
      <c r="W3775" s="24"/>
      <c r="X3775" s="24"/>
      <c r="Y3775" s="24"/>
      <c r="Z3775" s="20" t="str">
        <f t="shared" si="122"/>
        <v/>
      </c>
    </row>
    <row r="3776" spans="1:26" x14ac:dyDescent="0.2">
      <c r="A3776" s="21"/>
      <c r="B3776" s="20"/>
      <c r="C3776" s="22"/>
      <c r="D3776" s="22"/>
      <c r="E3776" s="24"/>
      <c r="F3776" s="22"/>
      <c r="H3776" s="21"/>
      <c r="I3776" s="22"/>
      <c r="J3776" s="22"/>
      <c r="K3776" s="24"/>
      <c r="M3776" s="21"/>
      <c r="N3776" s="22"/>
      <c r="O3776" s="22"/>
      <c r="P3776" s="49"/>
      <c r="Q3776" s="49"/>
      <c r="R3776" s="188" t="str">
        <f t="shared" si="123"/>
        <v/>
      </c>
      <c r="T3776" s="21"/>
      <c r="U3776" s="22"/>
      <c r="V3776" s="24"/>
      <c r="W3776" s="24"/>
      <c r="X3776" s="24"/>
      <c r="Y3776" s="24"/>
      <c r="Z3776" s="20" t="str">
        <f t="shared" si="122"/>
        <v/>
      </c>
    </row>
    <row r="3777" spans="1:26" x14ac:dyDescent="0.2">
      <c r="A3777" s="21"/>
      <c r="B3777" s="20"/>
      <c r="C3777" s="22"/>
      <c r="D3777" s="22"/>
      <c r="E3777" s="24"/>
      <c r="F3777" s="22"/>
      <c r="H3777" s="21"/>
      <c r="I3777" s="22"/>
      <c r="J3777" s="22"/>
      <c r="K3777" s="24"/>
      <c r="M3777" s="21"/>
      <c r="N3777" s="22"/>
      <c r="O3777" s="22"/>
      <c r="P3777" s="49"/>
      <c r="Q3777" s="49"/>
      <c r="R3777" s="188" t="str">
        <f t="shared" si="123"/>
        <v/>
      </c>
      <c r="T3777" s="21"/>
      <c r="U3777" s="22"/>
      <c r="V3777" s="24"/>
      <c r="W3777" s="24"/>
      <c r="X3777" s="24"/>
      <c r="Y3777" s="24"/>
      <c r="Z3777" s="20" t="str">
        <f t="shared" si="122"/>
        <v/>
      </c>
    </row>
    <row r="3778" spans="1:26" x14ac:dyDescent="0.2">
      <c r="A3778" s="21"/>
      <c r="B3778" s="20"/>
      <c r="C3778" s="22"/>
      <c r="D3778" s="22"/>
      <c r="E3778" s="24"/>
      <c r="F3778" s="22"/>
      <c r="H3778" s="21"/>
      <c r="I3778" s="22"/>
      <c r="J3778" s="22"/>
      <c r="K3778" s="24"/>
      <c r="M3778" s="21"/>
      <c r="N3778" s="22"/>
      <c r="O3778" s="22"/>
      <c r="P3778" s="49"/>
      <c r="Q3778" s="49"/>
      <c r="R3778" s="188" t="str">
        <f t="shared" si="123"/>
        <v/>
      </c>
      <c r="T3778" s="21"/>
      <c r="U3778" s="22"/>
      <c r="V3778" s="24"/>
      <c r="W3778" s="24"/>
      <c r="X3778" s="24"/>
      <c r="Y3778" s="24"/>
      <c r="Z3778" s="20" t="str">
        <f t="shared" si="122"/>
        <v/>
      </c>
    </row>
    <row r="3779" spans="1:26" x14ac:dyDescent="0.2">
      <c r="A3779" s="21"/>
      <c r="B3779" s="20"/>
      <c r="C3779" s="22"/>
      <c r="D3779" s="22"/>
      <c r="E3779" s="24"/>
      <c r="F3779" s="22"/>
      <c r="H3779" s="21"/>
      <c r="I3779" s="22"/>
      <c r="J3779" s="22"/>
      <c r="K3779" s="24"/>
      <c r="M3779" s="21"/>
      <c r="N3779" s="22"/>
      <c r="O3779" s="22"/>
      <c r="P3779" s="49"/>
      <c r="Q3779" s="49"/>
      <c r="R3779" s="188" t="str">
        <f t="shared" si="123"/>
        <v/>
      </c>
      <c r="T3779" s="21"/>
      <c r="U3779" s="22"/>
      <c r="V3779" s="24"/>
      <c r="W3779" s="24"/>
      <c r="X3779" s="24"/>
      <c r="Y3779" s="24"/>
      <c r="Z3779" s="20" t="str">
        <f t="shared" si="122"/>
        <v/>
      </c>
    </row>
    <row r="3780" spans="1:26" x14ac:dyDescent="0.2">
      <c r="A3780" s="21"/>
      <c r="B3780" s="20"/>
      <c r="C3780" s="22"/>
      <c r="D3780" s="22"/>
      <c r="E3780" s="24"/>
      <c r="F3780" s="22"/>
      <c r="H3780" s="21"/>
      <c r="I3780" s="22"/>
      <c r="J3780" s="22"/>
      <c r="K3780" s="24"/>
      <c r="M3780" s="21"/>
      <c r="N3780" s="22"/>
      <c r="O3780" s="22"/>
      <c r="P3780" s="49"/>
      <c r="Q3780" s="49"/>
      <c r="R3780" s="188" t="str">
        <f t="shared" si="123"/>
        <v/>
      </c>
      <c r="T3780" s="21"/>
      <c r="U3780" s="22"/>
      <c r="V3780" s="24"/>
      <c r="W3780" s="24"/>
      <c r="X3780" s="24"/>
      <c r="Y3780" s="24"/>
      <c r="Z3780" s="20" t="str">
        <f t="shared" si="122"/>
        <v/>
      </c>
    </row>
    <row r="3781" spans="1:26" x14ac:dyDescent="0.2">
      <c r="A3781" s="21"/>
      <c r="B3781" s="20"/>
      <c r="C3781" s="22"/>
      <c r="D3781" s="22"/>
      <c r="E3781" s="24"/>
      <c r="F3781" s="22"/>
      <c r="H3781" s="21"/>
      <c r="I3781" s="22"/>
      <c r="J3781" s="22"/>
      <c r="K3781" s="24"/>
      <c r="M3781" s="21"/>
      <c r="N3781" s="22"/>
      <c r="O3781" s="22"/>
      <c r="P3781" s="49"/>
      <c r="Q3781" s="49"/>
      <c r="R3781" s="188" t="str">
        <f t="shared" si="123"/>
        <v/>
      </c>
      <c r="T3781" s="21"/>
      <c r="U3781" s="22"/>
      <c r="V3781" s="24"/>
      <c r="W3781" s="24"/>
      <c r="X3781" s="24"/>
      <c r="Y3781" s="24"/>
      <c r="Z3781" s="20" t="str">
        <f t="shared" si="122"/>
        <v/>
      </c>
    </row>
    <row r="3782" spans="1:26" x14ac:dyDescent="0.2">
      <c r="A3782" s="21"/>
      <c r="B3782" s="20"/>
      <c r="C3782" s="22"/>
      <c r="D3782" s="22"/>
      <c r="E3782" s="24"/>
      <c r="F3782" s="22"/>
      <c r="H3782" s="21"/>
      <c r="I3782" s="22"/>
      <c r="J3782" s="22"/>
      <c r="K3782" s="24"/>
      <c r="M3782" s="21"/>
      <c r="N3782" s="22"/>
      <c r="O3782" s="22"/>
      <c r="P3782" s="49"/>
      <c r="Q3782" s="49"/>
      <c r="R3782" s="188" t="str">
        <f t="shared" si="123"/>
        <v/>
      </c>
      <c r="T3782" s="21"/>
      <c r="U3782" s="22"/>
      <c r="V3782" s="24"/>
      <c r="W3782" s="24"/>
      <c r="X3782" s="24"/>
      <c r="Y3782" s="24"/>
      <c r="Z3782" s="20" t="str">
        <f t="shared" si="122"/>
        <v/>
      </c>
    </row>
    <row r="3783" spans="1:26" x14ac:dyDescent="0.2">
      <c r="A3783" s="21"/>
      <c r="B3783" s="20"/>
      <c r="C3783" s="22"/>
      <c r="D3783" s="22"/>
      <c r="E3783" s="24"/>
      <c r="F3783" s="22"/>
      <c r="H3783" s="21"/>
      <c r="I3783" s="22"/>
      <c r="J3783" s="22"/>
      <c r="K3783" s="24"/>
      <c r="M3783" s="21"/>
      <c r="N3783" s="22"/>
      <c r="O3783" s="22"/>
      <c r="P3783" s="49"/>
      <c r="Q3783" s="49"/>
      <c r="R3783" s="188" t="str">
        <f t="shared" si="123"/>
        <v/>
      </c>
      <c r="T3783" s="21"/>
      <c r="U3783" s="22"/>
      <c r="V3783" s="24"/>
      <c r="W3783" s="24"/>
      <c r="X3783" s="24"/>
      <c r="Y3783" s="24"/>
      <c r="Z3783" s="20" t="str">
        <f t="shared" si="122"/>
        <v/>
      </c>
    </row>
    <row r="3784" spans="1:26" x14ac:dyDescent="0.2">
      <c r="A3784" s="21"/>
      <c r="B3784" s="20"/>
      <c r="C3784" s="22"/>
      <c r="D3784" s="22"/>
      <c r="E3784" s="24"/>
      <c r="F3784" s="22"/>
      <c r="H3784" s="21"/>
      <c r="I3784" s="22"/>
      <c r="J3784" s="22"/>
      <c r="K3784" s="24"/>
      <c r="M3784" s="21"/>
      <c r="N3784" s="22"/>
      <c r="O3784" s="22"/>
      <c r="P3784" s="49"/>
      <c r="Q3784" s="49"/>
      <c r="R3784" s="188" t="str">
        <f t="shared" si="123"/>
        <v/>
      </c>
      <c r="T3784" s="21"/>
      <c r="U3784" s="22"/>
      <c r="V3784" s="24"/>
      <c r="W3784" s="24"/>
      <c r="X3784" s="24"/>
      <c r="Y3784" s="24"/>
      <c r="Z3784" s="20" t="str">
        <f t="shared" si="122"/>
        <v/>
      </c>
    </row>
    <row r="3785" spans="1:26" x14ac:dyDescent="0.2">
      <c r="A3785" s="21"/>
      <c r="B3785" s="20"/>
      <c r="C3785" s="22"/>
      <c r="D3785" s="22"/>
      <c r="E3785" s="24"/>
      <c r="F3785" s="22"/>
      <c r="H3785" s="21"/>
      <c r="I3785" s="22"/>
      <c r="J3785" s="22"/>
      <c r="K3785" s="24"/>
      <c r="M3785" s="21"/>
      <c r="N3785" s="22"/>
      <c r="O3785" s="22"/>
      <c r="P3785" s="49"/>
      <c r="Q3785" s="49"/>
      <c r="R3785" s="188" t="str">
        <f t="shared" si="123"/>
        <v/>
      </c>
      <c r="T3785" s="21"/>
      <c r="U3785" s="22"/>
      <c r="V3785" s="24"/>
      <c r="W3785" s="24"/>
      <c r="X3785" s="24"/>
      <c r="Y3785" s="24"/>
      <c r="Z3785" s="20" t="str">
        <f t="shared" si="122"/>
        <v/>
      </c>
    </row>
    <row r="3786" spans="1:26" x14ac:dyDescent="0.2">
      <c r="A3786" s="21"/>
      <c r="B3786" s="20"/>
      <c r="C3786" s="22"/>
      <c r="D3786" s="22"/>
      <c r="E3786" s="24"/>
      <c r="F3786" s="22"/>
      <c r="H3786" s="21"/>
      <c r="I3786" s="22"/>
      <c r="J3786" s="22"/>
      <c r="K3786" s="24"/>
      <c r="M3786" s="21"/>
      <c r="N3786" s="22"/>
      <c r="O3786" s="22"/>
      <c r="P3786" s="49"/>
      <c r="Q3786" s="49"/>
      <c r="R3786" s="188" t="str">
        <f t="shared" si="123"/>
        <v/>
      </c>
      <c r="T3786" s="21"/>
      <c r="U3786" s="22"/>
      <c r="V3786" s="24"/>
      <c r="W3786" s="24"/>
      <c r="X3786" s="24"/>
      <c r="Y3786" s="24"/>
      <c r="Z3786" s="20" t="str">
        <f t="shared" si="122"/>
        <v/>
      </c>
    </row>
    <row r="3787" spans="1:26" x14ac:dyDescent="0.2">
      <c r="A3787" s="21"/>
      <c r="B3787" s="20"/>
      <c r="C3787" s="22"/>
      <c r="D3787" s="22"/>
      <c r="E3787" s="24"/>
      <c r="F3787" s="22"/>
      <c r="H3787" s="21"/>
      <c r="I3787" s="22"/>
      <c r="J3787" s="22"/>
      <c r="K3787" s="24"/>
      <c r="M3787" s="21"/>
      <c r="N3787" s="22"/>
      <c r="O3787" s="22"/>
      <c r="P3787" s="49"/>
      <c r="Q3787" s="49"/>
      <c r="R3787" s="188" t="str">
        <f t="shared" si="123"/>
        <v/>
      </c>
      <c r="T3787" s="21"/>
      <c r="U3787" s="22"/>
      <c r="V3787" s="24"/>
      <c r="W3787" s="24"/>
      <c r="X3787" s="24"/>
      <c r="Y3787" s="24"/>
      <c r="Z3787" s="20" t="str">
        <f t="shared" si="122"/>
        <v/>
      </c>
    </row>
    <row r="3788" spans="1:26" x14ac:dyDescent="0.2">
      <c r="A3788" s="21"/>
      <c r="B3788" s="20"/>
      <c r="C3788" s="22"/>
      <c r="D3788" s="22"/>
      <c r="E3788" s="24"/>
      <c r="F3788" s="22"/>
      <c r="H3788" s="21"/>
      <c r="I3788" s="22"/>
      <c r="J3788" s="22"/>
      <c r="K3788" s="24"/>
      <c r="M3788" s="21"/>
      <c r="N3788" s="22"/>
      <c r="O3788" s="22"/>
      <c r="P3788" s="49"/>
      <c r="Q3788" s="49"/>
      <c r="R3788" s="188" t="str">
        <f t="shared" si="123"/>
        <v/>
      </c>
      <c r="T3788" s="21"/>
      <c r="U3788" s="22"/>
      <c r="V3788" s="24"/>
      <c r="W3788" s="24"/>
      <c r="X3788" s="24"/>
      <c r="Y3788" s="24"/>
      <c r="Z3788" s="20" t="str">
        <f t="shared" si="122"/>
        <v/>
      </c>
    </row>
    <row r="3789" spans="1:26" x14ac:dyDescent="0.2">
      <c r="A3789" s="21"/>
      <c r="B3789" s="20"/>
      <c r="C3789" s="22"/>
      <c r="D3789" s="22"/>
      <c r="E3789" s="24"/>
      <c r="F3789" s="22"/>
      <c r="H3789" s="21"/>
      <c r="I3789" s="22"/>
      <c r="J3789" s="22"/>
      <c r="K3789" s="24"/>
      <c r="M3789" s="21"/>
      <c r="N3789" s="22"/>
      <c r="O3789" s="22"/>
      <c r="P3789" s="49"/>
      <c r="Q3789" s="49"/>
      <c r="R3789" s="188" t="str">
        <f t="shared" si="123"/>
        <v/>
      </c>
      <c r="T3789" s="21"/>
      <c r="U3789" s="22"/>
      <c r="V3789" s="24"/>
      <c r="W3789" s="24"/>
      <c r="X3789" s="24"/>
      <c r="Y3789" s="24"/>
      <c r="Z3789" s="20" t="str">
        <f t="shared" si="122"/>
        <v/>
      </c>
    </row>
    <row r="3790" spans="1:26" x14ac:dyDescent="0.2">
      <c r="A3790" s="21"/>
      <c r="B3790" s="20"/>
      <c r="C3790" s="22"/>
      <c r="D3790" s="22"/>
      <c r="E3790" s="24"/>
      <c r="F3790" s="22"/>
      <c r="H3790" s="21"/>
      <c r="I3790" s="22"/>
      <c r="J3790" s="22"/>
      <c r="K3790" s="24"/>
      <c r="M3790" s="21"/>
      <c r="N3790" s="22"/>
      <c r="O3790" s="22"/>
      <c r="P3790" s="49"/>
      <c r="Q3790" s="49"/>
      <c r="R3790" s="188" t="str">
        <f t="shared" si="123"/>
        <v/>
      </c>
      <c r="T3790" s="21"/>
      <c r="U3790" s="22"/>
      <c r="V3790" s="24"/>
      <c r="W3790" s="24"/>
      <c r="X3790" s="24"/>
      <c r="Y3790" s="24"/>
      <c r="Z3790" s="20" t="str">
        <f t="shared" si="122"/>
        <v/>
      </c>
    </row>
    <row r="3791" spans="1:26" x14ac:dyDescent="0.2">
      <c r="A3791" s="21"/>
      <c r="B3791" s="20"/>
      <c r="C3791" s="22"/>
      <c r="D3791" s="22"/>
      <c r="E3791" s="24"/>
      <c r="F3791" s="22"/>
      <c r="H3791" s="21"/>
      <c r="I3791" s="22"/>
      <c r="J3791" s="22"/>
      <c r="K3791" s="24"/>
      <c r="M3791" s="21"/>
      <c r="N3791" s="22"/>
      <c r="O3791" s="22"/>
      <c r="P3791" s="49"/>
      <c r="Q3791" s="49"/>
      <c r="R3791" s="188" t="str">
        <f t="shared" si="123"/>
        <v/>
      </c>
      <c r="T3791" s="21"/>
      <c r="U3791" s="22"/>
      <c r="V3791" s="24"/>
      <c r="W3791" s="24"/>
      <c r="X3791" s="24"/>
      <c r="Y3791" s="24"/>
      <c r="Z3791" s="20" t="str">
        <f t="shared" si="122"/>
        <v/>
      </c>
    </row>
    <row r="3792" spans="1:26" x14ac:dyDescent="0.2">
      <c r="A3792" s="21"/>
      <c r="B3792" s="20"/>
      <c r="C3792" s="22"/>
      <c r="D3792" s="22"/>
      <c r="E3792" s="24"/>
      <c r="F3792" s="22"/>
      <c r="H3792" s="21"/>
      <c r="I3792" s="22"/>
      <c r="J3792" s="22"/>
      <c r="K3792" s="24"/>
      <c r="M3792" s="21"/>
      <c r="N3792" s="22"/>
      <c r="O3792" s="22"/>
      <c r="P3792" s="49"/>
      <c r="Q3792" s="49"/>
      <c r="R3792" s="188" t="str">
        <f t="shared" si="123"/>
        <v/>
      </c>
      <c r="T3792" s="21"/>
      <c r="U3792" s="22"/>
      <c r="V3792" s="24"/>
      <c r="W3792" s="24"/>
      <c r="X3792" s="24"/>
      <c r="Y3792" s="24"/>
      <c r="Z3792" s="20" t="str">
        <f t="shared" si="122"/>
        <v/>
      </c>
    </row>
    <row r="3793" spans="1:26" x14ac:dyDescent="0.2">
      <c r="A3793" s="21"/>
      <c r="B3793" s="20"/>
      <c r="C3793" s="22"/>
      <c r="D3793" s="22"/>
      <c r="E3793" s="24"/>
      <c r="F3793" s="22"/>
      <c r="H3793" s="21"/>
      <c r="I3793" s="22"/>
      <c r="J3793" s="22"/>
      <c r="K3793" s="24"/>
      <c r="M3793" s="21"/>
      <c r="N3793" s="22"/>
      <c r="O3793" s="22"/>
      <c r="P3793" s="49"/>
      <c r="Q3793" s="49"/>
      <c r="R3793" s="188" t="str">
        <f t="shared" si="123"/>
        <v/>
      </c>
      <c r="T3793" s="21"/>
      <c r="U3793" s="22"/>
      <c r="V3793" s="24"/>
      <c r="W3793" s="24"/>
      <c r="X3793" s="24"/>
      <c r="Y3793" s="24"/>
      <c r="Z3793" s="20" t="str">
        <f t="shared" si="122"/>
        <v/>
      </c>
    </row>
    <row r="3794" spans="1:26" x14ac:dyDescent="0.2">
      <c r="A3794" s="21"/>
      <c r="B3794" s="20"/>
      <c r="C3794" s="22"/>
      <c r="D3794" s="22"/>
      <c r="E3794" s="24"/>
      <c r="F3794" s="22"/>
      <c r="H3794" s="21"/>
      <c r="I3794" s="22"/>
      <c r="J3794" s="22"/>
      <c r="K3794" s="24"/>
      <c r="M3794" s="21"/>
      <c r="N3794" s="22"/>
      <c r="O3794" s="22"/>
      <c r="P3794" s="49"/>
      <c r="Q3794" s="49"/>
      <c r="R3794" s="188" t="str">
        <f t="shared" si="123"/>
        <v/>
      </c>
      <c r="T3794" s="21"/>
      <c r="U3794" s="22"/>
      <c r="V3794" s="24"/>
      <c r="W3794" s="24"/>
      <c r="X3794" s="24"/>
      <c r="Y3794" s="24"/>
      <c r="Z3794" s="20" t="str">
        <f t="shared" si="122"/>
        <v/>
      </c>
    </row>
    <row r="3795" spans="1:26" x14ac:dyDescent="0.2">
      <c r="A3795" s="21"/>
      <c r="B3795" s="20"/>
      <c r="C3795" s="22"/>
      <c r="D3795" s="22"/>
      <c r="E3795" s="24"/>
      <c r="F3795" s="22"/>
      <c r="H3795" s="21"/>
      <c r="I3795" s="22"/>
      <c r="J3795" s="22"/>
      <c r="K3795" s="24"/>
      <c r="M3795" s="21"/>
      <c r="N3795" s="22"/>
      <c r="O3795" s="22"/>
      <c r="P3795" s="49"/>
      <c r="Q3795" s="49"/>
      <c r="R3795" s="188" t="str">
        <f t="shared" si="123"/>
        <v/>
      </c>
      <c r="T3795" s="21"/>
      <c r="U3795" s="22"/>
      <c r="V3795" s="24"/>
      <c r="W3795" s="24"/>
      <c r="X3795" s="24"/>
      <c r="Y3795" s="24"/>
      <c r="Z3795" s="20" t="str">
        <f t="shared" ref="Z3795:Z3858" si="124">IF(COUNT(V3795:Y3795)=0,"",SUM(V3795:Y3795))</f>
        <v/>
      </c>
    </row>
    <row r="3796" spans="1:26" x14ac:dyDescent="0.2">
      <c r="A3796" s="21"/>
      <c r="B3796" s="20"/>
      <c r="C3796" s="22"/>
      <c r="D3796" s="22"/>
      <c r="E3796" s="24"/>
      <c r="F3796" s="22"/>
      <c r="H3796" s="21"/>
      <c r="I3796" s="22"/>
      <c r="J3796" s="22"/>
      <c r="K3796" s="24"/>
      <c r="M3796" s="21"/>
      <c r="N3796" s="22"/>
      <c r="O3796" s="22"/>
      <c r="P3796" s="49"/>
      <c r="Q3796" s="49"/>
      <c r="R3796" s="188" t="str">
        <f t="shared" si="123"/>
        <v/>
      </c>
      <c r="T3796" s="21"/>
      <c r="U3796" s="22"/>
      <c r="V3796" s="24"/>
      <c r="W3796" s="24"/>
      <c r="X3796" s="24"/>
      <c r="Y3796" s="24"/>
      <c r="Z3796" s="20" t="str">
        <f t="shared" si="124"/>
        <v/>
      </c>
    </row>
    <row r="3797" spans="1:26" x14ac:dyDescent="0.2">
      <c r="A3797" s="21"/>
      <c r="B3797" s="20"/>
      <c r="C3797" s="22"/>
      <c r="D3797" s="22"/>
      <c r="E3797" s="24"/>
      <c r="F3797" s="22"/>
      <c r="H3797" s="21"/>
      <c r="I3797" s="22"/>
      <c r="J3797" s="22"/>
      <c r="K3797" s="24"/>
      <c r="M3797" s="21"/>
      <c r="N3797" s="22"/>
      <c r="O3797" s="22"/>
      <c r="P3797" s="49"/>
      <c r="Q3797" s="49"/>
      <c r="R3797" s="188" t="str">
        <f t="shared" si="123"/>
        <v/>
      </c>
      <c r="T3797" s="21"/>
      <c r="U3797" s="22"/>
      <c r="V3797" s="24"/>
      <c r="W3797" s="24"/>
      <c r="X3797" s="24"/>
      <c r="Y3797" s="24"/>
      <c r="Z3797" s="20" t="str">
        <f t="shared" si="124"/>
        <v/>
      </c>
    </row>
    <row r="3798" spans="1:26" x14ac:dyDescent="0.2">
      <c r="A3798" s="21"/>
      <c r="B3798" s="20"/>
      <c r="C3798" s="22"/>
      <c r="D3798" s="22"/>
      <c r="E3798" s="24"/>
      <c r="F3798" s="22"/>
      <c r="H3798" s="21"/>
      <c r="I3798" s="22"/>
      <c r="J3798" s="22"/>
      <c r="K3798" s="24"/>
      <c r="M3798" s="21"/>
      <c r="N3798" s="22"/>
      <c r="O3798" s="22"/>
      <c r="P3798" s="49"/>
      <c r="Q3798" s="49"/>
      <c r="R3798" s="188" t="str">
        <f t="shared" ref="R3798:R3861" si="125">IF(OR(P3798="",Q3798=""),"",IFERROR(P3798-Q3798,""))</f>
        <v/>
      </c>
      <c r="T3798" s="21"/>
      <c r="U3798" s="22"/>
      <c r="V3798" s="24"/>
      <c r="W3798" s="24"/>
      <c r="X3798" s="24"/>
      <c r="Y3798" s="24"/>
      <c r="Z3798" s="20" t="str">
        <f t="shared" si="124"/>
        <v/>
      </c>
    </row>
    <row r="3799" spans="1:26" x14ac:dyDescent="0.2">
      <c r="A3799" s="21"/>
      <c r="B3799" s="20"/>
      <c r="C3799" s="22"/>
      <c r="D3799" s="22"/>
      <c r="E3799" s="24"/>
      <c r="F3799" s="22"/>
      <c r="H3799" s="21"/>
      <c r="I3799" s="22"/>
      <c r="J3799" s="22"/>
      <c r="K3799" s="24"/>
      <c r="M3799" s="21"/>
      <c r="N3799" s="22"/>
      <c r="O3799" s="22"/>
      <c r="P3799" s="49"/>
      <c r="Q3799" s="49"/>
      <c r="R3799" s="188" t="str">
        <f t="shared" si="125"/>
        <v/>
      </c>
      <c r="T3799" s="21"/>
      <c r="U3799" s="22"/>
      <c r="V3799" s="24"/>
      <c r="W3799" s="24"/>
      <c r="X3799" s="24"/>
      <c r="Y3799" s="24"/>
      <c r="Z3799" s="20" t="str">
        <f t="shared" si="124"/>
        <v/>
      </c>
    </row>
    <row r="3800" spans="1:26" x14ac:dyDescent="0.2">
      <c r="A3800" s="21"/>
      <c r="B3800" s="20"/>
      <c r="C3800" s="22"/>
      <c r="D3800" s="22"/>
      <c r="E3800" s="24"/>
      <c r="F3800" s="22"/>
      <c r="H3800" s="21"/>
      <c r="I3800" s="22"/>
      <c r="J3800" s="22"/>
      <c r="K3800" s="24"/>
      <c r="M3800" s="21"/>
      <c r="N3800" s="22"/>
      <c r="O3800" s="22"/>
      <c r="P3800" s="49"/>
      <c r="Q3800" s="49"/>
      <c r="R3800" s="188" t="str">
        <f t="shared" si="125"/>
        <v/>
      </c>
      <c r="T3800" s="21"/>
      <c r="U3800" s="22"/>
      <c r="V3800" s="24"/>
      <c r="W3800" s="24"/>
      <c r="X3800" s="24"/>
      <c r="Y3800" s="24"/>
      <c r="Z3800" s="20" t="str">
        <f t="shared" si="124"/>
        <v/>
      </c>
    </row>
    <row r="3801" spans="1:26" x14ac:dyDescent="0.2">
      <c r="A3801" s="21"/>
      <c r="B3801" s="20"/>
      <c r="C3801" s="22"/>
      <c r="D3801" s="22"/>
      <c r="E3801" s="24"/>
      <c r="F3801" s="22"/>
      <c r="H3801" s="21"/>
      <c r="I3801" s="22"/>
      <c r="J3801" s="22"/>
      <c r="K3801" s="24"/>
      <c r="M3801" s="21"/>
      <c r="N3801" s="22"/>
      <c r="O3801" s="22"/>
      <c r="P3801" s="49"/>
      <c r="Q3801" s="49"/>
      <c r="R3801" s="188" t="str">
        <f t="shared" si="125"/>
        <v/>
      </c>
      <c r="T3801" s="21"/>
      <c r="U3801" s="22"/>
      <c r="V3801" s="24"/>
      <c r="W3801" s="24"/>
      <c r="X3801" s="24"/>
      <c r="Y3801" s="24"/>
      <c r="Z3801" s="20" t="str">
        <f t="shared" si="124"/>
        <v/>
      </c>
    </row>
    <row r="3802" spans="1:26" x14ac:dyDescent="0.2">
      <c r="A3802" s="21"/>
      <c r="B3802" s="20"/>
      <c r="C3802" s="22"/>
      <c r="D3802" s="22"/>
      <c r="E3802" s="24"/>
      <c r="F3802" s="22"/>
      <c r="H3802" s="21"/>
      <c r="I3802" s="22"/>
      <c r="J3802" s="22"/>
      <c r="K3802" s="24"/>
      <c r="M3802" s="21"/>
      <c r="N3802" s="22"/>
      <c r="O3802" s="22"/>
      <c r="P3802" s="49"/>
      <c r="Q3802" s="49"/>
      <c r="R3802" s="188" t="str">
        <f t="shared" si="125"/>
        <v/>
      </c>
      <c r="T3802" s="21"/>
      <c r="U3802" s="22"/>
      <c r="V3802" s="24"/>
      <c r="W3802" s="24"/>
      <c r="X3802" s="24"/>
      <c r="Y3802" s="24"/>
      <c r="Z3802" s="20" t="str">
        <f t="shared" si="124"/>
        <v/>
      </c>
    </row>
    <row r="3803" spans="1:26" x14ac:dyDescent="0.2">
      <c r="A3803" s="21"/>
      <c r="B3803" s="20"/>
      <c r="C3803" s="22"/>
      <c r="D3803" s="22"/>
      <c r="E3803" s="24"/>
      <c r="F3803" s="22"/>
      <c r="H3803" s="21"/>
      <c r="I3803" s="22"/>
      <c r="J3803" s="22"/>
      <c r="K3803" s="24"/>
      <c r="M3803" s="21"/>
      <c r="N3803" s="22"/>
      <c r="O3803" s="22"/>
      <c r="P3803" s="49"/>
      <c r="Q3803" s="49"/>
      <c r="R3803" s="188" t="str">
        <f t="shared" si="125"/>
        <v/>
      </c>
      <c r="T3803" s="21"/>
      <c r="U3803" s="22"/>
      <c r="V3803" s="24"/>
      <c r="W3803" s="24"/>
      <c r="X3803" s="24"/>
      <c r="Y3803" s="24"/>
      <c r="Z3803" s="20" t="str">
        <f t="shared" si="124"/>
        <v/>
      </c>
    </row>
    <row r="3804" spans="1:26" x14ac:dyDescent="0.2">
      <c r="A3804" s="21"/>
      <c r="B3804" s="20"/>
      <c r="C3804" s="22"/>
      <c r="D3804" s="22"/>
      <c r="E3804" s="24"/>
      <c r="F3804" s="22"/>
      <c r="H3804" s="21"/>
      <c r="I3804" s="22"/>
      <c r="J3804" s="22"/>
      <c r="K3804" s="24"/>
      <c r="M3804" s="21"/>
      <c r="N3804" s="22"/>
      <c r="O3804" s="22"/>
      <c r="P3804" s="49"/>
      <c r="Q3804" s="49"/>
      <c r="R3804" s="188" t="str">
        <f t="shared" si="125"/>
        <v/>
      </c>
      <c r="T3804" s="21"/>
      <c r="U3804" s="22"/>
      <c r="V3804" s="24"/>
      <c r="W3804" s="24"/>
      <c r="X3804" s="24"/>
      <c r="Y3804" s="24"/>
      <c r="Z3804" s="20" t="str">
        <f t="shared" si="124"/>
        <v/>
      </c>
    </row>
    <row r="3805" spans="1:26" x14ac:dyDescent="0.2">
      <c r="A3805" s="21"/>
      <c r="B3805" s="20"/>
      <c r="C3805" s="22"/>
      <c r="D3805" s="22"/>
      <c r="E3805" s="24"/>
      <c r="F3805" s="22"/>
      <c r="H3805" s="21"/>
      <c r="I3805" s="22"/>
      <c r="J3805" s="22"/>
      <c r="K3805" s="24"/>
      <c r="M3805" s="21"/>
      <c r="N3805" s="22"/>
      <c r="O3805" s="22"/>
      <c r="P3805" s="49"/>
      <c r="Q3805" s="49"/>
      <c r="R3805" s="188" t="str">
        <f t="shared" si="125"/>
        <v/>
      </c>
      <c r="T3805" s="21"/>
      <c r="U3805" s="22"/>
      <c r="V3805" s="24"/>
      <c r="W3805" s="24"/>
      <c r="X3805" s="24"/>
      <c r="Y3805" s="24"/>
      <c r="Z3805" s="20" t="str">
        <f t="shared" si="124"/>
        <v/>
      </c>
    </row>
    <row r="3806" spans="1:26" x14ac:dyDescent="0.2">
      <c r="A3806" s="21"/>
      <c r="B3806" s="20"/>
      <c r="C3806" s="22"/>
      <c r="D3806" s="22"/>
      <c r="E3806" s="24"/>
      <c r="F3806" s="22"/>
      <c r="H3806" s="21"/>
      <c r="I3806" s="22"/>
      <c r="J3806" s="22"/>
      <c r="K3806" s="24"/>
      <c r="M3806" s="21"/>
      <c r="N3806" s="22"/>
      <c r="O3806" s="22"/>
      <c r="P3806" s="49"/>
      <c r="Q3806" s="49"/>
      <c r="R3806" s="188" t="str">
        <f t="shared" si="125"/>
        <v/>
      </c>
      <c r="T3806" s="21"/>
      <c r="U3806" s="22"/>
      <c r="V3806" s="24"/>
      <c r="W3806" s="24"/>
      <c r="X3806" s="24"/>
      <c r="Y3806" s="24"/>
      <c r="Z3806" s="20" t="str">
        <f t="shared" si="124"/>
        <v/>
      </c>
    </row>
    <row r="3807" spans="1:26" x14ac:dyDescent="0.2">
      <c r="A3807" s="21"/>
      <c r="B3807" s="20"/>
      <c r="C3807" s="22"/>
      <c r="D3807" s="22"/>
      <c r="E3807" s="24"/>
      <c r="F3807" s="22"/>
      <c r="H3807" s="21"/>
      <c r="I3807" s="22"/>
      <c r="J3807" s="22"/>
      <c r="K3807" s="24"/>
      <c r="M3807" s="21"/>
      <c r="N3807" s="22"/>
      <c r="O3807" s="22"/>
      <c r="P3807" s="49"/>
      <c r="Q3807" s="49"/>
      <c r="R3807" s="188" t="str">
        <f t="shared" si="125"/>
        <v/>
      </c>
      <c r="T3807" s="21"/>
      <c r="U3807" s="22"/>
      <c r="V3807" s="24"/>
      <c r="W3807" s="24"/>
      <c r="X3807" s="24"/>
      <c r="Y3807" s="24"/>
      <c r="Z3807" s="20" t="str">
        <f t="shared" si="124"/>
        <v/>
      </c>
    </row>
    <row r="3808" spans="1:26" x14ac:dyDescent="0.2">
      <c r="A3808" s="21"/>
      <c r="B3808" s="20"/>
      <c r="C3808" s="22"/>
      <c r="D3808" s="22"/>
      <c r="E3808" s="24"/>
      <c r="F3808" s="22"/>
      <c r="H3808" s="21"/>
      <c r="I3808" s="22"/>
      <c r="J3808" s="22"/>
      <c r="K3808" s="24"/>
      <c r="M3808" s="21"/>
      <c r="N3808" s="22"/>
      <c r="O3808" s="22"/>
      <c r="P3808" s="49"/>
      <c r="Q3808" s="49"/>
      <c r="R3808" s="188" t="str">
        <f t="shared" si="125"/>
        <v/>
      </c>
      <c r="T3808" s="21"/>
      <c r="U3808" s="22"/>
      <c r="V3808" s="24"/>
      <c r="W3808" s="24"/>
      <c r="X3808" s="24"/>
      <c r="Y3808" s="24"/>
      <c r="Z3808" s="20" t="str">
        <f t="shared" si="124"/>
        <v/>
      </c>
    </row>
    <row r="3809" spans="1:26" x14ac:dyDescent="0.2">
      <c r="A3809" s="21"/>
      <c r="B3809" s="20"/>
      <c r="C3809" s="22"/>
      <c r="D3809" s="22"/>
      <c r="E3809" s="24"/>
      <c r="F3809" s="22"/>
      <c r="H3809" s="21"/>
      <c r="I3809" s="22"/>
      <c r="J3809" s="22"/>
      <c r="K3809" s="24"/>
      <c r="M3809" s="21"/>
      <c r="N3809" s="22"/>
      <c r="O3809" s="22"/>
      <c r="P3809" s="49"/>
      <c r="Q3809" s="49"/>
      <c r="R3809" s="188" t="str">
        <f t="shared" si="125"/>
        <v/>
      </c>
      <c r="T3809" s="21"/>
      <c r="U3809" s="22"/>
      <c r="V3809" s="24"/>
      <c r="W3809" s="24"/>
      <c r="X3809" s="24"/>
      <c r="Y3809" s="24"/>
      <c r="Z3809" s="20" t="str">
        <f t="shared" si="124"/>
        <v/>
      </c>
    </row>
    <row r="3810" spans="1:26" x14ac:dyDescent="0.2">
      <c r="A3810" s="21"/>
      <c r="B3810" s="20"/>
      <c r="C3810" s="22"/>
      <c r="D3810" s="22"/>
      <c r="E3810" s="24"/>
      <c r="F3810" s="22"/>
      <c r="H3810" s="21"/>
      <c r="I3810" s="22"/>
      <c r="J3810" s="22"/>
      <c r="K3810" s="24"/>
      <c r="M3810" s="21"/>
      <c r="N3810" s="22"/>
      <c r="O3810" s="22"/>
      <c r="P3810" s="49"/>
      <c r="Q3810" s="49"/>
      <c r="R3810" s="188" t="str">
        <f t="shared" si="125"/>
        <v/>
      </c>
      <c r="T3810" s="21"/>
      <c r="U3810" s="22"/>
      <c r="V3810" s="24"/>
      <c r="W3810" s="24"/>
      <c r="X3810" s="24"/>
      <c r="Y3810" s="24"/>
      <c r="Z3810" s="20" t="str">
        <f t="shared" si="124"/>
        <v/>
      </c>
    </row>
    <row r="3811" spans="1:26" x14ac:dyDescent="0.2">
      <c r="A3811" s="21"/>
      <c r="B3811" s="20"/>
      <c r="C3811" s="22"/>
      <c r="D3811" s="22"/>
      <c r="E3811" s="24"/>
      <c r="F3811" s="22"/>
      <c r="H3811" s="21"/>
      <c r="I3811" s="22"/>
      <c r="J3811" s="22"/>
      <c r="K3811" s="24"/>
      <c r="M3811" s="21"/>
      <c r="N3811" s="22"/>
      <c r="O3811" s="22"/>
      <c r="P3811" s="49"/>
      <c r="Q3811" s="49"/>
      <c r="R3811" s="188" t="str">
        <f t="shared" si="125"/>
        <v/>
      </c>
      <c r="T3811" s="21"/>
      <c r="U3811" s="22"/>
      <c r="V3811" s="24"/>
      <c r="W3811" s="24"/>
      <c r="X3811" s="24"/>
      <c r="Y3811" s="24"/>
      <c r="Z3811" s="20" t="str">
        <f t="shared" si="124"/>
        <v/>
      </c>
    </row>
    <row r="3812" spans="1:26" x14ac:dyDescent="0.2">
      <c r="A3812" s="21"/>
      <c r="B3812" s="20"/>
      <c r="C3812" s="22"/>
      <c r="D3812" s="22"/>
      <c r="E3812" s="24"/>
      <c r="F3812" s="22"/>
      <c r="H3812" s="21"/>
      <c r="I3812" s="22"/>
      <c r="J3812" s="22"/>
      <c r="K3812" s="24"/>
      <c r="M3812" s="21"/>
      <c r="N3812" s="22"/>
      <c r="O3812" s="22"/>
      <c r="P3812" s="49"/>
      <c r="Q3812" s="49"/>
      <c r="R3812" s="188" t="str">
        <f t="shared" si="125"/>
        <v/>
      </c>
      <c r="T3812" s="21"/>
      <c r="U3812" s="22"/>
      <c r="V3812" s="24"/>
      <c r="W3812" s="24"/>
      <c r="X3812" s="24"/>
      <c r="Y3812" s="24"/>
      <c r="Z3812" s="20" t="str">
        <f t="shared" si="124"/>
        <v/>
      </c>
    </row>
    <row r="3813" spans="1:26" x14ac:dyDescent="0.2">
      <c r="A3813" s="21"/>
      <c r="B3813" s="20"/>
      <c r="C3813" s="22"/>
      <c r="D3813" s="22"/>
      <c r="E3813" s="24"/>
      <c r="F3813" s="22"/>
      <c r="H3813" s="21"/>
      <c r="I3813" s="22"/>
      <c r="J3813" s="22"/>
      <c r="K3813" s="24"/>
      <c r="M3813" s="21"/>
      <c r="N3813" s="22"/>
      <c r="O3813" s="22"/>
      <c r="P3813" s="49"/>
      <c r="Q3813" s="49"/>
      <c r="R3813" s="188" t="str">
        <f t="shared" si="125"/>
        <v/>
      </c>
      <c r="T3813" s="21"/>
      <c r="U3813" s="22"/>
      <c r="V3813" s="24"/>
      <c r="W3813" s="24"/>
      <c r="X3813" s="24"/>
      <c r="Y3813" s="24"/>
      <c r="Z3813" s="20" t="str">
        <f t="shared" si="124"/>
        <v/>
      </c>
    </row>
    <row r="3814" spans="1:26" x14ac:dyDescent="0.2">
      <c r="A3814" s="21"/>
      <c r="B3814" s="20"/>
      <c r="C3814" s="22"/>
      <c r="D3814" s="22"/>
      <c r="E3814" s="24"/>
      <c r="F3814" s="22"/>
      <c r="H3814" s="21"/>
      <c r="I3814" s="22"/>
      <c r="J3814" s="22"/>
      <c r="K3814" s="24"/>
      <c r="M3814" s="21"/>
      <c r="N3814" s="22"/>
      <c r="O3814" s="22"/>
      <c r="P3814" s="49"/>
      <c r="Q3814" s="49"/>
      <c r="R3814" s="188" t="str">
        <f t="shared" si="125"/>
        <v/>
      </c>
      <c r="T3814" s="21"/>
      <c r="U3814" s="22"/>
      <c r="V3814" s="24"/>
      <c r="W3814" s="24"/>
      <c r="X3814" s="24"/>
      <c r="Y3814" s="24"/>
      <c r="Z3814" s="20" t="str">
        <f t="shared" si="124"/>
        <v/>
      </c>
    </row>
    <row r="3815" spans="1:26" x14ac:dyDescent="0.2">
      <c r="A3815" s="21"/>
      <c r="B3815" s="20"/>
      <c r="C3815" s="22"/>
      <c r="D3815" s="22"/>
      <c r="E3815" s="24"/>
      <c r="F3815" s="22"/>
      <c r="H3815" s="21"/>
      <c r="I3815" s="22"/>
      <c r="J3815" s="22"/>
      <c r="K3815" s="24"/>
      <c r="M3815" s="21"/>
      <c r="N3815" s="22"/>
      <c r="O3815" s="22"/>
      <c r="P3815" s="49"/>
      <c r="Q3815" s="49"/>
      <c r="R3815" s="188" t="str">
        <f t="shared" si="125"/>
        <v/>
      </c>
      <c r="T3815" s="21"/>
      <c r="U3815" s="22"/>
      <c r="V3815" s="24"/>
      <c r="W3815" s="24"/>
      <c r="X3815" s="24"/>
      <c r="Y3815" s="24"/>
      <c r="Z3815" s="20" t="str">
        <f t="shared" si="124"/>
        <v/>
      </c>
    </row>
    <row r="3816" spans="1:26" x14ac:dyDescent="0.2">
      <c r="A3816" s="21"/>
      <c r="B3816" s="20"/>
      <c r="C3816" s="22"/>
      <c r="D3816" s="22"/>
      <c r="E3816" s="24"/>
      <c r="F3816" s="22"/>
      <c r="H3816" s="21"/>
      <c r="I3816" s="22"/>
      <c r="J3816" s="22"/>
      <c r="K3816" s="24"/>
      <c r="M3816" s="21"/>
      <c r="N3816" s="22"/>
      <c r="O3816" s="22"/>
      <c r="P3816" s="49"/>
      <c r="Q3816" s="49"/>
      <c r="R3816" s="188" t="str">
        <f t="shared" si="125"/>
        <v/>
      </c>
      <c r="T3816" s="21"/>
      <c r="U3816" s="22"/>
      <c r="V3816" s="24"/>
      <c r="W3816" s="24"/>
      <c r="X3816" s="24"/>
      <c r="Y3816" s="24"/>
      <c r="Z3816" s="20" t="str">
        <f t="shared" si="124"/>
        <v/>
      </c>
    </row>
    <row r="3817" spans="1:26" x14ac:dyDescent="0.2">
      <c r="A3817" s="21"/>
      <c r="B3817" s="20"/>
      <c r="C3817" s="22"/>
      <c r="D3817" s="22"/>
      <c r="E3817" s="24"/>
      <c r="F3817" s="22"/>
      <c r="H3817" s="21"/>
      <c r="I3817" s="22"/>
      <c r="J3817" s="22"/>
      <c r="K3817" s="24"/>
      <c r="M3817" s="21"/>
      <c r="N3817" s="22"/>
      <c r="O3817" s="22"/>
      <c r="P3817" s="49"/>
      <c r="Q3817" s="49"/>
      <c r="R3817" s="188" t="str">
        <f t="shared" si="125"/>
        <v/>
      </c>
      <c r="T3817" s="21"/>
      <c r="U3817" s="22"/>
      <c r="V3817" s="24"/>
      <c r="W3817" s="24"/>
      <c r="X3817" s="24"/>
      <c r="Y3817" s="24"/>
      <c r="Z3817" s="20" t="str">
        <f t="shared" si="124"/>
        <v/>
      </c>
    </row>
    <row r="3818" spans="1:26" x14ac:dyDescent="0.2">
      <c r="A3818" s="21"/>
      <c r="B3818" s="20"/>
      <c r="C3818" s="22"/>
      <c r="D3818" s="22"/>
      <c r="E3818" s="24"/>
      <c r="F3818" s="22"/>
      <c r="H3818" s="21"/>
      <c r="I3818" s="22"/>
      <c r="J3818" s="22"/>
      <c r="K3818" s="24"/>
      <c r="M3818" s="21"/>
      <c r="N3818" s="22"/>
      <c r="O3818" s="22"/>
      <c r="P3818" s="49"/>
      <c r="Q3818" s="49"/>
      <c r="R3818" s="188" t="str">
        <f t="shared" si="125"/>
        <v/>
      </c>
      <c r="T3818" s="21"/>
      <c r="U3818" s="22"/>
      <c r="V3818" s="24"/>
      <c r="W3818" s="24"/>
      <c r="X3818" s="24"/>
      <c r="Y3818" s="24"/>
      <c r="Z3818" s="20" t="str">
        <f t="shared" si="124"/>
        <v/>
      </c>
    </row>
    <row r="3819" spans="1:26" x14ac:dyDescent="0.2">
      <c r="A3819" s="21"/>
      <c r="B3819" s="20"/>
      <c r="C3819" s="22"/>
      <c r="D3819" s="22"/>
      <c r="E3819" s="24"/>
      <c r="F3819" s="22"/>
      <c r="H3819" s="21"/>
      <c r="I3819" s="22"/>
      <c r="J3819" s="22"/>
      <c r="K3819" s="24"/>
      <c r="M3819" s="21"/>
      <c r="N3819" s="22"/>
      <c r="O3819" s="22"/>
      <c r="P3819" s="49"/>
      <c r="Q3819" s="49"/>
      <c r="R3819" s="188" t="str">
        <f t="shared" si="125"/>
        <v/>
      </c>
      <c r="T3819" s="21"/>
      <c r="U3819" s="22"/>
      <c r="V3819" s="24"/>
      <c r="W3819" s="24"/>
      <c r="X3819" s="24"/>
      <c r="Y3819" s="24"/>
      <c r="Z3819" s="20" t="str">
        <f t="shared" si="124"/>
        <v/>
      </c>
    </row>
    <row r="3820" spans="1:26" x14ac:dyDescent="0.2">
      <c r="A3820" s="21"/>
      <c r="B3820" s="20"/>
      <c r="C3820" s="22"/>
      <c r="D3820" s="22"/>
      <c r="E3820" s="24"/>
      <c r="F3820" s="22"/>
      <c r="H3820" s="21"/>
      <c r="I3820" s="22"/>
      <c r="J3820" s="22"/>
      <c r="K3820" s="24"/>
      <c r="M3820" s="21"/>
      <c r="N3820" s="22"/>
      <c r="O3820" s="22"/>
      <c r="P3820" s="49"/>
      <c r="Q3820" s="49"/>
      <c r="R3820" s="188" t="str">
        <f t="shared" si="125"/>
        <v/>
      </c>
      <c r="T3820" s="21"/>
      <c r="U3820" s="22"/>
      <c r="V3820" s="24"/>
      <c r="W3820" s="24"/>
      <c r="X3820" s="24"/>
      <c r="Y3820" s="24"/>
      <c r="Z3820" s="20" t="str">
        <f t="shared" si="124"/>
        <v/>
      </c>
    </row>
    <row r="3821" spans="1:26" x14ac:dyDescent="0.2">
      <c r="A3821" s="21"/>
      <c r="B3821" s="20"/>
      <c r="C3821" s="22"/>
      <c r="D3821" s="22"/>
      <c r="E3821" s="24"/>
      <c r="F3821" s="22"/>
      <c r="H3821" s="21"/>
      <c r="I3821" s="22"/>
      <c r="J3821" s="22"/>
      <c r="K3821" s="24"/>
      <c r="M3821" s="21"/>
      <c r="N3821" s="22"/>
      <c r="O3821" s="22"/>
      <c r="P3821" s="49"/>
      <c r="Q3821" s="49"/>
      <c r="R3821" s="188" t="str">
        <f t="shared" si="125"/>
        <v/>
      </c>
      <c r="T3821" s="21"/>
      <c r="U3821" s="22"/>
      <c r="V3821" s="24"/>
      <c r="W3821" s="24"/>
      <c r="X3821" s="24"/>
      <c r="Y3821" s="24"/>
      <c r="Z3821" s="20" t="str">
        <f t="shared" si="124"/>
        <v/>
      </c>
    </row>
    <row r="3822" spans="1:26" x14ac:dyDescent="0.2">
      <c r="A3822" s="21"/>
      <c r="B3822" s="20"/>
      <c r="C3822" s="22"/>
      <c r="D3822" s="22"/>
      <c r="E3822" s="24"/>
      <c r="F3822" s="22"/>
      <c r="H3822" s="21"/>
      <c r="I3822" s="22"/>
      <c r="J3822" s="22"/>
      <c r="K3822" s="24"/>
      <c r="M3822" s="21"/>
      <c r="N3822" s="22"/>
      <c r="O3822" s="22"/>
      <c r="P3822" s="49"/>
      <c r="Q3822" s="49"/>
      <c r="R3822" s="188" t="str">
        <f t="shared" si="125"/>
        <v/>
      </c>
      <c r="T3822" s="21"/>
      <c r="U3822" s="22"/>
      <c r="V3822" s="24"/>
      <c r="W3822" s="24"/>
      <c r="X3822" s="24"/>
      <c r="Y3822" s="24"/>
      <c r="Z3822" s="20" t="str">
        <f t="shared" si="124"/>
        <v/>
      </c>
    </row>
    <row r="3823" spans="1:26" x14ac:dyDescent="0.2">
      <c r="A3823" s="21"/>
      <c r="B3823" s="20"/>
      <c r="C3823" s="22"/>
      <c r="D3823" s="22"/>
      <c r="E3823" s="24"/>
      <c r="F3823" s="22"/>
      <c r="H3823" s="21"/>
      <c r="I3823" s="22"/>
      <c r="J3823" s="22"/>
      <c r="K3823" s="24"/>
      <c r="M3823" s="21"/>
      <c r="N3823" s="22"/>
      <c r="O3823" s="22"/>
      <c r="P3823" s="49"/>
      <c r="Q3823" s="49"/>
      <c r="R3823" s="188" t="str">
        <f t="shared" si="125"/>
        <v/>
      </c>
      <c r="T3823" s="21"/>
      <c r="U3823" s="22"/>
      <c r="V3823" s="24"/>
      <c r="W3823" s="24"/>
      <c r="X3823" s="24"/>
      <c r="Y3823" s="24"/>
      <c r="Z3823" s="20" t="str">
        <f t="shared" si="124"/>
        <v/>
      </c>
    </row>
    <row r="3824" spans="1:26" x14ac:dyDescent="0.2">
      <c r="A3824" s="21"/>
      <c r="B3824" s="20"/>
      <c r="C3824" s="22"/>
      <c r="D3824" s="22"/>
      <c r="E3824" s="24"/>
      <c r="F3824" s="22"/>
      <c r="H3824" s="21"/>
      <c r="I3824" s="22"/>
      <c r="J3824" s="22"/>
      <c r="K3824" s="24"/>
      <c r="M3824" s="21"/>
      <c r="N3824" s="22"/>
      <c r="O3824" s="22"/>
      <c r="P3824" s="49"/>
      <c r="Q3824" s="49"/>
      <c r="R3824" s="188" t="str">
        <f t="shared" si="125"/>
        <v/>
      </c>
      <c r="T3824" s="21"/>
      <c r="U3824" s="22"/>
      <c r="V3824" s="24"/>
      <c r="W3824" s="24"/>
      <c r="X3824" s="24"/>
      <c r="Y3824" s="24"/>
      <c r="Z3824" s="20" t="str">
        <f t="shared" si="124"/>
        <v/>
      </c>
    </row>
    <row r="3825" spans="1:26" x14ac:dyDescent="0.2">
      <c r="A3825" s="21"/>
      <c r="B3825" s="20"/>
      <c r="C3825" s="22"/>
      <c r="D3825" s="22"/>
      <c r="E3825" s="24"/>
      <c r="F3825" s="22"/>
      <c r="H3825" s="21"/>
      <c r="I3825" s="22"/>
      <c r="J3825" s="22"/>
      <c r="K3825" s="24"/>
      <c r="M3825" s="21"/>
      <c r="N3825" s="22"/>
      <c r="O3825" s="22"/>
      <c r="P3825" s="49"/>
      <c r="Q3825" s="49"/>
      <c r="R3825" s="188" t="str">
        <f t="shared" si="125"/>
        <v/>
      </c>
      <c r="T3825" s="21"/>
      <c r="U3825" s="22"/>
      <c r="V3825" s="24"/>
      <c r="W3825" s="24"/>
      <c r="X3825" s="24"/>
      <c r="Y3825" s="24"/>
      <c r="Z3825" s="20" t="str">
        <f t="shared" si="124"/>
        <v/>
      </c>
    </row>
    <row r="3826" spans="1:26" x14ac:dyDescent="0.2">
      <c r="A3826" s="21"/>
      <c r="B3826" s="20"/>
      <c r="C3826" s="22"/>
      <c r="D3826" s="22"/>
      <c r="E3826" s="24"/>
      <c r="F3826" s="22"/>
      <c r="H3826" s="21"/>
      <c r="I3826" s="22"/>
      <c r="J3826" s="22"/>
      <c r="K3826" s="24"/>
      <c r="M3826" s="21"/>
      <c r="N3826" s="22"/>
      <c r="O3826" s="22"/>
      <c r="P3826" s="49"/>
      <c r="Q3826" s="49"/>
      <c r="R3826" s="188" t="str">
        <f t="shared" si="125"/>
        <v/>
      </c>
      <c r="T3826" s="21"/>
      <c r="U3826" s="22"/>
      <c r="V3826" s="24"/>
      <c r="W3826" s="24"/>
      <c r="X3826" s="24"/>
      <c r="Y3826" s="24"/>
      <c r="Z3826" s="20" t="str">
        <f t="shared" si="124"/>
        <v/>
      </c>
    </row>
    <row r="3827" spans="1:26" x14ac:dyDescent="0.2">
      <c r="A3827" s="21"/>
      <c r="B3827" s="20"/>
      <c r="C3827" s="22"/>
      <c r="D3827" s="22"/>
      <c r="E3827" s="24"/>
      <c r="F3827" s="22"/>
      <c r="H3827" s="21"/>
      <c r="I3827" s="22"/>
      <c r="J3827" s="22"/>
      <c r="K3827" s="24"/>
      <c r="M3827" s="21"/>
      <c r="N3827" s="22"/>
      <c r="O3827" s="22"/>
      <c r="P3827" s="49"/>
      <c r="Q3827" s="49"/>
      <c r="R3827" s="188" t="str">
        <f t="shared" si="125"/>
        <v/>
      </c>
      <c r="T3827" s="21"/>
      <c r="U3827" s="22"/>
      <c r="V3827" s="24"/>
      <c r="W3827" s="24"/>
      <c r="X3827" s="24"/>
      <c r="Y3827" s="24"/>
      <c r="Z3827" s="20" t="str">
        <f t="shared" si="124"/>
        <v/>
      </c>
    </row>
    <row r="3828" spans="1:26" x14ac:dyDescent="0.2">
      <c r="A3828" s="21"/>
      <c r="B3828" s="20"/>
      <c r="C3828" s="22"/>
      <c r="D3828" s="22"/>
      <c r="E3828" s="24"/>
      <c r="F3828" s="22"/>
      <c r="H3828" s="21"/>
      <c r="I3828" s="22"/>
      <c r="J3828" s="22"/>
      <c r="K3828" s="24"/>
      <c r="M3828" s="21"/>
      <c r="N3828" s="22"/>
      <c r="O3828" s="22"/>
      <c r="P3828" s="49"/>
      <c r="Q3828" s="49"/>
      <c r="R3828" s="188" t="str">
        <f t="shared" si="125"/>
        <v/>
      </c>
      <c r="T3828" s="21"/>
      <c r="U3828" s="22"/>
      <c r="V3828" s="24"/>
      <c r="W3828" s="24"/>
      <c r="X3828" s="24"/>
      <c r="Y3828" s="24"/>
      <c r="Z3828" s="20" t="str">
        <f t="shared" si="124"/>
        <v/>
      </c>
    </row>
    <row r="3829" spans="1:26" x14ac:dyDescent="0.2">
      <c r="A3829" s="21"/>
      <c r="B3829" s="20"/>
      <c r="C3829" s="22"/>
      <c r="D3829" s="22"/>
      <c r="E3829" s="24"/>
      <c r="F3829" s="22"/>
      <c r="H3829" s="21"/>
      <c r="I3829" s="22"/>
      <c r="J3829" s="22"/>
      <c r="K3829" s="24"/>
      <c r="M3829" s="21"/>
      <c r="N3829" s="22"/>
      <c r="O3829" s="22"/>
      <c r="P3829" s="49"/>
      <c r="Q3829" s="49"/>
      <c r="R3829" s="188" t="str">
        <f t="shared" si="125"/>
        <v/>
      </c>
      <c r="T3829" s="21"/>
      <c r="U3829" s="22"/>
      <c r="V3829" s="24"/>
      <c r="W3829" s="24"/>
      <c r="X3829" s="24"/>
      <c r="Y3829" s="24"/>
      <c r="Z3829" s="20" t="str">
        <f t="shared" si="124"/>
        <v/>
      </c>
    </row>
    <row r="3830" spans="1:26" x14ac:dyDescent="0.2">
      <c r="A3830" s="21"/>
      <c r="B3830" s="20"/>
      <c r="C3830" s="22"/>
      <c r="D3830" s="22"/>
      <c r="E3830" s="24"/>
      <c r="F3830" s="22"/>
      <c r="H3830" s="21"/>
      <c r="I3830" s="22"/>
      <c r="J3830" s="22"/>
      <c r="K3830" s="24"/>
      <c r="M3830" s="21"/>
      <c r="N3830" s="22"/>
      <c r="O3830" s="22"/>
      <c r="P3830" s="49"/>
      <c r="Q3830" s="49"/>
      <c r="R3830" s="188" t="str">
        <f t="shared" si="125"/>
        <v/>
      </c>
      <c r="T3830" s="21"/>
      <c r="U3830" s="22"/>
      <c r="V3830" s="24"/>
      <c r="W3830" s="24"/>
      <c r="X3830" s="24"/>
      <c r="Y3830" s="24"/>
      <c r="Z3830" s="20" t="str">
        <f t="shared" si="124"/>
        <v/>
      </c>
    </row>
    <row r="3831" spans="1:26" x14ac:dyDescent="0.2">
      <c r="A3831" s="21"/>
      <c r="B3831" s="20"/>
      <c r="C3831" s="22"/>
      <c r="D3831" s="22"/>
      <c r="E3831" s="24"/>
      <c r="F3831" s="22"/>
      <c r="H3831" s="21"/>
      <c r="I3831" s="22"/>
      <c r="J3831" s="22"/>
      <c r="K3831" s="24"/>
      <c r="M3831" s="21"/>
      <c r="N3831" s="22"/>
      <c r="O3831" s="22"/>
      <c r="P3831" s="49"/>
      <c r="Q3831" s="49"/>
      <c r="R3831" s="188" t="str">
        <f t="shared" si="125"/>
        <v/>
      </c>
      <c r="T3831" s="21"/>
      <c r="U3831" s="22"/>
      <c r="V3831" s="24"/>
      <c r="W3831" s="24"/>
      <c r="X3831" s="24"/>
      <c r="Y3831" s="24"/>
      <c r="Z3831" s="20" t="str">
        <f t="shared" si="124"/>
        <v/>
      </c>
    </row>
    <row r="3832" spans="1:26" x14ac:dyDescent="0.2">
      <c r="A3832" s="21"/>
      <c r="B3832" s="20"/>
      <c r="C3832" s="22"/>
      <c r="D3832" s="22"/>
      <c r="E3832" s="24"/>
      <c r="F3832" s="22"/>
      <c r="H3832" s="21"/>
      <c r="I3832" s="22"/>
      <c r="J3832" s="22"/>
      <c r="K3832" s="24"/>
      <c r="M3832" s="21"/>
      <c r="N3832" s="22"/>
      <c r="O3832" s="22"/>
      <c r="P3832" s="49"/>
      <c r="Q3832" s="49"/>
      <c r="R3832" s="188" t="str">
        <f t="shared" si="125"/>
        <v/>
      </c>
      <c r="T3832" s="21"/>
      <c r="U3832" s="22"/>
      <c r="V3832" s="24"/>
      <c r="W3832" s="24"/>
      <c r="X3832" s="24"/>
      <c r="Y3832" s="24"/>
      <c r="Z3832" s="20" t="str">
        <f t="shared" si="124"/>
        <v/>
      </c>
    </row>
    <row r="3833" spans="1:26" x14ac:dyDescent="0.2">
      <c r="A3833" s="21"/>
      <c r="B3833" s="20"/>
      <c r="C3833" s="22"/>
      <c r="D3833" s="22"/>
      <c r="E3833" s="24"/>
      <c r="F3833" s="22"/>
      <c r="H3833" s="21"/>
      <c r="I3833" s="22"/>
      <c r="J3833" s="22"/>
      <c r="K3833" s="24"/>
      <c r="M3833" s="21"/>
      <c r="N3833" s="22"/>
      <c r="O3833" s="22"/>
      <c r="P3833" s="49"/>
      <c r="Q3833" s="49"/>
      <c r="R3833" s="188" t="str">
        <f t="shared" si="125"/>
        <v/>
      </c>
      <c r="T3833" s="21"/>
      <c r="U3833" s="22"/>
      <c r="V3833" s="24"/>
      <c r="W3833" s="24"/>
      <c r="X3833" s="24"/>
      <c r="Y3833" s="24"/>
      <c r="Z3833" s="20" t="str">
        <f t="shared" si="124"/>
        <v/>
      </c>
    </row>
    <row r="3834" spans="1:26" x14ac:dyDescent="0.2">
      <c r="A3834" s="21"/>
      <c r="B3834" s="20"/>
      <c r="C3834" s="22"/>
      <c r="D3834" s="22"/>
      <c r="E3834" s="24"/>
      <c r="F3834" s="22"/>
      <c r="H3834" s="21"/>
      <c r="I3834" s="22"/>
      <c r="J3834" s="22"/>
      <c r="K3834" s="24"/>
      <c r="M3834" s="21"/>
      <c r="N3834" s="22"/>
      <c r="O3834" s="22"/>
      <c r="P3834" s="49"/>
      <c r="Q3834" s="49"/>
      <c r="R3834" s="188" t="str">
        <f t="shared" si="125"/>
        <v/>
      </c>
      <c r="T3834" s="21"/>
      <c r="U3834" s="22"/>
      <c r="V3834" s="24"/>
      <c r="W3834" s="24"/>
      <c r="X3834" s="24"/>
      <c r="Y3834" s="24"/>
      <c r="Z3834" s="20" t="str">
        <f t="shared" si="124"/>
        <v/>
      </c>
    </row>
    <row r="3835" spans="1:26" x14ac:dyDescent="0.2">
      <c r="A3835" s="21"/>
      <c r="B3835" s="20"/>
      <c r="C3835" s="22"/>
      <c r="D3835" s="22"/>
      <c r="E3835" s="24"/>
      <c r="F3835" s="22"/>
      <c r="H3835" s="21"/>
      <c r="I3835" s="22"/>
      <c r="J3835" s="22"/>
      <c r="K3835" s="24"/>
      <c r="M3835" s="21"/>
      <c r="N3835" s="22"/>
      <c r="O3835" s="22"/>
      <c r="P3835" s="49"/>
      <c r="Q3835" s="49"/>
      <c r="R3835" s="188" t="str">
        <f t="shared" si="125"/>
        <v/>
      </c>
      <c r="T3835" s="21"/>
      <c r="U3835" s="22"/>
      <c r="V3835" s="24"/>
      <c r="W3835" s="24"/>
      <c r="X3835" s="24"/>
      <c r="Y3835" s="24"/>
      <c r="Z3835" s="20" t="str">
        <f t="shared" si="124"/>
        <v/>
      </c>
    </row>
    <row r="3836" spans="1:26" x14ac:dyDescent="0.2">
      <c r="A3836" s="21"/>
      <c r="B3836" s="20"/>
      <c r="C3836" s="22"/>
      <c r="D3836" s="22"/>
      <c r="E3836" s="24"/>
      <c r="F3836" s="22"/>
      <c r="H3836" s="21"/>
      <c r="I3836" s="22"/>
      <c r="J3836" s="22"/>
      <c r="K3836" s="24"/>
      <c r="M3836" s="21"/>
      <c r="N3836" s="22"/>
      <c r="O3836" s="22"/>
      <c r="P3836" s="49"/>
      <c r="Q3836" s="49"/>
      <c r="R3836" s="188" t="str">
        <f t="shared" si="125"/>
        <v/>
      </c>
      <c r="T3836" s="21"/>
      <c r="U3836" s="22"/>
      <c r="V3836" s="24"/>
      <c r="W3836" s="24"/>
      <c r="X3836" s="24"/>
      <c r="Y3836" s="24"/>
      <c r="Z3836" s="20" t="str">
        <f t="shared" si="124"/>
        <v/>
      </c>
    </row>
    <row r="3837" spans="1:26" x14ac:dyDescent="0.2">
      <c r="A3837" s="21"/>
      <c r="B3837" s="20"/>
      <c r="C3837" s="22"/>
      <c r="D3837" s="22"/>
      <c r="E3837" s="24"/>
      <c r="F3837" s="22"/>
      <c r="H3837" s="21"/>
      <c r="I3837" s="22"/>
      <c r="J3837" s="22"/>
      <c r="K3837" s="24"/>
      <c r="M3837" s="21"/>
      <c r="N3837" s="22"/>
      <c r="O3837" s="22"/>
      <c r="P3837" s="49"/>
      <c r="Q3837" s="49"/>
      <c r="R3837" s="188" t="str">
        <f t="shared" si="125"/>
        <v/>
      </c>
      <c r="T3837" s="21"/>
      <c r="U3837" s="22"/>
      <c r="V3837" s="24"/>
      <c r="W3837" s="24"/>
      <c r="X3837" s="24"/>
      <c r="Y3837" s="24"/>
      <c r="Z3837" s="20" t="str">
        <f t="shared" si="124"/>
        <v/>
      </c>
    </row>
    <row r="3838" spans="1:26" x14ac:dyDescent="0.2">
      <c r="A3838" s="21"/>
      <c r="B3838" s="20"/>
      <c r="C3838" s="22"/>
      <c r="D3838" s="22"/>
      <c r="E3838" s="24"/>
      <c r="F3838" s="22"/>
      <c r="H3838" s="21"/>
      <c r="I3838" s="22"/>
      <c r="J3838" s="22"/>
      <c r="K3838" s="24"/>
      <c r="M3838" s="21"/>
      <c r="N3838" s="22"/>
      <c r="O3838" s="22"/>
      <c r="P3838" s="49"/>
      <c r="Q3838" s="49"/>
      <c r="R3838" s="188" t="str">
        <f t="shared" si="125"/>
        <v/>
      </c>
      <c r="T3838" s="21"/>
      <c r="U3838" s="22"/>
      <c r="V3838" s="24"/>
      <c r="W3838" s="24"/>
      <c r="X3838" s="24"/>
      <c r="Y3838" s="24"/>
      <c r="Z3838" s="20" t="str">
        <f t="shared" si="124"/>
        <v/>
      </c>
    </row>
    <row r="3839" spans="1:26" x14ac:dyDescent="0.2">
      <c r="A3839" s="21"/>
      <c r="B3839" s="20"/>
      <c r="C3839" s="22"/>
      <c r="D3839" s="22"/>
      <c r="E3839" s="24"/>
      <c r="F3839" s="22"/>
      <c r="H3839" s="21"/>
      <c r="I3839" s="22"/>
      <c r="J3839" s="22"/>
      <c r="K3839" s="24"/>
      <c r="M3839" s="21"/>
      <c r="N3839" s="22"/>
      <c r="O3839" s="22"/>
      <c r="P3839" s="49"/>
      <c r="Q3839" s="49"/>
      <c r="R3839" s="188" t="str">
        <f t="shared" si="125"/>
        <v/>
      </c>
      <c r="T3839" s="21"/>
      <c r="U3839" s="22"/>
      <c r="V3839" s="24"/>
      <c r="W3839" s="24"/>
      <c r="X3839" s="24"/>
      <c r="Y3839" s="24"/>
      <c r="Z3839" s="20" t="str">
        <f t="shared" si="124"/>
        <v/>
      </c>
    </row>
    <row r="3840" spans="1:26" x14ac:dyDescent="0.2">
      <c r="A3840" s="21"/>
      <c r="B3840" s="20"/>
      <c r="C3840" s="22"/>
      <c r="D3840" s="22"/>
      <c r="E3840" s="24"/>
      <c r="F3840" s="22"/>
      <c r="H3840" s="21"/>
      <c r="I3840" s="22"/>
      <c r="J3840" s="22"/>
      <c r="K3840" s="24"/>
      <c r="M3840" s="21"/>
      <c r="N3840" s="22"/>
      <c r="O3840" s="22"/>
      <c r="P3840" s="49"/>
      <c r="Q3840" s="49"/>
      <c r="R3840" s="188" t="str">
        <f t="shared" si="125"/>
        <v/>
      </c>
      <c r="T3840" s="21"/>
      <c r="U3840" s="22"/>
      <c r="V3840" s="24"/>
      <c r="W3840" s="24"/>
      <c r="X3840" s="24"/>
      <c r="Y3840" s="24"/>
      <c r="Z3840" s="20" t="str">
        <f t="shared" si="124"/>
        <v/>
      </c>
    </row>
    <row r="3841" spans="1:26" x14ac:dyDescent="0.2">
      <c r="A3841" s="21"/>
      <c r="B3841" s="20"/>
      <c r="C3841" s="22"/>
      <c r="D3841" s="22"/>
      <c r="E3841" s="24"/>
      <c r="F3841" s="22"/>
      <c r="H3841" s="21"/>
      <c r="I3841" s="22"/>
      <c r="J3841" s="22"/>
      <c r="K3841" s="24"/>
      <c r="M3841" s="21"/>
      <c r="N3841" s="22"/>
      <c r="O3841" s="22"/>
      <c r="P3841" s="49"/>
      <c r="Q3841" s="49"/>
      <c r="R3841" s="188" t="str">
        <f t="shared" si="125"/>
        <v/>
      </c>
      <c r="T3841" s="21"/>
      <c r="U3841" s="22"/>
      <c r="V3841" s="24"/>
      <c r="W3841" s="24"/>
      <c r="X3841" s="24"/>
      <c r="Y3841" s="24"/>
      <c r="Z3841" s="20" t="str">
        <f t="shared" si="124"/>
        <v/>
      </c>
    </row>
    <row r="3842" spans="1:26" x14ac:dyDescent="0.2">
      <c r="A3842" s="21"/>
      <c r="B3842" s="20"/>
      <c r="C3842" s="22"/>
      <c r="D3842" s="22"/>
      <c r="E3842" s="24"/>
      <c r="F3842" s="22"/>
      <c r="H3842" s="21"/>
      <c r="I3842" s="22"/>
      <c r="J3842" s="22"/>
      <c r="K3842" s="24"/>
      <c r="M3842" s="21"/>
      <c r="N3842" s="22"/>
      <c r="O3842" s="22"/>
      <c r="P3842" s="49"/>
      <c r="Q3842" s="49"/>
      <c r="R3842" s="188" t="str">
        <f t="shared" si="125"/>
        <v/>
      </c>
      <c r="T3842" s="21"/>
      <c r="U3842" s="22"/>
      <c r="V3842" s="24"/>
      <c r="W3842" s="24"/>
      <c r="X3842" s="24"/>
      <c r="Y3842" s="24"/>
      <c r="Z3842" s="20" t="str">
        <f t="shared" si="124"/>
        <v/>
      </c>
    </row>
    <row r="3843" spans="1:26" x14ac:dyDescent="0.2">
      <c r="A3843" s="21"/>
      <c r="B3843" s="20"/>
      <c r="C3843" s="22"/>
      <c r="D3843" s="22"/>
      <c r="E3843" s="24"/>
      <c r="F3843" s="22"/>
      <c r="H3843" s="21"/>
      <c r="I3843" s="22"/>
      <c r="J3843" s="22"/>
      <c r="K3843" s="24"/>
      <c r="M3843" s="21"/>
      <c r="N3843" s="22"/>
      <c r="O3843" s="22"/>
      <c r="P3843" s="49"/>
      <c r="Q3843" s="49"/>
      <c r="R3843" s="188" t="str">
        <f t="shared" si="125"/>
        <v/>
      </c>
      <c r="T3843" s="21"/>
      <c r="U3843" s="22"/>
      <c r="V3843" s="24"/>
      <c r="W3843" s="24"/>
      <c r="X3843" s="24"/>
      <c r="Y3843" s="24"/>
      <c r="Z3843" s="20" t="str">
        <f t="shared" si="124"/>
        <v/>
      </c>
    </row>
    <row r="3844" spans="1:26" x14ac:dyDescent="0.2">
      <c r="A3844" s="21"/>
      <c r="B3844" s="20"/>
      <c r="C3844" s="22"/>
      <c r="D3844" s="22"/>
      <c r="E3844" s="24"/>
      <c r="F3844" s="22"/>
      <c r="H3844" s="21"/>
      <c r="I3844" s="22"/>
      <c r="J3844" s="22"/>
      <c r="K3844" s="24"/>
      <c r="M3844" s="21"/>
      <c r="N3844" s="22"/>
      <c r="O3844" s="22"/>
      <c r="P3844" s="49"/>
      <c r="Q3844" s="49"/>
      <c r="R3844" s="188" t="str">
        <f t="shared" si="125"/>
        <v/>
      </c>
      <c r="T3844" s="21"/>
      <c r="U3844" s="22"/>
      <c r="V3844" s="24"/>
      <c r="W3844" s="24"/>
      <c r="X3844" s="24"/>
      <c r="Y3844" s="24"/>
      <c r="Z3844" s="20" t="str">
        <f t="shared" si="124"/>
        <v/>
      </c>
    </row>
    <row r="3845" spans="1:26" x14ac:dyDescent="0.2">
      <c r="A3845" s="21"/>
      <c r="B3845" s="20"/>
      <c r="C3845" s="22"/>
      <c r="D3845" s="22"/>
      <c r="E3845" s="24"/>
      <c r="F3845" s="22"/>
      <c r="H3845" s="21"/>
      <c r="I3845" s="22"/>
      <c r="J3845" s="22"/>
      <c r="K3845" s="24"/>
      <c r="M3845" s="21"/>
      <c r="N3845" s="22"/>
      <c r="O3845" s="22"/>
      <c r="P3845" s="49"/>
      <c r="Q3845" s="49"/>
      <c r="R3845" s="188" t="str">
        <f t="shared" si="125"/>
        <v/>
      </c>
      <c r="T3845" s="21"/>
      <c r="U3845" s="22"/>
      <c r="V3845" s="24"/>
      <c r="W3845" s="24"/>
      <c r="X3845" s="24"/>
      <c r="Y3845" s="24"/>
      <c r="Z3845" s="20" t="str">
        <f t="shared" si="124"/>
        <v/>
      </c>
    </row>
    <row r="3846" spans="1:26" x14ac:dyDescent="0.2">
      <c r="A3846" s="21"/>
      <c r="B3846" s="20"/>
      <c r="C3846" s="22"/>
      <c r="D3846" s="22"/>
      <c r="E3846" s="24"/>
      <c r="F3846" s="22"/>
      <c r="H3846" s="21"/>
      <c r="I3846" s="22"/>
      <c r="J3846" s="22"/>
      <c r="K3846" s="24"/>
      <c r="M3846" s="21"/>
      <c r="N3846" s="22"/>
      <c r="O3846" s="22"/>
      <c r="P3846" s="49"/>
      <c r="Q3846" s="49"/>
      <c r="R3846" s="188" t="str">
        <f t="shared" si="125"/>
        <v/>
      </c>
      <c r="T3846" s="21"/>
      <c r="U3846" s="22"/>
      <c r="V3846" s="24"/>
      <c r="W3846" s="24"/>
      <c r="X3846" s="24"/>
      <c r="Y3846" s="24"/>
      <c r="Z3846" s="20" t="str">
        <f t="shared" si="124"/>
        <v/>
      </c>
    </row>
    <row r="3847" spans="1:26" x14ac:dyDescent="0.2">
      <c r="A3847" s="21"/>
      <c r="B3847" s="20"/>
      <c r="C3847" s="22"/>
      <c r="D3847" s="22"/>
      <c r="E3847" s="24"/>
      <c r="F3847" s="22"/>
      <c r="H3847" s="21"/>
      <c r="I3847" s="22"/>
      <c r="J3847" s="22"/>
      <c r="K3847" s="24"/>
      <c r="M3847" s="21"/>
      <c r="N3847" s="22"/>
      <c r="O3847" s="22"/>
      <c r="P3847" s="49"/>
      <c r="Q3847" s="49"/>
      <c r="R3847" s="188" t="str">
        <f t="shared" si="125"/>
        <v/>
      </c>
      <c r="T3847" s="21"/>
      <c r="U3847" s="22"/>
      <c r="V3847" s="24"/>
      <c r="W3847" s="24"/>
      <c r="X3847" s="24"/>
      <c r="Y3847" s="24"/>
      <c r="Z3847" s="20" t="str">
        <f t="shared" si="124"/>
        <v/>
      </c>
    </row>
    <row r="3848" spans="1:26" x14ac:dyDescent="0.2">
      <c r="A3848" s="21"/>
      <c r="B3848" s="20"/>
      <c r="C3848" s="22"/>
      <c r="D3848" s="22"/>
      <c r="E3848" s="24"/>
      <c r="F3848" s="22"/>
      <c r="H3848" s="21"/>
      <c r="I3848" s="22"/>
      <c r="J3848" s="22"/>
      <c r="K3848" s="24"/>
      <c r="M3848" s="21"/>
      <c r="N3848" s="22"/>
      <c r="O3848" s="22"/>
      <c r="P3848" s="49"/>
      <c r="Q3848" s="49"/>
      <c r="R3848" s="188" t="str">
        <f t="shared" si="125"/>
        <v/>
      </c>
      <c r="T3848" s="21"/>
      <c r="U3848" s="22"/>
      <c r="V3848" s="24"/>
      <c r="W3848" s="24"/>
      <c r="X3848" s="24"/>
      <c r="Y3848" s="24"/>
      <c r="Z3848" s="20" t="str">
        <f t="shared" si="124"/>
        <v/>
      </c>
    </row>
    <row r="3849" spans="1:26" x14ac:dyDescent="0.2">
      <c r="A3849" s="21"/>
      <c r="B3849" s="20"/>
      <c r="C3849" s="22"/>
      <c r="D3849" s="22"/>
      <c r="E3849" s="24"/>
      <c r="F3849" s="22"/>
      <c r="H3849" s="21"/>
      <c r="I3849" s="22"/>
      <c r="J3849" s="22"/>
      <c r="K3849" s="24"/>
      <c r="M3849" s="21"/>
      <c r="N3849" s="22"/>
      <c r="O3849" s="22"/>
      <c r="P3849" s="49"/>
      <c r="Q3849" s="49"/>
      <c r="R3849" s="188" t="str">
        <f t="shared" si="125"/>
        <v/>
      </c>
      <c r="T3849" s="21"/>
      <c r="U3849" s="22"/>
      <c r="V3849" s="24"/>
      <c r="W3849" s="24"/>
      <c r="X3849" s="24"/>
      <c r="Y3849" s="24"/>
      <c r="Z3849" s="20" t="str">
        <f t="shared" si="124"/>
        <v/>
      </c>
    </row>
    <row r="3850" spans="1:26" x14ac:dyDescent="0.2">
      <c r="A3850" s="21"/>
      <c r="B3850" s="20"/>
      <c r="C3850" s="22"/>
      <c r="D3850" s="22"/>
      <c r="E3850" s="24"/>
      <c r="F3850" s="22"/>
      <c r="H3850" s="21"/>
      <c r="I3850" s="22"/>
      <c r="J3850" s="22"/>
      <c r="K3850" s="24"/>
      <c r="M3850" s="21"/>
      <c r="N3850" s="22"/>
      <c r="O3850" s="22"/>
      <c r="P3850" s="49"/>
      <c r="Q3850" s="49"/>
      <c r="R3850" s="188" t="str">
        <f t="shared" si="125"/>
        <v/>
      </c>
      <c r="T3850" s="21"/>
      <c r="U3850" s="22"/>
      <c r="V3850" s="24"/>
      <c r="W3850" s="24"/>
      <c r="X3850" s="24"/>
      <c r="Y3850" s="24"/>
      <c r="Z3850" s="20" t="str">
        <f t="shared" si="124"/>
        <v/>
      </c>
    </row>
    <row r="3851" spans="1:26" x14ac:dyDescent="0.2">
      <c r="A3851" s="21"/>
      <c r="B3851" s="20"/>
      <c r="C3851" s="22"/>
      <c r="D3851" s="22"/>
      <c r="E3851" s="24"/>
      <c r="F3851" s="22"/>
      <c r="H3851" s="21"/>
      <c r="I3851" s="22"/>
      <c r="J3851" s="22"/>
      <c r="K3851" s="24"/>
      <c r="M3851" s="21"/>
      <c r="N3851" s="22"/>
      <c r="O3851" s="22"/>
      <c r="P3851" s="49"/>
      <c r="Q3851" s="49"/>
      <c r="R3851" s="188" t="str">
        <f t="shared" si="125"/>
        <v/>
      </c>
      <c r="T3851" s="21"/>
      <c r="U3851" s="22"/>
      <c r="V3851" s="24"/>
      <c r="W3851" s="24"/>
      <c r="X3851" s="24"/>
      <c r="Y3851" s="24"/>
      <c r="Z3851" s="20" t="str">
        <f t="shared" si="124"/>
        <v/>
      </c>
    </row>
    <row r="3852" spans="1:26" x14ac:dyDescent="0.2">
      <c r="A3852" s="21"/>
      <c r="B3852" s="20"/>
      <c r="C3852" s="22"/>
      <c r="D3852" s="22"/>
      <c r="E3852" s="24"/>
      <c r="F3852" s="22"/>
      <c r="H3852" s="21"/>
      <c r="I3852" s="22"/>
      <c r="J3852" s="22"/>
      <c r="K3852" s="24"/>
      <c r="M3852" s="21"/>
      <c r="N3852" s="22"/>
      <c r="O3852" s="22"/>
      <c r="P3852" s="49"/>
      <c r="Q3852" s="49"/>
      <c r="R3852" s="188" t="str">
        <f t="shared" si="125"/>
        <v/>
      </c>
      <c r="T3852" s="21"/>
      <c r="U3852" s="22"/>
      <c r="V3852" s="24"/>
      <c r="W3852" s="24"/>
      <c r="X3852" s="24"/>
      <c r="Y3852" s="24"/>
      <c r="Z3852" s="20" t="str">
        <f t="shared" si="124"/>
        <v/>
      </c>
    </row>
    <row r="3853" spans="1:26" x14ac:dyDescent="0.2">
      <c r="A3853" s="21"/>
      <c r="B3853" s="20"/>
      <c r="C3853" s="22"/>
      <c r="D3853" s="22"/>
      <c r="E3853" s="24"/>
      <c r="F3853" s="22"/>
      <c r="H3853" s="21"/>
      <c r="I3853" s="22"/>
      <c r="J3853" s="22"/>
      <c r="K3853" s="24"/>
      <c r="M3853" s="21"/>
      <c r="N3853" s="22"/>
      <c r="O3853" s="22"/>
      <c r="P3853" s="49"/>
      <c r="Q3853" s="49"/>
      <c r="R3853" s="188" t="str">
        <f t="shared" si="125"/>
        <v/>
      </c>
      <c r="T3853" s="21"/>
      <c r="U3853" s="22"/>
      <c r="V3853" s="24"/>
      <c r="W3853" s="24"/>
      <c r="X3853" s="24"/>
      <c r="Y3853" s="24"/>
      <c r="Z3853" s="20" t="str">
        <f t="shared" si="124"/>
        <v/>
      </c>
    </row>
    <row r="3854" spans="1:26" x14ac:dyDescent="0.2">
      <c r="A3854" s="21"/>
      <c r="B3854" s="20"/>
      <c r="C3854" s="22"/>
      <c r="D3854" s="22"/>
      <c r="E3854" s="24"/>
      <c r="F3854" s="22"/>
      <c r="H3854" s="21"/>
      <c r="I3854" s="22"/>
      <c r="J3854" s="22"/>
      <c r="K3854" s="24"/>
      <c r="M3854" s="21"/>
      <c r="N3854" s="22"/>
      <c r="O3854" s="22"/>
      <c r="P3854" s="49"/>
      <c r="Q3854" s="49"/>
      <c r="R3854" s="188" t="str">
        <f t="shared" si="125"/>
        <v/>
      </c>
      <c r="T3854" s="21"/>
      <c r="U3854" s="22"/>
      <c r="V3854" s="24"/>
      <c r="W3854" s="24"/>
      <c r="X3854" s="24"/>
      <c r="Y3854" s="24"/>
      <c r="Z3854" s="20" t="str">
        <f t="shared" si="124"/>
        <v/>
      </c>
    </row>
    <row r="3855" spans="1:26" x14ac:dyDescent="0.2">
      <c r="A3855" s="21"/>
      <c r="B3855" s="20"/>
      <c r="C3855" s="22"/>
      <c r="D3855" s="22"/>
      <c r="E3855" s="24"/>
      <c r="F3855" s="22"/>
      <c r="H3855" s="21"/>
      <c r="I3855" s="22"/>
      <c r="J3855" s="22"/>
      <c r="K3855" s="24"/>
      <c r="M3855" s="21"/>
      <c r="N3855" s="22"/>
      <c r="O3855" s="22"/>
      <c r="P3855" s="49"/>
      <c r="Q3855" s="49"/>
      <c r="R3855" s="188" t="str">
        <f t="shared" si="125"/>
        <v/>
      </c>
      <c r="T3855" s="21"/>
      <c r="U3855" s="22"/>
      <c r="V3855" s="24"/>
      <c r="W3855" s="24"/>
      <c r="X3855" s="24"/>
      <c r="Y3855" s="24"/>
      <c r="Z3855" s="20" t="str">
        <f t="shared" si="124"/>
        <v/>
      </c>
    </row>
    <row r="3856" spans="1:26" x14ac:dyDescent="0.2">
      <c r="A3856" s="21"/>
      <c r="B3856" s="20"/>
      <c r="C3856" s="22"/>
      <c r="D3856" s="22"/>
      <c r="E3856" s="24"/>
      <c r="F3856" s="22"/>
      <c r="H3856" s="21"/>
      <c r="I3856" s="22"/>
      <c r="J3856" s="22"/>
      <c r="K3856" s="24"/>
      <c r="M3856" s="21"/>
      <c r="N3856" s="22"/>
      <c r="O3856" s="22"/>
      <c r="P3856" s="49"/>
      <c r="Q3856" s="49"/>
      <c r="R3856" s="188" t="str">
        <f t="shared" si="125"/>
        <v/>
      </c>
      <c r="T3856" s="21"/>
      <c r="U3856" s="22"/>
      <c r="V3856" s="24"/>
      <c r="W3856" s="24"/>
      <c r="X3856" s="24"/>
      <c r="Y3856" s="24"/>
      <c r="Z3856" s="20" t="str">
        <f t="shared" si="124"/>
        <v/>
      </c>
    </row>
    <row r="3857" spans="1:26" x14ac:dyDescent="0.2">
      <c r="A3857" s="21"/>
      <c r="B3857" s="20"/>
      <c r="C3857" s="22"/>
      <c r="D3857" s="22"/>
      <c r="E3857" s="24"/>
      <c r="F3857" s="22"/>
      <c r="H3857" s="21"/>
      <c r="I3857" s="22"/>
      <c r="J3857" s="22"/>
      <c r="K3857" s="24"/>
      <c r="M3857" s="21"/>
      <c r="N3857" s="22"/>
      <c r="O3857" s="22"/>
      <c r="P3857" s="49"/>
      <c r="Q3857" s="49"/>
      <c r="R3857" s="188" t="str">
        <f t="shared" si="125"/>
        <v/>
      </c>
      <c r="T3857" s="21"/>
      <c r="U3857" s="22"/>
      <c r="V3857" s="24"/>
      <c r="W3857" s="24"/>
      <c r="X3857" s="24"/>
      <c r="Y3857" s="24"/>
      <c r="Z3857" s="20" t="str">
        <f t="shared" si="124"/>
        <v/>
      </c>
    </row>
    <row r="3858" spans="1:26" x14ac:dyDescent="0.2">
      <c r="A3858" s="21"/>
      <c r="B3858" s="20"/>
      <c r="C3858" s="22"/>
      <c r="D3858" s="22"/>
      <c r="E3858" s="24"/>
      <c r="F3858" s="22"/>
      <c r="H3858" s="21"/>
      <c r="I3858" s="22"/>
      <c r="J3858" s="22"/>
      <c r="K3858" s="24"/>
      <c r="M3858" s="21"/>
      <c r="N3858" s="22"/>
      <c r="O3858" s="22"/>
      <c r="P3858" s="49"/>
      <c r="Q3858" s="49"/>
      <c r="R3858" s="188" t="str">
        <f t="shared" si="125"/>
        <v/>
      </c>
      <c r="T3858" s="21"/>
      <c r="U3858" s="22"/>
      <c r="V3858" s="24"/>
      <c r="W3858" s="24"/>
      <c r="X3858" s="24"/>
      <c r="Y3858" s="24"/>
      <c r="Z3858" s="20" t="str">
        <f t="shared" si="124"/>
        <v/>
      </c>
    </row>
    <row r="3859" spans="1:26" x14ac:dyDescent="0.2">
      <c r="A3859" s="21"/>
      <c r="B3859" s="20"/>
      <c r="C3859" s="22"/>
      <c r="D3859" s="22"/>
      <c r="E3859" s="24"/>
      <c r="F3859" s="22"/>
      <c r="H3859" s="21"/>
      <c r="I3859" s="22"/>
      <c r="J3859" s="22"/>
      <c r="K3859" s="24"/>
      <c r="M3859" s="21"/>
      <c r="N3859" s="22"/>
      <c r="O3859" s="22"/>
      <c r="P3859" s="49"/>
      <c r="Q3859" s="49"/>
      <c r="R3859" s="188" t="str">
        <f t="shared" si="125"/>
        <v/>
      </c>
      <c r="T3859" s="21"/>
      <c r="U3859" s="22"/>
      <c r="V3859" s="24"/>
      <c r="W3859" s="24"/>
      <c r="X3859" s="24"/>
      <c r="Y3859" s="24"/>
      <c r="Z3859" s="20" t="str">
        <f t="shared" ref="Z3859:Z3922" si="126">IF(COUNT(V3859:Y3859)=0,"",SUM(V3859:Y3859))</f>
        <v/>
      </c>
    </row>
    <row r="3860" spans="1:26" x14ac:dyDescent="0.2">
      <c r="A3860" s="21"/>
      <c r="B3860" s="20"/>
      <c r="C3860" s="22"/>
      <c r="D3860" s="22"/>
      <c r="E3860" s="24"/>
      <c r="F3860" s="22"/>
      <c r="H3860" s="21"/>
      <c r="I3860" s="22"/>
      <c r="J3860" s="22"/>
      <c r="K3860" s="24"/>
      <c r="M3860" s="21"/>
      <c r="N3860" s="22"/>
      <c r="O3860" s="22"/>
      <c r="P3860" s="49"/>
      <c r="Q3860" s="49"/>
      <c r="R3860" s="188" t="str">
        <f t="shared" si="125"/>
        <v/>
      </c>
      <c r="T3860" s="21"/>
      <c r="U3860" s="22"/>
      <c r="V3860" s="24"/>
      <c r="W3860" s="24"/>
      <c r="X3860" s="24"/>
      <c r="Y3860" s="24"/>
      <c r="Z3860" s="20" t="str">
        <f t="shared" si="126"/>
        <v/>
      </c>
    </row>
    <row r="3861" spans="1:26" x14ac:dyDescent="0.2">
      <c r="A3861" s="21"/>
      <c r="B3861" s="20"/>
      <c r="C3861" s="22"/>
      <c r="D3861" s="22"/>
      <c r="E3861" s="24"/>
      <c r="F3861" s="22"/>
      <c r="H3861" s="21"/>
      <c r="I3861" s="22"/>
      <c r="J3861" s="22"/>
      <c r="K3861" s="24"/>
      <c r="M3861" s="21"/>
      <c r="N3861" s="22"/>
      <c r="O3861" s="22"/>
      <c r="P3861" s="49"/>
      <c r="Q3861" s="49"/>
      <c r="R3861" s="188" t="str">
        <f t="shared" si="125"/>
        <v/>
      </c>
      <c r="T3861" s="21"/>
      <c r="U3861" s="22"/>
      <c r="V3861" s="24"/>
      <c r="W3861" s="24"/>
      <c r="X3861" s="24"/>
      <c r="Y3861" s="24"/>
      <c r="Z3861" s="20" t="str">
        <f t="shared" si="126"/>
        <v/>
      </c>
    </row>
    <row r="3862" spans="1:26" x14ac:dyDescent="0.2">
      <c r="A3862" s="21"/>
      <c r="B3862" s="20"/>
      <c r="C3862" s="22"/>
      <c r="D3862" s="22"/>
      <c r="E3862" s="24"/>
      <c r="F3862" s="22"/>
      <c r="H3862" s="21"/>
      <c r="I3862" s="22"/>
      <c r="J3862" s="22"/>
      <c r="K3862" s="24"/>
      <c r="M3862" s="21"/>
      <c r="N3862" s="22"/>
      <c r="O3862" s="22"/>
      <c r="P3862" s="49"/>
      <c r="Q3862" s="49"/>
      <c r="R3862" s="188" t="str">
        <f t="shared" ref="R3862:R3925" si="127">IF(OR(P3862="",Q3862=""),"",IFERROR(P3862-Q3862,""))</f>
        <v/>
      </c>
      <c r="T3862" s="21"/>
      <c r="U3862" s="22"/>
      <c r="V3862" s="24"/>
      <c r="W3862" s="24"/>
      <c r="X3862" s="24"/>
      <c r="Y3862" s="24"/>
      <c r="Z3862" s="20" t="str">
        <f t="shared" si="126"/>
        <v/>
      </c>
    </row>
    <row r="3863" spans="1:26" x14ac:dyDescent="0.2">
      <c r="A3863" s="21"/>
      <c r="B3863" s="20"/>
      <c r="C3863" s="22"/>
      <c r="D3863" s="22"/>
      <c r="E3863" s="24"/>
      <c r="F3863" s="22"/>
      <c r="H3863" s="21"/>
      <c r="I3863" s="22"/>
      <c r="J3863" s="22"/>
      <c r="K3863" s="24"/>
      <c r="M3863" s="21"/>
      <c r="N3863" s="22"/>
      <c r="O3863" s="22"/>
      <c r="P3863" s="49"/>
      <c r="Q3863" s="49"/>
      <c r="R3863" s="188" t="str">
        <f t="shared" si="127"/>
        <v/>
      </c>
      <c r="T3863" s="21"/>
      <c r="U3863" s="22"/>
      <c r="V3863" s="24"/>
      <c r="W3863" s="24"/>
      <c r="X3863" s="24"/>
      <c r="Y3863" s="24"/>
      <c r="Z3863" s="20" t="str">
        <f t="shared" si="126"/>
        <v/>
      </c>
    </row>
    <row r="3864" spans="1:26" x14ac:dyDescent="0.2">
      <c r="A3864" s="21"/>
      <c r="B3864" s="20"/>
      <c r="C3864" s="22"/>
      <c r="D3864" s="22"/>
      <c r="E3864" s="24"/>
      <c r="F3864" s="22"/>
      <c r="H3864" s="21"/>
      <c r="I3864" s="22"/>
      <c r="J3864" s="22"/>
      <c r="K3864" s="24"/>
      <c r="M3864" s="21"/>
      <c r="N3864" s="22"/>
      <c r="O3864" s="22"/>
      <c r="P3864" s="49"/>
      <c r="Q3864" s="49"/>
      <c r="R3864" s="188" t="str">
        <f t="shared" si="127"/>
        <v/>
      </c>
      <c r="T3864" s="21"/>
      <c r="U3864" s="22"/>
      <c r="V3864" s="24"/>
      <c r="W3864" s="24"/>
      <c r="X3864" s="24"/>
      <c r="Y3864" s="24"/>
      <c r="Z3864" s="20" t="str">
        <f t="shared" si="126"/>
        <v/>
      </c>
    </row>
    <row r="3865" spans="1:26" x14ac:dyDescent="0.2">
      <c r="A3865" s="21"/>
      <c r="B3865" s="20"/>
      <c r="C3865" s="22"/>
      <c r="D3865" s="22"/>
      <c r="E3865" s="24"/>
      <c r="F3865" s="22"/>
      <c r="H3865" s="21"/>
      <c r="I3865" s="22"/>
      <c r="J3865" s="22"/>
      <c r="K3865" s="24"/>
      <c r="M3865" s="21"/>
      <c r="N3865" s="22"/>
      <c r="O3865" s="22"/>
      <c r="P3865" s="49"/>
      <c r="Q3865" s="49"/>
      <c r="R3865" s="188" t="str">
        <f t="shared" si="127"/>
        <v/>
      </c>
      <c r="T3865" s="21"/>
      <c r="U3865" s="22"/>
      <c r="V3865" s="24"/>
      <c r="W3865" s="24"/>
      <c r="X3865" s="24"/>
      <c r="Y3865" s="24"/>
      <c r="Z3865" s="20" t="str">
        <f t="shared" si="126"/>
        <v/>
      </c>
    </row>
    <row r="3866" spans="1:26" x14ac:dyDescent="0.2">
      <c r="A3866" s="21"/>
      <c r="B3866" s="20"/>
      <c r="C3866" s="22"/>
      <c r="D3866" s="22"/>
      <c r="E3866" s="24"/>
      <c r="F3866" s="22"/>
      <c r="H3866" s="21"/>
      <c r="I3866" s="22"/>
      <c r="J3866" s="22"/>
      <c r="K3866" s="24"/>
      <c r="M3866" s="21"/>
      <c r="N3866" s="22"/>
      <c r="O3866" s="22"/>
      <c r="P3866" s="49"/>
      <c r="Q3866" s="49"/>
      <c r="R3866" s="188" t="str">
        <f t="shared" si="127"/>
        <v/>
      </c>
      <c r="T3866" s="21"/>
      <c r="U3866" s="22"/>
      <c r="V3866" s="24"/>
      <c r="W3866" s="24"/>
      <c r="X3866" s="24"/>
      <c r="Y3866" s="24"/>
      <c r="Z3866" s="20" t="str">
        <f t="shared" si="126"/>
        <v/>
      </c>
    </row>
    <row r="3867" spans="1:26" x14ac:dyDescent="0.2">
      <c r="A3867" s="21"/>
      <c r="B3867" s="20"/>
      <c r="C3867" s="22"/>
      <c r="D3867" s="22"/>
      <c r="E3867" s="24"/>
      <c r="F3867" s="22"/>
      <c r="H3867" s="21"/>
      <c r="I3867" s="22"/>
      <c r="J3867" s="22"/>
      <c r="K3867" s="24"/>
      <c r="M3867" s="21"/>
      <c r="N3867" s="22"/>
      <c r="O3867" s="22"/>
      <c r="P3867" s="49"/>
      <c r="Q3867" s="49"/>
      <c r="R3867" s="188" t="str">
        <f t="shared" si="127"/>
        <v/>
      </c>
      <c r="T3867" s="21"/>
      <c r="U3867" s="22"/>
      <c r="V3867" s="24"/>
      <c r="W3867" s="24"/>
      <c r="X3867" s="24"/>
      <c r="Y3867" s="24"/>
      <c r="Z3867" s="20" t="str">
        <f t="shared" si="126"/>
        <v/>
      </c>
    </row>
    <row r="3868" spans="1:26" x14ac:dyDescent="0.2">
      <c r="A3868" s="21"/>
      <c r="B3868" s="20"/>
      <c r="C3868" s="22"/>
      <c r="D3868" s="22"/>
      <c r="E3868" s="24"/>
      <c r="F3868" s="22"/>
      <c r="H3868" s="21"/>
      <c r="I3868" s="22"/>
      <c r="J3868" s="22"/>
      <c r="K3868" s="24"/>
      <c r="M3868" s="21"/>
      <c r="N3868" s="22"/>
      <c r="O3868" s="22"/>
      <c r="P3868" s="49"/>
      <c r="Q3868" s="49"/>
      <c r="R3868" s="188" t="str">
        <f t="shared" si="127"/>
        <v/>
      </c>
      <c r="T3868" s="21"/>
      <c r="U3868" s="22"/>
      <c r="V3868" s="24"/>
      <c r="W3868" s="24"/>
      <c r="X3868" s="24"/>
      <c r="Y3868" s="24"/>
      <c r="Z3868" s="20" t="str">
        <f t="shared" si="126"/>
        <v/>
      </c>
    </row>
    <row r="3869" spans="1:26" x14ac:dyDescent="0.2">
      <c r="A3869" s="21"/>
      <c r="B3869" s="20"/>
      <c r="C3869" s="22"/>
      <c r="D3869" s="22"/>
      <c r="E3869" s="24"/>
      <c r="F3869" s="22"/>
      <c r="H3869" s="21"/>
      <c r="I3869" s="22"/>
      <c r="J3869" s="22"/>
      <c r="K3869" s="24"/>
      <c r="M3869" s="21"/>
      <c r="N3869" s="22"/>
      <c r="O3869" s="22"/>
      <c r="P3869" s="49"/>
      <c r="Q3869" s="49"/>
      <c r="R3869" s="188" t="str">
        <f t="shared" si="127"/>
        <v/>
      </c>
      <c r="T3869" s="21"/>
      <c r="U3869" s="22"/>
      <c r="V3869" s="24"/>
      <c r="W3869" s="24"/>
      <c r="X3869" s="24"/>
      <c r="Y3869" s="24"/>
      <c r="Z3869" s="20" t="str">
        <f t="shared" si="126"/>
        <v/>
      </c>
    </row>
    <row r="3870" spans="1:26" x14ac:dyDescent="0.2">
      <c r="A3870" s="21"/>
      <c r="B3870" s="20"/>
      <c r="C3870" s="22"/>
      <c r="D3870" s="22"/>
      <c r="E3870" s="24"/>
      <c r="F3870" s="22"/>
      <c r="H3870" s="21"/>
      <c r="I3870" s="22"/>
      <c r="J3870" s="22"/>
      <c r="K3870" s="24"/>
      <c r="M3870" s="21"/>
      <c r="N3870" s="22"/>
      <c r="O3870" s="22"/>
      <c r="P3870" s="49"/>
      <c r="Q3870" s="49"/>
      <c r="R3870" s="188" t="str">
        <f t="shared" si="127"/>
        <v/>
      </c>
      <c r="T3870" s="21"/>
      <c r="U3870" s="22"/>
      <c r="V3870" s="24"/>
      <c r="W3870" s="24"/>
      <c r="X3870" s="24"/>
      <c r="Y3870" s="24"/>
      <c r="Z3870" s="20" t="str">
        <f t="shared" si="126"/>
        <v/>
      </c>
    </row>
    <row r="3871" spans="1:26" x14ac:dyDescent="0.2">
      <c r="A3871" s="21"/>
      <c r="B3871" s="20"/>
      <c r="C3871" s="22"/>
      <c r="D3871" s="22"/>
      <c r="E3871" s="24"/>
      <c r="F3871" s="22"/>
      <c r="H3871" s="21"/>
      <c r="I3871" s="22"/>
      <c r="J3871" s="22"/>
      <c r="K3871" s="24"/>
      <c r="M3871" s="21"/>
      <c r="N3871" s="22"/>
      <c r="O3871" s="22"/>
      <c r="P3871" s="49"/>
      <c r="Q3871" s="49"/>
      <c r="R3871" s="188" t="str">
        <f t="shared" si="127"/>
        <v/>
      </c>
      <c r="T3871" s="21"/>
      <c r="U3871" s="22"/>
      <c r="V3871" s="24"/>
      <c r="W3871" s="24"/>
      <c r="X3871" s="24"/>
      <c r="Y3871" s="24"/>
      <c r="Z3871" s="20" t="str">
        <f t="shared" si="126"/>
        <v/>
      </c>
    </row>
    <row r="3872" spans="1:26" x14ac:dyDescent="0.2">
      <c r="A3872" s="21"/>
      <c r="B3872" s="20"/>
      <c r="C3872" s="22"/>
      <c r="D3872" s="22"/>
      <c r="E3872" s="24"/>
      <c r="F3872" s="22"/>
      <c r="H3872" s="21"/>
      <c r="I3872" s="22"/>
      <c r="J3872" s="22"/>
      <c r="K3872" s="24"/>
      <c r="M3872" s="21"/>
      <c r="N3872" s="22"/>
      <c r="O3872" s="22"/>
      <c r="P3872" s="49"/>
      <c r="Q3872" s="49"/>
      <c r="R3872" s="188" t="str">
        <f t="shared" si="127"/>
        <v/>
      </c>
      <c r="T3872" s="21"/>
      <c r="U3872" s="22"/>
      <c r="V3872" s="24"/>
      <c r="W3872" s="24"/>
      <c r="X3872" s="24"/>
      <c r="Y3872" s="24"/>
      <c r="Z3872" s="20" t="str">
        <f t="shared" si="126"/>
        <v/>
      </c>
    </row>
    <row r="3873" spans="1:26" x14ac:dyDescent="0.2">
      <c r="A3873" s="21"/>
      <c r="B3873" s="20"/>
      <c r="C3873" s="22"/>
      <c r="D3873" s="22"/>
      <c r="E3873" s="24"/>
      <c r="F3873" s="22"/>
      <c r="H3873" s="21"/>
      <c r="I3873" s="22"/>
      <c r="J3873" s="22"/>
      <c r="K3873" s="24"/>
      <c r="M3873" s="21"/>
      <c r="N3873" s="22"/>
      <c r="O3873" s="22"/>
      <c r="P3873" s="49"/>
      <c r="Q3873" s="49"/>
      <c r="R3873" s="188" t="str">
        <f t="shared" si="127"/>
        <v/>
      </c>
      <c r="T3873" s="21"/>
      <c r="U3873" s="22"/>
      <c r="V3873" s="24"/>
      <c r="W3873" s="24"/>
      <c r="X3873" s="24"/>
      <c r="Y3873" s="24"/>
      <c r="Z3873" s="20" t="str">
        <f t="shared" si="126"/>
        <v/>
      </c>
    </row>
    <row r="3874" spans="1:26" x14ac:dyDescent="0.2">
      <c r="A3874" s="21"/>
      <c r="B3874" s="20"/>
      <c r="C3874" s="22"/>
      <c r="D3874" s="22"/>
      <c r="E3874" s="24"/>
      <c r="F3874" s="22"/>
      <c r="H3874" s="21"/>
      <c r="I3874" s="22"/>
      <c r="J3874" s="22"/>
      <c r="K3874" s="24"/>
      <c r="M3874" s="21"/>
      <c r="N3874" s="22"/>
      <c r="O3874" s="22"/>
      <c r="P3874" s="49"/>
      <c r="Q3874" s="49"/>
      <c r="R3874" s="188" t="str">
        <f t="shared" si="127"/>
        <v/>
      </c>
      <c r="T3874" s="21"/>
      <c r="U3874" s="22"/>
      <c r="V3874" s="24"/>
      <c r="W3874" s="24"/>
      <c r="X3874" s="24"/>
      <c r="Y3874" s="24"/>
      <c r="Z3874" s="20" t="str">
        <f t="shared" si="126"/>
        <v/>
      </c>
    </row>
    <row r="3875" spans="1:26" x14ac:dyDescent="0.2">
      <c r="A3875" s="21"/>
      <c r="B3875" s="20"/>
      <c r="C3875" s="22"/>
      <c r="D3875" s="22"/>
      <c r="E3875" s="24"/>
      <c r="F3875" s="22"/>
      <c r="H3875" s="21"/>
      <c r="I3875" s="22"/>
      <c r="J3875" s="22"/>
      <c r="K3875" s="24"/>
      <c r="M3875" s="21"/>
      <c r="N3875" s="22"/>
      <c r="O3875" s="22"/>
      <c r="P3875" s="49"/>
      <c r="Q3875" s="49"/>
      <c r="R3875" s="188" t="str">
        <f t="shared" si="127"/>
        <v/>
      </c>
      <c r="T3875" s="21"/>
      <c r="U3875" s="22"/>
      <c r="V3875" s="24"/>
      <c r="W3875" s="24"/>
      <c r="X3875" s="24"/>
      <c r="Y3875" s="24"/>
      <c r="Z3875" s="20" t="str">
        <f t="shared" si="126"/>
        <v/>
      </c>
    </row>
    <row r="3876" spans="1:26" x14ac:dyDescent="0.2">
      <c r="A3876" s="21"/>
      <c r="B3876" s="20"/>
      <c r="C3876" s="22"/>
      <c r="D3876" s="22"/>
      <c r="E3876" s="24"/>
      <c r="F3876" s="22"/>
      <c r="H3876" s="21"/>
      <c r="I3876" s="22"/>
      <c r="J3876" s="22"/>
      <c r="K3876" s="24"/>
      <c r="M3876" s="21"/>
      <c r="N3876" s="22"/>
      <c r="O3876" s="22"/>
      <c r="P3876" s="49"/>
      <c r="Q3876" s="49"/>
      <c r="R3876" s="188" t="str">
        <f t="shared" si="127"/>
        <v/>
      </c>
      <c r="T3876" s="21"/>
      <c r="U3876" s="22"/>
      <c r="V3876" s="24"/>
      <c r="W3876" s="24"/>
      <c r="X3876" s="24"/>
      <c r="Y3876" s="24"/>
      <c r="Z3876" s="20" t="str">
        <f t="shared" si="126"/>
        <v/>
      </c>
    </row>
    <row r="3877" spans="1:26" x14ac:dyDescent="0.2">
      <c r="A3877" s="21"/>
      <c r="B3877" s="20"/>
      <c r="C3877" s="22"/>
      <c r="D3877" s="22"/>
      <c r="E3877" s="24"/>
      <c r="F3877" s="22"/>
      <c r="H3877" s="21"/>
      <c r="I3877" s="22"/>
      <c r="J3877" s="22"/>
      <c r="K3877" s="24"/>
      <c r="M3877" s="21"/>
      <c r="N3877" s="22"/>
      <c r="O3877" s="22"/>
      <c r="P3877" s="49"/>
      <c r="Q3877" s="49"/>
      <c r="R3877" s="188" t="str">
        <f t="shared" si="127"/>
        <v/>
      </c>
      <c r="T3877" s="21"/>
      <c r="U3877" s="22"/>
      <c r="V3877" s="24"/>
      <c r="W3877" s="24"/>
      <c r="X3877" s="24"/>
      <c r="Y3877" s="24"/>
      <c r="Z3877" s="20" t="str">
        <f t="shared" si="126"/>
        <v/>
      </c>
    </row>
    <row r="3878" spans="1:26" x14ac:dyDescent="0.2">
      <c r="A3878" s="21"/>
      <c r="B3878" s="20"/>
      <c r="C3878" s="22"/>
      <c r="D3878" s="22"/>
      <c r="E3878" s="24"/>
      <c r="F3878" s="22"/>
      <c r="H3878" s="21"/>
      <c r="I3878" s="22"/>
      <c r="J3878" s="22"/>
      <c r="K3878" s="24"/>
      <c r="M3878" s="21"/>
      <c r="N3878" s="22"/>
      <c r="O3878" s="22"/>
      <c r="P3878" s="49"/>
      <c r="Q3878" s="49"/>
      <c r="R3878" s="188" t="str">
        <f t="shared" si="127"/>
        <v/>
      </c>
      <c r="T3878" s="21"/>
      <c r="U3878" s="22"/>
      <c r="V3878" s="24"/>
      <c r="W3878" s="24"/>
      <c r="X3878" s="24"/>
      <c r="Y3878" s="24"/>
      <c r="Z3878" s="20" t="str">
        <f t="shared" si="126"/>
        <v/>
      </c>
    </row>
    <row r="3879" spans="1:26" x14ac:dyDescent="0.2">
      <c r="A3879" s="21"/>
      <c r="B3879" s="20"/>
      <c r="C3879" s="22"/>
      <c r="D3879" s="22"/>
      <c r="E3879" s="24"/>
      <c r="F3879" s="22"/>
      <c r="H3879" s="21"/>
      <c r="I3879" s="22"/>
      <c r="J3879" s="22"/>
      <c r="K3879" s="24"/>
      <c r="M3879" s="21"/>
      <c r="N3879" s="22"/>
      <c r="O3879" s="22"/>
      <c r="P3879" s="49"/>
      <c r="Q3879" s="49"/>
      <c r="R3879" s="188" t="str">
        <f t="shared" si="127"/>
        <v/>
      </c>
      <c r="T3879" s="21"/>
      <c r="U3879" s="22"/>
      <c r="V3879" s="24"/>
      <c r="W3879" s="24"/>
      <c r="X3879" s="24"/>
      <c r="Y3879" s="24"/>
      <c r="Z3879" s="20" t="str">
        <f t="shared" si="126"/>
        <v/>
      </c>
    </row>
    <row r="3880" spans="1:26" x14ac:dyDescent="0.2">
      <c r="A3880" s="21"/>
      <c r="B3880" s="20"/>
      <c r="C3880" s="22"/>
      <c r="D3880" s="22"/>
      <c r="E3880" s="24"/>
      <c r="F3880" s="22"/>
      <c r="H3880" s="21"/>
      <c r="I3880" s="22"/>
      <c r="J3880" s="22"/>
      <c r="K3880" s="24"/>
      <c r="M3880" s="21"/>
      <c r="N3880" s="22"/>
      <c r="O3880" s="22"/>
      <c r="P3880" s="49"/>
      <c r="Q3880" s="49"/>
      <c r="R3880" s="188" t="str">
        <f t="shared" si="127"/>
        <v/>
      </c>
      <c r="T3880" s="21"/>
      <c r="U3880" s="22"/>
      <c r="V3880" s="24"/>
      <c r="W3880" s="24"/>
      <c r="X3880" s="24"/>
      <c r="Y3880" s="24"/>
      <c r="Z3880" s="20" t="str">
        <f t="shared" si="126"/>
        <v/>
      </c>
    </row>
    <row r="3881" spans="1:26" x14ac:dyDescent="0.2">
      <c r="A3881" s="21"/>
      <c r="B3881" s="20"/>
      <c r="C3881" s="22"/>
      <c r="D3881" s="22"/>
      <c r="E3881" s="24"/>
      <c r="F3881" s="22"/>
      <c r="H3881" s="21"/>
      <c r="I3881" s="22"/>
      <c r="J3881" s="22"/>
      <c r="K3881" s="24"/>
      <c r="M3881" s="21"/>
      <c r="N3881" s="22"/>
      <c r="O3881" s="22"/>
      <c r="P3881" s="49"/>
      <c r="Q3881" s="49"/>
      <c r="R3881" s="188" t="str">
        <f t="shared" si="127"/>
        <v/>
      </c>
      <c r="T3881" s="21"/>
      <c r="U3881" s="22"/>
      <c r="V3881" s="24"/>
      <c r="W3881" s="24"/>
      <c r="X3881" s="24"/>
      <c r="Y3881" s="24"/>
      <c r="Z3881" s="20" t="str">
        <f t="shared" si="126"/>
        <v/>
      </c>
    </row>
    <row r="3882" spans="1:26" x14ac:dyDescent="0.2">
      <c r="A3882" s="21"/>
      <c r="B3882" s="20"/>
      <c r="C3882" s="22"/>
      <c r="D3882" s="22"/>
      <c r="E3882" s="24"/>
      <c r="F3882" s="22"/>
      <c r="H3882" s="21"/>
      <c r="I3882" s="22"/>
      <c r="J3882" s="22"/>
      <c r="K3882" s="24"/>
      <c r="M3882" s="21"/>
      <c r="N3882" s="22"/>
      <c r="O3882" s="22"/>
      <c r="P3882" s="49"/>
      <c r="Q3882" s="49"/>
      <c r="R3882" s="188" t="str">
        <f t="shared" si="127"/>
        <v/>
      </c>
      <c r="T3882" s="21"/>
      <c r="U3882" s="22"/>
      <c r="V3882" s="24"/>
      <c r="W3882" s="24"/>
      <c r="X3882" s="24"/>
      <c r="Y3882" s="24"/>
      <c r="Z3882" s="20" t="str">
        <f t="shared" si="126"/>
        <v/>
      </c>
    </row>
    <row r="3883" spans="1:26" x14ac:dyDescent="0.2">
      <c r="A3883" s="21"/>
      <c r="B3883" s="20"/>
      <c r="C3883" s="22"/>
      <c r="D3883" s="22"/>
      <c r="E3883" s="24"/>
      <c r="F3883" s="22"/>
      <c r="H3883" s="21"/>
      <c r="I3883" s="22"/>
      <c r="J3883" s="22"/>
      <c r="K3883" s="24"/>
      <c r="M3883" s="21"/>
      <c r="N3883" s="22"/>
      <c r="O3883" s="22"/>
      <c r="P3883" s="49"/>
      <c r="Q3883" s="49"/>
      <c r="R3883" s="188" t="str">
        <f t="shared" si="127"/>
        <v/>
      </c>
      <c r="T3883" s="21"/>
      <c r="U3883" s="22"/>
      <c r="V3883" s="24"/>
      <c r="W3883" s="24"/>
      <c r="X3883" s="24"/>
      <c r="Y3883" s="24"/>
      <c r="Z3883" s="20" t="str">
        <f t="shared" si="126"/>
        <v/>
      </c>
    </row>
    <row r="3884" spans="1:26" x14ac:dyDescent="0.2">
      <c r="A3884" s="21"/>
      <c r="B3884" s="20"/>
      <c r="C3884" s="22"/>
      <c r="D3884" s="22"/>
      <c r="E3884" s="24"/>
      <c r="F3884" s="22"/>
      <c r="H3884" s="21"/>
      <c r="I3884" s="22"/>
      <c r="J3884" s="22"/>
      <c r="K3884" s="24"/>
      <c r="M3884" s="21"/>
      <c r="N3884" s="22"/>
      <c r="O3884" s="22"/>
      <c r="P3884" s="49"/>
      <c r="Q3884" s="49"/>
      <c r="R3884" s="188" t="str">
        <f t="shared" si="127"/>
        <v/>
      </c>
      <c r="T3884" s="21"/>
      <c r="U3884" s="22"/>
      <c r="V3884" s="24"/>
      <c r="W3884" s="24"/>
      <c r="X3884" s="24"/>
      <c r="Y3884" s="24"/>
      <c r="Z3884" s="20" t="str">
        <f t="shared" si="126"/>
        <v/>
      </c>
    </row>
    <row r="3885" spans="1:26" x14ac:dyDescent="0.2">
      <c r="A3885" s="21"/>
      <c r="B3885" s="20"/>
      <c r="C3885" s="22"/>
      <c r="D3885" s="22"/>
      <c r="E3885" s="24"/>
      <c r="F3885" s="22"/>
      <c r="H3885" s="21"/>
      <c r="I3885" s="22"/>
      <c r="J3885" s="22"/>
      <c r="K3885" s="24"/>
      <c r="M3885" s="21"/>
      <c r="N3885" s="22"/>
      <c r="O3885" s="22"/>
      <c r="P3885" s="49"/>
      <c r="Q3885" s="49"/>
      <c r="R3885" s="188" t="str">
        <f t="shared" si="127"/>
        <v/>
      </c>
      <c r="T3885" s="21"/>
      <c r="U3885" s="22"/>
      <c r="V3885" s="24"/>
      <c r="W3885" s="24"/>
      <c r="X3885" s="24"/>
      <c r="Y3885" s="24"/>
      <c r="Z3885" s="20" t="str">
        <f t="shared" si="126"/>
        <v/>
      </c>
    </row>
    <row r="3886" spans="1:26" x14ac:dyDescent="0.2">
      <c r="A3886" s="21"/>
      <c r="B3886" s="20"/>
      <c r="C3886" s="22"/>
      <c r="D3886" s="22"/>
      <c r="E3886" s="24"/>
      <c r="F3886" s="22"/>
      <c r="H3886" s="21"/>
      <c r="I3886" s="22"/>
      <c r="J3886" s="22"/>
      <c r="K3886" s="24"/>
      <c r="M3886" s="21"/>
      <c r="N3886" s="22"/>
      <c r="O3886" s="22"/>
      <c r="P3886" s="49"/>
      <c r="Q3886" s="49"/>
      <c r="R3886" s="188" t="str">
        <f t="shared" si="127"/>
        <v/>
      </c>
      <c r="T3886" s="21"/>
      <c r="U3886" s="22"/>
      <c r="V3886" s="24"/>
      <c r="W3886" s="24"/>
      <c r="X3886" s="24"/>
      <c r="Y3886" s="24"/>
      <c r="Z3886" s="20" t="str">
        <f t="shared" si="126"/>
        <v/>
      </c>
    </row>
    <row r="3887" spans="1:26" x14ac:dyDescent="0.2">
      <c r="A3887" s="21"/>
      <c r="B3887" s="20"/>
      <c r="C3887" s="22"/>
      <c r="D3887" s="22"/>
      <c r="E3887" s="24"/>
      <c r="F3887" s="22"/>
      <c r="H3887" s="21"/>
      <c r="I3887" s="22"/>
      <c r="J3887" s="22"/>
      <c r="K3887" s="24"/>
      <c r="M3887" s="21"/>
      <c r="N3887" s="22"/>
      <c r="O3887" s="22"/>
      <c r="P3887" s="49"/>
      <c r="Q3887" s="49"/>
      <c r="R3887" s="188" t="str">
        <f t="shared" si="127"/>
        <v/>
      </c>
      <c r="T3887" s="21"/>
      <c r="U3887" s="22"/>
      <c r="V3887" s="24"/>
      <c r="W3887" s="24"/>
      <c r="X3887" s="24"/>
      <c r="Y3887" s="24"/>
      <c r="Z3887" s="20" t="str">
        <f t="shared" si="126"/>
        <v/>
      </c>
    </row>
    <row r="3888" spans="1:26" x14ac:dyDescent="0.2">
      <c r="A3888" s="21"/>
      <c r="B3888" s="20"/>
      <c r="C3888" s="22"/>
      <c r="D3888" s="22"/>
      <c r="E3888" s="24"/>
      <c r="F3888" s="22"/>
      <c r="H3888" s="21"/>
      <c r="I3888" s="22"/>
      <c r="J3888" s="22"/>
      <c r="K3888" s="24"/>
      <c r="M3888" s="21"/>
      <c r="N3888" s="22"/>
      <c r="O3888" s="22"/>
      <c r="P3888" s="49"/>
      <c r="Q3888" s="49"/>
      <c r="R3888" s="188" t="str">
        <f t="shared" si="127"/>
        <v/>
      </c>
      <c r="T3888" s="21"/>
      <c r="U3888" s="22"/>
      <c r="V3888" s="24"/>
      <c r="W3888" s="24"/>
      <c r="X3888" s="24"/>
      <c r="Y3888" s="24"/>
      <c r="Z3888" s="20" t="str">
        <f t="shared" si="126"/>
        <v/>
      </c>
    </row>
    <row r="3889" spans="1:26" x14ac:dyDescent="0.2">
      <c r="A3889" s="21"/>
      <c r="B3889" s="20"/>
      <c r="C3889" s="22"/>
      <c r="D3889" s="22"/>
      <c r="E3889" s="24"/>
      <c r="F3889" s="22"/>
      <c r="H3889" s="21"/>
      <c r="I3889" s="22"/>
      <c r="J3889" s="22"/>
      <c r="K3889" s="24"/>
      <c r="M3889" s="21"/>
      <c r="N3889" s="22"/>
      <c r="O3889" s="22"/>
      <c r="P3889" s="49"/>
      <c r="Q3889" s="49"/>
      <c r="R3889" s="188" t="str">
        <f t="shared" si="127"/>
        <v/>
      </c>
      <c r="T3889" s="21"/>
      <c r="U3889" s="22"/>
      <c r="V3889" s="24"/>
      <c r="W3889" s="24"/>
      <c r="X3889" s="24"/>
      <c r="Y3889" s="24"/>
      <c r="Z3889" s="20" t="str">
        <f t="shared" si="126"/>
        <v/>
      </c>
    </row>
    <row r="3890" spans="1:26" x14ac:dyDescent="0.2">
      <c r="A3890" s="21"/>
      <c r="B3890" s="20"/>
      <c r="C3890" s="22"/>
      <c r="D3890" s="22"/>
      <c r="E3890" s="24"/>
      <c r="F3890" s="22"/>
      <c r="H3890" s="21"/>
      <c r="I3890" s="22"/>
      <c r="J3890" s="22"/>
      <c r="K3890" s="24"/>
      <c r="M3890" s="21"/>
      <c r="N3890" s="22"/>
      <c r="O3890" s="22"/>
      <c r="P3890" s="49"/>
      <c r="Q3890" s="49"/>
      <c r="R3890" s="188" t="str">
        <f t="shared" si="127"/>
        <v/>
      </c>
      <c r="T3890" s="21"/>
      <c r="U3890" s="22"/>
      <c r="V3890" s="24"/>
      <c r="W3890" s="24"/>
      <c r="X3890" s="24"/>
      <c r="Y3890" s="24"/>
      <c r="Z3890" s="20" t="str">
        <f t="shared" si="126"/>
        <v/>
      </c>
    </row>
    <row r="3891" spans="1:26" x14ac:dyDescent="0.2">
      <c r="A3891" s="21"/>
      <c r="B3891" s="20"/>
      <c r="C3891" s="22"/>
      <c r="D3891" s="22"/>
      <c r="E3891" s="24"/>
      <c r="F3891" s="22"/>
      <c r="H3891" s="21"/>
      <c r="I3891" s="22"/>
      <c r="J3891" s="22"/>
      <c r="K3891" s="24"/>
      <c r="M3891" s="21"/>
      <c r="N3891" s="22"/>
      <c r="O3891" s="22"/>
      <c r="P3891" s="49"/>
      <c r="Q3891" s="49"/>
      <c r="R3891" s="188" t="str">
        <f t="shared" si="127"/>
        <v/>
      </c>
      <c r="T3891" s="21"/>
      <c r="U3891" s="22"/>
      <c r="V3891" s="24"/>
      <c r="W3891" s="24"/>
      <c r="X3891" s="24"/>
      <c r="Y3891" s="24"/>
      <c r="Z3891" s="20" t="str">
        <f t="shared" si="126"/>
        <v/>
      </c>
    </row>
    <row r="3892" spans="1:26" x14ac:dyDescent="0.2">
      <c r="A3892" s="21"/>
      <c r="B3892" s="20"/>
      <c r="C3892" s="22"/>
      <c r="D3892" s="22"/>
      <c r="E3892" s="24"/>
      <c r="F3892" s="22"/>
      <c r="H3892" s="21"/>
      <c r="I3892" s="22"/>
      <c r="J3892" s="22"/>
      <c r="K3892" s="24"/>
      <c r="M3892" s="21"/>
      <c r="N3892" s="22"/>
      <c r="O3892" s="22"/>
      <c r="P3892" s="49"/>
      <c r="Q3892" s="49"/>
      <c r="R3892" s="188" t="str">
        <f t="shared" si="127"/>
        <v/>
      </c>
      <c r="T3892" s="21"/>
      <c r="U3892" s="22"/>
      <c r="V3892" s="24"/>
      <c r="W3892" s="24"/>
      <c r="X3892" s="24"/>
      <c r="Y3892" s="24"/>
      <c r="Z3892" s="20" t="str">
        <f t="shared" si="126"/>
        <v/>
      </c>
    </row>
    <row r="3893" spans="1:26" x14ac:dyDescent="0.2">
      <c r="A3893" s="21"/>
      <c r="B3893" s="20"/>
      <c r="C3893" s="22"/>
      <c r="D3893" s="22"/>
      <c r="E3893" s="24"/>
      <c r="F3893" s="22"/>
      <c r="H3893" s="21"/>
      <c r="I3893" s="22"/>
      <c r="J3893" s="22"/>
      <c r="K3893" s="24"/>
      <c r="M3893" s="21"/>
      <c r="N3893" s="22"/>
      <c r="O3893" s="22"/>
      <c r="P3893" s="49"/>
      <c r="Q3893" s="49"/>
      <c r="R3893" s="188" t="str">
        <f t="shared" si="127"/>
        <v/>
      </c>
      <c r="T3893" s="21"/>
      <c r="U3893" s="22"/>
      <c r="V3893" s="24"/>
      <c r="W3893" s="24"/>
      <c r="X3893" s="24"/>
      <c r="Y3893" s="24"/>
      <c r="Z3893" s="20" t="str">
        <f t="shared" si="126"/>
        <v/>
      </c>
    </row>
    <row r="3894" spans="1:26" x14ac:dyDescent="0.2">
      <c r="A3894" s="21"/>
      <c r="B3894" s="20"/>
      <c r="C3894" s="22"/>
      <c r="D3894" s="22"/>
      <c r="E3894" s="24"/>
      <c r="F3894" s="22"/>
      <c r="H3894" s="21"/>
      <c r="I3894" s="22"/>
      <c r="J3894" s="22"/>
      <c r="K3894" s="24"/>
      <c r="M3894" s="21"/>
      <c r="N3894" s="22"/>
      <c r="O3894" s="22"/>
      <c r="P3894" s="49"/>
      <c r="Q3894" s="49"/>
      <c r="R3894" s="188" t="str">
        <f t="shared" si="127"/>
        <v/>
      </c>
      <c r="T3894" s="21"/>
      <c r="U3894" s="22"/>
      <c r="V3894" s="24"/>
      <c r="W3894" s="24"/>
      <c r="X3894" s="24"/>
      <c r="Y3894" s="24"/>
      <c r="Z3894" s="20" t="str">
        <f t="shared" si="126"/>
        <v/>
      </c>
    </row>
    <row r="3895" spans="1:26" x14ac:dyDescent="0.2">
      <c r="A3895" s="21"/>
      <c r="B3895" s="20"/>
      <c r="C3895" s="22"/>
      <c r="D3895" s="22"/>
      <c r="E3895" s="24"/>
      <c r="F3895" s="22"/>
      <c r="H3895" s="21"/>
      <c r="I3895" s="22"/>
      <c r="J3895" s="22"/>
      <c r="K3895" s="24"/>
      <c r="M3895" s="21"/>
      <c r="N3895" s="22"/>
      <c r="O3895" s="22"/>
      <c r="P3895" s="49"/>
      <c r="Q3895" s="49"/>
      <c r="R3895" s="188" t="str">
        <f t="shared" si="127"/>
        <v/>
      </c>
      <c r="T3895" s="21"/>
      <c r="U3895" s="22"/>
      <c r="V3895" s="24"/>
      <c r="W3895" s="24"/>
      <c r="X3895" s="24"/>
      <c r="Y3895" s="24"/>
      <c r="Z3895" s="20" t="str">
        <f t="shared" si="126"/>
        <v/>
      </c>
    </row>
    <row r="3896" spans="1:26" x14ac:dyDescent="0.2">
      <c r="A3896" s="21"/>
      <c r="B3896" s="20"/>
      <c r="C3896" s="22"/>
      <c r="D3896" s="22"/>
      <c r="E3896" s="24"/>
      <c r="F3896" s="22"/>
      <c r="H3896" s="21"/>
      <c r="I3896" s="22"/>
      <c r="J3896" s="22"/>
      <c r="K3896" s="24"/>
      <c r="M3896" s="21"/>
      <c r="N3896" s="22"/>
      <c r="O3896" s="22"/>
      <c r="P3896" s="49"/>
      <c r="Q3896" s="49"/>
      <c r="R3896" s="188" t="str">
        <f t="shared" si="127"/>
        <v/>
      </c>
      <c r="T3896" s="21"/>
      <c r="U3896" s="22"/>
      <c r="V3896" s="24"/>
      <c r="W3896" s="24"/>
      <c r="X3896" s="24"/>
      <c r="Y3896" s="24"/>
      <c r="Z3896" s="20" t="str">
        <f t="shared" si="126"/>
        <v/>
      </c>
    </row>
    <row r="3897" spans="1:26" x14ac:dyDescent="0.2">
      <c r="A3897" s="21"/>
      <c r="B3897" s="20"/>
      <c r="C3897" s="22"/>
      <c r="D3897" s="22"/>
      <c r="E3897" s="24"/>
      <c r="F3897" s="22"/>
      <c r="H3897" s="21"/>
      <c r="I3897" s="22"/>
      <c r="J3897" s="22"/>
      <c r="K3897" s="24"/>
      <c r="M3897" s="21"/>
      <c r="N3897" s="22"/>
      <c r="O3897" s="22"/>
      <c r="P3897" s="49"/>
      <c r="Q3897" s="49"/>
      <c r="R3897" s="188" t="str">
        <f t="shared" si="127"/>
        <v/>
      </c>
      <c r="T3897" s="21"/>
      <c r="U3897" s="22"/>
      <c r="V3897" s="24"/>
      <c r="W3897" s="24"/>
      <c r="X3897" s="24"/>
      <c r="Y3897" s="24"/>
      <c r="Z3897" s="20" t="str">
        <f t="shared" si="126"/>
        <v/>
      </c>
    </row>
    <row r="3898" spans="1:26" x14ac:dyDescent="0.2">
      <c r="A3898" s="21"/>
      <c r="B3898" s="20"/>
      <c r="C3898" s="22"/>
      <c r="D3898" s="22"/>
      <c r="E3898" s="24"/>
      <c r="F3898" s="22"/>
      <c r="H3898" s="21"/>
      <c r="I3898" s="22"/>
      <c r="J3898" s="22"/>
      <c r="K3898" s="24"/>
      <c r="M3898" s="21"/>
      <c r="N3898" s="22"/>
      <c r="O3898" s="22"/>
      <c r="P3898" s="49"/>
      <c r="Q3898" s="49"/>
      <c r="R3898" s="188" t="str">
        <f t="shared" si="127"/>
        <v/>
      </c>
      <c r="T3898" s="21"/>
      <c r="U3898" s="22"/>
      <c r="V3898" s="24"/>
      <c r="W3898" s="24"/>
      <c r="X3898" s="24"/>
      <c r="Y3898" s="24"/>
      <c r="Z3898" s="20" t="str">
        <f t="shared" si="126"/>
        <v/>
      </c>
    </row>
    <row r="3899" spans="1:26" x14ac:dyDescent="0.2">
      <c r="A3899" s="21"/>
      <c r="B3899" s="20"/>
      <c r="C3899" s="22"/>
      <c r="D3899" s="22"/>
      <c r="E3899" s="24"/>
      <c r="F3899" s="22"/>
      <c r="H3899" s="21"/>
      <c r="I3899" s="22"/>
      <c r="J3899" s="22"/>
      <c r="K3899" s="24"/>
      <c r="M3899" s="21"/>
      <c r="N3899" s="22"/>
      <c r="O3899" s="22"/>
      <c r="P3899" s="49"/>
      <c r="Q3899" s="49"/>
      <c r="R3899" s="188" t="str">
        <f t="shared" si="127"/>
        <v/>
      </c>
      <c r="T3899" s="21"/>
      <c r="U3899" s="22"/>
      <c r="V3899" s="24"/>
      <c r="W3899" s="24"/>
      <c r="X3899" s="24"/>
      <c r="Y3899" s="24"/>
      <c r="Z3899" s="20" t="str">
        <f t="shared" si="126"/>
        <v/>
      </c>
    </row>
    <row r="3900" spans="1:26" x14ac:dyDescent="0.2">
      <c r="A3900" s="21"/>
      <c r="B3900" s="20"/>
      <c r="C3900" s="22"/>
      <c r="D3900" s="22"/>
      <c r="E3900" s="24"/>
      <c r="F3900" s="22"/>
      <c r="H3900" s="21"/>
      <c r="I3900" s="22"/>
      <c r="J3900" s="22"/>
      <c r="K3900" s="24"/>
      <c r="M3900" s="21"/>
      <c r="N3900" s="22"/>
      <c r="O3900" s="22"/>
      <c r="P3900" s="49"/>
      <c r="Q3900" s="49"/>
      <c r="R3900" s="188" t="str">
        <f t="shared" si="127"/>
        <v/>
      </c>
      <c r="T3900" s="21"/>
      <c r="U3900" s="22"/>
      <c r="V3900" s="24"/>
      <c r="W3900" s="24"/>
      <c r="X3900" s="24"/>
      <c r="Y3900" s="24"/>
      <c r="Z3900" s="20" t="str">
        <f t="shared" si="126"/>
        <v/>
      </c>
    </row>
    <row r="3901" spans="1:26" x14ac:dyDescent="0.2">
      <c r="A3901" s="21"/>
      <c r="B3901" s="20"/>
      <c r="C3901" s="22"/>
      <c r="D3901" s="22"/>
      <c r="E3901" s="24"/>
      <c r="F3901" s="22"/>
      <c r="H3901" s="21"/>
      <c r="I3901" s="22"/>
      <c r="J3901" s="22"/>
      <c r="K3901" s="24"/>
      <c r="M3901" s="21"/>
      <c r="N3901" s="22"/>
      <c r="O3901" s="22"/>
      <c r="P3901" s="49"/>
      <c r="Q3901" s="49"/>
      <c r="R3901" s="188" t="str">
        <f t="shared" si="127"/>
        <v/>
      </c>
      <c r="T3901" s="21"/>
      <c r="U3901" s="22"/>
      <c r="V3901" s="24"/>
      <c r="W3901" s="24"/>
      <c r="X3901" s="24"/>
      <c r="Y3901" s="24"/>
      <c r="Z3901" s="20" t="str">
        <f t="shared" si="126"/>
        <v/>
      </c>
    </row>
    <row r="3902" spans="1:26" x14ac:dyDescent="0.2">
      <c r="A3902" s="21"/>
      <c r="B3902" s="20"/>
      <c r="C3902" s="22"/>
      <c r="D3902" s="22"/>
      <c r="E3902" s="24"/>
      <c r="F3902" s="22"/>
      <c r="H3902" s="21"/>
      <c r="I3902" s="22"/>
      <c r="J3902" s="22"/>
      <c r="K3902" s="24"/>
      <c r="M3902" s="21"/>
      <c r="N3902" s="22"/>
      <c r="O3902" s="22"/>
      <c r="P3902" s="49"/>
      <c r="Q3902" s="49"/>
      <c r="R3902" s="188" t="str">
        <f t="shared" si="127"/>
        <v/>
      </c>
      <c r="T3902" s="21"/>
      <c r="U3902" s="22"/>
      <c r="V3902" s="24"/>
      <c r="W3902" s="24"/>
      <c r="X3902" s="24"/>
      <c r="Y3902" s="24"/>
      <c r="Z3902" s="20" t="str">
        <f t="shared" si="126"/>
        <v/>
      </c>
    </row>
    <row r="3903" spans="1:26" x14ac:dyDescent="0.2">
      <c r="A3903" s="21"/>
      <c r="B3903" s="20"/>
      <c r="C3903" s="22"/>
      <c r="D3903" s="22"/>
      <c r="E3903" s="24"/>
      <c r="F3903" s="22"/>
      <c r="H3903" s="21"/>
      <c r="I3903" s="22"/>
      <c r="J3903" s="22"/>
      <c r="K3903" s="24"/>
      <c r="M3903" s="21"/>
      <c r="N3903" s="22"/>
      <c r="O3903" s="22"/>
      <c r="P3903" s="49"/>
      <c r="Q3903" s="49"/>
      <c r="R3903" s="188" t="str">
        <f t="shared" si="127"/>
        <v/>
      </c>
      <c r="T3903" s="21"/>
      <c r="U3903" s="22"/>
      <c r="V3903" s="24"/>
      <c r="W3903" s="24"/>
      <c r="X3903" s="24"/>
      <c r="Y3903" s="24"/>
      <c r="Z3903" s="20" t="str">
        <f t="shared" si="126"/>
        <v/>
      </c>
    </row>
    <row r="3904" spans="1:26" x14ac:dyDescent="0.2">
      <c r="A3904" s="21"/>
      <c r="B3904" s="20"/>
      <c r="C3904" s="22"/>
      <c r="D3904" s="22"/>
      <c r="E3904" s="24"/>
      <c r="F3904" s="22"/>
      <c r="H3904" s="21"/>
      <c r="I3904" s="22"/>
      <c r="J3904" s="22"/>
      <c r="K3904" s="24"/>
      <c r="M3904" s="21"/>
      <c r="N3904" s="22"/>
      <c r="O3904" s="22"/>
      <c r="P3904" s="49"/>
      <c r="Q3904" s="49"/>
      <c r="R3904" s="188" t="str">
        <f t="shared" si="127"/>
        <v/>
      </c>
      <c r="T3904" s="21"/>
      <c r="U3904" s="22"/>
      <c r="V3904" s="24"/>
      <c r="W3904" s="24"/>
      <c r="X3904" s="24"/>
      <c r="Y3904" s="24"/>
      <c r="Z3904" s="20" t="str">
        <f t="shared" si="126"/>
        <v/>
      </c>
    </row>
    <row r="3905" spans="1:26" x14ac:dyDescent="0.2">
      <c r="A3905" s="21"/>
      <c r="B3905" s="20"/>
      <c r="C3905" s="22"/>
      <c r="D3905" s="22"/>
      <c r="E3905" s="24"/>
      <c r="F3905" s="22"/>
      <c r="H3905" s="21"/>
      <c r="I3905" s="22"/>
      <c r="J3905" s="22"/>
      <c r="K3905" s="24"/>
      <c r="M3905" s="21"/>
      <c r="N3905" s="22"/>
      <c r="O3905" s="22"/>
      <c r="P3905" s="49"/>
      <c r="Q3905" s="49"/>
      <c r="R3905" s="188" t="str">
        <f t="shared" si="127"/>
        <v/>
      </c>
      <c r="T3905" s="21"/>
      <c r="U3905" s="22"/>
      <c r="V3905" s="24"/>
      <c r="W3905" s="24"/>
      <c r="X3905" s="24"/>
      <c r="Y3905" s="24"/>
      <c r="Z3905" s="20" t="str">
        <f t="shared" si="126"/>
        <v/>
      </c>
    </row>
    <row r="3906" spans="1:26" x14ac:dyDescent="0.2">
      <c r="A3906" s="21"/>
      <c r="B3906" s="20"/>
      <c r="C3906" s="22"/>
      <c r="D3906" s="22"/>
      <c r="E3906" s="24"/>
      <c r="F3906" s="22"/>
      <c r="H3906" s="21"/>
      <c r="I3906" s="22"/>
      <c r="J3906" s="22"/>
      <c r="K3906" s="24"/>
      <c r="M3906" s="21"/>
      <c r="N3906" s="22"/>
      <c r="O3906" s="22"/>
      <c r="P3906" s="49"/>
      <c r="Q3906" s="49"/>
      <c r="R3906" s="188" t="str">
        <f t="shared" si="127"/>
        <v/>
      </c>
      <c r="T3906" s="21"/>
      <c r="U3906" s="22"/>
      <c r="V3906" s="24"/>
      <c r="W3906" s="24"/>
      <c r="X3906" s="24"/>
      <c r="Y3906" s="24"/>
      <c r="Z3906" s="20" t="str">
        <f t="shared" si="126"/>
        <v/>
      </c>
    </row>
    <row r="3907" spans="1:26" x14ac:dyDescent="0.2">
      <c r="A3907" s="21"/>
      <c r="B3907" s="20"/>
      <c r="C3907" s="22"/>
      <c r="D3907" s="22"/>
      <c r="E3907" s="24"/>
      <c r="F3907" s="22"/>
      <c r="H3907" s="21"/>
      <c r="I3907" s="22"/>
      <c r="J3907" s="22"/>
      <c r="K3907" s="24"/>
      <c r="M3907" s="21"/>
      <c r="N3907" s="22"/>
      <c r="O3907" s="22"/>
      <c r="P3907" s="49"/>
      <c r="Q3907" s="49"/>
      <c r="R3907" s="188" t="str">
        <f t="shared" si="127"/>
        <v/>
      </c>
      <c r="T3907" s="21"/>
      <c r="U3907" s="22"/>
      <c r="V3907" s="24"/>
      <c r="W3907" s="24"/>
      <c r="X3907" s="24"/>
      <c r="Y3907" s="24"/>
      <c r="Z3907" s="20" t="str">
        <f t="shared" si="126"/>
        <v/>
      </c>
    </row>
    <row r="3908" spans="1:26" x14ac:dyDescent="0.2">
      <c r="A3908" s="21"/>
      <c r="B3908" s="20"/>
      <c r="C3908" s="22"/>
      <c r="D3908" s="22"/>
      <c r="E3908" s="24"/>
      <c r="F3908" s="22"/>
      <c r="H3908" s="21"/>
      <c r="I3908" s="22"/>
      <c r="J3908" s="22"/>
      <c r="K3908" s="24"/>
      <c r="M3908" s="21"/>
      <c r="N3908" s="22"/>
      <c r="O3908" s="22"/>
      <c r="P3908" s="49"/>
      <c r="Q3908" s="49"/>
      <c r="R3908" s="188" t="str">
        <f t="shared" si="127"/>
        <v/>
      </c>
      <c r="T3908" s="21"/>
      <c r="U3908" s="22"/>
      <c r="V3908" s="24"/>
      <c r="W3908" s="24"/>
      <c r="X3908" s="24"/>
      <c r="Y3908" s="24"/>
      <c r="Z3908" s="20" t="str">
        <f t="shared" si="126"/>
        <v/>
      </c>
    </row>
    <row r="3909" spans="1:26" x14ac:dyDescent="0.2">
      <c r="A3909" s="21"/>
      <c r="B3909" s="20"/>
      <c r="C3909" s="22"/>
      <c r="D3909" s="22"/>
      <c r="E3909" s="24"/>
      <c r="F3909" s="22"/>
      <c r="H3909" s="21"/>
      <c r="I3909" s="22"/>
      <c r="J3909" s="22"/>
      <c r="K3909" s="24"/>
      <c r="M3909" s="21"/>
      <c r="N3909" s="22"/>
      <c r="O3909" s="22"/>
      <c r="P3909" s="49"/>
      <c r="Q3909" s="49"/>
      <c r="R3909" s="188" t="str">
        <f t="shared" si="127"/>
        <v/>
      </c>
      <c r="T3909" s="21"/>
      <c r="U3909" s="22"/>
      <c r="V3909" s="24"/>
      <c r="W3909" s="24"/>
      <c r="X3909" s="24"/>
      <c r="Y3909" s="24"/>
      <c r="Z3909" s="20" t="str">
        <f t="shared" si="126"/>
        <v/>
      </c>
    </row>
    <row r="3910" spans="1:26" x14ac:dyDescent="0.2">
      <c r="A3910" s="21"/>
      <c r="B3910" s="20"/>
      <c r="C3910" s="22"/>
      <c r="D3910" s="22"/>
      <c r="E3910" s="24"/>
      <c r="F3910" s="22"/>
      <c r="H3910" s="21"/>
      <c r="I3910" s="22"/>
      <c r="J3910" s="22"/>
      <c r="K3910" s="24"/>
      <c r="M3910" s="21"/>
      <c r="N3910" s="22"/>
      <c r="O3910" s="22"/>
      <c r="P3910" s="49"/>
      <c r="Q3910" s="49"/>
      <c r="R3910" s="188" t="str">
        <f t="shared" si="127"/>
        <v/>
      </c>
      <c r="T3910" s="21"/>
      <c r="U3910" s="22"/>
      <c r="V3910" s="24"/>
      <c r="W3910" s="24"/>
      <c r="X3910" s="24"/>
      <c r="Y3910" s="24"/>
      <c r="Z3910" s="20" t="str">
        <f t="shared" si="126"/>
        <v/>
      </c>
    </row>
    <row r="3911" spans="1:26" x14ac:dyDescent="0.2">
      <c r="A3911" s="21"/>
      <c r="B3911" s="20"/>
      <c r="C3911" s="22"/>
      <c r="D3911" s="22"/>
      <c r="E3911" s="24"/>
      <c r="F3911" s="22"/>
      <c r="H3911" s="21"/>
      <c r="I3911" s="22"/>
      <c r="J3911" s="22"/>
      <c r="K3911" s="24"/>
      <c r="M3911" s="21"/>
      <c r="N3911" s="22"/>
      <c r="O3911" s="22"/>
      <c r="P3911" s="49"/>
      <c r="Q3911" s="49"/>
      <c r="R3911" s="188" t="str">
        <f t="shared" si="127"/>
        <v/>
      </c>
      <c r="T3911" s="21"/>
      <c r="U3911" s="22"/>
      <c r="V3911" s="24"/>
      <c r="W3911" s="24"/>
      <c r="X3911" s="24"/>
      <c r="Y3911" s="24"/>
      <c r="Z3911" s="20" t="str">
        <f t="shared" si="126"/>
        <v/>
      </c>
    </row>
    <row r="3912" spans="1:26" x14ac:dyDescent="0.2">
      <c r="A3912" s="21"/>
      <c r="B3912" s="20"/>
      <c r="C3912" s="22"/>
      <c r="D3912" s="22"/>
      <c r="E3912" s="24"/>
      <c r="F3912" s="22"/>
      <c r="H3912" s="21"/>
      <c r="I3912" s="22"/>
      <c r="J3912" s="22"/>
      <c r="K3912" s="24"/>
      <c r="M3912" s="21"/>
      <c r="N3912" s="22"/>
      <c r="O3912" s="22"/>
      <c r="P3912" s="49"/>
      <c r="Q3912" s="49"/>
      <c r="R3912" s="188" t="str">
        <f t="shared" si="127"/>
        <v/>
      </c>
      <c r="T3912" s="21"/>
      <c r="U3912" s="22"/>
      <c r="V3912" s="24"/>
      <c r="W3912" s="24"/>
      <c r="X3912" s="24"/>
      <c r="Y3912" s="24"/>
      <c r="Z3912" s="20" t="str">
        <f t="shared" si="126"/>
        <v/>
      </c>
    </row>
    <row r="3913" spans="1:26" x14ac:dyDescent="0.2">
      <c r="A3913" s="21"/>
      <c r="B3913" s="20"/>
      <c r="C3913" s="22"/>
      <c r="D3913" s="22"/>
      <c r="E3913" s="24"/>
      <c r="F3913" s="22"/>
      <c r="H3913" s="21"/>
      <c r="I3913" s="22"/>
      <c r="J3913" s="22"/>
      <c r="K3913" s="24"/>
      <c r="M3913" s="21"/>
      <c r="N3913" s="22"/>
      <c r="O3913" s="22"/>
      <c r="P3913" s="49"/>
      <c r="Q3913" s="49"/>
      <c r="R3913" s="188" t="str">
        <f t="shared" si="127"/>
        <v/>
      </c>
      <c r="T3913" s="21"/>
      <c r="U3913" s="22"/>
      <c r="V3913" s="24"/>
      <c r="W3913" s="24"/>
      <c r="X3913" s="24"/>
      <c r="Y3913" s="24"/>
      <c r="Z3913" s="20" t="str">
        <f t="shared" si="126"/>
        <v/>
      </c>
    </row>
    <row r="3914" spans="1:26" x14ac:dyDescent="0.2">
      <c r="A3914" s="21"/>
      <c r="B3914" s="20"/>
      <c r="C3914" s="22"/>
      <c r="D3914" s="22"/>
      <c r="E3914" s="24"/>
      <c r="F3914" s="22"/>
      <c r="H3914" s="21"/>
      <c r="I3914" s="22"/>
      <c r="J3914" s="22"/>
      <c r="K3914" s="24"/>
      <c r="M3914" s="21"/>
      <c r="N3914" s="22"/>
      <c r="O3914" s="22"/>
      <c r="P3914" s="49"/>
      <c r="Q3914" s="49"/>
      <c r="R3914" s="188" t="str">
        <f t="shared" si="127"/>
        <v/>
      </c>
      <c r="T3914" s="21"/>
      <c r="U3914" s="22"/>
      <c r="V3914" s="24"/>
      <c r="W3914" s="24"/>
      <c r="X3914" s="24"/>
      <c r="Y3914" s="24"/>
      <c r="Z3914" s="20" t="str">
        <f t="shared" si="126"/>
        <v/>
      </c>
    </row>
    <row r="3915" spans="1:26" x14ac:dyDescent="0.2">
      <c r="A3915" s="21"/>
      <c r="B3915" s="20"/>
      <c r="C3915" s="22"/>
      <c r="D3915" s="22"/>
      <c r="E3915" s="24"/>
      <c r="F3915" s="22"/>
      <c r="H3915" s="21"/>
      <c r="I3915" s="22"/>
      <c r="J3915" s="22"/>
      <c r="K3915" s="24"/>
      <c r="M3915" s="21"/>
      <c r="N3915" s="22"/>
      <c r="O3915" s="22"/>
      <c r="P3915" s="49"/>
      <c r="Q3915" s="49"/>
      <c r="R3915" s="188" t="str">
        <f t="shared" si="127"/>
        <v/>
      </c>
      <c r="T3915" s="21"/>
      <c r="U3915" s="22"/>
      <c r="V3915" s="24"/>
      <c r="W3915" s="24"/>
      <c r="X3915" s="24"/>
      <c r="Y3915" s="24"/>
      <c r="Z3915" s="20" t="str">
        <f t="shared" si="126"/>
        <v/>
      </c>
    </row>
    <row r="3916" spans="1:26" x14ac:dyDescent="0.2">
      <c r="A3916" s="21"/>
      <c r="B3916" s="20"/>
      <c r="C3916" s="22"/>
      <c r="D3916" s="22"/>
      <c r="E3916" s="24"/>
      <c r="F3916" s="22"/>
      <c r="H3916" s="21"/>
      <c r="I3916" s="22"/>
      <c r="J3916" s="22"/>
      <c r="K3916" s="24"/>
      <c r="M3916" s="21"/>
      <c r="N3916" s="22"/>
      <c r="O3916" s="22"/>
      <c r="P3916" s="49"/>
      <c r="Q3916" s="49"/>
      <c r="R3916" s="188" t="str">
        <f t="shared" si="127"/>
        <v/>
      </c>
      <c r="T3916" s="21"/>
      <c r="U3916" s="22"/>
      <c r="V3916" s="24"/>
      <c r="W3916" s="24"/>
      <c r="X3916" s="24"/>
      <c r="Y3916" s="24"/>
      <c r="Z3916" s="20" t="str">
        <f t="shared" si="126"/>
        <v/>
      </c>
    </row>
    <row r="3917" spans="1:26" x14ac:dyDescent="0.2">
      <c r="A3917" s="21"/>
      <c r="B3917" s="20"/>
      <c r="C3917" s="22"/>
      <c r="D3917" s="22"/>
      <c r="E3917" s="24"/>
      <c r="F3917" s="22"/>
      <c r="H3917" s="21"/>
      <c r="I3917" s="22"/>
      <c r="J3917" s="22"/>
      <c r="K3917" s="24"/>
      <c r="M3917" s="21"/>
      <c r="N3917" s="22"/>
      <c r="O3917" s="22"/>
      <c r="P3917" s="49"/>
      <c r="Q3917" s="49"/>
      <c r="R3917" s="188" t="str">
        <f t="shared" si="127"/>
        <v/>
      </c>
      <c r="T3917" s="21"/>
      <c r="U3917" s="22"/>
      <c r="V3917" s="24"/>
      <c r="W3917" s="24"/>
      <c r="X3917" s="24"/>
      <c r="Y3917" s="24"/>
      <c r="Z3917" s="20" t="str">
        <f t="shared" si="126"/>
        <v/>
      </c>
    </row>
    <row r="3918" spans="1:26" x14ac:dyDescent="0.2">
      <c r="A3918" s="21"/>
      <c r="B3918" s="20"/>
      <c r="C3918" s="22"/>
      <c r="D3918" s="22"/>
      <c r="E3918" s="24"/>
      <c r="F3918" s="22"/>
      <c r="H3918" s="21"/>
      <c r="I3918" s="22"/>
      <c r="J3918" s="22"/>
      <c r="K3918" s="24"/>
      <c r="M3918" s="21"/>
      <c r="N3918" s="22"/>
      <c r="O3918" s="22"/>
      <c r="P3918" s="49"/>
      <c r="Q3918" s="49"/>
      <c r="R3918" s="188" t="str">
        <f t="shared" si="127"/>
        <v/>
      </c>
      <c r="T3918" s="21"/>
      <c r="U3918" s="22"/>
      <c r="V3918" s="24"/>
      <c r="W3918" s="24"/>
      <c r="X3918" s="24"/>
      <c r="Y3918" s="24"/>
      <c r="Z3918" s="20" t="str">
        <f t="shared" si="126"/>
        <v/>
      </c>
    </row>
    <row r="3919" spans="1:26" x14ac:dyDescent="0.2">
      <c r="A3919" s="21"/>
      <c r="B3919" s="20"/>
      <c r="C3919" s="22"/>
      <c r="D3919" s="22"/>
      <c r="E3919" s="24"/>
      <c r="F3919" s="22"/>
      <c r="H3919" s="21"/>
      <c r="I3919" s="22"/>
      <c r="J3919" s="22"/>
      <c r="K3919" s="24"/>
      <c r="M3919" s="21"/>
      <c r="N3919" s="22"/>
      <c r="O3919" s="22"/>
      <c r="P3919" s="49"/>
      <c r="Q3919" s="49"/>
      <c r="R3919" s="188" t="str">
        <f t="shared" si="127"/>
        <v/>
      </c>
      <c r="T3919" s="21"/>
      <c r="U3919" s="22"/>
      <c r="V3919" s="24"/>
      <c r="W3919" s="24"/>
      <c r="X3919" s="24"/>
      <c r="Y3919" s="24"/>
      <c r="Z3919" s="20" t="str">
        <f t="shared" si="126"/>
        <v/>
      </c>
    </row>
    <row r="3920" spans="1:26" x14ac:dyDescent="0.2">
      <c r="A3920" s="21"/>
      <c r="B3920" s="20"/>
      <c r="C3920" s="22"/>
      <c r="D3920" s="22"/>
      <c r="E3920" s="24"/>
      <c r="F3920" s="22"/>
      <c r="H3920" s="21"/>
      <c r="I3920" s="22"/>
      <c r="J3920" s="22"/>
      <c r="K3920" s="24"/>
      <c r="M3920" s="21"/>
      <c r="N3920" s="22"/>
      <c r="O3920" s="22"/>
      <c r="P3920" s="49"/>
      <c r="Q3920" s="49"/>
      <c r="R3920" s="188" t="str">
        <f t="shared" si="127"/>
        <v/>
      </c>
      <c r="T3920" s="21"/>
      <c r="U3920" s="22"/>
      <c r="V3920" s="24"/>
      <c r="W3920" s="24"/>
      <c r="X3920" s="24"/>
      <c r="Y3920" s="24"/>
      <c r="Z3920" s="20" t="str">
        <f t="shared" si="126"/>
        <v/>
      </c>
    </row>
    <row r="3921" spans="1:26" x14ac:dyDescent="0.2">
      <c r="A3921" s="21"/>
      <c r="B3921" s="20"/>
      <c r="C3921" s="22"/>
      <c r="D3921" s="22"/>
      <c r="E3921" s="24"/>
      <c r="F3921" s="22"/>
      <c r="H3921" s="21"/>
      <c r="I3921" s="22"/>
      <c r="J3921" s="22"/>
      <c r="K3921" s="24"/>
      <c r="M3921" s="21"/>
      <c r="N3921" s="22"/>
      <c r="O3921" s="22"/>
      <c r="P3921" s="49"/>
      <c r="Q3921" s="49"/>
      <c r="R3921" s="188" t="str">
        <f t="shared" si="127"/>
        <v/>
      </c>
      <c r="T3921" s="21"/>
      <c r="U3921" s="22"/>
      <c r="V3921" s="24"/>
      <c r="W3921" s="24"/>
      <c r="X3921" s="24"/>
      <c r="Y3921" s="24"/>
      <c r="Z3921" s="20" t="str">
        <f t="shared" si="126"/>
        <v/>
      </c>
    </row>
    <row r="3922" spans="1:26" x14ac:dyDescent="0.2">
      <c r="A3922" s="21"/>
      <c r="B3922" s="20"/>
      <c r="C3922" s="22"/>
      <c r="D3922" s="22"/>
      <c r="E3922" s="24"/>
      <c r="F3922" s="22"/>
      <c r="H3922" s="21"/>
      <c r="I3922" s="22"/>
      <c r="J3922" s="22"/>
      <c r="K3922" s="24"/>
      <c r="M3922" s="21"/>
      <c r="N3922" s="22"/>
      <c r="O3922" s="22"/>
      <c r="P3922" s="49"/>
      <c r="Q3922" s="49"/>
      <c r="R3922" s="188" t="str">
        <f t="shared" si="127"/>
        <v/>
      </c>
      <c r="T3922" s="21"/>
      <c r="U3922" s="22"/>
      <c r="V3922" s="24"/>
      <c r="W3922" s="24"/>
      <c r="X3922" s="24"/>
      <c r="Y3922" s="24"/>
      <c r="Z3922" s="20" t="str">
        <f t="shared" si="126"/>
        <v/>
      </c>
    </row>
    <row r="3923" spans="1:26" x14ac:dyDescent="0.2">
      <c r="A3923" s="21"/>
      <c r="B3923" s="20"/>
      <c r="C3923" s="22"/>
      <c r="D3923" s="22"/>
      <c r="E3923" s="24"/>
      <c r="F3923" s="22"/>
      <c r="H3923" s="21"/>
      <c r="I3923" s="22"/>
      <c r="J3923" s="22"/>
      <c r="K3923" s="24"/>
      <c r="M3923" s="21"/>
      <c r="N3923" s="22"/>
      <c r="O3923" s="22"/>
      <c r="P3923" s="49"/>
      <c r="Q3923" s="49"/>
      <c r="R3923" s="188" t="str">
        <f t="shared" si="127"/>
        <v/>
      </c>
      <c r="T3923" s="21"/>
      <c r="U3923" s="22"/>
      <c r="V3923" s="24"/>
      <c r="W3923" s="24"/>
      <c r="X3923" s="24"/>
      <c r="Y3923" s="24"/>
      <c r="Z3923" s="20" t="str">
        <f t="shared" ref="Z3923:Z3986" si="128">IF(COUNT(V3923:Y3923)=0,"",SUM(V3923:Y3923))</f>
        <v/>
      </c>
    </row>
    <row r="3924" spans="1:26" x14ac:dyDescent="0.2">
      <c r="A3924" s="21"/>
      <c r="B3924" s="20"/>
      <c r="C3924" s="22"/>
      <c r="D3924" s="22"/>
      <c r="E3924" s="24"/>
      <c r="F3924" s="22"/>
      <c r="H3924" s="21"/>
      <c r="I3924" s="22"/>
      <c r="J3924" s="22"/>
      <c r="K3924" s="24"/>
      <c r="M3924" s="21"/>
      <c r="N3924" s="22"/>
      <c r="O3924" s="22"/>
      <c r="P3924" s="49"/>
      <c r="Q3924" s="49"/>
      <c r="R3924" s="188" t="str">
        <f t="shared" si="127"/>
        <v/>
      </c>
      <c r="T3924" s="21"/>
      <c r="U3924" s="22"/>
      <c r="V3924" s="24"/>
      <c r="W3924" s="24"/>
      <c r="X3924" s="24"/>
      <c r="Y3924" s="24"/>
      <c r="Z3924" s="20" t="str">
        <f t="shared" si="128"/>
        <v/>
      </c>
    </row>
    <row r="3925" spans="1:26" x14ac:dyDescent="0.2">
      <c r="A3925" s="21"/>
      <c r="B3925" s="20"/>
      <c r="C3925" s="22"/>
      <c r="D3925" s="22"/>
      <c r="E3925" s="24"/>
      <c r="F3925" s="22"/>
      <c r="H3925" s="21"/>
      <c r="I3925" s="22"/>
      <c r="J3925" s="22"/>
      <c r="K3925" s="24"/>
      <c r="M3925" s="21"/>
      <c r="N3925" s="22"/>
      <c r="O3925" s="22"/>
      <c r="P3925" s="49"/>
      <c r="Q3925" s="49"/>
      <c r="R3925" s="188" t="str">
        <f t="shared" si="127"/>
        <v/>
      </c>
      <c r="T3925" s="21"/>
      <c r="U3925" s="22"/>
      <c r="V3925" s="24"/>
      <c r="W3925" s="24"/>
      <c r="X3925" s="24"/>
      <c r="Y3925" s="24"/>
      <c r="Z3925" s="20" t="str">
        <f t="shared" si="128"/>
        <v/>
      </c>
    </row>
    <row r="3926" spans="1:26" x14ac:dyDescent="0.2">
      <c r="A3926" s="21"/>
      <c r="B3926" s="20"/>
      <c r="C3926" s="22"/>
      <c r="D3926" s="22"/>
      <c r="E3926" s="24"/>
      <c r="F3926" s="22"/>
      <c r="H3926" s="21"/>
      <c r="I3926" s="22"/>
      <c r="J3926" s="22"/>
      <c r="K3926" s="24"/>
      <c r="M3926" s="21"/>
      <c r="N3926" s="22"/>
      <c r="O3926" s="22"/>
      <c r="P3926" s="49"/>
      <c r="Q3926" s="49"/>
      <c r="R3926" s="188" t="str">
        <f t="shared" ref="R3926:R3989" si="129">IF(OR(P3926="",Q3926=""),"",IFERROR(P3926-Q3926,""))</f>
        <v/>
      </c>
      <c r="T3926" s="21"/>
      <c r="U3926" s="22"/>
      <c r="V3926" s="24"/>
      <c r="W3926" s="24"/>
      <c r="X3926" s="24"/>
      <c r="Y3926" s="24"/>
      <c r="Z3926" s="20" t="str">
        <f t="shared" si="128"/>
        <v/>
      </c>
    </row>
    <row r="3927" spans="1:26" x14ac:dyDescent="0.2">
      <c r="A3927" s="21"/>
      <c r="B3927" s="20"/>
      <c r="C3927" s="22"/>
      <c r="D3927" s="22"/>
      <c r="E3927" s="24"/>
      <c r="F3927" s="22"/>
      <c r="H3927" s="21"/>
      <c r="I3927" s="22"/>
      <c r="J3927" s="22"/>
      <c r="K3927" s="24"/>
      <c r="M3927" s="21"/>
      <c r="N3927" s="22"/>
      <c r="O3927" s="22"/>
      <c r="P3927" s="49"/>
      <c r="Q3927" s="49"/>
      <c r="R3927" s="188" t="str">
        <f t="shared" si="129"/>
        <v/>
      </c>
      <c r="T3927" s="21"/>
      <c r="U3927" s="22"/>
      <c r="V3927" s="24"/>
      <c r="W3927" s="24"/>
      <c r="X3927" s="24"/>
      <c r="Y3927" s="24"/>
      <c r="Z3927" s="20" t="str">
        <f t="shared" si="128"/>
        <v/>
      </c>
    </row>
    <row r="3928" spans="1:26" x14ac:dyDescent="0.2">
      <c r="A3928" s="21"/>
      <c r="B3928" s="20"/>
      <c r="C3928" s="22"/>
      <c r="D3928" s="22"/>
      <c r="E3928" s="24"/>
      <c r="F3928" s="22"/>
      <c r="H3928" s="21"/>
      <c r="I3928" s="22"/>
      <c r="J3928" s="22"/>
      <c r="K3928" s="24"/>
      <c r="M3928" s="21"/>
      <c r="N3928" s="22"/>
      <c r="O3928" s="22"/>
      <c r="P3928" s="49"/>
      <c r="Q3928" s="49"/>
      <c r="R3928" s="188" t="str">
        <f t="shared" si="129"/>
        <v/>
      </c>
      <c r="T3928" s="21"/>
      <c r="U3928" s="22"/>
      <c r="V3928" s="24"/>
      <c r="W3928" s="24"/>
      <c r="X3928" s="24"/>
      <c r="Y3928" s="24"/>
      <c r="Z3928" s="20" t="str">
        <f t="shared" si="128"/>
        <v/>
      </c>
    </row>
    <row r="3929" spans="1:26" x14ac:dyDescent="0.2">
      <c r="A3929" s="21"/>
      <c r="B3929" s="20"/>
      <c r="C3929" s="22"/>
      <c r="D3929" s="22"/>
      <c r="E3929" s="24"/>
      <c r="F3929" s="22"/>
      <c r="H3929" s="21"/>
      <c r="I3929" s="22"/>
      <c r="J3929" s="22"/>
      <c r="K3929" s="24"/>
      <c r="M3929" s="21"/>
      <c r="N3929" s="22"/>
      <c r="O3929" s="22"/>
      <c r="P3929" s="49"/>
      <c r="Q3929" s="49"/>
      <c r="R3929" s="188" t="str">
        <f t="shared" si="129"/>
        <v/>
      </c>
      <c r="T3929" s="21"/>
      <c r="U3929" s="22"/>
      <c r="V3929" s="24"/>
      <c r="W3929" s="24"/>
      <c r="X3929" s="24"/>
      <c r="Y3929" s="24"/>
      <c r="Z3929" s="20" t="str">
        <f t="shared" si="128"/>
        <v/>
      </c>
    </row>
    <row r="3930" spans="1:26" x14ac:dyDescent="0.2">
      <c r="A3930" s="21"/>
      <c r="B3930" s="20"/>
      <c r="C3930" s="22"/>
      <c r="D3930" s="22"/>
      <c r="E3930" s="24"/>
      <c r="F3930" s="22"/>
      <c r="H3930" s="21"/>
      <c r="I3930" s="22"/>
      <c r="J3930" s="22"/>
      <c r="K3930" s="24"/>
      <c r="M3930" s="21"/>
      <c r="N3930" s="22"/>
      <c r="O3930" s="22"/>
      <c r="P3930" s="49"/>
      <c r="Q3930" s="49"/>
      <c r="R3930" s="188" t="str">
        <f t="shared" si="129"/>
        <v/>
      </c>
      <c r="T3930" s="21"/>
      <c r="U3930" s="22"/>
      <c r="V3930" s="24"/>
      <c r="W3930" s="24"/>
      <c r="X3930" s="24"/>
      <c r="Y3930" s="24"/>
      <c r="Z3930" s="20" t="str">
        <f t="shared" si="128"/>
        <v/>
      </c>
    </row>
    <row r="3931" spans="1:26" x14ac:dyDescent="0.2">
      <c r="A3931" s="21"/>
      <c r="B3931" s="20"/>
      <c r="C3931" s="22"/>
      <c r="D3931" s="22"/>
      <c r="E3931" s="24"/>
      <c r="F3931" s="22"/>
      <c r="H3931" s="21"/>
      <c r="I3931" s="22"/>
      <c r="J3931" s="22"/>
      <c r="K3931" s="24"/>
      <c r="M3931" s="21"/>
      <c r="N3931" s="22"/>
      <c r="O3931" s="22"/>
      <c r="P3931" s="49"/>
      <c r="Q3931" s="49"/>
      <c r="R3931" s="188" t="str">
        <f t="shared" si="129"/>
        <v/>
      </c>
      <c r="T3931" s="21"/>
      <c r="U3931" s="22"/>
      <c r="V3931" s="24"/>
      <c r="W3931" s="24"/>
      <c r="X3931" s="24"/>
      <c r="Y3931" s="24"/>
      <c r="Z3931" s="20" t="str">
        <f t="shared" si="128"/>
        <v/>
      </c>
    </row>
    <row r="3932" spans="1:26" x14ac:dyDescent="0.2">
      <c r="A3932" s="21"/>
      <c r="B3932" s="20"/>
      <c r="C3932" s="22"/>
      <c r="D3932" s="22"/>
      <c r="E3932" s="24"/>
      <c r="F3932" s="22"/>
      <c r="H3932" s="21"/>
      <c r="I3932" s="22"/>
      <c r="J3932" s="22"/>
      <c r="K3932" s="24"/>
      <c r="M3932" s="21"/>
      <c r="N3932" s="22"/>
      <c r="O3932" s="22"/>
      <c r="P3932" s="49"/>
      <c r="Q3932" s="49"/>
      <c r="R3932" s="188" t="str">
        <f t="shared" si="129"/>
        <v/>
      </c>
      <c r="T3932" s="21"/>
      <c r="U3932" s="22"/>
      <c r="V3932" s="24"/>
      <c r="W3932" s="24"/>
      <c r="X3932" s="24"/>
      <c r="Y3932" s="24"/>
      <c r="Z3932" s="20" t="str">
        <f t="shared" si="128"/>
        <v/>
      </c>
    </row>
    <row r="3933" spans="1:26" x14ac:dyDescent="0.2">
      <c r="A3933" s="21"/>
      <c r="B3933" s="20"/>
      <c r="C3933" s="22"/>
      <c r="D3933" s="22"/>
      <c r="E3933" s="24"/>
      <c r="F3933" s="22"/>
      <c r="H3933" s="21"/>
      <c r="I3933" s="22"/>
      <c r="J3933" s="22"/>
      <c r="K3933" s="24"/>
      <c r="M3933" s="21"/>
      <c r="N3933" s="22"/>
      <c r="O3933" s="22"/>
      <c r="P3933" s="49"/>
      <c r="Q3933" s="49"/>
      <c r="R3933" s="188" t="str">
        <f t="shared" si="129"/>
        <v/>
      </c>
      <c r="T3933" s="21"/>
      <c r="U3933" s="22"/>
      <c r="V3933" s="24"/>
      <c r="W3933" s="24"/>
      <c r="X3933" s="24"/>
      <c r="Y3933" s="24"/>
      <c r="Z3933" s="20" t="str">
        <f t="shared" si="128"/>
        <v/>
      </c>
    </row>
    <row r="3934" spans="1:26" x14ac:dyDescent="0.2">
      <c r="A3934" s="21"/>
      <c r="B3934" s="20"/>
      <c r="C3934" s="22"/>
      <c r="D3934" s="22"/>
      <c r="E3934" s="24"/>
      <c r="F3934" s="22"/>
      <c r="H3934" s="21"/>
      <c r="I3934" s="22"/>
      <c r="J3934" s="22"/>
      <c r="K3934" s="24"/>
      <c r="M3934" s="21"/>
      <c r="N3934" s="22"/>
      <c r="O3934" s="22"/>
      <c r="P3934" s="49"/>
      <c r="Q3934" s="49"/>
      <c r="R3934" s="188" t="str">
        <f t="shared" si="129"/>
        <v/>
      </c>
      <c r="T3934" s="21"/>
      <c r="U3934" s="22"/>
      <c r="V3934" s="24"/>
      <c r="W3934" s="24"/>
      <c r="X3934" s="24"/>
      <c r="Y3934" s="24"/>
      <c r="Z3934" s="20" t="str">
        <f t="shared" si="128"/>
        <v/>
      </c>
    </row>
    <row r="3935" spans="1:26" x14ac:dyDescent="0.2">
      <c r="A3935" s="21"/>
      <c r="B3935" s="20"/>
      <c r="C3935" s="22"/>
      <c r="D3935" s="22"/>
      <c r="E3935" s="24"/>
      <c r="F3935" s="22"/>
      <c r="H3935" s="21"/>
      <c r="I3935" s="22"/>
      <c r="J3935" s="22"/>
      <c r="K3935" s="24"/>
      <c r="M3935" s="21"/>
      <c r="N3935" s="22"/>
      <c r="O3935" s="22"/>
      <c r="P3935" s="49"/>
      <c r="Q3935" s="49"/>
      <c r="R3935" s="188" t="str">
        <f t="shared" si="129"/>
        <v/>
      </c>
      <c r="T3935" s="21"/>
      <c r="U3935" s="22"/>
      <c r="V3935" s="24"/>
      <c r="W3935" s="24"/>
      <c r="X3935" s="24"/>
      <c r="Y3935" s="24"/>
      <c r="Z3935" s="20" t="str">
        <f t="shared" si="128"/>
        <v/>
      </c>
    </row>
    <row r="3936" spans="1:26" x14ac:dyDescent="0.2">
      <c r="A3936" s="21"/>
      <c r="B3936" s="20"/>
      <c r="C3936" s="22"/>
      <c r="D3936" s="22"/>
      <c r="E3936" s="24"/>
      <c r="F3936" s="22"/>
      <c r="H3936" s="21"/>
      <c r="I3936" s="22"/>
      <c r="J3936" s="22"/>
      <c r="K3936" s="24"/>
      <c r="M3936" s="21"/>
      <c r="N3936" s="22"/>
      <c r="O3936" s="22"/>
      <c r="P3936" s="49"/>
      <c r="Q3936" s="49"/>
      <c r="R3936" s="188" t="str">
        <f t="shared" si="129"/>
        <v/>
      </c>
      <c r="T3936" s="21"/>
      <c r="U3936" s="22"/>
      <c r="V3936" s="24"/>
      <c r="W3936" s="24"/>
      <c r="X3936" s="24"/>
      <c r="Y3936" s="24"/>
      <c r="Z3936" s="20" t="str">
        <f t="shared" si="128"/>
        <v/>
      </c>
    </row>
    <row r="3937" spans="1:26" x14ac:dyDescent="0.2">
      <c r="A3937" s="21"/>
      <c r="B3937" s="20"/>
      <c r="C3937" s="22"/>
      <c r="D3937" s="22"/>
      <c r="E3937" s="24"/>
      <c r="F3937" s="22"/>
      <c r="H3937" s="21"/>
      <c r="I3937" s="22"/>
      <c r="J3937" s="22"/>
      <c r="K3937" s="24"/>
      <c r="M3937" s="21"/>
      <c r="N3937" s="22"/>
      <c r="O3937" s="22"/>
      <c r="P3937" s="49"/>
      <c r="Q3937" s="49"/>
      <c r="R3937" s="188" t="str">
        <f t="shared" si="129"/>
        <v/>
      </c>
      <c r="T3937" s="21"/>
      <c r="U3937" s="22"/>
      <c r="V3937" s="24"/>
      <c r="W3937" s="24"/>
      <c r="X3937" s="24"/>
      <c r="Y3937" s="24"/>
      <c r="Z3937" s="20" t="str">
        <f t="shared" si="128"/>
        <v/>
      </c>
    </row>
    <row r="3938" spans="1:26" x14ac:dyDescent="0.2">
      <c r="A3938" s="21"/>
      <c r="B3938" s="20"/>
      <c r="C3938" s="22"/>
      <c r="D3938" s="22"/>
      <c r="E3938" s="24"/>
      <c r="F3938" s="22"/>
      <c r="H3938" s="21"/>
      <c r="I3938" s="22"/>
      <c r="J3938" s="22"/>
      <c r="K3938" s="24"/>
      <c r="M3938" s="21"/>
      <c r="N3938" s="22"/>
      <c r="O3938" s="22"/>
      <c r="P3938" s="49"/>
      <c r="Q3938" s="49"/>
      <c r="R3938" s="188" t="str">
        <f t="shared" si="129"/>
        <v/>
      </c>
      <c r="T3938" s="21"/>
      <c r="U3938" s="22"/>
      <c r="V3938" s="24"/>
      <c r="W3938" s="24"/>
      <c r="X3938" s="24"/>
      <c r="Y3938" s="24"/>
      <c r="Z3938" s="20" t="str">
        <f t="shared" si="128"/>
        <v/>
      </c>
    </row>
    <row r="3939" spans="1:26" x14ac:dyDescent="0.2">
      <c r="A3939" s="21"/>
      <c r="B3939" s="20"/>
      <c r="C3939" s="22"/>
      <c r="D3939" s="22"/>
      <c r="E3939" s="24"/>
      <c r="F3939" s="22"/>
      <c r="H3939" s="21"/>
      <c r="I3939" s="22"/>
      <c r="J3939" s="22"/>
      <c r="K3939" s="24"/>
      <c r="M3939" s="21"/>
      <c r="N3939" s="22"/>
      <c r="O3939" s="22"/>
      <c r="P3939" s="49"/>
      <c r="Q3939" s="49"/>
      <c r="R3939" s="188" t="str">
        <f t="shared" si="129"/>
        <v/>
      </c>
      <c r="T3939" s="21"/>
      <c r="U3939" s="22"/>
      <c r="V3939" s="24"/>
      <c r="W3939" s="24"/>
      <c r="X3939" s="24"/>
      <c r="Y3939" s="24"/>
      <c r="Z3939" s="20" t="str">
        <f t="shared" si="128"/>
        <v/>
      </c>
    </row>
    <row r="3940" spans="1:26" x14ac:dyDescent="0.2">
      <c r="A3940" s="21"/>
      <c r="B3940" s="20"/>
      <c r="C3940" s="22"/>
      <c r="D3940" s="22"/>
      <c r="E3940" s="24"/>
      <c r="F3940" s="22"/>
      <c r="H3940" s="21"/>
      <c r="I3940" s="22"/>
      <c r="J3940" s="22"/>
      <c r="K3940" s="24"/>
      <c r="M3940" s="21"/>
      <c r="N3940" s="22"/>
      <c r="O3940" s="22"/>
      <c r="P3940" s="49"/>
      <c r="Q3940" s="49"/>
      <c r="R3940" s="188" t="str">
        <f t="shared" si="129"/>
        <v/>
      </c>
      <c r="T3940" s="21"/>
      <c r="U3940" s="22"/>
      <c r="V3940" s="24"/>
      <c r="W3940" s="24"/>
      <c r="X3940" s="24"/>
      <c r="Y3940" s="24"/>
      <c r="Z3940" s="20" t="str">
        <f t="shared" si="128"/>
        <v/>
      </c>
    </row>
    <row r="3941" spans="1:26" x14ac:dyDescent="0.2">
      <c r="A3941" s="21"/>
      <c r="B3941" s="20"/>
      <c r="C3941" s="22"/>
      <c r="D3941" s="22"/>
      <c r="E3941" s="24"/>
      <c r="F3941" s="22"/>
      <c r="H3941" s="21"/>
      <c r="I3941" s="22"/>
      <c r="J3941" s="22"/>
      <c r="K3941" s="24"/>
      <c r="M3941" s="21"/>
      <c r="N3941" s="22"/>
      <c r="O3941" s="22"/>
      <c r="P3941" s="49"/>
      <c r="Q3941" s="49"/>
      <c r="R3941" s="188" t="str">
        <f t="shared" si="129"/>
        <v/>
      </c>
      <c r="T3941" s="21"/>
      <c r="U3941" s="22"/>
      <c r="V3941" s="24"/>
      <c r="W3941" s="24"/>
      <c r="X3941" s="24"/>
      <c r="Y3941" s="24"/>
      <c r="Z3941" s="20" t="str">
        <f t="shared" si="128"/>
        <v/>
      </c>
    </row>
    <row r="3942" spans="1:26" x14ac:dyDescent="0.2">
      <c r="A3942" s="21"/>
      <c r="B3942" s="20"/>
      <c r="C3942" s="22"/>
      <c r="D3942" s="22"/>
      <c r="E3942" s="24"/>
      <c r="F3942" s="22"/>
      <c r="H3942" s="21"/>
      <c r="I3942" s="22"/>
      <c r="J3942" s="22"/>
      <c r="K3942" s="24"/>
      <c r="M3942" s="21"/>
      <c r="N3942" s="22"/>
      <c r="O3942" s="22"/>
      <c r="P3942" s="49"/>
      <c r="Q3942" s="49"/>
      <c r="R3942" s="188" t="str">
        <f t="shared" si="129"/>
        <v/>
      </c>
      <c r="T3942" s="21"/>
      <c r="U3942" s="22"/>
      <c r="V3942" s="24"/>
      <c r="W3942" s="24"/>
      <c r="X3942" s="24"/>
      <c r="Y3942" s="24"/>
      <c r="Z3942" s="20" t="str">
        <f t="shared" si="128"/>
        <v/>
      </c>
    </row>
    <row r="3943" spans="1:26" x14ac:dyDescent="0.2">
      <c r="A3943" s="21"/>
      <c r="B3943" s="20"/>
      <c r="C3943" s="22"/>
      <c r="D3943" s="22"/>
      <c r="E3943" s="24"/>
      <c r="F3943" s="22"/>
      <c r="H3943" s="21"/>
      <c r="I3943" s="22"/>
      <c r="J3943" s="22"/>
      <c r="K3943" s="24"/>
      <c r="M3943" s="21"/>
      <c r="N3943" s="22"/>
      <c r="O3943" s="22"/>
      <c r="P3943" s="49"/>
      <c r="Q3943" s="49"/>
      <c r="R3943" s="188" t="str">
        <f t="shared" si="129"/>
        <v/>
      </c>
      <c r="T3943" s="21"/>
      <c r="U3943" s="22"/>
      <c r="V3943" s="24"/>
      <c r="W3943" s="24"/>
      <c r="X3943" s="24"/>
      <c r="Y3943" s="24"/>
      <c r="Z3943" s="20" t="str">
        <f t="shared" si="128"/>
        <v/>
      </c>
    </row>
    <row r="3944" spans="1:26" x14ac:dyDescent="0.2">
      <c r="A3944" s="21"/>
      <c r="B3944" s="20"/>
      <c r="C3944" s="22"/>
      <c r="D3944" s="22"/>
      <c r="E3944" s="24"/>
      <c r="F3944" s="22"/>
      <c r="H3944" s="21"/>
      <c r="I3944" s="22"/>
      <c r="J3944" s="22"/>
      <c r="K3944" s="24"/>
      <c r="M3944" s="21"/>
      <c r="N3944" s="22"/>
      <c r="O3944" s="22"/>
      <c r="P3944" s="49"/>
      <c r="Q3944" s="49"/>
      <c r="R3944" s="188" t="str">
        <f t="shared" si="129"/>
        <v/>
      </c>
      <c r="T3944" s="21"/>
      <c r="U3944" s="22"/>
      <c r="V3944" s="24"/>
      <c r="W3944" s="24"/>
      <c r="X3944" s="24"/>
      <c r="Y3944" s="24"/>
      <c r="Z3944" s="20" t="str">
        <f t="shared" si="128"/>
        <v/>
      </c>
    </row>
    <row r="3945" spans="1:26" x14ac:dyDescent="0.2">
      <c r="A3945" s="21"/>
      <c r="B3945" s="20"/>
      <c r="C3945" s="22"/>
      <c r="D3945" s="22"/>
      <c r="E3945" s="24"/>
      <c r="F3945" s="22"/>
      <c r="H3945" s="21"/>
      <c r="I3945" s="22"/>
      <c r="J3945" s="22"/>
      <c r="K3945" s="24"/>
      <c r="M3945" s="21"/>
      <c r="N3945" s="22"/>
      <c r="O3945" s="22"/>
      <c r="P3945" s="49"/>
      <c r="Q3945" s="49"/>
      <c r="R3945" s="188" t="str">
        <f t="shared" si="129"/>
        <v/>
      </c>
      <c r="T3945" s="21"/>
      <c r="U3945" s="22"/>
      <c r="V3945" s="24"/>
      <c r="W3945" s="24"/>
      <c r="X3945" s="24"/>
      <c r="Y3945" s="24"/>
      <c r="Z3945" s="20" t="str">
        <f t="shared" si="128"/>
        <v/>
      </c>
    </row>
    <row r="3946" spans="1:26" x14ac:dyDescent="0.2">
      <c r="A3946" s="21"/>
      <c r="B3946" s="20"/>
      <c r="C3946" s="22"/>
      <c r="D3946" s="22"/>
      <c r="E3946" s="24"/>
      <c r="F3946" s="22"/>
      <c r="H3946" s="21"/>
      <c r="I3946" s="22"/>
      <c r="J3946" s="22"/>
      <c r="K3946" s="24"/>
      <c r="M3946" s="21"/>
      <c r="N3946" s="22"/>
      <c r="O3946" s="22"/>
      <c r="P3946" s="49"/>
      <c r="Q3946" s="49"/>
      <c r="R3946" s="188" t="str">
        <f t="shared" si="129"/>
        <v/>
      </c>
      <c r="T3946" s="21"/>
      <c r="U3946" s="22"/>
      <c r="V3946" s="24"/>
      <c r="W3946" s="24"/>
      <c r="X3946" s="24"/>
      <c r="Y3946" s="24"/>
      <c r="Z3946" s="20" t="str">
        <f t="shared" si="128"/>
        <v/>
      </c>
    </row>
    <row r="3947" spans="1:26" x14ac:dyDescent="0.2">
      <c r="A3947" s="21"/>
      <c r="B3947" s="20"/>
      <c r="C3947" s="22"/>
      <c r="D3947" s="22"/>
      <c r="E3947" s="24"/>
      <c r="F3947" s="22"/>
      <c r="H3947" s="21"/>
      <c r="I3947" s="22"/>
      <c r="J3947" s="22"/>
      <c r="K3947" s="24"/>
      <c r="M3947" s="21"/>
      <c r="N3947" s="22"/>
      <c r="O3947" s="22"/>
      <c r="P3947" s="49"/>
      <c r="Q3947" s="49"/>
      <c r="R3947" s="188" t="str">
        <f t="shared" si="129"/>
        <v/>
      </c>
      <c r="T3947" s="21"/>
      <c r="U3947" s="22"/>
      <c r="V3947" s="24"/>
      <c r="W3947" s="24"/>
      <c r="X3947" s="24"/>
      <c r="Y3947" s="24"/>
      <c r="Z3947" s="20" t="str">
        <f t="shared" si="128"/>
        <v/>
      </c>
    </row>
    <row r="3948" spans="1:26" x14ac:dyDescent="0.2">
      <c r="A3948" s="21"/>
      <c r="B3948" s="20"/>
      <c r="C3948" s="22"/>
      <c r="D3948" s="22"/>
      <c r="E3948" s="24"/>
      <c r="F3948" s="22"/>
      <c r="H3948" s="21"/>
      <c r="I3948" s="22"/>
      <c r="J3948" s="22"/>
      <c r="K3948" s="24"/>
      <c r="M3948" s="21"/>
      <c r="N3948" s="22"/>
      <c r="O3948" s="22"/>
      <c r="P3948" s="49"/>
      <c r="Q3948" s="49"/>
      <c r="R3948" s="188" t="str">
        <f t="shared" si="129"/>
        <v/>
      </c>
      <c r="T3948" s="21"/>
      <c r="U3948" s="22"/>
      <c r="V3948" s="24"/>
      <c r="W3948" s="24"/>
      <c r="X3948" s="24"/>
      <c r="Y3948" s="24"/>
      <c r="Z3948" s="20" t="str">
        <f t="shared" si="128"/>
        <v/>
      </c>
    </row>
    <row r="3949" spans="1:26" x14ac:dyDescent="0.2">
      <c r="A3949" s="21"/>
      <c r="B3949" s="20"/>
      <c r="C3949" s="22"/>
      <c r="D3949" s="22"/>
      <c r="E3949" s="24"/>
      <c r="F3949" s="22"/>
      <c r="H3949" s="21"/>
      <c r="I3949" s="22"/>
      <c r="J3949" s="22"/>
      <c r="K3949" s="24"/>
      <c r="M3949" s="21"/>
      <c r="N3949" s="22"/>
      <c r="O3949" s="22"/>
      <c r="P3949" s="49"/>
      <c r="Q3949" s="49"/>
      <c r="R3949" s="188" t="str">
        <f t="shared" si="129"/>
        <v/>
      </c>
      <c r="T3949" s="21"/>
      <c r="U3949" s="22"/>
      <c r="V3949" s="24"/>
      <c r="W3949" s="24"/>
      <c r="X3949" s="24"/>
      <c r="Y3949" s="24"/>
      <c r="Z3949" s="20" t="str">
        <f t="shared" si="128"/>
        <v/>
      </c>
    </row>
    <row r="3950" spans="1:26" x14ac:dyDescent="0.2">
      <c r="A3950" s="21"/>
      <c r="B3950" s="20"/>
      <c r="C3950" s="22"/>
      <c r="D3950" s="22"/>
      <c r="E3950" s="24"/>
      <c r="F3950" s="22"/>
      <c r="H3950" s="21"/>
      <c r="I3950" s="22"/>
      <c r="J3950" s="22"/>
      <c r="K3950" s="24"/>
      <c r="M3950" s="21"/>
      <c r="N3950" s="22"/>
      <c r="O3950" s="22"/>
      <c r="P3950" s="49"/>
      <c r="Q3950" s="49"/>
      <c r="R3950" s="188" t="str">
        <f t="shared" si="129"/>
        <v/>
      </c>
      <c r="T3950" s="21"/>
      <c r="U3950" s="22"/>
      <c r="V3950" s="24"/>
      <c r="W3950" s="24"/>
      <c r="X3950" s="24"/>
      <c r="Y3950" s="24"/>
      <c r="Z3950" s="20" t="str">
        <f t="shared" si="128"/>
        <v/>
      </c>
    </row>
    <row r="3951" spans="1:26" x14ac:dyDescent="0.2">
      <c r="A3951" s="21"/>
      <c r="B3951" s="20"/>
      <c r="C3951" s="22"/>
      <c r="D3951" s="22"/>
      <c r="E3951" s="24"/>
      <c r="F3951" s="22"/>
      <c r="H3951" s="21"/>
      <c r="I3951" s="22"/>
      <c r="J3951" s="22"/>
      <c r="K3951" s="24"/>
      <c r="M3951" s="21"/>
      <c r="N3951" s="22"/>
      <c r="O3951" s="22"/>
      <c r="P3951" s="49"/>
      <c r="Q3951" s="49"/>
      <c r="R3951" s="188" t="str">
        <f t="shared" si="129"/>
        <v/>
      </c>
      <c r="T3951" s="21"/>
      <c r="U3951" s="22"/>
      <c r="V3951" s="24"/>
      <c r="W3951" s="24"/>
      <c r="X3951" s="24"/>
      <c r="Y3951" s="24"/>
      <c r="Z3951" s="20" t="str">
        <f t="shared" si="128"/>
        <v/>
      </c>
    </row>
    <row r="3952" spans="1:26" x14ac:dyDescent="0.2">
      <c r="A3952" s="21"/>
      <c r="B3952" s="20"/>
      <c r="C3952" s="22"/>
      <c r="D3952" s="22"/>
      <c r="E3952" s="24"/>
      <c r="F3952" s="22"/>
      <c r="H3952" s="21"/>
      <c r="I3952" s="22"/>
      <c r="J3952" s="22"/>
      <c r="K3952" s="24"/>
      <c r="M3952" s="21"/>
      <c r="N3952" s="22"/>
      <c r="O3952" s="22"/>
      <c r="P3952" s="49"/>
      <c r="Q3952" s="49"/>
      <c r="R3952" s="188" t="str">
        <f t="shared" si="129"/>
        <v/>
      </c>
      <c r="T3952" s="21"/>
      <c r="U3952" s="22"/>
      <c r="V3952" s="24"/>
      <c r="W3952" s="24"/>
      <c r="X3952" s="24"/>
      <c r="Y3952" s="24"/>
      <c r="Z3952" s="20" t="str">
        <f t="shared" si="128"/>
        <v/>
      </c>
    </row>
    <row r="3953" spans="1:26" x14ac:dyDescent="0.2">
      <c r="A3953" s="21"/>
      <c r="B3953" s="20"/>
      <c r="C3953" s="22"/>
      <c r="D3953" s="22"/>
      <c r="E3953" s="24"/>
      <c r="F3953" s="22"/>
      <c r="H3953" s="21"/>
      <c r="I3953" s="22"/>
      <c r="J3953" s="22"/>
      <c r="K3953" s="24"/>
      <c r="M3953" s="21"/>
      <c r="N3953" s="22"/>
      <c r="O3953" s="22"/>
      <c r="P3953" s="49"/>
      <c r="Q3953" s="49"/>
      <c r="R3953" s="188" t="str">
        <f t="shared" si="129"/>
        <v/>
      </c>
      <c r="T3953" s="21"/>
      <c r="U3953" s="22"/>
      <c r="V3953" s="24"/>
      <c r="W3953" s="24"/>
      <c r="X3953" s="24"/>
      <c r="Y3953" s="24"/>
      <c r="Z3953" s="20" t="str">
        <f t="shared" si="128"/>
        <v/>
      </c>
    </row>
    <row r="3954" spans="1:26" x14ac:dyDescent="0.2">
      <c r="A3954" s="21"/>
      <c r="B3954" s="20"/>
      <c r="C3954" s="22"/>
      <c r="D3954" s="22"/>
      <c r="E3954" s="24"/>
      <c r="F3954" s="22"/>
      <c r="H3954" s="21"/>
      <c r="I3954" s="22"/>
      <c r="J3954" s="22"/>
      <c r="K3954" s="24"/>
      <c r="M3954" s="21"/>
      <c r="N3954" s="22"/>
      <c r="O3954" s="22"/>
      <c r="P3954" s="49"/>
      <c r="Q3954" s="49"/>
      <c r="R3954" s="188" t="str">
        <f t="shared" si="129"/>
        <v/>
      </c>
      <c r="T3954" s="21"/>
      <c r="U3954" s="22"/>
      <c r="V3954" s="24"/>
      <c r="W3954" s="24"/>
      <c r="X3954" s="24"/>
      <c r="Y3954" s="24"/>
      <c r="Z3954" s="20" t="str">
        <f t="shared" si="128"/>
        <v/>
      </c>
    </row>
    <row r="3955" spans="1:26" x14ac:dyDescent="0.2">
      <c r="A3955" s="21"/>
      <c r="B3955" s="20"/>
      <c r="C3955" s="22"/>
      <c r="D3955" s="22"/>
      <c r="E3955" s="24"/>
      <c r="F3955" s="22"/>
      <c r="H3955" s="21"/>
      <c r="I3955" s="22"/>
      <c r="J3955" s="22"/>
      <c r="K3955" s="24"/>
      <c r="M3955" s="21"/>
      <c r="N3955" s="22"/>
      <c r="O3955" s="22"/>
      <c r="P3955" s="49"/>
      <c r="Q3955" s="49"/>
      <c r="R3955" s="188" t="str">
        <f t="shared" si="129"/>
        <v/>
      </c>
      <c r="T3955" s="21"/>
      <c r="U3955" s="22"/>
      <c r="V3955" s="24"/>
      <c r="W3955" s="24"/>
      <c r="X3955" s="24"/>
      <c r="Y3955" s="24"/>
      <c r="Z3955" s="20" t="str">
        <f t="shared" si="128"/>
        <v/>
      </c>
    </row>
    <row r="3956" spans="1:26" x14ac:dyDescent="0.2">
      <c r="A3956" s="21"/>
      <c r="B3956" s="20"/>
      <c r="C3956" s="22"/>
      <c r="D3956" s="22"/>
      <c r="E3956" s="24"/>
      <c r="F3956" s="22"/>
      <c r="H3956" s="21"/>
      <c r="I3956" s="22"/>
      <c r="J3956" s="22"/>
      <c r="K3956" s="24"/>
      <c r="M3956" s="21"/>
      <c r="N3956" s="22"/>
      <c r="O3956" s="22"/>
      <c r="P3956" s="49"/>
      <c r="Q3956" s="49"/>
      <c r="R3956" s="188" t="str">
        <f t="shared" si="129"/>
        <v/>
      </c>
      <c r="T3956" s="21"/>
      <c r="U3956" s="22"/>
      <c r="V3956" s="24"/>
      <c r="W3956" s="24"/>
      <c r="X3956" s="24"/>
      <c r="Y3956" s="24"/>
      <c r="Z3956" s="20" t="str">
        <f t="shared" si="128"/>
        <v/>
      </c>
    </row>
    <row r="3957" spans="1:26" x14ac:dyDescent="0.2">
      <c r="A3957" s="21"/>
      <c r="B3957" s="20"/>
      <c r="C3957" s="22"/>
      <c r="D3957" s="22"/>
      <c r="E3957" s="24"/>
      <c r="F3957" s="22"/>
      <c r="H3957" s="21"/>
      <c r="I3957" s="22"/>
      <c r="J3957" s="22"/>
      <c r="K3957" s="24"/>
      <c r="M3957" s="21"/>
      <c r="N3957" s="22"/>
      <c r="O3957" s="22"/>
      <c r="P3957" s="49"/>
      <c r="Q3957" s="49"/>
      <c r="R3957" s="188" t="str">
        <f t="shared" si="129"/>
        <v/>
      </c>
      <c r="T3957" s="21"/>
      <c r="U3957" s="22"/>
      <c r="V3957" s="24"/>
      <c r="W3957" s="24"/>
      <c r="X3957" s="24"/>
      <c r="Y3957" s="24"/>
      <c r="Z3957" s="20" t="str">
        <f t="shared" si="128"/>
        <v/>
      </c>
    </row>
    <row r="3958" spans="1:26" x14ac:dyDescent="0.2">
      <c r="A3958" s="21"/>
      <c r="B3958" s="20"/>
      <c r="C3958" s="22"/>
      <c r="D3958" s="22"/>
      <c r="E3958" s="24"/>
      <c r="F3958" s="22"/>
      <c r="H3958" s="21"/>
      <c r="I3958" s="22"/>
      <c r="J3958" s="22"/>
      <c r="K3958" s="24"/>
      <c r="M3958" s="21"/>
      <c r="N3958" s="22"/>
      <c r="O3958" s="22"/>
      <c r="P3958" s="49"/>
      <c r="Q3958" s="49"/>
      <c r="R3958" s="188" t="str">
        <f t="shared" si="129"/>
        <v/>
      </c>
      <c r="T3958" s="21"/>
      <c r="U3958" s="22"/>
      <c r="V3958" s="24"/>
      <c r="W3958" s="24"/>
      <c r="X3958" s="24"/>
      <c r="Y3958" s="24"/>
      <c r="Z3958" s="20" t="str">
        <f t="shared" si="128"/>
        <v/>
      </c>
    </row>
    <row r="3959" spans="1:26" x14ac:dyDescent="0.2">
      <c r="A3959" s="21"/>
      <c r="B3959" s="20"/>
      <c r="C3959" s="22"/>
      <c r="D3959" s="22"/>
      <c r="E3959" s="24"/>
      <c r="F3959" s="22"/>
      <c r="H3959" s="21"/>
      <c r="I3959" s="22"/>
      <c r="J3959" s="22"/>
      <c r="K3959" s="24"/>
      <c r="M3959" s="21"/>
      <c r="N3959" s="22"/>
      <c r="O3959" s="22"/>
      <c r="P3959" s="49"/>
      <c r="Q3959" s="49"/>
      <c r="R3959" s="188" t="str">
        <f t="shared" si="129"/>
        <v/>
      </c>
      <c r="T3959" s="21"/>
      <c r="U3959" s="22"/>
      <c r="V3959" s="24"/>
      <c r="W3959" s="24"/>
      <c r="X3959" s="24"/>
      <c r="Y3959" s="24"/>
      <c r="Z3959" s="20" t="str">
        <f t="shared" si="128"/>
        <v/>
      </c>
    </row>
    <row r="3960" spans="1:26" x14ac:dyDescent="0.2">
      <c r="A3960" s="21"/>
      <c r="B3960" s="20"/>
      <c r="C3960" s="22"/>
      <c r="D3960" s="22"/>
      <c r="E3960" s="24"/>
      <c r="F3960" s="22"/>
      <c r="H3960" s="21"/>
      <c r="I3960" s="22"/>
      <c r="J3960" s="22"/>
      <c r="K3960" s="24"/>
      <c r="M3960" s="21"/>
      <c r="N3960" s="22"/>
      <c r="O3960" s="22"/>
      <c r="P3960" s="49"/>
      <c r="Q3960" s="49"/>
      <c r="R3960" s="188" t="str">
        <f t="shared" si="129"/>
        <v/>
      </c>
      <c r="T3960" s="21"/>
      <c r="U3960" s="22"/>
      <c r="V3960" s="24"/>
      <c r="W3960" s="24"/>
      <c r="X3960" s="24"/>
      <c r="Y3960" s="24"/>
      <c r="Z3960" s="20" t="str">
        <f t="shared" si="128"/>
        <v/>
      </c>
    </row>
    <row r="3961" spans="1:26" x14ac:dyDescent="0.2">
      <c r="A3961" s="21"/>
      <c r="B3961" s="20"/>
      <c r="C3961" s="22"/>
      <c r="D3961" s="22"/>
      <c r="E3961" s="24"/>
      <c r="F3961" s="22"/>
      <c r="H3961" s="21"/>
      <c r="I3961" s="22"/>
      <c r="J3961" s="22"/>
      <c r="K3961" s="24"/>
      <c r="M3961" s="21"/>
      <c r="N3961" s="22"/>
      <c r="O3961" s="22"/>
      <c r="P3961" s="49"/>
      <c r="Q3961" s="49"/>
      <c r="R3961" s="188" t="str">
        <f t="shared" si="129"/>
        <v/>
      </c>
      <c r="T3961" s="21"/>
      <c r="U3961" s="22"/>
      <c r="V3961" s="24"/>
      <c r="W3961" s="24"/>
      <c r="X3961" s="24"/>
      <c r="Y3961" s="24"/>
      <c r="Z3961" s="20" t="str">
        <f t="shared" si="128"/>
        <v/>
      </c>
    </row>
    <row r="3962" spans="1:26" x14ac:dyDescent="0.2">
      <c r="A3962" s="21"/>
      <c r="B3962" s="20"/>
      <c r="C3962" s="22"/>
      <c r="D3962" s="22"/>
      <c r="E3962" s="24"/>
      <c r="F3962" s="22"/>
      <c r="H3962" s="21"/>
      <c r="I3962" s="22"/>
      <c r="J3962" s="22"/>
      <c r="K3962" s="24"/>
      <c r="M3962" s="21"/>
      <c r="N3962" s="22"/>
      <c r="O3962" s="22"/>
      <c r="P3962" s="49"/>
      <c r="Q3962" s="49"/>
      <c r="R3962" s="188" t="str">
        <f t="shared" si="129"/>
        <v/>
      </c>
      <c r="T3962" s="21"/>
      <c r="U3962" s="22"/>
      <c r="V3962" s="24"/>
      <c r="W3962" s="24"/>
      <c r="X3962" s="24"/>
      <c r="Y3962" s="24"/>
      <c r="Z3962" s="20" t="str">
        <f t="shared" si="128"/>
        <v/>
      </c>
    </row>
    <row r="3963" spans="1:26" x14ac:dyDescent="0.2">
      <c r="A3963" s="21"/>
      <c r="B3963" s="20"/>
      <c r="C3963" s="22"/>
      <c r="D3963" s="22"/>
      <c r="E3963" s="24"/>
      <c r="F3963" s="22"/>
      <c r="H3963" s="21"/>
      <c r="I3963" s="22"/>
      <c r="J3963" s="22"/>
      <c r="K3963" s="24"/>
      <c r="M3963" s="21"/>
      <c r="N3963" s="22"/>
      <c r="O3963" s="22"/>
      <c r="P3963" s="49"/>
      <c r="Q3963" s="49"/>
      <c r="R3963" s="188" t="str">
        <f t="shared" si="129"/>
        <v/>
      </c>
      <c r="T3963" s="21"/>
      <c r="U3963" s="22"/>
      <c r="V3963" s="24"/>
      <c r="W3963" s="24"/>
      <c r="X3963" s="24"/>
      <c r="Y3963" s="24"/>
      <c r="Z3963" s="20" t="str">
        <f t="shared" si="128"/>
        <v/>
      </c>
    </row>
    <row r="3964" spans="1:26" x14ac:dyDescent="0.2">
      <c r="A3964" s="21"/>
      <c r="B3964" s="20"/>
      <c r="C3964" s="22"/>
      <c r="D3964" s="22"/>
      <c r="E3964" s="24"/>
      <c r="F3964" s="22"/>
      <c r="H3964" s="21"/>
      <c r="I3964" s="22"/>
      <c r="J3964" s="22"/>
      <c r="K3964" s="24"/>
      <c r="M3964" s="21"/>
      <c r="N3964" s="22"/>
      <c r="O3964" s="22"/>
      <c r="P3964" s="49"/>
      <c r="Q3964" s="49"/>
      <c r="R3964" s="188" t="str">
        <f t="shared" si="129"/>
        <v/>
      </c>
      <c r="T3964" s="21"/>
      <c r="U3964" s="22"/>
      <c r="V3964" s="24"/>
      <c r="W3964" s="24"/>
      <c r="X3964" s="24"/>
      <c r="Y3964" s="24"/>
      <c r="Z3964" s="20" t="str">
        <f t="shared" si="128"/>
        <v/>
      </c>
    </row>
    <row r="3965" spans="1:26" x14ac:dyDescent="0.2">
      <c r="A3965" s="21"/>
      <c r="B3965" s="20"/>
      <c r="C3965" s="22"/>
      <c r="D3965" s="22"/>
      <c r="E3965" s="24"/>
      <c r="F3965" s="22"/>
      <c r="H3965" s="21"/>
      <c r="I3965" s="22"/>
      <c r="J3965" s="22"/>
      <c r="K3965" s="24"/>
      <c r="M3965" s="21"/>
      <c r="N3965" s="22"/>
      <c r="O3965" s="22"/>
      <c r="P3965" s="49"/>
      <c r="Q3965" s="49"/>
      <c r="R3965" s="188" t="str">
        <f t="shared" si="129"/>
        <v/>
      </c>
      <c r="T3965" s="21"/>
      <c r="U3965" s="22"/>
      <c r="V3965" s="24"/>
      <c r="W3965" s="24"/>
      <c r="X3965" s="24"/>
      <c r="Y3965" s="24"/>
      <c r="Z3965" s="20" t="str">
        <f t="shared" si="128"/>
        <v/>
      </c>
    </row>
    <row r="3966" spans="1:26" x14ac:dyDescent="0.2">
      <c r="A3966" s="21"/>
      <c r="B3966" s="20"/>
      <c r="C3966" s="22"/>
      <c r="D3966" s="22"/>
      <c r="E3966" s="24"/>
      <c r="F3966" s="22"/>
      <c r="H3966" s="21"/>
      <c r="I3966" s="22"/>
      <c r="J3966" s="22"/>
      <c r="K3966" s="24"/>
      <c r="M3966" s="21"/>
      <c r="N3966" s="22"/>
      <c r="O3966" s="22"/>
      <c r="P3966" s="49"/>
      <c r="Q3966" s="49"/>
      <c r="R3966" s="188" t="str">
        <f t="shared" si="129"/>
        <v/>
      </c>
      <c r="T3966" s="21"/>
      <c r="U3966" s="22"/>
      <c r="V3966" s="24"/>
      <c r="W3966" s="24"/>
      <c r="X3966" s="24"/>
      <c r="Y3966" s="24"/>
      <c r="Z3966" s="20" t="str">
        <f t="shared" si="128"/>
        <v/>
      </c>
    </row>
    <row r="3967" spans="1:26" x14ac:dyDescent="0.2">
      <c r="A3967" s="21"/>
      <c r="B3967" s="20"/>
      <c r="C3967" s="22"/>
      <c r="D3967" s="22"/>
      <c r="E3967" s="24"/>
      <c r="F3967" s="22"/>
      <c r="H3967" s="21"/>
      <c r="I3967" s="22"/>
      <c r="J3967" s="22"/>
      <c r="K3967" s="24"/>
      <c r="M3967" s="21"/>
      <c r="N3967" s="22"/>
      <c r="O3967" s="22"/>
      <c r="P3967" s="49"/>
      <c r="Q3967" s="49"/>
      <c r="R3967" s="188" t="str">
        <f t="shared" si="129"/>
        <v/>
      </c>
      <c r="T3967" s="21"/>
      <c r="U3967" s="22"/>
      <c r="V3967" s="24"/>
      <c r="W3967" s="24"/>
      <c r="X3967" s="24"/>
      <c r="Y3967" s="24"/>
      <c r="Z3967" s="20" t="str">
        <f t="shared" si="128"/>
        <v/>
      </c>
    </row>
    <row r="3968" spans="1:26" x14ac:dyDescent="0.2">
      <c r="A3968" s="21"/>
      <c r="B3968" s="20"/>
      <c r="C3968" s="22"/>
      <c r="D3968" s="22"/>
      <c r="E3968" s="24"/>
      <c r="F3968" s="22"/>
      <c r="H3968" s="21"/>
      <c r="I3968" s="22"/>
      <c r="J3968" s="22"/>
      <c r="K3968" s="24"/>
      <c r="M3968" s="21"/>
      <c r="N3968" s="22"/>
      <c r="O3968" s="22"/>
      <c r="P3968" s="49"/>
      <c r="Q3968" s="49"/>
      <c r="R3968" s="188" t="str">
        <f t="shared" si="129"/>
        <v/>
      </c>
      <c r="T3968" s="21"/>
      <c r="U3968" s="22"/>
      <c r="V3968" s="24"/>
      <c r="W3968" s="24"/>
      <c r="X3968" s="24"/>
      <c r="Y3968" s="24"/>
      <c r="Z3968" s="20" t="str">
        <f t="shared" si="128"/>
        <v/>
      </c>
    </row>
    <row r="3969" spans="1:26" x14ac:dyDescent="0.2">
      <c r="A3969" s="21"/>
      <c r="B3969" s="20"/>
      <c r="C3969" s="22"/>
      <c r="D3969" s="22"/>
      <c r="E3969" s="24"/>
      <c r="F3969" s="22"/>
      <c r="H3969" s="21"/>
      <c r="I3969" s="22"/>
      <c r="J3969" s="22"/>
      <c r="K3969" s="24"/>
      <c r="M3969" s="21"/>
      <c r="N3969" s="22"/>
      <c r="O3969" s="22"/>
      <c r="P3969" s="49"/>
      <c r="Q3969" s="49"/>
      <c r="R3969" s="188" t="str">
        <f t="shared" si="129"/>
        <v/>
      </c>
      <c r="T3969" s="21"/>
      <c r="U3969" s="22"/>
      <c r="V3969" s="24"/>
      <c r="W3969" s="24"/>
      <c r="X3969" s="24"/>
      <c r="Y3969" s="24"/>
      <c r="Z3969" s="20" t="str">
        <f t="shared" si="128"/>
        <v/>
      </c>
    </row>
    <row r="3970" spans="1:26" x14ac:dyDescent="0.2">
      <c r="A3970" s="21"/>
      <c r="B3970" s="20"/>
      <c r="C3970" s="22"/>
      <c r="D3970" s="22"/>
      <c r="E3970" s="24"/>
      <c r="F3970" s="22"/>
      <c r="H3970" s="21"/>
      <c r="I3970" s="22"/>
      <c r="J3970" s="22"/>
      <c r="K3970" s="24"/>
      <c r="M3970" s="21"/>
      <c r="N3970" s="22"/>
      <c r="O3970" s="22"/>
      <c r="P3970" s="49"/>
      <c r="Q3970" s="49"/>
      <c r="R3970" s="188" t="str">
        <f t="shared" si="129"/>
        <v/>
      </c>
      <c r="T3970" s="21"/>
      <c r="U3970" s="22"/>
      <c r="V3970" s="24"/>
      <c r="W3970" s="24"/>
      <c r="X3970" s="24"/>
      <c r="Y3970" s="24"/>
      <c r="Z3970" s="20" t="str">
        <f t="shared" si="128"/>
        <v/>
      </c>
    </row>
    <row r="3971" spans="1:26" x14ac:dyDescent="0.2">
      <c r="A3971" s="21"/>
      <c r="B3971" s="20"/>
      <c r="C3971" s="22"/>
      <c r="D3971" s="22"/>
      <c r="E3971" s="24"/>
      <c r="F3971" s="22"/>
      <c r="H3971" s="21"/>
      <c r="I3971" s="22"/>
      <c r="J3971" s="22"/>
      <c r="K3971" s="24"/>
      <c r="M3971" s="21"/>
      <c r="N3971" s="22"/>
      <c r="O3971" s="22"/>
      <c r="P3971" s="49"/>
      <c r="Q3971" s="49"/>
      <c r="R3971" s="188" t="str">
        <f t="shared" si="129"/>
        <v/>
      </c>
      <c r="T3971" s="21"/>
      <c r="U3971" s="22"/>
      <c r="V3971" s="24"/>
      <c r="W3971" s="24"/>
      <c r="X3971" s="24"/>
      <c r="Y3971" s="24"/>
      <c r="Z3971" s="20" t="str">
        <f t="shared" si="128"/>
        <v/>
      </c>
    </row>
    <row r="3972" spans="1:26" x14ac:dyDescent="0.2">
      <c r="A3972" s="21"/>
      <c r="B3972" s="20"/>
      <c r="C3972" s="22"/>
      <c r="D3972" s="22"/>
      <c r="E3972" s="24"/>
      <c r="F3972" s="22"/>
      <c r="H3972" s="21"/>
      <c r="I3972" s="22"/>
      <c r="J3972" s="22"/>
      <c r="K3972" s="24"/>
      <c r="M3972" s="21"/>
      <c r="N3972" s="22"/>
      <c r="O3972" s="22"/>
      <c r="P3972" s="49"/>
      <c r="Q3972" s="49"/>
      <c r="R3972" s="188" t="str">
        <f t="shared" si="129"/>
        <v/>
      </c>
      <c r="T3972" s="21"/>
      <c r="U3972" s="22"/>
      <c r="V3972" s="24"/>
      <c r="W3972" s="24"/>
      <c r="X3972" s="24"/>
      <c r="Y3972" s="24"/>
      <c r="Z3972" s="20" t="str">
        <f t="shared" si="128"/>
        <v/>
      </c>
    </row>
    <row r="3973" spans="1:26" x14ac:dyDescent="0.2">
      <c r="A3973" s="21"/>
      <c r="B3973" s="20"/>
      <c r="C3973" s="22"/>
      <c r="D3973" s="22"/>
      <c r="E3973" s="24"/>
      <c r="F3973" s="22"/>
      <c r="H3973" s="21"/>
      <c r="I3973" s="22"/>
      <c r="J3973" s="22"/>
      <c r="K3973" s="24"/>
      <c r="M3973" s="21"/>
      <c r="N3973" s="22"/>
      <c r="O3973" s="22"/>
      <c r="P3973" s="49"/>
      <c r="Q3973" s="49"/>
      <c r="R3973" s="188" t="str">
        <f t="shared" si="129"/>
        <v/>
      </c>
      <c r="T3973" s="21"/>
      <c r="U3973" s="22"/>
      <c r="V3973" s="24"/>
      <c r="W3973" s="24"/>
      <c r="X3973" s="24"/>
      <c r="Y3973" s="24"/>
      <c r="Z3973" s="20" t="str">
        <f t="shared" si="128"/>
        <v/>
      </c>
    </row>
    <row r="3974" spans="1:26" x14ac:dyDescent="0.2">
      <c r="A3974" s="21"/>
      <c r="B3974" s="20"/>
      <c r="C3974" s="22"/>
      <c r="D3974" s="22"/>
      <c r="E3974" s="24"/>
      <c r="F3974" s="22"/>
      <c r="H3974" s="21"/>
      <c r="I3974" s="22"/>
      <c r="J3974" s="22"/>
      <c r="K3974" s="24"/>
      <c r="M3974" s="21"/>
      <c r="N3974" s="22"/>
      <c r="O3974" s="22"/>
      <c r="P3974" s="49"/>
      <c r="Q3974" s="49"/>
      <c r="R3974" s="188" t="str">
        <f t="shared" si="129"/>
        <v/>
      </c>
      <c r="T3974" s="21"/>
      <c r="U3974" s="22"/>
      <c r="V3974" s="24"/>
      <c r="W3974" s="24"/>
      <c r="X3974" s="24"/>
      <c r="Y3974" s="24"/>
      <c r="Z3974" s="20" t="str">
        <f t="shared" si="128"/>
        <v/>
      </c>
    </row>
    <row r="3975" spans="1:26" x14ac:dyDescent="0.2">
      <c r="A3975" s="21"/>
      <c r="B3975" s="20"/>
      <c r="C3975" s="22"/>
      <c r="D3975" s="22"/>
      <c r="E3975" s="24"/>
      <c r="F3975" s="22"/>
      <c r="H3975" s="21"/>
      <c r="I3975" s="22"/>
      <c r="J3975" s="22"/>
      <c r="K3975" s="24"/>
      <c r="M3975" s="21"/>
      <c r="N3975" s="22"/>
      <c r="O3975" s="22"/>
      <c r="P3975" s="49"/>
      <c r="Q3975" s="49"/>
      <c r="R3975" s="188" t="str">
        <f t="shared" si="129"/>
        <v/>
      </c>
      <c r="T3975" s="21"/>
      <c r="U3975" s="22"/>
      <c r="V3975" s="24"/>
      <c r="W3975" s="24"/>
      <c r="X3975" s="24"/>
      <c r="Y3975" s="24"/>
      <c r="Z3975" s="20" t="str">
        <f t="shared" si="128"/>
        <v/>
      </c>
    </row>
    <row r="3976" spans="1:26" x14ac:dyDescent="0.2">
      <c r="A3976" s="21"/>
      <c r="B3976" s="20"/>
      <c r="C3976" s="22"/>
      <c r="D3976" s="22"/>
      <c r="E3976" s="24"/>
      <c r="F3976" s="22"/>
      <c r="H3976" s="21"/>
      <c r="I3976" s="22"/>
      <c r="J3976" s="22"/>
      <c r="K3976" s="24"/>
      <c r="M3976" s="21"/>
      <c r="N3976" s="22"/>
      <c r="O3976" s="22"/>
      <c r="P3976" s="49"/>
      <c r="Q3976" s="49"/>
      <c r="R3976" s="188" t="str">
        <f t="shared" si="129"/>
        <v/>
      </c>
      <c r="T3976" s="21"/>
      <c r="U3976" s="22"/>
      <c r="V3976" s="24"/>
      <c r="W3976" s="24"/>
      <c r="X3976" s="24"/>
      <c r="Y3976" s="24"/>
      <c r="Z3976" s="20" t="str">
        <f t="shared" si="128"/>
        <v/>
      </c>
    </row>
    <row r="3977" spans="1:26" x14ac:dyDescent="0.2">
      <c r="A3977" s="21"/>
      <c r="B3977" s="20"/>
      <c r="C3977" s="22"/>
      <c r="D3977" s="22"/>
      <c r="E3977" s="24"/>
      <c r="F3977" s="22"/>
      <c r="H3977" s="21"/>
      <c r="I3977" s="22"/>
      <c r="J3977" s="22"/>
      <c r="K3977" s="24"/>
      <c r="M3977" s="21"/>
      <c r="N3977" s="22"/>
      <c r="O3977" s="22"/>
      <c r="P3977" s="49"/>
      <c r="Q3977" s="49"/>
      <c r="R3977" s="188" t="str">
        <f t="shared" si="129"/>
        <v/>
      </c>
      <c r="T3977" s="21"/>
      <c r="U3977" s="22"/>
      <c r="V3977" s="24"/>
      <c r="W3977" s="24"/>
      <c r="X3977" s="24"/>
      <c r="Y3977" s="24"/>
      <c r="Z3977" s="20" t="str">
        <f t="shared" si="128"/>
        <v/>
      </c>
    </row>
    <row r="3978" spans="1:26" x14ac:dyDescent="0.2">
      <c r="A3978" s="21"/>
      <c r="B3978" s="20"/>
      <c r="C3978" s="22"/>
      <c r="D3978" s="22"/>
      <c r="E3978" s="24"/>
      <c r="F3978" s="22"/>
      <c r="H3978" s="21"/>
      <c r="I3978" s="22"/>
      <c r="J3978" s="22"/>
      <c r="K3978" s="24"/>
      <c r="M3978" s="21"/>
      <c r="N3978" s="22"/>
      <c r="O3978" s="22"/>
      <c r="P3978" s="49"/>
      <c r="Q3978" s="49"/>
      <c r="R3978" s="188" t="str">
        <f t="shared" si="129"/>
        <v/>
      </c>
      <c r="T3978" s="21"/>
      <c r="U3978" s="22"/>
      <c r="V3978" s="24"/>
      <c r="W3978" s="24"/>
      <c r="X3978" s="24"/>
      <c r="Y3978" s="24"/>
      <c r="Z3978" s="20" t="str">
        <f t="shared" si="128"/>
        <v/>
      </c>
    </row>
    <row r="3979" spans="1:26" x14ac:dyDescent="0.2">
      <c r="A3979" s="21"/>
      <c r="B3979" s="20"/>
      <c r="C3979" s="22"/>
      <c r="D3979" s="22"/>
      <c r="E3979" s="24"/>
      <c r="F3979" s="22"/>
      <c r="H3979" s="21"/>
      <c r="I3979" s="22"/>
      <c r="J3979" s="22"/>
      <c r="K3979" s="24"/>
      <c r="M3979" s="21"/>
      <c r="N3979" s="22"/>
      <c r="O3979" s="22"/>
      <c r="P3979" s="49"/>
      <c r="Q3979" s="49"/>
      <c r="R3979" s="188" t="str">
        <f t="shared" si="129"/>
        <v/>
      </c>
      <c r="T3979" s="21"/>
      <c r="U3979" s="22"/>
      <c r="V3979" s="24"/>
      <c r="W3979" s="24"/>
      <c r="X3979" s="24"/>
      <c r="Y3979" s="24"/>
      <c r="Z3979" s="20" t="str">
        <f t="shared" si="128"/>
        <v/>
      </c>
    </row>
    <row r="3980" spans="1:26" x14ac:dyDescent="0.2">
      <c r="A3980" s="21"/>
      <c r="B3980" s="20"/>
      <c r="C3980" s="22"/>
      <c r="D3980" s="22"/>
      <c r="E3980" s="24"/>
      <c r="F3980" s="22"/>
      <c r="H3980" s="21"/>
      <c r="I3980" s="22"/>
      <c r="J3980" s="22"/>
      <c r="K3980" s="24"/>
      <c r="M3980" s="21"/>
      <c r="N3980" s="22"/>
      <c r="O3980" s="22"/>
      <c r="P3980" s="49"/>
      <c r="Q3980" s="49"/>
      <c r="R3980" s="188" t="str">
        <f t="shared" si="129"/>
        <v/>
      </c>
      <c r="T3980" s="21"/>
      <c r="U3980" s="22"/>
      <c r="V3980" s="24"/>
      <c r="W3980" s="24"/>
      <c r="X3980" s="24"/>
      <c r="Y3980" s="24"/>
      <c r="Z3980" s="20" t="str">
        <f t="shared" si="128"/>
        <v/>
      </c>
    </row>
    <row r="3981" spans="1:26" x14ac:dyDescent="0.2">
      <c r="A3981" s="21"/>
      <c r="B3981" s="20"/>
      <c r="C3981" s="22"/>
      <c r="D3981" s="22"/>
      <c r="E3981" s="24"/>
      <c r="F3981" s="22"/>
      <c r="H3981" s="21"/>
      <c r="I3981" s="22"/>
      <c r="J3981" s="22"/>
      <c r="K3981" s="24"/>
      <c r="M3981" s="21"/>
      <c r="N3981" s="22"/>
      <c r="O3981" s="22"/>
      <c r="P3981" s="49"/>
      <c r="Q3981" s="49"/>
      <c r="R3981" s="188" t="str">
        <f t="shared" si="129"/>
        <v/>
      </c>
      <c r="T3981" s="21"/>
      <c r="U3981" s="22"/>
      <c r="V3981" s="24"/>
      <c r="W3981" s="24"/>
      <c r="X3981" s="24"/>
      <c r="Y3981" s="24"/>
      <c r="Z3981" s="20" t="str">
        <f t="shared" si="128"/>
        <v/>
      </c>
    </row>
    <row r="3982" spans="1:26" x14ac:dyDescent="0.2">
      <c r="A3982" s="21"/>
      <c r="B3982" s="20"/>
      <c r="C3982" s="22"/>
      <c r="D3982" s="22"/>
      <c r="E3982" s="24"/>
      <c r="F3982" s="22"/>
      <c r="H3982" s="21"/>
      <c r="I3982" s="22"/>
      <c r="J3982" s="22"/>
      <c r="K3982" s="24"/>
      <c r="M3982" s="21"/>
      <c r="N3982" s="22"/>
      <c r="O3982" s="22"/>
      <c r="P3982" s="49"/>
      <c r="Q3982" s="49"/>
      <c r="R3982" s="188" t="str">
        <f t="shared" si="129"/>
        <v/>
      </c>
      <c r="T3982" s="21"/>
      <c r="U3982" s="22"/>
      <c r="V3982" s="24"/>
      <c r="W3982" s="24"/>
      <c r="X3982" s="24"/>
      <c r="Y3982" s="24"/>
      <c r="Z3982" s="20" t="str">
        <f t="shared" si="128"/>
        <v/>
      </c>
    </row>
    <row r="3983" spans="1:26" x14ac:dyDescent="0.2">
      <c r="A3983" s="21"/>
      <c r="B3983" s="20"/>
      <c r="C3983" s="22"/>
      <c r="D3983" s="22"/>
      <c r="E3983" s="24"/>
      <c r="F3983" s="22"/>
      <c r="H3983" s="21"/>
      <c r="I3983" s="22"/>
      <c r="J3983" s="22"/>
      <c r="K3983" s="24"/>
      <c r="M3983" s="21"/>
      <c r="N3983" s="22"/>
      <c r="O3983" s="22"/>
      <c r="P3983" s="49"/>
      <c r="Q3983" s="49"/>
      <c r="R3983" s="188" t="str">
        <f t="shared" si="129"/>
        <v/>
      </c>
      <c r="T3983" s="21"/>
      <c r="U3983" s="22"/>
      <c r="V3983" s="24"/>
      <c r="W3983" s="24"/>
      <c r="X3983" s="24"/>
      <c r="Y3983" s="24"/>
      <c r="Z3983" s="20" t="str">
        <f t="shared" si="128"/>
        <v/>
      </c>
    </row>
    <row r="3984" spans="1:26" x14ac:dyDescent="0.2">
      <c r="A3984" s="21"/>
      <c r="B3984" s="20"/>
      <c r="C3984" s="22"/>
      <c r="D3984" s="22"/>
      <c r="E3984" s="24"/>
      <c r="F3984" s="22"/>
      <c r="H3984" s="21"/>
      <c r="I3984" s="22"/>
      <c r="J3984" s="22"/>
      <c r="K3984" s="24"/>
      <c r="M3984" s="21"/>
      <c r="N3984" s="22"/>
      <c r="O3984" s="22"/>
      <c r="P3984" s="49"/>
      <c r="Q3984" s="49"/>
      <c r="R3984" s="188" t="str">
        <f t="shared" si="129"/>
        <v/>
      </c>
      <c r="T3984" s="21"/>
      <c r="U3984" s="22"/>
      <c r="V3984" s="24"/>
      <c r="W3984" s="24"/>
      <c r="X3984" s="24"/>
      <c r="Y3984" s="24"/>
      <c r="Z3984" s="20" t="str">
        <f t="shared" si="128"/>
        <v/>
      </c>
    </row>
    <row r="3985" spans="1:26" x14ac:dyDescent="0.2">
      <c r="A3985" s="21"/>
      <c r="B3985" s="20"/>
      <c r="C3985" s="22"/>
      <c r="D3985" s="22"/>
      <c r="E3985" s="24"/>
      <c r="F3985" s="22"/>
      <c r="H3985" s="21"/>
      <c r="I3985" s="22"/>
      <c r="J3985" s="22"/>
      <c r="K3985" s="24"/>
      <c r="M3985" s="21"/>
      <c r="N3985" s="22"/>
      <c r="O3985" s="22"/>
      <c r="P3985" s="49"/>
      <c r="Q3985" s="49"/>
      <c r="R3985" s="188" t="str">
        <f t="shared" si="129"/>
        <v/>
      </c>
      <c r="T3985" s="21"/>
      <c r="U3985" s="22"/>
      <c r="V3985" s="24"/>
      <c r="W3985" s="24"/>
      <c r="X3985" s="24"/>
      <c r="Y3985" s="24"/>
      <c r="Z3985" s="20" t="str">
        <f t="shared" si="128"/>
        <v/>
      </c>
    </row>
    <row r="3986" spans="1:26" x14ac:dyDescent="0.2">
      <c r="A3986" s="21"/>
      <c r="B3986" s="20"/>
      <c r="C3986" s="22"/>
      <c r="D3986" s="22"/>
      <c r="E3986" s="24"/>
      <c r="F3986" s="22"/>
      <c r="H3986" s="21"/>
      <c r="I3986" s="22"/>
      <c r="J3986" s="22"/>
      <c r="K3986" s="24"/>
      <c r="M3986" s="21"/>
      <c r="N3986" s="22"/>
      <c r="O3986" s="22"/>
      <c r="P3986" s="49"/>
      <c r="Q3986" s="49"/>
      <c r="R3986" s="188" t="str">
        <f t="shared" si="129"/>
        <v/>
      </c>
      <c r="T3986" s="21"/>
      <c r="U3986" s="22"/>
      <c r="V3986" s="24"/>
      <c r="W3986" s="24"/>
      <c r="X3986" s="24"/>
      <c r="Y3986" s="24"/>
      <c r="Z3986" s="20" t="str">
        <f t="shared" si="128"/>
        <v/>
      </c>
    </row>
    <row r="3987" spans="1:26" x14ac:dyDescent="0.2">
      <c r="A3987" s="21"/>
      <c r="B3987" s="20"/>
      <c r="C3987" s="22"/>
      <c r="D3987" s="22"/>
      <c r="E3987" s="24"/>
      <c r="F3987" s="22"/>
      <c r="H3987" s="21"/>
      <c r="I3987" s="22"/>
      <c r="J3987" s="22"/>
      <c r="K3987" s="24"/>
      <c r="M3987" s="21"/>
      <c r="N3987" s="22"/>
      <c r="O3987" s="22"/>
      <c r="P3987" s="49"/>
      <c r="Q3987" s="49"/>
      <c r="R3987" s="188" t="str">
        <f t="shared" si="129"/>
        <v/>
      </c>
      <c r="T3987" s="21"/>
      <c r="U3987" s="22"/>
      <c r="V3987" s="24"/>
      <c r="W3987" s="24"/>
      <c r="X3987" s="24"/>
      <c r="Y3987" s="24"/>
      <c r="Z3987" s="20" t="str">
        <f t="shared" ref="Z3987:Z4050" si="130">IF(COUNT(V3987:Y3987)=0,"",SUM(V3987:Y3987))</f>
        <v/>
      </c>
    </row>
    <row r="3988" spans="1:26" x14ac:dyDescent="0.2">
      <c r="A3988" s="21"/>
      <c r="B3988" s="20"/>
      <c r="C3988" s="22"/>
      <c r="D3988" s="22"/>
      <c r="E3988" s="24"/>
      <c r="F3988" s="22"/>
      <c r="H3988" s="21"/>
      <c r="I3988" s="22"/>
      <c r="J3988" s="22"/>
      <c r="K3988" s="24"/>
      <c r="M3988" s="21"/>
      <c r="N3988" s="22"/>
      <c r="O3988" s="22"/>
      <c r="P3988" s="49"/>
      <c r="Q3988" s="49"/>
      <c r="R3988" s="188" t="str">
        <f t="shared" si="129"/>
        <v/>
      </c>
      <c r="T3988" s="21"/>
      <c r="U3988" s="22"/>
      <c r="V3988" s="24"/>
      <c r="W3988" s="24"/>
      <c r="X3988" s="24"/>
      <c r="Y3988" s="24"/>
      <c r="Z3988" s="20" t="str">
        <f t="shared" si="130"/>
        <v/>
      </c>
    </row>
    <row r="3989" spans="1:26" x14ac:dyDescent="0.2">
      <c r="A3989" s="21"/>
      <c r="B3989" s="20"/>
      <c r="C3989" s="22"/>
      <c r="D3989" s="22"/>
      <c r="E3989" s="24"/>
      <c r="F3989" s="22"/>
      <c r="H3989" s="21"/>
      <c r="I3989" s="22"/>
      <c r="J3989" s="22"/>
      <c r="K3989" s="24"/>
      <c r="M3989" s="21"/>
      <c r="N3989" s="22"/>
      <c r="O3989" s="22"/>
      <c r="P3989" s="49"/>
      <c r="Q3989" s="49"/>
      <c r="R3989" s="188" t="str">
        <f t="shared" si="129"/>
        <v/>
      </c>
      <c r="T3989" s="21"/>
      <c r="U3989" s="22"/>
      <c r="V3989" s="24"/>
      <c r="W3989" s="24"/>
      <c r="X3989" s="24"/>
      <c r="Y3989" s="24"/>
      <c r="Z3989" s="20" t="str">
        <f t="shared" si="130"/>
        <v/>
      </c>
    </row>
    <row r="3990" spans="1:26" x14ac:dyDescent="0.2">
      <c r="A3990" s="21"/>
      <c r="B3990" s="20"/>
      <c r="C3990" s="22"/>
      <c r="D3990" s="22"/>
      <c r="E3990" s="24"/>
      <c r="F3990" s="22"/>
      <c r="H3990" s="21"/>
      <c r="I3990" s="22"/>
      <c r="J3990" s="22"/>
      <c r="K3990" s="24"/>
      <c r="M3990" s="21"/>
      <c r="N3990" s="22"/>
      <c r="O3990" s="22"/>
      <c r="P3990" s="49"/>
      <c r="Q3990" s="49"/>
      <c r="R3990" s="188" t="str">
        <f t="shared" ref="R3990:R4053" si="131">IF(OR(P3990="",Q3990=""),"",IFERROR(P3990-Q3990,""))</f>
        <v/>
      </c>
      <c r="T3990" s="21"/>
      <c r="U3990" s="22"/>
      <c r="V3990" s="24"/>
      <c r="W3990" s="24"/>
      <c r="X3990" s="24"/>
      <c r="Y3990" s="24"/>
      <c r="Z3990" s="20" t="str">
        <f t="shared" si="130"/>
        <v/>
      </c>
    </row>
    <row r="3991" spans="1:26" x14ac:dyDescent="0.2">
      <c r="A3991" s="21"/>
      <c r="B3991" s="20"/>
      <c r="C3991" s="22"/>
      <c r="D3991" s="22"/>
      <c r="E3991" s="24"/>
      <c r="F3991" s="22"/>
      <c r="H3991" s="21"/>
      <c r="I3991" s="22"/>
      <c r="J3991" s="22"/>
      <c r="K3991" s="24"/>
      <c r="M3991" s="21"/>
      <c r="N3991" s="22"/>
      <c r="O3991" s="22"/>
      <c r="P3991" s="49"/>
      <c r="Q3991" s="49"/>
      <c r="R3991" s="188" t="str">
        <f t="shared" si="131"/>
        <v/>
      </c>
      <c r="T3991" s="21"/>
      <c r="U3991" s="22"/>
      <c r="V3991" s="24"/>
      <c r="W3991" s="24"/>
      <c r="X3991" s="24"/>
      <c r="Y3991" s="24"/>
      <c r="Z3991" s="20" t="str">
        <f t="shared" si="130"/>
        <v/>
      </c>
    </row>
    <row r="3992" spans="1:26" x14ac:dyDescent="0.2">
      <c r="A3992" s="21"/>
      <c r="B3992" s="20"/>
      <c r="C3992" s="22"/>
      <c r="D3992" s="22"/>
      <c r="E3992" s="24"/>
      <c r="F3992" s="22"/>
      <c r="H3992" s="21"/>
      <c r="I3992" s="22"/>
      <c r="J3992" s="22"/>
      <c r="K3992" s="24"/>
      <c r="M3992" s="21"/>
      <c r="N3992" s="22"/>
      <c r="O3992" s="22"/>
      <c r="P3992" s="49"/>
      <c r="Q3992" s="49"/>
      <c r="R3992" s="188" t="str">
        <f t="shared" si="131"/>
        <v/>
      </c>
      <c r="T3992" s="21"/>
      <c r="U3992" s="22"/>
      <c r="V3992" s="24"/>
      <c r="W3992" s="24"/>
      <c r="X3992" s="24"/>
      <c r="Y3992" s="24"/>
      <c r="Z3992" s="20" t="str">
        <f t="shared" si="130"/>
        <v/>
      </c>
    </row>
    <row r="3993" spans="1:26" x14ac:dyDescent="0.2">
      <c r="A3993" s="21"/>
      <c r="B3993" s="20"/>
      <c r="C3993" s="22"/>
      <c r="D3993" s="22"/>
      <c r="E3993" s="24"/>
      <c r="F3993" s="22"/>
      <c r="H3993" s="21"/>
      <c r="I3993" s="22"/>
      <c r="J3993" s="22"/>
      <c r="K3993" s="24"/>
      <c r="M3993" s="21"/>
      <c r="N3993" s="22"/>
      <c r="O3993" s="22"/>
      <c r="P3993" s="49"/>
      <c r="Q3993" s="49"/>
      <c r="R3993" s="188" t="str">
        <f t="shared" si="131"/>
        <v/>
      </c>
      <c r="T3993" s="21"/>
      <c r="U3993" s="22"/>
      <c r="V3993" s="24"/>
      <c r="W3993" s="24"/>
      <c r="X3993" s="24"/>
      <c r="Y3993" s="24"/>
      <c r="Z3993" s="20" t="str">
        <f t="shared" si="130"/>
        <v/>
      </c>
    </row>
    <row r="3994" spans="1:26" x14ac:dyDescent="0.2">
      <c r="A3994" s="21"/>
      <c r="B3994" s="20"/>
      <c r="C3994" s="22"/>
      <c r="D3994" s="22"/>
      <c r="E3994" s="24"/>
      <c r="F3994" s="22"/>
      <c r="H3994" s="21"/>
      <c r="I3994" s="22"/>
      <c r="J3994" s="22"/>
      <c r="K3994" s="24"/>
      <c r="M3994" s="21"/>
      <c r="N3994" s="22"/>
      <c r="O3994" s="22"/>
      <c r="P3994" s="49"/>
      <c r="Q3994" s="49"/>
      <c r="R3994" s="188" t="str">
        <f t="shared" si="131"/>
        <v/>
      </c>
      <c r="T3994" s="21"/>
      <c r="U3994" s="22"/>
      <c r="V3994" s="24"/>
      <c r="W3994" s="24"/>
      <c r="X3994" s="24"/>
      <c r="Y3994" s="24"/>
      <c r="Z3994" s="20" t="str">
        <f t="shared" si="130"/>
        <v/>
      </c>
    </row>
    <row r="3995" spans="1:26" x14ac:dyDescent="0.2">
      <c r="A3995" s="21"/>
      <c r="B3995" s="20"/>
      <c r="C3995" s="22"/>
      <c r="D3995" s="22"/>
      <c r="E3995" s="24"/>
      <c r="F3995" s="22"/>
      <c r="H3995" s="21"/>
      <c r="I3995" s="22"/>
      <c r="J3995" s="22"/>
      <c r="K3995" s="24"/>
      <c r="M3995" s="21"/>
      <c r="N3995" s="22"/>
      <c r="O3995" s="22"/>
      <c r="P3995" s="49"/>
      <c r="Q3995" s="49"/>
      <c r="R3995" s="188" t="str">
        <f t="shared" si="131"/>
        <v/>
      </c>
      <c r="T3995" s="21"/>
      <c r="U3995" s="22"/>
      <c r="V3995" s="24"/>
      <c r="W3995" s="24"/>
      <c r="X3995" s="24"/>
      <c r="Y3995" s="24"/>
      <c r="Z3995" s="20" t="str">
        <f t="shared" si="130"/>
        <v/>
      </c>
    </row>
    <row r="3996" spans="1:26" x14ac:dyDescent="0.2">
      <c r="A3996" s="21"/>
      <c r="B3996" s="20"/>
      <c r="C3996" s="22"/>
      <c r="D3996" s="22"/>
      <c r="E3996" s="24"/>
      <c r="F3996" s="22"/>
      <c r="H3996" s="21"/>
      <c r="I3996" s="22"/>
      <c r="J3996" s="22"/>
      <c r="K3996" s="24"/>
      <c r="M3996" s="21"/>
      <c r="N3996" s="22"/>
      <c r="O3996" s="22"/>
      <c r="P3996" s="49"/>
      <c r="Q3996" s="49"/>
      <c r="R3996" s="188" t="str">
        <f t="shared" si="131"/>
        <v/>
      </c>
      <c r="T3996" s="21"/>
      <c r="U3996" s="22"/>
      <c r="V3996" s="24"/>
      <c r="W3996" s="24"/>
      <c r="X3996" s="24"/>
      <c r="Y3996" s="24"/>
      <c r="Z3996" s="20" t="str">
        <f t="shared" si="130"/>
        <v/>
      </c>
    </row>
    <row r="3997" spans="1:26" x14ac:dyDescent="0.2">
      <c r="A3997" s="21"/>
      <c r="B3997" s="20"/>
      <c r="C3997" s="22"/>
      <c r="D3997" s="22"/>
      <c r="E3997" s="24"/>
      <c r="F3997" s="22"/>
      <c r="H3997" s="21"/>
      <c r="I3997" s="22"/>
      <c r="J3997" s="22"/>
      <c r="K3997" s="24"/>
      <c r="M3997" s="21"/>
      <c r="N3997" s="22"/>
      <c r="O3997" s="22"/>
      <c r="P3997" s="49"/>
      <c r="Q3997" s="49"/>
      <c r="R3997" s="188" t="str">
        <f t="shared" si="131"/>
        <v/>
      </c>
      <c r="T3997" s="21"/>
      <c r="U3997" s="22"/>
      <c r="V3997" s="24"/>
      <c r="W3997" s="24"/>
      <c r="X3997" s="24"/>
      <c r="Y3997" s="24"/>
      <c r="Z3997" s="20" t="str">
        <f t="shared" si="130"/>
        <v/>
      </c>
    </row>
    <row r="3998" spans="1:26" x14ac:dyDescent="0.2">
      <c r="A3998" s="21"/>
      <c r="B3998" s="20"/>
      <c r="C3998" s="22"/>
      <c r="D3998" s="22"/>
      <c r="E3998" s="24"/>
      <c r="F3998" s="22"/>
      <c r="H3998" s="21"/>
      <c r="I3998" s="22"/>
      <c r="J3998" s="22"/>
      <c r="K3998" s="24"/>
      <c r="M3998" s="21"/>
      <c r="N3998" s="22"/>
      <c r="O3998" s="22"/>
      <c r="P3998" s="49"/>
      <c r="Q3998" s="49"/>
      <c r="R3998" s="188" t="str">
        <f t="shared" si="131"/>
        <v/>
      </c>
      <c r="T3998" s="21"/>
      <c r="U3998" s="22"/>
      <c r="V3998" s="24"/>
      <c r="W3998" s="24"/>
      <c r="X3998" s="24"/>
      <c r="Y3998" s="24"/>
      <c r="Z3998" s="20" t="str">
        <f t="shared" si="130"/>
        <v/>
      </c>
    </row>
    <row r="3999" spans="1:26" x14ac:dyDescent="0.2">
      <c r="A3999" s="21"/>
      <c r="B3999" s="20"/>
      <c r="C3999" s="22"/>
      <c r="D3999" s="22"/>
      <c r="E3999" s="24"/>
      <c r="F3999" s="22"/>
      <c r="H3999" s="21"/>
      <c r="I3999" s="22"/>
      <c r="J3999" s="22"/>
      <c r="K3999" s="24"/>
      <c r="M3999" s="21"/>
      <c r="N3999" s="22"/>
      <c r="O3999" s="22"/>
      <c r="P3999" s="49"/>
      <c r="Q3999" s="49"/>
      <c r="R3999" s="188" t="str">
        <f t="shared" si="131"/>
        <v/>
      </c>
      <c r="T3999" s="21"/>
      <c r="U3999" s="22"/>
      <c r="V3999" s="24"/>
      <c r="W3999" s="24"/>
      <c r="X3999" s="24"/>
      <c r="Y3999" s="24"/>
      <c r="Z3999" s="20" t="str">
        <f t="shared" si="130"/>
        <v/>
      </c>
    </row>
    <row r="4000" spans="1:26" x14ac:dyDescent="0.2">
      <c r="A4000" s="21"/>
      <c r="B4000" s="20"/>
      <c r="C4000" s="22"/>
      <c r="D4000" s="22"/>
      <c r="E4000" s="24"/>
      <c r="F4000" s="22"/>
      <c r="H4000" s="21"/>
      <c r="I4000" s="22"/>
      <c r="J4000" s="22"/>
      <c r="K4000" s="24"/>
      <c r="M4000" s="21"/>
      <c r="N4000" s="22"/>
      <c r="O4000" s="22"/>
      <c r="P4000" s="49"/>
      <c r="Q4000" s="49"/>
      <c r="R4000" s="188" t="str">
        <f t="shared" si="131"/>
        <v/>
      </c>
      <c r="T4000" s="21"/>
      <c r="U4000" s="22"/>
      <c r="V4000" s="24"/>
      <c r="W4000" s="24"/>
      <c r="X4000" s="24"/>
      <c r="Y4000" s="24"/>
      <c r="Z4000" s="20" t="str">
        <f t="shared" si="130"/>
        <v/>
      </c>
    </row>
    <row r="4001" spans="1:26" x14ac:dyDescent="0.2">
      <c r="A4001" s="21"/>
      <c r="B4001" s="20"/>
      <c r="C4001" s="22"/>
      <c r="D4001" s="22"/>
      <c r="E4001" s="24"/>
      <c r="F4001" s="22"/>
      <c r="H4001" s="21"/>
      <c r="I4001" s="22"/>
      <c r="J4001" s="22"/>
      <c r="K4001" s="24"/>
      <c r="M4001" s="21"/>
      <c r="N4001" s="22"/>
      <c r="O4001" s="22"/>
      <c r="P4001" s="49"/>
      <c r="Q4001" s="49"/>
      <c r="R4001" s="188" t="str">
        <f t="shared" si="131"/>
        <v/>
      </c>
      <c r="T4001" s="21"/>
      <c r="U4001" s="22"/>
      <c r="V4001" s="24"/>
      <c r="W4001" s="24"/>
      <c r="X4001" s="24"/>
      <c r="Y4001" s="24"/>
      <c r="Z4001" s="20" t="str">
        <f t="shared" si="130"/>
        <v/>
      </c>
    </row>
    <row r="4002" spans="1:26" x14ac:dyDescent="0.2">
      <c r="A4002" s="21"/>
      <c r="B4002" s="20"/>
      <c r="C4002" s="22"/>
      <c r="D4002" s="22"/>
      <c r="E4002" s="24"/>
      <c r="F4002" s="22"/>
      <c r="H4002" s="21"/>
      <c r="I4002" s="22"/>
      <c r="J4002" s="22"/>
      <c r="K4002" s="24"/>
      <c r="M4002" s="21"/>
      <c r="N4002" s="22"/>
      <c r="O4002" s="22"/>
      <c r="P4002" s="49"/>
      <c r="Q4002" s="49"/>
      <c r="R4002" s="188" t="str">
        <f t="shared" si="131"/>
        <v/>
      </c>
      <c r="T4002" s="21"/>
      <c r="U4002" s="22"/>
      <c r="V4002" s="24"/>
      <c r="W4002" s="24"/>
      <c r="X4002" s="24"/>
      <c r="Y4002" s="24"/>
      <c r="Z4002" s="20" t="str">
        <f t="shared" si="130"/>
        <v/>
      </c>
    </row>
    <row r="4003" spans="1:26" x14ac:dyDescent="0.2">
      <c r="A4003" s="21"/>
      <c r="B4003" s="20"/>
      <c r="C4003" s="22"/>
      <c r="D4003" s="22"/>
      <c r="E4003" s="24"/>
      <c r="F4003" s="22"/>
      <c r="H4003" s="21"/>
      <c r="I4003" s="22"/>
      <c r="J4003" s="22"/>
      <c r="K4003" s="24"/>
      <c r="M4003" s="21"/>
      <c r="N4003" s="22"/>
      <c r="O4003" s="22"/>
      <c r="P4003" s="49"/>
      <c r="Q4003" s="49"/>
      <c r="R4003" s="188" t="str">
        <f t="shared" si="131"/>
        <v/>
      </c>
      <c r="T4003" s="21"/>
      <c r="U4003" s="22"/>
      <c r="V4003" s="24"/>
      <c r="W4003" s="24"/>
      <c r="X4003" s="24"/>
      <c r="Y4003" s="24"/>
      <c r="Z4003" s="20" t="str">
        <f t="shared" si="130"/>
        <v/>
      </c>
    </row>
    <row r="4004" spans="1:26" x14ac:dyDescent="0.2">
      <c r="A4004" s="21"/>
      <c r="B4004" s="20"/>
      <c r="C4004" s="22"/>
      <c r="D4004" s="22"/>
      <c r="E4004" s="24"/>
      <c r="F4004" s="22"/>
      <c r="H4004" s="21"/>
      <c r="I4004" s="22"/>
      <c r="J4004" s="22"/>
      <c r="K4004" s="24"/>
      <c r="M4004" s="21"/>
      <c r="N4004" s="22"/>
      <c r="O4004" s="22"/>
      <c r="P4004" s="49"/>
      <c r="Q4004" s="49"/>
      <c r="R4004" s="188" t="str">
        <f t="shared" si="131"/>
        <v/>
      </c>
      <c r="T4004" s="21"/>
      <c r="U4004" s="22"/>
      <c r="V4004" s="24"/>
      <c r="W4004" s="24"/>
      <c r="X4004" s="24"/>
      <c r="Y4004" s="24"/>
      <c r="Z4004" s="20" t="str">
        <f t="shared" si="130"/>
        <v/>
      </c>
    </row>
    <row r="4005" spans="1:26" x14ac:dyDescent="0.2">
      <c r="A4005" s="21"/>
      <c r="B4005" s="20"/>
      <c r="C4005" s="22"/>
      <c r="D4005" s="22"/>
      <c r="E4005" s="24"/>
      <c r="F4005" s="22"/>
      <c r="H4005" s="21"/>
      <c r="I4005" s="22"/>
      <c r="J4005" s="22"/>
      <c r="K4005" s="24"/>
      <c r="M4005" s="21"/>
      <c r="N4005" s="22"/>
      <c r="O4005" s="22"/>
      <c r="P4005" s="49"/>
      <c r="Q4005" s="49"/>
      <c r="R4005" s="188" t="str">
        <f t="shared" si="131"/>
        <v/>
      </c>
      <c r="T4005" s="21"/>
      <c r="U4005" s="22"/>
      <c r="V4005" s="24"/>
      <c r="W4005" s="24"/>
      <c r="X4005" s="24"/>
      <c r="Y4005" s="24"/>
      <c r="Z4005" s="20" t="str">
        <f t="shared" si="130"/>
        <v/>
      </c>
    </row>
    <row r="4006" spans="1:26" x14ac:dyDescent="0.2">
      <c r="A4006" s="21"/>
      <c r="B4006" s="20"/>
      <c r="C4006" s="22"/>
      <c r="D4006" s="22"/>
      <c r="E4006" s="24"/>
      <c r="F4006" s="22"/>
      <c r="H4006" s="21"/>
      <c r="I4006" s="22"/>
      <c r="J4006" s="22"/>
      <c r="K4006" s="24"/>
      <c r="M4006" s="21"/>
      <c r="N4006" s="22"/>
      <c r="O4006" s="22"/>
      <c r="P4006" s="49"/>
      <c r="Q4006" s="49"/>
      <c r="R4006" s="188" t="str">
        <f t="shared" si="131"/>
        <v/>
      </c>
      <c r="T4006" s="21"/>
      <c r="U4006" s="22"/>
      <c r="V4006" s="24"/>
      <c r="W4006" s="24"/>
      <c r="X4006" s="24"/>
      <c r="Y4006" s="24"/>
      <c r="Z4006" s="20" t="str">
        <f t="shared" si="130"/>
        <v/>
      </c>
    </row>
    <row r="4007" spans="1:26" x14ac:dyDescent="0.2">
      <c r="A4007" s="21"/>
      <c r="B4007" s="20"/>
      <c r="C4007" s="22"/>
      <c r="D4007" s="22"/>
      <c r="E4007" s="24"/>
      <c r="F4007" s="22"/>
      <c r="H4007" s="21"/>
      <c r="I4007" s="22"/>
      <c r="J4007" s="22"/>
      <c r="K4007" s="24"/>
      <c r="M4007" s="21"/>
      <c r="N4007" s="22"/>
      <c r="O4007" s="22"/>
      <c r="P4007" s="49"/>
      <c r="Q4007" s="49"/>
      <c r="R4007" s="188" t="str">
        <f t="shared" si="131"/>
        <v/>
      </c>
      <c r="T4007" s="21"/>
      <c r="U4007" s="22"/>
      <c r="V4007" s="24"/>
      <c r="W4007" s="24"/>
      <c r="X4007" s="24"/>
      <c r="Y4007" s="24"/>
      <c r="Z4007" s="20" t="str">
        <f t="shared" si="130"/>
        <v/>
      </c>
    </row>
    <row r="4008" spans="1:26" x14ac:dyDescent="0.2">
      <c r="A4008" s="21"/>
      <c r="B4008" s="20"/>
      <c r="C4008" s="22"/>
      <c r="D4008" s="22"/>
      <c r="E4008" s="24"/>
      <c r="F4008" s="22"/>
      <c r="H4008" s="21"/>
      <c r="I4008" s="22"/>
      <c r="J4008" s="22"/>
      <c r="K4008" s="24"/>
      <c r="M4008" s="21"/>
      <c r="N4008" s="22"/>
      <c r="O4008" s="22"/>
      <c r="P4008" s="49"/>
      <c r="Q4008" s="49"/>
      <c r="R4008" s="188" t="str">
        <f t="shared" si="131"/>
        <v/>
      </c>
      <c r="T4008" s="21"/>
      <c r="U4008" s="22"/>
      <c r="V4008" s="24"/>
      <c r="W4008" s="24"/>
      <c r="X4008" s="24"/>
      <c r="Y4008" s="24"/>
      <c r="Z4008" s="20" t="str">
        <f t="shared" si="130"/>
        <v/>
      </c>
    </row>
    <row r="4009" spans="1:26" x14ac:dyDescent="0.2">
      <c r="A4009" s="21"/>
      <c r="B4009" s="20"/>
      <c r="C4009" s="22"/>
      <c r="D4009" s="22"/>
      <c r="E4009" s="24"/>
      <c r="F4009" s="22"/>
      <c r="H4009" s="21"/>
      <c r="I4009" s="22"/>
      <c r="J4009" s="22"/>
      <c r="K4009" s="24"/>
      <c r="M4009" s="21"/>
      <c r="N4009" s="22"/>
      <c r="O4009" s="22"/>
      <c r="P4009" s="49"/>
      <c r="Q4009" s="49"/>
      <c r="R4009" s="188" t="str">
        <f t="shared" si="131"/>
        <v/>
      </c>
      <c r="T4009" s="21"/>
      <c r="U4009" s="22"/>
      <c r="V4009" s="24"/>
      <c r="W4009" s="24"/>
      <c r="X4009" s="24"/>
      <c r="Y4009" s="24"/>
      <c r="Z4009" s="20" t="str">
        <f t="shared" si="130"/>
        <v/>
      </c>
    </row>
    <row r="4010" spans="1:26" x14ac:dyDescent="0.2">
      <c r="A4010" s="21"/>
      <c r="B4010" s="20"/>
      <c r="C4010" s="22"/>
      <c r="D4010" s="22"/>
      <c r="E4010" s="24"/>
      <c r="F4010" s="22"/>
      <c r="H4010" s="21"/>
      <c r="I4010" s="22"/>
      <c r="J4010" s="22"/>
      <c r="K4010" s="24"/>
      <c r="M4010" s="21"/>
      <c r="N4010" s="22"/>
      <c r="O4010" s="22"/>
      <c r="P4010" s="49"/>
      <c r="Q4010" s="49"/>
      <c r="R4010" s="188" t="str">
        <f t="shared" si="131"/>
        <v/>
      </c>
      <c r="T4010" s="21"/>
      <c r="U4010" s="22"/>
      <c r="V4010" s="24"/>
      <c r="W4010" s="24"/>
      <c r="X4010" s="24"/>
      <c r="Y4010" s="24"/>
      <c r="Z4010" s="20" t="str">
        <f t="shared" si="130"/>
        <v/>
      </c>
    </row>
    <row r="4011" spans="1:26" x14ac:dyDescent="0.2">
      <c r="A4011" s="21"/>
      <c r="B4011" s="20"/>
      <c r="C4011" s="22"/>
      <c r="D4011" s="22"/>
      <c r="E4011" s="24"/>
      <c r="F4011" s="22"/>
      <c r="H4011" s="21"/>
      <c r="I4011" s="22"/>
      <c r="J4011" s="22"/>
      <c r="K4011" s="24"/>
      <c r="M4011" s="21"/>
      <c r="N4011" s="22"/>
      <c r="O4011" s="22"/>
      <c r="P4011" s="49"/>
      <c r="Q4011" s="49"/>
      <c r="R4011" s="188" t="str">
        <f t="shared" si="131"/>
        <v/>
      </c>
      <c r="T4011" s="21"/>
      <c r="U4011" s="22"/>
      <c r="V4011" s="24"/>
      <c r="W4011" s="24"/>
      <c r="X4011" s="24"/>
      <c r="Y4011" s="24"/>
      <c r="Z4011" s="20" t="str">
        <f t="shared" si="130"/>
        <v/>
      </c>
    </row>
    <row r="4012" spans="1:26" x14ac:dyDescent="0.2">
      <c r="A4012" s="21"/>
      <c r="B4012" s="20"/>
      <c r="C4012" s="22"/>
      <c r="D4012" s="22"/>
      <c r="E4012" s="24"/>
      <c r="F4012" s="22"/>
      <c r="H4012" s="21"/>
      <c r="I4012" s="22"/>
      <c r="J4012" s="22"/>
      <c r="K4012" s="24"/>
      <c r="M4012" s="21"/>
      <c r="N4012" s="22"/>
      <c r="O4012" s="22"/>
      <c r="P4012" s="49"/>
      <c r="Q4012" s="49"/>
      <c r="R4012" s="188" t="str">
        <f t="shared" si="131"/>
        <v/>
      </c>
      <c r="T4012" s="21"/>
      <c r="U4012" s="22"/>
      <c r="V4012" s="24"/>
      <c r="W4012" s="24"/>
      <c r="X4012" s="24"/>
      <c r="Y4012" s="24"/>
      <c r="Z4012" s="20" t="str">
        <f t="shared" si="130"/>
        <v/>
      </c>
    </row>
    <row r="4013" spans="1:26" x14ac:dyDescent="0.2">
      <c r="A4013" s="21"/>
      <c r="B4013" s="20"/>
      <c r="C4013" s="22"/>
      <c r="D4013" s="22"/>
      <c r="E4013" s="24"/>
      <c r="F4013" s="22"/>
      <c r="H4013" s="21"/>
      <c r="I4013" s="22"/>
      <c r="J4013" s="22"/>
      <c r="K4013" s="24"/>
      <c r="M4013" s="21"/>
      <c r="N4013" s="22"/>
      <c r="O4013" s="22"/>
      <c r="P4013" s="49"/>
      <c r="Q4013" s="49"/>
      <c r="R4013" s="188" t="str">
        <f t="shared" si="131"/>
        <v/>
      </c>
      <c r="T4013" s="21"/>
      <c r="U4013" s="22"/>
      <c r="V4013" s="24"/>
      <c r="W4013" s="24"/>
      <c r="X4013" s="24"/>
      <c r="Y4013" s="24"/>
      <c r="Z4013" s="20" t="str">
        <f t="shared" si="130"/>
        <v/>
      </c>
    </row>
    <row r="4014" spans="1:26" x14ac:dyDescent="0.2">
      <c r="A4014" s="21"/>
      <c r="B4014" s="20"/>
      <c r="C4014" s="22"/>
      <c r="D4014" s="22"/>
      <c r="E4014" s="24"/>
      <c r="F4014" s="22"/>
      <c r="H4014" s="21"/>
      <c r="I4014" s="22"/>
      <c r="J4014" s="22"/>
      <c r="K4014" s="24"/>
      <c r="M4014" s="21"/>
      <c r="N4014" s="22"/>
      <c r="O4014" s="22"/>
      <c r="P4014" s="49"/>
      <c r="Q4014" s="49"/>
      <c r="R4014" s="188" t="str">
        <f t="shared" si="131"/>
        <v/>
      </c>
      <c r="T4014" s="21"/>
      <c r="U4014" s="22"/>
      <c r="V4014" s="24"/>
      <c r="W4014" s="24"/>
      <c r="X4014" s="24"/>
      <c r="Y4014" s="24"/>
      <c r="Z4014" s="20" t="str">
        <f t="shared" si="130"/>
        <v/>
      </c>
    </row>
    <row r="4015" spans="1:26" x14ac:dyDescent="0.2">
      <c r="A4015" s="21"/>
      <c r="B4015" s="20"/>
      <c r="C4015" s="22"/>
      <c r="D4015" s="22"/>
      <c r="E4015" s="24"/>
      <c r="F4015" s="22"/>
      <c r="H4015" s="21"/>
      <c r="I4015" s="22"/>
      <c r="J4015" s="22"/>
      <c r="K4015" s="24"/>
      <c r="M4015" s="21"/>
      <c r="N4015" s="22"/>
      <c r="O4015" s="22"/>
      <c r="P4015" s="49"/>
      <c r="Q4015" s="49"/>
      <c r="R4015" s="188" t="str">
        <f t="shared" si="131"/>
        <v/>
      </c>
      <c r="T4015" s="21"/>
      <c r="U4015" s="22"/>
      <c r="V4015" s="24"/>
      <c r="W4015" s="24"/>
      <c r="X4015" s="24"/>
      <c r="Y4015" s="24"/>
      <c r="Z4015" s="20" t="str">
        <f t="shared" si="130"/>
        <v/>
      </c>
    </row>
    <row r="4016" spans="1:26" x14ac:dyDescent="0.2">
      <c r="A4016" s="21"/>
      <c r="B4016" s="20"/>
      <c r="C4016" s="22"/>
      <c r="D4016" s="22"/>
      <c r="E4016" s="24"/>
      <c r="F4016" s="22"/>
      <c r="H4016" s="21"/>
      <c r="I4016" s="22"/>
      <c r="J4016" s="22"/>
      <c r="K4016" s="24"/>
      <c r="M4016" s="21"/>
      <c r="N4016" s="22"/>
      <c r="O4016" s="22"/>
      <c r="P4016" s="49"/>
      <c r="Q4016" s="49"/>
      <c r="R4016" s="188" t="str">
        <f t="shared" si="131"/>
        <v/>
      </c>
      <c r="T4016" s="21"/>
      <c r="U4016" s="22"/>
      <c r="V4016" s="24"/>
      <c r="W4016" s="24"/>
      <c r="X4016" s="24"/>
      <c r="Y4016" s="24"/>
      <c r="Z4016" s="20" t="str">
        <f t="shared" si="130"/>
        <v/>
      </c>
    </row>
    <row r="4017" spans="1:26" x14ac:dyDescent="0.2">
      <c r="A4017" s="21"/>
      <c r="B4017" s="20"/>
      <c r="C4017" s="22"/>
      <c r="D4017" s="22"/>
      <c r="E4017" s="24"/>
      <c r="F4017" s="22"/>
      <c r="H4017" s="21"/>
      <c r="I4017" s="22"/>
      <c r="J4017" s="22"/>
      <c r="K4017" s="24"/>
      <c r="M4017" s="21"/>
      <c r="N4017" s="22"/>
      <c r="O4017" s="22"/>
      <c r="P4017" s="49"/>
      <c r="Q4017" s="49"/>
      <c r="R4017" s="188" t="str">
        <f t="shared" si="131"/>
        <v/>
      </c>
      <c r="T4017" s="21"/>
      <c r="U4017" s="22"/>
      <c r="V4017" s="24"/>
      <c r="W4017" s="24"/>
      <c r="X4017" s="24"/>
      <c r="Y4017" s="24"/>
      <c r="Z4017" s="20" t="str">
        <f t="shared" si="130"/>
        <v/>
      </c>
    </row>
    <row r="4018" spans="1:26" x14ac:dyDescent="0.2">
      <c r="A4018" s="21"/>
      <c r="B4018" s="20"/>
      <c r="C4018" s="22"/>
      <c r="D4018" s="22"/>
      <c r="E4018" s="24"/>
      <c r="F4018" s="22"/>
      <c r="H4018" s="21"/>
      <c r="I4018" s="22"/>
      <c r="J4018" s="22"/>
      <c r="K4018" s="24"/>
      <c r="M4018" s="21"/>
      <c r="N4018" s="22"/>
      <c r="O4018" s="22"/>
      <c r="P4018" s="49"/>
      <c r="Q4018" s="49"/>
      <c r="R4018" s="188" t="str">
        <f t="shared" si="131"/>
        <v/>
      </c>
      <c r="T4018" s="21"/>
      <c r="U4018" s="22"/>
      <c r="V4018" s="24"/>
      <c r="W4018" s="24"/>
      <c r="X4018" s="24"/>
      <c r="Y4018" s="24"/>
      <c r="Z4018" s="20" t="str">
        <f t="shared" si="130"/>
        <v/>
      </c>
    </row>
    <row r="4019" spans="1:26" x14ac:dyDescent="0.2">
      <c r="A4019" s="21"/>
      <c r="B4019" s="20"/>
      <c r="C4019" s="22"/>
      <c r="D4019" s="22"/>
      <c r="E4019" s="24"/>
      <c r="F4019" s="22"/>
      <c r="H4019" s="21"/>
      <c r="I4019" s="22"/>
      <c r="J4019" s="22"/>
      <c r="K4019" s="24"/>
      <c r="M4019" s="21"/>
      <c r="N4019" s="22"/>
      <c r="O4019" s="22"/>
      <c r="P4019" s="49"/>
      <c r="Q4019" s="49"/>
      <c r="R4019" s="188" t="str">
        <f t="shared" si="131"/>
        <v/>
      </c>
      <c r="T4019" s="21"/>
      <c r="U4019" s="22"/>
      <c r="V4019" s="24"/>
      <c r="W4019" s="24"/>
      <c r="X4019" s="24"/>
      <c r="Y4019" s="24"/>
      <c r="Z4019" s="20" t="str">
        <f t="shared" si="130"/>
        <v/>
      </c>
    </row>
    <row r="4020" spans="1:26" x14ac:dyDescent="0.2">
      <c r="A4020" s="21"/>
      <c r="B4020" s="20"/>
      <c r="C4020" s="22"/>
      <c r="D4020" s="22"/>
      <c r="E4020" s="24"/>
      <c r="F4020" s="22"/>
      <c r="H4020" s="21"/>
      <c r="I4020" s="22"/>
      <c r="J4020" s="22"/>
      <c r="K4020" s="24"/>
      <c r="M4020" s="21"/>
      <c r="N4020" s="22"/>
      <c r="O4020" s="22"/>
      <c r="P4020" s="49"/>
      <c r="Q4020" s="49"/>
      <c r="R4020" s="188" t="str">
        <f t="shared" si="131"/>
        <v/>
      </c>
      <c r="T4020" s="21"/>
      <c r="U4020" s="22"/>
      <c r="V4020" s="24"/>
      <c r="W4020" s="24"/>
      <c r="X4020" s="24"/>
      <c r="Y4020" s="24"/>
      <c r="Z4020" s="20" t="str">
        <f t="shared" si="130"/>
        <v/>
      </c>
    </row>
    <row r="4021" spans="1:26" x14ac:dyDescent="0.2">
      <c r="A4021" s="21"/>
      <c r="B4021" s="20"/>
      <c r="C4021" s="22"/>
      <c r="D4021" s="22"/>
      <c r="E4021" s="24"/>
      <c r="F4021" s="22"/>
      <c r="H4021" s="21"/>
      <c r="I4021" s="22"/>
      <c r="J4021" s="22"/>
      <c r="K4021" s="24"/>
      <c r="M4021" s="21"/>
      <c r="N4021" s="22"/>
      <c r="O4021" s="22"/>
      <c r="P4021" s="49"/>
      <c r="Q4021" s="49"/>
      <c r="R4021" s="188" t="str">
        <f t="shared" si="131"/>
        <v/>
      </c>
      <c r="T4021" s="21"/>
      <c r="U4021" s="22"/>
      <c r="V4021" s="24"/>
      <c r="W4021" s="24"/>
      <c r="X4021" s="24"/>
      <c r="Y4021" s="24"/>
      <c r="Z4021" s="20" t="str">
        <f t="shared" si="130"/>
        <v/>
      </c>
    </row>
    <row r="4022" spans="1:26" x14ac:dyDescent="0.2">
      <c r="A4022" s="21"/>
      <c r="B4022" s="20"/>
      <c r="C4022" s="22"/>
      <c r="D4022" s="22"/>
      <c r="E4022" s="24"/>
      <c r="F4022" s="22"/>
      <c r="H4022" s="21"/>
      <c r="I4022" s="22"/>
      <c r="J4022" s="22"/>
      <c r="K4022" s="24"/>
      <c r="M4022" s="21"/>
      <c r="N4022" s="22"/>
      <c r="O4022" s="22"/>
      <c r="P4022" s="49"/>
      <c r="Q4022" s="49"/>
      <c r="R4022" s="188" t="str">
        <f t="shared" si="131"/>
        <v/>
      </c>
      <c r="T4022" s="21"/>
      <c r="U4022" s="22"/>
      <c r="V4022" s="24"/>
      <c r="W4022" s="24"/>
      <c r="X4022" s="24"/>
      <c r="Y4022" s="24"/>
      <c r="Z4022" s="20" t="str">
        <f t="shared" si="130"/>
        <v/>
      </c>
    </row>
    <row r="4023" spans="1:26" x14ac:dyDescent="0.2">
      <c r="A4023" s="21"/>
      <c r="B4023" s="20"/>
      <c r="C4023" s="22"/>
      <c r="D4023" s="22"/>
      <c r="E4023" s="24"/>
      <c r="F4023" s="22"/>
      <c r="H4023" s="21"/>
      <c r="I4023" s="22"/>
      <c r="J4023" s="22"/>
      <c r="K4023" s="24"/>
      <c r="M4023" s="21"/>
      <c r="N4023" s="22"/>
      <c r="O4023" s="22"/>
      <c r="P4023" s="49"/>
      <c r="Q4023" s="49"/>
      <c r="R4023" s="188" t="str">
        <f t="shared" si="131"/>
        <v/>
      </c>
      <c r="T4023" s="21"/>
      <c r="U4023" s="22"/>
      <c r="V4023" s="24"/>
      <c r="W4023" s="24"/>
      <c r="X4023" s="24"/>
      <c r="Y4023" s="24"/>
      <c r="Z4023" s="20" t="str">
        <f t="shared" si="130"/>
        <v/>
      </c>
    </row>
    <row r="4024" spans="1:26" x14ac:dyDescent="0.2">
      <c r="A4024" s="21"/>
      <c r="B4024" s="20"/>
      <c r="C4024" s="22"/>
      <c r="D4024" s="22"/>
      <c r="E4024" s="24"/>
      <c r="F4024" s="22"/>
      <c r="H4024" s="21"/>
      <c r="I4024" s="22"/>
      <c r="J4024" s="22"/>
      <c r="K4024" s="24"/>
      <c r="M4024" s="21"/>
      <c r="N4024" s="22"/>
      <c r="O4024" s="22"/>
      <c r="P4024" s="49"/>
      <c r="Q4024" s="49"/>
      <c r="R4024" s="188" t="str">
        <f t="shared" si="131"/>
        <v/>
      </c>
      <c r="T4024" s="21"/>
      <c r="U4024" s="22"/>
      <c r="V4024" s="24"/>
      <c r="W4024" s="24"/>
      <c r="X4024" s="24"/>
      <c r="Y4024" s="24"/>
      <c r="Z4024" s="20" t="str">
        <f t="shared" si="130"/>
        <v/>
      </c>
    </row>
    <row r="4025" spans="1:26" x14ac:dyDescent="0.2">
      <c r="A4025" s="21"/>
      <c r="B4025" s="20"/>
      <c r="C4025" s="22"/>
      <c r="D4025" s="22"/>
      <c r="E4025" s="24"/>
      <c r="F4025" s="22"/>
      <c r="H4025" s="21"/>
      <c r="I4025" s="22"/>
      <c r="J4025" s="22"/>
      <c r="K4025" s="24"/>
      <c r="M4025" s="21"/>
      <c r="N4025" s="22"/>
      <c r="O4025" s="22"/>
      <c r="P4025" s="49"/>
      <c r="Q4025" s="49"/>
      <c r="R4025" s="188" t="str">
        <f t="shared" si="131"/>
        <v/>
      </c>
      <c r="T4025" s="21"/>
      <c r="U4025" s="22"/>
      <c r="V4025" s="24"/>
      <c r="W4025" s="24"/>
      <c r="X4025" s="24"/>
      <c r="Y4025" s="24"/>
      <c r="Z4025" s="20" t="str">
        <f t="shared" si="130"/>
        <v/>
      </c>
    </row>
    <row r="4026" spans="1:26" x14ac:dyDescent="0.2">
      <c r="A4026" s="21"/>
      <c r="B4026" s="20"/>
      <c r="C4026" s="22"/>
      <c r="D4026" s="22"/>
      <c r="E4026" s="24"/>
      <c r="F4026" s="22"/>
      <c r="H4026" s="21"/>
      <c r="I4026" s="22"/>
      <c r="J4026" s="22"/>
      <c r="K4026" s="24"/>
      <c r="M4026" s="21"/>
      <c r="N4026" s="22"/>
      <c r="O4026" s="22"/>
      <c r="P4026" s="49"/>
      <c r="Q4026" s="49"/>
      <c r="R4026" s="188" t="str">
        <f t="shared" si="131"/>
        <v/>
      </c>
      <c r="T4026" s="21"/>
      <c r="U4026" s="22"/>
      <c r="V4026" s="24"/>
      <c r="W4026" s="24"/>
      <c r="X4026" s="24"/>
      <c r="Y4026" s="24"/>
      <c r="Z4026" s="20" t="str">
        <f t="shared" si="130"/>
        <v/>
      </c>
    </row>
    <row r="4027" spans="1:26" x14ac:dyDescent="0.2">
      <c r="A4027" s="21"/>
      <c r="B4027" s="20"/>
      <c r="C4027" s="22"/>
      <c r="D4027" s="22"/>
      <c r="E4027" s="24"/>
      <c r="F4027" s="22"/>
      <c r="H4027" s="21"/>
      <c r="I4027" s="22"/>
      <c r="J4027" s="22"/>
      <c r="K4027" s="24"/>
      <c r="M4027" s="21"/>
      <c r="N4027" s="22"/>
      <c r="O4027" s="22"/>
      <c r="P4027" s="49"/>
      <c r="Q4027" s="49"/>
      <c r="R4027" s="188" t="str">
        <f t="shared" si="131"/>
        <v/>
      </c>
      <c r="T4027" s="21"/>
      <c r="U4027" s="22"/>
      <c r="V4027" s="24"/>
      <c r="W4027" s="24"/>
      <c r="X4027" s="24"/>
      <c r="Y4027" s="24"/>
      <c r="Z4027" s="20" t="str">
        <f t="shared" si="130"/>
        <v/>
      </c>
    </row>
    <row r="4028" spans="1:26" x14ac:dyDescent="0.2">
      <c r="A4028" s="21"/>
      <c r="B4028" s="20"/>
      <c r="C4028" s="22"/>
      <c r="D4028" s="22"/>
      <c r="E4028" s="24"/>
      <c r="F4028" s="22"/>
      <c r="H4028" s="21"/>
      <c r="I4028" s="22"/>
      <c r="J4028" s="22"/>
      <c r="K4028" s="24"/>
      <c r="M4028" s="21"/>
      <c r="N4028" s="22"/>
      <c r="O4028" s="22"/>
      <c r="P4028" s="49"/>
      <c r="Q4028" s="49"/>
      <c r="R4028" s="188" t="str">
        <f t="shared" si="131"/>
        <v/>
      </c>
      <c r="T4028" s="21"/>
      <c r="U4028" s="22"/>
      <c r="V4028" s="24"/>
      <c r="W4028" s="24"/>
      <c r="X4028" s="24"/>
      <c r="Y4028" s="24"/>
      <c r="Z4028" s="20" t="str">
        <f t="shared" si="130"/>
        <v/>
      </c>
    </row>
    <row r="4029" spans="1:26" x14ac:dyDescent="0.2">
      <c r="A4029" s="21"/>
      <c r="B4029" s="20"/>
      <c r="C4029" s="22"/>
      <c r="D4029" s="22"/>
      <c r="E4029" s="24"/>
      <c r="F4029" s="22"/>
      <c r="H4029" s="21"/>
      <c r="I4029" s="22"/>
      <c r="J4029" s="22"/>
      <c r="K4029" s="24"/>
      <c r="M4029" s="21"/>
      <c r="N4029" s="22"/>
      <c r="O4029" s="22"/>
      <c r="P4029" s="49"/>
      <c r="Q4029" s="49"/>
      <c r="R4029" s="188" t="str">
        <f t="shared" si="131"/>
        <v/>
      </c>
      <c r="T4029" s="21"/>
      <c r="U4029" s="22"/>
      <c r="V4029" s="24"/>
      <c r="W4029" s="24"/>
      <c r="X4029" s="24"/>
      <c r="Y4029" s="24"/>
      <c r="Z4029" s="20" t="str">
        <f t="shared" si="130"/>
        <v/>
      </c>
    </row>
    <row r="4030" spans="1:26" x14ac:dyDescent="0.2">
      <c r="A4030" s="21"/>
      <c r="B4030" s="20"/>
      <c r="C4030" s="22"/>
      <c r="D4030" s="22"/>
      <c r="E4030" s="24"/>
      <c r="F4030" s="22"/>
      <c r="H4030" s="21"/>
      <c r="I4030" s="22"/>
      <c r="J4030" s="22"/>
      <c r="K4030" s="24"/>
      <c r="M4030" s="21"/>
      <c r="N4030" s="22"/>
      <c r="O4030" s="22"/>
      <c r="P4030" s="49"/>
      <c r="Q4030" s="49"/>
      <c r="R4030" s="188" t="str">
        <f t="shared" si="131"/>
        <v/>
      </c>
      <c r="T4030" s="21"/>
      <c r="U4030" s="22"/>
      <c r="V4030" s="24"/>
      <c r="W4030" s="24"/>
      <c r="X4030" s="24"/>
      <c r="Y4030" s="24"/>
      <c r="Z4030" s="20" t="str">
        <f t="shared" si="130"/>
        <v/>
      </c>
    </row>
    <row r="4031" spans="1:26" x14ac:dyDescent="0.2">
      <c r="A4031" s="21"/>
      <c r="B4031" s="20"/>
      <c r="C4031" s="22"/>
      <c r="D4031" s="22"/>
      <c r="E4031" s="24"/>
      <c r="F4031" s="22"/>
      <c r="H4031" s="21"/>
      <c r="I4031" s="22"/>
      <c r="J4031" s="22"/>
      <c r="K4031" s="24"/>
      <c r="M4031" s="21"/>
      <c r="N4031" s="22"/>
      <c r="O4031" s="22"/>
      <c r="P4031" s="49"/>
      <c r="Q4031" s="49"/>
      <c r="R4031" s="188" t="str">
        <f t="shared" si="131"/>
        <v/>
      </c>
      <c r="T4031" s="21"/>
      <c r="U4031" s="22"/>
      <c r="V4031" s="24"/>
      <c r="W4031" s="24"/>
      <c r="X4031" s="24"/>
      <c r="Y4031" s="24"/>
      <c r="Z4031" s="20" t="str">
        <f t="shared" si="130"/>
        <v/>
      </c>
    </row>
    <row r="4032" spans="1:26" x14ac:dyDescent="0.2">
      <c r="A4032" s="21"/>
      <c r="B4032" s="20"/>
      <c r="C4032" s="22"/>
      <c r="D4032" s="22"/>
      <c r="E4032" s="24"/>
      <c r="F4032" s="22"/>
      <c r="H4032" s="21"/>
      <c r="I4032" s="22"/>
      <c r="J4032" s="22"/>
      <c r="K4032" s="24"/>
      <c r="M4032" s="21"/>
      <c r="N4032" s="22"/>
      <c r="O4032" s="22"/>
      <c r="P4032" s="49"/>
      <c r="Q4032" s="49"/>
      <c r="R4032" s="188" t="str">
        <f t="shared" si="131"/>
        <v/>
      </c>
      <c r="T4032" s="21"/>
      <c r="U4032" s="22"/>
      <c r="V4032" s="24"/>
      <c r="W4032" s="24"/>
      <c r="X4032" s="24"/>
      <c r="Y4032" s="24"/>
      <c r="Z4032" s="20" t="str">
        <f t="shared" si="130"/>
        <v/>
      </c>
    </row>
    <row r="4033" spans="1:26" x14ac:dyDescent="0.2">
      <c r="A4033" s="21"/>
      <c r="B4033" s="20"/>
      <c r="C4033" s="22"/>
      <c r="D4033" s="22"/>
      <c r="E4033" s="24"/>
      <c r="F4033" s="22"/>
      <c r="H4033" s="21"/>
      <c r="I4033" s="22"/>
      <c r="J4033" s="22"/>
      <c r="K4033" s="24"/>
      <c r="M4033" s="21"/>
      <c r="N4033" s="22"/>
      <c r="O4033" s="22"/>
      <c r="P4033" s="49"/>
      <c r="Q4033" s="49"/>
      <c r="R4033" s="188" t="str">
        <f t="shared" si="131"/>
        <v/>
      </c>
      <c r="T4033" s="21"/>
      <c r="U4033" s="22"/>
      <c r="V4033" s="24"/>
      <c r="W4033" s="24"/>
      <c r="X4033" s="24"/>
      <c r="Y4033" s="24"/>
      <c r="Z4033" s="20" t="str">
        <f t="shared" si="130"/>
        <v/>
      </c>
    </row>
    <row r="4034" spans="1:26" x14ac:dyDescent="0.2">
      <c r="A4034" s="21"/>
      <c r="B4034" s="20"/>
      <c r="C4034" s="22"/>
      <c r="D4034" s="22"/>
      <c r="E4034" s="24"/>
      <c r="F4034" s="22"/>
      <c r="H4034" s="21"/>
      <c r="I4034" s="22"/>
      <c r="J4034" s="22"/>
      <c r="K4034" s="24"/>
      <c r="M4034" s="21"/>
      <c r="N4034" s="22"/>
      <c r="O4034" s="22"/>
      <c r="P4034" s="49"/>
      <c r="Q4034" s="49"/>
      <c r="R4034" s="188" t="str">
        <f t="shared" si="131"/>
        <v/>
      </c>
      <c r="T4034" s="21"/>
      <c r="U4034" s="22"/>
      <c r="V4034" s="24"/>
      <c r="W4034" s="24"/>
      <c r="X4034" s="24"/>
      <c r="Y4034" s="24"/>
      <c r="Z4034" s="20" t="str">
        <f t="shared" si="130"/>
        <v/>
      </c>
    </row>
    <row r="4035" spans="1:26" x14ac:dyDescent="0.2">
      <c r="A4035" s="21"/>
      <c r="B4035" s="20"/>
      <c r="C4035" s="22"/>
      <c r="D4035" s="22"/>
      <c r="E4035" s="24"/>
      <c r="F4035" s="22"/>
      <c r="H4035" s="21"/>
      <c r="I4035" s="22"/>
      <c r="J4035" s="22"/>
      <c r="K4035" s="24"/>
      <c r="M4035" s="21"/>
      <c r="N4035" s="22"/>
      <c r="O4035" s="22"/>
      <c r="P4035" s="49"/>
      <c r="Q4035" s="49"/>
      <c r="R4035" s="188" t="str">
        <f t="shared" si="131"/>
        <v/>
      </c>
      <c r="T4035" s="21"/>
      <c r="U4035" s="22"/>
      <c r="V4035" s="24"/>
      <c r="W4035" s="24"/>
      <c r="X4035" s="24"/>
      <c r="Y4035" s="24"/>
      <c r="Z4035" s="20" t="str">
        <f t="shared" si="130"/>
        <v/>
      </c>
    </row>
    <row r="4036" spans="1:26" x14ac:dyDescent="0.2">
      <c r="A4036" s="21"/>
      <c r="B4036" s="20"/>
      <c r="C4036" s="22"/>
      <c r="D4036" s="22"/>
      <c r="E4036" s="24"/>
      <c r="F4036" s="22"/>
      <c r="H4036" s="21"/>
      <c r="I4036" s="22"/>
      <c r="J4036" s="22"/>
      <c r="K4036" s="24"/>
      <c r="M4036" s="21"/>
      <c r="N4036" s="22"/>
      <c r="O4036" s="22"/>
      <c r="P4036" s="49"/>
      <c r="Q4036" s="49"/>
      <c r="R4036" s="188" t="str">
        <f t="shared" si="131"/>
        <v/>
      </c>
      <c r="T4036" s="21"/>
      <c r="U4036" s="22"/>
      <c r="V4036" s="24"/>
      <c r="W4036" s="24"/>
      <c r="X4036" s="24"/>
      <c r="Y4036" s="24"/>
      <c r="Z4036" s="20" t="str">
        <f t="shared" si="130"/>
        <v/>
      </c>
    </row>
    <row r="4037" spans="1:26" x14ac:dyDescent="0.2">
      <c r="A4037" s="21"/>
      <c r="B4037" s="20"/>
      <c r="C4037" s="22"/>
      <c r="D4037" s="22"/>
      <c r="E4037" s="24"/>
      <c r="F4037" s="22"/>
      <c r="H4037" s="21"/>
      <c r="I4037" s="22"/>
      <c r="J4037" s="22"/>
      <c r="K4037" s="24"/>
      <c r="M4037" s="21"/>
      <c r="N4037" s="22"/>
      <c r="O4037" s="22"/>
      <c r="P4037" s="49"/>
      <c r="Q4037" s="49"/>
      <c r="R4037" s="188" t="str">
        <f t="shared" si="131"/>
        <v/>
      </c>
      <c r="T4037" s="21"/>
      <c r="U4037" s="22"/>
      <c r="V4037" s="24"/>
      <c r="W4037" s="24"/>
      <c r="X4037" s="24"/>
      <c r="Y4037" s="24"/>
      <c r="Z4037" s="20" t="str">
        <f t="shared" si="130"/>
        <v/>
      </c>
    </row>
    <row r="4038" spans="1:26" x14ac:dyDescent="0.2">
      <c r="A4038" s="21"/>
      <c r="B4038" s="20"/>
      <c r="C4038" s="22"/>
      <c r="D4038" s="22"/>
      <c r="E4038" s="24"/>
      <c r="F4038" s="22"/>
      <c r="H4038" s="21"/>
      <c r="I4038" s="22"/>
      <c r="J4038" s="22"/>
      <c r="K4038" s="24"/>
      <c r="M4038" s="21"/>
      <c r="N4038" s="22"/>
      <c r="O4038" s="22"/>
      <c r="P4038" s="49"/>
      <c r="Q4038" s="49"/>
      <c r="R4038" s="188" t="str">
        <f t="shared" si="131"/>
        <v/>
      </c>
      <c r="T4038" s="21"/>
      <c r="U4038" s="22"/>
      <c r="V4038" s="24"/>
      <c r="W4038" s="24"/>
      <c r="X4038" s="24"/>
      <c r="Y4038" s="24"/>
      <c r="Z4038" s="20" t="str">
        <f t="shared" si="130"/>
        <v/>
      </c>
    </row>
    <row r="4039" spans="1:26" x14ac:dyDescent="0.2">
      <c r="A4039" s="21"/>
      <c r="B4039" s="20"/>
      <c r="C4039" s="22"/>
      <c r="D4039" s="22"/>
      <c r="E4039" s="24"/>
      <c r="F4039" s="22"/>
      <c r="H4039" s="21"/>
      <c r="I4039" s="22"/>
      <c r="J4039" s="22"/>
      <c r="K4039" s="24"/>
      <c r="M4039" s="21"/>
      <c r="N4039" s="22"/>
      <c r="O4039" s="22"/>
      <c r="P4039" s="49"/>
      <c r="Q4039" s="49"/>
      <c r="R4039" s="188" t="str">
        <f t="shared" si="131"/>
        <v/>
      </c>
      <c r="T4039" s="21"/>
      <c r="U4039" s="22"/>
      <c r="V4039" s="24"/>
      <c r="W4039" s="24"/>
      <c r="X4039" s="24"/>
      <c r="Y4039" s="24"/>
      <c r="Z4039" s="20" t="str">
        <f t="shared" si="130"/>
        <v/>
      </c>
    </row>
    <row r="4040" spans="1:26" x14ac:dyDescent="0.2">
      <c r="A4040" s="21"/>
      <c r="B4040" s="20"/>
      <c r="C4040" s="22"/>
      <c r="D4040" s="22"/>
      <c r="E4040" s="24"/>
      <c r="F4040" s="22"/>
      <c r="H4040" s="21"/>
      <c r="I4040" s="22"/>
      <c r="J4040" s="22"/>
      <c r="K4040" s="24"/>
      <c r="M4040" s="21"/>
      <c r="N4040" s="22"/>
      <c r="O4040" s="22"/>
      <c r="P4040" s="49"/>
      <c r="Q4040" s="49"/>
      <c r="R4040" s="188" t="str">
        <f t="shared" si="131"/>
        <v/>
      </c>
      <c r="T4040" s="21"/>
      <c r="U4040" s="22"/>
      <c r="V4040" s="24"/>
      <c r="W4040" s="24"/>
      <c r="X4040" s="24"/>
      <c r="Y4040" s="24"/>
      <c r="Z4040" s="20" t="str">
        <f t="shared" si="130"/>
        <v/>
      </c>
    </row>
    <row r="4041" spans="1:26" x14ac:dyDescent="0.2">
      <c r="A4041" s="21"/>
      <c r="B4041" s="20"/>
      <c r="C4041" s="22"/>
      <c r="D4041" s="22"/>
      <c r="E4041" s="24"/>
      <c r="F4041" s="22"/>
      <c r="H4041" s="21"/>
      <c r="I4041" s="22"/>
      <c r="J4041" s="22"/>
      <c r="K4041" s="24"/>
      <c r="M4041" s="21"/>
      <c r="N4041" s="22"/>
      <c r="O4041" s="22"/>
      <c r="P4041" s="49"/>
      <c r="Q4041" s="49"/>
      <c r="R4041" s="188" t="str">
        <f t="shared" si="131"/>
        <v/>
      </c>
      <c r="T4041" s="21"/>
      <c r="U4041" s="22"/>
      <c r="V4041" s="24"/>
      <c r="W4041" s="24"/>
      <c r="X4041" s="24"/>
      <c r="Y4041" s="24"/>
      <c r="Z4041" s="20" t="str">
        <f t="shared" si="130"/>
        <v/>
      </c>
    </row>
    <row r="4042" spans="1:26" x14ac:dyDescent="0.2">
      <c r="A4042" s="21"/>
      <c r="B4042" s="20"/>
      <c r="C4042" s="22"/>
      <c r="D4042" s="22"/>
      <c r="E4042" s="24"/>
      <c r="F4042" s="22"/>
      <c r="H4042" s="21"/>
      <c r="I4042" s="22"/>
      <c r="J4042" s="22"/>
      <c r="K4042" s="24"/>
      <c r="M4042" s="21"/>
      <c r="N4042" s="22"/>
      <c r="O4042" s="22"/>
      <c r="P4042" s="49"/>
      <c r="Q4042" s="49"/>
      <c r="R4042" s="188" t="str">
        <f t="shared" si="131"/>
        <v/>
      </c>
      <c r="T4042" s="21"/>
      <c r="U4042" s="22"/>
      <c r="V4042" s="24"/>
      <c r="W4042" s="24"/>
      <c r="X4042" s="24"/>
      <c r="Y4042" s="24"/>
      <c r="Z4042" s="20" t="str">
        <f t="shared" si="130"/>
        <v/>
      </c>
    </row>
    <row r="4043" spans="1:26" x14ac:dyDescent="0.2">
      <c r="A4043" s="21"/>
      <c r="B4043" s="20"/>
      <c r="C4043" s="22"/>
      <c r="D4043" s="22"/>
      <c r="E4043" s="24"/>
      <c r="F4043" s="22"/>
      <c r="H4043" s="21"/>
      <c r="I4043" s="22"/>
      <c r="J4043" s="22"/>
      <c r="K4043" s="24"/>
      <c r="M4043" s="21"/>
      <c r="N4043" s="22"/>
      <c r="O4043" s="22"/>
      <c r="P4043" s="49"/>
      <c r="Q4043" s="49"/>
      <c r="R4043" s="188" t="str">
        <f t="shared" si="131"/>
        <v/>
      </c>
      <c r="T4043" s="21"/>
      <c r="U4043" s="22"/>
      <c r="V4043" s="24"/>
      <c r="W4043" s="24"/>
      <c r="X4043" s="24"/>
      <c r="Y4043" s="24"/>
      <c r="Z4043" s="20" t="str">
        <f t="shared" si="130"/>
        <v/>
      </c>
    </row>
    <row r="4044" spans="1:26" x14ac:dyDescent="0.2">
      <c r="A4044" s="21"/>
      <c r="B4044" s="20"/>
      <c r="C4044" s="22"/>
      <c r="D4044" s="22"/>
      <c r="E4044" s="24"/>
      <c r="F4044" s="22"/>
      <c r="H4044" s="21"/>
      <c r="I4044" s="22"/>
      <c r="J4044" s="22"/>
      <c r="K4044" s="24"/>
      <c r="M4044" s="21"/>
      <c r="N4044" s="22"/>
      <c r="O4044" s="22"/>
      <c r="P4044" s="49"/>
      <c r="Q4044" s="49"/>
      <c r="R4044" s="188" t="str">
        <f t="shared" si="131"/>
        <v/>
      </c>
      <c r="T4044" s="21"/>
      <c r="U4044" s="22"/>
      <c r="V4044" s="24"/>
      <c r="W4044" s="24"/>
      <c r="X4044" s="24"/>
      <c r="Y4044" s="24"/>
      <c r="Z4044" s="20" t="str">
        <f t="shared" si="130"/>
        <v/>
      </c>
    </row>
    <row r="4045" spans="1:26" x14ac:dyDescent="0.2">
      <c r="A4045" s="21"/>
      <c r="B4045" s="20"/>
      <c r="C4045" s="22"/>
      <c r="D4045" s="22"/>
      <c r="E4045" s="24"/>
      <c r="F4045" s="22"/>
      <c r="H4045" s="21"/>
      <c r="I4045" s="22"/>
      <c r="J4045" s="22"/>
      <c r="K4045" s="24"/>
      <c r="M4045" s="21"/>
      <c r="N4045" s="22"/>
      <c r="O4045" s="22"/>
      <c r="P4045" s="49"/>
      <c r="Q4045" s="49"/>
      <c r="R4045" s="188" t="str">
        <f t="shared" si="131"/>
        <v/>
      </c>
      <c r="T4045" s="21"/>
      <c r="U4045" s="22"/>
      <c r="V4045" s="24"/>
      <c r="W4045" s="24"/>
      <c r="X4045" s="24"/>
      <c r="Y4045" s="24"/>
      <c r="Z4045" s="20" t="str">
        <f t="shared" si="130"/>
        <v/>
      </c>
    </row>
    <row r="4046" spans="1:26" x14ac:dyDescent="0.2">
      <c r="A4046" s="21"/>
      <c r="B4046" s="20"/>
      <c r="C4046" s="22"/>
      <c r="D4046" s="22"/>
      <c r="E4046" s="24"/>
      <c r="F4046" s="22"/>
      <c r="H4046" s="21"/>
      <c r="I4046" s="22"/>
      <c r="J4046" s="22"/>
      <c r="K4046" s="24"/>
      <c r="M4046" s="21"/>
      <c r="N4046" s="22"/>
      <c r="O4046" s="22"/>
      <c r="P4046" s="49"/>
      <c r="Q4046" s="49"/>
      <c r="R4046" s="188" t="str">
        <f t="shared" si="131"/>
        <v/>
      </c>
      <c r="T4046" s="21"/>
      <c r="U4046" s="22"/>
      <c r="V4046" s="24"/>
      <c r="W4046" s="24"/>
      <c r="X4046" s="24"/>
      <c r="Y4046" s="24"/>
      <c r="Z4046" s="20" t="str">
        <f t="shared" si="130"/>
        <v/>
      </c>
    </row>
    <row r="4047" spans="1:26" x14ac:dyDescent="0.2">
      <c r="A4047" s="21"/>
      <c r="B4047" s="20"/>
      <c r="C4047" s="22"/>
      <c r="D4047" s="22"/>
      <c r="E4047" s="24"/>
      <c r="F4047" s="22"/>
      <c r="H4047" s="21"/>
      <c r="I4047" s="22"/>
      <c r="J4047" s="22"/>
      <c r="K4047" s="24"/>
      <c r="M4047" s="21"/>
      <c r="N4047" s="22"/>
      <c r="O4047" s="22"/>
      <c r="P4047" s="49"/>
      <c r="Q4047" s="49"/>
      <c r="R4047" s="188" t="str">
        <f t="shared" si="131"/>
        <v/>
      </c>
      <c r="T4047" s="21"/>
      <c r="U4047" s="22"/>
      <c r="V4047" s="24"/>
      <c r="W4047" s="24"/>
      <c r="X4047" s="24"/>
      <c r="Y4047" s="24"/>
      <c r="Z4047" s="20" t="str">
        <f t="shared" si="130"/>
        <v/>
      </c>
    </row>
    <row r="4048" spans="1:26" x14ac:dyDescent="0.2">
      <c r="A4048" s="21"/>
      <c r="B4048" s="20"/>
      <c r="C4048" s="22"/>
      <c r="D4048" s="22"/>
      <c r="E4048" s="24"/>
      <c r="F4048" s="22"/>
      <c r="H4048" s="21"/>
      <c r="I4048" s="22"/>
      <c r="J4048" s="22"/>
      <c r="K4048" s="24"/>
      <c r="M4048" s="21"/>
      <c r="N4048" s="22"/>
      <c r="O4048" s="22"/>
      <c r="P4048" s="49"/>
      <c r="Q4048" s="49"/>
      <c r="R4048" s="188" t="str">
        <f t="shared" si="131"/>
        <v/>
      </c>
      <c r="T4048" s="21"/>
      <c r="U4048" s="22"/>
      <c r="V4048" s="24"/>
      <c r="W4048" s="24"/>
      <c r="X4048" s="24"/>
      <c r="Y4048" s="24"/>
      <c r="Z4048" s="20" t="str">
        <f t="shared" si="130"/>
        <v/>
      </c>
    </row>
    <row r="4049" spans="1:26" x14ac:dyDescent="0.2">
      <c r="A4049" s="21"/>
      <c r="B4049" s="20"/>
      <c r="C4049" s="22"/>
      <c r="D4049" s="22"/>
      <c r="E4049" s="24"/>
      <c r="F4049" s="22"/>
      <c r="H4049" s="21"/>
      <c r="I4049" s="22"/>
      <c r="J4049" s="22"/>
      <c r="K4049" s="24"/>
      <c r="M4049" s="21"/>
      <c r="N4049" s="22"/>
      <c r="O4049" s="22"/>
      <c r="P4049" s="49"/>
      <c r="Q4049" s="49"/>
      <c r="R4049" s="188" t="str">
        <f t="shared" si="131"/>
        <v/>
      </c>
      <c r="T4049" s="21"/>
      <c r="U4049" s="22"/>
      <c r="V4049" s="24"/>
      <c r="W4049" s="24"/>
      <c r="X4049" s="24"/>
      <c r="Y4049" s="24"/>
      <c r="Z4049" s="20" t="str">
        <f t="shared" si="130"/>
        <v/>
      </c>
    </row>
    <row r="4050" spans="1:26" x14ac:dyDescent="0.2">
      <c r="A4050" s="21"/>
      <c r="B4050" s="20"/>
      <c r="C4050" s="22"/>
      <c r="D4050" s="22"/>
      <c r="E4050" s="24"/>
      <c r="F4050" s="22"/>
      <c r="H4050" s="21"/>
      <c r="I4050" s="22"/>
      <c r="J4050" s="22"/>
      <c r="K4050" s="24"/>
      <c r="M4050" s="21"/>
      <c r="N4050" s="22"/>
      <c r="O4050" s="22"/>
      <c r="P4050" s="49"/>
      <c r="Q4050" s="49"/>
      <c r="R4050" s="188" t="str">
        <f t="shared" si="131"/>
        <v/>
      </c>
      <c r="T4050" s="21"/>
      <c r="U4050" s="22"/>
      <c r="V4050" s="24"/>
      <c r="W4050" s="24"/>
      <c r="X4050" s="24"/>
      <c r="Y4050" s="24"/>
      <c r="Z4050" s="20" t="str">
        <f t="shared" si="130"/>
        <v/>
      </c>
    </row>
    <row r="4051" spans="1:26" x14ac:dyDescent="0.2">
      <c r="A4051" s="21"/>
      <c r="B4051" s="20"/>
      <c r="C4051" s="22"/>
      <c r="D4051" s="22"/>
      <c r="E4051" s="24"/>
      <c r="F4051" s="22"/>
      <c r="H4051" s="21"/>
      <c r="I4051" s="22"/>
      <c r="J4051" s="22"/>
      <c r="K4051" s="24"/>
      <c r="M4051" s="21"/>
      <c r="N4051" s="22"/>
      <c r="O4051" s="22"/>
      <c r="P4051" s="49"/>
      <c r="Q4051" s="49"/>
      <c r="R4051" s="188" t="str">
        <f t="shared" si="131"/>
        <v/>
      </c>
      <c r="T4051" s="21"/>
      <c r="U4051" s="22"/>
      <c r="V4051" s="24"/>
      <c r="W4051" s="24"/>
      <c r="X4051" s="24"/>
      <c r="Y4051" s="24"/>
      <c r="Z4051" s="20" t="str">
        <f t="shared" ref="Z4051:Z4114" si="132">IF(COUNT(V4051:Y4051)=0,"",SUM(V4051:Y4051))</f>
        <v/>
      </c>
    </row>
    <row r="4052" spans="1:26" x14ac:dyDescent="0.2">
      <c r="A4052" s="21"/>
      <c r="B4052" s="20"/>
      <c r="C4052" s="22"/>
      <c r="D4052" s="22"/>
      <c r="E4052" s="24"/>
      <c r="F4052" s="22"/>
      <c r="H4052" s="21"/>
      <c r="I4052" s="22"/>
      <c r="J4052" s="22"/>
      <c r="K4052" s="24"/>
      <c r="M4052" s="21"/>
      <c r="N4052" s="22"/>
      <c r="O4052" s="22"/>
      <c r="P4052" s="49"/>
      <c r="Q4052" s="49"/>
      <c r="R4052" s="188" t="str">
        <f t="shared" si="131"/>
        <v/>
      </c>
      <c r="T4052" s="21"/>
      <c r="U4052" s="22"/>
      <c r="V4052" s="24"/>
      <c r="W4052" s="24"/>
      <c r="X4052" s="24"/>
      <c r="Y4052" s="24"/>
      <c r="Z4052" s="20" t="str">
        <f t="shared" si="132"/>
        <v/>
      </c>
    </row>
    <row r="4053" spans="1:26" x14ac:dyDescent="0.2">
      <c r="A4053" s="21"/>
      <c r="B4053" s="20"/>
      <c r="C4053" s="22"/>
      <c r="D4053" s="22"/>
      <c r="E4053" s="24"/>
      <c r="F4053" s="22"/>
      <c r="H4053" s="21"/>
      <c r="I4053" s="22"/>
      <c r="J4053" s="22"/>
      <c r="K4053" s="24"/>
      <c r="M4053" s="21"/>
      <c r="N4053" s="22"/>
      <c r="O4053" s="22"/>
      <c r="P4053" s="49"/>
      <c r="Q4053" s="49"/>
      <c r="R4053" s="188" t="str">
        <f t="shared" si="131"/>
        <v/>
      </c>
      <c r="T4053" s="21"/>
      <c r="U4053" s="22"/>
      <c r="V4053" s="24"/>
      <c r="W4053" s="24"/>
      <c r="X4053" s="24"/>
      <c r="Y4053" s="24"/>
      <c r="Z4053" s="20" t="str">
        <f t="shared" si="132"/>
        <v/>
      </c>
    </row>
    <row r="4054" spans="1:26" x14ac:dyDescent="0.2">
      <c r="A4054" s="21"/>
      <c r="B4054" s="20"/>
      <c r="C4054" s="22"/>
      <c r="D4054" s="22"/>
      <c r="E4054" s="24"/>
      <c r="F4054" s="22"/>
      <c r="H4054" s="21"/>
      <c r="I4054" s="22"/>
      <c r="J4054" s="22"/>
      <c r="K4054" s="24"/>
      <c r="M4054" s="21"/>
      <c r="N4054" s="22"/>
      <c r="O4054" s="22"/>
      <c r="P4054" s="49"/>
      <c r="Q4054" s="49"/>
      <c r="R4054" s="188" t="str">
        <f t="shared" ref="R4054:R4117" si="133">IF(OR(P4054="",Q4054=""),"",IFERROR(P4054-Q4054,""))</f>
        <v/>
      </c>
      <c r="T4054" s="21"/>
      <c r="U4054" s="22"/>
      <c r="V4054" s="24"/>
      <c r="W4054" s="24"/>
      <c r="X4054" s="24"/>
      <c r="Y4054" s="24"/>
      <c r="Z4054" s="20" t="str">
        <f t="shared" si="132"/>
        <v/>
      </c>
    </row>
    <row r="4055" spans="1:26" x14ac:dyDescent="0.2">
      <c r="A4055" s="21"/>
      <c r="B4055" s="20"/>
      <c r="C4055" s="22"/>
      <c r="D4055" s="22"/>
      <c r="E4055" s="24"/>
      <c r="F4055" s="22"/>
      <c r="H4055" s="21"/>
      <c r="I4055" s="22"/>
      <c r="J4055" s="22"/>
      <c r="K4055" s="24"/>
      <c r="M4055" s="21"/>
      <c r="N4055" s="22"/>
      <c r="O4055" s="22"/>
      <c r="P4055" s="49"/>
      <c r="Q4055" s="49"/>
      <c r="R4055" s="188" t="str">
        <f t="shared" si="133"/>
        <v/>
      </c>
      <c r="T4055" s="21"/>
      <c r="U4055" s="22"/>
      <c r="V4055" s="24"/>
      <c r="W4055" s="24"/>
      <c r="X4055" s="24"/>
      <c r="Y4055" s="24"/>
      <c r="Z4055" s="20" t="str">
        <f t="shared" si="132"/>
        <v/>
      </c>
    </row>
    <row r="4056" spans="1:26" x14ac:dyDescent="0.2">
      <c r="A4056" s="21"/>
      <c r="B4056" s="20"/>
      <c r="C4056" s="22"/>
      <c r="D4056" s="22"/>
      <c r="E4056" s="24"/>
      <c r="F4056" s="22"/>
      <c r="H4056" s="21"/>
      <c r="I4056" s="22"/>
      <c r="J4056" s="22"/>
      <c r="K4056" s="24"/>
      <c r="M4056" s="21"/>
      <c r="N4056" s="22"/>
      <c r="O4056" s="22"/>
      <c r="P4056" s="49"/>
      <c r="Q4056" s="49"/>
      <c r="R4056" s="188" t="str">
        <f t="shared" si="133"/>
        <v/>
      </c>
      <c r="T4056" s="21"/>
      <c r="U4056" s="22"/>
      <c r="V4056" s="24"/>
      <c r="W4056" s="24"/>
      <c r="X4056" s="24"/>
      <c r="Y4056" s="24"/>
      <c r="Z4056" s="20" t="str">
        <f t="shared" si="132"/>
        <v/>
      </c>
    </row>
    <row r="4057" spans="1:26" x14ac:dyDescent="0.2">
      <c r="A4057" s="21"/>
      <c r="B4057" s="20"/>
      <c r="C4057" s="22"/>
      <c r="D4057" s="22"/>
      <c r="E4057" s="24"/>
      <c r="F4057" s="22"/>
      <c r="H4057" s="21"/>
      <c r="I4057" s="22"/>
      <c r="J4057" s="22"/>
      <c r="K4057" s="24"/>
      <c r="M4057" s="21"/>
      <c r="N4057" s="22"/>
      <c r="O4057" s="22"/>
      <c r="P4057" s="49"/>
      <c r="Q4057" s="49"/>
      <c r="R4057" s="188" t="str">
        <f t="shared" si="133"/>
        <v/>
      </c>
      <c r="T4057" s="21"/>
      <c r="U4057" s="22"/>
      <c r="V4057" s="24"/>
      <c r="W4057" s="24"/>
      <c r="X4057" s="24"/>
      <c r="Y4057" s="24"/>
      <c r="Z4057" s="20" t="str">
        <f t="shared" si="132"/>
        <v/>
      </c>
    </row>
    <row r="4058" spans="1:26" x14ac:dyDescent="0.2">
      <c r="A4058" s="21"/>
      <c r="B4058" s="20"/>
      <c r="C4058" s="22"/>
      <c r="D4058" s="22"/>
      <c r="E4058" s="24"/>
      <c r="F4058" s="22"/>
      <c r="H4058" s="21"/>
      <c r="I4058" s="22"/>
      <c r="J4058" s="22"/>
      <c r="K4058" s="24"/>
      <c r="M4058" s="21"/>
      <c r="N4058" s="22"/>
      <c r="O4058" s="22"/>
      <c r="P4058" s="49"/>
      <c r="Q4058" s="49"/>
      <c r="R4058" s="188" t="str">
        <f t="shared" si="133"/>
        <v/>
      </c>
      <c r="T4058" s="21"/>
      <c r="U4058" s="22"/>
      <c r="V4058" s="24"/>
      <c r="W4058" s="24"/>
      <c r="X4058" s="24"/>
      <c r="Y4058" s="24"/>
      <c r="Z4058" s="20" t="str">
        <f t="shared" si="132"/>
        <v/>
      </c>
    </row>
    <row r="4059" spans="1:26" x14ac:dyDescent="0.2">
      <c r="A4059" s="21"/>
      <c r="B4059" s="20"/>
      <c r="C4059" s="22"/>
      <c r="D4059" s="22"/>
      <c r="E4059" s="24"/>
      <c r="F4059" s="22"/>
      <c r="H4059" s="21"/>
      <c r="I4059" s="22"/>
      <c r="J4059" s="22"/>
      <c r="K4059" s="24"/>
      <c r="M4059" s="21"/>
      <c r="N4059" s="22"/>
      <c r="O4059" s="22"/>
      <c r="P4059" s="49"/>
      <c r="Q4059" s="49"/>
      <c r="R4059" s="188" t="str">
        <f t="shared" si="133"/>
        <v/>
      </c>
      <c r="T4059" s="21"/>
      <c r="U4059" s="22"/>
      <c r="V4059" s="24"/>
      <c r="W4059" s="24"/>
      <c r="X4059" s="24"/>
      <c r="Y4059" s="24"/>
      <c r="Z4059" s="20" t="str">
        <f t="shared" si="132"/>
        <v/>
      </c>
    </row>
    <row r="4060" spans="1:26" x14ac:dyDescent="0.2">
      <c r="A4060" s="21"/>
      <c r="B4060" s="20"/>
      <c r="C4060" s="22"/>
      <c r="D4060" s="22"/>
      <c r="E4060" s="24"/>
      <c r="F4060" s="22"/>
      <c r="H4060" s="21"/>
      <c r="I4060" s="22"/>
      <c r="J4060" s="22"/>
      <c r="K4060" s="24"/>
      <c r="M4060" s="21"/>
      <c r="N4060" s="22"/>
      <c r="O4060" s="22"/>
      <c r="P4060" s="49"/>
      <c r="Q4060" s="49"/>
      <c r="R4060" s="188" t="str">
        <f t="shared" si="133"/>
        <v/>
      </c>
      <c r="T4060" s="21"/>
      <c r="U4060" s="22"/>
      <c r="V4060" s="24"/>
      <c r="W4060" s="24"/>
      <c r="X4060" s="24"/>
      <c r="Y4060" s="24"/>
      <c r="Z4060" s="20" t="str">
        <f t="shared" si="132"/>
        <v/>
      </c>
    </row>
    <row r="4061" spans="1:26" x14ac:dyDescent="0.2">
      <c r="A4061" s="21"/>
      <c r="B4061" s="20"/>
      <c r="C4061" s="22"/>
      <c r="D4061" s="22"/>
      <c r="E4061" s="24"/>
      <c r="F4061" s="22"/>
      <c r="H4061" s="21"/>
      <c r="I4061" s="22"/>
      <c r="J4061" s="22"/>
      <c r="K4061" s="24"/>
      <c r="M4061" s="21"/>
      <c r="N4061" s="22"/>
      <c r="O4061" s="22"/>
      <c r="P4061" s="49"/>
      <c r="Q4061" s="49"/>
      <c r="R4061" s="188" t="str">
        <f t="shared" si="133"/>
        <v/>
      </c>
      <c r="T4061" s="21"/>
      <c r="U4061" s="22"/>
      <c r="V4061" s="24"/>
      <c r="W4061" s="24"/>
      <c r="X4061" s="24"/>
      <c r="Y4061" s="24"/>
      <c r="Z4061" s="20" t="str">
        <f t="shared" si="132"/>
        <v/>
      </c>
    </row>
    <row r="4062" spans="1:26" x14ac:dyDescent="0.2">
      <c r="A4062" s="21"/>
      <c r="B4062" s="20"/>
      <c r="C4062" s="22"/>
      <c r="D4062" s="22"/>
      <c r="E4062" s="24"/>
      <c r="F4062" s="22"/>
      <c r="H4062" s="21"/>
      <c r="I4062" s="22"/>
      <c r="J4062" s="22"/>
      <c r="K4062" s="24"/>
      <c r="M4062" s="21"/>
      <c r="N4062" s="22"/>
      <c r="O4062" s="22"/>
      <c r="P4062" s="49"/>
      <c r="Q4062" s="49"/>
      <c r="R4062" s="188" t="str">
        <f t="shared" si="133"/>
        <v/>
      </c>
      <c r="T4062" s="21"/>
      <c r="U4062" s="22"/>
      <c r="V4062" s="24"/>
      <c r="W4062" s="24"/>
      <c r="X4062" s="24"/>
      <c r="Y4062" s="24"/>
      <c r="Z4062" s="20" t="str">
        <f t="shared" si="132"/>
        <v/>
      </c>
    </row>
    <row r="4063" spans="1:26" x14ac:dyDescent="0.2">
      <c r="A4063" s="21"/>
      <c r="B4063" s="20"/>
      <c r="C4063" s="22"/>
      <c r="D4063" s="22"/>
      <c r="E4063" s="24"/>
      <c r="F4063" s="22"/>
      <c r="H4063" s="21"/>
      <c r="I4063" s="22"/>
      <c r="J4063" s="22"/>
      <c r="K4063" s="24"/>
      <c r="M4063" s="21"/>
      <c r="N4063" s="22"/>
      <c r="O4063" s="22"/>
      <c r="P4063" s="49"/>
      <c r="Q4063" s="49"/>
      <c r="R4063" s="188" t="str">
        <f t="shared" si="133"/>
        <v/>
      </c>
      <c r="T4063" s="21"/>
      <c r="U4063" s="22"/>
      <c r="V4063" s="24"/>
      <c r="W4063" s="24"/>
      <c r="X4063" s="24"/>
      <c r="Y4063" s="24"/>
      <c r="Z4063" s="20" t="str">
        <f t="shared" si="132"/>
        <v/>
      </c>
    </row>
    <row r="4064" spans="1:26" x14ac:dyDescent="0.2">
      <c r="A4064" s="21"/>
      <c r="B4064" s="20"/>
      <c r="C4064" s="22"/>
      <c r="D4064" s="22"/>
      <c r="E4064" s="24"/>
      <c r="F4064" s="22"/>
      <c r="H4064" s="21"/>
      <c r="I4064" s="22"/>
      <c r="J4064" s="22"/>
      <c r="K4064" s="24"/>
      <c r="M4064" s="21"/>
      <c r="N4064" s="22"/>
      <c r="O4064" s="22"/>
      <c r="P4064" s="49"/>
      <c r="Q4064" s="49"/>
      <c r="R4064" s="188" t="str">
        <f t="shared" si="133"/>
        <v/>
      </c>
      <c r="T4064" s="21"/>
      <c r="U4064" s="22"/>
      <c r="V4064" s="24"/>
      <c r="W4064" s="24"/>
      <c r="X4064" s="24"/>
      <c r="Y4064" s="24"/>
      <c r="Z4064" s="20" t="str">
        <f t="shared" si="132"/>
        <v/>
      </c>
    </row>
    <row r="4065" spans="1:26" x14ac:dyDescent="0.2">
      <c r="A4065" s="21"/>
      <c r="B4065" s="20"/>
      <c r="C4065" s="22"/>
      <c r="D4065" s="22"/>
      <c r="E4065" s="24"/>
      <c r="F4065" s="22"/>
      <c r="H4065" s="21"/>
      <c r="I4065" s="22"/>
      <c r="J4065" s="22"/>
      <c r="K4065" s="24"/>
      <c r="M4065" s="21"/>
      <c r="N4065" s="22"/>
      <c r="O4065" s="22"/>
      <c r="P4065" s="49"/>
      <c r="Q4065" s="49"/>
      <c r="R4065" s="188" t="str">
        <f t="shared" si="133"/>
        <v/>
      </c>
      <c r="T4065" s="21"/>
      <c r="U4065" s="22"/>
      <c r="V4065" s="24"/>
      <c r="W4065" s="24"/>
      <c r="X4065" s="24"/>
      <c r="Y4065" s="24"/>
      <c r="Z4065" s="20" t="str">
        <f t="shared" si="132"/>
        <v/>
      </c>
    </row>
    <row r="4066" spans="1:26" x14ac:dyDescent="0.2">
      <c r="A4066" s="21"/>
      <c r="B4066" s="20"/>
      <c r="C4066" s="22"/>
      <c r="D4066" s="22"/>
      <c r="E4066" s="24"/>
      <c r="F4066" s="22"/>
      <c r="H4066" s="21"/>
      <c r="I4066" s="22"/>
      <c r="J4066" s="22"/>
      <c r="K4066" s="24"/>
      <c r="M4066" s="21"/>
      <c r="N4066" s="22"/>
      <c r="O4066" s="22"/>
      <c r="P4066" s="49"/>
      <c r="Q4066" s="49"/>
      <c r="R4066" s="188" t="str">
        <f t="shared" si="133"/>
        <v/>
      </c>
      <c r="T4066" s="21"/>
      <c r="U4066" s="22"/>
      <c r="V4066" s="24"/>
      <c r="W4066" s="24"/>
      <c r="X4066" s="24"/>
      <c r="Y4066" s="24"/>
      <c r="Z4066" s="20" t="str">
        <f t="shared" si="132"/>
        <v/>
      </c>
    </row>
    <row r="4067" spans="1:26" x14ac:dyDescent="0.2">
      <c r="A4067" s="21"/>
      <c r="B4067" s="20"/>
      <c r="C4067" s="22"/>
      <c r="D4067" s="22"/>
      <c r="E4067" s="24"/>
      <c r="F4067" s="22"/>
      <c r="H4067" s="21"/>
      <c r="I4067" s="22"/>
      <c r="J4067" s="22"/>
      <c r="K4067" s="24"/>
      <c r="M4067" s="21"/>
      <c r="N4067" s="22"/>
      <c r="O4067" s="22"/>
      <c r="P4067" s="49"/>
      <c r="Q4067" s="49"/>
      <c r="R4067" s="188" t="str">
        <f t="shared" si="133"/>
        <v/>
      </c>
      <c r="T4067" s="21"/>
      <c r="U4067" s="22"/>
      <c r="V4067" s="24"/>
      <c r="W4067" s="24"/>
      <c r="X4067" s="24"/>
      <c r="Y4067" s="24"/>
      <c r="Z4067" s="20" t="str">
        <f t="shared" si="132"/>
        <v/>
      </c>
    </row>
    <row r="4068" spans="1:26" x14ac:dyDescent="0.2">
      <c r="A4068" s="21"/>
      <c r="B4068" s="20"/>
      <c r="C4068" s="22"/>
      <c r="D4068" s="22"/>
      <c r="E4068" s="24"/>
      <c r="F4068" s="22"/>
      <c r="H4068" s="21"/>
      <c r="I4068" s="22"/>
      <c r="J4068" s="22"/>
      <c r="K4068" s="24"/>
      <c r="M4068" s="21"/>
      <c r="N4068" s="22"/>
      <c r="O4068" s="22"/>
      <c r="P4068" s="49"/>
      <c r="Q4068" s="49"/>
      <c r="R4068" s="188" t="str">
        <f t="shared" si="133"/>
        <v/>
      </c>
      <c r="T4068" s="21"/>
      <c r="U4068" s="22"/>
      <c r="V4068" s="24"/>
      <c r="W4068" s="24"/>
      <c r="X4068" s="24"/>
      <c r="Y4068" s="24"/>
      <c r="Z4068" s="20" t="str">
        <f t="shared" si="132"/>
        <v/>
      </c>
    </row>
    <row r="4069" spans="1:26" x14ac:dyDescent="0.2">
      <c r="A4069" s="21"/>
      <c r="B4069" s="20"/>
      <c r="C4069" s="22"/>
      <c r="D4069" s="22"/>
      <c r="E4069" s="24"/>
      <c r="F4069" s="22"/>
      <c r="H4069" s="21"/>
      <c r="I4069" s="22"/>
      <c r="J4069" s="22"/>
      <c r="K4069" s="24"/>
      <c r="M4069" s="21"/>
      <c r="N4069" s="22"/>
      <c r="O4069" s="22"/>
      <c r="P4069" s="49"/>
      <c r="Q4069" s="49"/>
      <c r="R4069" s="188" t="str">
        <f t="shared" si="133"/>
        <v/>
      </c>
      <c r="T4069" s="21"/>
      <c r="U4069" s="22"/>
      <c r="V4069" s="24"/>
      <c r="W4069" s="24"/>
      <c r="X4069" s="24"/>
      <c r="Y4069" s="24"/>
      <c r="Z4069" s="20" t="str">
        <f t="shared" si="132"/>
        <v/>
      </c>
    </row>
    <row r="4070" spans="1:26" x14ac:dyDescent="0.2">
      <c r="A4070" s="21"/>
      <c r="B4070" s="20"/>
      <c r="C4070" s="22"/>
      <c r="D4070" s="22"/>
      <c r="E4070" s="24"/>
      <c r="F4070" s="22"/>
      <c r="H4070" s="21"/>
      <c r="I4070" s="22"/>
      <c r="J4070" s="22"/>
      <c r="K4070" s="24"/>
      <c r="M4070" s="21"/>
      <c r="N4070" s="22"/>
      <c r="O4070" s="22"/>
      <c r="P4070" s="49"/>
      <c r="Q4070" s="49"/>
      <c r="R4070" s="188" t="str">
        <f t="shared" si="133"/>
        <v/>
      </c>
      <c r="T4070" s="21"/>
      <c r="U4070" s="22"/>
      <c r="V4070" s="24"/>
      <c r="W4070" s="24"/>
      <c r="X4070" s="24"/>
      <c r="Y4070" s="24"/>
      <c r="Z4070" s="20" t="str">
        <f t="shared" si="132"/>
        <v/>
      </c>
    </row>
    <row r="4071" spans="1:26" x14ac:dyDescent="0.2">
      <c r="A4071" s="21"/>
      <c r="B4071" s="20"/>
      <c r="C4071" s="22"/>
      <c r="D4071" s="22"/>
      <c r="E4071" s="24"/>
      <c r="F4071" s="22"/>
      <c r="H4071" s="21"/>
      <c r="I4071" s="22"/>
      <c r="J4071" s="22"/>
      <c r="K4071" s="24"/>
      <c r="M4071" s="21"/>
      <c r="N4071" s="22"/>
      <c r="O4071" s="22"/>
      <c r="P4071" s="49"/>
      <c r="Q4071" s="49"/>
      <c r="R4071" s="188" t="str">
        <f t="shared" si="133"/>
        <v/>
      </c>
      <c r="T4071" s="21"/>
      <c r="U4071" s="22"/>
      <c r="V4071" s="24"/>
      <c r="W4071" s="24"/>
      <c r="X4071" s="24"/>
      <c r="Y4071" s="24"/>
      <c r="Z4071" s="20" t="str">
        <f t="shared" si="132"/>
        <v/>
      </c>
    </row>
    <row r="4072" spans="1:26" x14ac:dyDescent="0.2">
      <c r="A4072" s="21"/>
      <c r="B4072" s="20"/>
      <c r="C4072" s="22"/>
      <c r="D4072" s="22"/>
      <c r="E4072" s="24"/>
      <c r="F4072" s="22"/>
      <c r="H4072" s="21"/>
      <c r="I4072" s="22"/>
      <c r="J4072" s="22"/>
      <c r="K4072" s="24"/>
      <c r="M4072" s="21"/>
      <c r="N4072" s="22"/>
      <c r="O4072" s="22"/>
      <c r="P4072" s="49"/>
      <c r="Q4072" s="49"/>
      <c r="R4072" s="188" t="str">
        <f t="shared" si="133"/>
        <v/>
      </c>
      <c r="T4072" s="21"/>
      <c r="U4072" s="22"/>
      <c r="V4072" s="24"/>
      <c r="W4072" s="24"/>
      <c r="X4072" s="24"/>
      <c r="Y4072" s="24"/>
      <c r="Z4072" s="20" t="str">
        <f t="shared" si="132"/>
        <v/>
      </c>
    </row>
    <row r="4073" spans="1:26" x14ac:dyDescent="0.2">
      <c r="A4073" s="21"/>
      <c r="B4073" s="20"/>
      <c r="C4073" s="22"/>
      <c r="D4073" s="22"/>
      <c r="E4073" s="24"/>
      <c r="F4073" s="22"/>
      <c r="H4073" s="21"/>
      <c r="I4073" s="22"/>
      <c r="J4073" s="22"/>
      <c r="K4073" s="24"/>
      <c r="M4073" s="21"/>
      <c r="N4073" s="22"/>
      <c r="O4073" s="22"/>
      <c r="P4073" s="49"/>
      <c r="Q4073" s="49"/>
      <c r="R4073" s="188" t="str">
        <f t="shared" si="133"/>
        <v/>
      </c>
      <c r="T4073" s="21"/>
      <c r="U4073" s="22"/>
      <c r="V4073" s="24"/>
      <c r="W4073" s="24"/>
      <c r="X4073" s="24"/>
      <c r="Y4073" s="24"/>
      <c r="Z4073" s="20" t="str">
        <f t="shared" si="132"/>
        <v/>
      </c>
    </row>
    <row r="4074" spans="1:26" x14ac:dyDescent="0.2">
      <c r="A4074" s="21"/>
      <c r="B4074" s="20"/>
      <c r="C4074" s="22"/>
      <c r="D4074" s="22"/>
      <c r="E4074" s="24"/>
      <c r="F4074" s="22"/>
      <c r="H4074" s="21"/>
      <c r="I4074" s="22"/>
      <c r="J4074" s="22"/>
      <c r="K4074" s="24"/>
      <c r="M4074" s="21"/>
      <c r="N4074" s="22"/>
      <c r="O4074" s="22"/>
      <c r="P4074" s="49"/>
      <c r="Q4074" s="49"/>
      <c r="R4074" s="188" t="str">
        <f t="shared" si="133"/>
        <v/>
      </c>
      <c r="T4074" s="21"/>
      <c r="U4074" s="22"/>
      <c r="V4074" s="24"/>
      <c r="W4074" s="24"/>
      <c r="X4074" s="24"/>
      <c r="Y4074" s="24"/>
      <c r="Z4074" s="20" t="str">
        <f t="shared" si="132"/>
        <v/>
      </c>
    </row>
    <row r="4075" spans="1:26" x14ac:dyDescent="0.2">
      <c r="A4075" s="21"/>
      <c r="B4075" s="20"/>
      <c r="C4075" s="22"/>
      <c r="D4075" s="22"/>
      <c r="E4075" s="24"/>
      <c r="F4075" s="22"/>
      <c r="H4075" s="21"/>
      <c r="I4075" s="22"/>
      <c r="J4075" s="22"/>
      <c r="K4075" s="24"/>
      <c r="M4075" s="21"/>
      <c r="N4075" s="22"/>
      <c r="O4075" s="22"/>
      <c r="P4075" s="49"/>
      <c r="Q4075" s="49"/>
      <c r="R4075" s="188" t="str">
        <f t="shared" si="133"/>
        <v/>
      </c>
      <c r="T4075" s="21"/>
      <c r="U4075" s="22"/>
      <c r="V4075" s="24"/>
      <c r="W4075" s="24"/>
      <c r="X4075" s="24"/>
      <c r="Y4075" s="24"/>
      <c r="Z4075" s="20" t="str">
        <f t="shared" si="132"/>
        <v/>
      </c>
    </row>
    <row r="4076" spans="1:26" x14ac:dyDescent="0.2">
      <c r="A4076" s="21"/>
      <c r="B4076" s="20"/>
      <c r="C4076" s="22"/>
      <c r="D4076" s="22"/>
      <c r="E4076" s="24"/>
      <c r="F4076" s="22"/>
      <c r="H4076" s="21"/>
      <c r="I4076" s="22"/>
      <c r="J4076" s="22"/>
      <c r="K4076" s="24"/>
      <c r="M4076" s="21"/>
      <c r="N4076" s="22"/>
      <c r="O4076" s="22"/>
      <c r="P4076" s="49"/>
      <c r="Q4076" s="49"/>
      <c r="R4076" s="188" t="str">
        <f t="shared" si="133"/>
        <v/>
      </c>
      <c r="T4076" s="21"/>
      <c r="U4076" s="22"/>
      <c r="V4076" s="24"/>
      <c r="W4076" s="24"/>
      <c r="X4076" s="24"/>
      <c r="Y4076" s="24"/>
      <c r="Z4076" s="20" t="str">
        <f t="shared" si="132"/>
        <v/>
      </c>
    </row>
    <row r="4077" spans="1:26" x14ac:dyDescent="0.2">
      <c r="A4077" s="21"/>
      <c r="B4077" s="20"/>
      <c r="C4077" s="22"/>
      <c r="D4077" s="22"/>
      <c r="E4077" s="24"/>
      <c r="F4077" s="22"/>
      <c r="H4077" s="21"/>
      <c r="I4077" s="22"/>
      <c r="J4077" s="22"/>
      <c r="K4077" s="24"/>
      <c r="M4077" s="21"/>
      <c r="N4077" s="22"/>
      <c r="O4077" s="22"/>
      <c r="P4077" s="49"/>
      <c r="Q4077" s="49"/>
      <c r="R4077" s="188" t="str">
        <f t="shared" si="133"/>
        <v/>
      </c>
      <c r="T4077" s="21"/>
      <c r="U4077" s="22"/>
      <c r="V4077" s="24"/>
      <c r="W4077" s="24"/>
      <c r="X4077" s="24"/>
      <c r="Y4077" s="24"/>
      <c r="Z4077" s="20" t="str">
        <f t="shared" si="132"/>
        <v/>
      </c>
    </row>
    <row r="4078" spans="1:26" x14ac:dyDescent="0.2">
      <c r="A4078" s="21"/>
      <c r="B4078" s="20"/>
      <c r="C4078" s="22"/>
      <c r="D4078" s="22"/>
      <c r="E4078" s="24"/>
      <c r="F4078" s="22"/>
      <c r="H4078" s="21"/>
      <c r="I4078" s="22"/>
      <c r="J4078" s="22"/>
      <c r="K4078" s="24"/>
      <c r="M4078" s="21"/>
      <c r="N4078" s="22"/>
      <c r="O4078" s="22"/>
      <c r="P4078" s="49"/>
      <c r="Q4078" s="49"/>
      <c r="R4078" s="188" t="str">
        <f t="shared" si="133"/>
        <v/>
      </c>
      <c r="T4078" s="21"/>
      <c r="U4078" s="22"/>
      <c r="V4078" s="24"/>
      <c r="W4078" s="24"/>
      <c r="X4078" s="24"/>
      <c r="Y4078" s="24"/>
      <c r="Z4078" s="20" t="str">
        <f t="shared" si="132"/>
        <v/>
      </c>
    </row>
    <row r="4079" spans="1:26" x14ac:dyDescent="0.2">
      <c r="A4079" s="21"/>
      <c r="B4079" s="20"/>
      <c r="C4079" s="22"/>
      <c r="D4079" s="22"/>
      <c r="E4079" s="24"/>
      <c r="F4079" s="22"/>
      <c r="H4079" s="21"/>
      <c r="I4079" s="22"/>
      <c r="J4079" s="22"/>
      <c r="K4079" s="24"/>
      <c r="M4079" s="21"/>
      <c r="N4079" s="22"/>
      <c r="O4079" s="22"/>
      <c r="P4079" s="49"/>
      <c r="Q4079" s="49"/>
      <c r="R4079" s="188" t="str">
        <f t="shared" si="133"/>
        <v/>
      </c>
      <c r="T4079" s="21"/>
      <c r="U4079" s="22"/>
      <c r="V4079" s="24"/>
      <c r="W4079" s="24"/>
      <c r="X4079" s="24"/>
      <c r="Y4079" s="24"/>
      <c r="Z4079" s="20" t="str">
        <f t="shared" si="132"/>
        <v/>
      </c>
    </row>
    <row r="4080" spans="1:26" x14ac:dyDescent="0.2">
      <c r="A4080" s="21"/>
      <c r="B4080" s="20"/>
      <c r="C4080" s="22"/>
      <c r="D4080" s="22"/>
      <c r="E4080" s="24"/>
      <c r="F4080" s="22"/>
      <c r="H4080" s="21"/>
      <c r="I4080" s="22"/>
      <c r="J4080" s="22"/>
      <c r="K4080" s="24"/>
      <c r="M4080" s="21"/>
      <c r="N4080" s="22"/>
      <c r="O4080" s="22"/>
      <c r="P4080" s="49"/>
      <c r="Q4080" s="49"/>
      <c r="R4080" s="188" t="str">
        <f t="shared" si="133"/>
        <v/>
      </c>
      <c r="T4080" s="21"/>
      <c r="U4080" s="22"/>
      <c r="V4080" s="24"/>
      <c r="W4080" s="24"/>
      <c r="X4080" s="24"/>
      <c r="Y4080" s="24"/>
      <c r="Z4080" s="20" t="str">
        <f t="shared" si="132"/>
        <v/>
      </c>
    </row>
    <row r="4081" spans="1:26" x14ac:dyDescent="0.2">
      <c r="A4081" s="21"/>
      <c r="B4081" s="20"/>
      <c r="C4081" s="22"/>
      <c r="D4081" s="22"/>
      <c r="E4081" s="24"/>
      <c r="F4081" s="22"/>
      <c r="H4081" s="21"/>
      <c r="I4081" s="22"/>
      <c r="J4081" s="22"/>
      <c r="K4081" s="24"/>
      <c r="M4081" s="21"/>
      <c r="N4081" s="22"/>
      <c r="O4081" s="22"/>
      <c r="P4081" s="49"/>
      <c r="Q4081" s="49"/>
      <c r="R4081" s="188" t="str">
        <f t="shared" si="133"/>
        <v/>
      </c>
      <c r="T4081" s="21"/>
      <c r="U4081" s="22"/>
      <c r="V4081" s="24"/>
      <c r="W4081" s="24"/>
      <c r="X4081" s="24"/>
      <c r="Y4081" s="24"/>
      <c r="Z4081" s="20" t="str">
        <f t="shared" si="132"/>
        <v/>
      </c>
    </row>
    <row r="4082" spans="1:26" x14ac:dyDescent="0.2">
      <c r="A4082" s="21"/>
      <c r="B4082" s="20"/>
      <c r="C4082" s="22"/>
      <c r="D4082" s="22"/>
      <c r="E4082" s="24"/>
      <c r="F4082" s="22"/>
      <c r="H4082" s="21"/>
      <c r="I4082" s="22"/>
      <c r="J4082" s="22"/>
      <c r="K4082" s="24"/>
      <c r="M4082" s="21"/>
      <c r="N4082" s="22"/>
      <c r="O4082" s="22"/>
      <c r="P4082" s="49"/>
      <c r="Q4082" s="49"/>
      <c r="R4082" s="188" t="str">
        <f t="shared" si="133"/>
        <v/>
      </c>
      <c r="T4082" s="21"/>
      <c r="U4082" s="22"/>
      <c r="V4082" s="24"/>
      <c r="W4082" s="24"/>
      <c r="X4082" s="24"/>
      <c r="Y4082" s="24"/>
      <c r="Z4082" s="20" t="str">
        <f t="shared" si="132"/>
        <v/>
      </c>
    </row>
    <row r="4083" spans="1:26" x14ac:dyDescent="0.2">
      <c r="A4083" s="21"/>
      <c r="B4083" s="20"/>
      <c r="C4083" s="22"/>
      <c r="D4083" s="22"/>
      <c r="E4083" s="24"/>
      <c r="F4083" s="22"/>
      <c r="H4083" s="21"/>
      <c r="I4083" s="22"/>
      <c r="J4083" s="22"/>
      <c r="K4083" s="24"/>
      <c r="M4083" s="21"/>
      <c r="N4083" s="22"/>
      <c r="O4083" s="22"/>
      <c r="P4083" s="49"/>
      <c r="Q4083" s="49"/>
      <c r="R4083" s="188" t="str">
        <f t="shared" si="133"/>
        <v/>
      </c>
      <c r="T4083" s="21"/>
      <c r="U4083" s="22"/>
      <c r="V4083" s="24"/>
      <c r="W4083" s="24"/>
      <c r="X4083" s="24"/>
      <c r="Y4083" s="24"/>
      <c r="Z4083" s="20" t="str">
        <f t="shared" si="132"/>
        <v/>
      </c>
    </row>
    <row r="4084" spans="1:26" x14ac:dyDescent="0.2">
      <c r="A4084" s="21"/>
      <c r="B4084" s="20"/>
      <c r="C4084" s="22"/>
      <c r="D4084" s="22"/>
      <c r="E4084" s="24"/>
      <c r="F4084" s="22"/>
      <c r="H4084" s="21"/>
      <c r="I4084" s="22"/>
      <c r="J4084" s="22"/>
      <c r="K4084" s="24"/>
      <c r="M4084" s="21"/>
      <c r="N4084" s="22"/>
      <c r="O4084" s="22"/>
      <c r="P4084" s="49"/>
      <c r="Q4084" s="49"/>
      <c r="R4084" s="188" t="str">
        <f t="shared" si="133"/>
        <v/>
      </c>
      <c r="T4084" s="21"/>
      <c r="U4084" s="22"/>
      <c r="V4084" s="24"/>
      <c r="W4084" s="24"/>
      <c r="X4084" s="24"/>
      <c r="Y4084" s="24"/>
      <c r="Z4084" s="20" t="str">
        <f t="shared" si="132"/>
        <v/>
      </c>
    </row>
    <row r="4085" spans="1:26" x14ac:dyDescent="0.2">
      <c r="A4085" s="21"/>
      <c r="B4085" s="20"/>
      <c r="C4085" s="22"/>
      <c r="D4085" s="22"/>
      <c r="E4085" s="24"/>
      <c r="F4085" s="22"/>
      <c r="H4085" s="21"/>
      <c r="I4085" s="22"/>
      <c r="J4085" s="22"/>
      <c r="K4085" s="24"/>
      <c r="M4085" s="21"/>
      <c r="N4085" s="22"/>
      <c r="O4085" s="22"/>
      <c r="P4085" s="49"/>
      <c r="Q4085" s="49"/>
      <c r="R4085" s="188" t="str">
        <f t="shared" si="133"/>
        <v/>
      </c>
      <c r="T4085" s="21"/>
      <c r="U4085" s="22"/>
      <c r="V4085" s="24"/>
      <c r="W4085" s="24"/>
      <c r="X4085" s="24"/>
      <c r="Y4085" s="24"/>
      <c r="Z4085" s="20" t="str">
        <f t="shared" si="132"/>
        <v/>
      </c>
    </row>
    <row r="4086" spans="1:26" x14ac:dyDescent="0.2">
      <c r="A4086" s="21"/>
      <c r="B4086" s="20"/>
      <c r="C4086" s="22"/>
      <c r="D4086" s="22"/>
      <c r="E4086" s="24"/>
      <c r="F4086" s="22"/>
      <c r="H4086" s="21"/>
      <c r="I4086" s="22"/>
      <c r="J4086" s="22"/>
      <c r="K4086" s="24"/>
      <c r="M4086" s="21"/>
      <c r="N4086" s="22"/>
      <c r="O4086" s="22"/>
      <c r="P4086" s="49"/>
      <c r="Q4086" s="49"/>
      <c r="R4086" s="188" t="str">
        <f t="shared" si="133"/>
        <v/>
      </c>
      <c r="T4086" s="21"/>
      <c r="U4086" s="22"/>
      <c r="V4086" s="24"/>
      <c r="W4086" s="24"/>
      <c r="X4086" s="24"/>
      <c r="Y4086" s="24"/>
      <c r="Z4086" s="20" t="str">
        <f t="shared" si="132"/>
        <v/>
      </c>
    </row>
    <row r="4087" spans="1:26" x14ac:dyDescent="0.2">
      <c r="A4087" s="21"/>
      <c r="B4087" s="20"/>
      <c r="C4087" s="22"/>
      <c r="D4087" s="22"/>
      <c r="E4087" s="24"/>
      <c r="F4087" s="22"/>
      <c r="H4087" s="21"/>
      <c r="I4087" s="22"/>
      <c r="J4087" s="22"/>
      <c r="K4087" s="24"/>
      <c r="M4087" s="21"/>
      <c r="N4087" s="22"/>
      <c r="O4087" s="22"/>
      <c r="P4087" s="49"/>
      <c r="Q4087" s="49"/>
      <c r="R4087" s="188" t="str">
        <f t="shared" si="133"/>
        <v/>
      </c>
      <c r="T4087" s="21"/>
      <c r="U4087" s="22"/>
      <c r="V4087" s="24"/>
      <c r="W4087" s="24"/>
      <c r="X4087" s="24"/>
      <c r="Y4087" s="24"/>
      <c r="Z4087" s="20" t="str">
        <f t="shared" si="132"/>
        <v/>
      </c>
    </row>
    <row r="4088" spans="1:26" x14ac:dyDescent="0.2">
      <c r="A4088" s="21"/>
      <c r="B4088" s="20"/>
      <c r="C4088" s="22"/>
      <c r="D4088" s="22"/>
      <c r="E4088" s="24"/>
      <c r="F4088" s="22"/>
      <c r="H4088" s="21"/>
      <c r="I4088" s="22"/>
      <c r="J4088" s="22"/>
      <c r="K4088" s="24"/>
      <c r="M4088" s="21"/>
      <c r="N4088" s="22"/>
      <c r="O4088" s="22"/>
      <c r="P4088" s="49"/>
      <c r="Q4088" s="49"/>
      <c r="R4088" s="188" t="str">
        <f t="shared" si="133"/>
        <v/>
      </c>
      <c r="T4088" s="21"/>
      <c r="U4088" s="22"/>
      <c r="V4088" s="24"/>
      <c r="W4088" s="24"/>
      <c r="X4088" s="24"/>
      <c r="Y4088" s="24"/>
      <c r="Z4088" s="20" t="str">
        <f t="shared" si="132"/>
        <v/>
      </c>
    </row>
    <row r="4089" spans="1:26" x14ac:dyDescent="0.2">
      <c r="A4089" s="21"/>
      <c r="B4089" s="20"/>
      <c r="C4089" s="22"/>
      <c r="D4089" s="22"/>
      <c r="E4089" s="24"/>
      <c r="F4089" s="22"/>
      <c r="H4089" s="21"/>
      <c r="I4089" s="22"/>
      <c r="J4089" s="22"/>
      <c r="K4089" s="24"/>
      <c r="M4089" s="21"/>
      <c r="N4089" s="22"/>
      <c r="O4089" s="22"/>
      <c r="P4089" s="49"/>
      <c r="Q4089" s="49"/>
      <c r="R4089" s="188" t="str">
        <f t="shared" si="133"/>
        <v/>
      </c>
      <c r="T4089" s="21"/>
      <c r="U4089" s="22"/>
      <c r="V4089" s="24"/>
      <c r="W4089" s="24"/>
      <c r="X4089" s="24"/>
      <c r="Y4089" s="24"/>
      <c r="Z4089" s="20" t="str">
        <f t="shared" si="132"/>
        <v/>
      </c>
    </row>
    <row r="4090" spans="1:26" x14ac:dyDescent="0.2">
      <c r="A4090" s="21"/>
      <c r="B4090" s="20"/>
      <c r="C4090" s="22"/>
      <c r="D4090" s="22"/>
      <c r="E4090" s="24"/>
      <c r="F4090" s="22"/>
      <c r="H4090" s="21"/>
      <c r="I4090" s="22"/>
      <c r="J4090" s="22"/>
      <c r="K4090" s="24"/>
      <c r="M4090" s="21"/>
      <c r="N4090" s="22"/>
      <c r="O4090" s="22"/>
      <c r="P4090" s="49"/>
      <c r="Q4090" s="49"/>
      <c r="R4090" s="188" t="str">
        <f t="shared" si="133"/>
        <v/>
      </c>
      <c r="T4090" s="21"/>
      <c r="U4090" s="22"/>
      <c r="V4090" s="24"/>
      <c r="W4090" s="24"/>
      <c r="X4090" s="24"/>
      <c r="Y4090" s="24"/>
      <c r="Z4090" s="20" t="str">
        <f t="shared" si="132"/>
        <v/>
      </c>
    </row>
    <row r="4091" spans="1:26" x14ac:dyDescent="0.2">
      <c r="A4091" s="21"/>
      <c r="B4091" s="20"/>
      <c r="C4091" s="22"/>
      <c r="D4091" s="22"/>
      <c r="E4091" s="24"/>
      <c r="F4091" s="22"/>
      <c r="H4091" s="21"/>
      <c r="I4091" s="22"/>
      <c r="J4091" s="22"/>
      <c r="K4091" s="24"/>
      <c r="M4091" s="21"/>
      <c r="N4091" s="22"/>
      <c r="O4091" s="22"/>
      <c r="P4091" s="49"/>
      <c r="Q4091" s="49"/>
      <c r="R4091" s="188" t="str">
        <f t="shared" si="133"/>
        <v/>
      </c>
      <c r="T4091" s="21"/>
      <c r="U4091" s="22"/>
      <c r="V4091" s="24"/>
      <c r="W4091" s="24"/>
      <c r="X4091" s="24"/>
      <c r="Y4091" s="24"/>
      <c r="Z4091" s="20" t="str">
        <f t="shared" si="132"/>
        <v/>
      </c>
    </row>
    <row r="4092" spans="1:26" x14ac:dyDescent="0.2">
      <c r="A4092" s="21"/>
      <c r="B4092" s="20"/>
      <c r="C4092" s="22"/>
      <c r="D4092" s="22"/>
      <c r="E4092" s="24"/>
      <c r="F4092" s="22"/>
      <c r="H4092" s="21"/>
      <c r="I4092" s="22"/>
      <c r="J4092" s="22"/>
      <c r="K4092" s="24"/>
      <c r="M4092" s="21"/>
      <c r="N4092" s="22"/>
      <c r="O4092" s="22"/>
      <c r="P4092" s="49"/>
      <c r="Q4092" s="49"/>
      <c r="R4092" s="188" t="str">
        <f t="shared" si="133"/>
        <v/>
      </c>
      <c r="T4092" s="21"/>
      <c r="U4092" s="22"/>
      <c r="V4092" s="24"/>
      <c r="W4092" s="24"/>
      <c r="X4092" s="24"/>
      <c r="Y4092" s="24"/>
      <c r="Z4092" s="20" t="str">
        <f t="shared" si="132"/>
        <v/>
      </c>
    </row>
    <row r="4093" spans="1:26" x14ac:dyDescent="0.2">
      <c r="A4093" s="21"/>
      <c r="B4093" s="20"/>
      <c r="C4093" s="22"/>
      <c r="D4093" s="22"/>
      <c r="E4093" s="24"/>
      <c r="F4093" s="22"/>
      <c r="H4093" s="21"/>
      <c r="I4093" s="22"/>
      <c r="J4093" s="22"/>
      <c r="K4093" s="24"/>
      <c r="M4093" s="21"/>
      <c r="N4093" s="22"/>
      <c r="O4093" s="22"/>
      <c r="P4093" s="49"/>
      <c r="Q4093" s="49"/>
      <c r="R4093" s="188" t="str">
        <f t="shared" si="133"/>
        <v/>
      </c>
      <c r="T4093" s="21"/>
      <c r="U4093" s="22"/>
      <c r="V4093" s="24"/>
      <c r="W4093" s="24"/>
      <c r="X4093" s="24"/>
      <c r="Y4093" s="24"/>
      <c r="Z4093" s="20" t="str">
        <f t="shared" si="132"/>
        <v/>
      </c>
    </row>
    <row r="4094" spans="1:26" x14ac:dyDescent="0.2">
      <c r="A4094" s="21"/>
      <c r="B4094" s="20"/>
      <c r="C4094" s="22"/>
      <c r="D4094" s="22"/>
      <c r="E4094" s="24"/>
      <c r="F4094" s="22"/>
      <c r="H4094" s="21"/>
      <c r="I4094" s="22"/>
      <c r="J4094" s="22"/>
      <c r="K4094" s="24"/>
      <c r="M4094" s="21"/>
      <c r="N4094" s="22"/>
      <c r="O4094" s="22"/>
      <c r="P4094" s="49"/>
      <c r="Q4094" s="49"/>
      <c r="R4094" s="188" t="str">
        <f t="shared" si="133"/>
        <v/>
      </c>
      <c r="T4094" s="21"/>
      <c r="U4094" s="22"/>
      <c r="V4094" s="24"/>
      <c r="W4094" s="24"/>
      <c r="X4094" s="24"/>
      <c r="Y4094" s="24"/>
      <c r="Z4094" s="20" t="str">
        <f t="shared" si="132"/>
        <v/>
      </c>
    </row>
    <row r="4095" spans="1:26" x14ac:dyDescent="0.2">
      <c r="A4095" s="21"/>
      <c r="B4095" s="20"/>
      <c r="C4095" s="22"/>
      <c r="D4095" s="22"/>
      <c r="E4095" s="24"/>
      <c r="F4095" s="22"/>
      <c r="H4095" s="21"/>
      <c r="I4095" s="22"/>
      <c r="J4095" s="22"/>
      <c r="K4095" s="24"/>
      <c r="M4095" s="21"/>
      <c r="N4095" s="22"/>
      <c r="O4095" s="22"/>
      <c r="P4095" s="49"/>
      <c r="Q4095" s="49"/>
      <c r="R4095" s="188" t="str">
        <f t="shared" si="133"/>
        <v/>
      </c>
      <c r="T4095" s="21"/>
      <c r="U4095" s="22"/>
      <c r="V4095" s="24"/>
      <c r="W4095" s="24"/>
      <c r="X4095" s="24"/>
      <c r="Y4095" s="24"/>
      <c r="Z4095" s="20" t="str">
        <f t="shared" si="132"/>
        <v/>
      </c>
    </row>
    <row r="4096" spans="1:26" x14ac:dyDescent="0.2">
      <c r="A4096" s="21"/>
      <c r="B4096" s="20"/>
      <c r="C4096" s="22"/>
      <c r="D4096" s="22"/>
      <c r="E4096" s="24"/>
      <c r="F4096" s="22"/>
      <c r="H4096" s="21"/>
      <c r="I4096" s="22"/>
      <c r="J4096" s="22"/>
      <c r="K4096" s="24"/>
      <c r="M4096" s="21"/>
      <c r="N4096" s="22"/>
      <c r="O4096" s="22"/>
      <c r="P4096" s="49"/>
      <c r="Q4096" s="49"/>
      <c r="R4096" s="188" t="str">
        <f t="shared" si="133"/>
        <v/>
      </c>
      <c r="T4096" s="21"/>
      <c r="U4096" s="22"/>
      <c r="V4096" s="24"/>
      <c r="W4096" s="24"/>
      <c r="X4096" s="24"/>
      <c r="Y4096" s="24"/>
      <c r="Z4096" s="20" t="str">
        <f t="shared" si="132"/>
        <v/>
      </c>
    </row>
    <row r="4097" spans="1:26" x14ac:dyDescent="0.2">
      <c r="A4097" s="21"/>
      <c r="B4097" s="20"/>
      <c r="C4097" s="22"/>
      <c r="D4097" s="22"/>
      <c r="E4097" s="24"/>
      <c r="F4097" s="22"/>
      <c r="H4097" s="21"/>
      <c r="I4097" s="22"/>
      <c r="J4097" s="22"/>
      <c r="K4097" s="24"/>
      <c r="M4097" s="21"/>
      <c r="N4097" s="22"/>
      <c r="O4097" s="22"/>
      <c r="P4097" s="49"/>
      <c r="Q4097" s="49"/>
      <c r="R4097" s="188" t="str">
        <f t="shared" si="133"/>
        <v/>
      </c>
      <c r="T4097" s="21"/>
      <c r="U4097" s="22"/>
      <c r="V4097" s="24"/>
      <c r="W4097" s="24"/>
      <c r="X4097" s="24"/>
      <c r="Y4097" s="24"/>
      <c r="Z4097" s="20" t="str">
        <f t="shared" si="132"/>
        <v/>
      </c>
    </row>
    <row r="4098" spans="1:26" x14ac:dyDescent="0.2">
      <c r="A4098" s="21"/>
      <c r="B4098" s="20"/>
      <c r="C4098" s="22"/>
      <c r="D4098" s="22"/>
      <c r="E4098" s="24"/>
      <c r="F4098" s="22"/>
      <c r="H4098" s="21"/>
      <c r="I4098" s="22"/>
      <c r="J4098" s="22"/>
      <c r="K4098" s="24"/>
      <c r="M4098" s="21"/>
      <c r="N4098" s="22"/>
      <c r="O4098" s="22"/>
      <c r="P4098" s="49"/>
      <c r="Q4098" s="49"/>
      <c r="R4098" s="188" t="str">
        <f t="shared" si="133"/>
        <v/>
      </c>
      <c r="T4098" s="21"/>
      <c r="U4098" s="22"/>
      <c r="V4098" s="24"/>
      <c r="W4098" s="24"/>
      <c r="X4098" s="24"/>
      <c r="Y4098" s="24"/>
      <c r="Z4098" s="20" t="str">
        <f t="shared" si="132"/>
        <v/>
      </c>
    </row>
    <row r="4099" spans="1:26" x14ac:dyDescent="0.2">
      <c r="A4099" s="21"/>
      <c r="B4099" s="20"/>
      <c r="C4099" s="22"/>
      <c r="D4099" s="22"/>
      <c r="E4099" s="24"/>
      <c r="F4099" s="22"/>
      <c r="H4099" s="21"/>
      <c r="I4099" s="22"/>
      <c r="J4099" s="22"/>
      <c r="K4099" s="24"/>
      <c r="M4099" s="21"/>
      <c r="N4099" s="22"/>
      <c r="O4099" s="22"/>
      <c r="P4099" s="49"/>
      <c r="Q4099" s="49"/>
      <c r="R4099" s="188" t="str">
        <f t="shared" si="133"/>
        <v/>
      </c>
      <c r="T4099" s="21"/>
      <c r="U4099" s="22"/>
      <c r="V4099" s="24"/>
      <c r="W4099" s="24"/>
      <c r="X4099" s="24"/>
      <c r="Y4099" s="24"/>
      <c r="Z4099" s="20" t="str">
        <f t="shared" si="132"/>
        <v/>
      </c>
    </row>
    <row r="4100" spans="1:26" x14ac:dyDescent="0.2">
      <c r="A4100" s="21"/>
      <c r="B4100" s="20"/>
      <c r="C4100" s="22"/>
      <c r="D4100" s="22"/>
      <c r="E4100" s="24"/>
      <c r="F4100" s="22"/>
      <c r="H4100" s="21"/>
      <c r="I4100" s="22"/>
      <c r="J4100" s="22"/>
      <c r="K4100" s="24"/>
      <c r="M4100" s="21"/>
      <c r="N4100" s="22"/>
      <c r="O4100" s="22"/>
      <c r="P4100" s="49"/>
      <c r="Q4100" s="49"/>
      <c r="R4100" s="188" t="str">
        <f t="shared" si="133"/>
        <v/>
      </c>
      <c r="T4100" s="21"/>
      <c r="U4100" s="22"/>
      <c r="V4100" s="24"/>
      <c r="W4100" s="24"/>
      <c r="X4100" s="24"/>
      <c r="Y4100" s="24"/>
      <c r="Z4100" s="20" t="str">
        <f t="shared" si="132"/>
        <v/>
      </c>
    </row>
    <row r="4101" spans="1:26" x14ac:dyDescent="0.2">
      <c r="A4101" s="21"/>
      <c r="B4101" s="20"/>
      <c r="C4101" s="22"/>
      <c r="D4101" s="22"/>
      <c r="E4101" s="24"/>
      <c r="F4101" s="22"/>
      <c r="H4101" s="21"/>
      <c r="I4101" s="22"/>
      <c r="J4101" s="22"/>
      <c r="K4101" s="24"/>
      <c r="M4101" s="21"/>
      <c r="N4101" s="22"/>
      <c r="O4101" s="22"/>
      <c r="P4101" s="49"/>
      <c r="Q4101" s="49"/>
      <c r="R4101" s="188" t="str">
        <f t="shared" si="133"/>
        <v/>
      </c>
      <c r="T4101" s="21"/>
      <c r="U4101" s="22"/>
      <c r="V4101" s="24"/>
      <c r="W4101" s="24"/>
      <c r="X4101" s="24"/>
      <c r="Y4101" s="24"/>
      <c r="Z4101" s="20" t="str">
        <f t="shared" si="132"/>
        <v/>
      </c>
    </row>
    <row r="4102" spans="1:26" x14ac:dyDescent="0.2">
      <c r="A4102" s="21"/>
      <c r="B4102" s="20"/>
      <c r="C4102" s="22"/>
      <c r="D4102" s="22"/>
      <c r="E4102" s="24"/>
      <c r="F4102" s="22"/>
      <c r="H4102" s="21"/>
      <c r="I4102" s="22"/>
      <c r="J4102" s="22"/>
      <c r="K4102" s="24"/>
      <c r="M4102" s="21"/>
      <c r="N4102" s="22"/>
      <c r="O4102" s="22"/>
      <c r="P4102" s="49"/>
      <c r="Q4102" s="49"/>
      <c r="R4102" s="188" t="str">
        <f t="shared" si="133"/>
        <v/>
      </c>
      <c r="T4102" s="21"/>
      <c r="U4102" s="22"/>
      <c r="V4102" s="24"/>
      <c r="W4102" s="24"/>
      <c r="X4102" s="24"/>
      <c r="Y4102" s="24"/>
      <c r="Z4102" s="20" t="str">
        <f t="shared" si="132"/>
        <v/>
      </c>
    </row>
    <row r="4103" spans="1:26" x14ac:dyDescent="0.2">
      <c r="A4103" s="21"/>
      <c r="B4103" s="20"/>
      <c r="C4103" s="22"/>
      <c r="D4103" s="22"/>
      <c r="E4103" s="24"/>
      <c r="F4103" s="22"/>
      <c r="H4103" s="21"/>
      <c r="I4103" s="22"/>
      <c r="J4103" s="22"/>
      <c r="K4103" s="24"/>
      <c r="M4103" s="21"/>
      <c r="N4103" s="22"/>
      <c r="O4103" s="22"/>
      <c r="P4103" s="49"/>
      <c r="Q4103" s="49"/>
      <c r="R4103" s="188" t="str">
        <f t="shared" si="133"/>
        <v/>
      </c>
      <c r="T4103" s="21"/>
      <c r="U4103" s="22"/>
      <c r="V4103" s="24"/>
      <c r="W4103" s="24"/>
      <c r="X4103" s="24"/>
      <c r="Y4103" s="24"/>
      <c r="Z4103" s="20" t="str">
        <f t="shared" si="132"/>
        <v/>
      </c>
    </row>
    <row r="4104" spans="1:26" x14ac:dyDescent="0.2">
      <c r="A4104" s="21"/>
      <c r="B4104" s="20"/>
      <c r="C4104" s="22"/>
      <c r="D4104" s="22"/>
      <c r="E4104" s="24"/>
      <c r="F4104" s="22"/>
      <c r="H4104" s="21"/>
      <c r="I4104" s="22"/>
      <c r="J4104" s="22"/>
      <c r="K4104" s="24"/>
      <c r="M4104" s="21"/>
      <c r="N4104" s="22"/>
      <c r="O4104" s="22"/>
      <c r="P4104" s="49"/>
      <c r="Q4104" s="49"/>
      <c r="R4104" s="188" t="str">
        <f t="shared" si="133"/>
        <v/>
      </c>
      <c r="T4104" s="21"/>
      <c r="U4104" s="22"/>
      <c r="V4104" s="24"/>
      <c r="W4104" s="24"/>
      <c r="X4104" s="24"/>
      <c r="Y4104" s="24"/>
      <c r="Z4104" s="20" t="str">
        <f t="shared" si="132"/>
        <v/>
      </c>
    </row>
    <row r="4105" spans="1:26" x14ac:dyDescent="0.2">
      <c r="A4105" s="21"/>
      <c r="B4105" s="20"/>
      <c r="C4105" s="22"/>
      <c r="D4105" s="22"/>
      <c r="E4105" s="24"/>
      <c r="F4105" s="22"/>
      <c r="H4105" s="21"/>
      <c r="I4105" s="22"/>
      <c r="J4105" s="22"/>
      <c r="K4105" s="24"/>
      <c r="M4105" s="21"/>
      <c r="N4105" s="22"/>
      <c r="O4105" s="22"/>
      <c r="P4105" s="49"/>
      <c r="Q4105" s="49"/>
      <c r="R4105" s="188" t="str">
        <f t="shared" si="133"/>
        <v/>
      </c>
      <c r="T4105" s="21"/>
      <c r="U4105" s="22"/>
      <c r="V4105" s="24"/>
      <c r="W4105" s="24"/>
      <c r="X4105" s="24"/>
      <c r="Y4105" s="24"/>
      <c r="Z4105" s="20" t="str">
        <f t="shared" si="132"/>
        <v/>
      </c>
    </row>
    <row r="4106" spans="1:26" x14ac:dyDescent="0.2">
      <c r="A4106" s="21"/>
      <c r="B4106" s="20"/>
      <c r="C4106" s="22"/>
      <c r="D4106" s="22"/>
      <c r="E4106" s="24"/>
      <c r="F4106" s="22"/>
      <c r="H4106" s="21"/>
      <c r="I4106" s="22"/>
      <c r="J4106" s="22"/>
      <c r="K4106" s="24"/>
      <c r="M4106" s="21"/>
      <c r="N4106" s="22"/>
      <c r="O4106" s="22"/>
      <c r="P4106" s="49"/>
      <c r="Q4106" s="49"/>
      <c r="R4106" s="188" t="str">
        <f t="shared" si="133"/>
        <v/>
      </c>
      <c r="T4106" s="21"/>
      <c r="U4106" s="22"/>
      <c r="V4106" s="24"/>
      <c r="W4106" s="24"/>
      <c r="X4106" s="24"/>
      <c r="Y4106" s="24"/>
      <c r="Z4106" s="20" t="str">
        <f t="shared" si="132"/>
        <v/>
      </c>
    </row>
    <row r="4107" spans="1:26" x14ac:dyDescent="0.2">
      <c r="A4107" s="21"/>
      <c r="B4107" s="20"/>
      <c r="C4107" s="22"/>
      <c r="D4107" s="22"/>
      <c r="E4107" s="24"/>
      <c r="F4107" s="22"/>
      <c r="H4107" s="21"/>
      <c r="I4107" s="22"/>
      <c r="J4107" s="22"/>
      <c r="K4107" s="24"/>
      <c r="M4107" s="21"/>
      <c r="N4107" s="22"/>
      <c r="O4107" s="22"/>
      <c r="P4107" s="49"/>
      <c r="Q4107" s="49"/>
      <c r="R4107" s="188" t="str">
        <f t="shared" si="133"/>
        <v/>
      </c>
      <c r="T4107" s="21"/>
      <c r="U4107" s="22"/>
      <c r="V4107" s="24"/>
      <c r="W4107" s="24"/>
      <c r="X4107" s="24"/>
      <c r="Y4107" s="24"/>
      <c r="Z4107" s="20" t="str">
        <f t="shared" si="132"/>
        <v/>
      </c>
    </row>
    <row r="4108" spans="1:26" x14ac:dyDescent="0.2">
      <c r="A4108" s="21"/>
      <c r="B4108" s="20"/>
      <c r="C4108" s="22"/>
      <c r="D4108" s="22"/>
      <c r="E4108" s="24"/>
      <c r="F4108" s="22"/>
      <c r="H4108" s="21"/>
      <c r="I4108" s="22"/>
      <c r="J4108" s="22"/>
      <c r="K4108" s="24"/>
      <c r="M4108" s="21"/>
      <c r="N4108" s="22"/>
      <c r="O4108" s="22"/>
      <c r="P4108" s="49"/>
      <c r="Q4108" s="49"/>
      <c r="R4108" s="188" t="str">
        <f t="shared" si="133"/>
        <v/>
      </c>
      <c r="T4108" s="21"/>
      <c r="U4108" s="22"/>
      <c r="V4108" s="24"/>
      <c r="W4108" s="24"/>
      <c r="X4108" s="24"/>
      <c r="Y4108" s="24"/>
      <c r="Z4108" s="20" t="str">
        <f t="shared" si="132"/>
        <v/>
      </c>
    </row>
    <row r="4109" spans="1:26" x14ac:dyDescent="0.2">
      <c r="A4109" s="21"/>
      <c r="B4109" s="20"/>
      <c r="C4109" s="22"/>
      <c r="D4109" s="22"/>
      <c r="E4109" s="24"/>
      <c r="F4109" s="22"/>
      <c r="H4109" s="21"/>
      <c r="I4109" s="22"/>
      <c r="J4109" s="22"/>
      <c r="K4109" s="24"/>
      <c r="M4109" s="21"/>
      <c r="N4109" s="22"/>
      <c r="O4109" s="22"/>
      <c r="P4109" s="49"/>
      <c r="Q4109" s="49"/>
      <c r="R4109" s="188" t="str">
        <f t="shared" si="133"/>
        <v/>
      </c>
      <c r="T4109" s="21"/>
      <c r="U4109" s="22"/>
      <c r="V4109" s="24"/>
      <c r="W4109" s="24"/>
      <c r="X4109" s="24"/>
      <c r="Y4109" s="24"/>
      <c r="Z4109" s="20" t="str">
        <f t="shared" si="132"/>
        <v/>
      </c>
    </row>
    <row r="4110" spans="1:26" x14ac:dyDescent="0.2">
      <c r="A4110" s="21"/>
      <c r="B4110" s="20"/>
      <c r="C4110" s="22"/>
      <c r="D4110" s="22"/>
      <c r="E4110" s="24"/>
      <c r="F4110" s="22"/>
      <c r="H4110" s="21"/>
      <c r="I4110" s="22"/>
      <c r="J4110" s="22"/>
      <c r="K4110" s="24"/>
      <c r="M4110" s="21"/>
      <c r="N4110" s="22"/>
      <c r="O4110" s="22"/>
      <c r="P4110" s="49"/>
      <c r="Q4110" s="49"/>
      <c r="R4110" s="188" t="str">
        <f t="shared" si="133"/>
        <v/>
      </c>
      <c r="T4110" s="21"/>
      <c r="U4110" s="22"/>
      <c r="V4110" s="24"/>
      <c r="W4110" s="24"/>
      <c r="X4110" s="24"/>
      <c r="Y4110" s="24"/>
      <c r="Z4110" s="20" t="str">
        <f t="shared" si="132"/>
        <v/>
      </c>
    </row>
    <row r="4111" spans="1:26" x14ac:dyDescent="0.2">
      <c r="A4111" s="21"/>
      <c r="B4111" s="20"/>
      <c r="C4111" s="22"/>
      <c r="D4111" s="22"/>
      <c r="E4111" s="24"/>
      <c r="F4111" s="22"/>
      <c r="H4111" s="21"/>
      <c r="I4111" s="22"/>
      <c r="J4111" s="22"/>
      <c r="K4111" s="24"/>
      <c r="M4111" s="21"/>
      <c r="N4111" s="22"/>
      <c r="O4111" s="22"/>
      <c r="P4111" s="49"/>
      <c r="Q4111" s="49"/>
      <c r="R4111" s="188" t="str">
        <f t="shared" si="133"/>
        <v/>
      </c>
      <c r="T4111" s="21"/>
      <c r="U4111" s="22"/>
      <c r="V4111" s="24"/>
      <c r="W4111" s="24"/>
      <c r="X4111" s="24"/>
      <c r="Y4111" s="24"/>
      <c r="Z4111" s="20" t="str">
        <f t="shared" si="132"/>
        <v/>
      </c>
    </row>
    <row r="4112" spans="1:26" x14ac:dyDescent="0.2">
      <c r="A4112" s="21"/>
      <c r="B4112" s="20"/>
      <c r="C4112" s="22"/>
      <c r="D4112" s="22"/>
      <c r="E4112" s="24"/>
      <c r="F4112" s="22"/>
      <c r="H4112" s="21"/>
      <c r="I4112" s="22"/>
      <c r="J4112" s="22"/>
      <c r="K4112" s="24"/>
      <c r="M4112" s="21"/>
      <c r="N4112" s="22"/>
      <c r="O4112" s="22"/>
      <c r="P4112" s="49"/>
      <c r="Q4112" s="49"/>
      <c r="R4112" s="188" t="str">
        <f t="shared" si="133"/>
        <v/>
      </c>
      <c r="T4112" s="21"/>
      <c r="U4112" s="22"/>
      <c r="V4112" s="24"/>
      <c r="W4112" s="24"/>
      <c r="X4112" s="24"/>
      <c r="Y4112" s="24"/>
      <c r="Z4112" s="20" t="str">
        <f t="shared" si="132"/>
        <v/>
      </c>
    </row>
    <row r="4113" spans="1:26" x14ac:dyDescent="0.2">
      <c r="A4113" s="21"/>
      <c r="B4113" s="20"/>
      <c r="C4113" s="22"/>
      <c r="D4113" s="22"/>
      <c r="E4113" s="24"/>
      <c r="F4113" s="22"/>
      <c r="H4113" s="21"/>
      <c r="I4113" s="22"/>
      <c r="J4113" s="22"/>
      <c r="K4113" s="24"/>
      <c r="M4113" s="21"/>
      <c r="N4113" s="22"/>
      <c r="O4113" s="22"/>
      <c r="P4113" s="49"/>
      <c r="Q4113" s="49"/>
      <c r="R4113" s="188" t="str">
        <f t="shared" si="133"/>
        <v/>
      </c>
      <c r="T4113" s="21"/>
      <c r="U4113" s="22"/>
      <c r="V4113" s="24"/>
      <c r="W4113" s="24"/>
      <c r="X4113" s="24"/>
      <c r="Y4113" s="24"/>
      <c r="Z4113" s="20" t="str">
        <f t="shared" si="132"/>
        <v/>
      </c>
    </row>
    <row r="4114" spans="1:26" x14ac:dyDescent="0.2">
      <c r="A4114" s="21"/>
      <c r="B4114" s="20"/>
      <c r="C4114" s="22"/>
      <c r="D4114" s="22"/>
      <c r="E4114" s="24"/>
      <c r="F4114" s="22"/>
      <c r="H4114" s="21"/>
      <c r="I4114" s="22"/>
      <c r="J4114" s="22"/>
      <c r="K4114" s="24"/>
      <c r="M4114" s="21"/>
      <c r="N4114" s="22"/>
      <c r="O4114" s="22"/>
      <c r="P4114" s="49"/>
      <c r="Q4114" s="49"/>
      <c r="R4114" s="188" t="str">
        <f t="shared" si="133"/>
        <v/>
      </c>
      <c r="T4114" s="21"/>
      <c r="U4114" s="22"/>
      <c r="V4114" s="24"/>
      <c r="W4114" s="24"/>
      <c r="X4114" s="24"/>
      <c r="Y4114" s="24"/>
      <c r="Z4114" s="20" t="str">
        <f t="shared" si="132"/>
        <v/>
      </c>
    </row>
    <row r="4115" spans="1:26" x14ac:dyDescent="0.2">
      <c r="A4115" s="21"/>
      <c r="B4115" s="20"/>
      <c r="C4115" s="22"/>
      <c r="D4115" s="22"/>
      <c r="E4115" s="24"/>
      <c r="F4115" s="22"/>
      <c r="H4115" s="21"/>
      <c r="I4115" s="22"/>
      <c r="J4115" s="22"/>
      <c r="K4115" s="24"/>
      <c r="M4115" s="21"/>
      <c r="N4115" s="22"/>
      <c r="O4115" s="22"/>
      <c r="P4115" s="49"/>
      <c r="Q4115" s="49"/>
      <c r="R4115" s="188" t="str">
        <f t="shared" si="133"/>
        <v/>
      </c>
      <c r="T4115" s="21"/>
      <c r="U4115" s="22"/>
      <c r="V4115" s="24"/>
      <c r="W4115" s="24"/>
      <c r="X4115" s="24"/>
      <c r="Y4115" s="24"/>
      <c r="Z4115" s="20" t="str">
        <f t="shared" ref="Z4115:Z4178" si="134">IF(COUNT(V4115:Y4115)=0,"",SUM(V4115:Y4115))</f>
        <v/>
      </c>
    </row>
    <row r="4116" spans="1:26" x14ac:dyDescent="0.2">
      <c r="A4116" s="21"/>
      <c r="B4116" s="20"/>
      <c r="C4116" s="22"/>
      <c r="D4116" s="22"/>
      <c r="E4116" s="24"/>
      <c r="F4116" s="22"/>
      <c r="H4116" s="21"/>
      <c r="I4116" s="22"/>
      <c r="J4116" s="22"/>
      <c r="K4116" s="24"/>
      <c r="M4116" s="21"/>
      <c r="N4116" s="22"/>
      <c r="O4116" s="22"/>
      <c r="P4116" s="49"/>
      <c r="Q4116" s="49"/>
      <c r="R4116" s="188" t="str">
        <f t="shared" si="133"/>
        <v/>
      </c>
      <c r="T4116" s="21"/>
      <c r="U4116" s="22"/>
      <c r="V4116" s="24"/>
      <c r="W4116" s="24"/>
      <c r="X4116" s="24"/>
      <c r="Y4116" s="24"/>
      <c r="Z4116" s="20" t="str">
        <f t="shared" si="134"/>
        <v/>
      </c>
    </row>
    <row r="4117" spans="1:26" x14ac:dyDescent="0.2">
      <c r="A4117" s="21"/>
      <c r="B4117" s="20"/>
      <c r="C4117" s="22"/>
      <c r="D4117" s="22"/>
      <c r="E4117" s="24"/>
      <c r="F4117" s="22"/>
      <c r="H4117" s="21"/>
      <c r="I4117" s="22"/>
      <c r="J4117" s="22"/>
      <c r="K4117" s="24"/>
      <c r="M4117" s="21"/>
      <c r="N4117" s="22"/>
      <c r="O4117" s="22"/>
      <c r="P4117" s="49"/>
      <c r="Q4117" s="49"/>
      <c r="R4117" s="188" t="str">
        <f t="shared" si="133"/>
        <v/>
      </c>
      <c r="T4117" s="21"/>
      <c r="U4117" s="22"/>
      <c r="V4117" s="24"/>
      <c r="W4117" s="24"/>
      <c r="X4117" s="24"/>
      <c r="Y4117" s="24"/>
      <c r="Z4117" s="20" t="str">
        <f t="shared" si="134"/>
        <v/>
      </c>
    </row>
    <row r="4118" spans="1:26" x14ac:dyDescent="0.2">
      <c r="A4118" s="21"/>
      <c r="B4118" s="20"/>
      <c r="C4118" s="22"/>
      <c r="D4118" s="22"/>
      <c r="E4118" s="24"/>
      <c r="F4118" s="22"/>
      <c r="H4118" s="21"/>
      <c r="I4118" s="22"/>
      <c r="J4118" s="22"/>
      <c r="K4118" s="24"/>
      <c r="M4118" s="21"/>
      <c r="N4118" s="22"/>
      <c r="O4118" s="22"/>
      <c r="P4118" s="49"/>
      <c r="Q4118" s="49"/>
      <c r="R4118" s="188" t="str">
        <f t="shared" ref="R4118:R4181" si="135">IF(OR(P4118="",Q4118=""),"",IFERROR(P4118-Q4118,""))</f>
        <v/>
      </c>
      <c r="T4118" s="21"/>
      <c r="U4118" s="22"/>
      <c r="V4118" s="24"/>
      <c r="W4118" s="24"/>
      <c r="X4118" s="24"/>
      <c r="Y4118" s="24"/>
      <c r="Z4118" s="20" t="str">
        <f t="shared" si="134"/>
        <v/>
      </c>
    </row>
    <row r="4119" spans="1:26" x14ac:dyDescent="0.2">
      <c r="A4119" s="21"/>
      <c r="B4119" s="20"/>
      <c r="C4119" s="22"/>
      <c r="D4119" s="22"/>
      <c r="E4119" s="24"/>
      <c r="F4119" s="22"/>
      <c r="H4119" s="21"/>
      <c r="I4119" s="22"/>
      <c r="J4119" s="22"/>
      <c r="K4119" s="24"/>
      <c r="M4119" s="21"/>
      <c r="N4119" s="22"/>
      <c r="O4119" s="22"/>
      <c r="P4119" s="49"/>
      <c r="Q4119" s="49"/>
      <c r="R4119" s="188" t="str">
        <f t="shared" si="135"/>
        <v/>
      </c>
      <c r="T4119" s="21"/>
      <c r="U4119" s="22"/>
      <c r="V4119" s="24"/>
      <c r="W4119" s="24"/>
      <c r="X4119" s="24"/>
      <c r="Y4119" s="24"/>
      <c r="Z4119" s="20" t="str">
        <f t="shared" si="134"/>
        <v/>
      </c>
    </row>
    <row r="4120" spans="1:26" x14ac:dyDescent="0.2">
      <c r="A4120" s="21"/>
      <c r="B4120" s="20"/>
      <c r="C4120" s="22"/>
      <c r="D4120" s="22"/>
      <c r="E4120" s="24"/>
      <c r="F4120" s="22"/>
      <c r="H4120" s="21"/>
      <c r="I4120" s="22"/>
      <c r="J4120" s="22"/>
      <c r="K4120" s="24"/>
      <c r="M4120" s="21"/>
      <c r="N4120" s="22"/>
      <c r="O4120" s="22"/>
      <c r="P4120" s="49"/>
      <c r="Q4120" s="49"/>
      <c r="R4120" s="188" t="str">
        <f t="shared" si="135"/>
        <v/>
      </c>
      <c r="T4120" s="21"/>
      <c r="U4120" s="22"/>
      <c r="V4120" s="24"/>
      <c r="W4120" s="24"/>
      <c r="X4120" s="24"/>
      <c r="Y4120" s="24"/>
      <c r="Z4120" s="20" t="str">
        <f t="shared" si="134"/>
        <v/>
      </c>
    </row>
    <row r="4121" spans="1:26" x14ac:dyDescent="0.2">
      <c r="A4121" s="21"/>
      <c r="B4121" s="20"/>
      <c r="C4121" s="22"/>
      <c r="D4121" s="22"/>
      <c r="E4121" s="24"/>
      <c r="F4121" s="22"/>
      <c r="H4121" s="21"/>
      <c r="I4121" s="22"/>
      <c r="J4121" s="22"/>
      <c r="K4121" s="24"/>
      <c r="M4121" s="21"/>
      <c r="N4121" s="22"/>
      <c r="O4121" s="22"/>
      <c r="P4121" s="49"/>
      <c r="Q4121" s="49"/>
      <c r="R4121" s="188" t="str">
        <f t="shared" si="135"/>
        <v/>
      </c>
      <c r="T4121" s="21"/>
      <c r="U4121" s="22"/>
      <c r="V4121" s="24"/>
      <c r="W4121" s="24"/>
      <c r="X4121" s="24"/>
      <c r="Y4121" s="24"/>
      <c r="Z4121" s="20" t="str">
        <f t="shared" si="134"/>
        <v/>
      </c>
    </row>
    <row r="4122" spans="1:26" x14ac:dyDescent="0.2">
      <c r="A4122" s="21"/>
      <c r="B4122" s="20"/>
      <c r="C4122" s="22"/>
      <c r="D4122" s="22"/>
      <c r="E4122" s="24"/>
      <c r="F4122" s="22"/>
      <c r="H4122" s="21"/>
      <c r="I4122" s="22"/>
      <c r="J4122" s="22"/>
      <c r="K4122" s="24"/>
      <c r="M4122" s="21"/>
      <c r="N4122" s="22"/>
      <c r="O4122" s="22"/>
      <c r="P4122" s="49"/>
      <c r="Q4122" s="49"/>
      <c r="R4122" s="188" t="str">
        <f t="shared" si="135"/>
        <v/>
      </c>
      <c r="T4122" s="21"/>
      <c r="U4122" s="22"/>
      <c r="V4122" s="24"/>
      <c r="W4122" s="24"/>
      <c r="X4122" s="24"/>
      <c r="Y4122" s="24"/>
      <c r="Z4122" s="20" t="str">
        <f t="shared" si="134"/>
        <v/>
      </c>
    </row>
    <row r="4123" spans="1:26" x14ac:dyDescent="0.2">
      <c r="A4123" s="21"/>
      <c r="B4123" s="20"/>
      <c r="C4123" s="22"/>
      <c r="D4123" s="22"/>
      <c r="E4123" s="24"/>
      <c r="F4123" s="22"/>
      <c r="H4123" s="21"/>
      <c r="I4123" s="22"/>
      <c r="J4123" s="22"/>
      <c r="K4123" s="24"/>
      <c r="M4123" s="21"/>
      <c r="N4123" s="22"/>
      <c r="O4123" s="22"/>
      <c r="P4123" s="49"/>
      <c r="Q4123" s="49"/>
      <c r="R4123" s="188" t="str">
        <f t="shared" si="135"/>
        <v/>
      </c>
      <c r="T4123" s="21"/>
      <c r="U4123" s="22"/>
      <c r="V4123" s="24"/>
      <c r="W4123" s="24"/>
      <c r="X4123" s="24"/>
      <c r="Y4123" s="24"/>
      <c r="Z4123" s="20" t="str">
        <f t="shared" si="134"/>
        <v/>
      </c>
    </row>
    <row r="4124" spans="1:26" x14ac:dyDescent="0.2">
      <c r="A4124" s="21"/>
      <c r="B4124" s="20"/>
      <c r="C4124" s="22"/>
      <c r="D4124" s="22"/>
      <c r="E4124" s="24"/>
      <c r="F4124" s="22"/>
      <c r="H4124" s="21"/>
      <c r="I4124" s="22"/>
      <c r="J4124" s="22"/>
      <c r="K4124" s="24"/>
      <c r="M4124" s="21"/>
      <c r="N4124" s="22"/>
      <c r="O4124" s="22"/>
      <c r="P4124" s="49"/>
      <c r="Q4124" s="49"/>
      <c r="R4124" s="188" t="str">
        <f t="shared" si="135"/>
        <v/>
      </c>
      <c r="T4124" s="21"/>
      <c r="U4124" s="22"/>
      <c r="V4124" s="24"/>
      <c r="W4124" s="24"/>
      <c r="X4124" s="24"/>
      <c r="Y4124" s="24"/>
      <c r="Z4124" s="20" t="str">
        <f t="shared" si="134"/>
        <v/>
      </c>
    </row>
    <row r="4125" spans="1:26" x14ac:dyDescent="0.2">
      <c r="A4125" s="21"/>
      <c r="B4125" s="20"/>
      <c r="C4125" s="22"/>
      <c r="D4125" s="22"/>
      <c r="E4125" s="24"/>
      <c r="F4125" s="22"/>
      <c r="H4125" s="21"/>
      <c r="I4125" s="22"/>
      <c r="J4125" s="22"/>
      <c r="K4125" s="24"/>
      <c r="M4125" s="21"/>
      <c r="N4125" s="22"/>
      <c r="O4125" s="22"/>
      <c r="P4125" s="49"/>
      <c r="Q4125" s="49"/>
      <c r="R4125" s="188" t="str">
        <f t="shared" si="135"/>
        <v/>
      </c>
      <c r="T4125" s="21"/>
      <c r="U4125" s="22"/>
      <c r="V4125" s="24"/>
      <c r="W4125" s="24"/>
      <c r="X4125" s="24"/>
      <c r="Y4125" s="24"/>
      <c r="Z4125" s="20" t="str">
        <f t="shared" si="134"/>
        <v/>
      </c>
    </row>
    <row r="4126" spans="1:26" x14ac:dyDescent="0.2">
      <c r="A4126" s="21"/>
      <c r="B4126" s="20"/>
      <c r="C4126" s="22"/>
      <c r="D4126" s="22"/>
      <c r="E4126" s="24"/>
      <c r="F4126" s="22"/>
      <c r="H4126" s="21"/>
      <c r="I4126" s="22"/>
      <c r="J4126" s="22"/>
      <c r="K4126" s="24"/>
      <c r="M4126" s="21"/>
      <c r="N4126" s="22"/>
      <c r="O4126" s="22"/>
      <c r="P4126" s="49"/>
      <c r="Q4126" s="49"/>
      <c r="R4126" s="188" t="str">
        <f t="shared" si="135"/>
        <v/>
      </c>
      <c r="T4126" s="21"/>
      <c r="U4126" s="22"/>
      <c r="V4126" s="24"/>
      <c r="W4126" s="24"/>
      <c r="X4126" s="24"/>
      <c r="Y4126" s="24"/>
      <c r="Z4126" s="20" t="str">
        <f t="shared" si="134"/>
        <v/>
      </c>
    </row>
    <row r="4127" spans="1:26" x14ac:dyDescent="0.2">
      <c r="A4127" s="21"/>
      <c r="B4127" s="20"/>
      <c r="C4127" s="22"/>
      <c r="D4127" s="22"/>
      <c r="E4127" s="24"/>
      <c r="F4127" s="22"/>
      <c r="H4127" s="21"/>
      <c r="I4127" s="22"/>
      <c r="J4127" s="22"/>
      <c r="K4127" s="24"/>
      <c r="M4127" s="21"/>
      <c r="N4127" s="22"/>
      <c r="O4127" s="22"/>
      <c r="P4127" s="49"/>
      <c r="Q4127" s="49"/>
      <c r="R4127" s="188" t="str">
        <f t="shared" si="135"/>
        <v/>
      </c>
      <c r="T4127" s="21"/>
      <c r="U4127" s="22"/>
      <c r="V4127" s="24"/>
      <c r="W4127" s="24"/>
      <c r="X4127" s="24"/>
      <c r="Y4127" s="24"/>
      <c r="Z4127" s="20" t="str">
        <f t="shared" si="134"/>
        <v/>
      </c>
    </row>
    <row r="4128" spans="1:26" x14ac:dyDescent="0.2">
      <c r="A4128" s="21"/>
      <c r="B4128" s="20"/>
      <c r="C4128" s="22"/>
      <c r="D4128" s="22"/>
      <c r="E4128" s="24"/>
      <c r="F4128" s="22"/>
      <c r="H4128" s="21"/>
      <c r="I4128" s="22"/>
      <c r="J4128" s="22"/>
      <c r="K4128" s="24"/>
      <c r="M4128" s="21"/>
      <c r="N4128" s="22"/>
      <c r="O4128" s="22"/>
      <c r="P4128" s="49"/>
      <c r="Q4128" s="49"/>
      <c r="R4128" s="188" t="str">
        <f t="shared" si="135"/>
        <v/>
      </c>
      <c r="T4128" s="21"/>
      <c r="U4128" s="22"/>
      <c r="V4128" s="24"/>
      <c r="W4128" s="24"/>
      <c r="X4128" s="24"/>
      <c r="Y4128" s="24"/>
      <c r="Z4128" s="20" t="str">
        <f t="shared" si="134"/>
        <v/>
      </c>
    </row>
    <row r="4129" spans="1:26" x14ac:dyDescent="0.2">
      <c r="A4129" s="21"/>
      <c r="B4129" s="20"/>
      <c r="C4129" s="22"/>
      <c r="D4129" s="22"/>
      <c r="E4129" s="24"/>
      <c r="F4129" s="22"/>
      <c r="H4129" s="21"/>
      <c r="I4129" s="22"/>
      <c r="J4129" s="22"/>
      <c r="K4129" s="24"/>
      <c r="M4129" s="21"/>
      <c r="N4129" s="22"/>
      <c r="O4129" s="22"/>
      <c r="P4129" s="49"/>
      <c r="Q4129" s="49"/>
      <c r="R4129" s="188" t="str">
        <f t="shared" si="135"/>
        <v/>
      </c>
      <c r="T4129" s="21"/>
      <c r="U4129" s="22"/>
      <c r="V4129" s="24"/>
      <c r="W4129" s="24"/>
      <c r="X4129" s="24"/>
      <c r="Y4129" s="24"/>
      <c r="Z4129" s="20" t="str">
        <f t="shared" si="134"/>
        <v/>
      </c>
    </row>
    <row r="4130" spans="1:26" x14ac:dyDescent="0.2">
      <c r="A4130" s="21"/>
      <c r="B4130" s="20"/>
      <c r="C4130" s="22"/>
      <c r="D4130" s="22"/>
      <c r="E4130" s="24"/>
      <c r="F4130" s="22"/>
      <c r="H4130" s="21"/>
      <c r="I4130" s="22"/>
      <c r="J4130" s="22"/>
      <c r="K4130" s="24"/>
      <c r="M4130" s="21"/>
      <c r="N4130" s="22"/>
      <c r="O4130" s="22"/>
      <c r="P4130" s="49"/>
      <c r="Q4130" s="49"/>
      <c r="R4130" s="188" t="str">
        <f t="shared" si="135"/>
        <v/>
      </c>
      <c r="T4130" s="21"/>
      <c r="U4130" s="22"/>
      <c r="V4130" s="24"/>
      <c r="W4130" s="24"/>
      <c r="X4130" s="24"/>
      <c r="Y4130" s="24"/>
      <c r="Z4130" s="20" t="str">
        <f t="shared" si="134"/>
        <v/>
      </c>
    </row>
    <row r="4131" spans="1:26" x14ac:dyDescent="0.2">
      <c r="A4131" s="21"/>
      <c r="B4131" s="20"/>
      <c r="C4131" s="22"/>
      <c r="D4131" s="22"/>
      <c r="E4131" s="24"/>
      <c r="F4131" s="22"/>
      <c r="H4131" s="21"/>
      <c r="I4131" s="22"/>
      <c r="J4131" s="22"/>
      <c r="K4131" s="24"/>
      <c r="M4131" s="21"/>
      <c r="N4131" s="22"/>
      <c r="O4131" s="22"/>
      <c r="P4131" s="49"/>
      <c r="Q4131" s="49"/>
      <c r="R4131" s="188" t="str">
        <f t="shared" si="135"/>
        <v/>
      </c>
      <c r="T4131" s="21"/>
      <c r="U4131" s="22"/>
      <c r="V4131" s="24"/>
      <c r="W4131" s="24"/>
      <c r="X4131" s="24"/>
      <c r="Y4131" s="24"/>
      <c r="Z4131" s="20" t="str">
        <f t="shared" si="134"/>
        <v/>
      </c>
    </row>
    <row r="4132" spans="1:26" x14ac:dyDescent="0.2">
      <c r="A4132" s="21"/>
      <c r="B4132" s="20"/>
      <c r="C4132" s="22"/>
      <c r="D4132" s="22"/>
      <c r="E4132" s="24"/>
      <c r="F4132" s="22"/>
      <c r="H4132" s="21"/>
      <c r="I4132" s="22"/>
      <c r="J4132" s="22"/>
      <c r="K4132" s="24"/>
      <c r="M4132" s="21"/>
      <c r="N4132" s="22"/>
      <c r="O4132" s="22"/>
      <c r="P4132" s="49"/>
      <c r="Q4132" s="49"/>
      <c r="R4132" s="188" t="str">
        <f t="shared" si="135"/>
        <v/>
      </c>
      <c r="T4132" s="21"/>
      <c r="U4132" s="22"/>
      <c r="V4132" s="24"/>
      <c r="W4132" s="24"/>
      <c r="X4132" s="24"/>
      <c r="Y4132" s="24"/>
      <c r="Z4132" s="20" t="str">
        <f t="shared" si="134"/>
        <v/>
      </c>
    </row>
    <row r="4133" spans="1:26" x14ac:dyDescent="0.2">
      <c r="A4133" s="21"/>
      <c r="B4133" s="20"/>
      <c r="C4133" s="22"/>
      <c r="D4133" s="22"/>
      <c r="E4133" s="24"/>
      <c r="F4133" s="22"/>
      <c r="H4133" s="21"/>
      <c r="I4133" s="22"/>
      <c r="J4133" s="22"/>
      <c r="K4133" s="24"/>
      <c r="M4133" s="21"/>
      <c r="N4133" s="22"/>
      <c r="O4133" s="22"/>
      <c r="P4133" s="49"/>
      <c r="Q4133" s="49"/>
      <c r="R4133" s="188" t="str">
        <f t="shared" si="135"/>
        <v/>
      </c>
      <c r="T4133" s="21"/>
      <c r="U4133" s="22"/>
      <c r="V4133" s="24"/>
      <c r="W4133" s="24"/>
      <c r="X4133" s="24"/>
      <c r="Y4133" s="24"/>
      <c r="Z4133" s="20" t="str">
        <f t="shared" si="134"/>
        <v/>
      </c>
    </row>
    <row r="4134" spans="1:26" x14ac:dyDescent="0.2">
      <c r="A4134" s="21"/>
      <c r="B4134" s="20"/>
      <c r="C4134" s="22"/>
      <c r="D4134" s="22"/>
      <c r="E4134" s="24"/>
      <c r="F4134" s="22"/>
      <c r="H4134" s="21"/>
      <c r="I4134" s="22"/>
      <c r="J4134" s="22"/>
      <c r="K4134" s="24"/>
      <c r="M4134" s="21"/>
      <c r="N4134" s="22"/>
      <c r="O4134" s="22"/>
      <c r="P4134" s="49"/>
      <c r="Q4134" s="49"/>
      <c r="R4134" s="188" t="str">
        <f t="shared" si="135"/>
        <v/>
      </c>
      <c r="T4134" s="21"/>
      <c r="U4134" s="22"/>
      <c r="V4134" s="24"/>
      <c r="W4134" s="24"/>
      <c r="X4134" s="24"/>
      <c r="Y4134" s="24"/>
      <c r="Z4134" s="20" t="str">
        <f t="shared" si="134"/>
        <v/>
      </c>
    </row>
    <row r="4135" spans="1:26" x14ac:dyDescent="0.2">
      <c r="A4135" s="21"/>
      <c r="B4135" s="20"/>
      <c r="C4135" s="22"/>
      <c r="D4135" s="22"/>
      <c r="E4135" s="24"/>
      <c r="F4135" s="22"/>
      <c r="H4135" s="21"/>
      <c r="I4135" s="22"/>
      <c r="J4135" s="22"/>
      <c r="K4135" s="24"/>
      <c r="M4135" s="21"/>
      <c r="N4135" s="22"/>
      <c r="O4135" s="22"/>
      <c r="P4135" s="49"/>
      <c r="Q4135" s="49"/>
      <c r="R4135" s="188" t="str">
        <f t="shared" si="135"/>
        <v/>
      </c>
      <c r="T4135" s="21"/>
      <c r="U4135" s="22"/>
      <c r="V4135" s="24"/>
      <c r="W4135" s="24"/>
      <c r="X4135" s="24"/>
      <c r="Y4135" s="24"/>
      <c r="Z4135" s="20" t="str">
        <f t="shared" si="134"/>
        <v/>
      </c>
    </row>
    <row r="4136" spans="1:26" x14ac:dyDescent="0.2">
      <c r="A4136" s="21"/>
      <c r="B4136" s="20"/>
      <c r="C4136" s="22"/>
      <c r="D4136" s="22"/>
      <c r="E4136" s="24"/>
      <c r="F4136" s="22"/>
      <c r="H4136" s="21"/>
      <c r="I4136" s="22"/>
      <c r="J4136" s="22"/>
      <c r="K4136" s="24"/>
      <c r="M4136" s="21"/>
      <c r="N4136" s="22"/>
      <c r="O4136" s="22"/>
      <c r="P4136" s="49"/>
      <c r="Q4136" s="49"/>
      <c r="R4136" s="188" t="str">
        <f t="shared" si="135"/>
        <v/>
      </c>
      <c r="T4136" s="21"/>
      <c r="U4136" s="22"/>
      <c r="V4136" s="24"/>
      <c r="W4136" s="24"/>
      <c r="X4136" s="24"/>
      <c r="Y4136" s="24"/>
      <c r="Z4136" s="20" t="str">
        <f t="shared" si="134"/>
        <v/>
      </c>
    </row>
    <row r="4137" spans="1:26" x14ac:dyDescent="0.2">
      <c r="A4137" s="21"/>
      <c r="B4137" s="20"/>
      <c r="C4137" s="22"/>
      <c r="D4137" s="22"/>
      <c r="E4137" s="24"/>
      <c r="F4137" s="22"/>
      <c r="H4137" s="21"/>
      <c r="I4137" s="22"/>
      <c r="J4137" s="22"/>
      <c r="K4137" s="24"/>
      <c r="M4137" s="21"/>
      <c r="N4137" s="22"/>
      <c r="O4137" s="22"/>
      <c r="P4137" s="49"/>
      <c r="Q4137" s="49"/>
      <c r="R4137" s="188" t="str">
        <f t="shared" si="135"/>
        <v/>
      </c>
      <c r="T4137" s="21"/>
      <c r="U4137" s="22"/>
      <c r="V4137" s="24"/>
      <c r="W4137" s="24"/>
      <c r="X4137" s="24"/>
      <c r="Y4137" s="24"/>
      <c r="Z4137" s="20" t="str">
        <f t="shared" si="134"/>
        <v/>
      </c>
    </row>
    <row r="4138" spans="1:26" x14ac:dyDescent="0.2">
      <c r="A4138" s="21"/>
      <c r="B4138" s="20"/>
      <c r="C4138" s="22"/>
      <c r="D4138" s="22"/>
      <c r="E4138" s="24"/>
      <c r="F4138" s="22"/>
      <c r="H4138" s="21"/>
      <c r="I4138" s="22"/>
      <c r="J4138" s="22"/>
      <c r="K4138" s="24"/>
      <c r="M4138" s="21"/>
      <c r="N4138" s="22"/>
      <c r="O4138" s="22"/>
      <c r="P4138" s="49"/>
      <c r="Q4138" s="49"/>
      <c r="R4138" s="188" t="str">
        <f t="shared" si="135"/>
        <v/>
      </c>
      <c r="T4138" s="21"/>
      <c r="U4138" s="22"/>
      <c r="V4138" s="24"/>
      <c r="W4138" s="24"/>
      <c r="X4138" s="24"/>
      <c r="Y4138" s="24"/>
      <c r="Z4138" s="20" t="str">
        <f t="shared" si="134"/>
        <v/>
      </c>
    </row>
    <row r="4139" spans="1:26" x14ac:dyDescent="0.2">
      <c r="A4139" s="21"/>
      <c r="B4139" s="20"/>
      <c r="C4139" s="22"/>
      <c r="D4139" s="22"/>
      <c r="E4139" s="24"/>
      <c r="F4139" s="22"/>
      <c r="H4139" s="21"/>
      <c r="I4139" s="22"/>
      <c r="J4139" s="22"/>
      <c r="K4139" s="24"/>
      <c r="M4139" s="21"/>
      <c r="N4139" s="22"/>
      <c r="O4139" s="22"/>
      <c r="P4139" s="49"/>
      <c r="Q4139" s="49"/>
      <c r="R4139" s="188" t="str">
        <f t="shared" si="135"/>
        <v/>
      </c>
      <c r="T4139" s="21"/>
      <c r="U4139" s="22"/>
      <c r="V4139" s="24"/>
      <c r="W4139" s="24"/>
      <c r="X4139" s="24"/>
      <c r="Y4139" s="24"/>
      <c r="Z4139" s="20" t="str">
        <f t="shared" si="134"/>
        <v/>
      </c>
    </row>
    <row r="4140" spans="1:26" x14ac:dyDescent="0.2">
      <c r="A4140" s="21"/>
      <c r="B4140" s="20"/>
      <c r="C4140" s="22"/>
      <c r="D4140" s="22"/>
      <c r="E4140" s="24"/>
      <c r="F4140" s="22"/>
      <c r="H4140" s="21"/>
      <c r="I4140" s="22"/>
      <c r="J4140" s="22"/>
      <c r="K4140" s="24"/>
      <c r="M4140" s="21"/>
      <c r="N4140" s="22"/>
      <c r="O4140" s="22"/>
      <c r="P4140" s="49"/>
      <c r="Q4140" s="49"/>
      <c r="R4140" s="188" t="str">
        <f t="shared" si="135"/>
        <v/>
      </c>
      <c r="T4140" s="21"/>
      <c r="U4140" s="22"/>
      <c r="V4140" s="24"/>
      <c r="W4140" s="24"/>
      <c r="X4140" s="24"/>
      <c r="Y4140" s="24"/>
      <c r="Z4140" s="20" t="str">
        <f t="shared" si="134"/>
        <v/>
      </c>
    </row>
    <row r="4141" spans="1:26" x14ac:dyDescent="0.2">
      <c r="A4141" s="21"/>
      <c r="B4141" s="20"/>
      <c r="C4141" s="22"/>
      <c r="D4141" s="22"/>
      <c r="E4141" s="24"/>
      <c r="F4141" s="22"/>
      <c r="H4141" s="21"/>
      <c r="I4141" s="22"/>
      <c r="J4141" s="22"/>
      <c r="K4141" s="24"/>
      <c r="M4141" s="21"/>
      <c r="N4141" s="22"/>
      <c r="O4141" s="22"/>
      <c r="P4141" s="49"/>
      <c r="Q4141" s="49"/>
      <c r="R4141" s="188" t="str">
        <f t="shared" si="135"/>
        <v/>
      </c>
      <c r="T4141" s="21"/>
      <c r="U4141" s="22"/>
      <c r="V4141" s="24"/>
      <c r="W4141" s="24"/>
      <c r="X4141" s="24"/>
      <c r="Y4141" s="24"/>
      <c r="Z4141" s="20" t="str">
        <f t="shared" si="134"/>
        <v/>
      </c>
    </row>
    <row r="4142" spans="1:26" x14ac:dyDescent="0.2">
      <c r="A4142" s="21"/>
      <c r="B4142" s="20"/>
      <c r="C4142" s="22"/>
      <c r="D4142" s="22"/>
      <c r="E4142" s="24"/>
      <c r="F4142" s="22"/>
      <c r="H4142" s="21"/>
      <c r="I4142" s="22"/>
      <c r="J4142" s="22"/>
      <c r="K4142" s="24"/>
      <c r="M4142" s="21"/>
      <c r="N4142" s="22"/>
      <c r="O4142" s="22"/>
      <c r="P4142" s="49"/>
      <c r="Q4142" s="49"/>
      <c r="R4142" s="188" t="str">
        <f t="shared" si="135"/>
        <v/>
      </c>
      <c r="T4142" s="21"/>
      <c r="U4142" s="22"/>
      <c r="V4142" s="24"/>
      <c r="W4142" s="24"/>
      <c r="X4142" s="24"/>
      <c r="Y4142" s="24"/>
      <c r="Z4142" s="20" t="str">
        <f t="shared" si="134"/>
        <v/>
      </c>
    </row>
    <row r="4143" spans="1:26" x14ac:dyDescent="0.2">
      <c r="A4143" s="21"/>
      <c r="B4143" s="20"/>
      <c r="C4143" s="22"/>
      <c r="D4143" s="22"/>
      <c r="E4143" s="24"/>
      <c r="F4143" s="22"/>
      <c r="H4143" s="21"/>
      <c r="I4143" s="22"/>
      <c r="J4143" s="22"/>
      <c r="K4143" s="24"/>
      <c r="M4143" s="21"/>
      <c r="N4143" s="22"/>
      <c r="O4143" s="22"/>
      <c r="P4143" s="49"/>
      <c r="Q4143" s="49"/>
      <c r="R4143" s="188" t="str">
        <f t="shared" si="135"/>
        <v/>
      </c>
      <c r="T4143" s="21"/>
      <c r="U4143" s="22"/>
      <c r="V4143" s="24"/>
      <c r="W4143" s="24"/>
      <c r="X4143" s="24"/>
      <c r="Y4143" s="24"/>
      <c r="Z4143" s="20" t="str">
        <f t="shared" si="134"/>
        <v/>
      </c>
    </row>
    <row r="4144" spans="1:26" x14ac:dyDescent="0.2">
      <c r="A4144" s="21"/>
      <c r="B4144" s="20"/>
      <c r="C4144" s="22"/>
      <c r="D4144" s="22"/>
      <c r="E4144" s="24"/>
      <c r="F4144" s="22"/>
      <c r="H4144" s="21"/>
      <c r="I4144" s="22"/>
      <c r="J4144" s="22"/>
      <c r="K4144" s="24"/>
      <c r="M4144" s="21"/>
      <c r="N4144" s="22"/>
      <c r="O4144" s="22"/>
      <c r="P4144" s="49"/>
      <c r="Q4144" s="49"/>
      <c r="R4144" s="188" t="str">
        <f t="shared" si="135"/>
        <v/>
      </c>
      <c r="T4144" s="21"/>
      <c r="U4144" s="22"/>
      <c r="V4144" s="24"/>
      <c r="W4144" s="24"/>
      <c r="X4144" s="24"/>
      <c r="Y4144" s="24"/>
      <c r="Z4144" s="20" t="str">
        <f t="shared" si="134"/>
        <v/>
      </c>
    </row>
    <row r="4145" spans="1:26" x14ac:dyDescent="0.2">
      <c r="A4145" s="21"/>
      <c r="B4145" s="20"/>
      <c r="C4145" s="22"/>
      <c r="D4145" s="22"/>
      <c r="E4145" s="24"/>
      <c r="F4145" s="22"/>
      <c r="H4145" s="21"/>
      <c r="I4145" s="22"/>
      <c r="J4145" s="22"/>
      <c r="K4145" s="24"/>
      <c r="M4145" s="21"/>
      <c r="N4145" s="22"/>
      <c r="O4145" s="22"/>
      <c r="P4145" s="49"/>
      <c r="Q4145" s="49"/>
      <c r="R4145" s="188" t="str">
        <f t="shared" si="135"/>
        <v/>
      </c>
      <c r="T4145" s="21"/>
      <c r="U4145" s="22"/>
      <c r="V4145" s="24"/>
      <c r="W4145" s="24"/>
      <c r="X4145" s="24"/>
      <c r="Y4145" s="24"/>
      <c r="Z4145" s="20" t="str">
        <f t="shared" si="134"/>
        <v/>
      </c>
    </row>
    <row r="4146" spans="1:26" x14ac:dyDescent="0.2">
      <c r="A4146" s="21"/>
      <c r="B4146" s="20"/>
      <c r="C4146" s="22"/>
      <c r="D4146" s="22"/>
      <c r="E4146" s="24"/>
      <c r="F4146" s="22"/>
      <c r="H4146" s="21"/>
      <c r="I4146" s="22"/>
      <c r="J4146" s="22"/>
      <c r="K4146" s="24"/>
      <c r="M4146" s="21"/>
      <c r="N4146" s="22"/>
      <c r="O4146" s="22"/>
      <c r="P4146" s="49"/>
      <c r="Q4146" s="49"/>
      <c r="R4146" s="188" t="str">
        <f t="shared" si="135"/>
        <v/>
      </c>
      <c r="T4146" s="21"/>
      <c r="U4146" s="22"/>
      <c r="V4146" s="24"/>
      <c r="W4146" s="24"/>
      <c r="X4146" s="24"/>
      <c r="Y4146" s="24"/>
      <c r="Z4146" s="20" t="str">
        <f t="shared" si="134"/>
        <v/>
      </c>
    </row>
    <row r="4147" spans="1:26" x14ac:dyDescent="0.2">
      <c r="A4147" s="21"/>
      <c r="B4147" s="20"/>
      <c r="C4147" s="22"/>
      <c r="D4147" s="22"/>
      <c r="E4147" s="24"/>
      <c r="F4147" s="22"/>
      <c r="H4147" s="21"/>
      <c r="I4147" s="22"/>
      <c r="J4147" s="22"/>
      <c r="K4147" s="24"/>
      <c r="M4147" s="21"/>
      <c r="N4147" s="22"/>
      <c r="O4147" s="22"/>
      <c r="P4147" s="49"/>
      <c r="Q4147" s="49"/>
      <c r="R4147" s="188" t="str">
        <f t="shared" si="135"/>
        <v/>
      </c>
      <c r="T4147" s="21"/>
      <c r="U4147" s="22"/>
      <c r="V4147" s="24"/>
      <c r="W4147" s="24"/>
      <c r="X4147" s="24"/>
      <c r="Y4147" s="24"/>
      <c r="Z4147" s="20" t="str">
        <f t="shared" si="134"/>
        <v/>
      </c>
    </row>
    <row r="4148" spans="1:26" x14ac:dyDescent="0.2">
      <c r="A4148" s="21"/>
      <c r="B4148" s="20"/>
      <c r="C4148" s="22"/>
      <c r="D4148" s="22"/>
      <c r="E4148" s="24"/>
      <c r="F4148" s="22"/>
      <c r="H4148" s="21"/>
      <c r="I4148" s="22"/>
      <c r="J4148" s="22"/>
      <c r="K4148" s="24"/>
      <c r="M4148" s="21"/>
      <c r="N4148" s="22"/>
      <c r="O4148" s="22"/>
      <c r="P4148" s="49"/>
      <c r="Q4148" s="49"/>
      <c r="R4148" s="188" t="str">
        <f t="shared" si="135"/>
        <v/>
      </c>
      <c r="T4148" s="21"/>
      <c r="U4148" s="22"/>
      <c r="V4148" s="24"/>
      <c r="W4148" s="24"/>
      <c r="X4148" s="24"/>
      <c r="Y4148" s="24"/>
      <c r="Z4148" s="20" t="str">
        <f t="shared" si="134"/>
        <v/>
      </c>
    </row>
    <row r="4149" spans="1:26" x14ac:dyDescent="0.2">
      <c r="A4149" s="21"/>
      <c r="B4149" s="20"/>
      <c r="C4149" s="22"/>
      <c r="D4149" s="22"/>
      <c r="E4149" s="24"/>
      <c r="F4149" s="22"/>
      <c r="H4149" s="21"/>
      <c r="I4149" s="22"/>
      <c r="J4149" s="22"/>
      <c r="K4149" s="24"/>
      <c r="M4149" s="21"/>
      <c r="N4149" s="22"/>
      <c r="O4149" s="22"/>
      <c r="P4149" s="49"/>
      <c r="Q4149" s="49"/>
      <c r="R4149" s="188" t="str">
        <f t="shared" si="135"/>
        <v/>
      </c>
      <c r="T4149" s="21"/>
      <c r="U4149" s="22"/>
      <c r="V4149" s="24"/>
      <c r="W4149" s="24"/>
      <c r="X4149" s="24"/>
      <c r="Y4149" s="24"/>
      <c r="Z4149" s="20" t="str">
        <f t="shared" si="134"/>
        <v/>
      </c>
    </row>
    <row r="4150" spans="1:26" x14ac:dyDescent="0.2">
      <c r="A4150" s="21"/>
      <c r="B4150" s="20"/>
      <c r="C4150" s="22"/>
      <c r="D4150" s="22"/>
      <c r="E4150" s="24"/>
      <c r="F4150" s="22"/>
      <c r="H4150" s="21"/>
      <c r="I4150" s="22"/>
      <c r="J4150" s="22"/>
      <c r="K4150" s="24"/>
      <c r="M4150" s="21"/>
      <c r="N4150" s="22"/>
      <c r="O4150" s="22"/>
      <c r="P4150" s="49"/>
      <c r="Q4150" s="49"/>
      <c r="R4150" s="188" t="str">
        <f t="shared" si="135"/>
        <v/>
      </c>
      <c r="T4150" s="21"/>
      <c r="U4150" s="22"/>
      <c r="V4150" s="24"/>
      <c r="W4150" s="24"/>
      <c r="X4150" s="24"/>
      <c r="Y4150" s="24"/>
      <c r="Z4150" s="20" t="str">
        <f t="shared" si="134"/>
        <v/>
      </c>
    </row>
    <row r="4151" spans="1:26" x14ac:dyDescent="0.2">
      <c r="A4151" s="21"/>
      <c r="B4151" s="20"/>
      <c r="C4151" s="22"/>
      <c r="D4151" s="22"/>
      <c r="E4151" s="24"/>
      <c r="F4151" s="22"/>
      <c r="H4151" s="21"/>
      <c r="I4151" s="22"/>
      <c r="J4151" s="22"/>
      <c r="K4151" s="24"/>
      <c r="M4151" s="21"/>
      <c r="N4151" s="22"/>
      <c r="O4151" s="22"/>
      <c r="P4151" s="49"/>
      <c r="Q4151" s="49"/>
      <c r="R4151" s="188" t="str">
        <f t="shared" si="135"/>
        <v/>
      </c>
      <c r="T4151" s="21"/>
      <c r="U4151" s="22"/>
      <c r="V4151" s="24"/>
      <c r="W4151" s="24"/>
      <c r="X4151" s="24"/>
      <c r="Y4151" s="24"/>
      <c r="Z4151" s="20" t="str">
        <f t="shared" si="134"/>
        <v/>
      </c>
    </row>
    <row r="4152" spans="1:26" x14ac:dyDescent="0.2">
      <c r="A4152" s="21"/>
      <c r="B4152" s="20"/>
      <c r="C4152" s="22"/>
      <c r="D4152" s="22"/>
      <c r="E4152" s="24"/>
      <c r="F4152" s="22"/>
      <c r="H4152" s="21"/>
      <c r="I4152" s="22"/>
      <c r="J4152" s="22"/>
      <c r="K4152" s="24"/>
      <c r="M4152" s="21"/>
      <c r="N4152" s="22"/>
      <c r="O4152" s="22"/>
      <c r="P4152" s="49"/>
      <c r="Q4152" s="49"/>
      <c r="R4152" s="188" t="str">
        <f t="shared" si="135"/>
        <v/>
      </c>
      <c r="T4152" s="21"/>
      <c r="U4152" s="22"/>
      <c r="V4152" s="24"/>
      <c r="W4152" s="24"/>
      <c r="X4152" s="24"/>
      <c r="Y4152" s="24"/>
      <c r="Z4152" s="20" t="str">
        <f t="shared" si="134"/>
        <v/>
      </c>
    </row>
    <row r="4153" spans="1:26" x14ac:dyDescent="0.2">
      <c r="A4153" s="21"/>
      <c r="B4153" s="20"/>
      <c r="C4153" s="22"/>
      <c r="D4153" s="22"/>
      <c r="E4153" s="24"/>
      <c r="F4153" s="22"/>
      <c r="H4153" s="21"/>
      <c r="I4153" s="22"/>
      <c r="J4153" s="22"/>
      <c r="K4153" s="24"/>
      <c r="M4153" s="21"/>
      <c r="N4153" s="22"/>
      <c r="O4153" s="22"/>
      <c r="P4153" s="49"/>
      <c r="Q4153" s="49"/>
      <c r="R4153" s="188" t="str">
        <f t="shared" si="135"/>
        <v/>
      </c>
      <c r="T4153" s="21"/>
      <c r="U4153" s="22"/>
      <c r="V4153" s="24"/>
      <c r="W4153" s="24"/>
      <c r="X4153" s="24"/>
      <c r="Y4153" s="24"/>
      <c r="Z4153" s="20" t="str">
        <f t="shared" si="134"/>
        <v/>
      </c>
    </row>
    <row r="4154" spans="1:26" x14ac:dyDescent="0.2">
      <c r="A4154" s="21"/>
      <c r="B4154" s="20"/>
      <c r="C4154" s="22"/>
      <c r="D4154" s="22"/>
      <c r="E4154" s="24"/>
      <c r="F4154" s="22"/>
      <c r="H4154" s="21"/>
      <c r="I4154" s="22"/>
      <c r="J4154" s="22"/>
      <c r="K4154" s="24"/>
      <c r="M4154" s="21"/>
      <c r="N4154" s="22"/>
      <c r="O4154" s="22"/>
      <c r="P4154" s="49"/>
      <c r="Q4154" s="49"/>
      <c r="R4154" s="188" t="str">
        <f t="shared" si="135"/>
        <v/>
      </c>
      <c r="T4154" s="21"/>
      <c r="U4154" s="22"/>
      <c r="V4154" s="24"/>
      <c r="W4154" s="24"/>
      <c r="X4154" s="24"/>
      <c r="Y4154" s="24"/>
      <c r="Z4154" s="20" t="str">
        <f t="shared" si="134"/>
        <v/>
      </c>
    </row>
    <row r="4155" spans="1:26" x14ac:dyDescent="0.2">
      <c r="A4155" s="21"/>
      <c r="B4155" s="20"/>
      <c r="C4155" s="22"/>
      <c r="D4155" s="22"/>
      <c r="E4155" s="24"/>
      <c r="F4155" s="22"/>
      <c r="H4155" s="21"/>
      <c r="I4155" s="22"/>
      <c r="J4155" s="22"/>
      <c r="K4155" s="24"/>
      <c r="M4155" s="21"/>
      <c r="N4155" s="22"/>
      <c r="O4155" s="22"/>
      <c r="P4155" s="49"/>
      <c r="Q4155" s="49"/>
      <c r="R4155" s="188" t="str">
        <f t="shared" si="135"/>
        <v/>
      </c>
      <c r="T4155" s="21"/>
      <c r="U4155" s="22"/>
      <c r="V4155" s="24"/>
      <c r="W4155" s="24"/>
      <c r="X4155" s="24"/>
      <c r="Y4155" s="24"/>
      <c r="Z4155" s="20" t="str">
        <f t="shared" si="134"/>
        <v/>
      </c>
    </row>
    <row r="4156" spans="1:26" x14ac:dyDescent="0.2">
      <c r="A4156" s="21"/>
      <c r="B4156" s="20"/>
      <c r="C4156" s="22"/>
      <c r="D4156" s="22"/>
      <c r="E4156" s="24"/>
      <c r="F4156" s="22"/>
      <c r="H4156" s="21"/>
      <c r="I4156" s="22"/>
      <c r="J4156" s="22"/>
      <c r="K4156" s="24"/>
      <c r="M4156" s="21"/>
      <c r="N4156" s="22"/>
      <c r="O4156" s="22"/>
      <c r="P4156" s="49"/>
      <c r="Q4156" s="49"/>
      <c r="R4156" s="188" t="str">
        <f t="shared" si="135"/>
        <v/>
      </c>
      <c r="T4156" s="21"/>
      <c r="U4156" s="22"/>
      <c r="V4156" s="24"/>
      <c r="W4156" s="24"/>
      <c r="X4156" s="24"/>
      <c r="Y4156" s="24"/>
      <c r="Z4156" s="20" t="str">
        <f t="shared" si="134"/>
        <v/>
      </c>
    </row>
    <row r="4157" spans="1:26" x14ac:dyDescent="0.2">
      <c r="A4157" s="21"/>
      <c r="B4157" s="20"/>
      <c r="C4157" s="22"/>
      <c r="D4157" s="22"/>
      <c r="E4157" s="24"/>
      <c r="F4157" s="22"/>
      <c r="H4157" s="21"/>
      <c r="I4157" s="22"/>
      <c r="J4157" s="22"/>
      <c r="K4157" s="24"/>
      <c r="M4157" s="21"/>
      <c r="N4157" s="22"/>
      <c r="O4157" s="22"/>
      <c r="P4157" s="49"/>
      <c r="Q4157" s="49"/>
      <c r="R4157" s="188" t="str">
        <f t="shared" si="135"/>
        <v/>
      </c>
      <c r="T4157" s="21"/>
      <c r="U4157" s="22"/>
      <c r="V4157" s="24"/>
      <c r="W4157" s="24"/>
      <c r="X4157" s="24"/>
      <c r="Y4157" s="24"/>
      <c r="Z4157" s="20" t="str">
        <f t="shared" si="134"/>
        <v/>
      </c>
    </row>
    <row r="4158" spans="1:26" x14ac:dyDescent="0.2">
      <c r="A4158" s="21"/>
      <c r="B4158" s="20"/>
      <c r="C4158" s="22"/>
      <c r="D4158" s="22"/>
      <c r="E4158" s="24"/>
      <c r="F4158" s="22"/>
      <c r="H4158" s="21"/>
      <c r="I4158" s="22"/>
      <c r="J4158" s="22"/>
      <c r="K4158" s="24"/>
      <c r="M4158" s="21"/>
      <c r="N4158" s="22"/>
      <c r="O4158" s="22"/>
      <c r="P4158" s="49"/>
      <c r="Q4158" s="49"/>
      <c r="R4158" s="188" t="str">
        <f t="shared" si="135"/>
        <v/>
      </c>
      <c r="T4158" s="21"/>
      <c r="U4158" s="22"/>
      <c r="V4158" s="24"/>
      <c r="W4158" s="24"/>
      <c r="X4158" s="24"/>
      <c r="Y4158" s="24"/>
      <c r="Z4158" s="20" t="str">
        <f t="shared" si="134"/>
        <v/>
      </c>
    </row>
    <row r="4159" spans="1:26" x14ac:dyDescent="0.2">
      <c r="A4159" s="21"/>
      <c r="B4159" s="20"/>
      <c r="C4159" s="22"/>
      <c r="D4159" s="22"/>
      <c r="E4159" s="24"/>
      <c r="F4159" s="22"/>
      <c r="H4159" s="21"/>
      <c r="I4159" s="22"/>
      <c r="J4159" s="22"/>
      <c r="K4159" s="24"/>
      <c r="M4159" s="21"/>
      <c r="N4159" s="22"/>
      <c r="O4159" s="22"/>
      <c r="P4159" s="49"/>
      <c r="Q4159" s="49"/>
      <c r="R4159" s="188" t="str">
        <f t="shared" si="135"/>
        <v/>
      </c>
      <c r="T4159" s="21"/>
      <c r="U4159" s="22"/>
      <c r="V4159" s="24"/>
      <c r="W4159" s="24"/>
      <c r="X4159" s="24"/>
      <c r="Y4159" s="24"/>
      <c r="Z4159" s="20" t="str">
        <f t="shared" si="134"/>
        <v/>
      </c>
    </row>
    <row r="4160" spans="1:26" x14ac:dyDescent="0.2">
      <c r="A4160" s="21"/>
      <c r="B4160" s="20"/>
      <c r="C4160" s="22"/>
      <c r="D4160" s="22"/>
      <c r="E4160" s="24"/>
      <c r="F4160" s="22"/>
      <c r="H4160" s="21"/>
      <c r="I4160" s="22"/>
      <c r="J4160" s="22"/>
      <c r="K4160" s="24"/>
      <c r="M4160" s="21"/>
      <c r="N4160" s="22"/>
      <c r="O4160" s="22"/>
      <c r="P4160" s="49"/>
      <c r="Q4160" s="49"/>
      <c r="R4160" s="188" t="str">
        <f t="shared" si="135"/>
        <v/>
      </c>
      <c r="T4160" s="21"/>
      <c r="U4160" s="22"/>
      <c r="V4160" s="24"/>
      <c r="W4160" s="24"/>
      <c r="X4160" s="24"/>
      <c r="Y4160" s="24"/>
      <c r="Z4160" s="20" t="str">
        <f t="shared" si="134"/>
        <v/>
      </c>
    </row>
    <row r="4161" spans="1:26" x14ac:dyDescent="0.2">
      <c r="A4161" s="21"/>
      <c r="B4161" s="20"/>
      <c r="C4161" s="22"/>
      <c r="D4161" s="22"/>
      <c r="E4161" s="24"/>
      <c r="F4161" s="22"/>
      <c r="H4161" s="21"/>
      <c r="I4161" s="22"/>
      <c r="J4161" s="22"/>
      <c r="K4161" s="24"/>
      <c r="M4161" s="21"/>
      <c r="N4161" s="22"/>
      <c r="O4161" s="22"/>
      <c r="P4161" s="49"/>
      <c r="Q4161" s="49"/>
      <c r="R4161" s="188" t="str">
        <f t="shared" si="135"/>
        <v/>
      </c>
      <c r="T4161" s="21"/>
      <c r="U4161" s="22"/>
      <c r="V4161" s="24"/>
      <c r="W4161" s="24"/>
      <c r="X4161" s="24"/>
      <c r="Y4161" s="24"/>
      <c r="Z4161" s="20" t="str">
        <f t="shared" si="134"/>
        <v/>
      </c>
    </row>
    <row r="4162" spans="1:26" x14ac:dyDescent="0.2">
      <c r="A4162" s="21"/>
      <c r="B4162" s="20"/>
      <c r="C4162" s="22"/>
      <c r="D4162" s="22"/>
      <c r="E4162" s="24"/>
      <c r="F4162" s="22"/>
      <c r="H4162" s="21"/>
      <c r="I4162" s="22"/>
      <c r="J4162" s="22"/>
      <c r="K4162" s="24"/>
      <c r="M4162" s="21"/>
      <c r="N4162" s="22"/>
      <c r="O4162" s="22"/>
      <c r="P4162" s="49"/>
      <c r="Q4162" s="49"/>
      <c r="R4162" s="188" t="str">
        <f t="shared" si="135"/>
        <v/>
      </c>
      <c r="T4162" s="21"/>
      <c r="U4162" s="22"/>
      <c r="V4162" s="24"/>
      <c r="W4162" s="24"/>
      <c r="X4162" s="24"/>
      <c r="Y4162" s="24"/>
      <c r="Z4162" s="20" t="str">
        <f t="shared" si="134"/>
        <v/>
      </c>
    </row>
    <row r="4163" spans="1:26" x14ac:dyDescent="0.2">
      <c r="A4163" s="21"/>
      <c r="B4163" s="20"/>
      <c r="C4163" s="22"/>
      <c r="D4163" s="22"/>
      <c r="E4163" s="24"/>
      <c r="F4163" s="22"/>
      <c r="H4163" s="21"/>
      <c r="I4163" s="22"/>
      <c r="J4163" s="22"/>
      <c r="K4163" s="24"/>
      <c r="M4163" s="21"/>
      <c r="N4163" s="22"/>
      <c r="O4163" s="22"/>
      <c r="P4163" s="49"/>
      <c r="Q4163" s="49"/>
      <c r="R4163" s="188" t="str">
        <f t="shared" si="135"/>
        <v/>
      </c>
      <c r="T4163" s="21"/>
      <c r="U4163" s="22"/>
      <c r="V4163" s="24"/>
      <c r="W4163" s="24"/>
      <c r="X4163" s="24"/>
      <c r="Y4163" s="24"/>
      <c r="Z4163" s="20" t="str">
        <f t="shared" si="134"/>
        <v/>
      </c>
    </row>
    <row r="4164" spans="1:26" x14ac:dyDescent="0.2">
      <c r="A4164" s="21"/>
      <c r="B4164" s="20"/>
      <c r="C4164" s="22"/>
      <c r="D4164" s="22"/>
      <c r="E4164" s="24"/>
      <c r="F4164" s="22"/>
      <c r="H4164" s="21"/>
      <c r="I4164" s="22"/>
      <c r="J4164" s="22"/>
      <c r="K4164" s="24"/>
      <c r="M4164" s="21"/>
      <c r="N4164" s="22"/>
      <c r="O4164" s="22"/>
      <c r="P4164" s="49"/>
      <c r="Q4164" s="49"/>
      <c r="R4164" s="188" t="str">
        <f t="shared" si="135"/>
        <v/>
      </c>
      <c r="T4164" s="21"/>
      <c r="U4164" s="22"/>
      <c r="V4164" s="24"/>
      <c r="W4164" s="24"/>
      <c r="X4164" s="24"/>
      <c r="Y4164" s="24"/>
      <c r="Z4164" s="20" t="str">
        <f t="shared" si="134"/>
        <v/>
      </c>
    </row>
    <row r="4165" spans="1:26" x14ac:dyDescent="0.2">
      <c r="A4165" s="21"/>
      <c r="B4165" s="20"/>
      <c r="C4165" s="22"/>
      <c r="D4165" s="22"/>
      <c r="E4165" s="24"/>
      <c r="F4165" s="22"/>
      <c r="H4165" s="21"/>
      <c r="I4165" s="22"/>
      <c r="J4165" s="22"/>
      <c r="K4165" s="24"/>
      <c r="M4165" s="21"/>
      <c r="N4165" s="22"/>
      <c r="O4165" s="22"/>
      <c r="P4165" s="49"/>
      <c r="Q4165" s="49"/>
      <c r="R4165" s="188" t="str">
        <f t="shared" si="135"/>
        <v/>
      </c>
      <c r="T4165" s="21"/>
      <c r="U4165" s="22"/>
      <c r="V4165" s="24"/>
      <c r="W4165" s="24"/>
      <c r="X4165" s="24"/>
      <c r="Y4165" s="24"/>
      <c r="Z4165" s="20" t="str">
        <f t="shared" si="134"/>
        <v/>
      </c>
    </row>
    <row r="4166" spans="1:26" x14ac:dyDescent="0.2">
      <c r="A4166" s="21"/>
      <c r="B4166" s="20"/>
      <c r="C4166" s="22"/>
      <c r="D4166" s="22"/>
      <c r="E4166" s="24"/>
      <c r="F4166" s="22"/>
      <c r="H4166" s="21"/>
      <c r="I4166" s="22"/>
      <c r="J4166" s="22"/>
      <c r="K4166" s="24"/>
      <c r="M4166" s="21"/>
      <c r="N4166" s="22"/>
      <c r="O4166" s="22"/>
      <c r="P4166" s="49"/>
      <c r="Q4166" s="49"/>
      <c r="R4166" s="188" t="str">
        <f t="shared" si="135"/>
        <v/>
      </c>
      <c r="T4166" s="21"/>
      <c r="U4166" s="22"/>
      <c r="V4166" s="24"/>
      <c r="W4166" s="24"/>
      <c r="X4166" s="24"/>
      <c r="Y4166" s="24"/>
      <c r="Z4166" s="20" t="str">
        <f t="shared" si="134"/>
        <v/>
      </c>
    </row>
    <row r="4167" spans="1:26" x14ac:dyDescent="0.2">
      <c r="A4167" s="21"/>
      <c r="B4167" s="20"/>
      <c r="C4167" s="22"/>
      <c r="D4167" s="22"/>
      <c r="E4167" s="24"/>
      <c r="F4167" s="22"/>
      <c r="H4167" s="21"/>
      <c r="I4167" s="22"/>
      <c r="J4167" s="22"/>
      <c r="K4167" s="24"/>
      <c r="M4167" s="21"/>
      <c r="N4167" s="22"/>
      <c r="O4167" s="22"/>
      <c r="P4167" s="49"/>
      <c r="Q4167" s="49"/>
      <c r="R4167" s="188" t="str">
        <f t="shared" si="135"/>
        <v/>
      </c>
      <c r="T4167" s="21"/>
      <c r="U4167" s="22"/>
      <c r="V4167" s="24"/>
      <c r="W4167" s="24"/>
      <c r="X4167" s="24"/>
      <c r="Y4167" s="24"/>
      <c r="Z4167" s="20" t="str">
        <f t="shared" si="134"/>
        <v/>
      </c>
    </row>
    <row r="4168" spans="1:26" x14ac:dyDescent="0.2">
      <c r="A4168" s="21"/>
      <c r="B4168" s="20"/>
      <c r="C4168" s="22"/>
      <c r="D4168" s="22"/>
      <c r="E4168" s="24"/>
      <c r="F4168" s="22"/>
      <c r="H4168" s="21"/>
      <c r="I4168" s="22"/>
      <c r="J4168" s="22"/>
      <c r="K4168" s="24"/>
      <c r="M4168" s="21"/>
      <c r="N4168" s="22"/>
      <c r="O4168" s="22"/>
      <c r="P4168" s="49"/>
      <c r="Q4168" s="49"/>
      <c r="R4168" s="188" t="str">
        <f t="shared" si="135"/>
        <v/>
      </c>
      <c r="T4168" s="21"/>
      <c r="U4168" s="22"/>
      <c r="V4168" s="24"/>
      <c r="W4168" s="24"/>
      <c r="X4168" s="24"/>
      <c r="Y4168" s="24"/>
      <c r="Z4168" s="20" t="str">
        <f t="shared" si="134"/>
        <v/>
      </c>
    </row>
    <row r="4169" spans="1:26" x14ac:dyDescent="0.2">
      <c r="A4169" s="21"/>
      <c r="B4169" s="20"/>
      <c r="C4169" s="22"/>
      <c r="D4169" s="22"/>
      <c r="E4169" s="24"/>
      <c r="F4169" s="22"/>
      <c r="H4169" s="21"/>
      <c r="I4169" s="22"/>
      <c r="J4169" s="22"/>
      <c r="K4169" s="24"/>
      <c r="M4169" s="21"/>
      <c r="N4169" s="22"/>
      <c r="O4169" s="22"/>
      <c r="P4169" s="49"/>
      <c r="Q4169" s="49"/>
      <c r="R4169" s="188" t="str">
        <f t="shared" si="135"/>
        <v/>
      </c>
      <c r="T4169" s="21"/>
      <c r="U4169" s="22"/>
      <c r="V4169" s="24"/>
      <c r="W4169" s="24"/>
      <c r="X4169" s="24"/>
      <c r="Y4169" s="24"/>
      <c r="Z4169" s="20" t="str">
        <f t="shared" si="134"/>
        <v/>
      </c>
    </row>
    <row r="4170" spans="1:26" x14ac:dyDescent="0.2">
      <c r="A4170" s="21"/>
      <c r="B4170" s="20"/>
      <c r="C4170" s="22"/>
      <c r="D4170" s="22"/>
      <c r="E4170" s="24"/>
      <c r="F4170" s="22"/>
      <c r="H4170" s="21"/>
      <c r="I4170" s="22"/>
      <c r="J4170" s="22"/>
      <c r="K4170" s="24"/>
      <c r="M4170" s="21"/>
      <c r="N4170" s="22"/>
      <c r="O4170" s="22"/>
      <c r="P4170" s="49"/>
      <c r="Q4170" s="49"/>
      <c r="R4170" s="188" t="str">
        <f t="shared" si="135"/>
        <v/>
      </c>
      <c r="T4170" s="21"/>
      <c r="U4170" s="22"/>
      <c r="V4170" s="24"/>
      <c r="W4170" s="24"/>
      <c r="X4170" s="24"/>
      <c r="Y4170" s="24"/>
      <c r="Z4170" s="20" t="str">
        <f t="shared" si="134"/>
        <v/>
      </c>
    </row>
    <row r="4171" spans="1:26" x14ac:dyDescent="0.2">
      <c r="A4171" s="21"/>
      <c r="B4171" s="20"/>
      <c r="C4171" s="22"/>
      <c r="D4171" s="22"/>
      <c r="E4171" s="24"/>
      <c r="F4171" s="22"/>
      <c r="H4171" s="21"/>
      <c r="I4171" s="22"/>
      <c r="J4171" s="22"/>
      <c r="K4171" s="24"/>
      <c r="M4171" s="21"/>
      <c r="N4171" s="22"/>
      <c r="O4171" s="22"/>
      <c r="P4171" s="49"/>
      <c r="Q4171" s="49"/>
      <c r="R4171" s="188" t="str">
        <f t="shared" si="135"/>
        <v/>
      </c>
      <c r="T4171" s="21"/>
      <c r="U4171" s="22"/>
      <c r="V4171" s="24"/>
      <c r="W4171" s="24"/>
      <c r="X4171" s="24"/>
      <c r="Y4171" s="24"/>
      <c r="Z4171" s="20" t="str">
        <f t="shared" si="134"/>
        <v/>
      </c>
    </row>
    <row r="4172" spans="1:26" x14ac:dyDescent="0.2">
      <c r="A4172" s="21"/>
      <c r="B4172" s="20"/>
      <c r="C4172" s="22"/>
      <c r="D4172" s="22"/>
      <c r="E4172" s="24"/>
      <c r="F4172" s="22"/>
      <c r="H4172" s="21"/>
      <c r="I4172" s="22"/>
      <c r="J4172" s="22"/>
      <c r="K4172" s="24"/>
      <c r="M4172" s="21"/>
      <c r="N4172" s="22"/>
      <c r="O4172" s="22"/>
      <c r="P4172" s="49"/>
      <c r="Q4172" s="49"/>
      <c r="R4172" s="188" t="str">
        <f t="shared" si="135"/>
        <v/>
      </c>
      <c r="T4172" s="21"/>
      <c r="U4172" s="22"/>
      <c r="V4172" s="24"/>
      <c r="W4172" s="24"/>
      <c r="X4172" s="24"/>
      <c r="Y4172" s="24"/>
      <c r="Z4172" s="20" t="str">
        <f t="shared" si="134"/>
        <v/>
      </c>
    </row>
    <row r="4173" spans="1:26" x14ac:dyDescent="0.2">
      <c r="A4173" s="21"/>
      <c r="B4173" s="20"/>
      <c r="C4173" s="22"/>
      <c r="D4173" s="22"/>
      <c r="E4173" s="24"/>
      <c r="F4173" s="22"/>
      <c r="H4173" s="21"/>
      <c r="I4173" s="22"/>
      <c r="J4173" s="22"/>
      <c r="K4173" s="24"/>
      <c r="M4173" s="21"/>
      <c r="N4173" s="22"/>
      <c r="O4173" s="22"/>
      <c r="P4173" s="49"/>
      <c r="Q4173" s="49"/>
      <c r="R4173" s="188" t="str">
        <f t="shared" si="135"/>
        <v/>
      </c>
      <c r="T4173" s="21"/>
      <c r="U4173" s="22"/>
      <c r="V4173" s="24"/>
      <c r="W4173" s="24"/>
      <c r="X4173" s="24"/>
      <c r="Y4173" s="24"/>
      <c r="Z4173" s="20" t="str">
        <f t="shared" si="134"/>
        <v/>
      </c>
    </row>
    <row r="4174" spans="1:26" x14ac:dyDescent="0.2">
      <c r="A4174" s="21"/>
      <c r="B4174" s="20"/>
      <c r="C4174" s="22"/>
      <c r="D4174" s="22"/>
      <c r="E4174" s="24"/>
      <c r="F4174" s="22"/>
      <c r="H4174" s="21"/>
      <c r="I4174" s="22"/>
      <c r="J4174" s="22"/>
      <c r="K4174" s="24"/>
      <c r="M4174" s="21"/>
      <c r="N4174" s="22"/>
      <c r="O4174" s="22"/>
      <c r="P4174" s="49"/>
      <c r="Q4174" s="49"/>
      <c r="R4174" s="188" t="str">
        <f t="shared" si="135"/>
        <v/>
      </c>
      <c r="T4174" s="21"/>
      <c r="U4174" s="22"/>
      <c r="V4174" s="24"/>
      <c r="W4174" s="24"/>
      <c r="X4174" s="24"/>
      <c r="Y4174" s="24"/>
      <c r="Z4174" s="20" t="str">
        <f t="shared" si="134"/>
        <v/>
      </c>
    </row>
    <row r="4175" spans="1:26" x14ac:dyDescent="0.2">
      <c r="A4175" s="21"/>
      <c r="B4175" s="20"/>
      <c r="C4175" s="22"/>
      <c r="D4175" s="22"/>
      <c r="E4175" s="24"/>
      <c r="F4175" s="22"/>
      <c r="H4175" s="21"/>
      <c r="I4175" s="22"/>
      <c r="J4175" s="22"/>
      <c r="K4175" s="24"/>
      <c r="M4175" s="21"/>
      <c r="N4175" s="22"/>
      <c r="O4175" s="22"/>
      <c r="P4175" s="49"/>
      <c r="Q4175" s="49"/>
      <c r="R4175" s="188" t="str">
        <f t="shared" si="135"/>
        <v/>
      </c>
      <c r="T4175" s="21"/>
      <c r="U4175" s="22"/>
      <c r="V4175" s="24"/>
      <c r="W4175" s="24"/>
      <c r="X4175" s="24"/>
      <c r="Y4175" s="24"/>
      <c r="Z4175" s="20" t="str">
        <f t="shared" si="134"/>
        <v/>
      </c>
    </row>
    <row r="4176" spans="1:26" x14ac:dyDescent="0.2">
      <c r="A4176" s="21"/>
      <c r="B4176" s="20"/>
      <c r="C4176" s="22"/>
      <c r="D4176" s="22"/>
      <c r="E4176" s="24"/>
      <c r="F4176" s="22"/>
      <c r="H4176" s="21"/>
      <c r="I4176" s="22"/>
      <c r="J4176" s="22"/>
      <c r="K4176" s="24"/>
      <c r="M4176" s="21"/>
      <c r="N4176" s="22"/>
      <c r="O4176" s="22"/>
      <c r="P4176" s="49"/>
      <c r="Q4176" s="49"/>
      <c r="R4176" s="188" t="str">
        <f t="shared" si="135"/>
        <v/>
      </c>
      <c r="T4176" s="21"/>
      <c r="U4176" s="22"/>
      <c r="V4176" s="24"/>
      <c r="W4176" s="24"/>
      <c r="X4176" s="24"/>
      <c r="Y4176" s="24"/>
      <c r="Z4176" s="20" t="str">
        <f t="shared" si="134"/>
        <v/>
      </c>
    </row>
    <row r="4177" spans="1:26" x14ac:dyDescent="0.2">
      <c r="A4177" s="21"/>
      <c r="B4177" s="20"/>
      <c r="C4177" s="22"/>
      <c r="D4177" s="22"/>
      <c r="E4177" s="24"/>
      <c r="F4177" s="22"/>
      <c r="H4177" s="21"/>
      <c r="I4177" s="22"/>
      <c r="J4177" s="22"/>
      <c r="K4177" s="24"/>
      <c r="M4177" s="21"/>
      <c r="N4177" s="22"/>
      <c r="O4177" s="22"/>
      <c r="P4177" s="49"/>
      <c r="Q4177" s="49"/>
      <c r="R4177" s="188" t="str">
        <f t="shared" si="135"/>
        <v/>
      </c>
      <c r="T4177" s="21"/>
      <c r="U4177" s="22"/>
      <c r="V4177" s="24"/>
      <c r="W4177" s="24"/>
      <c r="X4177" s="24"/>
      <c r="Y4177" s="24"/>
      <c r="Z4177" s="20" t="str">
        <f t="shared" si="134"/>
        <v/>
      </c>
    </row>
    <row r="4178" spans="1:26" x14ac:dyDescent="0.2">
      <c r="A4178" s="21"/>
      <c r="B4178" s="20"/>
      <c r="C4178" s="22"/>
      <c r="D4178" s="22"/>
      <c r="E4178" s="24"/>
      <c r="F4178" s="22"/>
      <c r="H4178" s="21"/>
      <c r="I4178" s="22"/>
      <c r="J4178" s="22"/>
      <c r="K4178" s="24"/>
      <c r="M4178" s="21"/>
      <c r="N4178" s="22"/>
      <c r="O4178" s="22"/>
      <c r="P4178" s="49"/>
      <c r="Q4178" s="49"/>
      <c r="R4178" s="188" t="str">
        <f t="shared" si="135"/>
        <v/>
      </c>
      <c r="T4178" s="21"/>
      <c r="U4178" s="22"/>
      <c r="V4178" s="24"/>
      <c r="W4178" s="24"/>
      <c r="X4178" s="24"/>
      <c r="Y4178" s="24"/>
      <c r="Z4178" s="20" t="str">
        <f t="shared" si="134"/>
        <v/>
      </c>
    </row>
    <row r="4179" spans="1:26" x14ac:dyDescent="0.2">
      <c r="A4179" s="21"/>
      <c r="B4179" s="20"/>
      <c r="C4179" s="22"/>
      <c r="D4179" s="22"/>
      <c r="E4179" s="24"/>
      <c r="F4179" s="22"/>
      <c r="H4179" s="21"/>
      <c r="I4179" s="22"/>
      <c r="J4179" s="22"/>
      <c r="K4179" s="24"/>
      <c r="M4179" s="21"/>
      <c r="N4179" s="22"/>
      <c r="O4179" s="22"/>
      <c r="P4179" s="49"/>
      <c r="Q4179" s="49"/>
      <c r="R4179" s="188" t="str">
        <f t="shared" si="135"/>
        <v/>
      </c>
      <c r="T4179" s="21"/>
      <c r="U4179" s="22"/>
      <c r="V4179" s="24"/>
      <c r="W4179" s="24"/>
      <c r="X4179" s="24"/>
      <c r="Y4179" s="24"/>
      <c r="Z4179" s="20" t="str">
        <f t="shared" ref="Z4179:Z4242" si="136">IF(COUNT(V4179:Y4179)=0,"",SUM(V4179:Y4179))</f>
        <v/>
      </c>
    </row>
    <row r="4180" spans="1:26" x14ac:dyDescent="0.2">
      <c r="A4180" s="21"/>
      <c r="B4180" s="20"/>
      <c r="C4180" s="22"/>
      <c r="D4180" s="22"/>
      <c r="E4180" s="24"/>
      <c r="F4180" s="22"/>
      <c r="H4180" s="21"/>
      <c r="I4180" s="22"/>
      <c r="J4180" s="22"/>
      <c r="K4180" s="24"/>
      <c r="M4180" s="21"/>
      <c r="N4180" s="22"/>
      <c r="O4180" s="22"/>
      <c r="P4180" s="49"/>
      <c r="Q4180" s="49"/>
      <c r="R4180" s="188" t="str">
        <f t="shared" si="135"/>
        <v/>
      </c>
      <c r="T4180" s="21"/>
      <c r="U4180" s="22"/>
      <c r="V4180" s="24"/>
      <c r="W4180" s="24"/>
      <c r="X4180" s="24"/>
      <c r="Y4180" s="24"/>
      <c r="Z4180" s="20" t="str">
        <f t="shared" si="136"/>
        <v/>
      </c>
    </row>
    <row r="4181" spans="1:26" x14ac:dyDescent="0.2">
      <c r="A4181" s="21"/>
      <c r="B4181" s="20"/>
      <c r="C4181" s="22"/>
      <c r="D4181" s="22"/>
      <c r="E4181" s="24"/>
      <c r="F4181" s="22"/>
      <c r="H4181" s="21"/>
      <c r="I4181" s="22"/>
      <c r="J4181" s="22"/>
      <c r="K4181" s="24"/>
      <c r="M4181" s="21"/>
      <c r="N4181" s="22"/>
      <c r="O4181" s="22"/>
      <c r="P4181" s="49"/>
      <c r="Q4181" s="49"/>
      <c r="R4181" s="188" t="str">
        <f t="shared" si="135"/>
        <v/>
      </c>
      <c r="T4181" s="21"/>
      <c r="U4181" s="22"/>
      <c r="V4181" s="24"/>
      <c r="W4181" s="24"/>
      <c r="X4181" s="24"/>
      <c r="Y4181" s="24"/>
      <c r="Z4181" s="20" t="str">
        <f t="shared" si="136"/>
        <v/>
      </c>
    </row>
    <row r="4182" spans="1:26" x14ac:dyDescent="0.2">
      <c r="A4182" s="21"/>
      <c r="B4182" s="20"/>
      <c r="C4182" s="22"/>
      <c r="D4182" s="22"/>
      <c r="E4182" s="24"/>
      <c r="F4182" s="22"/>
      <c r="H4182" s="21"/>
      <c r="I4182" s="22"/>
      <c r="J4182" s="22"/>
      <c r="K4182" s="24"/>
      <c r="M4182" s="21"/>
      <c r="N4182" s="22"/>
      <c r="O4182" s="22"/>
      <c r="P4182" s="49"/>
      <c r="Q4182" s="49"/>
      <c r="R4182" s="188" t="str">
        <f t="shared" ref="R4182:R4245" si="137">IF(OR(P4182="",Q4182=""),"",IFERROR(P4182-Q4182,""))</f>
        <v/>
      </c>
      <c r="T4182" s="21"/>
      <c r="U4182" s="22"/>
      <c r="V4182" s="24"/>
      <c r="W4182" s="24"/>
      <c r="X4182" s="24"/>
      <c r="Y4182" s="24"/>
      <c r="Z4182" s="20" t="str">
        <f t="shared" si="136"/>
        <v/>
      </c>
    </row>
    <row r="4183" spans="1:26" x14ac:dyDescent="0.2">
      <c r="A4183" s="21"/>
      <c r="B4183" s="20"/>
      <c r="C4183" s="22"/>
      <c r="D4183" s="22"/>
      <c r="E4183" s="24"/>
      <c r="F4183" s="22"/>
      <c r="H4183" s="21"/>
      <c r="I4183" s="22"/>
      <c r="J4183" s="22"/>
      <c r="K4183" s="24"/>
      <c r="M4183" s="21"/>
      <c r="N4183" s="22"/>
      <c r="O4183" s="22"/>
      <c r="P4183" s="49"/>
      <c r="Q4183" s="49"/>
      <c r="R4183" s="188" t="str">
        <f t="shared" si="137"/>
        <v/>
      </c>
      <c r="T4183" s="21"/>
      <c r="U4183" s="22"/>
      <c r="V4183" s="24"/>
      <c r="W4183" s="24"/>
      <c r="X4183" s="24"/>
      <c r="Y4183" s="24"/>
      <c r="Z4183" s="20" t="str">
        <f t="shared" si="136"/>
        <v/>
      </c>
    </row>
    <row r="4184" spans="1:26" x14ac:dyDescent="0.2">
      <c r="A4184" s="21"/>
      <c r="B4184" s="20"/>
      <c r="C4184" s="22"/>
      <c r="D4184" s="22"/>
      <c r="E4184" s="24"/>
      <c r="F4184" s="22"/>
      <c r="H4184" s="21"/>
      <c r="I4184" s="22"/>
      <c r="J4184" s="22"/>
      <c r="K4184" s="24"/>
      <c r="M4184" s="21"/>
      <c r="N4184" s="22"/>
      <c r="O4184" s="22"/>
      <c r="P4184" s="49"/>
      <c r="Q4184" s="49"/>
      <c r="R4184" s="188" t="str">
        <f t="shared" si="137"/>
        <v/>
      </c>
      <c r="T4184" s="21"/>
      <c r="U4184" s="22"/>
      <c r="V4184" s="24"/>
      <c r="W4184" s="24"/>
      <c r="X4184" s="24"/>
      <c r="Y4184" s="24"/>
      <c r="Z4184" s="20" t="str">
        <f t="shared" si="136"/>
        <v/>
      </c>
    </row>
    <row r="4185" spans="1:26" x14ac:dyDescent="0.2">
      <c r="A4185" s="21"/>
      <c r="B4185" s="20"/>
      <c r="C4185" s="22"/>
      <c r="D4185" s="22"/>
      <c r="E4185" s="24"/>
      <c r="F4185" s="22"/>
      <c r="H4185" s="21"/>
      <c r="I4185" s="22"/>
      <c r="J4185" s="22"/>
      <c r="K4185" s="24"/>
      <c r="M4185" s="21"/>
      <c r="N4185" s="22"/>
      <c r="O4185" s="22"/>
      <c r="P4185" s="49"/>
      <c r="Q4185" s="49"/>
      <c r="R4185" s="188" t="str">
        <f t="shared" si="137"/>
        <v/>
      </c>
      <c r="T4185" s="21"/>
      <c r="U4185" s="22"/>
      <c r="V4185" s="24"/>
      <c r="W4185" s="24"/>
      <c r="X4185" s="24"/>
      <c r="Y4185" s="24"/>
      <c r="Z4185" s="20" t="str">
        <f t="shared" si="136"/>
        <v/>
      </c>
    </row>
    <row r="4186" spans="1:26" x14ac:dyDescent="0.2">
      <c r="A4186" s="21"/>
      <c r="B4186" s="20"/>
      <c r="C4186" s="22"/>
      <c r="D4186" s="22"/>
      <c r="E4186" s="24"/>
      <c r="F4186" s="22"/>
      <c r="H4186" s="21"/>
      <c r="I4186" s="22"/>
      <c r="J4186" s="22"/>
      <c r="K4186" s="24"/>
      <c r="M4186" s="21"/>
      <c r="N4186" s="22"/>
      <c r="O4186" s="22"/>
      <c r="P4186" s="49"/>
      <c r="Q4186" s="49"/>
      <c r="R4186" s="188" t="str">
        <f t="shared" si="137"/>
        <v/>
      </c>
      <c r="T4186" s="21"/>
      <c r="U4186" s="22"/>
      <c r="V4186" s="24"/>
      <c r="W4186" s="24"/>
      <c r="X4186" s="24"/>
      <c r="Y4186" s="24"/>
      <c r="Z4186" s="20" t="str">
        <f t="shared" si="136"/>
        <v/>
      </c>
    </row>
    <row r="4187" spans="1:26" x14ac:dyDescent="0.2">
      <c r="A4187" s="21"/>
      <c r="B4187" s="20"/>
      <c r="C4187" s="22"/>
      <c r="D4187" s="22"/>
      <c r="E4187" s="24"/>
      <c r="F4187" s="22"/>
      <c r="H4187" s="21"/>
      <c r="I4187" s="22"/>
      <c r="J4187" s="22"/>
      <c r="K4187" s="24"/>
      <c r="M4187" s="21"/>
      <c r="N4187" s="22"/>
      <c r="O4187" s="22"/>
      <c r="P4187" s="49"/>
      <c r="Q4187" s="49"/>
      <c r="R4187" s="188" t="str">
        <f t="shared" si="137"/>
        <v/>
      </c>
      <c r="T4187" s="21"/>
      <c r="U4187" s="22"/>
      <c r="V4187" s="24"/>
      <c r="W4187" s="24"/>
      <c r="X4187" s="24"/>
      <c r="Y4187" s="24"/>
      <c r="Z4187" s="20" t="str">
        <f t="shared" si="136"/>
        <v/>
      </c>
    </row>
    <row r="4188" spans="1:26" x14ac:dyDescent="0.2">
      <c r="A4188" s="21"/>
      <c r="B4188" s="20"/>
      <c r="C4188" s="22"/>
      <c r="D4188" s="22"/>
      <c r="E4188" s="24"/>
      <c r="F4188" s="22"/>
      <c r="H4188" s="21"/>
      <c r="I4188" s="22"/>
      <c r="J4188" s="22"/>
      <c r="K4188" s="24"/>
      <c r="M4188" s="21"/>
      <c r="N4188" s="22"/>
      <c r="O4188" s="22"/>
      <c r="P4188" s="49"/>
      <c r="Q4188" s="49"/>
      <c r="R4188" s="188" t="str">
        <f t="shared" si="137"/>
        <v/>
      </c>
      <c r="T4188" s="21"/>
      <c r="U4188" s="22"/>
      <c r="V4188" s="24"/>
      <c r="W4188" s="24"/>
      <c r="X4188" s="24"/>
      <c r="Y4188" s="24"/>
      <c r="Z4188" s="20" t="str">
        <f t="shared" si="136"/>
        <v/>
      </c>
    </row>
    <row r="4189" spans="1:26" x14ac:dyDescent="0.2">
      <c r="A4189" s="21"/>
      <c r="B4189" s="20"/>
      <c r="C4189" s="22"/>
      <c r="D4189" s="22"/>
      <c r="E4189" s="24"/>
      <c r="F4189" s="22"/>
      <c r="H4189" s="21"/>
      <c r="I4189" s="22"/>
      <c r="J4189" s="22"/>
      <c r="K4189" s="24"/>
      <c r="M4189" s="21"/>
      <c r="N4189" s="22"/>
      <c r="O4189" s="22"/>
      <c r="P4189" s="49"/>
      <c r="Q4189" s="49"/>
      <c r="R4189" s="188" t="str">
        <f t="shared" si="137"/>
        <v/>
      </c>
      <c r="T4189" s="21"/>
      <c r="U4189" s="22"/>
      <c r="V4189" s="24"/>
      <c r="W4189" s="24"/>
      <c r="X4189" s="24"/>
      <c r="Y4189" s="24"/>
      <c r="Z4189" s="20" t="str">
        <f t="shared" si="136"/>
        <v/>
      </c>
    </row>
    <row r="4190" spans="1:26" x14ac:dyDescent="0.2">
      <c r="A4190" s="21"/>
      <c r="B4190" s="20"/>
      <c r="C4190" s="22"/>
      <c r="D4190" s="22"/>
      <c r="E4190" s="24"/>
      <c r="F4190" s="22"/>
      <c r="H4190" s="21"/>
      <c r="I4190" s="22"/>
      <c r="J4190" s="22"/>
      <c r="K4190" s="24"/>
      <c r="M4190" s="21"/>
      <c r="N4190" s="22"/>
      <c r="O4190" s="22"/>
      <c r="P4190" s="49"/>
      <c r="Q4190" s="49"/>
      <c r="R4190" s="188" t="str">
        <f t="shared" si="137"/>
        <v/>
      </c>
      <c r="T4190" s="21"/>
      <c r="U4190" s="22"/>
      <c r="V4190" s="24"/>
      <c r="W4190" s="24"/>
      <c r="X4190" s="24"/>
      <c r="Y4190" s="24"/>
      <c r="Z4190" s="20" t="str">
        <f t="shared" si="136"/>
        <v/>
      </c>
    </row>
    <row r="4191" spans="1:26" x14ac:dyDescent="0.2">
      <c r="A4191" s="21"/>
      <c r="B4191" s="20"/>
      <c r="C4191" s="22"/>
      <c r="D4191" s="22"/>
      <c r="E4191" s="24"/>
      <c r="F4191" s="22"/>
      <c r="H4191" s="21"/>
      <c r="I4191" s="22"/>
      <c r="J4191" s="22"/>
      <c r="K4191" s="24"/>
      <c r="M4191" s="21"/>
      <c r="N4191" s="22"/>
      <c r="O4191" s="22"/>
      <c r="P4191" s="49"/>
      <c r="Q4191" s="49"/>
      <c r="R4191" s="188" t="str">
        <f t="shared" si="137"/>
        <v/>
      </c>
      <c r="T4191" s="21"/>
      <c r="U4191" s="22"/>
      <c r="V4191" s="24"/>
      <c r="W4191" s="24"/>
      <c r="X4191" s="24"/>
      <c r="Y4191" s="24"/>
      <c r="Z4191" s="20" t="str">
        <f t="shared" si="136"/>
        <v/>
      </c>
    </row>
    <row r="4192" spans="1:26" x14ac:dyDescent="0.2">
      <c r="A4192" s="21"/>
      <c r="B4192" s="20"/>
      <c r="C4192" s="22"/>
      <c r="D4192" s="22"/>
      <c r="E4192" s="24"/>
      <c r="F4192" s="22"/>
      <c r="H4192" s="21"/>
      <c r="I4192" s="22"/>
      <c r="J4192" s="22"/>
      <c r="K4192" s="24"/>
      <c r="M4192" s="21"/>
      <c r="N4192" s="22"/>
      <c r="O4192" s="22"/>
      <c r="P4192" s="49"/>
      <c r="Q4192" s="49"/>
      <c r="R4192" s="188" t="str">
        <f t="shared" si="137"/>
        <v/>
      </c>
      <c r="T4192" s="21"/>
      <c r="U4192" s="22"/>
      <c r="V4192" s="24"/>
      <c r="W4192" s="24"/>
      <c r="X4192" s="24"/>
      <c r="Y4192" s="24"/>
      <c r="Z4192" s="20" t="str">
        <f t="shared" si="136"/>
        <v/>
      </c>
    </row>
    <row r="4193" spans="1:26" x14ac:dyDescent="0.2">
      <c r="A4193" s="21"/>
      <c r="B4193" s="20"/>
      <c r="C4193" s="22"/>
      <c r="D4193" s="22"/>
      <c r="E4193" s="24"/>
      <c r="F4193" s="22"/>
      <c r="H4193" s="21"/>
      <c r="I4193" s="22"/>
      <c r="J4193" s="22"/>
      <c r="K4193" s="24"/>
      <c r="M4193" s="21"/>
      <c r="N4193" s="22"/>
      <c r="O4193" s="22"/>
      <c r="P4193" s="49"/>
      <c r="Q4193" s="49"/>
      <c r="R4193" s="188" t="str">
        <f t="shared" si="137"/>
        <v/>
      </c>
      <c r="T4193" s="21"/>
      <c r="U4193" s="22"/>
      <c r="V4193" s="24"/>
      <c r="W4193" s="24"/>
      <c r="X4193" s="24"/>
      <c r="Y4193" s="24"/>
      <c r="Z4193" s="20" t="str">
        <f t="shared" si="136"/>
        <v/>
      </c>
    </row>
    <row r="4194" spans="1:26" x14ac:dyDescent="0.2">
      <c r="A4194" s="21"/>
      <c r="B4194" s="20"/>
      <c r="C4194" s="22"/>
      <c r="D4194" s="22"/>
      <c r="E4194" s="24"/>
      <c r="F4194" s="22"/>
      <c r="H4194" s="21"/>
      <c r="I4194" s="22"/>
      <c r="J4194" s="22"/>
      <c r="K4194" s="24"/>
      <c r="M4194" s="21"/>
      <c r="N4194" s="22"/>
      <c r="O4194" s="22"/>
      <c r="P4194" s="49"/>
      <c r="Q4194" s="49"/>
      <c r="R4194" s="188" t="str">
        <f t="shared" si="137"/>
        <v/>
      </c>
      <c r="T4194" s="21"/>
      <c r="U4194" s="22"/>
      <c r="V4194" s="24"/>
      <c r="W4194" s="24"/>
      <c r="X4194" s="24"/>
      <c r="Y4194" s="24"/>
      <c r="Z4194" s="20" t="str">
        <f t="shared" si="136"/>
        <v/>
      </c>
    </row>
    <row r="4195" spans="1:26" x14ac:dyDescent="0.2">
      <c r="A4195" s="21"/>
      <c r="B4195" s="20"/>
      <c r="C4195" s="22"/>
      <c r="D4195" s="22"/>
      <c r="E4195" s="24"/>
      <c r="F4195" s="22"/>
      <c r="H4195" s="21"/>
      <c r="I4195" s="22"/>
      <c r="J4195" s="22"/>
      <c r="K4195" s="24"/>
      <c r="M4195" s="21"/>
      <c r="N4195" s="22"/>
      <c r="O4195" s="22"/>
      <c r="P4195" s="49"/>
      <c r="Q4195" s="49"/>
      <c r="R4195" s="188" t="str">
        <f t="shared" si="137"/>
        <v/>
      </c>
      <c r="T4195" s="21"/>
      <c r="U4195" s="22"/>
      <c r="V4195" s="24"/>
      <c r="W4195" s="24"/>
      <c r="X4195" s="24"/>
      <c r="Y4195" s="24"/>
      <c r="Z4195" s="20" t="str">
        <f t="shared" si="136"/>
        <v/>
      </c>
    </row>
    <row r="4196" spans="1:26" x14ac:dyDescent="0.2">
      <c r="A4196" s="21"/>
      <c r="B4196" s="20"/>
      <c r="C4196" s="22"/>
      <c r="D4196" s="22"/>
      <c r="E4196" s="24"/>
      <c r="F4196" s="22"/>
      <c r="H4196" s="21"/>
      <c r="I4196" s="22"/>
      <c r="J4196" s="22"/>
      <c r="K4196" s="24"/>
      <c r="M4196" s="21"/>
      <c r="N4196" s="22"/>
      <c r="O4196" s="22"/>
      <c r="P4196" s="49"/>
      <c r="Q4196" s="49"/>
      <c r="R4196" s="188" t="str">
        <f t="shared" si="137"/>
        <v/>
      </c>
      <c r="T4196" s="21"/>
      <c r="U4196" s="22"/>
      <c r="V4196" s="24"/>
      <c r="W4196" s="24"/>
      <c r="X4196" s="24"/>
      <c r="Y4196" s="24"/>
      <c r="Z4196" s="20" t="str">
        <f t="shared" si="136"/>
        <v/>
      </c>
    </row>
    <row r="4197" spans="1:26" x14ac:dyDescent="0.2">
      <c r="A4197" s="21"/>
      <c r="B4197" s="20"/>
      <c r="C4197" s="22"/>
      <c r="D4197" s="22"/>
      <c r="E4197" s="24"/>
      <c r="F4197" s="22"/>
      <c r="H4197" s="21"/>
      <c r="I4197" s="22"/>
      <c r="J4197" s="22"/>
      <c r="K4197" s="24"/>
      <c r="M4197" s="21"/>
      <c r="N4197" s="22"/>
      <c r="O4197" s="22"/>
      <c r="P4197" s="49"/>
      <c r="Q4197" s="49"/>
      <c r="R4197" s="188" t="str">
        <f t="shared" si="137"/>
        <v/>
      </c>
      <c r="T4197" s="21"/>
      <c r="U4197" s="22"/>
      <c r="V4197" s="24"/>
      <c r="W4197" s="24"/>
      <c r="X4197" s="24"/>
      <c r="Y4197" s="24"/>
      <c r="Z4197" s="20" t="str">
        <f t="shared" si="136"/>
        <v/>
      </c>
    </row>
    <row r="4198" spans="1:26" x14ac:dyDescent="0.2">
      <c r="A4198" s="21"/>
      <c r="B4198" s="20"/>
      <c r="C4198" s="22"/>
      <c r="D4198" s="22"/>
      <c r="E4198" s="24"/>
      <c r="F4198" s="22"/>
      <c r="H4198" s="21"/>
      <c r="I4198" s="22"/>
      <c r="J4198" s="22"/>
      <c r="K4198" s="24"/>
      <c r="M4198" s="21"/>
      <c r="N4198" s="22"/>
      <c r="O4198" s="22"/>
      <c r="P4198" s="49"/>
      <c r="Q4198" s="49"/>
      <c r="R4198" s="188" t="str">
        <f t="shared" si="137"/>
        <v/>
      </c>
      <c r="T4198" s="21"/>
      <c r="U4198" s="22"/>
      <c r="V4198" s="24"/>
      <c r="W4198" s="24"/>
      <c r="X4198" s="24"/>
      <c r="Y4198" s="24"/>
      <c r="Z4198" s="20" t="str">
        <f t="shared" si="136"/>
        <v/>
      </c>
    </row>
    <row r="4199" spans="1:26" x14ac:dyDescent="0.2">
      <c r="A4199" s="21"/>
      <c r="B4199" s="20"/>
      <c r="C4199" s="22"/>
      <c r="D4199" s="22"/>
      <c r="E4199" s="24"/>
      <c r="F4199" s="22"/>
      <c r="H4199" s="21"/>
      <c r="I4199" s="22"/>
      <c r="J4199" s="22"/>
      <c r="K4199" s="24"/>
      <c r="M4199" s="21"/>
      <c r="N4199" s="22"/>
      <c r="O4199" s="22"/>
      <c r="P4199" s="49"/>
      <c r="Q4199" s="49"/>
      <c r="R4199" s="188" t="str">
        <f t="shared" si="137"/>
        <v/>
      </c>
      <c r="T4199" s="21"/>
      <c r="U4199" s="22"/>
      <c r="V4199" s="24"/>
      <c r="W4199" s="24"/>
      <c r="X4199" s="24"/>
      <c r="Y4199" s="24"/>
      <c r="Z4199" s="20" t="str">
        <f t="shared" si="136"/>
        <v/>
      </c>
    </row>
    <row r="4200" spans="1:26" x14ac:dyDescent="0.2">
      <c r="A4200" s="21"/>
      <c r="B4200" s="20"/>
      <c r="C4200" s="22"/>
      <c r="D4200" s="22"/>
      <c r="E4200" s="24"/>
      <c r="F4200" s="22"/>
      <c r="H4200" s="21"/>
      <c r="I4200" s="22"/>
      <c r="J4200" s="22"/>
      <c r="K4200" s="24"/>
      <c r="M4200" s="21"/>
      <c r="N4200" s="22"/>
      <c r="O4200" s="22"/>
      <c r="P4200" s="49"/>
      <c r="Q4200" s="49"/>
      <c r="R4200" s="188" t="str">
        <f t="shared" si="137"/>
        <v/>
      </c>
      <c r="T4200" s="21"/>
      <c r="U4200" s="22"/>
      <c r="V4200" s="24"/>
      <c r="W4200" s="24"/>
      <c r="X4200" s="24"/>
      <c r="Y4200" s="24"/>
      <c r="Z4200" s="20" t="str">
        <f t="shared" si="136"/>
        <v/>
      </c>
    </row>
    <row r="4201" spans="1:26" x14ac:dyDescent="0.2">
      <c r="A4201" s="21"/>
      <c r="B4201" s="20"/>
      <c r="C4201" s="22"/>
      <c r="D4201" s="22"/>
      <c r="E4201" s="24"/>
      <c r="F4201" s="22"/>
      <c r="H4201" s="21"/>
      <c r="I4201" s="22"/>
      <c r="J4201" s="22"/>
      <c r="K4201" s="24"/>
      <c r="M4201" s="21"/>
      <c r="N4201" s="22"/>
      <c r="O4201" s="22"/>
      <c r="P4201" s="49"/>
      <c r="Q4201" s="49"/>
      <c r="R4201" s="188" t="str">
        <f t="shared" si="137"/>
        <v/>
      </c>
      <c r="T4201" s="21"/>
      <c r="U4201" s="22"/>
      <c r="V4201" s="24"/>
      <c r="W4201" s="24"/>
      <c r="X4201" s="24"/>
      <c r="Y4201" s="24"/>
      <c r="Z4201" s="20" t="str">
        <f t="shared" si="136"/>
        <v/>
      </c>
    </row>
    <row r="4202" spans="1:26" x14ac:dyDescent="0.2">
      <c r="A4202" s="21"/>
      <c r="B4202" s="20"/>
      <c r="C4202" s="22"/>
      <c r="D4202" s="22"/>
      <c r="E4202" s="24"/>
      <c r="F4202" s="22"/>
      <c r="H4202" s="21"/>
      <c r="I4202" s="22"/>
      <c r="J4202" s="22"/>
      <c r="K4202" s="24"/>
      <c r="M4202" s="21"/>
      <c r="N4202" s="22"/>
      <c r="O4202" s="22"/>
      <c r="P4202" s="49"/>
      <c r="Q4202" s="49"/>
      <c r="R4202" s="188" t="str">
        <f t="shared" si="137"/>
        <v/>
      </c>
      <c r="T4202" s="21"/>
      <c r="U4202" s="22"/>
      <c r="V4202" s="24"/>
      <c r="W4202" s="24"/>
      <c r="X4202" s="24"/>
      <c r="Y4202" s="24"/>
      <c r="Z4202" s="20" t="str">
        <f t="shared" si="136"/>
        <v/>
      </c>
    </row>
    <row r="4203" spans="1:26" x14ac:dyDescent="0.2">
      <c r="A4203" s="21"/>
      <c r="B4203" s="20"/>
      <c r="C4203" s="22"/>
      <c r="D4203" s="22"/>
      <c r="E4203" s="24"/>
      <c r="F4203" s="22"/>
      <c r="H4203" s="21"/>
      <c r="I4203" s="22"/>
      <c r="J4203" s="22"/>
      <c r="K4203" s="24"/>
      <c r="M4203" s="21"/>
      <c r="N4203" s="22"/>
      <c r="O4203" s="22"/>
      <c r="P4203" s="49"/>
      <c r="Q4203" s="49"/>
      <c r="R4203" s="188" t="str">
        <f t="shared" si="137"/>
        <v/>
      </c>
      <c r="T4203" s="21"/>
      <c r="U4203" s="22"/>
      <c r="V4203" s="24"/>
      <c r="W4203" s="24"/>
      <c r="X4203" s="24"/>
      <c r="Y4203" s="24"/>
      <c r="Z4203" s="20" t="str">
        <f t="shared" si="136"/>
        <v/>
      </c>
    </row>
    <row r="4204" spans="1:26" x14ac:dyDescent="0.2">
      <c r="A4204" s="21"/>
      <c r="B4204" s="20"/>
      <c r="C4204" s="22"/>
      <c r="D4204" s="22"/>
      <c r="E4204" s="24"/>
      <c r="F4204" s="22"/>
      <c r="H4204" s="21"/>
      <c r="I4204" s="22"/>
      <c r="J4204" s="22"/>
      <c r="K4204" s="24"/>
      <c r="M4204" s="21"/>
      <c r="N4204" s="22"/>
      <c r="O4204" s="22"/>
      <c r="P4204" s="49"/>
      <c r="Q4204" s="49"/>
      <c r="R4204" s="188" t="str">
        <f t="shared" si="137"/>
        <v/>
      </c>
      <c r="T4204" s="21"/>
      <c r="U4204" s="22"/>
      <c r="V4204" s="24"/>
      <c r="W4204" s="24"/>
      <c r="X4204" s="24"/>
      <c r="Y4204" s="24"/>
      <c r="Z4204" s="20" t="str">
        <f t="shared" si="136"/>
        <v/>
      </c>
    </row>
    <row r="4205" spans="1:26" x14ac:dyDescent="0.2">
      <c r="A4205" s="21"/>
      <c r="B4205" s="20"/>
      <c r="C4205" s="22"/>
      <c r="D4205" s="22"/>
      <c r="E4205" s="24"/>
      <c r="F4205" s="22"/>
      <c r="H4205" s="21"/>
      <c r="I4205" s="22"/>
      <c r="J4205" s="22"/>
      <c r="K4205" s="24"/>
      <c r="M4205" s="21"/>
      <c r="N4205" s="22"/>
      <c r="O4205" s="22"/>
      <c r="P4205" s="49"/>
      <c r="Q4205" s="49"/>
      <c r="R4205" s="188" t="str">
        <f t="shared" si="137"/>
        <v/>
      </c>
      <c r="T4205" s="21"/>
      <c r="U4205" s="22"/>
      <c r="V4205" s="24"/>
      <c r="W4205" s="24"/>
      <c r="X4205" s="24"/>
      <c r="Y4205" s="24"/>
      <c r="Z4205" s="20" t="str">
        <f t="shared" si="136"/>
        <v/>
      </c>
    </row>
    <row r="4206" spans="1:26" x14ac:dyDescent="0.2">
      <c r="A4206" s="21"/>
      <c r="B4206" s="20"/>
      <c r="C4206" s="22"/>
      <c r="D4206" s="22"/>
      <c r="E4206" s="24"/>
      <c r="F4206" s="22"/>
      <c r="H4206" s="21"/>
      <c r="I4206" s="22"/>
      <c r="J4206" s="22"/>
      <c r="K4206" s="24"/>
      <c r="M4206" s="21"/>
      <c r="N4206" s="22"/>
      <c r="O4206" s="22"/>
      <c r="P4206" s="49"/>
      <c r="Q4206" s="49"/>
      <c r="R4206" s="188" t="str">
        <f t="shared" si="137"/>
        <v/>
      </c>
      <c r="T4206" s="21"/>
      <c r="U4206" s="22"/>
      <c r="V4206" s="24"/>
      <c r="W4206" s="24"/>
      <c r="X4206" s="24"/>
      <c r="Y4206" s="24"/>
      <c r="Z4206" s="20" t="str">
        <f t="shared" si="136"/>
        <v/>
      </c>
    </row>
    <row r="4207" spans="1:26" x14ac:dyDescent="0.2">
      <c r="A4207" s="21"/>
      <c r="B4207" s="20"/>
      <c r="C4207" s="22"/>
      <c r="D4207" s="22"/>
      <c r="E4207" s="24"/>
      <c r="F4207" s="22"/>
      <c r="H4207" s="21"/>
      <c r="I4207" s="22"/>
      <c r="J4207" s="22"/>
      <c r="K4207" s="24"/>
      <c r="M4207" s="21"/>
      <c r="N4207" s="22"/>
      <c r="O4207" s="22"/>
      <c r="P4207" s="49"/>
      <c r="Q4207" s="49"/>
      <c r="R4207" s="188" t="str">
        <f t="shared" si="137"/>
        <v/>
      </c>
      <c r="T4207" s="21"/>
      <c r="U4207" s="22"/>
      <c r="V4207" s="24"/>
      <c r="W4207" s="24"/>
      <c r="X4207" s="24"/>
      <c r="Y4207" s="24"/>
      <c r="Z4207" s="20" t="str">
        <f t="shared" si="136"/>
        <v/>
      </c>
    </row>
    <row r="4208" spans="1:26" x14ac:dyDescent="0.2">
      <c r="A4208" s="21"/>
      <c r="B4208" s="20"/>
      <c r="C4208" s="22"/>
      <c r="D4208" s="22"/>
      <c r="E4208" s="24"/>
      <c r="F4208" s="22"/>
      <c r="H4208" s="21"/>
      <c r="I4208" s="22"/>
      <c r="J4208" s="22"/>
      <c r="K4208" s="24"/>
      <c r="M4208" s="21"/>
      <c r="N4208" s="22"/>
      <c r="O4208" s="22"/>
      <c r="P4208" s="49"/>
      <c r="Q4208" s="49"/>
      <c r="R4208" s="188" t="str">
        <f t="shared" si="137"/>
        <v/>
      </c>
      <c r="T4208" s="21"/>
      <c r="U4208" s="22"/>
      <c r="V4208" s="24"/>
      <c r="W4208" s="24"/>
      <c r="X4208" s="24"/>
      <c r="Y4208" s="24"/>
      <c r="Z4208" s="20" t="str">
        <f t="shared" si="136"/>
        <v/>
      </c>
    </row>
    <row r="4209" spans="1:26" x14ac:dyDescent="0.2">
      <c r="A4209" s="21"/>
      <c r="B4209" s="20"/>
      <c r="C4209" s="22"/>
      <c r="D4209" s="22"/>
      <c r="E4209" s="24"/>
      <c r="F4209" s="22"/>
      <c r="H4209" s="21"/>
      <c r="I4209" s="22"/>
      <c r="J4209" s="22"/>
      <c r="K4209" s="24"/>
      <c r="M4209" s="21"/>
      <c r="N4209" s="22"/>
      <c r="O4209" s="22"/>
      <c r="P4209" s="49"/>
      <c r="Q4209" s="49"/>
      <c r="R4209" s="188" t="str">
        <f t="shared" si="137"/>
        <v/>
      </c>
      <c r="T4209" s="21"/>
      <c r="U4209" s="22"/>
      <c r="V4209" s="24"/>
      <c r="W4209" s="24"/>
      <c r="X4209" s="24"/>
      <c r="Y4209" s="24"/>
      <c r="Z4209" s="20" t="str">
        <f t="shared" si="136"/>
        <v/>
      </c>
    </row>
    <row r="4210" spans="1:26" x14ac:dyDescent="0.2">
      <c r="A4210" s="21"/>
      <c r="B4210" s="20"/>
      <c r="C4210" s="22"/>
      <c r="D4210" s="22"/>
      <c r="E4210" s="24"/>
      <c r="F4210" s="22"/>
      <c r="H4210" s="21"/>
      <c r="I4210" s="22"/>
      <c r="J4210" s="22"/>
      <c r="K4210" s="24"/>
      <c r="M4210" s="21"/>
      <c r="N4210" s="22"/>
      <c r="O4210" s="22"/>
      <c r="P4210" s="49"/>
      <c r="Q4210" s="49"/>
      <c r="R4210" s="188" t="str">
        <f t="shared" si="137"/>
        <v/>
      </c>
      <c r="T4210" s="21"/>
      <c r="U4210" s="22"/>
      <c r="V4210" s="24"/>
      <c r="W4210" s="24"/>
      <c r="X4210" s="24"/>
      <c r="Y4210" s="24"/>
      <c r="Z4210" s="20" t="str">
        <f t="shared" si="136"/>
        <v/>
      </c>
    </row>
    <row r="4211" spans="1:26" x14ac:dyDescent="0.2">
      <c r="A4211" s="21"/>
      <c r="B4211" s="20"/>
      <c r="C4211" s="22"/>
      <c r="D4211" s="22"/>
      <c r="E4211" s="24"/>
      <c r="F4211" s="22"/>
      <c r="H4211" s="21"/>
      <c r="I4211" s="22"/>
      <c r="J4211" s="22"/>
      <c r="K4211" s="24"/>
      <c r="M4211" s="21"/>
      <c r="N4211" s="22"/>
      <c r="O4211" s="22"/>
      <c r="P4211" s="49"/>
      <c r="Q4211" s="49"/>
      <c r="R4211" s="188" t="str">
        <f t="shared" si="137"/>
        <v/>
      </c>
      <c r="T4211" s="21"/>
      <c r="U4211" s="22"/>
      <c r="V4211" s="24"/>
      <c r="W4211" s="24"/>
      <c r="X4211" s="24"/>
      <c r="Y4211" s="24"/>
      <c r="Z4211" s="20" t="str">
        <f t="shared" si="136"/>
        <v/>
      </c>
    </row>
    <row r="4212" spans="1:26" x14ac:dyDescent="0.2">
      <c r="A4212" s="21"/>
      <c r="B4212" s="20"/>
      <c r="C4212" s="22"/>
      <c r="D4212" s="22"/>
      <c r="E4212" s="24"/>
      <c r="F4212" s="22"/>
      <c r="H4212" s="21"/>
      <c r="I4212" s="22"/>
      <c r="J4212" s="22"/>
      <c r="K4212" s="24"/>
      <c r="M4212" s="21"/>
      <c r="N4212" s="22"/>
      <c r="O4212" s="22"/>
      <c r="P4212" s="49"/>
      <c r="Q4212" s="49"/>
      <c r="R4212" s="188" t="str">
        <f t="shared" si="137"/>
        <v/>
      </c>
      <c r="T4212" s="21"/>
      <c r="U4212" s="22"/>
      <c r="V4212" s="24"/>
      <c r="W4212" s="24"/>
      <c r="X4212" s="24"/>
      <c r="Y4212" s="24"/>
      <c r="Z4212" s="20" t="str">
        <f t="shared" si="136"/>
        <v/>
      </c>
    </row>
    <row r="4213" spans="1:26" x14ac:dyDescent="0.2">
      <c r="A4213" s="21"/>
      <c r="B4213" s="20"/>
      <c r="C4213" s="22"/>
      <c r="D4213" s="22"/>
      <c r="E4213" s="24"/>
      <c r="F4213" s="22"/>
      <c r="H4213" s="21"/>
      <c r="I4213" s="22"/>
      <c r="J4213" s="22"/>
      <c r="K4213" s="24"/>
      <c r="M4213" s="21"/>
      <c r="N4213" s="22"/>
      <c r="O4213" s="22"/>
      <c r="P4213" s="49"/>
      <c r="Q4213" s="49"/>
      <c r="R4213" s="188" t="str">
        <f t="shared" si="137"/>
        <v/>
      </c>
      <c r="T4213" s="21"/>
      <c r="U4213" s="22"/>
      <c r="V4213" s="24"/>
      <c r="W4213" s="24"/>
      <c r="X4213" s="24"/>
      <c r="Y4213" s="24"/>
      <c r="Z4213" s="20" t="str">
        <f t="shared" si="136"/>
        <v/>
      </c>
    </row>
    <row r="4214" spans="1:26" x14ac:dyDescent="0.2">
      <c r="A4214" s="21"/>
      <c r="B4214" s="20"/>
      <c r="C4214" s="22"/>
      <c r="D4214" s="22"/>
      <c r="E4214" s="24"/>
      <c r="F4214" s="22"/>
      <c r="H4214" s="21"/>
      <c r="I4214" s="22"/>
      <c r="J4214" s="22"/>
      <c r="K4214" s="24"/>
      <c r="M4214" s="21"/>
      <c r="N4214" s="22"/>
      <c r="O4214" s="22"/>
      <c r="P4214" s="49"/>
      <c r="Q4214" s="49"/>
      <c r="R4214" s="188" t="str">
        <f t="shared" si="137"/>
        <v/>
      </c>
      <c r="T4214" s="21"/>
      <c r="U4214" s="22"/>
      <c r="V4214" s="24"/>
      <c r="W4214" s="24"/>
      <c r="X4214" s="24"/>
      <c r="Y4214" s="24"/>
      <c r="Z4214" s="20" t="str">
        <f t="shared" si="136"/>
        <v/>
      </c>
    </row>
    <row r="4215" spans="1:26" x14ac:dyDescent="0.2">
      <c r="A4215" s="21"/>
      <c r="B4215" s="20"/>
      <c r="C4215" s="22"/>
      <c r="D4215" s="22"/>
      <c r="E4215" s="24"/>
      <c r="F4215" s="22"/>
      <c r="H4215" s="21"/>
      <c r="I4215" s="22"/>
      <c r="J4215" s="22"/>
      <c r="K4215" s="24"/>
      <c r="M4215" s="21"/>
      <c r="N4215" s="22"/>
      <c r="O4215" s="22"/>
      <c r="P4215" s="49"/>
      <c r="Q4215" s="49"/>
      <c r="R4215" s="188" t="str">
        <f t="shared" si="137"/>
        <v/>
      </c>
      <c r="T4215" s="21"/>
      <c r="U4215" s="22"/>
      <c r="V4215" s="24"/>
      <c r="W4215" s="24"/>
      <c r="X4215" s="24"/>
      <c r="Y4215" s="24"/>
      <c r="Z4215" s="20" t="str">
        <f t="shared" si="136"/>
        <v/>
      </c>
    </row>
    <row r="4216" spans="1:26" x14ac:dyDescent="0.2">
      <c r="A4216" s="21"/>
      <c r="B4216" s="20"/>
      <c r="C4216" s="22"/>
      <c r="D4216" s="22"/>
      <c r="E4216" s="24"/>
      <c r="F4216" s="22"/>
      <c r="H4216" s="21"/>
      <c r="I4216" s="22"/>
      <c r="J4216" s="22"/>
      <c r="K4216" s="24"/>
      <c r="M4216" s="21"/>
      <c r="N4216" s="22"/>
      <c r="O4216" s="22"/>
      <c r="P4216" s="49"/>
      <c r="Q4216" s="49"/>
      <c r="R4216" s="188" t="str">
        <f t="shared" si="137"/>
        <v/>
      </c>
      <c r="T4216" s="21"/>
      <c r="U4216" s="22"/>
      <c r="V4216" s="24"/>
      <c r="W4216" s="24"/>
      <c r="X4216" s="24"/>
      <c r="Y4216" s="24"/>
      <c r="Z4216" s="20" t="str">
        <f t="shared" si="136"/>
        <v/>
      </c>
    </row>
    <row r="4217" spans="1:26" x14ac:dyDescent="0.2">
      <c r="A4217" s="21"/>
      <c r="B4217" s="20"/>
      <c r="C4217" s="22"/>
      <c r="D4217" s="22"/>
      <c r="E4217" s="24"/>
      <c r="F4217" s="22"/>
      <c r="H4217" s="21"/>
      <c r="I4217" s="22"/>
      <c r="J4217" s="22"/>
      <c r="K4217" s="24"/>
      <c r="M4217" s="21"/>
      <c r="N4217" s="22"/>
      <c r="O4217" s="22"/>
      <c r="P4217" s="49"/>
      <c r="Q4217" s="49"/>
      <c r="R4217" s="188" t="str">
        <f t="shared" si="137"/>
        <v/>
      </c>
      <c r="T4217" s="21"/>
      <c r="U4217" s="22"/>
      <c r="V4217" s="24"/>
      <c r="W4217" s="24"/>
      <c r="X4217" s="24"/>
      <c r="Y4217" s="24"/>
      <c r="Z4217" s="20" t="str">
        <f t="shared" si="136"/>
        <v/>
      </c>
    </row>
    <row r="4218" spans="1:26" x14ac:dyDescent="0.2">
      <c r="A4218" s="21"/>
      <c r="B4218" s="20"/>
      <c r="C4218" s="22"/>
      <c r="D4218" s="22"/>
      <c r="E4218" s="24"/>
      <c r="F4218" s="22"/>
      <c r="H4218" s="21"/>
      <c r="I4218" s="22"/>
      <c r="J4218" s="22"/>
      <c r="K4218" s="24"/>
      <c r="M4218" s="21"/>
      <c r="N4218" s="22"/>
      <c r="O4218" s="22"/>
      <c r="P4218" s="49"/>
      <c r="Q4218" s="49"/>
      <c r="R4218" s="188" t="str">
        <f t="shared" si="137"/>
        <v/>
      </c>
      <c r="T4218" s="21"/>
      <c r="U4218" s="22"/>
      <c r="V4218" s="24"/>
      <c r="W4218" s="24"/>
      <c r="X4218" s="24"/>
      <c r="Y4218" s="24"/>
      <c r="Z4218" s="20" t="str">
        <f t="shared" si="136"/>
        <v/>
      </c>
    </row>
    <row r="4219" spans="1:26" x14ac:dyDescent="0.2">
      <c r="A4219" s="21"/>
      <c r="B4219" s="20"/>
      <c r="C4219" s="22"/>
      <c r="D4219" s="22"/>
      <c r="E4219" s="24"/>
      <c r="F4219" s="22"/>
      <c r="H4219" s="21"/>
      <c r="I4219" s="22"/>
      <c r="J4219" s="22"/>
      <c r="K4219" s="24"/>
      <c r="M4219" s="21"/>
      <c r="N4219" s="22"/>
      <c r="O4219" s="22"/>
      <c r="P4219" s="49"/>
      <c r="Q4219" s="49"/>
      <c r="R4219" s="188" t="str">
        <f t="shared" si="137"/>
        <v/>
      </c>
      <c r="T4219" s="21"/>
      <c r="U4219" s="22"/>
      <c r="V4219" s="24"/>
      <c r="W4219" s="24"/>
      <c r="X4219" s="24"/>
      <c r="Y4219" s="24"/>
      <c r="Z4219" s="20" t="str">
        <f t="shared" si="136"/>
        <v/>
      </c>
    </row>
    <row r="4220" spans="1:26" x14ac:dyDescent="0.2">
      <c r="A4220" s="21"/>
      <c r="B4220" s="20"/>
      <c r="C4220" s="22"/>
      <c r="D4220" s="22"/>
      <c r="E4220" s="24"/>
      <c r="F4220" s="22"/>
      <c r="H4220" s="21"/>
      <c r="I4220" s="22"/>
      <c r="J4220" s="22"/>
      <c r="K4220" s="24"/>
      <c r="M4220" s="21"/>
      <c r="N4220" s="22"/>
      <c r="O4220" s="22"/>
      <c r="P4220" s="49"/>
      <c r="Q4220" s="49"/>
      <c r="R4220" s="188" t="str">
        <f t="shared" si="137"/>
        <v/>
      </c>
      <c r="T4220" s="21"/>
      <c r="U4220" s="22"/>
      <c r="V4220" s="24"/>
      <c r="W4220" s="24"/>
      <c r="X4220" s="24"/>
      <c r="Y4220" s="24"/>
      <c r="Z4220" s="20" t="str">
        <f t="shared" si="136"/>
        <v/>
      </c>
    </row>
    <row r="4221" spans="1:26" x14ac:dyDescent="0.2">
      <c r="A4221" s="21"/>
      <c r="B4221" s="20"/>
      <c r="C4221" s="22"/>
      <c r="D4221" s="22"/>
      <c r="E4221" s="24"/>
      <c r="F4221" s="22"/>
      <c r="H4221" s="21"/>
      <c r="I4221" s="22"/>
      <c r="J4221" s="22"/>
      <c r="K4221" s="24"/>
      <c r="M4221" s="21"/>
      <c r="N4221" s="22"/>
      <c r="O4221" s="22"/>
      <c r="P4221" s="49"/>
      <c r="Q4221" s="49"/>
      <c r="R4221" s="188" t="str">
        <f t="shared" si="137"/>
        <v/>
      </c>
      <c r="T4221" s="21"/>
      <c r="U4221" s="22"/>
      <c r="V4221" s="24"/>
      <c r="W4221" s="24"/>
      <c r="X4221" s="24"/>
      <c r="Y4221" s="24"/>
      <c r="Z4221" s="20" t="str">
        <f t="shared" si="136"/>
        <v/>
      </c>
    </row>
    <row r="4222" spans="1:26" x14ac:dyDescent="0.2">
      <c r="A4222" s="21"/>
      <c r="B4222" s="20"/>
      <c r="C4222" s="22"/>
      <c r="D4222" s="22"/>
      <c r="E4222" s="24"/>
      <c r="F4222" s="22"/>
      <c r="H4222" s="21"/>
      <c r="I4222" s="22"/>
      <c r="J4222" s="22"/>
      <c r="K4222" s="24"/>
      <c r="M4222" s="21"/>
      <c r="N4222" s="22"/>
      <c r="O4222" s="22"/>
      <c r="P4222" s="49"/>
      <c r="Q4222" s="49"/>
      <c r="R4222" s="188" t="str">
        <f t="shared" si="137"/>
        <v/>
      </c>
      <c r="T4222" s="21"/>
      <c r="U4222" s="22"/>
      <c r="V4222" s="24"/>
      <c r="W4222" s="24"/>
      <c r="X4222" s="24"/>
      <c r="Y4222" s="24"/>
      <c r="Z4222" s="20" t="str">
        <f t="shared" si="136"/>
        <v/>
      </c>
    </row>
    <row r="4223" spans="1:26" x14ac:dyDescent="0.2">
      <c r="A4223" s="21"/>
      <c r="B4223" s="20"/>
      <c r="C4223" s="22"/>
      <c r="D4223" s="22"/>
      <c r="E4223" s="24"/>
      <c r="F4223" s="22"/>
      <c r="H4223" s="21"/>
      <c r="I4223" s="22"/>
      <c r="J4223" s="22"/>
      <c r="K4223" s="24"/>
      <c r="M4223" s="21"/>
      <c r="N4223" s="22"/>
      <c r="O4223" s="22"/>
      <c r="P4223" s="49"/>
      <c r="Q4223" s="49"/>
      <c r="R4223" s="188" t="str">
        <f t="shared" si="137"/>
        <v/>
      </c>
      <c r="T4223" s="21"/>
      <c r="U4223" s="22"/>
      <c r="V4223" s="24"/>
      <c r="W4223" s="24"/>
      <c r="X4223" s="24"/>
      <c r="Y4223" s="24"/>
      <c r="Z4223" s="20" t="str">
        <f t="shared" si="136"/>
        <v/>
      </c>
    </row>
    <row r="4224" spans="1:26" x14ac:dyDescent="0.2">
      <c r="A4224" s="21"/>
      <c r="B4224" s="20"/>
      <c r="C4224" s="22"/>
      <c r="D4224" s="22"/>
      <c r="E4224" s="24"/>
      <c r="F4224" s="22"/>
      <c r="H4224" s="21"/>
      <c r="I4224" s="22"/>
      <c r="J4224" s="22"/>
      <c r="K4224" s="24"/>
      <c r="M4224" s="21"/>
      <c r="N4224" s="22"/>
      <c r="O4224" s="22"/>
      <c r="P4224" s="49"/>
      <c r="Q4224" s="49"/>
      <c r="R4224" s="188" t="str">
        <f t="shared" si="137"/>
        <v/>
      </c>
      <c r="T4224" s="21"/>
      <c r="U4224" s="22"/>
      <c r="V4224" s="24"/>
      <c r="W4224" s="24"/>
      <c r="X4224" s="24"/>
      <c r="Y4224" s="24"/>
      <c r="Z4224" s="20" t="str">
        <f t="shared" si="136"/>
        <v/>
      </c>
    </row>
    <row r="4225" spans="1:26" x14ac:dyDescent="0.2">
      <c r="A4225" s="21"/>
      <c r="B4225" s="20"/>
      <c r="C4225" s="22"/>
      <c r="D4225" s="22"/>
      <c r="E4225" s="24"/>
      <c r="F4225" s="22"/>
      <c r="H4225" s="21"/>
      <c r="I4225" s="22"/>
      <c r="J4225" s="22"/>
      <c r="K4225" s="24"/>
      <c r="M4225" s="21"/>
      <c r="N4225" s="22"/>
      <c r="O4225" s="22"/>
      <c r="P4225" s="49"/>
      <c r="Q4225" s="49"/>
      <c r="R4225" s="188" t="str">
        <f t="shared" si="137"/>
        <v/>
      </c>
      <c r="T4225" s="21"/>
      <c r="U4225" s="22"/>
      <c r="V4225" s="24"/>
      <c r="W4225" s="24"/>
      <c r="X4225" s="24"/>
      <c r="Y4225" s="24"/>
      <c r="Z4225" s="20" t="str">
        <f t="shared" si="136"/>
        <v/>
      </c>
    </row>
    <row r="4226" spans="1:26" x14ac:dyDescent="0.2">
      <c r="A4226" s="21"/>
      <c r="B4226" s="20"/>
      <c r="C4226" s="22"/>
      <c r="D4226" s="22"/>
      <c r="E4226" s="24"/>
      <c r="F4226" s="22"/>
      <c r="H4226" s="21"/>
      <c r="I4226" s="22"/>
      <c r="J4226" s="22"/>
      <c r="K4226" s="24"/>
      <c r="M4226" s="21"/>
      <c r="N4226" s="22"/>
      <c r="O4226" s="22"/>
      <c r="P4226" s="49"/>
      <c r="Q4226" s="49"/>
      <c r="R4226" s="188" t="str">
        <f t="shared" si="137"/>
        <v/>
      </c>
      <c r="T4226" s="21"/>
      <c r="U4226" s="22"/>
      <c r="V4226" s="24"/>
      <c r="W4226" s="24"/>
      <c r="X4226" s="24"/>
      <c r="Y4226" s="24"/>
      <c r="Z4226" s="20" t="str">
        <f t="shared" si="136"/>
        <v/>
      </c>
    </row>
    <row r="4227" spans="1:26" x14ac:dyDescent="0.2">
      <c r="A4227" s="21"/>
      <c r="B4227" s="20"/>
      <c r="C4227" s="22"/>
      <c r="D4227" s="22"/>
      <c r="E4227" s="24"/>
      <c r="F4227" s="22"/>
      <c r="H4227" s="21"/>
      <c r="I4227" s="22"/>
      <c r="J4227" s="22"/>
      <c r="K4227" s="24"/>
      <c r="M4227" s="21"/>
      <c r="N4227" s="22"/>
      <c r="O4227" s="22"/>
      <c r="P4227" s="49"/>
      <c r="Q4227" s="49"/>
      <c r="R4227" s="188" t="str">
        <f t="shared" si="137"/>
        <v/>
      </c>
      <c r="T4227" s="21"/>
      <c r="U4227" s="22"/>
      <c r="V4227" s="24"/>
      <c r="W4227" s="24"/>
      <c r="X4227" s="24"/>
      <c r="Y4227" s="24"/>
      <c r="Z4227" s="20" t="str">
        <f t="shared" si="136"/>
        <v/>
      </c>
    </row>
    <row r="4228" spans="1:26" x14ac:dyDescent="0.2">
      <c r="A4228" s="21"/>
      <c r="B4228" s="20"/>
      <c r="C4228" s="22"/>
      <c r="D4228" s="22"/>
      <c r="E4228" s="24"/>
      <c r="F4228" s="22"/>
      <c r="H4228" s="21"/>
      <c r="I4228" s="22"/>
      <c r="J4228" s="22"/>
      <c r="K4228" s="24"/>
      <c r="M4228" s="21"/>
      <c r="N4228" s="22"/>
      <c r="O4228" s="22"/>
      <c r="P4228" s="49"/>
      <c r="Q4228" s="49"/>
      <c r="R4228" s="188" t="str">
        <f t="shared" si="137"/>
        <v/>
      </c>
      <c r="T4228" s="21"/>
      <c r="U4228" s="22"/>
      <c r="V4228" s="24"/>
      <c r="W4228" s="24"/>
      <c r="X4228" s="24"/>
      <c r="Y4228" s="24"/>
      <c r="Z4228" s="20" t="str">
        <f t="shared" si="136"/>
        <v/>
      </c>
    </row>
    <row r="4229" spans="1:26" x14ac:dyDescent="0.2">
      <c r="A4229" s="21"/>
      <c r="B4229" s="20"/>
      <c r="C4229" s="22"/>
      <c r="D4229" s="22"/>
      <c r="E4229" s="24"/>
      <c r="F4229" s="22"/>
      <c r="H4229" s="21"/>
      <c r="I4229" s="22"/>
      <c r="J4229" s="22"/>
      <c r="K4229" s="24"/>
      <c r="M4229" s="21"/>
      <c r="N4229" s="22"/>
      <c r="O4229" s="22"/>
      <c r="P4229" s="49"/>
      <c r="Q4229" s="49"/>
      <c r="R4229" s="188" t="str">
        <f t="shared" si="137"/>
        <v/>
      </c>
      <c r="T4229" s="21"/>
      <c r="U4229" s="22"/>
      <c r="V4229" s="24"/>
      <c r="W4229" s="24"/>
      <c r="X4229" s="24"/>
      <c r="Y4229" s="24"/>
      <c r="Z4229" s="20" t="str">
        <f t="shared" si="136"/>
        <v/>
      </c>
    </row>
    <row r="4230" spans="1:26" x14ac:dyDescent="0.2">
      <c r="A4230" s="21"/>
      <c r="B4230" s="20"/>
      <c r="C4230" s="22"/>
      <c r="D4230" s="22"/>
      <c r="E4230" s="24"/>
      <c r="F4230" s="22"/>
      <c r="H4230" s="21"/>
      <c r="I4230" s="22"/>
      <c r="J4230" s="22"/>
      <c r="K4230" s="24"/>
      <c r="M4230" s="21"/>
      <c r="N4230" s="22"/>
      <c r="O4230" s="22"/>
      <c r="P4230" s="49"/>
      <c r="Q4230" s="49"/>
      <c r="R4230" s="188" t="str">
        <f t="shared" si="137"/>
        <v/>
      </c>
      <c r="T4230" s="21"/>
      <c r="U4230" s="22"/>
      <c r="V4230" s="24"/>
      <c r="W4230" s="24"/>
      <c r="X4230" s="24"/>
      <c r="Y4230" s="24"/>
      <c r="Z4230" s="20" t="str">
        <f t="shared" si="136"/>
        <v/>
      </c>
    </row>
    <row r="4231" spans="1:26" x14ac:dyDescent="0.2">
      <c r="A4231" s="21"/>
      <c r="B4231" s="20"/>
      <c r="C4231" s="22"/>
      <c r="D4231" s="22"/>
      <c r="E4231" s="24"/>
      <c r="F4231" s="22"/>
      <c r="H4231" s="21"/>
      <c r="I4231" s="22"/>
      <c r="J4231" s="22"/>
      <c r="K4231" s="24"/>
      <c r="M4231" s="21"/>
      <c r="N4231" s="22"/>
      <c r="O4231" s="22"/>
      <c r="P4231" s="49"/>
      <c r="Q4231" s="49"/>
      <c r="R4231" s="188" t="str">
        <f t="shared" si="137"/>
        <v/>
      </c>
      <c r="T4231" s="21"/>
      <c r="U4231" s="22"/>
      <c r="V4231" s="24"/>
      <c r="W4231" s="24"/>
      <c r="X4231" s="24"/>
      <c r="Y4231" s="24"/>
      <c r="Z4231" s="20" t="str">
        <f t="shared" si="136"/>
        <v/>
      </c>
    </row>
    <row r="4232" spans="1:26" x14ac:dyDescent="0.2">
      <c r="A4232" s="21"/>
      <c r="B4232" s="20"/>
      <c r="C4232" s="22"/>
      <c r="D4232" s="22"/>
      <c r="E4232" s="24"/>
      <c r="F4232" s="22"/>
      <c r="H4232" s="21"/>
      <c r="I4232" s="22"/>
      <c r="J4232" s="22"/>
      <c r="K4232" s="24"/>
      <c r="M4232" s="21"/>
      <c r="N4232" s="22"/>
      <c r="O4232" s="22"/>
      <c r="P4232" s="49"/>
      <c r="Q4232" s="49"/>
      <c r="R4232" s="188" t="str">
        <f t="shared" si="137"/>
        <v/>
      </c>
      <c r="T4232" s="21"/>
      <c r="U4232" s="22"/>
      <c r="V4232" s="24"/>
      <c r="W4232" s="24"/>
      <c r="X4232" s="24"/>
      <c r="Y4232" s="24"/>
      <c r="Z4232" s="20" t="str">
        <f t="shared" si="136"/>
        <v/>
      </c>
    </row>
    <row r="4233" spans="1:26" x14ac:dyDescent="0.2">
      <c r="A4233" s="21"/>
      <c r="B4233" s="20"/>
      <c r="C4233" s="22"/>
      <c r="D4233" s="22"/>
      <c r="E4233" s="24"/>
      <c r="F4233" s="22"/>
      <c r="H4233" s="21"/>
      <c r="I4233" s="22"/>
      <c r="J4233" s="22"/>
      <c r="K4233" s="24"/>
      <c r="M4233" s="21"/>
      <c r="N4233" s="22"/>
      <c r="O4233" s="22"/>
      <c r="P4233" s="49"/>
      <c r="Q4233" s="49"/>
      <c r="R4233" s="188" t="str">
        <f t="shared" si="137"/>
        <v/>
      </c>
      <c r="T4233" s="21"/>
      <c r="U4233" s="22"/>
      <c r="V4233" s="24"/>
      <c r="W4233" s="24"/>
      <c r="X4233" s="24"/>
      <c r="Y4233" s="24"/>
      <c r="Z4233" s="20" t="str">
        <f t="shared" si="136"/>
        <v/>
      </c>
    </row>
    <row r="4234" spans="1:26" x14ac:dyDescent="0.2">
      <c r="A4234" s="21"/>
      <c r="B4234" s="20"/>
      <c r="C4234" s="22"/>
      <c r="D4234" s="22"/>
      <c r="E4234" s="24"/>
      <c r="F4234" s="22"/>
      <c r="H4234" s="21"/>
      <c r="I4234" s="22"/>
      <c r="J4234" s="22"/>
      <c r="K4234" s="24"/>
      <c r="M4234" s="21"/>
      <c r="N4234" s="22"/>
      <c r="O4234" s="22"/>
      <c r="P4234" s="49"/>
      <c r="Q4234" s="49"/>
      <c r="R4234" s="188" t="str">
        <f t="shared" si="137"/>
        <v/>
      </c>
      <c r="T4234" s="21"/>
      <c r="U4234" s="22"/>
      <c r="V4234" s="24"/>
      <c r="W4234" s="24"/>
      <c r="X4234" s="24"/>
      <c r="Y4234" s="24"/>
      <c r="Z4234" s="20" t="str">
        <f t="shared" si="136"/>
        <v/>
      </c>
    </row>
    <row r="4235" spans="1:26" x14ac:dyDescent="0.2">
      <c r="A4235" s="21"/>
      <c r="B4235" s="20"/>
      <c r="C4235" s="22"/>
      <c r="D4235" s="22"/>
      <c r="E4235" s="24"/>
      <c r="F4235" s="22"/>
      <c r="H4235" s="21"/>
      <c r="I4235" s="22"/>
      <c r="J4235" s="22"/>
      <c r="K4235" s="24"/>
      <c r="M4235" s="21"/>
      <c r="N4235" s="22"/>
      <c r="O4235" s="22"/>
      <c r="P4235" s="49"/>
      <c r="Q4235" s="49"/>
      <c r="R4235" s="188" t="str">
        <f t="shared" si="137"/>
        <v/>
      </c>
      <c r="T4235" s="21"/>
      <c r="U4235" s="22"/>
      <c r="V4235" s="24"/>
      <c r="W4235" s="24"/>
      <c r="X4235" s="24"/>
      <c r="Y4235" s="24"/>
      <c r="Z4235" s="20" t="str">
        <f t="shared" si="136"/>
        <v/>
      </c>
    </row>
    <row r="4236" spans="1:26" x14ac:dyDescent="0.2">
      <c r="A4236" s="21"/>
      <c r="B4236" s="20"/>
      <c r="C4236" s="22"/>
      <c r="D4236" s="22"/>
      <c r="E4236" s="24"/>
      <c r="F4236" s="22"/>
      <c r="H4236" s="21"/>
      <c r="I4236" s="22"/>
      <c r="J4236" s="22"/>
      <c r="K4236" s="24"/>
      <c r="M4236" s="21"/>
      <c r="N4236" s="22"/>
      <c r="O4236" s="22"/>
      <c r="P4236" s="49"/>
      <c r="Q4236" s="49"/>
      <c r="R4236" s="188" t="str">
        <f t="shared" si="137"/>
        <v/>
      </c>
      <c r="T4236" s="21"/>
      <c r="U4236" s="22"/>
      <c r="V4236" s="24"/>
      <c r="W4236" s="24"/>
      <c r="X4236" s="24"/>
      <c r="Y4236" s="24"/>
      <c r="Z4236" s="20" t="str">
        <f t="shared" si="136"/>
        <v/>
      </c>
    </row>
    <row r="4237" spans="1:26" x14ac:dyDescent="0.2">
      <c r="A4237" s="21"/>
      <c r="B4237" s="20"/>
      <c r="C4237" s="22"/>
      <c r="D4237" s="22"/>
      <c r="E4237" s="24"/>
      <c r="F4237" s="22"/>
      <c r="H4237" s="21"/>
      <c r="I4237" s="22"/>
      <c r="J4237" s="22"/>
      <c r="K4237" s="24"/>
      <c r="M4237" s="21"/>
      <c r="N4237" s="22"/>
      <c r="O4237" s="22"/>
      <c r="P4237" s="49"/>
      <c r="Q4237" s="49"/>
      <c r="R4237" s="188" t="str">
        <f t="shared" si="137"/>
        <v/>
      </c>
      <c r="T4237" s="21"/>
      <c r="U4237" s="22"/>
      <c r="V4237" s="24"/>
      <c r="W4237" s="24"/>
      <c r="X4237" s="24"/>
      <c r="Y4237" s="24"/>
      <c r="Z4237" s="20" t="str">
        <f t="shared" si="136"/>
        <v/>
      </c>
    </row>
    <row r="4238" spans="1:26" x14ac:dyDescent="0.2">
      <c r="A4238" s="21"/>
      <c r="B4238" s="20"/>
      <c r="C4238" s="22"/>
      <c r="D4238" s="22"/>
      <c r="E4238" s="24"/>
      <c r="F4238" s="22"/>
      <c r="H4238" s="21"/>
      <c r="I4238" s="22"/>
      <c r="J4238" s="22"/>
      <c r="K4238" s="24"/>
      <c r="M4238" s="21"/>
      <c r="N4238" s="22"/>
      <c r="O4238" s="22"/>
      <c r="P4238" s="49"/>
      <c r="Q4238" s="49"/>
      <c r="R4238" s="188" t="str">
        <f t="shared" si="137"/>
        <v/>
      </c>
      <c r="T4238" s="21"/>
      <c r="U4238" s="22"/>
      <c r="V4238" s="24"/>
      <c r="W4238" s="24"/>
      <c r="X4238" s="24"/>
      <c r="Y4238" s="24"/>
      <c r="Z4238" s="20" t="str">
        <f t="shared" si="136"/>
        <v/>
      </c>
    </row>
    <row r="4239" spans="1:26" x14ac:dyDescent="0.2">
      <c r="A4239" s="21"/>
      <c r="B4239" s="20"/>
      <c r="C4239" s="22"/>
      <c r="D4239" s="22"/>
      <c r="E4239" s="24"/>
      <c r="F4239" s="22"/>
      <c r="H4239" s="21"/>
      <c r="I4239" s="22"/>
      <c r="J4239" s="22"/>
      <c r="K4239" s="24"/>
      <c r="M4239" s="21"/>
      <c r="N4239" s="22"/>
      <c r="O4239" s="22"/>
      <c r="P4239" s="49"/>
      <c r="Q4239" s="49"/>
      <c r="R4239" s="188" t="str">
        <f t="shared" si="137"/>
        <v/>
      </c>
      <c r="T4239" s="21"/>
      <c r="U4239" s="22"/>
      <c r="V4239" s="24"/>
      <c r="W4239" s="24"/>
      <c r="X4239" s="24"/>
      <c r="Y4239" s="24"/>
      <c r="Z4239" s="20" t="str">
        <f t="shared" si="136"/>
        <v/>
      </c>
    </row>
    <row r="4240" spans="1:26" x14ac:dyDescent="0.2">
      <c r="A4240" s="21"/>
      <c r="B4240" s="20"/>
      <c r="C4240" s="22"/>
      <c r="D4240" s="22"/>
      <c r="E4240" s="24"/>
      <c r="F4240" s="22"/>
      <c r="H4240" s="21"/>
      <c r="I4240" s="22"/>
      <c r="J4240" s="22"/>
      <c r="K4240" s="24"/>
      <c r="M4240" s="21"/>
      <c r="N4240" s="22"/>
      <c r="O4240" s="22"/>
      <c r="P4240" s="49"/>
      <c r="Q4240" s="49"/>
      <c r="R4240" s="188" t="str">
        <f t="shared" si="137"/>
        <v/>
      </c>
      <c r="T4240" s="21"/>
      <c r="U4240" s="22"/>
      <c r="V4240" s="24"/>
      <c r="W4240" s="24"/>
      <c r="X4240" s="24"/>
      <c r="Y4240" s="24"/>
      <c r="Z4240" s="20" t="str">
        <f t="shared" si="136"/>
        <v/>
      </c>
    </row>
    <row r="4241" spans="1:26" x14ac:dyDescent="0.2">
      <c r="A4241" s="21"/>
      <c r="B4241" s="20"/>
      <c r="C4241" s="22"/>
      <c r="D4241" s="22"/>
      <c r="E4241" s="24"/>
      <c r="F4241" s="22"/>
      <c r="H4241" s="21"/>
      <c r="I4241" s="22"/>
      <c r="J4241" s="22"/>
      <c r="K4241" s="24"/>
      <c r="M4241" s="21"/>
      <c r="N4241" s="22"/>
      <c r="O4241" s="22"/>
      <c r="P4241" s="49"/>
      <c r="Q4241" s="49"/>
      <c r="R4241" s="188" t="str">
        <f t="shared" si="137"/>
        <v/>
      </c>
      <c r="T4241" s="21"/>
      <c r="U4241" s="22"/>
      <c r="V4241" s="24"/>
      <c r="W4241" s="24"/>
      <c r="X4241" s="24"/>
      <c r="Y4241" s="24"/>
      <c r="Z4241" s="20" t="str">
        <f t="shared" si="136"/>
        <v/>
      </c>
    </row>
    <row r="4242" spans="1:26" x14ac:dyDescent="0.2">
      <c r="A4242" s="21"/>
      <c r="B4242" s="20"/>
      <c r="C4242" s="22"/>
      <c r="D4242" s="22"/>
      <c r="E4242" s="24"/>
      <c r="F4242" s="22"/>
      <c r="H4242" s="21"/>
      <c r="I4242" s="22"/>
      <c r="J4242" s="22"/>
      <c r="K4242" s="24"/>
      <c r="M4242" s="21"/>
      <c r="N4242" s="22"/>
      <c r="O4242" s="22"/>
      <c r="P4242" s="49"/>
      <c r="Q4242" s="49"/>
      <c r="R4242" s="188" t="str">
        <f t="shared" si="137"/>
        <v/>
      </c>
      <c r="T4242" s="21"/>
      <c r="U4242" s="22"/>
      <c r="V4242" s="24"/>
      <c r="W4242" s="24"/>
      <c r="X4242" s="24"/>
      <c r="Y4242" s="24"/>
      <c r="Z4242" s="20" t="str">
        <f t="shared" si="136"/>
        <v/>
      </c>
    </row>
    <row r="4243" spans="1:26" x14ac:dyDescent="0.2">
      <c r="A4243" s="21"/>
      <c r="B4243" s="20"/>
      <c r="C4243" s="22"/>
      <c r="D4243" s="22"/>
      <c r="E4243" s="24"/>
      <c r="F4243" s="22"/>
      <c r="H4243" s="21"/>
      <c r="I4243" s="22"/>
      <c r="J4243" s="22"/>
      <c r="K4243" s="24"/>
      <c r="M4243" s="21"/>
      <c r="N4243" s="22"/>
      <c r="O4243" s="22"/>
      <c r="P4243" s="49"/>
      <c r="Q4243" s="49"/>
      <c r="R4243" s="188" t="str">
        <f t="shared" si="137"/>
        <v/>
      </c>
      <c r="T4243" s="21"/>
      <c r="U4243" s="22"/>
      <c r="V4243" s="24"/>
      <c r="W4243" s="24"/>
      <c r="X4243" s="24"/>
      <c r="Y4243" s="24"/>
      <c r="Z4243" s="20" t="str">
        <f t="shared" ref="Z4243:Z4306" si="138">IF(COUNT(V4243:Y4243)=0,"",SUM(V4243:Y4243))</f>
        <v/>
      </c>
    </row>
    <row r="4244" spans="1:26" x14ac:dyDescent="0.2">
      <c r="A4244" s="21"/>
      <c r="B4244" s="20"/>
      <c r="C4244" s="22"/>
      <c r="D4244" s="22"/>
      <c r="E4244" s="24"/>
      <c r="F4244" s="22"/>
      <c r="H4244" s="21"/>
      <c r="I4244" s="22"/>
      <c r="J4244" s="22"/>
      <c r="K4244" s="24"/>
      <c r="M4244" s="21"/>
      <c r="N4244" s="22"/>
      <c r="O4244" s="22"/>
      <c r="P4244" s="49"/>
      <c r="Q4244" s="49"/>
      <c r="R4244" s="188" t="str">
        <f t="shared" si="137"/>
        <v/>
      </c>
      <c r="T4244" s="21"/>
      <c r="U4244" s="22"/>
      <c r="V4244" s="24"/>
      <c r="W4244" s="24"/>
      <c r="X4244" s="24"/>
      <c r="Y4244" s="24"/>
      <c r="Z4244" s="20" t="str">
        <f t="shared" si="138"/>
        <v/>
      </c>
    </row>
    <row r="4245" spans="1:26" x14ac:dyDescent="0.2">
      <c r="A4245" s="21"/>
      <c r="B4245" s="20"/>
      <c r="C4245" s="22"/>
      <c r="D4245" s="22"/>
      <c r="E4245" s="24"/>
      <c r="F4245" s="22"/>
      <c r="H4245" s="21"/>
      <c r="I4245" s="22"/>
      <c r="J4245" s="22"/>
      <c r="K4245" s="24"/>
      <c r="M4245" s="21"/>
      <c r="N4245" s="22"/>
      <c r="O4245" s="22"/>
      <c r="P4245" s="49"/>
      <c r="Q4245" s="49"/>
      <c r="R4245" s="188" t="str">
        <f t="shared" si="137"/>
        <v/>
      </c>
      <c r="T4245" s="21"/>
      <c r="U4245" s="22"/>
      <c r="V4245" s="24"/>
      <c r="W4245" s="24"/>
      <c r="X4245" s="24"/>
      <c r="Y4245" s="24"/>
      <c r="Z4245" s="20" t="str">
        <f t="shared" si="138"/>
        <v/>
      </c>
    </row>
    <row r="4246" spans="1:26" x14ac:dyDescent="0.2">
      <c r="A4246" s="21"/>
      <c r="B4246" s="20"/>
      <c r="C4246" s="22"/>
      <c r="D4246" s="22"/>
      <c r="E4246" s="24"/>
      <c r="F4246" s="22"/>
      <c r="H4246" s="21"/>
      <c r="I4246" s="22"/>
      <c r="J4246" s="22"/>
      <c r="K4246" s="24"/>
      <c r="M4246" s="21"/>
      <c r="N4246" s="22"/>
      <c r="O4246" s="22"/>
      <c r="P4246" s="49"/>
      <c r="Q4246" s="49"/>
      <c r="R4246" s="188" t="str">
        <f t="shared" ref="R4246:R4309" si="139">IF(OR(P4246="",Q4246=""),"",IFERROR(P4246-Q4246,""))</f>
        <v/>
      </c>
      <c r="T4246" s="21"/>
      <c r="U4246" s="22"/>
      <c r="V4246" s="24"/>
      <c r="W4246" s="24"/>
      <c r="X4246" s="24"/>
      <c r="Y4246" s="24"/>
      <c r="Z4246" s="20" t="str">
        <f t="shared" si="138"/>
        <v/>
      </c>
    </row>
    <row r="4247" spans="1:26" x14ac:dyDescent="0.2">
      <c r="A4247" s="21"/>
      <c r="B4247" s="20"/>
      <c r="C4247" s="22"/>
      <c r="D4247" s="22"/>
      <c r="E4247" s="24"/>
      <c r="F4247" s="22"/>
      <c r="H4247" s="21"/>
      <c r="I4247" s="22"/>
      <c r="J4247" s="22"/>
      <c r="K4247" s="24"/>
      <c r="M4247" s="21"/>
      <c r="N4247" s="22"/>
      <c r="O4247" s="22"/>
      <c r="P4247" s="49"/>
      <c r="Q4247" s="49"/>
      <c r="R4247" s="188" t="str">
        <f t="shared" si="139"/>
        <v/>
      </c>
      <c r="T4247" s="21"/>
      <c r="U4247" s="22"/>
      <c r="V4247" s="24"/>
      <c r="W4247" s="24"/>
      <c r="X4247" s="24"/>
      <c r="Y4247" s="24"/>
      <c r="Z4247" s="20" t="str">
        <f t="shared" si="138"/>
        <v/>
      </c>
    </row>
    <row r="4248" spans="1:26" x14ac:dyDescent="0.2">
      <c r="A4248" s="21"/>
      <c r="B4248" s="20"/>
      <c r="C4248" s="22"/>
      <c r="D4248" s="22"/>
      <c r="E4248" s="24"/>
      <c r="F4248" s="22"/>
      <c r="H4248" s="21"/>
      <c r="I4248" s="22"/>
      <c r="J4248" s="22"/>
      <c r="K4248" s="24"/>
      <c r="M4248" s="21"/>
      <c r="N4248" s="22"/>
      <c r="O4248" s="22"/>
      <c r="P4248" s="49"/>
      <c r="Q4248" s="49"/>
      <c r="R4248" s="188" t="str">
        <f t="shared" si="139"/>
        <v/>
      </c>
      <c r="T4248" s="21"/>
      <c r="U4248" s="22"/>
      <c r="V4248" s="24"/>
      <c r="W4248" s="24"/>
      <c r="X4248" s="24"/>
      <c r="Y4248" s="24"/>
      <c r="Z4248" s="20" t="str">
        <f t="shared" si="138"/>
        <v/>
      </c>
    </row>
    <row r="4249" spans="1:26" x14ac:dyDescent="0.2">
      <c r="A4249" s="21"/>
      <c r="B4249" s="20"/>
      <c r="C4249" s="22"/>
      <c r="D4249" s="22"/>
      <c r="E4249" s="24"/>
      <c r="F4249" s="22"/>
      <c r="H4249" s="21"/>
      <c r="I4249" s="22"/>
      <c r="J4249" s="22"/>
      <c r="K4249" s="24"/>
      <c r="M4249" s="21"/>
      <c r="N4249" s="22"/>
      <c r="O4249" s="22"/>
      <c r="P4249" s="49"/>
      <c r="Q4249" s="49"/>
      <c r="R4249" s="188" t="str">
        <f t="shared" si="139"/>
        <v/>
      </c>
      <c r="T4249" s="21"/>
      <c r="U4249" s="22"/>
      <c r="V4249" s="24"/>
      <c r="W4249" s="24"/>
      <c r="X4249" s="24"/>
      <c r="Y4249" s="24"/>
      <c r="Z4249" s="20" t="str">
        <f t="shared" si="138"/>
        <v/>
      </c>
    </row>
    <row r="4250" spans="1:26" x14ac:dyDescent="0.2">
      <c r="A4250" s="21"/>
      <c r="B4250" s="20"/>
      <c r="C4250" s="22"/>
      <c r="D4250" s="22"/>
      <c r="E4250" s="24"/>
      <c r="F4250" s="22"/>
      <c r="H4250" s="21"/>
      <c r="I4250" s="22"/>
      <c r="J4250" s="22"/>
      <c r="K4250" s="24"/>
      <c r="M4250" s="21"/>
      <c r="N4250" s="22"/>
      <c r="O4250" s="22"/>
      <c r="P4250" s="49"/>
      <c r="Q4250" s="49"/>
      <c r="R4250" s="188" t="str">
        <f t="shared" si="139"/>
        <v/>
      </c>
      <c r="T4250" s="21"/>
      <c r="U4250" s="22"/>
      <c r="V4250" s="24"/>
      <c r="W4250" s="24"/>
      <c r="X4250" s="24"/>
      <c r="Y4250" s="24"/>
      <c r="Z4250" s="20" t="str">
        <f t="shared" si="138"/>
        <v/>
      </c>
    </row>
    <row r="4251" spans="1:26" x14ac:dyDescent="0.2">
      <c r="A4251" s="21"/>
      <c r="B4251" s="20"/>
      <c r="C4251" s="22"/>
      <c r="D4251" s="22"/>
      <c r="E4251" s="24"/>
      <c r="F4251" s="22"/>
      <c r="H4251" s="21"/>
      <c r="I4251" s="22"/>
      <c r="J4251" s="22"/>
      <c r="K4251" s="24"/>
      <c r="M4251" s="21"/>
      <c r="N4251" s="22"/>
      <c r="O4251" s="22"/>
      <c r="P4251" s="49"/>
      <c r="Q4251" s="49"/>
      <c r="R4251" s="188" t="str">
        <f t="shared" si="139"/>
        <v/>
      </c>
      <c r="T4251" s="21"/>
      <c r="U4251" s="22"/>
      <c r="V4251" s="24"/>
      <c r="W4251" s="24"/>
      <c r="X4251" s="24"/>
      <c r="Y4251" s="24"/>
      <c r="Z4251" s="20" t="str">
        <f t="shared" si="138"/>
        <v/>
      </c>
    </row>
    <row r="4252" spans="1:26" x14ac:dyDescent="0.2">
      <c r="A4252" s="21"/>
      <c r="B4252" s="20"/>
      <c r="C4252" s="22"/>
      <c r="D4252" s="22"/>
      <c r="E4252" s="24"/>
      <c r="F4252" s="22"/>
      <c r="H4252" s="21"/>
      <c r="I4252" s="22"/>
      <c r="J4252" s="22"/>
      <c r="K4252" s="24"/>
      <c r="M4252" s="21"/>
      <c r="N4252" s="22"/>
      <c r="O4252" s="22"/>
      <c r="P4252" s="49"/>
      <c r="Q4252" s="49"/>
      <c r="R4252" s="188" t="str">
        <f t="shared" si="139"/>
        <v/>
      </c>
      <c r="T4252" s="21"/>
      <c r="U4252" s="22"/>
      <c r="V4252" s="24"/>
      <c r="W4252" s="24"/>
      <c r="X4252" s="24"/>
      <c r="Y4252" s="24"/>
      <c r="Z4252" s="20" t="str">
        <f t="shared" si="138"/>
        <v/>
      </c>
    </row>
    <row r="4253" spans="1:26" x14ac:dyDescent="0.2">
      <c r="A4253" s="21"/>
      <c r="B4253" s="20"/>
      <c r="C4253" s="22"/>
      <c r="D4253" s="22"/>
      <c r="E4253" s="24"/>
      <c r="F4253" s="22"/>
      <c r="H4253" s="21"/>
      <c r="I4253" s="22"/>
      <c r="J4253" s="22"/>
      <c r="K4253" s="24"/>
      <c r="M4253" s="21"/>
      <c r="N4253" s="22"/>
      <c r="O4253" s="22"/>
      <c r="P4253" s="49"/>
      <c r="Q4253" s="49"/>
      <c r="R4253" s="188" t="str">
        <f t="shared" si="139"/>
        <v/>
      </c>
      <c r="T4253" s="21"/>
      <c r="U4253" s="22"/>
      <c r="V4253" s="24"/>
      <c r="W4253" s="24"/>
      <c r="X4253" s="24"/>
      <c r="Y4253" s="24"/>
      <c r="Z4253" s="20" t="str">
        <f t="shared" si="138"/>
        <v/>
      </c>
    </row>
    <row r="4254" spans="1:26" x14ac:dyDescent="0.2">
      <c r="A4254" s="21"/>
      <c r="B4254" s="20"/>
      <c r="C4254" s="22"/>
      <c r="D4254" s="22"/>
      <c r="E4254" s="24"/>
      <c r="F4254" s="22"/>
      <c r="H4254" s="21"/>
      <c r="I4254" s="22"/>
      <c r="J4254" s="22"/>
      <c r="K4254" s="24"/>
      <c r="M4254" s="21"/>
      <c r="N4254" s="22"/>
      <c r="O4254" s="22"/>
      <c r="P4254" s="49"/>
      <c r="Q4254" s="49"/>
      <c r="R4254" s="188" t="str">
        <f t="shared" si="139"/>
        <v/>
      </c>
      <c r="T4254" s="21"/>
      <c r="U4254" s="22"/>
      <c r="V4254" s="24"/>
      <c r="W4254" s="24"/>
      <c r="X4254" s="24"/>
      <c r="Y4254" s="24"/>
      <c r="Z4254" s="20" t="str">
        <f t="shared" si="138"/>
        <v/>
      </c>
    </row>
    <row r="4255" spans="1:26" x14ac:dyDescent="0.2">
      <c r="A4255" s="21"/>
      <c r="B4255" s="20"/>
      <c r="C4255" s="22"/>
      <c r="D4255" s="22"/>
      <c r="E4255" s="24"/>
      <c r="F4255" s="22"/>
      <c r="H4255" s="21"/>
      <c r="I4255" s="22"/>
      <c r="J4255" s="22"/>
      <c r="K4255" s="24"/>
      <c r="M4255" s="21"/>
      <c r="N4255" s="22"/>
      <c r="O4255" s="22"/>
      <c r="P4255" s="49"/>
      <c r="Q4255" s="49"/>
      <c r="R4255" s="188" t="str">
        <f t="shared" si="139"/>
        <v/>
      </c>
      <c r="T4255" s="21"/>
      <c r="U4255" s="22"/>
      <c r="V4255" s="24"/>
      <c r="W4255" s="24"/>
      <c r="X4255" s="24"/>
      <c r="Y4255" s="24"/>
      <c r="Z4255" s="20" t="str">
        <f t="shared" si="138"/>
        <v/>
      </c>
    </row>
    <row r="4256" spans="1:26" x14ac:dyDescent="0.2">
      <c r="A4256" s="21"/>
      <c r="B4256" s="20"/>
      <c r="C4256" s="22"/>
      <c r="D4256" s="22"/>
      <c r="E4256" s="24"/>
      <c r="F4256" s="22"/>
      <c r="H4256" s="21"/>
      <c r="I4256" s="22"/>
      <c r="J4256" s="22"/>
      <c r="K4256" s="24"/>
      <c r="M4256" s="21"/>
      <c r="N4256" s="22"/>
      <c r="O4256" s="22"/>
      <c r="P4256" s="49"/>
      <c r="Q4256" s="49"/>
      <c r="R4256" s="188" t="str">
        <f t="shared" si="139"/>
        <v/>
      </c>
      <c r="T4256" s="21"/>
      <c r="U4256" s="22"/>
      <c r="V4256" s="24"/>
      <c r="W4256" s="24"/>
      <c r="X4256" s="24"/>
      <c r="Y4256" s="24"/>
      <c r="Z4256" s="20" t="str">
        <f t="shared" si="138"/>
        <v/>
      </c>
    </row>
    <row r="4257" spans="1:26" x14ac:dyDescent="0.2">
      <c r="A4257" s="21"/>
      <c r="B4257" s="20"/>
      <c r="C4257" s="22"/>
      <c r="D4257" s="22"/>
      <c r="E4257" s="24"/>
      <c r="F4257" s="22"/>
      <c r="H4257" s="21"/>
      <c r="I4257" s="22"/>
      <c r="J4257" s="22"/>
      <c r="K4257" s="24"/>
      <c r="M4257" s="21"/>
      <c r="N4257" s="22"/>
      <c r="O4257" s="22"/>
      <c r="P4257" s="49"/>
      <c r="Q4257" s="49"/>
      <c r="R4257" s="188" t="str">
        <f t="shared" si="139"/>
        <v/>
      </c>
      <c r="T4257" s="21"/>
      <c r="U4257" s="22"/>
      <c r="V4257" s="24"/>
      <c r="W4257" s="24"/>
      <c r="X4257" s="24"/>
      <c r="Y4257" s="24"/>
      <c r="Z4257" s="20" t="str">
        <f t="shared" si="138"/>
        <v/>
      </c>
    </row>
    <row r="4258" spans="1:26" x14ac:dyDescent="0.2">
      <c r="A4258" s="21"/>
      <c r="B4258" s="20"/>
      <c r="C4258" s="22"/>
      <c r="D4258" s="22"/>
      <c r="E4258" s="24"/>
      <c r="F4258" s="22"/>
      <c r="H4258" s="21"/>
      <c r="I4258" s="22"/>
      <c r="J4258" s="22"/>
      <c r="K4258" s="24"/>
      <c r="M4258" s="21"/>
      <c r="N4258" s="22"/>
      <c r="O4258" s="22"/>
      <c r="P4258" s="49"/>
      <c r="Q4258" s="49"/>
      <c r="R4258" s="188" t="str">
        <f t="shared" si="139"/>
        <v/>
      </c>
      <c r="T4258" s="21"/>
      <c r="U4258" s="22"/>
      <c r="V4258" s="24"/>
      <c r="W4258" s="24"/>
      <c r="X4258" s="24"/>
      <c r="Y4258" s="24"/>
      <c r="Z4258" s="20" t="str">
        <f t="shared" si="138"/>
        <v/>
      </c>
    </row>
    <row r="4259" spans="1:26" x14ac:dyDescent="0.2">
      <c r="A4259" s="21"/>
      <c r="B4259" s="20"/>
      <c r="C4259" s="22"/>
      <c r="D4259" s="22"/>
      <c r="E4259" s="24"/>
      <c r="F4259" s="22"/>
      <c r="H4259" s="21"/>
      <c r="I4259" s="22"/>
      <c r="J4259" s="22"/>
      <c r="K4259" s="24"/>
      <c r="M4259" s="21"/>
      <c r="N4259" s="22"/>
      <c r="O4259" s="22"/>
      <c r="P4259" s="49"/>
      <c r="Q4259" s="49"/>
      <c r="R4259" s="188" t="str">
        <f t="shared" si="139"/>
        <v/>
      </c>
      <c r="T4259" s="21"/>
      <c r="U4259" s="22"/>
      <c r="V4259" s="24"/>
      <c r="W4259" s="24"/>
      <c r="X4259" s="24"/>
      <c r="Y4259" s="24"/>
      <c r="Z4259" s="20" t="str">
        <f t="shared" si="138"/>
        <v/>
      </c>
    </row>
    <row r="4260" spans="1:26" x14ac:dyDescent="0.2">
      <c r="A4260" s="21"/>
      <c r="B4260" s="20"/>
      <c r="C4260" s="22"/>
      <c r="D4260" s="22"/>
      <c r="E4260" s="24"/>
      <c r="F4260" s="22"/>
      <c r="H4260" s="21"/>
      <c r="I4260" s="22"/>
      <c r="J4260" s="22"/>
      <c r="K4260" s="24"/>
      <c r="M4260" s="21"/>
      <c r="N4260" s="22"/>
      <c r="O4260" s="22"/>
      <c r="P4260" s="49"/>
      <c r="Q4260" s="49"/>
      <c r="R4260" s="188" t="str">
        <f t="shared" si="139"/>
        <v/>
      </c>
      <c r="T4260" s="21"/>
      <c r="U4260" s="22"/>
      <c r="V4260" s="24"/>
      <c r="W4260" s="24"/>
      <c r="X4260" s="24"/>
      <c r="Y4260" s="24"/>
      <c r="Z4260" s="20" t="str">
        <f t="shared" si="138"/>
        <v/>
      </c>
    </row>
    <row r="4261" spans="1:26" x14ac:dyDescent="0.2">
      <c r="A4261" s="21"/>
      <c r="B4261" s="20"/>
      <c r="C4261" s="22"/>
      <c r="D4261" s="22"/>
      <c r="E4261" s="24"/>
      <c r="F4261" s="22"/>
      <c r="H4261" s="21"/>
      <c r="I4261" s="22"/>
      <c r="J4261" s="22"/>
      <c r="K4261" s="24"/>
      <c r="M4261" s="21"/>
      <c r="N4261" s="22"/>
      <c r="O4261" s="22"/>
      <c r="P4261" s="49"/>
      <c r="Q4261" s="49"/>
      <c r="R4261" s="188" t="str">
        <f t="shared" si="139"/>
        <v/>
      </c>
      <c r="T4261" s="21"/>
      <c r="U4261" s="22"/>
      <c r="V4261" s="24"/>
      <c r="W4261" s="24"/>
      <c r="X4261" s="24"/>
      <c r="Y4261" s="24"/>
      <c r="Z4261" s="20" t="str">
        <f t="shared" si="138"/>
        <v/>
      </c>
    </row>
    <row r="4262" spans="1:26" x14ac:dyDescent="0.2">
      <c r="A4262" s="21"/>
      <c r="B4262" s="20"/>
      <c r="C4262" s="22"/>
      <c r="D4262" s="22"/>
      <c r="E4262" s="24"/>
      <c r="F4262" s="22"/>
      <c r="H4262" s="21"/>
      <c r="I4262" s="22"/>
      <c r="J4262" s="22"/>
      <c r="K4262" s="24"/>
      <c r="M4262" s="21"/>
      <c r="N4262" s="22"/>
      <c r="O4262" s="22"/>
      <c r="P4262" s="49"/>
      <c r="Q4262" s="49"/>
      <c r="R4262" s="188" t="str">
        <f t="shared" si="139"/>
        <v/>
      </c>
      <c r="T4262" s="21"/>
      <c r="U4262" s="22"/>
      <c r="V4262" s="24"/>
      <c r="W4262" s="24"/>
      <c r="X4262" s="24"/>
      <c r="Y4262" s="24"/>
      <c r="Z4262" s="20" t="str">
        <f t="shared" si="138"/>
        <v/>
      </c>
    </row>
    <row r="4263" spans="1:26" x14ac:dyDescent="0.2">
      <c r="A4263" s="21"/>
      <c r="B4263" s="20"/>
      <c r="C4263" s="22"/>
      <c r="D4263" s="22"/>
      <c r="E4263" s="24"/>
      <c r="F4263" s="22"/>
      <c r="H4263" s="21"/>
      <c r="I4263" s="22"/>
      <c r="J4263" s="22"/>
      <c r="K4263" s="24"/>
      <c r="M4263" s="21"/>
      <c r="N4263" s="22"/>
      <c r="O4263" s="22"/>
      <c r="P4263" s="49"/>
      <c r="Q4263" s="49"/>
      <c r="R4263" s="188" t="str">
        <f t="shared" si="139"/>
        <v/>
      </c>
      <c r="T4263" s="21"/>
      <c r="U4263" s="22"/>
      <c r="V4263" s="24"/>
      <c r="W4263" s="24"/>
      <c r="X4263" s="24"/>
      <c r="Y4263" s="24"/>
      <c r="Z4263" s="20" t="str">
        <f t="shared" si="138"/>
        <v/>
      </c>
    </row>
    <row r="4264" spans="1:26" x14ac:dyDescent="0.2">
      <c r="A4264" s="21"/>
      <c r="B4264" s="20"/>
      <c r="C4264" s="22"/>
      <c r="D4264" s="22"/>
      <c r="E4264" s="24"/>
      <c r="F4264" s="22"/>
      <c r="H4264" s="21"/>
      <c r="I4264" s="22"/>
      <c r="J4264" s="22"/>
      <c r="K4264" s="24"/>
      <c r="M4264" s="21"/>
      <c r="N4264" s="22"/>
      <c r="O4264" s="22"/>
      <c r="P4264" s="49"/>
      <c r="Q4264" s="49"/>
      <c r="R4264" s="188" t="str">
        <f t="shared" si="139"/>
        <v/>
      </c>
      <c r="T4264" s="21"/>
      <c r="U4264" s="22"/>
      <c r="V4264" s="24"/>
      <c r="W4264" s="24"/>
      <c r="X4264" s="24"/>
      <c r="Y4264" s="24"/>
      <c r="Z4264" s="20" t="str">
        <f t="shared" si="138"/>
        <v/>
      </c>
    </row>
    <row r="4265" spans="1:26" x14ac:dyDescent="0.2">
      <c r="A4265" s="21"/>
      <c r="B4265" s="20"/>
      <c r="C4265" s="22"/>
      <c r="D4265" s="22"/>
      <c r="E4265" s="24"/>
      <c r="F4265" s="22"/>
      <c r="H4265" s="21"/>
      <c r="I4265" s="22"/>
      <c r="J4265" s="22"/>
      <c r="K4265" s="24"/>
      <c r="M4265" s="21"/>
      <c r="N4265" s="22"/>
      <c r="O4265" s="22"/>
      <c r="P4265" s="49"/>
      <c r="Q4265" s="49"/>
      <c r="R4265" s="188" t="str">
        <f t="shared" si="139"/>
        <v/>
      </c>
      <c r="T4265" s="21"/>
      <c r="U4265" s="22"/>
      <c r="V4265" s="24"/>
      <c r="W4265" s="24"/>
      <c r="X4265" s="24"/>
      <c r="Y4265" s="24"/>
      <c r="Z4265" s="20" t="str">
        <f t="shared" si="138"/>
        <v/>
      </c>
    </row>
    <row r="4266" spans="1:26" x14ac:dyDescent="0.2">
      <c r="A4266" s="21"/>
      <c r="B4266" s="20"/>
      <c r="C4266" s="22"/>
      <c r="D4266" s="22"/>
      <c r="E4266" s="24"/>
      <c r="F4266" s="22"/>
      <c r="H4266" s="21"/>
      <c r="I4266" s="22"/>
      <c r="J4266" s="22"/>
      <c r="K4266" s="24"/>
      <c r="M4266" s="21"/>
      <c r="N4266" s="22"/>
      <c r="O4266" s="22"/>
      <c r="P4266" s="49"/>
      <c r="Q4266" s="49"/>
      <c r="R4266" s="188" t="str">
        <f t="shared" si="139"/>
        <v/>
      </c>
      <c r="T4266" s="21"/>
      <c r="U4266" s="22"/>
      <c r="V4266" s="24"/>
      <c r="W4266" s="24"/>
      <c r="X4266" s="24"/>
      <c r="Y4266" s="24"/>
      <c r="Z4266" s="20" t="str">
        <f t="shared" si="138"/>
        <v/>
      </c>
    </row>
    <row r="4267" spans="1:26" x14ac:dyDescent="0.2">
      <c r="A4267" s="21"/>
      <c r="B4267" s="20"/>
      <c r="C4267" s="22"/>
      <c r="D4267" s="22"/>
      <c r="E4267" s="24"/>
      <c r="F4267" s="22"/>
      <c r="H4267" s="21"/>
      <c r="I4267" s="22"/>
      <c r="J4267" s="22"/>
      <c r="K4267" s="24"/>
      <c r="M4267" s="21"/>
      <c r="N4267" s="22"/>
      <c r="O4267" s="22"/>
      <c r="P4267" s="49"/>
      <c r="Q4267" s="49"/>
      <c r="R4267" s="188" t="str">
        <f t="shared" si="139"/>
        <v/>
      </c>
      <c r="T4267" s="21"/>
      <c r="U4267" s="22"/>
      <c r="V4267" s="24"/>
      <c r="W4267" s="24"/>
      <c r="X4267" s="24"/>
      <c r="Y4267" s="24"/>
      <c r="Z4267" s="20" t="str">
        <f t="shared" si="138"/>
        <v/>
      </c>
    </row>
    <row r="4268" spans="1:26" x14ac:dyDescent="0.2">
      <c r="A4268" s="21"/>
      <c r="B4268" s="20"/>
      <c r="C4268" s="22"/>
      <c r="D4268" s="22"/>
      <c r="E4268" s="24"/>
      <c r="F4268" s="22"/>
      <c r="H4268" s="21"/>
      <c r="I4268" s="22"/>
      <c r="J4268" s="22"/>
      <c r="K4268" s="24"/>
      <c r="M4268" s="21"/>
      <c r="N4268" s="22"/>
      <c r="O4268" s="22"/>
      <c r="P4268" s="49"/>
      <c r="Q4268" s="49"/>
      <c r="R4268" s="188" t="str">
        <f t="shared" si="139"/>
        <v/>
      </c>
      <c r="T4268" s="21"/>
      <c r="U4268" s="22"/>
      <c r="V4268" s="24"/>
      <c r="W4268" s="24"/>
      <c r="X4268" s="24"/>
      <c r="Y4268" s="24"/>
      <c r="Z4268" s="20" t="str">
        <f t="shared" si="138"/>
        <v/>
      </c>
    </row>
    <row r="4269" spans="1:26" x14ac:dyDescent="0.2">
      <c r="A4269" s="21"/>
      <c r="B4269" s="20"/>
      <c r="C4269" s="22"/>
      <c r="D4269" s="22"/>
      <c r="E4269" s="24"/>
      <c r="F4269" s="22"/>
      <c r="H4269" s="21"/>
      <c r="I4269" s="22"/>
      <c r="J4269" s="22"/>
      <c r="K4269" s="24"/>
      <c r="M4269" s="21"/>
      <c r="N4269" s="22"/>
      <c r="O4269" s="22"/>
      <c r="P4269" s="49"/>
      <c r="Q4269" s="49"/>
      <c r="R4269" s="188" t="str">
        <f t="shared" si="139"/>
        <v/>
      </c>
      <c r="T4269" s="21"/>
      <c r="U4269" s="22"/>
      <c r="V4269" s="24"/>
      <c r="W4269" s="24"/>
      <c r="X4269" s="24"/>
      <c r="Y4269" s="24"/>
      <c r="Z4269" s="20" t="str">
        <f t="shared" si="138"/>
        <v/>
      </c>
    </row>
    <row r="4270" spans="1:26" x14ac:dyDescent="0.2">
      <c r="A4270" s="21"/>
      <c r="B4270" s="20"/>
      <c r="C4270" s="22"/>
      <c r="D4270" s="22"/>
      <c r="E4270" s="24"/>
      <c r="F4270" s="22"/>
      <c r="H4270" s="21"/>
      <c r="I4270" s="22"/>
      <c r="J4270" s="22"/>
      <c r="K4270" s="24"/>
      <c r="M4270" s="21"/>
      <c r="N4270" s="22"/>
      <c r="O4270" s="22"/>
      <c r="P4270" s="49"/>
      <c r="Q4270" s="49"/>
      <c r="R4270" s="188" t="str">
        <f t="shared" si="139"/>
        <v/>
      </c>
      <c r="T4270" s="21"/>
      <c r="U4270" s="22"/>
      <c r="V4270" s="24"/>
      <c r="W4270" s="24"/>
      <c r="X4270" s="24"/>
      <c r="Y4270" s="24"/>
      <c r="Z4270" s="20" t="str">
        <f t="shared" si="138"/>
        <v/>
      </c>
    </row>
    <row r="4271" spans="1:26" x14ac:dyDescent="0.2">
      <c r="A4271" s="21"/>
      <c r="B4271" s="20"/>
      <c r="C4271" s="22"/>
      <c r="D4271" s="22"/>
      <c r="E4271" s="24"/>
      <c r="F4271" s="22"/>
      <c r="H4271" s="21"/>
      <c r="I4271" s="22"/>
      <c r="J4271" s="22"/>
      <c r="K4271" s="24"/>
      <c r="M4271" s="21"/>
      <c r="N4271" s="22"/>
      <c r="O4271" s="22"/>
      <c r="P4271" s="49"/>
      <c r="Q4271" s="49"/>
      <c r="R4271" s="188" t="str">
        <f t="shared" si="139"/>
        <v/>
      </c>
      <c r="T4271" s="21"/>
      <c r="U4271" s="22"/>
      <c r="V4271" s="24"/>
      <c r="W4271" s="24"/>
      <c r="X4271" s="24"/>
      <c r="Y4271" s="24"/>
      <c r="Z4271" s="20" t="str">
        <f t="shared" si="138"/>
        <v/>
      </c>
    </row>
    <row r="4272" spans="1:26" x14ac:dyDescent="0.2">
      <c r="A4272" s="21"/>
      <c r="B4272" s="20"/>
      <c r="C4272" s="22"/>
      <c r="D4272" s="22"/>
      <c r="E4272" s="24"/>
      <c r="F4272" s="22"/>
      <c r="H4272" s="21"/>
      <c r="I4272" s="22"/>
      <c r="J4272" s="22"/>
      <c r="K4272" s="24"/>
      <c r="M4272" s="21"/>
      <c r="N4272" s="22"/>
      <c r="O4272" s="22"/>
      <c r="P4272" s="49"/>
      <c r="Q4272" s="49"/>
      <c r="R4272" s="188" t="str">
        <f t="shared" si="139"/>
        <v/>
      </c>
      <c r="T4272" s="21"/>
      <c r="U4272" s="22"/>
      <c r="V4272" s="24"/>
      <c r="W4272" s="24"/>
      <c r="X4272" s="24"/>
      <c r="Y4272" s="24"/>
      <c r="Z4272" s="20" t="str">
        <f t="shared" si="138"/>
        <v/>
      </c>
    </row>
    <row r="4273" spans="1:26" x14ac:dyDescent="0.2">
      <c r="A4273" s="21"/>
      <c r="B4273" s="20"/>
      <c r="C4273" s="22"/>
      <c r="D4273" s="22"/>
      <c r="E4273" s="24"/>
      <c r="F4273" s="22"/>
      <c r="H4273" s="21"/>
      <c r="I4273" s="22"/>
      <c r="J4273" s="22"/>
      <c r="K4273" s="24"/>
      <c r="M4273" s="21"/>
      <c r="N4273" s="22"/>
      <c r="O4273" s="22"/>
      <c r="P4273" s="49"/>
      <c r="Q4273" s="49"/>
      <c r="R4273" s="188" t="str">
        <f t="shared" si="139"/>
        <v/>
      </c>
      <c r="T4273" s="21"/>
      <c r="U4273" s="22"/>
      <c r="V4273" s="24"/>
      <c r="W4273" s="24"/>
      <c r="X4273" s="24"/>
      <c r="Y4273" s="24"/>
      <c r="Z4273" s="20" t="str">
        <f t="shared" si="138"/>
        <v/>
      </c>
    </row>
    <row r="4274" spans="1:26" x14ac:dyDescent="0.2">
      <c r="A4274" s="21"/>
      <c r="B4274" s="20"/>
      <c r="C4274" s="22"/>
      <c r="D4274" s="22"/>
      <c r="E4274" s="24"/>
      <c r="F4274" s="22"/>
      <c r="H4274" s="21"/>
      <c r="I4274" s="22"/>
      <c r="J4274" s="22"/>
      <c r="K4274" s="24"/>
      <c r="M4274" s="21"/>
      <c r="N4274" s="22"/>
      <c r="O4274" s="22"/>
      <c r="P4274" s="49"/>
      <c r="Q4274" s="49"/>
      <c r="R4274" s="188" t="str">
        <f t="shared" si="139"/>
        <v/>
      </c>
      <c r="T4274" s="21"/>
      <c r="U4274" s="22"/>
      <c r="V4274" s="24"/>
      <c r="W4274" s="24"/>
      <c r="X4274" s="24"/>
      <c r="Y4274" s="24"/>
      <c r="Z4274" s="20" t="str">
        <f t="shared" si="138"/>
        <v/>
      </c>
    </row>
    <row r="4275" spans="1:26" x14ac:dyDescent="0.2">
      <c r="A4275" s="21"/>
      <c r="B4275" s="20"/>
      <c r="C4275" s="22"/>
      <c r="D4275" s="22"/>
      <c r="E4275" s="24"/>
      <c r="F4275" s="22"/>
      <c r="H4275" s="21"/>
      <c r="I4275" s="22"/>
      <c r="J4275" s="22"/>
      <c r="K4275" s="24"/>
      <c r="M4275" s="21"/>
      <c r="N4275" s="22"/>
      <c r="O4275" s="22"/>
      <c r="P4275" s="49"/>
      <c r="Q4275" s="49"/>
      <c r="R4275" s="188" t="str">
        <f t="shared" si="139"/>
        <v/>
      </c>
      <c r="T4275" s="21"/>
      <c r="U4275" s="22"/>
      <c r="V4275" s="24"/>
      <c r="W4275" s="24"/>
      <c r="X4275" s="24"/>
      <c r="Y4275" s="24"/>
      <c r="Z4275" s="20" t="str">
        <f t="shared" si="138"/>
        <v/>
      </c>
    </row>
    <row r="4276" spans="1:26" x14ac:dyDescent="0.2">
      <c r="A4276" s="21"/>
      <c r="B4276" s="20"/>
      <c r="C4276" s="22"/>
      <c r="D4276" s="22"/>
      <c r="E4276" s="24"/>
      <c r="F4276" s="22"/>
      <c r="H4276" s="21"/>
      <c r="I4276" s="22"/>
      <c r="J4276" s="22"/>
      <c r="K4276" s="24"/>
      <c r="M4276" s="21"/>
      <c r="N4276" s="22"/>
      <c r="O4276" s="22"/>
      <c r="P4276" s="49"/>
      <c r="Q4276" s="49"/>
      <c r="R4276" s="188" t="str">
        <f t="shared" si="139"/>
        <v/>
      </c>
      <c r="T4276" s="21"/>
      <c r="U4276" s="22"/>
      <c r="V4276" s="24"/>
      <c r="W4276" s="24"/>
      <c r="X4276" s="24"/>
      <c r="Y4276" s="24"/>
      <c r="Z4276" s="20" t="str">
        <f t="shared" si="138"/>
        <v/>
      </c>
    </row>
    <row r="4277" spans="1:26" x14ac:dyDescent="0.2">
      <c r="A4277" s="21"/>
      <c r="B4277" s="20"/>
      <c r="C4277" s="22"/>
      <c r="D4277" s="22"/>
      <c r="E4277" s="24"/>
      <c r="F4277" s="22"/>
      <c r="H4277" s="21"/>
      <c r="I4277" s="22"/>
      <c r="J4277" s="22"/>
      <c r="K4277" s="24"/>
      <c r="M4277" s="21"/>
      <c r="N4277" s="22"/>
      <c r="O4277" s="22"/>
      <c r="P4277" s="49"/>
      <c r="Q4277" s="49"/>
      <c r="R4277" s="188" t="str">
        <f t="shared" si="139"/>
        <v/>
      </c>
      <c r="T4277" s="21"/>
      <c r="U4277" s="22"/>
      <c r="V4277" s="24"/>
      <c r="W4277" s="24"/>
      <c r="X4277" s="24"/>
      <c r="Y4277" s="24"/>
      <c r="Z4277" s="20" t="str">
        <f t="shared" si="138"/>
        <v/>
      </c>
    </row>
    <row r="4278" spans="1:26" x14ac:dyDescent="0.2">
      <c r="A4278" s="21"/>
      <c r="B4278" s="20"/>
      <c r="C4278" s="22"/>
      <c r="D4278" s="22"/>
      <c r="E4278" s="24"/>
      <c r="F4278" s="22"/>
      <c r="H4278" s="21"/>
      <c r="I4278" s="22"/>
      <c r="J4278" s="22"/>
      <c r="K4278" s="24"/>
      <c r="M4278" s="21"/>
      <c r="N4278" s="22"/>
      <c r="O4278" s="22"/>
      <c r="P4278" s="49"/>
      <c r="Q4278" s="49"/>
      <c r="R4278" s="188" t="str">
        <f t="shared" si="139"/>
        <v/>
      </c>
      <c r="T4278" s="21"/>
      <c r="U4278" s="22"/>
      <c r="V4278" s="24"/>
      <c r="W4278" s="24"/>
      <c r="X4278" s="24"/>
      <c r="Y4278" s="24"/>
      <c r="Z4278" s="20" t="str">
        <f t="shared" si="138"/>
        <v/>
      </c>
    </row>
    <row r="4279" spans="1:26" x14ac:dyDescent="0.2">
      <c r="A4279" s="21"/>
      <c r="B4279" s="20"/>
      <c r="C4279" s="22"/>
      <c r="D4279" s="22"/>
      <c r="E4279" s="24"/>
      <c r="F4279" s="22"/>
      <c r="H4279" s="21"/>
      <c r="I4279" s="22"/>
      <c r="J4279" s="22"/>
      <c r="K4279" s="24"/>
      <c r="M4279" s="21"/>
      <c r="N4279" s="22"/>
      <c r="O4279" s="22"/>
      <c r="P4279" s="49"/>
      <c r="Q4279" s="49"/>
      <c r="R4279" s="188" t="str">
        <f t="shared" si="139"/>
        <v/>
      </c>
      <c r="T4279" s="21"/>
      <c r="U4279" s="22"/>
      <c r="V4279" s="24"/>
      <c r="W4279" s="24"/>
      <c r="X4279" s="24"/>
      <c r="Y4279" s="24"/>
      <c r="Z4279" s="20" t="str">
        <f t="shared" si="138"/>
        <v/>
      </c>
    </row>
    <row r="4280" spans="1:26" x14ac:dyDescent="0.2">
      <c r="A4280" s="21"/>
      <c r="B4280" s="20"/>
      <c r="C4280" s="22"/>
      <c r="D4280" s="22"/>
      <c r="E4280" s="24"/>
      <c r="F4280" s="22"/>
      <c r="H4280" s="21"/>
      <c r="I4280" s="22"/>
      <c r="J4280" s="22"/>
      <c r="K4280" s="24"/>
      <c r="M4280" s="21"/>
      <c r="N4280" s="22"/>
      <c r="O4280" s="22"/>
      <c r="P4280" s="49"/>
      <c r="Q4280" s="49"/>
      <c r="R4280" s="188" t="str">
        <f t="shared" si="139"/>
        <v/>
      </c>
      <c r="T4280" s="21"/>
      <c r="U4280" s="22"/>
      <c r="V4280" s="24"/>
      <c r="W4280" s="24"/>
      <c r="X4280" s="24"/>
      <c r="Y4280" s="24"/>
      <c r="Z4280" s="20" t="str">
        <f t="shared" si="138"/>
        <v/>
      </c>
    </row>
    <row r="4281" spans="1:26" x14ac:dyDescent="0.2">
      <c r="A4281" s="21"/>
      <c r="B4281" s="20"/>
      <c r="C4281" s="22"/>
      <c r="D4281" s="22"/>
      <c r="E4281" s="24"/>
      <c r="F4281" s="22"/>
      <c r="H4281" s="21"/>
      <c r="I4281" s="22"/>
      <c r="J4281" s="22"/>
      <c r="K4281" s="24"/>
      <c r="M4281" s="21"/>
      <c r="N4281" s="22"/>
      <c r="O4281" s="22"/>
      <c r="P4281" s="49"/>
      <c r="Q4281" s="49"/>
      <c r="R4281" s="188" t="str">
        <f t="shared" si="139"/>
        <v/>
      </c>
      <c r="T4281" s="21"/>
      <c r="U4281" s="22"/>
      <c r="V4281" s="24"/>
      <c r="W4281" s="24"/>
      <c r="X4281" s="24"/>
      <c r="Y4281" s="24"/>
      <c r="Z4281" s="20" t="str">
        <f t="shared" si="138"/>
        <v/>
      </c>
    </row>
    <row r="4282" spans="1:26" x14ac:dyDescent="0.2">
      <c r="A4282" s="21"/>
      <c r="B4282" s="20"/>
      <c r="C4282" s="22"/>
      <c r="D4282" s="22"/>
      <c r="E4282" s="24"/>
      <c r="F4282" s="22"/>
      <c r="H4282" s="21"/>
      <c r="I4282" s="22"/>
      <c r="J4282" s="22"/>
      <c r="K4282" s="24"/>
      <c r="M4282" s="21"/>
      <c r="N4282" s="22"/>
      <c r="O4282" s="22"/>
      <c r="P4282" s="49"/>
      <c r="Q4282" s="49"/>
      <c r="R4282" s="188" t="str">
        <f t="shared" si="139"/>
        <v/>
      </c>
      <c r="T4282" s="21"/>
      <c r="U4282" s="22"/>
      <c r="V4282" s="24"/>
      <c r="W4282" s="24"/>
      <c r="X4282" s="24"/>
      <c r="Y4282" s="24"/>
      <c r="Z4282" s="20" t="str">
        <f t="shared" si="138"/>
        <v/>
      </c>
    </row>
    <row r="4283" spans="1:26" x14ac:dyDescent="0.2">
      <c r="A4283" s="21"/>
      <c r="B4283" s="20"/>
      <c r="C4283" s="22"/>
      <c r="D4283" s="22"/>
      <c r="E4283" s="24"/>
      <c r="F4283" s="22"/>
      <c r="H4283" s="21"/>
      <c r="I4283" s="22"/>
      <c r="J4283" s="22"/>
      <c r="K4283" s="24"/>
      <c r="M4283" s="21"/>
      <c r="N4283" s="22"/>
      <c r="O4283" s="22"/>
      <c r="P4283" s="49"/>
      <c r="Q4283" s="49"/>
      <c r="R4283" s="188" t="str">
        <f t="shared" si="139"/>
        <v/>
      </c>
      <c r="T4283" s="21"/>
      <c r="U4283" s="22"/>
      <c r="V4283" s="24"/>
      <c r="W4283" s="24"/>
      <c r="X4283" s="24"/>
      <c r="Y4283" s="24"/>
      <c r="Z4283" s="20" t="str">
        <f t="shared" si="138"/>
        <v/>
      </c>
    </row>
    <row r="4284" spans="1:26" x14ac:dyDescent="0.2">
      <c r="A4284" s="21"/>
      <c r="B4284" s="20"/>
      <c r="C4284" s="22"/>
      <c r="D4284" s="22"/>
      <c r="E4284" s="24"/>
      <c r="F4284" s="22"/>
      <c r="H4284" s="21"/>
      <c r="I4284" s="22"/>
      <c r="J4284" s="22"/>
      <c r="K4284" s="24"/>
      <c r="M4284" s="21"/>
      <c r="N4284" s="22"/>
      <c r="O4284" s="22"/>
      <c r="P4284" s="49"/>
      <c r="Q4284" s="49"/>
      <c r="R4284" s="188" t="str">
        <f t="shared" si="139"/>
        <v/>
      </c>
      <c r="T4284" s="21"/>
      <c r="U4284" s="22"/>
      <c r="V4284" s="24"/>
      <c r="W4284" s="24"/>
      <c r="X4284" s="24"/>
      <c r="Y4284" s="24"/>
      <c r="Z4284" s="20" t="str">
        <f t="shared" si="138"/>
        <v/>
      </c>
    </row>
    <row r="4285" spans="1:26" x14ac:dyDescent="0.2">
      <c r="A4285" s="21"/>
      <c r="B4285" s="20"/>
      <c r="C4285" s="22"/>
      <c r="D4285" s="22"/>
      <c r="E4285" s="24"/>
      <c r="F4285" s="22"/>
      <c r="H4285" s="21"/>
      <c r="I4285" s="22"/>
      <c r="J4285" s="22"/>
      <c r="K4285" s="24"/>
      <c r="M4285" s="21"/>
      <c r="N4285" s="22"/>
      <c r="O4285" s="22"/>
      <c r="P4285" s="49"/>
      <c r="Q4285" s="49"/>
      <c r="R4285" s="188" t="str">
        <f t="shared" si="139"/>
        <v/>
      </c>
      <c r="T4285" s="21"/>
      <c r="U4285" s="22"/>
      <c r="V4285" s="24"/>
      <c r="W4285" s="24"/>
      <c r="X4285" s="24"/>
      <c r="Y4285" s="24"/>
      <c r="Z4285" s="20" t="str">
        <f t="shared" si="138"/>
        <v/>
      </c>
    </row>
    <row r="4286" spans="1:26" x14ac:dyDescent="0.2">
      <c r="A4286" s="21"/>
      <c r="B4286" s="20"/>
      <c r="C4286" s="22"/>
      <c r="D4286" s="22"/>
      <c r="E4286" s="24"/>
      <c r="F4286" s="22"/>
      <c r="H4286" s="21"/>
      <c r="I4286" s="22"/>
      <c r="J4286" s="22"/>
      <c r="K4286" s="24"/>
      <c r="M4286" s="21"/>
      <c r="N4286" s="22"/>
      <c r="O4286" s="22"/>
      <c r="P4286" s="49"/>
      <c r="Q4286" s="49"/>
      <c r="R4286" s="188" t="str">
        <f t="shared" si="139"/>
        <v/>
      </c>
      <c r="T4286" s="21"/>
      <c r="U4286" s="22"/>
      <c r="V4286" s="24"/>
      <c r="W4286" s="24"/>
      <c r="X4286" s="24"/>
      <c r="Y4286" s="24"/>
      <c r="Z4286" s="20" t="str">
        <f t="shared" si="138"/>
        <v/>
      </c>
    </row>
    <row r="4287" spans="1:26" x14ac:dyDescent="0.2">
      <c r="A4287" s="21"/>
      <c r="B4287" s="20"/>
      <c r="C4287" s="22"/>
      <c r="D4287" s="22"/>
      <c r="E4287" s="24"/>
      <c r="F4287" s="22"/>
      <c r="H4287" s="21"/>
      <c r="I4287" s="22"/>
      <c r="J4287" s="22"/>
      <c r="K4287" s="24"/>
      <c r="M4287" s="21"/>
      <c r="N4287" s="22"/>
      <c r="O4287" s="22"/>
      <c r="P4287" s="49"/>
      <c r="Q4287" s="49"/>
      <c r="R4287" s="188" t="str">
        <f t="shared" si="139"/>
        <v/>
      </c>
      <c r="T4287" s="21"/>
      <c r="U4287" s="22"/>
      <c r="V4287" s="24"/>
      <c r="W4287" s="24"/>
      <c r="X4287" s="24"/>
      <c r="Y4287" s="24"/>
      <c r="Z4287" s="20" t="str">
        <f t="shared" si="138"/>
        <v/>
      </c>
    </row>
    <row r="4288" spans="1:26" x14ac:dyDescent="0.2">
      <c r="A4288" s="21"/>
      <c r="B4288" s="20"/>
      <c r="C4288" s="22"/>
      <c r="D4288" s="22"/>
      <c r="E4288" s="24"/>
      <c r="F4288" s="22"/>
      <c r="H4288" s="21"/>
      <c r="I4288" s="22"/>
      <c r="J4288" s="22"/>
      <c r="K4288" s="24"/>
      <c r="M4288" s="21"/>
      <c r="N4288" s="22"/>
      <c r="O4288" s="22"/>
      <c r="P4288" s="49"/>
      <c r="Q4288" s="49"/>
      <c r="R4288" s="188" t="str">
        <f t="shared" si="139"/>
        <v/>
      </c>
      <c r="T4288" s="21"/>
      <c r="U4288" s="22"/>
      <c r="V4288" s="24"/>
      <c r="W4288" s="24"/>
      <c r="X4288" s="24"/>
      <c r="Y4288" s="24"/>
      <c r="Z4288" s="20" t="str">
        <f t="shared" si="138"/>
        <v/>
      </c>
    </row>
    <row r="4289" spans="1:26" x14ac:dyDescent="0.2">
      <c r="A4289" s="21"/>
      <c r="B4289" s="20"/>
      <c r="C4289" s="22"/>
      <c r="D4289" s="22"/>
      <c r="E4289" s="24"/>
      <c r="F4289" s="22"/>
      <c r="H4289" s="21"/>
      <c r="I4289" s="22"/>
      <c r="J4289" s="22"/>
      <c r="K4289" s="24"/>
      <c r="M4289" s="21"/>
      <c r="N4289" s="22"/>
      <c r="O4289" s="22"/>
      <c r="P4289" s="49"/>
      <c r="Q4289" s="49"/>
      <c r="R4289" s="188" t="str">
        <f t="shared" si="139"/>
        <v/>
      </c>
      <c r="T4289" s="21"/>
      <c r="U4289" s="22"/>
      <c r="V4289" s="24"/>
      <c r="W4289" s="24"/>
      <c r="X4289" s="24"/>
      <c r="Y4289" s="24"/>
      <c r="Z4289" s="20" t="str">
        <f t="shared" si="138"/>
        <v/>
      </c>
    </row>
    <row r="4290" spans="1:26" x14ac:dyDescent="0.2">
      <c r="A4290" s="21"/>
      <c r="B4290" s="20"/>
      <c r="C4290" s="22"/>
      <c r="D4290" s="22"/>
      <c r="E4290" s="24"/>
      <c r="F4290" s="22"/>
      <c r="H4290" s="21"/>
      <c r="I4290" s="22"/>
      <c r="J4290" s="22"/>
      <c r="K4290" s="24"/>
      <c r="M4290" s="21"/>
      <c r="N4290" s="22"/>
      <c r="O4290" s="22"/>
      <c r="P4290" s="49"/>
      <c r="Q4290" s="49"/>
      <c r="R4290" s="188" t="str">
        <f t="shared" si="139"/>
        <v/>
      </c>
      <c r="T4290" s="21"/>
      <c r="U4290" s="22"/>
      <c r="V4290" s="24"/>
      <c r="W4290" s="24"/>
      <c r="X4290" s="24"/>
      <c r="Y4290" s="24"/>
      <c r="Z4290" s="20" t="str">
        <f t="shared" si="138"/>
        <v/>
      </c>
    </row>
    <row r="4291" spans="1:26" x14ac:dyDescent="0.2">
      <c r="A4291" s="21"/>
      <c r="B4291" s="20"/>
      <c r="C4291" s="22"/>
      <c r="D4291" s="22"/>
      <c r="E4291" s="24"/>
      <c r="F4291" s="22"/>
      <c r="H4291" s="21"/>
      <c r="I4291" s="22"/>
      <c r="J4291" s="22"/>
      <c r="K4291" s="24"/>
      <c r="M4291" s="21"/>
      <c r="N4291" s="22"/>
      <c r="O4291" s="22"/>
      <c r="P4291" s="49"/>
      <c r="Q4291" s="49"/>
      <c r="R4291" s="188" t="str">
        <f t="shared" si="139"/>
        <v/>
      </c>
      <c r="T4291" s="21"/>
      <c r="U4291" s="22"/>
      <c r="V4291" s="24"/>
      <c r="W4291" s="24"/>
      <c r="X4291" s="24"/>
      <c r="Y4291" s="24"/>
      <c r="Z4291" s="20" t="str">
        <f t="shared" si="138"/>
        <v/>
      </c>
    </row>
    <row r="4292" spans="1:26" x14ac:dyDescent="0.2">
      <c r="A4292" s="21"/>
      <c r="B4292" s="20"/>
      <c r="C4292" s="22"/>
      <c r="D4292" s="22"/>
      <c r="E4292" s="24"/>
      <c r="F4292" s="22"/>
      <c r="H4292" s="21"/>
      <c r="I4292" s="22"/>
      <c r="J4292" s="22"/>
      <c r="K4292" s="24"/>
      <c r="M4292" s="21"/>
      <c r="N4292" s="22"/>
      <c r="O4292" s="22"/>
      <c r="P4292" s="49"/>
      <c r="Q4292" s="49"/>
      <c r="R4292" s="188" t="str">
        <f t="shared" si="139"/>
        <v/>
      </c>
      <c r="T4292" s="21"/>
      <c r="U4292" s="22"/>
      <c r="V4292" s="24"/>
      <c r="W4292" s="24"/>
      <c r="X4292" s="24"/>
      <c r="Y4292" s="24"/>
      <c r="Z4292" s="20" t="str">
        <f t="shared" si="138"/>
        <v/>
      </c>
    </row>
    <row r="4293" spans="1:26" x14ac:dyDescent="0.2">
      <c r="A4293" s="21"/>
      <c r="B4293" s="20"/>
      <c r="C4293" s="22"/>
      <c r="D4293" s="22"/>
      <c r="E4293" s="24"/>
      <c r="F4293" s="22"/>
      <c r="H4293" s="21"/>
      <c r="I4293" s="22"/>
      <c r="J4293" s="22"/>
      <c r="K4293" s="24"/>
      <c r="M4293" s="21"/>
      <c r="N4293" s="22"/>
      <c r="O4293" s="22"/>
      <c r="P4293" s="49"/>
      <c r="Q4293" s="49"/>
      <c r="R4293" s="188" t="str">
        <f t="shared" si="139"/>
        <v/>
      </c>
      <c r="T4293" s="21"/>
      <c r="U4293" s="22"/>
      <c r="V4293" s="24"/>
      <c r="W4293" s="24"/>
      <c r="X4293" s="24"/>
      <c r="Y4293" s="24"/>
      <c r="Z4293" s="20" t="str">
        <f t="shared" si="138"/>
        <v/>
      </c>
    </row>
    <row r="4294" spans="1:26" x14ac:dyDescent="0.2">
      <c r="A4294" s="21"/>
      <c r="B4294" s="20"/>
      <c r="C4294" s="22"/>
      <c r="D4294" s="22"/>
      <c r="E4294" s="24"/>
      <c r="F4294" s="22"/>
      <c r="H4294" s="21"/>
      <c r="I4294" s="22"/>
      <c r="J4294" s="22"/>
      <c r="K4294" s="24"/>
      <c r="M4294" s="21"/>
      <c r="N4294" s="22"/>
      <c r="O4294" s="22"/>
      <c r="P4294" s="49"/>
      <c r="Q4294" s="49"/>
      <c r="R4294" s="188" t="str">
        <f t="shared" si="139"/>
        <v/>
      </c>
      <c r="T4294" s="21"/>
      <c r="U4294" s="22"/>
      <c r="V4294" s="24"/>
      <c r="W4294" s="24"/>
      <c r="X4294" s="24"/>
      <c r="Y4294" s="24"/>
      <c r="Z4294" s="20" t="str">
        <f t="shared" si="138"/>
        <v/>
      </c>
    </row>
    <row r="4295" spans="1:26" x14ac:dyDescent="0.2">
      <c r="A4295" s="21"/>
      <c r="B4295" s="20"/>
      <c r="C4295" s="22"/>
      <c r="D4295" s="22"/>
      <c r="E4295" s="24"/>
      <c r="F4295" s="22"/>
      <c r="H4295" s="21"/>
      <c r="I4295" s="22"/>
      <c r="J4295" s="22"/>
      <c r="K4295" s="24"/>
      <c r="M4295" s="21"/>
      <c r="N4295" s="22"/>
      <c r="O4295" s="22"/>
      <c r="P4295" s="49"/>
      <c r="Q4295" s="49"/>
      <c r="R4295" s="188" t="str">
        <f t="shared" si="139"/>
        <v/>
      </c>
      <c r="T4295" s="21"/>
      <c r="U4295" s="22"/>
      <c r="V4295" s="24"/>
      <c r="W4295" s="24"/>
      <c r="X4295" s="24"/>
      <c r="Y4295" s="24"/>
      <c r="Z4295" s="20" t="str">
        <f t="shared" si="138"/>
        <v/>
      </c>
    </row>
    <row r="4296" spans="1:26" x14ac:dyDescent="0.2">
      <c r="A4296" s="21"/>
      <c r="B4296" s="20"/>
      <c r="C4296" s="22"/>
      <c r="D4296" s="22"/>
      <c r="E4296" s="24"/>
      <c r="F4296" s="22"/>
      <c r="H4296" s="21"/>
      <c r="I4296" s="22"/>
      <c r="J4296" s="22"/>
      <c r="K4296" s="24"/>
      <c r="M4296" s="21"/>
      <c r="N4296" s="22"/>
      <c r="O4296" s="22"/>
      <c r="P4296" s="49"/>
      <c r="Q4296" s="49"/>
      <c r="R4296" s="188" t="str">
        <f t="shared" si="139"/>
        <v/>
      </c>
      <c r="T4296" s="21"/>
      <c r="U4296" s="22"/>
      <c r="V4296" s="24"/>
      <c r="W4296" s="24"/>
      <c r="X4296" s="24"/>
      <c r="Y4296" s="24"/>
      <c r="Z4296" s="20" t="str">
        <f t="shared" si="138"/>
        <v/>
      </c>
    </row>
    <row r="4297" spans="1:26" x14ac:dyDescent="0.2">
      <c r="A4297" s="21"/>
      <c r="B4297" s="20"/>
      <c r="C4297" s="22"/>
      <c r="D4297" s="22"/>
      <c r="E4297" s="24"/>
      <c r="F4297" s="22"/>
      <c r="H4297" s="21"/>
      <c r="I4297" s="22"/>
      <c r="J4297" s="22"/>
      <c r="K4297" s="24"/>
      <c r="M4297" s="21"/>
      <c r="N4297" s="22"/>
      <c r="O4297" s="22"/>
      <c r="P4297" s="49"/>
      <c r="Q4297" s="49"/>
      <c r="R4297" s="188" t="str">
        <f t="shared" si="139"/>
        <v/>
      </c>
      <c r="T4297" s="21"/>
      <c r="U4297" s="22"/>
      <c r="V4297" s="24"/>
      <c r="W4297" s="24"/>
      <c r="X4297" s="24"/>
      <c r="Y4297" s="24"/>
      <c r="Z4297" s="20" t="str">
        <f t="shared" si="138"/>
        <v/>
      </c>
    </row>
    <row r="4298" spans="1:26" x14ac:dyDescent="0.2">
      <c r="A4298" s="21"/>
      <c r="B4298" s="20"/>
      <c r="C4298" s="22"/>
      <c r="D4298" s="22"/>
      <c r="E4298" s="24"/>
      <c r="F4298" s="22"/>
      <c r="H4298" s="21"/>
      <c r="I4298" s="22"/>
      <c r="J4298" s="22"/>
      <c r="K4298" s="24"/>
      <c r="M4298" s="21"/>
      <c r="N4298" s="22"/>
      <c r="O4298" s="22"/>
      <c r="P4298" s="49"/>
      <c r="Q4298" s="49"/>
      <c r="R4298" s="188" t="str">
        <f t="shared" si="139"/>
        <v/>
      </c>
      <c r="T4298" s="21"/>
      <c r="U4298" s="22"/>
      <c r="V4298" s="24"/>
      <c r="W4298" s="24"/>
      <c r="X4298" s="24"/>
      <c r="Y4298" s="24"/>
      <c r="Z4298" s="20" t="str">
        <f t="shared" si="138"/>
        <v/>
      </c>
    </row>
    <row r="4299" spans="1:26" x14ac:dyDescent="0.2">
      <c r="A4299" s="21"/>
      <c r="B4299" s="20"/>
      <c r="C4299" s="22"/>
      <c r="D4299" s="22"/>
      <c r="E4299" s="24"/>
      <c r="F4299" s="22"/>
      <c r="H4299" s="21"/>
      <c r="I4299" s="22"/>
      <c r="J4299" s="22"/>
      <c r="K4299" s="24"/>
      <c r="M4299" s="21"/>
      <c r="N4299" s="22"/>
      <c r="O4299" s="22"/>
      <c r="P4299" s="49"/>
      <c r="Q4299" s="49"/>
      <c r="R4299" s="188" t="str">
        <f t="shared" si="139"/>
        <v/>
      </c>
      <c r="T4299" s="21"/>
      <c r="U4299" s="22"/>
      <c r="V4299" s="24"/>
      <c r="W4299" s="24"/>
      <c r="X4299" s="24"/>
      <c r="Y4299" s="24"/>
      <c r="Z4299" s="20" t="str">
        <f t="shared" si="138"/>
        <v/>
      </c>
    </row>
    <row r="4300" spans="1:26" x14ac:dyDescent="0.2">
      <c r="A4300" s="21"/>
      <c r="B4300" s="20"/>
      <c r="C4300" s="22"/>
      <c r="D4300" s="22"/>
      <c r="E4300" s="24"/>
      <c r="F4300" s="22"/>
      <c r="H4300" s="21"/>
      <c r="I4300" s="22"/>
      <c r="J4300" s="22"/>
      <c r="K4300" s="24"/>
      <c r="M4300" s="21"/>
      <c r="N4300" s="22"/>
      <c r="O4300" s="22"/>
      <c r="P4300" s="49"/>
      <c r="Q4300" s="49"/>
      <c r="R4300" s="188" t="str">
        <f t="shared" si="139"/>
        <v/>
      </c>
      <c r="T4300" s="21"/>
      <c r="U4300" s="22"/>
      <c r="V4300" s="24"/>
      <c r="W4300" s="24"/>
      <c r="X4300" s="24"/>
      <c r="Y4300" s="24"/>
      <c r="Z4300" s="20" t="str">
        <f t="shared" si="138"/>
        <v/>
      </c>
    </row>
    <row r="4301" spans="1:26" x14ac:dyDescent="0.2">
      <c r="A4301" s="21"/>
      <c r="B4301" s="20"/>
      <c r="C4301" s="22"/>
      <c r="D4301" s="22"/>
      <c r="E4301" s="24"/>
      <c r="F4301" s="22"/>
      <c r="H4301" s="21"/>
      <c r="I4301" s="22"/>
      <c r="J4301" s="22"/>
      <c r="K4301" s="24"/>
      <c r="M4301" s="21"/>
      <c r="N4301" s="22"/>
      <c r="O4301" s="22"/>
      <c r="P4301" s="49"/>
      <c r="Q4301" s="49"/>
      <c r="R4301" s="188" t="str">
        <f t="shared" si="139"/>
        <v/>
      </c>
      <c r="T4301" s="21"/>
      <c r="U4301" s="22"/>
      <c r="V4301" s="24"/>
      <c r="W4301" s="24"/>
      <c r="X4301" s="24"/>
      <c r="Y4301" s="24"/>
      <c r="Z4301" s="20" t="str">
        <f t="shared" si="138"/>
        <v/>
      </c>
    </row>
    <row r="4302" spans="1:26" x14ac:dyDescent="0.2">
      <c r="A4302" s="21"/>
      <c r="B4302" s="20"/>
      <c r="C4302" s="22"/>
      <c r="D4302" s="22"/>
      <c r="E4302" s="24"/>
      <c r="F4302" s="22"/>
      <c r="H4302" s="21"/>
      <c r="I4302" s="22"/>
      <c r="J4302" s="22"/>
      <c r="K4302" s="24"/>
      <c r="M4302" s="21"/>
      <c r="N4302" s="22"/>
      <c r="O4302" s="22"/>
      <c r="P4302" s="49"/>
      <c r="Q4302" s="49"/>
      <c r="R4302" s="188" t="str">
        <f t="shared" si="139"/>
        <v/>
      </c>
      <c r="T4302" s="21"/>
      <c r="U4302" s="22"/>
      <c r="V4302" s="24"/>
      <c r="W4302" s="24"/>
      <c r="X4302" s="24"/>
      <c r="Y4302" s="24"/>
      <c r="Z4302" s="20" t="str">
        <f t="shared" si="138"/>
        <v/>
      </c>
    </row>
    <row r="4303" spans="1:26" x14ac:dyDescent="0.2">
      <c r="A4303" s="21"/>
      <c r="B4303" s="20"/>
      <c r="C4303" s="22"/>
      <c r="D4303" s="22"/>
      <c r="E4303" s="24"/>
      <c r="F4303" s="22"/>
      <c r="H4303" s="21"/>
      <c r="I4303" s="22"/>
      <c r="J4303" s="22"/>
      <c r="K4303" s="24"/>
      <c r="M4303" s="21"/>
      <c r="N4303" s="22"/>
      <c r="O4303" s="22"/>
      <c r="P4303" s="49"/>
      <c r="Q4303" s="49"/>
      <c r="R4303" s="188" t="str">
        <f t="shared" si="139"/>
        <v/>
      </c>
      <c r="T4303" s="21"/>
      <c r="U4303" s="22"/>
      <c r="V4303" s="24"/>
      <c r="W4303" s="24"/>
      <c r="X4303" s="24"/>
      <c r="Y4303" s="24"/>
      <c r="Z4303" s="20" t="str">
        <f t="shared" si="138"/>
        <v/>
      </c>
    </row>
    <row r="4304" spans="1:26" x14ac:dyDescent="0.2">
      <c r="A4304" s="21"/>
      <c r="B4304" s="20"/>
      <c r="C4304" s="22"/>
      <c r="D4304" s="22"/>
      <c r="E4304" s="24"/>
      <c r="F4304" s="22"/>
      <c r="H4304" s="21"/>
      <c r="I4304" s="22"/>
      <c r="J4304" s="22"/>
      <c r="K4304" s="24"/>
      <c r="M4304" s="21"/>
      <c r="N4304" s="22"/>
      <c r="O4304" s="22"/>
      <c r="P4304" s="49"/>
      <c r="Q4304" s="49"/>
      <c r="R4304" s="188" t="str">
        <f t="shared" si="139"/>
        <v/>
      </c>
      <c r="T4304" s="21"/>
      <c r="U4304" s="22"/>
      <c r="V4304" s="24"/>
      <c r="W4304" s="24"/>
      <c r="X4304" s="24"/>
      <c r="Y4304" s="24"/>
      <c r="Z4304" s="20" t="str">
        <f t="shared" si="138"/>
        <v/>
      </c>
    </row>
    <row r="4305" spans="1:26" x14ac:dyDescent="0.2">
      <c r="A4305" s="21"/>
      <c r="B4305" s="20"/>
      <c r="C4305" s="22"/>
      <c r="D4305" s="22"/>
      <c r="E4305" s="24"/>
      <c r="F4305" s="22"/>
      <c r="H4305" s="21"/>
      <c r="I4305" s="22"/>
      <c r="J4305" s="22"/>
      <c r="K4305" s="24"/>
      <c r="M4305" s="21"/>
      <c r="N4305" s="22"/>
      <c r="O4305" s="22"/>
      <c r="P4305" s="49"/>
      <c r="Q4305" s="49"/>
      <c r="R4305" s="188" t="str">
        <f t="shared" si="139"/>
        <v/>
      </c>
      <c r="T4305" s="21"/>
      <c r="U4305" s="22"/>
      <c r="V4305" s="24"/>
      <c r="W4305" s="24"/>
      <c r="X4305" s="24"/>
      <c r="Y4305" s="24"/>
      <c r="Z4305" s="20" t="str">
        <f t="shared" si="138"/>
        <v/>
      </c>
    </row>
    <row r="4306" spans="1:26" x14ac:dyDescent="0.2">
      <c r="A4306" s="21"/>
      <c r="B4306" s="20"/>
      <c r="C4306" s="22"/>
      <c r="D4306" s="22"/>
      <c r="E4306" s="24"/>
      <c r="F4306" s="22"/>
      <c r="H4306" s="21"/>
      <c r="I4306" s="22"/>
      <c r="J4306" s="22"/>
      <c r="K4306" s="24"/>
      <c r="M4306" s="21"/>
      <c r="N4306" s="22"/>
      <c r="O4306" s="22"/>
      <c r="P4306" s="49"/>
      <c r="Q4306" s="49"/>
      <c r="R4306" s="188" t="str">
        <f t="shared" si="139"/>
        <v/>
      </c>
      <c r="T4306" s="21"/>
      <c r="U4306" s="22"/>
      <c r="V4306" s="24"/>
      <c r="W4306" s="24"/>
      <c r="X4306" s="24"/>
      <c r="Y4306" s="24"/>
      <c r="Z4306" s="20" t="str">
        <f t="shared" si="138"/>
        <v/>
      </c>
    </row>
    <row r="4307" spans="1:26" x14ac:dyDescent="0.2">
      <c r="A4307" s="21"/>
      <c r="B4307" s="20"/>
      <c r="C4307" s="22"/>
      <c r="D4307" s="22"/>
      <c r="E4307" s="24"/>
      <c r="F4307" s="22"/>
      <c r="H4307" s="21"/>
      <c r="I4307" s="22"/>
      <c r="J4307" s="22"/>
      <c r="K4307" s="24"/>
      <c r="M4307" s="21"/>
      <c r="N4307" s="22"/>
      <c r="O4307" s="22"/>
      <c r="P4307" s="49"/>
      <c r="Q4307" s="49"/>
      <c r="R4307" s="188" t="str">
        <f t="shared" si="139"/>
        <v/>
      </c>
      <c r="T4307" s="21"/>
      <c r="U4307" s="22"/>
      <c r="V4307" s="24"/>
      <c r="W4307" s="24"/>
      <c r="X4307" s="24"/>
      <c r="Y4307" s="24"/>
      <c r="Z4307" s="20" t="str">
        <f t="shared" ref="Z4307:Z4370" si="140">IF(COUNT(V4307:Y4307)=0,"",SUM(V4307:Y4307))</f>
        <v/>
      </c>
    </row>
    <row r="4308" spans="1:26" x14ac:dyDescent="0.2">
      <c r="A4308" s="21"/>
      <c r="B4308" s="20"/>
      <c r="C4308" s="22"/>
      <c r="D4308" s="22"/>
      <c r="E4308" s="24"/>
      <c r="F4308" s="22"/>
      <c r="H4308" s="21"/>
      <c r="I4308" s="22"/>
      <c r="J4308" s="22"/>
      <c r="K4308" s="24"/>
      <c r="M4308" s="21"/>
      <c r="N4308" s="22"/>
      <c r="O4308" s="22"/>
      <c r="P4308" s="49"/>
      <c r="Q4308" s="49"/>
      <c r="R4308" s="188" t="str">
        <f t="shared" si="139"/>
        <v/>
      </c>
      <c r="T4308" s="21"/>
      <c r="U4308" s="22"/>
      <c r="V4308" s="24"/>
      <c r="W4308" s="24"/>
      <c r="X4308" s="24"/>
      <c r="Y4308" s="24"/>
      <c r="Z4308" s="20" t="str">
        <f t="shared" si="140"/>
        <v/>
      </c>
    </row>
    <row r="4309" spans="1:26" x14ac:dyDescent="0.2">
      <c r="A4309" s="21"/>
      <c r="B4309" s="20"/>
      <c r="C4309" s="22"/>
      <c r="D4309" s="22"/>
      <c r="E4309" s="24"/>
      <c r="F4309" s="22"/>
      <c r="H4309" s="21"/>
      <c r="I4309" s="22"/>
      <c r="J4309" s="22"/>
      <c r="K4309" s="24"/>
      <c r="M4309" s="21"/>
      <c r="N4309" s="22"/>
      <c r="O4309" s="22"/>
      <c r="P4309" s="49"/>
      <c r="Q4309" s="49"/>
      <c r="R4309" s="188" t="str">
        <f t="shared" si="139"/>
        <v/>
      </c>
      <c r="T4309" s="21"/>
      <c r="U4309" s="22"/>
      <c r="V4309" s="24"/>
      <c r="W4309" s="24"/>
      <c r="X4309" s="24"/>
      <c r="Y4309" s="24"/>
      <c r="Z4309" s="20" t="str">
        <f t="shared" si="140"/>
        <v/>
      </c>
    </row>
    <row r="4310" spans="1:26" x14ac:dyDescent="0.2">
      <c r="A4310" s="21"/>
      <c r="B4310" s="20"/>
      <c r="C4310" s="22"/>
      <c r="D4310" s="22"/>
      <c r="E4310" s="24"/>
      <c r="F4310" s="22"/>
      <c r="H4310" s="21"/>
      <c r="I4310" s="22"/>
      <c r="J4310" s="22"/>
      <c r="K4310" s="24"/>
      <c r="M4310" s="21"/>
      <c r="N4310" s="22"/>
      <c r="O4310" s="22"/>
      <c r="P4310" s="49"/>
      <c r="Q4310" s="49"/>
      <c r="R4310" s="188" t="str">
        <f t="shared" ref="R4310:R4373" si="141">IF(OR(P4310="",Q4310=""),"",IFERROR(P4310-Q4310,""))</f>
        <v/>
      </c>
      <c r="T4310" s="21"/>
      <c r="U4310" s="22"/>
      <c r="V4310" s="24"/>
      <c r="W4310" s="24"/>
      <c r="X4310" s="24"/>
      <c r="Y4310" s="24"/>
      <c r="Z4310" s="20" t="str">
        <f t="shared" si="140"/>
        <v/>
      </c>
    </row>
    <row r="4311" spans="1:26" x14ac:dyDescent="0.2">
      <c r="A4311" s="21"/>
      <c r="B4311" s="20"/>
      <c r="C4311" s="22"/>
      <c r="D4311" s="22"/>
      <c r="E4311" s="24"/>
      <c r="F4311" s="22"/>
      <c r="H4311" s="21"/>
      <c r="I4311" s="22"/>
      <c r="J4311" s="22"/>
      <c r="K4311" s="24"/>
      <c r="M4311" s="21"/>
      <c r="N4311" s="22"/>
      <c r="O4311" s="22"/>
      <c r="P4311" s="49"/>
      <c r="Q4311" s="49"/>
      <c r="R4311" s="188" t="str">
        <f t="shared" si="141"/>
        <v/>
      </c>
      <c r="T4311" s="21"/>
      <c r="U4311" s="22"/>
      <c r="V4311" s="24"/>
      <c r="W4311" s="24"/>
      <c r="X4311" s="24"/>
      <c r="Y4311" s="24"/>
      <c r="Z4311" s="20" t="str">
        <f t="shared" si="140"/>
        <v/>
      </c>
    </row>
    <row r="4312" spans="1:26" x14ac:dyDescent="0.2">
      <c r="A4312" s="21"/>
      <c r="B4312" s="20"/>
      <c r="C4312" s="22"/>
      <c r="D4312" s="22"/>
      <c r="E4312" s="24"/>
      <c r="F4312" s="22"/>
      <c r="H4312" s="21"/>
      <c r="I4312" s="22"/>
      <c r="J4312" s="22"/>
      <c r="K4312" s="24"/>
      <c r="M4312" s="21"/>
      <c r="N4312" s="22"/>
      <c r="O4312" s="22"/>
      <c r="P4312" s="49"/>
      <c r="Q4312" s="49"/>
      <c r="R4312" s="188" t="str">
        <f t="shared" si="141"/>
        <v/>
      </c>
      <c r="T4312" s="21"/>
      <c r="U4312" s="22"/>
      <c r="V4312" s="24"/>
      <c r="W4312" s="24"/>
      <c r="X4312" s="24"/>
      <c r="Y4312" s="24"/>
      <c r="Z4312" s="20" t="str">
        <f t="shared" si="140"/>
        <v/>
      </c>
    </row>
    <row r="4313" spans="1:26" x14ac:dyDescent="0.2">
      <c r="A4313" s="21"/>
      <c r="B4313" s="20"/>
      <c r="C4313" s="22"/>
      <c r="D4313" s="22"/>
      <c r="E4313" s="24"/>
      <c r="F4313" s="22"/>
      <c r="H4313" s="21"/>
      <c r="I4313" s="22"/>
      <c r="J4313" s="22"/>
      <c r="K4313" s="24"/>
      <c r="M4313" s="21"/>
      <c r="N4313" s="22"/>
      <c r="O4313" s="22"/>
      <c r="P4313" s="49"/>
      <c r="Q4313" s="49"/>
      <c r="R4313" s="188" t="str">
        <f t="shared" si="141"/>
        <v/>
      </c>
      <c r="T4313" s="21"/>
      <c r="U4313" s="22"/>
      <c r="V4313" s="24"/>
      <c r="W4313" s="24"/>
      <c r="X4313" s="24"/>
      <c r="Y4313" s="24"/>
      <c r="Z4313" s="20" t="str">
        <f t="shared" si="140"/>
        <v/>
      </c>
    </row>
    <row r="4314" spans="1:26" x14ac:dyDescent="0.2">
      <c r="A4314" s="21"/>
      <c r="B4314" s="20"/>
      <c r="C4314" s="22"/>
      <c r="D4314" s="22"/>
      <c r="E4314" s="24"/>
      <c r="F4314" s="22"/>
      <c r="H4314" s="21"/>
      <c r="I4314" s="22"/>
      <c r="J4314" s="22"/>
      <c r="K4314" s="24"/>
      <c r="M4314" s="21"/>
      <c r="N4314" s="22"/>
      <c r="O4314" s="22"/>
      <c r="P4314" s="49"/>
      <c r="Q4314" s="49"/>
      <c r="R4314" s="188" t="str">
        <f t="shared" si="141"/>
        <v/>
      </c>
      <c r="T4314" s="21"/>
      <c r="U4314" s="22"/>
      <c r="V4314" s="24"/>
      <c r="W4314" s="24"/>
      <c r="X4314" s="24"/>
      <c r="Y4314" s="24"/>
      <c r="Z4314" s="20" t="str">
        <f t="shared" si="140"/>
        <v/>
      </c>
    </row>
    <row r="4315" spans="1:26" x14ac:dyDescent="0.2">
      <c r="A4315" s="21"/>
      <c r="B4315" s="20"/>
      <c r="C4315" s="22"/>
      <c r="D4315" s="22"/>
      <c r="E4315" s="24"/>
      <c r="F4315" s="22"/>
      <c r="H4315" s="21"/>
      <c r="I4315" s="22"/>
      <c r="J4315" s="22"/>
      <c r="K4315" s="24"/>
      <c r="M4315" s="21"/>
      <c r="N4315" s="22"/>
      <c r="O4315" s="22"/>
      <c r="P4315" s="49"/>
      <c r="Q4315" s="49"/>
      <c r="R4315" s="188" t="str">
        <f t="shared" si="141"/>
        <v/>
      </c>
      <c r="T4315" s="21"/>
      <c r="U4315" s="22"/>
      <c r="V4315" s="24"/>
      <c r="W4315" s="24"/>
      <c r="X4315" s="24"/>
      <c r="Y4315" s="24"/>
      <c r="Z4315" s="20" t="str">
        <f t="shared" si="140"/>
        <v/>
      </c>
    </row>
    <row r="4316" spans="1:26" x14ac:dyDescent="0.2">
      <c r="A4316" s="21"/>
      <c r="B4316" s="20"/>
      <c r="C4316" s="22"/>
      <c r="D4316" s="22"/>
      <c r="E4316" s="24"/>
      <c r="F4316" s="22"/>
      <c r="H4316" s="21"/>
      <c r="I4316" s="22"/>
      <c r="J4316" s="22"/>
      <c r="K4316" s="24"/>
      <c r="M4316" s="21"/>
      <c r="N4316" s="22"/>
      <c r="O4316" s="22"/>
      <c r="P4316" s="49"/>
      <c r="Q4316" s="49"/>
      <c r="R4316" s="188" t="str">
        <f t="shared" si="141"/>
        <v/>
      </c>
      <c r="T4316" s="21"/>
      <c r="U4316" s="22"/>
      <c r="V4316" s="24"/>
      <c r="W4316" s="24"/>
      <c r="X4316" s="24"/>
      <c r="Y4316" s="24"/>
      <c r="Z4316" s="20" t="str">
        <f t="shared" si="140"/>
        <v/>
      </c>
    </row>
    <row r="4317" spans="1:26" x14ac:dyDescent="0.2">
      <c r="A4317" s="21"/>
      <c r="B4317" s="20"/>
      <c r="C4317" s="22"/>
      <c r="D4317" s="22"/>
      <c r="E4317" s="24"/>
      <c r="F4317" s="22"/>
      <c r="H4317" s="21"/>
      <c r="I4317" s="22"/>
      <c r="J4317" s="22"/>
      <c r="K4317" s="24"/>
      <c r="M4317" s="21"/>
      <c r="N4317" s="22"/>
      <c r="O4317" s="22"/>
      <c r="P4317" s="49"/>
      <c r="Q4317" s="49"/>
      <c r="R4317" s="188" t="str">
        <f t="shared" si="141"/>
        <v/>
      </c>
      <c r="T4317" s="21"/>
      <c r="U4317" s="22"/>
      <c r="V4317" s="24"/>
      <c r="W4317" s="24"/>
      <c r="X4317" s="24"/>
      <c r="Y4317" s="24"/>
      <c r="Z4317" s="20" t="str">
        <f t="shared" si="140"/>
        <v/>
      </c>
    </row>
    <row r="4318" spans="1:26" x14ac:dyDescent="0.2">
      <c r="A4318" s="21"/>
      <c r="B4318" s="20"/>
      <c r="C4318" s="22"/>
      <c r="D4318" s="22"/>
      <c r="E4318" s="24"/>
      <c r="F4318" s="22"/>
      <c r="H4318" s="21"/>
      <c r="I4318" s="22"/>
      <c r="J4318" s="22"/>
      <c r="K4318" s="24"/>
      <c r="M4318" s="21"/>
      <c r="N4318" s="22"/>
      <c r="O4318" s="22"/>
      <c r="P4318" s="49"/>
      <c r="Q4318" s="49"/>
      <c r="R4318" s="188" t="str">
        <f t="shared" si="141"/>
        <v/>
      </c>
      <c r="T4318" s="21"/>
      <c r="U4318" s="22"/>
      <c r="V4318" s="24"/>
      <c r="W4318" s="24"/>
      <c r="X4318" s="24"/>
      <c r="Y4318" s="24"/>
      <c r="Z4318" s="20" t="str">
        <f t="shared" si="140"/>
        <v/>
      </c>
    </row>
    <row r="4319" spans="1:26" x14ac:dyDescent="0.2">
      <c r="A4319" s="21"/>
      <c r="B4319" s="20"/>
      <c r="C4319" s="22"/>
      <c r="D4319" s="22"/>
      <c r="E4319" s="24"/>
      <c r="F4319" s="22"/>
      <c r="H4319" s="21"/>
      <c r="I4319" s="22"/>
      <c r="J4319" s="22"/>
      <c r="K4319" s="24"/>
      <c r="M4319" s="21"/>
      <c r="N4319" s="22"/>
      <c r="O4319" s="22"/>
      <c r="P4319" s="49"/>
      <c r="Q4319" s="49"/>
      <c r="R4319" s="188" t="str">
        <f t="shared" si="141"/>
        <v/>
      </c>
      <c r="T4319" s="21"/>
      <c r="U4319" s="22"/>
      <c r="V4319" s="24"/>
      <c r="W4319" s="24"/>
      <c r="X4319" s="24"/>
      <c r="Y4319" s="24"/>
      <c r="Z4319" s="20" t="str">
        <f t="shared" si="140"/>
        <v/>
      </c>
    </row>
    <row r="4320" spans="1:26" x14ac:dyDescent="0.2">
      <c r="A4320" s="21"/>
      <c r="B4320" s="20"/>
      <c r="C4320" s="22"/>
      <c r="D4320" s="22"/>
      <c r="E4320" s="24"/>
      <c r="F4320" s="22"/>
      <c r="H4320" s="21"/>
      <c r="I4320" s="22"/>
      <c r="J4320" s="22"/>
      <c r="K4320" s="24"/>
      <c r="M4320" s="21"/>
      <c r="N4320" s="22"/>
      <c r="O4320" s="22"/>
      <c r="P4320" s="49"/>
      <c r="Q4320" s="49"/>
      <c r="R4320" s="188" t="str">
        <f t="shared" si="141"/>
        <v/>
      </c>
      <c r="T4320" s="21"/>
      <c r="U4320" s="22"/>
      <c r="V4320" s="24"/>
      <c r="W4320" s="24"/>
      <c r="X4320" s="24"/>
      <c r="Y4320" s="24"/>
      <c r="Z4320" s="20" t="str">
        <f t="shared" si="140"/>
        <v/>
      </c>
    </row>
    <row r="4321" spans="1:26" x14ac:dyDescent="0.2">
      <c r="A4321" s="21"/>
      <c r="B4321" s="20"/>
      <c r="C4321" s="22"/>
      <c r="D4321" s="22"/>
      <c r="E4321" s="24"/>
      <c r="F4321" s="22"/>
      <c r="H4321" s="21"/>
      <c r="I4321" s="22"/>
      <c r="J4321" s="22"/>
      <c r="K4321" s="24"/>
      <c r="M4321" s="21"/>
      <c r="N4321" s="22"/>
      <c r="O4321" s="22"/>
      <c r="P4321" s="49"/>
      <c r="Q4321" s="49"/>
      <c r="R4321" s="188" t="str">
        <f t="shared" si="141"/>
        <v/>
      </c>
      <c r="T4321" s="21"/>
      <c r="U4321" s="22"/>
      <c r="V4321" s="24"/>
      <c r="W4321" s="24"/>
      <c r="X4321" s="24"/>
      <c r="Y4321" s="24"/>
      <c r="Z4321" s="20" t="str">
        <f t="shared" si="140"/>
        <v/>
      </c>
    </row>
    <row r="4322" spans="1:26" x14ac:dyDescent="0.2">
      <c r="A4322" s="21"/>
      <c r="B4322" s="20"/>
      <c r="C4322" s="22"/>
      <c r="D4322" s="22"/>
      <c r="E4322" s="24"/>
      <c r="F4322" s="22"/>
      <c r="H4322" s="21"/>
      <c r="I4322" s="22"/>
      <c r="J4322" s="22"/>
      <c r="K4322" s="24"/>
      <c r="M4322" s="21"/>
      <c r="N4322" s="22"/>
      <c r="O4322" s="22"/>
      <c r="P4322" s="49"/>
      <c r="Q4322" s="49"/>
      <c r="R4322" s="188" t="str">
        <f t="shared" si="141"/>
        <v/>
      </c>
      <c r="T4322" s="21"/>
      <c r="U4322" s="22"/>
      <c r="V4322" s="24"/>
      <c r="W4322" s="24"/>
      <c r="X4322" s="24"/>
      <c r="Y4322" s="24"/>
      <c r="Z4322" s="20" t="str">
        <f t="shared" si="140"/>
        <v/>
      </c>
    </row>
    <row r="4323" spans="1:26" x14ac:dyDescent="0.2">
      <c r="A4323" s="21"/>
      <c r="B4323" s="20"/>
      <c r="C4323" s="22"/>
      <c r="D4323" s="22"/>
      <c r="E4323" s="24"/>
      <c r="F4323" s="22"/>
      <c r="H4323" s="21"/>
      <c r="I4323" s="22"/>
      <c r="J4323" s="22"/>
      <c r="K4323" s="24"/>
      <c r="M4323" s="21"/>
      <c r="N4323" s="22"/>
      <c r="O4323" s="22"/>
      <c r="P4323" s="49"/>
      <c r="Q4323" s="49"/>
      <c r="R4323" s="188" t="str">
        <f t="shared" si="141"/>
        <v/>
      </c>
      <c r="T4323" s="21"/>
      <c r="U4323" s="22"/>
      <c r="V4323" s="24"/>
      <c r="W4323" s="24"/>
      <c r="X4323" s="24"/>
      <c r="Y4323" s="24"/>
      <c r="Z4323" s="20" t="str">
        <f t="shared" si="140"/>
        <v/>
      </c>
    </row>
    <row r="4324" spans="1:26" x14ac:dyDescent="0.2">
      <c r="A4324" s="21"/>
      <c r="B4324" s="20"/>
      <c r="C4324" s="22"/>
      <c r="D4324" s="22"/>
      <c r="E4324" s="24"/>
      <c r="F4324" s="22"/>
      <c r="H4324" s="21"/>
      <c r="I4324" s="22"/>
      <c r="J4324" s="22"/>
      <c r="K4324" s="24"/>
      <c r="M4324" s="21"/>
      <c r="N4324" s="22"/>
      <c r="O4324" s="22"/>
      <c r="P4324" s="49"/>
      <c r="Q4324" s="49"/>
      <c r="R4324" s="188" t="str">
        <f t="shared" si="141"/>
        <v/>
      </c>
      <c r="T4324" s="21"/>
      <c r="U4324" s="22"/>
      <c r="V4324" s="24"/>
      <c r="W4324" s="24"/>
      <c r="X4324" s="24"/>
      <c r="Y4324" s="24"/>
      <c r="Z4324" s="20" t="str">
        <f t="shared" si="140"/>
        <v/>
      </c>
    </row>
    <row r="4325" spans="1:26" x14ac:dyDescent="0.2">
      <c r="A4325" s="21"/>
      <c r="B4325" s="20"/>
      <c r="C4325" s="22"/>
      <c r="D4325" s="22"/>
      <c r="E4325" s="24"/>
      <c r="F4325" s="22"/>
      <c r="H4325" s="21"/>
      <c r="I4325" s="22"/>
      <c r="J4325" s="22"/>
      <c r="K4325" s="24"/>
      <c r="M4325" s="21"/>
      <c r="N4325" s="22"/>
      <c r="O4325" s="22"/>
      <c r="P4325" s="49"/>
      <c r="Q4325" s="49"/>
      <c r="R4325" s="188" t="str">
        <f t="shared" si="141"/>
        <v/>
      </c>
      <c r="T4325" s="21"/>
      <c r="U4325" s="22"/>
      <c r="V4325" s="24"/>
      <c r="W4325" s="24"/>
      <c r="X4325" s="24"/>
      <c r="Y4325" s="24"/>
      <c r="Z4325" s="20" t="str">
        <f t="shared" si="140"/>
        <v/>
      </c>
    </row>
    <row r="4326" spans="1:26" x14ac:dyDescent="0.2">
      <c r="A4326" s="21"/>
      <c r="B4326" s="20"/>
      <c r="C4326" s="22"/>
      <c r="D4326" s="22"/>
      <c r="E4326" s="24"/>
      <c r="F4326" s="22"/>
      <c r="H4326" s="21"/>
      <c r="I4326" s="22"/>
      <c r="J4326" s="22"/>
      <c r="K4326" s="24"/>
      <c r="M4326" s="21"/>
      <c r="N4326" s="22"/>
      <c r="O4326" s="22"/>
      <c r="P4326" s="49"/>
      <c r="Q4326" s="49"/>
      <c r="R4326" s="188" t="str">
        <f t="shared" si="141"/>
        <v/>
      </c>
      <c r="T4326" s="21"/>
      <c r="U4326" s="22"/>
      <c r="V4326" s="24"/>
      <c r="W4326" s="24"/>
      <c r="X4326" s="24"/>
      <c r="Y4326" s="24"/>
      <c r="Z4326" s="20" t="str">
        <f t="shared" si="140"/>
        <v/>
      </c>
    </row>
    <row r="4327" spans="1:26" x14ac:dyDescent="0.2">
      <c r="A4327" s="21"/>
      <c r="B4327" s="20"/>
      <c r="C4327" s="22"/>
      <c r="D4327" s="22"/>
      <c r="E4327" s="24"/>
      <c r="F4327" s="22"/>
      <c r="H4327" s="21"/>
      <c r="I4327" s="22"/>
      <c r="J4327" s="22"/>
      <c r="K4327" s="24"/>
      <c r="M4327" s="21"/>
      <c r="N4327" s="22"/>
      <c r="O4327" s="22"/>
      <c r="P4327" s="49"/>
      <c r="Q4327" s="49"/>
      <c r="R4327" s="188" t="str">
        <f t="shared" si="141"/>
        <v/>
      </c>
      <c r="T4327" s="21"/>
      <c r="U4327" s="22"/>
      <c r="V4327" s="24"/>
      <c r="W4327" s="24"/>
      <c r="X4327" s="24"/>
      <c r="Y4327" s="24"/>
      <c r="Z4327" s="20" t="str">
        <f t="shared" si="140"/>
        <v/>
      </c>
    </row>
    <row r="4328" spans="1:26" x14ac:dyDescent="0.2">
      <c r="A4328" s="21"/>
      <c r="B4328" s="20"/>
      <c r="C4328" s="22"/>
      <c r="D4328" s="22"/>
      <c r="E4328" s="24"/>
      <c r="F4328" s="22"/>
      <c r="H4328" s="21"/>
      <c r="I4328" s="22"/>
      <c r="J4328" s="22"/>
      <c r="K4328" s="24"/>
      <c r="M4328" s="21"/>
      <c r="N4328" s="22"/>
      <c r="O4328" s="22"/>
      <c r="P4328" s="49"/>
      <c r="Q4328" s="49"/>
      <c r="R4328" s="188" t="str">
        <f t="shared" si="141"/>
        <v/>
      </c>
      <c r="T4328" s="21"/>
      <c r="U4328" s="22"/>
      <c r="V4328" s="24"/>
      <c r="W4328" s="24"/>
      <c r="X4328" s="24"/>
      <c r="Y4328" s="24"/>
      <c r="Z4328" s="20" t="str">
        <f t="shared" si="140"/>
        <v/>
      </c>
    </row>
    <row r="4329" spans="1:26" x14ac:dyDescent="0.2">
      <c r="A4329" s="21"/>
      <c r="B4329" s="20"/>
      <c r="C4329" s="22"/>
      <c r="D4329" s="22"/>
      <c r="E4329" s="24"/>
      <c r="F4329" s="22"/>
      <c r="H4329" s="21"/>
      <c r="I4329" s="22"/>
      <c r="J4329" s="22"/>
      <c r="K4329" s="24"/>
      <c r="M4329" s="21"/>
      <c r="N4329" s="22"/>
      <c r="O4329" s="22"/>
      <c r="P4329" s="49"/>
      <c r="Q4329" s="49"/>
      <c r="R4329" s="188" t="str">
        <f t="shared" si="141"/>
        <v/>
      </c>
      <c r="T4329" s="21"/>
      <c r="U4329" s="22"/>
      <c r="V4329" s="24"/>
      <c r="W4329" s="24"/>
      <c r="X4329" s="24"/>
      <c r="Y4329" s="24"/>
      <c r="Z4329" s="20" t="str">
        <f t="shared" si="140"/>
        <v/>
      </c>
    </row>
    <row r="4330" spans="1:26" x14ac:dyDescent="0.2">
      <c r="A4330" s="21"/>
      <c r="B4330" s="20"/>
      <c r="C4330" s="22"/>
      <c r="D4330" s="22"/>
      <c r="E4330" s="24"/>
      <c r="F4330" s="22"/>
      <c r="H4330" s="21"/>
      <c r="I4330" s="22"/>
      <c r="J4330" s="22"/>
      <c r="K4330" s="24"/>
      <c r="M4330" s="21"/>
      <c r="N4330" s="22"/>
      <c r="O4330" s="22"/>
      <c r="P4330" s="49"/>
      <c r="Q4330" s="49"/>
      <c r="R4330" s="188" t="str">
        <f t="shared" si="141"/>
        <v/>
      </c>
      <c r="T4330" s="21"/>
      <c r="U4330" s="22"/>
      <c r="V4330" s="24"/>
      <c r="W4330" s="24"/>
      <c r="X4330" s="24"/>
      <c r="Y4330" s="24"/>
      <c r="Z4330" s="20" t="str">
        <f t="shared" si="140"/>
        <v/>
      </c>
    </row>
    <row r="4331" spans="1:26" x14ac:dyDescent="0.2">
      <c r="A4331" s="21"/>
      <c r="B4331" s="20"/>
      <c r="C4331" s="22"/>
      <c r="D4331" s="22"/>
      <c r="E4331" s="24"/>
      <c r="F4331" s="22"/>
      <c r="H4331" s="21"/>
      <c r="I4331" s="22"/>
      <c r="J4331" s="22"/>
      <c r="K4331" s="24"/>
      <c r="M4331" s="21"/>
      <c r="N4331" s="22"/>
      <c r="O4331" s="22"/>
      <c r="P4331" s="49"/>
      <c r="Q4331" s="49"/>
      <c r="R4331" s="188" t="str">
        <f t="shared" si="141"/>
        <v/>
      </c>
      <c r="T4331" s="21"/>
      <c r="U4331" s="22"/>
      <c r="V4331" s="24"/>
      <c r="W4331" s="24"/>
      <c r="X4331" s="24"/>
      <c r="Y4331" s="24"/>
      <c r="Z4331" s="20" t="str">
        <f t="shared" si="140"/>
        <v/>
      </c>
    </row>
    <row r="4332" spans="1:26" x14ac:dyDescent="0.2">
      <c r="A4332" s="21"/>
      <c r="B4332" s="20"/>
      <c r="C4332" s="22"/>
      <c r="D4332" s="22"/>
      <c r="E4332" s="24"/>
      <c r="F4332" s="22"/>
      <c r="H4332" s="21"/>
      <c r="I4332" s="22"/>
      <c r="J4332" s="22"/>
      <c r="K4332" s="24"/>
      <c r="M4332" s="21"/>
      <c r="N4332" s="22"/>
      <c r="O4332" s="22"/>
      <c r="P4332" s="49"/>
      <c r="Q4332" s="49"/>
      <c r="R4332" s="188" t="str">
        <f t="shared" si="141"/>
        <v/>
      </c>
      <c r="T4332" s="21"/>
      <c r="U4332" s="22"/>
      <c r="V4332" s="24"/>
      <c r="W4332" s="24"/>
      <c r="X4332" s="24"/>
      <c r="Y4332" s="24"/>
      <c r="Z4332" s="20" t="str">
        <f t="shared" si="140"/>
        <v/>
      </c>
    </row>
    <row r="4333" spans="1:26" x14ac:dyDescent="0.2">
      <c r="A4333" s="21"/>
      <c r="B4333" s="20"/>
      <c r="C4333" s="22"/>
      <c r="D4333" s="22"/>
      <c r="E4333" s="24"/>
      <c r="F4333" s="22"/>
      <c r="H4333" s="21"/>
      <c r="I4333" s="22"/>
      <c r="J4333" s="22"/>
      <c r="K4333" s="24"/>
      <c r="M4333" s="21"/>
      <c r="N4333" s="22"/>
      <c r="O4333" s="22"/>
      <c r="P4333" s="49"/>
      <c r="Q4333" s="49"/>
      <c r="R4333" s="188" t="str">
        <f t="shared" si="141"/>
        <v/>
      </c>
      <c r="T4333" s="21"/>
      <c r="U4333" s="22"/>
      <c r="V4333" s="24"/>
      <c r="W4333" s="24"/>
      <c r="X4333" s="24"/>
      <c r="Y4333" s="24"/>
      <c r="Z4333" s="20" t="str">
        <f t="shared" si="140"/>
        <v/>
      </c>
    </row>
    <row r="4334" spans="1:26" x14ac:dyDescent="0.2">
      <c r="A4334" s="21"/>
      <c r="B4334" s="20"/>
      <c r="C4334" s="22"/>
      <c r="D4334" s="22"/>
      <c r="E4334" s="24"/>
      <c r="F4334" s="22"/>
      <c r="H4334" s="21"/>
      <c r="I4334" s="22"/>
      <c r="J4334" s="22"/>
      <c r="K4334" s="24"/>
      <c r="M4334" s="21"/>
      <c r="N4334" s="22"/>
      <c r="O4334" s="22"/>
      <c r="P4334" s="49"/>
      <c r="Q4334" s="49"/>
      <c r="R4334" s="188" t="str">
        <f t="shared" si="141"/>
        <v/>
      </c>
      <c r="T4334" s="21"/>
      <c r="U4334" s="22"/>
      <c r="V4334" s="24"/>
      <c r="W4334" s="24"/>
      <c r="X4334" s="24"/>
      <c r="Y4334" s="24"/>
      <c r="Z4334" s="20" t="str">
        <f t="shared" si="140"/>
        <v/>
      </c>
    </row>
    <row r="4335" spans="1:26" x14ac:dyDescent="0.2">
      <c r="A4335" s="21"/>
      <c r="B4335" s="20"/>
      <c r="C4335" s="22"/>
      <c r="D4335" s="22"/>
      <c r="E4335" s="24"/>
      <c r="F4335" s="22"/>
      <c r="H4335" s="21"/>
      <c r="I4335" s="22"/>
      <c r="J4335" s="22"/>
      <c r="K4335" s="24"/>
      <c r="M4335" s="21"/>
      <c r="N4335" s="22"/>
      <c r="O4335" s="22"/>
      <c r="P4335" s="49"/>
      <c r="Q4335" s="49"/>
      <c r="R4335" s="188" t="str">
        <f t="shared" si="141"/>
        <v/>
      </c>
      <c r="T4335" s="21"/>
      <c r="U4335" s="22"/>
      <c r="V4335" s="24"/>
      <c r="W4335" s="24"/>
      <c r="X4335" s="24"/>
      <c r="Y4335" s="24"/>
      <c r="Z4335" s="20" t="str">
        <f t="shared" si="140"/>
        <v/>
      </c>
    </row>
    <row r="4336" spans="1:26" x14ac:dyDescent="0.2">
      <c r="A4336" s="21"/>
      <c r="B4336" s="20"/>
      <c r="C4336" s="22"/>
      <c r="D4336" s="22"/>
      <c r="E4336" s="24"/>
      <c r="F4336" s="22"/>
      <c r="H4336" s="21"/>
      <c r="I4336" s="22"/>
      <c r="J4336" s="22"/>
      <c r="K4336" s="24"/>
      <c r="M4336" s="21"/>
      <c r="N4336" s="22"/>
      <c r="O4336" s="22"/>
      <c r="P4336" s="49"/>
      <c r="Q4336" s="49"/>
      <c r="R4336" s="188" t="str">
        <f t="shared" si="141"/>
        <v/>
      </c>
      <c r="T4336" s="21"/>
      <c r="U4336" s="22"/>
      <c r="V4336" s="24"/>
      <c r="W4336" s="24"/>
      <c r="X4336" s="24"/>
      <c r="Y4336" s="24"/>
      <c r="Z4336" s="20" t="str">
        <f t="shared" si="140"/>
        <v/>
      </c>
    </row>
    <row r="4337" spans="1:26" x14ac:dyDescent="0.2">
      <c r="A4337" s="21"/>
      <c r="B4337" s="20"/>
      <c r="C4337" s="22"/>
      <c r="D4337" s="22"/>
      <c r="E4337" s="24"/>
      <c r="F4337" s="22"/>
      <c r="H4337" s="21"/>
      <c r="I4337" s="22"/>
      <c r="J4337" s="22"/>
      <c r="K4337" s="24"/>
      <c r="M4337" s="21"/>
      <c r="N4337" s="22"/>
      <c r="O4337" s="22"/>
      <c r="P4337" s="49"/>
      <c r="Q4337" s="49"/>
      <c r="R4337" s="188" t="str">
        <f t="shared" si="141"/>
        <v/>
      </c>
      <c r="T4337" s="21"/>
      <c r="U4337" s="22"/>
      <c r="V4337" s="24"/>
      <c r="W4337" s="24"/>
      <c r="X4337" s="24"/>
      <c r="Y4337" s="24"/>
      <c r="Z4337" s="20" t="str">
        <f t="shared" si="140"/>
        <v/>
      </c>
    </row>
    <row r="4338" spans="1:26" x14ac:dyDescent="0.2">
      <c r="A4338" s="21"/>
      <c r="B4338" s="20"/>
      <c r="C4338" s="22"/>
      <c r="D4338" s="22"/>
      <c r="E4338" s="24"/>
      <c r="F4338" s="22"/>
      <c r="H4338" s="21"/>
      <c r="I4338" s="22"/>
      <c r="J4338" s="22"/>
      <c r="K4338" s="24"/>
      <c r="M4338" s="21"/>
      <c r="N4338" s="22"/>
      <c r="O4338" s="22"/>
      <c r="P4338" s="49"/>
      <c r="Q4338" s="49"/>
      <c r="R4338" s="188" t="str">
        <f t="shared" si="141"/>
        <v/>
      </c>
      <c r="T4338" s="21"/>
      <c r="U4338" s="22"/>
      <c r="V4338" s="24"/>
      <c r="W4338" s="24"/>
      <c r="X4338" s="24"/>
      <c r="Y4338" s="24"/>
      <c r="Z4338" s="20" t="str">
        <f t="shared" si="140"/>
        <v/>
      </c>
    </row>
    <row r="4339" spans="1:26" x14ac:dyDescent="0.2">
      <c r="A4339" s="21"/>
      <c r="B4339" s="20"/>
      <c r="C4339" s="22"/>
      <c r="D4339" s="22"/>
      <c r="E4339" s="24"/>
      <c r="F4339" s="22"/>
      <c r="H4339" s="21"/>
      <c r="I4339" s="22"/>
      <c r="J4339" s="22"/>
      <c r="K4339" s="24"/>
      <c r="M4339" s="21"/>
      <c r="N4339" s="22"/>
      <c r="O4339" s="22"/>
      <c r="P4339" s="49"/>
      <c r="Q4339" s="49"/>
      <c r="R4339" s="188" t="str">
        <f t="shared" si="141"/>
        <v/>
      </c>
      <c r="T4339" s="21"/>
      <c r="U4339" s="22"/>
      <c r="V4339" s="24"/>
      <c r="W4339" s="24"/>
      <c r="X4339" s="24"/>
      <c r="Y4339" s="24"/>
      <c r="Z4339" s="20" t="str">
        <f t="shared" si="140"/>
        <v/>
      </c>
    </row>
    <row r="4340" spans="1:26" x14ac:dyDescent="0.2">
      <c r="A4340" s="21"/>
      <c r="B4340" s="20"/>
      <c r="C4340" s="22"/>
      <c r="D4340" s="22"/>
      <c r="E4340" s="24"/>
      <c r="F4340" s="22"/>
      <c r="H4340" s="21"/>
      <c r="I4340" s="22"/>
      <c r="J4340" s="22"/>
      <c r="K4340" s="24"/>
      <c r="M4340" s="21"/>
      <c r="N4340" s="22"/>
      <c r="O4340" s="22"/>
      <c r="P4340" s="49"/>
      <c r="Q4340" s="49"/>
      <c r="R4340" s="188" t="str">
        <f t="shared" si="141"/>
        <v/>
      </c>
      <c r="T4340" s="21"/>
      <c r="U4340" s="22"/>
      <c r="V4340" s="24"/>
      <c r="W4340" s="24"/>
      <c r="X4340" s="24"/>
      <c r="Y4340" s="24"/>
      <c r="Z4340" s="20" t="str">
        <f t="shared" si="140"/>
        <v/>
      </c>
    </row>
    <row r="4341" spans="1:26" x14ac:dyDescent="0.2">
      <c r="A4341" s="21"/>
      <c r="B4341" s="20"/>
      <c r="C4341" s="22"/>
      <c r="D4341" s="22"/>
      <c r="E4341" s="24"/>
      <c r="F4341" s="22"/>
      <c r="H4341" s="21"/>
      <c r="I4341" s="22"/>
      <c r="J4341" s="22"/>
      <c r="K4341" s="24"/>
      <c r="M4341" s="21"/>
      <c r="N4341" s="22"/>
      <c r="O4341" s="22"/>
      <c r="P4341" s="49"/>
      <c r="Q4341" s="49"/>
      <c r="R4341" s="188" t="str">
        <f t="shared" si="141"/>
        <v/>
      </c>
      <c r="T4341" s="21"/>
      <c r="U4341" s="22"/>
      <c r="V4341" s="24"/>
      <c r="W4341" s="24"/>
      <c r="X4341" s="24"/>
      <c r="Y4341" s="24"/>
      <c r="Z4341" s="20" t="str">
        <f t="shared" si="140"/>
        <v/>
      </c>
    </row>
    <row r="4342" spans="1:26" x14ac:dyDescent="0.2">
      <c r="A4342" s="21"/>
      <c r="B4342" s="20"/>
      <c r="C4342" s="22"/>
      <c r="D4342" s="22"/>
      <c r="E4342" s="24"/>
      <c r="F4342" s="22"/>
      <c r="H4342" s="21"/>
      <c r="I4342" s="22"/>
      <c r="J4342" s="22"/>
      <c r="K4342" s="24"/>
      <c r="M4342" s="21"/>
      <c r="N4342" s="22"/>
      <c r="O4342" s="22"/>
      <c r="P4342" s="49"/>
      <c r="Q4342" s="49"/>
      <c r="R4342" s="188" t="str">
        <f t="shared" si="141"/>
        <v/>
      </c>
      <c r="T4342" s="21"/>
      <c r="U4342" s="22"/>
      <c r="V4342" s="24"/>
      <c r="W4342" s="24"/>
      <c r="X4342" s="24"/>
      <c r="Y4342" s="24"/>
      <c r="Z4342" s="20" t="str">
        <f t="shared" si="140"/>
        <v/>
      </c>
    </row>
    <row r="4343" spans="1:26" x14ac:dyDescent="0.2">
      <c r="A4343" s="21"/>
      <c r="B4343" s="20"/>
      <c r="C4343" s="22"/>
      <c r="D4343" s="22"/>
      <c r="E4343" s="24"/>
      <c r="F4343" s="22"/>
      <c r="H4343" s="21"/>
      <c r="I4343" s="22"/>
      <c r="J4343" s="22"/>
      <c r="K4343" s="24"/>
      <c r="M4343" s="21"/>
      <c r="N4343" s="22"/>
      <c r="O4343" s="22"/>
      <c r="P4343" s="49"/>
      <c r="Q4343" s="49"/>
      <c r="R4343" s="188" t="str">
        <f t="shared" si="141"/>
        <v/>
      </c>
      <c r="T4343" s="21"/>
      <c r="U4343" s="22"/>
      <c r="V4343" s="24"/>
      <c r="W4343" s="24"/>
      <c r="X4343" s="24"/>
      <c r="Y4343" s="24"/>
      <c r="Z4343" s="20" t="str">
        <f t="shared" si="140"/>
        <v/>
      </c>
    </row>
    <row r="4344" spans="1:26" x14ac:dyDescent="0.2">
      <c r="A4344" s="21"/>
      <c r="B4344" s="20"/>
      <c r="C4344" s="22"/>
      <c r="D4344" s="22"/>
      <c r="E4344" s="24"/>
      <c r="F4344" s="22"/>
      <c r="H4344" s="21"/>
      <c r="I4344" s="22"/>
      <c r="J4344" s="22"/>
      <c r="K4344" s="24"/>
      <c r="M4344" s="21"/>
      <c r="N4344" s="22"/>
      <c r="O4344" s="22"/>
      <c r="P4344" s="49"/>
      <c r="Q4344" s="49"/>
      <c r="R4344" s="188" t="str">
        <f t="shared" si="141"/>
        <v/>
      </c>
      <c r="T4344" s="21"/>
      <c r="U4344" s="22"/>
      <c r="V4344" s="24"/>
      <c r="W4344" s="24"/>
      <c r="X4344" s="24"/>
      <c r="Y4344" s="24"/>
      <c r="Z4344" s="20" t="str">
        <f t="shared" si="140"/>
        <v/>
      </c>
    </row>
    <row r="4345" spans="1:26" x14ac:dyDescent="0.2">
      <c r="A4345" s="21"/>
      <c r="B4345" s="20"/>
      <c r="C4345" s="22"/>
      <c r="D4345" s="22"/>
      <c r="E4345" s="24"/>
      <c r="F4345" s="22"/>
      <c r="H4345" s="21"/>
      <c r="I4345" s="22"/>
      <c r="J4345" s="22"/>
      <c r="K4345" s="24"/>
      <c r="M4345" s="21"/>
      <c r="N4345" s="22"/>
      <c r="O4345" s="22"/>
      <c r="P4345" s="49"/>
      <c r="Q4345" s="49"/>
      <c r="R4345" s="188" t="str">
        <f t="shared" si="141"/>
        <v/>
      </c>
      <c r="T4345" s="21"/>
      <c r="U4345" s="22"/>
      <c r="V4345" s="24"/>
      <c r="W4345" s="24"/>
      <c r="X4345" s="24"/>
      <c r="Y4345" s="24"/>
      <c r="Z4345" s="20" t="str">
        <f t="shared" si="140"/>
        <v/>
      </c>
    </row>
    <row r="4346" spans="1:26" x14ac:dyDescent="0.2">
      <c r="A4346" s="21"/>
      <c r="B4346" s="20"/>
      <c r="C4346" s="22"/>
      <c r="D4346" s="22"/>
      <c r="E4346" s="24"/>
      <c r="F4346" s="22"/>
      <c r="H4346" s="21"/>
      <c r="I4346" s="22"/>
      <c r="J4346" s="22"/>
      <c r="K4346" s="24"/>
      <c r="M4346" s="21"/>
      <c r="N4346" s="22"/>
      <c r="O4346" s="22"/>
      <c r="P4346" s="49"/>
      <c r="Q4346" s="49"/>
      <c r="R4346" s="188" t="str">
        <f t="shared" si="141"/>
        <v/>
      </c>
      <c r="T4346" s="21"/>
      <c r="U4346" s="22"/>
      <c r="V4346" s="24"/>
      <c r="W4346" s="24"/>
      <c r="X4346" s="24"/>
      <c r="Y4346" s="24"/>
      <c r="Z4346" s="20" t="str">
        <f t="shared" si="140"/>
        <v/>
      </c>
    </row>
    <row r="4347" spans="1:26" x14ac:dyDescent="0.2">
      <c r="A4347" s="21"/>
      <c r="B4347" s="20"/>
      <c r="C4347" s="22"/>
      <c r="D4347" s="22"/>
      <c r="E4347" s="24"/>
      <c r="F4347" s="22"/>
      <c r="H4347" s="21"/>
      <c r="I4347" s="22"/>
      <c r="J4347" s="22"/>
      <c r="K4347" s="24"/>
      <c r="M4347" s="21"/>
      <c r="N4347" s="22"/>
      <c r="O4347" s="22"/>
      <c r="P4347" s="49"/>
      <c r="Q4347" s="49"/>
      <c r="R4347" s="188" t="str">
        <f t="shared" si="141"/>
        <v/>
      </c>
      <c r="T4347" s="21"/>
      <c r="U4347" s="22"/>
      <c r="V4347" s="24"/>
      <c r="W4347" s="24"/>
      <c r="X4347" s="24"/>
      <c r="Y4347" s="24"/>
      <c r="Z4347" s="20" t="str">
        <f t="shared" si="140"/>
        <v/>
      </c>
    </row>
    <row r="4348" spans="1:26" x14ac:dyDescent="0.2">
      <c r="A4348" s="21"/>
      <c r="B4348" s="20"/>
      <c r="C4348" s="22"/>
      <c r="D4348" s="22"/>
      <c r="E4348" s="24"/>
      <c r="F4348" s="22"/>
      <c r="H4348" s="21"/>
      <c r="I4348" s="22"/>
      <c r="J4348" s="22"/>
      <c r="K4348" s="24"/>
      <c r="M4348" s="21"/>
      <c r="N4348" s="22"/>
      <c r="O4348" s="22"/>
      <c r="P4348" s="49"/>
      <c r="Q4348" s="49"/>
      <c r="R4348" s="188" t="str">
        <f t="shared" si="141"/>
        <v/>
      </c>
      <c r="T4348" s="21"/>
      <c r="U4348" s="22"/>
      <c r="V4348" s="24"/>
      <c r="W4348" s="24"/>
      <c r="X4348" s="24"/>
      <c r="Y4348" s="24"/>
      <c r="Z4348" s="20" t="str">
        <f t="shared" si="140"/>
        <v/>
      </c>
    </row>
    <row r="4349" spans="1:26" x14ac:dyDescent="0.2">
      <c r="A4349" s="21"/>
      <c r="B4349" s="20"/>
      <c r="C4349" s="22"/>
      <c r="D4349" s="22"/>
      <c r="E4349" s="24"/>
      <c r="F4349" s="22"/>
      <c r="H4349" s="21"/>
      <c r="I4349" s="22"/>
      <c r="J4349" s="22"/>
      <c r="K4349" s="24"/>
      <c r="M4349" s="21"/>
      <c r="N4349" s="22"/>
      <c r="O4349" s="22"/>
      <c r="P4349" s="49"/>
      <c r="Q4349" s="49"/>
      <c r="R4349" s="188" t="str">
        <f t="shared" si="141"/>
        <v/>
      </c>
      <c r="T4349" s="21"/>
      <c r="U4349" s="22"/>
      <c r="V4349" s="24"/>
      <c r="W4349" s="24"/>
      <c r="X4349" s="24"/>
      <c r="Y4349" s="24"/>
      <c r="Z4349" s="20" t="str">
        <f t="shared" si="140"/>
        <v/>
      </c>
    </row>
    <row r="4350" spans="1:26" x14ac:dyDescent="0.2">
      <c r="A4350" s="21"/>
      <c r="B4350" s="20"/>
      <c r="C4350" s="22"/>
      <c r="D4350" s="22"/>
      <c r="E4350" s="24"/>
      <c r="F4350" s="22"/>
      <c r="H4350" s="21"/>
      <c r="I4350" s="22"/>
      <c r="J4350" s="22"/>
      <c r="K4350" s="24"/>
      <c r="M4350" s="21"/>
      <c r="N4350" s="22"/>
      <c r="O4350" s="22"/>
      <c r="P4350" s="49"/>
      <c r="Q4350" s="49"/>
      <c r="R4350" s="188" t="str">
        <f t="shared" si="141"/>
        <v/>
      </c>
      <c r="T4350" s="21"/>
      <c r="U4350" s="22"/>
      <c r="V4350" s="24"/>
      <c r="W4350" s="24"/>
      <c r="X4350" s="24"/>
      <c r="Y4350" s="24"/>
      <c r="Z4350" s="20" t="str">
        <f t="shared" si="140"/>
        <v/>
      </c>
    </row>
    <row r="4351" spans="1:26" x14ac:dyDescent="0.2">
      <c r="A4351" s="21"/>
      <c r="B4351" s="20"/>
      <c r="C4351" s="22"/>
      <c r="D4351" s="22"/>
      <c r="E4351" s="24"/>
      <c r="F4351" s="22"/>
      <c r="H4351" s="21"/>
      <c r="I4351" s="22"/>
      <c r="J4351" s="22"/>
      <c r="K4351" s="24"/>
      <c r="M4351" s="21"/>
      <c r="N4351" s="22"/>
      <c r="O4351" s="22"/>
      <c r="P4351" s="49"/>
      <c r="Q4351" s="49"/>
      <c r="R4351" s="188" t="str">
        <f t="shared" si="141"/>
        <v/>
      </c>
      <c r="T4351" s="21"/>
      <c r="U4351" s="22"/>
      <c r="V4351" s="24"/>
      <c r="W4351" s="24"/>
      <c r="X4351" s="24"/>
      <c r="Y4351" s="24"/>
      <c r="Z4351" s="20" t="str">
        <f t="shared" si="140"/>
        <v/>
      </c>
    </row>
    <row r="4352" spans="1:26" x14ac:dyDescent="0.2">
      <c r="A4352" s="21"/>
      <c r="B4352" s="20"/>
      <c r="C4352" s="22"/>
      <c r="D4352" s="22"/>
      <c r="E4352" s="24"/>
      <c r="F4352" s="22"/>
      <c r="H4352" s="21"/>
      <c r="I4352" s="22"/>
      <c r="J4352" s="22"/>
      <c r="K4352" s="24"/>
      <c r="M4352" s="21"/>
      <c r="N4352" s="22"/>
      <c r="O4352" s="22"/>
      <c r="P4352" s="49"/>
      <c r="Q4352" s="49"/>
      <c r="R4352" s="188" t="str">
        <f t="shared" si="141"/>
        <v/>
      </c>
      <c r="T4352" s="21"/>
      <c r="U4352" s="22"/>
      <c r="V4352" s="24"/>
      <c r="W4352" s="24"/>
      <c r="X4352" s="24"/>
      <c r="Y4352" s="24"/>
      <c r="Z4352" s="20" t="str">
        <f t="shared" si="140"/>
        <v/>
      </c>
    </row>
    <row r="4353" spans="1:26" x14ac:dyDescent="0.2">
      <c r="A4353" s="21"/>
      <c r="B4353" s="20"/>
      <c r="C4353" s="22"/>
      <c r="D4353" s="22"/>
      <c r="E4353" s="24"/>
      <c r="F4353" s="22"/>
      <c r="H4353" s="21"/>
      <c r="I4353" s="22"/>
      <c r="J4353" s="22"/>
      <c r="K4353" s="24"/>
      <c r="M4353" s="21"/>
      <c r="N4353" s="22"/>
      <c r="O4353" s="22"/>
      <c r="P4353" s="49"/>
      <c r="Q4353" s="49"/>
      <c r="R4353" s="188" t="str">
        <f t="shared" si="141"/>
        <v/>
      </c>
      <c r="T4353" s="21"/>
      <c r="U4353" s="22"/>
      <c r="V4353" s="24"/>
      <c r="W4353" s="24"/>
      <c r="X4353" s="24"/>
      <c r="Y4353" s="24"/>
      <c r="Z4353" s="20" t="str">
        <f t="shared" si="140"/>
        <v/>
      </c>
    </row>
    <row r="4354" spans="1:26" x14ac:dyDescent="0.2">
      <c r="A4354" s="21"/>
      <c r="B4354" s="20"/>
      <c r="C4354" s="22"/>
      <c r="D4354" s="22"/>
      <c r="E4354" s="24"/>
      <c r="F4354" s="22"/>
      <c r="H4354" s="21"/>
      <c r="I4354" s="22"/>
      <c r="J4354" s="22"/>
      <c r="K4354" s="24"/>
      <c r="M4354" s="21"/>
      <c r="N4354" s="22"/>
      <c r="O4354" s="22"/>
      <c r="P4354" s="49"/>
      <c r="Q4354" s="49"/>
      <c r="R4354" s="188" t="str">
        <f t="shared" si="141"/>
        <v/>
      </c>
      <c r="T4354" s="21"/>
      <c r="U4354" s="22"/>
      <c r="V4354" s="24"/>
      <c r="W4354" s="24"/>
      <c r="X4354" s="24"/>
      <c r="Y4354" s="24"/>
      <c r="Z4354" s="20" t="str">
        <f t="shared" si="140"/>
        <v/>
      </c>
    </row>
    <row r="4355" spans="1:26" x14ac:dyDescent="0.2">
      <c r="A4355" s="21"/>
      <c r="B4355" s="20"/>
      <c r="C4355" s="22"/>
      <c r="D4355" s="22"/>
      <c r="E4355" s="24"/>
      <c r="F4355" s="22"/>
      <c r="H4355" s="21"/>
      <c r="I4355" s="22"/>
      <c r="J4355" s="22"/>
      <c r="K4355" s="24"/>
      <c r="M4355" s="21"/>
      <c r="N4355" s="22"/>
      <c r="O4355" s="22"/>
      <c r="P4355" s="49"/>
      <c r="Q4355" s="49"/>
      <c r="R4355" s="188" t="str">
        <f t="shared" si="141"/>
        <v/>
      </c>
      <c r="T4355" s="21"/>
      <c r="U4355" s="22"/>
      <c r="V4355" s="24"/>
      <c r="W4355" s="24"/>
      <c r="X4355" s="24"/>
      <c r="Y4355" s="24"/>
      <c r="Z4355" s="20" t="str">
        <f t="shared" si="140"/>
        <v/>
      </c>
    </row>
    <row r="4356" spans="1:26" x14ac:dyDescent="0.2">
      <c r="A4356" s="21"/>
      <c r="B4356" s="20"/>
      <c r="C4356" s="22"/>
      <c r="D4356" s="22"/>
      <c r="E4356" s="24"/>
      <c r="F4356" s="22"/>
      <c r="H4356" s="21"/>
      <c r="I4356" s="22"/>
      <c r="J4356" s="22"/>
      <c r="K4356" s="24"/>
      <c r="M4356" s="21"/>
      <c r="N4356" s="22"/>
      <c r="O4356" s="22"/>
      <c r="P4356" s="49"/>
      <c r="Q4356" s="49"/>
      <c r="R4356" s="188" t="str">
        <f t="shared" si="141"/>
        <v/>
      </c>
      <c r="T4356" s="21"/>
      <c r="U4356" s="22"/>
      <c r="V4356" s="24"/>
      <c r="W4356" s="24"/>
      <c r="X4356" s="24"/>
      <c r="Y4356" s="24"/>
      <c r="Z4356" s="20" t="str">
        <f t="shared" si="140"/>
        <v/>
      </c>
    </row>
    <row r="4357" spans="1:26" x14ac:dyDescent="0.2">
      <c r="A4357" s="21"/>
      <c r="B4357" s="20"/>
      <c r="C4357" s="22"/>
      <c r="D4357" s="22"/>
      <c r="E4357" s="24"/>
      <c r="F4357" s="22"/>
      <c r="H4357" s="21"/>
      <c r="I4357" s="22"/>
      <c r="J4357" s="22"/>
      <c r="K4357" s="24"/>
      <c r="M4357" s="21"/>
      <c r="N4357" s="22"/>
      <c r="O4357" s="22"/>
      <c r="P4357" s="49"/>
      <c r="Q4357" s="49"/>
      <c r="R4357" s="188" t="str">
        <f t="shared" si="141"/>
        <v/>
      </c>
      <c r="T4357" s="21"/>
      <c r="U4357" s="22"/>
      <c r="V4357" s="24"/>
      <c r="W4357" s="24"/>
      <c r="X4357" s="24"/>
      <c r="Y4357" s="24"/>
      <c r="Z4357" s="20" t="str">
        <f t="shared" si="140"/>
        <v/>
      </c>
    </row>
    <row r="4358" spans="1:26" x14ac:dyDescent="0.2">
      <c r="A4358" s="21"/>
      <c r="B4358" s="20"/>
      <c r="C4358" s="22"/>
      <c r="D4358" s="22"/>
      <c r="E4358" s="24"/>
      <c r="F4358" s="22"/>
      <c r="H4358" s="21"/>
      <c r="I4358" s="22"/>
      <c r="J4358" s="22"/>
      <c r="K4358" s="24"/>
      <c r="M4358" s="21"/>
      <c r="N4358" s="22"/>
      <c r="O4358" s="22"/>
      <c r="P4358" s="49"/>
      <c r="Q4358" s="49"/>
      <c r="R4358" s="188" t="str">
        <f t="shared" si="141"/>
        <v/>
      </c>
      <c r="T4358" s="21"/>
      <c r="U4358" s="22"/>
      <c r="V4358" s="24"/>
      <c r="W4358" s="24"/>
      <c r="X4358" s="24"/>
      <c r="Y4358" s="24"/>
      <c r="Z4358" s="20" t="str">
        <f t="shared" si="140"/>
        <v/>
      </c>
    </row>
    <row r="4359" spans="1:26" x14ac:dyDescent="0.2">
      <c r="A4359" s="21"/>
      <c r="B4359" s="20"/>
      <c r="C4359" s="22"/>
      <c r="D4359" s="22"/>
      <c r="E4359" s="24"/>
      <c r="F4359" s="22"/>
      <c r="H4359" s="21"/>
      <c r="I4359" s="22"/>
      <c r="J4359" s="22"/>
      <c r="K4359" s="24"/>
      <c r="M4359" s="21"/>
      <c r="N4359" s="22"/>
      <c r="O4359" s="22"/>
      <c r="P4359" s="49"/>
      <c r="Q4359" s="49"/>
      <c r="R4359" s="188" t="str">
        <f t="shared" si="141"/>
        <v/>
      </c>
      <c r="T4359" s="21"/>
      <c r="U4359" s="22"/>
      <c r="V4359" s="24"/>
      <c r="W4359" s="24"/>
      <c r="X4359" s="24"/>
      <c r="Y4359" s="24"/>
      <c r="Z4359" s="20" t="str">
        <f t="shared" si="140"/>
        <v/>
      </c>
    </row>
    <row r="4360" spans="1:26" x14ac:dyDescent="0.2">
      <c r="A4360" s="21"/>
      <c r="B4360" s="20"/>
      <c r="C4360" s="22"/>
      <c r="D4360" s="22"/>
      <c r="E4360" s="24"/>
      <c r="F4360" s="22"/>
      <c r="H4360" s="21"/>
      <c r="I4360" s="22"/>
      <c r="J4360" s="22"/>
      <c r="K4360" s="24"/>
      <c r="M4360" s="21"/>
      <c r="N4360" s="22"/>
      <c r="O4360" s="22"/>
      <c r="P4360" s="49"/>
      <c r="Q4360" s="49"/>
      <c r="R4360" s="188" t="str">
        <f t="shared" si="141"/>
        <v/>
      </c>
      <c r="T4360" s="21"/>
      <c r="U4360" s="22"/>
      <c r="V4360" s="24"/>
      <c r="W4360" s="24"/>
      <c r="X4360" s="24"/>
      <c r="Y4360" s="24"/>
      <c r="Z4360" s="20" t="str">
        <f t="shared" si="140"/>
        <v/>
      </c>
    </row>
    <row r="4361" spans="1:26" x14ac:dyDescent="0.2">
      <c r="A4361" s="21"/>
      <c r="B4361" s="20"/>
      <c r="C4361" s="22"/>
      <c r="D4361" s="22"/>
      <c r="E4361" s="24"/>
      <c r="F4361" s="22"/>
      <c r="H4361" s="21"/>
      <c r="I4361" s="22"/>
      <c r="J4361" s="22"/>
      <c r="K4361" s="24"/>
      <c r="M4361" s="21"/>
      <c r="N4361" s="22"/>
      <c r="O4361" s="22"/>
      <c r="P4361" s="49"/>
      <c r="Q4361" s="49"/>
      <c r="R4361" s="188" t="str">
        <f t="shared" si="141"/>
        <v/>
      </c>
      <c r="T4361" s="21"/>
      <c r="U4361" s="22"/>
      <c r="V4361" s="24"/>
      <c r="W4361" s="24"/>
      <c r="X4361" s="24"/>
      <c r="Y4361" s="24"/>
      <c r="Z4361" s="20" t="str">
        <f t="shared" si="140"/>
        <v/>
      </c>
    </row>
    <row r="4362" spans="1:26" x14ac:dyDescent="0.2">
      <c r="A4362" s="21"/>
      <c r="B4362" s="20"/>
      <c r="C4362" s="22"/>
      <c r="D4362" s="22"/>
      <c r="E4362" s="24"/>
      <c r="F4362" s="22"/>
      <c r="H4362" s="21"/>
      <c r="I4362" s="22"/>
      <c r="J4362" s="22"/>
      <c r="K4362" s="24"/>
      <c r="M4362" s="21"/>
      <c r="N4362" s="22"/>
      <c r="O4362" s="22"/>
      <c r="P4362" s="49"/>
      <c r="Q4362" s="49"/>
      <c r="R4362" s="188" t="str">
        <f t="shared" si="141"/>
        <v/>
      </c>
      <c r="T4362" s="21"/>
      <c r="U4362" s="22"/>
      <c r="V4362" s="24"/>
      <c r="W4362" s="24"/>
      <c r="X4362" s="24"/>
      <c r="Y4362" s="24"/>
      <c r="Z4362" s="20" t="str">
        <f t="shared" si="140"/>
        <v/>
      </c>
    </row>
    <row r="4363" spans="1:26" x14ac:dyDescent="0.2">
      <c r="A4363" s="21"/>
      <c r="B4363" s="20"/>
      <c r="C4363" s="22"/>
      <c r="D4363" s="22"/>
      <c r="E4363" s="24"/>
      <c r="F4363" s="22"/>
      <c r="H4363" s="21"/>
      <c r="I4363" s="22"/>
      <c r="J4363" s="22"/>
      <c r="K4363" s="24"/>
      <c r="M4363" s="21"/>
      <c r="N4363" s="22"/>
      <c r="O4363" s="22"/>
      <c r="P4363" s="49"/>
      <c r="Q4363" s="49"/>
      <c r="R4363" s="188" t="str">
        <f t="shared" si="141"/>
        <v/>
      </c>
      <c r="T4363" s="21"/>
      <c r="U4363" s="22"/>
      <c r="V4363" s="24"/>
      <c r="W4363" s="24"/>
      <c r="X4363" s="24"/>
      <c r="Y4363" s="24"/>
      <c r="Z4363" s="20" t="str">
        <f t="shared" si="140"/>
        <v/>
      </c>
    </row>
    <row r="4364" spans="1:26" x14ac:dyDescent="0.2">
      <c r="A4364" s="21"/>
      <c r="B4364" s="20"/>
      <c r="C4364" s="22"/>
      <c r="D4364" s="22"/>
      <c r="E4364" s="24"/>
      <c r="F4364" s="22"/>
      <c r="H4364" s="21"/>
      <c r="I4364" s="22"/>
      <c r="J4364" s="22"/>
      <c r="K4364" s="24"/>
      <c r="M4364" s="21"/>
      <c r="N4364" s="22"/>
      <c r="O4364" s="22"/>
      <c r="P4364" s="49"/>
      <c r="Q4364" s="49"/>
      <c r="R4364" s="188" t="str">
        <f t="shared" si="141"/>
        <v/>
      </c>
      <c r="T4364" s="21"/>
      <c r="U4364" s="22"/>
      <c r="V4364" s="24"/>
      <c r="W4364" s="24"/>
      <c r="X4364" s="24"/>
      <c r="Y4364" s="24"/>
      <c r="Z4364" s="20" t="str">
        <f t="shared" si="140"/>
        <v/>
      </c>
    </row>
    <row r="4365" spans="1:26" x14ac:dyDescent="0.2">
      <c r="A4365" s="21"/>
      <c r="B4365" s="20"/>
      <c r="C4365" s="22"/>
      <c r="D4365" s="22"/>
      <c r="E4365" s="24"/>
      <c r="F4365" s="22"/>
      <c r="H4365" s="21"/>
      <c r="I4365" s="22"/>
      <c r="J4365" s="22"/>
      <c r="K4365" s="24"/>
      <c r="M4365" s="21"/>
      <c r="N4365" s="22"/>
      <c r="O4365" s="22"/>
      <c r="P4365" s="49"/>
      <c r="Q4365" s="49"/>
      <c r="R4365" s="188" t="str">
        <f t="shared" si="141"/>
        <v/>
      </c>
      <c r="T4365" s="21"/>
      <c r="U4365" s="22"/>
      <c r="V4365" s="24"/>
      <c r="W4365" s="24"/>
      <c r="X4365" s="24"/>
      <c r="Y4365" s="24"/>
      <c r="Z4365" s="20" t="str">
        <f t="shared" si="140"/>
        <v/>
      </c>
    </row>
    <row r="4366" spans="1:26" x14ac:dyDescent="0.2">
      <c r="A4366" s="21"/>
      <c r="B4366" s="20"/>
      <c r="C4366" s="22"/>
      <c r="D4366" s="22"/>
      <c r="E4366" s="24"/>
      <c r="F4366" s="22"/>
      <c r="H4366" s="21"/>
      <c r="I4366" s="22"/>
      <c r="J4366" s="22"/>
      <c r="K4366" s="24"/>
      <c r="M4366" s="21"/>
      <c r="N4366" s="22"/>
      <c r="O4366" s="22"/>
      <c r="P4366" s="49"/>
      <c r="Q4366" s="49"/>
      <c r="R4366" s="188" t="str">
        <f t="shared" si="141"/>
        <v/>
      </c>
      <c r="T4366" s="21"/>
      <c r="U4366" s="22"/>
      <c r="V4366" s="24"/>
      <c r="W4366" s="24"/>
      <c r="X4366" s="24"/>
      <c r="Y4366" s="24"/>
      <c r="Z4366" s="20" t="str">
        <f t="shared" si="140"/>
        <v/>
      </c>
    </row>
    <row r="4367" spans="1:26" x14ac:dyDescent="0.2">
      <c r="A4367" s="21"/>
      <c r="B4367" s="20"/>
      <c r="C4367" s="22"/>
      <c r="D4367" s="22"/>
      <c r="E4367" s="24"/>
      <c r="F4367" s="22"/>
      <c r="H4367" s="21"/>
      <c r="I4367" s="22"/>
      <c r="J4367" s="22"/>
      <c r="K4367" s="24"/>
      <c r="M4367" s="21"/>
      <c r="N4367" s="22"/>
      <c r="O4367" s="22"/>
      <c r="P4367" s="49"/>
      <c r="Q4367" s="49"/>
      <c r="R4367" s="188" t="str">
        <f t="shared" si="141"/>
        <v/>
      </c>
      <c r="T4367" s="21"/>
      <c r="U4367" s="22"/>
      <c r="V4367" s="24"/>
      <c r="W4367" s="24"/>
      <c r="X4367" s="24"/>
      <c r="Y4367" s="24"/>
      <c r="Z4367" s="20" t="str">
        <f t="shared" si="140"/>
        <v/>
      </c>
    </row>
    <row r="4368" spans="1:26" x14ac:dyDescent="0.2">
      <c r="A4368" s="21"/>
      <c r="B4368" s="20"/>
      <c r="C4368" s="22"/>
      <c r="D4368" s="22"/>
      <c r="E4368" s="24"/>
      <c r="F4368" s="22"/>
      <c r="H4368" s="21"/>
      <c r="I4368" s="22"/>
      <c r="J4368" s="22"/>
      <c r="K4368" s="24"/>
      <c r="M4368" s="21"/>
      <c r="N4368" s="22"/>
      <c r="O4368" s="22"/>
      <c r="P4368" s="49"/>
      <c r="Q4368" s="49"/>
      <c r="R4368" s="188" t="str">
        <f t="shared" si="141"/>
        <v/>
      </c>
      <c r="T4368" s="21"/>
      <c r="U4368" s="22"/>
      <c r="V4368" s="24"/>
      <c r="W4368" s="24"/>
      <c r="X4368" s="24"/>
      <c r="Y4368" s="24"/>
      <c r="Z4368" s="20" t="str">
        <f t="shared" si="140"/>
        <v/>
      </c>
    </row>
    <row r="4369" spans="1:26" x14ac:dyDescent="0.2">
      <c r="A4369" s="21"/>
      <c r="B4369" s="20"/>
      <c r="C4369" s="22"/>
      <c r="D4369" s="22"/>
      <c r="E4369" s="24"/>
      <c r="F4369" s="22"/>
      <c r="H4369" s="21"/>
      <c r="I4369" s="22"/>
      <c r="J4369" s="22"/>
      <c r="K4369" s="24"/>
      <c r="M4369" s="21"/>
      <c r="N4369" s="22"/>
      <c r="O4369" s="22"/>
      <c r="P4369" s="49"/>
      <c r="Q4369" s="49"/>
      <c r="R4369" s="188" t="str">
        <f t="shared" si="141"/>
        <v/>
      </c>
      <c r="T4369" s="21"/>
      <c r="U4369" s="22"/>
      <c r="V4369" s="24"/>
      <c r="W4369" s="24"/>
      <c r="X4369" s="24"/>
      <c r="Y4369" s="24"/>
      <c r="Z4369" s="20" t="str">
        <f t="shared" si="140"/>
        <v/>
      </c>
    </row>
    <row r="4370" spans="1:26" x14ac:dyDescent="0.2">
      <c r="A4370" s="21"/>
      <c r="B4370" s="20"/>
      <c r="C4370" s="22"/>
      <c r="D4370" s="22"/>
      <c r="E4370" s="24"/>
      <c r="F4370" s="22"/>
      <c r="H4370" s="21"/>
      <c r="I4370" s="22"/>
      <c r="J4370" s="22"/>
      <c r="K4370" s="24"/>
      <c r="M4370" s="21"/>
      <c r="N4370" s="22"/>
      <c r="O4370" s="22"/>
      <c r="P4370" s="49"/>
      <c r="Q4370" s="49"/>
      <c r="R4370" s="188" t="str">
        <f t="shared" si="141"/>
        <v/>
      </c>
      <c r="T4370" s="21"/>
      <c r="U4370" s="22"/>
      <c r="V4370" s="24"/>
      <c r="W4370" s="24"/>
      <c r="X4370" s="24"/>
      <c r="Y4370" s="24"/>
      <c r="Z4370" s="20" t="str">
        <f t="shared" si="140"/>
        <v/>
      </c>
    </row>
    <row r="4371" spans="1:26" x14ac:dyDescent="0.2">
      <c r="A4371" s="21"/>
      <c r="B4371" s="20"/>
      <c r="C4371" s="22"/>
      <c r="D4371" s="22"/>
      <c r="E4371" s="24"/>
      <c r="F4371" s="22"/>
      <c r="H4371" s="21"/>
      <c r="I4371" s="22"/>
      <c r="J4371" s="22"/>
      <c r="K4371" s="24"/>
      <c r="M4371" s="21"/>
      <c r="N4371" s="22"/>
      <c r="O4371" s="22"/>
      <c r="P4371" s="49"/>
      <c r="Q4371" s="49"/>
      <c r="R4371" s="188" t="str">
        <f t="shared" si="141"/>
        <v/>
      </c>
      <c r="T4371" s="21"/>
      <c r="U4371" s="22"/>
      <c r="V4371" s="24"/>
      <c r="W4371" s="24"/>
      <c r="X4371" s="24"/>
      <c r="Y4371" s="24"/>
      <c r="Z4371" s="20" t="str">
        <f t="shared" ref="Z4371:Z4434" si="142">IF(COUNT(V4371:Y4371)=0,"",SUM(V4371:Y4371))</f>
        <v/>
      </c>
    </row>
    <row r="4372" spans="1:26" x14ac:dyDescent="0.2">
      <c r="A4372" s="21"/>
      <c r="B4372" s="20"/>
      <c r="C4372" s="22"/>
      <c r="D4372" s="22"/>
      <c r="E4372" s="24"/>
      <c r="F4372" s="22"/>
      <c r="H4372" s="21"/>
      <c r="I4372" s="22"/>
      <c r="J4372" s="22"/>
      <c r="K4372" s="24"/>
      <c r="M4372" s="21"/>
      <c r="N4372" s="22"/>
      <c r="O4372" s="22"/>
      <c r="P4372" s="49"/>
      <c r="Q4372" s="49"/>
      <c r="R4372" s="188" t="str">
        <f t="shared" si="141"/>
        <v/>
      </c>
      <c r="T4372" s="21"/>
      <c r="U4372" s="22"/>
      <c r="V4372" s="24"/>
      <c r="W4372" s="24"/>
      <c r="X4372" s="24"/>
      <c r="Y4372" s="24"/>
      <c r="Z4372" s="20" t="str">
        <f t="shared" si="142"/>
        <v/>
      </c>
    </row>
    <row r="4373" spans="1:26" x14ac:dyDescent="0.2">
      <c r="A4373" s="21"/>
      <c r="B4373" s="20"/>
      <c r="C4373" s="22"/>
      <c r="D4373" s="22"/>
      <c r="E4373" s="24"/>
      <c r="F4373" s="22"/>
      <c r="H4373" s="21"/>
      <c r="I4373" s="22"/>
      <c r="J4373" s="22"/>
      <c r="K4373" s="24"/>
      <c r="M4373" s="21"/>
      <c r="N4373" s="22"/>
      <c r="O4373" s="22"/>
      <c r="P4373" s="49"/>
      <c r="Q4373" s="49"/>
      <c r="R4373" s="188" t="str">
        <f t="shared" si="141"/>
        <v/>
      </c>
      <c r="T4373" s="21"/>
      <c r="U4373" s="22"/>
      <c r="V4373" s="24"/>
      <c r="W4373" s="24"/>
      <c r="X4373" s="24"/>
      <c r="Y4373" s="24"/>
      <c r="Z4373" s="20" t="str">
        <f t="shared" si="142"/>
        <v/>
      </c>
    </row>
    <row r="4374" spans="1:26" x14ac:dyDescent="0.2">
      <c r="A4374" s="21"/>
      <c r="B4374" s="20"/>
      <c r="C4374" s="22"/>
      <c r="D4374" s="22"/>
      <c r="E4374" s="24"/>
      <c r="F4374" s="22"/>
      <c r="H4374" s="21"/>
      <c r="I4374" s="22"/>
      <c r="J4374" s="22"/>
      <c r="K4374" s="24"/>
      <c r="M4374" s="21"/>
      <c r="N4374" s="22"/>
      <c r="O4374" s="22"/>
      <c r="P4374" s="49"/>
      <c r="Q4374" s="49"/>
      <c r="R4374" s="188" t="str">
        <f t="shared" ref="R4374:R4437" si="143">IF(OR(P4374="",Q4374=""),"",IFERROR(P4374-Q4374,""))</f>
        <v/>
      </c>
      <c r="T4374" s="21"/>
      <c r="U4374" s="22"/>
      <c r="V4374" s="24"/>
      <c r="W4374" s="24"/>
      <c r="X4374" s="24"/>
      <c r="Y4374" s="24"/>
      <c r="Z4374" s="20" t="str">
        <f t="shared" si="142"/>
        <v/>
      </c>
    </row>
    <row r="4375" spans="1:26" x14ac:dyDescent="0.2">
      <c r="A4375" s="21"/>
      <c r="B4375" s="20"/>
      <c r="C4375" s="22"/>
      <c r="D4375" s="22"/>
      <c r="E4375" s="24"/>
      <c r="F4375" s="22"/>
      <c r="H4375" s="21"/>
      <c r="I4375" s="22"/>
      <c r="J4375" s="22"/>
      <c r="K4375" s="24"/>
      <c r="M4375" s="21"/>
      <c r="N4375" s="22"/>
      <c r="O4375" s="22"/>
      <c r="P4375" s="49"/>
      <c r="Q4375" s="49"/>
      <c r="R4375" s="188" t="str">
        <f t="shared" si="143"/>
        <v/>
      </c>
      <c r="T4375" s="21"/>
      <c r="U4375" s="22"/>
      <c r="V4375" s="24"/>
      <c r="W4375" s="24"/>
      <c r="X4375" s="24"/>
      <c r="Y4375" s="24"/>
      <c r="Z4375" s="20" t="str">
        <f t="shared" si="142"/>
        <v/>
      </c>
    </row>
    <row r="4376" spans="1:26" x14ac:dyDescent="0.2">
      <c r="A4376" s="21"/>
      <c r="B4376" s="20"/>
      <c r="C4376" s="22"/>
      <c r="D4376" s="22"/>
      <c r="E4376" s="24"/>
      <c r="F4376" s="22"/>
      <c r="H4376" s="21"/>
      <c r="I4376" s="22"/>
      <c r="J4376" s="22"/>
      <c r="K4376" s="24"/>
      <c r="M4376" s="21"/>
      <c r="N4376" s="22"/>
      <c r="O4376" s="22"/>
      <c r="P4376" s="49"/>
      <c r="Q4376" s="49"/>
      <c r="R4376" s="188" t="str">
        <f t="shared" si="143"/>
        <v/>
      </c>
      <c r="T4376" s="21"/>
      <c r="U4376" s="22"/>
      <c r="V4376" s="24"/>
      <c r="W4376" s="24"/>
      <c r="X4376" s="24"/>
      <c r="Y4376" s="24"/>
      <c r="Z4376" s="20" t="str">
        <f t="shared" si="142"/>
        <v/>
      </c>
    </row>
    <row r="4377" spans="1:26" x14ac:dyDescent="0.2">
      <c r="A4377" s="21"/>
      <c r="B4377" s="20"/>
      <c r="C4377" s="22"/>
      <c r="D4377" s="22"/>
      <c r="E4377" s="24"/>
      <c r="F4377" s="22"/>
      <c r="H4377" s="21"/>
      <c r="I4377" s="22"/>
      <c r="J4377" s="22"/>
      <c r="K4377" s="24"/>
      <c r="M4377" s="21"/>
      <c r="N4377" s="22"/>
      <c r="O4377" s="22"/>
      <c r="P4377" s="49"/>
      <c r="Q4377" s="49"/>
      <c r="R4377" s="188" t="str">
        <f t="shared" si="143"/>
        <v/>
      </c>
      <c r="T4377" s="21"/>
      <c r="U4377" s="22"/>
      <c r="V4377" s="24"/>
      <c r="W4377" s="24"/>
      <c r="X4377" s="24"/>
      <c r="Y4377" s="24"/>
      <c r="Z4377" s="20" t="str">
        <f t="shared" si="142"/>
        <v/>
      </c>
    </row>
    <row r="4378" spans="1:26" x14ac:dyDescent="0.2">
      <c r="A4378" s="21"/>
      <c r="B4378" s="20"/>
      <c r="C4378" s="22"/>
      <c r="D4378" s="22"/>
      <c r="E4378" s="24"/>
      <c r="F4378" s="22"/>
      <c r="H4378" s="21"/>
      <c r="I4378" s="22"/>
      <c r="J4378" s="22"/>
      <c r="K4378" s="24"/>
      <c r="M4378" s="21"/>
      <c r="N4378" s="22"/>
      <c r="O4378" s="22"/>
      <c r="P4378" s="49"/>
      <c r="Q4378" s="49"/>
      <c r="R4378" s="188" t="str">
        <f t="shared" si="143"/>
        <v/>
      </c>
      <c r="T4378" s="21"/>
      <c r="U4378" s="22"/>
      <c r="V4378" s="24"/>
      <c r="W4378" s="24"/>
      <c r="X4378" s="24"/>
      <c r="Y4378" s="24"/>
      <c r="Z4378" s="20" t="str">
        <f t="shared" si="142"/>
        <v/>
      </c>
    </row>
    <row r="4379" spans="1:26" x14ac:dyDescent="0.2">
      <c r="A4379" s="21"/>
      <c r="B4379" s="20"/>
      <c r="C4379" s="22"/>
      <c r="D4379" s="22"/>
      <c r="E4379" s="24"/>
      <c r="F4379" s="22"/>
      <c r="H4379" s="21"/>
      <c r="I4379" s="22"/>
      <c r="J4379" s="22"/>
      <c r="K4379" s="24"/>
      <c r="M4379" s="21"/>
      <c r="N4379" s="22"/>
      <c r="O4379" s="22"/>
      <c r="P4379" s="49"/>
      <c r="Q4379" s="49"/>
      <c r="R4379" s="188" t="str">
        <f t="shared" si="143"/>
        <v/>
      </c>
      <c r="T4379" s="21"/>
      <c r="U4379" s="22"/>
      <c r="V4379" s="24"/>
      <c r="W4379" s="24"/>
      <c r="X4379" s="24"/>
      <c r="Y4379" s="24"/>
      <c r="Z4379" s="20" t="str">
        <f t="shared" si="142"/>
        <v/>
      </c>
    </row>
    <row r="4380" spans="1:26" x14ac:dyDescent="0.2">
      <c r="A4380" s="21"/>
      <c r="B4380" s="20"/>
      <c r="C4380" s="22"/>
      <c r="D4380" s="22"/>
      <c r="E4380" s="24"/>
      <c r="F4380" s="22"/>
      <c r="H4380" s="21"/>
      <c r="I4380" s="22"/>
      <c r="J4380" s="22"/>
      <c r="K4380" s="24"/>
      <c r="M4380" s="21"/>
      <c r="N4380" s="22"/>
      <c r="O4380" s="22"/>
      <c r="P4380" s="49"/>
      <c r="Q4380" s="49"/>
      <c r="R4380" s="188" t="str">
        <f t="shared" si="143"/>
        <v/>
      </c>
      <c r="T4380" s="21"/>
      <c r="U4380" s="22"/>
      <c r="V4380" s="24"/>
      <c r="W4380" s="24"/>
      <c r="X4380" s="24"/>
      <c r="Y4380" s="24"/>
      <c r="Z4380" s="20" t="str">
        <f t="shared" si="142"/>
        <v/>
      </c>
    </row>
    <row r="4381" spans="1:26" x14ac:dyDescent="0.2">
      <c r="A4381" s="21"/>
      <c r="B4381" s="20"/>
      <c r="C4381" s="22"/>
      <c r="D4381" s="22"/>
      <c r="E4381" s="24"/>
      <c r="F4381" s="22"/>
      <c r="H4381" s="21"/>
      <c r="I4381" s="22"/>
      <c r="J4381" s="22"/>
      <c r="K4381" s="24"/>
      <c r="M4381" s="21"/>
      <c r="N4381" s="22"/>
      <c r="O4381" s="22"/>
      <c r="P4381" s="49"/>
      <c r="Q4381" s="49"/>
      <c r="R4381" s="188" t="str">
        <f t="shared" si="143"/>
        <v/>
      </c>
      <c r="T4381" s="21"/>
      <c r="U4381" s="22"/>
      <c r="V4381" s="24"/>
      <c r="W4381" s="24"/>
      <c r="X4381" s="24"/>
      <c r="Y4381" s="24"/>
      <c r="Z4381" s="20" t="str">
        <f t="shared" si="142"/>
        <v/>
      </c>
    </row>
    <row r="4382" spans="1:26" x14ac:dyDescent="0.2">
      <c r="A4382" s="21"/>
      <c r="B4382" s="20"/>
      <c r="C4382" s="22"/>
      <c r="D4382" s="22"/>
      <c r="E4382" s="24"/>
      <c r="F4382" s="22"/>
      <c r="H4382" s="21"/>
      <c r="I4382" s="22"/>
      <c r="J4382" s="22"/>
      <c r="K4382" s="24"/>
      <c r="M4382" s="21"/>
      <c r="N4382" s="22"/>
      <c r="O4382" s="22"/>
      <c r="P4382" s="49"/>
      <c r="Q4382" s="49"/>
      <c r="R4382" s="188" t="str">
        <f t="shared" si="143"/>
        <v/>
      </c>
      <c r="T4382" s="21"/>
      <c r="U4382" s="22"/>
      <c r="V4382" s="24"/>
      <c r="W4382" s="24"/>
      <c r="X4382" s="24"/>
      <c r="Y4382" s="24"/>
      <c r="Z4382" s="20" t="str">
        <f t="shared" si="142"/>
        <v/>
      </c>
    </row>
    <row r="4383" spans="1:26" x14ac:dyDescent="0.2">
      <c r="A4383" s="21"/>
      <c r="B4383" s="20"/>
      <c r="C4383" s="22"/>
      <c r="D4383" s="22"/>
      <c r="E4383" s="24"/>
      <c r="F4383" s="22"/>
      <c r="H4383" s="21"/>
      <c r="I4383" s="22"/>
      <c r="J4383" s="22"/>
      <c r="K4383" s="24"/>
      <c r="M4383" s="21"/>
      <c r="N4383" s="22"/>
      <c r="O4383" s="22"/>
      <c r="P4383" s="49"/>
      <c r="Q4383" s="49"/>
      <c r="R4383" s="188" t="str">
        <f t="shared" si="143"/>
        <v/>
      </c>
      <c r="T4383" s="21"/>
      <c r="U4383" s="22"/>
      <c r="V4383" s="24"/>
      <c r="W4383" s="24"/>
      <c r="X4383" s="24"/>
      <c r="Y4383" s="24"/>
      <c r="Z4383" s="20" t="str">
        <f t="shared" si="142"/>
        <v/>
      </c>
    </row>
    <row r="4384" spans="1:26" x14ac:dyDescent="0.2">
      <c r="A4384" s="21"/>
      <c r="B4384" s="20"/>
      <c r="C4384" s="22"/>
      <c r="D4384" s="22"/>
      <c r="E4384" s="24"/>
      <c r="F4384" s="22"/>
      <c r="H4384" s="21"/>
      <c r="I4384" s="22"/>
      <c r="J4384" s="22"/>
      <c r="K4384" s="24"/>
      <c r="M4384" s="21"/>
      <c r="N4384" s="22"/>
      <c r="O4384" s="22"/>
      <c r="P4384" s="49"/>
      <c r="Q4384" s="49"/>
      <c r="R4384" s="188" t="str">
        <f t="shared" si="143"/>
        <v/>
      </c>
      <c r="T4384" s="21"/>
      <c r="U4384" s="22"/>
      <c r="V4384" s="24"/>
      <c r="W4384" s="24"/>
      <c r="X4384" s="24"/>
      <c r="Y4384" s="24"/>
      <c r="Z4384" s="20" t="str">
        <f t="shared" si="142"/>
        <v/>
      </c>
    </row>
    <row r="4385" spans="1:26" x14ac:dyDescent="0.2">
      <c r="A4385" s="21"/>
      <c r="B4385" s="20"/>
      <c r="C4385" s="22"/>
      <c r="D4385" s="22"/>
      <c r="E4385" s="24"/>
      <c r="F4385" s="22"/>
      <c r="H4385" s="21"/>
      <c r="I4385" s="22"/>
      <c r="J4385" s="22"/>
      <c r="K4385" s="24"/>
      <c r="M4385" s="21"/>
      <c r="N4385" s="22"/>
      <c r="O4385" s="22"/>
      <c r="P4385" s="49"/>
      <c r="Q4385" s="49"/>
      <c r="R4385" s="188" t="str">
        <f t="shared" si="143"/>
        <v/>
      </c>
      <c r="T4385" s="21"/>
      <c r="U4385" s="22"/>
      <c r="V4385" s="24"/>
      <c r="W4385" s="24"/>
      <c r="X4385" s="24"/>
      <c r="Y4385" s="24"/>
      <c r="Z4385" s="20" t="str">
        <f t="shared" si="142"/>
        <v/>
      </c>
    </row>
    <row r="4386" spans="1:26" x14ac:dyDescent="0.2">
      <c r="A4386" s="21"/>
      <c r="B4386" s="20"/>
      <c r="C4386" s="22"/>
      <c r="D4386" s="22"/>
      <c r="E4386" s="24"/>
      <c r="F4386" s="22"/>
      <c r="H4386" s="21"/>
      <c r="I4386" s="22"/>
      <c r="J4386" s="22"/>
      <c r="K4386" s="24"/>
      <c r="M4386" s="21"/>
      <c r="N4386" s="22"/>
      <c r="O4386" s="22"/>
      <c r="P4386" s="49"/>
      <c r="Q4386" s="49"/>
      <c r="R4386" s="188" t="str">
        <f t="shared" si="143"/>
        <v/>
      </c>
      <c r="T4386" s="21"/>
      <c r="U4386" s="22"/>
      <c r="V4386" s="24"/>
      <c r="W4386" s="24"/>
      <c r="X4386" s="24"/>
      <c r="Y4386" s="24"/>
      <c r="Z4386" s="20" t="str">
        <f t="shared" si="142"/>
        <v/>
      </c>
    </row>
    <row r="4387" spans="1:26" x14ac:dyDescent="0.2">
      <c r="A4387" s="21"/>
      <c r="B4387" s="20"/>
      <c r="C4387" s="22"/>
      <c r="D4387" s="22"/>
      <c r="E4387" s="24"/>
      <c r="F4387" s="22"/>
      <c r="H4387" s="21"/>
      <c r="I4387" s="22"/>
      <c r="J4387" s="22"/>
      <c r="K4387" s="24"/>
      <c r="M4387" s="21"/>
      <c r="N4387" s="22"/>
      <c r="O4387" s="22"/>
      <c r="P4387" s="49"/>
      <c r="Q4387" s="49"/>
      <c r="R4387" s="188" t="str">
        <f t="shared" si="143"/>
        <v/>
      </c>
      <c r="T4387" s="21"/>
      <c r="U4387" s="22"/>
      <c r="V4387" s="24"/>
      <c r="W4387" s="24"/>
      <c r="X4387" s="24"/>
      <c r="Y4387" s="24"/>
      <c r="Z4387" s="20" t="str">
        <f t="shared" si="142"/>
        <v/>
      </c>
    </row>
    <row r="4388" spans="1:26" x14ac:dyDescent="0.2">
      <c r="A4388" s="21"/>
      <c r="B4388" s="20"/>
      <c r="C4388" s="22"/>
      <c r="D4388" s="22"/>
      <c r="E4388" s="24"/>
      <c r="F4388" s="22"/>
      <c r="H4388" s="21"/>
      <c r="I4388" s="22"/>
      <c r="J4388" s="22"/>
      <c r="K4388" s="24"/>
      <c r="M4388" s="21"/>
      <c r="N4388" s="22"/>
      <c r="O4388" s="22"/>
      <c r="P4388" s="49"/>
      <c r="Q4388" s="49"/>
      <c r="R4388" s="188" t="str">
        <f t="shared" si="143"/>
        <v/>
      </c>
      <c r="T4388" s="21"/>
      <c r="U4388" s="22"/>
      <c r="V4388" s="24"/>
      <c r="W4388" s="24"/>
      <c r="X4388" s="24"/>
      <c r="Y4388" s="24"/>
      <c r="Z4388" s="20" t="str">
        <f t="shared" si="142"/>
        <v/>
      </c>
    </row>
    <row r="4389" spans="1:26" x14ac:dyDescent="0.2">
      <c r="A4389" s="21"/>
      <c r="B4389" s="20"/>
      <c r="C4389" s="22"/>
      <c r="D4389" s="22"/>
      <c r="E4389" s="24"/>
      <c r="F4389" s="22"/>
      <c r="H4389" s="21"/>
      <c r="I4389" s="22"/>
      <c r="J4389" s="22"/>
      <c r="K4389" s="24"/>
      <c r="M4389" s="21"/>
      <c r="N4389" s="22"/>
      <c r="O4389" s="22"/>
      <c r="P4389" s="49"/>
      <c r="Q4389" s="49"/>
      <c r="R4389" s="188" t="str">
        <f t="shared" si="143"/>
        <v/>
      </c>
      <c r="T4389" s="21"/>
      <c r="U4389" s="22"/>
      <c r="V4389" s="24"/>
      <c r="W4389" s="24"/>
      <c r="X4389" s="24"/>
      <c r="Y4389" s="24"/>
      <c r="Z4389" s="20" t="str">
        <f t="shared" si="142"/>
        <v/>
      </c>
    </row>
    <row r="4390" spans="1:26" x14ac:dyDescent="0.2">
      <c r="A4390" s="21"/>
      <c r="B4390" s="20"/>
      <c r="C4390" s="22"/>
      <c r="D4390" s="22"/>
      <c r="E4390" s="24"/>
      <c r="F4390" s="22"/>
      <c r="H4390" s="21"/>
      <c r="I4390" s="22"/>
      <c r="J4390" s="22"/>
      <c r="K4390" s="24"/>
      <c r="M4390" s="21"/>
      <c r="N4390" s="22"/>
      <c r="O4390" s="22"/>
      <c r="P4390" s="49"/>
      <c r="Q4390" s="49"/>
      <c r="R4390" s="188" t="str">
        <f t="shared" si="143"/>
        <v/>
      </c>
      <c r="T4390" s="21"/>
      <c r="U4390" s="22"/>
      <c r="V4390" s="24"/>
      <c r="W4390" s="24"/>
      <c r="X4390" s="24"/>
      <c r="Y4390" s="24"/>
      <c r="Z4390" s="20" t="str">
        <f t="shared" si="142"/>
        <v/>
      </c>
    </row>
    <row r="4391" spans="1:26" x14ac:dyDescent="0.2">
      <c r="A4391" s="21"/>
      <c r="B4391" s="20"/>
      <c r="C4391" s="22"/>
      <c r="D4391" s="22"/>
      <c r="E4391" s="24"/>
      <c r="F4391" s="22"/>
      <c r="H4391" s="21"/>
      <c r="I4391" s="22"/>
      <c r="J4391" s="22"/>
      <c r="K4391" s="24"/>
      <c r="M4391" s="21"/>
      <c r="N4391" s="22"/>
      <c r="O4391" s="22"/>
      <c r="P4391" s="49"/>
      <c r="Q4391" s="49"/>
      <c r="R4391" s="188" t="str">
        <f t="shared" si="143"/>
        <v/>
      </c>
      <c r="T4391" s="21"/>
      <c r="U4391" s="22"/>
      <c r="V4391" s="24"/>
      <c r="W4391" s="24"/>
      <c r="X4391" s="24"/>
      <c r="Y4391" s="24"/>
      <c r="Z4391" s="20" t="str">
        <f t="shared" si="142"/>
        <v/>
      </c>
    </row>
    <row r="4392" spans="1:26" x14ac:dyDescent="0.2">
      <c r="A4392" s="21"/>
      <c r="B4392" s="20"/>
      <c r="C4392" s="22"/>
      <c r="D4392" s="22"/>
      <c r="E4392" s="24"/>
      <c r="F4392" s="22"/>
      <c r="H4392" s="21"/>
      <c r="I4392" s="22"/>
      <c r="J4392" s="22"/>
      <c r="K4392" s="24"/>
      <c r="M4392" s="21"/>
      <c r="N4392" s="22"/>
      <c r="O4392" s="22"/>
      <c r="P4392" s="49"/>
      <c r="Q4392" s="49"/>
      <c r="R4392" s="188" t="str">
        <f t="shared" si="143"/>
        <v/>
      </c>
      <c r="T4392" s="21"/>
      <c r="U4392" s="22"/>
      <c r="V4392" s="24"/>
      <c r="W4392" s="24"/>
      <c r="X4392" s="24"/>
      <c r="Y4392" s="24"/>
      <c r="Z4392" s="20" t="str">
        <f t="shared" si="142"/>
        <v/>
      </c>
    </row>
    <row r="4393" spans="1:26" x14ac:dyDescent="0.2">
      <c r="A4393" s="21"/>
      <c r="B4393" s="20"/>
      <c r="C4393" s="22"/>
      <c r="D4393" s="22"/>
      <c r="E4393" s="24"/>
      <c r="F4393" s="22"/>
      <c r="H4393" s="21"/>
      <c r="I4393" s="22"/>
      <c r="J4393" s="22"/>
      <c r="K4393" s="24"/>
      <c r="M4393" s="21"/>
      <c r="N4393" s="22"/>
      <c r="O4393" s="22"/>
      <c r="P4393" s="49"/>
      <c r="Q4393" s="49"/>
      <c r="R4393" s="188" t="str">
        <f t="shared" si="143"/>
        <v/>
      </c>
      <c r="T4393" s="21"/>
      <c r="U4393" s="22"/>
      <c r="V4393" s="24"/>
      <c r="W4393" s="24"/>
      <c r="X4393" s="24"/>
      <c r="Y4393" s="24"/>
      <c r="Z4393" s="20" t="str">
        <f t="shared" si="142"/>
        <v/>
      </c>
    </row>
    <row r="4394" spans="1:26" x14ac:dyDescent="0.2">
      <c r="A4394" s="21"/>
      <c r="B4394" s="20"/>
      <c r="C4394" s="22"/>
      <c r="D4394" s="22"/>
      <c r="E4394" s="24"/>
      <c r="F4394" s="22"/>
      <c r="H4394" s="21"/>
      <c r="I4394" s="22"/>
      <c r="J4394" s="22"/>
      <c r="K4394" s="24"/>
      <c r="M4394" s="21"/>
      <c r="N4394" s="22"/>
      <c r="O4394" s="22"/>
      <c r="P4394" s="49"/>
      <c r="Q4394" s="49"/>
      <c r="R4394" s="188" t="str">
        <f t="shared" si="143"/>
        <v/>
      </c>
      <c r="T4394" s="21"/>
      <c r="U4394" s="22"/>
      <c r="V4394" s="24"/>
      <c r="W4394" s="24"/>
      <c r="X4394" s="24"/>
      <c r="Y4394" s="24"/>
      <c r="Z4394" s="20" t="str">
        <f t="shared" si="142"/>
        <v/>
      </c>
    </row>
    <row r="4395" spans="1:26" x14ac:dyDescent="0.2">
      <c r="A4395" s="21"/>
      <c r="B4395" s="20"/>
      <c r="C4395" s="22"/>
      <c r="D4395" s="22"/>
      <c r="E4395" s="24"/>
      <c r="F4395" s="22"/>
      <c r="H4395" s="21"/>
      <c r="I4395" s="22"/>
      <c r="J4395" s="22"/>
      <c r="K4395" s="24"/>
      <c r="M4395" s="21"/>
      <c r="N4395" s="22"/>
      <c r="O4395" s="22"/>
      <c r="P4395" s="49"/>
      <c r="Q4395" s="49"/>
      <c r="R4395" s="188" t="str">
        <f t="shared" si="143"/>
        <v/>
      </c>
      <c r="T4395" s="21"/>
      <c r="U4395" s="22"/>
      <c r="V4395" s="24"/>
      <c r="W4395" s="24"/>
      <c r="X4395" s="24"/>
      <c r="Y4395" s="24"/>
      <c r="Z4395" s="20" t="str">
        <f t="shared" si="142"/>
        <v/>
      </c>
    </row>
    <row r="4396" spans="1:26" x14ac:dyDescent="0.2">
      <c r="A4396" s="21"/>
      <c r="B4396" s="20"/>
      <c r="C4396" s="22"/>
      <c r="D4396" s="22"/>
      <c r="E4396" s="24"/>
      <c r="F4396" s="22"/>
      <c r="H4396" s="21"/>
      <c r="I4396" s="22"/>
      <c r="J4396" s="22"/>
      <c r="K4396" s="24"/>
      <c r="M4396" s="21"/>
      <c r="N4396" s="22"/>
      <c r="O4396" s="22"/>
      <c r="P4396" s="49"/>
      <c r="Q4396" s="49"/>
      <c r="R4396" s="188" t="str">
        <f t="shared" si="143"/>
        <v/>
      </c>
      <c r="T4396" s="21"/>
      <c r="U4396" s="22"/>
      <c r="V4396" s="24"/>
      <c r="W4396" s="24"/>
      <c r="X4396" s="24"/>
      <c r="Y4396" s="24"/>
      <c r="Z4396" s="20" t="str">
        <f t="shared" si="142"/>
        <v/>
      </c>
    </row>
    <row r="4397" spans="1:26" x14ac:dyDescent="0.2">
      <c r="A4397" s="21"/>
      <c r="B4397" s="20"/>
      <c r="C4397" s="22"/>
      <c r="D4397" s="22"/>
      <c r="E4397" s="24"/>
      <c r="F4397" s="22"/>
      <c r="H4397" s="21"/>
      <c r="I4397" s="22"/>
      <c r="J4397" s="22"/>
      <c r="K4397" s="24"/>
      <c r="M4397" s="21"/>
      <c r="N4397" s="22"/>
      <c r="O4397" s="22"/>
      <c r="P4397" s="49"/>
      <c r="Q4397" s="49"/>
      <c r="R4397" s="188" t="str">
        <f t="shared" si="143"/>
        <v/>
      </c>
      <c r="T4397" s="21"/>
      <c r="U4397" s="22"/>
      <c r="V4397" s="24"/>
      <c r="W4397" s="24"/>
      <c r="X4397" s="24"/>
      <c r="Y4397" s="24"/>
      <c r="Z4397" s="20" t="str">
        <f t="shared" si="142"/>
        <v/>
      </c>
    </row>
    <row r="4398" spans="1:26" x14ac:dyDescent="0.2">
      <c r="A4398" s="21"/>
      <c r="B4398" s="20"/>
      <c r="C4398" s="22"/>
      <c r="D4398" s="22"/>
      <c r="E4398" s="24"/>
      <c r="F4398" s="22"/>
      <c r="H4398" s="21"/>
      <c r="I4398" s="22"/>
      <c r="J4398" s="22"/>
      <c r="K4398" s="24"/>
      <c r="M4398" s="21"/>
      <c r="N4398" s="22"/>
      <c r="O4398" s="22"/>
      <c r="P4398" s="49"/>
      <c r="Q4398" s="49"/>
      <c r="R4398" s="188" t="str">
        <f t="shared" si="143"/>
        <v/>
      </c>
      <c r="T4398" s="21"/>
      <c r="U4398" s="22"/>
      <c r="V4398" s="24"/>
      <c r="W4398" s="24"/>
      <c r="X4398" s="24"/>
      <c r="Y4398" s="24"/>
      <c r="Z4398" s="20" t="str">
        <f t="shared" si="142"/>
        <v/>
      </c>
    </row>
    <row r="4399" spans="1:26" x14ac:dyDescent="0.2">
      <c r="A4399" s="21"/>
      <c r="B4399" s="20"/>
      <c r="C4399" s="22"/>
      <c r="D4399" s="22"/>
      <c r="E4399" s="24"/>
      <c r="F4399" s="22"/>
      <c r="H4399" s="21"/>
      <c r="I4399" s="22"/>
      <c r="J4399" s="22"/>
      <c r="K4399" s="24"/>
      <c r="M4399" s="21"/>
      <c r="N4399" s="22"/>
      <c r="O4399" s="22"/>
      <c r="P4399" s="49"/>
      <c r="Q4399" s="49"/>
      <c r="R4399" s="188" t="str">
        <f t="shared" si="143"/>
        <v/>
      </c>
      <c r="T4399" s="21"/>
      <c r="U4399" s="22"/>
      <c r="V4399" s="24"/>
      <c r="W4399" s="24"/>
      <c r="X4399" s="24"/>
      <c r="Y4399" s="24"/>
      <c r="Z4399" s="20" t="str">
        <f t="shared" si="142"/>
        <v/>
      </c>
    </row>
    <row r="4400" spans="1:26" x14ac:dyDescent="0.2">
      <c r="A4400" s="21"/>
      <c r="B4400" s="20"/>
      <c r="C4400" s="22"/>
      <c r="D4400" s="22"/>
      <c r="E4400" s="24"/>
      <c r="F4400" s="22"/>
      <c r="H4400" s="21"/>
      <c r="I4400" s="22"/>
      <c r="J4400" s="22"/>
      <c r="K4400" s="24"/>
      <c r="M4400" s="21"/>
      <c r="N4400" s="22"/>
      <c r="O4400" s="22"/>
      <c r="P4400" s="49"/>
      <c r="Q4400" s="49"/>
      <c r="R4400" s="188" t="str">
        <f t="shared" si="143"/>
        <v/>
      </c>
      <c r="T4400" s="21"/>
      <c r="U4400" s="22"/>
      <c r="V4400" s="24"/>
      <c r="W4400" s="24"/>
      <c r="X4400" s="24"/>
      <c r="Y4400" s="24"/>
      <c r="Z4400" s="20" t="str">
        <f t="shared" si="142"/>
        <v/>
      </c>
    </row>
    <row r="4401" spans="1:26" x14ac:dyDescent="0.2">
      <c r="A4401" s="21"/>
      <c r="B4401" s="20"/>
      <c r="C4401" s="22"/>
      <c r="D4401" s="22"/>
      <c r="E4401" s="24"/>
      <c r="F4401" s="22"/>
      <c r="H4401" s="21"/>
      <c r="I4401" s="22"/>
      <c r="J4401" s="22"/>
      <c r="K4401" s="24"/>
      <c r="M4401" s="21"/>
      <c r="N4401" s="22"/>
      <c r="O4401" s="22"/>
      <c r="P4401" s="49"/>
      <c r="Q4401" s="49"/>
      <c r="R4401" s="188" t="str">
        <f t="shared" si="143"/>
        <v/>
      </c>
      <c r="T4401" s="21"/>
      <c r="U4401" s="22"/>
      <c r="V4401" s="24"/>
      <c r="W4401" s="24"/>
      <c r="X4401" s="24"/>
      <c r="Y4401" s="24"/>
      <c r="Z4401" s="20" t="str">
        <f t="shared" si="142"/>
        <v/>
      </c>
    </row>
    <row r="4402" spans="1:26" x14ac:dyDescent="0.2">
      <c r="A4402" s="21"/>
      <c r="B4402" s="20"/>
      <c r="C4402" s="22"/>
      <c r="D4402" s="22"/>
      <c r="E4402" s="24"/>
      <c r="F4402" s="22"/>
      <c r="H4402" s="21"/>
      <c r="I4402" s="22"/>
      <c r="J4402" s="22"/>
      <c r="K4402" s="24"/>
      <c r="M4402" s="21"/>
      <c r="N4402" s="22"/>
      <c r="O4402" s="22"/>
      <c r="P4402" s="49"/>
      <c r="Q4402" s="49"/>
      <c r="R4402" s="188" t="str">
        <f t="shared" si="143"/>
        <v/>
      </c>
      <c r="T4402" s="21"/>
      <c r="U4402" s="22"/>
      <c r="V4402" s="24"/>
      <c r="W4402" s="24"/>
      <c r="X4402" s="24"/>
      <c r="Y4402" s="24"/>
      <c r="Z4402" s="20" t="str">
        <f t="shared" si="142"/>
        <v/>
      </c>
    </row>
    <row r="4403" spans="1:26" x14ac:dyDescent="0.2">
      <c r="A4403" s="21"/>
      <c r="B4403" s="20"/>
      <c r="C4403" s="22"/>
      <c r="D4403" s="22"/>
      <c r="E4403" s="24"/>
      <c r="F4403" s="22"/>
      <c r="H4403" s="21"/>
      <c r="I4403" s="22"/>
      <c r="J4403" s="22"/>
      <c r="K4403" s="24"/>
      <c r="M4403" s="21"/>
      <c r="N4403" s="22"/>
      <c r="O4403" s="22"/>
      <c r="P4403" s="49"/>
      <c r="Q4403" s="49"/>
      <c r="R4403" s="188" t="str">
        <f t="shared" si="143"/>
        <v/>
      </c>
      <c r="T4403" s="21"/>
      <c r="U4403" s="22"/>
      <c r="V4403" s="24"/>
      <c r="W4403" s="24"/>
      <c r="X4403" s="24"/>
      <c r="Y4403" s="24"/>
      <c r="Z4403" s="20" t="str">
        <f t="shared" si="142"/>
        <v/>
      </c>
    </row>
    <row r="4404" spans="1:26" x14ac:dyDescent="0.2">
      <c r="A4404" s="21"/>
      <c r="B4404" s="20"/>
      <c r="C4404" s="22"/>
      <c r="D4404" s="22"/>
      <c r="E4404" s="24"/>
      <c r="F4404" s="22"/>
      <c r="H4404" s="21"/>
      <c r="I4404" s="22"/>
      <c r="J4404" s="22"/>
      <c r="K4404" s="24"/>
      <c r="M4404" s="21"/>
      <c r="N4404" s="22"/>
      <c r="O4404" s="22"/>
      <c r="P4404" s="49"/>
      <c r="Q4404" s="49"/>
      <c r="R4404" s="188" t="str">
        <f t="shared" si="143"/>
        <v/>
      </c>
      <c r="T4404" s="21"/>
      <c r="U4404" s="22"/>
      <c r="V4404" s="24"/>
      <c r="W4404" s="24"/>
      <c r="X4404" s="24"/>
      <c r="Y4404" s="24"/>
      <c r="Z4404" s="20" t="str">
        <f t="shared" si="142"/>
        <v/>
      </c>
    </row>
    <row r="4405" spans="1:26" x14ac:dyDescent="0.2">
      <c r="A4405" s="21"/>
      <c r="B4405" s="20"/>
      <c r="C4405" s="22"/>
      <c r="D4405" s="22"/>
      <c r="E4405" s="24"/>
      <c r="F4405" s="22"/>
      <c r="H4405" s="21"/>
      <c r="I4405" s="22"/>
      <c r="J4405" s="22"/>
      <c r="K4405" s="24"/>
      <c r="M4405" s="21"/>
      <c r="N4405" s="22"/>
      <c r="O4405" s="22"/>
      <c r="P4405" s="49"/>
      <c r="Q4405" s="49"/>
      <c r="R4405" s="188" t="str">
        <f t="shared" si="143"/>
        <v/>
      </c>
      <c r="T4405" s="21"/>
      <c r="U4405" s="22"/>
      <c r="V4405" s="24"/>
      <c r="W4405" s="24"/>
      <c r="X4405" s="24"/>
      <c r="Y4405" s="24"/>
      <c r="Z4405" s="20" t="str">
        <f t="shared" si="142"/>
        <v/>
      </c>
    </row>
    <row r="4406" spans="1:26" x14ac:dyDescent="0.2">
      <c r="A4406" s="21"/>
      <c r="B4406" s="20"/>
      <c r="C4406" s="22"/>
      <c r="D4406" s="22"/>
      <c r="E4406" s="24"/>
      <c r="F4406" s="22"/>
      <c r="H4406" s="21"/>
      <c r="I4406" s="22"/>
      <c r="J4406" s="22"/>
      <c r="K4406" s="24"/>
      <c r="M4406" s="21"/>
      <c r="N4406" s="22"/>
      <c r="O4406" s="22"/>
      <c r="P4406" s="49"/>
      <c r="Q4406" s="49"/>
      <c r="R4406" s="188" t="str">
        <f t="shared" si="143"/>
        <v/>
      </c>
      <c r="T4406" s="21"/>
      <c r="U4406" s="22"/>
      <c r="V4406" s="24"/>
      <c r="W4406" s="24"/>
      <c r="X4406" s="24"/>
      <c r="Y4406" s="24"/>
      <c r="Z4406" s="20" t="str">
        <f t="shared" si="142"/>
        <v/>
      </c>
    </row>
    <row r="4407" spans="1:26" x14ac:dyDescent="0.2">
      <c r="A4407" s="21"/>
      <c r="B4407" s="20"/>
      <c r="C4407" s="22"/>
      <c r="D4407" s="22"/>
      <c r="E4407" s="24"/>
      <c r="F4407" s="22"/>
      <c r="H4407" s="21"/>
      <c r="I4407" s="22"/>
      <c r="J4407" s="22"/>
      <c r="K4407" s="24"/>
      <c r="M4407" s="21"/>
      <c r="N4407" s="22"/>
      <c r="O4407" s="22"/>
      <c r="P4407" s="49"/>
      <c r="Q4407" s="49"/>
      <c r="R4407" s="188" t="str">
        <f t="shared" si="143"/>
        <v/>
      </c>
      <c r="T4407" s="21"/>
      <c r="U4407" s="22"/>
      <c r="V4407" s="24"/>
      <c r="W4407" s="24"/>
      <c r="X4407" s="24"/>
      <c r="Y4407" s="24"/>
      <c r="Z4407" s="20" t="str">
        <f t="shared" si="142"/>
        <v/>
      </c>
    </row>
    <row r="4408" spans="1:26" x14ac:dyDescent="0.2">
      <c r="A4408" s="21"/>
      <c r="B4408" s="20"/>
      <c r="C4408" s="22"/>
      <c r="D4408" s="22"/>
      <c r="E4408" s="24"/>
      <c r="F4408" s="22"/>
      <c r="H4408" s="21"/>
      <c r="I4408" s="22"/>
      <c r="J4408" s="22"/>
      <c r="K4408" s="24"/>
      <c r="M4408" s="21"/>
      <c r="N4408" s="22"/>
      <c r="O4408" s="22"/>
      <c r="P4408" s="49"/>
      <c r="Q4408" s="49"/>
      <c r="R4408" s="188" t="str">
        <f t="shared" si="143"/>
        <v/>
      </c>
      <c r="T4408" s="21"/>
      <c r="U4408" s="22"/>
      <c r="V4408" s="24"/>
      <c r="W4408" s="24"/>
      <c r="X4408" s="24"/>
      <c r="Y4408" s="24"/>
      <c r="Z4408" s="20" t="str">
        <f t="shared" si="142"/>
        <v/>
      </c>
    </row>
    <row r="4409" spans="1:26" x14ac:dyDescent="0.2">
      <c r="A4409" s="21"/>
      <c r="B4409" s="20"/>
      <c r="C4409" s="22"/>
      <c r="D4409" s="22"/>
      <c r="E4409" s="24"/>
      <c r="F4409" s="22"/>
      <c r="H4409" s="21"/>
      <c r="I4409" s="22"/>
      <c r="J4409" s="22"/>
      <c r="K4409" s="24"/>
      <c r="M4409" s="21"/>
      <c r="N4409" s="22"/>
      <c r="O4409" s="22"/>
      <c r="P4409" s="49"/>
      <c r="Q4409" s="49"/>
      <c r="R4409" s="188" t="str">
        <f t="shared" si="143"/>
        <v/>
      </c>
      <c r="T4409" s="21"/>
      <c r="U4409" s="22"/>
      <c r="V4409" s="24"/>
      <c r="W4409" s="24"/>
      <c r="X4409" s="24"/>
      <c r="Y4409" s="24"/>
      <c r="Z4409" s="20" t="str">
        <f t="shared" si="142"/>
        <v/>
      </c>
    </row>
    <row r="4410" spans="1:26" x14ac:dyDescent="0.2">
      <c r="A4410" s="21"/>
      <c r="B4410" s="20"/>
      <c r="C4410" s="22"/>
      <c r="D4410" s="22"/>
      <c r="E4410" s="24"/>
      <c r="F4410" s="22"/>
      <c r="H4410" s="21"/>
      <c r="I4410" s="22"/>
      <c r="J4410" s="22"/>
      <c r="K4410" s="24"/>
      <c r="M4410" s="21"/>
      <c r="N4410" s="22"/>
      <c r="O4410" s="22"/>
      <c r="P4410" s="49"/>
      <c r="Q4410" s="49"/>
      <c r="R4410" s="188" t="str">
        <f t="shared" si="143"/>
        <v/>
      </c>
      <c r="T4410" s="21"/>
      <c r="U4410" s="22"/>
      <c r="V4410" s="24"/>
      <c r="W4410" s="24"/>
      <c r="X4410" s="24"/>
      <c r="Y4410" s="24"/>
      <c r="Z4410" s="20" t="str">
        <f t="shared" si="142"/>
        <v/>
      </c>
    </row>
    <row r="4411" spans="1:26" x14ac:dyDescent="0.2">
      <c r="A4411" s="21"/>
      <c r="B4411" s="20"/>
      <c r="C4411" s="22"/>
      <c r="D4411" s="22"/>
      <c r="E4411" s="24"/>
      <c r="F4411" s="22"/>
      <c r="H4411" s="21"/>
      <c r="I4411" s="22"/>
      <c r="J4411" s="22"/>
      <c r="K4411" s="24"/>
      <c r="M4411" s="21"/>
      <c r="N4411" s="22"/>
      <c r="O4411" s="22"/>
      <c r="P4411" s="49"/>
      <c r="Q4411" s="49"/>
      <c r="R4411" s="188" t="str">
        <f t="shared" si="143"/>
        <v/>
      </c>
      <c r="T4411" s="21"/>
      <c r="U4411" s="22"/>
      <c r="V4411" s="24"/>
      <c r="W4411" s="24"/>
      <c r="X4411" s="24"/>
      <c r="Y4411" s="24"/>
      <c r="Z4411" s="20" t="str">
        <f t="shared" si="142"/>
        <v/>
      </c>
    </row>
    <row r="4412" spans="1:26" x14ac:dyDescent="0.2">
      <c r="A4412" s="21"/>
      <c r="B4412" s="20"/>
      <c r="C4412" s="22"/>
      <c r="D4412" s="22"/>
      <c r="E4412" s="24"/>
      <c r="F4412" s="22"/>
      <c r="H4412" s="21"/>
      <c r="I4412" s="22"/>
      <c r="J4412" s="22"/>
      <c r="K4412" s="24"/>
      <c r="M4412" s="21"/>
      <c r="N4412" s="22"/>
      <c r="O4412" s="22"/>
      <c r="P4412" s="49"/>
      <c r="Q4412" s="49"/>
      <c r="R4412" s="188" t="str">
        <f t="shared" si="143"/>
        <v/>
      </c>
      <c r="T4412" s="21"/>
      <c r="U4412" s="22"/>
      <c r="V4412" s="24"/>
      <c r="W4412" s="24"/>
      <c r="X4412" s="24"/>
      <c r="Y4412" s="24"/>
      <c r="Z4412" s="20" t="str">
        <f t="shared" si="142"/>
        <v/>
      </c>
    </row>
    <row r="4413" spans="1:26" x14ac:dyDescent="0.2">
      <c r="A4413" s="21"/>
      <c r="B4413" s="20"/>
      <c r="C4413" s="22"/>
      <c r="D4413" s="22"/>
      <c r="E4413" s="24"/>
      <c r="F4413" s="22"/>
      <c r="H4413" s="21"/>
      <c r="I4413" s="22"/>
      <c r="J4413" s="22"/>
      <c r="K4413" s="24"/>
      <c r="M4413" s="21"/>
      <c r="N4413" s="22"/>
      <c r="O4413" s="22"/>
      <c r="P4413" s="49"/>
      <c r="Q4413" s="49"/>
      <c r="R4413" s="188" t="str">
        <f t="shared" si="143"/>
        <v/>
      </c>
      <c r="T4413" s="21"/>
      <c r="U4413" s="22"/>
      <c r="V4413" s="24"/>
      <c r="W4413" s="24"/>
      <c r="X4413" s="24"/>
      <c r="Y4413" s="24"/>
      <c r="Z4413" s="20" t="str">
        <f t="shared" si="142"/>
        <v/>
      </c>
    </row>
    <row r="4414" spans="1:26" x14ac:dyDescent="0.2">
      <c r="A4414" s="21"/>
      <c r="B4414" s="20"/>
      <c r="C4414" s="22"/>
      <c r="D4414" s="22"/>
      <c r="E4414" s="24"/>
      <c r="F4414" s="22"/>
      <c r="H4414" s="21"/>
      <c r="I4414" s="22"/>
      <c r="J4414" s="22"/>
      <c r="K4414" s="24"/>
      <c r="M4414" s="21"/>
      <c r="N4414" s="22"/>
      <c r="O4414" s="22"/>
      <c r="P4414" s="49"/>
      <c r="Q4414" s="49"/>
      <c r="R4414" s="188" t="str">
        <f t="shared" si="143"/>
        <v/>
      </c>
      <c r="T4414" s="21"/>
      <c r="U4414" s="22"/>
      <c r="V4414" s="24"/>
      <c r="W4414" s="24"/>
      <c r="X4414" s="24"/>
      <c r="Y4414" s="24"/>
      <c r="Z4414" s="20" t="str">
        <f t="shared" si="142"/>
        <v/>
      </c>
    </row>
    <row r="4415" spans="1:26" x14ac:dyDescent="0.2">
      <c r="A4415" s="21"/>
      <c r="B4415" s="20"/>
      <c r="C4415" s="22"/>
      <c r="D4415" s="22"/>
      <c r="E4415" s="24"/>
      <c r="F4415" s="22"/>
      <c r="H4415" s="21"/>
      <c r="I4415" s="22"/>
      <c r="J4415" s="22"/>
      <c r="K4415" s="24"/>
      <c r="M4415" s="21"/>
      <c r="N4415" s="22"/>
      <c r="O4415" s="22"/>
      <c r="P4415" s="49"/>
      <c r="Q4415" s="49"/>
      <c r="R4415" s="188" t="str">
        <f t="shared" si="143"/>
        <v/>
      </c>
      <c r="T4415" s="21"/>
      <c r="U4415" s="22"/>
      <c r="V4415" s="24"/>
      <c r="W4415" s="24"/>
      <c r="X4415" s="24"/>
      <c r="Y4415" s="24"/>
      <c r="Z4415" s="20" t="str">
        <f t="shared" si="142"/>
        <v/>
      </c>
    </row>
    <row r="4416" spans="1:26" x14ac:dyDescent="0.2">
      <c r="A4416" s="21"/>
      <c r="B4416" s="20"/>
      <c r="C4416" s="22"/>
      <c r="D4416" s="22"/>
      <c r="E4416" s="24"/>
      <c r="F4416" s="22"/>
      <c r="H4416" s="21"/>
      <c r="I4416" s="22"/>
      <c r="J4416" s="22"/>
      <c r="K4416" s="24"/>
      <c r="M4416" s="21"/>
      <c r="N4416" s="22"/>
      <c r="O4416" s="22"/>
      <c r="P4416" s="49"/>
      <c r="Q4416" s="49"/>
      <c r="R4416" s="188" t="str">
        <f t="shared" si="143"/>
        <v/>
      </c>
      <c r="T4416" s="21"/>
      <c r="U4416" s="22"/>
      <c r="V4416" s="24"/>
      <c r="W4416" s="24"/>
      <c r="X4416" s="24"/>
      <c r="Y4416" s="24"/>
      <c r="Z4416" s="20" t="str">
        <f t="shared" si="142"/>
        <v/>
      </c>
    </row>
    <row r="4417" spans="1:26" x14ac:dyDescent="0.2">
      <c r="A4417" s="21"/>
      <c r="B4417" s="20"/>
      <c r="C4417" s="22"/>
      <c r="D4417" s="22"/>
      <c r="E4417" s="24"/>
      <c r="F4417" s="22"/>
      <c r="H4417" s="21"/>
      <c r="I4417" s="22"/>
      <c r="J4417" s="22"/>
      <c r="K4417" s="24"/>
      <c r="M4417" s="21"/>
      <c r="N4417" s="22"/>
      <c r="O4417" s="22"/>
      <c r="P4417" s="49"/>
      <c r="Q4417" s="49"/>
      <c r="R4417" s="188" t="str">
        <f t="shared" si="143"/>
        <v/>
      </c>
      <c r="T4417" s="21"/>
      <c r="U4417" s="22"/>
      <c r="V4417" s="24"/>
      <c r="W4417" s="24"/>
      <c r="X4417" s="24"/>
      <c r="Y4417" s="24"/>
      <c r="Z4417" s="20" t="str">
        <f t="shared" si="142"/>
        <v/>
      </c>
    </row>
    <row r="4418" spans="1:26" x14ac:dyDescent="0.2">
      <c r="A4418" s="21"/>
      <c r="B4418" s="20"/>
      <c r="C4418" s="22"/>
      <c r="D4418" s="22"/>
      <c r="E4418" s="24"/>
      <c r="F4418" s="22"/>
      <c r="H4418" s="21"/>
      <c r="I4418" s="22"/>
      <c r="J4418" s="22"/>
      <c r="K4418" s="24"/>
      <c r="M4418" s="21"/>
      <c r="N4418" s="22"/>
      <c r="O4418" s="22"/>
      <c r="P4418" s="49"/>
      <c r="Q4418" s="49"/>
      <c r="R4418" s="188" t="str">
        <f t="shared" si="143"/>
        <v/>
      </c>
      <c r="T4418" s="21"/>
      <c r="U4418" s="22"/>
      <c r="V4418" s="24"/>
      <c r="W4418" s="24"/>
      <c r="X4418" s="24"/>
      <c r="Y4418" s="24"/>
      <c r="Z4418" s="20" t="str">
        <f t="shared" si="142"/>
        <v/>
      </c>
    </row>
    <row r="4419" spans="1:26" x14ac:dyDescent="0.2">
      <c r="A4419" s="21"/>
      <c r="B4419" s="20"/>
      <c r="C4419" s="22"/>
      <c r="D4419" s="22"/>
      <c r="E4419" s="24"/>
      <c r="F4419" s="22"/>
      <c r="H4419" s="21"/>
      <c r="I4419" s="22"/>
      <c r="J4419" s="22"/>
      <c r="K4419" s="24"/>
      <c r="M4419" s="21"/>
      <c r="N4419" s="22"/>
      <c r="O4419" s="22"/>
      <c r="P4419" s="49"/>
      <c r="Q4419" s="49"/>
      <c r="R4419" s="188" t="str">
        <f t="shared" si="143"/>
        <v/>
      </c>
      <c r="T4419" s="21"/>
      <c r="U4419" s="22"/>
      <c r="V4419" s="24"/>
      <c r="W4419" s="24"/>
      <c r="X4419" s="24"/>
      <c r="Y4419" s="24"/>
      <c r="Z4419" s="20" t="str">
        <f t="shared" si="142"/>
        <v/>
      </c>
    </row>
    <row r="4420" spans="1:26" x14ac:dyDescent="0.2">
      <c r="A4420" s="21"/>
      <c r="B4420" s="20"/>
      <c r="C4420" s="22"/>
      <c r="D4420" s="22"/>
      <c r="E4420" s="24"/>
      <c r="F4420" s="22"/>
      <c r="H4420" s="21"/>
      <c r="I4420" s="22"/>
      <c r="J4420" s="22"/>
      <c r="K4420" s="24"/>
      <c r="M4420" s="21"/>
      <c r="N4420" s="22"/>
      <c r="O4420" s="22"/>
      <c r="P4420" s="49"/>
      <c r="Q4420" s="49"/>
      <c r="R4420" s="188" t="str">
        <f t="shared" si="143"/>
        <v/>
      </c>
      <c r="T4420" s="21"/>
      <c r="U4420" s="22"/>
      <c r="V4420" s="24"/>
      <c r="W4420" s="24"/>
      <c r="X4420" s="24"/>
      <c r="Y4420" s="24"/>
      <c r="Z4420" s="20" t="str">
        <f t="shared" si="142"/>
        <v/>
      </c>
    </row>
    <row r="4421" spans="1:26" x14ac:dyDescent="0.2">
      <c r="A4421" s="21"/>
      <c r="B4421" s="20"/>
      <c r="C4421" s="22"/>
      <c r="D4421" s="22"/>
      <c r="E4421" s="24"/>
      <c r="F4421" s="22"/>
      <c r="H4421" s="21"/>
      <c r="I4421" s="22"/>
      <c r="J4421" s="22"/>
      <c r="K4421" s="24"/>
      <c r="M4421" s="21"/>
      <c r="N4421" s="22"/>
      <c r="O4421" s="22"/>
      <c r="P4421" s="49"/>
      <c r="Q4421" s="49"/>
      <c r="R4421" s="188" t="str">
        <f t="shared" si="143"/>
        <v/>
      </c>
      <c r="T4421" s="21"/>
      <c r="U4421" s="22"/>
      <c r="V4421" s="24"/>
      <c r="W4421" s="24"/>
      <c r="X4421" s="24"/>
      <c r="Y4421" s="24"/>
      <c r="Z4421" s="20" t="str">
        <f t="shared" si="142"/>
        <v/>
      </c>
    </row>
    <row r="4422" spans="1:26" x14ac:dyDescent="0.2">
      <c r="A4422" s="21"/>
      <c r="B4422" s="20"/>
      <c r="C4422" s="22"/>
      <c r="D4422" s="22"/>
      <c r="E4422" s="24"/>
      <c r="F4422" s="22"/>
      <c r="H4422" s="21"/>
      <c r="I4422" s="22"/>
      <c r="J4422" s="22"/>
      <c r="K4422" s="24"/>
      <c r="M4422" s="21"/>
      <c r="N4422" s="22"/>
      <c r="O4422" s="22"/>
      <c r="P4422" s="49"/>
      <c r="Q4422" s="49"/>
      <c r="R4422" s="188" t="str">
        <f t="shared" si="143"/>
        <v/>
      </c>
      <c r="T4422" s="21"/>
      <c r="U4422" s="22"/>
      <c r="V4422" s="24"/>
      <c r="W4422" s="24"/>
      <c r="X4422" s="24"/>
      <c r="Y4422" s="24"/>
      <c r="Z4422" s="20" t="str">
        <f t="shared" si="142"/>
        <v/>
      </c>
    </row>
    <row r="4423" spans="1:26" x14ac:dyDescent="0.2">
      <c r="A4423" s="21"/>
      <c r="B4423" s="20"/>
      <c r="C4423" s="22"/>
      <c r="D4423" s="22"/>
      <c r="E4423" s="24"/>
      <c r="F4423" s="22"/>
      <c r="H4423" s="21"/>
      <c r="I4423" s="22"/>
      <c r="J4423" s="22"/>
      <c r="K4423" s="24"/>
      <c r="M4423" s="21"/>
      <c r="N4423" s="22"/>
      <c r="O4423" s="22"/>
      <c r="P4423" s="49"/>
      <c r="Q4423" s="49"/>
      <c r="R4423" s="188" t="str">
        <f t="shared" si="143"/>
        <v/>
      </c>
      <c r="T4423" s="21"/>
      <c r="U4423" s="22"/>
      <c r="V4423" s="24"/>
      <c r="W4423" s="24"/>
      <c r="X4423" s="24"/>
      <c r="Y4423" s="24"/>
      <c r="Z4423" s="20" t="str">
        <f t="shared" si="142"/>
        <v/>
      </c>
    </row>
    <row r="4424" spans="1:26" x14ac:dyDescent="0.2">
      <c r="A4424" s="21"/>
      <c r="B4424" s="20"/>
      <c r="C4424" s="22"/>
      <c r="D4424" s="22"/>
      <c r="E4424" s="24"/>
      <c r="F4424" s="22"/>
      <c r="H4424" s="21"/>
      <c r="I4424" s="22"/>
      <c r="J4424" s="22"/>
      <c r="K4424" s="24"/>
      <c r="M4424" s="21"/>
      <c r="N4424" s="22"/>
      <c r="O4424" s="22"/>
      <c r="P4424" s="49"/>
      <c r="Q4424" s="49"/>
      <c r="R4424" s="188" t="str">
        <f t="shared" si="143"/>
        <v/>
      </c>
      <c r="T4424" s="21"/>
      <c r="U4424" s="22"/>
      <c r="V4424" s="24"/>
      <c r="W4424" s="24"/>
      <c r="X4424" s="24"/>
      <c r="Y4424" s="24"/>
      <c r="Z4424" s="20" t="str">
        <f t="shared" si="142"/>
        <v/>
      </c>
    </row>
    <row r="4425" spans="1:26" x14ac:dyDescent="0.2">
      <c r="A4425" s="21"/>
      <c r="B4425" s="20"/>
      <c r="C4425" s="22"/>
      <c r="D4425" s="22"/>
      <c r="E4425" s="24"/>
      <c r="F4425" s="22"/>
      <c r="H4425" s="21"/>
      <c r="I4425" s="22"/>
      <c r="J4425" s="22"/>
      <c r="K4425" s="24"/>
      <c r="M4425" s="21"/>
      <c r="N4425" s="22"/>
      <c r="O4425" s="22"/>
      <c r="P4425" s="49"/>
      <c r="Q4425" s="49"/>
      <c r="R4425" s="188" t="str">
        <f t="shared" si="143"/>
        <v/>
      </c>
      <c r="T4425" s="21"/>
      <c r="U4425" s="22"/>
      <c r="V4425" s="24"/>
      <c r="W4425" s="24"/>
      <c r="X4425" s="24"/>
      <c r="Y4425" s="24"/>
      <c r="Z4425" s="20" t="str">
        <f t="shared" si="142"/>
        <v/>
      </c>
    </row>
    <row r="4426" spans="1:26" x14ac:dyDescent="0.2">
      <c r="A4426" s="21"/>
      <c r="B4426" s="20"/>
      <c r="C4426" s="22"/>
      <c r="D4426" s="22"/>
      <c r="E4426" s="24"/>
      <c r="F4426" s="22"/>
      <c r="H4426" s="21"/>
      <c r="I4426" s="22"/>
      <c r="J4426" s="22"/>
      <c r="K4426" s="24"/>
      <c r="M4426" s="21"/>
      <c r="N4426" s="22"/>
      <c r="O4426" s="22"/>
      <c r="P4426" s="49"/>
      <c r="Q4426" s="49"/>
      <c r="R4426" s="188" t="str">
        <f t="shared" si="143"/>
        <v/>
      </c>
      <c r="T4426" s="21"/>
      <c r="U4426" s="22"/>
      <c r="V4426" s="24"/>
      <c r="W4426" s="24"/>
      <c r="X4426" s="24"/>
      <c r="Y4426" s="24"/>
      <c r="Z4426" s="20" t="str">
        <f t="shared" si="142"/>
        <v/>
      </c>
    </row>
    <row r="4427" spans="1:26" x14ac:dyDescent="0.2">
      <c r="A4427" s="21"/>
      <c r="B4427" s="20"/>
      <c r="C4427" s="22"/>
      <c r="D4427" s="22"/>
      <c r="E4427" s="24"/>
      <c r="F4427" s="22"/>
      <c r="H4427" s="21"/>
      <c r="I4427" s="22"/>
      <c r="J4427" s="22"/>
      <c r="K4427" s="24"/>
      <c r="M4427" s="21"/>
      <c r="N4427" s="22"/>
      <c r="O4427" s="22"/>
      <c r="P4427" s="49"/>
      <c r="Q4427" s="49"/>
      <c r="R4427" s="188" t="str">
        <f t="shared" si="143"/>
        <v/>
      </c>
      <c r="T4427" s="21"/>
      <c r="U4427" s="22"/>
      <c r="V4427" s="24"/>
      <c r="W4427" s="24"/>
      <c r="X4427" s="24"/>
      <c r="Y4427" s="24"/>
      <c r="Z4427" s="20" t="str">
        <f t="shared" si="142"/>
        <v/>
      </c>
    </row>
    <row r="4428" spans="1:26" x14ac:dyDescent="0.2">
      <c r="A4428" s="21"/>
      <c r="B4428" s="20"/>
      <c r="C4428" s="22"/>
      <c r="D4428" s="22"/>
      <c r="E4428" s="24"/>
      <c r="F4428" s="22"/>
      <c r="H4428" s="21"/>
      <c r="I4428" s="22"/>
      <c r="J4428" s="22"/>
      <c r="K4428" s="24"/>
      <c r="M4428" s="21"/>
      <c r="N4428" s="22"/>
      <c r="O4428" s="22"/>
      <c r="P4428" s="49"/>
      <c r="Q4428" s="49"/>
      <c r="R4428" s="188" t="str">
        <f t="shared" si="143"/>
        <v/>
      </c>
      <c r="T4428" s="21"/>
      <c r="U4428" s="22"/>
      <c r="V4428" s="24"/>
      <c r="W4428" s="24"/>
      <c r="X4428" s="24"/>
      <c r="Y4428" s="24"/>
      <c r="Z4428" s="20" t="str">
        <f t="shared" si="142"/>
        <v/>
      </c>
    </row>
    <row r="4429" spans="1:26" x14ac:dyDescent="0.2">
      <c r="A4429" s="21"/>
      <c r="B4429" s="20"/>
      <c r="C4429" s="22"/>
      <c r="D4429" s="22"/>
      <c r="E4429" s="24"/>
      <c r="F4429" s="22"/>
      <c r="H4429" s="21"/>
      <c r="I4429" s="22"/>
      <c r="J4429" s="22"/>
      <c r="K4429" s="24"/>
      <c r="M4429" s="21"/>
      <c r="N4429" s="22"/>
      <c r="O4429" s="22"/>
      <c r="P4429" s="49"/>
      <c r="Q4429" s="49"/>
      <c r="R4429" s="188" t="str">
        <f t="shared" si="143"/>
        <v/>
      </c>
      <c r="T4429" s="21"/>
      <c r="U4429" s="22"/>
      <c r="V4429" s="24"/>
      <c r="W4429" s="24"/>
      <c r="X4429" s="24"/>
      <c r="Y4429" s="24"/>
      <c r="Z4429" s="20" t="str">
        <f t="shared" si="142"/>
        <v/>
      </c>
    </row>
    <row r="4430" spans="1:26" x14ac:dyDescent="0.2">
      <c r="A4430" s="21"/>
      <c r="B4430" s="20"/>
      <c r="C4430" s="22"/>
      <c r="D4430" s="22"/>
      <c r="E4430" s="24"/>
      <c r="F4430" s="22"/>
      <c r="H4430" s="21"/>
      <c r="I4430" s="22"/>
      <c r="J4430" s="22"/>
      <c r="K4430" s="24"/>
      <c r="M4430" s="21"/>
      <c r="N4430" s="22"/>
      <c r="O4430" s="22"/>
      <c r="P4430" s="49"/>
      <c r="Q4430" s="49"/>
      <c r="R4430" s="188" t="str">
        <f t="shared" si="143"/>
        <v/>
      </c>
      <c r="T4430" s="21"/>
      <c r="U4430" s="22"/>
      <c r="V4430" s="24"/>
      <c r="W4430" s="24"/>
      <c r="X4430" s="24"/>
      <c r="Y4430" s="24"/>
      <c r="Z4430" s="20" t="str">
        <f t="shared" si="142"/>
        <v/>
      </c>
    </row>
    <row r="4431" spans="1:26" x14ac:dyDescent="0.2">
      <c r="A4431" s="21"/>
      <c r="B4431" s="20"/>
      <c r="C4431" s="22"/>
      <c r="D4431" s="22"/>
      <c r="E4431" s="24"/>
      <c r="F4431" s="22"/>
      <c r="H4431" s="21"/>
      <c r="I4431" s="22"/>
      <c r="J4431" s="22"/>
      <c r="K4431" s="24"/>
      <c r="M4431" s="21"/>
      <c r="N4431" s="22"/>
      <c r="O4431" s="22"/>
      <c r="P4431" s="49"/>
      <c r="Q4431" s="49"/>
      <c r="R4431" s="188" t="str">
        <f t="shared" si="143"/>
        <v/>
      </c>
      <c r="T4431" s="21"/>
      <c r="U4431" s="22"/>
      <c r="V4431" s="24"/>
      <c r="W4431" s="24"/>
      <c r="X4431" s="24"/>
      <c r="Y4431" s="24"/>
      <c r="Z4431" s="20" t="str">
        <f t="shared" si="142"/>
        <v/>
      </c>
    </row>
    <row r="4432" spans="1:26" x14ac:dyDescent="0.2">
      <c r="A4432" s="21"/>
      <c r="B4432" s="20"/>
      <c r="C4432" s="22"/>
      <c r="D4432" s="22"/>
      <c r="E4432" s="24"/>
      <c r="F4432" s="22"/>
      <c r="H4432" s="21"/>
      <c r="I4432" s="22"/>
      <c r="J4432" s="22"/>
      <c r="K4432" s="24"/>
      <c r="M4432" s="21"/>
      <c r="N4432" s="22"/>
      <c r="O4432" s="22"/>
      <c r="P4432" s="49"/>
      <c r="Q4432" s="49"/>
      <c r="R4432" s="188" t="str">
        <f t="shared" si="143"/>
        <v/>
      </c>
      <c r="T4432" s="21"/>
      <c r="U4432" s="22"/>
      <c r="V4432" s="24"/>
      <c r="W4432" s="24"/>
      <c r="X4432" s="24"/>
      <c r="Y4432" s="24"/>
      <c r="Z4432" s="20" t="str">
        <f t="shared" si="142"/>
        <v/>
      </c>
    </row>
    <row r="4433" spans="1:26" x14ac:dyDescent="0.2">
      <c r="A4433" s="21"/>
      <c r="B4433" s="20"/>
      <c r="C4433" s="22"/>
      <c r="D4433" s="22"/>
      <c r="E4433" s="24"/>
      <c r="F4433" s="22"/>
      <c r="H4433" s="21"/>
      <c r="I4433" s="22"/>
      <c r="J4433" s="22"/>
      <c r="K4433" s="24"/>
      <c r="M4433" s="21"/>
      <c r="N4433" s="22"/>
      <c r="O4433" s="22"/>
      <c r="P4433" s="49"/>
      <c r="Q4433" s="49"/>
      <c r="R4433" s="188" t="str">
        <f t="shared" si="143"/>
        <v/>
      </c>
      <c r="T4433" s="21"/>
      <c r="U4433" s="22"/>
      <c r="V4433" s="24"/>
      <c r="W4433" s="24"/>
      <c r="X4433" s="24"/>
      <c r="Y4433" s="24"/>
      <c r="Z4433" s="20" t="str">
        <f t="shared" si="142"/>
        <v/>
      </c>
    </row>
    <row r="4434" spans="1:26" x14ac:dyDescent="0.2">
      <c r="A4434" s="21"/>
      <c r="B4434" s="20"/>
      <c r="C4434" s="22"/>
      <c r="D4434" s="22"/>
      <c r="E4434" s="24"/>
      <c r="F4434" s="22"/>
      <c r="H4434" s="21"/>
      <c r="I4434" s="22"/>
      <c r="J4434" s="22"/>
      <c r="K4434" s="24"/>
      <c r="M4434" s="21"/>
      <c r="N4434" s="22"/>
      <c r="O4434" s="22"/>
      <c r="P4434" s="49"/>
      <c r="Q4434" s="49"/>
      <c r="R4434" s="188" t="str">
        <f t="shared" si="143"/>
        <v/>
      </c>
      <c r="T4434" s="21"/>
      <c r="U4434" s="22"/>
      <c r="V4434" s="24"/>
      <c r="W4434" s="24"/>
      <c r="X4434" s="24"/>
      <c r="Y4434" s="24"/>
      <c r="Z4434" s="20" t="str">
        <f t="shared" si="142"/>
        <v/>
      </c>
    </row>
    <row r="4435" spans="1:26" x14ac:dyDescent="0.2">
      <c r="A4435" s="21"/>
      <c r="B4435" s="20"/>
      <c r="C4435" s="22"/>
      <c r="D4435" s="22"/>
      <c r="E4435" s="24"/>
      <c r="F4435" s="22"/>
      <c r="H4435" s="21"/>
      <c r="I4435" s="22"/>
      <c r="J4435" s="22"/>
      <c r="K4435" s="24"/>
      <c r="M4435" s="21"/>
      <c r="N4435" s="22"/>
      <c r="O4435" s="22"/>
      <c r="P4435" s="49"/>
      <c r="Q4435" s="49"/>
      <c r="R4435" s="188" t="str">
        <f t="shared" si="143"/>
        <v/>
      </c>
      <c r="T4435" s="21"/>
      <c r="U4435" s="22"/>
      <c r="V4435" s="24"/>
      <c r="W4435" s="24"/>
      <c r="X4435" s="24"/>
      <c r="Y4435" s="24"/>
      <c r="Z4435" s="20" t="str">
        <f t="shared" ref="Z4435:Z4498" si="144">IF(COUNT(V4435:Y4435)=0,"",SUM(V4435:Y4435))</f>
        <v/>
      </c>
    </row>
    <row r="4436" spans="1:26" x14ac:dyDescent="0.2">
      <c r="A4436" s="21"/>
      <c r="B4436" s="20"/>
      <c r="C4436" s="22"/>
      <c r="D4436" s="22"/>
      <c r="E4436" s="24"/>
      <c r="F4436" s="22"/>
      <c r="H4436" s="21"/>
      <c r="I4436" s="22"/>
      <c r="J4436" s="22"/>
      <c r="K4436" s="24"/>
      <c r="M4436" s="21"/>
      <c r="N4436" s="22"/>
      <c r="O4436" s="22"/>
      <c r="P4436" s="49"/>
      <c r="Q4436" s="49"/>
      <c r="R4436" s="188" t="str">
        <f t="shared" si="143"/>
        <v/>
      </c>
      <c r="T4436" s="21"/>
      <c r="U4436" s="22"/>
      <c r="V4436" s="24"/>
      <c r="W4436" s="24"/>
      <c r="X4436" s="24"/>
      <c r="Y4436" s="24"/>
      <c r="Z4436" s="20" t="str">
        <f t="shared" si="144"/>
        <v/>
      </c>
    </row>
    <row r="4437" spans="1:26" x14ac:dyDescent="0.2">
      <c r="A4437" s="21"/>
      <c r="B4437" s="20"/>
      <c r="C4437" s="22"/>
      <c r="D4437" s="22"/>
      <c r="E4437" s="24"/>
      <c r="F4437" s="22"/>
      <c r="H4437" s="21"/>
      <c r="I4437" s="22"/>
      <c r="J4437" s="22"/>
      <c r="K4437" s="24"/>
      <c r="M4437" s="21"/>
      <c r="N4437" s="22"/>
      <c r="O4437" s="22"/>
      <c r="P4437" s="49"/>
      <c r="Q4437" s="49"/>
      <c r="R4437" s="188" t="str">
        <f t="shared" si="143"/>
        <v/>
      </c>
      <c r="T4437" s="21"/>
      <c r="U4437" s="22"/>
      <c r="V4437" s="24"/>
      <c r="W4437" s="24"/>
      <c r="X4437" s="24"/>
      <c r="Y4437" s="24"/>
      <c r="Z4437" s="20" t="str">
        <f t="shared" si="144"/>
        <v/>
      </c>
    </row>
    <row r="4438" spans="1:26" x14ac:dyDescent="0.2">
      <c r="A4438" s="21"/>
      <c r="B4438" s="20"/>
      <c r="C4438" s="22"/>
      <c r="D4438" s="22"/>
      <c r="E4438" s="24"/>
      <c r="F4438" s="22"/>
      <c r="H4438" s="21"/>
      <c r="I4438" s="22"/>
      <c r="J4438" s="22"/>
      <c r="K4438" s="24"/>
      <c r="M4438" s="21"/>
      <c r="N4438" s="22"/>
      <c r="O4438" s="22"/>
      <c r="P4438" s="49"/>
      <c r="Q4438" s="49"/>
      <c r="R4438" s="188" t="str">
        <f t="shared" ref="R4438:R4501" si="145">IF(OR(P4438="",Q4438=""),"",IFERROR(P4438-Q4438,""))</f>
        <v/>
      </c>
      <c r="T4438" s="21"/>
      <c r="U4438" s="22"/>
      <c r="V4438" s="24"/>
      <c r="W4438" s="24"/>
      <c r="X4438" s="24"/>
      <c r="Y4438" s="24"/>
      <c r="Z4438" s="20" t="str">
        <f t="shared" si="144"/>
        <v/>
      </c>
    </row>
    <row r="4439" spans="1:26" x14ac:dyDescent="0.2">
      <c r="A4439" s="21"/>
      <c r="B4439" s="20"/>
      <c r="C4439" s="22"/>
      <c r="D4439" s="22"/>
      <c r="E4439" s="24"/>
      <c r="F4439" s="22"/>
      <c r="H4439" s="21"/>
      <c r="I4439" s="22"/>
      <c r="J4439" s="22"/>
      <c r="K4439" s="24"/>
      <c r="M4439" s="21"/>
      <c r="N4439" s="22"/>
      <c r="O4439" s="22"/>
      <c r="P4439" s="49"/>
      <c r="Q4439" s="49"/>
      <c r="R4439" s="188" t="str">
        <f t="shared" si="145"/>
        <v/>
      </c>
      <c r="T4439" s="21"/>
      <c r="U4439" s="22"/>
      <c r="V4439" s="24"/>
      <c r="W4439" s="24"/>
      <c r="X4439" s="24"/>
      <c r="Y4439" s="24"/>
      <c r="Z4439" s="20" t="str">
        <f t="shared" si="144"/>
        <v/>
      </c>
    </row>
    <row r="4440" spans="1:26" x14ac:dyDescent="0.2">
      <c r="A4440" s="21"/>
      <c r="B4440" s="20"/>
      <c r="C4440" s="22"/>
      <c r="D4440" s="22"/>
      <c r="E4440" s="24"/>
      <c r="F4440" s="22"/>
      <c r="H4440" s="21"/>
      <c r="I4440" s="22"/>
      <c r="J4440" s="22"/>
      <c r="K4440" s="24"/>
      <c r="M4440" s="21"/>
      <c r="N4440" s="22"/>
      <c r="O4440" s="22"/>
      <c r="P4440" s="49"/>
      <c r="Q4440" s="49"/>
      <c r="R4440" s="188" t="str">
        <f t="shared" si="145"/>
        <v/>
      </c>
      <c r="T4440" s="21"/>
      <c r="U4440" s="22"/>
      <c r="V4440" s="24"/>
      <c r="W4440" s="24"/>
      <c r="X4440" s="24"/>
      <c r="Y4440" s="24"/>
      <c r="Z4440" s="20" t="str">
        <f t="shared" si="144"/>
        <v/>
      </c>
    </row>
    <row r="4441" spans="1:26" x14ac:dyDescent="0.2">
      <c r="A4441" s="21"/>
      <c r="B4441" s="20"/>
      <c r="C4441" s="22"/>
      <c r="D4441" s="22"/>
      <c r="E4441" s="24"/>
      <c r="F4441" s="22"/>
      <c r="H4441" s="21"/>
      <c r="I4441" s="22"/>
      <c r="J4441" s="22"/>
      <c r="K4441" s="24"/>
      <c r="M4441" s="21"/>
      <c r="N4441" s="22"/>
      <c r="O4441" s="22"/>
      <c r="P4441" s="49"/>
      <c r="Q4441" s="49"/>
      <c r="R4441" s="188" t="str">
        <f t="shared" si="145"/>
        <v/>
      </c>
      <c r="T4441" s="21"/>
      <c r="U4441" s="22"/>
      <c r="V4441" s="24"/>
      <c r="W4441" s="24"/>
      <c r="X4441" s="24"/>
      <c r="Y4441" s="24"/>
      <c r="Z4441" s="20" t="str">
        <f t="shared" si="144"/>
        <v/>
      </c>
    </row>
    <row r="4442" spans="1:26" x14ac:dyDescent="0.2">
      <c r="A4442" s="21"/>
      <c r="B4442" s="20"/>
      <c r="C4442" s="22"/>
      <c r="D4442" s="22"/>
      <c r="E4442" s="24"/>
      <c r="F4442" s="22"/>
      <c r="H4442" s="21"/>
      <c r="I4442" s="22"/>
      <c r="J4442" s="22"/>
      <c r="K4442" s="24"/>
      <c r="M4442" s="21"/>
      <c r="N4442" s="22"/>
      <c r="O4442" s="22"/>
      <c r="P4442" s="49"/>
      <c r="Q4442" s="49"/>
      <c r="R4442" s="188" t="str">
        <f t="shared" si="145"/>
        <v/>
      </c>
      <c r="T4442" s="21"/>
      <c r="U4442" s="22"/>
      <c r="V4442" s="24"/>
      <c r="W4442" s="24"/>
      <c r="X4442" s="24"/>
      <c r="Y4442" s="24"/>
      <c r="Z4442" s="20" t="str">
        <f t="shared" si="144"/>
        <v/>
      </c>
    </row>
    <row r="4443" spans="1:26" x14ac:dyDescent="0.2">
      <c r="A4443" s="21"/>
      <c r="B4443" s="20"/>
      <c r="C4443" s="22"/>
      <c r="D4443" s="22"/>
      <c r="E4443" s="24"/>
      <c r="F4443" s="22"/>
      <c r="H4443" s="21"/>
      <c r="I4443" s="22"/>
      <c r="J4443" s="22"/>
      <c r="K4443" s="24"/>
      <c r="M4443" s="21"/>
      <c r="N4443" s="22"/>
      <c r="O4443" s="22"/>
      <c r="P4443" s="49"/>
      <c r="Q4443" s="49"/>
      <c r="R4443" s="188" t="str">
        <f t="shared" si="145"/>
        <v/>
      </c>
      <c r="T4443" s="21"/>
      <c r="U4443" s="22"/>
      <c r="V4443" s="24"/>
      <c r="W4443" s="24"/>
      <c r="X4443" s="24"/>
      <c r="Y4443" s="24"/>
      <c r="Z4443" s="20" t="str">
        <f t="shared" si="144"/>
        <v/>
      </c>
    </row>
    <row r="4444" spans="1:26" x14ac:dyDescent="0.2">
      <c r="A4444" s="21"/>
      <c r="B4444" s="20"/>
      <c r="C4444" s="22"/>
      <c r="D4444" s="22"/>
      <c r="E4444" s="24"/>
      <c r="F4444" s="22"/>
      <c r="H4444" s="21"/>
      <c r="I4444" s="22"/>
      <c r="J4444" s="22"/>
      <c r="K4444" s="24"/>
      <c r="M4444" s="21"/>
      <c r="N4444" s="22"/>
      <c r="O4444" s="22"/>
      <c r="P4444" s="49"/>
      <c r="Q4444" s="49"/>
      <c r="R4444" s="188" t="str">
        <f t="shared" si="145"/>
        <v/>
      </c>
      <c r="T4444" s="21"/>
      <c r="U4444" s="22"/>
      <c r="V4444" s="24"/>
      <c r="W4444" s="24"/>
      <c r="X4444" s="24"/>
      <c r="Y4444" s="24"/>
      <c r="Z4444" s="20" t="str">
        <f t="shared" si="144"/>
        <v/>
      </c>
    </row>
    <row r="4445" spans="1:26" x14ac:dyDescent="0.2">
      <c r="A4445" s="21"/>
      <c r="B4445" s="20"/>
      <c r="C4445" s="22"/>
      <c r="D4445" s="22"/>
      <c r="E4445" s="24"/>
      <c r="F4445" s="22"/>
      <c r="H4445" s="21"/>
      <c r="I4445" s="22"/>
      <c r="J4445" s="22"/>
      <c r="K4445" s="24"/>
      <c r="M4445" s="21"/>
      <c r="N4445" s="22"/>
      <c r="O4445" s="22"/>
      <c r="P4445" s="49"/>
      <c r="Q4445" s="49"/>
      <c r="R4445" s="188" t="str">
        <f t="shared" si="145"/>
        <v/>
      </c>
      <c r="T4445" s="21"/>
      <c r="U4445" s="22"/>
      <c r="V4445" s="24"/>
      <c r="W4445" s="24"/>
      <c r="X4445" s="24"/>
      <c r="Y4445" s="24"/>
      <c r="Z4445" s="20" t="str">
        <f t="shared" si="144"/>
        <v/>
      </c>
    </row>
    <row r="4446" spans="1:26" x14ac:dyDescent="0.2">
      <c r="A4446" s="21"/>
      <c r="B4446" s="20"/>
      <c r="C4446" s="22"/>
      <c r="D4446" s="22"/>
      <c r="E4446" s="24"/>
      <c r="F4446" s="22"/>
      <c r="H4446" s="21"/>
      <c r="I4446" s="22"/>
      <c r="J4446" s="22"/>
      <c r="K4446" s="24"/>
      <c r="M4446" s="21"/>
      <c r="N4446" s="22"/>
      <c r="O4446" s="22"/>
      <c r="P4446" s="49"/>
      <c r="Q4446" s="49"/>
      <c r="R4446" s="188" t="str">
        <f t="shared" si="145"/>
        <v/>
      </c>
      <c r="T4446" s="21"/>
      <c r="U4446" s="22"/>
      <c r="V4446" s="24"/>
      <c r="W4446" s="24"/>
      <c r="X4446" s="24"/>
      <c r="Y4446" s="24"/>
      <c r="Z4446" s="20" t="str">
        <f t="shared" si="144"/>
        <v/>
      </c>
    </row>
    <row r="4447" spans="1:26" x14ac:dyDescent="0.2">
      <c r="A4447" s="21"/>
      <c r="B4447" s="20"/>
      <c r="C4447" s="22"/>
      <c r="D4447" s="22"/>
      <c r="E4447" s="24"/>
      <c r="F4447" s="22"/>
      <c r="H4447" s="21"/>
      <c r="I4447" s="22"/>
      <c r="J4447" s="22"/>
      <c r="K4447" s="24"/>
      <c r="M4447" s="21"/>
      <c r="N4447" s="22"/>
      <c r="O4447" s="22"/>
      <c r="P4447" s="49"/>
      <c r="Q4447" s="49"/>
      <c r="R4447" s="188" t="str">
        <f t="shared" si="145"/>
        <v/>
      </c>
      <c r="T4447" s="21"/>
      <c r="U4447" s="22"/>
      <c r="V4447" s="24"/>
      <c r="W4447" s="24"/>
      <c r="X4447" s="24"/>
      <c r="Y4447" s="24"/>
      <c r="Z4447" s="20" t="str">
        <f t="shared" si="144"/>
        <v/>
      </c>
    </row>
    <row r="4448" spans="1:26" x14ac:dyDescent="0.2">
      <c r="A4448" s="21"/>
      <c r="B4448" s="20"/>
      <c r="C4448" s="22"/>
      <c r="D4448" s="22"/>
      <c r="E4448" s="24"/>
      <c r="F4448" s="22"/>
      <c r="H4448" s="21"/>
      <c r="I4448" s="22"/>
      <c r="J4448" s="22"/>
      <c r="K4448" s="24"/>
      <c r="M4448" s="21"/>
      <c r="N4448" s="22"/>
      <c r="O4448" s="22"/>
      <c r="P4448" s="49"/>
      <c r="Q4448" s="49"/>
      <c r="R4448" s="188" t="str">
        <f t="shared" si="145"/>
        <v/>
      </c>
      <c r="T4448" s="21"/>
      <c r="U4448" s="22"/>
      <c r="V4448" s="24"/>
      <c r="W4448" s="24"/>
      <c r="X4448" s="24"/>
      <c r="Y4448" s="24"/>
      <c r="Z4448" s="20" t="str">
        <f t="shared" si="144"/>
        <v/>
      </c>
    </row>
    <row r="4449" spans="1:26" x14ac:dyDescent="0.2">
      <c r="A4449" s="21"/>
      <c r="B4449" s="20"/>
      <c r="C4449" s="22"/>
      <c r="D4449" s="22"/>
      <c r="E4449" s="24"/>
      <c r="F4449" s="22"/>
      <c r="H4449" s="21"/>
      <c r="I4449" s="22"/>
      <c r="J4449" s="22"/>
      <c r="K4449" s="24"/>
      <c r="M4449" s="21"/>
      <c r="N4449" s="22"/>
      <c r="O4449" s="22"/>
      <c r="P4449" s="49"/>
      <c r="Q4449" s="49"/>
      <c r="R4449" s="188" t="str">
        <f t="shared" si="145"/>
        <v/>
      </c>
      <c r="T4449" s="21"/>
      <c r="U4449" s="22"/>
      <c r="V4449" s="24"/>
      <c r="W4449" s="24"/>
      <c r="X4449" s="24"/>
      <c r="Y4449" s="24"/>
      <c r="Z4449" s="20" t="str">
        <f t="shared" si="144"/>
        <v/>
      </c>
    </row>
    <row r="4450" spans="1:26" x14ac:dyDescent="0.2">
      <c r="A4450" s="21"/>
      <c r="B4450" s="20"/>
      <c r="C4450" s="22"/>
      <c r="D4450" s="22"/>
      <c r="E4450" s="24"/>
      <c r="F4450" s="22"/>
      <c r="H4450" s="21"/>
      <c r="I4450" s="22"/>
      <c r="J4450" s="22"/>
      <c r="K4450" s="24"/>
      <c r="M4450" s="21"/>
      <c r="N4450" s="22"/>
      <c r="O4450" s="22"/>
      <c r="P4450" s="49"/>
      <c r="Q4450" s="49"/>
      <c r="R4450" s="188" t="str">
        <f t="shared" si="145"/>
        <v/>
      </c>
      <c r="T4450" s="21"/>
      <c r="U4450" s="22"/>
      <c r="V4450" s="24"/>
      <c r="W4450" s="24"/>
      <c r="X4450" s="24"/>
      <c r="Y4450" s="24"/>
      <c r="Z4450" s="20" t="str">
        <f t="shared" si="144"/>
        <v/>
      </c>
    </row>
    <row r="4451" spans="1:26" x14ac:dyDescent="0.2">
      <c r="A4451" s="21"/>
      <c r="B4451" s="20"/>
      <c r="C4451" s="22"/>
      <c r="D4451" s="22"/>
      <c r="E4451" s="24"/>
      <c r="F4451" s="22"/>
      <c r="H4451" s="21"/>
      <c r="I4451" s="22"/>
      <c r="J4451" s="22"/>
      <c r="K4451" s="24"/>
      <c r="M4451" s="21"/>
      <c r="N4451" s="22"/>
      <c r="O4451" s="22"/>
      <c r="P4451" s="49"/>
      <c r="Q4451" s="49"/>
      <c r="R4451" s="188" t="str">
        <f t="shared" si="145"/>
        <v/>
      </c>
      <c r="T4451" s="21"/>
      <c r="U4451" s="22"/>
      <c r="V4451" s="24"/>
      <c r="W4451" s="24"/>
      <c r="X4451" s="24"/>
      <c r="Y4451" s="24"/>
      <c r="Z4451" s="20" t="str">
        <f t="shared" si="144"/>
        <v/>
      </c>
    </row>
    <row r="4452" spans="1:26" x14ac:dyDescent="0.2">
      <c r="A4452" s="21"/>
      <c r="B4452" s="20"/>
      <c r="C4452" s="22"/>
      <c r="D4452" s="22"/>
      <c r="E4452" s="24"/>
      <c r="F4452" s="22"/>
      <c r="H4452" s="21"/>
      <c r="I4452" s="22"/>
      <c r="J4452" s="22"/>
      <c r="K4452" s="24"/>
      <c r="M4452" s="21"/>
      <c r="N4452" s="22"/>
      <c r="O4452" s="22"/>
      <c r="P4452" s="49"/>
      <c r="Q4452" s="49"/>
      <c r="R4452" s="188" t="str">
        <f t="shared" si="145"/>
        <v/>
      </c>
      <c r="T4452" s="21"/>
      <c r="U4452" s="22"/>
      <c r="V4452" s="24"/>
      <c r="W4452" s="24"/>
      <c r="X4452" s="24"/>
      <c r="Y4452" s="24"/>
      <c r="Z4452" s="20" t="str">
        <f t="shared" si="144"/>
        <v/>
      </c>
    </row>
    <row r="4453" spans="1:26" x14ac:dyDescent="0.2">
      <c r="A4453" s="21"/>
      <c r="B4453" s="20"/>
      <c r="C4453" s="22"/>
      <c r="D4453" s="22"/>
      <c r="E4453" s="24"/>
      <c r="F4453" s="22"/>
      <c r="H4453" s="21"/>
      <c r="I4453" s="22"/>
      <c r="J4453" s="22"/>
      <c r="K4453" s="24"/>
      <c r="M4453" s="21"/>
      <c r="N4453" s="22"/>
      <c r="O4453" s="22"/>
      <c r="P4453" s="49"/>
      <c r="Q4453" s="49"/>
      <c r="R4453" s="188" t="str">
        <f t="shared" si="145"/>
        <v/>
      </c>
      <c r="T4453" s="21"/>
      <c r="U4453" s="22"/>
      <c r="V4453" s="24"/>
      <c r="W4453" s="24"/>
      <c r="X4453" s="24"/>
      <c r="Y4453" s="24"/>
      <c r="Z4453" s="20" t="str">
        <f t="shared" si="144"/>
        <v/>
      </c>
    </row>
    <row r="4454" spans="1:26" x14ac:dyDescent="0.2">
      <c r="A4454" s="21"/>
      <c r="B4454" s="20"/>
      <c r="C4454" s="22"/>
      <c r="D4454" s="22"/>
      <c r="E4454" s="24"/>
      <c r="F4454" s="22"/>
      <c r="H4454" s="21"/>
      <c r="I4454" s="22"/>
      <c r="J4454" s="22"/>
      <c r="K4454" s="24"/>
      <c r="M4454" s="21"/>
      <c r="N4454" s="22"/>
      <c r="O4454" s="22"/>
      <c r="P4454" s="49"/>
      <c r="Q4454" s="49"/>
      <c r="R4454" s="188" t="str">
        <f t="shared" si="145"/>
        <v/>
      </c>
      <c r="T4454" s="21"/>
      <c r="U4454" s="22"/>
      <c r="V4454" s="24"/>
      <c r="W4454" s="24"/>
      <c r="X4454" s="24"/>
      <c r="Y4454" s="24"/>
      <c r="Z4454" s="20" t="str">
        <f t="shared" si="144"/>
        <v/>
      </c>
    </row>
    <row r="4455" spans="1:26" x14ac:dyDescent="0.2">
      <c r="A4455" s="21"/>
      <c r="B4455" s="20"/>
      <c r="C4455" s="22"/>
      <c r="D4455" s="22"/>
      <c r="E4455" s="24"/>
      <c r="F4455" s="22"/>
      <c r="H4455" s="21"/>
      <c r="I4455" s="22"/>
      <c r="J4455" s="22"/>
      <c r="K4455" s="24"/>
      <c r="M4455" s="21"/>
      <c r="N4455" s="22"/>
      <c r="O4455" s="22"/>
      <c r="P4455" s="49"/>
      <c r="Q4455" s="49"/>
      <c r="R4455" s="188" t="str">
        <f t="shared" si="145"/>
        <v/>
      </c>
      <c r="T4455" s="21"/>
      <c r="U4455" s="22"/>
      <c r="V4455" s="24"/>
      <c r="W4455" s="24"/>
      <c r="X4455" s="24"/>
      <c r="Y4455" s="24"/>
      <c r="Z4455" s="20" t="str">
        <f t="shared" si="144"/>
        <v/>
      </c>
    </row>
    <row r="4456" spans="1:26" x14ac:dyDescent="0.2">
      <c r="A4456" s="21"/>
      <c r="B4456" s="20"/>
      <c r="C4456" s="22"/>
      <c r="D4456" s="22"/>
      <c r="E4456" s="24"/>
      <c r="F4456" s="22"/>
      <c r="H4456" s="21"/>
      <c r="I4456" s="22"/>
      <c r="J4456" s="22"/>
      <c r="K4456" s="24"/>
      <c r="M4456" s="21"/>
      <c r="N4456" s="22"/>
      <c r="O4456" s="22"/>
      <c r="P4456" s="49"/>
      <c r="Q4456" s="49"/>
      <c r="R4456" s="188" t="str">
        <f t="shared" si="145"/>
        <v/>
      </c>
      <c r="T4456" s="21"/>
      <c r="U4456" s="22"/>
      <c r="V4456" s="24"/>
      <c r="W4456" s="24"/>
      <c r="X4456" s="24"/>
      <c r="Y4456" s="24"/>
      <c r="Z4456" s="20" t="str">
        <f t="shared" si="144"/>
        <v/>
      </c>
    </row>
    <row r="4457" spans="1:26" x14ac:dyDescent="0.2">
      <c r="A4457" s="21"/>
      <c r="B4457" s="20"/>
      <c r="C4457" s="22"/>
      <c r="D4457" s="22"/>
      <c r="E4457" s="24"/>
      <c r="F4457" s="22"/>
      <c r="H4457" s="21"/>
      <c r="I4457" s="22"/>
      <c r="J4457" s="22"/>
      <c r="K4457" s="24"/>
      <c r="M4457" s="21"/>
      <c r="N4457" s="22"/>
      <c r="O4457" s="22"/>
      <c r="P4457" s="49"/>
      <c r="Q4457" s="49"/>
      <c r="R4457" s="188" t="str">
        <f t="shared" si="145"/>
        <v/>
      </c>
      <c r="T4457" s="21"/>
      <c r="U4457" s="22"/>
      <c r="V4457" s="24"/>
      <c r="W4457" s="24"/>
      <c r="X4457" s="24"/>
      <c r="Y4457" s="24"/>
      <c r="Z4457" s="20" t="str">
        <f t="shared" si="144"/>
        <v/>
      </c>
    </row>
    <row r="4458" spans="1:26" x14ac:dyDescent="0.2">
      <c r="A4458" s="21"/>
      <c r="B4458" s="20"/>
      <c r="C4458" s="22"/>
      <c r="D4458" s="22"/>
      <c r="E4458" s="24"/>
      <c r="F4458" s="22"/>
      <c r="H4458" s="21"/>
      <c r="I4458" s="22"/>
      <c r="J4458" s="22"/>
      <c r="K4458" s="24"/>
      <c r="M4458" s="21"/>
      <c r="N4458" s="22"/>
      <c r="O4458" s="22"/>
      <c r="P4458" s="49"/>
      <c r="Q4458" s="49"/>
      <c r="R4458" s="188" t="str">
        <f t="shared" si="145"/>
        <v/>
      </c>
      <c r="T4458" s="21"/>
      <c r="U4458" s="22"/>
      <c r="V4458" s="24"/>
      <c r="W4458" s="24"/>
      <c r="X4458" s="24"/>
      <c r="Y4458" s="24"/>
      <c r="Z4458" s="20" t="str">
        <f t="shared" si="144"/>
        <v/>
      </c>
    </row>
    <row r="4459" spans="1:26" x14ac:dyDescent="0.2">
      <c r="A4459" s="21"/>
      <c r="B4459" s="20"/>
      <c r="C4459" s="22"/>
      <c r="D4459" s="22"/>
      <c r="E4459" s="24"/>
      <c r="F4459" s="22"/>
      <c r="H4459" s="21"/>
      <c r="I4459" s="22"/>
      <c r="J4459" s="22"/>
      <c r="K4459" s="24"/>
      <c r="M4459" s="21"/>
      <c r="N4459" s="22"/>
      <c r="O4459" s="22"/>
      <c r="P4459" s="49"/>
      <c r="Q4459" s="49"/>
      <c r="R4459" s="188" t="str">
        <f t="shared" si="145"/>
        <v/>
      </c>
      <c r="T4459" s="21"/>
      <c r="U4459" s="22"/>
      <c r="V4459" s="24"/>
      <c r="W4459" s="24"/>
      <c r="X4459" s="24"/>
      <c r="Y4459" s="24"/>
      <c r="Z4459" s="20" t="str">
        <f t="shared" si="144"/>
        <v/>
      </c>
    </row>
    <row r="4460" spans="1:26" x14ac:dyDescent="0.2">
      <c r="A4460" s="21"/>
      <c r="B4460" s="20"/>
      <c r="C4460" s="22"/>
      <c r="D4460" s="22"/>
      <c r="E4460" s="24"/>
      <c r="F4460" s="22"/>
      <c r="H4460" s="21"/>
      <c r="I4460" s="22"/>
      <c r="J4460" s="22"/>
      <c r="K4460" s="24"/>
      <c r="M4460" s="21"/>
      <c r="N4460" s="22"/>
      <c r="O4460" s="22"/>
      <c r="P4460" s="49"/>
      <c r="Q4460" s="49"/>
      <c r="R4460" s="188" t="str">
        <f t="shared" si="145"/>
        <v/>
      </c>
      <c r="T4460" s="21"/>
      <c r="U4460" s="22"/>
      <c r="V4460" s="24"/>
      <c r="W4460" s="24"/>
      <c r="X4460" s="24"/>
      <c r="Y4460" s="24"/>
      <c r="Z4460" s="20" t="str">
        <f t="shared" si="144"/>
        <v/>
      </c>
    </row>
    <row r="4461" spans="1:26" x14ac:dyDescent="0.2">
      <c r="A4461" s="21"/>
      <c r="B4461" s="20"/>
      <c r="C4461" s="22"/>
      <c r="D4461" s="22"/>
      <c r="E4461" s="24"/>
      <c r="F4461" s="22"/>
      <c r="H4461" s="21"/>
      <c r="I4461" s="22"/>
      <c r="J4461" s="22"/>
      <c r="K4461" s="24"/>
      <c r="M4461" s="21"/>
      <c r="N4461" s="22"/>
      <c r="O4461" s="22"/>
      <c r="P4461" s="49"/>
      <c r="Q4461" s="49"/>
      <c r="R4461" s="188" t="str">
        <f t="shared" si="145"/>
        <v/>
      </c>
      <c r="T4461" s="21"/>
      <c r="U4461" s="22"/>
      <c r="V4461" s="24"/>
      <c r="W4461" s="24"/>
      <c r="X4461" s="24"/>
      <c r="Y4461" s="24"/>
      <c r="Z4461" s="20" t="str">
        <f t="shared" si="144"/>
        <v/>
      </c>
    </row>
    <row r="4462" spans="1:26" x14ac:dyDescent="0.2">
      <c r="A4462" s="21"/>
      <c r="B4462" s="20"/>
      <c r="C4462" s="22"/>
      <c r="D4462" s="22"/>
      <c r="E4462" s="24"/>
      <c r="F4462" s="22"/>
      <c r="H4462" s="21"/>
      <c r="I4462" s="22"/>
      <c r="J4462" s="22"/>
      <c r="K4462" s="24"/>
      <c r="M4462" s="21"/>
      <c r="N4462" s="22"/>
      <c r="O4462" s="22"/>
      <c r="P4462" s="49"/>
      <c r="Q4462" s="49"/>
      <c r="R4462" s="188" t="str">
        <f t="shared" si="145"/>
        <v/>
      </c>
      <c r="T4462" s="21"/>
      <c r="U4462" s="22"/>
      <c r="V4462" s="24"/>
      <c r="W4462" s="24"/>
      <c r="X4462" s="24"/>
      <c r="Y4462" s="24"/>
      <c r="Z4462" s="20" t="str">
        <f t="shared" si="144"/>
        <v/>
      </c>
    </row>
    <row r="4463" spans="1:26" x14ac:dyDescent="0.2">
      <c r="A4463" s="21"/>
      <c r="B4463" s="20"/>
      <c r="C4463" s="22"/>
      <c r="D4463" s="22"/>
      <c r="E4463" s="24"/>
      <c r="F4463" s="22"/>
      <c r="H4463" s="21"/>
      <c r="I4463" s="22"/>
      <c r="J4463" s="22"/>
      <c r="K4463" s="24"/>
      <c r="M4463" s="21"/>
      <c r="N4463" s="22"/>
      <c r="O4463" s="22"/>
      <c r="P4463" s="49"/>
      <c r="Q4463" s="49"/>
      <c r="R4463" s="188" t="str">
        <f t="shared" si="145"/>
        <v/>
      </c>
      <c r="T4463" s="21"/>
      <c r="U4463" s="22"/>
      <c r="V4463" s="24"/>
      <c r="W4463" s="24"/>
      <c r="X4463" s="24"/>
      <c r="Y4463" s="24"/>
      <c r="Z4463" s="20" t="str">
        <f t="shared" si="144"/>
        <v/>
      </c>
    </row>
    <row r="4464" spans="1:26" x14ac:dyDescent="0.2">
      <c r="A4464" s="21"/>
      <c r="B4464" s="20"/>
      <c r="C4464" s="22"/>
      <c r="D4464" s="22"/>
      <c r="E4464" s="24"/>
      <c r="F4464" s="22"/>
      <c r="H4464" s="21"/>
      <c r="I4464" s="22"/>
      <c r="J4464" s="22"/>
      <c r="K4464" s="24"/>
      <c r="M4464" s="21"/>
      <c r="N4464" s="22"/>
      <c r="O4464" s="22"/>
      <c r="P4464" s="49"/>
      <c r="Q4464" s="49"/>
      <c r="R4464" s="188" t="str">
        <f t="shared" si="145"/>
        <v/>
      </c>
      <c r="T4464" s="21"/>
      <c r="U4464" s="22"/>
      <c r="V4464" s="24"/>
      <c r="W4464" s="24"/>
      <c r="X4464" s="24"/>
      <c r="Y4464" s="24"/>
      <c r="Z4464" s="20" t="str">
        <f t="shared" si="144"/>
        <v/>
      </c>
    </row>
    <row r="4465" spans="1:26" x14ac:dyDescent="0.2">
      <c r="A4465" s="21"/>
      <c r="B4465" s="20"/>
      <c r="C4465" s="22"/>
      <c r="D4465" s="22"/>
      <c r="E4465" s="24"/>
      <c r="F4465" s="22"/>
      <c r="H4465" s="21"/>
      <c r="I4465" s="22"/>
      <c r="J4465" s="22"/>
      <c r="K4465" s="24"/>
      <c r="M4465" s="21"/>
      <c r="N4465" s="22"/>
      <c r="O4465" s="22"/>
      <c r="P4465" s="49"/>
      <c r="Q4465" s="49"/>
      <c r="R4465" s="188" t="str">
        <f t="shared" si="145"/>
        <v/>
      </c>
      <c r="T4465" s="21"/>
      <c r="U4465" s="22"/>
      <c r="V4465" s="24"/>
      <c r="W4465" s="24"/>
      <c r="X4465" s="24"/>
      <c r="Y4465" s="24"/>
      <c r="Z4465" s="20" t="str">
        <f t="shared" si="144"/>
        <v/>
      </c>
    </row>
    <row r="4466" spans="1:26" x14ac:dyDescent="0.2">
      <c r="A4466" s="21"/>
      <c r="B4466" s="20"/>
      <c r="C4466" s="22"/>
      <c r="D4466" s="22"/>
      <c r="E4466" s="24"/>
      <c r="F4466" s="22"/>
      <c r="H4466" s="21"/>
      <c r="I4466" s="22"/>
      <c r="J4466" s="22"/>
      <c r="K4466" s="24"/>
      <c r="M4466" s="21"/>
      <c r="N4466" s="22"/>
      <c r="O4466" s="22"/>
      <c r="P4466" s="49"/>
      <c r="Q4466" s="49"/>
      <c r="R4466" s="188" t="str">
        <f t="shared" si="145"/>
        <v/>
      </c>
      <c r="T4466" s="21"/>
      <c r="U4466" s="22"/>
      <c r="V4466" s="24"/>
      <c r="W4466" s="24"/>
      <c r="X4466" s="24"/>
      <c r="Y4466" s="24"/>
      <c r="Z4466" s="20" t="str">
        <f t="shared" si="144"/>
        <v/>
      </c>
    </row>
    <row r="4467" spans="1:26" x14ac:dyDescent="0.2">
      <c r="A4467" s="21"/>
      <c r="B4467" s="20"/>
      <c r="C4467" s="22"/>
      <c r="D4467" s="22"/>
      <c r="E4467" s="24"/>
      <c r="F4467" s="22"/>
      <c r="H4467" s="21"/>
      <c r="I4467" s="22"/>
      <c r="J4467" s="22"/>
      <c r="K4467" s="24"/>
      <c r="M4467" s="21"/>
      <c r="N4467" s="22"/>
      <c r="O4467" s="22"/>
      <c r="P4467" s="49"/>
      <c r="Q4467" s="49"/>
      <c r="R4467" s="188" t="str">
        <f t="shared" si="145"/>
        <v/>
      </c>
      <c r="T4467" s="21"/>
      <c r="U4467" s="22"/>
      <c r="V4467" s="24"/>
      <c r="W4467" s="24"/>
      <c r="X4467" s="24"/>
      <c r="Y4467" s="24"/>
      <c r="Z4467" s="20" t="str">
        <f t="shared" si="144"/>
        <v/>
      </c>
    </row>
    <row r="4468" spans="1:26" x14ac:dyDescent="0.2">
      <c r="A4468" s="21"/>
      <c r="B4468" s="20"/>
      <c r="C4468" s="22"/>
      <c r="D4468" s="22"/>
      <c r="E4468" s="24"/>
      <c r="F4468" s="22"/>
      <c r="H4468" s="21"/>
      <c r="I4468" s="22"/>
      <c r="J4468" s="22"/>
      <c r="K4468" s="24"/>
      <c r="M4468" s="21"/>
      <c r="N4468" s="22"/>
      <c r="O4468" s="22"/>
      <c r="P4468" s="49"/>
      <c r="Q4468" s="49"/>
      <c r="R4468" s="188" t="str">
        <f t="shared" si="145"/>
        <v/>
      </c>
      <c r="T4468" s="21"/>
      <c r="U4468" s="22"/>
      <c r="V4468" s="24"/>
      <c r="W4468" s="24"/>
      <c r="X4468" s="24"/>
      <c r="Y4468" s="24"/>
      <c r="Z4468" s="20" t="str">
        <f t="shared" si="144"/>
        <v/>
      </c>
    </row>
    <row r="4469" spans="1:26" x14ac:dyDescent="0.2">
      <c r="A4469" s="21"/>
      <c r="B4469" s="20"/>
      <c r="C4469" s="22"/>
      <c r="D4469" s="22"/>
      <c r="E4469" s="24"/>
      <c r="F4469" s="22"/>
      <c r="H4469" s="21"/>
      <c r="I4469" s="22"/>
      <c r="J4469" s="22"/>
      <c r="K4469" s="24"/>
      <c r="M4469" s="21"/>
      <c r="N4469" s="22"/>
      <c r="O4469" s="22"/>
      <c r="P4469" s="49"/>
      <c r="Q4469" s="49"/>
      <c r="R4469" s="188" t="str">
        <f t="shared" si="145"/>
        <v/>
      </c>
      <c r="T4469" s="21"/>
      <c r="U4469" s="22"/>
      <c r="V4469" s="24"/>
      <c r="W4469" s="24"/>
      <c r="X4469" s="24"/>
      <c r="Y4469" s="24"/>
      <c r="Z4469" s="20" t="str">
        <f t="shared" si="144"/>
        <v/>
      </c>
    </row>
    <row r="4470" spans="1:26" x14ac:dyDescent="0.2">
      <c r="A4470" s="21"/>
      <c r="B4470" s="20"/>
      <c r="C4470" s="22"/>
      <c r="D4470" s="22"/>
      <c r="E4470" s="24"/>
      <c r="F4470" s="22"/>
      <c r="H4470" s="21"/>
      <c r="I4470" s="22"/>
      <c r="J4470" s="22"/>
      <c r="K4470" s="24"/>
      <c r="M4470" s="21"/>
      <c r="N4470" s="22"/>
      <c r="O4470" s="22"/>
      <c r="P4470" s="49"/>
      <c r="Q4470" s="49"/>
      <c r="R4470" s="188" t="str">
        <f t="shared" si="145"/>
        <v/>
      </c>
      <c r="T4470" s="21"/>
      <c r="U4470" s="22"/>
      <c r="V4470" s="24"/>
      <c r="W4470" s="24"/>
      <c r="X4470" s="24"/>
      <c r="Y4470" s="24"/>
      <c r="Z4470" s="20" t="str">
        <f t="shared" si="144"/>
        <v/>
      </c>
    </row>
    <row r="4471" spans="1:26" x14ac:dyDescent="0.2">
      <c r="A4471" s="21"/>
      <c r="B4471" s="20"/>
      <c r="C4471" s="22"/>
      <c r="D4471" s="22"/>
      <c r="E4471" s="24"/>
      <c r="F4471" s="22"/>
      <c r="H4471" s="21"/>
      <c r="I4471" s="22"/>
      <c r="J4471" s="22"/>
      <c r="K4471" s="24"/>
      <c r="M4471" s="21"/>
      <c r="N4471" s="22"/>
      <c r="O4471" s="22"/>
      <c r="P4471" s="49"/>
      <c r="Q4471" s="49"/>
      <c r="R4471" s="188" t="str">
        <f t="shared" si="145"/>
        <v/>
      </c>
      <c r="T4471" s="21"/>
      <c r="U4471" s="22"/>
      <c r="V4471" s="24"/>
      <c r="W4471" s="24"/>
      <c r="X4471" s="24"/>
      <c r="Y4471" s="24"/>
      <c r="Z4471" s="20" t="str">
        <f t="shared" si="144"/>
        <v/>
      </c>
    </row>
    <row r="4472" spans="1:26" x14ac:dyDescent="0.2">
      <c r="A4472" s="21"/>
      <c r="B4472" s="20"/>
      <c r="C4472" s="22"/>
      <c r="D4472" s="22"/>
      <c r="E4472" s="24"/>
      <c r="F4472" s="22"/>
      <c r="H4472" s="21"/>
      <c r="I4472" s="22"/>
      <c r="J4472" s="22"/>
      <c r="K4472" s="24"/>
      <c r="M4472" s="21"/>
      <c r="N4472" s="22"/>
      <c r="O4472" s="22"/>
      <c r="P4472" s="49"/>
      <c r="Q4472" s="49"/>
      <c r="R4472" s="188" t="str">
        <f t="shared" si="145"/>
        <v/>
      </c>
      <c r="T4472" s="21"/>
      <c r="U4472" s="22"/>
      <c r="V4472" s="24"/>
      <c r="W4472" s="24"/>
      <c r="X4472" s="24"/>
      <c r="Y4472" s="24"/>
      <c r="Z4472" s="20" t="str">
        <f t="shared" si="144"/>
        <v/>
      </c>
    </row>
    <row r="4473" spans="1:26" x14ac:dyDescent="0.2">
      <c r="A4473" s="21"/>
      <c r="B4473" s="20"/>
      <c r="C4473" s="22"/>
      <c r="D4473" s="22"/>
      <c r="E4473" s="24"/>
      <c r="F4473" s="22"/>
      <c r="H4473" s="21"/>
      <c r="I4473" s="22"/>
      <c r="J4473" s="22"/>
      <c r="K4473" s="24"/>
      <c r="M4473" s="21"/>
      <c r="N4473" s="22"/>
      <c r="O4473" s="22"/>
      <c r="P4473" s="49"/>
      <c r="Q4473" s="49"/>
      <c r="R4473" s="188" t="str">
        <f t="shared" si="145"/>
        <v/>
      </c>
      <c r="T4473" s="21"/>
      <c r="U4473" s="22"/>
      <c r="V4473" s="24"/>
      <c r="W4473" s="24"/>
      <c r="X4473" s="24"/>
      <c r="Y4473" s="24"/>
      <c r="Z4473" s="20" t="str">
        <f t="shared" si="144"/>
        <v/>
      </c>
    </row>
    <row r="4474" spans="1:26" x14ac:dyDescent="0.2">
      <c r="A4474" s="21"/>
      <c r="B4474" s="20"/>
      <c r="C4474" s="22"/>
      <c r="D4474" s="22"/>
      <c r="E4474" s="24"/>
      <c r="F4474" s="22"/>
      <c r="H4474" s="21"/>
      <c r="I4474" s="22"/>
      <c r="J4474" s="22"/>
      <c r="K4474" s="24"/>
      <c r="M4474" s="21"/>
      <c r="N4474" s="22"/>
      <c r="O4474" s="22"/>
      <c r="P4474" s="49"/>
      <c r="Q4474" s="49"/>
      <c r="R4474" s="188" t="str">
        <f t="shared" si="145"/>
        <v/>
      </c>
      <c r="T4474" s="21"/>
      <c r="U4474" s="22"/>
      <c r="V4474" s="24"/>
      <c r="W4474" s="24"/>
      <c r="X4474" s="24"/>
      <c r="Y4474" s="24"/>
      <c r="Z4474" s="20" t="str">
        <f t="shared" si="144"/>
        <v/>
      </c>
    </row>
    <row r="4475" spans="1:26" x14ac:dyDescent="0.2">
      <c r="A4475" s="21"/>
      <c r="B4475" s="20"/>
      <c r="C4475" s="22"/>
      <c r="D4475" s="22"/>
      <c r="E4475" s="24"/>
      <c r="F4475" s="22"/>
      <c r="H4475" s="21"/>
      <c r="I4475" s="22"/>
      <c r="J4475" s="22"/>
      <c r="K4475" s="24"/>
      <c r="M4475" s="21"/>
      <c r="N4475" s="22"/>
      <c r="O4475" s="22"/>
      <c r="P4475" s="49"/>
      <c r="Q4475" s="49"/>
      <c r="R4475" s="188" t="str">
        <f t="shared" si="145"/>
        <v/>
      </c>
      <c r="T4475" s="21"/>
      <c r="U4475" s="22"/>
      <c r="V4475" s="24"/>
      <c r="W4475" s="24"/>
      <c r="X4475" s="24"/>
      <c r="Y4475" s="24"/>
      <c r="Z4475" s="20" t="str">
        <f t="shared" si="144"/>
        <v/>
      </c>
    </row>
    <row r="4476" spans="1:26" x14ac:dyDescent="0.2">
      <c r="A4476" s="21"/>
      <c r="B4476" s="20"/>
      <c r="C4476" s="22"/>
      <c r="D4476" s="22"/>
      <c r="E4476" s="24"/>
      <c r="F4476" s="22"/>
      <c r="H4476" s="21"/>
      <c r="I4476" s="22"/>
      <c r="J4476" s="22"/>
      <c r="K4476" s="24"/>
      <c r="M4476" s="21"/>
      <c r="N4476" s="22"/>
      <c r="O4476" s="22"/>
      <c r="P4476" s="49"/>
      <c r="Q4476" s="49"/>
      <c r="R4476" s="188" t="str">
        <f t="shared" si="145"/>
        <v/>
      </c>
      <c r="T4476" s="21"/>
      <c r="U4476" s="22"/>
      <c r="V4476" s="24"/>
      <c r="W4476" s="24"/>
      <c r="X4476" s="24"/>
      <c r="Y4476" s="24"/>
      <c r="Z4476" s="20" t="str">
        <f t="shared" si="144"/>
        <v/>
      </c>
    </row>
    <row r="4477" spans="1:26" x14ac:dyDescent="0.2">
      <c r="A4477" s="21"/>
      <c r="B4477" s="20"/>
      <c r="C4477" s="22"/>
      <c r="D4477" s="22"/>
      <c r="E4477" s="24"/>
      <c r="F4477" s="22"/>
      <c r="H4477" s="21"/>
      <c r="I4477" s="22"/>
      <c r="J4477" s="22"/>
      <c r="K4477" s="24"/>
      <c r="M4477" s="21"/>
      <c r="N4477" s="22"/>
      <c r="O4477" s="22"/>
      <c r="P4477" s="49"/>
      <c r="Q4477" s="49"/>
      <c r="R4477" s="188" t="str">
        <f t="shared" si="145"/>
        <v/>
      </c>
      <c r="T4477" s="21"/>
      <c r="U4477" s="22"/>
      <c r="V4477" s="24"/>
      <c r="W4477" s="24"/>
      <c r="X4477" s="24"/>
      <c r="Y4477" s="24"/>
      <c r="Z4477" s="20" t="str">
        <f t="shared" si="144"/>
        <v/>
      </c>
    </row>
    <row r="4478" spans="1:26" x14ac:dyDescent="0.2">
      <c r="A4478" s="21"/>
      <c r="B4478" s="20"/>
      <c r="C4478" s="22"/>
      <c r="D4478" s="22"/>
      <c r="E4478" s="24"/>
      <c r="F4478" s="22"/>
      <c r="H4478" s="21"/>
      <c r="I4478" s="22"/>
      <c r="J4478" s="22"/>
      <c r="K4478" s="24"/>
      <c r="M4478" s="21"/>
      <c r="N4478" s="22"/>
      <c r="O4478" s="22"/>
      <c r="P4478" s="49"/>
      <c r="Q4478" s="49"/>
      <c r="R4478" s="188" t="str">
        <f t="shared" si="145"/>
        <v/>
      </c>
      <c r="T4478" s="21"/>
      <c r="U4478" s="22"/>
      <c r="V4478" s="24"/>
      <c r="W4478" s="24"/>
      <c r="X4478" s="24"/>
      <c r="Y4478" s="24"/>
      <c r="Z4478" s="20" t="str">
        <f t="shared" si="144"/>
        <v/>
      </c>
    </row>
    <row r="4479" spans="1:26" x14ac:dyDescent="0.2">
      <c r="A4479" s="21"/>
      <c r="B4479" s="20"/>
      <c r="C4479" s="22"/>
      <c r="D4479" s="22"/>
      <c r="E4479" s="24"/>
      <c r="F4479" s="22"/>
      <c r="H4479" s="21"/>
      <c r="I4479" s="22"/>
      <c r="J4479" s="22"/>
      <c r="K4479" s="24"/>
      <c r="M4479" s="21"/>
      <c r="N4479" s="22"/>
      <c r="O4479" s="22"/>
      <c r="P4479" s="49"/>
      <c r="Q4479" s="49"/>
      <c r="R4479" s="188" t="str">
        <f t="shared" si="145"/>
        <v/>
      </c>
      <c r="T4479" s="21"/>
      <c r="U4479" s="22"/>
      <c r="V4479" s="24"/>
      <c r="W4479" s="24"/>
      <c r="X4479" s="24"/>
      <c r="Y4479" s="24"/>
      <c r="Z4479" s="20" t="str">
        <f t="shared" si="144"/>
        <v/>
      </c>
    </row>
    <row r="4480" spans="1:26" x14ac:dyDescent="0.2">
      <c r="A4480" s="21"/>
      <c r="B4480" s="20"/>
      <c r="C4480" s="22"/>
      <c r="D4480" s="22"/>
      <c r="E4480" s="24"/>
      <c r="F4480" s="22"/>
      <c r="H4480" s="21"/>
      <c r="I4480" s="22"/>
      <c r="J4480" s="22"/>
      <c r="K4480" s="24"/>
      <c r="M4480" s="21"/>
      <c r="N4480" s="22"/>
      <c r="O4480" s="22"/>
      <c r="P4480" s="49"/>
      <c r="Q4480" s="49"/>
      <c r="R4480" s="188" t="str">
        <f t="shared" si="145"/>
        <v/>
      </c>
      <c r="T4480" s="21"/>
      <c r="U4480" s="22"/>
      <c r="V4480" s="24"/>
      <c r="W4480" s="24"/>
      <c r="X4480" s="24"/>
      <c r="Y4480" s="24"/>
      <c r="Z4480" s="20" t="str">
        <f t="shared" si="144"/>
        <v/>
      </c>
    </row>
    <row r="4481" spans="1:26" x14ac:dyDescent="0.2">
      <c r="A4481" s="21"/>
      <c r="B4481" s="20"/>
      <c r="C4481" s="22"/>
      <c r="D4481" s="22"/>
      <c r="E4481" s="24"/>
      <c r="F4481" s="22"/>
      <c r="H4481" s="21"/>
      <c r="I4481" s="22"/>
      <c r="J4481" s="22"/>
      <c r="K4481" s="24"/>
      <c r="M4481" s="21"/>
      <c r="N4481" s="22"/>
      <c r="O4481" s="22"/>
      <c r="P4481" s="49"/>
      <c r="Q4481" s="49"/>
      <c r="R4481" s="188" t="str">
        <f t="shared" si="145"/>
        <v/>
      </c>
      <c r="T4481" s="21"/>
      <c r="U4481" s="22"/>
      <c r="V4481" s="24"/>
      <c r="W4481" s="24"/>
      <c r="X4481" s="24"/>
      <c r="Y4481" s="24"/>
      <c r="Z4481" s="20" t="str">
        <f t="shared" si="144"/>
        <v/>
      </c>
    </row>
    <row r="4482" spans="1:26" x14ac:dyDescent="0.2">
      <c r="A4482" s="21"/>
      <c r="B4482" s="20"/>
      <c r="C4482" s="22"/>
      <c r="D4482" s="22"/>
      <c r="E4482" s="24"/>
      <c r="F4482" s="22"/>
      <c r="H4482" s="21"/>
      <c r="I4482" s="22"/>
      <c r="J4482" s="22"/>
      <c r="K4482" s="24"/>
      <c r="M4482" s="21"/>
      <c r="N4482" s="22"/>
      <c r="O4482" s="22"/>
      <c r="P4482" s="49"/>
      <c r="Q4482" s="49"/>
      <c r="R4482" s="188" t="str">
        <f t="shared" si="145"/>
        <v/>
      </c>
      <c r="T4482" s="21"/>
      <c r="U4482" s="22"/>
      <c r="V4482" s="24"/>
      <c r="W4482" s="24"/>
      <c r="X4482" s="24"/>
      <c r="Y4482" s="24"/>
      <c r="Z4482" s="20" t="str">
        <f t="shared" si="144"/>
        <v/>
      </c>
    </row>
    <row r="4483" spans="1:26" x14ac:dyDescent="0.2">
      <c r="A4483" s="21"/>
      <c r="B4483" s="20"/>
      <c r="C4483" s="22"/>
      <c r="D4483" s="22"/>
      <c r="E4483" s="24"/>
      <c r="F4483" s="22"/>
      <c r="H4483" s="21"/>
      <c r="I4483" s="22"/>
      <c r="J4483" s="22"/>
      <c r="K4483" s="24"/>
      <c r="M4483" s="21"/>
      <c r="N4483" s="22"/>
      <c r="O4483" s="22"/>
      <c r="P4483" s="49"/>
      <c r="Q4483" s="49"/>
      <c r="R4483" s="188" t="str">
        <f t="shared" si="145"/>
        <v/>
      </c>
      <c r="T4483" s="21"/>
      <c r="U4483" s="22"/>
      <c r="V4483" s="24"/>
      <c r="W4483" s="24"/>
      <c r="X4483" s="24"/>
      <c r="Y4483" s="24"/>
      <c r="Z4483" s="20" t="str">
        <f t="shared" si="144"/>
        <v/>
      </c>
    </row>
    <row r="4484" spans="1:26" x14ac:dyDescent="0.2">
      <c r="A4484" s="21"/>
      <c r="B4484" s="20"/>
      <c r="C4484" s="22"/>
      <c r="D4484" s="22"/>
      <c r="E4484" s="24"/>
      <c r="F4484" s="22"/>
      <c r="H4484" s="21"/>
      <c r="I4484" s="22"/>
      <c r="J4484" s="22"/>
      <c r="K4484" s="24"/>
      <c r="M4484" s="21"/>
      <c r="N4484" s="22"/>
      <c r="O4484" s="22"/>
      <c r="P4484" s="49"/>
      <c r="Q4484" s="49"/>
      <c r="R4484" s="188" t="str">
        <f t="shared" si="145"/>
        <v/>
      </c>
      <c r="T4484" s="21"/>
      <c r="U4484" s="22"/>
      <c r="V4484" s="24"/>
      <c r="W4484" s="24"/>
      <c r="X4484" s="24"/>
      <c r="Y4484" s="24"/>
      <c r="Z4484" s="20" t="str">
        <f t="shared" si="144"/>
        <v/>
      </c>
    </row>
    <row r="4485" spans="1:26" x14ac:dyDescent="0.2">
      <c r="A4485" s="21"/>
      <c r="B4485" s="20"/>
      <c r="C4485" s="22"/>
      <c r="D4485" s="22"/>
      <c r="E4485" s="24"/>
      <c r="F4485" s="22"/>
      <c r="H4485" s="21"/>
      <c r="I4485" s="22"/>
      <c r="J4485" s="22"/>
      <c r="K4485" s="24"/>
      <c r="M4485" s="21"/>
      <c r="N4485" s="22"/>
      <c r="O4485" s="22"/>
      <c r="P4485" s="49"/>
      <c r="Q4485" s="49"/>
      <c r="R4485" s="188" t="str">
        <f t="shared" si="145"/>
        <v/>
      </c>
      <c r="T4485" s="21"/>
      <c r="U4485" s="22"/>
      <c r="V4485" s="24"/>
      <c r="W4485" s="24"/>
      <c r="X4485" s="24"/>
      <c r="Y4485" s="24"/>
      <c r="Z4485" s="20" t="str">
        <f t="shared" si="144"/>
        <v/>
      </c>
    </row>
    <row r="4486" spans="1:26" x14ac:dyDescent="0.2">
      <c r="A4486" s="21"/>
      <c r="B4486" s="20"/>
      <c r="C4486" s="22"/>
      <c r="D4486" s="22"/>
      <c r="E4486" s="24"/>
      <c r="F4486" s="22"/>
      <c r="H4486" s="21"/>
      <c r="I4486" s="22"/>
      <c r="J4486" s="22"/>
      <c r="K4486" s="24"/>
      <c r="M4486" s="21"/>
      <c r="N4486" s="22"/>
      <c r="O4486" s="22"/>
      <c r="P4486" s="49"/>
      <c r="Q4486" s="49"/>
      <c r="R4486" s="188" t="str">
        <f t="shared" si="145"/>
        <v/>
      </c>
      <c r="T4486" s="21"/>
      <c r="U4486" s="22"/>
      <c r="V4486" s="24"/>
      <c r="W4486" s="24"/>
      <c r="X4486" s="24"/>
      <c r="Y4486" s="24"/>
      <c r="Z4486" s="20" t="str">
        <f t="shared" si="144"/>
        <v/>
      </c>
    </row>
    <row r="4487" spans="1:26" x14ac:dyDescent="0.2">
      <c r="A4487" s="21"/>
      <c r="B4487" s="20"/>
      <c r="C4487" s="22"/>
      <c r="D4487" s="22"/>
      <c r="E4487" s="24"/>
      <c r="F4487" s="22"/>
      <c r="H4487" s="21"/>
      <c r="I4487" s="22"/>
      <c r="J4487" s="22"/>
      <c r="K4487" s="24"/>
      <c r="M4487" s="21"/>
      <c r="N4487" s="22"/>
      <c r="O4487" s="22"/>
      <c r="P4487" s="49"/>
      <c r="Q4487" s="49"/>
      <c r="R4487" s="188" t="str">
        <f t="shared" si="145"/>
        <v/>
      </c>
      <c r="T4487" s="21"/>
      <c r="U4487" s="22"/>
      <c r="V4487" s="24"/>
      <c r="W4487" s="24"/>
      <c r="X4487" s="24"/>
      <c r="Y4487" s="24"/>
      <c r="Z4487" s="20" t="str">
        <f t="shared" si="144"/>
        <v/>
      </c>
    </row>
    <row r="4488" spans="1:26" x14ac:dyDescent="0.2">
      <c r="A4488" s="21"/>
      <c r="B4488" s="20"/>
      <c r="C4488" s="22"/>
      <c r="D4488" s="22"/>
      <c r="E4488" s="24"/>
      <c r="F4488" s="22"/>
      <c r="H4488" s="21"/>
      <c r="I4488" s="22"/>
      <c r="J4488" s="22"/>
      <c r="K4488" s="24"/>
      <c r="M4488" s="21"/>
      <c r="N4488" s="22"/>
      <c r="O4488" s="22"/>
      <c r="P4488" s="49"/>
      <c r="Q4488" s="49"/>
      <c r="R4488" s="188" t="str">
        <f t="shared" si="145"/>
        <v/>
      </c>
      <c r="T4488" s="21"/>
      <c r="U4488" s="22"/>
      <c r="V4488" s="24"/>
      <c r="W4488" s="24"/>
      <c r="X4488" s="24"/>
      <c r="Y4488" s="24"/>
      <c r="Z4488" s="20" t="str">
        <f t="shared" si="144"/>
        <v/>
      </c>
    </row>
    <row r="4489" spans="1:26" x14ac:dyDescent="0.2">
      <c r="A4489" s="21"/>
      <c r="B4489" s="20"/>
      <c r="C4489" s="22"/>
      <c r="D4489" s="22"/>
      <c r="E4489" s="24"/>
      <c r="F4489" s="22"/>
      <c r="H4489" s="21"/>
      <c r="I4489" s="22"/>
      <c r="J4489" s="22"/>
      <c r="K4489" s="24"/>
      <c r="M4489" s="21"/>
      <c r="N4489" s="22"/>
      <c r="O4489" s="22"/>
      <c r="P4489" s="49"/>
      <c r="Q4489" s="49"/>
      <c r="R4489" s="188" t="str">
        <f t="shared" si="145"/>
        <v/>
      </c>
      <c r="T4489" s="21"/>
      <c r="U4489" s="22"/>
      <c r="V4489" s="24"/>
      <c r="W4489" s="24"/>
      <c r="X4489" s="24"/>
      <c r="Y4489" s="24"/>
      <c r="Z4489" s="20" t="str">
        <f t="shared" si="144"/>
        <v/>
      </c>
    </row>
    <row r="4490" spans="1:26" x14ac:dyDescent="0.2">
      <c r="A4490" s="21"/>
      <c r="B4490" s="20"/>
      <c r="C4490" s="22"/>
      <c r="D4490" s="22"/>
      <c r="E4490" s="24"/>
      <c r="F4490" s="22"/>
      <c r="H4490" s="21"/>
      <c r="I4490" s="22"/>
      <c r="J4490" s="22"/>
      <c r="K4490" s="24"/>
      <c r="M4490" s="21"/>
      <c r="N4490" s="22"/>
      <c r="O4490" s="22"/>
      <c r="P4490" s="49"/>
      <c r="Q4490" s="49"/>
      <c r="R4490" s="188" t="str">
        <f t="shared" si="145"/>
        <v/>
      </c>
      <c r="T4490" s="21"/>
      <c r="U4490" s="22"/>
      <c r="V4490" s="24"/>
      <c r="W4490" s="24"/>
      <c r="X4490" s="24"/>
      <c r="Y4490" s="24"/>
      <c r="Z4490" s="20" t="str">
        <f t="shared" si="144"/>
        <v/>
      </c>
    </row>
    <row r="4491" spans="1:26" x14ac:dyDescent="0.2">
      <c r="A4491" s="21"/>
      <c r="B4491" s="20"/>
      <c r="C4491" s="22"/>
      <c r="D4491" s="22"/>
      <c r="E4491" s="24"/>
      <c r="F4491" s="22"/>
      <c r="H4491" s="21"/>
      <c r="I4491" s="22"/>
      <c r="J4491" s="22"/>
      <c r="K4491" s="24"/>
      <c r="M4491" s="21"/>
      <c r="N4491" s="22"/>
      <c r="O4491" s="22"/>
      <c r="P4491" s="49"/>
      <c r="Q4491" s="49"/>
      <c r="R4491" s="188" t="str">
        <f t="shared" si="145"/>
        <v/>
      </c>
      <c r="T4491" s="21"/>
      <c r="U4491" s="22"/>
      <c r="V4491" s="24"/>
      <c r="W4491" s="24"/>
      <c r="X4491" s="24"/>
      <c r="Y4491" s="24"/>
      <c r="Z4491" s="20" t="str">
        <f t="shared" si="144"/>
        <v/>
      </c>
    </row>
    <row r="4492" spans="1:26" x14ac:dyDescent="0.2">
      <c r="A4492" s="21"/>
      <c r="B4492" s="20"/>
      <c r="C4492" s="22"/>
      <c r="D4492" s="22"/>
      <c r="E4492" s="24"/>
      <c r="F4492" s="22"/>
      <c r="H4492" s="21"/>
      <c r="I4492" s="22"/>
      <c r="J4492" s="22"/>
      <c r="K4492" s="24"/>
      <c r="M4492" s="21"/>
      <c r="N4492" s="22"/>
      <c r="O4492" s="22"/>
      <c r="P4492" s="49"/>
      <c r="Q4492" s="49"/>
      <c r="R4492" s="188" t="str">
        <f t="shared" si="145"/>
        <v/>
      </c>
      <c r="T4492" s="21"/>
      <c r="U4492" s="22"/>
      <c r="V4492" s="24"/>
      <c r="W4492" s="24"/>
      <c r="X4492" s="24"/>
      <c r="Y4492" s="24"/>
      <c r="Z4492" s="20" t="str">
        <f t="shared" si="144"/>
        <v/>
      </c>
    </row>
    <row r="4493" spans="1:26" x14ac:dyDescent="0.2">
      <c r="A4493" s="21"/>
      <c r="B4493" s="20"/>
      <c r="C4493" s="22"/>
      <c r="D4493" s="22"/>
      <c r="E4493" s="24"/>
      <c r="F4493" s="22"/>
      <c r="H4493" s="21"/>
      <c r="I4493" s="22"/>
      <c r="J4493" s="22"/>
      <c r="K4493" s="24"/>
      <c r="M4493" s="21"/>
      <c r="N4493" s="22"/>
      <c r="O4493" s="22"/>
      <c r="P4493" s="49"/>
      <c r="Q4493" s="49"/>
      <c r="R4493" s="188" t="str">
        <f t="shared" si="145"/>
        <v/>
      </c>
      <c r="T4493" s="21"/>
      <c r="U4493" s="22"/>
      <c r="V4493" s="24"/>
      <c r="W4493" s="24"/>
      <c r="X4493" s="24"/>
      <c r="Y4493" s="24"/>
      <c r="Z4493" s="20" t="str">
        <f t="shared" si="144"/>
        <v/>
      </c>
    </row>
    <row r="4494" spans="1:26" x14ac:dyDescent="0.2">
      <c r="A4494" s="21"/>
      <c r="B4494" s="20"/>
      <c r="C4494" s="22"/>
      <c r="D4494" s="22"/>
      <c r="E4494" s="24"/>
      <c r="F4494" s="22"/>
      <c r="H4494" s="21"/>
      <c r="I4494" s="22"/>
      <c r="J4494" s="22"/>
      <c r="K4494" s="24"/>
      <c r="M4494" s="21"/>
      <c r="N4494" s="22"/>
      <c r="O4494" s="22"/>
      <c r="P4494" s="49"/>
      <c r="Q4494" s="49"/>
      <c r="R4494" s="188" t="str">
        <f t="shared" si="145"/>
        <v/>
      </c>
      <c r="T4494" s="21"/>
      <c r="U4494" s="22"/>
      <c r="V4494" s="24"/>
      <c r="W4494" s="24"/>
      <c r="X4494" s="24"/>
      <c r="Y4494" s="24"/>
      <c r="Z4494" s="20" t="str">
        <f t="shared" si="144"/>
        <v/>
      </c>
    </row>
    <row r="4495" spans="1:26" x14ac:dyDescent="0.2">
      <c r="A4495" s="21"/>
      <c r="B4495" s="20"/>
      <c r="C4495" s="22"/>
      <c r="D4495" s="22"/>
      <c r="E4495" s="24"/>
      <c r="F4495" s="22"/>
      <c r="H4495" s="21"/>
      <c r="I4495" s="22"/>
      <c r="J4495" s="22"/>
      <c r="K4495" s="24"/>
      <c r="M4495" s="21"/>
      <c r="N4495" s="22"/>
      <c r="O4495" s="22"/>
      <c r="P4495" s="49"/>
      <c r="Q4495" s="49"/>
      <c r="R4495" s="188" t="str">
        <f t="shared" si="145"/>
        <v/>
      </c>
      <c r="T4495" s="21"/>
      <c r="U4495" s="22"/>
      <c r="V4495" s="24"/>
      <c r="W4495" s="24"/>
      <c r="X4495" s="24"/>
      <c r="Y4495" s="24"/>
      <c r="Z4495" s="20" t="str">
        <f t="shared" si="144"/>
        <v/>
      </c>
    </row>
    <row r="4496" spans="1:26" x14ac:dyDescent="0.2">
      <c r="A4496" s="21"/>
      <c r="B4496" s="20"/>
      <c r="C4496" s="22"/>
      <c r="D4496" s="22"/>
      <c r="E4496" s="24"/>
      <c r="F4496" s="22"/>
      <c r="H4496" s="21"/>
      <c r="I4496" s="22"/>
      <c r="J4496" s="22"/>
      <c r="K4496" s="24"/>
      <c r="M4496" s="21"/>
      <c r="N4496" s="22"/>
      <c r="O4496" s="22"/>
      <c r="P4496" s="49"/>
      <c r="Q4496" s="49"/>
      <c r="R4496" s="188" t="str">
        <f t="shared" si="145"/>
        <v/>
      </c>
      <c r="T4496" s="21"/>
      <c r="U4496" s="22"/>
      <c r="V4496" s="24"/>
      <c r="W4496" s="24"/>
      <c r="X4496" s="24"/>
      <c r="Y4496" s="24"/>
      <c r="Z4496" s="20" t="str">
        <f t="shared" si="144"/>
        <v/>
      </c>
    </row>
    <row r="4497" spans="1:26" x14ac:dyDescent="0.2">
      <c r="A4497" s="21"/>
      <c r="B4497" s="20"/>
      <c r="C4497" s="22"/>
      <c r="D4497" s="22"/>
      <c r="E4497" s="24"/>
      <c r="F4497" s="22"/>
      <c r="H4497" s="21"/>
      <c r="I4497" s="22"/>
      <c r="J4497" s="22"/>
      <c r="K4497" s="24"/>
      <c r="M4497" s="21"/>
      <c r="N4497" s="22"/>
      <c r="O4497" s="22"/>
      <c r="P4497" s="49"/>
      <c r="Q4497" s="49"/>
      <c r="R4497" s="188" t="str">
        <f t="shared" si="145"/>
        <v/>
      </c>
      <c r="T4497" s="21"/>
      <c r="U4497" s="22"/>
      <c r="V4497" s="24"/>
      <c r="W4497" s="24"/>
      <c r="X4497" s="24"/>
      <c r="Y4497" s="24"/>
      <c r="Z4497" s="20" t="str">
        <f t="shared" si="144"/>
        <v/>
      </c>
    </row>
    <row r="4498" spans="1:26" x14ac:dyDescent="0.2">
      <c r="A4498" s="21"/>
      <c r="B4498" s="20"/>
      <c r="C4498" s="22"/>
      <c r="D4498" s="22"/>
      <c r="E4498" s="24"/>
      <c r="F4498" s="22"/>
      <c r="H4498" s="21"/>
      <c r="I4498" s="22"/>
      <c r="J4498" s="22"/>
      <c r="K4498" s="24"/>
      <c r="M4498" s="21"/>
      <c r="N4498" s="22"/>
      <c r="O4498" s="22"/>
      <c r="P4498" s="49"/>
      <c r="Q4498" s="49"/>
      <c r="R4498" s="188" t="str">
        <f t="shared" si="145"/>
        <v/>
      </c>
      <c r="T4498" s="21"/>
      <c r="U4498" s="22"/>
      <c r="V4498" s="24"/>
      <c r="W4498" s="24"/>
      <c r="X4498" s="24"/>
      <c r="Y4498" s="24"/>
      <c r="Z4498" s="20" t="str">
        <f t="shared" si="144"/>
        <v/>
      </c>
    </row>
    <row r="4499" spans="1:26" x14ac:dyDescent="0.2">
      <c r="A4499" s="21"/>
      <c r="B4499" s="20"/>
      <c r="C4499" s="22"/>
      <c r="D4499" s="22"/>
      <c r="E4499" s="24"/>
      <c r="F4499" s="22"/>
      <c r="H4499" s="21"/>
      <c r="I4499" s="22"/>
      <c r="J4499" s="22"/>
      <c r="K4499" s="24"/>
      <c r="M4499" s="21"/>
      <c r="N4499" s="22"/>
      <c r="O4499" s="22"/>
      <c r="P4499" s="49"/>
      <c r="Q4499" s="49"/>
      <c r="R4499" s="188" t="str">
        <f t="shared" si="145"/>
        <v/>
      </c>
      <c r="T4499" s="21"/>
      <c r="U4499" s="22"/>
      <c r="V4499" s="24"/>
      <c r="W4499" s="24"/>
      <c r="X4499" s="24"/>
      <c r="Y4499" s="24"/>
      <c r="Z4499" s="20" t="str">
        <f t="shared" ref="Z4499:Z4562" si="146">IF(COUNT(V4499:Y4499)=0,"",SUM(V4499:Y4499))</f>
        <v/>
      </c>
    </row>
    <row r="4500" spans="1:26" x14ac:dyDescent="0.2">
      <c r="A4500" s="21"/>
      <c r="B4500" s="20"/>
      <c r="C4500" s="22"/>
      <c r="D4500" s="22"/>
      <c r="E4500" s="24"/>
      <c r="F4500" s="22"/>
      <c r="H4500" s="21"/>
      <c r="I4500" s="22"/>
      <c r="J4500" s="22"/>
      <c r="K4500" s="24"/>
      <c r="M4500" s="21"/>
      <c r="N4500" s="22"/>
      <c r="O4500" s="22"/>
      <c r="P4500" s="49"/>
      <c r="Q4500" s="49"/>
      <c r="R4500" s="188" t="str">
        <f t="shared" si="145"/>
        <v/>
      </c>
      <c r="T4500" s="21"/>
      <c r="U4500" s="22"/>
      <c r="V4500" s="24"/>
      <c r="W4500" s="24"/>
      <c r="X4500" s="24"/>
      <c r="Y4500" s="24"/>
      <c r="Z4500" s="20" t="str">
        <f t="shared" si="146"/>
        <v/>
      </c>
    </row>
    <row r="4501" spans="1:26" x14ac:dyDescent="0.2">
      <c r="A4501" s="21"/>
      <c r="B4501" s="20"/>
      <c r="C4501" s="22"/>
      <c r="D4501" s="22"/>
      <c r="E4501" s="24"/>
      <c r="F4501" s="22"/>
      <c r="H4501" s="21"/>
      <c r="I4501" s="22"/>
      <c r="J4501" s="22"/>
      <c r="K4501" s="24"/>
      <c r="M4501" s="21"/>
      <c r="N4501" s="22"/>
      <c r="O4501" s="22"/>
      <c r="P4501" s="49"/>
      <c r="Q4501" s="49"/>
      <c r="R4501" s="188" t="str">
        <f t="shared" si="145"/>
        <v/>
      </c>
      <c r="T4501" s="21"/>
      <c r="U4501" s="22"/>
      <c r="V4501" s="24"/>
      <c r="W4501" s="24"/>
      <c r="X4501" s="24"/>
      <c r="Y4501" s="24"/>
      <c r="Z4501" s="20" t="str">
        <f t="shared" si="146"/>
        <v/>
      </c>
    </row>
    <row r="4502" spans="1:26" x14ac:dyDescent="0.2">
      <c r="A4502" s="21"/>
      <c r="B4502" s="20"/>
      <c r="C4502" s="22"/>
      <c r="D4502" s="22"/>
      <c r="E4502" s="24"/>
      <c r="F4502" s="22"/>
      <c r="H4502" s="21"/>
      <c r="I4502" s="22"/>
      <c r="J4502" s="22"/>
      <c r="K4502" s="24"/>
      <c r="M4502" s="21"/>
      <c r="N4502" s="22"/>
      <c r="O4502" s="22"/>
      <c r="P4502" s="49"/>
      <c r="Q4502" s="49"/>
      <c r="R4502" s="188" t="str">
        <f t="shared" ref="R4502:R4565" si="147">IF(OR(P4502="",Q4502=""),"",IFERROR(P4502-Q4502,""))</f>
        <v/>
      </c>
      <c r="T4502" s="21"/>
      <c r="U4502" s="22"/>
      <c r="V4502" s="24"/>
      <c r="W4502" s="24"/>
      <c r="X4502" s="24"/>
      <c r="Y4502" s="24"/>
      <c r="Z4502" s="20" t="str">
        <f t="shared" si="146"/>
        <v/>
      </c>
    </row>
    <row r="4503" spans="1:26" x14ac:dyDescent="0.2">
      <c r="A4503" s="21"/>
      <c r="B4503" s="20"/>
      <c r="C4503" s="22"/>
      <c r="D4503" s="22"/>
      <c r="E4503" s="24"/>
      <c r="F4503" s="22"/>
      <c r="H4503" s="21"/>
      <c r="I4503" s="22"/>
      <c r="J4503" s="22"/>
      <c r="K4503" s="24"/>
      <c r="M4503" s="21"/>
      <c r="N4503" s="22"/>
      <c r="O4503" s="22"/>
      <c r="P4503" s="49"/>
      <c r="Q4503" s="49"/>
      <c r="R4503" s="188" t="str">
        <f t="shared" si="147"/>
        <v/>
      </c>
      <c r="T4503" s="21"/>
      <c r="U4503" s="22"/>
      <c r="V4503" s="24"/>
      <c r="W4503" s="24"/>
      <c r="X4503" s="24"/>
      <c r="Y4503" s="24"/>
      <c r="Z4503" s="20" t="str">
        <f t="shared" si="146"/>
        <v/>
      </c>
    </row>
    <row r="4504" spans="1:26" x14ac:dyDescent="0.2">
      <c r="A4504" s="21"/>
      <c r="B4504" s="20"/>
      <c r="C4504" s="22"/>
      <c r="D4504" s="22"/>
      <c r="E4504" s="24"/>
      <c r="F4504" s="22"/>
      <c r="H4504" s="21"/>
      <c r="I4504" s="22"/>
      <c r="J4504" s="22"/>
      <c r="K4504" s="24"/>
      <c r="M4504" s="21"/>
      <c r="N4504" s="22"/>
      <c r="O4504" s="22"/>
      <c r="P4504" s="49"/>
      <c r="Q4504" s="49"/>
      <c r="R4504" s="188" t="str">
        <f t="shared" si="147"/>
        <v/>
      </c>
      <c r="T4504" s="21"/>
      <c r="U4504" s="22"/>
      <c r="V4504" s="24"/>
      <c r="W4504" s="24"/>
      <c r="X4504" s="24"/>
      <c r="Y4504" s="24"/>
      <c r="Z4504" s="20" t="str">
        <f t="shared" si="146"/>
        <v/>
      </c>
    </row>
    <row r="4505" spans="1:26" x14ac:dyDescent="0.2">
      <c r="A4505" s="21"/>
      <c r="B4505" s="20"/>
      <c r="C4505" s="22"/>
      <c r="D4505" s="22"/>
      <c r="E4505" s="24"/>
      <c r="F4505" s="22"/>
      <c r="H4505" s="21"/>
      <c r="I4505" s="22"/>
      <c r="J4505" s="22"/>
      <c r="K4505" s="24"/>
      <c r="M4505" s="21"/>
      <c r="N4505" s="22"/>
      <c r="O4505" s="22"/>
      <c r="P4505" s="49"/>
      <c r="Q4505" s="49"/>
      <c r="R4505" s="188" t="str">
        <f t="shared" si="147"/>
        <v/>
      </c>
      <c r="T4505" s="21"/>
      <c r="U4505" s="22"/>
      <c r="V4505" s="24"/>
      <c r="W4505" s="24"/>
      <c r="X4505" s="24"/>
      <c r="Y4505" s="24"/>
      <c r="Z4505" s="20" t="str">
        <f t="shared" si="146"/>
        <v/>
      </c>
    </row>
    <row r="4506" spans="1:26" x14ac:dyDescent="0.2">
      <c r="A4506" s="21"/>
      <c r="B4506" s="20"/>
      <c r="C4506" s="22"/>
      <c r="D4506" s="22"/>
      <c r="E4506" s="24"/>
      <c r="F4506" s="22"/>
      <c r="H4506" s="21"/>
      <c r="I4506" s="22"/>
      <c r="J4506" s="22"/>
      <c r="K4506" s="24"/>
      <c r="M4506" s="21"/>
      <c r="N4506" s="22"/>
      <c r="O4506" s="22"/>
      <c r="P4506" s="49"/>
      <c r="Q4506" s="49"/>
      <c r="R4506" s="188" t="str">
        <f t="shared" si="147"/>
        <v/>
      </c>
      <c r="T4506" s="21"/>
      <c r="U4506" s="22"/>
      <c r="V4506" s="24"/>
      <c r="W4506" s="24"/>
      <c r="X4506" s="24"/>
      <c r="Y4506" s="24"/>
      <c r="Z4506" s="20" t="str">
        <f t="shared" si="146"/>
        <v/>
      </c>
    </row>
    <row r="4507" spans="1:26" x14ac:dyDescent="0.2">
      <c r="A4507" s="21"/>
      <c r="B4507" s="20"/>
      <c r="C4507" s="22"/>
      <c r="D4507" s="22"/>
      <c r="E4507" s="24"/>
      <c r="F4507" s="22"/>
      <c r="H4507" s="21"/>
      <c r="I4507" s="22"/>
      <c r="J4507" s="22"/>
      <c r="K4507" s="24"/>
      <c r="M4507" s="21"/>
      <c r="N4507" s="22"/>
      <c r="O4507" s="22"/>
      <c r="P4507" s="49"/>
      <c r="Q4507" s="49"/>
      <c r="R4507" s="188" t="str">
        <f t="shared" si="147"/>
        <v/>
      </c>
      <c r="T4507" s="21"/>
      <c r="U4507" s="22"/>
      <c r="V4507" s="24"/>
      <c r="W4507" s="24"/>
      <c r="X4507" s="24"/>
      <c r="Y4507" s="24"/>
      <c r="Z4507" s="20" t="str">
        <f t="shared" si="146"/>
        <v/>
      </c>
    </row>
    <row r="4508" spans="1:26" x14ac:dyDescent="0.2">
      <c r="A4508" s="21"/>
      <c r="B4508" s="20"/>
      <c r="C4508" s="22"/>
      <c r="D4508" s="22"/>
      <c r="E4508" s="24"/>
      <c r="F4508" s="22"/>
      <c r="H4508" s="21"/>
      <c r="I4508" s="22"/>
      <c r="J4508" s="22"/>
      <c r="K4508" s="24"/>
      <c r="M4508" s="21"/>
      <c r="N4508" s="22"/>
      <c r="O4508" s="22"/>
      <c r="P4508" s="49"/>
      <c r="Q4508" s="49"/>
      <c r="R4508" s="188" t="str">
        <f t="shared" si="147"/>
        <v/>
      </c>
      <c r="T4508" s="21"/>
      <c r="U4508" s="22"/>
      <c r="V4508" s="24"/>
      <c r="W4508" s="24"/>
      <c r="X4508" s="24"/>
      <c r="Y4508" s="24"/>
      <c r="Z4508" s="20" t="str">
        <f t="shared" si="146"/>
        <v/>
      </c>
    </row>
    <row r="4509" spans="1:26" x14ac:dyDescent="0.2">
      <c r="A4509" s="21"/>
      <c r="B4509" s="20"/>
      <c r="C4509" s="22"/>
      <c r="D4509" s="22"/>
      <c r="E4509" s="24"/>
      <c r="F4509" s="22"/>
      <c r="H4509" s="21"/>
      <c r="I4509" s="22"/>
      <c r="J4509" s="22"/>
      <c r="K4509" s="24"/>
      <c r="M4509" s="21"/>
      <c r="N4509" s="22"/>
      <c r="O4509" s="22"/>
      <c r="P4509" s="49"/>
      <c r="Q4509" s="49"/>
      <c r="R4509" s="188" t="str">
        <f t="shared" si="147"/>
        <v/>
      </c>
      <c r="T4509" s="21"/>
      <c r="U4509" s="22"/>
      <c r="V4509" s="24"/>
      <c r="W4509" s="24"/>
      <c r="X4509" s="24"/>
      <c r="Y4509" s="24"/>
      <c r="Z4509" s="20" t="str">
        <f t="shared" si="146"/>
        <v/>
      </c>
    </row>
    <row r="4510" spans="1:26" x14ac:dyDescent="0.2">
      <c r="A4510" s="21"/>
      <c r="B4510" s="20"/>
      <c r="C4510" s="22"/>
      <c r="D4510" s="22"/>
      <c r="E4510" s="24"/>
      <c r="F4510" s="22"/>
      <c r="H4510" s="21"/>
      <c r="I4510" s="22"/>
      <c r="J4510" s="22"/>
      <c r="K4510" s="24"/>
      <c r="M4510" s="21"/>
      <c r="N4510" s="22"/>
      <c r="O4510" s="22"/>
      <c r="P4510" s="49"/>
      <c r="Q4510" s="49"/>
      <c r="R4510" s="188" t="str">
        <f t="shared" si="147"/>
        <v/>
      </c>
      <c r="T4510" s="21"/>
      <c r="U4510" s="22"/>
      <c r="V4510" s="24"/>
      <c r="W4510" s="24"/>
      <c r="X4510" s="24"/>
      <c r="Y4510" s="24"/>
      <c r="Z4510" s="20" t="str">
        <f t="shared" si="146"/>
        <v/>
      </c>
    </row>
    <row r="4511" spans="1:26" x14ac:dyDescent="0.2">
      <c r="A4511" s="21"/>
      <c r="B4511" s="20"/>
      <c r="C4511" s="22"/>
      <c r="D4511" s="22"/>
      <c r="E4511" s="24"/>
      <c r="F4511" s="22"/>
      <c r="H4511" s="21"/>
      <c r="I4511" s="22"/>
      <c r="J4511" s="22"/>
      <c r="K4511" s="24"/>
      <c r="M4511" s="21"/>
      <c r="N4511" s="22"/>
      <c r="O4511" s="22"/>
      <c r="P4511" s="49"/>
      <c r="Q4511" s="49"/>
      <c r="R4511" s="188" t="str">
        <f t="shared" si="147"/>
        <v/>
      </c>
      <c r="T4511" s="21"/>
      <c r="U4511" s="22"/>
      <c r="V4511" s="24"/>
      <c r="W4511" s="24"/>
      <c r="X4511" s="24"/>
      <c r="Y4511" s="24"/>
      <c r="Z4511" s="20" t="str">
        <f t="shared" si="146"/>
        <v/>
      </c>
    </row>
    <row r="4512" spans="1:26" x14ac:dyDescent="0.2">
      <c r="A4512" s="21"/>
      <c r="B4512" s="20"/>
      <c r="C4512" s="22"/>
      <c r="D4512" s="22"/>
      <c r="E4512" s="24"/>
      <c r="F4512" s="22"/>
      <c r="H4512" s="21"/>
      <c r="I4512" s="22"/>
      <c r="J4512" s="22"/>
      <c r="K4512" s="24"/>
      <c r="M4512" s="21"/>
      <c r="N4512" s="22"/>
      <c r="O4512" s="22"/>
      <c r="P4512" s="49"/>
      <c r="Q4512" s="49"/>
      <c r="R4512" s="188" t="str">
        <f t="shared" si="147"/>
        <v/>
      </c>
      <c r="T4512" s="21"/>
      <c r="U4512" s="22"/>
      <c r="V4512" s="24"/>
      <c r="W4512" s="24"/>
      <c r="X4512" s="24"/>
      <c r="Y4512" s="24"/>
      <c r="Z4512" s="20" t="str">
        <f t="shared" si="146"/>
        <v/>
      </c>
    </row>
    <row r="4513" spans="1:26" x14ac:dyDescent="0.2">
      <c r="A4513" s="21"/>
      <c r="B4513" s="20"/>
      <c r="C4513" s="22"/>
      <c r="D4513" s="22"/>
      <c r="E4513" s="24"/>
      <c r="F4513" s="22"/>
      <c r="H4513" s="21"/>
      <c r="I4513" s="22"/>
      <c r="J4513" s="22"/>
      <c r="K4513" s="24"/>
      <c r="M4513" s="21"/>
      <c r="N4513" s="22"/>
      <c r="O4513" s="22"/>
      <c r="P4513" s="49"/>
      <c r="Q4513" s="49"/>
      <c r="R4513" s="188" t="str">
        <f t="shared" si="147"/>
        <v/>
      </c>
      <c r="T4513" s="21"/>
      <c r="U4513" s="22"/>
      <c r="V4513" s="24"/>
      <c r="W4513" s="24"/>
      <c r="X4513" s="24"/>
      <c r="Y4513" s="24"/>
      <c r="Z4513" s="20" t="str">
        <f t="shared" si="146"/>
        <v/>
      </c>
    </row>
    <row r="4514" spans="1:26" x14ac:dyDescent="0.2">
      <c r="A4514" s="21"/>
      <c r="B4514" s="20"/>
      <c r="C4514" s="22"/>
      <c r="D4514" s="22"/>
      <c r="E4514" s="24"/>
      <c r="F4514" s="22"/>
      <c r="H4514" s="21"/>
      <c r="I4514" s="22"/>
      <c r="J4514" s="22"/>
      <c r="K4514" s="24"/>
      <c r="M4514" s="21"/>
      <c r="N4514" s="22"/>
      <c r="O4514" s="22"/>
      <c r="P4514" s="49"/>
      <c r="Q4514" s="49"/>
      <c r="R4514" s="188" t="str">
        <f t="shared" si="147"/>
        <v/>
      </c>
      <c r="T4514" s="21"/>
      <c r="U4514" s="22"/>
      <c r="V4514" s="24"/>
      <c r="W4514" s="24"/>
      <c r="X4514" s="24"/>
      <c r="Y4514" s="24"/>
      <c r="Z4514" s="20" t="str">
        <f t="shared" si="146"/>
        <v/>
      </c>
    </row>
    <row r="4515" spans="1:26" x14ac:dyDescent="0.2">
      <c r="A4515" s="21"/>
      <c r="B4515" s="20"/>
      <c r="C4515" s="22"/>
      <c r="D4515" s="22"/>
      <c r="E4515" s="24"/>
      <c r="F4515" s="22"/>
      <c r="H4515" s="21"/>
      <c r="I4515" s="22"/>
      <c r="J4515" s="22"/>
      <c r="K4515" s="24"/>
      <c r="M4515" s="21"/>
      <c r="N4515" s="22"/>
      <c r="O4515" s="22"/>
      <c r="P4515" s="49"/>
      <c r="Q4515" s="49"/>
      <c r="R4515" s="188" t="str">
        <f t="shared" si="147"/>
        <v/>
      </c>
      <c r="T4515" s="21"/>
      <c r="U4515" s="22"/>
      <c r="V4515" s="24"/>
      <c r="W4515" s="24"/>
      <c r="X4515" s="24"/>
      <c r="Y4515" s="24"/>
      <c r="Z4515" s="20" t="str">
        <f t="shared" si="146"/>
        <v/>
      </c>
    </row>
    <row r="4516" spans="1:26" x14ac:dyDescent="0.2">
      <c r="A4516" s="21"/>
      <c r="B4516" s="20"/>
      <c r="C4516" s="22"/>
      <c r="D4516" s="22"/>
      <c r="E4516" s="24"/>
      <c r="F4516" s="22"/>
      <c r="H4516" s="21"/>
      <c r="I4516" s="22"/>
      <c r="J4516" s="22"/>
      <c r="K4516" s="24"/>
      <c r="M4516" s="21"/>
      <c r="N4516" s="22"/>
      <c r="O4516" s="22"/>
      <c r="P4516" s="49"/>
      <c r="Q4516" s="49"/>
      <c r="R4516" s="188" t="str">
        <f t="shared" si="147"/>
        <v/>
      </c>
      <c r="T4516" s="21"/>
      <c r="U4516" s="22"/>
      <c r="V4516" s="24"/>
      <c r="W4516" s="24"/>
      <c r="X4516" s="24"/>
      <c r="Y4516" s="24"/>
      <c r="Z4516" s="20" t="str">
        <f t="shared" si="146"/>
        <v/>
      </c>
    </row>
    <row r="4517" spans="1:26" x14ac:dyDescent="0.2">
      <c r="A4517" s="21"/>
      <c r="B4517" s="20"/>
      <c r="C4517" s="22"/>
      <c r="D4517" s="22"/>
      <c r="E4517" s="24"/>
      <c r="F4517" s="22"/>
      <c r="H4517" s="21"/>
      <c r="I4517" s="22"/>
      <c r="J4517" s="22"/>
      <c r="K4517" s="24"/>
      <c r="M4517" s="21"/>
      <c r="N4517" s="22"/>
      <c r="O4517" s="22"/>
      <c r="P4517" s="49"/>
      <c r="Q4517" s="49"/>
      <c r="R4517" s="188" t="str">
        <f t="shared" si="147"/>
        <v/>
      </c>
      <c r="T4517" s="21"/>
      <c r="U4517" s="22"/>
      <c r="V4517" s="24"/>
      <c r="W4517" s="24"/>
      <c r="X4517" s="24"/>
      <c r="Y4517" s="24"/>
      <c r="Z4517" s="20" t="str">
        <f t="shared" si="146"/>
        <v/>
      </c>
    </row>
    <row r="4518" spans="1:26" x14ac:dyDescent="0.2">
      <c r="A4518" s="21"/>
      <c r="B4518" s="20"/>
      <c r="C4518" s="22"/>
      <c r="D4518" s="22"/>
      <c r="E4518" s="24"/>
      <c r="F4518" s="22"/>
      <c r="H4518" s="21"/>
      <c r="I4518" s="22"/>
      <c r="J4518" s="22"/>
      <c r="K4518" s="24"/>
      <c r="M4518" s="21"/>
      <c r="N4518" s="22"/>
      <c r="O4518" s="22"/>
      <c r="P4518" s="49"/>
      <c r="Q4518" s="49"/>
      <c r="R4518" s="188" t="str">
        <f t="shared" si="147"/>
        <v/>
      </c>
      <c r="T4518" s="21"/>
      <c r="U4518" s="22"/>
      <c r="V4518" s="24"/>
      <c r="W4518" s="24"/>
      <c r="X4518" s="24"/>
      <c r="Y4518" s="24"/>
      <c r="Z4518" s="20" t="str">
        <f t="shared" si="146"/>
        <v/>
      </c>
    </row>
    <row r="4519" spans="1:26" x14ac:dyDescent="0.2">
      <c r="A4519" s="21"/>
      <c r="B4519" s="20"/>
      <c r="C4519" s="22"/>
      <c r="D4519" s="22"/>
      <c r="E4519" s="24"/>
      <c r="F4519" s="22"/>
      <c r="H4519" s="21"/>
      <c r="I4519" s="22"/>
      <c r="J4519" s="22"/>
      <c r="K4519" s="24"/>
      <c r="M4519" s="21"/>
      <c r="N4519" s="22"/>
      <c r="O4519" s="22"/>
      <c r="P4519" s="49"/>
      <c r="Q4519" s="49"/>
      <c r="R4519" s="188" t="str">
        <f t="shared" si="147"/>
        <v/>
      </c>
      <c r="T4519" s="21"/>
      <c r="U4519" s="22"/>
      <c r="V4519" s="24"/>
      <c r="W4519" s="24"/>
      <c r="X4519" s="24"/>
      <c r="Y4519" s="24"/>
      <c r="Z4519" s="20" t="str">
        <f t="shared" si="146"/>
        <v/>
      </c>
    </row>
    <row r="4520" spans="1:26" x14ac:dyDescent="0.2">
      <c r="A4520" s="21"/>
      <c r="B4520" s="20"/>
      <c r="C4520" s="22"/>
      <c r="D4520" s="22"/>
      <c r="E4520" s="24"/>
      <c r="F4520" s="22"/>
      <c r="H4520" s="21"/>
      <c r="I4520" s="22"/>
      <c r="J4520" s="22"/>
      <c r="K4520" s="24"/>
      <c r="M4520" s="21"/>
      <c r="N4520" s="22"/>
      <c r="O4520" s="22"/>
      <c r="P4520" s="49"/>
      <c r="Q4520" s="49"/>
      <c r="R4520" s="188" t="str">
        <f t="shared" si="147"/>
        <v/>
      </c>
      <c r="T4520" s="21"/>
      <c r="U4520" s="22"/>
      <c r="V4520" s="24"/>
      <c r="W4520" s="24"/>
      <c r="X4520" s="24"/>
      <c r="Y4520" s="24"/>
      <c r="Z4520" s="20" t="str">
        <f t="shared" si="146"/>
        <v/>
      </c>
    </row>
    <row r="4521" spans="1:26" x14ac:dyDescent="0.2">
      <c r="A4521" s="21"/>
      <c r="B4521" s="20"/>
      <c r="C4521" s="22"/>
      <c r="D4521" s="22"/>
      <c r="E4521" s="24"/>
      <c r="F4521" s="22"/>
      <c r="H4521" s="21"/>
      <c r="I4521" s="22"/>
      <c r="J4521" s="22"/>
      <c r="K4521" s="24"/>
      <c r="M4521" s="21"/>
      <c r="N4521" s="22"/>
      <c r="O4521" s="22"/>
      <c r="P4521" s="49"/>
      <c r="Q4521" s="49"/>
      <c r="R4521" s="188" t="str">
        <f t="shared" si="147"/>
        <v/>
      </c>
      <c r="T4521" s="21"/>
      <c r="U4521" s="22"/>
      <c r="V4521" s="24"/>
      <c r="W4521" s="24"/>
      <c r="X4521" s="24"/>
      <c r="Y4521" s="24"/>
      <c r="Z4521" s="20" t="str">
        <f t="shared" si="146"/>
        <v/>
      </c>
    </row>
    <row r="4522" spans="1:26" x14ac:dyDescent="0.2">
      <c r="A4522" s="21"/>
      <c r="B4522" s="20"/>
      <c r="C4522" s="22"/>
      <c r="D4522" s="22"/>
      <c r="E4522" s="24"/>
      <c r="F4522" s="22"/>
      <c r="H4522" s="21"/>
      <c r="I4522" s="22"/>
      <c r="J4522" s="22"/>
      <c r="K4522" s="24"/>
      <c r="M4522" s="21"/>
      <c r="N4522" s="22"/>
      <c r="O4522" s="22"/>
      <c r="P4522" s="49"/>
      <c r="Q4522" s="49"/>
      <c r="R4522" s="188" t="str">
        <f t="shared" si="147"/>
        <v/>
      </c>
      <c r="T4522" s="21"/>
      <c r="U4522" s="22"/>
      <c r="V4522" s="24"/>
      <c r="W4522" s="24"/>
      <c r="X4522" s="24"/>
      <c r="Y4522" s="24"/>
      <c r="Z4522" s="20" t="str">
        <f t="shared" si="146"/>
        <v/>
      </c>
    </row>
    <row r="4523" spans="1:26" x14ac:dyDescent="0.2">
      <c r="A4523" s="21"/>
      <c r="B4523" s="20"/>
      <c r="C4523" s="22"/>
      <c r="D4523" s="22"/>
      <c r="E4523" s="24"/>
      <c r="F4523" s="22"/>
      <c r="H4523" s="21"/>
      <c r="I4523" s="22"/>
      <c r="J4523" s="22"/>
      <c r="K4523" s="24"/>
      <c r="M4523" s="21"/>
      <c r="N4523" s="22"/>
      <c r="O4523" s="22"/>
      <c r="P4523" s="49"/>
      <c r="Q4523" s="49"/>
      <c r="R4523" s="188" t="str">
        <f t="shared" si="147"/>
        <v/>
      </c>
      <c r="T4523" s="21"/>
      <c r="U4523" s="22"/>
      <c r="V4523" s="24"/>
      <c r="W4523" s="24"/>
      <c r="X4523" s="24"/>
      <c r="Y4523" s="24"/>
      <c r="Z4523" s="20" t="str">
        <f t="shared" si="146"/>
        <v/>
      </c>
    </row>
    <row r="4524" spans="1:26" x14ac:dyDescent="0.2">
      <c r="A4524" s="21"/>
      <c r="B4524" s="20"/>
      <c r="C4524" s="22"/>
      <c r="D4524" s="22"/>
      <c r="E4524" s="24"/>
      <c r="F4524" s="22"/>
      <c r="H4524" s="21"/>
      <c r="I4524" s="22"/>
      <c r="J4524" s="22"/>
      <c r="K4524" s="24"/>
      <c r="M4524" s="21"/>
      <c r="N4524" s="22"/>
      <c r="O4524" s="22"/>
      <c r="P4524" s="49"/>
      <c r="Q4524" s="49"/>
      <c r="R4524" s="188" t="str">
        <f t="shared" si="147"/>
        <v/>
      </c>
      <c r="T4524" s="21"/>
      <c r="U4524" s="22"/>
      <c r="V4524" s="24"/>
      <c r="W4524" s="24"/>
      <c r="X4524" s="24"/>
      <c r="Y4524" s="24"/>
      <c r="Z4524" s="20" t="str">
        <f t="shared" si="146"/>
        <v/>
      </c>
    </row>
    <row r="4525" spans="1:26" x14ac:dyDescent="0.2">
      <c r="A4525" s="21"/>
      <c r="B4525" s="20"/>
      <c r="C4525" s="22"/>
      <c r="D4525" s="22"/>
      <c r="E4525" s="24"/>
      <c r="F4525" s="22"/>
      <c r="H4525" s="21"/>
      <c r="I4525" s="22"/>
      <c r="J4525" s="22"/>
      <c r="K4525" s="24"/>
      <c r="M4525" s="21"/>
      <c r="N4525" s="22"/>
      <c r="O4525" s="22"/>
      <c r="P4525" s="49"/>
      <c r="Q4525" s="49"/>
      <c r="R4525" s="188" t="str">
        <f t="shared" si="147"/>
        <v/>
      </c>
      <c r="T4525" s="21"/>
      <c r="U4525" s="22"/>
      <c r="V4525" s="24"/>
      <c r="W4525" s="24"/>
      <c r="X4525" s="24"/>
      <c r="Y4525" s="24"/>
      <c r="Z4525" s="20" t="str">
        <f t="shared" si="146"/>
        <v/>
      </c>
    </row>
    <row r="4526" spans="1:26" x14ac:dyDescent="0.2">
      <c r="A4526" s="21"/>
      <c r="B4526" s="20"/>
      <c r="C4526" s="22"/>
      <c r="D4526" s="22"/>
      <c r="E4526" s="24"/>
      <c r="F4526" s="22"/>
      <c r="H4526" s="21"/>
      <c r="I4526" s="22"/>
      <c r="J4526" s="22"/>
      <c r="K4526" s="24"/>
      <c r="M4526" s="21"/>
      <c r="N4526" s="22"/>
      <c r="O4526" s="22"/>
      <c r="P4526" s="49"/>
      <c r="Q4526" s="49"/>
      <c r="R4526" s="188" t="str">
        <f t="shared" si="147"/>
        <v/>
      </c>
      <c r="T4526" s="21"/>
      <c r="U4526" s="22"/>
      <c r="V4526" s="24"/>
      <c r="W4526" s="24"/>
      <c r="X4526" s="24"/>
      <c r="Y4526" s="24"/>
      <c r="Z4526" s="20" t="str">
        <f t="shared" si="146"/>
        <v/>
      </c>
    </row>
    <row r="4527" spans="1:26" x14ac:dyDescent="0.2">
      <c r="A4527" s="21"/>
      <c r="B4527" s="20"/>
      <c r="C4527" s="22"/>
      <c r="D4527" s="22"/>
      <c r="E4527" s="24"/>
      <c r="F4527" s="22"/>
      <c r="H4527" s="21"/>
      <c r="I4527" s="22"/>
      <c r="J4527" s="22"/>
      <c r="K4527" s="24"/>
      <c r="M4527" s="21"/>
      <c r="N4527" s="22"/>
      <c r="O4527" s="22"/>
      <c r="P4527" s="49"/>
      <c r="Q4527" s="49"/>
      <c r="R4527" s="188" t="str">
        <f t="shared" si="147"/>
        <v/>
      </c>
      <c r="T4527" s="21"/>
      <c r="U4527" s="22"/>
      <c r="V4527" s="24"/>
      <c r="W4527" s="24"/>
      <c r="X4527" s="24"/>
      <c r="Y4527" s="24"/>
      <c r="Z4527" s="20" t="str">
        <f t="shared" si="146"/>
        <v/>
      </c>
    </row>
    <row r="4528" spans="1:26" x14ac:dyDescent="0.2">
      <c r="A4528" s="21"/>
      <c r="B4528" s="20"/>
      <c r="C4528" s="22"/>
      <c r="D4528" s="22"/>
      <c r="E4528" s="24"/>
      <c r="F4528" s="22"/>
      <c r="H4528" s="21"/>
      <c r="I4528" s="22"/>
      <c r="J4528" s="22"/>
      <c r="K4528" s="24"/>
      <c r="M4528" s="21"/>
      <c r="N4528" s="22"/>
      <c r="O4528" s="22"/>
      <c r="P4528" s="49"/>
      <c r="Q4528" s="49"/>
      <c r="R4528" s="188" t="str">
        <f t="shared" si="147"/>
        <v/>
      </c>
      <c r="T4528" s="21"/>
      <c r="U4528" s="22"/>
      <c r="V4528" s="24"/>
      <c r="W4528" s="24"/>
      <c r="X4528" s="24"/>
      <c r="Y4528" s="24"/>
      <c r="Z4528" s="20" t="str">
        <f t="shared" si="146"/>
        <v/>
      </c>
    </row>
    <row r="4529" spans="1:26" x14ac:dyDescent="0.2">
      <c r="A4529" s="21"/>
      <c r="B4529" s="20"/>
      <c r="C4529" s="22"/>
      <c r="D4529" s="22"/>
      <c r="E4529" s="24"/>
      <c r="F4529" s="22"/>
      <c r="H4529" s="21"/>
      <c r="I4529" s="22"/>
      <c r="J4529" s="22"/>
      <c r="K4529" s="24"/>
      <c r="M4529" s="21"/>
      <c r="N4529" s="22"/>
      <c r="O4529" s="22"/>
      <c r="P4529" s="49"/>
      <c r="Q4529" s="49"/>
      <c r="R4529" s="188" t="str">
        <f t="shared" si="147"/>
        <v/>
      </c>
      <c r="T4529" s="21"/>
      <c r="U4529" s="22"/>
      <c r="V4529" s="24"/>
      <c r="W4529" s="24"/>
      <c r="X4529" s="24"/>
      <c r="Y4529" s="24"/>
      <c r="Z4529" s="20" t="str">
        <f t="shared" si="146"/>
        <v/>
      </c>
    </row>
    <row r="4530" spans="1:26" x14ac:dyDescent="0.2">
      <c r="A4530" s="21"/>
      <c r="B4530" s="20"/>
      <c r="C4530" s="22"/>
      <c r="D4530" s="22"/>
      <c r="E4530" s="24"/>
      <c r="F4530" s="22"/>
      <c r="H4530" s="21"/>
      <c r="I4530" s="22"/>
      <c r="J4530" s="22"/>
      <c r="K4530" s="24"/>
      <c r="M4530" s="21"/>
      <c r="N4530" s="22"/>
      <c r="O4530" s="22"/>
      <c r="P4530" s="49"/>
      <c r="Q4530" s="49"/>
      <c r="R4530" s="188" t="str">
        <f t="shared" si="147"/>
        <v/>
      </c>
      <c r="T4530" s="21"/>
      <c r="U4530" s="22"/>
      <c r="V4530" s="24"/>
      <c r="W4530" s="24"/>
      <c r="X4530" s="24"/>
      <c r="Y4530" s="24"/>
      <c r="Z4530" s="20" t="str">
        <f t="shared" si="146"/>
        <v/>
      </c>
    </row>
    <row r="4531" spans="1:26" x14ac:dyDescent="0.2">
      <c r="A4531" s="21"/>
      <c r="B4531" s="20"/>
      <c r="C4531" s="22"/>
      <c r="D4531" s="22"/>
      <c r="E4531" s="24"/>
      <c r="F4531" s="22"/>
      <c r="H4531" s="21"/>
      <c r="I4531" s="22"/>
      <c r="J4531" s="22"/>
      <c r="K4531" s="24"/>
      <c r="M4531" s="21"/>
      <c r="N4531" s="22"/>
      <c r="O4531" s="22"/>
      <c r="P4531" s="49"/>
      <c r="Q4531" s="49"/>
      <c r="R4531" s="188" t="str">
        <f t="shared" si="147"/>
        <v/>
      </c>
      <c r="T4531" s="21"/>
      <c r="U4531" s="22"/>
      <c r="V4531" s="24"/>
      <c r="W4531" s="24"/>
      <c r="X4531" s="24"/>
      <c r="Y4531" s="24"/>
      <c r="Z4531" s="20" t="str">
        <f t="shared" si="146"/>
        <v/>
      </c>
    </row>
    <row r="4532" spans="1:26" x14ac:dyDescent="0.2">
      <c r="A4532" s="21"/>
      <c r="B4532" s="20"/>
      <c r="C4532" s="22"/>
      <c r="D4532" s="22"/>
      <c r="E4532" s="24"/>
      <c r="F4532" s="22"/>
      <c r="H4532" s="21"/>
      <c r="I4532" s="22"/>
      <c r="J4532" s="22"/>
      <c r="K4532" s="24"/>
      <c r="M4532" s="21"/>
      <c r="N4532" s="22"/>
      <c r="O4532" s="22"/>
      <c r="P4532" s="49"/>
      <c r="Q4532" s="49"/>
      <c r="R4532" s="188" t="str">
        <f t="shared" si="147"/>
        <v/>
      </c>
      <c r="T4532" s="21"/>
      <c r="U4532" s="22"/>
      <c r="V4532" s="24"/>
      <c r="W4532" s="24"/>
      <c r="X4532" s="24"/>
      <c r="Y4532" s="24"/>
      <c r="Z4532" s="20" t="str">
        <f t="shared" si="146"/>
        <v/>
      </c>
    </row>
    <row r="4533" spans="1:26" x14ac:dyDescent="0.2">
      <c r="A4533" s="21"/>
      <c r="B4533" s="20"/>
      <c r="C4533" s="22"/>
      <c r="D4533" s="22"/>
      <c r="E4533" s="24"/>
      <c r="F4533" s="22"/>
      <c r="H4533" s="21"/>
      <c r="I4533" s="22"/>
      <c r="J4533" s="22"/>
      <c r="K4533" s="24"/>
      <c r="M4533" s="21"/>
      <c r="N4533" s="22"/>
      <c r="O4533" s="22"/>
      <c r="P4533" s="49"/>
      <c r="Q4533" s="49"/>
      <c r="R4533" s="188" t="str">
        <f t="shared" si="147"/>
        <v/>
      </c>
      <c r="T4533" s="21"/>
      <c r="U4533" s="22"/>
      <c r="V4533" s="24"/>
      <c r="W4533" s="24"/>
      <c r="X4533" s="24"/>
      <c r="Y4533" s="24"/>
      <c r="Z4533" s="20" t="str">
        <f t="shared" si="146"/>
        <v/>
      </c>
    </row>
    <row r="4534" spans="1:26" x14ac:dyDescent="0.2">
      <c r="A4534" s="21"/>
      <c r="B4534" s="20"/>
      <c r="C4534" s="22"/>
      <c r="D4534" s="22"/>
      <c r="E4534" s="24"/>
      <c r="F4534" s="22"/>
      <c r="H4534" s="21"/>
      <c r="I4534" s="22"/>
      <c r="J4534" s="22"/>
      <c r="K4534" s="24"/>
      <c r="M4534" s="21"/>
      <c r="N4534" s="22"/>
      <c r="O4534" s="22"/>
      <c r="P4534" s="49"/>
      <c r="Q4534" s="49"/>
      <c r="R4534" s="188" t="str">
        <f t="shared" si="147"/>
        <v/>
      </c>
      <c r="T4534" s="21"/>
      <c r="U4534" s="22"/>
      <c r="V4534" s="24"/>
      <c r="W4534" s="24"/>
      <c r="X4534" s="24"/>
      <c r="Y4534" s="24"/>
      <c r="Z4534" s="20" t="str">
        <f t="shared" si="146"/>
        <v/>
      </c>
    </row>
    <row r="4535" spans="1:26" x14ac:dyDescent="0.2">
      <c r="A4535" s="21"/>
      <c r="B4535" s="20"/>
      <c r="C4535" s="22"/>
      <c r="D4535" s="22"/>
      <c r="E4535" s="24"/>
      <c r="F4535" s="22"/>
      <c r="H4535" s="21"/>
      <c r="I4535" s="22"/>
      <c r="J4535" s="22"/>
      <c r="K4535" s="24"/>
      <c r="M4535" s="21"/>
      <c r="N4535" s="22"/>
      <c r="O4535" s="22"/>
      <c r="P4535" s="49"/>
      <c r="Q4535" s="49"/>
      <c r="R4535" s="188" t="str">
        <f t="shared" si="147"/>
        <v/>
      </c>
      <c r="T4535" s="21"/>
      <c r="U4535" s="22"/>
      <c r="V4535" s="24"/>
      <c r="W4535" s="24"/>
      <c r="X4535" s="24"/>
      <c r="Y4535" s="24"/>
      <c r="Z4535" s="20" t="str">
        <f t="shared" si="146"/>
        <v/>
      </c>
    </row>
    <row r="4536" spans="1:26" x14ac:dyDescent="0.2">
      <c r="A4536" s="21"/>
      <c r="B4536" s="20"/>
      <c r="C4536" s="22"/>
      <c r="D4536" s="22"/>
      <c r="E4536" s="24"/>
      <c r="F4536" s="22"/>
      <c r="H4536" s="21"/>
      <c r="I4536" s="22"/>
      <c r="J4536" s="22"/>
      <c r="K4536" s="24"/>
      <c r="M4536" s="21"/>
      <c r="N4536" s="22"/>
      <c r="O4536" s="22"/>
      <c r="P4536" s="49"/>
      <c r="Q4536" s="49"/>
      <c r="R4536" s="188" t="str">
        <f t="shared" si="147"/>
        <v/>
      </c>
      <c r="T4536" s="21"/>
      <c r="U4536" s="22"/>
      <c r="V4536" s="24"/>
      <c r="W4536" s="24"/>
      <c r="X4536" s="24"/>
      <c r="Y4536" s="24"/>
      <c r="Z4536" s="20" t="str">
        <f t="shared" si="146"/>
        <v/>
      </c>
    </row>
    <row r="4537" spans="1:26" x14ac:dyDescent="0.2">
      <c r="A4537" s="21"/>
      <c r="B4537" s="20"/>
      <c r="C4537" s="22"/>
      <c r="D4537" s="22"/>
      <c r="E4537" s="24"/>
      <c r="F4537" s="22"/>
      <c r="H4537" s="21"/>
      <c r="I4537" s="22"/>
      <c r="J4537" s="22"/>
      <c r="K4537" s="24"/>
      <c r="M4537" s="21"/>
      <c r="N4537" s="22"/>
      <c r="O4537" s="22"/>
      <c r="P4537" s="49"/>
      <c r="Q4537" s="49"/>
      <c r="R4537" s="188" t="str">
        <f t="shared" si="147"/>
        <v/>
      </c>
      <c r="T4537" s="21"/>
      <c r="U4537" s="22"/>
      <c r="V4537" s="24"/>
      <c r="W4537" s="24"/>
      <c r="X4537" s="24"/>
      <c r="Y4537" s="24"/>
      <c r="Z4537" s="20" t="str">
        <f t="shared" si="146"/>
        <v/>
      </c>
    </row>
    <row r="4538" spans="1:26" x14ac:dyDescent="0.2">
      <c r="A4538" s="21"/>
      <c r="B4538" s="20"/>
      <c r="C4538" s="22"/>
      <c r="D4538" s="22"/>
      <c r="E4538" s="24"/>
      <c r="F4538" s="22"/>
      <c r="H4538" s="21"/>
      <c r="I4538" s="22"/>
      <c r="J4538" s="22"/>
      <c r="K4538" s="24"/>
      <c r="M4538" s="21"/>
      <c r="N4538" s="22"/>
      <c r="O4538" s="22"/>
      <c r="P4538" s="49"/>
      <c r="Q4538" s="49"/>
      <c r="R4538" s="188" t="str">
        <f t="shared" si="147"/>
        <v/>
      </c>
      <c r="T4538" s="21"/>
      <c r="U4538" s="22"/>
      <c r="V4538" s="24"/>
      <c r="W4538" s="24"/>
      <c r="X4538" s="24"/>
      <c r="Y4538" s="24"/>
      <c r="Z4538" s="20" t="str">
        <f t="shared" si="146"/>
        <v/>
      </c>
    </row>
    <row r="4539" spans="1:26" x14ac:dyDescent="0.2">
      <c r="A4539" s="21"/>
      <c r="B4539" s="20"/>
      <c r="C4539" s="22"/>
      <c r="D4539" s="22"/>
      <c r="E4539" s="24"/>
      <c r="F4539" s="22"/>
      <c r="H4539" s="21"/>
      <c r="I4539" s="22"/>
      <c r="J4539" s="22"/>
      <c r="K4539" s="24"/>
      <c r="M4539" s="21"/>
      <c r="N4539" s="22"/>
      <c r="O4539" s="22"/>
      <c r="P4539" s="49"/>
      <c r="Q4539" s="49"/>
      <c r="R4539" s="188" t="str">
        <f t="shared" si="147"/>
        <v/>
      </c>
      <c r="T4539" s="21"/>
      <c r="U4539" s="22"/>
      <c r="V4539" s="24"/>
      <c r="W4539" s="24"/>
      <c r="X4539" s="24"/>
      <c r="Y4539" s="24"/>
      <c r="Z4539" s="20" t="str">
        <f t="shared" si="146"/>
        <v/>
      </c>
    </row>
    <row r="4540" spans="1:26" x14ac:dyDescent="0.2">
      <c r="A4540" s="21"/>
      <c r="B4540" s="20"/>
      <c r="C4540" s="22"/>
      <c r="D4540" s="22"/>
      <c r="E4540" s="24"/>
      <c r="F4540" s="22"/>
      <c r="H4540" s="21"/>
      <c r="I4540" s="22"/>
      <c r="J4540" s="22"/>
      <c r="K4540" s="24"/>
      <c r="M4540" s="21"/>
      <c r="N4540" s="22"/>
      <c r="O4540" s="22"/>
      <c r="P4540" s="49"/>
      <c r="Q4540" s="49"/>
      <c r="R4540" s="188" t="str">
        <f t="shared" si="147"/>
        <v/>
      </c>
      <c r="T4540" s="21"/>
      <c r="U4540" s="22"/>
      <c r="V4540" s="24"/>
      <c r="W4540" s="24"/>
      <c r="X4540" s="24"/>
      <c r="Y4540" s="24"/>
      <c r="Z4540" s="20" t="str">
        <f t="shared" si="146"/>
        <v/>
      </c>
    </row>
    <row r="4541" spans="1:26" x14ac:dyDescent="0.2">
      <c r="A4541" s="21"/>
      <c r="B4541" s="20"/>
      <c r="C4541" s="22"/>
      <c r="D4541" s="22"/>
      <c r="E4541" s="24"/>
      <c r="F4541" s="22"/>
      <c r="H4541" s="21"/>
      <c r="I4541" s="22"/>
      <c r="J4541" s="22"/>
      <c r="K4541" s="24"/>
      <c r="M4541" s="21"/>
      <c r="N4541" s="22"/>
      <c r="O4541" s="22"/>
      <c r="P4541" s="49"/>
      <c r="Q4541" s="49"/>
      <c r="R4541" s="188" t="str">
        <f t="shared" si="147"/>
        <v/>
      </c>
      <c r="T4541" s="21"/>
      <c r="U4541" s="22"/>
      <c r="V4541" s="24"/>
      <c r="W4541" s="24"/>
      <c r="X4541" s="24"/>
      <c r="Y4541" s="24"/>
      <c r="Z4541" s="20" t="str">
        <f t="shared" si="146"/>
        <v/>
      </c>
    </row>
    <row r="4542" spans="1:26" x14ac:dyDescent="0.2">
      <c r="A4542" s="21"/>
      <c r="B4542" s="20"/>
      <c r="C4542" s="22"/>
      <c r="D4542" s="22"/>
      <c r="E4542" s="24"/>
      <c r="F4542" s="22"/>
      <c r="H4542" s="21"/>
      <c r="I4542" s="22"/>
      <c r="J4542" s="22"/>
      <c r="K4542" s="24"/>
      <c r="M4542" s="21"/>
      <c r="N4542" s="22"/>
      <c r="O4542" s="22"/>
      <c r="P4542" s="49"/>
      <c r="Q4542" s="49"/>
      <c r="R4542" s="188" t="str">
        <f t="shared" si="147"/>
        <v/>
      </c>
      <c r="T4542" s="21"/>
      <c r="U4542" s="22"/>
      <c r="V4542" s="24"/>
      <c r="W4542" s="24"/>
      <c r="X4542" s="24"/>
      <c r="Y4542" s="24"/>
      <c r="Z4542" s="20" t="str">
        <f t="shared" si="146"/>
        <v/>
      </c>
    </row>
    <row r="4543" spans="1:26" x14ac:dyDescent="0.2">
      <c r="A4543" s="21"/>
      <c r="B4543" s="20"/>
      <c r="C4543" s="22"/>
      <c r="D4543" s="22"/>
      <c r="E4543" s="24"/>
      <c r="F4543" s="22"/>
      <c r="H4543" s="21"/>
      <c r="I4543" s="22"/>
      <c r="J4543" s="22"/>
      <c r="K4543" s="24"/>
      <c r="M4543" s="21"/>
      <c r="N4543" s="22"/>
      <c r="O4543" s="22"/>
      <c r="P4543" s="49"/>
      <c r="Q4543" s="49"/>
      <c r="R4543" s="188" t="str">
        <f t="shared" si="147"/>
        <v/>
      </c>
      <c r="T4543" s="21"/>
      <c r="U4543" s="22"/>
      <c r="V4543" s="24"/>
      <c r="W4543" s="24"/>
      <c r="X4543" s="24"/>
      <c r="Y4543" s="24"/>
      <c r="Z4543" s="20" t="str">
        <f t="shared" si="146"/>
        <v/>
      </c>
    </row>
    <row r="4544" spans="1:26" x14ac:dyDescent="0.2">
      <c r="A4544" s="21"/>
      <c r="B4544" s="20"/>
      <c r="C4544" s="22"/>
      <c r="D4544" s="22"/>
      <c r="E4544" s="24"/>
      <c r="F4544" s="22"/>
      <c r="H4544" s="21"/>
      <c r="I4544" s="22"/>
      <c r="J4544" s="22"/>
      <c r="K4544" s="24"/>
      <c r="M4544" s="21"/>
      <c r="N4544" s="22"/>
      <c r="O4544" s="22"/>
      <c r="P4544" s="49"/>
      <c r="Q4544" s="49"/>
      <c r="R4544" s="188" t="str">
        <f t="shared" si="147"/>
        <v/>
      </c>
      <c r="T4544" s="21"/>
      <c r="U4544" s="22"/>
      <c r="V4544" s="24"/>
      <c r="W4544" s="24"/>
      <c r="X4544" s="24"/>
      <c r="Y4544" s="24"/>
      <c r="Z4544" s="20" t="str">
        <f t="shared" si="146"/>
        <v/>
      </c>
    </row>
    <row r="4545" spans="1:26" x14ac:dyDescent="0.2">
      <c r="A4545" s="21"/>
      <c r="B4545" s="20"/>
      <c r="C4545" s="22"/>
      <c r="D4545" s="22"/>
      <c r="E4545" s="24"/>
      <c r="F4545" s="22"/>
      <c r="H4545" s="21"/>
      <c r="I4545" s="22"/>
      <c r="J4545" s="22"/>
      <c r="K4545" s="24"/>
      <c r="M4545" s="21"/>
      <c r="N4545" s="22"/>
      <c r="O4545" s="22"/>
      <c r="P4545" s="49"/>
      <c r="Q4545" s="49"/>
      <c r="R4545" s="188" t="str">
        <f t="shared" si="147"/>
        <v/>
      </c>
      <c r="T4545" s="21"/>
      <c r="U4545" s="22"/>
      <c r="V4545" s="24"/>
      <c r="W4545" s="24"/>
      <c r="X4545" s="24"/>
      <c r="Y4545" s="24"/>
      <c r="Z4545" s="20" t="str">
        <f t="shared" si="146"/>
        <v/>
      </c>
    </row>
    <row r="4546" spans="1:26" x14ac:dyDescent="0.2">
      <c r="A4546" s="21"/>
      <c r="B4546" s="20"/>
      <c r="C4546" s="22"/>
      <c r="D4546" s="22"/>
      <c r="E4546" s="24"/>
      <c r="F4546" s="22"/>
      <c r="H4546" s="21"/>
      <c r="I4546" s="22"/>
      <c r="J4546" s="22"/>
      <c r="K4546" s="24"/>
      <c r="M4546" s="21"/>
      <c r="N4546" s="22"/>
      <c r="O4546" s="22"/>
      <c r="P4546" s="49"/>
      <c r="Q4546" s="49"/>
      <c r="R4546" s="188" t="str">
        <f t="shared" si="147"/>
        <v/>
      </c>
      <c r="T4546" s="21"/>
      <c r="U4546" s="22"/>
      <c r="V4546" s="24"/>
      <c r="W4546" s="24"/>
      <c r="X4546" s="24"/>
      <c r="Y4546" s="24"/>
      <c r="Z4546" s="20" t="str">
        <f t="shared" si="146"/>
        <v/>
      </c>
    </row>
    <row r="4547" spans="1:26" x14ac:dyDescent="0.2">
      <c r="A4547" s="21"/>
      <c r="B4547" s="20"/>
      <c r="C4547" s="22"/>
      <c r="D4547" s="22"/>
      <c r="E4547" s="24"/>
      <c r="F4547" s="22"/>
      <c r="H4547" s="21"/>
      <c r="I4547" s="22"/>
      <c r="J4547" s="22"/>
      <c r="K4547" s="24"/>
      <c r="M4547" s="21"/>
      <c r="N4547" s="22"/>
      <c r="O4547" s="22"/>
      <c r="P4547" s="49"/>
      <c r="Q4547" s="49"/>
      <c r="R4547" s="188" t="str">
        <f t="shared" si="147"/>
        <v/>
      </c>
      <c r="T4547" s="21"/>
      <c r="U4547" s="22"/>
      <c r="V4547" s="24"/>
      <c r="W4547" s="24"/>
      <c r="X4547" s="24"/>
      <c r="Y4547" s="24"/>
      <c r="Z4547" s="20" t="str">
        <f t="shared" si="146"/>
        <v/>
      </c>
    </row>
    <row r="4548" spans="1:26" x14ac:dyDescent="0.2">
      <c r="A4548" s="21"/>
      <c r="B4548" s="20"/>
      <c r="C4548" s="22"/>
      <c r="D4548" s="22"/>
      <c r="E4548" s="24"/>
      <c r="F4548" s="22"/>
      <c r="H4548" s="21"/>
      <c r="I4548" s="22"/>
      <c r="J4548" s="22"/>
      <c r="K4548" s="24"/>
      <c r="M4548" s="21"/>
      <c r="N4548" s="22"/>
      <c r="O4548" s="22"/>
      <c r="P4548" s="49"/>
      <c r="Q4548" s="49"/>
      <c r="R4548" s="188" t="str">
        <f t="shared" si="147"/>
        <v/>
      </c>
      <c r="T4548" s="21"/>
      <c r="U4548" s="22"/>
      <c r="V4548" s="24"/>
      <c r="W4548" s="24"/>
      <c r="X4548" s="24"/>
      <c r="Y4548" s="24"/>
      <c r="Z4548" s="20" t="str">
        <f t="shared" si="146"/>
        <v/>
      </c>
    </row>
    <row r="4549" spans="1:26" x14ac:dyDescent="0.2">
      <c r="A4549" s="21"/>
      <c r="B4549" s="20"/>
      <c r="C4549" s="22"/>
      <c r="D4549" s="22"/>
      <c r="E4549" s="24"/>
      <c r="F4549" s="22"/>
      <c r="H4549" s="21"/>
      <c r="I4549" s="22"/>
      <c r="J4549" s="22"/>
      <c r="K4549" s="24"/>
      <c r="M4549" s="21"/>
      <c r="N4549" s="22"/>
      <c r="O4549" s="22"/>
      <c r="P4549" s="49"/>
      <c r="Q4549" s="49"/>
      <c r="R4549" s="188" t="str">
        <f t="shared" si="147"/>
        <v/>
      </c>
      <c r="T4549" s="21"/>
      <c r="U4549" s="22"/>
      <c r="V4549" s="24"/>
      <c r="W4549" s="24"/>
      <c r="X4549" s="24"/>
      <c r="Y4549" s="24"/>
      <c r="Z4549" s="20" t="str">
        <f t="shared" si="146"/>
        <v/>
      </c>
    </row>
    <row r="4550" spans="1:26" x14ac:dyDescent="0.2">
      <c r="A4550" s="21"/>
      <c r="B4550" s="20"/>
      <c r="C4550" s="22"/>
      <c r="D4550" s="22"/>
      <c r="E4550" s="24"/>
      <c r="F4550" s="22"/>
      <c r="H4550" s="21"/>
      <c r="I4550" s="22"/>
      <c r="J4550" s="22"/>
      <c r="K4550" s="24"/>
      <c r="M4550" s="21"/>
      <c r="N4550" s="22"/>
      <c r="O4550" s="22"/>
      <c r="P4550" s="49"/>
      <c r="Q4550" s="49"/>
      <c r="R4550" s="188" t="str">
        <f t="shared" si="147"/>
        <v/>
      </c>
      <c r="T4550" s="21"/>
      <c r="U4550" s="22"/>
      <c r="V4550" s="24"/>
      <c r="W4550" s="24"/>
      <c r="X4550" s="24"/>
      <c r="Y4550" s="24"/>
      <c r="Z4550" s="20" t="str">
        <f t="shared" si="146"/>
        <v/>
      </c>
    </row>
    <row r="4551" spans="1:26" x14ac:dyDescent="0.2">
      <c r="A4551" s="21"/>
      <c r="B4551" s="20"/>
      <c r="C4551" s="22"/>
      <c r="D4551" s="22"/>
      <c r="E4551" s="24"/>
      <c r="F4551" s="22"/>
      <c r="H4551" s="21"/>
      <c r="I4551" s="22"/>
      <c r="J4551" s="22"/>
      <c r="K4551" s="24"/>
      <c r="M4551" s="21"/>
      <c r="N4551" s="22"/>
      <c r="O4551" s="22"/>
      <c r="P4551" s="49"/>
      <c r="Q4551" s="49"/>
      <c r="R4551" s="188" t="str">
        <f t="shared" si="147"/>
        <v/>
      </c>
      <c r="T4551" s="21"/>
      <c r="U4551" s="22"/>
      <c r="V4551" s="24"/>
      <c r="W4551" s="24"/>
      <c r="X4551" s="24"/>
      <c r="Y4551" s="24"/>
      <c r="Z4551" s="20" t="str">
        <f t="shared" si="146"/>
        <v/>
      </c>
    </row>
    <row r="4552" spans="1:26" x14ac:dyDescent="0.2">
      <c r="A4552" s="21"/>
      <c r="B4552" s="20"/>
      <c r="C4552" s="22"/>
      <c r="D4552" s="22"/>
      <c r="E4552" s="24"/>
      <c r="F4552" s="22"/>
      <c r="H4552" s="21"/>
      <c r="I4552" s="22"/>
      <c r="J4552" s="22"/>
      <c r="K4552" s="24"/>
      <c r="M4552" s="21"/>
      <c r="N4552" s="22"/>
      <c r="O4552" s="22"/>
      <c r="P4552" s="49"/>
      <c r="Q4552" s="49"/>
      <c r="R4552" s="188" t="str">
        <f t="shared" si="147"/>
        <v/>
      </c>
      <c r="T4552" s="21"/>
      <c r="U4552" s="22"/>
      <c r="V4552" s="24"/>
      <c r="W4552" s="24"/>
      <c r="X4552" s="24"/>
      <c r="Y4552" s="24"/>
      <c r="Z4552" s="20" t="str">
        <f t="shared" si="146"/>
        <v/>
      </c>
    </row>
    <row r="4553" spans="1:26" x14ac:dyDescent="0.2">
      <c r="A4553" s="21"/>
      <c r="B4553" s="20"/>
      <c r="C4553" s="22"/>
      <c r="D4553" s="22"/>
      <c r="E4553" s="24"/>
      <c r="F4553" s="22"/>
      <c r="H4553" s="21"/>
      <c r="I4553" s="22"/>
      <c r="J4553" s="22"/>
      <c r="K4553" s="24"/>
      <c r="M4553" s="21"/>
      <c r="N4553" s="22"/>
      <c r="O4553" s="22"/>
      <c r="P4553" s="49"/>
      <c r="Q4553" s="49"/>
      <c r="R4553" s="188" t="str">
        <f t="shared" si="147"/>
        <v/>
      </c>
      <c r="T4553" s="21"/>
      <c r="U4553" s="22"/>
      <c r="V4553" s="24"/>
      <c r="W4553" s="24"/>
      <c r="X4553" s="24"/>
      <c r="Y4553" s="24"/>
      <c r="Z4553" s="20" t="str">
        <f t="shared" si="146"/>
        <v/>
      </c>
    </row>
    <row r="4554" spans="1:26" x14ac:dyDescent="0.2">
      <c r="A4554" s="21"/>
      <c r="B4554" s="20"/>
      <c r="C4554" s="22"/>
      <c r="D4554" s="22"/>
      <c r="E4554" s="24"/>
      <c r="F4554" s="22"/>
      <c r="H4554" s="21"/>
      <c r="I4554" s="22"/>
      <c r="J4554" s="22"/>
      <c r="K4554" s="24"/>
      <c r="M4554" s="21"/>
      <c r="N4554" s="22"/>
      <c r="O4554" s="22"/>
      <c r="P4554" s="49"/>
      <c r="Q4554" s="49"/>
      <c r="R4554" s="188" t="str">
        <f t="shared" si="147"/>
        <v/>
      </c>
      <c r="T4554" s="21"/>
      <c r="U4554" s="22"/>
      <c r="V4554" s="24"/>
      <c r="W4554" s="24"/>
      <c r="X4554" s="24"/>
      <c r="Y4554" s="24"/>
      <c r="Z4554" s="20" t="str">
        <f t="shared" si="146"/>
        <v/>
      </c>
    </row>
    <row r="4555" spans="1:26" x14ac:dyDescent="0.2">
      <c r="A4555" s="21"/>
      <c r="B4555" s="20"/>
      <c r="C4555" s="22"/>
      <c r="D4555" s="22"/>
      <c r="E4555" s="24"/>
      <c r="F4555" s="22"/>
      <c r="H4555" s="21"/>
      <c r="I4555" s="22"/>
      <c r="J4555" s="22"/>
      <c r="K4555" s="24"/>
      <c r="M4555" s="21"/>
      <c r="N4555" s="22"/>
      <c r="O4555" s="22"/>
      <c r="P4555" s="49"/>
      <c r="Q4555" s="49"/>
      <c r="R4555" s="188" t="str">
        <f t="shared" si="147"/>
        <v/>
      </c>
      <c r="T4555" s="21"/>
      <c r="U4555" s="22"/>
      <c r="V4555" s="24"/>
      <c r="W4555" s="24"/>
      <c r="X4555" s="24"/>
      <c r="Y4555" s="24"/>
      <c r="Z4555" s="20" t="str">
        <f t="shared" si="146"/>
        <v/>
      </c>
    </row>
    <row r="4556" spans="1:26" x14ac:dyDescent="0.2">
      <c r="A4556" s="21"/>
      <c r="B4556" s="20"/>
      <c r="C4556" s="22"/>
      <c r="D4556" s="22"/>
      <c r="E4556" s="24"/>
      <c r="F4556" s="22"/>
      <c r="H4556" s="21"/>
      <c r="I4556" s="22"/>
      <c r="J4556" s="22"/>
      <c r="K4556" s="24"/>
      <c r="M4556" s="21"/>
      <c r="N4556" s="22"/>
      <c r="O4556" s="22"/>
      <c r="P4556" s="49"/>
      <c r="Q4556" s="49"/>
      <c r="R4556" s="188" t="str">
        <f t="shared" si="147"/>
        <v/>
      </c>
      <c r="T4556" s="21"/>
      <c r="U4556" s="22"/>
      <c r="V4556" s="24"/>
      <c r="W4556" s="24"/>
      <c r="X4556" s="24"/>
      <c r="Y4556" s="24"/>
      <c r="Z4556" s="20" t="str">
        <f t="shared" si="146"/>
        <v/>
      </c>
    </row>
    <row r="4557" spans="1:26" x14ac:dyDescent="0.2">
      <c r="A4557" s="21"/>
      <c r="B4557" s="20"/>
      <c r="C4557" s="22"/>
      <c r="D4557" s="22"/>
      <c r="E4557" s="24"/>
      <c r="F4557" s="22"/>
      <c r="H4557" s="21"/>
      <c r="I4557" s="22"/>
      <c r="J4557" s="22"/>
      <c r="K4557" s="24"/>
      <c r="M4557" s="21"/>
      <c r="N4557" s="22"/>
      <c r="O4557" s="22"/>
      <c r="P4557" s="49"/>
      <c r="Q4557" s="49"/>
      <c r="R4557" s="188" t="str">
        <f t="shared" si="147"/>
        <v/>
      </c>
      <c r="T4557" s="21"/>
      <c r="U4557" s="22"/>
      <c r="V4557" s="24"/>
      <c r="W4557" s="24"/>
      <c r="X4557" s="24"/>
      <c r="Y4557" s="24"/>
      <c r="Z4557" s="20" t="str">
        <f t="shared" si="146"/>
        <v/>
      </c>
    </row>
    <row r="4558" spans="1:26" x14ac:dyDescent="0.2">
      <c r="A4558" s="21"/>
      <c r="B4558" s="20"/>
      <c r="C4558" s="22"/>
      <c r="D4558" s="22"/>
      <c r="E4558" s="24"/>
      <c r="F4558" s="22"/>
      <c r="H4558" s="21"/>
      <c r="I4558" s="22"/>
      <c r="J4558" s="22"/>
      <c r="K4558" s="24"/>
      <c r="M4558" s="21"/>
      <c r="N4558" s="22"/>
      <c r="O4558" s="22"/>
      <c r="P4558" s="49"/>
      <c r="Q4558" s="49"/>
      <c r="R4558" s="188" t="str">
        <f t="shared" si="147"/>
        <v/>
      </c>
      <c r="T4558" s="21"/>
      <c r="U4558" s="22"/>
      <c r="V4558" s="24"/>
      <c r="W4558" s="24"/>
      <c r="X4558" s="24"/>
      <c r="Y4558" s="24"/>
      <c r="Z4558" s="20" t="str">
        <f t="shared" si="146"/>
        <v/>
      </c>
    </row>
    <row r="4559" spans="1:26" x14ac:dyDescent="0.2">
      <c r="A4559" s="21"/>
      <c r="B4559" s="20"/>
      <c r="C4559" s="22"/>
      <c r="D4559" s="22"/>
      <c r="E4559" s="24"/>
      <c r="F4559" s="22"/>
      <c r="H4559" s="21"/>
      <c r="I4559" s="22"/>
      <c r="J4559" s="22"/>
      <c r="K4559" s="24"/>
      <c r="M4559" s="21"/>
      <c r="N4559" s="22"/>
      <c r="O4559" s="22"/>
      <c r="P4559" s="49"/>
      <c r="Q4559" s="49"/>
      <c r="R4559" s="188" t="str">
        <f t="shared" si="147"/>
        <v/>
      </c>
      <c r="T4559" s="21"/>
      <c r="U4559" s="22"/>
      <c r="V4559" s="24"/>
      <c r="W4559" s="24"/>
      <c r="X4559" s="24"/>
      <c r="Y4559" s="24"/>
      <c r="Z4559" s="20" t="str">
        <f t="shared" si="146"/>
        <v/>
      </c>
    </row>
    <row r="4560" spans="1:26" x14ac:dyDescent="0.2">
      <c r="A4560" s="21"/>
      <c r="B4560" s="20"/>
      <c r="C4560" s="22"/>
      <c r="D4560" s="22"/>
      <c r="E4560" s="24"/>
      <c r="F4560" s="22"/>
      <c r="H4560" s="21"/>
      <c r="I4560" s="22"/>
      <c r="J4560" s="22"/>
      <c r="K4560" s="24"/>
      <c r="M4560" s="21"/>
      <c r="N4560" s="22"/>
      <c r="O4560" s="22"/>
      <c r="P4560" s="49"/>
      <c r="Q4560" s="49"/>
      <c r="R4560" s="188" t="str">
        <f t="shared" si="147"/>
        <v/>
      </c>
      <c r="T4560" s="21"/>
      <c r="U4560" s="22"/>
      <c r="V4560" s="24"/>
      <c r="W4560" s="24"/>
      <c r="X4560" s="24"/>
      <c r="Y4560" s="24"/>
      <c r="Z4560" s="20" t="str">
        <f t="shared" si="146"/>
        <v/>
      </c>
    </row>
    <row r="4561" spans="1:26" x14ac:dyDescent="0.2">
      <c r="A4561" s="21"/>
      <c r="B4561" s="20"/>
      <c r="C4561" s="22"/>
      <c r="D4561" s="22"/>
      <c r="E4561" s="24"/>
      <c r="F4561" s="22"/>
      <c r="H4561" s="21"/>
      <c r="I4561" s="22"/>
      <c r="J4561" s="22"/>
      <c r="K4561" s="24"/>
      <c r="M4561" s="21"/>
      <c r="N4561" s="22"/>
      <c r="O4561" s="22"/>
      <c r="P4561" s="49"/>
      <c r="Q4561" s="49"/>
      <c r="R4561" s="188" t="str">
        <f t="shared" si="147"/>
        <v/>
      </c>
      <c r="T4561" s="21"/>
      <c r="U4561" s="22"/>
      <c r="V4561" s="24"/>
      <c r="W4561" s="24"/>
      <c r="X4561" s="24"/>
      <c r="Y4561" s="24"/>
      <c r="Z4561" s="20" t="str">
        <f t="shared" si="146"/>
        <v/>
      </c>
    </row>
    <row r="4562" spans="1:26" x14ac:dyDescent="0.2">
      <c r="A4562" s="21"/>
      <c r="B4562" s="20"/>
      <c r="C4562" s="22"/>
      <c r="D4562" s="22"/>
      <c r="E4562" s="24"/>
      <c r="F4562" s="22"/>
      <c r="H4562" s="21"/>
      <c r="I4562" s="22"/>
      <c r="J4562" s="22"/>
      <c r="K4562" s="24"/>
      <c r="M4562" s="21"/>
      <c r="N4562" s="22"/>
      <c r="O4562" s="22"/>
      <c r="P4562" s="49"/>
      <c r="Q4562" s="49"/>
      <c r="R4562" s="188" t="str">
        <f t="shared" si="147"/>
        <v/>
      </c>
      <c r="T4562" s="21"/>
      <c r="U4562" s="22"/>
      <c r="V4562" s="24"/>
      <c r="W4562" s="24"/>
      <c r="X4562" s="24"/>
      <c r="Y4562" s="24"/>
      <c r="Z4562" s="20" t="str">
        <f t="shared" si="146"/>
        <v/>
      </c>
    </row>
    <row r="4563" spans="1:26" x14ac:dyDescent="0.2">
      <c r="A4563" s="21"/>
      <c r="B4563" s="20"/>
      <c r="C4563" s="22"/>
      <c r="D4563" s="22"/>
      <c r="E4563" s="24"/>
      <c r="F4563" s="22"/>
      <c r="H4563" s="21"/>
      <c r="I4563" s="22"/>
      <c r="J4563" s="22"/>
      <c r="K4563" s="24"/>
      <c r="M4563" s="21"/>
      <c r="N4563" s="22"/>
      <c r="O4563" s="22"/>
      <c r="P4563" s="49"/>
      <c r="Q4563" s="49"/>
      <c r="R4563" s="188" t="str">
        <f t="shared" si="147"/>
        <v/>
      </c>
      <c r="T4563" s="21"/>
      <c r="U4563" s="22"/>
      <c r="V4563" s="24"/>
      <c r="W4563" s="24"/>
      <c r="X4563" s="24"/>
      <c r="Y4563" s="24"/>
      <c r="Z4563" s="20" t="str">
        <f t="shared" ref="Z4563:Z4626" si="148">IF(COUNT(V4563:Y4563)=0,"",SUM(V4563:Y4563))</f>
        <v/>
      </c>
    </row>
    <row r="4564" spans="1:26" x14ac:dyDescent="0.2">
      <c r="A4564" s="21"/>
      <c r="B4564" s="20"/>
      <c r="C4564" s="22"/>
      <c r="D4564" s="22"/>
      <c r="E4564" s="24"/>
      <c r="F4564" s="22"/>
      <c r="H4564" s="21"/>
      <c r="I4564" s="22"/>
      <c r="J4564" s="22"/>
      <c r="K4564" s="24"/>
      <c r="M4564" s="21"/>
      <c r="N4564" s="22"/>
      <c r="O4564" s="22"/>
      <c r="P4564" s="49"/>
      <c r="Q4564" s="49"/>
      <c r="R4564" s="188" t="str">
        <f t="shared" si="147"/>
        <v/>
      </c>
      <c r="T4564" s="21"/>
      <c r="U4564" s="22"/>
      <c r="V4564" s="24"/>
      <c r="W4564" s="24"/>
      <c r="X4564" s="24"/>
      <c r="Y4564" s="24"/>
      <c r="Z4564" s="20" t="str">
        <f t="shared" si="148"/>
        <v/>
      </c>
    </row>
    <row r="4565" spans="1:26" x14ac:dyDescent="0.2">
      <c r="A4565" s="21"/>
      <c r="B4565" s="20"/>
      <c r="C4565" s="22"/>
      <c r="D4565" s="22"/>
      <c r="E4565" s="24"/>
      <c r="F4565" s="22"/>
      <c r="H4565" s="21"/>
      <c r="I4565" s="22"/>
      <c r="J4565" s="22"/>
      <c r="K4565" s="24"/>
      <c r="M4565" s="21"/>
      <c r="N4565" s="22"/>
      <c r="O4565" s="22"/>
      <c r="P4565" s="49"/>
      <c r="Q4565" s="49"/>
      <c r="R4565" s="188" t="str">
        <f t="shared" si="147"/>
        <v/>
      </c>
      <c r="T4565" s="21"/>
      <c r="U4565" s="22"/>
      <c r="V4565" s="24"/>
      <c r="W4565" s="24"/>
      <c r="X4565" s="24"/>
      <c r="Y4565" s="24"/>
      <c r="Z4565" s="20" t="str">
        <f t="shared" si="148"/>
        <v/>
      </c>
    </row>
    <row r="4566" spans="1:26" x14ac:dyDescent="0.2">
      <c r="A4566" s="21"/>
      <c r="B4566" s="20"/>
      <c r="C4566" s="22"/>
      <c r="D4566" s="22"/>
      <c r="E4566" s="24"/>
      <c r="F4566" s="22"/>
      <c r="H4566" s="21"/>
      <c r="I4566" s="22"/>
      <c r="J4566" s="22"/>
      <c r="K4566" s="24"/>
      <c r="M4566" s="21"/>
      <c r="N4566" s="22"/>
      <c r="O4566" s="22"/>
      <c r="P4566" s="49"/>
      <c r="Q4566" s="49"/>
      <c r="R4566" s="188" t="str">
        <f t="shared" ref="R4566:R4629" si="149">IF(OR(P4566="",Q4566=""),"",IFERROR(P4566-Q4566,""))</f>
        <v/>
      </c>
      <c r="T4566" s="21"/>
      <c r="U4566" s="22"/>
      <c r="V4566" s="24"/>
      <c r="W4566" s="24"/>
      <c r="X4566" s="24"/>
      <c r="Y4566" s="24"/>
      <c r="Z4566" s="20" t="str">
        <f t="shared" si="148"/>
        <v/>
      </c>
    </row>
    <row r="4567" spans="1:26" x14ac:dyDescent="0.2">
      <c r="A4567" s="21"/>
      <c r="B4567" s="20"/>
      <c r="C4567" s="22"/>
      <c r="D4567" s="22"/>
      <c r="E4567" s="24"/>
      <c r="F4567" s="22"/>
      <c r="H4567" s="21"/>
      <c r="I4567" s="22"/>
      <c r="J4567" s="22"/>
      <c r="K4567" s="24"/>
      <c r="M4567" s="21"/>
      <c r="N4567" s="22"/>
      <c r="O4567" s="22"/>
      <c r="P4567" s="49"/>
      <c r="Q4567" s="49"/>
      <c r="R4567" s="188" t="str">
        <f t="shared" si="149"/>
        <v/>
      </c>
      <c r="T4567" s="21"/>
      <c r="U4567" s="22"/>
      <c r="V4567" s="24"/>
      <c r="W4567" s="24"/>
      <c r="X4567" s="24"/>
      <c r="Y4567" s="24"/>
      <c r="Z4567" s="20" t="str">
        <f t="shared" si="148"/>
        <v/>
      </c>
    </row>
    <row r="4568" spans="1:26" x14ac:dyDescent="0.2">
      <c r="A4568" s="21"/>
      <c r="B4568" s="20"/>
      <c r="C4568" s="22"/>
      <c r="D4568" s="22"/>
      <c r="E4568" s="24"/>
      <c r="F4568" s="22"/>
      <c r="H4568" s="21"/>
      <c r="I4568" s="22"/>
      <c r="J4568" s="22"/>
      <c r="K4568" s="24"/>
      <c r="M4568" s="21"/>
      <c r="N4568" s="22"/>
      <c r="O4568" s="22"/>
      <c r="P4568" s="49"/>
      <c r="Q4568" s="49"/>
      <c r="R4568" s="188" t="str">
        <f t="shared" si="149"/>
        <v/>
      </c>
      <c r="T4568" s="21"/>
      <c r="U4568" s="22"/>
      <c r="V4568" s="24"/>
      <c r="W4568" s="24"/>
      <c r="X4568" s="24"/>
      <c r="Y4568" s="24"/>
      <c r="Z4568" s="20" t="str">
        <f t="shared" si="148"/>
        <v/>
      </c>
    </row>
    <row r="4569" spans="1:26" x14ac:dyDescent="0.2">
      <c r="A4569" s="21"/>
      <c r="B4569" s="20"/>
      <c r="C4569" s="22"/>
      <c r="D4569" s="22"/>
      <c r="E4569" s="24"/>
      <c r="F4569" s="22"/>
      <c r="H4569" s="21"/>
      <c r="I4569" s="22"/>
      <c r="J4569" s="22"/>
      <c r="K4569" s="24"/>
      <c r="M4569" s="21"/>
      <c r="N4569" s="22"/>
      <c r="O4569" s="22"/>
      <c r="P4569" s="49"/>
      <c r="Q4569" s="49"/>
      <c r="R4569" s="188" t="str">
        <f t="shared" si="149"/>
        <v/>
      </c>
      <c r="T4569" s="21"/>
      <c r="U4569" s="22"/>
      <c r="V4569" s="24"/>
      <c r="W4569" s="24"/>
      <c r="X4569" s="24"/>
      <c r="Y4569" s="24"/>
      <c r="Z4569" s="20" t="str">
        <f t="shared" si="148"/>
        <v/>
      </c>
    </row>
    <row r="4570" spans="1:26" x14ac:dyDescent="0.2">
      <c r="A4570" s="21"/>
      <c r="B4570" s="20"/>
      <c r="C4570" s="22"/>
      <c r="D4570" s="22"/>
      <c r="E4570" s="24"/>
      <c r="F4570" s="22"/>
      <c r="H4570" s="21"/>
      <c r="I4570" s="22"/>
      <c r="J4570" s="22"/>
      <c r="K4570" s="24"/>
      <c r="M4570" s="21"/>
      <c r="N4570" s="22"/>
      <c r="O4570" s="22"/>
      <c r="P4570" s="49"/>
      <c r="Q4570" s="49"/>
      <c r="R4570" s="188" t="str">
        <f t="shared" si="149"/>
        <v/>
      </c>
      <c r="T4570" s="21"/>
      <c r="U4570" s="22"/>
      <c r="V4570" s="24"/>
      <c r="W4570" s="24"/>
      <c r="X4570" s="24"/>
      <c r="Y4570" s="24"/>
      <c r="Z4570" s="20" t="str">
        <f t="shared" si="148"/>
        <v/>
      </c>
    </row>
    <row r="4571" spans="1:26" x14ac:dyDescent="0.2">
      <c r="A4571" s="21"/>
      <c r="B4571" s="20"/>
      <c r="C4571" s="22"/>
      <c r="D4571" s="22"/>
      <c r="E4571" s="24"/>
      <c r="F4571" s="22"/>
      <c r="H4571" s="21"/>
      <c r="I4571" s="22"/>
      <c r="J4571" s="22"/>
      <c r="K4571" s="24"/>
      <c r="M4571" s="21"/>
      <c r="N4571" s="22"/>
      <c r="O4571" s="22"/>
      <c r="P4571" s="49"/>
      <c r="Q4571" s="49"/>
      <c r="R4571" s="188" t="str">
        <f t="shared" si="149"/>
        <v/>
      </c>
      <c r="T4571" s="21"/>
      <c r="U4571" s="22"/>
      <c r="V4571" s="24"/>
      <c r="W4571" s="24"/>
      <c r="X4571" s="24"/>
      <c r="Y4571" s="24"/>
      <c r="Z4571" s="20" t="str">
        <f t="shared" si="148"/>
        <v/>
      </c>
    </row>
    <row r="4572" spans="1:26" x14ac:dyDescent="0.2">
      <c r="A4572" s="21"/>
      <c r="B4572" s="20"/>
      <c r="C4572" s="22"/>
      <c r="D4572" s="22"/>
      <c r="E4572" s="24"/>
      <c r="F4572" s="22"/>
      <c r="H4572" s="21"/>
      <c r="I4572" s="22"/>
      <c r="J4572" s="22"/>
      <c r="K4572" s="24"/>
      <c r="M4572" s="21"/>
      <c r="N4572" s="22"/>
      <c r="O4572" s="22"/>
      <c r="P4572" s="49"/>
      <c r="Q4572" s="49"/>
      <c r="R4572" s="188" t="str">
        <f t="shared" si="149"/>
        <v/>
      </c>
      <c r="T4572" s="21"/>
      <c r="U4572" s="22"/>
      <c r="V4572" s="24"/>
      <c r="W4572" s="24"/>
      <c r="X4572" s="24"/>
      <c r="Y4572" s="24"/>
      <c r="Z4572" s="20" t="str">
        <f t="shared" si="148"/>
        <v/>
      </c>
    </row>
    <row r="4573" spans="1:26" x14ac:dyDescent="0.2">
      <c r="A4573" s="21"/>
      <c r="B4573" s="20"/>
      <c r="C4573" s="22"/>
      <c r="D4573" s="22"/>
      <c r="E4573" s="24"/>
      <c r="F4573" s="22"/>
      <c r="H4573" s="21"/>
      <c r="I4573" s="22"/>
      <c r="J4573" s="22"/>
      <c r="K4573" s="24"/>
      <c r="M4573" s="21"/>
      <c r="N4573" s="22"/>
      <c r="O4573" s="22"/>
      <c r="P4573" s="49"/>
      <c r="Q4573" s="49"/>
      <c r="R4573" s="188" t="str">
        <f t="shared" si="149"/>
        <v/>
      </c>
      <c r="T4573" s="21"/>
      <c r="U4573" s="22"/>
      <c r="V4573" s="24"/>
      <c r="W4573" s="24"/>
      <c r="X4573" s="24"/>
      <c r="Y4573" s="24"/>
      <c r="Z4573" s="20" t="str">
        <f t="shared" si="148"/>
        <v/>
      </c>
    </row>
    <row r="4574" spans="1:26" x14ac:dyDescent="0.2">
      <c r="A4574" s="21"/>
      <c r="B4574" s="20"/>
      <c r="C4574" s="22"/>
      <c r="D4574" s="22"/>
      <c r="E4574" s="24"/>
      <c r="F4574" s="22"/>
      <c r="H4574" s="21"/>
      <c r="I4574" s="22"/>
      <c r="J4574" s="22"/>
      <c r="K4574" s="24"/>
      <c r="M4574" s="21"/>
      <c r="N4574" s="22"/>
      <c r="O4574" s="22"/>
      <c r="P4574" s="49"/>
      <c r="Q4574" s="49"/>
      <c r="R4574" s="188" t="str">
        <f t="shared" si="149"/>
        <v/>
      </c>
      <c r="T4574" s="21"/>
      <c r="U4574" s="22"/>
      <c r="V4574" s="24"/>
      <c r="W4574" s="24"/>
      <c r="X4574" s="24"/>
      <c r="Y4574" s="24"/>
      <c r="Z4574" s="20" t="str">
        <f t="shared" si="148"/>
        <v/>
      </c>
    </row>
    <row r="4575" spans="1:26" x14ac:dyDescent="0.2">
      <c r="A4575" s="21"/>
      <c r="B4575" s="20"/>
      <c r="C4575" s="22"/>
      <c r="D4575" s="22"/>
      <c r="E4575" s="24"/>
      <c r="F4575" s="22"/>
      <c r="H4575" s="21"/>
      <c r="I4575" s="22"/>
      <c r="J4575" s="22"/>
      <c r="K4575" s="24"/>
      <c r="M4575" s="21"/>
      <c r="N4575" s="22"/>
      <c r="O4575" s="22"/>
      <c r="P4575" s="49"/>
      <c r="Q4575" s="49"/>
      <c r="R4575" s="188" t="str">
        <f t="shared" si="149"/>
        <v/>
      </c>
      <c r="T4575" s="21"/>
      <c r="U4575" s="22"/>
      <c r="V4575" s="24"/>
      <c r="W4575" s="24"/>
      <c r="X4575" s="24"/>
      <c r="Y4575" s="24"/>
      <c r="Z4575" s="20" t="str">
        <f t="shared" si="148"/>
        <v/>
      </c>
    </row>
    <row r="4576" spans="1:26" x14ac:dyDescent="0.2">
      <c r="A4576" s="21"/>
      <c r="B4576" s="20"/>
      <c r="C4576" s="22"/>
      <c r="D4576" s="22"/>
      <c r="E4576" s="24"/>
      <c r="F4576" s="22"/>
      <c r="H4576" s="21"/>
      <c r="I4576" s="22"/>
      <c r="J4576" s="22"/>
      <c r="K4576" s="24"/>
      <c r="M4576" s="21"/>
      <c r="N4576" s="22"/>
      <c r="O4576" s="22"/>
      <c r="P4576" s="49"/>
      <c r="Q4576" s="49"/>
      <c r="R4576" s="188" t="str">
        <f t="shared" si="149"/>
        <v/>
      </c>
      <c r="T4576" s="21"/>
      <c r="U4576" s="22"/>
      <c r="V4576" s="24"/>
      <c r="W4576" s="24"/>
      <c r="X4576" s="24"/>
      <c r="Y4576" s="24"/>
      <c r="Z4576" s="20" t="str">
        <f t="shared" si="148"/>
        <v/>
      </c>
    </row>
    <row r="4577" spans="1:26" x14ac:dyDescent="0.2">
      <c r="A4577" s="21"/>
      <c r="B4577" s="20"/>
      <c r="C4577" s="22"/>
      <c r="D4577" s="22"/>
      <c r="E4577" s="24"/>
      <c r="F4577" s="22"/>
      <c r="H4577" s="21"/>
      <c r="I4577" s="22"/>
      <c r="J4577" s="22"/>
      <c r="K4577" s="24"/>
      <c r="M4577" s="21"/>
      <c r="N4577" s="22"/>
      <c r="O4577" s="22"/>
      <c r="P4577" s="49"/>
      <c r="Q4577" s="49"/>
      <c r="R4577" s="188" t="str">
        <f t="shared" si="149"/>
        <v/>
      </c>
      <c r="T4577" s="21"/>
      <c r="U4577" s="22"/>
      <c r="V4577" s="24"/>
      <c r="W4577" s="24"/>
      <c r="X4577" s="24"/>
      <c r="Y4577" s="24"/>
      <c r="Z4577" s="20" t="str">
        <f t="shared" si="148"/>
        <v/>
      </c>
    </row>
    <row r="4578" spans="1:26" x14ac:dyDescent="0.2">
      <c r="A4578" s="21"/>
      <c r="B4578" s="20"/>
      <c r="C4578" s="22"/>
      <c r="D4578" s="22"/>
      <c r="E4578" s="24"/>
      <c r="F4578" s="22"/>
      <c r="H4578" s="21"/>
      <c r="I4578" s="22"/>
      <c r="J4578" s="22"/>
      <c r="K4578" s="24"/>
      <c r="M4578" s="21"/>
      <c r="N4578" s="22"/>
      <c r="O4578" s="22"/>
      <c r="P4578" s="49"/>
      <c r="Q4578" s="49"/>
      <c r="R4578" s="188" t="str">
        <f t="shared" si="149"/>
        <v/>
      </c>
      <c r="T4578" s="21"/>
      <c r="U4578" s="22"/>
      <c r="V4578" s="24"/>
      <c r="W4578" s="24"/>
      <c r="X4578" s="24"/>
      <c r="Y4578" s="24"/>
      <c r="Z4578" s="20" t="str">
        <f t="shared" si="148"/>
        <v/>
      </c>
    </row>
    <row r="4579" spans="1:26" x14ac:dyDescent="0.2">
      <c r="A4579" s="21"/>
      <c r="B4579" s="20"/>
      <c r="C4579" s="22"/>
      <c r="D4579" s="22"/>
      <c r="E4579" s="24"/>
      <c r="F4579" s="22"/>
      <c r="H4579" s="21"/>
      <c r="I4579" s="22"/>
      <c r="J4579" s="22"/>
      <c r="K4579" s="24"/>
      <c r="M4579" s="21"/>
      <c r="N4579" s="22"/>
      <c r="O4579" s="22"/>
      <c r="P4579" s="49"/>
      <c r="Q4579" s="49"/>
      <c r="R4579" s="188" t="str">
        <f t="shared" si="149"/>
        <v/>
      </c>
      <c r="T4579" s="21"/>
      <c r="U4579" s="22"/>
      <c r="V4579" s="24"/>
      <c r="W4579" s="24"/>
      <c r="X4579" s="24"/>
      <c r="Y4579" s="24"/>
      <c r="Z4579" s="20" t="str">
        <f t="shared" si="148"/>
        <v/>
      </c>
    </row>
    <row r="4580" spans="1:26" x14ac:dyDescent="0.2">
      <c r="A4580" s="21"/>
      <c r="B4580" s="20"/>
      <c r="C4580" s="22"/>
      <c r="D4580" s="22"/>
      <c r="E4580" s="24"/>
      <c r="F4580" s="22"/>
      <c r="H4580" s="21"/>
      <c r="I4580" s="22"/>
      <c r="J4580" s="22"/>
      <c r="K4580" s="24"/>
      <c r="M4580" s="21"/>
      <c r="N4580" s="22"/>
      <c r="O4580" s="22"/>
      <c r="P4580" s="49"/>
      <c r="Q4580" s="49"/>
      <c r="R4580" s="188" t="str">
        <f t="shared" si="149"/>
        <v/>
      </c>
      <c r="T4580" s="21"/>
      <c r="U4580" s="22"/>
      <c r="V4580" s="24"/>
      <c r="W4580" s="24"/>
      <c r="X4580" s="24"/>
      <c r="Y4580" s="24"/>
      <c r="Z4580" s="20" t="str">
        <f t="shared" si="148"/>
        <v/>
      </c>
    </row>
    <row r="4581" spans="1:26" x14ac:dyDescent="0.2">
      <c r="A4581" s="21"/>
      <c r="B4581" s="20"/>
      <c r="C4581" s="22"/>
      <c r="D4581" s="22"/>
      <c r="E4581" s="24"/>
      <c r="F4581" s="22"/>
      <c r="H4581" s="21"/>
      <c r="I4581" s="22"/>
      <c r="J4581" s="22"/>
      <c r="K4581" s="24"/>
      <c r="M4581" s="21"/>
      <c r="N4581" s="22"/>
      <c r="O4581" s="22"/>
      <c r="P4581" s="49"/>
      <c r="Q4581" s="49"/>
      <c r="R4581" s="188" t="str">
        <f t="shared" si="149"/>
        <v/>
      </c>
      <c r="T4581" s="21"/>
      <c r="U4581" s="22"/>
      <c r="V4581" s="24"/>
      <c r="W4581" s="24"/>
      <c r="X4581" s="24"/>
      <c r="Y4581" s="24"/>
      <c r="Z4581" s="20" t="str">
        <f t="shared" si="148"/>
        <v/>
      </c>
    </row>
    <row r="4582" spans="1:26" x14ac:dyDescent="0.2">
      <c r="A4582" s="21"/>
      <c r="B4582" s="20"/>
      <c r="C4582" s="22"/>
      <c r="D4582" s="22"/>
      <c r="E4582" s="24"/>
      <c r="F4582" s="22"/>
      <c r="H4582" s="21"/>
      <c r="I4582" s="22"/>
      <c r="J4582" s="22"/>
      <c r="K4582" s="24"/>
      <c r="M4582" s="21"/>
      <c r="N4582" s="22"/>
      <c r="O4582" s="22"/>
      <c r="P4582" s="49"/>
      <c r="Q4582" s="49"/>
      <c r="R4582" s="188" t="str">
        <f t="shared" si="149"/>
        <v/>
      </c>
      <c r="T4582" s="21"/>
      <c r="U4582" s="22"/>
      <c r="V4582" s="24"/>
      <c r="W4582" s="24"/>
      <c r="X4582" s="24"/>
      <c r="Y4582" s="24"/>
      <c r="Z4582" s="20" t="str">
        <f t="shared" si="148"/>
        <v/>
      </c>
    </row>
    <row r="4583" spans="1:26" x14ac:dyDescent="0.2">
      <c r="A4583" s="21"/>
      <c r="B4583" s="20"/>
      <c r="C4583" s="22"/>
      <c r="D4583" s="22"/>
      <c r="E4583" s="24"/>
      <c r="F4583" s="22"/>
      <c r="H4583" s="21"/>
      <c r="I4583" s="22"/>
      <c r="J4583" s="22"/>
      <c r="K4583" s="24"/>
      <c r="M4583" s="21"/>
      <c r="N4583" s="22"/>
      <c r="O4583" s="22"/>
      <c r="P4583" s="49"/>
      <c r="Q4583" s="49"/>
      <c r="R4583" s="188" t="str">
        <f t="shared" si="149"/>
        <v/>
      </c>
      <c r="T4583" s="21"/>
      <c r="U4583" s="22"/>
      <c r="V4583" s="24"/>
      <c r="W4583" s="24"/>
      <c r="X4583" s="24"/>
      <c r="Y4583" s="24"/>
      <c r="Z4583" s="20" t="str">
        <f t="shared" si="148"/>
        <v/>
      </c>
    </row>
    <row r="4584" spans="1:26" x14ac:dyDescent="0.2">
      <c r="A4584" s="21"/>
      <c r="B4584" s="20"/>
      <c r="C4584" s="22"/>
      <c r="D4584" s="22"/>
      <c r="E4584" s="24"/>
      <c r="F4584" s="22"/>
      <c r="H4584" s="21"/>
      <c r="I4584" s="22"/>
      <c r="J4584" s="22"/>
      <c r="K4584" s="24"/>
      <c r="M4584" s="21"/>
      <c r="N4584" s="22"/>
      <c r="O4584" s="22"/>
      <c r="P4584" s="49"/>
      <c r="Q4584" s="49"/>
      <c r="R4584" s="188" t="str">
        <f t="shared" si="149"/>
        <v/>
      </c>
      <c r="T4584" s="21"/>
      <c r="U4584" s="22"/>
      <c r="V4584" s="24"/>
      <c r="W4584" s="24"/>
      <c r="X4584" s="24"/>
      <c r="Y4584" s="24"/>
      <c r="Z4584" s="20" t="str">
        <f t="shared" si="148"/>
        <v/>
      </c>
    </row>
    <row r="4585" spans="1:26" x14ac:dyDescent="0.2">
      <c r="A4585" s="21"/>
      <c r="B4585" s="20"/>
      <c r="C4585" s="22"/>
      <c r="D4585" s="22"/>
      <c r="E4585" s="24"/>
      <c r="F4585" s="22"/>
      <c r="H4585" s="21"/>
      <c r="I4585" s="22"/>
      <c r="J4585" s="22"/>
      <c r="K4585" s="24"/>
      <c r="M4585" s="21"/>
      <c r="N4585" s="22"/>
      <c r="O4585" s="22"/>
      <c r="P4585" s="49"/>
      <c r="Q4585" s="49"/>
      <c r="R4585" s="188" t="str">
        <f t="shared" si="149"/>
        <v/>
      </c>
      <c r="T4585" s="21"/>
      <c r="U4585" s="22"/>
      <c r="V4585" s="24"/>
      <c r="W4585" s="24"/>
      <c r="X4585" s="24"/>
      <c r="Y4585" s="24"/>
      <c r="Z4585" s="20" t="str">
        <f t="shared" si="148"/>
        <v/>
      </c>
    </row>
    <row r="4586" spans="1:26" x14ac:dyDescent="0.2">
      <c r="A4586" s="21"/>
      <c r="B4586" s="20"/>
      <c r="C4586" s="22"/>
      <c r="D4586" s="22"/>
      <c r="E4586" s="24"/>
      <c r="F4586" s="22"/>
      <c r="H4586" s="21"/>
      <c r="I4586" s="22"/>
      <c r="J4586" s="22"/>
      <c r="K4586" s="24"/>
      <c r="M4586" s="21"/>
      <c r="N4586" s="22"/>
      <c r="O4586" s="22"/>
      <c r="P4586" s="49"/>
      <c r="Q4586" s="49"/>
      <c r="R4586" s="188" t="str">
        <f t="shared" si="149"/>
        <v/>
      </c>
      <c r="T4586" s="21"/>
      <c r="U4586" s="22"/>
      <c r="V4586" s="24"/>
      <c r="W4586" s="24"/>
      <c r="X4586" s="24"/>
      <c r="Y4586" s="24"/>
      <c r="Z4586" s="20" t="str">
        <f t="shared" si="148"/>
        <v/>
      </c>
    </row>
    <row r="4587" spans="1:26" x14ac:dyDescent="0.2">
      <c r="A4587" s="21"/>
      <c r="B4587" s="20"/>
      <c r="C4587" s="22"/>
      <c r="D4587" s="22"/>
      <c r="E4587" s="24"/>
      <c r="F4587" s="22"/>
      <c r="H4587" s="21"/>
      <c r="I4587" s="22"/>
      <c r="J4587" s="22"/>
      <c r="K4587" s="24"/>
      <c r="M4587" s="21"/>
      <c r="N4587" s="22"/>
      <c r="O4587" s="22"/>
      <c r="P4587" s="49"/>
      <c r="Q4587" s="49"/>
      <c r="R4587" s="188" t="str">
        <f t="shared" si="149"/>
        <v/>
      </c>
      <c r="T4587" s="21"/>
      <c r="U4587" s="22"/>
      <c r="V4587" s="24"/>
      <c r="W4587" s="24"/>
      <c r="X4587" s="24"/>
      <c r="Y4587" s="24"/>
      <c r="Z4587" s="20" t="str">
        <f t="shared" si="148"/>
        <v/>
      </c>
    </row>
    <row r="4588" spans="1:26" x14ac:dyDescent="0.2">
      <c r="A4588" s="21"/>
      <c r="B4588" s="20"/>
      <c r="C4588" s="22"/>
      <c r="D4588" s="22"/>
      <c r="E4588" s="24"/>
      <c r="F4588" s="22"/>
      <c r="H4588" s="21"/>
      <c r="I4588" s="22"/>
      <c r="J4588" s="22"/>
      <c r="K4588" s="24"/>
      <c r="M4588" s="21"/>
      <c r="N4588" s="22"/>
      <c r="O4588" s="22"/>
      <c r="P4588" s="49"/>
      <c r="Q4588" s="49"/>
      <c r="R4588" s="188" t="str">
        <f t="shared" si="149"/>
        <v/>
      </c>
      <c r="T4588" s="21"/>
      <c r="U4588" s="22"/>
      <c r="V4588" s="24"/>
      <c r="W4588" s="24"/>
      <c r="X4588" s="24"/>
      <c r="Y4588" s="24"/>
      <c r="Z4588" s="20" t="str">
        <f t="shared" si="148"/>
        <v/>
      </c>
    </row>
    <row r="4589" spans="1:26" x14ac:dyDescent="0.2">
      <c r="A4589" s="21"/>
      <c r="B4589" s="20"/>
      <c r="C4589" s="22"/>
      <c r="D4589" s="22"/>
      <c r="E4589" s="24"/>
      <c r="F4589" s="22"/>
      <c r="H4589" s="21"/>
      <c r="I4589" s="22"/>
      <c r="J4589" s="22"/>
      <c r="K4589" s="24"/>
      <c r="M4589" s="21"/>
      <c r="N4589" s="22"/>
      <c r="O4589" s="22"/>
      <c r="P4589" s="49"/>
      <c r="Q4589" s="49"/>
      <c r="R4589" s="188" t="str">
        <f t="shared" si="149"/>
        <v/>
      </c>
      <c r="T4589" s="21"/>
      <c r="U4589" s="22"/>
      <c r="V4589" s="24"/>
      <c r="W4589" s="24"/>
      <c r="X4589" s="24"/>
      <c r="Y4589" s="24"/>
      <c r="Z4589" s="20" t="str">
        <f t="shared" si="148"/>
        <v/>
      </c>
    </row>
    <row r="4590" spans="1:26" x14ac:dyDescent="0.2">
      <c r="A4590" s="21"/>
      <c r="B4590" s="20"/>
      <c r="C4590" s="22"/>
      <c r="D4590" s="22"/>
      <c r="E4590" s="24"/>
      <c r="F4590" s="22"/>
      <c r="H4590" s="21"/>
      <c r="I4590" s="22"/>
      <c r="J4590" s="22"/>
      <c r="K4590" s="24"/>
      <c r="M4590" s="21"/>
      <c r="N4590" s="22"/>
      <c r="O4590" s="22"/>
      <c r="P4590" s="49"/>
      <c r="Q4590" s="49"/>
      <c r="R4590" s="188" t="str">
        <f t="shared" si="149"/>
        <v/>
      </c>
      <c r="T4590" s="21"/>
      <c r="U4590" s="22"/>
      <c r="V4590" s="24"/>
      <c r="W4590" s="24"/>
      <c r="X4590" s="24"/>
      <c r="Y4590" s="24"/>
      <c r="Z4590" s="20" t="str">
        <f t="shared" si="148"/>
        <v/>
      </c>
    </row>
    <row r="4591" spans="1:26" x14ac:dyDescent="0.2">
      <c r="A4591" s="21"/>
      <c r="B4591" s="20"/>
      <c r="C4591" s="22"/>
      <c r="D4591" s="22"/>
      <c r="E4591" s="24"/>
      <c r="F4591" s="22"/>
      <c r="H4591" s="21"/>
      <c r="I4591" s="22"/>
      <c r="J4591" s="22"/>
      <c r="K4591" s="24"/>
      <c r="M4591" s="21"/>
      <c r="N4591" s="22"/>
      <c r="O4591" s="22"/>
      <c r="P4591" s="49"/>
      <c r="Q4591" s="49"/>
      <c r="R4591" s="188" t="str">
        <f t="shared" si="149"/>
        <v/>
      </c>
      <c r="T4591" s="21"/>
      <c r="U4591" s="22"/>
      <c r="V4591" s="24"/>
      <c r="W4591" s="24"/>
      <c r="X4591" s="24"/>
      <c r="Y4591" s="24"/>
      <c r="Z4591" s="20" t="str">
        <f t="shared" si="148"/>
        <v/>
      </c>
    </row>
    <row r="4592" spans="1:26" x14ac:dyDescent="0.2">
      <c r="A4592" s="21"/>
      <c r="B4592" s="20"/>
      <c r="C4592" s="22"/>
      <c r="D4592" s="22"/>
      <c r="E4592" s="24"/>
      <c r="F4592" s="22"/>
      <c r="H4592" s="21"/>
      <c r="I4592" s="22"/>
      <c r="J4592" s="22"/>
      <c r="K4592" s="24"/>
      <c r="M4592" s="21"/>
      <c r="N4592" s="22"/>
      <c r="O4592" s="22"/>
      <c r="P4592" s="49"/>
      <c r="Q4592" s="49"/>
      <c r="R4592" s="188" t="str">
        <f t="shared" si="149"/>
        <v/>
      </c>
      <c r="T4592" s="21"/>
      <c r="U4592" s="22"/>
      <c r="V4592" s="24"/>
      <c r="W4592" s="24"/>
      <c r="X4592" s="24"/>
      <c r="Y4592" s="24"/>
      <c r="Z4592" s="20" t="str">
        <f t="shared" si="148"/>
        <v/>
      </c>
    </row>
    <row r="4593" spans="1:26" x14ac:dyDescent="0.2">
      <c r="A4593" s="21"/>
      <c r="B4593" s="20"/>
      <c r="C4593" s="22"/>
      <c r="D4593" s="22"/>
      <c r="E4593" s="24"/>
      <c r="F4593" s="22"/>
      <c r="H4593" s="21"/>
      <c r="I4593" s="22"/>
      <c r="J4593" s="22"/>
      <c r="K4593" s="24"/>
      <c r="M4593" s="21"/>
      <c r="N4593" s="22"/>
      <c r="O4593" s="22"/>
      <c r="P4593" s="49"/>
      <c r="Q4593" s="49"/>
      <c r="R4593" s="188" t="str">
        <f t="shared" si="149"/>
        <v/>
      </c>
      <c r="T4593" s="21"/>
      <c r="U4593" s="22"/>
      <c r="V4593" s="24"/>
      <c r="W4593" s="24"/>
      <c r="X4593" s="24"/>
      <c r="Y4593" s="24"/>
      <c r="Z4593" s="20" t="str">
        <f t="shared" si="148"/>
        <v/>
      </c>
    </row>
    <row r="4594" spans="1:26" x14ac:dyDescent="0.2">
      <c r="A4594" s="21"/>
      <c r="B4594" s="20"/>
      <c r="C4594" s="22"/>
      <c r="D4594" s="22"/>
      <c r="E4594" s="24"/>
      <c r="F4594" s="22"/>
      <c r="H4594" s="21"/>
      <c r="I4594" s="22"/>
      <c r="J4594" s="22"/>
      <c r="K4594" s="24"/>
      <c r="M4594" s="21"/>
      <c r="N4594" s="22"/>
      <c r="O4594" s="22"/>
      <c r="P4594" s="49"/>
      <c r="Q4594" s="49"/>
      <c r="R4594" s="188" t="str">
        <f t="shared" si="149"/>
        <v/>
      </c>
      <c r="T4594" s="21"/>
      <c r="U4594" s="22"/>
      <c r="V4594" s="24"/>
      <c r="W4594" s="24"/>
      <c r="X4594" s="24"/>
      <c r="Y4594" s="24"/>
      <c r="Z4594" s="20" t="str">
        <f t="shared" si="148"/>
        <v/>
      </c>
    </row>
    <row r="4595" spans="1:26" x14ac:dyDescent="0.2">
      <c r="A4595" s="21"/>
      <c r="B4595" s="20"/>
      <c r="C4595" s="22"/>
      <c r="D4595" s="22"/>
      <c r="E4595" s="24"/>
      <c r="F4595" s="22"/>
      <c r="H4595" s="21"/>
      <c r="I4595" s="22"/>
      <c r="J4595" s="22"/>
      <c r="K4595" s="24"/>
      <c r="M4595" s="21"/>
      <c r="N4595" s="22"/>
      <c r="O4595" s="22"/>
      <c r="P4595" s="49"/>
      <c r="Q4595" s="49"/>
      <c r="R4595" s="188" t="str">
        <f t="shared" si="149"/>
        <v/>
      </c>
      <c r="T4595" s="21"/>
      <c r="U4595" s="22"/>
      <c r="V4595" s="24"/>
      <c r="W4595" s="24"/>
      <c r="X4595" s="24"/>
      <c r="Y4595" s="24"/>
      <c r="Z4595" s="20" t="str">
        <f t="shared" si="148"/>
        <v/>
      </c>
    </row>
    <row r="4596" spans="1:26" x14ac:dyDescent="0.2">
      <c r="A4596" s="21"/>
      <c r="B4596" s="20"/>
      <c r="C4596" s="22"/>
      <c r="D4596" s="22"/>
      <c r="E4596" s="24"/>
      <c r="F4596" s="22"/>
      <c r="H4596" s="21"/>
      <c r="I4596" s="22"/>
      <c r="J4596" s="22"/>
      <c r="K4596" s="24"/>
      <c r="M4596" s="21"/>
      <c r="N4596" s="22"/>
      <c r="O4596" s="22"/>
      <c r="P4596" s="49"/>
      <c r="Q4596" s="49"/>
      <c r="R4596" s="188" t="str">
        <f t="shared" si="149"/>
        <v/>
      </c>
      <c r="T4596" s="21"/>
      <c r="U4596" s="22"/>
      <c r="V4596" s="24"/>
      <c r="W4596" s="24"/>
      <c r="X4596" s="24"/>
      <c r="Y4596" s="24"/>
      <c r="Z4596" s="20" t="str">
        <f t="shared" si="148"/>
        <v/>
      </c>
    </row>
    <row r="4597" spans="1:26" x14ac:dyDescent="0.2">
      <c r="A4597" s="21"/>
      <c r="B4597" s="20"/>
      <c r="C4597" s="22"/>
      <c r="D4597" s="22"/>
      <c r="E4597" s="24"/>
      <c r="F4597" s="22"/>
      <c r="H4597" s="21"/>
      <c r="I4597" s="22"/>
      <c r="J4597" s="22"/>
      <c r="K4597" s="24"/>
      <c r="M4597" s="21"/>
      <c r="N4597" s="22"/>
      <c r="O4597" s="22"/>
      <c r="P4597" s="49"/>
      <c r="Q4597" s="49"/>
      <c r="R4597" s="188" t="str">
        <f t="shared" si="149"/>
        <v/>
      </c>
      <c r="T4597" s="21"/>
      <c r="U4597" s="22"/>
      <c r="V4597" s="24"/>
      <c r="W4597" s="24"/>
      <c r="X4597" s="24"/>
      <c r="Y4597" s="24"/>
      <c r="Z4597" s="20" t="str">
        <f t="shared" si="148"/>
        <v/>
      </c>
    </row>
    <row r="4598" spans="1:26" x14ac:dyDescent="0.2">
      <c r="A4598" s="21"/>
      <c r="B4598" s="20"/>
      <c r="C4598" s="22"/>
      <c r="D4598" s="22"/>
      <c r="E4598" s="24"/>
      <c r="F4598" s="22"/>
      <c r="H4598" s="21"/>
      <c r="I4598" s="22"/>
      <c r="J4598" s="22"/>
      <c r="K4598" s="24"/>
      <c r="M4598" s="21"/>
      <c r="N4598" s="22"/>
      <c r="O4598" s="22"/>
      <c r="P4598" s="49"/>
      <c r="Q4598" s="49"/>
      <c r="R4598" s="188" t="str">
        <f t="shared" si="149"/>
        <v/>
      </c>
      <c r="T4598" s="21"/>
      <c r="U4598" s="22"/>
      <c r="V4598" s="24"/>
      <c r="W4598" s="24"/>
      <c r="X4598" s="24"/>
      <c r="Y4598" s="24"/>
      <c r="Z4598" s="20" t="str">
        <f t="shared" si="148"/>
        <v/>
      </c>
    </row>
    <row r="4599" spans="1:26" x14ac:dyDescent="0.2">
      <c r="A4599" s="21"/>
      <c r="B4599" s="20"/>
      <c r="C4599" s="22"/>
      <c r="D4599" s="22"/>
      <c r="E4599" s="24"/>
      <c r="F4599" s="22"/>
      <c r="H4599" s="21"/>
      <c r="I4599" s="22"/>
      <c r="J4599" s="22"/>
      <c r="K4599" s="24"/>
      <c r="M4599" s="21"/>
      <c r="N4599" s="22"/>
      <c r="O4599" s="22"/>
      <c r="P4599" s="49"/>
      <c r="Q4599" s="49"/>
      <c r="R4599" s="188" t="str">
        <f t="shared" si="149"/>
        <v/>
      </c>
      <c r="T4599" s="21"/>
      <c r="U4599" s="22"/>
      <c r="V4599" s="24"/>
      <c r="W4599" s="24"/>
      <c r="X4599" s="24"/>
      <c r="Y4599" s="24"/>
      <c r="Z4599" s="20" t="str">
        <f t="shared" si="148"/>
        <v/>
      </c>
    </row>
    <row r="4600" spans="1:26" x14ac:dyDescent="0.2">
      <c r="A4600" s="21"/>
      <c r="B4600" s="20"/>
      <c r="C4600" s="22"/>
      <c r="D4600" s="22"/>
      <c r="E4600" s="24"/>
      <c r="F4600" s="22"/>
      <c r="H4600" s="21"/>
      <c r="I4600" s="22"/>
      <c r="J4600" s="22"/>
      <c r="K4600" s="24"/>
      <c r="M4600" s="21"/>
      <c r="N4600" s="22"/>
      <c r="O4600" s="22"/>
      <c r="P4600" s="49"/>
      <c r="Q4600" s="49"/>
      <c r="R4600" s="188" t="str">
        <f t="shared" si="149"/>
        <v/>
      </c>
      <c r="T4600" s="21"/>
      <c r="U4600" s="22"/>
      <c r="V4600" s="24"/>
      <c r="W4600" s="24"/>
      <c r="X4600" s="24"/>
      <c r="Y4600" s="24"/>
      <c r="Z4600" s="20" t="str">
        <f t="shared" si="148"/>
        <v/>
      </c>
    </row>
    <row r="4601" spans="1:26" x14ac:dyDescent="0.2">
      <c r="A4601" s="21"/>
      <c r="B4601" s="20"/>
      <c r="C4601" s="22"/>
      <c r="D4601" s="22"/>
      <c r="E4601" s="24"/>
      <c r="F4601" s="22"/>
      <c r="H4601" s="21"/>
      <c r="I4601" s="22"/>
      <c r="J4601" s="22"/>
      <c r="K4601" s="24"/>
      <c r="M4601" s="21"/>
      <c r="N4601" s="22"/>
      <c r="O4601" s="22"/>
      <c r="P4601" s="49"/>
      <c r="Q4601" s="49"/>
      <c r="R4601" s="188" t="str">
        <f t="shared" si="149"/>
        <v/>
      </c>
      <c r="T4601" s="21"/>
      <c r="U4601" s="22"/>
      <c r="V4601" s="24"/>
      <c r="W4601" s="24"/>
      <c r="X4601" s="24"/>
      <c r="Y4601" s="24"/>
      <c r="Z4601" s="20" t="str">
        <f t="shared" si="148"/>
        <v/>
      </c>
    </row>
    <row r="4602" spans="1:26" x14ac:dyDescent="0.2">
      <c r="A4602" s="21"/>
      <c r="B4602" s="20"/>
      <c r="C4602" s="22"/>
      <c r="D4602" s="22"/>
      <c r="E4602" s="24"/>
      <c r="F4602" s="22"/>
      <c r="H4602" s="21"/>
      <c r="I4602" s="22"/>
      <c r="J4602" s="22"/>
      <c r="K4602" s="24"/>
      <c r="M4602" s="21"/>
      <c r="N4602" s="22"/>
      <c r="O4602" s="22"/>
      <c r="P4602" s="49"/>
      <c r="Q4602" s="49"/>
      <c r="R4602" s="188" t="str">
        <f t="shared" si="149"/>
        <v/>
      </c>
      <c r="T4602" s="21"/>
      <c r="U4602" s="22"/>
      <c r="V4602" s="24"/>
      <c r="W4602" s="24"/>
      <c r="X4602" s="24"/>
      <c r="Y4602" s="24"/>
      <c r="Z4602" s="20" t="str">
        <f t="shared" si="148"/>
        <v/>
      </c>
    </row>
    <row r="4603" spans="1:26" x14ac:dyDescent="0.2">
      <c r="A4603" s="21"/>
      <c r="B4603" s="20"/>
      <c r="C4603" s="22"/>
      <c r="D4603" s="22"/>
      <c r="E4603" s="24"/>
      <c r="F4603" s="22"/>
      <c r="H4603" s="21"/>
      <c r="I4603" s="22"/>
      <c r="J4603" s="22"/>
      <c r="K4603" s="24"/>
      <c r="M4603" s="21"/>
      <c r="N4603" s="22"/>
      <c r="O4603" s="22"/>
      <c r="P4603" s="49"/>
      <c r="Q4603" s="49"/>
      <c r="R4603" s="188" t="str">
        <f t="shared" si="149"/>
        <v/>
      </c>
      <c r="T4603" s="21"/>
      <c r="U4603" s="22"/>
      <c r="V4603" s="24"/>
      <c r="W4603" s="24"/>
      <c r="X4603" s="24"/>
      <c r="Y4603" s="24"/>
      <c r="Z4603" s="20" t="str">
        <f t="shared" si="148"/>
        <v/>
      </c>
    </row>
    <row r="4604" spans="1:26" x14ac:dyDescent="0.2">
      <c r="A4604" s="21"/>
      <c r="B4604" s="20"/>
      <c r="C4604" s="22"/>
      <c r="D4604" s="22"/>
      <c r="E4604" s="24"/>
      <c r="F4604" s="22"/>
      <c r="H4604" s="21"/>
      <c r="I4604" s="22"/>
      <c r="J4604" s="22"/>
      <c r="K4604" s="24"/>
      <c r="M4604" s="21"/>
      <c r="N4604" s="22"/>
      <c r="O4604" s="22"/>
      <c r="P4604" s="49"/>
      <c r="Q4604" s="49"/>
      <c r="R4604" s="188" t="str">
        <f t="shared" si="149"/>
        <v/>
      </c>
      <c r="T4604" s="21"/>
      <c r="U4604" s="22"/>
      <c r="V4604" s="24"/>
      <c r="W4604" s="24"/>
      <c r="X4604" s="24"/>
      <c r="Y4604" s="24"/>
      <c r="Z4604" s="20" t="str">
        <f t="shared" si="148"/>
        <v/>
      </c>
    </row>
    <row r="4605" spans="1:26" x14ac:dyDescent="0.2">
      <c r="A4605" s="21"/>
      <c r="B4605" s="20"/>
      <c r="C4605" s="22"/>
      <c r="D4605" s="22"/>
      <c r="E4605" s="24"/>
      <c r="F4605" s="22"/>
      <c r="H4605" s="21"/>
      <c r="I4605" s="22"/>
      <c r="J4605" s="22"/>
      <c r="K4605" s="24"/>
      <c r="M4605" s="21"/>
      <c r="N4605" s="22"/>
      <c r="O4605" s="22"/>
      <c r="P4605" s="49"/>
      <c r="Q4605" s="49"/>
      <c r="R4605" s="188" t="str">
        <f t="shared" si="149"/>
        <v/>
      </c>
      <c r="T4605" s="21"/>
      <c r="U4605" s="22"/>
      <c r="V4605" s="24"/>
      <c r="W4605" s="24"/>
      <c r="X4605" s="24"/>
      <c r="Y4605" s="24"/>
      <c r="Z4605" s="20" t="str">
        <f t="shared" si="148"/>
        <v/>
      </c>
    </row>
    <row r="4606" spans="1:26" x14ac:dyDescent="0.2">
      <c r="A4606" s="21"/>
      <c r="B4606" s="20"/>
      <c r="C4606" s="22"/>
      <c r="D4606" s="22"/>
      <c r="E4606" s="24"/>
      <c r="F4606" s="22"/>
      <c r="H4606" s="21"/>
      <c r="I4606" s="22"/>
      <c r="J4606" s="22"/>
      <c r="K4606" s="24"/>
      <c r="M4606" s="21"/>
      <c r="N4606" s="22"/>
      <c r="O4606" s="22"/>
      <c r="P4606" s="49"/>
      <c r="Q4606" s="49"/>
      <c r="R4606" s="188" t="str">
        <f t="shared" si="149"/>
        <v/>
      </c>
      <c r="T4606" s="21"/>
      <c r="U4606" s="22"/>
      <c r="V4606" s="24"/>
      <c r="W4606" s="24"/>
      <c r="X4606" s="24"/>
      <c r="Y4606" s="24"/>
      <c r="Z4606" s="20" t="str">
        <f t="shared" si="148"/>
        <v/>
      </c>
    </row>
    <row r="4607" spans="1:26" x14ac:dyDescent="0.2">
      <c r="A4607" s="21"/>
      <c r="B4607" s="20"/>
      <c r="C4607" s="22"/>
      <c r="D4607" s="22"/>
      <c r="E4607" s="24"/>
      <c r="F4607" s="22"/>
      <c r="H4607" s="21"/>
      <c r="I4607" s="22"/>
      <c r="J4607" s="22"/>
      <c r="K4607" s="24"/>
      <c r="M4607" s="21"/>
      <c r="N4607" s="22"/>
      <c r="O4607" s="22"/>
      <c r="P4607" s="49"/>
      <c r="Q4607" s="49"/>
      <c r="R4607" s="188" t="str">
        <f t="shared" si="149"/>
        <v/>
      </c>
      <c r="T4607" s="21"/>
      <c r="U4607" s="22"/>
      <c r="V4607" s="24"/>
      <c r="W4607" s="24"/>
      <c r="X4607" s="24"/>
      <c r="Y4607" s="24"/>
      <c r="Z4607" s="20" t="str">
        <f t="shared" si="148"/>
        <v/>
      </c>
    </row>
    <row r="4608" spans="1:26" x14ac:dyDescent="0.2">
      <c r="A4608" s="21"/>
      <c r="B4608" s="20"/>
      <c r="C4608" s="22"/>
      <c r="D4608" s="22"/>
      <c r="E4608" s="24"/>
      <c r="F4608" s="22"/>
      <c r="H4608" s="21"/>
      <c r="I4608" s="22"/>
      <c r="J4608" s="22"/>
      <c r="K4608" s="24"/>
      <c r="M4608" s="21"/>
      <c r="N4608" s="22"/>
      <c r="O4608" s="22"/>
      <c r="P4608" s="49"/>
      <c r="Q4608" s="49"/>
      <c r="R4608" s="188" t="str">
        <f t="shared" si="149"/>
        <v/>
      </c>
      <c r="T4608" s="21"/>
      <c r="U4608" s="22"/>
      <c r="V4608" s="24"/>
      <c r="W4608" s="24"/>
      <c r="X4608" s="24"/>
      <c r="Y4608" s="24"/>
      <c r="Z4608" s="20" t="str">
        <f t="shared" si="148"/>
        <v/>
      </c>
    </row>
    <row r="4609" spans="1:26" x14ac:dyDescent="0.2">
      <c r="A4609" s="21"/>
      <c r="B4609" s="20"/>
      <c r="C4609" s="22"/>
      <c r="D4609" s="22"/>
      <c r="E4609" s="24"/>
      <c r="F4609" s="22"/>
      <c r="H4609" s="21"/>
      <c r="I4609" s="22"/>
      <c r="J4609" s="22"/>
      <c r="K4609" s="24"/>
      <c r="M4609" s="21"/>
      <c r="N4609" s="22"/>
      <c r="O4609" s="22"/>
      <c r="P4609" s="49"/>
      <c r="Q4609" s="49"/>
      <c r="R4609" s="188" t="str">
        <f t="shared" si="149"/>
        <v/>
      </c>
      <c r="T4609" s="21"/>
      <c r="U4609" s="22"/>
      <c r="V4609" s="24"/>
      <c r="W4609" s="24"/>
      <c r="X4609" s="24"/>
      <c r="Y4609" s="24"/>
      <c r="Z4609" s="20" t="str">
        <f t="shared" si="148"/>
        <v/>
      </c>
    </row>
    <row r="4610" spans="1:26" x14ac:dyDescent="0.2">
      <c r="A4610" s="21"/>
      <c r="B4610" s="20"/>
      <c r="C4610" s="22"/>
      <c r="D4610" s="22"/>
      <c r="E4610" s="24"/>
      <c r="F4610" s="22"/>
      <c r="H4610" s="21"/>
      <c r="I4610" s="22"/>
      <c r="J4610" s="22"/>
      <c r="K4610" s="24"/>
      <c r="M4610" s="21"/>
      <c r="N4610" s="22"/>
      <c r="O4610" s="22"/>
      <c r="P4610" s="49"/>
      <c r="Q4610" s="49"/>
      <c r="R4610" s="188" t="str">
        <f t="shared" si="149"/>
        <v/>
      </c>
      <c r="T4610" s="21"/>
      <c r="U4610" s="22"/>
      <c r="V4610" s="24"/>
      <c r="W4610" s="24"/>
      <c r="X4610" s="24"/>
      <c r="Y4610" s="24"/>
      <c r="Z4610" s="20" t="str">
        <f t="shared" si="148"/>
        <v/>
      </c>
    </row>
    <row r="4611" spans="1:26" x14ac:dyDescent="0.2">
      <c r="A4611" s="21"/>
      <c r="B4611" s="20"/>
      <c r="C4611" s="22"/>
      <c r="D4611" s="22"/>
      <c r="E4611" s="24"/>
      <c r="F4611" s="22"/>
      <c r="H4611" s="21"/>
      <c r="I4611" s="22"/>
      <c r="J4611" s="22"/>
      <c r="K4611" s="24"/>
      <c r="M4611" s="21"/>
      <c r="N4611" s="22"/>
      <c r="O4611" s="22"/>
      <c r="P4611" s="49"/>
      <c r="Q4611" s="49"/>
      <c r="R4611" s="188" t="str">
        <f t="shared" si="149"/>
        <v/>
      </c>
      <c r="T4611" s="21"/>
      <c r="U4611" s="22"/>
      <c r="V4611" s="24"/>
      <c r="W4611" s="24"/>
      <c r="X4611" s="24"/>
      <c r="Y4611" s="24"/>
      <c r="Z4611" s="20" t="str">
        <f t="shared" si="148"/>
        <v/>
      </c>
    </row>
    <row r="4612" spans="1:26" x14ac:dyDescent="0.2">
      <c r="A4612" s="21"/>
      <c r="B4612" s="20"/>
      <c r="C4612" s="22"/>
      <c r="D4612" s="22"/>
      <c r="E4612" s="24"/>
      <c r="F4612" s="22"/>
      <c r="H4612" s="21"/>
      <c r="I4612" s="22"/>
      <c r="J4612" s="22"/>
      <c r="K4612" s="24"/>
      <c r="M4612" s="21"/>
      <c r="N4612" s="22"/>
      <c r="O4612" s="22"/>
      <c r="P4612" s="49"/>
      <c r="Q4612" s="49"/>
      <c r="R4612" s="188" t="str">
        <f t="shared" si="149"/>
        <v/>
      </c>
      <c r="T4612" s="21"/>
      <c r="U4612" s="22"/>
      <c r="V4612" s="24"/>
      <c r="W4612" s="24"/>
      <c r="X4612" s="24"/>
      <c r="Y4612" s="24"/>
      <c r="Z4612" s="20" t="str">
        <f t="shared" si="148"/>
        <v/>
      </c>
    </row>
    <row r="4613" spans="1:26" x14ac:dyDescent="0.2">
      <c r="A4613" s="21"/>
      <c r="B4613" s="20"/>
      <c r="C4613" s="22"/>
      <c r="D4613" s="22"/>
      <c r="E4613" s="24"/>
      <c r="F4613" s="22"/>
      <c r="H4613" s="21"/>
      <c r="I4613" s="22"/>
      <c r="J4613" s="22"/>
      <c r="K4613" s="24"/>
      <c r="M4613" s="21"/>
      <c r="N4613" s="22"/>
      <c r="O4613" s="22"/>
      <c r="P4613" s="49"/>
      <c r="Q4613" s="49"/>
      <c r="R4613" s="188" t="str">
        <f t="shared" si="149"/>
        <v/>
      </c>
      <c r="T4613" s="21"/>
      <c r="U4613" s="22"/>
      <c r="V4613" s="24"/>
      <c r="W4613" s="24"/>
      <c r="X4613" s="24"/>
      <c r="Y4613" s="24"/>
      <c r="Z4613" s="20" t="str">
        <f t="shared" si="148"/>
        <v/>
      </c>
    </row>
    <row r="4614" spans="1:26" x14ac:dyDescent="0.2">
      <c r="A4614" s="21"/>
      <c r="B4614" s="20"/>
      <c r="C4614" s="22"/>
      <c r="D4614" s="22"/>
      <c r="E4614" s="24"/>
      <c r="F4614" s="22"/>
      <c r="H4614" s="21"/>
      <c r="I4614" s="22"/>
      <c r="J4614" s="22"/>
      <c r="K4614" s="24"/>
      <c r="M4614" s="21"/>
      <c r="N4614" s="22"/>
      <c r="O4614" s="22"/>
      <c r="P4614" s="49"/>
      <c r="Q4614" s="49"/>
      <c r="R4614" s="188" t="str">
        <f t="shared" si="149"/>
        <v/>
      </c>
      <c r="T4614" s="21"/>
      <c r="U4614" s="22"/>
      <c r="V4614" s="24"/>
      <c r="W4614" s="24"/>
      <c r="X4614" s="24"/>
      <c r="Y4614" s="24"/>
      <c r="Z4614" s="20" t="str">
        <f t="shared" si="148"/>
        <v/>
      </c>
    </row>
    <row r="4615" spans="1:26" x14ac:dyDescent="0.2">
      <c r="A4615" s="21"/>
      <c r="B4615" s="20"/>
      <c r="C4615" s="22"/>
      <c r="D4615" s="22"/>
      <c r="E4615" s="24"/>
      <c r="F4615" s="22"/>
      <c r="H4615" s="21"/>
      <c r="I4615" s="22"/>
      <c r="J4615" s="22"/>
      <c r="K4615" s="24"/>
      <c r="M4615" s="21"/>
      <c r="N4615" s="22"/>
      <c r="O4615" s="22"/>
      <c r="P4615" s="49"/>
      <c r="Q4615" s="49"/>
      <c r="R4615" s="188" t="str">
        <f t="shared" si="149"/>
        <v/>
      </c>
      <c r="T4615" s="21"/>
      <c r="U4615" s="22"/>
      <c r="V4615" s="24"/>
      <c r="W4615" s="24"/>
      <c r="X4615" s="24"/>
      <c r="Y4615" s="24"/>
      <c r="Z4615" s="20" t="str">
        <f t="shared" si="148"/>
        <v/>
      </c>
    </row>
    <row r="4616" spans="1:26" x14ac:dyDescent="0.2">
      <c r="A4616" s="21"/>
      <c r="B4616" s="20"/>
      <c r="C4616" s="22"/>
      <c r="D4616" s="22"/>
      <c r="E4616" s="24"/>
      <c r="F4616" s="22"/>
      <c r="H4616" s="21"/>
      <c r="I4616" s="22"/>
      <c r="J4616" s="22"/>
      <c r="K4616" s="24"/>
      <c r="M4616" s="21"/>
      <c r="N4616" s="22"/>
      <c r="O4616" s="22"/>
      <c r="P4616" s="49"/>
      <c r="Q4616" s="49"/>
      <c r="R4616" s="188" t="str">
        <f t="shared" si="149"/>
        <v/>
      </c>
      <c r="T4616" s="21"/>
      <c r="U4616" s="22"/>
      <c r="V4616" s="24"/>
      <c r="W4616" s="24"/>
      <c r="X4616" s="24"/>
      <c r="Y4616" s="24"/>
      <c r="Z4616" s="20" t="str">
        <f t="shared" si="148"/>
        <v/>
      </c>
    </row>
    <row r="4617" spans="1:26" x14ac:dyDescent="0.2">
      <c r="A4617" s="21"/>
      <c r="B4617" s="20"/>
      <c r="C4617" s="22"/>
      <c r="D4617" s="22"/>
      <c r="E4617" s="24"/>
      <c r="F4617" s="22"/>
      <c r="H4617" s="21"/>
      <c r="I4617" s="22"/>
      <c r="J4617" s="22"/>
      <c r="K4617" s="24"/>
      <c r="M4617" s="21"/>
      <c r="N4617" s="22"/>
      <c r="O4617" s="22"/>
      <c r="P4617" s="49"/>
      <c r="Q4617" s="49"/>
      <c r="R4617" s="188" t="str">
        <f t="shared" si="149"/>
        <v/>
      </c>
      <c r="T4617" s="21"/>
      <c r="U4617" s="22"/>
      <c r="V4617" s="24"/>
      <c r="W4617" s="24"/>
      <c r="X4617" s="24"/>
      <c r="Y4617" s="24"/>
      <c r="Z4617" s="20" t="str">
        <f t="shared" si="148"/>
        <v/>
      </c>
    </row>
    <row r="4618" spans="1:26" x14ac:dyDescent="0.2">
      <c r="A4618" s="21"/>
      <c r="B4618" s="20"/>
      <c r="C4618" s="22"/>
      <c r="D4618" s="22"/>
      <c r="E4618" s="24"/>
      <c r="F4618" s="22"/>
      <c r="H4618" s="21"/>
      <c r="I4618" s="22"/>
      <c r="J4618" s="22"/>
      <c r="K4618" s="24"/>
      <c r="M4618" s="21"/>
      <c r="N4618" s="22"/>
      <c r="O4618" s="22"/>
      <c r="P4618" s="49"/>
      <c r="Q4618" s="49"/>
      <c r="R4618" s="188" t="str">
        <f t="shared" si="149"/>
        <v/>
      </c>
      <c r="T4618" s="21"/>
      <c r="U4618" s="22"/>
      <c r="V4618" s="24"/>
      <c r="W4618" s="24"/>
      <c r="X4618" s="24"/>
      <c r="Y4618" s="24"/>
      <c r="Z4618" s="20" t="str">
        <f t="shared" si="148"/>
        <v/>
      </c>
    </row>
    <row r="4619" spans="1:26" x14ac:dyDescent="0.2">
      <c r="A4619" s="21"/>
      <c r="B4619" s="20"/>
      <c r="C4619" s="22"/>
      <c r="D4619" s="22"/>
      <c r="E4619" s="24"/>
      <c r="F4619" s="22"/>
      <c r="H4619" s="21"/>
      <c r="I4619" s="22"/>
      <c r="J4619" s="22"/>
      <c r="K4619" s="24"/>
      <c r="M4619" s="21"/>
      <c r="N4619" s="22"/>
      <c r="O4619" s="22"/>
      <c r="P4619" s="49"/>
      <c r="Q4619" s="49"/>
      <c r="R4619" s="188" t="str">
        <f t="shared" si="149"/>
        <v/>
      </c>
      <c r="T4619" s="21"/>
      <c r="U4619" s="22"/>
      <c r="V4619" s="24"/>
      <c r="W4619" s="24"/>
      <c r="X4619" s="24"/>
      <c r="Y4619" s="24"/>
      <c r="Z4619" s="20" t="str">
        <f t="shared" si="148"/>
        <v/>
      </c>
    </row>
    <row r="4620" spans="1:26" x14ac:dyDescent="0.2">
      <c r="A4620" s="21"/>
      <c r="B4620" s="20"/>
      <c r="C4620" s="22"/>
      <c r="D4620" s="22"/>
      <c r="E4620" s="24"/>
      <c r="F4620" s="22"/>
      <c r="H4620" s="21"/>
      <c r="I4620" s="22"/>
      <c r="J4620" s="22"/>
      <c r="K4620" s="24"/>
      <c r="M4620" s="21"/>
      <c r="N4620" s="22"/>
      <c r="O4620" s="22"/>
      <c r="P4620" s="49"/>
      <c r="Q4620" s="49"/>
      <c r="R4620" s="188" t="str">
        <f t="shared" si="149"/>
        <v/>
      </c>
      <c r="T4620" s="21"/>
      <c r="U4620" s="22"/>
      <c r="V4620" s="24"/>
      <c r="W4620" s="24"/>
      <c r="X4620" s="24"/>
      <c r="Y4620" s="24"/>
      <c r="Z4620" s="20" t="str">
        <f t="shared" si="148"/>
        <v/>
      </c>
    </row>
    <row r="4621" spans="1:26" x14ac:dyDescent="0.2">
      <c r="A4621" s="21"/>
      <c r="B4621" s="20"/>
      <c r="C4621" s="22"/>
      <c r="D4621" s="22"/>
      <c r="E4621" s="24"/>
      <c r="F4621" s="22"/>
      <c r="H4621" s="21"/>
      <c r="I4621" s="22"/>
      <c r="J4621" s="22"/>
      <c r="K4621" s="24"/>
      <c r="M4621" s="21"/>
      <c r="N4621" s="22"/>
      <c r="O4621" s="22"/>
      <c r="P4621" s="49"/>
      <c r="Q4621" s="49"/>
      <c r="R4621" s="188" t="str">
        <f t="shared" si="149"/>
        <v/>
      </c>
      <c r="T4621" s="21"/>
      <c r="U4621" s="22"/>
      <c r="V4621" s="24"/>
      <c r="W4621" s="24"/>
      <c r="X4621" s="24"/>
      <c r="Y4621" s="24"/>
      <c r="Z4621" s="20" t="str">
        <f t="shared" si="148"/>
        <v/>
      </c>
    </row>
    <row r="4622" spans="1:26" x14ac:dyDescent="0.2">
      <c r="A4622" s="21"/>
      <c r="B4622" s="20"/>
      <c r="C4622" s="22"/>
      <c r="D4622" s="22"/>
      <c r="E4622" s="24"/>
      <c r="F4622" s="22"/>
      <c r="H4622" s="21"/>
      <c r="I4622" s="22"/>
      <c r="J4622" s="22"/>
      <c r="K4622" s="24"/>
      <c r="M4622" s="21"/>
      <c r="N4622" s="22"/>
      <c r="O4622" s="22"/>
      <c r="P4622" s="49"/>
      <c r="Q4622" s="49"/>
      <c r="R4622" s="188" t="str">
        <f t="shared" si="149"/>
        <v/>
      </c>
      <c r="T4622" s="21"/>
      <c r="U4622" s="22"/>
      <c r="V4622" s="24"/>
      <c r="W4622" s="24"/>
      <c r="X4622" s="24"/>
      <c r="Y4622" s="24"/>
      <c r="Z4622" s="20" t="str">
        <f t="shared" si="148"/>
        <v/>
      </c>
    </row>
    <row r="4623" spans="1:26" x14ac:dyDescent="0.2">
      <c r="A4623" s="21"/>
      <c r="B4623" s="20"/>
      <c r="C4623" s="22"/>
      <c r="D4623" s="22"/>
      <c r="E4623" s="24"/>
      <c r="F4623" s="22"/>
      <c r="H4623" s="21"/>
      <c r="I4623" s="22"/>
      <c r="J4623" s="22"/>
      <c r="K4623" s="24"/>
      <c r="M4623" s="21"/>
      <c r="N4623" s="22"/>
      <c r="O4623" s="22"/>
      <c r="P4623" s="49"/>
      <c r="Q4623" s="49"/>
      <c r="R4623" s="188" t="str">
        <f t="shared" si="149"/>
        <v/>
      </c>
      <c r="T4623" s="21"/>
      <c r="U4623" s="22"/>
      <c r="V4623" s="24"/>
      <c r="W4623" s="24"/>
      <c r="X4623" s="24"/>
      <c r="Y4623" s="24"/>
      <c r="Z4623" s="20" t="str">
        <f t="shared" si="148"/>
        <v/>
      </c>
    </row>
    <row r="4624" spans="1:26" x14ac:dyDescent="0.2">
      <c r="A4624" s="21"/>
      <c r="B4624" s="20"/>
      <c r="C4624" s="22"/>
      <c r="D4624" s="22"/>
      <c r="E4624" s="24"/>
      <c r="F4624" s="22"/>
      <c r="H4624" s="21"/>
      <c r="I4624" s="22"/>
      <c r="J4624" s="22"/>
      <c r="K4624" s="24"/>
      <c r="M4624" s="21"/>
      <c r="N4624" s="22"/>
      <c r="O4624" s="22"/>
      <c r="P4624" s="49"/>
      <c r="Q4624" s="49"/>
      <c r="R4624" s="188" t="str">
        <f t="shared" si="149"/>
        <v/>
      </c>
      <c r="T4624" s="21"/>
      <c r="U4624" s="22"/>
      <c r="V4624" s="24"/>
      <c r="W4624" s="24"/>
      <c r="X4624" s="24"/>
      <c r="Y4624" s="24"/>
      <c r="Z4624" s="20" t="str">
        <f t="shared" si="148"/>
        <v/>
      </c>
    </row>
    <row r="4625" spans="1:26" x14ac:dyDescent="0.2">
      <c r="A4625" s="21"/>
      <c r="B4625" s="20"/>
      <c r="C4625" s="22"/>
      <c r="D4625" s="22"/>
      <c r="E4625" s="24"/>
      <c r="F4625" s="22"/>
      <c r="H4625" s="21"/>
      <c r="I4625" s="22"/>
      <c r="J4625" s="22"/>
      <c r="K4625" s="24"/>
      <c r="M4625" s="21"/>
      <c r="N4625" s="22"/>
      <c r="O4625" s="22"/>
      <c r="P4625" s="49"/>
      <c r="Q4625" s="49"/>
      <c r="R4625" s="188" t="str">
        <f t="shared" si="149"/>
        <v/>
      </c>
      <c r="T4625" s="21"/>
      <c r="U4625" s="22"/>
      <c r="V4625" s="24"/>
      <c r="W4625" s="24"/>
      <c r="X4625" s="24"/>
      <c r="Y4625" s="24"/>
      <c r="Z4625" s="20" t="str">
        <f t="shared" si="148"/>
        <v/>
      </c>
    </row>
    <row r="4626" spans="1:26" x14ac:dyDescent="0.2">
      <c r="A4626" s="21"/>
      <c r="B4626" s="20"/>
      <c r="C4626" s="22"/>
      <c r="D4626" s="22"/>
      <c r="E4626" s="24"/>
      <c r="F4626" s="22"/>
      <c r="H4626" s="21"/>
      <c r="I4626" s="22"/>
      <c r="J4626" s="22"/>
      <c r="K4626" s="24"/>
      <c r="M4626" s="21"/>
      <c r="N4626" s="22"/>
      <c r="O4626" s="22"/>
      <c r="P4626" s="49"/>
      <c r="Q4626" s="49"/>
      <c r="R4626" s="188" t="str">
        <f t="shared" si="149"/>
        <v/>
      </c>
      <c r="T4626" s="21"/>
      <c r="U4626" s="22"/>
      <c r="V4626" s="24"/>
      <c r="W4626" s="24"/>
      <c r="X4626" s="24"/>
      <c r="Y4626" s="24"/>
      <c r="Z4626" s="20" t="str">
        <f t="shared" si="148"/>
        <v/>
      </c>
    </row>
    <row r="4627" spans="1:26" x14ac:dyDescent="0.2">
      <c r="A4627" s="21"/>
      <c r="B4627" s="20"/>
      <c r="C4627" s="22"/>
      <c r="D4627" s="22"/>
      <c r="E4627" s="24"/>
      <c r="F4627" s="22"/>
      <c r="H4627" s="21"/>
      <c r="I4627" s="22"/>
      <c r="J4627" s="22"/>
      <c r="K4627" s="24"/>
      <c r="M4627" s="21"/>
      <c r="N4627" s="22"/>
      <c r="O4627" s="22"/>
      <c r="P4627" s="49"/>
      <c r="Q4627" s="49"/>
      <c r="R4627" s="188" t="str">
        <f t="shared" si="149"/>
        <v/>
      </c>
      <c r="T4627" s="21"/>
      <c r="U4627" s="22"/>
      <c r="V4627" s="24"/>
      <c r="W4627" s="24"/>
      <c r="X4627" s="24"/>
      <c r="Y4627" s="24"/>
      <c r="Z4627" s="20" t="str">
        <f t="shared" ref="Z4627:Z4690" si="150">IF(COUNT(V4627:Y4627)=0,"",SUM(V4627:Y4627))</f>
        <v/>
      </c>
    </row>
    <row r="4628" spans="1:26" x14ac:dyDescent="0.2">
      <c r="A4628" s="21"/>
      <c r="B4628" s="20"/>
      <c r="C4628" s="22"/>
      <c r="D4628" s="22"/>
      <c r="E4628" s="24"/>
      <c r="F4628" s="22"/>
      <c r="H4628" s="21"/>
      <c r="I4628" s="22"/>
      <c r="J4628" s="22"/>
      <c r="K4628" s="24"/>
      <c r="M4628" s="21"/>
      <c r="N4628" s="22"/>
      <c r="O4628" s="22"/>
      <c r="P4628" s="49"/>
      <c r="Q4628" s="49"/>
      <c r="R4628" s="188" t="str">
        <f t="shared" si="149"/>
        <v/>
      </c>
      <c r="T4628" s="21"/>
      <c r="U4628" s="22"/>
      <c r="V4628" s="24"/>
      <c r="W4628" s="24"/>
      <c r="X4628" s="24"/>
      <c r="Y4628" s="24"/>
      <c r="Z4628" s="20" t="str">
        <f t="shared" si="150"/>
        <v/>
      </c>
    </row>
    <row r="4629" spans="1:26" x14ac:dyDescent="0.2">
      <c r="A4629" s="21"/>
      <c r="B4629" s="20"/>
      <c r="C4629" s="22"/>
      <c r="D4629" s="22"/>
      <c r="E4629" s="24"/>
      <c r="F4629" s="22"/>
      <c r="H4629" s="21"/>
      <c r="I4629" s="22"/>
      <c r="J4629" s="22"/>
      <c r="K4629" s="24"/>
      <c r="M4629" s="21"/>
      <c r="N4629" s="22"/>
      <c r="O4629" s="22"/>
      <c r="P4629" s="49"/>
      <c r="Q4629" s="49"/>
      <c r="R4629" s="188" t="str">
        <f t="shared" si="149"/>
        <v/>
      </c>
      <c r="T4629" s="21"/>
      <c r="U4629" s="22"/>
      <c r="V4629" s="24"/>
      <c r="W4629" s="24"/>
      <c r="X4629" s="24"/>
      <c r="Y4629" s="24"/>
      <c r="Z4629" s="20" t="str">
        <f t="shared" si="150"/>
        <v/>
      </c>
    </row>
    <row r="4630" spans="1:26" x14ac:dyDescent="0.2">
      <c r="A4630" s="21"/>
      <c r="B4630" s="20"/>
      <c r="C4630" s="22"/>
      <c r="D4630" s="22"/>
      <c r="E4630" s="24"/>
      <c r="F4630" s="22"/>
      <c r="H4630" s="21"/>
      <c r="I4630" s="22"/>
      <c r="J4630" s="22"/>
      <c r="K4630" s="24"/>
      <c r="M4630" s="21"/>
      <c r="N4630" s="22"/>
      <c r="O4630" s="22"/>
      <c r="P4630" s="49"/>
      <c r="Q4630" s="49"/>
      <c r="R4630" s="188" t="str">
        <f t="shared" ref="R4630:R4693" si="151">IF(OR(P4630="",Q4630=""),"",IFERROR(P4630-Q4630,""))</f>
        <v/>
      </c>
      <c r="T4630" s="21"/>
      <c r="U4630" s="22"/>
      <c r="V4630" s="24"/>
      <c r="W4630" s="24"/>
      <c r="X4630" s="24"/>
      <c r="Y4630" s="24"/>
      <c r="Z4630" s="20" t="str">
        <f t="shared" si="150"/>
        <v/>
      </c>
    </row>
    <row r="4631" spans="1:26" x14ac:dyDescent="0.2">
      <c r="A4631" s="21"/>
      <c r="B4631" s="20"/>
      <c r="C4631" s="22"/>
      <c r="D4631" s="22"/>
      <c r="E4631" s="24"/>
      <c r="F4631" s="22"/>
      <c r="H4631" s="21"/>
      <c r="I4631" s="22"/>
      <c r="J4631" s="22"/>
      <c r="K4631" s="24"/>
      <c r="M4631" s="21"/>
      <c r="N4631" s="22"/>
      <c r="O4631" s="22"/>
      <c r="P4631" s="49"/>
      <c r="Q4631" s="49"/>
      <c r="R4631" s="188" t="str">
        <f t="shared" si="151"/>
        <v/>
      </c>
      <c r="T4631" s="21"/>
      <c r="U4631" s="22"/>
      <c r="V4631" s="24"/>
      <c r="W4631" s="24"/>
      <c r="X4631" s="24"/>
      <c r="Y4631" s="24"/>
      <c r="Z4631" s="20" t="str">
        <f t="shared" si="150"/>
        <v/>
      </c>
    </row>
    <row r="4632" spans="1:26" x14ac:dyDescent="0.2">
      <c r="A4632" s="21"/>
      <c r="B4632" s="20"/>
      <c r="C4632" s="22"/>
      <c r="D4632" s="22"/>
      <c r="E4632" s="24"/>
      <c r="F4632" s="22"/>
      <c r="H4632" s="21"/>
      <c r="I4632" s="22"/>
      <c r="J4632" s="22"/>
      <c r="K4632" s="24"/>
      <c r="M4632" s="21"/>
      <c r="N4632" s="22"/>
      <c r="O4632" s="22"/>
      <c r="P4632" s="49"/>
      <c r="Q4632" s="49"/>
      <c r="R4632" s="188" t="str">
        <f t="shared" si="151"/>
        <v/>
      </c>
      <c r="T4632" s="21"/>
      <c r="U4632" s="22"/>
      <c r="V4632" s="24"/>
      <c r="W4632" s="24"/>
      <c r="X4632" s="24"/>
      <c r="Y4632" s="24"/>
      <c r="Z4632" s="20" t="str">
        <f t="shared" si="150"/>
        <v/>
      </c>
    </row>
    <row r="4633" spans="1:26" x14ac:dyDescent="0.2">
      <c r="A4633" s="21"/>
      <c r="B4633" s="20"/>
      <c r="C4633" s="22"/>
      <c r="D4633" s="22"/>
      <c r="E4633" s="24"/>
      <c r="F4633" s="22"/>
      <c r="H4633" s="21"/>
      <c r="I4633" s="22"/>
      <c r="J4633" s="22"/>
      <c r="K4633" s="24"/>
      <c r="M4633" s="21"/>
      <c r="N4633" s="22"/>
      <c r="O4633" s="22"/>
      <c r="P4633" s="49"/>
      <c r="Q4633" s="49"/>
      <c r="R4633" s="188" t="str">
        <f t="shared" si="151"/>
        <v/>
      </c>
      <c r="T4633" s="21"/>
      <c r="U4633" s="22"/>
      <c r="V4633" s="24"/>
      <c r="W4633" s="24"/>
      <c r="X4633" s="24"/>
      <c r="Y4633" s="24"/>
      <c r="Z4633" s="20" t="str">
        <f t="shared" si="150"/>
        <v/>
      </c>
    </row>
    <row r="4634" spans="1:26" x14ac:dyDescent="0.2">
      <c r="A4634" s="21"/>
      <c r="B4634" s="20"/>
      <c r="C4634" s="22"/>
      <c r="D4634" s="22"/>
      <c r="E4634" s="24"/>
      <c r="F4634" s="22"/>
      <c r="H4634" s="21"/>
      <c r="I4634" s="22"/>
      <c r="J4634" s="22"/>
      <c r="K4634" s="24"/>
      <c r="M4634" s="21"/>
      <c r="N4634" s="22"/>
      <c r="O4634" s="22"/>
      <c r="P4634" s="49"/>
      <c r="Q4634" s="49"/>
      <c r="R4634" s="188" t="str">
        <f t="shared" si="151"/>
        <v/>
      </c>
      <c r="T4634" s="21"/>
      <c r="U4634" s="22"/>
      <c r="V4634" s="24"/>
      <c r="W4634" s="24"/>
      <c r="X4634" s="24"/>
      <c r="Y4634" s="24"/>
      <c r="Z4634" s="20" t="str">
        <f t="shared" si="150"/>
        <v/>
      </c>
    </row>
    <row r="4635" spans="1:26" x14ac:dyDescent="0.2">
      <c r="A4635" s="21"/>
      <c r="B4635" s="20"/>
      <c r="C4635" s="22"/>
      <c r="D4635" s="22"/>
      <c r="E4635" s="24"/>
      <c r="F4635" s="22"/>
      <c r="H4635" s="21"/>
      <c r="I4635" s="22"/>
      <c r="J4635" s="22"/>
      <c r="K4635" s="24"/>
      <c r="M4635" s="21"/>
      <c r="N4635" s="22"/>
      <c r="O4635" s="22"/>
      <c r="P4635" s="49"/>
      <c r="Q4635" s="49"/>
      <c r="R4635" s="188" t="str">
        <f t="shared" si="151"/>
        <v/>
      </c>
      <c r="T4635" s="21"/>
      <c r="U4635" s="22"/>
      <c r="V4635" s="24"/>
      <c r="W4635" s="24"/>
      <c r="X4635" s="24"/>
      <c r="Y4635" s="24"/>
      <c r="Z4635" s="20" t="str">
        <f t="shared" si="150"/>
        <v/>
      </c>
    </row>
    <row r="4636" spans="1:26" x14ac:dyDescent="0.2">
      <c r="A4636" s="21"/>
      <c r="B4636" s="20"/>
      <c r="C4636" s="22"/>
      <c r="D4636" s="22"/>
      <c r="E4636" s="24"/>
      <c r="F4636" s="22"/>
      <c r="H4636" s="21"/>
      <c r="I4636" s="22"/>
      <c r="J4636" s="22"/>
      <c r="K4636" s="24"/>
      <c r="M4636" s="21"/>
      <c r="N4636" s="22"/>
      <c r="O4636" s="22"/>
      <c r="P4636" s="49"/>
      <c r="Q4636" s="49"/>
      <c r="R4636" s="188" t="str">
        <f t="shared" si="151"/>
        <v/>
      </c>
      <c r="T4636" s="21"/>
      <c r="U4636" s="22"/>
      <c r="V4636" s="24"/>
      <c r="W4636" s="24"/>
      <c r="X4636" s="24"/>
      <c r="Y4636" s="24"/>
      <c r="Z4636" s="20" t="str">
        <f t="shared" si="150"/>
        <v/>
      </c>
    </row>
    <row r="4637" spans="1:26" x14ac:dyDescent="0.2">
      <c r="A4637" s="21"/>
      <c r="B4637" s="20"/>
      <c r="C4637" s="22"/>
      <c r="D4637" s="22"/>
      <c r="E4637" s="24"/>
      <c r="F4637" s="22"/>
      <c r="H4637" s="21"/>
      <c r="I4637" s="22"/>
      <c r="J4637" s="22"/>
      <c r="K4637" s="24"/>
      <c r="M4637" s="21"/>
      <c r="N4637" s="22"/>
      <c r="O4637" s="22"/>
      <c r="P4637" s="49"/>
      <c r="Q4637" s="49"/>
      <c r="R4637" s="188" t="str">
        <f t="shared" si="151"/>
        <v/>
      </c>
      <c r="T4637" s="21"/>
      <c r="U4637" s="22"/>
      <c r="V4637" s="24"/>
      <c r="W4637" s="24"/>
      <c r="X4637" s="24"/>
      <c r="Y4637" s="24"/>
      <c r="Z4637" s="20" t="str">
        <f t="shared" si="150"/>
        <v/>
      </c>
    </row>
    <row r="4638" spans="1:26" x14ac:dyDescent="0.2">
      <c r="A4638" s="21"/>
      <c r="B4638" s="20"/>
      <c r="C4638" s="22"/>
      <c r="D4638" s="22"/>
      <c r="E4638" s="24"/>
      <c r="F4638" s="22"/>
      <c r="H4638" s="21"/>
      <c r="I4638" s="22"/>
      <c r="J4638" s="22"/>
      <c r="K4638" s="24"/>
      <c r="M4638" s="21"/>
      <c r="N4638" s="22"/>
      <c r="O4638" s="22"/>
      <c r="P4638" s="49"/>
      <c r="Q4638" s="49"/>
      <c r="R4638" s="188" t="str">
        <f t="shared" si="151"/>
        <v/>
      </c>
      <c r="T4638" s="21"/>
      <c r="U4638" s="22"/>
      <c r="V4638" s="24"/>
      <c r="W4638" s="24"/>
      <c r="X4638" s="24"/>
      <c r="Y4638" s="24"/>
      <c r="Z4638" s="20" t="str">
        <f t="shared" si="150"/>
        <v/>
      </c>
    </row>
    <row r="4639" spans="1:26" x14ac:dyDescent="0.2">
      <c r="A4639" s="21"/>
      <c r="B4639" s="20"/>
      <c r="C4639" s="22"/>
      <c r="D4639" s="22"/>
      <c r="E4639" s="24"/>
      <c r="F4639" s="22"/>
      <c r="H4639" s="21"/>
      <c r="I4639" s="22"/>
      <c r="J4639" s="22"/>
      <c r="K4639" s="24"/>
      <c r="M4639" s="21"/>
      <c r="N4639" s="22"/>
      <c r="O4639" s="22"/>
      <c r="P4639" s="49"/>
      <c r="Q4639" s="49"/>
      <c r="R4639" s="188" t="str">
        <f t="shared" si="151"/>
        <v/>
      </c>
      <c r="T4639" s="21"/>
      <c r="U4639" s="22"/>
      <c r="V4639" s="24"/>
      <c r="W4639" s="24"/>
      <c r="X4639" s="24"/>
      <c r="Y4639" s="24"/>
      <c r="Z4639" s="20" t="str">
        <f t="shared" si="150"/>
        <v/>
      </c>
    </row>
    <row r="4640" spans="1:26" x14ac:dyDescent="0.2">
      <c r="A4640" s="21"/>
      <c r="B4640" s="20"/>
      <c r="C4640" s="22"/>
      <c r="D4640" s="22"/>
      <c r="E4640" s="24"/>
      <c r="F4640" s="22"/>
      <c r="H4640" s="21"/>
      <c r="I4640" s="22"/>
      <c r="J4640" s="22"/>
      <c r="K4640" s="24"/>
      <c r="M4640" s="21"/>
      <c r="N4640" s="22"/>
      <c r="O4640" s="22"/>
      <c r="P4640" s="49"/>
      <c r="Q4640" s="49"/>
      <c r="R4640" s="188" t="str">
        <f t="shared" si="151"/>
        <v/>
      </c>
      <c r="T4640" s="21"/>
      <c r="U4640" s="22"/>
      <c r="V4640" s="24"/>
      <c r="W4640" s="24"/>
      <c r="X4640" s="24"/>
      <c r="Y4640" s="24"/>
      <c r="Z4640" s="20" t="str">
        <f t="shared" si="150"/>
        <v/>
      </c>
    </row>
    <row r="4641" spans="1:26" x14ac:dyDescent="0.2">
      <c r="A4641" s="21"/>
      <c r="B4641" s="20"/>
      <c r="C4641" s="22"/>
      <c r="D4641" s="22"/>
      <c r="E4641" s="24"/>
      <c r="F4641" s="22"/>
      <c r="H4641" s="21"/>
      <c r="I4641" s="22"/>
      <c r="J4641" s="22"/>
      <c r="K4641" s="24"/>
      <c r="M4641" s="21"/>
      <c r="N4641" s="22"/>
      <c r="O4641" s="22"/>
      <c r="P4641" s="49"/>
      <c r="Q4641" s="49"/>
      <c r="R4641" s="188" t="str">
        <f t="shared" si="151"/>
        <v/>
      </c>
      <c r="T4641" s="21"/>
      <c r="U4641" s="22"/>
      <c r="V4641" s="24"/>
      <c r="W4641" s="24"/>
      <c r="X4641" s="24"/>
      <c r="Y4641" s="24"/>
      <c r="Z4641" s="20" t="str">
        <f t="shared" si="150"/>
        <v/>
      </c>
    </row>
    <row r="4642" spans="1:26" x14ac:dyDescent="0.2">
      <c r="A4642" s="21"/>
      <c r="B4642" s="20"/>
      <c r="C4642" s="22"/>
      <c r="D4642" s="22"/>
      <c r="E4642" s="24"/>
      <c r="F4642" s="22"/>
      <c r="H4642" s="21"/>
      <c r="I4642" s="22"/>
      <c r="J4642" s="22"/>
      <c r="K4642" s="24"/>
      <c r="M4642" s="21"/>
      <c r="N4642" s="22"/>
      <c r="O4642" s="22"/>
      <c r="P4642" s="49"/>
      <c r="Q4642" s="49"/>
      <c r="R4642" s="188" t="str">
        <f t="shared" si="151"/>
        <v/>
      </c>
      <c r="T4642" s="21"/>
      <c r="U4642" s="22"/>
      <c r="V4642" s="24"/>
      <c r="W4642" s="24"/>
      <c r="X4642" s="24"/>
      <c r="Y4642" s="24"/>
      <c r="Z4642" s="20" t="str">
        <f t="shared" si="150"/>
        <v/>
      </c>
    </row>
    <row r="4643" spans="1:26" x14ac:dyDescent="0.2">
      <c r="A4643" s="21"/>
      <c r="B4643" s="20"/>
      <c r="C4643" s="22"/>
      <c r="D4643" s="22"/>
      <c r="E4643" s="24"/>
      <c r="F4643" s="22"/>
      <c r="H4643" s="21"/>
      <c r="I4643" s="22"/>
      <c r="J4643" s="22"/>
      <c r="K4643" s="24"/>
      <c r="M4643" s="21"/>
      <c r="N4643" s="22"/>
      <c r="O4643" s="22"/>
      <c r="P4643" s="49"/>
      <c r="Q4643" s="49"/>
      <c r="R4643" s="188" t="str">
        <f t="shared" si="151"/>
        <v/>
      </c>
      <c r="T4643" s="21"/>
      <c r="U4643" s="22"/>
      <c r="V4643" s="24"/>
      <c r="W4643" s="24"/>
      <c r="X4643" s="24"/>
      <c r="Y4643" s="24"/>
      <c r="Z4643" s="20" t="str">
        <f t="shared" si="150"/>
        <v/>
      </c>
    </row>
    <row r="4644" spans="1:26" x14ac:dyDescent="0.2">
      <c r="A4644" s="21"/>
      <c r="B4644" s="20"/>
      <c r="C4644" s="22"/>
      <c r="D4644" s="22"/>
      <c r="E4644" s="24"/>
      <c r="F4644" s="22"/>
      <c r="H4644" s="21"/>
      <c r="I4644" s="22"/>
      <c r="J4644" s="22"/>
      <c r="K4644" s="24"/>
      <c r="M4644" s="21"/>
      <c r="N4644" s="22"/>
      <c r="O4644" s="22"/>
      <c r="P4644" s="49"/>
      <c r="Q4644" s="49"/>
      <c r="R4644" s="188" t="str">
        <f t="shared" si="151"/>
        <v/>
      </c>
      <c r="T4644" s="21"/>
      <c r="U4644" s="22"/>
      <c r="V4644" s="24"/>
      <c r="W4644" s="24"/>
      <c r="X4644" s="24"/>
      <c r="Y4644" s="24"/>
      <c r="Z4644" s="20" t="str">
        <f t="shared" si="150"/>
        <v/>
      </c>
    </row>
    <row r="4645" spans="1:26" x14ac:dyDescent="0.2">
      <c r="A4645" s="21"/>
      <c r="B4645" s="20"/>
      <c r="C4645" s="22"/>
      <c r="D4645" s="22"/>
      <c r="E4645" s="24"/>
      <c r="F4645" s="22"/>
      <c r="H4645" s="21"/>
      <c r="I4645" s="22"/>
      <c r="J4645" s="22"/>
      <c r="K4645" s="24"/>
      <c r="M4645" s="21"/>
      <c r="N4645" s="22"/>
      <c r="O4645" s="22"/>
      <c r="P4645" s="49"/>
      <c r="Q4645" s="49"/>
      <c r="R4645" s="188" t="str">
        <f t="shared" si="151"/>
        <v/>
      </c>
      <c r="T4645" s="21"/>
      <c r="U4645" s="22"/>
      <c r="V4645" s="24"/>
      <c r="W4645" s="24"/>
      <c r="X4645" s="24"/>
      <c r="Y4645" s="24"/>
      <c r="Z4645" s="20" t="str">
        <f t="shared" si="150"/>
        <v/>
      </c>
    </row>
    <row r="4646" spans="1:26" x14ac:dyDescent="0.2">
      <c r="A4646" s="21"/>
      <c r="B4646" s="20"/>
      <c r="C4646" s="22"/>
      <c r="D4646" s="22"/>
      <c r="E4646" s="24"/>
      <c r="F4646" s="22"/>
      <c r="H4646" s="21"/>
      <c r="I4646" s="22"/>
      <c r="J4646" s="22"/>
      <c r="K4646" s="24"/>
      <c r="M4646" s="21"/>
      <c r="N4646" s="22"/>
      <c r="O4646" s="22"/>
      <c r="P4646" s="49"/>
      <c r="Q4646" s="49"/>
      <c r="R4646" s="188" t="str">
        <f t="shared" si="151"/>
        <v/>
      </c>
      <c r="T4646" s="21"/>
      <c r="U4646" s="22"/>
      <c r="V4646" s="24"/>
      <c r="W4646" s="24"/>
      <c r="X4646" s="24"/>
      <c r="Y4646" s="24"/>
      <c r="Z4646" s="20" t="str">
        <f t="shared" si="150"/>
        <v/>
      </c>
    </row>
    <row r="4647" spans="1:26" x14ac:dyDescent="0.2">
      <c r="A4647" s="21"/>
      <c r="B4647" s="20"/>
      <c r="C4647" s="22"/>
      <c r="D4647" s="22"/>
      <c r="E4647" s="24"/>
      <c r="F4647" s="22"/>
      <c r="H4647" s="21"/>
      <c r="I4647" s="22"/>
      <c r="J4647" s="22"/>
      <c r="K4647" s="24"/>
      <c r="M4647" s="21"/>
      <c r="N4647" s="22"/>
      <c r="O4647" s="22"/>
      <c r="P4647" s="49"/>
      <c r="Q4647" s="49"/>
      <c r="R4647" s="188" t="str">
        <f t="shared" si="151"/>
        <v/>
      </c>
      <c r="T4647" s="21"/>
      <c r="U4647" s="22"/>
      <c r="V4647" s="24"/>
      <c r="W4647" s="24"/>
      <c r="X4647" s="24"/>
      <c r="Y4647" s="24"/>
      <c r="Z4647" s="20" t="str">
        <f t="shared" si="150"/>
        <v/>
      </c>
    </row>
    <row r="4648" spans="1:26" x14ac:dyDescent="0.2">
      <c r="A4648" s="21"/>
      <c r="B4648" s="20"/>
      <c r="C4648" s="22"/>
      <c r="D4648" s="22"/>
      <c r="E4648" s="24"/>
      <c r="F4648" s="22"/>
      <c r="H4648" s="21"/>
      <c r="I4648" s="22"/>
      <c r="J4648" s="22"/>
      <c r="K4648" s="24"/>
      <c r="M4648" s="21"/>
      <c r="N4648" s="22"/>
      <c r="O4648" s="22"/>
      <c r="P4648" s="49"/>
      <c r="Q4648" s="49"/>
      <c r="R4648" s="188" t="str">
        <f t="shared" si="151"/>
        <v/>
      </c>
      <c r="T4648" s="21"/>
      <c r="U4648" s="22"/>
      <c r="V4648" s="24"/>
      <c r="W4648" s="24"/>
      <c r="X4648" s="24"/>
      <c r="Y4648" s="24"/>
      <c r="Z4648" s="20" t="str">
        <f t="shared" si="150"/>
        <v/>
      </c>
    </row>
    <row r="4649" spans="1:26" x14ac:dyDescent="0.2">
      <c r="A4649" s="21"/>
      <c r="B4649" s="20"/>
      <c r="C4649" s="22"/>
      <c r="D4649" s="22"/>
      <c r="E4649" s="24"/>
      <c r="F4649" s="22"/>
      <c r="H4649" s="21"/>
      <c r="I4649" s="22"/>
      <c r="J4649" s="22"/>
      <c r="K4649" s="24"/>
      <c r="M4649" s="21"/>
      <c r="N4649" s="22"/>
      <c r="O4649" s="22"/>
      <c r="P4649" s="49"/>
      <c r="Q4649" s="49"/>
      <c r="R4649" s="188" t="str">
        <f t="shared" si="151"/>
        <v/>
      </c>
      <c r="T4649" s="21"/>
      <c r="U4649" s="22"/>
      <c r="V4649" s="24"/>
      <c r="W4649" s="24"/>
      <c r="X4649" s="24"/>
      <c r="Y4649" s="24"/>
      <c r="Z4649" s="20" t="str">
        <f t="shared" si="150"/>
        <v/>
      </c>
    </row>
    <row r="4650" spans="1:26" x14ac:dyDescent="0.2">
      <c r="A4650" s="21"/>
      <c r="B4650" s="20"/>
      <c r="C4650" s="22"/>
      <c r="D4650" s="22"/>
      <c r="E4650" s="24"/>
      <c r="F4650" s="22"/>
      <c r="H4650" s="21"/>
      <c r="I4650" s="22"/>
      <c r="J4650" s="22"/>
      <c r="K4650" s="24"/>
      <c r="M4650" s="21"/>
      <c r="N4650" s="22"/>
      <c r="O4650" s="22"/>
      <c r="P4650" s="49"/>
      <c r="Q4650" s="49"/>
      <c r="R4650" s="188" t="str">
        <f t="shared" si="151"/>
        <v/>
      </c>
      <c r="T4650" s="21"/>
      <c r="U4650" s="22"/>
      <c r="V4650" s="24"/>
      <c r="W4650" s="24"/>
      <c r="X4650" s="24"/>
      <c r="Y4650" s="24"/>
      <c r="Z4650" s="20" t="str">
        <f t="shared" si="150"/>
        <v/>
      </c>
    </row>
    <row r="4651" spans="1:26" x14ac:dyDescent="0.2">
      <c r="A4651" s="21"/>
      <c r="B4651" s="20"/>
      <c r="C4651" s="22"/>
      <c r="D4651" s="22"/>
      <c r="E4651" s="24"/>
      <c r="F4651" s="22"/>
      <c r="H4651" s="21"/>
      <c r="I4651" s="22"/>
      <c r="J4651" s="22"/>
      <c r="K4651" s="24"/>
      <c r="M4651" s="21"/>
      <c r="N4651" s="22"/>
      <c r="O4651" s="22"/>
      <c r="P4651" s="49"/>
      <c r="Q4651" s="49"/>
      <c r="R4651" s="188" t="str">
        <f t="shared" si="151"/>
        <v/>
      </c>
      <c r="T4651" s="21"/>
      <c r="U4651" s="22"/>
      <c r="V4651" s="24"/>
      <c r="W4651" s="24"/>
      <c r="X4651" s="24"/>
      <c r="Y4651" s="24"/>
      <c r="Z4651" s="20" t="str">
        <f t="shared" si="150"/>
        <v/>
      </c>
    </row>
    <row r="4652" spans="1:26" x14ac:dyDescent="0.2">
      <c r="A4652" s="21"/>
      <c r="B4652" s="20"/>
      <c r="C4652" s="22"/>
      <c r="D4652" s="22"/>
      <c r="E4652" s="24"/>
      <c r="F4652" s="22"/>
      <c r="H4652" s="21"/>
      <c r="I4652" s="22"/>
      <c r="J4652" s="22"/>
      <c r="K4652" s="24"/>
      <c r="M4652" s="21"/>
      <c r="N4652" s="22"/>
      <c r="O4652" s="22"/>
      <c r="P4652" s="49"/>
      <c r="Q4652" s="49"/>
      <c r="R4652" s="188" t="str">
        <f t="shared" si="151"/>
        <v/>
      </c>
      <c r="T4652" s="21"/>
      <c r="U4652" s="22"/>
      <c r="V4652" s="24"/>
      <c r="W4652" s="24"/>
      <c r="X4652" s="24"/>
      <c r="Y4652" s="24"/>
      <c r="Z4652" s="20" t="str">
        <f t="shared" si="150"/>
        <v/>
      </c>
    </row>
    <row r="4653" spans="1:26" x14ac:dyDescent="0.2">
      <c r="A4653" s="21"/>
      <c r="B4653" s="20"/>
      <c r="C4653" s="22"/>
      <c r="D4653" s="22"/>
      <c r="E4653" s="24"/>
      <c r="F4653" s="22"/>
      <c r="H4653" s="21"/>
      <c r="I4653" s="22"/>
      <c r="J4653" s="22"/>
      <c r="K4653" s="24"/>
      <c r="M4653" s="21"/>
      <c r="N4653" s="22"/>
      <c r="O4653" s="22"/>
      <c r="P4653" s="49"/>
      <c r="Q4653" s="49"/>
      <c r="R4653" s="188" t="str">
        <f t="shared" si="151"/>
        <v/>
      </c>
      <c r="T4653" s="21"/>
      <c r="U4653" s="22"/>
      <c r="V4653" s="24"/>
      <c r="W4653" s="24"/>
      <c r="X4653" s="24"/>
      <c r="Y4653" s="24"/>
      <c r="Z4653" s="20" t="str">
        <f t="shared" si="150"/>
        <v/>
      </c>
    </row>
    <row r="4654" spans="1:26" x14ac:dyDescent="0.2">
      <c r="A4654" s="21"/>
      <c r="B4654" s="20"/>
      <c r="C4654" s="22"/>
      <c r="D4654" s="22"/>
      <c r="E4654" s="24"/>
      <c r="F4654" s="22"/>
      <c r="H4654" s="21"/>
      <c r="I4654" s="22"/>
      <c r="J4654" s="22"/>
      <c r="K4654" s="24"/>
      <c r="M4654" s="21"/>
      <c r="N4654" s="22"/>
      <c r="O4654" s="22"/>
      <c r="P4654" s="49"/>
      <c r="Q4654" s="49"/>
      <c r="R4654" s="188" t="str">
        <f t="shared" si="151"/>
        <v/>
      </c>
      <c r="T4654" s="21"/>
      <c r="U4654" s="22"/>
      <c r="V4654" s="24"/>
      <c r="W4654" s="24"/>
      <c r="X4654" s="24"/>
      <c r="Y4654" s="24"/>
      <c r="Z4654" s="20" t="str">
        <f t="shared" si="150"/>
        <v/>
      </c>
    </row>
    <row r="4655" spans="1:26" x14ac:dyDescent="0.2">
      <c r="A4655" s="21"/>
      <c r="B4655" s="20"/>
      <c r="C4655" s="22"/>
      <c r="D4655" s="22"/>
      <c r="E4655" s="24"/>
      <c r="F4655" s="22"/>
      <c r="H4655" s="21"/>
      <c r="I4655" s="22"/>
      <c r="J4655" s="22"/>
      <c r="K4655" s="24"/>
      <c r="M4655" s="21"/>
      <c r="N4655" s="22"/>
      <c r="O4655" s="22"/>
      <c r="P4655" s="49"/>
      <c r="Q4655" s="49"/>
      <c r="R4655" s="188" t="str">
        <f t="shared" si="151"/>
        <v/>
      </c>
      <c r="T4655" s="21"/>
      <c r="U4655" s="22"/>
      <c r="V4655" s="24"/>
      <c r="W4655" s="24"/>
      <c r="X4655" s="24"/>
      <c r="Y4655" s="24"/>
      <c r="Z4655" s="20" t="str">
        <f t="shared" si="150"/>
        <v/>
      </c>
    </row>
    <row r="4656" spans="1:26" x14ac:dyDescent="0.2">
      <c r="A4656" s="21"/>
      <c r="B4656" s="20"/>
      <c r="C4656" s="22"/>
      <c r="D4656" s="22"/>
      <c r="E4656" s="24"/>
      <c r="F4656" s="22"/>
      <c r="H4656" s="21"/>
      <c r="I4656" s="22"/>
      <c r="J4656" s="22"/>
      <c r="K4656" s="24"/>
      <c r="M4656" s="21"/>
      <c r="N4656" s="22"/>
      <c r="O4656" s="22"/>
      <c r="P4656" s="49"/>
      <c r="Q4656" s="49"/>
      <c r="R4656" s="188" t="str">
        <f t="shared" si="151"/>
        <v/>
      </c>
      <c r="T4656" s="21"/>
      <c r="U4656" s="22"/>
      <c r="V4656" s="24"/>
      <c r="W4656" s="24"/>
      <c r="X4656" s="24"/>
      <c r="Y4656" s="24"/>
      <c r="Z4656" s="20" t="str">
        <f t="shared" si="150"/>
        <v/>
      </c>
    </row>
    <row r="4657" spans="1:26" x14ac:dyDescent="0.2">
      <c r="A4657" s="21"/>
      <c r="B4657" s="20"/>
      <c r="C4657" s="22"/>
      <c r="D4657" s="22"/>
      <c r="E4657" s="24"/>
      <c r="F4657" s="22"/>
      <c r="H4657" s="21"/>
      <c r="I4657" s="22"/>
      <c r="J4657" s="22"/>
      <c r="K4657" s="24"/>
      <c r="M4657" s="21"/>
      <c r="N4657" s="22"/>
      <c r="O4657" s="22"/>
      <c r="P4657" s="49"/>
      <c r="Q4657" s="49"/>
      <c r="R4657" s="188" t="str">
        <f t="shared" si="151"/>
        <v/>
      </c>
      <c r="T4657" s="21"/>
      <c r="U4657" s="22"/>
      <c r="V4657" s="24"/>
      <c r="W4657" s="24"/>
      <c r="X4657" s="24"/>
      <c r="Y4657" s="24"/>
      <c r="Z4657" s="20" t="str">
        <f t="shared" si="150"/>
        <v/>
      </c>
    </row>
    <row r="4658" spans="1:26" x14ac:dyDescent="0.2">
      <c r="A4658" s="21"/>
      <c r="B4658" s="20"/>
      <c r="C4658" s="22"/>
      <c r="D4658" s="22"/>
      <c r="E4658" s="24"/>
      <c r="F4658" s="22"/>
      <c r="H4658" s="21"/>
      <c r="I4658" s="22"/>
      <c r="J4658" s="22"/>
      <c r="K4658" s="24"/>
      <c r="M4658" s="21"/>
      <c r="N4658" s="22"/>
      <c r="O4658" s="22"/>
      <c r="P4658" s="49"/>
      <c r="Q4658" s="49"/>
      <c r="R4658" s="188" t="str">
        <f t="shared" si="151"/>
        <v/>
      </c>
      <c r="T4658" s="21"/>
      <c r="U4658" s="22"/>
      <c r="V4658" s="24"/>
      <c r="W4658" s="24"/>
      <c r="X4658" s="24"/>
      <c r="Y4658" s="24"/>
      <c r="Z4658" s="20" t="str">
        <f t="shared" si="150"/>
        <v/>
      </c>
    </row>
    <row r="4659" spans="1:26" x14ac:dyDescent="0.2">
      <c r="A4659" s="21"/>
      <c r="B4659" s="20"/>
      <c r="C4659" s="22"/>
      <c r="D4659" s="22"/>
      <c r="E4659" s="24"/>
      <c r="F4659" s="22"/>
      <c r="H4659" s="21"/>
      <c r="I4659" s="22"/>
      <c r="J4659" s="22"/>
      <c r="K4659" s="24"/>
      <c r="M4659" s="21"/>
      <c r="N4659" s="22"/>
      <c r="O4659" s="22"/>
      <c r="P4659" s="49"/>
      <c r="Q4659" s="49"/>
      <c r="R4659" s="188" t="str">
        <f t="shared" si="151"/>
        <v/>
      </c>
      <c r="T4659" s="21"/>
      <c r="U4659" s="22"/>
      <c r="V4659" s="24"/>
      <c r="W4659" s="24"/>
      <c r="X4659" s="24"/>
      <c r="Y4659" s="24"/>
      <c r="Z4659" s="20" t="str">
        <f t="shared" si="150"/>
        <v/>
      </c>
    </row>
    <row r="4660" spans="1:26" x14ac:dyDescent="0.2">
      <c r="A4660" s="21"/>
      <c r="B4660" s="20"/>
      <c r="C4660" s="22"/>
      <c r="D4660" s="22"/>
      <c r="E4660" s="24"/>
      <c r="F4660" s="22"/>
      <c r="H4660" s="21"/>
      <c r="I4660" s="22"/>
      <c r="J4660" s="22"/>
      <c r="K4660" s="24"/>
      <c r="M4660" s="21"/>
      <c r="N4660" s="22"/>
      <c r="O4660" s="22"/>
      <c r="P4660" s="49"/>
      <c r="Q4660" s="49"/>
      <c r="R4660" s="188" t="str">
        <f t="shared" si="151"/>
        <v/>
      </c>
      <c r="T4660" s="21"/>
      <c r="U4660" s="22"/>
      <c r="V4660" s="24"/>
      <c r="W4660" s="24"/>
      <c r="X4660" s="24"/>
      <c r="Y4660" s="24"/>
      <c r="Z4660" s="20" t="str">
        <f t="shared" si="150"/>
        <v/>
      </c>
    </row>
    <row r="4661" spans="1:26" x14ac:dyDescent="0.2">
      <c r="A4661" s="21"/>
      <c r="B4661" s="20"/>
      <c r="C4661" s="22"/>
      <c r="D4661" s="22"/>
      <c r="E4661" s="24"/>
      <c r="F4661" s="22"/>
      <c r="H4661" s="21"/>
      <c r="I4661" s="22"/>
      <c r="J4661" s="22"/>
      <c r="K4661" s="24"/>
      <c r="M4661" s="21"/>
      <c r="N4661" s="22"/>
      <c r="O4661" s="22"/>
      <c r="P4661" s="49"/>
      <c r="Q4661" s="49"/>
      <c r="R4661" s="188" t="str">
        <f t="shared" si="151"/>
        <v/>
      </c>
      <c r="T4661" s="21"/>
      <c r="U4661" s="22"/>
      <c r="V4661" s="24"/>
      <c r="W4661" s="24"/>
      <c r="X4661" s="24"/>
      <c r="Y4661" s="24"/>
      <c r="Z4661" s="20" t="str">
        <f t="shared" si="150"/>
        <v/>
      </c>
    </row>
    <row r="4662" spans="1:26" x14ac:dyDescent="0.2">
      <c r="A4662" s="21"/>
      <c r="B4662" s="20"/>
      <c r="C4662" s="22"/>
      <c r="D4662" s="22"/>
      <c r="E4662" s="24"/>
      <c r="F4662" s="22"/>
      <c r="H4662" s="21"/>
      <c r="I4662" s="22"/>
      <c r="J4662" s="22"/>
      <c r="K4662" s="24"/>
      <c r="M4662" s="21"/>
      <c r="N4662" s="22"/>
      <c r="O4662" s="22"/>
      <c r="P4662" s="49"/>
      <c r="Q4662" s="49"/>
      <c r="R4662" s="188" t="str">
        <f t="shared" si="151"/>
        <v/>
      </c>
      <c r="T4662" s="21"/>
      <c r="U4662" s="22"/>
      <c r="V4662" s="24"/>
      <c r="W4662" s="24"/>
      <c r="X4662" s="24"/>
      <c r="Y4662" s="24"/>
      <c r="Z4662" s="20" t="str">
        <f t="shared" si="150"/>
        <v/>
      </c>
    </row>
    <row r="4663" spans="1:26" x14ac:dyDescent="0.2">
      <c r="A4663" s="21"/>
      <c r="B4663" s="20"/>
      <c r="C4663" s="22"/>
      <c r="D4663" s="22"/>
      <c r="E4663" s="24"/>
      <c r="F4663" s="22"/>
      <c r="H4663" s="21"/>
      <c r="I4663" s="22"/>
      <c r="J4663" s="22"/>
      <c r="K4663" s="24"/>
      <c r="M4663" s="21"/>
      <c r="N4663" s="22"/>
      <c r="O4663" s="22"/>
      <c r="P4663" s="49"/>
      <c r="Q4663" s="49"/>
      <c r="R4663" s="188" t="str">
        <f t="shared" si="151"/>
        <v/>
      </c>
      <c r="T4663" s="21"/>
      <c r="U4663" s="22"/>
      <c r="V4663" s="24"/>
      <c r="W4663" s="24"/>
      <c r="X4663" s="24"/>
      <c r="Y4663" s="24"/>
      <c r="Z4663" s="20" t="str">
        <f t="shared" si="150"/>
        <v/>
      </c>
    </row>
    <row r="4664" spans="1:26" x14ac:dyDescent="0.2">
      <c r="A4664" s="21"/>
      <c r="B4664" s="20"/>
      <c r="C4664" s="22"/>
      <c r="D4664" s="22"/>
      <c r="E4664" s="24"/>
      <c r="F4664" s="22"/>
      <c r="H4664" s="21"/>
      <c r="I4664" s="22"/>
      <c r="J4664" s="22"/>
      <c r="K4664" s="24"/>
      <c r="M4664" s="21"/>
      <c r="N4664" s="22"/>
      <c r="O4664" s="22"/>
      <c r="P4664" s="49"/>
      <c r="Q4664" s="49"/>
      <c r="R4664" s="188" t="str">
        <f t="shared" si="151"/>
        <v/>
      </c>
      <c r="T4664" s="21"/>
      <c r="U4664" s="22"/>
      <c r="V4664" s="24"/>
      <c r="W4664" s="24"/>
      <c r="X4664" s="24"/>
      <c r="Y4664" s="24"/>
      <c r="Z4664" s="20" t="str">
        <f t="shared" si="150"/>
        <v/>
      </c>
    </row>
    <row r="4665" spans="1:26" x14ac:dyDescent="0.2">
      <c r="A4665" s="21"/>
      <c r="B4665" s="20"/>
      <c r="C4665" s="22"/>
      <c r="D4665" s="22"/>
      <c r="E4665" s="24"/>
      <c r="F4665" s="22"/>
      <c r="H4665" s="21"/>
      <c r="I4665" s="22"/>
      <c r="J4665" s="22"/>
      <c r="K4665" s="24"/>
      <c r="M4665" s="21"/>
      <c r="N4665" s="22"/>
      <c r="O4665" s="22"/>
      <c r="P4665" s="49"/>
      <c r="Q4665" s="49"/>
      <c r="R4665" s="188" t="str">
        <f t="shared" si="151"/>
        <v/>
      </c>
      <c r="T4665" s="21"/>
      <c r="U4665" s="22"/>
      <c r="V4665" s="24"/>
      <c r="W4665" s="24"/>
      <c r="X4665" s="24"/>
      <c r="Y4665" s="24"/>
      <c r="Z4665" s="20" t="str">
        <f t="shared" si="150"/>
        <v/>
      </c>
    </row>
    <row r="4666" spans="1:26" x14ac:dyDescent="0.2">
      <c r="A4666" s="21"/>
      <c r="B4666" s="20"/>
      <c r="C4666" s="22"/>
      <c r="D4666" s="22"/>
      <c r="E4666" s="24"/>
      <c r="F4666" s="22"/>
      <c r="H4666" s="21"/>
      <c r="I4666" s="22"/>
      <c r="J4666" s="22"/>
      <c r="K4666" s="24"/>
      <c r="M4666" s="21"/>
      <c r="N4666" s="22"/>
      <c r="O4666" s="22"/>
      <c r="P4666" s="49"/>
      <c r="Q4666" s="49"/>
      <c r="R4666" s="188" t="str">
        <f t="shared" si="151"/>
        <v/>
      </c>
      <c r="T4666" s="21"/>
      <c r="U4666" s="22"/>
      <c r="V4666" s="24"/>
      <c r="W4666" s="24"/>
      <c r="X4666" s="24"/>
      <c r="Y4666" s="24"/>
      <c r="Z4666" s="20" t="str">
        <f t="shared" si="150"/>
        <v/>
      </c>
    </row>
    <row r="4667" spans="1:26" x14ac:dyDescent="0.2">
      <c r="A4667" s="21"/>
      <c r="B4667" s="20"/>
      <c r="C4667" s="22"/>
      <c r="D4667" s="22"/>
      <c r="E4667" s="24"/>
      <c r="F4667" s="22"/>
      <c r="H4667" s="21"/>
      <c r="I4667" s="22"/>
      <c r="J4667" s="22"/>
      <c r="K4667" s="24"/>
      <c r="M4667" s="21"/>
      <c r="N4667" s="22"/>
      <c r="O4667" s="22"/>
      <c r="P4667" s="49"/>
      <c r="Q4667" s="49"/>
      <c r="R4667" s="188" t="str">
        <f t="shared" si="151"/>
        <v/>
      </c>
      <c r="T4667" s="21"/>
      <c r="U4667" s="22"/>
      <c r="V4667" s="24"/>
      <c r="W4667" s="24"/>
      <c r="X4667" s="24"/>
      <c r="Y4667" s="24"/>
      <c r="Z4667" s="20" t="str">
        <f t="shared" si="150"/>
        <v/>
      </c>
    </row>
    <row r="4668" spans="1:26" x14ac:dyDescent="0.2">
      <c r="A4668" s="21"/>
      <c r="B4668" s="20"/>
      <c r="C4668" s="22"/>
      <c r="D4668" s="22"/>
      <c r="E4668" s="24"/>
      <c r="F4668" s="22"/>
      <c r="H4668" s="21"/>
      <c r="I4668" s="22"/>
      <c r="J4668" s="22"/>
      <c r="K4668" s="24"/>
      <c r="M4668" s="21"/>
      <c r="N4668" s="22"/>
      <c r="O4668" s="22"/>
      <c r="P4668" s="49"/>
      <c r="Q4668" s="49"/>
      <c r="R4668" s="188" t="str">
        <f t="shared" si="151"/>
        <v/>
      </c>
      <c r="T4668" s="21"/>
      <c r="U4668" s="22"/>
      <c r="V4668" s="24"/>
      <c r="W4668" s="24"/>
      <c r="X4668" s="24"/>
      <c r="Y4668" s="24"/>
      <c r="Z4668" s="20" t="str">
        <f t="shared" si="150"/>
        <v/>
      </c>
    </row>
    <row r="4669" spans="1:26" x14ac:dyDescent="0.2">
      <c r="A4669" s="21"/>
      <c r="B4669" s="20"/>
      <c r="C4669" s="22"/>
      <c r="D4669" s="22"/>
      <c r="E4669" s="24"/>
      <c r="F4669" s="22"/>
      <c r="H4669" s="21"/>
      <c r="I4669" s="22"/>
      <c r="J4669" s="22"/>
      <c r="K4669" s="24"/>
      <c r="M4669" s="21"/>
      <c r="N4669" s="22"/>
      <c r="O4669" s="22"/>
      <c r="P4669" s="49"/>
      <c r="Q4669" s="49"/>
      <c r="R4669" s="188" t="str">
        <f t="shared" si="151"/>
        <v/>
      </c>
      <c r="T4669" s="21"/>
      <c r="U4669" s="22"/>
      <c r="V4669" s="24"/>
      <c r="W4669" s="24"/>
      <c r="X4669" s="24"/>
      <c r="Y4669" s="24"/>
      <c r="Z4669" s="20" t="str">
        <f t="shared" si="150"/>
        <v/>
      </c>
    </row>
    <row r="4670" spans="1:26" x14ac:dyDescent="0.2">
      <c r="A4670" s="21"/>
      <c r="B4670" s="20"/>
      <c r="C4670" s="22"/>
      <c r="D4670" s="22"/>
      <c r="E4670" s="24"/>
      <c r="F4670" s="22"/>
      <c r="H4670" s="21"/>
      <c r="I4670" s="22"/>
      <c r="J4670" s="22"/>
      <c r="K4670" s="24"/>
      <c r="M4670" s="21"/>
      <c r="N4670" s="22"/>
      <c r="O4670" s="22"/>
      <c r="P4670" s="49"/>
      <c r="Q4670" s="49"/>
      <c r="R4670" s="188" t="str">
        <f t="shared" si="151"/>
        <v/>
      </c>
      <c r="T4670" s="21"/>
      <c r="U4670" s="22"/>
      <c r="V4670" s="24"/>
      <c r="W4670" s="24"/>
      <c r="X4670" s="24"/>
      <c r="Y4670" s="24"/>
      <c r="Z4670" s="20" t="str">
        <f t="shared" si="150"/>
        <v/>
      </c>
    </row>
    <row r="4671" spans="1:26" x14ac:dyDescent="0.2">
      <c r="A4671" s="21"/>
      <c r="B4671" s="20"/>
      <c r="C4671" s="22"/>
      <c r="D4671" s="22"/>
      <c r="E4671" s="24"/>
      <c r="F4671" s="22"/>
      <c r="H4671" s="21"/>
      <c r="I4671" s="22"/>
      <c r="J4671" s="22"/>
      <c r="K4671" s="24"/>
      <c r="M4671" s="21"/>
      <c r="N4671" s="22"/>
      <c r="O4671" s="22"/>
      <c r="P4671" s="49"/>
      <c r="Q4671" s="49"/>
      <c r="R4671" s="188" t="str">
        <f t="shared" si="151"/>
        <v/>
      </c>
      <c r="T4671" s="21"/>
      <c r="U4671" s="22"/>
      <c r="V4671" s="24"/>
      <c r="W4671" s="24"/>
      <c r="X4671" s="24"/>
      <c r="Y4671" s="24"/>
      <c r="Z4671" s="20" t="str">
        <f t="shared" si="150"/>
        <v/>
      </c>
    </row>
    <row r="4672" spans="1:26" x14ac:dyDescent="0.2">
      <c r="A4672" s="21"/>
      <c r="B4672" s="20"/>
      <c r="C4672" s="22"/>
      <c r="D4672" s="22"/>
      <c r="E4672" s="24"/>
      <c r="F4672" s="22"/>
      <c r="H4672" s="21"/>
      <c r="I4672" s="22"/>
      <c r="J4672" s="22"/>
      <c r="K4672" s="24"/>
      <c r="M4672" s="21"/>
      <c r="N4672" s="22"/>
      <c r="O4672" s="22"/>
      <c r="P4672" s="49"/>
      <c r="Q4672" s="49"/>
      <c r="R4672" s="188" t="str">
        <f t="shared" si="151"/>
        <v/>
      </c>
      <c r="T4672" s="21"/>
      <c r="U4672" s="22"/>
      <c r="V4672" s="24"/>
      <c r="W4672" s="24"/>
      <c r="X4672" s="24"/>
      <c r="Y4672" s="24"/>
      <c r="Z4672" s="20" t="str">
        <f t="shared" si="150"/>
        <v/>
      </c>
    </row>
    <row r="4673" spans="1:26" x14ac:dyDescent="0.2">
      <c r="A4673" s="21"/>
      <c r="B4673" s="20"/>
      <c r="C4673" s="22"/>
      <c r="D4673" s="22"/>
      <c r="E4673" s="24"/>
      <c r="F4673" s="22"/>
      <c r="H4673" s="21"/>
      <c r="I4673" s="22"/>
      <c r="J4673" s="22"/>
      <c r="K4673" s="24"/>
      <c r="M4673" s="21"/>
      <c r="N4673" s="22"/>
      <c r="O4673" s="22"/>
      <c r="P4673" s="49"/>
      <c r="Q4673" s="49"/>
      <c r="R4673" s="188" t="str">
        <f t="shared" si="151"/>
        <v/>
      </c>
      <c r="T4673" s="21"/>
      <c r="U4673" s="22"/>
      <c r="V4673" s="24"/>
      <c r="W4673" s="24"/>
      <c r="X4673" s="24"/>
      <c r="Y4673" s="24"/>
      <c r="Z4673" s="20" t="str">
        <f t="shared" si="150"/>
        <v/>
      </c>
    </row>
    <row r="4674" spans="1:26" x14ac:dyDescent="0.2">
      <c r="A4674" s="21"/>
      <c r="B4674" s="20"/>
      <c r="C4674" s="22"/>
      <c r="D4674" s="22"/>
      <c r="E4674" s="24"/>
      <c r="F4674" s="22"/>
      <c r="H4674" s="21"/>
      <c r="I4674" s="22"/>
      <c r="J4674" s="22"/>
      <c r="K4674" s="24"/>
      <c r="M4674" s="21"/>
      <c r="N4674" s="22"/>
      <c r="O4674" s="22"/>
      <c r="P4674" s="49"/>
      <c r="Q4674" s="49"/>
      <c r="R4674" s="188" t="str">
        <f t="shared" si="151"/>
        <v/>
      </c>
      <c r="T4674" s="21"/>
      <c r="U4674" s="22"/>
      <c r="V4674" s="24"/>
      <c r="W4674" s="24"/>
      <c r="X4674" s="24"/>
      <c r="Y4674" s="24"/>
      <c r="Z4674" s="20" t="str">
        <f t="shared" si="150"/>
        <v/>
      </c>
    </row>
    <row r="4675" spans="1:26" x14ac:dyDescent="0.2">
      <c r="A4675" s="21"/>
      <c r="B4675" s="20"/>
      <c r="C4675" s="22"/>
      <c r="D4675" s="22"/>
      <c r="E4675" s="24"/>
      <c r="F4675" s="22"/>
      <c r="H4675" s="21"/>
      <c r="I4675" s="22"/>
      <c r="J4675" s="22"/>
      <c r="K4675" s="24"/>
      <c r="M4675" s="21"/>
      <c r="N4675" s="22"/>
      <c r="O4675" s="22"/>
      <c r="P4675" s="49"/>
      <c r="Q4675" s="49"/>
      <c r="R4675" s="188" t="str">
        <f t="shared" si="151"/>
        <v/>
      </c>
      <c r="T4675" s="21"/>
      <c r="U4675" s="22"/>
      <c r="V4675" s="24"/>
      <c r="W4675" s="24"/>
      <c r="X4675" s="24"/>
      <c r="Y4675" s="24"/>
      <c r="Z4675" s="20" t="str">
        <f t="shared" si="150"/>
        <v/>
      </c>
    </row>
    <row r="4676" spans="1:26" x14ac:dyDescent="0.2">
      <c r="A4676" s="21"/>
      <c r="B4676" s="20"/>
      <c r="C4676" s="22"/>
      <c r="D4676" s="22"/>
      <c r="E4676" s="24"/>
      <c r="F4676" s="22"/>
      <c r="H4676" s="21"/>
      <c r="I4676" s="22"/>
      <c r="J4676" s="22"/>
      <c r="K4676" s="24"/>
      <c r="M4676" s="21"/>
      <c r="N4676" s="22"/>
      <c r="O4676" s="22"/>
      <c r="P4676" s="49"/>
      <c r="Q4676" s="49"/>
      <c r="R4676" s="188" t="str">
        <f t="shared" si="151"/>
        <v/>
      </c>
      <c r="T4676" s="21"/>
      <c r="U4676" s="22"/>
      <c r="V4676" s="24"/>
      <c r="W4676" s="24"/>
      <c r="X4676" s="24"/>
      <c r="Y4676" s="24"/>
      <c r="Z4676" s="20" t="str">
        <f t="shared" si="150"/>
        <v/>
      </c>
    </row>
    <row r="4677" spans="1:26" x14ac:dyDescent="0.2">
      <c r="A4677" s="21"/>
      <c r="B4677" s="20"/>
      <c r="C4677" s="22"/>
      <c r="D4677" s="22"/>
      <c r="E4677" s="24"/>
      <c r="F4677" s="22"/>
      <c r="H4677" s="21"/>
      <c r="I4677" s="22"/>
      <c r="J4677" s="22"/>
      <c r="K4677" s="24"/>
      <c r="M4677" s="21"/>
      <c r="N4677" s="22"/>
      <c r="O4677" s="22"/>
      <c r="P4677" s="49"/>
      <c r="Q4677" s="49"/>
      <c r="R4677" s="188" t="str">
        <f t="shared" si="151"/>
        <v/>
      </c>
      <c r="T4677" s="21"/>
      <c r="U4677" s="22"/>
      <c r="V4677" s="24"/>
      <c r="W4677" s="24"/>
      <c r="X4677" s="24"/>
      <c r="Y4677" s="24"/>
      <c r="Z4677" s="20" t="str">
        <f t="shared" si="150"/>
        <v/>
      </c>
    </row>
    <row r="4678" spans="1:26" x14ac:dyDescent="0.2">
      <c r="A4678" s="21"/>
      <c r="B4678" s="20"/>
      <c r="C4678" s="22"/>
      <c r="D4678" s="22"/>
      <c r="E4678" s="24"/>
      <c r="F4678" s="22"/>
      <c r="H4678" s="21"/>
      <c r="I4678" s="22"/>
      <c r="J4678" s="22"/>
      <c r="K4678" s="24"/>
      <c r="M4678" s="21"/>
      <c r="N4678" s="22"/>
      <c r="O4678" s="22"/>
      <c r="P4678" s="49"/>
      <c r="Q4678" s="49"/>
      <c r="R4678" s="188" t="str">
        <f t="shared" si="151"/>
        <v/>
      </c>
      <c r="T4678" s="21"/>
      <c r="U4678" s="22"/>
      <c r="V4678" s="24"/>
      <c r="W4678" s="24"/>
      <c r="X4678" s="24"/>
      <c r="Y4678" s="24"/>
      <c r="Z4678" s="20" t="str">
        <f t="shared" si="150"/>
        <v/>
      </c>
    </row>
    <row r="4679" spans="1:26" x14ac:dyDescent="0.2">
      <c r="A4679" s="21"/>
      <c r="B4679" s="20"/>
      <c r="C4679" s="22"/>
      <c r="D4679" s="22"/>
      <c r="E4679" s="24"/>
      <c r="F4679" s="22"/>
      <c r="H4679" s="21"/>
      <c r="I4679" s="22"/>
      <c r="J4679" s="22"/>
      <c r="K4679" s="24"/>
      <c r="M4679" s="21"/>
      <c r="N4679" s="22"/>
      <c r="O4679" s="22"/>
      <c r="P4679" s="49"/>
      <c r="Q4679" s="49"/>
      <c r="R4679" s="188" t="str">
        <f t="shared" si="151"/>
        <v/>
      </c>
      <c r="T4679" s="21"/>
      <c r="U4679" s="22"/>
      <c r="V4679" s="24"/>
      <c r="W4679" s="24"/>
      <c r="X4679" s="24"/>
      <c r="Y4679" s="24"/>
      <c r="Z4679" s="20" t="str">
        <f t="shared" si="150"/>
        <v/>
      </c>
    </row>
    <row r="4680" spans="1:26" x14ac:dyDescent="0.2">
      <c r="A4680" s="21"/>
      <c r="B4680" s="20"/>
      <c r="C4680" s="22"/>
      <c r="D4680" s="22"/>
      <c r="E4680" s="24"/>
      <c r="F4680" s="22"/>
      <c r="H4680" s="21"/>
      <c r="I4680" s="22"/>
      <c r="J4680" s="22"/>
      <c r="K4680" s="24"/>
      <c r="M4680" s="21"/>
      <c r="N4680" s="22"/>
      <c r="O4680" s="22"/>
      <c r="P4680" s="49"/>
      <c r="Q4680" s="49"/>
      <c r="R4680" s="188" t="str">
        <f t="shared" si="151"/>
        <v/>
      </c>
      <c r="T4680" s="21"/>
      <c r="U4680" s="22"/>
      <c r="V4680" s="24"/>
      <c r="W4680" s="24"/>
      <c r="X4680" s="24"/>
      <c r="Y4680" s="24"/>
      <c r="Z4680" s="20" t="str">
        <f t="shared" si="150"/>
        <v/>
      </c>
    </row>
    <row r="4681" spans="1:26" x14ac:dyDescent="0.2">
      <c r="A4681" s="21"/>
      <c r="B4681" s="20"/>
      <c r="C4681" s="22"/>
      <c r="D4681" s="22"/>
      <c r="E4681" s="24"/>
      <c r="F4681" s="22"/>
      <c r="H4681" s="21"/>
      <c r="I4681" s="22"/>
      <c r="J4681" s="22"/>
      <c r="K4681" s="24"/>
      <c r="M4681" s="21"/>
      <c r="N4681" s="22"/>
      <c r="O4681" s="22"/>
      <c r="P4681" s="49"/>
      <c r="Q4681" s="49"/>
      <c r="R4681" s="188" t="str">
        <f t="shared" si="151"/>
        <v/>
      </c>
      <c r="T4681" s="21"/>
      <c r="U4681" s="22"/>
      <c r="V4681" s="24"/>
      <c r="W4681" s="24"/>
      <c r="X4681" s="24"/>
      <c r="Y4681" s="24"/>
      <c r="Z4681" s="20" t="str">
        <f t="shared" si="150"/>
        <v/>
      </c>
    </row>
    <row r="4682" spans="1:26" x14ac:dyDescent="0.2">
      <c r="A4682" s="21"/>
      <c r="B4682" s="20"/>
      <c r="C4682" s="22"/>
      <c r="D4682" s="22"/>
      <c r="E4682" s="24"/>
      <c r="F4682" s="22"/>
      <c r="H4682" s="21"/>
      <c r="I4682" s="22"/>
      <c r="J4682" s="22"/>
      <c r="K4682" s="24"/>
      <c r="M4682" s="21"/>
      <c r="N4682" s="22"/>
      <c r="O4682" s="22"/>
      <c r="P4682" s="49"/>
      <c r="Q4682" s="49"/>
      <c r="R4682" s="188" t="str">
        <f t="shared" si="151"/>
        <v/>
      </c>
      <c r="T4682" s="21"/>
      <c r="U4682" s="22"/>
      <c r="V4682" s="24"/>
      <c r="W4682" s="24"/>
      <c r="X4682" s="24"/>
      <c r="Y4682" s="24"/>
      <c r="Z4682" s="20" t="str">
        <f t="shared" si="150"/>
        <v/>
      </c>
    </row>
    <row r="4683" spans="1:26" x14ac:dyDescent="0.2">
      <c r="A4683" s="21"/>
      <c r="B4683" s="20"/>
      <c r="C4683" s="22"/>
      <c r="D4683" s="22"/>
      <c r="E4683" s="24"/>
      <c r="F4683" s="22"/>
      <c r="H4683" s="21"/>
      <c r="I4683" s="22"/>
      <c r="J4683" s="22"/>
      <c r="K4683" s="24"/>
      <c r="M4683" s="21"/>
      <c r="N4683" s="22"/>
      <c r="O4683" s="22"/>
      <c r="P4683" s="49"/>
      <c r="Q4683" s="49"/>
      <c r="R4683" s="188" t="str">
        <f t="shared" si="151"/>
        <v/>
      </c>
      <c r="T4683" s="21"/>
      <c r="U4683" s="22"/>
      <c r="V4683" s="24"/>
      <c r="W4683" s="24"/>
      <c r="X4683" s="24"/>
      <c r="Y4683" s="24"/>
      <c r="Z4683" s="20" t="str">
        <f t="shared" si="150"/>
        <v/>
      </c>
    </row>
    <row r="4684" spans="1:26" x14ac:dyDescent="0.2">
      <c r="A4684" s="21"/>
      <c r="B4684" s="20"/>
      <c r="C4684" s="22"/>
      <c r="D4684" s="22"/>
      <c r="E4684" s="24"/>
      <c r="F4684" s="22"/>
      <c r="H4684" s="21"/>
      <c r="I4684" s="22"/>
      <c r="J4684" s="22"/>
      <c r="K4684" s="24"/>
      <c r="M4684" s="21"/>
      <c r="N4684" s="22"/>
      <c r="O4684" s="22"/>
      <c r="P4684" s="49"/>
      <c r="Q4684" s="49"/>
      <c r="R4684" s="188" t="str">
        <f t="shared" si="151"/>
        <v/>
      </c>
      <c r="T4684" s="21"/>
      <c r="U4684" s="22"/>
      <c r="V4684" s="24"/>
      <c r="W4684" s="24"/>
      <c r="X4684" s="24"/>
      <c r="Y4684" s="24"/>
      <c r="Z4684" s="20" t="str">
        <f t="shared" si="150"/>
        <v/>
      </c>
    </row>
    <row r="4685" spans="1:26" x14ac:dyDescent="0.2">
      <c r="A4685" s="21"/>
      <c r="B4685" s="20"/>
      <c r="C4685" s="22"/>
      <c r="D4685" s="22"/>
      <c r="E4685" s="24"/>
      <c r="F4685" s="22"/>
      <c r="H4685" s="21"/>
      <c r="I4685" s="22"/>
      <c r="J4685" s="22"/>
      <c r="K4685" s="24"/>
      <c r="M4685" s="21"/>
      <c r="N4685" s="22"/>
      <c r="O4685" s="22"/>
      <c r="P4685" s="49"/>
      <c r="Q4685" s="49"/>
      <c r="R4685" s="188" t="str">
        <f t="shared" si="151"/>
        <v/>
      </c>
      <c r="T4685" s="21"/>
      <c r="U4685" s="22"/>
      <c r="V4685" s="24"/>
      <c r="W4685" s="24"/>
      <c r="X4685" s="24"/>
      <c r="Y4685" s="24"/>
      <c r="Z4685" s="20" t="str">
        <f t="shared" si="150"/>
        <v/>
      </c>
    </row>
    <row r="4686" spans="1:26" x14ac:dyDescent="0.2">
      <c r="A4686" s="21"/>
      <c r="B4686" s="20"/>
      <c r="C4686" s="22"/>
      <c r="D4686" s="22"/>
      <c r="E4686" s="24"/>
      <c r="F4686" s="22"/>
      <c r="H4686" s="21"/>
      <c r="I4686" s="22"/>
      <c r="J4686" s="22"/>
      <c r="K4686" s="24"/>
      <c r="M4686" s="21"/>
      <c r="N4686" s="22"/>
      <c r="O4686" s="22"/>
      <c r="P4686" s="49"/>
      <c r="Q4686" s="49"/>
      <c r="R4686" s="188" t="str">
        <f t="shared" si="151"/>
        <v/>
      </c>
      <c r="T4686" s="21"/>
      <c r="U4686" s="22"/>
      <c r="V4686" s="24"/>
      <c r="W4686" s="24"/>
      <c r="X4686" s="24"/>
      <c r="Y4686" s="24"/>
      <c r="Z4686" s="20" t="str">
        <f t="shared" si="150"/>
        <v/>
      </c>
    </row>
    <row r="4687" spans="1:26" x14ac:dyDescent="0.2">
      <c r="A4687" s="21"/>
      <c r="B4687" s="20"/>
      <c r="C4687" s="22"/>
      <c r="D4687" s="22"/>
      <c r="E4687" s="24"/>
      <c r="F4687" s="22"/>
      <c r="H4687" s="21"/>
      <c r="I4687" s="22"/>
      <c r="J4687" s="22"/>
      <c r="K4687" s="24"/>
      <c r="M4687" s="21"/>
      <c r="N4687" s="22"/>
      <c r="O4687" s="22"/>
      <c r="P4687" s="49"/>
      <c r="Q4687" s="49"/>
      <c r="R4687" s="188" t="str">
        <f t="shared" si="151"/>
        <v/>
      </c>
      <c r="T4687" s="21"/>
      <c r="U4687" s="22"/>
      <c r="V4687" s="24"/>
      <c r="W4687" s="24"/>
      <c r="X4687" s="24"/>
      <c r="Y4687" s="24"/>
      <c r="Z4687" s="20" t="str">
        <f t="shared" si="150"/>
        <v/>
      </c>
    </row>
    <row r="4688" spans="1:26" x14ac:dyDescent="0.2">
      <c r="A4688" s="21"/>
      <c r="B4688" s="20"/>
      <c r="C4688" s="22"/>
      <c r="D4688" s="22"/>
      <c r="E4688" s="24"/>
      <c r="F4688" s="22"/>
      <c r="H4688" s="21"/>
      <c r="I4688" s="22"/>
      <c r="J4688" s="22"/>
      <c r="K4688" s="24"/>
      <c r="M4688" s="21"/>
      <c r="N4688" s="22"/>
      <c r="O4688" s="22"/>
      <c r="P4688" s="49"/>
      <c r="Q4688" s="49"/>
      <c r="R4688" s="188" t="str">
        <f t="shared" si="151"/>
        <v/>
      </c>
      <c r="T4688" s="21"/>
      <c r="U4688" s="22"/>
      <c r="V4688" s="24"/>
      <c r="W4688" s="24"/>
      <c r="X4688" s="24"/>
      <c r="Y4688" s="24"/>
      <c r="Z4688" s="20" t="str">
        <f t="shared" si="150"/>
        <v/>
      </c>
    </row>
    <row r="4689" spans="1:26" x14ac:dyDescent="0.2">
      <c r="A4689" s="21"/>
      <c r="B4689" s="20"/>
      <c r="C4689" s="22"/>
      <c r="D4689" s="22"/>
      <c r="E4689" s="24"/>
      <c r="F4689" s="22"/>
      <c r="H4689" s="21"/>
      <c r="I4689" s="22"/>
      <c r="J4689" s="22"/>
      <c r="K4689" s="24"/>
      <c r="M4689" s="21"/>
      <c r="N4689" s="22"/>
      <c r="O4689" s="22"/>
      <c r="P4689" s="49"/>
      <c r="Q4689" s="49"/>
      <c r="R4689" s="188" t="str">
        <f t="shared" si="151"/>
        <v/>
      </c>
      <c r="T4689" s="21"/>
      <c r="U4689" s="22"/>
      <c r="V4689" s="24"/>
      <c r="W4689" s="24"/>
      <c r="X4689" s="24"/>
      <c r="Y4689" s="24"/>
      <c r="Z4689" s="20" t="str">
        <f t="shared" si="150"/>
        <v/>
      </c>
    </row>
    <row r="4690" spans="1:26" x14ac:dyDescent="0.2">
      <c r="A4690" s="21"/>
      <c r="B4690" s="20"/>
      <c r="C4690" s="22"/>
      <c r="D4690" s="22"/>
      <c r="E4690" s="24"/>
      <c r="F4690" s="22"/>
      <c r="H4690" s="21"/>
      <c r="I4690" s="22"/>
      <c r="J4690" s="22"/>
      <c r="K4690" s="24"/>
      <c r="M4690" s="21"/>
      <c r="N4690" s="22"/>
      <c r="O4690" s="22"/>
      <c r="P4690" s="49"/>
      <c r="Q4690" s="49"/>
      <c r="R4690" s="188" t="str">
        <f t="shared" si="151"/>
        <v/>
      </c>
      <c r="T4690" s="21"/>
      <c r="U4690" s="22"/>
      <c r="V4690" s="24"/>
      <c r="W4690" s="24"/>
      <c r="X4690" s="24"/>
      <c r="Y4690" s="24"/>
      <c r="Z4690" s="20" t="str">
        <f t="shared" si="150"/>
        <v/>
      </c>
    </row>
    <row r="4691" spans="1:26" x14ac:dyDescent="0.2">
      <c r="A4691" s="21"/>
      <c r="B4691" s="20"/>
      <c r="C4691" s="22"/>
      <c r="D4691" s="22"/>
      <c r="E4691" s="24"/>
      <c r="F4691" s="22"/>
      <c r="H4691" s="21"/>
      <c r="I4691" s="22"/>
      <c r="J4691" s="22"/>
      <c r="K4691" s="24"/>
      <c r="M4691" s="21"/>
      <c r="N4691" s="22"/>
      <c r="O4691" s="22"/>
      <c r="P4691" s="49"/>
      <c r="Q4691" s="49"/>
      <c r="R4691" s="188" t="str">
        <f t="shared" si="151"/>
        <v/>
      </c>
      <c r="T4691" s="21"/>
      <c r="U4691" s="22"/>
      <c r="V4691" s="24"/>
      <c r="W4691" s="24"/>
      <c r="X4691" s="24"/>
      <c r="Y4691" s="24"/>
      <c r="Z4691" s="20" t="str">
        <f t="shared" ref="Z4691:Z4754" si="152">IF(COUNT(V4691:Y4691)=0,"",SUM(V4691:Y4691))</f>
        <v/>
      </c>
    </row>
    <row r="4692" spans="1:26" x14ac:dyDescent="0.2">
      <c r="A4692" s="21"/>
      <c r="B4692" s="20"/>
      <c r="C4692" s="22"/>
      <c r="D4692" s="22"/>
      <c r="E4692" s="24"/>
      <c r="F4692" s="22"/>
      <c r="H4692" s="21"/>
      <c r="I4692" s="22"/>
      <c r="J4692" s="22"/>
      <c r="K4692" s="24"/>
      <c r="M4692" s="21"/>
      <c r="N4692" s="22"/>
      <c r="O4692" s="22"/>
      <c r="P4692" s="49"/>
      <c r="Q4692" s="49"/>
      <c r="R4692" s="188" t="str">
        <f t="shared" si="151"/>
        <v/>
      </c>
      <c r="T4692" s="21"/>
      <c r="U4692" s="22"/>
      <c r="V4692" s="24"/>
      <c r="W4692" s="24"/>
      <c r="X4692" s="24"/>
      <c r="Y4692" s="24"/>
      <c r="Z4692" s="20" t="str">
        <f t="shared" si="152"/>
        <v/>
      </c>
    </row>
    <row r="4693" spans="1:26" x14ac:dyDescent="0.2">
      <c r="A4693" s="21"/>
      <c r="B4693" s="20"/>
      <c r="C4693" s="22"/>
      <c r="D4693" s="22"/>
      <c r="E4693" s="24"/>
      <c r="F4693" s="22"/>
      <c r="H4693" s="21"/>
      <c r="I4693" s="22"/>
      <c r="J4693" s="22"/>
      <c r="K4693" s="24"/>
      <c r="M4693" s="21"/>
      <c r="N4693" s="22"/>
      <c r="O4693" s="22"/>
      <c r="P4693" s="49"/>
      <c r="Q4693" s="49"/>
      <c r="R4693" s="188" t="str">
        <f t="shared" si="151"/>
        <v/>
      </c>
      <c r="T4693" s="21"/>
      <c r="U4693" s="22"/>
      <c r="V4693" s="24"/>
      <c r="W4693" s="24"/>
      <c r="X4693" s="24"/>
      <c r="Y4693" s="24"/>
      <c r="Z4693" s="20" t="str">
        <f t="shared" si="152"/>
        <v/>
      </c>
    </row>
    <row r="4694" spans="1:26" x14ac:dyDescent="0.2">
      <c r="A4694" s="21"/>
      <c r="B4694" s="20"/>
      <c r="C4694" s="22"/>
      <c r="D4694" s="22"/>
      <c r="E4694" s="24"/>
      <c r="F4694" s="22"/>
      <c r="H4694" s="21"/>
      <c r="I4694" s="22"/>
      <c r="J4694" s="22"/>
      <c r="K4694" s="24"/>
      <c r="M4694" s="21"/>
      <c r="N4694" s="22"/>
      <c r="O4694" s="22"/>
      <c r="P4694" s="49"/>
      <c r="Q4694" s="49"/>
      <c r="R4694" s="188" t="str">
        <f t="shared" ref="R4694:R4757" si="153">IF(OR(P4694="",Q4694=""),"",IFERROR(P4694-Q4694,""))</f>
        <v/>
      </c>
      <c r="T4694" s="21"/>
      <c r="U4694" s="22"/>
      <c r="V4694" s="24"/>
      <c r="W4694" s="24"/>
      <c r="X4694" s="24"/>
      <c r="Y4694" s="24"/>
      <c r="Z4694" s="20" t="str">
        <f t="shared" si="152"/>
        <v/>
      </c>
    </row>
    <row r="4695" spans="1:26" x14ac:dyDescent="0.2">
      <c r="A4695" s="21"/>
      <c r="B4695" s="20"/>
      <c r="C4695" s="22"/>
      <c r="D4695" s="22"/>
      <c r="E4695" s="24"/>
      <c r="F4695" s="22"/>
      <c r="H4695" s="21"/>
      <c r="I4695" s="22"/>
      <c r="J4695" s="22"/>
      <c r="K4695" s="24"/>
      <c r="M4695" s="21"/>
      <c r="N4695" s="22"/>
      <c r="O4695" s="22"/>
      <c r="P4695" s="49"/>
      <c r="Q4695" s="49"/>
      <c r="R4695" s="188" t="str">
        <f t="shared" si="153"/>
        <v/>
      </c>
      <c r="T4695" s="21"/>
      <c r="U4695" s="22"/>
      <c r="V4695" s="24"/>
      <c r="W4695" s="24"/>
      <c r="X4695" s="24"/>
      <c r="Y4695" s="24"/>
      <c r="Z4695" s="20" t="str">
        <f t="shared" si="152"/>
        <v/>
      </c>
    </row>
    <row r="4696" spans="1:26" x14ac:dyDescent="0.2">
      <c r="A4696" s="21"/>
      <c r="B4696" s="20"/>
      <c r="C4696" s="22"/>
      <c r="D4696" s="22"/>
      <c r="E4696" s="24"/>
      <c r="F4696" s="22"/>
      <c r="H4696" s="21"/>
      <c r="I4696" s="22"/>
      <c r="J4696" s="22"/>
      <c r="K4696" s="24"/>
      <c r="M4696" s="21"/>
      <c r="N4696" s="22"/>
      <c r="O4696" s="22"/>
      <c r="P4696" s="49"/>
      <c r="Q4696" s="49"/>
      <c r="R4696" s="188" t="str">
        <f t="shared" si="153"/>
        <v/>
      </c>
      <c r="T4696" s="21"/>
      <c r="U4696" s="22"/>
      <c r="V4696" s="24"/>
      <c r="W4696" s="24"/>
      <c r="X4696" s="24"/>
      <c r="Y4696" s="24"/>
      <c r="Z4696" s="20" t="str">
        <f t="shared" si="152"/>
        <v/>
      </c>
    </row>
    <row r="4697" spans="1:26" x14ac:dyDescent="0.2">
      <c r="A4697" s="21"/>
      <c r="B4697" s="20"/>
      <c r="C4697" s="22"/>
      <c r="D4697" s="22"/>
      <c r="E4697" s="24"/>
      <c r="F4697" s="22"/>
      <c r="H4697" s="21"/>
      <c r="I4697" s="22"/>
      <c r="J4697" s="22"/>
      <c r="K4697" s="24"/>
      <c r="M4697" s="21"/>
      <c r="N4697" s="22"/>
      <c r="O4697" s="22"/>
      <c r="P4697" s="49"/>
      <c r="Q4697" s="49"/>
      <c r="R4697" s="188" t="str">
        <f t="shared" si="153"/>
        <v/>
      </c>
      <c r="T4697" s="21"/>
      <c r="U4697" s="22"/>
      <c r="V4697" s="24"/>
      <c r="W4697" s="24"/>
      <c r="X4697" s="24"/>
      <c r="Y4697" s="24"/>
      <c r="Z4697" s="20" t="str">
        <f t="shared" si="152"/>
        <v/>
      </c>
    </row>
    <row r="4698" spans="1:26" x14ac:dyDescent="0.2">
      <c r="A4698" s="21"/>
      <c r="B4698" s="20"/>
      <c r="C4698" s="22"/>
      <c r="D4698" s="22"/>
      <c r="E4698" s="24"/>
      <c r="F4698" s="22"/>
      <c r="H4698" s="21"/>
      <c r="I4698" s="22"/>
      <c r="J4698" s="22"/>
      <c r="K4698" s="24"/>
      <c r="M4698" s="21"/>
      <c r="N4698" s="22"/>
      <c r="O4698" s="22"/>
      <c r="P4698" s="49"/>
      <c r="Q4698" s="49"/>
      <c r="R4698" s="188" t="str">
        <f t="shared" si="153"/>
        <v/>
      </c>
      <c r="T4698" s="21"/>
      <c r="U4698" s="22"/>
      <c r="V4698" s="24"/>
      <c r="W4698" s="24"/>
      <c r="X4698" s="24"/>
      <c r="Y4698" s="24"/>
      <c r="Z4698" s="20" t="str">
        <f t="shared" si="152"/>
        <v/>
      </c>
    </row>
    <row r="4699" spans="1:26" x14ac:dyDescent="0.2">
      <c r="A4699" s="21"/>
      <c r="B4699" s="20"/>
      <c r="C4699" s="22"/>
      <c r="D4699" s="22"/>
      <c r="E4699" s="24"/>
      <c r="F4699" s="22"/>
      <c r="H4699" s="21"/>
      <c r="I4699" s="22"/>
      <c r="J4699" s="22"/>
      <c r="K4699" s="24"/>
      <c r="M4699" s="21"/>
      <c r="N4699" s="22"/>
      <c r="O4699" s="22"/>
      <c r="P4699" s="49"/>
      <c r="Q4699" s="49"/>
      <c r="R4699" s="188" t="str">
        <f t="shared" si="153"/>
        <v/>
      </c>
      <c r="T4699" s="21"/>
      <c r="U4699" s="22"/>
      <c r="V4699" s="24"/>
      <c r="W4699" s="24"/>
      <c r="X4699" s="24"/>
      <c r="Y4699" s="24"/>
      <c r="Z4699" s="20" t="str">
        <f t="shared" si="152"/>
        <v/>
      </c>
    </row>
    <row r="4700" spans="1:26" x14ac:dyDescent="0.2">
      <c r="A4700" s="21"/>
      <c r="B4700" s="20"/>
      <c r="C4700" s="22"/>
      <c r="D4700" s="22"/>
      <c r="E4700" s="24"/>
      <c r="F4700" s="22"/>
      <c r="H4700" s="21"/>
      <c r="I4700" s="22"/>
      <c r="J4700" s="22"/>
      <c r="K4700" s="24"/>
      <c r="M4700" s="21"/>
      <c r="N4700" s="22"/>
      <c r="O4700" s="22"/>
      <c r="P4700" s="49"/>
      <c r="Q4700" s="49"/>
      <c r="R4700" s="188" t="str">
        <f t="shared" si="153"/>
        <v/>
      </c>
      <c r="T4700" s="21"/>
      <c r="U4700" s="22"/>
      <c r="V4700" s="24"/>
      <c r="W4700" s="24"/>
      <c r="X4700" s="24"/>
      <c r="Y4700" s="24"/>
      <c r="Z4700" s="20" t="str">
        <f t="shared" si="152"/>
        <v/>
      </c>
    </row>
    <row r="4701" spans="1:26" x14ac:dyDescent="0.2">
      <c r="A4701" s="21"/>
      <c r="B4701" s="20"/>
      <c r="C4701" s="22"/>
      <c r="D4701" s="22"/>
      <c r="E4701" s="24"/>
      <c r="F4701" s="22"/>
      <c r="H4701" s="21"/>
      <c r="I4701" s="22"/>
      <c r="J4701" s="22"/>
      <c r="K4701" s="24"/>
      <c r="M4701" s="21"/>
      <c r="N4701" s="22"/>
      <c r="O4701" s="22"/>
      <c r="P4701" s="49"/>
      <c r="Q4701" s="49"/>
      <c r="R4701" s="188" t="str">
        <f t="shared" si="153"/>
        <v/>
      </c>
      <c r="T4701" s="21"/>
      <c r="U4701" s="22"/>
      <c r="V4701" s="24"/>
      <c r="W4701" s="24"/>
      <c r="X4701" s="24"/>
      <c r="Y4701" s="24"/>
      <c r="Z4701" s="20" t="str">
        <f t="shared" si="152"/>
        <v/>
      </c>
    </row>
    <row r="4702" spans="1:26" x14ac:dyDescent="0.2">
      <c r="A4702" s="21"/>
      <c r="B4702" s="20"/>
      <c r="C4702" s="22"/>
      <c r="D4702" s="22"/>
      <c r="E4702" s="24"/>
      <c r="F4702" s="22"/>
      <c r="H4702" s="21"/>
      <c r="I4702" s="22"/>
      <c r="J4702" s="22"/>
      <c r="K4702" s="24"/>
      <c r="M4702" s="21"/>
      <c r="N4702" s="22"/>
      <c r="O4702" s="22"/>
      <c r="P4702" s="49"/>
      <c r="Q4702" s="49"/>
      <c r="R4702" s="188" t="str">
        <f t="shared" si="153"/>
        <v/>
      </c>
      <c r="T4702" s="21"/>
      <c r="U4702" s="22"/>
      <c r="V4702" s="24"/>
      <c r="W4702" s="24"/>
      <c r="X4702" s="24"/>
      <c r="Y4702" s="24"/>
      <c r="Z4702" s="20" t="str">
        <f t="shared" si="152"/>
        <v/>
      </c>
    </row>
    <row r="4703" spans="1:26" x14ac:dyDescent="0.2">
      <c r="A4703" s="21"/>
      <c r="B4703" s="20"/>
      <c r="C4703" s="22"/>
      <c r="D4703" s="22"/>
      <c r="E4703" s="24"/>
      <c r="F4703" s="22"/>
      <c r="H4703" s="21"/>
      <c r="I4703" s="22"/>
      <c r="J4703" s="22"/>
      <c r="K4703" s="24"/>
      <c r="M4703" s="21"/>
      <c r="N4703" s="22"/>
      <c r="O4703" s="22"/>
      <c r="P4703" s="49"/>
      <c r="Q4703" s="49"/>
      <c r="R4703" s="188" t="str">
        <f t="shared" si="153"/>
        <v/>
      </c>
      <c r="T4703" s="21"/>
      <c r="U4703" s="22"/>
      <c r="V4703" s="24"/>
      <c r="W4703" s="24"/>
      <c r="X4703" s="24"/>
      <c r="Y4703" s="24"/>
      <c r="Z4703" s="20" t="str">
        <f t="shared" si="152"/>
        <v/>
      </c>
    </row>
    <row r="4704" spans="1:26" x14ac:dyDescent="0.2">
      <c r="A4704" s="21"/>
      <c r="B4704" s="20"/>
      <c r="C4704" s="22"/>
      <c r="D4704" s="22"/>
      <c r="E4704" s="24"/>
      <c r="F4704" s="22"/>
      <c r="H4704" s="21"/>
      <c r="I4704" s="22"/>
      <c r="J4704" s="22"/>
      <c r="K4704" s="24"/>
      <c r="M4704" s="21"/>
      <c r="N4704" s="22"/>
      <c r="O4704" s="22"/>
      <c r="P4704" s="49"/>
      <c r="Q4704" s="49"/>
      <c r="R4704" s="188" t="str">
        <f t="shared" si="153"/>
        <v/>
      </c>
      <c r="T4704" s="21"/>
      <c r="U4704" s="22"/>
      <c r="V4704" s="24"/>
      <c r="W4704" s="24"/>
      <c r="X4704" s="24"/>
      <c r="Y4704" s="24"/>
      <c r="Z4704" s="20" t="str">
        <f t="shared" si="152"/>
        <v/>
      </c>
    </row>
    <row r="4705" spans="1:26" x14ac:dyDescent="0.2">
      <c r="A4705" s="21"/>
      <c r="B4705" s="20"/>
      <c r="C4705" s="22"/>
      <c r="D4705" s="22"/>
      <c r="E4705" s="24"/>
      <c r="F4705" s="22"/>
      <c r="H4705" s="21"/>
      <c r="I4705" s="22"/>
      <c r="J4705" s="22"/>
      <c r="K4705" s="24"/>
      <c r="M4705" s="21"/>
      <c r="N4705" s="22"/>
      <c r="O4705" s="22"/>
      <c r="P4705" s="49"/>
      <c r="Q4705" s="49"/>
      <c r="R4705" s="188" t="str">
        <f t="shared" si="153"/>
        <v/>
      </c>
      <c r="T4705" s="21"/>
      <c r="U4705" s="22"/>
      <c r="V4705" s="24"/>
      <c r="W4705" s="24"/>
      <c r="X4705" s="24"/>
      <c r="Y4705" s="24"/>
      <c r="Z4705" s="20" t="str">
        <f t="shared" si="152"/>
        <v/>
      </c>
    </row>
    <row r="4706" spans="1:26" x14ac:dyDescent="0.2">
      <c r="A4706" s="21"/>
      <c r="B4706" s="20"/>
      <c r="C4706" s="22"/>
      <c r="D4706" s="22"/>
      <c r="E4706" s="24"/>
      <c r="F4706" s="22"/>
      <c r="H4706" s="21"/>
      <c r="I4706" s="22"/>
      <c r="J4706" s="22"/>
      <c r="K4706" s="24"/>
      <c r="M4706" s="21"/>
      <c r="N4706" s="22"/>
      <c r="O4706" s="22"/>
      <c r="P4706" s="49"/>
      <c r="Q4706" s="49"/>
      <c r="R4706" s="188" t="str">
        <f t="shared" si="153"/>
        <v/>
      </c>
      <c r="T4706" s="21"/>
      <c r="U4706" s="22"/>
      <c r="V4706" s="24"/>
      <c r="W4706" s="24"/>
      <c r="X4706" s="24"/>
      <c r="Y4706" s="24"/>
      <c r="Z4706" s="20" t="str">
        <f t="shared" si="152"/>
        <v/>
      </c>
    </row>
    <row r="4707" spans="1:26" x14ac:dyDescent="0.2">
      <c r="A4707" s="21"/>
      <c r="B4707" s="20"/>
      <c r="C4707" s="22"/>
      <c r="D4707" s="22"/>
      <c r="E4707" s="24"/>
      <c r="F4707" s="22"/>
      <c r="H4707" s="21"/>
      <c r="I4707" s="22"/>
      <c r="J4707" s="22"/>
      <c r="K4707" s="24"/>
      <c r="M4707" s="21"/>
      <c r="N4707" s="22"/>
      <c r="O4707" s="22"/>
      <c r="P4707" s="49"/>
      <c r="Q4707" s="49"/>
      <c r="R4707" s="188" t="str">
        <f t="shared" si="153"/>
        <v/>
      </c>
      <c r="T4707" s="21"/>
      <c r="U4707" s="22"/>
      <c r="V4707" s="24"/>
      <c r="W4707" s="24"/>
      <c r="X4707" s="24"/>
      <c r="Y4707" s="24"/>
      <c r="Z4707" s="20" t="str">
        <f t="shared" si="152"/>
        <v/>
      </c>
    </row>
    <row r="4708" spans="1:26" x14ac:dyDescent="0.2">
      <c r="A4708" s="21"/>
      <c r="B4708" s="20"/>
      <c r="C4708" s="22"/>
      <c r="D4708" s="22"/>
      <c r="E4708" s="24"/>
      <c r="F4708" s="22"/>
      <c r="H4708" s="21"/>
      <c r="I4708" s="22"/>
      <c r="J4708" s="22"/>
      <c r="K4708" s="24"/>
      <c r="M4708" s="21"/>
      <c r="N4708" s="22"/>
      <c r="O4708" s="22"/>
      <c r="P4708" s="49"/>
      <c r="Q4708" s="49"/>
      <c r="R4708" s="188" t="str">
        <f t="shared" si="153"/>
        <v/>
      </c>
      <c r="T4708" s="21"/>
      <c r="U4708" s="22"/>
      <c r="V4708" s="24"/>
      <c r="W4708" s="24"/>
      <c r="X4708" s="24"/>
      <c r="Y4708" s="24"/>
      <c r="Z4708" s="20" t="str">
        <f t="shared" si="152"/>
        <v/>
      </c>
    </row>
    <row r="4709" spans="1:26" x14ac:dyDescent="0.2">
      <c r="A4709" s="21"/>
      <c r="B4709" s="20"/>
      <c r="C4709" s="22"/>
      <c r="D4709" s="22"/>
      <c r="E4709" s="24"/>
      <c r="F4709" s="22"/>
      <c r="H4709" s="21"/>
      <c r="I4709" s="22"/>
      <c r="J4709" s="22"/>
      <c r="K4709" s="24"/>
      <c r="M4709" s="21"/>
      <c r="N4709" s="22"/>
      <c r="O4709" s="22"/>
      <c r="P4709" s="49"/>
      <c r="Q4709" s="49"/>
      <c r="R4709" s="188" t="str">
        <f t="shared" si="153"/>
        <v/>
      </c>
      <c r="T4709" s="21"/>
      <c r="U4709" s="22"/>
      <c r="V4709" s="24"/>
      <c r="W4709" s="24"/>
      <c r="X4709" s="24"/>
      <c r="Y4709" s="24"/>
      <c r="Z4709" s="20" t="str">
        <f t="shared" si="152"/>
        <v/>
      </c>
    </row>
    <row r="4710" spans="1:26" x14ac:dyDescent="0.2">
      <c r="A4710" s="21"/>
      <c r="B4710" s="20"/>
      <c r="C4710" s="22"/>
      <c r="D4710" s="22"/>
      <c r="E4710" s="24"/>
      <c r="F4710" s="22"/>
      <c r="H4710" s="21"/>
      <c r="I4710" s="22"/>
      <c r="J4710" s="22"/>
      <c r="K4710" s="24"/>
      <c r="M4710" s="21"/>
      <c r="N4710" s="22"/>
      <c r="O4710" s="22"/>
      <c r="P4710" s="49"/>
      <c r="Q4710" s="49"/>
      <c r="R4710" s="188" t="str">
        <f t="shared" si="153"/>
        <v/>
      </c>
      <c r="T4710" s="21"/>
      <c r="U4710" s="22"/>
      <c r="V4710" s="24"/>
      <c r="W4710" s="24"/>
      <c r="X4710" s="24"/>
      <c r="Y4710" s="24"/>
      <c r="Z4710" s="20" t="str">
        <f t="shared" si="152"/>
        <v/>
      </c>
    </row>
    <row r="4711" spans="1:26" x14ac:dyDescent="0.2">
      <c r="A4711" s="21"/>
      <c r="B4711" s="20"/>
      <c r="C4711" s="22"/>
      <c r="D4711" s="22"/>
      <c r="E4711" s="24"/>
      <c r="F4711" s="22"/>
      <c r="H4711" s="21"/>
      <c r="I4711" s="22"/>
      <c r="J4711" s="22"/>
      <c r="K4711" s="24"/>
      <c r="M4711" s="21"/>
      <c r="N4711" s="22"/>
      <c r="O4711" s="22"/>
      <c r="P4711" s="49"/>
      <c r="Q4711" s="49"/>
      <c r="R4711" s="188" t="str">
        <f t="shared" si="153"/>
        <v/>
      </c>
      <c r="T4711" s="21"/>
      <c r="U4711" s="22"/>
      <c r="V4711" s="24"/>
      <c r="W4711" s="24"/>
      <c r="X4711" s="24"/>
      <c r="Y4711" s="24"/>
      <c r="Z4711" s="20" t="str">
        <f t="shared" si="152"/>
        <v/>
      </c>
    </row>
    <row r="4712" spans="1:26" x14ac:dyDescent="0.2">
      <c r="A4712" s="21"/>
      <c r="B4712" s="20"/>
      <c r="C4712" s="22"/>
      <c r="D4712" s="22"/>
      <c r="E4712" s="24"/>
      <c r="F4712" s="22"/>
      <c r="H4712" s="21"/>
      <c r="I4712" s="22"/>
      <c r="J4712" s="22"/>
      <c r="K4712" s="24"/>
      <c r="M4712" s="21"/>
      <c r="N4712" s="22"/>
      <c r="O4712" s="22"/>
      <c r="P4712" s="49"/>
      <c r="Q4712" s="49"/>
      <c r="R4712" s="188" t="str">
        <f t="shared" si="153"/>
        <v/>
      </c>
      <c r="T4712" s="21"/>
      <c r="U4712" s="22"/>
      <c r="V4712" s="24"/>
      <c r="W4712" s="24"/>
      <c r="X4712" s="24"/>
      <c r="Y4712" s="24"/>
      <c r="Z4712" s="20" t="str">
        <f t="shared" si="152"/>
        <v/>
      </c>
    </row>
    <row r="4713" spans="1:26" x14ac:dyDescent="0.2">
      <c r="A4713" s="21"/>
      <c r="B4713" s="20"/>
      <c r="C4713" s="22"/>
      <c r="D4713" s="22"/>
      <c r="E4713" s="24"/>
      <c r="F4713" s="22"/>
      <c r="H4713" s="21"/>
      <c r="I4713" s="22"/>
      <c r="J4713" s="22"/>
      <c r="K4713" s="24"/>
      <c r="M4713" s="21"/>
      <c r="N4713" s="22"/>
      <c r="O4713" s="22"/>
      <c r="P4713" s="49"/>
      <c r="Q4713" s="49"/>
      <c r="R4713" s="188" t="str">
        <f t="shared" si="153"/>
        <v/>
      </c>
      <c r="T4713" s="21"/>
      <c r="U4713" s="22"/>
      <c r="V4713" s="24"/>
      <c r="W4713" s="24"/>
      <c r="X4713" s="24"/>
      <c r="Y4713" s="24"/>
      <c r="Z4713" s="20" t="str">
        <f t="shared" si="152"/>
        <v/>
      </c>
    </row>
    <row r="4714" spans="1:26" x14ac:dyDescent="0.2">
      <c r="A4714" s="21"/>
      <c r="B4714" s="20"/>
      <c r="C4714" s="22"/>
      <c r="D4714" s="22"/>
      <c r="E4714" s="24"/>
      <c r="F4714" s="22"/>
      <c r="H4714" s="21"/>
      <c r="I4714" s="22"/>
      <c r="J4714" s="22"/>
      <c r="K4714" s="24"/>
      <c r="M4714" s="21"/>
      <c r="N4714" s="22"/>
      <c r="O4714" s="22"/>
      <c r="P4714" s="49"/>
      <c r="Q4714" s="49"/>
      <c r="R4714" s="188" t="str">
        <f t="shared" si="153"/>
        <v/>
      </c>
      <c r="T4714" s="21"/>
      <c r="U4714" s="22"/>
      <c r="V4714" s="24"/>
      <c r="W4714" s="24"/>
      <c r="X4714" s="24"/>
      <c r="Y4714" s="24"/>
      <c r="Z4714" s="20" t="str">
        <f t="shared" si="152"/>
        <v/>
      </c>
    </row>
    <row r="4715" spans="1:26" x14ac:dyDescent="0.2">
      <c r="A4715" s="21"/>
      <c r="B4715" s="20"/>
      <c r="C4715" s="22"/>
      <c r="D4715" s="22"/>
      <c r="E4715" s="24"/>
      <c r="F4715" s="22"/>
      <c r="H4715" s="21"/>
      <c r="I4715" s="22"/>
      <c r="J4715" s="22"/>
      <c r="K4715" s="24"/>
      <c r="M4715" s="21"/>
      <c r="N4715" s="22"/>
      <c r="O4715" s="22"/>
      <c r="P4715" s="49"/>
      <c r="Q4715" s="49"/>
      <c r="R4715" s="188" t="str">
        <f t="shared" si="153"/>
        <v/>
      </c>
      <c r="T4715" s="21"/>
      <c r="U4715" s="22"/>
      <c r="V4715" s="24"/>
      <c r="W4715" s="24"/>
      <c r="X4715" s="24"/>
      <c r="Y4715" s="24"/>
      <c r="Z4715" s="20" t="str">
        <f t="shared" si="152"/>
        <v/>
      </c>
    </row>
    <row r="4716" spans="1:26" x14ac:dyDescent="0.2">
      <c r="A4716" s="21"/>
      <c r="B4716" s="20"/>
      <c r="C4716" s="22"/>
      <c r="D4716" s="22"/>
      <c r="E4716" s="24"/>
      <c r="F4716" s="22"/>
      <c r="H4716" s="21"/>
      <c r="I4716" s="22"/>
      <c r="J4716" s="22"/>
      <c r="K4716" s="24"/>
      <c r="M4716" s="21"/>
      <c r="N4716" s="22"/>
      <c r="O4716" s="22"/>
      <c r="P4716" s="49"/>
      <c r="Q4716" s="49"/>
      <c r="R4716" s="188" t="str">
        <f t="shared" si="153"/>
        <v/>
      </c>
      <c r="T4716" s="21"/>
      <c r="U4716" s="22"/>
      <c r="V4716" s="24"/>
      <c r="W4716" s="24"/>
      <c r="X4716" s="24"/>
      <c r="Y4716" s="24"/>
      <c r="Z4716" s="20" t="str">
        <f t="shared" si="152"/>
        <v/>
      </c>
    </row>
    <row r="4717" spans="1:26" x14ac:dyDescent="0.2">
      <c r="A4717" s="21"/>
      <c r="B4717" s="20"/>
      <c r="C4717" s="22"/>
      <c r="D4717" s="22"/>
      <c r="E4717" s="24"/>
      <c r="F4717" s="22"/>
      <c r="H4717" s="21"/>
      <c r="I4717" s="22"/>
      <c r="J4717" s="22"/>
      <c r="K4717" s="24"/>
      <c r="M4717" s="21"/>
      <c r="N4717" s="22"/>
      <c r="O4717" s="22"/>
      <c r="P4717" s="49"/>
      <c r="Q4717" s="49"/>
      <c r="R4717" s="188" t="str">
        <f t="shared" si="153"/>
        <v/>
      </c>
      <c r="T4717" s="21"/>
      <c r="U4717" s="22"/>
      <c r="V4717" s="24"/>
      <c r="W4717" s="24"/>
      <c r="X4717" s="24"/>
      <c r="Y4717" s="24"/>
      <c r="Z4717" s="20" t="str">
        <f t="shared" si="152"/>
        <v/>
      </c>
    </row>
    <row r="4718" spans="1:26" x14ac:dyDescent="0.2">
      <c r="A4718" s="21"/>
      <c r="B4718" s="20"/>
      <c r="C4718" s="22"/>
      <c r="D4718" s="22"/>
      <c r="E4718" s="24"/>
      <c r="F4718" s="22"/>
      <c r="H4718" s="21"/>
      <c r="I4718" s="22"/>
      <c r="J4718" s="22"/>
      <c r="K4718" s="24"/>
      <c r="M4718" s="21"/>
      <c r="N4718" s="22"/>
      <c r="O4718" s="22"/>
      <c r="P4718" s="49"/>
      <c r="Q4718" s="49"/>
      <c r="R4718" s="188" t="str">
        <f t="shared" si="153"/>
        <v/>
      </c>
      <c r="T4718" s="21"/>
      <c r="U4718" s="22"/>
      <c r="V4718" s="24"/>
      <c r="W4718" s="24"/>
      <c r="X4718" s="24"/>
      <c r="Y4718" s="24"/>
      <c r="Z4718" s="20" t="str">
        <f t="shared" si="152"/>
        <v/>
      </c>
    </row>
    <row r="4719" spans="1:26" x14ac:dyDescent="0.2">
      <c r="A4719" s="21"/>
      <c r="B4719" s="20"/>
      <c r="C4719" s="22"/>
      <c r="D4719" s="22"/>
      <c r="E4719" s="24"/>
      <c r="F4719" s="22"/>
      <c r="H4719" s="21"/>
      <c r="I4719" s="22"/>
      <c r="J4719" s="22"/>
      <c r="K4719" s="24"/>
      <c r="M4719" s="21"/>
      <c r="N4719" s="22"/>
      <c r="O4719" s="22"/>
      <c r="P4719" s="49"/>
      <c r="Q4719" s="49"/>
      <c r="R4719" s="188" t="str">
        <f t="shared" si="153"/>
        <v/>
      </c>
      <c r="T4719" s="21"/>
      <c r="U4719" s="22"/>
      <c r="V4719" s="24"/>
      <c r="W4719" s="24"/>
      <c r="X4719" s="24"/>
      <c r="Y4719" s="24"/>
      <c r="Z4719" s="20" t="str">
        <f t="shared" si="152"/>
        <v/>
      </c>
    </row>
    <row r="4720" spans="1:26" x14ac:dyDescent="0.2">
      <c r="A4720" s="21"/>
      <c r="B4720" s="20"/>
      <c r="C4720" s="22"/>
      <c r="D4720" s="22"/>
      <c r="E4720" s="24"/>
      <c r="F4720" s="22"/>
      <c r="H4720" s="21"/>
      <c r="I4720" s="22"/>
      <c r="J4720" s="22"/>
      <c r="K4720" s="24"/>
      <c r="M4720" s="21"/>
      <c r="N4720" s="22"/>
      <c r="O4720" s="22"/>
      <c r="P4720" s="49"/>
      <c r="Q4720" s="49"/>
      <c r="R4720" s="188" t="str">
        <f t="shared" si="153"/>
        <v/>
      </c>
      <c r="T4720" s="21"/>
      <c r="U4720" s="22"/>
      <c r="V4720" s="24"/>
      <c r="W4720" s="24"/>
      <c r="X4720" s="24"/>
      <c r="Y4720" s="24"/>
      <c r="Z4720" s="20" t="str">
        <f t="shared" si="152"/>
        <v/>
      </c>
    </row>
    <row r="4721" spans="1:26" x14ac:dyDescent="0.2">
      <c r="A4721" s="21"/>
      <c r="B4721" s="20"/>
      <c r="C4721" s="22"/>
      <c r="D4721" s="22"/>
      <c r="E4721" s="24"/>
      <c r="F4721" s="22"/>
      <c r="H4721" s="21"/>
      <c r="I4721" s="22"/>
      <c r="J4721" s="22"/>
      <c r="K4721" s="24"/>
      <c r="M4721" s="21"/>
      <c r="N4721" s="22"/>
      <c r="O4721" s="22"/>
      <c r="P4721" s="49"/>
      <c r="Q4721" s="49"/>
      <c r="R4721" s="188" t="str">
        <f t="shared" si="153"/>
        <v/>
      </c>
      <c r="T4721" s="21"/>
      <c r="U4721" s="22"/>
      <c r="V4721" s="24"/>
      <c r="W4721" s="24"/>
      <c r="X4721" s="24"/>
      <c r="Y4721" s="24"/>
      <c r="Z4721" s="20" t="str">
        <f t="shared" si="152"/>
        <v/>
      </c>
    </row>
    <row r="4722" spans="1:26" x14ac:dyDescent="0.2">
      <c r="A4722" s="21"/>
      <c r="B4722" s="20"/>
      <c r="C4722" s="22"/>
      <c r="D4722" s="22"/>
      <c r="E4722" s="24"/>
      <c r="F4722" s="22"/>
      <c r="H4722" s="21"/>
      <c r="I4722" s="22"/>
      <c r="J4722" s="22"/>
      <c r="K4722" s="24"/>
      <c r="M4722" s="21"/>
      <c r="N4722" s="22"/>
      <c r="O4722" s="22"/>
      <c r="P4722" s="49"/>
      <c r="Q4722" s="49"/>
      <c r="R4722" s="188" t="str">
        <f t="shared" si="153"/>
        <v/>
      </c>
      <c r="T4722" s="21"/>
      <c r="U4722" s="22"/>
      <c r="V4722" s="24"/>
      <c r="W4722" s="24"/>
      <c r="X4722" s="24"/>
      <c r="Y4722" s="24"/>
      <c r="Z4722" s="20" t="str">
        <f t="shared" si="152"/>
        <v/>
      </c>
    </row>
    <row r="4723" spans="1:26" x14ac:dyDescent="0.2">
      <c r="A4723" s="21"/>
      <c r="B4723" s="20"/>
      <c r="C4723" s="22"/>
      <c r="D4723" s="22"/>
      <c r="E4723" s="24"/>
      <c r="F4723" s="22"/>
      <c r="H4723" s="21"/>
      <c r="I4723" s="22"/>
      <c r="J4723" s="22"/>
      <c r="K4723" s="24"/>
      <c r="M4723" s="21"/>
      <c r="N4723" s="22"/>
      <c r="O4723" s="22"/>
      <c r="P4723" s="49"/>
      <c r="Q4723" s="49"/>
      <c r="R4723" s="188" t="str">
        <f t="shared" si="153"/>
        <v/>
      </c>
      <c r="T4723" s="21"/>
      <c r="U4723" s="22"/>
      <c r="V4723" s="24"/>
      <c r="W4723" s="24"/>
      <c r="X4723" s="24"/>
      <c r="Y4723" s="24"/>
      <c r="Z4723" s="20" t="str">
        <f t="shared" si="152"/>
        <v/>
      </c>
    </row>
    <row r="4724" spans="1:26" x14ac:dyDescent="0.2">
      <c r="A4724" s="21"/>
      <c r="B4724" s="20"/>
      <c r="C4724" s="22"/>
      <c r="D4724" s="22"/>
      <c r="E4724" s="24"/>
      <c r="F4724" s="22"/>
      <c r="H4724" s="21"/>
      <c r="I4724" s="22"/>
      <c r="J4724" s="22"/>
      <c r="K4724" s="24"/>
      <c r="M4724" s="21"/>
      <c r="N4724" s="22"/>
      <c r="O4724" s="22"/>
      <c r="P4724" s="49"/>
      <c r="Q4724" s="49"/>
      <c r="R4724" s="188" t="str">
        <f t="shared" si="153"/>
        <v/>
      </c>
      <c r="T4724" s="21"/>
      <c r="U4724" s="22"/>
      <c r="V4724" s="24"/>
      <c r="W4724" s="24"/>
      <c r="X4724" s="24"/>
      <c r="Y4724" s="24"/>
      <c r="Z4724" s="20" t="str">
        <f t="shared" si="152"/>
        <v/>
      </c>
    </row>
    <row r="4725" spans="1:26" x14ac:dyDescent="0.2">
      <c r="A4725" s="21"/>
      <c r="B4725" s="20"/>
      <c r="C4725" s="22"/>
      <c r="D4725" s="22"/>
      <c r="E4725" s="24"/>
      <c r="F4725" s="22"/>
      <c r="H4725" s="21"/>
      <c r="I4725" s="22"/>
      <c r="J4725" s="22"/>
      <c r="K4725" s="24"/>
      <c r="M4725" s="21"/>
      <c r="N4725" s="22"/>
      <c r="O4725" s="22"/>
      <c r="P4725" s="49"/>
      <c r="Q4725" s="49"/>
      <c r="R4725" s="188" t="str">
        <f t="shared" si="153"/>
        <v/>
      </c>
      <c r="T4725" s="21"/>
      <c r="U4725" s="22"/>
      <c r="V4725" s="24"/>
      <c r="W4725" s="24"/>
      <c r="X4725" s="24"/>
      <c r="Y4725" s="24"/>
      <c r="Z4725" s="20" t="str">
        <f t="shared" si="152"/>
        <v/>
      </c>
    </row>
    <row r="4726" spans="1:26" x14ac:dyDescent="0.2">
      <c r="A4726" s="21"/>
      <c r="B4726" s="20"/>
      <c r="C4726" s="22"/>
      <c r="D4726" s="22"/>
      <c r="E4726" s="24"/>
      <c r="F4726" s="22"/>
      <c r="H4726" s="21"/>
      <c r="I4726" s="22"/>
      <c r="J4726" s="22"/>
      <c r="K4726" s="24"/>
      <c r="M4726" s="21"/>
      <c r="N4726" s="22"/>
      <c r="O4726" s="22"/>
      <c r="P4726" s="49"/>
      <c r="Q4726" s="49"/>
      <c r="R4726" s="188" t="str">
        <f t="shared" si="153"/>
        <v/>
      </c>
      <c r="T4726" s="21"/>
      <c r="U4726" s="22"/>
      <c r="V4726" s="24"/>
      <c r="W4726" s="24"/>
      <c r="X4726" s="24"/>
      <c r="Y4726" s="24"/>
      <c r="Z4726" s="20" t="str">
        <f t="shared" si="152"/>
        <v/>
      </c>
    </row>
    <row r="4727" spans="1:26" x14ac:dyDescent="0.2">
      <c r="A4727" s="21"/>
      <c r="B4727" s="20"/>
      <c r="C4727" s="22"/>
      <c r="D4727" s="22"/>
      <c r="E4727" s="24"/>
      <c r="F4727" s="22"/>
      <c r="H4727" s="21"/>
      <c r="I4727" s="22"/>
      <c r="J4727" s="22"/>
      <c r="K4727" s="24"/>
      <c r="M4727" s="21"/>
      <c r="N4727" s="22"/>
      <c r="O4727" s="22"/>
      <c r="P4727" s="49"/>
      <c r="Q4727" s="49"/>
      <c r="R4727" s="188" t="str">
        <f t="shared" si="153"/>
        <v/>
      </c>
      <c r="T4727" s="21"/>
      <c r="U4727" s="22"/>
      <c r="V4727" s="24"/>
      <c r="W4727" s="24"/>
      <c r="X4727" s="24"/>
      <c r="Y4727" s="24"/>
      <c r="Z4727" s="20" t="str">
        <f t="shared" si="152"/>
        <v/>
      </c>
    </row>
    <row r="4728" spans="1:26" x14ac:dyDescent="0.2">
      <c r="A4728" s="21"/>
      <c r="B4728" s="20"/>
      <c r="C4728" s="22"/>
      <c r="D4728" s="22"/>
      <c r="E4728" s="24"/>
      <c r="F4728" s="22"/>
      <c r="H4728" s="21"/>
      <c r="I4728" s="22"/>
      <c r="J4728" s="22"/>
      <c r="K4728" s="24"/>
      <c r="M4728" s="21"/>
      <c r="N4728" s="22"/>
      <c r="O4728" s="22"/>
      <c r="P4728" s="49"/>
      <c r="Q4728" s="49"/>
      <c r="R4728" s="188" t="str">
        <f t="shared" si="153"/>
        <v/>
      </c>
      <c r="T4728" s="21"/>
      <c r="U4728" s="22"/>
      <c r="V4728" s="24"/>
      <c r="W4728" s="24"/>
      <c r="X4728" s="24"/>
      <c r="Y4728" s="24"/>
      <c r="Z4728" s="20" t="str">
        <f t="shared" si="152"/>
        <v/>
      </c>
    </row>
    <row r="4729" spans="1:26" x14ac:dyDescent="0.2">
      <c r="A4729" s="21"/>
      <c r="B4729" s="20"/>
      <c r="C4729" s="22"/>
      <c r="D4729" s="22"/>
      <c r="E4729" s="24"/>
      <c r="F4729" s="22"/>
      <c r="H4729" s="21"/>
      <c r="I4729" s="22"/>
      <c r="J4729" s="22"/>
      <c r="K4729" s="24"/>
      <c r="M4729" s="21"/>
      <c r="N4729" s="22"/>
      <c r="O4729" s="22"/>
      <c r="P4729" s="49"/>
      <c r="Q4729" s="49"/>
      <c r="R4729" s="188" t="str">
        <f t="shared" si="153"/>
        <v/>
      </c>
      <c r="T4729" s="21"/>
      <c r="U4729" s="22"/>
      <c r="V4729" s="24"/>
      <c r="W4729" s="24"/>
      <c r="X4729" s="24"/>
      <c r="Y4729" s="24"/>
      <c r="Z4729" s="20" t="str">
        <f t="shared" si="152"/>
        <v/>
      </c>
    </row>
    <row r="4730" spans="1:26" x14ac:dyDescent="0.2">
      <c r="A4730" s="21"/>
      <c r="B4730" s="20"/>
      <c r="C4730" s="22"/>
      <c r="D4730" s="22"/>
      <c r="E4730" s="24"/>
      <c r="F4730" s="22"/>
      <c r="H4730" s="21"/>
      <c r="I4730" s="22"/>
      <c r="J4730" s="22"/>
      <c r="K4730" s="24"/>
      <c r="M4730" s="21"/>
      <c r="N4730" s="22"/>
      <c r="O4730" s="22"/>
      <c r="P4730" s="49"/>
      <c r="Q4730" s="49"/>
      <c r="R4730" s="188" t="str">
        <f t="shared" si="153"/>
        <v/>
      </c>
      <c r="T4730" s="21"/>
      <c r="U4730" s="22"/>
      <c r="V4730" s="24"/>
      <c r="W4730" s="24"/>
      <c r="X4730" s="24"/>
      <c r="Y4730" s="24"/>
      <c r="Z4730" s="20" t="str">
        <f t="shared" si="152"/>
        <v/>
      </c>
    </row>
    <row r="4731" spans="1:26" x14ac:dyDescent="0.2">
      <c r="A4731" s="21"/>
      <c r="B4731" s="20"/>
      <c r="C4731" s="22"/>
      <c r="D4731" s="22"/>
      <c r="E4731" s="24"/>
      <c r="F4731" s="22"/>
      <c r="H4731" s="21"/>
      <c r="I4731" s="22"/>
      <c r="J4731" s="22"/>
      <c r="K4731" s="24"/>
      <c r="M4731" s="21"/>
      <c r="N4731" s="22"/>
      <c r="O4731" s="22"/>
      <c r="P4731" s="49"/>
      <c r="Q4731" s="49"/>
      <c r="R4731" s="188" t="str">
        <f t="shared" si="153"/>
        <v/>
      </c>
      <c r="T4731" s="21"/>
      <c r="U4731" s="22"/>
      <c r="V4731" s="24"/>
      <c r="W4731" s="24"/>
      <c r="X4731" s="24"/>
      <c r="Y4731" s="24"/>
      <c r="Z4731" s="20" t="str">
        <f t="shared" si="152"/>
        <v/>
      </c>
    </row>
    <row r="4732" spans="1:26" x14ac:dyDescent="0.2">
      <c r="A4732" s="21"/>
      <c r="B4732" s="20"/>
      <c r="C4732" s="22"/>
      <c r="D4732" s="22"/>
      <c r="E4732" s="24"/>
      <c r="F4732" s="22"/>
      <c r="H4732" s="21"/>
      <c r="I4732" s="22"/>
      <c r="J4732" s="22"/>
      <c r="K4732" s="24"/>
      <c r="M4732" s="21"/>
      <c r="N4732" s="22"/>
      <c r="O4732" s="22"/>
      <c r="P4732" s="49"/>
      <c r="Q4732" s="49"/>
      <c r="R4732" s="188" t="str">
        <f t="shared" si="153"/>
        <v/>
      </c>
      <c r="T4732" s="21"/>
      <c r="U4732" s="22"/>
      <c r="V4732" s="24"/>
      <c r="W4732" s="24"/>
      <c r="X4732" s="24"/>
      <c r="Y4732" s="24"/>
      <c r="Z4732" s="20" t="str">
        <f t="shared" si="152"/>
        <v/>
      </c>
    </row>
    <row r="4733" spans="1:26" x14ac:dyDescent="0.2">
      <c r="A4733" s="21"/>
      <c r="B4733" s="20"/>
      <c r="C4733" s="22"/>
      <c r="D4733" s="22"/>
      <c r="E4733" s="24"/>
      <c r="F4733" s="22"/>
      <c r="H4733" s="21"/>
      <c r="I4733" s="22"/>
      <c r="J4733" s="22"/>
      <c r="K4733" s="24"/>
      <c r="M4733" s="21"/>
      <c r="N4733" s="22"/>
      <c r="O4733" s="22"/>
      <c r="P4733" s="49"/>
      <c r="Q4733" s="49"/>
      <c r="R4733" s="188" t="str">
        <f t="shared" si="153"/>
        <v/>
      </c>
      <c r="T4733" s="21"/>
      <c r="U4733" s="22"/>
      <c r="V4733" s="24"/>
      <c r="W4733" s="24"/>
      <c r="X4733" s="24"/>
      <c r="Y4733" s="24"/>
      <c r="Z4733" s="20" t="str">
        <f t="shared" si="152"/>
        <v/>
      </c>
    </row>
    <row r="4734" spans="1:26" x14ac:dyDescent="0.2">
      <c r="A4734" s="21"/>
      <c r="B4734" s="20"/>
      <c r="C4734" s="22"/>
      <c r="D4734" s="22"/>
      <c r="E4734" s="24"/>
      <c r="F4734" s="22"/>
      <c r="H4734" s="21"/>
      <c r="I4734" s="22"/>
      <c r="J4734" s="22"/>
      <c r="K4734" s="24"/>
      <c r="M4734" s="21"/>
      <c r="N4734" s="22"/>
      <c r="O4734" s="22"/>
      <c r="P4734" s="49"/>
      <c r="Q4734" s="49"/>
      <c r="R4734" s="188" t="str">
        <f t="shared" si="153"/>
        <v/>
      </c>
      <c r="T4734" s="21"/>
      <c r="U4734" s="22"/>
      <c r="V4734" s="24"/>
      <c r="W4734" s="24"/>
      <c r="X4734" s="24"/>
      <c r="Y4734" s="24"/>
      <c r="Z4734" s="20" t="str">
        <f t="shared" si="152"/>
        <v/>
      </c>
    </row>
    <row r="4735" spans="1:26" x14ac:dyDescent="0.2">
      <c r="A4735" s="21"/>
      <c r="B4735" s="20"/>
      <c r="C4735" s="22"/>
      <c r="D4735" s="22"/>
      <c r="E4735" s="24"/>
      <c r="F4735" s="22"/>
      <c r="H4735" s="21"/>
      <c r="I4735" s="22"/>
      <c r="J4735" s="22"/>
      <c r="K4735" s="24"/>
      <c r="M4735" s="21"/>
      <c r="N4735" s="22"/>
      <c r="O4735" s="22"/>
      <c r="P4735" s="49"/>
      <c r="Q4735" s="49"/>
      <c r="R4735" s="188" t="str">
        <f t="shared" si="153"/>
        <v/>
      </c>
      <c r="T4735" s="21"/>
      <c r="U4735" s="22"/>
      <c r="V4735" s="24"/>
      <c r="W4735" s="24"/>
      <c r="X4735" s="24"/>
      <c r="Y4735" s="24"/>
      <c r="Z4735" s="20" t="str">
        <f t="shared" si="152"/>
        <v/>
      </c>
    </row>
    <row r="4736" spans="1:26" x14ac:dyDescent="0.2">
      <c r="A4736" s="21"/>
      <c r="B4736" s="20"/>
      <c r="C4736" s="22"/>
      <c r="D4736" s="22"/>
      <c r="E4736" s="24"/>
      <c r="F4736" s="22"/>
      <c r="H4736" s="21"/>
      <c r="I4736" s="22"/>
      <c r="J4736" s="22"/>
      <c r="K4736" s="24"/>
      <c r="M4736" s="21"/>
      <c r="N4736" s="22"/>
      <c r="O4736" s="22"/>
      <c r="P4736" s="49"/>
      <c r="Q4736" s="49"/>
      <c r="R4736" s="188" t="str">
        <f t="shared" si="153"/>
        <v/>
      </c>
      <c r="T4736" s="21"/>
      <c r="U4736" s="22"/>
      <c r="V4736" s="24"/>
      <c r="W4736" s="24"/>
      <c r="X4736" s="24"/>
      <c r="Y4736" s="24"/>
      <c r="Z4736" s="20" t="str">
        <f t="shared" si="152"/>
        <v/>
      </c>
    </row>
    <row r="4737" spans="1:26" x14ac:dyDescent="0.2">
      <c r="A4737" s="21"/>
      <c r="B4737" s="20"/>
      <c r="C4737" s="22"/>
      <c r="D4737" s="22"/>
      <c r="E4737" s="24"/>
      <c r="F4737" s="22"/>
      <c r="H4737" s="21"/>
      <c r="I4737" s="22"/>
      <c r="J4737" s="22"/>
      <c r="K4737" s="24"/>
      <c r="M4737" s="21"/>
      <c r="N4737" s="22"/>
      <c r="O4737" s="22"/>
      <c r="P4737" s="49"/>
      <c r="Q4737" s="49"/>
      <c r="R4737" s="188" t="str">
        <f t="shared" si="153"/>
        <v/>
      </c>
      <c r="T4737" s="21"/>
      <c r="U4737" s="22"/>
      <c r="V4737" s="24"/>
      <c r="W4737" s="24"/>
      <c r="X4737" s="24"/>
      <c r="Y4737" s="24"/>
      <c r="Z4737" s="20" t="str">
        <f t="shared" si="152"/>
        <v/>
      </c>
    </row>
    <row r="4738" spans="1:26" x14ac:dyDescent="0.2">
      <c r="A4738" s="21"/>
      <c r="B4738" s="20"/>
      <c r="C4738" s="22"/>
      <c r="D4738" s="22"/>
      <c r="E4738" s="24"/>
      <c r="F4738" s="22"/>
      <c r="H4738" s="21"/>
      <c r="I4738" s="22"/>
      <c r="J4738" s="22"/>
      <c r="K4738" s="24"/>
      <c r="M4738" s="21"/>
      <c r="N4738" s="22"/>
      <c r="O4738" s="22"/>
      <c r="P4738" s="49"/>
      <c r="Q4738" s="49"/>
      <c r="R4738" s="188" t="str">
        <f t="shared" si="153"/>
        <v/>
      </c>
      <c r="T4738" s="21"/>
      <c r="U4738" s="22"/>
      <c r="V4738" s="24"/>
      <c r="W4738" s="24"/>
      <c r="X4738" s="24"/>
      <c r="Y4738" s="24"/>
      <c r="Z4738" s="20" t="str">
        <f t="shared" si="152"/>
        <v/>
      </c>
    </row>
    <row r="4739" spans="1:26" x14ac:dyDescent="0.2">
      <c r="A4739" s="21"/>
      <c r="B4739" s="20"/>
      <c r="C4739" s="22"/>
      <c r="D4739" s="22"/>
      <c r="E4739" s="24"/>
      <c r="F4739" s="22"/>
      <c r="H4739" s="21"/>
      <c r="I4739" s="22"/>
      <c r="J4739" s="22"/>
      <c r="K4739" s="24"/>
      <c r="M4739" s="21"/>
      <c r="N4739" s="22"/>
      <c r="O4739" s="22"/>
      <c r="P4739" s="49"/>
      <c r="Q4739" s="49"/>
      <c r="R4739" s="188" t="str">
        <f t="shared" si="153"/>
        <v/>
      </c>
      <c r="T4739" s="21"/>
      <c r="U4739" s="22"/>
      <c r="V4739" s="24"/>
      <c r="W4739" s="24"/>
      <c r="X4739" s="24"/>
      <c r="Y4739" s="24"/>
      <c r="Z4739" s="20" t="str">
        <f t="shared" si="152"/>
        <v/>
      </c>
    </row>
    <row r="4740" spans="1:26" x14ac:dyDescent="0.2">
      <c r="A4740" s="21"/>
      <c r="B4740" s="20"/>
      <c r="C4740" s="22"/>
      <c r="D4740" s="22"/>
      <c r="E4740" s="24"/>
      <c r="F4740" s="22"/>
      <c r="H4740" s="21"/>
      <c r="I4740" s="22"/>
      <c r="J4740" s="22"/>
      <c r="K4740" s="24"/>
      <c r="M4740" s="21"/>
      <c r="N4740" s="22"/>
      <c r="O4740" s="22"/>
      <c r="P4740" s="49"/>
      <c r="Q4740" s="49"/>
      <c r="R4740" s="188" t="str">
        <f t="shared" si="153"/>
        <v/>
      </c>
      <c r="T4740" s="21"/>
      <c r="U4740" s="22"/>
      <c r="V4740" s="24"/>
      <c r="W4740" s="24"/>
      <c r="X4740" s="24"/>
      <c r="Y4740" s="24"/>
      <c r="Z4740" s="20" t="str">
        <f t="shared" si="152"/>
        <v/>
      </c>
    </row>
    <row r="4741" spans="1:26" x14ac:dyDescent="0.2">
      <c r="A4741" s="21"/>
      <c r="B4741" s="20"/>
      <c r="C4741" s="22"/>
      <c r="D4741" s="22"/>
      <c r="E4741" s="24"/>
      <c r="F4741" s="22"/>
      <c r="H4741" s="21"/>
      <c r="I4741" s="22"/>
      <c r="J4741" s="22"/>
      <c r="K4741" s="24"/>
      <c r="M4741" s="21"/>
      <c r="N4741" s="22"/>
      <c r="O4741" s="22"/>
      <c r="P4741" s="49"/>
      <c r="Q4741" s="49"/>
      <c r="R4741" s="188" t="str">
        <f t="shared" si="153"/>
        <v/>
      </c>
      <c r="T4741" s="21"/>
      <c r="U4741" s="22"/>
      <c r="V4741" s="24"/>
      <c r="W4741" s="24"/>
      <c r="X4741" s="24"/>
      <c r="Y4741" s="24"/>
      <c r="Z4741" s="20" t="str">
        <f t="shared" si="152"/>
        <v/>
      </c>
    </row>
    <row r="4742" spans="1:26" x14ac:dyDescent="0.2">
      <c r="A4742" s="21"/>
      <c r="B4742" s="20"/>
      <c r="C4742" s="22"/>
      <c r="D4742" s="22"/>
      <c r="E4742" s="24"/>
      <c r="F4742" s="22"/>
      <c r="H4742" s="21"/>
      <c r="I4742" s="22"/>
      <c r="J4742" s="22"/>
      <c r="K4742" s="24"/>
      <c r="M4742" s="21"/>
      <c r="N4742" s="22"/>
      <c r="O4742" s="22"/>
      <c r="P4742" s="49"/>
      <c r="Q4742" s="49"/>
      <c r="R4742" s="188" t="str">
        <f t="shared" si="153"/>
        <v/>
      </c>
      <c r="T4742" s="21"/>
      <c r="U4742" s="22"/>
      <c r="V4742" s="24"/>
      <c r="W4742" s="24"/>
      <c r="X4742" s="24"/>
      <c r="Y4742" s="24"/>
      <c r="Z4742" s="20" t="str">
        <f t="shared" si="152"/>
        <v/>
      </c>
    </row>
    <row r="4743" spans="1:26" x14ac:dyDescent="0.2">
      <c r="A4743" s="21"/>
      <c r="B4743" s="20"/>
      <c r="C4743" s="22"/>
      <c r="D4743" s="22"/>
      <c r="E4743" s="24"/>
      <c r="F4743" s="22"/>
      <c r="H4743" s="21"/>
      <c r="I4743" s="22"/>
      <c r="J4743" s="22"/>
      <c r="K4743" s="24"/>
      <c r="M4743" s="21"/>
      <c r="N4743" s="22"/>
      <c r="O4743" s="22"/>
      <c r="P4743" s="49"/>
      <c r="Q4743" s="49"/>
      <c r="R4743" s="188" t="str">
        <f t="shared" si="153"/>
        <v/>
      </c>
      <c r="T4743" s="21"/>
      <c r="U4743" s="22"/>
      <c r="V4743" s="24"/>
      <c r="W4743" s="24"/>
      <c r="X4743" s="24"/>
      <c r="Y4743" s="24"/>
      <c r="Z4743" s="20" t="str">
        <f t="shared" si="152"/>
        <v/>
      </c>
    </row>
    <row r="4744" spans="1:26" x14ac:dyDescent="0.2">
      <c r="A4744" s="21"/>
      <c r="B4744" s="20"/>
      <c r="C4744" s="22"/>
      <c r="D4744" s="22"/>
      <c r="E4744" s="24"/>
      <c r="F4744" s="22"/>
      <c r="H4744" s="21"/>
      <c r="I4744" s="22"/>
      <c r="J4744" s="22"/>
      <c r="K4744" s="24"/>
      <c r="M4744" s="21"/>
      <c r="N4744" s="22"/>
      <c r="O4744" s="22"/>
      <c r="P4744" s="49"/>
      <c r="Q4744" s="49"/>
      <c r="R4744" s="188" t="str">
        <f t="shared" si="153"/>
        <v/>
      </c>
      <c r="T4744" s="21"/>
      <c r="U4744" s="22"/>
      <c r="V4744" s="24"/>
      <c r="W4744" s="24"/>
      <c r="X4744" s="24"/>
      <c r="Y4744" s="24"/>
      <c r="Z4744" s="20" t="str">
        <f t="shared" si="152"/>
        <v/>
      </c>
    </row>
    <row r="4745" spans="1:26" x14ac:dyDescent="0.2">
      <c r="A4745" s="21"/>
      <c r="B4745" s="20"/>
      <c r="C4745" s="22"/>
      <c r="D4745" s="22"/>
      <c r="E4745" s="24"/>
      <c r="F4745" s="22"/>
      <c r="H4745" s="21"/>
      <c r="I4745" s="22"/>
      <c r="J4745" s="22"/>
      <c r="K4745" s="24"/>
      <c r="M4745" s="21"/>
      <c r="N4745" s="22"/>
      <c r="O4745" s="22"/>
      <c r="P4745" s="49"/>
      <c r="Q4745" s="49"/>
      <c r="R4745" s="188" t="str">
        <f t="shared" si="153"/>
        <v/>
      </c>
      <c r="T4745" s="21"/>
      <c r="U4745" s="22"/>
      <c r="V4745" s="24"/>
      <c r="W4745" s="24"/>
      <c r="X4745" s="24"/>
      <c r="Y4745" s="24"/>
      <c r="Z4745" s="20" t="str">
        <f t="shared" si="152"/>
        <v/>
      </c>
    </row>
    <row r="4746" spans="1:26" x14ac:dyDescent="0.2">
      <c r="A4746" s="21"/>
      <c r="B4746" s="20"/>
      <c r="C4746" s="22"/>
      <c r="D4746" s="22"/>
      <c r="E4746" s="24"/>
      <c r="F4746" s="22"/>
      <c r="H4746" s="21"/>
      <c r="I4746" s="22"/>
      <c r="J4746" s="22"/>
      <c r="K4746" s="24"/>
      <c r="M4746" s="21"/>
      <c r="N4746" s="22"/>
      <c r="O4746" s="22"/>
      <c r="P4746" s="49"/>
      <c r="Q4746" s="49"/>
      <c r="R4746" s="188" t="str">
        <f t="shared" si="153"/>
        <v/>
      </c>
      <c r="T4746" s="21"/>
      <c r="U4746" s="22"/>
      <c r="V4746" s="24"/>
      <c r="W4746" s="24"/>
      <c r="X4746" s="24"/>
      <c r="Y4746" s="24"/>
      <c r="Z4746" s="20" t="str">
        <f t="shared" si="152"/>
        <v/>
      </c>
    </row>
    <row r="4747" spans="1:26" x14ac:dyDescent="0.2">
      <c r="A4747" s="21"/>
      <c r="B4747" s="20"/>
      <c r="C4747" s="22"/>
      <c r="D4747" s="22"/>
      <c r="E4747" s="24"/>
      <c r="F4747" s="22"/>
      <c r="H4747" s="21"/>
      <c r="I4747" s="22"/>
      <c r="J4747" s="22"/>
      <c r="K4747" s="24"/>
      <c r="M4747" s="21"/>
      <c r="N4747" s="22"/>
      <c r="O4747" s="22"/>
      <c r="P4747" s="49"/>
      <c r="Q4747" s="49"/>
      <c r="R4747" s="188" t="str">
        <f t="shared" si="153"/>
        <v/>
      </c>
      <c r="T4747" s="21"/>
      <c r="U4747" s="22"/>
      <c r="V4747" s="24"/>
      <c r="W4747" s="24"/>
      <c r="X4747" s="24"/>
      <c r="Y4747" s="24"/>
      <c r="Z4747" s="20" t="str">
        <f t="shared" si="152"/>
        <v/>
      </c>
    </row>
    <row r="4748" spans="1:26" x14ac:dyDescent="0.2">
      <c r="A4748" s="21"/>
      <c r="B4748" s="20"/>
      <c r="C4748" s="22"/>
      <c r="D4748" s="22"/>
      <c r="E4748" s="24"/>
      <c r="F4748" s="22"/>
      <c r="H4748" s="21"/>
      <c r="I4748" s="22"/>
      <c r="J4748" s="22"/>
      <c r="K4748" s="24"/>
      <c r="M4748" s="21"/>
      <c r="N4748" s="22"/>
      <c r="O4748" s="22"/>
      <c r="P4748" s="49"/>
      <c r="Q4748" s="49"/>
      <c r="R4748" s="188" t="str">
        <f t="shared" si="153"/>
        <v/>
      </c>
      <c r="T4748" s="21"/>
      <c r="U4748" s="22"/>
      <c r="V4748" s="24"/>
      <c r="W4748" s="24"/>
      <c r="X4748" s="24"/>
      <c r="Y4748" s="24"/>
      <c r="Z4748" s="20" t="str">
        <f t="shared" si="152"/>
        <v/>
      </c>
    </row>
    <row r="4749" spans="1:26" x14ac:dyDescent="0.2">
      <c r="A4749" s="21"/>
      <c r="B4749" s="20"/>
      <c r="C4749" s="22"/>
      <c r="D4749" s="22"/>
      <c r="E4749" s="24"/>
      <c r="F4749" s="22"/>
      <c r="H4749" s="21"/>
      <c r="I4749" s="22"/>
      <c r="J4749" s="22"/>
      <c r="K4749" s="24"/>
      <c r="M4749" s="21"/>
      <c r="N4749" s="22"/>
      <c r="O4749" s="22"/>
      <c r="P4749" s="49"/>
      <c r="Q4749" s="49"/>
      <c r="R4749" s="188" t="str">
        <f t="shared" si="153"/>
        <v/>
      </c>
      <c r="T4749" s="21"/>
      <c r="U4749" s="22"/>
      <c r="V4749" s="24"/>
      <c r="W4749" s="24"/>
      <c r="X4749" s="24"/>
      <c r="Y4749" s="24"/>
      <c r="Z4749" s="20" t="str">
        <f t="shared" si="152"/>
        <v/>
      </c>
    </row>
    <row r="4750" spans="1:26" x14ac:dyDescent="0.2">
      <c r="A4750" s="21"/>
      <c r="B4750" s="20"/>
      <c r="C4750" s="22"/>
      <c r="D4750" s="22"/>
      <c r="E4750" s="24"/>
      <c r="F4750" s="22"/>
      <c r="H4750" s="21"/>
      <c r="I4750" s="22"/>
      <c r="J4750" s="22"/>
      <c r="K4750" s="24"/>
      <c r="M4750" s="21"/>
      <c r="N4750" s="22"/>
      <c r="O4750" s="22"/>
      <c r="P4750" s="49"/>
      <c r="Q4750" s="49"/>
      <c r="R4750" s="188" t="str">
        <f t="shared" si="153"/>
        <v/>
      </c>
      <c r="T4750" s="21"/>
      <c r="U4750" s="22"/>
      <c r="V4750" s="24"/>
      <c r="W4750" s="24"/>
      <c r="X4750" s="24"/>
      <c r="Y4750" s="24"/>
      <c r="Z4750" s="20" t="str">
        <f t="shared" si="152"/>
        <v/>
      </c>
    </row>
    <row r="4751" spans="1:26" x14ac:dyDescent="0.2">
      <c r="A4751" s="21"/>
      <c r="B4751" s="20"/>
      <c r="C4751" s="22"/>
      <c r="D4751" s="22"/>
      <c r="E4751" s="24"/>
      <c r="F4751" s="22"/>
      <c r="H4751" s="21"/>
      <c r="I4751" s="22"/>
      <c r="J4751" s="22"/>
      <c r="K4751" s="24"/>
      <c r="M4751" s="21"/>
      <c r="N4751" s="22"/>
      <c r="O4751" s="22"/>
      <c r="P4751" s="49"/>
      <c r="Q4751" s="49"/>
      <c r="R4751" s="188" t="str">
        <f t="shared" si="153"/>
        <v/>
      </c>
      <c r="T4751" s="21"/>
      <c r="U4751" s="22"/>
      <c r="V4751" s="24"/>
      <c r="W4751" s="24"/>
      <c r="X4751" s="24"/>
      <c r="Y4751" s="24"/>
      <c r="Z4751" s="20" t="str">
        <f t="shared" si="152"/>
        <v/>
      </c>
    </row>
    <row r="4752" spans="1:26" x14ac:dyDescent="0.2">
      <c r="A4752" s="21"/>
      <c r="B4752" s="20"/>
      <c r="C4752" s="22"/>
      <c r="D4752" s="22"/>
      <c r="E4752" s="24"/>
      <c r="F4752" s="22"/>
      <c r="H4752" s="21"/>
      <c r="I4752" s="22"/>
      <c r="J4752" s="22"/>
      <c r="K4752" s="24"/>
      <c r="M4752" s="21"/>
      <c r="N4752" s="22"/>
      <c r="O4752" s="22"/>
      <c r="P4752" s="49"/>
      <c r="Q4752" s="49"/>
      <c r="R4752" s="188" t="str">
        <f t="shared" si="153"/>
        <v/>
      </c>
      <c r="T4752" s="21"/>
      <c r="U4752" s="22"/>
      <c r="V4752" s="24"/>
      <c r="W4752" s="24"/>
      <c r="X4752" s="24"/>
      <c r="Y4752" s="24"/>
      <c r="Z4752" s="20" t="str">
        <f t="shared" si="152"/>
        <v/>
      </c>
    </row>
    <row r="4753" spans="1:26" x14ac:dyDescent="0.2">
      <c r="A4753" s="21"/>
      <c r="B4753" s="20"/>
      <c r="C4753" s="22"/>
      <c r="D4753" s="22"/>
      <c r="E4753" s="24"/>
      <c r="F4753" s="22"/>
      <c r="H4753" s="21"/>
      <c r="I4753" s="22"/>
      <c r="J4753" s="22"/>
      <c r="K4753" s="24"/>
      <c r="M4753" s="21"/>
      <c r="N4753" s="22"/>
      <c r="O4753" s="22"/>
      <c r="P4753" s="49"/>
      <c r="Q4753" s="49"/>
      <c r="R4753" s="188" t="str">
        <f t="shared" si="153"/>
        <v/>
      </c>
      <c r="T4753" s="21"/>
      <c r="U4753" s="22"/>
      <c r="V4753" s="24"/>
      <c r="W4753" s="24"/>
      <c r="X4753" s="24"/>
      <c r="Y4753" s="24"/>
      <c r="Z4753" s="20" t="str">
        <f t="shared" si="152"/>
        <v/>
      </c>
    </row>
    <row r="4754" spans="1:26" x14ac:dyDescent="0.2">
      <c r="A4754" s="21"/>
      <c r="B4754" s="20"/>
      <c r="C4754" s="22"/>
      <c r="D4754" s="22"/>
      <c r="E4754" s="24"/>
      <c r="F4754" s="22"/>
      <c r="H4754" s="21"/>
      <c r="I4754" s="22"/>
      <c r="J4754" s="22"/>
      <c r="K4754" s="24"/>
      <c r="M4754" s="21"/>
      <c r="N4754" s="22"/>
      <c r="O4754" s="22"/>
      <c r="P4754" s="49"/>
      <c r="Q4754" s="49"/>
      <c r="R4754" s="188" t="str">
        <f t="shared" si="153"/>
        <v/>
      </c>
      <c r="T4754" s="21"/>
      <c r="U4754" s="22"/>
      <c r="V4754" s="24"/>
      <c r="W4754" s="24"/>
      <c r="X4754" s="24"/>
      <c r="Y4754" s="24"/>
      <c r="Z4754" s="20" t="str">
        <f t="shared" si="152"/>
        <v/>
      </c>
    </row>
    <row r="4755" spans="1:26" x14ac:dyDescent="0.2">
      <c r="A4755" s="21"/>
      <c r="B4755" s="20"/>
      <c r="C4755" s="22"/>
      <c r="D4755" s="22"/>
      <c r="E4755" s="24"/>
      <c r="F4755" s="22"/>
      <c r="H4755" s="21"/>
      <c r="I4755" s="22"/>
      <c r="J4755" s="22"/>
      <c r="K4755" s="24"/>
      <c r="M4755" s="21"/>
      <c r="N4755" s="22"/>
      <c r="O4755" s="22"/>
      <c r="P4755" s="49"/>
      <c r="Q4755" s="49"/>
      <c r="R4755" s="188" t="str">
        <f t="shared" si="153"/>
        <v/>
      </c>
      <c r="T4755" s="21"/>
      <c r="U4755" s="22"/>
      <c r="V4755" s="24"/>
      <c r="W4755" s="24"/>
      <c r="X4755" s="24"/>
      <c r="Y4755" s="24"/>
      <c r="Z4755" s="20" t="str">
        <f t="shared" ref="Z4755:Z4818" si="154">IF(COUNT(V4755:Y4755)=0,"",SUM(V4755:Y4755))</f>
        <v/>
      </c>
    </row>
    <row r="4756" spans="1:26" x14ac:dyDescent="0.2">
      <c r="A4756" s="21"/>
      <c r="B4756" s="20"/>
      <c r="C4756" s="22"/>
      <c r="D4756" s="22"/>
      <c r="E4756" s="24"/>
      <c r="F4756" s="22"/>
      <c r="H4756" s="21"/>
      <c r="I4756" s="22"/>
      <c r="J4756" s="22"/>
      <c r="K4756" s="24"/>
      <c r="M4756" s="21"/>
      <c r="N4756" s="22"/>
      <c r="O4756" s="22"/>
      <c r="P4756" s="49"/>
      <c r="Q4756" s="49"/>
      <c r="R4756" s="188" t="str">
        <f t="shared" si="153"/>
        <v/>
      </c>
      <c r="T4756" s="21"/>
      <c r="U4756" s="22"/>
      <c r="V4756" s="24"/>
      <c r="W4756" s="24"/>
      <c r="X4756" s="24"/>
      <c r="Y4756" s="24"/>
      <c r="Z4756" s="20" t="str">
        <f t="shared" si="154"/>
        <v/>
      </c>
    </row>
    <row r="4757" spans="1:26" x14ac:dyDescent="0.2">
      <c r="A4757" s="21"/>
      <c r="B4757" s="20"/>
      <c r="C4757" s="22"/>
      <c r="D4757" s="22"/>
      <c r="E4757" s="24"/>
      <c r="F4757" s="22"/>
      <c r="H4757" s="21"/>
      <c r="I4757" s="22"/>
      <c r="J4757" s="22"/>
      <c r="K4757" s="24"/>
      <c r="M4757" s="21"/>
      <c r="N4757" s="22"/>
      <c r="O4757" s="22"/>
      <c r="P4757" s="49"/>
      <c r="Q4757" s="49"/>
      <c r="R4757" s="188" t="str">
        <f t="shared" si="153"/>
        <v/>
      </c>
      <c r="T4757" s="21"/>
      <c r="U4757" s="22"/>
      <c r="V4757" s="24"/>
      <c r="W4757" s="24"/>
      <c r="X4757" s="24"/>
      <c r="Y4757" s="24"/>
      <c r="Z4757" s="20" t="str">
        <f t="shared" si="154"/>
        <v/>
      </c>
    </row>
    <row r="4758" spans="1:26" x14ac:dyDescent="0.2">
      <c r="A4758" s="21"/>
      <c r="B4758" s="20"/>
      <c r="C4758" s="22"/>
      <c r="D4758" s="22"/>
      <c r="E4758" s="24"/>
      <c r="F4758" s="22"/>
      <c r="H4758" s="21"/>
      <c r="I4758" s="22"/>
      <c r="J4758" s="22"/>
      <c r="K4758" s="24"/>
      <c r="M4758" s="21"/>
      <c r="N4758" s="22"/>
      <c r="O4758" s="22"/>
      <c r="P4758" s="49"/>
      <c r="Q4758" s="49"/>
      <c r="R4758" s="188" t="str">
        <f t="shared" ref="R4758:R4821" si="155">IF(OR(P4758="",Q4758=""),"",IFERROR(P4758-Q4758,""))</f>
        <v/>
      </c>
      <c r="T4758" s="21"/>
      <c r="U4758" s="22"/>
      <c r="V4758" s="24"/>
      <c r="W4758" s="24"/>
      <c r="X4758" s="24"/>
      <c r="Y4758" s="24"/>
      <c r="Z4758" s="20" t="str">
        <f t="shared" si="154"/>
        <v/>
      </c>
    </row>
    <row r="4759" spans="1:26" x14ac:dyDescent="0.2">
      <c r="A4759" s="21"/>
      <c r="B4759" s="20"/>
      <c r="C4759" s="22"/>
      <c r="D4759" s="22"/>
      <c r="E4759" s="24"/>
      <c r="F4759" s="22"/>
      <c r="H4759" s="21"/>
      <c r="I4759" s="22"/>
      <c r="J4759" s="22"/>
      <c r="K4759" s="24"/>
      <c r="M4759" s="21"/>
      <c r="N4759" s="22"/>
      <c r="O4759" s="22"/>
      <c r="P4759" s="49"/>
      <c r="Q4759" s="49"/>
      <c r="R4759" s="188" t="str">
        <f t="shared" si="155"/>
        <v/>
      </c>
      <c r="T4759" s="21"/>
      <c r="U4759" s="22"/>
      <c r="V4759" s="24"/>
      <c r="W4759" s="24"/>
      <c r="X4759" s="24"/>
      <c r="Y4759" s="24"/>
      <c r="Z4759" s="20" t="str">
        <f t="shared" si="154"/>
        <v/>
      </c>
    </row>
    <row r="4760" spans="1:26" x14ac:dyDescent="0.2">
      <c r="A4760" s="21"/>
      <c r="B4760" s="20"/>
      <c r="C4760" s="22"/>
      <c r="D4760" s="22"/>
      <c r="E4760" s="24"/>
      <c r="F4760" s="22"/>
      <c r="H4760" s="21"/>
      <c r="I4760" s="22"/>
      <c r="J4760" s="22"/>
      <c r="K4760" s="24"/>
      <c r="M4760" s="21"/>
      <c r="N4760" s="22"/>
      <c r="O4760" s="22"/>
      <c r="P4760" s="49"/>
      <c r="Q4760" s="49"/>
      <c r="R4760" s="188" t="str">
        <f t="shared" si="155"/>
        <v/>
      </c>
      <c r="T4760" s="21"/>
      <c r="U4760" s="22"/>
      <c r="V4760" s="24"/>
      <c r="W4760" s="24"/>
      <c r="X4760" s="24"/>
      <c r="Y4760" s="24"/>
      <c r="Z4760" s="20" t="str">
        <f t="shared" si="154"/>
        <v/>
      </c>
    </row>
    <row r="4761" spans="1:26" x14ac:dyDescent="0.2">
      <c r="A4761" s="21"/>
      <c r="B4761" s="20"/>
      <c r="C4761" s="22"/>
      <c r="D4761" s="22"/>
      <c r="E4761" s="24"/>
      <c r="F4761" s="22"/>
      <c r="H4761" s="21"/>
      <c r="I4761" s="22"/>
      <c r="J4761" s="22"/>
      <c r="K4761" s="24"/>
      <c r="M4761" s="21"/>
      <c r="N4761" s="22"/>
      <c r="O4761" s="22"/>
      <c r="P4761" s="49"/>
      <c r="Q4761" s="49"/>
      <c r="R4761" s="188" t="str">
        <f t="shared" si="155"/>
        <v/>
      </c>
      <c r="T4761" s="21"/>
      <c r="U4761" s="22"/>
      <c r="V4761" s="24"/>
      <c r="W4761" s="24"/>
      <c r="X4761" s="24"/>
      <c r="Y4761" s="24"/>
      <c r="Z4761" s="20" t="str">
        <f t="shared" si="154"/>
        <v/>
      </c>
    </row>
    <row r="4762" spans="1:26" x14ac:dyDescent="0.2">
      <c r="A4762" s="21"/>
      <c r="B4762" s="20"/>
      <c r="C4762" s="22"/>
      <c r="D4762" s="22"/>
      <c r="E4762" s="24"/>
      <c r="F4762" s="22"/>
      <c r="H4762" s="21"/>
      <c r="I4762" s="22"/>
      <c r="J4762" s="22"/>
      <c r="K4762" s="24"/>
      <c r="M4762" s="21"/>
      <c r="N4762" s="22"/>
      <c r="O4762" s="22"/>
      <c r="P4762" s="49"/>
      <c r="Q4762" s="49"/>
      <c r="R4762" s="188" t="str">
        <f t="shared" si="155"/>
        <v/>
      </c>
      <c r="T4762" s="21"/>
      <c r="U4762" s="22"/>
      <c r="V4762" s="24"/>
      <c r="W4762" s="24"/>
      <c r="X4762" s="24"/>
      <c r="Y4762" s="24"/>
      <c r="Z4762" s="20" t="str">
        <f t="shared" si="154"/>
        <v/>
      </c>
    </row>
    <row r="4763" spans="1:26" x14ac:dyDescent="0.2">
      <c r="A4763" s="21"/>
      <c r="B4763" s="20"/>
      <c r="C4763" s="22"/>
      <c r="D4763" s="22"/>
      <c r="E4763" s="24"/>
      <c r="F4763" s="22"/>
      <c r="H4763" s="21"/>
      <c r="I4763" s="22"/>
      <c r="J4763" s="22"/>
      <c r="K4763" s="24"/>
      <c r="M4763" s="21"/>
      <c r="N4763" s="22"/>
      <c r="O4763" s="22"/>
      <c r="P4763" s="49"/>
      <c r="Q4763" s="49"/>
      <c r="R4763" s="188" t="str">
        <f t="shared" si="155"/>
        <v/>
      </c>
      <c r="T4763" s="21"/>
      <c r="U4763" s="22"/>
      <c r="V4763" s="24"/>
      <c r="W4763" s="24"/>
      <c r="X4763" s="24"/>
      <c r="Y4763" s="24"/>
      <c r="Z4763" s="20" t="str">
        <f t="shared" si="154"/>
        <v/>
      </c>
    </row>
    <row r="4764" spans="1:26" x14ac:dyDescent="0.2">
      <c r="A4764" s="21"/>
      <c r="B4764" s="20"/>
      <c r="C4764" s="22"/>
      <c r="D4764" s="22"/>
      <c r="E4764" s="24"/>
      <c r="F4764" s="22"/>
      <c r="H4764" s="21"/>
      <c r="I4764" s="22"/>
      <c r="J4764" s="22"/>
      <c r="K4764" s="24"/>
      <c r="M4764" s="21"/>
      <c r="N4764" s="22"/>
      <c r="O4764" s="22"/>
      <c r="P4764" s="49"/>
      <c r="Q4764" s="49"/>
      <c r="R4764" s="188" t="str">
        <f t="shared" si="155"/>
        <v/>
      </c>
      <c r="T4764" s="21"/>
      <c r="U4764" s="22"/>
      <c r="V4764" s="24"/>
      <c r="W4764" s="24"/>
      <c r="X4764" s="24"/>
      <c r="Y4764" s="24"/>
      <c r="Z4764" s="20" t="str">
        <f t="shared" si="154"/>
        <v/>
      </c>
    </row>
    <row r="4765" spans="1:26" x14ac:dyDescent="0.2">
      <c r="A4765" s="21"/>
      <c r="B4765" s="20"/>
      <c r="C4765" s="22"/>
      <c r="D4765" s="22"/>
      <c r="E4765" s="24"/>
      <c r="F4765" s="22"/>
      <c r="H4765" s="21"/>
      <c r="I4765" s="22"/>
      <c r="J4765" s="22"/>
      <c r="K4765" s="24"/>
      <c r="M4765" s="21"/>
      <c r="N4765" s="22"/>
      <c r="O4765" s="22"/>
      <c r="P4765" s="49"/>
      <c r="Q4765" s="49"/>
      <c r="R4765" s="188" t="str">
        <f t="shared" si="155"/>
        <v/>
      </c>
      <c r="T4765" s="21"/>
      <c r="U4765" s="22"/>
      <c r="V4765" s="24"/>
      <c r="W4765" s="24"/>
      <c r="X4765" s="24"/>
      <c r="Y4765" s="24"/>
      <c r="Z4765" s="20" t="str">
        <f t="shared" si="154"/>
        <v/>
      </c>
    </row>
    <row r="4766" spans="1:26" x14ac:dyDescent="0.2">
      <c r="A4766" s="21"/>
      <c r="B4766" s="20"/>
      <c r="C4766" s="22"/>
      <c r="D4766" s="22"/>
      <c r="E4766" s="24"/>
      <c r="F4766" s="22"/>
      <c r="H4766" s="21"/>
      <c r="I4766" s="22"/>
      <c r="J4766" s="22"/>
      <c r="K4766" s="24"/>
      <c r="M4766" s="21"/>
      <c r="N4766" s="22"/>
      <c r="O4766" s="22"/>
      <c r="P4766" s="49"/>
      <c r="Q4766" s="49"/>
      <c r="R4766" s="188" t="str">
        <f t="shared" si="155"/>
        <v/>
      </c>
      <c r="T4766" s="21"/>
      <c r="U4766" s="22"/>
      <c r="V4766" s="24"/>
      <c r="W4766" s="24"/>
      <c r="X4766" s="24"/>
      <c r="Y4766" s="24"/>
      <c r="Z4766" s="20" t="str">
        <f t="shared" si="154"/>
        <v/>
      </c>
    </row>
    <row r="4767" spans="1:26" x14ac:dyDescent="0.2">
      <c r="A4767" s="21"/>
      <c r="B4767" s="20"/>
      <c r="C4767" s="22"/>
      <c r="D4767" s="22"/>
      <c r="E4767" s="24"/>
      <c r="F4767" s="22"/>
      <c r="H4767" s="21"/>
      <c r="I4767" s="22"/>
      <c r="J4767" s="22"/>
      <c r="K4767" s="24"/>
      <c r="M4767" s="21"/>
      <c r="N4767" s="22"/>
      <c r="O4767" s="22"/>
      <c r="P4767" s="49"/>
      <c r="Q4767" s="49"/>
      <c r="R4767" s="188" t="str">
        <f t="shared" si="155"/>
        <v/>
      </c>
      <c r="T4767" s="21"/>
      <c r="U4767" s="22"/>
      <c r="V4767" s="24"/>
      <c r="W4767" s="24"/>
      <c r="X4767" s="24"/>
      <c r="Y4767" s="24"/>
      <c r="Z4767" s="20" t="str">
        <f t="shared" si="154"/>
        <v/>
      </c>
    </row>
    <row r="4768" spans="1:26" x14ac:dyDescent="0.2">
      <c r="A4768" s="21"/>
      <c r="B4768" s="20"/>
      <c r="C4768" s="22"/>
      <c r="D4768" s="22"/>
      <c r="E4768" s="24"/>
      <c r="F4768" s="22"/>
      <c r="H4768" s="21"/>
      <c r="I4768" s="22"/>
      <c r="J4768" s="22"/>
      <c r="K4768" s="24"/>
      <c r="M4768" s="21"/>
      <c r="N4768" s="22"/>
      <c r="O4768" s="22"/>
      <c r="P4768" s="49"/>
      <c r="Q4768" s="49"/>
      <c r="R4768" s="188" t="str">
        <f t="shared" si="155"/>
        <v/>
      </c>
      <c r="T4768" s="21"/>
      <c r="U4768" s="22"/>
      <c r="V4768" s="24"/>
      <c r="W4768" s="24"/>
      <c r="X4768" s="24"/>
      <c r="Y4768" s="24"/>
      <c r="Z4768" s="20" t="str">
        <f t="shared" si="154"/>
        <v/>
      </c>
    </row>
    <row r="4769" spans="1:26" x14ac:dyDescent="0.2">
      <c r="A4769" s="21"/>
      <c r="B4769" s="20"/>
      <c r="C4769" s="22"/>
      <c r="D4769" s="22"/>
      <c r="E4769" s="24"/>
      <c r="F4769" s="22"/>
      <c r="H4769" s="21"/>
      <c r="I4769" s="22"/>
      <c r="J4769" s="22"/>
      <c r="K4769" s="24"/>
      <c r="M4769" s="21"/>
      <c r="N4769" s="22"/>
      <c r="O4769" s="22"/>
      <c r="P4769" s="49"/>
      <c r="Q4769" s="49"/>
      <c r="R4769" s="188" t="str">
        <f t="shared" si="155"/>
        <v/>
      </c>
      <c r="T4769" s="21"/>
      <c r="U4769" s="22"/>
      <c r="V4769" s="24"/>
      <c r="W4769" s="24"/>
      <c r="X4769" s="24"/>
      <c r="Y4769" s="24"/>
      <c r="Z4769" s="20" t="str">
        <f t="shared" si="154"/>
        <v/>
      </c>
    </row>
    <row r="4770" spans="1:26" x14ac:dyDescent="0.2">
      <c r="A4770" s="21"/>
      <c r="B4770" s="20"/>
      <c r="C4770" s="22"/>
      <c r="D4770" s="22"/>
      <c r="E4770" s="24"/>
      <c r="F4770" s="22"/>
      <c r="H4770" s="21"/>
      <c r="I4770" s="22"/>
      <c r="J4770" s="22"/>
      <c r="K4770" s="24"/>
      <c r="M4770" s="21"/>
      <c r="N4770" s="22"/>
      <c r="O4770" s="22"/>
      <c r="P4770" s="49"/>
      <c r="Q4770" s="49"/>
      <c r="R4770" s="188" t="str">
        <f t="shared" si="155"/>
        <v/>
      </c>
      <c r="T4770" s="21"/>
      <c r="U4770" s="22"/>
      <c r="V4770" s="24"/>
      <c r="W4770" s="24"/>
      <c r="X4770" s="24"/>
      <c r="Y4770" s="24"/>
      <c r="Z4770" s="20" t="str">
        <f t="shared" si="154"/>
        <v/>
      </c>
    </row>
    <row r="4771" spans="1:26" x14ac:dyDescent="0.2">
      <c r="A4771" s="21"/>
      <c r="B4771" s="20"/>
      <c r="C4771" s="22"/>
      <c r="D4771" s="22"/>
      <c r="E4771" s="24"/>
      <c r="F4771" s="22"/>
      <c r="H4771" s="21"/>
      <c r="I4771" s="22"/>
      <c r="J4771" s="22"/>
      <c r="K4771" s="24"/>
      <c r="M4771" s="21"/>
      <c r="N4771" s="22"/>
      <c r="O4771" s="22"/>
      <c r="P4771" s="49"/>
      <c r="Q4771" s="49"/>
      <c r="R4771" s="188" t="str">
        <f t="shared" si="155"/>
        <v/>
      </c>
      <c r="T4771" s="21"/>
      <c r="U4771" s="22"/>
      <c r="V4771" s="24"/>
      <c r="W4771" s="24"/>
      <c r="X4771" s="24"/>
      <c r="Y4771" s="24"/>
      <c r="Z4771" s="20" t="str">
        <f t="shared" si="154"/>
        <v/>
      </c>
    </row>
    <row r="4772" spans="1:26" x14ac:dyDescent="0.2">
      <c r="A4772" s="21"/>
      <c r="B4772" s="20"/>
      <c r="C4772" s="22"/>
      <c r="D4772" s="22"/>
      <c r="E4772" s="24"/>
      <c r="F4772" s="22"/>
      <c r="H4772" s="21"/>
      <c r="I4772" s="22"/>
      <c r="J4772" s="22"/>
      <c r="K4772" s="24"/>
      <c r="M4772" s="21"/>
      <c r="N4772" s="22"/>
      <c r="O4772" s="22"/>
      <c r="P4772" s="49"/>
      <c r="Q4772" s="49"/>
      <c r="R4772" s="188" t="str">
        <f t="shared" si="155"/>
        <v/>
      </c>
      <c r="T4772" s="21"/>
      <c r="U4772" s="22"/>
      <c r="V4772" s="24"/>
      <c r="W4772" s="24"/>
      <c r="X4772" s="24"/>
      <c r="Y4772" s="24"/>
      <c r="Z4772" s="20" t="str">
        <f t="shared" si="154"/>
        <v/>
      </c>
    </row>
    <row r="4773" spans="1:26" x14ac:dyDescent="0.2">
      <c r="A4773" s="21"/>
      <c r="B4773" s="20"/>
      <c r="C4773" s="22"/>
      <c r="D4773" s="22"/>
      <c r="E4773" s="24"/>
      <c r="F4773" s="22"/>
      <c r="H4773" s="21"/>
      <c r="I4773" s="22"/>
      <c r="J4773" s="22"/>
      <c r="K4773" s="24"/>
      <c r="M4773" s="21"/>
      <c r="N4773" s="22"/>
      <c r="O4773" s="22"/>
      <c r="P4773" s="49"/>
      <c r="Q4773" s="49"/>
      <c r="R4773" s="188" t="str">
        <f t="shared" si="155"/>
        <v/>
      </c>
      <c r="T4773" s="21"/>
      <c r="U4773" s="22"/>
      <c r="V4773" s="24"/>
      <c r="W4773" s="24"/>
      <c r="X4773" s="24"/>
      <c r="Y4773" s="24"/>
      <c r="Z4773" s="20" t="str">
        <f t="shared" si="154"/>
        <v/>
      </c>
    </row>
    <row r="4774" spans="1:26" x14ac:dyDescent="0.2">
      <c r="A4774" s="21"/>
      <c r="B4774" s="20"/>
      <c r="C4774" s="22"/>
      <c r="D4774" s="22"/>
      <c r="E4774" s="24"/>
      <c r="F4774" s="22"/>
      <c r="H4774" s="21"/>
      <c r="I4774" s="22"/>
      <c r="J4774" s="22"/>
      <c r="K4774" s="24"/>
      <c r="M4774" s="21"/>
      <c r="N4774" s="22"/>
      <c r="O4774" s="22"/>
      <c r="P4774" s="49"/>
      <c r="Q4774" s="49"/>
      <c r="R4774" s="188" t="str">
        <f t="shared" si="155"/>
        <v/>
      </c>
      <c r="T4774" s="21"/>
      <c r="U4774" s="22"/>
      <c r="V4774" s="24"/>
      <c r="W4774" s="24"/>
      <c r="X4774" s="24"/>
      <c r="Y4774" s="24"/>
      <c r="Z4774" s="20" t="str">
        <f t="shared" si="154"/>
        <v/>
      </c>
    </row>
    <row r="4775" spans="1:26" x14ac:dyDescent="0.2">
      <c r="A4775" s="21"/>
      <c r="B4775" s="20"/>
      <c r="C4775" s="22"/>
      <c r="D4775" s="22"/>
      <c r="E4775" s="24"/>
      <c r="F4775" s="22"/>
      <c r="H4775" s="21"/>
      <c r="I4775" s="22"/>
      <c r="J4775" s="22"/>
      <c r="K4775" s="24"/>
      <c r="M4775" s="21"/>
      <c r="N4775" s="22"/>
      <c r="O4775" s="22"/>
      <c r="P4775" s="49"/>
      <c r="Q4775" s="49"/>
      <c r="R4775" s="188" t="str">
        <f t="shared" si="155"/>
        <v/>
      </c>
      <c r="T4775" s="21"/>
      <c r="U4775" s="22"/>
      <c r="V4775" s="24"/>
      <c r="W4775" s="24"/>
      <c r="X4775" s="24"/>
      <c r="Y4775" s="24"/>
      <c r="Z4775" s="20" t="str">
        <f t="shared" si="154"/>
        <v/>
      </c>
    </row>
    <row r="4776" spans="1:26" x14ac:dyDescent="0.2">
      <c r="A4776" s="21"/>
      <c r="B4776" s="20"/>
      <c r="C4776" s="22"/>
      <c r="D4776" s="22"/>
      <c r="E4776" s="24"/>
      <c r="F4776" s="22"/>
      <c r="H4776" s="21"/>
      <c r="I4776" s="22"/>
      <c r="J4776" s="22"/>
      <c r="K4776" s="24"/>
      <c r="M4776" s="21"/>
      <c r="N4776" s="22"/>
      <c r="O4776" s="22"/>
      <c r="P4776" s="49"/>
      <c r="Q4776" s="49"/>
      <c r="R4776" s="188" t="str">
        <f t="shared" si="155"/>
        <v/>
      </c>
      <c r="T4776" s="21"/>
      <c r="U4776" s="22"/>
      <c r="V4776" s="24"/>
      <c r="W4776" s="24"/>
      <c r="X4776" s="24"/>
      <c r="Y4776" s="24"/>
      <c r="Z4776" s="20" t="str">
        <f t="shared" si="154"/>
        <v/>
      </c>
    </row>
    <row r="4777" spans="1:26" x14ac:dyDescent="0.2">
      <c r="A4777" s="21"/>
      <c r="B4777" s="20"/>
      <c r="C4777" s="22"/>
      <c r="D4777" s="22"/>
      <c r="E4777" s="24"/>
      <c r="F4777" s="22"/>
      <c r="H4777" s="21"/>
      <c r="I4777" s="22"/>
      <c r="J4777" s="22"/>
      <c r="K4777" s="24"/>
      <c r="M4777" s="21"/>
      <c r="N4777" s="22"/>
      <c r="O4777" s="22"/>
      <c r="P4777" s="49"/>
      <c r="Q4777" s="49"/>
      <c r="R4777" s="188" t="str">
        <f t="shared" si="155"/>
        <v/>
      </c>
      <c r="T4777" s="21"/>
      <c r="U4777" s="22"/>
      <c r="V4777" s="24"/>
      <c r="W4777" s="24"/>
      <c r="X4777" s="24"/>
      <c r="Y4777" s="24"/>
      <c r="Z4777" s="20" t="str">
        <f t="shared" si="154"/>
        <v/>
      </c>
    </row>
    <row r="4778" spans="1:26" x14ac:dyDescent="0.2">
      <c r="A4778" s="21"/>
      <c r="B4778" s="20"/>
      <c r="C4778" s="22"/>
      <c r="D4778" s="22"/>
      <c r="E4778" s="24"/>
      <c r="F4778" s="22"/>
      <c r="H4778" s="21"/>
      <c r="I4778" s="22"/>
      <c r="J4778" s="22"/>
      <c r="K4778" s="24"/>
      <c r="M4778" s="21"/>
      <c r="N4778" s="22"/>
      <c r="O4778" s="22"/>
      <c r="P4778" s="49"/>
      <c r="Q4778" s="49"/>
      <c r="R4778" s="188" t="str">
        <f t="shared" si="155"/>
        <v/>
      </c>
      <c r="T4778" s="21"/>
      <c r="U4778" s="22"/>
      <c r="V4778" s="24"/>
      <c r="W4778" s="24"/>
      <c r="X4778" s="24"/>
      <c r="Y4778" s="24"/>
      <c r="Z4778" s="20" t="str">
        <f t="shared" si="154"/>
        <v/>
      </c>
    </row>
    <row r="4779" spans="1:26" x14ac:dyDescent="0.2">
      <c r="A4779" s="21"/>
      <c r="B4779" s="20"/>
      <c r="C4779" s="22"/>
      <c r="D4779" s="22"/>
      <c r="E4779" s="24"/>
      <c r="F4779" s="22"/>
      <c r="H4779" s="21"/>
      <c r="I4779" s="22"/>
      <c r="J4779" s="22"/>
      <c r="K4779" s="24"/>
      <c r="M4779" s="21"/>
      <c r="N4779" s="22"/>
      <c r="O4779" s="22"/>
      <c r="P4779" s="49"/>
      <c r="Q4779" s="49"/>
      <c r="R4779" s="188" t="str">
        <f t="shared" si="155"/>
        <v/>
      </c>
      <c r="T4779" s="21"/>
      <c r="U4779" s="22"/>
      <c r="V4779" s="24"/>
      <c r="W4779" s="24"/>
      <c r="X4779" s="24"/>
      <c r="Y4779" s="24"/>
      <c r="Z4779" s="20" t="str">
        <f t="shared" si="154"/>
        <v/>
      </c>
    </row>
    <row r="4780" spans="1:26" x14ac:dyDescent="0.2">
      <c r="A4780" s="21"/>
      <c r="B4780" s="20"/>
      <c r="C4780" s="22"/>
      <c r="D4780" s="22"/>
      <c r="E4780" s="24"/>
      <c r="F4780" s="22"/>
      <c r="H4780" s="21"/>
      <c r="I4780" s="22"/>
      <c r="J4780" s="22"/>
      <c r="K4780" s="24"/>
      <c r="M4780" s="21"/>
      <c r="N4780" s="22"/>
      <c r="O4780" s="22"/>
      <c r="P4780" s="49"/>
      <c r="Q4780" s="49"/>
      <c r="R4780" s="188" t="str">
        <f t="shared" si="155"/>
        <v/>
      </c>
      <c r="T4780" s="21"/>
      <c r="U4780" s="22"/>
      <c r="V4780" s="24"/>
      <c r="W4780" s="24"/>
      <c r="X4780" s="24"/>
      <c r="Y4780" s="24"/>
      <c r="Z4780" s="20" t="str">
        <f t="shared" si="154"/>
        <v/>
      </c>
    </row>
    <row r="4781" spans="1:26" x14ac:dyDescent="0.2">
      <c r="A4781" s="21"/>
      <c r="B4781" s="20"/>
      <c r="C4781" s="22"/>
      <c r="D4781" s="22"/>
      <c r="E4781" s="24"/>
      <c r="F4781" s="22"/>
      <c r="H4781" s="21"/>
      <c r="I4781" s="22"/>
      <c r="J4781" s="22"/>
      <c r="K4781" s="24"/>
      <c r="M4781" s="21"/>
      <c r="N4781" s="22"/>
      <c r="O4781" s="22"/>
      <c r="P4781" s="49"/>
      <c r="Q4781" s="49"/>
      <c r="R4781" s="188" t="str">
        <f t="shared" si="155"/>
        <v/>
      </c>
      <c r="T4781" s="21"/>
      <c r="U4781" s="22"/>
      <c r="V4781" s="24"/>
      <c r="W4781" s="24"/>
      <c r="X4781" s="24"/>
      <c r="Y4781" s="24"/>
      <c r="Z4781" s="20" t="str">
        <f t="shared" si="154"/>
        <v/>
      </c>
    </row>
    <row r="4782" spans="1:26" x14ac:dyDescent="0.2">
      <c r="A4782" s="21"/>
      <c r="B4782" s="20"/>
      <c r="C4782" s="22"/>
      <c r="D4782" s="22"/>
      <c r="E4782" s="24"/>
      <c r="F4782" s="22"/>
      <c r="H4782" s="21"/>
      <c r="I4782" s="22"/>
      <c r="J4782" s="22"/>
      <c r="K4782" s="24"/>
      <c r="M4782" s="21"/>
      <c r="N4782" s="22"/>
      <c r="O4782" s="22"/>
      <c r="P4782" s="49"/>
      <c r="Q4782" s="49"/>
      <c r="R4782" s="188" t="str">
        <f t="shared" si="155"/>
        <v/>
      </c>
      <c r="T4782" s="21"/>
      <c r="U4782" s="22"/>
      <c r="V4782" s="24"/>
      <c r="W4782" s="24"/>
      <c r="X4782" s="24"/>
      <c r="Y4782" s="24"/>
      <c r="Z4782" s="20" t="str">
        <f t="shared" si="154"/>
        <v/>
      </c>
    </row>
    <row r="4783" spans="1:26" x14ac:dyDescent="0.2">
      <c r="A4783" s="21"/>
      <c r="B4783" s="20"/>
      <c r="C4783" s="22"/>
      <c r="D4783" s="22"/>
      <c r="E4783" s="24"/>
      <c r="F4783" s="22"/>
      <c r="H4783" s="21"/>
      <c r="I4783" s="22"/>
      <c r="J4783" s="22"/>
      <c r="K4783" s="24"/>
      <c r="M4783" s="21"/>
      <c r="N4783" s="22"/>
      <c r="O4783" s="22"/>
      <c r="P4783" s="49"/>
      <c r="Q4783" s="49"/>
      <c r="R4783" s="188" t="str">
        <f t="shared" si="155"/>
        <v/>
      </c>
      <c r="T4783" s="21"/>
      <c r="U4783" s="22"/>
      <c r="V4783" s="24"/>
      <c r="W4783" s="24"/>
      <c r="X4783" s="24"/>
      <c r="Y4783" s="24"/>
      <c r="Z4783" s="20" t="str">
        <f t="shared" si="154"/>
        <v/>
      </c>
    </row>
    <row r="4784" spans="1:26" x14ac:dyDescent="0.2">
      <c r="A4784" s="21"/>
      <c r="B4784" s="20"/>
      <c r="C4784" s="22"/>
      <c r="D4784" s="22"/>
      <c r="E4784" s="24"/>
      <c r="F4784" s="22"/>
      <c r="H4784" s="21"/>
      <c r="I4784" s="22"/>
      <c r="J4784" s="22"/>
      <c r="K4784" s="24"/>
      <c r="M4784" s="21"/>
      <c r="N4784" s="22"/>
      <c r="O4784" s="22"/>
      <c r="P4784" s="49"/>
      <c r="Q4784" s="49"/>
      <c r="R4784" s="188" t="str">
        <f t="shared" si="155"/>
        <v/>
      </c>
      <c r="T4784" s="21"/>
      <c r="U4784" s="22"/>
      <c r="V4784" s="24"/>
      <c r="W4784" s="24"/>
      <c r="X4784" s="24"/>
      <c r="Y4784" s="24"/>
      <c r="Z4784" s="20" t="str">
        <f t="shared" si="154"/>
        <v/>
      </c>
    </row>
    <row r="4785" spans="1:26" x14ac:dyDescent="0.2">
      <c r="A4785" s="21"/>
      <c r="B4785" s="20"/>
      <c r="C4785" s="22"/>
      <c r="D4785" s="22"/>
      <c r="E4785" s="24"/>
      <c r="F4785" s="22"/>
      <c r="H4785" s="21"/>
      <c r="I4785" s="22"/>
      <c r="J4785" s="22"/>
      <c r="K4785" s="24"/>
      <c r="M4785" s="21"/>
      <c r="N4785" s="22"/>
      <c r="O4785" s="22"/>
      <c r="P4785" s="49"/>
      <c r="Q4785" s="49"/>
      <c r="R4785" s="188" t="str">
        <f t="shared" si="155"/>
        <v/>
      </c>
      <c r="T4785" s="21"/>
      <c r="U4785" s="22"/>
      <c r="V4785" s="24"/>
      <c r="W4785" s="24"/>
      <c r="X4785" s="24"/>
      <c r="Y4785" s="24"/>
      <c r="Z4785" s="20" t="str">
        <f t="shared" si="154"/>
        <v/>
      </c>
    </row>
    <row r="4786" spans="1:26" x14ac:dyDescent="0.2">
      <c r="A4786" s="21"/>
      <c r="B4786" s="20"/>
      <c r="C4786" s="22"/>
      <c r="D4786" s="22"/>
      <c r="E4786" s="24"/>
      <c r="F4786" s="22"/>
      <c r="H4786" s="21"/>
      <c r="I4786" s="22"/>
      <c r="J4786" s="22"/>
      <c r="K4786" s="24"/>
      <c r="M4786" s="21"/>
      <c r="N4786" s="22"/>
      <c r="O4786" s="22"/>
      <c r="P4786" s="49"/>
      <c r="Q4786" s="49"/>
      <c r="R4786" s="188" t="str">
        <f t="shared" si="155"/>
        <v/>
      </c>
      <c r="T4786" s="21"/>
      <c r="U4786" s="22"/>
      <c r="V4786" s="24"/>
      <c r="W4786" s="24"/>
      <c r="X4786" s="24"/>
      <c r="Y4786" s="24"/>
      <c r="Z4786" s="20" t="str">
        <f t="shared" si="154"/>
        <v/>
      </c>
    </row>
    <row r="4787" spans="1:26" x14ac:dyDescent="0.2">
      <c r="A4787" s="21"/>
      <c r="B4787" s="20"/>
      <c r="C4787" s="22"/>
      <c r="D4787" s="22"/>
      <c r="E4787" s="24"/>
      <c r="F4787" s="22"/>
      <c r="H4787" s="21"/>
      <c r="I4787" s="22"/>
      <c r="J4787" s="22"/>
      <c r="K4787" s="24"/>
      <c r="M4787" s="21"/>
      <c r="N4787" s="22"/>
      <c r="O4787" s="22"/>
      <c r="P4787" s="49"/>
      <c r="Q4787" s="49"/>
      <c r="R4787" s="188" t="str">
        <f t="shared" si="155"/>
        <v/>
      </c>
      <c r="T4787" s="21"/>
      <c r="U4787" s="22"/>
      <c r="V4787" s="24"/>
      <c r="W4787" s="24"/>
      <c r="X4787" s="24"/>
      <c r="Y4787" s="24"/>
      <c r="Z4787" s="20" t="str">
        <f t="shared" si="154"/>
        <v/>
      </c>
    </row>
    <row r="4788" spans="1:26" x14ac:dyDescent="0.2">
      <c r="A4788" s="21"/>
      <c r="B4788" s="20"/>
      <c r="C4788" s="22"/>
      <c r="D4788" s="22"/>
      <c r="E4788" s="24"/>
      <c r="F4788" s="22"/>
      <c r="H4788" s="21"/>
      <c r="I4788" s="22"/>
      <c r="J4788" s="22"/>
      <c r="K4788" s="24"/>
      <c r="M4788" s="21"/>
      <c r="N4788" s="22"/>
      <c r="O4788" s="22"/>
      <c r="P4788" s="49"/>
      <c r="Q4788" s="49"/>
      <c r="R4788" s="188" t="str">
        <f t="shared" si="155"/>
        <v/>
      </c>
      <c r="T4788" s="21"/>
      <c r="U4788" s="22"/>
      <c r="V4788" s="24"/>
      <c r="W4788" s="24"/>
      <c r="X4788" s="24"/>
      <c r="Y4788" s="24"/>
      <c r="Z4788" s="20" t="str">
        <f t="shared" si="154"/>
        <v/>
      </c>
    </row>
    <row r="4789" spans="1:26" x14ac:dyDescent="0.2">
      <c r="A4789" s="21"/>
      <c r="B4789" s="20"/>
      <c r="C4789" s="22"/>
      <c r="D4789" s="22"/>
      <c r="E4789" s="24"/>
      <c r="F4789" s="22"/>
      <c r="H4789" s="21"/>
      <c r="I4789" s="22"/>
      <c r="J4789" s="22"/>
      <c r="K4789" s="24"/>
      <c r="M4789" s="21"/>
      <c r="N4789" s="22"/>
      <c r="O4789" s="22"/>
      <c r="P4789" s="49"/>
      <c r="Q4789" s="49"/>
      <c r="R4789" s="188" t="str">
        <f t="shared" si="155"/>
        <v/>
      </c>
      <c r="T4789" s="21"/>
      <c r="U4789" s="22"/>
      <c r="V4789" s="24"/>
      <c r="W4789" s="24"/>
      <c r="X4789" s="24"/>
      <c r="Y4789" s="24"/>
      <c r="Z4789" s="20" t="str">
        <f t="shared" si="154"/>
        <v/>
      </c>
    </row>
    <row r="4790" spans="1:26" x14ac:dyDescent="0.2">
      <c r="A4790" s="21"/>
      <c r="B4790" s="20"/>
      <c r="C4790" s="22"/>
      <c r="D4790" s="22"/>
      <c r="E4790" s="24"/>
      <c r="F4790" s="22"/>
      <c r="H4790" s="21"/>
      <c r="I4790" s="22"/>
      <c r="J4790" s="22"/>
      <c r="K4790" s="24"/>
      <c r="M4790" s="21"/>
      <c r="N4790" s="22"/>
      <c r="O4790" s="22"/>
      <c r="P4790" s="49"/>
      <c r="Q4790" s="49"/>
      <c r="R4790" s="188" t="str">
        <f t="shared" si="155"/>
        <v/>
      </c>
      <c r="T4790" s="21"/>
      <c r="U4790" s="22"/>
      <c r="V4790" s="24"/>
      <c r="W4790" s="24"/>
      <c r="X4790" s="24"/>
      <c r="Y4790" s="24"/>
      <c r="Z4790" s="20" t="str">
        <f t="shared" si="154"/>
        <v/>
      </c>
    </row>
    <row r="4791" spans="1:26" x14ac:dyDescent="0.2">
      <c r="A4791" s="21"/>
      <c r="B4791" s="20"/>
      <c r="C4791" s="22"/>
      <c r="D4791" s="22"/>
      <c r="E4791" s="24"/>
      <c r="F4791" s="22"/>
      <c r="H4791" s="21"/>
      <c r="I4791" s="22"/>
      <c r="J4791" s="22"/>
      <c r="K4791" s="24"/>
      <c r="M4791" s="21"/>
      <c r="N4791" s="22"/>
      <c r="O4791" s="22"/>
      <c r="P4791" s="49"/>
      <c r="Q4791" s="49"/>
      <c r="R4791" s="188" t="str">
        <f t="shared" si="155"/>
        <v/>
      </c>
      <c r="T4791" s="21"/>
      <c r="U4791" s="22"/>
      <c r="V4791" s="24"/>
      <c r="W4791" s="24"/>
      <c r="X4791" s="24"/>
      <c r="Y4791" s="24"/>
      <c r="Z4791" s="20" t="str">
        <f t="shared" si="154"/>
        <v/>
      </c>
    </row>
    <row r="4792" spans="1:26" x14ac:dyDescent="0.2">
      <c r="A4792" s="21"/>
      <c r="B4792" s="20"/>
      <c r="C4792" s="22"/>
      <c r="D4792" s="22"/>
      <c r="E4792" s="24"/>
      <c r="F4792" s="22"/>
      <c r="H4792" s="21"/>
      <c r="I4792" s="22"/>
      <c r="J4792" s="22"/>
      <c r="K4792" s="24"/>
      <c r="M4792" s="21"/>
      <c r="N4792" s="22"/>
      <c r="O4792" s="22"/>
      <c r="P4792" s="49"/>
      <c r="Q4792" s="49"/>
      <c r="R4792" s="188" t="str">
        <f t="shared" si="155"/>
        <v/>
      </c>
      <c r="T4792" s="21"/>
      <c r="U4792" s="22"/>
      <c r="V4792" s="24"/>
      <c r="W4792" s="24"/>
      <c r="X4792" s="24"/>
      <c r="Y4792" s="24"/>
      <c r="Z4792" s="20" t="str">
        <f t="shared" si="154"/>
        <v/>
      </c>
    </row>
    <row r="4793" spans="1:26" x14ac:dyDescent="0.2">
      <c r="A4793" s="21"/>
      <c r="B4793" s="20"/>
      <c r="C4793" s="22"/>
      <c r="D4793" s="22"/>
      <c r="E4793" s="24"/>
      <c r="F4793" s="22"/>
      <c r="H4793" s="21"/>
      <c r="I4793" s="22"/>
      <c r="J4793" s="22"/>
      <c r="K4793" s="24"/>
      <c r="M4793" s="21"/>
      <c r="N4793" s="22"/>
      <c r="O4793" s="22"/>
      <c r="P4793" s="49"/>
      <c r="Q4793" s="49"/>
      <c r="R4793" s="188" t="str">
        <f t="shared" si="155"/>
        <v/>
      </c>
      <c r="T4793" s="21"/>
      <c r="U4793" s="22"/>
      <c r="V4793" s="24"/>
      <c r="W4793" s="24"/>
      <c r="X4793" s="24"/>
      <c r="Y4793" s="24"/>
      <c r="Z4793" s="20" t="str">
        <f t="shared" si="154"/>
        <v/>
      </c>
    </row>
    <row r="4794" spans="1:26" x14ac:dyDescent="0.2">
      <c r="A4794" s="21"/>
      <c r="B4794" s="20"/>
      <c r="C4794" s="22"/>
      <c r="D4794" s="22"/>
      <c r="E4794" s="24"/>
      <c r="F4794" s="22"/>
      <c r="H4794" s="21"/>
      <c r="I4794" s="22"/>
      <c r="J4794" s="22"/>
      <c r="K4794" s="24"/>
      <c r="M4794" s="21"/>
      <c r="N4794" s="22"/>
      <c r="O4794" s="22"/>
      <c r="P4794" s="49"/>
      <c r="Q4794" s="49"/>
      <c r="R4794" s="188" t="str">
        <f t="shared" si="155"/>
        <v/>
      </c>
      <c r="T4794" s="21"/>
      <c r="U4794" s="22"/>
      <c r="V4794" s="24"/>
      <c r="W4794" s="24"/>
      <c r="X4794" s="24"/>
      <c r="Y4794" s="24"/>
      <c r="Z4794" s="20" t="str">
        <f t="shared" si="154"/>
        <v/>
      </c>
    </row>
    <row r="4795" spans="1:26" x14ac:dyDescent="0.2">
      <c r="A4795" s="21"/>
      <c r="B4795" s="20"/>
      <c r="C4795" s="22"/>
      <c r="D4795" s="22"/>
      <c r="E4795" s="24"/>
      <c r="F4795" s="22"/>
      <c r="H4795" s="21"/>
      <c r="I4795" s="22"/>
      <c r="J4795" s="22"/>
      <c r="K4795" s="24"/>
      <c r="M4795" s="21"/>
      <c r="N4795" s="22"/>
      <c r="O4795" s="22"/>
      <c r="P4795" s="49"/>
      <c r="Q4795" s="49"/>
      <c r="R4795" s="188" t="str">
        <f t="shared" si="155"/>
        <v/>
      </c>
      <c r="T4795" s="21"/>
      <c r="U4795" s="22"/>
      <c r="V4795" s="24"/>
      <c r="W4795" s="24"/>
      <c r="X4795" s="24"/>
      <c r="Y4795" s="24"/>
      <c r="Z4795" s="20" t="str">
        <f t="shared" si="154"/>
        <v/>
      </c>
    </row>
    <row r="4796" spans="1:26" x14ac:dyDescent="0.2">
      <c r="A4796" s="21"/>
      <c r="B4796" s="20"/>
      <c r="C4796" s="22"/>
      <c r="D4796" s="22"/>
      <c r="E4796" s="24"/>
      <c r="F4796" s="22"/>
      <c r="H4796" s="21"/>
      <c r="I4796" s="22"/>
      <c r="J4796" s="22"/>
      <c r="K4796" s="24"/>
      <c r="M4796" s="21"/>
      <c r="N4796" s="22"/>
      <c r="O4796" s="22"/>
      <c r="P4796" s="49"/>
      <c r="Q4796" s="49"/>
      <c r="R4796" s="188" t="str">
        <f t="shared" si="155"/>
        <v/>
      </c>
      <c r="T4796" s="21"/>
      <c r="U4796" s="22"/>
      <c r="V4796" s="24"/>
      <c r="W4796" s="24"/>
      <c r="X4796" s="24"/>
      <c r="Y4796" s="24"/>
      <c r="Z4796" s="20" t="str">
        <f t="shared" si="154"/>
        <v/>
      </c>
    </row>
    <row r="4797" spans="1:26" x14ac:dyDescent="0.2">
      <c r="A4797" s="21"/>
      <c r="B4797" s="20"/>
      <c r="C4797" s="22"/>
      <c r="D4797" s="22"/>
      <c r="E4797" s="24"/>
      <c r="F4797" s="22"/>
      <c r="H4797" s="21"/>
      <c r="I4797" s="22"/>
      <c r="J4797" s="22"/>
      <c r="K4797" s="24"/>
      <c r="M4797" s="21"/>
      <c r="N4797" s="22"/>
      <c r="O4797" s="22"/>
      <c r="P4797" s="49"/>
      <c r="Q4797" s="49"/>
      <c r="R4797" s="188" t="str">
        <f t="shared" si="155"/>
        <v/>
      </c>
      <c r="T4797" s="21"/>
      <c r="U4797" s="22"/>
      <c r="V4797" s="24"/>
      <c r="W4797" s="24"/>
      <c r="X4797" s="24"/>
      <c r="Y4797" s="24"/>
      <c r="Z4797" s="20" t="str">
        <f t="shared" si="154"/>
        <v/>
      </c>
    </row>
    <row r="4798" spans="1:26" x14ac:dyDescent="0.2">
      <c r="A4798" s="21"/>
      <c r="B4798" s="20"/>
      <c r="C4798" s="22"/>
      <c r="D4798" s="22"/>
      <c r="E4798" s="24"/>
      <c r="F4798" s="22"/>
      <c r="H4798" s="21"/>
      <c r="I4798" s="22"/>
      <c r="J4798" s="22"/>
      <c r="K4798" s="24"/>
      <c r="M4798" s="21"/>
      <c r="N4798" s="22"/>
      <c r="O4798" s="22"/>
      <c r="P4798" s="49"/>
      <c r="Q4798" s="49"/>
      <c r="R4798" s="188" t="str">
        <f t="shared" si="155"/>
        <v/>
      </c>
      <c r="T4798" s="21"/>
      <c r="U4798" s="22"/>
      <c r="V4798" s="24"/>
      <c r="W4798" s="24"/>
      <c r="X4798" s="24"/>
      <c r="Y4798" s="24"/>
      <c r="Z4798" s="20" t="str">
        <f t="shared" si="154"/>
        <v/>
      </c>
    </row>
    <row r="4799" spans="1:26" x14ac:dyDescent="0.2">
      <c r="A4799" s="21"/>
      <c r="B4799" s="20"/>
      <c r="C4799" s="22"/>
      <c r="D4799" s="22"/>
      <c r="E4799" s="24"/>
      <c r="F4799" s="22"/>
      <c r="H4799" s="21"/>
      <c r="I4799" s="22"/>
      <c r="J4799" s="22"/>
      <c r="K4799" s="24"/>
      <c r="M4799" s="21"/>
      <c r="N4799" s="22"/>
      <c r="O4799" s="22"/>
      <c r="P4799" s="49"/>
      <c r="Q4799" s="49"/>
      <c r="R4799" s="188" t="str">
        <f t="shared" si="155"/>
        <v/>
      </c>
      <c r="T4799" s="21"/>
      <c r="U4799" s="22"/>
      <c r="V4799" s="24"/>
      <c r="W4799" s="24"/>
      <c r="X4799" s="24"/>
      <c r="Y4799" s="24"/>
      <c r="Z4799" s="20" t="str">
        <f t="shared" si="154"/>
        <v/>
      </c>
    </row>
    <row r="4800" spans="1:26" x14ac:dyDescent="0.2">
      <c r="A4800" s="21"/>
      <c r="B4800" s="20"/>
      <c r="C4800" s="22"/>
      <c r="D4800" s="22"/>
      <c r="E4800" s="24"/>
      <c r="F4800" s="22"/>
      <c r="H4800" s="21"/>
      <c r="I4800" s="22"/>
      <c r="J4800" s="22"/>
      <c r="K4800" s="24"/>
      <c r="M4800" s="21"/>
      <c r="N4800" s="22"/>
      <c r="O4800" s="22"/>
      <c r="P4800" s="49"/>
      <c r="Q4800" s="49"/>
      <c r="R4800" s="188" t="str">
        <f t="shared" si="155"/>
        <v/>
      </c>
      <c r="T4800" s="21"/>
      <c r="U4800" s="22"/>
      <c r="V4800" s="24"/>
      <c r="W4800" s="24"/>
      <c r="X4800" s="24"/>
      <c r="Y4800" s="24"/>
      <c r="Z4800" s="20" t="str">
        <f t="shared" si="154"/>
        <v/>
      </c>
    </row>
    <row r="4801" spans="1:26" x14ac:dyDescent="0.2">
      <c r="A4801" s="21"/>
      <c r="B4801" s="20"/>
      <c r="C4801" s="22"/>
      <c r="D4801" s="22"/>
      <c r="E4801" s="24"/>
      <c r="F4801" s="22"/>
      <c r="H4801" s="21"/>
      <c r="I4801" s="22"/>
      <c r="J4801" s="22"/>
      <c r="K4801" s="24"/>
      <c r="M4801" s="21"/>
      <c r="N4801" s="22"/>
      <c r="O4801" s="22"/>
      <c r="P4801" s="49"/>
      <c r="Q4801" s="49"/>
      <c r="R4801" s="188" t="str">
        <f t="shared" si="155"/>
        <v/>
      </c>
      <c r="T4801" s="21"/>
      <c r="U4801" s="22"/>
      <c r="V4801" s="24"/>
      <c r="W4801" s="24"/>
      <c r="X4801" s="24"/>
      <c r="Y4801" s="24"/>
      <c r="Z4801" s="20" t="str">
        <f t="shared" si="154"/>
        <v/>
      </c>
    </row>
    <row r="4802" spans="1:26" x14ac:dyDescent="0.2">
      <c r="A4802" s="21"/>
      <c r="B4802" s="20"/>
      <c r="C4802" s="22"/>
      <c r="D4802" s="22"/>
      <c r="E4802" s="24"/>
      <c r="F4802" s="22"/>
      <c r="H4802" s="21"/>
      <c r="I4802" s="22"/>
      <c r="J4802" s="22"/>
      <c r="K4802" s="24"/>
      <c r="M4802" s="21"/>
      <c r="N4802" s="22"/>
      <c r="O4802" s="22"/>
      <c r="P4802" s="49"/>
      <c r="Q4802" s="49"/>
      <c r="R4802" s="188" t="str">
        <f t="shared" si="155"/>
        <v/>
      </c>
      <c r="T4802" s="21"/>
      <c r="U4802" s="22"/>
      <c r="V4802" s="24"/>
      <c r="W4802" s="24"/>
      <c r="X4802" s="24"/>
      <c r="Y4802" s="24"/>
      <c r="Z4802" s="20" t="str">
        <f t="shared" si="154"/>
        <v/>
      </c>
    </row>
    <row r="4803" spans="1:26" x14ac:dyDescent="0.2">
      <c r="A4803" s="21"/>
      <c r="B4803" s="20"/>
      <c r="C4803" s="22"/>
      <c r="D4803" s="22"/>
      <c r="E4803" s="24"/>
      <c r="F4803" s="22"/>
      <c r="H4803" s="21"/>
      <c r="I4803" s="22"/>
      <c r="J4803" s="22"/>
      <c r="K4803" s="24"/>
      <c r="M4803" s="21"/>
      <c r="N4803" s="22"/>
      <c r="O4803" s="22"/>
      <c r="P4803" s="49"/>
      <c r="Q4803" s="49"/>
      <c r="R4803" s="188" t="str">
        <f t="shared" si="155"/>
        <v/>
      </c>
      <c r="T4803" s="21"/>
      <c r="U4803" s="22"/>
      <c r="V4803" s="24"/>
      <c r="W4803" s="24"/>
      <c r="X4803" s="24"/>
      <c r="Y4803" s="24"/>
      <c r="Z4803" s="20" t="str">
        <f t="shared" si="154"/>
        <v/>
      </c>
    </row>
    <row r="4804" spans="1:26" x14ac:dyDescent="0.2">
      <c r="A4804" s="21"/>
      <c r="B4804" s="20"/>
      <c r="C4804" s="22"/>
      <c r="D4804" s="22"/>
      <c r="E4804" s="24"/>
      <c r="F4804" s="22"/>
      <c r="H4804" s="21"/>
      <c r="I4804" s="22"/>
      <c r="J4804" s="22"/>
      <c r="K4804" s="24"/>
      <c r="M4804" s="21"/>
      <c r="N4804" s="22"/>
      <c r="O4804" s="22"/>
      <c r="P4804" s="49"/>
      <c r="Q4804" s="49"/>
      <c r="R4804" s="188" t="str">
        <f t="shared" si="155"/>
        <v/>
      </c>
      <c r="T4804" s="21"/>
      <c r="U4804" s="22"/>
      <c r="V4804" s="24"/>
      <c r="W4804" s="24"/>
      <c r="X4804" s="24"/>
      <c r="Y4804" s="24"/>
      <c r="Z4804" s="20" t="str">
        <f t="shared" si="154"/>
        <v/>
      </c>
    </row>
    <row r="4805" spans="1:26" x14ac:dyDescent="0.2">
      <c r="A4805" s="21"/>
      <c r="B4805" s="20"/>
      <c r="C4805" s="22"/>
      <c r="D4805" s="22"/>
      <c r="E4805" s="24"/>
      <c r="F4805" s="22"/>
      <c r="H4805" s="21"/>
      <c r="I4805" s="22"/>
      <c r="J4805" s="22"/>
      <c r="K4805" s="24"/>
      <c r="M4805" s="21"/>
      <c r="N4805" s="22"/>
      <c r="O4805" s="22"/>
      <c r="P4805" s="49"/>
      <c r="Q4805" s="49"/>
      <c r="R4805" s="188" t="str">
        <f t="shared" si="155"/>
        <v/>
      </c>
      <c r="T4805" s="21"/>
      <c r="U4805" s="22"/>
      <c r="V4805" s="24"/>
      <c r="W4805" s="24"/>
      <c r="X4805" s="24"/>
      <c r="Y4805" s="24"/>
      <c r="Z4805" s="20" t="str">
        <f t="shared" si="154"/>
        <v/>
      </c>
    </row>
    <row r="4806" spans="1:26" x14ac:dyDescent="0.2">
      <c r="A4806" s="21"/>
      <c r="B4806" s="20"/>
      <c r="C4806" s="22"/>
      <c r="D4806" s="22"/>
      <c r="E4806" s="24"/>
      <c r="F4806" s="22"/>
      <c r="H4806" s="21"/>
      <c r="I4806" s="22"/>
      <c r="J4806" s="22"/>
      <c r="K4806" s="24"/>
      <c r="M4806" s="21"/>
      <c r="N4806" s="22"/>
      <c r="O4806" s="22"/>
      <c r="P4806" s="49"/>
      <c r="Q4806" s="49"/>
      <c r="R4806" s="188" t="str">
        <f t="shared" si="155"/>
        <v/>
      </c>
      <c r="T4806" s="21"/>
      <c r="U4806" s="22"/>
      <c r="V4806" s="24"/>
      <c r="W4806" s="24"/>
      <c r="X4806" s="24"/>
      <c r="Y4806" s="24"/>
      <c r="Z4806" s="20" t="str">
        <f t="shared" si="154"/>
        <v/>
      </c>
    </row>
    <row r="4807" spans="1:26" x14ac:dyDescent="0.2">
      <c r="A4807" s="21"/>
      <c r="B4807" s="20"/>
      <c r="C4807" s="22"/>
      <c r="D4807" s="22"/>
      <c r="E4807" s="24"/>
      <c r="F4807" s="22"/>
      <c r="H4807" s="21"/>
      <c r="I4807" s="22"/>
      <c r="J4807" s="22"/>
      <c r="K4807" s="24"/>
      <c r="M4807" s="21"/>
      <c r="N4807" s="22"/>
      <c r="O4807" s="22"/>
      <c r="P4807" s="49"/>
      <c r="Q4807" s="49"/>
      <c r="R4807" s="188" t="str">
        <f t="shared" si="155"/>
        <v/>
      </c>
      <c r="T4807" s="21"/>
      <c r="U4807" s="22"/>
      <c r="V4807" s="24"/>
      <c r="W4807" s="24"/>
      <c r="X4807" s="24"/>
      <c r="Y4807" s="24"/>
      <c r="Z4807" s="20" t="str">
        <f t="shared" si="154"/>
        <v/>
      </c>
    </row>
    <row r="4808" spans="1:26" x14ac:dyDescent="0.2">
      <c r="A4808" s="21"/>
      <c r="B4808" s="20"/>
      <c r="C4808" s="22"/>
      <c r="D4808" s="22"/>
      <c r="E4808" s="24"/>
      <c r="F4808" s="22"/>
      <c r="H4808" s="21"/>
      <c r="I4808" s="22"/>
      <c r="J4808" s="22"/>
      <c r="K4808" s="24"/>
      <c r="M4808" s="21"/>
      <c r="N4808" s="22"/>
      <c r="O4808" s="22"/>
      <c r="P4808" s="49"/>
      <c r="Q4808" s="49"/>
      <c r="R4808" s="188" t="str">
        <f t="shared" si="155"/>
        <v/>
      </c>
      <c r="T4808" s="21"/>
      <c r="U4808" s="22"/>
      <c r="V4808" s="24"/>
      <c r="W4808" s="24"/>
      <c r="X4808" s="24"/>
      <c r="Y4808" s="24"/>
      <c r="Z4808" s="20" t="str">
        <f t="shared" si="154"/>
        <v/>
      </c>
    </row>
    <row r="4809" spans="1:26" x14ac:dyDescent="0.2">
      <c r="A4809" s="21"/>
      <c r="B4809" s="20"/>
      <c r="C4809" s="22"/>
      <c r="D4809" s="22"/>
      <c r="E4809" s="24"/>
      <c r="F4809" s="22"/>
      <c r="H4809" s="21"/>
      <c r="I4809" s="22"/>
      <c r="J4809" s="22"/>
      <c r="K4809" s="24"/>
      <c r="M4809" s="21"/>
      <c r="N4809" s="22"/>
      <c r="O4809" s="22"/>
      <c r="P4809" s="49"/>
      <c r="Q4809" s="49"/>
      <c r="R4809" s="188" t="str">
        <f t="shared" si="155"/>
        <v/>
      </c>
      <c r="T4809" s="21"/>
      <c r="U4809" s="22"/>
      <c r="V4809" s="24"/>
      <c r="W4809" s="24"/>
      <c r="X4809" s="24"/>
      <c r="Y4809" s="24"/>
      <c r="Z4809" s="20" t="str">
        <f t="shared" si="154"/>
        <v/>
      </c>
    </row>
    <row r="4810" spans="1:26" x14ac:dyDescent="0.2">
      <c r="A4810" s="21"/>
      <c r="B4810" s="20"/>
      <c r="C4810" s="22"/>
      <c r="D4810" s="22"/>
      <c r="E4810" s="24"/>
      <c r="F4810" s="22"/>
      <c r="H4810" s="21"/>
      <c r="I4810" s="22"/>
      <c r="J4810" s="22"/>
      <c r="K4810" s="24"/>
      <c r="M4810" s="21"/>
      <c r="N4810" s="22"/>
      <c r="O4810" s="22"/>
      <c r="P4810" s="49"/>
      <c r="Q4810" s="49"/>
      <c r="R4810" s="188" t="str">
        <f t="shared" si="155"/>
        <v/>
      </c>
      <c r="T4810" s="21"/>
      <c r="U4810" s="22"/>
      <c r="V4810" s="24"/>
      <c r="W4810" s="24"/>
      <c r="X4810" s="24"/>
      <c r="Y4810" s="24"/>
      <c r="Z4810" s="20" t="str">
        <f t="shared" si="154"/>
        <v/>
      </c>
    </row>
    <row r="4811" spans="1:26" x14ac:dyDescent="0.2">
      <c r="A4811" s="21"/>
      <c r="B4811" s="20"/>
      <c r="C4811" s="22"/>
      <c r="D4811" s="22"/>
      <c r="E4811" s="24"/>
      <c r="F4811" s="22"/>
      <c r="H4811" s="21"/>
      <c r="I4811" s="22"/>
      <c r="J4811" s="22"/>
      <c r="K4811" s="24"/>
      <c r="M4811" s="21"/>
      <c r="N4811" s="22"/>
      <c r="O4811" s="22"/>
      <c r="P4811" s="49"/>
      <c r="Q4811" s="49"/>
      <c r="R4811" s="188" t="str">
        <f t="shared" si="155"/>
        <v/>
      </c>
      <c r="T4811" s="21"/>
      <c r="U4811" s="22"/>
      <c r="V4811" s="24"/>
      <c r="W4811" s="24"/>
      <c r="X4811" s="24"/>
      <c r="Y4811" s="24"/>
      <c r="Z4811" s="20" t="str">
        <f t="shared" si="154"/>
        <v/>
      </c>
    </row>
    <row r="4812" spans="1:26" x14ac:dyDescent="0.2">
      <c r="A4812" s="21"/>
      <c r="B4812" s="20"/>
      <c r="C4812" s="22"/>
      <c r="D4812" s="22"/>
      <c r="E4812" s="24"/>
      <c r="F4812" s="22"/>
      <c r="H4812" s="21"/>
      <c r="I4812" s="22"/>
      <c r="J4812" s="22"/>
      <c r="K4812" s="24"/>
      <c r="M4812" s="21"/>
      <c r="N4812" s="22"/>
      <c r="O4812" s="22"/>
      <c r="P4812" s="49"/>
      <c r="Q4812" s="49"/>
      <c r="R4812" s="188" t="str">
        <f t="shared" si="155"/>
        <v/>
      </c>
      <c r="T4812" s="21"/>
      <c r="U4812" s="22"/>
      <c r="V4812" s="24"/>
      <c r="W4812" s="24"/>
      <c r="X4812" s="24"/>
      <c r="Y4812" s="24"/>
      <c r="Z4812" s="20" t="str">
        <f t="shared" si="154"/>
        <v/>
      </c>
    </row>
    <row r="4813" spans="1:26" x14ac:dyDescent="0.2">
      <c r="A4813" s="21"/>
      <c r="B4813" s="20"/>
      <c r="C4813" s="22"/>
      <c r="D4813" s="22"/>
      <c r="E4813" s="24"/>
      <c r="F4813" s="22"/>
      <c r="H4813" s="21"/>
      <c r="I4813" s="22"/>
      <c r="J4813" s="22"/>
      <c r="K4813" s="24"/>
      <c r="M4813" s="21"/>
      <c r="N4813" s="22"/>
      <c r="O4813" s="22"/>
      <c r="P4813" s="49"/>
      <c r="Q4813" s="49"/>
      <c r="R4813" s="188" t="str">
        <f t="shared" si="155"/>
        <v/>
      </c>
      <c r="T4813" s="21"/>
      <c r="U4813" s="22"/>
      <c r="V4813" s="24"/>
      <c r="W4813" s="24"/>
      <c r="X4813" s="24"/>
      <c r="Y4813" s="24"/>
      <c r="Z4813" s="20" t="str">
        <f t="shared" si="154"/>
        <v/>
      </c>
    </row>
    <row r="4814" spans="1:26" x14ac:dyDescent="0.2">
      <c r="A4814" s="21"/>
      <c r="B4814" s="20"/>
      <c r="C4814" s="22"/>
      <c r="D4814" s="22"/>
      <c r="E4814" s="24"/>
      <c r="F4814" s="22"/>
      <c r="H4814" s="21"/>
      <c r="I4814" s="22"/>
      <c r="J4814" s="22"/>
      <c r="K4814" s="24"/>
      <c r="M4814" s="21"/>
      <c r="N4814" s="22"/>
      <c r="O4814" s="22"/>
      <c r="P4814" s="49"/>
      <c r="Q4814" s="49"/>
      <c r="R4814" s="188" t="str">
        <f t="shared" si="155"/>
        <v/>
      </c>
      <c r="T4814" s="21"/>
      <c r="U4814" s="22"/>
      <c r="V4814" s="24"/>
      <c r="W4814" s="24"/>
      <c r="X4814" s="24"/>
      <c r="Y4814" s="24"/>
      <c r="Z4814" s="20" t="str">
        <f t="shared" si="154"/>
        <v/>
      </c>
    </row>
    <row r="4815" spans="1:26" x14ac:dyDescent="0.2">
      <c r="A4815" s="21"/>
      <c r="B4815" s="20"/>
      <c r="C4815" s="22"/>
      <c r="D4815" s="22"/>
      <c r="E4815" s="24"/>
      <c r="F4815" s="22"/>
      <c r="H4815" s="21"/>
      <c r="I4815" s="22"/>
      <c r="J4815" s="22"/>
      <c r="K4815" s="24"/>
      <c r="M4815" s="21"/>
      <c r="N4815" s="22"/>
      <c r="O4815" s="22"/>
      <c r="P4815" s="49"/>
      <c r="Q4815" s="49"/>
      <c r="R4815" s="188" t="str">
        <f t="shared" si="155"/>
        <v/>
      </c>
      <c r="T4815" s="21"/>
      <c r="U4815" s="22"/>
      <c r="V4815" s="24"/>
      <c r="W4815" s="24"/>
      <c r="X4815" s="24"/>
      <c r="Y4815" s="24"/>
      <c r="Z4815" s="20" t="str">
        <f t="shared" si="154"/>
        <v/>
      </c>
    </row>
    <row r="4816" spans="1:26" x14ac:dyDescent="0.2">
      <c r="A4816" s="21"/>
      <c r="B4816" s="20"/>
      <c r="C4816" s="22"/>
      <c r="D4816" s="22"/>
      <c r="E4816" s="24"/>
      <c r="F4816" s="22"/>
      <c r="H4816" s="21"/>
      <c r="I4816" s="22"/>
      <c r="J4816" s="22"/>
      <c r="K4816" s="24"/>
      <c r="M4816" s="21"/>
      <c r="N4816" s="22"/>
      <c r="O4816" s="22"/>
      <c r="P4816" s="49"/>
      <c r="Q4816" s="49"/>
      <c r="R4816" s="188" t="str">
        <f t="shared" si="155"/>
        <v/>
      </c>
      <c r="T4816" s="21"/>
      <c r="U4816" s="22"/>
      <c r="V4816" s="24"/>
      <c r="W4816" s="24"/>
      <c r="X4816" s="24"/>
      <c r="Y4816" s="24"/>
      <c r="Z4816" s="20" t="str">
        <f t="shared" si="154"/>
        <v/>
      </c>
    </row>
    <row r="4817" spans="1:26" x14ac:dyDescent="0.2">
      <c r="A4817" s="21"/>
      <c r="B4817" s="20"/>
      <c r="C4817" s="22"/>
      <c r="D4817" s="22"/>
      <c r="E4817" s="24"/>
      <c r="F4817" s="22"/>
      <c r="H4817" s="21"/>
      <c r="I4817" s="22"/>
      <c r="J4817" s="22"/>
      <c r="K4817" s="24"/>
      <c r="M4817" s="21"/>
      <c r="N4817" s="22"/>
      <c r="O4817" s="22"/>
      <c r="P4817" s="49"/>
      <c r="Q4817" s="49"/>
      <c r="R4817" s="188" t="str">
        <f t="shared" si="155"/>
        <v/>
      </c>
      <c r="T4817" s="21"/>
      <c r="U4817" s="22"/>
      <c r="V4817" s="24"/>
      <c r="W4817" s="24"/>
      <c r="X4817" s="24"/>
      <c r="Y4817" s="24"/>
      <c r="Z4817" s="20" t="str">
        <f t="shared" si="154"/>
        <v/>
      </c>
    </row>
    <row r="4818" spans="1:26" x14ac:dyDescent="0.2">
      <c r="A4818" s="21"/>
      <c r="B4818" s="20"/>
      <c r="C4818" s="22"/>
      <c r="D4818" s="22"/>
      <c r="E4818" s="24"/>
      <c r="F4818" s="22"/>
      <c r="H4818" s="21"/>
      <c r="I4818" s="22"/>
      <c r="J4818" s="22"/>
      <c r="K4818" s="24"/>
      <c r="M4818" s="21"/>
      <c r="N4818" s="22"/>
      <c r="O4818" s="22"/>
      <c r="P4818" s="49"/>
      <c r="Q4818" s="49"/>
      <c r="R4818" s="188" t="str">
        <f t="shared" si="155"/>
        <v/>
      </c>
      <c r="T4818" s="21"/>
      <c r="U4818" s="22"/>
      <c r="V4818" s="24"/>
      <c r="W4818" s="24"/>
      <c r="X4818" s="24"/>
      <c r="Y4818" s="24"/>
      <c r="Z4818" s="20" t="str">
        <f t="shared" si="154"/>
        <v/>
      </c>
    </row>
    <row r="4819" spans="1:26" x14ac:dyDescent="0.2">
      <c r="A4819" s="21"/>
      <c r="B4819" s="20"/>
      <c r="C4819" s="22"/>
      <c r="D4819" s="22"/>
      <c r="E4819" s="24"/>
      <c r="F4819" s="22"/>
      <c r="H4819" s="21"/>
      <c r="I4819" s="22"/>
      <c r="J4819" s="22"/>
      <c r="K4819" s="24"/>
      <c r="M4819" s="21"/>
      <c r="N4819" s="22"/>
      <c r="O4819" s="22"/>
      <c r="P4819" s="49"/>
      <c r="Q4819" s="49"/>
      <c r="R4819" s="188" t="str">
        <f t="shared" si="155"/>
        <v/>
      </c>
      <c r="T4819" s="21"/>
      <c r="U4819" s="22"/>
      <c r="V4819" s="24"/>
      <c r="W4819" s="24"/>
      <c r="X4819" s="24"/>
      <c r="Y4819" s="24"/>
      <c r="Z4819" s="20" t="str">
        <f t="shared" ref="Z4819:Z4882" si="156">IF(COUNT(V4819:Y4819)=0,"",SUM(V4819:Y4819))</f>
        <v/>
      </c>
    </row>
    <row r="4820" spans="1:26" x14ac:dyDescent="0.2">
      <c r="A4820" s="21"/>
      <c r="B4820" s="20"/>
      <c r="C4820" s="22"/>
      <c r="D4820" s="22"/>
      <c r="E4820" s="24"/>
      <c r="F4820" s="22"/>
      <c r="H4820" s="21"/>
      <c r="I4820" s="22"/>
      <c r="J4820" s="22"/>
      <c r="K4820" s="24"/>
      <c r="M4820" s="21"/>
      <c r="N4820" s="22"/>
      <c r="O4820" s="22"/>
      <c r="P4820" s="49"/>
      <c r="Q4820" s="49"/>
      <c r="R4820" s="188" t="str">
        <f t="shared" si="155"/>
        <v/>
      </c>
      <c r="T4820" s="21"/>
      <c r="U4820" s="22"/>
      <c r="V4820" s="24"/>
      <c r="W4820" s="24"/>
      <c r="X4820" s="24"/>
      <c r="Y4820" s="24"/>
      <c r="Z4820" s="20" t="str">
        <f t="shared" si="156"/>
        <v/>
      </c>
    </row>
    <row r="4821" spans="1:26" x14ac:dyDescent="0.2">
      <c r="A4821" s="21"/>
      <c r="B4821" s="20"/>
      <c r="C4821" s="22"/>
      <c r="D4821" s="22"/>
      <c r="E4821" s="24"/>
      <c r="F4821" s="22"/>
      <c r="H4821" s="21"/>
      <c r="I4821" s="22"/>
      <c r="J4821" s="22"/>
      <c r="K4821" s="24"/>
      <c r="M4821" s="21"/>
      <c r="N4821" s="22"/>
      <c r="O4821" s="22"/>
      <c r="P4821" s="49"/>
      <c r="Q4821" s="49"/>
      <c r="R4821" s="188" t="str">
        <f t="shared" si="155"/>
        <v/>
      </c>
      <c r="T4821" s="21"/>
      <c r="U4821" s="22"/>
      <c r="V4821" s="24"/>
      <c r="W4821" s="24"/>
      <c r="X4821" s="24"/>
      <c r="Y4821" s="24"/>
      <c r="Z4821" s="20" t="str">
        <f t="shared" si="156"/>
        <v/>
      </c>
    </row>
    <row r="4822" spans="1:26" x14ac:dyDescent="0.2">
      <c r="A4822" s="21"/>
      <c r="B4822" s="20"/>
      <c r="C4822" s="22"/>
      <c r="D4822" s="22"/>
      <c r="E4822" s="24"/>
      <c r="F4822" s="22"/>
      <c r="H4822" s="21"/>
      <c r="I4822" s="22"/>
      <c r="J4822" s="22"/>
      <c r="K4822" s="24"/>
      <c r="M4822" s="21"/>
      <c r="N4822" s="22"/>
      <c r="O4822" s="22"/>
      <c r="P4822" s="49"/>
      <c r="Q4822" s="49"/>
      <c r="R4822" s="188" t="str">
        <f t="shared" ref="R4822:R4885" si="157">IF(OR(P4822="",Q4822=""),"",IFERROR(P4822-Q4822,""))</f>
        <v/>
      </c>
      <c r="T4822" s="21"/>
      <c r="U4822" s="22"/>
      <c r="V4822" s="24"/>
      <c r="W4822" s="24"/>
      <c r="X4822" s="24"/>
      <c r="Y4822" s="24"/>
      <c r="Z4822" s="20" t="str">
        <f t="shared" si="156"/>
        <v/>
      </c>
    </row>
    <row r="4823" spans="1:26" x14ac:dyDescent="0.2">
      <c r="A4823" s="21"/>
      <c r="B4823" s="20"/>
      <c r="C4823" s="22"/>
      <c r="D4823" s="22"/>
      <c r="E4823" s="24"/>
      <c r="F4823" s="22"/>
      <c r="H4823" s="21"/>
      <c r="I4823" s="22"/>
      <c r="J4823" s="22"/>
      <c r="K4823" s="24"/>
      <c r="M4823" s="21"/>
      <c r="N4823" s="22"/>
      <c r="O4823" s="22"/>
      <c r="P4823" s="49"/>
      <c r="Q4823" s="49"/>
      <c r="R4823" s="188" t="str">
        <f t="shared" si="157"/>
        <v/>
      </c>
      <c r="T4823" s="21"/>
      <c r="U4823" s="22"/>
      <c r="V4823" s="24"/>
      <c r="W4823" s="24"/>
      <c r="X4823" s="24"/>
      <c r="Y4823" s="24"/>
      <c r="Z4823" s="20" t="str">
        <f t="shared" si="156"/>
        <v/>
      </c>
    </row>
    <row r="4824" spans="1:26" x14ac:dyDescent="0.2">
      <c r="A4824" s="21"/>
      <c r="B4824" s="20"/>
      <c r="C4824" s="22"/>
      <c r="D4824" s="22"/>
      <c r="E4824" s="24"/>
      <c r="F4824" s="22"/>
      <c r="H4824" s="21"/>
      <c r="I4824" s="22"/>
      <c r="J4824" s="22"/>
      <c r="K4824" s="24"/>
      <c r="M4824" s="21"/>
      <c r="N4824" s="22"/>
      <c r="O4824" s="22"/>
      <c r="P4824" s="49"/>
      <c r="Q4824" s="49"/>
      <c r="R4824" s="188" t="str">
        <f t="shared" si="157"/>
        <v/>
      </c>
      <c r="T4824" s="21"/>
      <c r="U4824" s="22"/>
      <c r="V4824" s="24"/>
      <c r="W4824" s="24"/>
      <c r="X4824" s="24"/>
      <c r="Y4824" s="24"/>
      <c r="Z4824" s="20" t="str">
        <f t="shared" si="156"/>
        <v/>
      </c>
    </row>
    <row r="4825" spans="1:26" x14ac:dyDescent="0.2">
      <c r="A4825" s="21"/>
      <c r="B4825" s="20"/>
      <c r="C4825" s="22"/>
      <c r="D4825" s="22"/>
      <c r="E4825" s="24"/>
      <c r="F4825" s="22"/>
      <c r="H4825" s="21"/>
      <c r="I4825" s="22"/>
      <c r="J4825" s="22"/>
      <c r="K4825" s="24"/>
      <c r="M4825" s="21"/>
      <c r="N4825" s="22"/>
      <c r="O4825" s="22"/>
      <c r="P4825" s="49"/>
      <c r="Q4825" s="49"/>
      <c r="R4825" s="188" t="str">
        <f t="shared" si="157"/>
        <v/>
      </c>
      <c r="T4825" s="21"/>
      <c r="U4825" s="22"/>
      <c r="V4825" s="24"/>
      <c r="W4825" s="24"/>
      <c r="X4825" s="24"/>
      <c r="Y4825" s="24"/>
      <c r="Z4825" s="20" t="str">
        <f t="shared" si="156"/>
        <v/>
      </c>
    </row>
    <row r="4826" spans="1:26" x14ac:dyDescent="0.2">
      <c r="A4826" s="21"/>
      <c r="B4826" s="20"/>
      <c r="C4826" s="22"/>
      <c r="D4826" s="22"/>
      <c r="E4826" s="24"/>
      <c r="F4826" s="22"/>
      <c r="H4826" s="21"/>
      <c r="I4826" s="22"/>
      <c r="J4826" s="22"/>
      <c r="K4826" s="24"/>
      <c r="M4826" s="21"/>
      <c r="N4826" s="22"/>
      <c r="O4826" s="22"/>
      <c r="P4826" s="49"/>
      <c r="Q4826" s="49"/>
      <c r="R4826" s="188" t="str">
        <f t="shared" si="157"/>
        <v/>
      </c>
      <c r="T4826" s="21"/>
      <c r="U4826" s="22"/>
      <c r="V4826" s="24"/>
      <c r="W4826" s="24"/>
      <c r="X4826" s="24"/>
      <c r="Y4826" s="24"/>
      <c r="Z4826" s="20" t="str">
        <f t="shared" si="156"/>
        <v/>
      </c>
    </row>
    <row r="4827" spans="1:26" x14ac:dyDescent="0.2">
      <c r="A4827" s="21"/>
      <c r="B4827" s="20"/>
      <c r="C4827" s="22"/>
      <c r="D4827" s="22"/>
      <c r="E4827" s="24"/>
      <c r="F4827" s="22"/>
      <c r="H4827" s="21"/>
      <c r="I4827" s="22"/>
      <c r="J4827" s="22"/>
      <c r="K4827" s="24"/>
      <c r="M4827" s="21"/>
      <c r="N4827" s="22"/>
      <c r="O4827" s="22"/>
      <c r="P4827" s="49"/>
      <c r="Q4827" s="49"/>
      <c r="R4827" s="188" t="str">
        <f t="shared" si="157"/>
        <v/>
      </c>
      <c r="T4827" s="21"/>
      <c r="U4827" s="22"/>
      <c r="V4827" s="24"/>
      <c r="W4827" s="24"/>
      <c r="X4827" s="24"/>
      <c r="Y4827" s="24"/>
      <c r="Z4827" s="20" t="str">
        <f t="shared" si="156"/>
        <v/>
      </c>
    </row>
    <row r="4828" spans="1:26" x14ac:dyDescent="0.2">
      <c r="A4828" s="21"/>
      <c r="B4828" s="20"/>
      <c r="C4828" s="22"/>
      <c r="D4828" s="22"/>
      <c r="E4828" s="24"/>
      <c r="F4828" s="22"/>
      <c r="H4828" s="21"/>
      <c r="I4828" s="22"/>
      <c r="J4828" s="22"/>
      <c r="K4828" s="24"/>
      <c r="M4828" s="21"/>
      <c r="N4828" s="22"/>
      <c r="O4828" s="22"/>
      <c r="P4828" s="49"/>
      <c r="Q4828" s="49"/>
      <c r="R4828" s="188" t="str">
        <f t="shared" si="157"/>
        <v/>
      </c>
      <c r="T4828" s="21"/>
      <c r="U4828" s="22"/>
      <c r="V4828" s="24"/>
      <c r="W4828" s="24"/>
      <c r="X4828" s="24"/>
      <c r="Y4828" s="24"/>
      <c r="Z4828" s="20" t="str">
        <f t="shared" si="156"/>
        <v/>
      </c>
    </row>
    <row r="4829" spans="1:26" x14ac:dyDescent="0.2">
      <c r="A4829" s="21"/>
      <c r="B4829" s="20"/>
      <c r="C4829" s="22"/>
      <c r="D4829" s="22"/>
      <c r="E4829" s="24"/>
      <c r="F4829" s="22"/>
      <c r="H4829" s="21"/>
      <c r="I4829" s="22"/>
      <c r="J4829" s="22"/>
      <c r="K4829" s="24"/>
      <c r="M4829" s="21"/>
      <c r="N4829" s="22"/>
      <c r="O4829" s="22"/>
      <c r="P4829" s="49"/>
      <c r="Q4829" s="49"/>
      <c r="R4829" s="188" t="str">
        <f t="shared" si="157"/>
        <v/>
      </c>
      <c r="T4829" s="21"/>
      <c r="U4829" s="22"/>
      <c r="V4829" s="24"/>
      <c r="W4829" s="24"/>
      <c r="X4829" s="24"/>
      <c r="Y4829" s="24"/>
      <c r="Z4829" s="20" t="str">
        <f t="shared" si="156"/>
        <v/>
      </c>
    </row>
    <row r="4830" spans="1:26" x14ac:dyDescent="0.2">
      <c r="A4830" s="21"/>
      <c r="B4830" s="20"/>
      <c r="C4830" s="22"/>
      <c r="D4830" s="22"/>
      <c r="E4830" s="24"/>
      <c r="F4830" s="22"/>
      <c r="H4830" s="21"/>
      <c r="I4830" s="22"/>
      <c r="J4830" s="22"/>
      <c r="K4830" s="24"/>
      <c r="M4830" s="21"/>
      <c r="N4830" s="22"/>
      <c r="O4830" s="22"/>
      <c r="P4830" s="49"/>
      <c r="Q4830" s="49"/>
      <c r="R4830" s="188" t="str">
        <f t="shared" si="157"/>
        <v/>
      </c>
      <c r="T4830" s="21"/>
      <c r="U4830" s="22"/>
      <c r="V4830" s="24"/>
      <c r="W4830" s="24"/>
      <c r="X4830" s="24"/>
      <c r="Y4830" s="24"/>
      <c r="Z4830" s="20" t="str">
        <f t="shared" si="156"/>
        <v/>
      </c>
    </row>
    <row r="4831" spans="1:26" x14ac:dyDescent="0.2">
      <c r="A4831" s="21"/>
      <c r="B4831" s="20"/>
      <c r="C4831" s="22"/>
      <c r="D4831" s="22"/>
      <c r="E4831" s="24"/>
      <c r="F4831" s="22"/>
      <c r="H4831" s="21"/>
      <c r="I4831" s="22"/>
      <c r="J4831" s="22"/>
      <c r="K4831" s="24"/>
      <c r="M4831" s="21"/>
      <c r="N4831" s="22"/>
      <c r="O4831" s="22"/>
      <c r="P4831" s="49"/>
      <c r="Q4831" s="49"/>
      <c r="R4831" s="188" t="str">
        <f t="shared" si="157"/>
        <v/>
      </c>
      <c r="T4831" s="21"/>
      <c r="U4831" s="22"/>
      <c r="V4831" s="24"/>
      <c r="W4831" s="24"/>
      <c r="X4831" s="24"/>
      <c r="Y4831" s="24"/>
      <c r="Z4831" s="20" t="str">
        <f t="shared" si="156"/>
        <v/>
      </c>
    </row>
    <row r="4832" spans="1:26" x14ac:dyDescent="0.2">
      <c r="A4832" s="21"/>
      <c r="B4832" s="20"/>
      <c r="C4832" s="22"/>
      <c r="D4832" s="22"/>
      <c r="E4832" s="24"/>
      <c r="F4832" s="22"/>
      <c r="H4832" s="21"/>
      <c r="I4832" s="22"/>
      <c r="J4832" s="22"/>
      <c r="K4832" s="24"/>
      <c r="M4832" s="21"/>
      <c r="N4832" s="22"/>
      <c r="O4832" s="22"/>
      <c r="P4832" s="49"/>
      <c r="Q4832" s="49"/>
      <c r="R4832" s="188" t="str">
        <f t="shared" si="157"/>
        <v/>
      </c>
      <c r="T4832" s="21"/>
      <c r="U4832" s="22"/>
      <c r="V4832" s="24"/>
      <c r="W4832" s="24"/>
      <c r="X4832" s="24"/>
      <c r="Y4832" s="24"/>
      <c r="Z4832" s="20" t="str">
        <f t="shared" si="156"/>
        <v/>
      </c>
    </row>
    <row r="4833" spans="1:26" x14ac:dyDescent="0.2">
      <c r="A4833" s="21"/>
      <c r="B4833" s="20"/>
      <c r="C4833" s="22"/>
      <c r="D4833" s="22"/>
      <c r="E4833" s="24"/>
      <c r="F4833" s="22"/>
      <c r="H4833" s="21"/>
      <c r="I4833" s="22"/>
      <c r="J4833" s="22"/>
      <c r="K4833" s="24"/>
      <c r="M4833" s="21"/>
      <c r="N4833" s="22"/>
      <c r="O4833" s="22"/>
      <c r="P4833" s="49"/>
      <c r="Q4833" s="49"/>
      <c r="R4833" s="188" t="str">
        <f t="shared" si="157"/>
        <v/>
      </c>
      <c r="T4833" s="21"/>
      <c r="U4833" s="22"/>
      <c r="V4833" s="24"/>
      <c r="W4833" s="24"/>
      <c r="X4833" s="24"/>
      <c r="Y4833" s="24"/>
      <c r="Z4833" s="20" t="str">
        <f t="shared" si="156"/>
        <v/>
      </c>
    </row>
    <row r="4834" spans="1:26" x14ac:dyDescent="0.2">
      <c r="A4834" s="21"/>
      <c r="B4834" s="20"/>
      <c r="C4834" s="22"/>
      <c r="D4834" s="22"/>
      <c r="E4834" s="24"/>
      <c r="F4834" s="22"/>
      <c r="H4834" s="21"/>
      <c r="I4834" s="22"/>
      <c r="J4834" s="22"/>
      <c r="K4834" s="24"/>
      <c r="M4834" s="21"/>
      <c r="N4834" s="22"/>
      <c r="O4834" s="22"/>
      <c r="P4834" s="49"/>
      <c r="Q4834" s="49"/>
      <c r="R4834" s="188" t="str">
        <f t="shared" si="157"/>
        <v/>
      </c>
      <c r="T4834" s="21"/>
      <c r="U4834" s="22"/>
      <c r="V4834" s="24"/>
      <c r="W4834" s="24"/>
      <c r="X4834" s="24"/>
      <c r="Y4834" s="24"/>
      <c r="Z4834" s="20" t="str">
        <f t="shared" si="156"/>
        <v/>
      </c>
    </row>
    <row r="4835" spans="1:26" x14ac:dyDescent="0.2">
      <c r="A4835" s="21"/>
      <c r="B4835" s="20"/>
      <c r="C4835" s="22"/>
      <c r="D4835" s="22"/>
      <c r="E4835" s="24"/>
      <c r="F4835" s="22"/>
      <c r="H4835" s="21"/>
      <c r="I4835" s="22"/>
      <c r="J4835" s="22"/>
      <c r="K4835" s="24"/>
      <c r="M4835" s="21"/>
      <c r="N4835" s="22"/>
      <c r="O4835" s="22"/>
      <c r="P4835" s="49"/>
      <c r="Q4835" s="49"/>
      <c r="R4835" s="188" t="str">
        <f t="shared" si="157"/>
        <v/>
      </c>
      <c r="T4835" s="21"/>
      <c r="U4835" s="22"/>
      <c r="V4835" s="24"/>
      <c r="W4835" s="24"/>
      <c r="X4835" s="24"/>
      <c r="Y4835" s="24"/>
      <c r="Z4835" s="20" t="str">
        <f t="shared" si="156"/>
        <v/>
      </c>
    </row>
    <row r="4836" spans="1:26" x14ac:dyDescent="0.2">
      <c r="A4836" s="21"/>
      <c r="B4836" s="20"/>
      <c r="C4836" s="22"/>
      <c r="D4836" s="22"/>
      <c r="E4836" s="24"/>
      <c r="F4836" s="22"/>
      <c r="H4836" s="21"/>
      <c r="I4836" s="22"/>
      <c r="J4836" s="22"/>
      <c r="K4836" s="24"/>
      <c r="M4836" s="21"/>
      <c r="N4836" s="22"/>
      <c r="O4836" s="22"/>
      <c r="P4836" s="49"/>
      <c r="Q4836" s="49"/>
      <c r="R4836" s="188" t="str">
        <f t="shared" si="157"/>
        <v/>
      </c>
      <c r="T4836" s="21"/>
      <c r="U4836" s="22"/>
      <c r="V4836" s="24"/>
      <c r="W4836" s="24"/>
      <c r="X4836" s="24"/>
      <c r="Y4836" s="24"/>
      <c r="Z4836" s="20" t="str">
        <f t="shared" si="156"/>
        <v/>
      </c>
    </row>
    <row r="4837" spans="1:26" x14ac:dyDescent="0.2">
      <c r="A4837" s="21"/>
      <c r="B4837" s="20"/>
      <c r="C4837" s="22"/>
      <c r="D4837" s="22"/>
      <c r="E4837" s="24"/>
      <c r="F4837" s="22"/>
      <c r="H4837" s="21"/>
      <c r="I4837" s="22"/>
      <c r="J4837" s="22"/>
      <c r="K4837" s="24"/>
      <c r="M4837" s="21"/>
      <c r="N4837" s="22"/>
      <c r="O4837" s="22"/>
      <c r="P4837" s="49"/>
      <c r="Q4837" s="49"/>
      <c r="R4837" s="188" t="str">
        <f t="shared" si="157"/>
        <v/>
      </c>
      <c r="T4837" s="21"/>
      <c r="U4837" s="22"/>
      <c r="V4837" s="24"/>
      <c r="W4837" s="24"/>
      <c r="X4837" s="24"/>
      <c r="Y4837" s="24"/>
      <c r="Z4837" s="20" t="str">
        <f t="shared" si="156"/>
        <v/>
      </c>
    </row>
    <row r="4838" spans="1:26" x14ac:dyDescent="0.2">
      <c r="A4838" s="21"/>
      <c r="B4838" s="20"/>
      <c r="C4838" s="22"/>
      <c r="D4838" s="22"/>
      <c r="E4838" s="24"/>
      <c r="F4838" s="22"/>
      <c r="H4838" s="21"/>
      <c r="I4838" s="22"/>
      <c r="J4838" s="22"/>
      <c r="K4838" s="24"/>
      <c r="M4838" s="21"/>
      <c r="N4838" s="22"/>
      <c r="O4838" s="22"/>
      <c r="P4838" s="49"/>
      <c r="Q4838" s="49"/>
      <c r="R4838" s="188" t="str">
        <f t="shared" si="157"/>
        <v/>
      </c>
      <c r="T4838" s="21"/>
      <c r="U4838" s="22"/>
      <c r="V4838" s="24"/>
      <c r="W4838" s="24"/>
      <c r="X4838" s="24"/>
      <c r="Y4838" s="24"/>
      <c r="Z4838" s="20" t="str">
        <f t="shared" si="156"/>
        <v/>
      </c>
    </row>
    <row r="4839" spans="1:26" x14ac:dyDescent="0.2">
      <c r="A4839" s="21"/>
      <c r="B4839" s="20"/>
      <c r="C4839" s="22"/>
      <c r="D4839" s="22"/>
      <c r="E4839" s="24"/>
      <c r="F4839" s="22"/>
      <c r="H4839" s="21"/>
      <c r="I4839" s="22"/>
      <c r="J4839" s="22"/>
      <c r="K4839" s="24"/>
      <c r="M4839" s="21"/>
      <c r="N4839" s="22"/>
      <c r="O4839" s="22"/>
      <c r="P4839" s="49"/>
      <c r="Q4839" s="49"/>
      <c r="R4839" s="188" t="str">
        <f t="shared" si="157"/>
        <v/>
      </c>
      <c r="T4839" s="21"/>
      <c r="U4839" s="22"/>
      <c r="V4839" s="24"/>
      <c r="W4839" s="24"/>
      <c r="X4839" s="24"/>
      <c r="Y4839" s="24"/>
      <c r="Z4839" s="20" t="str">
        <f t="shared" si="156"/>
        <v/>
      </c>
    </row>
    <row r="4840" spans="1:26" x14ac:dyDescent="0.2">
      <c r="A4840" s="21"/>
      <c r="B4840" s="20"/>
      <c r="C4840" s="22"/>
      <c r="D4840" s="22"/>
      <c r="E4840" s="24"/>
      <c r="F4840" s="22"/>
      <c r="H4840" s="21"/>
      <c r="I4840" s="22"/>
      <c r="J4840" s="22"/>
      <c r="K4840" s="24"/>
      <c r="M4840" s="21"/>
      <c r="N4840" s="22"/>
      <c r="O4840" s="22"/>
      <c r="P4840" s="49"/>
      <c r="Q4840" s="49"/>
      <c r="R4840" s="188" t="str">
        <f t="shared" si="157"/>
        <v/>
      </c>
      <c r="T4840" s="21"/>
      <c r="U4840" s="22"/>
      <c r="V4840" s="24"/>
      <c r="W4840" s="24"/>
      <c r="X4840" s="24"/>
      <c r="Y4840" s="24"/>
      <c r="Z4840" s="20" t="str">
        <f t="shared" si="156"/>
        <v/>
      </c>
    </row>
    <row r="4841" spans="1:26" x14ac:dyDescent="0.2">
      <c r="A4841" s="21"/>
      <c r="B4841" s="20"/>
      <c r="C4841" s="22"/>
      <c r="D4841" s="22"/>
      <c r="E4841" s="24"/>
      <c r="F4841" s="22"/>
      <c r="H4841" s="21"/>
      <c r="I4841" s="22"/>
      <c r="J4841" s="22"/>
      <c r="K4841" s="24"/>
      <c r="M4841" s="21"/>
      <c r="N4841" s="22"/>
      <c r="O4841" s="22"/>
      <c r="P4841" s="49"/>
      <c r="Q4841" s="49"/>
      <c r="R4841" s="188" t="str">
        <f t="shared" si="157"/>
        <v/>
      </c>
      <c r="T4841" s="21"/>
      <c r="U4841" s="22"/>
      <c r="V4841" s="24"/>
      <c r="W4841" s="24"/>
      <c r="X4841" s="24"/>
      <c r="Y4841" s="24"/>
      <c r="Z4841" s="20" t="str">
        <f t="shared" si="156"/>
        <v/>
      </c>
    </row>
    <row r="4842" spans="1:26" x14ac:dyDescent="0.2">
      <c r="A4842" s="21"/>
      <c r="B4842" s="20"/>
      <c r="C4842" s="22"/>
      <c r="D4842" s="22"/>
      <c r="E4842" s="24"/>
      <c r="F4842" s="22"/>
      <c r="H4842" s="21"/>
      <c r="I4842" s="22"/>
      <c r="J4842" s="22"/>
      <c r="K4842" s="24"/>
      <c r="M4842" s="21"/>
      <c r="N4842" s="22"/>
      <c r="O4842" s="22"/>
      <c r="P4842" s="49"/>
      <c r="Q4842" s="49"/>
      <c r="R4842" s="188" t="str">
        <f t="shared" si="157"/>
        <v/>
      </c>
      <c r="T4842" s="21"/>
      <c r="U4842" s="22"/>
      <c r="V4842" s="24"/>
      <c r="W4842" s="24"/>
      <c r="X4842" s="24"/>
      <c r="Y4842" s="24"/>
      <c r="Z4842" s="20" t="str">
        <f t="shared" si="156"/>
        <v/>
      </c>
    </row>
    <row r="4843" spans="1:26" x14ac:dyDescent="0.2">
      <c r="A4843" s="21"/>
      <c r="B4843" s="20"/>
      <c r="C4843" s="22"/>
      <c r="D4843" s="22"/>
      <c r="E4843" s="24"/>
      <c r="F4843" s="22"/>
      <c r="H4843" s="21"/>
      <c r="I4843" s="22"/>
      <c r="J4843" s="22"/>
      <c r="K4843" s="24"/>
      <c r="M4843" s="21"/>
      <c r="N4843" s="22"/>
      <c r="O4843" s="22"/>
      <c r="P4843" s="49"/>
      <c r="Q4843" s="49"/>
      <c r="R4843" s="188" t="str">
        <f t="shared" si="157"/>
        <v/>
      </c>
      <c r="T4843" s="21"/>
      <c r="U4843" s="22"/>
      <c r="V4843" s="24"/>
      <c r="W4843" s="24"/>
      <c r="X4843" s="24"/>
      <c r="Y4843" s="24"/>
      <c r="Z4843" s="20" t="str">
        <f t="shared" si="156"/>
        <v/>
      </c>
    </row>
    <row r="4844" spans="1:26" x14ac:dyDescent="0.2">
      <c r="A4844" s="21"/>
      <c r="B4844" s="20"/>
      <c r="C4844" s="22"/>
      <c r="D4844" s="22"/>
      <c r="E4844" s="24"/>
      <c r="F4844" s="22"/>
      <c r="H4844" s="21"/>
      <c r="I4844" s="22"/>
      <c r="J4844" s="22"/>
      <c r="K4844" s="24"/>
      <c r="M4844" s="21"/>
      <c r="N4844" s="22"/>
      <c r="O4844" s="22"/>
      <c r="P4844" s="49"/>
      <c r="Q4844" s="49"/>
      <c r="R4844" s="188" t="str">
        <f t="shared" si="157"/>
        <v/>
      </c>
      <c r="T4844" s="21"/>
      <c r="U4844" s="22"/>
      <c r="V4844" s="24"/>
      <c r="W4844" s="24"/>
      <c r="X4844" s="24"/>
      <c r="Y4844" s="24"/>
      <c r="Z4844" s="20" t="str">
        <f t="shared" si="156"/>
        <v/>
      </c>
    </row>
    <row r="4845" spans="1:26" x14ac:dyDescent="0.2">
      <c r="A4845" s="21"/>
      <c r="B4845" s="20"/>
      <c r="C4845" s="22"/>
      <c r="D4845" s="22"/>
      <c r="E4845" s="24"/>
      <c r="F4845" s="22"/>
      <c r="H4845" s="21"/>
      <c r="I4845" s="22"/>
      <c r="J4845" s="22"/>
      <c r="K4845" s="24"/>
      <c r="M4845" s="21"/>
      <c r="N4845" s="22"/>
      <c r="O4845" s="22"/>
      <c r="P4845" s="49"/>
      <c r="Q4845" s="49"/>
      <c r="R4845" s="188" t="str">
        <f t="shared" si="157"/>
        <v/>
      </c>
      <c r="T4845" s="21"/>
      <c r="U4845" s="22"/>
      <c r="V4845" s="24"/>
      <c r="W4845" s="24"/>
      <c r="X4845" s="24"/>
      <c r="Y4845" s="24"/>
      <c r="Z4845" s="20" t="str">
        <f t="shared" si="156"/>
        <v/>
      </c>
    </row>
    <row r="4846" spans="1:26" x14ac:dyDescent="0.2">
      <c r="A4846" s="21"/>
      <c r="B4846" s="20"/>
      <c r="C4846" s="22"/>
      <c r="D4846" s="22"/>
      <c r="E4846" s="24"/>
      <c r="F4846" s="22"/>
      <c r="H4846" s="21"/>
      <c r="I4846" s="22"/>
      <c r="J4846" s="22"/>
      <c r="K4846" s="24"/>
      <c r="M4846" s="21"/>
      <c r="N4846" s="22"/>
      <c r="O4846" s="22"/>
      <c r="P4846" s="49"/>
      <c r="Q4846" s="49"/>
      <c r="R4846" s="188" t="str">
        <f t="shared" si="157"/>
        <v/>
      </c>
      <c r="T4846" s="21"/>
      <c r="U4846" s="22"/>
      <c r="V4846" s="24"/>
      <c r="W4846" s="24"/>
      <c r="X4846" s="24"/>
      <c r="Y4846" s="24"/>
      <c r="Z4846" s="20" t="str">
        <f t="shared" si="156"/>
        <v/>
      </c>
    </row>
    <row r="4847" spans="1:26" x14ac:dyDescent="0.2">
      <c r="A4847" s="21"/>
      <c r="B4847" s="20"/>
      <c r="C4847" s="22"/>
      <c r="D4847" s="22"/>
      <c r="E4847" s="24"/>
      <c r="F4847" s="22"/>
      <c r="H4847" s="21"/>
      <c r="I4847" s="22"/>
      <c r="J4847" s="22"/>
      <c r="K4847" s="24"/>
      <c r="M4847" s="21"/>
      <c r="N4847" s="22"/>
      <c r="O4847" s="22"/>
      <c r="P4847" s="49"/>
      <c r="Q4847" s="49"/>
      <c r="R4847" s="188" t="str">
        <f t="shared" si="157"/>
        <v/>
      </c>
      <c r="T4847" s="21"/>
      <c r="U4847" s="22"/>
      <c r="V4847" s="24"/>
      <c r="W4847" s="24"/>
      <c r="X4847" s="24"/>
      <c r="Y4847" s="24"/>
      <c r="Z4847" s="20" t="str">
        <f t="shared" si="156"/>
        <v/>
      </c>
    </row>
    <row r="4848" spans="1:26" x14ac:dyDescent="0.2">
      <c r="A4848" s="21"/>
      <c r="B4848" s="20"/>
      <c r="C4848" s="22"/>
      <c r="D4848" s="22"/>
      <c r="E4848" s="24"/>
      <c r="F4848" s="22"/>
      <c r="H4848" s="21"/>
      <c r="I4848" s="22"/>
      <c r="J4848" s="22"/>
      <c r="K4848" s="24"/>
      <c r="M4848" s="21"/>
      <c r="N4848" s="22"/>
      <c r="O4848" s="22"/>
      <c r="P4848" s="49"/>
      <c r="Q4848" s="49"/>
      <c r="R4848" s="188" t="str">
        <f t="shared" si="157"/>
        <v/>
      </c>
      <c r="T4848" s="21"/>
      <c r="U4848" s="22"/>
      <c r="V4848" s="24"/>
      <c r="W4848" s="24"/>
      <c r="X4848" s="24"/>
      <c r="Y4848" s="24"/>
      <c r="Z4848" s="20" t="str">
        <f t="shared" si="156"/>
        <v/>
      </c>
    </row>
    <row r="4849" spans="1:26" x14ac:dyDescent="0.2">
      <c r="A4849" s="21"/>
      <c r="B4849" s="20"/>
      <c r="C4849" s="22"/>
      <c r="D4849" s="22"/>
      <c r="E4849" s="24"/>
      <c r="F4849" s="22"/>
      <c r="H4849" s="21"/>
      <c r="I4849" s="22"/>
      <c r="J4849" s="22"/>
      <c r="K4849" s="24"/>
      <c r="M4849" s="21"/>
      <c r="N4849" s="22"/>
      <c r="O4849" s="22"/>
      <c r="P4849" s="49"/>
      <c r="Q4849" s="49"/>
      <c r="R4849" s="188" t="str">
        <f t="shared" si="157"/>
        <v/>
      </c>
      <c r="T4849" s="21"/>
      <c r="U4849" s="22"/>
      <c r="V4849" s="24"/>
      <c r="W4849" s="24"/>
      <c r="X4849" s="24"/>
      <c r="Y4849" s="24"/>
      <c r="Z4849" s="20" t="str">
        <f t="shared" si="156"/>
        <v/>
      </c>
    </row>
    <row r="4850" spans="1:26" x14ac:dyDescent="0.2">
      <c r="A4850" s="21"/>
      <c r="B4850" s="20"/>
      <c r="C4850" s="22"/>
      <c r="D4850" s="22"/>
      <c r="E4850" s="24"/>
      <c r="F4850" s="22"/>
      <c r="H4850" s="21"/>
      <c r="I4850" s="22"/>
      <c r="J4850" s="22"/>
      <c r="K4850" s="24"/>
      <c r="M4850" s="21"/>
      <c r="N4850" s="22"/>
      <c r="O4850" s="22"/>
      <c r="P4850" s="49"/>
      <c r="Q4850" s="49"/>
      <c r="R4850" s="188" t="str">
        <f t="shared" si="157"/>
        <v/>
      </c>
      <c r="T4850" s="21"/>
      <c r="U4850" s="22"/>
      <c r="V4850" s="24"/>
      <c r="W4850" s="24"/>
      <c r="X4850" s="24"/>
      <c r="Y4850" s="24"/>
      <c r="Z4850" s="20" t="str">
        <f t="shared" si="156"/>
        <v/>
      </c>
    </row>
    <row r="4851" spans="1:26" x14ac:dyDescent="0.2">
      <c r="A4851" s="21"/>
      <c r="B4851" s="20"/>
      <c r="C4851" s="22"/>
      <c r="D4851" s="22"/>
      <c r="E4851" s="24"/>
      <c r="F4851" s="22"/>
      <c r="H4851" s="21"/>
      <c r="I4851" s="22"/>
      <c r="J4851" s="22"/>
      <c r="K4851" s="24"/>
      <c r="M4851" s="21"/>
      <c r="N4851" s="22"/>
      <c r="O4851" s="22"/>
      <c r="P4851" s="49"/>
      <c r="Q4851" s="49"/>
      <c r="R4851" s="188" t="str">
        <f t="shared" si="157"/>
        <v/>
      </c>
      <c r="T4851" s="21"/>
      <c r="U4851" s="22"/>
      <c r="V4851" s="24"/>
      <c r="W4851" s="24"/>
      <c r="X4851" s="24"/>
      <c r="Y4851" s="24"/>
      <c r="Z4851" s="20" t="str">
        <f t="shared" si="156"/>
        <v/>
      </c>
    </row>
    <row r="4852" spans="1:26" x14ac:dyDescent="0.2">
      <c r="A4852" s="21"/>
      <c r="B4852" s="20"/>
      <c r="C4852" s="22"/>
      <c r="D4852" s="22"/>
      <c r="E4852" s="24"/>
      <c r="F4852" s="22"/>
      <c r="H4852" s="21"/>
      <c r="I4852" s="22"/>
      <c r="J4852" s="22"/>
      <c r="K4852" s="24"/>
      <c r="M4852" s="21"/>
      <c r="N4852" s="22"/>
      <c r="O4852" s="22"/>
      <c r="P4852" s="49"/>
      <c r="Q4852" s="49"/>
      <c r="R4852" s="188" t="str">
        <f t="shared" si="157"/>
        <v/>
      </c>
      <c r="T4852" s="21"/>
      <c r="U4852" s="22"/>
      <c r="V4852" s="24"/>
      <c r="W4852" s="24"/>
      <c r="X4852" s="24"/>
      <c r="Y4852" s="24"/>
      <c r="Z4852" s="20" t="str">
        <f t="shared" si="156"/>
        <v/>
      </c>
    </row>
    <row r="4853" spans="1:26" x14ac:dyDescent="0.2">
      <c r="A4853" s="21"/>
      <c r="B4853" s="20"/>
      <c r="C4853" s="22"/>
      <c r="D4853" s="22"/>
      <c r="E4853" s="24"/>
      <c r="F4853" s="22"/>
      <c r="H4853" s="21"/>
      <c r="I4853" s="22"/>
      <c r="J4853" s="22"/>
      <c r="K4853" s="24"/>
      <c r="M4853" s="21"/>
      <c r="N4853" s="22"/>
      <c r="O4853" s="22"/>
      <c r="P4853" s="49"/>
      <c r="Q4853" s="49"/>
      <c r="R4853" s="188" t="str">
        <f t="shared" si="157"/>
        <v/>
      </c>
      <c r="T4853" s="21"/>
      <c r="U4853" s="22"/>
      <c r="V4853" s="24"/>
      <c r="W4853" s="24"/>
      <c r="X4853" s="24"/>
      <c r="Y4853" s="24"/>
      <c r="Z4853" s="20" t="str">
        <f t="shared" si="156"/>
        <v/>
      </c>
    </row>
    <row r="4854" spans="1:26" x14ac:dyDescent="0.2">
      <c r="A4854" s="21"/>
      <c r="B4854" s="20"/>
      <c r="C4854" s="22"/>
      <c r="D4854" s="22"/>
      <c r="E4854" s="24"/>
      <c r="F4854" s="22"/>
      <c r="H4854" s="21"/>
      <c r="I4854" s="22"/>
      <c r="J4854" s="22"/>
      <c r="K4854" s="24"/>
      <c r="M4854" s="21"/>
      <c r="N4854" s="22"/>
      <c r="O4854" s="22"/>
      <c r="P4854" s="49"/>
      <c r="Q4854" s="49"/>
      <c r="R4854" s="188" t="str">
        <f t="shared" si="157"/>
        <v/>
      </c>
      <c r="T4854" s="21"/>
      <c r="U4854" s="22"/>
      <c r="V4854" s="24"/>
      <c r="W4854" s="24"/>
      <c r="X4854" s="24"/>
      <c r="Y4854" s="24"/>
      <c r="Z4854" s="20" t="str">
        <f t="shared" si="156"/>
        <v/>
      </c>
    </row>
    <row r="4855" spans="1:26" x14ac:dyDescent="0.2">
      <c r="A4855" s="21"/>
      <c r="B4855" s="20"/>
      <c r="C4855" s="22"/>
      <c r="D4855" s="22"/>
      <c r="E4855" s="24"/>
      <c r="F4855" s="22"/>
      <c r="H4855" s="21"/>
      <c r="I4855" s="22"/>
      <c r="J4855" s="22"/>
      <c r="K4855" s="24"/>
      <c r="M4855" s="21"/>
      <c r="N4855" s="22"/>
      <c r="O4855" s="22"/>
      <c r="P4855" s="49"/>
      <c r="Q4855" s="49"/>
      <c r="R4855" s="188" t="str">
        <f t="shared" si="157"/>
        <v/>
      </c>
      <c r="T4855" s="21"/>
      <c r="U4855" s="22"/>
      <c r="V4855" s="24"/>
      <c r="W4855" s="24"/>
      <c r="X4855" s="24"/>
      <c r="Y4855" s="24"/>
      <c r="Z4855" s="20" t="str">
        <f t="shared" si="156"/>
        <v/>
      </c>
    </row>
    <row r="4856" spans="1:26" x14ac:dyDescent="0.2">
      <c r="A4856" s="21"/>
      <c r="B4856" s="20"/>
      <c r="C4856" s="22"/>
      <c r="D4856" s="22"/>
      <c r="E4856" s="24"/>
      <c r="F4856" s="22"/>
      <c r="H4856" s="21"/>
      <c r="I4856" s="22"/>
      <c r="J4856" s="22"/>
      <c r="K4856" s="24"/>
      <c r="M4856" s="21"/>
      <c r="N4856" s="22"/>
      <c r="O4856" s="22"/>
      <c r="P4856" s="49"/>
      <c r="Q4856" s="49"/>
      <c r="R4856" s="188" t="str">
        <f t="shared" si="157"/>
        <v/>
      </c>
      <c r="T4856" s="21"/>
      <c r="U4856" s="22"/>
      <c r="V4856" s="24"/>
      <c r="W4856" s="24"/>
      <c r="X4856" s="24"/>
      <c r="Y4856" s="24"/>
      <c r="Z4856" s="20" t="str">
        <f t="shared" si="156"/>
        <v/>
      </c>
    </row>
    <row r="4857" spans="1:26" x14ac:dyDescent="0.2">
      <c r="A4857" s="21"/>
      <c r="B4857" s="20"/>
      <c r="C4857" s="22"/>
      <c r="D4857" s="22"/>
      <c r="E4857" s="24"/>
      <c r="F4857" s="22"/>
      <c r="H4857" s="21"/>
      <c r="I4857" s="22"/>
      <c r="J4857" s="22"/>
      <c r="K4857" s="24"/>
      <c r="M4857" s="21"/>
      <c r="N4857" s="22"/>
      <c r="O4857" s="22"/>
      <c r="P4857" s="49"/>
      <c r="Q4857" s="49"/>
      <c r="R4857" s="188" t="str">
        <f t="shared" si="157"/>
        <v/>
      </c>
      <c r="T4857" s="21"/>
      <c r="U4857" s="22"/>
      <c r="V4857" s="24"/>
      <c r="W4857" s="24"/>
      <c r="X4857" s="24"/>
      <c r="Y4857" s="24"/>
      <c r="Z4857" s="20" t="str">
        <f t="shared" si="156"/>
        <v/>
      </c>
    </row>
    <row r="4858" spans="1:26" x14ac:dyDescent="0.2">
      <c r="A4858" s="21"/>
      <c r="B4858" s="20"/>
      <c r="C4858" s="22"/>
      <c r="D4858" s="22"/>
      <c r="E4858" s="24"/>
      <c r="F4858" s="22"/>
      <c r="H4858" s="21"/>
      <c r="I4858" s="22"/>
      <c r="J4858" s="22"/>
      <c r="K4858" s="24"/>
      <c r="M4858" s="21"/>
      <c r="N4858" s="22"/>
      <c r="O4858" s="22"/>
      <c r="P4858" s="49"/>
      <c r="Q4858" s="49"/>
      <c r="R4858" s="188" t="str">
        <f t="shared" si="157"/>
        <v/>
      </c>
      <c r="T4858" s="21"/>
      <c r="U4858" s="22"/>
      <c r="V4858" s="24"/>
      <c r="W4858" s="24"/>
      <c r="X4858" s="24"/>
      <c r="Y4858" s="24"/>
      <c r="Z4858" s="20" t="str">
        <f t="shared" si="156"/>
        <v/>
      </c>
    </row>
    <row r="4859" spans="1:26" x14ac:dyDescent="0.2">
      <c r="A4859" s="21"/>
      <c r="B4859" s="20"/>
      <c r="C4859" s="22"/>
      <c r="D4859" s="22"/>
      <c r="E4859" s="24"/>
      <c r="F4859" s="22"/>
      <c r="H4859" s="21"/>
      <c r="I4859" s="22"/>
      <c r="J4859" s="22"/>
      <c r="K4859" s="24"/>
      <c r="M4859" s="21"/>
      <c r="N4859" s="22"/>
      <c r="O4859" s="22"/>
      <c r="P4859" s="49"/>
      <c r="Q4859" s="49"/>
      <c r="R4859" s="188" t="str">
        <f t="shared" si="157"/>
        <v/>
      </c>
      <c r="T4859" s="21"/>
      <c r="U4859" s="22"/>
      <c r="V4859" s="24"/>
      <c r="W4859" s="24"/>
      <c r="X4859" s="24"/>
      <c r="Y4859" s="24"/>
      <c r="Z4859" s="20" t="str">
        <f t="shared" si="156"/>
        <v/>
      </c>
    </row>
    <row r="4860" spans="1:26" x14ac:dyDescent="0.2">
      <c r="A4860" s="21"/>
      <c r="B4860" s="20"/>
      <c r="C4860" s="22"/>
      <c r="D4860" s="22"/>
      <c r="E4860" s="24"/>
      <c r="F4860" s="22"/>
      <c r="H4860" s="21"/>
      <c r="I4860" s="22"/>
      <c r="J4860" s="22"/>
      <c r="K4860" s="24"/>
      <c r="M4860" s="21"/>
      <c r="N4860" s="22"/>
      <c r="O4860" s="22"/>
      <c r="P4860" s="49"/>
      <c r="Q4860" s="49"/>
      <c r="R4860" s="188" t="str">
        <f t="shared" si="157"/>
        <v/>
      </c>
      <c r="T4860" s="21"/>
      <c r="U4860" s="22"/>
      <c r="V4860" s="24"/>
      <c r="W4860" s="24"/>
      <c r="X4860" s="24"/>
      <c r="Y4860" s="24"/>
      <c r="Z4860" s="20" t="str">
        <f t="shared" si="156"/>
        <v/>
      </c>
    </row>
    <row r="4861" spans="1:26" x14ac:dyDescent="0.2">
      <c r="A4861" s="21"/>
      <c r="B4861" s="20"/>
      <c r="C4861" s="22"/>
      <c r="D4861" s="22"/>
      <c r="E4861" s="24"/>
      <c r="F4861" s="22"/>
      <c r="H4861" s="21"/>
      <c r="I4861" s="22"/>
      <c r="J4861" s="22"/>
      <c r="K4861" s="24"/>
      <c r="M4861" s="21"/>
      <c r="N4861" s="22"/>
      <c r="O4861" s="22"/>
      <c r="P4861" s="49"/>
      <c r="Q4861" s="49"/>
      <c r="R4861" s="188" t="str">
        <f t="shared" si="157"/>
        <v/>
      </c>
      <c r="T4861" s="21"/>
      <c r="U4861" s="22"/>
      <c r="V4861" s="24"/>
      <c r="W4861" s="24"/>
      <c r="X4861" s="24"/>
      <c r="Y4861" s="24"/>
      <c r="Z4861" s="20" t="str">
        <f t="shared" si="156"/>
        <v/>
      </c>
    </row>
    <row r="4862" spans="1:26" x14ac:dyDescent="0.2">
      <c r="A4862" s="21"/>
      <c r="B4862" s="20"/>
      <c r="C4862" s="22"/>
      <c r="D4862" s="22"/>
      <c r="E4862" s="24"/>
      <c r="F4862" s="22"/>
      <c r="H4862" s="21"/>
      <c r="I4862" s="22"/>
      <c r="J4862" s="22"/>
      <c r="K4862" s="24"/>
      <c r="M4862" s="21"/>
      <c r="N4862" s="22"/>
      <c r="O4862" s="22"/>
      <c r="P4862" s="49"/>
      <c r="Q4862" s="49"/>
      <c r="R4862" s="188" t="str">
        <f t="shared" si="157"/>
        <v/>
      </c>
      <c r="T4862" s="21"/>
      <c r="U4862" s="22"/>
      <c r="V4862" s="24"/>
      <c r="W4862" s="24"/>
      <c r="X4862" s="24"/>
      <c r="Y4862" s="24"/>
      <c r="Z4862" s="20" t="str">
        <f t="shared" si="156"/>
        <v/>
      </c>
    </row>
    <row r="4863" spans="1:26" x14ac:dyDescent="0.2">
      <c r="A4863" s="21"/>
      <c r="B4863" s="20"/>
      <c r="C4863" s="22"/>
      <c r="D4863" s="22"/>
      <c r="E4863" s="24"/>
      <c r="F4863" s="22"/>
      <c r="H4863" s="21"/>
      <c r="I4863" s="22"/>
      <c r="J4863" s="22"/>
      <c r="K4863" s="24"/>
      <c r="M4863" s="21"/>
      <c r="N4863" s="22"/>
      <c r="O4863" s="22"/>
      <c r="P4863" s="49"/>
      <c r="Q4863" s="49"/>
      <c r="R4863" s="188" t="str">
        <f t="shared" si="157"/>
        <v/>
      </c>
      <c r="T4863" s="21"/>
      <c r="U4863" s="22"/>
      <c r="V4863" s="24"/>
      <c r="W4863" s="24"/>
      <c r="X4863" s="24"/>
      <c r="Y4863" s="24"/>
      <c r="Z4863" s="20" t="str">
        <f t="shared" si="156"/>
        <v/>
      </c>
    </row>
    <row r="4864" spans="1:26" x14ac:dyDescent="0.2">
      <c r="A4864" s="21"/>
      <c r="B4864" s="20"/>
      <c r="C4864" s="22"/>
      <c r="D4864" s="22"/>
      <c r="E4864" s="24"/>
      <c r="F4864" s="22"/>
      <c r="H4864" s="21"/>
      <c r="I4864" s="22"/>
      <c r="J4864" s="22"/>
      <c r="K4864" s="24"/>
      <c r="M4864" s="21"/>
      <c r="N4864" s="22"/>
      <c r="O4864" s="22"/>
      <c r="P4864" s="49"/>
      <c r="Q4864" s="49"/>
      <c r="R4864" s="188" t="str">
        <f t="shared" si="157"/>
        <v/>
      </c>
      <c r="T4864" s="21"/>
      <c r="U4864" s="22"/>
      <c r="V4864" s="24"/>
      <c r="W4864" s="24"/>
      <c r="X4864" s="24"/>
      <c r="Y4864" s="24"/>
      <c r="Z4864" s="20" t="str">
        <f t="shared" si="156"/>
        <v/>
      </c>
    </row>
    <row r="4865" spans="1:26" x14ac:dyDescent="0.2">
      <c r="A4865" s="21"/>
      <c r="B4865" s="20"/>
      <c r="C4865" s="22"/>
      <c r="D4865" s="22"/>
      <c r="E4865" s="24"/>
      <c r="F4865" s="22"/>
      <c r="H4865" s="21"/>
      <c r="I4865" s="22"/>
      <c r="J4865" s="22"/>
      <c r="K4865" s="24"/>
      <c r="M4865" s="21"/>
      <c r="N4865" s="22"/>
      <c r="O4865" s="22"/>
      <c r="P4865" s="49"/>
      <c r="Q4865" s="49"/>
      <c r="R4865" s="188" t="str">
        <f t="shared" si="157"/>
        <v/>
      </c>
      <c r="T4865" s="21"/>
      <c r="U4865" s="22"/>
      <c r="V4865" s="24"/>
      <c r="W4865" s="24"/>
      <c r="X4865" s="24"/>
      <c r="Y4865" s="24"/>
      <c r="Z4865" s="20" t="str">
        <f t="shared" si="156"/>
        <v/>
      </c>
    </row>
    <row r="4866" spans="1:26" x14ac:dyDescent="0.2">
      <c r="A4866" s="21"/>
      <c r="B4866" s="20"/>
      <c r="C4866" s="22"/>
      <c r="D4866" s="22"/>
      <c r="E4866" s="24"/>
      <c r="F4866" s="22"/>
      <c r="H4866" s="21"/>
      <c r="I4866" s="22"/>
      <c r="J4866" s="22"/>
      <c r="K4866" s="24"/>
      <c r="M4866" s="21"/>
      <c r="N4866" s="22"/>
      <c r="O4866" s="22"/>
      <c r="P4866" s="49"/>
      <c r="Q4866" s="49"/>
      <c r="R4866" s="188" t="str">
        <f t="shared" si="157"/>
        <v/>
      </c>
      <c r="T4866" s="21"/>
      <c r="U4866" s="22"/>
      <c r="V4866" s="24"/>
      <c r="W4866" s="24"/>
      <c r="X4866" s="24"/>
      <c r="Y4866" s="24"/>
      <c r="Z4866" s="20" t="str">
        <f t="shared" si="156"/>
        <v/>
      </c>
    </row>
    <row r="4867" spans="1:26" x14ac:dyDescent="0.2">
      <c r="A4867" s="21"/>
      <c r="B4867" s="20"/>
      <c r="C4867" s="22"/>
      <c r="D4867" s="22"/>
      <c r="E4867" s="24"/>
      <c r="F4867" s="22"/>
      <c r="H4867" s="21"/>
      <c r="I4867" s="22"/>
      <c r="J4867" s="22"/>
      <c r="K4867" s="24"/>
      <c r="M4867" s="21"/>
      <c r="N4867" s="22"/>
      <c r="O4867" s="22"/>
      <c r="P4867" s="49"/>
      <c r="Q4867" s="49"/>
      <c r="R4867" s="188" t="str">
        <f t="shared" si="157"/>
        <v/>
      </c>
      <c r="T4867" s="21"/>
      <c r="U4867" s="22"/>
      <c r="V4867" s="24"/>
      <c r="W4867" s="24"/>
      <c r="X4867" s="24"/>
      <c r="Y4867" s="24"/>
      <c r="Z4867" s="20" t="str">
        <f t="shared" si="156"/>
        <v/>
      </c>
    </row>
    <row r="4868" spans="1:26" x14ac:dyDescent="0.2">
      <c r="A4868" s="21"/>
      <c r="B4868" s="20"/>
      <c r="C4868" s="22"/>
      <c r="D4868" s="22"/>
      <c r="E4868" s="24"/>
      <c r="F4868" s="22"/>
      <c r="H4868" s="21"/>
      <c r="I4868" s="22"/>
      <c r="J4868" s="22"/>
      <c r="K4868" s="24"/>
      <c r="M4868" s="21"/>
      <c r="N4868" s="22"/>
      <c r="O4868" s="22"/>
      <c r="P4868" s="49"/>
      <c r="Q4868" s="49"/>
      <c r="R4868" s="188" t="str">
        <f t="shared" si="157"/>
        <v/>
      </c>
      <c r="T4868" s="21"/>
      <c r="U4868" s="22"/>
      <c r="V4868" s="24"/>
      <c r="W4868" s="24"/>
      <c r="X4868" s="24"/>
      <c r="Y4868" s="24"/>
      <c r="Z4868" s="20" t="str">
        <f t="shared" si="156"/>
        <v/>
      </c>
    </row>
    <row r="4869" spans="1:26" x14ac:dyDescent="0.2">
      <c r="A4869" s="21"/>
      <c r="B4869" s="20"/>
      <c r="C4869" s="22"/>
      <c r="D4869" s="22"/>
      <c r="E4869" s="24"/>
      <c r="F4869" s="22"/>
      <c r="H4869" s="21"/>
      <c r="I4869" s="22"/>
      <c r="J4869" s="22"/>
      <c r="K4869" s="24"/>
      <c r="M4869" s="21"/>
      <c r="N4869" s="22"/>
      <c r="O4869" s="22"/>
      <c r="P4869" s="49"/>
      <c r="Q4869" s="49"/>
      <c r="R4869" s="188" t="str">
        <f t="shared" si="157"/>
        <v/>
      </c>
      <c r="T4869" s="21"/>
      <c r="U4869" s="22"/>
      <c r="V4869" s="24"/>
      <c r="W4869" s="24"/>
      <c r="X4869" s="24"/>
      <c r="Y4869" s="24"/>
      <c r="Z4869" s="20" t="str">
        <f t="shared" si="156"/>
        <v/>
      </c>
    </row>
    <row r="4870" spans="1:26" x14ac:dyDescent="0.2">
      <c r="A4870" s="21"/>
      <c r="B4870" s="20"/>
      <c r="C4870" s="22"/>
      <c r="D4870" s="22"/>
      <c r="E4870" s="24"/>
      <c r="F4870" s="22"/>
      <c r="H4870" s="21"/>
      <c r="I4870" s="22"/>
      <c r="J4870" s="22"/>
      <c r="K4870" s="24"/>
      <c r="M4870" s="21"/>
      <c r="N4870" s="22"/>
      <c r="O4870" s="22"/>
      <c r="P4870" s="49"/>
      <c r="Q4870" s="49"/>
      <c r="R4870" s="188" t="str">
        <f t="shared" si="157"/>
        <v/>
      </c>
      <c r="T4870" s="21"/>
      <c r="U4870" s="22"/>
      <c r="V4870" s="24"/>
      <c r="W4870" s="24"/>
      <c r="X4870" s="24"/>
      <c r="Y4870" s="24"/>
      <c r="Z4870" s="20" t="str">
        <f t="shared" si="156"/>
        <v/>
      </c>
    </row>
    <row r="4871" spans="1:26" x14ac:dyDescent="0.2">
      <c r="A4871" s="21"/>
      <c r="B4871" s="20"/>
      <c r="C4871" s="22"/>
      <c r="D4871" s="22"/>
      <c r="E4871" s="24"/>
      <c r="F4871" s="22"/>
      <c r="H4871" s="21"/>
      <c r="I4871" s="22"/>
      <c r="J4871" s="22"/>
      <c r="K4871" s="24"/>
      <c r="M4871" s="21"/>
      <c r="N4871" s="22"/>
      <c r="O4871" s="22"/>
      <c r="P4871" s="49"/>
      <c r="Q4871" s="49"/>
      <c r="R4871" s="188" t="str">
        <f t="shared" si="157"/>
        <v/>
      </c>
      <c r="T4871" s="21"/>
      <c r="U4871" s="22"/>
      <c r="V4871" s="24"/>
      <c r="W4871" s="24"/>
      <c r="X4871" s="24"/>
      <c r="Y4871" s="24"/>
      <c r="Z4871" s="20" t="str">
        <f t="shared" si="156"/>
        <v/>
      </c>
    </row>
    <row r="4872" spans="1:26" x14ac:dyDescent="0.2">
      <c r="A4872" s="21"/>
      <c r="B4872" s="20"/>
      <c r="C4872" s="22"/>
      <c r="D4872" s="22"/>
      <c r="E4872" s="24"/>
      <c r="F4872" s="22"/>
      <c r="H4872" s="21"/>
      <c r="I4872" s="22"/>
      <c r="J4872" s="22"/>
      <c r="K4872" s="24"/>
      <c r="M4872" s="21"/>
      <c r="N4872" s="22"/>
      <c r="O4872" s="22"/>
      <c r="P4872" s="49"/>
      <c r="Q4872" s="49"/>
      <c r="R4872" s="188" t="str">
        <f t="shared" si="157"/>
        <v/>
      </c>
      <c r="T4872" s="21"/>
      <c r="U4872" s="22"/>
      <c r="V4872" s="24"/>
      <c r="W4872" s="24"/>
      <c r="X4872" s="24"/>
      <c r="Y4872" s="24"/>
      <c r="Z4872" s="20" t="str">
        <f t="shared" si="156"/>
        <v/>
      </c>
    </row>
    <row r="4873" spans="1:26" x14ac:dyDescent="0.2">
      <c r="A4873" s="21"/>
      <c r="B4873" s="20"/>
      <c r="C4873" s="22"/>
      <c r="D4873" s="22"/>
      <c r="E4873" s="24"/>
      <c r="F4873" s="22"/>
      <c r="H4873" s="21"/>
      <c r="I4873" s="22"/>
      <c r="J4873" s="22"/>
      <c r="K4873" s="24"/>
      <c r="M4873" s="21"/>
      <c r="N4873" s="22"/>
      <c r="O4873" s="22"/>
      <c r="P4873" s="49"/>
      <c r="Q4873" s="49"/>
      <c r="R4873" s="188" t="str">
        <f t="shared" si="157"/>
        <v/>
      </c>
      <c r="T4873" s="21"/>
      <c r="U4873" s="22"/>
      <c r="V4873" s="24"/>
      <c r="W4873" s="24"/>
      <c r="X4873" s="24"/>
      <c r="Y4873" s="24"/>
      <c r="Z4873" s="20" t="str">
        <f t="shared" si="156"/>
        <v/>
      </c>
    </row>
    <row r="4874" spans="1:26" x14ac:dyDescent="0.2">
      <c r="A4874" s="21"/>
      <c r="B4874" s="20"/>
      <c r="C4874" s="22"/>
      <c r="D4874" s="22"/>
      <c r="E4874" s="24"/>
      <c r="F4874" s="22"/>
      <c r="H4874" s="21"/>
      <c r="I4874" s="22"/>
      <c r="J4874" s="22"/>
      <c r="K4874" s="24"/>
      <c r="M4874" s="21"/>
      <c r="N4874" s="22"/>
      <c r="O4874" s="22"/>
      <c r="P4874" s="49"/>
      <c r="Q4874" s="49"/>
      <c r="R4874" s="188" t="str">
        <f t="shared" si="157"/>
        <v/>
      </c>
      <c r="T4874" s="21"/>
      <c r="U4874" s="22"/>
      <c r="V4874" s="24"/>
      <c r="W4874" s="24"/>
      <c r="X4874" s="24"/>
      <c r="Y4874" s="24"/>
      <c r="Z4874" s="20" t="str">
        <f t="shared" si="156"/>
        <v/>
      </c>
    </row>
    <row r="4875" spans="1:26" x14ac:dyDescent="0.2">
      <c r="A4875" s="21"/>
      <c r="B4875" s="20"/>
      <c r="C4875" s="22"/>
      <c r="D4875" s="22"/>
      <c r="E4875" s="24"/>
      <c r="F4875" s="22"/>
      <c r="H4875" s="21"/>
      <c r="I4875" s="22"/>
      <c r="J4875" s="22"/>
      <c r="K4875" s="24"/>
      <c r="M4875" s="21"/>
      <c r="N4875" s="22"/>
      <c r="O4875" s="22"/>
      <c r="P4875" s="49"/>
      <c r="Q4875" s="49"/>
      <c r="R4875" s="188" t="str">
        <f t="shared" si="157"/>
        <v/>
      </c>
      <c r="T4875" s="21"/>
      <c r="U4875" s="22"/>
      <c r="V4875" s="24"/>
      <c r="W4875" s="24"/>
      <c r="X4875" s="24"/>
      <c r="Y4875" s="24"/>
      <c r="Z4875" s="20" t="str">
        <f t="shared" si="156"/>
        <v/>
      </c>
    </row>
    <row r="4876" spans="1:26" x14ac:dyDescent="0.2">
      <c r="A4876" s="21"/>
      <c r="B4876" s="20"/>
      <c r="C4876" s="22"/>
      <c r="D4876" s="22"/>
      <c r="E4876" s="24"/>
      <c r="F4876" s="22"/>
      <c r="H4876" s="21"/>
      <c r="I4876" s="22"/>
      <c r="J4876" s="22"/>
      <c r="K4876" s="24"/>
      <c r="M4876" s="21"/>
      <c r="N4876" s="22"/>
      <c r="O4876" s="22"/>
      <c r="P4876" s="49"/>
      <c r="Q4876" s="49"/>
      <c r="R4876" s="188" t="str">
        <f t="shared" si="157"/>
        <v/>
      </c>
      <c r="T4876" s="21"/>
      <c r="U4876" s="22"/>
      <c r="V4876" s="24"/>
      <c r="W4876" s="24"/>
      <c r="X4876" s="24"/>
      <c r="Y4876" s="24"/>
      <c r="Z4876" s="20" t="str">
        <f t="shared" si="156"/>
        <v/>
      </c>
    </row>
    <row r="4877" spans="1:26" x14ac:dyDescent="0.2">
      <c r="A4877" s="21"/>
      <c r="B4877" s="20"/>
      <c r="C4877" s="22"/>
      <c r="D4877" s="22"/>
      <c r="E4877" s="24"/>
      <c r="F4877" s="22"/>
      <c r="H4877" s="21"/>
      <c r="I4877" s="22"/>
      <c r="J4877" s="22"/>
      <c r="K4877" s="24"/>
      <c r="M4877" s="21"/>
      <c r="N4877" s="22"/>
      <c r="O4877" s="22"/>
      <c r="P4877" s="49"/>
      <c r="Q4877" s="49"/>
      <c r="R4877" s="188" t="str">
        <f t="shared" si="157"/>
        <v/>
      </c>
      <c r="T4877" s="21"/>
      <c r="U4877" s="22"/>
      <c r="V4877" s="24"/>
      <c r="W4877" s="24"/>
      <c r="X4877" s="24"/>
      <c r="Y4877" s="24"/>
      <c r="Z4877" s="20" t="str">
        <f t="shared" si="156"/>
        <v/>
      </c>
    </row>
    <row r="4878" spans="1:26" x14ac:dyDescent="0.2">
      <c r="A4878" s="21"/>
      <c r="B4878" s="20"/>
      <c r="C4878" s="22"/>
      <c r="D4878" s="22"/>
      <c r="E4878" s="24"/>
      <c r="F4878" s="22"/>
      <c r="H4878" s="21"/>
      <c r="I4878" s="22"/>
      <c r="J4878" s="22"/>
      <c r="K4878" s="24"/>
      <c r="M4878" s="21"/>
      <c r="N4878" s="22"/>
      <c r="O4878" s="22"/>
      <c r="P4878" s="49"/>
      <c r="Q4878" s="49"/>
      <c r="R4878" s="188" t="str">
        <f t="shared" si="157"/>
        <v/>
      </c>
      <c r="T4878" s="21"/>
      <c r="U4878" s="22"/>
      <c r="V4878" s="24"/>
      <c r="W4878" s="24"/>
      <c r="X4878" s="24"/>
      <c r="Y4878" s="24"/>
      <c r="Z4878" s="20" t="str">
        <f t="shared" si="156"/>
        <v/>
      </c>
    </row>
    <row r="4879" spans="1:26" x14ac:dyDescent="0.2">
      <c r="A4879" s="21"/>
      <c r="B4879" s="20"/>
      <c r="C4879" s="22"/>
      <c r="D4879" s="22"/>
      <c r="E4879" s="24"/>
      <c r="F4879" s="22"/>
      <c r="H4879" s="21"/>
      <c r="I4879" s="22"/>
      <c r="J4879" s="22"/>
      <c r="K4879" s="24"/>
      <c r="M4879" s="21"/>
      <c r="N4879" s="22"/>
      <c r="O4879" s="22"/>
      <c r="P4879" s="49"/>
      <c r="Q4879" s="49"/>
      <c r="R4879" s="188" t="str">
        <f t="shared" si="157"/>
        <v/>
      </c>
      <c r="T4879" s="21"/>
      <c r="U4879" s="22"/>
      <c r="V4879" s="24"/>
      <c r="W4879" s="24"/>
      <c r="X4879" s="24"/>
      <c r="Y4879" s="24"/>
      <c r="Z4879" s="20" t="str">
        <f t="shared" si="156"/>
        <v/>
      </c>
    </row>
    <row r="4880" spans="1:26" x14ac:dyDescent="0.2">
      <c r="A4880" s="21"/>
      <c r="B4880" s="20"/>
      <c r="C4880" s="22"/>
      <c r="D4880" s="22"/>
      <c r="E4880" s="24"/>
      <c r="F4880" s="22"/>
      <c r="H4880" s="21"/>
      <c r="I4880" s="22"/>
      <c r="J4880" s="22"/>
      <c r="K4880" s="24"/>
      <c r="M4880" s="21"/>
      <c r="N4880" s="22"/>
      <c r="O4880" s="22"/>
      <c r="P4880" s="49"/>
      <c r="Q4880" s="49"/>
      <c r="R4880" s="188" t="str">
        <f t="shared" si="157"/>
        <v/>
      </c>
      <c r="T4880" s="21"/>
      <c r="U4880" s="22"/>
      <c r="V4880" s="24"/>
      <c r="W4880" s="24"/>
      <c r="X4880" s="24"/>
      <c r="Y4880" s="24"/>
      <c r="Z4880" s="20" t="str">
        <f t="shared" si="156"/>
        <v/>
      </c>
    </row>
    <row r="4881" spans="1:26" x14ac:dyDescent="0.2">
      <c r="A4881" s="21"/>
      <c r="B4881" s="20"/>
      <c r="C4881" s="22"/>
      <c r="D4881" s="22"/>
      <c r="E4881" s="24"/>
      <c r="F4881" s="22"/>
      <c r="H4881" s="21"/>
      <c r="I4881" s="22"/>
      <c r="J4881" s="22"/>
      <c r="K4881" s="24"/>
      <c r="M4881" s="21"/>
      <c r="N4881" s="22"/>
      <c r="O4881" s="22"/>
      <c r="P4881" s="49"/>
      <c r="Q4881" s="49"/>
      <c r="R4881" s="188" t="str">
        <f t="shared" si="157"/>
        <v/>
      </c>
      <c r="T4881" s="21"/>
      <c r="U4881" s="22"/>
      <c r="V4881" s="24"/>
      <c r="W4881" s="24"/>
      <c r="X4881" s="24"/>
      <c r="Y4881" s="24"/>
      <c r="Z4881" s="20" t="str">
        <f t="shared" si="156"/>
        <v/>
      </c>
    </row>
    <row r="4882" spans="1:26" x14ac:dyDescent="0.2">
      <c r="A4882" s="21"/>
      <c r="B4882" s="20"/>
      <c r="C4882" s="22"/>
      <c r="D4882" s="22"/>
      <c r="E4882" s="24"/>
      <c r="F4882" s="22"/>
      <c r="H4882" s="21"/>
      <c r="I4882" s="22"/>
      <c r="J4882" s="22"/>
      <c r="K4882" s="24"/>
      <c r="M4882" s="21"/>
      <c r="N4882" s="22"/>
      <c r="O4882" s="22"/>
      <c r="P4882" s="49"/>
      <c r="Q4882" s="49"/>
      <c r="R4882" s="188" t="str">
        <f t="shared" si="157"/>
        <v/>
      </c>
      <c r="T4882" s="21"/>
      <c r="U4882" s="22"/>
      <c r="V4882" s="24"/>
      <c r="W4882" s="24"/>
      <c r="X4882" s="24"/>
      <c r="Y4882" s="24"/>
      <c r="Z4882" s="20" t="str">
        <f t="shared" si="156"/>
        <v/>
      </c>
    </row>
    <row r="4883" spans="1:26" x14ac:dyDescent="0.2">
      <c r="A4883" s="21"/>
      <c r="B4883" s="20"/>
      <c r="C4883" s="22"/>
      <c r="D4883" s="22"/>
      <c r="E4883" s="24"/>
      <c r="F4883" s="22"/>
      <c r="H4883" s="21"/>
      <c r="I4883" s="22"/>
      <c r="J4883" s="22"/>
      <c r="K4883" s="24"/>
      <c r="M4883" s="21"/>
      <c r="N4883" s="22"/>
      <c r="O4883" s="22"/>
      <c r="P4883" s="49"/>
      <c r="Q4883" s="49"/>
      <c r="R4883" s="188" t="str">
        <f t="shared" si="157"/>
        <v/>
      </c>
      <c r="T4883" s="21"/>
      <c r="U4883" s="22"/>
      <c r="V4883" s="24"/>
      <c r="W4883" s="24"/>
      <c r="X4883" s="24"/>
      <c r="Y4883" s="24"/>
      <c r="Z4883" s="20" t="str">
        <f t="shared" ref="Z4883:Z4946" si="158">IF(COUNT(V4883:Y4883)=0,"",SUM(V4883:Y4883))</f>
        <v/>
      </c>
    </row>
    <row r="4884" spans="1:26" x14ac:dyDescent="0.2">
      <c r="A4884" s="21"/>
      <c r="B4884" s="20"/>
      <c r="C4884" s="22"/>
      <c r="D4884" s="22"/>
      <c r="E4884" s="24"/>
      <c r="F4884" s="22"/>
      <c r="H4884" s="21"/>
      <c r="I4884" s="22"/>
      <c r="J4884" s="22"/>
      <c r="K4884" s="24"/>
      <c r="M4884" s="21"/>
      <c r="N4884" s="22"/>
      <c r="O4884" s="22"/>
      <c r="P4884" s="49"/>
      <c r="Q4884" s="49"/>
      <c r="R4884" s="188" t="str">
        <f t="shared" si="157"/>
        <v/>
      </c>
      <c r="T4884" s="21"/>
      <c r="U4884" s="22"/>
      <c r="V4884" s="24"/>
      <c r="W4884" s="24"/>
      <c r="X4884" s="24"/>
      <c r="Y4884" s="24"/>
      <c r="Z4884" s="20" t="str">
        <f t="shared" si="158"/>
        <v/>
      </c>
    </row>
    <row r="4885" spans="1:26" x14ac:dyDescent="0.2">
      <c r="A4885" s="21"/>
      <c r="B4885" s="20"/>
      <c r="C4885" s="22"/>
      <c r="D4885" s="22"/>
      <c r="E4885" s="24"/>
      <c r="F4885" s="22"/>
      <c r="H4885" s="21"/>
      <c r="I4885" s="22"/>
      <c r="J4885" s="22"/>
      <c r="K4885" s="24"/>
      <c r="M4885" s="21"/>
      <c r="N4885" s="22"/>
      <c r="O4885" s="22"/>
      <c r="P4885" s="49"/>
      <c r="Q4885" s="49"/>
      <c r="R4885" s="188" t="str">
        <f t="shared" si="157"/>
        <v/>
      </c>
      <c r="T4885" s="21"/>
      <c r="U4885" s="22"/>
      <c r="V4885" s="24"/>
      <c r="W4885" s="24"/>
      <c r="X4885" s="24"/>
      <c r="Y4885" s="24"/>
      <c r="Z4885" s="20" t="str">
        <f t="shared" si="158"/>
        <v/>
      </c>
    </row>
    <row r="4886" spans="1:26" x14ac:dyDescent="0.2">
      <c r="A4886" s="21"/>
      <c r="B4886" s="20"/>
      <c r="C4886" s="22"/>
      <c r="D4886" s="22"/>
      <c r="E4886" s="24"/>
      <c r="F4886" s="22"/>
      <c r="H4886" s="21"/>
      <c r="I4886" s="22"/>
      <c r="J4886" s="22"/>
      <c r="K4886" s="24"/>
      <c r="M4886" s="21"/>
      <c r="N4886" s="22"/>
      <c r="O4886" s="22"/>
      <c r="P4886" s="49"/>
      <c r="Q4886" s="49"/>
      <c r="R4886" s="188" t="str">
        <f t="shared" ref="R4886:R4949" si="159">IF(OR(P4886="",Q4886=""),"",IFERROR(P4886-Q4886,""))</f>
        <v/>
      </c>
      <c r="T4886" s="21"/>
      <c r="U4886" s="22"/>
      <c r="V4886" s="24"/>
      <c r="W4886" s="24"/>
      <c r="X4886" s="24"/>
      <c r="Y4886" s="24"/>
      <c r="Z4886" s="20" t="str">
        <f t="shared" si="158"/>
        <v/>
      </c>
    </row>
    <row r="4887" spans="1:26" x14ac:dyDescent="0.2">
      <c r="A4887" s="21"/>
      <c r="B4887" s="20"/>
      <c r="C4887" s="22"/>
      <c r="D4887" s="22"/>
      <c r="E4887" s="24"/>
      <c r="F4887" s="22"/>
      <c r="H4887" s="21"/>
      <c r="I4887" s="22"/>
      <c r="J4887" s="22"/>
      <c r="K4887" s="24"/>
      <c r="M4887" s="21"/>
      <c r="N4887" s="22"/>
      <c r="O4887" s="22"/>
      <c r="P4887" s="49"/>
      <c r="Q4887" s="49"/>
      <c r="R4887" s="188" t="str">
        <f t="shared" si="159"/>
        <v/>
      </c>
      <c r="T4887" s="21"/>
      <c r="U4887" s="22"/>
      <c r="V4887" s="24"/>
      <c r="W4887" s="24"/>
      <c r="X4887" s="24"/>
      <c r="Y4887" s="24"/>
      <c r="Z4887" s="20" t="str">
        <f t="shared" si="158"/>
        <v/>
      </c>
    </row>
    <row r="4888" spans="1:26" x14ac:dyDescent="0.2">
      <c r="A4888" s="21"/>
      <c r="B4888" s="20"/>
      <c r="C4888" s="22"/>
      <c r="D4888" s="22"/>
      <c r="E4888" s="24"/>
      <c r="F4888" s="22"/>
      <c r="H4888" s="21"/>
      <c r="I4888" s="22"/>
      <c r="J4888" s="22"/>
      <c r="K4888" s="24"/>
      <c r="M4888" s="21"/>
      <c r="N4888" s="22"/>
      <c r="O4888" s="22"/>
      <c r="P4888" s="49"/>
      <c r="Q4888" s="49"/>
      <c r="R4888" s="188" t="str">
        <f t="shared" si="159"/>
        <v/>
      </c>
      <c r="T4888" s="21"/>
      <c r="U4888" s="22"/>
      <c r="V4888" s="24"/>
      <c r="W4888" s="24"/>
      <c r="X4888" s="24"/>
      <c r="Y4888" s="24"/>
      <c r="Z4888" s="20" t="str">
        <f t="shared" si="158"/>
        <v/>
      </c>
    </row>
    <row r="4889" spans="1:26" x14ac:dyDescent="0.2">
      <c r="A4889" s="21"/>
      <c r="B4889" s="20"/>
      <c r="C4889" s="22"/>
      <c r="D4889" s="22"/>
      <c r="E4889" s="24"/>
      <c r="F4889" s="22"/>
      <c r="H4889" s="21"/>
      <c r="I4889" s="22"/>
      <c r="J4889" s="22"/>
      <c r="K4889" s="24"/>
      <c r="M4889" s="21"/>
      <c r="N4889" s="22"/>
      <c r="O4889" s="22"/>
      <c r="P4889" s="49"/>
      <c r="Q4889" s="49"/>
      <c r="R4889" s="188" t="str">
        <f t="shared" si="159"/>
        <v/>
      </c>
      <c r="T4889" s="21"/>
      <c r="U4889" s="22"/>
      <c r="V4889" s="24"/>
      <c r="W4889" s="24"/>
      <c r="X4889" s="24"/>
      <c r="Y4889" s="24"/>
      <c r="Z4889" s="20" t="str">
        <f t="shared" si="158"/>
        <v/>
      </c>
    </row>
    <row r="4890" spans="1:26" x14ac:dyDescent="0.2">
      <c r="A4890" s="21"/>
      <c r="B4890" s="20"/>
      <c r="C4890" s="22"/>
      <c r="D4890" s="22"/>
      <c r="E4890" s="24"/>
      <c r="F4890" s="22"/>
      <c r="H4890" s="21"/>
      <c r="I4890" s="22"/>
      <c r="J4890" s="22"/>
      <c r="K4890" s="24"/>
      <c r="M4890" s="21"/>
      <c r="N4890" s="22"/>
      <c r="O4890" s="22"/>
      <c r="P4890" s="49"/>
      <c r="Q4890" s="49"/>
      <c r="R4890" s="188" t="str">
        <f t="shared" si="159"/>
        <v/>
      </c>
      <c r="T4890" s="21"/>
      <c r="U4890" s="22"/>
      <c r="V4890" s="24"/>
      <c r="W4890" s="24"/>
      <c r="X4890" s="24"/>
      <c r="Y4890" s="24"/>
      <c r="Z4890" s="20" t="str">
        <f t="shared" si="158"/>
        <v/>
      </c>
    </row>
    <row r="4891" spans="1:26" x14ac:dyDescent="0.2">
      <c r="A4891" s="21"/>
      <c r="B4891" s="20"/>
      <c r="C4891" s="22"/>
      <c r="D4891" s="22"/>
      <c r="E4891" s="24"/>
      <c r="F4891" s="22"/>
      <c r="H4891" s="21"/>
      <c r="I4891" s="22"/>
      <c r="J4891" s="22"/>
      <c r="K4891" s="24"/>
      <c r="M4891" s="21"/>
      <c r="N4891" s="22"/>
      <c r="O4891" s="22"/>
      <c r="P4891" s="49"/>
      <c r="Q4891" s="49"/>
      <c r="R4891" s="188" t="str">
        <f t="shared" si="159"/>
        <v/>
      </c>
      <c r="T4891" s="21"/>
      <c r="U4891" s="22"/>
      <c r="V4891" s="24"/>
      <c r="W4891" s="24"/>
      <c r="X4891" s="24"/>
      <c r="Y4891" s="24"/>
      <c r="Z4891" s="20" t="str">
        <f t="shared" si="158"/>
        <v/>
      </c>
    </row>
    <row r="4892" spans="1:26" x14ac:dyDescent="0.2">
      <c r="A4892" s="21"/>
      <c r="B4892" s="20"/>
      <c r="C4892" s="22"/>
      <c r="D4892" s="22"/>
      <c r="E4892" s="24"/>
      <c r="F4892" s="22"/>
      <c r="H4892" s="21"/>
      <c r="I4892" s="22"/>
      <c r="J4892" s="22"/>
      <c r="K4892" s="24"/>
      <c r="M4892" s="21"/>
      <c r="N4892" s="22"/>
      <c r="O4892" s="22"/>
      <c r="P4892" s="49"/>
      <c r="Q4892" s="49"/>
      <c r="R4892" s="188" t="str">
        <f t="shared" si="159"/>
        <v/>
      </c>
      <c r="T4892" s="21"/>
      <c r="U4892" s="22"/>
      <c r="V4892" s="24"/>
      <c r="W4892" s="24"/>
      <c r="X4892" s="24"/>
      <c r="Y4892" s="24"/>
      <c r="Z4892" s="20" t="str">
        <f t="shared" si="158"/>
        <v/>
      </c>
    </row>
    <row r="4893" spans="1:26" x14ac:dyDescent="0.2">
      <c r="A4893" s="21"/>
      <c r="B4893" s="20"/>
      <c r="C4893" s="22"/>
      <c r="D4893" s="22"/>
      <c r="E4893" s="24"/>
      <c r="F4893" s="22"/>
      <c r="H4893" s="21"/>
      <c r="I4893" s="22"/>
      <c r="J4893" s="22"/>
      <c r="K4893" s="24"/>
      <c r="M4893" s="21"/>
      <c r="N4893" s="22"/>
      <c r="O4893" s="22"/>
      <c r="P4893" s="49"/>
      <c r="Q4893" s="49"/>
      <c r="R4893" s="188" t="str">
        <f t="shared" si="159"/>
        <v/>
      </c>
      <c r="T4893" s="21"/>
      <c r="U4893" s="22"/>
      <c r="V4893" s="24"/>
      <c r="W4893" s="24"/>
      <c r="X4893" s="24"/>
      <c r="Y4893" s="24"/>
      <c r="Z4893" s="20" t="str">
        <f t="shared" si="158"/>
        <v/>
      </c>
    </row>
    <row r="4894" spans="1:26" x14ac:dyDescent="0.2">
      <c r="A4894" s="21"/>
      <c r="B4894" s="20"/>
      <c r="C4894" s="22"/>
      <c r="D4894" s="22"/>
      <c r="E4894" s="24"/>
      <c r="F4894" s="22"/>
      <c r="H4894" s="21"/>
      <c r="I4894" s="22"/>
      <c r="J4894" s="22"/>
      <c r="K4894" s="24"/>
      <c r="M4894" s="21"/>
      <c r="N4894" s="22"/>
      <c r="O4894" s="22"/>
      <c r="P4894" s="49"/>
      <c r="Q4894" s="49"/>
      <c r="R4894" s="188" t="str">
        <f t="shared" si="159"/>
        <v/>
      </c>
      <c r="T4894" s="21"/>
      <c r="U4894" s="22"/>
      <c r="V4894" s="24"/>
      <c r="W4894" s="24"/>
      <c r="X4894" s="24"/>
      <c r="Y4894" s="24"/>
      <c r="Z4894" s="20" t="str">
        <f t="shared" si="158"/>
        <v/>
      </c>
    </row>
    <row r="4895" spans="1:26" x14ac:dyDescent="0.2">
      <c r="A4895" s="21"/>
      <c r="B4895" s="20"/>
      <c r="C4895" s="22"/>
      <c r="D4895" s="22"/>
      <c r="E4895" s="24"/>
      <c r="F4895" s="22"/>
      <c r="H4895" s="21"/>
      <c r="I4895" s="22"/>
      <c r="J4895" s="22"/>
      <c r="K4895" s="24"/>
      <c r="M4895" s="21"/>
      <c r="N4895" s="22"/>
      <c r="O4895" s="22"/>
      <c r="P4895" s="49"/>
      <c r="Q4895" s="49"/>
      <c r="R4895" s="188" t="str">
        <f t="shared" si="159"/>
        <v/>
      </c>
      <c r="T4895" s="21"/>
      <c r="U4895" s="22"/>
      <c r="V4895" s="24"/>
      <c r="W4895" s="24"/>
      <c r="X4895" s="24"/>
      <c r="Y4895" s="24"/>
      <c r="Z4895" s="20" t="str">
        <f t="shared" si="158"/>
        <v/>
      </c>
    </row>
    <row r="4896" spans="1:26" x14ac:dyDescent="0.2">
      <c r="A4896" s="21"/>
      <c r="B4896" s="20"/>
      <c r="C4896" s="22"/>
      <c r="D4896" s="22"/>
      <c r="E4896" s="24"/>
      <c r="F4896" s="22"/>
      <c r="H4896" s="21"/>
      <c r="I4896" s="22"/>
      <c r="J4896" s="22"/>
      <c r="K4896" s="24"/>
      <c r="M4896" s="21"/>
      <c r="N4896" s="22"/>
      <c r="O4896" s="22"/>
      <c r="P4896" s="49"/>
      <c r="Q4896" s="49"/>
      <c r="R4896" s="188" t="str">
        <f t="shared" si="159"/>
        <v/>
      </c>
      <c r="T4896" s="21"/>
      <c r="U4896" s="22"/>
      <c r="V4896" s="24"/>
      <c r="W4896" s="24"/>
      <c r="X4896" s="24"/>
      <c r="Y4896" s="24"/>
      <c r="Z4896" s="20" t="str">
        <f t="shared" si="158"/>
        <v/>
      </c>
    </row>
    <row r="4897" spans="1:26" x14ac:dyDescent="0.2">
      <c r="A4897" s="21"/>
      <c r="B4897" s="20"/>
      <c r="C4897" s="22"/>
      <c r="D4897" s="22"/>
      <c r="E4897" s="24"/>
      <c r="F4897" s="22"/>
      <c r="H4897" s="21"/>
      <c r="I4897" s="22"/>
      <c r="J4897" s="22"/>
      <c r="K4897" s="24"/>
      <c r="M4897" s="21"/>
      <c r="N4897" s="22"/>
      <c r="O4897" s="22"/>
      <c r="P4897" s="49"/>
      <c r="Q4897" s="49"/>
      <c r="R4897" s="188" t="str">
        <f t="shared" si="159"/>
        <v/>
      </c>
      <c r="T4897" s="21"/>
      <c r="U4897" s="22"/>
      <c r="V4897" s="24"/>
      <c r="W4897" s="24"/>
      <c r="X4897" s="24"/>
      <c r="Y4897" s="24"/>
      <c r="Z4897" s="20" t="str">
        <f t="shared" si="158"/>
        <v/>
      </c>
    </row>
    <row r="4898" spans="1:26" x14ac:dyDescent="0.2">
      <c r="A4898" s="21"/>
      <c r="B4898" s="20"/>
      <c r="C4898" s="22"/>
      <c r="D4898" s="22"/>
      <c r="E4898" s="24"/>
      <c r="F4898" s="22"/>
      <c r="H4898" s="21"/>
      <c r="I4898" s="22"/>
      <c r="J4898" s="22"/>
      <c r="K4898" s="24"/>
      <c r="M4898" s="21"/>
      <c r="N4898" s="22"/>
      <c r="O4898" s="22"/>
      <c r="P4898" s="49"/>
      <c r="Q4898" s="49"/>
      <c r="R4898" s="188" t="str">
        <f t="shared" si="159"/>
        <v/>
      </c>
      <c r="T4898" s="21"/>
      <c r="U4898" s="22"/>
      <c r="V4898" s="24"/>
      <c r="W4898" s="24"/>
      <c r="X4898" s="24"/>
      <c r="Y4898" s="24"/>
      <c r="Z4898" s="20" t="str">
        <f t="shared" si="158"/>
        <v/>
      </c>
    </row>
    <row r="4899" spans="1:26" x14ac:dyDescent="0.2">
      <c r="A4899" s="21"/>
      <c r="B4899" s="20"/>
      <c r="C4899" s="22"/>
      <c r="D4899" s="22"/>
      <c r="E4899" s="24"/>
      <c r="F4899" s="22"/>
      <c r="H4899" s="21"/>
      <c r="I4899" s="22"/>
      <c r="J4899" s="22"/>
      <c r="K4899" s="24"/>
      <c r="M4899" s="21"/>
      <c r="N4899" s="22"/>
      <c r="O4899" s="22"/>
      <c r="P4899" s="49"/>
      <c r="Q4899" s="49"/>
      <c r="R4899" s="188" t="str">
        <f t="shared" si="159"/>
        <v/>
      </c>
      <c r="T4899" s="21"/>
      <c r="U4899" s="22"/>
      <c r="V4899" s="24"/>
      <c r="W4899" s="24"/>
      <c r="X4899" s="24"/>
      <c r="Y4899" s="24"/>
      <c r="Z4899" s="20" t="str">
        <f t="shared" si="158"/>
        <v/>
      </c>
    </row>
    <row r="4900" spans="1:26" x14ac:dyDescent="0.2">
      <c r="A4900" s="21"/>
      <c r="B4900" s="20"/>
      <c r="C4900" s="22"/>
      <c r="D4900" s="22"/>
      <c r="E4900" s="24"/>
      <c r="F4900" s="22"/>
      <c r="H4900" s="21"/>
      <c r="I4900" s="22"/>
      <c r="J4900" s="22"/>
      <c r="K4900" s="24"/>
      <c r="M4900" s="21"/>
      <c r="N4900" s="22"/>
      <c r="O4900" s="22"/>
      <c r="P4900" s="49"/>
      <c r="Q4900" s="49"/>
      <c r="R4900" s="188" t="str">
        <f t="shared" si="159"/>
        <v/>
      </c>
      <c r="T4900" s="21"/>
      <c r="U4900" s="22"/>
      <c r="V4900" s="24"/>
      <c r="W4900" s="24"/>
      <c r="X4900" s="24"/>
      <c r="Y4900" s="24"/>
      <c r="Z4900" s="20" t="str">
        <f t="shared" si="158"/>
        <v/>
      </c>
    </row>
    <row r="4901" spans="1:26" x14ac:dyDescent="0.2">
      <c r="A4901" s="21"/>
      <c r="B4901" s="20"/>
      <c r="C4901" s="22"/>
      <c r="D4901" s="22"/>
      <c r="E4901" s="24"/>
      <c r="F4901" s="22"/>
      <c r="H4901" s="21"/>
      <c r="I4901" s="22"/>
      <c r="J4901" s="22"/>
      <c r="K4901" s="24"/>
      <c r="M4901" s="21"/>
      <c r="N4901" s="22"/>
      <c r="O4901" s="22"/>
      <c r="P4901" s="49"/>
      <c r="Q4901" s="49"/>
      <c r="R4901" s="188" t="str">
        <f t="shared" si="159"/>
        <v/>
      </c>
      <c r="T4901" s="21"/>
      <c r="U4901" s="22"/>
      <c r="V4901" s="24"/>
      <c r="W4901" s="24"/>
      <c r="X4901" s="24"/>
      <c r="Y4901" s="24"/>
      <c r="Z4901" s="20" t="str">
        <f t="shared" si="158"/>
        <v/>
      </c>
    </row>
    <row r="4902" spans="1:26" x14ac:dyDescent="0.2">
      <c r="A4902" s="21"/>
      <c r="B4902" s="20"/>
      <c r="C4902" s="22"/>
      <c r="D4902" s="22"/>
      <c r="E4902" s="24"/>
      <c r="F4902" s="22"/>
      <c r="H4902" s="21"/>
      <c r="I4902" s="22"/>
      <c r="J4902" s="22"/>
      <c r="K4902" s="24"/>
      <c r="M4902" s="21"/>
      <c r="N4902" s="22"/>
      <c r="O4902" s="22"/>
      <c r="P4902" s="49"/>
      <c r="Q4902" s="49"/>
      <c r="R4902" s="188" t="str">
        <f t="shared" si="159"/>
        <v/>
      </c>
      <c r="T4902" s="21"/>
      <c r="U4902" s="22"/>
      <c r="V4902" s="24"/>
      <c r="W4902" s="24"/>
      <c r="X4902" s="24"/>
      <c r="Y4902" s="24"/>
      <c r="Z4902" s="20" t="str">
        <f t="shared" si="158"/>
        <v/>
      </c>
    </row>
    <row r="4903" spans="1:26" x14ac:dyDescent="0.2">
      <c r="A4903" s="21"/>
      <c r="B4903" s="20"/>
      <c r="C4903" s="22"/>
      <c r="D4903" s="22"/>
      <c r="E4903" s="24"/>
      <c r="F4903" s="22"/>
      <c r="H4903" s="21"/>
      <c r="I4903" s="22"/>
      <c r="J4903" s="22"/>
      <c r="K4903" s="24"/>
      <c r="M4903" s="21"/>
      <c r="N4903" s="22"/>
      <c r="O4903" s="22"/>
      <c r="P4903" s="49"/>
      <c r="Q4903" s="49"/>
      <c r="R4903" s="188" t="str">
        <f t="shared" si="159"/>
        <v/>
      </c>
      <c r="T4903" s="21"/>
      <c r="U4903" s="22"/>
      <c r="V4903" s="24"/>
      <c r="W4903" s="24"/>
      <c r="X4903" s="24"/>
      <c r="Y4903" s="24"/>
      <c r="Z4903" s="20" t="str">
        <f t="shared" si="158"/>
        <v/>
      </c>
    </row>
    <row r="4904" spans="1:26" x14ac:dyDescent="0.2">
      <c r="A4904" s="21"/>
      <c r="B4904" s="20"/>
      <c r="C4904" s="22"/>
      <c r="D4904" s="22"/>
      <c r="E4904" s="24"/>
      <c r="F4904" s="22"/>
      <c r="H4904" s="21"/>
      <c r="I4904" s="22"/>
      <c r="J4904" s="22"/>
      <c r="K4904" s="24"/>
      <c r="M4904" s="21"/>
      <c r="N4904" s="22"/>
      <c r="O4904" s="22"/>
      <c r="P4904" s="49"/>
      <c r="Q4904" s="49"/>
      <c r="R4904" s="188" t="str">
        <f t="shared" si="159"/>
        <v/>
      </c>
      <c r="T4904" s="21"/>
      <c r="U4904" s="22"/>
      <c r="V4904" s="24"/>
      <c r="W4904" s="24"/>
      <c r="X4904" s="24"/>
      <c r="Y4904" s="24"/>
      <c r="Z4904" s="20" t="str">
        <f t="shared" si="158"/>
        <v/>
      </c>
    </row>
    <row r="4905" spans="1:26" x14ac:dyDescent="0.2">
      <c r="A4905" s="21"/>
      <c r="B4905" s="20"/>
      <c r="C4905" s="22"/>
      <c r="D4905" s="22"/>
      <c r="E4905" s="24"/>
      <c r="F4905" s="22"/>
      <c r="H4905" s="21"/>
      <c r="I4905" s="22"/>
      <c r="J4905" s="22"/>
      <c r="K4905" s="24"/>
      <c r="M4905" s="21"/>
      <c r="N4905" s="22"/>
      <c r="O4905" s="22"/>
      <c r="P4905" s="49"/>
      <c r="Q4905" s="49"/>
      <c r="R4905" s="188" t="str">
        <f t="shared" si="159"/>
        <v/>
      </c>
      <c r="T4905" s="21"/>
      <c r="U4905" s="22"/>
      <c r="V4905" s="24"/>
      <c r="W4905" s="24"/>
      <c r="X4905" s="24"/>
      <c r="Y4905" s="24"/>
      <c r="Z4905" s="20" t="str">
        <f t="shared" si="158"/>
        <v/>
      </c>
    </row>
    <row r="4906" spans="1:26" x14ac:dyDescent="0.2">
      <c r="A4906" s="21"/>
      <c r="B4906" s="20"/>
      <c r="C4906" s="22"/>
      <c r="D4906" s="22"/>
      <c r="E4906" s="24"/>
      <c r="F4906" s="22"/>
      <c r="H4906" s="21"/>
      <c r="I4906" s="22"/>
      <c r="J4906" s="22"/>
      <c r="K4906" s="24"/>
      <c r="M4906" s="21"/>
      <c r="N4906" s="22"/>
      <c r="O4906" s="22"/>
      <c r="P4906" s="49"/>
      <c r="Q4906" s="49"/>
      <c r="R4906" s="188" t="str">
        <f t="shared" si="159"/>
        <v/>
      </c>
      <c r="T4906" s="21"/>
      <c r="U4906" s="22"/>
      <c r="V4906" s="24"/>
      <c r="W4906" s="24"/>
      <c r="X4906" s="24"/>
      <c r="Y4906" s="24"/>
      <c r="Z4906" s="20" t="str">
        <f t="shared" si="158"/>
        <v/>
      </c>
    </row>
    <row r="4907" spans="1:26" x14ac:dyDescent="0.2">
      <c r="A4907" s="21"/>
      <c r="B4907" s="20"/>
      <c r="C4907" s="22"/>
      <c r="D4907" s="22"/>
      <c r="E4907" s="24"/>
      <c r="F4907" s="22"/>
      <c r="H4907" s="21"/>
      <c r="I4907" s="22"/>
      <c r="J4907" s="22"/>
      <c r="K4907" s="24"/>
      <c r="M4907" s="21"/>
      <c r="N4907" s="22"/>
      <c r="O4907" s="22"/>
      <c r="P4907" s="49"/>
      <c r="Q4907" s="49"/>
      <c r="R4907" s="188" t="str">
        <f t="shared" si="159"/>
        <v/>
      </c>
      <c r="T4907" s="21"/>
      <c r="U4907" s="22"/>
      <c r="V4907" s="24"/>
      <c r="W4907" s="24"/>
      <c r="X4907" s="24"/>
      <c r="Y4907" s="24"/>
      <c r="Z4907" s="20" t="str">
        <f t="shared" si="158"/>
        <v/>
      </c>
    </row>
    <row r="4908" spans="1:26" x14ac:dyDescent="0.2">
      <c r="A4908" s="21"/>
      <c r="B4908" s="20"/>
      <c r="C4908" s="22"/>
      <c r="D4908" s="22"/>
      <c r="E4908" s="24"/>
      <c r="F4908" s="22"/>
      <c r="H4908" s="21"/>
      <c r="I4908" s="22"/>
      <c r="J4908" s="22"/>
      <c r="K4908" s="24"/>
      <c r="M4908" s="21"/>
      <c r="N4908" s="22"/>
      <c r="O4908" s="22"/>
      <c r="P4908" s="49"/>
      <c r="Q4908" s="49"/>
      <c r="R4908" s="188" t="str">
        <f t="shared" si="159"/>
        <v/>
      </c>
      <c r="T4908" s="21"/>
      <c r="U4908" s="22"/>
      <c r="V4908" s="24"/>
      <c r="W4908" s="24"/>
      <c r="X4908" s="24"/>
      <c r="Y4908" s="24"/>
      <c r="Z4908" s="20" t="str">
        <f t="shared" si="158"/>
        <v/>
      </c>
    </row>
    <row r="4909" spans="1:26" x14ac:dyDescent="0.2">
      <c r="A4909" s="21"/>
      <c r="B4909" s="20"/>
      <c r="C4909" s="22"/>
      <c r="D4909" s="22"/>
      <c r="E4909" s="24"/>
      <c r="F4909" s="22"/>
      <c r="H4909" s="21"/>
      <c r="I4909" s="22"/>
      <c r="J4909" s="22"/>
      <c r="K4909" s="24"/>
      <c r="M4909" s="21"/>
      <c r="N4909" s="22"/>
      <c r="O4909" s="22"/>
      <c r="P4909" s="49"/>
      <c r="Q4909" s="49"/>
      <c r="R4909" s="188" t="str">
        <f t="shared" si="159"/>
        <v/>
      </c>
      <c r="T4909" s="21"/>
      <c r="U4909" s="22"/>
      <c r="V4909" s="24"/>
      <c r="W4909" s="24"/>
      <c r="X4909" s="24"/>
      <c r="Y4909" s="24"/>
      <c r="Z4909" s="20" t="str">
        <f t="shared" si="158"/>
        <v/>
      </c>
    </row>
    <row r="4910" spans="1:26" x14ac:dyDescent="0.2">
      <c r="A4910" s="21"/>
      <c r="B4910" s="20"/>
      <c r="C4910" s="22"/>
      <c r="D4910" s="22"/>
      <c r="E4910" s="24"/>
      <c r="F4910" s="22"/>
      <c r="H4910" s="21"/>
      <c r="I4910" s="22"/>
      <c r="J4910" s="22"/>
      <c r="K4910" s="24"/>
      <c r="M4910" s="21"/>
      <c r="N4910" s="22"/>
      <c r="O4910" s="22"/>
      <c r="P4910" s="49"/>
      <c r="Q4910" s="49"/>
      <c r="R4910" s="188" t="str">
        <f t="shared" si="159"/>
        <v/>
      </c>
      <c r="T4910" s="21"/>
      <c r="U4910" s="22"/>
      <c r="V4910" s="24"/>
      <c r="W4910" s="24"/>
      <c r="X4910" s="24"/>
      <c r="Y4910" s="24"/>
      <c r="Z4910" s="20" t="str">
        <f t="shared" si="158"/>
        <v/>
      </c>
    </row>
    <row r="4911" spans="1:26" x14ac:dyDescent="0.2">
      <c r="A4911" s="21"/>
      <c r="B4911" s="20"/>
      <c r="C4911" s="22"/>
      <c r="D4911" s="22"/>
      <c r="E4911" s="24"/>
      <c r="F4911" s="22"/>
      <c r="H4911" s="21"/>
      <c r="I4911" s="22"/>
      <c r="J4911" s="22"/>
      <c r="K4911" s="24"/>
      <c r="M4911" s="21"/>
      <c r="N4911" s="22"/>
      <c r="O4911" s="22"/>
      <c r="P4911" s="49"/>
      <c r="Q4911" s="49"/>
      <c r="R4911" s="188" t="str">
        <f t="shared" si="159"/>
        <v/>
      </c>
      <c r="T4911" s="21"/>
      <c r="U4911" s="22"/>
      <c r="V4911" s="24"/>
      <c r="W4911" s="24"/>
      <c r="X4911" s="24"/>
      <c r="Y4911" s="24"/>
      <c r="Z4911" s="20" t="str">
        <f t="shared" si="158"/>
        <v/>
      </c>
    </row>
    <row r="4912" spans="1:26" x14ac:dyDescent="0.2">
      <c r="A4912" s="21"/>
      <c r="B4912" s="20"/>
      <c r="C4912" s="22"/>
      <c r="D4912" s="22"/>
      <c r="E4912" s="24"/>
      <c r="F4912" s="22"/>
      <c r="H4912" s="21"/>
      <c r="I4912" s="22"/>
      <c r="J4912" s="22"/>
      <c r="K4912" s="24"/>
      <c r="M4912" s="21"/>
      <c r="N4912" s="22"/>
      <c r="O4912" s="22"/>
      <c r="P4912" s="49"/>
      <c r="Q4912" s="49"/>
      <c r="R4912" s="188" t="str">
        <f t="shared" si="159"/>
        <v/>
      </c>
      <c r="T4912" s="21"/>
      <c r="U4912" s="22"/>
      <c r="V4912" s="24"/>
      <c r="W4912" s="24"/>
      <c r="X4912" s="24"/>
      <c r="Y4912" s="24"/>
      <c r="Z4912" s="20" t="str">
        <f t="shared" si="158"/>
        <v/>
      </c>
    </row>
    <row r="4913" spans="1:26" x14ac:dyDescent="0.2">
      <c r="A4913" s="21"/>
      <c r="B4913" s="20"/>
      <c r="C4913" s="22"/>
      <c r="D4913" s="22"/>
      <c r="E4913" s="24"/>
      <c r="F4913" s="22"/>
      <c r="H4913" s="21"/>
      <c r="I4913" s="22"/>
      <c r="J4913" s="22"/>
      <c r="K4913" s="24"/>
      <c r="M4913" s="21"/>
      <c r="N4913" s="22"/>
      <c r="O4913" s="22"/>
      <c r="P4913" s="49"/>
      <c r="Q4913" s="49"/>
      <c r="R4913" s="188" t="str">
        <f t="shared" si="159"/>
        <v/>
      </c>
      <c r="T4913" s="21"/>
      <c r="U4913" s="22"/>
      <c r="V4913" s="24"/>
      <c r="W4913" s="24"/>
      <c r="X4913" s="24"/>
      <c r="Y4913" s="24"/>
      <c r="Z4913" s="20" t="str">
        <f t="shared" si="158"/>
        <v/>
      </c>
    </row>
    <row r="4914" spans="1:26" x14ac:dyDescent="0.2">
      <c r="A4914" s="21"/>
      <c r="B4914" s="20"/>
      <c r="C4914" s="22"/>
      <c r="D4914" s="22"/>
      <c r="E4914" s="24"/>
      <c r="F4914" s="22"/>
      <c r="H4914" s="21"/>
      <c r="I4914" s="22"/>
      <c r="J4914" s="22"/>
      <c r="K4914" s="24"/>
      <c r="M4914" s="21"/>
      <c r="N4914" s="22"/>
      <c r="O4914" s="22"/>
      <c r="P4914" s="49"/>
      <c r="Q4914" s="49"/>
      <c r="R4914" s="188" t="str">
        <f t="shared" si="159"/>
        <v/>
      </c>
      <c r="T4914" s="21"/>
      <c r="U4914" s="22"/>
      <c r="V4914" s="24"/>
      <c r="W4914" s="24"/>
      <c r="X4914" s="24"/>
      <c r="Y4914" s="24"/>
      <c r="Z4914" s="20" t="str">
        <f t="shared" si="158"/>
        <v/>
      </c>
    </row>
    <row r="4915" spans="1:26" x14ac:dyDescent="0.2">
      <c r="A4915" s="21"/>
      <c r="B4915" s="20"/>
      <c r="C4915" s="22"/>
      <c r="D4915" s="22"/>
      <c r="E4915" s="24"/>
      <c r="F4915" s="22"/>
      <c r="H4915" s="21"/>
      <c r="I4915" s="22"/>
      <c r="J4915" s="22"/>
      <c r="K4915" s="24"/>
      <c r="M4915" s="21"/>
      <c r="N4915" s="22"/>
      <c r="O4915" s="22"/>
      <c r="P4915" s="49"/>
      <c r="Q4915" s="49"/>
      <c r="R4915" s="188" t="str">
        <f t="shared" si="159"/>
        <v/>
      </c>
      <c r="T4915" s="21"/>
      <c r="U4915" s="22"/>
      <c r="V4915" s="24"/>
      <c r="W4915" s="24"/>
      <c r="X4915" s="24"/>
      <c r="Y4915" s="24"/>
      <c r="Z4915" s="20" t="str">
        <f t="shared" si="158"/>
        <v/>
      </c>
    </row>
    <row r="4916" spans="1:26" x14ac:dyDescent="0.2">
      <c r="A4916" s="21"/>
      <c r="B4916" s="20"/>
      <c r="C4916" s="22"/>
      <c r="D4916" s="22"/>
      <c r="E4916" s="24"/>
      <c r="F4916" s="22"/>
      <c r="H4916" s="21"/>
      <c r="I4916" s="22"/>
      <c r="J4916" s="22"/>
      <c r="K4916" s="24"/>
      <c r="M4916" s="21"/>
      <c r="N4916" s="22"/>
      <c r="O4916" s="22"/>
      <c r="P4916" s="49"/>
      <c r="Q4916" s="49"/>
      <c r="R4916" s="188" t="str">
        <f t="shared" si="159"/>
        <v/>
      </c>
      <c r="T4916" s="21"/>
      <c r="U4916" s="22"/>
      <c r="V4916" s="24"/>
      <c r="W4916" s="24"/>
      <c r="X4916" s="24"/>
      <c r="Y4916" s="24"/>
      <c r="Z4916" s="20" t="str">
        <f t="shared" si="158"/>
        <v/>
      </c>
    </row>
    <row r="4917" spans="1:26" x14ac:dyDescent="0.2">
      <c r="A4917" s="21"/>
      <c r="B4917" s="20"/>
      <c r="C4917" s="22"/>
      <c r="D4917" s="22"/>
      <c r="E4917" s="24"/>
      <c r="F4917" s="22"/>
      <c r="H4917" s="21"/>
      <c r="I4917" s="22"/>
      <c r="J4917" s="22"/>
      <c r="K4917" s="24"/>
      <c r="M4917" s="21"/>
      <c r="N4917" s="22"/>
      <c r="O4917" s="22"/>
      <c r="P4917" s="49"/>
      <c r="Q4917" s="49"/>
      <c r="R4917" s="188" t="str">
        <f t="shared" si="159"/>
        <v/>
      </c>
      <c r="T4917" s="21"/>
      <c r="U4917" s="22"/>
      <c r="V4917" s="24"/>
      <c r="W4917" s="24"/>
      <c r="X4917" s="24"/>
      <c r="Y4917" s="24"/>
      <c r="Z4917" s="20" t="str">
        <f t="shared" si="158"/>
        <v/>
      </c>
    </row>
    <row r="4918" spans="1:26" x14ac:dyDescent="0.2">
      <c r="A4918" s="21"/>
      <c r="B4918" s="20"/>
      <c r="C4918" s="22"/>
      <c r="D4918" s="22"/>
      <c r="E4918" s="24"/>
      <c r="F4918" s="22"/>
      <c r="H4918" s="21"/>
      <c r="I4918" s="22"/>
      <c r="J4918" s="22"/>
      <c r="K4918" s="24"/>
      <c r="M4918" s="21"/>
      <c r="N4918" s="22"/>
      <c r="O4918" s="22"/>
      <c r="P4918" s="49"/>
      <c r="Q4918" s="49"/>
      <c r="R4918" s="188" t="str">
        <f t="shared" si="159"/>
        <v/>
      </c>
      <c r="T4918" s="21"/>
      <c r="U4918" s="22"/>
      <c r="V4918" s="24"/>
      <c r="W4918" s="24"/>
      <c r="X4918" s="24"/>
      <c r="Y4918" s="24"/>
      <c r="Z4918" s="20" t="str">
        <f t="shared" si="158"/>
        <v/>
      </c>
    </row>
    <row r="4919" spans="1:26" x14ac:dyDescent="0.2">
      <c r="A4919" s="21"/>
      <c r="B4919" s="20"/>
      <c r="C4919" s="22"/>
      <c r="D4919" s="22"/>
      <c r="E4919" s="24"/>
      <c r="F4919" s="22"/>
      <c r="H4919" s="21"/>
      <c r="I4919" s="22"/>
      <c r="J4919" s="22"/>
      <c r="K4919" s="24"/>
      <c r="M4919" s="21"/>
      <c r="N4919" s="22"/>
      <c r="O4919" s="22"/>
      <c r="P4919" s="49"/>
      <c r="Q4919" s="49"/>
      <c r="R4919" s="188" t="str">
        <f t="shared" si="159"/>
        <v/>
      </c>
      <c r="T4919" s="21"/>
      <c r="U4919" s="22"/>
      <c r="V4919" s="24"/>
      <c r="W4919" s="24"/>
      <c r="X4919" s="24"/>
      <c r="Y4919" s="24"/>
      <c r="Z4919" s="20" t="str">
        <f t="shared" si="158"/>
        <v/>
      </c>
    </row>
    <row r="4920" spans="1:26" x14ac:dyDescent="0.2">
      <c r="A4920" s="21"/>
      <c r="B4920" s="20"/>
      <c r="C4920" s="22"/>
      <c r="D4920" s="22"/>
      <c r="E4920" s="24"/>
      <c r="F4920" s="22"/>
      <c r="H4920" s="21"/>
      <c r="I4920" s="22"/>
      <c r="J4920" s="22"/>
      <c r="K4920" s="24"/>
      <c r="M4920" s="21"/>
      <c r="N4920" s="22"/>
      <c r="O4920" s="22"/>
      <c r="P4920" s="49"/>
      <c r="Q4920" s="49"/>
      <c r="R4920" s="188" t="str">
        <f t="shared" si="159"/>
        <v/>
      </c>
      <c r="T4920" s="21"/>
      <c r="U4920" s="22"/>
      <c r="V4920" s="24"/>
      <c r="W4920" s="24"/>
      <c r="X4920" s="24"/>
      <c r="Y4920" s="24"/>
      <c r="Z4920" s="20" t="str">
        <f t="shared" si="158"/>
        <v/>
      </c>
    </row>
    <row r="4921" spans="1:26" x14ac:dyDescent="0.2">
      <c r="A4921" s="21"/>
      <c r="B4921" s="20"/>
      <c r="C4921" s="22"/>
      <c r="D4921" s="22"/>
      <c r="E4921" s="24"/>
      <c r="F4921" s="22"/>
      <c r="H4921" s="21"/>
      <c r="I4921" s="22"/>
      <c r="J4921" s="22"/>
      <c r="K4921" s="24"/>
      <c r="M4921" s="21"/>
      <c r="N4921" s="22"/>
      <c r="O4921" s="22"/>
      <c r="P4921" s="49"/>
      <c r="Q4921" s="49"/>
      <c r="R4921" s="188" t="str">
        <f t="shared" si="159"/>
        <v/>
      </c>
      <c r="T4921" s="21"/>
      <c r="U4921" s="22"/>
      <c r="V4921" s="24"/>
      <c r="W4921" s="24"/>
      <c r="X4921" s="24"/>
      <c r="Y4921" s="24"/>
      <c r="Z4921" s="20" t="str">
        <f t="shared" si="158"/>
        <v/>
      </c>
    </row>
    <row r="4922" spans="1:26" x14ac:dyDescent="0.2">
      <c r="A4922" s="21"/>
      <c r="B4922" s="20"/>
      <c r="C4922" s="22"/>
      <c r="D4922" s="22"/>
      <c r="E4922" s="24"/>
      <c r="F4922" s="22"/>
      <c r="H4922" s="21"/>
      <c r="I4922" s="22"/>
      <c r="J4922" s="22"/>
      <c r="K4922" s="24"/>
      <c r="M4922" s="21"/>
      <c r="N4922" s="22"/>
      <c r="O4922" s="22"/>
      <c r="P4922" s="49"/>
      <c r="Q4922" s="49"/>
      <c r="R4922" s="188" t="str">
        <f t="shared" si="159"/>
        <v/>
      </c>
      <c r="T4922" s="21"/>
      <c r="U4922" s="22"/>
      <c r="V4922" s="24"/>
      <c r="W4922" s="24"/>
      <c r="X4922" s="24"/>
      <c r="Y4922" s="24"/>
      <c r="Z4922" s="20" t="str">
        <f t="shared" si="158"/>
        <v/>
      </c>
    </row>
    <row r="4923" spans="1:26" x14ac:dyDescent="0.2">
      <c r="A4923" s="21"/>
      <c r="B4923" s="20"/>
      <c r="C4923" s="22"/>
      <c r="D4923" s="22"/>
      <c r="E4923" s="24"/>
      <c r="F4923" s="22"/>
      <c r="H4923" s="21"/>
      <c r="I4923" s="22"/>
      <c r="J4923" s="22"/>
      <c r="K4923" s="24"/>
      <c r="M4923" s="21"/>
      <c r="N4923" s="22"/>
      <c r="O4923" s="22"/>
      <c r="P4923" s="49"/>
      <c r="Q4923" s="49"/>
      <c r="R4923" s="188" t="str">
        <f t="shared" si="159"/>
        <v/>
      </c>
      <c r="T4923" s="21"/>
      <c r="U4923" s="22"/>
      <c r="V4923" s="24"/>
      <c r="W4923" s="24"/>
      <c r="X4923" s="24"/>
      <c r="Y4923" s="24"/>
      <c r="Z4923" s="20" t="str">
        <f t="shared" si="158"/>
        <v/>
      </c>
    </row>
    <row r="4924" spans="1:26" x14ac:dyDescent="0.2">
      <c r="A4924" s="21"/>
      <c r="B4924" s="20"/>
      <c r="C4924" s="22"/>
      <c r="D4924" s="22"/>
      <c r="E4924" s="24"/>
      <c r="F4924" s="22"/>
      <c r="H4924" s="21"/>
      <c r="I4924" s="22"/>
      <c r="J4924" s="22"/>
      <c r="K4924" s="24"/>
      <c r="M4924" s="21"/>
      <c r="N4924" s="22"/>
      <c r="O4924" s="22"/>
      <c r="P4924" s="49"/>
      <c r="Q4924" s="49"/>
      <c r="R4924" s="188" t="str">
        <f t="shared" si="159"/>
        <v/>
      </c>
      <c r="T4924" s="21"/>
      <c r="U4924" s="22"/>
      <c r="V4924" s="24"/>
      <c r="W4924" s="24"/>
      <c r="X4924" s="24"/>
      <c r="Y4924" s="24"/>
      <c r="Z4924" s="20" t="str">
        <f t="shared" si="158"/>
        <v/>
      </c>
    </row>
    <row r="4925" spans="1:26" x14ac:dyDescent="0.2">
      <c r="A4925" s="21"/>
      <c r="B4925" s="20"/>
      <c r="C4925" s="22"/>
      <c r="D4925" s="22"/>
      <c r="E4925" s="24"/>
      <c r="F4925" s="22"/>
      <c r="H4925" s="21"/>
      <c r="I4925" s="22"/>
      <c r="J4925" s="22"/>
      <c r="K4925" s="24"/>
      <c r="M4925" s="21"/>
      <c r="N4925" s="22"/>
      <c r="O4925" s="22"/>
      <c r="P4925" s="49"/>
      <c r="Q4925" s="49"/>
      <c r="R4925" s="188" t="str">
        <f t="shared" si="159"/>
        <v/>
      </c>
      <c r="T4925" s="21"/>
      <c r="U4925" s="22"/>
      <c r="V4925" s="24"/>
      <c r="W4925" s="24"/>
      <c r="X4925" s="24"/>
      <c r="Y4925" s="24"/>
      <c r="Z4925" s="20" t="str">
        <f t="shared" si="158"/>
        <v/>
      </c>
    </row>
    <row r="4926" spans="1:26" x14ac:dyDescent="0.2">
      <c r="A4926" s="21"/>
      <c r="B4926" s="20"/>
      <c r="C4926" s="22"/>
      <c r="D4926" s="22"/>
      <c r="E4926" s="24"/>
      <c r="F4926" s="22"/>
      <c r="H4926" s="21"/>
      <c r="I4926" s="22"/>
      <c r="J4926" s="22"/>
      <c r="K4926" s="24"/>
      <c r="M4926" s="21"/>
      <c r="N4926" s="22"/>
      <c r="O4926" s="22"/>
      <c r="P4926" s="49"/>
      <c r="Q4926" s="49"/>
      <c r="R4926" s="188" t="str">
        <f t="shared" si="159"/>
        <v/>
      </c>
      <c r="T4926" s="21"/>
      <c r="U4926" s="22"/>
      <c r="V4926" s="24"/>
      <c r="W4926" s="24"/>
      <c r="X4926" s="24"/>
      <c r="Y4926" s="24"/>
      <c r="Z4926" s="20" t="str">
        <f t="shared" si="158"/>
        <v/>
      </c>
    </row>
    <row r="4927" spans="1:26" x14ac:dyDescent="0.2">
      <c r="A4927" s="21"/>
      <c r="B4927" s="20"/>
      <c r="C4927" s="22"/>
      <c r="D4927" s="22"/>
      <c r="E4927" s="24"/>
      <c r="F4927" s="22"/>
      <c r="H4927" s="21"/>
      <c r="I4927" s="22"/>
      <c r="J4927" s="22"/>
      <c r="K4927" s="24"/>
      <c r="M4927" s="21"/>
      <c r="N4927" s="22"/>
      <c r="O4927" s="22"/>
      <c r="P4927" s="49"/>
      <c r="Q4927" s="49"/>
      <c r="R4927" s="188" t="str">
        <f t="shared" si="159"/>
        <v/>
      </c>
      <c r="T4927" s="21"/>
      <c r="U4927" s="22"/>
      <c r="V4927" s="24"/>
      <c r="W4927" s="24"/>
      <c r="X4927" s="24"/>
      <c r="Y4927" s="24"/>
      <c r="Z4927" s="20" t="str">
        <f t="shared" si="158"/>
        <v/>
      </c>
    </row>
    <row r="4928" spans="1:26" x14ac:dyDescent="0.2">
      <c r="A4928" s="21"/>
      <c r="B4928" s="20"/>
      <c r="C4928" s="22"/>
      <c r="D4928" s="22"/>
      <c r="E4928" s="24"/>
      <c r="F4928" s="22"/>
      <c r="H4928" s="21"/>
      <c r="I4928" s="22"/>
      <c r="J4928" s="22"/>
      <c r="K4928" s="24"/>
      <c r="M4928" s="21"/>
      <c r="N4928" s="22"/>
      <c r="O4928" s="22"/>
      <c r="P4928" s="49"/>
      <c r="Q4928" s="49"/>
      <c r="R4928" s="188" t="str">
        <f t="shared" si="159"/>
        <v/>
      </c>
      <c r="T4928" s="21"/>
      <c r="U4928" s="22"/>
      <c r="V4928" s="24"/>
      <c r="W4928" s="24"/>
      <c r="X4928" s="24"/>
      <c r="Y4928" s="24"/>
      <c r="Z4928" s="20" t="str">
        <f t="shared" si="158"/>
        <v/>
      </c>
    </row>
    <row r="4929" spans="1:26" x14ac:dyDescent="0.2">
      <c r="A4929" s="21"/>
      <c r="B4929" s="20"/>
      <c r="C4929" s="22"/>
      <c r="D4929" s="22"/>
      <c r="E4929" s="24"/>
      <c r="F4929" s="22"/>
      <c r="H4929" s="21"/>
      <c r="I4929" s="22"/>
      <c r="J4929" s="22"/>
      <c r="K4929" s="24"/>
      <c r="M4929" s="21"/>
      <c r="N4929" s="22"/>
      <c r="O4929" s="22"/>
      <c r="P4929" s="49"/>
      <c r="Q4929" s="49"/>
      <c r="R4929" s="188" t="str">
        <f t="shared" si="159"/>
        <v/>
      </c>
      <c r="T4929" s="21"/>
      <c r="U4929" s="22"/>
      <c r="V4929" s="24"/>
      <c r="W4929" s="24"/>
      <c r="X4929" s="24"/>
      <c r="Y4929" s="24"/>
      <c r="Z4929" s="20" t="str">
        <f t="shared" si="158"/>
        <v/>
      </c>
    </row>
    <row r="4930" spans="1:26" x14ac:dyDescent="0.2">
      <c r="A4930" s="21"/>
      <c r="B4930" s="20"/>
      <c r="C4930" s="22"/>
      <c r="D4930" s="22"/>
      <c r="E4930" s="24"/>
      <c r="F4930" s="22"/>
      <c r="H4930" s="21"/>
      <c r="I4930" s="22"/>
      <c r="J4930" s="22"/>
      <c r="K4930" s="24"/>
      <c r="M4930" s="21"/>
      <c r="N4930" s="22"/>
      <c r="O4930" s="22"/>
      <c r="P4930" s="49"/>
      <c r="Q4930" s="49"/>
      <c r="R4930" s="188" t="str">
        <f t="shared" si="159"/>
        <v/>
      </c>
      <c r="T4930" s="21"/>
      <c r="U4930" s="22"/>
      <c r="V4930" s="24"/>
      <c r="W4930" s="24"/>
      <c r="X4930" s="24"/>
      <c r="Y4930" s="24"/>
      <c r="Z4930" s="20" t="str">
        <f t="shared" si="158"/>
        <v/>
      </c>
    </row>
    <row r="4931" spans="1:26" x14ac:dyDescent="0.2">
      <c r="A4931" s="21"/>
      <c r="B4931" s="20"/>
      <c r="C4931" s="22"/>
      <c r="D4931" s="22"/>
      <c r="E4931" s="24"/>
      <c r="F4931" s="22"/>
      <c r="H4931" s="21"/>
      <c r="I4931" s="22"/>
      <c r="J4931" s="22"/>
      <c r="K4931" s="24"/>
      <c r="M4931" s="21"/>
      <c r="N4931" s="22"/>
      <c r="O4931" s="22"/>
      <c r="P4931" s="49"/>
      <c r="Q4931" s="49"/>
      <c r="R4931" s="188" t="str">
        <f t="shared" si="159"/>
        <v/>
      </c>
      <c r="T4931" s="21"/>
      <c r="U4931" s="22"/>
      <c r="V4931" s="24"/>
      <c r="W4931" s="24"/>
      <c r="X4931" s="24"/>
      <c r="Y4931" s="24"/>
      <c r="Z4931" s="20" t="str">
        <f t="shared" si="158"/>
        <v/>
      </c>
    </row>
    <row r="4932" spans="1:26" x14ac:dyDescent="0.2">
      <c r="A4932" s="21"/>
      <c r="B4932" s="20"/>
      <c r="C4932" s="22"/>
      <c r="D4932" s="22"/>
      <c r="E4932" s="24"/>
      <c r="F4932" s="22"/>
      <c r="H4932" s="21"/>
      <c r="I4932" s="22"/>
      <c r="J4932" s="22"/>
      <c r="K4932" s="24"/>
      <c r="M4932" s="21"/>
      <c r="N4932" s="22"/>
      <c r="O4932" s="22"/>
      <c r="P4932" s="49"/>
      <c r="Q4932" s="49"/>
      <c r="R4932" s="188" t="str">
        <f t="shared" si="159"/>
        <v/>
      </c>
      <c r="T4932" s="21"/>
      <c r="U4932" s="22"/>
      <c r="V4932" s="24"/>
      <c r="W4932" s="24"/>
      <c r="X4932" s="24"/>
      <c r="Y4932" s="24"/>
      <c r="Z4932" s="20" t="str">
        <f t="shared" si="158"/>
        <v/>
      </c>
    </row>
    <row r="4933" spans="1:26" x14ac:dyDescent="0.2">
      <c r="A4933" s="21"/>
      <c r="B4933" s="20"/>
      <c r="C4933" s="22"/>
      <c r="D4933" s="22"/>
      <c r="E4933" s="24"/>
      <c r="F4933" s="22"/>
      <c r="H4933" s="21"/>
      <c r="I4933" s="22"/>
      <c r="J4933" s="22"/>
      <c r="K4933" s="24"/>
      <c r="M4933" s="21"/>
      <c r="N4933" s="22"/>
      <c r="O4933" s="22"/>
      <c r="P4933" s="49"/>
      <c r="Q4933" s="49"/>
      <c r="R4933" s="188" t="str">
        <f t="shared" si="159"/>
        <v/>
      </c>
      <c r="T4933" s="21"/>
      <c r="U4933" s="22"/>
      <c r="V4933" s="24"/>
      <c r="W4933" s="24"/>
      <c r="X4933" s="24"/>
      <c r="Y4933" s="24"/>
      <c r="Z4933" s="20" t="str">
        <f t="shared" si="158"/>
        <v/>
      </c>
    </row>
    <row r="4934" spans="1:26" x14ac:dyDescent="0.2">
      <c r="A4934" s="21"/>
      <c r="B4934" s="20"/>
      <c r="C4934" s="22"/>
      <c r="D4934" s="22"/>
      <c r="E4934" s="24"/>
      <c r="F4934" s="22"/>
      <c r="H4934" s="21"/>
      <c r="I4934" s="22"/>
      <c r="J4934" s="22"/>
      <c r="K4934" s="24"/>
      <c r="M4934" s="21"/>
      <c r="N4934" s="22"/>
      <c r="O4934" s="22"/>
      <c r="P4934" s="49"/>
      <c r="Q4934" s="49"/>
      <c r="R4934" s="188" t="str">
        <f t="shared" si="159"/>
        <v/>
      </c>
      <c r="T4934" s="21"/>
      <c r="U4934" s="22"/>
      <c r="V4934" s="24"/>
      <c r="W4934" s="24"/>
      <c r="X4934" s="24"/>
      <c r="Y4934" s="24"/>
      <c r="Z4934" s="20" t="str">
        <f t="shared" si="158"/>
        <v/>
      </c>
    </row>
    <row r="4935" spans="1:26" x14ac:dyDescent="0.2">
      <c r="A4935" s="21"/>
      <c r="B4935" s="20"/>
      <c r="C4935" s="22"/>
      <c r="D4935" s="22"/>
      <c r="E4935" s="24"/>
      <c r="F4935" s="22"/>
      <c r="H4935" s="21"/>
      <c r="I4935" s="22"/>
      <c r="J4935" s="22"/>
      <c r="K4935" s="24"/>
      <c r="M4935" s="21"/>
      <c r="N4935" s="22"/>
      <c r="O4935" s="22"/>
      <c r="P4935" s="49"/>
      <c r="Q4935" s="49"/>
      <c r="R4935" s="188" t="str">
        <f t="shared" si="159"/>
        <v/>
      </c>
      <c r="T4935" s="21"/>
      <c r="U4935" s="22"/>
      <c r="V4935" s="24"/>
      <c r="W4935" s="24"/>
      <c r="X4935" s="24"/>
      <c r="Y4935" s="24"/>
      <c r="Z4935" s="20" t="str">
        <f t="shared" si="158"/>
        <v/>
      </c>
    </row>
    <row r="4936" spans="1:26" x14ac:dyDescent="0.2">
      <c r="A4936" s="21"/>
      <c r="B4936" s="20"/>
      <c r="C4936" s="22"/>
      <c r="D4936" s="22"/>
      <c r="E4936" s="24"/>
      <c r="F4936" s="22"/>
      <c r="H4936" s="21"/>
      <c r="I4936" s="22"/>
      <c r="J4936" s="22"/>
      <c r="K4936" s="24"/>
      <c r="M4936" s="21"/>
      <c r="N4936" s="22"/>
      <c r="O4936" s="22"/>
      <c r="P4936" s="49"/>
      <c r="Q4936" s="49"/>
      <c r="R4936" s="188" t="str">
        <f t="shared" si="159"/>
        <v/>
      </c>
      <c r="T4936" s="21"/>
      <c r="U4936" s="22"/>
      <c r="V4936" s="24"/>
      <c r="W4936" s="24"/>
      <c r="X4936" s="24"/>
      <c r="Y4936" s="24"/>
      <c r="Z4936" s="20" t="str">
        <f t="shared" si="158"/>
        <v/>
      </c>
    </row>
    <row r="4937" spans="1:26" x14ac:dyDescent="0.2">
      <c r="A4937" s="21"/>
      <c r="B4937" s="20"/>
      <c r="C4937" s="22"/>
      <c r="D4937" s="22"/>
      <c r="E4937" s="24"/>
      <c r="F4937" s="22"/>
      <c r="H4937" s="21"/>
      <c r="I4937" s="22"/>
      <c r="J4937" s="22"/>
      <c r="K4937" s="24"/>
      <c r="M4937" s="21"/>
      <c r="N4937" s="22"/>
      <c r="O4937" s="22"/>
      <c r="P4937" s="49"/>
      <c r="Q4937" s="49"/>
      <c r="R4937" s="188" t="str">
        <f t="shared" si="159"/>
        <v/>
      </c>
      <c r="T4937" s="21"/>
      <c r="U4937" s="22"/>
      <c r="V4937" s="24"/>
      <c r="W4937" s="24"/>
      <c r="X4937" s="24"/>
      <c r="Y4937" s="24"/>
      <c r="Z4937" s="20" t="str">
        <f t="shared" si="158"/>
        <v/>
      </c>
    </row>
    <row r="4938" spans="1:26" x14ac:dyDescent="0.2">
      <c r="A4938" s="21"/>
      <c r="B4938" s="20"/>
      <c r="C4938" s="22"/>
      <c r="D4938" s="22"/>
      <c r="E4938" s="24"/>
      <c r="F4938" s="22"/>
      <c r="H4938" s="21"/>
      <c r="I4938" s="22"/>
      <c r="J4938" s="22"/>
      <c r="K4938" s="24"/>
      <c r="M4938" s="21"/>
      <c r="N4938" s="22"/>
      <c r="O4938" s="22"/>
      <c r="P4938" s="49"/>
      <c r="Q4938" s="49"/>
      <c r="R4938" s="188" t="str">
        <f t="shared" si="159"/>
        <v/>
      </c>
      <c r="T4938" s="21"/>
      <c r="U4938" s="22"/>
      <c r="V4938" s="24"/>
      <c r="W4938" s="24"/>
      <c r="X4938" s="24"/>
      <c r="Y4938" s="24"/>
      <c r="Z4938" s="20" t="str">
        <f t="shared" si="158"/>
        <v/>
      </c>
    </row>
    <row r="4939" spans="1:26" x14ac:dyDescent="0.2">
      <c r="A4939" s="21"/>
      <c r="B4939" s="20"/>
      <c r="C4939" s="22"/>
      <c r="D4939" s="22"/>
      <c r="E4939" s="24"/>
      <c r="F4939" s="22"/>
      <c r="H4939" s="21"/>
      <c r="I4939" s="22"/>
      <c r="J4939" s="22"/>
      <c r="K4939" s="24"/>
      <c r="M4939" s="21"/>
      <c r="N4939" s="22"/>
      <c r="O4939" s="22"/>
      <c r="P4939" s="49"/>
      <c r="Q4939" s="49"/>
      <c r="R4939" s="188" t="str">
        <f t="shared" si="159"/>
        <v/>
      </c>
      <c r="T4939" s="21"/>
      <c r="U4939" s="22"/>
      <c r="V4939" s="24"/>
      <c r="W4939" s="24"/>
      <c r="X4939" s="24"/>
      <c r="Y4939" s="24"/>
      <c r="Z4939" s="20" t="str">
        <f t="shared" si="158"/>
        <v/>
      </c>
    </row>
    <row r="4940" spans="1:26" x14ac:dyDescent="0.2">
      <c r="A4940" s="21"/>
      <c r="B4940" s="20"/>
      <c r="C4940" s="22"/>
      <c r="D4940" s="22"/>
      <c r="E4940" s="24"/>
      <c r="F4940" s="22"/>
      <c r="H4940" s="21"/>
      <c r="I4940" s="22"/>
      <c r="J4940" s="22"/>
      <c r="K4940" s="24"/>
      <c r="M4940" s="21"/>
      <c r="N4940" s="22"/>
      <c r="O4940" s="22"/>
      <c r="P4940" s="49"/>
      <c r="Q4940" s="49"/>
      <c r="R4940" s="188" t="str">
        <f t="shared" si="159"/>
        <v/>
      </c>
      <c r="T4940" s="21"/>
      <c r="U4940" s="22"/>
      <c r="V4940" s="24"/>
      <c r="W4940" s="24"/>
      <c r="X4940" s="24"/>
      <c r="Y4940" s="24"/>
      <c r="Z4940" s="20" t="str">
        <f t="shared" si="158"/>
        <v/>
      </c>
    </row>
    <row r="4941" spans="1:26" x14ac:dyDescent="0.2">
      <c r="A4941" s="21"/>
      <c r="B4941" s="20"/>
      <c r="C4941" s="22"/>
      <c r="D4941" s="22"/>
      <c r="E4941" s="24"/>
      <c r="F4941" s="22"/>
      <c r="H4941" s="21"/>
      <c r="I4941" s="22"/>
      <c r="J4941" s="22"/>
      <c r="K4941" s="24"/>
      <c r="M4941" s="21"/>
      <c r="N4941" s="22"/>
      <c r="O4941" s="22"/>
      <c r="P4941" s="49"/>
      <c r="Q4941" s="49"/>
      <c r="R4941" s="188" t="str">
        <f t="shared" si="159"/>
        <v/>
      </c>
      <c r="T4941" s="21"/>
      <c r="U4941" s="22"/>
      <c r="V4941" s="24"/>
      <c r="W4941" s="24"/>
      <c r="X4941" s="24"/>
      <c r="Y4941" s="24"/>
      <c r="Z4941" s="20" t="str">
        <f t="shared" si="158"/>
        <v/>
      </c>
    </row>
    <row r="4942" spans="1:26" x14ac:dyDescent="0.2">
      <c r="A4942" s="21"/>
      <c r="B4942" s="20"/>
      <c r="C4942" s="22"/>
      <c r="D4942" s="22"/>
      <c r="E4942" s="24"/>
      <c r="F4942" s="22"/>
      <c r="H4942" s="21"/>
      <c r="I4942" s="22"/>
      <c r="J4942" s="22"/>
      <c r="K4942" s="24"/>
      <c r="M4942" s="21"/>
      <c r="N4942" s="22"/>
      <c r="O4942" s="22"/>
      <c r="P4942" s="49"/>
      <c r="Q4942" s="49"/>
      <c r="R4942" s="188" t="str">
        <f t="shared" si="159"/>
        <v/>
      </c>
      <c r="T4942" s="21"/>
      <c r="U4942" s="22"/>
      <c r="V4942" s="24"/>
      <c r="W4942" s="24"/>
      <c r="X4942" s="24"/>
      <c r="Y4942" s="24"/>
      <c r="Z4942" s="20" t="str">
        <f t="shared" si="158"/>
        <v/>
      </c>
    </row>
    <row r="4943" spans="1:26" x14ac:dyDescent="0.2">
      <c r="A4943" s="21"/>
      <c r="B4943" s="20"/>
      <c r="C4943" s="22"/>
      <c r="D4943" s="22"/>
      <c r="E4943" s="24"/>
      <c r="F4943" s="22"/>
      <c r="H4943" s="21"/>
      <c r="I4943" s="22"/>
      <c r="J4943" s="22"/>
      <c r="K4943" s="24"/>
      <c r="M4943" s="21"/>
      <c r="N4943" s="22"/>
      <c r="O4943" s="22"/>
      <c r="P4943" s="49"/>
      <c r="Q4943" s="49"/>
      <c r="R4943" s="188" t="str">
        <f t="shared" si="159"/>
        <v/>
      </c>
      <c r="T4943" s="21"/>
      <c r="U4943" s="22"/>
      <c r="V4943" s="24"/>
      <c r="W4943" s="24"/>
      <c r="X4943" s="24"/>
      <c r="Y4943" s="24"/>
      <c r="Z4943" s="20" t="str">
        <f t="shared" si="158"/>
        <v/>
      </c>
    </row>
    <row r="4944" spans="1:26" x14ac:dyDescent="0.2">
      <c r="A4944" s="21"/>
      <c r="B4944" s="20"/>
      <c r="C4944" s="22"/>
      <c r="D4944" s="22"/>
      <c r="E4944" s="24"/>
      <c r="F4944" s="22"/>
      <c r="H4944" s="21"/>
      <c r="I4944" s="22"/>
      <c r="J4944" s="22"/>
      <c r="K4944" s="24"/>
      <c r="M4944" s="21"/>
      <c r="N4944" s="22"/>
      <c r="O4944" s="22"/>
      <c r="P4944" s="49"/>
      <c r="Q4944" s="49"/>
      <c r="R4944" s="188" t="str">
        <f t="shared" si="159"/>
        <v/>
      </c>
      <c r="T4944" s="21"/>
      <c r="U4944" s="22"/>
      <c r="V4944" s="24"/>
      <c r="W4944" s="24"/>
      <c r="X4944" s="24"/>
      <c r="Y4944" s="24"/>
      <c r="Z4944" s="20" t="str">
        <f t="shared" si="158"/>
        <v/>
      </c>
    </row>
    <row r="4945" spans="1:26" x14ac:dyDescent="0.2">
      <c r="A4945" s="21"/>
      <c r="B4945" s="20"/>
      <c r="C4945" s="22"/>
      <c r="D4945" s="22"/>
      <c r="E4945" s="24"/>
      <c r="F4945" s="22"/>
      <c r="H4945" s="21"/>
      <c r="I4945" s="22"/>
      <c r="J4945" s="22"/>
      <c r="K4945" s="24"/>
      <c r="M4945" s="21"/>
      <c r="N4945" s="22"/>
      <c r="O4945" s="22"/>
      <c r="P4945" s="49"/>
      <c r="Q4945" s="49"/>
      <c r="R4945" s="188" t="str">
        <f t="shared" si="159"/>
        <v/>
      </c>
      <c r="T4945" s="21"/>
      <c r="U4945" s="22"/>
      <c r="V4945" s="24"/>
      <c r="W4945" s="24"/>
      <c r="X4945" s="24"/>
      <c r="Y4945" s="24"/>
      <c r="Z4945" s="20" t="str">
        <f t="shared" si="158"/>
        <v/>
      </c>
    </row>
    <row r="4946" spans="1:26" x14ac:dyDescent="0.2">
      <c r="A4946" s="21"/>
      <c r="B4946" s="20"/>
      <c r="C4946" s="22"/>
      <c r="D4946" s="22"/>
      <c r="E4946" s="24"/>
      <c r="F4946" s="22"/>
      <c r="H4946" s="21"/>
      <c r="I4946" s="22"/>
      <c r="J4946" s="22"/>
      <c r="K4946" s="24"/>
      <c r="M4946" s="21"/>
      <c r="N4946" s="22"/>
      <c r="O4946" s="22"/>
      <c r="P4946" s="49"/>
      <c r="Q4946" s="49"/>
      <c r="R4946" s="188" t="str">
        <f t="shared" si="159"/>
        <v/>
      </c>
      <c r="T4946" s="21"/>
      <c r="U4946" s="22"/>
      <c r="V4946" s="24"/>
      <c r="W4946" s="24"/>
      <c r="X4946" s="24"/>
      <c r="Y4946" s="24"/>
      <c r="Z4946" s="20" t="str">
        <f t="shared" si="158"/>
        <v/>
      </c>
    </row>
    <row r="4947" spans="1:26" x14ac:dyDescent="0.2">
      <c r="A4947" s="21"/>
      <c r="B4947" s="20"/>
      <c r="C4947" s="22"/>
      <c r="D4947" s="22"/>
      <c r="E4947" s="24"/>
      <c r="F4947" s="22"/>
      <c r="H4947" s="21"/>
      <c r="I4947" s="22"/>
      <c r="J4947" s="22"/>
      <c r="K4947" s="24"/>
      <c r="M4947" s="21"/>
      <c r="N4947" s="22"/>
      <c r="O4947" s="22"/>
      <c r="P4947" s="49"/>
      <c r="Q4947" s="49"/>
      <c r="R4947" s="188" t="str">
        <f t="shared" si="159"/>
        <v/>
      </c>
      <c r="T4947" s="21"/>
      <c r="U4947" s="22"/>
      <c r="V4947" s="24"/>
      <c r="W4947" s="24"/>
      <c r="X4947" s="24"/>
      <c r="Y4947" s="24"/>
      <c r="Z4947" s="20" t="str">
        <f t="shared" ref="Z4947:Z5000" si="160">IF(COUNT(V4947:Y4947)=0,"",SUM(V4947:Y4947))</f>
        <v/>
      </c>
    </row>
    <row r="4948" spans="1:26" x14ac:dyDescent="0.2">
      <c r="A4948" s="21"/>
      <c r="B4948" s="20"/>
      <c r="C4948" s="22"/>
      <c r="D4948" s="22"/>
      <c r="E4948" s="24"/>
      <c r="F4948" s="22"/>
      <c r="H4948" s="21"/>
      <c r="I4948" s="22"/>
      <c r="J4948" s="22"/>
      <c r="K4948" s="24"/>
      <c r="M4948" s="21"/>
      <c r="N4948" s="22"/>
      <c r="O4948" s="22"/>
      <c r="P4948" s="49"/>
      <c r="Q4948" s="49"/>
      <c r="R4948" s="188" t="str">
        <f t="shared" si="159"/>
        <v/>
      </c>
      <c r="T4948" s="21"/>
      <c r="U4948" s="22"/>
      <c r="V4948" s="24"/>
      <c r="W4948" s="24"/>
      <c r="X4948" s="24"/>
      <c r="Y4948" s="24"/>
      <c r="Z4948" s="20" t="str">
        <f t="shared" si="160"/>
        <v/>
      </c>
    </row>
    <row r="4949" spans="1:26" x14ac:dyDescent="0.2">
      <c r="A4949" s="21"/>
      <c r="B4949" s="20"/>
      <c r="C4949" s="22"/>
      <c r="D4949" s="22"/>
      <c r="E4949" s="24"/>
      <c r="F4949" s="22"/>
      <c r="H4949" s="21"/>
      <c r="I4949" s="22"/>
      <c r="J4949" s="22"/>
      <c r="K4949" s="24"/>
      <c r="M4949" s="21"/>
      <c r="N4949" s="22"/>
      <c r="O4949" s="22"/>
      <c r="P4949" s="49"/>
      <c r="Q4949" s="49"/>
      <c r="R4949" s="188" t="str">
        <f t="shared" si="159"/>
        <v/>
      </c>
      <c r="T4949" s="21"/>
      <c r="U4949" s="22"/>
      <c r="V4949" s="24"/>
      <c r="W4949" s="24"/>
      <c r="X4949" s="24"/>
      <c r="Y4949" s="24"/>
      <c r="Z4949" s="20" t="str">
        <f t="shared" si="160"/>
        <v/>
      </c>
    </row>
    <row r="4950" spans="1:26" x14ac:dyDescent="0.2">
      <c r="A4950" s="21"/>
      <c r="B4950" s="20"/>
      <c r="C4950" s="22"/>
      <c r="D4950" s="22"/>
      <c r="E4950" s="24"/>
      <c r="F4950" s="22"/>
      <c r="H4950" s="21"/>
      <c r="I4950" s="22"/>
      <c r="J4950" s="22"/>
      <c r="K4950" s="24"/>
      <c r="M4950" s="21"/>
      <c r="N4950" s="22"/>
      <c r="O4950" s="22"/>
      <c r="P4950" s="49"/>
      <c r="Q4950" s="49"/>
      <c r="R4950" s="188" t="str">
        <f t="shared" ref="R4950:R5013" si="161">IF(OR(P4950="",Q4950=""),"",IFERROR(P4950-Q4950,""))</f>
        <v/>
      </c>
      <c r="T4950" s="21"/>
      <c r="U4950" s="22"/>
      <c r="V4950" s="24"/>
      <c r="W4950" s="24"/>
      <c r="X4950" s="24"/>
      <c r="Y4950" s="24"/>
      <c r="Z4950" s="20" t="str">
        <f t="shared" si="160"/>
        <v/>
      </c>
    </row>
    <row r="4951" spans="1:26" x14ac:dyDescent="0.2">
      <c r="A4951" s="21"/>
      <c r="B4951" s="20"/>
      <c r="C4951" s="22"/>
      <c r="D4951" s="22"/>
      <c r="E4951" s="24"/>
      <c r="F4951" s="22"/>
      <c r="H4951" s="21"/>
      <c r="I4951" s="22"/>
      <c r="J4951" s="22"/>
      <c r="K4951" s="24"/>
      <c r="M4951" s="21"/>
      <c r="N4951" s="22"/>
      <c r="O4951" s="22"/>
      <c r="P4951" s="49"/>
      <c r="Q4951" s="49"/>
      <c r="R4951" s="188" t="str">
        <f t="shared" si="161"/>
        <v/>
      </c>
      <c r="T4951" s="21"/>
      <c r="U4951" s="22"/>
      <c r="V4951" s="24"/>
      <c r="W4951" s="24"/>
      <c r="X4951" s="24"/>
      <c r="Y4951" s="24"/>
      <c r="Z4951" s="20" t="str">
        <f t="shared" si="160"/>
        <v/>
      </c>
    </row>
    <row r="4952" spans="1:26" x14ac:dyDescent="0.2">
      <c r="A4952" s="21"/>
      <c r="B4952" s="20"/>
      <c r="C4952" s="22"/>
      <c r="D4952" s="22"/>
      <c r="E4952" s="24"/>
      <c r="F4952" s="22"/>
      <c r="H4952" s="21"/>
      <c r="I4952" s="22"/>
      <c r="J4952" s="22"/>
      <c r="K4952" s="24"/>
      <c r="M4952" s="21"/>
      <c r="N4952" s="22"/>
      <c r="O4952" s="22"/>
      <c r="P4952" s="49"/>
      <c r="Q4952" s="49"/>
      <c r="R4952" s="188" t="str">
        <f t="shared" si="161"/>
        <v/>
      </c>
      <c r="T4952" s="21"/>
      <c r="U4952" s="22"/>
      <c r="V4952" s="24"/>
      <c r="W4952" s="24"/>
      <c r="X4952" s="24"/>
      <c r="Y4952" s="24"/>
      <c r="Z4952" s="20" t="str">
        <f t="shared" si="160"/>
        <v/>
      </c>
    </row>
    <row r="4953" spans="1:26" x14ac:dyDescent="0.2">
      <c r="A4953" s="21"/>
      <c r="B4953" s="20"/>
      <c r="C4953" s="22"/>
      <c r="D4953" s="22"/>
      <c r="E4953" s="24"/>
      <c r="F4953" s="22"/>
      <c r="H4953" s="21"/>
      <c r="I4953" s="22"/>
      <c r="J4953" s="22"/>
      <c r="K4953" s="24"/>
      <c r="M4953" s="21"/>
      <c r="N4953" s="22"/>
      <c r="O4953" s="22"/>
      <c r="P4953" s="49"/>
      <c r="Q4953" s="49"/>
      <c r="R4953" s="188" t="str">
        <f t="shared" si="161"/>
        <v/>
      </c>
      <c r="T4953" s="21"/>
      <c r="U4953" s="22"/>
      <c r="V4953" s="24"/>
      <c r="W4953" s="24"/>
      <c r="X4953" s="24"/>
      <c r="Y4953" s="24"/>
      <c r="Z4953" s="20" t="str">
        <f t="shared" si="160"/>
        <v/>
      </c>
    </row>
    <row r="4954" spans="1:26" x14ac:dyDescent="0.2">
      <c r="A4954" s="21"/>
      <c r="B4954" s="20"/>
      <c r="C4954" s="22"/>
      <c r="D4954" s="22"/>
      <c r="E4954" s="24"/>
      <c r="F4954" s="22"/>
      <c r="H4954" s="21"/>
      <c r="I4954" s="22"/>
      <c r="J4954" s="22"/>
      <c r="K4954" s="24"/>
      <c r="M4954" s="21"/>
      <c r="N4954" s="22"/>
      <c r="O4954" s="22"/>
      <c r="P4954" s="49"/>
      <c r="Q4954" s="49"/>
      <c r="R4954" s="188" t="str">
        <f t="shared" si="161"/>
        <v/>
      </c>
      <c r="T4954" s="21"/>
      <c r="U4954" s="22"/>
      <c r="V4954" s="24"/>
      <c r="W4954" s="24"/>
      <c r="X4954" s="24"/>
      <c r="Y4954" s="24"/>
      <c r="Z4954" s="20" t="str">
        <f t="shared" si="160"/>
        <v/>
      </c>
    </row>
    <row r="4955" spans="1:26" x14ac:dyDescent="0.2">
      <c r="A4955" s="21"/>
      <c r="B4955" s="20"/>
      <c r="C4955" s="22"/>
      <c r="D4955" s="22"/>
      <c r="E4955" s="24"/>
      <c r="F4955" s="22"/>
      <c r="H4955" s="21"/>
      <c r="I4955" s="22"/>
      <c r="J4955" s="22"/>
      <c r="K4955" s="24"/>
      <c r="M4955" s="21"/>
      <c r="N4955" s="22"/>
      <c r="O4955" s="22"/>
      <c r="P4955" s="49"/>
      <c r="Q4955" s="49"/>
      <c r="R4955" s="188" t="str">
        <f t="shared" si="161"/>
        <v/>
      </c>
      <c r="T4955" s="21"/>
      <c r="U4955" s="22"/>
      <c r="V4955" s="24"/>
      <c r="W4955" s="24"/>
      <c r="X4955" s="24"/>
      <c r="Y4955" s="24"/>
      <c r="Z4955" s="20" t="str">
        <f t="shared" si="160"/>
        <v/>
      </c>
    </row>
    <row r="4956" spans="1:26" x14ac:dyDescent="0.2">
      <c r="A4956" s="21"/>
      <c r="B4956" s="20"/>
      <c r="C4956" s="22"/>
      <c r="D4956" s="22"/>
      <c r="E4956" s="24"/>
      <c r="F4956" s="22"/>
      <c r="H4956" s="21"/>
      <c r="I4956" s="22"/>
      <c r="J4956" s="22"/>
      <c r="K4956" s="24"/>
      <c r="M4956" s="21"/>
      <c r="N4956" s="22"/>
      <c r="O4956" s="22"/>
      <c r="P4956" s="49"/>
      <c r="Q4956" s="49"/>
      <c r="R4956" s="188" t="str">
        <f t="shared" si="161"/>
        <v/>
      </c>
      <c r="T4956" s="21"/>
      <c r="U4956" s="22"/>
      <c r="V4956" s="24"/>
      <c r="W4956" s="24"/>
      <c r="X4956" s="24"/>
      <c r="Y4956" s="24"/>
      <c r="Z4956" s="20" t="str">
        <f t="shared" si="160"/>
        <v/>
      </c>
    </row>
    <row r="4957" spans="1:26" x14ac:dyDescent="0.2">
      <c r="A4957" s="21"/>
      <c r="B4957" s="20"/>
      <c r="C4957" s="22"/>
      <c r="D4957" s="22"/>
      <c r="E4957" s="24"/>
      <c r="F4957" s="22"/>
      <c r="H4957" s="21"/>
      <c r="I4957" s="22"/>
      <c r="J4957" s="22"/>
      <c r="K4957" s="24"/>
      <c r="M4957" s="21"/>
      <c r="N4957" s="22"/>
      <c r="O4957" s="22"/>
      <c r="P4957" s="49"/>
      <c r="Q4957" s="49"/>
      <c r="R4957" s="188" t="str">
        <f t="shared" si="161"/>
        <v/>
      </c>
      <c r="T4957" s="21"/>
      <c r="U4957" s="22"/>
      <c r="V4957" s="24"/>
      <c r="W4957" s="24"/>
      <c r="X4957" s="24"/>
      <c r="Y4957" s="24"/>
      <c r="Z4957" s="20" t="str">
        <f t="shared" si="160"/>
        <v/>
      </c>
    </row>
    <row r="4958" spans="1:26" x14ac:dyDescent="0.2">
      <c r="A4958" s="21"/>
      <c r="B4958" s="20"/>
      <c r="C4958" s="22"/>
      <c r="D4958" s="22"/>
      <c r="E4958" s="24"/>
      <c r="F4958" s="22"/>
      <c r="H4958" s="21"/>
      <c r="I4958" s="22"/>
      <c r="J4958" s="22"/>
      <c r="K4958" s="24"/>
      <c r="M4958" s="21"/>
      <c r="N4958" s="22"/>
      <c r="O4958" s="22"/>
      <c r="P4958" s="49"/>
      <c r="Q4958" s="49"/>
      <c r="R4958" s="188" t="str">
        <f t="shared" si="161"/>
        <v/>
      </c>
      <c r="T4958" s="21"/>
      <c r="U4958" s="22"/>
      <c r="V4958" s="24"/>
      <c r="W4958" s="24"/>
      <c r="X4958" s="24"/>
      <c r="Y4958" s="24"/>
      <c r="Z4958" s="20" t="str">
        <f t="shared" si="160"/>
        <v/>
      </c>
    </row>
    <row r="4959" spans="1:26" x14ac:dyDescent="0.2">
      <c r="A4959" s="21"/>
      <c r="B4959" s="20"/>
      <c r="C4959" s="22"/>
      <c r="D4959" s="22"/>
      <c r="E4959" s="24"/>
      <c r="F4959" s="22"/>
      <c r="H4959" s="21"/>
      <c r="I4959" s="22"/>
      <c r="J4959" s="22"/>
      <c r="K4959" s="24"/>
      <c r="M4959" s="21"/>
      <c r="N4959" s="22"/>
      <c r="O4959" s="22"/>
      <c r="P4959" s="49"/>
      <c r="Q4959" s="49"/>
      <c r="R4959" s="188" t="str">
        <f t="shared" si="161"/>
        <v/>
      </c>
      <c r="T4959" s="21"/>
      <c r="U4959" s="22"/>
      <c r="V4959" s="24"/>
      <c r="W4959" s="24"/>
      <c r="X4959" s="24"/>
      <c r="Y4959" s="24"/>
      <c r="Z4959" s="20" t="str">
        <f t="shared" si="160"/>
        <v/>
      </c>
    </row>
    <row r="4960" spans="1:26" x14ac:dyDescent="0.2">
      <c r="A4960" s="21"/>
      <c r="B4960" s="20"/>
      <c r="C4960" s="22"/>
      <c r="D4960" s="22"/>
      <c r="E4960" s="24"/>
      <c r="F4960" s="22"/>
      <c r="H4960" s="21"/>
      <c r="I4960" s="22"/>
      <c r="J4960" s="22"/>
      <c r="K4960" s="24"/>
      <c r="M4960" s="21"/>
      <c r="N4960" s="22"/>
      <c r="O4960" s="22"/>
      <c r="P4960" s="49"/>
      <c r="Q4960" s="49"/>
      <c r="R4960" s="188" t="str">
        <f t="shared" si="161"/>
        <v/>
      </c>
      <c r="T4960" s="21"/>
      <c r="U4960" s="22"/>
      <c r="V4960" s="24"/>
      <c r="W4960" s="24"/>
      <c r="X4960" s="24"/>
      <c r="Y4960" s="24"/>
      <c r="Z4960" s="20" t="str">
        <f t="shared" si="160"/>
        <v/>
      </c>
    </row>
    <row r="4961" spans="1:26" x14ac:dyDescent="0.2">
      <c r="A4961" s="21"/>
      <c r="B4961" s="20"/>
      <c r="C4961" s="22"/>
      <c r="D4961" s="22"/>
      <c r="E4961" s="24"/>
      <c r="F4961" s="22"/>
      <c r="H4961" s="21"/>
      <c r="I4961" s="22"/>
      <c r="J4961" s="22"/>
      <c r="K4961" s="24"/>
      <c r="M4961" s="21"/>
      <c r="N4961" s="22"/>
      <c r="O4961" s="22"/>
      <c r="P4961" s="49"/>
      <c r="Q4961" s="49"/>
      <c r="R4961" s="188" t="str">
        <f t="shared" si="161"/>
        <v/>
      </c>
      <c r="T4961" s="21"/>
      <c r="U4961" s="22"/>
      <c r="V4961" s="24"/>
      <c r="W4961" s="24"/>
      <c r="X4961" s="24"/>
      <c r="Y4961" s="24"/>
      <c r="Z4961" s="20" t="str">
        <f t="shared" si="160"/>
        <v/>
      </c>
    </row>
    <row r="4962" spans="1:26" x14ac:dyDescent="0.2">
      <c r="A4962" s="21"/>
      <c r="B4962" s="20"/>
      <c r="C4962" s="22"/>
      <c r="D4962" s="22"/>
      <c r="E4962" s="24"/>
      <c r="F4962" s="22"/>
      <c r="H4962" s="21"/>
      <c r="I4962" s="22"/>
      <c r="J4962" s="22"/>
      <c r="K4962" s="24"/>
      <c r="M4962" s="21"/>
      <c r="N4962" s="22"/>
      <c r="O4962" s="22"/>
      <c r="P4962" s="49"/>
      <c r="Q4962" s="49"/>
      <c r="R4962" s="188" t="str">
        <f t="shared" si="161"/>
        <v/>
      </c>
      <c r="T4962" s="21"/>
      <c r="U4962" s="22"/>
      <c r="V4962" s="24"/>
      <c r="W4962" s="24"/>
      <c r="X4962" s="24"/>
      <c r="Y4962" s="24"/>
      <c r="Z4962" s="20" t="str">
        <f t="shared" si="160"/>
        <v/>
      </c>
    </row>
    <row r="4963" spans="1:26" x14ac:dyDescent="0.2">
      <c r="A4963" s="21"/>
      <c r="B4963" s="20"/>
      <c r="C4963" s="22"/>
      <c r="D4963" s="22"/>
      <c r="E4963" s="24"/>
      <c r="F4963" s="22"/>
      <c r="H4963" s="21"/>
      <c r="I4963" s="22"/>
      <c r="J4963" s="22"/>
      <c r="K4963" s="24"/>
      <c r="M4963" s="21"/>
      <c r="N4963" s="22"/>
      <c r="O4963" s="22"/>
      <c r="P4963" s="49"/>
      <c r="Q4963" s="49"/>
      <c r="R4963" s="188" t="str">
        <f t="shared" si="161"/>
        <v/>
      </c>
      <c r="T4963" s="21"/>
      <c r="U4963" s="22"/>
      <c r="V4963" s="24"/>
      <c r="W4963" s="24"/>
      <c r="X4963" s="24"/>
      <c r="Y4963" s="24"/>
      <c r="Z4963" s="20" t="str">
        <f t="shared" si="160"/>
        <v/>
      </c>
    </row>
    <row r="4964" spans="1:26" x14ac:dyDescent="0.2">
      <c r="A4964" s="21"/>
      <c r="B4964" s="20"/>
      <c r="C4964" s="22"/>
      <c r="D4964" s="22"/>
      <c r="E4964" s="24"/>
      <c r="F4964" s="22"/>
      <c r="H4964" s="21"/>
      <c r="I4964" s="22"/>
      <c r="J4964" s="22"/>
      <c r="K4964" s="24"/>
      <c r="M4964" s="21"/>
      <c r="N4964" s="22"/>
      <c r="O4964" s="22"/>
      <c r="P4964" s="49"/>
      <c r="Q4964" s="49"/>
      <c r="R4964" s="188" t="str">
        <f t="shared" si="161"/>
        <v/>
      </c>
      <c r="T4964" s="21"/>
      <c r="U4964" s="22"/>
      <c r="V4964" s="24"/>
      <c r="W4964" s="24"/>
      <c r="X4964" s="24"/>
      <c r="Y4964" s="24"/>
      <c r="Z4964" s="20" t="str">
        <f t="shared" si="160"/>
        <v/>
      </c>
    </row>
    <row r="4965" spans="1:26" x14ac:dyDescent="0.2">
      <c r="A4965" s="21"/>
      <c r="B4965" s="20"/>
      <c r="C4965" s="22"/>
      <c r="D4965" s="22"/>
      <c r="E4965" s="24"/>
      <c r="F4965" s="22"/>
      <c r="H4965" s="21"/>
      <c r="I4965" s="22"/>
      <c r="J4965" s="22"/>
      <c r="K4965" s="24"/>
      <c r="M4965" s="21"/>
      <c r="N4965" s="22"/>
      <c r="O4965" s="22"/>
      <c r="P4965" s="49"/>
      <c r="Q4965" s="49"/>
      <c r="R4965" s="188" t="str">
        <f t="shared" si="161"/>
        <v/>
      </c>
      <c r="T4965" s="21"/>
      <c r="U4965" s="22"/>
      <c r="V4965" s="24"/>
      <c r="W4965" s="24"/>
      <c r="X4965" s="24"/>
      <c r="Y4965" s="24"/>
      <c r="Z4965" s="20" t="str">
        <f t="shared" si="160"/>
        <v/>
      </c>
    </row>
    <row r="4966" spans="1:26" x14ac:dyDescent="0.2">
      <c r="A4966" s="21"/>
      <c r="B4966" s="20"/>
      <c r="C4966" s="22"/>
      <c r="D4966" s="22"/>
      <c r="E4966" s="24"/>
      <c r="F4966" s="22"/>
      <c r="H4966" s="21"/>
      <c r="I4966" s="22"/>
      <c r="J4966" s="22"/>
      <c r="K4966" s="24"/>
      <c r="M4966" s="21"/>
      <c r="N4966" s="22"/>
      <c r="O4966" s="22"/>
      <c r="P4966" s="49"/>
      <c r="Q4966" s="49"/>
      <c r="R4966" s="188" t="str">
        <f t="shared" si="161"/>
        <v/>
      </c>
      <c r="T4966" s="21"/>
      <c r="U4966" s="22"/>
      <c r="V4966" s="24"/>
      <c r="W4966" s="24"/>
      <c r="X4966" s="24"/>
      <c r="Y4966" s="24"/>
      <c r="Z4966" s="20" t="str">
        <f t="shared" si="160"/>
        <v/>
      </c>
    </row>
    <row r="4967" spans="1:26" x14ac:dyDescent="0.2">
      <c r="A4967" s="21"/>
      <c r="B4967" s="20"/>
      <c r="C4967" s="22"/>
      <c r="D4967" s="22"/>
      <c r="E4967" s="24"/>
      <c r="F4967" s="22"/>
      <c r="H4967" s="21"/>
      <c r="I4967" s="22"/>
      <c r="J4967" s="22"/>
      <c r="K4967" s="24"/>
      <c r="M4967" s="21"/>
      <c r="N4967" s="22"/>
      <c r="O4967" s="22"/>
      <c r="P4967" s="49"/>
      <c r="Q4967" s="49"/>
      <c r="R4967" s="188" t="str">
        <f t="shared" si="161"/>
        <v/>
      </c>
      <c r="T4967" s="21"/>
      <c r="U4967" s="22"/>
      <c r="V4967" s="24"/>
      <c r="W4967" s="24"/>
      <c r="X4967" s="24"/>
      <c r="Y4967" s="24"/>
      <c r="Z4967" s="20" t="str">
        <f t="shared" si="160"/>
        <v/>
      </c>
    </row>
    <row r="4968" spans="1:26" x14ac:dyDescent="0.2">
      <c r="A4968" s="21"/>
      <c r="B4968" s="20"/>
      <c r="C4968" s="22"/>
      <c r="D4968" s="22"/>
      <c r="E4968" s="24"/>
      <c r="F4968" s="22"/>
      <c r="H4968" s="21"/>
      <c r="I4968" s="22"/>
      <c r="J4968" s="22"/>
      <c r="K4968" s="24"/>
      <c r="M4968" s="21"/>
      <c r="N4968" s="22"/>
      <c r="O4968" s="22"/>
      <c r="P4968" s="49"/>
      <c r="Q4968" s="49"/>
      <c r="R4968" s="188" t="str">
        <f t="shared" si="161"/>
        <v/>
      </c>
      <c r="T4968" s="21"/>
      <c r="U4968" s="22"/>
      <c r="V4968" s="24"/>
      <c r="W4968" s="24"/>
      <c r="X4968" s="24"/>
      <c r="Y4968" s="24"/>
      <c r="Z4968" s="20" t="str">
        <f t="shared" si="160"/>
        <v/>
      </c>
    </row>
    <row r="4969" spans="1:26" x14ac:dyDescent="0.2">
      <c r="A4969" s="21"/>
      <c r="B4969" s="20"/>
      <c r="C4969" s="22"/>
      <c r="D4969" s="22"/>
      <c r="E4969" s="24"/>
      <c r="F4969" s="22"/>
      <c r="H4969" s="21"/>
      <c r="I4969" s="22"/>
      <c r="J4969" s="22"/>
      <c r="K4969" s="24"/>
      <c r="M4969" s="21"/>
      <c r="N4969" s="22"/>
      <c r="O4969" s="22"/>
      <c r="P4969" s="49"/>
      <c r="Q4969" s="49"/>
      <c r="R4969" s="188" t="str">
        <f t="shared" si="161"/>
        <v/>
      </c>
      <c r="T4969" s="21"/>
      <c r="U4969" s="22"/>
      <c r="V4969" s="24"/>
      <c r="W4969" s="24"/>
      <c r="X4969" s="24"/>
      <c r="Y4969" s="24"/>
      <c r="Z4969" s="20" t="str">
        <f t="shared" si="160"/>
        <v/>
      </c>
    </row>
    <row r="4970" spans="1:26" x14ac:dyDescent="0.2">
      <c r="A4970" s="21"/>
      <c r="B4970" s="20"/>
      <c r="C4970" s="22"/>
      <c r="D4970" s="22"/>
      <c r="E4970" s="24"/>
      <c r="F4970" s="22"/>
      <c r="H4970" s="21"/>
      <c r="I4970" s="22"/>
      <c r="J4970" s="22"/>
      <c r="K4970" s="24"/>
      <c r="M4970" s="21"/>
      <c r="N4970" s="22"/>
      <c r="O4970" s="22"/>
      <c r="P4970" s="49"/>
      <c r="Q4970" s="49"/>
      <c r="R4970" s="188" t="str">
        <f t="shared" si="161"/>
        <v/>
      </c>
      <c r="T4970" s="21"/>
      <c r="U4970" s="22"/>
      <c r="V4970" s="24"/>
      <c r="W4970" s="24"/>
      <c r="X4970" s="24"/>
      <c r="Y4970" s="24"/>
      <c r="Z4970" s="20" t="str">
        <f t="shared" si="160"/>
        <v/>
      </c>
    </row>
    <row r="4971" spans="1:26" x14ac:dyDescent="0.2">
      <c r="A4971" s="21"/>
      <c r="B4971" s="20"/>
      <c r="C4971" s="22"/>
      <c r="D4971" s="22"/>
      <c r="E4971" s="24"/>
      <c r="F4971" s="22"/>
      <c r="H4971" s="21"/>
      <c r="I4971" s="22"/>
      <c r="J4971" s="22"/>
      <c r="K4971" s="24"/>
      <c r="M4971" s="21"/>
      <c r="N4971" s="22"/>
      <c r="O4971" s="22"/>
      <c r="P4971" s="49"/>
      <c r="Q4971" s="49"/>
      <c r="R4971" s="188" t="str">
        <f t="shared" si="161"/>
        <v/>
      </c>
      <c r="T4971" s="21"/>
      <c r="U4971" s="22"/>
      <c r="V4971" s="24"/>
      <c r="W4971" s="24"/>
      <c r="X4971" s="24"/>
      <c r="Y4971" s="24"/>
      <c r="Z4971" s="20" t="str">
        <f t="shared" si="160"/>
        <v/>
      </c>
    </row>
    <row r="4972" spans="1:26" x14ac:dyDescent="0.2">
      <c r="A4972" s="21"/>
      <c r="B4972" s="20"/>
      <c r="C4972" s="22"/>
      <c r="D4972" s="22"/>
      <c r="E4972" s="24"/>
      <c r="F4972" s="22"/>
      <c r="H4972" s="21"/>
      <c r="I4972" s="22"/>
      <c r="J4972" s="22"/>
      <c r="K4972" s="24"/>
      <c r="M4972" s="21"/>
      <c r="N4972" s="22"/>
      <c r="O4972" s="22"/>
      <c r="P4972" s="49"/>
      <c r="Q4972" s="49"/>
      <c r="R4972" s="188" t="str">
        <f t="shared" si="161"/>
        <v/>
      </c>
      <c r="T4972" s="21"/>
      <c r="U4972" s="22"/>
      <c r="V4972" s="24"/>
      <c r="W4972" s="24"/>
      <c r="X4972" s="24"/>
      <c r="Y4972" s="24"/>
      <c r="Z4972" s="20" t="str">
        <f t="shared" si="160"/>
        <v/>
      </c>
    </row>
    <row r="4973" spans="1:26" x14ac:dyDescent="0.2">
      <c r="A4973" s="21"/>
      <c r="B4973" s="20"/>
      <c r="C4973" s="22"/>
      <c r="D4973" s="22"/>
      <c r="E4973" s="24"/>
      <c r="F4973" s="22"/>
      <c r="H4973" s="21"/>
      <c r="I4973" s="22"/>
      <c r="J4973" s="22"/>
      <c r="K4973" s="24"/>
      <c r="M4973" s="21"/>
      <c r="N4973" s="22"/>
      <c r="O4973" s="22"/>
      <c r="P4973" s="49"/>
      <c r="Q4973" s="49"/>
      <c r="R4973" s="188" t="str">
        <f t="shared" si="161"/>
        <v/>
      </c>
      <c r="T4973" s="21"/>
      <c r="U4973" s="22"/>
      <c r="V4973" s="24"/>
      <c r="W4973" s="24"/>
      <c r="X4973" s="24"/>
      <c r="Y4973" s="24"/>
      <c r="Z4973" s="20" t="str">
        <f t="shared" si="160"/>
        <v/>
      </c>
    </row>
    <row r="4974" spans="1:26" x14ac:dyDescent="0.2">
      <c r="A4974" s="21"/>
      <c r="B4974" s="20"/>
      <c r="C4974" s="22"/>
      <c r="D4974" s="22"/>
      <c r="E4974" s="24"/>
      <c r="F4974" s="22"/>
      <c r="H4974" s="21"/>
      <c r="I4974" s="22"/>
      <c r="J4974" s="22"/>
      <c r="K4974" s="24"/>
      <c r="M4974" s="21"/>
      <c r="N4974" s="22"/>
      <c r="O4974" s="22"/>
      <c r="P4974" s="49"/>
      <c r="Q4974" s="49"/>
      <c r="R4974" s="188" t="str">
        <f t="shared" si="161"/>
        <v/>
      </c>
      <c r="T4974" s="21"/>
      <c r="U4974" s="22"/>
      <c r="V4974" s="24"/>
      <c r="W4974" s="24"/>
      <c r="X4974" s="24"/>
      <c r="Y4974" s="24"/>
      <c r="Z4974" s="20" t="str">
        <f t="shared" si="160"/>
        <v/>
      </c>
    </row>
    <row r="4975" spans="1:26" x14ac:dyDescent="0.2">
      <c r="A4975" s="21"/>
      <c r="B4975" s="20"/>
      <c r="C4975" s="22"/>
      <c r="D4975" s="22"/>
      <c r="E4975" s="24"/>
      <c r="F4975" s="22"/>
      <c r="H4975" s="21"/>
      <c r="I4975" s="22"/>
      <c r="J4975" s="22"/>
      <c r="K4975" s="24"/>
      <c r="M4975" s="21"/>
      <c r="N4975" s="22"/>
      <c r="O4975" s="22"/>
      <c r="P4975" s="49"/>
      <c r="Q4975" s="49"/>
      <c r="R4975" s="188" t="str">
        <f t="shared" si="161"/>
        <v/>
      </c>
      <c r="T4975" s="21"/>
      <c r="U4975" s="22"/>
      <c r="V4975" s="24"/>
      <c r="W4975" s="24"/>
      <c r="X4975" s="24"/>
      <c r="Y4975" s="24"/>
      <c r="Z4975" s="20" t="str">
        <f t="shared" si="160"/>
        <v/>
      </c>
    </row>
    <row r="4976" spans="1:26" x14ac:dyDescent="0.2">
      <c r="A4976" s="21"/>
      <c r="B4976" s="20"/>
      <c r="C4976" s="22"/>
      <c r="D4976" s="22"/>
      <c r="E4976" s="24"/>
      <c r="F4976" s="22"/>
      <c r="H4976" s="21"/>
      <c r="I4976" s="22"/>
      <c r="J4976" s="22"/>
      <c r="K4976" s="24"/>
      <c r="M4976" s="21"/>
      <c r="N4976" s="22"/>
      <c r="O4976" s="22"/>
      <c r="P4976" s="49"/>
      <c r="Q4976" s="49"/>
      <c r="R4976" s="188" t="str">
        <f t="shared" si="161"/>
        <v/>
      </c>
      <c r="T4976" s="21"/>
      <c r="U4976" s="22"/>
      <c r="V4976" s="24"/>
      <c r="W4976" s="24"/>
      <c r="X4976" s="24"/>
      <c r="Y4976" s="24"/>
      <c r="Z4976" s="20" t="str">
        <f t="shared" si="160"/>
        <v/>
      </c>
    </row>
    <row r="4977" spans="1:26" x14ac:dyDescent="0.2">
      <c r="A4977" s="21"/>
      <c r="B4977" s="20"/>
      <c r="C4977" s="22"/>
      <c r="D4977" s="22"/>
      <c r="E4977" s="24"/>
      <c r="F4977" s="22"/>
      <c r="H4977" s="21"/>
      <c r="I4977" s="22"/>
      <c r="J4977" s="22"/>
      <c r="K4977" s="24"/>
      <c r="M4977" s="21"/>
      <c r="N4977" s="22"/>
      <c r="O4977" s="22"/>
      <c r="P4977" s="49"/>
      <c r="Q4977" s="49"/>
      <c r="R4977" s="188" t="str">
        <f t="shared" si="161"/>
        <v/>
      </c>
      <c r="T4977" s="21"/>
      <c r="U4977" s="22"/>
      <c r="V4977" s="24"/>
      <c r="W4977" s="24"/>
      <c r="X4977" s="24"/>
      <c r="Y4977" s="24"/>
      <c r="Z4977" s="20" t="str">
        <f t="shared" si="160"/>
        <v/>
      </c>
    </row>
    <row r="4978" spans="1:26" x14ac:dyDescent="0.2">
      <c r="A4978" s="21"/>
      <c r="B4978" s="20"/>
      <c r="C4978" s="22"/>
      <c r="D4978" s="22"/>
      <c r="E4978" s="24"/>
      <c r="F4978" s="22"/>
      <c r="H4978" s="21"/>
      <c r="I4978" s="22"/>
      <c r="J4978" s="22"/>
      <c r="K4978" s="24"/>
      <c r="M4978" s="21"/>
      <c r="N4978" s="22"/>
      <c r="O4978" s="22"/>
      <c r="P4978" s="49"/>
      <c r="Q4978" s="49"/>
      <c r="R4978" s="188" t="str">
        <f t="shared" si="161"/>
        <v/>
      </c>
      <c r="T4978" s="21"/>
      <c r="U4978" s="22"/>
      <c r="V4978" s="24"/>
      <c r="W4978" s="24"/>
      <c r="X4978" s="24"/>
      <c r="Y4978" s="24"/>
      <c r="Z4978" s="20" t="str">
        <f t="shared" si="160"/>
        <v/>
      </c>
    </row>
    <row r="4979" spans="1:26" x14ac:dyDescent="0.2">
      <c r="A4979" s="21"/>
      <c r="B4979" s="20"/>
      <c r="C4979" s="22"/>
      <c r="D4979" s="22"/>
      <c r="E4979" s="24"/>
      <c r="F4979" s="22"/>
      <c r="H4979" s="21"/>
      <c r="I4979" s="22"/>
      <c r="J4979" s="22"/>
      <c r="K4979" s="24"/>
      <c r="M4979" s="21"/>
      <c r="N4979" s="22"/>
      <c r="O4979" s="22"/>
      <c r="P4979" s="49"/>
      <c r="Q4979" s="49"/>
      <c r="R4979" s="188" t="str">
        <f t="shared" si="161"/>
        <v/>
      </c>
      <c r="T4979" s="21"/>
      <c r="U4979" s="22"/>
      <c r="V4979" s="24"/>
      <c r="W4979" s="24"/>
      <c r="X4979" s="24"/>
      <c r="Y4979" s="24"/>
      <c r="Z4979" s="20" t="str">
        <f t="shared" si="160"/>
        <v/>
      </c>
    </row>
    <row r="4980" spans="1:26" x14ac:dyDescent="0.2">
      <c r="A4980" s="21"/>
      <c r="B4980" s="20"/>
      <c r="C4980" s="22"/>
      <c r="D4980" s="22"/>
      <c r="E4980" s="24"/>
      <c r="F4980" s="22"/>
      <c r="H4980" s="21"/>
      <c r="I4980" s="22"/>
      <c r="J4980" s="22"/>
      <c r="K4980" s="24"/>
      <c r="M4980" s="21"/>
      <c r="N4980" s="22"/>
      <c r="O4980" s="22"/>
      <c r="P4980" s="49"/>
      <c r="Q4980" s="49"/>
      <c r="R4980" s="188" t="str">
        <f t="shared" si="161"/>
        <v/>
      </c>
      <c r="T4980" s="21"/>
      <c r="U4980" s="22"/>
      <c r="V4980" s="24"/>
      <c r="W4980" s="24"/>
      <c r="X4980" s="24"/>
      <c r="Y4980" s="24"/>
      <c r="Z4980" s="20" t="str">
        <f t="shared" si="160"/>
        <v/>
      </c>
    </row>
    <row r="4981" spans="1:26" x14ac:dyDescent="0.2">
      <c r="A4981" s="21"/>
      <c r="B4981" s="20"/>
      <c r="C4981" s="22"/>
      <c r="D4981" s="22"/>
      <c r="E4981" s="24"/>
      <c r="F4981" s="22"/>
      <c r="H4981" s="21"/>
      <c r="I4981" s="22"/>
      <c r="J4981" s="22"/>
      <c r="K4981" s="24"/>
      <c r="M4981" s="21"/>
      <c r="N4981" s="22"/>
      <c r="O4981" s="22"/>
      <c r="P4981" s="49"/>
      <c r="Q4981" s="49"/>
      <c r="R4981" s="188" t="str">
        <f t="shared" si="161"/>
        <v/>
      </c>
      <c r="T4981" s="21"/>
      <c r="U4981" s="22"/>
      <c r="V4981" s="24"/>
      <c r="W4981" s="24"/>
      <c r="X4981" s="24"/>
      <c r="Y4981" s="24"/>
      <c r="Z4981" s="20" t="str">
        <f t="shared" si="160"/>
        <v/>
      </c>
    </row>
    <row r="4982" spans="1:26" x14ac:dyDescent="0.2">
      <c r="A4982" s="21"/>
      <c r="B4982" s="20"/>
      <c r="C4982" s="22"/>
      <c r="D4982" s="22"/>
      <c r="E4982" s="24"/>
      <c r="F4982" s="22"/>
      <c r="H4982" s="21"/>
      <c r="I4982" s="22"/>
      <c r="J4982" s="22"/>
      <c r="K4982" s="24"/>
      <c r="M4982" s="21"/>
      <c r="N4982" s="22"/>
      <c r="O4982" s="22"/>
      <c r="P4982" s="49"/>
      <c r="Q4982" s="49"/>
      <c r="R4982" s="188" t="str">
        <f t="shared" si="161"/>
        <v/>
      </c>
      <c r="T4982" s="21"/>
      <c r="U4982" s="22"/>
      <c r="V4982" s="24"/>
      <c r="W4982" s="24"/>
      <c r="X4982" s="24"/>
      <c r="Y4982" s="24"/>
      <c r="Z4982" s="20" t="str">
        <f t="shared" si="160"/>
        <v/>
      </c>
    </row>
    <row r="4983" spans="1:26" x14ac:dyDescent="0.2">
      <c r="A4983" s="21"/>
      <c r="B4983" s="20"/>
      <c r="C4983" s="22"/>
      <c r="D4983" s="22"/>
      <c r="E4983" s="24"/>
      <c r="F4983" s="22"/>
      <c r="H4983" s="21"/>
      <c r="I4983" s="22"/>
      <c r="J4983" s="22"/>
      <c r="K4983" s="24"/>
      <c r="M4983" s="21"/>
      <c r="N4983" s="22"/>
      <c r="O4983" s="22"/>
      <c r="P4983" s="49"/>
      <c r="Q4983" s="49"/>
      <c r="R4983" s="188" t="str">
        <f t="shared" si="161"/>
        <v/>
      </c>
      <c r="T4983" s="21"/>
      <c r="U4983" s="22"/>
      <c r="V4983" s="24"/>
      <c r="W4983" s="24"/>
      <c r="X4983" s="24"/>
      <c r="Y4983" s="24"/>
      <c r="Z4983" s="20" t="str">
        <f t="shared" si="160"/>
        <v/>
      </c>
    </row>
    <row r="4984" spans="1:26" x14ac:dyDescent="0.2">
      <c r="A4984" s="21"/>
      <c r="B4984" s="20"/>
      <c r="C4984" s="22"/>
      <c r="D4984" s="22"/>
      <c r="E4984" s="24"/>
      <c r="F4984" s="22"/>
      <c r="H4984" s="21"/>
      <c r="I4984" s="22"/>
      <c r="J4984" s="22"/>
      <c r="K4984" s="24"/>
      <c r="M4984" s="21"/>
      <c r="N4984" s="22"/>
      <c r="O4984" s="22"/>
      <c r="P4984" s="49"/>
      <c r="Q4984" s="49"/>
      <c r="R4984" s="188" t="str">
        <f t="shared" si="161"/>
        <v/>
      </c>
      <c r="T4984" s="21"/>
      <c r="U4984" s="22"/>
      <c r="V4984" s="24"/>
      <c r="W4984" s="24"/>
      <c r="X4984" s="24"/>
      <c r="Y4984" s="24"/>
      <c r="Z4984" s="20" t="str">
        <f t="shared" si="160"/>
        <v/>
      </c>
    </row>
    <row r="4985" spans="1:26" x14ac:dyDescent="0.2">
      <c r="A4985" s="21"/>
      <c r="B4985" s="20"/>
      <c r="C4985" s="22"/>
      <c r="D4985" s="22"/>
      <c r="E4985" s="24"/>
      <c r="F4985" s="22"/>
      <c r="H4985" s="21"/>
      <c r="I4985" s="22"/>
      <c r="J4985" s="22"/>
      <c r="K4985" s="24"/>
      <c r="M4985" s="21"/>
      <c r="N4985" s="22"/>
      <c r="O4985" s="22"/>
      <c r="P4985" s="49"/>
      <c r="Q4985" s="49"/>
      <c r="R4985" s="188" t="str">
        <f t="shared" si="161"/>
        <v/>
      </c>
      <c r="T4985" s="21"/>
      <c r="U4985" s="22"/>
      <c r="V4985" s="24"/>
      <c r="W4985" s="24"/>
      <c r="X4985" s="24"/>
      <c r="Y4985" s="24"/>
      <c r="Z4985" s="20" t="str">
        <f t="shared" si="160"/>
        <v/>
      </c>
    </row>
    <row r="4986" spans="1:26" x14ac:dyDescent="0.2">
      <c r="A4986" s="21"/>
      <c r="B4986" s="20"/>
      <c r="C4986" s="22"/>
      <c r="D4986" s="22"/>
      <c r="E4986" s="24"/>
      <c r="F4986" s="22"/>
      <c r="H4986" s="21"/>
      <c r="I4986" s="22"/>
      <c r="J4986" s="22"/>
      <c r="K4986" s="24"/>
      <c r="M4986" s="21"/>
      <c r="N4986" s="22"/>
      <c r="O4986" s="22"/>
      <c r="P4986" s="49"/>
      <c r="Q4986" s="49"/>
      <c r="R4986" s="188" t="str">
        <f t="shared" si="161"/>
        <v/>
      </c>
      <c r="T4986" s="21"/>
      <c r="U4986" s="22"/>
      <c r="V4986" s="24"/>
      <c r="W4986" s="24"/>
      <c r="X4986" s="24"/>
      <c r="Y4986" s="24"/>
      <c r="Z4986" s="20" t="str">
        <f t="shared" si="160"/>
        <v/>
      </c>
    </row>
    <row r="4987" spans="1:26" x14ac:dyDescent="0.2">
      <c r="A4987" s="21"/>
      <c r="B4987" s="20"/>
      <c r="C4987" s="22"/>
      <c r="D4987" s="22"/>
      <c r="E4987" s="24"/>
      <c r="F4987" s="22"/>
      <c r="H4987" s="21"/>
      <c r="I4987" s="22"/>
      <c r="J4987" s="22"/>
      <c r="K4987" s="24"/>
      <c r="M4987" s="21"/>
      <c r="N4987" s="22"/>
      <c r="O4987" s="22"/>
      <c r="P4987" s="49"/>
      <c r="Q4987" s="49"/>
      <c r="R4987" s="188" t="str">
        <f t="shared" si="161"/>
        <v/>
      </c>
      <c r="T4987" s="21"/>
      <c r="U4987" s="22"/>
      <c r="V4987" s="24"/>
      <c r="W4987" s="24"/>
      <c r="X4987" s="24"/>
      <c r="Y4987" s="24"/>
      <c r="Z4987" s="20" t="str">
        <f t="shared" si="160"/>
        <v/>
      </c>
    </row>
    <row r="4988" spans="1:26" x14ac:dyDescent="0.2">
      <c r="A4988" s="21"/>
      <c r="B4988" s="20"/>
      <c r="C4988" s="22"/>
      <c r="D4988" s="22"/>
      <c r="E4988" s="24"/>
      <c r="F4988" s="22"/>
      <c r="H4988" s="21"/>
      <c r="I4988" s="22"/>
      <c r="J4988" s="22"/>
      <c r="K4988" s="24"/>
      <c r="M4988" s="21"/>
      <c r="N4988" s="22"/>
      <c r="O4988" s="22"/>
      <c r="P4988" s="49"/>
      <c r="Q4988" s="49"/>
      <c r="R4988" s="188" t="str">
        <f t="shared" si="161"/>
        <v/>
      </c>
      <c r="T4988" s="21"/>
      <c r="U4988" s="22"/>
      <c r="V4988" s="24"/>
      <c r="W4988" s="24"/>
      <c r="X4988" s="24"/>
      <c r="Y4988" s="24"/>
      <c r="Z4988" s="20" t="str">
        <f t="shared" si="160"/>
        <v/>
      </c>
    </row>
    <row r="4989" spans="1:26" x14ac:dyDescent="0.2">
      <c r="A4989" s="21"/>
      <c r="B4989" s="20"/>
      <c r="C4989" s="22"/>
      <c r="D4989" s="22"/>
      <c r="E4989" s="24"/>
      <c r="F4989" s="22"/>
      <c r="H4989" s="21"/>
      <c r="I4989" s="22"/>
      <c r="J4989" s="22"/>
      <c r="K4989" s="24"/>
      <c r="M4989" s="21"/>
      <c r="N4989" s="22"/>
      <c r="O4989" s="22"/>
      <c r="P4989" s="49"/>
      <c r="Q4989" s="49"/>
      <c r="R4989" s="188" t="str">
        <f t="shared" si="161"/>
        <v/>
      </c>
      <c r="T4989" s="21"/>
      <c r="U4989" s="22"/>
      <c r="V4989" s="24"/>
      <c r="W4989" s="24"/>
      <c r="X4989" s="24"/>
      <c r="Y4989" s="24"/>
      <c r="Z4989" s="20" t="str">
        <f t="shared" si="160"/>
        <v/>
      </c>
    </row>
    <row r="4990" spans="1:26" x14ac:dyDescent="0.2">
      <c r="A4990" s="21"/>
      <c r="B4990" s="20"/>
      <c r="C4990" s="22"/>
      <c r="D4990" s="22"/>
      <c r="E4990" s="24"/>
      <c r="F4990" s="22"/>
      <c r="H4990" s="21"/>
      <c r="I4990" s="22"/>
      <c r="J4990" s="22"/>
      <c r="K4990" s="24"/>
      <c r="M4990" s="21"/>
      <c r="N4990" s="22"/>
      <c r="O4990" s="22"/>
      <c r="P4990" s="49"/>
      <c r="Q4990" s="49"/>
      <c r="R4990" s="188" t="str">
        <f t="shared" si="161"/>
        <v/>
      </c>
      <c r="T4990" s="21"/>
      <c r="U4990" s="22"/>
      <c r="V4990" s="24"/>
      <c r="W4990" s="24"/>
      <c r="X4990" s="24"/>
      <c r="Y4990" s="24"/>
      <c r="Z4990" s="20" t="str">
        <f t="shared" si="160"/>
        <v/>
      </c>
    </row>
    <row r="4991" spans="1:26" x14ac:dyDescent="0.2">
      <c r="A4991" s="21"/>
      <c r="B4991" s="20"/>
      <c r="C4991" s="22"/>
      <c r="D4991" s="22"/>
      <c r="E4991" s="24"/>
      <c r="F4991" s="22"/>
      <c r="H4991" s="21"/>
      <c r="I4991" s="22"/>
      <c r="J4991" s="22"/>
      <c r="K4991" s="24"/>
      <c r="M4991" s="21"/>
      <c r="N4991" s="22"/>
      <c r="O4991" s="22"/>
      <c r="P4991" s="49"/>
      <c r="Q4991" s="49"/>
      <c r="R4991" s="188" t="str">
        <f t="shared" si="161"/>
        <v/>
      </c>
      <c r="T4991" s="21"/>
      <c r="U4991" s="22"/>
      <c r="V4991" s="24"/>
      <c r="W4991" s="24"/>
      <c r="X4991" s="24"/>
      <c r="Y4991" s="24"/>
      <c r="Z4991" s="20" t="str">
        <f t="shared" si="160"/>
        <v/>
      </c>
    </row>
    <row r="4992" spans="1:26" x14ac:dyDescent="0.2">
      <c r="A4992" s="21"/>
      <c r="B4992" s="20"/>
      <c r="C4992" s="22"/>
      <c r="D4992" s="22"/>
      <c r="E4992" s="24"/>
      <c r="F4992" s="22"/>
      <c r="H4992" s="21"/>
      <c r="I4992" s="22"/>
      <c r="J4992" s="22"/>
      <c r="K4992" s="24"/>
      <c r="M4992" s="21"/>
      <c r="N4992" s="22"/>
      <c r="O4992" s="22"/>
      <c r="P4992" s="49"/>
      <c r="Q4992" s="49"/>
      <c r="R4992" s="188" t="str">
        <f t="shared" si="161"/>
        <v/>
      </c>
      <c r="T4992" s="21"/>
      <c r="U4992" s="22"/>
      <c r="V4992" s="24"/>
      <c r="W4992" s="24"/>
      <c r="X4992" s="24"/>
      <c r="Y4992" s="24"/>
      <c r="Z4992" s="20" t="str">
        <f t="shared" si="160"/>
        <v/>
      </c>
    </row>
    <row r="4993" spans="1:26" x14ac:dyDescent="0.2">
      <c r="A4993" s="21"/>
      <c r="B4993" s="20"/>
      <c r="C4993" s="22"/>
      <c r="D4993" s="22"/>
      <c r="E4993" s="24"/>
      <c r="F4993" s="22"/>
      <c r="H4993" s="21"/>
      <c r="I4993" s="22"/>
      <c r="J4993" s="22"/>
      <c r="K4993" s="24"/>
      <c r="M4993" s="21"/>
      <c r="N4993" s="22"/>
      <c r="O4993" s="22"/>
      <c r="P4993" s="49"/>
      <c r="Q4993" s="49"/>
      <c r="R4993" s="188" t="str">
        <f t="shared" si="161"/>
        <v/>
      </c>
      <c r="T4993" s="21"/>
      <c r="U4993" s="22"/>
      <c r="V4993" s="24"/>
      <c r="W4993" s="24"/>
      <c r="X4993" s="24"/>
      <c r="Y4993" s="24"/>
      <c r="Z4993" s="20" t="str">
        <f t="shared" si="160"/>
        <v/>
      </c>
    </row>
    <row r="4994" spans="1:26" x14ac:dyDescent="0.2">
      <c r="A4994" s="21"/>
      <c r="B4994" s="20"/>
      <c r="C4994" s="22"/>
      <c r="D4994" s="22"/>
      <c r="E4994" s="24"/>
      <c r="F4994" s="22"/>
      <c r="H4994" s="21"/>
      <c r="I4994" s="22"/>
      <c r="J4994" s="22"/>
      <c r="K4994" s="24"/>
      <c r="M4994" s="21"/>
      <c r="N4994" s="22"/>
      <c r="O4994" s="22"/>
      <c r="P4994" s="49"/>
      <c r="Q4994" s="49"/>
      <c r="R4994" s="188" t="str">
        <f t="shared" si="161"/>
        <v/>
      </c>
      <c r="T4994" s="21"/>
      <c r="U4994" s="22"/>
      <c r="V4994" s="24"/>
      <c r="W4994" s="24"/>
      <c r="X4994" s="24"/>
      <c r="Y4994" s="24"/>
      <c r="Z4994" s="20" t="str">
        <f t="shared" si="160"/>
        <v/>
      </c>
    </row>
    <row r="4995" spans="1:26" x14ac:dyDescent="0.2">
      <c r="A4995" s="21"/>
      <c r="B4995" s="20"/>
      <c r="C4995" s="22"/>
      <c r="D4995" s="22"/>
      <c r="E4995" s="24"/>
      <c r="F4995" s="22"/>
      <c r="H4995" s="21"/>
      <c r="I4995" s="22"/>
      <c r="J4995" s="22"/>
      <c r="K4995" s="24"/>
      <c r="M4995" s="21"/>
      <c r="N4995" s="22"/>
      <c r="O4995" s="22"/>
      <c r="P4995" s="49"/>
      <c r="Q4995" s="49"/>
      <c r="R4995" s="188" t="str">
        <f t="shared" si="161"/>
        <v/>
      </c>
      <c r="T4995" s="21"/>
      <c r="U4995" s="22"/>
      <c r="V4995" s="24"/>
      <c r="W4995" s="24"/>
      <c r="X4995" s="24"/>
      <c r="Y4995" s="24"/>
      <c r="Z4995" s="20" t="str">
        <f t="shared" si="160"/>
        <v/>
      </c>
    </row>
    <row r="4996" spans="1:26" x14ac:dyDescent="0.2">
      <c r="A4996" s="21"/>
      <c r="B4996" s="20"/>
      <c r="C4996" s="22"/>
      <c r="D4996" s="22"/>
      <c r="E4996" s="24"/>
      <c r="F4996" s="22"/>
      <c r="H4996" s="21"/>
      <c r="I4996" s="22"/>
      <c r="J4996" s="22"/>
      <c r="K4996" s="24"/>
      <c r="M4996" s="21"/>
      <c r="N4996" s="22"/>
      <c r="O4996" s="22"/>
      <c r="P4996" s="49"/>
      <c r="Q4996" s="49"/>
      <c r="R4996" s="188" t="str">
        <f t="shared" si="161"/>
        <v/>
      </c>
      <c r="T4996" s="21"/>
      <c r="U4996" s="22"/>
      <c r="V4996" s="24"/>
      <c r="W4996" s="24"/>
      <c r="X4996" s="24"/>
      <c r="Y4996" s="24"/>
      <c r="Z4996" s="20" t="str">
        <f t="shared" si="160"/>
        <v/>
      </c>
    </row>
    <row r="4997" spans="1:26" x14ac:dyDescent="0.2">
      <c r="A4997" s="21"/>
      <c r="B4997" s="20"/>
      <c r="C4997" s="22"/>
      <c r="D4997" s="22"/>
      <c r="E4997" s="24"/>
      <c r="F4997" s="22"/>
      <c r="H4997" s="21"/>
      <c r="I4997" s="22"/>
      <c r="J4997" s="22"/>
      <c r="K4997" s="24"/>
      <c r="M4997" s="21"/>
      <c r="N4997" s="22"/>
      <c r="O4997" s="22"/>
      <c r="P4997" s="49"/>
      <c r="Q4997" s="49"/>
      <c r="R4997" s="188" t="str">
        <f t="shared" si="161"/>
        <v/>
      </c>
      <c r="T4997" s="21"/>
      <c r="U4997" s="22"/>
      <c r="V4997" s="24"/>
      <c r="W4997" s="24"/>
      <c r="X4997" s="24"/>
      <c r="Y4997" s="24"/>
      <c r="Z4997" s="20" t="str">
        <f t="shared" si="160"/>
        <v/>
      </c>
    </row>
    <row r="4998" spans="1:26" x14ac:dyDescent="0.2">
      <c r="A4998" s="21"/>
      <c r="B4998" s="20"/>
      <c r="C4998" s="22"/>
      <c r="D4998" s="22"/>
      <c r="E4998" s="24"/>
      <c r="F4998" s="22"/>
      <c r="H4998" s="21"/>
      <c r="I4998" s="22"/>
      <c r="J4998" s="22"/>
      <c r="K4998" s="24"/>
      <c r="M4998" s="21"/>
      <c r="N4998" s="22"/>
      <c r="O4998" s="22"/>
      <c r="P4998" s="49"/>
      <c r="Q4998" s="49"/>
      <c r="R4998" s="188" t="str">
        <f t="shared" si="161"/>
        <v/>
      </c>
      <c r="T4998" s="21"/>
      <c r="U4998" s="22"/>
      <c r="V4998" s="24"/>
      <c r="W4998" s="24"/>
      <c r="X4998" s="24"/>
      <c r="Y4998" s="24"/>
      <c r="Z4998" s="20" t="str">
        <f t="shared" si="160"/>
        <v/>
      </c>
    </row>
    <row r="4999" spans="1:26" x14ac:dyDescent="0.2">
      <c r="A4999" s="21"/>
      <c r="B4999" s="20"/>
      <c r="C4999" s="22"/>
      <c r="D4999" s="22"/>
      <c r="E4999" s="24"/>
      <c r="F4999" s="22"/>
      <c r="H4999" s="21"/>
      <c r="I4999" s="22"/>
      <c r="J4999" s="22"/>
      <c r="K4999" s="24"/>
      <c r="M4999" s="21"/>
      <c r="N4999" s="22"/>
      <c r="O4999" s="22"/>
      <c r="P4999" s="49"/>
      <c r="Q4999" s="49"/>
      <c r="R4999" s="188" t="str">
        <f t="shared" si="161"/>
        <v/>
      </c>
      <c r="T4999" s="21"/>
      <c r="U4999" s="22"/>
      <c r="V4999" s="24"/>
      <c r="W4999" s="24"/>
      <c r="X4999" s="24"/>
      <c r="Y4999" s="24"/>
      <c r="Z4999" s="20" t="str">
        <f t="shared" si="160"/>
        <v/>
      </c>
    </row>
    <row r="5000" spans="1:26" x14ac:dyDescent="0.2">
      <c r="A5000" s="21"/>
      <c r="B5000" s="20"/>
      <c r="C5000" s="22"/>
      <c r="D5000" s="22"/>
      <c r="E5000" s="24"/>
      <c r="F5000" s="22"/>
      <c r="H5000" s="21"/>
      <c r="I5000" s="22"/>
      <c r="J5000" s="22"/>
      <c r="K5000" s="24"/>
      <c r="M5000" s="21"/>
      <c r="N5000" s="22"/>
      <c r="O5000" s="22"/>
      <c r="P5000" s="49"/>
      <c r="Q5000" s="49"/>
      <c r="R5000" s="188" t="str">
        <f t="shared" si="161"/>
        <v/>
      </c>
      <c r="T5000" s="21"/>
      <c r="U5000" s="22"/>
      <c r="V5000" s="24"/>
      <c r="W5000" s="24"/>
      <c r="X5000" s="24"/>
      <c r="Y5000" s="24"/>
      <c r="Z5000" s="20" t="str">
        <f t="shared" si="160"/>
        <v/>
      </c>
    </row>
    <row r="5001" spans="1:26" x14ac:dyDescent="0.2">
      <c r="R5001" s="189" t="str">
        <f t="shared" si="161"/>
        <v/>
      </c>
    </row>
    <row r="5002" spans="1:26" x14ac:dyDescent="0.2">
      <c r="R5002" s="189" t="str">
        <f t="shared" si="161"/>
        <v/>
      </c>
    </row>
    <row r="5003" spans="1:26" x14ac:dyDescent="0.2">
      <c r="R5003" s="189" t="str">
        <f t="shared" si="161"/>
        <v/>
      </c>
    </row>
    <row r="5004" spans="1:26" x14ac:dyDescent="0.2">
      <c r="R5004" s="189" t="str">
        <f t="shared" si="161"/>
        <v/>
      </c>
    </row>
    <row r="5005" spans="1:26" x14ac:dyDescent="0.2">
      <c r="R5005" s="189" t="str">
        <f t="shared" si="161"/>
        <v/>
      </c>
    </row>
    <row r="5006" spans="1:26" x14ac:dyDescent="0.2">
      <c r="R5006" s="189" t="str">
        <f t="shared" si="161"/>
        <v/>
      </c>
    </row>
    <row r="5007" spans="1:26" x14ac:dyDescent="0.2">
      <c r="R5007" s="189" t="str">
        <f t="shared" si="161"/>
        <v/>
      </c>
    </row>
    <row r="5008" spans="1:26" x14ac:dyDescent="0.2">
      <c r="R5008" s="189" t="str">
        <f t="shared" si="161"/>
        <v/>
      </c>
    </row>
    <row r="5009" spans="18:18" x14ac:dyDescent="0.2">
      <c r="R5009" s="189" t="str">
        <f t="shared" si="161"/>
        <v/>
      </c>
    </row>
    <row r="5010" spans="18:18" x14ac:dyDescent="0.2">
      <c r="R5010" s="189" t="str">
        <f t="shared" si="161"/>
        <v/>
      </c>
    </row>
    <row r="5011" spans="18:18" x14ac:dyDescent="0.2">
      <c r="R5011" s="189" t="str">
        <f t="shared" si="161"/>
        <v/>
      </c>
    </row>
    <row r="5012" spans="18:18" x14ac:dyDescent="0.2">
      <c r="R5012" s="189" t="str">
        <f t="shared" si="161"/>
        <v/>
      </c>
    </row>
    <row r="5013" spans="18:18" x14ac:dyDescent="0.2">
      <c r="R5013" s="189" t="str">
        <f t="shared" si="161"/>
        <v/>
      </c>
    </row>
    <row r="5014" spans="18:18" x14ac:dyDescent="0.2">
      <c r="R5014" s="189" t="str">
        <f t="shared" ref="R5014:R5077" si="162">IF(OR(P5014="",Q5014=""),"",IFERROR(P5014-Q5014,""))</f>
        <v/>
      </c>
    </row>
    <row r="5015" spans="18:18" x14ac:dyDescent="0.2">
      <c r="R5015" s="189" t="str">
        <f t="shared" si="162"/>
        <v/>
      </c>
    </row>
    <row r="5016" spans="18:18" x14ac:dyDescent="0.2">
      <c r="R5016" s="189" t="str">
        <f t="shared" si="162"/>
        <v/>
      </c>
    </row>
    <row r="5017" spans="18:18" x14ac:dyDescent="0.2">
      <c r="R5017" s="189" t="str">
        <f t="shared" si="162"/>
        <v/>
      </c>
    </row>
    <row r="5018" spans="18:18" x14ac:dyDescent="0.2">
      <c r="R5018" s="189" t="str">
        <f t="shared" si="162"/>
        <v/>
      </c>
    </row>
    <row r="5019" spans="18:18" x14ac:dyDescent="0.2">
      <c r="R5019" s="189" t="str">
        <f t="shared" si="162"/>
        <v/>
      </c>
    </row>
    <row r="5020" spans="18:18" x14ac:dyDescent="0.2">
      <c r="R5020" s="189" t="str">
        <f t="shared" si="162"/>
        <v/>
      </c>
    </row>
    <row r="5021" spans="18:18" x14ac:dyDescent="0.2">
      <c r="R5021" s="189" t="str">
        <f t="shared" si="162"/>
        <v/>
      </c>
    </row>
    <row r="5022" spans="18:18" x14ac:dyDescent="0.2">
      <c r="R5022" s="189" t="str">
        <f t="shared" si="162"/>
        <v/>
      </c>
    </row>
    <row r="5023" spans="18:18" x14ac:dyDescent="0.2">
      <c r="R5023" s="189" t="str">
        <f t="shared" si="162"/>
        <v/>
      </c>
    </row>
    <row r="5024" spans="18:18" x14ac:dyDescent="0.2">
      <c r="R5024" s="189" t="str">
        <f t="shared" si="162"/>
        <v/>
      </c>
    </row>
    <row r="5025" spans="18:18" x14ac:dyDescent="0.2">
      <c r="R5025" s="189" t="str">
        <f t="shared" si="162"/>
        <v/>
      </c>
    </row>
    <row r="5026" spans="18:18" x14ac:dyDescent="0.2">
      <c r="R5026" s="189" t="str">
        <f t="shared" si="162"/>
        <v/>
      </c>
    </row>
    <row r="5027" spans="18:18" x14ac:dyDescent="0.2">
      <c r="R5027" s="189" t="str">
        <f t="shared" si="162"/>
        <v/>
      </c>
    </row>
    <row r="5028" spans="18:18" x14ac:dyDescent="0.2">
      <c r="R5028" s="189" t="str">
        <f t="shared" si="162"/>
        <v/>
      </c>
    </row>
    <row r="5029" spans="18:18" x14ac:dyDescent="0.2">
      <c r="R5029" s="189" t="str">
        <f t="shared" si="162"/>
        <v/>
      </c>
    </row>
    <row r="5030" spans="18:18" x14ac:dyDescent="0.2">
      <c r="R5030" s="189" t="str">
        <f t="shared" si="162"/>
        <v/>
      </c>
    </row>
    <row r="5031" spans="18:18" x14ac:dyDescent="0.2">
      <c r="R5031" s="189" t="str">
        <f t="shared" si="162"/>
        <v/>
      </c>
    </row>
    <row r="5032" spans="18:18" x14ac:dyDescent="0.2">
      <c r="R5032" s="189" t="str">
        <f t="shared" si="162"/>
        <v/>
      </c>
    </row>
    <row r="5033" spans="18:18" x14ac:dyDescent="0.2">
      <c r="R5033" s="189" t="str">
        <f t="shared" si="162"/>
        <v/>
      </c>
    </row>
    <row r="5034" spans="18:18" x14ac:dyDescent="0.2">
      <c r="R5034" s="189" t="str">
        <f t="shared" si="162"/>
        <v/>
      </c>
    </row>
    <row r="5035" spans="18:18" x14ac:dyDescent="0.2">
      <c r="R5035" s="189" t="str">
        <f t="shared" si="162"/>
        <v/>
      </c>
    </row>
    <row r="5036" spans="18:18" x14ac:dyDescent="0.2">
      <c r="R5036" s="189" t="str">
        <f t="shared" si="162"/>
        <v/>
      </c>
    </row>
    <row r="5037" spans="18:18" x14ac:dyDescent="0.2">
      <c r="R5037" s="189" t="str">
        <f t="shared" si="162"/>
        <v/>
      </c>
    </row>
    <row r="5038" spans="18:18" x14ac:dyDescent="0.2">
      <c r="R5038" s="189" t="str">
        <f t="shared" si="162"/>
        <v/>
      </c>
    </row>
    <row r="5039" spans="18:18" x14ac:dyDescent="0.2">
      <c r="R5039" s="189" t="str">
        <f t="shared" si="162"/>
        <v/>
      </c>
    </row>
    <row r="5040" spans="18:18" x14ac:dyDescent="0.2">
      <c r="R5040" s="189" t="str">
        <f t="shared" si="162"/>
        <v/>
      </c>
    </row>
    <row r="5041" spans="18:18" x14ac:dyDescent="0.2">
      <c r="R5041" s="189" t="str">
        <f t="shared" si="162"/>
        <v/>
      </c>
    </row>
    <row r="5042" spans="18:18" x14ac:dyDescent="0.2">
      <c r="R5042" s="189" t="str">
        <f t="shared" si="162"/>
        <v/>
      </c>
    </row>
    <row r="5043" spans="18:18" x14ac:dyDescent="0.2">
      <c r="R5043" s="189" t="str">
        <f t="shared" si="162"/>
        <v/>
      </c>
    </row>
    <row r="5044" spans="18:18" x14ac:dyDescent="0.2">
      <c r="R5044" s="189" t="str">
        <f t="shared" si="162"/>
        <v/>
      </c>
    </row>
    <row r="5045" spans="18:18" x14ac:dyDescent="0.2">
      <c r="R5045" s="189" t="str">
        <f t="shared" si="162"/>
        <v/>
      </c>
    </row>
    <row r="5046" spans="18:18" x14ac:dyDescent="0.2">
      <c r="R5046" s="189" t="str">
        <f t="shared" si="162"/>
        <v/>
      </c>
    </row>
    <row r="5047" spans="18:18" x14ac:dyDescent="0.2">
      <c r="R5047" s="189" t="str">
        <f t="shared" si="162"/>
        <v/>
      </c>
    </row>
    <row r="5048" spans="18:18" x14ac:dyDescent="0.2">
      <c r="R5048" s="189" t="str">
        <f t="shared" si="162"/>
        <v/>
      </c>
    </row>
    <row r="5049" spans="18:18" x14ac:dyDescent="0.2">
      <c r="R5049" s="189" t="str">
        <f t="shared" si="162"/>
        <v/>
      </c>
    </row>
    <row r="5050" spans="18:18" x14ac:dyDescent="0.2">
      <c r="R5050" s="189" t="str">
        <f t="shared" si="162"/>
        <v/>
      </c>
    </row>
    <row r="5051" spans="18:18" x14ac:dyDescent="0.2">
      <c r="R5051" s="189" t="str">
        <f t="shared" si="162"/>
        <v/>
      </c>
    </row>
    <row r="5052" spans="18:18" x14ac:dyDescent="0.2">
      <c r="R5052" s="189" t="str">
        <f t="shared" si="162"/>
        <v/>
      </c>
    </row>
    <row r="5053" spans="18:18" x14ac:dyDescent="0.2">
      <c r="R5053" s="189" t="str">
        <f t="shared" si="162"/>
        <v/>
      </c>
    </row>
    <row r="5054" spans="18:18" x14ac:dyDescent="0.2">
      <c r="R5054" s="189" t="str">
        <f t="shared" si="162"/>
        <v/>
      </c>
    </row>
    <row r="5055" spans="18:18" x14ac:dyDescent="0.2">
      <c r="R5055" s="189" t="str">
        <f t="shared" si="162"/>
        <v/>
      </c>
    </row>
    <row r="5056" spans="18:18" x14ac:dyDescent="0.2">
      <c r="R5056" s="189" t="str">
        <f t="shared" si="162"/>
        <v/>
      </c>
    </row>
    <row r="5057" spans="18:18" x14ac:dyDescent="0.2">
      <c r="R5057" s="189" t="str">
        <f t="shared" si="162"/>
        <v/>
      </c>
    </row>
    <row r="5058" spans="18:18" x14ac:dyDescent="0.2">
      <c r="R5058" s="189" t="str">
        <f t="shared" si="162"/>
        <v/>
      </c>
    </row>
    <row r="5059" spans="18:18" x14ac:dyDescent="0.2">
      <c r="R5059" s="189" t="str">
        <f t="shared" si="162"/>
        <v/>
      </c>
    </row>
    <row r="5060" spans="18:18" x14ac:dyDescent="0.2">
      <c r="R5060" s="189" t="str">
        <f t="shared" si="162"/>
        <v/>
      </c>
    </row>
    <row r="5061" spans="18:18" x14ac:dyDescent="0.2">
      <c r="R5061" s="189" t="str">
        <f t="shared" si="162"/>
        <v/>
      </c>
    </row>
    <row r="5062" spans="18:18" x14ac:dyDescent="0.2">
      <c r="R5062" s="189" t="str">
        <f t="shared" si="162"/>
        <v/>
      </c>
    </row>
    <row r="5063" spans="18:18" x14ac:dyDescent="0.2">
      <c r="R5063" s="189" t="str">
        <f t="shared" si="162"/>
        <v/>
      </c>
    </row>
    <row r="5064" spans="18:18" x14ac:dyDescent="0.2">
      <c r="R5064" s="189" t="str">
        <f t="shared" si="162"/>
        <v/>
      </c>
    </row>
    <row r="5065" spans="18:18" x14ac:dyDescent="0.2">
      <c r="R5065" s="189" t="str">
        <f t="shared" si="162"/>
        <v/>
      </c>
    </row>
    <row r="5066" spans="18:18" x14ac:dyDescent="0.2">
      <c r="R5066" s="189" t="str">
        <f t="shared" si="162"/>
        <v/>
      </c>
    </row>
    <row r="5067" spans="18:18" x14ac:dyDescent="0.2">
      <c r="R5067" s="189" t="str">
        <f t="shared" si="162"/>
        <v/>
      </c>
    </row>
    <row r="5068" spans="18:18" x14ac:dyDescent="0.2">
      <c r="R5068" s="189" t="str">
        <f t="shared" si="162"/>
        <v/>
      </c>
    </row>
    <row r="5069" spans="18:18" x14ac:dyDescent="0.2">
      <c r="R5069" s="189" t="str">
        <f t="shared" si="162"/>
        <v/>
      </c>
    </row>
    <row r="5070" spans="18:18" x14ac:dyDescent="0.2">
      <c r="R5070" s="189" t="str">
        <f t="shared" si="162"/>
        <v/>
      </c>
    </row>
    <row r="5071" spans="18:18" x14ac:dyDescent="0.2">
      <c r="R5071" s="189" t="str">
        <f t="shared" si="162"/>
        <v/>
      </c>
    </row>
    <row r="5072" spans="18:18" x14ac:dyDescent="0.2">
      <c r="R5072" s="189" t="str">
        <f t="shared" si="162"/>
        <v/>
      </c>
    </row>
    <row r="5073" spans="18:18" x14ac:dyDescent="0.2">
      <c r="R5073" s="189" t="str">
        <f t="shared" si="162"/>
        <v/>
      </c>
    </row>
    <row r="5074" spans="18:18" x14ac:dyDescent="0.2">
      <c r="R5074" s="189" t="str">
        <f t="shared" si="162"/>
        <v/>
      </c>
    </row>
    <row r="5075" spans="18:18" x14ac:dyDescent="0.2">
      <c r="R5075" s="189" t="str">
        <f t="shared" si="162"/>
        <v/>
      </c>
    </row>
    <row r="5076" spans="18:18" x14ac:dyDescent="0.2">
      <c r="R5076" s="189" t="str">
        <f t="shared" si="162"/>
        <v/>
      </c>
    </row>
    <row r="5077" spans="18:18" x14ac:dyDescent="0.2">
      <c r="R5077" s="189" t="str">
        <f t="shared" si="162"/>
        <v/>
      </c>
    </row>
    <row r="5078" spans="18:18" x14ac:dyDescent="0.2">
      <c r="R5078" s="189" t="str">
        <f t="shared" ref="R5078:R5141" si="163">IF(OR(P5078="",Q5078=""),"",IFERROR(P5078-Q5078,""))</f>
        <v/>
      </c>
    </row>
    <row r="5079" spans="18:18" x14ac:dyDescent="0.2">
      <c r="R5079" s="189" t="str">
        <f t="shared" si="163"/>
        <v/>
      </c>
    </row>
    <row r="5080" spans="18:18" x14ac:dyDescent="0.2">
      <c r="R5080" s="189" t="str">
        <f t="shared" si="163"/>
        <v/>
      </c>
    </row>
    <row r="5081" spans="18:18" x14ac:dyDescent="0.2">
      <c r="R5081" s="189" t="str">
        <f t="shared" si="163"/>
        <v/>
      </c>
    </row>
    <row r="5082" spans="18:18" x14ac:dyDescent="0.2">
      <c r="R5082" s="189" t="str">
        <f t="shared" si="163"/>
        <v/>
      </c>
    </row>
    <row r="5083" spans="18:18" x14ac:dyDescent="0.2">
      <c r="R5083" s="189" t="str">
        <f t="shared" si="163"/>
        <v/>
      </c>
    </row>
    <row r="5084" spans="18:18" x14ac:dyDescent="0.2">
      <c r="R5084" s="189" t="str">
        <f t="shared" si="163"/>
        <v/>
      </c>
    </row>
    <row r="5085" spans="18:18" x14ac:dyDescent="0.2">
      <c r="R5085" s="189" t="str">
        <f t="shared" si="163"/>
        <v/>
      </c>
    </row>
    <row r="5086" spans="18:18" x14ac:dyDescent="0.2">
      <c r="R5086" s="189" t="str">
        <f t="shared" si="163"/>
        <v/>
      </c>
    </row>
    <row r="5087" spans="18:18" x14ac:dyDescent="0.2">
      <c r="R5087" s="189" t="str">
        <f t="shared" si="163"/>
        <v/>
      </c>
    </row>
    <row r="5088" spans="18:18" x14ac:dyDescent="0.2">
      <c r="R5088" s="189" t="str">
        <f t="shared" si="163"/>
        <v/>
      </c>
    </row>
    <row r="5089" spans="18:18" x14ac:dyDescent="0.2">
      <c r="R5089" s="189" t="str">
        <f t="shared" si="163"/>
        <v/>
      </c>
    </row>
    <row r="5090" spans="18:18" x14ac:dyDescent="0.2">
      <c r="R5090" s="189" t="str">
        <f t="shared" si="163"/>
        <v/>
      </c>
    </row>
    <row r="5091" spans="18:18" x14ac:dyDescent="0.2">
      <c r="R5091" s="189" t="str">
        <f t="shared" si="163"/>
        <v/>
      </c>
    </row>
    <row r="5092" spans="18:18" x14ac:dyDescent="0.2">
      <c r="R5092" s="189" t="str">
        <f t="shared" si="163"/>
        <v/>
      </c>
    </row>
    <row r="5093" spans="18:18" x14ac:dyDescent="0.2">
      <c r="R5093" s="189" t="str">
        <f t="shared" si="163"/>
        <v/>
      </c>
    </row>
    <row r="5094" spans="18:18" x14ac:dyDescent="0.2">
      <c r="R5094" s="189" t="str">
        <f t="shared" si="163"/>
        <v/>
      </c>
    </row>
    <row r="5095" spans="18:18" x14ac:dyDescent="0.2">
      <c r="R5095" s="189" t="str">
        <f t="shared" si="163"/>
        <v/>
      </c>
    </row>
    <row r="5096" spans="18:18" x14ac:dyDescent="0.2">
      <c r="R5096" s="189" t="str">
        <f t="shared" si="163"/>
        <v/>
      </c>
    </row>
    <row r="5097" spans="18:18" x14ac:dyDescent="0.2">
      <c r="R5097" s="189" t="str">
        <f t="shared" si="163"/>
        <v/>
      </c>
    </row>
    <row r="5098" spans="18:18" x14ac:dyDescent="0.2">
      <c r="R5098" s="189" t="str">
        <f t="shared" si="163"/>
        <v/>
      </c>
    </row>
    <row r="5099" spans="18:18" x14ac:dyDescent="0.2">
      <c r="R5099" s="189" t="str">
        <f t="shared" si="163"/>
        <v/>
      </c>
    </row>
    <row r="5100" spans="18:18" x14ac:dyDescent="0.2">
      <c r="R5100" s="189" t="str">
        <f t="shared" si="163"/>
        <v/>
      </c>
    </row>
    <row r="5101" spans="18:18" x14ac:dyDescent="0.2">
      <c r="R5101" s="189" t="str">
        <f t="shared" si="163"/>
        <v/>
      </c>
    </row>
    <row r="5102" spans="18:18" x14ac:dyDescent="0.2">
      <c r="R5102" s="189" t="str">
        <f t="shared" si="163"/>
        <v/>
      </c>
    </row>
    <row r="5103" spans="18:18" x14ac:dyDescent="0.2">
      <c r="R5103" s="189" t="str">
        <f t="shared" si="163"/>
        <v/>
      </c>
    </row>
    <row r="5104" spans="18:18" x14ac:dyDescent="0.2">
      <c r="R5104" s="189" t="str">
        <f t="shared" si="163"/>
        <v/>
      </c>
    </row>
    <row r="5105" spans="18:18" x14ac:dyDescent="0.2">
      <c r="R5105" s="189" t="str">
        <f t="shared" si="163"/>
        <v/>
      </c>
    </row>
    <row r="5106" spans="18:18" x14ac:dyDescent="0.2">
      <c r="R5106" s="189" t="str">
        <f t="shared" si="163"/>
        <v/>
      </c>
    </row>
    <row r="5107" spans="18:18" x14ac:dyDescent="0.2">
      <c r="R5107" s="189" t="str">
        <f t="shared" si="163"/>
        <v/>
      </c>
    </row>
    <row r="5108" spans="18:18" x14ac:dyDescent="0.2">
      <c r="R5108" s="189" t="str">
        <f t="shared" si="163"/>
        <v/>
      </c>
    </row>
    <row r="5109" spans="18:18" x14ac:dyDescent="0.2">
      <c r="R5109" s="189" t="str">
        <f t="shared" si="163"/>
        <v/>
      </c>
    </row>
    <row r="5110" spans="18:18" x14ac:dyDescent="0.2">
      <c r="R5110" s="189" t="str">
        <f t="shared" si="163"/>
        <v/>
      </c>
    </row>
    <row r="5111" spans="18:18" x14ac:dyDescent="0.2">
      <c r="R5111" s="189" t="str">
        <f t="shared" si="163"/>
        <v/>
      </c>
    </row>
    <row r="5112" spans="18:18" x14ac:dyDescent="0.2">
      <c r="R5112" s="189" t="str">
        <f t="shared" si="163"/>
        <v/>
      </c>
    </row>
    <row r="5113" spans="18:18" x14ac:dyDescent="0.2">
      <c r="R5113" s="189" t="str">
        <f t="shared" si="163"/>
        <v/>
      </c>
    </row>
    <row r="5114" spans="18:18" x14ac:dyDescent="0.2">
      <c r="R5114" s="189" t="str">
        <f t="shared" si="163"/>
        <v/>
      </c>
    </row>
    <row r="5115" spans="18:18" x14ac:dyDescent="0.2">
      <c r="R5115" s="189" t="str">
        <f t="shared" si="163"/>
        <v/>
      </c>
    </row>
    <row r="5116" spans="18:18" x14ac:dyDescent="0.2">
      <c r="R5116" s="189" t="str">
        <f t="shared" si="163"/>
        <v/>
      </c>
    </row>
    <row r="5117" spans="18:18" x14ac:dyDescent="0.2">
      <c r="R5117" s="189" t="str">
        <f t="shared" si="163"/>
        <v/>
      </c>
    </row>
    <row r="5118" spans="18:18" x14ac:dyDescent="0.2">
      <c r="R5118" s="189" t="str">
        <f t="shared" si="163"/>
        <v/>
      </c>
    </row>
    <row r="5119" spans="18:18" x14ac:dyDescent="0.2">
      <c r="R5119" s="189" t="str">
        <f t="shared" si="163"/>
        <v/>
      </c>
    </row>
    <row r="5120" spans="18:18" x14ac:dyDescent="0.2">
      <c r="R5120" s="189" t="str">
        <f t="shared" si="163"/>
        <v/>
      </c>
    </row>
    <row r="5121" spans="18:18" x14ac:dyDescent="0.2">
      <c r="R5121" s="189" t="str">
        <f t="shared" si="163"/>
        <v/>
      </c>
    </row>
    <row r="5122" spans="18:18" x14ac:dyDescent="0.2">
      <c r="R5122" s="189" t="str">
        <f t="shared" si="163"/>
        <v/>
      </c>
    </row>
    <row r="5123" spans="18:18" x14ac:dyDescent="0.2">
      <c r="R5123" s="189" t="str">
        <f t="shared" si="163"/>
        <v/>
      </c>
    </row>
    <row r="5124" spans="18:18" x14ac:dyDescent="0.2">
      <c r="R5124" s="189" t="str">
        <f t="shared" si="163"/>
        <v/>
      </c>
    </row>
    <row r="5125" spans="18:18" x14ac:dyDescent="0.2">
      <c r="R5125" s="189" t="str">
        <f t="shared" si="163"/>
        <v/>
      </c>
    </row>
    <row r="5126" spans="18:18" x14ac:dyDescent="0.2">
      <c r="R5126" s="189" t="str">
        <f t="shared" si="163"/>
        <v/>
      </c>
    </row>
    <row r="5127" spans="18:18" x14ac:dyDescent="0.2">
      <c r="R5127" s="189" t="str">
        <f t="shared" si="163"/>
        <v/>
      </c>
    </row>
    <row r="5128" spans="18:18" x14ac:dyDescent="0.2">
      <c r="R5128" s="189" t="str">
        <f t="shared" si="163"/>
        <v/>
      </c>
    </row>
    <row r="5129" spans="18:18" x14ac:dyDescent="0.2">
      <c r="R5129" s="189" t="str">
        <f t="shared" si="163"/>
        <v/>
      </c>
    </row>
    <row r="5130" spans="18:18" x14ac:dyDescent="0.2">
      <c r="R5130" s="189" t="str">
        <f t="shared" si="163"/>
        <v/>
      </c>
    </row>
    <row r="5131" spans="18:18" x14ac:dyDescent="0.2">
      <c r="R5131" s="189" t="str">
        <f t="shared" si="163"/>
        <v/>
      </c>
    </row>
    <row r="5132" spans="18:18" x14ac:dyDescent="0.2">
      <c r="R5132" s="189" t="str">
        <f t="shared" si="163"/>
        <v/>
      </c>
    </row>
    <row r="5133" spans="18:18" x14ac:dyDescent="0.2">
      <c r="R5133" s="189" t="str">
        <f t="shared" si="163"/>
        <v/>
      </c>
    </row>
    <row r="5134" spans="18:18" x14ac:dyDescent="0.2">
      <c r="R5134" s="189" t="str">
        <f t="shared" si="163"/>
        <v/>
      </c>
    </row>
    <row r="5135" spans="18:18" x14ac:dyDescent="0.2">
      <c r="R5135" s="189" t="str">
        <f t="shared" si="163"/>
        <v/>
      </c>
    </row>
    <row r="5136" spans="18:18" x14ac:dyDescent="0.2">
      <c r="R5136" s="189" t="str">
        <f t="shared" si="163"/>
        <v/>
      </c>
    </row>
    <row r="5137" spans="18:18" x14ac:dyDescent="0.2">
      <c r="R5137" s="189" t="str">
        <f t="shared" si="163"/>
        <v/>
      </c>
    </row>
    <row r="5138" spans="18:18" x14ac:dyDescent="0.2">
      <c r="R5138" s="189" t="str">
        <f t="shared" si="163"/>
        <v/>
      </c>
    </row>
    <row r="5139" spans="18:18" x14ac:dyDescent="0.2">
      <c r="R5139" s="189" t="str">
        <f t="shared" si="163"/>
        <v/>
      </c>
    </row>
    <row r="5140" spans="18:18" x14ac:dyDescent="0.2">
      <c r="R5140" s="189" t="str">
        <f t="shared" si="163"/>
        <v/>
      </c>
    </row>
    <row r="5141" spans="18:18" x14ac:dyDescent="0.2">
      <c r="R5141" s="189" t="str">
        <f t="shared" si="163"/>
        <v/>
      </c>
    </row>
    <row r="5142" spans="18:18" x14ac:dyDescent="0.2">
      <c r="R5142" s="189" t="str">
        <f t="shared" ref="R5142:R5205" si="164">IF(OR(P5142="",Q5142=""),"",IFERROR(P5142-Q5142,""))</f>
        <v/>
      </c>
    </row>
    <row r="5143" spans="18:18" x14ac:dyDescent="0.2">
      <c r="R5143" s="189" t="str">
        <f t="shared" si="164"/>
        <v/>
      </c>
    </row>
    <row r="5144" spans="18:18" x14ac:dyDescent="0.2">
      <c r="R5144" s="189" t="str">
        <f t="shared" si="164"/>
        <v/>
      </c>
    </row>
    <row r="5145" spans="18:18" x14ac:dyDescent="0.2">
      <c r="R5145" s="189" t="str">
        <f t="shared" si="164"/>
        <v/>
      </c>
    </row>
    <row r="5146" spans="18:18" x14ac:dyDescent="0.2">
      <c r="R5146" s="189" t="str">
        <f t="shared" si="164"/>
        <v/>
      </c>
    </row>
    <row r="5147" spans="18:18" x14ac:dyDescent="0.2">
      <c r="R5147" s="189" t="str">
        <f t="shared" si="164"/>
        <v/>
      </c>
    </row>
    <row r="5148" spans="18:18" x14ac:dyDescent="0.2">
      <c r="R5148" s="189" t="str">
        <f t="shared" si="164"/>
        <v/>
      </c>
    </row>
    <row r="5149" spans="18:18" x14ac:dyDescent="0.2">
      <c r="R5149" s="189" t="str">
        <f t="shared" si="164"/>
        <v/>
      </c>
    </row>
    <row r="5150" spans="18:18" x14ac:dyDescent="0.2">
      <c r="R5150" s="189" t="str">
        <f t="shared" si="164"/>
        <v/>
      </c>
    </row>
    <row r="5151" spans="18:18" x14ac:dyDescent="0.2">
      <c r="R5151" s="189" t="str">
        <f t="shared" si="164"/>
        <v/>
      </c>
    </row>
    <row r="5152" spans="18:18" x14ac:dyDescent="0.2">
      <c r="R5152" s="189" t="str">
        <f t="shared" si="164"/>
        <v/>
      </c>
    </row>
    <row r="5153" spans="18:18" x14ac:dyDescent="0.2">
      <c r="R5153" s="189" t="str">
        <f t="shared" si="164"/>
        <v/>
      </c>
    </row>
    <row r="5154" spans="18:18" x14ac:dyDescent="0.2">
      <c r="R5154" s="189" t="str">
        <f t="shared" si="164"/>
        <v/>
      </c>
    </row>
    <row r="5155" spans="18:18" x14ac:dyDescent="0.2">
      <c r="R5155" s="189" t="str">
        <f t="shared" si="164"/>
        <v/>
      </c>
    </row>
    <row r="5156" spans="18:18" x14ac:dyDescent="0.2">
      <c r="R5156" s="189" t="str">
        <f t="shared" si="164"/>
        <v/>
      </c>
    </row>
    <row r="5157" spans="18:18" x14ac:dyDescent="0.2">
      <c r="R5157" s="189" t="str">
        <f t="shared" si="164"/>
        <v/>
      </c>
    </row>
    <row r="5158" spans="18:18" x14ac:dyDescent="0.2">
      <c r="R5158" s="189" t="str">
        <f t="shared" si="164"/>
        <v/>
      </c>
    </row>
    <row r="5159" spans="18:18" x14ac:dyDescent="0.2">
      <c r="R5159" s="189" t="str">
        <f t="shared" si="164"/>
        <v/>
      </c>
    </row>
    <row r="5160" spans="18:18" x14ac:dyDescent="0.2">
      <c r="R5160" s="189" t="str">
        <f t="shared" si="164"/>
        <v/>
      </c>
    </row>
    <row r="5161" spans="18:18" x14ac:dyDescent="0.2">
      <c r="R5161" s="189" t="str">
        <f t="shared" si="164"/>
        <v/>
      </c>
    </row>
    <row r="5162" spans="18:18" x14ac:dyDescent="0.2">
      <c r="R5162" s="189" t="str">
        <f t="shared" si="164"/>
        <v/>
      </c>
    </row>
    <row r="5163" spans="18:18" x14ac:dyDescent="0.2">
      <c r="R5163" s="189" t="str">
        <f t="shared" si="164"/>
        <v/>
      </c>
    </row>
    <row r="5164" spans="18:18" x14ac:dyDescent="0.2">
      <c r="R5164" s="189" t="str">
        <f t="shared" si="164"/>
        <v/>
      </c>
    </row>
    <row r="5165" spans="18:18" x14ac:dyDescent="0.2">
      <c r="R5165" s="189" t="str">
        <f t="shared" si="164"/>
        <v/>
      </c>
    </row>
    <row r="5166" spans="18:18" x14ac:dyDescent="0.2">
      <c r="R5166" s="189" t="str">
        <f t="shared" si="164"/>
        <v/>
      </c>
    </row>
    <row r="5167" spans="18:18" x14ac:dyDescent="0.2">
      <c r="R5167" s="189" t="str">
        <f t="shared" si="164"/>
        <v/>
      </c>
    </row>
    <row r="5168" spans="18:18" x14ac:dyDescent="0.2">
      <c r="R5168" s="189" t="str">
        <f t="shared" si="164"/>
        <v/>
      </c>
    </row>
    <row r="5169" spans="18:18" x14ac:dyDescent="0.2">
      <c r="R5169" s="189" t="str">
        <f t="shared" si="164"/>
        <v/>
      </c>
    </row>
    <row r="5170" spans="18:18" x14ac:dyDescent="0.2">
      <c r="R5170" s="189" t="str">
        <f t="shared" si="164"/>
        <v/>
      </c>
    </row>
    <row r="5171" spans="18:18" x14ac:dyDescent="0.2">
      <c r="R5171" s="189" t="str">
        <f t="shared" si="164"/>
        <v/>
      </c>
    </row>
    <row r="5172" spans="18:18" x14ac:dyDescent="0.2">
      <c r="R5172" s="189" t="str">
        <f t="shared" si="164"/>
        <v/>
      </c>
    </row>
    <row r="5173" spans="18:18" x14ac:dyDescent="0.2">
      <c r="R5173" s="189" t="str">
        <f t="shared" si="164"/>
        <v/>
      </c>
    </row>
    <row r="5174" spans="18:18" x14ac:dyDescent="0.2">
      <c r="R5174" s="189" t="str">
        <f t="shared" si="164"/>
        <v/>
      </c>
    </row>
    <row r="5175" spans="18:18" x14ac:dyDescent="0.2">
      <c r="R5175" s="189" t="str">
        <f t="shared" si="164"/>
        <v/>
      </c>
    </row>
    <row r="5176" spans="18:18" x14ac:dyDescent="0.2">
      <c r="R5176" s="189" t="str">
        <f t="shared" si="164"/>
        <v/>
      </c>
    </row>
    <row r="5177" spans="18:18" x14ac:dyDescent="0.2">
      <c r="R5177" s="189" t="str">
        <f t="shared" si="164"/>
        <v/>
      </c>
    </row>
    <row r="5178" spans="18:18" x14ac:dyDescent="0.2">
      <c r="R5178" s="189" t="str">
        <f t="shared" si="164"/>
        <v/>
      </c>
    </row>
    <row r="5179" spans="18:18" x14ac:dyDescent="0.2">
      <c r="R5179" s="189" t="str">
        <f t="shared" si="164"/>
        <v/>
      </c>
    </row>
    <row r="5180" spans="18:18" x14ac:dyDescent="0.2">
      <c r="R5180" s="189" t="str">
        <f t="shared" si="164"/>
        <v/>
      </c>
    </row>
    <row r="5181" spans="18:18" x14ac:dyDescent="0.2">
      <c r="R5181" s="189" t="str">
        <f t="shared" si="164"/>
        <v/>
      </c>
    </row>
    <row r="5182" spans="18:18" x14ac:dyDescent="0.2">
      <c r="R5182" s="189" t="str">
        <f t="shared" si="164"/>
        <v/>
      </c>
    </row>
    <row r="5183" spans="18:18" x14ac:dyDescent="0.2">
      <c r="R5183" s="189" t="str">
        <f t="shared" si="164"/>
        <v/>
      </c>
    </row>
    <row r="5184" spans="18:18" x14ac:dyDescent="0.2">
      <c r="R5184" s="189" t="str">
        <f t="shared" si="164"/>
        <v/>
      </c>
    </row>
    <row r="5185" spans="18:18" x14ac:dyDescent="0.2">
      <c r="R5185" s="189" t="str">
        <f t="shared" si="164"/>
        <v/>
      </c>
    </row>
    <row r="5186" spans="18:18" x14ac:dyDescent="0.2">
      <c r="R5186" s="189" t="str">
        <f t="shared" si="164"/>
        <v/>
      </c>
    </row>
    <row r="5187" spans="18:18" x14ac:dyDescent="0.2">
      <c r="R5187" s="189" t="str">
        <f t="shared" si="164"/>
        <v/>
      </c>
    </row>
    <row r="5188" spans="18:18" x14ac:dyDescent="0.2">
      <c r="R5188" s="189" t="str">
        <f t="shared" si="164"/>
        <v/>
      </c>
    </row>
    <row r="5189" spans="18:18" x14ac:dyDescent="0.2">
      <c r="R5189" s="189" t="str">
        <f t="shared" si="164"/>
        <v/>
      </c>
    </row>
    <row r="5190" spans="18:18" x14ac:dyDescent="0.2">
      <c r="R5190" s="189" t="str">
        <f t="shared" si="164"/>
        <v/>
      </c>
    </row>
    <row r="5191" spans="18:18" x14ac:dyDescent="0.2">
      <c r="R5191" s="189" t="str">
        <f t="shared" si="164"/>
        <v/>
      </c>
    </row>
    <row r="5192" spans="18:18" x14ac:dyDescent="0.2">
      <c r="R5192" s="189" t="str">
        <f t="shared" si="164"/>
        <v/>
      </c>
    </row>
    <row r="5193" spans="18:18" x14ac:dyDescent="0.2">
      <c r="R5193" s="189" t="str">
        <f t="shared" si="164"/>
        <v/>
      </c>
    </row>
    <row r="5194" spans="18:18" x14ac:dyDescent="0.2">
      <c r="R5194" s="189" t="str">
        <f t="shared" si="164"/>
        <v/>
      </c>
    </row>
    <row r="5195" spans="18:18" x14ac:dyDescent="0.2">
      <c r="R5195" s="189" t="str">
        <f t="shared" si="164"/>
        <v/>
      </c>
    </row>
    <row r="5196" spans="18:18" x14ac:dyDescent="0.2">
      <c r="R5196" s="189" t="str">
        <f t="shared" si="164"/>
        <v/>
      </c>
    </row>
    <row r="5197" spans="18:18" x14ac:dyDescent="0.2">
      <c r="R5197" s="189" t="str">
        <f t="shared" si="164"/>
        <v/>
      </c>
    </row>
    <row r="5198" spans="18:18" x14ac:dyDescent="0.2">
      <c r="R5198" s="189" t="str">
        <f t="shared" si="164"/>
        <v/>
      </c>
    </row>
    <row r="5199" spans="18:18" x14ac:dyDescent="0.2">
      <c r="R5199" s="189" t="str">
        <f t="shared" si="164"/>
        <v/>
      </c>
    </row>
    <row r="5200" spans="18:18" x14ac:dyDescent="0.2">
      <c r="R5200" s="189" t="str">
        <f t="shared" si="164"/>
        <v/>
      </c>
    </row>
    <row r="5201" spans="18:18" x14ac:dyDescent="0.2">
      <c r="R5201" s="189" t="str">
        <f t="shared" si="164"/>
        <v/>
      </c>
    </row>
    <row r="5202" spans="18:18" x14ac:dyDescent="0.2">
      <c r="R5202" s="189" t="str">
        <f t="shared" si="164"/>
        <v/>
      </c>
    </row>
    <row r="5203" spans="18:18" x14ac:dyDescent="0.2">
      <c r="R5203" s="189" t="str">
        <f t="shared" si="164"/>
        <v/>
      </c>
    </row>
    <row r="5204" spans="18:18" x14ac:dyDescent="0.2">
      <c r="R5204" s="189" t="str">
        <f t="shared" si="164"/>
        <v/>
      </c>
    </row>
    <row r="5205" spans="18:18" x14ac:dyDescent="0.2">
      <c r="R5205" s="189" t="str">
        <f t="shared" si="164"/>
        <v/>
      </c>
    </row>
    <row r="5206" spans="18:18" x14ac:dyDescent="0.2">
      <c r="R5206" s="189" t="str">
        <f t="shared" ref="R5206:R5269" si="165">IF(OR(P5206="",Q5206=""),"",IFERROR(P5206-Q5206,""))</f>
        <v/>
      </c>
    </row>
    <row r="5207" spans="18:18" x14ac:dyDescent="0.2">
      <c r="R5207" s="189" t="str">
        <f t="shared" si="165"/>
        <v/>
      </c>
    </row>
    <row r="5208" spans="18:18" x14ac:dyDescent="0.2">
      <c r="R5208" s="189" t="str">
        <f t="shared" si="165"/>
        <v/>
      </c>
    </row>
    <row r="5209" spans="18:18" x14ac:dyDescent="0.2">
      <c r="R5209" s="189" t="str">
        <f t="shared" si="165"/>
        <v/>
      </c>
    </row>
    <row r="5210" spans="18:18" x14ac:dyDescent="0.2">
      <c r="R5210" s="189" t="str">
        <f t="shared" si="165"/>
        <v/>
      </c>
    </row>
    <row r="5211" spans="18:18" x14ac:dyDescent="0.2">
      <c r="R5211" s="189" t="str">
        <f t="shared" si="165"/>
        <v/>
      </c>
    </row>
    <row r="5212" spans="18:18" x14ac:dyDescent="0.2">
      <c r="R5212" s="189" t="str">
        <f t="shared" si="165"/>
        <v/>
      </c>
    </row>
    <row r="5213" spans="18:18" x14ac:dyDescent="0.2">
      <c r="R5213" s="189" t="str">
        <f t="shared" si="165"/>
        <v/>
      </c>
    </row>
    <row r="5214" spans="18:18" x14ac:dyDescent="0.2">
      <c r="R5214" s="189" t="str">
        <f t="shared" si="165"/>
        <v/>
      </c>
    </row>
    <row r="5215" spans="18:18" x14ac:dyDescent="0.2">
      <c r="R5215" s="189" t="str">
        <f t="shared" si="165"/>
        <v/>
      </c>
    </row>
    <row r="5216" spans="18:18" x14ac:dyDescent="0.2">
      <c r="R5216" s="189" t="str">
        <f t="shared" si="165"/>
        <v/>
      </c>
    </row>
    <row r="5217" spans="18:18" x14ac:dyDescent="0.2">
      <c r="R5217" s="189" t="str">
        <f t="shared" si="165"/>
        <v/>
      </c>
    </row>
    <row r="5218" spans="18:18" x14ac:dyDescent="0.2">
      <c r="R5218" s="189" t="str">
        <f t="shared" si="165"/>
        <v/>
      </c>
    </row>
    <row r="5219" spans="18:18" x14ac:dyDescent="0.2">
      <c r="R5219" s="189" t="str">
        <f t="shared" si="165"/>
        <v/>
      </c>
    </row>
    <row r="5220" spans="18:18" x14ac:dyDescent="0.2">
      <c r="R5220" s="189" t="str">
        <f t="shared" si="165"/>
        <v/>
      </c>
    </row>
    <row r="5221" spans="18:18" x14ac:dyDescent="0.2">
      <c r="R5221" s="189" t="str">
        <f t="shared" si="165"/>
        <v/>
      </c>
    </row>
    <row r="5222" spans="18:18" x14ac:dyDescent="0.2">
      <c r="R5222" s="189" t="str">
        <f t="shared" si="165"/>
        <v/>
      </c>
    </row>
    <row r="5223" spans="18:18" x14ac:dyDescent="0.2">
      <c r="R5223" s="189" t="str">
        <f t="shared" si="165"/>
        <v/>
      </c>
    </row>
    <row r="5224" spans="18:18" x14ac:dyDescent="0.2">
      <c r="R5224" s="189" t="str">
        <f t="shared" si="165"/>
        <v/>
      </c>
    </row>
    <row r="5225" spans="18:18" x14ac:dyDescent="0.2">
      <c r="R5225" s="189" t="str">
        <f t="shared" si="165"/>
        <v/>
      </c>
    </row>
    <row r="5226" spans="18:18" x14ac:dyDescent="0.2">
      <c r="R5226" s="189" t="str">
        <f t="shared" si="165"/>
        <v/>
      </c>
    </row>
    <row r="5227" spans="18:18" x14ac:dyDescent="0.2">
      <c r="R5227" s="189" t="str">
        <f t="shared" si="165"/>
        <v/>
      </c>
    </row>
    <row r="5228" spans="18:18" x14ac:dyDescent="0.2">
      <c r="R5228" s="189" t="str">
        <f t="shared" si="165"/>
        <v/>
      </c>
    </row>
    <row r="5229" spans="18:18" x14ac:dyDescent="0.2">
      <c r="R5229" s="189" t="str">
        <f t="shared" si="165"/>
        <v/>
      </c>
    </row>
    <row r="5230" spans="18:18" x14ac:dyDescent="0.2">
      <c r="R5230" s="189" t="str">
        <f t="shared" si="165"/>
        <v/>
      </c>
    </row>
    <row r="5231" spans="18:18" x14ac:dyDescent="0.2">
      <c r="R5231" s="189" t="str">
        <f t="shared" si="165"/>
        <v/>
      </c>
    </row>
    <row r="5232" spans="18:18" x14ac:dyDescent="0.2">
      <c r="R5232" s="189" t="str">
        <f t="shared" si="165"/>
        <v/>
      </c>
    </row>
    <row r="5233" spans="18:18" x14ac:dyDescent="0.2">
      <c r="R5233" s="189" t="str">
        <f t="shared" si="165"/>
        <v/>
      </c>
    </row>
    <row r="5234" spans="18:18" x14ac:dyDescent="0.2">
      <c r="R5234" s="189" t="str">
        <f t="shared" si="165"/>
        <v/>
      </c>
    </row>
    <row r="5235" spans="18:18" x14ac:dyDescent="0.2">
      <c r="R5235" s="189" t="str">
        <f t="shared" si="165"/>
        <v/>
      </c>
    </row>
    <row r="5236" spans="18:18" x14ac:dyDescent="0.2">
      <c r="R5236" s="189" t="str">
        <f t="shared" si="165"/>
        <v/>
      </c>
    </row>
    <row r="5237" spans="18:18" x14ac:dyDescent="0.2">
      <c r="R5237" s="189" t="str">
        <f t="shared" si="165"/>
        <v/>
      </c>
    </row>
    <row r="5238" spans="18:18" x14ac:dyDescent="0.2">
      <c r="R5238" s="189" t="str">
        <f t="shared" si="165"/>
        <v/>
      </c>
    </row>
    <row r="5239" spans="18:18" x14ac:dyDescent="0.2">
      <c r="R5239" s="189" t="str">
        <f t="shared" si="165"/>
        <v/>
      </c>
    </row>
    <row r="5240" spans="18:18" x14ac:dyDescent="0.2">
      <c r="R5240" s="189" t="str">
        <f t="shared" si="165"/>
        <v/>
      </c>
    </row>
    <row r="5241" spans="18:18" x14ac:dyDescent="0.2">
      <c r="R5241" s="189" t="str">
        <f t="shared" si="165"/>
        <v/>
      </c>
    </row>
    <row r="5242" spans="18:18" x14ac:dyDescent="0.2">
      <c r="R5242" s="189" t="str">
        <f t="shared" si="165"/>
        <v/>
      </c>
    </row>
    <row r="5243" spans="18:18" x14ac:dyDescent="0.2">
      <c r="R5243" s="189" t="str">
        <f t="shared" si="165"/>
        <v/>
      </c>
    </row>
    <row r="5244" spans="18:18" x14ac:dyDescent="0.2">
      <c r="R5244" s="189" t="str">
        <f t="shared" si="165"/>
        <v/>
      </c>
    </row>
    <row r="5245" spans="18:18" x14ac:dyDescent="0.2">
      <c r="R5245" s="189" t="str">
        <f t="shared" si="165"/>
        <v/>
      </c>
    </row>
    <row r="5246" spans="18:18" x14ac:dyDescent="0.2">
      <c r="R5246" s="189" t="str">
        <f t="shared" si="165"/>
        <v/>
      </c>
    </row>
    <row r="5247" spans="18:18" x14ac:dyDescent="0.2">
      <c r="R5247" s="189" t="str">
        <f t="shared" si="165"/>
        <v/>
      </c>
    </row>
    <row r="5248" spans="18:18" x14ac:dyDescent="0.2">
      <c r="R5248" s="189" t="str">
        <f t="shared" si="165"/>
        <v/>
      </c>
    </row>
    <row r="5249" spans="18:18" x14ac:dyDescent="0.2">
      <c r="R5249" s="189" t="str">
        <f t="shared" si="165"/>
        <v/>
      </c>
    </row>
    <row r="5250" spans="18:18" x14ac:dyDescent="0.2">
      <c r="R5250" s="189" t="str">
        <f t="shared" si="165"/>
        <v/>
      </c>
    </row>
    <row r="5251" spans="18:18" x14ac:dyDescent="0.2">
      <c r="R5251" s="189" t="str">
        <f t="shared" si="165"/>
        <v/>
      </c>
    </row>
    <row r="5252" spans="18:18" x14ac:dyDescent="0.2">
      <c r="R5252" s="189" t="str">
        <f t="shared" si="165"/>
        <v/>
      </c>
    </row>
    <row r="5253" spans="18:18" x14ac:dyDescent="0.2">
      <c r="R5253" s="189" t="str">
        <f t="shared" si="165"/>
        <v/>
      </c>
    </row>
    <row r="5254" spans="18:18" x14ac:dyDescent="0.2">
      <c r="R5254" s="189" t="str">
        <f t="shared" si="165"/>
        <v/>
      </c>
    </row>
    <row r="5255" spans="18:18" x14ac:dyDescent="0.2">
      <c r="R5255" s="189" t="str">
        <f t="shared" si="165"/>
        <v/>
      </c>
    </row>
    <row r="5256" spans="18:18" x14ac:dyDescent="0.2">
      <c r="R5256" s="189" t="str">
        <f t="shared" si="165"/>
        <v/>
      </c>
    </row>
    <row r="5257" spans="18:18" x14ac:dyDescent="0.2">
      <c r="R5257" s="189" t="str">
        <f t="shared" si="165"/>
        <v/>
      </c>
    </row>
    <row r="5258" spans="18:18" x14ac:dyDescent="0.2">
      <c r="R5258" s="189" t="str">
        <f t="shared" si="165"/>
        <v/>
      </c>
    </row>
    <row r="5259" spans="18:18" x14ac:dyDescent="0.2">
      <c r="R5259" s="189" t="str">
        <f t="shared" si="165"/>
        <v/>
      </c>
    </row>
    <row r="5260" spans="18:18" x14ac:dyDescent="0.2">
      <c r="R5260" s="189" t="str">
        <f t="shared" si="165"/>
        <v/>
      </c>
    </row>
    <row r="5261" spans="18:18" x14ac:dyDescent="0.2">
      <c r="R5261" s="189" t="str">
        <f t="shared" si="165"/>
        <v/>
      </c>
    </row>
    <row r="5262" spans="18:18" x14ac:dyDescent="0.2">
      <c r="R5262" s="189" t="str">
        <f t="shared" si="165"/>
        <v/>
      </c>
    </row>
    <row r="5263" spans="18:18" x14ac:dyDescent="0.2">
      <c r="R5263" s="189" t="str">
        <f t="shared" si="165"/>
        <v/>
      </c>
    </row>
    <row r="5264" spans="18:18" x14ac:dyDescent="0.2">
      <c r="R5264" s="189" t="str">
        <f t="shared" si="165"/>
        <v/>
      </c>
    </row>
    <row r="5265" spans="18:18" x14ac:dyDescent="0.2">
      <c r="R5265" s="189" t="str">
        <f t="shared" si="165"/>
        <v/>
      </c>
    </row>
    <row r="5266" spans="18:18" x14ac:dyDescent="0.2">
      <c r="R5266" s="189" t="str">
        <f t="shared" si="165"/>
        <v/>
      </c>
    </row>
    <row r="5267" spans="18:18" x14ac:dyDescent="0.2">
      <c r="R5267" s="189" t="str">
        <f t="shared" si="165"/>
        <v/>
      </c>
    </row>
    <row r="5268" spans="18:18" x14ac:dyDescent="0.2">
      <c r="R5268" s="189" t="str">
        <f t="shared" si="165"/>
        <v/>
      </c>
    </row>
    <row r="5269" spans="18:18" x14ac:dyDescent="0.2">
      <c r="R5269" s="189" t="str">
        <f t="shared" si="165"/>
        <v/>
      </c>
    </row>
    <row r="5270" spans="18:18" x14ac:dyDescent="0.2">
      <c r="R5270" s="189" t="str">
        <f t="shared" ref="R5270:R5333" si="166">IF(OR(P5270="",Q5270=""),"",IFERROR(P5270-Q5270,""))</f>
        <v/>
      </c>
    </row>
    <row r="5271" spans="18:18" x14ac:dyDescent="0.2">
      <c r="R5271" s="189" t="str">
        <f t="shared" si="166"/>
        <v/>
      </c>
    </row>
    <row r="5272" spans="18:18" x14ac:dyDescent="0.2">
      <c r="R5272" s="189" t="str">
        <f t="shared" si="166"/>
        <v/>
      </c>
    </row>
    <row r="5273" spans="18:18" x14ac:dyDescent="0.2">
      <c r="R5273" s="189" t="str">
        <f t="shared" si="166"/>
        <v/>
      </c>
    </row>
    <row r="5274" spans="18:18" x14ac:dyDescent="0.2">
      <c r="R5274" s="189" t="str">
        <f t="shared" si="166"/>
        <v/>
      </c>
    </row>
    <row r="5275" spans="18:18" x14ac:dyDescent="0.2">
      <c r="R5275" s="189" t="str">
        <f t="shared" si="166"/>
        <v/>
      </c>
    </row>
    <row r="5276" spans="18:18" x14ac:dyDescent="0.2">
      <c r="R5276" s="189" t="str">
        <f t="shared" si="166"/>
        <v/>
      </c>
    </row>
    <row r="5277" spans="18:18" x14ac:dyDescent="0.2">
      <c r="R5277" s="189" t="str">
        <f t="shared" si="166"/>
        <v/>
      </c>
    </row>
    <row r="5278" spans="18:18" x14ac:dyDescent="0.2">
      <c r="R5278" s="189" t="str">
        <f t="shared" si="166"/>
        <v/>
      </c>
    </row>
    <row r="5279" spans="18:18" x14ac:dyDescent="0.2">
      <c r="R5279" s="189" t="str">
        <f t="shared" si="166"/>
        <v/>
      </c>
    </row>
    <row r="5280" spans="18:18" x14ac:dyDescent="0.2">
      <c r="R5280" s="189" t="str">
        <f t="shared" si="166"/>
        <v/>
      </c>
    </row>
    <row r="5281" spans="18:18" x14ac:dyDescent="0.2">
      <c r="R5281" s="189" t="str">
        <f t="shared" si="166"/>
        <v/>
      </c>
    </row>
    <row r="5282" spans="18:18" x14ac:dyDescent="0.2">
      <c r="R5282" s="189" t="str">
        <f t="shared" si="166"/>
        <v/>
      </c>
    </row>
    <row r="5283" spans="18:18" x14ac:dyDescent="0.2">
      <c r="R5283" s="189" t="str">
        <f t="shared" si="166"/>
        <v/>
      </c>
    </row>
    <row r="5284" spans="18:18" x14ac:dyDescent="0.2">
      <c r="R5284" s="189" t="str">
        <f t="shared" si="166"/>
        <v/>
      </c>
    </row>
    <row r="5285" spans="18:18" x14ac:dyDescent="0.2">
      <c r="R5285" s="189" t="str">
        <f t="shared" si="166"/>
        <v/>
      </c>
    </row>
    <row r="5286" spans="18:18" x14ac:dyDescent="0.2">
      <c r="R5286" s="189" t="str">
        <f t="shared" si="166"/>
        <v/>
      </c>
    </row>
    <row r="5287" spans="18:18" x14ac:dyDescent="0.2">
      <c r="R5287" s="189" t="str">
        <f t="shared" si="166"/>
        <v/>
      </c>
    </row>
    <row r="5288" spans="18:18" x14ac:dyDescent="0.2">
      <c r="R5288" s="189" t="str">
        <f t="shared" si="166"/>
        <v/>
      </c>
    </row>
    <row r="5289" spans="18:18" x14ac:dyDescent="0.2">
      <c r="R5289" s="189" t="str">
        <f t="shared" si="166"/>
        <v/>
      </c>
    </row>
    <row r="5290" spans="18:18" x14ac:dyDescent="0.2">
      <c r="R5290" s="189" t="str">
        <f t="shared" si="166"/>
        <v/>
      </c>
    </row>
    <row r="5291" spans="18:18" x14ac:dyDescent="0.2">
      <c r="R5291" s="189" t="str">
        <f t="shared" si="166"/>
        <v/>
      </c>
    </row>
    <row r="5292" spans="18:18" x14ac:dyDescent="0.2">
      <c r="R5292" s="189" t="str">
        <f t="shared" si="166"/>
        <v/>
      </c>
    </row>
    <row r="5293" spans="18:18" x14ac:dyDescent="0.2">
      <c r="R5293" s="189" t="str">
        <f t="shared" si="166"/>
        <v/>
      </c>
    </row>
    <row r="5294" spans="18:18" x14ac:dyDescent="0.2">
      <c r="R5294" s="189" t="str">
        <f t="shared" si="166"/>
        <v/>
      </c>
    </row>
    <row r="5295" spans="18:18" x14ac:dyDescent="0.2">
      <c r="R5295" s="189" t="str">
        <f t="shared" si="166"/>
        <v/>
      </c>
    </row>
    <row r="5296" spans="18:18" x14ac:dyDescent="0.2">
      <c r="R5296" s="189" t="str">
        <f t="shared" si="166"/>
        <v/>
      </c>
    </row>
    <row r="5297" spans="18:18" x14ac:dyDescent="0.2">
      <c r="R5297" s="189" t="str">
        <f t="shared" si="166"/>
        <v/>
      </c>
    </row>
    <row r="5298" spans="18:18" x14ac:dyDescent="0.2">
      <c r="R5298" s="189" t="str">
        <f t="shared" si="166"/>
        <v/>
      </c>
    </row>
    <row r="5299" spans="18:18" x14ac:dyDescent="0.2">
      <c r="R5299" s="189" t="str">
        <f t="shared" si="166"/>
        <v/>
      </c>
    </row>
    <row r="5300" spans="18:18" x14ac:dyDescent="0.2">
      <c r="R5300" s="189" t="str">
        <f t="shared" si="166"/>
        <v/>
      </c>
    </row>
    <row r="5301" spans="18:18" x14ac:dyDescent="0.2">
      <c r="R5301" s="189" t="str">
        <f t="shared" si="166"/>
        <v/>
      </c>
    </row>
    <row r="5302" spans="18:18" x14ac:dyDescent="0.2">
      <c r="R5302" s="189" t="str">
        <f t="shared" si="166"/>
        <v/>
      </c>
    </row>
    <row r="5303" spans="18:18" x14ac:dyDescent="0.2">
      <c r="R5303" s="189" t="str">
        <f t="shared" si="166"/>
        <v/>
      </c>
    </row>
    <row r="5304" spans="18:18" x14ac:dyDescent="0.2">
      <c r="R5304" s="189" t="str">
        <f t="shared" si="166"/>
        <v/>
      </c>
    </row>
    <row r="5305" spans="18:18" x14ac:dyDescent="0.2">
      <c r="R5305" s="189" t="str">
        <f t="shared" si="166"/>
        <v/>
      </c>
    </row>
    <row r="5306" spans="18:18" x14ac:dyDescent="0.2">
      <c r="R5306" s="189" t="str">
        <f t="shared" si="166"/>
        <v/>
      </c>
    </row>
    <row r="5307" spans="18:18" x14ac:dyDescent="0.2">
      <c r="R5307" s="189" t="str">
        <f t="shared" si="166"/>
        <v/>
      </c>
    </row>
    <row r="5308" spans="18:18" x14ac:dyDescent="0.2">
      <c r="R5308" s="189" t="str">
        <f t="shared" si="166"/>
        <v/>
      </c>
    </row>
    <row r="5309" spans="18:18" x14ac:dyDescent="0.2">
      <c r="R5309" s="189" t="str">
        <f t="shared" si="166"/>
        <v/>
      </c>
    </row>
    <row r="5310" spans="18:18" x14ac:dyDescent="0.2">
      <c r="R5310" s="189" t="str">
        <f t="shared" si="166"/>
        <v/>
      </c>
    </row>
    <row r="5311" spans="18:18" x14ac:dyDescent="0.2">
      <c r="R5311" s="189" t="str">
        <f t="shared" si="166"/>
        <v/>
      </c>
    </row>
    <row r="5312" spans="18:18" x14ac:dyDescent="0.2">
      <c r="R5312" s="189" t="str">
        <f t="shared" si="166"/>
        <v/>
      </c>
    </row>
    <row r="5313" spans="18:18" x14ac:dyDescent="0.2">
      <c r="R5313" s="189" t="str">
        <f t="shared" si="166"/>
        <v/>
      </c>
    </row>
    <row r="5314" spans="18:18" x14ac:dyDescent="0.2">
      <c r="R5314" s="189" t="str">
        <f t="shared" si="166"/>
        <v/>
      </c>
    </row>
    <row r="5315" spans="18:18" x14ac:dyDescent="0.2">
      <c r="R5315" s="189" t="str">
        <f t="shared" si="166"/>
        <v/>
      </c>
    </row>
    <row r="5316" spans="18:18" x14ac:dyDescent="0.2">
      <c r="R5316" s="189" t="str">
        <f t="shared" si="166"/>
        <v/>
      </c>
    </row>
    <row r="5317" spans="18:18" x14ac:dyDescent="0.2">
      <c r="R5317" s="189" t="str">
        <f t="shared" si="166"/>
        <v/>
      </c>
    </row>
    <row r="5318" spans="18:18" x14ac:dyDescent="0.2">
      <c r="R5318" s="189" t="str">
        <f t="shared" si="166"/>
        <v/>
      </c>
    </row>
    <row r="5319" spans="18:18" x14ac:dyDescent="0.2">
      <c r="R5319" s="189" t="str">
        <f t="shared" si="166"/>
        <v/>
      </c>
    </row>
    <row r="5320" spans="18:18" x14ac:dyDescent="0.2">
      <c r="R5320" s="189" t="str">
        <f t="shared" si="166"/>
        <v/>
      </c>
    </row>
    <row r="5321" spans="18:18" x14ac:dyDescent="0.2">
      <c r="R5321" s="189" t="str">
        <f t="shared" si="166"/>
        <v/>
      </c>
    </row>
    <row r="5322" spans="18:18" x14ac:dyDescent="0.2">
      <c r="R5322" s="189" t="str">
        <f t="shared" si="166"/>
        <v/>
      </c>
    </row>
    <row r="5323" spans="18:18" x14ac:dyDescent="0.2">
      <c r="R5323" s="189" t="str">
        <f t="shared" si="166"/>
        <v/>
      </c>
    </row>
    <row r="5324" spans="18:18" x14ac:dyDescent="0.2">
      <c r="R5324" s="189" t="str">
        <f t="shared" si="166"/>
        <v/>
      </c>
    </row>
    <row r="5325" spans="18:18" x14ac:dyDescent="0.2">
      <c r="R5325" s="189" t="str">
        <f t="shared" si="166"/>
        <v/>
      </c>
    </row>
    <row r="5326" spans="18:18" x14ac:dyDescent="0.2">
      <c r="R5326" s="189" t="str">
        <f t="shared" si="166"/>
        <v/>
      </c>
    </row>
    <row r="5327" spans="18:18" x14ac:dyDescent="0.2">
      <c r="R5327" s="189" t="str">
        <f t="shared" si="166"/>
        <v/>
      </c>
    </row>
    <row r="5328" spans="18:18" x14ac:dyDescent="0.2">
      <c r="R5328" s="189" t="str">
        <f t="shared" si="166"/>
        <v/>
      </c>
    </row>
    <row r="5329" spans="18:18" x14ac:dyDescent="0.2">
      <c r="R5329" s="189" t="str">
        <f t="shared" si="166"/>
        <v/>
      </c>
    </row>
    <row r="5330" spans="18:18" x14ac:dyDescent="0.2">
      <c r="R5330" s="189" t="str">
        <f t="shared" si="166"/>
        <v/>
      </c>
    </row>
    <row r="5331" spans="18:18" x14ac:dyDescent="0.2">
      <c r="R5331" s="189" t="str">
        <f t="shared" si="166"/>
        <v/>
      </c>
    </row>
    <row r="5332" spans="18:18" x14ac:dyDescent="0.2">
      <c r="R5332" s="189" t="str">
        <f t="shared" si="166"/>
        <v/>
      </c>
    </row>
    <row r="5333" spans="18:18" x14ac:dyDescent="0.2">
      <c r="R5333" s="189" t="str">
        <f t="shared" si="166"/>
        <v/>
      </c>
    </row>
    <row r="5334" spans="18:18" x14ac:dyDescent="0.2">
      <c r="R5334" s="189" t="str">
        <f t="shared" ref="R5334:R5397" si="167">IF(OR(P5334="",Q5334=""),"",IFERROR(P5334-Q5334,""))</f>
        <v/>
      </c>
    </row>
    <row r="5335" spans="18:18" x14ac:dyDescent="0.2">
      <c r="R5335" s="189" t="str">
        <f t="shared" si="167"/>
        <v/>
      </c>
    </row>
    <row r="5336" spans="18:18" x14ac:dyDescent="0.2">
      <c r="R5336" s="189" t="str">
        <f t="shared" si="167"/>
        <v/>
      </c>
    </row>
    <row r="5337" spans="18:18" x14ac:dyDescent="0.2">
      <c r="R5337" s="189" t="str">
        <f t="shared" si="167"/>
        <v/>
      </c>
    </row>
    <row r="5338" spans="18:18" x14ac:dyDescent="0.2">
      <c r="R5338" s="189" t="str">
        <f t="shared" si="167"/>
        <v/>
      </c>
    </row>
    <row r="5339" spans="18:18" x14ac:dyDescent="0.2">
      <c r="R5339" s="189" t="str">
        <f t="shared" si="167"/>
        <v/>
      </c>
    </row>
    <row r="5340" spans="18:18" x14ac:dyDescent="0.2">
      <c r="R5340" s="189" t="str">
        <f t="shared" si="167"/>
        <v/>
      </c>
    </row>
    <row r="5341" spans="18:18" x14ac:dyDescent="0.2">
      <c r="R5341" s="189" t="str">
        <f t="shared" si="167"/>
        <v/>
      </c>
    </row>
    <row r="5342" spans="18:18" x14ac:dyDescent="0.2">
      <c r="R5342" s="189" t="str">
        <f t="shared" si="167"/>
        <v/>
      </c>
    </row>
    <row r="5343" spans="18:18" x14ac:dyDescent="0.2">
      <c r="R5343" s="189" t="str">
        <f t="shared" si="167"/>
        <v/>
      </c>
    </row>
    <row r="5344" spans="18:18" x14ac:dyDescent="0.2">
      <c r="R5344" s="189" t="str">
        <f t="shared" si="167"/>
        <v/>
      </c>
    </row>
    <row r="5345" spans="18:18" x14ac:dyDescent="0.2">
      <c r="R5345" s="189" t="str">
        <f t="shared" si="167"/>
        <v/>
      </c>
    </row>
    <row r="5346" spans="18:18" x14ac:dyDescent="0.2">
      <c r="R5346" s="189" t="str">
        <f t="shared" si="167"/>
        <v/>
      </c>
    </row>
    <row r="5347" spans="18:18" x14ac:dyDescent="0.2">
      <c r="R5347" s="189" t="str">
        <f t="shared" si="167"/>
        <v/>
      </c>
    </row>
    <row r="5348" spans="18:18" x14ac:dyDescent="0.2">
      <c r="R5348" s="189" t="str">
        <f t="shared" si="167"/>
        <v/>
      </c>
    </row>
    <row r="5349" spans="18:18" x14ac:dyDescent="0.2">
      <c r="R5349" s="189" t="str">
        <f t="shared" si="167"/>
        <v/>
      </c>
    </row>
    <row r="5350" spans="18:18" x14ac:dyDescent="0.2">
      <c r="R5350" s="189" t="str">
        <f t="shared" si="167"/>
        <v/>
      </c>
    </row>
    <row r="5351" spans="18:18" x14ac:dyDescent="0.2">
      <c r="R5351" s="189" t="str">
        <f t="shared" si="167"/>
        <v/>
      </c>
    </row>
    <row r="5352" spans="18:18" x14ac:dyDescent="0.2">
      <c r="R5352" s="189" t="str">
        <f t="shared" si="167"/>
        <v/>
      </c>
    </row>
    <row r="5353" spans="18:18" x14ac:dyDescent="0.2">
      <c r="R5353" s="189" t="str">
        <f t="shared" si="167"/>
        <v/>
      </c>
    </row>
    <row r="5354" spans="18:18" x14ac:dyDescent="0.2">
      <c r="R5354" s="189" t="str">
        <f t="shared" si="167"/>
        <v/>
      </c>
    </row>
    <row r="5355" spans="18:18" x14ac:dyDescent="0.2">
      <c r="R5355" s="189" t="str">
        <f t="shared" si="167"/>
        <v/>
      </c>
    </row>
    <row r="5356" spans="18:18" x14ac:dyDescent="0.2">
      <c r="R5356" s="189" t="str">
        <f t="shared" si="167"/>
        <v/>
      </c>
    </row>
    <row r="5357" spans="18:18" x14ac:dyDescent="0.2">
      <c r="R5357" s="189" t="str">
        <f t="shared" si="167"/>
        <v/>
      </c>
    </row>
    <row r="5358" spans="18:18" x14ac:dyDescent="0.2">
      <c r="R5358" s="189" t="str">
        <f t="shared" si="167"/>
        <v/>
      </c>
    </row>
    <row r="5359" spans="18:18" x14ac:dyDescent="0.2">
      <c r="R5359" s="189" t="str">
        <f t="shared" si="167"/>
        <v/>
      </c>
    </row>
    <row r="5360" spans="18:18" x14ac:dyDescent="0.2">
      <c r="R5360" s="189" t="str">
        <f t="shared" si="167"/>
        <v/>
      </c>
    </row>
    <row r="5361" spans="18:18" x14ac:dyDescent="0.2">
      <c r="R5361" s="189" t="str">
        <f t="shared" si="167"/>
        <v/>
      </c>
    </row>
    <row r="5362" spans="18:18" x14ac:dyDescent="0.2">
      <c r="R5362" s="189" t="str">
        <f t="shared" si="167"/>
        <v/>
      </c>
    </row>
    <row r="5363" spans="18:18" x14ac:dyDescent="0.2">
      <c r="R5363" s="189" t="str">
        <f t="shared" si="167"/>
        <v/>
      </c>
    </row>
    <row r="5364" spans="18:18" x14ac:dyDescent="0.2">
      <c r="R5364" s="189" t="str">
        <f t="shared" si="167"/>
        <v/>
      </c>
    </row>
    <row r="5365" spans="18:18" x14ac:dyDescent="0.2">
      <c r="R5365" s="189" t="str">
        <f t="shared" si="167"/>
        <v/>
      </c>
    </row>
    <row r="5366" spans="18:18" x14ac:dyDescent="0.2">
      <c r="R5366" s="189" t="str">
        <f t="shared" si="167"/>
        <v/>
      </c>
    </row>
    <row r="5367" spans="18:18" x14ac:dyDescent="0.2">
      <c r="R5367" s="189" t="str">
        <f t="shared" si="167"/>
        <v/>
      </c>
    </row>
    <row r="5368" spans="18:18" x14ac:dyDescent="0.2">
      <c r="R5368" s="189" t="str">
        <f t="shared" si="167"/>
        <v/>
      </c>
    </row>
    <row r="5369" spans="18:18" x14ac:dyDescent="0.2">
      <c r="R5369" s="189" t="str">
        <f t="shared" si="167"/>
        <v/>
      </c>
    </row>
    <row r="5370" spans="18:18" x14ac:dyDescent="0.2">
      <c r="R5370" s="189" t="str">
        <f t="shared" si="167"/>
        <v/>
      </c>
    </row>
    <row r="5371" spans="18:18" x14ac:dyDescent="0.2">
      <c r="R5371" s="189" t="str">
        <f t="shared" si="167"/>
        <v/>
      </c>
    </row>
    <row r="5372" spans="18:18" x14ac:dyDescent="0.2">
      <c r="R5372" s="189" t="str">
        <f t="shared" si="167"/>
        <v/>
      </c>
    </row>
    <row r="5373" spans="18:18" x14ac:dyDescent="0.2">
      <c r="R5373" s="189" t="str">
        <f t="shared" si="167"/>
        <v/>
      </c>
    </row>
    <row r="5374" spans="18:18" x14ac:dyDescent="0.2">
      <c r="R5374" s="189" t="str">
        <f t="shared" si="167"/>
        <v/>
      </c>
    </row>
    <row r="5375" spans="18:18" x14ac:dyDescent="0.2">
      <c r="R5375" s="189" t="str">
        <f t="shared" si="167"/>
        <v/>
      </c>
    </row>
    <row r="5376" spans="18:18" x14ac:dyDescent="0.2">
      <c r="R5376" s="189" t="str">
        <f t="shared" si="167"/>
        <v/>
      </c>
    </row>
    <row r="5377" spans="18:18" x14ac:dyDescent="0.2">
      <c r="R5377" s="189" t="str">
        <f t="shared" si="167"/>
        <v/>
      </c>
    </row>
    <row r="5378" spans="18:18" x14ac:dyDescent="0.2">
      <c r="R5378" s="189" t="str">
        <f t="shared" si="167"/>
        <v/>
      </c>
    </row>
    <row r="5379" spans="18:18" x14ac:dyDescent="0.2">
      <c r="R5379" s="189" t="str">
        <f t="shared" si="167"/>
        <v/>
      </c>
    </row>
    <row r="5380" spans="18:18" x14ac:dyDescent="0.2">
      <c r="R5380" s="189" t="str">
        <f t="shared" si="167"/>
        <v/>
      </c>
    </row>
    <row r="5381" spans="18:18" x14ac:dyDescent="0.2">
      <c r="R5381" s="189" t="str">
        <f t="shared" si="167"/>
        <v/>
      </c>
    </row>
    <row r="5382" spans="18:18" x14ac:dyDescent="0.2">
      <c r="R5382" s="189" t="str">
        <f t="shared" si="167"/>
        <v/>
      </c>
    </row>
    <row r="5383" spans="18:18" x14ac:dyDescent="0.2">
      <c r="R5383" s="189" t="str">
        <f t="shared" si="167"/>
        <v/>
      </c>
    </row>
    <row r="5384" spans="18:18" x14ac:dyDescent="0.2">
      <c r="R5384" s="189" t="str">
        <f t="shared" si="167"/>
        <v/>
      </c>
    </row>
    <row r="5385" spans="18:18" x14ac:dyDescent="0.2">
      <c r="R5385" s="189" t="str">
        <f t="shared" si="167"/>
        <v/>
      </c>
    </row>
    <row r="5386" spans="18:18" x14ac:dyDescent="0.2">
      <c r="R5386" s="189" t="str">
        <f t="shared" si="167"/>
        <v/>
      </c>
    </row>
    <row r="5387" spans="18:18" x14ac:dyDescent="0.2">
      <c r="R5387" s="189" t="str">
        <f t="shared" si="167"/>
        <v/>
      </c>
    </row>
    <row r="5388" spans="18:18" x14ac:dyDescent="0.2">
      <c r="R5388" s="189" t="str">
        <f t="shared" si="167"/>
        <v/>
      </c>
    </row>
    <row r="5389" spans="18:18" x14ac:dyDescent="0.2">
      <c r="R5389" s="189" t="str">
        <f t="shared" si="167"/>
        <v/>
      </c>
    </row>
    <row r="5390" spans="18:18" x14ac:dyDescent="0.2">
      <c r="R5390" s="189" t="str">
        <f t="shared" si="167"/>
        <v/>
      </c>
    </row>
    <row r="5391" spans="18:18" x14ac:dyDescent="0.2">
      <c r="R5391" s="189" t="str">
        <f t="shared" si="167"/>
        <v/>
      </c>
    </row>
    <row r="5392" spans="18:18" x14ac:dyDescent="0.2">
      <c r="R5392" s="189" t="str">
        <f t="shared" si="167"/>
        <v/>
      </c>
    </row>
    <row r="5393" spans="18:18" x14ac:dyDescent="0.2">
      <c r="R5393" s="189" t="str">
        <f t="shared" si="167"/>
        <v/>
      </c>
    </row>
    <row r="5394" spans="18:18" x14ac:dyDescent="0.2">
      <c r="R5394" s="189" t="str">
        <f t="shared" si="167"/>
        <v/>
      </c>
    </row>
    <row r="5395" spans="18:18" x14ac:dyDescent="0.2">
      <c r="R5395" s="189" t="str">
        <f t="shared" si="167"/>
        <v/>
      </c>
    </row>
    <row r="5396" spans="18:18" x14ac:dyDescent="0.2">
      <c r="R5396" s="189" t="str">
        <f t="shared" si="167"/>
        <v/>
      </c>
    </row>
    <row r="5397" spans="18:18" x14ac:dyDescent="0.2">
      <c r="R5397" s="189" t="str">
        <f t="shared" si="167"/>
        <v/>
      </c>
    </row>
    <row r="5398" spans="18:18" x14ac:dyDescent="0.2">
      <c r="R5398" s="189" t="str">
        <f t="shared" ref="R5398:R5461" si="168">IF(OR(P5398="",Q5398=""),"",IFERROR(P5398-Q5398,""))</f>
        <v/>
      </c>
    </row>
    <row r="5399" spans="18:18" x14ac:dyDescent="0.2">
      <c r="R5399" s="189" t="str">
        <f t="shared" si="168"/>
        <v/>
      </c>
    </row>
    <row r="5400" spans="18:18" x14ac:dyDescent="0.2">
      <c r="R5400" s="189" t="str">
        <f t="shared" si="168"/>
        <v/>
      </c>
    </row>
    <row r="5401" spans="18:18" x14ac:dyDescent="0.2">
      <c r="R5401" s="189" t="str">
        <f t="shared" si="168"/>
        <v/>
      </c>
    </row>
    <row r="5402" spans="18:18" x14ac:dyDescent="0.2">
      <c r="R5402" s="189" t="str">
        <f t="shared" si="168"/>
        <v/>
      </c>
    </row>
    <row r="5403" spans="18:18" x14ac:dyDescent="0.2">
      <c r="R5403" s="189" t="str">
        <f t="shared" si="168"/>
        <v/>
      </c>
    </row>
    <row r="5404" spans="18:18" x14ac:dyDescent="0.2">
      <c r="R5404" s="189" t="str">
        <f t="shared" si="168"/>
        <v/>
      </c>
    </row>
    <row r="5405" spans="18:18" x14ac:dyDescent="0.2">
      <c r="R5405" s="189" t="str">
        <f t="shared" si="168"/>
        <v/>
      </c>
    </row>
    <row r="5406" spans="18:18" x14ac:dyDescent="0.2">
      <c r="R5406" s="189" t="str">
        <f t="shared" si="168"/>
        <v/>
      </c>
    </row>
    <row r="5407" spans="18:18" x14ac:dyDescent="0.2">
      <c r="R5407" s="189" t="str">
        <f t="shared" si="168"/>
        <v/>
      </c>
    </row>
    <row r="5408" spans="18:18" x14ac:dyDescent="0.2">
      <c r="R5408" s="189" t="str">
        <f t="shared" si="168"/>
        <v/>
      </c>
    </row>
    <row r="5409" spans="18:18" x14ac:dyDescent="0.2">
      <c r="R5409" s="189" t="str">
        <f t="shared" si="168"/>
        <v/>
      </c>
    </row>
    <row r="5410" spans="18:18" x14ac:dyDescent="0.2">
      <c r="R5410" s="189" t="str">
        <f t="shared" si="168"/>
        <v/>
      </c>
    </row>
    <row r="5411" spans="18:18" x14ac:dyDescent="0.2">
      <c r="R5411" s="189" t="str">
        <f t="shared" si="168"/>
        <v/>
      </c>
    </row>
    <row r="5412" spans="18:18" x14ac:dyDescent="0.2">
      <c r="R5412" s="189" t="str">
        <f t="shared" si="168"/>
        <v/>
      </c>
    </row>
    <row r="5413" spans="18:18" x14ac:dyDescent="0.2">
      <c r="R5413" s="189" t="str">
        <f t="shared" si="168"/>
        <v/>
      </c>
    </row>
    <row r="5414" spans="18:18" x14ac:dyDescent="0.2">
      <c r="R5414" s="189" t="str">
        <f t="shared" si="168"/>
        <v/>
      </c>
    </row>
    <row r="5415" spans="18:18" x14ac:dyDescent="0.2">
      <c r="R5415" s="189" t="str">
        <f t="shared" si="168"/>
        <v/>
      </c>
    </row>
    <row r="5416" spans="18:18" x14ac:dyDescent="0.2">
      <c r="R5416" s="189" t="str">
        <f t="shared" si="168"/>
        <v/>
      </c>
    </row>
    <row r="5417" spans="18:18" x14ac:dyDescent="0.2">
      <c r="R5417" s="189" t="str">
        <f t="shared" si="168"/>
        <v/>
      </c>
    </row>
    <row r="5418" spans="18:18" x14ac:dyDescent="0.2">
      <c r="R5418" s="189" t="str">
        <f t="shared" si="168"/>
        <v/>
      </c>
    </row>
    <row r="5419" spans="18:18" x14ac:dyDescent="0.2">
      <c r="R5419" s="189" t="str">
        <f t="shared" si="168"/>
        <v/>
      </c>
    </row>
    <row r="5420" spans="18:18" x14ac:dyDescent="0.2">
      <c r="R5420" s="189" t="str">
        <f t="shared" si="168"/>
        <v/>
      </c>
    </row>
    <row r="5421" spans="18:18" x14ac:dyDescent="0.2">
      <c r="R5421" s="189" t="str">
        <f t="shared" si="168"/>
        <v/>
      </c>
    </row>
    <row r="5422" spans="18:18" x14ac:dyDescent="0.2">
      <c r="R5422" s="189" t="str">
        <f t="shared" si="168"/>
        <v/>
      </c>
    </row>
    <row r="5423" spans="18:18" x14ac:dyDescent="0.2">
      <c r="R5423" s="189" t="str">
        <f t="shared" si="168"/>
        <v/>
      </c>
    </row>
    <row r="5424" spans="18:18" x14ac:dyDescent="0.2">
      <c r="R5424" s="189" t="str">
        <f t="shared" si="168"/>
        <v/>
      </c>
    </row>
    <row r="5425" spans="18:18" x14ac:dyDescent="0.2">
      <c r="R5425" s="189" t="str">
        <f t="shared" si="168"/>
        <v/>
      </c>
    </row>
    <row r="5426" spans="18:18" x14ac:dyDescent="0.2">
      <c r="R5426" s="189" t="str">
        <f t="shared" si="168"/>
        <v/>
      </c>
    </row>
    <row r="5427" spans="18:18" x14ac:dyDescent="0.2">
      <c r="R5427" s="189" t="str">
        <f t="shared" si="168"/>
        <v/>
      </c>
    </row>
    <row r="5428" spans="18:18" x14ac:dyDescent="0.2">
      <c r="R5428" s="189" t="str">
        <f t="shared" si="168"/>
        <v/>
      </c>
    </row>
    <row r="5429" spans="18:18" x14ac:dyDescent="0.2">
      <c r="R5429" s="189" t="str">
        <f t="shared" si="168"/>
        <v/>
      </c>
    </row>
    <row r="5430" spans="18:18" x14ac:dyDescent="0.2">
      <c r="R5430" s="189" t="str">
        <f t="shared" si="168"/>
        <v/>
      </c>
    </row>
    <row r="5431" spans="18:18" x14ac:dyDescent="0.2">
      <c r="R5431" s="189" t="str">
        <f t="shared" si="168"/>
        <v/>
      </c>
    </row>
    <row r="5432" spans="18:18" x14ac:dyDescent="0.2">
      <c r="R5432" s="189" t="str">
        <f t="shared" si="168"/>
        <v/>
      </c>
    </row>
    <row r="5433" spans="18:18" x14ac:dyDescent="0.2">
      <c r="R5433" s="189" t="str">
        <f t="shared" si="168"/>
        <v/>
      </c>
    </row>
    <row r="5434" spans="18:18" x14ac:dyDescent="0.2">
      <c r="R5434" s="189" t="str">
        <f t="shared" si="168"/>
        <v/>
      </c>
    </row>
    <row r="5435" spans="18:18" x14ac:dyDescent="0.2">
      <c r="R5435" s="189" t="str">
        <f t="shared" si="168"/>
        <v/>
      </c>
    </row>
    <row r="5436" spans="18:18" x14ac:dyDescent="0.2">
      <c r="R5436" s="189" t="str">
        <f t="shared" si="168"/>
        <v/>
      </c>
    </row>
    <row r="5437" spans="18:18" x14ac:dyDescent="0.2">
      <c r="R5437" s="189" t="str">
        <f t="shared" si="168"/>
        <v/>
      </c>
    </row>
    <row r="5438" spans="18:18" x14ac:dyDescent="0.2">
      <c r="R5438" s="189" t="str">
        <f t="shared" si="168"/>
        <v/>
      </c>
    </row>
    <row r="5439" spans="18:18" x14ac:dyDescent="0.2">
      <c r="R5439" s="189" t="str">
        <f t="shared" si="168"/>
        <v/>
      </c>
    </row>
    <row r="5440" spans="18:18" x14ac:dyDescent="0.2">
      <c r="R5440" s="189" t="str">
        <f t="shared" si="168"/>
        <v/>
      </c>
    </row>
    <row r="5441" spans="18:18" x14ac:dyDescent="0.2">
      <c r="R5441" s="189" t="str">
        <f t="shared" si="168"/>
        <v/>
      </c>
    </row>
    <row r="5442" spans="18:18" x14ac:dyDescent="0.2">
      <c r="R5442" s="189" t="str">
        <f t="shared" si="168"/>
        <v/>
      </c>
    </row>
    <row r="5443" spans="18:18" x14ac:dyDescent="0.2">
      <c r="R5443" s="189" t="str">
        <f t="shared" si="168"/>
        <v/>
      </c>
    </row>
    <row r="5444" spans="18:18" x14ac:dyDescent="0.2">
      <c r="R5444" s="189" t="str">
        <f t="shared" si="168"/>
        <v/>
      </c>
    </row>
    <row r="5445" spans="18:18" x14ac:dyDescent="0.2">
      <c r="R5445" s="189" t="str">
        <f t="shared" si="168"/>
        <v/>
      </c>
    </row>
    <row r="5446" spans="18:18" x14ac:dyDescent="0.2">
      <c r="R5446" s="189" t="str">
        <f t="shared" si="168"/>
        <v/>
      </c>
    </row>
    <row r="5447" spans="18:18" x14ac:dyDescent="0.2">
      <c r="R5447" s="189" t="str">
        <f t="shared" si="168"/>
        <v/>
      </c>
    </row>
    <row r="5448" spans="18:18" x14ac:dyDescent="0.2">
      <c r="R5448" s="189" t="str">
        <f t="shared" si="168"/>
        <v/>
      </c>
    </row>
    <row r="5449" spans="18:18" x14ac:dyDescent="0.2">
      <c r="R5449" s="189" t="str">
        <f t="shared" si="168"/>
        <v/>
      </c>
    </row>
    <row r="5450" spans="18:18" x14ac:dyDescent="0.2">
      <c r="R5450" s="189" t="str">
        <f t="shared" si="168"/>
        <v/>
      </c>
    </row>
    <row r="5451" spans="18:18" x14ac:dyDescent="0.2">
      <c r="R5451" s="189" t="str">
        <f t="shared" si="168"/>
        <v/>
      </c>
    </row>
    <row r="5452" spans="18:18" x14ac:dyDescent="0.2">
      <c r="R5452" s="189" t="str">
        <f t="shared" si="168"/>
        <v/>
      </c>
    </row>
    <row r="5453" spans="18:18" x14ac:dyDescent="0.2">
      <c r="R5453" s="189" t="str">
        <f t="shared" si="168"/>
        <v/>
      </c>
    </row>
    <row r="5454" spans="18:18" x14ac:dyDescent="0.2">
      <c r="R5454" s="189" t="str">
        <f t="shared" si="168"/>
        <v/>
      </c>
    </row>
    <row r="5455" spans="18:18" x14ac:dyDescent="0.2">
      <c r="R5455" s="189" t="str">
        <f t="shared" si="168"/>
        <v/>
      </c>
    </row>
    <row r="5456" spans="18:18" x14ac:dyDescent="0.2">
      <c r="R5456" s="189" t="str">
        <f t="shared" si="168"/>
        <v/>
      </c>
    </row>
    <row r="5457" spans="18:18" x14ac:dyDescent="0.2">
      <c r="R5457" s="189" t="str">
        <f t="shared" si="168"/>
        <v/>
      </c>
    </row>
    <row r="5458" spans="18:18" x14ac:dyDescent="0.2">
      <c r="R5458" s="189" t="str">
        <f t="shared" si="168"/>
        <v/>
      </c>
    </row>
    <row r="5459" spans="18:18" x14ac:dyDescent="0.2">
      <c r="R5459" s="189" t="str">
        <f t="shared" si="168"/>
        <v/>
      </c>
    </row>
    <row r="5460" spans="18:18" x14ac:dyDescent="0.2">
      <c r="R5460" s="189" t="str">
        <f t="shared" si="168"/>
        <v/>
      </c>
    </row>
    <row r="5461" spans="18:18" x14ac:dyDescent="0.2">
      <c r="R5461" s="189" t="str">
        <f t="shared" si="168"/>
        <v/>
      </c>
    </row>
    <row r="5462" spans="18:18" x14ac:dyDescent="0.2">
      <c r="R5462" s="189" t="str">
        <f t="shared" ref="R5462:R5525" si="169">IF(OR(P5462="",Q5462=""),"",IFERROR(P5462-Q5462,""))</f>
        <v/>
      </c>
    </row>
    <row r="5463" spans="18:18" x14ac:dyDescent="0.2">
      <c r="R5463" s="189" t="str">
        <f t="shared" si="169"/>
        <v/>
      </c>
    </row>
    <row r="5464" spans="18:18" x14ac:dyDescent="0.2">
      <c r="R5464" s="189" t="str">
        <f t="shared" si="169"/>
        <v/>
      </c>
    </row>
    <row r="5465" spans="18:18" x14ac:dyDescent="0.2">
      <c r="R5465" s="189" t="str">
        <f t="shared" si="169"/>
        <v/>
      </c>
    </row>
    <row r="5466" spans="18:18" x14ac:dyDescent="0.2">
      <c r="R5466" s="189" t="str">
        <f t="shared" si="169"/>
        <v/>
      </c>
    </row>
    <row r="5467" spans="18:18" x14ac:dyDescent="0.2">
      <c r="R5467" s="189" t="str">
        <f t="shared" si="169"/>
        <v/>
      </c>
    </row>
    <row r="5468" spans="18:18" x14ac:dyDescent="0.2">
      <c r="R5468" s="189" t="str">
        <f t="shared" si="169"/>
        <v/>
      </c>
    </row>
    <row r="5469" spans="18:18" x14ac:dyDescent="0.2">
      <c r="R5469" s="189" t="str">
        <f t="shared" si="169"/>
        <v/>
      </c>
    </row>
    <row r="5470" spans="18:18" x14ac:dyDescent="0.2">
      <c r="R5470" s="189" t="str">
        <f t="shared" si="169"/>
        <v/>
      </c>
    </row>
    <row r="5471" spans="18:18" x14ac:dyDescent="0.2">
      <c r="R5471" s="189" t="str">
        <f t="shared" si="169"/>
        <v/>
      </c>
    </row>
    <row r="5472" spans="18:18" x14ac:dyDescent="0.2">
      <c r="R5472" s="189" t="str">
        <f t="shared" si="169"/>
        <v/>
      </c>
    </row>
    <row r="5473" spans="18:18" x14ac:dyDescent="0.2">
      <c r="R5473" s="189" t="str">
        <f t="shared" si="169"/>
        <v/>
      </c>
    </row>
    <row r="5474" spans="18:18" x14ac:dyDescent="0.2">
      <c r="R5474" s="189" t="str">
        <f t="shared" si="169"/>
        <v/>
      </c>
    </row>
    <row r="5475" spans="18:18" x14ac:dyDescent="0.2">
      <c r="R5475" s="189" t="str">
        <f t="shared" si="169"/>
        <v/>
      </c>
    </row>
    <row r="5476" spans="18:18" x14ac:dyDescent="0.2">
      <c r="R5476" s="189" t="str">
        <f t="shared" si="169"/>
        <v/>
      </c>
    </row>
    <row r="5477" spans="18:18" x14ac:dyDescent="0.2">
      <c r="R5477" s="189" t="str">
        <f t="shared" si="169"/>
        <v/>
      </c>
    </row>
    <row r="5478" spans="18:18" x14ac:dyDescent="0.2">
      <c r="R5478" s="189" t="str">
        <f t="shared" si="169"/>
        <v/>
      </c>
    </row>
    <row r="5479" spans="18:18" x14ac:dyDescent="0.2">
      <c r="R5479" s="189" t="str">
        <f t="shared" si="169"/>
        <v/>
      </c>
    </row>
    <row r="5480" spans="18:18" x14ac:dyDescent="0.2">
      <c r="R5480" s="189" t="str">
        <f t="shared" si="169"/>
        <v/>
      </c>
    </row>
    <row r="5481" spans="18:18" x14ac:dyDescent="0.2">
      <c r="R5481" s="189" t="str">
        <f t="shared" si="169"/>
        <v/>
      </c>
    </row>
    <row r="5482" spans="18:18" x14ac:dyDescent="0.2">
      <c r="R5482" s="189" t="str">
        <f t="shared" si="169"/>
        <v/>
      </c>
    </row>
    <row r="5483" spans="18:18" x14ac:dyDescent="0.2">
      <c r="R5483" s="189" t="str">
        <f t="shared" si="169"/>
        <v/>
      </c>
    </row>
    <row r="5484" spans="18:18" x14ac:dyDescent="0.2">
      <c r="R5484" s="189" t="str">
        <f t="shared" si="169"/>
        <v/>
      </c>
    </row>
    <row r="5485" spans="18:18" x14ac:dyDescent="0.2">
      <c r="R5485" s="189" t="str">
        <f t="shared" si="169"/>
        <v/>
      </c>
    </row>
    <row r="5486" spans="18:18" x14ac:dyDescent="0.2">
      <c r="R5486" s="189" t="str">
        <f t="shared" si="169"/>
        <v/>
      </c>
    </row>
    <row r="5487" spans="18:18" x14ac:dyDescent="0.2">
      <c r="R5487" s="189" t="str">
        <f t="shared" si="169"/>
        <v/>
      </c>
    </row>
    <row r="5488" spans="18:18" x14ac:dyDescent="0.2">
      <c r="R5488" s="189" t="str">
        <f t="shared" si="169"/>
        <v/>
      </c>
    </row>
    <row r="5489" spans="18:18" x14ac:dyDescent="0.2">
      <c r="R5489" s="189" t="str">
        <f t="shared" si="169"/>
        <v/>
      </c>
    </row>
    <row r="5490" spans="18:18" x14ac:dyDescent="0.2">
      <c r="R5490" s="189" t="str">
        <f t="shared" si="169"/>
        <v/>
      </c>
    </row>
    <row r="5491" spans="18:18" x14ac:dyDescent="0.2">
      <c r="R5491" s="189" t="str">
        <f t="shared" si="169"/>
        <v/>
      </c>
    </row>
    <row r="5492" spans="18:18" x14ac:dyDescent="0.2">
      <c r="R5492" s="189" t="str">
        <f t="shared" si="169"/>
        <v/>
      </c>
    </row>
    <row r="5493" spans="18:18" x14ac:dyDescent="0.2">
      <c r="R5493" s="189" t="str">
        <f t="shared" si="169"/>
        <v/>
      </c>
    </row>
    <row r="5494" spans="18:18" x14ac:dyDescent="0.2">
      <c r="R5494" s="189" t="str">
        <f t="shared" si="169"/>
        <v/>
      </c>
    </row>
    <row r="5495" spans="18:18" x14ac:dyDescent="0.2">
      <c r="R5495" s="189" t="str">
        <f t="shared" si="169"/>
        <v/>
      </c>
    </row>
    <row r="5496" spans="18:18" x14ac:dyDescent="0.2">
      <c r="R5496" s="189" t="str">
        <f t="shared" si="169"/>
        <v/>
      </c>
    </row>
    <row r="5497" spans="18:18" x14ac:dyDescent="0.2">
      <c r="R5497" s="189" t="str">
        <f t="shared" si="169"/>
        <v/>
      </c>
    </row>
    <row r="5498" spans="18:18" x14ac:dyDescent="0.2">
      <c r="R5498" s="189" t="str">
        <f t="shared" si="169"/>
        <v/>
      </c>
    </row>
    <row r="5499" spans="18:18" x14ac:dyDescent="0.2">
      <c r="R5499" s="189" t="str">
        <f t="shared" si="169"/>
        <v/>
      </c>
    </row>
    <row r="5500" spans="18:18" x14ac:dyDescent="0.2">
      <c r="R5500" s="189" t="str">
        <f t="shared" si="169"/>
        <v/>
      </c>
    </row>
    <row r="5501" spans="18:18" x14ac:dyDescent="0.2">
      <c r="R5501" s="189" t="str">
        <f t="shared" si="169"/>
        <v/>
      </c>
    </row>
    <row r="5502" spans="18:18" x14ac:dyDescent="0.2">
      <c r="R5502" s="189" t="str">
        <f t="shared" si="169"/>
        <v/>
      </c>
    </row>
    <row r="5503" spans="18:18" x14ac:dyDescent="0.2">
      <c r="R5503" s="189" t="str">
        <f t="shared" si="169"/>
        <v/>
      </c>
    </row>
    <row r="5504" spans="18:18" x14ac:dyDescent="0.2">
      <c r="R5504" s="189" t="str">
        <f t="shared" si="169"/>
        <v/>
      </c>
    </row>
    <row r="5505" spans="18:18" x14ac:dyDescent="0.2">
      <c r="R5505" s="189" t="str">
        <f t="shared" si="169"/>
        <v/>
      </c>
    </row>
    <row r="5506" spans="18:18" x14ac:dyDescent="0.2">
      <c r="R5506" s="189" t="str">
        <f t="shared" si="169"/>
        <v/>
      </c>
    </row>
    <row r="5507" spans="18:18" x14ac:dyDescent="0.2">
      <c r="R5507" s="189" t="str">
        <f t="shared" si="169"/>
        <v/>
      </c>
    </row>
    <row r="5508" spans="18:18" x14ac:dyDescent="0.2">
      <c r="R5508" s="189" t="str">
        <f t="shared" si="169"/>
        <v/>
      </c>
    </row>
    <row r="5509" spans="18:18" x14ac:dyDescent="0.2">
      <c r="R5509" s="189" t="str">
        <f t="shared" si="169"/>
        <v/>
      </c>
    </row>
    <row r="5510" spans="18:18" x14ac:dyDescent="0.2">
      <c r="R5510" s="189" t="str">
        <f t="shared" si="169"/>
        <v/>
      </c>
    </row>
    <row r="5511" spans="18:18" x14ac:dyDescent="0.2">
      <c r="R5511" s="189" t="str">
        <f t="shared" si="169"/>
        <v/>
      </c>
    </row>
    <row r="5512" spans="18:18" x14ac:dyDescent="0.2">
      <c r="R5512" s="189" t="str">
        <f t="shared" si="169"/>
        <v/>
      </c>
    </row>
    <row r="5513" spans="18:18" x14ac:dyDescent="0.2">
      <c r="R5513" s="189" t="str">
        <f t="shared" si="169"/>
        <v/>
      </c>
    </row>
    <row r="5514" spans="18:18" x14ac:dyDescent="0.2">
      <c r="R5514" s="189" t="str">
        <f t="shared" si="169"/>
        <v/>
      </c>
    </row>
    <row r="5515" spans="18:18" x14ac:dyDescent="0.2">
      <c r="R5515" s="189" t="str">
        <f t="shared" si="169"/>
        <v/>
      </c>
    </row>
    <row r="5516" spans="18:18" x14ac:dyDescent="0.2">
      <c r="R5516" s="189" t="str">
        <f t="shared" si="169"/>
        <v/>
      </c>
    </row>
    <row r="5517" spans="18:18" x14ac:dyDescent="0.2">
      <c r="R5517" s="189" t="str">
        <f t="shared" si="169"/>
        <v/>
      </c>
    </row>
    <row r="5518" spans="18:18" x14ac:dyDescent="0.2">
      <c r="R5518" s="189" t="str">
        <f t="shared" si="169"/>
        <v/>
      </c>
    </row>
    <row r="5519" spans="18:18" x14ac:dyDescent="0.2">
      <c r="R5519" s="189" t="str">
        <f t="shared" si="169"/>
        <v/>
      </c>
    </row>
    <row r="5520" spans="18:18" x14ac:dyDescent="0.2">
      <c r="R5520" s="189" t="str">
        <f t="shared" si="169"/>
        <v/>
      </c>
    </row>
    <row r="5521" spans="18:18" x14ac:dyDescent="0.2">
      <c r="R5521" s="189" t="str">
        <f t="shared" si="169"/>
        <v/>
      </c>
    </row>
    <row r="5522" spans="18:18" x14ac:dyDescent="0.2">
      <c r="R5522" s="189" t="str">
        <f t="shared" si="169"/>
        <v/>
      </c>
    </row>
    <row r="5523" spans="18:18" x14ac:dyDescent="0.2">
      <c r="R5523" s="189" t="str">
        <f t="shared" si="169"/>
        <v/>
      </c>
    </row>
    <row r="5524" spans="18:18" x14ac:dyDescent="0.2">
      <c r="R5524" s="189" t="str">
        <f t="shared" si="169"/>
        <v/>
      </c>
    </row>
    <row r="5525" spans="18:18" x14ac:dyDescent="0.2">
      <c r="R5525" s="189" t="str">
        <f t="shared" si="169"/>
        <v/>
      </c>
    </row>
    <row r="5526" spans="18:18" x14ac:dyDescent="0.2">
      <c r="R5526" s="189" t="str">
        <f t="shared" ref="R5526:R5589" si="170">IF(OR(P5526="",Q5526=""),"",IFERROR(P5526-Q5526,""))</f>
        <v/>
      </c>
    </row>
    <row r="5527" spans="18:18" x14ac:dyDescent="0.2">
      <c r="R5527" s="189" t="str">
        <f t="shared" si="170"/>
        <v/>
      </c>
    </row>
    <row r="5528" spans="18:18" x14ac:dyDescent="0.2">
      <c r="R5528" s="189" t="str">
        <f t="shared" si="170"/>
        <v/>
      </c>
    </row>
    <row r="5529" spans="18:18" x14ac:dyDescent="0.2">
      <c r="R5529" s="189" t="str">
        <f t="shared" si="170"/>
        <v/>
      </c>
    </row>
    <row r="5530" spans="18:18" x14ac:dyDescent="0.2">
      <c r="R5530" s="189" t="str">
        <f t="shared" si="170"/>
        <v/>
      </c>
    </row>
    <row r="5531" spans="18:18" x14ac:dyDescent="0.2">
      <c r="R5531" s="189" t="str">
        <f t="shared" si="170"/>
        <v/>
      </c>
    </row>
    <row r="5532" spans="18:18" x14ac:dyDescent="0.2">
      <c r="R5532" s="189" t="str">
        <f t="shared" si="170"/>
        <v/>
      </c>
    </row>
    <row r="5533" spans="18:18" x14ac:dyDescent="0.2">
      <c r="R5533" s="189" t="str">
        <f t="shared" si="170"/>
        <v/>
      </c>
    </row>
    <row r="5534" spans="18:18" x14ac:dyDescent="0.2">
      <c r="R5534" s="189" t="str">
        <f t="shared" si="170"/>
        <v/>
      </c>
    </row>
    <row r="5535" spans="18:18" x14ac:dyDescent="0.2">
      <c r="R5535" s="189" t="str">
        <f t="shared" si="170"/>
        <v/>
      </c>
    </row>
    <row r="5536" spans="18:18" x14ac:dyDescent="0.2">
      <c r="R5536" s="189" t="str">
        <f t="shared" si="170"/>
        <v/>
      </c>
    </row>
    <row r="5537" spans="18:18" x14ac:dyDescent="0.2">
      <c r="R5537" s="189" t="str">
        <f t="shared" si="170"/>
        <v/>
      </c>
    </row>
    <row r="5538" spans="18:18" x14ac:dyDescent="0.2">
      <c r="R5538" s="189" t="str">
        <f t="shared" si="170"/>
        <v/>
      </c>
    </row>
    <row r="5539" spans="18:18" x14ac:dyDescent="0.2">
      <c r="R5539" s="189" t="str">
        <f t="shared" si="170"/>
        <v/>
      </c>
    </row>
    <row r="5540" spans="18:18" x14ac:dyDescent="0.2">
      <c r="R5540" s="189" t="str">
        <f t="shared" si="170"/>
        <v/>
      </c>
    </row>
    <row r="5541" spans="18:18" x14ac:dyDescent="0.2">
      <c r="R5541" s="189" t="str">
        <f t="shared" si="170"/>
        <v/>
      </c>
    </row>
    <row r="5542" spans="18:18" x14ac:dyDescent="0.2">
      <c r="R5542" s="189" t="str">
        <f t="shared" si="170"/>
        <v/>
      </c>
    </row>
    <row r="5543" spans="18:18" x14ac:dyDescent="0.2">
      <c r="R5543" s="189" t="str">
        <f t="shared" si="170"/>
        <v/>
      </c>
    </row>
    <row r="5544" spans="18:18" x14ac:dyDescent="0.2">
      <c r="R5544" s="189" t="str">
        <f t="shared" si="170"/>
        <v/>
      </c>
    </row>
    <row r="5545" spans="18:18" x14ac:dyDescent="0.2">
      <c r="R5545" s="189" t="str">
        <f t="shared" si="170"/>
        <v/>
      </c>
    </row>
    <row r="5546" spans="18:18" x14ac:dyDescent="0.2">
      <c r="R5546" s="189" t="str">
        <f t="shared" si="170"/>
        <v/>
      </c>
    </row>
    <row r="5547" spans="18:18" x14ac:dyDescent="0.2">
      <c r="R5547" s="189" t="str">
        <f t="shared" si="170"/>
        <v/>
      </c>
    </row>
    <row r="5548" spans="18:18" x14ac:dyDescent="0.2">
      <c r="R5548" s="189" t="str">
        <f t="shared" si="170"/>
        <v/>
      </c>
    </row>
    <row r="5549" spans="18:18" x14ac:dyDescent="0.2">
      <c r="R5549" s="189" t="str">
        <f t="shared" si="170"/>
        <v/>
      </c>
    </row>
    <row r="5550" spans="18:18" x14ac:dyDescent="0.2">
      <c r="R5550" s="189" t="str">
        <f t="shared" si="170"/>
        <v/>
      </c>
    </row>
    <row r="5551" spans="18:18" x14ac:dyDescent="0.2">
      <c r="R5551" s="189" t="str">
        <f t="shared" si="170"/>
        <v/>
      </c>
    </row>
    <row r="5552" spans="18:18" x14ac:dyDescent="0.2">
      <c r="R5552" s="189" t="str">
        <f t="shared" si="170"/>
        <v/>
      </c>
    </row>
    <row r="5553" spans="18:18" x14ac:dyDescent="0.2">
      <c r="R5553" s="189" t="str">
        <f t="shared" si="170"/>
        <v/>
      </c>
    </row>
    <row r="5554" spans="18:18" x14ac:dyDescent="0.2">
      <c r="R5554" s="189" t="str">
        <f t="shared" si="170"/>
        <v/>
      </c>
    </row>
    <row r="5555" spans="18:18" x14ac:dyDescent="0.2">
      <c r="R5555" s="189" t="str">
        <f t="shared" si="170"/>
        <v/>
      </c>
    </row>
    <row r="5556" spans="18:18" x14ac:dyDescent="0.2">
      <c r="R5556" s="189" t="str">
        <f t="shared" si="170"/>
        <v/>
      </c>
    </row>
    <row r="5557" spans="18:18" x14ac:dyDescent="0.2">
      <c r="R5557" s="189" t="str">
        <f t="shared" si="170"/>
        <v/>
      </c>
    </row>
    <row r="5558" spans="18:18" x14ac:dyDescent="0.2">
      <c r="R5558" s="189" t="str">
        <f t="shared" si="170"/>
        <v/>
      </c>
    </row>
    <row r="5559" spans="18:18" x14ac:dyDescent="0.2">
      <c r="R5559" s="189" t="str">
        <f t="shared" si="170"/>
        <v/>
      </c>
    </row>
    <row r="5560" spans="18:18" x14ac:dyDescent="0.2">
      <c r="R5560" s="189" t="str">
        <f t="shared" si="170"/>
        <v/>
      </c>
    </row>
    <row r="5561" spans="18:18" x14ac:dyDescent="0.2">
      <c r="R5561" s="189" t="str">
        <f t="shared" si="170"/>
        <v/>
      </c>
    </row>
    <row r="5562" spans="18:18" x14ac:dyDescent="0.2">
      <c r="R5562" s="189" t="str">
        <f t="shared" si="170"/>
        <v/>
      </c>
    </row>
    <row r="5563" spans="18:18" x14ac:dyDescent="0.2">
      <c r="R5563" s="189" t="str">
        <f t="shared" si="170"/>
        <v/>
      </c>
    </row>
    <row r="5564" spans="18:18" x14ac:dyDescent="0.2">
      <c r="R5564" s="189" t="str">
        <f t="shared" si="170"/>
        <v/>
      </c>
    </row>
    <row r="5565" spans="18:18" x14ac:dyDescent="0.2">
      <c r="R5565" s="189" t="str">
        <f t="shared" si="170"/>
        <v/>
      </c>
    </row>
    <row r="5566" spans="18:18" x14ac:dyDescent="0.2">
      <c r="R5566" s="189" t="str">
        <f t="shared" si="170"/>
        <v/>
      </c>
    </row>
    <row r="5567" spans="18:18" x14ac:dyDescent="0.2">
      <c r="R5567" s="189" t="str">
        <f t="shared" si="170"/>
        <v/>
      </c>
    </row>
    <row r="5568" spans="18:18" x14ac:dyDescent="0.2">
      <c r="R5568" s="189" t="str">
        <f t="shared" si="170"/>
        <v/>
      </c>
    </row>
    <row r="5569" spans="18:18" x14ac:dyDescent="0.2">
      <c r="R5569" s="189" t="str">
        <f t="shared" si="170"/>
        <v/>
      </c>
    </row>
    <row r="5570" spans="18:18" x14ac:dyDescent="0.2">
      <c r="R5570" s="189" t="str">
        <f t="shared" si="170"/>
        <v/>
      </c>
    </row>
    <row r="5571" spans="18:18" x14ac:dyDescent="0.2">
      <c r="R5571" s="189" t="str">
        <f t="shared" si="170"/>
        <v/>
      </c>
    </row>
    <row r="5572" spans="18:18" x14ac:dyDescent="0.2">
      <c r="R5572" s="189" t="str">
        <f t="shared" si="170"/>
        <v/>
      </c>
    </row>
    <row r="5573" spans="18:18" x14ac:dyDescent="0.2">
      <c r="R5573" s="189" t="str">
        <f t="shared" si="170"/>
        <v/>
      </c>
    </row>
    <row r="5574" spans="18:18" x14ac:dyDescent="0.2">
      <c r="R5574" s="189" t="str">
        <f t="shared" si="170"/>
        <v/>
      </c>
    </row>
    <row r="5575" spans="18:18" x14ac:dyDescent="0.2">
      <c r="R5575" s="189" t="str">
        <f t="shared" si="170"/>
        <v/>
      </c>
    </row>
    <row r="5576" spans="18:18" x14ac:dyDescent="0.2">
      <c r="R5576" s="189" t="str">
        <f t="shared" si="170"/>
        <v/>
      </c>
    </row>
    <row r="5577" spans="18:18" x14ac:dyDescent="0.2">
      <c r="R5577" s="189" t="str">
        <f t="shared" si="170"/>
        <v/>
      </c>
    </row>
    <row r="5578" spans="18:18" x14ac:dyDescent="0.2">
      <c r="R5578" s="189" t="str">
        <f t="shared" si="170"/>
        <v/>
      </c>
    </row>
    <row r="5579" spans="18:18" x14ac:dyDescent="0.2">
      <c r="R5579" s="189" t="str">
        <f t="shared" si="170"/>
        <v/>
      </c>
    </row>
    <row r="5580" spans="18:18" x14ac:dyDescent="0.2">
      <c r="R5580" s="189" t="str">
        <f t="shared" si="170"/>
        <v/>
      </c>
    </row>
    <row r="5581" spans="18:18" x14ac:dyDescent="0.2">
      <c r="R5581" s="189" t="str">
        <f t="shared" si="170"/>
        <v/>
      </c>
    </row>
    <row r="5582" spans="18:18" x14ac:dyDescent="0.2">
      <c r="R5582" s="189" t="str">
        <f t="shared" si="170"/>
        <v/>
      </c>
    </row>
    <row r="5583" spans="18:18" x14ac:dyDescent="0.2">
      <c r="R5583" s="189" t="str">
        <f t="shared" si="170"/>
        <v/>
      </c>
    </row>
    <row r="5584" spans="18:18" x14ac:dyDescent="0.2">
      <c r="R5584" s="189" t="str">
        <f t="shared" si="170"/>
        <v/>
      </c>
    </row>
    <row r="5585" spans="18:18" x14ac:dyDescent="0.2">
      <c r="R5585" s="189" t="str">
        <f t="shared" si="170"/>
        <v/>
      </c>
    </row>
    <row r="5586" spans="18:18" x14ac:dyDescent="0.2">
      <c r="R5586" s="189" t="str">
        <f t="shared" si="170"/>
        <v/>
      </c>
    </row>
    <row r="5587" spans="18:18" x14ac:dyDescent="0.2">
      <c r="R5587" s="189" t="str">
        <f t="shared" si="170"/>
        <v/>
      </c>
    </row>
    <row r="5588" spans="18:18" x14ac:dyDescent="0.2">
      <c r="R5588" s="189" t="str">
        <f t="shared" si="170"/>
        <v/>
      </c>
    </row>
    <row r="5589" spans="18:18" x14ac:dyDescent="0.2">
      <c r="R5589" s="189" t="str">
        <f t="shared" si="170"/>
        <v/>
      </c>
    </row>
    <row r="5590" spans="18:18" x14ac:dyDescent="0.2">
      <c r="R5590" s="189" t="str">
        <f t="shared" ref="R5590:R5653" si="171">IF(OR(P5590="",Q5590=""),"",IFERROR(P5590-Q5590,""))</f>
        <v/>
      </c>
    </row>
    <row r="5591" spans="18:18" x14ac:dyDescent="0.2">
      <c r="R5591" s="189" t="str">
        <f t="shared" si="171"/>
        <v/>
      </c>
    </row>
    <row r="5592" spans="18:18" x14ac:dyDescent="0.2">
      <c r="R5592" s="189" t="str">
        <f t="shared" si="171"/>
        <v/>
      </c>
    </row>
    <row r="5593" spans="18:18" x14ac:dyDescent="0.2">
      <c r="R5593" s="189" t="str">
        <f t="shared" si="171"/>
        <v/>
      </c>
    </row>
    <row r="5594" spans="18:18" x14ac:dyDescent="0.2">
      <c r="R5594" s="189" t="str">
        <f t="shared" si="171"/>
        <v/>
      </c>
    </row>
    <row r="5595" spans="18:18" x14ac:dyDescent="0.2">
      <c r="R5595" s="189" t="str">
        <f t="shared" si="171"/>
        <v/>
      </c>
    </row>
    <row r="5596" spans="18:18" x14ac:dyDescent="0.2">
      <c r="R5596" s="189" t="str">
        <f t="shared" si="171"/>
        <v/>
      </c>
    </row>
    <row r="5597" spans="18:18" x14ac:dyDescent="0.2">
      <c r="R5597" s="189" t="str">
        <f t="shared" si="171"/>
        <v/>
      </c>
    </row>
    <row r="5598" spans="18:18" x14ac:dyDescent="0.2">
      <c r="R5598" s="189" t="str">
        <f t="shared" si="171"/>
        <v/>
      </c>
    </row>
    <row r="5599" spans="18:18" x14ac:dyDescent="0.2">
      <c r="R5599" s="189" t="str">
        <f t="shared" si="171"/>
        <v/>
      </c>
    </row>
    <row r="5600" spans="18:18" x14ac:dyDescent="0.2">
      <c r="R5600" s="189" t="str">
        <f t="shared" si="171"/>
        <v/>
      </c>
    </row>
    <row r="5601" spans="18:18" x14ac:dyDescent="0.2">
      <c r="R5601" s="189" t="str">
        <f t="shared" si="171"/>
        <v/>
      </c>
    </row>
    <row r="5602" spans="18:18" x14ac:dyDescent="0.2">
      <c r="R5602" s="189" t="str">
        <f t="shared" si="171"/>
        <v/>
      </c>
    </row>
    <row r="5603" spans="18:18" x14ac:dyDescent="0.2">
      <c r="R5603" s="189" t="str">
        <f t="shared" si="171"/>
        <v/>
      </c>
    </row>
    <row r="5604" spans="18:18" x14ac:dyDescent="0.2">
      <c r="R5604" s="189" t="str">
        <f t="shared" si="171"/>
        <v/>
      </c>
    </row>
    <row r="5605" spans="18:18" x14ac:dyDescent="0.2">
      <c r="R5605" s="189" t="str">
        <f t="shared" si="171"/>
        <v/>
      </c>
    </row>
    <row r="5606" spans="18:18" x14ac:dyDescent="0.2">
      <c r="R5606" s="189" t="str">
        <f t="shared" si="171"/>
        <v/>
      </c>
    </row>
    <row r="5607" spans="18:18" x14ac:dyDescent="0.2">
      <c r="R5607" s="189" t="str">
        <f t="shared" si="171"/>
        <v/>
      </c>
    </row>
    <row r="5608" spans="18:18" x14ac:dyDescent="0.2">
      <c r="R5608" s="189" t="str">
        <f t="shared" si="171"/>
        <v/>
      </c>
    </row>
    <row r="5609" spans="18:18" x14ac:dyDescent="0.2">
      <c r="R5609" s="189" t="str">
        <f t="shared" si="171"/>
        <v/>
      </c>
    </row>
    <row r="5610" spans="18:18" x14ac:dyDescent="0.2">
      <c r="R5610" s="189" t="str">
        <f t="shared" si="171"/>
        <v/>
      </c>
    </row>
    <row r="5611" spans="18:18" x14ac:dyDescent="0.2">
      <c r="R5611" s="189" t="str">
        <f t="shared" si="171"/>
        <v/>
      </c>
    </row>
    <row r="5612" spans="18:18" x14ac:dyDescent="0.2">
      <c r="R5612" s="189" t="str">
        <f t="shared" si="171"/>
        <v/>
      </c>
    </row>
    <row r="5613" spans="18:18" x14ac:dyDescent="0.2">
      <c r="R5613" s="189" t="str">
        <f t="shared" si="171"/>
        <v/>
      </c>
    </row>
    <row r="5614" spans="18:18" x14ac:dyDescent="0.2">
      <c r="R5614" s="189" t="str">
        <f t="shared" si="171"/>
        <v/>
      </c>
    </row>
    <row r="5615" spans="18:18" x14ac:dyDescent="0.2">
      <c r="R5615" s="189" t="str">
        <f t="shared" si="171"/>
        <v/>
      </c>
    </row>
    <row r="5616" spans="18:18" x14ac:dyDescent="0.2">
      <c r="R5616" s="189" t="str">
        <f t="shared" si="171"/>
        <v/>
      </c>
    </row>
    <row r="5617" spans="18:18" x14ac:dyDescent="0.2">
      <c r="R5617" s="189" t="str">
        <f t="shared" si="171"/>
        <v/>
      </c>
    </row>
    <row r="5618" spans="18:18" x14ac:dyDescent="0.2">
      <c r="R5618" s="189" t="str">
        <f t="shared" si="171"/>
        <v/>
      </c>
    </row>
    <row r="5619" spans="18:18" x14ac:dyDescent="0.2">
      <c r="R5619" s="189" t="str">
        <f t="shared" si="171"/>
        <v/>
      </c>
    </row>
    <row r="5620" spans="18:18" x14ac:dyDescent="0.2">
      <c r="R5620" s="189" t="str">
        <f t="shared" si="171"/>
        <v/>
      </c>
    </row>
    <row r="5621" spans="18:18" x14ac:dyDescent="0.2">
      <c r="R5621" s="189" t="str">
        <f t="shared" si="171"/>
        <v/>
      </c>
    </row>
    <row r="5622" spans="18:18" x14ac:dyDescent="0.2">
      <c r="R5622" s="189" t="str">
        <f t="shared" si="171"/>
        <v/>
      </c>
    </row>
    <row r="5623" spans="18:18" x14ac:dyDescent="0.2">
      <c r="R5623" s="189" t="str">
        <f t="shared" si="171"/>
        <v/>
      </c>
    </row>
    <row r="5624" spans="18:18" x14ac:dyDescent="0.2">
      <c r="R5624" s="189" t="str">
        <f t="shared" si="171"/>
        <v/>
      </c>
    </row>
    <row r="5625" spans="18:18" x14ac:dyDescent="0.2">
      <c r="R5625" s="189" t="str">
        <f t="shared" si="171"/>
        <v/>
      </c>
    </row>
    <row r="5626" spans="18:18" x14ac:dyDescent="0.2">
      <c r="R5626" s="189" t="str">
        <f t="shared" si="171"/>
        <v/>
      </c>
    </row>
    <row r="5627" spans="18:18" x14ac:dyDescent="0.2">
      <c r="R5627" s="189" t="str">
        <f t="shared" si="171"/>
        <v/>
      </c>
    </row>
    <row r="5628" spans="18:18" x14ac:dyDescent="0.2">
      <c r="R5628" s="189" t="str">
        <f t="shared" si="171"/>
        <v/>
      </c>
    </row>
    <row r="5629" spans="18:18" x14ac:dyDescent="0.2">
      <c r="R5629" s="189" t="str">
        <f t="shared" si="171"/>
        <v/>
      </c>
    </row>
    <row r="5630" spans="18:18" x14ac:dyDescent="0.2">
      <c r="R5630" s="189" t="str">
        <f t="shared" si="171"/>
        <v/>
      </c>
    </row>
    <row r="5631" spans="18:18" x14ac:dyDescent="0.2">
      <c r="R5631" s="189" t="str">
        <f t="shared" si="171"/>
        <v/>
      </c>
    </row>
    <row r="5632" spans="18:18" x14ac:dyDescent="0.2">
      <c r="R5632" s="189" t="str">
        <f t="shared" si="171"/>
        <v/>
      </c>
    </row>
    <row r="5633" spans="18:18" x14ac:dyDescent="0.2">
      <c r="R5633" s="189" t="str">
        <f t="shared" si="171"/>
        <v/>
      </c>
    </row>
    <row r="5634" spans="18:18" x14ac:dyDescent="0.2">
      <c r="R5634" s="189" t="str">
        <f t="shared" si="171"/>
        <v/>
      </c>
    </row>
    <row r="5635" spans="18:18" x14ac:dyDescent="0.2">
      <c r="R5635" s="189" t="str">
        <f t="shared" si="171"/>
        <v/>
      </c>
    </row>
    <row r="5636" spans="18:18" x14ac:dyDescent="0.2">
      <c r="R5636" s="189" t="str">
        <f t="shared" si="171"/>
        <v/>
      </c>
    </row>
    <row r="5637" spans="18:18" x14ac:dyDescent="0.2">
      <c r="R5637" s="189" t="str">
        <f t="shared" si="171"/>
        <v/>
      </c>
    </row>
    <row r="5638" spans="18:18" x14ac:dyDescent="0.2">
      <c r="R5638" s="189" t="str">
        <f t="shared" si="171"/>
        <v/>
      </c>
    </row>
    <row r="5639" spans="18:18" x14ac:dyDescent="0.2">
      <c r="R5639" s="189" t="str">
        <f t="shared" si="171"/>
        <v/>
      </c>
    </row>
    <row r="5640" spans="18:18" x14ac:dyDescent="0.2">
      <c r="R5640" s="189" t="str">
        <f t="shared" si="171"/>
        <v/>
      </c>
    </row>
    <row r="5641" spans="18:18" x14ac:dyDescent="0.2">
      <c r="R5641" s="189" t="str">
        <f t="shared" si="171"/>
        <v/>
      </c>
    </row>
    <row r="5642" spans="18:18" x14ac:dyDescent="0.2">
      <c r="R5642" s="189" t="str">
        <f t="shared" si="171"/>
        <v/>
      </c>
    </row>
    <row r="5643" spans="18:18" x14ac:dyDescent="0.2">
      <c r="R5643" s="189" t="str">
        <f t="shared" si="171"/>
        <v/>
      </c>
    </row>
    <row r="5644" spans="18:18" x14ac:dyDescent="0.2">
      <c r="R5644" s="189" t="str">
        <f t="shared" si="171"/>
        <v/>
      </c>
    </row>
    <row r="5645" spans="18:18" x14ac:dyDescent="0.2">
      <c r="R5645" s="189" t="str">
        <f t="shared" si="171"/>
        <v/>
      </c>
    </row>
    <row r="5646" spans="18:18" x14ac:dyDescent="0.2">
      <c r="R5646" s="189" t="str">
        <f t="shared" si="171"/>
        <v/>
      </c>
    </row>
    <row r="5647" spans="18:18" x14ac:dyDescent="0.2">
      <c r="R5647" s="189" t="str">
        <f t="shared" si="171"/>
        <v/>
      </c>
    </row>
    <row r="5648" spans="18:18" x14ac:dyDescent="0.2">
      <c r="R5648" s="189" t="str">
        <f t="shared" si="171"/>
        <v/>
      </c>
    </row>
    <row r="5649" spans="18:18" x14ac:dyDescent="0.2">
      <c r="R5649" s="189" t="str">
        <f t="shared" si="171"/>
        <v/>
      </c>
    </row>
    <row r="5650" spans="18:18" x14ac:dyDescent="0.2">
      <c r="R5650" s="189" t="str">
        <f t="shared" si="171"/>
        <v/>
      </c>
    </row>
    <row r="5651" spans="18:18" x14ac:dyDescent="0.2">
      <c r="R5651" s="189" t="str">
        <f t="shared" si="171"/>
        <v/>
      </c>
    </row>
    <row r="5652" spans="18:18" x14ac:dyDescent="0.2">
      <c r="R5652" s="189" t="str">
        <f t="shared" si="171"/>
        <v/>
      </c>
    </row>
    <row r="5653" spans="18:18" x14ac:dyDescent="0.2">
      <c r="R5653" s="189" t="str">
        <f t="shared" si="171"/>
        <v/>
      </c>
    </row>
    <row r="5654" spans="18:18" x14ac:dyDescent="0.2">
      <c r="R5654" s="189" t="str">
        <f t="shared" ref="R5654:R5717" si="172">IF(OR(P5654="",Q5654=""),"",IFERROR(P5654-Q5654,""))</f>
        <v/>
      </c>
    </row>
    <row r="5655" spans="18:18" x14ac:dyDescent="0.2">
      <c r="R5655" s="189" t="str">
        <f t="shared" si="172"/>
        <v/>
      </c>
    </row>
    <row r="5656" spans="18:18" x14ac:dyDescent="0.2">
      <c r="R5656" s="189" t="str">
        <f t="shared" si="172"/>
        <v/>
      </c>
    </row>
    <row r="5657" spans="18:18" x14ac:dyDescent="0.2">
      <c r="R5657" s="189" t="str">
        <f t="shared" si="172"/>
        <v/>
      </c>
    </row>
    <row r="5658" spans="18:18" x14ac:dyDescent="0.2">
      <c r="R5658" s="189" t="str">
        <f t="shared" si="172"/>
        <v/>
      </c>
    </row>
    <row r="5659" spans="18:18" x14ac:dyDescent="0.2">
      <c r="R5659" s="189" t="str">
        <f t="shared" si="172"/>
        <v/>
      </c>
    </row>
    <row r="5660" spans="18:18" x14ac:dyDescent="0.2">
      <c r="R5660" s="189" t="str">
        <f t="shared" si="172"/>
        <v/>
      </c>
    </row>
    <row r="5661" spans="18:18" x14ac:dyDescent="0.2">
      <c r="R5661" s="189" t="str">
        <f t="shared" si="172"/>
        <v/>
      </c>
    </row>
    <row r="5662" spans="18:18" x14ac:dyDescent="0.2">
      <c r="R5662" s="189" t="str">
        <f t="shared" si="172"/>
        <v/>
      </c>
    </row>
    <row r="5663" spans="18:18" x14ac:dyDescent="0.2">
      <c r="R5663" s="189" t="str">
        <f t="shared" si="172"/>
        <v/>
      </c>
    </row>
    <row r="5664" spans="18:18" x14ac:dyDescent="0.2">
      <c r="R5664" s="189" t="str">
        <f t="shared" si="172"/>
        <v/>
      </c>
    </row>
    <row r="5665" spans="18:18" x14ac:dyDescent="0.2">
      <c r="R5665" s="189" t="str">
        <f t="shared" si="172"/>
        <v/>
      </c>
    </row>
    <row r="5666" spans="18:18" x14ac:dyDescent="0.2">
      <c r="R5666" s="189" t="str">
        <f t="shared" si="172"/>
        <v/>
      </c>
    </row>
    <row r="5667" spans="18:18" x14ac:dyDescent="0.2">
      <c r="R5667" s="189" t="str">
        <f t="shared" si="172"/>
        <v/>
      </c>
    </row>
    <row r="5668" spans="18:18" x14ac:dyDescent="0.2">
      <c r="R5668" s="189" t="str">
        <f t="shared" si="172"/>
        <v/>
      </c>
    </row>
    <row r="5669" spans="18:18" x14ac:dyDescent="0.2">
      <c r="R5669" s="189" t="str">
        <f t="shared" si="172"/>
        <v/>
      </c>
    </row>
    <row r="5670" spans="18:18" x14ac:dyDescent="0.2">
      <c r="R5670" s="189" t="str">
        <f t="shared" si="172"/>
        <v/>
      </c>
    </row>
    <row r="5671" spans="18:18" x14ac:dyDescent="0.2">
      <c r="R5671" s="189" t="str">
        <f t="shared" si="172"/>
        <v/>
      </c>
    </row>
    <row r="5672" spans="18:18" x14ac:dyDescent="0.2">
      <c r="R5672" s="189" t="str">
        <f t="shared" si="172"/>
        <v/>
      </c>
    </row>
    <row r="5673" spans="18:18" x14ac:dyDescent="0.2">
      <c r="R5673" s="189" t="str">
        <f t="shared" si="172"/>
        <v/>
      </c>
    </row>
    <row r="5674" spans="18:18" x14ac:dyDescent="0.2">
      <c r="R5674" s="189" t="str">
        <f t="shared" si="172"/>
        <v/>
      </c>
    </row>
    <row r="5675" spans="18:18" x14ac:dyDescent="0.2">
      <c r="R5675" s="189" t="str">
        <f t="shared" si="172"/>
        <v/>
      </c>
    </row>
    <row r="5676" spans="18:18" x14ac:dyDescent="0.2">
      <c r="R5676" s="189" t="str">
        <f t="shared" si="172"/>
        <v/>
      </c>
    </row>
    <row r="5677" spans="18:18" x14ac:dyDescent="0.2">
      <c r="R5677" s="189" t="str">
        <f t="shared" si="172"/>
        <v/>
      </c>
    </row>
    <row r="5678" spans="18:18" x14ac:dyDescent="0.2">
      <c r="R5678" s="189" t="str">
        <f t="shared" si="172"/>
        <v/>
      </c>
    </row>
    <row r="5679" spans="18:18" x14ac:dyDescent="0.2">
      <c r="R5679" s="189" t="str">
        <f t="shared" si="172"/>
        <v/>
      </c>
    </row>
    <row r="5680" spans="18:18" x14ac:dyDescent="0.2">
      <c r="R5680" s="189" t="str">
        <f t="shared" si="172"/>
        <v/>
      </c>
    </row>
    <row r="5681" spans="18:18" x14ac:dyDescent="0.2">
      <c r="R5681" s="189" t="str">
        <f t="shared" si="172"/>
        <v/>
      </c>
    </row>
    <row r="5682" spans="18:18" x14ac:dyDescent="0.2">
      <c r="R5682" s="189" t="str">
        <f t="shared" si="172"/>
        <v/>
      </c>
    </row>
    <row r="5683" spans="18:18" x14ac:dyDescent="0.2">
      <c r="R5683" s="189" t="str">
        <f t="shared" si="172"/>
        <v/>
      </c>
    </row>
    <row r="5684" spans="18:18" x14ac:dyDescent="0.2">
      <c r="R5684" s="189" t="str">
        <f t="shared" si="172"/>
        <v/>
      </c>
    </row>
    <row r="5685" spans="18:18" x14ac:dyDescent="0.2">
      <c r="R5685" s="189" t="str">
        <f t="shared" si="172"/>
        <v/>
      </c>
    </row>
    <row r="5686" spans="18:18" x14ac:dyDescent="0.2">
      <c r="R5686" s="189" t="str">
        <f t="shared" si="172"/>
        <v/>
      </c>
    </row>
    <row r="5687" spans="18:18" x14ac:dyDescent="0.2">
      <c r="R5687" s="189" t="str">
        <f t="shared" si="172"/>
        <v/>
      </c>
    </row>
    <row r="5688" spans="18:18" x14ac:dyDescent="0.2">
      <c r="R5688" s="189" t="str">
        <f t="shared" si="172"/>
        <v/>
      </c>
    </row>
    <row r="5689" spans="18:18" x14ac:dyDescent="0.2">
      <c r="R5689" s="189" t="str">
        <f t="shared" si="172"/>
        <v/>
      </c>
    </row>
    <row r="5690" spans="18:18" x14ac:dyDescent="0.2">
      <c r="R5690" s="189" t="str">
        <f t="shared" si="172"/>
        <v/>
      </c>
    </row>
    <row r="5691" spans="18:18" x14ac:dyDescent="0.2">
      <c r="R5691" s="189" t="str">
        <f t="shared" si="172"/>
        <v/>
      </c>
    </row>
    <row r="5692" spans="18:18" x14ac:dyDescent="0.2">
      <c r="R5692" s="189" t="str">
        <f t="shared" si="172"/>
        <v/>
      </c>
    </row>
    <row r="5693" spans="18:18" x14ac:dyDescent="0.2">
      <c r="R5693" s="189" t="str">
        <f t="shared" si="172"/>
        <v/>
      </c>
    </row>
    <row r="5694" spans="18:18" x14ac:dyDescent="0.2">
      <c r="R5694" s="189" t="str">
        <f t="shared" si="172"/>
        <v/>
      </c>
    </row>
    <row r="5695" spans="18:18" x14ac:dyDescent="0.2">
      <c r="R5695" s="189" t="str">
        <f t="shared" si="172"/>
        <v/>
      </c>
    </row>
    <row r="5696" spans="18:18" x14ac:dyDescent="0.2">
      <c r="R5696" s="189" t="str">
        <f t="shared" si="172"/>
        <v/>
      </c>
    </row>
    <row r="5697" spans="18:18" x14ac:dyDescent="0.2">
      <c r="R5697" s="189" t="str">
        <f t="shared" si="172"/>
        <v/>
      </c>
    </row>
    <row r="5698" spans="18:18" x14ac:dyDescent="0.2">
      <c r="R5698" s="189" t="str">
        <f t="shared" si="172"/>
        <v/>
      </c>
    </row>
    <row r="5699" spans="18:18" x14ac:dyDescent="0.2">
      <c r="R5699" s="189" t="str">
        <f t="shared" si="172"/>
        <v/>
      </c>
    </row>
    <row r="5700" spans="18:18" x14ac:dyDescent="0.2">
      <c r="R5700" s="189" t="str">
        <f t="shared" si="172"/>
        <v/>
      </c>
    </row>
    <row r="5701" spans="18:18" x14ac:dyDescent="0.2">
      <c r="R5701" s="189" t="str">
        <f t="shared" si="172"/>
        <v/>
      </c>
    </row>
    <row r="5702" spans="18:18" x14ac:dyDescent="0.2">
      <c r="R5702" s="189" t="str">
        <f t="shared" si="172"/>
        <v/>
      </c>
    </row>
    <row r="5703" spans="18:18" x14ac:dyDescent="0.2">
      <c r="R5703" s="189" t="str">
        <f t="shared" si="172"/>
        <v/>
      </c>
    </row>
    <row r="5704" spans="18:18" x14ac:dyDescent="0.2">
      <c r="R5704" s="189" t="str">
        <f t="shared" si="172"/>
        <v/>
      </c>
    </row>
    <row r="5705" spans="18:18" x14ac:dyDescent="0.2">
      <c r="R5705" s="189" t="str">
        <f t="shared" si="172"/>
        <v/>
      </c>
    </row>
    <row r="5706" spans="18:18" x14ac:dyDescent="0.2">
      <c r="R5706" s="189" t="str">
        <f t="shared" si="172"/>
        <v/>
      </c>
    </row>
    <row r="5707" spans="18:18" x14ac:dyDescent="0.2">
      <c r="R5707" s="189" t="str">
        <f t="shared" si="172"/>
        <v/>
      </c>
    </row>
    <row r="5708" spans="18:18" x14ac:dyDescent="0.2">
      <c r="R5708" s="189" t="str">
        <f t="shared" si="172"/>
        <v/>
      </c>
    </row>
    <row r="5709" spans="18:18" x14ac:dyDescent="0.2">
      <c r="R5709" s="189" t="str">
        <f t="shared" si="172"/>
        <v/>
      </c>
    </row>
    <row r="5710" spans="18:18" x14ac:dyDescent="0.2">
      <c r="R5710" s="189" t="str">
        <f t="shared" si="172"/>
        <v/>
      </c>
    </row>
    <row r="5711" spans="18:18" x14ac:dyDescent="0.2">
      <c r="R5711" s="189" t="str">
        <f t="shared" si="172"/>
        <v/>
      </c>
    </row>
    <row r="5712" spans="18:18" x14ac:dyDescent="0.2">
      <c r="R5712" s="189" t="str">
        <f t="shared" si="172"/>
        <v/>
      </c>
    </row>
    <row r="5713" spans="18:18" x14ac:dyDescent="0.2">
      <c r="R5713" s="189" t="str">
        <f t="shared" si="172"/>
        <v/>
      </c>
    </row>
    <row r="5714" spans="18:18" x14ac:dyDescent="0.2">
      <c r="R5714" s="189" t="str">
        <f t="shared" si="172"/>
        <v/>
      </c>
    </row>
    <row r="5715" spans="18:18" x14ac:dyDescent="0.2">
      <c r="R5715" s="189" t="str">
        <f t="shared" si="172"/>
        <v/>
      </c>
    </row>
    <row r="5716" spans="18:18" x14ac:dyDescent="0.2">
      <c r="R5716" s="189" t="str">
        <f t="shared" si="172"/>
        <v/>
      </c>
    </row>
    <row r="5717" spans="18:18" x14ac:dyDescent="0.2">
      <c r="R5717" s="189" t="str">
        <f t="shared" si="172"/>
        <v/>
      </c>
    </row>
    <row r="5718" spans="18:18" x14ac:dyDescent="0.2">
      <c r="R5718" s="189" t="str">
        <f t="shared" ref="R5718:R5781" si="173">IF(OR(P5718="",Q5718=""),"",IFERROR(P5718-Q5718,""))</f>
        <v/>
      </c>
    </row>
    <row r="5719" spans="18:18" x14ac:dyDescent="0.2">
      <c r="R5719" s="189" t="str">
        <f t="shared" si="173"/>
        <v/>
      </c>
    </row>
    <row r="5720" spans="18:18" x14ac:dyDescent="0.2">
      <c r="R5720" s="189" t="str">
        <f t="shared" si="173"/>
        <v/>
      </c>
    </row>
    <row r="5721" spans="18:18" x14ac:dyDescent="0.2">
      <c r="R5721" s="189" t="str">
        <f t="shared" si="173"/>
        <v/>
      </c>
    </row>
    <row r="5722" spans="18:18" x14ac:dyDescent="0.2">
      <c r="R5722" s="189" t="str">
        <f t="shared" si="173"/>
        <v/>
      </c>
    </row>
    <row r="5723" spans="18:18" x14ac:dyDescent="0.2">
      <c r="R5723" s="189" t="str">
        <f t="shared" si="173"/>
        <v/>
      </c>
    </row>
    <row r="5724" spans="18:18" x14ac:dyDescent="0.2">
      <c r="R5724" s="189" t="str">
        <f t="shared" si="173"/>
        <v/>
      </c>
    </row>
    <row r="5725" spans="18:18" x14ac:dyDescent="0.2">
      <c r="R5725" s="189" t="str">
        <f t="shared" si="173"/>
        <v/>
      </c>
    </row>
    <row r="5726" spans="18:18" x14ac:dyDescent="0.2">
      <c r="R5726" s="189" t="str">
        <f t="shared" si="173"/>
        <v/>
      </c>
    </row>
    <row r="5727" spans="18:18" x14ac:dyDescent="0.2">
      <c r="R5727" s="189" t="str">
        <f t="shared" si="173"/>
        <v/>
      </c>
    </row>
    <row r="5728" spans="18:18" x14ac:dyDescent="0.2">
      <c r="R5728" s="189" t="str">
        <f t="shared" si="173"/>
        <v/>
      </c>
    </row>
    <row r="5729" spans="18:18" x14ac:dyDescent="0.2">
      <c r="R5729" s="189" t="str">
        <f t="shared" si="173"/>
        <v/>
      </c>
    </row>
    <row r="5730" spans="18:18" x14ac:dyDescent="0.2">
      <c r="R5730" s="189" t="str">
        <f t="shared" si="173"/>
        <v/>
      </c>
    </row>
    <row r="5731" spans="18:18" x14ac:dyDescent="0.2">
      <c r="R5731" s="189" t="str">
        <f t="shared" si="173"/>
        <v/>
      </c>
    </row>
    <row r="5732" spans="18:18" x14ac:dyDescent="0.2">
      <c r="R5732" s="189" t="str">
        <f t="shared" si="173"/>
        <v/>
      </c>
    </row>
    <row r="5733" spans="18:18" x14ac:dyDescent="0.2">
      <c r="R5733" s="189" t="str">
        <f t="shared" si="173"/>
        <v/>
      </c>
    </row>
    <row r="5734" spans="18:18" x14ac:dyDescent="0.2">
      <c r="R5734" s="189" t="str">
        <f t="shared" si="173"/>
        <v/>
      </c>
    </row>
    <row r="5735" spans="18:18" x14ac:dyDescent="0.2">
      <c r="R5735" s="189" t="str">
        <f t="shared" si="173"/>
        <v/>
      </c>
    </row>
    <row r="5736" spans="18:18" x14ac:dyDescent="0.2">
      <c r="R5736" s="189" t="str">
        <f t="shared" si="173"/>
        <v/>
      </c>
    </row>
    <row r="5737" spans="18:18" x14ac:dyDescent="0.2">
      <c r="R5737" s="189" t="str">
        <f t="shared" si="173"/>
        <v/>
      </c>
    </row>
    <row r="5738" spans="18:18" x14ac:dyDescent="0.2">
      <c r="R5738" s="189" t="str">
        <f t="shared" si="173"/>
        <v/>
      </c>
    </row>
    <row r="5739" spans="18:18" x14ac:dyDescent="0.2">
      <c r="R5739" s="189" t="str">
        <f t="shared" si="173"/>
        <v/>
      </c>
    </row>
    <row r="5740" spans="18:18" x14ac:dyDescent="0.2">
      <c r="R5740" s="189" t="str">
        <f t="shared" si="173"/>
        <v/>
      </c>
    </row>
    <row r="5741" spans="18:18" x14ac:dyDescent="0.2">
      <c r="R5741" s="189" t="str">
        <f t="shared" si="173"/>
        <v/>
      </c>
    </row>
    <row r="5742" spans="18:18" x14ac:dyDescent="0.2">
      <c r="R5742" s="189" t="str">
        <f t="shared" si="173"/>
        <v/>
      </c>
    </row>
    <row r="5743" spans="18:18" x14ac:dyDescent="0.2">
      <c r="R5743" s="189" t="str">
        <f t="shared" si="173"/>
        <v/>
      </c>
    </row>
    <row r="5744" spans="18:18" x14ac:dyDescent="0.2">
      <c r="R5744" s="189" t="str">
        <f t="shared" si="173"/>
        <v/>
      </c>
    </row>
    <row r="5745" spans="18:18" x14ac:dyDescent="0.2">
      <c r="R5745" s="189" t="str">
        <f t="shared" si="173"/>
        <v/>
      </c>
    </row>
    <row r="5746" spans="18:18" x14ac:dyDescent="0.2">
      <c r="R5746" s="189" t="str">
        <f t="shared" si="173"/>
        <v/>
      </c>
    </row>
    <row r="5747" spans="18:18" x14ac:dyDescent="0.2">
      <c r="R5747" s="189" t="str">
        <f t="shared" si="173"/>
        <v/>
      </c>
    </row>
    <row r="5748" spans="18:18" x14ac:dyDescent="0.2">
      <c r="R5748" s="189" t="str">
        <f t="shared" si="173"/>
        <v/>
      </c>
    </row>
    <row r="5749" spans="18:18" x14ac:dyDescent="0.2">
      <c r="R5749" s="189" t="str">
        <f t="shared" si="173"/>
        <v/>
      </c>
    </row>
    <row r="5750" spans="18:18" x14ac:dyDescent="0.2">
      <c r="R5750" s="189" t="str">
        <f t="shared" si="173"/>
        <v/>
      </c>
    </row>
    <row r="5751" spans="18:18" x14ac:dyDescent="0.2">
      <c r="R5751" s="189" t="str">
        <f t="shared" si="173"/>
        <v/>
      </c>
    </row>
    <row r="5752" spans="18:18" x14ac:dyDescent="0.2">
      <c r="R5752" s="189" t="str">
        <f t="shared" si="173"/>
        <v/>
      </c>
    </row>
    <row r="5753" spans="18:18" x14ac:dyDescent="0.2">
      <c r="R5753" s="189" t="str">
        <f t="shared" si="173"/>
        <v/>
      </c>
    </row>
    <row r="5754" spans="18:18" x14ac:dyDescent="0.2">
      <c r="R5754" s="189" t="str">
        <f t="shared" si="173"/>
        <v/>
      </c>
    </row>
    <row r="5755" spans="18:18" x14ac:dyDescent="0.2">
      <c r="R5755" s="189" t="str">
        <f t="shared" si="173"/>
        <v/>
      </c>
    </row>
    <row r="5756" spans="18:18" x14ac:dyDescent="0.2">
      <c r="R5756" s="189" t="str">
        <f t="shared" si="173"/>
        <v/>
      </c>
    </row>
    <row r="5757" spans="18:18" x14ac:dyDescent="0.2">
      <c r="R5757" s="189" t="str">
        <f t="shared" si="173"/>
        <v/>
      </c>
    </row>
    <row r="5758" spans="18:18" x14ac:dyDescent="0.2">
      <c r="R5758" s="189" t="str">
        <f t="shared" si="173"/>
        <v/>
      </c>
    </row>
    <row r="5759" spans="18:18" x14ac:dyDescent="0.2">
      <c r="R5759" s="189" t="str">
        <f t="shared" si="173"/>
        <v/>
      </c>
    </row>
    <row r="5760" spans="18:18" x14ac:dyDescent="0.2">
      <c r="R5760" s="189" t="str">
        <f t="shared" si="173"/>
        <v/>
      </c>
    </row>
    <row r="5761" spans="18:18" x14ac:dyDescent="0.2">
      <c r="R5761" s="189" t="str">
        <f t="shared" si="173"/>
        <v/>
      </c>
    </row>
    <row r="5762" spans="18:18" x14ac:dyDescent="0.2">
      <c r="R5762" s="189" t="str">
        <f t="shared" si="173"/>
        <v/>
      </c>
    </row>
    <row r="5763" spans="18:18" x14ac:dyDescent="0.2">
      <c r="R5763" s="189" t="str">
        <f t="shared" si="173"/>
        <v/>
      </c>
    </row>
    <row r="5764" spans="18:18" x14ac:dyDescent="0.2">
      <c r="R5764" s="189" t="str">
        <f t="shared" si="173"/>
        <v/>
      </c>
    </row>
    <row r="5765" spans="18:18" x14ac:dyDescent="0.2">
      <c r="R5765" s="189" t="str">
        <f t="shared" si="173"/>
        <v/>
      </c>
    </row>
    <row r="5766" spans="18:18" x14ac:dyDescent="0.2">
      <c r="R5766" s="189" t="str">
        <f t="shared" si="173"/>
        <v/>
      </c>
    </row>
    <row r="5767" spans="18:18" x14ac:dyDescent="0.2">
      <c r="R5767" s="189" t="str">
        <f t="shared" si="173"/>
        <v/>
      </c>
    </row>
    <row r="5768" spans="18:18" x14ac:dyDescent="0.2">
      <c r="R5768" s="189" t="str">
        <f t="shared" si="173"/>
        <v/>
      </c>
    </row>
    <row r="5769" spans="18:18" x14ac:dyDescent="0.2">
      <c r="R5769" s="189" t="str">
        <f t="shared" si="173"/>
        <v/>
      </c>
    </row>
    <row r="5770" spans="18:18" x14ac:dyDescent="0.2">
      <c r="R5770" s="189" t="str">
        <f t="shared" si="173"/>
        <v/>
      </c>
    </row>
    <row r="5771" spans="18:18" x14ac:dyDescent="0.2">
      <c r="R5771" s="189" t="str">
        <f t="shared" si="173"/>
        <v/>
      </c>
    </row>
    <row r="5772" spans="18:18" x14ac:dyDescent="0.2">
      <c r="R5772" s="189" t="str">
        <f t="shared" si="173"/>
        <v/>
      </c>
    </row>
    <row r="5773" spans="18:18" x14ac:dyDescent="0.2">
      <c r="R5773" s="189" t="str">
        <f t="shared" si="173"/>
        <v/>
      </c>
    </row>
    <row r="5774" spans="18:18" x14ac:dyDescent="0.2">
      <c r="R5774" s="189" t="str">
        <f t="shared" si="173"/>
        <v/>
      </c>
    </row>
    <row r="5775" spans="18:18" x14ac:dyDescent="0.2">
      <c r="R5775" s="189" t="str">
        <f t="shared" si="173"/>
        <v/>
      </c>
    </row>
    <row r="5776" spans="18:18" x14ac:dyDescent="0.2">
      <c r="R5776" s="189" t="str">
        <f t="shared" si="173"/>
        <v/>
      </c>
    </row>
    <row r="5777" spans="18:18" x14ac:dyDescent="0.2">
      <c r="R5777" s="189" t="str">
        <f t="shared" si="173"/>
        <v/>
      </c>
    </row>
    <row r="5778" spans="18:18" x14ac:dyDescent="0.2">
      <c r="R5778" s="189" t="str">
        <f t="shared" si="173"/>
        <v/>
      </c>
    </row>
    <row r="5779" spans="18:18" x14ac:dyDescent="0.2">
      <c r="R5779" s="189" t="str">
        <f t="shared" si="173"/>
        <v/>
      </c>
    </row>
    <row r="5780" spans="18:18" x14ac:dyDescent="0.2">
      <c r="R5780" s="189" t="str">
        <f t="shared" si="173"/>
        <v/>
      </c>
    </row>
    <row r="5781" spans="18:18" x14ac:dyDescent="0.2">
      <c r="R5781" s="189" t="str">
        <f t="shared" si="173"/>
        <v/>
      </c>
    </row>
    <row r="5782" spans="18:18" x14ac:dyDescent="0.2">
      <c r="R5782" s="189" t="str">
        <f t="shared" ref="R5782:R5845" si="174">IF(OR(P5782="",Q5782=""),"",IFERROR(P5782-Q5782,""))</f>
        <v/>
      </c>
    </row>
    <row r="5783" spans="18:18" x14ac:dyDescent="0.2">
      <c r="R5783" s="189" t="str">
        <f t="shared" si="174"/>
        <v/>
      </c>
    </row>
    <row r="5784" spans="18:18" x14ac:dyDescent="0.2">
      <c r="R5784" s="189" t="str">
        <f t="shared" si="174"/>
        <v/>
      </c>
    </row>
    <row r="5785" spans="18:18" x14ac:dyDescent="0.2">
      <c r="R5785" s="189" t="str">
        <f t="shared" si="174"/>
        <v/>
      </c>
    </row>
    <row r="5786" spans="18:18" x14ac:dyDescent="0.2">
      <c r="R5786" s="189" t="str">
        <f t="shared" si="174"/>
        <v/>
      </c>
    </row>
    <row r="5787" spans="18:18" x14ac:dyDescent="0.2">
      <c r="R5787" s="189" t="str">
        <f t="shared" si="174"/>
        <v/>
      </c>
    </row>
    <row r="5788" spans="18:18" x14ac:dyDescent="0.2">
      <c r="R5788" s="189" t="str">
        <f t="shared" si="174"/>
        <v/>
      </c>
    </row>
    <row r="5789" spans="18:18" x14ac:dyDescent="0.2">
      <c r="R5789" s="189" t="str">
        <f t="shared" si="174"/>
        <v/>
      </c>
    </row>
    <row r="5790" spans="18:18" x14ac:dyDescent="0.2">
      <c r="R5790" s="189" t="str">
        <f t="shared" si="174"/>
        <v/>
      </c>
    </row>
    <row r="5791" spans="18:18" x14ac:dyDescent="0.2">
      <c r="R5791" s="189" t="str">
        <f t="shared" si="174"/>
        <v/>
      </c>
    </row>
    <row r="5792" spans="18:18" x14ac:dyDescent="0.2">
      <c r="R5792" s="189" t="str">
        <f t="shared" si="174"/>
        <v/>
      </c>
    </row>
    <row r="5793" spans="18:18" x14ac:dyDescent="0.2">
      <c r="R5793" s="189" t="str">
        <f t="shared" si="174"/>
        <v/>
      </c>
    </row>
    <row r="5794" spans="18:18" x14ac:dyDescent="0.2">
      <c r="R5794" s="189" t="str">
        <f t="shared" si="174"/>
        <v/>
      </c>
    </row>
    <row r="5795" spans="18:18" x14ac:dyDescent="0.2">
      <c r="R5795" s="189" t="str">
        <f t="shared" si="174"/>
        <v/>
      </c>
    </row>
    <row r="5796" spans="18:18" x14ac:dyDescent="0.2">
      <c r="R5796" s="189" t="str">
        <f t="shared" si="174"/>
        <v/>
      </c>
    </row>
    <row r="5797" spans="18:18" x14ac:dyDescent="0.2">
      <c r="R5797" s="189" t="str">
        <f t="shared" si="174"/>
        <v/>
      </c>
    </row>
    <row r="5798" spans="18:18" x14ac:dyDescent="0.2">
      <c r="R5798" s="189" t="str">
        <f t="shared" si="174"/>
        <v/>
      </c>
    </row>
    <row r="5799" spans="18:18" x14ac:dyDescent="0.2">
      <c r="R5799" s="189" t="str">
        <f t="shared" si="174"/>
        <v/>
      </c>
    </row>
    <row r="5800" spans="18:18" x14ac:dyDescent="0.2">
      <c r="R5800" s="189" t="str">
        <f t="shared" si="174"/>
        <v/>
      </c>
    </row>
    <row r="5801" spans="18:18" x14ac:dyDescent="0.2">
      <c r="R5801" s="189" t="str">
        <f t="shared" si="174"/>
        <v/>
      </c>
    </row>
    <row r="5802" spans="18:18" x14ac:dyDescent="0.2">
      <c r="R5802" s="189" t="str">
        <f t="shared" si="174"/>
        <v/>
      </c>
    </row>
    <row r="5803" spans="18:18" x14ac:dyDescent="0.2">
      <c r="R5803" s="189" t="str">
        <f t="shared" si="174"/>
        <v/>
      </c>
    </row>
    <row r="5804" spans="18:18" x14ac:dyDescent="0.2">
      <c r="R5804" s="189" t="str">
        <f t="shared" si="174"/>
        <v/>
      </c>
    </row>
    <row r="5805" spans="18:18" x14ac:dyDescent="0.2">
      <c r="R5805" s="189" t="str">
        <f t="shared" si="174"/>
        <v/>
      </c>
    </row>
    <row r="5806" spans="18:18" x14ac:dyDescent="0.2">
      <c r="R5806" s="189" t="str">
        <f t="shared" si="174"/>
        <v/>
      </c>
    </row>
    <row r="5807" spans="18:18" x14ac:dyDescent="0.2">
      <c r="R5807" s="189" t="str">
        <f t="shared" si="174"/>
        <v/>
      </c>
    </row>
    <row r="5808" spans="18:18" x14ac:dyDescent="0.2">
      <c r="R5808" s="189" t="str">
        <f t="shared" si="174"/>
        <v/>
      </c>
    </row>
    <row r="5809" spans="18:18" x14ac:dyDescent="0.2">
      <c r="R5809" s="189" t="str">
        <f t="shared" si="174"/>
        <v/>
      </c>
    </row>
    <row r="5810" spans="18:18" x14ac:dyDescent="0.2">
      <c r="R5810" s="189" t="str">
        <f t="shared" si="174"/>
        <v/>
      </c>
    </row>
    <row r="5811" spans="18:18" x14ac:dyDescent="0.2">
      <c r="R5811" s="189" t="str">
        <f t="shared" si="174"/>
        <v/>
      </c>
    </row>
    <row r="5812" spans="18:18" x14ac:dyDescent="0.2">
      <c r="R5812" s="189" t="str">
        <f t="shared" si="174"/>
        <v/>
      </c>
    </row>
    <row r="5813" spans="18:18" x14ac:dyDescent="0.2">
      <c r="R5813" s="189" t="str">
        <f t="shared" si="174"/>
        <v/>
      </c>
    </row>
    <row r="5814" spans="18:18" x14ac:dyDescent="0.2">
      <c r="R5814" s="189" t="str">
        <f t="shared" si="174"/>
        <v/>
      </c>
    </row>
    <row r="5815" spans="18:18" x14ac:dyDescent="0.2">
      <c r="R5815" s="189" t="str">
        <f t="shared" si="174"/>
        <v/>
      </c>
    </row>
    <row r="5816" spans="18:18" x14ac:dyDescent="0.2">
      <c r="R5816" s="189" t="str">
        <f t="shared" si="174"/>
        <v/>
      </c>
    </row>
    <row r="5817" spans="18:18" x14ac:dyDescent="0.2">
      <c r="R5817" s="189" t="str">
        <f t="shared" si="174"/>
        <v/>
      </c>
    </row>
    <row r="5818" spans="18:18" x14ac:dyDescent="0.2">
      <c r="R5818" s="189" t="str">
        <f t="shared" si="174"/>
        <v/>
      </c>
    </row>
    <row r="5819" spans="18:18" x14ac:dyDescent="0.2">
      <c r="R5819" s="189" t="str">
        <f t="shared" si="174"/>
        <v/>
      </c>
    </row>
    <row r="5820" spans="18:18" x14ac:dyDescent="0.2">
      <c r="R5820" s="189" t="str">
        <f t="shared" si="174"/>
        <v/>
      </c>
    </row>
    <row r="5821" spans="18:18" x14ac:dyDescent="0.2">
      <c r="R5821" s="189" t="str">
        <f t="shared" si="174"/>
        <v/>
      </c>
    </row>
    <row r="5822" spans="18:18" x14ac:dyDescent="0.2">
      <c r="R5822" s="189" t="str">
        <f t="shared" si="174"/>
        <v/>
      </c>
    </row>
    <row r="5823" spans="18:18" x14ac:dyDescent="0.2">
      <c r="R5823" s="189" t="str">
        <f t="shared" si="174"/>
        <v/>
      </c>
    </row>
    <row r="5824" spans="18:18" x14ac:dyDescent="0.2">
      <c r="R5824" s="189" t="str">
        <f t="shared" si="174"/>
        <v/>
      </c>
    </row>
    <row r="5825" spans="18:18" x14ac:dyDescent="0.2">
      <c r="R5825" s="189" t="str">
        <f t="shared" si="174"/>
        <v/>
      </c>
    </row>
    <row r="5826" spans="18:18" x14ac:dyDescent="0.2">
      <c r="R5826" s="189" t="str">
        <f t="shared" si="174"/>
        <v/>
      </c>
    </row>
    <row r="5827" spans="18:18" x14ac:dyDescent="0.2">
      <c r="R5827" s="189" t="str">
        <f t="shared" si="174"/>
        <v/>
      </c>
    </row>
    <row r="5828" spans="18:18" x14ac:dyDescent="0.2">
      <c r="R5828" s="189" t="str">
        <f t="shared" si="174"/>
        <v/>
      </c>
    </row>
    <row r="5829" spans="18:18" x14ac:dyDescent="0.2">
      <c r="R5829" s="189" t="str">
        <f t="shared" si="174"/>
        <v/>
      </c>
    </row>
    <row r="5830" spans="18:18" x14ac:dyDescent="0.2">
      <c r="R5830" s="189" t="str">
        <f t="shared" si="174"/>
        <v/>
      </c>
    </row>
    <row r="5831" spans="18:18" x14ac:dyDescent="0.2">
      <c r="R5831" s="189" t="str">
        <f t="shared" si="174"/>
        <v/>
      </c>
    </row>
    <row r="5832" spans="18:18" x14ac:dyDescent="0.2">
      <c r="R5832" s="189" t="str">
        <f t="shared" si="174"/>
        <v/>
      </c>
    </row>
    <row r="5833" spans="18:18" x14ac:dyDescent="0.2">
      <c r="R5833" s="189" t="str">
        <f t="shared" si="174"/>
        <v/>
      </c>
    </row>
    <row r="5834" spans="18:18" x14ac:dyDescent="0.2">
      <c r="R5834" s="189" t="str">
        <f t="shared" si="174"/>
        <v/>
      </c>
    </row>
    <row r="5835" spans="18:18" x14ac:dyDescent="0.2">
      <c r="R5835" s="189" t="str">
        <f t="shared" si="174"/>
        <v/>
      </c>
    </row>
    <row r="5836" spans="18:18" x14ac:dyDescent="0.2">
      <c r="R5836" s="189" t="str">
        <f t="shared" si="174"/>
        <v/>
      </c>
    </row>
    <row r="5837" spans="18:18" x14ac:dyDescent="0.2">
      <c r="R5837" s="189" t="str">
        <f t="shared" si="174"/>
        <v/>
      </c>
    </row>
    <row r="5838" spans="18:18" x14ac:dyDescent="0.2">
      <c r="R5838" s="189" t="str">
        <f t="shared" si="174"/>
        <v/>
      </c>
    </row>
    <row r="5839" spans="18:18" x14ac:dyDescent="0.2">
      <c r="R5839" s="189" t="str">
        <f t="shared" si="174"/>
        <v/>
      </c>
    </row>
    <row r="5840" spans="18:18" x14ac:dyDescent="0.2">
      <c r="R5840" s="189" t="str">
        <f t="shared" si="174"/>
        <v/>
      </c>
    </row>
    <row r="5841" spans="18:18" x14ac:dyDescent="0.2">
      <c r="R5841" s="189" t="str">
        <f t="shared" si="174"/>
        <v/>
      </c>
    </row>
    <row r="5842" spans="18:18" x14ac:dyDescent="0.2">
      <c r="R5842" s="189" t="str">
        <f t="shared" si="174"/>
        <v/>
      </c>
    </row>
    <row r="5843" spans="18:18" x14ac:dyDescent="0.2">
      <c r="R5843" s="189" t="str">
        <f t="shared" si="174"/>
        <v/>
      </c>
    </row>
    <row r="5844" spans="18:18" x14ac:dyDescent="0.2">
      <c r="R5844" s="189" t="str">
        <f t="shared" si="174"/>
        <v/>
      </c>
    </row>
    <row r="5845" spans="18:18" x14ac:dyDescent="0.2">
      <c r="R5845" s="189" t="str">
        <f t="shared" si="174"/>
        <v/>
      </c>
    </row>
    <row r="5846" spans="18:18" x14ac:dyDescent="0.2">
      <c r="R5846" s="189" t="str">
        <f t="shared" ref="R5846:R5909" si="175">IF(OR(P5846="",Q5846=""),"",IFERROR(P5846-Q5846,""))</f>
        <v/>
      </c>
    </row>
    <row r="5847" spans="18:18" x14ac:dyDescent="0.2">
      <c r="R5847" s="189" t="str">
        <f t="shared" si="175"/>
        <v/>
      </c>
    </row>
    <row r="5848" spans="18:18" x14ac:dyDescent="0.2">
      <c r="R5848" s="189" t="str">
        <f t="shared" si="175"/>
        <v/>
      </c>
    </row>
    <row r="5849" spans="18:18" x14ac:dyDescent="0.2">
      <c r="R5849" s="189" t="str">
        <f t="shared" si="175"/>
        <v/>
      </c>
    </row>
    <row r="5850" spans="18:18" x14ac:dyDescent="0.2">
      <c r="R5850" s="189" t="str">
        <f t="shared" si="175"/>
        <v/>
      </c>
    </row>
    <row r="5851" spans="18:18" x14ac:dyDescent="0.2">
      <c r="R5851" s="189" t="str">
        <f t="shared" si="175"/>
        <v/>
      </c>
    </row>
    <row r="5852" spans="18:18" x14ac:dyDescent="0.2">
      <c r="R5852" s="189" t="str">
        <f t="shared" si="175"/>
        <v/>
      </c>
    </row>
    <row r="5853" spans="18:18" x14ac:dyDescent="0.2">
      <c r="R5853" s="189" t="str">
        <f t="shared" si="175"/>
        <v/>
      </c>
    </row>
    <row r="5854" spans="18:18" x14ac:dyDescent="0.2">
      <c r="R5854" s="189" t="str">
        <f t="shared" si="175"/>
        <v/>
      </c>
    </row>
    <row r="5855" spans="18:18" x14ac:dyDescent="0.2">
      <c r="R5855" s="189" t="str">
        <f t="shared" si="175"/>
        <v/>
      </c>
    </row>
    <row r="5856" spans="18:18" x14ac:dyDescent="0.2">
      <c r="R5856" s="189" t="str">
        <f t="shared" si="175"/>
        <v/>
      </c>
    </row>
    <row r="5857" spans="18:18" x14ac:dyDescent="0.2">
      <c r="R5857" s="189" t="str">
        <f t="shared" si="175"/>
        <v/>
      </c>
    </row>
    <row r="5858" spans="18:18" x14ac:dyDescent="0.2">
      <c r="R5858" s="189" t="str">
        <f t="shared" si="175"/>
        <v/>
      </c>
    </row>
    <row r="5859" spans="18:18" x14ac:dyDescent="0.2">
      <c r="R5859" s="189" t="str">
        <f t="shared" si="175"/>
        <v/>
      </c>
    </row>
    <row r="5860" spans="18:18" x14ac:dyDescent="0.2">
      <c r="R5860" s="189" t="str">
        <f t="shared" si="175"/>
        <v/>
      </c>
    </row>
    <row r="5861" spans="18:18" x14ac:dyDescent="0.2">
      <c r="R5861" s="189" t="str">
        <f t="shared" si="175"/>
        <v/>
      </c>
    </row>
    <row r="5862" spans="18:18" x14ac:dyDescent="0.2">
      <c r="R5862" s="189" t="str">
        <f t="shared" si="175"/>
        <v/>
      </c>
    </row>
    <row r="5863" spans="18:18" x14ac:dyDescent="0.2">
      <c r="R5863" s="189" t="str">
        <f t="shared" si="175"/>
        <v/>
      </c>
    </row>
    <row r="5864" spans="18:18" x14ac:dyDescent="0.2">
      <c r="R5864" s="189" t="str">
        <f t="shared" si="175"/>
        <v/>
      </c>
    </row>
    <row r="5865" spans="18:18" x14ac:dyDescent="0.2">
      <c r="R5865" s="189" t="str">
        <f t="shared" si="175"/>
        <v/>
      </c>
    </row>
    <row r="5866" spans="18:18" x14ac:dyDescent="0.2">
      <c r="R5866" s="189" t="str">
        <f t="shared" si="175"/>
        <v/>
      </c>
    </row>
    <row r="5867" spans="18:18" x14ac:dyDescent="0.2">
      <c r="R5867" s="189" t="str">
        <f t="shared" si="175"/>
        <v/>
      </c>
    </row>
    <row r="5868" spans="18:18" x14ac:dyDescent="0.2">
      <c r="R5868" s="189" t="str">
        <f t="shared" si="175"/>
        <v/>
      </c>
    </row>
    <row r="5869" spans="18:18" x14ac:dyDescent="0.2">
      <c r="R5869" s="189" t="str">
        <f t="shared" si="175"/>
        <v/>
      </c>
    </row>
    <row r="5870" spans="18:18" x14ac:dyDescent="0.2">
      <c r="R5870" s="189" t="str">
        <f t="shared" si="175"/>
        <v/>
      </c>
    </row>
    <row r="5871" spans="18:18" x14ac:dyDescent="0.2">
      <c r="R5871" s="189" t="str">
        <f t="shared" si="175"/>
        <v/>
      </c>
    </row>
    <row r="5872" spans="18:18" x14ac:dyDescent="0.2">
      <c r="R5872" s="189" t="str">
        <f t="shared" si="175"/>
        <v/>
      </c>
    </row>
    <row r="5873" spans="18:18" x14ac:dyDescent="0.2">
      <c r="R5873" s="189" t="str">
        <f t="shared" si="175"/>
        <v/>
      </c>
    </row>
    <row r="5874" spans="18:18" x14ac:dyDescent="0.2">
      <c r="R5874" s="189" t="str">
        <f t="shared" si="175"/>
        <v/>
      </c>
    </row>
    <row r="5875" spans="18:18" x14ac:dyDescent="0.2">
      <c r="R5875" s="189" t="str">
        <f t="shared" si="175"/>
        <v/>
      </c>
    </row>
    <row r="5876" spans="18:18" x14ac:dyDescent="0.2">
      <c r="R5876" s="189" t="str">
        <f t="shared" si="175"/>
        <v/>
      </c>
    </row>
    <row r="5877" spans="18:18" x14ac:dyDescent="0.2">
      <c r="R5877" s="189" t="str">
        <f t="shared" si="175"/>
        <v/>
      </c>
    </row>
    <row r="5878" spans="18:18" x14ac:dyDescent="0.2">
      <c r="R5878" s="189" t="str">
        <f t="shared" si="175"/>
        <v/>
      </c>
    </row>
    <row r="5879" spans="18:18" x14ac:dyDescent="0.2">
      <c r="R5879" s="189" t="str">
        <f t="shared" si="175"/>
        <v/>
      </c>
    </row>
    <row r="5880" spans="18:18" x14ac:dyDescent="0.2">
      <c r="R5880" s="189" t="str">
        <f t="shared" si="175"/>
        <v/>
      </c>
    </row>
    <row r="5881" spans="18:18" x14ac:dyDescent="0.2">
      <c r="R5881" s="189" t="str">
        <f t="shared" si="175"/>
        <v/>
      </c>
    </row>
    <row r="5882" spans="18:18" x14ac:dyDescent="0.2">
      <c r="R5882" s="189" t="str">
        <f t="shared" si="175"/>
        <v/>
      </c>
    </row>
    <row r="5883" spans="18:18" x14ac:dyDescent="0.2">
      <c r="R5883" s="189" t="str">
        <f t="shared" si="175"/>
        <v/>
      </c>
    </row>
    <row r="5884" spans="18:18" x14ac:dyDescent="0.2">
      <c r="R5884" s="189" t="str">
        <f t="shared" si="175"/>
        <v/>
      </c>
    </row>
    <row r="5885" spans="18:18" x14ac:dyDescent="0.2">
      <c r="R5885" s="189" t="str">
        <f t="shared" si="175"/>
        <v/>
      </c>
    </row>
    <row r="5886" spans="18:18" x14ac:dyDescent="0.2">
      <c r="R5886" s="189" t="str">
        <f t="shared" si="175"/>
        <v/>
      </c>
    </row>
    <row r="5887" spans="18:18" x14ac:dyDescent="0.2">
      <c r="R5887" s="189" t="str">
        <f t="shared" si="175"/>
        <v/>
      </c>
    </row>
    <row r="5888" spans="18:18" x14ac:dyDescent="0.2">
      <c r="R5888" s="189" t="str">
        <f t="shared" si="175"/>
        <v/>
      </c>
    </row>
    <row r="5889" spans="18:18" x14ac:dyDescent="0.2">
      <c r="R5889" s="189" t="str">
        <f t="shared" si="175"/>
        <v/>
      </c>
    </row>
    <row r="5890" spans="18:18" x14ac:dyDescent="0.2">
      <c r="R5890" s="189" t="str">
        <f t="shared" si="175"/>
        <v/>
      </c>
    </row>
    <row r="5891" spans="18:18" x14ac:dyDescent="0.2">
      <c r="R5891" s="189" t="str">
        <f t="shared" si="175"/>
        <v/>
      </c>
    </row>
    <row r="5892" spans="18:18" x14ac:dyDescent="0.2">
      <c r="R5892" s="189" t="str">
        <f t="shared" si="175"/>
        <v/>
      </c>
    </row>
    <row r="5893" spans="18:18" x14ac:dyDescent="0.2">
      <c r="R5893" s="189" t="str">
        <f t="shared" si="175"/>
        <v/>
      </c>
    </row>
    <row r="5894" spans="18:18" x14ac:dyDescent="0.2">
      <c r="R5894" s="189" t="str">
        <f t="shared" si="175"/>
        <v/>
      </c>
    </row>
    <row r="5895" spans="18:18" x14ac:dyDescent="0.2">
      <c r="R5895" s="189" t="str">
        <f t="shared" si="175"/>
        <v/>
      </c>
    </row>
    <row r="5896" spans="18:18" x14ac:dyDescent="0.2">
      <c r="R5896" s="189" t="str">
        <f t="shared" si="175"/>
        <v/>
      </c>
    </row>
    <row r="5897" spans="18:18" x14ac:dyDescent="0.2">
      <c r="R5897" s="189" t="str">
        <f t="shared" si="175"/>
        <v/>
      </c>
    </row>
    <row r="5898" spans="18:18" x14ac:dyDescent="0.2">
      <c r="R5898" s="189" t="str">
        <f t="shared" si="175"/>
        <v/>
      </c>
    </row>
    <row r="5899" spans="18:18" x14ac:dyDescent="0.2">
      <c r="R5899" s="189" t="str">
        <f t="shared" si="175"/>
        <v/>
      </c>
    </row>
    <row r="5900" spans="18:18" x14ac:dyDescent="0.2">
      <c r="R5900" s="189" t="str">
        <f t="shared" si="175"/>
        <v/>
      </c>
    </row>
    <row r="5901" spans="18:18" x14ac:dyDescent="0.2">
      <c r="R5901" s="189" t="str">
        <f t="shared" si="175"/>
        <v/>
      </c>
    </row>
    <row r="5902" spans="18:18" x14ac:dyDescent="0.2">
      <c r="R5902" s="189" t="str">
        <f t="shared" si="175"/>
        <v/>
      </c>
    </row>
    <row r="5903" spans="18:18" x14ac:dyDescent="0.2">
      <c r="R5903" s="189" t="str">
        <f t="shared" si="175"/>
        <v/>
      </c>
    </row>
    <row r="5904" spans="18:18" x14ac:dyDescent="0.2">
      <c r="R5904" s="189" t="str">
        <f t="shared" si="175"/>
        <v/>
      </c>
    </row>
    <row r="5905" spans="18:18" x14ac:dyDescent="0.2">
      <c r="R5905" s="189" t="str">
        <f t="shared" si="175"/>
        <v/>
      </c>
    </row>
    <row r="5906" spans="18:18" x14ac:dyDescent="0.2">
      <c r="R5906" s="189" t="str">
        <f t="shared" si="175"/>
        <v/>
      </c>
    </row>
    <row r="5907" spans="18:18" x14ac:dyDescent="0.2">
      <c r="R5907" s="189" t="str">
        <f t="shared" si="175"/>
        <v/>
      </c>
    </row>
    <row r="5908" spans="18:18" x14ac:dyDescent="0.2">
      <c r="R5908" s="189" t="str">
        <f t="shared" si="175"/>
        <v/>
      </c>
    </row>
    <row r="5909" spans="18:18" x14ac:dyDescent="0.2">
      <c r="R5909" s="189" t="str">
        <f t="shared" si="175"/>
        <v/>
      </c>
    </row>
    <row r="5910" spans="18:18" x14ac:dyDescent="0.2">
      <c r="R5910" s="189" t="str">
        <f t="shared" ref="R5910:R5973" si="176">IF(OR(P5910="",Q5910=""),"",IFERROR(P5910-Q5910,""))</f>
        <v/>
      </c>
    </row>
    <row r="5911" spans="18:18" x14ac:dyDescent="0.2">
      <c r="R5911" s="189" t="str">
        <f t="shared" si="176"/>
        <v/>
      </c>
    </row>
    <row r="5912" spans="18:18" x14ac:dyDescent="0.2">
      <c r="R5912" s="189" t="str">
        <f t="shared" si="176"/>
        <v/>
      </c>
    </row>
    <row r="5913" spans="18:18" x14ac:dyDescent="0.2">
      <c r="R5913" s="189" t="str">
        <f t="shared" si="176"/>
        <v/>
      </c>
    </row>
    <row r="5914" spans="18:18" x14ac:dyDescent="0.2">
      <c r="R5914" s="189" t="str">
        <f t="shared" si="176"/>
        <v/>
      </c>
    </row>
    <row r="5915" spans="18:18" x14ac:dyDescent="0.2">
      <c r="R5915" s="189" t="str">
        <f t="shared" si="176"/>
        <v/>
      </c>
    </row>
    <row r="5916" spans="18:18" x14ac:dyDescent="0.2">
      <c r="R5916" s="189" t="str">
        <f t="shared" si="176"/>
        <v/>
      </c>
    </row>
    <row r="5917" spans="18:18" x14ac:dyDescent="0.2">
      <c r="R5917" s="189" t="str">
        <f t="shared" si="176"/>
        <v/>
      </c>
    </row>
    <row r="5918" spans="18:18" x14ac:dyDescent="0.2">
      <c r="R5918" s="189" t="str">
        <f t="shared" si="176"/>
        <v/>
      </c>
    </row>
    <row r="5919" spans="18:18" x14ac:dyDescent="0.2">
      <c r="R5919" s="189" t="str">
        <f t="shared" si="176"/>
        <v/>
      </c>
    </row>
    <row r="5920" spans="18:18" x14ac:dyDescent="0.2">
      <c r="R5920" s="189" t="str">
        <f t="shared" si="176"/>
        <v/>
      </c>
    </row>
    <row r="5921" spans="18:18" x14ac:dyDescent="0.2">
      <c r="R5921" s="189" t="str">
        <f t="shared" si="176"/>
        <v/>
      </c>
    </row>
    <row r="5922" spans="18:18" x14ac:dyDescent="0.2">
      <c r="R5922" s="189" t="str">
        <f t="shared" si="176"/>
        <v/>
      </c>
    </row>
    <row r="5923" spans="18:18" x14ac:dyDescent="0.2">
      <c r="R5923" s="189" t="str">
        <f t="shared" si="176"/>
        <v/>
      </c>
    </row>
    <row r="5924" spans="18:18" x14ac:dyDescent="0.2">
      <c r="R5924" s="189" t="str">
        <f t="shared" si="176"/>
        <v/>
      </c>
    </row>
    <row r="5925" spans="18:18" x14ac:dyDescent="0.2">
      <c r="R5925" s="189" t="str">
        <f t="shared" si="176"/>
        <v/>
      </c>
    </row>
    <row r="5926" spans="18:18" x14ac:dyDescent="0.2">
      <c r="R5926" s="189" t="str">
        <f t="shared" si="176"/>
        <v/>
      </c>
    </row>
    <row r="5927" spans="18:18" x14ac:dyDescent="0.2">
      <c r="R5927" s="189" t="str">
        <f t="shared" si="176"/>
        <v/>
      </c>
    </row>
    <row r="5928" spans="18:18" x14ac:dyDescent="0.2">
      <c r="R5928" s="189" t="str">
        <f t="shared" si="176"/>
        <v/>
      </c>
    </row>
    <row r="5929" spans="18:18" x14ac:dyDescent="0.2">
      <c r="R5929" s="189" t="str">
        <f t="shared" si="176"/>
        <v/>
      </c>
    </row>
    <row r="5930" spans="18:18" x14ac:dyDescent="0.2">
      <c r="R5930" s="189" t="str">
        <f t="shared" si="176"/>
        <v/>
      </c>
    </row>
    <row r="5931" spans="18:18" x14ac:dyDescent="0.2">
      <c r="R5931" s="189" t="str">
        <f t="shared" si="176"/>
        <v/>
      </c>
    </row>
    <row r="5932" spans="18:18" x14ac:dyDescent="0.2">
      <c r="R5932" s="189" t="str">
        <f t="shared" si="176"/>
        <v/>
      </c>
    </row>
    <row r="5933" spans="18:18" x14ac:dyDescent="0.2">
      <c r="R5933" s="189" t="str">
        <f t="shared" si="176"/>
        <v/>
      </c>
    </row>
    <row r="5934" spans="18:18" x14ac:dyDescent="0.2">
      <c r="R5934" s="189" t="str">
        <f t="shared" si="176"/>
        <v/>
      </c>
    </row>
    <row r="5935" spans="18:18" x14ac:dyDescent="0.2">
      <c r="R5935" s="189" t="str">
        <f t="shared" si="176"/>
        <v/>
      </c>
    </row>
    <row r="5936" spans="18:18" x14ac:dyDescent="0.2">
      <c r="R5936" s="189" t="str">
        <f t="shared" si="176"/>
        <v/>
      </c>
    </row>
    <row r="5937" spans="18:18" x14ac:dyDescent="0.2">
      <c r="R5937" s="189" t="str">
        <f t="shared" si="176"/>
        <v/>
      </c>
    </row>
    <row r="5938" spans="18:18" x14ac:dyDescent="0.2">
      <c r="R5938" s="189" t="str">
        <f t="shared" si="176"/>
        <v/>
      </c>
    </row>
    <row r="5939" spans="18:18" x14ac:dyDescent="0.2">
      <c r="R5939" s="189" t="str">
        <f t="shared" si="176"/>
        <v/>
      </c>
    </row>
    <row r="5940" spans="18:18" x14ac:dyDescent="0.2">
      <c r="R5940" s="189" t="str">
        <f t="shared" si="176"/>
        <v/>
      </c>
    </row>
    <row r="5941" spans="18:18" x14ac:dyDescent="0.2">
      <c r="R5941" s="189" t="str">
        <f t="shared" si="176"/>
        <v/>
      </c>
    </row>
    <row r="5942" spans="18:18" x14ac:dyDescent="0.2">
      <c r="R5942" s="189" t="str">
        <f t="shared" si="176"/>
        <v/>
      </c>
    </row>
    <row r="5943" spans="18:18" x14ac:dyDescent="0.2">
      <c r="R5943" s="189" t="str">
        <f t="shared" si="176"/>
        <v/>
      </c>
    </row>
    <row r="5944" spans="18:18" x14ac:dyDescent="0.2">
      <c r="R5944" s="189" t="str">
        <f t="shared" si="176"/>
        <v/>
      </c>
    </row>
    <row r="5945" spans="18:18" x14ac:dyDescent="0.2">
      <c r="R5945" s="189" t="str">
        <f t="shared" si="176"/>
        <v/>
      </c>
    </row>
    <row r="5946" spans="18:18" x14ac:dyDescent="0.2">
      <c r="R5946" s="189" t="str">
        <f t="shared" si="176"/>
        <v/>
      </c>
    </row>
    <row r="5947" spans="18:18" x14ac:dyDescent="0.2">
      <c r="R5947" s="189" t="str">
        <f t="shared" si="176"/>
        <v/>
      </c>
    </row>
    <row r="5948" spans="18:18" x14ac:dyDescent="0.2">
      <c r="R5948" s="189" t="str">
        <f t="shared" si="176"/>
        <v/>
      </c>
    </row>
    <row r="5949" spans="18:18" x14ac:dyDescent="0.2">
      <c r="R5949" s="189" t="str">
        <f t="shared" si="176"/>
        <v/>
      </c>
    </row>
    <row r="5950" spans="18:18" x14ac:dyDescent="0.2">
      <c r="R5950" s="189" t="str">
        <f t="shared" si="176"/>
        <v/>
      </c>
    </row>
    <row r="5951" spans="18:18" x14ac:dyDescent="0.2">
      <c r="R5951" s="189" t="str">
        <f t="shared" si="176"/>
        <v/>
      </c>
    </row>
    <row r="5952" spans="18:18" x14ac:dyDescent="0.2">
      <c r="R5952" s="189" t="str">
        <f t="shared" si="176"/>
        <v/>
      </c>
    </row>
    <row r="5953" spans="18:18" x14ac:dyDescent="0.2">
      <c r="R5953" s="189" t="str">
        <f t="shared" si="176"/>
        <v/>
      </c>
    </row>
    <row r="5954" spans="18:18" x14ac:dyDescent="0.2">
      <c r="R5954" s="189" t="str">
        <f t="shared" si="176"/>
        <v/>
      </c>
    </row>
    <row r="5955" spans="18:18" x14ac:dyDescent="0.2">
      <c r="R5955" s="189" t="str">
        <f t="shared" si="176"/>
        <v/>
      </c>
    </row>
    <row r="5956" spans="18:18" x14ac:dyDescent="0.2">
      <c r="R5956" s="189" t="str">
        <f t="shared" si="176"/>
        <v/>
      </c>
    </row>
    <row r="5957" spans="18:18" x14ac:dyDescent="0.2">
      <c r="R5957" s="189" t="str">
        <f t="shared" si="176"/>
        <v/>
      </c>
    </row>
    <row r="5958" spans="18:18" x14ac:dyDescent="0.2">
      <c r="R5958" s="189" t="str">
        <f t="shared" si="176"/>
        <v/>
      </c>
    </row>
    <row r="5959" spans="18:18" x14ac:dyDescent="0.2">
      <c r="R5959" s="189" t="str">
        <f t="shared" si="176"/>
        <v/>
      </c>
    </row>
    <row r="5960" spans="18:18" x14ac:dyDescent="0.2">
      <c r="R5960" s="189" t="str">
        <f t="shared" si="176"/>
        <v/>
      </c>
    </row>
    <row r="5961" spans="18:18" x14ac:dyDescent="0.2">
      <c r="R5961" s="189" t="str">
        <f t="shared" si="176"/>
        <v/>
      </c>
    </row>
    <row r="5962" spans="18:18" x14ac:dyDescent="0.2">
      <c r="R5962" s="189" t="str">
        <f t="shared" si="176"/>
        <v/>
      </c>
    </row>
    <row r="5963" spans="18:18" x14ac:dyDescent="0.2">
      <c r="R5963" s="189" t="str">
        <f t="shared" si="176"/>
        <v/>
      </c>
    </row>
    <row r="5964" spans="18:18" x14ac:dyDescent="0.2">
      <c r="R5964" s="189" t="str">
        <f t="shared" si="176"/>
        <v/>
      </c>
    </row>
    <row r="5965" spans="18:18" x14ac:dyDescent="0.2">
      <c r="R5965" s="189" t="str">
        <f t="shared" si="176"/>
        <v/>
      </c>
    </row>
    <row r="5966" spans="18:18" x14ac:dyDescent="0.2">
      <c r="R5966" s="189" t="str">
        <f t="shared" si="176"/>
        <v/>
      </c>
    </row>
    <row r="5967" spans="18:18" x14ac:dyDescent="0.2">
      <c r="R5967" s="189" t="str">
        <f t="shared" si="176"/>
        <v/>
      </c>
    </row>
    <row r="5968" spans="18:18" x14ac:dyDescent="0.2">
      <c r="R5968" s="189" t="str">
        <f t="shared" si="176"/>
        <v/>
      </c>
    </row>
    <row r="5969" spans="18:18" x14ac:dyDescent="0.2">
      <c r="R5969" s="189" t="str">
        <f t="shared" si="176"/>
        <v/>
      </c>
    </row>
    <row r="5970" spans="18:18" x14ac:dyDescent="0.2">
      <c r="R5970" s="189" t="str">
        <f t="shared" si="176"/>
        <v/>
      </c>
    </row>
    <row r="5971" spans="18:18" x14ac:dyDescent="0.2">
      <c r="R5971" s="189" t="str">
        <f t="shared" si="176"/>
        <v/>
      </c>
    </row>
    <row r="5972" spans="18:18" x14ac:dyDescent="0.2">
      <c r="R5972" s="189" t="str">
        <f t="shared" si="176"/>
        <v/>
      </c>
    </row>
    <row r="5973" spans="18:18" x14ac:dyDescent="0.2">
      <c r="R5973" s="189" t="str">
        <f t="shared" si="176"/>
        <v/>
      </c>
    </row>
    <row r="5974" spans="18:18" x14ac:dyDescent="0.2">
      <c r="R5974" s="189" t="str">
        <f t="shared" ref="R5974:R6037" si="177">IF(OR(P5974="",Q5974=""),"",IFERROR(P5974-Q5974,""))</f>
        <v/>
      </c>
    </row>
    <row r="5975" spans="18:18" x14ac:dyDescent="0.2">
      <c r="R5975" s="189" t="str">
        <f t="shared" si="177"/>
        <v/>
      </c>
    </row>
    <row r="5976" spans="18:18" x14ac:dyDescent="0.2">
      <c r="R5976" s="189" t="str">
        <f t="shared" si="177"/>
        <v/>
      </c>
    </row>
    <row r="5977" spans="18:18" x14ac:dyDescent="0.2">
      <c r="R5977" s="189" t="str">
        <f t="shared" si="177"/>
        <v/>
      </c>
    </row>
    <row r="5978" spans="18:18" x14ac:dyDescent="0.2">
      <c r="R5978" s="189" t="str">
        <f t="shared" si="177"/>
        <v/>
      </c>
    </row>
    <row r="5979" spans="18:18" x14ac:dyDescent="0.2">
      <c r="R5979" s="189" t="str">
        <f t="shared" si="177"/>
        <v/>
      </c>
    </row>
    <row r="5980" spans="18:18" x14ac:dyDescent="0.2">
      <c r="R5980" s="189" t="str">
        <f t="shared" si="177"/>
        <v/>
      </c>
    </row>
    <row r="5981" spans="18:18" x14ac:dyDescent="0.2">
      <c r="R5981" s="189" t="str">
        <f t="shared" si="177"/>
        <v/>
      </c>
    </row>
    <row r="5982" spans="18:18" x14ac:dyDescent="0.2">
      <c r="R5982" s="189" t="str">
        <f t="shared" si="177"/>
        <v/>
      </c>
    </row>
    <row r="5983" spans="18:18" x14ac:dyDescent="0.2">
      <c r="R5983" s="189" t="str">
        <f t="shared" si="177"/>
        <v/>
      </c>
    </row>
    <row r="5984" spans="18:18" x14ac:dyDescent="0.2">
      <c r="R5984" s="189" t="str">
        <f t="shared" si="177"/>
        <v/>
      </c>
    </row>
    <row r="5985" spans="18:18" x14ac:dyDescent="0.2">
      <c r="R5985" s="189" t="str">
        <f t="shared" si="177"/>
        <v/>
      </c>
    </row>
    <row r="5986" spans="18:18" x14ac:dyDescent="0.2">
      <c r="R5986" s="189" t="str">
        <f t="shared" si="177"/>
        <v/>
      </c>
    </row>
    <row r="5987" spans="18:18" x14ac:dyDescent="0.2">
      <c r="R5987" s="189" t="str">
        <f t="shared" si="177"/>
        <v/>
      </c>
    </row>
    <row r="5988" spans="18:18" x14ac:dyDescent="0.2">
      <c r="R5988" s="189" t="str">
        <f t="shared" si="177"/>
        <v/>
      </c>
    </row>
    <row r="5989" spans="18:18" x14ac:dyDescent="0.2">
      <c r="R5989" s="189" t="str">
        <f t="shared" si="177"/>
        <v/>
      </c>
    </row>
    <row r="5990" spans="18:18" x14ac:dyDescent="0.2">
      <c r="R5990" s="189" t="str">
        <f t="shared" si="177"/>
        <v/>
      </c>
    </row>
    <row r="5991" spans="18:18" x14ac:dyDescent="0.2">
      <c r="R5991" s="189" t="str">
        <f t="shared" si="177"/>
        <v/>
      </c>
    </row>
    <row r="5992" spans="18:18" x14ac:dyDescent="0.2">
      <c r="R5992" s="189" t="str">
        <f t="shared" si="177"/>
        <v/>
      </c>
    </row>
    <row r="5993" spans="18:18" x14ac:dyDescent="0.2">
      <c r="R5993" s="189" t="str">
        <f t="shared" si="177"/>
        <v/>
      </c>
    </row>
    <row r="5994" spans="18:18" x14ac:dyDescent="0.2">
      <c r="R5994" s="189" t="str">
        <f t="shared" si="177"/>
        <v/>
      </c>
    </row>
    <row r="5995" spans="18:18" x14ac:dyDescent="0.2">
      <c r="R5995" s="189" t="str">
        <f t="shared" si="177"/>
        <v/>
      </c>
    </row>
    <row r="5996" spans="18:18" x14ac:dyDescent="0.2">
      <c r="R5996" s="189" t="str">
        <f t="shared" si="177"/>
        <v/>
      </c>
    </row>
    <row r="5997" spans="18:18" x14ac:dyDescent="0.2">
      <c r="R5997" s="189" t="str">
        <f t="shared" si="177"/>
        <v/>
      </c>
    </row>
    <row r="5998" spans="18:18" x14ac:dyDescent="0.2">
      <c r="R5998" s="189" t="str">
        <f t="shared" si="177"/>
        <v/>
      </c>
    </row>
    <row r="5999" spans="18:18" x14ac:dyDescent="0.2">
      <c r="R5999" s="189" t="str">
        <f t="shared" si="177"/>
        <v/>
      </c>
    </row>
    <row r="6000" spans="18:18" x14ac:dyDescent="0.2">
      <c r="R6000" s="189" t="str">
        <f t="shared" si="177"/>
        <v/>
      </c>
    </row>
    <row r="6001" spans="18:18" x14ac:dyDescent="0.2">
      <c r="R6001" s="189" t="str">
        <f t="shared" si="177"/>
        <v/>
      </c>
    </row>
    <row r="6002" spans="18:18" x14ac:dyDescent="0.2">
      <c r="R6002" s="189" t="str">
        <f t="shared" si="177"/>
        <v/>
      </c>
    </row>
    <row r="6003" spans="18:18" x14ac:dyDescent="0.2">
      <c r="R6003" s="189" t="str">
        <f t="shared" si="177"/>
        <v/>
      </c>
    </row>
    <row r="6004" spans="18:18" x14ac:dyDescent="0.2">
      <c r="R6004" s="189" t="str">
        <f t="shared" si="177"/>
        <v/>
      </c>
    </row>
    <row r="6005" spans="18:18" x14ac:dyDescent="0.2">
      <c r="R6005" s="189" t="str">
        <f t="shared" si="177"/>
        <v/>
      </c>
    </row>
    <row r="6006" spans="18:18" x14ac:dyDescent="0.2">
      <c r="R6006" s="189" t="str">
        <f t="shared" si="177"/>
        <v/>
      </c>
    </row>
    <row r="6007" spans="18:18" x14ac:dyDescent="0.2">
      <c r="R6007" s="189" t="str">
        <f t="shared" si="177"/>
        <v/>
      </c>
    </row>
    <row r="6008" spans="18:18" x14ac:dyDescent="0.2">
      <c r="R6008" s="189" t="str">
        <f t="shared" si="177"/>
        <v/>
      </c>
    </row>
    <row r="6009" spans="18:18" x14ac:dyDescent="0.2">
      <c r="R6009" s="189" t="str">
        <f t="shared" si="177"/>
        <v/>
      </c>
    </row>
    <row r="6010" spans="18:18" x14ac:dyDescent="0.2">
      <c r="R6010" s="189" t="str">
        <f t="shared" si="177"/>
        <v/>
      </c>
    </row>
    <row r="6011" spans="18:18" x14ac:dyDescent="0.2">
      <c r="R6011" s="189" t="str">
        <f t="shared" si="177"/>
        <v/>
      </c>
    </row>
    <row r="6012" spans="18:18" x14ac:dyDescent="0.2">
      <c r="R6012" s="189" t="str">
        <f t="shared" si="177"/>
        <v/>
      </c>
    </row>
    <row r="6013" spans="18:18" x14ac:dyDescent="0.2">
      <c r="R6013" s="189" t="str">
        <f t="shared" si="177"/>
        <v/>
      </c>
    </row>
    <row r="6014" spans="18:18" x14ac:dyDescent="0.2">
      <c r="R6014" s="189" t="str">
        <f t="shared" si="177"/>
        <v/>
      </c>
    </row>
    <row r="6015" spans="18:18" x14ac:dyDescent="0.2">
      <c r="R6015" s="189" t="str">
        <f t="shared" si="177"/>
        <v/>
      </c>
    </row>
    <row r="6016" spans="18:18" x14ac:dyDescent="0.2">
      <c r="R6016" s="189" t="str">
        <f t="shared" si="177"/>
        <v/>
      </c>
    </row>
    <row r="6017" spans="18:18" x14ac:dyDescent="0.2">
      <c r="R6017" s="189" t="str">
        <f t="shared" si="177"/>
        <v/>
      </c>
    </row>
    <row r="6018" spans="18:18" x14ac:dyDescent="0.2">
      <c r="R6018" s="189" t="str">
        <f t="shared" si="177"/>
        <v/>
      </c>
    </row>
    <row r="6019" spans="18:18" x14ac:dyDescent="0.2">
      <c r="R6019" s="189" t="str">
        <f t="shared" si="177"/>
        <v/>
      </c>
    </row>
    <row r="6020" spans="18:18" x14ac:dyDescent="0.2">
      <c r="R6020" s="189" t="str">
        <f t="shared" si="177"/>
        <v/>
      </c>
    </row>
    <row r="6021" spans="18:18" x14ac:dyDescent="0.2">
      <c r="R6021" s="189" t="str">
        <f t="shared" si="177"/>
        <v/>
      </c>
    </row>
    <row r="6022" spans="18:18" x14ac:dyDescent="0.2">
      <c r="R6022" s="189" t="str">
        <f t="shared" si="177"/>
        <v/>
      </c>
    </row>
    <row r="6023" spans="18:18" x14ac:dyDescent="0.2">
      <c r="R6023" s="189" t="str">
        <f t="shared" si="177"/>
        <v/>
      </c>
    </row>
    <row r="6024" spans="18:18" x14ac:dyDescent="0.2">
      <c r="R6024" s="189" t="str">
        <f t="shared" si="177"/>
        <v/>
      </c>
    </row>
    <row r="6025" spans="18:18" x14ac:dyDescent="0.2">
      <c r="R6025" s="189" t="str">
        <f t="shared" si="177"/>
        <v/>
      </c>
    </row>
    <row r="6026" spans="18:18" x14ac:dyDescent="0.2">
      <c r="R6026" s="189" t="str">
        <f t="shared" si="177"/>
        <v/>
      </c>
    </row>
    <row r="6027" spans="18:18" x14ac:dyDescent="0.2">
      <c r="R6027" s="189" t="str">
        <f t="shared" si="177"/>
        <v/>
      </c>
    </row>
    <row r="6028" spans="18:18" x14ac:dyDescent="0.2">
      <c r="R6028" s="189" t="str">
        <f t="shared" si="177"/>
        <v/>
      </c>
    </row>
    <row r="6029" spans="18:18" x14ac:dyDescent="0.2">
      <c r="R6029" s="189" t="str">
        <f t="shared" si="177"/>
        <v/>
      </c>
    </row>
    <row r="6030" spans="18:18" x14ac:dyDescent="0.2">
      <c r="R6030" s="189" t="str">
        <f t="shared" si="177"/>
        <v/>
      </c>
    </row>
    <row r="6031" spans="18:18" x14ac:dyDescent="0.2">
      <c r="R6031" s="189" t="str">
        <f t="shared" si="177"/>
        <v/>
      </c>
    </row>
    <row r="6032" spans="18:18" x14ac:dyDescent="0.2">
      <c r="R6032" s="189" t="str">
        <f t="shared" si="177"/>
        <v/>
      </c>
    </row>
    <row r="6033" spans="18:18" x14ac:dyDescent="0.2">
      <c r="R6033" s="189" t="str">
        <f t="shared" si="177"/>
        <v/>
      </c>
    </row>
    <row r="6034" spans="18:18" x14ac:dyDescent="0.2">
      <c r="R6034" s="189" t="str">
        <f t="shared" si="177"/>
        <v/>
      </c>
    </row>
    <row r="6035" spans="18:18" x14ac:dyDescent="0.2">
      <c r="R6035" s="189" t="str">
        <f t="shared" si="177"/>
        <v/>
      </c>
    </row>
    <row r="6036" spans="18:18" x14ac:dyDescent="0.2">
      <c r="R6036" s="189" t="str">
        <f t="shared" si="177"/>
        <v/>
      </c>
    </row>
    <row r="6037" spans="18:18" x14ac:dyDescent="0.2">
      <c r="R6037" s="189" t="str">
        <f t="shared" si="177"/>
        <v/>
      </c>
    </row>
    <row r="6038" spans="18:18" x14ac:dyDescent="0.2">
      <c r="R6038" s="189" t="str">
        <f t="shared" ref="R6038:R6101" si="178">IF(OR(P6038="",Q6038=""),"",IFERROR(P6038-Q6038,""))</f>
        <v/>
      </c>
    </row>
    <row r="6039" spans="18:18" x14ac:dyDescent="0.2">
      <c r="R6039" s="189" t="str">
        <f t="shared" si="178"/>
        <v/>
      </c>
    </row>
    <row r="6040" spans="18:18" x14ac:dyDescent="0.2">
      <c r="R6040" s="189" t="str">
        <f t="shared" si="178"/>
        <v/>
      </c>
    </row>
    <row r="6041" spans="18:18" x14ac:dyDescent="0.2">
      <c r="R6041" s="189" t="str">
        <f t="shared" si="178"/>
        <v/>
      </c>
    </row>
    <row r="6042" spans="18:18" x14ac:dyDescent="0.2">
      <c r="R6042" s="189" t="str">
        <f t="shared" si="178"/>
        <v/>
      </c>
    </row>
    <row r="6043" spans="18:18" x14ac:dyDescent="0.2">
      <c r="R6043" s="189" t="str">
        <f t="shared" si="178"/>
        <v/>
      </c>
    </row>
    <row r="6044" spans="18:18" x14ac:dyDescent="0.2">
      <c r="R6044" s="189" t="str">
        <f t="shared" si="178"/>
        <v/>
      </c>
    </row>
    <row r="6045" spans="18:18" x14ac:dyDescent="0.2">
      <c r="R6045" s="189" t="str">
        <f t="shared" si="178"/>
        <v/>
      </c>
    </row>
    <row r="6046" spans="18:18" x14ac:dyDescent="0.2">
      <c r="R6046" s="189" t="str">
        <f t="shared" si="178"/>
        <v/>
      </c>
    </row>
    <row r="6047" spans="18:18" x14ac:dyDescent="0.2">
      <c r="R6047" s="189" t="str">
        <f t="shared" si="178"/>
        <v/>
      </c>
    </row>
    <row r="6048" spans="18:18" x14ac:dyDescent="0.2">
      <c r="R6048" s="189" t="str">
        <f t="shared" si="178"/>
        <v/>
      </c>
    </row>
    <row r="6049" spans="18:18" x14ac:dyDescent="0.2">
      <c r="R6049" s="189" t="str">
        <f t="shared" si="178"/>
        <v/>
      </c>
    </row>
    <row r="6050" spans="18:18" x14ac:dyDescent="0.2">
      <c r="R6050" s="189" t="str">
        <f t="shared" si="178"/>
        <v/>
      </c>
    </row>
    <row r="6051" spans="18:18" x14ac:dyDescent="0.2">
      <c r="R6051" s="189" t="str">
        <f t="shared" si="178"/>
        <v/>
      </c>
    </row>
    <row r="6052" spans="18:18" x14ac:dyDescent="0.2">
      <c r="R6052" s="189" t="str">
        <f t="shared" si="178"/>
        <v/>
      </c>
    </row>
    <row r="6053" spans="18:18" x14ac:dyDescent="0.2">
      <c r="R6053" s="189" t="str">
        <f t="shared" si="178"/>
        <v/>
      </c>
    </row>
    <row r="6054" spans="18:18" x14ac:dyDescent="0.2">
      <c r="R6054" s="189" t="str">
        <f t="shared" si="178"/>
        <v/>
      </c>
    </row>
    <row r="6055" spans="18:18" x14ac:dyDescent="0.2">
      <c r="R6055" s="189" t="str">
        <f t="shared" si="178"/>
        <v/>
      </c>
    </row>
    <row r="6056" spans="18:18" x14ac:dyDescent="0.2">
      <c r="R6056" s="189" t="str">
        <f t="shared" si="178"/>
        <v/>
      </c>
    </row>
    <row r="6057" spans="18:18" x14ac:dyDescent="0.2">
      <c r="R6057" s="189" t="str">
        <f t="shared" si="178"/>
        <v/>
      </c>
    </row>
    <row r="6058" spans="18:18" x14ac:dyDescent="0.2">
      <c r="R6058" s="189" t="str">
        <f t="shared" si="178"/>
        <v/>
      </c>
    </row>
    <row r="6059" spans="18:18" x14ac:dyDescent="0.2">
      <c r="R6059" s="189" t="str">
        <f t="shared" si="178"/>
        <v/>
      </c>
    </row>
    <row r="6060" spans="18:18" x14ac:dyDescent="0.2">
      <c r="R6060" s="189" t="str">
        <f t="shared" si="178"/>
        <v/>
      </c>
    </row>
    <row r="6061" spans="18:18" x14ac:dyDescent="0.2">
      <c r="R6061" s="189" t="str">
        <f t="shared" si="178"/>
        <v/>
      </c>
    </row>
    <row r="6062" spans="18:18" x14ac:dyDescent="0.2">
      <c r="R6062" s="189" t="str">
        <f t="shared" si="178"/>
        <v/>
      </c>
    </row>
    <row r="6063" spans="18:18" x14ac:dyDescent="0.2">
      <c r="R6063" s="189" t="str">
        <f t="shared" si="178"/>
        <v/>
      </c>
    </row>
    <row r="6064" spans="18:18" x14ac:dyDescent="0.2">
      <c r="R6064" s="189" t="str">
        <f t="shared" si="178"/>
        <v/>
      </c>
    </row>
    <row r="6065" spans="18:18" x14ac:dyDescent="0.2">
      <c r="R6065" s="189" t="str">
        <f t="shared" si="178"/>
        <v/>
      </c>
    </row>
    <row r="6066" spans="18:18" x14ac:dyDescent="0.2">
      <c r="R6066" s="189" t="str">
        <f t="shared" si="178"/>
        <v/>
      </c>
    </row>
    <row r="6067" spans="18:18" x14ac:dyDescent="0.2">
      <c r="R6067" s="189" t="str">
        <f t="shared" si="178"/>
        <v/>
      </c>
    </row>
    <row r="6068" spans="18:18" x14ac:dyDescent="0.2">
      <c r="R6068" s="189" t="str">
        <f t="shared" si="178"/>
        <v/>
      </c>
    </row>
    <row r="6069" spans="18:18" x14ac:dyDescent="0.2">
      <c r="R6069" s="189" t="str">
        <f t="shared" si="178"/>
        <v/>
      </c>
    </row>
    <row r="6070" spans="18:18" x14ac:dyDescent="0.2">
      <c r="R6070" s="189" t="str">
        <f t="shared" si="178"/>
        <v/>
      </c>
    </row>
    <row r="6071" spans="18:18" x14ac:dyDescent="0.2">
      <c r="R6071" s="189" t="str">
        <f t="shared" si="178"/>
        <v/>
      </c>
    </row>
    <row r="6072" spans="18:18" x14ac:dyDescent="0.2">
      <c r="R6072" s="189" t="str">
        <f t="shared" si="178"/>
        <v/>
      </c>
    </row>
    <row r="6073" spans="18:18" x14ac:dyDescent="0.2">
      <c r="R6073" s="189" t="str">
        <f t="shared" si="178"/>
        <v/>
      </c>
    </row>
    <row r="6074" spans="18:18" x14ac:dyDescent="0.2">
      <c r="R6074" s="189" t="str">
        <f t="shared" si="178"/>
        <v/>
      </c>
    </row>
    <row r="6075" spans="18:18" x14ac:dyDescent="0.2">
      <c r="R6075" s="189" t="str">
        <f t="shared" si="178"/>
        <v/>
      </c>
    </row>
    <row r="6076" spans="18:18" x14ac:dyDescent="0.2">
      <c r="R6076" s="189" t="str">
        <f t="shared" si="178"/>
        <v/>
      </c>
    </row>
    <row r="6077" spans="18:18" x14ac:dyDescent="0.2">
      <c r="R6077" s="189" t="str">
        <f t="shared" si="178"/>
        <v/>
      </c>
    </row>
    <row r="6078" spans="18:18" x14ac:dyDescent="0.2">
      <c r="R6078" s="189" t="str">
        <f t="shared" si="178"/>
        <v/>
      </c>
    </row>
    <row r="6079" spans="18:18" x14ac:dyDescent="0.2">
      <c r="R6079" s="189" t="str">
        <f t="shared" si="178"/>
        <v/>
      </c>
    </row>
    <row r="6080" spans="18:18" x14ac:dyDescent="0.2">
      <c r="R6080" s="189" t="str">
        <f t="shared" si="178"/>
        <v/>
      </c>
    </row>
    <row r="6081" spans="18:18" x14ac:dyDescent="0.2">
      <c r="R6081" s="189" t="str">
        <f t="shared" si="178"/>
        <v/>
      </c>
    </row>
    <row r="6082" spans="18:18" x14ac:dyDescent="0.2">
      <c r="R6082" s="189" t="str">
        <f t="shared" si="178"/>
        <v/>
      </c>
    </row>
    <row r="6083" spans="18:18" x14ac:dyDescent="0.2">
      <c r="R6083" s="189" t="str">
        <f t="shared" si="178"/>
        <v/>
      </c>
    </row>
    <row r="6084" spans="18:18" x14ac:dyDescent="0.2">
      <c r="R6084" s="189" t="str">
        <f t="shared" si="178"/>
        <v/>
      </c>
    </row>
    <row r="6085" spans="18:18" x14ac:dyDescent="0.2">
      <c r="R6085" s="189" t="str">
        <f t="shared" si="178"/>
        <v/>
      </c>
    </row>
    <row r="6086" spans="18:18" x14ac:dyDescent="0.2">
      <c r="R6086" s="189" t="str">
        <f t="shared" si="178"/>
        <v/>
      </c>
    </row>
    <row r="6087" spans="18:18" x14ac:dyDescent="0.2">
      <c r="R6087" s="189" t="str">
        <f t="shared" si="178"/>
        <v/>
      </c>
    </row>
    <row r="6088" spans="18:18" x14ac:dyDescent="0.2">
      <c r="R6088" s="189" t="str">
        <f t="shared" si="178"/>
        <v/>
      </c>
    </row>
    <row r="6089" spans="18:18" x14ac:dyDescent="0.2">
      <c r="R6089" s="189" t="str">
        <f t="shared" si="178"/>
        <v/>
      </c>
    </row>
    <row r="6090" spans="18:18" x14ac:dyDescent="0.2">
      <c r="R6090" s="189" t="str">
        <f t="shared" si="178"/>
        <v/>
      </c>
    </row>
    <row r="6091" spans="18:18" x14ac:dyDescent="0.2">
      <c r="R6091" s="189" t="str">
        <f t="shared" si="178"/>
        <v/>
      </c>
    </row>
    <row r="6092" spans="18:18" x14ac:dyDescent="0.2">
      <c r="R6092" s="189" t="str">
        <f t="shared" si="178"/>
        <v/>
      </c>
    </row>
    <row r="6093" spans="18:18" x14ac:dyDescent="0.2">
      <c r="R6093" s="189" t="str">
        <f t="shared" si="178"/>
        <v/>
      </c>
    </row>
    <row r="6094" spans="18:18" x14ac:dyDescent="0.2">
      <c r="R6094" s="189" t="str">
        <f t="shared" si="178"/>
        <v/>
      </c>
    </row>
    <row r="6095" spans="18:18" x14ac:dyDescent="0.2">
      <c r="R6095" s="189" t="str">
        <f t="shared" si="178"/>
        <v/>
      </c>
    </row>
    <row r="6096" spans="18:18" x14ac:dyDescent="0.2">
      <c r="R6096" s="189" t="str">
        <f t="shared" si="178"/>
        <v/>
      </c>
    </row>
    <row r="6097" spans="18:18" x14ac:dyDescent="0.2">
      <c r="R6097" s="189" t="str">
        <f t="shared" si="178"/>
        <v/>
      </c>
    </row>
    <row r="6098" spans="18:18" x14ac:dyDescent="0.2">
      <c r="R6098" s="189" t="str">
        <f t="shared" si="178"/>
        <v/>
      </c>
    </row>
    <row r="6099" spans="18:18" x14ac:dyDescent="0.2">
      <c r="R6099" s="189" t="str">
        <f t="shared" si="178"/>
        <v/>
      </c>
    </row>
    <row r="6100" spans="18:18" x14ac:dyDescent="0.2">
      <c r="R6100" s="189" t="str">
        <f t="shared" si="178"/>
        <v/>
      </c>
    </row>
    <row r="6101" spans="18:18" x14ac:dyDescent="0.2">
      <c r="R6101" s="189" t="str">
        <f t="shared" si="178"/>
        <v/>
      </c>
    </row>
    <row r="6102" spans="18:18" x14ac:dyDescent="0.2">
      <c r="R6102" s="189" t="str">
        <f t="shared" ref="R6102:R6165" si="179">IF(OR(P6102="",Q6102=""),"",IFERROR(P6102-Q6102,""))</f>
        <v/>
      </c>
    </row>
    <row r="6103" spans="18:18" x14ac:dyDescent="0.2">
      <c r="R6103" s="189" t="str">
        <f t="shared" si="179"/>
        <v/>
      </c>
    </row>
    <row r="6104" spans="18:18" x14ac:dyDescent="0.2">
      <c r="R6104" s="189" t="str">
        <f t="shared" si="179"/>
        <v/>
      </c>
    </row>
    <row r="6105" spans="18:18" x14ac:dyDescent="0.2">
      <c r="R6105" s="189" t="str">
        <f t="shared" si="179"/>
        <v/>
      </c>
    </row>
    <row r="6106" spans="18:18" x14ac:dyDescent="0.2">
      <c r="R6106" s="189" t="str">
        <f t="shared" si="179"/>
        <v/>
      </c>
    </row>
    <row r="6107" spans="18:18" x14ac:dyDescent="0.2">
      <c r="R6107" s="189" t="str">
        <f t="shared" si="179"/>
        <v/>
      </c>
    </row>
    <row r="6108" spans="18:18" x14ac:dyDescent="0.2">
      <c r="R6108" s="189" t="str">
        <f t="shared" si="179"/>
        <v/>
      </c>
    </row>
    <row r="6109" spans="18:18" x14ac:dyDescent="0.2">
      <c r="R6109" s="189" t="str">
        <f t="shared" si="179"/>
        <v/>
      </c>
    </row>
    <row r="6110" spans="18:18" x14ac:dyDescent="0.2">
      <c r="R6110" s="189" t="str">
        <f t="shared" si="179"/>
        <v/>
      </c>
    </row>
    <row r="6111" spans="18:18" x14ac:dyDescent="0.2">
      <c r="R6111" s="189" t="str">
        <f t="shared" si="179"/>
        <v/>
      </c>
    </row>
    <row r="6112" spans="18:18" x14ac:dyDescent="0.2">
      <c r="R6112" s="189" t="str">
        <f t="shared" si="179"/>
        <v/>
      </c>
    </row>
    <row r="6113" spans="18:18" x14ac:dyDescent="0.2">
      <c r="R6113" s="189" t="str">
        <f t="shared" si="179"/>
        <v/>
      </c>
    </row>
    <row r="6114" spans="18:18" x14ac:dyDescent="0.2">
      <c r="R6114" s="189" t="str">
        <f t="shared" si="179"/>
        <v/>
      </c>
    </row>
    <row r="6115" spans="18:18" x14ac:dyDescent="0.2">
      <c r="R6115" s="189" t="str">
        <f t="shared" si="179"/>
        <v/>
      </c>
    </row>
    <row r="6116" spans="18:18" x14ac:dyDescent="0.2">
      <c r="R6116" s="189" t="str">
        <f t="shared" si="179"/>
        <v/>
      </c>
    </row>
    <row r="6117" spans="18:18" x14ac:dyDescent="0.2">
      <c r="R6117" s="189" t="str">
        <f t="shared" si="179"/>
        <v/>
      </c>
    </row>
    <row r="6118" spans="18:18" x14ac:dyDescent="0.2">
      <c r="R6118" s="189" t="str">
        <f t="shared" si="179"/>
        <v/>
      </c>
    </row>
    <row r="6119" spans="18:18" x14ac:dyDescent="0.2">
      <c r="R6119" s="189" t="str">
        <f t="shared" si="179"/>
        <v/>
      </c>
    </row>
    <row r="6120" spans="18:18" x14ac:dyDescent="0.2">
      <c r="R6120" s="189" t="str">
        <f t="shared" si="179"/>
        <v/>
      </c>
    </row>
    <row r="6121" spans="18:18" x14ac:dyDescent="0.2">
      <c r="R6121" s="189" t="str">
        <f t="shared" si="179"/>
        <v/>
      </c>
    </row>
    <row r="6122" spans="18:18" x14ac:dyDescent="0.2">
      <c r="R6122" s="189" t="str">
        <f t="shared" si="179"/>
        <v/>
      </c>
    </row>
    <row r="6123" spans="18:18" x14ac:dyDescent="0.2">
      <c r="R6123" s="189" t="str">
        <f t="shared" si="179"/>
        <v/>
      </c>
    </row>
    <row r="6124" spans="18:18" x14ac:dyDescent="0.2">
      <c r="R6124" s="189" t="str">
        <f t="shared" si="179"/>
        <v/>
      </c>
    </row>
    <row r="6125" spans="18:18" x14ac:dyDescent="0.2">
      <c r="R6125" s="189" t="str">
        <f t="shared" si="179"/>
        <v/>
      </c>
    </row>
    <row r="6126" spans="18:18" x14ac:dyDescent="0.2">
      <c r="R6126" s="189" t="str">
        <f t="shared" si="179"/>
        <v/>
      </c>
    </row>
    <row r="6127" spans="18:18" x14ac:dyDescent="0.2">
      <c r="R6127" s="189" t="str">
        <f t="shared" si="179"/>
        <v/>
      </c>
    </row>
    <row r="6128" spans="18:18" x14ac:dyDescent="0.2">
      <c r="R6128" s="189" t="str">
        <f t="shared" si="179"/>
        <v/>
      </c>
    </row>
    <row r="6129" spans="18:18" x14ac:dyDescent="0.2">
      <c r="R6129" s="189" t="str">
        <f t="shared" si="179"/>
        <v/>
      </c>
    </row>
    <row r="6130" spans="18:18" x14ac:dyDescent="0.2">
      <c r="R6130" s="189" t="str">
        <f t="shared" si="179"/>
        <v/>
      </c>
    </row>
    <row r="6131" spans="18:18" x14ac:dyDescent="0.2">
      <c r="R6131" s="189" t="str">
        <f t="shared" si="179"/>
        <v/>
      </c>
    </row>
    <row r="6132" spans="18:18" x14ac:dyDescent="0.2">
      <c r="R6132" s="189" t="str">
        <f t="shared" si="179"/>
        <v/>
      </c>
    </row>
    <row r="6133" spans="18:18" x14ac:dyDescent="0.2">
      <c r="R6133" s="189" t="str">
        <f t="shared" si="179"/>
        <v/>
      </c>
    </row>
    <row r="6134" spans="18:18" x14ac:dyDescent="0.2">
      <c r="R6134" s="189" t="str">
        <f t="shared" si="179"/>
        <v/>
      </c>
    </row>
    <row r="6135" spans="18:18" x14ac:dyDescent="0.2">
      <c r="R6135" s="189" t="str">
        <f t="shared" si="179"/>
        <v/>
      </c>
    </row>
    <row r="6136" spans="18:18" x14ac:dyDescent="0.2">
      <c r="R6136" s="189" t="str">
        <f t="shared" si="179"/>
        <v/>
      </c>
    </row>
    <row r="6137" spans="18:18" x14ac:dyDescent="0.2">
      <c r="R6137" s="189" t="str">
        <f t="shared" si="179"/>
        <v/>
      </c>
    </row>
    <row r="6138" spans="18:18" x14ac:dyDescent="0.2">
      <c r="R6138" s="189" t="str">
        <f t="shared" si="179"/>
        <v/>
      </c>
    </row>
    <row r="6139" spans="18:18" x14ac:dyDescent="0.2">
      <c r="R6139" s="189" t="str">
        <f t="shared" si="179"/>
        <v/>
      </c>
    </row>
    <row r="6140" spans="18:18" x14ac:dyDescent="0.2">
      <c r="R6140" s="189" t="str">
        <f t="shared" si="179"/>
        <v/>
      </c>
    </row>
    <row r="6141" spans="18:18" x14ac:dyDescent="0.2">
      <c r="R6141" s="189" t="str">
        <f t="shared" si="179"/>
        <v/>
      </c>
    </row>
    <row r="6142" spans="18:18" x14ac:dyDescent="0.2">
      <c r="R6142" s="189" t="str">
        <f t="shared" si="179"/>
        <v/>
      </c>
    </row>
    <row r="6143" spans="18:18" x14ac:dyDescent="0.2">
      <c r="R6143" s="189" t="str">
        <f t="shared" si="179"/>
        <v/>
      </c>
    </row>
    <row r="6144" spans="18:18" x14ac:dyDescent="0.2">
      <c r="R6144" s="189" t="str">
        <f t="shared" si="179"/>
        <v/>
      </c>
    </row>
    <row r="6145" spans="18:18" x14ac:dyDescent="0.2">
      <c r="R6145" s="189" t="str">
        <f t="shared" si="179"/>
        <v/>
      </c>
    </row>
    <row r="6146" spans="18:18" x14ac:dyDescent="0.2">
      <c r="R6146" s="189" t="str">
        <f t="shared" si="179"/>
        <v/>
      </c>
    </row>
    <row r="6147" spans="18:18" x14ac:dyDescent="0.2">
      <c r="R6147" s="189" t="str">
        <f t="shared" si="179"/>
        <v/>
      </c>
    </row>
    <row r="6148" spans="18:18" x14ac:dyDescent="0.2">
      <c r="R6148" s="189" t="str">
        <f t="shared" si="179"/>
        <v/>
      </c>
    </row>
    <row r="6149" spans="18:18" x14ac:dyDescent="0.2">
      <c r="R6149" s="189" t="str">
        <f t="shared" si="179"/>
        <v/>
      </c>
    </row>
    <row r="6150" spans="18:18" x14ac:dyDescent="0.2">
      <c r="R6150" s="189" t="str">
        <f t="shared" si="179"/>
        <v/>
      </c>
    </row>
    <row r="6151" spans="18:18" x14ac:dyDescent="0.2">
      <c r="R6151" s="189" t="str">
        <f t="shared" si="179"/>
        <v/>
      </c>
    </row>
    <row r="6152" spans="18:18" x14ac:dyDescent="0.2">
      <c r="R6152" s="189" t="str">
        <f t="shared" si="179"/>
        <v/>
      </c>
    </row>
    <row r="6153" spans="18:18" x14ac:dyDescent="0.2">
      <c r="R6153" s="189" t="str">
        <f t="shared" si="179"/>
        <v/>
      </c>
    </row>
    <row r="6154" spans="18:18" x14ac:dyDescent="0.2">
      <c r="R6154" s="189" t="str">
        <f t="shared" si="179"/>
        <v/>
      </c>
    </row>
    <row r="6155" spans="18:18" x14ac:dyDescent="0.2">
      <c r="R6155" s="189" t="str">
        <f t="shared" si="179"/>
        <v/>
      </c>
    </row>
    <row r="6156" spans="18:18" x14ac:dyDescent="0.2">
      <c r="R6156" s="189" t="str">
        <f t="shared" si="179"/>
        <v/>
      </c>
    </row>
    <row r="6157" spans="18:18" x14ac:dyDescent="0.2">
      <c r="R6157" s="189" t="str">
        <f t="shared" si="179"/>
        <v/>
      </c>
    </row>
    <row r="6158" spans="18:18" x14ac:dyDescent="0.2">
      <c r="R6158" s="189" t="str">
        <f t="shared" si="179"/>
        <v/>
      </c>
    </row>
    <row r="6159" spans="18:18" x14ac:dyDescent="0.2">
      <c r="R6159" s="189" t="str">
        <f t="shared" si="179"/>
        <v/>
      </c>
    </row>
    <row r="6160" spans="18:18" x14ac:dyDescent="0.2">
      <c r="R6160" s="189" t="str">
        <f t="shared" si="179"/>
        <v/>
      </c>
    </row>
    <row r="6161" spans="18:18" x14ac:dyDescent="0.2">
      <c r="R6161" s="189" t="str">
        <f t="shared" si="179"/>
        <v/>
      </c>
    </row>
    <row r="6162" spans="18:18" x14ac:dyDescent="0.2">
      <c r="R6162" s="189" t="str">
        <f t="shared" si="179"/>
        <v/>
      </c>
    </row>
    <row r="6163" spans="18:18" x14ac:dyDescent="0.2">
      <c r="R6163" s="189" t="str">
        <f t="shared" si="179"/>
        <v/>
      </c>
    </row>
    <row r="6164" spans="18:18" x14ac:dyDescent="0.2">
      <c r="R6164" s="189" t="str">
        <f t="shared" si="179"/>
        <v/>
      </c>
    </row>
    <row r="6165" spans="18:18" x14ac:dyDescent="0.2">
      <c r="R6165" s="189" t="str">
        <f t="shared" si="179"/>
        <v/>
      </c>
    </row>
    <row r="6166" spans="18:18" x14ac:dyDescent="0.2">
      <c r="R6166" s="189" t="str">
        <f t="shared" ref="R6166:R6229" si="180">IF(OR(P6166="",Q6166=""),"",IFERROR(P6166-Q6166,""))</f>
        <v/>
      </c>
    </row>
    <row r="6167" spans="18:18" x14ac:dyDescent="0.2">
      <c r="R6167" s="189" t="str">
        <f t="shared" si="180"/>
        <v/>
      </c>
    </row>
    <row r="6168" spans="18:18" x14ac:dyDescent="0.2">
      <c r="R6168" s="189" t="str">
        <f t="shared" si="180"/>
        <v/>
      </c>
    </row>
    <row r="6169" spans="18:18" x14ac:dyDescent="0.2">
      <c r="R6169" s="189" t="str">
        <f t="shared" si="180"/>
        <v/>
      </c>
    </row>
    <row r="6170" spans="18:18" x14ac:dyDescent="0.2">
      <c r="R6170" s="189" t="str">
        <f t="shared" si="180"/>
        <v/>
      </c>
    </row>
    <row r="6171" spans="18:18" x14ac:dyDescent="0.2">
      <c r="R6171" s="189" t="str">
        <f t="shared" si="180"/>
        <v/>
      </c>
    </row>
    <row r="6172" spans="18:18" x14ac:dyDescent="0.2">
      <c r="R6172" s="189" t="str">
        <f t="shared" si="180"/>
        <v/>
      </c>
    </row>
    <row r="6173" spans="18:18" x14ac:dyDescent="0.2">
      <c r="R6173" s="189" t="str">
        <f t="shared" si="180"/>
        <v/>
      </c>
    </row>
    <row r="6174" spans="18:18" x14ac:dyDescent="0.2">
      <c r="R6174" s="189" t="str">
        <f t="shared" si="180"/>
        <v/>
      </c>
    </row>
    <row r="6175" spans="18:18" x14ac:dyDescent="0.2">
      <c r="R6175" s="189" t="str">
        <f t="shared" si="180"/>
        <v/>
      </c>
    </row>
    <row r="6176" spans="18:18" x14ac:dyDescent="0.2">
      <c r="R6176" s="189" t="str">
        <f t="shared" si="180"/>
        <v/>
      </c>
    </row>
    <row r="6177" spans="18:18" x14ac:dyDescent="0.2">
      <c r="R6177" s="189" t="str">
        <f t="shared" si="180"/>
        <v/>
      </c>
    </row>
    <row r="6178" spans="18:18" x14ac:dyDescent="0.2">
      <c r="R6178" s="189" t="str">
        <f t="shared" si="180"/>
        <v/>
      </c>
    </row>
    <row r="6179" spans="18:18" x14ac:dyDescent="0.2">
      <c r="R6179" s="189" t="str">
        <f t="shared" si="180"/>
        <v/>
      </c>
    </row>
    <row r="6180" spans="18:18" x14ac:dyDescent="0.2">
      <c r="R6180" s="189" t="str">
        <f t="shared" si="180"/>
        <v/>
      </c>
    </row>
    <row r="6181" spans="18:18" x14ac:dyDescent="0.2">
      <c r="R6181" s="189" t="str">
        <f t="shared" si="180"/>
        <v/>
      </c>
    </row>
    <row r="6182" spans="18:18" x14ac:dyDescent="0.2">
      <c r="R6182" s="189" t="str">
        <f t="shared" si="180"/>
        <v/>
      </c>
    </row>
    <row r="6183" spans="18:18" x14ac:dyDescent="0.2">
      <c r="R6183" s="189" t="str">
        <f t="shared" si="180"/>
        <v/>
      </c>
    </row>
    <row r="6184" spans="18:18" x14ac:dyDescent="0.2">
      <c r="R6184" s="189" t="str">
        <f t="shared" si="180"/>
        <v/>
      </c>
    </row>
    <row r="6185" spans="18:18" x14ac:dyDescent="0.2">
      <c r="R6185" s="189" t="str">
        <f t="shared" si="180"/>
        <v/>
      </c>
    </row>
    <row r="6186" spans="18:18" x14ac:dyDescent="0.2">
      <c r="R6186" s="189" t="str">
        <f t="shared" si="180"/>
        <v/>
      </c>
    </row>
    <row r="6187" spans="18:18" x14ac:dyDescent="0.2">
      <c r="R6187" s="189" t="str">
        <f t="shared" si="180"/>
        <v/>
      </c>
    </row>
    <row r="6188" spans="18:18" x14ac:dyDescent="0.2">
      <c r="R6188" s="189" t="str">
        <f t="shared" si="180"/>
        <v/>
      </c>
    </row>
    <row r="6189" spans="18:18" x14ac:dyDescent="0.2">
      <c r="R6189" s="189" t="str">
        <f t="shared" si="180"/>
        <v/>
      </c>
    </row>
    <row r="6190" spans="18:18" x14ac:dyDescent="0.2">
      <c r="R6190" s="189" t="str">
        <f t="shared" si="180"/>
        <v/>
      </c>
    </row>
    <row r="6191" spans="18:18" x14ac:dyDescent="0.2">
      <c r="R6191" s="189" t="str">
        <f t="shared" si="180"/>
        <v/>
      </c>
    </row>
    <row r="6192" spans="18:18" x14ac:dyDescent="0.2">
      <c r="R6192" s="189" t="str">
        <f t="shared" si="180"/>
        <v/>
      </c>
    </row>
    <row r="6193" spans="18:18" x14ac:dyDescent="0.2">
      <c r="R6193" s="189" t="str">
        <f t="shared" si="180"/>
        <v/>
      </c>
    </row>
    <row r="6194" spans="18:18" x14ac:dyDescent="0.2">
      <c r="R6194" s="189" t="str">
        <f t="shared" si="180"/>
        <v/>
      </c>
    </row>
    <row r="6195" spans="18:18" x14ac:dyDescent="0.2">
      <c r="R6195" s="189" t="str">
        <f t="shared" si="180"/>
        <v/>
      </c>
    </row>
    <row r="6196" spans="18:18" x14ac:dyDescent="0.2">
      <c r="R6196" s="189" t="str">
        <f t="shared" si="180"/>
        <v/>
      </c>
    </row>
    <row r="6197" spans="18:18" x14ac:dyDescent="0.2">
      <c r="R6197" s="189" t="str">
        <f t="shared" si="180"/>
        <v/>
      </c>
    </row>
    <row r="6198" spans="18:18" x14ac:dyDescent="0.2">
      <c r="R6198" s="189" t="str">
        <f t="shared" si="180"/>
        <v/>
      </c>
    </row>
    <row r="6199" spans="18:18" x14ac:dyDescent="0.2">
      <c r="R6199" s="189" t="str">
        <f t="shared" si="180"/>
        <v/>
      </c>
    </row>
    <row r="6200" spans="18:18" x14ac:dyDescent="0.2">
      <c r="R6200" s="189" t="str">
        <f t="shared" si="180"/>
        <v/>
      </c>
    </row>
    <row r="6201" spans="18:18" x14ac:dyDescent="0.2">
      <c r="R6201" s="189" t="str">
        <f t="shared" si="180"/>
        <v/>
      </c>
    </row>
    <row r="6202" spans="18:18" x14ac:dyDescent="0.2">
      <c r="R6202" s="189" t="str">
        <f t="shared" si="180"/>
        <v/>
      </c>
    </row>
    <row r="6203" spans="18:18" x14ac:dyDescent="0.2">
      <c r="R6203" s="189" t="str">
        <f t="shared" si="180"/>
        <v/>
      </c>
    </row>
    <row r="6204" spans="18:18" x14ac:dyDescent="0.2">
      <c r="R6204" s="189" t="str">
        <f t="shared" si="180"/>
        <v/>
      </c>
    </row>
    <row r="6205" spans="18:18" x14ac:dyDescent="0.2">
      <c r="R6205" s="189" t="str">
        <f t="shared" si="180"/>
        <v/>
      </c>
    </row>
    <row r="6206" spans="18:18" x14ac:dyDescent="0.2">
      <c r="R6206" s="189" t="str">
        <f t="shared" si="180"/>
        <v/>
      </c>
    </row>
    <row r="6207" spans="18:18" x14ac:dyDescent="0.2">
      <c r="R6207" s="189" t="str">
        <f t="shared" si="180"/>
        <v/>
      </c>
    </row>
    <row r="6208" spans="18:18" x14ac:dyDescent="0.2">
      <c r="R6208" s="189" t="str">
        <f t="shared" si="180"/>
        <v/>
      </c>
    </row>
    <row r="6209" spans="18:18" x14ac:dyDescent="0.2">
      <c r="R6209" s="189" t="str">
        <f t="shared" si="180"/>
        <v/>
      </c>
    </row>
    <row r="6210" spans="18:18" x14ac:dyDescent="0.2">
      <c r="R6210" s="189" t="str">
        <f t="shared" si="180"/>
        <v/>
      </c>
    </row>
    <row r="6211" spans="18:18" x14ac:dyDescent="0.2">
      <c r="R6211" s="189" t="str">
        <f t="shared" si="180"/>
        <v/>
      </c>
    </row>
    <row r="6212" spans="18:18" x14ac:dyDescent="0.2">
      <c r="R6212" s="189" t="str">
        <f t="shared" si="180"/>
        <v/>
      </c>
    </row>
    <row r="6213" spans="18:18" x14ac:dyDescent="0.2">
      <c r="R6213" s="189" t="str">
        <f t="shared" si="180"/>
        <v/>
      </c>
    </row>
    <row r="6214" spans="18:18" x14ac:dyDescent="0.2">
      <c r="R6214" s="189" t="str">
        <f t="shared" si="180"/>
        <v/>
      </c>
    </row>
    <row r="6215" spans="18:18" x14ac:dyDescent="0.2">
      <c r="R6215" s="189" t="str">
        <f t="shared" si="180"/>
        <v/>
      </c>
    </row>
    <row r="6216" spans="18:18" x14ac:dyDescent="0.2">
      <c r="R6216" s="189" t="str">
        <f t="shared" si="180"/>
        <v/>
      </c>
    </row>
    <row r="6217" spans="18:18" x14ac:dyDescent="0.2">
      <c r="R6217" s="189" t="str">
        <f t="shared" si="180"/>
        <v/>
      </c>
    </row>
    <row r="6218" spans="18:18" x14ac:dyDescent="0.2">
      <c r="R6218" s="189" t="str">
        <f t="shared" si="180"/>
        <v/>
      </c>
    </row>
    <row r="6219" spans="18:18" x14ac:dyDescent="0.2">
      <c r="R6219" s="189" t="str">
        <f t="shared" si="180"/>
        <v/>
      </c>
    </row>
    <row r="6220" spans="18:18" x14ac:dyDescent="0.2">
      <c r="R6220" s="189" t="str">
        <f t="shared" si="180"/>
        <v/>
      </c>
    </row>
    <row r="6221" spans="18:18" x14ac:dyDescent="0.2">
      <c r="R6221" s="189" t="str">
        <f t="shared" si="180"/>
        <v/>
      </c>
    </row>
    <row r="6222" spans="18:18" x14ac:dyDescent="0.2">
      <c r="R6222" s="189" t="str">
        <f t="shared" si="180"/>
        <v/>
      </c>
    </row>
    <row r="6223" spans="18:18" x14ac:dyDescent="0.2">
      <c r="R6223" s="189" t="str">
        <f t="shared" si="180"/>
        <v/>
      </c>
    </row>
    <row r="6224" spans="18:18" x14ac:dyDescent="0.2">
      <c r="R6224" s="189" t="str">
        <f t="shared" si="180"/>
        <v/>
      </c>
    </row>
    <row r="6225" spans="18:18" x14ac:dyDescent="0.2">
      <c r="R6225" s="189" t="str">
        <f t="shared" si="180"/>
        <v/>
      </c>
    </row>
    <row r="6226" spans="18:18" x14ac:dyDescent="0.2">
      <c r="R6226" s="189" t="str">
        <f t="shared" si="180"/>
        <v/>
      </c>
    </row>
    <row r="6227" spans="18:18" x14ac:dyDescent="0.2">
      <c r="R6227" s="189" t="str">
        <f t="shared" si="180"/>
        <v/>
      </c>
    </row>
    <row r="6228" spans="18:18" x14ac:dyDescent="0.2">
      <c r="R6228" s="189" t="str">
        <f t="shared" si="180"/>
        <v/>
      </c>
    </row>
    <row r="6229" spans="18:18" x14ac:dyDescent="0.2">
      <c r="R6229" s="189" t="str">
        <f t="shared" si="180"/>
        <v/>
      </c>
    </row>
    <row r="6230" spans="18:18" x14ac:dyDescent="0.2">
      <c r="R6230" s="189" t="str">
        <f t="shared" ref="R6230:R6293" si="181">IF(OR(P6230="",Q6230=""),"",IFERROR(P6230-Q6230,""))</f>
        <v/>
      </c>
    </row>
    <row r="6231" spans="18:18" x14ac:dyDescent="0.2">
      <c r="R6231" s="189" t="str">
        <f t="shared" si="181"/>
        <v/>
      </c>
    </row>
    <row r="6232" spans="18:18" x14ac:dyDescent="0.2">
      <c r="R6232" s="189" t="str">
        <f t="shared" si="181"/>
        <v/>
      </c>
    </row>
    <row r="6233" spans="18:18" x14ac:dyDescent="0.2">
      <c r="R6233" s="189" t="str">
        <f t="shared" si="181"/>
        <v/>
      </c>
    </row>
    <row r="6234" spans="18:18" x14ac:dyDescent="0.2">
      <c r="R6234" s="189" t="str">
        <f t="shared" si="181"/>
        <v/>
      </c>
    </row>
    <row r="6235" spans="18:18" x14ac:dyDescent="0.2">
      <c r="R6235" s="189" t="str">
        <f t="shared" si="181"/>
        <v/>
      </c>
    </row>
    <row r="6236" spans="18:18" x14ac:dyDescent="0.2">
      <c r="R6236" s="189" t="str">
        <f t="shared" si="181"/>
        <v/>
      </c>
    </row>
    <row r="6237" spans="18:18" x14ac:dyDescent="0.2">
      <c r="R6237" s="189" t="str">
        <f t="shared" si="181"/>
        <v/>
      </c>
    </row>
    <row r="6238" spans="18:18" x14ac:dyDescent="0.2">
      <c r="R6238" s="189" t="str">
        <f t="shared" si="181"/>
        <v/>
      </c>
    </row>
    <row r="6239" spans="18:18" x14ac:dyDescent="0.2">
      <c r="R6239" s="189" t="str">
        <f t="shared" si="181"/>
        <v/>
      </c>
    </row>
    <row r="6240" spans="18:18" x14ac:dyDescent="0.2">
      <c r="R6240" s="189" t="str">
        <f t="shared" si="181"/>
        <v/>
      </c>
    </row>
    <row r="6241" spans="18:18" x14ac:dyDescent="0.2">
      <c r="R6241" s="189" t="str">
        <f t="shared" si="181"/>
        <v/>
      </c>
    </row>
    <row r="6242" spans="18:18" x14ac:dyDescent="0.2">
      <c r="R6242" s="189" t="str">
        <f t="shared" si="181"/>
        <v/>
      </c>
    </row>
    <row r="6243" spans="18:18" x14ac:dyDescent="0.2">
      <c r="R6243" s="189" t="str">
        <f t="shared" si="181"/>
        <v/>
      </c>
    </row>
    <row r="6244" spans="18:18" x14ac:dyDescent="0.2">
      <c r="R6244" s="189" t="str">
        <f t="shared" si="181"/>
        <v/>
      </c>
    </row>
    <row r="6245" spans="18:18" x14ac:dyDescent="0.2">
      <c r="R6245" s="189" t="str">
        <f t="shared" si="181"/>
        <v/>
      </c>
    </row>
    <row r="6246" spans="18:18" x14ac:dyDescent="0.2">
      <c r="R6246" s="189" t="str">
        <f t="shared" si="181"/>
        <v/>
      </c>
    </row>
    <row r="6247" spans="18:18" x14ac:dyDescent="0.2">
      <c r="R6247" s="189" t="str">
        <f t="shared" si="181"/>
        <v/>
      </c>
    </row>
    <row r="6248" spans="18:18" x14ac:dyDescent="0.2">
      <c r="R6248" s="189" t="str">
        <f t="shared" si="181"/>
        <v/>
      </c>
    </row>
    <row r="6249" spans="18:18" x14ac:dyDescent="0.2">
      <c r="R6249" s="189" t="str">
        <f t="shared" si="181"/>
        <v/>
      </c>
    </row>
    <row r="6250" spans="18:18" x14ac:dyDescent="0.2">
      <c r="R6250" s="189" t="str">
        <f t="shared" si="181"/>
        <v/>
      </c>
    </row>
    <row r="6251" spans="18:18" x14ac:dyDescent="0.2">
      <c r="R6251" s="189" t="str">
        <f t="shared" si="181"/>
        <v/>
      </c>
    </row>
    <row r="6252" spans="18:18" x14ac:dyDescent="0.2">
      <c r="R6252" s="189" t="str">
        <f t="shared" si="181"/>
        <v/>
      </c>
    </row>
    <row r="6253" spans="18:18" x14ac:dyDescent="0.2">
      <c r="R6253" s="189" t="str">
        <f t="shared" si="181"/>
        <v/>
      </c>
    </row>
    <row r="6254" spans="18:18" x14ac:dyDescent="0.2">
      <c r="R6254" s="189" t="str">
        <f t="shared" si="181"/>
        <v/>
      </c>
    </row>
    <row r="6255" spans="18:18" x14ac:dyDescent="0.2">
      <c r="R6255" s="189" t="str">
        <f t="shared" si="181"/>
        <v/>
      </c>
    </row>
    <row r="6256" spans="18:18" x14ac:dyDescent="0.2">
      <c r="R6256" s="189" t="str">
        <f t="shared" si="181"/>
        <v/>
      </c>
    </row>
    <row r="6257" spans="18:18" x14ac:dyDescent="0.2">
      <c r="R6257" s="189" t="str">
        <f t="shared" si="181"/>
        <v/>
      </c>
    </row>
    <row r="6258" spans="18:18" x14ac:dyDescent="0.2">
      <c r="R6258" s="189" t="str">
        <f t="shared" si="181"/>
        <v/>
      </c>
    </row>
    <row r="6259" spans="18:18" x14ac:dyDescent="0.2">
      <c r="R6259" s="189" t="str">
        <f t="shared" si="181"/>
        <v/>
      </c>
    </row>
    <row r="6260" spans="18:18" x14ac:dyDescent="0.2">
      <c r="R6260" s="189" t="str">
        <f t="shared" si="181"/>
        <v/>
      </c>
    </row>
    <row r="6261" spans="18:18" x14ac:dyDescent="0.2">
      <c r="R6261" s="189" t="str">
        <f t="shared" si="181"/>
        <v/>
      </c>
    </row>
    <row r="6262" spans="18:18" x14ac:dyDescent="0.2">
      <c r="R6262" s="189" t="str">
        <f t="shared" si="181"/>
        <v/>
      </c>
    </row>
    <row r="6263" spans="18:18" x14ac:dyDescent="0.2">
      <c r="R6263" s="189" t="str">
        <f t="shared" si="181"/>
        <v/>
      </c>
    </row>
    <row r="6264" spans="18:18" x14ac:dyDescent="0.2">
      <c r="R6264" s="189" t="str">
        <f t="shared" si="181"/>
        <v/>
      </c>
    </row>
    <row r="6265" spans="18:18" x14ac:dyDescent="0.2">
      <c r="R6265" s="189" t="str">
        <f t="shared" si="181"/>
        <v/>
      </c>
    </row>
    <row r="6266" spans="18:18" x14ac:dyDescent="0.2">
      <c r="R6266" s="189" t="str">
        <f t="shared" si="181"/>
        <v/>
      </c>
    </row>
    <row r="6267" spans="18:18" x14ac:dyDescent="0.2">
      <c r="R6267" s="189" t="str">
        <f t="shared" si="181"/>
        <v/>
      </c>
    </row>
    <row r="6268" spans="18:18" x14ac:dyDescent="0.2">
      <c r="R6268" s="189" t="str">
        <f t="shared" si="181"/>
        <v/>
      </c>
    </row>
    <row r="6269" spans="18:18" x14ac:dyDescent="0.2">
      <c r="R6269" s="189" t="str">
        <f t="shared" si="181"/>
        <v/>
      </c>
    </row>
    <row r="6270" spans="18:18" x14ac:dyDescent="0.2">
      <c r="R6270" s="189" t="str">
        <f t="shared" si="181"/>
        <v/>
      </c>
    </row>
    <row r="6271" spans="18:18" x14ac:dyDescent="0.2">
      <c r="R6271" s="189" t="str">
        <f t="shared" si="181"/>
        <v/>
      </c>
    </row>
    <row r="6272" spans="18:18" x14ac:dyDescent="0.2">
      <c r="R6272" s="189" t="str">
        <f t="shared" si="181"/>
        <v/>
      </c>
    </row>
    <row r="6273" spans="18:18" x14ac:dyDescent="0.2">
      <c r="R6273" s="189" t="str">
        <f t="shared" si="181"/>
        <v/>
      </c>
    </row>
    <row r="6274" spans="18:18" x14ac:dyDescent="0.2">
      <c r="R6274" s="189" t="str">
        <f t="shared" si="181"/>
        <v/>
      </c>
    </row>
    <row r="6275" spans="18:18" x14ac:dyDescent="0.2">
      <c r="R6275" s="189" t="str">
        <f t="shared" si="181"/>
        <v/>
      </c>
    </row>
    <row r="6276" spans="18:18" x14ac:dyDescent="0.2">
      <c r="R6276" s="189" t="str">
        <f t="shared" si="181"/>
        <v/>
      </c>
    </row>
    <row r="6277" spans="18:18" x14ac:dyDescent="0.2">
      <c r="R6277" s="189" t="str">
        <f t="shared" si="181"/>
        <v/>
      </c>
    </row>
    <row r="6278" spans="18:18" x14ac:dyDescent="0.2">
      <c r="R6278" s="189" t="str">
        <f t="shared" si="181"/>
        <v/>
      </c>
    </row>
    <row r="6279" spans="18:18" x14ac:dyDescent="0.2">
      <c r="R6279" s="189" t="str">
        <f t="shared" si="181"/>
        <v/>
      </c>
    </row>
    <row r="6280" spans="18:18" x14ac:dyDescent="0.2">
      <c r="R6280" s="189" t="str">
        <f t="shared" si="181"/>
        <v/>
      </c>
    </row>
    <row r="6281" spans="18:18" x14ac:dyDescent="0.2">
      <c r="R6281" s="189" t="str">
        <f t="shared" si="181"/>
        <v/>
      </c>
    </row>
    <row r="6282" spans="18:18" x14ac:dyDescent="0.2">
      <c r="R6282" s="189" t="str">
        <f t="shared" si="181"/>
        <v/>
      </c>
    </row>
    <row r="6283" spans="18:18" x14ac:dyDescent="0.2">
      <c r="R6283" s="189" t="str">
        <f t="shared" si="181"/>
        <v/>
      </c>
    </row>
    <row r="6284" spans="18:18" x14ac:dyDescent="0.2">
      <c r="R6284" s="189" t="str">
        <f t="shared" si="181"/>
        <v/>
      </c>
    </row>
    <row r="6285" spans="18:18" x14ac:dyDescent="0.2">
      <c r="R6285" s="189" t="str">
        <f t="shared" si="181"/>
        <v/>
      </c>
    </row>
    <row r="6286" spans="18:18" x14ac:dyDescent="0.2">
      <c r="R6286" s="189" t="str">
        <f t="shared" si="181"/>
        <v/>
      </c>
    </row>
    <row r="6287" spans="18:18" x14ac:dyDescent="0.2">
      <c r="R6287" s="189" t="str">
        <f t="shared" si="181"/>
        <v/>
      </c>
    </row>
    <row r="6288" spans="18:18" x14ac:dyDescent="0.2">
      <c r="R6288" s="189" t="str">
        <f t="shared" si="181"/>
        <v/>
      </c>
    </row>
    <row r="6289" spans="18:18" x14ac:dyDescent="0.2">
      <c r="R6289" s="189" t="str">
        <f t="shared" si="181"/>
        <v/>
      </c>
    </row>
    <row r="6290" spans="18:18" x14ac:dyDescent="0.2">
      <c r="R6290" s="189" t="str">
        <f t="shared" si="181"/>
        <v/>
      </c>
    </row>
    <row r="6291" spans="18:18" x14ac:dyDescent="0.2">
      <c r="R6291" s="189" t="str">
        <f t="shared" si="181"/>
        <v/>
      </c>
    </row>
    <row r="6292" spans="18:18" x14ac:dyDescent="0.2">
      <c r="R6292" s="189" t="str">
        <f t="shared" si="181"/>
        <v/>
      </c>
    </row>
    <row r="6293" spans="18:18" x14ac:dyDescent="0.2">
      <c r="R6293" s="189" t="str">
        <f t="shared" si="181"/>
        <v/>
      </c>
    </row>
    <row r="6294" spans="18:18" x14ac:dyDescent="0.2">
      <c r="R6294" s="189" t="str">
        <f t="shared" ref="R6294:R6357" si="182">IF(OR(P6294="",Q6294=""),"",IFERROR(P6294-Q6294,""))</f>
        <v/>
      </c>
    </row>
    <row r="6295" spans="18:18" x14ac:dyDescent="0.2">
      <c r="R6295" s="189" t="str">
        <f t="shared" si="182"/>
        <v/>
      </c>
    </row>
    <row r="6296" spans="18:18" x14ac:dyDescent="0.2">
      <c r="R6296" s="189" t="str">
        <f t="shared" si="182"/>
        <v/>
      </c>
    </row>
    <row r="6297" spans="18:18" x14ac:dyDescent="0.2">
      <c r="R6297" s="189" t="str">
        <f t="shared" si="182"/>
        <v/>
      </c>
    </row>
    <row r="6298" spans="18:18" x14ac:dyDescent="0.2">
      <c r="R6298" s="189" t="str">
        <f t="shared" si="182"/>
        <v/>
      </c>
    </row>
    <row r="6299" spans="18:18" x14ac:dyDescent="0.2">
      <c r="R6299" s="189" t="str">
        <f t="shared" si="182"/>
        <v/>
      </c>
    </row>
    <row r="6300" spans="18:18" x14ac:dyDescent="0.2">
      <c r="R6300" s="189" t="str">
        <f t="shared" si="182"/>
        <v/>
      </c>
    </row>
    <row r="6301" spans="18:18" x14ac:dyDescent="0.2">
      <c r="R6301" s="189" t="str">
        <f t="shared" si="182"/>
        <v/>
      </c>
    </row>
    <row r="6302" spans="18:18" x14ac:dyDescent="0.2">
      <c r="R6302" s="189" t="str">
        <f t="shared" si="182"/>
        <v/>
      </c>
    </row>
    <row r="6303" spans="18:18" x14ac:dyDescent="0.2">
      <c r="R6303" s="189" t="str">
        <f t="shared" si="182"/>
        <v/>
      </c>
    </row>
    <row r="6304" spans="18:18" x14ac:dyDescent="0.2">
      <c r="R6304" s="189" t="str">
        <f t="shared" si="182"/>
        <v/>
      </c>
    </row>
    <row r="6305" spans="18:18" x14ac:dyDescent="0.2">
      <c r="R6305" s="189" t="str">
        <f t="shared" si="182"/>
        <v/>
      </c>
    </row>
    <row r="6306" spans="18:18" x14ac:dyDescent="0.2">
      <c r="R6306" s="189" t="str">
        <f t="shared" si="182"/>
        <v/>
      </c>
    </row>
    <row r="6307" spans="18:18" x14ac:dyDescent="0.2">
      <c r="R6307" s="189" t="str">
        <f t="shared" si="182"/>
        <v/>
      </c>
    </row>
    <row r="6308" spans="18:18" x14ac:dyDescent="0.2">
      <c r="R6308" s="189" t="str">
        <f t="shared" si="182"/>
        <v/>
      </c>
    </row>
    <row r="6309" spans="18:18" x14ac:dyDescent="0.2">
      <c r="R6309" s="189" t="str">
        <f t="shared" si="182"/>
        <v/>
      </c>
    </row>
    <row r="6310" spans="18:18" x14ac:dyDescent="0.2">
      <c r="R6310" s="189" t="str">
        <f t="shared" si="182"/>
        <v/>
      </c>
    </row>
    <row r="6311" spans="18:18" x14ac:dyDescent="0.2">
      <c r="R6311" s="189" t="str">
        <f t="shared" si="182"/>
        <v/>
      </c>
    </row>
    <row r="6312" spans="18:18" x14ac:dyDescent="0.2">
      <c r="R6312" s="189" t="str">
        <f t="shared" si="182"/>
        <v/>
      </c>
    </row>
    <row r="6313" spans="18:18" x14ac:dyDescent="0.2">
      <c r="R6313" s="189" t="str">
        <f t="shared" si="182"/>
        <v/>
      </c>
    </row>
    <row r="6314" spans="18:18" x14ac:dyDescent="0.2">
      <c r="R6314" s="189" t="str">
        <f t="shared" si="182"/>
        <v/>
      </c>
    </row>
    <row r="6315" spans="18:18" x14ac:dyDescent="0.2">
      <c r="R6315" s="189" t="str">
        <f t="shared" si="182"/>
        <v/>
      </c>
    </row>
    <row r="6316" spans="18:18" x14ac:dyDescent="0.2">
      <c r="R6316" s="189" t="str">
        <f t="shared" si="182"/>
        <v/>
      </c>
    </row>
    <row r="6317" spans="18:18" x14ac:dyDescent="0.2">
      <c r="R6317" s="189" t="str">
        <f t="shared" si="182"/>
        <v/>
      </c>
    </row>
    <row r="6318" spans="18:18" x14ac:dyDescent="0.2">
      <c r="R6318" s="189" t="str">
        <f t="shared" si="182"/>
        <v/>
      </c>
    </row>
    <row r="6319" spans="18:18" x14ac:dyDescent="0.2">
      <c r="R6319" s="189" t="str">
        <f t="shared" si="182"/>
        <v/>
      </c>
    </row>
    <row r="6320" spans="18:18" x14ac:dyDescent="0.2">
      <c r="R6320" s="189" t="str">
        <f t="shared" si="182"/>
        <v/>
      </c>
    </row>
    <row r="6321" spans="18:18" x14ac:dyDescent="0.2">
      <c r="R6321" s="189" t="str">
        <f t="shared" si="182"/>
        <v/>
      </c>
    </row>
    <row r="6322" spans="18:18" x14ac:dyDescent="0.2">
      <c r="R6322" s="189" t="str">
        <f t="shared" si="182"/>
        <v/>
      </c>
    </row>
    <row r="6323" spans="18:18" x14ac:dyDescent="0.2">
      <c r="R6323" s="189" t="str">
        <f t="shared" si="182"/>
        <v/>
      </c>
    </row>
    <row r="6324" spans="18:18" x14ac:dyDescent="0.2">
      <c r="R6324" s="189" t="str">
        <f t="shared" si="182"/>
        <v/>
      </c>
    </row>
    <row r="6325" spans="18:18" x14ac:dyDescent="0.2">
      <c r="R6325" s="189" t="str">
        <f t="shared" si="182"/>
        <v/>
      </c>
    </row>
    <row r="6326" spans="18:18" x14ac:dyDescent="0.2">
      <c r="R6326" s="189" t="str">
        <f t="shared" si="182"/>
        <v/>
      </c>
    </row>
    <row r="6327" spans="18:18" x14ac:dyDescent="0.2">
      <c r="R6327" s="189" t="str">
        <f t="shared" si="182"/>
        <v/>
      </c>
    </row>
    <row r="6328" spans="18:18" x14ac:dyDescent="0.2">
      <c r="R6328" s="189" t="str">
        <f t="shared" si="182"/>
        <v/>
      </c>
    </row>
    <row r="6329" spans="18:18" x14ac:dyDescent="0.2">
      <c r="R6329" s="189" t="str">
        <f t="shared" si="182"/>
        <v/>
      </c>
    </row>
    <row r="6330" spans="18:18" x14ac:dyDescent="0.2">
      <c r="R6330" s="189" t="str">
        <f t="shared" si="182"/>
        <v/>
      </c>
    </row>
    <row r="6331" spans="18:18" x14ac:dyDescent="0.2">
      <c r="R6331" s="189" t="str">
        <f t="shared" si="182"/>
        <v/>
      </c>
    </row>
    <row r="6332" spans="18:18" x14ac:dyDescent="0.2">
      <c r="R6332" s="189" t="str">
        <f t="shared" si="182"/>
        <v/>
      </c>
    </row>
    <row r="6333" spans="18:18" x14ac:dyDescent="0.2">
      <c r="R6333" s="189" t="str">
        <f t="shared" si="182"/>
        <v/>
      </c>
    </row>
    <row r="6334" spans="18:18" x14ac:dyDescent="0.2">
      <c r="R6334" s="189" t="str">
        <f t="shared" si="182"/>
        <v/>
      </c>
    </row>
    <row r="6335" spans="18:18" x14ac:dyDescent="0.2">
      <c r="R6335" s="189" t="str">
        <f t="shared" si="182"/>
        <v/>
      </c>
    </row>
    <row r="6336" spans="18:18" x14ac:dyDescent="0.2">
      <c r="R6336" s="189" t="str">
        <f t="shared" si="182"/>
        <v/>
      </c>
    </row>
    <row r="6337" spans="18:18" x14ac:dyDescent="0.2">
      <c r="R6337" s="189" t="str">
        <f t="shared" si="182"/>
        <v/>
      </c>
    </row>
    <row r="6338" spans="18:18" x14ac:dyDescent="0.2">
      <c r="R6338" s="189" t="str">
        <f t="shared" si="182"/>
        <v/>
      </c>
    </row>
    <row r="6339" spans="18:18" x14ac:dyDescent="0.2">
      <c r="R6339" s="189" t="str">
        <f t="shared" si="182"/>
        <v/>
      </c>
    </row>
    <row r="6340" spans="18:18" x14ac:dyDescent="0.2">
      <c r="R6340" s="189" t="str">
        <f t="shared" si="182"/>
        <v/>
      </c>
    </row>
    <row r="6341" spans="18:18" x14ac:dyDescent="0.2">
      <c r="R6341" s="189" t="str">
        <f t="shared" si="182"/>
        <v/>
      </c>
    </row>
    <row r="6342" spans="18:18" x14ac:dyDescent="0.2">
      <c r="R6342" s="189" t="str">
        <f t="shared" si="182"/>
        <v/>
      </c>
    </row>
    <row r="6343" spans="18:18" x14ac:dyDescent="0.2">
      <c r="R6343" s="189" t="str">
        <f t="shared" si="182"/>
        <v/>
      </c>
    </row>
    <row r="6344" spans="18:18" x14ac:dyDescent="0.2">
      <c r="R6344" s="189" t="str">
        <f t="shared" si="182"/>
        <v/>
      </c>
    </row>
    <row r="6345" spans="18:18" x14ac:dyDescent="0.2">
      <c r="R6345" s="189" t="str">
        <f t="shared" si="182"/>
        <v/>
      </c>
    </row>
    <row r="6346" spans="18:18" x14ac:dyDescent="0.2">
      <c r="R6346" s="189" t="str">
        <f t="shared" si="182"/>
        <v/>
      </c>
    </row>
    <row r="6347" spans="18:18" x14ac:dyDescent="0.2">
      <c r="R6347" s="189" t="str">
        <f t="shared" si="182"/>
        <v/>
      </c>
    </row>
    <row r="6348" spans="18:18" x14ac:dyDescent="0.2">
      <c r="R6348" s="189" t="str">
        <f t="shared" si="182"/>
        <v/>
      </c>
    </row>
    <row r="6349" spans="18:18" x14ac:dyDescent="0.2">
      <c r="R6349" s="189" t="str">
        <f t="shared" si="182"/>
        <v/>
      </c>
    </row>
    <row r="6350" spans="18:18" x14ac:dyDescent="0.2">
      <c r="R6350" s="189" t="str">
        <f t="shared" si="182"/>
        <v/>
      </c>
    </row>
    <row r="6351" spans="18:18" x14ac:dyDescent="0.2">
      <c r="R6351" s="189" t="str">
        <f t="shared" si="182"/>
        <v/>
      </c>
    </row>
    <row r="6352" spans="18:18" x14ac:dyDescent="0.2">
      <c r="R6352" s="189" t="str">
        <f t="shared" si="182"/>
        <v/>
      </c>
    </row>
    <row r="6353" spans="18:18" x14ac:dyDescent="0.2">
      <c r="R6353" s="189" t="str">
        <f t="shared" si="182"/>
        <v/>
      </c>
    </row>
    <row r="6354" spans="18:18" x14ac:dyDescent="0.2">
      <c r="R6354" s="189" t="str">
        <f t="shared" si="182"/>
        <v/>
      </c>
    </row>
    <row r="6355" spans="18:18" x14ac:dyDescent="0.2">
      <c r="R6355" s="189" t="str">
        <f t="shared" si="182"/>
        <v/>
      </c>
    </row>
    <row r="6356" spans="18:18" x14ac:dyDescent="0.2">
      <c r="R6356" s="189" t="str">
        <f t="shared" si="182"/>
        <v/>
      </c>
    </row>
    <row r="6357" spans="18:18" x14ac:dyDescent="0.2">
      <c r="R6357" s="189" t="str">
        <f t="shared" si="182"/>
        <v/>
      </c>
    </row>
    <row r="6358" spans="18:18" x14ac:dyDescent="0.2">
      <c r="R6358" s="189" t="str">
        <f t="shared" ref="R6358:R6421" si="183">IF(OR(P6358="",Q6358=""),"",IFERROR(P6358-Q6358,""))</f>
        <v/>
      </c>
    </row>
    <row r="6359" spans="18:18" x14ac:dyDescent="0.2">
      <c r="R6359" s="189" t="str">
        <f t="shared" si="183"/>
        <v/>
      </c>
    </row>
    <row r="6360" spans="18:18" x14ac:dyDescent="0.2">
      <c r="R6360" s="189" t="str">
        <f t="shared" si="183"/>
        <v/>
      </c>
    </row>
    <row r="6361" spans="18:18" x14ac:dyDescent="0.2">
      <c r="R6361" s="189" t="str">
        <f t="shared" si="183"/>
        <v/>
      </c>
    </row>
    <row r="6362" spans="18:18" x14ac:dyDescent="0.2">
      <c r="R6362" s="189" t="str">
        <f t="shared" si="183"/>
        <v/>
      </c>
    </row>
    <row r="6363" spans="18:18" x14ac:dyDescent="0.2">
      <c r="R6363" s="189" t="str">
        <f t="shared" si="183"/>
        <v/>
      </c>
    </row>
    <row r="6364" spans="18:18" x14ac:dyDescent="0.2">
      <c r="R6364" s="189" t="str">
        <f t="shared" si="183"/>
        <v/>
      </c>
    </row>
    <row r="6365" spans="18:18" x14ac:dyDescent="0.2">
      <c r="R6365" s="189" t="str">
        <f t="shared" si="183"/>
        <v/>
      </c>
    </row>
    <row r="6366" spans="18:18" x14ac:dyDescent="0.2">
      <c r="R6366" s="189" t="str">
        <f t="shared" si="183"/>
        <v/>
      </c>
    </row>
    <row r="6367" spans="18:18" x14ac:dyDescent="0.2">
      <c r="R6367" s="189" t="str">
        <f t="shared" si="183"/>
        <v/>
      </c>
    </row>
    <row r="6368" spans="18:18" x14ac:dyDescent="0.2">
      <c r="R6368" s="189" t="str">
        <f t="shared" si="183"/>
        <v/>
      </c>
    </row>
    <row r="6369" spans="18:18" x14ac:dyDescent="0.2">
      <c r="R6369" s="189" t="str">
        <f t="shared" si="183"/>
        <v/>
      </c>
    </row>
    <row r="6370" spans="18:18" x14ac:dyDescent="0.2">
      <c r="R6370" s="189" t="str">
        <f t="shared" si="183"/>
        <v/>
      </c>
    </row>
    <row r="6371" spans="18:18" x14ac:dyDescent="0.2">
      <c r="R6371" s="189" t="str">
        <f t="shared" si="183"/>
        <v/>
      </c>
    </row>
    <row r="6372" spans="18:18" x14ac:dyDescent="0.2">
      <c r="R6372" s="189" t="str">
        <f t="shared" si="183"/>
        <v/>
      </c>
    </row>
    <row r="6373" spans="18:18" x14ac:dyDescent="0.2">
      <c r="R6373" s="189" t="str">
        <f t="shared" si="183"/>
        <v/>
      </c>
    </row>
    <row r="6374" spans="18:18" x14ac:dyDescent="0.2">
      <c r="R6374" s="189" t="str">
        <f t="shared" si="183"/>
        <v/>
      </c>
    </row>
    <row r="6375" spans="18:18" x14ac:dyDescent="0.2">
      <c r="R6375" s="189" t="str">
        <f t="shared" si="183"/>
        <v/>
      </c>
    </row>
    <row r="6376" spans="18:18" x14ac:dyDescent="0.2">
      <c r="R6376" s="189" t="str">
        <f t="shared" si="183"/>
        <v/>
      </c>
    </row>
    <row r="6377" spans="18:18" x14ac:dyDescent="0.2">
      <c r="R6377" s="189" t="str">
        <f t="shared" si="183"/>
        <v/>
      </c>
    </row>
    <row r="6378" spans="18:18" x14ac:dyDescent="0.2">
      <c r="R6378" s="189" t="str">
        <f t="shared" si="183"/>
        <v/>
      </c>
    </row>
    <row r="6379" spans="18:18" x14ac:dyDescent="0.2">
      <c r="R6379" s="189" t="str">
        <f t="shared" si="183"/>
        <v/>
      </c>
    </row>
    <row r="6380" spans="18:18" x14ac:dyDescent="0.2">
      <c r="R6380" s="189" t="str">
        <f t="shared" si="183"/>
        <v/>
      </c>
    </row>
    <row r="6381" spans="18:18" x14ac:dyDescent="0.2">
      <c r="R6381" s="189" t="str">
        <f t="shared" si="183"/>
        <v/>
      </c>
    </row>
    <row r="6382" spans="18:18" x14ac:dyDescent="0.2">
      <c r="R6382" s="189" t="str">
        <f t="shared" si="183"/>
        <v/>
      </c>
    </row>
    <row r="6383" spans="18:18" x14ac:dyDescent="0.2">
      <c r="R6383" s="189" t="str">
        <f t="shared" si="183"/>
        <v/>
      </c>
    </row>
    <row r="6384" spans="18:18" x14ac:dyDescent="0.2">
      <c r="R6384" s="189" t="str">
        <f t="shared" si="183"/>
        <v/>
      </c>
    </row>
    <row r="6385" spans="18:18" x14ac:dyDescent="0.2">
      <c r="R6385" s="189" t="str">
        <f t="shared" si="183"/>
        <v/>
      </c>
    </row>
    <row r="6386" spans="18:18" x14ac:dyDescent="0.2">
      <c r="R6386" s="189" t="str">
        <f t="shared" si="183"/>
        <v/>
      </c>
    </row>
    <row r="6387" spans="18:18" x14ac:dyDescent="0.2">
      <c r="R6387" s="189" t="str">
        <f t="shared" si="183"/>
        <v/>
      </c>
    </row>
    <row r="6388" spans="18:18" x14ac:dyDescent="0.2">
      <c r="R6388" s="189" t="str">
        <f t="shared" si="183"/>
        <v/>
      </c>
    </row>
    <row r="6389" spans="18:18" x14ac:dyDescent="0.2">
      <c r="R6389" s="189" t="str">
        <f t="shared" si="183"/>
        <v/>
      </c>
    </row>
    <row r="6390" spans="18:18" x14ac:dyDescent="0.2">
      <c r="R6390" s="189" t="str">
        <f t="shared" si="183"/>
        <v/>
      </c>
    </row>
    <row r="6391" spans="18:18" x14ac:dyDescent="0.2">
      <c r="R6391" s="189" t="str">
        <f t="shared" si="183"/>
        <v/>
      </c>
    </row>
    <row r="6392" spans="18:18" x14ac:dyDescent="0.2">
      <c r="R6392" s="189" t="str">
        <f t="shared" si="183"/>
        <v/>
      </c>
    </row>
    <row r="6393" spans="18:18" x14ac:dyDescent="0.2">
      <c r="R6393" s="189" t="str">
        <f t="shared" si="183"/>
        <v/>
      </c>
    </row>
    <row r="6394" spans="18:18" x14ac:dyDescent="0.2">
      <c r="R6394" s="189" t="str">
        <f t="shared" si="183"/>
        <v/>
      </c>
    </row>
    <row r="6395" spans="18:18" x14ac:dyDescent="0.2">
      <c r="R6395" s="189" t="str">
        <f t="shared" si="183"/>
        <v/>
      </c>
    </row>
    <row r="6396" spans="18:18" x14ac:dyDescent="0.2">
      <c r="R6396" s="189" t="str">
        <f t="shared" si="183"/>
        <v/>
      </c>
    </row>
    <row r="6397" spans="18:18" x14ac:dyDescent="0.2">
      <c r="R6397" s="189" t="str">
        <f t="shared" si="183"/>
        <v/>
      </c>
    </row>
    <row r="6398" spans="18:18" x14ac:dyDescent="0.2">
      <c r="R6398" s="189" t="str">
        <f t="shared" si="183"/>
        <v/>
      </c>
    </row>
    <row r="6399" spans="18:18" x14ac:dyDescent="0.2">
      <c r="R6399" s="189" t="str">
        <f t="shared" si="183"/>
        <v/>
      </c>
    </row>
    <row r="6400" spans="18:18" x14ac:dyDescent="0.2">
      <c r="R6400" s="189" t="str">
        <f t="shared" si="183"/>
        <v/>
      </c>
    </row>
    <row r="6401" spans="18:18" x14ac:dyDescent="0.2">
      <c r="R6401" s="189" t="str">
        <f t="shared" si="183"/>
        <v/>
      </c>
    </row>
    <row r="6402" spans="18:18" x14ac:dyDescent="0.2">
      <c r="R6402" s="189" t="str">
        <f t="shared" si="183"/>
        <v/>
      </c>
    </row>
    <row r="6403" spans="18:18" x14ac:dyDescent="0.2">
      <c r="R6403" s="189" t="str">
        <f t="shared" si="183"/>
        <v/>
      </c>
    </row>
    <row r="6404" spans="18:18" x14ac:dyDescent="0.2">
      <c r="R6404" s="189" t="str">
        <f t="shared" si="183"/>
        <v/>
      </c>
    </row>
    <row r="6405" spans="18:18" x14ac:dyDescent="0.2">
      <c r="R6405" s="189" t="str">
        <f t="shared" si="183"/>
        <v/>
      </c>
    </row>
    <row r="6406" spans="18:18" x14ac:dyDescent="0.2">
      <c r="R6406" s="189" t="str">
        <f t="shared" si="183"/>
        <v/>
      </c>
    </row>
    <row r="6407" spans="18:18" x14ac:dyDescent="0.2">
      <c r="R6407" s="189" t="str">
        <f t="shared" si="183"/>
        <v/>
      </c>
    </row>
    <row r="6408" spans="18:18" x14ac:dyDescent="0.2">
      <c r="R6408" s="189" t="str">
        <f t="shared" si="183"/>
        <v/>
      </c>
    </row>
    <row r="6409" spans="18:18" x14ac:dyDescent="0.2">
      <c r="R6409" s="189" t="str">
        <f t="shared" si="183"/>
        <v/>
      </c>
    </row>
    <row r="6410" spans="18:18" x14ac:dyDescent="0.2">
      <c r="R6410" s="189" t="str">
        <f t="shared" si="183"/>
        <v/>
      </c>
    </row>
    <row r="6411" spans="18:18" x14ac:dyDescent="0.2">
      <c r="R6411" s="189" t="str">
        <f t="shared" si="183"/>
        <v/>
      </c>
    </row>
    <row r="6412" spans="18:18" x14ac:dyDescent="0.2">
      <c r="R6412" s="189" t="str">
        <f t="shared" si="183"/>
        <v/>
      </c>
    </row>
    <row r="6413" spans="18:18" x14ac:dyDescent="0.2">
      <c r="R6413" s="189" t="str">
        <f t="shared" si="183"/>
        <v/>
      </c>
    </row>
    <row r="6414" spans="18:18" x14ac:dyDescent="0.2">
      <c r="R6414" s="189" t="str">
        <f t="shared" si="183"/>
        <v/>
      </c>
    </row>
    <row r="6415" spans="18:18" x14ac:dyDescent="0.2">
      <c r="R6415" s="189" t="str">
        <f t="shared" si="183"/>
        <v/>
      </c>
    </row>
    <row r="6416" spans="18:18" x14ac:dyDescent="0.2">
      <c r="R6416" s="189" t="str">
        <f t="shared" si="183"/>
        <v/>
      </c>
    </row>
    <row r="6417" spans="18:18" x14ac:dyDescent="0.2">
      <c r="R6417" s="189" t="str">
        <f t="shared" si="183"/>
        <v/>
      </c>
    </row>
    <row r="6418" spans="18:18" x14ac:dyDescent="0.2">
      <c r="R6418" s="189" t="str">
        <f t="shared" si="183"/>
        <v/>
      </c>
    </row>
    <row r="6419" spans="18:18" x14ac:dyDescent="0.2">
      <c r="R6419" s="189" t="str">
        <f t="shared" si="183"/>
        <v/>
      </c>
    </row>
    <row r="6420" spans="18:18" x14ac:dyDescent="0.2">
      <c r="R6420" s="189" t="str">
        <f t="shared" si="183"/>
        <v/>
      </c>
    </row>
    <row r="6421" spans="18:18" x14ac:dyDescent="0.2">
      <c r="R6421" s="189" t="str">
        <f t="shared" si="183"/>
        <v/>
      </c>
    </row>
    <row r="6422" spans="18:18" x14ac:dyDescent="0.2">
      <c r="R6422" s="189" t="str">
        <f t="shared" ref="R6422:R6485" si="184">IF(OR(P6422="",Q6422=""),"",IFERROR(P6422-Q6422,""))</f>
        <v/>
      </c>
    </row>
    <row r="6423" spans="18:18" x14ac:dyDescent="0.2">
      <c r="R6423" s="189" t="str">
        <f t="shared" si="184"/>
        <v/>
      </c>
    </row>
    <row r="6424" spans="18:18" x14ac:dyDescent="0.2">
      <c r="R6424" s="189" t="str">
        <f t="shared" si="184"/>
        <v/>
      </c>
    </row>
    <row r="6425" spans="18:18" x14ac:dyDescent="0.2">
      <c r="R6425" s="189" t="str">
        <f t="shared" si="184"/>
        <v/>
      </c>
    </row>
    <row r="6426" spans="18:18" x14ac:dyDescent="0.2">
      <c r="R6426" s="189" t="str">
        <f t="shared" si="184"/>
        <v/>
      </c>
    </row>
    <row r="6427" spans="18:18" x14ac:dyDescent="0.2">
      <c r="R6427" s="189" t="str">
        <f t="shared" si="184"/>
        <v/>
      </c>
    </row>
    <row r="6428" spans="18:18" x14ac:dyDescent="0.2">
      <c r="R6428" s="189" t="str">
        <f t="shared" si="184"/>
        <v/>
      </c>
    </row>
    <row r="6429" spans="18:18" x14ac:dyDescent="0.2">
      <c r="R6429" s="189" t="str">
        <f t="shared" si="184"/>
        <v/>
      </c>
    </row>
    <row r="6430" spans="18:18" x14ac:dyDescent="0.2">
      <c r="R6430" s="189" t="str">
        <f t="shared" si="184"/>
        <v/>
      </c>
    </row>
    <row r="6431" spans="18:18" x14ac:dyDescent="0.2">
      <c r="R6431" s="189" t="str">
        <f t="shared" si="184"/>
        <v/>
      </c>
    </row>
    <row r="6432" spans="18:18" x14ac:dyDescent="0.2">
      <c r="R6432" s="189" t="str">
        <f t="shared" si="184"/>
        <v/>
      </c>
    </row>
    <row r="6433" spans="18:18" x14ac:dyDescent="0.2">
      <c r="R6433" s="189" t="str">
        <f t="shared" si="184"/>
        <v/>
      </c>
    </row>
    <row r="6434" spans="18:18" x14ac:dyDescent="0.2">
      <c r="R6434" s="189" t="str">
        <f t="shared" si="184"/>
        <v/>
      </c>
    </row>
    <row r="6435" spans="18:18" x14ac:dyDescent="0.2">
      <c r="R6435" s="189" t="str">
        <f t="shared" si="184"/>
        <v/>
      </c>
    </row>
    <row r="6436" spans="18:18" x14ac:dyDescent="0.2">
      <c r="R6436" s="189" t="str">
        <f t="shared" si="184"/>
        <v/>
      </c>
    </row>
    <row r="6437" spans="18:18" x14ac:dyDescent="0.2">
      <c r="R6437" s="189" t="str">
        <f t="shared" si="184"/>
        <v/>
      </c>
    </row>
    <row r="6438" spans="18:18" x14ac:dyDescent="0.2">
      <c r="R6438" s="189" t="str">
        <f t="shared" si="184"/>
        <v/>
      </c>
    </row>
    <row r="6439" spans="18:18" x14ac:dyDescent="0.2">
      <c r="R6439" s="189" t="str">
        <f t="shared" si="184"/>
        <v/>
      </c>
    </row>
    <row r="6440" spans="18:18" x14ac:dyDescent="0.2">
      <c r="R6440" s="189" t="str">
        <f t="shared" si="184"/>
        <v/>
      </c>
    </row>
    <row r="6441" spans="18:18" x14ac:dyDescent="0.2">
      <c r="R6441" s="189" t="str">
        <f t="shared" si="184"/>
        <v/>
      </c>
    </row>
    <row r="6442" spans="18:18" x14ac:dyDescent="0.2">
      <c r="R6442" s="189" t="str">
        <f t="shared" si="184"/>
        <v/>
      </c>
    </row>
    <row r="6443" spans="18:18" x14ac:dyDescent="0.2">
      <c r="R6443" s="189" t="str">
        <f t="shared" si="184"/>
        <v/>
      </c>
    </row>
    <row r="6444" spans="18:18" x14ac:dyDescent="0.2">
      <c r="R6444" s="189" t="str">
        <f t="shared" si="184"/>
        <v/>
      </c>
    </row>
    <row r="6445" spans="18:18" x14ac:dyDescent="0.2">
      <c r="R6445" s="189" t="str">
        <f t="shared" si="184"/>
        <v/>
      </c>
    </row>
    <row r="6446" spans="18:18" x14ac:dyDescent="0.2">
      <c r="R6446" s="189" t="str">
        <f t="shared" si="184"/>
        <v/>
      </c>
    </row>
    <row r="6447" spans="18:18" x14ac:dyDescent="0.2">
      <c r="R6447" s="189" t="str">
        <f t="shared" si="184"/>
        <v/>
      </c>
    </row>
    <row r="6448" spans="18:18" x14ac:dyDescent="0.2">
      <c r="R6448" s="189" t="str">
        <f t="shared" si="184"/>
        <v/>
      </c>
    </row>
    <row r="6449" spans="18:18" x14ac:dyDescent="0.2">
      <c r="R6449" s="189" t="str">
        <f t="shared" si="184"/>
        <v/>
      </c>
    </row>
    <row r="6450" spans="18:18" x14ac:dyDescent="0.2">
      <c r="R6450" s="189" t="str">
        <f t="shared" si="184"/>
        <v/>
      </c>
    </row>
    <row r="6451" spans="18:18" x14ac:dyDescent="0.2">
      <c r="R6451" s="189" t="str">
        <f t="shared" si="184"/>
        <v/>
      </c>
    </row>
    <row r="6452" spans="18:18" x14ac:dyDescent="0.2">
      <c r="R6452" s="189" t="str">
        <f t="shared" si="184"/>
        <v/>
      </c>
    </row>
    <row r="6453" spans="18:18" x14ac:dyDescent="0.2">
      <c r="R6453" s="189" t="str">
        <f t="shared" si="184"/>
        <v/>
      </c>
    </row>
    <row r="6454" spans="18:18" x14ac:dyDescent="0.2">
      <c r="R6454" s="189" t="str">
        <f t="shared" si="184"/>
        <v/>
      </c>
    </row>
    <row r="6455" spans="18:18" x14ac:dyDescent="0.2">
      <c r="R6455" s="189" t="str">
        <f t="shared" si="184"/>
        <v/>
      </c>
    </row>
    <row r="6456" spans="18:18" x14ac:dyDescent="0.2">
      <c r="R6456" s="189" t="str">
        <f t="shared" si="184"/>
        <v/>
      </c>
    </row>
    <row r="6457" spans="18:18" x14ac:dyDescent="0.2">
      <c r="R6457" s="189" t="str">
        <f t="shared" si="184"/>
        <v/>
      </c>
    </row>
    <row r="6458" spans="18:18" x14ac:dyDescent="0.2">
      <c r="R6458" s="189" t="str">
        <f t="shared" si="184"/>
        <v/>
      </c>
    </row>
    <row r="6459" spans="18:18" x14ac:dyDescent="0.2">
      <c r="R6459" s="189" t="str">
        <f t="shared" si="184"/>
        <v/>
      </c>
    </row>
    <row r="6460" spans="18:18" x14ac:dyDescent="0.2">
      <c r="R6460" s="189" t="str">
        <f t="shared" si="184"/>
        <v/>
      </c>
    </row>
    <row r="6461" spans="18:18" x14ac:dyDescent="0.2">
      <c r="R6461" s="189" t="str">
        <f t="shared" si="184"/>
        <v/>
      </c>
    </row>
    <row r="6462" spans="18:18" x14ac:dyDescent="0.2">
      <c r="R6462" s="189" t="str">
        <f t="shared" si="184"/>
        <v/>
      </c>
    </row>
    <row r="6463" spans="18:18" x14ac:dyDescent="0.2">
      <c r="R6463" s="189" t="str">
        <f t="shared" si="184"/>
        <v/>
      </c>
    </row>
    <row r="6464" spans="18:18" x14ac:dyDescent="0.2">
      <c r="R6464" s="189" t="str">
        <f t="shared" si="184"/>
        <v/>
      </c>
    </row>
    <row r="6465" spans="18:18" x14ac:dyDescent="0.2">
      <c r="R6465" s="189" t="str">
        <f t="shared" si="184"/>
        <v/>
      </c>
    </row>
    <row r="6466" spans="18:18" x14ac:dyDescent="0.2">
      <c r="R6466" s="189" t="str">
        <f t="shared" si="184"/>
        <v/>
      </c>
    </row>
    <row r="6467" spans="18:18" x14ac:dyDescent="0.2">
      <c r="R6467" s="189" t="str">
        <f t="shared" si="184"/>
        <v/>
      </c>
    </row>
    <row r="6468" spans="18:18" x14ac:dyDescent="0.2">
      <c r="R6468" s="189" t="str">
        <f t="shared" si="184"/>
        <v/>
      </c>
    </row>
    <row r="6469" spans="18:18" x14ac:dyDescent="0.2">
      <c r="R6469" s="189" t="str">
        <f t="shared" si="184"/>
        <v/>
      </c>
    </row>
    <row r="6470" spans="18:18" x14ac:dyDescent="0.2">
      <c r="R6470" s="189" t="str">
        <f t="shared" si="184"/>
        <v/>
      </c>
    </row>
    <row r="6471" spans="18:18" x14ac:dyDescent="0.2">
      <c r="R6471" s="189" t="str">
        <f t="shared" si="184"/>
        <v/>
      </c>
    </row>
    <row r="6472" spans="18:18" x14ac:dyDescent="0.2">
      <c r="R6472" s="189" t="str">
        <f t="shared" si="184"/>
        <v/>
      </c>
    </row>
    <row r="6473" spans="18:18" x14ac:dyDescent="0.2">
      <c r="R6473" s="189" t="str">
        <f t="shared" si="184"/>
        <v/>
      </c>
    </row>
    <row r="6474" spans="18:18" x14ac:dyDescent="0.2">
      <c r="R6474" s="189" t="str">
        <f t="shared" si="184"/>
        <v/>
      </c>
    </row>
    <row r="6475" spans="18:18" x14ac:dyDescent="0.2">
      <c r="R6475" s="189" t="str">
        <f t="shared" si="184"/>
        <v/>
      </c>
    </row>
    <row r="6476" spans="18:18" x14ac:dyDescent="0.2">
      <c r="R6476" s="189" t="str">
        <f t="shared" si="184"/>
        <v/>
      </c>
    </row>
    <row r="6477" spans="18:18" x14ac:dyDescent="0.2">
      <c r="R6477" s="189" t="str">
        <f t="shared" si="184"/>
        <v/>
      </c>
    </row>
    <row r="6478" spans="18:18" x14ac:dyDescent="0.2">
      <c r="R6478" s="189" t="str">
        <f t="shared" si="184"/>
        <v/>
      </c>
    </row>
    <row r="6479" spans="18:18" x14ac:dyDescent="0.2">
      <c r="R6479" s="189" t="str">
        <f t="shared" si="184"/>
        <v/>
      </c>
    </row>
    <row r="6480" spans="18:18" x14ac:dyDescent="0.2">
      <c r="R6480" s="189" t="str">
        <f t="shared" si="184"/>
        <v/>
      </c>
    </row>
    <row r="6481" spans="18:18" x14ac:dyDescent="0.2">
      <c r="R6481" s="189" t="str">
        <f t="shared" si="184"/>
        <v/>
      </c>
    </row>
    <row r="6482" spans="18:18" x14ac:dyDescent="0.2">
      <c r="R6482" s="189" t="str">
        <f t="shared" si="184"/>
        <v/>
      </c>
    </row>
    <row r="6483" spans="18:18" x14ac:dyDescent="0.2">
      <c r="R6483" s="189" t="str">
        <f t="shared" si="184"/>
        <v/>
      </c>
    </row>
    <row r="6484" spans="18:18" x14ac:dyDescent="0.2">
      <c r="R6484" s="189" t="str">
        <f t="shared" si="184"/>
        <v/>
      </c>
    </row>
    <row r="6485" spans="18:18" x14ac:dyDescent="0.2">
      <c r="R6485" s="189" t="str">
        <f t="shared" si="184"/>
        <v/>
      </c>
    </row>
    <row r="6486" spans="18:18" x14ac:dyDescent="0.2">
      <c r="R6486" s="189" t="str">
        <f t="shared" ref="R6486:R6549" si="185">IF(OR(P6486="",Q6486=""),"",IFERROR(P6486-Q6486,""))</f>
        <v/>
      </c>
    </row>
    <row r="6487" spans="18:18" x14ac:dyDescent="0.2">
      <c r="R6487" s="189" t="str">
        <f t="shared" si="185"/>
        <v/>
      </c>
    </row>
    <row r="6488" spans="18:18" x14ac:dyDescent="0.2">
      <c r="R6488" s="189" t="str">
        <f t="shared" si="185"/>
        <v/>
      </c>
    </row>
    <row r="6489" spans="18:18" x14ac:dyDescent="0.2">
      <c r="R6489" s="189" t="str">
        <f t="shared" si="185"/>
        <v/>
      </c>
    </row>
    <row r="6490" spans="18:18" x14ac:dyDescent="0.2">
      <c r="R6490" s="189" t="str">
        <f t="shared" si="185"/>
        <v/>
      </c>
    </row>
    <row r="6491" spans="18:18" x14ac:dyDescent="0.2">
      <c r="R6491" s="189" t="str">
        <f t="shared" si="185"/>
        <v/>
      </c>
    </row>
    <row r="6492" spans="18:18" x14ac:dyDescent="0.2">
      <c r="R6492" s="189" t="str">
        <f t="shared" si="185"/>
        <v/>
      </c>
    </row>
    <row r="6493" spans="18:18" x14ac:dyDescent="0.2">
      <c r="R6493" s="189" t="str">
        <f t="shared" si="185"/>
        <v/>
      </c>
    </row>
    <row r="6494" spans="18:18" x14ac:dyDescent="0.2">
      <c r="R6494" s="189" t="str">
        <f t="shared" si="185"/>
        <v/>
      </c>
    </row>
    <row r="6495" spans="18:18" x14ac:dyDescent="0.2">
      <c r="R6495" s="189" t="str">
        <f t="shared" si="185"/>
        <v/>
      </c>
    </row>
    <row r="6496" spans="18:18" x14ac:dyDescent="0.2">
      <c r="R6496" s="189" t="str">
        <f t="shared" si="185"/>
        <v/>
      </c>
    </row>
    <row r="6497" spans="18:18" x14ac:dyDescent="0.2">
      <c r="R6497" s="189" t="str">
        <f t="shared" si="185"/>
        <v/>
      </c>
    </row>
    <row r="6498" spans="18:18" x14ac:dyDescent="0.2">
      <c r="R6498" s="189" t="str">
        <f t="shared" si="185"/>
        <v/>
      </c>
    </row>
    <row r="6499" spans="18:18" x14ac:dyDescent="0.2">
      <c r="R6499" s="189" t="str">
        <f t="shared" si="185"/>
        <v/>
      </c>
    </row>
    <row r="6500" spans="18:18" x14ac:dyDescent="0.2">
      <c r="R6500" s="189" t="str">
        <f t="shared" si="185"/>
        <v/>
      </c>
    </row>
    <row r="6501" spans="18:18" x14ac:dyDescent="0.2">
      <c r="R6501" s="189" t="str">
        <f t="shared" si="185"/>
        <v/>
      </c>
    </row>
    <row r="6502" spans="18:18" x14ac:dyDescent="0.2">
      <c r="R6502" s="189" t="str">
        <f t="shared" si="185"/>
        <v/>
      </c>
    </row>
    <row r="6503" spans="18:18" x14ac:dyDescent="0.2">
      <c r="R6503" s="189" t="str">
        <f t="shared" si="185"/>
        <v/>
      </c>
    </row>
    <row r="6504" spans="18:18" x14ac:dyDescent="0.2">
      <c r="R6504" s="189" t="str">
        <f t="shared" si="185"/>
        <v/>
      </c>
    </row>
    <row r="6505" spans="18:18" x14ac:dyDescent="0.2">
      <c r="R6505" s="189" t="str">
        <f t="shared" si="185"/>
        <v/>
      </c>
    </row>
    <row r="6506" spans="18:18" x14ac:dyDescent="0.2">
      <c r="R6506" s="189" t="str">
        <f t="shared" si="185"/>
        <v/>
      </c>
    </row>
    <row r="6507" spans="18:18" x14ac:dyDescent="0.2">
      <c r="R6507" s="189" t="str">
        <f t="shared" si="185"/>
        <v/>
      </c>
    </row>
    <row r="6508" spans="18:18" x14ac:dyDescent="0.2">
      <c r="R6508" s="189" t="str">
        <f t="shared" si="185"/>
        <v/>
      </c>
    </row>
    <row r="6509" spans="18:18" x14ac:dyDescent="0.2">
      <c r="R6509" s="189" t="str">
        <f t="shared" si="185"/>
        <v/>
      </c>
    </row>
    <row r="6510" spans="18:18" x14ac:dyDescent="0.2">
      <c r="R6510" s="189" t="str">
        <f t="shared" si="185"/>
        <v/>
      </c>
    </row>
    <row r="6511" spans="18:18" x14ac:dyDescent="0.2">
      <c r="R6511" s="189" t="str">
        <f t="shared" si="185"/>
        <v/>
      </c>
    </row>
    <row r="6512" spans="18:18" x14ac:dyDescent="0.2">
      <c r="R6512" s="189" t="str">
        <f t="shared" si="185"/>
        <v/>
      </c>
    </row>
    <row r="6513" spans="18:18" x14ac:dyDescent="0.2">
      <c r="R6513" s="189" t="str">
        <f t="shared" si="185"/>
        <v/>
      </c>
    </row>
    <row r="6514" spans="18:18" x14ac:dyDescent="0.2">
      <c r="R6514" s="189" t="str">
        <f t="shared" si="185"/>
        <v/>
      </c>
    </row>
    <row r="6515" spans="18:18" x14ac:dyDescent="0.2">
      <c r="R6515" s="189" t="str">
        <f t="shared" si="185"/>
        <v/>
      </c>
    </row>
    <row r="6516" spans="18:18" x14ac:dyDescent="0.2">
      <c r="R6516" s="189" t="str">
        <f t="shared" si="185"/>
        <v/>
      </c>
    </row>
    <row r="6517" spans="18:18" x14ac:dyDescent="0.2">
      <c r="R6517" s="189" t="str">
        <f t="shared" si="185"/>
        <v/>
      </c>
    </row>
    <row r="6518" spans="18:18" x14ac:dyDescent="0.2">
      <c r="R6518" s="189" t="str">
        <f t="shared" si="185"/>
        <v/>
      </c>
    </row>
    <row r="6519" spans="18:18" x14ac:dyDescent="0.2">
      <c r="R6519" s="189" t="str">
        <f t="shared" si="185"/>
        <v/>
      </c>
    </row>
    <row r="6520" spans="18:18" x14ac:dyDescent="0.2">
      <c r="R6520" s="189" t="str">
        <f t="shared" si="185"/>
        <v/>
      </c>
    </row>
    <row r="6521" spans="18:18" x14ac:dyDescent="0.2">
      <c r="R6521" s="189" t="str">
        <f t="shared" si="185"/>
        <v/>
      </c>
    </row>
    <row r="6522" spans="18:18" x14ac:dyDescent="0.2">
      <c r="R6522" s="189" t="str">
        <f t="shared" si="185"/>
        <v/>
      </c>
    </row>
    <row r="6523" spans="18:18" x14ac:dyDescent="0.2">
      <c r="R6523" s="189" t="str">
        <f t="shared" si="185"/>
        <v/>
      </c>
    </row>
    <row r="6524" spans="18:18" x14ac:dyDescent="0.2">
      <c r="R6524" s="189" t="str">
        <f t="shared" si="185"/>
        <v/>
      </c>
    </row>
    <row r="6525" spans="18:18" x14ac:dyDescent="0.2">
      <c r="R6525" s="189" t="str">
        <f t="shared" si="185"/>
        <v/>
      </c>
    </row>
    <row r="6526" spans="18:18" x14ac:dyDescent="0.2">
      <c r="R6526" s="189" t="str">
        <f t="shared" si="185"/>
        <v/>
      </c>
    </row>
    <row r="6527" spans="18:18" x14ac:dyDescent="0.2">
      <c r="R6527" s="189" t="str">
        <f t="shared" si="185"/>
        <v/>
      </c>
    </row>
    <row r="6528" spans="18:18" x14ac:dyDescent="0.2">
      <c r="R6528" s="189" t="str">
        <f t="shared" si="185"/>
        <v/>
      </c>
    </row>
    <row r="6529" spans="18:18" x14ac:dyDescent="0.2">
      <c r="R6529" s="189" t="str">
        <f t="shared" si="185"/>
        <v/>
      </c>
    </row>
    <row r="6530" spans="18:18" x14ac:dyDescent="0.2">
      <c r="R6530" s="189" t="str">
        <f t="shared" si="185"/>
        <v/>
      </c>
    </row>
    <row r="6531" spans="18:18" x14ac:dyDescent="0.2">
      <c r="R6531" s="189" t="str">
        <f t="shared" si="185"/>
        <v/>
      </c>
    </row>
    <row r="6532" spans="18:18" x14ac:dyDescent="0.2">
      <c r="R6532" s="189" t="str">
        <f t="shared" si="185"/>
        <v/>
      </c>
    </row>
    <row r="6533" spans="18:18" x14ac:dyDescent="0.2">
      <c r="R6533" s="189" t="str">
        <f t="shared" si="185"/>
        <v/>
      </c>
    </row>
    <row r="6534" spans="18:18" x14ac:dyDescent="0.2">
      <c r="R6534" s="189" t="str">
        <f t="shared" si="185"/>
        <v/>
      </c>
    </row>
    <row r="6535" spans="18:18" x14ac:dyDescent="0.2">
      <c r="R6535" s="189" t="str">
        <f t="shared" si="185"/>
        <v/>
      </c>
    </row>
    <row r="6536" spans="18:18" x14ac:dyDescent="0.2">
      <c r="R6536" s="189" t="str">
        <f t="shared" si="185"/>
        <v/>
      </c>
    </row>
    <row r="6537" spans="18:18" x14ac:dyDescent="0.2">
      <c r="R6537" s="189" t="str">
        <f t="shared" si="185"/>
        <v/>
      </c>
    </row>
    <row r="6538" spans="18:18" x14ac:dyDescent="0.2">
      <c r="R6538" s="189" t="str">
        <f t="shared" si="185"/>
        <v/>
      </c>
    </row>
    <row r="6539" spans="18:18" x14ac:dyDescent="0.2">
      <c r="R6539" s="189" t="str">
        <f t="shared" si="185"/>
        <v/>
      </c>
    </row>
    <row r="6540" spans="18:18" x14ac:dyDescent="0.2">
      <c r="R6540" s="189" t="str">
        <f t="shared" si="185"/>
        <v/>
      </c>
    </row>
    <row r="6541" spans="18:18" x14ac:dyDescent="0.2">
      <c r="R6541" s="189" t="str">
        <f t="shared" si="185"/>
        <v/>
      </c>
    </row>
    <row r="6542" spans="18:18" x14ac:dyDescent="0.2">
      <c r="R6542" s="189" t="str">
        <f t="shared" si="185"/>
        <v/>
      </c>
    </row>
    <row r="6543" spans="18:18" x14ac:dyDescent="0.2">
      <c r="R6543" s="189" t="str">
        <f t="shared" si="185"/>
        <v/>
      </c>
    </row>
    <row r="6544" spans="18:18" x14ac:dyDescent="0.2">
      <c r="R6544" s="189" t="str">
        <f t="shared" si="185"/>
        <v/>
      </c>
    </row>
    <row r="6545" spans="18:18" x14ac:dyDescent="0.2">
      <c r="R6545" s="189" t="str">
        <f t="shared" si="185"/>
        <v/>
      </c>
    </row>
    <row r="6546" spans="18:18" x14ac:dyDescent="0.2">
      <c r="R6546" s="189" t="str">
        <f t="shared" si="185"/>
        <v/>
      </c>
    </row>
    <row r="6547" spans="18:18" x14ac:dyDescent="0.2">
      <c r="R6547" s="189" t="str">
        <f t="shared" si="185"/>
        <v/>
      </c>
    </row>
    <row r="6548" spans="18:18" x14ac:dyDescent="0.2">
      <c r="R6548" s="189" t="str">
        <f t="shared" si="185"/>
        <v/>
      </c>
    </row>
    <row r="6549" spans="18:18" x14ac:dyDescent="0.2">
      <c r="R6549" s="189" t="str">
        <f t="shared" si="185"/>
        <v/>
      </c>
    </row>
    <row r="6550" spans="18:18" x14ac:dyDescent="0.2">
      <c r="R6550" s="189" t="str">
        <f t="shared" ref="R6550:R6613" si="186">IF(OR(P6550="",Q6550=""),"",IFERROR(P6550-Q6550,""))</f>
        <v/>
      </c>
    </row>
    <row r="6551" spans="18:18" x14ac:dyDescent="0.2">
      <c r="R6551" s="189" t="str">
        <f t="shared" si="186"/>
        <v/>
      </c>
    </row>
    <row r="6552" spans="18:18" x14ac:dyDescent="0.2">
      <c r="R6552" s="189" t="str">
        <f t="shared" si="186"/>
        <v/>
      </c>
    </row>
    <row r="6553" spans="18:18" x14ac:dyDescent="0.2">
      <c r="R6553" s="189" t="str">
        <f t="shared" si="186"/>
        <v/>
      </c>
    </row>
    <row r="6554" spans="18:18" x14ac:dyDescent="0.2">
      <c r="R6554" s="189" t="str">
        <f t="shared" si="186"/>
        <v/>
      </c>
    </row>
    <row r="6555" spans="18:18" x14ac:dyDescent="0.2">
      <c r="R6555" s="189" t="str">
        <f t="shared" si="186"/>
        <v/>
      </c>
    </row>
    <row r="6556" spans="18:18" x14ac:dyDescent="0.2">
      <c r="R6556" s="189" t="str">
        <f t="shared" si="186"/>
        <v/>
      </c>
    </row>
    <row r="6557" spans="18:18" x14ac:dyDescent="0.2">
      <c r="R6557" s="189" t="str">
        <f t="shared" si="186"/>
        <v/>
      </c>
    </row>
    <row r="6558" spans="18:18" x14ac:dyDescent="0.2">
      <c r="R6558" s="189" t="str">
        <f t="shared" si="186"/>
        <v/>
      </c>
    </row>
    <row r="6559" spans="18:18" x14ac:dyDescent="0.2">
      <c r="R6559" s="189" t="str">
        <f t="shared" si="186"/>
        <v/>
      </c>
    </row>
    <row r="6560" spans="18:18" x14ac:dyDescent="0.2">
      <c r="R6560" s="189" t="str">
        <f t="shared" si="186"/>
        <v/>
      </c>
    </row>
    <row r="6561" spans="18:18" x14ac:dyDescent="0.2">
      <c r="R6561" s="189" t="str">
        <f t="shared" si="186"/>
        <v/>
      </c>
    </row>
    <row r="6562" spans="18:18" x14ac:dyDescent="0.2">
      <c r="R6562" s="189" t="str">
        <f t="shared" si="186"/>
        <v/>
      </c>
    </row>
    <row r="6563" spans="18:18" x14ac:dyDescent="0.2">
      <c r="R6563" s="189" t="str">
        <f t="shared" si="186"/>
        <v/>
      </c>
    </row>
    <row r="6564" spans="18:18" x14ac:dyDescent="0.2">
      <c r="R6564" s="189" t="str">
        <f t="shared" si="186"/>
        <v/>
      </c>
    </row>
    <row r="6565" spans="18:18" x14ac:dyDescent="0.2">
      <c r="R6565" s="189" t="str">
        <f t="shared" si="186"/>
        <v/>
      </c>
    </row>
    <row r="6566" spans="18:18" x14ac:dyDescent="0.2">
      <c r="R6566" s="189" t="str">
        <f t="shared" si="186"/>
        <v/>
      </c>
    </row>
    <row r="6567" spans="18:18" x14ac:dyDescent="0.2">
      <c r="R6567" s="189" t="str">
        <f t="shared" si="186"/>
        <v/>
      </c>
    </row>
    <row r="6568" spans="18:18" x14ac:dyDescent="0.2">
      <c r="R6568" s="189" t="str">
        <f t="shared" si="186"/>
        <v/>
      </c>
    </row>
    <row r="6569" spans="18:18" x14ac:dyDescent="0.2">
      <c r="R6569" s="189" t="str">
        <f t="shared" si="186"/>
        <v/>
      </c>
    </row>
    <row r="6570" spans="18:18" x14ac:dyDescent="0.2">
      <c r="R6570" s="189" t="str">
        <f t="shared" si="186"/>
        <v/>
      </c>
    </row>
    <row r="6571" spans="18:18" x14ac:dyDescent="0.2">
      <c r="R6571" s="189" t="str">
        <f t="shared" si="186"/>
        <v/>
      </c>
    </row>
    <row r="6572" spans="18:18" x14ac:dyDescent="0.2">
      <c r="R6572" s="189" t="str">
        <f t="shared" si="186"/>
        <v/>
      </c>
    </row>
    <row r="6573" spans="18:18" x14ac:dyDescent="0.2">
      <c r="R6573" s="189" t="str">
        <f t="shared" si="186"/>
        <v/>
      </c>
    </row>
    <row r="6574" spans="18:18" x14ac:dyDescent="0.2">
      <c r="R6574" s="189" t="str">
        <f t="shared" si="186"/>
        <v/>
      </c>
    </row>
    <row r="6575" spans="18:18" x14ac:dyDescent="0.2">
      <c r="R6575" s="189" t="str">
        <f t="shared" si="186"/>
        <v/>
      </c>
    </row>
    <row r="6576" spans="18:18" x14ac:dyDescent="0.2">
      <c r="R6576" s="189" t="str">
        <f t="shared" si="186"/>
        <v/>
      </c>
    </row>
    <row r="6577" spans="18:18" x14ac:dyDescent="0.2">
      <c r="R6577" s="189" t="str">
        <f t="shared" si="186"/>
        <v/>
      </c>
    </row>
    <row r="6578" spans="18:18" x14ac:dyDescent="0.2">
      <c r="R6578" s="189" t="str">
        <f t="shared" si="186"/>
        <v/>
      </c>
    </row>
    <row r="6579" spans="18:18" x14ac:dyDescent="0.2">
      <c r="R6579" s="189" t="str">
        <f t="shared" si="186"/>
        <v/>
      </c>
    </row>
    <row r="6580" spans="18:18" x14ac:dyDescent="0.2">
      <c r="R6580" s="189" t="str">
        <f t="shared" si="186"/>
        <v/>
      </c>
    </row>
    <row r="6581" spans="18:18" x14ac:dyDescent="0.2">
      <c r="R6581" s="189" t="str">
        <f t="shared" si="186"/>
        <v/>
      </c>
    </row>
    <row r="6582" spans="18:18" x14ac:dyDescent="0.2">
      <c r="R6582" s="189" t="str">
        <f t="shared" si="186"/>
        <v/>
      </c>
    </row>
    <row r="6583" spans="18:18" x14ac:dyDescent="0.2">
      <c r="R6583" s="189" t="str">
        <f t="shared" si="186"/>
        <v/>
      </c>
    </row>
    <row r="6584" spans="18:18" x14ac:dyDescent="0.2">
      <c r="R6584" s="189" t="str">
        <f t="shared" si="186"/>
        <v/>
      </c>
    </row>
    <row r="6585" spans="18:18" x14ac:dyDescent="0.2">
      <c r="R6585" s="189" t="str">
        <f t="shared" si="186"/>
        <v/>
      </c>
    </row>
    <row r="6586" spans="18:18" x14ac:dyDescent="0.2">
      <c r="R6586" s="189" t="str">
        <f t="shared" si="186"/>
        <v/>
      </c>
    </row>
    <row r="6587" spans="18:18" x14ac:dyDescent="0.2">
      <c r="R6587" s="189" t="str">
        <f t="shared" si="186"/>
        <v/>
      </c>
    </row>
    <row r="6588" spans="18:18" x14ac:dyDescent="0.2">
      <c r="R6588" s="189" t="str">
        <f t="shared" si="186"/>
        <v/>
      </c>
    </row>
    <row r="6589" spans="18:18" x14ac:dyDescent="0.2">
      <c r="R6589" s="189" t="str">
        <f t="shared" si="186"/>
        <v/>
      </c>
    </row>
    <row r="6590" spans="18:18" x14ac:dyDescent="0.2">
      <c r="R6590" s="189" t="str">
        <f t="shared" si="186"/>
        <v/>
      </c>
    </row>
    <row r="6591" spans="18:18" x14ac:dyDescent="0.2">
      <c r="R6591" s="189" t="str">
        <f t="shared" si="186"/>
        <v/>
      </c>
    </row>
    <row r="6592" spans="18:18" x14ac:dyDescent="0.2">
      <c r="R6592" s="189" t="str">
        <f t="shared" si="186"/>
        <v/>
      </c>
    </row>
    <row r="6593" spans="18:18" x14ac:dyDescent="0.2">
      <c r="R6593" s="189" t="str">
        <f t="shared" si="186"/>
        <v/>
      </c>
    </row>
    <row r="6594" spans="18:18" x14ac:dyDescent="0.2">
      <c r="R6594" s="189" t="str">
        <f t="shared" si="186"/>
        <v/>
      </c>
    </row>
    <row r="6595" spans="18:18" x14ac:dyDescent="0.2">
      <c r="R6595" s="189" t="str">
        <f t="shared" si="186"/>
        <v/>
      </c>
    </row>
    <row r="6596" spans="18:18" x14ac:dyDescent="0.2">
      <c r="R6596" s="189" t="str">
        <f t="shared" si="186"/>
        <v/>
      </c>
    </row>
    <row r="6597" spans="18:18" x14ac:dyDescent="0.2">
      <c r="R6597" s="189" t="str">
        <f t="shared" si="186"/>
        <v/>
      </c>
    </row>
    <row r="6598" spans="18:18" x14ac:dyDescent="0.2">
      <c r="R6598" s="189" t="str">
        <f t="shared" si="186"/>
        <v/>
      </c>
    </row>
    <row r="6599" spans="18:18" x14ac:dyDescent="0.2">
      <c r="R6599" s="189" t="str">
        <f t="shared" si="186"/>
        <v/>
      </c>
    </row>
    <row r="6600" spans="18:18" x14ac:dyDescent="0.2">
      <c r="R6600" s="189" t="str">
        <f t="shared" si="186"/>
        <v/>
      </c>
    </row>
    <row r="6601" spans="18:18" x14ac:dyDescent="0.2">
      <c r="R6601" s="189" t="str">
        <f t="shared" si="186"/>
        <v/>
      </c>
    </row>
    <row r="6602" spans="18:18" x14ac:dyDescent="0.2">
      <c r="R6602" s="189" t="str">
        <f t="shared" si="186"/>
        <v/>
      </c>
    </row>
    <row r="6603" spans="18:18" x14ac:dyDescent="0.2">
      <c r="R6603" s="189" t="str">
        <f t="shared" si="186"/>
        <v/>
      </c>
    </row>
    <row r="6604" spans="18:18" x14ac:dyDescent="0.2">
      <c r="R6604" s="189" t="str">
        <f t="shared" si="186"/>
        <v/>
      </c>
    </row>
    <row r="6605" spans="18:18" x14ac:dyDescent="0.2">
      <c r="R6605" s="189" t="str">
        <f t="shared" si="186"/>
        <v/>
      </c>
    </row>
    <row r="6606" spans="18:18" x14ac:dyDescent="0.2">
      <c r="R6606" s="189" t="str">
        <f t="shared" si="186"/>
        <v/>
      </c>
    </row>
    <row r="6607" spans="18:18" x14ac:dyDescent="0.2">
      <c r="R6607" s="189" t="str">
        <f t="shared" si="186"/>
        <v/>
      </c>
    </row>
    <row r="6608" spans="18:18" x14ac:dyDescent="0.2">
      <c r="R6608" s="189" t="str">
        <f t="shared" si="186"/>
        <v/>
      </c>
    </row>
    <row r="6609" spans="18:18" x14ac:dyDescent="0.2">
      <c r="R6609" s="189" t="str">
        <f t="shared" si="186"/>
        <v/>
      </c>
    </row>
    <row r="6610" spans="18:18" x14ac:dyDescent="0.2">
      <c r="R6610" s="189" t="str">
        <f t="shared" si="186"/>
        <v/>
      </c>
    </row>
    <row r="6611" spans="18:18" x14ac:dyDescent="0.2">
      <c r="R6611" s="189" t="str">
        <f t="shared" si="186"/>
        <v/>
      </c>
    </row>
    <row r="6612" spans="18:18" x14ac:dyDescent="0.2">
      <c r="R6612" s="189" t="str">
        <f t="shared" si="186"/>
        <v/>
      </c>
    </row>
    <row r="6613" spans="18:18" x14ac:dyDescent="0.2">
      <c r="R6613" s="189" t="str">
        <f t="shared" si="186"/>
        <v/>
      </c>
    </row>
    <row r="6614" spans="18:18" x14ac:dyDescent="0.2">
      <c r="R6614" s="189" t="str">
        <f t="shared" ref="R6614:R6677" si="187">IF(OR(P6614="",Q6614=""),"",IFERROR(P6614-Q6614,""))</f>
        <v/>
      </c>
    </row>
    <row r="6615" spans="18:18" x14ac:dyDescent="0.2">
      <c r="R6615" s="189" t="str">
        <f t="shared" si="187"/>
        <v/>
      </c>
    </row>
    <row r="6616" spans="18:18" x14ac:dyDescent="0.2">
      <c r="R6616" s="189" t="str">
        <f t="shared" si="187"/>
        <v/>
      </c>
    </row>
    <row r="6617" spans="18:18" x14ac:dyDescent="0.2">
      <c r="R6617" s="189" t="str">
        <f t="shared" si="187"/>
        <v/>
      </c>
    </row>
    <row r="6618" spans="18:18" x14ac:dyDescent="0.2">
      <c r="R6618" s="189" t="str">
        <f t="shared" si="187"/>
        <v/>
      </c>
    </row>
    <row r="6619" spans="18:18" x14ac:dyDescent="0.2">
      <c r="R6619" s="189" t="str">
        <f t="shared" si="187"/>
        <v/>
      </c>
    </row>
    <row r="6620" spans="18:18" x14ac:dyDescent="0.2">
      <c r="R6620" s="189" t="str">
        <f t="shared" si="187"/>
        <v/>
      </c>
    </row>
    <row r="6621" spans="18:18" x14ac:dyDescent="0.2">
      <c r="R6621" s="189" t="str">
        <f t="shared" si="187"/>
        <v/>
      </c>
    </row>
    <row r="6622" spans="18:18" x14ac:dyDescent="0.2">
      <c r="R6622" s="189" t="str">
        <f t="shared" si="187"/>
        <v/>
      </c>
    </row>
    <row r="6623" spans="18:18" x14ac:dyDescent="0.2">
      <c r="R6623" s="189" t="str">
        <f t="shared" si="187"/>
        <v/>
      </c>
    </row>
    <row r="6624" spans="18:18" x14ac:dyDescent="0.2">
      <c r="R6624" s="189" t="str">
        <f t="shared" si="187"/>
        <v/>
      </c>
    </row>
    <row r="6625" spans="18:18" x14ac:dyDescent="0.2">
      <c r="R6625" s="189" t="str">
        <f t="shared" si="187"/>
        <v/>
      </c>
    </row>
    <row r="6626" spans="18:18" x14ac:dyDescent="0.2">
      <c r="R6626" s="189" t="str">
        <f t="shared" si="187"/>
        <v/>
      </c>
    </row>
    <row r="6627" spans="18:18" x14ac:dyDescent="0.2">
      <c r="R6627" s="189" t="str">
        <f t="shared" si="187"/>
        <v/>
      </c>
    </row>
    <row r="6628" spans="18:18" x14ac:dyDescent="0.2">
      <c r="R6628" s="189" t="str">
        <f t="shared" si="187"/>
        <v/>
      </c>
    </row>
    <row r="6629" spans="18:18" x14ac:dyDescent="0.2">
      <c r="R6629" s="189" t="str">
        <f t="shared" si="187"/>
        <v/>
      </c>
    </row>
    <row r="6630" spans="18:18" x14ac:dyDescent="0.2">
      <c r="R6630" s="189" t="str">
        <f t="shared" si="187"/>
        <v/>
      </c>
    </row>
    <row r="6631" spans="18:18" x14ac:dyDescent="0.2">
      <c r="R6631" s="189" t="str">
        <f t="shared" si="187"/>
        <v/>
      </c>
    </row>
    <row r="6632" spans="18:18" x14ac:dyDescent="0.2">
      <c r="R6632" s="189" t="str">
        <f t="shared" si="187"/>
        <v/>
      </c>
    </row>
    <row r="6633" spans="18:18" x14ac:dyDescent="0.2">
      <c r="R6633" s="189" t="str">
        <f t="shared" si="187"/>
        <v/>
      </c>
    </row>
    <row r="6634" spans="18:18" x14ac:dyDescent="0.2">
      <c r="R6634" s="189" t="str">
        <f t="shared" si="187"/>
        <v/>
      </c>
    </row>
    <row r="6635" spans="18:18" x14ac:dyDescent="0.2">
      <c r="R6635" s="189" t="str">
        <f t="shared" si="187"/>
        <v/>
      </c>
    </row>
    <row r="6636" spans="18:18" x14ac:dyDescent="0.2">
      <c r="R6636" s="189" t="str">
        <f t="shared" si="187"/>
        <v/>
      </c>
    </row>
    <row r="6637" spans="18:18" x14ac:dyDescent="0.2">
      <c r="R6637" s="189" t="str">
        <f t="shared" si="187"/>
        <v/>
      </c>
    </row>
    <row r="6638" spans="18:18" x14ac:dyDescent="0.2">
      <c r="R6638" s="189" t="str">
        <f t="shared" si="187"/>
        <v/>
      </c>
    </row>
    <row r="6639" spans="18:18" x14ac:dyDescent="0.2">
      <c r="R6639" s="189" t="str">
        <f t="shared" si="187"/>
        <v/>
      </c>
    </row>
    <row r="6640" spans="18:18" x14ac:dyDescent="0.2">
      <c r="R6640" s="189" t="str">
        <f t="shared" si="187"/>
        <v/>
      </c>
    </row>
    <row r="6641" spans="18:18" x14ac:dyDescent="0.2">
      <c r="R6641" s="189" t="str">
        <f t="shared" si="187"/>
        <v/>
      </c>
    </row>
    <row r="6642" spans="18:18" x14ac:dyDescent="0.2">
      <c r="R6642" s="189" t="str">
        <f t="shared" si="187"/>
        <v/>
      </c>
    </row>
    <row r="6643" spans="18:18" x14ac:dyDescent="0.2">
      <c r="R6643" s="189" t="str">
        <f t="shared" si="187"/>
        <v/>
      </c>
    </row>
    <row r="6644" spans="18:18" x14ac:dyDescent="0.2">
      <c r="R6644" s="189" t="str">
        <f t="shared" si="187"/>
        <v/>
      </c>
    </row>
    <row r="6645" spans="18:18" x14ac:dyDescent="0.2">
      <c r="R6645" s="189" t="str">
        <f t="shared" si="187"/>
        <v/>
      </c>
    </row>
    <row r="6646" spans="18:18" x14ac:dyDescent="0.2">
      <c r="R6646" s="189" t="str">
        <f t="shared" si="187"/>
        <v/>
      </c>
    </row>
    <row r="6647" spans="18:18" x14ac:dyDescent="0.2">
      <c r="R6647" s="189" t="str">
        <f t="shared" si="187"/>
        <v/>
      </c>
    </row>
    <row r="6648" spans="18:18" x14ac:dyDescent="0.2">
      <c r="R6648" s="189" t="str">
        <f t="shared" si="187"/>
        <v/>
      </c>
    </row>
    <row r="6649" spans="18:18" x14ac:dyDescent="0.2">
      <c r="R6649" s="189" t="str">
        <f t="shared" si="187"/>
        <v/>
      </c>
    </row>
    <row r="6650" spans="18:18" x14ac:dyDescent="0.2">
      <c r="R6650" s="189" t="str">
        <f t="shared" si="187"/>
        <v/>
      </c>
    </row>
    <row r="6651" spans="18:18" x14ac:dyDescent="0.2">
      <c r="R6651" s="189" t="str">
        <f t="shared" si="187"/>
        <v/>
      </c>
    </row>
    <row r="6652" spans="18:18" x14ac:dyDescent="0.2">
      <c r="R6652" s="189" t="str">
        <f t="shared" si="187"/>
        <v/>
      </c>
    </row>
    <row r="6653" spans="18:18" x14ac:dyDescent="0.2">
      <c r="R6653" s="189" t="str">
        <f t="shared" si="187"/>
        <v/>
      </c>
    </row>
    <row r="6654" spans="18:18" x14ac:dyDescent="0.2">
      <c r="R6654" s="189" t="str">
        <f t="shared" si="187"/>
        <v/>
      </c>
    </row>
    <row r="6655" spans="18:18" x14ac:dyDescent="0.2">
      <c r="R6655" s="189" t="str">
        <f t="shared" si="187"/>
        <v/>
      </c>
    </row>
    <row r="6656" spans="18:18" x14ac:dyDescent="0.2">
      <c r="R6656" s="189" t="str">
        <f t="shared" si="187"/>
        <v/>
      </c>
    </row>
    <row r="6657" spans="18:18" x14ac:dyDescent="0.2">
      <c r="R6657" s="189" t="str">
        <f t="shared" si="187"/>
        <v/>
      </c>
    </row>
    <row r="6658" spans="18:18" x14ac:dyDescent="0.2">
      <c r="R6658" s="189" t="str">
        <f t="shared" si="187"/>
        <v/>
      </c>
    </row>
    <row r="6659" spans="18:18" x14ac:dyDescent="0.2">
      <c r="R6659" s="189" t="str">
        <f t="shared" si="187"/>
        <v/>
      </c>
    </row>
    <row r="6660" spans="18:18" x14ac:dyDescent="0.2">
      <c r="R6660" s="189" t="str">
        <f t="shared" si="187"/>
        <v/>
      </c>
    </row>
    <row r="6661" spans="18:18" x14ac:dyDescent="0.2">
      <c r="R6661" s="189" t="str">
        <f t="shared" si="187"/>
        <v/>
      </c>
    </row>
    <row r="6662" spans="18:18" x14ac:dyDescent="0.2">
      <c r="R6662" s="189" t="str">
        <f t="shared" si="187"/>
        <v/>
      </c>
    </row>
    <row r="6663" spans="18:18" x14ac:dyDescent="0.2">
      <c r="R6663" s="189" t="str">
        <f t="shared" si="187"/>
        <v/>
      </c>
    </row>
    <row r="6664" spans="18:18" x14ac:dyDescent="0.2">
      <c r="R6664" s="189" t="str">
        <f t="shared" si="187"/>
        <v/>
      </c>
    </row>
    <row r="6665" spans="18:18" x14ac:dyDescent="0.2">
      <c r="R6665" s="189" t="str">
        <f t="shared" si="187"/>
        <v/>
      </c>
    </row>
    <row r="6666" spans="18:18" x14ac:dyDescent="0.2">
      <c r="R6666" s="189" t="str">
        <f t="shared" si="187"/>
        <v/>
      </c>
    </row>
    <row r="6667" spans="18:18" x14ac:dyDescent="0.2">
      <c r="R6667" s="189" t="str">
        <f t="shared" si="187"/>
        <v/>
      </c>
    </row>
    <row r="6668" spans="18:18" x14ac:dyDescent="0.2">
      <c r="R6668" s="189" t="str">
        <f t="shared" si="187"/>
        <v/>
      </c>
    </row>
    <row r="6669" spans="18:18" x14ac:dyDescent="0.2">
      <c r="R6669" s="189" t="str">
        <f t="shared" si="187"/>
        <v/>
      </c>
    </row>
    <row r="6670" spans="18:18" x14ac:dyDescent="0.2">
      <c r="R6670" s="189" t="str">
        <f t="shared" si="187"/>
        <v/>
      </c>
    </row>
    <row r="6671" spans="18:18" x14ac:dyDescent="0.2">
      <c r="R6671" s="189" t="str">
        <f t="shared" si="187"/>
        <v/>
      </c>
    </row>
    <row r="6672" spans="18:18" x14ac:dyDescent="0.2">
      <c r="R6672" s="189" t="str">
        <f t="shared" si="187"/>
        <v/>
      </c>
    </row>
    <row r="6673" spans="18:18" x14ac:dyDescent="0.2">
      <c r="R6673" s="189" t="str">
        <f t="shared" si="187"/>
        <v/>
      </c>
    </row>
    <row r="6674" spans="18:18" x14ac:dyDescent="0.2">
      <c r="R6674" s="189" t="str">
        <f t="shared" si="187"/>
        <v/>
      </c>
    </row>
    <row r="6675" spans="18:18" x14ac:dyDescent="0.2">
      <c r="R6675" s="189" t="str">
        <f t="shared" si="187"/>
        <v/>
      </c>
    </row>
    <row r="6676" spans="18:18" x14ac:dyDescent="0.2">
      <c r="R6676" s="189" t="str">
        <f t="shared" si="187"/>
        <v/>
      </c>
    </row>
    <row r="6677" spans="18:18" x14ac:dyDescent="0.2">
      <c r="R6677" s="189" t="str">
        <f t="shared" si="187"/>
        <v/>
      </c>
    </row>
    <row r="6678" spans="18:18" x14ac:dyDescent="0.2">
      <c r="R6678" s="189" t="str">
        <f t="shared" ref="R6678:R6741" si="188">IF(OR(P6678="",Q6678=""),"",IFERROR(P6678-Q6678,""))</f>
        <v/>
      </c>
    </row>
    <row r="6679" spans="18:18" x14ac:dyDescent="0.2">
      <c r="R6679" s="189" t="str">
        <f t="shared" si="188"/>
        <v/>
      </c>
    </row>
    <row r="6680" spans="18:18" x14ac:dyDescent="0.2">
      <c r="R6680" s="189" t="str">
        <f t="shared" si="188"/>
        <v/>
      </c>
    </row>
    <row r="6681" spans="18:18" x14ac:dyDescent="0.2">
      <c r="R6681" s="189" t="str">
        <f t="shared" si="188"/>
        <v/>
      </c>
    </row>
    <row r="6682" spans="18:18" x14ac:dyDescent="0.2">
      <c r="R6682" s="189" t="str">
        <f t="shared" si="188"/>
        <v/>
      </c>
    </row>
    <row r="6683" spans="18:18" x14ac:dyDescent="0.2">
      <c r="R6683" s="189" t="str">
        <f t="shared" si="188"/>
        <v/>
      </c>
    </row>
    <row r="6684" spans="18:18" x14ac:dyDescent="0.2">
      <c r="R6684" s="189" t="str">
        <f t="shared" si="188"/>
        <v/>
      </c>
    </row>
    <row r="6685" spans="18:18" x14ac:dyDescent="0.2">
      <c r="R6685" s="189" t="str">
        <f t="shared" si="188"/>
        <v/>
      </c>
    </row>
    <row r="6686" spans="18:18" x14ac:dyDescent="0.2">
      <c r="R6686" s="189" t="str">
        <f t="shared" si="188"/>
        <v/>
      </c>
    </row>
    <row r="6687" spans="18:18" x14ac:dyDescent="0.2">
      <c r="R6687" s="189" t="str">
        <f t="shared" si="188"/>
        <v/>
      </c>
    </row>
    <row r="6688" spans="18:18" x14ac:dyDescent="0.2">
      <c r="R6688" s="189" t="str">
        <f t="shared" si="188"/>
        <v/>
      </c>
    </row>
    <row r="6689" spans="18:18" x14ac:dyDescent="0.2">
      <c r="R6689" s="189" t="str">
        <f t="shared" si="188"/>
        <v/>
      </c>
    </row>
    <row r="6690" spans="18:18" x14ac:dyDescent="0.2">
      <c r="R6690" s="189" t="str">
        <f t="shared" si="188"/>
        <v/>
      </c>
    </row>
    <row r="6691" spans="18:18" x14ac:dyDescent="0.2">
      <c r="R6691" s="189" t="str">
        <f t="shared" si="188"/>
        <v/>
      </c>
    </row>
    <row r="6692" spans="18:18" x14ac:dyDescent="0.2">
      <c r="R6692" s="189" t="str">
        <f t="shared" si="188"/>
        <v/>
      </c>
    </row>
    <row r="6693" spans="18:18" x14ac:dyDescent="0.2">
      <c r="R6693" s="189" t="str">
        <f t="shared" si="188"/>
        <v/>
      </c>
    </row>
    <row r="6694" spans="18:18" x14ac:dyDescent="0.2">
      <c r="R6694" s="189" t="str">
        <f t="shared" si="188"/>
        <v/>
      </c>
    </row>
    <row r="6695" spans="18:18" x14ac:dyDescent="0.2">
      <c r="R6695" s="189" t="str">
        <f t="shared" si="188"/>
        <v/>
      </c>
    </row>
    <row r="6696" spans="18:18" x14ac:dyDescent="0.2">
      <c r="R6696" s="189" t="str">
        <f t="shared" si="188"/>
        <v/>
      </c>
    </row>
    <row r="6697" spans="18:18" x14ac:dyDescent="0.2">
      <c r="R6697" s="189" t="str">
        <f t="shared" si="188"/>
        <v/>
      </c>
    </row>
    <row r="6698" spans="18:18" x14ac:dyDescent="0.2">
      <c r="R6698" s="189" t="str">
        <f t="shared" si="188"/>
        <v/>
      </c>
    </row>
    <row r="6699" spans="18:18" x14ac:dyDescent="0.2">
      <c r="R6699" s="189" t="str">
        <f t="shared" si="188"/>
        <v/>
      </c>
    </row>
    <row r="6700" spans="18:18" x14ac:dyDescent="0.2">
      <c r="R6700" s="189" t="str">
        <f t="shared" si="188"/>
        <v/>
      </c>
    </row>
    <row r="6701" spans="18:18" x14ac:dyDescent="0.2">
      <c r="R6701" s="189" t="str">
        <f t="shared" si="188"/>
        <v/>
      </c>
    </row>
    <row r="6702" spans="18:18" x14ac:dyDescent="0.2">
      <c r="R6702" s="189" t="str">
        <f t="shared" si="188"/>
        <v/>
      </c>
    </row>
    <row r="6703" spans="18:18" x14ac:dyDescent="0.2">
      <c r="R6703" s="189" t="str">
        <f t="shared" si="188"/>
        <v/>
      </c>
    </row>
    <row r="6704" spans="18:18" x14ac:dyDescent="0.2">
      <c r="R6704" s="189" t="str">
        <f t="shared" si="188"/>
        <v/>
      </c>
    </row>
    <row r="6705" spans="18:18" x14ac:dyDescent="0.2">
      <c r="R6705" s="189" t="str">
        <f t="shared" si="188"/>
        <v/>
      </c>
    </row>
    <row r="6706" spans="18:18" x14ac:dyDescent="0.2">
      <c r="R6706" s="189" t="str">
        <f t="shared" si="188"/>
        <v/>
      </c>
    </row>
    <row r="6707" spans="18:18" x14ac:dyDescent="0.2">
      <c r="R6707" s="189" t="str">
        <f t="shared" si="188"/>
        <v/>
      </c>
    </row>
    <row r="6708" spans="18:18" x14ac:dyDescent="0.2">
      <c r="R6708" s="189" t="str">
        <f t="shared" si="188"/>
        <v/>
      </c>
    </row>
    <row r="6709" spans="18:18" x14ac:dyDescent="0.2">
      <c r="R6709" s="189" t="str">
        <f t="shared" si="188"/>
        <v/>
      </c>
    </row>
    <row r="6710" spans="18:18" x14ac:dyDescent="0.2">
      <c r="R6710" s="189" t="str">
        <f t="shared" si="188"/>
        <v/>
      </c>
    </row>
    <row r="6711" spans="18:18" x14ac:dyDescent="0.2">
      <c r="R6711" s="189" t="str">
        <f t="shared" si="188"/>
        <v/>
      </c>
    </row>
    <row r="6712" spans="18:18" x14ac:dyDescent="0.2">
      <c r="R6712" s="189" t="str">
        <f t="shared" si="188"/>
        <v/>
      </c>
    </row>
    <row r="6713" spans="18:18" x14ac:dyDescent="0.2">
      <c r="R6713" s="189" t="str">
        <f t="shared" si="188"/>
        <v/>
      </c>
    </row>
    <row r="6714" spans="18:18" x14ac:dyDescent="0.2">
      <c r="R6714" s="189" t="str">
        <f t="shared" si="188"/>
        <v/>
      </c>
    </row>
    <row r="6715" spans="18:18" x14ac:dyDescent="0.2">
      <c r="R6715" s="189" t="str">
        <f t="shared" si="188"/>
        <v/>
      </c>
    </row>
    <row r="6716" spans="18:18" x14ac:dyDescent="0.2">
      <c r="R6716" s="189" t="str">
        <f t="shared" si="188"/>
        <v/>
      </c>
    </row>
    <row r="6717" spans="18:18" x14ac:dyDescent="0.2">
      <c r="R6717" s="189" t="str">
        <f t="shared" si="188"/>
        <v/>
      </c>
    </row>
    <row r="6718" spans="18:18" x14ac:dyDescent="0.2">
      <c r="R6718" s="189" t="str">
        <f t="shared" si="188"/>
        <v/>
      </c>
    </row>
    <row r="6719" spans="18:18" x14ac:dyDescent="0.2">
      <c r="R6719" s="189" t="str">
        <f t="shared" si="188"/>
        <v/>
      </c>
    </row>
    <row r="6720" spans="18:18" x14ac:dyDescent="0.2">
      <c r="R6720" s="189" t="str">
        <f t="shared" si="188"/>
        <v/>
      </c>
    </row>
    <row r="6721" spans="18:18" x14ac:dyDescent="0.2">
      <c r="R6721" s="189" t="str">
        <f t="shared" si="188"/>
        <v/>
      </c>
    </row>
    <row r="6722" spans="18:18" x14ac:dyDescent="0.2">
      <c r="R6722" s="189" t="str">
        <f t="shared" si="188"/>
        <v/>
      </c>
    </row>
    <row r="6723" spans="18:18" x14ac:dyDescent="0.2">
      <c r="R6723" s="189" t="str">
        <f t="shared" si="188"/>
        <v/>
      </c>
    </row>
    <row r="6724" spans="18:18" x14ac:dyDescent="0.2">
      <c r="R6724" s="189" t="str">
        <f t="shared" si="188"/>
        <v/>
      </c>
    </row>
    <row r="6725" spans="18:18" x14ac:dyDescent="0.2">
      <c r="R6725" s="189" t="str">
        <f t="shared" si="188"/>
        <v/>
      </c>
    </row>
    <row r="6726" spans="18:18" x14ac:dyDescent="0.2">
      <c r="R6726" s="189" t="str">
        <f t="shared" si="188"/>
        <v/>
      </c>
    </row>
    <row r="6727" spans="18:18" x14ac:dyDescent="0.2">
      <c r="R6727" s="189" t="str">
        <f t="shared" si="188"/>
        <v/>
      </c>
    </row>
    <row r="6728" spans="18:18" x14ac:dyDescent="0.2">
      <c r="R6728" s="189" t="str">
        <f t="shared" si="188"/>
        <v/>
      </c>
    </row>
    <row r="6729" spans="18:18" x14ac:dyDescent="0.2">
      <c r="R6729" s="189" t="str">
        <f t="shared" si="188"/>
        <v/>
      </c>
    </row>
    <row r="6730" spans="18:18" x14ac:dyDescent="0.2">
      <c r="R6730" s="189" t="str">
        <f t="shared" si="188"/>
        <v/>
      </c>
    </row>
    <row r="6731" spans="18:18" x14ac:dyDescent="0.2">
      <c r="R6731" s="189" t="str">
        <f t="shared" si="188"/>
        <v/>
      </c>
    </row>
    <row r="6732" spans="18:18" x14ac:dyDescent="0.2">
      <c r="R6732" s="189" t="str">
        <f t="shared" si="188"/>
        <v/>
      </c>
    </row>
    <row r="6733" spans="18:18" x14ac:dyDescent="0.2">
      <c r="R6733" s="189" t="str">
        <f t="shared" si="188"/>
        <v/>
      </c>
    </row>
    <row r="6734" spans="18:18" x14ac:dyDescent="0.2">
      <c r="R6734" s="189" t="str">
        <f t="shared" si="188"/>
        <v/>
      </c>
    </row>
    <row r="6735" spans="18:18" x14ac:dyDescent="0.2">
      <c r="R6735" s="189" t="str">
        <f t="shared" si="188"/>
        <v/>
      </c>
    </row>
    <row r="6736" spans="18:18" x14ac:dyDescent="0.2">
      <c r="R6736" s="189" t="str">
        <f t="shared" si="188"/>
        <v/>
      </c>
    </row>
    <row r="6737" spans="18:18" x14ac:dyDescent="0.2">
      <c r="R6737" s="189" t="str">
        <f t="shared" si="188"/>
        <v/>
      </c>
    </row>
    <row r="6738" spans="18:18" x14ac:dyDescent="0.2">
      <c r="R6738" s="189" t="str">
        <f t="shared" si="188"/>
        <v/>
      </c>
    </row>
    <row r="6739" spans="18:18" x14ac:dyDescent="0.2">
      <c r="R6739" s="189" t="str">
        <f t="shared" si="188"/>
        <v/>
      </c>
    </row>
    <row r="6740" spans="18:18" x14ac:dyDescent="0.2">
      <c r="R6740" s="189" t="str">
        <f t="shared" si="188"/>
        <v/>
      </c>
    </row>
    <row r="6741" spans="18:18" x14ac:dyDescent="0.2">
      <c r="R6741" s="189" t="str">
        <f t="shared" si="188"/>
        <v/>
      </c>
    </row>
    <row r="6742" spans="18:18" x14ac:dyDescent="0.2">
      <c r="R6742" s="189" t="str">
        <f t="shared" ref="R6742:R6805" si="189">IF(OR(P6742="",Q6742=""),"",IFERROR(P6742-Q6742,""))</f>
        <v/>
      </c>
    </row>
    <row r="6743" spans="18:18" x14ac:dyDescent="0.2">
      <c r="R6743" s="189" t="str">
        <f t="shared" si="189"/>
        <v/>
      </c>
    </row>
    <row r="6744" spans="18:18" x14ac:dyDescent="0.2">
      <c r="R6744" s="189" t="str">
        <f t="shared" si="189"/>
        <v/>
      </c>
    </row>
    <row r="6745" spans="18:18" x14ac:dyDescent="0.2">
      <c r="R6745" s="189" t="str">
        <f t="shared" si="189"/>
        <v/>
      </c>
    </row>
    <row r="6746" spans="18:18" x14ac:dyDescent="0.2">
      <c r="R6746" s="189" t="str">
        <f t="shared" si="189"/>
        <v/>
      </c>
    </row>
    <row r="6747" spans="18:18" x14ac:dyDescent="0.2">
      <c r="R6747" s="189" t="str">
        <f t="shared" si="189"/>
        <v/>
      </c>
    </row>
    <row r="6748" spans="18:18" x14ac:dyDescent="0.2">
      <c r="R6748" s="189" t="str">
        <f t="shared" si="189"/>
        <v/>
      </c>
    </row>
    <row r="6749" spans="18:18" x14ac:dyDescent="0.2">
      <c r="R6749" s="189" t="str">
        <f t="shared" si="189"/>
        <v/>
      </c>
    </row>
    <row r="6750" spans="18:18" x14ac:dyDescent="0.2">
      <c r="R6750" s="189" t="str">
        <f t="shared" si="189"/>
        <v/>
      </c>
    </row>
    <row r="6751" spans="18:18" x14ac:dyDescent="0.2">
      <c r="R6751" s="189" t="str">
        <f t="shared" si="189"/>
        <v/>
      </c>
    </row>
    <row r="6752" spans="18:18" x14ac:dyDescent="0.2">
      <c r="R6752" s="189" t="str">
        <f t="shared" si="189"/>
        <v/>
      </c>
    </row>
    <row r="6753" spans="18:18" x14ac:dyDescent="0.2">
      <c r="R6753" s="189" t="str">
        <f t="shared" si="189"/>
        <v/>
      </c>
    </row>
    <row r="6754" spans="18:18" x14ac:dyDescent="0.2">
      <c r="R6754" s="189" t="str">
        <f t="shared" si="189"/>
        <v/>
      </c>
    </row>
    <row r="6755" spans="18:18" x14ac:dyDescent="0.2">
      <c r="R6755" s="189" t="str">
        <f t="shared" si="189"/>
        <v/>
      </c>
    </row>
    <row r="6756" spans="18:18" x14ac:dyDescent="0.2">
      <c r="R6756" s="189" t="str">
        <f t="shared" si="189"/>
        <v/>
      </c>
    </row>
    <row r="6757" spans="18:18" x14ac:dyDescent="0.2">
      <c r="R6757" s="189" t="str">
        <f t="shared" si="189"/>
        <v/>
      </c>
    </row>
    <row r="6758" spans="18:18" x14ac:dyDescent="0.2">
      <c r="R6758" s="189" t="str">
        <f t="shared" si="189"/>
        <v/>
      </c>
    </row>
    <row r="6759" spans="18:18" x14ac:dyDescent="0.2">
      <c r="R6759" s="189" t="str">
        <f t="shared" si="189"/>
        <v/>
      </c>
    </row>
    <row r="6760" spans="18:18" x14ac:dyDescent="0.2">
      <c r="R6760" s="189" t="str">
        <f t="shared" si="189"/>
        <v/>
      </c>
    </row>
    <row r="6761" spans="18:18" x14ac:dyDescent="0.2">
      <c r="R6761" s="189" t="str">
        <f t="shared" si="189"/>
        <v/>
      </c>
    </row>
    <row r="6762" spans="18:18" x14ac:dyDescent="0.2">
      <c r="R6762" s="189" t="str">
        <f t="shared" si="189"/>
        <v/>
      </c>
    </row>
    <row r="6763" spans="18:18" x14ac:dyDescent="0.2">
      <c r="R6763" s="189" t="str">
        <f t="shared" si="189"/>
        <v/>
      </c>
    </row>
    <row r="6764" spans="18:18" x14ac:dyDescent="0.2">
      <c r="R6764" s="189" t="str">
        <f t="shared" si="189"/>
        <v/>
      </c>
    </row>
    <row r="6765" spans="18:18" x14ac:dyDescent="0.2">
      <c r="R6765" s="189" t="str">
        <f t="shared" si="189"/>
        <v/>
      </c>
    </row>
    <row r="6766" spans="18:18" x14ac:dyDescent="0.2">
      <c r="R6766" s="189" t="str">
        <f t="shared" si="189"/>
        <v/>
      </c>
    </row>
    <row r="6767" spans="18:18" x14ac:dyDescent="0.2">
      <c r="R6767" s="189" t="str">
        <f t="shared" si="189"/>
        <v/>
      </c>
    </row>
    <row r="6768" spans="18:18" x14ac:dyDescent="0.2">
      <c r="R6768" s="189" t="str">
        <f t="shared" si="189"/>
        <v/>
      </c>
    </row>
    <row r="6769" spans="18:18" x14ac:dyDescent="0.2">
      <c r="R6769" s="189" t="str">
        <f t="shared" si="189"/>
        <v/>
      </c>
    </row>
    <row r="6770" spans="18:18" x14ac:dyDescent="0.2">
      <c r="R6770" s="189" t="str">
        <f t="shared" si="189"/>
        <v/>
      </c>
    </row>
    <row r="6771" spans="18:18" x14ac:dyDescent="0.2">
      <c r="R6771" s="189" t="str">
        <f t="shared" si="189"/>
        <v/>
      </c>
    </row>
    <row r="6772" spans="18:18" x14ac:dyDescent="0.2">
      <c r="R6772" s="189" t="str">
        <f t="shared" si="189"/>
        <v/>
      </c>
    </row>
    <row r="6773" spans="18:18" x14ac:dyDescent="0.2">
      <c r="R6773" s="189" t="str">
        <f t="shared" si="189"/>
        <v/>
      </c>
    </row>
    <row r="6774" spans="18:18" x14ac:dyDescent="0.2">
      <c r="R6774" s="189" t="str">
        <f t="shared" si="189"/>
        <v/>
      </c>
    </row>
    <row r="6775" spans="18:18" x14ac:dyDescent="0.2">
      <c r="R6775" s="189" t="str">
        <f t="shared" si="189"/>
        <v/>
      </c>
    </row>
    <row r="6776" spans="18:18" x14ac:dyDescent="0.2">
      <c r="R6776" s="189" t="str">
        <f t="shared" si="189"/>
        <v/>
      </c>
    </row>
    <row r="6777" spans="18:18" x14ac:dyDescent="0.2">
      <c r="R6777" s="189" t="str">
        <f t="shared" si="189"/>
        <v/>
      </c>
    </row>
    <row r="6778" spans="18:18" x14ac:dyDescent="0.2">
      <c r="R6778" s="189" t="str">
        <f t="shared" si="189"/>
        <v/>
      </c>
    </row>
    <row r="6779" spans="18:18" x14ac:dyDescent="0.2">
      <c r="R6779" s="189" t="str">
        <f t="shared" si="189"/>
        <v/>
      </c>
    </row>
    <row r="6780" spans="18:18" x14ac:dyDescent="0.2">
      <c r="R6780" s="189" t="str">
        <f t="shared" si="189"/>
        <v/>
      </c>
    </row>
    <row r="6781" spans="18:18" x14ac:dyDescent="0.2">
      <c r="R6781" s="189" t="str">
        <f t="shared" si="189"/>
        <v/>
      </c>
    </row>
    <row r="6782" spans="18:18" x14ac:dyDescent="0.2">
      <c r="R6782" s="189" t="str">
        <f t="shared" si="189"/>
        <v/>
      </c>
    </row>
    <row r="6783" spans="18:18" x14ac:dyDescent="0.2">
      <c r="R6783" s="189" t="str">
        <f t="shared" si="189"/>
        <v/>
      </c>
    </row>
    <row r="6784" spans="18:18" x14ac:dyDescent="0.2">
      <c r="R6784" s="189" t="str">
        <f t="shared" si="189"/>
        <v/>
      </c>
    </row>
    <row r="6785" spans="18:18" x14ac:dyDescent="0.2">
      <c r="R6785" s="189" t="str">
        <f t="shared" si="189"/>
        <v/>
      </c>
    </row>
    <row r="6786" spans="18:18" x14ac:dyDescent="0.2">
      <c r="R6786" s="189" t="str">
        <f t="shared" si="189"/>
        <v/>
      </c>
    </row>
    <row r="6787" spans="18:18" x14ac:dyDescent="0.2">
      <c r="R6787" s="189" t="str">
        <f t="shared" si="189"/>
        <v/>
      </c>
    </row>
    <row r="6788" spans="18:18" x14ac:dyDescent="0.2">
      <c r="R6788" s="189" t="str">
        <f t="shared" si="189"/>
        <v/>
      </c>
    </row>
    <row r="6789" spans="18:18" x14ac:dyDescent="0.2">
      <c r="R6789" s="189" t="str">
        <f t="shared" si="189"/>
        <v/>
      </c>
    </row>
    <row r="6790" spans="18:18" x14ac:dyDescent="0.2">
      <c r="R6790" s="189" t="str">
        <f t="shared" si="189"/>
        <v/>
      </c>
    </row>
    <row r="6791" spans="18:18" x14ac:dyDescent="0.2">
      <c r="R6791" s="189" t="str">
        <f t="shared" si="189"/>
        <v/>
      </c>
    </row>
    <row r="6792" spans="18:18" x14ac:dyDescent="0.2">
      <c r="R6792" s="189" t="str">
        <f t="shared" si="189"/>
        <v/>
      </c>
    </row>
    <row r="6793" spans="18:18" x14ac:dyDescent="0.2">
      <c r="R6793" s="189" t="str">
        <f t="shared" si="189"/>
        <v/>
      </c>
    </row>
    <row r="6794" spans="18:18" x14ac:dyDescent="0.2">
      <c r="R6794" s="189" t="str">
        <f t="shared" si="189"/>
        <v/>
      </c>
    </row>
    <row r="6795" spans="18:18" x14ac:dyDescent="0.2">
      <c r="R6795" s="189" t="str">
        <f t="shared" si="189"/>
        <v/>
      </c>
    </row>
    <row r="6796" spans="18:18" x14ac:dyDescent="0.2">
      <c r="R6796" s="189" t="str">
        <f t="shared" si="189"/>
        <v/>
      </c>
    </row>
    <row r="6797" spans="18:18" x14ac:dyDescent="0.2">
      <c r="R6797" s="189" t="str">
        <f t="shared" si="189"/>
        <v/>
      </c>
    </row>
    <row r="6798" spans="18:18" x14ac:dyDescent="0.2">
      <c r="R6798" s="189" t="str">
        <f t="shared" si="189"/>
        <v/>
      </c>
    </row>
    <row r="6799" spans="18:18" x14ac:dyDescent="0.2">
      <c r="R6799" s="189" t="str">
        <f t="shared" si="189"/>
        <v/>
      </c>
    </row>
    <row r="6800" spans="18:18" x14ac:dyDescent="0.2">
      <c r="R6800" s="189" t="str">
        <f t="shared" si="189"/>
        <v/>
      </c>
    </row>
    <row r="6801" spans="18:18" x14ac:dyDescent="0.2">
      <c r="R6801" s="189" t="str">
        <f t="shared" si="189"/>
        <v/>
      </c>
    </row>
    <row r="6802" spans="18:18" x14ac:dyDescent="0.2">
      <c r="R6802" s="189" t="str">
        <f t="shared" si="189"/>
        <v/>
      </c>
    </row>
    <row r="6803" spans="18:18" x14ac:dyDescent="0.2">
      <c r="R6803" s="189" t="str">
        <f t="shared" si="189"/>
        <v/>
      </c>
    </row>
    <row r="6804" spans="18:18" x14ac:dyDescent="0.2">
      <c r="R6804" s="189" t="str">
        <f t="shared" si="189"/>
        <v/>
      </c>
    </row>
    <row r="6805" spans="18:18" x14ac:dyDescent="0.2">
      <c r="R6805" s="189" t="str">
        <f t="shared" si="189"/>
        <v/>
      </c>
    </row>
    <row r="6806" spans="18:18" x14ac:dyDescent="0.2">
      <c r="R6806" s="189" t="str">
        <f t="shared" ref="R6806:R6869" si="190">IF(OR(P6806="",Q6806=""),"",IFERROR(P6806-Q6806,""))</f>
        <v/>
      </c>
    </row>
    <row r="6807" spans="18:18" x14ac:dyDescent="0.2">
      <c r="R6807" s="189" t="str">
        <f t="shared" si="190"/>
        <v/>
      </c>
    </row>
    <row r="6808" spans="18:18" x14ac:dyDescent="0.2">
      <c r="R6808" s="189" t="str">
        <f t="shared" si="190"/>
        <v/>
      </c>
    </row>
    <row r="6809" spans="18:18" x14ac:dyDescent="0.2">
      <c r="R6809" s="189" t="str">
        <f t="shared" si="190"/>
        <v/>
      </c>
    </row>
    <row r="6810" spans="18:18" x14ac:dyDescent="0.2">
      <c r="R6810" s="189" t="str">
        <f t="shared" si="190"/>
        <v/>
      </c>
    </row>
    <row r="6811" spans="18:18" x14ac:dyDescent="0.2">
      <c r="R6811" s="189" t="str">
        <f t="shared" si="190"/>
        <v/>
      </c>
    </row>
    <row r="6812" spans="18:18" x14ac:dyDescent="0.2">
      <c r="R6812" s="189" t="str">
        <f t="shared" si="190"/>
        <v/>
      </c>
    </row>
    <row r="6813" spans="18:18" x14ac:dyDescent="0.2">
      <c r="R6813" s="189" t="str">
        <f t="shared" si="190"/>
        <v/>
      </c>
    </row>
    <row r="6814" spans="18:18" x14ac:dyDescent="0.2">
      <c r="R6814" s="189" t="str">
        <f t="shared" si="190"/>
        <v/>
      </c>
    </row>
    <row r="6815" spans="18:18" x14ac:dyDescent="0.2">
      <c r="R6815" s="189" t="str">
        <f t="shared" si="190"/>
        <v/>
      </c>
    </row>
    <row r="6816" spans="18:18" x14ac:dyDescent="0.2">
      <c r="R6816" s="189" t="str">
        <f t="shared" si="190"/>
        <v/>
      </c>
    </row>
    <row r="6817" spans="18:18" x14ac:dyDescent="0.2">
      <c r="R6817" s="189" t="str">
        <f t="shared" si="190"/>
        <v/>
      </c>
    </row>
    <row r="6818" spans="18:18" x14ac:dyDescent="0.2">
      <c r="R6818" s="189" t="str">
        <f t="shared" si="190"/>
        <v/>
      </c>
    </row>
    <row r="6819" spans="18:18" x14ac:dyDescent="0.2">
      <c r="R6819" s="189" t="str">
        <f t="shared" si="190"/>
        <v/>
      </c>
    </row>
    <row r="6820" spans="18:18" x14ac:dyDescent="0.2">
      <c r="R6820" s="189" t="str">
        <f t="shared" si="190"/>
        <v/>
      </c>
    </row>
    <row r="6821" spans="18:18" x14ac:dyDescent="0.2">
      <c r="R6821" s="189" t="str">
        <f t="shared" si="190"/>
        <v/>
      </c>
    </row>
    <row r="6822" spans="18:18" x14ac:dyDescent="0.2">
      <c r="R6822" s="189" t="str">
        <f t="shared" si="190"/>
        <v/>
      </c>
    </row>
    <row r="6823" spans="18:18" x14ac:dyDescent="0.2">
      <c r="R6823" s="189" t="str">
        <f t="shared" si="190"/>
        <v/>
      </c>
    </row>
    <row r="6824" spans="18:18" x14ac:dyDescent="0.2">
      <c r="R6824" s="189" t="str">
        <f t="shared" si="190"/>
        <v/>
      </c>
    </row>
    <row r="6825" spans="18:18" x14ac:dyDescent="0.2">
      <c r="R6825" s="189" t="str">
        <f t="shared" si="190"/>
        <v/>
      </c>
    </row>
    <row r="6826" spans="18:18" x14ac:dyDescent="0.2">
      <c r="R6826" s="189" t="str">
        <f t="shared" si="190"/>
        <v/>
      </c>
    </row>
    <row r="6827" spans="18:18" x14ac:dyDescent="0.2">
      <c r="R6827" s="189" t="str">
        <f t="shared" si="190"/>
        <v/>
      </c>
    </row>
    <row r="6828" spans="18:18" x14ac:dyDescent="0.2">
      <c r="R6828" s="189" t="str">
        <f t="shared" si="190"/>
        <v/>
      </c>
    </row>
    <row r="6829" spans="18:18" x14ac:dyDescent="0.2">
      <c r="R6829" s="189" t="str">
        <f t="shared" si="190"/>
        <v/>
      </c>
    </row>
    <row r="6830" spans="18:18" x14ac:dyDescent="0.2">
      <c r="R6830" s="189" t="str">
        <f t="shared" si="190"/>
        <v/>
      </c>
    </row>
    <row r="6831" spans="18:18" x14ac:dyDescent="0.2">
      <c r="R6831" s="189" t="str">
        <f t="shared" si="190"/>
        <v/>
      </c>
    </row>
    <row r="6832" spans="18:18" x14ac:dyDescent="0.2">
      <c r="R6832" s="189" t="str">
        <f t="shared" si="190"/>
        <v/>
      </c>
    </row>
    <row r="6833" spans="18:18" x14ac:dyDescent="0.2">
      <c r="R6833" s="189" t="str">
        <f t="shared" si="190"/>
        <v/>
      </c>
    </row>
    <row r="6834" spans="18:18" x14ac:dyDescent="0.2">
      <c r="R6834" s="189" t="str">
        <f t="shared" si="190"/>
        <v/>
      </c>
    </row>
    <row r="6835" spans="18:18" x14ac:dyDescent="0.2">
      <c r="R6835" s="189" t="str">
        <f t="shared" si="190"/>
        <v/>
      </c>
    </row>
    <row r="6836" spans="18:18" x14ac:dyDescent="0.2">
      <c r="R6836" s="189" t="str">
        <f t="shared" si="190"/>
        <v/>
      </c>
    </row>
    <row r="6837" spans="18:18" x14ac:dyDescent="0.2">
      <c r="R6837" s="189" t="str">
        <f t="shared" si="190"/>
        <v/>
      </c>
    </row>
    <row r="6838" spans="18:18" x14ac:dyDescent="0.2">
      <c r="R6838" s="189" t="str">
        <f t="shared" si="190"/>
        <v/>
      </c>
    </row>
    <row r="6839" spans="18:18" x14ac:dyDescent="0.2">
      <c r="R6839" s="189" t="str">
        <f t="shared" si="190"/>
        <v/>
      </c>
    </row>
    <row r="6840" spans="18:18" x14ac:dyDescent="0.2">
      <c r="R6840" s="189" t="str">
        <f t="shared" si="190"/>
        <v/>
      </c>
    </row>
    <row r="6841" spans="18:18" x14ac:dyDescent="0.2">
      <c r="R6841" s="189" t="str">
        <f t="shared" si="190"/>
        <v/>
      </c>
    </row>
    <row r="6842" spans="18:18" x14ac:dyDescent="0.2">
      <c r="R6842" s="189" t="str">
        <f t="shared" si="190"/>
        <v/>
      </c>
    </row>
    <row r="6843" spans="18:18" x14ac:dyDescent="0.2">
      <c r="R6843" s="189" t="str">
        <f t="shared" si="190"/>
        <v/>
      </c>
    </row>
    <row r="6844" spans="18:18" x14ac:dyDescent="0.2">
      <c r="R6844" s="189" t="str">
        <f t="shared" si="190"/>
        <v/>
      </c>
    </row>
    <row r="6845" spans="18:18" x14ac:dyDescent="0.2">
      <c r="R6845" s="189" t="str">
        <f t="shared" si="190"/>
        <v/>
      </c>
    </row>
    <row r="6846" spans="18:18" x14ac:dyDescent="0.2">
      <c r="R6846" s="189" t="str">
        <f t="shared" si="190"/>
        <v/>
      </c>
    </row>
    <row r="6847" spans="18:18" x14ac:dyDescent="0.2">
      <c r="R6847" s="189" t="str">
        <f t="shared" si="190"/>
        <v/>
      </c>
    </row>
    <row r="6848" spans="18:18" x14ac:dyDescent="0.2">
      <c r="R6848" s="189" t="str">
        <f t="shared" si="190"/>
        <v/>
      </c>
    </row>
    <row r="6849" spans="18:18" x14ac:dyDescent="0.2">
      <c r="R6849" s="189" t="str">
        <f t="shared" si="190"/>
        <v/>
      </c>
    </row>
    <row r="6850" spans="18:18" x14ac:dyDescent="0.2">
      <c r="R6850" s="189" t="str">
        <f t="shared" si="190"/>
        <v/>
      </c>
    </row>
    <row r="6851" spans="18:18" x14ac:dyDescent="0.2">
      <c r="R6851" s="189" t="str">
        <f t="shared" si="190"/>
        <v/>
      </c>
    </row>
    <row r="6852" spans="18:18" x14ac:dyDescent="0.2">
      <c r="R6852" s="189" t="str">
        <f t="shared" si="190"/>
        <v/>
      </c>
    </row>
    <row r="6853" spans="18:18" x14ac:dyDescent="0.2">
      <c r="R6853" s="189" t="str">
        <f t="shared" si="190"/>
        <v/>
      </c>
    </row>
    <row r="6854" spans="18:18" x14ac:dyDescent="0.2">
      <c r="R6854" s="189" t="str">
        <f t="shared" si="190"/>
        <v/>
      </c>
    </row>
    <row r="6855" spans="18:18" x14ac:dyDescent="0.2">
      <c r="R6855" s="189" t="str">
        <f t="shared" si="190"/>
        <v/>
      </c>
    </row>
    <row r="6856" spans="18:18" x14ac:dyDescent="0.2">
      <c r="R6856" s="189" t="str">
        <f t="shared" si="190"/>
        <v/>
      </c>
    </row>
    <row r="6857" spans="18:18" x14ac:dyDescent="0.2">
      <c r="R6857" s="189" t="str">
        <f t="shared" si="190"/>
        <v/>
      </c>
    </row>
    <row r="6858" spans="18:18" x14ac:dyDescent="0.2">
      <c r="R6858" s="189" t="str">
        <f t="shared" si="190"/>
        <v/>
      </c>
    </row>
    <row r="6859" spans="18:18" x14ac:dyDescent="0.2">
      <c r="R6859" s="189" t="str">
        <f t="shared" si="190"/>
        <v/>
      </c>
    </row>
    <row r="6860" spans="18:18" x14ac:dyDescent="0.2">
      <c r="R6860" s="189" t="str">
        <f t="shared" si="190"/>
        <v/>
      </c>
    </row>
    <row r="6861" spans="18:18" x14ac:dyDescent="0.2">
      <c r="R6861" s="189" t="str">
        <f t="shared" si="190"/>
        <v/>
      </c>
    </row>
    <row r="6862" spans="18:18" x14ac:dyDescent="0.2">
      <c r="R6862" s="189" t="str">
        <f t="shared" si="190"/>
        <v/>
      </c>
    </row>
    <row r="6863" spans="18:18" x14ac:dyDescent="0.2">
      <c r="R6863" s="189" t="str">
        <f t="shared" si="190"/>
        <v/>
      </c>
    </row>
    <row r="6864" spans="18:18" x14ac:dyDescent="0.2">
      <c r="R6864" s="189" t="str">
        <f t="shared" si="190"/>
        <v/>
      </c>
    </row>
    <row r="6865" spans="18:18" x14ac:dyDescent="0.2">
      <c r="R6865" s="189" t="str">
        <f t="shared" si="190"/>
        <v/>
      </c>
    </row>
    <row r="6866" spans="18:18" x14ac:dyDescent="0.2">
      <c r="R6866" s="189" t="str">
        <f t="shared" si="190"/>
        <v/>
      </c>
    </row>
    <row r="6867" spans="18:18" x14ac:dyDescent="0.2">
      <c r="R6867" s="189" t="str">
        <f t="shared" si="190"/>
        <v/>
      </c>
    </row>
    <row r="6868" spans="18:18" x14ac:dyDescent="0.2">
      <c r="R6868" s="189" t="str">
        <f t="shared" si="190"/>
        <v/>
      </c>
    </row>
    <row r="6869" spans="18:18" x14ac:dyDescent="0.2">
      <c r="R6869" s="189" t="str">
        <f t="shared" si="190"/>
        <v/>
      </c>
    </row>
    <row r="6870" spans="18:18" x14ac:dyDescent="0.2">
      <c r="R6870" s="189" t="str">
        <f t="shared" ref="R6870:R6933" si="191">IF(OR(P6870="",Q6870=""),"",IFERROR(P6870-Q6870,""))</f>
        <v/>
      </c>
    </row>
    <row r="6871" spans="18:18" x14ac:dyDescent="0.2">
      <c r="R6871" s="189" t="str">
        <f t="shared" si="191"/>
        <v/>
      </c>
    </row>
    <row r="6872" spans="18:18" x14ac:dyDescent="0.2">
      <c r="R6872" s="189" t="str">
        <f t="shared" si="191"/>
        <v/>
      </c>
    </row>
    <row r="6873" spans="18:18" x14ac:dyDescent="0.2">
      <c r="R6873" s="189" t="str">
        <f t="shared" si="191"/>
        <v/>
      </c>
    </row>
    <row r="6874" spans="18:18" x14ac:dyDescent="0.2">
      <c r="R6874" s="189" t="str">
        <f t="shared" si="191"/>
        <v/>
      </c>
    </row>
    <row r="6875" spans="18:18" x14ac:dyDescent="0.2">
      <c r="R6875" s="189" t="str">
        <f t="shared" si="191"/>
        <v/>
      </c>
    </row>
    <row r="6876" spans="18:18" x14ac:dyDescent="0.2">
      <c r="R6876" s="189" t="str">
        <f t="shared" si="191"/>
        <v/>
      </c>
    </row>
    <row r="6877" spans="18:18" x14ac:dyDescent="0.2">
      <c r="R6877" s="189" t="str">
        <f t="shared" si="191"/>
        <v/>
      </c>
    </row>
    <row r="6878" spans="18:18" x14ac:dyDescent="0.2">
      <c r="R6878" s="189" t="str">
        <f t="shared" si="191"/>
        <v/>
      </c>
    </row>
    <row r="6879" spans="18:18" x14ac:dyDescent="0.2">
      <c r="R6879" s="189" t="str">
        <f t="shared" si="191"/>
        <v/>
      </c>
    </row>
    <row r="6880" spans="18:18" x14ac:dyDescent="0.2">
      <c r="R6880" s="189" t="str">
        <f t="shared" si="191"/>
        <v/>
      </c>
    </row>
    <row r="6881" spans="18:18" x14ac:dyDescent="0.2">
      <c r="R6881" s="189" t="str">
        <f t="shared" si="191"/>
        <v/>
      </c>
    </row>
    <row r="6882" spans="18:18" x14ac:dyDescent="0.2">
      <c r="R6882" s="189" t="str">
        <f t="shared" si="191"/>
        <v/>
      </c>
    </row>
    <row r="6883" spans="18:18" x14ac:dyDescent="0.2">
      <c r="R6883" s="189" t="str">
        <f t="shared" si="191"/>
        <v/>
      </c>
    </row>
    <row r="6884" spans="18:18" x14ac:dyDescent="0.2">
      <c r="R6884" s="189" t="str">
        <f t="shared" si="191"/>
        <v/>
      </c>
    </row>
    <row r="6885" spans="18:18" x14ac:dyDescent="0.2">
      <c r="R6885" s="189" t="str">
        <f t="shared" si="191"/>
        <v/>
      </c>
    </row>
    <row r="6886" spans="18:18" x14ac:dyDescent="0.2">
      <c r="R6886" s="189" t="str">
        <f t="shared" si="191"/>
        <v/>
      </c>
    </row>
    <row r="6887" spans="18:18" x14ac:dyDescent="0.2">
      <c r="R6887" s="189" t="str">
        <f t="shared" si="191"/>
        <v/>
      </c>
    </row>
    <row r="6888" spans="18:18" x14ac:dyDescent="0.2">
      <c r="R6888" s="189" t="str">
        <f t="shared" si="191"/>
        <v/>
      </c>
    </row>
    <row r="6889" spans="18:18" x14ac:dyDescent="0.2">
      <c r="R6889" s="189" t="str">
        <f t="shared" si="191"/>
        <v/>
      </c>
    </row>
    <row r="6890" spans="18:18" x14ac:dyDescent="0.2">
      <c r="R6890" s="189" t="str">
        <f t="shared" si="191"/>
        <v/>
      </c>
    </row>
    <row r="6891" spans="18:18" x14ac:dyDescent="0.2">
      <c r="R6891" s="189" t="str">
        <f t="shared" si="191"/>
        <v/>
      </c>
    </row>
    <row r="6892" spans="18:18" x14ac:dyDescent="0.2">
      <c r="R6892" s="189" t="str">
        <f t="shared" si="191"/>
        <v/>
      </c>
    </row>
    <row r="6893" spans="18:18" x14ac:dyDescent="0.2">
      <c r="R6893" s="189" t="str">
        <f t="shared" si="191"/>
        <v/>
      </c>
    </row>
    <row r="6894" spans="18:18" x14ac:dyDescent="0.2">
      <c r="R6894" s="189" t="str">
        <f t="shared" si="191"/>
        <v/>
      </c>
    </row>
    <row r="6895" spans="18:18" x14ac:dyDescent="0.2">
      <c r="R6895" s="189" t="str">
        <f t="shared" si="191"/>
        <v/>
      </c>
    </row>
    <row r="6896" spans="18:18" x14ac:dyDescent="0.2">
      <c r="R6896" s="189" t="str">
        <f t="shared" si="191"/>
        <v/>
      </c>
    </row>
    <row r="6897" spans="18:18" x14ac:dyDescent="0.2">
      <c r="R6897" s="189" t="str">
        <f t="shared" si="191"/>
        <v/>
      </c>
    </row>
    <row r="6898" spans="18:18" x14ac:dyDescent="0.2">
      <c r="R6898" s="189" t="str">
        <f t="shared" si="191"/>
        <v/>
      </c>
    </row>
    <row r="6899" spans="18:18" x14ac:dyDescent="0.2">
      <c r="R6899" s="189" t="str">
        <f t="shared" si="191"/>
        <v/>
      </c>
    </row>
    <row r="6900" spans="18:18" x14ac:dyDescent="0.2">
      <c r="R6900" s="189" t="str">
        <f t="shared" si="191"/>
        <v/>
      </c>
    </row>
    <row r="6901" spans="18:18" x14ac:dyDescent="0.2">
      <c r="R6901" s="189" t="str">
        <f t="shared" si="191"/>
        <v/>
      </c>
    </row>
    <row r="6902" spans="18:18" x14ac:dyDescent="0.2">
      <c r="R6902" s="189" t="str">
        <f t="shared" si="191"/>
        <v/>
      </c>
    </row>
    <row r="6903" spans="18:18" x14ac:dyDescent="0.2">
      <c r="R6903" s="189" t="str">
        <f t="shared" si="191"/>
        <v/>
      </c>
    </row>
    <row r="6904" spans="18:18" x14ac:dyDescent="0.2">
      <c r="R6904" s="189" t="str">
        <f t="shared" si="191"/>
        <v/>
      </c>
    </row>
    <row r="6905" spans="18:18" x14ac:dyDescent="0.2">
      <c r="R6905" s="189" t="str">
        <f t="shared" si="191"/>
        <v/>
      </c>
    </row>
    <row r="6906" spans="18:18" x14ac:dyDescent="0.2">
      <c r="R6906" s="189" t="str">
        <f t="shared" si="191"/>
        <v/>
      </c>
    </row>
    <row r="6907" spans="18:18" x14ac:dyDescent="0.2">
      <c r="R6907" s="189" t="str">
        <f t="shared" si="191"/>
        <v/>
      </c>
    </row>
    <row r="6908" spans="18:18" x14ac:dyDescent="0.2">
      <c r="R6908" s="189" t="str">
        <f t="shared" si="191"/>
        <v/>
      </c>
    </row>
    <row r="6909" spans="18:18" x14ac:dyDescent="0.2">
      <c r="R6909" s="189" t="str">
        <f t="shared" si="191"/>
        <v/>
      </c>
    </row>
    <row r="6910" spans="18:18" x14ac:dyDescent="0.2">
      <c r="R6910" s="189" t="str">
        <f t="shared" si="191"/>
        <v/>
      </c>
    </row>
    <row r="6911" spans="18:18" x14ac:dyDescent="0.2">
      <c r="R6911" s="189" t="str">
        <f t="shared" si="191"/>
        <v/>
      </c>
    </row>
    <row r="6912" spans="18:18" x14ac:dyDescent="0.2">
      <c r="R6912" s="189" t="str">
        <f t="shared" si="191"/>
        <v/>
      </c>
    </row>
    <row r="6913" spans="18:18" x14ac:dyDescent="0.2">
      <c r="R6913" s="189" t="str">
        <f t="shared" si="191"/>
        <v/>
      </c>
    </row>
    <row r="6914" spans="18:18" x14ac:dyDescent="0.2">
      <c r="R6914" s="189" t="str">
        <f t="shared" si="191"/>
        <v/>
      </c>
    </row>
    <row r="6915" spans="18:18" x14ac:dyDescent="0.2">
      <c r="R6915" s="189" t="str">
        <f t="shared" si="191"/>
        <v/>
      </c>
    </row>
    <row r="6916" spans="18:18" x14ac:dyDescent="0.2">
      <c r="R6916" s="189" t="str">
        <f t="shared" si="191"/>
        <v/>
      </c>
    </row>
    <row r="6917" spans="18:18" x14ac:dyDescent="0.2">
      <c r="R6917" s="189" t="str">
        <f t="shared" si="191"/>
        <v/>
      </c>
    </row>
    <row r="6918" spans="18:18" x14ac:dyDescent="0.2">
      <c r="R6918" s="189" t="str">
        <f t="shared" si="191"/>
        <v/>
      </c>
    </row>
    <row r="6919" spans="18:18" x14ac:dyDescent="0.2">
      <c r="R6919" s="189" t="str">
        <f t="shared" si="191"/>
        <v/>
      </c>
    </row>
    <row r="6920" spans="18:18" x14ac:dyDescent="0.2">
      <c r="R6920" s="189" t="str">
        <f t="shared" si="191"/>
        <v/>
      </c>
    </row>
    <row r="6921" spans="18:18" x14ac:dyDescent="0.2">
      <c r="R6921" s="189" t="str">
        <f t="shared" si="191"/>
        <v/>
      </c>
    </row>
    <row r="6922" spans="18:18" x14ac:dyDescent="0.2">
      <c r="R6922" s="189" t="str">
        <f t="shared" si="191"/>
        <v/>
      </c>
    </row>
    <row r="6923" spans="18:18" x14ac:dyDescent="0.2">
      <c r="R6923" s="189" t="str">
        <f t="shared" si="191"/>
        <v/>
      </c>
    </row>
    <row r="6924" spans="18:18" x14ac:dyDescent="0.2">
      <c r="R6924" s="189" t="str">
        <f t="shared" si="191"/>
        <v/>
      </c>
    </row>
    <row r="6925" spans="18:18" x14ac:dyDescent="0.2">
      <c r="R6925" s="189" t="str">
        <f t="shared" si="191"/>
        <v/>
      </c>
    </row>
    <row r="6926" spans="18:18" x14ac:dyDescent="0.2">
      <c r="R6926" s="189" t="str">
        <f t="shared" si="191"/>
        <v/>
      </c>
    </row>
    <row r="6927" spans="18:18" x14ac:dyDescent="0.2">
      <c r="R6927" s="189" t="str">
        <f t="shared" si="191"/>
        <v/>
      </c>
    </row>
    <row r="6928" spans="18:18" x14ac:dyDescent="0.2">
      <c r="R6928" s="189" t="str">
        <f t="shared" si="191"/>
        <v/>
      </c>
    </row>
    <row r="6929" spans="18:18" x14ac:dyDescent="0.2">
      <c r="R6929" s="189" t="str">
        <f t="shared" si="191"/>
        <v/>
      </c>
    </row>
    <row r="6930" spans="18:18" x14ac:dyDescent="0.2">
      <c r="R6930" s="189" t="str">
        <f t="shared" si="191"/>
        <v/>
      </c>
    </row>
    <row r="6931" spans="18:18" x14ac:dyDescent="0.2">
      <c r="R6931" s="189" t="str">
        <f t="shared" si="191"/>
        <v/>
      </c>
    </row>
    <row r="6932" spans="18:18" x14ac:dyDescent="0.2">
      <c r="R6932" s="189" t="str">
        <f t="shared" si="191"/>
        <v/>
      </c>
    </row>
    <row r="6933" spans="18:18" x14ac:dyDescent="0.2">
      <c r="R6933" s="189" t="str">
        <f t="shared" si="191"/>
        <v/>
      </c>
    </row>
    <row r="6934" spans="18:18" x14ac:dyDescent="0.2">
      <c r="R6934" s="189" t="str">
        <f t="shared" ref="R6934:R6997" si="192">IF(OR(P6934="",Q6934=""),"",IFERROR(P6934-Q6934,""))</f>
        <v/>
      </c>
    </row>
    <row r="6935" spans="18:18" x14ac:dyDescent="0.2">
      <c r="R6935" s="189" t="str">
        <f t="shared" si="192"/>
        <v/>
      </c>
    </row>
    <row r="6936" spans="18:18" x14ac:dyDescent="0.2">
      <c r="R6936" s="189" t="str">
        <f t="shared" si="192"/>
        <v/>
      </c>
    </row>
    <row r="6937" spans="18:18" x14ac:dyDescent="0.2">
      <c r="R6937" s="189" t="str">
        <f t="shared" si="192"/>
        <v/>
      </c>
    </row>
    <row r="6938" spans="18:18" x14ac:dyDescent="0.2">
      <c r="R6938" s="189" t="str">
        <f t="shared" si="192"/>
        <v/>
      </c>
    </row>
    <row r="6939" spans="18:18" x14ac:dyDescent="0.2">
      <c r="R6939" s="189" t="str">
        <f t="shared" si="192"/>
        <v/>
      </c>
    </row>
    <row r="6940" spans="18:18" x14ac:dyDescent="0.2">
      <c r="R6940" s="189" t="str">
        <f t="shared" si="192"/>
        <v/>
      </c>
    </row>
    <row r="6941" spans="18:18" x14ac:dyDescent="0.2">
      <c r="R6941" s="189" t="str">
        <f t="shared" si="192"/>
        <v/>
      </c>
    </row>
    <row r="6942" spans="18:18" x14ac:dyDescent="0.2">
      <c r="R6942" s="189" t="str">
        <f t="shared" si="192"/>
        <v/>
      </c>
    </row>
    <row r="6943" spans="18:18" x14ac:dyDescent="0.2">
      <c r="R6943" s="189" t="str">
        <f t="shared" si="192"/>
        <v/>
      </c>
    </row>
    <row r="6944" spans="18:18" x14ac:dyDescent="0.2">
      <c r="R6944" s="189" t="str">
        <f t="shared" si="192"/>
        <v/>
      </c>
    </row>
    <row r="6945" spans="18:18" x14ac:dyDescent="0.2">
      <c r="R6945" s="189" t="str">
        <f t="shared" si="192"/>
        <v/>
      </c>
    </row>
    <row r="6946" spans="18:18" x14ac:dyDescent="0.2">
      <c r="R6946" s="189" t="str">
        <f t="shared" si="192"/>
        <v/>
      </c>
    </row>
    <row r="6947" spans="18:18" x14ac:dyDescent="0.2">
      <c r="R6947" s="189" t="str">
        <f t="shared" si="192"/>
        <v/>
      </c>
    </row>
    <row r="6948" spans="18:18" x14ac:dyDescent="0.2">
      <c r="R6948" s="189" t="str">
        <f t="shared" si="192"/>
        <v/>
      </c>
    </row>
    <row r="6949" spans="18:18" x14ac:dyDescent="0.2">
      <c r="R6949" s="189" t="str">
        <f t="shared" si="192"/>
        <v/>
      </c>
    </row>
    <row r="6950" spans="18:18" x14ac:dyDescent="0.2">
      <c r="R6950" s="189" t="str">
        <f t="shared" si="192"/>
        <v/>
      </c>
    </row>
    <row r="6951" spans="18:18" x14ac:dyDescent="0.2">
      <c r="R6951" s="189" t="str">
        <f t="shared" si="192"/>
        <v/>
      </c>
    </row>
    <row r="6952" spans="18:18" x14ac:dyDescent="0.2">
      <c r="R6952" s="189" t="str">
        <f t="shared" si="192"/>
        <v/>
      </c>
    </row>
    <row r="6953" spans="18:18" x14ac:dyDescent="0.2">
      <c r="R6953" s="189" t="str">
        <f t="shared" si="192"/>
        <v/>
      </c>
    </row>
    <row r="6954" spans="18:18" x14ac:dyDescent="0.2">
      <c r="R6954" s="189" t="str">
        <f t="shared" si="192"/>
        <v/>
      </c>
    </row>
    <row r="6955" spans="18:18" x14ac:dyDescent="0.2">
      <c r="R6955" s="189" t="str">
        <f t="shared" si="192"/>
        <v/>
      </c>
    </row>
    <row r="6956" spans="18:18" x14ac:dyDescent="0.2">
      <c r="R6956" s="189" t="str">
        <f t="shared" si="192"/>
        <v/>
      </c>
    </row>
    <row r="6957" spans="18:18" x14ac:dyDescent="0.2">
      <c r="R6957" s="189" t="str">
        <f t="shared" si="192"/>
        <v/>
      </c>
    </row>
    <row r="6958" spans="18:18" x14ac:dyDescent="0.2">
      <c r="R6958" s="189" t="str">
        <f t="shared" si="192"/>
        <v/>
      </c>
    </row>
    <row r="6959" spans="18:18" x14ac:dyDescent="0.2">
      <c r="R6959" s="189" t="str">
        <f t="shared" si="192"/>
        <v/>
      </c>
    </row>
    <row r="6960" spans="18:18" x14ac:dyDescent="0.2">
      <c r="R6960" s="189" t="str">
        <f t="shared" si="192"/>
        <v/>
      </c>
    </row>
    <row r="6961" spans="18:18" x14ac:dyDescent="0.2">
      <c r="R6961" s="189" t="str">
        <f t="shared" si="192"/>
        <v/>
      </c>
    </row>
    <row r="6962" spans="18:18" x14ac:dyDescent="0.2">
      <c r="R6962" s="189" t="str">
        <f t="shared" si="192"/>
        <v/>
      </c>
    </row>
    <row r="6963" spans="18:18" x14ac:dyDescent="0.2">
      <c r="R6963" s="189" t="str">
        <f t="shared" si="192"/>
        <v/>
      </c>
    </row>
    <row r="6964" spans="18:18" x14ac:dyDescent="0.2">
      <c r="R6964" s="189" t="str">
        <f t="shared" si="192"/>
        <v/>
      </c>
    </row>
    <row r="6965" spans="18:18" x14ac:dyDescent="0.2">
      <c r="R6965" s="189" t="str">
        <f t="shared" si="192"/>
        <v/>
      </c>
    </row>
    <row r="6966" spans="18:18" x14ac:dyDescent="0.2">
      <c r="R6966" s="189" t="str">
        <f t="shared" si="192"/>
        <v/>
      </c>
    </row>
    <row r="6967" spans="18:18" x14ac:dyDescent="0.2">
      <c r="R6967" s="189" t="str">
        <f t="shared" si="192"/>
        <v/>
      </c>
    </row>
    <row r="6968" spans="18:18" x14ac:dyDescent="0.2">
      <c r="R6968" s="189" t="str">
        <f t="shared" si="192"/>
        <v/>
      </c>
    </row>
    <row r="6969" spans="18:18" x14ac:dyDescent="0.2">
      <c r="R6969" s="189" t="str">
        <f t="shared" si="192"/>
        <v/>
      </c>
    </row>
    <row r="6970" spans="18:18" x14ac:dyDescent="0.2">
      <c r="R6970" s="189" t="str">
        <f t="shared" si="192"/>
        <v/>
      </c>
    </row>
    <row r="6971" spans="18:18" x14ac:dyDescent="0.2">
      <c r="R6971" s="189" t="str">
        <f t="shared" si="192"/>
        <v/>
      </c>
    </row>
    <row r="6972" spans="18:18" x14ac:dyDescent="0.2">
      <c r="R6972" s="189" t="str">
        <f t="shared" si="192"/>
        <v/>
      </c>
    </row>
    <row r="6973" spans="18:18" x14ac:dyDescent="0.2">
      <c r="R6973" s="189" t="str">
        <f t="shared" si="192"/>
        <v/>
      </c>
    </row>
    <row r="6974" spans="18:18" x14ac:dyDescent="0.2">
      <c r="R6974" s="189" t="str">
        <f t="shared" si="192"/>
        <v/>
      </c>
    </row>
    <row r="6975" spans="18:18" x14ac:dyDescent="0.2">
      <c r="R6975" s="189" t="str">
        <f t="shared" si="192"/>
        <v/>
      </c>
    </row>
    <row r="6976" spans="18:18" x14ac:dyDescent="0.2">
      <c r="R6976" s="189" t="str">
        <f t="shared" si="192"/>
        <v/>
      </c>
    </row>
    <row r="6977" spans="18:18" x14ac:dyDescent="0.2">
      <c r="R6977" s="189" t="str">
        <f t="shared" si="192"/>
        <v/>
      </c>
    </row>
    <row r="6978" spans="18:18" x14ac:dyDescent="0.2">
      <c r="R6978" s="189" t="str">
        <f t="shared" si="192"/>
        <v/>
      </c>
    </row>
    <row r="6979" spans="18:18" x14ac:dyDescent="0.2">
      <c r="R6979" s="189" t="str">
        <f t="shared" si="192"/>
        <v/>
      </c>
    </row>
    <row r="6980" spans="18:18" x14ac:dyDescent="0.2">
      <c r="R6980" s="189" t="str">
        <f t="shared" si="192"/>
        <v/>
      </c>
    </row>
    <row r="6981" spans="18:18" x14ac:dyDescent="0.2">
      <c r="R6981" s="189" t="str">
        <f t="shared" si="192"/>
        <v/>
      </c>
    </row>
    <row r="6982" spans="18:18" x14ac:dyDescent="0.2">
      <c r="R6982" s="189" t="str">
        <f t="shared" si="192"/>
        <v/>
      </c>
    </row>
    <row r="6983" spans="18:18" x14ac:dyDescent="0.2">
      <c r="R6983" s="189" t="str">
        <f t="shared" si="192"/>
        <v/>
      </c>
    </row>
    <row r="6984" spans="18:18" x14ac:dyDescent="0.2">
      <c r="R6984" s="189" t="str">
        <f t="shared" si="192"/>
        <v/>
      </c>
    </row>
    <row r="6985" spans="18:18" x14ac:dyDescent="0.2">
      <c r="R6985" s="189" t="str">
        <f t="shared" si="192"/>
        <v/>
      </c>
    </row>
    <row r="6986" spans="18:18" x14ac:dyDescent="0.2">
      <c r="R6986" s="189" t="str">
        <f t="shared" si="192"/>
        <v/>
      </c>
    </row>
    <row r="6987" spans="18:18" x14ac:dyDescent="0.2">
      <c r="R6987" s="189" t="str">
        <f t="shared" si="192"/>
        <v/>
      </c>
    </row>
    <row r="6988" spans="18:18" x14ac:dyDescent="0.2">
      <c r="R6988" s="189" t="str">
        <f t="shared" si="192"/>
        <v/>
      </c>
    </row>
    <row r="6989" spans="18:18" x14ac:dyDescent="0.2">
      <c r="R6989" s="189" t="str">
        <f t="shared" si="192"/>
        <v/>
      </c>
    </row>
    <row r="6990" spans="18:18" x14ac:dyDescent="0.2">
      <c r="R6990" s="189" t="str">
        <f t="shared" si="192"/>
        <v/>
      </c>
    </row>
    <row r="6991" spans="18:18" x14ac:dyDescent="0.2">
      <c r="R6991" s="189" t="str">
        <f t="shared" si="192"/>
        <v/>
      </c>
    </row>
    <row r="6992" spans="18:18" x14ac:dyDescent="0.2">
      <c r="R6992" s="189" t="str">
        <f t="shared" si="192"/>
        <v/>
      </c>
    </row>
    <row r="6993" spans="18:18" x14ac:dyDescent="0.2">
      <c r="R6993" s="189" t="str">
        <f t="shared" si="192"/>
        <v/>
      </c>
    </row>
    <row r="6994" spans="18:18" x14ac:dyDescent="0.2">
      <c r="R6994" s="189" t="str">
        <f t="shared" si="192"/>
        <v/>
      </c>
    </row>
    <row r="6995" spans="18:18" x14ac:dyDescent="0.2">
      <c r="R6995" s="189" t="str">
        <f t="shared" si="192"/>
        <v/>
      </c>
    </row>
    <row r="6996" spans="18:18" x14ac:dyDescent="0.2">
      <c r="R6996" s="189" t="str">
        <f t="shared" si="192"/>
        <v/>
      </c>
    </row>
    <row r="6997" spans="18:18" x14ac:dyDescent="0.2">
      <c r="R6997" s="189" t="str">
        <f t="shared" si="192"/>
        <v/>
      </c>
    </row>
    <row r="6998" spans="18:18" x14ac:dyDescent="0.2">
      <c r="R6998" s="189" t="str">
        <f t="shared" ref="R6998:R7061" si="193">IF(OR(P6998="",Q6998=""),"",IFERROR(P6998-Q6998,""))</f>
        <v/>
      </c>
    </row>
    <row r="6999" spans="18:18" x14ac:dyDescent="0.2">
      <c r="R6999" s="189" t="str">
        <f t="shared" si="193"/>
        <v/>
      </c>
    </row>
    <row r="7000" spans="18:18" x14ac:dyDescent="0.2">
      <c r="R7000" s="189" t="str">
        <f t="shared" si="193"/>
        <v/>
      </c>
    </row>
    <row r="7001" spans="18:18" x14ac:dyDescent="0.2">
      <c r="R7001" s="189" t="str">
        <f t="shared" si="193"/>
        <v/>
      </c>
    </row>
    <row r="7002" spans="18:18" x14ac:dyDescent="0.2">
      <c r="R7002" s="189" t="str">
        <f t="shared" si="193"/>
        <v/>
      </c>
    </row>
    <row r="7003" spans="18:18" x14ac:dyDescent="0.2">
      <c r="R7003" s="189" t="str">
        <f t="shared" si="193"/>
        <v/>
      </c>
    </row>
    <row r="7004" spans="18:18" x14ac:dyDescent="0.2">
      <c r="R7004" s="189" t="str">
        <f t="shared" si="193"/>
        <v/>
      </c>
    </row>
    <row r="7005" spans="18:18" x14ac:dyDescent="0.2">
      <c r="R7005" s="189" t="str">
        <f t="shared" si="193"/>
        <v/>
      </c>
    </row>
    <row r="7006" spans="18:18" x14ac:dyDescent="0.2">
      <c r="R7006" s="189" t="str">
        <f t="shared" si="193"/>
        <v/>
      </c>
    </row>
    <row r="7007" spans="18:18" x14ac:dyDescent="0.2">
      <c r="R7007" s="189" t="str">
        <f t="shared" si="193"/>
        <v/>
      </c>
    </row>
    <row r="7008" spans="18:18" x14ac:dyDescent="0.2">
      <c r="R7008" s="189" t="str">
        <f t="shared" si="193"/>
        <v/>
      </c>
    </row>
    <row r="7009" spans="18:18" x14ac:dyDescent="0.2">
      <c r="R7009" s="189" t="str">
        <f t="shared" si="193"/>
        <v/>
      </c>
    </row>
    <row r="7010" spans="18:18" x14ac:dyDescent="0.2">
      <c r="R7010" s="189" t="str">
        <f t="shared" si="193"/>
        <v/>
      </c>
    </row>
    <row r="7011" spans="18:18" x14ac:dyDescent="0.2">
      <c r="R7011" s="189" t="str">
        <f t="shared" si="193"/>
        <v/>
      </c>
    </row>
    <row r="7012" spans="18:18" x14ac:dyDescent="0.2">
      <c r="R7012" s="189" t="str">
        <f t="shared" si="193"/>
        <v/>
      </c>
    </row>
    <row r="7013" spans="18:18" x14ac:dyDescent="0.2">
      <c r="R7013" s="189" t="str">
        <f t="shared" si="193"/>
        <v/>
      </c>
    </row>
    <row r="7014" spans="18:18" x14ac:dyDescent="0.2">
      <c r="R7014" s="189" t="str">
        <f t="shared" si="193"/>
        <v/>
      </c>
    </row>
    <row r="7015" spans="18:18" x14ac:dyDescent="0.2">
      <c r="R7015" s="189" t="str">
        <f t="shared" si="193"/>
        <v/>
      </c>
    </row>
    <row r="7016" spans="18:18" x14ac:dyDescent="0.2">
      <c r="R7016" s="189" t="str">
        <f t="shared" si="193"/>
        <v/>
      </c>
    </row>
    <row r="7017" spans="18:18" x14ac:dyDescent="0.2">
      <c r="R7017" s="189" t="str">
        <f t="shared" si="193"/>
        <v/>
      </c>
    </row>
    <row r="7018" spans="18:18" x14ac:dyDescent="0.2">
      <c r="R7018" s="189" t="str">
        <f t="shared" si="193"/>
        <v/>
      </c>
    </row>
    <row r="7019" spans="18:18" x14ac:dyDescent="0.2">
      <c r="R7019" s="189" t="str">
        <f t="shared" si="193"/>
        <v/>
      </c>
    </row>
    <row r="7020" spans="18:18" x14ac:dyDescent="0.2">
      <c r="R7020" s="189" t="str">
        <f t="shared" si="193"/>
        <v/>
      </c>
    </row>
    <row r="7021" spans="18:18" x14ac:dyDescent="0.2">
      <c r="R7021" s="189" t="str">
        <f t="shared" si="193"/>
        <v/>
      </c>
    </row>
    <row r="7022" spans="18:18" x14ac:dyDescent="0.2">
      <c r="R7022" s="189" t="str">
        <f t="shared" si="193"/>
        <v/>
      </c>
    </row>
    <row r="7023" spans="18:18" x14ac:dyDescent="0.2">
      <c r="R7023" s="189" t="str">
        <f t="shared" si="193"/>
        <v/>
      </c>
    </row>
    <row r="7024" spans="18:18" x14ac:dyDescent="0.2">
      <c r="R7024" s="189" t="str">
        <f t="shared" si="193"/>
        <v/>
      </c>
    </row>
    <row r="7025" spans="18:18" x14ac:dyDescent="0.2">
      <c r="R7025" s="189" t="str">
        <f t="shared" si="193"/>
        <v/>
      </c>
    </row>
    <row r="7026" spans="18:18" x14ac:dyDescent="0.2">
      <c r="R7026" s="189" t="str">
        <f t="shared" si="193"/>
        <v/>
      </c>
    </row>
    <row r="7027" spans="18:18" x14ac:dyDescent="0.2">
      <c r="R7027" s="189" t="str">
        <f t="shared" si="193"/>
        <v/>
      </c>
    </row>
    <row r="7028" spans="18:18" x14ac:dyDescent="0.2">
      <c r="R7028" s="189" t="str">
        <f t="shared" si="193"/>
        <v/>
      </c>
    </row>
    <row r="7029" spans="18:18" x14ac:dyDescent="0.2">
      <c r="R7029" s="189" t="str">
        <f t="shared" si="193"/>
        <v/>
      </c>
    </row>
    <row r="7030" spans="18:18" x14ac:dyDescent="0.2">
      <c r="R7030" s="189" t="str">
        <f t="shared" si="193"/>
        <v/>
      </c>
    </row>
    <row r="7031" spans="18:18" x14ac:dyDescent="0.2">
      <c r="R7031" s="189" t="str">
        <f t="shared" si="193"/>
        <v/>
      </c>
    </row>
    <row r="7032" spans="18:18" x14ac:dyDescent="0.2">
      <c r="R7032" s="189" t="str">
        <f t="shared" si="193"/>
        <v/>
      </c>
    </row>
    <row r="7033" spans="18:18" x14ac:dyDescent="0.2">
      <c r="R7033" s="189" t="str">
        <f t="shared" si="193"/>
        <v/>
      </c>
    </row>
    <row r="7034" spans="18:18" x14ac:dyDescent="0.2">
      <c r="R7034" s="189" t="str">
        <f t="shared" si="193"/>
        <v/>
      </c>
    </row>
    <row r="7035" spans="18:18" x14ac:dyDescent="0.2">
      <c r="R7035" s="189" t="str">
        <f t="shared" si="193"/>
        <v/>
      </c>
    </row>
    <row r="7036" spans="18:18" x14ac:dyDescent="0.2">
      <c r="R7036" s="189" t="str">
        <f t="shared" si="193"/>
        <v/>
      </c>
    </row>
    <row r="7037" spans="18:18" x14ac:dyDescent="0.2">
      <c r="R7037" s="189" t="str">
        <f t="shared" si="193"/>
        <v/>
      </c>
    </row>
    <row r="7038" spans="18:18" x14ac:dyDescent="0.2">
      <c r="R7038" s="189" t="str">
        <f t="shared" si="193"/>
        <v/>
      </c>
    </row>
    <row r="7039" spans="18:18" x14ac:dyDescent="0.2">
      <c r="R7039" s="189" t="str">
        <f t="shared" si="193"/>
        <v/>
      </c>
    </row>
    <row r="7040" spans="18:18" x14ac:dyDescent="0.2">
      <c r="R7040" s="189" t="str">
        <f t="shared" si="193"/>
        <v/>
      </c>
    </row>
    <row r="7041" spans="18:18" x14ac:dyDescent="0.2">
      <c r="R7041" s="189" t="str">
        <f t="shared" si="193"/>
        <v/>
      </c>
    </row>
    <row r="7042" spans="18:18" x14ac:dyDescent="0.2">
      <c r="R7042" s="189" t="str">
        <f t="shared" si="193"/>
        <v/>
      </c>
    </row>
    <row r="7043" spans="18:18" x14ac:dyDescent="0.2">
      <c r="R7043" s="189" t="str">
        <f t="shared" si="193"/>
        <v/>
      </c>
    </row>
    <row r="7044" spans="18:18" x14ac:dyDescent="0.2">
      <c r="R7044" s="189" t="str">
        <f t="shared" si="193"/>
        <v/>
      </c>
    </row>
    <row r="7045" spans="18:18" x14ac:dyDescent="0.2">
      <c r="R7045" s="189" t="str">
        <f t="shared" si="193"/>
        <v/>
      </c>
    </row>
    <row r="7046" spans="18:18" x14ac:dyDescent="0.2">
      <c r="R7046" s="189" t="str">
        <f t="shared" si="193"/>
        <v/>
      </c>
    </row>
    <row r="7047" spans="18:18" x14ac:dyDescent="0.2">
      <c r="R7047" s="189" t="str">
        <f t="shared" si="193"/>
        <v/>
      </c>
    </row>
    <row r="7048" spans="18:18" x14ac:dyDescent="0.2">
      <c r="R7048" s="189" t="str">
        <f t="shared" si="193"/>
        <v/>
      </c>
    </row>
    <row r="7049" spans="18:18" x14ac:dyDescent="0.2">
      <c r="R7049" s="189" t="str">
        <f t="shared" si="193"/>
        <v/>
      </c>
    </row>
    <row r="7050" spans="18:18" x14ac:dyDescent="0.2">
      <c r="R7050" s="189" t="str">
        <f t="shared" si="193"/>
        <v/>
      </c>
    </row>
    <row r="7051" spans="18:18" x14ac:dyDescent="0.2">
      <c r="R7051" s="189" t="str">
        <f t="shared" si="193"/>
        <v/>
      </c>
    </row>
    <row r="7052" spans="18:18" x14ac:dyDescent="0.2">
      <c r="R7052" s="189" t="str">
        <f t="shared" si="193"/>
        <v/>
      </c>
    </row>
    <row r="7053" spans="18:18" x14ac:dyDescent="0.2">
      <c r="R7053" s="189" t="str">
        <f t="shared" si="193"/>
        <v/>
      </c>
    </row>
    <row r="7054" spans="18:18" x14ac:dyDescent="0.2">
      <c r="R7054" s="189" t="str">
        <f t="shared" si="193"/>
        <v/>
      </c>
    </row>
    <row r="7055" spans="18:18" x14ac:dyDescent="0.2">
      <c r="R7055" s="189" t="str">
        <f t="shared" si="193"/>
        <v/>
      </c>
    </row>
    <row r="7056" spans="18:18" x14ac:dyDescent="0.2">
      <c r="R7056" s="189" t="str">
        <f t="shared" si="193"/>
        <v/>
      </c>
    </row>
    <row r="7057" spans="18:18" x14ac:dyDescent="0.2">
      <c r="R7057" s="189" t="str">
        <f t="shared" si="193"/>
        <v/>
      </c>
    </row>
    <row r="7058" spans="18:18" x14ac:dyDescent="0.2">
      <c r="R7058" s="189" t="str">
        <f t="shared" si="193"/>
        <v/>
      </c>
    </row>
    <row r="7059" spans="18:18" x14ac:dyDescent="0.2">
      <c r="R7059" s="189" t="str">
        <f t="shared" si="193"/>
        <v/>
      </c>
    </row>
    <row r="7060" spans="18:18" x14ac:dyDescent="0.2">
      <c r="R7060" s="189" t="str">
        <f t="shared" si="193"/>
        <v/>
      </c>
    </row>
    <row r="7061" spans="18:18" x14ac:dyDescent="0.2">
      <c r="R7061" s="189" t="str">
        <f t="shared" si="193"/>
        <v/>
      </c>
    </row>
    <row r="7062" spans="18:18" x14ac:dyDescent="0.2">
      <c r="R7062" s="189" t="str">
        <f t="shared" ref="R7062:R7125" si="194">IF(OR(P7062="",Q7062=""),"",IFERROR(P7062-Q7062,""))</f>
        <v/>
      </c>
    </row>
    <row r="7063" spans="18:18" x14ac:dyDescent="0.2">
      <c r="R7063" s="189" t="str">
        <f t="shared" si="194"/>
        <v/>
      </c>
    </row>
    <row r="7064" spans="18:18" x14ac:dyDescent="0.2">
      <c r="R7064" s="189" t="str">
        <f t="shared" si="194"/>
        <v/>
      </c>
    </row>
    <row r="7065" spans="18:18" x14ac:dyDescent="0.2">
      <c r="R7065" s="189" t="str">
        <f t="shared" si="194"/>
        <v/>
      </c>
    </row>
    <row r="7066" spans="18:18" x14ac:dyDescent="0.2">
      <c r="R7066" s="189" t="str">
        <f t="shared" si="194"/>
        <v/>
      </c>
    </row>
    <row r="7067" spans="18:18" x14ac:dyDescent="0.2">
      <c r="R7067" s="189" t="str">
        <f t="shared" si="194"/>
        <v/>
      </c>
    </row>
    <row r="7068" spans="18:18" x14ac:dyDescent="0.2">
      <c r="R7068" s="189" t="str">
        <f t="shared" si="194"/>
        <v/>
      </c>
    </row>
    <row r="7069" spans="18:18" x14ac:dyDescent="0.2">
      <c r="R7069" s="189" t="str">
        <f t="shared" si="194"/>
        <v/>
      </c>
    </row>
    <row r="7070" spans="18:18" x14ac:dyDescent="0.2">
      <c r="R7070" s="189" t="str">
        <f t="shared" si="194"/>
        <v/>
      </c>
    </row>
    <row r="7071" spans="18:18" x14ac:dyDescent="0.2">
      <c r="R7071" s="189" t="str">
        <f t="shared" si="194"/>
        <v/>
      </c>
    </row>
    <row r="7072" spans="18:18" x14ac:dyDescent="0.2">
      <c r="R7072" s="189" t="str">
        <f t="shared" si="194"/>
        <v/>
      </c>
    </row>
    <row r="7073" spans="18:18" x14ac:dyDescent="0.2">
      <c r="R7073" s="189" t="str">
        <f t="shared" si="194"/>
        <v/>
      </c>
    </row>
    <row r="7074" spans="18:18" x14ac:dyDescent="0.2">
      <c r="R7074" s="189" t="str">
        <f t="shared" si="194"/>
        <v/>
      </c>
    </row>
    <row r="7075" spans="18:18" x14ac:dyDescent="0.2">
      <c r="R7075" s="189" t="str">
        <f t="shared" si="194"/>
        <v/>
      </c>
    </row>
    <row r="7076" spans="18:18" x14ac:dyDescent="0.2">
      <c r="R7076" s="189" t="str">
        <f t="shared" si="194"/>
        <v/>
      </c>
    </row>
    <row r="7077" spans="18:18" x14ac:dyDescent="0.2">
      <c r="R7077" s="189" t="str">
        <f t="shared" si="194"/>
        <v/>
      </c>
    </row>
    <row r="7078" spans="18:18" x14ac:dyDescent="0.2">
      <c r="R7078" s="189" t="str">
        <f t="shared" si="194"/>
        <v/>
      </c>
    </row>
    <row r="7079" spans="18:18" x14ac:dyDescent="0.2">
      <c r="R7079" s="189" t="str">
        <f t="shared" si="194"/>
        <v/>
      </c>
    </row>
    <row r="7080" spans="18:18" x14ac:dyDescent="0.2">
      <c r="R7080" s="189" t="str">
        <f t="shared" si="194"/>
        <v/>
      </c>
    </row>
    <row r="7081" spans="18:18" x14ac:dyDescent="0.2">
      <c r="R7081" s="189" t="str">
        <f t="shared" si="194"/>
        <v/>
      </c>
    </row>
    <row r="7082" spans="18:18" x14ac:dyDescent="0.2">
      <c r="R7082" s="189" t="str">
        <f t="shared" si="194"/>
        <v/>
      </c>
    </row>
    <row r="7083" spans="18:18" x14ac:dyDescent="0.2">
      <c r="R7083" s="189" t="str">
        <f t="shared" si="194"/>
        <v/>
      </c>
    </row>
    <row r="7084" spans="18:18" x14ac:dyDescent="0.2">
      <c r="R7084" s="189" t="str">
        <f t="shared" si="194"/>
        <v/>
      </c>
    </row>
    <row r="7085" spans="18:18" x14ac:dyDescent="0.2">
      <c r="R7085" s="189" t="str">
        <f t="shared" si="194"/>
        <v/>
      </c>
    </row>
    <row r="7086" spans="18:18" x14ac:dyDescent="0.2">
      <c r="R7086" s="189" t="str">
        <f t="shared" si="194"/>
        <v/>
      </c>
    </row>
    <row r="7087" spans="18:18" x14ac:dyDescent="0.2">
      <c r="R7087" s="189" t="str">
        <f t="shared" si="194"/>
        <v/>
      </c>
    </row>
    <row r="7088" spans="18:18" x14ac:dyDescent="0.2">
      <c r="R7088" s="189" t="str">
        <f t="shared" si="194"/>
        <v/>
      </c>
    </row>
    <row r="7089" spans="18:18" x14ac:dyDescent="0.2">
      <c r="R7089" s="189" t="str">
        <f t="shared" si="194"/>
        <v/>
      </c>
    </row>
    <row r="7090" spans="18:18" x14ac:dyDescent="0.2">
      <c r="R7090" s="189" t="str">
        <f t="shared" si="194"/>
        <v/>
      </c>
    </row>
    <row r="7091" spans="18:18" x14ac:dyDescent="0.2">
      <c r="R7091" s="189" t="str">
        <f t="shared" si="194"/>
        <v/>
      </c>
    </row>
    <row r="7092" spans="18:18" x14ac:dyDescent="0.2">
      <c r="R7092" s="189" t="str">
        <f t="shared" si="194"/>
        <v/>
      </c>
    </row>
    <row r="7093" spans="18:18" x14ac:dyDescent="0.2">
      <c r="R7093" s="189" t="str">
        <f t="shared" si="194"/>
        <v/>
      </c>
    </row>
    <row r="7094" spans="18:18" x14ac:dyDescent="0.2">
      <c r="R7094" s="189" t="str">
        <f t="shared" si="194"/>
        <v/>
      </c>
    </row>
    <row r="7095" spans="18:18" x14ac:dyDescent="0.2">
      <c r="R7095" s="189" t="str">
        <f t="shared" si="194"/>
        <v/>
      </c>
    </row>
    <row r="7096" spans="18:18" x14ac:dyDescent="0.2">
      <c r="R7096" s="189" t="str">
        <f t="shared" si="194"/>
        <v/>
      </c>
    </row>
    <row r="7097" spans="18:18" x14ac:dyDescent="0.2">
      <c r="R7097" s="189" t="str">
        <f t="shared" si="194"/>
        <v/>
      </c>
    </row>
    <row r="7098" spans="18:18" x14ac:dyDescent="0.2">
      <c r="R7098" s="189" t="str">
        <f t="shared" si="194"/>
        <v/>
      </c>
    </row>
    <row r="7099" spans="18:18" x14ac:dyDescent="0.2">
      <c r="R7099" s="189" t="str">
        <f t="shared" si="194"/>
        <v/>
      </c>
    </row>
    <row r="7100" spans="18:18" x14ac:dyDescent="0.2">
      <c r="R7100" s="189" t="str">
        <f t="shared" si="194"/>
        <v/>
      </c>
    </row>
    <row r="7101" spans="18:18" x14ac:dyDescent="0.2">
      <c r="R7101" s="189" t="str">
        <f t="shared" si="194"/>
        <v/>
      </c>
    </row>
    <row r="7102" spans="18:18" x14ac:dyDescent="0.2">
      <c r="R7102" s="189" t="str">
        <f t="shared" si="194"/>
        <v/>
      </c>
    </row>
    <row r="7103" spans="18:18" x14ac:dyDescent="0.2">
      <c r="R7103" s="189" t="str">
        <f t="shared" si="194"/>
        <v/>
      </c>
    </row>
    <row r="7104" spans="18:18" x14ac:dyDescent="0.2">
      <c r="R7104" s="189" t="str">
        <f t="shared" si="194"/>
        <v/>
      </c>
    </row>
    <row r="7105" spans="18:18" x14ac:dyDescent="0.2">
      <c r="R7105" s="189" t="str">
        <f t="shared" si="194"/>
        <v/>
      </c>
    </row>
    <row r="7106" spans="18:18" x14ac:dyDescent="0.2">
      <c r="R7106" s="189" t="str">
        <f t="shared" si="194"/>
        <v/>
      </c>
    </row>
    <row r="7107" spans="18:18" x14ac:dyDescent="0.2">
      <c r="R7107" s="189" t="str">
        <f t="shared" si="194"/>
        <v/>
      </c>
    </row>
    <row r="7108" spans="18:18" x14ac:dyDescent="0.2">
      <c r="R7108" s="189" t="str">
        <f t="shared" si="194"/>
        <v/>
      </c>
    </row>
    <row r="7109" spans="18:18" x14ac:dyDescent="0.2">
      <c r="R7109" s="189" t="str">
        <f t="shared" si="194"/>
        <v/>
      </c>
    </row>
    <row r="7110" spans="18:18" x14ac:dyDescent="0.2">
      <c r="R7110" s="189" t="str">
        <f t="shared" si="194"/>
        <v/>
      </c>
    </row>
    <row r="7111" spans="18:18" x14ac:dyDescent="0.2">
      <c r="R7111" s="189" t="str">
        <f t="shared" si="194"/>
        <v/>
      </c>
    </row>
    <row r="7112" spans="18:18" x14ac:dyDescent="0.2">
      <c r="R7112" s="189" t="str">
        <f t="shared" si="194"/>
        <v/>
      </c>
    </row>
    <row r="7113" spans="18:18" x14ac:dyDescent="0.2">
      <c r="R7113" s="189" t="str">
        <f t="shared" si="194"/>
        <v/>
      </c>
    </row>
    <row r="7114" spans="18:18" x14ac:dyDescent="0.2">
      <c r="R7114" s="189" t="str">
        <f t="shared" si="194"/>
        <v/>
      </c>
    </row>
    <row r="7115" spans="18:18" x14ac:dyDescent="0.2">
      <c r="R7115" s="189" t="str">
        <f t="shared" si="194"/>
        <v/>
      </c>
    </row>
    <row r="7116" spans="18:18" x14ac:dyDescent="0.2">
      <c r="R7116" s="189" t="str">
        <f t="shared" si="194"/>
        <v/>
      </c>
    </row>
    <row r="7117" spans="18:18" x14ac:dyDescent="0.2">
      <c r="R7117" s="189" t="str">
        <f t="shared" si="194"/>
        <v/>
      </c>
    </row>
    <row r="7118" spans="18:18" x14ac:dyDescent="0.2">
      <c r="R7118" s="189" t="str">
        <f t="shared" si="194"/>
        <v/>
      </c>
    </row>
    <row r="7119" spans="18:18" x14ac:dyDescent="0.2">
      <c r="R7119" s="189" t="str">
        <f t="shared" si="194"/>
        <v/>
      </c>
    </row>
    <row r="7120" spans="18:18" x14ac:dyDescent="0.2">
      <c r="R7120" s="189" t="str">
        <f t="shared" si="194"/>
        <v/>
      </c>
    </row>
    <row r="7121" spans="18:18" x14ac:dyDescent="0.2">
      <c r="R7121" s="189" t="str">
        <f t="shared" si="194"/>
        <v/>
      </c>
    </row>
    <row r="7122" spans="18:18" x14ac:dyDescent="0.2">
      <c r="R7122" s="189" t="str">
        <f t="shared" si="194"/>
        <v/>
      </c>
    </row>
    <row r="7123" spans="18:18" x14ac:dyDescent="0.2">
      <c r="R7123" s="189" t="str">
        <f t="shared" si="194"/>
        <v/>
      </c>
    </row>
    <row r="7124" spans="18:18" x14ac:dyDescent="0.2">
      <c r="R7124" s="189" t="str">
        <f t="shared" si="194"/>
        <v/>
      </c>
    </row>
    <row r="7125" spans="18:18" x14ac:dyDescent="0.2">
      <c r="R7125" s="189" t="str">
        <f t="shared" si="194"/>
        <v/>
      </c>
    </row>
    <row r="7126" spans="18:18" x14ac:dyDescent="0.2">
      <c r="R7126" s="189" t="str">
        <f t="shared" ref="R7126:R7189" si="195">IF(OR(P7126="",Q7126=""),"",IFERROR(P7126-Q7126,""))</f>
        <v/>
      </c>
    </row>
    <row r="7127" spans="18:18" x14ac:dyDescent="0.2">
      <c r="R7127" s="189" t="str">
        <f t="shared" si="195"/>
        <v/>
      </c>
    </row>
    <row r="7128" spans="18:18" x14ac:dyDescent="0.2">
      <c r="R7128" s="189" t="str">
        <f t="shared" si="195"/>
        <v/>
      </c>
    </row>
    <row r="7129" spans="18:18" x14ac:dyDescent="0.2">
      <c r="R7129" s="189" t="str">
        <f t="shared" si="195"/>
        <v/>
      </c>
    </row>
    <row r="7130" spans="18:18" x14ac:dyDescent="0.2">
      <c r="R7130" s="189" t="str">
        <f t="shared" si="195"/>
        <v/>
      </c>
    </row>
    <row r="7131" spans="18:18" x14ac:dyDescent="0.2">
      <c r="R7131" s="189" t="str">
        <f t="shared" si="195"/>
        <v/>
      </c>
    </row>
    <row r="7132" spans="18:18" x14ac:dyDescent="0.2">
      <c r="R7132" s="189" t="str">
        <f t="shared" si="195"/>
        <v/>
      </c>
    </row>
    <row r="7133" spans="18:18" x14ac:dyDescent="0.2">
      <c r="R7133" s="189" t="str">
        <f t="shared" si="195"/>
        <v/>
      </c>
    </row>
    <row r="7134" spans="18:18" x14ac:dyDescent="0.2">
      <c r="R7134" s="189" t="str">
        <f t="shared" si="195"/>
        <v/>
      </c>
    </row>
    <row r="7135" spans="18:18" x14ac:dyDescent="0.2">
      <c r="R7135" s="189" t="str">
        <f t="shared" si="195"/>
        <v/>
      </c>
    </row>
    <row r="7136" spans="18:18" x14ac:dyDescent="0.2">
      <c r="R7136" s="189" t="str">
        <f t="shared" si="195"/>
        <v/>
      </c>
    </row>
    <row r="7137" spans="18:18" x14ac:dyDescent="0.2">
      <c r="R7137" s="189" t="str">
        <f t="shared" si="195"/>
        <v/>
      </c>
    </row>
    <row r="7138" spans="18:18" x14ac:dyDescent="0.2">
      <c r="R7138" s="189" t="str">
        <f t="shared" si="195"/>
        <v/>
      </c>
    </row>
    <row r="7139" spans="18:18" x14ac:dyDescent="0.2">
      <c r="R7139" s="189" t="str">
        <f t="shared" si="195"/>
        <v/>
      </c>
    </row>
    <row r="7140" spans="18:18" x14ac:dyDescent="0.2">
      <c r="R7140" s="189" t="str">
        <f t="shared" si="195"/>
        <v/>
      </c>
    </row>
    <row r="7141" spans="18:18" x14ac:dyDescent="0.2">
      <c r="R7141" s="189" t="str">
        <f t="shared" si="195"/>
        <v/>
      </c>
    </row>
    <row r="7142" spans="18:18" x14ac:dyDescent="0.2">
      <c r="R7142" s="189" t="str">
        <f t="shared" si="195"/>
        <v/>
      </c>
    </row>
    <row r="7143" spans="18:18" x14ac:dyDescent="0.2">
      <c r="R7143" s="189" t="str">
        <f t="shared" si="195"/>
        <v/>
      </c>
    </row>
    <row r="7144" spans="18:18" x14ac:dyDescent="0.2">
      <c r="R7144" s="189" t="str">
        <f t="shared" si="195"/>
        <v/>
      </c>
    </row>
    <row r="7145" spans="18:18" x14ac:dyDescent="0.2">
      <c r="R7145" s="189" t="str">
        <f t="shared" si="195"/>
        <v/>
      </c>
    </row>
    <row r="7146" spans="18:18" x14ac:dyDescent="0.2">
      <c r="R7146" s="189" t="str">
        <f t="shared" si="195"/>
        <v/>
      </c>
    </row>
    <row r="7147" spans="18:18" x14ac:dyDescent="0.2">
      <c r="R7147" s="189" t="str">
        <f t="shared" si="195"/>
        <v/>
      </c>
    </row>
    <row r="7148" spans="18:18" x14ac:dyDescent="0.2">
      <c r="R7148" s="189" t="str">
        <f t="shared" si="195"/>
        <v/>
      </c>
    </row>
    <row r="7149" spans="18:18" x14ac:dyDescent="0.2">
      <c r="R7149" s="189" t="str">
        <f t="shared" si="195"/>
        <v/>
      </c>
    </row>
    <row r="7150" spans="18:18" x14ac:dyDescent="0.2">
      <c r="R7150" s="189" t="str">
        <f t="shared" si="195"/>
        <v/>
      </c>
    </row>
    <row r="7151" spans="18:18" x14ac:dyDescent="0.2">
      <c r="R7151" s="189" t="str">
        <f t="shared" si="195"/>
        <v/>
      </c>
    </row>
    <row r="7152" spans="18:18" x14ac:dyDescent="0.2">
      <c r="R7152" s="189" t="str">
        <f t="shared" si="195"/>
        <v/>
      </c>
    </row>
    <row r="7153" spans="18:18" x14ac:dyDescent="0.2">
      <c r="R7153" s="189" t="str">
        <f t="shared" si="195"/>
        <v/>
      </c>
    </row>
    <row r="7154" spans="18:18" x14ac:dyDescent="0.2">
      <c r="R7154" s="189" t="str">
        <f t="shared" si="195"/>
        <v/>
      </c>
    </row>
    <row r="7155" spans="18:18" x14ac:dyDescent="0.2">
      <c r="R7155" s="189" t="str">
        <f t="shared" si="195"/>
        <v/>
      </c>
    </row>
    <row r="7156" spans="18:18" x14ac:dyDescent="0.2">
      <c r="R7156" s="189" t="str">
        <f t="shared" si="195"/>
        <v/>
      </c>
    </row>
    <row r="7157" spans="18:18" x14ac:dyDescent="0.2">
      <c r="R7157" s="189" t="str">
        <f t="shared" si="195"/>
        <v/>
      </c>
    </row>
    <row r="7158" spans="18:18" x14ac:dyDescent="0.2">
      <c r="R7158" s="189" t="str">
        <f t="shared" si="195"/>
        <v/>
      </c>
    </row>
    <row r="7159" spans="18:18" x14ac:dyDescent="0.2">
      <c r="R7159" s="189" t="str">
        <f t="shared" si="195"/>
        <v/>
      </c>
    </row>
    <row r="7160" spans="18:18" x14ac:dyDescent="0.2">
      <c r="R7160" s="189" t="str">
        <f t="shared" si="195"/>
        <v/>
      </c>
    </row>
    <row r="7161" spans="18:18" x14ac:dyDescent="0.2">
      <c r="R7161" s="189" t="str">
        <f t="shared" si="195"/>
        <v/>
      </c>
    </row>
    <row r="7162" spans="18:18" x14ac:dyDescent="0.2">
      <c r="R7162" s="189" t="str">
        <f t="shared" si="195"/>
        <v/>
      </c>
    </row>
    <row r="7163" spans="18:18" x14ac:dyDescent="0.2">
      <c r="R7163" s="189" t="str">
        <f t="shared" si="195"/>
        <v/>
      </c>
    </row>
    <row r="7164" spans="18:18" x14ac:dyDescent="0.2">
      <c r="R7164" s="189" t="str">
        <f t="shared" si="195"/>
        <v/>
      </c>
    </row>
    <row r="7165" spans="18:18" x14ac:dyDescent="0.2">
      <c r="R7165" s="189" t="str">
        <f t="shared" si="195"/>
        <v/>
      </c>
    </row>
    <row r="7166" spans="18:18" x14ac:dyDescent="0.2">
      <c r="R7166" s="189" t="str">
        <f t="shared" si="195"/>
        <v/>
      </c>
    </row>
    <row r="7167" spans="18:18" x14ac:dyDescent="0.2">
      <c r="R7167" s="189" t="str">
        <f t="shared" si="195"/>
        <v/>
      </c>
    </row>
    <row r="7168" spans="18:18" x14ac:dyDescent="0.2">
      <c r="R7168" s="189" t="str">
        <f t="shared" si="195"/>
        <v/>
      </c>
    </row>
    <row r="7169" spans="18:18" x14ac:dyDescent="0.2">
      <c r="R7169" s="189" t="str">
        <f t="shared" si="195"/>
        <v/>
      </c>
    </row>
    <row r="7170" spans="18:18" x14ac:dyDescent="0.2">
      <c r="R7170" s="189" t="str">
        <f t="shared" si="195"/>
        <v/>
      </c>
    </row>
    <row r="7171" spans="18:18" x14ac:dyDescent="0.2">
      <c r="R7171" s="189" t="str">
        <f t="shared" si="195"/>
        <v/>
      </c>
    </row>
    <row r="7172" spans="18:18" x14ac:dyDescent="0.2">
      <c r="R7172" s="189" t="str">
        <f t="shared" si="195"/>
        <v/>
      </c>
    </row>
    <row r="7173" spans="18:18" x14ac:dyDescent="0.2">
      <c r="R7173" s="189" t="str">
        <f t="shared" si="195"/>
        <v/>
      </c>
    </row>
    <row r="7174" spans="18:18" x14ac:dyDescent="0.2">
      <c r="R7174" s="189" t="str">
        <f t="shared" si="195"/>
        <v/>
      </c>
    </row>
    <row r="7175" spans="18:18" x14ac:dyDescent="0.2">
      <c r="R7175" s="189" t="str">
        <f t="shared" si="195"/>
        <v/>
      </c>
    </row>
    <row r="7176" spans="18:18" x14ac:dyDescent="0.2">
      <c r="R7176" s="189" t="str">
        <f t="shared" si="195"/>
        <v/>
      </c>
    </row>
    <row r="7177" spans="18:18" x14ac:dyDescent="0.2">
      <c r="R7177" s="189" t="str">
        <f t="shared" si="195"/>
        <v/>
      </c>
    </row>
    <row r="7178" spans="18:18" x14ac:dyDescent="0.2">
      <c r="R7178" s="189" t="str">
        <f t="shared" si="195"/>
        <v/>
      </c>
    </row>
    <row r="7179" spans="18:18" x14ac:dyDescent="0.2">
      <c r="R7179" s="189" t="str">
        <f t="shared" si="195"/>
        <v/>
      </c>
    </row>
    <row r="7180" spans="18:18" x14ac:dyDescent="0.2">
      <c r="R7180" s="189" t="str">
        <f t="shared" si="195"/>
        <v/>
      </c>
    </row>
    <row r="7181" spans="18:18" x14ac:dyDescent="0.2">
      <c r="R7181" s="189" t="str">
        <f t="shared" si="195"/>
        <v/>
      </c>
    </row>
    <row r="7182" spans="18:18" x14ac:dyDescent="0.2">
      <c r="R7182" s="189" t="str">
        <f t="shared" si="195"/>
        <v/>
      </c>
    </row>
    <row r="7183" spans="18:18" x14ac:dyDescent="0.2">
      <c r="R7183" s="189" t="str">
        <f t="shared" si="195"/>
        <v/>
      </c>
    </row>
    <row r="7184" spans="18:18" x14ac:dyDescent="0.2">
      <c r="R7184" s="189" t="str">
        <f t="shared" si="195"/>
        <v/>
      </c>
    </row>
    <row r="7185" spans="18:18" x14ac:dyDescent="0.2">
      <c r="R7185" s="189" t="str">
        <f t="shared" si="195"/>
        <v/>
      </c>
    </row>
    <row r="7186" spans="18:18" x14ac:dyDescent="0.2">
      <c r="R7186" s="189" t="str">
        <f t="shared" si="195"/>
        <v/>
      </c>
    </row>
    <row r="7187" spans="18:18" x14ac:dyDescent="0.2">
      <c r="R7187" s="189" t="str">
        <f t="shared" si="195"/>
        <v/>
      </c>
    </row>
    <row r="7188" spans="18:18" x14ac:dyDescent="0.2">
      <c r="R7188" s="189" t="str">
        <f t="shared" si="195"/>
        <v/>
      </c>
    </row>
    <row r="7189" spans="18:18" x14ac:dyDescent="0.2">
      <c r="R7189" s="189" t="str">
        <f t="shared" si="195"/>
        <v/>
      </c>
    </row>
    <row r="7190" spans="18:18" x14ac:dyDescent="0.2">
      <c r="R7190" s="189" t="str">
        <f t="shared" ref="R7190:R7253" si="196">IF(OR(P7190="",Q7190=""),"",IFERROR(P7190-Q7190,""))</f>
        <v/>
      </c>
    </row>
    <row r="7191" spans="18:18" x14ac:dyDescent="0.2">
      <c r="R7191" s="189" t="str">
        <f t="shared" si="196"/>
        <v/>
      </c>
    </row>
    <row r="7192" spans="18:18" x14ac:dyDescent="0.2">
      <c r="R7192" s="189" t="str">
        <f t="shared" si="196"/>
        <v/>
      </c>
    </row>
    <row r="7193" spans="18:18" x14ac:dyDescent="0.2">
      <c r="R7193" s="189" t="str">
        <f t="shared" si="196"/>
        <v/>
      </c>
    </row>
    <row r="7194" spans="18:18" x14ac:dyDescent="0.2">
      <c r="R7194" s="189" t="str">
        <f t="shared" si="196"/>
        <v/>
      </c>
    </row>
    <row r="7195" spans="18:18" x14ac:dyDescent="0.2">
      <c r="R7195" s="189" t="str">
        <f t="shared" si="196"/>
        <v/>
      </c>
    </row>
    <row r="7196" spans="18:18" x14ac:dyDescent="0.2">
      <c r="R7196" s="189" t="str">
        <f t="shared" si="196"/>
        <v/>
      </c>
    </row>
    <row r="7197" spans="18:18" x14ac:dyDescent="0.2">
      <c r="R7197" s="189" t="str">
        <f t="shared" si="196"/>
        <v/>
      </c>
    </row>
    <row r="7198" spans="18:18" x14ac:dyDescent="0.2">
      <c r="R7198" s="189" t="str">
        <f t="shared" si="196"/>
        <v/>
      </c>
    </row>
    <row r="7199" spans="18:18" x14ac:dyDescent="0.2">
      <c r="R7199" s="189" t="str">
        <f t="shared" si="196"/>
        <v/>
      </c>
    </row>
    <row r="7200" spans="18:18" x14ac:dyDescent="0.2">
      <c r="R7200" s="189" t="str">
        <f t="shared" si="196"/>
        <v/>
      </c>
    </row>
    <row r="7201" spans="18:18" x14ac:dyDescent="0.2">
      <c r="R7201" s="189" t="str">
        <f t="shared" si="196"/>
        <v/>
      </c>
    </row>
    <row r="7202" spans="18:18" x14ac:dyDescent="0.2">
      <c r="R7202" s="189" t="str">
        <f t="shared" si="196"/>
        <v/>
      </c>
    </row>
    <row r="7203" spans="18:18" x14ac:dyDescent="0.2">
      <c r="R7203" s="189" t="str">
        <f t="shared" si="196"/>
        <v/>
      </c>
    </row>
    <row r="7204" spans="18:18" x14ac:dyDescent="0.2">
      <c r="R7204" s="189" t="str">
        <f t="shared" si="196"/>
        <v/>
      </c>
    </row>
    <row r="7205" spans="18:18" x14ac:dyDescent="0.2">
      <c r="R7205" s="189" t="str">
        <f t="shared" si="196"/>
        <v/>
      </c>
    </row>
    <row r="7206" spans="18:18" x14ac:dyDescent="0.2">
      <c r="R7206" s="189" t="str">
        <f t="shared" si="196"/>
        <v/>
      </c>
    </row>
    <row r="7207" spans="18:18" x14ac:dyDescent="0.2">
      <c r="R7207" s="189" t="str">
        <f t="shared" si="196"/>
        <v/>
      </c>
    </row>
    <row r="7208" spans="18:18" x14ac:dyDescent="0.2">
      <c r="R7208" s="189" t="str">
        <f t="shared" si="196"/>
        <v/>
      </c>
    </row>
    <row r="7209" spans="18:18" x14ac:dyDescent="0.2">
      <c r="R7209" s="189" t="str">
        <f t="shared" si="196"/>
        <v/>
      </c>
    </row>
    <row r="7210" spans="18:18" x14ac:dyDescent="0.2">
      <c r="R7210" s="189" t="str">
        <f t="shared" si="196"/>
        <v/>
      </c>
    </row>
    <row r="7211" spans="18:18" x14ac:dyDescent="0.2">
      <c r="R7211" s="189" t="str">
        <f t="shared" si="196"/>
        <v/>
      </c>
    </row>
    <row r="7212" spans="18:18" x14ac:dyDescent="0.2">
      <c r="R7212" s="189" t="str">
        <f t="shared" si="196"/>
        <v/>
      </c>
    </row>
    <row r="7213" spans="18:18" x14ac:dyDescent="0.2">
      <c r="R7213" s="189" t="str">
        <f t="shared" si="196"/>
        <v/>
      </c>
    </row>
    <row r="7214" spans="18:18" x14ac:dyDescent="0.2">
      <c r="R7214" s="189" t="str">
        <f t="shared" si="196"/>
        <v/>
      </c>
    </row>
    <row r="7215" spans="18:18" x14ac:dyDescent="0.2">
      <c r="R7215" s="189" t="str">
        <f t="shared" si="196"/>
        <v/>
      </c>
    </row>
    <row r="7216" spans="18:18" x14ac:dyDescent="0.2">
      <c r="R7216" s="189" t="str">
        <f t="shared" si="196"/>
        <v/>
      </c>
    </row>
    <row r="7217" spans="18:18" x14ac:dyDescent="0.2">
      <c r="R7217" s="189" t="str">
        <f t="shared" si="196"/>
        <v/>
      </c>
    </row>
    <row r="7218" spans="18:18" x14ac:dyDescent="0.2">
      <c r="R7218" s="189" t="str">
        <f t="shared" si="196"/>
        <v/>
      </c>
    </row>
    <row r="7219" spans="18:18" x14ac:dyDescent="0.2">
      <c r="R7219" s="189" t="str">
        <f t="shared" si="196"/>
        <v/>
      </c>
    </row>
    <row r="7220" spans="18:18" x14ac:dyDescent="0.2">
      <c r="R7220" s="189" t="str">
        <f t="shared" si="196"/>
        <v/>
      </c>
    </row>
    <row r="7221" spans="18:18" x14ac:dyDescent="0.2">
      <c r="R7221" s="189" t="str">
        <f t="shared" si="196"/>
        <v/>
      </c>
    </row>
    <row r="7222" spans="18:18" x14ac:dyDescent="0.2">
      <c r="R7222" s="189" t="str">
        <f t="shared" si="196"/>
        <v/>
      </c>
    </row>
    <row r="7223" spans="18:18" x14ac:dyDescent="0.2">
      <c r="R7223" s="189" t="str">
        <f t="shared" si="196"/>
        <v/>
      </c>
    </row>
    <row r="7224" spans="18:18" x14ac:dyDescent="0.2">
      <c r="R7224" s="189" t="str">
        <f t="shared" si="196"/>
        <v/>
      </c>
    </row>
    <row r="7225" spans="18:18" x14ac:dyDescent="0.2">
      <c r="R7225" s="189" t="str">
        <f t="shared" si="196"/>
        <v/>
      </c>
    </row>
    <row r="7226" spans="18:18" x14ac:dyDescent="0.2">
      <c r="R7226" s="189" t="str">
        <f t="shared" si="196"/>
        <v/>
      </c>
    </row>
    <row r="7227" spans="18:18" x14ac:dyDescent="0.2">
      <c r="R7227" s="189" t="str">
        <f t="shared" si="196"/>
        <v/>
      </c>
    </row>
    <row r="7228" spans="18:18" x14ac:dyDescent="0.2">
      <c r="R7228" s="189" t="str">
        <f t="shared" si="196"/>
        <v/>
      </c>
    </row>
    <row r="7229" spans="18:18" x14ac:dyDescent="0.2">
      <c r="R7229" s="189" t="str">
        <f t="shared" si="196"/>
        <v/>
      </c>
    </row>
    <row r="7230" spans="18:18" x14ac:dyDescent="0.2">
      <c r="R7230" s="189" t="str">
        <f t="shared" si="196"/>
        <v/>
      </c>
    </row>
    <row r="7231" spans="18:18" x14ac:dyDescent="0.2">
      <c r="R7231" s="189" t="str">
        <f t="shared" si="196"/>
        <v/>
      </c>
    </row>
    <row r="7232" spans="18:18" x14ac:dyDescent="0.2">
      <c r="R7232" s="189" t="str">
        <f t="shared" si="196"/>
        <v/>
      </c>
    </row>
    <row r="7233" spans="18:18" x14ac:dyDescent="0.2">
      <c r="R7233" s="189" t="str">
        <f t="shared" si="196"/>
        <v/>
      </c>
    </row>
    <row r="7234" spans="18:18" x14ac:dyDescent="0.2">
      <c r="R7234" s="189" t="str">
        <f t="shared" si="196"/>
        <v/>
      </c>
    </row>
    <row r="7235" spans="18:18" x14ac:dyDescent="0.2">
      <c r="R7235" s="189" t="str">
        <f t="shared" si="196"/>
        <v/>
      </c>
    </row>
    <row r="7236" spans="18:18" x14ac:dyDescent="0.2">
      <c r="R7236" s="189" t="str">
        <f t="shared" si="196"/>
        <v/>
      </c>
    </row>
    <row r="7237" spans="18:18" x14ac:dyDescent="0.2">
      <c r="R7237" s="189" t="str">
        <f t="shared" si="196"/>
        <v/>
      </c>
    </row>
    <row r="7238" spans="18:18" x14ac:dyDescent="0.2">
      <c r="R7238" s="189" t="str">
        <f t="shared" si="196"/>
        <v/>
      </c>
    </row>
    <row r="7239" spans="18:18" x14ac:dyDescent="0.2">
      <c r="R7239" s="189" t="str">
        <f t="shared" si="196"/>
        <v/>
      </c>
    </row>
    <row r="7240" spans="18:18" x14ac:dyDescent="0.2">
      <c r="R7240" s="189" t="str">
        <f t="shared" si="196"/>
        <v/>
      </c>
    </row>
    <row r="7241" spans="18:18" x14ac:dyDescent="0.2">
      <c r="R7241" s="189" t="str">
        <f t="shared" si="196"/>
        <v/>
      </c>
    </row>
    <row r="7242" spans="18:18" x14ac:dyDescent="0.2">
      <c r="R7242" s="189" t="str">
        <f t="shared" si="196"/>
        <v/>
      </c>
    </row>
    <row r="7243" spans="18:18" x14ac:dyDescent="0.2">
      <c r="R7243" s="189" t="str">
        <f t="shared" si="196"/>
        <v/>
      </c>
    </row>
    <row r="7244" spans="18:18" x14ac:dyDescent="0.2">
      <c r="R7244" s="189" t="str">
        <f t="shared" si="196"/>
        <v/>
      </c>
    </row>
    <row r="7245" spans="18:18" x14ac:dyDescent="0.2">
      <c r="R7245" s="189" t="str">
        <f t="shared" si="196"/>
        <v/>
      </c>
    </row>
    <row r="7246" spans="18:18" x14ac:dyDescent="0.2">
      <c r="R7246" s="189" t="str">
        <f t="shared" si="196"/>
        <v/>
      </c>
    </row>
    <row r="7247" spans="18:18" x14ac:dyDescent="0.2">
      <c r="R7247" s="189" t="str">
        <f t="shared" si="196"/>
        <v/>
      </c>
    </row>
    <row r="7248" spans="18:18" x14ac:dyDescent="0.2">
      <c r="R7248" s="189" t="str">
        <f t="shared" si="196"/>
        <v/>
      </c>
    </row>
    <row r="7249" spans="18:18" x14ac:dyDescent="0.2">
      <c r="R7249" s="189" t="str">
        <f t="shared" si="196"/>
        <v/>
      </c>
    </row>
    <row r="7250" spans="18:18" x14ac:dyDescent="0.2">
      <c r="R7250" s="189" t="str">
        <f t="shared" si="196"/>
        <v/>
      </c>
    </row>
    <row r="7251" spans="18:18" x14ac:dyDescent="0.2">
      <c r="R7251" s="189" t="str">
        <f t="shared" si="196"/>
        <v/>
      </c>
    </row>
    <row r="7252" spans="18:18" x14ac:dyDescent="0.2">
      <c r="R7252" s="189" t="str">
        <f t="shared" si="196"/>
        <v/>
      </c>
    </row>
    <row r="7253" spans="18:18" x14ac:dyDescent="0.2">
      <c r="R7253" s="189" t="str">
        <f t="shared" si="196"/>
        <v/>
      </c>
    </row>
    <row r="7254" spans="18:18" x14ac:dyDescent="0.2">
      <c r="R7254" s="189" t="str">
        <f t="shared" ref="R7254:R7317" si="197">IF(OR(P7254="",Q7254=""),"",IFERROR(P7254-Q7254,""))</f>
        <v/>
      </c>
    </row>
    <row r="7255" spans="18:18" x14ac:dyDescent="0.2">
      <c r="R7255" s="189" t="str">
        <f t="shared" si="197"/>
        <v/>
      </c>
    </row>
    <row r="7256" spans="18:18" x14ac:dyDescent="0.2">
      <c r="R7256" s="189" t="str">
        <f t="shared" si="197"/>
        <v/>
      </c>
    </row>
    <row r="7257" spans="18:18" x14ac:dyDescent="0.2">
      <c r="R7257" s="189" t="str">
        <f t="shared" si="197"/>
        <v/>
      </c>
    </row>
    <row r="7258" spans="18:18" x14ac:dyDescent="0.2">
      <c r="R7258" s="189" t="str">
        <f t="shared" si="197"/>
        <v/>
      </c>
    </row>
    <row r="7259" spans="18:18" x14ac:dyDescent="0.2">
      <c r="R7259" s="189" t="str">
        <f t="shared" si="197"/>
        <v/>
      </c>
    </row>
    <row r="7260" spans="18:18" x14ac:dyDescent="0.2">
      <c r="R7260" s="189" t="str">
        <f t="shared" si="197"/>
        <v/>
      </c>
    </row>
    <row r="7261" spans="18:18" x14ac:dyDescent="0.2">
      <c r="R7261" s="189" t="str">
        <f t="shared" si="197"/>
        <v/>
      </c>
    </row>
    <row r="7262" spans="18:18" x14ac:dyDescent="0.2">
      <c r="R7262" s="189" t="str">
        <f t="shared" si="197"/>
        <v/>
      </c>
    </row>
    <row r="7263" spans="18:18" x14ac:dyDescent="0.2">
      <c r="R7263" s="189" t="str">
        <f t="shared" si="197"/>
        <v/>
      </c>
    </row>
    <row r="7264" spans="18:18" x14ac:dyDescent="0.2">
      <c r="R7264" s="189" t="str">
        <f t="shared" si="197"/>
        <v/>
      </c>
    </row>
    <row r="7265" spans="18:18" x14ac:dyDescent="0.2">
      <c r="R7265" s="189" t="str">
        <f t="shared" si="197"/>
        <v/>
      </c>
    </row>
    <row r="7266" spans="18:18" x14ac:dyDescent="0.2">
      <c r="R7266" s="189" t="str">
        <f t="shared" si="197"/>
        <v/>
      </c>
    </row>
    <row r="7267" spans="18:18" x14ac:dyDescent="0.2">
      <c r="R7267" s="189" t="str">
        <f t="shared" si="197"/>
        <v/>
      </c>
    </row>
    <row r="7268" spans="18:18" x14ac:dyDescent="0.2">
      <c r="R7268" s="189" t="str">
        <f t="shared" si="197"/>
        <v/>
      </c>
    </row>
    <row r="7269" spans="18:18" x14ac:dyDescent="0.2">
      <c r="R7269" s="189" t="str">
        <f t="shared" si="197"/>
        <v/>
      </c>
    </row>
    <row r="7270" spans="18:18" x14ac:dyDescent="0.2">
      <c r="R7270" s="189" t="str">
        <f t="shared" si="197"/>
        <v/>
      </c>
    </row>
    <row r="7271" spans="18:18" x14ac:dyDescent="0.2">
      <c r="R7271" s="189" t="str">
        <f t="shared" si="197"/>
        <v/>
      </c>
    </row>
    <row r="7272" spans="18:18" x14ac:dyDescent="0.2">
      <c r="R7272" s="189" t="str">
        <f t="shared" si="197"/>
        <v/>
      </c>
    </row>
    <row r="7273" spans="18:18" x14ac:dyDescent="0.2">
      <c r="R7273" s="189" t="str">
        <f t="shared" si="197"/>
        <v/>
      </c>
    </row>
    <row r="7274" spans="18:18" x14ac:dyDescent="0.2">
      <c r="R7274" s="189" t="str">
        <f t="shared" si="197"/>
        <v/>
      </c>
    </row>
    <row r="7275" spans="18:18" x14ac:dyDescent="0.2">
      <c r="R7275" s="189" t="str">
        <f t="shared" si="197"/>
        <v/>
      </c>
    </row>
    <row r="7276" spans="18:18" x14ac:dyDescent="0.2">
      <c r="R7276" s="189" t="str">
        <f t="shared" si="197"/>
        <v/>
      </c>
    </row>
    <row r="7277" spans="18:18" x14ac:dyDescent="0.2">
      <c r="R7277" s="189" t="str">
        <f t="shared" si="197"/>
        <v/>
      </c>
    </row>
    <row r="7278" spans="18:18" x14ac:dyDescent="0.2">
      <c r="R7278" s="189" t="str">
        <f t="shared" si="197"/>
        <v/>
      </c>
    </row>
    <row r="7279" spans="18:18" x14ac:dyDescent="0.2">
      <c r="R7279" s="189" t="str">
        <f t="shared" si="197"/>
        <v/>
      </c>
    </row>
    <row r="7280" spans="18:18" x14ac:dyDescent="0.2">
      <c r="R7280" s="189" t="str">
        <f t="shared" si="197"/>
        <v/>
      </c>
    </row>
    <row r="7281" spans="18:18" x14ac:dyDescent="0.2">
      <c r="R7281" s="189" t="str">
        <f t="shared" si="197"/>
        <v/>
      </c>
    </row>
    <row r="7282" spans="18:18" x14ac:dyDescent="0.2">
      <c r="R7282" s="189" t="str">
        <f t="shared" si="197"/>
        <v/>
      </c>
    </row>
    <row r="7283" spans="18:18" x14ac:dyDescent="0.2">
      <c r="R7283" s="189" t="str">
        <f t="shared" si="197"/>
        <v/>
      </c>
    </row>
    <row r="7284" spans="18:18" x14ac:dyDescent="0.2">
      <c r="R7284" s="189" t="str">
        <f t="shared" si="197"/>
        <v/>
      </c>
    </row>
    <row r="7285" spans="18:18" x14ac:dyDescent="0.2">
      <c r="R7285" s="189" t="str">
        <f t="shared" si="197"/>
        <v/>
      </c>
    </row>
    <row r="7286" spans="18:18" x14ac:dyDescent="0.2">
      <c r="R7286" s="189" t="str">
        <f t="shared" si="197"/>
        <v/>
      </c>
    </row>
    <row r="7287" spans="18:18" x14ac:dyDescent="0.2">
      <c r="R7287" s="189" t="str">
        <f t="shared" si="197"/>
        <v/>
      </c>
    </row>
    <row r="7288" spans="18:18" x14ac:dyDescent="0.2">
      <c r="R7288" s="189" t="str">
        <f t="shared" si="197"/>
        <v/>
      </c>
    </row>
    <row r="7289" spans="18:18" x14ac:dyDescent="0.2">
      <c r="R7289" s="189" t="str">
        <f t="shared" si="197"/>
        <v/>
      </c>
    </row>
    <row r="7290" spans="18:18" x14ac:dyDescent="0.2">
      <c r="R7290" s="189" t="str">
        <f t="shared" si="197"/>
        <v/>
      </c>
    </row>
    <row r="7291" spans="18:18" x14ac:dyDescent="0.2">
      <c r="R7291" s="189" t="str">
        <f t="shared" si="197"/>
        <v/>
      </c>
    </row>
    <row r="7292" spans="18:18" x14ac:dyDescent="0.2">
      <c r="R7292" s="189" t="str">
        <f t="shared" si="197"/>
        <v/>
      </c>
    </row>
    <row r="7293" spans="18:18" x14ac:dyDescent="0.2">
      <c r="R7293" s="189" t="str">
        <f t="shared" si="197"/>
        <v/>
      </c>
    </row>
    <row r="7294" spans="18:18" x14ac:dyDescent="0.2">
      <c r="R7294" s="189" t="str">
        <f t="shared" si="197"/>
        <v/>
      </c>
    </row>
    <row r="7295" spans="18:18" x14ac:dyDescent="0.2">
      <c r="R7295" s="189" t="str">
        <f t="shared" si="197"/>
        <v/>
      </c>
    </row>
    <row r="7296" spans="18:18" x14ac:dyDescent="0.2">
      <c r="R7296" s="189" t="str">
        <f t="shared" si="197"/>
        <v/>
      </c>
    </row>
    <row r="7297" spans="18:18" x14ac:dyDescent="0.2">
      <c r="R7297" s="189" t="str">
        <f t="shared" si="197"/>
        <v/>
      </c>
    </row>
    <row r="7298" spans="18:18" x14ac:dyDescent="0.2">
      <c r="R7298" s="189" t="str">
        <f t="shared" si="197"/>
        <v/>
      </c>
    </row>
    <row r="7299" spans="18:18" x14ac:dyDescent="0.2">
      <c r="R7299" s="189" t="str">
        <f t="shared" si="197"/>
        <v/>
      </c>
    </row>
    <row r="7300" spans="18:18" x14ac:dyDescent="0.2">
      <c r="R7300" s="189" t="str">
        <f t="shared" si="197"/>
        <v/>
      </c>
    </row>
    <row r="7301" spans="18:18" x14ac:dyDescent="0.2">
      <c r="R7301" s="189" t="str">
        <f t="shared" si="197"/>
        <v/>
      </c>
    </row>
    <row r="7302" spans="18:18" x14ac:dyDescent="0.2">
      <c r="R7302" s="189" t="str">
        <f t="shared" si="197"/>
        <v/>
      </c>
    </row>
    <row r="7303" spans="18:18" x14ac:dyDescent="0.2">
      <c r="R7303" s="189" t="str">
        <f t="shared" si="197"/>
        <v/>
      </c>
    </row>
    <row r="7304" spans="18:18" x14ac:dyDescent="0.2">
      <c r="R7304" s="189" t="str">
        <f t="shared" si="197"/>
        <v/>
      </c>
    </row>
    <row r="7305" spans="18:18" x14ac:dyDescent="0.2">
      <c r="R7305" s="189" t="str">
        <f t="shared" si="197"/>
        <v/>
      </c>
    </row>
    <row r="7306" spans="18:18" x14ac:dyDescent="0.2">
      <c r="R7306" s="189" t="str">
        <f t="shared" si="197"/>
        <v/>
      </c>
    </row>
    <row r="7307" spans="18:18" x14ac:dyDescent="0.2">
      <c r="R7307" s="189" t="str">
        <f t="shared" si="197"/>
        <v/>
      </c>
    </row>
    <row r="7308" spans="18:18" x14ac:dyDescent="0.2">
      <c r="R7308" s="189" t="str">
        <f t="shared" si="197"/>
        <v/>
      </c>
    </row>
    <row r="7309" spans="18:18" x14ac:dyDescent="0.2">
      <c r="R7309" s="189" t="str">
        <f t="shared" si="197"/>
        <v/>
      </c>
    </row>
    <row r="7310" spans="18:18" x14ac:dyDescent="0.2">
      <c r="R7310" s="189" t="str">
        <f t="shared" si="197"/>
        <v/>
      </c>
    </row>
    <row r="7311" spans="18:18" x14ac:dyDescent="0.2">
      <c r="R7311" s="189" t="str">
        <f t="shared" si="197"/>
        <v/>
      </c>
    </row>
    <row r="7312" spans="18:18" x14ac:dyDescent="0.2">
      <c r="R7312" s="189" t="str">
        <f t="shared" si="197"/>
        <v/>
      </c>
    </row>
    <row r="7313" spans="18:18" x14ac:dyDescent="0.2">
      <c r="R7313" s="189" t="str">
        <f t="shared" si="197"/>
        <v/>
      </c>
    </row>
    <row r="7314" spans="18:18" x14ac:dyDescent="0.2">
      <c r="R7314" s="189" t="str">
        <f t="shared" si="197"/>
        <v/>
      </c>
    </row>
    <row r="7315" spans="18:18" x14ac:dyDescent="0.2">
      <c r="R7315" s="189" t="str">
        <f t="shared" si="197"/>
        <v/>
      </c>
    </row>
    <row r="7316" spans="18:18" x14ac:dyDescent="0.2">
      <c r="R7316" s="189" t="str">
        <f t="shared" si="197"/>
        <v/>
      </c>
    </row>
    <row r="7317" spans="18:18" x14ac:dyDescent="0.2">
      <c r="R7317" s="189" t="str">
        <f t="shared" si="197"/>
        <v/>
      </c>
    </row>
    <row r="7318" spans="18:18" x14ac:dyDescent="0.2">
      <c r="R7318" s="189" t="str">
        <f t="shared" ref="R7318:R7381" si="198">IF(OR(P7318="",Q7318=""),"",IFERROR(P7318-Q7318,""))</f>
        <v/>
      </c>
    </row>
    <row r="7319" spans="18:18" x14ac:dyDescent="0.2">
      <c r="R7319" s="189" t="str">
        <f t="shared" si="198"/>
        <v/>
      </c>
    </row>
    <row r="7320" spans="18:18" x14ac:dyDescent="0.2">
      <c r="R7320" s="189" t="str">
        <f t="shared" si="198"/>
        <v/>
      </c>
    </row>
    <row r="7321" spans="18:18" x14ac:dyDescent="0.2">
      <c r="R7321" s="189" t="str">
        <f t="shared" si="198"/>
        <v/>
      </c>
    </row>
    <row r="7322" spans="18:18" x14ac:dyDescent="0.2">
      <c r="R7322" s="189" t="str">
        <f t="shared" si="198"/>
        <v/>
      </c>
    </row>
    <row r="7323" spans="18:18" x14ac:dyDescent="0.2">
      <c r="R7323" s="189" t="str">
        <f t="shared" si="198"/>
        <v/>
      </c>
    </row>
    <row r="7324" spans="18:18" x14ac:dyDescent="0.2">
      <c r="R7324" s="189" t="str">
        <f t="shared" si="198"/>
        <v/>
      </c>
    </row>
    <row r="7325" spans="18:18" x14ac:dyDescent="0.2">
      <c r="R7325" s="189" t="str">
        <f t="shared" si="198"/>
        <v/>
      </c>
    </row>
    <row r="7326" spans="18:18" x14ac:dyDescent="0.2">
      <c r="R7326" s="189" t="str">
        <f t="shared" si="198"/>
        <v/>
      </c>
    </row>
    <row r="7327" spans="18:18" x14ac:dyDescent="0.2">
      <c r="R7327" s="189" t="str">
        <f t="shared" si="198"/>
        <v/>
      </c>
    </row>
    <row r="7328" spans="18:18" x14ac:dyDescent="0.2">
      <c r="R7328" s="189" t="str">
        <f t="shared" si="198"/>
        <v/>
      </c>
    </row>
    <row r="7329" spans="18:18" x14ac:dyDescent="0.2">
      <c r="R7329" s="189" t="str">
        <f t="shared" si="198"/>
        <v/>
      </c>
    </row>
    <row r="7330" spans="18:18" x14ac:dyDescent="0.2">
      <c r="R7330" s="189" t="str">
        <f t="shared" si="198"/>
        <v/>
      </c>
    </row>
    <row r="7331" spans="18:18" x14ac:dyDescent="0.2">
      <c r="R7331" s="189" t="str">
        <f t="shared" si="198"/>
        <v/>
      </c>
    </row>
    <row r="7332" spans="18:18" x14ac:dyDescent="0.2">
      <c r="R7332" s="189" t="str">
        <f t="shared" si="198"/>
        <v/>
      </c>
    </row>
    <row r="7333" spans="18:18" x14ac:dyDescent="0.2">
      <c r="R7333" s="189" t="str">
        <f t="shared" si="198"/>
        <v/>
      </c>
    </row>
    <row r="7334" spans="18:18" x14ac:dyDescent="0.2">
      <c r="R7334" s="189" t="str">
        <f t="shared" si="198"/>
        <v/>
      </c>
    </row>
    <row r="7335" spans="18:18" x14ac:dyDescent="0.2">
      <c r="R7335" s="189" t="str">
        <f t="shared" si="198"/>
        <v/>
      </c>
    </row>
    <row r="7336" spans="18:18" x14ac:dyDescent="0.2">
      <c r="R7336" s="189" t="str">
        <f t="shared" si="198"/>
        <v/>
      </c>
    </row>
    <row r="7337" spans="18:18" x14ac:dyDescent="0.2">
      <c r="R7337" s="189" t="str">
        <f t="shared" si="198"/>
        <v/>
      </c>
    </row>
    <row r="7338" spans="18:18" x14ac:dyDescent="0.2">
      <c r="R7338" s="189" t="str">
        <f t="shared" si="198"/>
        <v/>
      </c>
    </row>
    <row r="7339" spans="18:18" x14ac:dyDescent="0.2">
      <c r="R7339" s="189" t="str">
        <f t="shared" si="198"/>
        <v/>
      </c>
    </row>
    <row r="7340" spans="18:18" x14ac:dyDescent="0.2">
      <c r="R7340" s="189" t="str">
        <f t="shared" si="198"/>
        <v/>
      </c>
    </row>
    <row r="7341" spans="18:18" x14ac:dyDescent="0.2">
      <c r="R7341" s="189" t="str">
        <f t="shared" si="198"/>
        <v/>
      </c>
    </row>
    <row r="7342" spans="18:18" x14ac:dyDescent="0.2">
      <c r="R7342" s="189" t="str">
        <f t="shared" si="198"/>
        <v/>
      </c>
    </row>
    <row r="7343" spans="18:18" x14ac:dyDescent="0.2">
      <c r="R7343" s="189" t="str">
        <f t="shared" si="198"/>
        <v/>
      </c>
    </row>
    <row r="7344" spans="18:18" x14ac:dyDescent="0.2">
      <c r="R7344" s="189" t="str">
        <f t="shared" si="198"/>
        <v/>
      </c>
    </row>
    <row r="7345" spans="18:18" x14ac:dyDescent="0.2">
      <c r="R7345" s="189" t="str">
        <f t="shared" si="198"/>
        <v/>
      </c>
    </row>
    <row r="7346" spans="18:18" x14ac:dyDescent="0.2">
      <c r="R7346" s="189" t="str">
        <f t="shared" si="198"/>
        <v/>
      </c>
    </row>
    <row r="7347" spans="18:18" x14ac:dyDescent="0.2">
      <c r="R7347" s="189" t="str">
        <f t="shared" si="198"/>
        <v/>
      </c>
    </row>
    <row r="7348" spans="18:18" x14ac:dyDescent="0.2">
      <c r="R7348" s="189" t="str">
        <f t="shared" si="198"/>
        <v/>
      </c>
    </row>
    <row r="7349" spans="18:18" x14ac:dyDescent="0.2">
      <c r="R7349" s="189" t="str">
        <f t="shared" si="198"/>
        <v/>
      </c>
    </row>
    <row r="7350" spans="18:18" x14ac:dyDescent="0.2">
      <c r="R7350" s="189" t="str">
        <f t="shared" si="198"/>
        <v/>
      </c>
    </row>
    <row r="7351" spans="18:18" x14ac:dyDescent="0.2">
      <c r="R7351" s="189" t="str">
        <f t="shared" si="198"/>
        <v/>
      </c>
    </row>
    <row r="7352" spans="18:18" x14ac:dyDescent="0.2">
      <c r="R7352" s="189" t="str">
        <f t="shared" si="198"/>
        <v/>
      </c>
    </row>
    <row r="7353" spans="18:18" x14ac:dyDescent="0.2">
      <c r="R7353" s="189" t="str">
        <f t="shared" si="198"/>
        <v/>
      </c>
    </row>
    <row r="7354" spans="18:18" x14ac:dyDescent="0.2">
      <c r="R7354" s="189" t="str">
        <f t="shared" si="198"/>
        <v/>
      </c>
    </row>
    <row r="7355" spans="18:18" x14ac:dyDescent="0.2">
      <c r="R7355" s="189" t="str">
        <f t="shared" si="198"/>
        <v/>
      </c>
    </row>
    <row r="7356" spans="18:18" x14ac:dyDescent="0.2">
      <c r="R7356" s="189" t="str">
        <f t="shared" si="198"/>
        <v/>
      </c>
    </row>
    <row r="7357" spans="18:18" x14ac:dyDescent="0.2">
      <c r="R7357" s="189" t="str">
        <f t="shared" si="198"/>
        <v/>
      </c>
    </row>
    <row r="7358" spans="18:18" x14ac:dyDescent="0.2">
      <c r="R7358" s="189" t="str">
        <f t="shared" si="198"/>
        <v/>
      </c>
    </row>
    <row r="7359" spans="18:18" x14ac:dyDescent="0.2">
      <c r="R7359" s="189" t="str">
        <f t="shared" si="198"/>
        <v/>
      </c>
    </row>
    <row r="7360" spans="18:18" x14ac:dyDescent="0.2">
      <c r="R7360" s="189" t="str">
        <f t="shared" si="198"/>
        <v/>
      </c>
    </row>
    <row r="7361" spans="18:18" x14ac:dyDescent="0.2">
      <c r="R7361" s="189" t="str">
        <f t="shared" si="198"/>
        <v/>
      </c>
    </row>
    <row r="7362" spans="18:18" x14ac:dyDescent="0.2">
      <c r="R7362" s="189" t="str">
        <f t="shared" si="198"/>
        <v/>
      </c>
    </row>
    <row r="7363" spans="18:18" x14ac:dyDescent="0.2">
      <c r="R7363" s="189" t="str">
        <f t="shared" si="198"/>
        <v/>
      </c>
    </row>
    <row r="7364" spans="18:18" x14ac:dyDescent="0.2">
      <c r="R7364" s="189" t="str">
        <f t="shared" si="198"/>
        <v/>
      </c>
    </row>
    <row r="7365" spans="18:18" x14ac:dyDescent="0.2">
      <c r="R7365" s="189" t="str">
        <f t="shared" si="198"/>
        <v/>
      </c>
    </row>
    <row r="7366" spans="18:18" x14ac:dyDescent="0.2">
      <c r="R7366" s="189" t="str">
        <f t="shared" si="198"/>
        <v/>
      </c>
    </row>
    <row r="7367" spans="18:18" x14ac:dyDescent="0.2">
      <c r="R7367" s="189" t="str">
        <f t="shared" si="198"/>
        <v/>
      </c>
    </row>
    <row r="7368" spans="18:18" x14ac:dyDescent="0.2">
      <c r="R7368" s="189" t="str">
        <f t="shared" si="198"/>
        <v/>
      </c>
    </row>
    <row r="7369" spans="18:18" x14ac:dyDescent="0.2">
      <c r="R7369" s="189" t="str">
        <f t="shared" si="198"/>
        <v/>
      </c>
    </row>
    <row r="7370" spans="18:18" x14ac:dyDescent="0.2">
      <c r="R7370" s="189" t="str">
        <f t="shared" si="198"/>
        <v/>
      </c>
    </row>
    <row r="7371" spans="18:18" x14ac:dyDescent="0.2">
      <c r="R7371" s="189" t="str">
        <f t="shared" si="198"/>
        <v/>
      </c>
    </row>
    <row r="7372" spans="18:18" x14ac:dyDescent="0.2">
      <c r="R7372" s="189" t="str">
        <f t="shared" si="198"/>
        <v/>
      </c>
    </row>
    <row r="7373" spans="18:18" x14ac:dyDescent="0.2">
      <c r="R7373" s="189" t="str">
        <f t="shared" si="198"/>
        <v/>
      </c>
    </row>
    <row r="7374" spans="18:18" x14ac:dyDescent="0.2">
      <c r="R7374" s="189" t="str">
        <f t="shared" si="198"/>
        <v/>
      </c>
    </row>
    <row r="7375" spans="18:18" x14ac:dyDescent="0.2">
      <c r="R7375" s="189" t="str">
        <f t="shared" si="198"/>
        <v/>
      </c>
    </row>
    <row r="7376" spans="18:18" x14ac:dyDescent="0.2">
      <c r="R7376" s="189" t="str">
        <f t="shared" si="198"/>
        <v/>
      </c>
    </row>
    <row r="7377" spans="18:18" x14ac:dyDescent="0.2">
      <c r="R7377" s="189" t="str">
        <f t="shared" si="198"/>
        <v/>
      </c>
    </row>
    <row r="7378" spans="18:18" x14ac:dyDescent="0.2">
      <c r="R7378" s="189" t="str">
        <f t="shared" si="198"/>
        <v/>
      </c>
    </row>
    <row r="7379" spans="18:18" x14ac:dyDescent="0.2">
      <c r="R7379" s="189" t="str">
        <f t="shared" si="198"/>
        <v/>
      </c>
    </row>
    <row r="7380" spans="18:18" x14ac:dyDescent="0.2">
      <c r="R7380" s="189" t="str">
        <f t="shared" si="198"/>
        <v/>
      </c>
    </row>
    <row r="7381" spans="18:18" x14ac:dyDescent="0.2">
      <c r="R7381" s="189" t="str">
        <f t="shared" si="198"/>
        <v/>
      </c>
    </row>
    <row r="7382" spans="18:18" x14ac:dyDescent="0.2">
      <c r="R7382" s="189" t="str">
        <f t="shared" ref="R7382:R7445" si="199">IF(OR(P7382="",Q7382=""),"",IFERROR(P7382-Q7382,""))</f>
        <v/>
      </c>
    </row>
    <row r="7383" spans="18:18" x14ac:dyDescent="0.2">
      <c r="R7383" s="189" t="str">
        <f t="shared" si="199"/>
        <v/>
      </c>
    </row>
    <row r="7384" spans="18:18" x14ac:dyDescent="0.2">
      <c r="R7384" s="189" t="str">
        <f t="shared" si="199"/>
        <v/>
      </c>
    </row>
    <row r="7385" spans="18:18" x14ac:dyDescent="0.2">
      <c r="R7385" s="189" t="str">
        <f t="shared" si="199"/>
        <v/>
      </c>
    </row>
    <row r="7386" spans="18:18" x14ac:dyDescent="0.2">
      <c r="R7386" s="189" t="str">
        <f t="shared" si="199"/>
        <v/>
      </c>
    </row>
    <row r="7387" spans="18:18" x14ac:dyDescent="0.2">
      <c r="R7387" s="189" t="str">
        <f t="shared" si="199"/>
        <v/>
      </c>
    </row>
    <row r="7388" spans="18:18" x14ac:dyDescent="0.2">
      <c r="R7388" s="189" t="str">
        <f t="shared" si="199"/>
        <v/>
      </c>
    </row>
    <row r="7389" spans="18:18" x14ac:dyDescent="0.2">
      <c r="R7389" s="189" t="str">
        <f t="shared" si="199"/>
        <v/>
      </c>
    </row>
    <row r="7390" spans="18:18" x14ac:dyDescent="0.2">
      <c r="R7390" s="189" t="str">
        <f t="shared" si="199"/>
        <v/>
      </c>
    </row>
    <row r="7391" spans="18:18" x14ac:dyDescent="0.2">
      <c r="R7391" s="189" t="str">
        <f t="shared" si="199"/>
        <v/>
      </c>
    </row>
    <row r="7392" spans="18:18" x14ac:dyDescent="0.2">
      <c r="R7392" s="189" t="str">
        <f t="shared" si="199"/>
        <v/>
      </c>
    </row>
    <row r="7393" spans="18:18" x14ac:dyDescent="0.2">
      <c r="R7393" s="189" t="str">
        <f t="shared" si="199"/>
        <v/>
      </c>
    </row>
    <row r="7394" spans="18:18" x14ac:dyDescent="0.2">
      <c r="R7394" s="189" t="str">
        <f t="shared" si="199"/>
        <v/>
      </c>
    </row>
    <row r="7395" spans="18:18" x14ac:dyDescent="0.2">
      <c r="R7395" s="189" t="str">
        <f t="shared" si="199"/>
        <v/>
      </c>
    </row>
    <row r="7396" spans="18:18" x14ac:dyDescent="0.2">
      <c r="R7396" s="189" t="str">
        <f t="shared" si="199"/>
        <v/>
      </c>
    </row>
    <row r="7397" spans="18:18" x14ac:dyDescent="0.2">
      <c r="R7397" s="189" t="str">
        <f t="shared" si="199"/>
        <v/>
      </c>
    </row>
    <row r="7398" spans="18:18" x14ac:dyDescent="0.2">
      <c r="R7398" s="189" t="str">
        <f t="shared" si="199"/>
        <v/>
      </c>
    </row>
    <row r="7399" spans="18:18" x14ac:dyDescent="0.2">
      <c r="R7399" s="189" t="str">
        <f t="shared" si="199"/>
        <v/>
      </c>
    </row>
    <row r="7400" spans="18:18" x14ac:dyDescent="0.2">
      <c r="R7400" s="189" t="str">
        <f t="shared" si="199"/>
        <v/>
      </c>
    </row>
    <row r="7401" spans="18:18" x14ac:dyDescent="0.2">
      <c r="R7401" s="189" t="str">
        <f t="shared" si="199"/>
        <v/>
      </c>
    </row>
    <row r="7402" spans="18:18" x14ac:dyDescent="0.2">
      <c r="R7402" s="189" t="str">
        <f t="shared" si="199"/>
        <v/>
      </c>
    </row>
    <row r="7403" spans="18:18" x14ac:dyDescent="0.2">
      <c r="R7403" s="189" t="str">
        <f t="shared" si="199"/>
        <v/>
      </c>
    </row>
    <row r="7404" spans="18:18" x14ac:dyDescent="0.2">
      <c r="R7404" s="189" t="str">
        <f t="shared" si="199"/>
        <v/>
      </c>
    </row>
    <row r="7405" spans="18:18" x14ac:dyDescent="0.2">
      <c r="R7405" s="189" t="str">
        <f t="shared" si="199"/>
        <v/>
      </c>
    </row>
    <row r="7406" spans="18:18" x14ac:dyDescent="0.2">
      <c r="R7406" s="189" t="str">
        <f t="shared" si="199"/>
        <v/>
      </c>
    </row>
    <row r="7407" spans="18:18" x14ac:dyDescent="0.2">
      <c r="R7407" s="189" t="str">
        <f t="shared" si="199"/>
        <v/>
      </c>
    </row>
    <row r="7408" spans="18:18" x14ac:dyDescent="0.2">
      <c r="R7408" s="189" t="str">
        <f t="shared" si="199"/>
        <v/>
      </c>
    </row>
    <row r="7409" spans="18:18" x14ac:dyDescent="0.2">
      <c r="R7409" s="189" t="str">
        <f t="shared" si="199"/>
        <v/>
      </c>
    </row>
    <row r="7410" spans="18:18" x14ac:dyDescent="0.2">
      <c r="R7410" s="189" t="str">
        <f t="shared" si="199"/>
        <v/>
      </c>
    </row>
    <row r="7411" spans="18:18" x14ac:dyDescent="0.2">
      <c r="R7411" s="189" t="str">
        <f t="shared" si="199"/>
        <v/>
      </c>
    </row>
    <row r="7412" spans="18:18" x14ac:dyDescent="0.2">
      <c r="R7412" s="189" t="str">
        <f t="shared" si="199"/>
        <v/>
      </c>
    </row>
    <row r="7413" spans="18:18" x14ac:dyDescent="0.2">
      <c r="R7413" s="189" t="str">
        <f t="shared" si="199"/>
        <v/>
      </c>
    </row>
    <row r="7414" spans="18:18" x14ac:dyDescent="0.2">
      <c r="R7414" s="189" t="str">
        <f t="shared" si="199"/>
        <v/>
      </c>
    </row>
    <row r="7415" spans="18:18" x14ac:dyDescent="0.2">
      <c r="R7415" s="189" t="str">
        <f t="shared" si="199"/>
        <v/>
      </c>
    </row>
    <row r="7416" spans="18:18" x14ac:dyDescent="0.2">
      <c r="R7416" s="189" t="str">
        <f t="shared" si="199"/>
        <v/>
      </c>
    </row>
    <row r="7417" spans="18:18" x14ac:dyDescent="0.2">
      <c r="R7417" s="189" t="str">
        <f t="shared" si="199"/>
        <v/>
      </c>
    </row>
    <row r="7418" spans="18:18" x14ac:dyDescent="0.2">
      <c r="R7418" s="189" t="str">
        <f t="shared" si="199"/>
        <v/>
      </c>
    </row>
    <row r="7419" spans="18:18" x14ac:dyDescent="0.2">
      <c r="R7419" s="189" t="str">
        <f t="shared" si="199"/>
        <v/>
      </c>
    </row>
    <row r="7420" spans="18:18" x14ac:dyDescent="0.2">
      <c r="R7420" s="189" t="str">
        <f t="shared" si="199"/>
        <v/>
      </c>
    </row>
    <row r="7421" spans="18:18" x14ac:dyDescent="0.2">
      <c r="R7421" s="189" t="str">
        <f t="shared" si="199"/>
        <v/>
      </c>
    </row>
    <row r="7422" spans="18:18" x14ac:dyDescent="0.2">
      <c r="R7422" s="189" t="str">
        <f t="shared" si="199"/>
        <v/>
      </c>
    </row>
    <row r="7423" spans="18:18" x14ac:dyDescent="0.2">
      <c r="R7423" s="189" t="str">
        <f t="shared" si="199"/>
        <v/>
      </c>
    </row>
    <row r="7424" spans="18:18" x14ac:dyDescent="0.2">
      <c r="R7424" s="189" t="str">
        <f t="shared" si="199"/>
        <v/>
      </c>
    </row>
    <row r="7425" spans="18:18" x14ac:dyDescent="0.2">
      <c r="R7425" s="189" t="str">
        <f t="shared" si="199"/>
        <v/>
      </c>
    </row>
    <row r="7426" spans="18:18" x14ac:dyDescent="0.2">
      <c r="R7426" s="189" t="str">
        <f t="shared" si="199"/>
        <v/>
      </c>
    </row>
    <row r="7427" spans="18:18" x14ac:dyDescent="0.2">
      <c r="R7427" s="189" t="str">
        <f t="shared" si="199"/>
        <v/>
      </c>
    </row>
    <row r="7428" spans="18:18" x14ac:dyDescent="0.2">
      <c r="R7428" s="189" t="str">
        <f t="shared" si="199"/>
        <v/>
      </c>
    </row>
    <row r="7429" spans="18:18" x14ac:dyDescent="0.2">
      <c r="R7429" s="189" t="str">
        <f t="shared" si="199"/>
        <v/>
      </c>
    </row>
    <row r="7430" spans="18:18" x14ac:dyDescent="0.2">
      <c r="R7430" s="189" t="str">
        <f t="shared" si="199"/>
        <v/>
      </c>
    </row>
    <row r="7431" spans="18:18" x14ac:dyDescent="0.2">
      <c r="R7431" s="189" t="str">
        <f t="shared" si="199"/>
        <v/>
      </c>
    </row>
    <row r="7432" spans="18:18" x14ac:dyDescent="0.2">
      <c r="R7432" s="189" t="str">
        <f t="shared" si="199"/>
        <v/>
      </c>
    </row>
    <row r="7433" spans="18:18" x14ac:dyDescent="0.2">
      <c r="R7433" s="189" t="str">
        <f t="shared" si="199"/>
        <v/>
      </c>
    </row>
    <row r="7434" spans="18:18" x14ac:dyDescent="0.2">
      <c r="R7434" s="189" t="str">
        <f t="shared" si="199"/>
        <v/>
      </c>
    </row>
    <row r="7435" spans="18:18" x14ac:dyDescent="0.2">
      <c r="R7435" s="189" t="str">
        <f t="shared" si="199"/>
        <v/>
      </c>
    </row>
    <row r="7436" spans="18:18" x14ac:dyDescent="0.2">
      <c r="R7436" s="189" t="str">
        <f t="shared" si="199"/>
        <v/>
      </c>
    </row>
    <row r="7437" spans="18:18" x14ac:dyDescent="0.2">
      <c r="R7437" s="189" t="str">
        <f t="shared" si="199"/>
        <v/>
      </c>
    </row>
    <row r="7438" spans="18:18" x14ac:dyDescent="0.2">
      <c r="R7438" s="189" t="str">
        <f t="shared" si="199"/>
        <v/>
      </c>
    </row>
    <row r="7439" spans="18:18" x14ac:dyDescent="0.2">
      <c r="R7439" s="189" t="str">
        <f t="shared" si="199"/>
        <v/>
      </c>
    </row>
    <row r="7440" spans="18:18" x14ac:dyDescent="0.2">
      <c r="R7440" s="189" t="str">
        <f t="shared" si="199"/>
        <v/>
      </c>
    </row>
    <row r="7441" spans="18:18" x14ac:dyDescent="0.2">
      <c r="R7441" s="189" t="str">
        <f t="shared" si="199"/>
        <v/>
      </c>
    </row>
    <row r="7442" spans="18:18" x14ac:dyDescent="0.2">
      <c r="R7442" s="189" t="str">
        <f t="shared" si="199"/>
        <v/>
      </c>
    </row>
    <row r="7443" spans="18:18" x14ac:dyDescent="0.2">
      <c r="R7443" s="189" t="str">
        <f t="shared" si="199"/>
        <v/>
      </c>
    </row>
    <row r="7444" spans="18:18" x14ac:dyDescent="0.2">
      <c r="R7444" s="189" t="str">
        <f t="shared" si="199"/>
        <v/>
      </c>
    </row>
    <row r="7445" spans="18:18" x14ac:dyDescent="0.2">
      <c r="R7445" s="189" t="str">
        <f t="shared" si="199"/>
        <v/>
      </c>
    </row>
    <row r="7446" spans="18:18" x14ac:dyDescent="0.2">
      <c r="R7446" s="189" t="str">
        <f t="shared" ref="R7446:R7509" si="200">IF(OR(P7446="",Q7446=""),"",IFERROR(P7446-Q7446,""))</f>
        <v/>
      </c>
    </row>
    <row r="7447" spans="18:18" x14ac:dyDescent="0.2">
      <c r="R7447" s="189" t="str">
        <f t="shared" si="200"/>
        <v/>
      </c>
    </row>
    <row r="7448" spans="18:18" x14ac:dyDescent="0.2">
      <c r="R7448" s="189" t="str">
        <f t="shared" si="200"/>
        <v/>
      </c>
    </row>
    <row r="7449" spans="18:18" x14ac:dyDescent="0.2">
      <c r="R7449" s="189" t="str">
        <f t="shared" si="200"/>
        <v/>
      </c>
    </row>
    <row r="7450" spans="18:18" x14ac:dyDescent="0.2">
      <c r="R7450" s="189" t="str">
        <f t="shared" si="200"/>
        <v/>
      </c>
    </row>
    <row r="7451" spans="18:18" x14ac:dyDescent="0.2">
      <c r="R7451" s="189" t="str">
        <f t="shared" si="200"/>
        <v/>
      </c>
    </row>
    <row r="7452" spans="18:18" x14ac:dyDescent="0.2">
      <c r="R7452" s="189" t="str">
        <f t="shared" si="200"/>
        <v/>
      </c>
    </row>
    <row r="7453" spans="18:18" x14ac:dyDescent="0.2">
      <c r="R7453" s="189" t="str">
        <f t="shared" si="200"/>
        <v/>
      </c>
    </row>
    <row r="7454" spans="18:18" x14ac:dyDescent="0.2">
      <c r="R7454" s="189" t="str">
        <f t="shared" si="200"/>
        <v/>
      </c>
    </row>
    <row r="7455" spans="18:18" x14ac:dyDescent="0.2">
      <c r="R7455" s="189" t="str">
        <f t="shared" si="200"/>
        <v/>
      </c>
    </row>
    <row r="7456" spans="18:18" x14ac:dyDescent="0.2">
      <c r="R7456" s="189" t="str">
        <f t="shared" si="200"/>
        <v/>
      </c>
    </row>
    <row r="7457" spans="18:18" x14ac:dyDescent="0.2">
      <c r="R7457" s="189" t="str">
        <f t="shared" si="200"/>
        <v/>
      </c>
    </row>
    <row r="7458" spans="18:18" x14ac:dyDescent="0.2">
      <c r="R7458" s="189" t="str">
        <f t="shared" si="200"/>
        <v/>
      </c>
    </row>
    <row r="7459" spans="18:18" x14ac:dyDescent="0.2">
      <c r="R7459" s="189" t="str">
        <f t="shared" si="200"/>
        <v/>
      </c>
    </row>
    <row r="7460" spans="18:18" x14ac:dyDescent="0.2">
      <c r="R7460" s="189" t="str">
        <f t="shared" si="200"/>
        <v/>
      </c>
    </row>
    <row r="7461" spans="18:18" x14ac:dyDescent="0.2">
      <c r="R7461" s="189" t="str">
        <f t="shared" si="200"/>
        <v/>
      </c>
    </row>
    <row r="7462" spans="18:18" x14ac:dyDescent="0.2">
      <c r="R7462" s="189" t="str">
        <f t="shared" si="200"/>
        <v/>
      </c>
    </row>
    <row r="7463" spans="18:18" x14ac:dyDescent="0.2">
      <c r="R7463" s="189" t="str">
        <f t="shared" si="200"/>
        <v/>
      </c>
    </row>
    <row r="7464" spans="18:18" x14ac:dyDescent="0.2">
      <c r="R7464" s="189" t="str">
        <f t="shared" si="200"/>
        <v/>
      </c>
    </row>
    <row r="7465" spans="18:18" x14ac:dyDescent="0.2">
      <c r="R7465" s="189" t="str">
        <f t="shared" si="200"/>
        <v/>
      </c>
    </row>
    <row r="7466" spans="18:18" x14ac:dyDescent="0.2">
      <c r="R7466" s="189" t="str">
        <f t="shared" si="200"/>
        <v/>
      </c>
    </row>
    <row r="7467" spans="18:18" x14ac:dyDescent="0.2">
      <c r="R7467" s="189" t="str">
        <f t="shared" si="200"/>
        <v/>
      </c>
    </row>
    <row r="7468" spans="18:18" x14ac:dyDescent="0.2">
      <c r="R7468" s="189" t="str">
        <f t="shared" si="200"/>
        <v/>
      </c>
    </row>
    <row r="7469" spans="18:18" x14ac:dyDescent="0.2">
      <c r="R7469" s="189" t="str">
        <f t="shared" si="200"/>
        <v/>
      </c>
    </row>
    <row r="7470" spans="18:18" x14ac:dyDescent="0.2">
      <c r="R7470" s="189" t="str">
        <f t="shared" si="200"/>
        <v/>
      </c>
    </row>
    <row r="7471" spans="18:18" x14ac:dyDescent="0.2">
      <c r="R7471" s="189" t="str">
        <f t="shared" si="200"/>
        <v/>
      </c>
    </row>
    <row r="7472" spans="18:18" x14ac:dyDescent="0.2">
      <c r="R7472" s="189" t="str">
        <f t="shared" si="200"/>
        <v/>
      </c>
    </row>
    <row r="7473" spans="18:18" x14ac:dyDescent="0.2">
      <c r="R7473" s="189" t="str">
        <f t="shared" si="200"/>
        <v/>
      </c>
    </row>
    <row r="7474" spans="18:18" x14ac:dyDescent="0.2">
      <c r="R7474" s="189" t="str">
        <f t="shared" si="200"/>
        <v/>
      </c>
    </row>
    <row r="7475" spans="18:18" x14ac:dyDescent="0.2">
      <c r="R7475" s="189" t="str">
        <f t="shared" si="200"/>
        <v/>
      </c>
    </row>
    <row r="7476" spans="18:18" x14ac:dyDescent="0.2">
      <c r="R7476" s="189" t="str">
        <f t="shared" si="200"/>
        <v/>
      </c>
    </row>
    <row r="7477" spans="18:18" x14ac:dyDescent="0.2">
      <c r="R7477" s="189" t="str">
        <f t="shared" si="200"/>
        <v/>
      </c>
    </row>
    <row r="7478" spans="18:18" x14ac:dyDescent="0.2">
      <c r="R7478" s="189" t="str">
        <f t="shared" si="200"/>
        <v/>
      </c>
    </row>
    <row r="7479" spans="18:18" x14ac:dyDescent="0.2">
      <c r="R7479" s="189" t="str">
        <f t="shared" si="200"/>
        <v/>
      </c>
    </row>
    <row r="7480" spans="18:18" x14ac:dyDescent="0.2">
      <c r="R7480" s="189" t="str">
        <f t="shared" si="200"/>
        <v/>
      </c>
    </row>
    <row r="7481" spans="18:18" x14ac:dyDescent="0.2">
      <c r="R7481" s="189" t="str">
        <f t="shared" si="200"/>
        <v/>
      </c>
    </row>
    <row r="7482" spans="18:18" x14ac:dyDescent="0.2">
      <c r="R7482" s="189" t="str">
        <f t="shared" si="200"/>
        <v/>
      </c>
    </row>
    <row r="7483" spans="18:18" x14ac:dyDescent="0.2">
      <c r="R7483" s="189" t="str">
        <f t="shared" si="200"/>
        <v/>
      </c>
    </row>
    <row r="7484" spans="18:18" x14ac:dyDescent="0.2">
      <c r="R7484" s="189" t="str">
        <f t="shared" si="200"/>
        <v/>
      </c>
    </row>
    <row r="7485" spans="18:18" x14ac:dyDescent="0.2">
      <c r="R7485" s="189" t="str">
        <f t="shared" si="200"/>
        <v/>
      </c>
    </row>
    <row r="7486" spans="18:18" x14ac:dyDescent="0.2">
      <c r="R7486" s="189" t="str">
        <f t="shared" si="200"/>
        <v/>
      </c>
    </row>
    <row r="7487" spans="18:18" x14ac:dyDescent="0.2">
      <c r="R7487" s="189" t="str">
        <f t="shared" si="200"/>
        <v/>
      </c>
    </row>
    <row r="7488" spans="18:18" x14ac:dyDescent="0.2">
      <c r="R7488" s="189" t="str">
        <f t="shared" si="200"/>
        <v/>
      </c>
    </row>
    <row r="7489" spans="18:18" x14ac:dyDescent="0.2">
      <c r="R7489" s="189" t="str">
        <f t="shared" si="200"/>
        <v/>
      </c>
    </row>
    <row r="7490" spans="18:18" x14ac:dyDescent="0.2">
      <c r="R7490" s="189" t="str">
        <f t="shared" si="200"/>
        <v/>
      </c>
    </row>
    <row r="7491" spans="18:18" x14ac:dyDescent="0.2">
      <c r="R7491" s="189" t="str">
        <f t="shared" si="200"/>
        <v/>
      </c>
    </row>
    <row r="7492" spans="18:18" x14ac:dyDescent="0.2">
      <c r="R7492" s="189" t="str">
        <f t="shared" si="200"/>
        <v/>
      </c>
    </row>
    <row r="7493" spans="18:18" x14ac:dyDescent="0.2">
      <c r="R7493" s="189" t="str">
        <f t="shared" si="200"/>
        <v/>
      </c>
    </row>
    <row r="7494" spans="18:18" x14ac:dyDescent="0.2">
      <c r="R7494" s="189" t="str">
        <f t="shared" si="200"/>
        <v/>
      </c>
    </row>
    <row r="7495" spans="18:18" x14ac:dyDescent="0.2">
      <c r="R7495" s="189" t="str">
        <f t="shared" si="200"/>
        <v/>
      </c>
    </row>
    <row r="7496" spans="18:18" x14ac:dyDescent="0.2">
      <c r="R7496" s="189" t="str">
        <f t="shared" si="200"/>
        <v/>
      </c>
    </row>
    <row r="7497" spans="18:18" x14ac:dyDescent="0.2">
      <c r="R7497" s="189" t="str">
        <f t="shared" si="200"/>
        <v/>
      </c>
    </row>
    <row r="7498" spans="18:18" x14ac:dyDescent="0.2">
      <c r="R7498" s="189" t="str">
        <f t="shared" si="200"/>
        <v/>
      </c>
    </row>
    <row r="7499" spans="18:18" x14ac:dyDescent="0.2">
      <c r="R7499" s="189" t="str">
        <f t="shared" si="200"/>
        <v/>
      </c>
    </row>
    <row r="7500" spans="18:18" x14ac:dyDescent="0.2">
      <c r="R7500" s="189" t="str">
        <f t="shared" si="200"/>
        <v/>
      </c>
    </row>
    <row r="7501" spans="18:18" x14ac:dyDescent="0.2">
      <c r="R7501" s="189" t="str">
        <f t="shared" si="200"/>
        <v/>
      </c>
    </row>
    <row r="7502" spans="18:18" x14ac:dyDescent="0.2">
      <c r="R7502" s="189" t="str">
        <f t="shared" si="200"/>
        <v/>
      </c>
    </row>
    <row r="7503" spans="18:18" x14ac:dyDescent="0.2">
      <c r="R7503" s="189" t="str">
        <f t="shared" si="200"/>
        <v/>
      </c>
    </row>
    <row r="7504" spans="18:18" x14ac:dyDescent="0.2">
      <c r="R7504" s="189" t="str">
        <f t="shared" si="200"/>
        <v/>
      </c>
    </row>
    <row r="7505" spans="18:18" x14ac:dyDescent="0.2">
      <c r="R7505" s="189" t="str">
        <f t="shared" si="200"/>
        <v/>
      </c>
    </row>
    <row r="7506" spans="18:18" x14ac:dyDescent="0.2">
      <c r="R7506" s="189" t="str">
        <f t="shared" si="200"/>
        <v/>
      </c>
    </row>
    <row r="7507" spans="18:18" x14ac:dyDescent="0.2">
      <c r="R7507" s="189" t="str">
        <f t="shared" si="200"/>
        <v/>
      </c>
    </row>
    <row r="7508" spans="18:18" x14ac:dyDescent="0.2">
      <c r="R7508" s="189" t="str">
        <f t="shared" si="200"/>
        <v/>
      </c>
    </row>
    <row r="7509" spans="18:18" x14ac:dyDescent="0.2">
      <c r="R7509" s="189" t="str">
        <f t="shared" si="200"/>
        <v/>
      </c>
    </row>
    <row r="7510" spans="18:18" x14ac:dyDescent="0.2">
      <c r="R7510" s="189" t="str">
        <f t="shared" ref="R7510:R7573" si="201">IF(OR(P7510="",Q7510=""),"",IFERROR(P7510-Q7510,""))</f>
        <v/>
      </c>
    </row>
    <row r="7511" spans="18:18" x14ac:dyDescent="0.2">
      <c r="R7511" s="189" t="str">
        <f t="shared" si="201"/>
        <v/>
      </c>
    </row>
    <row r="7512" spans="18:18" x14ac:dyDescent="0.2">
      <c r="R7512" s="189" t="str">
        <f t="shared" si="201"/>
        <v/>
      </c>
    </row>
    <row r="7513" spans="18:18" x14ac:dyDescent="0.2">
      <c r="R7513" s="189" t="str">
        <f t="shared" si="201"/>
        <v/>
      </c>
    </row>
    <row r="7514" spans="18:18" x14ac:dyDescent="0.2">
      <c r="R7514" s="189" t="str">
        <f t="shared" si="201"/>
        <v/>
      </c>
    </row>
    <row r="7515" spans="18:18" x14ac:dyDescent="0.2">
      <c r="R7515" s="189" t="str">
        <f t="shared" si="201"/>
        <v/>
      </c>
    </row>
    <row r="7516" spans="18:18" x14ac:dyDescent="0.2">
      <c r="R7516" s="189" t="str">
        <f t="shared" si="201"/>
        <v/>
      </c>
    </row>
    <row r="7517" spans="18:18" x14ac:dyDescent="0.2">
      <c r="R7517" s="189" t="str">
        <f t="shared" si="201"/>
        <v/>
      </c>
    </row>
    <row r="7518" spans="18:18" x14ac:dyDescent="0.2">
      <c r="R7518" s="189" t="str">
        <f t="shared" si="201"/>
        <v/>
      </c>
    </row>
    <row r="7519" spans="18:18" x14ac:dyDescent="0.2">
      <c r="R7519" s="189" t="str">
        <f t="shared" si="201"/>
        <v/>
      </c>
    </row>
    <row r="7520" spans="18:18" x14ac:dyDescent="0.2">
      <c r="R7520" s="189" t="str">
        <f t="shared" si="201"/>
        <v/>
      </c>
    </row>
    <row r="7521" spans="18:18" x14ac:dyDescent="0.2">
      <c r="R7521" s="189" t="str">
        <f t="shared" si="201"/>
        <v/>
      </c>
    </row>
    <row r="7522" spans="18:18" x14ac:dyDescent="0.2">
      <c r="R7522" s="189" t="str">
        <f t="shared" si="201"/>
        <v/>
      </c>
    </row>
    <row r="7523" spans="18:18" x14ac:dyDescent="0.2">
      <c r="R7523" s="189" t="str">
        <f t="shared" si="201"/>
        <v/>
      </c>
    </row>
    <row r="7524" spans="18:18" x14ac:dyDescent="0.2">
      <c r="R7524" s="189" t="str">
        <f t="shared" si="201"/>
        <v/>
      </c>
    </row>
    <row r="7525" spans="18:18" x14ac:dyDescent="0.2">
      <c r="R7525" s="189" t="str">
        <f t="shared" si="201"/>
        <v/>
      </c>
    </row>
    <row r="7526" spans="18:18" x14ac:dyDescent="0.2">
      <c r="R7526" s="189" t="str">
        <f t="shared" si="201"/>
        <v/>
      </c>
    </row>
    <row r="7527" spans="18:18" x14ac:dyDescent="0.2">
      <c r="R7527" s="189" t="str">
        <f t="shared" si="201"/>
        <v/>
      </c>
    </row>
    <row r="7528" spans="18:18" x14ac:dyDescent="0.2">
      <c r="R7528" s="189" t="str">
        <f t="shared" si="201"/>
        <v/>
      </c>
    </row>
    <row r="7529" spans="18:18" x14ac:dyDescent="0.2">
      <c r="R7529" s="189" t="str">
        <f t="shared" si="201"/>
        <v/>
      </c>
    </row>
    <row r="7530" spans="18:18" x14ac:dyDescent="0.2">
      <c r="R7530" s="189" t="str">
        <f t="shared" si="201"/>
        <v/>
      </c>
    </row>
    <row r="7531" spans="18:18" x14ac:dyDescent="0.2">
      <c r="R7531" s="189" t="str">
        <f t="shared" si="201"/>
        <v/>
      </c>
    </row>
    <row r="7532" spans="18:18" x14ac:dyDescent="0.2">
      <c r="R7532" s="189" t="str">
        <f t="shared" si="201"/>
        <v/>
      </c>
    </row>
    <row r="7533" spans="18:18" x14ac:dyDescent="0.2">
      <c r="R7533" s="189" t="str">
        <f t="shared" si="201"/>
        <v/>
      </c>
    </row>
    <row r="7534" spans="18:18" x14ac:dyDescent="0.2">
      <c r="R7534" s="189" t="str">
        <f t="shared" si="201"/>
        <v/>
      </c>
    </row>
    <row r="7535" spans="18:18" x14ac:dyDescent="0.2">
      <c r="R7535" s="189" t="str">
        <f t="shared" si="201"/>
        <v/>
      </c>
    </row>
    <row r="7536" spans="18:18" x14ac:dyDescent="0.2">
      <c r="R7536" s="189" t="str">
        <f t="shared" si="201"/>
        <v/>
      </c>
    </row>
    <row r="7537" spans="18:18" x14ac:dyDescent="0.2">
      <c r="R7537" s="189" t="str">
        <f t="shared" si="201"/>
        <v/>
      </c>
    </row>
    <row r="7538" spans="18:18" x14ac:dyDescent="0.2">
      <c r="R7538" s="189" t="str">
        <f t="shared" si="201"/>
        <v/>
      </c>
    </row>
    <row r="7539" spans="18:18" x14ac:dyDescent="0.2">
      <c r="R7539" s="189" t="str">
        <f t="shared" si="201"/>
        <v/>
      </c>
    </row>
    <row r="7540" spans="18:18" x14ac:dyDescent="0.2">
      <c r="R7540" s="189" t="str">
        <f t="shared" si="201"/>
        <v/>
      </c>
    </row>
    <row r="7541" spans="18:18" x14ac:dyDescent="0.2">
      <c r="R7541" s="189" t="str">
        <f t="shared" si="201"/>
        <v/>
      </c>
    </row>
    <row r="7542" spans="18:18" x14ac:dyDescent="0.2">
      <c r="R7542" s="189" t="str">
        <f t="shared" si="201"/>
        <v/>
      </c>
    </row>
    <row r="7543" spans="18:18" x14ac:dyDescent="0.2">
      <c r="R7543" s="189" t="str">
        <f t="shared" si="201"/>
        <v/>
      </c>
    </row>
    <row r="7544" spans="18:18" x14ac:dyDescent="0.2">
      <c r="R7544" s="189" t="str">
        <f t="shared" si="201"/>
        <v/>
      </c>
    </row>
    <row r="7545" spans="18:18" x14ac:dyDescent="0.2">
      <c r="R7545" s="189" t="str">
        <f t="shared" si="201"/>
        <v/>
      </c>
    </row>
    <row r="7546" spans="18:18" x14ac:dyDescent="0.2">
      <c r="R7546" s="189" t="str">
        <f t="shared" si="201"/>
        <v/>
      </c>
    </row>
    <row r="7547" spans="18:18" x14ac:dyDescent="0.2">
      <c r="R7547" s="189" t="str">
        <f t="shared" si="201"/>
        <v/>
      </c>
    </row>
    <row r="7548" spans="18:18" x14ac:dyDescent="0.2">
      <c r="R7548" s="189" t="str">
        <f t="shared" si="201"/>
        <v/>
      </c>
    </row>
    <row r="7549" spans="18:18" x14ac:dyDescent="0.2">
      <c r="R7549" s="189" t="str">
        <f t="shared" si="201"/>
        <v/>
      </c>
    </row>
    <row r="7550" spans="18:18" x14ac:dyDescent="0.2">
      <c r="R7550" s="189" t="str">
        <f t="shared" si="201"/>
        <v/>
      </c>
    </row>
    <row r="7551" spans="18:18" x14ac:dyDescent="0.2">
      <c r="R7551" s="189" t="str">
        <f t="shared" si="201"/>
        <v/>
      </c>
    </row>
    <row r="7552" spans="18:18" x14ac:dyDescent="0.2">
      <c r="R7552" s="189" t="str">
        <f t="shared" si="201"/>
        <v/>
      </c>
    </row>
    <row r="7553" spans="18:18" x14ac:dyDescent="0.2">
      <c r="R7553" s="189" t="str">
        <f t="shared" si="201"/>
        <v/>
      </c>
    </row>
    <row r="7554" spans="18:18" x14ac:dyDescent="0.2">
      <c r="R7554" s="189" t="str">
        <f t="shared" si="201"/>
        <v/>
      </c>
    </row>
    <row r="7555" spans="18:18" x14ac:dyDescent="0.2">
      <c r="R7555" s="189" t="str">
        <f t="shared" si="201"/>
        <v/>
      </c>
    </row>
    <row r="7556" spans="18:18" x14ac:dyDescent="0.2">
      <c r="R7556" s="189" t="str">
        <f t="shared" si="201"/>
        <v/>
      </c>
    </row>
    <row r="7557" spans="18:18" x14ac:dyDescent="0.2">
      <c r="R7557" s="189" t="str">
        <f t="shared" si="201"/>
        <v/>
      </c>
    </row>
    <row r="7558" spans="18:18" x14ac:dyDescent="0.2">
      <c r="R7558" s="189" t="str">
        <f t="shared" si="201"/>
        <v/>
      </c>
    </row>
    <row r="7559" spans="18:18" x14ac:dyDescent="0.2">
      <c r="R7559" s="189" t="str">
        <f t="shared" si="201"/>
        <v/>
      </c>
    </row>
    <row r="7560" spans="18:18" x14ac:dyDescent="0.2">
      <c r="R7560" s="189" t="str">
        <f t="shared" si="201"/>
        <v/>
      </c>
    </row>
    <row r="7561" spans="18:18" x14ac:dyDescent="0.2">
      <c r="R7561" s="189" t="str">
        <f t="shared" si="201"/>
        <v/>
      </c>
    </row>
    <row r="7562" spans="18:18" x14ac:dyDescent="0.2">
      <c r="R7562" s="189" t="str">
        <f t="shared" si="201"/>
        <v/>
      </c>
    </row>
    <row r="7563" spans="18:18" x14ac:dyDescent="0.2">
      <c r="R7563" s="189" t="str">
        <f t="shared" si="201"/>
        <v/>
      </c>
    </row>
    <row r="7564" spans="18:18" x14ac:dyDescent="0.2">
      <c r="R7564" s="189" t="str">
        <f t="shared" si="201"/>
        <v/>
      </c>
    </row>
    <row r="7565" spans="18:18" x14ac:dyDescent="0.2">
      <c r="R7565" s="189" t="str">
        <f t="shared" si="201"/>
        <v/>
      </c>
    </row>
    <row r="7566" spans="18:18" x14ac:dyDescent="0.2">
      <c r="R7566" s="189" t="str">
        <f t="shared" si="201"/>
        <v/>
      </c>
    </row>
    <row r="7567" spans="18:18" x14ac:dyDescent="0.2">
      <c r="R7567" s="189" t="str">
        <f t="shared" si="201"/>
        <v/>
      </c>
    </row>
    <row r="7568" spans="18:18" x14ac:dyDescent="0.2">
      <c r="R7568" s="189" t="str">
        <f t="shared" si="201"/>
        <v/>
      </c>
    </row>
    <row r="7569" spans="18:18" x14ac:dyDescent="0.2">
      <c r="R7569" s="189" t="str">
        <f t="shared" si="201"/>
        <v/>
      </c>
    </row>
    <row r="7570" spans="18:18" x14ac:dyDescent="0.2">
      <c r="R7570" s="189" t="str">
        <f t="shared" si="201"/>
        <v/>
      </c>
    </row>
    <row r="7571" spans="18:18" x14ac:dyDescent="0.2">
      <c r="R7571" s="189" t="str">
        <f t="shared" si="201"/>
        <v/>
      </c>
    </row>
    <row r="7572" spans="18:18" x14ac:dyDescent="0.2">
      <c r="R7572" s="189" t="str">
        <f t="shared" si="201"/>
        <v/>
      </c>
    </row>
    <row r="7573" spans="18:18" x14ac:dyDescent="0.2">
      <c r="R7573" s="189" t="str">
        <f t="shared" si="201"/>
        <v/>
      </c>
    </row>
    <row r="7574" spans="18:18" x14ac:dyDescent="0.2">
      <c r="R7574" s="189" t="str">
        <f t="shared" ref="R7574:R7637" si="202">IF(OR(P7574="",Q7574=""),"",IFERROR(P7574-Q7574,""))</f>
        <v/>
      </c>
    </row>
    <row r="7575" spans="18:18" x14ac:dyDescent="0.2">
      <c r="R7575" s="189" t="str">
        <f t="shared" si="202"/>
        <v/>
      </c>
    </row>
    <row r="7576" spans="18:18" x14ac:dyDescent="0.2">
      <c r="R7576" s="189" t="str">
        <f t="shared" si="202"/>
        <v/>
      </c>
    </row>
    <row r="7577" spans="18:18" x14ac:dyDescent="0.2">
      <c r="R7577" s="189" t="str">
        <f t="shared" si="202"/>
        <v/>
      </c>
    </row>
    <row r="7578" spans="18:18" x14ac:dyDescent="0.2">
      <c r="R7578" s="189" t="str">
        <f t="shared" si="202"/>
        <v/>
      </c>
    </row>
    <row r="7579" spans="18:18" x14ac:dyDescent="0.2">
      <c r="R7579" s="189" t="str">
        <f t="shared" si="202"/>
        <v/>
      </c>
    </row>
    <row r="7580" spans="18:18" x14ac:dyDescent="0.2">
      <c r="R7580" s="189" t="str">
        <f t="shared" si="202"/>
        <v/>
      </c>
    </row>
    <row r="7581" spans="18:18" x14ac:dyDescent="0.2">
      <c r="R7581" s="189" t="str">
        <f t="shared" si="202"/>
        <v/>
      </c>
    </row>
    <row r="7582" spans="18:18" x14ac:dyDescent="0.2">
      <c r="R7582" s="189" t="str">
        <f t="shared" si="202"/>
        <v/>
      </c>
    </row>
    <row r="7583" spans="18:18" x14ac:dyDescent="0.2">
      <c r="R7583" s="189" t="str">
        <f t="shared" si="202"/>
        <v/>
      </c>
    </row>
    <row r="7584" spans="18:18" x14ac:dyDescent="0.2">
      <c r="R7584" s="189" t="str">
        <f t="shared" si="202"/>
        <v/>
      </c>
    </row>
    <row r="7585" spans="18:18" x14ac:dyDescent="0.2">
      <c r="R7585" s="189" t="str">
        <f t="shared" si="202"/>
        <v/>
      </c>
    </row>
    <row r="7586" spans="18:18" x14ac:dyDescent="0.2">
      <c r="R7586" s="189" t="str">
        <f t="shared" si="202"/>
        <v/>
      </c>
    </row>
    <row r="7587" spans="18:18" x14ac:dyDescent="0.2">
      <c r="R7587" s="189" t="str">
        <f t="shared" si="202"/>
        <v/>
      </c>
    </row>
    <row r="7588" spans="18:18" x14ac:dyDescent="0.2">
      <c r="R7588" s="189" t="str">
        <f t="shared" si="202"/>
        <v/>
      </c>
    </row>
    <row r="7589" spans="18:18" x14ac:dyDescent="0.2">
      <c r="R7589" s="189" t="str">
        <f t="shared" si="202"/>
        <v/>
      </c>
    </row>
    <row r="7590" spans="18:18" x14ac:dyDescent="0.2">
      <c r="R7590" s="189" t="str">
        <f t="shared" si="202"/>
        <v/>
      </c>
    </row>
    <row r="7591" spans="18:18" x14ac:dyDescent="0.2">
      <c r="R7591" s="189" t="str">
        <f t="shared" si="202"/>
        <v/>
      </c>
    </row>
    <row r="7592" spans="18:18" x14ac:dyDescent="0.2">
      <c r="R7592" s="189" t="str">
        <f t="shared" si="202"/>
        <v/>
      </c>
    </row>
    <row r="7593" spans="18:18" x14ac:dyDescent="0.2">
      <c r="R7593" s="189" t="str">
        <f t="shared" si="202"/>
        <v/>
      </c>
    </row>
    <row r="7594" spans="18:18" x14ac:dyDescent="0.2">
      <c r="R7594" s="189" t="str">
        <f t="shared" si="202"/>
        <v/>
      </c>
    </row>
    <row r="7595" spans="18:18" x14ac:dyDescent="0.2">
      <c r="R7595" s="189" t="str">
        <f t="shared" si="202"/>
        <v/>
      </c>
    </row>
    <row r="7596" spans="18:18" x14ac:dyDescent="0.2">
      <c r="R7596" s="189" t="str">
        <f t="shared" si="202"/>
        <v/>
      </c>
    </row>
    <row r="7597" spans="18:18" x14ac:dyDescent="0.2">
      <c r="R7597" s="189" t="str">
        <f t="shared" si="202"/>
        <v/>
      </c>
    </row>
    <row r="7598" spans="18:18" x14ac:dyDescent="0.2">
      <c r="R7598" s="189" t="str">
        <f t="shared" si="202"/>
        <v/>
      </c>
    </row>
    <row r="7599" spans="18:18" x14ac:dyDescent="0.2">
      <c r="R7599" s="189" t="str">
        <f t="shared" si="202"/>
        <v/>
      </c>
    </row>
    <row r="7600" spans="18:18" x14ac:dyDescent="0.2">
      <c r="R7600" s="189" t="str">
        <f t="shared" si="202"/>
        <v/>
      </c>
    </row>
    <row r="7601" spans="18:18" x14ac:dyDescent="0.2">
      <c r="R7601" s="189" t="str">
        <f t="shared" si="202"/>
        <v/>
      </c>
    </row>
    <row r="7602" spans="18:18" x14ac:dyDescent="0.2">
      <c r="R7602" s="189" t="str">
        <f t="shared" si="202"/>
        <v/>
      </c>
    </row>
    <row r="7603" spans="18:18" x14ac:dyDescent="0.2">
      <c r="R7603" s="189" t="str">
        <f t="shared" si="202"/>
        <v/>
      </c>
    </row>
    <row r="7604" spans="18:18" x14ac:dyDescent="0.2">
      <c r="R7604" s="189" t="str">
        <f t="shared" si="202"/>
        <v/>
      </c>
    </row>
    <row r="7605" spans="18:18" x14ac:dyDescent="0.2">
      <c r="R7605" s="189" t="str">
        <f t="shared" si="202"/>
        <v/>
      </c>
    </row>
    <row r="7606" spans="18:18" x14ac:dyDescent="0.2">
      <c r="R7606" s="189" t="str">
        <f t="shared" si="202"/>
        <v/>
      </c>
    </row>
    <row r="7607" spans="18:18" x14ac:dyDescent="0.2">
      <c r="R7607" s="189" t="str">
        <f t="shared" si="202"/>
        <v/>
      </c>
    </row>
    <row r="7608" spans="18:18" x14ac:dyDescent="0.2">
      <c r="R7608" s="189" t="str">
        <f t="shared" si="202"/>
        <v/>
      </c>
    </row>
    <row r="7609" spans="18:18" x14ac:dyDescent="0.2">
      <c r="R7609" s="189" t="str">
        <f t="shared" si="202"/>
        <v/>
      </c>
    </row>
    <row r="7610" spans="18:18" x14ac:dyDescent="0.2">
      <c r="R7610" s="189" t="str">
        <f t="shared" si="202"/>
        <v/>
      </c>
    </row>
    <row r="7611" spans="18:18" x14ac:dyDescent="0.2">
      <c r="R7611" s="189" t="str">
        <f t="shared" si="202"/>
        <v/>
      </c>
    </row>
    <row r="7612" spans="18:18" x14ac:dyDescent="0.2">
      <c r="R7612" s="189" t="str">
        <f t="shared" si="202"/>
        <v/>
      </c>
    </row>
    <row r="7613" spans="18:18" x14ac:dyDescent="0.2">
      <c r="R7613" s="189" t="str">
        <f t="shared" si="202"/>
        <v/>
      </c>
    </row>
    <row r="7614" spans="18:18" x14ac:dyDescent="0.2">
      <c r="R7614" s="189" t="str">
        <f t="shared" si="202"/>
        <v/>
      </c>
    </row>
    <row r="7615" spans="18:18" x14ac:dyDescent="0.2">
      <c r="R7615" s="189" t="str">
        <f t="shared" si="202"/>
        <v/>
      </c>
    </row>
    <row r="7616" spans="18:18" x14ac:dyDescent="0.2">
      <c r="R7616" s="189" t="str">
        <f t="shared" si="202"/>
        <v/>
      </c>
    </row>
    <row r="7617" spans="18:18" x14ac:dyDescent="0.2">
      <c r="R7617" s="189" t="str">
        <f t="shared" si="202"/>
        <v/>
      </c>
    </row>
    <row r="7618" spans="18:18" x14ac:dyDescent="0.2">
      <c r="R7618" s="189" t="str">
        <f t="shared" si="202"/>
        <v/>
      </c>
    </row>
    <row r="7619" spans="18:18" x14ac:dyDescent="0.2">
      <c r="R7619" s="189" t="str">
        <f t="shared" si="202"/>
        <v/>
      </c>
    </row>
    <row r="7620" spans="18:18" x14ac:dyDescent="0.2">
      <c r="R7620" s="189" t="str">
        <f t="shared" si="202"/>
        <v/>
      </c>
    </row>
    <row r="7621" spans="18:18" x14ac:dyDescent="0.2">
      <c r="R7621" s="189" t="str">
        <f t="shared" si="202"/>
        <v/>
      </c>
    </row>
    <row r="7622" spans="18:18" x14ac:dyDescent="0.2">
      <c r="R7622" s="189" t="str">
        <f t="shared" si="202"/>
        <v/>
      </c>
    </row>
    <row r="7623" spans="18:18" x14ac:dyDescent="0.2">
      <c r="R7623" s="189" t="str">
        <f t="shared" si="202"/>
        <v/>
      </c>
    </row>
    <row r="7624" spans="18:18" x14ac:dyDescent="0.2">
      <c r="R7624" s="189" t="str">
        <f t="shared" si="202"/>
        <v/>
      </c>
    </row>
    <row r="7625" spans="18:18" x14ac:dyDescent="0.2">
      <c r="R7625" s="189" t="str">
        <f t="shared" si="202"/>
        <v/>
      </c>
    </row>
    <row r="7626" spans="18:18" x14ac:dyDescent="0.2">
      <c r="R7626" s="189" t="str">
        <f t="shared" si="202"/>
        <v/>
      </c>
    </row>
    <row r="7627" spans="18:18" x14ac:dyDescent="0.2">
      <c r="R7627" s="189" t="str">
        <f t="shared" si="202"/>
        <v/>
      </c>
    </row>
    <row r="7628" spans="18:18" x14ac:dyDescent="0.2">
      <c r="R7628" s="189" t="str">
        <f t="shared" si="202"/>
        <v/>
      </c>
    </row>
    <row r="7629" spans="18:18" x14ac:dyDescent="0.2">
      <c r="R7629" s="189" t="str">
        <f t="shared" si="202"/>
        <v/>
      </c>
    </row>
    <row r="7630" spans="18:18" x14ac:dyDescent="0.2">
      <c r="R7630" s="189" t="str">
        <f t="shared" si="202"/>
        <v/>
      </c>
    </row>
    <row r="7631" spans="18:18" x14ac:dyDescent="0.2">
      <c r="R7631" s="189" t="str">
        <f t="shared" si="202"/>
        <v/>
      </c>
    </row>
    <row r="7632" spans="18:18" x14ac:dyDescent="0.2">
      <c r="R7632" s="189" t="str">
        <f t="shared" si="202"/>
        <v/>
      </c>
    </row>
    <row r="7633" spans="18:18" x14ac:dyDescent="0.2">
      <c r="R7633" s="189" t="str">
        <f t="shared" si="202"/>
        <v/>
      </c>
    </row>
    <row r="7634" spans="18:18" x14ac:dyDescent="0.2">
      <c r="R7634" s="189" t="str">
        <f t="shared" si="202"/>
        <v/>
      </c>
    </row>
    <row r="7635" spans="18:18" x14ac:dyDescent="0.2">
      <c r="R7635" s="189" t="str">
        <f t="shared" si="202"/>
        <v/>
      </c>
    </row>
    <row r="7636" spans="18:18" x14ac:dyDescent="0.2">
      <c r="R7636" s="189" t="str">
        <f t="shared" si="202"/>
        <v/>
      </c>
    </row>
    <row r="7637" spans="18:18" x14ac:dyDescent="0.2">
      <c r="R7637" s="189" t="str">
        <f t="shared" si="202"/>
        <v/>
      </c>
    </row>
    <row r="7638" spans="18:18" x14ac:dyDescent="0.2">
      <c r="R7638" s="189" t="str">
        <f t="shared" ref="R7638:R7701" si="203">IF(OR(P7638="",Q7638=""),"",IFERROR(P7638-Q7638,""))</f>
        <v/>
      </c>
    </row>
    <row r="7639" spans="18:18" x14ac:dyDescent="0.2">
      <c r="R7639" s="189" t="str">
        <f t="shared" si="203"/>
        <v/>
      </c>
    </row>
    <row r="7640" spans="18:18" x14ac:dyDescent="0.2">
      <c r="R7640" s="189" t="str">
        <f t="shared" si="203"/>
        <v/>
      </c>
    </row>
    <row r="7641" spans="18:18" x14ac:dyDescent="0.2">
      <c r="R7641" s="189" t="str">
        <f t="shared" si="203"/>
        <v/>
      </c>
    </row>
    <row r="7642" spans="18:18" x14ac:dyDescent="0.2">
      <c r="R7642" s="189" t="str">
        <f t="shared" si="203"/>
        <v/>
      </c>
    </row>
    <row r="7643" spans="18:18" x14ac:dyDescent="0.2">
      <c r="R7643" s="189" t="str">
        <f t="shared" si="203"/>
        <v/>
      </c>
    </row>
    <row r="7644" spans="18:18" x14ac:dyDescent="0.2">
      <c r="R7644" s="189" t="str">
        <f t="shared" si="203"/>
        <v/>
      </c>
    </row>
    <row r="7645" spans="18:18" x14ac:dyDescent="0.2">
      <c r="R7645" s="189" t="str">
        <f t="shared" si="203"/>
        <v/>
      </c>
    </row>
    <row r="7646" spans="18:18" x14ac:dyDescent="0.2">
      <c r="R7646" s="189" t="str">
        <f t="shared" si="203"/>
        <v/>
      </c>
    </row>
    <row r="7647" spans="18:18" x14ac:dyDescent="0.2">
      <c r="R7647" s="189" t="str">
        <f t="shared" si="203"/>
        <v/>
      </c>
    </row>
    <row r="7648" spans="18:18" x14ac:dyDescent="0.2">
      <c r="R7648" s="189" t="str">
        <f t="shared" si="203"/>
        <v/>
      </c>
    </row>
    <row r="7649" spans="18:18" x14ac:dyDescent="0.2">
      <c r="R7649" s="189" t="str">
        <f t="shared" si="203"/>
        <v/>
      </c>
    </row>
    <row r="7650" spans="18:18" x14ac:dyDescent="0.2">
      <c r="R7650" s="189" t="str">
        <f t="shared" si="203"/>
        <v/>
      </c>
    </row>
    <row r="7651" spans="18:18" x14ac:dyDescent="0.2">
      <c r="R7651" s="189" t="str">
        <f t="shared" si="203"/>
        <v/>
      </c>
    </row>
    <row r="7652" spans="18:18" x14ac:dyDescent="0.2">
      <c r="R7652" s="189" t="str">
        <f t="shared" si="203"/>
        <v/>
      </c>
    </row>
    <row r="7653" spans="18:18" x14ac:dyDescent="0.2">
      <c r="R7653" s="189" t="str">
        <f t="shared" si="203"/>
        <v/>
      </c>
    </row>
    <row r="7654" spans="18:18" x14ac:dyDescent="0.2">
      <c r="R7654" s="189" t="str">
        <f t="shared" si="203"/>
        <v/>
      </c>
    </row>
    <row r="7655" spans="18:18" x14ac:dyDescent="0.2">
      <c r="R7655" s="189" t="str">
        <f t="shared" si="203"/>
        <v/>
      </c>
    </row>
    <row r="7656" spans="18:18" x14ac:dyDescent="0.2">
      <c r="R7656" s="189" t="str">
        <f t="shared" si="203"/>
        <v/>
      </c>
    </row>
    <row r="7657" spans="18:18" x14ac:dyDescent="0.2">
      <c r="R7657" s="189" t="str">
        <f t="shared" si="203"/>
        <v/>
      </c>
    </row>
    <row r="7658" spans="18:18" x14ac:dyDescent="0.2">
      <c r="R7658" s="189" t="str">
        <f t="shared" si="203"/>
        <v/>
      </c>
    </row>
    <row r="7659" spans="18:18" x14ac:dyDescent="0.2">
      <c r="R7659" s="189" t="str">
        <f t="shared" si="203"/>
        <v/>
      </c>
    </row>
    <row r="7660" spans="18:18" x14ac:dyDescent="0.2">
      <c r="R7660" s="189" t="str">
        <f t="shared" si="203"/>
        <v/>
      </c>
    </row>
    <row r="7661" spans="18:18" x14ac:dyDescent="0.2">
      <c r="R7661" s="189" t="str">
        <f t="shared" si="203"/>
        <v/>
      </c>
    </row>
    <row r="7662" spans="18:18" x14ac:dyDescent="0.2">
      <c r="R7662" s="189" t="str">
        <f t="shared" si="203"/>
        <v/>
      </c>
    </row>
    <row r="7663" spans="18:18" x14ac:dyDescent="0.2">
      <c r="R7663" s="189" t="str">
        <f t="shared" si="203"/>
        <v/>
      </c>
    </row>
    <row r="7664" spans="18:18" x14ac:dyDescent="0.2">
      <c r="R7664" s="189" t="str">
        <f t="shared" si="203"/>
        <v/>
      </c>
    </row>
    <row r="7665" spans="18:18" x14ac:dyDescent="0.2">
      <c r="R7665" s="189" t="str">
        <f t="shared" si="203"/>
        <v/>
      </c>
    </row>
    <row r="7666" spans="18:18" x14ac:dyDescent="0.2">
      <c r="R7666" s="189" t="str">
        <f t="shared" si="203"/>
        <v/>
      </c>
    </row>
    <row r="7667" spans="18:18" x14ac:dyDescent="0.2">
      <c r="R7667" s="189" t="str">
        <f t="shared" si="203"/>
        <v/>
      </c>
    </row>
    <row r="7668" spans="18:18" x14ac:dyDescent="0.2">
      <c r="R7668" s="189" t="str">
        <f t="shared" si="203"/>
        <v/>
      </c>
    </row>
    <row r="7669" spans="18:18" x14ac:dyDescent="0.2">
      <c r="R7669" s="189" t="str">
        <f t="shared" si="203"/>
        <v/>
      </c>
    </row>
    <row r="7670" spans="18:18" x14ac:dyDescent="0.2">
      <c r="R7670" s="189" t="str">
        <f t="shared" si="203"/>
        <v/>
      </c>
    </row>
    <row r="7671" spans="18:18" x14ac:dyDescent="0.2">
      <c r="R7671" s="189" t="str">
        <f t="shared" si="203"/>
        <v/>
      </c>
    </row>
    <row r="7672" spans="18:18" x14ac:dyDescent="0.2">
      <c r="R7672" s="189" t="str">
        <f t="shared" si="203"/>
        <v/>
      </c>
    </row>
    <row r="7673" spans="18:18" x14ac:dyDescent="0.2">
      <c r="R7673" s="189" t="str">
        <f t="shared" si="203"/>
        <v/>
      </c>
    </row>
    <row r="7674" spans="18:18" x14ac:dyDescent="0.2">
      <c r="R7674" s="189" t="str">
        <f t="shared" si="203"/>
        <v/>
      </c>
    </row>
    <row r="7675" spans="18:18" x14ac:dyDescent="0.2">
      <c r="R7675" s="189" t="str">
        <f t="shared" si="203"/>
        <v/>
      </c>
    </row>
    <row r="7676" spans="18:18" x14ac:dyDescent="0.2">
      <c r="R7676" s="189" t="str">
        <f t="shared" si="203"/>
        <v/>
      </c>
    </row>
    <row r="7677" spans="18:18" x14ac:dyDescent="0.2">
      <c r="R7677" s="189" t="str">
        <f t="shared" si="203"/>
        <v/>
      </c>
    </row>
    <row r="7678" spans="18:18" x14ac:dyDescent="0.2">
      <c r="R7678" s="189" t="str">
        <f t="shared" si="203"/>
        <v/>
      </c>
    </row>
    <row r="7679" spans="18:18" x14ac:dyDescent="0.2">
      <c r="R7679" s="189" t="str">
        <f t="shared" si="203"/>
        <v/>
      </c>
    </row>
    <row r="7680" spans="18:18" x14ac:dyDescent="0.2">
      <c r="R7680" s="189" t="str">
        <f t="shared" si="203"/>
        <v/>
      </c>
    </row>
    <row r="7681" spans="18:18" x14ac:dyDescent="0.2">
      <c r="R7681" s="189" t="str">
        <f t="shared" si="203"/>
        <v/>
      </c>
    </row>
    <row r="7682" spans="18:18" x14ac:dyDescent="0.2">
      <c r="R7682" s="189" t="str">
        <f t="shared" si="203"/>
        <v/>
      </c>
    </row>
    <row r="7683" spans="18:18" x14ac:dyDescent="0.2">
      <c r="R7683" s="189" t="str">
        <f t="shared" si="203"/>
        <v/>
      </c>
    </row>
    <row r="7684" spans="18:18" x14ac:dyDescent="0.2">
      <c r="R7684" s="189" t="str">
        <f t="shared" si="203"/>
        <v/>
      </c>
    </row>
    <row r="7685" spans="18:18" x14ac:dyDescent="0.2">
      <c r="R7685" s="189" t="str">
        <f t="shared" si="203"/>
        <v/>
      </c>
    </row>
    <row r="7686" spans="18:18" x14ac:dyDescent="0.2">
      <c r="R7686" s="189" t="str">
        <f t="shared" si="203"/>
        <v/>
      </c>
    </row>
    <row r="7687" spans="18:18" x14ac:dyDescent="0.2">
      <c r="R7687" s="189" t="str">
        <f t="shared" si="203"/>
        <v/>
      </c>
    </row>
    <row r="7688" spans="18:18" x14ac:dyDescent="0.2">
      <c r="R7688" s="189" t="str">
        <f t="shared" si="203"/>
        <v/>
      </c>
    </row>
    <row r="7689" spans="18:18" x14ac:dyDescent="0.2">
      <c r="R7689" s="189" t="str">
        <f t="shared" si="203"/>
        <v/>
      </c>
    </row>
    <row r="7690" spans="18:18" x14ac:dyDescent="0.2">
      <c r="R7690" s="189" t="str">
        <f t="shared" si="203"/>
        <v/>
      </c>
    </row>
    <row r="7691" spans="18:18" x14ac:dyDescent="0.2">
      <c r="R7691" s="189" t="str">
        <f t="shared" si="203"/>
        <v/>
      </c>
    </row>
    <row r="7692" spans="18:18" x14ac:dyDescent="0.2">
      <c r="R7692" s="189" t="str">
        <f t="shared" si="203"/>
        <v/>
      </c>
    </row>
    <row r="7693" spans="18:18" x14ac:dyDescent="0.2">
      <c r="R7693" s="189" t="str">
        <f t="shared" si="203"/>
        <v/>
      </c>
    </row>
    <row r="7694" spans="18:18" x14ac:dyDescent="0.2">
      <c r="R7694" s="189" t="str">
        <f t="shared" si="203"/>
        <v/>
      </c>
    </row>
    <row r="7695" spans="18:18" x14ac:dyDescent="0.2">
      <c r="R7695" s="189" t="str">
        <f t="shared" si="203"/>
        <v/>
      </c>
    </row>
    <row r="7696" spans="18:18" x14ac:dyDescent="0.2">
      <c r="R7696" s="189" t="str">
        <f t="shared" si="203"/>
        <v/>
      </c>
    </row>
    <row r="7697" spans="18:18" x14ac:dyDescent="0.2">
      <c r="R7697" s="189" t="str">
        <f t="shared" si="203"/>
        <v/>
      </c>
    </row>
    <row r="7698" spans="18:18" x14ac:dyDescent="0.2">
      <c r="R7698" s="189" t="str">
        <f t="shared" si="203"/>
        <v/>
      </c>
    </row>
    <row r="7699" spans="18:18" x14ac:dyDescent="0.2">
      <c r="R7699" s="189" t="str">
        <f t="shared" si="203"/>
        <v/>
      </c>
    </row>
    <row r="7700" spans="18:18" x14ac:dyDescent="0.2">
      <c r="R7700" s="189" t="str">
        <f t="shared" si="203"/>
        <v/>
      </c>
    </row>
    <row r="7701" spans="18:18" x14ac:dyDescent="0.2">
      <c r="R7701" s="189" t="str">
        <f t="shared" si="203"/>
        <v/>
      </c>
    </row>
    <row r="7702" spans="18:18" x14ac:dyDescent="0.2">
      <c r="R7702" s="189" t="str">
        <f t="shared" ref="R7702:R7765" si="204">IF(OR(P7702="",Q7702=""),"",IFERROR(P7702-Q7702,""))</f>
        <v/>
      </c>
    </row>
    <row r="7703" spans="18:18" x14ac:dyDescent="0.2">
      <c r="R7703" s="189" t="str">
        <f t="shared" si="204"/>
        <v/>
      </c>
    </row>
    <row r="7704" spans="18:18" x14ac:dyDescent="0.2">
      <c r="R7704" s="189" t="str">
        <f t="shared" si="204"/>
        <v/>
      </c>
    </row>
    <row r="7705" spans="18:18" x14ac:dyDescent="0.2">
      <c r="R7705" s="189" t="str">
        <f t="shared" si="204"/>
        <v/>
      </c>
    </row>
    <row r="7706" spans="18:18" x14ac:dyDescent="0.2">
      <c r="R7706" s="189" t="str">
        <f t="shared" si="204"/>
        <v/>
      </c>
    </row>
    <row r="7707" spans="18:18" x14ac:dyDescent="0.2">
      <c r="R7707" s="189" t="str">
        <f t="shared" si="204"/>
        <v/>
      </c>
    </row>
    <row r="7708" spans="18:18" x14ac:dyDescent="0.2">
      <c r="R7708" s="189" t="str">
        <f t="shared" si="204"/>
        <v/>
      </c>
    </row>
    <row r="7709" spans="18:18" x14ac:dyDescent="0.2">
      <c r="R7709" s="189" t="str">
        <f t="shared" si="204"/>
        <v/>
      </c>
    </row>
    <row r="7710" spans="18:18" x14ac:dyDescent="0.2">
      <c r="R7710" s="189" t="str">
        <f t="shared" si="204"/>
        <v/>
      </c>
    </row>
    <row r="7711" spans="18:18" x14ac:dyDescent="0.2">
      <c r="R7711" s="189" t="str">
        <f t="shared" si="204"/>
        <v/>
      </c>
    </row>
    <row r="7712" spans="18:18" x14ac:dyDescent="0.2">
      <c r="R7712" s="189" t="str">
        <f t="shared" si="204"/>
        <v/>
      </c>
    </row>
    <row r="7713" spans="18:18" x14ac:dyDescent="0.2">
      <c r="R7713" s="189" t="str">
        <f t="shared" si="204"/>
        <v/>
      </c>
    </row>
    <row r="7714" spans="18:18" x14ac:dyDescent="0.2">
      <c r="R7714" s="189" t="str">
        <f t="shared" si="204"/>
        <v/>
      </c>
    </row>
    <row r="7715" spans="18:18" x14ac:dyDescent="0.2">
      <c r="R7715" s="189" t="str">
        <f t="shared" si="204"/>
        <v/>
      </c>
    </row>
    <row r="7716" spans="18:18" x14ac:dyDescent="0.2">
      <c r="R7716" s="189" t="str">
        <f t="shared" si="204"/>
        <v/>
      </c>
    </row>
    <row r="7717" spans="18:18" x14ac:dyDescent="0.2">
      <c r="R7717" s="189" t="str">
        <f t="shared" si="204"/>
        <v/>
      </c>
    </row>
    <row r="7718" spans="18:18" x14ac:dyDescent="0.2">
      <c r="R7718" s="189" t="str">
        <f t="shared" si="204"/>
        <v/>
      </c>
    </row>
    <row r="7719" spans="18:18" x14ac:dyDescent="0.2">
      <c r="R7719" s="189" t="str">
        <f t="shared" si="204"/>
        <v/>
      </c>
    </row>
    <row r="7720" spans="18:18" x14ac:dyDescent="0.2">
      <c r="R7720" s="189" t="str">
        <f t="shared" si="204"/>
        <v/>
      </c>
    </row>
    <row r="7721" spans="18:18" x14ac:dyDescent="0.2">
      <c r="R7721" s="189" t="str">
        <f t="shared" si="204"/>
        <v/>
      </c>
    </row>
    <row r="7722" spans="18:18" x14ac:dyDescent="0.2">
      <c r="R7722" s="189" t="str">
        <f t="shared" si="204"/>
        <v/>
      </c>
    </row>
    <row r="7723" spans="18:18" x14ac:dyDescent="0.2">
      <c r="R7723" s="189" t="str">
        <f t="shared" si="204"/>
        <v/>
      </c>
    </row>
    <row r="7724" spans="18:18" x14ac:dyDescent="0.2">
      <c r="R7724" s="189" t="str">
        <f t="shared" si="204"/>
        <v/>
      </c>
    </row>
    <row r="7725" spans="18:18" x14ac:dyDescent="0.2">
      <c r="R7725" s="189" t="str">
        <f t="shared" si="204"/>
        <v/>
      </c>
    </row>
    <row r="7726" spans="18:18" x14ac:dyDescent="0.2">
      <c r="R7726" s="189" t="str">
        <f t="shared" si="204"/>
        <v/>
      </c>
    </row>
    <row r="7727" spans="18:18" x14ac:dyDescent="0.2">
      <c r="R7727" s="189" t="str">
        <f t="shared" si="204"/>
        <v/>
      </c>
    </row>
    <row r="7728" spans="18:18" x14ac:dyDescent="0.2">
      <c r="R7728" s="189" t="str">
        <f t="shared" si="204"/>
        <v/>
      </c>
    </row>
    <row r="7729" spans="18:18" x14ac:dyDescent="0.2">
      <c r="R7729" s="189" t="str">
        <f t="shared" si="204"/>
        <v/>
      </c>
    </row>
    <row r="7730" spans="18:18" x14ac:dyDescent="0.2">
      <c r="R7730" s="189" t="str">
        <f t="shared" si="204"/>
        <v/>
      </c>
    </row>
    <row r="7731" spans="18:18" x14ac:dyDescent="0.2">
      <c r="R7731" s="189" t="str">
        <f t="shared" si="204"/>
        <v/>
      </c>
    </row>
    <row r="7732" spans="18:18" x14ac:dyDescent="0.2">
      <c r="R7732" s="189" t="str">
        <f t="shared" si="204"/>
        <v/>
      </c>
    </row>
    <row r="7733" spans="18:18" x14ac:dyDescent="0.2">
      <c r="R7733" s="189" t="str">
        <f t="shared" si="204"/>
        <v/>
      </c>
    </row>
    <row r="7734" spans="18:18" x14ac:dyDescent="0.2">
      <c r="R7734" s="189" t="str">
        <f t="shared" si="204"/>
        <v/>
      </c>
    </row>
    <row r="7735" spans="18:18" x14ac:dyDescent="0.2">
      <c r="R7735" s="189" t="str">
        <f t="shared" si="204"/>
        <v/>
      </c>
    </row>
    <row r="7736" spans="18:18" x14ac:dyDescent="0.2">
      <c r="R7736" s="189" t="str">
        <f t="shared" si="204"/>
        <v/>
      </c>
    </row>
    <row r="7737" spans="18:18" x14ac:dyDescent="0.2">
      <c r="R7737" s="189" t="str">
        <f t="shared" si="204"/>
        <v/>
      </c>
    </row>
    <row r="7738" spans="18:18" x14ac:dyDescent="0.2">
      <c r="R7738" s="189" t="str">
        <f t="shared" si="204"/>
        <v/>
      </c>
    </row>
    <row r="7739" spans="18:18" x14ac:dyDescent="0.2">
      <c r="R7739" s="189" t="str">
        <f t="shared" si="204"/>
        <v/>
      </c>
    </row>
    <row r="7740" spans="18:18" x14ac:dyDescent="0.2">
      <c r="R7740" s="189" t="str">
        <f t="shared" si="204"/>
        <v/>
      </c>
    </row>
    <row r="7741" spans="18:18" x14ac:dyDescent="0.2">
      <c r="R7741" s="189" t="str">
        <f t="shared" si="204"/>
        <v/>
      </c>
    </row>
    <row r="7742" spans="18:18" x14ac:dyDescent="0.2">
      <c r="R7742" s="189" t="str">
        <f t="shared" si="204"/>
        <v/>
      </c>
    </row>
    <row r="7743" spans="18:18" x14ac:dyDescent="0.2">
      <c r="R7743" s="189" t="str">
        <f t="shared" si="204"/>
        <v/>
      </c>
    </row>
    <row r="7744" spans="18:18" x14ac:dyDescent="0.2">
      <c r="R7744" s="189" t="str">
        <f t="shared" si="204"/>
        <v/>
      </c>
    </row>
    <row r="7745" spans="18:18" x14ac:dyDescent="0.2">
      <c r="R7745" s="189" t="str">
        <f t="shared" si="204"/>
        <v/>
      </c>
    </row>
    <row r="7746" spans="18:18" x14ac:dyDescent="0.2">
      <c r="R7746" s="189" t="str">
        <f t="shared" si="204"/>
        <v/>
      </c>
    </row>
    <row r="7747" spans="18:18" x14ac:dyDescent="0.2">
      <c r="R7747" s="189" t="str">
        <f t="shared" si="204"/>
        <v/>
      </c>
    </row>
    <row r="7748" spans="18:18" x14ac:dyDescent="0.2">
      <c r="R7748" s="189" t="str">
        <f t="shared" si="204"/>
        <v/>
      </c>
    </row>
    <row r="7749" spans="18:18" x14ac:dyDescent="0.2">
      <c r="R7749" s="189" t="str">
        <f t="shared" si="204"/>
        <v/>
      </c>
    </row>
    <row r="7750" spans="18:18" x14ac:dyDescent="0.2">
      <c r="R7750" s="189" t="str">
        <f t="shared" si="204"/>
        <v/>
      </c>
    </row>
    <row r="7751" spans="18:18" x14ac:dyDescent="0.2">
      <c r="R7751" s="189" t="str">
        <f t="shared" si="204"/>
        <v/>
      </c>
    </row>
    <row r="7752" spans="18:18" x14ac:dyDescent="0.2">
      <c r="R7752" s="189" t="str">
        <f t="shared" si="204"/>
        <v/>
      </c>
    </row>
    <row r="7753" spans="18:18" x14ac:dyDescent="0.2">
      <c r="R7753" s="189" t="str">
        <f t="shared" si="204"/>
        <v/>
      </c>
    </row>
    <row r="7754" spans="18:18" x14ac:dyDescent="0.2">
      <c r="R7754" s="189" t="str">
        <f t="shared" si="204"/>
        <v/>
      </c>
    </row>
    <row r="7755" spans="18:18" x14ac:dyDescent="0.2">
      <c r="R7755" s="189" t="str">
        <f t="shared" si="204"/>
        <v/>
      </c>
    </row>
    <row r="7756" spans="18:18" x14ac:dyDescent="0.2">
      <c r="R7756" s="189" t="str">
        <f t="shared" si="204"/>
        <v/>
      </c>
    </row>
    <row r="7757" spans="18:18" x14ac:dyDescent="0.2">
      <c r="R7757" s="189" t="str">
        <f t="shared" si="204"/>
        <v/>
      </c>
    </row>
    <row r="7758" spans="18:18" x14ac:dyDescent="0.2">
      <c r="R7758" s="189" t="str">
        <f t="shared" si="204"/>
        <v/>
      </c>
    </row>
    <row r="7759" spans="18:18" x14ac:dyDescent="0.2">
      <c r="R7759" s="189" t="str">
        <f t="shared" si="204"/>
        <v/>
      </c>
    </row>
    <row r="7760" spans="18:18" x14ac:dyDescent="0.2">
      <c r="R7760" s="189" t="str">
        <f t="shared" si="204"/>
        <v/>
      </c>
    </row>
    <row r="7761" spans="18:18" x14ac:dyDescent="0.2">
      <c r="R7761" s="189" t="str">
        <f t="shared" si="204"/>
        <v/>
      </c>
    </row>
    <row r="7762" spans="18:18" x14ac:dyDescent="0.2">
      <c r="R7762" s="189" t="str">
        <f t="shared" si="204"/>
        <v/>
      </c>
    </row>
    <row r="7763" spans="18:18" x14ac:dyDescent="0.2">
      <c r="R7763" s="189" t="str">
        <f t="shared" si="204"/>
        <v/>
      </c>
    </row>
    <row r="7764" spans="18:18" x14ac:dyDescent="0.2">
      <c r="R7764" s="189" t="str">
        <f t="shared" si="204"/>
        <v/>
      </c>
    </row>
    <row r="7765" spans="18:18" x14ac:dyDescent="0.2">
      <c r="R7765" s="189" t="str">
        <f t="shared" si="204"/>
        <v/>
      </c>
    </row>
    <row r="7766" spans="18:18" x14ac:dyDescent="0.2">
      <c r="R7766" s="189" t="str">
        <f t="shared" ref="R7766:R7829" si="205">IF(OR(P7766="",Q7766=""),"",IFERROR(P7766-Q7766,""))</f>
        <v/>
      </c>
    </row>
    <row r="7767" spans="18:18" x14ac:dyDescent="0.2">
      <c r="R7767" s="189" t="str">
        <f t="shared" si="205"/>
        <v/>
      </c>
    </row>
    <row r="7768" spans="18:18" x14ac:dyDescent="0.2">
      <c r="R7768" s="189" t="str">
        <f t="shared" si="205"/>
        <v/>
      </c>
    </row>
    <row r="7769" spans="18:18" x14ac:dyDescent="0.2">
      <c r="R7769" s="189" t="str">
        <f t="shared" si="205"/>
        <v/>
      </c>
    </row>
    <row r="7770" spans="18:18" x14ac:dyDescent="0.2">
      <c r="R7770" s="189" t="str">
        <f t="shared" si="205"/>
        <v/>
      </c>
    </row>
    <row r="7771" spans="18:18" x14ac:dyDescent="0.2">
      <c r="R7771" s="189" t="str">
        <f t="shared" si="205"/>
        <v/>
      </c>
    </row>
    <row r="7772" spans="18:18" x14ac:dyDescent="0.2">
      <c r="R7772" s="189" t="str">
        <f t="shared" si="205"/>
        <v/>
      </c>
    </row>
    <row r="7773" spans="18:18" x14ac:dyDescent="0.2">
      <c r="R7773" s="189" t="str">
        <f t="shared" si="205"/>
        <v/>
      </c>
    </row>
    <row r="7774" spans="18:18" x14ac:dyDescent="0.2">
      <c r="R7774" s="189" t="str">
        <f t="shared" si="205"/>
        <v/>
      </c>
    </row>
    <row r="7775" spans="18:18" x14ac:dyDescent="0.2">
      <c r="R7775" s="189" t="str">
        <f t="shared" si="205"/>
        <v/>
      </c>
    </row>
    <row r="7776" spans="18:18" x14ac:dyDescent="0.2">
      <c r="R7776" s="189" t="str">
        <f t="shared" si="205"/>
        <v/>
      </c>
    </row>
    <row r="7777" spans="18:18" x14ac:dyDescent="0.2">
      <c r="R7777" s="189" t="str">
        <f t="shared" si="205"/>
        <v/>
      </c>
    </row>
    <row r="7778" spans="18:18" x14ac:dyDescent="0.2">
      <c r="R7778" s="189" t="str">
        <f t="shared" si="205"/>
        <v/>
      </c>
    </row>
    <row r="7779" spans="18:18" x14ac:dyDescent="0.2">
      <c r="R7779" s="189" t="str">
        <f t="shared" si="205"/>
        <v/>
      </c>
    </row>
    <row r="7780" spans="18:18" x14ac:dyDescent="0.2">
      <c r="R7780" s="189" t="str">
        <f t="shared" si="205"/>
        <v/>
      </c>
    </row>
    <row r="7781" spans="18:18" x14ac:dyDescent="0.2">
      <c r="R7781" s="189" t="str">
        <f t="shared" si="205"/>
        <v/>
      </c>
    </row>
    <row r="7782" spans="18:18" x14ac:dyDescent="0.2">
      <c r="R7782" s="189" t="str">
        <f t="shared" si="205"/>
        <v/>
      </c>
    </row>
    <row r="7783" spans="18:18" x14ac:dyDescent="0.2">
      <c r="R7783" s="189" t="str">
        <f t="shared" si="205"/>
        <v/>
      </c>
    </row>
    <row r="7784" spans="18:18" x14ac:dyDescent="0.2">
      <c r="R7784" s="189" t="str">
        <f t="shared" si="205"/>
        <v/>
      </c>
    </row>
    <row r="7785" spans="18:18" x14ac:dyDescent="0.2">
      <c r="R7785" s="189" t="str">
        <f t="shared" si="205"/>
        <v/>
      </c>
    </row>
    <row r="7786" spans="18:18" x14ac:dyDescent="0.2">
      <c r="R7786" s="189" t="str">
        <f t="shared" si="205"/>
        <v/>
      </c>
    </row>
    <row r="7787" spans="18:18" x14ac:dyDescent="0.2">
      <c r="R7787" s="189" t="str">
        <f t="shared" si="205"/>
        <v/>
      </c>
    </row>
    <row r="7788" spans="18:18" x14ac:dyDescent="0.2">
      <c r="R7788" s="189" t="str">
        <f t="shared" si="205"/>
        <v/>
      </c>
    </row>
    <row r="7789" spans="18:18" x14ac:dyDescent="0.2">
      <c r="R7789" s="189" t="str">
        <f t="shared" si="205"/>
        <v/>
      </c>
    </row>
    <row r="7790" spans="18:18" x14ac:dyDescent="0.2">
      <c r="R7790" s="189" t="str">
        <f t="shared" si="205"/>
        <v/>
      </c>
    </row>
    <row r="7791" spans="18:18" x14ac:dyDescent="0.2">
      <c r="R7791" s="189" t="str">
        <f t="shared" si="205"/>
        <v/>
      </c>
    </row>
    <row r="7792" spans="18:18" x14ac:dyDescent="0.2">
      <c r="R7792" s="189" t="str">
        <f t="shared" si="205"/>
        <v/>
      </c>
    </row>
    <row r="7793" spans="18:18" x14ac:dyDescent="0.2">
      <c r="R7793" s="189" t="str">
        <f t="shared" si="205"/>
        <v/>
      </c>
    </row>
    <row r="7794" spans="18:18" x14ac:dyDescent="0.2">
      <c r="R7794" s="189" t="str">
        <f t="shared" si="205"/>
        <v/>
      </c>
    </row>
    <row r="7795" spans="18:18" x14ac:dyDescent="0.2">
      <c r="R7795" s="189" t="str">
        <f t="shared" si="205"/>
        <v/>
      </c>
    </row>
    <row r="7796" spans="18:18" x14ac:dyDescent="0.2">
      <c r="R7796" s="189" t="str">
        <f t="shared" si="205"/>
        <v/>
      </c>
    </row>
    <row r="7797" spans="18:18" x14ac:dyDescent="0.2">
      <c r="R7797" s="189" t="str">
        <f t="shared" si="205"/>
        <v/>
      </c>
    </row>
    <row r="7798" spans="18:18" x14ac:dyDescent="0.2">
      <c r="R7798" s="189" t="str">
        <f t="shared" si="205"/>
        <v/>
      </c>
    </row>
    <row r="7799" spans="18:18" x14ac:dyDescent="0.2">
      <c r="R7799" s="189" t="str">
        <f t="shared" si="205"/>
        <v/>
      </c>
    </row>
    <row r="7800" spans="18:18" x14ac:dyDescent="0.2">
      <c r="R7800" s="189" t="str">
        <f t="shared" si="205"/>
        <v/>
      </c>
    </row>
    <row r="7801" spans="18:18" x14ac:dyDescent="0.2">
      <c r="R7801" s="189" t="str">
        <f t="shared" si="205"/>
        <v/>
      </c>
    </row>
    <row r="7802" spans="18:18" x14ac:dyDescent="0.2">
      <c r="R7802" s="189" t="str">
        <f t="shared" si="205"/>
        <v/>
      </c>
    </row>
    <row r="7803" spans="18:18" x14ac:dyDescent="0.2">
      <c r="R7803" s="189" t="str">
        <f t="shared" si="205"/>
        <v/>
      </c>
    </row>
    <row r="7804" spans="18:18" x14ac:dyDescent="0.2">
      <c r="R7804" s="189" t="str">
        <f t="shared" si="205"/>
        <v/>
      </c>
    </row>
    <row r="7805" spans="18:18" x14ac:dyDescent="0.2">
      <c r="R7805" s="189" t="str">
        <f t="shared" si="205"/>
        <v/>
      </c>
    </row>
    <row r="7806" spans="18:18" x14ac:dyDescent="0.2">
      <c r="R7806" s="189" t="str">
        <f t="shared" si="205"/>
        <v/>
      </c>
    </row>
    <row r="7807" spans="18:18" x14ac:dyDescent="0.2">
      <c r="R7807" s="189" t="str">
        <f t="shared" si="205"/>
        <v/>
      </c>
    </row>
    <row r="7808" spans="18:18" x14ac:dyDescent="0.2">
      <c r="R7808" s="189" t="str">
        <f t="shared" si="205"/>
        <v/>
      </c>
    </row>
    <row r="7809" spans="18:18" x14ac:dyDescent="0.2">
      <c r="R7809" s="189" t="str">
        <f t="shared" si="205"/>
        <v/>
      </c>
    </row>
    <row r="7810" spans="18:18" x14ac:dyDescent="0.2">
      <c r="R7810" s="189" t="str">
        <f t="shared" si="205"/>
        <v/>
      </c>
    </row>
    <row r="7811" spans="18:18" x14ac:dyDescent="0.2">
      <c r="R7811" s="189" t="str">
        <f t="shared" si="205"/>
        <v/>
      </c>
    </row>
    <row r="7812" spans="18:18" x14ac:dyDescent="0.2">
      <c r="R7812" s="189" t="str">
        <f t="shared" si="205"/>
        <v/>
      </c>
    </row>
    <row r="7813" spans="18:18" x14ac:dyDescent="0.2">
      <c r="R7813" s="189" t="str">
        <f t="shared" si="205"/>
        <v/>
      </c>
    </row>
    <row r="7814" spans="18:18" x14ac:dyDescent="0.2">
      <c r="R7814" s="189" t="str">
        <f t="shared" si="205"/>
        <v/>
      </c>
    </row>
    <row r="7815" spans="18:18" x14ac:dyDescent="0.2">
      <c r="R7815" s="189" t="str">
        <f t="shared" si="205"/>
        <v/>
      </c>
    </row>
    <row r="7816" spans="18:18" x14ac:dyDescent="0.2">
      <c r="R7816" s="189" t="str">
        <f t="shared" si="205"/>
        <v/>
      </c>
    </row>
    <row r="7817" spans="18:18" x14ac:dyDescent="0.2">
      <c r="R7817" s="189" t="str">
        <f t="shared" si="205"/>
        <v/>
      </c>
    </row>
    <row r="7818" spans="18:18" x14ac:dyDescent="0.2">
      <c r="R7818" s="189" t="str">
        <f t="shared" si="205"/>
        <v/>
      </c>
    </row>
    <row r="7819" spans="18:18" x14ac:dyDescent="0.2">
      <c r="R7819" s="189" t="str">
        <f t="shared" si="205"/>
        <v/>
      </c>
    </row>
    <row r="7820" spans="18:18" x14ac:dyDescent="0.2">
      <c r="R7820" s="189" t="str">
        <f t="shared" si="205"/>
        <v/>
      </c>
    </row>
    <row r="7821" spans="18:18" x14ac:dyDescent="0.2">
      <c r="R7821" s="189" t="str">
        <f t="shared" si="205"/>
        <v/>
      </c>
    </row>
    <row r="7822" spans="18:18" x14ac:dyDescent="0.2">
      <c r="R7822" s="189" t="str">
        <f t="shared" si="205"/>
        <v/>
      </c>
    </row>
    <row r="7823" spans="18:18" x14ac:dyDescent="0.2">
      <c r="R7823" s="189" t="str">
        <f t="shared" si="205"/>
        <v/>
      </c>
    </row>
    <row r="7824" spans="18:18" x14ac:dyDescent="0.2">
      <c r="R7824" s="189" t="str">
        <f t="shared" si="205"/>
        <v/>
      </c>
    </row>
    <row r="7825" spans="18:18" x14ac:dyDescent="0.2">
      <c r="R7825" s="189" t="str">
        <f t="shared" si="205"/>
        <v/>
      </c>
    </row>
    <row r="7826" spans="18:18" x14ac:dyDescent="0.2">
      <c r="R7826" s="189" t="str">
        <f t="shared" si="205"/>
        <v/>
      </c>
    </row>
    <row r="7827" spans="18:18" x14ac:dyDescent="0.2">
      <c r="R7827" s="189" t="str">
        <f t="shared" si="205"/>
        <v/>
      </c>
    </row>
    <row r="7828" spans="18:18" x14ac:dyDescent="0.2">
      <c r="R7828" s="189" t="str">
        <f t="shared" si="205"/>
        <v/>
      </c>
    </row>
    <row r="7829" spans="18:18" x14ac:dyDescent="0.2">
      <c r="R7829" s="189" t="str">
        <f t="shared" si="205"/>
        <v/>
      </c>
    </row>
    <row r="7830" spans="18:18" x14ac:dyDescent="0.2">
      <c r="R7830" s="189" t="str">
        <f t="shared" ref="R7830:R7893" si="206">IF(OR(P7830="",Q7830=""),"",IFERROR(P7830-Q7830,""))</f>
        <v/>
      </c>
    </row>
    <row r="7831" spans="18:18" x14ac:dyDescent="0.2">
      <c r="R7831" s="189" t="str">
        <f t="shared" si="206"/>
        <v/>
      </c>
    </row>
    <row r="7832" spans="18:18" x14ac:dyDescent="0.2">
      <c r="R7832" s="189" t="str">
        <f t="shared" si="206"/>
        <v/>
      </c>
    </row>
    <row r="7833" spans="18:18" x14ac:dyDescent="0.2">
      <c r="R7833" s="189" t="str">
        <f t="shared" si="206"/>
        <v/>
      </c>
    </row>
    <row r="7834" spans="18:18" x14ac:dyDescent="0.2">
      <c r="R7834" s="189" t="str">
        <f t="shared" si="206"/>
        <v/>
      </c>
    </row>
    <row r="7835" spans="18:18" x14ac:dyDescent="0.2">
      <c r="R7835" s="189" t="str">
        <f t="shared" si="206"/>
        <v/>
      </c>
    </row>
    <row r="7836" spans="18:18" x14ac:dyDescent="0.2">
      <c r="R7836" s="189" t="str">
        <f t="shared" si="206"/>
        <v/>
      </c>
    </row>
    <row r="7837" spans="18:18" x14ac:dyDescent="0.2">
      <c r="R7837" s="189" t="str">
        <f t="shared" si="206"/>
        <v/>
      </c>
    </row>
    <row r="7838" spans="18:18" x14ac:dyDescent="0.2">
      <c r="R7838" s="189" t="str">
        <f t="shared" si="206"/>
        <v/>
      </c>
    </row>
    <row r="7839" spans="18:18" x14ac:dyDescent="0.2">
      <c r="R7839" s="189" t="str">
        <f t="shared" si="206"/>
        <v/>
      </c>
    </row>
    <row r="7840" spans="18:18" x14ac:dyDescent="0.2">
      <c r="R7840" s="189" t="str">
        <f t="shared" si="206"/>
        <v/>
      </c>
    </row>
    <row r="7841" spans="18:18" x14ac:dyDescent="0.2">
      <c r="R7841" s="189" t="str">
        <f t="shared" si="206"/>
        <v/>
      </c>
    </row>
    <row r="7842" spans="18:18" x14ac:dyDescent="0.2">
      <c r="R7842" s="189" t="str">
        <f t="shared" si="206"/>
        <v/>
      </c>
    </row>
    <row r="7843" spans="18:18" x14ac:dyDescent="0.2">
      <c r="R7843" s="189" t="str">
        <f t="shared" si="206"/>
        <v/>
      </c>
    </row>
    <row r="7844" spans="18:18" x14ac:dyDescent="0.2">
      <c r="R7844" s="189" t="str">
        <f t="shared" si="206"/>
        <v/>
      </c>
    </row>
    <row r="7845" spans="18:18" x14ac:dyDescent="0.2">
      <c r="R7845" s="189" t="str">
        <f t="shared" si="206"/>
        <v/>
      </c>
    </row>
    <row r="7846" spans="18:18" x14ac:dyDescent="0.2">
      <c r="R7846" s="189" t="str">
        <f t="shared" si="206"/>
        <v/>
      </c>
    </row>
    <row r="7847" spans="18:18" x14ac:dyDescent="0.2">
      <c r="R7847" s="189" t="str">
        <f t="shared" si="206"/>
        <v/>
      </c>
    </row>
    <row r="7848" spans="18:18" x14ac:dyDescent="0.2">
      <c r="R7848" s="189" t="str">
        <f t="shared" si="206"/>
        <v/>
      </c>
    </row>
    <row r="7849" spans="18:18" x14ac:dyDescent="0.2">
      <c r="R7849" s="189" t="str">
        <f t="shared" si="206"/>
        <v/>
      </c>
    </row>
    <row r="7850" spans="18:18" x14ac:dyDescent="0.2">
      <c r="R7850" s="189" t="str">
        <f t="shared" si="206"/>
        <v/>
      </c>
    </row>
    <row r="7851" spans="18:18" x14ac:dyDescent="0.2">
      <c r="R7851" s="189" t="str">
        <f t="shared" si="206"/>
        <v/>
      </c>
    </row>
    <row r="7852" spans="18:18" x14ac:dyDescent="0.2">
      <c r="R7852" s="189" t="str">
        <f t="shared" si="206"/>
        <v/>
      </c>
    </row>
    <row r="7853" spans="18:18" x14ac:dyDescent="0.2">
      <c r="R7853" s="189" t="str">
        <f t="shared" si="206"/>
        <v/>
      </c>
    </row>
    <row r="7854" spans="18:18" x14ac:dyDescent="0.2">
      <c r="R7854" s="189" t="str">
        <f t="shared" si="206"/>
        <v/>
      </c>
    </row>
    <row r="7855" spans="18:18" x14ac:dyDescent="0.2">
      <c r="R7855" s="189" t="str">
        <f t="shared" si="206"/>
        <v/>
      </c>
    </row>
    <row r="7856" spans="18:18" x14ac:dyDescent="0.2">
      <c r="R7856" s="189" t="str">
        <f t="shared" si="206"/>
        <v/>
      </c>
    </row>
    <row r="7857" spans="18:18" x14ac:dyDescent="0.2">
      <c r="R7857" s="189" t="str">
        <f t="shared" si="206"/>
        <v/>
      </c>
    </row>
    <row r="7858" spans="18:18" x14ac:dyDescent="0.2">
      <c r="R7858" s="189" t="str">
        <f t="shared" si="206"/>
        <v/>
      </c>
    </row>
    <row r="7859" spans="18:18" x14ac:dyDescent="0.2">
      <c r="R7859" s="189" t="str">
        <f t="shared" si="206"/>
        <v/>
      </c>
    </row>
    <row r="7860" spans="18:18" x14ac:dyDescent="0.2">
      <c r="R7860" s="189" t="str">
        <f t="shared" si="206"/>
        <v/>
      </c>
    </row>
    <row r="7861" spans="18:18" x14ac:dyDescent="0.2">
      <c r="R7861" s="189" t="str">
        <f t="shared" si="206"/>
        <v/>
      </c>
    </row>
    <row r="7862" spans="18:18" x14ac:dyDescent="0.2">
      <c r="R7862" s="189" t="str">
        <f t="shared" si="206"/>
        <v/>
      </c>
    </row>
    <row r="7863" spans="18:18" x14ac:dyDescent="0.2">
      <c r="R7863" s="189" t="str">
        <f t="shared" si="206"/>
        <v/>
      </c>
    </row>
    <row r="7864" spans="18:18" x14ac:dyDescent="0.2">
      <c r="R7864" s="189" t="str">
        <f t="shared" si="206"/>
        <v/>
      </c>
    </row>
    <row r="7865" spans="18:18" x14ac:dyDescent="0.2">
      <c r="R7865" s="189" t="str">
        <f t="shared" si="206"/>
        <v/>
      </c>
    </row>
    <row r="7866" spans="18:18" x14ac:dyDescent="0.2">
      <c r="R7866" s="189" t="str">
        <f t="shared" si="206"/>
        <v/>
      </c>
    </row>
    <row r="7867" spans="18:18" x14ac:dyDescent="0.2">
      <c r="R7867" s="189" t="str">
        <f t="shared" si="206"/>
        <v/>
      </c>
    </row>
    <row r="7868" spans="18:18" x14ac:dyDescent="0.2">
      <c r="R7868" s="189" t="str">
        <f t="shared" si="206"/>
        <v/>
      </c>
    </row>
    <row r="7869" spans="18:18" x14ac:dyDescent="0.2">
      <c r="R7869" s="189" t="str">
        <f t="shared" si="206"/>
        <v/>
      </c>
    </row>
    <row r="7870" spans="18:18" x14ac:dyDescent="0.2">
      <c r="R7870" s="189" t="str">
        <f t="shared" si="206"/>
        <v/>
      </c>
    </row>
    <row r="7871" spans="18:18" x14ac:dyDescent="0.2">
      <c r="R7871" s="189" t="str">
        <f t="shared" si="206"/>
        <v/>
      </c>
    </row>
    <row r="7872" spans="18:18" x14ac:dyDescent="0.2">
      <c r="R7872" s="189" t="str">
        <f t="shared" si="206"/>
        <v/>
      </c>
    </row>
    <row r="7873" spans="18:18" x14ac:dyDescent="0.2">
      <c r="R7873" s="189" t="str">
        <f t="shared" si="206"/>
        <v/>
      </c>
    </row>
    <row r="7874" spans="18:18" x14ac:dyDescent="0.2">
      <c r="R7874" s="189" t="str">
        <f t="shared" si="206"/>
        <v/>
      </c>
    </row>
    <row r="7875" spans="18:18" x14ac:dyDescent="0.2">
      <c r="R7875" s="189" t="str">
        <f t="shared" si="206"/>
        <v/>
      </c>
    </row>
    <row r="7876" spans="18:18" x14ac:dyDescent="0.2">
      <c r="R7876" s="189" t="str">
        <f t="shared" si="206"/>
        <v/>
      </c>
    </row>
    <row r="7877" spans="18:18" x14ac:dyDescent="0.2">
      <c r="R7877" s="189" t="str">
        <f t="shared" si="206"/>
        <v/>
      </c>
    </row>
    <row r="7878" spans="18:18" x14ac:dyDescent="0.2">
      <c r="R7878" s="189" t="str">
        <f t="shared" si="206"/>
        <v/>
      </c>
    </row>
    <row r="7879" spans="18:18" x14ac:dyDescent="0.2">
      <c r="R7879" s="189" t="str">
        <f t="shared" si="206"/>
        <v/>
      </c>
    </row>
    <row r="7880" spans="18:18" x14ac:dyDescent="0.2">
      <c r="R7880" s="189" t="str">
        <f t="shared" si="206"/>
        <v/>
      </c>
    </row>
    <row r="7881" spans="18:18" x14ac:dyDescent="0.2">
      <c r="R7881" s="189" t="str">
        <f t="shared" si="206"/>
        <v/>
      </c>
    </row>
    <row r="7882" spans="18:18" x14ac:dyDescent="0.2">
      <c r="R7882" s="189" t="str">
        <f t="shared" si="206"/>
        <v/>
      </c>
    </row>
    <row r="7883" spans="18:18" x14ac:dyDescent="0.2">
      <c r="R7883" s="189" t="str">
        <f t="shared" si="206"/>
        <v/>
      </c>
    </row>
    <row r="7884" spans="18:18" x14ac:dyDescent="0.2">
      <c r="R7884" s="189" t="str">
        <f t="shared" si="206"/>
        <v/>
      </c>
    </row>
    <row r="7885" spans="18:18" x14ac:dyDescent="0.2">
      <c r="R7885" s="189" t="str">
        <f t="shared" si="206"/>
        <v/>
      </c>
    </row>
    <row r="7886" spans="18:18" x14ac:dyDescent="0.2">
      <c r="R7886" s="189" t="str">
        <f t="shared" si="206"/>
        <v/>
      </c>
    </row>
    <row r="7887" spans="18:18" x14ac:dyDescent="0.2">
      <c r="R7887" s="189" t="str">
        <f t="shared" si="206"/>
        <v/>
      </c>
    </row>
    <row r="7888" spans="18:18" x14ac:dyDescent="0.2">
      <c r="R7888" s="189" t="str">
        <f t="shared" si="206"/>
        <v/>
      </c>
    </row>
    <row r="7889" spans="18:18" x14ac:dyDescent="0.2">
      <c r="R7889" s="189" t="str">
        <f t="shared" si="206"/>
        <v/>
      </c>
    </row>
    <row r="7890" spans="18:18" x14ac:dyDescent="0.2">
      <c r="R7890" s="189" t="str">
        <f t="shared" si="206"/>
        <v/>
      </c>
    </row>
    <row r="7891" spans="18:18" x14ac:dyDescent="0.2">
      <c r="R7891" s="189" t="str">
        <f t="shared" si="206"/>
        <v/>
      </c>
    </row>
    <row r="7892" spans="18:18" x14ac:dyDescent="0.2">
      <c r="R7892" s="189" t="str">
        <f t="shared" si="206"/>
        <v/>
      </c>
    </row>
    <row r="7893" spans="18:18" x14ac:dyDescent="0.2">
      <c r="R7893" s="189" t="str">
        <f t="shared" si="206"/>
        <v/>
      </c>
    </row>
    <row r="7894" spans="18:18" x14ac:dyDescent="0.2">
      <c r="R7894" s="189" t="str">
        <f t="shared" ref="R7894:R7957" si="207">IF(OR(P7894="",Q7894=""),"",IFERROR(P7894-Q7894,""))</f>
        <v/>
      </c>
    </row>
    <row r="7895" spans="18:18" x14ac:dyDescent="0.2">
      <c r="R7895" s="189" t="str">
        <f t="shared" si="207"/>
        <v/>
      </c>
    </row>
    <row r="7896" spans="18:18" x14ac:dyDescent="0.2">
      <c r="R7896" s="189" t="str">
        <f t="shared" si="207"/>
        <v/>
      </c>
    </row>
    <row r="7897" spans="18:18" x14ac:dyDescent="0.2">
      <c r="R7897" s="189" t="str">
        <f t="shared" si="207"/>
        <v/>
      </c>
    </row>
    <row r="7898" spans="18:18" x14ac:dyDescent="0.2">
      <c r="R7898" s="189" t="str">
        <f t="shared" si="207"/>
        <v/>
      </c>
    </row>
    <row r="7899" spans="18:18" x14ac:dyDescent="0.2">
      <c r="R7899" s="189" t="str">
        <f t="shared" si="207"/>
        <v/>
      </c>
    </row>
    <row r="7900" spans="18:18" x14ac:dyDescent="0.2">
      <c r="R7900" s="189" t="str">
        <f t="shared" si="207"/>
        <v/>
      </c>
    </row>
    <row r="7901" spans="18:18" x14ac:dyDescent="0.2">
      <c r="R7901" s="189" t="str">
        <f t="shared" si="207"/>
        <v/>
      </c>
    </row>
    <row r="7902" spans="18:18" x14ac:dyDescent="0.2">
      <c r="R7902" s="189" t="str">
        <f t="shared" si="207"/>
        <v/>
      </c>
    </row>
    <row r="7903" spans="18:18" x14ac:dyDescent="0.2">
      <c r="R7903" s="189" t="str">
        <f t="shared" si="207"/>
        <v/>
      </c>
    </row>
    <row r="7904" spans="18:18" x14ac:dyDescent="0.2">
      <c r="R7904" s="189" t="str">
        <f t="shared" si="207"/>
        <v/>
      </c>
    </row>
    <row r="7905" spans="18:18" x14ac:dyDescent="0.2">
      <c r="R7905" s="189" t="str">
        <f t="shared" si="207"/>
        <v/>
      </c>
    </row>
    <row r="7906" spans="18:18" x14ac:dyDescent="0.2">
      <c r="R7906" s="189" t="str">
        <f t="shared" si="207"/>
        <v/>
      </c>
    </row>
    <row r="7907" spans="18:18" x14ac:dyDescent="0.2">
      <c r="R7907" s="189" t="str">
        <f t="shared" si="207"/>
        <v/>
      </c>
    </row>
    <row r="7908" spans="18:18" x14ac:dyDescent="0.2">
      <c r="R7908" s="189" t="str">
        <f t="shared" si="207"/>
        <v/>
      </c>
    </row>
    <row r="7909" spans="18:18" x14ac:dyDescent="0.2">
      <c r="R7909" s="189" t="str">
        <f t="shared" si="207"/>
        <v/>
      </c>
    </row>
    <row r="7910" spans="18:18" x14ac:dyDescent="0.2">
      <c r="R7910" s="189" t="str">
        <f t="shared" si="207"/>
        <v/>
      </c>
    </row>
    <row r="7911" spans="18:18" x14ac:dyDescent="0.2">
      <c r="R7911" s="189" t="str">
        <f t="shared" si="207"/>
        <v/>
      </c>
    </row>
    <row r="7912" spans="18:18" x14ac:dyDescent="0.2">
      <c r="R7912" s="189" t="str">
        <f t="shared" si="207"/>
        <v/>
      </c>
    </row>
    <row r="7913" spans="18:18" x14ac:dyDescent="0.2">
      <c r="R7913" s="189" t="str">
        <f t="shared" si="207"/>
        <v/>
      </c>
    </row>
    <row r="7914" spans="18:18" x14ac:dyDescent="0.2">
      <c r="R7914" s="189" t="str">
        <f t="shared" si="207"/>
        <v/>
      </c>
    </row>
    <row r="7915" spans="18:18" x14ac:dyDescent="0.2">
      <c r="R7915" s="189" t="str">
        <f t="shared" si="207"/>
        <v/>
      </c>
    </row>
    <row r="7916" spans="18:18" x14ac:dyDescent="0.2">
      <c r="R7916" s="189" t="str">
        <f t="shared" si="207"/>
        <v/>
      </c>
    </row>
    <row r="7917" spans="18:18" x14ac:dyDescent="0.2">
      <c r="R7917" s="189" t="str">
        <f t="shared" si="207"/>
        <v/>
      </c>
    </row>
    <row r="7918" spans="18:18" x14ac:dyDescent="0.2">
      <c r="R7918" s="189" t="str">
        <f t="shared" si="207"/>
        <v/>
      </c>
    </row>
    <row r="7919" spans="18:18" x14ac:dyDescent="0.2">
      <c r="R7919" s="189" t="str">
        <f t="shared" si="207"/>
        <v/>
      </c>
    </row>
    <row r="7920" spans="18:18" x14ac:dyDescent="0.2">
      <c r="R7920" s="189" t="str">
        <f t="shared" si="207"/>
        <v/>
      </c>
    </row>
    <row r="7921" spans="18:18" x14ac:dyDescent="0.2">
      <c r="R7921" s="189" t="str">
        <f t="shared" si="207"/>
        <v/>
      </c>
    </row>
    <row r="7922" spans="18:18" x14ac:dyDescent="0.2">
      <c r="R7922" s="189" t="str">
        <f t="shared" si="207"/>
        <v/>
      </c>
    </row>
    <row r="7923" spans="18:18" x14ac:dyDescent="0.2">
      <c r="R7923" s="189" t="str">
        <f t="shared" si="207"/>
        <v/>
      </c>
    </row>
    <row r="7924" spans="18:18" x14ac:dyDescent="0.2">
      <c r="R7924" s="189" t="str">
        <f t="shared" si="207"/>
        <v/>
      </c>
    </row>
    <row r="7925" spans="18:18" x14ac:dyDescent="0.2">
      <c r="R7925" s="189" t="str">
        <f t="shared" si="207"/>
        <v/>
      </c>
    </row>
    <row r="7926" spans="18:18" x14ac:dyDescent="0.2">
      <c r="R7926" s="189" t="str">
        <f t="shared" si="207"/>
        <v/>
      </c>
    </row>
    <row r="7927" spans="18:18" x14ac:dyDescent="0.2">
      <c r="R7927" s="189" t="str">
        <f t="shared" si="207"/>
        <v/>
      </c>
    </row>
    <row r="7928" spans="18:18" x14ac:dyDescent="0.2">
      <c r="R7928" s="189" t="str">
        <f t="shared" si="207"/>
        <v/>
      </c>
    </row>
    <row r="7929" spans="18:18" x14ac:dyDescent="0.2">
      <c r="R7929" s="189" t="str">
        <f t="shared" si="207"/>
        <v/>
      </c>
    </row>
    <row r="7930" spans="18:18" x14ac:dyDescent="0.2">
      <c r="R7930" s="189" t="str">
        <f t="shared" si="207"/>
        <v/>
      </c>
    </row>
    <row r="7931" spans="18:18" x14ac:dyDescent="0.2">
      <c r="R7931" s="189" t="str">
        <f t="shared" si="207"/>
        <v/>
      </c>
    </row>
    <row r="7932" spans="18:18" x14ac:dyDescent="0.2">
      <c r="R7932" s="189" t="str">
        <f t="shared" si="207"/>
        <v/>
      </c>
    </row>
    <row r="7933" spans="18:18" x14ac:dyDescent="0.2">
      <c r="R7933" s="189" t="str">
        <f t="shared" si="207"/>
        <v/>
      </c>
    </row>
    <row r="7934" spans="18:18" x14ac:dyDescent="0.2">
      <c r="R7934" s="189" t="str">
        <f t="shared" si="207"/>
        <v/>
      </c>
    </row>
    <row r="7935" spans="18:18" x14ac:dyDescent="0.2">
      <c r="R7935" s="189" t="str">
        <f t="shared" si="207"/>
        <v/>
      </c>
    </row>
    <row r="7936" spans="18:18" x14ac:dyDescent="0.2">
      <c r="R7936" s="189" t="str">
        <f t="shared" si="207"/>
        <v/>
      </c>
    </row>
    <row r="7937" spans="18:18" x14ac:dyDescent="0.2">
      <c r="R7937" s="189" t="str">
        <f t="shared" si="207"/>
        <v/>
      </c>
    </row>
    <row r="7938" spans="18:18" x14ac:dyDescent="0.2">
      <c r="R7938" s="189" t="str">
        <f t="shared" si="207"/>
        <v/>
      </c>
    </row>
    <row r="7939" spans="18:18" x14ac:dyDescent="0.2">
      <c r="R7939" s="189" t="str">
        <f t="shared" si="207"/>
        <v/>
      </c>
    </row>
    <row r="7940" spans="18:18" x14ac:dyDescent="0.2">
      <c r="R7940" s="189" t="str">
        <f t="shared" si="207"/>
        <v/>
      </c>
    </row>
    <row r="7941" spans="18:18" x14ac:dyDescent="0.2">
      <c r="R7941" s="189" t="str">
        <f t="shared" si="207"/>
        <v/>
      </c>
    </row>
    <row r="7942" spans="18:18" x14ac:dyDescent="0.2">
      <c r="R7942" s="189" t="str">
        <f t="shared" si="207"/>
        <v/>
      </c>
    </row>
    <row r="7943" spans="18:18" x14ac:dyDescent="0.2">
      <c r="R7943" s="189" t="str">
        <f t="shared" si="207"/>
        <v/>
      </c>
    </row>
    <row r="7944" spans="18:18" x14ac:dyDescent="0.2">
      <c r="R7944" s="189" t="str">
        <f t="shared" si="207"/>
        <v/>
      </c>
    </row>
    <row r="7945" spans="18:18" x14ac:dyDescent="0.2">
      <c r="R7945" s="189" t="str">
        <f t="shared" si="207"/>
        <v/>
      </c>
    </row>
    <row r="7946" spans="18:18" x14ac:dyDescent="0.2">
      <c r="R7946" s="189" t="str">
        <f t="shared" si="207"/>
        <v/>
      </c>
    </row>
    <row r="7947" spans="18:18" x14ac:dyDescent="0.2">
      <c r="R7947" s="189" t="str">
        <f t="shared" si="207"/>
        <v/>
      </c>
    </row>
    <row r="7948" spans="18:18" x14ac:dyDescent="0.2">
      <c r="R7948" s="189" t="str">
        <f t="shared" si="207"/>
        <v/>
      </c>
    </row>
    <row r="7949" spans="18:18" x14ac:dyDescent="0.2">
      <c r="R7949" s="189" t="str">
        <f t="shared" si="207"/>
        <v/>
      </c>
    </row>
    <row r="7950" spans="18:18" x14ac:dyDescent="0.2">
      <c r="R7950" s="189" t="str">
        <f t="shared" si="207"/>
        <v/>
      </c>
    </row>
    <row r="7951" spans="18:18" x14ac:dyDescent="0.2">
      <c r="R7951" s="189" t="str">
        <f t="shared" si="207"/>
        <v/>
      </c>
    </row>
    <row r="7952" spans="18:18" x14ac:dyDescent="0.2">
      <c r="R7952" s="189" t="str">
        <f t="shared" si="207"/>
        <v/>
      </c>
    </row>
    <row r="7953" spans="18:18" x14ac:dyDescent="0.2">
      <c r="R7953" s="189" t="str">
        <f t="shared" si="207"/>
        <v/>
      </c>
    </row>
    <row r="7954" spans="18:18" x14ac:dyDescent="0.2">
      <c r="R7954" s="189" t="str">
        <f t="shared" si="207"/>
        <v/>
      </c>
    </row>
    <row r="7955" spans="18:18" x14ac:dyDescent="0.2">
      <c r="R7955" s="189" t="str">
        <f t="shared" si="207"/>
        <v/>
      </c>
    </row>
    <row r="7956" spans="18:18" x14ac:dyDescent="0.2">
      <c r="R7956" s="189" t="str">
        <f t="shared" si="207"/>
        <v/>
      </c>
    </row>
    <row r="7957" spans="18:18" x14ac:dyDescent="0.2">
      <c r="R7957" s="189" t="str">
        <f t="shared" si="207"/>
        <v/>
      </c>
    </row>
    <row r="7958" spans="18:18" x14ac:dyDescent="0.2">
      <c r="R7958" s="189" t="str">
        <f t="shared" ref="R7958:R8021" si="208">IF(OR(P7958="",Q7958=""),"",IFERROR(P7958-Q7958,""))</f>
        <v/>
      </c>
    </row>
    <row r="7959" spans="18:18" x14ac:dyDescent="0.2">
      <c r="R7959" s="189" t="str">
        <f t="shared" si="208"/>
        <v/>
      </c>
    </row>
    <row r="7960" spans="18:18" x14ac:dyDescent="0.2">
      <c r="R7960" s="189" t="str">
        <f t="shared" si="208"/>
        <v/>
      </c>
    </row>
    <row r="7961" spans="18:18" x14ac:dyDescent="0.2">
      <c r="R7961" s="189" t="str">
        <f t="shared" si="208"/>
        <v/>
      </c>
    </row>
    <row r="7962" spans="18:18" x14ac:dyDescent="0.2">
      <c r="R7962" s="189" t="str">
        <f t="shared" si="208"/>
        <v/>
      </c>
    </row>
    <row r="7963" spans="18:18" x14ac:dyDescent="0.2">
      <c r="R7963" s="189" t="str">
        <f t="shared" si="208"/>
        <v/>
      </c>
    </row>
    <row r="7964" spans="18:18" x14ac:dyDescent="0.2">
      <c r="R7964" s="189" t="str">
        <f t="shared" si="208"/>
        <v/>
      </c>
    </row>
    <row r="7965" spans="18:18" x14ac:dyDescent="0.2">
      <c r="R7965" s="189" t="str">
        <f t="shared" si="208"/>
        <v/>
      </c>
    </row>
    <row r="7966" spans="18:18" x14ac:dyDescent="0.2">
      <c r="R7966" s="189" t="str">
        <f t="shared" si="208"/>
        <v/>
      </c>
    </row>
    <row r="7967" spans="18:18" x14ac:dyDescent="0.2">
      <c r="R7967" s="189" t="str">
        <f t="shared" si="208"/>
        <v/>
      </c>
    </row>
    <row r="7968" spans="18:18" x14ac:dyDescent="0.2">
      <c r="R7968" s="189" t="str">
        <f t="shared" si="208"/>
        <v/>
      </c>
    </row>
    <row r="7969" spans="18:18" x14ac:dyDescent="0.2">
      <c r="R7969" s="189" t="str">
        <f t="shared" si="208"/>
        <v/>
      </c>
    </row>
    <row r="7970" spans="18:18" x14ac:dyDescent="0.2">
      <c r="R7970" s="189" t="str">
        <f t="shared" si="208"/>
        <v/>
      </c>
    </row>
    <row r="7971" spans="18:18" x14ac:dyDescent="0.2">
      <c r="R7971" s="189" t="str">
        <f t="shared" si="208"/>
        <v/>
      </c>
    </row>
    <row r="7972" spans="18:18" x14ac:dyDescent="0.2">
      <c r="R7972" s="189" t="str">
        <f t="shared" si="208"/>
        <v/>
      </c>
    </row>
    <row r="7973" spans="18:18" x14ac:dyDescent="0.2">
      <c r="R7973" s="189" t="str">
        <f t="shared" si="208"/>
        <v/>
      </c>
    </row>
    <row r="7974" spans="18:18" x14ac:dyDescent="0.2">
      <c r="R7974" s="189" t="str">
        <f t="shared" si="208"/>
        <v/>
      </c>
    </row>
    <row r="7975" spans="18:18" x14ac:dyDescent="0.2">
      <c r="R7975" s="189" t="str">
        <f t="shared" si="208"/>
        <v/>
      </c>
    </row>
    <row r="7976" spans="18:18" x14ac:dyDescent="0.2">
      <c r="R7976" s="189" t="str">
        <f t="shared" si="208"/>
        <v/>
      </c>
    </row>
    <row r="7977" spans="18:18" x14ac:dyDescent="0.2">
      <c r="R7977" s="189" t="str">
        <f t="shared" si="208"/>
        <v/>
      </c>
    </row>
    <row r="7978" spans="18:18" x14ac:dyDescent="0.2">
      <c r="R7978" s="189" t="str">
        <f t="shared" si="208"/>
        <v/>
      </c>
    </row>
    <row r="7979" spans="18:18" x14ac:dyDescent="0.2">
      <c r="R7979" s="189" t="str">
        <f t="shared" si="208"/>
        <v/>
      </c>
    </row>
    <row r="7980" spans="18:18" x14ac:dyDescent="0.2">
      <c r="R7980" s="189" t="str">
        <f t="shared" si="208"/>
        <v/>
      </c>
    </row>
    <row r="7981" spans="18:18" x14ac:dyDescent="0.2">
      <c r="R7981" s="189" t="str">
        <f t="shared" si="208"/>
        <v/>
      </c>
    </row>
    <row r="7982" spans="18:18" x14ac:dyDescent="0.2">
      <c r="R7982" s="189" t="str">
        <f t="shared" si="208"/>
        <v/>
      </c>
    </row>
    <row r="7983" spans="18:18" x14ac:dyDescent="0.2">
      <c r="R7983" s="189" t="str">
        <f t="shared" si="208"/>
        <v/>
      </c>
    </row>
    <row r="7984" spans="18:18" x14ac:dyDescent="0.2">
      <c r="R7984" s="189" t="str">
        <f t="shared" si="208"/>
        <v/>
      </c>
    </row>
    <row r="7985" spans="18:18" x14ac:dyDescent="0.2">
      <c r="R7985" s="189" t="str">
        <f t="shared" si="208"/>
        <v/>
      </c>
    </row>
    <row r="7986" spans="18:18" x14ac:dyDescent="0.2">
      <c r="R7986" s="189" t="str">
        <f t="shared" si="208"/>
        <v/>
      </c>
    </row>
    <row r="7987" spans="18:18" x14ac:dyDescent="0.2">
      <c r="R7987" s="189" t="str">
        <f t="shared" si="208"/>
        <v/>
      </c>
    </row>
    <row r="7988" spans="18:18" x14ac:dyDescent="0.2">
      <c r="R7988" s="189" t="str">
        <f t="shared" si="208"/>
        <v/>
      </c>
    </row>
    <row r="7989" spans="18:18" x14ac:dyDescent="0.2">
      <c r="R7989" s="189" t="str">
        <f t="shared" si="208"/>
        <v/>
      </c>
    </row>
    <row r="7990" spans="18:18" x14ac:dyDescent="0.2">
      <c r="R7990" s="189" t="str">
        <f t="shared" si="208"/>
        <v/>
      </c>
    </row>
    <row r="7991" spans="18:18" x14ac:dyDescent="0.2">
      <c r="R7991" s="189" t="str">
        <f t="shared" si="208"/>
        <v/>
      </c>
    </row>
    <row r="7992" spans="18:18" x14ac:dyDescent="0.2">
      <c r="R7992" s="189" t="str">
        <f t="shared" si="208"/>
        <v/>
      </c>
    </row>
    <row r="7993" spans="18:18" x14ac:dyDescent="0.2">
      <c r="R7993" s="189" t="str">
        <f t="shared" si="208"/>
        <v/>
      </c>
    </row>
    <row r="7994" spans="18:18" x14ac:dyDescent="0.2">
      <c r="R7994" s="189" t="str">
        <f t="shared" si="208"/>
        <v/>
      </c>
    </row>
    <row r="7995" spans="18:18" x14ac:dyDescent="0.2">
      <c r="R7995" s="189" t="str">
        <f t="shared" si="208"/>
        <v/>
      </c>
    </row>
    <row r="7996" spans="18:18" x14ac:dyDescent="0.2">
      <c r="R7996" s="189" t="str">
        <f t="shared" si="208"/>
        <v/>
      </c>
    </row>
    <row r="7997" spans="18:18" x14ac:dyDescent="0.2">
      <c r="R7997" s="189" t="str">
        <f t="shared" si="208"/>
        <v/>
      </c>
    </row>
    <row r="7998" spans="18:18" x14ac:dyDescent="0.2">
      <c r="R7998" s="189" t="str">
        <f t="shared" si="208"/>
        <v/>
      </c>
    </row>
    <row r="7999" spans="18:18" x14ac:dyDescent="0.2">
      <c r="R7999" s="189" t="str">
        <f t="shared" si="208"/>
        <v/>
      </c>
    </row>
    <row r="8000" spans="18:18" x14ac:dyDescent="0.2">
      <c r="R8000" s="189" t="str">
        <f t="shared" si="208"/>
        <v/>
      </c>
    </row>
    <row r="8001" spans="18:18" x14ac:dyDescent="0.2">
      <c r="R8001" s="189" t="str">
        <f t="shared" si="208"/>
        <v/>
      </c>
    </row>
    <row r="8002" spans="18:18" x14ac:dyDescent="0.2">
      <c r="R8002" s="189" t="str">
        <f t="shared" si="208"/>
        <v/>
      </c>
    </row>
    <row r="8003" spans="18:18" x14ac:dyDescent="0.2">
      <c r="R8003" s="189" t="str">
        <f t="shared" si="208"/>
        <v/>
      </c>
    </row>
    <row r="8004" spans="18:18" x14ac:dyDescent="0.2">
      <c r="R8004" s="189" t="str">
        <f t="shared" si="208"/>
        <v/>
      </c>
    </row>
    <row r="8005" spans="18:18" x14ac:dyDescent="0.2">
      <c r="R8005" s="189" t="str">
        <f t="shared" si="208"/>
        <v/>
      </c>
    </row>
    <row r="8006" spans="18:18" x14ac:dyDescent="0.2">
      <c r="R8006" s="189" t="str">
        <f t="shared" si="208"/>
        <v/>
      </c>
    </row>
    <row r="8007" spans="18:18" x14ac:dyDescent="0.2">
      <c r="R8007" s="189" t="str">
        <f t="shared" si="208"/>
        <v/>
      </c>
    </row>
    <row r="8008" spans="18:18" x14ac:dyDescent="0.2">
      <c r="R8008" s="189" t="str">
        <f t="shared" si="208"/>
        <v/>
      </c>
    </row>
    <row r="8009" spans="18:18" x14ac:dyDescent="0.2">
      <c r="R8009" s="189" t="str">
        <f t="shared" si="208"/>
        <v/>
      </c>
    </row>
    <row r="8010" spans="18:18" x14ac:dyDescent="0.2">
      <c r="R8010" s="189" t="str">
        <f t="shared" si="208"/>
        <v/>
      </c>
    </row>
    <row r="8011" spans="18:18" x14ac:dyDescent="0.2">
      <c r="R8011" s="189" t="str">
        <f t="shared" si="208"/>
        <v/>
      </c>
    </row>
    <row r="8012" spans="18:18" x14ac:dyDescent="0.2">
      <c r="R8012" s="189" t="str">
        <f t="shared" si="208"/>
        <v/>
      </c>
    </row>
    <row r="8013" spans="18:18" x14ac:dyDescent="0.2">
      <c r="R8013" s="189" t="str">
        <f t="shared" si="208"/>
        <v/>
      </c>
    </row>
    <row r="8014" spans="18:18" x14ac:dyDescent="0.2">
      <c r="R8014" s="189" t="str">
        <f t="shared" si="208"/>
        <v/>
      </c>
    </row>
    <row r="8015" spans="18:18" x14ac:dyDescent="0.2">
      <c r="R8015" s="189" t="str">
        <f t="shared" si="208"/>
        <v/>
      </c>
    </row>
    <row r="8016" spans="18:18" x14ac:dyDescent="0.2">
      <c r="R8016" s="189" t="str">
        <f t="shared" si="208"/>
        <v/>
      </c>
    </row>
    <row r="8017" spans="18:18" x14ac:dyDescent="0.2">
      <c r="R8017" s="189" t="str">
        <f t="shared" si="208"/>
        <v/>
      </c>
    </row>
    <row r="8018" spans="18:18" x14ac:dyDescent="0.2">
      <c r="R8018" s="189" t="str">
        <f t="shared" si="208"/>
        <v/>
      </c>
    </row>
    <row r="8019" spans="18:18" x14ac:dyDescent="0.2">
      <c r="R8019" s="189" t="str">
        <f t="shared" si="208"/>
        <v/>
      </c>
    </row>
    <row r="8020" spans="18:18" x14ac:dyDescent="0.2">
      <c r="R8020" s="189" t="str">
        <f t="shared" si="208"/>
        <v/>
      </c>
    </row>
    <row r="8021" spans="18:18" x14ac:dyDescent="0.2">
      <c r="R8021" s="189" t="str">
        <f t="shared" si="208"/>
        <v/>
      </c>
    </row>
    <row r="8022" spans="18:18" x14ac:dyDescent="0.2">
      <c r="R8022" s="189" t="str">
        <f t="shared" ref="R8022:R8085" si="209">IF(OR(P8022="",Q8022=""),"",IFERROR(P8022-Q8022,""))</f>
        <v/>
      </c>
    </row>
    <row r="8023" spans="18:18" x14ac:dyDescent="0.2">
      <c r="R8023" s="189" t="str">
        <f t="shared" si="209"/>
        <v/>
      </c>
    </row>
    <row r="8024" spans="18:18" x14ac:dyDescent="0.2">
      <c r="R8024" s="189" t="str">
        <f t="shared" si="209"/>
        <v/>
      </c>
    </row>
    <row r="8025" spans="18:18" x14ac:dyDescent="0.2">
      <c r="R8025" s="189" t="str">
        <f t="shared" si="209"/>
        <v/>
      </c>
    </row>
    <row r="8026" spans="18:18" x14ac:dyDescent="0.2">
      <c r="R8026" s="189" t="str">
        <f t="shared" si="209"/>
        <v/>
      </c>
    </row>
    <row r="8027" spans="18:18" x14ac:dyDescent="0.2">
      <c r="R8027" s="189" t="str">
        <f t="shared" si="209"/>
        <v/>
      </c>
    </row>
    <row r="8028" spans="18:18" x14ac:dyDescent="0.2">
      <c r="R8028" s="189" t="str">
        <f t="shared" si="209"/>
        <v/>
      </c>
    </row>
    <row r="8029" spans="18:18" x14ac:dyDescent="0.2">
      <c r="R8029" s="189" t="str">
        <f t="shared" si="209"/>
        <v/>
      </c>
    </row>
    <row r="8030" spans="18:18" x14ac:dyDescent="0.2">
      <c r="R8030" s="189" t="str">
        <f t="shared" si="209"/>
        <v/>
      </c>
    </row>
    <row r="8031" spans="18:18" x14ac:dyDescent="0.2">
      <c r="R8031" s="189" t="str">
        <f t="shared" si="209"/>
        <v/>
      </c>
    </row>
    <row r="8032" spans="18:18" x14ac:dyDescent="0.2">
      <c r="R8032" s="189" t="str">
        <f t="shared" si="209"/>
        <v/>
      </c>
    </row>
    <row r="8033" spans="18:18" x14ac:dyDescent="0.2">
      <c r="R8033" s="189" t="str">
        <f t="shared" si="209"/>
        <v/>
      </c>
    </row>
    <row r="8034" spans="18:18" x14ac:dyDescent="0.2">
      <c r="R8034" s="189" t="str">
        <f t="shared" si="209"/>
        <v/>
      </c>
    </row>
    <row r="8035" spans="18:18" x14ac:dyDescent="0.2">
      <c r="R8035" s="189" t="str">
        <f t="shared" si="209"/>
        <v/>
      </c>
    </row>
    <row r="8036" spans="18:18" x14ac:dyDescent="0.2">
      <c r="R8036" s="189" t="str">
        <f t="shared" si="209"/>
        <v/>
      </c>
    </row>
    <row r="8037" spans="18:18" x14ac:dyDescent="0.2">
      <c r="R8037" s="189" t="str">
        <f t="shared" si="209"/>
        <v/>
      </c>
    </row>
    <row r="8038" spans="18:18" x14ac:dyDescent="0.2">
      <c r="R8038" s="189" t="str">
        <f t="shared" si="209"/>
        <v/>
      </c>
    </row>
    <row r="8039" spans="18:18" x14ac:dyDescent="0.2">
      <c r="R8039" s="189" t="str">
        <f t="shared" si="209"/>
        <v/>
      </c>
    </row>
    <row r="8040" spans="18:18" x14ac:dyDescent="0.2">
      <c r="R8040" s="189" t="str">
        <f t="shared" si="209"/>
        <v/>
      </c>
    </row>
    <row r="8041" spans="18:18" x14ac:dyDescent="0.2">
      <c r="R8041" s="189" t="str">
        <f t="shared" si="209"/>
        <v/>
      </c>
    </row>
    <row r="8042" spans="18:18" x14ac:dyDescent="0.2">
      <c r="R8042" s="189" t="str">
        <f t="shared" si="209"/>
        <v/>
      </c>
    </row>
    <row r="8043" spans="18:18" x14ac:dyDescent="0.2">
      <c r="R8043" s="189" t="str">
        <f t="shared" si="209"/>
        <v/>
      </c>
    </row>
    <row r="8044" spans="18:18" x14ac:dyDescent="0.2">
      <c r="R8044" s="189" t="str">
        <f t="shared" si="209"/>
        <v/>
      </c>
    </row>
    <row r="8045" spans="18:18" x14ac:dyDescent="0.2">
      <c r="R8045" s="189" t="str">
        <f t="shared" si="209"/>
        <v/>
      </c>
    </row>
    <row r="8046" spans="18:18" x14ac:dyDescent="0.2">
      <c r="R8046" s="189" t="str">
        <f t="shared" si="209"/>
        <v/>
      </c>
    </row>
    <row r="8047" spans="18:18" x14ac:dyDescent="0.2">
      <c r="R8047" s="189" t="str">
        <f t="shared" si="209"/>
        <v/>
      </c>
    </row>
    <row r="8048" spans="18:18" x14ac:dyDescent="0.2">
      <c r="R8048" s="189" t="str">
        <f t="shared" si="209"/>
        <v/>
      </c>
    </row>
    <row r="8049" spans="18:18" x14ac:dyDescent="0.2">
      <c r="R8049" s="189" t="str">
        <f t="shared" si="209"/>
        <v/>
      </c>
    </row>
    <row r="8050" spans="18:18" x14ac:dyDescent="0.2">
      <c r="R8050" s="189" t="str">
        <f t="shared" si="209"/>
        <v/>
      </c>
    </row>
    <row r="8051" spans="18:18" x14ac:dyDescent="0.2">
      <c r="R8051" s="189" t="str">
        <f t="shared" si="209"/>
        <v/>
      </c>
    </row>
    <row r="8052" spans="18:18" x14ac:dyDescent="0.2">
      <c r="R8052" s="189" t="str">
        <f t="shared" si="209"/>
        <v/>
      </c>
    </row>
    <row r="8053" spans="18:18" x14ac:dyDescent="0.2">
      <c r="R8053" s="189" t="str">
        <f t="shared" si="209"/>
        <v/>
      </c>
    </row>
    <row r="8054" spans="18:18" x14ac:dyDescent="0.2">
      <c r="R8054" s="189" t="str">
        <f t="shared" si="209"/>
        <v/>
      </c>
    </row>
    <row r="8055" spans="18:18" x14ac:dyDescent="0.2">
      <c r="R8055" s="189" t="str">
        <f t="shared" si="209"/>
        <v/>
      </c>
    </row>
    <row r="8056" spans="18:18" x14ac:dyDescent="0.2">
      <c r="R8056" s="189" t="str">
        <f t="shared" si="209"/>
        <v/>
      </c>
    </row>
    <row r="8057" spans="18:18" x14ac:dyDescent="0.2">
      <c r="R8057" s="189" t="str">
        <f t="shared" si="209"/>
        <v/>
      </c>
    </row>
    <row r="8058" spans="18:18" x14ac:dyDescent="0.2">
      <c r="R8058" s="189" t="str">
        <f t="shared" si="209"/>
        <v/>
      </c>
    </row>
    <row r="8059" spans="18:18" x14ac:dyDescent="0.2">
      <c r="R8059" s="189" t="str">
        <f t="shared" si="209"/>
        <v/>
      </c>
    </row>
    <row r="8060" spans="18:18" x14ac:dyDescent="0.2">
      <c r="R8060" s="189" t="str">
        <f t="shared" si="209"/>
        <v/>
      </c>
    </row>
    <row r="8061" spans="18:18" x14ac:dyDescent="0.2">
      <c r="R8061" s="189" t="str">
        <f t="shared" si="209"/>
        <v/>
      </c>
    </row>
    <row r="8062" spans="18:18" x14ac:dyDescent="0.2">
      <c r="R8062" s="189" t="str">
        <f t="shared" si="209"/>
        <v/>
      </c>
    </row>
    <row r="8063" spans="18:18" x14ac:dyDescent="0.2">
      <c r="R8063" s="189" t="str">
        <f t="shared" si="209"/>
        <v/>
      </c>
    </row>
    <row r="8064" spans="18:18" x14ac:dyDescent="0.2">
      <c r="R8064" s="189" t="str">
        <f t="shared" si="209"/>
        <v/>
      </c>
    </row>
    <row r="8065" spans="18:18" x14ac:dyDescent="0.2">
      <c r="R8065" s="189" t="str">
        <f t="shared" si="209"/>
        <v/>
      </c>
    </row>
    <row r="8066" spans="18:18" x14ac:dyDescent="0.2">
      <c r="R8066" s="189" t="str">
        <f t="shared" si="209"/>
        <v/>
      </c>
    </row>
    <row r="8067" spans="18:18" x14ac:dyDescent="0.2">
      <c r="R8067" s="189" t="str">
        <f t="shared" si="209"/>
        <v/>
      </c>
    </row>
    <row r="8068" spans="18:18" x14ac:dyDescent="0.2">
      <c r="R8068" s="189" t="str">
        <f t="shared" si="209"/>
        <v/>
      </c>
    </row>
    <row r="8069" spans="18:18" x14ac:dyDescent="0.2">
      <c r="R8069" s="189" t="str">
        <f t="shared" si="209"/>
        <v/>
      </c>
    </row>
    <row r="8070" spans="18:18" x14ac:dyDescent="0.2">
      <c r="R8070" s="189" t="str">
        <f t="shared" si="209"/>
        <v/>
      </c>
    </row>
    <row r="8071" spans="18:18" x14ac:dyDescent="0.2">
      <c r="R8071" s="189" t="str">
        <f t="shared" si="209"/>
        <v/>
      </c>
    </row>
    <row r="8072" spans="18:18" x14ac:dyDescent="0.2">
      <c r="R8072" s="189" t="str">
        <f t="shared" si="209"/>
        <v/>
      </c>
    </row>
    <row r="8073" spans="18:18" x14ac:dyDescent="0.2">
      <c r="R8073" s="189" t="str">
        <f t="shared" si="209"/>
        <v/>
      </c>
    </row>
    <row r="8074" spans="18:18" x14ac:dyDescent="0.2">
      <c r="R8074" s="189" t="str">
        <f t="shared" si="209"/>
        <v/>
      </c>
    </row>
    <row r="8075" spans="18:18" x14ac:dyDescent="0.2">
      <c r="R8075" s="189" t="str">
        <f t="shared" si="209"/>
        <v/>
      </c>
    </row>
    <row r="8076" spans="18:18" x14ac:dyDescent="0.2">
      <c r="R8076" s="189" t="str">
        <f t="shared" si="209"/>
        <v/>
      </c>
    </row>
    <row r="8077" spans="18:18" x14ac:dyDescent="0.2">
      <c r="R8077" s="189" t="str">
        <f t="shared" si="209"/>
        <v/>
      </c>
    </row>
    <row r="8078" spans="18:18" x14ac:dyDescent="0.2">
      <c r="R8078" s="189" t="str">
        <f t="shared" si="209"/>
        <v/>
      </c>
    </row>
    <row r="8079" spans="18:18" x14ac:dyDescent="0.2">
      <c r="R8079" s="189" t="str">
        <f t="shared" si="209"/>
        <v/>
      </c>
    </row>
    <row r="8080" spans="18:18" x14ac:dyDescent="0.2">
      <c r="R8080" s="189" t="str">
        <f t="shared" si="209"/>
        <v/>
      </c>
    </row>
    <row r="8081" spans="18:18" x14ac:dyDescent="0.2">
      <c r="R8081" s="189" t="str">
        <f t="shared" si="209"/>
        <v/>
      </c>
    </row>
    <row r="8082" spans="18:18" x14ac:dyDescent="0.2">
      <c r="R8082" s="189" t="str">
        <f t="shared" si="209"/>
        <v/>
      </c>
    </row>
    <row r="8083" spans="18:18" x14ac:dyDescent="0.2">
      <c r="R8083" s="189" t="str">
        <f t="shared" si="209"/>
        <v/>
      </c>
    </row>
    <row r="8084" spans="18:18" x14ac:dyDescent="0.2">
      <c r="R8084" s="189" t="str">
        <f t="shared" si="209"/>
        <v/>
      </c>
    </row>
    <row r="8085" spans="18:18" x14ac:dyDescent="0.2">
      <c r="R8085" s="189" t="str">
        <f t="shared" si="209"/>
        <v/>
      </c>
    </row>
    <row r="8086" spans="18:18" x14ac:dyDescent="0.2">
      <c r="R8086" s="189" t="str">
        <f t="shared" ref="R8086:R8149" si="210">IF(OR(P8086="",Q8086=""),"",IFERROR(P8086-Q8086,""))</f>
        <v/>
      </c>
    </row>
    <row r="8087" spans="18:18" x14ac:dyDescent="0.2">
      <c r="R8087" s="189" t="str">
        <f t="shared" si="210"/>
        <v/>
      </c>
    </row>
    <row r="8088" spans="18:18" x14ac:dyDescent="0.2">
      <c r="R8088" s="189" t="str">
        <f t="shared" si="210"/>
        <v/>
      </c>
    </row>
    <row r="8089" spans="18:18" x14ac:dyDescent="0.2">
      <c r="R8089" s="189" t="str">
        <f t="shared" si="210"/>
        <v/>
      </c>
    </row>
    <row r="8090" spans="18:18" x14ac:dyDescent="0.2">
      <c r="R8090" s="189" t="str">
        <f t="shared" si="210"/>
        <v/>
      </c>
    </row>
    <row r="8091" spans="18:18" x14ac:dyDescent="0.2">
      <c r="R8091" s="189" t="str">
        <f t="shared" si="210"/>
        <v/>
      </c>
    </row>
    <row r="8092" spans="18:18" x14ac:dyDescent="0.2">
      <c r="R8092" s="189" t="str">
        <f t="shared" si="210"/>
        <v/>
      </c>
    </row>
    <row r="8093" spans="18:18" x14ac:dyDescent="0.2">
      <c r="R8093" s="189" t="str">
        <f t="shared" si="210"/>
        <v/>
      </c>
    </row>
    <row r="8094" spans="18:18" x14ac:dyDescent="0.2">
      <c r="R8094" s="189" t="str">
        <f t="shared" si="210"/>
        <v/>
      </c>
    </row>
    <row r="8095" spans="18:18" x14ac:dyDescent="0.2">
      <c r="R8095" s="189" t="str">
        <f t="shared" si="210"/>
        <v/>
      </c>
    </row>
    <row r="8096" spans="18:18" x14ac:dyDescent="0.2">
      <c r="R8096" s="189" t="str">
        <f t="shared" si="210"/>
        <v/>
      </c>
    </row>
    <row r="8097" spans="18:18" x14ac:dyDescent="0.2">
      <c r="R8097" s="189" t="str">
        <f t="shared" si="210"/>
        <v/>
      </c>
    </row>
    <row r="8098" spans="18:18" x14ac:dyDescent="0.2">
      <c r="R8098" s="189" t="str">
        <f t="shared" si="210"/>
        <v/>
      </c>
    </row>
    <row r="8099" spans="18:18" x14ac:dyDescent="0.2">
      <c r="R8099" s="189" t="str">
        <f t="shared" si="210"/>
        <v/>
      </c>
    </row>
    <row r="8100" spans="18:18" x14ac:dyDescent="0.2">
      <c r="R8100" s="189" t="str">
        <f t="shared" si="210"/>
        <v/>
      </c>
    </row>
    <row r="8101" spans="18:18" x14ac:dyDescent="0.2">
      <c r="R8101" s="189" t="str">
        <f t="shared" si="210"/>
        <v/>
      </c>
    </row>
    <row r="8102" spans="18:18" x14ac:dyDescent="0.2">
      <c r="R8102" s="189" t="str">
        <f t="shared" si="210"/>
        <v/>
      </c>
    </row>
    <row r="8103" spans="18:18" x14ac:dyDescent="0.2">
      <c r="R8103" s="189" t="str">
        <f t="shared" si="210"/>
        <v/>
      </c>
    </row>
    <row r="8104" spans="18:18" x14ac:dyDescent="0.2">
      <c r="R8104" s="189" t="str">
        <f t="shared" si="210"/>
        <v/>
      </c>
    </row>
    <row r="8105" spans="18:18" x14ac:dyDescent="0.2">
      <c r="R8105" s="189" t="str">
        <f t="shared" si="210"/>
        <v/>
      </c>
    </row>
    <row r="8106" spans="18:18" x14ac:dyDescent="0.2">
      <c r="R8106" s="189" t="str">
        <f t="shared" si="210"/>
        <v/>
      </c>
    </row>
    <row r="8107" spans="18:18" x14ac:dyDescent="0.2">
      <c r="R8107" s="189" t="str">
        <f t="shared" si="210"/>
        <v/>
      </c>
    </row>
    <row r="8108" spans="18:18" x14ac:dyDescent="0.2">
      <c r="R8108" s="189" t="str">
        <f t="shared" si="210"/>
        <v/>
      </c>
    </row>
    <row r="8109" spans="18:18" x14ac:dyDescent="0.2">
      <c r="R8109" s="189" t="str">
        <f t="shared" si="210"/>
        <v/>
      </c>
    </row>
    <row r="8110" spans="18:18" x14ac:dyDescent="0.2">
      <c r="R8110" s="189" t="str">
        <f t="shared" si="210"/>
        <v/>
      </c>
    </row>
    <row r="8111" spans="18:18" x14ac:dyDescent="0.2">
      <c r="R8111" s="189" t="str">
        <f t="shared" si="210"/>
        <v/>
      </c>
    </row>
    <row r="8112" spans="18:18" x14ac:dyDescent="0.2">
      <c r="R8112" s="189" t="str">
        <f t="shared" si="210"/>
        <v/>
      </c>
    </row>
    <row r="8113" spans="18:18" x14ac:dyDescent="0.2">
      <c r="R8113" s="189" t="str">
        <f t="shared" si="210"/>
        <v/>
      </c>
    </row>
    <row r="8114" spans="18:18" x14ac:dyDescent="0.2">
      <c r="R8114" s="189" t="str">
        <f t="shared" si="210"/>
        <v/>
      </c>
    </row>
    <row r="8115" spans="18:18" x14ac:dyDescent="0.2">
      <c r="R8115" s="189" t="str">
        <f t="shared" si="210"/>
        <v/>
      </c>
    </row>
    <row r="8116" spans="18:18" x14ac:dyDescent="0.2">
      <c r="R8116" s="189" t="str">
        <f t="shared" si="210"/>
        <v/>
      </c>
    </row>
    <row r="8117" spans="18:18" x14ac:dyDescent="0.2">
      <c r="R8117" s="189" t="str">
        <f t="shared" si="210"/>
        <v/>
      </c>
    </row>
    <row r="8118" spans="18:18" x14ac:dyDescent="0.2">
      <c r="R8118" s="189" t="str">
        <f t="shared" si="210"/>
        <v/>
      </c>
    </row>
    <row r="8119" spans="18:18" x14ac:dyDescent="0.2">
      <c r="R8119" s="189" t="str">
        <f t="shared" si="210"/>
        <v/>
      </c>
    </row>
    <row r="8120" spans="18:18" x14ac:dyDescent="0.2">
      <c r="R8120" s="189" t="str">
        <f t="shared" si="210"/>
        <v/>
      </c>
    </row>
    <row r="8121" spans="18:18" x14ac:dyDescent="0.2">
      <c r="R8121" s="189" t="str">
        <f t="shared" si="210"/>
        <v/>
      </c>
    </row>
    <row r="8122" spans="18:18" x14ac:dyDescent="0.2">
      <c r="R8122" s="189" t="str">
        <f t="shared" si="210"/>
        <v/>
      </c>
    </row>
    <row r="8123" spans="18:18" x14ac:dyDescent="0.2">
      <c r="R8123" s="189" t="str">
        <f t="shared" si="210"/>
        <v/>
      </c>
    </row>
    <row r="8124" spans="18:18" x14ac:dyDescent="0.2">
      <c r="R8124" s="189" t="str">
        <f t="shared" si="210"/>
        <v/>
      </c>
    </row>
    <row r="8125" spans="18:18" x14ac:dyDescent="0.2">
      <c r="R8125" s="189" t="str">
        <f t="shared" si="210"/>
        <v/>
      </c>
    </row>
    <row r="8126" spans="18:18" x14ac:dyDescent="0.2">
      <c r="R8126" s="189" t="str">
        <f t="shared" si="210"/>
        <v/>
      </c>
    </row>
    <row r="8127" spans="18:18" x14ac:dyDescent="0.2">
      <c r="R8127" s="189" t="str">
        <f t="shared" si="210"/>
        <v/>
      </c>
    </row>
    <row r="8128" spans="18:18" x14ac:dyDescent="0.2">
      <c r="R8128" s="189" t="str">
        <f t="shared" si="210"/>
        <v/>
      </c>
    </row>
    <row r="8129" spans="18:18" x14ac:dyDescent="0.2">
      <c r="R8129" s="189" t="str">
        <f t="shared" si="210"/>
        <v/>
      </c>
    </row>
    <row r="8130" spans="18:18" x14ac:dyDescent="0.2">
      <c r="R8130" s="189" t="str">
        <f t="shared" si="210"/>
        <v/>
      </c>
    </row>
    <row r="8131" spans="18:18" x14ac:dyDescent="0.2">
      <c r="R8131" s="189" t="str">
        <f t="shared" si="210"/>
        <v/>
      </c>
    </row>
    <row r="8132" spans="18:18" x14ac:dyDescent="0.2">
      <c r="R8132" s="189" t="str">
        <f t="shared" si="210"/>
        <v/>
      </c>
    </row>
    <row r="8133" spans="18:18" x14ac:dyDescent="0.2">
      <c r="R8133" s="189" t="str">
        <f t="shared" si="210"/>
        <v/>
      </c>
    </row>
    <row r="8134" spans="18:18" x14ac:dyDescent="0.2">
      <c r="R8134" s="189" t="str">
        <f t="shared" si="210"/>
        <v/>
      </c>
    </row>
    <row r="8135" spans="18:18" x14ac:dyDescent="0.2">
      <c r="R8135" s="189" t="str">
        <f t="shared" si="210"/>
        <v/>
      </c>
    </row>
    <row r="8136" spans="18:18" x14ac:dyDescent="0.2">
      <c r="R8136" s="189" t="str">
        <f t="shared" si="210"/>
        <v/>
      </c>
    </row>
    <row r="8137" spans="18:18" x14ac:dyDescent="0.2">
      <c r="R8137" s="189" t="str">
        <f t="shared" si="210"/>
        <v/>
      </c>
    </row>
    <row r="8138" spans="18:18" x14ac:dyDescent="0.2">
      <c r="R8138" s="189" t="str">
        <f t="shared" si="210"/>
        <v/>
      </c>
    </row>
    <row r="8139" spans="18:18" x14ac:dyDescent="0.2">
      <c r="R8139" s="189" t="str">
        <f t="shared" si="210"/>
        <v/>
      </c>
    </row>
    <row r="8140" spans="18:18" x14ac:dyDescent="0.2">
      <c r="R8140" s="189" t="str">
        <f t="shared" si="210"/>
        <v/>
      </c>
    </row>
    <row r="8141" spans="18:18" x14ac:dyDescent="0.2">
      <c r="R8141" s="189" t="str">
        <f t="shared" si="210"/>
        <v/>
      </c>
    </row>
    <row r="8142" spans="18:18" x14ac:dyDescent="0.2">
      <c r="R8142" s="189" t="str">
        <f t="shared" si="210"/>
        <v/>
      </c>
    </row>
    <row r="8143" spans="18:18" x14ac:dyDescent="0.2">
      <c r="R8143" s="189" t="str">
        <f t="shared" si="210"/>
        <v/>
      </c>
    </row>
    <row r="8144" spans="18:18" x14ac:dyDescent="0.2">
      <c r="R8144" s="189" t="str">
        <f t="shared" si="210"/>
        <v/>
      </c>
    </row>
    <row r="8145" spans="18:18" x14ac:dyDescent="0.2">
      <c r="R8145" s="189" t="str">
        <f t="shared" si="210"/>
        <v/>
      </c>
    </row>
    <row r="8146" spans="18:18" x14ac:dyDescent="0.2">
      <c r="R8146" s="189" t="str">
        <f t="shared" si="210"/>
        <v/>
      </c>
    </row>
    <row r="8147" spans="18:18" x14ac:dyDescent="0.2">
      <c r="R8147" s="189" t="str">
        <f t="shared" si="210"/>
        <v/>
      </c>
    </row>
    <row r="8148" spans="18:18" x14ac:dyDescent="0.2">
      <c r="R8148" s="189" t="str">
        <f t="shared" si="210"/>
        <v/>
      </c>
    </row>
    <row r="8149" spans="18:18" x14ac:dyDescent="0.2">
      <c r="R8149" s="189" t="str">
        <f t="shared" si="210"/>
        <v/>
      </c>
    </row>
    <row r="8150" spans="18:18" x14ac:dyDescent="0.2">
      <c r="R8150" s="189" t="str">
        <f t="shared" ref="R8150:R8213" si="211">IF(OR(P8150="",Q8150=""),"",IFERROR(P8150-Q8150,""))</f>
        <v/>
      </c>
    </row>
    <row r="8151" spans="18:18" x14ac:dyDescent="0.2">
      <c r="R8151" s="189" t="str">
        <f t="shared" si="211"/>
        <v/>
      </c>
    </row>
    <row r="8152" spans="18:18" x14ac:dyDescent="0.2">
      <c r="R8152" s="189" t="str">
        <f t="shared" si="211"/>
        <v/>
      </c>
    </row>
    <row r="8153" spans="18:18" x14ac:dyDescent="0.2">
      <c r="R8153" s="189" t="str">
        <f t="shared" si="211"/>
        <v/>
      </c>
    </row>
    <row r="8154" spans="18:18" x14ac:dyDescent="0.2">
      <c r="R8154" s="189" t="str">
        <f t="shared" si="211"/>
        <v/>
      </c>
    </row>
    <row r="8155" spans="18:18" x14ac:dyDescent="0.2">
      <c r="R8155" s="189" t="str">
        <f t="shared" si="211"/>
        <v/>
      </c>
    </row>
    <row r="8156" spans="18:18" x14ac:dyDescent="0.2">
      <c r="R8156" s="189" t="str">
        <f t="shared" si="211"/>
        <v/>
      </c>
    </row>
    <row r="8157" spans="18:18" x14ac:dyDescent="0.2">
      <c r="R8157" s="189" t="str">
        <f t="shared" si="211"/>
        <v/>
      </c>
    </row>
    <row r="8158" spans="18:18" x14ac:dyDescent="0.2">
      <c r="R8158" s="189" t="str">
        <f t="shared" si="211"/>
        <v/>
      </c>
    </row>
    <row r="8159" spans="18:18" x14ac:dyDescent="0.2">
      <c r="R8159" s="189" t="str">
        <f t="shared" si="211"/>
        <v/>
      </c>
    </row>
    <row r="8160" spans="18:18" x14ac:dyDescent="0.2">
      <c r="R8160" s="189" t="str">
        <f t="shared" si="211"/>
        <v/>
      </c>
    </row>
    <row r="8161" spans="18:18" x14ac:dyDescent="0.2">
      <c r="R8161" s="189" t="str">
        <f t="shared" si="211"/>
        <v/>
      </c>
    </row>
    <row r="8162" spans="18:18" x14ac:dyDescent="0.2">
      <c r="R8162" s="189" t="str">
        <f t="shared" si="211"/>
        <v/>
      </c>
    </row>
    <row r="8163" spans="18:18" x14ac:dyDescent="0.2">
      <c r="R8163" s="189" t="str">
        <f t="shared" si="211"/>
        <v/>
      </c>
    </row>
    <row r="8164" spans="18:18" x14ac:dyDescent="0.2">
      <c r="R8164" s="189" t="str">
        <f t="shared" si="211"/>
        <v/>
      </c>
    </row>
    <row r="8165" spans="18:18" x14ac:dyDescent="0.2">
      <c r="R8165" s="189" t="str">
        <f t="shared" si="211"/>
        <v/>
      </c>
    </row>
    <row r="8166" spans="18:18" x14ac:dyDescent="0.2">
      <c r="R8166" s="189" t="str">
        <f t="shared" si="211"/>
        <v/>
      </c>
    </row>
    <row r="8167" spans="18:18" x14ac:dyDescent="0.2">
      <c r="R8167" s="189" t="str">
        <f t="shared" si="211"/>
        <v/>
      </c>
    </row>
    <row r="8168" spans="18:18" x14ac:dyDescent="0.2">
      <c r="R8168" s="189" t="str">
        <f t="shared" si="211"/>
        <v/>
      </c>
    </row>
    <row r="8169" spans="18:18" x14ac:dyDescent="0.2">
      <c r="R8169" s="189" t="str">
        <f t="shared" si="211"/>
        <v/>
      </c>
    </row>
    <row r="8170" spans="18:18" x14ac:dyDescent="0.2">
      <c r="R8170" s="189" t="str">
        <f t="shared" si="211"/>
        <v/>
      </c>
    </row>
    <row r="8171" spans="18:18" x14ac:dyDescent="0.2">
      <c r="R8171" s="189" t="str">
        <f t="shared" si="211"/>
        <v/>
      </c>
    </row>
    <row r="8172" spans="18:18" x14ac:dyDescent="0.2">
      <c r="R8172" s="189" t="str">
        <f t="shared" si="211"/>
        <v/>
      </c>
    </row>
    <row r="8173" spans="18:18" x14ac:dyDescent="0.2">
      <c r="R8173" s="189" t="str">
        <f t="shared" si="211"/>
        <v/>
      </c>
    </row>
    <row r="8174" spans="18:18" x14ac:dyDescent="0.2">
      <c r="R8174" s="189" t="str">
        <f t="shared" si="211"/>
        <v/>
      </c>
    </row>
    <row r="8175" spans="18:18" x14ac:dyDescent="0.2">
      <c r="R8175" s="189" t="str">
        <f t="shared" si="211"/>
        <v/>
      </c>
    </row>
    <row r="8176" spans="18:18" x14ac:dyDescent="0.2">
      <c r="R8176" s="189" t="str">
        <f t="shared" si="211"/>
        <v/>
      </c>
    </row>
    <row r="8177" spans="18:18" x14ac:dyDescent="0.2">
      <c r="R8177" s="189" t="str">
        <f t="shared" si="211"/>
        <v/>
      </c>
    </row>
    <row r="8178" spans="18:18" x14ac:dyDescent="0.2">
      <c r="R8178" s="189" t="str">
        <f t="shared" si="211"/>
        <v/>
      </c>
    </row>
    <row r="8179" spans="18:18" x14ac:dyDescent="0.2">
      <c r="R8179" s="189" t="str">
        <f t="shared" si="211"/>
        <v/>
      </c>
    </row>
    <row r="8180" spans="18:18" x14ac:dyDescent="0.2">
      <c r="R8180" s="189" t="str">
        <f t="shared" si="211"/>
        <v/>
      </c>
    </row>
    <row r="8181" spans="18:18" x14ac:dyDescent="0.2">
      <c r="R8181" s="189" t="str">
        <f t="shared" si="211"/>
        <v/>
      </c>
    </row>
    <row r="8182" spans="18:18" x14ac:dyDescent="0.2">
      <c r="R8182" s="189" t="str">
        <f t="shared" si="211"/>
        <v/>
      </c>
    </row>
    <row r="8183" spans="18:18" x14ac:dyDescent="0.2">
      <c r="R8183" s="189" t="str">
        <f t="shared" si="211"/>
        <v/>
      </c>
    </row>
    <row r="8184" spans="18:18" x14ac:dyDescent="0.2">
      <c r="R8184" s="189" t="str">
        <f t="shared" si="211"/>
        <v/>
      </c>
    </row>
    <row r="8185" spans="18:18" x14ac:dyDescent="0.2">
      <c r="R8185" s="189" t="str">
        <f t="shared" si="211"/>
        <v/>
      </c>
    </row>
    <row r="8186" spans="18:18" x14ac:dyDescent="0.2">
      <c r="R8186" s="189" t="str">
        <f t="shared" si="211"/>
        <v/>
      </c>
    </row>
    <row r="8187" spans="18:18" x14ac:dyDescent="0.2">
      <c r="R8187" s="189" t="str">
        <f t="shared" si="211"/>
        <v/>
      </c>
    </row>
    <row r="8188" spans="18:18" x14ac:dyDescent="0.2">
      <c r="R8188" s="189" t="str">
        <f t="shared" si="211"/>
        <v/>
      </c>
    </row>
    <row r="8189" spans="18:18" x14ac:dyDescent="0.2">
      <c r="R8189" s="189" t="str">
        <f t="shared" si="211"/>
        <v/>
      </c>
    </row>
    <row r="8190" spans="18:18" x14ac:dyDescent="0.2">
      <c r="R8190" s="189" t="str">
        <f t="shared" si="211"/>
        <v/>
      </c>
    </row>
    <row r="8191" spans="18:18" x14ac:dyDescent="0.2">
      <c r="R8191" s="189" t="str">
        <f t="shared" si="211"/>
        <v/>
      </c>
    </row>
    <row r="8192" spans="18:18" x14ac:dyDescent="0.2">
      <c r="R8192" s="189" t="str">
        <f t="shared" si="211"/>
        <v/>
      </c>
    </row>
    <row r="8193" spans="18:18" x14ac:dyDescent="0.2">
      <c r="R8193" s="189" t="str">
        <f t="shared" si="211"/>
        <v/>
      </c>
    </row>
    <row r="8194" spans="18:18" x14ac:dyDescent="0.2">
      <c r="R8194" s="189" t="str">
        <f t="shared" si="211"/>
        <v/>
      </c>
    </row>
    <row r="8195" spans="18:18" x14ac:dyDescent="0.2">
      <c r="R8195" s="189" t="str">
        <f t="shared" si="211"/>
        <v/>
      </c>
    </row>
    <row r="8196" spans="18:18" x14ac:dyDescent="0.2">
      <c r="R8196" s="189" t="str">
        <f t="shared" si="211"/>
        <v/>
      </c>
    </row>
    <row r="8197" spans="18:18" x14ac:dyDescent="0.2">
      <c r="R8197" s="189" t="str">
        <f t="shared" si="211"/>
        <v/>
      </c>
    </row>
    <row r="8198" spans="18:18" x14ac:dyDescent="0.2">
      <c r="R8198" s="189" t="str">
        <f t="shared" si="211"/>
        <v/>
      </c>
    </row>
    <row r="8199" spans="18:18" x14ac:dyDescent="0.2">
      <c r="R8199" s="189" t="str">
        <f t="shared" si="211"/>
        <v/>
      </c>
    </row>
    <row r="8200" spans="18:18" x14ac:dyDescent="0.2">
      <c r="R8200" s="189" t="str">
        <f t="shared" si="211"/>
        <v/>
      </c>
    </row>
    <row r="8201" spans="18:18" x14ac:dyDescent="0.2">
      <c r="R8201" s="189" t="str">
        <f t="shared" si="211"/>
        <v/>
      </c>
    </row>
    <row r="8202" spans="18:18" x14ac:dyDescent="0.2">
      <c r="R8202" s="189" t="str">
        <f t="shared" si="211"/>
        <v/>
      </c>
    </row>
    <row r="8203" spans="18:18" x14ac:dyDescent="0.2">
      <c r="R8203" s="189" t="str">
        <f t="shared" si="211"/>
        <v/>
      </c>
    </row>
    <row r="8204" spans="18:18" x14ac:dyDescent="0.2">
      <c r="R8204" s="189" t="str">
        <f t="shared" si="211"/>
        <v/>
      </c>
    </row>
    <row r="8205" spans="18:18" x14ac:dyDescent="0.2">
      <c r="R8205" s="189" t="str">
        <f t="shared" si="211"/>
        <v/>
      </c>
    </row>
    <row r="8206" spans="18:18" x14ac:dyDescent="0.2">
      <c r="R8206" s="189" t="str">
        <f t="shared" si="211"/>
        <v/>
      </c>
    </row>
    <row r="8207" spans="18:18" x14ac:dyDescent="0.2">
      <c r="R8207" s="189" t="str">
        <f t="shared" si="211"/>
        <v/>
      </c>
    </row>
    <row r="8208" spans="18:18" x14ac:dyDescent="0.2">
      <c r="R8208" s="189" t="str">
        <f t="shared" si="211"/>
        <v/>
      </c>
    </row>
    <row r="8209" spans="18:18" x14ac:dyDescent="0.2">
      <c r="R8209" s="189" t="str">
        <f t="shared" si="211"/>
        <v/>
      </c>
    </row>
    <row r="8210" spans="18:18" x14ac:dyDescent="0.2">
      <c r="R8210" s="189" t="str">
        <f t="shared" si="211"/>
        <v/>
      </c>
    </row>
    <row r="8211" spans="18:18" x14ac:dyDescent="0.2">
      <c r="R8211" s="189" t="str">
        <f t="shared" si="211"/>
        <v/>
      </c>
    </row>
    <row r="8212" spans="18:18" x14ac:dyDescent="0.2">
      <c r="R8212" s="189" t="str">
        <f t="shared" si="211"/>
        <v/>
      </c>
    </row>
    <row r="8213" spans="18:18" x14ac:dyDescent="0.2">
      <c r="R8213" s="189" t="str">
        <f t="shared" si="211"/>
        <v/>
      </c>
    </row>
    <row r="8214" spans="18:18" x14ac:dyDescent="0.2">
      <c r="R8214" s="189" t="str">
        <f t="shared" ref="R8214:R8277" si="212">IF(OR(P8214="",Q8214=""),"",IFERROR(P8214-Q8214,""))</f>
        <v/>
      </c>
    </row>
    <row r="8215" spans="18:18" x14ac:dyDescent="0.2">
      <c r="R8215" s="189" t="str">
        <f t="shared" si="212"/>
        <v/>
      </c>
    </row>
    <row r="8216" spans="18:18" x14ac:dyDescent="0.2">
      <c r="R8216" s="189" t="str">
        <f t="shared" si="212"/>
        <v/>
      </c>
    </row>
    <row r="8217" spans="18:18" x14ac:dyDescent="0.2">
      <c r="R8217" s="189" t="str">
        <f t="shared" si="212"/>
        <v/>
      </c>
    </row>
    <row r="8218" spans="18:18" x14ac:dyDescent="0.2">
      <c r="R8218" s="189" t="str">
        <f t="shared" si="212"/>
        <v/>
      </c>
    </row>
    <row r="8219" spans="18:18" x14ac:dyDescent="0.2">
      <c r="R8219" s="189" t="str">
        <f t="shared" si="212"/>
        <v/>
      </c>
    </row>
    <row r="8220" spans="18:18" x14ac:dyDescent="0.2">
      <c r="R8220" s="189" t="str">
        <f t="shared" si="212"/>
        <v/>
      </c>
    </row>
    <row r="8221" spans="18:18" x14ac:dyDescent="0.2">
      <c r="R8221" s="189" t="str">
        <f t="shared" si="212"/>
        <v/>
      </c>
    </row>
    <row r="8222" spans="18:18" x14ac:dyDescent="0.2">
      <c r="R8222" s="189" t="str">
        <f t="shared" si="212"/>
        <v/>
      </c>
    </row>
    <row r="8223" spans="18:18" x14ac:dyDescent="0.2">
      <c r="R8223" s="189" t="str">
        <f t="shared" si="212"/>
        <v/>
      </c>
    </row>
    <row r="8224" spans="18:18" x14ac:dyDescent="0.2">
      <c r="R8224" s="189" t="str">
        <f t="shared" si="212"/>
        <v/>
      </c>
    </row>
    <row r="8225" spans="18:18" x14ac:dyDescent="0.2">
      <c r="R8225" s="189" t="str">
        <f t="shared" si="212"/>
        <v/>
      </c>
    </row>
    <row r="8226" spans="18:18" x14ac:dyDescent="0.2">
      <c r="R8226" s="189" t="str">
        <f t="shared" si="212"/>
        <v/>
      </c>
    </row>
    <row r="8227" spans="18:18" x14ac:dyDescent="0.2">
      <c r="R8227" s="189" t="str">
        <f t="shared" si="212"/>
        <v/>
      </c>
    </row>
    <row r="8228" spans="18:18" x14ac:dyDescent="0.2">
      <c r="R8228" s="189" t="str">
        <f t="shared" si="212"/>
        <v/>
      </c>
    </row>
    <row r="8229" spans="18:18" x14ac:dyDescent="0.2">
      <c r="R8229" s="189" t="str">
        <f t="shared" si="212"/>
        <v/>
      </c>
    </row>
    <row r="8230" spans="18:18" x14ac:dyDescent="0.2">
      <c r="R8230" s="189" t="str">
        <f t="shared" si="212"/>
        <v/>
      </c>
    </row>
    <row r="8231" spans="18:18" x14ac:dyDescent="0.2">
      <c r="R8231" s="189" t="str">
        <f t="shared" si="212"/>
        <v/>
      </c>
    </row>
    <row r="8232" spans="18:18" x14ac:dyDescent="0.2">
      <c r="R8232" s="189" t="str">
        <f t="shared" si="212"/>
        <v/>
      </c>
    </row>
    <row r="8233" spans="18:18" x14ac:dyDescent="0.2">
      <c r="R8233" s="189" t="str">
        <f t="shared" si="212"/>
        <v/>
      </c>
    </row>
    <row r="8234" spans="18:18" x14ac:dyDescent="0.2">
      <c r="R8234" s="189" t="str">
        <f t="shared" si="212"/>
        <v/>
      </c>
    </row>
    <row r="8235" spans="18:18" x14ac:dyDescent="0.2">
      <c r="R8235" s="189" t="str">
        <f t="shared" si="212"/>
        <v/>
      </c>
    </row>
    <row r="8236" spans="18:18" x14ac:dyDescent="0.2">
      <c r="R8236" s="189" t="str">
        <f t="shared" si="212"/>
        <v/>
      </c>
    </row>
    <row r="8237" spans="18:18" x14ac:dyDescent="0.2">
      <c r="R8237" s="189" t="str">
        <f t="shared" si="212"/>
        <v/>
      </c>
    </row>
    <row r="8238" spans="18:18" x14ac:dyDescent="0.2">
      <c r="R8238" s="189" t="str">
        <f t="shared" si="212"/>
        <v/>
      </c>
    </row>
    <row r="8239" spans="18:18" x14ac:dyDescent="0.2">
      <c r="R8239" s="189" t="str">
        <f t="shared" si="212"/>
        <v/>
      </c>
    </row>
    <row r="8240" spans="18:18" x14ac:dyDescent="0.2">
      <c r="R8240" s="189" t="str">
        <f t="shared" si="212"/>
        <v/>
      </c>
    </row>
    <row r="8241" spans="18:18" x14ac:dyDescent="0.2">
      <c r="R8241" s="189" t="str">
        <f t="shared" si="212"/>
        <v/>
      </c>
    </row>
    <row r="8242" spans="18:18" x14ac:dyDescent="0.2">
      <c r="R8242" s="189" t="str">
        <f t="shared" si="212"/>
        <v/>
      </c>
    </row>
    <row r="8243" spans="18:18" x14ac:dyDescent="0.2">
      <c r="R8243" s="189" t="str">
        <f t="shared" si="212"/>
        <v/>
      </c>
    </row>
    <row r="8244" spans="18:18" x14ac:dyDescent="0.2">
      <c r="R8244" s="189" t="str">
        <f t="shared" si="212"/>
        <v/>
      </c>
    </row>
    <row r="8245" spans="18:18" x14ac:dyDescent="0.2">
      <c r="R8245" s="189" t="str">
        <f t="shared" si="212"/>
        <v/>
      </c>
    </row>
    <row r="8246" spans="18:18" x14ac:dyDescent="0.2">
      <c r="R8246" s="189" t="str">
        <f t="shared" si="212"/>
        <v/>
      </c>
    </row>
    <row r="8247" spans="18:18" x14ac:dyDescent="0.2">
      <c r="R8247" s="189" t="str">
        <f t="shared" si="212"/>
        <v/>
      </c>
    </row>
    <row r="8248" spans="18:18" x14ac:dyDescent="0.2">
      <c r="R8248" s="189" t="str">
        <f t="shared" si="212"/>
        <v/>
      </c>
    </row>
    <row r="8249" spans="18:18" x14ac:dyDescent="0.2">
      <c r="R8249" s="189" t="str">
        <f t="shared" si="212"/>
        <v/>
      </c>
    </row>
    <row r="8250" spans="18:18" x14ac:dyDescent="0.2">
      <c r="R8250" s="189" t="str">
        <f t="shared" si="212"/>
        <v/>
      </c>
    </row>
    <row r="8251" spans="18:18" x14ac:dyDescent="0.2">
      <c r="R8251" s="189" t="str">
        <f t="shared" si="212"/>
        <v/>
      </c>
    </row>
    <row r="8252" spans="18:18" x14ac:dyDescent="0.2">
      <c r="R8252" s="189" t="str">
        <f t="shared" si="212"/>
        <v/>
      </c>
    </row>
    <row r="8253" spans="18:18" x14ac:dyDescent="0.2">
      <c r="R8253" s="189" t="str">
        <f t="shared" si="212"/>
        <v/>
      </c>
    </row>
    <row r="8254" spans="18:18" x14ac:dyDescent="0.2">
      <c r="R8254" s="189" t="str">
        <f t="shared" si="212"/>
        <v/>
      </c>
    </row>
    <row r="8255" spans="18:18" x14ac:dyDescent="0.2">
      <c r="R8255" s="189" t="str">
        <f t="shared" si="212"/>
        <v/>
      </c>
    </row>
    <row r="8256" spans="18:18" x14ac:dyDescent="0.2">
      <c r="R8256" s="189" t="str">
        <f t="shared" si="212"/>
        <v/>
      </c>
    </row>
    <row r="8257" spans="18:18" x14ac:dyDescent="0.2">
      <c r="R8257" s="189" t="str">
        <f t="shared" si="212"/>
        <v/>
      </c>
    </row>
    <row r="8258" spans="18:18" x14ac:dyDescent="0.2">
      <c r="R8258" s="189" t="str">
        <f t="shared" si="212"/>
        <v/>
      </c>
    </row>
    <row r="8259" spans="18:18" x14ac:dyDescent="0.2">
      <c r="R8259" s="189" t="str">
        <f t="shared" si="212"/>
        <v/>
      </c>
    </row>
    <row r="8260" spans="18:18" x14ac:dyDescent="0.2">
      <c r="R8260" s="189" t="str">
        <f t="shared" si="212"/>
        <v/>
      </c>
    </row>
    <row r="8261" spans="18:18" x14ac:dyDescent="0.2">
      <c r="R8261" s="189" t="str">
        <f t="shared" si="212"/>
        <v/>
      </c>
    </row>
    <row r="8262" spans="18:18" x14ac:dyDescent="0.2">
      <c r="R8262" s="189" t="str">
        <f t="shared" si="212"/>
        <v/>
      </c>
    </row>
    <row r="8263" spans="18:18" x14ac:dyDescent="0.2">
      <c r="R8263" s="189" t="str">
        <f t="shared" si="212"/>
        <v/>
      </c>
    </row>
    <row r="8264" spans="18:18" x14ac:dyDescent="0.2">
      <c r="R8264" s="189" t="str">
        <f t="shared" si="212"/>
        <v/>
      </c>
    </row>
    <row r="8265" spans="18:18" x14ac:dyDescent="0.2">
      <c r="R8265" s="189" t="str">
        <f t="shared" si="212"/>
        <v/>
      </c>
    </row>
    <row r="8266" spans="18:18" x14ac:dyDescent="0.2">
      <c r="R8266" s="189" t="str">
        <f t="shared" si="212"/>
        <v/>
      </c>
    </row>
    <row r="8267" spans="18:18" x14ac:dyDescent="0.2">
      <c r="R8267" s="189" t="str">
        <f t="shared" si="212"/>
        <v/>
      </c>
    </row>
    <row r="8268" spans="18:18" x14ac:dyDescent="0.2">
      <c r="R8268" s="189" t="str">
        <f t="shared" si="212"/>
        <v/>
      </c>
    </row>
    <row r="8269" spans="18:18" x14ac:dyDescent="0.2">
      <c r="R8269" s="189" t="str">
        <f t="shared" si="212"/>
        <v/>
      </c>
    </row>
    <row r="8270" spans="18:18" x14ac:dyDescent="0.2">
      <c r="R8270" s="189" t="str">
        <f t="shared" si="212"/>
        <v/>
      </c>
    </row>
    <row r="8271" spans="18:18" x14ac:dyDescent="0.2">
      <c r="R8271" s="189" t="str">
        <f t="shared" si="212"/>
        <v/>
      </c>
    </row>
    <row r="8272" spans="18:18" x14ac:dyDescent="0.2">
      <c r="R8272" s="189" t="str">
        <f t="shared" si="212"/>
        <v/>
      </c>
    </row>
    <row r="8273" spans="18:18" x14ac:dyDescent="0.2">
      <c r="R8273" s="189" t="str">
        <f t="shared" si="212"/>
        <v/>
      </c>
    </row>
    <row r="8274" spans="18:18" x14ac:dyDescent="0.2">
      <c r="R8274" s="189" t="str">
        <f t="shared" si="212"/>
        <v/>
      </c>
    </row>
    <row r="8275" spans="18:18" x14ac:dyDescent="0.2">
      <c r="R8275" s="189" t="str">
        <f t="shared" si="212"/>
        <v/>
      </c>
    </row>
    <row r="8276" spans="18:18" x14ac:dyDescent="0.2">
      <c r="R8276" s="189" t="str">
        <f t="shared" si="212"/>
        <v/>
      </c>
    </row>
    <row r="8277" spans="18:18" x14ac:dyDescent="0.2">
      <c r="R8277" s="189" t="str">
        <f t="shared" si="212"/>
        <v/>
      </c>
    </row>
    <row r="8278" spans="18:18" x14ac:dyDescent="0.2">
      <c r="R8278" s="189" t="str">
        <f t="shared" ref="R8278:R8341" si="213">IF(OR(P8278="",Q8278=""),"",IFERROR(P8278-Q8278,""))</f>
        <v/>
      </c>
    </row>
    <row r="8279" spans="18:18" x14ac:dyDescent="0.2">
      <c r="R8279" s="189" t="str">
        <f t="shared" si="213"/>
        <v/>
      </c>
    </row>
    <row r="8280" spans="18:18" x14ac:dyDescent="0.2">
      <c r="R8280" s="189" t="str">
        <f t="shared" si="213"/>
        <v/>
      </c>
    </row>
    <row r="8281" spans="18:18" x14ac:dyDescent="0.2">
      <c r="R8281" s="189" t="str">
        <f t="shared" si="213"/>
        <v/>
      </c>
    </row>
    <row r="8282" spans="18:18" x14ac:dyDescent="0.2">
      <c r="R8282" s="189" t="str">
        <f t="shared" si="213"/>
        <v/>
      </c>
    </row>
    <row r="8283" spans="18:18" x14ac:dyDescent="0.2">
      <c r="R8283" s="189" t="str">
        <f t="shared" si="213"/>
        <v/>
      </c>
    </row>
    <row r="8284" spans="18:18" x14ac:dyDescent="0.2">
      <c r="R8284" s="189" t="str">
        <f t="shared" si="213"/>
        <v/>
      </c>
    </row>
    <row r="8285" spans="18:18" x14ac:dyDescent="0.2">
      <c r="R8285" s="189" t="str">
        <f t="shared" si="213"/>
        <v/>
      </c>
    </row>
    <row r="8286" spans="18:18" x14ac:dyDescent="0.2">
      <c r="R8286" s="189" t="str">
        <f t="shared" si="213"/>
        <v/>
      </c>
    </row>
    <row r="8287" spans="18:18" x14ac:dyDescent="0.2">
      <c r="R8287" s="189" t="str">
        <f t="shared" si="213"/>
        <v/>
      </c>
    </row>
    <row r="8288" spans="18:18" x14ac:dyDescent="0.2">
      <c r="R8288" s="189" t="str">
        <f t="shared" si="213"/>
        <v/>
      </c>
    </row>
    <row r="8289" spans="18:18" x14ac:dyDescent="0.2">
      <c r="R8289" s="189" t="str">
        <f t="shared" si="213"/>
        <v/>
      </c>
    </row>
    <row r="8290" spans="18:18" x14ac:dyDescent="0.2">
      <c r="R8290" s="189" t="str">
        <f t="shared" si="213"/>
        <v/>
      </c>
    </row>
    <row r="8291" spans="18:18" x14ac:dyDescent="0.2">
      <c r="R8291" s="189" t="str">
        <f t="shared" si="213"/>
        <v/>
      </c>
    </row>
    <row r="8292" spans="18:18" x14ac:dyDescent="0.2">
      <c r="R8292" s="189" t="str">
        <f t="shared" si="213"/>
        <v/>
      </c>
    </row>
    <row r="8293" spans="18:18" x14ac:dyDescent="0.2">
      <c r="R8293" s="189" t="str">
        <f t="shared" si="213"/>
        <v/>
      </c>
    </row>
    <row r="8294" spans="18:18" x14ac:dyDescent="0.2">
      <c r="R8294" s="189" t="str">
        <f t="shared" si="213"/>
        <v/>
      </c>
    </row>
    <row r="8295" spans="18:18" x14ac:dyDescent="0.2">
      <c r="R8295" s="189" t="str">
        <f t="shared" si="213"/>
        <v/>
      </c>
    </row>
    <row r="8296" spans="18:18" x14ac:dyDescent="0.2">
      <c r="R8296" s="189" t="str">
        <f t="shared" si="213"/>
        <v/>
      </c>
    </row>
    <row r="8297" spans="18:18" x14ac:dyDescent="0.2">
      <c r="R8297" s="189" t="str">
        <f t="shared" si="213"/>
        <v/>
      </c>
    </row>
    <row r="8298" spans="18:18" x14ac:dyDescent="0.2">
      <c r="R8298" s="189" t="str">
        <f t="shared" si="213"/>
        <v/>
      </c>
    </row>
    <row r="8299" spans="18:18" x14ac:dyDescent="0.2">
      <c r="R8299" s="189" t="str">
        <f t="shared" si="213"/>
        <v/>
      </c>
    </row>
    <row r="8300" spans="18:18" x14ac:dyDescent="0.2">
      <c r="R8300" s="189" t="str">
        <f t="shared" si="213"/>
        <v/>
      </c>
    </row>
    <row r="8301" spans="18:18" x14ac:dyDescent="0.2">
      <c r="R8301" s="189" t="str">
        <f t="shared" si="213"/>
        <v/>
      </c>
    </row>
    <row r="8302" spans="18:18" x14ac:dyDescent="0.2">
      <c r="R8302" s="189" t="str">
        <f t="shared" si="213"/>
        <v/>
      </c>
    </row>
    <row r="8303" spans="18:18" x14ac:dyDescent="0.2">
      <c r="R8303" s="189" t="str">
        <f t="shared" si="213"/>
        <v/>
      </c>
    </row>
    <row r="8304" spans="18:18" x14ac:dyDescent="0.2">
      <c r="R8304" s="189" t="str">
        <f t="shared" si="213"/>
        <v/>
      </c>
    </row>
    <row r="8305" spans="18:18" x14ac:dyDescent="0.2">
      <c r="R8305" s="189" t="str">
        <f t="shared" si="213"/>
        <v/>
      </c>
    </row>
    <row r="8306" spans="18:18" x14ac:dyDescent="0.2">
      <c r="R8306" s="189" t="str">
        <f t="shared" si="213"/>
        <v/>
      </c>
    </row>
    <row r="8307" spans="18:18" x14ac:dyDescent="0.2">
      <c r="R8307" s="189" t="str">
        <f t="shared" si="213"/>
        <v/>
      </c>
    </row>
    <row r="8308" spans="18:18" x14ac:dyDescent="0.2">
      <c r="R8308" s="189" t="str">
        <f t="shared" si="213"/>
        <v/>
      </c>
    </row>
    <row r="8309" spans="18:18" x14ac:dyDescent="0.2">
      <c r="R8309" s="189" t="str">
        <f t="shared" si="213"/>
        <v/>
      </c>
    </row>
    <row r="8310" spans="18:18" x14ac:dyDescent="0.2">
      <c r="R8310" s="189" t="str">
        <f t="shared" si="213"/>
        <v/>
      </c>
    </row>
    <row r="8311" spans="18:18" x14ac:dyDescent="0.2">
      <c r="R8311" s="189" t="str">
        <f t="shared" si="213"/>
        <v/>
      </c>
    </row>
    <row r="8312" spans="18:18" x14ac:dyDescent="0.2">
      <c r="R8312" s="189" t="str">
        <f t="shared" si="213"/>
        <v/>
      </c>
    </row>
    <row r="8313" spans="18:18" x14ac:dyDescent="0.2">
      <c r="R8313" s="189" t="str">
        <f t="shared" si="213"/>
        <v/>
      </c>
    </row>
    <row r="8314" spans="18:18" x14ac:dyDescent="0.2">
      <c r="R8314" s="189" t="str">
        <f t="shared" si="213"/>
        <v/>
      </c>
    </row>
    <row r="8315" spans="18:18" x14ac:dyDescent="0.2">
      <c r="R8315" s="189" t="str">
        <f t="shared" si="213"/>
        <v/>
      </c>
    </row>
    <row r="8316" spans="18:18" x14ac:dyDescent="0.2">
      <c r="R8316" s="189" t="str">
        <f t="shared" si="213"/>
        <v/>
      </c>
    </row>
    <row r="8317" spans="18:18" x14ac:dyDescent="0.2">
      <c r="R8317" s="189" t="str">
        <f t="shared" si="213"/>
        <v/>
      </c>
    </row>
    <row r="8318" spans="18:18" x14ac:dyDescent="0.2">
      <c r="R8318" s="189" t="str">
        <f t="shared" si="213"/>
        <v/>
      </c>
    </row>
    <row r="8319" spans="18:18" x14ac:dyDescent="0.2">
      <c r="R8319" s="189" t="str">
        <f t="shared" si="213"/>
        <v/>
      </c>
    </row>
    <row r="8320" spans="18:18" x14ac:dyDescent="0.2">
      <c r="R8320" s="189" t="str">
        <f t="shared" si="213"/>
        <v/>
      </c>
    </row>
    <row r="8321" spans="18:18" x14ac:dyDescent="0.2">
      <c r="R8321" s="189" t="str">
        <f t="shared" si="213"/>
        <v/>
      </c>
    </row>
    <row r="8322" spans="18:18" x14ac:dyDescent="0.2">
      <c r="R8322" s="189" t="str">
        <f t="shared" si="213"/>
        <v/>
      </c>
    </row>
    <row r="8323" spans="18:18" x14ac:dyDescent="0.2">
      <c r="R8323" s="189" t="str">
        <f t="shared" si="213"/>
        <v/>
      </c>
    </row>
    <row r="8324" spans="18:18" x14ac:dyDescent="0.2">
      <c r="R8324" s="189" t="str">
        <f t="shared" si="213"/>
        <v/>
      </c>
    </row>
    <row r="8325" spans="18:18" x14ac:dyDescent="0.2">
      <c r="R8325" s="189" t="str">
        <f t="shared" si="213"/>
        <v/>
      </c>
    </row>
    <row r="8326" spans="18:18" x14ac:dyDescent="0.2">
      <c r="R8326" s="189" t="str">
        <f t="shared" si="213"/>
        <v/>
      </c>
    </row>
    <row r="8327" spans="18:18" x14ac:dyDescent="0.2">
      <c r="R8327" s="189" t="str">
        <f t="shared" si="213"/>
        <v/>
      </c>
    </row>
    <row r="8328" spans="18:18" x14ac:dyDescent="0.2">
      <c r="R8328" s="189" t="str">
        <f t="shared" si="213"/>
        <v/>
      </c>
    </row>
    <row r="8329" spans="18:18" x14ac:dyDescent="0.2">
      <c r="R8329" s="189" t="str">
        <f t="shared" si="213"/>
        <v/>
      </c>
    </row>
    <row r="8330" spans="18:18" x14ac:dyDescent="0.2">
      <c r="R8330" s="189" t="str">
        <f t="shared" si="213"/>
        <v/>
      </c>
    </row>
    <row r="8331" spans="18:18" x14ac:dyDescent="0.2">
      <c r="R8331" s="189" t="str">
        <f t="shared" si="213"/>
        <v/>
      </c>
    </row>
    <row r="8332" spans="18:18" x14ac:dyDescent="0.2">
      <c r="R8332" s="189" t="str">
        <f t="shared" si="213"/>
        <v/>
      </c>
    </row>
    <row r="8333" spans="18:18" x14ac:dyDescent="0.2">
      <c r="R8333" s="189" t="str">
        <f t="shared" si="213"/>
        <v/>
      </c>
    </row>
    <row r="8334" spans="18:18" x14ac:dyDescent="0.2">
      <c r="R8334" s="189" t="str">
        <f t="shared" si="213"/>
        <v/>
      </c>
    </row>
    <row r="8335" spans="18:18" x14ac:dyDescent="0.2">
      <c r="R8335" s="189" t="str">
        <f t="shared" si="213"/>
        <v/>
      </c>
    </row>
    <row r="8336" spans="18:18" x14ac:dyDescent="0.2">
      <c r="R8336" s="189" t="str">
        <f t="shared" si="213"/>
        <v/>
      </c>
    </row>
    <row r="8337" spans="18:18" x14ac:dyDescent="0.2">
      <c r="R8337" s="189" t="str">
        <f t="shared" si="213"/>
        <v/>
      </c>
    </row>
    <row r="8338" spans="18:18" x14ac:dyDescent="0.2">
      <c r="R8338" s="189" t="str">
        <f t="shared" si="213"/>
        <v/>
      </c>
    </row>
    <row r="8339" spans="18:18" x14ac:dyDescent="0.2">
      <c r="R8339" s="189" t="str">
        <f t="shared" si="213"/>
        <v/>
      </c>
    </row>
    <row r="8340" spans="18:18" x14ac:dyDescent="0.2">
      <c r="R8340" s="189" t="str">
        <f t="shared" si="213"/>
        <v/>
      </c>
    </row>
    <row r="8341" spans="18:18" x14ac:dyDescent="0.2">
      <c r="R8341" s="189" t="str">
        <f t="shared" si="213"/>
        <v/>
      </c>
    </row>
    <row r="8342" spans="18:18" x14ac:dyDescent="0.2">
      <c r="R8342" s="189" t="str">
        <f t="shared" ref="R8342:R8405" si="214">IF(OR(P8342="",Q8342=""),"",IFERROR(P8342-Q8342,""))</f>
        <v/>
      </c>
    </row>
    <row r="8343" spans="18:18" x14ac:dyDescent="0.2">
      <c r="R8343" s="189" t="str">
        <f t="shared" si="214"/>
        <v/>
      </c>
    </row>
    <row r="8344" spans="18:18" x14ac:dyDescent="0.2">
      <c r="R8344" s="189" t="str">
        <f t="shared" si="214"/>
        <v/>
      </c>
    </row>
    <row r="8345" spans="18:18" x14ac:dyDescent="0.2">
      <c r="R8345" s="189" t="str">
        <f t="shared" si="214"/>
        <v/>
      </c>
    </row>
    <row r="8346" spans="18:18" x14ac:dyDescent="0.2">
      <c r="R8346" s="189" t="str">
        <f t="shared" si="214"/>
        <v/>
      </c>
    </row>
    <row r="8347" spans="18:18" x14ac:dyDescent="0.2">
      <c r="R8347" s="189" t="str">
        <f t="shared" si="214"/>
        <v/>
      </c>
    </row>
    <row r="8348" spans="18:18" x14ac:dyDescent="0.2">
      <c r="R8348" s="189" t="str">
        <f t="shared" si="214"/>
        <v/>
      </c>
    </row>
    <row r="8349" spans="18:18" x14ac:dyDescent="0.2">
      <c r="R8349" s="189" t="str">
        <f t="shared" si="214"/>
        <v/>
      </c>
    </row>
    <row r="8350" spans="18:18" x14ac:dyDescent="0.2">
      <c r="R8350" s="189" t="str">
        <f t="shared" si="214"/>
        <v/>
      </c>
    </row>
    <row r="8351" spans="18:18" x14ac:dyDescent="0.2">
      <c r="R8351" s="189" t="str">
        <f t="shared" si="214"/>
        <v/>
      </c>
    </row>
    <row r="8352" spans="18:18" x14ac:dyDescent="0.2">
      <c r="R8352" s="189" t="str">
        <f t="shared" si="214"/>
        <v/>
      </c>
    </row>
    <row r="8353" spans="18:18" x14ac:dyDescent="0.2">
      <c r="R8353" s="189" t="str">
        <f t="shared" si="214"/>
        <v/>
      </c>
    </row>
    <row r="8354" spans="18:18" x14ac:dyDescent="0.2">
      <c r="R8354" s="189" t="str">
        <f t="shared" si="214"/>
        <v/>
      </c>
    </row>
    <row r="8355" spans="18:18" x14ac:dyDescent="0.2">
      <c r="R8355" s="189" t="str">
        <f t="shared" si="214"/>
        <v/>
      </c>
    </row>
    <row r="8356" spans="18:18" x14ac:dyDescent="0.2">
      <c r="R8356" s="189" t="str">
        <f t="shared" si="214"/>
        <v/>
      </c>
    </row>
    <row r="8357" spans="18:18" x14ac:dyDescent="0.2">
      <c r="R8357" s="189" t="str">
        <f t="shared" si="214"/>
        <v/>
      </c>
    </row>
    <row r="8358" spans="18:18" x14ac:dyDescent="0.2">
      <c r="R8358" s="189" t="str">
        <f t="shared" si="214"/>
        <v/>
      </c>
    </row>
    <row r="8359" spans="18:18" x14ac:dyDescent="0.2">
      <c r="R8359" s="189" t="str">
        <f t="shared" si="214"/>
        <v/>
      </c>
    </row>
    <row r="8360" spans="18:18" x14ac:dyDescent="0.2">
      <c r="R8360" s="189" t="str">
        <f t="shared" si="214"/>
        <v/>
      </c>
    </row>
    <row r="8361" spans="18:18" x14ac:dyDescent="0.2">
      <c r="R8361" s="189" t="str">
        <f t="shared" si="214"/>
        <v/>
      </c>
    </row>
    <row r="8362" spans="18:18" x14ac:dyDescent="0.2">
      <c r="R8362" s="189" t="str">
        <f t="shared" si="214"/>
        <v/>
      </c>
    </row>
    <row r="8363" spans="18:18" x14ac:dyDescent="0.2">
      <c r="R8363" s="189" t="str">
        <f t="shared" si="214"/>
        <v/>
      </c>
    </row>
    <row r="8364" spans="18:18" x14ac:dyDescent="0.2">
      <c r="R8364" s="189" t="str">
        <f t="shared" si="214"/>
        <v/>
      </c>
    </row>
    <row r="8365" spans="18:18" x14ac:dyDescent="0.2">
      <c r="R8365" s="189" t="str">
        <f t="shared" si="214"/>
        <v/>
      </c>
    </row>
    <row r="8366" spans="18:18" x14ac:dyDescent="0.2">
      <c r="R8366" s="189" t="str">
        <f t="shared" si="214"/>
        <v/>
      </c>
    </row>
    <row r="8367" spans="18:18" x14ac:dyDescent="0.2">
      <c r="R8367" s="189" t="str">
        <f t="shared" si="214"/>
        <v/>
      </c>
    </row>
    <row r="8368" spans="18:18" x14ac:dyDescent="0.2">
      <c r="R8368" s="189" t="str">
        <f t="shared" si="214"/>
        <v/>
      </c>
    </row>
    <row r="8369" spans="18:18" x14ac:dyDescent="0.2">
      <c r="R8369" s="189" t="str">
        <f t="shared" si="214"/>
        <v/>
      </c>
    </row>
    <row r="8370" spans="18:18" x14ac:dyDescent="0.2">
      <c r="R8370" s="189" t="str">
        <f t="shared" si="214"/>
        <v/>
      </c>
    </row>
    <row r="8371" spans="18:18" x14ac:dyDescent="0.2">
      <c r="R8371" s="189" t="str">
        <f t="shared" si="214"/>
        <v/>
      </c>
    </row>
    <row r="8372" spans="18:18" x14ac:dyDescent="0.2">
      <c r="R8372" s="189" t="str">
        <f t="shared" si="214"/>
        <v/>
      </c>
    </row>
    <row r="8373" spans="18:18" x14ac:dyDescent="0.2">
      <c r="R8373" s="189" t="str">
        <f t="shared" si="214"/>
        <v/>
      </c>
    </row>
    <row r="8374" spans="18:18" x14ac:dyDescent="0.2">
      <c r="R8374" s="189" t="str">
        <f t="shared" si="214"/>
        <v/>
      </c>
    </row>
    <row r="8375" spans="18:18" x14ac:dyDescent="0.2">
      <c r="R8375" s="189" t="str">
        <f t="shared" si="214"/>
        <v/>
      </c>
    </row>
    <row r="8376" spans="18:18" x14ac:dyDescent="0.2">
      <c r="R8376" s="189" t="str">
        <f t="shared" si="214"/>
        <v/>
      </c>
    </row>
    <row r="8377" spans="18:18" x14ac:dyDescent="0.2">
      <c r="R8377" s="189" t="str">
        <f t="shared" si="214"/>
        <v/>
      </c>
    </row>
    <row r="8378" spans="18:18" x14ac:dyDescent="0.2">
      <c r="R8378" s="189" t="str">
        <f t="shared" si="214"/>
        <v/>
      </c>
    </row>
    <row r="8379" spans="18:18" x14ac:dyDescent="0.2">
      <c r="R8379" s="189" t="str">
        <f t="shared" si="214"/>
        <v/>
      </c>
    </row>
    <row r="8380" spans="18:18" x14ac:dyDescent="0.2">
      <c r="R8380" s="189" t="str">
        <f t="shared" si="214"/>
        <v/>
      </c>
    </row>
    <row r="8381" spans="18:18" x14ac:dyDescent="0.2">
      <c r="R8381" s="189" t="str">
        <f t="shared" si="214"/>
        <v/>
      </c>
    </row>
    <row r="8382" spans="18:18" x14ac:dyDescent="0.2">
      <c r="R8382" s="189" t="str">
        <f t="shared" si="214"/>
        <v/>
      </c>
    </row>
    <row r="8383" spans="18:18" x14ac:dyDescent="0.2">
      <c r="R8383" s="189" t="str">
        <f t="shared" si="214"/>
        <v/>
      </c>
    </row>
    <row r="8384" spans="18:18" x14ac:dyDescent="0.2">
      <c r="R8384" s="189" t="str">
        <f t="shared" si="214"/>
        <v/>
      </c>
    </row>
    <row r="8385" spans="18:18" x14ac:dyDescent="0.2">
      <c r="R8385" s="189" t="str">
        <f t="shared" si="214"/>
        <v/>
      </c>
    </row>
    <row r="8386" spans="18:18" x14ac:dyDescent="0.2">
      <c r="R8386" s="189" t="str">
        <f t="shared" si="214"/>
        <v/>
      </c>
    </row>
    <row r="8387" spans="18:18" x14ac:dyDescent="0.2">
      <c r="R8387" s="189" t="str">
        <f t="shared" si="214"/>
        <v/>
      </c>
    </row>
    <row r="8388" spans="18:18" x14ac:dyDescent="0.2">
      <c r="R8388" s="189" t="str">
        <f t="shared" si="214"/>
        <v/>
      </c>
    </row>
    <row r="8389" spans="18:18" x14ac:dyDescent="0.2">
      <c r="R8389" s="189" t="str">
        <f t="shared" si="214"/>
        <v/>
      </c>
    </row>
    <row r="8390" spans="18:18" x14ac:dyDescent="0.2">
      <c r="R8390" s="189" t="str">
        <f t="shared" si="214"/>
        <v/>
      </c>
    </row>
    <row r="8391" spans="18:18" x14ac:dyDescent="0.2">
      <c r="R8391" s="189" t="str">
        <f t="shared" si="214"/>
        <v/>
      </c>
    </row>
    <row r="8392" spans="18:18" x14ac:dyDescent="0.2">
      <c r="R8392" s="189" t="str">
        <f t="shared" si="214"/>
        <v/>
      </c>
    </row>
    <row r="8393" spans="18:18" x14ac:dyDescent="0.2">
      <c r="R8393" s="189" t="str">
        <f t="shared" si="214"/>
        <v/>
      </c>
    </row>
    <row r="8394" spans="18:18" x14ac:dyDescent="0.2">
      <c r="R8394" s="189" t="str">
        <f t="shared" si="214"/>
        <v/>
      </c>
    </row>
    <row r="8395" spans="18:18" x14ac:dyDescent="0.2">
      <c r="R8395" s="189" t="str">
        <f t="shared" si="214"/>
        <v/>
      </c>
    </row>
    <row r="8396" spans="18:18" x14ac:dyDescent="0.2">
      <c r="R8396" s="189" t="str">
        <f t="shared" si="214"/>
        <v/>
      </c>
    </row>
    <row r="8397" spans="18:18" x14ac:dyDescent="0.2">
      <c r="R8397" s="189" t="str">
        <f t="shared" si="214"/>
        <v/>
      </c>
    </row>
    <row r="8398" spans="18:18" x14ac:dyDescent="0.2">
      <c r="R8398" s="189" t="str">
        <f t="shared" si="214"/>
        <v/>
      </c>
    </row>
    <row r="8399" spans="18:18" x14ac:dyDescent="0.2">
      <c r="R8399" s="189" t="str">
        <f t="shared" si="214"/>
        <v/>
      </c>
    </row>
    <row r="8400" spans="18:18" x14ac:dyDescent="0.2">
      <c r="R8400" s="189" t="str">
        <f t="shared" si="214"/>
        <v/>
      </c>
    </row>
    <row r="8401" spans="18:18" x14ac:dyDescent="0.2">
      <c r="R8401" s="189" t="str">
        <f t="shared" si="214"/>
        <v/>
      </c>
    </row>
    <row r="8402" spans="18:18" x14ac:dyDescent="0.2">
      <c r="R8402" s="189" t="str">
        <f t="shared" si="214"/>
        <v/>
      </c>
    </row>
    <row r="8403" spans="18:18" x14ac:dyDescent="0.2">
      <c r="R8403" s="189" t="str">
        <f t="shared" si="214"/>
        <v/>
      </c>
    </row>
    <row r="8404" spans="18:18" x14ac:dyDescent="0.2">
      <c r="R8404" s="189" t="str">
        <f t="shared" si="214"/>
        <v/>
      </c>
    </row>
    <row r="8405" spans="18:18" x14ac:dyDescent="0.2">
      <c r="R8405" s="189" t="str">
        <f t="shared" si="214"/>
        <v/>
      </c>
    </row>
    <row r="8406" spans="18:18" x14ac:dyDescent="0.2">
      <c r="R8406" s="189" t="str">
        <f t="shared" ref="R8406:R8469" si="215">IF(OR(P8406="",Q8406=""),"",IFERROR(P8406-Q8406,""))</f>
        <v/>
      </c>
    </row>
    <row r="8407" spans="18:18" x14ac:dyDescent="0.2">
      <c r="R8407" s="189" t="str">
        <f t="shared" si="215"/>
        <v/>
      </c>
    </row>
    <row r="8408" spans="18:18" x14ac:dyDescent="0.2">
      <c r="R8408" s="189" t="str">
        <f t="shared" si="215"/>
        <v/>
      </c>
    </row>
    <row r="8409" spans="18:18" x14ac:dyDescent="0.2">
      <c r="R8409" s="189" t="str">
        <f t="shared" si="215"/>
        <v/>
      </c>
    </row>
    <row r="8410" spans="18:18" x14ac:dyDescent="0.2">
      <c r="R8410" s="189" t="str">
        <f t="shared" si="215"/>
        <v/>
      </c>
    </row>
    <row r="8411" spans="18:18" x14ac:dyDescent="0.2">
      <c r="R8411" s="189" t="str">
        <f t="shared" si="215"/>
        <v/>
      </c>
    </row>
    <row r="8412" spans="18:18" x14ac:dyDescent="0.2">
      <c r="R8412" s="189" t="str">
        <f t="shared" si="215"/>
        <v/>
      </c>
    </row>
    <row r="8413" spans="18:18" x14ac:dyDescent="0.2">
      <c r="R8413" s="189" t="str">
        <f t="shared" si="215"/>
        <v/>
      </c>
    </row>
    <row r="8414" spans="18:18" x14ac:dyDescent="0.2">
      <c r="R8414" s="189" t="str">
        <f t="shared" si="215"/>
        <v/>
      </c>
    </row>
    <row r="8415" spans="18:18" x14ac:dyDescent="0.2">
      <c r="R8415" s="189" t="str">
        <f t="shared" si="215"/>
        <v/>
      </c>
    </row>
    <row r="8416" spans="18:18" x14ac:dyDescent="0.2">
      <c r="R8416" s="189" t="str">
        <f t="shared" si="215"/>
        <v/>
      </c>
    </row>
    <row r="8417" spans="18:18" x14ac:dyDescent="0.2">
      <c r="R8417" s="189" t="str">
        <f t="shared" si="215"/>
        <v/>
      </c>
    </row>
    <row r="8418" spans="18:18" x14ac:dyDescent="0.2">
      <c r="R8418" s="189" t="str">
        <f t="shared" si="215"/>
        <v/>
      </c>
    </row>
    <row r="8419" spans="18:18" x14ac:dyDescent="0.2">
      <c r="R8419" s="189" t="str">
        <f t="shared" si="215"/>
        <v/>
      </c>
    </row>
    <row r="8420" spans="18:18" x14ac:dyDescent="0.2">
      <c r="R8420" s="189" t="str">
        <f t="shared" si="215"/>
        <v/>
      </c>
    </row>
    <row r="8421" spans="18:18" x14ac:dyDescent="0.2">
      <c r="R8421" s="189" t="str">
        <f t="shared" si="215"/>
        <v/>
      </c>
    </row>
    <row r="8422" spans="18:18" x14ac:dyDescent="0.2">
      <c r="R8422" s="189" t="str">
        <f t="shared" si="215"/>
        <v/>
      </c>
    </row>
    <row r="8423" spans="18:18" x14ac:dyDescent="0.2">
      <c r="R8423" s="189" t="str">
        <f t="shared" si="215"/>
        <v/>
      </c>
    </row>
    <row r="8424" spans="18:18" x14ac:dyDescent="0.2">
      <c r="R8424" s="189" t="str">
        <f t="shared" si="215"/>
        <v/>
      </c>
    </row>
    <row r="8425" spans="18:18" x14ac:dyDescent="0.2">
      <c r="R8425" s="189" t="str">
        <f t="shared" si="215"/>
        <v/>
      </c>
    </row>
    <row r="8426" spans="18:18" x14ac:dyDescent="0.2">
      <c r="R8426" s="189" t="str">
        <f t="shared" si="215"/>
        <v/>
      </c>
    </row>
    <row r="8427" spans="18:18" x14ac:dyDescent="0.2">
      <c r="R8427" s="189" t="str">
        <f t="shared" si="215"/>
        <v/>
      </c>
    </row>
    <row r="8428" spans="18:18" x14ac:dyDescent="0.2">
      <c r="R8428" s="189" t="str">
        <f t="shared" si="215"/>
        <v/>
      </c>
    </row>
    <row r="8429" spans="18:18" x14ac:dyDescent="0.2">
      <c r="R8429" s="189" t="str">
        <f t="shared" si="215"/>
        <v/>
      </c>
    </row>
    <row r="8430" spans="18:18" x14ac:dyDescent="0.2">
      <c r="R8430" s="189" t="str">
        <f t="shared" si="215"/>
        <v/>
      </c>
    </row>
    <row r="8431" spans="18:18" x14ac:dyDescent="0.2">
      <c r="R8431" s="189" t="str">
        <f t="shared" si="215"/>
        <v/>
      </c>
    </row>
    <row r="8432" spans="18:18" x14ac:dyDescent="0.2">
      <c r="R8432" s="189" t="str">
        <f t="shared" si="215"/>
        <v/>
      </c>
    </row>
    <row r="8433" spans="18:18" x14ac:dyDescent="0.2">
      <c r="R8433" s="189" t="str">
        <f t="shared" si="215"/>
        <v/>
      </c>
    </row>
    <row r="8434" spans="18:18" x14ac:dyDescent="0.2">
      <c r="R8434" s="189" t="str">
        <f t="shared" si="215"/>
        <v/>
      </c>
    </row>
    <row r="8435" spans="18:18" x14ac:dyDescent="0.2">
      <c r="R8435" s="189" t="str">
        <f t="shared" si="215"/>
        <v/>
      </c>
    </row>
    <row r="8436" spans="18:18" x14ac:dyDescent="0.2">
      <c r="R8436" s="189" t="str">
        <f t="shared" si="215"/>
        <v/>
      </c>
    </row>
    <row r="8437" spans="18:18" x14ac:dyDescent="0.2">
      <c r="R8437" s="189" t="str">
        <f t="shared" si="215"/>
        <v/>
      </c>
    </row>
    <row r="8438" spans="18:18" x14ac:dyDescent="0.2">
      <c r="R8438" s="189" t="str">
        <f t="shared" si="215"/>
        <v/>
      </c>
    </row>
    <row r="8439" spans="18:18" x14ac:dyDescent="0.2">
      <c r="R8439" s="189" t="str">
        <f t="shared" si="215"/>
        <v/>
      </c>
    </row>
    <row r="8440" spans="18:18" x14ac:dyDescent="0.2">
      <c r="R8440" s="189" t="str">
        <f t="shared" si="215"/>
        <v/>
      </c>
    </row>
    <row r="8441" spans="18:18" x14ac:dyDescent="0.2">
      <c r="R8441" s="189" t="str">
        <f t="shared" si="215"/>
        <v/>
      </c>
    </row>
    <row r="8442" spans="18:18" x14ac:dyDescent="0.2">
      <c r="R8442" s="189" t="str">
        <f t="shared" si="215"/>
        <v/>
      </c>
    </row>
    <row r="8443" spans="18:18" x14ac:dyDescent="0.2">
      <c r="R8443" s="189" t="str">
        <f t="shared" si="215"/>
        <v/>
      </c>
    </row>
    <row r="8444" spans="18:18" x14ac:dyDescent="0.2">
      <c r="R8444" s="189" t="str">
        <f t="shared" si="215"/>
        <v/>
      </c>
    </row>
    <row r="8445" spans="18:18" x14ac:dyDescent="0.2">
      <c r="R8445" s="189" t="str">
        <f t="shared" si="215"/>
        <v/>
      </c>
    </row>
    <row r="8446" spans="18:18" x14ac:dyDescent="0.2">
      <c r="R8446" s="189" t="str">
        <f t="shared" si="215"/>
        <v/>
      </c>
    </row>
    <row r="8447" spans="18:18" x14ac:dyDescent="0.2">
      <c r="R8447" s="189" t="str">
        <f t="shared" si="215"/>
        <v/>
      </c>
    </row>
    <row r="8448" spans="18:18" x14ac:dyDescent="0.2">
      <c r="R8448" s="189" t="str">
        <f t="shared" si="215"/>
        <v/>
      </c>
    </row>
    <row r="8449" spans="18:18" x14ac:dyDescent="0.2">
      <c r="R8449" s="189" t="str">
        <f t="shared" si="215"/>
        <v/>
      </c>
    </row>
    <row r="8450" spans="18:18" x14ac:dyDescent="0.2">
      <c r="R8450" s="189" t="str">
        <f t="shared" si="215"/>
        <v/>
      </c>
    </row>
    <row r="8451" spans="18:18" x14ac:dyDescent="0.2">
      <c r="R8451" s="189" t="str">
        <f t="shared" si="215"/>
        <v/>
      </c>
    </row>
    <row r="8452" spans="18:18" x14ac:dyDescent="0.2">
      <c r="R8452" s="189" t="str">
        <f t="shared" si="215"/>
        <v/>
      </c>
    </row>
    <row r="8453" spans="18:18" x14ac:dyDescent="0.2">
      <c r="R8453" s="189" t="str">
        <f t="shared" si="215"/>
        <v/>
      </c>
    </row>
    <row r="8454" spans="18:18" x14ac:dyDescent="0.2">
      <c r="R8454" s="189" t="str">
        <f t="shared" si="215"/>
        <v/>
      </c>
    </row>
    <row r="8455" spans="18:18" x14ac:dyDescent="0.2">
      <c r="R8455" s="189" t="str">
        <f t="shared" si="215"/>
        <v/>
      </c>
    </row>
    <row r="8456" spans="18:18" x14ac:dyDescent="0.2">
      <c r="R8456" s="189" t="str">
        <f t="shared" si="215"/>
        <v/>
      </c>
    </row>
    <row r="8457" spans="18:18" x14ac:dyDescent="0.2">
      <c r="R8457" s="189" t="str">
        <f t="shared" si="215"/>
        <v/>
      </c>
    </row>
    <row r="8458" spans="18:18" x14ac:dyDescent="0.2">
      <c r="R8458" s="189" t="str">
        <f t="shared" si="215"/>
        <v/>
      </c>
    </row>
    <row r="8459" spans="18:18" x14ac:dyDescent="0.2">
      <c r="R8459" s="189" t="str">
        <f t="shared" si="215"/>
        <v/>
      </c>
    </row>
    <row r="8460" spans="18:18" x14ac:dyDescent="0.2">
      <c r="R8460" s="189" t="str">
        <f t="shared" si="215"/>
        <v/>
      </c>
    </row>
    <row r="8461" spans="18:18" x14ac:dyDescent="0.2">
      <c r="R8461" s="189" t="str">
        <f t="shared" si="215"/>
        <v/>
      </c>
    </row>
    <row r="8462" spans="18:18" x14ac:dyDescent="0.2">
      <c r="R8462" s="189" t="str">
        <f t="shared" si="215"/>
        <v/>
      </c>
    </row>
    <row r="8463" spans="18:18" x14ac:dyDescent="0.2">
      <c r="R8463" s="189" t="str">
        <f t="shared" si="215"/>
        <v/>
      </c>
    </row>
    <row r="8464" spans="18:18" x14ac:dyDescent="0.2">
      <c r="R8464" s="189" t="str">
        <f t="shared" si="215"/>
        <v/>
      </c>
    </row>
    <row r="8465" spans="18:18" x14ac:dyDescent="0.2">
      <c r="R8465" s="189" t="str">
        <f t="shared" si="215"/>
        <v/>
      </c>
    </row>
    <row r="8466" spans="18:18" x14ac:dyDescent="0.2">
      <c r="R8466" s="189" t="str">
        <f t="shared" si="215"/>
        <v/>
      </c>
    </row>
    <row r="8467" spans="18:18" x14ac:dyDescent="0.2">
      <c r="R8467" s="189" t="str">
        <f t="shared" si="215"/>
        <v/>
      </c>
    </row>
    <row r="8468" spans="18:18" x14ac:dyDescent="0.2">
      <c r="R8468" s="189" t="str">
        <f t="shared" si="215"/>
        <v/>
      </c>
    </row>
    <row r="8469" spans="18:18" x14ac:dyDescent="0.2">
      <c r="R8469" s="189" t="str">
        <f t="shared" si="215"/>
        <v/>
      </c>
    </row>
    <row r="8470" spans="18:18" x14ac:dyDescent="0.2">
      <c r="R8470" s="189" t="str">
        <f t="shared" ref="R8470:R8533" si="216">IF(OR(P8470="",Q8470=""),"",IFERROR(P8470-Q8470,""))</f>
        <v/>
      </c>
    </row>
    <row r="8471" spans="18:18" x14ac:dyDescent="0.2">
      <c r="R8471" s="189" t="str">
        <f t="shared" si="216"/>
        <v/>
      </c>
    </row>
    <row r="8472" spans="18:18" x14ac:dyDescent="0.2">
      <c r="R8472" s="189" t="str">
        <f t="shared" si="216"/>
        <v/>
      </c>
    </row>
    <row r="8473" spans="18:18" x14ac:dyDescent="0.2">
      <c r="R8473" s="189" t="str">
        <f t="shared" si="216"/>
        <v/>
      </c>
    </row>
    <row r="8474" spans="18:18" x14ac:dyDescent="0.2">
      <c r="R8474" s="189" t="str">
        <f t="shared" si="216"/>
        <v/>
      </c>
    </row>
    <row r="8475" spans="18:18" x14ac:dyDescent="0.2">
      <c r="R8475" s="189" t="str">
        <f t="shared" si="216"/>
        <v/>
      </c>
    </row>
    <row r="8476" spans="18:18" x14ac:dyDescent="0.2">
      <c r="R8476" s="189" t="str">
        <f t="shared" si="216"/>
        <v/>
      </c>
    </row>
    <row r="8477" spans="18:18" x14ac:dyDescent="0.2">
      <c r="R8477" s="189" t="str">
        <f t="shared" si="216"/>
        <v/>
      </c>
    </row>
    <row r="8478" spans="18:18" x14ac:dyDescent="0.2">
      <c r="R8478" s="189" t="str">
        <f t="shared" si="216"/>
        <v/>
      </c>
    </row>
    <row r="8479" spans="18:18" x14ac:dyDescent="0.2">
      <c r="R8479" s="189" t="str">
        <f t="shared" si="216"/>
        <v/>
      </c>
    </row>
    <row r="8480" spans="18:18" x14ac:dyDescent="0.2">
      <c r="R8480" s="189" t="str">
        <f t="shared" si="216"/>
        <v/>
      </c>
    </row>
    <row r="8481" spans="18:18" x14ac:dyDescent="0.2">
      <c r="R8481" s="189" t="str">
        <f t="shared" si="216"/>
        <v/>
      </c>
    </row>
    <row r="8482" spans="18:18" x14ac:dyDescent="0.2">
      <c r="R8482" s="189" t="str">
        <f t="shared" si="216"/>
        <v/>
      </c>
    </row>
    <row r="8483" spans="18:18" x14ac:dyDescent="0.2">
      <c r="R8483" s="189" t="str">
        <f t="shared" si="216"/>
        <v/>
      </c>
    </row>
    <row r="8484" spans="18:18" x14ac:dyDescent="0.2">
      <c r="R8484" s="189" t="str">
        <f t="shared" si="216"/>
        <v/>
      </c>
    </row>
    <row r="8485" spans="18:18" x14ac:dyDescent="0.2">
      <c r="R8485" s="189" t="str">
        <f t="shared" si="216"/>
        <v/>
      </c>
    </row>
    <row r="8486" spans="18:18" x14ac:dyDescent="0.2">
      <c r="R8486" s="189" t="str">
        <f t="shared" si="216"/>
        <v/>
      </c>
    </row>
    <row r="8487" spans="18:18" x14ac:dyDescent="0.2">
      <c r="R8487" s="189" t="str">
        <f t="shared" si="216"/>
        <v/>
      </c>
    </row>
    <row r="8488" spans="18:18" x14ac:dyDescent="0.2">
      <c r="R8488" s="189" t="str">
        <f t="shared" si="216"/>
        <v/>
      </c>
    </row>
    <row r="8489" spans="18:18" x14ac:dyDescent="0.2">
      <c r="R8489" s="189" t="str">
        <f t="shared" si="216"/>
        <v/>
      </c>
    </row>
    <row r="8490" spans="18:18" x14ac:dyDescent="0.2">
      <c r="R8490" s="189" t="str">
        <f t="shared" si="216"/>
        <v/>
      </c>
    </row>
    <row r="8491" spans="18:18" x14ac:dyDescent="0.2">
      <c r="R8491" s="189" t="str">
        <f t="shared" si="216"/>
        <v/>
      </c>
    </row>
    <row r="8492" spans="18:18" x14ac:dyDescent="0.2">
      <c r="R8492" s="189" t="str">
        <f t="shared" si="216"/>
        <v/>
      </c>
    </row>
    <row r="8493" spans="18:18" x14ac:dyDescent="0.2">
      <c r="R8493" s="189" t="str">
        <f t="shared" si="216"/>
        <v/>
      </c>
    </row>
    <row r="8494" spans="18:18" x14ac:dyDescent="0.2">
      <c r="R8494" s="189" t="str">
        <f t="shared" si="216"/>
        <v/>
      </c>
    </row>
    <row r="8495" spans="18:18" x14ac:dyDescent="0.2">
      <c r="R8495" s="189" t="str">
        <f t="shared" si="216"/>
        <v/>
      </c>
    </row>
    <row r="8496" spans="18:18" x14ac:dyDescent="0.2">
      <c r="R8496" s="189" t="str">
        <f t="shared" si="216"/>
        <v/>
      </c>
    </row>
    <row r="8497" spans="18:18" x14ac:dyDescent="0.2">
      <c r="R8497" s="189" t="str">
        <f t="shared" si="216"/>
        <v/>
      </c>
    </row>
    <row r="8498" spans="18:18" x14ac:dyDescent="0.2">
      <c r="R8498" s="189" t="str">
        <f t="shared" si="216"/>
        <v/>
      </c>
    </row>
    <row r="8499" spans="18:18" x14ac:dyDescent="0.2">
      <c r="R8499" s="189" t="str">
        <f t="shared" si="216"/>
        <v/>
      </c>
    </row>
    <row r="8500" spans="18:18" x14ac:dyDescent="0.2">
      <c r="R8500" s="189" t="str">
        <f t="shared" si="216"/>
        <v/>
      </c>
    </row>
    <row r="8501" spans="18:18" x14ac:dyDescent="0.2">
      <c r="R8501" s="189" t="str">
        <f t="shared" si="216"/>
        <v/>
      </c>
    </row>
    <row r="8502" spans="18:18" x14ac:dyDescent="0.2">
      <c r="R8502" s="189" t="str">
        <f t="shared" si="216"/>
        <v/>
      </c>
    </row>
    <row r="8503" spans="18:18" x14ac:dyDescent="0.2">
      <c r="R8503" s="189" t="str">
        <f t="shared" si="216"/>
        <v/>
      </c>
    </row>
    <row r="8504" spans="18:18" x14ac:dyDescent="0.2">
      <c r="R8504" s="189" t="str">
        <f t="shared" si="216"/>
        <v/>
      </c>
    </row>
    <row r="8505" spans="18:18" x14ac:dyDescent="0.2">
      <c r="R8505" s="189" t="str">
        <f t="shared" si="216"/>
        <v/>
      </c>
    </row>
    <row r="8506" spans="18:18" x14ac:dyDescent="0.2">
      <c r="R8506" s="189" t="str">
        <f t="shared" si="216"/>
        <v/>
      </c>
    </row>
    <row r="8507" spans="18:18" x14ac:dyDescent="0.2">
      <c r="R8507" s="189" t="str">
        <f t="shared" si="216"/>
        <v/>
      </c>
    </row>
    <row r="8508" spans="18:18" x14ac:dyDescent="0.2">
      <c r="R8508" s="189" t="str">
        <f t="shared" si="216"/>
        <v/>
      </c>
    </row>
    <row r="8509" spans="18:18" x14ac:dyDescent="0.2">
      <c r="R8509" s="189" t="str">
        <f t="shared" si="216"/>
        <v/>
      </c>
    </row>
    <row r="8510" spans="18:18" x14ac:dyDescent="0.2">
      <c r="R8510" s="189" t="str">
        <f t="shared" si="216"/>
        <v/>
      </c>
    </row>
    <row r="8511" spans="18:18" x14ac:dyDescent="0.2">
      <c r="R8511" s="189" t="str">
        <f t="shared" si="216"/>
        <v/>
      </c>
    </row>
    <row r="8512" spans="18:18" x14ac:dyDescent="0.2">
      <c r="R8512" s="189" t="str">
        <f t="shared" si="216"/>
        <v/>
      </c>
    </row>
    <row r="8513" spans="18:18" x14ac:dyDescent="0.2">
      <c r="R8513" s="189" t="str">
        <f t="shared" si="216"/>
        <v/>
      </c>
    </row>
    <row r="8514" spans="18:18" x14ac:dyDescent="0.2">
      <c r="R8514" s="189" t="str">
        <f t="shared" si="216"/>
        <v/>
      </c>
    </row>
    <row r="8515" spans="18:18" x14ac:dyDescent="0.2">
      <c r="R8515" s="189" t="str">
        <f t="shared" si="216"/>
        <v/>
      </c>
    </row>
    <row r="8516" spans="18:18" x14ac:dyDescent="0.2">
      <c r="R8516" s="189" t="str">
        <f t="shared" si="216"/>
        <v/>
      </c>
    </row>
    <row r="8517" spans="18:18" x14ac:dyDescent="0.2">
      <c r="R8517" s="189" t="str">
        <f t="shared" si="216"/>
        <v/>
      </c>
    </row>
    <row r="8518" spans="18:18" x14ac:dyDescent="0.2">
      <c r="R8518" s="189" t="str">
        <f t="shared" si="216"/>
        <v/>
      </c>
    </row>
    <row r="8519" spans="18:18" x14ac:dyDescent="0.2">
      <c r="R8519" s="189" t="str">
        <f t="shared" si="216"/>
        <v/>
      </c>
    </row>
    <row r="8520" spans="18:18" x14ac:dyDescent="0.2">
      <c r="R8520" s="189" t="str">
        <f t="shared" si="216"/>
        <v/>
      </c>
    </row>
    <row r="8521" spans="18:18" x14ac:dyDescent="0.2">
      <c r="R8521" s="189" t="str">
        <f t="shared" si="216"/>
        <v/>
      </c>
    </row>
    <row r="8522" spans="18:18" x14ac:dyDescent="0.2">
      <c r="R8522" s="189" t="str">
        <f t="shared" si="216"/>
        <v/>
      </c>
    </row>
    <row r="8523" spans="18:18" x14ac:dyDescent="0.2">
      <c r="R8523" s="189" t="str">
        <f t="shared" si="216"/>
        <v/>
      </c>
    </row>
    <row r="8524" spans="18:18" x14ac:dyDescent="0.2">
      <c r="R8524" s="189" t="str">
        <f t="shared" si="216"/>
        <v/>
      </c>
    </row>
    <row r="8525" spans="18:18" x14ac:dyDescent="0.2">
      <c r="R8525" s="189" t="str">
        <f t="shared" si="216"/>
        <v/>
      </c>
    </row>
    <row r="8526" spans="18:18" x14ac:dyDescent="0.2">
      <c r="R8526" s="189" t="str">
        <f t="shared" si="216"/>
        <v/>
      </c>
    </row>
    <row r="8527" spans="18:18" x14ac:dyDescent="0.2">
      <c r="R8527" s="189" t="str">
        <f t="shared" si="216"/>
        <v/>
      </c>
    </row>
    <row r="8528" spans="18:18" x14ac:dyDescent="0.2">
      <c r="R8528" s="189" t="str">
        <f t="shared" si="216"/>
        <v/>
      </c>
    </row>
    <row r="8529" spans="18:18" x14ac:dyDescent="0.2">
      <c r="R8529" s="189" t="str">
        <f t="shared" si="216"/>
        <v/>
      </c>
    </row>
    <row r="8530" spans="18:18" x14ac:dyDescent="0.2">
      <c r="R8530" s="189" t="str">
        <f t="shared" si="216"/>
        <v/>
      </c>
    </row>
    <row r="8531" spans="18:18" x14ac:dyDescent="0.2">
      <c r="R8531" s="189" t="str">
        <f t="shared" si="216"/>
        <v/>
      </c>
    </row>
    <row r="8532" spans="18:18" x14ac:dyDescent="0.2">
      <c r="R8532" s="189" t="str">
        <f t="shared" si="216"/>
        <v/>
      </c>
    </row>
    <row r="8533" spans="18:18" x14ac:dyDescent="0.2">
      <c r="R8533" s="189" t="str">
        <f t="shared" si="216"/>
        <v/>
      </c>
    </row>
    <row r="8534" spans="18:18" x14ac:dyDescent="0.2">
      <c r="R8534" s="189" t="str">
        <f t="shared" ref="R8534:R8597" si="217">IF(OR(P8534="",Q8534=""),"",IFERROR(P8534-Q8534,""))</f>
        <v/>
      </c>
    </row>
    <row r="8535" spans="18:18" x14ac:dyDescent="0.2">
      <c r="R8535" s="189" t="str">
        <f t="shared" si="217"/>
        <v/>
      </c>
    </row>
    <row r="8536" spans="18:18" x14ac:dyDescent="0.2">
      <c r="R8536" s="189" t="str">
        <f t="shared" si="217"/>
        <v/>
      </c>
    </row>
    <row r="8537" spans="18:18" x14ac:dyDescent="0.2">
      <c r="R8537" s="189" t="str">
        <f t="shared" si="217"/>
        <v/>
      </c>
    </row>
    <row r="8538" spans="18:18" x14ac:dyDescent="0.2">
      <c r="R8538" s="189" t="str">
        <f t="shared" si="217"/>
        <v/>
      </c>
    </row>
    <row r="8539" spans="18:18" x14ac:dyDescent="0.2">
      <c r="R8539" s="189" t="str">
        <f t="shared" si="217"/>
        <v/>
      </c>
    </row>
    <row r="8540" spans="18:18" x14ac:dyDescent="0.2">
      <c r="R8540" s="189" t="str">
        <f t="shared" si="217"/>
        <v/>
      </c>
    </row>
    <row r="8541" spans="18:18" x14ac:dyDescent="0.2">
      <c r="R8541" s="189" t="str">
        <f t="shared" si="217"/>
        <v/>
      </c>
    </row>
    <row r="8542" spans="18:18" x14ac:dyDescent="0.2">
      <c r="R8542" s="189" t="str">
        <f t="shared" si="217"/>
        <v/>
      </c>
    </row>
    <row r="8543" spans="18:18" x14ac:dyDescent="0.2">
      <c r="R8543" s="189" t="str">
        <f t="shared" si="217"/>
        <v/>
      </c>
    </row>
    <row r="8544" spans="18:18" x14ac:dyDescent="0.2">
      <c r="R8544" s="189" t="str">
        <f t="shared" si="217"/>
        <v/>
      </c>
    </row>
    <row r="8545" spans="18:18" x14ac:dyDescent="0.2">
      <c r="R8545" s="189" t="str">
        <f t="shared" si="217"/>
        <v/>
      </c>
    </row>
    <row r="8546" spans="18:18" x14ac:dyDescent="0.2">
      <c r="R8546" s="189" t="str">
        <f t="shared" si="217"/>
        <v/>
      </c>
    </row>
    <row r="8547" spans="18:18" x14ac:dyDescent="0.2">
      <c r="R8547" s="189" t="str">
        <f t="shared" si="217"/>
        <v/>
      </c>
    </row>
    <row r="8548" spans="18:18" x14ac:dyDescent="0.2">
      <c r="R8548" s="189" t="str">
        <f t="shared" si="217"/>
        <v/>
      </c>
    </row>
    <row r="8549" spans="18:18" x14ac:dyDescent="0.2">
      <c r="R8549" s="189" t="str">
        <f t="shared" si="217"/>
        <v/>
      </c>
    </row>
    <row r="8550" spans="18:18" x14ac:dyDescent="0.2">
      <c r="R8550" s="189" t="str">
        <f t="shared" si="217"/>
        <v/>
      </c>
    </row>
    <row r="8551" spans="18:18" x14ac:dyDescent="0.2">
      <c r="R8551" s="189" t="str">
        <f t="shared" si="217"/>
        <v/>
      </c>
    </row>
    <row r="8552" spans="18:18" x14ac:dyDescent="0.2">
      <c r="R8552" s="189" t="str">
        <f t="shared" si="217"/>
        <v/>
      </c>
    </row>
    <row r="8553" spans="18:18" x14ac:dyDescent="0.2">
      <c r="R8553" s="189" t="str">
        <f t="shared" si="217"/>
        <v/>
      </c>
    </row>
    <row r="8554" spans="18:18" x14ac:dyDescent="0.2">
      <c r="R8554" s="189" t="str">
        <f t="shared" si="217"/>
        <v/>
      </c>
    </row>
    <row r="8555" spans="18:18" x14ac:dyDescent="0.2">
      <c r="R8555" s="189" t="str">
        <f t="shared" si="217"/>
        <v/>
      </c>
    </row>
    <row r="8556" spans="18:18" x14ac:dyDescent="0.2">
      <c r="R8556" s="189" t="str">
        <f t="shared" si="217"/>
        <v/>
      </c>
    </row>
    <row r="8557" spans="18:18" x14ac:dyDescent="0.2">
      <c r="R8557" s="189" t="str">
        <f t="shared" si="217"/>
        <v/>
      </c>
    </row>
    <row r="8558" spans="18:18" x14ac:dyDescent="0.2">
      <c r="R8558" s="189" t="str">
        <f t="shared" si="217"/>
        <v/>
      </c>
    </row>
    <row r="8559" spans="18:18" x14ac:dyDescent="0.2">
      <c r="R8559" s="189" t="str">
        <f t="shared" si="217"/>
        <v/>
      </c>
    </row>
    <row r="8560" spans="18:18" x14ac:dyDescent="0.2">
      <c r="R8560" s="189" t="str">
        <f t="shared" si="217"/>
        <v/>
      </c>
    </row>
    <row r="8561" spans="18:18" x14ac:dyDescent="0.2">
      <c r="R8561" s="189" t="str">
        <f t="shared" si="217"/>
        <v/>
      </c>
    </row>
    <row r="8562" spans="18:18" x14ac:dyDescent="0.2">
      <c r="R8562" s="189" t="str">
        <f t="shared" si="217"/>
        <v/>
      </c>
    </row>
    <row r="8563" spans="18:18" x14ac:dyDescent="0.2">
      <c r="R8563" s="189" t="str">
        <f t="shared" si="217"/>
        <v/>
      </c>
    </row>
    <row r="8564" spans="18:18" x14ac:dyDescent="0.2">
      <c r="R8564" s="189" t="str">
        <f t="shared" si="217"/>
        <v/>
      </c>
    </row>
    <row r="8565" spans="18:18" x14ac:dyDescent="0.2">
      <c r="R8565" s="189" t="str">
        <f t="shared" si="217"/>
        <v/>
      </c>
    </row>
    <row r="8566" spans="18:18" x14ac:dyDescent="0.2">
      <c r="R8566" s="189" t="str">
        <f t="shared" si="217"/>
        <v/>
      </c>
    </row>
    <row r="8567" spans="18:18" x14ac:dyDescent="0.2">
      <c r="R8567" s="189" t="str">
        <f t="shared" si="217"/>
        <v/>
      </c>
    </row>
    <row r="8568" spans="18:18" x14ac:dyDescent="0.2">
      <c r="R8568" s="189" t="str">
        <f t="shared" si="217"/>
        <v/>
      </c>
    </row>
    <row r="8569" spans="18:18" x14ac:dyDescent="0.2">
      <c r="R8569" s="189" t="str">
        <f t="shared" si="217"/>
        <v/>
      </c>
    </row>
    <row r="8570" spans="18:18" x14ac:dyDescent="0.2">
      <c r="R8570" s="189" t="str">
        <f t="shared" si="217"/>
        <v/>
      </c>
    </row>
    <row r="8571" spans="18:18" x14ac:dyDescent="0.2">
      <c r="R8571" s="189" t="str">
        <f t="shared" si="217"/>
        <v/>
      </c>
    </row>
    <row r="8572" spans="18:18" x14ac:dyDescent="0.2">
      <c r="R8572" s="189" t="str">
        <f t="shared" si="217"/>
        <v/>
      </c>
    </row>
    <row r="8573" spans="18:18" x14ac:dyDescent="0.2">
      <c r="R8573" s="189" t="str">
        <f t="shared" si="217"/>
        <v/>
      </c>
    </row>
    <row r="8574" spans="18:18" x14ac:dyDescent="0.2">
      <c r="R8574" s="189" t="str">
        <f t="shared" si="217"/>
        <v/>
      </c>
    </row>
    <row r="8575" spans="18:18" x14ac:dyDescent="0.2">
      <c r="R8575" s="189" t="str">
        <f t="shared" si="217"/>
        <v/>
      </c>
    </row>
    <row r="8576" spans="18:18" x14ac:dyDescent="0.2">
      <c r="R8576" s="189" t="str">
        <f t="shared" si="217"/>
        <v/>
      </c>
    </row>
    <row r="8577" spans="18:18" x14ac:dyDescent="0.2">
      <c r="R8577" s="189" t="str">
        <f t="shared" si="217"/>
        <v/>
      </c>
    </row>
    <row r="8578" spans="18:18" x14ac:dyDescent="0.2">
      <c r="R8578" s="189" t="str">
        <f t="shared" si="217"/>
        <v/>
      </c>
    </row>
    <row r="8579" spans="18:18" x14ac:dyDescent="0.2">
      <c r="R8579" s="189" t="str">
        <f t="shared" si="217"/>
        <v/>
      </c>
    </row>
    <row r="8580" spans="18:18" x14ac:dyDescent="0.2">
      <c r="R8580" s="189" t="str">
        <f t="shared" si="217"/>
        <v/>
      </c>
    </row>
    <row r="8581" spans="18:18" x14ac:dyDescent="0.2">
      <c r="R8581" s="189" t="str">
        <f t="shared" si="217"/>
        <v/>
      </c>
    </row>
    <row r="8582" spans="18:18" x14ac:dyDescent="0.2">
      <c r="R8582" s="189" t="str">
        <f t="shared" si="217"/>
        <v/>
      </c>
    </row>
    <row r="8583" spans="18:18" x14ac:dyDescent="0.2">
      <c r="R8583" s="189" t="str">
        <f t="shared" si="217"/>
        <v/>
      </c>
    </row>
    <row r="8584" spans="18:18" x14ac:dyDescent="0.2">
      <c r="R8584" s="189" t="str">
        <f t="shared" si="217"/>
        <v/>
      </c>
    </row>
    <row r="8585" spans="18:18" x14ac:dyDescent="0.2">
      <c r="R8585" s="189" t="str">
        <f t="shared" si="217"/>
        <v/>
      </c>
    </row>
    <row r="8586" spans="18:18" x14ac:dyDescent="0.2">
      <c r="R8586" s="189" t="str">
        <f t="shared" si="217"/>
        <v/>
      </c>
    </row>
    <row r="8587" spans="18:18" x14ac:dyDescent="0.2">
      <c r="R8587" s="189" t="str">
        <f t="shared" si="217"/>
        <v/>
      </c>
    </row>
    <row r="8588" spans="18:18" x14ac:dyDescent="0.2">
      <c r="R8588" s="189" t="str">
        <f t="shared" si="217"/>
        <v/>
      </c>
    </row>
    <row r="8589" spans="18:18" x14ac:dyDescent="0.2">
      <c r="R8589" s="189" t="str">
        <f t="shared" si="217"/>
        <v/>
      </c>
    </row>
    <row r="8590" spans="18:18" x14ac:dyDescent="0.2">
      <c r="R8590" s="189" t="str">
        <f t="shared" si="217"/>
        <v/>
      </c>
    </row>
    <row r="8591" spans="18:18" x14ac:dyDescent="0.2">
      <c r="R8591" s="189" t="str">
        <f t="shared" si="217"/>
        <v/>
      </c>
    </row>
    <row r="8592" spans="18:18" x14ac:dyDescent="0.2">
      <c r="R8592" s="189" t="str">
        <f t="shared" si="217"/>
        <v/>
      </c>
    </row>
    <row r="8593" spans="18:18" x14ac:dyDescent="0.2">
      <c r="R8593" s="189" t="str">
        <f t="shared" si="217"/>
        <v/>
      </c>
    </row>
    <row r="8594" spans="18:18" x14ac:dyDescent="0.2">
      <c r="R8594" s="189" t="str">
        <f t="shared" si="217"/>
        <v/>
      </c>
    </row>
    <row r="8595" spans="18:18" x14ac:dyDescent="0.2">
      <c r="R8595" s="189" t="str">
        <f t="shared" si="217"/>
        <v/>
      </c>
    </row>
    <row r="8596" spans="18:18" x14ac:dyDescent="0.2">
      <c r="R8596" s="189" t="str">
        <f t="shared" si="217"/>
        <v/>
      </c>
    </row>
    <row r="8597" spans="18:18" x14ac:dyDescent="0.2">
      <c r="R8597" s="189" t="str">
        <f t="shared" si="217"/>
        <v/>
      </c>
    </row>
    <row r="8598" spans="18:18" x14ac:dyDescent="0.2">
      <c r="R8598" s="189" t="str">
        <f t="shared" ref="R8598:R8661" si="218">IF(OR(P8598="",Q8598=""),"",IFERROR(P8598-Q8598,""))</f>
        <v/>
      </c>
    </row>
    <row r="8599" spans="18:18" x14ac:dyDescent="0.2">
      <c r="R8599" s="189" t="str">
        <f t="shared" si="218"/>
        <v/>
      </c>
    </row>
    <row r="8600" spans="18:18" x14ac:dyDescent="0.2">
      <c r="R8600" s="189" t="str">
        <f t="shared" si="218"/>
        <v/>
      </c>
    </row>
    <row r="8601" spans="18:18" x14ac:dyDescent="0.2">
      <c r="R8601" s="189" t="str">
        <f t="shared" si="218"/>
        <v/>
      </c>
    </row>
    <row r="8602" spans="18:18" x14ac:dyDescent="0.2">
      <c r="R8602" s="189" t="str">
        <f t="shared" si="218"/>
        <v/>
      </c>
    </row>
    <row r="8603" spans="18:18" x14ac:dyDescent="0.2">
      <c r="R8603" s="189" t="str">
        <f t="shared" si="218"/>
        <v/>
      </c>
    </row>
    <row r="8604" spans="18:18" x14ac:dyDescent="0.2">
      <c r="R8604" s="189" t="str">
        <f t="shared" si="218"/>
        <v/>
      </c>
    </row>
    <row r="8605" spans="18:18" x14ac:dyDescent="0.2">
      <c r="R8605" s="189" t="str">
        <f t="shared" si="218"/>
        <v/>
      </c>
    </row>
    <row r="8606" spans="18:18" x14ac:dyDescent="0.2">
      <c r="R8606" s="189" t="str">
        <f t="shared" si="218"/>
        <v/>
      </c>
    </row>
    <row r="8607" spans="18:18" x14ac:dyDescent="0.2">
      <c r="R8607" s="189" t="str">
        <f t="shared" si="218"/>
        <v/>
      </c>
    </row>
    <row r="8608" spans="18:18" x14ac:dyDescent="0.2">
      <c r="R8608" s="189" t="str">
        <f t="shared" si="218"/>
        <v/>
      </c>
    </row>
    <row r="8609" spans="18:18" x14ac:dyDescent="0.2">
      <c r="R8609" s="189" t="str">
        <f t="shared" si="218"/>
        <v/>
      </c>
    </row>
    <row r="8610" spans="18:18" x14ac:dyDescent="0.2">
      <c r="R8610" s="189" t="str">
        <f t="shared" si="218"/>
        <v/>
      </c>
    </row>
    <row r="8611" spans="18:18" x14ac:dyDescent="0.2">
      <c r="R8611" s="189" t="str">
        <f t="shared" si="218"/>
        <v/>
      </c>
    </row>
    <row r="8612" spans="18:18" x14ac:dyDescent="0.2">
      <c r="R8612" s="189" t="str">
        <f t="shared" si="218"/>
        <v/>
      </c>
    </row>
    <row r="8613" spans="18:18" x14ac:dyDescent="0.2">
      <c r="R8613" s="189" t="str">
        <f t="shared" si="218"/>
        <v/>
      </c>
    </row>
    <row r="8614" spans="18:18" x14ac:dyDescent="0.2">
      <c r="R8614" s="189" t="str">
        <f t="shared" si="218"/>
        <v/>
      </c>
    </row>
    <row r="8615" spans="18:18" x14ac:dyDescent="0.2">
      <c r="R8615" s="189" t="str">
        <f t="shared" si="218"/>
        <v/>
      </c>
    </row>
    <row r="8616" spans="18:18" x14ac:dyDescent="0.2">
      <c r="R8616" s="189" t="str">
        <f t="shared" si="218"/>
        <v/>
      </c>
    </row>
    <row r="8617" spans="18:18" x14ac:dyDescent="0.2">
      <c r="R8617" s="189" t="str">
        <f t="shared" si="218"/>
        <v/>
      </c>
    </row>
    <row r="8618" spans="18:18" x14ac:dyDescent="0.2">
      <c r="R8618" s="189" t="str">
        <f t="shared" si="218"/>
        <v/>
      </c>
    </row>
    <row r="8619" spans="18:18" x14ac:dyDescent="0.2">
      <c r="R8619" s="189" t="str">
        <f t="shared" si="218"/>
        <v/>
      </c>
    </row>
    <row r="8620" spans="18:18" x14ac:dyDescent="0.2">
      <c r="R8620" s="189" t="str">
        <f t="shared" si="218"/>
        <v/>
      </c>
    </row>
    <row r="8621" spans="18:18" x14ac:dyDescent="0.2">
      <c r="R8621" s="189" t="str">
        <f t="shared" si="218"/>
        <v/>
      </c>
    </row>
    <row r="8622" spans="18:18" x14ac:dyDescent="0.2">
      <c r="R8622" s="189" t="str">
        <f t="shared" si="218"/>
        <v/>
      </c>
    </row>
    <row r="8623" spans="18:18" x14ac:dyDescent="0.2">
      <c r="R8623" s="189" t="str">
        <f t="shared" si="218"/>
        <v/>
      </c>
    </row>
    <row r="8624" spans="18:18" x14ac:dyDescent="0.2">
      <c r="R8624" s="189" t="str">
        <f t="shared" si="218"/>
        <v/>
      </c>
    </row>
    <row r="8625" spans="18:18" x14ac:dyDescent="0.2">
      <c r="R8625" s="189" t="str">
        <f t="shared" si="218"/>
        <v/>
      </c>
    </row>
    <row r="8626" spans="18:18" x14ac:dyDescent="0.2">
      <c r="R8626" s="189" t="str">
        <f t="shared" si="218"/>
        <v/>
      </c>
    </row>
    <row r="8627" spans="18:18" x14ac:dyDescent="0.2">
      <c r="R8627" s="189" t="str">
        <f t="shared" si="218"/>
        <v/>
      </c>
    </row>
    <row r="8628" spans="18:18" x14ac:dyDescent="0.2">
      <c r="R8628" s="189" t="str">
        <f t="shared" si="218"/>
        <v/>
      </c>
    </row>
    <row r="8629" spans="18:18" x14ac:dyDescent="0.2">
      <c r="R8629" s="189" t="str">
        <f t="shared" si="218"/>
        <v/>
      </c>
    </row>
    <row r="8630" spans="18:18" x14ac:dyDescent="0.2">
      <c r="R8630" s="189" t="str">
        <f t="shared" si="218"/>
        <v/>
      </c>
    </row>
    <row r="8631" spans="18:18" x14ac:dyDescent="0.2">
      <c r="R8631" s="189" t="str">
        <f t="shared" si="218"/>
        <v/>
      </c>
    </row>
    <row r="8632" spans="18:18" x14ac:dyDescent="0.2">
      <c r="R8632" s="189" t="str">
        <f t="shared" si="218"/>
        <v/>
      </c>
    </row>
    <row r="8633" spans="18:18" x14ac:dyDescent="0.2">
      <c r="R8633" s="189" t="str">
        <f t="shared" si="218"/>
        <v/>
      </c>
    </row>
    <row r="8634" spans="18:18" x14ac:dyDescent="0.2">
      <c r="R8634" s="189" t="str">
        <f t="shared" si="218"/>
        <v/>
      </c>
    </row>
    <row r="8635" spans="18:18" x14ac:dyDescent="0.2">
      <c r="R8635" s="189" t="str">
        <f t="shared" si="218"/>
        <v/>
      </c>
    </row>
    <row r="8636" spans="18:18" x14ac:dyDescent="0.2">
      <c r="R8636" s="189" t="str">
        <f t="shared" si="218"/>
        <v/>
      </c>
    </row>
    <row r="8637" spans="18:18" x14ac:dyDescent="0.2">
      <c r="R8637" s="189" t="str">
        <f t="shared" si="218"/>
        <v/>
      </c>
    </row>
    <row r="8638" spans="18:18" x14ac:dyDescent="0.2">
      <c r="R8638" s="189" t="str">
        <f t="shared" si="218"/>
        <v/>
      </c>
    </row>
    <row r="8639" spans="18:18" x14ac:dyDescent="0.2">
      <c r="R8639" s="189" t="str">
        <f t="shared" si="218"/>
        <v/>
      </c>
    </row>
    <row r="8640" spans="18:18" x14ac:dyDescent="0.2">
      <c r="R8640" s="189" t="str">
        <f t="shared" si="218"/>
        <v/>
      </c>
    </row>
    <row r="8641" spans="18:18" x14ac:dyDescent="0.2">
      <c r="R8641" s="189" t="str">
        <f t="shared" si="218"/>
        <v/>
      </c>
    </row>
    <row r="8642" spans="18:18" x14ac:dyDescent="0.2">
      <c r="R8642" s="189" t="str">
        <f t="shared" si="218"/>
        <v/>
      </c>
    </row>
    <row r="8643" spans="18:18" x14ac:dyDescent="0.2">
      <c r="R8643" s="189" t="str">
        <f t="shared" si="218"/>
        <v/>
      </c>
    </row>
    <row r="8644" spans="18:18" x14ac:dyDescent="0.2">
      <c r="R8644" s="189" t="str">
        <f t="shared" si="218"/>
        <v/>
      </c>
    </row>
    <row r="8645" spans="18:18" x14ac:dyDescent="0.2">
      <c r="R8645" s="189" t="str">
        <f t="shared" si="218"/>
        <v/>
      </c>
    </row>
    <row r="8646" spans="18:18" x14ac:dyDescent="0.2">
      <c r="R8646" s="189" t="str">
        <f t="shared" si="218"/>
        <v/>
      </c>
    </row>
    <row r="8647" spans="18:18" x14ac:dyDescent="0.2">
      <c r="R8647" s="189" t="str">
        <f t="shared" si="218"/>
        <v/>
      </c>
    </row>
    <row r="8648" spans="18:18" x14ac:dyDescent="0.2">
      <c r="R8648" s="189" t="str">
        <f t="shared" si="218"/>
        <v/>
      </c>
    </row>
    <row r="8649" spans="18:18" x14ac:dyDescent="0.2">
      <c r="R8649" s="189" t="str">
        <f t="shared" si="218"/>
        <v/>
      </c>
    </row>
    <row r="8650" spans="18:18" x14ac:dyDescent="0.2">
      <c r="R8650" s="189" t="str">
        <f t="shared" si="218"/>
        <v/>
      </c>
    </row>
    <row r="8651" spans="18:18" x14ac:dyDescent="0.2">
      <c r="R8651" s="189" t="str">
        <f t="shared" si="218"/>
        <v/>
      </c>
    </row>
    <row r="8652" spans="18:18" x14ac:dyDescent="0.2">
      <c r="R8652" s="189" t="str">
        <f t="shared" si="218"/>
        <v/>
      </c>
    </row>
    <row r="8653" spans="18:18" x14ac:dyDescent="0.2">
      <c r="R8653" s="189" t="str">
        <f t="shared" si="218"/>
        <v/>
      </c>
    </row>
    <row r="8654" spans="18:18" x14ac:dyDescent="0.2">
      <c r="R8654" s="189" t="str">
        <f t="shared" si="218"/>
        <v/>
      </c>
    </row>
    <row r="8655" spans="18:18" x14ac:dyDescent="0.2">
      <c r="R8655" s="189" t="str">
        <f t="shared" si="218"/>
        <v/>
      </c>
    </row>
    <row r="8656" spans="18:18" x14ac:dyDescent="0.2">
      <c r="R8656" s="189" t="str">
        <f t="shared" si="218"/>
        <v/>
      </c>
    </row>
    <row r="8657" spans="18:18" x14ac:dyDescent="0.2">
      <c r="R8657" s="189" t="str">
        <f t="shared" si="218"/>
        <v/>
      </c>
    </row>
    <row r="8658" spans="18:18" x14ac:dyDescent="0.2">
      <c r="R8658" s="189" t="str">
        <f t="shared" si="218"/>
        <v/>
      </c>
    </row>
    <row r="8659" spans="18:18" x14ac:dyDescent="0.2">
      <c r="R8659" s="189" t="str">
        <f t="shared" si="218"/>
        <v/>
      </c>
    </row>
    <row r="8660" spans="18:18" x14ac:dyDescent="0.2">
      <c r="R8660" s="189" t="str">
        <f t="shared" si="218"/>
        <v/>
      </c>
    </row>
    <row r="8661" spans="18:18" x14ac:dyDescent="0.2">
      <c r="R8661" s="189" t="str">
        <f t="shared" si="218"/>
        <v/>
      </c>
    </row>
    <row r="8662" spans="18:18" x14ac:dyDescent="0.2">
      <c r="R8662" s="189" t="str">
        <f t="shared" ref="R8662:R8725" si="219">IF(OR(P8662="",Q8662=""),"",IFERROR(P8662-Q8662,""))</f>
        <v/>
      </c>
    </row>
    <row r="8663" spans="18:18" x14ac:dyDescent="0.2">
      <c r="R8663" s="189" t="str">
        <f t="shared" si="219"/>
        <v/>
      </c>
    </row>
    <row r="8664" spans="18:18" x14ac:dyDescent="0.2">
      <c r="R8664" s="189" t="str">
        <f t="shared" si="219"/>
        <v/>
      </c>
    </row>
    <row r="8665" spans="18:18" x14ac:dyDescent="0.2">
      <c r="R8665" s="189" t="str">
        <f t="shared" si="219"/>
        <v/>
      </c>
    </row>
    <row r="8666" spans="18:18" x14ac:dyDescent="0.2">
      <c r="R8666" s="189" t="str">
        <f t="shared" si="219"/>
        <v/>
      </c>
    </row>
    <row r="8667" spans="18:18" x14ac:dyDescent="0.2">
      <c r="R8667" s="189" t="str">
        <f t="shared" si="219"/>
        <v/>
      </c>
    </row>
    <row r="8668" spans="18:18" x14ac:dyDescent="0.2">
      <c r="R8668" s="189" t="str">
        <f t="shared" si="219"/>
        <v/>
      </c>
    </row>
    <row r="8669" spans="18:18" x14ac:dyDescent="0.2">
      <c r="R8669" s="189" t="str">
        <f t="shared" si="219"/>
        <v/>
      </c>
    </row>
    <row r="8670" spans="18:18" x14ac:dyDescent="0.2">
      <c r="R8670" s="189" t="str">
        <f t="shared" si="219"/>
        <v/>
      </c>
    </row>
    <row r="8671" spans="18:18" x14ac:dyDescent="0.2">
      <c r="R8671" s="189" t="str">
        <f t="shared" si="219"/>
        <v/>
      </c>
    </row>
    <row r="8672" spans="18:18" x14ac:dyDescent="0.2">
      <c r="R8672" s="189" t="str">
        <f t="shared" si="219"/>
        <v/>
      </c>
    </row>
    <row r="8673" spans="18:18" x14ac:dyDescent="0.2">
      <c r="R8673" s="189" t="str">
        <f t="shared" si="219"/>
        <v/>
      </c>
    </row>
    <row r="8674" spans="18:18" x14ac:dyDescent="0.2">
      <c r="R8674" s="189" t="str">
        <f t="shared" si="219"/>
        <v/>
      </c>
    </row>
    <row r="8675" spans="18:18" x14ac:dyDescent="0.2">
      <c r="R8675" s="189" t="str">
        <f t="shared" si="219"/>
        <v/>
      </c>
    </row>
    <row r="8676" spans="18:18" x14ac:dyDescent="0.2">
      <c r="R8676" s="189" t="str">
        <f t="shared" si="219"/>
        <v/>
      </c>
    </row>
    <row r="8677" spans="18:18" x14ac:dyDescent="0.2">
      <c r="R8677" s="189" t="str">
        <f t="shared" si="219"/>
        <v/>
      </c>
    </row>
    <row r="8678" spans="18:18" x14ac:dyDescent="0.2">
      <c r="R8678" s="189" t="str">
        <f t="shared" si="219"/>
        <v/>
      </c>
    </row>
    <row r="8679" spans="18:18" x14ac:dyDescent="0.2">
      <c r="R8679" s="189" t="str">
        <f t="shared" si="219"/>
        <v/>
      </c>
    </row>
    <row r="8680" spans="18:18" x14ac:dyDescent="0.2">
      <c r="R8680" s="189" t="str">
        <f t="shared" si="219"/>
        <v/>
      </c>
    </row>
    <row r="8681" spans="18:18" x14ac:dyDescent="0.2">
      <c r="R8681" s="189" t="str">
        <f t="shared" si="219"/>
        <v/>
      </c>
    </row>
    <row r="8682" spans="18:18" x14ac:dyDescent="0.2">
      <c r="R8682" s="189" t="str">
        <f t="shared" si="219"/>
        <v/>
      </c>
    </row>
    <row r="8683" spans="18:18" x14ac:dyDescent="0.2">
      <c r="R8683" s="189" t="str">
        <f t="shared" si="219"/>
        <v/>
      </c>
    </row>
    <row r="8684" spans="18:18" x14ac:dyDescent="0.2">
      <c r="R8684" s="189" t="str">
        <f t="shared" si="219"/>
        <v/>
      </c>
    </row>
    <row r="8685" spans="18:18" x14ac:dyDescent="0.2">
      <c r="R8685" s="189" t="str">
        <f t="shared" si="219"/>
        <v/>
      </c>
    </row>
    <row r="8686" spans="18:18" x14ac:dyDescent="0.2">
      <c r="R8686" s="189" t="str">
        <f t="shared" si="219"/>
        <v/>
      </c>
    </row>
    <row r="8687" spans="18:18" x14ac:dyDescent="0.2">
      <c r="R8687" s="189" t="str">
        <f t="shared" si="219"/>
        <v/>
      </c>
    </row>
    <row r="8688" spans="18:18" x14ac:dyDescent="0.2">
      <c r="R8688" s="189" t="str">
        <f t="shared" si="219"/>
        <v/>
      </c>
    </row>
    <row r="8689" spans="18:18" x14ac:dyDescent="0.2">
      <c r="R8689" s="189" t="str">
        <f t="shared" si="219"/>
        <v/>
      </c>
    </row>
    <row r="8690" spans="18:18" x14ac:dyDescent="0.2">
      <c r="R8690" s="189" t="str">
        <f t="shared" si="219"/>
        <v/>
      </c>
    </row>
    <row r="8691" spans="18:18" x14ac:dyDescent="0.2">
      <c r="R8691" s="189" t="str">
        <f t="shared" si="219"/>
        <v/>
      </c>
    </row>
    <row r="8692" spans="18:18" x14ac:dyDescent="0.2">
      <c r="R8692" s="189" t="str">
        <f t="shared" si="219"/>
        <v/>
      </c>
    </row>
    <row r="8693" spans="18:18" x14ac:dyDescent="0.2">
      <c r="R8693" s="189" t="str">
        <f t="shared" si="219"/>
        <v/>
      </c>
    </row>
    <row r="8694" spans="18:18" x14ac:dyDescent="0.2">
      <c r="R8694" s="189" t="str">
        <f t="shared" si="219"/>
        <v/>
      </c>
    </row>
    <row r="8695" spans="18:18" x14ac:dyDescent="0.2">
      <c r="R8695" s="189" t="str">
        <f t="shared" si="219"/>
        <v/>
      </c>
    </row>
    <row r="8696" spans="18:18" x14ac:dyDescent="0.2">
      <c r="R8696" s="189" t="str">
        <f t="shared" si="219"/>
        <v/>
      </c>
    </row>
    <row r="8697" spans="18:18" x14ac:dyDescent="0.2">
      <c r="R8697" s="189" t="str">
        <f t="shared" si="219"/>
        <v/>
      </c>
    </row>
    <row r="8698" spans="18:18" x14ac:dyDescent="0.2">
      <c r="R8698" s="189" t="str">
        <f t="shared" si="219"/>
        <v/>
      </c>
    </row>
    <row r="8699" spans="18:18" x14ac:dyDescent="0.2">
      <c r="R8699" s="189" t="str">
        <f t="shared" si="219"/>
        <v/>
      </c>
    </row>
    <row r="8700" spans="18:18" x14ac:dyDescent="0.2">
      <c r="R8700" s="189" t="str">
        <f t="shared" si="219"/>
        <v/>
      </c>
    </row>
    <row r="8701" spans="18:18" x14ac:dyDescent="0.2">
      <c r="R8701" s="189" t="str">
        <f t="shared" si="219"/>
        <v/>
      </c>
    </row>
    <row r="8702" spans="18:18" x14ac:dyDescent="0.2">
      <c r="R8702" s="189" t="str">
        <f t="shared" si="219"/>
        <v/>
      </c>
    </row>
    <row r="8703" spans="18:18" x14ac:dyDescent="0.2">
      <c r="R8703" s="189" t="str">
        <f t="shared" si="219"/>
        <v/>
      </c>
    </row>
    <row r="8704" spans="18:18" x14ac:dyDescent="0.2">
      <c r="R8704" s="189" t="str">
        <f t="shared" si="219"/>
        <v/>
      </c>
    </row>
    <row r="8705" spans="18:18" x14ac:dyDescent="0.2">
      <c r="R8705" s="189" t="str">
        <f t="shared" si="219"/>
        <v/>
      </c>
    </row>
    <row r="8706" spans="18:18" x14ac:dyDescent="0.2">
      <c r="R8706" s="189" t="str">
        <f t="shared" si="219"/>
        <v/>
      </c>
    </row>
    <row r="8707" spans="18:18" x14ac:dyDescent="0.2">
      <c r="R8707" s="189" t="str">
        <f t="shared" si="219"/>
        <v/>
      </c>
    </row>
    <row r="8708" spans="18:18" x14ac:dyDescent="0.2">
      <c r="R8708" s="189" t="str">
        <f t="shared" si="219"/>
        <v/>
      </c>
    </row>
    <row r="8709" spans="18:18" x14ac:dyDescent="0.2">
      <c r="R8709" s="189" t="str">
        <f t="shared" si="219"/>
        <v/>
      </c>
    </row>
    <row r="8710" spans="18:18" x14ac:dyDescent="0.2">
      <c r="R8710" s="189" t="str">
        <f t="shared" si="219"/>
        <v/>
      </c>
    </row>
    <row r="8711" spans="18:18" x14ac:dyDescent="0.2">
      <c r="R8711" s="189" t="str">
        <f t="shared" si="219"/>
        <v/>
      </c>
    </row>
    <row r="8712" spans="18:18" x14ac:dyDescent="0.2">
      <c r="R8712" s="189" t="str">
        <f t="shared" si="219"/>
        <v/>
      </c>
    </row>
    <row r="8713" spans="18:18" x14ac:dyDescent="0.2">
      <c r="R8713" s="189" t="str">
        <f t="shared" si="219"/>
        <v/>
      </c>
    </row>
    <row r="8714" spans="18:18" x14ac:dyDescent="0.2">
      <c r="R8714" s="189" t="str">
        <f t="shared" si="219"/>
        <v/>
      </c>
    </row>
    <row r="8715" spans="18:18" x14ac:dyDescent="0.2">
      <c r="R8715" s="189" t="str">
        <f t="shared" si="219"/>
        <v/>
      </c>
    </row>
    <row r="8716" spans="18:18" x14ac:dyDescent="0.2">
      <c r="R8716" s="189" t="str">
        <f t="shared" si="219"/>
        <v/>
      </c>
    </row>
    <row r="8717" spans="18:18" x14ac:dyDescent="0.2">
      <c r="R8717" s="189" t="str">
        <f t="shared" si="219"/>
        <v/>
      </c>
    </row>
    <row r="8718" spans="18:18" x14ac:dyDescent="0.2">
      <c r="R8718" s="189" t="str">
        <f t="shared" si="219"/>
        <v/>
      </c>
    </row>
    <row r="8719" spans="18:18" x14ac:dyDescent="0.2">
      <c r="R8719" s="189" t="str">
        <f t="shared" si="219"/>
        <v/>
      </c>
    </row>
    <row r="8720" spans="18:18" x14ac:dyDescent="0.2">
      <c r="R8720" s="189" t="str">
        <f t="shared" si="219"/>
        <v/>
      </c>
    </row>
    <row r="8721" spans="18:18" x14ac:dyDescent="0.2">
      <c r="R8721" s="189" t="str">
        <f t="shared" si="219"/>
        <v/>
      </c>
    </row>
    <row r="8722" spans="18:18" x14ac:dyDescent="0.2">
      <c r="R8722" s="189" t="str">
        <f t="shared" si="219"/>
        <v/>
      </c>
    </row>
    <row r="8723" spans="18:18" x14ac:dyDescent="0.2">
      <c r="R8723" s="189" t="str">
        <f t="shared" si="219"/>
        <v/>
      </c>
    </row>
    <row r="8724" spans="18:18" x14ac:dyDescent="0.2">
      <c r="R8724" s="189" t="str">
        <f t="shared" si="219"/>
        <v/>
      </c>
    </row>
    <row r="8725" spans="18:18" x14ac:dyDescent="0.2">
      <c r="R8725" s="189" t="str">
        <f t="shared" si="219"/>
        <v/>
      </c>
    </row>
    <row r="8726" spans="18:18" x14ac:dyDescent="0.2">
      <c r="R8726" s="189" t="str">
        <f t="shared" ref="R8726:R8789" si="220">IF(OR(P8726="",Q8726=""),"",IFERROR(P8726-Q8726,""))</f>
        <v/>
      </c>
    </row>
    <row r="8727" spans="18:18" x14ac:dyDescent="0.2">
      <c r="R8727" s="189" t="str">
        <f t="shared" si="220"/>
        <v/>
      </c>
    </row>
    <row r="8728" spans="18:18" x14ac:dyDescent="0.2">
      <c r="R8728" s="189" t="str">
        <f t="shared" si="220"/>
        <v/>
      </c>
    </row>
    <row r="8729" spans="18:18" x14ac:dyDescent="0.2">
      <c r="R8729" s="189" t="str">
        <f t="shared" si="220"/>
        <v/>
      </c>
    </row>
    <row r="8730" spans="18:18" x14ac:dyDescent="0.2">
      <c r="R8730" s="189" t="str">
        <f t="shared" si="220"/>
        <v/>
      </c>
    </row>
    <row r="8731" spans="18:18" x14ac:dyDescent="0.2">
      <c r="R8731" s="189" t="str">
        <f t="shared" si="220"/>
        <v/>
      </c>
    </row>
    <row r="8732" spans="18:18" x14ac:dyDescent="0.2">
      <c r="R8732" s="189" t="str">
        <f t="shared" si="220"/>
        <v/>
      </c>
    </row>
    <row r="8733" spans="18:18" x14ac:dyDescent="0.2">
      <c r="R8733" s="189" t="str">
        <f t="shared" si="220"/>
        <v/>
      </c>
    </row>
    <row r="8734" spans="18:18" x14ac:dyDescent="0.2">
      <c r="R8734" s="189" t="str">
        <f t="shared" si="220"/>
        <v/>
      </c>
    </row>
    <row r="8735" spans="18:18" x14ac:dyDescent="0.2">
      <c r="R8735" s="189" t="str">
        <f t="shared" si="220"/>
        <v/>
      </c>
    </row>
    <row r="8736" spans="18:18" x14ac:dyDescent="0.2">
      <c r="R8736" s="189" t="str">
        <f t="shared" si="220"/>
        <v/>
      </c>
    </row>
    <row r="8737" spans="18:18" x14ac:dyDescent="0.2">
      <c r="R8737" s="189" t="str">
        <f t="shared" si="220"/>
        <v/>
      </c>
    </row>
    <row r="8738" spans="18:18" x14ac:dyDescent="0.2">
      <c r="R8738" s="189" t="str">
        <f t="shared" si="220"/>
        <v/>
      </c>
    </row>
    <row r="8739" spans="18:18" x14ac:dyDescent="0.2">
      <c r="R8739" s="189" t="str">
        <f t="shared" si="220"/>
        <v/>
      </c>
    </row>
    <row r="8740" spans="18:18" x14ac:dyDescent="0.2">
      <c r="R8740" s="189" t="str">
        <f t="shared" si="220"/>
        <v/>
      </c>
    </row>
    <row r="8741" spans="18:18" x14ac:dyDescent="0.2">
      <c r="R8741" s="189" t="str">
        <f t="shared" si="220"/>
        <v/>
      </c>
    </row>
    <row r="8742" spans="18:18" x14ac:dyDescent="0.2">
      <c r="R8742" s="189" t="str">
        <f t="shared" si="220"/>
        <v/>
      </c>
    </row>
    <row r="8743" spans="18:18" x14ac:dyDescent="0.2">
      <c r="R8743" s="189" t="str">
        <f t="shared" si="220"/>
        <v/>
      </c>
    </row>
    <row r="8744" spans="18:18" x14ac:dyDescent="0.2">
      <c r="R8744" s="189" t="str">
        <f t="shared" si="220"/>
        <v/>
      </c>
    </row>
    <row r="8745" spans="18:18" x14ac:dyDescent="0.2">
      <c r="R8745" s="189" t="str">
        <f t="shared" si="220"/>
        <v/>
      </c>
    </row>
    <row r="8746" spans="18:18" x14ac:dyDescent="0.2">
      <c r="R8746" s="189" t="str">
        <f t="shared" si="220"/>
        <v/>
      </c>
    </row>
    <row r="8747" spans="18:18" x14ac:dyDescent="0.2">
      <c r="R8747" s="189" t="str">
        <f t="shared" si="220"/>
        <v/>
      </c>
    </row>
    <row r="8748" spans="18:18" x14ac:dyDescent="0.2">
      <c r="R8748" s="189" t="str">
        <f t="shared" si="220"/>
        <v/>
      </c>
    </row>
    <row r="8749" spans="18:18" x14ac:dyDescent="0.2">
      <c r="R8749" s="189" t="str">
        <f t="shared" si="220"/>
        <v/>
      </c>
    </row>
    <row r="8750" spans="18:18" x14ac:dyDescent="0.2">
      <c r="R8750" s="189" t="str">
        <f t="shared" si="220"/>
        <v/>
      </c>
    </row>
    <row r="8751" spans="18:18" x14ac:dyDescent="0.2">
      <c r="R8751" s="189" t="str">
        <f t="shared" si="220"/>
        <v/>
      </c>
    </row>
    <row r="8752" spans="18:18" x14ac:dyDescent="0.2">
      <c r="R8752" s="189" t="str">
        <f t="shared" si="220"/>
        <v/>
      </c>
    </row>
    <row r="8753" spans="18:18" x14ac:dyDescent="0.2">
      <c r="R8753" s="189" t="str">
        <f t="shared" si="220"/>
        <v/>
      </c>
    </row>
    <row r="8754" spans="18:18" x14ac:dyDescent="0.2">
      <c r="R8754" s="189" t="str">
        <f t="shared" si="220"/>
        <v/>
      </c>
    </row>
    <row r="8755" spans="18:18" x14ac:dyDescent="0.2">
      <c r="R8755" s="189" t="str">
        <f t="shared" si="220"/>
        <v/>
      </c>
    </row>
    <row r="8756" spans="18:18" x14ac:dyDescent="0.2">
      <c r="R8756" s="189" t="str">
        <f t="shared" si="220"/>
        <v/>
      </c>
    </row>
    <row r="8757" spans="18:18" x14ac:dyDescent="0.2">
      <c r="R8757" s="189" t="str">
        <f t="shared" si="220"/>
        <v/>
      </c>
    </row>
    <row r="8758" spans="18:18" x14ac:dyDescent="0.2">
      <c r="R8758" s="189" t="str">
        <f t="shared" si="220"/>
        <v/>
      </c>
    </row>
    <row r="8759" spans="18:18" x14ac:dyDescent="0.2">
      <c r="R8759" s="189" t="str">
        <f t="shared" si="220"/>
        <v/>
      </c>
    </row>
    <row r="8760" spans="18:18" x14ac:dyDescent="0.2">
      <c r="R8760" s="189" t="str">
        <f t="shared" si="220"/>
        <v/>
      </c>
    </row>
    <row r="8761" spans="18:18" x14ac:dyDescent="0.2">
      <c r="R8761" s="189" t="str">
        <f t="shared" si="220"/>
        <v/>
      </c>
    </row>
    <row r="8762" spans="18:18" x14ac:dyDescent="0.2">
      <c r="R8762" s="189" t="str">
        <f t="shared" si="220"/>
        <v/>
      </c>
    </row>
    <row r="8763" spans="18:18" x14ac:dyDescent="0.2">
      <c r="R8763" s="189" t="str">
        <f t="shared" si="220"/>
        <v/>
      </c>
    </row>
    <row r="8764" spans="18:18" x14ac:dyDescent="0.2">
      <c r="R8764" s="189" t="str">
        <f t="shared" si="220"/>
        <v/>
      </c>
    </row>
    <row r="8765" spans="18:18" x14ac:dyDescent="0.2">
      <c r="R8765" s="189" t="str">
        <f t="shared" si="220"/>
        <v/>
      </c>
    </row>
    <row r="8766" spans="18:18" x14ac:dyDescent="0.2">
      <c r="R8766" s="189" t="str">
        <f t="shared" si="220"/>
        <v/>
      </c>
    </row>
    <row r="8767" spans="18:18" x14ac:dyDescent="0.2">
      <c r="R8767" s="189" t="str">
        <f t="shared" si="220"/>
        <v/>
      </c>
    </row>
    <row r="8768" spans="18:18" x14ac:dyDescent="0.2">
      <c r="R8768" s="189" t="str">
        <f t="shared" si="220"/>
        <v/>
      </c>
    </row>
    <row r="8769" spans="18:18" x14ac:dyDescent="0.2">
      <c r="R8769" s="189" t="str">
        <f t="shared" si="220"/>
        <v/>
      </c>
    </row>
    <row r="8770" spans="18:18" x14ac:dyDescent="0.2">
      <c r="R8770" s="189" t="str">
        <f t="shared" si="220"/>
        <v/>
      </c>
    </row>
    <row r="8771" spans="18:18" x14ac:dyDescent="0.2">
      <c r="R8771" s="189" t="str">
        <f t="shared" si="220"/>
        <v/>
      </c>
    </row>
    <row r="8772" spans="18:18" x14ac:dyDescent="0.2">
      <c r="R8772" s="189" t="str">
        <f t="shared" si="220"/>
        <v/>
      </c>
    </row>
    <row r="8773" spans="18:18" x14ac:dyDescent="0.2">
      <c r="R8773" s="189" t="str">
        <f t="shared" si="220"/>
        <v/>
      </c>
    </row>
    <row r="8774" spans="18:18" x14ac:dyDescent="0.2">
      <c r="R8774" s="189" t="str">
        <f t="shared" si="220"/>
        <v/>
      </c>
    </row>
    <row r="8775" spans="18:18" x14ac:dyDescent="0.2">
      <c r="R8775" s="189" t="str">
        <f t="shared" si="220"/>
        <v/>
      </c>
    </row>
    <row r="8776" spans="18:18" x14ac:dyDescent="0.2">
      <c r="R8776" s="189" t="str">
        <f t="shared" si="220"/>
        <v/>
      </c>
    </row>
    <row r="8777" spans="18:18" x14ac:dyDescent="0.2">
      <c r="R8777" s="189" t="str">
        <f t="shared" si="220"/>
        <v/>
      </c>
    </row>
    <row r="8778" spans="18:18" x14ac:dyDescent="0.2">
      <c r="R8778" s="189" t="str">
        <f t="shared" si="220"/>
        <v/>
      </c>
    </row>
    <row r="8779" spans="18:18" x14ac:dyDescent="0.2">
      <c r="R8779" s="189" t="str">
        <f t="shared" si="220"/>
        <v/>
      </c>
    </row>
    <row r="8780" spans="18:18" x14ac:dyDescent="0.2">
      <c r="R8780" s="189" t="str">
        <f t="shared" si="220"/>
        <v/>
      </c>
    </row>
    <row r="8781" spans="18:18" x14ac:dyDescent="0.2">
      <c r="R8781" s="189" t="str">
        <f t="shared" si="220"/>
        <v/>
      </c>
    </row>
    <row r="8782" spans="18:18" x14ac:dyDescent="0.2">
      <c r="R8782" s="189" t="str">
        <f t="shared" si="220"/>
        <v/>
      </c>
    </row>
    <row r="8783" spans="18:18" x14ac:dyDescent="0.2">
      <c r="R8783" s="189" t="str">
        <f t="shared" si="220"/>
        <v/>
      </c>
    </row>
    <row r="8784" spans="18:18" x14ac:dyDescent="0.2">
      <c r="R8784" s="189" t="str">
        <f t="shared" si="220"/>
        <v/>
      </c>
    </row>
    <row r="8785" spans="18:18" x14ac:dyDescent="0.2">
      <c r="R8785" s="189" t="str">
        <f t="shared" si="220"/>
        <v/>
      </c>
    </row>
    <row r="8786" spans="18:18" x14ac:dyDescent="0.2">
      <c r="R8786" s="189" t="str">
        <f t="shared" si="220"/>
        <v/>
      </c>
    </row>
    <row r="8787" spans="18:18" x14ac:dyDescent="0.2">
      <c r="R8787" s="189" t="str">
        <f t="shared" si="220"/>
        <v/>
      </c>
    </row>
    <row r="8788" spans="18:18" x14ac:dyDescent="0.2">
      <c r="R8788" s="189" t="str">
        <f t="shared" si="220"/>
        <v/>
      </c>
    </row>
    <row r="8789" spans="18:18" x14ac:dyDescent="0.2">
      <c r="R8789" s="189" t="str">
        <f t="shared" si="220"/>
        <v/>
      </c>
    </row>
    <row r="8790" spans="18:18" x14ac:dyDescent="0.2">
      <c r="R8790" s="189" t="str">
        <f t="shared" ref="R8790:R8853" si="221">IF(OR(P8790="",Q8790=""),"",IFERROR(P8790-Q8790,""))</f>
        <v/>
      </c>
    </row>
    <row r="8791" spans="18:18" x14ac:dyDescent="0.2">
      <c r="R8791" s="189" t="str">
        <f t="shared" si="221"/>
        <v/>
      </c>
    </row>
    <row r="8792" spans="18:18" x14ac:dyDescent="0.2">
      <c r="R8792" s="189" t="str">
        <f t="shared" si="221"/>
        <v/>
      </c>
    </row>
    <row r="8793" spans="18:18" x14ac:dyDescent="0.2">
      <c r="R8793" s="189" t="str">
        <f t="shared" si="221"/>
        <v/>
      </c>
    </row>
    <row r="8794" spans="18:18" x14ac:dyDescent="0.2">
      <c r="R8794" s="189" t="str">
        <f t="shared" si="221"/>
        <v/>
      </c>
    </row>
    <row r="8795" spans="18:18" x14ac:dyDescent="0.2">
      <c r="R8795" s="189" t="str">
        <f t="shared" si="221"/>
        <v/>
      </c>
    </row>
    <row r="8796" spans="18:18" x14ac:dyDescent="0.2">
      <c r="R8796" s="189" t="str">
        <f t="shared" si="221"/>
        <v/>
      </c>
    </row>
    <row r="8797" spans="18:18" x14ac:dyDescent="0.2">
      <c r="R8797" s="189" t="str">
        <f t="shared" si="221"/>
        <v/>
      </c>
    </row>
    <row r="8798" spans="18:18" x14ac:dyDescent="0.2">
      <c r="R8798" s="189" t="str">
        <f t="shared" si="221"/>
        <v/>
      </c>
    </row>
    <row r="8799" spans="18:18" x14ac:dyDescent="0.2">
      <c r="R8799" s="189" t="str">
        <f t="shared" si="221"/>
        <v/>
      </c>
    </row>
    <row r="8800" spans="18:18" x14ac:dyDescent="0.2">
      <c r="R8800" s="189" t="str">
        <f t="shared" si="221"/>
        <v/>
      </c>
    </row>
    <row r="8801" spans="18:18" x14ac:dyDescent="0.2">
      <c r="R8801" s="189" t="str">
        <f t="shared" si="221"/>
        <v/>
      </c>
    </row>
    <row r="8802" spans="18:18" x14ac:dyDescent="0.2">
      <c r="R8802" s="189" t="str">
        <f t="shared" si="221"/>
        <v/>
      </c>
    </row>
    <row r="8803" spans="18:18" x14ac:dyDescent="0.2">
      <c r="R8803" s="189" t="str">
        <f t="shared" si="221"/>
        <v/>
      </c>
    </row>
    <row r="8804" spans="18:18" x14ac:dyDescent="0.2">
      <c r="R8804" s="189" t="str">
        <f t="shared" si="221"/>
        <v/>
      </c>
    </row>
    <row r="8805" spans="18:18" x14ac:dyDescent="0.2">
      <c r="R8805" s="189" t="str">
        <f t="shared" si="221"/>
        <v/>
      </c>
    </row>
    <row r="8806" spans="18:18" x14ac:dyDescent="0.2">
      <c r="R8806" s="189" t="str">
        <f t="shared" si="221"/>
        <v/>
      </c>
    </row>
    <row r="8807" spans="18:18" x14ac:dyDescent="0.2">
      <c r="R8807" s="189" t="str">
        <f t="shared" si="221"/>
        <v/>
      </c>
    </row>
    <row r="8808" spans="18:18" x14ac:dyDescent="0.2">
      <c r="R8808" s="189" t="str">
        <f t="shared" si="221"/>
        <v/>
      </c>
    </row>
    <row r="8809" spans="18:18" x14ac:dyDescent="0.2">
      <c r="R8809" s="189" t="str">
        <f t="shared" si="221"/>
        <v/>
      </c>
    </row>
    <row r="8810" spans="18:18" x14ac:dyDescent="0.2">
      <c r="R8810" s="189" t="str">
        <f t="shared" si="221"/>
        <v/>
      </c>
    </row>
    <row r="8811" spans="18:18" x14ac:dyDescent="0.2">
      <c r="R8811" s="189" t="str">
        <f t="shared" si="221"/>
        <v/>
      </c>
    </row>
    <row r="8812" spans="18:18" x14ac:dyDescent="0.2">
      <c r="R8812" s="189" t="str">
        <f t="shared" si="221"/>
        <v/>
      </c>
    </row>
    <row r="8813" spans="18:18" x14ac:dyDescent="0.2">
      <c r="R8813" s="189" t="str">
        <f t="shared" si="221"/>
        <v/>
      </c>
    </row>
    <row r="8814" spans="18:18" x14ac:dyDescent="0.2">
      <c r="R8814" s="189" t="str">
        <f t="shared" si="221"/>
        <v/>
      </c>
    </row>
    <row r="8815" spans="18:18" x14ac:dyDescent="0.2">
      <c r="R8815" s="189" t="str">
        <f t="shared" si="221"/>
        <v/>
      </c>
    </row>
    <row r="8816" spans="18:18" x14ac:dyDescent="0.2">
      <c r="R8816" s="189" t="str">
        <f t="shared" si="221"/>
        <v/>
      </c>
    </row>
    <row r="8817" spans="18:18" x14ac:dyDescent="0.2">
      <c r="R8817" s="189" t="str">
        <f t="shared" si="221"/>
        <v/>
      </c>
    </row>
    <row r="8818" spans="18:18" x14ac:dyDescent="0.2">
      <c r="R8818" s="189" t="str">
        <f t="shared" si="221"/>
        <v/>
      </c>
    </row>
    <row r="8819" spans="18:18" x14ac:dyDescent="0.2">
      <c r="R8819" s="189" t="str">
        <f t="shared" si="221"/>
        <v/>
      </c>
    </row>
    <row r="8820" spans="18:18" x14ac:dyDescent="0.2">
      <c r="R8820" s="189" t="str">
        <f t="shared" si="221"/>
        <v/>
      </c>
    </row>
    <row r="8821" spans="18:18" x14ac:dyDescent="0.2">
      <c r="R8821" s="189" t="str">
        <f t="shared" si="221"/>
        <v/>
      </c>
    </row>
    <row r="8822" spans="18:18" x14ac:dyDescent="0.2">
      <c r="R8822" s="189" t="str">
        <f t="shared" si="221"/>
        <v/>
      </c>
    </row>
    <row r="8823" spans="18:18" x14ac:dyDescent="0.2">
      <c r="R8823" s="189" t="str">
        <f t="shared" si="221"/>
        <v/>
      </c>
    </row>
    <row r="8824" spans="18:18" x14ac:dyDescent="0.2">
      <c r="R8824" s="189" t="str">
        <f t="shared" si="221"/>
        <v/>
      </c>
    </row>
    <row r="8825" spans="18:18" x14ac:dyDescent="0.2">
      <c r="R8825" s="189" t="str">
        <f t="shared" si="221"/>
        <v/>
      </c>
    </row>
    <row r="8826" spans="18:18" x14ac:dyDescent="0.2">
      <c r="R8826" s="189" t="str">
        <f t="shared" si="221"/>
        <v/>
      </c>
    </row>
    <row r="8827" spans="18:18" x14ac:dyDescent="0.2">
      <c r="R8827" s="189" t="str">
        <f t="shared" si="221"/>
        <v/>
      </c>
    </row>
    <row r="8828" spans="18:18" x14ac:dyDescent="0.2">
      <c r="R8828" s="189" t="str">
        <f t="shared" si="221"/>
        <v/>
      </c>
    </row>
    <row r="8829" spans="18:18" x14ac:dyDescent="0.2">
      <c r="R8829" s="189" t="str">
        <f t="shared" si="221"/>
        <v/>
      </c>
    </row>
    <row r="8830" spans="18:18" x14ac:dyDescent="0.2">
      <c r="R8830" s="189" t="str">
        <f t="shared" si="221"/>
        <v/>
      </c>
    </row>
    <row r="8831" spans="18:18" x14ac:dyDescent="0.2">
      <c r="R8831" s="189" t="str">
        <f t="shared" si="221"/>
        <v/>
      </c>
    </row>
    <row r="8832" spans="18:18" x14ac:dyDescent="0.2">
      <c r="R8832" s="189" t="str">
        <f t="shared" si="221"/>
        <v/>
      </c>
    </row>
    <row r="8833" spans="18:18" x14ac:dyDescent="0.2">
      <c r="R8833" s="189" t="str">
        <f t="shared" si="221"/>
        <v/>
      </c>
    </row>
    <row r="8834" spans="18:18" x14ac:dyDescent="0.2">
      <c r="R8834" s="189" t="str">
        <f t="shared" si="221"/>
        <v/>
      </c>
    </row>
    <row r="8835" spans="18:18" x14ac:dyDescent="0.2">
      <c r="R8835" s="189" t="str">
        <f t="shared" si="221"/>
        <v/>
      </c>
    </row>
    <row r="8836" spans="18:18" x14ac:dyDescent="0.2">
      <c r="R8836" s="189" t="str">
        <f t="shared" si="221"/>
        <v/>
      </c>
    </row>
    <row r="8837" spans="18:18" x14ac:dyDescent="0.2">
      <c r="R8837" s="189" t="str">
        <f t="shared" si="221"/>
        <v/>
      </c>
    </row>
    <row r="8838" spans="18:18" x14ac:dyDescent="0.2">
      <c r="R8838" s="189" t="str">
        <f t="shared" si="221"/>
        <v/>
      </c>
    </row>
    <row r="8839" spans="18:18" x14ac:dyDescent="0.2">
      <c r="R8839" s="189" t="str">
        <f t="shared" si="221"/>
        <v/>
      </c>
    </row>
    <row r="8840" spans="18:18" x14ac:dyDescent="0.2">
      <c r="R8840" s="189" t="str">
        <f t="shared" si="221"/>
        <v/>
      </c>
    </row>
    <row r="8841" spans="18:18" x14ac:dyDescent="0.2">
      <c r="R8841" s="189" t="str">
        <f t="shared" si="221"/>
        <v/>
      </c>
    </row>
    <row r="8842" spans="18:18" x14ac:dyDescent="0.2">
      <c r="R8842" s="189" t="str">
        <f t="shared" si="221"/>
        <v/>
      </c>
    </row>
    <row r="8843" spans="18:18" x14ac:dyDescent="0.2">
      <c r="R8843" s="189" t="str">
        <f t="shared" si="221"/>
        <v/>
      </c>
    </row>
    <row r="8844" spans="18:18" x14ac:dyDescent="0.2">
      <c r="R8844" s="189" t="str">
        <f t="shared" si="221"/>
        <v/>
      </c>
    </row>
    <row r="8845" spans="18:18" x14ac:dyDescent="0.2">
      <c r="R8845" s="189" t="str">
        <f t="shared" si="221"/>
        <v/>
      </c>
    </row>
    <row r="8846" spans="18:18" x14ac:dyDescent="0.2">
      <c r="R8846" s="189" t="str">
        <f t="shared" si="221"/>
        <v/>
      </c>
    </row>
    <row r="8847" spans="18:18" x14ac:dyDescent="0.2">
      <c r="R8847" s="189" t="str">
        <f t="shared" si="221"/>
        <v/>
      </c>
    </row>
    <row r="8848" spans="18:18" x14ac:dyDescent="0.2">
      <c r="R8848" s="189" t="str">
        <f t="shared" si="221"/>
        <v/>
      </c>
    </row>
    <row r="8849" spans="18:18" x14ac:dyDescent="0.2">
      <c r="R8849" s="189" t="str">
        <f t="shared" si="221"/>
        <v/>
      </c>
    </row>
    <row r="8850" spans="18:18" x14ac:dyDescent="0.2">
      <c r="R8850" s="189" t="str">
        <f t="shared" si="221"/>
        <v/>
      </c>
    </row>
    <row r="8851" spans="18:18" x14ac:dyDescent="0.2">
      <c r="R8851" s="189" t="str">
        <f t="shared" si="221"/>
        <v/>
      </c>
    </row>
    <row r="8852" spans="18:18" x14ac:dyDescent="0.2">
      <c r="R8852" s="189" t="str">
        <f t="shared" si="221"/>
        <v/>
      </c>
    </row>
    <row r="8853" spans="18:18" x14ac:dyDescent="0.2">
      <c r="R8853" s="189" t="str">
        <f t="shared" si="221"/>
        <v/>
      </c>
    </row>
    <row r="8854" spans="18:18" x14ac:dyDescent="0.2">
      <c r="R8854" s="189" t="str">
        <f t="shared" ref="R8854:R8917" si="222">IF(OR(P8854="",Q8854=""),"",IFERROR(P8854-Q8854,""))</f>
        <v/>
      </c>
    </row>
    <row r="8855" spans="18:18" x14ac:dyDescent="0.2">
      <c r="R8855" s="189" t="str">
        <f t="shared" si="222"/>
        <v/>
      </c>
    </row>
    <row r="8856" spans="18:18" x14ac:dyDescent="0.2">
      <c r="R8856" s="189" t="str">
        <f t="shared" si="222"/>
        <v/>
      </c>
    </row>
    <row r="8857" spans="18:18" x14ac:dyDescent="0.2">
      <c r="R8857" s="189" t="str">
        <f t="shared" si="222"/>
        <v/>
      </c>
    </row>
    <row r="8858" spans="18:18" x14ac:dyDescent="0.2">
      <c r="R8858" s="189" t="str">
        <f t="shared" si="222"/>
        <v/>
      </c>
    </row>
    <row r="8859" spans="18:18" x14ac:dyDescent="0.2">
      <c r="R8859" s="189" t="str">
        <f t="shared" si="222"/>
        <v/>
      </c>
    </row>
    <row r="8860" spans="18:18" x14ac:dyDescent="0.2">
      <c r="R8860" s="189" t="str">
        <f t="shared" si="222"/>
        <v/>
      </c>
    </row>
    <row r="8861" spans="18:18" x14ac:dyDescent="0.2">
      <c r="R8861" s="189" t="str">
        <f t="shared" si="222"/>
        <v/>
      </c>
    </row>
    <row r="8862" spans="18:18" x14ac:dyDescent="0.2">
      <c r="R8862" s="189" t="str">
        <f t="shared" si="222"/>
        <v/>
      </c>
    </row>
    <row r="8863" spans="18:18" x14ac:dyDescent="0.2">
      <c r="R8863" s="189" t="str">
        <f t="shared" si="222"/>
        <v/>
      </c>
    </row>
    <row r="8864" spans="18:18" x14ac:dyDescent="0.2">
      <c r="R8864" s="189" t="str">
        <f t="shared" si="222"/>
        <v/>
      </c>
    </row>
    <row r="8865" spans="18:18" x14ac:dyDescent="0.2">
      <c r="R8865" s="189" t="str">
        <f t="shared" si="222"/>
        <v/>
      </c>
    </row>
    <row r="8866" spans="18:18" x14ac:dyDescent="0.2">
      <c r="R8866" s="189" t="str">
        <f t="shared" si="222"/>
        <v/>
      </c>
    </row>
    <row r="8867" spans="18:18" x14ac:dyDescent="0.2">
      <c r="R8867" s="189" t="str">
        <f t="shared" si="222"/>
        <v/>
      </c>
    </row>
    <row r="8868" spans="18:18" x14ac:dyDescent="0.2">
      <c r="R8868" s="189" t="str">
        <f t="shared" si="222"/>
        <v/>
      </c>
    </row>
    <row r="8869" spans="18:18" x14ac:dyDescent="0.2">
      <c r="R8869" s="189" t="str">
        <f t="shared" si="222"/>
        <v/>
      </c>
    </row>
    <row r="8870" spans="18:18" x14ac:dyDescent="0.2">
      <c r="R8870" s="189" t="str">
        <f t="shared" si="222"/>
        <v/>
      </c>
    </row>
    <row r="8871" spans="18:18" x14ac:dyDescent="0.2">
      <c r="R8871" s="189" t="str">
        <f t="shared" si="222"/>
        <v/>
      </c>
    </row>
    <row r="8872" spans="18:18" x14ac:dyDescent="0.2">
      <c r="R8872" s="189" t="str">
        <f t="shared" si="222"/>
        <v/>
      </c>
    </row>
    <row r="8873" spans="18:18" x14ac:dyDescent="0.2">
      <c r="R8873" s="189" t="str">
        <f t="shared" si="222"/>
        <v/>
      </c>
    </row>
    <row r="8874" spans="18:18" x14ac:dyDescent="0.2">
      <c r="R8874" s="189" t="str">
        <f t="shared" si="222"/>
        <v/>
      </c>
    </row>
    <row r="8875" spans="18:18" x14ac:dyDescent="0.2">
      <c r="R8875" s="189" t="str">
        <f t="shared" si="222"/>
        <v/>
      </c>
    </row>
    <row r="8876" spans="18:18" x14ac:dyDescent="0.2">
      <c r="R8876" s="189" t="str">
        <f t="shared" si="222"/>
        <v/>
      </c>
    </row>
    <row r="8877" spans="18:18" x14ac:dyDescent="0.2">
      <c r="R8877" s="189" t="str">
        <f t="shared" si="222"/>
        <v/>
      </c>
    </row>
    <row r="8878" spans="18:18" x14ac:dyDescent="0.2">
      <c r="R8878" s="189" t="str">
        <f t="shared" si="222"/>
        <v/>
      </c>
    </row>
    <row r="8879" spans="18:18" x14ac:dyDescent="0.2">
      <c r="R8879" s="189" t="str">
        <f t="shared" si="222"/>
        <v/>
      </c>
    </row>
    <row r="8880" spans="18:18" x14ac:dyDescent="0.2">
      <c r="R8880" s="189" t="str">
        <f t="shared" si="222"/>
        <v/>
      </c>
    </row>
    <row r="8881" spans="18:18" x14ac:dyDescent="0.2">
      <c r="R8881" s="189" t="str">
        <f t="shared" si="222"/>
        <v/>
      </c>
    </row>
    <row r="8882" spans="18:18" x14ac:dyDescent="0.2">
      <c r="R8882" s="189" t="str">
        <f t="shared" si="222"/>
        <v/>
      </c>
    </row>
    <row r="8883" spans="18:18" x14ac:dyDescent="0.2">
      <c r="R8883" s="189" t="str">
        <f t="shared" si="222"/>
        <v/>
      </c>
    </row>
    <row r="8884" spans="18:18" x14ac:dyDescent="0.2">
      <c r="R8884" s="189" t="str">
        <f t="shared" si="222"/>
        <v/>
      </c>
    </row>
    <row r="8885" spans="18:18" x14ac:dyDescent="0.2">
      <c r="R8885" s="189" t="str">
        <f t="shared" si="222"/>
        <v/>
      </c>
    </row>
    <row r="8886" spans="18:18" x14ac:dyDescent="0.2">
      <c r="R8886" s="189" t="str">
        <f t="shared" si="222"/>
        <v/>
      </c>
    </row>
    <row r="8887" spans="18:18" x14ac:dyDescent="0.2">
      <c r="R8887" s="189" t="str">
        <f t="shared" si="222"/>
        <v/>
      </c>
    </row>
    <row r="8888" spans="18:18" x14ac:dyDescent="0.2">
      <c r="R8888" s="189" t="str">
        <f t="shared" si="222"/>
        <v/>
      </c>
    </row>
    <row r="8889" spans="18:18" x14ac:dyDescent="0.2">
      <c r="R8889" s="189" t="str">
        <f t="shared" si="222"/>
        <v/>
      </c>
    </row>
    <row r="8890" spans="18:18" x14ac:dyDescent="0.2">
      <c r="R8890" s="189" t="str">
        <f t="shared" si="222"/>
        <v/>
      </c>
    </row>
    <row r="8891" spans="18:18" x14ac:dyDescent="0.2">
      <c r="R8891" s="189" t="str">
        <f t="shared" si="222"/>
        <v/>
      </c>
    </row>
    <row r="8892" spans="18:18" x14ac:dyDescent="0.2">
      <c r="R8892" s="189" t="str">
        <f t="shared" si="222"/>
        <v/>
      </c>
    </row>
    <row r="8893" spans="18:18" x14ac:dyDescent="0.2">
      <c r="R8893" s="189" t="str">
        <f t="shared" si="222"/>
        <v/>
      </c>
    </row>
    <row r="8894" spans="18:18" x14ac:dyDescent="0.2">
      <c r="R8894" s="189" t="str">
        <f t="shared" si="222"/>
        <v/>
      </c>
    </row>
    <row r="8895" spans="18:18" x14ac:dyDescent="0.2">
      <c r="R8895" s="189" t="str">
        <f t="shared" si="222"/>
        <v/>
      </c>
    </row>
    <row r="8896" spans="18:18" x14ac:dyDescent="0.2">
      <c r="R8896" s="189" t="str">
        <f t="shared" si="222"/>
        <v/>
      </c>
    </row>
    <row r="8897" spans="18:18" x14ac:dyDescent="0.2">
      <c r="R8897" s="189" t="str">
        <f t="shared" si="222"/>
        <v/>
      </c>
    </row>
    <row r="8898" spans="18:18" x14ac:dyDescent="0.2">
      <c r="R8898" s="189" t="str">
        <f t="shared" si="222"/>
        <v/>
      </c>
    </row>
    <row r="8899" spans="18:18" x14ac:dyDescent="0.2">
      <c r="R8899" s="189" t="str">
        <f t="shared" si="222"/>
        <v/>
      </c>
    </row>
    <row r="8900" spans="18:18" x14ac:dyDescent="0.2">
      <c r="R8900" s="189" t="str">
        <f t="shared" si="222"/>
        <v/>
      </c>
    </row>
    <row r="8901" spans="18:18" x14ac:dyDescent="0.2">
      <c r="R8901" s="189" t="str">
        <f t="shared" si="222"/>
        <v/>
      </c>
    </row>
    <row r="8902" spans="18:18" x14ac:dyDescent="0.2">
      <c r="R8902" s="189" t="str">
        <f t="shared" si="222"/>
        <v/>
      </c>
    </row>
    <row r="8903" spans="18:18" x14ac:dyDescent="0.2">
      <c r="R8903" s="189" t="str">
        <f t="shared" si="222"/>
        <v/>
      </c>
    </row>
    <row r="8904" spans="18:18" x14ac:dyDescent="0.2">
      <c r="R8904" s="189" t="str">
        <f t="shared" si="222"/>
        <v/>
      </c>
    </row>
    <row r="8905" spans="18:18" x14ac:dyDescent="0.2">
      <c r="R8905" s="189" t="str">
        <f t="shared" si="222"/>
        <v/>
      </c>
    </row>
    <row r="8906" spans="18:18" x14ac:dyDescent="0.2">
      <c r="R8906" s="189" t="str">
        <f t="shared" si="222"/>
        <v/>
      </c>
    </row>
    <row r="8907" spans="18:18" x14ac:dyDescent="0.2">
      <c r="R8907" s="189" t="str">
        <f t="shared" si="222"/>
        <v/>
      </c>
    </row>
    <row r="8908" spans="18:18" x14ac:dyDescent="0.2">
      <c r="R8908" s="189" t="str">
        <f t="shared" si="222"/>
        <v/>
      </c>
    </row>
    <row r="8909" spans="18:18" x14ac:dyDescent="0.2">
      <c r="R8909" s="189" t="str">
        <f t="shared" si="222"/>
        <v/>
      </c>
    </row>
    <row r="8910" spans="18:18" x14ac:dyDescent="0.2">
      <c r="R8910" s="189" t="str">
        <f t="shared" si="222"/>
        <v/>
      </c>
    </row>
    <row r="8911" spans="18:18" x14ac:dyDescent="0.2">
      <c r="R8911" s="189" t="str">
        <f t="shared" si="222"/>
        <v/>
      </c>
    </row>
    <row r="8912" spans="18:18" x14ac:dyDescent="0.2">
      <c r="R8912" s="189" t="str">
        <f t="shared" si="222"/>
        <v/>
      </c>
    </row>
    <row r="8913" spans="18:18" x14ac:dyDescent="0.2">
      <c r="R8913" s="189" t="str">
        <f t="shared" si="222"/>
        <v/>
      </c>
    </row>
    <row r="8914" spans="18:18" x14ac:dyDescent="0.2">
      <c r="R8914" s="189" t="str">
        <f t="shared" si="222"/>
        <v/>
      </c>
    </row>
    <row r="8915" spans="18:18" x14ac:dyDescent="0.2">
      <c r="R8915" s="189" t="str">
        <f t="shared" si="222"/>
        <v/>
      </c>
    </row>
    <row r="8916" spans="18:18" x14ac:dyDescent="0.2">
      <c r="R8916" s="189" t="str">
        <f t="shared" si="222"/>
        <v/>
      </c>
    </row>
    <row r="8917" spans="18:18" x14ac:dyDescent="0.2">
      <c r="R8917" s="189" t="str">
        <f t="shared" si="222"/>
        <v/>
      </c>
    </row>
    <row r="8918" spans="18:18" x14ac:dyDescent="0.2">
      <c r="R8918" s="189" t="str">
        <f t="shared" ref="R8918:R8981" si="223">IF(OR(P8918="",Q8918=""),"",IFERROR(P8918-Q8918,""))</f>
        <v/>
      </c>
    </row>
    <row r="8919" spans="18:18" x14ac:dyDescent="0.2">
      <c r="R8919" s="189" t="str">
        <f t="shared" si="223"/>
        <v/>
      </c>
    </row>
    <row r="8920" spans="18:18" x14ac:dyDescent="0.2">
      <c r="R8920" s="189" t="str">
        <f t="shared" si="223"/>
        <v/>
      </c>
    </row>
    <row r="8921" spans="18:18" x14ac:dyDescent="0.2">
      <c r="R8921" s="189" t="str">
        <f t="shared" si="223"/>
        <v/>
      </c>
    </row>
    <row r="8922" spans="18:18" x14ac:dyDescent="0.2">
      <c r="R8922" s="189" t="str">
        <f t="shared" si="223"/>
        <v/>
      </c>
    </row>
    <row r="8923" spans="18:18" x14ac:dyDescent="0.2">
      <c r="R8923" s="189" t="str">
        <f t="shared" si="223"/>
        <v/>
      </c>
    </row>
    <row r="8924" spans="18:18" x14ac:dyDescent="0.2">
      <c r="R8924" s="189" t="str">
        <f t="shared" si="223"/>
        <v/>
      </c>
    </row>
    <row r="8925" spans="18:18" x14ac:dyDescent="0.2">
      <c r="R8925" s="189" t="str">
        <f t="shared" si="223"/>
        <v/>
      </c>
    </row>
    <row r="8926" spans="18:18" x14ac:dyDescent="0.2">
      <c r="R8926" s="189" t="str">
        <f t="shared" si="223"/>
        <v/>
      </c>
    </row>
    <row r="8927" spans="18:18" x14ac:dyDescent="0.2">
      <c r="R8927" s="189" t="str">
        <f t="shared" si="223"/>
        <v/>
      </c>
    </row>
    <row r="8928" spans="18:18" x14ac:dyDescent="0.2">
      <c r="R8928" s="189" t="str">
        <f t="shared" si="223"/>
        <v/>
      </c>
    </row>
    <row r="8929" spans="18:18" x14ac:dyDescent="0.2">
      <c r="R8929" s="189" t="str">
        <f t="shared" si="223"/>
        <v/>
      </c>
    </row>
    <row r="8930" spans="18:18" x14ac:dyDescent="0.2">
      <c r="R8930" s="189" t="str">
        <f t="shared" si="223"/>
        <v/>
      </c>
    </row>
    <row r="8931" spans="18:18" x14ac:dyDescent="0.2">
      <c r="R8931" s="189" t="str">
        <f t="shared" si="223"/>
        <v/>
      </c>
    </row>
    <row r="8932" spans="18:18" x14ac:dyDescent="0.2">
      <c r="R8932" s="189" t="str">
        <f t="shared" si="223"/>
        <v/>
      </c>
    </row>
    <row r="8933" spans="18:18" x14ac:dyDescent="0.2">
      <c r="R8933" s="189" t="str">
        <f t="shared" si="223"/>
        <v/>
      </c>
    </row>
    <row r="8934" spans="18:18" x14ac:dyDescent="0.2">
      <c r="R8934" s="189" t="str">
        <f t="shared" si="223"/>
        <v/>
      </c>
    </row>
    <row r="8935" spans="18:18" x14ac:dyDescent="0.2">
      <c r="R8935" s="189" t="str">
        <f t="shared" si="223"/>
        <v/>
      </c>
    </row>
    <row r="8936" spans="18:18" x14ac:dyDescent="0.2">
      <c r="R8936" s="189" t="str">
        <f t="shared" si="223"/>
        <v/>
      </c>
    </row>
    <row r="8937" spans="18:18" x14ac:dyDescent="0.2">
      <c r="R8937" s="189" t="str">
        <f t="shared" si="223"/>
        <v/>
      </c>
    </row>
    <row r="8938" spans="18:18" x14ac:dyDescent="0.2">
      <c r="R8938" s="189" t="str">
        <f t="shared" si="223"/>
        <v/>
      </c>
    </row>
    <row r="8939" spans="18:18" x14ac:dyDescent="0.2">
      <c r="R8939" s="189" t="str">
        <f t="shared" si="223"/>
        <v/>
      </c>
    </row>
    <row r="8940" spans="18:18" x14ac:dyDescent="0.2">
      <c r="R8940" s="189" t="str">
        <f t="shared" si="223"/>
        <v/>
      </c>
    </row>
    <row r="8941" spans="18:18" x14ac:dyDescent="0.2">
      <c r="R8941" s="189" t="str">
        <f t="shared" si="223"/>
        <v/>
      </c>
    </row>
    <row r="8942" spans="18:18" x14ac:dyDescent="0.2">
      <c r="R8942" s="189" t="str">
        <f t="shared" si="223"/>
        <v/>
      </c>
    </row>
    <row r="8943" spans="18:18" x14ac:dyDescent="0.2">
      <c r="R8943" s="189" t="str">
        <f t="shared" si="223"/>
        <v/>
      </c>
    </row>
    <row r="8944" spans="18:18" x14ac:dyDescent="0.2">
      <c r="R8944" s="189" t="str">
        <f t="shared" si="223"/>
        <v/>
      </c>
    </row>
    <row r="8945" spans="18:18" x14ac:dyDescent="0.2">
      <c r="R8945" s="189" t="str">
        <f t="shared" si="223"/>
        <v/>
      </c>
    </row>
    <row r="8946" spans="18:18" x14ac:dyDescent="0.2">
      <c r="R8946" s="189" t="str">
        <f t="shared" si="223"/>
        <v/>
      </c>
    </row>
    <row r="8947" spans="18:18" x14ac:dyDescent="0.2">
      <c r="R8947" s="189" t="str">
        <f t="shared" si="223"/>
        <v/>
      </c>
    </row>
    <row r="8948" spans="18:18" x14ac:dyDescent="0.2">
      <c r="R8948" s="189" t="str">
        <f t="shared" si="223"/>
        <v/>
      </c>
    </row>
    <row r="8949" spans="18:18" x14ac:dyDescent="0.2">
      <c r="R8949" s="189" t="str">
        <f t="shared" si="223"/>
        <v/>
      </c>
    </row>
    <row r="8950" spans="18:18" x14ac:dyDescent="0.2">
      <c r="R8950" s="189" t="str">
        <f t="shared" si="223"/>
        <v/>
      </c>
    </row>
    <row r="8951" spans="18:18" x14ac:dyDescent="0.2">
      <c r="R8951" s="189" t="str">
        <f t="shared" si="223"/>
        <v/>
      </c>
    </row>
    <row r="8952" spans="18:18" x14ac:dyDescent="0.2">
      <c r="R8952" s="189" t="str">
        <f t="shared" si="223"/>
        <v/>
      </c>
    </row>
    <row r="8953" spans="18:18" x14ac:dyDescent="0.2">
      <c r="R8953" s="189" t="str">
        <f t="shared" si="223"/>
        <v/>
      </c>
    </row>
    <row r="8954" spans="18:18" x14ac:dyDescent="0.2">
      <c r="R8954" s="189" t="str">
        <f t="shared" si="223"/>
        <v/>
      </c>
    </row>
    <row r="8955" spans="18:18" x14ac:dyDescent="0.2">
      <c r="R8955" s="189" t="str">
        <f t="shared" si="223"/>
        <v/>
      </c>
    </row>
    <row r="8956" spans="18:18" x14ac:dyDescent="0.2">
      <c r="R8956" s="189" t="str">
        <f t="shared" si="223"/>
        <v/>
      </c>
    </row>
    <row r="8957" spans="18:18" x14ac:dyDescent="0.2">
      <c r="R8957" s="189" t="str">
        <f t="shared" si="223"/>
        <v/>
      </c>
    </row>
    <row r="8958" spans="18:18" x14ac:dyDescent="0.2">
      <c r="R8958" s="189" t="str">
        <f t="shared" si="223"/>
        <v/>
      </c>
    </row>
    <row r="8959" spans="18:18" x14ac:dyDescent="0.2">
      <c r="R8959" s="189" t="str">
        <f t="shared" si="223"/>
        <v/>
      </c>
    </row>
    <row r="8960" spans="18:18" x14ac:dyDescent="0.2">
      <c r="R8960" s="189" t="str">
        <f t="shared" si="223"/>
        <v/>
      </c>
    </row>
    <row r="8961" spans="18:18" x14ac:dyDescent="0.2">
      <c r="R8961" s="189" t="str">
        <f t="shared" si="223"/>
        <v/>
      </c>
    </row>
    <row r="8962" spans="18:18" x14ac:dyDescent="0.2">
      <c r="R8962" s="189" t="str">
        <f t="shared" si="223"/>
        <v/>
      </c>
    </row>
    <row r="8963" spans="18:18" x14ac:dyDescent="0.2">
      <c r="R8963" s="189" t="str">
        <f t="shared" si="223"/>
        <v/>
      </c>
    </row>
    <row r="8964" spans="18:18" x14ac:dyDescent="0.2">
      <c r="R8964" s="189" t="str">
        <f t="shared" si="223"/>
        <v/>
      </c>
    </row>
    <row r="8965" spans="18:18" x14ac:dyDescent="0.2">
      <c r="R8965" s="189" t="str">
        <f t="shared" si="223"/>
        <v/>
      </c>
    </row>
    <row r="8966" spans="18:18" x14ac:dyDescent="0.2">
      <c r="R8966" s="189" t="str">
        <f t="shared" si="223"/>
        <v/>
      </c>
    </row>
    <row r="8967" spans="18:18" x14ac:dyDescent="0.2">
      <c r="R8967" s="189" t="str">
        <f t="shared" si="223"/>
        <v/>
      </c>
    </row>
    <row r="8968" spans="18:18" x14ac:dyDescent="0.2">
      <c r="R8968" s="189" t="str">
        <f t="shared" si="223"/>
        <v/>
      </c>
    </row>
    <row r="8969" spans="18:18" x14ac:dyDescent="0.2">
      <c r="R8969" s="189" t="str">
        <f t="shared" si="223"/>
        <v/>
      </c>
    </row>
    <row r="8970" spans="18:18" x14ac:dyDescent="0.2">
      <c r="R8970" s="189" t="str">
        <f t="shared" si="223"/>
        <v/>
      </c>
    </row>
    <row r="8971" spans="18:18" x14ac:dyDescent="0.2">
      <c r="R8971" s="189" t="str">
        <f t="shared" si="223"/>
        <v/>
      </c>
    </row>
    <row r="8972" spans="18:18" x14ac:dyDescent="0.2">
      <c r="R8972" s="189" t="str">
        <f t="shared" si="223"/>
        <v/>
      </c>
    </row>
    <row r="8973" spans="18:18" x14ac:dyDescent="0.2">
      <c r="R8973" s="189" t="str">
        <f t="shared" si="223"/>
        <v/>
      </c>
    </row>
    <row r="8974" spans="18:18" x14ac:dyDescent="0.2">
      <c r="R8974" s="189" t="str">
        <f t="shared" si="223"/>
        <v/>
      </c>
    </row>
    <row r="8975" spans="18:18" x14ac:dyDescent="0.2">
      <c r="R8975" s="189" t="str">
        <f t="shared" si="223"/>
        <v/>
      </c>
    </row>
    <row r="8976" spans="18:18" x14ac:dyDescent="0.2">
      <c r="R8976" s="189" t="str">
        <f t="shared" si="223"/>
        <v/>
      </c>
    </row>
    <row r="8977" spans="18:18" x14ac:dyDescent="0.2">
      <c r="R8977" s="189" t="str">
        <f t="shared" si="223"/>
        <v/>
      </c>
    </row>
    <row r="8978" spans="18:18" x14ac:dyDescent="0.2">
      <c r="R8978" s="189" t="str">
        <f t="shared" si="223"/>
        <v/>
      </c>
    </row>
    <row r="8979" spans="18:18" x14ac:dyDescent="0.2">
      <c r="R8979" s="189" t="str">
        <f t="shared" si="223"/>
        <v/>
      </c>
    </row>
    <row r="8980" spans="18:18" x14ac:dyDescent="0.2">
      <c r="R8980" s="189" t="str">
        <f t="shared" si="223"/>
        <v/>
      </c>
    </row>
    <row r="8981" spans="18:18" x14ac:dyDescent="0.2">
      <c r="R8981" s="189" t="str">
        <f t="shared" si="223"/>
        <v/>
      </c>
    </row>
    <row r="8982" spans="18:18" x14ac:dyDescent="0.2">
      <c r="R8982" s="189" t="str">
        <f t="shared" ref="R8982:R9045" si="224">IF(OR(P8982="",Q8982=""),"",IFERROR(P8982-Q8982,""))</f>
        <v/>
      </c>
    </row>
    <row r="8983" spans="18:18" x14ac:dyDescent="0.2">
      <c r="R8983" s="189" t="str">
        <f t="shared" si="224"/>
        <v/>
      </c>
    </row>
    <row r="8984" spans="18:18" x14ac:dyDescent="0.2">
      <c r="R8984" s="189" t="str">
        <f t="shared" si="224"/>
        <v/>
      </c>
    </row>
    <row r="8985" spans="18:18" x14ac:dyDescent="0.2">
      <c r="R8985" s="189" t="str">
        <f t="shared" si="224"/>
        <v/>
      </c>
    </row>
    <row r="8986" spans="18:18" x14ac:dyDescent="0.2">
      <c r="R8986" s="189" t="str">
        <f t="shared" si="224"/>
        <v/>
      </c>
    </row>
    <row r="8987" spans="18:18" x14ac:dyDescent="0.2">
      <c r="R8987" s="189" t="str">
        <f t="shared" si="224"/>
        <v/>
      </c>
    </row>
    <row r="8988" spans="18:18" x14ac:dyDescent="0.2">
      <c r="R8988" s="189" t="str">
        <f t="shared" si="224"/>
        <v/>
      </c>
    </row>
    <row r="8989" spans="18:18" x14ac:dyDescent="0.2">
      <c r="R8989" s="189" t="str">
        <f t="shared" si="224"/>
        <v/>
      </c>
    </row>
    <row r="8990" spans="18:18" x14ac:dyDescent="0.2">
      <c r="R8990" s="189" t="str">
        <f t="shared" si="224"/>
        <v/>
      </c>
    </row>
    <row r="8991" spans="18:18" x14ac:dyDescent="0.2">
      <c r="R8991" s="189" t="str">
        <f t="shared" si="224"/>
        <v/>
      </c>
    </row>
    <row r="8992" spans="18:18" x14ac:dyDescent="0.2">
      <c r="R8992" s="189" t="str">
        <f t="shared" si="224"/>
        <v/>
      </c>
    </row>
    <row r="8993" spans="18:18" x14ac:dyDescent="0.2">
      <c r="R8993" s="189" t="str">
        <f t="shared" si="224"/>
        <v/>
      </c>
    </row>
    <row r="8994" spans="18:18" x14ac:dyDescent="0.2">
      <c r="R8994" s="189" t="str">
        <f t="shared" si="224"/>
        <v/>
      </c>
    </row>
    <row r="8995" spans="18:18" x14ac:dyDescent="0.2">
      <c r="R8995" s="189" t="str">
        <f t="shared" si="224"/>
        <v/>
      </c>
    </row>
    <row r="8996" spans="18:18" x14ac:dyDescent="0.2">
      <c r="R8996" s="189" t="str">
        <f t="shared" si="224"/>
        <v/>
      </c>
    </row>
    <row r="8997" spans="18:18" x14ac:dyDescent="0.2">
      <c r="R8997" s="189" t="str">
        <f t="shared" si="224"/>
        <v/>
      </c>
    </row>
    <row r="8998" spans="18:18" x14ac:dyDescent="0.2">
      <c r="R8998" s="189" t="str">
        <f t="shared" si="224"/>
        <v/>
      </c>
    </row>
    <row r="8999" spans="18:18" x14ac:dyDescent="0.2">
      <c r="R8999" s="189" t="str">
        <f t="shared" si="224"/>
        <v/>
      </c>
    </row>
    <row r="9000" spans="18:18" x14ac:dyDescent="0.2">
      <c r="R9000" s="189" t="str">
        <f t="shared" si="224"/>
        <v/>
      </c>
    </row>
    <row r="9001" spans="18:18" x14ac:dyDescent="0.2">
      <c r="R9001" s="189" t="str">
        <f t="shared" si="224"/>
        <v/>
      </c>
    </row>
    <row r="9002" spans="18:18" x14ac:dyDescent="0.2">
      <c r="R9002" s="189" t="str">
        <f t="shared" si="224"/>
        <v/>
      </c>
    </row>
    <row r="9003" spans="18:18" x14ac:dyDescent="0.2">
      <c r="R9003" s="189" t="str">
        <f t="shared" si="224"/>
        <v/>
      </c>
    </row>
    <row r="9004" spans="18:18" x14ac:dyDescent="0.2">
      <c r="R9004" s="189" t="str">
        <f t="shared" si="224"/>
        <v/>
      </c>
    </row>
    <row r="9005" spans="18:18" x14ac:dyDescent="0.2">
      <c r="R9005" s="189" t="str">
        <f t="shared" si="224"/>
        <v/>
      </c>
    </row>
    <row r="9006" spans="18:18" x14ac:dyDescent="0.2">
      <c r="R9006" s="189" t="str">
        <f t="shared" si="224"/>
        <v/>
      </c>
    </row>
    <row r="9007" spans="18:18" x14ac:dyDescent="0.2">
      <c r="R9007" s="189" t="str">
        <f t="shared" si="224"/>
        <v/>
      </c>
    </row>
    <row r="9008" spans="18:18" x14ac:dyDescent="0.2">
      <c r="R9008" s="189" t="str">
        <f t="shared" si="224"/>
        <v/>
      </c>
    </row>
    <row r="9009" spans="18:18" x14ac:dyDescent="0.2">
      <c r="R9009" s="189" t="str">
        <f t="shared" si="224"/>
        <v/>
      </c>
    </row>
    <row r="9010" spans="18:18" x14ac:dyDescent="0.2">
      <c r="R9010" s="189" t="str">
        <f t="shared" si="224"/>
        <v/>
      </c>
    </row>
    <row r="9011" spans="18:18" x14ac:dyDescent="0.2">
      <c r="R9011" s="189" t="str">
        <f t="shared" si="224"/>
        <v/>
      </c>
    </row>
    <row r="9012" spans="18:18" x14ac:dyDescent="0.2">
      <c r="R9012" s="189" t="str">
        <f t="shared" si="224"/>
        <v/>
      </c>
    </row>
    <row r="9013" spans="18:18" x14ac:dyDescent="0.2">
      <c r="R9013" s="189" t="str">
        <f t="shared" si="224"/>
        <v/>
      </c>
    </row>
    <row r="9014" spans="18:18" x14ac:dyDescent="0.2">
      <c r="R9014" s="189" t="str">
        <f t="shared" si="224"/>
        <v/>
      </c>
    </row>
    <row r="9015" spans="18:18" x14ac:dyDescent="0.2">
      <c r="R9015" s="189" t="str">
        <f t="shared" si="224"/>
        <v/>
      </c>
    </row>
    <row r="9016" spans="18:18" x14ac:dyDescent="0.2">
      <c r="R9016" s="189" t="str">
        <f t="shared" si="224"/>
        <v/>
      </c>
    </row>
    <row r="9017" spans="18:18" x14ac:dyDescent="0.2">
      <c r="R9017" s="189" t="str">
        <f t="shared" si="224"/>
        <v/>
      </c>
    </row>
    <row r="9018" spans="18:18" x14ac:dyDescent="0.2">
      <c r="R9018" s="189" t="str">
        <f t="shared" si="224"/>
        <v/>
      </c>
    </row>
    <row r="9019" spans="18:18" x14ac:dyDescent="0.2">
      <c r="R9019" s="189" t="str">
        <f t="shared" si="224"/>
        <v/>
      </c>
    </row>
    <row r="9020" spans="18:18" x14ac:dyDescent="0.2">
      <c r="R9020" s="189" t="str">
        <f t="shared" si="224"/>
        <v/>
      </c>
    </row>
    <row r="9021" spans="18:18" x14ac:dyDescent="0.2">
      <c r="R9021" s="189" t="str">
        <f t="shared" si="224"/>
        <v/>
      </c>
    </row>
    <row r="9022" spans="18:18" x14ac:dyDescent="0.2">
      <c r="R9022" s="189" t="str">
        <f t="shared" si="224"/>
        <v/>
      </c>
    </row>
    <row r="9023" spans="18:18" x14ac:dyDescent="0.2">
      <c r="R9023" s="189" t="str">
        <f t="shared" si="224"/>
        <v/>
      </c>
    </row>
    <row r="9024" spans="18:18" x14ac:dyDescent="0.2">
      <c r="R9024" s="189" t="str">
        <f t="shared" si="224"/>
        <v/>
      </c>
    </row>
    <row r="9025" spans="18:18" x14ac:dyDescent="0.2">
      <c r="R9025" s="189" t="str">
        <f t="shared" si="224"/>
        <v/>
      </c>
    </row>
    <row r="9026" spans="18:18" x14ac:dyDescent="0.2">
      <c r="R9026" s="189" t="str">
        <f t="shared" si="224"/>
        <v/>
      </c>
    </row>
    <row r="9027" spans="18:18" x14ac:dyDescent="0.2">
      <c r="R9027" s="189" t="str">
        <f t="shared" si="224"/>
        <v/>
      </c>
    </row>
    <row r="9028" spans="18:18" x14ac:dyDescent="0.2">
      <c r="R9028" s="189" t="str">
        <f t="shared" si="224"/>
        <v/>
      </c>
    </row>
    <row r="9029" spans="18:18" x14ac:dyDescent="0.2">
      <c r="R9029" s="189" t="str">
        <f t="shared" si="224"/>
        <v/>
      </c>
    </row>
    <row r="9030" spans="18:18" x14ac:dyDescent="0.2">
      <c r="R9030" s="189" t="str">
        <f t="shared" si="224"/>
        <v/>
      </c>
    </row>
    <row r="9031" spans="18:18" x14ac:dyDescent="0.2">
      <c r="R9031" s="189" t="str">
        <f t="shared" si="224"/>
        <v/>
      </c>
    </row>
    <row r="9032" spans="18:18" x14ac:dyDescent="0.2">
      <c r="R9032" s="189" t="str">
        <f t="shared" si="224"/>
        <v/>
      </c>
    </row>
    <row r="9033" spans="18:18" x14ac:dyDescent="0.2">
      <c r="R9033" s="189" t="str">
        <f t="shared" si="224"/>
        <v/>
      </c>
    </row>
    <row r="9034" spans="18:18" x14ac:dyDescent="0.2">
      <c r="R9034" s="189" t="str">
        <f t="shared" si="224"/>
        <v/>
      </c>
    </row>
    <row r="9035" spans="18:18" x14ac:dyDescent="0.2">
      <c r="R9035" s="189" t="str">
        <f t="shared" si="224"/>
        <v/>
      </c>
    </row>
    <row r="9036" spans="18:18" x14ac:dyDescent="0.2">
      <c r="R9036" s="189" t="str">
        <f t="shared" si="224"/>
        <v/>
      </c>
    </row>
    <row r="9037" spans="18:18" x14ac:dyDescent="0.2">
      <c r="R9037" s="189" t="str">
        <f t="shared" si="224"/>
        <v/>
      </c>
    </row>
    <row r="9038" spans="18:18" x14ac:dyDescent="0.2">
      <c r="R9038" s="189" t="str">
        <f t="shared" si="224"/>
        <v/>
      </c>
    </row>
    <row r="9039" spans="18:18" x14ac:dyDescent="0.2">
      <c r="R9039" s="189" t="str">
        <f t="shared" si="224"/>
        <v/>
      </c>
    </row>
    <row r="9040" spans="18:18" x14ac:dyDescent="0.2">
      <c r="R9040" s="189" t="str">
        <f t="shared" si="224"/>
        <v/>
      </c>
    </row>
    <row r="9041" spans="18:18" x14ac:dyDescent="0.2">
      <c r="R9041" s="189" t="str">
        <f t="shared" si="224"/>
        <v/>
      </c>
    </row>
    <row r="9042" spans="18:18" x14ac:dyDescent="0.2">
      <c r="R9042" s="189" t="str">
        <f t="shared" si="224"/>
        <v/>
      </c>
    </row>
    <row r="9043" spans="18:18" x14ac:dyDescent="0.2">
      <c r="R9043" s="189" t="str">
        <f t="shared" si="224"/>
        <v/>
      </c>
    </row>
    <row r="9044" spans="18:18" x14ac:dyDescent="0.2">
      <c r="R9044" s="189" t="str">
        <f t="shared" si="224"/>
        <v/>
      </c>
    </row>
    <row r="9045" spans="18:18" x14ac:dyDescent="0.2">
      <c r="R9045" s="189" t="str">
        <f t="shared" si="224"/>
        <v/>
      </c>
    </row>
    <row r="9046" spans="18:18" x14ac:dyDescent="0.2">
      <c r="R9046" s="189" t="str">
        <f t="shared" ref="R9046:R9109" si="225">IF(OR(P9046="",Q9046=""),"",IFERROR(P9046-Q9046,""))</f>
        <v/>
      </c>
    </row>
    <row r="9047" spans="18:18" x14ac:dyDescent="0.2">
      <c r="R9047" s="189" t="str">
        <f t="shared" si="225"/>
        <v/>
      </c>
    </row>
    <row r="9048" spans="18:18" x14ac:dyDescent="0.2">
      <c r="R9048" s="189" t="str">
        <f t="shared" si="225"/>
        <v/>
      </c>
    </row>
    <row r="9049" spans="18:18" x14ac:dyDescent="0.2">
      <c r="R9049" s="189" t="str">
        <f t="shared" si="225"/>
        <v/>
      </c>
    </row>
    <row r="9050" spans="18:18" x14ac:dyDescent="0.2">
      <c r="R9050" s="189" t="str">
        <f t="shared" si="225"/>
        <v/>
      </c>
    </row>
    <row r="9051" spans="18:18" x14ac:dyDescent="0.2">
      <c r="R9051" s="189" t="str">
        <f t="shared" si="225"/>
        <v/>
      </c>
    </row>
    <row r="9052" spans="18:18" x14ac:dyDescent="0.2">
      <c r="R9052" s="189" t="str">
        <f t="shared" si="225"/>
        <v/>
      </c>
    </row>
    <row r="9053" spans="18:18" x14ac:dyDescent="0.2">
      <c r="R9053" s="189" t="str">
        <f t="shared" si="225"/>
        <v/>
      </c>
    </row>
    <row r="9054" spans="18:18" x14ac:dyDescent="0.2">
      <c r="R9054" s="189" t="str">
        <f t="shared" si="225"/>
        <v/>
      </c>
    </row>
    <row r="9055" spans="18:18" x14ac:dyDescent="0.2">
      <c r="R9055" s="189" t="str">
        <f t="shared" si="225"/>
        <v/>
      </c>
    </row>
    <row r="9056" spans="18:18" x14ac:dyDescent="0.2">
      <c r="R9056" s="189" t="str">
        <f t="shared" si="225"/>
        <v/>
      </c>
    </row>
    <row r="9057" spans="18:18" x14ac:dyDescent="0.2">
      <c r="R9057" s="189" t="str">
        <f t="shared" si="225"/>
        <v/>
      </c>
    </row>
    <row r="9058" spans="18:18" x14ac:dyDescent="0.2">
      <c r="R9058" s="189" t="str">
        <f t="shared" si="225"/>
        <v/>
      </c>
    </row>
    <row r="9059" spans="18:18" x14ac:dyDescent="0.2">
      <c r="R9059" s="189" t="str">
        <f t="shared" si="225"/>
        <v/>
      </c>
    </row>
    <row r="9060" spans="18:18" x14ac:dyDescent="0.2">
      <c r="R9060" s="189" t="str">
        <f t="shared" si="225"/>
        <v/>
      </c>
    </row>
    <row r="9061" spans="18:18" x14ac:dyDescent="0.2">
      <c r="R9061" s="189" t="str">
        <f t="shared" si="225"/>
        <v/>
      </c>
    </row>
    <row r="9062" spans="18:18" x14ac:dyDescent="0.2">
      <c r="R9062" s="189" t="str">
        <f t="shared" si="225"/>
        <v/>
      </c>
    </row>
    <row r="9063" spans="18:18" x14ac:dyDescent="0.2">
      <c r="R9063" s="189" t="str">
        <f t="shared" si="225"/>
        <v/>
      </c>
    </row>
    <row r="9064" spans="18:18" x14ac:dyDescent="0.2">
      <c r="R9064" s="189" t="str">
        <f t="shared" si="225"/>
        <v/>
      </c>
    </row>
    <row r="9065" spans="18:18" x14ac:dyDescent="0.2">
      <c r="R9065" s="189" t="str">
        <f t="shared" si="225"/>
        <v/>
      </c>
    </row>
    <row r="9066" spans="18:18" x14ac:dyDescent="0.2">
      <c r="R9066" s="189" t="str">
        <f t="shared" si="225"/>
        <v/>
      </c>
    </row>
    <row r="9067" spans="18:18" x14ac:dyDescent="0.2">
      <c r="R9067" s="189" t="str">
        <f t="shared" si="225"/>
        <v/>
      </c>
    </row>
    <row r="9068" spans="18:18" x14ac:dyDescent="0.2">
      <c r="R9068" s="189" t="str">
        <f t="shared" si="225"/>
        <v/>
      </c>
    </row>
    <row r="9069" spans="18:18" x14ac:dyDescent="0.2">
      <c r="R9069" s="189" t="str">
        <f t="shared" si="225"/>
        <v/>
      </c>
    </row>
    <row r="9070" spans="18:18" x14ac:dyDescent="0.2">
      <c r="R9070" s="189" t="str">
        <f t="shared" si="225"/>
        <v/>
      </c>
    </row>
    <row r="9071" spans="18:18" x14ac:dyDescent="0.2">
      <c r="R9071" s="189" t="str">
        <f t="shared" si="225"/>
        <v/>
      </c>
    </row>
    <row r="9072" spans="18:18" x14ac:dyDescent="0.2">
      <c r="R9072" s="189" t="str">
        <f t="shared" si="225"/>
        <v/>
      </c>
    </row>
    <row r="9073" spans="18:18" x14ac:dyDescent="0.2">
      <c r="R9073" s="189" t="str">
        <f t="shared" si="225"/>
        <v/>
      </c>
    </row>
    <row r="9074" spans="18:18" x14ac:dyDescent="0.2">
      <c r="R9074" s="189" t="str">
        <f t="shared" si="225"/>
        <v/>
      </c>
    </row>
    <row r="9075" spans="18:18" x14ac:dyDescent="0.2">
      <c r="R9075" s="189" t="str">
        <f t="shared" si="225"/>
        <v/>
      </c>
    </row>
    <row r="9076" spans="18:18" x14ac:dyDescent="0.2">
      <c r="R9076" s="189" t="str">
        <f t="shared" si="225"/>
        <v/>
      </c>
    </row>
    <row r="9077" spans="18:18" x14ac:dyDescent="0.2">
      <c r="R9077" s="189" t="str">
        <f t="shared" si="225"/>
        <v/>
      </c>
    </row>
    <row r="9078" spans="18:18" x14ac:dyDescent="0.2">
      <c r="R9078" s="189" t="str">
        <f t="shared" si="225"/>
        <v/>
      </c>
    </row>
    <row r="9079" spans="18:18" x14ac:dyDescent="0.2">
      <c r="R9079" s="189" t="str">
        <f t="shared" si="225"/>
        <v/>
      </c>
    </row>
    <row r="9080" spans="18:18" x14ac:dyDescent="0.2">
      <c r="R9080" s="189" t="str">
        <f t="shared" si="225"/>
        <v/>
      </c>
    </row>
    <row r="9081" spans="18:18" x14ac:dyDescent="0.2">
      <c r="R9081" s="189" t="str">
        <f t="shared" si="225"/>
        <v/>
      </c>
    </row>
    <row r="9082" spans="18:18" x14ac:dyDescent="0.2">
      <c r="R9082" s="189" t="str">
        <f t="shared" si="225"/>
        <v/>
      </c>
    </row>
    <row r="9083" spans="18:18" x14ac:dyDescent="0.2">
      <c r="R9083" s="189" t="str">
        <f t="shared" si="225"/>
        <v/>
      </c>
    </row>
    <row r="9084" spans="18:18" x14ac:dyDescent="0.2">
      <c r="R9084" s="189" t="str">
        <f t="shared" si="225"/>
        <v/>
      </c>
    </row>
    <row r="9085" spans="18:18" x14ac:dyDescent="0.2">
      <c r="R9085" s="189" t="str">
        <f t="shared" si="225"/>
        <v/>
      </c>
    </row>
    <row r="9086" spans="18:18" x14ac:dyDescent="0.2">
      <c r="R9086" s="189" t="str">
        <f t="shared" si="225"/>
        <v/>
      </c>
    </row>
    <row r="9087" spans="18:18" x14ac:dyDescent="0.2">
      <c r="R9087" s="189" t="str">
        <f t="shared" si="225"/>
        <v/>
      </c>
    </row>
    <row r="9088" spans="18:18" x14ac:dyDescent="0.2">
      <c r="R9088" s="189" t="str">
        <f t="shared" si="225"/>
        <v/>
      </c>
    </row>
    <row r="9089" spans="18:18" x14ac:dyDescent="0.2">
      <c r="R9089" s="189" t="str">
        <f t="shared" si="225"/>
        <v/>
      </c>
    </row>
    <row r="9090" spans="18:18" x14ac:dyDescent="0.2">
      <c r="R9090" s="189" t="str">
        <f t="shared" si="225"/>
        <v/>
      </c>
    </row>
    <row r="9091" spans="18:18" x14ac:dyDescent="0.2">
      <c r="R9091" s="189" t="str">
        <f t="shared" si="225"/>
        <v/>
      </c>
    </row>
    <row r="9092" spans="18:18" x14ac:dyDescent="0.2">
      <c r="R9092" s="189" t="str">
        <f t="shared" si="225"/>
        <v/>
      </c>
    </row>
    <row r="9093" spans="18:18" x14ac:dyDescent="0.2">
      <c r="R9093" s="189" t="str">
        <f t="shared" si="225"/>
        <v/>
      </c>
    </row>
    <row r="9094" spans="18:18" x14ac:dyDescent="0.2">
      <c r="R9094" s="189" t="str">
        <f t="shared" si="225"/>
        <v/>
      </c>
    </row>
    <row r="9095" spans="18:18" x14ac:dyDescent="0.2">
      <c r="R9095" s="189" t="str">
        <f t="shared" si="225"/>
        <v/>
      </c>
    </row>
    <row r="9096" spans="18:18" x14ac:dyDescent="0.2">
      <c r="R9096" s="189" t="str">
        <f t="shared" si="225"/>
        <v/>
      </c>
    </row>
    <row r="9097" spans="18:18" x14ac:dyDescent="0.2">
      <c r="R9097" s="189" t="str">
        <f t="shared" si="225"/>
        <v/>
      </c>
    </row>
    <row r="9098" spans="18:18" x14ac:dyDescent="0.2">
      <c r="R9098" s="189" t="str">
        <f t="shared" si="225"/>
        <v/>
      </c>
    </row>
    <row r="9099" spans="18:18" x14ac:dyDescent="0.2">
      <c r="R9099" s="189" t="str">
        <f t="shared" si="225"/>
        <v/>
      </c>
    </row>
    <row r="9100" spans="18:18" x14ac:dyDescent="0.2">
      <c r="R9100" s="189" t="str">
        <f t="shared" si="225"/>
        <v/>
      </c>
    </row>
    <row r="9101" spans="18:18" x14ac:dyDescent="0.2">
      <c r="R9101" s="189" t="str">
        <f t="shared" si="225"/>
        <v/>
      </c>
    </row>
    <row r="9102" spans="18:18" x14ac:dyDescent="0.2">
      <c r="R9102" s="189" t="str">
        <f t="shared" si="225"/>
        <v/>
      </c>
    </row>
    <row r="9103" spans="18:18" x14ac:dyDescent="0.2">
      <c r="R9103" s="189" t="str">
        <f t="shared" si="225"/>
        <v/>
      </c>
    </row>
    <row r="9104" spans="18:18" x14ac:dyDescent="0.2">
      <c r="R9104" s="189" t="str">
        <f t="shared" si="225"/>
        <v/>
      </c>
    </row>
    <row r="9105" spans="18:18" x14ac:dyDescent="0.2">
      <c r="R9105" s="189" t="str">
        <f t="shared" si="225"/>
        <v/>
      </c>
    </row>
    <row r="9106" spans="18:18" x14ac:dyDescent="0.2">
      <c r="R9106" s="189" t="str">
        <f t="shared" si="225"/>
        <v/>
      </c>
    </row>
    <row r="9107" spans="18:18" x14ac:dyDescent="0.2">
      <c r="R9107" s="189" t="str">
        <f t="shared" si="225"/>
        <v/>
      </c>
    </row>
    <row r="9108" spans="18:18" x14ac:dyDescent="0.2">
      <c r="R9108" s="189" t="str">
        <f t="shared" si="225"/>
        <v/>
      </c>
    </row>
    <row r="9109" spans="18:18" x14ac:dyDescent="0.2">
      <c r="R9109" s="189" t="str">
        <f t="shared" si="225"/>
        <v/>
      </c>
    </row>
    <row r="9110" spans="18:18" x14ac:dyDescent="0.2">
      <c r="R9110" s="189" t="str">
        <f t="shared" ref="R9110:R9173" si="226">IF(OR(P9110="",Q9110=""),"",IFERROR(P9110-Q9110,""))</f>
        <v/>
      </c>
    </row>
    <row r="9111" spans="18:18" x14ac:dyDescent="0.2">
      <c r="R9111" s="189" t="str">
        <f t="shared" si="226"/>
        <v/>
      </c>
    </row>
    <row r="9112" spans="18:18" x14ac:dyDescent="0.2">
      <c r="R9112" s="189" t="str">
        <f t="shared" si="226"/>
        <v/>
      </c>
    </row>
    <row r="9113" spans="18:18" x14ac:dyDescent="0.2">
      <c r="R9113" s="189" t="str">
        <f t="shared" si="226"/>
        <v/>
      </c>
    </row>
    <row r="9114" spans="18:18" x14ac:dyDescent="0.2">
      <c r="R9114" s="189" t="str">
        <f t="shared" si="226"/>
        <v/>
      </c>
    </row>
    <row r="9115" spans="18:18" x14ac:dyDescent="0.2">
      <c r="R9115" s="189" t="str">
        <f t="shared" si="226"/>
        <v/>
      </c>
    </row>
    <row r="9116" spans="18:18" x14ac:dyDescent="0.2">
      <c r="R9116" s="189" t="str">
        <f t="shared" si="226"/>
        <v/>
      </c>
    </row>
    <row r="9117" spans="18:18" x14ac:dyDescent="0.2">
      <c r="R9117" s="189" t="str">
        <f t="shared" si="226"/>
        <v/>
      </c>
    </row>
    <row r="9118" spans="18:18" x14ac:dyDescent="0.2">
      <c r="R9118" s="189" t="str">
        <f t="shared" si="226"/>
        <v/>
      </c>
    </row>
    <row r="9119" spans="18:18" x14ac:dyDescent="0.2">
      <c r="R9119" s="189" t="str">
        <f t="shared" si="226"/>
        <v/>
      </c>
    </row>
    <row r="9120" spans="18:18" x14ac:dyDescent="0.2">
      <c r="R9120" s="189" t="str">
        <f t="shared" si="226"/>
        <v/>
      </c>
    </row>
    <row r="9121" spans="18:18" x14ac:dyDescent="0.2">
      <c r="R9121" s="189" t="str">
        <f t="shared" si="226"/>
        <v/>
      </c>
    </row>
    <row r="9122" spans="18:18" x14ac:dyDescent="0.2">
      <c r="R9122" s="189" t="str">
        <f t="shared" si="226"/>
        <v/>
      </c>
    </row>
    <row r="9123" spans="18:18" x14ac:dyDescent="0.2">
      <c r="R9123" s="189" t="str">
        <f t="shared" si="226"/>
        <v/>
      </c>
    </row>
    <row r="9124" spans="18:18" x14ac:dyDescent="0.2">
      <c r="R9124" s="189" t="str">
        <f t="shared" si="226"/>
        <v/>
      </c>
    </row>
    <row r="9125" spans="18:18" x14ac:dyDescent="0.2">
      <c r="R9125" s="189" t="str">
        <f t="shared" si="226"/>
        <v/>
      </c>
    </row>
    <row r="9126" spans="18:18" x14ac:dyDescent="0.2">
      <c r="R9126" s="189" t="str">
        <f t="shared" si="226"/>
        <v/>
      </c>
    </row>
    <row r="9127" spans="18:18" x14ac:dyDescent="0.2">
      <c r="R9127" s="189" t="str">
        <f t="shared" si="226"/>
        <v/>
      </c>
    </row>
    <row r="9128" spans="18:18" x14ac:dyDescent="0.2">
      <c r="R9128" s="189" t="str">
        <f t="shared" si="226"/>
        <v/>
      </c>
    </row>
    <row r="9129" spans="18:18" x14ac:dyDescent="0.2">
      <c r="R9129" s="189" t="str">
        <f t="shared" si="226"/>
        <v/>
      </c>
    </row>
    <row r="9130" spans="18:18" x14ac:dyDescent="0.2">
      <c r="R9130" s="189" t="str">
        <f t="shared" si="226"/>
        <v/>
      </c>
    </row>
    <row r="9131" spans="18:18" x14ac:dyDescent="0.2">
      <c r="R9131" s="189" t="str">
        <f t="shared" si="226"/>
        <v/>
      </c>
    </row>
    <row r="9132" spans="18:18" x14ac:dyDescent="0.2">
      <c r="R9132" s="189" t="str">
        <f t="shared" si="226"/>
        <v/>
      </c>
    </row>
    <row r="9133" spans="18:18" x14ac:dyDescent="0.2">
      <c r="R9133" s="189" t="str">
        <f t="shared" si="226"/>
        <v/>
      </c>
    </row>
    <row r="9134" spans="18:18" x14ac:dyDescent="0.2">
      <c r="R9134" s="189" t="str">
        <f t="shared" si="226"/>
        <v/>
      </c>
    </row>
    <row r="9135" spans="18:18" x14ac:dyDescent="0.2">
      <c r="R9135" s="189" t="str">
        <f t="shared" si="226"/>
        <v/>
      </c>
    </row>
    <row r="9136" spans="18:18" x14ac:dyDescent="0.2">
      <c r="R9136" s="189" t="str">
        <f t="shared" si="226"/>
        <v/>
      </c>
    </row>
    <row r="9137" spans="18:18" x14ac:dyDescent="0.2">
      <c r="R9137" s="189" t="str">
        <f t="shared" si="226"/>
        <v/>
      </c>
    </row>
    <row r="9138" spans="18:18" x14ac:dyDescent="0.2">
      <c r="R9138" s="189" t="str">
        <f t="shared" si="226"/>
        <v/>
      </c>
    </row>
    <row r="9139" spans="18:18" x14ac:dyDescent="0.2">
      <c r="R9139" s="189" t="str">
        <f t="shared" si="226"/>
        <v/>
      </c>
    </row>
    <row r="9140" spans="18:18" x14ac:dyDescent="0.2">
      <c r="R9140" s="189" t="str">
        <f t="shared" si="226"/>
        <v/>
      </c>
    </row>
    <row r="9141" spans="18:18" x14ac:dyDescent="0.2">
      <c r="R9141" s="189" t="str">
        <f t="shared" si="226"/>
        <v/>
      </c>
    </row>
    <row r="9142" spans="18:18" x14ac:dyDescent="0.2">
      <c r="R9142" s="189" t="str">
        <f t="shared" si="226"/>
        <v/>
      </c>
    </row>
    <row r="9143" spans="18:18" x14ac:dyDescent="0.2">
      <c r="R9143" s="189" t="str">
        <f t="shared" si="226"/>
        <v/>
      </c>
    </row>
    <row r="9144" spans="18:18" x14ac:dyDescent="0.2">
      <c r="R9144" s="189" t="str">
        <f t="shared" si="226"/>
        <v/>
      </c>
    </row>
    <row r="9145" spans="18:18" x14ac:dyDescent="0.2">
      <c r="R9145" s="189" t="str">
        <f t="shared" si="226"/>
        <v/>
      </c>
    </row>
    <row r="9146" spans="18:18" x14ac:dyDescent="0.2">
      <c r="R9146" s="189" t="str">
        <f t="shared" si="226"/>
        <v/>
      </c>
    </row>
    <row r="9147" spans="18:18" x14ac:dyDescent="0.2">
      <c r="R9147" s="189" t="str">
        <f t="shared" si="226"/>
        <v/>
      </c>
    </row>
    <row r="9148" spans="18:18" x14ac:dyDescent="0.2">
      <c r="R9148" s="189" t="str">
        <f t="shared" si="226"/>
        <v/>
      </c>
    </row>
    <row r="9149" spans="18:18" x14ac:dyDescent="0.2">
      <c r="R9149" s="189" t="str">
        <f t="shared" si="226"/>
        <v/>
      </c>
    </row>
    <row r="9150" spans="18:18" x14ac:dyDescent="0.2">
      <c r="R9150" s="189" t="str">
        <f t="shared" si="226"/>
        <v/>
      </c>
    </row>
    <row r="9151" spans="18:18" x14ac:dyDescent="0.2">
      <c r="R9151" s="189" t="str">
        <f t="shared" si="226"/>
        <v/>
      </c>
    </row>
    <row r="9152" spans="18:18" x14ac:dyDescent="0.2">
      <c r="R9152" s="189" t="str">
        <f t="shared" si="226"/>
        <v/>
      </c>
    </row>
    <row r="9153" spans="18:18" x14ac:dyDescent="0.2">
      <c r="R9153" s="189" t="str">
        <f t="shared" si="226"/>
        <v/>
      </c>
    </row>
    <row r="9154" spans="18:18" x14ac:dyDescent="0.2">
      <c r="R9154" s="189" t="str">
        <f t="shared" si="226"/>
        <v/>
      </c>
    </row>
    <row r="9155" spans="18:18" x14ac:dyDescent="0.2">
      <c r="R9155" s="189" t="str">
        <f t="shared" si="226"/>
        <v/>
      </c>
    </row>
    <row r="9156" spans="18:18" x14ac:dyDescent="0.2">
      <c r="R9156" s="189" t="str">
        <f t="shared" si="226"/>
        <v/>
      </c>
    </row>
    <row r="9157" spans="18:18" x14ac:dyDescent="0.2">
      <c r="R9157" s="189" t="str">
        <f t="shared" si="226"/>
        <v/>
      </c>
    </row>
    <row r="9158" spans="18:18" x14ac:dyDescent="0.2">
      <c r="R9158" s="189" t="str">
        <f t="shared" si="226"/>
        <v/>
      </c>
    </row>
    <row r="9159" spans="18:18" x14ac:dyDescent="0.2">
      <c r="R9159" s="189" t="str">
        <f t="shared" si="226"/>
        <v/>
      </c>
    </row>
    <row r="9160" spans="18:18" x14ac:dyDescent="0.2">
      <c r="R9160" s="189" t="str">
        <f t="shared" si="226"/>
        <v/>
      </c>
    </row>
    <row r="9161" spans="18:18" x14ac:dyDescent="0.2">
      <c r="R9161" s="189" t="str">
        <f t="shared" si="226"/>
        <v/>
      </c>
    </row>
    <row r="9162" spans="18:18" x14ac:dyDescent="0.2">
      <c r="R9162" s="189" t="str">
        <f t="shared" si="226"/>
        <v/>
      </c>
    </row>
    <row r="9163" spans="18:18" x14ac:dyDescent="0.2">
      <c r="R9163" s="189" t="str">
        <f t="shared" si="226"/>
        <v/>
      </c>
    </row>
    <row r="9164" spans="18:18" x14ac:dyDescent="0.2">
      <c r="R9164" s="189" t="str">
        <f t="shared" si="226"/>
        <v/>
      </c>
    </row>
    <row r="9165" spans="18:18" x14ac:dyDescent="0.2">
      <c r="R9165" s="189" t="str">
        <f t="shared" si="226"/>
        <v/>
      </c>
    </row>
    <row r="9166" spans="18:18" x14ac:dyDescent="0.2">
      <c r="R9166" s="189" t="str">
        <f t="shared" si="226"/>
        <v/>
      </c>
    </row>
    <row r="9167" spans="18:18" x14ac:dyDescent="0.2">
      <c r="R9167" s="189" t="str">
        <f t="shared" si="226"/>
        <v/>
      </c>
    </row>
    <row r="9168" spans="18:18" x14ac:dyDescent="0.2">
      <c r="R9168" s="189" t="str">
        <f t="shared" si="226"/>
        <v/>
      </c>
    </row>
    <row r="9169" spans="18:18" x14ac:dyDescent="0.2">
      <c r="R9169" s="189" t="str">
        <f t="shared" si="226"/>
        <v/>
      </c>
    </row>
    <row r="9170" spans="18:18" x14ac:dyDescent="0.2">
      <c r="R9170" s="189" t="str">
        <f t="shared" si="226"/>
        <v/>
      </c>
    </row>
    <row r="9171" spans="18:18" x14ac:dyDescent="0.2">
      <c r="R9171" s="189" t="str">
        <f t="shared" si="226"/>
        <v/>
      </c>
    </row>
    <row r="9172" spans="18:18" x14ac:dyDescent="0.2">
      <c r="R9172" s="189" t="str">
        <f t="shared" si="226"/>
        <v/>
      </c>
    </row>
    <row r="9173" spans="18:18" x14ac:dyDescent="0.2">
      <c r="R9173" s="189" t="str">
        <f t="shared" si="226"/>
        <v/>
      </c>
    </row>
    <row r="9174" spans="18:18" x14ac:dyDescent="0.2">
      <c r="R9174" s="189" t="str">
        <f t="shared" ref="R9174:R9237" si="227">IF(OR(P9174="",Q9174=""),"",IFERROR(P9174-Q9174,""))</f>
        <v/>
      </c>
    </row>
    <row r="9175" spans="18:18" x14ac:dyDescent="0.2">
      <c r="R9175" s="189" t="str">
        <f t="shared" si="227"/>
        <v/>
      </c>
    </row>
    <row r="9176" spans="18:18" x14ac:dyDescent="0.2">
      <c r="R9176" s="189" t="str">
        <f t="shared" si="227"/>
        <v/>
      </c>
    </row>
    <row r="9177" spans="18:18" x14ac:dyDescent="0.2">
      <c r="R9177" s="189" t="str">
        <f t="shared" si="227"/>
        <v/>
      </c>
    </row>
    <row r="9178" spans="18:18" x14ac:dyDescent="0.2">
      <c r="R9178" s="189" t="str">
        <f t="shared" si="227"/>
        <v/>
      </c>
    </row>
    <row r="9179" spans="18:18" x14ac:dyDescent="0.2">
      <c r="R9179" s="189" t="str">
        <f t="shared" si="227"/>
        <v/>
      </c>
    </row>
    <row r="9180" spans="18:18" x14ac:dyDescent="0.2">
      <c r="R9180" s="189" t="str">
        <f t="shared" si="227"/>
        <v/>
      </c>
    </row>
    <row r="9181" spans="18:18" x14ac:dyDescent="0.2">
      <c r="R9181" s="189" t="str">
        <f t="shared" si="227"/>
        <v/>
      </c>
    </row>
    <row r="9182" spans="18:18" x14ac:dyDescent="0.2">
      <c r="R9182" s="189" t="str">
        <f t="shared" si="227"/>
        <v/>
      </c>
    </row>
    <row r="9183" spans="18:18" x14ac:dyDescent="0.2">
      <c r="R9183" s="189" t="str">
        <f t="shared" si="227"/>
        <v/>
      </c>
    </row>
    <row r="9184" spans="18:18" x14ac:dyDescent="0.2">
      <c r="R9184" s="189" t="str">
        <f t="shared" si="227"/>
        <v/>
      </c>
    </row>
    <row r="9185" spans="18:18" x14ac:dyDescent="0.2">
      <c r="R9185" s="189" t="str">
        <f t="shared" si="227"/>
        <v/>
      </c>
    </row>
    <row r="9186" spans="18:18" x14ac:dyDescent="0.2">
      <c r="R9186" s="189" t="str">
        <f t="shared" si="227"/>
        <v/>
      </c>
    </row>
    <row r="9187" spans="18:18" x14ac:dyDescent="0.2">
      <c r="R9187" s="189" t="str">
        <f t="shared" si="227"/>
        <v/>
      </c>
    </row>
    <row r="9188" spans="18:18" x14ac:dyDescent="0.2">
      <c r="R9188" s="189" t="str">
        <f t="shared" si="227"/>
        <v/>
      </c>
    </row>
    <row r="9189" spans="18:18" x14ac:dyDescent="0.2">
      <c r="R9189" s="189" t="str">
        <f t="shared" si="227"/>
        <v/>
      </c>
    </row>
    <row r="9190" spans="18:18" x14ac:dyDescent="0.2">
      <c r="R9190" s="189" t="str">
        <f t="shared" si="227"/>
        <v/>
      </c>
    </row>
    <row r="9191" spans="18:18" x14ac:dyDescent="0.2">
      <c r="R9191" s="189" t="str">
        <f t="shared" si="227"/>
        <v/>
      </c>
    </row>
    <row r="9192" spans="18:18" x14ac:dyDescent="0.2">
      <c r="R9192" s="189" t="str">
        <f t="shared" si="227"/>
        <v/>
      </c>
    </row>
    <row r="9193" spans="18:18" x14ac:dyDescent="0.2">
      <c r="R9193" s="189" t="str">
        <f t="shared" si="227"/>
        <v/>
      </c>
    </row>
    <row r="9194" spans="18:18" x14ac:dyDescent="0.2">
      <c r="R9194" s="189" t="str">
        <f t="shared" si="227"/>
        <v/>
      </c>
    </row>
    <row r="9195" spans="18:18" x14ac:dyDescent="0.2">
      <c r="R9195" s="189" t="str">
        <f t="shared" si="227"/>
        <v/>
      </c>
    </row>
    <row r="9196" spans="18:18" x14ac:dyDescent="0.2">
      <c r="R9196" s="189" t="str">
        <f t="shared" si="227"/>
        <v/>
      </c>
    </row>
    <row r="9197" spans="18:18" x14ac:dyDescent="0.2">
      <c r="R9197" s="189" t="str">
        <f t="shared" si="227"/>
        <v/>
      </c>
    </row>
    <row r="9198" spans="18:18" x14ac:dyDescent="0.2">
      <c r="R9198" s="189" t="str">
        <f t="shared" si="227"/>
        <v/>
      </c>
    </row>
    <row r="9199" spans="18:18" x14ac:dyDescent="0.2">
      <c r="R9199" s="189" t="str">
        <f t="shared" si="227"/>
        <v/>
      </c>
    </row>
    <row r="9200" spans="18:18" x14ac:dyDescent="0.2">
      <c r="R9200" s="189" t="str">
        <f t="shared" si="227"/>
        <v/>
      </c>
    </row>
    <row r="9201" spans="18:18" x14ac:dyDescent="0.2">
      <c r="R9201" s="189" t="str">
        <f t="shared" si="227"/>
        <v/>
      </c>
    </row>
    <row r="9202" spans="18:18" x14ac:dyDescent="0.2">
      <c r="R9202" s="189" t="str">
        <f t="shared" si="227"/>
        <v/>
      </c>
    </row>
    <row r="9203" spans="18:18" x14ac:dyDescent="0.2">
      <c r="R9203" s="189" t="str">
        <f t="shared" si="227"/>
        <v/>
      </c>
    </row>
    <row r="9204" spans="18:18" x14ac:dyDescent="0.2">
      <c r="R9204" s="189" t="str">
        <f t="shared" si="227"/>
        <v/>
      </c>
    </row>
    <row r="9205" spans="18:18" x14ac:dyDescent="0.2">
      <c r="R9205" s="189" t="str">
        <f t="shared" si="227"/>
        <v/>
      </c>
    </row>
    <row r="9206" spans="18:18" x14ac:dyDescent="0.2">
      <c r="R9206" s="189" t="str">
        <f t="shared" si="227"/>
        <v/>
      </c>
    </row>
    <row r="9207" spans="18:18" x14ac:dyDescent="0.2">
      <c r="R9207" s="189" t="str">
        <f t="shared" si="227"/>
        <v/>
      </c>
    </row>
    <row r="9208" spans="18:18" x14ac:dyDescent="0.2">
      <c r="R9208" s="189" t="str">
        <f t="shared" si="227"/>
        <v/>
      </c>
    </row>
    <row r="9209" spans="18:18" x14ac:dyDescent="0.2">
      <c r="R9209" s="189" t="str">
        <f t="shared" si="227"/>
        <v/>
      </c>
    </row>
    <row r="9210" spans="18:18" x14ac:dyDescent="0.2">
      <c r="R9210" s="189" t="str">
        <f t="shared" si="227"/>
        <v/>
      </c>
    </row>
    <row r="9211" spans="18:18" x14ac:dyDescent="0.2">
      <c r="R9211" s="189" t="str">
        <f t="shared" si="227"/>
        <v/>
      </c>
    </row>
    <row r="9212" spans="18:18" x14ac:dyDescent="0.2">
      <c r="R9212" s="189" t="str">
        <f t="shared" si="227"/>
        <v/>
      </c>
    </row>
    <row r="9213" spans="18:18" x14ac:dyDescent="0.2">
      <c r="R9213" s="189" t="str">
        <f t="shared" si="227"/>
        <v/>
      </c>
    </row>
    <row r="9214" spans="18:18" x14ac:dyDescent="0.2">
      <c r="R9214" s="189" t="str">
        <f t="shared" si="227"/>
        <v/>
      </c>
    </row>
    <row r="9215" spans="18:18" x14ac:dyDescent="0.2">
      <c r="R9215" s="189" t="str">
        <f t="shared" si="227"/>
        <v/>
      </c>
    </row>
    <row r="9216" spans="18:18" x14ac:dyDescent="0.2">
      <c r="R9216" s="189" t="str">
        <f t="shared" si="227"/>
        <v/>
      </c>
    </row>
    <row r="9217" spans="18:18" x14ac:dyDescent="0.2">
      <c r="R9217" s="189" t="str">
        <f t="shared" si="227"/>
        <v/>
      </c>
    </row>
    <row r="9218" spans="18:18" x14ac:dyDescent="0.2">
      <c r="R9218" s="189" t="str">
        <f t="shared" si="227"/>
        <v/>
      </c>
    </row>
    <row r="9219" spans="18:18" x14ac:dyDescent="0.2">
      <c r="R9219" s="189" t="str">
        <f t="shared" si="227"/>
        <v/>
      </c>
    </row>
    <row r="9220" spans="18:18" x14ac:dyDescent="0.2">
      <c r="R9220" s="189" t="str">
        <f t="shared" si="227"/>
        <v/>
      </c>
    </row>
    <row r="9221" spans="18:18" x14ac:dyDescent="0.2">
      <c r="R9221" s="189" t="str">
        <f t="shared" si="227"/>
        <v/>
      </c>
    </row>
    <row r="9222" spans="18:18" x14ac:dyDescent="0.2">
      <c r="R9222" s="189" t="str">
        <f t="shared" si="227"/>
        <v/>
      </c>
    </row>
    <row r="9223" spans="18:18" x14ac:dyDescent="0.2">
      <c r="R9223" s="189" t="str">
        <f t="shared" si="227"/>
        <v/>
      </c>
    </row>
    <row r="9224" spans="18:18" x14ac:dyDescent="0.2">
      <c r="R9224" s="189" t="str">
        <f t="shared" si="227"/>
        <v/>
      </c>
    </row>
    <row r="9225" spans="18:18" x14ac:dyDescent="0.2">
      <c r="R9225" s="189" t="str">
        <f t="shared" si="227"/>
        <v/>
      </c>
    </row>
    <row r="9226" spans="18:18" x14ac:dyDescent="0.2">
      <c r="R9226" s="189" t="str">
        <f t="shared" si="227"/>
        <v/>
      </c>
    </row>
    <row r="9227" spans="18:18" x14ac:dyDescent="0.2">
      <c r="R9227" s="189" t="str">
        <f t="shared" si="227"/>
        <v/>
      </c>
    </row>
    <row r="9228" spans="18:18" x14ac:dyDescent="0.2">
      <c r="R9228" s="189" t="str">
        <f t="shared" si="227"/>
        <v/>
      </c>
    </row>
    <row r="9229" spans="18:18" x14ac:dyDescent="0.2">
      <c r="R9229" s="189" t="str">
        <f t="shared" si="227"/>
        <v/>
      </c>
    </row>
    <row r="9230" spans="18:18" x14ac:dyDescent="0.2">
      <c r="R9230" s="189" t="str">
        <f t="shared" si="227"/>
        <v/>
      </c>
    </row>
    <row r="9231" spans="18:18" x14ac:dyDescent="0.2">
      <c r="R9231" s="189" t="str">
        <f t="shared" si="227"/>
        <v/>
      </c>
    </row>
    <row r="9232" spans="18:18" x14ac:dyDescent="0.2">
      <c r="R9232" s="189" t="str">
        <f t="shared" si="227"/>
        <v/>
      </c>
    </row>
    <row r="9233" spans="18:18" x14ac:dyDescent="0.2">
      <c r="R9233" s="189" t="str">
        <f t="shared" si="227"/>
        <v/>
      </c>
    </row>
    <row r="9234" spans="18:18" x14ac:dyDescent="0.2">
      <c r="R9234" s="189" t="str">
        <f t="shared" si="227"/>
        <v/>
      </c>
    </row>
    <row r="9235" spans="18:18" x14ac:dyDescent="0.2">
      <c r="R9235" s="189" t="str">
        <f t="shared" si="227"/>
        <v/>
      </c>
    </row>
    <row r="9236" spans="18:18" x14ac:dyDescent="0.2">
      <c r="R9236" s="189" t="str">
        <f t="shared" si="227"/>
        <v/>
      </c>
    </row>
    <row r="9237" spans="18:18" x14ac:dyDescent="0.2">
      <c r="R9237" s="189" t="str">
        <f t="shared" si="227"/>
        <v/>
      </c>
    </row>
    <row r="9238" spans="18:18" x14ac:dyDescent="0.2">
      <c r="R9238" s="189" t="str">
        <f t="shared" ref="R9238:R9301" si="228">IF(OR(P9238="",Q9238=""),"",IFERROR(P9238-Q9238,""))</f>
        <v/>
      </c>
    </row>
    <row r="9239" spans="18:18" x14ac:dyDescent="0.2">
      <c r="R9239" s="189" t="str">
        <f t="shared" si="228"/>
        <v/>
      </c>
    </row>
    <row r="9240" spans="18:18" x14ac:dyDescent="0.2">
      <c r="R9240" s="189" t="str">
        <f t="shared" si="228"/>
        <v/>
      </c>
    </row>
    <row r="9241" spans="18:18" x14ac:dyDescent="0.2">
      <c r="R9241" s="189" t="str">
        <f t="shared" si="228"/>
        <v/>
      </c>
    </row>
    <row r="9242" spans="18:18" x14ac:dyDescent="0.2">
      <c r="R9242" s="189" t="str">
        <f t="shared" si="228"/>
        <v/>
      </c>
    </row>
    <row r="9243" spans="18:18" x14ac:dyDescent="0.2">
      <c r="R9243" s="189" t="str">
        <f t="shared" si="228"/>
        <v/>
      </c>
    </row>
    <row r="9244" spans="18:18" x14ac:dyDescent="0.2">
      <c r="R9244" s="189" t="str">
        <f t="shared" si="228"/>
        <v/>
      </c>
    </row>
    <row r="9245" spans="18:18" x14ac:dyDescent="0.2">
      <c r="R9245" s="189" t="str">
        <f t="shared" si="228"/>
        <v/>
      </c>
    </row>
    <row r="9246" spans="18:18" x14ac:dyDescent="0.2">
      <c r="R9246" s="189" t="str">
        <f t="shared" si="228"/>
        <v/>
      </c>
    </row>
    <row r="9247" spans="18:18" x14ac:dyDescent="0.2">
      <c r="R9247" s="189" t="str">
        <f t="shared" si="228"/>
        <v/>
      </c>
    </row>
    <row r="9248" spans="18:18" x14ac:dyDescent="0.2">
      <c r="R9248" s="189" t="str">
        <f t="shared" si="228"/>
        <v/>
      </c>
    </row>
    <row r="9249" spans="18:18" x14ac:dyDescent="0.2">
      <c r="R9249" s="189" t="str">
        <f t="shared" si="228"/>
        <v/>
      </c>
    </row>
    <row r="9250" spans="18:18" x14ac:dyDescent="0.2">
      <c r="R9250" s="189" t="str">
        <f t="shared" si="228"/>
        <v/>
      </c>
    </row>
    <row r="9251" spans="18:18" x14ac:dyDescent="0.2">
      <c r="R9251" s="189" t="str">
        <f t="shared" si="228"/>
        <v/>
      </c>
    </row>
    <row r="9252" spans="18:18" x14ac:dyDescent="0.2">
      <c r="R9252" s="189" t="str">
        <f t="shared" si="228"/>
        <v/>
      </c>
    </row>
    <row r="9253" spans="18:18" x14ac:dyDescent="0.2">
      <c r="R9253" s="189" t="str">
        <f t="shared" si="228"/>
        <v/>
      </c>
    </row>
    <row r="9254" spans="18:18" x14ac:dyDescent="0.2">
      <c r="R9254" s="189" t="str">
        <f t="shared" si="228"/>
        <v/>
      </c>
    </row>
    <row r="9255" spans="18:18" x14ac:dyDescent="0.2">
      <c r="R9255" s="189" t="str">
        <f t="shared" si="228"/>
        <v/>
      </c>
    </row>
    <row r="9256" spans="18:18" x14ac:dyDescent="0.2">
      <c r="R9256" s="189" t="str">
        <f t="shared" si="228"/>
        <v/>
      </c>
    </row>
    <row r="9257" spans="18:18" x14ac:dyDescent="0.2">
      <c r="R9257" s="189" t="str">
        <f t="shared" si="228"/>
        <v/>
      </c>
    </row>
    <row r="9258" spans="18:18" x14ac:dyDescent="0.2">
      <c r="R9258" s="189" t="str">
        <f t="shared" si="228"/>
        <v/>
      </c>
    </row>
    <row r="9259" spans="18:18" x14ac:dyDescent="0.2">
      <c r="R9259" s="189" t="str">
        <f t="shared" si="228"/>
        <v/>
      </c>
    </row>
    <row r="9260" spans="18:18" x14ac:dyDescent="0.2">
      <c r="R9260" s="189" t="str">
        <f t="shared" si="228"/>
        <v/>
      </c>
    </row>
    <row r="9261" spans="18:18" x14ac:dyDescent="0.2">
      <c r="R9261" s="189" t="str">
        <f t="shared" si="228"/>
        <v/>
      </c>
    </row>
    <row r="9262" spans="18:18" x14ac:dyDescent="0.2">
      <c r="R9262" s="189" t="str">
        <f t="shared" si="228"/>
        <v/>
      </c>
    </row>
    <row r="9263" spans="18:18" x14ac:dyDescent="0.2">
      <c r="R9263" s="189" t="str">
        <f t="shared" si="228"/>
        <v/>
      </c>
    </row>
    <row r="9264" spans="18:18" x14ac:dyDescent="0.2">
      <c r="R9264" s="189" t="str">
        <f t="shared" si="228"/>
        <v/>
      </c>
    </row>
    <row r="9265" spans="18:18" x14ac:dyDescent="0.2">
      <c r="R9265" s="189" t="str">
        <f t="shared" si="228"/>
        <v/>
      </c>
    </row>
    <row r="9266" spans="18:18" x14ac:dyDescent="0.2">
      <c r="R9266" s="189" t="str">
        <f t="shared" si="228"/>
        <v/>
      </c>
    </row>
    <row r="9267" spans="18:18" x14ac:dyDescent="0.2">
      <c r="R9267" s="189" t="str">
        <f t="shared" si="228"/>
        <v/>
      </c>
    </row>
    <row r="9268" spans="18:18" x14ac:dyDescent="0.2">
      <c r="R9268" s="189" t="str">
        <f t="shared" si="228"/>
        <v/>
      </c>
    </row>
    <row r="9269" spans="18:18" x14ac:dyDescent="0.2">
      <c r="R9269" s="189" t="str">
        <f t="shared" si="228"/>
        <v/>
      </c>
    </row>
    <row r="9270" spans="18:18" x14ac:dyDescent="0.2">
      <c r="R9270" s="189" t="str">
        <f t="shared" si="228"/>
        <v/>
      </c>
    </row>
    <row r="9271" spans="18:18" x14ac:dyDescent="0.2">
      <c r="R9271" s="189" t="str">
        <f t="shared" si="228"/>
        <v/>
      </c>
    </row>
    <row r="9272" spans="18:18" x14ac:dyDescent="0.2">
      <c r="R9272" s="189" t="str">
        <f t="shared" si="228"/>
        <v/>
      </c>
    </row>
    <row r="9273" spans="18:18" x14ac:dyDescent="0.2">
      <c r="R9273" s="189" t="str">
        <f t="shared" si="228"/>
        <v/>
      </c>
    </row>
    <row r="9274" spans="18:18" x14ac:dyDescent="0.2">
      <c r="R9274" s="189" t="str">
        <f t="shared" si="228"/>
        <v/>
      </c>
    </row>
    <row r="9275" spans="18:18" x14ac:dyDescent="0.2">
      <c r="R9275" s="189" t="str">
        <f t="shared" si="228"/>
        <v/>
      </c>
    </row>
    <row r="9276" spans="18:18" x14ac:dyDescent="0.2">
      <c r="R9276" s="189" t="str">
        <f t="shared" si="228"/>
        <v/>
      </c>
    </row>
    <row r="9277" spans="18:18" x14ac:dyDescent="0.2">
      <c r="R9277" s="189" t="str">
        <f t="shared" si="228"/>
        <v/>
      </c>
    </row>
    <row r="9278" spans="18:18" x14ac:dyDescent="0.2">
      <c r="R9278" s="189" t="str">
        <f t="shared" si="228"/>
        <v/>
      </c>
    </row>
    <row r="9279" spans="18:18" x14ac:dyDescent="0.2">
      <c r="R9279" s="189" t="str">
        <f t="shared" si="228"/>
        <v/>
      </c>
    </row>
    <row r="9280" spans="18:18" x14ac:dyDescent="0.2">
      <c r="R9280" s="189" t="str">
        <f t="shared" si="228"/>
        <v/>
      </c>
    </row>
    <row r="9281" spans="18:18" x14ac:dyDescent="0.2">
      <c r="R9281" s="189" t="str">
        <f t="shared" si="228"/>
        <v/>
      </c>
    </row>
    <row r="9282" spans="18:18" x14ac:dyDescent="0.2">
      <c r="R9282" s="189" t="str">
        <f t="shared" si="228"/>
        <v/>
      </c>
    </row>
    <row r="9283" spans="18:18" x14ac:dyDescent="0.2">
      <c r="R9283" s="189" t="str">
        <f t="shared" si="228"/>
        <v/>
      </c>
    </row>
    <row r="9284" spans="18:18" x14ac:dyDescent="0.2">
      <c r="R9284" s="189" t="str">
        <f t="shared" si="228"/>
        <v/>
      </c>
    </row>
    <row r="9285" spans="18:18" x14ac:dyDescent="0.2">
      <c r="R9285" s="189" t="str">
        <f t="shared" si="228"/>
        <v/>
      </c>
    </row>
    <row r="9286" spans="18:18" x14ac:dyDescent="0.2">
      <c r="R9286" s="189" t="str">
        <f t="shared" si="228"/>
        <v/>
      </c>
    </row>
    <row r="9287" spans="18:18" x14ac:dyDescent="0.2">
      <c r="R9287" s="189" t="str">
        <f t="shared" si="228"/>
        <v/>
      </c>
    </row>
    <row r="9288" spans="18:18" x14ac:dyDescent="0.2">
      <c r="R9288" s="189" t="str">
        <f t="shared" si="228"/>
        <v/>
      </c>
    </row>
    <row r="9289" spans="18:18" x14ac:dyDescent="0.2">
      <c r="R9289" s="189" t="str">
        <f t="shared" si="228"/>
        <v/>
      </c>
    </row>
    <row r="9290" spans="18:18" x14ac:dyDescent="0.2">
      <c r="R9290" s="189" t="str">
        <f t="shared" si="228"/>
        <v/>
      </c>
    </row>
    <row r="9291" spans="18:18" x14ac:dyDescent="0.2">
      <c r="R9291" s="189" t="str">
        <f t="shared" si="228"/>
        <v/>
      </c>
    </row>
    <row r="9292" spans="18:18" x14ac:dyDescent="0.2">
      <c r="R9292" s="189" t="str">
        <f t="shared" si="228"/>
        <v/>
      </c>
    </row>
    <row r="9293" spans="18:18" x14ac:dyDescent="0.2">
      <c r="R9293" s="189" t="str">
        <f t="shared" si="228"/>
        <v/>
      </c>
    </row>
    <row r="9294" spans="18:18" x14ac:dyDescent="0.2">
      <c r="R9294" s="189" t="str">
        <f t="shared" si="228"/>
        <v/>
      </c>
    </row>
    <row r="9295" spans="18:18" x14ac:dyDescent="0.2">
      <c r="R9295" s="189" t="str">
        <f t="shared" si="228"/>
        <v/>
      </c>
    </row>
    <row r="9296" spans="18:18" x14ac:dyDescent="0.2">
      <c r="R9296" s="189" t="str">
        <f t="shared" si="228"/>
        <v/>
      </c>
    </row>
    <row r="9297" spans="18:18" x14ac:dyDescent="0.2">
      <c r="R9297" s="189" t="str">
        <f t="shared" si="228"/>
        <v/>
      </c>
    </row>
    <row r="9298" spans="18:18" x14ac:dyDescent="0.2">
      <c r="R9298" s="189" t="str">
        <f t="shared" si="228"/>
        <v/>
      </c>
    </row>
    <row r="9299" spans="18:18" x14ac:dyDescent="0.2">
      <c r="R9299" s="189" t="str">
        <f t="shared" si="228"/>
        <v/>
      </c>
    </row>
    <row r="9300" spans="18:18" x14ac:dyDescent="0.2">
      <c r="R9300" s="189" t="str">
        <f t="shared" si="228"/>
        <v/>
      </c>
    </row>
    <row r="9301" spans="18:18" x14ac:dyDescent="0.2">
      <c r="R9301" s="189" t="str">
        <f t="shared" si="228"/>
        <v/>
      </c>
    </row>
    <row r="9302" spans="18:18" x14ac:dyDescent="0.2">
      <c r="R9302" s="189" t="str">
        <f t="shared" ref="R9302:R9365" si="229">IF(OR(P9302="",Q9302=""),"",IFERROR(P9302-Q9302,""))</f>
        <v/>
      </c>
    </row>
    <row r="9303" spans="18:18" x14ac:dyDescent="0.2">
      <c r="R9303" s="189" t="str">
        <f t="shared" si="229"/>
        <v/>
      </c>
    </row>
    <row r="9304" spans="18:18" x14ac:dyDescent="0.2">
      <c r="R9304" s="189" t="str">
        <f t="shared" si="229"/>
        <v/>
      </c>
    </row>
    <row r="9305" spans="18:18" x14ac:dyDescent="0.2">
      <c r="R9305" s="189" t="str">
        <f t="shared" si="229"/>
        <v/>
      </c>
    </row>
    <row r="9306" spans="18:18" x14ac:dyDescent="0.2">
      <c r="R9306" s="189" t="str">
        <f t="shared" si="229"/>
        <v/>
      </c>
    </row>
    <row r="9307" spans="18:18" x14ac:dyDescent="0.2">
      <c r="R9307" s="189" t="str">
        <f t="shared" si="229"/>
        <v/>
      </c>
    </row>
    <row r="9308" spans="18:18" x14ac:dyDescent="0.2">
      <c r="R9308" s="189" t="str">
        <f t="shared" si="229"/>
        <v/>
      </c>
    </row>
    <row r="9309" spans="18:18" x14ac:dyDescent="0.2">
      <c r="R9309" s="189" t="str">
        <f t="shared" si="229"/>
        <v/>
      </c>
    </row>
    <row r="9310" spans="18:18" x14ac:dyDescent="0.2">
      <c r="R9310" s="189" t="str">
        <f t="shared" si="229"/>
        <v/>
      </c>
    </row>
    <row r="9311" spans="18:18" x14ac:dyDescent="0.2">
      <c r="R9311" s="189" t="str">
        <f t="shared" si="229"/>
        <v/>
      </c>
    </row>
    <row r="9312" spans="18:18" x14ac:dyDescent="0.2">
      <c r="R9312" s="189" t="str">
        <f t="shared" si="229"/>
        <v/>
      </c>
    </row>
    <row r="9313" spans="18:18" x14ac:dyDescent="0.2">
      <c r="R9313" s="189" t="str">
        <f t="shared" si="229"/>
        <v/>
      </c>
    </row>
    <row r="9314" spans="18:18" x14ac:dyDescent="0.2">
      <c r="R9314" s="189" t="str">
        <f t="shared" si="229"/>
        <v/>
      </c>
    </row>
    <row r="9315" spans="18:18" x14ac:dyDescent="0.2">
      <c r="R9315" s="189" t="str">
        <f t="shared" si="229"/>
        <v/>
      </c>
    </row>
    <row r="9316" spans="18:18" x14ac:dyDescent="0.2">
      <c r="R9316" s="189" t="str">
        <f t="shared" si="229"/>
        <v/>
      </c>
    </row>
    <row r="9317" spans="18:18" x14ac:dyDescent="0.2">
      <c r="R9317" s="189" t="str">
        <f t="shared" si="229"/>
        <v/>
      </c>
    </row>
    <row r="9318" spans="18:18" x14ac:dyDescent="0.2">
      <c r="R9318" s="189" t="str">
        <f t="shared" si="229"/>
        <v/>
      </c>
    </row>
    <row r="9319" spans="18:18" x14ac:dyDescent="0.2">
      <c r="R9319" s="189" t="str">
        <f t="shared" si="229"/>
        <v/>
      </c>
    </row>
    <row r="9320" spans="18:18" x14ac:dyDescent="0.2">
      <c r="R9320" s="189" t="str">
        <f t="shared" si="229"/>
        <v/>
      </c>
    </row>
    <row r="9321" spans="18:18" x14ac:dyDescent="0.2">
      <c r="R9321" s="189" t="str">
        <f t="shared" si="229"/>
        <v/>
      </c>
    </row>
    <row r="9322" spans="18:18" x14ac:dyDescent="0.2">
      <c r="R9322" s="189" t="str">
        <f t="shared" si="229"/>
        <v/>
      </c>
    </row>
    <row r="9323" spans="18:18" x14ac:dyDescent="0.2">
      <c r="R9323" s="189" t="str">
        <f t="shared" si="229"/>
        <v/>
      </c>
    </row>
    <row r="9324" spans="18:18" x14ac:dyDescent="0.2">
      <c r="R9324" s="189" t="str">
        <f t="shared" si="229"/>
        <v/>
      </c>
    </row>
    <row r="9325" spans="18:18" x14ac:dyDescent="0.2">
      <c r="R9325" s="189" t="str">
        <f t="shared" si="229"/>
        <v/>
      </c>
    </row>
    <row r="9326" spans="18:18" x14ac:dyDescent="0.2">
      <c r="R9326" s="189" t="str">
        <f t="shared" si="229"/>
        <v/>
      </c>
    </row>
    <row r="9327" spans="18:18" x14ac:dyDescent="0.2">
      <c r="R9327" s="189" t="str">
        <f t="shared" si="229"/>
        <v/>
      </c>
    </row>
    <row r="9328" spans="18:18" x14ac:dyDescent="0.2">
      <c r="R9328" s="189" t="str">
        <f t="shared" si="229"/>
        <v/>
      </c>
    </row>
    <row r="9329" spans="18:18" x14ac:dyDescent="0.2">
      <c r="R9329" s="189" t="str">
        <f t="shared" si="229"/>
        <v/>
      </c>
    </row>
    <row r="9330" spans="18:18" x14ac:dyDescent="0.2">
      <c r="R9330" s="189" t="str">
        <f t="shared" si="229"/>
        <v/>
      </c>
    </row>
    <row r="9331" spans="18:18" x14ac:dyDescent="0.2">
      <c r="R9331" s="189" t="str">
        <f t="shared" si="229"/>
        <v/>
      </c>
    </row>
    <row r="9332" spans="18:18" x14ac:dyDescent="0.2">
      <c r="R9332" s="189" t="str">
        <f t="shared" si="229"/>
        <v/>
      </c>
    </row>
    <row r="9333" spans="18:18" x14ac:dyDescent="0.2">
      <c r="R9333" s="189" t="str">
        <f t="shared" si="229"/>
        <v/>
      </c>
    </row>
    <row r="9334" spans="18:18" x14ac:dyDescent="0.2">
      <c r="R9334" s="189" t="str">
        <f t="shared" si="229"/>
        <v/>
      </c>
    </row>
    <row r="9335" spans="18:18" x14ac:dyDescent="0.2">
      <c r="R9335" s="189" t="str">
        <f t="shared" si="229"/>
        <v/>
      </c>
    </row>
    <row r="9336" spans="18:18" x14ac:dyDescent="0.2">
      <c r="R9336" s="189" t="str">
        <f t="shared" si="229"/>
        <v/>
      </c>
    </row>
    <row r="9337" spans="18:18" x14ac:dyDescent="0.2">
      <c r="R9337" s="189" t="str">
        <f t="shared" si="229"/>
        <v/>
      </c>
    </row>
    <row r="9338" spans="18:18" x14ac:dyDescent="0.2">
      <c r="R9338" s="189" t="str">
        <f t="shared" si="229"/>
        <v/>
      </c>
    </row>
    <row r="9339" spans="18:18" x14ac:dyDescent="0.2">
      <c r="R9339" s="189" t="str">
        <f t="shared" si="229"/>
        <v/>
      </c>
    </row>
    <row r="9340" spans="18:18" x14ac:dyDescent="0.2">
      <c r="R9340" s="189" t="str">
        <f t="shared" si="229"/>
        <v/>
      </c>
    </row>
    <row r="9341" spans="18:18" x14ac:dyDescent="0.2">
      <c r="R9341" s="189" t="str">
        <f t="shared" si="229"/>
        <v/>
      </c>
    </row>
    <row r="9342" spans="18:18" x14ac:dyDescent="0.2">
      <c r="R9342" s="189" t="str">
        <f t="shared" si="229"/>
        <v/>
      </c>
    </row>
    <row r="9343" spans="18:18" x14ac:dyDescent="0.2">
      <c r="R9343" s="189" t="str">
        <f t="shared" si="229"/>
        <v/>
      </c>
    </row>
    <row r="9344" spans="18:18" x14ac:dyDescent="0.2">
      <c r="R9344" s="189" t="str">
        <f t="shared" si="229"/>
        <v/>
      </c>
    </row>
    <row r="9345" spans="18:18" x14ac:dyDescent="0.2">
      <c r="R9345" s="189" t="str">
        <f t="shared" si="229"/>
        <v/>
      </c>
    </row>
    <row r="9346" spans="18:18" x14ac:dyDescent="0.2">
      <c r="R9346" s="189" t="str">
        <f t="shared" si="229"/>
        <v/>
      </c>
    </row>
    <row r="9347" spans="18:18" x14ac:dyDescent="0.2">
      <c r="R9347" s="189" t="str">
        <f t="shared" si="229"/>
        <v/>
      </c>
    </row>
    <row r="9348" spans="18:18" x14ac:dyDescent="0.2">
      <c r="R9348" s="189" t="str">
        <f t="shared" si="229"/>
        <v/>
      </c>
    </row>
    <row r="9349" spans="18:18" x14ac:dyDescent="0.2">
      <c r="R9349" s="189" t="str">
        <f t="shared" si="229"/>
        <v/>
      </c>
    </row>
    <row r="9350" spans="18:18" x14ac:dyDescent="0.2">
      <c r="R9350" s="189" t="str">
        <f t="shared" si="229"/>
        <v/>
      </c>
    </row>
    <row r="9351" spans="18:18" x14ac:dyDescent="0.2">
      <c r="R9351" s="189" t="str">
        <f t="shared" si="229"/>
        <v/>
      </c>
    </row>
    <row r="9352" spans="18:18" x14ac:dyDescent="0.2">
      <c r="R9352" s="189" t="str">
        <f t="shared" si="229"/>
        <v/>
      </c>
    </row>
    <row r="9353" spans="18:18" x14ac:dyDescent="0.2">
      <c r="R9353" s="189" t="str">
        <f t="shared" si="229"/>
        <v/>
      </c>
    </row>
    <row r="9354" spans="18:18" x14ac:dyDescent="0.2">
      <c r="R9354" s="189" t="str">
        <f t="shared" si="229"/>
        <v/>
      </c>
    </row>
    <row r="9355" spans="18:18" x14ac:dyDescent="0.2">
      <c r="R9355" s="189" t="str">
        <f t="shared" si="229"/>
        <v/>
      </c>
    </row>
    <row r="9356" spans="18:18" x14ac:dyDescent="0.2">
      <c r="R9356" s="189" t="str">
        <f t="shared" si="229"/>
        <v/>
      </c>
    </row>
    <row r="9357" spans="18:18" x14ac:dyDescent="0.2">
      <c r="R9357" s="189" t="str">
        <f t="shared" si="229"/>
        <v/>
      </c>
    </row>
    <row r="9358" spans="18:18" x14ac:dyDescent="0.2">
      <c r="R9358" s="189" t="str">
        <f t="shared" si="229"/>
        <v/>
      </c>
    </row>
    <row r="9359" spans="18:18" x14ac:dyDescent="0.2">
      <c r="R9359" s="189" t="str">
        <f t="shared" si="229"/>
        <v/>
      </c>
    </row>
    <row r="9360" spans="18:18" x14ac:dyDescent="0.2">
      <c r="R9360" s="189" t="str">
        <f t="shared" si="229"/>
        <v/>
      </c>
    </row>
    <row r="9361" spans="18:18" x14ac:dyDescent="0.2">
      <c r="R9361" s="189" t="str">
        <f t="shared" si="229"/>
        <v/>
      </c>
    </row>
    <row r="9362" spans="18:18" x14ac:dyDescent="0.2">
      <c r="R9362" s="189" t="str">
        <f t="shared" si="229"/>
        <v/>
      </c>
    </row>
    <row r="9363" spans="18:18" x14ac:dyDescent="0.2">
      <c r="R9363" s="189" t="str">
        <f t="shared" si="229"/>
        <v/>
      </c>
    </row>
    <row r="9364" spans="18:18" x14ac:dyDescent="0.2">
      <c r="R9364" s="189" t="str">
        <f t="shared" si="229"/>
        <v/>
      </c>
    </row>
    <row r="9365" spans="18:18" x14ac:dyDescent="0.2">
      <c r="R9365" s="189" t="str">
        <f t="shared" si="229"/>
        <v/>
      </c>
    </row>
    <row r="9366" spans="18:18" x14ac:dyDescent="0.2">
      <c r="R9366" s="189" t="str">
        <f t="shared" ref="R9366:R9429" si="230">IF(OR(P9366="",Q9366=""),"",IFERROR(P9366-Q9366,""))</f>
        <v/>
      </c>
    </row>
    <row r="9367" spans="18:18" x14ac:dyDescent="0.2">
      <c r="R9367" s="189" t="str">
        <f t="shared" si="230"/>
        <v/>
      </c>
    </row>
    <row r="9368" spans="18:18" x14ac:dyDescent="0.2">
      <c r="R9368" s="189" t="str">
        <f t="shared" si="230"/>
        <v/>
      </c>
    </row>
    <row r="9369" spans="18:18" x14ac:dyDescent="0.2">
      <c r="R9369" s="189" t="str">
        <f t="shared" si="230"/>
        <v/>
      </c>
    </row>
    <row r="9370" spans="18:18" x14ac:dyDescent="0.2">
      <c r="R9370" s="189" t="str">
        <f t="shared" si="230"/>
        <v/>
      </c>
    </row>
    <row r="9371" spans="18:18" x14ac:dyDescent="0.2">
      <c r="R9371" s="189" t="str">
        <f t="shared" si="230"/>
        <v/>
      </c>
    </row>
    <row r="9372" spans="18:18" x14ac:dyDescent="0.2">
      <c r="R9372" s="189" t="str">
        <f t="shared" si="230"/>
        <v/>
      </c>
    </row>
    <row r="9373" spans="18:18" x14ac:dyDescent="0.2">
      <c r="R9373" s="189" t="str">
        <f t="shared" si="230"/>
        <v/>
      </c>
    </row>
    <row r="9374" spans="18:18" x14ac:dyDescent="0.2">
      <c r="R9374" s="189" t="str">
        <f t="shared" si="230"/>
        <v/>
      </c>
    </row>
    <row r="9375" spans="18:18" x14ac:dyDescent="0.2">
      <c r="R9375" s="189" t="str">
        <f t="shared" si="230"/>
        <v/>
      </c>
    </row>
    <row r="9376" spans="18:18" x14ac:dyDescent="0.2">
      <c r="R9376" s="189" t="str">
        <f t="shared" si="230"/>
        <v/>
      </c>
    </row>
    <row r="9377" spans="18:18" x14ac:dyDescent="0.2">
      <c r="R9377" s="189" t="str">
        <f t="shared" si="230"/>
        <v/>
      </c>
    </row>
    <row r="9378" spans="18:18" x14ac:dyDescent="0.2">
      <c r="R9378" s="189" t="str">
        <f t="shared" si="230"/>
        <v/>
      </c>
    </row>
    <row r="9379" spans="18:18" x14ac:dyDescent="0.2">
      <c r="R9379" s="189" t="str">
        <f t="shared" si="230"/>
        <v/>
      </c>
    </row>
    <row r="9380" spans="18:18" x14ac:dyDescent="0.2">
      <c r="R9380" s="189" t="str">
        <f t="shared" si="230"/>
        <v/>
      </c>
    </row>
    <row r="9381" spans="18:18" x14ac:dyDescent="0.2">
      <c r="R9381" s="189" t="str">
        <f t="shared" si="230"/>
        <v/>
      </c>
    </row>
    <row r="9382" spans="18:18" x14ac:dyDescent="0.2">
      <c r="R9382" s="189" t="str">
        <f t="shared" si="230"/>
        <v/>
      </c>
    </row>
    <row r="9383" spans="18:18" x14ac:dyDescent="0.2">
      <c r="R9383" s="189" t="str">
        <f t="shared" si="230"/>
        <v/>
      </c>
    </row>
    <row r="9384" spans="18:18" x14ac:dyDescent="0.2">
      <c r="R9384" s="189" t="str">
        <f t="shared" si="230"/>
        <v/>
      </c>
    </row>
    <row r="9385" spans="18:18" x14ac:dyDescent="0.2">
      <c r="R9385" s="189" t="str">
        <f t="shared" si="230"/>
        <v/>
      </c>
    </row>
    <row r="9386" spans="18:18" x14ac:dyDescent="0.2">
      <c r="R9386" s="189" t="str">
        <f t="shared" si="230"/>
        <v/>
      </c>
    </row>
    <row r="9387" spans="18:18" x14ac:dyDescent="0.2">
      <c r="R9387" s="189" t="str">
        <f t="shared" si="230"/>
        <v/>
      </c>
    </row>
    <row r="9388" spans="18:18" x14ac:dyDescent="0.2">
      <c r="R9388" s="189" t="str">
        <f t="shared" si="230"/>
        <v/>
      </c>
    </row>
    <row r="9389" spans="18:18" x14ac:dyDescent="0.2">
      <c r="R9389" s="189" t="str">
        <f t="shared" si="230"/>
        <v/>
      </c>
    </row>
    <row r="9390" spans="18:18" x14ac:dyDescent="0.2">
      <c r="R9390" s="189" t="str">
        <f t="shared" si="230"/>
        <v/>
      </c>
    </row>
    <row r="9391" spans="18:18" x14ac:dyDescent="0.2">
      <c r="R9391" s="189" t="str">
        <f t="shared" si="230"/>
        <v/>
      </c>
    </row>
    <row r="9392" spans="18:18" x14ac:dyDescent="0.2">
      <c r="R9392" s="189" t="str">
        <f t="shared" si="230"/>
        <v/>
      </c>
    </row>
    <row r="9393" spans="18:18" x14ac:dyDescent="0.2">
      <c r="R9393" s="189" t="str">
        <f t="shared" si="230"/>
        <v/>
      </c>
    </row>
    <row r="9394" spans="18:18" x14ac:dyDescent="0.2">
      <c r="R9394" s="189" t="str">
        <f t="shared" si="230"/>
        <v/>
      </c>
    </row>
    <row r="9395" spans="18:18" x14ac:dyDescent="0.2">
      <c r="R9395" s="189" t="str">
        <f t="shared" si="230"/>
        <v/>
      </c>
    </row>
    <row r="9396" spans="18:18" x14ac:dyDescent="0.2">
      <c r="R9396" s="189" t="str">
        <f t="shared" si="230"/>
        <v/>
      </c>
    </row>
    <row r="9397" spans="18:18" x14ac:dyDescent="0.2">
      <c r="R9397" s="189" t="str">
        <f t="shared" si="230"/>
        <v/>
      </c>
    </row>
    <row r="9398" spans="18:18" x14ac:dyDescent="0.2">
      <c r="R9398" s="189" t="str">
        <f t="shared" si="230"/>
        <v/>
      </c>
    </row>
    <row r="9399" spans="18:18" x14ac:dyDescent="0.2">
      <c r="R9399" s="189" t="str">
        <f t="shared" si="230"/>
        <v/>
      </c>
    </row>
    <row r="9400" spans="18:18" x14ac:dyDescent="0.2">
      <c r="R9400" s="189" t="str">
        <f t="shared" si="230"/>
        <v/>
      </c>
    </row>
    <row r="9401" spans="18:18" x14ac:dyDescent="0.2">
      <c r="R9401" s="189" t="str">
        <f t="shared" si="230"/>
        <v/>
      </c>
    </row>
    <row r="9402" spans="18:18" x14ac:dyDescent="0.2">
      <c r="R9402" s="189" t="str">
        <f t="shared" si="230"/>
        <v/>
      </c>
    </row>
    <row r="9403" spans="18:18" x14ac:dyDescent="0.2">
      <c r="R9403" s="189" t="str">
        <f t="shared" si="230"/>
        <v/>
      </c>
    </row>
    <row r="9404" spans="18:18" x14ac:dyDescent="0.2">
      <c r="R9404" s="189" t="str">
        <f t="shared" si="230"/>
        <v/>
      </c>
    </row>
    <row r="9405" spans="18:18" x14ac:dyDescent="0.2">
      <c r="R9405" s="189" t="str">
        <f t="shared" si="230"/>
        <v/>
      </c>
    </row>
    <row r="9406" spans="18:18" x14ac:dyDescent="0.2">
      <c r="R9406" s="189" t="str">
        <f t="shared" si="230"/>
        <v/>
      </c>
    </row>
    <row r="9407" spans="18:18" x14ac:dyDescent="0.2">
      <c r="R9407" s="189" t="str">
        <f t="shared" si="230"/>
        <v/>
      </c>
    </row>
    <row r="9408" spans="18:18" x14ac:dyDescent="0.2">
      <c r="R9408" s="189" t="str">
        <f t="shared" si="230"/>
        <v/>
      </c>
    </row>
    <row r="9409" spans="18:18" x14ac:dyDescent="0.2">
      <c r="R9409" s="189" t="str">
        <f t="shared" si="230"/>
        <v/>
      </c>
    </row>
    <row r="9410" spans="18:18" x14ac:dyDescent="0.2">
      <c r="R9410" s="189" t="str">
        <f t="shared" si="230"/>
        <v/>
      </c>
    </row>
    <row r="9411" spans="18:18" x14ac:dyDescent="0.2">
      <c r="R9411" s="189" t="str">
        <f t="shared" si="230"/>
        <v/>
      </c>
    </row>
    <row r="9412" spans="18:18" x14ac:dyDescent="0.2">
      <c r="R9412" s="189" t="str">
        <f t="shared" si="230"/>
        <v/>
      </c>
    </row>
    <row r="9413" spans="18:18" x14ac:dyDescent="0.2">
      <c r="R9413" s="189" t="str">
        <f t="shared" si="230"/>
        <v/>
      </c>
    </row>
    <row r="9414" spans="18:18" x14ac:dyDescent="0.2">
      <c r="R9414" s="189" t="str">
        <f t="shared" si="230"/>
        <v/>
      </c>
    </row>
    <row r="9415" spans="18:18" x14ac:dyDescent="0.2">
      <c r="R9415" s="189" t="str">
        <f t="shared" si="230"/>
        <v/>
      </c>
    </row>
    <row r="9416" spans="18:18" x14ac:dyDescent="0.2">
      <c r="R9416" s="189" t="str">
        <f t="shared" si="230"/>
        <v/>
      </c>
    </row>
    <row r="9417" spans="18:18" x14ac:dyDescent="0.2">
      <c r="R9417" s="189" t="str">
        <f t="shared" si="230"/>
        <v/>
      </c>
    </row>
    <row r="9418" spans="18:18" x14ac:dyDescent="0.2">
      <c r="R9418" s="189" t="str">
        <f t="shared" si="230"/>
        <v/>
      </c>
    </row>
    <row r="9419" spans="18:18" x14ac:dyDescent="0.2">
      <c r="R9419" s="189" t="str">
        <f t="shared" si="230"/>
        <v/>
      </c>
    </row>
    <row r="9420" spans="18:18" x14ac:dyDescent="0.2">
      <c r="R9420" s="189" t="str">
        <f t="shared" si="230"/>
        <v/>
      </c>
    </row>
    <row r="9421" spans="18:18" x14ac:dyDescent="0.2">
      <c r="R9421" s="189" t="str">
        <f t="shared" si="230"/>
        <v/>
      </c>
    </row>
    <row r="9422" spans="18:18" x14ac:dyDescent="0.2">
      <c r="R9422" s="189" t="str">
        <f t="shared" si="230"/>
        <v/>
      </c>
    </row>
    <row r="9423" spans="18:18" x14ac:dyDescent="0.2">
      <c r="R9423" s="189" t="str">
        <f t="shared" si="230"/>
        <v/>
      </c>
    </row>
    <row r="9424" spans="18:18" x14ac:dyDescent="0.2">
      <c r="R9424" s="189" t="str">
        <f t="shared" si="230"/>
        <v/>
      </c>
    </row>
    <row r="9425" spans="18:18" x14ac:dyDescent="0.2">
      <c r="R9425" s="189" t="str">
        <f t="shared" si="230"/>
        <v/>
      </c>
    </row>
    <row r="9426" spans="18:18" x14ac:dyDescent="0.2">
      <c r="R9426" s="189" t="str">
        <f t="shared" si="230"/>
        <v/>
      </c>
    </row>
    <row r="9427" spans="18:18" x14ac:dyDescent="0.2">
      <c r="R9427" s="189" t="str">
        <f t="shared" si="230"/>
        <v/>
      </c>
    </row>
    <row r="9428" spans="18:18" x14ac:dyDescent="0.2">
      <c r="R9428" s="189" t="str">
        <f t="shared" si="230"/>
        <v/>
      </c>
    </row>
    <row r="9429" spans="18:18" x14ac:dyDescent="0.2">
      <c r="R9429" s="189" t="str">
        <f t="shared" si="230"/>
        <v/>
      </c>
    </row>
    <row r="9430" spans="18:18" x14ac:dyDescent="0.2">
      <c r="R9430" s="189" t="str">
        <f t="shared" ref="R9430:R9493" si="231">IF(OR(P9430="",Q9430=""),"",IFERROR(P9430-Q9430,""))</f>
        <v/>
      </c>
    </row>
    <row r="9431" spans="18:18" x14ac:dyDescent="0.2">
      <c r="R9431" s="189" t="str">
        <f t="shared" si="231"/>
        <v/>
      </c>
    </row>
    <row r="9432" spans="18:18" x14ac:dyDescent="0.2">
      <c r="R9432" s="189" t="str">
        <f t="shared" si="231"/>
        <v/>
      </c>
    </row>
    <row r="9433" spans="18:18" x14ac:dyDescent="0.2">
      <c r="R9433" s="189" t="str">
        <f t="shared" si="231"/>
        <v/>
      </c>
    </row>
    <row r="9434" spans="18:18" x14ac:dyDescent="0.2">
      <c r="R9434" s="189" t="str">
        <f t="shared" si="231"/>
        <v/>
      </c>
    </row>
    <row r="9435" spans="18:18" x14ac:dyDescent="0.2">
      <c r="R9435" s="189" t="str">
        <f t="shared" si="231"/>
        <v/>
      </c>
    </row>
    <row r="9436" spans="18:18" x14ac:dyDescent="0.2">
      <c r="R9436" s="189" t="str">
        <f t="shared" si="231"/>
        <v/>
      </c>
    </row>
    <row r="9437" spans="18:18" x14ac:dyDescent="0.2">
      <c r="R9437" s="189" t="str">
        <f t="shared" si="231"/>
        <v/>
      </c>
    </row>
    <row r="9438" spans="18:18" x14ac:dyDescent="0.2">
      <c r="R9438" s="189" t="str">
        <f t="shared" si="231"/>
        <v/>
      </c>
    </row>
    <row r="9439" spans="18:18" x14ac:dyDescent="0.2">
      <c r="R9439" s="189" t="str">
        <f t="shared" si="231"/>
        <v/>
      </c>
    </row>
    <row r="9440" spans="18:18" x14ac:dyDescent="0.2">
      <c r="R9440" s="189" t="str">
        <f t="shared" si="231"/>
        <v/>
      </c>
    </row>
    <row r="9441" spans="18:18" x14ac:dyDescent="0.2">
      <c r="R9441" s="189" t="str">
        <f t="shared" si="231"/>
        <v/>
      </c>
    </row>
    <row r="9442" spans="18:18" x14ac:dyDescent="0.2">
      <c r="R9442" s="189" t="str">
        <f t="shared" si="231"/>
        <v/>
      </c>
    </row>
    <row r="9443" spans="18:18" x14ac:dyDescent="0.2">
      <c r="R9443" s="189" t="str">
        <f t="shared" si="231"/>
        <v/>
      </c>
    </row>
    <row r="9444" spans="18:18" x14ac:dyDescent="0.2">
      <c r="R9444" s="189" t="str">
        <f t="shared" si="231"/>
        <v/>
      </c>
    </row>
    <row r="9445" spans="18:18" x14ac:dyDescent="0.2">
      <c r="R9445" s="189" t="str">
        <f t="shared" si="231"/>
        <v/>
      </c>
    </row>
    <row r="9446" spans="18:18" x14ac:dyDescent="0.2">
      <c r="R9446" s="189" t="str">
        <f t="shared" si="231"/>
        <v/>
      </c>
    </row>
    <row r="9447" spans="18:18" x14ac:dyDescent="0.2">
      <c r="R9447" s="189" t="str">
        <f t="shared" si="231"/>
        <v/>
      </c>
    </row>
    <row r="9448" spans="18:18" x14ac:dyDescent="0.2">
      <c r="R9448" s="189" t="str">
        <f t="shared" si="231"/>
        <v/>
      </c>
    </row>
    <row r="9449" spans="18:18" x14ac:dyDescent="0.2">
      <c r="R9449" s="189" t="str">
        <f t="shared" si="231"/>
        <v/>
      </c>
    </row>
    <row r="9450" spans="18:18" x14ac:dyDescent="0.2">
      <c r="R9450" s="189" t="str">
        <f t="shared" si="231"/>
        <v/>
      </c>
    </row>
    <row r="9451" spans="18:18" x14ac:dyDescent="0.2">
      <c r="R9451" s="189" t="str">
        <f t="shared" si="231"/>
        <v/>
      </c>
    </row>
    <row r="9452" spans="18:18" x14ac:dyDescent="0.2">
      <c r="R9452" s="189" t="str">
        <f t="shared" si="231"/>
        <v/>
      </c>
    </row>
    <row r="9453" spans="18:18" x14ac:dyDescent="0.2">
      <c r="R9453" s="189" t="str">
        <f t="shared" si="231"/>
        <v/>
      </c>
    </row>
    <row r="9454" spans="18:18" x14ac:dyDescent="0.2">
      <c r="R9454" s="189" t="str">
        <f t="shared" si="231"/>
        <v/>
      </c>
    </row>
    <row r="9455" spans="18:18" x14ac:dyDescent="0.2">
      <c r="R9455" s="189" t="str">
        <f t="shared" si="231"/>
        <v/>
      </c>
    </row>
    <row r="9456" spans="18:18" x14ac:dyDescent="0.2">
      <c r="R9456" s="189" t="str">
        <f t="shared" si="231"/>
        <v/>
      </c>
    </row>
    <row r="9457" spans="18:18" x14ac:dyDescent="0.2">
      <c r="R9457" s="189" t="str">
        <f t="shared" si="231"/>
        <v/>
      </c>
    </row>
    <row r="9458" spans="18:18" x14ac:dyDescent="0.2">
      <c r="R9458" s="189" t="str">
        <f t="shared" si="231"/>
        <v/>
      </c>
    </row>
    <row r="9459" spans="18:18" x14ac:dyDescent="0.2">
      <c r="R9459" s="189" t="str">
        <f t="shared" si="231"/>
        <v/>
      </c>
    </row>
    <row r="9460" spans="18:18" x14ac:dyDescent="0.2">
      <c r="R9460" s="189" t="str">
        <f t="shared" si="231"/>
        <v/>
      </c>
    </row>
    <row r="9461" spans="18:18" x14ac:dyDescent="0.2">
      <c r="R9461" s="189" t="str">
        <f t="shared" si="231"/>
        <v/>
      </c>
    </row>
    <row r="9462" spans="18:18" x14ac:dyDescent="0.2">
      <c r="R9462" s="189" t="str">
        <f t="shared" si="231"/>
        <v/>
      </c>
    </row>
    <row r="9463" spans="18:18" x14ac:dyDescent="0.2">
      <c r="R9463" s="189" t="str">
        <f t="shared" si="231"/>
        <v/>
      </c>
    </row>
    <row r="9464" spans="18:18" x14ac:dyDescent="0.2">
      <c r="R9464" s="189" t="str">
        <f t="shared" si="231"/>
        <v/>
      </c>
    </row>
    <row r="9465" spans="18:18" x14ac:dyDescent="0.2">
      <c r="R9465" s="189" t="str">
        <f t="shared" si="231"/>
        <v/>
      </c>
    </row>
    <row r="9466" spans="18:18" x14ac:dyDescent="0.2">
      <c r="R9466" s="189" t="str">
        <f t="shared" si="231"/>
        <v/>
      </c>
    </row>
    <row r="9467" spans="18:18" x14ac:dyDescent="0.2">
      <c r="R9467" s="189" t="str">
        <f t="shared" si="231"/>
        <v/>
      </c>
    </row>
    <row r="9468" spans="18:18" x14ac:dyDescent="0.2">
      <c r="R9468" s="189" t="str">
        <f t="shared" si="231"/>
        <v/>
      </c>
    </row>
    <row r="9469" spans="18:18" x14ac:dyDescent="0.2">
      <c r="R9469" s="189" t="str">
        <f t="shared" si="231"/>
        <v/>
      </c>
    </row>
    <row r="9470" spans="18:18" x14ac:dyDescent="0.2">
      <c r="R9470" s="189" t="str">
        <f t="shared" si="231"/>
        <v/>
      </c>
    </row>
    <row r="9471" spans="18:18" x14ac:dyDescent="0.2">
      <c r="R9471" s="189" t="str">
        <f t="shared" si="231"/>
        <v/>
      </c>
    </row>
    <row r="9472" spans="18:18" x14ac:dyDescent="0.2">
      <c r="R9472" s="189" t="str">
        <f t="shared" si="231"/>
        <v/>
      </c>
    </row>
    <row r="9473" spans="18:18" x14ac:dyDescent="0.2">
      <c r="R9473" s="189" t="str">
        <f t="shared" si="231"/>
        <v/>
      </c>
    </row>
    <row r="9474" spans="18:18" x14ac:dyDescent="0.2">
      <c r="R9474" s="189" t="str">
        <f t="shared" si="231"/>
        <v/>
      </c>
    </row>
    <row r="9475" spans="18:18" x14ac:dyDescent="0.2">
      <c r="R9475" s="189" t="str">
        <f t="shared" si="231"/>
        <v/>
      </c>
    </row>
    <row r="9476" spans="18:18" x14ac:dyDescent="0.2">
      <c r="R9476" s="189" t="str">
        <f t="shared" si="231"/>
        <v/>
      </c>
    </row>
    <row r="9477" spans="18:18" x14ac:dyDescent="0.2">
      <c r="R9477" s="189" t="str">
        <f t="shared" si="231"/>
        <v/>
      </c>
    </row>
    <row r="9478" spans="18:18" x14ac:dyDescent="0.2">
      <c r="R9478" s="189" t="str">
        <f t="shared" si="231"/>
        <v/>
      </c>
    </row>
    <row r="9479" spans="18:18" x14ac:dyDescent="0.2">
      <c r="R9479" s="189" t="str">
        <f t="shared" si="231"/>
        <v/>
      </c>
    </row>
    <row r="9480" spans="18:18" x14ac:dyDescent="0.2">
      <c r="R9480" s="189" t="str">
        <f t="shared" si="231"/>
        <v/>
      </c>
    </row>
    <row r="9481" spans="18:18" x14ac:dyDescent="0.2">
      <c r="R9481" s="189" t="str">
        <f t="shared" si="231"/>
        <v/>
      </c>
    </row>
    <row r="9482" spans="18:18" x14ac:dyDescent="0.2">
      <c r="R9482" s="189" t="str">
        <f t="shared" si="231"/>
        <v/>
      </c>
    </row>
    <row r="9483" spans="18:18" x14ac:dyDescent="0.2">
      <c r="R9483" s="189" t="str">
        <f t="shared" si="231"/>
        <v/>
      </c>
    </row>
    <row r="9484" spans="18:18" x14ac:dyDescent="0.2">
      <c r="R9484" s="189" t="str">
        <f t="shared" si="231"/>
        <v/>
      </c>
    </row>
    <row r="9485" spans="18:18" x14ac:dyDescent="0.2">
      <c r="R9485" s="189" t="str">
        <f t="shared" si="231"/>
        <v/>
      </c>
    </row>
    <row r="9486" spans="18:18" x14ac:dyDescent="0.2">
      <c r="R9486" s="189" t="str">
        <f t="shared" si="231"/>
        <v/>
      </c>
    </row>
    <row r="9487" spans="18:18" x14ac:dyDescent="0.2">
      <c r="R9487" s="189" t="str">
        <f t="shared" si="231"/>
        <v/>
      </c>
    </row>
    <row r="9488" spans="18:18" x14ac:dyDescent="0.2">
      <c r="R9488" s="189" t="str">
        <f t="shared" si="231"/>
        <v/>
      </c>
    </row>
    <row r="9489" spans="18:18" x14ac:dyDescent="0.2">
      <c r="R9489" s="189" t="str">
        <f t="shared" si="231"/>
        <v/>
      </c>
    </row>
    <row r="9490" spans="18:18" x14ac:dyDescent="0.2">
      <c r="R9490" s="189" t="str">
        <f t="shared" si="231"/>
        <v/>
      </c>
    </row>
    <row r="9491" spans="18:18" x14ac:dyDescent="0.2">
      <c r="R9491" s="189" t="str">
        <f t="shared" si="231"/>
        <v/>
      </c>
    </row>
    <row r="9492" spans="18:18" x14ac:dyDescent="0.2">
      <c r="R9492" s="189" t="str">
        <f t="shared" si="231"/>
        <v/>
      </c>
    </row>
    <row r="9493" spans="18:18" x14ac:dyDescent="0.2">
      <c r="R9493" s="189" t="str">
        <f t="shared" si="231"/>
        <v/>
      </c>
    </row>
    <row r="9494" spans="18:18" x14ac:dyDescent="0.2">
      <c r="R9494" s="189" t="str">
        <f t="shared" ref="R9494:R9557" si="232">IF(OR(P9494="",Q9494=""),"",IFERROR(P9494-Q9494,""))</f>
        <v/>
      </c>
    </row>
    <row r="9495" spans="18:18" x14ac:dyDescent="0.2">
      <c r="R9495" s="189" t="str">
        <f t="shared" si="232"/>
        <v/>
      </c>
    </row>
    <row r="9496" spans="18:18" x14ac:dyDescent="0.2">
      <c r="R9496" s="189" t="str">
        <f t="shared" si="232"/>
        <v/>
      </c>
    </row>
    <row r="9497" spans="18:18" x14ac:dyDescent="0.2">
      <c r="R9497" s="189" t="str">
        <f t="shared" si="232"/>
        <v/>
      </c>
    </row>
    <row r="9498" spans="18:18" x14ac:dyDescent="0.2">
      <c r="R9498" s="189" t="str">
        <f t="shared" si="232"/>
        <v/>
      </c>
    </row>
    <row r="9499" spans="18:18" x14ac:dyDescent="0.2">
      <c r="R9499" s="189" t="str">
        <f t="shared" si="232"/>
        <v/>
      </c>
    </row>
    <row r="9500" spans="18:18" x14ac:dyDescent="0.2">
      <c r="R9500" s="189" t="str">
        <f t="shared" si="232"/>
        <v/>
      </c>
    </row>
    <row r="9501" spans="18:18" x14ac:dyDescent="0.2">
      <c r="R9501" s="189" t="str">
        <f t="shared" si="232"/>
        <v/>
      </c>
    </row>
    <row r="9502" spans="18:18" x14ac:dyDescent="0.2">
      <c r="R9502" s="189" t="str">
        <f t="shared" si="232"/>
        <v/>
      </c>
    </row>
    <row r="9503" spans="18:18" x14ac:dyDescent="0.2">
      <c r="R9503" s="189" t="str">
        <f t="shared" si="232"/>
        <v/>
      </c>
    </row>
    <row r="9504" spans="18:18" x14ac:dyDescent="0.2">
      <c r="R9504" s="189" t="str">
        <f t="shared" si="232"/>
        <v/>
      </c>
    </row>
    <row r="9505" spans="18:18" x14ac:dyDescent="0.2">
      <c r="R9505" s="189" t="str">
        <f t="shared" si="232"/>
        <v/>
      </c>
    </row>
    <row r="9506" spans="18:18" x14ac:dyDescent="0.2">
      <c r="R9506" s="189" t="str">
        <f t="shared" si="232"/>
        <v/>
      </c>
    </row>
    <row r="9507" spans="18:18" x14ac:dyDescent="0.2">
      <c r="R9507" s="189" t="str">
        <f t="shared" si="232"/>
        <v/>
      </c>
    </row>
    <row r="9508" spans="18:18" x14ac:dyDescent="0.2">
      <c r="R9508" s="189" t="str">
        <f t="shared" si="232"/>
        <v/>
      </c>
    </row>
    <row r="9509" spans="18:18" x14ac:dyDescent="0.2">
      <c r="R9509" s="189" t="str">
        <f t="shared" si="232"/>
        <v/>
      </c>
    </row>
    <row r="9510" spans="18:18" x14ac:dyDescent="0.2">
      <c r="R9510" s="189" t="str">
        <f t="shared" si="232"/>
        <v/>
      </c>
    </row>
    <row r="9511" spans="18:18" x14ac:dyDescent="0.2">
      <c r="R9511" s="189" t="str">
        <f t="shared" si="232"/>
        <v/>
      </c>
    </row>
    <row r="9512" spans="18:18" x14ac:dyDescent="0.2">
      <c r="R9512" s="189" t="str">
        <f t="shared" si="232"/>
        <v/>
      </c>
    </row>
    <row r="9513" spans="18:18" x14ac:dyDescent="0.2">
      <c r="R9513" s="189" t="str">
        <f t="shared" si="232"/>
        <v/>
      </c>
    </row>
    <row r="9514" spans="18:18" x14ac:dyDescent="0.2">
      <c r="R9514" s="189" t="str">
        <f t="shared" si="232"/>
        <v/>
      </c>
    </row>
    <row r="9515" spans="18:18" x14ac:dyDescent="0.2">
      <c r="R9515" s="189" t="str">
        <f t="shared" si="232"/>
        <v/>
      </c>
    </row>
    <row r="9516" spans="18:18" x14ac:dyDescent="0.2">
      <c r="R9516" s="189" t="str">
        <f t="shared" si="232"/>
        <v/>
      </c>
    </row>
    <row r="9517" spans="18:18" x14ac:dyDescent="0.2">
      <c r="R9517" s="189" t="str">
        <f t="shared" si="232"/>
        <v/>
      </c>
    </row>
    <row r="9518" spans="18:18" x14ac:dyDescent="0.2">
      <c r="R9518" s="189" t="str">
        <f t="shared" si="232"/>
        <v/>
      </c>
    </row>
    <row r="9519" spans="18:18" x14ac:dyDescent="0.2">
      <c r="R9519" s="189" t="str">
        <f t="shared" si="232"/>
        <v/>
      </c>
    </row>
    <row r="9520" spans="18:18" x14ac:dyDescent="0.2">
      <c r="R9520" s="189" t="str">
        <f t="shared" si="232"/>
        <v/>
      </c>
    </row>
    <row r="9521" spans="18:18" x14ac:dyDescent="0.2">
      <c r="R9521" s="189" t="str">
        <f t="shared" si="232"/>
        <v/>
      </c>
    </row>
    <row r="9522" spans="18:18" x14ac:dyDescent="0.2">
      <c r="R9522" s="189" t="str">
        <f t="shared" si="232"/>
        <v/>
      </c>
    </row>
    <row r="9523" spans="18:18" x14ac:dyDescent="0.2">
      <c r="R9523" s="189" t="str">
        <f t="shared" si="232"/>
        <v/>
      </c>
    </row>
    <row r="9524" spans="18:18" x14ac:dyDescent="0.2">
      <c r="R9524" s="189" t="str">
        <f t="shared" si="232"/>
        <v/>
      </c>
    </row>
    <row r="9525" spans="18:18" x14ac:dyDescent="0.2">
      <c r="R9525" s="189" t="str">
        <f t="shared" si="232"/>
        <v/>
      </c>
    </row>
    <row r="9526" spans="18:18" x14ac:dyDescent="0.2">
      <c r="R9526" s="189" t="str">
        <f t="shared" si="232"/>
        <v/>
      </c>
    </row>
    <row r="9527" spans="18:18" x14ac:dyDescent="0.2">
      <c r="R9527" s="189" t="str">
        <f t="shared" si="232"/>
        <v/>
      </c>
    </row>
    <row r="9528" spans="18:18" x14ac:dyDescent="0.2">
      <c r="R9528" s="189" t="str">
        <f t="shared" si="232"/>
        <v/>
      </c>
    </row>
    <row r="9529" spans="18:18" x14ac:dyDescent="0.2">
      <c r="R9529" s="189" t="str">
        <f t="shared" si="232"/>
        <v/>
      </c>
    </row>
    <row r="9530" spans="18:18" x14ac:dyDescent="0.2">
      <c r="R9530" s="189" t="str">
        <f t="shared" si="232"/>
        <v/>
      </c>
    </row>
    <row r="9531" spans="18:18" x14ac:dyDescent="0.2">
      <c r="R9531" s="189" t="str">
        <f t="shared" si="232"/>
        <v/>
      </c>
    </row>
    <row r="9532" spans="18:18" x14ac:dyDescent="0.2">
      <c r="R9532" s="189" t="str">
        <f t="shared" si="232"/>
        <v/>
      </c>
    </row>
    <row r="9533" spans="18:18" x14ac:dyDescent="0.2">
      <c r="R9533" s="189" t="str">
        <f t="shared" si="232"/>
        <v/>
      </c>
    </row>
    <row r="9534" spans="18:18" x14ac:dyDescent="0.2">
      <c r="R9534" s="189" t="str">
        <f t="shared" si="232"/>
        <v/>
      </c>
    </row>
    <row r="9535" spans="18:18" x14ac:dyDescent="0.2">
      <c r="R9535" s="189" t="str">
        <f t="shared" si="232"/>
        <v/>
      </c>
    </row>
    <row r="9536" spans="18:18" x14ac:dyDescent="0.2">
      <c r="R9536" s="189" t="str">
        <f t="shared" si="232"/>
        <v/>
      </c>
    </row>
    <row r="9537" spans="18:18" x14ac:dyDescent="0.2">
      <c r="R9537" s="189" t="str">
        <f t="shared" si="232"/>
        <v/>
      </c>
    </row>
    <row r="9538" spans="18:18" x14ac:dyDescent="0.2">
      <c r="R9538" s="189" t="str">
        <f t="shared" si="232"/>
        <v/>
      </c>
    </row>
    <row r="9539" spans="18:18" x14ac:dyDescent="0.2">
      <c r="R9539" s="189" t="str">
        <f t="shared" si="232"/>
        <v/>
      </c>
    </row>
    <row r="9540" spans="18:18" x14ac:dyDescent="0.2">
      <c r="R9540" s="189" t="str">
        <f t="shared" si="232"/>
        <v/>
      </c>
    </row>
    <row r="9541" spans="18:18" x14ac:dyDescent="0.2">
      <c r="R9541" s="189" t="str">
        <f t="shared" si="232"/>
        <v/>
      </c>
    </row>
    <row r="9542" spans="18:18" x14ac:dyDescent="0.2">
      <c r="R9542" s="189" t="str">
        <f t="shared" si="232"/>
        <v/>
      </c>
    </row>
    <row r="9543" spans="18:18" x14ac:dyDescent="0.2">
      <c r="R9543" s="189" t="str">
        <f t="shared" si="232"/>
        <v/>
      </c>
    </row>
    <row r="9544" spans="18:18" x14ac:dyDescent="0.2">
      <c r="R9544" s="189" t="str">
        <f t="shared" si="232"/>
        <v/>
      </c>
    </row>
    <row r="9545" spans="18:18" x14ac:dyDescent="0.2">
      <c r="R9545" s="189" t="str">
        <f t="shared" si="232"/>
        <v/>
      </c>
    </row>
    <row r="9546" spans="18:18" x14ac:dyDescent="0.2">
      <c r="R9546" s="189" t="str">
        <f t="shared" si="232"/>
        <v/>
      </c>
    </row>
    <row r="9547" spans="18:18" x14ac:dyDescent="0.2">
      <c r="R9547" s="189" t="str">
        <f t="shared" si="232"/>
        <v/>
      </c>
    </row>
    <row r="9548" spans="18:18" x14ac:dyDescent="0.2">
      <c r="R9548" s="189" t="str">
        <f t="shared" si="232"/>
        <v/>
      </c>
    </row>
    <row r="9549" spans="18:18" x14ac:dyDescent="0.2">
      <c r="R9549" s="189" t="str">
        <f t="shared" si="232"/>
        <v/>
      </c>
    </row>
    <row r="9550" spans="18:18" x14ac:dyDescent="0.2">
      <c r="R9550" s="189" t="str">
        <f t="shared" si="232"/>
        <v/>
      </c>
    </row>
    <row r="9551" spans="18:18" x14ac:dyDescent="0.2">
      <c r="R9551" s="189" t="str">
        <f t="shared" si="232"/>
        <v/>
      </c>
    </row>
    <row r="9552" spans="18:18" x14ac:dyDescent="0.2">
      <c r="R9552" s="189" t="str">
        <f t="shared" si="232"/>
        <v/>
      </c>
    </row>
    <row r="9553" spans="18:18" x14ac:dyDescent="0.2">
      <c r="R9553" s="189" t="str">
        <f t="shared" si="232"/>
        <v/>
      </c>
    </row>
    <row r="9554" spans="18:18" x14ac:dyDescent="0.2">
      <c r="R9554" s="189" t="str">
        <f t="shared" si="232"/>
        <v/>
      </c>
    </row>
    <row r="9555" spans="18:18" x14ac:dyDescent="0.2">
      <c r="R9555" s="189" t="str">
        <f t="shared" si="232"/>
        <v/>
      </c>
    </row>
    <row r="9556" spans="18:18" x14ac:dyDescent="0.2">
      <c r="R9556" s="189" t="str">
        <f t="shared" si="232"/>
        <v/>
      </c>
    </row>
    <row r="9557" spans="18:18" x14ac:dyDescent="0.2">
      <c r="R9557" s="189" t="str">
        <f t="shared" si="232"/>
        <v/>
      </c>
    </row>
    <row r="9558" spans="18:18" x14ac:dyDescent="0.2">
      <c r="R9558" s="189" t="str">
        <f t="shared" ref="R9558:R9621" si="233">IF(OR(P9558="",Q9558=""),"",IFERROR(P9558-Q9558,""))</f>
        <v/>
      </c>
    </row>
    <row r="9559" spans="18:18" x14ac:dyDescent="0.2">
      <c r="R9559" s="189" t="str">
        <f t="shared" si="233"/>
        <v/>
      </c>
    </row>
    <row r="9560" spans="18:18" x14ac:dyDescent="0.2">
      <c r="R9560" s="189" t="str">
        <f t="shared" si="233"/>
        <v/>
      </c>
    </row>
    <row r="9561" spans="18:18" x14ac:dyDescent="0.2">
      <c r="R9561" s="189" t="str">
        <f t="shared" si="233"/>
        <v/>
      </c>
    </row>
    <row r="9562" spans="18:18" x14ac:dyDescent="0.2">
      <c r="R9562" s="189" t="str">
        <f t="shared" si="233"/>
        <v/>
      </c>
    </row>
    <row r="9563" spans="18:18" x14ac:dyDescent="0.2">
      <c r="R9563" s="189" t="str">
        <f t="shared" si="233"/>
        <v/>
      </c>
    </row>
    <row r="9564" spans="18:18" x14ac:dyDescent="0.2">
      <c r="R9564" s="189" t="str">
        <f t="shared" si="233"/>
        <v/>
      </c>
    </row>
    <row r="9565" spans="18:18" x14ac:dyDescent="0.2">
      <c r="R9565" s="189" t="str">
        <f t="shared" si="233"/>
        <v/>
      </c>
    </row>
    <row r="9566" spans="18:18" x14ac:dyDescent="0.2">
      <c r="R9566" s="189" t="str">
        <f t="shared" si="233"/>
        <v/>
      </c>
    </row>
    <row r="9567" spans="18:18" x14ac:dyDescent="0.2">
      <c r="R9567" s="189" t="str">
        <f t="shared" si="233"/>
        <v/>
      </c>
    </row>
    <row r="9568" spans="18:18" x14ac:dyDescent="0.2">
      <c r="R9568" s="189" t="str">
        <f t="shared" si="233"/>
        <v/>
      </c>
    </row>
    <row r="9569" spans="18:18" x14ac:dyDescent="0.2">
      <c r="R9569" s="189" t="str">
        <f t="shared" si="233"/>
        <v/>
      </c>
    </row>
    <row r="9570" spans="18:18" x14ac:dyDescent="0.2">
      <c r="R9570" s="189" t="str">
        <f t="shared" si="233"/>
        <v/>
      </c>
    </row>
    <row r="9571" spans="18:18" x14ac:dyDescent="0.2">
      <c r="R9571" s="189" t="str">
        <f t="shared" si="233"/>
        <v/>
      </c>
    </row>
    <row r="9572" spans="18:18" x14ac:dyDescent="0.2">
      <c r="R9572" s="189" t="str">
        <f t="shared" si="233"/>
        <v/>
      </c>
    </row>
    <row r="9573" spans="18:18" x14ac:dyDescent="0.2">
      <c r="R9573" s="189" t="str">
        <f t="shared" si="233"/>
        <v/>
      </c>
    </row>
    <row r="9574" spans="18:18" x14ac:dyDescent="0.2">
      <c r="R9574" s="189" t="str">
        <f t="shared" si="233"/>
        <v/>
      </c>
    </row>
    <row r="9575" spans="18:18" x14ac:dyDescent="0.2">
      <c r="R9575" s="189" t="str">
        <f t="shared" si="233"/>
        <v/>
      </c>
    </row>
    <row r="9576" spans="18:18" x14ac:dyDescent="0.2">
      <c r="R9576" s="189" t="str">
        <f t="shared" si="233"/>
        <v/>
      </c>
    </row>
    <row r="9577" spans="18:18" x14ac:dyDescent="0.2">
      <c r="R9577" s="189" t="str">
        <f t="shared" si="233"/>
        <v/>
      </c>
    </row>
    <row r="9578" spans="18:18" x14ac:dyDescent="0.2">
      <c r="R9578" s="189" t="str">
        <f t="shared" si="233"/>
        <v/>
      </c>
    </row>
    <row r="9579" spans="18:18" x14ac:dyDescent="0.2">
      <c r="R9579" s="189" t="str">
        <f t="shared" si="233"/>
        <v/>
      </c>
    </row>
    <row r="9580" spans="18:18" x14ac:dyDescent="0.2">
      <c r="R9580" s="189" t="str">
        <f t="shared" si="233"/>
        <v/>
      </c>
    </row>
    <row r="9581" spans="18:18" x14ac:dyDescent="0.2">
      <c r="R9581" s="189" t="str">
        <f t="shared" si="233"/>
        <v/>
      </c>
    </row>
    <row r="9582" spans="18:18" x14ac:dyDescent="0.2">
      <c r="R9582" s="189" t="str">
        <f t="shared" si="233"/>
        <v/>
      </c>
    </row>
    <row r="9583" spans="18:18" x14ac:dyDescent="0.2">
      <c r="R9583" s="189" t="str">
        <f t="shared" si="233"/>
        <v/>
      </c>
    </row>
    <row r="9584" spans="18:18" x14ac:dyDescent="0.2">
      <c r="R9584" s="189" t="str">
        <f t="shared" si="233"/>
        <v/>
      </c>
    </row>
    <row r="9585" spans="18:18" x14ac:dyDescent="0.2">
      <c r="R9585" s="189" t="str">
        <f t="shared" si="233"/>
        <v/>
      </c>
    </row>
    <row r="9586" spans="18:18" x14ac:dyDescent="0.2">
      <c r="R9586" s="189" t="str">
        <f t="shared" si="233"/>
        <v/>
      </c>
    </row>
    <row r="9587" spans="18:18" x14ac:dyDescent="0.2">
      <c r="R9587" s="189" t="str">
        <f t="shared" si="233"/>
        <v/>
      </c>
    </row>
    <row r="9588" spans="18:18" x14ac:dyDescent="0.2">
      <c r="R9588" s="189" t="str">
        <f t="shared" si="233"/>
        <v/>
      </c>
    </row>
    <row r="9589" spans="18:18" x14ac:dyDescent="0.2">
      <c r="R9589" s="189" t="str">
        <f t="shared" si="233"/>
        <v/>
      </c>
    </row>
    <row r="9590" spans="18:18" x14ac:dyDescent="0.2">
      <c r="R9590" s="189" t="str">
        <f t="shared" si="233"/>
        <v/>
      </c>
    </row>
    <row r="9591" spans="18:18" x14ac:dyDescent="0.2">
      <c r="R9591" s="189" t="str">
        <f t="shared" si="233"/>
        <v/>
      </c>
    </row>
    <row r="9592" spans="18:18" x14ac:dyDescent="0.2">
      <c r="R9592" s="189" t="str">
        <f t="shared" si="233"/>
        <v/>
      </c>
    </row>
    <row r="9593" spans="18:18" x14ac:dyDescent="0.2">
      <c r="R9593" s="189" t="str">
        <f t="shared" si="233"/>
        <v/>
      </c>
    </row>
    <row r="9594" spans="18:18" x14ac:dyDescent="0.2">
      <c r="R9594" s="189" t="str">
        <f t="shared" si="233"/>
        <v/>
      </c>
    </row>
    <row r="9595" spans="18:18" x14ac:dyDescent="0.2">
      <c r="R9595" s="189" t="str">
        <f t="shared" si="233"/>
        <v/>
      </c>
    </row>
    <row r="9596" spans="18:18" x14ac:dyDescent="0.2">
      <c r="R9596" s="189" t="str">
        <f t="shared" si="233"/>
        <v/>
      </c>
    </row>
    <row r="9597" spans="18:18" x14ac:dyDescent="0.2">
      <c r="R9597" s="189" t="str">
        <f t="shared" si="233"/>
        <v/>
      </c>
    </row>
    <row r="9598" spans="18:18" x14ac:dyDescent="0.2">
      <c r="R9598" s="189" t="str">
        <f t="shared" si="233"/>
        <v/>
      </c>
    </row>
    <row r="9599" spans="18:18" x14ac:dyDescent="0.2">
      <c r="R9599" s="189" t="str">
        <f t="shared" si="233"/>
        <v/>
      </c>
    </row>
    <row r="9600" spans="18:18" x14ac:dyDescent="0.2">
      <c r="R9600" s="189" t="str">
        <f t="shared" si="233"/>
        <v/>
      </c>
    </row>
    <row r="9601" spans="18:18" x14ac:dyDescent="0.2">
      <c r="R9601" s="189" t="str">
        <f t="shared" si="233"/>
        <v/>
      </c>
    </row>
    <row r="9602" spans="18:18" x14ac:dyDescent="0.2">
      <c r="R9602" s="189" t="str">
        <f t="shared" si="233"/>
        <v/>
      </c>
    </row>
    <row r="9603" spans="18:18" x14ac:dyDescent="0.2">
      <c r="R9603" s="189" t="str">
        <f t="shared" si="233"/>
        <v/>
      </c>
    </row>
    <row r="9604" spans="18:18" x14ac:dyDescent="0.2">
      <c r="R9604" s="189" t="str">
        <f t="shared" si="233"/>
        <v/>
      </c>
    </row>
    <row r="9605" spans="18:18" x14ac:dyDescent="0.2">
      <c r="R9605" s="189" t="str">
        <f t="shared" si="233"/>
        <v/>
      </c>
    </row>
    <row r="9606" spans="18:18" x14ac:dyDescent="0.2">
      <c r="R9606" s="189" t="str">
        <f t="shared" si="233"/>
        <v/>
      </c>
    </row>
    <row r="9607" spans="18:18" x14ac:dyDescent="0.2">
      <c r="R9607" s="189" t="str">
        <f t="shared" si="233"/>
        <v/>
      </c>
    </row>
    <row r="9608" spans="18:18" x14ac:dyDescent="0.2">
      <c r="R9608" s="189" t="str">
        <f t="shared" si="233"/>
        <v/>
      </c>
    </row>
    <row r="9609" spans="18:18" x14ac:dyDescent="0.2">
      <c r="R9609" s="189" t="str">
        <f t="shared" si="233"/>
        <v/>
      </c>
    </row>
    <row r="9610" spans="18:18" x14ac:dyDescent="0.2">
      <c r="R9610" s="189" t="str">
        <f t="shared" si="233"/>
        <v/>
      </c>
    </row>
    <row r="9611" spans="18:18" x14ac:dyDescent="0.2">
      <c r="R9611" s="189" t="str">
        <f t="shared" si="233"/>
        <v/>
      </c>
    </row>
    <row r="9612" spans="18:18" x14ac:dyDescent="0.2">
      <c r="R9612" s="189" t="str">
        <f t="shared" si="233"/>
        <v/>
      </c>
    </row>
    <row r="9613" spans="18:18" x14ac:dyDescent="0.2">
      <c r="R9613" s="189" t="str">
        <f t="shared" si="233"/>
        <v/>
      </c>
    </row>
    <row r="9614" spans="18:18" x14ac:dyDescent="0.2">
      <c r="R9614" s="189" t="str">
        <f t="shared" si="233"/>
        <v/>
      </c>
    </row>
    <row r="9615" spans="18:18" x14ac:dyDescent="0.2">
      <c r="R9615" s="189" t="str">
        <f t="shared" si="233"/>
        <v/>
      </c>
    </row>
    <row r="9616" spans="18:18" x14ac:dyDescent="0.2">
      <c r="R9616" s="189" t="str">
        <f t="shared" si="233"/>
        <v/>
      </c>
    </row>
    <row r="9617" spans="18:18" x14ac:dyDescent="0.2">
      <c r="R9617" s="189" t="str">
        <f t="shared" si="233"/>
        <v/>
      </c>
    </row>
    <row r="9618" spans="18:18" x14ac:dyDescent="0.2">
      <c r="R9618" s="189" t="str">
        <f t="shared" si="233"/>
        <v/>
      </c>
    </row>
    <row r="9619" spans="18:18" x14ac:dyDescent="0.2">
      <c r="R9619" s="189" t="str">
        <f t="shared" si="233"/>
        <v/>
      </c>
    </row>
    <row r="9620" spans="18:18" x14ac:dyDescent="0.2">
      <c r="R9620" s="189" t="str">
        <f t="shared" si="233"/>
        <v/>
      </c>
    </row>
    <row r="9621" spans="18:18" x14ac:dyDescent="0.2">
      <c r="R9621" s="189" t="str">
        <f t="shared" si="233"/>
        <v/>
      </c>
    </row>
    <row r="9622" spans="18:18" x14ac:dyDescent="0.2">
      <c r="R9622" s="189" t="str">
        <f t="shared" ref="R9622:R9685" si="234">IF(OR(P9622="",Q9622=""),"",IFERROR(P9622-Q9622,""))</f>
        <v/>
      </c>
    </row>
    <row r="9623" spans="18:18" x14ac:dyDescent="0.2">
      <c r="R9623" s="189" t="str">
        <f t="shared" si="234"/>
        <v/>
      </c>
    </row>
    <row r="9624" spans="18:18" x14ac:dyDescent="0.2">
      <c r="R9624" s="189" t="str">
        <f t="shared" si="234"/>
        <v/>
      </c>
    </row>
    <row r="9625" spans="18:18" x14ac:dyDescent="0.2">
      <c r="R9625" s="189" t="str">
        <f t="shared" si="234"/>
        <v/>
      </c>
    </row>
    <row r="9626" spans="18:18" x14ac:dyDescent="0.2">
      <c r="R9626" s="189" t="str">
        <f t="shared" si="234"/>
        <v/>
      </c>
    </row>
    <row r="9627" spans="18:18" x14ac:dyDescent="0.2">
      <c r="R9627" s="189" t="str">
        <f t="shared" si="234"/>
        <v/>
      </c>
    </row>
    <row r="9628" spans="18:18" x14ac:dyDescent="0.2">
      <c r="R9628" s="189" t="str">
        <f t="shared" si="234"/>
        <v/>
      </c>
    </row>
    <row r="9629" spans="18:18" x14ac:dyDescent="0.2">
      <c r="R9629" s="189" t="str">
        <f t="shared" si="234"/>
        <v/>
      </c>
    </row>
    <row r="9630" spans="18:18" x14ac:dyDescent="0.2">
      <c r="R9630" s="189" t="str">
        <f t="shared" si="234"/>
        <v/>
      </c>
    </row>
    <row r="9631" spans="18:18" x14ac:dyDescent="0.2">
      <c r="R9631" s="189" t="str">
        <f t="shared" si="234"/>
        <v/>
      </c>
    </row>
    <row r="9632" spans="18:18" x14ac:dyDescent="0.2">
      <c r="R9632" s="189" t="str">
        <f t="shared" si="234"/>
        <v/>
      </c>
    </row>
    <row r="9633" spans="18:18" x14ac:dyDescent="0.2">
      <c r="R9633" s="189" t="str">
        <f t="shared" si="234"/>
        <v/>
      </c>
    </row>
    <row r="9634" spans="18:18" x14ac:dyDescent="0.2">
      <c r="R9634" s="189" t="str">
        <f t="shared" si="234"/>
        <v/>
      </c>
    </row>
    <row r="9635" spans="18:18" x14ac:dyDescent="0.2">
      <c r="R9635" s="189" t="str">
        <f t="shared" si="234"/>
        <v/>
      </c>
    </row>
    <row r="9636" spans="18:18" x14ac:dyDescent="0.2">
      <c r="R9636" s="189" t="str">
        <f t="shared" si="234"/>
        <v/>
      </c>
    </row>
    <row r="9637" spans="18:18" x14ac:dyDescent="0.2">
      <c r="R9637" s="189" t="str">
        <f t="shared" si="234"/>
        <v/>
      </c>
    </row>
    <row r="9638" spans="18:18" x14ac:dyDescent="0.2">
      <c r="R9638" s="189" t="str">
        <f t="shared" si="234"/>
        <v/>
      </c>
    </row>
    <row r="9639" spans="18:18" x14ac:dyDescent="0.2">
      <c r="R9639" s="189" t="str">
        <f t="shared" si="234"/>
        <v/>
      </c>
    </row>
    <row r="9640" spans="18:18" x14ac:dyDescent="0.2">
      <c r="R9640" s="189" t="str">
        <f t="shared" si="234"/>
        <v/>
      </c>
    </row>
    <row r="9641" spans="18:18" x14ac:dyDescent="0.2">
      <c r="R9641" s="189" t="str">
        <f t="shared" si="234"/>
        <v/>
      </c>
    </row>
    <row r="9642" spans="18:18" x14ac:dyDescent="0.2">
      <c r="R9642" s="189" t="str">
        <f t="shared" si="234"/>
        <v/>
      </c>
    </row>
    <row r="9643" spans="18:18" x14ac:dyDescent="0.2">
      <c r="R9643" s="189" t="str">
        <f t="shared" si="234"/>
        <v/>
      </c>
    </row>
    <row r="9644" spans="18:18" x14ac:dyDescent="0.2">
      <c r="R9644" s="189" t="str">
        <f t="shared" si="234"/>
        <v/>
      </c>
    </row>
    <row r="9645" spans="18:18" x14ac:dyDescent="0.2">
      <c r="R9645" s="189" t="str">
        <f t="shared" si="234"/>
        <v/>
      </c>
    </row>
    <row r="9646" spans="18:18" x14ac:dyDescent="0.2">
      <c r="R9646" s="189" t="str">
        <f t="shared" si="234"/>
        <v/>
      </c>
    </row>
    <row r="9647" spans="18:18" x14ac:dyDescent="0.2">
      <c r="R9647" s="189" t="str">
        <f t="shared" si="234"/>
        <v/>
      </c>
    </row>
    <row r="9648" spans="18:18" x14ac:dyDescent="0.2">
      <c r="R9648" s="189" t="str">
        <f t="shared" si="234"/>
        <v/>
      </c>
    </row>
    <row r="9649" spans="18:18" x14ac:dyDescent="0.2">
      <c r="R9649" s="189" t="str">
        <f t="shared" si="234"/>
        <v/>
      </c>
    </row>
    <row r="9650" spans="18:18" x14ac:dyDescent="0.2">
      <c r="R9650" s="189" t="str">
        <f t="shared" si="234"/>
        <v/>
      </c>
    </row>
    <row r="9651" spans="18:18" x14ac:dyDescent="0.2">
      <c r="R9651" s="189" t="str">
        <f t="shared" si="234"/>
        <v/>
      </c>
    </row>
    <row r="9652" spans="18:18" x14ac:dyDescent="0.2">
      <c r="R9652" s="189" t="str">
        <f t="shared" si="234"/>
        <v/>
      </c>
    </row>
    <row r="9653" spans="18:18" x14ac:dyDescent="0.2">
      <c r="R9653" s="189" t="str">
        <f t="shared" si="234"/>
        <v/>
      </c>
    </row>
    <row r="9654" spans="18:18" x14ac:dyDescent="0.2">
      <c r="R9654" s="189" t="str">
        <f t="shared" si="234"/>
        <v/>
      </c>
    </row>
    <row r="9655" spans="18:18" x14ac:dyDescent="0.2">
      <c r="R9655" s="189" t="str">
        <f t="shared" si="234"/>
        <v/>
      </c>
    </row>
    <row r="9656" spans="18:18" x14ac:dyDescent="0.2">
      <c r="R9656" s="189" t="str">
        <f t="shared" si="234"/>
        <v/>
      </c>
    </row>
    <row r="9657" spans="18:18" x14ac:dyDescent="0.2">
      <c r="R9657" s="189" t="str">
        <f t="shared" si="234"/>
        <v/>
      </c>
    </row>
    <row r="9658" spans="18:18" x14ac:dyDescent="0.2">
      <c r="R9658" s="189" t="str">
        <f t="shared" si="234"/>
        <v/>
      </c>
    </row>
    <row r="9659" spans="18:18" x14ac:dyDescent="0.2">
      <c r="R9659" s="189" t="str">
        <f t="shared" si="234"/>
        <v/>
      </c>
    </row>
    <row r="9660" spans="18:18" x14ac:dyDescent="0.2">
      <c r="R9660" s="189" t="str">
        <f t="shared" si="234"/>
        <v/>
      </c>
    </row>
    <row r="9661" spans="18:18" x14ac:dyDescent="0.2">
      <c r="R9661" s="189" t="str">
        <f t="shared" si="234"/>
        <v/>
      </c>
    </row>
    <row r="9662" spans="18:18" x14ac:dyDescent="0.2">
      <c r="R9662" s="189" t="str">
        <f t="shared" si="234"/>
        <v/>
      </c>
    </row>
    <row r="9663" spans="18:18" x14ac:dyDescent="0.2">
      <c r="R9663" s="189" t="str">
        <f t="shared" si="234"/>
        <v/>
      </c>
    </row>
    <row r="9664" spans="18:18" x14ac:dyDescent="0.2">
      <c r="R9664" s="189" t="str">
        <f t="shared" si="234"/>
        <v/>
      </c>
    </row>
    <row r="9665" spans="18:18" x14ac:dyDescent="0.2">
      <c r="R9665" s="189" t="str">
        <f t="shared" si="234"/>
        <v/>
      </c>
    </row>
    <row r="9666" spans="18:18" x14ac:dyDescent="0.2">
      <c r="R9666" s="189" t="str">
        <f t="shared" si="234"/>
        <v/>
      </c>
    </row>
    <row r="9667" spans="18:18" x14ac:dyDescent="0.2">
      <c r="R9667" s="189" t="str">
        <f t="shared" si="234"/>
        <v/>
      </c>
    </row>
    <row r="9668" spans="18:18" x14ac:dyDescent="0.2">
      <c r="R9668" s="189" t="str">
        <f t="shared" si="234"/>
        <v/>
      </c>
    </row>
    <row r="9669" spans="18:18" x14ac:dyDescent="0.2">
      <c r="R9669" s="189" t="str">
        <f t="shared" si="234"/>
        <v/>
      </c>
    </row>
    <row r="9670" spans="18:18" x14ac:dyDescent="0.2">
      <c r="R9670" s="189" t="str">
        <f t="shared" si="234"/>
        <v/>
      </c>
    </row>
    <row r="9671" spans="18:18" x14ac:dyDescent="0.2">
      <c r="R9671" s="189" t="str">
        <f t="shared" si="234"/>
        <v/>
      </c>
    </row>
    <row r="9672" spans="18:18" x14ac:dyDescent="0.2">
      <c r="R9672" s="189" t="str">
        <f t="shared" si="234"/>
        <v/>
      </c>
    </row>
    <row r="9673" spans="18:18" x14ac:dyDescent="0.2">
      <c r="R9673" s="189" t="str">
        <f t="shared" si="234"/>
        <v/>
      </c>
    </row>
    <row r="9674" spans="18:18" x14ac:dyDescent="0.2">
      <c r="R9674" s="189" t="str">
        <f t="shared" si="234"/>
        <v/>
      </c>
    </row>
    <row r="9675" spans="18:18" x14ac:dyDescent="0.2">
      <c r="R9675" s="189" t="str">
        <f t="shared" si="234"/>
        <v/>
      </c>
    </row>
    <row r="9676" spans="18:18" x14ac:dyDescent="0.2">
      <c r="R9676" s="189" t="str">
        <f t="shared" si="234"/>
        <v/>
      </c>
    </row>
    <row r="9677" spans="18:18" x14ac:dyDescent="0.2">
      <c r="R9677" s="189" t="str">
        <f t="shared" si="234"/>
        <v/>
      </c>
    </row>
    <row r="9678" spans="18:18" x14ac:dyDescent="0.2">
      <c r="R9678" s="189" t="str">
        <f t="shared" si="234"/>
        <v/>
      </c>
    </row>
    <row r="9679" spans="18:18" x14ac:dyDescent="0.2">
      <c r="R9679" s="189" t="str">
        <f t="shared" si="234"/>
        <v/>
      </c>
    </row>
    <row r="9680" spans="18:18" x14ac:dyDescent="0.2">
      <c r="R9680" s="189" t="str">
        <f t="shared" si="234"/>
        <v/>
      </c>
    </row>
    <row r="9681" spans="18:18" x14ac:dyDescent="0.2">
      <c r="R9681" s="189" t="str">
        <f t="shared" si="234"/>
        <v/>
      </c>
    </row>
    <row r="9682" spans="18:18" x14ac:dyDescent="0.2">
      <c r="R9682" s="189" t="str">
        <f t="shared" si="234"/>
        <v/>
      </c>
    </row>
    <row r="9683" spans="18:18" x14ac:dyDescent="0.2">
      <c r="R9683" s="189" t="str">
        <f t="shared" si="234"/>
        <v/>
      </c>
    </row>
    <row r="9684" spans="18:18" x14ac:dyDescent="0.2">
      <c r="R9684" s="189" t="str">
        <f t="shared" si="234"/>
        <v/>
      </c>
    </row>
    <row r="9685" spans="18:18" x14ac:dyDescent="0.2">
      <c r="R9685" s="189" t="str">
        <f t="shared" si="234"/>
        <v/>
      </c>
    </row>
    <row r="9686" spans="18:18" x14ac:dyDescent="0.2">
      <c r="R9686" s="189" t="str">
        <f t="shared" ref="R9686:R9749" si="235">IF(OR(P9686="",Q9686=""),"",IFERROR(P9686-Q9686,""))</f>
        <v/>
      </c>
    </row>
    <row r="9687" spans="18:18" x14ac:dyDescent="0.2">
      <c r="R9687" s="189" t="str">
        <f t="shared" si="235"/>
        <v/>
      </c>
    </row>
    <row r="9688" spans="18:18" x14ac:dyDescent="0.2">
      <c r="R9688" s="189" t="str">
        <f t="shared" si="235"/>
        <v/>
      </c>
    </row>
    <row r="9689" spans="18:18" x14ac:dyDescent="0.2">
      <c r="R9689" s="189" t="str">
        <f t="shared" si="235"/>
        <v/>
      </c>
    </row>
    <row r="9690" spans="18:18" x14ac:dyDescent="0.2">
      <c r="R9690" s="189" t="str">
        <f t="shared" si="235"/>
        <v/>
      </c>
    </row>
    <row r="9691" spans="18:18" x14ac:dyDescent="0.2">
      <c r="R9691" s="189" t="str">
        <f t="shared" si="235"/>
        <v/>
      </c>
    </row>
    <row r="9692" spans="18:18" x14ac:dyDescent="0.2">
      <c r="R9692" s="189" t="str">
        <f t="shared" si="235"/>
        <v/>
      </c>
    </row>
    <row r="9693" spans="18:18" x14ac:dyDescent="0.2">
      <c r="R9693" s="189" t="str">
        <f t="shared" si="235"/>
        <v/>
      </c>
    </row>
    <row r="9694" spans="18:18" x14ac:dyDescent="0.2">
      <c r="R9694" s="189" t="str">
        <f t="shared" si="235"/>
        <v/>
      </c>
    </row>
    <row r="9695" spans="18:18" x14ac:dyDescent="0.2">
      <c r="R9695" s="189" t="str">
        <f t="shared" si="235"/>
        <v/>
      </c>
    </row>
    <row r="9696" spans="18:18" x14ac:dyDescent="0.2">
      <c r="R9696" s="189" t="str">
        <f t="shared" si="235"/>
        <v/>
      </c>
    </row>
    <row r="9697" spans="18:18" x14ac:dyDescent="0.2">
      <c r="R9697" s="189" t="str">
        <f t="shared" si="235"/>
        <v/>
      </c>
    </row>
    <row r="9698" spans="18:18" x14ac:dyDescent="0.2">
      <c r="R9698" s="189" t="str">
        <f t="shared" si="235"/>
        <v/>
      </c>
    </row>
    <row r="9699" spans="18:18" x14ac:dyDescent="0.2">
      <c r="R9699" s="189" t="str">
        <f t="shared" si="235"/>
        <v/>
      </c>
    </row>
    <row r="9700" spans="18:18" x14ac:dyDescent="0.2">
      <c r="R9700" s="189" t="str">
        <f t="shared" si="235"/>
        <v/>
      </c>
    </row>
    <row r="9701" spans="18:18" x14ac:dyDescent="0.2">
      <c r="R9701" s="189" t="str">
        <f t="shared" si="235"/>
        <v/>
      </c>
    </row>
    <row r="9702" spans="18:18" x14ac:dyDescent="0.2">
      <c r="R9702" s="189" t="str">
        <f t="shared" si="235"/>
        <v/>
      </c>
    </row>
    <row r="9703" spans="18:18" x14ac:dyDescent="0.2">
      <c r="R9703" s="189" t="str">
        <f t="shared" si="235"/>
        <v/>
      </c>
    </row>
    <row r="9704" spans="18:18" x14ac:dyDescent="0.2">
      <c r="R9704" s="189" t="str">
        <f t="shared" si="235"/>
        <v/>
      </c>
    </row>
    <row r="9705" spans="18:18" x14ac:dyDescent="0.2">
      <c r="R9705" s="189" t="str">
        <f t="shared" si="235"/>
        <v/>
      </c>
    </row>
    <row r="9706" spans="18:18" x14ac:dyDescent="0.2">
      <c r="R9706" s="189" t="str">
        <f t="shared" si="235"/>
        <v/>
      </c>
    </row>
    <row r="9707" spans="18:18" x14ac:dyDescent="0.2">
      <c r="R9707" s="189" t="str">
        <f t="shared" si="235"/>
        <v/>
      </c>
    </row>
    <row r="9708" spans="18:18" x14ac:dyDescent="0.2">
      <c r="R9708" s="189" t="str">
        <f t="shared" si="235"/>
        <v/>
      </c>
    </row>
    <row r="9709" spans="18:18" x14ac:dyDescent="0.2">
      <c r="R9709" s="189" t="str">
        <f t="shared" si="235"/>
        <v/>
      </c>
    </row>
    <row r="9710" spans="18:18" x14ac:dyDescent="0.2">
      <c r="R9710" s="189" t="str">
        <f t="shared" si="235"/>
        <v/>
      </c>
    </row>
    <row r="9711" spans="18:18" x14ac:dyDescent="0.2">
      <c r="R9711" s="189" t="str">
        <f t="shared" si="235"/>
        <v/>
      </c>
    </row>
    <row r="9712" spans="18:18" x14ac:dyDescent="0.2">
      <c r="R9712" s="189" t="str">
        <f t="shared" si="235"/>
        <v/>
      </c>
    </row>
    <row r="9713" spans="18:18" x14ac:dyDescent="0.2">
      <c r="R9713" s="189" t="str">
        <f t="shared" si="235"/>
        <v/>
      </c>
    </row>
    <row r="9714" spans="18:18" x14ac:dyDescent="0.2">
      <c r="R9714" s="189" t="str">
        <f t="shared" si="235"/>
        <v/>
      </c>
    </row>
    <row r="9715" spans="18:18" x14ac:dyDescent="0.2">
      <c r="R9715" s="189" t="str">
        <f t="shared" si="235"/>
        <v/>
      </c>
    </row>
    <row r="9716" spans="18:18" x14ac:dyDescent="0.2">
      <c r="R9716" s="189" t="str">
        <f t="shared" si="235"/>
        <v/>
      </c>
    </row>
    <row r="9717" spans="18:18" x14ac:dyDescent="0.2">
      <c r="R9717" s="189" t="str">
        <f t="shared" si="235"/>
        <v/>
      </c>
    </row>
    <row r="9718" spans="18:18" x14ac:dyDescent="0.2">
      <c r="R9718" s="189" t="str">
        <f t="shared" si="235"/>
        <v/>
      </c>
    </row>
    <row r="9719" spans="18:18" x14ac:dyDescent="0.2">
      <c r="R9719" s="189" t="str">
        <f t="shared" si="235"/>
        <v/>
      </c>
    </row>
    <row r="9720" spans="18:18" x14ac:dyDescent="0.2">
      <c r="R9720" s="189" t="str">
        <f t="shared" si="235"/>
        <v/>
      </c>
    </row>
    <row r="9721" spans="18:18" x14ac:dyDescent="0.2">
      <c r="R9721" s="189" t="str">
        <f t="shared" si="235"/>
        <v/>
      </c>
    </row>
    <row r="9722" spans="18:18" x14ac:dyDescent="0.2">
      <c r="R9722" s="189" t="str">
        <f t="shared" si="235"/>
        <v/>
      </c>
    </row>
    <row r="9723" spans="18:18" x14ac:dyDescent="0.2">
      <c r="R9723" s="189" t="str">
        <f t="shared" si="235"/>
        <v/>
      </c>
    </row>
    <row r="9724" spans="18:18" x14ac:dyDescent="0.2">
      <c r="R9724" s="189" t="str">
        <f t="shared" si="235"/>
        <v/>
      </c>
    </row>
    <row r="9725" spans="18:18" x14ac:dyDescent="0.2">
      <c r="R9725" s="189" t="str">
        <f t="shared" si="235"/>
        <v/>
      </c>
    </row>
    <row r="9726" spans="18:18" x14ac:dyDescent="0.2">
      <c r="R9726" s="189" t="str">
        <f t="shared" si="235"/>
        <v/>
      </c>
    </row>
    <row r="9727" spans="18:18" x14ac:dyDescent="0.2">
      <c r="R9727" s="189" t="str">
        <f t="shared" si="235"/>
        <v/>
      </c>
    </row>
    <row r="9728" spans="18:18" x14ac:dyDescent="0.2">
      <c r="R9728" s="189" t="str">
        <f t="shared" si="235"/>
        <v/>
      </c>
    </row>
    <row r="9729" spans="18:18" x14ac:dyDescent="0.2">
      <c r="R9729" s="189" t="str">
        <f t="shared" si="235"/>
        <v/>
      </c>
    </row>
    <row r="9730" spans="18:18" x14ac:dyDescent="0.2">
      <c r="R9730" s="189" t="str">
        <f t="shared" si="235"/>
        <v/>
      </c>
    </row>
    <row r="9731" spans="18:18" x14ac:dyDescent="0.2">
      <c r="R9731" s="189" t="str">
        <f t="shared" si="235"/>
        <v/>
      </c>
    </row>
    <row r="9732" spans="18:18" x14ac:dyDescent="0.2">
      <c r="R9732" s="189" t="str">
        <f t="shared" si="235"/>
        <v/>
      </c>
    </row>
    <row r="9733" spans="18:18" x14ac:dyDescent="0.2">
      <c r="R9733" s="189" t="str">
        <f t="shared" si="235"/>
        <v/>
      </c>
    </row>
    <row r="9734" spans="18:18" x14ac:dyDescent="0.2">
      <c r="R9734" s="189" t="str">
        <f t="shared" si="235"/>
        <v/>
      </c>
    </row>
    <row r="9735" spans="18:18" x14ac:dyDescent="0.2">
      <c r="R9735" s="189" t="str">
        <f t="shared" si="235"/>
        <v/>
      </c>
    </row>
    <row r="9736" spans="18:18" x14ac:dyDescent="0.2">
      <c r="R9736" s="189" t="str">
        <f t="shared" si="235"/>
        <v/>
      </c>
    </row>
    <row r="9737" spans="18:18" x14ac:dyDescent="0.2">
      <c r="R9737" s="189" t="str">
        <f t="shared" si="235"/>
        <v/>
      </c>
    </row>
    <row r="9738" spans="18:18" x14ac:dyDescent="0.2">
      <c r="R9738" s="189" t="str">
        <f t="shared" si="235"/>
        <v/>
      </c>
    </row>
    <row r="9739" spans="18:18" x14ac:dyDescent="0.2">
      <c r="R9739" s="189" t="str">
        <f t="shared" si="235"/>
        <v/>
      </c>
    </row>
    <row r="9740" spans="18:18" x14ac:dyDescent="0.2">
      <c r="R9740" s="189" t="str">
        <f t="shared" si="235"/>
        <v/>
      </c>
    </row>
    <row r="9741" spans="18:18" x14ac:dyDescent="0.2">
      <c r="R9741" s="189" t="str">
        <f t="shared" si="235"/>
        <v/>
      </c>
    </row>
    <row r="9742" spans="18:18" x14ac:dyDescent="0.2">
      <c r="R9742" s="189" t="str">
        <f t="shared" si="235"/>
        <v/>
      </c>
    </row>
    <row r="9743" spans="18:18" x14ac:dyDescent="0.2">
      <c r="R9743" s="189" t="str">
        <f t="shared" si="235"/>
        <v/>
      </c>
    </row>
    <row r="9744" spans="18:18" x14ac:dyDescent="0.2">
      <c r="R9744" s="189" t="str">
        <f t="shared" si="235"/>
        <v/>
      </c>
    </row>
    <row r="9745" spans="18:18" x14ac:dyDescent="0.2">
      <c r="R9745" s="189" t="str">
        <f t="shared" si="235"/>
        <v/>
      </c>
    </row>
    <row r="9746" spans="18:18" x14ac:dyDescent="0.2">
      <c r="R9746" s="189" t="str">
        <f t="shared" si="235"/>
        <v/>
      </c>
    </row>
    <row r="9747" spans="18:18" x14ac:dyDescent="0.2">
      <c r="R9747" s="189" t="str">
        <f t="shared" si="235"/>
        <v/>
      </c>
    </row>
    <row r="9748" spans="18:18" x14ac:dyDescent="0.2">
      <c r="R9748" s="189" t="str">
        <f t="shared" si="235"/>
        <v/>
      </c>
    </row>
    <row r="9749" spans="18:18" x14ac:dyDescent="0.2">
      <c r="R9749" s="189" t="str">
        <f t="shared" si="235"/>
        <v/>
      </c>
    </row>
    <row r="9750" spans="18:18" x14ac:dyDescent="0.2">
      <c r="R9750" s="189" t="str">
        <f t="shared" ref="R9750:R9813" si="236">IF(OR(P9750="",Q9750=""),"",IFERROR(P9750-Q9750,""))</f>
        <v/>
      </c>
    </row>
    <row r="9751" spans="18:18" x14ac:dyDescent="0.2">
      <c r="R9751" s="189" t="str">
        <f t="shared" si="236"/>
        <v/>
      </c>
    </row>
    <row r="9752" spans="18:18" x14ac:dyDescent="0.2">
      <c r="R9752" s="189" t="str">
        <f t="shared" si="236"/>
        <v/>
      </c>
    </row>
    <row r="9753" spans="18:18" x14ac:dyDescent="0.2">
      <c r="R9753" s="189" t="str">
        <f t="shared" si="236"/>
        <v/>
      </c>
    </row>
    <row r="9754" spans="18:18" x14ac:dyDescent="0.2">
      <c r="R9754" s="189" t="str">
        <f t="shared" si="236"/>
        <v/>
      </c>
    </row>
    <row r="9755" spans="18:18" x14ac:dyDescent="0.2">
      <c r="R9755" s="189" t="str">
        <f t="shared" si="236"/>
        <v/>
      </c>
    </row>
    <row r="9756" spans="18:18" x14ac:dyDescent="0.2">
      <c r="R9756" s="189" t="str">
        <f t="shared" si="236"/>
        <v/>
      </c>
    </row>
    <row r="9757" spans="18:18" x14ac:dyDescent="0.2">
      <c r="R9757" s="189" t="str">
        <f t="shared" si="236"/>
        <v/>
      </c>
    </row>
    <row r="9758" spans="18:18" x14ac:dyDescent="0.2">
      <c r="R9758" s="189" t="str">
        <f t="shared" si="236"/>
        <v/>
      </c>
    </row>
    <row r="9759" spans="18:18" x14ac:dyDescent="0.2">
      <c r="R9759" s="189" t="str">
        <f t="shared" si="236"/>
        <v/>
      </c>
    </row>
    <row r="9760" spans="18:18" x14ac:dyDescent="0.2">
      <c r="R9760" s="189" t="str">
        <f t="shared" si="236"/>
        <v/>
      </c>
    </row>
    <row r="9761" spans="18:18" x14ac:dyDescent="0.2">
      <c r="R9761" s="189" t="str">
        <f t="shared" si="236"/>
        <v/>
      </c>
    </row>
    <row r="9762" spans="18:18" x14ac:dyDescent="0.2">
      <c r="R9762" s="189" t="str">
        <f t="shared" si="236"/>
        <v/>
      </c>
    </row>
    <row r="9763" spans="18:18" x14ac:dyDescent="0.2">
      <c r="R9763" s="189" t="str">
        <f t="shared" si="236"/>
        <v/>
      </c>
    </row>
    <row r="9764" spans="18:18" x14ac:dyDescent="0.2">
      <c r="R9764" s="189" t="str">
        <f t="shared" si="236"/>
        <v/>
      </c>
    </row>
    <row r="9765" spans="18:18" x14ac:dyDescent="0.2">
      <c r="R9765" s="189" t="str">
        <f t="shared" si="236"/>
        <v/>
      </c>
    </row>
    <row r="9766" spans="18:18" x14ac:dyDescent="0.2">
      <c r="R9766" s="189" t="str">
        <f t="shared" si="236"/>
        <v/>
      </c>
    </row>
    <row r="9767" spans="18:18" x14ac:dyDescent="0.2">
      <c r="R9767" s="189" t="str">
        <f t="shared" si="236"/>
        <v/>
      </c>
    </row>
    <row r="9768" spans="18:18" x14ac:dyDescent="0.2">
      <c r="R9768" s="189" t="str">
        <f t="shared" si="236"/>
        <v/>
      </c>
    </row>
    <row r="9769" spans="18:18" x14ac:dyDescent="0.2">
      <c r="R9769" s="189" t="str">
        <f t="shared" si="236"/>
        <v/>
      </c>
    </row>
    <row r="9770" spans="18:18" x14ac:dyDescent="0.2">
      <c r="R9770" s="189" t="str">
        <f t="shared" si="236"/>
        <v/>
      </c>
    </row>
    <row r="9771" spans="18:18" x14ac:dyDescent="0.2">
      <c r="R9771" s="189" t="str">
        <f t="shared" si="236"/>
        <v/>
      </c>
    </row>
    <row r="9772" spans="18:18" x14ac:dyDescent="0.2">
      <c r="R9772" s="189" t="str">
        <f t="shared" si="236"/>
        <v/>
      </c>
    </row>
    <row r="9773" spans="18:18" x14ac:dyDescent="0.2">
      <c r="R9773" s="189" t="str">
        <f t="shared" si="236"/>
        <v/>
      </c>
    </row>
    <row r="9774" spans="18:18" x14ac:dyDescent="0.2">
      <c r="R9774" s="189" t="str">
        <f t="shared" si="236"/>
        <v/>
      </c>
    </row>
    <row r="9775" spans="18:18" x14ac:dyDescent="0.2">
      <c r="R9775" s="189" t="str">
        <f t="shared" si="236"/>
        <v/>
      </c>
    </row>
    <row r="9776" spans="18:18" x14ac:dyDescent="0.2">
      <c r="R9776" s="189" t="str">
        <f t="shared" si="236"/>
        <v/>
      </c>
    </row>
    <row r="9777" spans="18:18" x14ac:dyDescent="0.2">
      <c r="R9777" s="189" t="str">
        <f t="shared" si="236"/>
        <v/>
      </c>
    </row>
    <row r="9778" spans="18:18" x14ac:dyDescent="0.2">
      <c r="R9778" s="189" t="str">
        <f t="shared" si="236"/>
        <v/>
      </c>
    </row>
    <row r="9779" spans="18:18" x14ac:dyDescent="0.2">
      <c r="R9779" s="189" t="str">
        <f t="shared" si="236"/>
        <v/>
      </c>
    </row>
    <row r="9780" spans="18:18" x14ac:dyDescent="0.2">
      <c r="R9780" s="189" t="str">
        <f t="shared" si="236"/>
        <v/>
      </c>
    </row>
    <row r="9781" spans="18:18" x14ac:dyDescent="0.2">
      <c r="R9781" s="189" t="str">
        <f t="shared" si="236"/>
        <v/>
      </c>
    </row>
    <row r="9782" spans="18:18" x14ac:dyDescent="0.2">
      <c r="R9782" s="189" t="str">
        <f t="shared" si="236"/>
        <v/>
      </c>
    </row>
    <row r="9783" spans="18:18" x14ac:dyDescent="0.2">
      <c r="R9783" s="189" t="str">
        <f t="shared" si="236"/>
        <v/>
      </c>
    </row>
    <row r="9784" spans="18:18" x14ac:dyDescent="0.2">
      <c r="R9784" s="189" t="str">
        <f t="shared" si="236"/>
        <v/>
      </c>
    </row>
    <row r="9785" spans="18:18" x14ac:dyDescent="0.2">
      <c r="R9785" s="189" t="str">
        <f t="shared" si="236"/>
        <v/>
      </c>
    </row>
    <row r="9786" spans="18:18" x14ac:dyDescent="0.2">
      <c r="R9786" s="189" t="str">
        <f t="shared" si="236"/>
        <v/>
      </c>
    </row>
    <row r="9787" spans="18:18" x14ac:dyDescent="0.2">
      <c r="R9787" s="189" t="str">
        <f t="shared" si="236"/>
        <v/>
      </c>
    </row>
    <row r="9788" spans="18:18" x14ac:dyDescent="0.2">
      <c r="R9788" s="189" t="str">
        <f t="shared" si="236"/>
        <v/>
      </c>
    </row>
    <row r="9789" spans="18:18" x14ac:dyDescent="0.2">
      <c r="R9789" s="189" t="str">
        <f t="shared" si="236"/>
        <v/>
      </c>
    </row>
    <row r="9790" spans="18:18" x14ac:dyDescent="0.2">
      <c r="R9790" s="189" t="str">
        <f t="shared" si="236"/>
        <v/>
      </c>
    </row>
    <row r="9791" spans="18:18" x14ac:dyDescent="0.2">
      <c r="R9791" s="189" t="str">
        <f t="shared" si="236"/>
        <v/>
      </c>
    </row>
    <row r="9792" spans="18:18" x14ac:dyDescent="0.2">
      <c r="R9792" s="189" t="str">
        <f t="shared" si="236"/>
        <v/>
      </c>
    </row>
    <row r="9793" spans="18:18" x14ac:dyDescent="0.2">
      <c r="R9793" s="189" t="str">
        <f t="shared" si="236"/>
        <v/>
      </c>
    </row>
    <row r="9794" spans="18:18" x14ac:dyDescent="0.2">
      <c r="R9794" s="189" t="str">
        <f t="shared" si="236"/>
        <v/>
      </c>
    </row>
    <row r="9795" spans="18:18" x14ac:dyDescent="0.2">
      <c r="R9795" s="189" t="str">
        <f t="shared" si="236"/>
        <v/>
      </c>
    </row>
    <row r="9796" spans="18:18" x14ac:dyDescent="0.2">
      <c r="R9796" s="189" t="str">
        <f t="shared" si="236"/>
        <v/>
      </c>
    </row>
    <row r="9797" spans="18:18" x14ac:dyDescent="0.2">
      <c r="R9797" s="189" t="str">
        <f t="shared" si="236"/>
        <v/>
      </c>
    </row>
    <row r="9798" spans="18:18" x14ac:dyDescent="0.2">
      <c r="R9798" s="189" t="str">
        <f t="shared" si="236"/>
        <v/>
      </c>
    </row>
    <row r="9799" spans="18:18" x14ac:dyDescent="0.2">
      <c r="R9799" s="189" t="str">
        <f t="shared" si="236"/>
        <v/>
      </c>
    </row>
    <row r="9800" spans="18:18" x14ac:dyDescent="0.2">
      <c r="R9800" s="189" t="str">
        <f t="shared" si="236"/>
        <v/>
      </c>
    </row>
    <row r="9801" spans="18:18" x14ac:dyDescent="0.2">
      <c r="R9801" s="189" t="str">
        <f t="shared" si="236"/>
        <v/>
      </c>
    </row>
    <row r="9802" spans="18:18" x14ac:dyDescent="0.2">
      <c r="R9802" s="189" t="str">
        <f t="shared" si="236"/>
        <v/>
      </c>
    </row>
    <row r="9803" spans="18:18" x14ac:dyDescent="0.2">
      <c r="R9803" s="189" t="str">
        <f t="shared" si="236"/>
        <v/>
      </c>
    </row>
    <row r="9804" spans="18:18" x14ac:dyDescent="0.2">
      <c r="R9804" s="189" t="str">
        <f t="shared" si="236"/>
        <v/>
      </c>
    </row>
    <row r="9805" spans="18:18" x14ac:dyDescent="0.2">
      <c r="R9805" s="189" t="str">
        <f t="shared" si="236"/>
        <v/>
      </c>
    </row>
    <row r="9806" spans="18:18" x14ac:dyDescent="0.2">
      <c r="R9806" s="189" t="str">
        <f t="shared" si="236"/>
        <v/>
      </c>
    </row>
    <row r="9807" spans="18:18" x14ac:dyDescent="0.2">
      <c r="R9807" s="189" t="str">
        <f t="shared" si="236"/>
        <v/>
      </c>
    </row>
    <row r="9808" spans="18:18" x14ac:dyDescent="0.2">
      <c r="R9808" s="189" t="str">
        <f t="shared" si="236"/>
        <v/>
      </c>
    </row>
    <row r="9809" spans="18:18" x14ac:dyDescent="0.2">
      <c r="R9809" s="189" t="str">
        <f t="shared" si="236"/>
        <v/>
      </c>
    </row>
    <row r="9810" spans="18:18" x14ac:dyDescent="0.2">
      <c r="R9810" s="189" t="str">
        <f t="shared" si="236"/>
        <v/>
      </c>
    </row>
    <row r="9811" spans="18:18" x14ac:dyDescent="0.2">
      <c r="R9811" s="189" t="str">
        <f t="shared" si="236"/>
        <v/>
      </c>
    </row>
    <row r="9812" spans="18:18" x14ac:dyDescent="0.2">
      <c r="R9812" s="189" t="str">
        <f t="shared" si="236"/>
        <v/>
      </c>
    </row>
    <row r="9813" spans="18:18" x14ac:dyDescent="0.2">
      <c r="R9813" s="189" t="str">
        <f t="shared" si="236"/>
        <v/>
      </c>
    </row>
    <row r="9814" spans="18:18" x14ac:dyDescent="0.2">
      <c r="R9814" s="189" t="str">
        <f t="shared" ref="R9814:R9877" si="237">IF(OR(P9814="",Q9814=""),"",IFERROR(P9814-Q9814,""))</f>
        <v/>
      </c>
    </row>
    <row r="9815" spans="18:18" x14ac:dyDescent="0.2">
      <c r="R9815" s="189" t="str">
        <f t="shared" si="237"/>
        <v/>
      </c>
    </row>
    <row r="9816" spans="18:18" x14ac:dyDescent="0.2">
      <c r="R9816" s="189" t="str">
        <f t="shared" si="237"/>
        <v/>
      </c>
    </row>
    <row r="9817" spans="18:18" x14ac:dyDescent="0.2">
      <c r="R9817" s="189" t="str">
        <f t="shared" si="237"/>
        <v/>
      </c>
    </row>
    <row r="9818" spans="18:18" x14ac:dyDescent="0.2">
      <c r="R9818" s="189" t="str">
        <f t="shared" si="237"/>
        <v/>
      </c>
    </row>
    <row r="9819" spans="18:18" x14ac:dyDescent="0.2">
      <c r="R9819" s="189" t="str">
        <f t="shared" si="237"/>
        <v/>
      </c>
    </row>
    <row r="9820" spans="18:18" x14ac:dyDescent="0.2">
      <c r="R9820" s="189" t="str">
        <f t="shared" si="237"/>
        <v/>
      </c>
    </row>
    <row r="9821" spans="18:18" x14ac:dyDescent="0.2">
      <c r="R9821" s="189" t="str">
        <f t="shared" si="237"/>
        <v/>
      </c>
    </row>
    <row r="9822" spans="18:18" x14ac:dyDescent="0.2">
      <c r="R9822" s="189" t="str">
        <f t="shared" si="237"/>
        <v/>
      </c>
    </row>
    <row r="9823" spans="18:18" x14ac:dyDescent="0.2">
      <c r="R9823" s="189" t="str">
        <f t="shared" si="237"/>
        <v/>
      </c>
    </row>
    <row r="9824" spans="18:18" x14ac:dyDescent="0.2">
      <c r="R9824" s="189" t="str">
        <f t="shared" si="237"/>
        <v/>
      </c>
    </row>
    <row r="9825" spans="18:18" x14ac:dyDescent="0.2">
      <c r="R9825" s="189" t="str">
        <f t="shared" si="237"/>
        <v/>
      </c>
    </row>
    <row r="9826" spans="18:18" x14ac:dyDescent="0.2">
      <c r="R9826" s="189" t="str">
        <f t="shared" si="237"/>
        <v/>
      </c>
    </row>
    <row r="9827" spans="18:18" x14ac:dyDescent="0.2">
      <c r="R9827" s="189" t="str">
        <f t="shared" si="237"/>
        <v/>
      </c>
    </row>
    <row r="9828" spans="18:18" x14ac:dyDescent="0.2">
      <c r="R9828" s="189" t="str">
        <f t="shared" si="237"/>
        <v/>
      </c>
    </row>
    <row r="9829" spans="18:18" x14ac:dyDescent="0.2">
      <c r="R9829" s="189" t="str">
        <f t="shared" si="237"/>
        <v/>
      </c>
    </row>
    <row r="9830" spans="18:18" x14ac:dyDescent="0.2">
      <c r="R9830" s="189" t="str">
        <f t="shared" si="237"/>
        <v/>
      </c>
    </row>
    <row r="9831" spans="18:18" x14ac:dyDescent="0.2">
      <c r="R9831" s="189" t="str">
        <f t="shared" si="237"/>
        <v/>
      </c>
    </row>
    <row r="9832" spans="18:18" x14ac:dyDescent="0.2">
      <c r="R9832" s="189" t="str">
        <f t="shared" si="237"/>
        <v/>
      </c>
    </row>
    <row r="9833" spans="18:18" x14ac:dyDescent="0.2">
      <c r="R9833" s="189" t="str">
        <f t="shared" si="237"/>
        <v/>
      </c>
    </row>
    <row r="9834" spans="18:18" x14ac:dyDescent="0.2">
      <c r="R9834" s="189" t="str">
        <f t="shared" si="237"/>
        <v/>
      </c>
    </row>
    <row r="9835" spans="18:18" x14ac:dyDescent="0.2">
      <c r="R9835" s="189" t="str">
        <f t="shared" si="237"/>
        <v/>
      </c>
    </row>
    <row r="9836" spans="18:18" x14ac:dyDescent="0.2">
      <c r="R9836" s="189" t="str">
        <f t="shared" si="237"/>
        <v/>
      </c>
    </row>
    <row r="9837" spans="18:18" x14ac:dyDescent="0.2">
      <c r="R9837" s="189" t="str">
        <f t="shared" si="237"/>
        <v/>
      </c>
    </row>
    <row r="9838" spans="18:18" x14ac:dyDescent="0.2">
      <c r="R9838" s="189" t="str">
        <f t="shared" si="237"/>
        <v/>
      </c>
    </row>
    <row r="9839" spans="18:18" x14ac:dyDescent="0.2">
      <c r="R9839" s="189" t="str">
        <f t="shared" si="237"/>
        <v/>
      </c>
    </row>
    <row r="9840" spans="18:18" x14ac:dyDescent="0.2">
      <c r="R9840" s="189" t="str">
        <f t="shared" si="237"/>
        <v/>
      </c>
    </row>
    <row r="9841" spans="18:18" x14ac:dyDescent="0.2">
      <c r="R9841" s="189" t="str">
        <f t="shared" si="237"/>
        <v/>
      </c>
    </row>
    <row r="9842" spans="18:18" x14ac:dyDescent="0.2">
      <c r="R9842" s="189" t="str">
        <f t="shared" si="237"/>
        <v/>
      </c>
    </row>
    <row r="9843" spans="18:18" x14ac:dyDescent="0.2">
      <c r="R9843" s="189" t="str">
        <f t="shared" si="237"/>
        <v/>
      </c>
    </row>
    <row r="9844" spans="18:18" x14ac:dyDescent="0.2">
      <c r="R9844" s="189" t="str">
        <f t="shared" si="237"/>
        <v/>
      </c>
    </row>
    <row r="9845" spans="18:18" x14ac:dyDescent="0.2">
      <c r="R9845" s="189" t="str">
        <f t="shared" si="237"/>
        <v/>
      </c>
    </row>
    <row r="9846" spans="18:18" x14ac:dyDescent="0.2">
      <c r="R9846" s="189" t="str">
        <f t="shared" si="237"/>
        <v/>
      </c>
    </row>
    <row r="9847" spans="18:18" x14ac:dyDescent="0.2">
      <c r="R9847" s="189" t="str">
        <f t="shared" si="237"/>
        <v/>
      </c>
    </row>
    <row r="9848" spans="18:18" x14ac:dyDescent="0.2">
      <c r="R9848" s="189" t="str">
        <f t="shared" si="237"/>
        <v/>
      </c>
    </row>
    <row r="9849" spans="18:18" x14ac:dyDescent="0.2">
      <c r="R9849" s="189" t="str">
        <f t="shared" si="237"/>
        <v/>
      </c>
    </row>
    <row r="9850" spans="18:18" x14ac:dyDescent="0.2">
      <c r="R9850" s="189" t="str">
        <f t="shared" si="237"/>
        <v/>
      </c>
    </row>
    <row r="9851" spans="18:18" x14ac:dyDescent="0.2">
      <c r="R9851" s="189" t="str">
        <f t="shared" si="237"/>
        <v/>
      </c>
    </row>
    <row r="9852" spans="18:18" x14ac:dyDescent="0.2">
      <c r="R9852" s="189" t="str">
        <f t="shared" si="237"/>
        <v/>
      </c>
    </row>
    <row r="9853" spans="18:18" x14ac:dyDescent="0.2">
      <c r="R9853" s="189" t="str">
        <f t="shared" si="237"/>
        <v/>
      </c>
    </row>
    <row r="9854" spans="18:18" x14ac:dyDescent="0.2">
      <c r="R9854" s="189" t="str">
        <f t="shared" si="237"/>
        <v/>
      </c>
    </row>
    <row r="9855" spans="18:18" x14ac:dyDescent="0.2">
      <c r="R9855" s="189" t="str">
        <f t="shared" si="237"/>
        <v/>
      </c>
    </row>
    <row r="9856" spans="18:18" x14ac:dyDescent="0.2">
      <c r="R9856" s="189" t="str">
        <f t="shared" si="237"/>
        <v/>
      </c>
    </row>
    <row r="9857" spans="18:18" x14ac:dyDescent="0.2">
      <c r="R9857" s="189" t="str">
        <f t="shared" si="237"/>
        <v/>
      </c>
    </row>
    <row r="9858" spans="18:18" x14ac:dyDescent="0.2">
      <c r="R9858" s="189" t="str">
        <f t="shared" si="237"/>
        <v/>
      </c>
    </row>
    <row r="9859" spans="18:18" x14ac:dyDescent="0.2">
      <c r="R9859" s="189" t="str">
        <f t="shared" si="237"/>
        <v/>
      </c>
    </row>
    <row r="9860" spans="18:18" x14ac:dyDescent="0.2">
      <c r="R9860" s="189" t="str">
        <f t="shared" si="237"/>
        <v/>
      </c>
    </row>
    <row r="9861" spans="18:18" x14ac:dyDescent="0.2">
      <c r="R9861" s="189" t="str">
        <f t="shared" si="237"/>
        <v/>
      </c>
    </row>
    <row r="9862" spans="18:18" x14ac:dyDescent="0.2">
      <c r="R9862" s="189" t="str">
        <f t="shared" si="237"/>
        <v/>
      </c>
    </row>
    <row r="9863" spans="18:18" x14ac:dyDescent="0.2">
      <c r="R9863" s="189" t="str">
        <f t="shared" si="237"/>
        <v/>
      </c>
    </row>
    <row r="9864" spans="18:18" x14ac:dyDescent="0.2">
      <c r="R9864" s="189" t="str">
        <f t="shared" si="237"/>
        <v/>
      </c>
    </row>
    <row r="9865" spans="18:18" x14ac:dyDescent="0.2">
      <c r="R9865" s="189" t="str">
        <f t="shared" si="237"/>
        <v/>
      </c>
    </row>
    <row r="9866" spans="18:18" x14ac:dyDescent="0.2">
      <c r="R9866" s="189" t="str">
        <f t="shared" si="237"/>
        <v/>
      </c>
    </row>
    <row r="9867" spans="18:18" x14ac:dyDescent="0.2">
      <c r="R9867" s="189" t="str">
        <f t="shared" si="237"/>
        <v/>
      </c>
    </row>
    <row r="9868" spans="18:18" x14ac:dyDescent="0.2">
      <c r="R9868" s="189" t="str">
        <f t="shared" si="237"/>
        <v/>
      </c>
    </row>
    <row r="9869" spans="18:18" x14ac:dyDescent="0.2">
      <c r="R9869" s="189" t="str">
        <f t="shared" si="237"/>
        <v/>
      </c>
    </row>
    <row r="9870" spans="18:18" x14ac:dyDescent="0.2">
      <c r="R9870" s="189" t="str">
        <f t="shared" si="237"/>
        <v/>
      </c>
    </row>
    <row r="9871" spans="18:18" x14ac:dyDescent="0.2">
      <c r="R9871" s="189" t="str">
        <f t="shared" si="237"/>
        <v/>
      </c>
    </row>
    <row r="9872" spans="18:18" x14ac:dyDescent="0.2">
      <c r="R9872" s="189" t="str">
        <f t="shared" si="237"/>
        <v/>
      </c>
    </row>
    <row r="9873" spans="18:18" x14ac:dyDescent="0.2">
      <c r="R9873" s="189" t="str">
        <f t="shared" si="237"/>
        <v/>
      </c>
    </row>
    <row r="9874" spans="18:18" x14ac:dyDescent="0.2">
      <c r="R9874" s="189" t="str">
        <f t="shared" si="237"/>
        <v/>
      </c>
    </row>
    <row r="9875" spans="18:18" x14ac:dyDescent="0.2">
      <c r="R9875" s="189" t="str">
        <f t="shared" si="237"/>
        <v/>
      </c>
    </row>
    <row r="9876" spans="18:18" x14ac:dyDescent="0.2">
      <c r="R9876" s="189" t="str">
        <f t="shared" si="237"/>
        <v/>
      </c>
    </row>
    <row r="9877" spans="18:18" x14ac:dyDescent="0.2">
      <c r="R9877" s="189" t="str">
        <f t="shared" si="237"/>
        <v/>
      </c>
    </row>
    <row r="9878" spans="18:18" x14ac:dyDescent="0.2">
      <c r="R9878" s="189" t="str">
        <f t="shared" ref="R9878:R9941" si="238">IF(OR(P9878="",Q9878=""),"",IFERROR(P9878-Q9878,""))</f>
        <v/>
      </c>
    </row>
    <row r="9879" spans="18:18" x14ac:dyDescent="0.2">
      <c r="R9879" s="189" t="str">
        <f t="shared" si="238"/>
        <v/>
      </c>
    </row>
    <row r="9880" spans="18:18" x14ac:dyDescent="0.2">
      <c r="R9880" s="189" t="str">
        <f t="shared" si="238"/>
        <v/>
      </c>
    </row>
    <row r="9881" spans="18:18" x14ac:dyDescent="0.2">
      <c r="R9881" s="189" t="str">
        <f t="shared" si="238"/>
        <v/>
      </c>
    </row>
    <row r="9882" spans="18:18" x14ac:dyDescent="0.2">
      <c r="R9882" s="189" t="str">
        <f t="shared" si="238"/>
        <v/>
      </c>
    </row>
    <row r="9883" spans="18:18" x14ac:dyDescent="0.2">
      <c r="R9883" s="189" t="str">
        <f t="shared" si="238"/>
        <v/>
      </c>
    </row>
    <row r="9884" spans="18:18" x14ac:dyDescent="0.2">
      <c r="R9884" s="189" t="str">
        <f t="shared" si="238"/>
        <v/>
      </c>
    </row>
    <row r="9885" spans="18:18" x14ac:dyDescent="0.2">
      <c r="R9885" s="189" t="str">
        <f t="shared" si="238"/>
        <v/>
      </c>
    </row>
    <row r="9886" spans="18:18" x14ac:dyDescent="0.2">
      <c r="R9886" s="189" t="str">
        <f t="shared" si="238"/>
        <v/>
      </c>
    </row>
    <row r="9887" spans="18:18" x14ac:dyDescent="0.2">
      <c r="R9887" s="189" t="str">
        <f t="shared" si="238"/>
        <v/>
      </c>
    </row>
    <row r="9888" spans="18:18" x14ac:dyDescent="0.2">
      <c r="R9888" s="189" t="str">
        <f t="shared" si="238"/>
        <v/>
      </c>
    </row>
    <row r="9889" spans="18:18" x14ac:dyDescent="0.2">
      <c r="R9889" s="189" t="str">
        <f t="shared" si="238"/>
        <v/>
      </c>
    </row>
    <row r="9890" spans="18:18" x14ac:dyDescent="0.2">
      <c r="R9890" s="189" t="str">
        <f t="shared" si="238"/>
        <v/>
      </c>
    </row>
    <row r="9891" spans="18:18" x14ac:dyDescent="0.2">
      <c r="R9891" s="189" t="str">
        <f t="shared" si="238"/>
        <v/>
      </c>
    </row>
    <row r="9892" spans="18:18" x14ac:dyDescent="0.2">
      <c r="R9892" s="189" t="str">
        <f t="shared" si="238"/>
        <v/>
      </c>
    </row>
    <row r="9893" spans="18:18" x14ac:dyDescent="0.2">
      <c r="R9893" s="189" t="str">
        <f t="shared" si="238"/>
        <v/>
      </c>
    </row>
    <row r="9894" spans="18:18" x14ac:dyDescent="0.2">
      <c r="R9894" s="189" t="str">
        <f t="shared" si="238"/>
        <v/>
      </c>
    </row>
    <row r="9895" spans="18:18" x14ac:dyDescent="0.2">
      <c r="R9895" s="189" t="str">
        <f t="shared" si="238"/>
        <v/>
      </c>
    </row>
    <row r="9896" spans="18:18" x14ac:dyDescent="0.2">
      <c r="R9896" s="189" t="str">
        <f t="shared" si="238"/>
        <v/>
      </c>
    </row>
    <row r="9897" spans="18:18" x14ac:dyDescent="0.2">
      <c r="R9897" s="189" t="str">
        <f t="shared" si="238"/>
        <v/>
      </c>
    </row>
    <row r="9898" spans="18:18" x14ac:dyDescent="0.2">
      <c r="R9898" s="189" t="str">
        <f t="shared" si="238"/>
        <v/>
      </c>
    </row>
    <row r="9899" spans="18:18" x14ac:dyDescent="0.2">
      <c r="R9899" s="189" t="str">
        <f t="shared" si="238"/>
        <v/>
      </c>
    </row>
    <row r="9900" spans="18:18" x14ac:dyDescent="0.2">
      <c r="R9900" s="189" t="str">
        <f t="shared" si="238"/>
        <v/>
      </c>
    </row>
    <row r="9901" spans="18:18" x14ac:dyDescent="0.2">
      <c r="R9901" s="189" t="str">
        <f t="shared" si="238"/>
        <v/>
      </c>
    </row>
    <row r="9902" spans="18:18" x14ac:dyDescent="0.2">
      <c r="R9902" s="189" t="str">
        <f t="shared" si="238"/>
        <v/>
      </c>
    </row>
    <row r="9903" spans="18:18" x14ac:dyDescent="0.2">
      <c r="R9903" s="189" t="str">
        <f t="shared" si="238"/>
        <v/>
      </c>
    </row>
    <row r="9904" spans="18:18" x14ac:dyDescent="0.2">
      <c r="R9904" s="189" t="str">
        <f t="shared" si="238"/>
        <v/>
      </c>
    </row>
    <row r="9905" spans="18:18" x14ac:dyDescent="0.2">
      <c r="R9905" s="189" t="str">
        <f t="shared" si="238"/>
        <v/>
      </c>
    </row>
    <row r="9906" spans="18:18" x14ac:dyDescent="0.2">
      <c r="R9906" s="189" t="str">
        <f t="shared" si="238"/>
        <v/>
      </c>
    </row>
    <row r="9907" spans="18:18" x14ac:dyDescent="0.2">
      <c r="R9907" s="189" t="str">
        <f t="shared" si="238"/>
        <v/>
      </c>
    </row>
    <row r="9908" spans="18:18" x14ac:dyDescent="0.2">
      <c r="R9908" s="189" t="str">
        <f t="shared" si="238"/>
        <v/>
      </c>
    </row>
    <row r="9909" spans="18:18" x14ac:dyDescent="0.2">
      <c r="R9909" s="189" t="str">
        <f t="shared" si="238"/>
        <v/>
      </c>
    </row>
    <row r="9910" spans="18:18" x14ac:dyDescent="0.2">
      <c r="R9910" s="189" t="str">
        <f t="shared" si="238"/>
        <v/>
      </c>
    </row>
    <row r="9911" spans="18:18" x14ac:dyDescent="0.2">
      <c r="R9911" s="189" t="str">
        <f t="shared" si="238"/>
        <v/>
      </c>
    </row>
    <row r="9912" spans="18:18" x14ac:dyDescent="0.2">
      <c r="R9912" s="189" t="str">
        <f t="shared" si="238"/>
        <v/>
      </c>
    </row>
    <row r="9913" spans="18:18" x14ac:dyDescent="0.2">
      <c r="R9913" s="189" t="str">
        <f t="shared" si="238"/>
        <v/>
      </c>
    </row>
    <row r="9914" spans="18:18" x14ac:dyDescent="0.2">
      <c r="R9914" s="189" t="str">
        <f t="shared" si="238"/>
        <v/>
      </c>
    </row>
    <row r="9915" spans="18:18" x14ac:dyDescent="0.2">
      <c r="R9915" s="189" t="str">
        <f t="shared" si="238"/>
        <v/>
      </c>
    </row>
    <row r="9916" spans="18:18" x14ac:dyDescent="0.2">
      <c r="R9916" s="189" t="str">
        <f t="shared" si="238"/>
        <v/>
      </c>
    </row>
    <row r="9917" spans="18:18" x14ac:dyDescent="0.2">
      <c r="R9917" s="189" t="str">
        <f t="shared" si="238"/>
        <v/>
      </c>
    </row>
    <row r="9918" spans="18:18" x14ac:dyDescent="0.2">
      <c r="R9918" s="189" t="str">
        <f t="shared" si="238"/>
        <v/>
      </c>
    </row>
    <row r="9919" spans="18:18" x14ac:dyDescent="0.2">
      <c r="R9919" s="189" t="str">
        <f t="shared" si="238"/>
        <v/>
      </c>
    </row>
    <row r="9920" spans="18:18" x14ac:dyDescent="0.2">
      <c r="R9920" s="189" t="str">
        <f t="shared" si="238"/>
        <v/>
      </c>
    </row>
    <row r="9921" spans="18:18" x14ac:dyDescent="0.2">
      <c r="R9921" s="189" t="str">
        <f t="shared" si="238"/>
        <v/>
      </c>
    </row>
    <row r="9922" spans="18:18" x14ac:dyDescent="0.2">
      <c r="R9922" s="189" t="str">
        <f t="shared" si="238"/>
        <v/>
      </c>
    </row>
    <row r="9923" spans="18:18" x14ac:dyDescent="0.2">
      <c r="R9923" s="189" t="str">
        <f t="shared" si="238"/>
        <v/>
      </c>
    </row>
    <row r="9924" spans="18:18" x14ac:dyDescent="0.2">
      <c r="R9924" s="189" t="str">
        <f t="shared" si="238"/>
        <v/>
      </c>
    </row>
    <row r="9925" spans="18:18" x14ac:dyDescent="0.2">
      <c r="R9925" s="189" t="str">
        <f t="shared" si="238"/>
        <v/>
      </c>
    </row>
    <row r="9926" spans="18:18" x14ac:dyDescent="0.2">
      <c r="R9926" s="189" t="str">
        <f t="shared" si="238"/>
        <v/>
      </c>
    </row>
    <row r="9927" spans="18:18" x14ac:dyDescent="0.2">
      <c r="R9927" s="189" t="str">
        <f t="shared" si="238"/>
        <v/>
      </c>
    </row>
    <row r="9928" spans="18:18" x14ac:dyDescent="0.2">
      <c r="R9928" s="189" t="str">
        <f t="shared" si="238"/>
        <v/>
      </c>
    </row>
    <row r="9929" spans="18:18" x14ac:dyDescent="0.2">
      <c r="R9929" s="189" t="str">
        <f t="shared" si="238"/>
        <v/>
      </c>
    </row>
    <row r="9930" spans="18:18" x14ac:dyDescent="0.2">
      <c r="R9930" s="189" t="str">
        <f t="shared" si="238"/>
        <v/>
      </c>
    </row>
    <row r="9931" spans="18:18" x14ac:dyDescent="0.2">
      <c r="R9931" s="189" t="str">
        <f t="shared" si="238"/>
        <v/>
      </c>
    </row>
    <row r="9932" spans="18:18" x14ac:dyDescent="0.2">
      <c r="R9932" s="189" t="str">
        <f t="shared" si="238"/>
        <v/>
      </c>
    </row>
    <row r="9933" spans="18:18" x14ac:dyDescent="0.2">
      <c r="R9933" s="189" t="str">
        <f t="shared" si="238"/>
        <v/>
      </c>
    </row>
    <row r="9934" spans="18:18" x14ac:dyDescent="0.2">
      <c r="R9934" s="189" t="str">
        <f t="shared" si="238"/>
        <v/>
      </c>
    </row>
    <row r="9935" spans="18:18" x14ac:dyDescent="0.2">
      <c r="R9935" s="189" t="str">
        <f t="shared" si="238"/>
        <v/>
      </c>
    </row>
    <row r="9936" spans="18:18" x14ac:dyDescent="0.2">
      <c r="R9936" s="189" t="str">
        <f t="shared" si="238"/>
        <v/>
      </c>
    </row>
    <row r="9937" spans="18:18" x14ac:dyDescent="0.2">
      <c r="R9937" s="189" t="str">
        <f t="shared" si="238"/>
        <v/>
      </c>
    </row>
    <row r="9938" spans="18:18" x14ac:dyDescent="0.2">
      <c r="R9938" s="189" t="str">
        <f t="shared" si="238"/>
        <v/>
      </c>
    </row>
    <row r="9939" spans="18:18" x14ac:dyDescent="0.2">
      <c r="R9939" s="189" t="str">
        <f t="shared" si="238"/>
        <v/>
      </c>
    </row>
    <row r="9940" spans="18:18" x14ac:dyDescent="0.2">
      <c r="R9940" s="189" t="str">
        <f t="shared" si="238"/>
        <v/>
      </c>
    </row>
    <row r="9941" spans="18:18" x14ac:dyDescent="0.2">
      <c r="R9941" s="189" t="str">
        <f t="shared" si="238"/>
        <v/>
      </c>
    </row>
    <row r="9942" spans="18:18" x14ac:dyDescent="0.2">
      <c r="R9942" s="189" t="str">
        <f t="shared" ref="R9942:R10005" si="239">IF(OR(P9942="",Q9942=""),"",IFERROR(P9942-Q9942,""))</f>
        <v/>
      </c>
    </row>
    <row r="9943" spans="18:18" x14ac:dyDescent="0.2">
      <c r="R9943" s="189" t="str">
        <f t="shared" si="239"/>
        <v/>
      </c>
    </row>
    <row r="9944" spans="18:18" x14ac:dyDescent="0.2">
      <c r="R9944" s="189" t="str">
        <f t="shared" si="239"/>
        <v/>
      </c>
    </row>
    <row r="9945" spans="18:18" x14ac:dyDescent="0.2">
      <c r="R9945" s="189" t="str">
        <f t="shared" si="239"/>
        <v/>
      </c>
    </row>
    <row r="9946" spans="18:18" x14ac:dyDescent="0.2">
      <c r="R9946" s="189" t="str">
        <f t="shared" si="239"/>
        <v/>
      </c>
    </row>
    <row r="9947" spans="18:18" x14ac:dyDescent="0.2">
      <c r="R9947" s="189" t="str">
        <f t="shared" si="239"/>
        <v/>
      </c>
    </row>
    <row r="9948" spans="18:18" x14ac:dyDescent="0.2">
      <c r="R9948" s="189" t="str">
        <f t="shared" si="239"/>
        <v/>
      </c>
    </row>
    <row r="9949" spans="18:18" x14ac:dyDescent="0.2">
      <c r="R9949" s="189" t="str">
        <f t="shared" si="239"/>
        <v/>
      </c>
    </row>
    <row r="9950" spans="18:18" x14ac:dyDescent="0.2">
      <c r="R9950" s="189" t="str">
        <f t="shared" si="239"/>
        <v/>
      </c>
    </row>
    <row r="9951" spans="18:18" x14ac:dyDescent="0.2">
      <c r="R9951" s="189" t="str">
        <f t="shared" si="239"/>
        <v/>
      </c>
    </row>
    <row r="9952" spans="18:18" x14ac:dyDescent="0.2">
      <c r="R9952" s="189" t="str">
        <f t="shared" si="239"/>
        <v/>
      </c>
    </row>
    <row r="9953" spans="18:18" x14ac:dyDescent="0.2">
      <c r="R9953" s="189" t="str">
        <f t="shared" si="239"/>
        <v/>
      </c>
    </row>
    <row r="9954" spans="18:18" x14ac:dyDescent="0.2">
      <c r="R9954" s="189" t="str">
        <f t="shared" si="239"/>
        <v/>
      </c>
    </row>
    <row r="9955" spans="18:18" x14ac:dyDescent="0.2">
      <c r="R9955" s="189" t="str">
        <f t="shared" si="239"/>
        <v/>
      </c>
    </row>
    <row r="9956" spans="18:18" x14ac:dyDescent="0.2">
      <c r="R9956" s="189" t="str">
        <f t="shared" si="239"/>
        <v/>
      </c>
    </row>
    <row r="9957" spans="18:18" x14ac:dyDescent="0.2">
      <c r="R9957" s="189" t="str">
        <f t="shared" si="239"/>
        <v/>
      </c>
    </row>
    <row r="9958" spans="18:18" x14ac:dyDescent="0.2">
      <c r="R9958" s="189" t="str">
        <f t="shared" si="239"/>
        <v/>
      </c>
    </row>
    <row r="9959" spans="18:18" x14ac:dyDescent="0.2">
      <c r="R9959" s="189" t="str">
        <f t="shared" si="239"/>
        <v/>
      </c>
    </row>
    <row r="9960" spans="18:18" x14ac:dyDescent="0.2">
      <c r="R9960" s="189" t="str">
        <f t="shared" si="239"/>
        <v/>
      </c>
    </row>
    <row r="9961" spans="18:18" x14ac:dyDescent="0.2">
      <c r="R9961" s="189" t="str">
        <f t="shared" si="239"/>
        <v/>
      </c>
    </row>
    <row r="9962" spans="18:18" x14ac:dyDescent="0.2">
      <c r="R9962" s="189" t="str">
        <f t="shared" si="239"/>
        <v/>
      </c>
    </row>
    <row r="9963" spans="18:18" x14ac:dyDescent="0.2">
      <c r="R9963" s="189" t="str">
        <f t="shared" si="239"/>
        <v/>
      </c>
    </row>
    <row r="9964" spans="18:18" x14ac:dyDescent="0.2">
      <c r="R9964" s="189" t="str">
        <f t="shared" si="239"/>
        <v/>
      </c>
    </row>
    <row r="9965" spans="18:18" x14ac:dyDescent="0.2">
      <c r="R9965" s="189" t="str">
        <f t="shared" si="239"/>
        <v/>
      </c>
    </row>
    <row r="9966" spans="18:18" x14ac:dyDescent="0.2">
      <c r="R9966" s="189" t="str">
        <f t="shared" si="239"/>
        <v/>
      </c>
    </row>
    <row r="9967" spans="18:18" x14ac:dyDescent="0.2">
      <c r="R9967" s="189" t="str">
        <f t="shared" si="239"/>
        <v/>
      </c>
    </row>
    <row r="9968" spans="18:18" x14ac:dyDescent="0.2">
      <c r="R9968" s="189" t="str">
        <f t="shared" si="239"/>
        <v/>
      </c>
    </row>
    <row r="9969" spans="18:18" x14ac:dyDescent="0.2">
      <c r="R9969" s="189" t="str">
        <f t="shared" si="239"/>
        <v/>
      </c>
    </row>
    <row r="9970" spans="18:18" x14ac:dyDescent="0.2">
      <c r="R9970" s="189" t="str">
        <f t="shared" si="239"/>
        <v/>
      </c>
    </row>
    <row r="9971" spans="18:18" x14ac:dyDescent="0.2">
      <c r="R9971" s="189" t="str">
        <f t="shared" si="239"/>
        <v/>
      </c>
    </row>
    <row r="9972" spans="18:18" x14ac:dyDescent="0.2">
      <c r="R9972" s="189" t="str">
        <f t="shared" si="239"/>
        <v/>
      </c>
    </row>
    <row r="9973" spans="18:18" x14ac:dyDescent="0.2">
      <c r="R9973" s="189" t="str">
        <f t="shared" si="239"/>
        <v/>
      </c>
    </row>
    <row r="9974" spans="18:18" x14ac:dyDescent="0.2">
      <c r="R9974" s="189" t="str">
        <f t="shared" si="239"/>
        <v/>
      </c>
    </row>
    <row r="9975" spans="18:18" x14ac:dyDescent="0.2">
      <c r="R9975" s="189" t="str">
        <f t="shared" si="239"/>
        <v/>
      </c>
    </row>
    <row r="9976" spans="18:18" x14ac:dyDescent="0.2">
      <c r="R9976" s="189" t="str">
        <f t="shared" si="239"/>
        <v/>
      </c>
    </row>
    <row r="9977" spans="18:18" x14ac:dyDescent="0.2">
      <c r="R9977" s="189" t="str">
        <f t="shared" si="239"/>
        <v/>
      </c>
    </row>
    <row r="9978" spans="18:18" x14ac:dyDescent="0.2">
      <c r="R9978" s="189" t="str">
        <f t="shared" si="239"/>
        <v/>
      </c>
    </row>
    <row r="9979" spans="18:18" x14ac:dyDescent="0.2">
      <c r="R9979" s="189" t="str">
        <f t="shared" si="239"/>
        <v/>
      </c>
    </row>
    <row r="9980" spans="18:18" x14ac:dyDescent="0.2">
      <c r="R9980" s="189" t="str">
        <f t="shared" si="239"/>
        <v/>
      </c>
    </row>
    <row r="9981" spans="18:18" x14ac:dyDescent="0.2">
      <c r="R9981" s="189" t="str">
        <f t="shared" si="239"/>
        <v/>
      </c>
    </row>
    <row r="9982" spans="18:18" x14ac:dyDescent="0.2">
      <c r="R9982" s="189" t="str">
        <f t="shared" si="239"/>
        <v/>
      </c>
    </row>
    <row r="9983" spans="18:18" x14ac:dyDescent="0.2">
      <c r="R9983" s="189" t="str">
        <f t="shared" si="239"/>
        <v/>
      </c>
    </row>
    <row r="9984" spans="18:18" x14ac:dyDescent="0.2">
      <c r="R9984" s="189" t="str">
        <f t="shared" si="239"/>
        <v/>
      </c>
    </row>
    <row r="9985" spans="18:18" x14ac:dyDescent="0.2">
      <c r="R9985" s="189" t="str">
        <f t="shared" si="239"/>
        <v/>
      </c>
    </row>
    <row r="9986" spans="18:18" x14ac:dyDescent="0.2">
      <c r="R9986" s="189" t="str">
        <f t="shared" si="239"/>
        <v/>
      </c>
    </row>
    <row r="9987" spans="18:18" x14ac:dyDescent="0.2">
      <c r="R9987" s="189" t="str">
        <f t="shared" si="239"/>
        <v/>
      </c>
    </row>
    <row r="9988" spans="18:18" x14ac:dyDescent="0.2">
      <c r="R9988" s="189" t="str">
        <f t="shared" si="239"/>
        <v/>
      </c>
    </row>
    <row r="9989" spans="18:18" x14ac:dyDescent="0.2">
      <c r="R9989" s="189" t="str">
        <f t="shared" si="239"/>
        <v/>
      </c>
    </row>
    <row r="9990" spans="18:18" x14ac:dyDescent="0.2">
      <c r="R9990" s="189" t="str">
        <f t="shared" si="239"/>
        <v/>
      </c>
    </row>
    <row r="9991" spans="18:18" x14ac:dyDescent="0.2">
      <c r="R9991" s="189" t="str">
        <f t="shared" si="239"/>
        <v/>
      </c>
    </row>
    <row r="9992" spans="18:18" x14ac:dyDescent="0.2">
      <c r="R9992" s="189" t="str">
        <f t="shared" si="239"/>
        <v/>
      </c>
    </row>
    <row r="9993" spans="18:18" x14ac:dyDescent="0.2">
      <c r="R9993" s="189" t="str">
        <f t="shared" si="239"/>
        <v/>
      </c>
    </row>
    <row r="9994" spans="18:18" x14ac:dyDescent="0.2">
      <c r="R9994" s="189" t="str">
        <f t="shared" si="239"/>
        <v/>
      </c>
    </row>
    <row r="9995" spans="18:18" x14ac:dyDescent="0.2">
      <c r="R9995" s="189" t="str">
        <f t="shared" si="239"/>
        <v/>
      </c>
    </row>
    <row r="9996" spans="18:18" x14ac:dyDescent="0.2">
      <c r="R9996" s="189" t="str">
        <f t="shared" si="239"/>
        <v/>
      </c>
    </row>
    <row r="9997" spans="18:18" x14ac:dyDescent="0.2">
      <c r="R9997" s="189" t="str">
        <f t="shared" si="239"/>
        <v/>
      </c>
    </row>
    <row r="9998" spans="18:18" x14ac:dyDescent="0.2">
      <c r="R9998" s="189" t="str">
        <f t="shared" si="239"/>
        <v/>
      </c>
    </row>
    <row r="9999" spans="18:18" x14ac:dyDescent="0.2">
      <c r="R9999" s="189" t="str">
        <f t="shared" si="239"/>
        <v/>
      </c>
    </row>
    <row r="10000" spans="18:18" x14ac:dyDescent="0.2">
      <c r="R10000" s="189" t="str">
        <f t="shared" si="239"/>
        <v/>
      </c>
    </row>
  </sheetData>
  <sheetProtection sheet="1" objects="1" scenarios="1"/>
  <mergeCells count="4">
    <mergeCell ref="A1:F1"/>
    <mergeCell ref="H1:K1"/>
    <mergeCell ref="M1:R1"/>
    <mergeCell ref="T1:Z1"/>
  </mergeCells>
  <conditionalFormatting sqref="R3:R1000">
    <cfRule type="expression" dxfId="61" priority="31">
      <formula>AND(ISNUMBER(R3),R3&gt;=1)</formula>
    </cfRule>
  </conditionalFormatting>
  <conditionalFormatting sqref="R3:R5000">
    <cfRule type="expression" dxfId="60" priority="32">
      <formula>AND(ISNUMBER(R2533),R2533&gt;=1)</formula>
    </cfRule>
  </conditionalFormatting>
  <dataValidations count="9">
    <dataValidation type="list" allowBlank="1" showInputMessage="1" showErrorMessage="1" errorTitle="Valor inválido" error="Valor no válido. Usa el desplegable." sqref="D3:D1000" xr:uid="{2B06DEAB-40EA-D14A-A27F-340657652D39}">
      <formula1>"FISICO,GYM,TEC-TAC,PARTIDO,RECUPERACIÓN,DESCANSO,MATINAL"</formula1>
    </dataValidation>
    <dataValidation type="whole" allowBlank="1" showInputMessage="1" showErrorMessage="1" errorTitle="Fuera de rango" error="Valor entre 0 y 300" sqref="E3:E1000" xr:uid="{B479FCC4-0FD0-6544-84AB-A52F82DD755F}">
      <formula1>0</formula1>
      <formula2>300</formula2>
    </dataValidation>
    <dataValidation type="list" allowBlank="1" showInputMessage="1" showErrorMessage="1" errorTitle="Valor inválido" error="Valor no válido. Usa el desplegable." sqref="J3:J1000 U3:U1000 O3:O1000" xr:uid="{21F3C8AD-59EC-FF4B-8AFD-7928F30B5396}">
      <formula1>"HERRERO,GARCIA,OSCAR,CECILIO,CHAGUINHA,RAUL,HARRISON,RAYA,JAVI,PANI,PIRATA,BARONA,CARLOS,GONZALO,SEGO,RUBIO,DANI,JAIME,ANCHU,NACHO,J21,J22,J23,J24,J25"</formula1>
    </dataValidation>
    <dataValidation type="decimal" allowBlank="1" showInputMessage="1" showErrorMessage="1" errorTitle="Fuera de rango" error="Valor entre 40 y 150" sqref="P3:Q1000" xr:uid="{27D287CC-3DF9-7E47-8D64-D1B3EA142B4E}">
      <formula1>40</formula1>
      <formula2>150</formula2>
    </dataValidation>
    <dataValidation type="list" allowBlank="1" showInputMessage="1" showErrorMessage="1" errorTitle="⚠ Turno inválido" error="Solo M (Mañana) o T (Tarde)." sqref="B3:B1000 N3:N1000 I3:I1000" xr:uid="{6050A844-BAC3-4E40-BD29-259093380C9F}">
      <formula1>"M,T"</formula1>
    </dataValidation>
    <dataValidation type="whole" allowBlank="1" showInputMessage="1" showErrorMessage="1" errorTitle="⚠ Wellness inválido" error="Los valores de wellness deben ser números enteros del 1 al 5." sqref="V3:Y1000" xr:uid="{DF760E61-E227-3648-95B0-84969DC2CA8E}">
      <formula1>1</formula1>
      <formula2>5</formula2>
    </dataValidation>
    <dataValidation type="list" allowBlank="1" showInputMessage="1" showErrorMessage="1" errorTitle="⚠ Competición inválida" error="Selecciona una competición de la lista." sqref="F3:F1000" xr:uid="{69225350-99E5-EE4D-B090-1E528F8969C6}">
      <formula1>"PRE-TEMPORADA,LIGA,COPA,AMISTOSO,CAMPUS,COMPETICIÓN 1,COMPETICIÓN 2,COMPETICIÓN 3"</formula1>
    </dataValidation>
    <dataValidation type="list" allowBlank="1" showInputMessage="1" showErrorMessage="1" sqref="C3:C1000" xr:uid="{5C6A2D07-4F06-EA4C-8641-AD9CD8BF0D37}">
      <formula1>"FISICO,GYM,TEC-TAC,PARTIDO,RECUPERACIÓN,DESCANSO,MATINAL,GYM+TEC-TAC,GYM+FISICO"</formula1>
    </dataValidation>
    <dataValidation type="list" allowBlank="1" showInputMessage="1" showErrorMessage="1" sqref="K3:K1000" xr:uid="{62EB2AC2-8B23-6F43-979C-D79C255E8AD4}">
      <formula1>"1,2,3,4,5,6,7,8,9,10,S,A,L,N,D,NC"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242E-5A78-3946-AA97-4AB50BE48C47}">
  <sheetPr>
    <tabColor rgb="FFE65100"/>
  </sheetPr>
  <dimension ref="A1:X55"/>
  <sheetViews>
    <sheetView zoomScale="90" zoomScaleNormal="90" workbookViewId="0">
      <pane ySplit="5" topLeftCell="A6" activePane="bottomLeft" state="frozen"/>
      <selection pane="bottomLeft" activeCell="B3" sqref="B3"/>
    </sheetView>
  </sheetViews>
  <sheetFormatPr baseColWidth="10" defaultRowHeight="16" x14ac:dyDescent="0.2"/>
  <cols>
    <col min="1" max="1" width="18.33203125" customWidth="1"/>
    <col min="2" max="2" width="19.1640625" customWidth="1"/>
    <col min="3" max="3" width="7.5" customWidth="1"/>
    <col min="4" max="24" width="10" customWidth="1"/>
  </cols>
  <sheetData>
    <row r="1" spans="1:24" ht="24" customHeight="1" x14ac:dyDescent="0.25">
      <c r="A1" s="209" t="s">
        <v>81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</row>
    <row r="2" spans="1:24" ht="19" customHeight="1" x14ac:dyDescent="0.25">
      <c r="A2" s="1" t="s">
        <v>90</v>
      </c>
      <c r="B2" s="12">
        <f>IFERROR(_xlfn.ISOWEEKNUM(B3),"")</f>
        <v>36</v>
      </c>
      <c r="C2" s="1" t="s">
        <v>91</v>
      </c>
      <c r="D2" s="26">
        <f>IFERROR(YEAR(B3),"")</f>
        <v>2025</v>
      </c>
      <c r="E2" s="198" t="s">
        <v>170</v>
      </c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27"/>
      <c r="V2" s="27"/>
      <c r="W2" s="27"/>
      <c r="X2" s="27"/>
    </row>
    <row r="3" spans="1:24" ht="19" x14ac:dyDescent="0.25">
      <c r="A3" s="1" t="s">
        <v>92</v>
      </c>
      <c r="B3" s="25">
        <v>45901</v>
      </c>
      <c r="C3" s="1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27"/>
      <c r="V3" s="27"/>
      <c r="W3" s="27"/>
      <c r="X3" s="27"/>
    </row>
    <row r="4" spans="1:24" x14ac:dyDescent="0.2">
      <c r="A4" s="28"/>
      <c r="B4" s="29"/>
      <c r="C4" s="29"/>
      <c r="D4" s="205" t="str">
        <f>"LUNES "&amp;TEXT($B$3+0,"dd-mm-yyyy")</f>
        <v>LUNES 01-09-yyyy</v>
      </c>
      <c r="E4" s="206"/>
      <c r="F4" s="206"/>
      <c r="G4" s="205" t="str">
        <f>"MARTES "&amp;TEXT($B$3+1,"dd-mm-yyyy")</f>
        <v>MARTES 02-09-yyyy</v>
      </c>
      <c r="H4" s="206"/>
      <c r="I4" s="206"/>
      <c r="J4" s="205" t="str">
        <f>"MIÉRCOLES "&amp;TEXT($B$3+2,"dd-mm-yyyy")</f>
        <v>MIÉRCOLES 03-09-yyyy</v>
      </c>
      <c r="K4" s="206"/>
      <c r="L4" s="206"/>
      <c r="M4" s="205" t="str">
        <f>"JUEVES "&amp;TEXT($B$3+3,"dd-mm-yyyy")</f>
        <v>JUEVES 04-09-yyyy</v>
      </c>
      <c r="N4" s="206"/>
      <c r="O4" s="206"/>
      <c r="P4" s="205" t="str">
        <f>"VIERNES "&amp;TEXT($B$3+4,"dd-mm-yyyy")</f>
        <v>VIERNES 05-09-yyyy</v>
      </c>
      <c r="Q4" s="206"/>
      <c r="R4" s="206"/>
      <c r="S4" s="205" t="str">
        <f>"SÁBADO "&amp;TEXT($B$3+5,"dd-mm-yyyy")</f>
        <v>SÁBADO 06-09-yyyy</v>
      </c>
      <c r="T4" s="206"/>
      <c r="U4" s="206"/>
      <c r="V4" s="205" t="str">
        <f>"DOMINGO "&amp;TEXT($B$3+6,"dd-mm-yyyy")</f>
        <v>DOMINGO 07-09-yyyy</v>
      </c>
      <c r="W4" s="206"/>
      <c r="X4" s="211"/>
    </row>
    <row r="5" spans="1:24" x14ac:dyDescent="0.2">
      <c r="A5" s="30" t="s">
        <v>69</v>
      </c>
      <c r="B5" s="31" t="s">
        <v>76</v>
      </c>
      <c r="C5" s="31" t="s">
        <v>72</v>
      </c>
      <c r="D5" s="31" t="s">
        <v>66</v>
      </c>
      <c r="E5" s="31" t="s">
        <v>67</v>
      </c>
      <c r="F5" s="31" t="s">
        <v>82</v>
      </c>
      <c r="G5" s="31" t="s">
        <v>66</v>
      </c>
      <c r="H5" s="31" t="s">
        <v>67</v>
      </c>
      <c r="I5" s="31" t="s">
        <v>82</v>
      </c>
      <c r="J5" s="31" t="s">
        <v>66</v>
      </c>
      <c r="K5" s="31" t="s">
        <v>67</v>
      </c>
      <c r="L5" s="31" t="s">
        <v>82</v>
      </c>
      <c r="M5" s="31" t="s">
        <v>66</v>
      </c>
      <c r="N5" s="31" t="s">
        <v>67</v>
      </c>
      <c r="O5" s="31" t="s">
        <v>82</v>
      </c>
      <c r="P5" s="31" t="s">
        <v>66</v>
      </c>
      <c r="Q5" s="31" t="s">
        <v>67</v>
      </c>
      <c r="R5" s="31" t="s">
        <v>82</v>
      </c>
      <c r="S5" s="31" t="s">
        <v>66</v>
      </c>
      <c r="T5" s="31" t="s">
        <v>67</v>
      </c>
      <c r="U5" s="31" t="s">
        <v>82</v>
      </c>
      <c r="V5" s="31" t="s">
        <v>66</v>
      </c>
      <c r="W5" s="31" t="s">
        <v>67</v>
      </c>
      <c r="X5" s="32" t="s">
        <v>82</v>
      </c>
    </row>
    <row r="6" spans="1:24" x14ac:dyDescent="0.2">
      <c r="A6" s="199">
        <v>1</v>
      </c>
      <c r="B6" s="201" t="s">
        <v>41</v>
      </c>
      <c r="C6" s="33" t="s">
        <v>70</v>
      </c>
      <c r="D6" s="34" t="str" cm="1">
        <f t="array" ref="D6">IFERROR(IF(SUMPRODUCT((INPUT!$M$3:$M$1000=$B$3+0)*(INPUT!$N$3:$N$1000="M")*(INPUT!$O$3:$O$1000="HERRERO"))=0,"",SUMPRODUCT((INPUT!$M$3:$M$1000=$B$3+0)*(INPUT!$N$3:$N$1000="M")*(INPUT!$O$3:$O$1000="HERRERO")*INPUT!$P$3:$P$1000)),"")</f>
        <v/>
      </c>
      <c r="E6" s="34" t="str" cm="1">
        <f t="array" ref="E6">IFERROR(IF(SUMPRODUCT((INPUT!$M$3:$M$1000=$B$3+0)*(INPUT!$N$3:$N$1000="M")*(INPUT!$O$3:$O$1000="HERRERO"))=0,"",SUMPRODUCT((INPUT!$M$3:$M$1000=$B$3+0)*(INPUT!$N$3:$N$1000="M")*(INPUT!$O$3:$O$1000="HERRERO")*INPUT!$Q$3:$Q$1000)),"")</f>
        <v/>
      </c>
      <c r="F6" s="34" t="str">
        <f t="shared" ref="F6:F37" si="0">IFERROR(IF(OR(D6="",E6=""),"",D6-E6),"")</f>
        <v/>
      </c>
      <c r="G6" s="34" cm="1">
        <f t="array" ref="G6">IFERROR(IF(SUMPRODUCT((INPUT!$M$3:$M$1000=$B$3+1)*(INPUT!$N$3:$N$1000="M")*(INPUT!$O$3:$O$1000="HERRERO"))=0,"",SUMPRODUCT((INPUT!$M$3:$M$1000=$B$3+1)*(INPUT!$N$3:$N$1000="M")*(INPUT!$O$3:$O$1000="HERRERO")*INPUT!$P$3:$P$1000)),"")</f>
        <v>76.8</v>
      </c>
      <c r="H6" s="34" cm="1">
        <f t="array" ref="H6">IFERROR(IF(SUMPRODUCT((INPUT!$M$3:$M$1000=$B$3+1)*(INPUT!$N$3:$N$1000="M")*(INPUT!$O$3:$O$1000="HERRERO"))=0,"",SUMPRODUCT((INPUT!$M$3:$M$1000=$B$3+1)*(INPUT!$N$3:$N$1000="M")*(INPUT!$O$3:$O$1000="HERRERO")*INPUT!$Q$3:$Q$1000)),"")</f>
        <v>76</v>
      </c>
      <c r="I6" s="34">
        <f t="shared" ref="I6:I37" si="1">IFERROR(IF(OR(G6="",H6=""),"",G6-H6),"")</f>
        <v>0.79999999999999716</v>
      </c>
      <c r="J6" s="34" cm="1">
        <f t="array" ref="J6">IFERROR(IF(SUMPRODUCT((INPUT!$M$3:$M$1000=$B$3+2)*(INPUT!$N$3:$N$1000="M")*(INPUT!$O$3:$O$1000="HERRERO"))=0,"",SUMPRODUCT((INPUT!$M$3:$M$1000=$B$3+2)*(INPUT!$N$3:$N$1000="M")*(INPUT!$O$3:$O$1000="HERRERO")*INPUT!$P$3:$P$1000)),"")</f>
        <v>76.8</v>
      </c>
      <c r="K6" s="34" cm="1">
        <f t="array" ref="K6">IFERROR(IF(SUMPRODUCT((INPUT!$M$3:$M$1000=$B$3+2)*(INPUT!$N$3:$N$1000="M")*(INPUT!$O$3:$O$1000="HERRERO"))=0,"",SUMPRODUCT((INPUT!$M$3:$M$1000=$B$3+2)*(INPUT!$N$3:$N$1000="M")*(INPUT!$O$3:$O$1000="HERRERO")*INPUT!$Q$3:$Q$1000)),"")</f>
        <v>76</v>
      </c>
      <c r="L6" s="34">
        <f t="shared" ref="L6:L37" si="2">IFERROR(IF(OR(J6="",K6=""),"",J6-K6),"")</f>
        <v>0.79999999999999716</v>
      </c>
      <c r="M6" s="34" cm="1">
        <f t="array" ref="M6">IFERROR(IF(SUMPRODUCT((INPUT!$M$3:$M$1000=$B$3+3)*(INPUT!$N$3:$N$1000="M")*(INPUT!$O$3:$O$1000="HERRERO"))=0,"",SUMPRODUCT((INPUT!$M$3:$M$1000=$B$3+3)*(INPUT!$N$3:$N$1000="M")*(INPUT!$O$3:$O$1000="HERRERO")*INPUT!$P$3:$P$1000)),"")</f>
        <v>76.8</v>
      </c>
      <c r="N6" s="34" cm="1">
        <f t="array" ref="N6">IFERROR(IF(SUMPRODUCT((INPUT!$M$3:$M$1000=$B$3+3)*(INPUT!$N$3:$N$1000="M")*(INPUT!$O$3:$O$1000="HERRERO"))=0,"",SUMPRODUCT((INPUT!$M$3:$M$1000=$B$3+3)*(INPUT!$N$3:$N$1000="M")*(INPUT!$O$3:$O$1000="HERRERO")*INPUT!$Q$3:$Q$1000)),"")</f>
        <v>76</v>
      </c>
      <c r="O6" s="34">
        <f t="shared" ref="O6:O37" si="3">IFERROR(IF(OR(M6="",N6=""),"",M6-N6),"")</f>
        <v>0.79999999999999716</v>
      </c>
      <c r="P6" s="34" cm="1">
        <f t="array" ref="P6">IFERROR(IF(SUMPRODUCT((INPUT!$M$3:$M$1000=$B$3+4)*(INPUT!$N$3:$N$1000="M")*(INPUT!$O$3:$O$1000="HERRERO"))=0,"",SUMPRODUCT((INPUT!$M$3:$M$1000=$B$3+4)*(INPUT!$N$3:$N$1000="M")*(INPUT!$O$3:$O$1000="HERRERO")*INPUT!$P$3:$P$1000)),"")</f>
        <v>76.8</v>
      </c>
      <c r="Q6" s="34" cm="1">
        <f t="array" ref="Q6">IFERROR(IF(SUMPRODUCT((INPUT!$M$3:$M$1000=$B$3+4)*(INPUT!$N$3:$N$1000="M")*(INPUT!$O$3:$O$1000="HERRERO"))=0,"",SUMPRODUCT((INPUT!$M$3:$M$1000=$B$3+4)*(INPUT!$N$3:$N$1000="M")*(INPUT!$O$3:$O$1000="HERRERO")*INPUT!$Q$3:$Q$1000)),"")</f>
        <v>76</v>
      </c>
      <c r="R6" s="34">
        <f t="shared" ref="R6:R37" si="4">IFERROR(IF(OR(P6="",Q6=""),"",P6-Q6),"")</f>
        <v>0.79999999999999716</v>
      </c>
      <c r="S6" s="34" t="str" cm="1">
        <f t="array" ref="S6">IFERROR(IF(SUMPRODUCT((INPUT!$M$3:$M$1000=$B$3+5)*(INPUT!$N$3:$N$1000="M")*(INPUT!$O$3:$O$1000="HERRERO"))=0,"",SUMPRODUCT((INPUT!$M$3:$M$1000=$B$3+5)*(INPUT!$N$3:$N$1000="M")*(INPUT!$O$3:$O$1000="HERRERO")*INPUT!$P$3:$P$1000)),"")</f>
        <v/>
      </c>
      <c r="T6" s="34" t="str" cm="1">
        <f t="array" ref="T6">IFERROR(IF(SUMPRODUCT((INPUT!$M$3:$M$1000=$B$3+5)*(INPUT!$N$3:$N$1000="M")*(INPUT!$O$3:$O$1000="HERRERO"))=0,"",SUMPRODUCT((INPUT!$M$3:$M$1000=$B$3+5)*(INPUT!$N$3:$N$1000="M")*(INPUT!$O$3:$O$1000="HERRERO")*INPUT!$Q$3:$Q$1000)),"")</f>
        <v/>
      </c>
      <c r="U6" s="34" t="str">
        <f t="shared" ref="U6:U37" si="5">IFERROR(IF(OR(S6="",T6=""),"",S6-T6),"")</f>
        <v/>
      </c>
      <c r="V6" s="34" t="str" cm="1">
        <f t="array" ref="V6">IFERROR(IF(SUMPRODUCT((INPUT!$M$3:$M$1000=$B$3+6)*(INPUT!$N$3:$N$1000="M")*(INPUT!$O$3:$O$1000="HERRERO"))=0,"",SUMPRODUCT((INPUT!$M$3:$M$1000=$B$3+6)*(INPUT!$N$3:$N$1000="M")*(INPUT!$O$3:$O$1000="HERRERO")*INPUT!$P$3:$P$1000)),"")</f>
        <v/>
      </c>
      <c r="W6" s="34" t="str" cm="1">
        <f t="array" ref="W6">IFERROR(IF(SUMPRODUCT((INPUT!$M$3:$M$1000=$B$3+6)*(INPUT!$N$3:$N$1000="M")*(INPUT!$O$3:$O$1000="HERRERO"))=0,"",SUMPRODUCT((INPUT!$M$3:$M$1000=$B$3+6)*(INPUT!$N$3:$N$1000="M")*(INPUT!$O$3:$O$1000="HERRERO")*INPUT!$Q$3:$Q$1000)),"")</f>
        <v/>
      </c>
      <c r="X6" s="35" t="str">
        <f t="shared" ref="X6:X37" si="6">IFERROR(IF(OR(V6="",W6=""),"",V6-W6),"")</f>
        <v/>
      </c>
    </row>
    <row r="7" spans="1:24" x14ac:dyDescent="0.2">
      <c r="A7" s="200"/>
      <c r="B7" s="202"/>
      <c r="C7" s="36" t="s">
        <v>71</v>
      </c>
      <c r="D7" s="37" t="str" cm="1">
        <f t="array" ref="D7">IFERROR(IF(SUMPRODUCT((INPUT!$M$3:$M$1000=$B$3+0)*(INPUT!$N$3:$N$1000="T")*(INPUT!$O$3:$O$1000="HERRERO"))=0,"",SUMPRODUCT((INPUT!$M$3:$M$1000=$B$3+0)*(INPUT!$N$3:$N$1000="T")*(INPUT!$O$3:$O$1000="HERRERO")*INPUT!$P$3:$P$1000)),"")</f>
        <v/>
      </c>
      <c r="E7" s="37" t="str" cm="1">
        <f t="array" ref="E7">IFERROR(IF(SUMPRODUCT((INPUT!$M$3:$M$1000=$B$3+0)*(INPUT!$N$3:$N$1000="T")*(INPUT!$O$3:$O$1000="HERRERO"))=0,"",SUMPRODUCT((INPUT!$M$3:$M$1000=$B$3+0)*(INPUT!$N$3:$N$1000="T")*(INPUT!$O$3:$O$1000="HERRERO")*INPUT!$Q$3:$Q$1000)),"")</f>
        <v/>
      </c>
      <c r="F7" s="37" t="str">
        <f t="shared" si="0"/>
        <v/>
      </c>
      <c r="G7" s="37" t="str" cm="1">
        <f t="array" ref="G7">IFERROR(IF(SUMPRODUCT((INPUT!$M$3:$M$1000=$B$3+1)*(INPUT!$N$3:$N$1000="T")*(INPUT!$O$3:$O$1000="HERRERO"))=0,"",SUMPRODUCT((INPUT!$M$3:$M$1000=$B$3+1)*(INPUT!$N$3:$N$1000="T")*(INPUT!$O$3:$O$1000="HERRERO")*INPUT!$P$3:$P$1000)),"")</f>
        <v/>
      </c>
      <c r="H7" s="37" t="str" cm="1">
        <f t="array" ref="H7">IFERROR(IF(SUMPRODUCT((INPUT!$M$3:$M$1000=$B$3+1)*(INPUT!$N$3:$N$1000="T")*(INPUT!$O$3:$O$1000="HERRERO"))=0,"",SUMPRODUCT((INPUT!$M$3:$M$1000=$B$3+1)*(INPUT!$N$3:$N$1000="T")*(INPUT!$O$3:$O$1000="HERRERO")*INPUT!$Q$3:$Q$1000)),"")</f>
        <v/>
      </c>
      <c r="I7" s="37" t="str">
        <f t="shared" si="1"/>
        <v/>
      </c>
      <c r="J7" s="37" t="str" cm="1">
        <f t="array" ref="J7">IFERROR(IF(SUMPRODUCT((INPUT!$M$3:$M$1000=$B$3+2)*(INPUT!$N$3:$N$1000="T")*(INPUT!$O$3:$O$1000="HERRERO"))=0,"",SUMPRODUCT((INPUT!$M$3:$M$1000=$B$3+2)*(INPUT!$N$3:$N$1000="T")*(INPUT!$O$3:$O$1000="HERRERO")*INPUT!$P$3:$P$1000)),"")</f>
        <v/>
      </c>
      <c r="K7" s="37" t="str" cm="1">
        <f t="array" ref="K7">IFERROR(IF(SUMPRODUCT((INPUT!$M$3:$M$1000=$B$3+2)*(INPUT!$N$3:$N$1000="T")*(INPUT!$O$3:$O$1000="HERRERO"))=0,"",SUMPRODUCT((INPUT!$M$3:$M$1000=$B$3+2)*(INPUT!$N$3:$N$1000="T")*(INPUT!$O$3:$O$1000="HERRERO")*INPUT!$Q$3:$Q$1000)),"")</f>
        <v/>
      </c>
      <c r="L7" s="37" t="str">
        <f t="shared" si="2"/>
        <v/>
      </c>
      <c r="M7" s="37" t="str" cm="1">
        <f t="array" ref="M7">IFERROR(IF(SUMPRODUCT((INPUT!$M$3:$M$1000=$B$3+3)*(INPUT!$N$3:$N$1000="T")*(INPUT!$O$3:$O$1000="HERRERO"))=0,"",SUMPRODUCT((INPUT!$M$3:$M$1000=$B$3+3)*(INPUT!$N$3:$N$1000="T")*(INPUT!$O$3:$O$1000="HERRERO")*INPUT!$P$3:$P$1000)),"")</f>
        <v/>
      </c>
      <c r="N7" s="37" t="str" cm="1">
        <f t="array" ref="N7">IFERROR(IF(SUMPRODUCT((INPUT!$M$3:$M$1000=$B$3+3)*(INPUT!$N$3:$N$1000="T")*(INPUT!$O$3:$O$1000="HERRERO"))=0,"",SUMPRODUCT((INPUT!$M$3:$M$1000=$B$3+3)*(INPUT!$N$3:$N$1000="T")*(INPUT!$O$3:$O$1000="HERRERO")*INPUT!$Q$3:$Q$1000)),"")</f>
        <v/>
      </c>
      <c r="O7" s="37" t="str">
        <f t="shared" si="3"/>
        <v/>
      </c>
      <c r="P7" s="37" t="str" cm="1">
        <f t="array" ref="P7">IFERROR(IF(SUMPRODUCT((INPUT!$M$3:$M$1000=$B$3+4)*(INPUT!$N$3:$N$1000="T")*(INPUT!$O$3:$O$1000="HERRERO"))=0,"",SUMPRODUCT((INPUT!$M$3:$M$1000=$B$3+4)*(INPUT!$N$3:$N$1000="T")*(INPUT!$O$3:$O$1000="HERRERO")*INPUT!$P$3:$P$1000)),"")</f>
        <v/>
      </c>
      <c r="Q7" s="37" t="str" cm="1">
        <f t="array" ref="Q7">IFERROR(IF(SUMPRODUCT((INPUT!$M$3:$M$1000=$B$3+4)*(INPUT!$N$3:$N$1000="T")*(INPUT!$O$3:$O$1000="HERRERO"))=0,"",SUMPRODUCT((INPUT!$M$3:$M$1000=$B$3+4)*(INPUT!$N$3:$N$1000="T")*(INPUT!$O$3:$O$1000="HERRERO")*INPUT!$Q$3:$Q$1000)),"")</f>
        <v/>
      </c>
      <c r="R7" s="37" t="str">
        <f t="shared" si="4"/>
        <v/>
      </c>
      <c r="S7" s="37" cm="1">
        <f t="array" ref="S7">IFERROR(IF(SUMPRODUCT((INPUT!$M$3:$M$1000=$B$3+5)*(INPUT!$N$3:$N$1000="T")*(INPUT!$O$3:$O$1000="HERRERO"))=0,"",SUMPRODUCT((INPUT!$M$3:$M$1000=$B$3+5)*(INPUT!$N$3:$N$1000="T")*(INPUT!$O$3:$O$1000="HERRERO")*INPUT!$P$3:$P$1000)),"")</f>
        <v>77</v>
      </c>
      <c r="T7" s="37" cm="1">
        <f t="array" ref="T7">IFERROR(IF(SUMPRODUCT((INPUT!$M$3:$M$1000=$B$3+5)*(INPUT!$N$3:$N$1000="T")*(INPUT!$O$3:$O$1000="HERRERO"))=0,"",SUMPRODUCT((INPUT!$M$3:$M$1000=$B$3+5)*(INPUT!$N$3:$N$1000="T")*(INPUT!$O$3:$O$1000="HERRERO")*INPUT!$Q$3:$Q$1000)),"")</f>
        <v>75.5</v>
      </c>
      <c r="U7" s="37">
        <f t="shared" si="5"/>
        <v>1.5</v>
      </c>
      <c r="V7" s="37" t="str" cm="1">
        <f t="array" ref="V7">IFERROR(IF(SUMPRODUCT((INPUT!$M$3:$M$1000=$B$3+6)*(INPUT!$N$3:$N$1000="T")*(INPUT!$O$3:$O$1000="HERRERO"))=0,"",SUMPRODUCT((INPUT!$M$3:$M$1000=$B$3+6)*(INPUT!$N$3:$N$1000="T")*(INPUT!$O$3:$O$1000="HERRERO")*INPUT!$P$3:$P$1000)),"")</f>
        <v/>
      </c>
      <c r="W7" s="37" t="str" cm="1">
        <f t="array" ref="W7">IFERROR(IF(SUMPRODUCT((INPUT!$M$3:$M$1000=$B$3+6)*(INPUT!$N$3:$N$1000="T")*(INPUT!$O$3:$O$1000="HERRERO"))=0,"",SUMPRODUCT((INPUT!$M$3:$M$1000=$B$3+6)*(INPUT!$N$3:$N$1000="T")*(INPUT!$O$3:$O$1000="HERRERO")*INPUT!$Q$3:$Q$1000)),"")</f>
        <v/>
      </c>
      <c r="X7" s="38" t="str">
        <f t="shared" si="6"/>
        <v/>
      </c>
    </row>
    <row r="8" spans="1:24" x14ac:dyDescent="0.2">
      <c r="A8" s="203">
        <v>2</v>
      </c>
      <c r="B8" s="204" t="s">
        <v>42</v>
      </c>
      <c r="C8" s="36" t="s">
        <v>70</v>
      </c>
      <c r="D8" s="37" t="str" cm="1">
        <f t="array" ref="D8">IFERROR(IF(SUMPRODUCT((INPUT!$M$3:$M$1000=$B$3+0)*(INPUT!$N$3:$N$1000="M")*(INPUT!$O$3:$O$1000="GARCIA"))=0,"",SUMPRODUCT((INPUT!$M$3:$M$1000=$B$3+0)*(INPUT!$N$3:$N$1000="M")*(INPUT!$O$3:$O$1000="GARCIA")*INPUT!$P$3:$P$1000)),"")</f>
        <v/>
      </c>
      <c r="E8" s="37" t="str" cm="1">
        <f t="array" ref="E8">IFERROR(IF(SUMPRODUCT((INPUT!$M$3:$M$1000=$B$3+0)*(INPUT!$N$3:$N$1000="M")*(INPUT!$O$3:$O$1000="GARCIA"))=0,"",SUMPRODUCT((INPUT!$M$3:$M$1000=$B$3+0)*(INPUT!$N$3:$N$1000="M")*(INPUT!$O$3:$O$1000="GARCIA")*INPUT!$Q$3:$Q$1000)),"")</f>
        <v/>
      </c>
      <c r="F8" s="37" t="str">
        <f t="shared" si="0"/>
        <v/>
      </c>
      <c r="G8" s="37" cm="1">
        <f t="array" ref="G8">IFERROR(IF(SUMPRODUCT((INPUT!$M$3:$M$1000=$B$3+1)*(INPUT!$N$3:$N$1000="M")*(INPUT!$O$3:$O$1000="GARCIA"))=0,"",SUMPRODUCT((INPUT!$M$3:$M$1000=$B$3+1)*(INPUT!$N$3:$N$1000="M")*(INPUT!$O$3:$O$1000="GARCIA")*INPUT!$P$3:$P$1000)),"")</f>
        <v>79</v>
      </c>
      <c r="H8" s="37" cm="1">
        <f t="array" ref="H8">IFERROR(IF(SUMPRODUCT((INPUT!$M$3:$M$1000=$B$3+1)*(INPUT!$N$3:$N$1000="M")*(INPUT!$O$3:$O$1000="GARCIA"))=0,"",SUMPRODUCT((INPUT!$M$3:$M$1000=$B$3+1)*(INPUT!$N$3:$N$1000="M")*(INPUT!$O$3:$O$1000="GARCIA")*INPUT!$Q$3:$Q$1000)),"")</f>
        <v>78.8</v>
      </c>
      <c r="I8" s="37">
        <f t="shared" si="1"/>
        <v>0.20000000000000284</v>
      </c>
      <c r="J8" s="37" cm="1">
        <f t="array" ref="J8">IFERROR(IF(SUMPRODUCT((INPUT!$M$3:$M$1000=$B$3+2)*(INPUT!$N$3:$N$1000="M")*(INPUT!$O$3:$O$1000="GARCIA"))=0,"",SUMPRODUCT((INPUT!$M$3:$M$1000=$B$3+2)*(INPUT!$N$3:$N$1000="M")*(INPUT!$O$3:$O$1000="GARCIA")*INPUT!$P$3:$P$1000)),"")</f>
        <v>79.599999999999994</v>
      </c>
      <c r="K8" s="37" cm="1">
        <f t="array" ref="K8">IFERROR(IF(SUMPRODUCT((INPUT!$M$3:$M$1000=$B$3+2)*(INPUT!$N$3:$N$1000="M")*(INPUT!$O$3:$O$1000="GARCIA"))=0,"",SUMPRODUCT((INPUT!$M$3:$M$1000=$B$3+2)*(INPUT!$N$3:$N$1000="M")*(INPUT!$O$3:$O$1000="GARCIA")*INPUT!$Q$3:$Q$1000)),"")</f>
        <v>79</v>
      </c>
      <c r="L8" s="37">
        <f t="shared" si="2"/>
        <v>0.59999999999999432</v>
      </c>
      <c r="M8" s="37" cm="1">
        <f t="array" ref="M8">IFERROR(IF(SUMPRODUCT((INPUT!$M$3:$M$1000=$B$3+3)*(INPUT!$N$3:$N$1000="M")*(INPUT!$O$3:$O$1000="GARCIA"))=0,"",SUMPRODUCT((INPUT!$M$3:$M$1000=$B$3+3)*(INPUT!$N$3:$N$1000="M")*(INPUT!$O$3:$O$1000="GARCIA")*INPUT!$P$3:$P$1000)),"")</f>
        <v>79.599999999999994</v>
      </c>
      <c r="N8" s="37" cm="1">
        <f t="array" ref="N8">IFERROR(IF(SUMPRODUCT((INPUT!$M$3:$M$1000=$B$3+3)*(INPUT!$N$3:$N$1000="M")*(INPUT!$O$3:$O$1000="GARCIA"))=0,"",SUMPRODUCT((INPUT!$M$3:$M$1000=$B$3+3)*(INPUT!$N$3:$N$1000="M")*(INPUT!$O$3:$O$1000="GARCIA")*INPUT!$Q$3:$Q$1000)),"")</f>
        <v>79</v>
      </c>
      <c r="O8" s="37">
        <f t="shared" si="3"/>
        <v>0.59999999999999432</v>
      </c>
      <c r="P8" s="37" cm="1">
        <f t="array" ref="P8">IFERROR(IF(SUMPRODUCT((INPUT!$M$3:$M$1000=$B$3+4)*(INPUT!$N$3:$N$1000="M")*(INPUT!$O$3:$O$1000="GARCIA"))=0,"",SUMPRODUCT((INPUT!$M$3:$M$1000=$B$3+4)*(INPUT!$N$3:$N$1000="M")*(INPUT!$O$3:$O$1000="GARCIA")*INPUT!$P$3:$P$1000)),"")</f>
        <v>79.400000000000006</v>
      </c>
      <c r="Q8" s="37" cm="1">
        <f t="array" ref="Q8">IFERROR(IF(SUMPRODUCT((INPUT!$M$3:$M$1000=$B$3+4)*(INPUT!$N$3:$N$1000="M")*(INPUT!$O$3:$O$1000="GARCIA"))=0,"",SUMPRODUCT((INPUT!$M$3:$M$1000=$B$3+4)*(INPUT!$N$3:$N$1000="M")*(INPUT!$O$3:$O$1000="GARCIA")*INPUT!$Q$3:$Q$1000)),"")</f>
        <v>79</v>
      </c>
      <c r="R8" s="37">
        <f t="shared" si="4"/>
        <v>0.40000000000000568</v>
      </c>
      <c r="S8" s="37" t="str" cm="1">
        <f t="array" ref="S8">IFERROR(IF(SUMPRODUCT((INPUT!$M$3:$M$1000=$B$3+5)*(INPUT!$N$3:$N$1000="M")*(INPUT!$O$3:$O$1000="GARCIA"))=0,"",SUMPRODUCT((INPUT!$M$3:$M$1000=$B$3+5)*(INPUT!$N$3:$N$1000="M")*(INPUT!$O$3:$O$1000="GARCIA")*INPUT!$P$3:$P$1000)),"")</f>
        <v/>
      </c>
      <c r="T8" s="37" t="str" cm="1">
        <f t="array" ref="T8">IFERROR(IF(SUMPRODUCT((INPUT!$M$3:$M$1000=$B$3+5)*(INPUT!$N$3:$N$1000="M")*(INPUT!$O$3:$O$1000="GARCIA"))=0,"",SUMPRODUCT((INPUT!$M$3:$M$1000=$B$3+5)*(INPUT!$N$3:$N$1000="M")*(INPUT!$O$3:$O$1000="GARCIA")*INPUT!$Q$3:$Q$1000)),"")</f>
        <v/>
      </c>
      <c r="U8" s="37" t="str">
        <f t="shared" si="5"/>
        <v/>
      </c>
      <c r="V8" s="37" t="str" cm="1">
        <f t="array" ref="V8">IFERROR(IF(SUMPRODUCT((INPUT!$M$3:$M$1000=$B$3+6)*(INPUT!$N$3:$N$1000="M")*(INPUT!$O$3:$O$1000="GARCIA"))=0,"",SUMPRODUCT((INPUT!$M$3:$M$1000=$B$3+6)*(INPUT!$N$3:$N$1000="M")*(INPUT!$O$3:$O$1000="GARCIA")*INPUT!$P$3:$P$1000)),"")</f>
        <v/>
      </c>
      <c r="W8" s="37" t="str" cm="1">
        <f t="array" ref="W8">IFERROR(IF(SUMPRODUCT((INPUT!$M$3:$M$1000=$B$3+6)*(INPUT!$N$3:$N$1000="M")*(INPUT!$O$3:$O$1000="GARCIA"))=0,"",SUMPRODUCT((INPUT!$M$3:$M$1000=$B$3+6)*(INPUT!$N$3:$N$1000="M")*(INPUT!$O$3:$O$1000="GARCIA")*INPUT!$Q$3:$Q$1000)),"")</f>
        <v/>
      </c>
      <c r="X8" s="38" t="str">
        <f t="shared" si="6"/>
        <v/>
      </c>
    </row>
    <row r="9" spans="1:24" x14ac:dyDescent="0.2">
      <c r="A9" s="200"/>
      <c r="B9" s="202"/>
      <c r="C9" s="36" t="s">
        <v>71</v>
      </c>
      <c r="D9" s="37" t="str" cm="1">
        <f t="array" ref="D9">IFERROR(IF(SUMPRODUCT((INPUT!$M$3:$M$1000=$B$3+0)*(INPUT!$N$3:$N$1000="T")*(INPUT!$O$3:$O$1000="GARCIA"))=0,"",SUMPRODUCT((INPUT!$M$3:$M$1000=$B$3+0)*(INPUT!$N$3:$N$1000="T")*(INPUT!$O$3:$O$1000="GARCIA")*INPUT!$P$3:$P$1000)),"")</f>
        <v/>
      </c>
      <c r="E9" s="37" t="str" cm="1">
        <f t="array" ref="E9">IFERROR(IF(SUMPRODUCT((INPUT!$M$3:$M$1000=$B$3+0)*(INPUT!$N$3:$N$1000="T")*(INPUT!$O$3:$O$1000="GARCIA"))=0,"",SUMPRODUCT((INPUT!$M$3:$M$1000=$B$3+0)*(INPUT!$N$3:$N$1000="T")*(INPUT!$O$3:$O$1000="GARCIA")*INPUT!$Q$3:$Q$1000)),"")</f>
        <v/>
      </c>
      <c r="F9" s="37" t="str">
        <f t="shared" si="0"/>
        <v/>
      </c>
      <c r="G9" s="37" t="str" cm="1">
        <f t="array" ref="G9">IFERROR(IF(SUMPRODUCT((INPUT!$M$3:$M$1000=$B$3+1)*(INPUT!$N$3:$N$1000="T")*(INPUT!$O$3:$O$1000="GARCIA"))=0,"",SUMPRODUCT((INPUT!$M$3:$M$1000=$B$3+1)*(INPUT!$N$3:$N$1000="T")*(INPUT!$O$3:$O$1000="GARCIA")*INPUT!$P$3:$P$1000)),"")</f>
        <v/>
      </c>
      <c r="H9" s="37" t="str" cm="1">
        <f t="array" ref="H9">IFERROR(IF(SUMPRODUCT((INPUT!$M$3:$M$1000=$B$3+1)*(INPUT!$N$3:$N$1000="T")*(INPUT!$O$3:$O$1000="GARCIA"))=0,"",SUMPRODUCT((INPUT!$M$3:$M$1000=$B$3+1)*(INPUT!$N$3:$N$1000="T")*(INPUT!$O$3:$O$1000="GARCIA")*INPUT!$Q$3:$Q$1000)),"")</f>
        <v/>
      </c>
      <c r="I9" s="37" t="str">
        <f t="shared" si="1"/>
        <v/>
      </c>
      <c r="J9" s="37" t="str" cm="1">
        <f t="array" ref="J9">IFERROR(IF(SUMPRODUCT((INPUT!$M$3:$M$1000=$B$3+2)*(INPUT!$N$3:$N$1000="T")*(INPUT!$O$3:$O$1000="GARCIA"))=0,"",SUMPRODUCT((INPUT!$M$3:$M$1000=$B$3+2)*(INPUT!$N$3:$N$1000="T")*(INPUT!$O$3:$O$1000="GARCIA")*INPUT!$P$3:$P$1000)),"")</f>
        <v/>
      </c>
      <c r="K9" s="37" t="str" cm="1">
        <f t="array" ref="K9">IFERROR(IF(SUMPRODUCT((INPUT!$M$3:$M$1000=$B$3+2)*(INPUT!$N$3:$N$1000="T")*(INPUT!$O$3:$O$1000="GARCIA"))=0,"",SUMPRODUCT((INPUT!$M$3:$M$1000=$B$3+2)*(INPUT!$N$3:$N$1000="T")*(INPUT!$O$3:$O$1000="GARCIA")*INPUT!$Q$3:$Q$1000)),"")</f>
        <v/>
      </c>
      <c r="L9" s="37" t="str">
        <f t="shared" si="2"/>
        <v/>
      </c>
      <c r="M9" s="37" t="str" cm="1">
        <f t="array" ref="M9">IFERROR(IF(SUMPRODUCT((INPUT!$M$3:$M$1000=$B$3+3)*(INPUT!$N$3:$N$1000="T")*(INPUT!$O$3:$O$1000="GARCIA"))=0,"",SUMPRODUCT((INPUT!$M$3:$M$1000=$B$3+3)*(INPUT!$N$3:$N$1000="T")*(INPUT!$O$3:$O$1000="GARCIA")*INPUT!$P$3:$P$1000)),"")</f>
        <v/>
      </c>
      <c r="N9" s="37" t="str" cm="1">
        <f t="array" ref="N9">IFERROR(IF(SUMPRODUCT((INPUT!$M$3:$M$1000=$B$3+3)*(INPUT!$N$3:$N$1000="T")*(INPUT!$O$3:$O$1000="GARCIA"))=0,"",SUMPRODUCT((INPUT!$M$3:$M$1000=$B$3+3)*(INPUT!$N$3:$N$1000="T")*(INPUT!$O$3:$O$1000="GARCIA")*INPUT!$Q$3:$Q$1000)),"")</f>
        <v/>
      </c>
      <c r="O9" s="37" t="str">
        <f t="shared" si="3"/>
        <v/>
      </c>
      <c r="P9" s="37" t="str" cm="1">
        <f t="array" ref="P9">IFERROR(IF(SUMPRODUCT((INPUT!$M$3:$M$1000=$B$3+4)*(INPUT!$N$3:$N$1000="T")*(INPUT!$O$3:$O$1000="GARCIA"))=0,"",SUMPRODUCT((INPUT!$M$3:$M$1000=$B$3+4)*(INPUT!$N$3:$N$1000="T")*(INPUT!$O$3:$O$1000="GARCIA")*INPUT!$P$3:$P$1000)),"")</f>
        <v/>
      </c>
      <c r="Q9" s="37" t="str" cm="1">
        <f t="array" ref="Q9">IFERROR(IF(SUMPRODUCT((INPUT!$M$3:$M$1000=$B$3+4)*(INPUT!$N$3:$N$1000="T")*(INPUT!$O$3:$O$1000="GARCIA"))=0,"",SUMPRODUCT((INPUT!$M$3:$M$1000=$B$3+4)*(INPUT!$N$3:$N$1000="T")*(INPUT!$O$3:$O$1000="GARCIA")*INPUT!$Q$3:$Q$1000)),"")</f>
        <v/>
      </c>
      <c r="R9" s="37" t="str">
        <f t="shared" si="4"/>
        <v/>
      </c>
      <c r="S9" s="37" cm="1">
        <f t="array" ref="S9">IFERROR(IF(SUMPRODUCT((INPUT!$M$3:$M$1000=$B$3+5)*(INPUT!$N$3:$N$1000="T")*(INPUT!$O$3:$O$1000="GARCIA"))=0,"",SUMPRODUCT((INPUT!$M$3:$M$1000=$B$3+5)*(INPUT!$N$3:$N$1000="T")*(INPUT!$O$3:$O$1000="GARCIA")*INPUT!$P$3:$P$1000)),"")</f>
        <v>79.599999999999994</v>
      </c>
      <c r="T9" s="37" cm="1">
        <f t="array" ref="T9">IFERROR(IF(SUMPRODUCT((INPUT!$M$3:$M$1000=$B$3+5)*(INPUT!$N$3:$N$1000="T")*(INPUT!$O$3:$O$1000="GARCIA"))=0,"",SUMPRODUCT((INPUT!$M$3:$M$1000=$B$3+5)*(INPUT!$N$3:$N$1000="T")*(INPUT!$O$3:$O$1000="GARCIA")*INPUT!$Q$3:$Q$1000)),"")</f>
        <v>79.400000000000006</v>
      </c>
      <c r="U9" s="37">
        <f t="shared" si="5"/>
        <v>0.19999999999998863</v>
      </c>
      <c r="V9" s="37" t="str" cm="1">
        <f t="array" ref="V9">IFERROR(IF(SUMPRODUCT((INPUT!$M$3:$M$1000=$B$3+6)*(INPUT!$N$3:$N$1000="T")*(INPUT!$O$3:$O$1000="GARCIA"))=0,"",SUMPRODUCT((INPUT!$M$3:$M$1000=$B$3+6)*(INPUT!$N$3:$N$1000="T")*(INPUT!$O$3:$O$1000="GARCIA")*INPUT!$P$3:$P$1000)),"")</f>
        <v/>
      </c>
      <c r="W9" s="37" t="str" cm="1">
        <f t="array" ref="W9">IFERROR(IF(SUMPRODUCT((INPUT!$M$3:$M$1000=$B$3+6)*(INPUT!$N$3:$N$1000="T")*(INPUT!$O$3:$O$1000="GARCIA"))=0,"",SUMPRODUCT((INPUT!$M$3:$M$1000=$B$3+6)*(INPUT!$N$3:$N$1000="T")*(INPUT!$O$3:$O$1000="GARCIA")*INPUT!$Q$3:$Q$1000)),"")</f>
        <v/>
      </c>
      <c r="X9" s="38" t="str">
        <f t="shared" si="6"/>
        <v/>
      </c>
    </row>
    <row r="10" spans="1:24" x14ac:dyDescent="0.2">
      <c r="A10" s="203">
        <v>3</v>
      </c>
      <c r="B10" s="204" t="s">
        <v>43</v>
      </c>
      <c r="C10" s="36" t="s">
        <v>70</v>
      </c>
      <c r="D10" s="37" t="str" cm="1">
        <f t="array" ref="D10">IFERROR(IF(SUMPRODUCT((INPUT!$M$3:$M$1000=$B$3+0)*(INPUT!$N$3:$N$1000="M")*(INPUT!$O$3:$O$1000="OSCAR"))=0,"",SUMPRODUCT((INPUT!$M$3:$M$1000=$B$3+0)*(INPUT!$N$3:$N$1000="M")*(INPUT!$O$3:$O$1000="OSCAR")*INPUT!$P$3:$P$1000)),"")</f>
        <v/>
      </c>
      <c r="E10" s="37" t="str" cm="1">
        <f t="array" ref="E10">IFERROR(IF(SUMPRODUCT((INPUT!$M$3:$M$1000=$B$3+0)*(INPUT!$N$3:$N$1000="M")*(INPUT!$O$3:$O$1000="OSCAR"))=0,"",SUMPRODUCT((INPUT!$M$3:$M$1000=$B$3+0)*(INPUT!$N$3:$N$1000="M")*(INPUT!$O$3:$O$1000="OSCAR")*INPUT!$Q$3:$Q$1000)),"")</f>
        <v/>
      </c>
      <c r="F10" s="37" t="str">
        <f t="shared" si="0"/>
        <v/>
      </c>
      <c r="G10" s="37" cm="1">
        <f t="array" ref="G10">IFERROR(IF(SUMPRODUCT((INPUT!$M$3:$M$1000=$B$3+1)*(INPUT!$N$3:$N$1000="M")*(INPUT!$O$3:$O$1000="OSCAR"))=0,"",SUMPRODUCT((INPUT!$M$3:$M$1000=$B$3+1)*(INPUT!$N$3:$N$1000="M")*(INPUT!$O$3:$O$1000="OSCAR")*INPUT!$P$3:$P$1000)),"")</f>
        <v>89</v>
      </c>
      <c r="H10" s="37" cm="1">
        <f t="array" ref="H10">IFERROR(IF(SUMPRODUCT((INPUT!$M$3:$M$1000=$B$3+1)*(INPUT!$N$3:$N$1000="M")*(INPUT!$O$3:$O$1000="OSCAR"))=0,"",SUMPRODUCT((INPUT!$M$3:$M$1000=$B$3+1)*(INPUT!$N$3:$N$1000="M")*(INPUT!$O$3:$O$1000="OSCAR")*INPUT!$Q$3:$Q$1000)),"")</f>
        <v>87.4</v>
      </c>
      <c r="I10" s="37">
        <f t="shared" si="1"/>
        <v>1.5999999999999943</v>
      </c>
      <c r="J10" s="37" t="str" cm="1">
        <f t="array" ref="J10">IFERROR(IF(SUMPRODUCT((INPUT!$M$3:$M$1000=$B$3+2)*(INPUT!$N$3:$N$1000="M")*(INPUT!$O$3:$O$1000="OSCAR"))=0,"",SUMPRODUCT((INPUT!$M$3:$M$1000=$B$3+2)*(INPUT!$N$3:$N$1000="M")*(INPUT!$O$3:$O$1000="OSCAR")*INPUT!$P$3:$P$1000)),"")</f>
        <v/>
      </c>
      <c r="K10" s="37" t="str" cm="1">
        <f t="array" ref="K10">IFERROR(IF(SUMPRODUCT((INPUT!$M$3:$M$1000=$B$3+2)*(INPUT!$N$3:$N$1000="M")*(INPUT!$O$3:$O$1000="OSCAR"))=0,"",SUMPRODUCT((INPUT!$M$3:$M$1000=$B$3+2)*(INPUT!$N$3:$N$1000="M")*(INPUT!$O$3:$O$1000="OSCAR")*INPUT!$Q$3:$Q$1000)),"")</f>
        <v/>
      </c>
      <c r="L10" s="37" t="str">
        <f t="shared" si="2"/>
        <v/>
      </c>
      <c r="M10" s="37" t="str" cm="1">
        <f t="array" ref="M10">IFERROR(IF(SUMPRODUCT((INPUT!$M$3:$M$1000=$B$3+3)*(INPUT!$N$3:$N$1000="M")*(INPUT!$O$3:$O$1000="OSCAR"))=0,"",SUMPRODUCT((INPUT!$M$3:$M$1000=$B$3+3)*(INPUT!$N$3:$N$1000="M")*(INPUT!$O$3:$O$1000="OSCAR")*INPUT!$P$3:$P$1000)),"")</f>
        <v/>
      </c>
      <c r="N10" s="37" t="str" cm="1">
        <f t="array" ref="N10">IFERROR(IF(SUMPRODUCT((INPUT!$M$3:$M$1000=$B$3+3)*(INPUT!$N$3:$N$1000="M")*(INPUT!$O$3:$O$1000="OSCAR"))=0,"",SUMPRODUCT((INPUT!$M$3:$M$1000=$B$3+3)*(INPUT!$N$3:$N$1000="M")*(INPUT!$O$3:$O$1000="OSCAR")*INPUT!$Q$3:$Q$1000)),"")</f>
        <v/>
      </c>
      <c r="O10" s="37" t="str">
        <f t="shared" si="3"/>
        <v/>
      </c>
      <c r="P10" s="37" t="str" cm="1">
        <f t="array" ref="P10">IFERROR(IF(SUMPRODUCT((INPUT!$M$3:$M$1000=$B$3+4)*(INPUT!$N$3:$N$1000="M")*(INPUT!$O$3:$O$1000="OSCAR"))=0,"",SUMPRODUCT((INPUT!$M$3:$M$1000=$B$3+4)*(INPUT!$N$3:$N$1000="M")*(INPUT!$O$3:$O$1000="OSCAR")*INPUT!$P$3:$P$1000)),"")</f>
        <v/>
      </c>
      <c r="Q10" s="37" t="str" cm="1">
        <f t="array" ref="Q10">IFERROR(IF(SUMPRODUCT((INPUT!$M$3:$M$1000=$B$3+4)*(INPUT!$N$3:$N$1000="M")*(INPUT!$O$3:$O$1000="OSCAR"))=0,"",SUMPRODUCT((INPUT!$M$3:$M$1000=$B$3+4)*(INPUT!$N$3:$N$1000="M")*(INPUT!$O$3:$O$1000="OSCAR")*INPUT!$Q$3:$Q$1000)),"")</f>
        <v/>
      </c>
      <c r="R10" s="37" t="str">
        <f t="shared" si="4"/>
        <v/>
      </c>
      <c r="S10" s="37" t="str" cm="1">
        <f t="array" ref="S10">IFERROR(IF(SUMPRODUCT((INPUT!$M$3:$M$1000=$B$3+5)*(INPUT!$N$3:$N$1000="M")*(INPUT!$O$3:$O$1000="OSCAR"))=0,"",SUMPRODUCT((INPUT!$M$3:$M$1000=$B$3+5)*(INPUT!$N$3:$N$1000="M")*(INPUT!$O$3:$O$1000="OSCAR")*INPUT!$P$3:$P$1000)),"")</f>
        <v/>
      </c>
      <c r="T10" s="37" t="str" cm="1">
        <f t="array" ref="T10">IFERROR(IF(SUMPRODUCT((INPUT!$M$3:$M$1000=$B$3+5)*(INPUT!$N$3:$N$1000="M")*(INPUT!$O$3:$O$1000="OSCAR"))=0,"",SUMPRODUCT((INPUT!$M$3:$M$1000=$B$3+5)*(INPUT!$N$3:$N$1000="M")*(INPUT!$O$3:$O$1000="OSCAR")*INPUT!$Q$3:$Q$1000)),"")</f>
        <v/>
      </c>
      <c r="U10" s="37" t="str">
        <f t="shared" si="5"/>
        <v/>
      </c>
      <c r="V10" s="37" t="str" cm="1">
        <f t="array" ref="V10">IFERROR(IF(SUMPRODUCT((INPUT!$M$3:$M$1000=$B$3+6)*(INPUT!$N$3:$N$1000="M")*(INPUT!$O$3:$O$1000="OSCAR"))=0,"",SUMPRODUCT((INPUT!$M$3:$M$1000=$B$3+6)*(INPUT!$N$3:$N$1000="M")*(INPUT!$O$3:$O$1000="OSCAR")*INPUT!$P$3:$P$1000)),"")</f>
        <v/>
      </c>
      <c r="W10" s="37" t="str" cm="1">
        <f t="array" ref="W10">IFERROR(IF(SUMPRODUCT((INPUT!$M$3:$M$1000=$B$3+6)*(INPUT!$N$3:$N$1000="M")*(INPUT!$O$3:$O$1000="OSCAR"))=0,"",SUMPRODUCT((INPUT!$M$3:$M$1000=$B$3+6)*(INPUT!$N$3:$N$1000="M")*(INPUT!$O$3:$O$1000="OSCAR")*INPUT!$Q$3:$Q$1000)),"")</f>
        <v/>
      </c>
      <c r="X10" s="38" t="str">
        <f t="shared" si="6"/>
        <v/>
      </c>
    </row>
    <row r="11" spans="1:24" x14ac:dyDescent="0.2">
      <c r="A11" s="200"/>
      <c r="B11" s="202"/>
      <c r="C11" s="36" t="s">
        <v>71</v>
      </c>
      <c r="D11" s="37" t="str" cm="1">
        <f t="array" ref="D11">IFERROR(IF(SUMPRODUCT((INPUT!$M$3:$M$1000=$B$3+0)*(INPUT!$N$3:$N$1000="T")*(INPUT!$O$3:$O$1000="OSCAR"))=0,"",SUMPRODUCT((INPUT!$M$3:$M$1000=$B$3+0)*(INPUT!$N$3:$N$1000="T")*(INPUT!$O$3:$O$1000="OSCAR")*INPUT!$P$3:$P$1000)),"")</f>
        <v/>
      </c>
      <c r="E11" s="37" t="str" cm="1">
        <f t="array" ref="E11">IFERROR(IF(SUMPRODUCT((INPUT!$M$3:$M$1000=$B$3+0)*(INPUT!$N$3:$N$1000="T")*(INPUT!$O$3:$O$1000="OSCAR"))=0,"",SUMPRODUCT((INPUT!$M$3:$M$1000=$B$3+0)*(INPUT!$N$3:$N$1000="T")*(INPUT!$O$3:$O$1000="OSCAR")*INPUT!$Q$3:$Q$1000)),"")</f>
        <v/>
      </c>
      <c r="F11" s="37" t="str">
        <f t="shared" si="0"/>
        <v/>
      </c>
      <c r="G11" s="37" t="str" cm="1">
        <f t="array" ref="G11">IFERROR(IF(SUMPRODUCT((INPUT!$M$3:$M$1000=$B$3+1)*(INPUT!$N$3:$N$1000="T")*(INPUT!$O$3:$O$1000="OSCAR"))=0,"",SUMPRODUCT((INPUT!$M$3:$M$1000=$B$3+1)*(INPUT!$N$3:$N$1000="T")*(INPUT!$O$3:$O$1000="OSCAR")*INPUT!$P$3:$P$1000)),"")</f>
        <v/>
      </c>
      <c r="H11" s="37" t="str" cm="1">
        <f t="array" ref="H11">IFERROR(IF(SUMPRODUCT((INPUT!$M$3:$M$1000=$B$3+1)*(INPUT!$N$3:$N$1000="T")*(INPUT!$O$3:$O$1000="OSCAR"))=0,"",SUMPRODUCT((INPUT!$M$3:$M$1000=$B$3+1)*(INPUT!$N$3:$N$1000="T")*(INPUT!$O$3:$O$1000="OSCAR")*INPUT!$Q$3:$Q$1000)),"")</f>
        <v/>
      </c>
      <c r="I11" s="37" t="str">
        <f t="shared" si="1"/>
        <v/>
      </c>
      <c r="J11" s="37" t="str" cm="1">
        <f t="array" ref="J11">IFERROR(IF(SUMPRODUCT((INPUT!$M$3:$M$1000=$B$3+2)*(INPUT!$N$3:$N$1000="T")*(INPUT!$O$3:$O$1000="OSCAR"))=0,"",SUMPRODUCT((INPUT!$M$3:$M$1000=$B$3+2)*(INPUT!$N$3:$N$1000="T")*(INPUT!$O$3:$O$1000="OSCAR")*INPUT!$P$3:$P$1000)),"")</f>
        <v/>
      </c>
      <c r="K11" s="37" t="str" cm="1">
        <f t="array" ref="K11">IFERROR(IF(SUMPRODUCT((INPUT!$M$3:$M$1000=$B$3+2)*(INPUT!$N$3:$N$1000="T")*(INPUT!$O$3:$O$1000="OSCAR"))=0,"",SUMPRODUCT((INPUT!$M$3:$M$1000=$B$3+2)*(INPUT!$N$3:$N$1000="T")*(INPUT!$O$3:$O$1000="OSCAR")*INPUT!$Q$3:$Q$1000)),"")</f>
        <v/>
      </c>
      <c r="L11" s="37" t="str">
        <f t="shared" si="2"/>
        <v/>
      </c>
      <c r="M11" s="37" t="str" cm="1">
        <f t="array" ref="M11">IFERROR(IF(SUMPRODUCT((INPUT!$M$3:$M$1000=$B$3+3)*(INPUT!$N$3:$N$1000="T")*(INPUT!$O$3:$O$1000="OSCAR"))=0,"",SUMPRODUCT((INPUT!$M$3:$M$1000=$B$3+3)*(INPUT!$N$3:$N$1000="T")*(INPUT!$O$3:$O$1000="OSCAR")*INPUT!$P$3:$P$1000)),"")</f>
        <v/>
      </c>
      <c r="N11" s="37" t="str" cm="1">
        <f t="array" ref="N11">IFERROR(IF(SUMPRODUCT((INPUT!$M$3:$M$1000=$B$3+3)*(INPUT!$N$3:$N$1000="T")*(INPUT!$O$3:$O$1000="OSCAR"))=0,"",SUMPRODUCT((INPUT!$M$3:$M$1000=$B$3+3)*(INPUT!$N$3:$N$1000="T")*(INPUT!$O$3:$O$1000="OSCAR")*INPUT!$Q$3:$Q$1000)),"")</f>
        <v/>
      </c>
      <c r="O11" s="37" t="str">
        <f t="shared" si="3"/>
        <v/>
      </c>
      <c r="P11" s="37" t="str" cm="1">
        <f t="array" ref="P11">IFERROR(IF(SUMPRODUCT((INPUT!$M$3:$M$1000=$B$3+4)*(INPUT!$N$3:$N$1000="T")*(INPUT!$O$3:$O$1000="OSCAR"))=0,"",SUMPRODUCT((INPUT!$M$3:$M$1000=$B$3+4)*(INPUT!$N$3:$N$1000="T")*(INPUT!$O$3:$O$1000="OSCAR")*INPUT!$P$3:$P$1000)),"")</f>
        <v/>
      </c>
      <c r="Q11" s="37" t="str" cm="1">
        <f t="array" ref="Q11">IFERROR(IF(SUMPRODUCT((INPUT!$M$3:$M$1000=$B$3+4)*(INPUT!$N$3:$N$1000="T")*(INPUT!$O$3:$O$1000="OSCAR"))=0,"",SUMPRODUCT((INPUT!$M$3:$M$1000=$B$3+4)*(INPUT!$N$3:$N$1000="T")*(INPUT!$O$3:$O$1000="OSCAR")*INPUT!$Q$3:$Q$1000)),"")</f>
        <v/>
      </c>
      <c r="R11" s="37" t="str">
        <f t="shared" si="4"/>
        <v/>
      </c>
      <c r="S11" s="37" t="str" cm="1">
        <f t="array" ref="S11">IFERROR(IF(SUMPRODUCT((INPUT!$M$3:$M$1000=$B$3+5)*(INPUT!$N$3:$N$1000="T")*(INPUT!$O$3:$O$1000="OSCAR"))=0,"",SUMPRODUCT((INPUT!$M$3:$M$1000=$B$3+5)*(INPUT!$N$3:$N$1000="T")*(INPUT!$O$3:$O$1000="OSCAR")*INPUT!$P$3:$P$1000)),"")</f>
        <v/>
      </c>
      <c r="T11" s="37" t="str" cm="1">
        <f t="array" ref="T11">IFERROR(IF(SUMPRODUCT((INPUT!$M$3:$M$1000=$B$3+5)*(INPUT!$N$3:$N$1000="T")*(INPUT!$O$3:$O$1000="OSCAR"))=0,"",SUMPRODUCT((INPUT!$M$3:$M$1000=$B$3+5)*(INPUT!$N$3:$N$1000="T")*(INPUT!$O$3:$O$1000="OSCAR")*INPUT!$Q$3:$Q$1000)),"")</f>
        <v/>
      </c>
      <c r="U11" s="37" t="str">
        <f t="shared" si="5"/>
        <v/>
      </c>
      <c r="V11" s="37" t="str" cm="1">
        <f t="array" ref="V11">IFERROR(IF(SUMPRODUCT((INPUT!$M$3:$M$1000=$B$3+6)*(INPUT!$N$3:$N$1000="T")*(INPUT!$O$3:$O$1000="OSCAR"))=0,"",SUMPRODUCT((INPUT!$M$3:$M$1000=$B$3+6)*(INPUT!$N$3:$N$1000="T")*(INPUT!$O$3:$O$1000="OSCAR")*INPUT!$P$3:$P$1000)),"")</f>
        <v/>
      </c>
      <c r="W11" s="37" t="str" cm="1">
        <f t="array" ref="W11">IFERROR(IF(SUMPRODUCT((INPUT!$M$3:$M$1000=$B$3+6)*(INPUT!$N$3:$N$1000="T")*(INPUT!$O$3:$O$1000="OSCAR"))=0,"",SUMPRODUCT((INPUT!$M$3:$M$1000=$B$3+6)*(INPUT!$N$3:$N$1000="T")*(INPUT!$O$3:$O$1000="OSCAR")*INPUT!$Q$3:$Q$1000)),"")</f>
        <v/>
      </c>
      <c r="X11" s="38" t="str">
        <f t="shared" si="6"/>
        <v/>
      </c>
    </row>
    <row r="12" spans="1:24" x14ac:dyDescent="0.2">
      <c r="A12" s="203">
        <v>4</v>
      </c>
      <c r="B12" s="204" t="s">
        <v>44</v>
      </c>
      <c r="C12" s="36" t="s">
        <v>70</v>
      </c>
      <c r="D12" s="37" t="str" cm="1">
        <f t="array" ref="D12">IFERROR(IF(SUMPRODUCT((INPUT!$M$3:$M$1000=$B$3+0)*(INPUT!$N$3:$N$1000="M")*(INPUT!$O$3:$O$1000="CECILIO"))=0,"",SUMPRODUCT((INPUT!$M$3:$M$1000=$B$3+0)*(INPUT!$N$3:$N$1000="M")*(INPUT!$O$3:$O$1000="CECILIO")*INPUT!$P$3:$P$1000)),"")</f>
        <v/>
      </c>
      <c r="E12" s="37" t="str" cm="1">
        <f t="array" ref="E12">IFERROR(IF(SUMPRODUCT((INPUT!$M$3:$M$1000=$B$3+0)*(INPUT!$N$3:$N$1000="M")*(INPUT!$O$3:$O$1000="CECILIO"))=0,"",SUMPRODUCT((INPUT!$M$3:$M$1000=$B$3+0)*(INPUT!$N$3:$N$1000="M")*(INPUT!$O$3:$O$1000="CECILIO")*INPUT!$Q$3:$Q$1000)),"")</f>
        <v/>
      </c>
      <c r="F12" s="37" t="str">
        <f t="shared" si="0"/>
        <v/>
      </c>
      <c r="G12" s="37" cm="1">
        <f t="array" ref="G12">IFERROR(IF(SUMPRODUCT((INPUT!$M$3:$M$1000=$B$3+1)*(INPUT!$N$3:$N$1000="M")*(INPUT!$O$3:$O$1000="CECILIO"))=0,"",SUMPRODUCT((INPUT!$M$3:$M$1000=$B$3+1)*(INPUT!$N$3:$N$1000="M")*(INPUT!$O$3:$O$1000="CECILIO")*INPUT!$P$3:$P$1000)),"")</f>
        <v>68.2</v>
      </c>
      <c r="H12" s="37" cm="1">
        <f t="array" ref="H12">IFERROR(IF(SUMPRODUCT((INPUT!$M$3:$M$1000=$B$3+1)*(INPUT!$N$3:$N$1000="M")*(INPUT!$O$3:$O$1000="CECILIO"))=0,"",SUMPRODUCT((INPUT!$M$3:$M$1000=$B$3+1)*(INPUT!$N$3:$N$1000="M")*(INPUT!$O$3:$O$1000="CECILIO")*INPUT!$Q$3:$Q$1000)),"")</f>
        <v>67.8</v>
      </c>
      <c r="I12" s="37">
        <f t="shared" si="1"/>
        <v>0.40000000000000568</v>
      </c>
      <c r="J12" s="37" cm="1">
        <f t="array" ref="J12">IFERROR(IF(SUMPRODUCT((INPUT!$M$3:$M$1000=$B$3+2)*(INPUT!$N$3:$N$1000="M")*(INPUT!$O$3:$O$1000="CECILIO"))=0,"",SUMPRODUCT((INPUT!$M$3:$M$1000=$B$3+2)*(INPUT!$N$3:$N$1000="M")*(INPUT!$O$3:$O$1000="CECILIO")*INPUT!$P$3:$P$1000)),"")</f>
        <v>68</v>
      </c>
      <c r="K12" s="37" cm="1">
        <f t="array" ref="K12">IFERROR(IF(SUMPRODUCT((INPUT!$M$3:$M$1000=$B$3+2)*(INPUT!$N$3:$N$1000="M")*(INPUT!$O$3:$O$1000="CECILIO"))=0,"",SUMPRODUCT((INPUT!$M$3:$M$1000=$B$3+2)*(INPUT!$N$3:$N$1000="M")*(INPUT!$O$3:$O$1000="CECILIO")*INPUT!$Q$3:$Q$1000)),"")</f>
        <v>67.2</v>
      </c>
      <c r="L12" s="37">
        <f t="shared" si="2"/>
        <v>0.79999999999999716</v>
      </c>
      <c r="M12" s="37" cm="1">
        <f t="array" ref="M12">IFERROR(IF(SUMPRODUCT((INPUT!$M$3:$M$1000=$B$3+3)*(INPUT!$N$3:$N$1000="M")*(INPUT!$O$3:$O$1000="CECILIO"))=0,"",SUMPRODUCT((INPUT!$M$3:$M$1000=$B$3+3)*(INPUT!$N$3:$N$1000="M")*(INPUT!$O$3:$O$1000="CECILIO")*INPUT!$P$3:$P$1000)),"")</f>
        <v>68</v>
      </c>
      <c r="N12" s="37" cm="1">
        <f t="array" ref="N12">IFERROR(IF(SUMPRODUCT((INPUT!$M$3:$M$1000=$B$3+3)*(INPUT!$N$3:$N$1000="M")*(INPUT!$O$3:$O$1000="CECILIO"))=0,"",SUMPRODUCT((INPUT!$M$3:$M$1000=$B$3+3)*(INPUT!$N$3:$N$1000="M")*(INPUT!$O$3:$O$1000="CECILIO")*INPUT!$Q$3:$Q$1000)),"")</f>
        <v>67.2</v>
      </c>
      <c r="O12" s="37">
        <f t="shared" si="3"/>
        <v>0.79999999999999716</v>
      </c>
      <c r="P12" s="37" cm="1">
        <f t="array" ref="P12">IFERROR(IF(SUMPRODUCT((INPUT!$M$3:$M$1000=$B$3+4)*(INPUT!$N$3:$N$1000="M")*(INPUT!$O$3:$O$1000="CECILIO"))=0,"",SUMPRODUCT((INPUT!$M$3:$M$1000=$B$3+4)*(INPUT!$N$3:$N$1000="M")*(INPUT!$O$3:$O$1000="CECILIO")*INPUT!$P$3:$P$1000)),"")</f>
        <v>68.5</v>
      </c>
      <c r="Q12" s="37" cm="1">
        <f t="array" ref="Q12">IFERROR(IF(SUMPRODUCT((INPUT!$M$3:$M$1000=$B$3+4)*(INPUT!$N$3:$N$1000="M")*(INPUT!$O$3:$O$1000="CECILIO"))=0,"",SUMPRODUCT((INPUT!$M$3:$M$1000=$B$3+4)*(INPUT!$N$3:$N$1000="M")*(INPUT!$O$3:$O$1000="CECILIO")*INPUT!$Q$3:$Q$1000)),"")</f>
        <v>68.099999999999994</v>
      </c>
      <c r="R12" s="37">
        <f t="shared" si="4"/>
        <v>0.40000000000000568</v>
      </c>
      <c r="S12" s="37" t="str" cm="1">
        <f t="array" ref="S12">IFERROR(IF(SUMPRODUCT((INPUT!$M$3:$M$1000=$B$3+5)*(INPUT!$N$3:$N$1000="M")*(INPUT!$O$3:$O$1000="CECILIO"))=0,"",SUMPRODUCT((INPUT!$M$3:$M$1000=$B$3+5)*(INPUT!$N$3:$N$1000="M")*(INPUT!$O$3:$O$1000="CECILIO")*INPUT!$P$3:$P$1000)),"")</f>
        <v/>
      </c>
      <c r="T12" s="37" t="str" cm="1">
        <f t="array" ref="T12">IFERROR(IF(SUMPRODUCT((INPUT!$M$3:$M$1000=$B$3+5)*(INPUT!$N$3:$N$1000="M")*(INPUT!$O$3:$O$1000="CECILIO"))=0,"",SUMPRODUCT((INPUT!$M$3:$M$1000=$B$3+5)*(INPUT!$N$3:$N$1000="M")*(INPUT!$O$3:$O$1000="CECILIO")*INPUT!$Q$3:$Q$1000)),"")</f>
        <v/>
      </c>
      <c r="U12" s="37" t="str">
        <f t="shared" si="5"/>
        <v/>
      </c>
      <c r="V12" s="37" t="str" cm="1">
        <f t="array" ref="V12">IFERROR(IF(SUMPRODUCT((INPUT!$M$3:$M$1000=$B$3+6)*(INPUT!$N$3:$N$1000="M")*(INPUT!$O$3:$O$1000="CECILIO"))=0,"",SUMPRODUCT((INPUT!$M$3:$M$1000=$B$3+6)*(INPUT!$N$3:$N$1000="M")*(INPUT!$O$3:$O$1000="CECILIO")*INPUT!$P$3:$P$1000)),"")</f>
        <v/>
      </c>
      <c r="W12" s="37" t="str" cm="1">
        <f t="array" ref="W12">IFERROR(IF(SUMPRODUCT((INPUT!$M$3:$M$1000=$B$3+6)*(INPUT!$N$3:$N$1000="M")*(INPUT!$O$3:$O$1000="CECILIO"))=0,"",SUMPRODUCT((INPUT!$M$3:$M$1000=$B$3+6)*(INPUT!$N$3:$N$1000="M")*(INPUT!$O$3:$O$1000="CECILIO")*INPUT!$Q$3:$Q$1000)),"")</f>
        <v/>
      </c>
      <c r="X12" s="38" t="str">
        <f t="shared" si="6"/>
        <v/>
      </c>
    </row>
    <row r="13" spans="1:24" x14ac:dyDescent="0.2">
      <c r="A13" s="200"/>
      <c r="B13" s="202"/>
      <c r="C13" s="36" t="s">
        <v>71</v>
      </c>
      <c r="D13" s="37" t="str" cm="1">
        <f t="array" ref="D13">IFERROR(IF(SUMPRODUCT((INPUT!$M$3:$M$1000=$B$3+0)*(INPUT!$N$3:$N$1000="T")*(INPUT!$O$3:$O$1000="CECILIO"))=0,"",SUMPRODUCT((INPUT!$M$3:$M$1000=$B$3+0)*(INPUT!$N$3:$N$1000="T")*(INPUT!$O$3:$O$1000="CECILIO")*INPUT!$P$3:$P$1000)),"")</f>
        <v/>
      </c>
      <c r="E13" s="37" t="str" cm="1">
        <f t="array" ref="E13">IFERROR(IF(SUMPRODUCT((INPUT!$M$3:$M$1000=$B$3+0)*(INPUT!$N$3:$N$1000="T")*(INPUT!$O$3:$O$1000="CECILIO"))=0,"",SUMPRODUCT((INPUT!$M$3:$M$1000=$B$3+0)*(INPUT!$N$3:$N$1000="T")*(INPUT!$O$3:$O$1000="CECILIO")*INPUT!$Q$3:$Q$1000)),"")</f>
        <v/>
      </c>
      <c r="F13" s="37" t="str">
        <f t="shared" si="0"/>
        <v/>
      </c>
      <c r="G13" s="37" t="str" cm="1">
        <f t="array" ref="G13">IFERROR(IF(SUMPRODUCT((INPUT!$M$3:$M$1000=$B$3+1)*(INPUT!$N$3:$N$1000="T")*(INPUT!$O$3:$O$1000="CECILIO"))=0,"",SUMPRODUCT((INPUT!$M$3:$M$1000=$B$3+1)*(INPUT!$N$3:$N$1000="T")*(INPUT!$O$3:$O$1000="CECILIO")*INPUT!$P$3:$P$1000)),"")</f>
        <v/>
      </c>
      <c r="H13" s="37" t="str" cm="1">
        <f t="array" ref="H13">IFERROR(IF(SUMPRODUCT((INPUT!$M$3:$M$1000=$B$3+1)*(INPUT!$N$3:$N$1000="T")*(INPUT!$O$3:$O$1000="CECILIO"))=0,"",SUMPRODUCT((INPUT!$M$3:$M$1000=$B$3+1)*(INPUT!$N$3:$N$1000="T")*(INPUT!$O$3:$O$1000="CECILIO")*INPUT!$Q$3:$Q$1000)),"")</f>
        <v/>
      </c>
      <c r="I13" s="37" t="str">
        <f t="shared" si="1"/>
        <v/>
      </c>
      <c r="J13" s="37" t="str" cm="1">
        <f t="array" ref="J13">IFERROR(IF(SUMPRODUCT((INPUT!$M$3:$M$1000=$B$3+2)*(INPUT!$N$3:$N$1000="T")*(INPUT!$O$3:$O$1000="CECILIO"))=0,"",SUMPRODUCT((INPUT!$M$3:$M$1000=$B$3+2)*(INPUT!$N$3:$N$1000="T")*(INPUT!$O$3:$O$1000="CECILIO")*INPUT!$P$3:$P$1000)),"")</f>
        <v/>
      </c>
      <c r="K13" s="37" t="str" cm="1">
        <f t="array" ref="K13">IFERROR(IF(SUMPRODUCT((INPUT!$M$3:$M$1000=$B$3+2)*(INPUT!$N$3:$N$1000="T")*(INPUT!$O$3:$O$1000="CECILIO"))=0,"",SUMPRODUCT((INPUT!$M$3:$M$1000=$B$3+2)*(INPUT!$N$3:$N$1000="T")*(INPUT!$O$3:$O$1000="CECILIO")*INPUT!$Q$3:$Q$1000)),"")</f>
        <v/>
      </c>
      <c r="L13" s="37" t="str">
        <f t="shared" si="2"/>
        <v/>
      </c>
      <c r="M13" s="37" t="str" cm="1">
        <f t="array" ref="M13">IFERROR(IF(SUMPRODUCT((INPUT!$M$3:$M$1000=$B$3+3)*(INPUT!$N$3:$N$1000="T")*(INPUT!$O$3:$O$1000="CECILIO"))=0,"",SUMPRODUCT((INPUT!$M$3:$M$1000=$B$3+3)*(INPUT!$N$3:$N$1000="T")*(INPUT!$O$3:$O$1000="CECILIO")*INPUT!$P$3:$P$1000)),"")</f>
        <v/>
      </c>
      <c r="N13" s="37" t="str" cm="1">
        <f t="array" ref="N13">IFERROR(IF(SUMPRODUCT((INPUT!$M$3:$M$1000=$B$3+3)*(INPUT!$N$3:$N$1000="T")*(INPUT!$O$3:$O$1000="CECILIO"))=0,"",SUMPRODUCT((INPUT!$M$3:$M$1000=$B$3+3)*(INPUT!$N$3:$N$1000="T")*(INPUT!$O$3:$O$1000="CECILIO")*INPUT!$Q$3:$Q$1000)),"")</f>
        <v/>
      </c>
      <c r="O13" s="37" t="str">
        <f t="shared" si="3"/>
        <v/>
      </c>
      <c r="P13" s="37" t="str" cm="1">
        <f t="array" ref="P13">IFERROR(IF(SUMPRODUCT((INPUT!$M$3:$M$1000=$B$3+4)*(INPUT!$N$3:$N$1000="T")*(INPUT!$O$3:$O$1000="CECILIO"))=0,"",SUMPRODUCT((INPUT!$M$3:$M$1000=$B$3+4)*(INPUT!$N$3:$N$1000="T")*(INPUT!$O$3:$O$1000="CECILIO")*INPUT!$P$3:$P$1000)),"")</f>
        <v/>
      </c>
      <c r="Q13" s="37" t="str" cm="1">
        <f t="array" ref="Q13">IFERROR(IF(SUMPRODUCT((INPUT!$M$3:$M$1000=$B$3+4)*(INPUT!$N$3:$N$1000="T")*(INPUT!$O$3:$O$1000="CECILIO"))=0,"",SUMPRODUCT((INPUT!$M$3:$M$1000=$B$3+4)*(INPUT!$N$3:$N$1000="T")*(INPUT!$O$3:$O$1000="CECILIO")*INPUT!$Q$3:$Q$1000)),"")</f>
        <v/>
      </c>
      <c r="R13" s="37" t="str">
        <f t="shared" si="4"/>
        <v/>
      </c>
      <c r="S13" s="37" cm="1">
        <f t="array" ref="S13">IFERROR(IF(SUMPRODUCT((INPUT!$M$3:$M$1000=$B$3+5)*(INPUT!$N$3:$N$1000="T")*(INPUT!$O$3:$O$1000="CECILIO"))=0,"",SUMPRODUCT((INPUT!$M$3:$M$1000=$B$3+5)*(INPUT!$N$3:$N$1000="T")*(INPUT!$O$3:$O$1000="CECILIO")*INPUT!$P$3:$P$1000)),"")</f>
        <v>68</v>
      </c>
      <c r="T13" s="37" cm="1">
        <f t="array" ref="T13">IFERROR(IF(SUMPRODUCT((INPUT!$M$3:$M$1000=$B$3+5)*(INPUT!$N$3:$N$1000="T")*(INPUT!$O$3:$O$1000="CECILIO"))=0,"",SUMPRODUCT((INPUT!$M$3:$M$1000=$B$3+5)*(INPUT!$N$3:$N$1000="T")*(INPUT!$O$3:$O$1000="CECILIO")*INPUT!$Q$3:$Q$1000)),"")</f>
        <v>67</v>
      </c>
      <c r="U13" s="37">
        <f t="shared" si="5"/>
        <v>1</v>
      </c>
      <c r="V13" s="37" t="str" cm="1">
        <f t="array" ref="V13">IFERROR(IF(SUMPRODUCT((INPUT!$M$3:$M$1000=$B$3+6)*(INPUT!$N$3:$N$1000="T")*(INPUT!$O$3:$O$1000="CECILIO"))=0,"",SUMPRODUCT((INPUT!$M$3:$M$1000=$B$3+6)*(INPUT!$N$3:$N$1000="T")*(INPUT!$O$3:$O$1000="CECILIO")*INPUT!$P$3:$P$1000)),"")</f>
        <v/>
      </c>
      <c r="W13" s="37" t="str" cm="1">
        <f t="array" ref="W13">IFERROR(IF(SUMPRODUCT((INPUT!$M$3:$M$1000=$B$3+6)*(INPUT!$N$3:$N$1000="T")*(INPUT!$O$3:$O$1000="CECILIO"))=0,"",SUMPRODUCT((INPUT!$M$3:$M$1000=$B$3+6)*(INPUT!$N$3:$N$1000="T")*(INPUT!$O$3:$O$1000="CECILIO")*INPUT!$Q$3:$Q$1000)),"")</f>
        <v/>
      </c>
      <c r="X13" s="38" t="str">
        <f t="shared" si="6"/>
        <v/>
      </c>
    </row>
    <row r="14" spans="1:24" x14ac:dyDescent="0.2">
      <c r="A14" s="203">
        <v>5</v>
      </c>
      <c r="B14" s="204" t="s">
        <v>45</v>
      </c>
      <c r="C14" s="36" t="s">
        <v>70</v>
      </c>
      <c r="D14" s="37" t="str" cm="1">
        <f t="array" ref="D14">IFERROR(IF(SUMPRODUCT((INPUT!$M$3:$M$1000=$B$3+0)*(INPUT!$N$3:$N$1000="M")*(INPUT!$O$3:$O$1000="CHAGUINHA"))=0,"",SUMPRODUCT((INPUT!$M$3:$M$1000=$B$3+0)*(INPUT!$N$3:$N$1000="M")*(INPUT!$O$3:$O$1000="CHAGUINHA")*INPUT!$P$3:$P$1000)),"")</f>
        <v/>
      </c>
      <c r="E14" s="37" t="str" cm="1">
        <f t="array" ref="E14">IFERROR(IF(SUMPRODUCT((INPUT!$M$3:$M$1000=$B$3+0)*(INPUT!$N$3:$N$1000="M")*(INPUT!$O$3:$O$1000="CHAGUINHA"))=0,"",SUMPRODUCT((INPUT!$M$3:$M$1000=$B$3+0)*(INPUT!$N$3:$N$1000="M")*(INPUT!$O$3:$O$1000="CHAGUINHA")*INPUT!$Q$3:$Q$1000)),"")</f>
        <v/>
      </c>
      <c r="F14" s="37" t="str">
        <f t="shared" si="0"/>
        <v/>
      </c>
      <c r="G14" s="37" cm="1">
        <f t="array" ref="G14">IFERROR(IF(SUMPRODUCT((INPUT!$M$3:$M$1000=$B$3+1)*(INPUT!$N$3:$N$1000="M")*(INPUT!$O$3:$O$1000="CHAGUINHA"))=0,"",SUMPRODUCT((INPUT!$M$3:$M$1000=$B$3+1)*(INPUT!$N$3:$N$1000="M")*(INPUT!$O$3:$O$1000="CHAGUINHA")*INPUT!$P$3:$P$1000)),"")</f>
        <v>69.3</v>
      </c>
      <c r="H14" s="37" cm="1">
        <f t="array" ref="H14">IFERROR(IF(SUMPRODUCT((INPUT!$M$3:$M$1000=$B$3+1)*(INPUT!$N$3:$N$1000="M")*(INPUT!$O$3:$O$1000="CHAGUINHA"))=0,"",SUMPRODUCT((INPUT!$M$3:$M$1000=$B$3+1)*(INPUT!$N$3:$N$1000="M")*(INPUT!$O$3:$O$1000="CHAGUINHA")*INPUT!$Q$3:$Q$1000)),"")</f>
        <v>68.5</v>
      </c>
      <c r="I14" s="37">
        <f t="shared" si="1"/>
        <v>0.79999999999999716</v>
      </c>
      <c r="J14" s="37" cm="1">
        <f t="array" ref="J14">IFERROR(IF(SUMPRODUCT((INPUT!$M$3:$M$1000=$B$3+2)*(INPUT!$N$3:$N$1000="M")*(INPUT!$O$3:$O$1000="CHAGUINHA"))=0,"",SUMPRODUCT((INPUT!$M$3:$M$1000=$B$3+2)*(INPUT!$N$3:$N$1000="M")*(INPUT!$O$3:$O$1000="CHAGUINHA")*INPUT!$P$3:$P$1000)),"")</f>
        <v>69</v>
      </c>
      <c r="K14" s="37" cm="1">
        <f t="array" ref="K14">IFERROR(IF(SUMPRODUCT((INPUT!$M$3:$M$1000=$B$3+2)*(INPUT!$N$3:$N$1000="M")*(INPUT!$O$3:$O$1000="CHAGUINHA"))=0,"",SUMPRODUCT((INPUT!$M$3:$M$1000=$B$3+2)*(INPUT!$N$3:$N$1000="M")*(INPUT!$O$3:$O$1000="CHAGUINHA")*INPUT!$Q$3:$Q$1000)),"")</f>
        <v>68.599999999999994</v>
      </c>
      <c r="L14" s="37">
        <f t="shared" si="2"/>
        <v>0.40000000000000568</v>
      </c>
      <c r="M14" s="37" cm="1">
        <f t="array" ref="M14">IFERROR(IF(SUMPRODUCT((INPUT!$M$3:$M$1000=$B$3+3)*(INPUT!$N$3:$N$1000="M")*(INPUT!$O$3:$O$1000="CHAGUINHA"))=0,"",SUMPRODUCT((INPUT!$M$3:$M$1000=$B$3+3)*(INPUT!$N$3:$N$1000="M")*(INPUT!$O$3:$O$1000="CHAGUINHA")*INPUT!$P$3:$P$1000)),"")</f>
        <v>69</v>
      </c>
      <c r="N14" s="37" cm="1">
        <f t="array" ref="N14">IFERROR(IF(SUMPRODUCT((INPUT!$M$3:$M$1000=$B$3+3)*(INPUT!$N$3:$N$1000="M")*(INPUT!$O$3:$O$1000="CHAGUINHA"))=0,"",SUMPRODUCT((INPUT!$M$3:$M$1000=$B$3+3)*(INPUT!$N$3:$N$1000="M")*(INPUT!$O$3:$O$1000="CHAGUINHA")*INPUT!$Q$3:$Q$1000)),"")</f>
        <v>68.599999999999994</v>
      </c>
      <c r="O14" s="37">
        <f t="shared" si="3"/>
        <v>0.40000000000000568</v>
      </c>
      <c r="P14" s="37" cm="1">
        <f t="array" ref="P14">IFERROR(IF(SUMPRODUCT((INPUT!$M$3:$M$1000=$B$3+4)*(INPUT!$N$3:$N$1000="M")*(INPUT!$O$3:$O$1000="CHAGUINHA"))=0,"",SUMPRODUCT((INPUT!$M$3:$M$1000=$B$3+4)*(INPUT!$N$3:$N$1000="M")*(INPUT!$O$3:$O$1000="CHAGUINHA")*INPUT!$P$3:$P$1000)),"")</f>
        <v>69</v>
      </c>
      <c r="Q14" s="37" cm="1">
        <f t="array" ref="Q14">IFERROR(IF(SUMPRODUCT((INPUT!$M$3:$M$1000=$B$3+4)*(INPUT!$N$3:$N$1000="M")*(INPUT!$O$3:$O$1000="CHAGUINHA"))=0,"",SUMPRODUCT((INPUT!$M$3:$M$1000=$B$3+4)*(INPUT!$N$3:$N$1000="M")*(INPUT!$O$3:$O$1000="CHAGUINHA")*INPUT!$Q$3:$Q$1000)),"")</f>
        <v>68.8</v>
      </c>
      <c r="R14" s="37">
        <f t="shared" si="4"/>
        <v>0.20000000000000284</v>
      </c>
      <c r="S14" s="37" t="str" cm="1">
        <f t="array" ref="S14">IFERROR(IF(SUMPRODUCT((INPUT!$M$3:$M$1000=$B$3+5)*(INPUT!$N$3:$N$1000="M")*(INPUT!$O$3:$O$1000="CHAGUINHA"))=0,"",SUMPRODUCT((INPUT!$M$3:$M$1000=$B$3+5)*(INPUT!$N$3:$N$1000="M")*(INPUT!$O$3:$O$1000="CHAGUINHA")*INPUT!$P$3:$P$1000)),"")</f>
        <v/>
      </c>
      <c r="T14" s="37" t="str" cm="1">
        <f t="array" ref="T14">IFERROR(IF(SUMPRODUCT((INPUT!$M$3:$M$1000=$B$3+5)*(INPUT!$N$3:$N$1000="M")*(INPUT!$O$3:$O$1000="CHAGUINHA"))=0,"",SUMPRODUCT((INPUT!$M$3:$M$1000=$B$3+5)*(INPUT!$N$3:$N$1000="M")*(INPUT!$O$3:$O$1000="CHAGUINHA")*INPUT!$Q$3:$Q$1000)),"")</f>
        <v/>
      </c>
      <c r="U14" s="37" t="str">
        <f t="shared" si="5"/>
        <v/>
      </c>
      <c r="V14" s="37" t="str" cm="1">
        <f t="array" ref="V14">IFERROR(IF(SUMPRODUCT((INPUT!$M$3:$M$1000=$B$3+6)*(INPUT!$N$3:$N$1000="M")*(INPUT!$O$3:$O$1000="CHAGUINHA"))=0,"",SUMPRODUCT((INPUT!$M$3:$M$1000=$B$3+6)*(INPUT!$N$3:$N$1000="M")*(INPUT!$O$3:$O$1000="CHAGUINHA")*INPUT!$P$3:$P$1000)),"")</f>
        <v/>
      </c>
      <c r="W14" s="37" t="str" cm="1">
        <f t="array" ref="W14">IFERROR(IF(SUMPRODUCT((INPUT!$M$3:$M$1000=$B$3+6)*(INPUT!$N$3:$N$1000="M")*(INPUT!$O$3:$O$1000="CHAGUINHA"))=0,"",SUMPRODUCT((INPUT!$M$3:$M$1000=$B$3+6)*(INPUT!$N$3:$N$1000="M")*(INPUT!$O$3:$O$1000="CHAGUINHA")*INPUT!$Q$3:$Q$1000)),"")</f>
        <v/>
      </c>
      <c r="X14" s="38" t="str">
        <f t="shared" si="6"/>
        <v/>
      </c>
    </row>
    <row r="15" spans="1:24" x14ac:dyDescent="0.2">
      <c r="A15" s="200"/>
      <c r="B15" s="202"/>
      <c r="C15" s="36" t="s">
        <v>71</v>
      </c>
      <c r="D15" s="37" t="str" cm="1">
        <f t="array" ref="D15">IFERROR(IF(SUMPRODUCT((INPUT!$M$3:$M$1000=$B$3+0)*(INPUT!$N$3:$N$1000="T")*(INPUT!$O$3:$O$1000="CHAGUINHA"))=0,"",SUMPRODUCT((INPUT!$M$3:$M$1000=$B$3+0)*(INPUT!$N$3:$N$1000="T")*(INPUT!$O$3:$O$1000="CHAGUINHA")*INPUT!$P$3:$P$1000)),"")</f>
        <v/>
      </c>
      <c r="E15" s="37" t="str" cm="1">
        <f t="array" ref="E15">IFERROR(IF(SUMPRODUCT((INPUT!$M$3:$M$1000=$B$3+0)*(INPUT!$N$3:$N$1000="T")*(INPUT!$O$3:$O$1000="CHAGUINHA"))=0,"",SUMPRODUCT((INPUT!$M$3:$M$1000=$B$3+0)*(INPUT!$N$3:$N$1000="T")*(INPUT!$O$3:$O$1000="CHAGUINHA")*INPUT!$Q$3:$Q$1000)),"")</f>
        <v/>
      </c>
      <c r="F15" s="37" t="str">
        <f t="shared" si="0"/>
        <v/>
      </c>
      <c r="G15" s="37" t="str" cm="1">
        <f t="array" ref="G15">IFERROR(IF(SUMPRODUCT((INPUT!$M$3:$M$1000=$B$3+1)*(INPUT!$N$3:$N$1000="T")*(INPUT!$O$3:$O$1000="CHAGUINHA"))=0,"",SUMPRODUCT((INPUT!$M$3:$M$1000=$B$3+1)*(INPUT!$N$3:$N$1000="T")*(INPUT!$O$3:$O$1000="CHAGUINHA")*INPUT!$P$3:$P$1000)),"")</f>
        <v/>
      </c>
      <c r="H15" s="37" t="str" cm="1">
        <f t="array" ref="H15">IFERROR(IF(SUMPRODUCT((INPUT!$M$3:$M$1000=$B$3+1)*(INPUT!$N$3:$N$1000="T")*(INPUT!$O$3:$O$1000="CHAGUINHA"))=0,"",SUMPRODUCT((INPUT!$M$3:$M$1000=$B$3+1)*(INPUT!$N$3:$N$1000="T")*(INPUT!$O$3:$O$1000="CHAGUINHA")*INPUT!$Q$3:$Q$1000)),"")</f>
        <v/>
      </c>
      <c r="I15" s="37" t="str">
        <f t="shared" si="1"/>
        <v/>
      </c>
      <c r="J15" s="37" t="str" cm="1">
        <f t="array" ref="J15">IFERROR(IF(SUMPRODUCT((INPUT!$M$3:$M$1000=$B$3+2)*(INPUT!$N$3:$N$1000="T")*(INPUT!$O$3:$O$1000="CHAGUINHA"))=0,"",SUMPRODUCT((INPUT!$M$3:$M$1000=$B$3+2)*(INPUT!$N$3:$N$1000="T")*(INPUT!$O$3:$O$1000="CHAGUINHA")*INPUT!$P$3:$P$1000)),"")</f>
        <v/>
      </c>
      <c r="K15" s="37" t="str" cm="1">
        <f t="array" ref="K15">IFERROR(IF(SUMPRODUCT((INPUT!$M$3:$M$1000=$B$3+2)*(INPUT!$N$3:$N$1000="T")*(INPUT!$O$3:$O$1000="CHAGUINHA"))=0,"",SUMPRODUCT((INPUT!$M$3:$M$1000=$B$3+2)*(INPUT!$N$3:$N$1000="T")*(INPUT!$O$3:$O$1000="CHAGUINHA")*INPUT!$Q$3:$Q$1000)),"")</f>
        <v/>
      </c>
      <c r="L15" s="37" t="str">
        <f t="shared" si="2"/>
        <v/>
      </c>
      <c r="M15" s="37" t="str" cm="1">
        <f t="array" ref="M15">IFERROR(IF(SUMPRODUCT((INPUT!$M$3:$M$1000=$B$3+3)*(INPUT!$N$3:$N$1000="T")*(INPUT!$O$3:$O$1000="CHAGUINHA"))=0,"",SUMPRODUCT((INPUT!$M$3:$M$1000=$B$3+3)*(INPUT!$N$3:$N$1000="T")*(INPUT!$O$3:$O$1000="CHAGUINHA")*INPUT!$P$3:$P$1000)),"")</f>
        <v/>
      </c>
      <c r="N15" s="37" t="str" cm="1">
        <f t="array" ref="N15">IFERROR(IF(SUMPRODUCT((INPUT!$M$3:$M$1000=$B$3+3)*(INPUT!$N$3:$N$1000="T")*(INPUT!$O$3:$O$1000="CHAGUINHA"))=0,"",SUMPRODUCT((INPUT!$M$3:$M$1000=$B$3+3)*(INPUT!$N$3:$N$1000="T")*(INPUT!$O$3:$O$1000="CHAGUINHA")*INPUT!$Q$3:$Q$1000)),"")</f>
        <v/>
      </c>
      <c r="O15" s="37" t="str">
        <f t="shared" si="3"/>
        <v/>
      </c>
      <c r="P15" s="37" t="str" cm="1">
        <f t="array" ref="P15">IFERROR(IF(SUMPRODUCT((INPUT!$M$3:$M$1000=$B$3+4)*(INPUT!$N$3:$N$1000="T")*(INPUT!$O$3:$O$1000="CHAGUINHA"))=0,"",SUMPRODUCT((INPUT!$M$3:$M$1000=$B$3+4)*(INPUT!$N$3:$N$1000="T")*(INPUT!$O$3:$O$1000="CHAGUINHA")*INPUT!$P$3:$P$1000)),"")</f>
        <v/>
      </c>
      <c r="Q15" s="37" t="str" cm="1">
        <f t="array" ref="Q15">IFERROR(IF(SUMPRODUCT((INPUT!$M$3:$M$1000=$B$3+4)*(INPUT!$N$3:$N$1000="T")*(INPUT!$O$3:$O$1000="CHAGUINHA"))=0,"",SUMPRODUCT((INPUT!$M$3:$M$1000=$B$3+4)*(INPUT!$N$3:$N$1000="T")*(INPUT!$O$3:$O$1000="CHAGUINHA")*INPUT!$Q$3:$Q$1000)),"")</f>
        <v/>
      </c>
      <c r="R15" s="37" t="str">
        <f t="shared" si="4"/>
        <v/>
      </c>
      <c r="S15" s="37" cm="1">
        <f t="array" ref="S15">IFERROR(IF(SUMPRODUCT((INPUT!$M$3:$M$1000=$B$3+5)*(INPUT!$N$3:$N$1000="T")*(INPUT!$O$3:$O$1000="CHAGUINHA"))=0,"",SUMPRODUCT((INPUT!$M$3:$M$1000=$B$3+5)*(INPUT!$N$3:$N$1000="T")*(INPUT!$O$3:$O$1000="CHAGUINHA")*INPUT!$P$3:$P$1000)),"")</f>
        <v>69</v>
      </c>
      <c r="T15" s="37" cm="1">
        <f t="array" ref="T15">IFERROR(IF(SUMPRODUCT((INPUT!$M$3:$M$1000=$B$3+5)*(INPUT!$N$3:$N$1000="T")*(INPUT!$O$3:$O$1000="CHAGUINHA"))=0,"",SUMPRODUCT((INPUT!$M$3:$M$1000=$B$3+5)*(INPUT!$N$3:$N$1000="T")*(INPUT!$O$3:$O$1000="CHAGUINHA")*INPUT!$Q$3:$Q$1000)),"")</f>
        <v>68</v>
      </c>
      <c r="U15" s="37">
        <f t="shared" si="5"/>
        <v>1</v>
      </c>
      <c r="V15" s="37" t="str" cm="1">
        <f t="array" ref="V15">IFERROR(IF(SUMPRODUCT((INPUT!$M$3:$M$1000=$B$3+6)*(INPUT!$N$3:$N$1000="T")*(INPUT!$O$3:$O$1000="CHAGUINHA"))=0,"",SUMPRODUCT((INPUT!$M$3:$M$1000=$B$3+6)*(INPUT!$N$3:$N$1000="T")*(INPUT!$O$3:$O$1000="CHAGUINHA")*INPUT!$P$3:$P$1000)),"")</f>
        <v/>
      </c>
      <c r="W15" s="37" t="str" cm="1">
        <f t="array" ref="W15">IFERROR(IF(SUMPRODUCT((INPUT!$M$3:$M$1000=$B$3+6)*(INPUT!$N$3:$N$1000="T")*(INPUT!$O$3:$O$1000="CHAGUINHA"))=0,"",SUMPRODUCT((INPUT!$M$3:$M$1000=$B$3+6)*(INPUT!$N$3:$N$1000="T")*(INPUT!$O$3:$O$1000="CHAGUINHA")*INPUT!$Q$3:$Q$1000)),"")</f>
        <v/>
      </c>
      <c r="X15" s="38" t="str">
        <f t="shared" si="6"/>
        <v/>
      </c>
    </row>
    <row r="16" spans="1:24" x14ac:dyDescent="0.2">
      <c r="A16" s="203">
        <v>6</v>
      </c>
      <c r="B16" s="204" t="s">
        <v>46</v>
      </c>
      <c r="C16" s="36" t="s">
        <v>70</v>
      </c>
      <c r="D16" s="37" t="str" cm="1">
        <f t="array" ref="D16">IFERROR(IF(SUMPRODUCT((INPUT!$M$3:$M$1000=$B$3+0)*(INPUT!$N$3:$N$1000="M")*(INPUT!$O$3:$O$1000="RAUL"))=0,"",SUMPRODUCT((INPUT!$M$3:$M$1000=$B$3+0)*(INPUT!$N$3:$N$1000="M")*(INPUT!$O$3:$O$1000="RAUL")*INPUT!$P$3:$P$1000)),"")</f>
        <v/>
      </c>
      <c r="E16" s="37" t="str" cm="1">
        <f t="array" ref="E16">IFERROR(IF(SUMPRODUCT((INPUT!$M$3:$M$1000=$B$3+0)*(INPUT!$N$3:$N$1000="M")*(INPUT!$O$3:$O$1000="RAUL"))=0,"",SUMPRODUCT((INPUT!$M$3:$M$1000=$B$3+0)*(INPUT!$N$3:$N$1000="M")*(INPUT!$O$3:$O$1000="RAUL")*INPUT!$Q$3:$Q$1000)),"")</f>
        <v/>
      </c>
      <c r="F16" s="37" t="str">
        <f t="shared" si="0"/>
        <v/>
      </c>
      <c r="G16" s="37" cm="1">
        <f t="array" ref="G16">IFERROR(IF(SUMPRODUCT((INPUT!$M$3:$M$1000=$B$3+1)*(INPUT!$N$3:$N$1000="M")*(INPUT!$O$3:$O$1000="RAUL"))=0,"",SUMPRODUCT((INPUT!$M$3:$M$1000=$B$3+1)*(INPUT!$N$3:$N$1000="M")*(INPUT!$O$3:$O$1000="RAUL")*INPUT!$P$3:$P$1000)),"")</f>
        <v>80</v>
      </c>
      <c r="H16" s="37" cm="1">
        <f t="array" ref="H16">IFERROR(IF(SUMPRODUCT((INPUT!$M$3:$M$1000=$B$3+1)*(INPUT!$N$3:$N$1000="M")*(INPUT!$O$3:$O$1000="RAUL"))=0,"",SUMPRODUCT((INPUT!$M$3:$M$1000=$B$3+1)*(INPUT!$N$3:$N$1000="M")*(INPUT!$O$3:$O$1000="RAUL")*INPUT!$Q$3:$Q$1000)),"")</f>
        <v>80.099999999999994</v>
      </c>
      <c r="I16" s="37">
        <f t="shared" si="1"/>
        <v>-9.9999999999994316E-2</v>
      </c>
      <c r="J16" s="37" cm="1">
        <f t="array" ref="J16">IFERROR(IF(SUMPRODUCT((INPUT!$M$3:$M$1000=$B$3+2)*(INPUT!$N$3:$N$1000="M")*(INPUT!$O$3:$O$1000="RAUL"))=0,"",SUMPRODUCT((INPUT!$M$3:$M$1000=$B$3+2)*(INPUT!$N$3:$N$1000="M")*(INPUT!$O$3:$O$1000="RAUL")*INPUT!$P$3:$P$1000)),"")</f>
        <v>80.599999999999994</v>
      </c>
      <c r="K16" s="37" cm="1">
        <f t="array" ref="K16">IFERROR(IF(SUMPRODUCT((INPUT!$M$3:$M$1000=$B$3+2)*(INPUT!$N$3:$N$1000="M")*(INPUT!$O$3:$O$1000="RAUL"))=0,"",SUMPRODUCT((INPUT!$M$3:$M$1000=$B$3+2)*(INPUT!$N$3:$N$1000="M")*(INPUT!$O$3:$O$1000="RAUL")*INPUT!$Q$3:$Q$1000)),"")</f>
        <v>80.8</v>
      </c>
      <c r="L16" s="37">
        <f t="shared" si="2"/>
        <v>-0.20000000000000284</v>
      </c>
      <c r="M16" s="37" cm="1">
        <f t="array" ref="M16">IFERROR(IF(SUMPRODUCT((INPUT!$M$3:$M$1000=$B$3+3)*(INPUT!$N$3:$N$1000="M")*(INPUT!$O$3:$O$1000="RAUL"))=0,"",SUMPRODUCT((INPUT!$M$3:$M$1000=$B$3+3)*(INPUT!$N$3:$N$1000="M")*(INPUT!$O$3:$O$1000="RAUL")*INPUT!$P$3:$P$1000)),"")</f>
        <v>80.599999999999994</v>
      </c>
      <c r="N16" s="37" cm="1">
        <f t="array" ref="N16">IFERROR(IF(SUMPRODUCT((INPUT!$M$3:$M$1000=$B$3+3)*(INPUT!$N$3:$N$1000="M")*(INPUT!$O$3:$O$1000="RAUL"))=0,"",SUMPRODUCT((INPUT!$M$3:$M$1000=$B$3+3)*(INPUT!$N$3:$N$1000="M")*(INPUT!$O$3:$O$1000="RAUL")*INPUT!$Q$3:$Q$1000)),"")</f>
        <v>80.8</v>
      </c>
      <c r="O16" s="37">
        <f t="shared" si="3"/>
        <v>-0.20000000000000284</v>
      </c>
      <c r="P16" s="37" cm="1">
        <f t="array" ref="P16">IFERROR(IF(SUMPRODUCT((INPUT!$M$3:$M$1000=$B$3+4)*(INPUT!$N$3:$N$1000="M")*(INPUT!$O$3:$O$1000="RAUL"))=0,"",SUMPRODUCT((INPUT!$M$3:$M$1000=$B$3+4)*(INPUT!$N$3:$N$1000="M")*(INPUT!$O$3:$O$1000="RAUL")*INPUT!$P$3:$P$1000)),"")</f>
        <v>80.3</v>
      </c>
      <c r="Q16" s="37" cm="1">
        <f t="array" ref="Q16">IFERROR(IF(SUMPRODUCT((INPUT!$M$3:$M$1000=$B$3+4)*(INPUT!$N$3:$N$1000="M")*(INPUT!$O$3:$O$1000="RAUL"))=0,"",SUMPRODUCT((INPUT!$M$3:$M$1000=$B$3+4)*(INPUT!$N$3:$N$1000="M")*(INPUT!$O$3:$O$1000="RAUL")*INPUT!$Q$3:$Q$1000)),"")</f>
        <v>79.8</v>
      </c>
      <c r="R16" s="37">
        <f t="shared" si="4"/>
        <v>0.5</v>
      </c>
      <c r="S16" s="37" t="str" cm="1">
        <f t="array" ref="S16">IFERROR(IF(SUMPRODUCT((INPUT!$M$3:$M$1000=$B$3+5)*(INPUT!$N$3:$N$1000="M")*(INPUT!$O$3:$O$1000="RAUL"))=0,"",SUMPRODUCT((INPUT!$M$3:$M$1000=$B$3+5)*(INPUT!$N$3:$N$1000="M")*(INPUT!$O$3:$O$1000="RAUL")*INPUT!$P$3:$P$1000)),"")</f>
        <v/>
      </c>
      <c r="T16" s="37" t="str" cm="1">
        <f t="array" ref="T16">IFERROR(IF(SUMPRODUCT((INPUT!$M$3:$M$1000=$B$3+5)*(INPUT!$N$3:$N$1000="M")*(INPUT!$O$3:$O$1000="RAUL"))=0,"",SUMPRODUCT((INPUT!$M$3:$M$1000=$B$3+5)*(INPUT!$N$3:$N$1000="M")*(INPUT!$O$3:$O$1000="RAUL")*INPUT!$Q$3:$Q$1000)),"")</f>
        <v/>
      </c>
      <c r="U16" s="37" t="str">
        <f t="shared" si="5"/>
        <v/>
      </c>
      <c r="V16" s="37" t="str" cm="1">
        <f t="array" ref="V16">IFERROR(IF(SUMPRODUCT((INPUT!$M$3:$M$1000=$B$3+6)*(INPUT!$N$3:$N$1000="M")*(INPUT!$O$3:$O$1000="RAUL"))=0,"",SUMPRODUCT((INPUT!$M$3:$M$1000=$B$3+6)*(INPUT!$N$3:$N$1000="M")*(INPUT!$O$3:$O$1000="RAUL")*INPUT!$P$3:$P$1000)),"")</f>
        <v/>
      </c>
      <c r="W16" s="37" t="str" cm="1">
        <f t="array" ref="W16">IFERROR(IF(SUMPRODUCT((INPUT!$M$3:$M$1000=$B$3+6)*(INPUT!$N$3:$N$1000="M")*(INPUT!$O$3:$O$1000="RAUL"))=0,"",SUMPRODUCT((INPUT!$M$3:$M$1000=$B$3+6)*(INPUT!$N$3:$N$1000="M")*(INPUT!$O$3:$O$1000="RAUL")*INPUT!$Q$3:$Q$1000)),"")</f>
        <v/>
      </c>
      <c r="X16" s="38" t="str">
        <f t="shared" si="6"/>
        <v/>
      </c>
    </row>
    <row r="17" spans="1:24" x14ac:dyDescent="0.2">
      <c r="A17" s="200"/>
      <c r="B17" s="202"/>
      <c r="C17" s="36" t="s">
        <v>71</v>
      </c>
      <c r="D17" s="37" t="str" cm="1">
        <f t="array" ref="D17">IFERROR(IF(SUMPRODUCT((INPUT!$M$3:$M$1000=$B$3+0)*(INPUT!$N$3:$N$1000="T")*(INPUT!$O$3:$O$1000="RAUL"))=0,"",SUMPRODUCT((INPUT!$M$3:$M$1000=$B$3+0)*(INPUT!$N$3:$N$1000="T")*(INPUT!$O$3:$O$1000="RAUL")*INPUT!$P$3:$P$1000)),"")</f>
        <v/>
      </c>
      <c r="E17" s="37" t="str" cm="1">
        <f t="array" ref="E17">IFERROR(IF(SUMPRODUCT((INPUT!$M$3:$M$1000=$B$3+0)*(INPUT!$N$3:$N$1000="T")*(INPUT!$O$3:$O$1000="RAUL"))=0,"",SUMPRODUCT((INPUT!$M$3:$M$1000=$B$3+0)*(INPUT!$N$3:$N$1000="T")*(INPUT!$O$3:$O$1000="RAUL")*INPUT!$Q$3:$Q$1000)),"")</f>
        <v/>
      </c>
      <c r="F17" s="37" t="str">
        <f t="shared" si="0"/>
        <v/>
      </c>
      <c r="G17" s="37" t="str" cm="1">
        <f t="array" ref="G17">IFERROR(IF(SUMPRODUCT((INPUT!$M$3:$M$1000=$B$3+1)*(INPUT!$N$3:$N$1000="T")*(INPUT!$O$3:$O$1000="RAUL"))=0,"",SUMPRODUCT((INPUT!$M$3:$M$1000=$B$3+1)*(INPUT!$N$3:$N$1000="T")*(INPUT!$O$3:$O$1000="RAUL")*INPUT!$P$3:$P$1000)),"")</f>
        <v/>
      </c>
      <c r="H17" s="37" t="str" cm="1">
        <f t="array" ref="H17">IFERROR(IF(SUMPRODUCT((INPUT!$M$3:$M$1000=$B$3+1)*(INPUT!$N$3:$N$1000="T")*(INPUT!$O$3:$O$1000="RAUL"))=0,"",SUMPRODUCT((INPUT!$M$3:$M$1000=$B$3+1)*(INPUT!$N$3:$N$1000="T")*(INPUT!$O$3:$O$1000="RAUL")*INPUT!$Q$3:$Q$1000)),"")</f>
        <v/>
      </c>
      <c r="I17" s="37" t="str">
        <f t="shared" si="1"/>
        <v/>
      </c>
      <c r="J17" s="37" t="str" cm="1">
        <f t="array" ref="J17">IFERROR(IF(SUMPRODUCT((INPUT!$M$3:$M$1000=$B$3+2)*(INPUT!$N$3:$N$1000="T")*(INPUT!$O$3:$O$1000="RAUL"))=0,"",SUMPRODUCT((INPUT!$M$3:$M$1000=$B$3+2)*(INPUT!$N$3:$N$1000="T")*(INPUT!$O$3:$O$1000="RAUL")*INPUT!$P$3:$P$1000)),"")</f>
        <v/>
      </c>
      <c r="K17" s="37" t="str" cm="1">
        <f t="array" ref="K17">IFERROR(IF(SUMPRODUCT((INPUT!$M$3:$M$1000=$B$3+2)*(INPUT!$N$3:$N$1000="T")*(INPUT!$O$3:$O$1000="RAUL"))=0,"",SUMPRODUCT((INPUT!$M$3:$M$1000=$B$3+2)*(INPUT!$N$3:$N$1000="T")*(INPUT!$O$3:$O$1000="RAUL")*INPUT!$Q$3:$Q$1000)),"")</f>
        <v/>
      </c>
      <c r="L17" s="37" t="str">
        <f t="shared" si="2"/>
        <v/>
      </c>
      <c r="M17" s="37" t="str" cm="1">
        <f t="array" ref="M17">IFERROR(IF(SUMPRODUCT((INPUT!$M$3:$M$1000=$B$3+3)*(INPUT!$N$3:$N$1000="T")*(INPUT!$O$3:$O$1000="RAUL"))=0,"",SUMPRODUCT((INPUT!$M$3:$M$1000=$B$3+3)*(INPUT!$N$3:$N$1000="T")*(INPUT!$O$3:$O$1000="RAUL")*INPUT!$P$3:$P$1000)),"")</f>
        <v/>
      </c>
      <c r="N17" s="37" t="str" cm="1">
        <f t="array" ref="N17">IFERROR(IF(SUMPRODUCT((INPUT!$M$3:$M$1000=$B$3+3)*(INPUT!$N$3:$N$1000="T")*(INPUT!$O$3:$O$1000="RAUL"))=0,"",SUMPRODUCT((INPUT!$M$3:$M$1000=$B$3+3)*(INPUT!$N$3:$N$1000="T")*(INPUT!$O$3:$O$1000="RAUL")*INPUT!$Q$3:$Q$1000)),"")</f>
        <v/>
      </c>
      <c r="O17" s="37" t="str">
        <f t="shared" si="3"/>
        <v/>
      </c>
      <c r="P17" s="37" t="str" cm="1">
        <f t="array" ref="P17">IFERROR(IF(SUMPRODUCT((INPUT!$M$3:$M$1000=$B$3+4)*(INPUT!$N$3:$N$1000="T")*(INPUT!$O$3:$O$1000="RAUL"))=0,"",SUMPRODUCT((INPUT!$M$3:$M$1000=$B$3+4)*(INPUT!$N$3:$N$1000="T")*(INPUT!$O$3:$O$1000="RAUL")*INPUT!$P$3:$P$1000)),"")</f>
        <v/>
      </c>
      <c r="Q17" s="37" t="str" cm="1">
        <f t="array" ref="Q17">IFERROR(IF(SUMPRODUCT((INPUT!$M$3:$M$1000=$B$3+4)*(INPUT!$N$3:$N$1000="T")*(INPUT!$O$3:$O$1000="RAUL"))=0,"",SUMPRODUCT((INPUT!$M$3:$M$1000=$B$3+4)*(INPUT!$N$3:$N$1000="T")*(INPUT!$O$3:$O$1000="RAUL")*INPUT!$Q$3:$Q$1000)),"")</f>
        <v/>
      </c>
      <c r="R17" s="37" t="str">
        <f t="shared" si="4"/>
        <v/>
      </c>
      <c r="S17" s="37" cm="1">
        <f t="array" ref="S17">IFERROR(IF(SUMPRODUCT((INPUT!$M$3:$M$1000=$B$3+5)*(INPUT!$N$3:$N$1000="T")*(INPUT!$O$3:$O$1000="RAUL"))=0,"",SUMPRODUCT((INPUT!$M$3:$M$1000=$B$3+5)*(INPUT!$N$3:$N$1000="T")*(INPUT!$O$3:$O$1000="RAUL")*INPUT!$P$3:$P$1000)),"")</f>
        <v>80</v>
      </c>
      <c r="T17" s="37" cm="1">
        <f t="array" ref="T17">IFERROR(IF(SUMPRODUCT((INPUT!$M$3:$M$1000=$B$3+5)*(INPUT!$N$3:$N$1000="T")*(INPUT!$O$3:$O$1000="RAUL"))=0,"",SUMPRODUCT((INPUT!$M$3:$M$1000=$B$3+5)*(INPUT!$N$3:$N$1000="T")*(INPUT!$O$3:$O$1000="RAUL")*INPUT!$Q$3:$Q$1000)),"")</f>
        <v>78.900000000000006</v>
      </c>
      <c r="U17" s="37">
        <f t="shared" si="5"/>
        <v>1.0999999999999943</v>
      </c>
      <c r="V17" s="37" t="str" cm="1">
        <f t="array" ref="V17">IFERROR(IF(SUMPRODUCT((INPUT!$M$3:$M$1000=$B$3+6)*(INPUT!$N$3:$N$1000="T")*(INPUT!$O$3:$O$1000="RAUL"))=0,"",SUMPRODUCT((INPUT!$M$3:$M$1000=$B$3+6)*(INPUT!$N$3:$N$1000="T")*(INPUT!$O$3:$O$1000="RAUL")*INPUT!$P$3:$P$1000)),"")</f>
        <v/>
      </c>
      <c r="W17" s="37" t="str" cm="1">
        <f t="array" ref="W17">IFERROR(IF(SUMPRODUCT((INPUT!$M$3:$M$1000=$B$3+6)*(INPUT!$N$3:$N$1000="T")*(INPUT!$O$3:$O$1000="RAUL"))=0,"",SUMPRODUCT((INPUT!$M$3:$M$1000=$B$3+6)*(INPUT!$N$3:$N$1000="T")*(INPUT!$O$3:$O$1000="RAUL")*INPUT!$Q$3:$Q$1000)),"")</f>
        <v/>
      </c>
      <c r="X17" s="38" t="str">
        <f t="shared" si="6"/>
        <v/>
      </c>
    </row>
    <row r="18" spans="1:24" x14ac:dyDescent="0.2">
      <c r="A18" s="203">
        <v>7</v>
      </c>
      <c r="B18" s="204" t="s">
        <v>47</v>
      </c>
      <c r="C18" s="36" t="s">
        <v>70</v>
      </c>
      <c r="D18" s="37" t="str" cm="1">
        <f t="array" ref="D18">IFERROR(IF(SUMPRODUCT((INPUT!$M$3:$M$1000=$B$3+0)*(INPUT!$N$3:$N$1000="M")*(INPUT!$O$3:$O$1000="HARRISON"))=0,"",SUMPRODUCT((INPUT!$M$3:$M$1000=$B$3+0)*(INPUT!$N$3:$N$1000="M")*(INPUT!$O$3:$O$1000="HARRISON")*INPUT!$P$3:$P$1000)),"")</f>
        <v/>
      </c>
      <c r="E18" s="37" t="str" cm="1">
        <f t="array" ref="E18">IFERROR(IF(SUMPRODUCT((INPUT!$M$3:$M$1000=$B$3+0)*(INPUT!$N$3:$N$1000="M")*(INPUT!$O$3:$O$1000="HARRISON"))=0,"",SUMPRODUCT((INPUT!$M$3:$M$1000=$B$3+0)*(INPUT!$N$3:$N$1000="M")*(INPUT!$O$3:$O$1000="HARRISON")*INPUT!$Q$3:$Q$1000)),"")</f>
        <v/>
      </c>
      <c r="F18" s="37" t="str">
        <f t="shared" si="0"/>
        <v/>
      </c>
      <c r="G18" s="37" cm="1">
        <f t="array" ref="G18">IFERROR(IF(SUMPRODUCT((INPUT!$M$3:$M$1000=$B$3+1)*(INPUT!$N$3:$N$1000="M")*(INPUT!$O$3:$O$1000="HARRISON"))=0,"",SUMPRODUCT((INPUT!$M$3:$M$1000=$B$3+1)*(INPUT!$N$3:$N$1000="M")*(INPUT!$O$3:$O$1000="HARRISON")*INPUT!$P$3:$P$1000)),"")</f>
        <v>71.400000000000006</v>
      </c>
      <c r="H18" s="37" cm="1">
        <f t="array" ref="H18">IFERROR(IF(SUMPRODUCT((INPUT!$M$3:$M$1000=$B$3+1)*(INPUT!$N$3:$N$1000="M")*(INPUT!$O$3:$O$1000="HARRISON"))=0,"",SUMPRODUCT((INPUT!$M$3:$M$1000=$B$3+1)*(INPUT!$N$3:$N$1000="M")*(INPUT!$O$3:$O$1000="HARRISON")*INPUT!$Q$3:$Q$1000)),"")</f>
        <v>71.5</v>
      </c>
      <c r="I18" s="37">
        <f t="shared" si="1"/>
        <v>-9.9999999999994316E-2</v>
      </c>
      <c r="J18" s="37" cm="1">
        <f t="array" ref="J18">IFERROR(IF(SUMPRODUCT((INPUT!$M$3:$M$1000=$B$3+2)*(INPUT!$N$3:$N$1000="M")*(INPUT!$O$3:$O$1000="HARRISON"))=0,"",SUMPRODUCT((INPUT!$M$3:$M$1000=$B$3+2)*(INPUT!$N$3:$N$1000="M")*(INPUT!$O$3:$O$1000="HARRISON")*INPUT!$P$3:$P$1000)),"")</f>
        <v>71.5</v>
      </c>
      <c r="K18" s="37" cm="1">
        <f t="array" ref="K18">IFERROR(IF(SUMPRODUCT((INPUT!$M$3:$M$1000=$B$3+2)*(INPUT!$N$3:$N$1000="M")*(INPUT!$O$3:$O$1000="HARRISON"))=0,"",SUMPRODUCT((INPUT!$M$3:$M$1000=$B$3+2)*(INPUT!$N$3:$N$1000="M")*(INPUT!$O$3:$O$1000="HARRISON")*INPUT!$Q$3:$Q$1000)),"")</f>
        <v>71.7</v>
      </c>
      <c r="L18" s="37">
        <f t="shared" si="2"/>
        <v>-0.20000000000000284</v>
      </c>
      <c r="M18" s="37" cm="1">
        <f t="array" ref="M18">IFERROR(IF(SUMPRODUCT((INPUT!$M$3:$M$1000=$B$3+3)*(INPUT!$N$3:$N$1000="M")*(INPUT!$O$3:$O$1000="HARRISON"))=0,"",SUMPRODUCT((INPUT!$M$3:$M$1000=$B$3+3)*(INPUT!$N$3:$N$1000="M")*(INPUT!$O$3:$O$1000="HARRISON")*INPUT!$P$3:$P$1000)),"")</f>
        <v>71.5</v>
      </c>
      <c r="N18" s="37" cm="1">
        <f t="array" ref="N18">IFERROR(IF(SUMPRODUCT((INPUT!$M$3:$M$1000=$B$3+3)*(INPUT!$N$3:$N$1000="M")*(INPUT!$O$3:$O$1000="HARRISON"))=0,"",SUMPRODUCT((INPUT!$M$3:$M$1000=$B$3+3)*(INPUT!$N$3:$N$1000="M")*(INPUT!$O$3:$O$1000="HARRISON")*INPUT!$Q$3:$Q$1000)),"")</f>
        <v>71.7</v>
      </c>
      <c r="O18" s="37">
        <f t="shared" si="3"/>
        <v>-0.20000000000000284</v>
      </c>
      <c r="P18" s="37" cm="1">
        <f t="array" ref="P18">IFERROR(IF(SUMPRODUCT((INPUT!$M$3:$M$1000=$B$3+4)*(INPUT!$N$3:$N$1000="M")*(INPUT!$O$3:$O$1000="HARRISON"))=0,"",SUMPRODUCT((INPUT!$M$3:$M$1000=$B$3+4)*(INPUT!$N$3:$N$1000="M")*(INPUT!$O$3:$O$1000="HARRISON")*INPUT!$P$3:$P$1000)),"")</f>
        <v>70.900000000000006</v>
      </c>
      <c r="Q18" s="37" cm="1">
        <f t="array" ref="Q18">IFERROR(IF(SUMPRODUCT((INPUT!$M$3:$M$1000=$B$3+4)*(INPUT!$N$3:$N$1000="M")*(INPUT!$O$3:$O$1000="HARRISON"))=0,"",SUMPRODUCT((INPUT!$M$3:$M$1000=$B$3+4)*(INPUT!$N$3:$N$1000="M")*(INPUT!$O$3:$O$1000="HARRISON")*INPUT!$Q$3:$Q$1000)),"")</f>
        <v>71.099999999999994</v>
      </c>
      <c r="R18" s="37">
        <f t="shared" si="4"/>
        <v>-0.19999999999998863</v>
      </c>
      <c r="S18" s="37" t="str" cm="1">
        <f t="array" ref="S18">IFERROR(IF(SUMPRODUCT((INPUT!$M$3:$M$1000=$B$3+5)*(INPUT!$N$3:$N$1000="M")*(INPUT!$O$3:$O$1000="HARRISON"))=0,"",SUMPRODUCT((INPUT!$M$3:$M$1000=$B$3+5)*(INPUT!$N$3:$N$1000="M")*(INPUT!$O$3:$O$1000="HARRISON")*INPUT!$P$3:$P$1000)),"")</f>
        <v/>
      </c>
      <c r="T18" s="37" t="str" cm="1">
        <f t="array" ref="T18">IFERROR(IF(SUMPRODUCT((INPUT!$M$3:$M$1000=$B$3+5)*(INPUT!$N$3:$N$1000="M")*(INPUT!$O$3:$O$1000="HARRISON"))=0,"",SUMPRODUCT((INPUT!$M$3:$M$1000=$B$3+5)*(INPUT!$N$3:$N$1000="M")*(INPUT!$O$3:$O$1000="HARRISON")*INPUT!$Q$3:$Q$1000)),"")</f>
        <v/>
      </c>
      <c r="U18" s="37" t="str">
        <f t="shared" si="5"/>
        <v/>
      </c>
      <c r="V18" s="37" t="str" cm="1">
        <f t="array" ref="V18">IFERROR(IF(SUMPRODUCT((INPUT!$M$3:$M$1000=$B$3+6)*(INPUT!$N$3:$N$1000="M")*(INPUT!$O$3:$O$1000="HARRISON"))=0,"",SUMPRODUCT((INPUT!$M$3:$M$1000=$B$3+6)*(INPUT!$N$3:$N$1000="M")*(INPUT!$O$3:$O$1000="HARRISON")*INPUT!$P$3:$P$1000)),"")</f>
        <v/>
      </c>
      <c r="W18" s="37" t="str" cm="1">
        <f t="array" ref="W18">IFERROR(IF(SUMPRODUCT((INPUT!$M$3:$M$1000=$B$3+6)*(INPUT!$N$3:$N$1000="M")*(INPUT!$O$3:$O$1000="HARRISON"))=0,"",SUMPRODUCT((INPUT!$M$3:$M$1000=$B$3+6)*(INPUT!$N$3:$N$1000="M")*(INPUT!$O$3:$O$1000="HARRISON")*INPUT!$Q$3:$Q$1000)),"")</f>
        <v/>
      </c>
      <c r="X18" s="38" t="str">
        <f t="shared" si="6"/>
        <v/>
      </c>
    </row>
    <row r="19" spans="1:24" x14ac:dyDescent="0.2">
      <c r="A19" s="200"/>
      <c r="B19" s="202"/>
      <c r="C19" s="36" t="s">
        <v>71</v>
      </c>
      <c r="D19" s="37" t="str" cm="1">
        <f t="array" ref="D19">IFERROR(IF(SUMPRODUCT((INPUT!$M$3:$M$1000=$B$3+0)*(INPUT!$N$3:$N$1000="T")*(INPUT!$O$3:$O$1000="HARRISON"))=0,"",SUMPRODUCT((INPUT!$M$3:$M$1000=$B$3+0)*(INPUT!$N$3:$N$1000="T")*(INPUT!$O$3:$O$1000="HARRISON")*INPUT!$P$3:$P$1000)),"")</f>
        <v/>
      </c>
      <c r="E19" s="37" t="str" cm="1">
        <f t="array" ref="E19">IFERROR(IF(SUMPRODUCT((INPUT!$M$3:$M$1000=$B$3+0)*(INPUT!$N$3:$N$1000="T")*(INPUT!$O$3:$O$1000="HARRISON"))=0,"",SUMPRODUCT((INPUT!$M$3:$M$1000=$B$3+0)*(INPUT!$N$3:$N$1000="T")*(INPUT!$O$3:$O$1000="HARRISON")*INPUT!$Q$3:$Q$1000)),"")</f>
        <v/>
      </c>
      <c r="F19" s="37" t="str">
        <f t="shared" si="0"/>
        <v/>
      </c>
      <c r="G19" s="37" t="str" cm="1">
        <f t="array" ref="G19">IFERROR(IF(SUMPRODUCT((INPUT!$M$3:$M$1000=$B$3+1)*(INPUT!$N$3:$N$1000="T")*(INPUT!$O$3:$O$1000="HARRISON"))=0,"",SUMPRODUCT((INPUT!$M$3:$M$1000=$B$3+1)*(INPUT!$N$3:$N$1000="T")*(INPUT!$O$3:$O$1000="HARRISON")*INPUT!$P$3:$P$1000)),"")</f>
        <v/>
      </c>
      <c r="H19" s="37" t="str" cm="1">
        <f t="array" ref="H19">IFERROR(IF(SUMPRODUCT((INPUT!$M$3:$M$1000=$B$3+1)*(INPUT!$N$3:$N$1000="T")*(INPUT!$O$3:$O$1000="HARRISON"))=0,"",SUMPRODUCT((INPUT!$M$3:$M$1000=$B$3+1)*(INPUT!$N$3:$N$1000="T")*(INPUT!$O$3:$O$1000="HARRISON")*INPUT!$Q$3:$Q$1000)),"")</f>
        <v/>
      </c>
      <c r="I19" s="37" t="str">
        <f t="shared" si="1"/>
        <v/>
      </c>
      <c r="J19" s="37" t="str" cm="1">
        <f t="array" ref="J19">IFERROR(IF(SUMPRODUCT((INPUT!$M$3:$M$1000=$B$3+2)*(INPUT!$N$3:$N$1000="T")*(INPUT!$O$3:$O$1000="HARRISON"))=0,"",SUMPRODUCT((INPUT!$M$3:$M$1000=$B$3+2)*(INPUT!$N$3:$N$1000="T")*(INPUT!$O$3:$O$1000="HARRISON")*INPUT!$P$3:$P$1000)),"")</f>
        <v/>
      </c>
      <c r="K19" s="37" t="str" cm="1">
        <f t="array" ref="K19">IFERROR(IF(SUMPRODUCT((INPUT!$M$3:$M$1000=$B$3+2)*(INPUT!$N$3:$N$1000="T")*(INPUT!$O$3:$O$1000="HARRISON"))=0,"",SUMPRODUCT((INPUT!$M$3:$M$1000=$B$3+2)*(INPUT!$N$3:$N$1000="T")*(INPUT!$O$3:$O$1000="HARRISON")*INPUT!$Q$3:$Q$1000)),"")</f>
        <v/>
      </c>
      <c r="L19" s="37" t="str">
        <f t="shared" si="2"/>
        <v/>
      </c>
      <c r="M19" s="37" t="str" cm="1">
        <f t="array" ref="M19">IFERROR(IF(SUMPRODUCT((INPUT!$M$3:$M$1000=$B$3+3)*(INPUT!$N$3:$N$1000="T")*(INPUT!$O$3:$O$1000="HARRISON"))=0,"",SUMPRODUCT((INPUT!$M$3:$M$1000=$B$3+3)*(INPUT!$N$3:$N$1000="T")*(INPUT!$O$3:$O$1000="HARRISON")*INPUT!$P$3:$P$1000)),"")</f>
        <v/>
      </c>
      <c r="N19" s="37" t="str" cm="1">
        <f t="array" ref="N19">IFERROR(IF(SUMPRODUCT((INPUT!$M$3:$M$1000=$B$3+3)*(INPUT!$N$3:$N$1000="T")*(INPUT!$O$3:$O$1000="HARRISON"))=0,"",SUMPRODUCT((INPUT!$M$3:$M$1000=$B$3+3)*(INPUT!$N$3:$N$1000="T")*(INPUT!$O$3:$O$1000="HARRISON")*INPUT!$Q$3:$Q$1000)),"")</f>
        <v/>
      </c>
      <c r="O19" s="37" t="str">
        <f t="shared" si="3"/>
        <v/>
      </c>
      <c r="P19" s="37" t="str" cm="1">
        <f t="array" ref="P19">IFERROR(IF(SUMPRODUCT((INPUT!$M$3:$M$1000=$B$3+4)*(INPUT!$N$3:$N$1000="T")*(INPUT!$O$3:$O$1000="HARRISON"))=0,"",SUMPRODUCT((INPUT!$M$3:$M$1000=$B$3+4)*(INPUT!$N$3:$N$1000="T")*(INPUT!$O$3:$O$1000="HARRISON")*INPUT!$P$3:$P$1000)),"")</f>
        <v/>
      </c>
      <c r="Q19" s="37" t="str" cm="1">
        <f t="array" ref="Q19">IFERROR(IF(SUMPRODUCT((INPUT!$M$3:$M$1000=$B$3+4)*(INPUT!$N$3:$N$1000="T")*(INPUT!$O$3:$O$1000="HARRISON"))=0,"",SUMPRODUCT((INPUT!$M$3:$M$1000=$B$3+4)*(INPUT!$N$3:$N$1000="T")*(INPUT!$O$3:$O$1000="HARRISON")*INPUT!$Q$3:$Q$1000)),"")</f>
        <v/>
      </c>
      <c r="R19" s="37" t="str">
        <f t="shared" si="4"/>
        <v/>
      </c>
      <c r="S19" s="37" cm="1">
        <f t="array" ref="S19">IFERROR(IF(SUMPRODUCT((INPUT!$M$3:$M$1000=$B$3+5)*(INPUT!$N$3:$N$1000="T")*(INPUT!$O$3:$O$1000="HARRISON"))=0,"",SUMPRODUCT((INPUT!$M$3:$M$1000=$B$3+5)*(INPUT!$N$3:$N$1000="T")*(INPUT!$O$3:$O$1000="HARRISON")*INPUT!$P$3:$P$1000)),"")</f>
        <v>71</v>
      </c>
      <c r="T19" s="37" cm="1">
        <f t="array" ref="T19">IFERROR(IF(SUMPRODUCT((INPUT!$M$3:$M$1000=$B$3+5)*(INPUT!$N$3:$N$1000="T")*(INPUT!$O$3:$O$1000="HARRISON"))=0,"",SUMPRODUCT((INPUT!$M$3:$M$1000=$B$3+5)*(INPUT!$N$3:$N$1000="T")*(INPUT!$O$3:$O$1000="HARRISON")*INPUT!$Q$3:$Q$1000)),"")</f>
        <v>71.3</v>
      </c>
      <c r="U19" s="37">
        <f t="shared" si="5"/>
        <v>-0.29999999999999716</v>
      </c>
      <c r="V19" s="37" t="str" cm="1">
        <f t="array" ref="V19">IFERROR(IF(SUMPRODUCT((INPUT!$M$3:$M$1000=$B$3+6)*(INPUT!$N$3:$N$1000="T")*(INPUT!$O$3:$O$1000="HARRISON"))=0,"",SUMPRODUCT((INPUT!$M$3:$M$1000=$B$3+6)*(INPUT!$N$3:$N$1000="T")*(INPUT!$O$3:$O$1000="HARRISON")*INPUT!$P$3:$P$1000)),"")</f>
        <v/>
      </c>
      <c r="W19" s="37" t="str" cm="1">
        <f t="array" ref="W19">IFERROR(IF(SUMPRODUCT((INPUT!$M$3:$M$1000=$B$3+6)*(INPUT!$N$3:$N$1000="T")*(INPUT!$O$3:$O$1000="HARRISON"))=0,"",SUMPRODUCT((INPUT!$M$3:$M$1000=$B$3+6)*(INPUT!$N$3:$N$1000="T")*(INPUT!$O$3:$O$1000="HARRISON")*INPUT!$Q$3:$Q$1000)),"")</f>
        <v/>
      </c>
      <c r="X19" s="38" t="str">
        <f t="shared" si="6"/>
        <v/>
      </c>
    </row>
    <row r="20" spans="1:24" x14ac:dyDescent="0.2">
      <c r="A20" s="203">
        <v>8</v>
      </c>
      <c r="B20" s="204" t="s">
        <v>48</v>
      </c>
      <c r="C20" s="36" t="s">
        <v>70</v>
      </c>
      <c r="D20" s="37" t="str" cm="1">
        <f t="array" ref="D20">IFERROR(IF(SUMPRODUCT((INPUT!$M$3:$M$1000=$B$3+0)*(INPUT!$N$3:$N$1000="M")*(INPUT!$O$3:$O$1000="RAYA"))=0,"",SUMPRODUCT((INPUT!$M$3:$M$1000=$B$3+0)*(INPUT!$N$3:$N$1000="M")*(INPUT!$O$3:$O$1000="RAYA")*INPUT!$P$3:$P$1000)),"")</f>
        <v/>
      </c>
      <c r="E20" s="37" t="str" cm="1">
        <f t="array" ref="E20">IFERROR(IF(SUMPRODUCT((INPUT!$M$3:$M$1000=$B$3+0)*(INPUT!$N$3:$N$1000="M")*(INPUT!$O$3:$O$1000="RAYA"))=0,"",SUMPRODUCT((INPUT!$M$3:$M$1000=$B$3+0)*(INPUT!$N$3:$N$1000="M")*(INPUT!$O$3:$O$1000="RAYA")*INPUT!$Q$3:$Q$1000)),"")</f>
        <v/>
      </c>
      <c r="F20" s="37" t="str">
        <f t="shared" si="0"/>
        <v/>
      </c>
      <c r="G20" s="37" t="str" cm="1">
        <f t="array" ref="G20">IFERROR(IF(SUMPRODUCT((INPUT!$M$3:$M$1000=$B$3+1)*(INPUT!$N$3:$N$1000="M")*(INPUT!$O$3:$O$1000="RAYA"))=0,"",SUMPRODUCT((INPUT!$M$3:$M$1000=$B$3+1)*(INPUT!$N$3:$N$1000="M")*(INPUT!$O$3:$O$1000="RAYA")*INPUT!$P$3:$P$1000)),"")</f>
        <v/>
      </c>
      <c r="H20" s="37" t="str" cm="1">
        <f t="array" ref="H20">IFERROR(IF(SUMPRODUCT((INPUT!$M$3:$M$1000=$B$3+1)*(INPUT!$N$3:$N$1000="M")*(INPUT!$O$3:$O$1000="RAYA"))=0,"",SUMPRODUCT((INPUT!$M$3:$M$1000=$B$3+1)*(INPUT!$N$3:$N$1000="M")*(INPUT!$O$3:$O$1000="RAYA")*INPUT!$Q$3:$Q$1000)),"")</f>
        <v/>
      </c>
      <c r="I20" s="37" t="str">
        <f t="shared" si="1"/>
        <v/>
      </c>
      <c r="J20" s="37" t="str" cm="1">
        <f t="array" ref="J20">IFERROR(IF(SUMPRODUCT((INPUT!$M$3:$M$1000=$B$3+2)*(INPUT!$N$3:$N$1000="M")*(INPUT!$O$3:$O$1000="RAYA"))=0,"",SUMPRODUCT((INPUT!$M$3:$M$1000=$B$3+2)*(INPUT!$N$3:$N$1000="M")*(INPUT!$O$3:$O$1000="RAYA")*INPUT!$P$3:$P$1000)),"")</f>
        <v/>
      </c>
      <c r="K20" s="37" t="str" cm="1">
        <f t="array" ref="K20">IFERROR(IF(SUMPRODUCT((INPUT!$M$3:$M$1000=$B$3+2)*(INPUT!$N$3:$N$1000="M")*(INPUT!$O$3:$O$1000="RAYA"))=0,"",SUMPRODUCT((INPUT!$M$3:$M$1000=$B$3+2)*(INPUT!$N$3:$N$1000="M")*(INPUT!$O$3:$O$1000="RAYA")*INPUT!$Q$3:$Q$1000)),"")</f>
        <v/>
      </c>
      <c r="L20" s="37" t="str">
        <f t="shared" si="2"/>
        <v/>
      </c>
      <c r="M20" s="37" t="str" cm="1">
        <f t="array" ref="M20">IFERROR(IF(SUMPRODUCT((INPUT!$M$3:$M$1000=$B$3+3)*(INPUT!$N$3:$N$1000="M")*(INPUT!$O$3:$O$1000="RAYA"))=0,"",SUMPRODUCT((INPUT!$M$3:$M$1000=$B$3+3)*(INPUT!$N$3:$N$1000="M")*(INPUT!$O$3:$O$1000="RAYA")*INPUT!$P$3:$P$1000)),"")</f>
        <v/>
      </c>
      <c r="N20" s="37" t="str" cm="1">
        <f t="array" ref="N20">IFERROR(IF(SUMPRODUCT((INPUT!$M$3:$M$1000=$B$3+3)*(INPUT!$N$3:$N$1000="M")*(INPUT!$O$3:$O$1000="RAYA"))=0,"",SUMPRODUCT((INPUT!$M$3:$M$1000=$B$3+3)*(INPUT!$N$3:$N$1000="M")*(INPUT!$O$3:$O$1000="RAYA")*INPUT!$Q$3:$Q$1000)),"")</f>
        <v/>
      </c>
      <c r="O20" s="37" t="str">
        <f t="shared" si="3"/>
        <v/>
      </c>
      <c r="P20" s="37" cm="1">
        <f t="array" ref="P20">IFERROR(IF(SUMPRODUCT((INPUT!$M$3:$M$1000=$B$3+4)*(INPUT!$N$3:$N$1000="M")*(INPUT!$O$3:$O$1000="RAYA"))=0,"",SUMPRODUCT((INPUT!$M$3:$M$1000=$B$3+4)*(INPUT!$N$3:$N$1000="M")*(INPUT!$O$3:$O$1000="RAYA")*INPUT!$P$3:$P$1000)),"")</f>
        <v>82.8</v>
      </c>
      <c r="Q20" s="37" cm="1">
        <f t="array" ref="Q20">IFERROR(IF(SUMPRODUCT((INPUT!$M$3:$M$1000=$B$3+4)*(INPUT!$N$3:$N$1000="M")*(INPUT!$O$3:$O$1000="RAYA"))=0,"",SUMPRODUCT((INPUT!$M$3:$M$1000=$B$3+4)*(INPUT!$N$3:$N$1000="M")*(INPUT!$O$3:$O$1000="RAYA")*INPUT!$Q$3:$Q$1000)),"")</f>
        <v>82.2</v>
      </c>
      <c r="R20" s="37">
        <f t="shared" si="4"/>
        <v>0.59999999999999432</v>
      </c>
      <c r="S20" s="37" t="str" cm="1">
        <f t="array" ref="S20">IFERROR(IF(SUMPRODUCT((INPUT!$M$3:$M$1000=$B$3+5)*(INPUT!$N$3:$N$1000="M")*(INPUT!$O$3:$O$1000="RAYA"))=0,"",SUMPRODUCT((INPUT!$M$3:$M$1000=$B$3+5)*(INPUT!$N$3:$N$1000="M")*(INPUT!$O$3:$O$1000="RAYA")*INPUT!$P$3:$P$1000)),"")</f>
        <v/>
      </c>
      <c r="T20" s="37" t="str" cm="1">
        <f t="array" ref="T20">IFERROR(IF(SUMPRODUCT((INPUT!$M$3:$M$1000=$B$3+5)*(INPUT!$N$3:$N$1000="M")*(INPUT!$O$3:$O$1000="RAYA"))=0,"",SUMPRODUCT((INPUT!$M$3:$M$1000=$B$3+5)*(INPUT!$N$3:$N$1000="M")*(INPUT!$O$3:$O$1000="RAYA")*INPUT!$Q$3:$Q$1000)),"")</f>
        <v/>
      </c>
      <c r="U20" s="37" t="str">
        <f t="shared" si="5"/>
        <v/>
      </c>
      <c r="V20" s="37" t="str" cm="1">
        <f t="array" ref="V20">IFERROR(IF(SUMPRODUCT((INPUT!$M$3:$M$1000=$B$3+6)*(INPUT!$N$3:$N$1000="M")*(INPUT!$O$3:$O$1000="RAYA"))=0,"",SUMPRODUCT((INPUT!$M$3:$M$1000=$B$3+6)*(INPUT!$N$3:$N$1000="M")*(INPUT!$O$3:$O$1000="RAYA")*INPUT!$P$3:$P$1000)),"")</f>
        <v/>
      </c>
      <c r="W20" s="37" t="str" cm="1">
        <f t="array" ref="W20">IFERROR(IF(SUMPRODUCT((INPUT!$M$3:$M$1000=$B$3+6)*(INPUT!$N$3:$N$1000="M")*(INPUT!$O$3:$O$1000="RAYA"))=0,"",SUMPRODUCT((INPUT!$M$3:$M$1000=$B$3+6)*(INPUT!$N$3:$N$1000="M")*(INPUT!$O$3:$O$1000="RAYA")*INPUT!$Q$3:$Q$1000)),"")</f>
        <v/>
      </c>
      <c r="X20" s="38" t="str">
        <f t="shared" si="6"/>
        <v/>
      </c>
    </row>
    <row r="21" spans="1:24" x14ac:dyDescent="0.2">
      <c r="A21" s="200"/>
      <c r="B21" s="202"/>
      <c r="C21" s="36" t="s">
        <v>71</v>
      </c>
      <c r="D21" s="37" t="str" cm="1">
        <f t="array" ref="D21">IFERROR(IF(SUMPRODUCT((INPUT!$M$3:$M$1000=$B$3+0)*(INPUT!$N$3:$N$1000="T")*(INPUT!$O$3:$O$1000="RAYA"))=0,"",SUMPRODUCT((INPUT!$M$3:$M$1000=$B$3+0)*(INPUT!$N$3:$N$1000="T")*(INPUT!$O$3:$O$1000="RAYA")*INPUT!$P$3:$P$1000)),"")</f>
        <v/>
      </c>
      <c r="E21" s="37" t="str" cm="1">
        <f t="array" ref="E21">IFERROR(IF(SUMPRODUCT((INPUT!$M$3:$M$1000=$B$3+0)*(INPUT!$N$3:$N$1000="T")*(INPUT!$O$3:$O$1000="RAYA"))=0,"",SUMPRODUCT((INPUT!$M$3:$M$1000=$B$3+0)*(INPUT!$N$3:$N$1000="T")*(INPUT!$O$3:$O$1000="RAYA")*INPUT!$Q$3:$Q$1000)),"")</f>
        <v/>
      </c>
      <c r="F21" s="37" t="str">
        <f t="shared" si="0"/>
        <v/>
      </c>
      <c r="G21" s="37" t="str" cm="1">
        <f t="array" ref="G21">IFERROR(IF(SUMPRODUCT((INPUT!$M$3:$M$1000=$B$3+1)*(INPUT!$N$3:$N$1000="T")*(INPUT!$O$3:$O$1000="RAYA"))=0,"",SUMPRODUCT((INPUT!$M$3:$M$1000=$B$3+1)*(INPUT!$N$3:$N$1000="T")*(INPUT!$O$3:$O$1000="RAYA")*INPUT!$P$3:$P$1000)),"")</f>
        <v/>
      </c>
      <c r="H21" s="37" t="str" cm="1">
        <f t="array" ref="H21">IFERROR(IF(SUMPRODUCT((INPUT!$M$3:$M$1000=$B$3+1)*(INPUT!$N$3:$N$1000="T")*(INPUT!$O$3:$O$1000="RAYA"))=0,"",SUMPRODUCT((INPUT!$M$3:$M$1000=$B$3+1)*(INPUT!$N$3:$N$1000="T")*(INPUT!$O$3:$O$1000="RAYA")*INPUT!$Q$3:$Q$1000)),"")</f>
        <v/>
      </c>
      <c r="I21" s="37" t="str">
        <f t="shared" si="1"/>
        <v/>
      </c>
      <c r="J21" s="37" t="str" cm="1">
        <f t="array" ref="J21">IFERROR(IF(SUMPRODUCT((INPUT!$M$3:$M$1000=$B$3+2)*(INPUT!$N$3:$N$1000="T")*(INPUT!$O$3:$O$1000="RAYA"))=0,"",SUMPRODUCT((INPUT!$M$3:$M$1000=$B$3+2)*(INPUT!$N$3:$N$1000="T")*(INPUT!$O$3:$O$1000="RAYA")*INPUT!$P$3:$P$1000)),"")</f>
        <v/>
      </c>
      <c r="K21" s="37" t="str" cm="1">
        <f t="array" ref="K21">IFERROR(IF(SUMPRODUCT((INPUT!$M$3:$M$1000=$B$3+2)*(INPUT!$N$3:$N$1000="T")*(INPUT!$O$3:$O$1000="RAYA"))=0,"",SUMPRODUCT((INPUT!$M$3:$M$1000=$B$3+2)*(INPUT!$N$3:$N$1000="T")*(INPUT!$O$3:$O$1000="RAYA")*INPUT!$Q$3:$Q$1000)),"")</f>
        <v/>
      </c>
      <c r="L21" s="37" t="str">
        <f t="shared" si="2"/>
        <v/>
      </c>
      <c r="M21" s="37" t="str" cm="1">
        <f t="array" ref="M21">IFERROR(IF(SUMPRODUCT((INPUT!$M$3:$M$1000=$B$3+3)*(INPUT!$N$3:$N$1000="T")*(INPUT!$O$3:$O$1000="RAYA"))=0,"",SUMPRODUCT((INPUT!$M$3:$M$1000=$B$3+3)*(INPUT!$N$3:$N$1000="T")*(INPUT!$O$3:$O$1000="RAYA")*INPUT!$P$3:$P$1000)),"")</f>
        <v/>
      </c>
      <c r="N21" s="37" t="str" cm="1">
        <f t="array" ref="N21">IFERROR(IF(SUMPRODUCT((INPUT!$M$3:$M$1000=$B$3+3)*(INPUT!$N$3:$N$1000="T")*(INPUT!$O$3:$O$1000="RAYA"))=0,"",SUMPRODUCT((INPUT!$M$3:$M$1000=$B$3+3)*(INPUT!$N$3:$N$1000="T")*(INPUT!$O$3:$O$1000="RAYA")*INPUT!$Q$3:$Q$1000)),"")</f>
        <v/>
      </c>
      <c r="O21" s="37" t="str">
        <f t="shared" si="3"/>
        <v/>
      </c>
      <c r="P21" s="37" t="str" cm="1">
        <f t="array" ref="P21">IFERROR(IF(SUMPRODUCT((INPUT!$M$3:$M$1000=$B$3+4)*(INPUT!$N$3:$N$1000="T")*(INPUT!$O$3:$O$1000="RAYA"))=0,"",SUMPRODUCT((INPUT!$M$3:$M$1000=$B$3+4)*(INPUT!$N$3:$N$1000="T")*(INPUT!$O$3:$O$1000="RAYA")*INPUT!$P$3:$P$1000)),"")</f>
        <v/>
      </c>
      <c r="Q21" s="37" t="str" cm="1">
        <f t="array" ref="Q21">IFERROR(IF(SUMPRODUCT((INPUT!$M$3:$M$1000=$B$3+4)*(INPUT!$N$3:$N$1000="T")*(INPUT!$O$3:$O$1000="RAYA"))=0,"",SUMPRODUCT((INPUT!$M$3:$M$1000=$B$3+4)*(INPUT!$N$3:$N$1000="T")*(INPUT!$O$3:$O$1000="RAYA")*INPUT!$Q$3:$Q$1000)),"")</f>
        <v/>
      </c>
      <c r="R21" s="37" t="str">
        <f t="shared" si="4"/>
        <v/>
      </c>
      <c r="S21" s="37" cm="1">
        <f t="array" ref="S21">IFERROR(IF(SUMPRODUCT((INPUT!$M$3:$M$1000=$B$3+5)*(INPUT!$N$3:$N$1000="T")*(INPUT!$O$3:$O$1000="RAYA"))=0,"",SUMPRODUCT((INPUT!$M$3:$M$1000=$B$3+5)*(INPUT!$N$3:$N$1000="T")*(INPUT!$O$3:$O$1000="RAYA")*INPUT!$P$3:$P$1000)),"")</f>
        <v>82.7</v>
      </c>
      <c r="T21" s="37" cm="1">
        <f t="array" ref="T21">IFERROR(IF(SUMPRODUCT((INPUT!$M$3:$M$1000=$B$3+5)*(INPUT!$N$3:$N$1000="T")*(INPUT!$O$3:$O$1000="RAYA"))=0,"",SUMPRODUCT((INPUT!$M$3:$M$1000=$B$3+5)*(INPUT!$N$3:$N$1000="T")*(INPUT!$O$3:$O$1000="RAYA")*INPUT!$Q$3:$Q$1000)),"")</f>
        <v>79.3</v>
      </c>
      <c r="U21" s="37">
        <f t="shared" si="5"/>
        <v>3.4000000000000057</v>
      </c>
      <c r="V21" s="37" t="str" cm="1">
        <f t="array" ref="V21">IFERROR(IF(SUMPRODUCT((INPUT!$M$3:$M$1000=$B$3+6)*(INPUT!$N$3:$N$1000="T")*(INPUT!$O$3:$O$1000="RAYA"))=0,"",SUMPRODUCT((INPUT!$M$3:$M$1000=$B$3+6)*(INPUT!$N$3:$N$1000="T")*(INPUT!$O$3:$O$1000="RAYA")*INPUT!$P$3:$P$1000)),"")</f>
        <v/>
      </c>
      <c r="W21" s="37" t="str" cm="1">
        <f t="array" ref="W21">IFERROR(IF(SUMPRODUCT((INPUT!$M$3:$M$1000=$B$3+6)*(INPUT!$N$3:$N$1000="T")*(INPUT!$O$3:$O$1000="RAYA"))=0,"",SUMPRODUCT((INPUT!$M$3:$M$1000=$B$3+6)*(INPUT!$N$3:$N$1000="T")*(INPUT!$O$3:$O$1000="RAYA")*INPUT!$Q$3:$Q$1000)),"")</f>
        <v/>
      </c>
      <c r="X21" s="38" t="str">
        <f t="shared" si="6"/>
        <v/>
      </c>
    </row>
    <row r="22" spans="1:24" x14ac:dyDescent="0.2">
      <c r="A22" s="203">
        <v>9</v>
      </c>
      <c r="B22" s="204" t="s">
        <v>49</v>
      </c>
      <c r="C22" s="36" t="s">
        <v>70</v>
      </c>
      <c r="D22" s="37" t="str" cm="1">
        <f t="array" ref="D22">IFERROR(IF(SUMPRODUCT((INPUT!$M$3:$M$1000=$B$3+0)*(INPUT!$N$3:$N$1000="M")*(INPUT!$O$3:$O$1000="JAVI"))=0,"",SUMPRODUCT((INPUT!$M$3:$M$1000=$B$3+0)*(INPUT!$N$3:$N$1000="M")*(INPUT!$O$3:$O$1000="JAVI")*INPUT!$P$3:$P$1000)),"")</f>
        <v/>
      </c>
      <c r="E22" s="37" t="str" cm="1">
        <f t="array" ref="E22">IFERROR(IF(SUMPRODUCT((INPUT!$M$3:$M$1000=$B$3+0)*(INPUT!$N$3:$N$1000="M")*(INPUT!$O$3:$O$1000="JAVI"))=0,"",SUMPRODUCT((INPUT!$M$3:$M$1000=$B$3+0)*(INPUT!$N$3:$N$1000="M")*(INPUT!$O$3:$O$1000="JAVI")*INPUT!$Q$3:$Q$1000)),"")</f>
        <v/>
      </c>
      <c r="F22" s="37" t="str">
        <f t="shared" si="0"/>
        <v/>
      </c>
      <c r="G22" s="37" cm="1">
        <f t="array" ref="G22">IFERROR(IF(SUMPRODUCT((INPUT!$M$3:$M$1000=$B$3+1)*(INPUT!$N$3:$N$1000="M")*(INPUT!$O$3:$O$1000="JAVI"))=0,"",SUMPRODUCT((INPUT!$M$3:$M$1000=$B$3+1)*(INPUT!$N$3:$N$1000="M")*(INPUT!$O$3:$O$1000="JAVI")*INPUT!$P$3:$P$1000)),"")</f>
        <v>79.900000000000006</v>
      </c>
      <c r="H22" s="37" cm="1">
        <f t="array" ref="H22">IFERROR(IF(SUMPRODUCT((INPUT!$M$3:$M$1000=$B$3+1)*(INPUT!$N$3:$N$1000="M")*(INPUT!$O$3:$O$1000="JAVI"))=0,"",SUMPRODUCT((INPUT!$M$3:$M$1000=$B$3+1)*(INPUT!$N$3:$N$1000="M")*(INPUT!$O$3:$O$1000="JAVI")*INPUT!$Q$3:$Q$1000)),"")</f>
        <v>79.900000000000006</v>
      </c>
      <c r="I22" s="37">
        <f t="shared" si="1"/>
        <v>0</v>
      </c>
      <c r="J22" s="37" cm="1">
        <f t="array" ref="J22">IFERROR(IF(SUMPRODUCT((INPUT!$M$3:$M$1000=$B$3+2)*(INPUT!$N$3:$N$1000="M")*(INPUT!$O$3:$O$1000="JAVI"))=0,"",SUMPRODUCT((INPUT!$M$3:$M$1000=$B$3+2)*(INPUT!$N$3:$N$1000="M")*(INPUT!$O$3:$O$1000="JAVI")*INPUT!$P$3:$P$1000)),"")</f>
        <v>79.8</v>
      </c>
      <c r="K22" s="37" cm="1">
        <f t="array" ref="K22">IFERROR(IF(SUMPRODUCT((INPUT!$M$3:$M$1000=$B$3+2)*(INPUT!$N$3:$N$1000="M")*(INPUT!$O$3:$O$1000="JAVI"))=0,"",SUMPRODUCT((INPUT!$M$3:$M$1000=$B$3+2)*(INPUT!$N$3:$N$1000="M")*(INPUT!$O$3:$O$1000="JAVI")*INPUT!$Q$3:$Q$1000)),"")</f>
        <v>79.599999999999994</v>
      </c>
      <c r="L22" s="37">
        <f t="shared" si="2"/>
        <v>0.20000000000000284</v>
      </c>
      <c r="M22" s="37" cm="1">
        <f t="array" ref="M22">IFERROR(IF(SUMPRODUCT((INPUT!$M$3:$M$1000=$B$3+3)*(INPUT!$N$3:$N$1000="M")*(INPUT!$O$3:$O$1000="JAVI"))=0,"",SUMPRODUCT((INPUT!$M$3:$M$1000=$B$3+3)*(INPUT!$N$3:$N$1000="M")*(INPUT!$O$3:$O$1000="JAVI")*INPUT!$P$3:$P$1000)),"")</f>
        <v>79.8</v>
      </c>
      <c r="N22" s="37" cm="1">
        <f t="array" ref="N22">IFERROR(IF(SUMPRODUCT((INPUT!$M$3:$M$1000=$B$3+3)*(INPUT!$N$3:$N$1000="M")*(INPUT!$O$3:$O$1000="JAVI"))=0,"",SUMPRODUCT((INPUT!$M$3:$M$1000=$B$3+3)*(INPUT!$N$3:$N$1000="M")*(INPUT!$O$3:$O$1000="JAVI")*INPUT!$Q$3:$Q$1000)),"")</f>
        <v>79.599999999999994</v>
      </c>
      <c r="O22" s="37">
        <f t="shared" si="3"/>
        <v>0.20000000000000284</v>
      </c>
      <c r="P22" s="37" cm="1">
        <f t="array" ref="P22">IFERROR(IF(SUMPRODUCT((INPUT!$M$3:$M$1000=$B$3+4)*(INPUT!$N$3:$N$1000="M")*(INPUT!$O$3:$O$1000="JAVI"))=0,"",SUMPRODUCT((INPUT!$M$3:$M$1000=$B$3+4)*(INPUT!$N$3:$N$1000="M")*(INPUT!$O$3:$O$1000="JAVI")*INPUT!$P$3:$P$1000)),"")</f>
        <v>80.5</v>
      </c>
      <c r="Q22" s="37" cm="1">
        <f t="array" ref="Q22">IFERROR(IF(SUMPRODUCT((INPUT!$M$3:$M$1000=$B$3+4)*(INPUT!$N$3:$N$1000="M")*(INPUT!$O$3:$O$1000="JAVI"))=0,"",SUMPRODUCT((INPUT!$M$3:$M$1000=$B$3+4)*(INPUT!$N$3:$N$1000="M")*(INPUT!$O$3:$O$1000="JAVI")*INPUT!$Q$3:$Q$1000)),"")</f>
        <v>80.2</v>
      </c>
      <c r="R22" s="37">
        <f t="shared" si="4"/>
        <v>0.29999999999999716</v>
      </c>
      <c r="S22" s="37" t="str" cm="1">
        <f t="array" ref="S22">IFERROR(IF(SUMPRODUCT((INPUT!$M$3:$M$1000=$B$3+5)*(INPUT!$N$3:$N$1000="M")*(INPUT!$O$3:$O$1000="JAVI"))=0,"",SUMPRODUCT((INPUT!$M$3:$M$1000=$B$3+5)*(INPUT!$N$3:$N$1000="M")*(INPUT!$O$3:$O$1000="JAVI")*INPUT!$P$3:$P$1000)),"")</f>
        <v/>
      </c>
      <c r="T22" s="37" t="str" cm="1">
        <f t="array" ref="T22">IFERROR(IF(SUMPRODUCT((INPUT!$M$3:$M$1000=$B$3+5)*(INPUT!$N$3:$N$1000="M")*(INPUT!$O$3:$O$1000="JAVI"))=0,"",SUMPRODUCT((INPUT!$M$3:$M$1000=$B$3+5)*(INPUT!$N$3:$N$1000="M")*(INPUT!$O$3:$O$1000="JAVI")*INPUT!$Q$3:$Q$1000)),"")</f>
        <v/>
      </c>
      <c r="U22" s="37" t="str">
        <f t="shared" si="5"/>
        <v/>
      </c>
      <c r="V22" s="37" t="str" cm="1">
        <f t="array" ref="V22">IFERROR(IF(SUMPRODUCT((INPUT!$M$3:$M$1000=$B$3+6)*(INPUT!$N$3:$N$1000="M")*(INPUT!$O$3:$O$1000="JAVI"))=0,"",SUMPRODUCT((INPUT!$M$3:$M$1000=$B$3+6)*(INPUT!$N$3:$N$1000="M")*(INPUT!$O$3:$O$1000="JAVI")*INPUT!$P$3:$P$1000)),"")</f>
        <v/>
      </c>
      <c r="W22" s="37" t="str" cm="1">
        <f t="array" ref="W22">IFERROR(IF(SUMPRODUCT((INPUT!$M$3:$M$1000=$B$3+6)*(INPUT!$N$3:$N$1000="M")*(INPUT!$O$3:$O$1000="JAVI"))=0,"",SUMPRODUCT((INPUT!$M$3:$M$1000=$B$3+6)*(INPUT!$N$3:$N$1000="M")*(INPUT!$O$3:$O$1000="JAVI")*INPUT!$Q$3:$Q$1000)),"")</f>
        <v/>
      </c>
      <c r="X22" s="38" t="str">
        <f t="shared" si="6"/>
        <v/>
      </c>
    </row>
    <row r="23" spans="1:24" x14ac:dyDescent="0.2">
      <c r="A23" s="200"/>
      <c r="B23" s="202"/>
      <c r="C23" s="36" t="s">
        <v>71</v>
      </c>
      <c r="D23" s="37" t="str" cm="1">
        <f t="array" ref="D23">IFERROR(IF(SUMPRODUCT((INPUT!$M$3:$M$1000=$B$3+0)*(INPUT!$N$3:$N$1000="T")*(INPUT!$O$3:$O$1000="JAVI"))=0,"",SUMPRODUCT((INPUT!$M$3:$M$1000=$B$3+0)*(INPUT!$N$3:$N$1000="T")*(INPUT!$O$3:$O$1000="JAVI")*INPUT!$P$3:$P$1000)),"")</f>
        <v/>
      </c>
      <c r="E23" s="37" t="str" cm="1">
        <f t="array" ref="E23">IFERROR(IF(SUMPRODUCT((INPUT!$M$3:$M$1000=$B$3+0)*(INPUT!$N$3:$N$1000="T")*(INPUT!$O$3:$O$1000="JAVI"))=0,"",SUMPRODUCT((INPUT!$M$3:$M$1000=$B$3+0)*(INPUT!$N$3:$N$1000="T")*(INPUT!$O$3:$O$1000="JAVI")*INPUT!$Q$3:$Q$1000)),"")</f>
        <v/>
      </c>
      <c r="F23" s="37" t="str">
        <f t="shared" si="0"/>
        <v/>
      </c>
      <c r="G23" s="37" t="str" cm="1">
        <f t="array" ref="G23">IFERROR(IF(SUMPRODUCT((INPUT!$M$3:$M$1000=$B$3+1)*(INPUT!$N$3:$N$1000="T")*(INPUT!$O$3:$O$1000="JAVI"))=0,"",SUMPRODUCT((INPUT!$M$3:$M$1000=$B$3+1)*(INPUT!$N$3:$N$1000="T")*(INPUT!$O$3:$O$1000="JAVI")*INPUT!$P$3:$P$1000)),"")</f>
        <v/>
      </c>
      <c r="H23" s="37" t="str" cm="1">
        <f t="array" ref="H23">IFERROR(IF(SUMPRODUCT((INPUT!$M$3:$M$1000=$B$3+1)*(INPUT!$N$3:$N$1000="T")*(INPUT!$O$3:$O$1000="JAVI"))=0,"",SUMPRODUCT((INPUT!$M$3:$M$1000=$B$3+1)*(INPUT!$N$3:$N$1000="T")*(INPUT!$O$3:$O$1000="JAVI")*INPUT!$Q$3:$Q$1000)),"")</f>
        <v/>
      </c>
      <c r="I23" s="37" t="str">
        <f t="shared" si="1"/>
        <v/>
      </c>
      <c r="J23" s="37" t="str" cm="1">
        <f t="array" ref="J23">IFERROR(IF(SUMPRODUCT((INPUT!$M$3:$M$1000=$B$3+2)*(INPUT!$N$3:$N$1000="T")*(INPUT!$O$3:$O$1000="JAVI"))=0,"",SUMPRODUCT((INPUT!$M$3:$M$1000=$B$3+2)*(INPUT!$N$3:$N$1000="T")*(INPUT!$O$3:$O$1000="JAVI")*INPUT!$P$3:$P$1000)),"")</f>
        <v/>
      </c>
      <c r="K23" s="37" t="str" cm="1">
        <f t="array" ref="K23">IFERROR(IF(SUMPRODUCT((INPUT!$M$3:$M$1000=$B$3+2)*(INPUT!$N$3:$N$1000="T")*(INPUT!$O$3:$O$1000="JAVI"))=0,"",SUMPRODUCT((INPUT!$M$3:$M$1000=$B$3+2)*(INPUT!$N$3:$N$1000="T")*(INPUT!$O$3:$O$1000="JAVI")*INPUT!$Q$3:$Q$1000)),"")</f>
        <v/>
      </c>
      <c r="L23" s="37" t="str">
        <f t="shared" si="2"/>
        <v/>
      </c>
      <c r="M23" s="37" t="str" cm="1">
        <f t="array" ref="M23">IFERROR(IF(SUMPRODUCT((INPUT!$M$3:$M$1000=$B$3+3)*(INPUT!$N$3:$N$1000="T")*(INPUT!$O$3:$O$1000="JAVI"))=0,"",SUMPRODUCT((INPUT!$M$3:$M$1000=$B$3+3)*(INPUT!$N$3:$N$1000="T")*(INPUT!$O$3:$O$1000="JAVI")*INPUT!$P$3:$P$1000)),"")</f>
        <v/>
      </c>
      <c r="N23" s="37" t="str" cm="1">
        <f t="array" ref="N23">IFERROR(IF(SUMPRODUCT((INPUT!$M$3:$M$1000=$B$3+3)*(INPUT!$N$3:$N$1000="T")*(INPUT!$O$3:$O$1000="JAVI"))=0,"",SUMPRODUCT((INPUT!$M$3:$M$1000=$B$3+3)*(INPUT!$N$3:$N$1000="T")*(INPUT!$O$3:$O$1000="JAVI")*INPUT!$Q$3:$Q$1000)),"")</f>
        <v/>
      </c>
      <c r="O23" s="37" t="str">
        <f t="shared" si="3"/>
        <v/>
      </c>
      <c r="P23" s="37" t="str" cm="1">
        <f t="array" ref="P23">IFERROR(IF(SUMPRODUCT((INPUT!$M$3:$M$1000=$B$3+4)*(INPUT!$N$3:$N$1000="T")*(INPUT!$O$3:$O$1000="JAVI"))=0,"",SUMPRODUCT((INPUT!$M$3:$M$1000=$B$3+4)*(INPUT!$N$3:$N$1000="T")*(INPUT!$O$3:$O$1000="JAVI")*INPUT!$P$3:$P$1000)),"")</f>
        <v/>
      </c>
      <c r="Q23" s="37" t="str" cm="1">
        <f t="array" ref="Q23">IFERROR(IF(SUMPRODUCT((INPUT!$M$3:$M$1000=$B$3+4)*(INPUT!$N$3:$N$1000="T")*(INPUT!$O$3:$O$1000="JAVI"))=0,"",SUMPRODUCT((INPUT!$M$3:$M$1000=$B$3+4)*(INPUT!$N$3:$N$1000="T")*(INPUT!$O$3:$O$1000="JAVI")*INPUT!$Q$3:$Q$1000)),"")</f>
        <v/>
      </c>
      <c r="R23" s="37" t="str">
        <f t="shared" si="4"/>
        <v/>
      </c>
      <c r="S23" s="37" cm="1">
        <f t="array" ref="S23">IFERROR(IF(SUMPRODUCT((INPUT!$M$3:$M$1000=$B$3+5)*(INPUT!$N$3:$N$1000="T")*(INPUT!$O$3:$O$1000="JAVI"))=0,"",SUMPRODUCT((INPUT!$M$3:$M$1000=$B$3+5)*(INPUT!$N$3:$N$1000="T")*(INPUT!$O$3:$O$1000="JAVI")*INPUT!$P$3:$P$1000)),"")</f>
        <v>79.3</v>
      </c>
      <c r="T23" s="37" cm="1">
        <f t="array" ref="T23">IFERROR(IF(SUMPRODUCT((INPUT!$M$3:$M$1000=$B$3+5)*(INPUT!$N$3:$N$1000="T")*(INPUT!$O$3:$O$1000="JAVI"))=0,"",SUMPRODUCT((INPUT!$M$3:$M$1000=$B$3+5)*(INPUT!$N$3:$N$1000="T")*(INPUT!$O$3:$O$1000="JAVI")*INPUT!$Q$3:$Q$1000)),"")</f>
        <v>79.400000000000006</v>
      </c>
      <c r="U23" s="37">
        <f t="shared" si="5"/>
        <v>-0.10000000000000853</v>
      </c>
      <c r="V23" s="37" t="str" cm="1">
        <f t="array" ref="V23">IFERROR(IF(SUMPRODUCT((INPUT!$M$3:$M$1000=$B$3+6)*(INPUT!$N$3:$N$1000="T")*(INPUT!$O$3:$O$1000="JAVI"))=0,"",SUMPRODUCT((INPUT!$M$3:$M$1000=$B$3+6)*(INPUT!$N$3:$N$1000="T")*(INPUT!$O$3:$O$1000="JAVI")*INPUT!$P$3:$P$1000)),"")</f>
        <v/>
      </c>
      <c r="W23" s="37" t="str" cm="1">
        <f t="array" ref="W23">IFERROR(IF(SUMPRODUCT((INPUT!$M$3:$M$1000=$B$3+6)*(INPUT!$N$3:$N$1000="T")*(INPUT!$O$3:$O$1000="JAVI"))=0,"",SUMPRODUCT((INPUT!$M$3:$M$1000=$B$3+6)*(INPUT!$N$3:$N$1000="T")*(INPUT!$O$3:$O$1000="JAVI")*INPUT!$Q$3:$Q$1000)),"")</f>
        <v/>
      </c>
      <c r="X23" s="38" t="str">
        <f t="shared" si="6"/>
        <v/>
      </c>
    </row>
    <row r="24" spans="1:24" x14ac:dyDescent="0.2">
      <c r="A24" s="203">
        <v>10</v>
      </c>
      <c r="B24" s="204" t="s">
        <v>50</v>
      </c>
      <c r="C24" s="36" t="s">
        <v>70</v>
      </c>
      <c r="D24" s="37" t="str" cm="1">
        <f t="array" ref="D24">IFERROR(IF(SUMPRODUCT((INPUT!$M$3:$M$1000=$B$3+0)*(INPUT!$N$3:$N$1000="M")*(INPUT!$O$3:$O$1000="PANI"))=0,"",SUMPRODUCT((INPUT!$M$3:$M$1000=$B$3+0)*(INPUT!$N$3:$N$1000="M")*(INPUT!$O$3:$O$1000="PANI")*INPUT!$P$3:$P$1000)),"")</f>
        <v/>
      </c>
      <c r="E24" s="37" t="str" cm="1">
        <f t="array" ref="E24">IFERROR(IF(SUMPRODUCT((INPUT!$M$3:$M$1000=$B$3+0)*(INPUT!$N$3:$N$1000="M")*(INPUT!$O$3:$O$1000="PANI"))=0,"",SUMPRODUCT((INPUT!$M$3:$M$1000=$B$3+0)*(INPUT!$N$3:$N$1000="M")*(INPUT!$O$3:$O$1000="PANI")*INPUT!$Q$3:$Q$1000)),"")</f>
        <v/>
      </c>
      <c r="F24" s="37" t="str">
        <f t="shared" si="0"/>
        <v/>
      </c>
      <c r="G24" s="37" cm="1">
        <f t="array" ref="G24">IFERROR(IF(SUMPRODUCT((INPUT!$M$3:$M$1000=$B$3+1)*(INPUT!$N$3:$N$1000="M")*(INPUT!$O$3:$O$1000="PANI"))=0,"",SUMPRODUCT((INPUT!$M$3:$M$1000=$B$3+1)*(INPUT!$N$3:$N$1000="M")*(INPUT!$O$3:$O$1000="PANI")*INPUT!$P$3:$P$1000)),"")</f>
        <v>71.400000000000006</v>
      </c>
      <c r="H24" s="37" cm="1">
        <f t="array" ref="H24">IFERROR(IF(SUMPRODUCT((INPUT!$M$3:$M$1000=$B$3+1)*(INPUT!$N$3:$N$1000="M")*(INPUT!$O$3:$O$1000="PANI"))=0,"",SUMPRODUCT((INPUT!$M$3:$M$1000=$B$3+1)*(INPUT!$N$3:$N$1000="M")*(INPUT!$O$3:$O$1000="PANI")*INPUT!$Q$3:$Q$1000)),"")</f>
        <v>71</v>
      </c>
      <c r="I24" s="37">
        <f t="shared" si="1"/>
        <v>0.40000000000000568</v>
      </c>
      <c r="J24" s="37" cm="1">
        <f t="array" ref="J24">IFERROR(IF(SUMPRODUCT((INPUT!$M$3:$M$1000=$B$3+2)*(INPUT!$N$3:$N$1000="M")*(INPUT!$O$3:$O$1000="PANI"))=0,"",SUMPRODUCT((INPUT!$M$3:$M$1000=$B$3+2)*(INPUT!$N$3:$N$1000="M")*(INPUT!$O$3:$O$1000="PANI")*INPUT!$P$3:$P$1000)),"")</f>
        <v>71</v>
      </c>
      <c r="K24" s="37" cm="1">
        <f t="array" ref="K24">IFERROR(IF(SUMPRODUCT((INPUT!$M$3:$M$1000=$B$3+2)*(INPUT!$N$3:$N$1000="M")*(INPUT!$O$3:$O$1000="PANI"))=0,"",SUMPRODUCT((INPUT!$M$3:$M$1000=$B$3+2)*(INPUT!$N$3:$N$1000="M")*(INPUT!$O$3:$O$1000="PANI")*INPUT!$Q$3:$Q$1000)),"")</f>
        <v>70.8</v>
      </c>
      <c r="L24" s="37">
        <f t="shared" si="2"/>
        <v>0.20000000000000284</v>
      </c>
      <c r="M24" s="37" cm="1">
        <f t="array" ref="M24">IFERROR(IF(SUMPRODUCT((INPUT!$M$3:$M$1000=$B$3+3)*(INPUT!$N$3:$N$1000="M")*(INPUT!$O$3:$O$1000="PANI"))=0,"",SUMPRODUCT((INPUT!$M$3:$M$1000=$B$3+3)*(INPUT!$N$3:$N$1000="M")*(INPUT!$O$3:$O$1000="PANI")*INPUT!$P$3:$P$1000)),"")</f>
        <v>71</v>
      </c>
      <c r="N24" s="37" cm="1">
        <f t="array" ref="N24">IFERROR(IF(SUMPRODUCT((INPUT!$M$3:$M$1000=$B$3+3)*(INPUT!$N$3:$N$1000="M")*(INPUT!$O$3:$O$1000="PANI"))=0,"",SUMPRODUCT((INPUT!$M$3:$M$1000=$B$3+3)*(INPUT!$N$3:$N$1000="M")*(INPUT!$O$3:$O$1000="PANI")*INPUT!$Q$3:$Q$1000)),"")</f>
        <v>70.8</v>
      </c>
      <c r="O24" s="37">
        <f t="shared" si="3"/>
        <v>0.20000000000000284</v>
      </c>
      <c r="P24" s="37" cm="1">
        <f t="array" ref="P24">IFERROR(IF(SUMPRODUCT((INPUT!$M$3:$M$1000=$B$3+4)*(INPUT!$N$3:$N$1000="M")*(INPUT!$O$3:$O$1000="PANI"))=0,"",SUMPRODUCT((INPUT!$M$3:$M$1000=$B$3+4)*(INPUT!$N$3:$N$1000="M")*(INPUT!$O$3:$O$1000="PANI")*INPUT!$P$3:$P$1000)),"")</f>
        <v>71.599999999999994</v>
      </c>
      <c r="Q24" s="37" cm="1">
        <f t="array" ref="Q24">IFERROR(IF(SUMPRODUCT((INPUT!$M$3:$M$1000=$B$3+4)*(INPUT!$N$3:$N$1000="M")*(INPUT!$O$3:$O$1000="PANI"))=0,"",SUMPRODUCT((INPUT!$M$3:$M$1000=$B$3+4)*(INPUT!$N$3:$N$1000="M")*(INPUT!$O$3:$O$1000="PANI")*INPUT!$Q$3:$Q$1000)),"")</f>
        <v>71.400000000000006</v>
      </c>
      <c r="R24" s="37">
        <f t="shared" si="4"/>
        <v>0.19999999999998863</v>
      </c>
      <c r="S24" s="37" t="str" cm="1">
        <f t="array" ref="S24">IFERROR(IF(SUMPRODUCT((INPUT!$M$3:$M$1000=$B$3+5)*(INPUT!$N$3:$N$1000="M")*(INPUT!$O$3:$O$1000="PANI"))=0,"",SUMPRODUCT((INPUT!$M$3:$M$1000=$B$3+5)*(INPUT!$N$3:$N$1000="M")*(INPUT!$O$3:$O$1000="PANI")*INPUT!$P$3:$P$1000)),"")</f>
        <v/>
      </c>
      <c r="T24" s="37" t="str" cm="1">
        <f t="array" ref="T24">IFERROR(IF(SUMPRODUCT((INPUT!$M$3:$M$1000=$B$3+5)*(INPUT!$N$3:$N$1000="M")*(INPUT!$O$3:$O$1000="PANI"))=0,"",SUMPRODUCT((INPUT!$M$3:$M$1000=$B$3+5)*(INPUT!$N$3:$N$1000="M")*(INPUT!$O$3:$O$1000="PANI")*INPUT!$Q$3:$Q$1000)),"")</f>
        <v/>
      </c>
      <c r="U24" s="37" t="str">
        <f t="shared" si="5"/>
        <v/>
      </c>
      <c r="V24" s="37" t="str" cm="1">
        <f t="array" ref="V24">IFERROR(IF(SUMPRODUCT((INPUT!$M$3:$M$1000=$B$3+6)*(INPUT!$N$3:$N$1000="M")*(INPUT!$O$3:$O$1000="PANI"))=0,"",SUMPRODUCT((INPUT!$M$3:$M$1000=$B$3+6)*(INPUT!$N$3:$N$1000="M")*(INPUT!$O$3:$O$1000="PANI")*INPUT!$P$3:$P$1000)),"")</f>
        <v/>
      </c>
      <c r="W24" s="37" t="str" cm="1">
        <f t="array" ref="W24">IFERROR(IF(SUMPRODUCT((INPUT!$M$3:$M$1000=$B$3+6)*(INPUT!$N$3:$N$1000="M")*(INPUT!$O$3:$O$1000="PANI"))=0,"",SUMPRODUCT((INPUT!$M$3:$M$1000=$B$3+6)*(INPUT!$N$3:$N$1000="M")*(INPUT!$O$3:$O$1000="PANI")*INPUT!$Q$3:$Q$1000)),"")</f>
        <v/>
      </c>
      <c r="X24" s="38" t="str">
        <f t="shared" si="6"/>
        <v/>
      </c>
    </row>
    <row r="25" spans="1:24" x14ac:dyDescent="0.2">
      <c r="A25" s="200"/>
      <c r="B25" s="202"/>
      <c r="C25" s="36" t="s">
        <v>71</v>
      </c>
      <c r="D25" s="37" t="str" cm="1">
        <f t="array" ref="D25">IFERROR(IF(SUMPRODUCT((INPUT!$M$3:$M$1000=$B$3+0)*(INPUT!$N$3:$N$1000="T")*(INPUT!$O$3:$O$1000="PANI"))=0,"",SUMPRODUCT((INPUT!$M$3:$M$1000=$B$3+0)*(INPUT!$N$3:$N$1000="T")*(INPUT!$O$3:$O$1000="PANI")*INPUT!$P$3:$P$1000)),"")</f>
        <v/>
      </c>
      <c r="E25" s="37" t="str" cm="1">
        <f t="array" ref="E25">IFERROR(IF(SUMPRODUCT((INPUT!$M$3:$M$1000=$B$3+0)*(INPUT!$N$3:$N$1000="T")*(INPUT!$O$3:$O$1000="PANI"))=0,"",SUMPRODUCT((INPUT!$M$3:$M$1000=$B$3+0)*(INPUT!$N$3:$N$1000="T")*(INPUT!$O$3:$O$1000="PANI")*INPUT!$Q$3:$Q$1000)),"")</f>
        <v/>
      </c>
      <c r="F25" s="37" t="str">
        <f t="shared" si="0"/>
        <v/>
      </c>
      <c r="G25" s="37" t="str" cm="1">
        <f t="array" ref="G25">IFERROR(IF(SUMPRODUCT((INPUT!$M$3:$M$1000=$B$3+1)*(INPUT!$N$3:$N$1000="T")*(INPUT!$O$3:$O$1000="PANI"))=0,"",SUMPRODUCT((INPUT!$M$3:$M$1000=$B$3+1)*(INPUT!$N$3:$N$1000="T")*(INPUT!$O$3:$O$1000="PANI")*INPUT!$P$3:$P$1000)),"")</f>
        <v/>
      </c>
      <c r="H25" s="37" t="str" cm="1">
        <f t="array" ref="H25">IFERROR(IF(SUMPRODUCT((INPUT!$M$3:$M$1000=$B$3+1)*(INPUT!$N$3:$N$1000="T")*(INPUT!$O$3:$O$1000="PANI"))=0,"",SUMPRODUCT((INPUT!$M$3:$M$1000=$B$3+1)*(INPUT!$N$3:$N$1000="T")*(INPUT!$O$3:$O$1000="PANI")*INPUT!$Q$3:$Q$1000)),"")</f>
        <v/>
      </c>
      <c r="I25" s="37" t="str">
        <f t="shared" si="1"/>
        <v/>
      </c>
      <c r="J25" s="37" t="str" cm="1">
        <f t="array" ref="J25">IFERROR(IF(SUMPRODUCT((INPUT!$M$3:$M$1000=$B$3+2)*(INPUT!$N$3:$N$1000="T")*(INPUT!$O$3:$O$1000="PANI"))=0,"",SUMPRODUCT((INPUT!$M$3:$M$1000=$B$3+2)*(INPUT!$N$3:$N$1000="T")*(INPUT!$O$3:$O$1000="PANI")*INPUT!$P$3:$P$1000)),"")</f>
        <v/>
      </c>
      <c r="K25" s="37" t="str" cm="1">
        <f t="array" ref="K25">IFERROR(IF(SUMPRODUCT((INPUT!$M$3:$M$1000=$B$3+2)*(INPUT!$N$3:$N$1000="T")*(INPUT!$O$3:$O$1000="PANI"))=0,"",SUMPRODUCT((INPUT!$M$3:$M$1000=$B$3+2)*(INPUT!$N$3:$N$1000="T")*(INPUT!$O$3:$O$1000="PANI")*INPUT!$Q$3:$Q$1000)),"")</f>
        <v/>
      </c>
      <c r="L25" s="37" t="str">
        <f t="shared" si="2"/>
        <v/>
      </c>
      <c r="M25" s="37" t="str" cm="1">
        <f t="array" ref="M25">IFERROR(IF(SUMPRODUCT((INPUT!$M$3:$M$1000=$B$3+3)*(INPUT!$N$3:$N$1000="T")*(INPUT!$O$3:$O$1000="PANI"))=0,"",SUMPRODUCT((INPUT!$M$3:$M$1000=$B$3+3)*(INPUT!$N$3:$N$1000="T")*(INPUT!$O$3:$O$1000="PANI")*INPUT!$P$3:$P$1000)),"")</f>
        <v/>
      </c>
      <c r="N25" s="37" t="str" cm="1">
        <f t="array" ref="N25">IFERROR(IF(SUMPRODUCT((INPUT!$M$3:$M$1000=$B$3+3)*(INPUT!$N$3:$N$1000="T")*(INPUT!$O$3:$O$1000="PANI"))=0,"",SUMPRODUCT((INPUT!$M$3:$M$1000=$B$3+3)*(INPUT!$N$3:$N$1000="T")*(INPUT!$O$3:$O$1000="PANI")*INPUT!$Q$3:$Q$1000)),"")</f>
        <v/>
      </c>
      <c r="O25" s="37" t="str">
        <f t="shared" si="3"/>
        <v/>
      </c>
      <c r="P25" s="37" t="str" cm="1">
        <f t="array" ref="P25">IFERROR(IF(SUMPRODUCT((INPUT!$M$3:$M$1000=$B$3+4)*(INPUT!$N$3:$N$1000="T")*(INPUT!$O$3:$O$1000="PANI"))=0,"",SUMPRODUCT((INPUT!$M$3:$M$1000=$B$3+4)*(INPUT!$N$3:$N$1000="T")*(INPUT!$O$3:$O$1000="PANI")*INPUT!$P$3:$P$1000)),"")</f>
        <v/>
      </c>
      <c r="Q25" s="37" t="str" cm="1">
        <f t="array" ref="Q25">IFERROR(IF(SUMPRODUCT((INPUT!$M$3:$M$1000=$B$3+4)*(INPUT!$N$3:$N$1000="T")*(INPUT!$O$3:$O$1000="PANI"))=0,"",SUMPRODUCT((INPUT!$M$3:$M$1000=$B$3+4)*(INPUT!$N$3:$N$1000="T")*(INPUT!$O$3:$O$1000="PANI")*INPUT!$Q$3:$Q$1000)),"")</f>
        <v/>
      </c>
      <c r="R25" s="37" t="str">
        <f t="shared" si="4"/>
        <v/>
      </c>
      <c r="S25" s="37" cm="1">
        <f t="array" ref="S25">IFERROR(IF(SUMPRODUCT((INPUT!$M$3:$M$1000=$B$3+5)*(INPUT!$N$3:$N$1000="T")*(INPUT!$O$3:$O$1000="PANI"))=0,"",SUMPRODUCT((INPUT!$M$3:$M$1000=$B$3+5)*(INPUT!$N$3:$N$1000="T")*(INPUT!$O$3:$O$1000="PANI")*INPUT!$P$3:$P$1000)),"")</f>
        <v>71.5</v>
      </c>
      <c r="T25" s="37" cm="1">
        <f t="array" ref="T25">IFERROR(IF(SUMPRODUCT((INPUT!$M$3:$M$1000=$B$3+5)*(INPUT!$N$3:$N$1000="T")*(INPUT!$O$3:$O$1000="PANI"))=0,"",SUMPRODUCT((INPUT!$M$3:$M$1000=$B$3+5)*(INPUT!$N$3:$N$1000="T")*(INPUT!$O$3:$O$1000="PANI")*INPUT!$Q$3:$Q$1000)),"")</f>
        <v>71.400000000000006</v>
      </c>
      <c r="U25" s="37">
        <f t="shared" si="5"/>
        <v>9.9999999999994316E-2</v>
      </c>
      <c r="V25" s="37" t="str" cm="1">
        <f t="array" ref="V25">IFERROR(IF(SUMPRODUCT((INPUT!$M$3:$M$1000=$B$3+6)*(INPUT!$N$3:$N$1000="T")*(INPUT!$O$3:$O$1000="PANI"))=0,"",SUMPRODUCT((INPUT!$M$3:$M$1000=$B$3+6)*(INPUT!$N$3:$N$1000="T")*(INPUT!$O$3:$O$1000="PANI")*INPUT!$P$3:$P$1000)),"")</f>
        <v/>
      </c>
      <c r="W25" s="37" t="str" cm="1">
        <f t="array" ref="W25">IFERROR(IF(SUMPRODUCT((INPUT!$M$3:$M$1000=$B$3+6)*(INPUT!$N$3:$N$1000="T")*(INPUT!$O$3:$O$1000="PANI"))=0,"",SUMPRODUCT((INPUT!$M$3:$M$1000=$B$3+6)*(INPUT!$N$3:$N$1000="T")*(INPUT!$O$3:$O$1000="PANI")*INPUT!$Q$3:$Q$1000)),"")</f>
        <v/>
      </c>
      <c r="X25" s="38" t="str">
        <f t="shared" si="6"/>
        <v/>
      </c>
    </row>
    <row r="26" spans="1:24" x14ac:dyDescent="0.2">
      <c r="A26" s="203">
        <v>11</v>
      </c>
      <c r="B26" s="204" t="s">
        <v>51</v>
      </c>
      <c r="C26" s="36" t="s">
        <v>70</v>
      </c>
      <c r="D26" s="37" t="str" cm="1">
        <f t="array" ref="D26">IFERROR(IF(SUMPRODUCT((INPUT!$M$3:$M$1000=$B$3+0)*(INPUT!$N$3:$N$1000="M")*(INPUT!$O$3:$O$1000="PIRATA"))=0,"",SUMPRODUCT((INPUT!$M$3:$M$1000=$B$3+0)*(INPUT!$N$3:$N$1000="M")*(INPUT!$O$3:$O$1000="PIRATA")*INPUT!$P$3:$P$1000)),"")</f>
        <v/>
      </c>
      <c r="E26" s="37" t="str" cm="1">
        <f t="array" ref="E26">IFERROR(IF(SUMPRODUCT((INPUT!$M$3:$M$1000=$B$3+0)*(INPUT!$N$3:$N$1000="M")*(INPUT!$O$3:$O$1000="PIRATA"))=0,"",SUMPRODUCT((INPUT!$M$3:$M$1000=$B$3+0)*(INPUT!$N$3:$N$1000="M")*(INPUT!$O$3:$O$1000="PIRATA")*INPUT!$Q$3:$Q$1000)),"")</f>
        <v/>
      </c>
      <c r="F26" s="37" t="str">
        <f t="shared" si="0"/>
        <v/>
      </c>
      <c r="G26" s="37" cm="1">
        <f t="array" ref="G26">IFERROR(IF(SUMPRODUCT((INPUT!$M$3:$M$1000=$B$3+1)*(INPUT!$N$3:$N$1000="M")*(INPUT!$O$3:$O$1000="PIRATA"))=0,"",SUMPRODUCT((INPUT!$M$3:$M$1000=$B$3+1)*(INPUT!$N$3:$N$1000="M")*(INPUT!$O$3:$O$1000="PIRATA")*INPUT!$P$3:$P$1000)),"")</f>
        <v>75.7</v>
      </c>
      <c r="H26" s="37" cm="1">
        <f t="array" ref="H26">IFERROR(IF(SUMPRODUCT((INPUT!$M$3:$M$1000=$B$3+1)*(INPUT!$N$3:$N$1000="M")*(INPUT!$O$3:$O$1000="PIRATA"))=0,"",SUMPRODUCT((INPUT!$M$3:$M$1000=$B$3+1)*(INPUT!$N$3:$N$1000="M")*(INPUT!$O$3:$O$1000="PIRATA")*INPUT!$Q$3:$Q$1000)),"")</f>
        <v>75</v>
      </c>
      <c r="I26" s="37">
        <f t="shared" si="1"/>
        <v>0.70000000000000284</v>
      </c>
      <c r="J26" s="37" cm="1">
        <f t="array" ref="J26">IFERROR(IF(SUMPRODUCT((INPUT!$M$3:$M$1000=$B$3+2)*(INPUT!$N$3:$N$1000="M")*(INPUT!$O$3:$O$1000="PIRATA"))=0,"",SUMPRODUCT((INPUT!$M$3:$M$1000=$B$3+2)*(INPUT!$N$3:$N$1000="M")*(INPUT!$O$3:$O$1000="PIRATA")*INPUT!$P$3:$P$1000)),"")</f>
        <v>75.8</v>
      </c>
      <c r="K26" s="37" cm="1">
        <f t="array" ref="K26">IFERROR(IF(SUMPRODUCT((INPUT!$M$3:$M$1000=$B$3+2)*(INPUT!$N$3:$N$1000="M")*(INPUT!$O$3:$O$1000="PIRATA"))=0,"",SUMPRODUCT((INPUT!$M$3:$M$1000=$B$3+2)*(INPUT!$N$3:$N$1000="M")*(INPUT!$O$3:$O$1000="PIRATA")*INPUT!$Q$3:$Q$1000)),"")</f>
        <v>75.099999999999994</v>
      </c>
      <c r="L26" s="37">
        <f t="shared" si="2"/>
        <v>0.70000000000000284</v>
      </c>
      <c r="M26" s="37" cm="1">
        <f t="array" ref="M26">IFERROR(IF(SUMPRODUCT((INPUT!$M$3:$M$1000=$B$3+3)*(INPUT!$N$3:$N$1000="M")*(INPUT!$O$3:$O$1000="PIRATA"))=0,"",SUMPRODUCT((INPUT!$M$3:$M$1000=$B$3+3)*(INPUT!$N$3:$N$1000="M")*(INPUT!$O$3:$O$1000="PIRATA")*INPUT!$P$3:$P$1000)),"")</f>
        <v>75.8</v>
      </c>
      <c r="N26" s="37" cm="1">
        <f t="array" ref="N26">IFERROR(IF(SUMPRODUCT((INPUT!$M$3:$M$1000=$B$3+3)*(INPUT!$N$3:$N$1000="M")*(INPUT!$O$3:$O$1000="PIRATA"))=0,"",SUMPRODUCT((INPUT!$M$3:$M$1000=$B$3+3)*(INPUT!$N$3:$N$1000="M")*(INPUT!$O$3:$O$1000="PIRATA")*INPUT!$Q$3:$Q$1000)),"")</f>
        <v>75.099999999999994</v>
      </c>
      <c r="O26" s="37">
        <f t="shared" si="3"/>
        <v>0.70000000000000284</v>
      </c>
      <c r="P26" s="37" cm="1">
        <f t="array" ref="P26">IFERROR(IF(SUMPRODUCT((INPUT!$M$3:$M$1000=$B$3+4)*(INPUT!$N$3:$N$1000="M")*(INPUT!$O$3:$O$1000="PIRATA"))=0,"",SUMPRODUCT((INPUT!$M$3:$M$1000=$B$3+4)*(INPUT!$N$3:$N$1000="M")*(INPUT!$O$3:$O$1000="PIRATA")*INPUT!$P$3:$P$1000)),"")</f>
        <v>75.599999999999994</v>
      </c>
      <c r="Q26" s="37" cm="1">
        <f t="array" ref="Q26">IFERROR(IF(SUMPRODUCT((INPUT!$M$3:$M$1000=$B$3+4)*(INPUT!$N$3:$N$1000="M")*(INPUT!$O$3:$O$1000="PIRATA"))=0,"",SUMPRODUCT((INPUT!$M$3:$M$1000=$B$3+4)*(INPUT!$N$3:$N$1000="M")*(INPUT!$O$3:$O$1000="PIRATA")*INPUT!$Q$3:$Q$1000)),"")</f>
        <v>75.5</v>
      </c>
      <c r="R26" s="37">
        <f t="shared" si="4"/>
        <v>9.9999999999994316E-2</v>
      </c>
      <c r="S26" s="37" t="str" cm="1">
        <f t="array" ref="S26">IFERROR(IF(SUMPRODUCT((INPUT!$M$3:$M$1000=$B$3+5)*(INPUT!$N$3:$N$1000="M")*(INPUT!$O$3:$O$1000="PIRATA"))=0,"",SUMPRODUCT((INPUT!$M$3:$M$1000=$B$3+5)*(INPUT!$N$3:$N$1000="M")*(INPUT!$O$3:$O$1000="PIRATA")*INPUT!$P$3:$P$1000)),"")</f>
        <v/>
      </c>
      <c r="T26" s="37" t="str" cm="1">
        <f t="array" ref="T26">IFERROR(IF(SUMPRODUCT((INPUT!$M$3:$M$1000=$B$3+5)*(INPUT!$N$3:$N$1000="M")*(INPUT!$O$3:$O$1000="PIRATA"))=0,"",SUMPRODUCT((INPUT!$M$3:$M$1000=$B$3+5)*(INPUT!$N$3:$N$1000="M")*(INPUT!$O$3:$O$1000="PIRATA")*INPUT!$Q$3:$Q$1000)),"")</f>
        <v/>
      </c>
      <c r="U26" s="37" t="str">
        <f t="shared" si="5"/>
        <v/>
      </c>
      <c r="V26" s="37" t="str" cm="1">
        <f t="array" ref="V26">IFERROR(IF(SUMPRODUCT((INPUT!$M$3:$M$1000=$B$3+6)*(INPUT!$N$3:$N$1000="M")*(INPUT!$O$3:$O$1000="PIRATA"))=0,"",SUMPRODUCT((INPUT!$M$3:$M$1000=$B$3+6)*(INPUT!$N$3:$N$1000="M")*(INPUT!$O$3:$O$1000="PIRATA")*INPUT!$P$3:$P$1000)),"")</f>
        <v/>
      </c>
      <c r="W26" s="37" t="str" cm="1">
        <f t="array" ref="W26">IFERROR(IF(SUMPRODUCT((INPUT!$M$3:$M$1000=$B$3+6)*(INPUT!$N$3:$N$1000="M")*(INPUT!$O$3:$O$1000="PIRATA"))=0,"",SUMPRODUCT((INPUT!$M$3:$M$1000=$B$3+6)*(INPUT!$N$3:$N$1000="M")*(INPUT!$O$3:$O$1000="PIRATA")*INPUT!$Q$3:$Q$1000)),"")</f>
        <v/>
      </c>
      <c r="X26" s="38" t="str">
        <f t="shared" si="6"/>
        <v/>
      </c>
    </row>
    <row r="27" spans="1:24" x14ac:dyDescent="0.2">
      <c r="A27" s="200"/>
      <c r="B27" s="202"/>
      <c r="C27" s="36" t="s">
        <v>71</v>
      </c>
      <c r="D27" s="37" t="str" cm="1">
        <f t="array" ref="D27">IFERROR(IF(SUMPRODUCT((INPUT!$M$3:$M$1000=$B$3+0)*(INPUT!$N$3:$N$1000="T")*(INPUT!$O$3:$O$1000="PIRATA"))=0,"",SUMPRODUCT((INPUT!$M$3:$M$1000=$B$3+0)*(INPUT!$N$3:$N$1000="T")*(INPUT!$O$3:$O$1000="PIRATA")*INPUT!$P$3:$P$1000)),"")</f>
        <v/>
      </c>
      <c r="E27" s="37" t="str" cm="1">
        <f t="array" ref="E27">IFERROR(IF(SUMPRODUCT((INPUT!$M$3:$M$1000=$B$3+0)*(INPUT!$N$3:$N$1000="T")*(INPUT!$O$3:$O$1000="PIRATA"))=0,"",SUMPRODUCT((INPUT!$M$3:$M$1000=$B$3+0)*(INPUT!$N$3:$N$1000="T")*(INPUT!$O$3:$O$1000="PIRATA")*INPUT!$Q$3:$Q$1000)),"")</f>
        <v/>
      </c>
      <c r="F27" s="37" t="str">
        <f t="shared" si="0"/>
        <v/>
      </c>
      <c r="G27" s="37" t="str" cm="1">
        <f t="array" ref="G27">IFERROR(IF(SUMPRODUCT((INPUT!$M$3:$M$1000=$B$3+1)*(INPUT!$N$3:$N$1000="T")*(INPUT!$O$3:$O$1000="PIRATA"))=0,"",SUMPRODUCT((INPUT!$M$3:$M$1000=$B$3+1)*(INPUT!$N$3:$N$1000="T")*(INPUT!$O$3:$O$1000="PIRATA")*INPUT!$P$3:$P$1000)),"")</f>
        <v/>
      </c>
      <c r="H27" s="37" t="str" cm="1">
        <f t="array" ref="H27">IFERROR(IF(SUMPRODUCT((INPUT!$M$3:$M$1000=$B$3+1)*(INPUT!$N$3:$N$1000="T")*(INPUT!$O$3:$O$1000="PIRATA"))=0,"",SUMPRODUCT((INPUT!$M$3:$M$1000=$B$3+1)*(INPUT!$N$3:$N$1000="T")*(INPUT!$O$3:$O$1000="PIRATA")*INPUT!$Q$3:$Q$1000)),"")</f>
        <v/>
      </c>
      <c r="I27" s="37" t="str">
        <f t="shared" si="1"/>
        <v/>
      </c>
      <c r="J27" s="37" t="str" cm="1">
        <f t="array" ref="J27">IFERROR(IF(SUMPRODUCT((INPUT!$M$3:$M$1000=$B$3+2)*(INPUT!$N$3:$N$1000="T")*(INPUT!$O$3:$O$1000="PIRATA"))=0,"",SUMPRODUCT((INPUT!$M$3:$M$1000=$B$3+2)*(INPUT!$N$3:$N$1000="T")*(INPUT!$O$3:$O$1000="PIRATA")*INPUT!$P$3:$P$1000)),"")</f>
        <v/>
      </c>
      <c r="K27" s="37" t="str" cm="1">
        <f t="array" ref="K27">IFERROR(IF(SUMPRODUCT((INPUT!$M$3:$M$1000=$B$3+2)*(INPUT!$N$3:$N$1000="T")*(INPUT!$O$3:$O$1000="PIRATA"))=0,"",SUMPRODUCT((INPUT!$M$3:$M$1000=$B$3+2)*(INPUT!$N$3:$N$1000="T")*(INPUT!$O$3:$O$1000="PIRATA")*INPUT!$Q$3:$Q$1000)),"")</f>
        <v/>
      </c>
      <c r="L27" s="37" t="str">
        <f t="shared" si="2"/>
        <v/>
      </c>
      <c r="M27" s="37" t="str" cm="1">
        <f t="array" ref="M27">IFERROR(IF(SUMPRODUCT((INPUT!$M$3:$M$1000=$B$3+3)*(INPUT!$N$3:$N$1000="T")*(INPUT!$O$3:$O$1000="PIRATA"))=0,"",SUMPRODUCT((INPUT!$M$3:$M$1000=$B$3+3)*(INPUT!$N$3:$N$1000="T")*(INPUT!$O$3:$O$1000="PIRATA")*INPUT!$P$3:$P$1000)),"")</f>
        <v/>
      </c>
      <c r="N27" s="37" t="str" cm="1">
        <f t="array" ref="N27">IFERROR(IF(SUMPRODUCT((INPUT!$M$3:$M$1000=$B$3+3)*(INPUT!$N$3:$N$1000="T")*(INPUT!$O$3:$O$1000="PIRATA"))=0,"",SUMPRODUCT((INPUT!$M$3:$M$1000=$B$3+3)*(INPUT!$N$3:$N$1000="T")*(INPUT!$O$3:$O$1000="PIRATA")*INPUT!$Q$3:$Q$1000)),"")</f>
        <v/>
      </c>
      <c r="O27" s="37" t="str">
        <f t="shared" si="3"/>
        <v/>
      </c>
      <c r="P27" s="37" t="str" cm="1">
        <f t="array" ref="P27">IFERROR(IF(SUMPRODUCT((INPUT!$M$3:$M$1000=$B$3+4)*(INPUT!$N$3:$N$1000="T")*(INPUT!$O$3:$O$1000="PIRATA"))=0,"",SUMPRODUCT((INPUT!$M$3:$M$1000=$B$3+4)*(INPUT!$N$3:$N$1000="T")*(INPUT!$O$3:$O$1000="PIRATA")*INPUT!$P$3:$P$1000)),"")</f>
        <v/>
      </c>
      <c r="Q27" s="37" t="str" cm="1">
        <f t="array" ref="Q27">IFERROR(IF(SUMPRODUCT((INPUT!$M$3:$M$1000=$B$3+4)*(INPUT!$N$3:$N$1000="T")*(INPUT!$O$3:$O$1000="PIRATA"))=0,"",SUMPRODUCT((INPUT!$M$3:$M$1000=$B$3+4)*(INPUT!$N$3:$N$1000="T")*(INPUT!$O$3:$O$1000="PIRATA")*INPUT!$Q$3:$Q$1000)),"")</f>
        <v/>
      </c>
      <c r="R27" s="37" t="str">
        <f t="shared" si="4"/>
        <v/>
      </c>
      <c r="S27" s="37" cm="1">
        <f t="array" ref="S27">IFERROR(IF(SUMPRODUCT((INPUT!$M$3:$M$1000=$B$3+5)*(INPUT!$N$3:$N$1000="T")*(INPUT!$O$3:$O$1000="PIRATA"))=0,"",SUMPRODUCT((INPUT!$M$3:$M$1000=$B$3+5)*(INPUT!$N$3:$N$1000="T")*(INPUT!$O$3:$O$1000="PIRATA")*INPUT!$P$3:$P$1000)),"")</f>
        <v>75.7</v>
      </c>
      <c r="T27" s="37" cm="1">
        <f t="array" ref="T27">IFERROR(IF(SUMPRODUCT((INPUT!$M$3:$M$1000=$B$3+5)*(INPUT!$N$3:$N$1000="T")*(INPUT!$O$3:$O$1000="PIRATA"))=0,"",SUMPRODUCT((INPUT!$M$3:$M$1000=$B$3+5)*(INPUT!$N$3:$N$1000="T")*(INPUT!$O$3:$O$1000="PIRATA")*INPUT!$Q$3:$Q$1000)),"")</f>
        <v>74.599999999999994</v>
      </c>
      <c r="U27" s="37">
        <f t="shared" si="5"/>
        <v>1.1000000000000085</v>
      </c>
      <c r="V27" s="37" t="str" cm="1">
        <f t="array" ref="V27">IFERROR(IF(SUMPRODUCT((INPUT!$M$3:$M$1000=$B$3+6)*(INPUT!$N$3:$N$1000="T")*(INPUT!$O$3:$O$1000="PIRATA"))=0,"",SUMPRODUCT((INPUT!$M$3:$M$1000=$B$3+6)*(INPUT!$N$3:$N$1000="T")*(INPUT!$O$3:$O$1000="PIRATA")*INPUT!$P$3:$P$1000)),"")</f>
        <v/>
      </c>
      <c r="W27" s="37" t="str" cm="1">
        <f t="array" ref="W27">IFERROR(IF(SUMPRODUCT((INPUT!$M$3:$M$1000=$B$3+6)*(INPUT!$N$3:$N$1000="T")*(INPUT!$O$3:$O$1000="PIRATA"))=0,"",SUMPRODUCT((INPUT!$M$3:$M$1000=$B$3+6)*(INPUT!$N$3:$N$1000="T")*(INPUT!$O$3:$O$1000="PIRATA")*INPUT!$Q$3:$Q$1000)),"")</f>
        <v/>
      </c>
      <c r="X27" s="38" t="str">
        <f t="shared" si="6"/>
        <v/>
      </c>
    </row>
    <row r="28" spans="1:24" x14ac:dyDescent="0.2">
      <c r="A28" s="203">
        <v>12</v>
      </c>
      <c r="B28" s="204" t="s">
        <v>52</v>
      </c>
      <c r="C28" s="36" t="s">
        <v>70</v>
      </c>
      <c r="D28" s="37" t="str" cm="1">
        <f t="array" ref="D28">IFERROR(IF(SUMPRODUCT((INPUT!$M$3:$M$1000=$B$3+0)*(INPUT!$N$3:$N$1000="M")*(INPUT!$O$3:$O$1000="BARONA"))=0,"",SUMPRODUCT((INPUT!$M$3:$M$1000=$B$3+0)*(INPUT!$N$3:$N$1000="M")*(INPUT!$O$3:$O$1000="BARONA")*INPUT!$P$3:$P$1000)),"")</f>
        <v/>
      </c>
      <c r="E28" s="37" t="str" cm="1">
        <f t="array" ref="E28">IFERROR(IF(SUMPRODUCT((INPUT!$M$3:$M$1000=$B$3+0)*(INPUT!$N$3:$N$1000="M")*(INPUT!$O$3:$O$1000="BARONA"))=0,"",SUMPRODUCT((INPUT!$M$3:$M$1000=$B$3+0)*(INPUT!$N$3:$N$1000="M")*(INPUT!$O$3:$O$1000="BARONA")*INPUT!$Q$3:$Q$1000)),"")</f>
        <v/>
      </c>
      <c r="F28" s="37" t="str">
        <f t="shared" si="0"/>
        <v/>
      </c>
      <c r="G28" s="37" cm="1">
        <f t="array" ref="G28">IFERROR(IF(SUMPRODUCT((INPUT!$M$3:$M$1000=$B$3+1)*(INPUT!$N$3:$N$1000="M")*(INPUT!$O$3:$O$1000="BARONA"))=0,"",SUMPRODUCT((INPUT!$M$3:$M$1000=$B$3+1)*(INPUT!$N$3:$N$1000="M")*(INPUT!$O$3:$O$1000="BARONA")*INPUT!$P$3:$P$1000)),"")</f>
        <v>71.5</v>
      </c>
      <c r="H28" s="37" cm="1">
        <f t="array" ref="H28">IFERROR(IF(SUMPRODUCT((INPUT!$M$3:$M$1000=$B$3+1)*(INPUT!$N$3:$N$1000="M")*(INPUT!$O$3:$O$1000="BARONA"))=0,"",SUMPRODUCT((INPUT!$M$3:$M$1000=$B$3+1)*(INPUT!$N$3:$N$1000="M")*(INPUT!$O$3:$O$1000="BARONA")*INPUT!$Q$3:$Q$1000)),"")</f>
        <v>71.5</v>
      </c>
      <c r="I28" s="37">
        <f t="shared" si="1"/>
        <v>0</v>
      </c>
      <c r="J28" s="37" cm="1">
        <f t="array" ref="J28">IFERROR(IF(SUMPRODUCT((INPUT!$M$3:$M$1000=$B$3+2)*(INPUT!$N$3:$N$1000="M")*(INPUT!$O$3:$O$1000="BARONA"))=0,"",SUMPRODUCT((INPUT!$M$3:$M$1000=$B$3+2)*(INPUT!$N$3:$N$1000="M")*(INPUT!$O$3:$O$1000="BARONA")*INPUT!$P$3:$P$1000)),"")</f>
        <v>72.599999999999994</v>
      </c>
      <c r="K28" s="37" cm="1">
        <f t="array" ref="K28">IFERROR(IF(SUMPRODUCT((INPUT!$M$3:$M$1000=$B$3+2)*(INPUT!$N$3:$N$1000="M")*(INPUT!$O$3:$O$1000="BARONA"))=0,"",SUMPRODUCT((INPUT!$M$3:$M$1000=$B$3+2)*(INPUT!$N$3:$N$1000="M")*(INPUT!$O$3:$O$1000="BARONA")*INPUT!$Q$3:$Q$1000)),"")</f>
        <v>72.599999999999994</v>
      </c>
      <c r="L28" s="37">
        <f t="shared" si="2"/>
        <v>0</v>
      </c>
      <c r="M28" s="37" cm="1">
        <f t="array" ref="M28">IFERROR(IF(SUMPRODUCT((INPUT!$M$3:$M$1000=$B$3+3)*(INPUT!$N$3:$N$1000="M")*(INPUT!$O$3:$O$1000="BARONA"))=0,"",SUMPRODUCT((INPUT!$M$3:$M$1000=$B$3+3)*(INPUT!$N$3:$N$1000="M")*(INPUT!$O$3:$O$1000="BARONA")*INPUT!$P$3:$P$1000)),"")</f>
        <v>72.599999999999994</v>
      </c>
      <c r="N28" s="37" cm="1">
        <f t="array" ref="N28">IFERROR(IF(SUMPRODUCT((INPUT!$M$3:$M$1000=$B$3+3)*(INPUT!$N$3:$N$1000="M")*(INPUT!$O$3:$O$1000="BARONA"))=0,"",SUMPRODUCT((INPUT!$M$3:$M$1000=$B$3+3)*(INPUT!$N$3:$N$1000="M")*(INPUT!$O$3:$O$1000="BARONA")*INPUT!$Q$3:$Q$1000)),"")</f>
        <v>72.599999999999994</v>
      </c>
      <c r="O28" s="37">
        <f t="shared" si="3"/>
        <v>0</v>
      </c>
      <c r="P28" s="37" cm="1">
        <f t="array" ref="P28">IFERROR(IF(SUMPRODUCT((INPUT!$M$3:$M$1000=$B$3+4)*(INPUT!$N$3:$N$1000="M")*(INPUT!$O$3:$O$1000="BARONA"))=0,"",SUMPRODUCT((INPUT!$M$3:$M$1000=$B$3+4)*(INPUT!$N$3:$N$1000="M")*(INPUT!$O$3:$O$1000="BARONA")*INPUT!$P$3:$P$1000)),"")</f>
        <v>71.8</v>
      </c>
      <c r="Q28" s="37" cm="1">
        <f t="array" ref="Q28">IFERROR(IF(SUMPRODUCT((INPUT!$M$3:$M$1000=$B$3+4)*(INPUT!$N$3:$N$1000="M")*(INPUT!$O$3:$O$1000="BARONA"))=0,"",SUMPRODUCT((INPUT!$M$3:$M$1000=$B$3+4)*(INPUT!$N$3:$N$1000="M")*(INPUT!$O$3:$O$1000="BARONA")*INPUT!$Q$3:$Q$1000)),"")</f>
        <v>71.7</v>
      </c>
      <c r="R28" s="37">
        <f t="shared" si="4"/>
        <v>9.9999999999994316E-2</v>
      </c>
      <c r="S28" s="37" t="str" cm="1">
        <f t="array" ref="S28">IFERROR(IF(SUMPRODUCT((INPUT!$M$3:$M$1000=$B$3+5)*(INPUT!$N$3:$N$1000="M")*(INPUT!$O$3:$O$1000="BARONA"))=0,"",SUMPRODUCT((INPUT!$M$3:$M$1000=$B$3+5)*(INPUT!$N$3:$N$1000="M")*(INPUT!$O$3:$O$1000="BARONA")*INPUT!$P$3:$P$1000)),"")</f>
        <v/>
      </c>
      <c r="T28" s="37" t="str" cm="1">
        <f t="array" ref="T28">IFERROR(IF(SUMPRODUCT((INPUT!$M$3:$M$1000=$B$3+5)*(INPUT!$N$3:$N$1000="M")*(INPUT!$O$3:$O$1000="BARONA"))=0,"",SUMPRODUCT((INPUT!$M$3:$M$1000=$B$3+5)*(INPUT!$N$3:$N$1000="M")*(INPUT!$O$3:$O$1000="BARONA")*INPUT!$Q$3:$Q$1000)),"")</f>
        <v/>
      </c>
      <c r="U28" s="37" t="str">
        <f t="shared" si="5"/>
        <v/>
      </c>
      <c r="V28" s="37" t="str" cm="1">
        <f t="array" ref="V28">IFERROR(IF(SUMPRODUCT((INPUT!$M$3:$M$1000=$B$3+6)*(INPUT!$N$3:$N$1000="M")*(INPUT!$O$3:$O$1000="BARONA"))=0,"",SUMPRODUCT((INPUT!$M$3:$M$1000=$B$3+6)*(INPUT!$N$3:$N$1000="M")*(INPUT!$O$3:$O$1000="BARONA")*INPUT!$P$3:$P$1000)),"")</f>
        <v/>
      </c>
      <c r="W28" s="37" t="str" cm="1">
        <f t="array" ref="W28">IFERROR(IF(SUMPRODUCT((INPUT!$M$3:$M$1000=$B$3+6)*(INPUT!$N$3:$N$1000="M")*(INPUT!$O$3:$O$1000="BARONA"))=0,"",SUMPRODUCT((INPUT!$M$3:$M$1000=$B$3+6)*(INPUT!$N$3:$N$1000="M")*(INPUT!$O$3:$O$1000="BARONA")*INPUT!$Q$3:$Q$1000)),"")</f>
        <v/>
      </c>
      <c r="X28" s="38" t="str">
        <f t="shared" si="6"/>
        <v/>
      </c>
    </row>
    <row r="29" spans="1:24" x14ac:dyDescent="0.2">
      <c r="A29" s="200"/>
      <c r="B29" s="202"/>
      <c r="C29" s="36" t="s">
        <v>71</v>
      </c>
      <c r="D29" s="37" t="str" cm="1">
        <f t="array" ref="D29">IFERROR(IF(SUMPRODUCT((INPUT!$M$3:$M$1000=$B$3+0)*(INPUT!$N$3:$N$1000="T")*(INPUT!$O$3:$O$1000="BARONA"))=0,"",SUMPRODUCT((INPUT!$M$3:$M$1000=$B$3+0)*(INPUT!$N$3:$N$1000="T")*(INPUT!$O$3:$O$1000="BARONA")*INPUT!$P$3:$P$1000)),"")</f>
        <v/>
      </c>
      <c r="E29" s="37" t="str" cm="1">
        <f t="array" ref="E29">IFERROR(IF(SUMPRODUCT((INPUT!$M$3:$M$1000=$B$3+0)*(INPUT!$N$3:$N$1000="T")*(INPUT!$O$3:$O$1000="BARONA"))=0,"",SUMPRODUCT((INPUT!$M$3:$M$1000=$B$3+0)*(INPUT!$N$3:$N$1000="T")*(INPUT!$O$3:$O$1000="BARONA")*INPUT!$Q$3:$Q$1000)),"")</f>
        <v/>
      </c>
      <c r="F29" s="37" t="str">
        <f t="shared" si="0"/>
        <v/>
      </c>
      <c r="G29" s="37" t="str" cm="1">
        <f t="array" ref="G29">IFERROR(IF(SUMPRODUCT((INPUT!$M$3:$M$1000=$B$3+1)*(INPUT!$N$3:$N$1000="T")*(INPUT!$O$3:$O$1000="BARONA"))=0,"",SUMPRODUCT((INPUT!$M$3:$M$1000=$B$3+1)*(INPUT!$N$3:$N$1000="T")*(INPUT!$O$3:$O$1000="BARONA")*INPUT!$P$3:$P$1000)),"")</f>
        <v/>
      </c>
      <c r="H29" s="37" t="str" cm="1">
        <f t="array" ref="H29">IFERROR(IF(SUMPRODUCT((INPUT!$M$3:$M$1000=$B$3+1)*(INPUT!$N$3:$N$1000="T")*(INPUT!$O$3:$O$1000="BARONA"))=0,"",SUMPRODUCT((INPUT!$M$3:$M$1000=$B$3+1)*(INPUT!$N$3:$N$1000="T")*(INPUT!$O$3:$O$1000="BARONA")*INPUT!$Q$3:$Q$1000)),"")</f>
        <v/>
      </c>
      <c r="I29" s="37" t="str">
        <f t="shared" si="1"/>
        <v/>
      </c>
      <c r="J29" s="37" t="str" cm="1">
        <f t="array" ref="J29">IFERROR(IF(SUMPRODUCT((INPUT!$M$3:$M$1000=$B$3+2)*(INPUT!$N$3:$N$1000="T")*(INPUT!$O$3:$O$1000="BARONA"))=0,"",SUMPRODUCT((INPUT!$M$3:$M$1000=$B$3+2)*(INPUT!$N$3:$N$1000="T")*(INPUT!$O$3:$O$1000="BARONA")*INPUT!$P$3:$P$1000)),"")</f>
        <v/>
      </c>
      <c r="K29" s="37" t="str" cm="1">
        <f t="array" ref="K29">IFERROR(IF(SUMPRODUCT((INPUT!$M$3:$M$1000=$B$3+2)*(INPUT!$N$3:$N$1000="T")*(INPUT!$O$3:$O$1000="BARONA"))=0,"",SUMPRODUCT((INPUT!$M$3:$M$1000=$B$3+2)*(INPUT!$N$3:$N$1000="T")*(INPUT!$O$3:$O$1000="BARONA")*INPUT!$Q$3:$Q$1000)),"")</f>
        <v/>
      </c>
      <c r="L29" s="37" t="str">
        <f t="shared" si="2"/>
        <v/>
      </c>
      <c r="M29" s="37" t="str" cm="1">
        <f t="array" ref="M29">IFERROR(IF(SUMPRODUCT((INPUT!$M$3:$M$1000=$B$3+3)*(INPUT!$N$3:$N$1000="T")*(INPUT!$O$3:$O$1000="BARONA"))=0,"",SUMPRODUCT((INPUT!$M$3:$M$1000=$B$3+3)*(INPUT!$N$3:$N$1000="T")*(INPUT!$O$3:$O$1000="BARONA")*INPUT!$P$3:$P$1000)),"")</f>
        <v/>
      </c>
      <c r="N29" s="37" t="str" cm="1">
        <f t="array" ref="N29">IFERROR(IF(SUMPRODUCT((INPUT!$M$3:$M$1000=$B$3+3)*(INPUT!$N$3:$N$1000="T")*(INPUT!$O$3:$O$1000="BARONA"))=0,"",SUMPRODUCT((INPUT!$M$3:$M$1000=$B$3+3)*(INPUT!$N$3:$N$1000="T")*(INPUT!$O$3:$O$1000="BARONA")*INPUT!$Q$3:$Q$1000)),"")</f>
        <v/>
      </c>
      <c r="O29" s="37" t="str">
        <f t="shared" si="3"/>
        <v/>
      </c>
      <c r="P29" s="37" t="str" cm="1">
        <f t="array" ref="P29">IFERROR(IF(SUMPRODUCT((INPUT!$M$3:$M$1000=$B$3+4)*(INPUT!$N$3:$N$1000="T")*(INPUT!$O$3:$O$1000="BARONA"))=0,"",SUMPRODUCT((INPUT!$M$3:$M$1000=$B$3+4)*(INPUT!$N$3:$N$1000="T")*(INPUT!$O$3:$O$1000="BARONA")*INPUT!$P$3:$P$1000)),"")</f>
        <v/>
      </c>
      <c r="Q29" s="37" t="str" cm="1">
        <f t="array" ref="Q29">IFERROR(IF(SUMPRODUCT((INPUT!$M$3:$M$1000=$B$3+4)*(INPUT!$N$3:$N$1000="T")*(INPUT!$O$3:$O$1000="BARONA"))=0,"",SUMPRODUCT((INPUT!$M$3:$M$1000=$B$3+4)*(INPUT!$N$3:$N$1000="T")*(INPUT!$O$3:$O$1000="BARONA")*INPUT!$Q$3:$Q$1000)),"")</f>
        <v/>
      </c>
      <c r="R29" s="37" t="str">
        <f t="shared" si="4"/>
        <v/>
      </c>
      <c r="S29" s="37" cm="1">
        <f t="array" ref="S29">IFERROR(IF(SUMPRODUCT((INPUT!$M$3:$M$1000=$B$3+5)*(INPUT!$N$3:$N$1000="T")*(INPUT!$O$3:$O$1000="BARONA"))=0,"",SUMPRODUCT((INPUT!$M$3:$M$1000=$B$3+5)*(INPUT!$N$3:$N$1000="T")*(INPUT!$O$3:$O$1000="BARONA")*INPUT!$P$3:$P$1000)),"")</f>
        <v>71.7</v>
      </c>
      <c r="T29" s="37" cm="1">
        <f t="array" ref="T29">IFERROR(IF(SUMPRODUCT((INPUT!$M$3:$M$1000=$B$3+5)*(INPUT!$N$3:$N$1000="T")*(INPUT!$O$3:$O$1000="BARONA"))=0,"",SUMPRODUCT((INPUT!$M$3:$M$1000=$B$3+5)*(INPUT!$N$3:$N$1000="T")*(INPUT!$O$3:$O$1000="BARONA")*INPUT!$Q$3:$Q$1000)),"")</f>
        <v>71.7</v>
      </c>
      <c r="U29" s="37">
        <f t="shared" si="5"/>
        <v>0</v>
      </c>
      <c r="V29" s="37" t="str" cm="1">
        <f t="array" ref="V29">IFERROR(IF(SUMPRODUCT((INPUT!$M$3:$M$1000=$B$3+6)*(INPUT!$N$3:$N$1000="T")*(INPUT!$O$3:$O$1000="BARONA"))=0,"",SUMPRODUCT((INPUT!$M$3:$M$1000=$B$3+6)*(INPUT!$N$3:$N$1000="T")*(INPUT!$O$3:$O$1000="BARONA")*INPUT!$P$3:$P$1000)),"")</f>
        <v/>
      </c>
      <c r="W29" s="37" t="str" cm="1">
        <f t="array" ref="W29">IFERROR(IF(SUMPRODUCT((INPUT!$M$3:$M$1000=$B$3+6)*(INPUT!$N$3:$N$1000="T")*(INPUT!$O$3:$O$1000="BARONA"))=0,"",SUMPRODUCT((INPUT!$M$3:$M$1000=$B$3+6)*(INPUT!$N$3:$N$1000="T")*(INPUT!$O$3:$O$1000="BARONA")*INPUT!$Q$3:$Q$1000)),"")</f>
        <v/>
      </c>
      <c r="X29" s="38" t="str">
        <f t="shared" si="6"/>
        <v/>
      </c>
    </row>
    <row r="30" spans="1:24" x14ac:dyDescent="0.2">
      <c r="A30" s="203">
        <v>13</v>
      </c>
      <c r="B30" s="204" t="s">
        <v>53</v>
      </c>
      <c r="C30" s="36" t="s">
        <v>70</v>
      </c>
      <c r="D30" s="37" t="str" cm="1">
        <f t="array" ref="D30">IFERROR(IF(SUMPRODUCT((INPUT!$M$3:$M$1000=$B$3+0)*(INPUT!$N$3:$N$1000="M")*(INPUT!$O$3:$O$1000="CARLOS"))=0,"",SUMPRODUCT((INPUT!$M$3:$M$1000=$B$3+0)*(INPUT!$N$3:$N$1000="M")*(INPUT!$O$3:$O$1000="CARLOS")*INPUT!$P$3:$P$1000)),"")</f>
        <v/>
      </c>
      <c r="E30" s="37" t="str" cm="1">
        <f t="array" ref="E30">IFERROR(IF(SUMPRODUCT((INPUT!$M$3:$M$1000=$B$3+0)*(INPUT!$N$3:$N$1000="M")*(INPUT!$O$3:$O$1000="CARLOS"))=0,"",SUMPRODUCT((INPUT!$M$3:$M$1000=$B$3+0)*(INPUT!$N$3:$N$1000="M")*(INPUT!$O$3:$O$1000="CARLOS")*INPUT!$Q$3:$Q$1000)),"")</f>
        <v/>
      </c>
      <c r="F30" s="37" t="str">
        <f t="shared" si="0"/>
        <v/>
      </c>
      <c r="G30" s="37" cm="1">
        <f t="array" ref="G30">IFERROR(IF(SUMPRODUCT((INPUT!$M$3:$M$1000=$B$3+1)*(INPUT!$N$3:$N$1000="M")*(INPUT!$O$3:$O$1000="CARLOS"))=0,"",SUMPRODUCT((INPUT!$M$3:$M$1000=$B$3+1)*(INPUT!$N$3:$N$1000="M")*(INPUT!$O$3:$O$1000="CARLOS")*INPUT!$P$3:$P$1000)),"")</f>
        <v>66.7</v>
      </c>
      <c r="H30" s="37" cm="1">
        <f t="array" ref="H30">IFERROR(IF(SUMPRODUCT((INPUT!$M$3:$M$1000=$B$3+1)*(INPUT!$N$3:$N$1000="M")*(INPUT!$O$3:$O$1000="CARLOS"))=0,"",SUMPRODUCT((INPUT!$M$3:$M$1000=$B$3+1)*(INPUT!$N$3:$N$1000="M")*(INPUT!$O$3:$O$1000="CARLOS")*INPUT!$Q$3:$Q$1000)),"")</f>
        <v>66.8</v>
      </c>
      <c r="I30" s="37">
        <f t="shared" si="1"/>
        <v>-9.9999999999994316E-2</v>
      </c>
      <c r="J30" s="37" cm="1">
        <f t="array" ref="J30">IFERROR(IF(SUMPRODUCT((INPUT!$M$3:$M$1000=$B$3+2)*(INPUT!$N$3:$N$1000="M")*(INPUT!$O$3:$O$1000="CARLOS"))=0,"",SUMPRODUCT((INPUT!$M$3:$M$1000=$B$3+2)*(INPUT!$N$3:$N$1000="M")*(INPUT!$O$3:$O$1000="CARLOS")*INPUT!$P$3:$P$1000)),"")</f>
        <v>67.2</v>
      </c>
      <c r="K30" s="37" cm="1">
        <f t="array" ref="K30">IFERROR(IF(SUMPRODUCT((INPUT!$M$3:$M$1000=$B$3+2)*(INPUT!$N$3:$N$1000="M")*(INPUT!$O$3:$O$1000="CARLOS"))=0,"",SUMPRODUCT((INPUT!$M$3:$M$1000=$B$3+2)*(INPUT!$N$3:$N$1000="M")*(INPUT!$O$3:$O$1000="CARLOS")*INPUT!$Q$3:$Q$1000)),"")</f>
        <v>66.2</v>
      </c>
      <c r="L30" s="37">
        <f t="shared" si="2"/>
        <v>1</v>
      </c>
      <c r="M30" s="37" cm="1">
        <f t="array" ref="M30">IFERROR(IF(SUMPRODUCT((INPUT!$M$3:$M$1000=$B$3+3)*(INPUT!$N$3:$N$1000="M")*(INPUT!$O$3:$O$1000="CARLOS"))=0,"",SUMPRODUCT((INPUT!$M$3:$M$1000=$B$3+3)*(INPUT!$N$3:$N$1000="M")*(INPUT!$O$3:$O$1000="CARLOS")*INPUT!$P$3:$P$1000)),"")</f>
        <v>67.2</v>
      </c>
      <c r="N30" s="37" cm="1">
        <f t="array" ref="N30">IFERROR(IF(SUMPRODUCT((INPUT!$M$3:$M$1000=$B$3+3)*(INPUT!$N$3:$N$1000="M")*(INPUT!$O$3:$O$1000="CARLOS"))=0,"",SUMPRODUCT((INPUT!$M$3:$M$1000=$B$3+3)*(INPUT!$N$3:$N$1000="M")*(INPUT!$O$3:$O$1000="CARLOS")*INPUT!$Q$3:$Q$1000)),"")</f>
        <v>66.2</v>
      </c>
      <c r="O30" s="37">
        <f t="shared" si="3"/>
        <v>1</v>
      </c>
      <c r="P30" s="37" cm="1">
        <f t="array" ref="P30">IFERROR(IF(SUMPRODUCT((INPUT!$M$3:$M$1000=$B$3+4)*(INPUT!$N$3:$N$1000="M")*(INPUT!$O$3:$O$1000="CARLOS"))=0,"",SUMPRODUCT((INPUT!$M$3:$M$1000=$B$3+4)*(INPUT!$N$3:$N$1000="M")*(INPUT!$O$3:$O$1000="CARLOS")*INPUT!$P$3:$P$1000)),"")</f>
        <v>68</v>
      </c>
      <c r="Q30" s="37" cm="1">
        <f t="array" ref="Q30">IFERROR(IF(SUMPRODUCT((INPUT!$M$3:$M$1000=$B$3+4)*(INPUT!$N$3:$N$1000="M")*(INPUT!$O$3:$O$1000="CARLOS"))=0,"",SUMPRODUCT((INPUT!$M$3:$M$1000=$B$3+4)*(INPUT!$N$3:$N$1000="M")*(INPUT!$O$3:$O$1000="CARLOS")*INPUT!$Q$3:$Q$1000)),"")</f>
        <v>67.5</v>
      </c>
      <c r="R30" s="37">
        <f t="shared" si="4"/>
        <v>0.5</v>
      </c>
      <c r="S30" s="37" t="str" cm="1">
        <f t="array" ref="S30">IFERROR(IF(SUMPRODUCT((INPUT!$M$3:$M$1000=$B$3+5)*(INPUT!$N$3:$N$1000="M")*(INPUT!$O$3:$O$1000="CARLOS"))=0,"",SUMPRODUCT((INPUT!$M$3:$M$1000=$B$3+5)*(INPUT!$N$3:$N$1000="M")*(INPUT!$O$3:$O$1000="CARLOS")*INPUT!$P$3:$P$1000)),"")</f>
        <v/>
      </c>
      <c r="T30" s="37" t="str" cm="1">
        <f t="array" ref="T30">IFERROR(IF(SUMPRODUCT((INPUT!$M$3:$M$1000=$B$3+5)*(INPUT!$N$3:$N$1000="M")*(INPUT!$O$3:$O$1000="CARLOS"))=0,"",SUMPRODUCT((INPUT!$M$3:$M$1000=$B$3+5)*(INPUT!$N$3:$N$1000="M")*(INPUT!$O$3:$O$1000="CARLOS")*INPUT!$Q$3:$Q$1000)),"")</f>
        <v/>
      </c>
      <c r="U30" s="37" t="str">
        <f t="shared" si="5"/>
        <v/>
      </c>
      <c r="V30" s="37" t="str" cm="1">
        <f t="array" ref="V30">IFERROR(IF(SUMPRODUCT((INPUT!$M$3:$M$1000=$B$3+6)*(INPUT!$N$3:$N$1000="M")*(INPUT!$O$3:$O$1000="CARLOS"))=0,"",SUMPRODUCT((INPUT!$M$3:$M$1000=$B$3+6)*(INPUT!$N$3:$N$1000="M")*(INPUT!$O$3:$O$1000="CARLOS")*INPUT!$P$3:$P$1000)),"")</f>
        <v/>
      </c>
      <c r="W30" s="37" t="str" cm="1">
        <f t="array" ref="W30">IFERROR(IF(SUMPRODUCT((INPUT!$M$3:$M$1000=$B$3+6)*(INPUT!$N$3:$N$1000="M")*(INPUT!$O$3:$O$1000="CARLOS"))=0,"",SUMPRODUCT((INPUT!$M$3:$M$1000=$B$3+6)*(INPUT!$N$3:$N$1000="M")*(INPUT!$O$3:$O$1000="CARLOS")*INPUT!$Q$3:$Q$1000)),"")</f>
        <v/>
      </c>
      <c r="X30" s="38" t="str">
        <f t="shared" si="6"/>
        <v/>
      </c>
    </row>
    <row r="31" spans="1:24" x14ac:dyDescent="0.2">
      <c r="A31" s="200"/>
      <c r="B31" s="202"/>
      <c r="C31" s="36" t="s">
        <v>71</v>
      </c>
      <c r="D31" s="37" t="str" cm="1">
        <f t="array" ref="D31">IFERROR(IF(SUMPRODUCT((INPUT!$M$3:$M$1000=$B$3+0)*(INPUT!$N$3:$N$1000="T")*(INPUT!$O$3:$O$1000="CARLOS"))=0,"",SUMPRODUCT((INPUT!$M$3:$M$1000=$B$3+0)*(INPUT!$N$3:$N$1000="T")*(INPUT!$O$3:$O$1000="CARLOS")*INPUT!$P$3:$P$1000)),"")</f>
        <v/>
      </c>
      <c r="E31" s="37" t="str" cm="1">
        <f t="array" ref="E31">IFERROR(IF(SUMPRODUCT((INPUT!$M$3:$M$1000=$B$3+0)*(INPUT!$N$3:$N$1000="T")*(INPUT!$O$3:$O$1000="CARLOS"))=0,"",SUMPRODUCT((INPUT!$M$3:$M$1000=$B$3+0)*(INPUT!$N$3:$N$1000="T")*(INPUT!$O$3:$O$1000="CARLOS")*INPUT!$Q$3:$Q$1000)),"")</f>
        <v/>
      </c>
      <c r="F31" s="37" t="str">
        <f t="shared" si="0"/>
        <v/>
      </c>
      <c r="G31" s="37" t="str" cm="1">
        <f t="array" ref="G31">IFERROR(IF(SUMPRODUCT((INPUT!$M$3:$M$1000=$B$3+1)*(INPUT!$N$3:$N$1000="T")*(INPUT!$O$3:$O$1000="CARLOS"))=0,"",SUMPRODUCT((INPUT!$M$3:$M$1000=$B$3+1)*(INPUT!$N$3:$N$1000="T")*(INPUT!$O$3:$O$1000="CARLOS")*INPUT!$P$3:$P$1000)),"")</f>
        <v/>
      </c>
      <c r="H31" s="37" t="str" cm="1">
        <f t="array" ref="H31">IFERROR(IF(SUMPRODUCT((INPUT!$M$3:$M$1000=$B$3+1)*(INPUT!$N$3:$N$1000="T")*(INPUT!$O$3:$O$1000="CARLOS"))=0,"",SUMPRODUCT((INPUT!$M$3:$M$1000=$B$3+1)*(INPUT!$N$3:$N$1000="T")*(INPUT!$O$3:$O$1000="CARLOS")*INPUT!$Q$3:$Q$1000)),"")</f>
        <v/>
      </c>
      <c r="I31" s="37" t="str">
        <f t="shared" si="1"/>
        <v/>
      </c>
      <c r="J31" s="37" t="str" cm="1">
        <f t="array" ref="J31">IFERROR(IF(SUMPRODUCT((INPUT!$M$3:$M$1000=$B$3+2)*(INPUT!$N$3:$N$1000="T")*(INPUT!$O$3:$O$1000="CARLOS"))=0,"",SUMPRODUCT((INPUT!$M$3:$M$1000=$B$3+2)*(INPUT!$N$3:$N$1000="T")*(INPUT!$O$3:$O$1000="CARLOS")*INPUT!$P$3:$P$1000)),"")</f>
        <v/>
      </c>
      <c r="K31" s="37" t="str" cm="1">
        <f t="array" ref="K31">IFERROR(IF(SUMPRODUCT((INPUT!$M$3:$M$1000=$B$3+2)*(INPUT!$N$3:$N$1000="T")*(INPUT!$O$3:$O$1000="CARLOS"))=0,"",SUMPRODUCT((INPUT!$M$3:$M$1000=$B$3+2)*(INPUT!$N$3:$N$1000="T")*(INPUT!$O$3:$O$1000="CARLOS")*INPUT!$Q$3:$Q$1000)),"")</f>
        <v/>
      </c>
      <c r="L31" s="37" t="str">
        <f t="shared" si="2"/>
        <v/>
      </c>
      <c r="M31" s="37" t="str" cm="1">
        <f t="array" ref="M31">IFERROR(IF(SUMPRODUCT((INPUT!$M$3:$M$1000=$B$3+3)*(INPUT!$N$3:$N$1000="T")*(INPUT!$O$3:$O$1000="CARLOS"))=0,"",SUMPRODUCT((INPUT!$M$3:$M$1000=$B$3+3)*(INPUT!$N$3:$N$1000="T")*(INPUT!$O$3:$O$1000="CARLOS")*INPUT!$P$3:$P$1000)),"")</f>
        <v/>
      </c>
      <c r="N31" s="37" t="str" cm="1">
        <f t="array" ref="N31">IFERROR(IF(SUMPRODUCT((INPUT!$M$3:$M$1000=$B$3+3)*(INPUT!$N$3:$N$1000="T")*(INPUT!$O$3:$O$1000="CARLOS"))=0,"",SUMPRODUCT((INPUT!$M$3:$M$1000=$B$3+3)*(INPUT!$N$3:$N$1000="T")*(INPUT!$O$3:$O$1000="CARLOS")*INPUT!$Q$3:$Q$1000)),"")</f>
        <v/>
      </c>
      <c r="O31" s="37" t="str">
        <f t="shared" si="3"/>
        <v/>
      </c>
      <c r="P31" s="37" t="str" cm="1">
        <f t="array" ref="P31">IFERROR(IF(SUMPRODUCT((INPUT!$M$3:$M$1000=$B$3+4)*(INPUT!$N$3:$N$1000="T")*(INPUT!$O$3:$O$1000="CARLOS"))=0,"",SUMPRODUCT((INPUT!$M$3:$M$1000=$B$3+4)*(INPUT!$N$3:$N$1000="T")*(INPUT!$O$3:$O$1000="CARLOS")*INPUT!$P$3:$P$1000)),"")</f>
        <v/>
      </c>
      <c r="Q31" s="37" t="str" cm="1">
        <f t="array" ref="Q31">IFERROR(IF(SUMPRODUCT((INPUT!$M$3:$M$1000=$B$3+4)*(INPUT!$N$3:$N$1000="T")*(INPUT!$O$3:$O$1000="CARLOS"))=0,"",SUMPRODUCT((INPUT!$M$3:$M$1000=$B$3+4)*(INPUT!$N$3:$N$1000="T")*(INPUT!$O$3:$O$1000="CARLOS")*INPUT!$Q$3:$Q$1000)),"")</f>
        <v/>
      </c>
      <c r="R31" s="37" t="str">
        <f t="shared" si="4"/>
        <v/>
      </c>
      <c r="S31" s="37" cm="1">
        <f t="array" ref="S31">IFERROR(IF(SUMPRODUCT((INPUT!$M$3:$M$1000=$B$3+5)*(INPUT!$N$3:$N$1000="T")*(INPUT!$O$3:$O$1000="CARLOS"))=0,"",SUMPRODUCT((INPUT!$M$3:$M$1000=$B$3+5)*(INPUT!$N$3:$N$1000="T")*(INPUT!$O$3:$O$1000="CARLOS")*INPUT!$P$3:$P$1000)),"")</f>
        <v>66.8</v>
      </c>
      <c r="T31" s="37" cm="1">
        <f t="array" ref="T31">IFERROR(IF(SUMPRODUCT((INPUT!$M$3:$M$1000=$B$3+5)*(INPUT!$N$3:$N$1000="T")*(INPUT!$O$3:$O$1000="CARLOS"))=0,"",SUMPRODUCT((INPUT!$M$3:$M$1000=$B$3+5)*(INPUT!$N$3:$N$1000="T")*(INPUT!$O$3:$O$1000="CARLOS")*INPUT!$Q$3:$Q$1000)),"")</f>
        <v>66.400000000000006</v>
      </c>
      <c r="U31" s="37">
        <f t="shared" si="5"/>
        <v>0.39999999999999147</v>
      </c>
      <c r="V31" s="37" t="str" cm="1">
        <f t="array" ref="V31">IFERROR(IF(SUMPRODUCT((INPUT!$M$3:$M$1000=$B$3+6)*(INPUT!$N$3:$N$1000="T")*(INPUT!$O$3:$O$1000="CARLOS"))=0,"",SUMPRODUCT((INPUT!$M$3:$M$1000=$B$3+6)*(INPUT!$N$3:$N$1000="T")*(INPUT!$O$3:$O$1000="CARLOS")*INPUT!$P$3:$P$1000)),"")</f>
        <v/>
      </c>
      <c r="W31" s="37" t="str" cm="1">
        <f t="array" ref="W31">IFERROR(IF(SUMPRODUCT((INPUT!$M$3:$M$1000=$B$3+6)*(INPUT!$N$3:$N$1000="T")*(INPUT!$O$3:$O$1000="CARLOS"))=0,"",SUMPRODUCT((INPUT!$M$3:$M$1000=$B$3+6)*(INPUT!$N$3:$N$1000="T")*(INPUT!$O$3:$O$1000="CARLOS")*INPUT!$Q$3:$Q$1000)),"")</f>
        <v/>
      </c>
      <c r="X31" s="38" t="str">
        <f t="shared" si="6"/>
        <v/>
      </c>
    </row>
    <row r="32" spans="1:24" x14ac:dyDescent="0.2">
      <c r="A32" s="203">
        <v>14</v>
      </c>
      <c r="B32" s="204" t="s">
        <v>54</v>
      </c>
      <c r="C32" s="36" t="s">
        <v>70</v>
      </c>
      <c r="D32" s="37" t="str" cm="1">
        <f t="array" ref="D32">IFERROR(IF(SUMPRODUCT((INPUT!$M$3:$M$1000=$B$3+0)*(INPUT!$N$3:$N$1000="M")*(INPUT!$O$3:$O$1000="GONZALO"))=0,"",SUMPRODUCT((INPUT!$M$3:$M$1000=$B$3+0)*(INPUT!$N$3:$N$1000="M")*(INPUT!$O$3:$O$1000="GONZALO")*INPUT!$P$3:$P$1000)),"")</f>
        <v/>
      </c>
      <c r="E32" s="37" t="str" cm="1">
        <f t="array" ref="E32">IFERROR(IF(SUMPRODUCT((INPUT!$M$3:$M$1000=$B$3+0)*(INPUT!$N$3:$N$1000="M")*(INPUT!$O$3:$O$1000="GONZALO"))=0,"",SUMPRODUCT((INPUT!$M$3:$M$1000=$B$3+0)*(INPUT!$N$3:$N$1000="M")*(INPUT!$O$3:$O$1000="GONZALO")*INPUT!$Q$3:$Q$1000)),"")</f>
        <v/>
      </c>
      <c r="F32" s="37" t="str">
        <f t="shared" si="0"/>
        <v/>
      </c>
      <c r="G32" s="37" cm="1">
        <f t="array" ref="G32">IFERROR(IF(SUMPRODUCT((INPUT!$M$3:$M$1000=$B$3+1)*(INPUT!$N$3:$N$1000="M")*(INPUT!$O$3:$O$1000="GONZALO"))=0,"",SUMPRODUCT((INPUT!$M$3:$M$1000=$B$3+1)*(INPUT!$N$3:$N$1000="M")*(INPUT!$O$3:$O$1000="GONZALO")*INPUT!$P$3:$P$1000)),"")</f>
        <v>84.8</v>
      </c>
      <c r="H32" s="37" cm="1">
        <f t="array" ref="H32">IFERROR(IF(SUMPRODUCT((INPUT!$M$3:$M$1000=$B$3+1)*(INPUT!$N$3:$N$1000="M")*(INPUT!$O$3:$O$1000="GONZALO"))=0,"",SUMPRODUCT((INPUT!$M$3:$M$1000=$B$3+1)*(INPUT!$N$3:$N$1000="M")*(INPUT!$O$3:$O$1000="GONZALO")*INPUT!$Q$3:$Q$1000)),"")</f>
        <v>84.9</v>
      </c>
      <c r="I32" s="37">
        <f t="shared" si="1"/>
        <v>-0.10000000000000853</v>
      </c>
      <c r="J32" s="37" cm="1">
        <f t="array" ref="J32">IFERROR(IF(SUMPRODUCT((INPUT!$M$3:$M$1000=$B$3+2)*(INPUT!$N$3:$N$1000="M")*(INPUT!$O$3:$O$1000="GONZALO"))=0,"",SUMPRODUCT((INPUT!$M$3:$M$1000=$B$3+2)*(INPUT!$N$3:$N$1000="M")*(INPUT!$O$3:$O$1000="GONZALO")*INPUT!$P$3:$P$1000)),"")</f>
        <v>84.8</v>
      </c>
      <c r="K32" s="37" cm="1">
        <f t="array" ref="K32">IFERROR(IF(SUMPRODUCT((INPUT!$M$3:$M$1000=$B$3+2)*(INPUT!$N$3:$N$1000="M")*(INPUT!$O$3:$O$1000="GONZALO"))=0,"",SUMPRODUCT((INPUT!$M$3:$M$1000=$B$3+2)*(INPUT!$N$3:$N$1000="M")*(INPUT!$O$3:$O$1000="GONZALO")*INPUT!$Q$3:$Q$1000)),"")</f>
        <v>84.9</v>
      </c>
      <c r="L32" s="37">
        <f t="shared" si="2"/>
        <v>-0.10000000000000853</v>
      </c>
      <c r="M32" s="37" cm="1">
        <f t="array" ref="M32">IFERROR(IF(SUMPRODUCT((INPUT!$M$3:$M$1000=$B$3+3)*(INPUT!$N$3:$N$1000="M")*(INPUT!$O$3:$O$1000="GONZALO"))=0,"",SUMPRODUCT((INPUT!$M$3:$M$1000=$B$3+3)*(INPUT!$N$3:$N$1000="M")*(INPUT!$O$3:$O$1000="GONZALO")*INPUT!$P$3:$P$1000)),"")</f>
        <v>84.8</v>
      </c>
      <c r="N32" s="37" cm="1">
        <f t="array" ref="N32">IFERROR(IF(SUMPRODUCT((INPUT!$M$3:$M$1000=$B$3+3)*(INPUT!$N$3:$N$1000="M")*(INPUT!$O$3:$O$1000="GONZALO"))=0,"",SUMPRODUCT((INPUT!$M$3:$M$1000=$B$3+3)*(INPUT!$N$3:$N$1000="M")*(INPUT!$O$3:$O$1000="GONZALO")*INPUT!$Q$3:$Q$1000)),"")</f>
        <v>84.9</v>
      </c>
      <c r="O32" s="37">
        <f t="shared" si="3"/>
        <v>-0.10000000000000853</v>
      </c>
      <c r="P32" s="37" cm="1">
        <f t="array" ref="P32">IFERROR(IF(SUMPRODUCT((INPUT!$M$3:$M$1000=$B$3+4)*(INPUT!$N$3:$N$1000="M")*(INPUT!$O$3:$O$1000="GONZALO"))=0,"",SUMPRODUCT((INPUT!$M$3:$M$1000=$B$3+4)*(INPUT!$N$3:$N$1000="M")*(INPUT!$O$3:$O$1000="GONZALO")*INPUT!$P$3:$P$1000)),"")</f>
        <v>84.7</v>
      </c>
      <c r="Q32" s="37" cm="1">
        <f t="array" ref="Q32">IFERROR(IF(SUMPRODUCT((INPUT!$M$3:$M$1000=$B$3+4)*(INPUT!$N$3:$N$1000="M")*(INPUT!$O$3:$O$1000="GONZALO"))=0,"",SUMPRODUCT((INPUT!$M$3:$M$1000=$B$3+4)*(INPUT!$N$3:$N$1000="M")*(INPUT!$O$3:$O$1000="GONZALO")*INPUT!$Q$3:$Q$1000)),"")</f>
        <v>84.8</v>
      </c>
      <c r="R32" s="37">
        <f t="shared" si="4"/>
        <v>-9.9999999999994316E-2</v>
      </c>
      <c r="S32" s="37" t="str" cm="1">
        <f t="array" ref="S32">IFERROR(IF(SUMPRODUCT((INPUT!$M$3:$M$1000=$B$3+5)*(INPUT!$N$3:$N$1000="M")*(INPUT!$O$3:$O$1000="GONZALO"))=0,"",SUMPRODUCT((INPUT!$M$3:$M$1000=$B$3+5)*(INPUT!$N$3:$N$1000="M")*(INPUT!$O$3:$O$1000="GONZALO")*INPUT!$P$3:$P$1000)),"")</f>
        <v/>
      </c>
      <c r="T32" s="37" t="str" cm="1">
        <f t="array" ref="T32">IFERROR(IF(SUMPRODUCT((INPUT!$M$3:$M$1000=$B$3+5)*(INPUT!$N$3:$N$1000="M")*(INPUT!$O$3:$O$1000="GONZALO"))=0,"",SUMPRODUCT((INPUT!$M$3:$M$1000=$B$3+5)*(INPUT!$N$3:$N$1000="M")*(INPUT!$O$3:$O$1000="GONZALO")*INPUT!$Q$3:$Q$1000)),"")</f>
        <v/>
      </c>
      <c r="U32" s="37" t="str">
        <f t="shared" si="5"/>
        <v/>
      </c>
      <c r="V32" s="37" t="str" cm="1">
        <f t="array" ref="V32">IFERROR(IF(SUMPRODUCT((INPUT!$M$3:$M$1000=$B$3+6)*(INPUT!$N$3:$N$1000="M")*(INPUT!$O$3:$O$1000="GONZALO"))=0,"",SUMPRODUCT((INPUT!$M$3:$M$1000=$B$3+6)*(INPUT!$N$3:$N$1000="M")*(INPUT!$O$3:$O$1000="GONZALO")*INPUT!$P$3:$P$1000)),"")</f>
        <v/>
      </c>
      <c r="W32" s="37" t="str" cm="1">
        <f t="array" ref="W32">IFERROR(IF(SUMPRODUCT((INPUT!$M$3:$M$1000=$B$3+6)*(INPUT!$N$3:$N$1000="M")*(INPUT!$O$3:$O$1000="GONZALO"))=0,"",SUMPRODUCT((INPUT!$M$3:$M$1000=$B$3+6)*(INPUT!$N$3:$N$1000="M")*(INPUT!$O$3:$O$1000="GONZALO")*INPUT!$Q$3:$Q$1000)),"")</f>
        <v/>
      </c>
      <c r="X32" s="38" t="str">
        <f t="shared" si="6"/>
        <v/>
      </c>
    </row>
    <row r="33" spans="1:24" x14ac:dyDescent="0.2">
      <c r="A33" s="200"/>
      <c r="B33" s="202"/>
      <c r="C33" s="36" t="s">
        <v>71</v>
      </c>
      <c r="D33" s="37" t="str" cm="1">
        <f t="array" ref="D33">IFERROR(IF(SUMPRODUCT((INPUT!$M$3:$M$1000=$B$3+0)*(INPUT!$N$3:$N$1000="T")*(INPUT!$O$3:$O$1000="GONZALO"))=0,"",SUMPRODUCT((INPUT!$M$3:$M$1000=$B$3+0)*(INPUT!$N$3:$N$1000="T")*(INPUT!$O$3:$O$1000="GONZALO")*INPUT!$P$3:$P$1000)),"")</f>
        <v/>
      </c>
      <c r="E33" s="37" t="str" cm="1">
        <f t="array" ref="E33">IFERROR(IF(SUMPRODUCT((INPUT!$M$3:$M$1000=$B$3+0)*(INPUT!$N$3:$N$1000="T")*(INPUT!$O$3:$O$1000="GONZALO"))=0,"",SUMPRODUCT((INPUT!$M$3:$M$1000=$B$3+0)*(INPUT!$N$3:$N$1000="T")*(INPUT!$O$3:$O$1000="GONZALO")*INPUT!$Q$3:$Q$1000)),"")</f>
        <v/>
      </c>
      <c r="F33" s="37" t="str">
        <f t="shared" si="0"/>
        <v/>
      </c>
      <c r="G33" s="37" t="str" cm="1">
        <f t="array" ref="G33">IFERROR(IF(SUMPRODUCT((INPUT!$M$3:$M$1000=$B$3+1)*(INPUT!$N$3:$N$1000="T")*(INPUT!$O$3:$O$1000="GONZALO"))=0,"",SUMPRODUCT((INPUT!$M$3:$M$1000=$B$3+1)*(INPUT!$N$3:$N$1000="T")*(INPUT!$O$3:$O$1000="GONZALO")*INPUT!$P$3:$P$1000)),"")</f>
        <v/>
      </c>
      <c r="H33" s="37" t="str" cm="1">
        <f t="array" ref="H33">IFERROR(IF(SUMPRODUCT((INPUT!$M$3:$M$1000=$B$3+1)*(INPUT!$N$3:$N$1000="T")*(INPUT!$O$3:$O$1000="GONZALO"))=0,"",SUMPRODUCT((INPUT!$M$3:$M$1000=$B$3+1)*(INPUT!$N$3:$N$1000="T")*(INPUT!$O$3:$O$1000="GONZALO")*INPUT!$Q$3:$Q$1000)),"")</f>
        <v/>
      </c>
      <c r="I33" s="37" t="str">
        <f t="shared" si="1"/>
        <v/>
      </c>
      <c r="J33" s="37" t="str" cm="1">
        <f t="array" ref="J33">IFERROR(IF(SUMPRODUCT((INPUT!$M$3:$M$1000=$B$3+2)*(INPUT!$N$3:$N$1000="T")*(INPUT!$O$3:$O$1000="GONZALO"))=0,"",SUMPRODUCT((INPUT!$M$3:$M$1000=$B$3+2)*(INPUT!$N$3:$N$1000="T")*(INPUT!$O$3:$O$1000="GONZALO")*INPUT!$P$3:$P$1000)),"")</f>
        <v/>
      </c>
      <c r="K33" s="37" t="str" cm="1">
        <f t="array" ref="K33">IFERROR(IF(SUMPRODUCT((INPUT!$M$3:$M$1000=$B$3+2)*(INPUT!$N$3:$N$1000="T")*(INPUT!$O$3:$O$1000="GONZALO"))=0,"",SUMPRODUCT((INPUT!$M$3:$M$1000=$B$3+2)*(INPUT!$N$3:$N$1000="T")*(INPUT!$O$3:$O$1000="GONZALO")*INPUT!$Q$3:$Q$1000)),"")</f>
        <v/>
      </c>
      <c r="L33" s="37" t="str">
        <f t="shared" si="2"/>
        <v/>
      </c>
      <c r="M33" s="37" t="str" cm="1">
        <f t="array" ref="M33">IFERROR(IF(SUMPRODUCT((INPUT!$M$3:$M$1000=$B$3+3)*(INPUT!$N$3:$N$1000="T")*(INPUT!$O$3:$O$1000="GONZALO"))=0,"",SUMPRODUCT((INPUT!$M$3:$M$1000=$B$3+3)*(INPUT!$N$3:$N$1000="T")*(INPUT!$O$3:$O$1000="GONZALO")*INPUT!$P$3:$P$1000)),"")</f>
        <v/>
      </c>
      <c r="N33" s="37" t="str" cm="1">
        <f t="array" ref="N33">IFERROR(IF(SUMPRODUCT((INPUT!$M$3:$M$1000=$B$3+3)*(INPUT!$N$3:$N$1000="T")*(INPUT!$O$3:$O$1000="GONZALO"))=0,"",SUMPRODUCT((INPUT!$M$3:$M$1000=$B$3+3)*(INPUT!$N$3:$N$1000="T")*(INPUT!$O$3:$O$1000="GONZALO")*INPUT!$Q$3:$Q$1000)),"")</f>
        <v/>
      </c>
      <c r="O33" s="37" t="str">
        <f t="shared" si="3"/>
        <v/>
      </c>
      <c r="P33" s="37" t="str" cm="1">
        <f t="array" ref="P33">IFERROR(IF(SUMPRODUCT((INPUT!$M$3:$M$1000=$B$3+4)*(INPUT!$N$3:$N$1000="T")*(INPUT!$O$3:$O$1000="GONZALO"))=0,"",SUMPRODUCT((INPUT!$M$3:$M$1000=$B$3+4)*(INPUT!$N$3:$N$1000="T")*(INPUT!$O$3:$O$1000="GONZALO")*INPUT!$P$3:$P$1000)),"")</f>
        <v/>
      </c>
      <c r="Q33" s="37" t="str" cm="1">
        <f t="array" ref="Q33">IFERROR(IF(SUMPRODUCT((INPUT!$M$3:$M$1000=$B$3+4)*(INPUT!$N$3:$N$1000="T")*(INPUT!$O$3:$O$1000="GONZALO"))=0,"",SUMPRODUCT((INPUT!$M$3:$M$1000=$B$3+4)*(INPUT!$N$3:$N$1000="T")*(INPUT!$O$3:$O$1000="GONZALO")*INPUT!$Q$3:$Q$1000)),"")</f>
        <v/>
      </c>
      <c r="R33" s="37" t="str">
        <f t="shared" si="4"/>
        <v/>
      </c>
      <c r="S33" s="37" cm="1">
        <f t="array" ref="S33">IFERROR(IF(SUMPRODUCT((INPUT!$M$3:$M$1000=$B$3+5)*(INPUT!$N$3:$N$1000="T")*(INPUT!$O$3:$O$1000="GONZALO"))=0,"",SUMPRODUCT((INPUT!$M$3:$M$1000=$B$3+5)*(INPUT!$N$3:$N$1000="T")*(INPUT!$O$3:$O$1000="GONZALO")*INPUT!$P$3:$P$1000)),"")</f>
        <v>84.9</v>
      </c>
      <c r="T33" s="37" cm="1">
        <f t="array" ref="T33">IFERROR(IF(SUMPRODUCT((INPUT!$M$3:$M$1000=$B$3+5)*(INPUT!$N$3:$N$1000="T")*(INPUT!$O$3:$O$1000="GONZALO"))=0,"",SUMPRODUCT((INPUT!$M$3:$M$1000=$B$3+5)*(INPUT!$N$3:$N$1000="T")*(INPUT!$O$3:$O$1000="GONZALO")*INPUT!$Q$3:$Q$1000)),"")</f>
        <v>84.5</v>
      </c>
      <c r="U33" s="37">
        <f t="shared" si="5"/>
        <v>0.40000000000000568</v>
      </c>
      <c r="V33" s="37" t="str" cm="1">
        <f t="array" ref="V33">IFERROR(IF(SUMPRODUCT((INPUT!$M$3:$M$1000=$B$3+6)*(INPUT!$N$3:$N$1000="T")*(INPUT!$O$3:$O$1000="GONZALO"))=0,"",SUMPRODUCT((INPUT!$M$3:$M$1000=$B$3+6)*(INPUT!$N$3:$N$1000="T")*(INPUT!$O$3:$O$1000="GONZALO")*INPUT!$P$3:$P$1000)),"")</f>
        <v/>
      </c>
      <c r="W33" s="37" t="str" cm="1">
        <f t="array" ref="W33">IFERROR(IF(SUMPRODUCT((INPUT!$M$3:$M$1000=$B$3+6)*(INPUT!$N$3:$N$1000="T")*(INPUT!$O$3:$O$1000="GONZALO"))=0,"",SUMPRODUCT((INPUT!$M$3:$M$1000=$B$3+6)*(INPUT!$N$3:$N$1000="T")*(INPUT!$O$3:$O$1000="GONZALO")*INPUT!$Q$3:$Q$1000)),"")</f>
        <v/>
      </c>
      <c r="X33" s="38" t="str">
        <f t="shared" si="6"/>
        <v/>
      </c>
    </row>
    <row r="34" spans="1:24" x14ac:dyDescent="0.2">
      <c r="A34" s="203">
        <v>15</v>
      </c>
      <c r="B34" s="204" t="s">
        <v>55</v>
      </c>
      <c r="C34" s="36" t="s">
        <v>70</v>
      </c>
      <c r="D34" s="37" t="str" cm="1">
        <f t="array" ref="D34">IFERROR(IF(SUMPRODUCT((INPUT!$M$3:$M$1000=$B$3+0)*(INPUT!$N$3:$N$1000="M")*(INPUT!$O$3:$O$1000="SEGO"))=0,"",SUMPRODUCT((INPUT!$M$3:$M$1000=$B$3+0)*(INPUT!$N$3:$N$1000="M")*(INPUT!$O$3:$O$1000="SEGO")*INPUT!$P$3:$P$1000)),"")</f>
        <v/>
      </c>
      <c r="E34" s="37" t="str" cm="1">
        <f t="array" ref="E34">IFERROR(IF(SUMPRODUCT((INPUT!$M$3:$M$1000=$B$3+0)*(INPUT!$N$3:$N$1000="M")*(INPUT!$O$3:$O$1000="SEGO"))=0,"",SUMPRODUCT((INPUT!$M$3:$M$1000=$B$3+0)*(INPUT!$N$3:$N$1000="M")*(INPUT!$O$3:$O$1000="SEGO")*INPUT!$Q$3:$Q$1000)),"")</f>
        <v/>
      </c>
      <c r="F34" s="37" t="str">
        <f t="shared" si="0"/>
        <v/>
      </c>
      <c r="G34" s="37" t="str" cm="1">
        <f t="array" ref="G34">IFERROR(IF(SUMPRODUCT((INPUT!$M$3:$M$1000=$B$3+1)*(INPUT!$N$3:$N$1000="M")*(INPUT!$O$3:$O$1000="SEGO"))=0,"",SUMPRODUCT((INPUT!$M$3:$M$1000=$B$3+1)*(INPUT!$N$3:$N$1000="M")*(INPUT!$O$3:$O$1000="SEGO")*INPUT!$P$3:$P$1000)),"")</f>
        <v/>
      </c>
      <c r="H34" s="37" t="str" cm="1">
        <f t="array" ref="H34">IFERROR(IF(SUMPRODUCT((INPUT!$M$3:$M$1000=$B$3+1)*(INPUT!$N$3:$N$1000="M")*(INPUT!$O$3:$O$1000="SEGO"))=0,"",SUMPRODUCT((INPUT!$M$3:$M$1000=$B$3+1)*(INPUT!$N$3:$N$1000="M")*(INPUT!$O$3:$O$1000="SEGO")*INPUT!$Q$3:$Q$1000)),"")</f>
        <v/>
      </c>
      <c r="I34" s="37" t="str">
        <f t="shared" si="1"/>
        <v/>
      </c>
      <c r="J34" s="37" t="str" cm="1">
        <f t="array" ref="J34">IFERROR(IF(SUMPRODUCT((INPUT!$M$3:$M$1000=$B$3+2)*(INPUT!$N$3:$N$1000="M")*(INPUT!$O$3:$O$1000="SEGO"))=0,"",SUMPRODUCT((INPUT!$M$3:$M$1000=$B$3+2)*(INPUT!$N$3:$N$1000="M")*(INPUT!$O$3:$O$1000="SEGO")*INPUT!$P$3:$P$1000)),"")</f>
        <v/>
      </c>
      <c r="K34" s="37" t="str" cm="1">
        <f t="array" ref="K34">IFERROR(IF(SUMPRODUCT((INPUT!$M$3:$M$1000=$B$3+2)*(INPUT!$N$3:$N$1000="M")*(INPUT!$O$3:$O$1000="SEGO"))=0,"",SUMPRODUCT((INPUT!$M$3:$M$1000=$B$3+2)*(INPUT!$N$3:$N$1000="M")*(INPUT!$O$3:$O$1000="SEGO")*INPUT!$Q$3:$Q$1000)),"")</f>
        <v/>
      </c>
      <c r="L34" s="37" t="str">
        <f t="shared" si="2"/>
        <v/>
      </c>
      <c r="M34" s="37" t="str" cm="1">
        <f t="array" ref="M34">IFERROR(IF(SUMPRODUCT((INPUT!$M$3:$M$1000=$B$3+3)*(INPUT!$N$3:$N$1000="M")*(INPUT!$O$3:$O$1000="SEGO"))=0,"",SUMPRODUCT((INPUT!$M$3:$M$1000=$B$3+3)*(INPUT!$N$3:$N$1000="M")*(INPUT!$O$3:$O$1000="SEGO")*INPUT!$P$3:$P$1000)),"")</f>
        <v/>
      </c>
      <c r="N34" s="37" t="str" cm="1">
        <f t="array" ref="N34">IFERROR(IF(SUMPRODUCT((INPUT!$M$3:$M$1000=$B$3+3)*(INPUT!$N$3:$N$1000="M")*(INPUT!$O$3:$O$1000="SEGO"))=0,"",SUMPRODUCT((INPUT!$M$3:$M$1000=$B$3+3)*(INPUT!$N$3:$N$1000="M")*(INPUT!$O$3:$O$1000="SEGO")*INPUT!$Q$3:$Q$1000)),"")</f>
        <v/>
      </c>
      <c r="O34" s="37" t="str">
        <f t="shared" si="3"/>
        <v/>
      </c>
      <c r="P34" s="37" t="str" cm="1">
        <f t="array" ref="P34">IFERROR(IF(SUMPRODUCT((INPUT!$M$3:$M$1000=$B$3+4)*(INPUT!$N$3:$N$1000="M")*(INPUT!$O$3:$O$1000="SEGO"))=0,"",SUMPRODUCT((INPUT!$M$3:$M$1000=$B$3+4)*(INPUT!$N$3:$N$1000="M")*(INPUT!$O$3:$O$1000="SEGO")*INPUT!$P$3:$P$1000)),"")</f>
        <v/>
      </c>
      <c r="Q34" s="37" t="str" cm="1">
        <f t="array" ref="Q34">IFERROR(IF(SUMPRODUCT((INPUT!$M$3:$M$1000=$B$3+4)*(INPUT!$N$3:$N$1000="M")*(INPUT!$O$3:$O$1000="SEGO"))=0,"",SUMPRODUCT((INPUT!$M$3:$M$1000=$B$3+4)*(INPUT!$N$3:$N$1000="M")*(INPUT!$O$3:$O$1000="SEGO")*INPUT!$Q$3:$Q$1000)),"")</f>
        <v/>
      </c>
      <c r="R34" s="37" t="str">
        <f t="shared" si="4"/>
        <v/>
      </c>
      <c r="S34" s="37" t="str" cm="1">
        <f t="array" ref="S34">IFERROR(IF(SUMPRODUCT((INPUT!$M$3:$M$1000=$B$3+5)*(INPUT!$N$3:$N$1000="M")*(INPUT!$O$3:$O$1000="SEGO"))=0,"",SUMPRODUCT((INPUT!$M$3:$M$1000=$B$3+5)*(INPUT!$N$3:$N$1000="M")*(INPUT!$O$3:$O$1000="SEGO")*INPUT!$P$3:$P$1000)),"")</f>
        <v/>
      </c>
      <c r="T34" s="37" t="str" cm="1">
        <f t="array" ref="T34">IFERROR(IF(SUMPRODUCT((INPUT!$M$3:$M$1000=$B$3+5)*(INPUT!$N$3:$N$1000="M")*(INPUT!$O$3:$O$1000="SEGO"))=0,"",SUMPRODUCT((INPUT!$M$3:$M$1000=$B$3+5)*(INPUT!$N$3:$N$1000="M")*(INPUT!$O$3:$O$1000="SEGO")*INPUT!$Q$3:$Q$1000)),"")</f>
        <v/>
      </c>
      <c r="U34" s="37" t="str">
        <f t="shared" si="5"/>
        <v/>
      </c>
      <c r="V34" s="37" t="str" cm="1">
        <f t="array" ref="V34">IFERROR(IF(SUMPRODUCT((INPUT!$M$3:$M$1000=$B$3+6)*(INPUT!$N$3:$N$1000="M")*(INPUT!$O$3:$O$1000="SEGO"))=0,"",SUMPRODUCT((INPUT!$M$3:$M$1000=$B$3+6)*(INPUT!$N$3:$N$1000="M")*(INPUT!$O$3:$O$1000="SEGO")*INPUT!$P$3:$P$1000)),"")</f>
        <v/>
      </c>
      <c r="W34" s="37" t="str" cm="1">
        <f t="array" ref="W34">IFERROR(IF(SUMPRODUCT((INPUT!$M$3:$M$1000=$B$3+6)*(INPUT!$N$3:$N$1000="M")*(INPUT!$O$3:$O$1000="SEGO"))=0,"",SUMPRODUCT((INPUT!$M$3:$M$1000=$B$3+6)*(INPUT!$N$3:$N$1000="M")*(INPUT!$O$3:$O$1000="SEGO")*INPUT!$Q$3:$Q$1000)),"")</f>
        <v/>
      </c>
      <c r="X34" s="38" t="str">
        <f t="shared" si="6"/>
        <v/>
      </c>
    </row>
    <row r="35" spans="1:24" x14ac:dyDescent="0.2">
      <c r="A35" s="200"/>
      <c r="B35" s="202"/>
      <c r="C35" s="36" t="s">
        <v>71</v>
      </c>
      <c r="D35" s="37" t="str" cm="1">
        <f t="array" ref="D35">IFERROR(IF(SUMPRODUCT((INPUT!$M$3:$M$1000=$B$3+0)*(INPUT!$N$3:$N$1000="T")*(INPUT!$O$3:$O$1000="SEGO"))=0,"",SUMPRODUCT((INPUT!$M$3:$M$1000=$B$3+0)*(INPUT!$N$3:$N$1000="T")*(INPUT!$O$3:$O$1000="SEGO")*INPUT!$P$3:$P$1000)),"")</f>
        <v/>
      </c>
      <c r="E35" s="37" t="str" cm="1">
        <f t="array" ref="E35">IFERROR(IF(SUMPRODUCT((INPUT!$M$3:$M$1000=$B$3+0)*(INPUT!$N$3:$N$1000="T")*(INPUT!$O$3:$O$1000="SEGO"))=0,"",SUMPRODUCT((INPUT!$M$3:$M$1000=$B$3+0)*(INPUT!$N$3:$N$1000="T")*(INPUT!$O$3:$O$1000="SEGO")*INPUT!$Q$3:$Q$1000)),"")</f>
        <v/>
      </c>
      <c r="F35" s="37" t="str">
        <f t="shared" si="0"/>
        <v/>
      </c>
      <c r="G35" s="37" t="str" cm="1">
        <f t="array" ref="G35">IFERROR(IF(SUMPRODUCT((INPUT!$M$3:$M$1000=$B$3+1)*(INPUT!$N$3:$N$1000="T")*(INPUT!$O$3:$O$1000="SEGO"))=0,"",SUMPRODUCT((INPUT!$M$3:$M$1000=$B$3+1)*(INPUT!$N$3:$N$1000="T")*(INPUT!$O$3:$O$1000="SEGO")*INPUT!$P$3:$P$1000)),"")</f>
        <v/>
      </c>
      <c r="H35" s="37" t="str" cm="1">
        <f t="array" ref="H35">IFERROR(IF(SUMPRODUCT((INPUT!$M$3:$M$1000=$B$3+1)*(INPUT!$N$3:$N$1000="T")*(INPUT!$O$3:$O$1000="SEGO"))=0,"",SUMPRODUCT((INPUT!$M$3:$M$1000=$B$3+1)*(INPUT!$N$3:$N$1000="T")*(INPUT!$O$3:$O$1000="SEGO")*INPUT!$Q$3:$Q$1000)),"")</f>
        <v/>
      </c>
      <c r="I35" s="37" t="str">
        <f t="shared" si="1"/>
        <v/>
      </c>
      <c r="J35" s="37" t="str" cm="1">
        <f t="array" ref="J35">IFERROR(IF(SUMPRODUCT((INPUT!$M$3:$M$1000=$B$3+2)*(INPUT!$N$3:$N$1000="T")*(INPUT!$O$3:$O$1000="SEGO"))=0,"",SUMPRODUCT((INPUT!$M$3:$M$1000=$B$3+2)*(INPUT!$N$3:$N$1000="T")*(INPUT!$O$3:$O$1000="SEGO")*INPUT!$P$3:$P$1000)),"")</f>
        <v/>
      </c>
      <c r="K35" s="37" t="str" cm="1">
        <f t="array" ref="K35">IFERROR(IF(SUMPRODUCT((INPUT!$M$3:$M$1000=$B$3+2)*(INPUT!$N$3:$N$1000="T")*(INPUT!$O$3:$O$1000="SEGO"))=0,"",SUMPRODUCT((INPUT!$M$3:$M$1000=$B$3+2)*(INPUT!$N$3:$N$1000="T")*(INPUT!$O$3:$O$1000="SEGO")*INPUT!$Q$3:$Q$1000)),"")</f>
        <v/>
      </c>
      <c r="L35" s="37" t="str">
        <f t="shared" si="2"/>
        <v/>
      </c>
      <c r="M35" s="37" t="str" cm="1">
        <f t="array" ref="M35">IFERROR(IF(SUMPRODUCT((INPUT!$M$3:$M$1000=$B$3+3)*(INPUT!$N$3:$N$1000="T")*(INPUT!$O$3:$O$1000="SEGO"))=0,"",SUMPRODUCT((INPUT!$M$3:$M$1000=$B$3+3)*(INPUT!$N$3:$N$1000="T")*(INPUT!$O$3:$O$1000="SEGO")*INPUT!$P$3:$P$1000)),"")</f>
        <v/>
      </c>
      <c r="N35" s="37" t="str" cm="1">
        <f t="array" ref="N35">IFERROR(IF(SUMPRODUCT((INPUT!$M$3:$M$1000=$B$3+3)*(INPUT!$N$3:$N$1000="T")*(INPUT!$O$3:$O$1000="SEGO"))=0,"",SUMPRODUCT((INPUT!$M$3:$M$1000=$B$3+3)*(INPUT!$N$3:$N$1000="T")*(INPUT!$O$3:$O$1000="SEGO")*INPUT!$Q$3:$Q$1000)),"")</f>
        <v/>
      </c>
      <c r="O35" s="37" t="str">
        <f t="shared" si="3"/>
        <v/>
      </c>
      <c r="P35" s="37" t="str" cm="1">
        <f t="array" ref="P35">IFERROR(IF(SUMPRODUCT((INPUT!$M$3:$M$1000=$B$3+4)*(INPUT!$N$3:$N$1000="T")*(INPUT!$O$3:$O$1000="SEGO"))=0,"",SUMPRODUCT((INPUT!$M$3:$M$1000=$B$3+4)*(INPUT!$N$3:$N$1000="T")*(INPUT!$O$3:$O$1000="SEGO")*INPUT!$P$3:$P$1000)),"")</f>
        <v/>
      </c>
      <c r="Q35" s="37" t="str" cm="1">
        <f t="array" ref="Q35">IFERROR(IF(SUMPRODUCT((INPUT!$M$3:$M$1000=$B$3+4)*(INPUT!$N$3:$N$1000="T")*(INPUT!$O$3:$O$1000="SEGO"))=0,"",SUMPRODUCT((INPUT!$M$3:$M$1000=$B$3+4)*(INPUT!$N$3:$N$1000="T")*(INPUT!$O$3:$O$1000="SEGO")*INPUT!$Q$3:$Q$1000)),"")</f>
        <v/>
      </c>
      <c r="R35" s="37" t="str">
        <f t="shared" si="4"/>
        <v/>
      </c>
      <c r="S35" s="37" t="str" cm="1">
        <f t="array" ref="S35">IFERROR(IF(SUMPRODUCT((INPUT!$M$3:$M$1000=$B$3+5)*(INPUT!$N$3:$N$1000="T")*(INPUT!$O$3:$O$1000="SEGO"))=0,"",SUMPRODUCT((INPUT!$M$3:$M$1000=$B$3+5)*(INPUT!$N$3:$N$1000="T")*(INPUT!$O$3:$O$1000="SEGO")*INPUT!$P$3:$P$1000)),"")</f>
        <v/>
      </c>
      <c r="T35" s="37" t="str" cm="1">
        <f t="array" ref="T35">IFERROR(IF(SUMPRODUCT((INPUT!$M$3:$M$1000=$B$3+5)*(INPUT!$N$3:$N$1000="T")*(INPUT!$O$3:$O$1000="SEGO"))=0,"",SUMPRODUCT((INPUT!$M$3:$M$1000=$B$3+5)*(INPUT!$N$3:$N$1000="T")*(INPUT!$O$3:$O$1000="SEGO")*INPUT!$Q$3:$Q$1000)),"")</f>
        <v/>
      </c>
      <c r="U35" s="37" t="str">
        <f t="shared" si="5"/>
        <v/>
      </c>
      <c r="V35" s="37" t="str" cm="1">
        <f t="array" ref="V35">IFERROR(IF(SUMPRODUCT((INPUT!$M$3:$M$1000=$B$3+6)*(INPUT!$N$3:$N$1000="T")*(INPUT!$O$3:$O$1000="SEGO"))=0,"",SUMPRODUCT((INPUT!$M$3:$M$1000=$B$3+6)*(INPUT!$N$3:$N$1000="T")*(INPUT!$O$3:$O$1000="SEGO")*INPUT!$P$3:$P$1000)),"")</f>
        <v/>
      </c>
      <c r="W35" s="37" t="str" cm="1">
        <f t="array" ref="W35">IFERROR(IF(SUMPRODUCT((INPUT!$M$3:$M$1000=$B$3+6)*(INPUT!$N$3:$N$1000="T")*(INPUT!$O$3:$O$1000="SEGO"))=0,"",SUMPRODUCT((INPUT!$M$3:$M$1000=$B$3+6)*(INPUT!$N$3:$N$1000="T")*(INPUT!$O$3:$O$1000="SEGO")*INPUT!$Q$3:$Q$1000)),"")</f>
        <v/>
      </c>
      <c r="X35" s="38" t="str">
        <f t="shared" si="6"/>
        <v/>
      </c>
    </row>
    <row r="36" spans="1:24" x14ac:dyDescent="0.2">
      <c r="A36" s="203">
        <v>16</v>
      </c>
      <c r="B36" s="204" t="s">
        <v>56</v>
      </c>
      <c r="C36" s="36" t="s">
        <v>70</v>
      </c>
      <c r="D36" s="37" t="str" cm="1">
        <f t="array" ref="D36">IFERROR(IF(SUMPRODUCT((INPUT!$M$3:$M$1000=$B$3+0)*(INPUT!$N$3:$N$1000="M")*(INPUT!$O$3:$O$1000="RUBIO"))=0,"",SUMPRODUCT((INPUT!$M$3:$M$1000=$B$3+0)*(INPUT!$N$3:$N$1000="M")*(INPUT!$O$3:$O$1000="RUBIO")*INPUT!$P$3:$P$1000)),"")</f>
        <v/>
      </c>
      <c r="E36" s="37" t="str" cm="1">
        <f t="array" ref="E36">IFERROR(IF(SUMPRODUCT((INPUT!$M$3:$M$1000=$B$3+0)*(INPUT!$N$3:$N$1000="M")*(INPUT!$O$3:$O$1000="RUBIO"))=0,"",SUMPRODUCT((INPUT!$M$3:$M$1000=$B$3+0)*(INPUT!$N$3:$N$1000="M")*(INPUT!$O$3:$O$1000="RUBIO")*INPUT!$Q$3:$Q$1000)),"")</f>
        <v/>
      </c>
      <c r="F36" s="37" t="str">
        <f t="shared" si="0"/>
        <v/>
      </c>
      <c r="G36" s="37" cm="1">
        <f t="array" ref="G36">IFERROR(IF(SUMPRODUCT((INPUT!$M$3:$M$1000=$B$3+1)*(INPUT!$N$3:$N$1000="M")*(INPUT!$O$3:$O$1000="RUBIO"))=0,"",SUMPRODUCT((INPUT!$M$3:$M$1000=$B$3+1)*(INPUT!$N$3:$N$1000="M")*(INPUT!$O$3:$O$1000="RUBIO")*INPUT!$P$3:$P$1000)),"")</f>
        <v>74.8</v>
      </c>
      <c r="H36" s="37" cm="1">
        <f t="array" ref="H36">IFERROR(IF(SUMPRODUCT((INPUT!$M$3:$M$1000=$B$3+1)*(INPUT!$N$3:$N$1000="M")*(INPUT!$O$3:$O$1000="RUBIO"))=0,"",SUMPRODUCT((INPUT!$M$3:$M$1000=$B$3+1)*(INPUT!$N$3:$N$1000="M")*(INPUT!$O$3:$O$1000="RUBIO")*INPUT!$Q$3:$Q$1000)),"")</f>
        <v>74.5</v>
      </c>
      <c r="I36" s="37">
        <f t="shared" si="1"/>
        <v>0.29999999999999716</v>
      </c>
      <c r="J36" s="37" cm="1">
        <f t="array" ref="J36">IFERROR(IF(SUMPRODUCT((INPUT!$M$3:$M$1000=$B$3+2)*(INPUT!$N$3:$N$1000="M")*(INPUT!$O$3:$O$1000="RUBIO"))=0,"",SUMPRODUCT((INPUT!$M$3:$M$1000=$B$3+2)*(INPUT!$N$3:$N$1000="M")*(INPUT!$O$3:$O$1000="RUBIO")*INPUT!$P$3:$P$1000)),"")</f>
        <v>74.8</v>
      </c>
      <c r="K36" s="37" cm="1">
        <f t="array" ref="K36">IFERROR(IF(SUMPRODUCT((INPUT!$M$3:$M$1000=$B$3+2)*(INPUT!$N$3:$N$1000="M")*(INPUT!$O$3:$O$1000="RUBIO"))=0,"",SUMPRODUCT((INPUT!$M$3:$M$1000=$B$3+2)*(INPUT!$N$3:$N$1000="M")*(INPUT!$O$3:$O$1000="RUBIO")*INPUT!$Q$3:$Q$1000)),"")</f>
        <v>74.7</v>
      </c>
      <c r="L36" s="37">
        <f t="shared" si="2"/>
        <v>9.9999999999994316E-2</v>
      </c>
      <c r="M36" s="37" cm="1">
        <f t="array" ref="M36">IFERROR(IF(SUMPRODUCT((INPUT!$M$3:$M$1000=$B$3+3)*(INPUT!$N$3:$N$1000="M")*(INPUT!$O$3:$O$1000="RUBIO"))=0,"",SUMPRODUCT((INPUT!$M$3:$M$1000=$B$3+3)*(INPUT!$N$3:$N$1000="M")*(INPUT!$O$3:$O$1000="RUBIO")*INPUT!$P$3:$P$1000)),"")</f>
        <v>74.8</v>
      </c>
      <c r="N36" s="37" cm="1">
        <f t="array" ref="N36">IFERROR(IF(SUMPRODUCT((INPUT!$M$3:$M$1000=$B$3+3)*(INPUT!$N$3:$N$1000="M")*(INPUT!$O$3:$O$1000="RUBIO"))=0,"",SUMPRODUCT((INPUT!$M$3:$M$1000=$B$3+3)*(INPUT!$N$3:$N$1000="M")*(INPUT!$O$3:$O$1000="RUBIO")*INPUT!$Q$3:$Q$1000)),"")</f>
        <v>74.7</v>
      </c>
      <c r="O36" s="37">
        <f t="shared" si="3"/>
        <v>9.9999999999994316E-2</v>
      </c>
      <c r="P36" s="37" cm="1">
        <f t="array" ref="P36">IFERROR(IF(SUMPRODUCT((INPUT!$M$3:$M$1000=$B$3+4)*(INPUT!$N$3:$N$1000="M")*(INPUT!$O$3:$O$1000="RUBIO"))=0,"",SUMPRODUCT((INPUT!$M$3:$M$1000=$B$3+4)*(INPUT!$N$3:$N$1000="M")*(INPUT!$O$3:$O$1000="RUBIO")*INPUT!$P$3:$P$1000)),"")</f>
        <v>74.7</v>
      </c>
      <c r="Q36" s="37" cm="1">
        <f t="array" ref="Q36">IFERROR(IF(SUMPRODUCT((INPUT!$M$3:$M$1000=$B$3+4)*(INPUT!$N$3:$N$1000="M")*(INPUT!$O$3:$O$1000="RUBIO"))=0,"",SUMPRODUCT((INPUT!$M$3:$M$1000=$B$3+4)*(INPUT!$N$3:$N$1000="M")*(INPUT!$O$3:$O$1000="RUBIO")*INPUT!$Q$3:$Q$1000)),"")</f>
        <v>74.7</v>
      </c>
      <c r="R36" s="37">
        <f t="shared" si="4"/>
        <v>0</v>
      </c>
      <c r="S36" s="37" t="str" cm="1">
        <f t="array" ref="S36">IFERROR(IF(SUMPRODUCT((INPUT!$M$3:$M$1000=$B$3+5)*(INPUT!$N$3:$N$1000="M")*(INPUT!$O$3:$O$1000="RUBIO"))=0,"",SUMPRODUCT((INPUT!$M$3:$M$1000=$B$3+5)*(INPUT!$N$3:$N$1000="M")*(INPUT!$O$3:$O$1000="RUBIO")*INPUT!$P$3:$P$1000)),"")</f>
        <v/>
      </c>
      <c r="T36" s="37" t="str" cm="1">
        <f t="array" ref="T36">IFERROR(IF(SUMPRODUCT((INPUT!$M$3:$M$1000=$B$3+5)*(INPUT!$N$3:$N$1000="M")*(INPUT!$O$3:$O$1000="RUBIO"))=0,"",SUMPRODUCT((INPUT!$M$3:$M$1000=$B$3+5)*(INPUT!$N$3:$N$1000="M")*(INPUT!$O$3:$O$1000="RUBIO")*INPUT!$Q$3:$Q$1000)),"")</f>
        <v/>
      </c>
      <c r="U36" s="37" t="str">
        <f t="shared" si="5"/>
        <v/>
      </c>
      <c r="V36" s="37" t="str" cm="1">
        <f t="array" ref="V36">IFERROR(IF(SUMPRODUCT((INPUT!$M$3:$M$1000=$B$3+6)*(INPUT!$N$3:$N$1000="M")*(INPUT!$O$3:$O$1000="RUBIO"))=0,"",SUMPRODUCT((INPUT!$M$3:$M$1000=$B$3+6)*(INPUT!$N$3:$N$1000="M")*(INPUT!$O$3:$O$1000="RUBIO")*INPUT!$P$3:$P$1000)),"")</f>
        <v/>
      </c>
      <c r="W36" s="37" t="str" cm="1">
        <f t="array" ref="W36">IFERROR(IF(SUMPRODUCT((INPUT!$M$3:$M$1000=$B$3+6)*(INPUT!$N$3:$N$1000="M")*(INPUT!$O$3:$O$1000="RUBIO"))=0,"",SUMPRODUCT((INPUT!$M$3:$M$1000=$B$3+6)*(INPUT!$N$3:$N$1000="M")*(INPUT!$O$3:$O$1000="RUBIO")*INPUT!$Q$3:$Q$1000)),"")</f>
        <v/>
      </c>
      <c r="X36" s="38" t="str">
        <f t="shared" si="6"/>
        <v/>
      </c>
    </row>
    <row r="37" spans="1:24" x14ac:dyDescent="0.2">
      <c r="A37" s="200"/>
      <c r="B37" s="202"/>
      <c r="C37" s="36" t="s">
        <v>71</v>
      </c>
      <c r="D37" s="37" t="str" cm="1">
        <f t="array" ref="D37">IFERROR(IF(SUMPRODUCT((INPUT!$M$3:$M$1000=$B$3+0)*(INPUT!$N$3:$N$1000="T")*(INPUT!$O$3:$O$1000="RUBIO"))=0,"",SUMPRODUCT((INPUT!$M$3:$M$1000=$B$3+0)*(INPUT!$N$3:$N$1000="T")*(INPUT!$O$3:$O$1000="RUBIO")*INPUT!$P$3:$P$1000)),"")</f>
        <v/>
      </c>
      <c r="E37" s="37" t="str" cm="1">
        <f t="array" ref="E37">IFERROR(IF(SUMPRODUCT((INPUT!$M$3:$M$1000=$B$3+0)*(INPUT!$N$3:$N$1000="T")*(INPUT!$O$3:$O$1000="RUBIO"))=0,"",SUMPRODUCT((INPUT!$M$3:$M$1000=$B$3+0)*(INPUT!$N$3:$N$1000="T")*(INPUT!$O$3:$O$1000="RUBIO")*INPUT!$Q$3:$Q$1000)),"")</f>
        <v/>
      </c>
      <c r="F37" s="37" t="str">
        <f t="shared" si="0"/>
        <v/>
      </c>
      <c r="G37" s="37" t="str" cm="1">
        <f t="array" ref="G37">IFERROR(IF(SUMPRODUCT((INPUT!$M$3:$M$1000=$B$3+1)*(INPUT!$N$3:$N$1000="T")*(INPUT!$O$3:$O$1000="RUBIO"))=0,"",SUMPRODUCT((INPUT!$M$3:$M$1000=$B$3+1)*(INPUT!$N$3:$N$1000="T")*(INPUT!$O$3:$O$1000="RUBIO")*INPUT!$P$3:$P$1000)),"")</f>
        <v/>
      </c>
      <c r="H37" s="37" t="str" cm="1">
        <f t="array" ref="H37">IFERROR(IF(SUMPRODUCT((INPUT!$M$3:$M$1000=$B$3+1)*(INPUT!$N$3:$N$1000="T")*(INPUT!$O$3:$O$1000="RUBIO"))=0,"",SUMPRODUCT((INPUT!$M$3:$M$1000=$B$3+1)*(INPUT!$N$3:$N$1000="T")*(INPUT!$O$3:$O$1000="RUBIO")*INPUT!$Q$3:$Q$1000)),"")</f>
        <v/>
      </c>
      <c r="I37" s="37" t="str">
        <f t="shared" si="1"/>
        <v/>
      </c>
      <c r="J37" s="37" t="str" cm="1">
        <f t="array" ref="J37">IFERROR(IF(SUMPRODUCT((INPUT!$M$3:$M$1000=$B$3+2)*(INPUT!$N$3:$N$1000="T")*(INPUT!$O$3:$O$1000="RUBIO"))=0,"",SUMPRODUCT((INPUT!$M$3:$M$1000=$B$3+2)*(INPUT!$N$3:$N$1000="T")*(INPUT!$O$3:$O$1000="RUBIO")*INPUT!$P$3:$P$1000)),"")</f>
        <v/>
      </c>
      <c r="K37" s="37" t="str" cm="1">
        <f t="array" ref="K37">IFERROR(IF(SUMPRODUCT((INPUT!$M$3:$M$1000=$B$3+2)*(INPUT!$N$3:$N$1000="T")*(INPUT!$O$3:$O$1000="RUBIO"))=0,"",SUMPRODUCT((INPUT!$M$3:$M$1000=$B$3+2)*(INPUT!$N$3:$N$1000="T")*(INPUT!$O$3:$O$1000="RUBIO")*INPUT!$Q$3:$Q$1000)),"")</f>
        <v/>
      </c>
      <c r="L37" s="37" t="str">
        <f t="shared" si="2"/>
        <v/>
      </c>
      <c r="M37" s="37" t="str" cm="1">
        <f t="array" ref="M37">IFERROR(IF(SUMPRODUCT((INPUT!$M$3:$M$1000=$B$3+3)*(INPUT!$N$3:$N$1000="T")*(INPUT!$O$3:$O$1000="RUBIO"))=0,"",SUMPRODUCT((INPUT!$M$3:$M$1000=$B$3+3)*(INPUT!$N$3:$N$1000="T")*(INPUT!$O$3:$O$1000="RUBIO")*INPUT!$P$3:$P$1000)),"")</f>
        <v/>
      </c>
      <c r="N37" s="37" t="str" cm="1">
        <f t="array" ref="N37">IFERROR(IF(SUMPRODUCT((INPUT!$M$3:$M$1000=$B$3+3)*(INPUT!$N$3:$N$1000="T")*(INPUT!$O$3:$O$1000="RUBIO"))=0,"",SUMPRODUCT((INPUT!$M$3:$M$1000=$B$3+3)*(INPUT!$N$3:$N$1000="T")*(INPUT!$O$3:$O$1000="RUBIO")*INPUT!$Q$3:$Q$1000)),"")</f>
        <v/>
      </c>
      <c r="O37" s="37" t="str">
        <f t="shared" si="3"/>
        <v/>
      </c>
      <c r="P37" s="37" t="str" cm="1">
        <f t="array" ref="P37">IFERROR(IF(SUMPRODUCT((INPUT!$M$3:$M$1000=$B$3+4)*(INPUT!$N$3:$N$1000="T")*(INPUT!$O$3:$O$1000="RUBIO"))=0,"",SUMPRODUCT((INPUT!$M$3:$M$1000=$B$3+4)*(INPUT!$N$3:$N$1000="T")*(INPUT!$O$3:$O$1000="RUBIO")*INPUT!$P$3:$P$1000)),"")</f>
        <v/>
      </c>
      <c r="Q37" s="37" t="str" cm="1">
        <f t="array" ref="Q37">IFERROR(IF(SUMPRODUCT((INPUT!$M$3:$M$1000=$B$3+4)*(INPUT!$N$3:$N$1000="T")*(INPUT!$O$3:$O$1000="RUBIO"))=0,"",SUMPRODUCT((INPUT!$M$3:$M$1000=$B$3+4)*(INPUT!$N$3:$N$1000="T")*(INPUT!$O$3:$O$1000="RUBIO")*INPUT!$Q$3:$Q$1000)),"")</f>
        <v/>
      </c>
      <c r="R37" s="37" t="str">
        <f t="shared" si="4"/>
        <v/>
      </c>
      <c r="S37" s="37" cm="1">
        <f t="array" ref="S37">IFERROR(IF(SUMPRODUCT((INPUT!$M$3:$M$1000=$B$3+5)*(INPUT!$N$3:$N$1000="T")*(INPUT!$O$3:$O$1000="RUBIO"))=0,"",SUMPRODUCT((INPUT!$M$3:$M$1000=$B$3+5)*(INPUT!$N$3:$N$1000="T")*(INPUT!$O$3:$O$1000="RUBIO")*INPUT!$P$3:$P$1000)),"")</f>
        <v>74.599999999999994</v>
      </c>
      <c r="T37" s="37" cm="1">
        <f t="array" ref="T37">IFERROR(IF(SUMPRODUCT((INPUT!$M$3:$M$1000=$B$3+5)*(INPUT!$N$3:$N$1000="T")*(INPUT!$O$3:$O$1000="RUBIO"))=0,"",SUMPRODUCT((INPUT!$M$3:$M$1000=$B$3+5)*(INPUT!$N$3:$N$1000="T")*(INPUT!$O$3:$O$1000="RUBIO")*INPUT!$Q$3:$Q$1000)),"")</f>
        <v>74.599999999999994</v>
      </c>
      <c r="U37" s="37">
        <f t="shared" si="5"/>
        <v>0</v>
      </c>
      <c r="V37" s="37" t="str" cm="1">
        <f t="array" ref="V37">IFERROR(IF(SUMPRODUCT((INPUT!$M$3:$M$1000=$B$3+6)*(INPUT!$N$3:$N$1000="T")*(INPUT!$O$3:$O$1000="RUBIO"))=0,"",SUMPRODUCT((INPUT!$M$3:$M$1000=$B$3+6)*(INPUT!$N$3:$N$1000="T")*(INPUT!$O$3:$O$1000="RUBIO")*INPUT!$P$3:$P$1000)),"")</f>
        <v/>
      </c>
      <c r="W37" s="37" t="str" cm="1">
        <f t="array" ref="W37">IFERROR(IF(SUMPRODUCT((INPUT!$M$3:$M$1000=$B$3+6)*(INPUT!$N$3:$N$1000="T")*(INPUT!$O$3:$O$1000="RUBIO"))=0,"",SUMPRODUCT((INPUT!$M$3:$M$1000=$B$3+6)*(INPUT!$N$3:$N$1000="T")*(INPUT!$O$3:$O$1000="RUBIO")*INPUT!$Q$3:$Q$1000)),"")</f>
        <v/>
      </c>
      <c r="X37" s="38" t="str">
        <f t="shared" si="6"/>
        <v/>
      </c>
    </row>
    <row r="38" spans="1:24" x14ac:dyDescent="0.2">
      <c r="A38" s="203">
        <v>17</v>
      </c>
      <c r="B38" s="204" t="s">
        <v>57</v>
      </c>
      <c r="C38" s="36" t="s">
        <v>70</v>
      </c>
      <c r="D38" s="37" t="str" cm="1">
        <f t="array" ref="D38">IFERROR(IF(SUMPRODUCT((INPUT!$M$3:$M$1000=$B$3+0)*(INPUT!$N$3:$N$1000="M")*(INPUT!$O$3:$O$1000="DANI"))=0,"",SUMPRODUCT((INPUT!$M$3:$M$1000=$B$3+0)*(INPUT!$N$3:$N$1000="M")*(INPUT!$O$3:$O$1000="DANI")*INPUT!$P$3:$P$1000)),"")</f>
        <v/>
      </c>
      <c r="E38" s="37" t="str" cm="1">
        <f t="array" ref="E38">IFERROR(IF(SUMPRODUCT((INPUT!$M$3:$M$1000=$B$3+0)*(INPUT!$N$3:$N$1000="M")*(INPUT!$O$3:$O$1000="DANI"))=0,"",SUMPRODUCT((INPUT!$M$3:$M$1000=$B$3+0)*(INPUT!$N$3:$N$1000="M")*(INPUT!$O$3:$O$1000="DANI")*INPUT!$Q$3:$Q$1000)),"")</f>
        <v/>
      </c>
      <c r="F38" s="37" t="str">
        <f t="shared" ref="F38:F55" si="7">IFERROR(IF(OR(D38="",E38=""),"",D38-E38),"")</f>
        <v/>
      </c>
      <c r="G38" s="37" cm="1">
        <f t="array" ref="G38">IFERROR(IF(SUMPRODUCT((INPUT!$M$3:$M$1000=$B$3+1)*(INPUT!$N$3:$N$1000="M")*(INPUT!$O$3:$O$1000="DANI"))=0,"",SUMPRODUCT((INPUT!$M$3:$M$1000=$B$3+1)*(INPUT!$N$3:$N$1000="M")*(INPUT!$O$3:$O$1000="DANI")*INPUT!$P$3:$P$1000)),"")</f>
        <v>93.2</v>
      </c>
      <c r="H38" s="37" cm="1">
        <f t="array" ref="H38">IFERROR(IF(SUMPRODUCT((INPUT!$M$3:$M$1000=$B$3+1)*(INPUT!$N$3:$N$1000="M")*(INPUT!$O$3:$O$1000="DANI"))=0,"",SUMPRODUCT((INPUT!$M$3:$M$1000=$B$3+1)*(INPUT!$N$3:$N$1000="M")*(INPUT!$O$3:$O$1000="DANI")*INPUT!$Q$3:$Q$1000)),"")</f>
        <v>92.8</v>
      </c>
      <c r="I38" s="37">
        <f t="shared" ref="I38:I55" si="8">IFERROR(IF(OR(G38="",H38=""),"",G38-H38),"")</f>
        <v>0.40000000000000568</v>
      </c>
      <c r="J38" s="37" t="str" cm="1">
        <f t="array" ref="J38">IFERROR(IF(SUMPRODUCT((INPUT!$M$3:$M$1000=$B$3+2)*(INPUT!$N$3:$N$1000="M")*(INPUT!$O$3:$O$1000="DANI"))=0,"",SUMPRODUCT((INPUT!$M$3:$M$1000=$B$3+2)*(INPUT!$N$3:$N$1000="M")*(INPUT!$O$3:$O$1000="DANI")*INPUT!$P$3:$P$1000)),"")</f>
        <v/>
      </c>
      <c r="K38" s="37" t="str" cm="1">
        <f t="array" ref="K38">IFERROR(IF(SUMPRODUCT((INPUT!$M$3:$M$1000=$B$3+2)*(INPUT!$N$3:$N$1000="M")*(INPUT!$O$3:$O$1000="DANI"))=0,"",SUMPRODUCT((INPUT!$M$3:$M$1000=$B$3+2)*(INPUT!$N$3:$N$1000="M")*(INPUT!$O$3:$O$1000="DANI")*INPUT!$Q$3:$Q$1000)),"")</f>
        <v/>
      </c>
      <c r="L38" s="37" t="str">
        <f t="shared" ref="L38:L55" si="9">IFERROR(IF(OR(J38="",K38=""),"",J38-K38),"")</f>
        <v/>
      </c>
      <c r="M38" s="37" t="str" cm="1">
        <f t="array" ref="M38">IFERROR(IF(SUMPRODUCT((INPUT!$M$3:$M$1000=$B$3+3)*(INPUT!$N$3:$N$1000="M")*(INPUT!$O$3:$O$1000="DANI"))=0,"",SUMPRODUCT((INPUT!$M$3:$M$1000=$B$3+3)*(INPUT!$N$3:$N$1000="M")*(INPUT!$O$3:$O$1000="DANI")*INPUT!$P$3:$P$1000)),"")</f>
        <v/>
      </c>
      <c r="N38" s="37" t="str" cm="1">
        <f t="array" ref="N38">IFERROR(IF(SUMPRODUCT((INPUT!$M$3:$M$1000=$B$3+3)*(INPUT!$N$3:$N$1000="M")*(INPUT!$O$3:$O$1000="DANI"))=0,"",SUMPRODUCT((INPUT!$M$3:$M$1000=$B$3+3)*(INPUT!$N$3:$N$1000="M")*(INPUT!$O$3:$O$1000="DANI")*INPUT!$Q$3:$Q$1000)),"")</f>
        <v/>
      </c>
      <c r="O38" s="37" t="str">
        <f t="shared" ref="O38:O55" si="10">IFERROR(IF(OR(M38="",N38=""),"",M38-N38),"")</f>
        <v/>
      </c>
      <c r="P38" s="37" cm="1">
        <f t="array" ref="P38">IFERROR(IF(SUMPRODUCT((INPUT!$M$3:$M$1000=$B$3+4)*(INPUT!$N$3:$N$1000="M")*(INPUT!$O$3:$O$1000="DANI"))=0,"",SUMPRODUCT((INPUT!$M$3:$M$1000=$B$3+4)*(INPUT!$N$3:$N$1000="M")*(INPUT!$O$3:$O$1000="DANI")*INPUT!$P$3:$P$1000)),"")</f>
        <v>93.2</v>
      </c>
      <c r="Q38" s="37" cm="1">
        <f t="array" ref="Q38">IFERROR(IF(SUMPRODUCT((INPUT!$M$3:$M$1000=$B$3+4)*(INPUT!$N$3:$N$1000="M")*(INPUT!$O$3:$O$1000="DANI"))=0,"",SUMPRODUCT((INPUT!$M$3:$M$1000=$B$3+4)*(INPUT!$N$3:$N$1000="M")*(INPUT!$O$3:$O$1000="DANI")*INPUT!$Q$3:$Q$1000)),"")</f>
        <v>93.6</v>
      </c>
      <c r="R38" s="37">
        <f t="shared" ref="R38:R55" si="11">IFERROR(IF(OR(P38="",Q38=""),"",P38-Q38),"")</f>
        <v>-0.39999999999999147</v>
      </c>
      <c r="S38" s="37" t="str" cm="1">
        <f t="array" ref="S38">IFERROR(IF(SUMPRODUCT((INPUT!$M$3:$M$1000=$B$3+5)*(INPUT!$N$3:$N$1000="M")*(INPUT!$O$3:$O$1000="DANI"))=0,"",SUMPRODUCT((INPUT!$M$3:$M$1000=$B$3+5)*(INPUT!$N$3:$N$1000="M")*(INPUT!$O$3:$O$1000="DANI")*INPUT!$P$3:$P$1000)),"")</f>
        <v/>
      </c>
      <c r="T38" s="37" t="str" cm="1">
        <f t="array" ref="T38">IFERROR(IF(SUMPRODUCT((INPUT!$M$3:$M$1000=$B$3+5)*(INPUT!$N$3:$N$1000="M")*(INPUT!$O$3:$O$1000="DANI"))=0,"",SUMPRODUCT((INPUT!$M$3:$M$1000=$B$3+5)*(INPUT!$N$3:$N$1000="M")*(INPUT!$O$3:$O$1000="DANI")*INPUT!$Q$3:$Q$1000)),"")</f>
        <v/>
      </c>
      <c r="U38" s="37" t="str">
        <f t="shared" ref="U38:U55" si="12">IFERROR(IF(OR(S38="",T38=""),"",S38-T38),"")</f>
        <v/>
      </c>
      <c r="V38" s="37" t="str" cm="1">
        <f t="array" ref="V38">IFERROR(IF(SUMPRODUCT((INPUT!$M$3:$M$1000=$B$3+6)*(INPUT!$N$3:$N$1000="M")*(INPUT!$O$3:$O$1000="DANI"))=0,"",SUMPRODUCT((INPUT!$M$3:$M$1000=$B$3+6)*(INPUT!$N$3:$N$1000="M")*(INPUT!$O$3:$O$1000="DANI")*INPUT!$P$3:$P$1000)),"")</f>
        <v/>
      </c>
      <c r="W38" s="37" t="str" cm="1">
        <f t="array" ref="W38">IFERROR(IF(SUMPRODUCT((INPUT!$M$3:$M$1000=$B$3+6)*(INPUT!$N$3:$N$1000="M")*(INPUT!$O$3:$O$1000="DANI"))=0,"",SUMPRODUCT((INPUT!$M$3:$M$1000=$B$3+6)*(INPUT!$N$3:$N$1000="M")*(INPUT!$O$3:$O$1000="DANI")*INPUT!$Q$3:$Q$1000)),"")</f>
        <v/>
      </c>
      <c r="X38" s="38" t="str">
        <f t="shared" ref="X38:X55" si="13">IFERROR(IF(OR(V38="",W38=""),"",V38-W38),"")</f>
        <v/>
      </c>
    </row>
    <row r="39" spans="1:24" x14ac:dyDescent="0.2">
      <c r="A39" s="200"/>
      <c r="B39" s="202"/>
      <c r="C39" s="36" t="s">
        <v>71</v>
      </c>
      <c r="D39" s="37" t="str" cm="1">
        <f t="array" ref="D39">IFERROR(IF(SUMPRODUCT((INPUT!$M$3:$M$1000=$B$3+0)*(INPUT!$N$3:$N$1000="T")*(INPUT!$O$3:$O$1000="DANI"))=0,"",SUMPRODUCT((INPUT!$M$3:$M$1000=$B$3+0)*(INPUT!$N$3:$N$1000="T")*(INPUT!$O$3:$O$1000="DANI")*INPUT!$P$3:$P$1000)),"")</f>
        <v/>
      </c>
      <c r="E39" s="37" t="str" cm="1">
        <f t="array" ref="E39">IFERROR(IF(SUMPRODUCT((INPUT!$M$3:$M$1000=$B$3+0)*(INPUT!$N$3:$N$1000="T")*(INPUT!$O$3:$O$1000="DANI"))=0,"",SUMPRODUCT((INPUT!$M$3:$M$1000=$B$3+0)*(INPUT!$N$3:$N$1000="T")*(INPUT!$O$3:$O$1000="DANI")*INPUT!$Q$3:$Q$1000)),"")</f>
        <v/>
      </c>
      <c r="F39" s="37" t="str">
        <f t="shared" si="7"/>
        <v/>
      </c>
      <c r="G39" s="37" t="str" cm="1">
        <f t="array" ref="G39">IFERROR(IF(SUMPRODUCT((INPUT!$M$3:$M$1000=$B$3+1)*(INPUT!$N$3:$N$1000="T")*(INPUT!$O$3:$O$1000="DANI"))=0,"",SUMPRODUCT((INPUT!$M$3:$M$1000=$B$3+1)*(INPUT!$N$3:$N$1000="T")*(INPUT!$O$3:$O$1000="DANI")*INPUT!$P$3:$P$1000)),"")</f>
        <v/>
      </c>
      <c r="H39" s="37" t="str" cm="1">
        <f t="array" ref="H39">IFERROR(IF(SUMPRODUCT((INPUT!$M$3:$M$1000=$B$3+1)*(INPUT!$N$3:$N$1000="T")*(INPUT!$O$3:$O$1000="DANI"))=0,"",SUMPRODUCT((INPUT!$M$3:$M$1000=$B$3+1)*(INPUT!$N$3:$N$1000="T")*(INPUT!$O$3:$O$1000="DANI")*INPUT!$Q$3:$Q$1000)),"")</f>
        <v/>
      </c>
      <c r="I39" s="37" t="str">
        <f t="shared" si="8"/>
        <v/>
      </c>
      <c r="J39" s="37" t="str" cm="1">
        <f t="array" ref="J39">IFERROR(IF(SUMPRODUCT((INPUT!$M$3:$M$1000=$B$3+2)*(INPUT!$N$3:$N$1000="T")*(INPUT!$O$3:$O$1000="DANI"))=0,"",SUMPRODUCT((INPUT!$M$3:$M$1000=$B$3+2)*(INPUT!$N$3:$N$1000="T")*(INPUT!$O$3:$O$1000="DANI")*INPUT!$P$3:$P$1000)),"")</f>
        <v/>
      </c>
      <c r="K39" s="37" t="str" cm="1">
        <f t="array" ref="K39">IFERROR(IF(SUMPRODUCT((INPUT!$M$3:$M$1000=$B$3+2)*(INPUT!$N$3:$N$1000="T")*(INPUT!$O$3:$O$1000="DANI"))=0,"",SUMPRODUCT((INPUT!$M$3:$M$1000=$B$3+2)*(INPUT!$N$3:$N$1000="T")*(INPUT!$O$3:$O$1000="DANI")*INPUT!$Q$3:$Q$1000)),"")</f>
        <v/>
      </c>
      <c r="L39" s="37" t="str">
        <f t="shared" si="9"/>
        <v/>
      </c>
      <c r="M39" s="37" t="str" cm="1">
        <f t="array" ref="M39">IFERROR(IF(SUMPRODUCT((INPUT!$M$3:$M$1000=$B$3+3)*(INPUT!$N$3:$N$1000="T")*(INPUT!$O$3:$O$1000="DANI"))=0,"",SUMPRODUCT((INPUT!$M$3:$M$1000=$B$3+3)*(INPUT!$N$3:$N$1000="T")*(INPUT!$O$3:$O$1000="DANI")*INPUT!$P$3:$P$1000)),"")</f>
        <v/>
      </c>
      <c r="N39" s="37" t="str" cm="1">
        <f t="array" ref="N39">IFERROR(IF(SUMPRODUCT((INPUT!$M$3:$M$1000=$B$3+3)*(INPUT!$N$3:$N$1000="T")*(INPUT!$O$3:$O$1000="DANI"))=0,"",SUMPRODUCT((INPUT!$M$3:$M$1000=$B$3+3)*(INPUT!$N$3:$N$1000="T")*(INPUT!$O$3:$O$1000="DANI")*INPUT!$Q$3:$Q$1000)),"")</f>
        <v/>
      </c>
      <c r="O39" s="37" t="str">
        <f t="shared" si="10"/>
        <v/>
      </c>
      <c r="P39" s="37" t="str" cm="1">
        <f t="array" ref="P39">IFERROR(IF(SUMPRODUCT((INPUT!$M$3:$M$1000=$B$3+4)*(INPUT!$N$3:$N$1000="T")*(INPUT!$O$3:$O$1000="DANI"))=0,"",SUMPRODUCT((INPUT!$M$3:$M$1000=$B$3+4)*(INPUT!$N$3:$N$1000="T")*(INPUT!$O$3:$O$1000="DANI")*INPUT!$P$3:$P$1000)),"")</f>
        <v/>
      </c>
      <c r="Q39" s="37" t="str" cm="1">
        <f t="array" ref="Q39">IFERROR(IF(SUMPRODUCT((INPUT!$M$3:$M$1000=$B$3+4)*(INPUT!$N$3:$N$1000="T")*(INPUT!$O$3:$O$1000="DANI"))=0,"",SUMPRODUCT((INPUT!$M$3:$M$1000=$B$3+4)*(INPUT!$N$3:$N$1000="T")*(INPUT!$O$3:$O$1000="DANI")*INPUT!$Q$3:$Q$1000)),"")</f>
        <v/>
      </c>
      <c r="R39" s="37" t="str">
        <f t="shared" si="11"/>
        <v/>
      </c>
      <c r="S39" s="37" cm="1">
        <f t="array" ref="S39">IFERROR(IF(SUMPRODUCT((INPUT!$M$3:$M$1000=$B$3+5)*(INPUT!$N$3:$N$1000="T")*(INPUT!$O$3:$O$1000="DANI"))=0,"",SUMPRODUCT((INPUT!$M$3:$M$1000=$B$3+5)*(INPUT!$N$3:$N$1000="T")*(INPUT!$O$3:$O$1000="DANI")*INPUT!$P$3:$P$1000)),"")</f>
        <v>93.4</v>
      </c>
      <c r="T39" s="37" cm="1">
        <f t="array" ref="T39">IFERROR(IF(SUMPRODUCT((INPUT!$M$3:$M$1000=$B$3+5)*(INPUT!$N$3:$N$1000="T")*(INPUT!$O$3:$O$1000="DANI"))=0,"",SUMPRODUCT((INPUT!$M$3:$M$1000=$B$3+5)*(INPUT!$N$3:$N$1000="T")*(INPUT!$O$3:$O$1000="DANI")*INPUT!$Q$3:$Q$1000)),"")</f>
        <v>93</v>
      </c>
      <c r="U39" s="37">
        <f t="shared" si="12"/>
        <v>0.40000000000000568</v>
      </c>
      <c r="V39" s="37" t="str" cm="1">
        <f t="array" ref="V39">IFERROR(IF(SUMPRODUCT((INPUT!$M$3:$M$1000=$B$3+6)*(INPUT!$N$3:$N$1000="T")*(INPUT!$O$3:$O$1000="DANI"))=0,"",SUMPRODUCT((INPUT!$M$3:$M$1000=$B$3+6)*(INPUT!$N$3:$N$1000="T")*(INPUT!$O$3:$O$1000="DANI")*INPUT!$P$3:$P$1000)),"")</f>
        <v/>
      </c>
      <c r="W39" s="37" t="str" cm="1">
        <f t="array" ref="W39">IFERROR(IF(SUMPRODUCT((INPUT!$M$3:$M$1000=$B$3+6)*(INPUT!$N$3:$N$1000="T")*(INPUT!$O$3:$O$1000="DANI"))=0,"",SUMPRODUCT((INPUT!$M$3:$M$1000=$B$3+6)*(INPUT!$N$3:$N$1000="T")*(INPUT!$O$3:$O$1000="DANI")*INPUT!$Q$3:$Q$1000)),"")</f>
        <v/>
      </c>
      <c r="X39" s="38" t="str">
        <f t="shared" si="13"/>
        <v/>
      </c>
    </row>
    <row r="40" spans="1:24" x14ac:dyDescent="0.2">
      <c r="A40" s="203">
        <v>18</v>
      </c>
      <c r="B40" s="204" t="s">
        <v>58</v>
      </c>
      <c r="C40" s="36" t="s">
        <v>70</v>
      </c>
      <c r="D40" s="37" t="str" cm="1">
        <f t="array" ref="D40">IFERROR(IF(SUMPRODUCT((INPUT!$M$3:$M$1000=$B$3+0)*(INPUT!$N$3:$N$1000="M")*(INPUT!$O$3:$O$1000="JAIME"))=0,"",SUMPRODUCT((INPUT!$M$3:$M$1000=$B$3+0)*(INPUT!$N$3:$N$1000="M")*(INPUT!$O$3:$O$1000="JAIME")*INPUT!$P$3:$P$1000)),"")</f>
        <v/>
      </c>
      <c r="E40" s="37" t="str" cm="1">
        <f t="array" ref="E40">IFERROR(IF(SUMPRODUCT((INPUT!$M$3:$M$1000=$B$3+0)*(INPUT!$N$3:$N$1000="M")*(INPUT!$O$3:$O$1000="JAIME"))=0,"",SUMPRODUCT((INPUT!$M$3:$M$1000=$B$3+0)*(INPUT!$N$3:$N$1000="M")*(INPUT!$O$3:$O$1000="JAIME")*INPUT!$Q$3:$Q$1000)),"")</f>
        <v/>
      </c>
      <c r="F40" s="37" t="str">
        <f t="shared" si="7"/>
        <v/>
      </c>
      <c r="G40" s="37" t="str" cm="1">
        <f t="array" ref="G40">IFERROR(IF(SUMPRODUCT((INPUT!$M$3:$M$1000=$B$3+1)*(INPUT!$N$3:$N$1000="M")*(INPUT!$O$3:$O$1000="JAIME"))=0,"",SUMPRODUCT((INPUT!$M$3:$M$1000=$B$3+1)*(INPUT!$N$3:$N$1000="M")*(INPUT!$O$3:$O$1000="JAIME")*INPUT!$P$3:$P$1000)),"")</f>
        <v/>
      </c>
      <c r="H40" s="37" t="str" cm="1">
        <f t="array" ref="H40">IFERROR(IF(SUMPRODUCT((INPUT!$M$3:$M$1000=$B$3+1)*(INPUT!$N$3:$N$1000="M")*(INPUT!$O$3:$O$1000="JAIME"))=0,"",SUMPRODUCT((INPUT!$M$3:$M$1000=$B$3+1)*(INPUT!$N$3:$N$1000="M")*(INPUT!$O$3:$O$1000="JAIME")*INPUT!$Q$3:$Q$1000)),"")</f>
        <v/>
      </c>
      <c r="I40" s="37" t="str">
        <f t="shared" si="8"/>
        <v/>
      </c>
      <c r="J40" s="37" t="str" cm="1">
        <f t="array" ref="J40">IFERROR(IF(SUMPRODUCT((INPUT!$M$3:$M$1000=$B$3+2)*(INPUT!$N$3:$N$1000="M")*(INPUT!$O$3:$O$1000="JAIME"))=0,"",SUMPRODUCT((INPUT!$M$3:$M$1000=$B$3+2)*(INPUT!$N$3:$N$1000="M")*(INPUT!$O$3:$O$1000="JAIME")*INPUT!$P$3:$P$1000)),"")</f>
        <v/>
      </c>
      <c r="K40" s="37" t="str" cm="1">
        <f t="array" ref="K40">IFERROR(IF(SUMPRODUCT((INPUT!$M$3:$M$1000=$B$3+2)*(INPUT!$N$3:$N$1000="M")*(INPUT!$O$3:$O$1000="JAIME"))=0,"",SUMPRODUCT((INPUT!$M$3:$M$1000=$B$3+2)*(INPUT!$N$3:$N$1000="M")*(INPUT!$O$3:$O$1000="JAIME")*INPUT!$Q$3:$Q$1000)),"")</f>
        <v/>
      </c>
      <c r="L40" s="37" t="str">
        <f t="shared" si="9"/>
        <v/>
      </c>
      <c r="M40" s="37" t="str" cm="1">
        <f t="array" ref="M40">IFERROR(IF(SUMPRODUCT((INPUT!$M$3:$M$1000=$B$3+3)*(INPUT!$N$3:$N$1000="M")*(INPUT!$O$3:$O$1000="JAIME"))=0,"",SUMPRODUCT((INPUT!$M$3:$M$1000=$B$3+3)*(INPUT!$N$3:$N$1000="M")*(INPUT!$O$3:$O$1000="JAIME")*INPUT!$P$3:$P$1000)),"")</f>
        <v/>
      </c>
      <c r="N40" s="37" t="str" cm="1">
        <f t="array" ref="N40">IFERROR(IF(SUMPRODUCT((INPUT!$M$3:$M$1000=$B$3+3)*(INPUT!$N$3:$N$1000="M")*(INPUT!$O$3:$O$1000="JAIME"))=0,"",SUMPRODUCT((INPUT!$M$3:$M$1000=$B$3+3)*(INPUT!$N$3:$N$1000="M")*(INPUT!$O$3:$O$1000="JAIME")*INPUT!$Q$3:$Q$1000)),"")</f>
        <v/>
      </c>
      <c r="O40" s="37" t="str">
        <f t="shared" si="10"/>
        <v/>
      </c>
      <c r="P40" s="37" t="str" cm="1">
        <f t="array" ref="P40">IFERROR(IF(SUMPRODUCT((INPUT!$M$3:$M$1000=$B$3+4)*(INPUT!$N$3:$N$1000="M")*(INPUT!$O$3:$O$1000="JAIME"))=0,"",SUMPRODUCT((INPUT!$M$3:$M$1000=$B$3+4)*(INPUT!$N$3:$N$1000="M")*(INPUT!$O$3:$O$1000="JAIME")*INPUT!$P$3:$P$1000)),"")</f>
        <v/>
      </c>
      <c r="Q40" s="37" t="str" cm="1">
        <f t="array" ref="Q40">IFERROR(IF(SUMPRODUCT((INPUT!$M$3:$M$1000=$B$3+4)*(INPUT!$N$3:$N$1000="M")*(INPUT!$O$3:$O$1000="JAIME"))=0,"",SUMPRODUCT((INPUT!$M$3:$M$1000=$B$3+4)*(INPUT!$N$3:$N$1000="M")*(INPUT!$O$3:$O$1000="JAIME")*INPUT!$Q$3:$Q$1000)),"")</f>
        <v/>
      </c>
      <c r="R40" s="37" t="str">
        <f t="shared" si="11"/>
        <v/>
      </c>
      <c r="S40" s="37" t="str" cm="1">
        <f t="array" ref="S40">IFERROR(IF(SUMPRODUCT((INPUT!$M$3:$M$1000=$B$3+5)*(INPUT!$N$3:$N$1000="M")*(INPUT!$O$3:$O$1000="JAIME"))=0,"",SUMPRODUCT((INPUT!$M$3:$M$1000=$B$3+5)*(INPUT!$N$3:$N$1000="M")*(INPUT!$O$3:$O$1000="JAIME")*INPUT!$P$3:$P$1000)),"")</f>
        <v/>
      </c>
      <c r="T40" s="37" t="str" cm="1">
        <f t="array" ref="T40">IFERROR(IF(SUMPRODUCT((INPUT!$M$3:$M$1000=$B$3+5)*(INPUT!$N$3:$N$1000="M")*(INPUT!$O$3:$O$1000="JAIME"))=0,"",SUMPRODUCT((INPUT!$M$3:$M$1000=$B$3+5)*(INPUT!$N$3:$N$1000="M")*(INPUT!$O$3:$O$1000="JAIME")*INPUT!$Q$3:$Q$1000)),"")</f>
        <v/>
      </c>
      <c r="U40" s="37" t="str">
        <f t="shared" si="12"/>
        <v/>
      </c>
      <c r="V40" s="37" t="str" cm="1">
        <f t="array" ref="V40">IFERROR(IF(SUMPRODUCT((INPUT!$M$3:$M$1000=$B$3+6)*(INPUT!$N$3:$N$1000="M")*(INPUT!$O$3:$O$1000="JAIME"))=0,"",SUMPRODUCT((INPUT!$M$3:$M$1000=$B$3+6)*(INPUT!$N$3:$N$1000="M")*(INPUT!$O$3:$O$1000="JAIME")*INPUT!$P$3:$P$1000)),"")</f>
        <v/>
      </c>
      <c r="W40" s="37" t="str" cm="1">
        <f t="array" ref="W40">IFERROR(IF(SUMPRODUCT((INPUT!$M$3:$M$1000=$B$3+6)*(INPUT!$N$3:$N$1000="M")*(INPUT!$O$3:$O$1000="JAIME"))=0,"",SUMPRODUCT((INPUT!$M$3:$M$1000=$B$3+6)*(INPUT!$N$3:$N$1000="M")*(INPUT!$O$3:$O$1000="JAIME")*INPUT!$Q$3:$Q$1000)),"")</f>
        <v/>
      </c>
      <c r="X40" s="38" t="str">
        <f t="shared" si="13"/>
        <v/>
      </c>
    </row>
    <row r="41" spans="1:24" x14ac:dyDescent="0.2">
      <c r="A41" s="200"/>
      <c r="B41" s="202"/>
      <c r="C41" s="36" t="s">
        <v>71</v>
      </c>
      <c r="D41" s="37" t="str" cm="1">
        <f t="array" ref="D41">IFERROR(IF(SUMPRODUCT((INPUT!$M$3:$M$1000=$B$3+0)*(INPUT!$N$3:$N$1000="T")*(INPUT!$O$3:$O$1000="JAIME"))=0,"",SUMPRODUCT((INPUT!$M$3:$M$1000=$B$3+0)*(INPUT!$N$3:$N$1000="T")*(INPUT!$O$3:$O$1000="JAIME")*INPUT!$P$3:$P$1000)),"")</f>
        <v/>
      </c>
      <c r="E41" s="37" t="str" cm="1">
        <f t="array" ref="E41">IFERROR(IF(SUMPRODUCT((INPUT!$M$3:$M$1000=$B$3+0)*(INPUT!$N$3:$N$1000="T")*(INPUT!$O$3:$O$1000="JAIME"))=0,"",SUMPRODUCT((INPUT!$M$3:$M$1000=$B$3+0)*(INPUT!$N$3:$N$1000="T")*(INPUT!$O$3:$O$1000="JAIME")*INPUT!$Q$3:$Q$1000)),"")</f>
        <v/>
      </c>
      <c r="F41" s="37" t="str">
        <f t="shared" si="7"/>
        <v/>
      </c>
      <c r="G41" s="37" t="str" cm="1">
        <f t="array" ref="G41">IFERROR(IF(SUMPRODUCT((INPUT!$M$3:$M$1000=$B$3+1)*(INPUT!$N$3:$N$1000="T")*(INPUT!$O$3:$O$1000="JAIME"))=0,"",SUMPRODUCT((INPUT!$M$3:$M$1000=$B$3+1)*(INPUT!$N$3:$N$1000="T")*(INPUT!$O$3:$O$1000="JAIME")*INPUT!$P$3:$P$1000)),"")</f>
        <v/>
      </c>
      <c r="H41" s="37" t="str" cm="1">
        <f t="array" ref="H41">IFERROR(IF(SUMPRODUCT((INPUT!$M$3:$M$1000=$B$3+1)*(INPUT!$N$3:$N$1000="T")*(INPUT!$O$3:$O$1000="JAIME"))=0,"",SUMPRODUCT((INPUT!$M$3:$M$1000=$B$3+1)*(INPUT!$N$3:$N$1000="T")*(INPUT!$O$3:$O$1000="JAIME")*INPUT!$Q$3:$Q$1000)),"")</f>
        <v/>
      </c>
      <c r="I41" s="37" t="str">
        <f t="shared" si="8"/>
        <v/>
      </c>
      <c r="J41" s="37" t="str" cm="1">
        <f t="array" ref="J41">IFERROR(IF(SUMPRODUCT((INPUT!$M$3:$M$1000=$B$3+2)*(INPUT!$N$3:$N$1000="T")*(INPUT!$O$3:$O$1000="JAIME"))=0,"",SUMPRODUCT((INPUT!$M$3:$M$1000=$B$3+2)*(INPUT!$N$3:$N$1000="T")*(INPUT!$O$3:$O$1000="JAIME")*INPUT!$P$3:$P$1000)),"")</f>
        <v/>
      </c>
      <c r="K41" s="37" t="str" cm="1">
        <f t="array" ref="K41">IFERROR(IF(SUMPRODUCT((INPUT!$M$3:$M$1000=$B$3+2)*(INPUT!$N$3:$N$1000="T")*(INPUT!$O$3:$O$1000="JAIME"))=0,"",SUMPRODUCT((INPUT!$M$3:$M$1000=$B$3+2)*(INPUT!$N$3:$N$1000="T")*(INPUT!$O$3:$O$1000="JAIME")*INPUT!$Q$3:$Q$1000)),"")</f>
        <v/>
      </c>
      <c r="L41" s="37" t="str">
        <f t="shared" si="9"/>
        <v/>
      </c>
      <c r="M41" s="37" t="str" cm="1">
        <f t="array" ref="M41">IFERROR(IF(SUMPRODUCT((INPUT!$M$3:$M$1000=$B$3+3)*(INPUT!$N$3:$N$1000="T")*(INPUT!$O$3:$O$1000="JAIME"))=0,"",SUMPRODUCT((INPUT!$M$3:$M$1000=$B$3+3)*(INPUT!$N$3:$N$1000="T")*(INPUT!$O$3:$O$1000="JAIME")*INPUT!$P$3:$P$1000)),"")</f>
        <v/>
      </c>
      <c r="N41" s="37" t="str" cm="1">
        <f t="array" ref="N41">IFERROR(IF(SUMPRODUCT((INPUT!$M$3:$M$1000=$B$3+3)*(INPUT!$N$3:$N$1000="T")*(INPUT!$O$3:$O$1000="JAIME"))=0,"",SUMPRODUCT((INPUT!$M$3:$M$1000=$B$3+3)*(INPUT!$N$3:$N$1000="T")*(INPUT!$O$3:$O$1000="JAIME")*INPUT!$Q$3:$Q$1000)),"")</f>
        <v/>
      </c>
      <c r="O41" s="37" t="str">
        <f t="shared" si="10"/>
        <v/>
      </c>
      <c r="P41" s="37" t="str" cm="1">
        <f t="array" ref="P41">IFERROR(IF(SUMPRODUCT((INPUT!$M$3:$M$1000=$B$3+4)*(INPUT!$N$3:$N$1000="T")*(INPUT!$O$3:$O$1000="JAIME"))=0,"",SUMPRODUCT((INPUT!$M$3:$M$1000=$B$3+4)*(INPUT!$N$3:$N$1000="T")*(INPUT!$O$3:$O$1000="JAIME")*INPUT!$P$3:$P$1000)),"")</f>
        <v/>
      </c>
      <c r="Q41" s="37" t="str" cm="1">
        <f t="array" ref="Q41">IFERROR(IF(SUMPRODUCT((INPUT!$M$3:$M$1000=$B$3+4)*(INPUT!$N$3:$N$1000="T")*(INPUT!$O$3:$O$1000="JAIME"))=0,"",SUMPRODUCT((INPUT!$M$3:$M$1000=$B$3+4)*(INPUT!$N$3:$N$1000="T")*(INPUT!$O$3:$O$1000="JAIME")*INPUT!$Q$3:$Q$1000)),"")</f>
        <v/>
      </c>
      <c r="R41" s="37" t="str">
        <f t="shared" si="11"/>
        <v/>
      </c>
      <c r="S41" s="37" t="str" cm="1">
        <f t="array" ref="S41">IFERROR(IF(SUMPRODUCT((INPUT!$M$3:$M$1000=$B$3+5)*(INPUT!$N$3:$N$1000="T")*(INPUT!$O$3:$O$1000="JAIME"))=0,"",SUMPRODUCT((INPUT!$M$3:$M$1000=$B$3+5)*(INPUT!$N$3:$N$1000="T")*(INPUT!$O$3:$O$1000="JAIME")*INPUT!$P$3:$P$1000)),"")</f>
        <v/>
      </c>
      <c r="T41" s="37" t="str" cm="1">
        <f t="array" ref="T41">IFERROR(IF(SUMPRODUCT((INPUT!$M$3:$M$1000=$B$3+5)*(INPUT!$N$3:$N$1000="T")*(INPUT!$O$3:$O$1000="JAIME"))=0,"",SUMPRODUCT((INPUT!$M$3:$M$1000=$B$3+5)*(INPUT!$N$3:$N$1000="T")*(INPUT!$O$3:$O$1000="JAIME")*INPUT!$Q$3:$Q$1000)),"")</f>
        <v/>
      </c>
      <c r="U41" s="37" t="str">
        <f t="shared" si="12"/>
        <v/>
      </c>
      <c r="V41" s="37" t="str" cm="1">
        <f t="array" ref="V41">IFERROR(IF(SUMPRODUCT((INPUT!$M$3:$M$1000=$B$3+6)*(INPUT!$N$3:$N$1000="T")*(INPUT!$O$3:$O$1000="JAIME"))=0,"",SUMPRODUCT((INPUT!$M$3:$M$1000=$B$3+6)*(INPUT!$N$3:$N$1000="T")*(INPUT!$O$3:$O$1000="JAIME")*INPUT!$P$3:$P$1000)),"")</f>
        <v/>
      </c>
      <c r="W41" s="37" t="str" cm="1">
        <f t="array" ref="W41">IFERROR(IF(SUMPRODUCT((INPUT!$M$3:$M$1000=$B$3+6)*(INPUT!$N$3:$N$1000="T")*(INPUT!$O$3:$O$1000="JAIME"))=0,"",SUMPRODUCT((INPUT!$M$3:$M$1000=$B$3+6)*(INPUT!$N$3:$N$1000="T")*(INPUT!$O$3:$O$1000="JAIME")*INPUT!$Q$3:$Q$1000)),"")</f>
        <v/>
      </c>
      <c r="X41" s="38" t="str">
        <f t="shared" si="13"/>
        <v/>
      </c>
    </row>
    <row r="42" spans="1:24" x14ac:dyDescent="0.2">
      <c r="A42" s="203">
        <v>19</v>
      </c>
      <c r="B42" s="204" t="s">
        <v>83</v>
      </c>
      <c r="C42" s="36" t="s">
        <v>70</v>
      </c>
      <c r="D42" s="37" t="str" cm="1">
        <f t="array" ref="D42">IFERROR(IF(SUMPRODUCT((INPUT!$M$3:$M$1000=$B$3+0)*(INPUT!$N$3:$N$1000="M")*(INPUT!$O$3:$O$1000="ANCHU"))=0,"",SUMPRODUCT((INPUT!$M$3:$M$1000=$B$3+0)*(INPUT!$N$3:$N$1000="M")*(INPUT!$O$3:$O$1000="ANCHU")*INPUT!$P$3:$P$1000)),"")</f>
        <v/>
      </c>
      <c r="E42" s="37" t="str" cm="1">
        <f t="array" ref="E42">IFERROR(IF(SUMPRODUCT((INPUT!$M$3:$M$1000=$B$3+0)*(INPUT!$N$3:$N$1000="M")*(INPUT!$O$3:$O$1000="ANCHU"))=0,"",SUMPRODUCT((INPUT!$M$3:$M$1000=$B$3+0)*(INPUT!$N$3:$N$1000="M")*(INPUT!$O$3:$O$1000="ANCHU")*INPUT!$Q$3:$Q$1000)),"")</f>
        <v/>
      </c>
      <c r="F42" s="37" t="str">
        <f t="shared" si="7"/>
        <v/>
      </c>
      <c r="G42" s="37" t="str" cm="1">
        <f t="array" ref="G42">IFERROR(IF(SUMPRODUCT((INPUT!$M$3:$M$1000=$B$3+1)*(INPUT!$N$3:$N$1000="M")*(INPUT!$O$3:$O$1000="ANCHU"))=0,"",SUMPRODUCT((INPUT!$M$3:$M$1000=$B$3+1)*(INPUT!$N$3:$N$1000="M")*(INPUT!$O$3:$O$1000="ANCHU")*INPUT!$P$3:$P$1000)),"")</f>
        <v/>
      </c>
      <c r="H42" s="37" t="str" cm="1">
        <f t="array" ref="H42">IFERROR(IF(SUMPRODUCT((INPUT!$M$3:$M$1000=$B$3+1)*(INPUT!$N$3:$N$1000="M")*(INPUT!$O$3:$O$1000="ANCHU"))=0,"",SUMPRODUCT((INPUT!$M$3:$M$1000=$B$3+1)*(INPUT!$N$3:$N$1000="M")*(INPUT!$O$3:$O$1000="ANCHU")*INPUT!$Q$3:$Q$1000)),"")</f>
        <v/>
      </c>
      <c r="I42" s="37" t="str">
        <f t="shared" si="8"/>
        <v/>
      </c>
      <c r="J42" s="37" t="str" cm="1">
        <f t="array" ref="J42">IFERROR(IF(SUMPRODUCT((INPUT!$M$3:$M$1000=$B$3+2)*(INPUT!$N$3:$N$1000="M")*(INPUT!$O$3:$O$1000="ANCHU"))=0,"",SUMPRODUCT((INPUT!$M$3:$M$1000=$B$3+2)*(INPUT!$N$3:$N$1000="M")*(INPUT!$O$3:$O$1000="ANCHU")*INPUT!$P$3:$P$1000)),"")</f>
        <v/>
      </c>
      <c r="K42" s="37" t="str" cm="1">
        <f t="array" ref="K42">IFERROR(IF(SUMPRODUCT((INPUT!$M$3:$M$1000=$B$3+2)*(INPUT!$N$3:$N$1000="M")*(INPUT!$O$3:$O$1000="ANCHU"))=0,"",SUMPRODUCT((INPUT!$M$3:$M$1000=$B$3+2)*(INPUT!$N$3:$N$1000="M")*(INPUT!$O$3:$O$1000="ANCHU")*INPUT!$Q$3:$Q$1000)),"")</f>
        <v/>
      </c>
      <c r="L42" s="37" t="str">
        <f t="shared" si="9"/>
        <v/>
      </c>
      <c r="M42" s="37" t="str" cm="1">
        <f t="array" ref="M42">IFERROR(IF(SUMPRODUCT((INPUT!$M$3:$M$1000=$B$3+3)*(INPUT!$N$3:$N$1000="M")*(INPUT!$O$3:$O$1000="ANCHU"))=0,"",SUMPRODUCT((INPUT!$M$3:$M$1000=$B$3+3)*(INPUT!$N$3:$N$1000="M")*(INPUT!$O$3:$O$1000="ANCHU")*INPUT!$P$3:$P$1000)),"")</f>
        <v/>
      </c>
      <c r="N42" s="37" t="str" cm="1">
        <f t="array" ref="N42">IFERROR(IF(SUMPRODUCT((INPUT!$M$3:$M$1000=$B$3+3)*(INPUT!$N$3:$N$1000="M")*(INPUT!$O$3:$O$1000="ANCHU"))=0,"",SUMPRODUCT((INPUT!$M$3:$M$1000=$B$3+3)*(INPUT!$N$3:$N$1000="M")*(INPUT!$O$3:$O$1000="ANCHU")*INPUT!$Q$3:$Q$1000)),"")</f>
        <v/>
      </c>
      <c r="O42" s="37" t="str">
        <f t="shared" si="10"/>
        <v/>
      </c>
      <c r="P42" s="37" t="str" cm="1">
        <f t="array" ref="P42">IFERROR(IF(SUMPRODUCT((INPUT!$M$3:$M$1000=$B$3+4)*(INPUT!$N$3:$N$1000="M")*(INPUT!$O$3:$O$1000="ANCHU"))=0,"",SUMPRODUCT((INPUT!$M$3:$M$1000=$B$3+4)*(INPUT!$N$3:$N$1000="M")*(INPUT!$O$3:$O$1000="ANCHU")*INPUT!$P$3:$P$1000)),"")</f>
        <v/>
      </c>
      <c r="Q42" s="37" t="str" cm="1">
        <f t="array" ref="Q42">IFERROR(IF(SUMPRODUCT((INPUT!$M$3:$M$1000=$B$3+4)*(INPUT!$N$3:$N$1000="M")*(INPUT!$O$3:$O$1000="ANCHU"))=0,"",SUMPRODUCT((INPUT!$M$3:$M$1000=$B$3+4)*(INPUT!$N$3:$N$1000="M")*(INPUT!$O$3:$O$1000="ANCHU")*INPUT!$Q$3:$Q$1000)),"")</f>
        <v/>
      </c>
      <c r="R42" s="37" t="str">
        <f t="shared" si="11"/>
        <v/>
      </c>
      <c r="S42" s="37" t="str" cm="1">
        <f t="array" ref="S42">IFERROR(IF(SUMPRODUCT((INPUT!$M$3:$M$1000=$B$3+5)*(INPUT!$N$3:$N$1000="M")*(INPUT!$O$3:$O$1000="ANCHU"))=0,"",SUMPRODUCT((INPUT!$M$3:$M$1000=$B$3+5)*(INPUT!$N$3:$N$1000="M")*(INPUT!$O$3:$O$1000="ANCHU")*INPUT!$P$3:$P$1000)),"")</f>
        <v/>
      </c>
      <c r="T42" s="37" t="str" cm="1">
        <f t="array" ref="T42">IFERROR(IF(SUMPRODUCT((INPUT!$M$3:$M$1000=$B$3+5)*(INPUT!$N$3:$N$1000="M")*(INPUT!$O$3:$O$1000="ANCHU"))=0,"",SUMPRODUCT((INPUT!$M$3:$M$1000=$B$3+5)*(INPUT!$N$3:$N$1000="M")*(INPUT!$O$3:$O$1000="ANCHU")*INPUT!$Q$3:$Q$1000)),"")</f>
        <v/>
      </c>
      <c r="U42" s="37" t="str">
        <f t="shared" si="12"/>
        <v/>
      </c>
      <c r="V42" s="37" t="str" cm="1">
        <f t="array" ref="V42">IFERROR(IF(SUMPRODUCT((INPUT!$M$3:$M$1000=$B$3+6)*(INPUT!$N$3:$N$1000="M")*(INPUT!$O$3:$O$1000="ANCHU"))=0,"",SUMPRODUCT((INPUT!$M$3:$M$1000=$B$3+6)*(INPUT!$N$3:$N$1000="M")*(INPUT!$O$3:$O$1000="ANCHU")*INPUT!$P$3:$P$1000)),"")</f>
        <v/>
      </c>
      <c r="W42" s="37" t="str" cm="1">
        <f t="array" ref="W42">IFERROR(IF(SUMPRODUCT((INPUT!$M$3:$M$1000=$B$3+6)*(INPUT!$N$3:$N$1000="M")*(INPUT!$O$3:$O$1000="ANCHU"))=0,"",SUMPRODUCT((INPUT!$M$3:$M$1000=$B$3+6)*(INPUT!$N$3:$N$1000="M")*(INPUT!$O$3:$O$1000="ANCHU")*INPUT!$Q$3:$Q$1000)),"")</f>
        <v/>
      </c>
      <c r="X42" s="38" t="str">
        <f t="shared" si="13"/>
        <v/>
      </c>
    </row>
    <row r="43" spans="1:24" x14ac:dyDescent="0.2">
      <c r="A43" s="200"/>
      <c r="B43" s="202"/>
      <c r="C43" s="36" t="s">
        <v>71</v>
      </c>
      <c r="D43" s="37" t="str" cm="1">
        <f t="array" ref="D43">IFERROR(IF(SUMPRODUCT((INPUT!$M$3:$M$1000=$B$3+0)*(INPUT!$N$3:$N$1000="T")*(INPUT!$O$3:$O$1000="ANCHU"))=0,"",SUMPRODUCT((INPUT!$M$3:$M$1000=$B$3+0)*(INPUT!$N$3:$N$1000="T")*(INPUT!$O$3:$O$1000="ANCHU")*INPUT!$P$3:$P$1000)),"")</f>
        <v/>
      </c>
      <c r="E43" s="37" t="str" cm="1">
        <f t="array" ref="E43">IFERROR(IF(SUMPRODUCT((INPUT!$M$3:$M$1000=$B$3+0)*(INPUT!$N$3:$N$1000="T")*(INPUT!$O$3:$O$1000="ANCHU"))=0,"",SUMPRODUCT((INPUT!$M$3:$M$1000=$B$3+0)*(INPUT!$N$3:$N$1000="T")*(INPUT!$O$3:$O$1000="ANCHU")*INPUT!$Q$3:$Q$1000)),"")</f>
        <v/>
      </c>
      <c r="F43" s="37" t="str">
        <f t="shared" si="7"/>
        <v/>
      </c>
      <c r="G43" s="37" t="str" cm="1">
        <f t="array" ref="G43">IFERROR(IF(SUMPRODUCT((INPUT!$M$3:$M$1000=$B$3+1)*(INPUT!$N$3:$N$1000="T")*(INPUT!$O$3:$O$1000="ANCHU"))=0,"",SUMPRODUCT((INPUT!$M$3:$M$1000=$B$3+1)*(INPUT!$N$3:$N$1000="T")*(INPUT!$O$3:$O$1000="ANCHU")*INPUT!$P$3:$P$1000)),"")</f>
        <v/>
      </c>
      <c r="H43" s="37" t="str" cm="1">
        <f t="array" ref="H43">IFERROR(IF(SUMPRODUCT((INPUT!$M$3:$M$1000=$B$3+1)*(INPUT!$N$3:$N$1000="T")*(INPUT!$O$3:$O$1000="ANCHU"))=0,"",SUMPRODUCT((INPUT!$M$3:$M$1000=$B$3+1)*(INPUT!$N$3:$N$1000="T")*(INPUT!$O$3:$O$1000="ANCHU")*INPUT!$Q$3:$Q$1000)),"")</f>
        <v/>
      </c>
      <c r="I43" s="37" t="str">
        <f t="shared" si="8"/>
        <v/>
      </c>
      <c r="J43" s="37" t="str" cm="1">
        <f t="array" ref="J43">IFERROR(IF(SUMPRODUCT((INPUT!$M$3:$M$1000=$B$3+2)*(INPUT!$N$3:$N$1000="T")*(INPUT!$O$3:$O$1000="ANCHU"))=0,"",SUMPRODUCT((INPUT!$M$3:$M$1000=$B$3+2)*(INPUT!$N$3:$N$1000="T")*(INPUT!$O$3:$O$1000="ANCHU")*INPUT!$P$3:$P$1000)),"")</f>
        <v/>
      </c>
      <c r="K43" s="37" t="str" cm="1">
        <f t="array" ref="K43">IFERROR(IF(SUMPRODUCT((INPUT!$M$3:$M$1000=$B$3+2)*(INPUT!$N$3:$N$1000="T")*(INPUT!$O$3:$O$1000="ANCHU"))=0,"",SUMPRODUCT((INPUT!$M$3:$M$1000=$B$3+2)*(INPUT!$N$3:$N$1000="T")*(INPUT!$O$3:$O$1000="ANCHU")*INPUT!$Q$3:$Q$1000)),"")</f>
        <v/>
      </c>
      <c r="L43" s="37" t="str">
        <f t="shared" si="9"/>
        <v/>
      </c>
      <c r="M43" s="37" t="str" cm="1">
        <f t="array" ref="M43">IFERROR(IF(SUMPRODUCT((INPUT!$M$3:$M$1000=$B$3+3)*(INPUT!$N$3:$N$1000="T")*(INPUT!$O$3:$O$1000="ANCHU"))=0,"",SUMPRODUCT((INPUT!$M$3:$M$1000=$B$3+3)*(INPUT!$N$3:$N$1000="T")*(INPUT!$O$3:$O$1000="ANCHU")*INPUT!$P$3:$P$1000)),"")</f>
        <v/>
      </c>
      <c r="N43" s="37" t="str" cm="1">
        <f t="array" ref="N43">IFERROR(IF(SUMPRODUCT((INPUT!$M$3:$M$1000=$B$3+3)*(INPUT!$N$3:$N$1000="T")*(INPUT!$O$3:$O$1000="ANCHU"))=0,"",SUMPRODUCT((INPUT!$M$3:$M$1000=$B$3+3)*(INPUT!$N$3:$N$1000="T")*(INPUT!$O$3:$O$1000="ANCHU")*INPUT!$Q$3:$Q$1000)),"")</f>
        <v/>
      </c>
      <c r="O43" s="37" t="str">
        <f t="shared" si="10"/>
        <v/>
      </c>
      <c r="P43" s="37" t="str" cm="1">
        <f t="array" ref="P43">IFERROR(IF(SUMPRODUCT((INPUT!$M$3:$M$1000=$B$3+4)*(INPUT!$N$3:$N$1000="T")*(INPUT!$O$3:$O$1000="ANCHU"))=0,"",SUMPRODUCT((INPUT!$M$3:$M$1000=$B$3+4)*(INPUT!$N$3:$N$1000="T")*(INPUT!$O$3:$O$1000="ANCHU")*INPUT!$P$3:$P$1000)),"")</f>
        <v/>
      </c>
      <c r="Q43" s="37" t="str" cm="1">
        <f t="array" ref="Q43">IFERROR(IF(SUMPRODUCT((INPUT!$M$3:$M$1000=$B$3+4)*(INPUT!$N$3:$N$1000="T")*(INPUT!$O$3:$O$1000="ANCHU"))=0,"",SUMPRODUCT((INPUT!$M$3:$M$1000=$B$3+4)*(INPUT!$N$3:$N$1000="T")*(INPUT!$O$3:$O$1000="ANCHU")*INPUT!$Q$3:$Q$1000)),"")</f>
        <v/>
      </c>
      <c r="R43" s="37" t="str">
        <f t="shared" si="11"/>
        <v/>
      </c>
      <c r="S43" s="37" t="str" cm="1">
        <f t="array" ref="S43">IFERROR(IF(SUMPRODUCT((INPUT!$M$3:$M$1000=$B$3+5)*(INPUT!$N$3:$N$1000="T")*(INPUT!$O$3:$O$1000="ANCHU"))=0,"",SUMPRODUCT((INPUT!$M$3:$M$1000=$B$3+5)*(INPUT!$N$3:$N$1000="T")*(INPUT!$O$3:$O$1000="ANCHU")*INPUT!$P$3:$P$1000)),"")</f>
        <v/>
      </c>
      <c r="T43" s="37" t="str" cm="1">
        <f t="array" ref="T43">IFERROR(IF(SUMPRODUCT((INPUT!$M$3:$M$1000=$B$3+5)*(INPUT!$N$3:$N$1000="T")*(INPUT!$O$3:$O$1000="ANCHU"))=0,"",SUMPRODUCT((INPUT!$M$3:$M$1000=$B$3+5)*(INPUT!$N$3:$N$1000="T")*(INPUT!$O$3:$O$1000="ANCHU")*INPUT!$Q$3:$Q$1000)),"")</f>
        <v/>
      </c>
      <c r="U43" s="37" t="str">
        <f t="shared" si="12"/>
        <v/>
      </c>
      <c r="V43" s="37" t="str" cm="1">
        <f t="array" ref="V43">IFERROR(IF(SUMPRODUCT((INPUT!$M$3:$M$1000=$B$3+6)*(INPUT!$N$3:$N$1000="T")*(INPUT!$O$3:$O$1000="ANCHU"))=0,"",SUMPRODUCT((INPUT!$M$3:$M$1000=$B$3+6)*(INPUT!$N$3:$N$1000="T")*(INPUT!$O$3:$O$1000="ANCHU")*INPUT!$P$3:$P$1000)),"")</f>
        <v/>
      </c>
      <c r="W43" s="37" t="str" cm="1">
        <f t="array" ref="W43">IFERROR(IF(SUMPRODUCT((INPUT!$M$3:$M$1000=$B$3+6)*(INPUT!$N$3:$N$1000="T")*(INPUT!$O$3:$O$1000="ANCHU"))=0,"",SUMPRODUCT((INPUT!$M$3:$M$1000=$B$3+6)*(INPUT!$N$3:$N$1000="T")*(INPUT!$O$3:$O$1000="ANCHU")*INPUT!$Q$3:$Q$1000)),"")</f>
        <v/>
      </c>
      <c r="X43" s="38" t="str">
        <f t="shared" si="13"/>
        <v/>
      </c>
    </row>
    <row r="44" spans="1:24" x14ac:dyDescent="0.2">
      <c r="A44" s="203">
        <v>20</v>
      </c>
      <c r="B44" s="204" t="s">
        <v>84</v>
      </c>
      <c r="C44" s="36" t="s">
        <v>70</v>
      </c>
      <c r="D44" s="37" t="str" cm="1">
        <f t="array" ref="D44">IFERROR(IF(SUMPRODUCT((INPUT!$M$3:$M$1000=$B$3+0)*(INPUT!$N$3:$N$1000="M")*(INPUT!$O$3:$O$1000="NACHO"))=0,"",SUMPRODUCT((INPUT!$M$3:$M$1000=$B$3+0)*(INPUT!$N$3:$N$1000="M")*(INPUT!$O$3:$O$1000="NACHO")*INPUT!$P$3:$P$1000)),"")</f>
        <v/>
      </c>
      <c r="E44" s="37" t="str" cm="1">
        <f t="array" ref="E44">IFERROR(IF(SUMPRODUCT((INPUT!$M$3:$M$1000=$B$3+0)*(INPUT!$N$3:$N$1000="M")*(INPUT!$O$3:$O$1000="NACHO"))=0,"",SUMPRODUCT((INPUT!$M$3:$M$1000=$B$3+0)*(INPUT!$N$3:$N$1000="M")*(INPUT!$O$3:$O$1000="NACHO")*INPUT!$Q$3:$Q$1000)),"")</f>
        <v/>
      </c>
      <c r="F44" s="37" t="str">
        <f t="shared" si="7"/>
        <v/>
      </c>
      <c r="G44" s="37" t="str" cm="1">
        <f t="array" ref="G44">IFERROR(IF(SUMPRODUCT((INPUT!$M$3:$M$1000=$B$3+1)*(INPUT!$N$3:$N$1000="M")*(INPUT!$O$3:$O$1000="NACHO"))=0,"",SUMPRODUCT((INPUT!$M$3:$M$1000=$B$3+1)*(INPUT!$N$3:$N$1000="M")*(INPUT!$O$3:$O$1000="NACHO")*INPUT!$P$3:$P$1000)),"")</f>
        <v/>
      </c>
      <c r="H44" s="37" t="str" cm="1">
        <f t="array" ref="H44">IFERROR(IF(SUMPRODUCT((INPUT!$M$3:$M$1000=$B$3+1)*(INPUT!$N$3:$N$1000="M")*(INPUT!$O$3:$O$1000="NACHO"))=0,"",SUMPRODUCT((INPUT!$M$3:$M$1000=$B$3+1)*(INPUT!$N$3:$N$1000="M")*(INPUT!$O$3:$O$1000="NACHO")*INPUT!$Q$3:$Q$1000)),"")</f>
        <v/>
      </c>
      <c r="I44" s="37" t="str">
        <f t="shared" si="8"/>
        <v/>
      </c>
      <c r="J44" s="37" t="str" cm="1">
        <f t="array" ref="J44">IFERROR(IF(SUMPRODUCT((INPUT!$M$3:$M$1000=$B$3+2)*(INPUT!$N$3:$N$1000="M")*(INPUT!$O$3:$O$1000="NACHO"))=0,"",SUMPRODUCT((INPUT!$M$3:$M$1000=$B$3+2)*(INPUT!$N$3:$N$1000="M")*(INPUT!$O$3:$O$1000="NACHO")*INPUT!$P$3:$P$1000)),"")</f>
        <v/>
      </c>
      <c r="K44" s="37" t="str" cm="1">
        <f t="array" ref="K44">IFERROR(IF(SUMPRODUCT((INPUT!$M$3:$M$1000=$B$3+2)*(INPUT!$N$3:$N$1000="M")*(INPUT!$O$3:$O$1000="NACHO"))=0,"",SUMPRODUCT((INPUT!$M$3:$M$1000=$B$3+2)*(INPUT!$N$3:$N$1000="M")*(INPUT!$O$3:$O$1000="NACHO")*INPUT!$Q$3:$Q$1000)),"")</f>
        <v/>
      </c>
      <c r="L44" s="37" t="str">
        <f t="shared" si="9"/>
        <v/>
      </c>
      <c r="M44" s="37" t="str" cm="1">
        <f t="array" ref="M44">IFERROR(IF(SUMPRODUCT((INPUT!$M$3:$M$1000=$B$3+3)*(INPUT!$N$3:$N$1000="M")*(INPUT!$O$3:$O$1000="NACHO"))=0,"",SUMPRODUCT((INPUT!$M$3:$M$1000=$B$3+3)*(INPUT!$N$3:$N$1000="M")*(INPUT!$O$3:$O$1000="NACHO")*INPUT!$P$3:$P$1000)),"")</f>
        <v/>
      </c>
      <c r="N44" s="37" t="str" cm="1">
        <f t="array" ref="N44">IFERROR(IF(SUMPRODUCT((INPUT!$M$3:$M$1000=$B$3+3)*(INPUT!$N$3:$N$1000="M")*(INPUT!$O$3:$O$1000="NACHO"))=0,"",SUMPRODUCT((INPUT!$M$3:$M$1000=$B$3+3)*(INPUT!$N$3:$N$1000="M")*(INPUT!$O$3:$O$1000="NACHO")*INPUT!$Q$3:$Q$1000)),"")</f>
        <v/>
      </c>
      <c r="O44" s="37" t="str">
        <f t="shared" si="10"/>
        <v/>
      </c>
      <c r="P44" s="37" t="str" cm="1">
        <f t="array" ref="P44">IFERROR(IF(SUMPRODUCT((INPUT!$M$3:$M$1000=$B$3+4)*(INPUT!$N$3:$N$1000="M")*(INPUT!$O$3:$O$1000="NACHO"))=0,"",SUMPRODUCT((INPUT!$M$3:$M$1000=$B$3+4)*(INPUT!$N$3:$N$1000="M")*(INPUT!$O$3:$O$1000="NACHO")*INPUT!$P$3:$P$1000)),"")</f>
        <v/>
      </c>
      <c r="Q44" s="37" t="str" cm="1">
        <f t="array" ref="Q44">IFERROR(IF(SUMPRODUCT((INPUT!$M$3:$M$1000=$B$3+4)*(INPUT!$N$3:$N$1000="M")*(INPUT!$O$3:$O$1000="NACHO"))=0,"",SUMPRODUCT((INPUT!$M$3:$M$1000=$B$3+4)*(INPUT!$N$3:$N$1000="M")*(INPUT!$O$3:$O$1000="NACHO")*INPUT!$Q$3:$Q$1000)),"")</f>
        <v/>
      </c>
      <c r="R44" s="37" t="str">
        <f t="shared" si="11"/>
        <v/>
      </c>
      <c r="S44" s="37" t="str" cm="1">
        <f t="array" ref="S44">IFERROR(IF(SUMPRODUCT((INPUT!$M$3:$M$1000=$B$3+5)*(INPUT!$N$3:$N$1000="M")*(INPUT!$O$3:$O$1000="NACHO"))=0,"",SUMPRODUCT((INPUT!$M$3:$M$1000=$B$3+5)*(INPUT!$N$3:$N$1000="M")*(INPUT!$O$3:$O$1000="NACHO")*INPUT!$P$3:$P$1000)),"")</f>
        <v/>
      </c>
      <c r="T44" s="37" t="str" cm="1">
        <f t="array" ref="T44">IFERROR(IF(SUMPRODUCT((INPUT!$M$3:$M$1000=$B$3+5)*(INPUT!$N$3:$N$1000="M")*(INPUT!$O$3:$O$1000="NACHO"))=0,"",SUMPRODUCT((INPUT!$M$3:$M$1000=$B$3+5)*(INPUT!$N$3:$N$1000="M")*(INPUT!$O$3:$O$1000="NACHO")*INPUT!$Q$3:$Q$1000)),"")</f>
        <v/>
      </c>
      <c r="U44" s="37" t="str">
        <f t="shared" si="12"/>
        <v/>
      </c>
      <c r="V44" s="37" t="str" cm="1">
        <f t="array" ref="V44">IFERROR(IF(SUMPRODUCT((INPUT!$M$3:$M$1000=$B$3+6)*(INPUT!$N$3:$N$1000="M")*(INPUT!$O$3:$O$1000="NACHO"))=0,"",SUMPRODUCT((INPUT!$M$3:$M$1000=$B$3+6)*(INPUT!$N$3:$N$1000="M")*(INPUT!$O$3:$O$1000="NACHO")*INPUT!$P$3:$P$1000)),"")</f>
        <v/>
      </c>
      <c r="W44" s="37" t="str" cm="1">
        <f t="array" ref="W44">IFERROR(IF(SUMPRODUCT((INPUT!$M$3:$M$1000=$B$3+6)*(INPUT!$N$3:$N$1000="M")*(INPUT!$O$3:$O$1000="NACHO"))=0,"",SUMPRODUCT((INPUT!$M$3:$M$1000=$B$3+6)*(INPUT!$N$3:$N$1000="M")*(INPUT!$O$3:$O$1000="NACHO")*INPUT!$Q$3:$Q$1000)),"")</f>
        <v/>
      </c>
      <c r="X44" s="38" t="str">
        <f t="shared" si="13"/>
        <v/>
      </c>
    </row>
    <row r="45" spans="1:24" x14ac:dyDescent="0.2">
      <c r="A45" s="200"/>
      <c r="B45" s="202"/>
      <c r="C45" s="36" t="s">
        <v>71</v>
      </c>
      <c r="D45" s="37" t="str" cm="1">
        <f t="array" ref="D45">IFERROR(IF(SUMPRODUCT((INPUT!$M$3:$M$1000=$B$3+0)*(INPUT!$N$3:$N$1000="T")*(INPUT!$O$3:$O$1000="NACHO"))=0,"",SUMPRODUCT((INPUT!$M$3:$M$1000=$B$3+0)*(INPUT!$N$3:$N$1000="T")*(INPUT!$O$3:$O$1000="NACHO")*INPUT!$P$3:$P$1000)),"")</f>
        <v/>
      </c>
      <c r="E45" s="37" t="str" cm="1">
        <f t="array" ref="E45">IFERROR(IF(SUMPRODUCT((INPUT!$M$3:$M$1000=$B$3+0)*(INPUT!$N$3:$N$1000="T")*(INPUT!$O$3:$O$1000="NACHO"))=0,"",SUMPRODUCT((INPUT!$M$3:$M$1000=$B$3+0)*(INPUT!$N$3:$N$1000="T")*(INPUT!$O$3:$O$1000="NACHO")*INPUT!$Q$3:$Q$1000)),"")</f>
        <v/>
      </c>
      <c r="F45" s="37" t="str">
        <f t="shared" si="7"/>
        <v/>
      </c>
      <c r="G45" s="37" t="str" cm="1">
        <f t="array" ref="G45">IFERROR(IF(SUMPRODUCT((INPUT!$M$3:$M$1000=$B$3+1)*(INPUT!$N$3:$N$1000="T")*(INPUT!$O$3:$O$1000="NACHO"))=0,"",SUMPRODUCT((INPUT!$M$3:$M$1000=$B$3+1)*(INPUT!$N$3:$N$1000="T")*(INPUT!$O$3:$O$1000="NACHO")*INPUT!$P$3:$P$1000)),"")</f>
        <v/>
      </c>
      <c r="H45" s="37" t="str" cm="1">
        <f t="array" ref="H45">IFERROR(IF(SUMPRODUCT((INPUT!$M$3:$M$1000=$B$3+1)*(INPUT!$N$3:$N$1000="T")*(INPUT!$O$3:$O$1000="NACHO"))=0,"",SUMPRODUCT((INPUT!$M$3:$M$1000=$B$3+1)*(INPUT!$N$3:$N$1000="T")*(INPUT!$O$3:$O$1000="NACHO")*INPUT!$Q$3:$Q$1000)),"")</f>
        <v/>
      </c>
      <c r="I45" s="37" t="str">
        <f t="shared" si="8"/>
        <v/>
      </c>
      <c r="J45" s="37" t="str" cm="1">
        <f t="array" ref="J45">IFERROR(IF(SUMPRODUCT((INPUT!$M$3:$M$1000=$B$3+2)*(INPUT!$N$3:$N$1000="T")*(INPUT!$O$3:$O$1000="NACHO"))=0,"",SUMPRODUCT((INPUT!$M$3:$M$1000=$B$3+2)*(INPUT!$N$3:$N$1000="T")*(INPUT!$O$3:$O$1000="NACHO")*INPUT!$P$3:$P$1000)),"")</f>
        <v/>
      </c>
      <c r="K45" s="37" t="str" cm="1">
        <f t="array" ref="K45">IFERROR(IF(SUMPRODUCT((INPUT!$M$3:$M$1000=$B$3+2)*(INPUT!$N$3:$N$1000="T")*(INPUT!$O$3:$O$1000="NACHO"))=0,"",SUMPRODUCT((INPUT!$M$3:$M$1000=$B$3+2)*(INPUT!$N$3:$N$1000="T")*(INPUT!$O$3:$O$1000="NACHO")*INPUT!$Q$3:$Q$1000)),"")</f>
        <v/>
      </c>
      <c r="L45" s="37" t="str">
        <f t="shared" si="9"/>
        <v/>
      </c>
      <c r="M45" s="37" t="str" cm="1">
        <f t="array" ref="M45">IFERROR(IF(SUMPRODUCT((INPUT!$M$3:$M$1000=$B$3+3)*(INPUT!$N$3:$N$1000="T")*(INPUT!$O$3:$O$1000="NACHO"))=0,"",SUMPRODUCT((INPUT!$M$3:$M$1000=$B$3+3)*(INPUT!$N$3:$N$1000="T")*(INPUT!$O$3:$O$1000="NACHO")*INPUT!$P$3:$P$1000)),"")</f>
        <v/>
      </c>
      <c r="N45" s="37" t="str" cm="1">
        <f t="array" ref="N45">IFERROR(IF(SUMPRODUCT((INPUT!$M$3:$M$1000=$B$3+3)*(INPUT!$N$3:$N$1000="T")*(INPUT!$O$3:$O$1000="NACHO"))=0,"",SUMPRODUCT((INPUT!$M$3:$M$1000=$B$3+3)*(INPUT!$N$3:$N$1000="T")*(INPUT!$O$3:$O$1000="NACHO")*INPUT!$Q$3:$Q$1000)),"")</f>
        <v/>
      </c>
      <c r="O45" s="37" t="str">
        <f t="shared" si="10"/>
        <v/>
      </c>
      <c r="P45" s="37" t="str" cm="1">
        <f t="array" ref="P45">IFERROR(IF(SUMPRODUCT((INPUT!$M$3:$M$1000=$B$3+4)*(INPUT!$N$3:$N$1000="T")*(INPUT!$O$3:$O$1000="NACHO"))=0,"",SUMPRODUCT((INPUT!$M$3:$M$1000=$B$3+4)*(INPUT!$N$3:$N$1000="T")*(INPUT!$O$3:$O$1000="NACHO")*INPUT!$P$3:$P$1000)),"")</f>
        <v/>
      </c>
      <c r="Q45" s="37" t="str" cm="1">
        <f t="array" ref="Q45">IFERROR(IF(SUMPRODUCT((INPUT!$M$3:$M$1000=$B$3+4)*(INPUT!$N$3:$N$1000="T")*(INPUT!$O$3:$O$1000="NACHO"))=0,"",SUMPRODUCT((INPUT!$M$3:$M$1000=$B$3+4)*(INPUT!$N$3:$N$1000="T")*(INPUT!$O$3:$O$1000="NACHO")*INPUT!$Q$3:$Q$1000)),"")</f>
        <v/>
      </c>
      <c r="R45" s="37" t="str">
        <f t="shared" si="11"/>
        <v/>
      </c>
      <c r="S45" s="37" t="str" cm="1">
        <f t="array" ref="S45">IFERROR(IF(SUMPRODUCT((INPUT!$M$3:$M$1000=$B$3+5)*(INPUT!$N$3:$N$1000="T")*(INPUT!$O$3:$O$1000="NACHO"))=0,"",SUMPRODUCT((INPUT!$M$3:$M$1000=$B$3+5)*(INPUT!$N$3:$N$1000="T")*(INPUT!$O$3:$O$1000="NACHO")*INPUT!$P$3:$P$1000)),"")</f>
        <v/>
      </c>
      <c r="T45" s="37" t="str" cm="1">
        <f t="array" ref="T45">IFERROR(IF(SUMPRODUCT((INPUT!$M$3:$M$1000=$B$3+5)*(INPUT!$N$3:$N$1000="T")*(INPUT!$O$3:$O$1000="NACHO"))=0,"",SUMPRODUCT((INPUT!$M$3:$M$1000=$B$3+5)*(INPUT!$N$3:$N$1000="T")*(INPUT!$O$3:$O$1000="NACHO")*INPUT!$Q$3:$Q$1000)),"")</f>
        <v/>
      </c>
      <c r="U45" s="37" t="str">
        <f t="shared" si="12"/>
        <v/>
      </c>
      <c r="V45" s="37" t="str" cm="1">
        <f t="array" ref="V45">IFERROR(IF(SUMPRODUCT((INPUT!$M$3:$M$1000=$B$3+6)*(INPUT!$N$3:$N$1000="T")*(INPUT!$O$3:$O$1000="NACHO"))=0,"",SUMPRODUCT((INPUT!$M$3:$M$1000=$B$3+6)*(INPUT!$N$3:$N$1000="T")*(INPUT!$O$3:$O$1000="NACHO")*INPUT!$P$3:$P$1000)),"")</f>
        <v/>
      </c>
      <c r="W45" s="37" t="str" cm="1">
        <f t="array" ref="W45">IFERROR(IF(SUMPRODUCT((INPUT!$M$3:$M$1000=$B$3+6)*(INPUT!$N$3:$N$1000="T")*(INPUT!$O$3:$O$1000="NACHO"))=0,"",SUMPRODUCT((INPUT!$M$3:$M$1000=$B$3+6)*(INPUT!$N$3:$N$1000="T")*(INPUT!$O$3:$O$1000="NACHO")*INPUT!$Q$3:$Q$1000)),"")</f>
        <v/>
      </c>
      <c r="X45" s="38" t="str">
        <f t="shared" si="13"/>
        <v/>
      </c>
    </row>
    <row r="46" spans="1:24" x14ac:dyDescent="0.2">
      <c r="A46" s="203">
        <v>21</v>
      </c>
      <c r="B46" s="204" t="s">
        <v>85</v>
      </c>
      <c r="C46" s="36" t="s">
        <v>70</v>
      </c>
      <c r="D46" s="37" t="str" cm="1">
        <f t="array" ref="D46">IFERROR(IF(SUMPRODUCT((INPUT!$M$3:$M$1000=$B$3+0)*(INPUT!$N$3:$N$1000="M")*(INPUT!$O$3:$O$1000="J21"))=0,"",SUMPRODUCT((INPUT!$M$3:$M$1000=$B$3+0)*(INPUT!$N$3:$N$1000="M")*(INPUT!$O$3:$O$1000="J21")*INPUT!$P$3:$P$1000)),"")</f>
        <v/>
      </c>
      <c r="E46" s="37" t="str" cm="1">
        <f t="array" ref="E46">IFERROR(IF(SUMPRODUCT((INPUT!$M$3:$M$1000=$B$3+0)*(INPUT!$N$3:$N$1000="M")*(INPUT!$O$3:$O$1000="J21"))=0,"",SUMPRODUCT((INPUT!$M$3:$M$1000=$B$3+0)*(INPUT!$N$3:$N$1000="M")*(INPUT!$O$3:$O$1000="J21")*INPUT!$Q$3:$Q$1000)),"")</f>
        <v/>
      </c>
      <c r="F46" s="37" t="str">
        <f t="shared" si="7"/>
        <v/>
      </c>
      <c r="G46" s="37" t="str" cm="1">
        <f t="array" ref="G46">IFERROR(IF(SUMPRODUCT((INPUT!$M$3:$M$1000=$B$3+1)*(INPUT!$N$3:$N$1000="M")*(INPUT!$O$3:$O$1000="J21"))=0,"",SUMPRODUCT((INPUT!$M$3:$M$1000=$B$3+1)*(INPUT!$N$3:$N$1000="M")*(INPUT!$O$3:$O$1000="J21")*INPUT!$P$3:$P$1000)),"")</f>
        <v/>
      </c>
      <c r="H46" s="37" t="str" cm="1">
        <f t="array" ref="H46">IFERROR(IF(SUMPRODUCT((INPUT!$M$3:$M$1000=$B$3+1)*(INPUT!$N$3:$N$1000="M")*(INPUT!$O$3:$O$1000="J21"))=0,"",SUMPRODUCT((INPUT!$M$3:$M$1000=$B$3+1)*(INPUT!$N$3:$N$1000="M")*(INPUT!$O$3:$O$1000="J21")*INPUT!$Q$3:$Q$1000)),"")</f>
        <v/>
      </c>
      <c r="I46" s="37" t="str">
        <f t="shared" si="8"/>
        <v/>
      </c>
      <c r="J46" s="37" t="str" cm="1">
        <f t="array" ref="J46">IFERROR(IF(SUMPRODUCT((INPUT!$M$3:$M$1000=$B$3+2)*(INPUT!$N$3:$N$1000="M")*(INPUT!$O$3:$O$1000="J21"))=0,"",SUMPRODUCT((INPUT!$M$3:$M$1000=$B$3+2)*(INPUT!$N$3:$N$1000="M")*(INPUT!$O$3:$O$1000="J21")*INPUT!$P$3:$P$1000)),"")</f>
        <v/>
      </c>
      <c r="K46" s="37" t="str" cm="1">
        <f t="array" ref="K46">IFERROR(IF(SUMPRODUCT((INPUT!$M$3:$M$1000=$B$3+2)*(INPUT!$N$3:$N$1000="M")*(INPUT!$O$3:$O$1000="J21"))=0,"",SUMPRODUCT((INPUT!$M$3:$M$1000=$B$3+2)*(INPUT!$N$3:$N$1000="M")*(INPUT!$O$3:$O$1000="J21")*INPUT!$Q$3:$Q$1000)),"")</f>
        <v/>
      </c>
      <c r="L46" s="37" t="str">
        <f t="shared" si="9"/>
        <v/>
      </c>
      <c r="M46" s="37" t="str" cm="1">
        <f t="array" ref="M46">IFERROR(IF(SUMPRODUCT((INPUT!$M$3:$M$1000=$B$3+3)*(INPUT!$N$3:$N$1000="M")*(INPUT!$O$3:$O$1000="J21"))=0,"",SUMPRODUCT((INPUT!$M$3:$M$1000=$B$3+3)*(INPUT!$N$3:$N$1000="M")*(INPUT!$O$3:$O$1000="J21")*INPUT!$P$3:$P$1000)),"")</f>
        <v/>
      </c>
      <c r="N46" s="37" t="str" cm="1">
        <f t="array" ref="N46">IFERROR(IF(SUMPRODUCT((INPUT!$M$3:$M$1000=$B$3+3)*(INPUT!$N$3:$N$1000="M")*(INPUT!$O$3:$O$1000="J21"))=0,"",SUMPRODUCT((INPUT!$M$3:$M$1000=$B$3+3)*(INPUT!$N$3:$N$1000="M")*(INPUT!$O$3:$O$1000="J21")*INPUT!$Q$3:$Q$1000)),"")</f>
        <v/>
      </c>
      <c r="O46" s="37" t="str">
        <f t="shared" si="10"/>
        <v/>
      </c>
      <c r="P46" s="37" t="str" cm="1">
        <f t="array" ref="P46">IFERROR(IF(SUMPRODUCT((INPUT!$M$3:$M$1000=$B$3+4)*(INPUT!$N$3:$N$1000="M")*(INPUT!$O$3:$O$1000="J21"))=0,"",SUMPRODUCT((INPUT!$M$3:$M$1000=$B$3+4)*(INPUT!$N$3:$N$1000="M")*(INPUT!$O$3:$O$1000="J21")*INPUT!$P$3:$P$1000)),"")</f>
        <v/>
      </c>
      <c r="Q46" s="37" t="str" cm="1">
        <f t="array" ref="Q46">IFERROR(IF(SUMPRODUCT((INPUT!$M$3:$M$1000=$B$3+4)*(INPUT!$N$3:$N$1000="M")*(INPUT!$O$3:$O$1000="J21"))=0,"",SUMPRODUCT((INPUT!$M$3:$M$1000=$B$3+4)*(INPUT!$N$3:$N$1000="M")*(INPUT!$O$3:$O$1000="J21")*INPUT!$Q$3:$Q$1000)),"")</f>
        <v/>
      </c>
      <c r="R46" s="37" t="str">
        <f t="shared" si="11"/>
        <v/>
      </c>
      <c r="S46" s="37" t="str" cm="1">
        <f t="array" ref="S46">IFERROR(IF(SUMPRODUCT((INPUT!$M$3:$M$1000=$B$3+5)*(INPUT!$N$3:$N$1000="M")*(INPUT!$O$3:$O$1000="J21"))=0,"",SUMPRODUCT((INPUT!$M$3:$M$1000=$B$3+5)*(INPUT!$N$3:$N$1000="M")*(INPUT!$O$3:$O$1000="J21")*INPUT!$P$3:$P$1000)),"")</f>
        <v/>
      </c>
      <c r="T46" s="37" t="str" cm="1">
        <f t="array" ref="T46">IFERROR(IF(SUMPRODUCT((INPUT!$M$3:$M$1000=$B$3+5)*(INPUT!$N$3:$N$1000="M")*(INPUT!$O$3:$O$1000="J21"))=0,"",SUMPRODUCT((INPUT!$M$3:$M$1000=$B$3+5)*(INPUT!$N$3:$N$1000="M")*(INPUT!$O$3:$O$1000="J21")*INPUT!$Q$3:$Q$1000)),"")</f>
        <v/>
      </c>
      <c r="U46" s="37" t="str">
        <f t="shared" si="12"/>
        <v/>
      </c>
      <c r="V46" s="37" t="str" cm="1">
        <f t="array" ref="V46">IFERROR(IF(SUMPRODUCT((INPUT!$M$3:$M$1000=$B$3+6)*(INPUT!$N$3:$N$1000="M")*(INPUT!$O$3:$O$1000="J21"))=0,"",SUMPRODUCT((INPUT!$M$3:$M$1000=$B$3+6)*(INPUT!$N$3:$N$1000="M")*(INPUT!$O$3:$O$1000="J21")*INPUT!$P$3:$P$1000)),"")</f>
        <v/>
      </c>
      <c r="W46" s="37" t="str" cm="1">
        <f t="array" ref="W46">IFERROR(IF(SUMPRODUCT((INPUT!$M$3:$M$1000=$B$3+6)*(INPUT!$N$3:$N$1000="M")*(INPUT!$O$3:$O$1000="J21"))=0,"",SUMPRODUCT((INPUT!$M$3:$M$1000=$B$3+6)*(INPUT!$N$3:$N$1000="M")*(INPUT!$O$3:$O$1000="J21")*INPUT!$Q$3:$Q$1000)),"")</f>
        <v/>
      </c>
      <c r="X46" s="38" t="str">
        <f t="shared" si="13"/>
        <v/>
      </c>
    </row>
    <row r="47" spans="1:24" x14ac:dyDescent="0.2">
      <c r="A47" s="200"/>
      <c r="B47" s="202"/>
      <c r="C47" s="36" t="s">
        <v>71</v>
      </c>
      <c r="D47" s="37" t="str" cm="1">
        <f t="array" ref="D47">IFERROR(IF(SUMPRODUCT((INPUT!$M$3:$M$1000=$B$3+0)*(INPUT!$N$3:$N$1000="T")*(INPUT!$O$3:$O$1000="J21"))=0,"",SUMPRODUCT((INPUT!$M$3:$M$1000=$B$3+0)*(INPUT!$N$3:$N$1000="T")*(INPUT!$O$3:$O$1000="J21")*INPUT!$P$3:$P$1000)),"")</f>
        <v/>
      </c>
      <c r="E47" s="37" t="str" cm="1">
        <f t="array" ref="E47">IFERROR(IF(SUMPRODUCT((INPUT!$M$3:$M$1000=$B$3+0)*(INPUT!$N$3:$N$1000="T")*(INPUT!$O$3:$O$1000="J21"))=0,"",SUMPRODUCT((INPUT!$M$3:$M$1000=$B$3+0)*(INPUT!$N$3:$N$1000="T")*(INPUT!$O$3:$O$1000="J21")*INPUT!$Q$3:$Q$1000)),"")</f>
        <v/>
      </c>
      <c r="F47" s="37" t="str">
        <f t="shared" si="7"/>
        <v/>
      </c>
      <c r="G47" s="37" t="str" cm="1">
        <f t="array" ref="G47">IFERROR(IF(SUMPRODUCT((INPUT!$M$3:$M$1000=$B$3+1)*(INPUT!$N$3:$N$1000="T")*(INPUT!$O$3:$O$1000="J21"))=0,"",SUMPRODUCT((INPUT!$M$3:$M$1000=$B$3+1)*(INPUT!$N$3:$N$1000="T")*(INPUT!$O$3:$O$1000="J21")*INPUT!$P$3:$P$1000)),"")</f>
        <v/>
      </c>
      <c r="H47" s="37" t="str" cm="1">
        <f t="array" ref="H47">IFERROR(IF(SUMPRODUCT((INPUT!$M$3:$M$1000=$B$3+1)*(INPUT!$N$3:$N$1000="T")*(INPUT!$O$3:$O$1000="J21"))=0,"",SUMPRODUCT((INPUT!$M$3:$M$1000=$B$3+1)*(INPUT!$N$3:$N$1000="T")*(INPUT!$O$3:$O$1000="J21")*INPUT!$Q$3:$Q$1000)),"")</f>
        <v/>
      </c>
      <c r="I47" s="37" t="str">
        <f t="shared" si="8"/>
        <v/>
      </c>
      <c r="J47" s="37" t="str" cm="1">
        <f t="array" ref="J47">IFERROR(IF(SUMPRODUCT((INPUT!$M$3:$M$1000=$B$3+2)*(INPUT!$N$3:$N$1000="T")*(INPUT!$O$3:$O$1000="J21"))=0,"",SUMPRODUCT((INPUT!$M$3:$M$1000=$B$3+2)*(INPUT!$N$3:$N$1000="T")*(INPUT!$O$3:$O$1000="J21")*INPUT!$P$3:$P$1000)),"")</f>
        <v/>
      </c>
      <c r="K47" s="37" t="str" cm="1">
        <f t="array" ref="K47">IFERROR(IF(SUMPRODUCT((INPUT!$M$3:$M$1000=$B$3+2)*(INPUT!$N$3:$N$1000="T")*(INPUT!$O$3:$O$1000="J21"))=0,"",SUMPRODUCT((INPUT!$M$3:$M$1000=$B$3+2)*(INPUT!$N$3:$N$1000="T")*(INPUT!$O$3:$O$1000="J21")*INPUT!$Q$3:$Q$1000)),"")</f>
        <v/>
      </c>
      <c r="L47" s="37" t="str">
        <f t="shared" si="9"/>
        <v/>
      </c>
      <c r="M47" s="37" t="str" cm="1">
        <f t="array" ref="M47">IFERROR(IF(SUMPRODUCT((INPUT!$M$3:$M$1000=$B$3+3)*(INPUT!$N$3:$N$1000="T")*(INPUT!$O$3:$O$1000="J21"))=0,"",SUMPRODUCT((INPUT!$M$3:$M$1000=$B$3+3)*(INPUT!$N$3:$N$1000="T")*(INPUT!$O$3:$O$1000="J21")*INPUT!$P$3:$P$1000)),"")</f>
        <v/>
      </c>
      <c r="N47" s="37" t="str" cm="1">
        <f t="array" ref="N47">IFERROR(IF(SUMPRODUCT((INPUT!$M$3:$M$1000=$B$3+3)*(INPUT!$N$3:$N$1000="T")*(INPUT!$O$3:$O$1000="J21"))=0,"",SUMPRODUCT((INPUT!$M$3:$M$1000=$B$3+3)*(INPUT!$N$3:$N$1000="T")*(INPUT!$O$3:$O$1000="J21")*INPUT!$Q$3:$Q$1000)),"")</f>
        <v/>
      </c>
      <c r="O47" s="37" t="str">
        <f t="shared" si="10"/>
        <v/>
      </c>
      <c r="P47" s="37" t="str" cm="1">
        <f t="array" ref="P47">IFERROR(IF(SUMPRODUCT((INPUT!$M$3:$M$1000=$B$3+4)*(INPUT!$N$3:$N$1000="T")*(INPUT!$O$3:$O$1000="J21"))=0,"",SUMPRODUCT((INPUT!$M$3:$M$1000=$B$3+4)*(INPUT!$N$3:$N$1000="T")*(INPUT!$O$3:$O$1000="J21")*INPUT!$P$3:$P$1000)),"")</f>
        <v/>
      </c>
      <c r="Q47" s="37" t="str" cm="1">
        <f t="array" ref="Q47">IFERROR(IF(SUMPRODUCT((INPUT!$M$3:$M$1000=$B$3+4)*(INPUT!$N$3:$N$1000="T")*(INPUT!$O$3:$O$1000="J21"))=0,"",SUMPRODUCT((INPUT!$M$3:$M$1000=$B$3+4)*(INPUT!$N$3:$N$1000="T")*(INPUT!$O$3:$O$1000="J21")*INPUT!$Q$3:$Q$1000)),"")</f>
        <v/>
      </c>
      <c r="R47" s="37" t="str">
        <f t="shared" si="11"/>
        <v/>
      </c>
      <c r="S47" s="37" t="str" cm="1">
        <f t="array" ref="S47">IFERROR(IF(SUMPRODUCT((INPUT!$M$3:$M$1000=$B$3+5)*(INPUT!$N$3:$N$1000="T")*(INPUT!$O$3:$O$1000="J21"))=0,"",SUMPRODUCT((INPUT!$M$3:$M$1000=$B$3+5)*(INPUT!$N$3:$N$1000="T")*(INPUT!$O$3:$O$1000="J21")*INPUT!$P$3:$P$1000)),"")</f>
        <v/>
      </c>
      <c r="T47" s="37" t="str" cm="1">
        <f t="array" ref="T47">IFERROR(IF(SUMPRODUCT((INPUT!$M$3:$M$1000=$B$3+5)*(INPUT!$N$3:$N$1000="T")*(INPUT!$O$3:$O$1000="J21"))=0,"",SUMPRODUCT((INPUT!$M$3:$M$1000=$B$3+5)*(INPUT!$N$3:$N$1000="T")*(INPUT!$O$3:$O$1000="J21")*INPUT!$Q$3:$Q$1000)),"")</f>
        <v/>
      </c>
      <c r="U47" s="37" t="str">
        <f t="shared" si="12"/>
        <v/>
      </c>
      <c r="V47" s="37" t="str" cm="1">
        <f t="array" ref="V47">IFERROR(IF(SUMPRODUCT((INPUT!$M$3:$M$1000=$B$3+6)*(INPUT!$N$3:$N$1000="T")*(INPUT!$O$3:$O$1000="J21"))=0,"",SUMPRODUCT((INPUT!$M$3:$M$1000=$B$3+6)*(INPUT!$N$3:$N$1000="T")*(INPUT!$O$3:$O$1000="J21")*INPUT!$P$3:$P$1000)),"")</f>
        <v/>
      </c>
      <c r="W47" s="37" t="str" cm="1">
        <f t="array" ref="W47">IFERROR(IF(SUMPRODUCT((INPUT!$M$3:$M$1000=$B$3+6)*(INPUT!$N$3:$N$1000="T")*(INPUT!$O$3:$O$1000="J21"))=0,"",SUMPRODUCT((INPUT!$M$3:$M$1000=$B$3+6)*(INPUT!$N$3:$N$1000="T")*(INPUT!$O$3:$O$1000="J21")*INPUT!$Q$3:$Q$1000)),"")</f>
        <v/>
      </c>
      <c r="X47" s="38" t="str">
        <f t="shared" si="13"/>
        <v/>
      </c>
    </row>
    <row r="48" spans="1:24" x14ac:dyDescent="0.2">
      <c r="A48" s="203">
        <v>22</v>
      </c>
      <c r="B48" s="204" t="s">
        <v>86</v>
      </c>
      <c r="C48" s="36" t="s">
        <v>70</v>
      </c>
      <c r="D48" s="37" t="str" cm="1">
        <f t="array" ref="D48">IFERROR(IF(SUMPRODUCT((INPUT!$M$3:$M$1000=$B$3+0)*(INPUT!$N$3:$N$1000="M")*(INPUT!$O$3:$O$1000="J22"))=0,"",SUMPRODUCT((INPUT!$M$3:$M$1000=$B$3+0)*(INPUT!$N$3:$N$1000="M")*(INPUT!$O$3:$O$1000="J22")*INPUT!$P$3:$P$1000)),"")</f>
        <v/>
      </c>
      <c r="E48" s="37" t="str" cm="1">
        <f t="array" ref="E48">IFERROR(IF(SUMPRODUCT((INPUT!$M$3:$M$1000=$B$3+0)*(INPUT!$N$3:$N$1000="M")*(INPUT!$O$3:$O$1000="J22"))=0,"",SUMPRODUCT((INPUT!$M$3:$M$1000=$B$3+0)*(INPUT!$N$3:$N$1000="M")*(INPUT!$O$3:$O$1000="J22")*INPUT!$Q$3:$Q$1000)),"")</f>
        <v/>
      </c>
      <c r="F48" s="37" t="str">
        <f t="shared" si="7"/>
        <v/>
      </c>
      <c r="G48" s="37" t="str" cm="1">
        <f t="array" ref="G48">IFERROR(IF(SUMPRODUCT((INPUT!$M$3:$M$1000=$B$3+1)*(INPUT!$N$3:$N$1000="M")*(INPUT!$O$3:$O$1000="J22"))=0,"",SUMPRODUCT((INPUT!$M$3:$M$1000=$B$3+1)*(INPUT!$N$3:$N$1000="M")*(INPUT!$O$3:$O$1000="J22")*INPUT!$P$3:$P$1000)),"")</f>
        <v/>
      </c>
      <c r="H48" s="37" t="str" cm="1">
        <f t="array" ref="H48">IFERROR(IF(SUMPRODUCT((INPUT!$M$3:$M$1000=$B$3+1)*(INPUT!$N$3:$N$1000="M")*(INPUT!$O$3:$O$1000="J22"))=0,"",SUMPRODUCT((INPUT!$M$3:$M$1000=$B$3+1)*(INPUT!$N$3:$N$1000="M")*(INPUT!$O$3:$O$1000="J22")*INPUT!$Q$3:$Q$1000)),"")</f>
        <v/>
      </c>
      <c r="I48" s="37" t="str">
        <f t="shared" si="8"/>
        <v/>
      </c>
      <c r="J48" s="37" t="str" cm="1">
        <f t="array" ref="J48">IFERROR(IF(SUMPRODUCT((INPUT!$M$3:$M$1000=$B$3+2)*(INPUT!$N$3:$N$1000="M")*(INPUT!$O$3:$O$1000="J22"))=0,"",SUMPRODUCT((INPUT!$M$3:$M$1000=$B$3+2)*(INPUT!$N$3:$N$1000="M")*(INPUT!$O$3:$O$1000="J22")*INPUT!$P$3:$P$1000)),"")</f>
        <v/>
      </c>
      <c r="K48" s="37" t="str" cm="1">
        <f t="array" ref="K48">IFERROR(IF(SUMPRODUCT((INPUT!$M$3:$M$1000=$B$3+2)*(INPUT!$N$3:$N$1000="M")*(INPUT!$O$3:$O$1000="J22"))=0,"",SUMPRODUCT((INPUT!$M$3:$M$1000=$B$3+2)*(INPUT!$N$3:$N$1000="M")*(INPUT!$O$3:$O$1000="J22")*INPUT!$Q$3:$Q$1000)),"")</f>
        <v/>
      </c>
      <c r="L48" s="37" t="str">
        <f t="shared" si="9"/>
        <v/>
      </c>
      <c r="M48" s="37" t="str" cm="1">
        <f t="array" ref="M48">IFERROR(IF(SUMPRODUCT((INPUT!$M$3:$M$1000=$B$3+3)*(INPUT!$N$3:$N$1000="M")*(INPUT!$O$3:$O$1000="J22"))=0,"",SUMPRODUCT((INPUT!$M$3:$M$1000=$B$3+3)*(INPUT!$N$3:$N$1000="M")*(INPUT!$O$3:$O$1000="J22")*INPUT!$P$3:$P$1000)),"")</f>
        <v/>
      </c>
      <c r="N48" s="37" t="str" cm="1">
        <f t="array" ref="N48">IFERROR(IF(SUMPRODUCT((INPUT!$M$3:$M$1000=$B$3+3)*(INPUT!$N$3:$N$1000="M")*(INPUT!$O$3:$O$1000="J22"))=0,"",SUMPRODUCT((INPUT!$M$3:$M$1000=$B$3+3)*(INPUT!$N$3:$N$1000="M")*(INPUT!$O$3:$O$1000="J22")*INPUT!$Q$3:$Q$1000)),"")</f>
        <v/>
      </c>
      <c r="O48" s="37" t="str">
        <f t="shared" si="10"/>
        <v/>
      </c>
      <c r="P48" s="37" t="str" cm="1">
        <f t="array" ref="P48">IFERROR(IF(SUMPRODUCT((INPUT!$M$3:$M$1000=$B$3+4)*(INPUT!$N$3:$N$1000="M")*(INPUT!$O$3:$O$1000="J22"))=0,"",SUMPRODUCT((INPUT!$M$3:$M$1000=$B$3+4)*(INPUT!$N$3:$N$1000="M")*(INPUT!$O$3:$O$1000="J22")*INPUT!$P$3:$P$1000)),"")</f>
        <v/>
      </c>
      <c r="Q48" s="37" t="str" cm="1">
        <f t="array" ref="Q48">IFERROR(IF(SUMPRODUCT((INPUT!$M$3:$M$1000=$B$3+4)*(INPUT!$N$3:$N$1000="M")*(INPUT!$O$3:$O$1000="J22"))=0,"",SUMPRODUCT((INPUT!$M$3:$M$1000=$B$3+4)*(INPUT!$N$3:$N$1000="M")*(INPUT!$O$3:$O$1000="J22")*INPUT!$Q$3:$Q$1000)),"")</f>
        <v/>
      </c>
      <c r="R48" s="37" t="str">
        <f t="shared" si="11"/>
        <v/>
      </c>
      <c r="S48" s="37" t="str" cm="1">
        <f t="array" ref="S48">IFERROR(IF(SUMPRODUCT((INPUT!$M$3:$M$1000=$B$3+5)*(INPUT!$N$3:$N$1000="M")*(INPUT!$O$3:$O$1000="J22"))=0,"",SUMPRODUCT((INPUT!$M$3:$M$1000=$B$3+5)*(INPUT!$N$3:$N$1000="M")*(INPUT!$O$3:$O$1000="J22")*INPUT!$P$3:$P$1000)),"")</f>
        <v/>
      </c>
      <c r="T48" s="37" t="str" cm="1">
        <f t="array" ref="T48">IFERROR(IF(SUMPRODUCT((INPUT!$M$3:$M$1000=$B$3+5)*(INPUT!$N$3:$N$1000="M")*(INPUT!$O$3:$O$1000="J22"))=0,"",SUMPRODUCT((INPUT!$M$3:$M$1000=$B$3+5)*(INPUT!$N$3:$N$1000="M")*(INPUT!$O$3:$O$1000="J22")*INPUT!$Q$3:$Q$1000)),"")</f>
        <v/>
      </c>
      <c r="U48" s="37" t="str">
        <f t="shared" si="12"/>
        <v/>
      </c>
      <c r="V48" s="37" t="str" cm="1">
        <f t="array" ref="V48">IFERROR(IF(SUMPRODUCT((INPUT!$M$3:$M$1000=$B$3+6)*(INPUT!$N$3:$N$1000="M")*(INPUT!$O$3:$O$1000="J22"))=0,"",SUMPRODUCT((INPUT!$M$3:$M$1000=$B$3+6)*(INPUT!$N$3:$N$1000="M")*(INPUT!$O$3:$O$1000="J22")*INPUT!$P$3:$P$1000)),"")</f>
        <v/>
      </c>
      <c r="W48" s="37" t="str" cm="1">
        <f t="array" ref="W48">IFERROR(IF(SUMPRODUCT((INPUT!$M$3:$M$1000=$B$3+6)*(INPUT!$N$3:$N$1000="M")*(INPUT!$O$3:$O$1000="J22"))=0,"",SUMPRODUCT((INPUT!$M$3:$M$1000=$B$3+6)*(INPUT!$N$3:$N$1000="M")*(INPUT!$O$3:$O$1000="J22")*INPUT!$Q$3:$Q$1000)),"")</f>
        <v/>
      </c>
      <c r="X48" s="38" t="str">
        <f t="shared" si="13"/>
        <v/>
      </c>
    </row>
    <row r="49" spans="1:24" x14ac:dyDescent="0.2">
      <c r="A49" s="200"/>
      <c r="B49" s="202"/>
      <c r="C49" s="36" t="s">
        <v>71</v>
      </c>
      <c r="D49" s="37" t="str" cm="1">
        <f t="array" ref="D49">IFERROR(IF(SUMPRODUCT((INPUT!$M$3:$M$1000=$B$3+0)*(INPUT!$N$3:$N$1000="T")*(INPUT!$O$3:$O$1000="J22"))=0,"",SUMPRODUCT((INPUT!$M$3:$M$1000=$B$3+0)*(INPUT!$N$3:$N$1000="T")*(INPUT!$O$3:$O$1000="J22")*INPUT!$P$3:$P$1000)),"")</f>
        <v/>
      </c>
      <c r="E49" s="37" t="str" cm="1">
        <f t="array" ref="E49">IFERROR(IF(SUMPRODUCT((INPUT!$M$3:$M$1000=$B$3+0)*(INPUT!$N$3:$N$1000="T")*(INPUT!$O$3:$O$1000="J22"))=0,"",SUMPRODUCT((INPUT!$M$3:$M$1000=$B$3+0)*(INPUT!$N$3:$N$1000="T")*(INPUT!$O$3:$O$1000="J22")*INPUT!$Q$3:$Q$1000)),"")</f>
        <v/>
      </c>
      <c r="F49" s="37" t="str">
        <f t="shared" si="7"/>
        <v/>
      </c>
      <c r="G49" s="37" t="str" cm="1">
        <f t="array" ref="G49">IFERROR(IF(SUMPRODUCT((INPUT!$M$3:$M$1000=$B$3+1)*(INPUT!$N$3:$N$1000="T")*(INPUT!$O$3:$O$1000="J22"))=0,"",SUMPRODUCT((INPUT!$M$3:$M$1000=$B$3+1)*(INPUT!$N$3:$N$1000="T")*(INPUT!$O$3:$O$1000="J22")*INPUT!$P$3:$P$1000)),"")</f>
        <v/>
      </c>
      <c r="H49" s="37" t="str" cm="1">
        <f t="array" ref="H49">IFERROR(IF(SUMPRODUCT((INPUT!$M$3:$M$1000=$B$3+1)*(INPUT!$N$3:$N$1000="T")*(INPUT!$O$3:$O$1000="J22"))=0,"",SUMPRODUCT((INPUT!$M$3:$M$1000=$B$3+1)*(INPUT!$N$3:$N$1000="T")*(INPUT!$O$3:$O$1000="J22")*INPUT!$Q$3:$Q$1000)),"")</f>
        <v/>
      </c>
      <c r="I49" s="37" t="str">
        <f t="shared" si="8"/>
        <v/>
      </c>
      <c r="J49" s="37" t="str" cm="1">
        <f t="array" ref="J49">IFERROR(IF(SUMPRODUCT((INPUT!$M$3:$M$1000=$B$3+2)*(INPUT!$N$3:$N$1000="T")*(INPUT!$O$3:$O$1000="J22"))=0,"",SUMPRODUCT((INPUT!$M$3:$M$1000=$B$3+2)*(INPUT!$N$3:$N$1000="T")*(INPUT!$O$3:$O$1000="J22")*INPUT!$P$3:$P$1000)),"")</f>
        <v/>
      </c>
      <c r="K49" s="37" t="str" cm="1">
        <f t="array" ref="K49">IFERROR(IF(SUMPRODUCT((INPUT!$M$3:$M$1000=$B$3+2)*(INPUT!$N$3:$N$1000="T")*(INPUT!$O$3:$O$1000="J22"))=0,"",SUMPRODUCT((INPUT!$M$3:$M$1000=$B$3+2)*(INPUT!$N$3:$N$1000="T")*(INPUT!$O$3:$O$1000="J22")*INPUT!$Q$3:$Q$1000)),"")</f>
        <v/>
      </c>
      <c r="L49" s="37" t="str">
        <f t="shared" si="9"/>
        <v/>
      </c>
      <c r="M49" s="37" t="str" cm="1">
        <f t="array" ref="M49">IFERROR(IF(SUMPRODUCT((INPUT!$M$3:$M$1000=$B$3+3)*(INPUT!$N$3:$N$1000="T")*(INPUT!$O$3:$O$1000="J22"))=0,"",SUMPRODUCT((INPUT!$M$3:$M$1000=$B$3+3)*(INPUT!$N$3:$N$1000="T")*(INPUT!$O$3:$O$1000="J22")*INPUT!$P$3:$P$1000)),"")</f>
        <v/>
      </c>
      <c r="N49" s="37" t="str" cm="1">
        <f t="array" ref="N49">IFERROR(IF(SUMPRODUCT((INPUT!$M$3:$M$1000=$B$3+3)*(INPUT!$N$3:$N$1000="T")*(INPUT!$O$3:$O$1000="J22"))=0,"",SUMPRODUCT((INPUT!$M$3:$M$1000=$B$3+3)*(INPUT!$N$3:$N$1000="T")*(INPUT!$O$3:$O$1000="J22")*INPUT!$Q$3:$Q$1000)),"")</f>
        <v/>
      </c>
      <c r="O49" s="37" t="str">
        <f t="shared" si="10"/>
        <v/>
      </c>
      <c r="P49" s="37" t="str" cm="1">
        <f t="array" ref="P49">IFERROR(IF(SUMPRODUCT((INPUT!$M$3:$M$1000=$B$3+4)*(INPUT!$N$3:$N$1000="T")*(INPUT!$O$3:$O$1000="J22"))=0,"",SUMPRODUCT((INPUT!$M$3:$M$1000=$B$3+4)*(INPUT!$N$3:$N$1000="T")*(INPUT!$O$3:$O$1000="J22")*INPUT!$P$3:$P$1000)),"")</f>
        <v/>
      </c>
      <c r="Q49" s="37" t="str" cm="1">
        <f t="array" ref="Q49">IFERROR(IF(SUMPRODUCT((INPUT!$M$3:$M$1000=$B$3+4)*(INPUT!$N$3:$N$1000="T")*(INPUT!$O$3:$O$1000="J22"))=0,"",SUMPRODUCT((INPUT!$M$3:$M$1000=$B$3+4)*(INPUT!$N$3:$N$1000="T")*(INPUT!$O$3:$O$1000="J22")*INPUT!$Q$3:$Q$1000)),"")</f>
        <v/>
      </c>
      <c r="R49" s="37" t="str">
        <f t="shared" si="11"/>
        <v/>
      </c>
      <c r="S49" s="37" t="str" cm="1">
        <f t="array" ref="S49">IFERROR(IF(SUMPRODUCT((INPUT!$M$3:$M$1000=$B$3+5)*(INPUT!$N$3:$N$1000="T")*(INPUT!$O$3:$O$1000="J22"))=0,"",SUMPRODUCT((INPUT!$M$3:$M$1000=$B$3+5)*(INPUT!$N$3:$N$1000="T")*(INPUT!$O$3:$O$1000="J22")*INPUT!$P$3:$P$1000)),"")</f>
        <v/>
      </c>
      <c r="T49" s="37" t="str" cm="1">
        <f t="array" ref="T49">IFERROR(IF(SUMPRODUCT((INPUT!$M$3:$M$1000=$B$3+5)*(INPUT!$N$3:$N$1000="T")*(INPUT!$O$3:$O$1000="J22"))=0,"",SUMPRODUCT((INPUT!$M$3:$M$1000=$B$3+5)*(INPUT!$N$3:$N$1000="T")*(INPUT!$O$3:$O$1000="J22")*INPUT!$Q$3:$Q$1000)),"")</f>
        <v/>
      </c>
      <c r="U49" s="37" t="str">
        <f t="shared" si="12"/>
        <v/>
      </c>
      <c r="V49" s="37" t="str" cm="1">
        <f t="array" ref="V49">IFERROR(IF(SUMPRODUCT((INPUT!$M$3:$M$1000=$B$3+6)*(INPUT!$N$3:$N$1000="T")*(INPUT!$O$3:$O$1000="J22"))=0,"",SUMPRODUCT((INPUT!$M$3:$M$1000=$B$3+6)*(INPUT!$N$3:$N$1000="T")*(INPUT!$O$3:$O$1000="J22")*INPUT!$P$3:$P$1000)),"")</f>
        <v/>
      </c>
      <c r="W49" s="37" t="str" cm="1">
        <f t="array" ref="W49">IFERROR(IF(SUMPRODUCT((INPUT!$M$3:$M$1000=$B$3+6)*(INPUT!$N$3:$N$1000="T")*(INPUT!$O$3:$O$1000="J22"))=0,"",SUMPRODUCT((INPUT!$M$3:$M$1000=$B$3+6)*(INPUT!$N$3:$N$1000="T")*(INPUT!$O$3:$O$1000="J22")*INPUT!$Q$3:$Q$1000)),"")</f>
        <v/>
      </c>
      <c r="X49" s="38" t="str">
        <f t="shared" si="13"/>
        <v/>
      </c>
    </row>
    <row r="50" spans="1:24" x14ac:dyDescent="0.2">
      <c r="A50" s="203">
        <v>23</v>
      </c>
      <c r="B50" s="204" t="s">
        <v>87</v>
      </c>
      <c r="C50" s="36" t="s">
        <v>70</v>
      </c>
      <c r="D50" s="37" t="str" cm="1">
        <f t="array" ref="D50">IFERROR(IF(SUMPRODUCT((INPUT!$M$3:$M$1000=$B$3+0)*(INPUT!$N$3:$N$1000="M")*(INPUT!$O$3:$O$1000="J23"))=0,"",SUMPRODUCT((INPUT!$M$3:$M$1000=$B$3+0)*(INPUT!$N$3:$N$1000="M")*(INPUT!$O$3:$O$1000="J23")*INPUT!$P$3:$P$1000)),"")</f>
        <v/>
      </c>
      <c r="E50" s="37" t="str" cm="1">
        <f t="array" ref="E50">IFERROR(IF(SUMPRODUCT((INPUT!$M$3:$M$1000=$B$3+0)*(INPUT!$N$3:$N$1000="M")*(INPUT!$O$3:$O$1000="J23"))=0,"",SUMPRODUCT((INPUT!$M$3:$M$1000=$B$3+0)*(INPUT!$N$3:$N$1000="M")*(INPUT!$O$3:$O$1000="J23")*INPUT!$Q$3:$Q$1000)),"")</f>
        <v/>
      </c>
      <c r="F50" s="37" t="str">
        <f t="shared" si="7"/>
        <v/>
      </c>
      <c r="G50" s="37" t="str" cm="1">
        <f t="array" ref="G50">IFERROR(IF(SUMPRODUCT((INPUT!$M$3:$M$1000=$B$3+1)*(INPUT!$N$3:$N$1000="M")*(INPUT!$O$3:$O$1000="J23"))=0,"",SUMPRODUCT((INPUT!$M$3:$M$1000=$B$3+1)*(INPUT!$N$3:$N$1000="M")*(INPUT!$O$3:$O$1000="J23")*INPUT!$P$3:$P$1000)),"")</f>
        <v/>
      </c>
      <c r="H50" s="37" t="str" cm="1">
        <f t="array" ref="H50">IFERROR(IF(SUMPRODUCT((INPUT!$M$3:$M$1000=$B$3+1)*(INPUT!$N$3:$N$1000="M")*(INPUT!$O$3:$O$1000="J23"))=0,"",SUMPRODUCT((INPUT!$M$3:$M$1000=$B$3+1)*(INPUT!$N$3:$N$1000="M")*(INPUT!$O$3:$O$1000="J23")*INPUT!$Q$3:$Q$1000)),"")</f>
        <v/>
      </c>
      <c r="I50" s="37" t="str">
        <f t="shared" si="8"/>
        <v/>
      </c>
      <c r="J50" s="37" t="str" cm="1">
        <f t="array" ref="J50">IFERROR(IF(SUMPRODUCT((INPUT!$M$3:$M$1000=$B$3+2)*(INPUT!$N$3:$N$1000="M")*(INPUT!$O$3:$O$1000="J23"))=0,"",SUMPRODUCT((INPUT!$M$3:$M$1000=$B$3+2)*(INPUT!$N$3:$N$1000="M")*(INPUT!$O$3:$O$1000="J23")*INPUT!$P$3:$P$1000)),"")</f>
        <v/>
      </c>
      <c r="K50" s="37" t="str" cm="1">
        <f t="array" ref="K50">IFERROR(IF(SUMPRODUCT((INPUT!$M$3:$M$1000=$B$3+2)*(INPUT!$N$3:$N$1000="M")*(INPUT!$O$3:$O$1000="J23"))=0,"",SUMPRODUCT((INPUT!$M$3:$M$1000=$B$3+2)*(INPUT!$N$3:$N$1000="M")*(INPUT!$O$3:$O$1000="J23")*INPUT!$Q$3:$Q$1000)),"")</f>
        <v/>
      </c>
      <c r="L50" s="37" t="str">
        <f t="shared" si="9"/>
        <v/>
      </c>
      <c r="M50" s="37" t="str" cm="1">
        <f t="array" ref="M50">IFERROR(IF(SUMPRODUCT((INPUT!$M$3:$M$1000=$B$3+3)*(INPUT!$N$3:$N$1000="M")*(INPUT!$O$3:$O$1000="J23"))=0,"",SUMPRODUCT((INPUT!$M$3:$M$1000=$B$3+3)*(INPUT!$N$3:$N$1000="M")*(INPUT!$O$3:$O$1000="J23")*INPUT!$P$3:$P$1000)),"")</f>
        <v/>
      </c>
      <c r="N50" s="37" t="str" cm="1">
        <f t="array" ref="N50">IFERROR(IF(SUMPRODUCT((INPUT!$M$3:$M$1000=$B$3+3)*(INPUT!$N$3:$N$1000="M")*(INPUT!$O$3:$O$1000="J23"))=0,"",SUMPRODUCT((INPUT!$M$3:$M$1000=$B$3+3)*(INPUT!$N$3:$N$1000="M")*(INPUT!$O$3:$O$1000="J23")*INPUT!$Q$3:$Q$1000)),"")</f>
        <v/>
      </c>
      <c r="O50" s="37" t="str">
        <f t="shared" si="10"/>
        <v/>
      </c>
      <c r="P50" s="37" t="str" cm="1">
        <f t="array" ref="P50">IFERROR(IF(SUMPRODUCT((INPUT!$M$3:$M$1000=$B$3+4)*(INPUT!$N$3:$N$1000="M")*(INPUT!$O$3:$O$1000="J23"))=0,"",SUMPRODUCT((INPUT!$M$3:$M$1000=$B$3+4)*(INPUT!$N$3:$N$1000="M")*(INPUT!$O$3:$O$1000="J23")*INPUT!$P$3:$P$1000)),"")</f>
        <v/>
      </c>
      <c r="Q50" s="37" t="str" cm="1">
        <f t="array" ref="Q50">IFERROR(IF(SUMPRODUCT((INPUT!$M$3:$M$1000=$B$3+4)*(INPUT!$N$3:$N$1000="M")*(INPUT!$O$3:$O$1000="J23"))=0,"",SUMPRODUCT((INPUT!$M$3:$M$1000=$B$3+4)*(INPUT!$N$3:$N$1000="M")*(INPUT!$O$3:$O$1000="J23")*INPUT!$Q$3:$Q$1000)),"")</f>
        <v/>
      </c>
      <c r="R50" s="37" t="str">
        <f t="shared" si="11"/>
        <v/>
      </c>
      <c r="S50" s="37" t="str" cm="1">
        <f t="array" ref="S50">IFERROR(IF(SUMPRODUCT((INPUT!$M$3:$M$1000=$B$3+5)*(INPUT!$N$3:$N$1000="M")*(INPUT!$O$3:$O$1000="J23"))=0,"",SUMPRODUCT((INPUT!$M$3:$M$1000=$B$3+5)*(INPUT!$N$3:$N$1000="M")*(INPUT!$O$3:$O$1000="J23")*INPUT!$P$3:$P$1000)),"")</f>
        <v/>
      </c>
      <c r="T50" s="37" t="str" cm="1">
        <f t="array" ref="T50">IFERROR(IF(SUMPRODUCT((INPUT!$M$3:$M$1000=$B$3+5)*(INPUT!$N$3:$N$1000="M")*(INPUT!$O$3:$O$1000="J23"))=0,"",SUMPRODUCT((INPUT!$M$3:$M$1000=$B$3+5)*(INPUT!$N$3:$N$1000="M")*(INPUT!$O$3:$O$1000="J23")*INPUT!$Q$3:$Q$1000)),"")</f>
        <v/>
      </c>
      <c r="U50" s="37" t="str">
        <f t="shared" si="12"/>
        <v/>
      </c>
      <c r="V50" s="37" t="str" cm="1">
        <f t="array" ref="V50">IFERROR(IF(SUMPRODUCT((INPUT!$M$3:$M$1000=$B$3+6)*(INPUT!$N$3:$N$1000="M")*(INPUT!$O$3:$O$1000="J23"))=0,"",SUMPRODUCT((INPUT!$M$3:$M$1000=$B$3+6)*(INPUT!$N$3:$N$1000="M")*(INPUT!$O$3:$O$1000="J23")*INPUT!$P$3:$P$1000)),"")</f>
        <v/>
      </c>
      <c r="W50" s="37" t="str" cm="1">
        <f t="array" ref="W50">IFERROR(IF(SUMPRODUCT((INPUT!$M$3:$M$1000=$B$3+6)*(INPUT!$N$3:$N$1000="M")*(INPUT!$O$3:$O$1000="J23"))=0,"",SUMPRODUCT((INPUT!$M$3:$M$1000=$B$3+6)*(INPUT!$N$3:$N$1000="M")*(INPUT!$O$3:$O$1000="J23")*INPUT!$Q$3:$Q$1000)),"")</f>
        <v/>
      </c>
      <c r="X50" s="38" t="str">
        <f t="shared" si="13"/>
        <v/>
      </c>
    </row>
    <row r="51" spans="1:24" x14ac:dyDescent="0.2">
      <c r="A51" s="200"/>
      <c r="B51" s="202"/>
      <c r="C51" s="36" t="s">
        <v>71</v>
      </c>
      <c r="D51" s="37" t="str" cm="1">
        <f t="array" ref="D51">IFERROR(IF(SUMPRODUCT((INPUT!$M$3:$M$1000=$B$3+0)*(INPUT!$N$3:$N$1000="T")*(INPUT!$O$3:$O$1000="J23"))=0,"",SUMPRODUCT((INPUT!$M$3:$M$1000=$B$3+0)*(INPUT!$N$3:$N$1000="T")*(INPUT!$O$3:$O$1000="J23")*INPUT!$P$3:$P$1000)),"")</f>
        <v/>
      </c>
      <c r="E51" s="37" t="str" cm="1">
        <f t="array" ref="E51">IFERROR(IF(SUMPRODUCT((INPUT!$M$3:$M$1000=$B$3+0)*(INPUT!$N$3:$N$1000="T")*(INPUT!$O$3:$O$1000="J23"))=0,"",SUMPRODUCT((INPUT!$M$3:$M$1000=$B$3+0)*(INPUT!$N$3:$N$1000="T")*(INPUT!$O$3:$O$1000="J23")*INPUT!$Q$3:$Q$1000)),"")</f>
        <v/>
      </c>
      <c r="F51" s="37" t="str">
        <f t="shared" si="7"/>
        <v/>
      </c>
      <c r="G51" s="37" t="str" cm="1">
        <f t="array" ref="G51">IFERROR(IF(SUMPRODUCT((INPUT!$M$3:$M$1000=$B$3+1)*(INPUT!$N$3:$N$1000="T")*(INPUT!$O$3:$O$1000="J23"))=0,"",SUMPRODUCT((INPUT!$M$3:$M$1000=$B$3+1)*(INPUT!$N$3:$N$1000="T")*(INPUT!$O$3:$O$1000="J23")*INPUT!$P$3:$P$1000)),"")</f>
        <v/>
      </c>
      <c r="H51" s="37" t="str" cm="1">
        <f t="array" ref="H51">IFERROR(IF(SUMPRODUCT((INPUT!$M$3:$M$1000=$B$3+1)*(INPUT!$N$3:$N$1000="T")*(INPUT!$O$3:$O$1000="J23"))=0,"",SUMPRODUCT((INPUT!$M$3:$M$1000=$B$3+1)*(INPUT!$N$3:$N$1000="T")*(INPUT!$O$3:$O$1000="J23")*INPUT!$Q$3:$Q$1000)),"")</f>
        <v/>
      </c>
      <c r="I51" s="37" t="str">
        <f t="shared" si="8"/>
        <v/>
      </c>
      <c r="J51" s="37" t="str" cm="1">
        <f t="array" ref="J51">IFERROR(IF(SUMPRODUCT((INPUT!$M$3:$M$1000=$B$3+2)*(INPUT!$N$3:$N$1000="T")*(INPUT!$O$3:$O$1000="J23"))=0,"",SUMPRODUCT((INPUT!$M$3:$M$1000=$B$3+2)*(INPUT!$N$3:$N$1000="T")*(INPUT!$O$3:$O$1000="J23")*INPUT!$P$3:$P$1000)),"")</f>
        <v/>
      </c>
      <c r="K51" s="37" t="str" cm="1">
        <f t="array" ref="K51">IFERROR(IF(SUMPRODUCT((INPUT!$M$3:$M$1000=$B$3+2)*(INPUT!$N$3:$N$1000="T")*(INPUT!$O$3:$O$1000="J23"))=0,"",SUMPRODUCT((INPUT!$M$3:$M$1000=$B$3+2)*(INPUT!$N$3:$N$1000="T")*(INPUT!$O$3:$O$1000="J23")*INPUT!$Q$3:$Q$1000)),"")</f>
        <v/>
      </c>
      <c r="L51" s="37" t="str">
        <f t="shared" si="9"/>
        <v/>
      </c>
      <c r="M51" s="37" t="str" cm="1">
        <f t="array" ref="M51">IFERROR(IF(SUMPRODUCT((INPUT!$M$3:$M$1000=$B$3+3)*(INPUT!$N$3:$N$1000="T")*(INPUT!$O$3:$O$1000="J23"))=0,"",SUMPRODUCT((INPUT!$M$3:$M$1000=$B$3+3)*(INPUT!$N$3:$N$1000="T")*(INPUT!$O$3:$O$1000="J23")*INPUT!$P$3:$P$1000)),"")</f>
        <v/>
      </c>
      <c r="N51" s="37" t="str" cm="1">
        <f t="array" ref="N51">IFERROR(IF(SUMPRODUCT((INPUT!$M$3:$M$1000=$B$3+3)*(INPUT!$N$3:$N$1000="T")*(INPUT!$O$3:$O$1000="J23"))=0,"",SUMPRODUCT((INPUT!$M$3:$M$1000=$B$3+3)*(INPUT!$N$3:$N$1000="T")*(INPUT!$O$3:$O$1000="J23")*INPUT!$Q$3:$Q$1000)),"")</f>
        <v/>
      </c>
      <c r="O51" s="37" t="str">
        <f t="shared" si="10"/>
        <v/>
      </c>
      <c r="P51" s="37" t="str" cm="1">
        <f t="array" ref="P51">IFERROR(IF(SUMPRODUCT((INPUT!$M$3:$M$1000=$B$3+4)*(INPUT!$N$3:$N$1000="T")*(INPUT!$O$3:$O$1000="J23"))=0,"",SUMPRODUCT((INPUT!$M$3:$M$1000=$B$3+4)*(INPUT!$N$3:$N$1000="T")*(INPUT!$O$3:$O$1000="J23")*INPUT!$P$3:$P$1000)),"")</f>
        <v/>
      </c>
      <c r="Q51" s="37" t="str" cm="1">
        <f t="array" ref="Q51">IFERROR(IF(SUMPRODUCT((INPUT!$M$3:$M$1000=$B$3+4)*(INPUT!$N$3:$N$1000="T")*(INPUT!$O$3:$O$1000="J23"))=0,"",SUMPRODUCT((INPUT!$M$3:$M$1000=$B$3+4)*(INPUT!$N$3:$N$1000="T")*(INPUT!$O$3:$O$1000="J23")*INPUT!$Q$3:$Q$1000)),"")</f>
        <v/>
      </c>
      <c r="R51" s="37" t="str">
        <f t="shared" si="11"/>
        <v/>
      </c>
      <c r="S51" s="37" t="str" cm="1">
        <f t="array" ref="S51">IFERROR(IF(SUMPRODUCT((INPUT!$M$3:$M$1000=$B$3+5)*(INPUT!$N$3:$N$1000="T")*(INPUT!$O$3:$O$1000="J23"))=0,"",SUMPRODUCT((INPUT!$M$3:$M$1000=$B$3+5)*(INPUT!$N$3:$N$1000="T")*(INPUT!$O$3:$O$1000="J23")*INPUT!$P$3:$P$1000)),"")</f>
        <v/>
      </c>
      <c r="T51" s="37" t="str" cm="1">
        <f t="array" ref="T51">IFERROR(IF(SUMPRODUCT((INPUT!$M$3:$M$1000=$B$3+5)*(INPUT!$N$3:$N$1000="T")*(INPUT!$O$3:$O$1000="J23"))=0,"",SUMPRODUCT((INPUT!$M$3:$M$1000=$B$3+5)*(INPUT!$N$3:$N$1000="T")*(INPUT!$O$3:$O$1000="J23")*INPUT!$Q$3:$Q$1000)),"")</f>
        <v/>
      </c>
      <c r="U51" s="37" t="str">
        <f t="shared" si="12"/>
        <v/>
      </c>
      <c r="V51" s="37" t="str" cm="1">
        <f t="array" ref="V51">IFERROR(IF(SUMPRODUCT((INPUT!$M$3:$M$1000=$B$3+6)*(INPUT!$N$3:$N$1000="T")*(INPUT!$O$3:$O$1000="J23"))=0,"",SUMPRODUCT((INPUT!$M$3:$M$1000=$B$3+6)*(INPUT!$N$3:$N$1000="T")*(INPUT!$O$3:$O$1000="J23")*INPUT!$P$3:$P$1000)),"")</f>
        <v/>
      </c>
      <c r="W51" s="37" t="str" cm="1">
        <f t="array" ref="W51">IFERROR(IF(SUMPRODUCT((INPUT!$M$3:$M$1000=$B$3+6)*(INPUT!$N$3:$N$1000="T")*(INPUT!$O$3:$O$1000="J23"))=0,"",SUMPRODUCT((INPUT!$M$3:$M$1000=$B$3+6)*(INPUT!$N$3:$N$1000="T")*(INPUT!$O$3:$O$1000="J23")*INPUT!$Q$3:$Q$1000)),"")</f>
        <v/>
      </c>
      <c r="X51" s="38" t="str">
        <f t="shared" si="13"/>
        <v/>
      </c>
    </row>
    <row r="52" spans="1:24" x14ac:dyDescent="0.2">
      <c r="A52" s="203">
        <v>24</v>
      </c>
      <c r="B52" s="204" t="s">
        <v>88</v>
      </c>
      <c r="C52" s="36" t="s">
        <v>70</v>
      </c>
      <c r="D52" s="37" t="str" cm="1">
        <f t="array" ref="D52">IFERROR(IF(SUMPRODUCT((INPUT!$M$3:$M$1000=$B$3+0)*(INPUT!$N$3:$N$1000="M")*(INPUT!$O$3:$O$1000="J24"))=0,"",SUMPRODUCT((INPUT!$M$3:$M$1000=$B$3+0)*(INPUT!$N$3:$N$1000="M")*(INPUT!$O$3:$O$1000="J24")*INPUT!$P$3:$P$1000)),"")</f>
        <v/>
      </c>
      <c r="E52" s="37" t="str" cm="1">
        <f t="array" ref="E52">IFERROR(IF(SUMPRODUCT((INPUT!$M$3:$M$1000=$B$3+0)*(INPUT!$N$3:$N$1000="M")*(INPUT!$O$3:$O$1000="J24"))=0,"",SUMPRODUCT((INPUT!$M$3:$M$1000=$B$3+0)*(INPUT!$N$3:$N$1000="M")*(INPUT!$O$3:$O$1000="J24")*INPUT!$Q$3:$Q$1000)),"")</f>
        <v/>
      </c>
      <c r="F52" s="37" t="str">
        <f t="shared" si="7"/>
        <v/>
      </c>
      <c r="G52" s="37" t="str" cm="1">
        <f t="array" ref="G52">IFERROR(IF(SUMPRODUCT((INPUT!$M$3:$M$1000=$B$3+1)*(INPUT!$N$3:$N$1000="M")*(INPUT!$O$3:$O$1000="J24"))=0,"",SUMPRODUCT((INPUT!$M$3:$M$1000=$B$3+1)*(INPUT!$N$3:$N$1000="M")*(INPUT!$O$3:$O$1000="J24")*INPUT!$P$3:$P$1000)),"")</f>
        <v/>
      </c>
      <c r="H52" s="37" t="str" cm="1">
        <f t="array" ref="H52">IFERROR(IF(SUMPRODUCT((INPUT!$M$3:$M$1000=$B$3+1)*(INPUT!$N$3:$N$1000="M")*(INPUT!$O$3:$O$1000="J24"))=0,"",SUMPRODUCT((INPUT!$M$3:$M$1000=$B$3+1)*(INPUT!$N$3:$N$1000="M")*(INPUT!$O$3:$O$1000="J24")*INPUT!$Q$3:$Q$1000)),"")</f>
        <v/>
      </c>
      <c r="I52" s="37" t="str">
        <f t="shared" si="8"/>
        <v/>
      </c>
      <c r="J52" s="37" t="str" cm="1">
        <f t="array" ref="J52">IFERROR(IF(SUMPRODUCT((INPUT!$M$3:$M$1000=$B$3+2)*(INPUT!$N$3:$N$1000="M")*(INPUT!$O$3:$O$1000="J24"))=0,"",SUMPRODUCT((INPUT!$M$3:$M$1000=$B$3+2)*(INPUT!$N$3:$N$1000="M")*(INPUT!$O$3:$O$1000="J24")*INPUT!$P$3:$P$1000)),"")</f>
        <v/>
      </c>
      <c r="K52" s="37" t="str" cm="1">
        <f t="array" ref="K52">IFERROR(IF(SUMPRODUCT((INPUT!$M$3:$M$1000=$B$3+2)*(INPUT!$N$3:$N$1000="M")*(INPUT!$O$3:$O$1000="J24"))=0,"",SUMPRODUCT((INPUT!$M$3:$M$1000=$B$3+2)*(INPUT!$N$3:$N$1000="M")*(INPUT!$O$3:$O$1000="J24")*INPUT!$Q$3:$Q$1000)),"")</f>
        <v/>
      </c>
      <c r="L52" s="37" t="str">
        <f t="shared" si="9"/>
        <v/>
      </c>
      <c r="M52" s="37" t="str" cm="1">
        <f t="array" ref="M52">IFERROR(IF(SUMPRODUCT((INPUT!$M$3:$M$1000=$B$3+3)*(INPUT!$N$3:$N$1000="M")*(INPUT!$O$3:$O$1000="J24"))=0,"",SUMPRODUCT((INPUT!$M$3:$M$1000=$B$3+3)*(INPUT!$N$3:$N$1000="M")*(INPUT!$O$3:$O$1000="J24")*INPUT!$P$3:$P$1000)),"")</f>
        <v/>
      </c>
      <c r="N52" s="37" t="str" cm="1">
        <f t="array" ref="N52">IFERROR(IF(SUMPRODUCT((INPUT!$M$3:$M$1000=$B$3+3)*(INPUT!$N$3:$N$1000="M")*(INPUT!$O$3:$O$1000="J24"))=0,"",SUMPRODUCT((INPUT!$M$3:$M$1000=$B$3+3)*(INPUT!$N$3:$N$1000="M")*(INPUT!$O$3:$O$1000="J24")*INPUT!$Q$3:$Q$1000)),"")</f>
        <v/>
      </c>
      <c r="O52" s="37" t="str">
        <f t="shared" si="10"/>
        <v/>
      </c>
      <c r="P52" s="37" t="str" cm="1">
        <f t="array" ref="P52">IFERROR(IF(SUMPRODUCT((INPUT!$M$3:$M$1000=$B$3+4)*(INPUT!$N$3:$N$1000="M")*(INPUT!$O$3:$O$1000="J24"))=0,"",SUMPRODUCT((INPUT!$M$3:$M$1000=$B$3+4)*(INPUT!$N$3:$N$1000="M")*(INPUT!$O$3:$O$1000="J24")*INPUT!$P$3:$P$1000)),"")</f>
        <v/>
      </c>
      <c r="Q52" s="37" t="str" cm="1">
        <f t="array" ref="Q52">IFERROR(IF(SUMPRODUCT((INPUT!$M$3:$M$1000=$B$3+4)*(INPUT!$N$3:$N$1000="M")*(INPUT!$O$3:$O$1000="J24"))=0,"",SUMPRODUCT((INPUT!$M$3:$M$1000=$B$3+4)*(INPUT!$N$3:$N$1000="M")*(INPUT!$O$3:$O$1000="J24")*INPUT!$Q$3:$Q$1000)),"")</f>
        <v/>
      </c>
      <c r="R52" s="37" t="str">
        <f t="shared" si="11"/>
        <v/>
      </c>
      <c r="S52" s="37" t="str" cm="1">
        <f t="array" ref="S52">IFERROR(IF(SUMPRODUCT((INPUT!$M$3:$M$1000=$B$3+5)*(INPUT!$N$3:$N$1000="M")*(INPUT!$O$3:$O$1000="J24"))=0,"",SUMPRODUCT((INPUT!$M$3:$M$1000=$B$3+5)*(INPUT!$N$3:$N$1000="M")*(INPUT!$O$3:$O$1000="J24")*INPUT!$P$3:$P$1000)),"")</f>
        <v/>
      </c>
      <c r="T52" s="37" t="str" cm="1">
        <f t="array" ref="T52">IFERROR(IF(SUMPRODUCT((INPUT!$M$3:$M$1000=$B$3+5)*(INPUT!$N$3:$N$1000="M")*(INPUT!$O$3:$O$1000="J24"))=0,"",SUMPRODUCT((INPUT!$M$3:$M$1000=$B$3+5)*(INPUT!$N$3:$N$1000="M")*(INPUT!$O$3:$O$1000="J24")*INPUT!$Q$3:$Q$1000)),"")</f>
        <v/>
      </c>
      <c r="U52" s="37" t="str">
        <f t="shared" si="12"/>
        <v/>
      </c>
      <c r="V52" s="37" t="str" cm="1">
        <f t="array" ref="V52">IFERROR(IF(SUMPRODUCT((INPUT!$M$3:$M$1000=$B$3+6)*(INPUT!$N$3:$N$1000="M")*(INPUT!$O$3:$O$1000="J24"))=0,"",SUMPRODUCT((INPUT!$M$3:$M$1000=$B$3+6)*(INPUT!$N$3:$N$1000="M")*(INPUT!$O$3:$O$1000="J24")*INPUT!$P$3:$P$1000)),"")</f>
        <v/>
      </c>
      <c r="W52" s="37" t="str" cm="1">
        <f t="array" ref="W52">IFERROR(IF(SUMPRODUCT((INPUT!$M$3:$M$1000=$B$3+6)*(INPUT!$N$3:$N$1000="M")*(INPUT!$O$3:$O$1000="J24"))=0,"",SUMPRODUCT((INPUT!$M$3:$M$1000=$B$3+6)*(INPUT!$N$3:$N$1000="M")*(INPUT!$O$3:$O$1000="J24")*INPUT!$Q$3:$Q$1000)),"")</f>
        <v/>
      </c>
      <c r="X52" s="38" t="str">
        <f t="shared" si="13"/>
        <v/>
      </c>
    </row>
    <row r="53" spans="1:24" x14ac:dyDescent="0.2">
      <c r="A53" s="200"/>
      <c r="B53" s="202"/>
      <c r="C53" s="36" t="s">
        <v>71</v>
      </c>
      <c r="D53" s="37" t="str" cm="1">
        <f t="array" ref="D53">IFERROR(IF(SUMPRODUCT((INPUT!$M$3:$M$1000=$B$3+0)*(INPUT!$N$3:$N$1000="T")*(INPUT!$O$3:$O$1000="J24"))=0,"",SUMPRODUCT((INPUT!$M$3:$M$1000=$B$3+0)*(INPUT!$N$3:$N$1000="T")*(INPUT!$O$3:$O$1000="J24")*INPUT!$P$3:$P$1000)),"")</f>
        <v/>
      </c>
      <c r="E53" s="37" t="str" cm="1">
        <f t="array" ref="E53">IFERROR(IF(SUMPRODUCT((INPUT!$M$3:$M$1000=$B$3+0)*(INPUT!$N$3:$N$1000="T")*(INPUT!$O$3:$O$1000="J24"))=0,"",SUMPRODUCT((INPUT!$M$3:$M$1000=$B$3+0)*(INPUT!$N$3:$N$1000="T")*(INPUT!$O$3:$O$1000="J24")*INPUT!$Q$3:$Q$1000)),"")</f>
        <v/>
      </c>
      <c r="F53" s="37" t="str">
        <f t="shared" si="7"/>
        <v/>
      </c>
      <c r="G53" s="37" t="str" cm="1">
        <f t="array" ref="G53">IFERROR(IF(SUMPRODUCT((INPUT!$M$3:$M$1000=$B$3+1)*(INPUT!$N$3:$N$1000="T")*(INPUT!$O$3:$O$1000="J24"))=0,"",SUMPRODUCT((INPUT!$M$3:$M$1000=$B$3+1)*(INPUT!$N$3:$N$1000="T")*(INPUT!$O$3:$O$1000="J24")*INPUT!$P$3:$P$1000)),"")</f>
        <v/>
      </c>
      <c r="H53" s="37" t="str" cm="1">
        <f t="array" ref="H53">IFERROR(IF(SUMPRODUCT((INPUT!$M$3:$M$1000=$B$3+1)*(INPUT!$N$3:$N$1000="T")*(INPUT!$O$3:$O$1000="J24"))=0,"",SUMPRODUCT((INPUT!$M$3:$M$1000=$B$3+1)*(INPUT!$N$3:$N$1000="T")*(INPUT!$O$3:$O$1000="J24")*INPUT!$Q$3:$Q$1000)),"")</f>
        <v/>
      </c>
      <c r="I53" s="37" t="str">
        <f t="shared" si="8"/>
        <v/>
      </c>
      <c r="J53" s="37" t="str" cm="1">
        <f t="array" ref="J53">IFERROR(IF(SUMPRODUCT((INPUT!$M$3:$M$1000=$B$3+2)*(INPUT!$N$3:$N$1000="T")*(INPUT!$O$3:$O$1000="J24"))=0,"",SUMPRODUCT((INPUT!$M$3:$M$1000=$B$3+2)*(INPUT!$N$3:$N$1000="T")*(INPUT!$O$3:$O$1000="J24")*INPUT!$P$3:$P$1000)),"")</f>
        <v/>
      </c>
      <c r="K53" s="37" t="str" cm="1">
        <f t="array" ref="K53">IFERROR(IF(SUMPRODUCT((INPUT!$M$3:$M$1000=$B$3+2)*(INPUT!$N$3:$N$1000="T")*(INPUT!$O$3:$O$1000="J24"))=0,"",SUMPRODUCT((INPUT!$M$3:$M$1000=$B$3+2)*(INPUT!$N$3:$N$1000="T")*(INPUT!$O$3:$O$1000="J24")*INPUT!$Q$3:$Q$1000)),"")</f>
        <v/>
      </c>
      <c r="L53" s="37" t="str">
        <f t="shared" si="9"/>
        <v/>
      </c>
      <c r="M53" s="37" t="str" cm="1">
        <f t="array" ref="M53">IFERROR(IF(SUMPRODUCT((INPUT!$M$3:$M$1000=$B$3+3)*(INPUT!$N$3:$N$1000="T")*(INPUT!$O$3:$O$1000="J24"))=0,"",SUMPRODUCT((INPUT!$M$3:$M$1000=$B$3+3)*(INPUT!$N$3:$N$1000="T")*(INPUT!$O$3:$O$1000="J24")*INPUT!$P$3:$P$1000)),"")</f>
        <v/>
      </c>
      <c r="N53" s="37" t="str" cm="1">
        <f t="array" ref="N53">IFERROR(IF(SUMPRODUCT((INPUT!$M$3:$M$1000=$B$3+3)*(INPUT!$N$3:$N$1000="T")*(INPUT!$O$3:$O$1000="J24"))=0,"",SUMPRODUCT((INPUT!$M$3:$M$1000=$B$3+3)*(INPUT!$N$3:$N$1000="T")*(INPUT!$O$3:$O$1000="J24")*INPUT!$Q$3:$Q$1000)),"")</f>
        <v/>
      </c>
      <c r="O53" s="37" t="str">
        <f t="shared" si="10"/>
        <v/>
      </c>
      <c r="P53" s="37" t="str" cm="1">
        <f t="array" ref="P53">IFERROR(IF(SUMPRODUCT((INPUT!$M$3:$M$1000=$B$3+4)*(INPUT!$N$3:$N$1000="T")*(INPUT!$O$3:$O$1000="J24"))=0,"",SUMPRODUCT((INPUT!$M$3:$M$1000=$B$3+4)*(INPUT!$N$3:$N$1000="T")*(INPUT!$O$3:$O$1000="J24")*INPUT!$P$3:$P$1000)),"")</f>
        <v/>
      </c>
      <c r="Q53" s="37" t="str" cm="1">
        <f t="array" ref="Q53">IFERROR(IF(SUMPRODUCT((INPUT!$M$3:$M$1000=$B$3+4)*(INPUT!$N$3:$N$1000="T")*(INPUT!$O$3:$O$1000="J24"))=0,"",SUMPRODUCT((INPUT!$M$3:$M$1000=$B$3+4)*(INPUT!$N$3:$N$1000="T")*(INPUT!$O$3:$O$1000="J24")*INPUT!$Q$3:$Q$1000)),"")</f>
        <v/>
      </c>
      <c r="R53" s="37" t="str">
        <f t="shared" si="11"/>
        <v/>
      </c>
      <c r="S53" s="37" t="str" cm="1">
        <f t="array" ref="S53">IFERROR(IF(SUMPRODUCT((INPUT!$M$3:$M$1000=$B$3+5)*(INPUT!$N$3:$N$1000="T")*(INPUT!$O$3:$O$1000="J24"))=0,"",SUMPRODUCT((INPUT!$M$3:$M$1000=$B$3+5)*(INPUT!$N$3:$N$1000="T")*(INPUT!$O$3:$O$1000="J24")*INPUT!$P$3:$P$1000)),"")</f>
        <v/>
      </c>
      <c r="T53" s="37" t="str" cm="1">
        <f t="array" ref="T53">IFERROR(IF(SUMPRODUCT((INPUT!$M$3:$M$1000=$B$3+5)*(INPUT!$N$3:$N$1000="T")*(INPUT!$O$3:$O$1000="J24"))=0,"",SUMPRODUCT((INPUT!$M$3:$M$1000=$B$3+5)*(INPUT!$N$3:$N$1000="T")*(INPUT!$O$3:$O$1000="J24")*INPUT!$Q$3:$Q$1000)),"")</f>
        <v/>
      </c>
      <c r="U53" s="37" t="str">
        <f t="shared" si="12"/>
        <v/>
      </c>
      <c r="V53" s="37" t="str" cm="1">
        <f t="array" ref="V53">IFERROR(IF(SUMPRODUCT((INPUT!$M$3:$M$1000=$B$3+6)*(INPUT!$N$3:$N$1000="T")*(INPUT!$O$3:$O$1000="J24"))=0,"",SUMPRODUCT((INPUT!$M$3:$M$1000=$B$3+6)*(INPUT!$N$3:$N$1000="T")*(INPUT!$O$3:$O$1000="J24")*INPUT!$P$3:$P$1000)),"")</f>
        <v/>
      </c>
      <c r="W53" s="37" t="str" cm="1">
        <f t="array" ref="W53">IFERROR(IF(SUMPRODUCT((INPUT!$M$3:$M$1000=$B$3+6)*(INPUT!$N$3:$N$1000="T")*(INPUT!$O$3:$O$1000="J24"))=0,"",SUMPRODUCT((INPUT!$M$3:$M$1000=$B$3+6)*(INPUT!$N$3:$N$1000="T")*(INPUT!$O$3:$O$1000="J24")*INPUT!$Q$3:$Q$1000)),"")</f>
        <v/>
      </c>
      <c r="X53" s="38" t="str">
        <f t="shared" si="13"/>
        <v/>
      </c>
    </row>
    <row r="54" spans="1:24" x14ac:dyDescent="0.2">
      <c r="A54" s="203">
        <v>25</v>
      </c>
      <c r="B54" s="204" t="s">
        <v>89</v>
      </c>
      <c r="C54" s="36" t="s">
        <v>70</v>
      </c>
      <c r="D54" s="37" t="str" cm="1">
        <f t="array" ref="D54">IFERROR(IF(SUMPRODUCT((INPUT!$M$3:$M$1000=$B$3+0)*(INPUT!$N$3:$N$1000="M")*(INPUT!$O$3:$O$1000="J25"))=0,"",SUMPRODUCT((INPUT!$M$3:$M$1000=$B$3+0)*(INPUT!$N$3:$N$1000="M")*(INPUT!$O$3:$O$1000="J25")*INPUT!$P$3:$P$1000)),"")</f>
        <v/>
      </c>
      <c r="E54" s="37" t="str" cm="1">
        <f t="array" ref="E54">IFERROR(IF(SUMPRODUCT((INPUT!$M$3:$M$1000=$B$3+0)*(INPUT!$N$3:$N$1000="M")*(INPUT!$O$3:$O$1000="J25"))=0,"",SUMPRODUCT((INPUT!$M$3:$M$1000=$B$3+0)*(INPUT!$N$3:$N$1000="M")*(INPUT!$O$3:$O$1000="J25")*INPUT!$Q$3:$Q$1000)),"")</f>
        <v/>
      </c>
      <c r="F54" s="37" t="str">
        <f t="shared" si="7"/>
        <v/>
      </c>
      <c r="G54" s="37" t="str" cm="1">
        <f t="array" ref="G54">IFERROR(IF(SUMPRODUCT((INPUT!$M$3:$M$1000=$B$3+1)*(INPUT!$N$3:$N$1000="M")*(INPUT!$O$3:$O$1000="J25"))=0,"",SUMPRODUCT((INPUT!$M$3:$M$1000=$B$3+1)*(INPUT!$N$3:$N$1000="M")*(INPUT!$O$3:$O$1000="J25")*INPUT!$P$3:$P$1000)),"")</f>
        <v/>
      </c>
      <c r="H54" s="37" t="str" cm="1">
        <f t="array" ref="H54">IFERROR(IF(SUMPRODUCT((INPUT!$M$3:$M$1000=$B$3+1)*(INPUT!$N$3:$N$1000="M")*(INPUT!$O$3:$O$1000="J25"))=0,"",SUMPRODUCT((INPUT!$M$3:$M$1000=$B$3+1)*(INPUT!$N$3:$N$1000="M")*(INPUT!$O$3:$O$1000="J25")*INPUT!$Q$3:$Q$1000)),"")</f>
        <v/>
      </c>
      <c r="I54" s="37" t="str">
        <f t="shared" si="8"/>
        <v/>
      </c>
      <c r="J54" s="37" t="str" cm="1">
        <f t="array" ref="J54">IFERROR(IF(SUMPRODUCT((INPUT!$M$3:$M$1000=$B$3+2)*(INPUT!$N$3:$N$1000="M")*(INPUT!$O$3:$O$1000="J25"))=0,"",SUMPRODUCT((INPUT!$M$3:$M$1000=$B$3+2)*(INPUT!$N$3:$N$1000="M")*(INPUT!$O$3:$O$1000="J25")*INPUT!$P$3:$P$1000)),"")</f>
        <v/>
      </c>
      <c r="K54" s="37" t="str" cm="1">
        <f t="array" ref="K54">IFERROR(IF(SUMPRODUCT((INPUT!$M$3:$M$1000=$B$3+2)*(INPUT!$N$3:$N$1000="M")*(INPUT!$O$3:$O$1000="J25"))=0,"",SUMPRODUCT((INPUT!$M$3:$M$1000=$B$3+2)*(INPUT!$N$3:$N$1000="M")*(INPUT!$O$3:$O$1000="J25")*INPUT!$Q$3:$Q$1000)),"")</f>
        <v/>
      </c>
      <c r="L54" s="37" t="str">
        <f t="shared" si="9"/>
        <v/>
      </c>
      <c r="M54" s="37" t="str" cm="1">
        <f t="array" ref="M54">IFERROR(IF(SUMPRODUCT((INPUT!$M$3:$M$1000=$B$3+3)*(INPUT!$N$3:$N$1000="M")*(INPUT!$O$3:$O$1000="J25"))=0,"",SUMPRODUCT((INPUT!$M$3:$M$1000=$B$3+3)*(INPUT!$N$3:$N$1000="M")*(INPUT!$O$3:$O$1000="J25")*INPUT!$P$3:$P$1000)),"")</f>
        <v/>
      </c>
      <c r="N54" s="37" t="str" cm="1">
        <f t="array" ref="N54">IFERROR(IF(SUMPRODUCT((INPUT!$M$3:$M$1000=$B$3+3)*(INPUT!$N$3:$N$1000="M")*(INPUT!$O$3:$O$1000="J25"))=0,"",SUMPRODUCT((INPUT!$M$3:$M$1000=$B$3+3)*(INPUT!$N$3:$N$1000="M")*(INPUT!$O$3:$O$1000="J25")*INPUT!$Q$3:$Q$1000)),"")</f>
        <v/>
      </c>
      <c r="O54" s="37" t="str">
        <f t="shared" si="10"/>
        <v/>
      </c>
      <c r="P54" s="37" t="str" cm="1">
        <f t="array" ref="P54">IFERROR(IF(SUMPRODUCT((INPUT!$M$3:$M$1000=$B$3+4)*(INPUT!$N$3:$N$1000="M")*(INPUT!$O$3:$O$1000="J25"))=0,"",SUMPRODUCT((INPUT!$M$3:$M$1000=$B$3+4)*(INPUT!$N$3:$N$1000="M")*(INPUT!$O$3:$O$1000="J25")*INPUT!$P$3:$P$1000)),"")</f>
        <v/>
      </c>
      <c r="Q54" s="37" t="str" cm="1">
        <f t="array" ref="Q54">IFERROR(IF(SUMPRODUCT((INPUT!$M$3:$M$1000=$B$3+4)*(INPUT!$N$3:$N$1000="M")*(INPUT!$O$3:$O$1000="J25"))=0,"",SUMPRODUCT((INPUT!$M$3:$M$1000=$B$3+4)*(INPUT!$N$3:$N$1000="M")*(INPUT!$O$3:$O$1000="J25")*INPUT!$Q$3:$Q$1000)),"")</f>
        <v/>
      </c>
      <c r="R54" s="37" t="str">
        <f t="shared" si="11"/>
        <v/>
      </c>
      <c r="S54" s="37" t="str" cm="1">
        <f t="array" ref="S54">IFERROR(IF(SUMPRODUCT((INPUT!$M$3:$M$1000=$B$3+5)*(INPUT!$N$3:$N$1000="M")*(INPUT!$O$3:$O$1000="J25"))=0,"",SUMPRODUCT((INPUT!$M$3:$M$1000=$B$3+5)*(INPUT!$N$3:$N$1000="M")*(INPUT!$O$3:$O$1000="J25")*INPUT!$P$3:$P$1000)),"")</f>
        <v/>
      </c>
      <c r="T54" s="37" t="str" cm="1">
        <f t="array" ref="T54">IFERROR(IF(SUMPRODUCT((INPUT!$M$3:$M$1000=$B$3+5)*(INPUT!$N$3:$N$1000="M")*(INPUT!$O$3:$O$1000="J25"))=0,"",SUMPRODUCT((INPUT!$M$3:$M$1000=$B$3+5)*(INPUT!$N$3:$N$1000="M")*(INPUT!$O$3:$O$1000="J25")*INPUT!$Q$3:$Q$1000)),"")</f>
        <v/>
      </c>
      <c r="U54" s="37" t="str">
        <f t="shared" si="12"/>
        <v/>
      </c>
      <c r="V54" s="37" t="str" cm="1">
        <f t="array" ref="V54">IFERROR(IF(SUMPRODUCT((INPUT!$M$3:$M$1000=$B$3+6)*(INPUT!$N$3:$N$1000="M")*(INPUT!$O$3:$O$1000="J25"))=0,"",SUMPRODUCT((INPUT!$M$3:$M$1000=$B$3+6)*(INPUT!$N$3:$N$1000="M")*(INPUT!$O$3:$O$1000="J25")*INPUT!$P$3:$P$1000)),"")</f>
        <v/>
      </c>
      <c r="W54" s="37" t="str" cm="1">
        <f t="array" ref="W54">IFERROR(IF(SUMPRODUCT((INPUT!$M$3:$M$1000=$B$3+6)*(INPUT!$N$3:$N$1000="M")*(INPUT!$O$3:$O$1000="J25"))=0,"",SUMPRODUCT((INPUT!$M$3:$M$1000=$B$3+6)*(INPUT!$N$3:$N$1000="M")*(INPUT!$O$3:$O$1000="J25")*INPUT!$Q$3:$Q$1000)),"")</f>
        <v/>
      </c>
      <c r="X54" s="38" t="str">
        <f t="shared" si="13"/>
        <v/>
      </c>
    </row>
    <row r="55" spans="1:24" x14ac:dyDescent="0.2">
      <c r="A55" s="207"/>
      <c r="B55" s="208"/>
      <c r="C55" s="39" t="s">
        <v>71</v>
      </c>
      <c r="D55" s="40" t="str" cm="1">
        <f t="array" ref="D55">IFERROR(IF(SUMPRODUCT((INPUT!$M$3:$M$1000=$B$3+0)*(INPUT!$N$3:$N$1000="T")*(INPUT!$O$3:$O$1000="J25"))=0,"",SUMPRODUCT((INPUT!$M$3:$M$1000=$B$3+0)*(INPUT!$N$3:$N$1000="T")*(INPUT!$O$3:$O$1000="J25")*INPUT!$P$3:$P$1000)),"")</f>
        <v/>
      </c>
      <c r="E55" s="40" t="str" cm="1">
        <f t="array" ref="E55">IFERROR(IF(SUMPRODUCT((INPUT!$M$3:$M$1000=$B$3+0)*(INPUT!$N$3:$N$1000="T")*(INPUT!$O$3:$O$1000="J25"))=0,"",SUMPRODUCT((INPUT!$M$3:$M$1000=$B$3+0)*(INPUT!$N$3:$N$1000="T")*(INPUT!$O$3:$O$1000="J25")*INPUT!$Q$3:$Q$1000)),"")</f>
        <v/>
      </c>
      <c r="F55" s="40" t="str">
        <f t="shared" si="7"/>
        <v/>
      </c>
      <c r="G55" s="40" t="str" cm="1">
        <f t="array" ref="G55">IFERROR(IF(SUMPRODUCT((INPUT!$M$3:$M$1000=$B$3+1)*(INPUT!$N$3:$N$1000="T")*(INPUT!$O$3:$O$1000="J25"))=0,"",SUMPRODUCT((INPUT!$M$3:$M$1000=$B$3+1)*(INPUT!$N$3:$N$1000="T")*(INPUT!$O$3:$O$1000="J25")*INPUT!$P$3:$P$1000)),"")</f>
        <v/>
      </c>
      <c r="H55" s="40" t="str" cm="1">
        <f t="array" ref="H55">IFERROR(IF(SUMPRODUCT((INPUT!$M$3:$M$1000=$B$3+1)*(INPUT!$N$3:$N$1000="T")*(INPUT!$O$3:$O$1000="J25"))=0,"",SUMPRODUCT((INPUT!$M$3:$M$1000=$B$3+1)*(INPUT!$N$3:$N$1000="T")*(INPUT!$O$3:$O$1000="J25")*INPUT!$Q$3:$Q$1000)),"")</f>
        <v/>
      </c>
      <c r="I55" s="40" t="str">
        <f t="shared" si="8"/>
        <v/>
      </c>
      <c r="J55" s="40" t="str" cm="1">
        <f t="array" ref="J55">IFERROR(IF(SUMPRODUCT((INPUT!$M$3:$M$1000=$B$3+2)*(INPUT!$N$3:$N$1000="T")*(INPUT!$O$3:$O$1000="J25"))=0,"",SUMPRODUCT((INPUT!$M$3:$M$1000=$B$3+2)*(INPUT!$N$3:$N$1000="T")*(INPUT!$O$3:$O$1000="J25")*INPUT!$P$3:$P$1000)),"")</f>
        <v/>
      </c>
      <c r="K55" s="40" t="str" cm="1">
        <f t="array" ref="K55">IFERROR(IF(SUMPRODUCT((INPUT!$M$3:$M$1000=$B$3+2)*(INPUT!$N$3:$N$1000="T")*(INPUT!$O$3:$O$1000="J25"))=0,"",SUMPRODUCT((INPUT!$M$3:$M$1000=$B$3+2)*(INPUT!$N$3:$N$1000="T")*(INPUT!$O$3:$O$1000="J25")*INPUT!$Q$3:$Q$1000)),"")</f>
        <v/>
      </c>
      <c r="L55" s="40" t="str">
        <f t="shared" si="9"/>
        <v/>
      </c>
      <c r="M55" s="40" t="str" cm="1">
        <f t="array" ref="M55">IFERROR(IF(SUMPRODUCT((INPUT!$M$3:$M$1000=$B$3+3)*(INPUT!$N$3:$N$1000="T")*(INPUT!$O$3:$O$1000="J25"))=0,"",SUMPRODUCT((INPUT!$M$3:$M$1000=$B$3+3)*(INPUT!$N$3:$N$1000="T")*(INPUT!$O$3:$O$1000="J25")*INPUT!$P$3:$P$1000)),"")</f>
        <v/>
      </c>
      <c r="N55" s="40" t="str" cm="1">
        <f t="array" ref="N55">IFERROR(IF(SUMPRODUCT((INPUT!$M$3:$M$1000=$B$3+3)*(INPUT!$N$3:$N$1000="T")*(INPUT!$O$3:$O$1000="J25"))=0,"",SUMPRODUCT((INPUT!$M$3:$M$1000=$B$3+3)*(INPUT!$N$3:$N$1000="T")*(INPUT!$O$3:$O$1000="J25")*INPUT!$Q$3:$Q$1000)),"")</f>
        <v/>
      </c>
      <c r="O55" s="40" t="str">
        <f t="shared" si="10"/>
        <v/>
      </c>
      <c r="P55" s="40" t="str" cm="1">
        <f t="array" ref="P55">IFERROR(IF(SUMPRODUCT((INPUT!$M$3:$M$1000=$B$3+4)*(INPUT!$N$3:$N$1000="T")*(INPUT!$O$3:$O$1000="J25"))=0,"",SUMPRODUCT((INPUT!$M$3:$M$1000=$B$3+4)*(INPUT!$N$3:$N$1000="T")*(INPUT!$O$3:$O$1000="J25")*INPUT!$P$3:$P$1000)),"")</f>
        <v/>
      </c>
      <c r="Q55" s="40" t="str" cm="1">
        <f t="array" ref="Q55">IFERROR(IF(SUMPRODUCT((INPUT!$M$3:$M$1000=$B$3+4)*(INPUT!$N$3:$N$1000="T")*(INPUT!$O$3:$O$1000="J25"))=0,"",SUMPRODUCT((INPUT!$M$3:$M$1000=$B$3+4)*(INPUT!$N$3:$N$1000="T")*(INPUT!$O$3:$O$1000="J25")*INPUT!$Q$3:$Q$1000)),"")</f>
        <v/>
      </c>
      <c r="R55" s="40" t="str">
        <f t="shared" si="11"/>
        <v/>
      </c>
      <c r="S55" s="40" t="str" cm="1">
        <f t="array" ref="S55">IFERROR(IF(SUMPRODUCT((INPUT!$M$3:$M$1000=$B$3+5)*(INPUT!$N$3:$N$1000="T")*(INPUT!$O$3:$O$1000="J25"))=0,"",SUMPRODUCT((INPUT!$M$3:$M$1000=$B$3+5)*(INPUT!$N$3:$N$1000="T")*(INPUT!$O$3:$O$1000="J25")*INPUT!$P$3:$P$1000)),"")</f>
        <v/>
      </c>
      <c r="T55" s="40" t="str" cm="1">
        <f t="array" ref="T55">IFERROR(IF(SUMPRODUCT((INPUT!$M$3:$M$1000=$B$3+5)*(INPUT!$N$3:$N$1000="T")*(INPUT!$O$3:$O$1000="J25"))=0,"",SUMPRODUCT((INPUT!$M$3:$M$1000=$B$3+5)*(INPUT!$N$3:$N$1000="T")*(INPUT!$O$3:$O$1000="J25")*INPUT!$Q$3:$Q$1000)),"")</f>
        <v/>
      </c>
      <c r="U55" s="40" t="str">
        <f t="shared" si="12"/>
        <v/>
      </c>
      <c r="V55" s="40" t="str" cm="1">
        <f t="array" ref="V55">IFERROR(IF(SUMPRODUCT((INPUT!$M$3:$M$1000=$B$3+6)*(INPUT!$N$3:$N$1000="T")*(INPUT!$O$3:$O$1000="J25"))=0,"",SUMPRODUCT((INPUT!$M$3:$M$1000=$B$3+6)*(INPUT!$N$3:$N$1000="T")*(INPUT!$O$3:$O$1000="J25")*INPUT!$P$3:$P$1000)),"")</f>
        <v/>
      </c>
      <c r="W55" s="40" t="str" cm="1">
        <f t="array" ref="W55">IFERROR(IF(SUMPRODUCT((INPUT!$M$3:$M$1000=$B$3+6)*(INPUT!$N$3:$N$1000="T")*(INPUT!$O$3:$O$1000="J25"))=0,"",SUMPRODUCT((INPUT!$M$3:$M$1000=$B$3+6)*(INPUT!$N$3:$N$1000="T")*(INPUT!$O$3:$O$1000="J25")*INPUT!$Q$3:$Q$1000)),"")</f>
        <v/>
      </c>
      <c r="X55" s="41" t="str">
        <f t="shared" si="13"/>
        <v/>
      </c>
    </row>
  </sheetData>
  <sheetProtection sheet="1" objects="1" scenarios="1"/>
  <mergeCells count="59">
    <mergeCell ref="V4:X4"/>
    <mergeCell ref="A52:A53"/>
    <mergeCell ref="B52:B53"/>
    <mergeCell ref="B42:B43"/>
    <mergeCell ref="A44:A45"/>
    <mergeCell ref="B44:B45"/>
    <mergeCell ref="A34:A35"/>
    <mergeCell ref="B34:B35"/>
    <mergeCell ref="A36:A37"/>
    <mergeCell ref="B36:B37"/>
    <mergeCell ref="A38:A39"/>
    <mergeCell ref="B38:B39"/>
    <mergeCell ref="A28:A29"/>
    <mergeCell ref="B28:B29"/>
    <mergeCell ref="A30:A31"/>
    <mergeCell ref="B30:B31"/>
    <mergeCell ref="A54:A55"/>
    <mergeCell ref="B54:B55"/>
    <mergeCell ref="A1:X1"/>
    <mergeCell ref="D4:F4"/>
    <mergeCell ref="G4:I4"/>
    <mergeCell ref="J4:L4"/>
    <mergeCell ref="M4:O4"/>
    <mergeCell ref="A46:A47"/>
    <mergeCell ref="B46:B47"/>
    <mergeCell ref="A48:A49"/>
    <mergeCell ref="B48:B49"/>
    <mergeCell ref="A50:A51"/>
    <mergeCell ref="B50:B51"/>
    <mergeCell ref="A40:A41"/>
    <mergeCell ref="B40:B41"/>
    <mergeCell ref="A42:A43"/>
    <mergeCell ref="A32:A33"/>
    <mergeCell ref="B32:B33"/>
    <mergeCell ref="A22:A23"/>
    <mergeCell ref="B22:B23"/>
    <mergeCell ref="A24:A25"/>
    <mergeCell ref="B24:B25"/>
    <mergeCell ref="A26:A27"/>
    <mergeCell ref="B26:B27"/>
    <mergeCell ref="A16:A17"/>
    <mergeCell ref="B16:B17"/>
    <mergeCell ref="A18:A19"/>
    <mergeCell ref="B18:B19"/>
    <mergeCell ref="A20:A21"/>
    <mergeCell ref="B20:B21"/>
    <mergeCell ref="A10:A11"/>
    <mergeCell ref="B10:B11"/>
    <mergeCell ref="A12:A13"/>
    <mergeCell ref="B12:B13"/>
    <mergeCell ref="A14:A15"/>
    <mergeCell ref="B14:B15"/>
    <mergeCell ref="E2:T3"/>
    <mergeCell ref="A6:A7"/>
    <mergeCell ref="B6:B7"/>
    <mergeCell ref="A8:A9"/>
    <mergeCell ref="B8:B9"/>
    <mergeCell ref="P4:R4"/>
    <mergeCell ref="S4:U4"/>
  </mergeCells>
  <conditionalFormatting sqref="F6:F100">
    <cfRule type="expression" dxfId="59" priority="8">
      <formula>AND(ISNUMBER(F6),F6&gt;=1)</formula>
    </cfRule>
  </conditionalFormatting>
  <conditionalFormatting sqref="I6:I100">
    <cfRule type="expression" dxfId="58" priority="9">
      <formula>AND(ISNUMBER(I6),I6&gt;=1)</formula>
    </cfRule>
  </conditionalFormatting>
  <conditionalFormatting sqref="L6:L100">
    <cfRule type="expression" dxfId="57" priority="10">
      <formula>AND(ISNUMBER(L6),L6&gt;=1)</formula>
    </cfRule>
  </conditionalFormatting>
  <conditionalFormatting sqref="O6:O100">
    <cfRule type="expression" dxfId="56" priority="11">
      <formula>AND(ISNUMBER(O6),O6&gt;=1)</formula>
    </cfRule>
  </conditionalFormatting>
  <conditionalFormatting sqref="R6:R100">
    <cfRule type="expression" dxfId="55" priority="12">
      <formula>AND(ISNUMBER(R6),R6&gt;=1)</formula>
    </cfRule>
  </conditionalFormatting>
  <conditionalFormatting sqref="U6:U100">
    <cfRule type="expression" dxfId="54" priority="13">
      <formula>AND(ISNUMBER(U6),U6&gt;=1)</formula>
    </cfRule>
  </conditionalFormatting>
  <conditionalFormatting sqref="X6:X100">
    <cfRule type="expression" dxfId="53" priority="14">
      <formula>AND(ISNUMBER(X6),X6&gt;=1)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unes no válido" error="Selecciona un lunes que tenga datos." xr:uid="{72E2F2A2-F9A7-B74D-9A9D-AF34DBACAECF}">
          <x14:formula1>
            <xm:f>_LISTAS_PESO!$G$2:$G$200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2145-2022-DD4E-A0A0-F87B10C8959D}">
  <sheetPr>
    <tabColor rgb="FFBF360C"/>
  </sheetPr>
  <dimension ref="A1:L5007"/>
  <sheetViews>
    <sheetView workbookViewId="0">
      <pane ySplit="7" topLeftCell="A26" activePane="bottomLeft" state="frozen"/>
      <selection pane="bottomLeft" activeCell="H26" sqref="H26"/>
    </sheetView>
  </sheetViews>
  <sheetFormatPr baseColWidth="10" defaultRowHeight="16" x14ac:dyDescent="0.2"/>
  <cols>
    <col min="1" max="2" width="15.83203125" customWidth="1"/>
    <col min="3" max="3" width="10" customWidth="1"/>
    <col min="4" max="4" width="9.1640625" customWidth="1"/>
    <col min="5" max="5" width="18.33203125" customWidth="1"/>
    <col min="6" max="6" width="10" customWidth="1"/>
    <col min="7" max="7" width="20" customWidth="1"/>
    <col min="8" max="8" width="18.33203125" customWidth="1"/>
    <col min="9" max="10" width="12.5" customWidth="1"/>
    <col min="11" max="11" width="14.1640625" customWidth="1"/>
    <col min="12" max="12" width="10.83203125" customWidth="1"/>
    <col min="13" max="16" width="12.5" customWidth="1"/>
    <col min="27" max="27" width="17" bestFit="1" customWidth="1"/>
    <col min="28" max="28" width="21.5" bestFit="1" customWidth="1"/>
    <col min="29" max="29" width="7.6640625" bestFit="1" customWidth="1"/>
    <col min="30" max="30" width="7.33203125" bestFit="1" customWidth="1"/>
    <col min="31" max="31" width="11.6640625" bestFit="1" customWidth="1"/>
    <col min="32" max="32" width="5.5" bestFit="1" customWidth="1"/>
    <col min="33" max="33" width="7.5" bestFit="1" customWidth="1"/>
    <col min="34" max="34" width="9.5" bestFit="1" customWidth="1"/>
    <col min="35" max="35" width="10.1640625" bestFit="1" customWidth="1"/>
    <col min="36" max="36" width="9.33203125" bestFit="1" customWidth="1"/>
    <col min="37" max="37" width="6.1640625" bestFit="1" customWidth="1"/>
    <col min="38" max="38" width="4.6640625" bestFit="1" customWidth="1"/>
    <col min="39" max="39" width="6.83203125" bestFit="1" customWidth="1"/>
    <col min="40" max="40" width="5.1640625" bestFit="1" customWidth="1"/>
    <col min="41" max="41" width="7.1640625" bestFit="1" customWidth="1"/>
    <col min="42" max="43" width="5.6640625" bestFit="1" customWidth="1"/>
    <col min="44" max="44" width="6.6640625" bestFit="1" customWidth="1"/>
    <col min="45" max="45" width="5.83203125" bestFit="1" customWidth="1"/>
    <col min="46" max="46" width="12" bestFit="1" customWidth="1"/>
  </cols>
  <sheetData>
    <row r="1" spans="1:12" ht="18" customHeight="1" x14ac:dyDescent="0.25">
      <c r="A1" s="43" t="s">
        <v>143</v>
      </c>
    </row>
    <row r="2" spans="1:12" ht="18" customHeight="1" x14ac:dyDescent="0.2"/>
    <row r="3" spans="1:12" ht="18" customHeight="1" x14ac:dyDescent="0.2">
      <c r="A3" s="44" t="s">
        <v>182</v>
      </c>
    </row>
    <row r="4" spans="1:12" ht="18" customHeight="1" x14ac:dyDescent="0.2">
      <c r="A4" s="45" t="s">
        <v>175</v>
      </c>
      <c r="B4" s="45" t="s">
        <v>176</v>
      </c>
      <c r="C4" s="45" t="s">
        <v>177</v>
      </c>
      <c r="D4" s="45" t="s">
        <v>178</v>
      </c>
      <c r="E4" s="45" t="s">
        <v>179</v>
      </c>
      <c r="F4" s="45" t="s">
        <v>180</v>
      </c>
      <c r="G4" s="45" t="s">
        <v>181</v>
      </c>
    </row>
    <row r="5" spans="1:12" ht="18" customHeight="1" x14ac:dyDescent="0.2">
      <c r="A5">
        <f>SUBTOTAL(103,tbl_BDPeso[JUGADOR])</f>
        <v>449</v>
      </c>
      <c r="B5" s="46">
        <f>IFERROR(SUBTOTAL(104,tbl_BDPeso[PESO PRE]),"")</f>
        <v>94.3</v>
      </c>
      <c r="C5" s="46">
        <f>IFERROR(SUBTOTAL(105,tbl_BDPeso[PESO PRE]),"")</f>
        <v>66.3</v>
      </c>
      <c r="D5" s="46">
        <f>IFERROR(SUBTOTAL(101,tbl_BDPeso[PESO PRE]),"")</f>
        <v>76.783741648106954</v>
      </c>
      <c r="E5" s="46">
        <f>IFERROR(SUBTOTAL(104,tbl_BDPeso[PESO POST]),"")</f>
        <v>94</v>
      </c>
      <c r="F5" s="46">
        <f>IFERROR(SUBTOTAL(105,tbl_BDPeso[PESO POST]),"")</f>
        <v>65.599999999999994</v>
      </c>
      <c r="G5" s="46">
        <f>IFERROR(SUBTOTAL(101,tbl_BDPeso[PESO POST]),"")</f>
        <v>76.492873051225047</v>
      </c>
    </row>
    <row r="6" spans="1:12" ht="18" customHeight="1" x14ac:dyDescent="0.2"/>
    <row r="7" spans="1:12" ht="18" customHeight="1" x14ac:dyDescent="0.2">
      <c r="A7" s="47" t="s">
        <v>2</v>
      </c>
      <c r="B7" s="47" t="s">
        <v>68</v>
      </c>
      <c r="C7" s="47" t="s">
        <v>1</v>
      </c>
      <c r="D7" s="47" t="s">
        <v>174</v>
      </c>
      <c r="E7" s="47" t="s">
        <v>76</v>
      </c>
      <c r="F7" s="47" t="s">
        <v>72</v>
      </c>
      <c r="G7" s="47" t="s">
        <v>75</v>
      </c>
      <c r="H7" s="47" t="s">
        <v>73</v>
      </c>
      <c r="I7" s="47" t="s">
        <v>78</v>
      </c>
      <c r="J7" s="47" t="s">
        <v>79</v>
      </c>
      <c r="K7" s="47" t="s">
        <v>144</v>
      </c>
      <c r="L7" s="47" t="s">
        <v>145</v>
      </c>
    </row>
    <row r="8" spans="1:12" ht="18" hidden="1" customHeight="1" x14ac:dyDescent="0.2">
      <c r="A8" s="11">
        <f>IF(INPUT!M3="","",INPUT!M3)</f>
        <v>45868</v>
      </c>
      <c r="B8" s="11">
        <f>IF(INPUT!M3="","",INPUT!M3-WEEKDAY(INPUT!M3,2)+1)</f>
        <v>45866</v>
      </c>
      <c r="C8" s="20">
        <f>IFERROR(_xlfn.ISOWEEKNUM(INPUT!M3),"")</f>
        <v>31</v>
      </c>
      <c r="D8" s="20">
        <f>IFERROR(YEAR(INPUT!M3),"")</f>
        <v>2025</v>
      </c>
      <c r="E8" t="str">
        <f>IF(INPUT!O3="","",INPUT!O3)</f>
        <v>HERRERO</v>
      </c>
      <c r="F8" t="str">
        <f>IF(INPUT!N3="","",INPUT!N3)</f>
        <v>T</v>
      </c>
      <c r="G8" t="str" cm="1">
        <f t="array" ref="G8">IFERROR(VLOOKUP(INPUT!M3&amp;INPUT!N3,CHOOSE({1,2},INPUT!$A$3:$A$5000&amp;INPUT!$C$3:$C$5000,INPUT!$F$3:$F$5000),2,FALSE),"")</f>
        <v>PRE-TEMPORADA</v>
      </c>
      <c r="H8" t="str" cm="1">
        <f t="array" ref="H8">IFERROR(VLOOKUP(INPUT!M3&amp;INPUT!N3,CHOOSE({1,2},INPUT!$A$3:$A$5000&amp;INPUT!$C$3:$C$5000,INPUT!$D$3:$D$5000),2,FALSE),"")</f>
        <v>FISICO</v>
      </c>
      <c r="I8" s="46">
        <f>IF(INPUT!P3="","",INPUT!P3)</f>
        <v>77</v>
      </c>
      <c r="J8" s="46">
        <f>IF(INPUT!Q3="","",INPUT!Q3)</f>
        <v>75.8</v>
      </c>
      <c r="K8" s="46">
        <f>IFERROR(IF(OR(INPUT!P3="",INPUT!Q3=""),"",INPUT!P3-INPUT!Q3),"")</f>
        <v>1.2000000000000028</v>
      </c>
      <c r="L8" s="48">
        <f>IFERROR(IF(OR(INPUT!P3="",INPUT!Q3="",INPUT!P3=0),"",(INPUT!P3-INPUT!Q3)/INPUT!P3),"")</f>
        <v>1.5584415584415621E-2</v>
      </c>
    </row>
    <row r="9" spans="1:12" ht="18" hidden="1" customHeight="1" x14ac:dyDescent="0.2">
      <c r="A9" s="11">
        <f>IF(INPUT!M4="","",INPUT!M4)</f>
        <v>45868</v>
      </c>
      <c r="B9" s="11">
        <f>IF(INPUT!M4="","",INPUT!M4-WEEKDAY(INPUT!M4,2)+1)</f>
        <v>45866</v>
      </c>
      <c r="C9" s="20">
        <f>IFERROR(_xlfn.ISOWEEKNUM(INPUT!M4),"")</f>
        <v>31</v>
      </c>
      <c r="D9" s="20">
        <f>IFERROR(YEAR(INPUT!M4),"")</f>
        <v>2025</v>
      </c>
      <c r="E9" t="str">
        <f>IF(INPUT!O4="","",INPUT!O4)</f>
        <v>GARCIA</v>
      </c>
      <c r="F9" t="str">
        <f>IF(INPUT!N4="","",INPUT!N4)</f>
        <v>T</v>
      </c>
      <c r="G9" t="str" cm="1">
        <f t="array" ref="G9">IFERROR(VLOOKUP(INPUT!M4&amp;INPUT!N4,CHOOSE({1,2},INPUT!$A$3:$A$5000&amp;INPUT!$C$3:$C$5000,INPUT!$F$3:$F$5000),2,FALSE),"")</f>
        <v>PRE-TEMPORADA</v>
      </c>
      <c r="H9" t="str" cm="1">
        <f t="array" ref="H9">IFERROR(VLOOKUP(INPUT!M4&amp;INPUT!N4,CHOOSE({1,2},INPUT!$A$3:$A$5000&amp;INPUT!$C$3:$C$5000,INPUT!$D$3:$D$5000),2,FALSE),"")</f>
        <v>FISICO</v>
      </c>
      <c r="I9" s="46">
        <f>IF(INPUT!P4="","",INPUT!P4)</f>
        <v>78.599999999999994</v>
      </c>
      <c r="J9" s="46">
        <f>IF(INPUT!Q4="","",INPUT!Q4)</f>
        <v>78.5</v>
      </c>
      <c r="K9" s="46">
        <f>IFERROR(IF(OR(INPUT!P4="",INPUT!Q4=""),"",INPUT!P4-INPUT!Q4),"")</f>
        <v>9.9999999999994316E-2</v>
      </c>
      <c r="L9" s="48">
        <f>IFERROR(IF(OR(INPUT!P4="",INPUT!Q4="",INPUT!P4=0),"",(INPUT!P4-INPUT!Q4)/INPUT!P4),"")</f>
        <v>1.2722646310431847E-3</v>
      </c>
    </row>
    <row r="10" spans="1:12" ht="18" hidden="1" customHeight="1" x14ac:dyDescent="0.2">
      <c r="A10" s="11">
        <f>IF(INPUT!M5="","",INPUT!M5)</f>
        <v>45868</v>
      </c>
      <c r="B10" s="11">
        <f>IF(INPUT!M5="","",INPUT!M5-WEEKDAY(INPUT!M5,2)+1)</f>
        <v>45866</v>
      </c>
      <c r="C10" s="20">
        <f>IFERROR(_xlfn.ISOWEEKNUM(INPUT!M5),"")</f>
        <v>31</v>
      </c>
      <c r="D10" s="20">
        <f>IFERROR(YEAR(INPUT!M5),"")</f>
        <v>2025</v>
      </c>
      <c r="E10" t="str">
        <f>IF(INPUT!O5="","",INPUT!O5)</f>
        <v>OSCAR</v>
      </c>
      <c r="F10" t="str">
        <f>IF(INPUT!N5="","",INPUT!N5)</f>
        <v>T</v>
      </c>
      <c r="G10" t="str" cm="1">
        <f t="array" ref="G10">IFERROR(VLOOKUP(INPUT!M5&amp;INPUT!N5,CHOOSE({1,2},INPUT!$A$3:$A$5000&amp;INPUT!$C$3:$C$5000,INPUT!$F$3:$F$5000),2,FALSE),"")</f>
        <v>PRE-TEMPORADA</v>
      </c>
      <c r="H10" t="str" cm="1">
        <f t="array" ref="H10">IFERROR(VLOOKUP(INPUT!M5&amp;INPUT!N5,CHOOSE({1,2},INPUT!$A$3:$A$5000&amp;INPUT!$C$3:$C$5000,INPUT!$D$3:$D$5000),2,FALSE),"")</f>
        <v>FISICO</v>
      </c>
      <c r="I10" s="46">
        <f>IF(INPUT!P5="","",INPUT!P5)</f>
        <v>88.6</v>
      </c>
      <c r="J10" s="46">
        <f>IF(INPUT!Q5="","",INPUT!Q5)</f>
        <v>88.6</v>
      </c>
      <c r="K10" s="46">
        <f>IFERROR(IF(OR(INPUT!P5="",INPUT!Q5=""),"",INPUT!P5-INPUT!Q5),"")</f>
        <v>0</v>
      </c>
      <c r="L10" s="48">
        <f>IFERROR(IF(OR(INPUT!P5="",INPUT!Q5="",INPUT!P5=0),"",(INPUT!P5-INPUT!Q5)/INPUT!P5),"")</f>
        <v>0</v>
      </c>
    </row>
    <row r="11" spans="1:12" ht="18" hidden="1" customHeight="1" x14ac:dyDescent="0.2">
      <c r="A11" s="11">
        <f>IF(INPUT!M6="","",INPUT!M6)</f>
        <v>45868</v>
      </c>
      <c r="B11" s="11">
        <f>IF(INPUT!M6="","",INPUT!M6-WEEKDAY(INPUT!M6,2)+1)</f>
        <v>45866</v>
      </c>
      <c r="C11" s="20">
        <f>IFERROR(_xlfn.ISOWEEKNUM(INPUT!M6),"")</f>
        <v>31</v>
      </c>
      <c r="D11" s="20">
        <f>IFERROR(YEAR(INPUT!M6),"")</f>
        <v>2025</v>
      </c>
      <c r="E11" t="str">
        <f>IF(INPUT!O6="","",INPUT!O6)</f>
        <v>CECILIO</v>
      </c>
      <c r="F11" t="str">
        <f>IF(INPUT!N6="","",INPUT!N6)</f>
        <v>T</v>
      </c>
      <c r="G11" t="str" cm="1">
        <f t="array" ref="G11">IFERROR(VLOOKUP(INPUT!M6&amp;INPUT!N6,CHOOSE({1,2},INPUT!$A$3:$A$5000&amp;INPUT!$C$3:$C$5000,INPUT!$F$3:$F$5000),2,FALSE),"")</f>
        <v>PRE-TEMPORADA</v>
      </c>
      <c r="H11" t="str" cm="1">
        <f t="array" ref="H11">IFERROR(VLOOKUP(INPUT!M6&amp;INPUT!N6,CHOOSE({1,2},INPUT!$A$3:$A$5000&amp;INPUT!$C$3:$C$5000,INPUT!$D$3:$D$5000),2,FALSE),"")</f>
        <v>FISICO</v>
      </c>
      <c r="I11" s="46">
        <f>IF(INPUT!P6="","",INPUT!P6)</f>
        <v>68.099999999999994</v>
      </c>
      <c r="J11" s="46">
        <f>IF(INPUT!Q6="","",INPUT!Q6)</f>
        <v>67.900000000000006</v>
      </c>
      <c r="K11" s="46">
        <f>IFERROR(IF(OR(INPUT!P6="",INPUT!Q6=""),"",INPUT!P6-INPUT!Q6),"")</f>
        <v>0.19999999999998863</v>
      </c>
      <c r="L11" s="48">
        <f>IFERROR(IF(OR(INPUT!P6="",INPUT!Q6="",INPUT!P6=0),"",(INPUT!P6-INPUT!Q6)/INPUT!P6),"")</f>
        <v>2.9368575624080565E-3</v>
      </c>
    </row>
    <row r="12" spans="1:12" ht="18" hidden="1" customHeight="1" x14ac:dyDescent="0.2">
      <c r="A12" s="11">
        <f>IF(INPUT!M7="","",INPUT!M7)</f>
        <v>45868</v>
      </c>
      <c r="B12" s="11">
        <f>IF(INPUT!M7="","",INPUT!M7-WEEKDAY(INPUT!M7,2)+1)</f>
        <v>45866</v>
      </c>
      <c r="C12" s="20">
        <f>IFERROR(_xlfn.ISOWEEKNUM(INPUT!M7),"")</f>
        <v>31</v>
      </c>
      <c r="D12" s="20">
        <f>IFERROR(YEAR(INPUT!M7),"")</f>
        <v>2025</v>
      </c>
      <c r="E12" t="str">
        <f>IF(INPUT!O7="","",INPUT!O7)</f>
        <v>CHAGUINHA</v>
      </c>
      <c r="F12" t="str">
        <f>IF(INPUT!N7="","",INPUT!N7)</f>
        <v>T</v>
      </c>
      <c r="G12" t="str" cm="1">
        <f t="array" ref="G12">IFERROR(VLOOKUP(INPUT!M7&amp;INPUT!N7,CHOOSE({1,2},INPUT!$A$3:$A$5000&amp;INPUT!$C$3:$C$5000,INPUT!$F$3:$F$5000),2,FALSE),"")</f>
        <v>PRE-TEMPORADA</v>
      </c>
      <c r="H12" t="str" cm="1">
        <f t="array" ref="H12">IFERROR(VLOOKUP(INPUT!M7&amp;INPUT!N7,CHOOSE({1,2},INPUT!$A$3:$A$5000&amp;INPUT!$C$3:$C$5000,INPUT!$D$3:$D$5000),2,FALSE),"")</f>
        <v>FISICO</v>
      </c>
      <c r="I12" s="46">
        <f>IF(INPUT!P7="","",INPUT!P7)</f>
        <v>68.7</v>
      </c>
      <c r="J12" s="46">
        <f>IF(INPUT!Q7="","",INPUT!Q7)</f>
        <v>68</v>
      </c>
      <c r="K12" s="46">
        <f>IFERROR(IF(OR(INPUT!P7="",INPUT!Q7=""),"",INPUT!P7-INPUT!Q7),"")</f>
        <v>0.70000000000000284</v>
      </c>
      <c r="L12" s="48">
        <f>IFERROR(IF(OR(INPUT!P7="",INPUT!Q7="",INPUT!P7=0),"",(INPUT!P7-INPUT!Q7)/INPUT!P7),"")</f>
        <v>1.0189228529839925E-2</v>
      </c>
    </row>
    <row r="13" spans="1:12" ht="18" hidden="1" customHeight="1" x14ac:dyDescent="0.2">
      <c r="A13" s="11">
        <f>IF(INPUT!M8="","",INPUT!M8)</f>
        <v>45868</v>
      </c>
      <c r="B13" s="11">
        <f>IF(INPUT!M8="","",INPUT!M8-WEEKDAY(INPUT!M8,2)+1)</f>
        <v>45866</v>
      </c>
      <c r="C13" s="20">
        <f>IFERROR(_xlfn.ISOWEEKNUM(INPUT!M8),"")</f>
        <v>31</v>
      </c>
      <c r="D13" s="20">
        <f>IFERROR(YEAR(INPUT!M8),"")</f>
        <v>2025</v>
      </c>
      <c r="E13" t="str">
        <f>IF(INPUT!O8="","",INPUT!O8)</f>
        <v>RAUL</v>
      </c>
      <c r="F13" t="str">
        <f>IF(INPUT!N8="","",INPUT!N8)</f>
        <v>T</v>
      </c>
      <c r="G13" t="str" cm="1">
        <f t="array" ref="G13">IFERROR(VLOOKUP(INPUT!M8&amp;INPUT!N8,CHOOSE({1,2},INPUT!$A$3:$A$5000&amp;INPUT!$C$3:$C$5000,INPUT!$F$3:$F$5000),2,FALSE),"")</f>
        <v>PRE-TEMPORADA</v>
      </c>
      <c r="H13" t="str" cm="1">
        <f t="array" ref="H13">IFERROR(VLOOKUP(INPUT!M8&amp;INPUT!N8,CHOOSE({1,2},INPUT!$A$3:$A$5000&amp;INPUT!$C$3:$C$5000,INPUT!$D$3:$D$5000),2,FALSE),"")</f>
        <v>FISICO</v>
      </c>
      <c r="I13" s="46">
        <f>IF(INPUT!P8="","",INPUT!P8)</f>
        <v>79.8</v>
      </c>
      <c r="J13" s="46">
        <f>IF(INPUT!Q8="","",INPUT!Q8)</f>
        <v>79</v>
      </c>
      <c r="K13" s="46">
        <f>IFERROR(IF(OR(INPUT!P8="",INPUT!Q8=""),"",INPUT!P8-INPUT!Q8),"")</f>
        <v>0.79999999999999716</v>
      </c>
      <c r="L13" s="48">
        <f>IFERROR(IF(OR(INPUT!P8="",INPUT!Q8="",INPUT!P8=0),"",(INPUT!P8-INPUT!Q8)/INPUT!P8),"")</f>
        <v>1.0025062656641569E-2</v>
      </c>
    </row>
    <row r="14" spans="1:12" ht="18" hidden="1" customHeight="1" x14ac:dyDescent="0.2">
      <c r="A14" s="11">
        <f>IF(INPUT!M9="","",INPUT!M9)</f>
        <v>45868</v>
      </c>
      <c r="B14" s="11">
        <f>IF(INPUT!M9="","",INPUT!M9-WEEKDAY(INPUT!M9,2)+1)</f>
        <v>45866</v>
      </c>
      <c r="C14" s="20">
        <f>IFERROR(_xlfn.ISOWEEKNUM(INPUT!M9),"")</f>
        <v>31</v>
      </c>
      <c r="D14" s="20">
        <f>IFERROR(YEAR(INPUT!M9),"")</f>
        <v>2025</v>
      </c>
      <c r="E14" t="str">
        <f>IF(INPUT!O9="","",INPUT!O9)</f>
        <v>HARRISON</v>
      </c>
      <c r="F14" t="str">
        <f>IF(INPUT!N9="","",INPUT!N9)</f>
        <v>T</v>
      </c>
      <c r="G14" t="str" cm="1">
        <f t="array" ref="G14">IFERROR(VLOOKUP(INPUT!M9&amp;INPUT!N9,CHOOSE({1,2},INPUT!$A$3:$A$5000&amp;INPUT!$C$3:$C$5000,INPUT!$F$3:$F$5000),2,FALSE),"")</f>
        <v>PRE-TEMPORADA</v>
      </c>
      <c r="H14" t="str" cm="1">
        <f t="array" ref="H14">IFERROR(VLOOKUP(INPUT!M9&amp;INPUT!N9,CHOOSE({1,2},INPUT!$A$3:$A$5000&amp;INPUT!$C$3:$C$5000,INPUT!$D$3:$D$5000),2,FALSE),"")</f>
        <v>FISICO</v>
      </c>
      <c r="I14" s="46">
        <f>IF(INPUT!P9="","",INPUT!P9)</f>
        <v>72.7</v>
      </c>
      <c r="J14" s="46">
        <f>IF(INPUT!Q9="","",INPUT!Q9)</f>
        <v>72.3</v>
      </c>
      <c r="K14" s="46">
        <f>IFERROR(IF(OR(INPUT!P9="",INPUT!Q9=""),"",INPUT!P9-INPUT!Q9),"")</f>
        <v>0.40000000000000568</v>
      </c>
      <c r="L14" s="48">
        <f>IFERROR(IF(OR(INPUT!P9="",INPUT!Q9="",INPUT!P9=0),"",(INPUT!P9-INPUT!Q9)/INPUT!P9),"")</f>
        <v>5.502063273727726E-3</v>
      </c>
    </row>
    <row r="15" spans="1:12" ht="18" hidden="1" customHeight="1" x14ac:dyDescent="0.2">
      <c r="A15" s="11">
        <f>IF(INPUT!M10="","",INPUT!M10)</f>
        <v>45868</v>
      </c>
      <c r="B15" s="11">
        <f>IF(INPUT!M10="","",INPUT!M10-WEEKDAY(INPUT!M10,2)+1)</f>
        <v>45866</v>
      </c>
      <c r="C15" s="20">
        <f>IFERROR(_xlfn.ISOWEEKNUM(INPUT!M10),"")</f>
        <v>31</v>
      </c>
      <c r="D15" s="20">
        <f>IFERROR(YEAR(INPUT!M10),"")</f>
        <v>2025</v>
      </c>
      <c r="E15" t="str">
        <f>IF(INPUT!O10="","",INPUT!O10)</f>
        <v>RAYA</v>
      </c>
      <c r="F15" t="str">
        <f>IF(INPUT!N10="","",INPUT!N10)</f>
        <v>T</v>
      </c>
      <c r="G15" t="str" cm="1">
        <f t="array" ref="G15">IFERROR(VLOOKUP(INPUT!M10&amp;INPUT!N10,CHOOSE({1,2},INPUT!$A$3:$A$5000&amp;INPUT!$C$3:$C$5000,INPUT!$F$3:$F$5000),2,FALSE),"")</f>
        <v>PRE-TEMPORADA</v>
      </c>
      <c r="H15" t="str" cm="1">
        <f t="array" ref="H15">IFERROR(VLOOKUP(INPUT!M10&amp;INPUT!N10,CHOOSE({1,2},INPUT!$A$3:$A$5000&amp;INPUT!$C$3:$C$5000,INPUT!$D$3:$D$5000),2,FALSE),"")</f>
        <v>FISICO</v>
      </c>
      <c r="I15" s="46">
        <f>IF(INPUT!P10="","",INPUT!P10)</f>
        <v>82.9</v>
      </c>
      <c r="J15" s="46">
        <f>IF(INPUT!Q10="","",INPUT!Q10)</f>
        <v>81</v>
      </c>
      <c r="K15" s="46">
        <f>IFERROR(IF(OR(INPUT!P10="",INPUT!Q10=""),"",INPUT!P10-INPUT!Q10),"")</f>
        <v>1.9000000000000057</v>
      </c>
      <c r="L15" s="48">
        <f>IFERROR(IF(OR(INPUT!P10="",INPUT!Q10="",INPUT!P10=0),"",(INPUT!P10-INPUT!Q10)/INPUT!P10),"")</f>
        <v>2.2919179734620092E-2</v>
      </c>
    </row>
    <row r="16" spans="1:12" ht="18" hidden="1" customHeight="1" x14ac:dyDescent="0.2">
      <c r="A16" s="11">
        <f>IF(INPUT!M11="","",INPUT!M11)</f>
        <v>45868</v>
      </c>
      <c r="B16" s="11">
        <f>IF(INPUT!M11="","",INPUT!M11-WEEKDAY(INPUT!M11,2)+1)</f>
        <v>45866</v>
      </c>
      <c r="C16" s="20">
        <f>IFERROR(_xlfn.ISOWEEKNUM(INPUT!M11),"")</f>
        <v>31</v>
      </c>
      <c r="D16" s="20">
        <f>IFERROR(YEAR(INPUT!M11),"")</f>
        <v>2025</v>
      </c>
      <c r="E16" t="str">
        <f>IF(INPUT!O11="","",INPUT!O11)</f>
        <v>JAVI</v>
      </c>
      <c r="F16" t="str">
        <f>IF(INPUT!N11="","",INPUT!N11)</f>
        <v>T</v>
      </c>
      <c r="G16" t="str" cm="1">
        <f t="array" ref="G16">IFERROR(VLOOKUP(INPUT!M11&amp;INPUT!N11,CHOOSE({1,2},INPUT!$A$3:$A$5000&amp;INPUT!$C$3:$C$5000,INPUT!$F$3:$F$5000),2,FALSE),"")</f>
        <v>PRE-TEMPORADA</v>
      </c>
      <c r="H16" t="str" cm="1">
        <f t="array" ref="H16">IFERROR(VLOOKUP(INPUT!M11&amp;INPUT!N11,CHOOSE({1,2},INPUT!$A$3:$A$5000&amp;INPUT!$C$3:$C$5000,INPUT!$D$3:$D$5000),2,FALSE),"")</f>
        <v>FISICO</v>
      </c>
      <c r="I16" s="46">
        <f>IF(INPUT!P11="","",INPUT!P11)</f>
        <v>78.3</v>
      </c>
      <c r="J16" s="46">
        <f>IF(INPUT!Q11="","",INPUT!Q11)</f>
        <v>77.099999999999994</v>
      </c>
      <c r="K16" s="46">
        <f>IFERROR(IF(OR(INPUT!P11="",INPUT!Q11=""),"",INPUT!P11-INPUT!Q11),"")</f>
        <v>1.2000000000000028</v>
      </c>
      <c r="L16" s="48">
        <f>IFERROR(IF(OR(INPUT!P11="",INPUT!Q11="",INPUT!P11=0),"",(INPUT!P11-INPUT!Q11)/INPUT!P11),"")</f>
        <v>1.5325670498084329E-2</v>
      </c>
    </row>
    <row r="17" spans="1:12" ht="18" hidden="1" customHeight="1" x14ac:dyDescent="0.2">
      <c r="A17" s="11">
        <f>IF(INPUT!M12="","",INPUT!M12)</f>
        <v>45868</v>
      </c>
      <c r="B17" s="11">
        <f>IF(INPUT!M12="","",INPUT!M12-WEEKDAY(INPUT!M12,2)+1)</f>
        <v>45866</v>
      </c>
      <c r="C17" s="20">
        <f>IFERROR(_xlfn.ISOWEEKNUM(INPUT!M12),"")</f>
        <v>31</v>
      </c>
      <c r="D17" s="20">
        <f>IFERROR(YEAR(INPUT!M12),"")</f>
        <v>2025</v>
      </c>
      <c r="E17" t="str">
        <f>IF(INPUT!O12="","",INPUT!O12)</f>
        <v>PANI</v>
      </c>
      <c r="F17" t="str">
        <f>IF(INPUT!N12="","",INPUT!N12)</f>
        <v>T</v>
      </c>
      <c r="G17" t="str" cm="1">
        <f t="array" ref="G17">IFERROR(VLOOKUP(INPUT!M12&amp;INPUT!N12,CHOOSE({1,2},INPUT!$A$3:$A$5000&amp;INPUT!$C$3:$C$5000,INPUT!$F$3:$F$5000),2,FALSE),"")</f>
        <v>PRE-TEMPORADA</v>
      </c>
      <c r="H17" t="str" cm="1">
        <f t="array" ref="H17">IFERROR(VLOOKUP(INPUT!M12&amp;INPUT!N12,CHOOSE({1,2},INPUT!$A$3:$A$5000&amp;INPUT!$C$3:$C$5000,INPUT!$D$3:$D$5000),2,FALSE),"")</f>
        <v>FISICO</v>
      </c>
      <c r="I17" s="46">
        <f>IF(INPUT!P12="","",INPUT!P12)</f>
        <v>70.599999999999994</v>
      </c>
      <c r="J17" s="46">
        <f>IF(INPUT!Q12="","",INPUT!Q12)</f>
        <v>70</v>
      </c>
      <c r="K17" s="46">
        <f>IFERROR(IF(OR(INPUT!P12="",INPUT!Q12=""),"",INPUT!P12-INPUT!Q12),"")</f>
        <v>0.59999999999999432</v>
      </c>
      <c r="L17" s="48">
        <f>IFERROR(IF(OR(INPUT!P12="",INPUT!Q12="",INPUT!P12=0),"",(INPUT!P12-INPUT!Q12)/INPUT!P12),"")</f>
        <v>8.4985835694050185E-3</v>
      </c>
    </row>
    <row r="18" spans="1:12" ht="18" hidden="1" customHeight="1" x14ac:dyDescent="0.2">
      <c r="A18" s="11">
        <f>IF(INPUT!M13="","",INPUT!M13)</f>
        <v>45868</v>
      </c>
      <c r="B18" s="11">
        <f>IF(INPUT!M13="","",INPUT!M13-WEEKDAY(INPUT!M13,2)+1)</f>
        <v>45866</v>
      </c>
      <c r="C18" s="20">
        <f>IFERROR(_xlfn.ISOWEEKNUM(INPUT!M13),"")</f>
        <v>31</v>
      </c>
      <c r="D18" s="20">
        <f>IFERROR(YEAR(INPUT!M13),"")</f>
        <v>2025</v>
      </c>
      <c r="E18" t="str">
        <f>IF(INPUT!O13="","",INPUT!O13)</f>
        <v>PIRATA</v>
      </c>
      <c r="F18" t="str">
        <f>IF(INPUT!N13="","",INPUT!N13)</f>
        <v>T</v>
      </c>
      <c r="G18" t="str" cm="1">
        <f t="array" ref="G18">IFERROR(VLOOKUP(INPUT!M13&amp;INPUT!N13,CHOOSE({1,2},INPUT!$A$3:$A$5000&amp;INPUT!$C$3:$C$5000,INPUT!$F$3:$F$5000),2,FALSE),"")</f>
        <v>PRE-TEMPORADA</v>
      </c>
      <c r="H18" t="str" cm="1">
        <f t="array" ref="H18">IFERROR(VLOOKUP(INPUT!M13&amp;INPUT!N13,CHOOSE({1,2},INPUT!$A$3:$A$5000&amp;INPUT!$C$3:$C$5000,INPUT!$D$3:$D$5000),2,FALSE),"")</f>
        <v>FISICO</v>
      </c>
      <c r="I18" s="46">
        <f>IF(INPUT!P13="","",INPUT!P13)</f>
        <v>75.599999999999994</v>
      </c>
      <c r="J18" s="46">
        <f>IF(INPUT!Q13="","",INPUT!Q13)</f>
        <v>74.2</v>
      </c>
      <c r="K18" s="46">
        <f>IFERROR(IF(OR(INPUT!P13="",INPUT!Q13=""),"",INPUT!P13-INPUT!Q13),"")</f>
        <v>1.3999999999999915</v>
      </c>
      <c r="L18" s="48">
        <f>IFERROR(IF(OR(INPUT!P13="",INPUT!Q13="",INPUT!P13=0),"",(INPUT!P13-INPUT!Q13)/INPUT!P13),"")</f>
        <v>1.8518518518518406E-2</v>
      </c>
    </row>
    <row r="19" spans="1:12" ht="18" hidden="1" customHeight="1" x14ac:dyDescent="0.2">
      <c r="A19" s="11">
        <f>IF(INPUT!M14="","",INPUT!M14)</f>
        <v>45868</v>
      </c>
      <c r="B19" s="11">
        <f>IF(INPUT!M14="","",INPUT!M14-WEEKDAY(INPUT!M14,2)+1)</f>
        <v>45866</v>
      </c>
      <c r="C19" s="20">
        <f>IFERROR(_xlfn.ISOWEEKNUM(INPUT!M14),"")</f>
        <v>31</v>
      </c>
      <c r="D19" s="20">
        <f>IFERROR(YEAR(INPUT!M14),"")</f>
        <v>2025</v>
      </c>
      <c r="E19" t="str">
        <f>IF(INPUT!O14="","",INPUT!O14)</f>
        <v>BARONA</v>
      </c>
      <c r="F19" t="str">
        <f>IF(INPUT!N14="","",INPUT!N14)</f>
        <v>T</v>
      </c>
      <c r="G19" t="str" cm="1">
        <f t="array" ref="G19">IFERROR(VLOOKUP(INPUT!M14&amp;INPUT!N14,CHOOSE({1,2},INPUT!$A$3:$A$5000&amp;INPUT!$C$3:$C$5000,INPUT!$F$3:$F$5000),2,FALSE),"")</f>
        <v>PRE-TEMPORADA</v>
      </c>
      <c r="H19" t="str" cm="1">
        <f t="array" ref="H19">IFERROR(VLOOKUP(INPUT!M14&amp;INPUT!N14,CHOOSE({1,2},INPUT!$A$3:$A$5000&amp;INPUT!$C$3:$C$5000,INPUT!$D$3:$D$5000),2,FALSE),"")</f>
        <v>FISICO</v>
      </c>
      <c r="I19" s="46">
        <f>IF(INPUT!P14="","",INPUT!P14)</f>
        <v>71.2</v>
      </c>
      <c r="J19" s="46">
        <f>IF(INPUT!Q14="","",INPUT!Q14)</f>
        <v>70.7</v>
      </c>
      <c r="K19" s="46">
        <f>IFERROR(IF(OR(INPUT!P14="",INPUT!Q14=""),"",INPUT!P14-INPUT!Q14),"")</f>
        <v>0.5</v>
      </c>
      <c r="L19" s="48">
        <f>IFERROR(IF(OR(INPUT!P14="",INPUT!Q14="",INPUT!P14=0),"",(INPUT!P14-INPUT!Q14)/INPUT!P14),"")</f>
        <v>7.0224719101123594E-3</v>
      </c>
    </row>
    <row r="20" spans="1:12" ht="18" hidden="1" customHeight="1" x14ac:dyDescent="0.2">
      <c r="A20" s="11">
        <f>IF(INPUT!M15="","",INPUT!M15)</f>
        <v>45868</v>
      </c>
      <c r="B20" s="11">
        <f>IF(INPUT!M15="","",INPUT!M15-WEEKDAY(INPUT!M15,2)+1)</f>
        <v>45866</v>
      </c>
      <c r="C20" s="20">
        <f>IFERROR(_xlfn.ISOWEEKNUM(INPUT!M15),"")</f>
        <v>31</v>
      </c>
      <c r="D20" s="20">
        <f>IFERROR(YEAR(INPUT!M15),"")</f>
        <v>2025</v>
      </c>
      <c r="E20" t="str">
        <f>IF(INPUT!O15="","",INPUT!O15)</f>
        <v>CARLOS</v>
      </c>
      <c r="F20" t="str">
        <f>IF(INPUT!N15="","",INPUT!N15)</f>
        <v>T</v>
      </c>
      <c r="G20" t="str" cm="1">
        <f t="array" ref="G20">IFERROR(VLOOKUP(INPUT!M15&amp;INPUT!N15,CHOOSE({1,2},INPUT!$A$3:$A$5000&amp;INPUT!$C$3:$C$5000,INPUT!$F$3:$F$5000),2,FALSE),"")</f>
        <v>PRE-TEMPORADA</v>
      </c>
      <c r="H20" t="str" cm="1">
        <f t="array" ref="H20">IFERROR(VLOOKUP(INPUT!M15&amp;INPUT!N15,CHOOSE({1,2},INPUT!$A$3:$A$5000&amp;INPUT!$C$3:$C$5000,INPUT!$D$3:$D$5000),2,FALSE),"")</f>
        <v>FISICO</v>
      </c>
      <c r="I20" s="46">
        <f>IF(INPUT!P15="","",INPUT!P15)</f>
        <v>67.099999999999994</v>
      </c>
      <c r="J20" s="46">
        <f>IF(INPUT!Q15="","",INPUT!Q15)</f>
        <v>67</v>
      </c>
      <c r="K20" s="46">
        <f>IFERROR(IF(OR(INPUT!P15="",INPUT!Q15=""),"",INPUT!P15-INPUT!Q15),"")</f>
        <v>9.9999999999994316E-2</v>
      </c>
      <c r="L20" s="48">
        <f>IFERROR(IF(OR(INPUT!P15="",INPUT!Q15="",INPUT!P15=0),"",(INPUT!P15-INPUT!Q15)/INPUT!P15),"")</f>
        <v>1.4903129657227172E-3</v>
      </c>
    </row>
    <row r="21" spans="1:12" ht="18" hidden="1" customHeight="1" x14ac:dyDescent="0.2">
      <c r="A21" s="11">
        <f>IF(INPUT!M16="","",INPUT!M16)</f>
        <v>45868</v>
      </c>
      <c r="B21" s="11">
        <f>IF(INPUT!M16="","",INPUT!M16-WEEKDAY(INPUT!M16,2)+1)</f>
        <v>45866</v>
      </c>
      <c r="C21" s="20">
        <f>IFERROR(_xlfn.ISOWEEKNUM(INPUT!M16),"")</f>
        <v>31</v>
      </c>
      <c r="D21" s="20">
        <f>IFERROR(YEAR(INPUT!M16),"")</f>
        <v>2025</v>
      </c>
      <c r="E21" t="str">
        <f>IF(INPUT!O16="","",INPUT!O16)</f>
        <v>GONZALO</v>
      </c>
      <c r="F21" t="str">
        <f>IF(INPUT!N16="","",INPUT!N16)</f>
        <v>T</v>
      </c>
      <c r="G21" t="str" cm="1">
        <f t="array" ref="G21">IFERROR(VLOOKUP(INPUT!M16&amp;INPUT!N16,CHOOSE({1,2},INPUT!$A$3:$A$5000&amp;INPUT!$C$3:$C$5000,INPUT!$F$3:$F$5000),2,FALSE),"")</f>
        <v>PRE-TEMPORADA</v>
      </c>
      <c r="H21" t="str" cm="1">
        <f t="array" ref="H21">IFERROR(VLOOKUP(INPUT!M16&amp;INPUT!N16,CHOOSE({1,2},INPUT!$A$3:$A$5000&amp;INPUT!$C$3:$C$5000,INPUT!$D$3:$D$5000),2,FALSE),"")</f>
        <v>FISICO</v>
      </c>
      <c r="I21" s="46">
        <f>IF(INPUT!P16="","",INPUT!P16)</f>
        <v>85</v>
      </c>
      <c r="J21" s="46">
        <f>IF(INPUT!Q16="","",INPUT!Q16)</f>
        <v>85.2</v>
      </c>
      <c r="K21" s="46">
        <f>IFERROR(IF(OR(INPUT!P16="",INPUT!Q16=""),"",INPUT!P16-INPUT!Q16),"")</f>
        <v>-0.20000000000000284</v>
      </c>
      <c r="L21" s="48">
        <f>IFERROR(IF(OR(INPUT!P16="",INPUT!Q16="",INPUT!P16=0),"",(INPUT!P16-INPUT!Q16)/INPUT!P16),"")</f>
        <v>-2.3529411764706219E-3</v>
      </c>
    </row>
    <row r="22" spans="1:12" ht="18" hidden="1" customHeight="1" x14ac:dyDescent="0.2">
      <c r="A22" s="11">
        <f>IF(INPUT!M17="","",INPUT!M17)</f>
        <v>45868</v>
      </c>
      <c r="B22" s="11">
        <f>IF(INPUT!M17="","",INPUT!M17-WEEKDAY(INPUT!M17,2)+1)</f>
        <v>45866</v>
      </c>
      <c r="C22" s="20">
        <f>IFERROR(_xlfn.ISOWEEKNUM(INPUT!M17),"")</f>
        <v>31</v>
      </c>
      <c r="D22" s="20">
        <f>IFERROR(YEAR(INPUT!M17),"")</f>
        <v>2025</v>
      </c>
      <c r="E22" t="str">
        <f>IF(INPUT!O17="","",INPUT!O17)</f>
        <v>RUBIO</v>
      </c>
      <c r="F22" t="str">
        <f>IF(INPUT!N17="","",INPUT!N17)</f>
        <v>T</v>
      </c>
      <c r="G22" t="str" cm="1">
        <f t="array" ref="G22">IFERROR(VLOOKUP(INPUT!M17&amp;INPUT!N17,CHOOSE({1,2},INPUT!$A$3:$A$5000&amp;INPUT!$C$3:$C$5000,INPUT!$F$3:$F$5000),2,FALSE),"")</f>
        <v>PRE-TEMPORADA</v>
      </c>
      <c r="H22" t="str" cm="1">
        <f t="array" ref="H22">IFERROR(VLOOKUP(INPUT!M17&amp;INPUT!N17,CHOOSE({1,2},INPUT!$A$3:$A$5000&amp;INPUT!$C$3:$C$5000,INPUT!$D$3:$D$5000),2,FALSE),"")</f>
        <v>FISICO</v>
      </c>
      <c r="I22" s="46">
        <f>IF(INPUT!P17="","",INPUT!P17)</f>
        <v>74.5</v>
      </c>
      <c r="J22" s="46">
        <f>IF(INPUT!Q17="","",INPUT!Q17)</f>
        <v>74.099999999999994</v>
      </c>
      <c r="K22" s="46">
        <f>IFERROR(IF(OR(INPUT!P17="",INPUT!Q17=""),"",INPUT!P17-INPUT!Q17),"")</f>
        <v>0.40000000000000568</v>
      </c>
      <c r="L22" s="48">
        <f>IFERROR(IF(OR(INPUT!P17="",INPUT!Q17="",INPUT!P17=0),"",(INPUT!P17-INPUT!Q17)/INPUT!P17),"")</f>
        <v>5.3691275167785995E-3</v>
      </c>
    </row>
    <row r="23" spans="1:12" ht="18" hidden="1" customHeight="1" x14ac:dyDescent="0.2">
      <c r="A23" s="11">
        <f>IF(INPUT!M18="","",INPUT!M18)</f>
        <v>45868</v>
      </c>
      <c r="B23" s="11">
        <f>IF(INPUT!M18="","",INPUT!M18-WEEKDAY(INPUT!M18,2)+1)</f>
        <v>45866</v>
      </c>
      <c r="C23" s="20">
        <f>IFERROR(_xlfn.ISOWEEKNUM(INPUT!M18),"")</f>
        <v>31</v>
      </c>
      <c r="D23" s="20">
        <f>IFERROR(YEAR(INPUT!M18),"")</f>
        <v>2025</v>
      </c>
      <c r="E23" t="str">
        <f>IF(INPUT!O18="","",INPUT!O18)</f>
        <v>DANI</v>
      </c>
      <c r="F23" t="str">
        <f>IF(INPUT!N18="","",INPUT!N18)</f>
        <v>T</v>
      </c>
      <c r="G23" t="str" cm="1">
        <f t="array" ref="G23">IFERROR(VLOOKUP(INPUT!M18&amp;INPUT!N18,CHOOSE({1,2},INPUT!$A$3:$A$5000&amp;INPUT!$C$3:$C$5000,INPUT!$F$3:$F$5000),2,FALSE),"")</f>
        <v>PRE-TEMPORADA</v>
      </c>
      <c r="H23" t="str" cm="1">
        <f t="array" ref="H23">IFERROR(VLOOKUP(INPUT!M18&amp;INPUT!N18,CHOOSE({1,2},INPUT!$A$3:$A$5000&amp;INPUT!$C$3:$C$5000,INPUT!$D$3:$D$5000),2,FALSE),"")</f>
        <v>FISICO</v>
      </c>
      <c r="I23" s="46">
        <f>IF(INPUT!P18="","",INPUT!P18)</f>
        <v>93.2</v>
      </c>
      <c r="J23" s="46">
        <f>IF(INPUT!Q18="","",INPUT!Q18)</f>
        <v>91.7</v>
      </c>
      <c r="K23" s="46">
        <f>IFERROR(IF(OR(INPUT!P18="",INPUT!Q18=""),"",INPUT!P18-INPUT!Q18),"")</f>
        <v>1.5</v>
      </c>
      <c r="L23" s="48">
        <f>IFERROR(IF(OR(INPUT!P18="",INPUT!Q18="",INPUT!P18=0),"",(INPUT!P18-INPUT!Q18)/INPUT!P18),"")</f>
        <v>1.6094420600858368E-2</v>
      </c>
    </row>
    <row r="24" spans="1:12" ht="18" hidden="1" customHeight="1" x14ac:dyDescent="0.2">
      <c r="A24" s="11">
        <f>IF(INPUT!M19="","",INPUT!M19)</f>
        <v>45868</v>
      </c>
      <c r="B24" s="11">
        <f>IF(INPUT!M19="","",INPUT!M19-WEEKDAY(INPUT!M19,2)+1)</f>
        <v>45866</v>
      </c>
      <c r="C24" s="20">
        <f>IFERROR(_xlfn.ISOWEEKNUM(INPUT!M19),"")</f>
        <v>31</v>
      </c>
      <c r="D24" s="20">
        <f>IFERROR(YEAR(INPUT!M19),"")</f>
        <v>2025</v>
      </c>
      <c r="E24" t="str">
        <f>IF(INPUT!O19="","",INPUT!O19)</f>
        <v>JAIME</v>
      </c>
      <c r="F24" t="str">
        <f>IF(INPUT!N19="","",INPUT!N19)</f>
        <v>T</v>
      </c>
      <c r="G24" t="str" cm="1">
        <f t="array" ref="G24">IFERROR(VLOOKUP(INPUT!M19&amp;INPUT!N19,CHOOSE({1,2},INPUT!$A$3:$A$5000&amp;INPUT!$C$3:$C$5000,INPUT!$F$3:$F$5000),2,FALSE),"")</f>
        <v>PRE-TEMPORADA</v>
      </c>
      <c r="H24" t="str" cm="1">
        <f t="array" ref="H24">IFERROR(VLOOKUP(INPUT!M19&amp;INPUT!N19,CHOOSE({1,2},INPUT!$A$3:$A$5000&amp;INPUT!$C$3:$C$5000,INPUT!$D$3:$D$5000),2,FALSE),"")</f>
        <v>FISICO</v>
      </c>
      <c r="I24" s="46">
        <f>IF(INPUT!P19="","",INPUT!P19)</f>
        <v>76.5</v>
      </c>
      <c r="J24" s="46">
        <f>IF(INPUT!Q19="","",INPUT!Q19)</f>
        <v>74.3</v>
      </c>
      <c r="K24" s="46">
        <f>IFERROR(IF(OR(INPUT!P19="",INPUT!Q19=""),"",INPUT!P19-INPUT!Q19),"")</f>
        <v>2.2000000000000028</v>
      </c>
      <c r="L24" s="48">
        <f>IFERROR(IF(OR(INPUT!P19="",INPUT!Q19="",INPUT!P19=0),"",(INPUT!P19-INPUT!Q19)/INPUT!P19),"")</f>
        <v>2.8758169934640559E-2</v>
      </c>
    </row>
    <row r="25" spans="1:12" ht="18" hidden="1" customHeight="1" x14ac:dyDescent="0.2">
      <c r="A25" s="11">
        <f>IF(INPUT!M20="","",INPUT!M20)</f>
        <v>45869</v>
      </c>
      <c r="B25" s="11">
        <f>IF(INPUT!M20="","",INPUT!M20-WEEKDAY(INPUT!M20,2)+1)</f>
        <v>45866</v>
      </c>
      <c r="C25" s="20">
        <f>IFERROR(_xlfn.ISOWEEKNUM(INPUT!M20),"")</f>
        <v>31</v>
      </c>
      <c r="D25" s="20">
        <f>IFERROR(YEAR(INPUT!M20),"")</f>
        <v>2025</v>
      </c>
      <c r="E25" t="str">
        <f>IF(INPUT!O20="","",INPUT!O20)</f>
        <v>HERRERO</v>
      </c>
      <c r="F25" t="str">
        <f>IF(INPUT!N20="","",INPUT!N20)</f>
        <v>T</v>
      </c>
      <c r="G25" t="str" cm="1">
        <f t="array" ref="G25">IFERROR(VLOOKUP(INPUT!M20&amp;INPUT!N20,CHOOSE({1,2},INPUT!$A$3:$A$5000&amp;INPUT!$C$3:$C$5000,INPUT!$F$3:$F$5000),2,FALSE),"")</f>
        <v>PRE-TEMPORADA</v>
      </c>
      <c r="H25" t="str" cm="1">
        <f t="array" ref="H25">IFERROR(VLOOKUP(INPUT!M20&amp;INPUT!N20,CHOOSE({1,2},INPUT!$A$3:$A$5000&amp;INPUT!$C$3:$C$5000,INPUT!$D$3:$D$5000),2,FALSE),"")</f>
        <v>FISICO</v>
      </c>
      <c r="I25" s="46">
        <f>IF(INPUT!P20="","",INPUT!P20)</f>
        <v>77.099999999999994</v>
      </c>
      <c r="J25" s="46">
        <f>IF(INPUT!Q20="","",INPUT!Q20)</f>
        <v>76.5</v>
      </c>
      <c r="K25" s="46">
        <f>IFERROR(IF(OR(INPUT!P20="",INPUT!Q20=""),"",INPUT!P20-INPUT!Q20),"")</f>
        <v>0.59999999999999432</v>
      </c>
      <c r="L25" s="48">
        <f>IFERROR(IF(OR(INPUT!P20="",INPUT!Q20="",INPUT!P20=0),"",(INPUT!P20-INPUT!Q20)/INPUT!P20),"")</f>
        <v>7.7821011673151023E-3</v>
      </c>
    </row>
    <row r="26" spans="1:12" ht="18" customHeight="1" x14ac:dyDescent="0.2">
      <c r="A26" s="11">
        <f>IF(INPUT!M21="","",INPUT!M21)</f>
        <v>45869</v>
      </c>
      <c r="B26" s="11">
        <f>IF(INPUT!M21="","",INPUT!M21-WEEKDAY(INPUT!M21,2)+1)</f>
        <v>45866</v>
      </c>
      <c r="C26" s="20">
        <f>IFERROR(_xlfn.ISOWEEKNUM(INPUT!M21),"")</f>
        <v>31</v>
      </c>
      <c r="D26" s="20">
        <f>IFERROR(YEAR(INPUT!M21),"")</f>
        <v>2025</v>
      </c>
      <c r="E26" t="str">
        <f>IF(INPUT!O21="","",INPUT!O21)</f>
        <v>GARCIA</v>
      </c>
      <c r="F26" t="str">
        <f>IF(INPUT!N21="","",INPUT!N21)</f>
        <v>T</v>
      </c>
      <c r="G26" t="str" cm="1">
        <f t="array" ref="G26">IFERROR(VLOOKUP(INPUT!M21&amp;INPUT!N21,CHOOSE({1,2},INPUT!$A$3:$A$5000&amp;INPUT!$C$3:$C$5000,INPUT!$F$3:$F$5000),2,FALSE),"")</f>
        <v>PRE-TEMPORADA</v>
      </c>
      <c r="H26" t="str" cm="1">
        <f t="array" ref="H26">IFERROR(VLOOKUP(INPUT!M21&amp;INPUT!N21,CHOOSE({1,2},INPUT!$A$3:$A$5000&amp;INPUT!$C$3:$C$5000,INPUT!$D$3:$D$5000),2,FALSE),"")</f>
        <v>FISICO</v>
      </c>
      <c r="I26" s="46">
        <f>IF(INPUT!P21="","",INPUT!P21)</f>
        <v>78.400000000000006</v>
      </c>
      <c r="J26" s="46">
        <f>IF(INPUT!Q21="","",INPUT!Q21)</f>
        <v>78.3</v>
      </c>
      <c r="K26" s="46">
        <f>IFERROR(IF(OR(INPUT!P21="",INPUT!Q21=""),"",INPUT!P21-INPUT!Q21),"")</f>
        <v>0.10000000000000853</v>
      </c>
      <c r="L26" s="48">
        <f>IFERROR(IF(OR(INPUT!P21="",INPUT!Q21="",INPUT!P21=0),"",(INPUT!P21-INPUT!Q21)/INPUT!P21),"")</f>
        <v>1.2755102040817414E-3</v>
      </c>
    </row>
    <row r="27" spans="1:12" ht="18" customHeight="1" x14ac:dyDescent="0.2">
      <c r="A27" s="11">
        <f>IF(INPUT!M22="","",INPUT!M22)</f>
        <v>45869</v>
      </c>
      <c r="B27" s="11">
        <f>IF(INPUT!M22="","",INPUT!M22-WEEKDAY(INPUT!M22,2)+1)</f>
        <v>45866</v>
      </c>
      <c r="C27" s="20">
        <f>IFERROR(_xlfn.ISOWEEKNUM(INPUT!M22),"")</f>
        <v>31</v>
      </c>
      <c r="D27" s="20">
        <f>IFERROR(YEAR(INPUT!M22),"")</f>
        <v>2025</v>
      </c>
      <c r="E27" t="str">
        <f>IF(INPUT!O22="","",INPUT!O22)</f>
        <v>OSCAR</v>
      </c>
      <c r="F27" t="str">
        <f>IF(INPUT!N22="","",INPUT!N22)</f>
        <v>T</v>
      </c>
      <c r="G27" t="str" cm="1">
        <f t="array" ref="G27">IFERROR(VLOOKUP(INPUT!M22&amp;INPUT!N22,CHOOSE({1,2},INPUT!$A$3:$A$5000&amp;INPUT!$C$3:$C$5000,INPUT!$F$3:$F$5000),2,FALSE),"")</f>
        <v>PRE-TEMPORADA</v>
      </c>
      <c r="H27" t="str" cm="1">
        <f t="array" ref="H27">IFERROR(VLOOKUP(INPUT!M22&amp;INPUT!N22,CHOOSE({1,2},INPUT!$A$3:$A$5000&amp;INPUT!$C$3:$C$5000,INPUT!$D$3:$D$5000),2,FALSE),"")</f>
        <v>FISICO</v>
      </c>
      <c r="I27" s="46">
        <f>IF(INPUT!P22="","",INPUT!P22)</f>
        <v>90</v>
      </c>
      <c r="J27" s="46">
        <f>IF(INPUT!Q22="","",INPUT!Q22)</f>
        <v>90.3</v>
      </c>
      <c r="K27" s="46">
        <f>IFERROR(IF(OR(INPUT!P22="",INPUT!Q22=""),"",INPUT!P22-INPUT!Q22),"")</f>
        <v>-0.29999999999999716</v>
      </c>
      <c r="L27" s="48">
        <f>IFERROR(IF(OR(INPUT!P22="",INPUT!Q22="",INPUT!P22=0),"",(INPUT!P22-INPUT!Q22)/INPUT!P22),"")</f>
        <v>-3.3333333333333019E-3</v>
      </c>
    </row>
    <row r="28" spans="1:12" ht="18" customHeight="1" x14ac:dyDescent="0.2">
      <c r="A28" s="11">
        <f>IF(INPUT!M23="","",INPUT!M23)</f>
        <v>45869</v>
      </c>
      <c r="B28" s="11">
        <f>IF(INPUT!M23="","",INPUT!M23-WEEKDAY(INPUT!M23,2)+1)</f>
        <v>45866</v>
      </c>
      <c r="C28" s="20">
        <f>IFERROR(_xlfn.ISOWEEKNUM(INPUT!M23),"")</f>
        <v>31</v>
      </c>
      <c r="D28" s="20">
        <f>IFERROR(YEAR(INPUT!M23),"")</f>
        <v>2025</v>
      </c>
      <c r="E28" t="str">
        <f>IF(INPUT!O23="","",INPUT!O23)</f>
        <v>CECILIO</v>
      </c>
      <c r="F28" t="str">
        <f>IF(INPUT!N23="","",INPUT!N23)</f>
        <v>T</v>
      </c>
      <c r="G28" t="str" cm="1">
        <f t="array" ref="G28">IFERROR(VLOOKUP(INPUT!M23&amp;INPUT!N23,CHOOSE({1,2},INPUT!$A$3:$A$5000&amp;INPUT!$C$3:$C$5000,INPUT!$F$3:$F$5000),2,FALSE),"")</f>
        <v>PRE-TEMPORADA</v>
      </c>
      <c r="H28" t="str" cm="1">
        <f t="array" ref="H28">IFERROR(VLOOKUP(INPUT!M23&amp;INPUT!N23,CHOOSE({1,2},INPUT!$A$3:$A$5000&amp;INPUT!$C$3:$C$5000,INPUT!$D$3:$D$5000),2,FALSE),"")</f>
        <v>FISICO</v>
      </c>
      <c r="I28" s="46">
        <f>IF(INPUT!P23="","",INPUT!P23)</f>
        <v>68.599999999999994</v>
      </c>
      <c r="J28" s="46">
        <f>IF(INPUT!Q23="","",INPUT!Q23)</f>
        <v>68.099999999999994</v>
      </c>
      <c r="K28" s="46">
        <f>IFERROR(IF(OR(INPUT!P23="",INPUT!Q23=""),"",INPUT!P23-INPUT!Q23),"")</f>
        <v>0.5</v>
      </c>
      <c r="L28" s="48">
        <f>IFERROR(IF(OR(INPUT!P23="",INPUT!Q23="",INPUT!P23=0),"",(INPUT!P23-INPUT!Q23)/INPUT!P23),"")</f>
        <v>7.28862973760933E-3</v>
      </c>
    </row>
    <row r="29" spans="1:12" ht="18" hidden="1" customHeight="1" x14ac:dyDescent="0.2">
      <c r="A29" s="11">
        <f>IF(INPUT!M24="","",INPUT!M24)</f>
        <v>45869</v>
      </c>
      <c r="B29" s="11">
        <f>IF(INPUT!M24="","",INPUT!M24-WEEKDAY(INPUT!M24,2)+1)</f>
        <v>45866</v>
      </c>
      <c r="C29" s="20">
        <f>IFERROR(_xlfn.ISOWEEKNUM(INPUT!M24),"")</f>
        <v>31</v>
      </c>
      <c r="D29" s="20">
        <f>IFERROR(YEAR(INPUT!M24),"")</f>
        <v>2025</v>
      </c>
      <c r="E29" t="str">
        <f>IF(INPUT!O24="","",INPUT!O24)</f>
        <v>CHAGUINHA</v>
      </c>
      <c r="F29" t="str">
        <f>IF(INPUT!N24="","",INPUT!N24)</f>
        <v>T</v>
      </c>
      <c r="G29" t="str" cm="1">
        <f t="array" ref="G29">IFERROR(VLOOKUP(INPUT!M24&amp;INPUT!N24,CHOOSE({1,2},INPUT!$A$3:$A$5000&amp;INPUT!$C$3:$C$5000,INPUT!$F$3:$F$5000),2,FALSE),"")</f>
        <v>PRE-TEMPORADA</v>
      </c>
      <c r="H29" t="str" cm="1">
        <f t="array" ref="H29">IFERROR(VLOOKUP(INPUT!M24&amp;INPUT!N24,CHOOSE({1,2},INPUT!$A$3:$A$5000&amp;INPUT!$C$3:$C$5000,INPUT!$D$3:$D$5000),2,FALSE),"")</f>
        <v>FISICO</v>
      </c>
      <c r="I29" s="46">
        <f>IF(INPUT!P24="","",INPUT!P24)</f>
        <v>68.5</v>
      </c>
      <c r="J29" s="46">
        <f>IF(INPUT!Q24="","",INPUT!Q24)</f>
        <v>68</v>
      </c>
      <c r="K29" s="46">
        <f>IFERROR(IF(OR(INPUT!P24="",INPUT!Q24=""),"",INPUT!P24-INPUT!Q24),"")</f>
        <v>0.5</v>
      </c>
      <c r="L29" s="48">
        <f>IFERROR(IF(OR(INPUT!P24="",INPUT!Q24="",INPUT!P24=0),"",(INPUT!P24-INPUT!Q24)/INPUT!P24),"")</f>
        <v>7.2992700729927005E-3</v>
      </c>
    </row>
    <row r="30" spans="1:12" ht="18" hidden="1" customHeight="1" x14ac:dyDescent="0.2">
      <c r="A30" s="11">
        <f>IF(INPUT!M25="","",INPUT!M25)</f>
        <v>45869</v>
      </c>
      <c r="B30" s="11">
        <f>IF(INPUT!M25="","",INPUT!M25-WEEKDAY(INPUT!M25,2)+1)</f>
        <v>45866</v>
      </c>
      <c r="C30" s="20">
        <f>IFERROR(_xlfn.ISOWEEKNUM(INPUT!M25),"")</f>
        <v>31</v>
      </c>
      <c r="D30" s="20">
        <f>IFERROR(YEAR(INPUT!M25),"")</f>
        <v>2025</v>
      </c>
      <c r="E30" t="str">
        <f>IF(INPUT!O25="","",INPUT!O25)</f>
        <v>RAUL</v>
      </c>
      <c r="F30" t="str">
        <f>IF(INPUT!N25="","",INPUT!N25)</f>
        <v>T</v>
      </c>
      <c r="G30" t="str" cm="1">
        <f t="array" ref="G30">IFERROR(VLOOKUP(INPUT!M25&amp;INPUT!N25,CHOOSE({1,2},INPUT!$A$3:$A$5000&amp;INPUT!$C$3:$C$5000,INPUT!$F$3:$F$5000),2,FALSE),"")</f>
        <v>PRE-TEMPORADA</v>
      </c>
      <c r="H30" t="str" cm="1">
        <f t="array" ref="H30">IFERROR(VLOOKUP(INPUT!M25&amp;INPUT!N25,CHOOSE({1,2},INPUT!$A$3:$A$5000&amp;INPUT!$C$3:$C$5000,INPUT!$D$3:$D$5000),2,FALSE),"")</f>
        <v>FISICO</v>
      </c>
      <c r="I30" s="46">
        <f>IF(INPUT!P25="","",INPUT!P25)</f>
        <v>78.900000000000006</v>
      </c>
      <c r="J30" s="46">
        <f>IF(INPUT!Q25="","",INPUT!Q25)</f>
        <v>78.099999999999994</v>
      </c>
      <c r="K30" s="46">
        <f>IFERROR(IF(OR(INPUT!P25="",INPUT!Q25=""),"",INPUT!P25-INPUT!Q25),"")</f>
        <v>0.80000000000001137</v>
      </c>
      <c r="L30" s="48">
        <f>IFERROR(IF(OR(INPUT!P25="",INPUT!Q25="",INPUT!P25=0),"",(INPUT!P25-INPUT!Q25)/INPUT!P25),"")</f>
        <v>1.0139416983523591E-2</v>
      </c>
    </row>
    <row r="31" spans="1:12" ht="18" hidden="1" customHeight="1" x14ac:dyDescent="0.2">
      <c r="A31" s="11">
        <f>IF(INPUT!M26="","",INPUT!M26)</f>
        <v>45869</v>
      </c>
      <c r="B31" s="11">
        <f>IF(INPUT!M26="","",INPUT!M26-WEEKDAY(INPUT!M26,2)+1)</f>
        <v>45866</v>
      </c>
      <c r="C31" s="20">
        <f>IFERROR(_xlfn.ISOWEEKNUM(INPUT!M26),"")</f>
        <v>31</v>
      </c>
      <c r="D31" s="20">
        <f>IFERROR(YEAR(INPUT!M26),"")</f>
        <v>2025</v>
      </c>
      <c r="E31" t="str">
        <f>IF(INPUT!O26="","",INPUT!O26)</f>
        <v>HARRISON</v>
      </c>
      <c r="F31" t="str">
        <f>IF(INPUT!N26="","",INPUT!N26)</f>
        <v>T</v>
      </c>
      <c r="G31" t="str" cm="1">
        <f t="array" ref="G31">IFERROR(VLOOKUP(INPUT!M26&amp;INPUT!N26,CHOOSE({1,2},INPUT!$A$3:$A$5000&amp;INPUT!$C$3:$C$5000,INPUT!$F$3:$F$5000),2,FALSE),"")</f>
        <v>PRE-TEMPORADA</v>
      </c>
      <c r="H31" t="str" cm="1">
        <f t="array" ref="H31">IFERROR(VLOOKUP(INPUT!M26&amp;INPUT!N26,CHOOSE({1,2},INPUT!$A$3:$A$5000&amp;INPUT!$C$3:$C$5000,INPUT!$D$3:$D$5000),2,FALSE),"")</f>
        <v>FISICO</v>
      </c>
      <c r="I31" s="46">
        <f>IF(INPUT!P26="","",INPUT!P26)</f>
        <v>72.599999999999994</v>
      </c>
      <c r="J31" s="46">
        <f>IF(INPUT!Q26="","",INPUT!Q26)</f>
        <v>72</v>
      </c>
      <c r="K31" s="46">
        <f>IFERROR(IF(OR(INPUT!P26="",INPUT!Q26=""),"",INPUT!P26-INPUT!Q26),"")</f>
        <v>0.59999999999999432</v>
      </c>
      <c r="L31" s="48">
        <f>IFERROR(IF(OR(INPUT!P26="",INPUT!Q26="",INPUT!P26=0),"",(INPUT!P26-INPUT!Q26)/INPUT!P26),"")</f>
        <v>8.2644628099172775E-3</v>
      </c>
    </row>
    <row r="32" spans="1:12" ht="18" hidden="1" customHeight="1" x14ac:dyDescent="0.2">
      <c r="A32" s="11">
        <f>IF(INPUT!M27="","",INPUT!M27)</f>
        <v>45869</v>
      </c>
      <c r="B32" s="11">
        <f>IF(INPUT!M27="","",INPUT!M27-WEEKDAY(INPUT!M27,2)+1)</f>
        <v>45866</v>
      </c>
      <c r="C32" s="20">
        <f>IFERROR(_xlfn.ISOWEEKNUM(INPUT!M27),"")</f>
        <v>31</v>
      </c>
      <c r="D32" s="20">
        <f>IFERROR(YEAR(INPUT!M27),"")</f>
        <v>2025</v>
      </c>
      <c r="E32" t="str">
        <f>IF(INPUT!O27="","",INPUT!O27)</f>
        <v>RAYA</v>
      </c>
      <c r="F32" t="str">
        <f>IF(INPUT!N27="","",INPUT!N27)</f>
        <v>T</v>
      </c>
      <c r="G32" t="str" cm="1">
        <f t="array" ref="G32">IFERROR(VLOOKUP(INPUT!M27&amp;INPUT!N27,CHOOSE({1,2},INPUT!$A$3:$A$5000&amp;INPUT!$C$3:$C$5000,INPUT!$F$3:$F$5000),2,FALSE),"")</f>
        <v>PRE-TEMPORADA</v>
      </c>
      <c r="H32" t="str" cm="1">
        <f t="array" ref="H32">IFERROR(VLOOKUP(INPUT!M27&amp;INPUT!N27,CHOOSE({1,2},INPUT!$A$3:$A$5000&amp;INPUT!$C$3:$C$5000,INPUT!$D$3:$D$5000),2,FALSE),"")</f>
        <v>FISICO</v>
      </c>
      <c r="I32" s="46">
        <f>IF(INPUT!P27="","",INPUT!P27)</f>
        <v>78.099999999999994</v>
      </c>
      <c r="J32" s="46">
        <f>IF(INPUT!Q27="","",INPUT!Q27)</f>
        <v>78.5</v>
      </c>
      <c r="K32" s="46">
        <f>IFERROR(IF(OR(INPUT!P27="",INPUT!Q27=""),"",INPUT!P27-INPUT!Q27),"")</f>
        <v>-0.40000000000000568</v>
      </c>
      <c r="L32" s="48">
        <f>IFERROR(IF(OR(INPUT!P27="",INPUT!Q27="",INPUT!P27=0),"",(INPUT!P27-INPUT!Q27)/INPUT!P27),"")</f>
        <v>-5.1216389244558994E-3</v>
      </c>
    </row>
    <row r="33" spans="1:12" ht="18" hidden="1" customHeight="1" x14ac:dyDescent="0.2">
      <c r="A33" s="11">
        <f>IF(INPUT!M28="","",INPUT!M28)</f>
        <v>45869</v>
      </c>
      <c r="B33" s="11">
        <f>IF(INPUT!M28="","",INPUT!M28-WEEKDAY(INPUT!M28,2)+1)</f>
        <v>45866</v>
      </c>
      <c r="C33" s="20">
        <f>IFERROR(_xlfn.ISOWEEKNUM(INPUT!M28),"")</f>
        <v>31</v>
      </c>
      <c r="D33" s="20">
        <f>IFERROR(YEAR(INPUT!M28),"")</f>
        <v>2025</v>
      </c>
      <c r="E33" t="str">
        <f>IF(INPUT!O28="","",INPUT!O28)</f>
        <v>JAVI</v>
      </c>
      <c r="F33" t="str">
        <f>IF(INPUT!N28="","",INPUT!N28)</f>
        <v>T</v>
      </c>
      <c r="G33" t="str" cm="1">
        <f t="array" ref="G33">IFERROR(VLOOKUP(INPUT!M28&amp;INPUT!N28,CHOOSE({1,2},INPUT!$A$3:$A$5000&amp;INPUT!$C$3:$C$5000,INPUT!$F$3:$F$5000),2,FALSE),"")</f>
        <v>PRE-TEMPORADA</v>
      </c>
      <c r="H33" t="str" cm="1">
        <f t="array" ref="H33">IFERROR(VLOOKUP(INPUT!M28&amp;INPUT!N28,CHOOSE({1,2},INPUT!$A$3:$A$5000&amp;INPUT!$C$3:$C$5000,INPUT!$D$3:$D$5000),2,FALSE),"")</f>
        <v>FISICO</v>
      </c>
      <c r="I33" s="46">
        <f>IF(INPUT!P28="","",INPUT!P28)</f>
        <v>70.099999999999994</v>
      </c>
      <c r="J33" s="46">
        <f>IF(INPUT!Q28="","",INPUT!Q28)</f>
        <v>70.599999999999994</v>
      </c>
      <c r="K33" s="46">
        <f>IFERROR(IF(OR(INPUT!P28="",INPUT!Q28=""),"",INPUT!P28-INPUT!Q28),"")</f>
        <v>-0.5</v>
      </c>
      <c r="L33" s="48">
        <f>IFERROR(IF(OR(INPUT!P28="",INPUT!Q28="",INPUT!P28=0),"",(INPUT!P28-INPUT!Q28)/INPUT!P28),"")</f>
        <v>-7.1326676176890159E-3</v>
      </c>
    </row>
    <row r="34" spans="1:12" ht="18" hidden="1" customHeight="1" x14ac:dyDescent="0.2">
      <c r="A34" s="11">
        <f>IF(INPUT!M29="","",INPUT!M29)</f>
        <v>45869</v>
      </c>
      <c r="B34" s="11">
        <f>IF(INPUT!M29="","",INPUT!M29-WEEKDAY(INPUT!M29,2)+1)</f>
        <v>45866</v>
      </c>
      <c r="C34" s="20">
        <f>IFERROR(_xlfn.ISOWEEKNUM(INPUT!M29),"")</f>
        <v>31</v>
      </c>
      <c r="D34" s="20">
        <f>IFERROR(YEAR(INPUT!M29),"")</f>
        <v>2025</v>
      </c>
      <c r="E34" t="str">
        <f>IF(INPUT!O29="","",INPUT!O29)</f>
        <v>PANI</v>
      </c>
      <c r="F34" t="str">
        <f>IF(INPUT!N29="","",INPUT!N29)</f>
        <v>T</v>
      </c>
      <c r="G34" t="str" cm="1">
        <f t="array" ref="G34">IFERROR(VLOOKUP(INPUT!M29&amp;INPUT!N29,CHOOSE({1,2},INPUT!$A$3:$A$5000&amp;INPUT!$C$3:$C$5000,INPUT!$F$3:$F$5000),2,FALSE),"")</f>
        <v>PRE-TEMPORADA</v>
      </c>
      <c r="H34" t="str" cm="1">
        <f t="array" ref="H34">IFERROR(VLOOKUP(INPUT!M29&amp;INPUT!N29,CHOOSE({1,2},INPUT!$A$3:$A$5000&amp;INPUT!$C$3:$C$5000,INPUT!$D$3:$D$5000),2,FALSE),"")</f>
        <v>FISICO</v>
      </c>
      <c r="I34" s="46">
        <f>IF(INPUT!P29="","",INPUT!P29)</f>
        <v>75.3</v>
      </c>
      <c r="J34" s="46">
        <f>IF(INPUT!Q29="","",INPUT!Q29)</f>
        <v>75.2</v>
      </c>
      <c r="K34" s="46">
        <f>IFERROR(IF(OR(INPUT!P29="",INPUT!Q29=""),"",INPUT!P29-INPUT!Q29),"")</f>
        <v>9.9999999999994316E-2</v>
      </c>
      <c r="L34" s="48">
        <f>IFERROR(IF(OR(INPUT!P29="",INPUT!Q29="",INPUT!P29=0),"",(INPUT!P29-INPUT!Q29)/INPUT!P29),"")</f>
        <v>1.3280212483398981E-3</v>
      </c>
    </row>
    <row r="35" spans="1:12" ht="18" hidden="1" customHeight="1" x14ac:dyDescent="0.2">
      <c r="A35" s="11">
        <f>IF(INPUT!M30="","",INPUT!M30)</f>
        <v>45869</v>
      </c>
      <c r="B35" s="11">
        <f>IF(INPUT!M30="","",INPUT!M30-WEEKDAY(INPUT!M30,2)+1)</f>
        <v>45866</v>
      </c>
      <c r="C35" s="20">
        <f>IFERROR(_xlfn.ISOWEEKNUM(INPUT!M30),"")</f>
        <v>31</v>
      </c>
      <c r="D35" s="20">
        <f>IFERROR(YEAR(INPUT!M30),"")</f>
        <v>2025</v>
      </c>
      <c r="E35" t="str">
        <f>IF(INPUT!O30="","",INPUT!O30)</f>
        <v>PIRATA</v>
      </c>
      <c r="F35" t="str">
        <f>IF(INPUT!N30="","",INPUT!N30)</f>
        <v>T</v>
      </c>
      <c r="G35" t="str" cm="1">
        <f t="array" ref="G35">IFERROR(VLOOKUP(INPUT!M30&amp;INPUT!N30,CHOOSE({1,2},INPUT!$A$3:$A$5000&amp;INPUT!$C$3:$C$5000,INPUT!$F$3:$F$5000),2,FALSE),"")</f>
        <v>PRE-TEMPORADA</v>
      </c>
      <c r="H35" t="str" cm="1">
        <f t="array" ref="H35">IFERROR(VLOOKUP(INPUT!M30&amp;INPUT!N30,CHOOSE({1,2},INPUT!$A$3:$A$5000&amp;INPUT!$C$3:$C$5000,INPUT!$D$3:$D$5000),2,FALSE),"")</f>
        <v>FISICO</v>
      </c>
      <c r="I35" s="46">
        <f>IF(INPUT!P30="","",INPUT!P30)</f>
        <v>71.900000000000006</v>
      </c>
      <c r="J35" s="46">
        <f>IF(INPUT!Q30="","",INPUT!Q30)</f>
        <v>71.900000000000006</v>
      </c>
      <c r="K35" s="46">
        <f>IFERROR(IF(OR(INPUT!P30="",INPUT!Q30=""),"",INPUT!P30-INPUT!Q30),"")</f>
        <v>0</v>
      </c>
      <c r="L35" s="48">
        <f>IFERROR(IF(OR(INPUT!P30="",INPUT!Q30="",INPUT!P30=0),"",(INPUT!P30-INPUT!Q30)/INPUT!P30),"")</f>
        <v>0</v>
      </c>
    </row>
    <row r="36" spans="1:12" ht="18" hidden="1" customHeight="1" x14ac:dyDescent="0.2">
      <c r="A36" s="11">
        <f>IF(INPUT!M31="","",INPUT!M31)</f>
        <v>45869</v>
      </c>
      <c r="B36" s="11">
        <f>IF(INPUT!M31="","",INPUT!M31-WEEKDAY(INPUT!M31,2)+1)</f>
        <v>45866</v>
      </c>
      <c r="C36" s="20">
        <f>IFERROR(_xlfn.ISOWEEKNUM(INPUT!M31),"")</f>
        <v>31</v>
      </c>
      <c r="D36" s="20">
        <f>IFERROR(YEAR(INPUT!M31),"")</f>
        <v>2025</v>
      </c>
      <c r="E36" t="str">
        <f>IF(INPUT!O31="","",INPUT!O31)</f>
        <v>BARONA</v>
      </c>
      <c r="F36" t="str">
        <f>IF(INPUT!N31="","",INPUT!N31)</f>
        <v>T</v>
      </c>
      <c r="G36" t="str" cm="1">
        <f t="array" ref="G36">IFERROR(VLOOKUP(INPUT!M31&amp;INPUT!N31,CHOOSE({1,2},INPUT!$A$3:$A$5000&amp;INPUT!$C$3:$C$5000,INPUT!$F$3:$F$5000),2,FALSE),"")</f>
        <v>PRE-TEMPORADA</v>
      </c>
      <c r="H36" t="str" cm="1">
        <f t="array" ref="H36">IFERROR(VLOOKUP(INPUT!M31&amp;INPUT!N31,CHOOSE({1,2},INPUT!$A$3:$A$5000&amp;INPUT!$C$3:$C$5000,INPUT!$D$3:$D$5000),2,FALSE),"")</f>
        <v>FISICO</v>
      </c>
      <c r="I36" s="46">
        <f>IF(INPUT!P31="","",INPUT!P31)</f>
        <v>67.8</v>
      </c>
      <c r="J36" s="46">
        <f>IF(INPUT!Q31="","",INPUT!Q31)</f>
        <v>67.3</v>
      </c>
      <c r="K36" s="46">
        <f>IFERROR(IF(OR(INPUT!P31="",INPUT!Q31=""),"",INPUT!P31-INPUT!Q31),"")</f>
        <v>0.5</v>
      </c>
      <c r="L36" s="48">
        <f>IFERROR(IF(OR(INPUT!P31="",INPUT!Q31="",INPUT!P31=0),"",(INPUT!P31-INPUT!Q31)/INPUT!P31),"")</f>
        <v>7.3746312684365781E-3</v>
      </c>
    </row>
    <row r="37" spans="1:12" ht="18" hidden="1" customHeight="1" x14ac:dyDescent="0.2">
      <c r="A37" s="11">
        <f>IF(INPUT!M32="","",INPUT!M32)</f>
        <v>45869</v>
      </c>
      <c r="B37" s="11">
        <f>IF(INPUT!M32="","",INPUT!M32-WEEKDAY(INPUT!M32,2)+1)</f>
        <v>45866</v>
      </c>
      <c r="C37" s="20">
        <f>IFERROR(_xlfn.ISOWEEKNUM(INPUT!M32),"")</f>
        <v>31</v>
      </c>
      <c r="D37" s="20">
        <f>IFERROR(YEAR(INPUT!M32),"")</f>
        <v>2025</v>
      </c>
      <c r="E37" t="str">
        <f>IF(INPUT!O32="","",INPUT!O32)</f>
        <v>CARLOS</v>
      </c>
      <c r="F37" t="str">
        <f>IF(INPUT!N32="","",INPUT!N32)</f>
        <v>T</v>
      </c>
      <c r="G37" t="str" cm="1">
        <f t="array" ref="G37">IFERROR(VLOOKUP(INPUT!M32&amp;INPUT!N32,CHOOSE({1,2},INPUT!$A$3:$A$5000&amp;INPUT!$C$3:$C$5000,INPUT!$F$3:$F$5000),2,FALSE),"")</f>
        <v>PRE-TEMPORADA</v>
      </c>
      <c r="H37" t="str" cm="1">
        <f t="array" ref="H37">IFERROR(VLOOKUP(INPUT!M32&amp;INPUT!N32,CHOOSE({1,2},INPUT!$A$3:$A$5000&amp;INPUT!$C$3:$C$5000,INPUT!$D$3:$D$5000),2,FALSE),"")</f>
        <v>FISICO</v>
      </c>
      <c r="I37" s="46">
        <f>IF(INPUT!P32="","",INPUT!P32)</f>
        <v>67.8</v>
      </c>
      <c r="J37" s="46">
        <f>IF(INPUT!Q32="","",INPUT!Q32)</f>
        <v>67.3</v>
      </c>
      <c r="K37" s="46">
        <f>IFERROR(IF(OR(INPUT!P32="",INPUT!Q32=""),"",INPUT!P32-INPUT!Q32),"")</f>
        <v>0.5</v>
      </c>
      <c r="L37" s="48">
        <f>IFERROR(IF(OR(INPUT!P32="",INPUT!Q32="",INPUT!P32=0),"",(INPUT!P32-INPUT!Q32)/INPUT!P32),"")</f>
        <v>7.3746312684365781E-3</v>
      </c>
    </row>
    <row r="38" spans="1:12" ht="18" customHeight="1" x14ac:dyDescent="0.2">
      <c r="A38" s="11">
        <f>IF(INPUT!M33="","",INPUT!M33)</f>
        <v>45869</v>
      </c>
      <c r="B38" s="11">
        <f>IF(INPUT!M33="","",INPUT!M33-WEEKDAY(INPUT!M33,2)+1)</f>
        <v>45866</v>
      </c>
      <c r="C38" s="20">
        <f>IFERROR(_xlfn.ISOWEEKNUM(INPUT!M33),"")</f>
        <v>31</v>
      </c>
      <c r="D38" s="20">
        <f>IFERROR(YEAR(INPUT!M33),"")</f>
        <v>2025</v>
      </c>
      <c r="E38" t="str">
        <f>IF(INPUT!O33="","",INPUT!O33)</f>
        <v>GONZALO</v>
      </c>
      <c r="F38" t="str">
        <f>IF(INPUT!N33="","",INPUT!N33)</f>
        <v>T</v>
      </c>
      <c r="G38" t="str" cm="1">
        <f t="array" ref="G38">IFERROR(VLOOKUP(INPUT!M33&amp;INPUT!N33,CHOOSE({1,2},INPUT!$A$3:$A$5000&amp;INPUT!$C$3:$C$5000,INPUT!$F$3:$F$5000),2,FALSE),"")</f>
        <v>PRE-TEMPORADA</v>
      </c>
      <c r="H38" t="str" cm="1">
        <f t="array" ref="H38">IFERROR(VLOOKUP(INPUT!M33&amp;INPUT!N33,CHOOSE({1,2},INPUT!$A$3:$A$5000&amp;INPUT!$C$3:$C$5000,INPUT!$D$3:$D$5000),2,FALSE),"")</f>
        <v>FISICO</v>
      </c>
      <c r="I38" s="46">
        <f>IF(INPUT!P33="","",INPUT!P33)</f>
        <v>84.5</v>
      </c>
      <c r="J38" s="46">
        <f>IF(INPUT!Q33="","",INPUT!Q33)</f>
        <v>84.8</v>
      </c>
      <c r="K38" s="46">
        <f>IFERROR(IF(OR(INPUT!P33="",INPUT!Q33=""),"",INPUT!P33-INPUT!Q33),"")</f>
        <v>-0.29999999999999716</v>
      </c>
      <c r="L38" s="48">
        <f>IFERROR(IF(OR(INPUT!P33="",INPUT!Q33="",INPUT!P33=0),"",(INPUT!P33-INPUT!Q33)/INPUT!P33),"")</f>
        <v>-3.5502958579881321E-3</v>
      </c>
    </row>
    <row r="39" spans="1:12" ht="18" customHeight="1" x14ac:dyDescent="0.2">
      <c r="A39" s="11">
        <f>IF(INPUT!M34="","",INPUT!M34)</f>
        <v>45869</v>
      </c>
      <c r="B39" s="11">
        <f>IF(INPUT!M34="","",INPUT!M34-WEEKDAY(INPUT!M34,2)+1)</f>
        <v>45866</v>
      </c>
      <c r="C39" s="20">
        <f>IFERROR(_xlfn.ISOWEEKNUM(INPUT!M34),"")</f>
        <v>31</v>
      </c>
      <c r="D39" s="20">
        <f>IFERROR(YEAR(INPUT!M34),"")</f>
        <v>2025</v>
      </c>
      <c r="E39" t="str">
        <f>IF(INPUT!O34="","",INPUT!O34)</f>
        <v>RUBIO</v>
      </c>
      <c r="F39" t="str">
        <f>IF(INPUT!N34="","",INPUT!N34)</f>
        <v>T</v>
      </c>
      <c r="G39" t="str" cm="1">
        <f t="array" ref="G39">IFERROR(VLOOKUP(INPUT!M34&amp;INPUT!N34,CHOOSE({1,2},INPUT!$A$3:$A$5000&amp;INPUT!$C$3:$C$5000,INPUT!$F$3:$F$5000),2,FALSE),"")</f>
        <v>PRE-TEMPORADA</v>
      </c>
      <c r="H39" t="str" cm="1">
        <f t="array" ref="H39">IFERROR(VLOOKUP(INPUT!M34&amp;INPUT!N34,CHOOSE({1,2},INPUT!$A$3:$A$5000&amp;INPUT!$C$3:$C$5000,INPUT!$D$3:$D$5000),2,FALSE),"")</f>
        <v>FISICO</v>
      </c>
      <c r="I39" s="46">
        <f>IF(INPUT!P34="","",INPUT!P34)</f>
        <v>74.3</v>
      </c>
      <c r="J39" s="46">
        <f>IF(INPUT!Q34="","",INPUT!Q34)</f>
        <v>75.5</v>
      </c>
      <c r="K39" s="46">
        <f>IFERROR(IF(OR(INPUT!P34="",INPUT!Q34=""),"",INPUT!P34-INPUT!Q34),"")</f>
        <v>-1.2000000000000028</v>
      </c>
      <c r="L39" s="48">
        <f>IFERROR(IF(OR(INPUT!P34="",INPUT!Q34="",INPUT!P34=0),"",(INPUT!P34-INPUT!Q34)/INPUT!P34),"")</f>
        <v>-1.6150740242261142E-2</v>
      </c>
    </row>
    <row r="40" spans="1:12" ht="18" customHeight="1" x14ac:dyDescent="0.2">
      <c r="A40" s="11">
        <f>IF(INPUT!M35="","",INPUT!M35)</f>
        <v>45869</v>
      </c>
      <c r="B40" s="11">
        <f>IF(INPUT!M35="","",INPUT!M35-WEEKDAY(INPUT!M35,2)+1)</f>
        <v>45866</v>
      </c>
      <c r="C40" s="20">
        <f>IFERROR(_xlfn.ISOWEEKNUM(INPUT!M35),"")</f>
        <v>31</v>
      </c>
      <c r="D40" s="20">
        <f>IFERROR(YEAR(INPUT!M35),"")</f>
        <v>2025</v>
      </c>
      <c r="E40" t="str">
        <f>IF(INPUT!O35="","",INPUT!O35)</f>
        <v>DANI</v>
      </c>
      <c r="F40" t="str">
        <f>IF(INPUT!N35="","",INPUT!N35)</f>
        <v>T</v>
      </c>
      <c r="G40" t="str" cm="1">
        <f t="array" ref="G40">IFERROR(VLOOKUP(INPUT!M35&amp;INPUT!N35,CHOOSE({1,2},INPUT!$A$3:$A$5000&amp;INPUT!$C$3:$C$5000,INPUT!$F$3:$F$5000),2,FALSE),"")</f>
        <v>PRE-TEMPORADA</v>
      </c>
      <c r="H40" t="str" cm="1">
        <f t="array" ref="H40">IFERROR(VLOOKUP(INPUT!M35&amp;INPUT!N35,CHOOSE({1,2},INPUT!$A$3:$A$5000&amp;INPUT!$C$3:$C$5000,INPUT!$D$3:$D$5000),2,FALSE),"")</f>
        <v>FISICO</v>
      </c>
      <c r="I40" s="46">
        <f>IF(INPUT!P35="","",INPUT!P35)</f>
        <v>93.1</v>
      </c>
      <c r="J40" s="46">
        <f>IF(INPUT!Q35="","",INPUT!Q35)</f>
        <v>92.5</v>
      </c>
      <c r="K40" s="46">
        <f>IFERROR(IF(OR(INPUT!P35="",INPUT!Q35=""),"",INPUT!P35-INPUT!Q35),"")</f>
        <v>0.59999999999999432</v>
      </c>
      <c r="L40" s="48">
        <f>IFERROR(IF(OR(INPUT!P35="",INPUT!Q35="",INPUT!P35=0),"",(INPUT!P35-INPUT!Q35)/INPUT!P35),"")</f>
        <v>6.4446831364123993E-3</v>
      </c>
    </row>
    <row r="41" spans="1:12" ht="18" hidden="1" customHeight="1" x14ac:dyDescent="0.2">
      <c r="A41" s="11">
        <f>IF(INPUT!M36="","",INPUT!M36)</f>
        <v>45869</v>
      </c>
      <c r="B41" s="11">
        <f>IF(INPUT!M36="","",INPUT!M36-WEEKDAY(INPUT!M36,2)+1)</f>
        <v>45866</v>
      </c>
      <c r="C41" s="20">
        <f>IFERROR(_xlfn.ISOWEEKNUM(INPUT!M36),"")</f>
        <v>31</v>
      </c>
      <c r="D41" s="20">
        <f>IFERROR(YEAR(INPUT!M36),"")</f>
        <v>2025</v>
      </c>
      <c r="E41" t="str">
        <f>IF(INPUT!O36="","",INPUT!O36)</f>
        <v>JAIME</v>
      </c>
      <c r="F41" t="str">
        <f>IF(INPUT!N36="","",INPUT!N36)</f>
        <v>T</v>
      </c>
      <c r="G41" t="str" cm="1">
        <f t="array" ref="G41">IFERROR(VLOOKUP(INPUT!M36&amp;INPUT!N36,CHOOSE({1,2},INPUT!$A$3:$A$5000&amp;INPUT!$C$3:$C$5000,INPUT!$F$3:$F$5000),2,FALSE),"")</f>
        <v>PRE-TEMPORADA</v>
      </c>
      <c r="H41" t="str" cm="1">
        <f t="array" ref="H41">IFERROR(VLOOKUP(INPUT!M36&amp;INPUT!N36,CHOOSE({1,2},INPUT!$A$3:$A$5000&amp;INPUT!$C$3:$C$5000,INPUT!$D$3:$D$5000),2,FALSE),"")</f>
        <v>FISICO</v>
      </c>
      <c r="I41" s="46">
        <f>IF(INPUT!P36="","",INPUT!P36)</f>
        <v>75.7</v>
      </c>
      <c r="J41" s="46">
        <f>IF(INPUT!Q36="","",INPUT!Q36)</f>
        <v>75.5</v>
      </c>
      <c r="K41" s="46">
        <f>IFERROR(IF(OR(INPUT!P36="",INPUT!Q36=""),"",INPUT!P36-INPUT!Q36),"")</f>
        <v>0.20000000000000284</v>
      </c>
      <c r="L41" s="48">
        <f>IFERROR(IF(OR(INPUT!P36="",INPUT!Q36="",INPUT!P36=0),"",(INPUT!P36-INPUT!Q36)/INPUT!P36),"")</f>
        <v>2.6420079260238154E-3</v>
      </c>
    </row>
    <row r="42" spans="1:12" ht="18" hidden="1" customHeight="1" x14ac:dyDescent="0.2">
      <c r="A42" s="11">
        <f>IF(INPUT!M37="","",INPUT!M37)</f>
        <v>45870</v>
      </c>
      <c r="B42" s="11">
        <f>IF(INPUT!M37="","",INPUT!M37-WEEKDAY(INPUT!M37,2)+1)</f>
        <v>45866</v>
      </c>
      <c r="C42" s="20">
        <f>IFERROR(_xlfn.ISOWEEKNUM(INPUT!M37),"")</f>
        <v>31</v>
      </c>
      <c r="D42" s="20">
        <f>IFERROR(YEAR(INPUT!M37),"")</f>
        <v>2025</v>
      </c>
      <c r="E42" t="str">
        <f>IF(INPUT!O37="","",INPUT!O37)</f>
        <v>HERRERO</v>
      </c>
      <c r="F42" t="str">
        <f>IF(INPUT!N37="","",INPUT!N37)</f>
        <v>M</v>
      </c>
      <c r="G42" t="str" cm="1">
        <f t="array" ref="G42">IFERROR(VLOOKUP(INPUT!M37&amp;INPUT!N37,CHOOSE({1,2},INPUT!$A$3:$A$5000&amp;INPUT!$C$3:$C$5000,INPUT!$F$3:$F$5000),2,FALSE),"")</f>
        <v/>
      </c>
      <c r="H42" t="str" cm="1">
        <f t="array" ref="H42">IFERROR(VLOOKUP(INPUT!M37&amp;INPUT!N37,CHOOSE({1,2},INPUT!$A$3:$A$5000&amp;INPUT!$C$3:$C$5000,INPUT!$D$3:$D$5000),2,FALSE),"")</f>
        <v/>
      </c>
      <c r="I42" s="46">
        <f>IF(INPUT!P37="","",INPUT!P37)</f>
        <v>77.3</v>
      </c>
      <c r="J42" s="46">
        <f>IF(INPUT!Q37="","",INPUT!Q37)</f>
        <v>77</v>
      </c>
      <c r="K42" s="46">
        <f>IFERROR(IF(OR(INPUT!P37="",INPUT!Q37=""),"",INPUT!P37-INPUT!Q37),"")</f>
        <v>0.29999999999999716</v>
      </c>
      <c r="L42" s="48">
        <f>IFERROR(IF(OR(INPUT!P37="",INPUT!Q37="",INPUT!P37=0),"",(INPUT!P37-INPUT!Q37)/INPUT!P37),"")</f>
        <v>3.8809831824061728E-3</v>
      </c>
    </row>
    <row r="43" spans="1:12" ht="18" hidden="1" customHeight="1" x14ac:dyDescent="0.2">
      <c r="A43" s="11">
        <f>IF(INPUT!M38="","",INPUT!M38)</f>
        <v>45870</v>
      </c>
      <c r="B43" s="11">
        <f>IF(INPUT!M38="","",INPUT!M38-WEEKDAY(INPUT!M38,2)+1)</f>
        <v>45866</v>
      </c>
      <c r="C43" s="20">
        <f>IFERROR(_xlfn.ISOWEEKNUM(INPUT!M38),"")</f>
        <v>31</v>
      </c>
      <c r="D43" s="20">
        <f>IFERROR(YEAR(INPUT!M38),"")</f>
        <v>2025</v>
      </c>
      <c r="E43" t="str">
        <f>IF(INPUT!O38="","",INPUT!O38)</f>
        <v>GARCIA</v>
      </c>
      <c r="F43" t="str">
        <f>IF(INPUT!N38="","",INPUT!N38)</f>
        <v>M</v>
      </c>
      <c r="G43" t="str" cm="1">
        <f t="array" ref="G43">IFERROR(VLOOKUP(INPUT!M38&amp;INPUT!N38,CHOOSE({1,2},INPUT!$A$3:$A$5000&amp;INPUT!$C$3:$C$5000,INPUT!$F$3:$F$5000),2,FALSE),"")</f>
        <v/>
      </c>
      <c r="H43" t="str" cm="1">
        <f t="array" ref="H43">IFERROR(VLOOKUP(INPUT!M38&amp;INPUT!N38,CHOOSE({1,2},INPUT!$A$3:$A$5000&amp;INPUT!$C$3:$C$5000,INPUT!$D$3:$D$5000),2,FALSE),"")</f>
        <v/>
      </c>
      <c r="I43" s="46">
        <f>IF(INPUT!P38="","",INPUT!P38)</f>
        <v>78.3</v>
      </c>
      <c r="J43" s="46">
        <f>IF(INPUT!Q38="","",INPUT!Q38)</f>
        <v>78</v>
      </c>
      <c r="K43" s="46">
        <f>IFERROR(IF(OR(INPUT!P38="",INPUT!Q38=""),"",INPUT!P38-INPUT!Q38),"")</f>
        <v>0.29999999999999716</v>
      </c>
      <c r="L43" s="48">
        <f>IFERROR(IF(OR(INPUT!P38="",INPUT!Q38="",INPUT!P38=0),"",(INPUT!P38-INPUT!Q38)/INPUT!P38),"")</f>
        <v>3.8314176245210366E-3</v>
      </c>
    </row>
    <row r="44" spans="1:12" ht="18" hidden="1" customHeight="1" x14ac:dyDescent="0.2">
      <c r="A44" s="11">
        <f>IF(INPUT!M39="","",INPUT!M39)</f>
        <v>45870</v>
      </c>
      <c r="B44" s="11">
        <f>IF(INPUT!M39="","",INPUT!M39-WEEKDAY(INPUT!M39,2)+1)</f>
        <v>45866</v>
      </c>
      <c r="C44" s="20">
        <f>IFERROR(_xlfn.ISOWEEKNUM(INPUT!M39),"")</f>
        <v>31</v>
      </c>
      <c r="D44" s="20">
        <f>IFERROR(YEAR(INPUT!M39),"")</f>
        <v>2025</v>
      </c>
      <c r="E44" t="str">
        <f>IF(INPUT!O39="","",INPUT!O39)</f>
        <v>OSCAR</v>
      </c>
      <c r="F44" t="str">
        <f>IF(INPUT!N39="","",INPUT!N39)</f>
        <v>M</v>
      </c>
      <c r="G44" t="str" cm="1">
        <f t="array" ref="G44">IFERROR(VLOOKUP(INPUT!M39&amp;INPUT!N39,CHOOSE({1,2},INPUT!$A$3:$A$5000&amp;INPUT!$C$3:$C$5000,INPUT!$F$3:$F$5000),2,FALSE),"")</f>
        <v/>
      </c>
      <c r="H44" t="str" cm="1">
        <f t="array" ref="H44">IFERROR(VLOOKUP(INPUT!M39&amp;INPUT!N39,CHOOSE({1,2},INPUT!$A$3:$A$5000&amp;INPUT!$C$3:$C$5000,INPUT!$D$3:$D$5000),2,FALSE),"")</f>
        <v/>
      </c>
      <c r="I44" s="46">
        <f>IF(INPUT!P39="","",INPUT!P39)</f>
        <v>89.1</v>
      </c>
      <c r="J44" s="46">
        <f>IF(INPUT!Q39="","",INPUT!Q39)</f>
        <v>88.5</v>
      </c>
      <c r="K44" s="46">
        <f>IFERROR(IF(OR(INPUT!P39="",INPUT!Q39=""),"",INPUT!P39-INPUT!Q39),"")</f>
        <v>0.59999999999999432</v>
      </c>
      <c r="L44" s="48">
        <f>IFERROR(IF(OR(INPUT!P39="",INPUT!Q39="",INPUT!P39=0),"",(INPUT!P39-INPUT!Q39)/INPUT!P39),"")</f>
        <v>6.7340067340066704E-3</v>
      </c>
    </row>
    <row r="45" spans="1:12" ht="18" hidden="1" customHeight="1" x14ac:dyDescent="0.2">
      <c r="A45" s="11">
        <f>IF(INPUT!M40="","",INPUT!M40)</f>
        <v>45870</v>
      </c>
      <c r="B45" s="11">
        <f>IF(INPUT!M40="","",INPUT!M40-WEEKDAY(INPUT!M40,2)+1)</f>
        <v>45866</v>
      </c>
      <c r="C45" s="20">
        <f>IFERROR(_xlfn.ISOWEEKNUM(INPUT!M40),"")</f>
        <v>31</v>
      </c>
      <c r="D45" s="20">
        <f>IFERROR(YEAR(INPUT!M40),"")</f>
        <v>2025</v>
      </c>
      <c r="E45" t="str">
        <f>IF(INPUT!O40="","",INPUT!O40)</f>
        <v>CECILIO</v>
      </c>
      <c r="F45" t="str">
        <f>IF(INPUT!N40="","",INPUT!N40)</f>
        <v>M</v>
      </c>
      <c r="G45" t="str" cm="1">
        <f t="array" ref="G45">IFERROR(VLOOKUP(INPUT!M40&amp;INPUT!N40,CHOOSE({1,2},INPUT!$A$3:$A$5000&amp;INPUT!$C$3:$C$5000,INPUT!$F$3:$F$5000),2,FALSE),"")</f>
        <v/>
      </c>
      <c r="H45" t="str" cm="1">
        <f t="array" ref="H45">IFERROR(VLOOKUP(INPUT!M40&amp;INPUT!N40,CHOOSE({1,2},INPUT!$A$3:$A$5000&amp;INPUT!$C$3:$C$5000,INPUT!$D$3:$D$5000),2,FALSE),"")</f>
        <v/>
      </c>
      <c r="I45" s="46">
        <f>IF(INPUT!P40="","",INPUT!P40)</f>
        <v>68.3</v>
      </c>
      <c r="J45" s="46">
        <f>IF(INPUT!Q40="","",INPUT!Q40)</f>
        <v>68.099999999999994</v>
      </c>
      <c r="K45" s="46">
        <f>IFERROR(IF(OR(INPUT!P40="",INPUT!Q40=""),"",INPUT!P40-INPUT!Q40),"")</f>
        <v>0.20000000000000284</v>
      </c>
      <c r="L45" s="48">
        <f>IFERROR(IF(OR(INPUT!P40="",INPUT!Q40="",INPUT!P40=0),"",(INPUT!P40-INPUT!Q40)/INPUT!P40),"")</f>
        <v>2.9282576866764692E-3</v>
      </c>
    </row>
    <row r="46" spans="1:12" ht="18" hidden="1" customHeight="1" x14ac:dyDescent="0.2">
      <c r="A46" s="11">
        <f>IF(INPUT!M41="","",INPUT!M41)</f>
        <v>45870</v>
      </c>
      <c r="B46" s="11">
        <f>IF(INPUT!M41="","",INPUT!M41-WEEKDAY(INPUT!M41,2)+1)</f>
        <v>45866</v>
      </c>
      <c r="C46" s="20">
        <f>IFERROR(_xlfn.ISOWEEKNUM(INPUT!M41),"")</f>
        <v>31</v>
      </c>
      <c r="D46" s="20">
        <f>IFERROR(YEAR(INPUT!M41),"")</f>
        <v>2025</v>
      </c>
      <c r="E46" t="str">
        <f>IF(INPUT!O41="","",INPUT!O41)</f>
        <v>CHAGUINHA</v>
      </c>
      <c r="F46" t="str">
        <f>IF(INPUT!N41="","",INPUT!N41)</f>
        <v>M</v>
      </c>
      <c r="G46" t="str" cm="1">
        <f t="array" ref="G46">IFERROR(VLOOKUP(INPUT!M41&amp;INPUT!N41,CHOOSE({1,2},INPUT!$A$3:$A$5000&amp;INPUT!$C$3:$C$5000,INPUT!$F$3:$F$5000),2,FALSE),"")</f>
        <v/>
      </c>
      <c r="H46" t="str" cm="1">
        <f t="array" ref="H46">IFERROR(VLOOKUP(INPUT!M41&amp;INPUT!N41,CHOOSE({1,2},INPUT!$A$3:$A$5000&amp;INPUT!$C$3:$C$5000,INPUT!$D$3:$D$5000),2,FALSE),"")</f>
        <v/>
      </c>
      <c r="I46" s="46">
        <f>IF(INPUT!P41="","",INPUT!P41)</f>
        <v>68.5</v>
      </c>
      <c r="J46" s="46">
        <f>IF(INPUT!Q41="","",INPUT!Q41)</f>
        <v>68</v>
      </c>
      <c r="K46" s="46">
        <f>IFERROR(IF(OR(INPUT!P41="",INPUT!Q41=""),"",INPUT!P41-INPUT!Q41),"")</f>
        <v>0.5</v>
      </c>
      <c r="L46" s="48">
        <f>IFERROR(IF(OR(INPUT!P41="",INPUT!Q41="",INPUT!P41=0),"",(INPUT!P41-INPUT!Q41)/INPUT!P41),"")</f>
        <v>7.2992700729927005E-3</v>
      </c>
    </row>
    <row r="47" spans="1:12" ht="18" hidden="1" customHeight="1" x14ac:dyDescent="0.2">
      <c r="A47" s="11">
        <f>IF(INPUT!M42="","",INPUT!M42)</f>
        <v>45870</v>
      </c>
      <c r="B47" s="11">
        <f>IF(INPUT!M42="","",INPUT!M42-WEEKDAY(INPUT!M42,2)+1)</f>
        <v>45866</v>
      </c>
      <c r="C47" s="20">
        <f>IFERROR(_xlfn.ISOWEEKNUM(INPUT!M42),"")</f>
        <v>31</v>
      </c>
      <c r="D47" s="20">
        <f>IFERROR(YEAR(INPUT!M42),"")</f>
        <v>2025</v>
      </c>
      <c r="E47" t="str">
        <f>IF(INPUT!O42="","",INPUT!O42)</f>
        <v>RAUL</v>
      </c>
      <c r="F47" t="str">
        <f>IF(INPUT!N42="","",INPUT!N42)</f>
        <v>M</v>
      </c>
      <c r="G47" t="str" cm="1">
        <f t="array" ref="G47">IFERROR(VLOOKUP(INPUT!M42&amp;INPUT!N42,CHOOSE({1,2},INPUT!$A$3:$A$5000&amp;INPUT!$C$3:$C$5000,INPUT!$F$3:$F$5000),2,FALSE),"")</f>
        <v/>
      </c>
      <c r="H47" t="str" cm="1">
        <f t="array" ref="H47">IFERROR(VLOOKUP(INPUT!M42&amp;INPUT!N42,CHOOSE({1,2},INPUT!$A$3:$A$5000&amp;INPUT!$C$3:$C$5000,INPUT!$D$3:$D$5000),2,FALSE),"")</f>
        <v/>
      </c>
      <c r="I47" s="46">
        <f>IF(INPUT!P42="","",INPUT!P42)</f>
        <v>78</v>
      </c>
      <c r="J47" s="46">
        <f>IF(INPUT!Q42="","",INPUT!Q42)</f>
        <v>79.2</v>
      </c>
      <c r="K47" s="46">
        <f>IFERROR(IF(OR(INPUT!P42="",INPUT!Q42=""),"",INPUT!P42-INPUT!Q42),"")</f>
        <v>-1.2000000000000028</v>
      </c>
      <c r="L47" s="48">
        <f>IFERROR(IF(OR(INPUT!P42="",INPUT!Q42="",INPUT!P42=0),"",(INPUT!P42-INPUT!Q42)/INPUT!P42),"")</f>
        <v>-1.5384615384615422E-2</v>
      </c>
    </row>
    <row r="48" spans="1:12" ht="18" hidden="1" customHeight="1" x14ac:dyDescent="0.2">
      <c r="A48" s="11">
        <f>IF(INPUT!M43="","",INPUT!M43)</f>
        <v>45870</v>
      </c>
      <c r="B48" s="11">
        <f>IF(INPUT!M43="","",INPUT!M43-WEEKDAY(INPUT!M43,2)+1)</f>
        <v>45866</v>
      </c>
      <c r="C48" s="20">
        <f>IFERROR(_xlfn.ISOWEEKNUM(INPUT!M43),"")</f>
        <v>31</v>
      </c>
      <c r="D48" s="20">
        <f>IFERROR(YEAR(INPUT!M43),"")</f>
        <v>2025</v>
      </c>
      <c r="E48" t="str">
        <f>IF(INPUT!O43="","",INPUT!O43)</f>
        <v>HARRISON</v>
      </c>
      <c r="F48" t="str">
        <f>IF(INPUT!N43="","",INPUT!N43)</f>
        <v>M</v>
      </c>
      <c r="G48" t="str" cm="1">
        <f t="array" ref="G48">IFERROR(VLOOKUP(INPUT!M43&amp;INPUT!N43,CHOOSE({1,2},INPUT!$A$3:$A$5000&amp;INPUT!$C$3:$C$5000,INPUT!$F$3:$F$5000),2,FALSE),"")</f>
        <v/>
      </c>
      <c r="H48" t="str" cm="1">
        <f t="array" ref="H48">IFERROR(VLOOKUP(INPUT!M43&amp;INPUT!N43,CHOOSE({1,2},INPUT!$A$3:$A$5000&amp;INPUT!$C$3:$C$5000,INPUT!$D$3:$D$5000),2,FALSE),"")</f>
        <v/>
      </c>
      <c r="I48" s="46">
        <f>IF(INPUT!P43="","",INPUT!P43)</f>
        <v>72.099999999999994</v>
      </c>
      <c r="J48" s="46">
        <f>IF(INPUT!Q43="","",INPUT!Q43)</f>
        <v>71.8</v>
      </c>
      <c r="K48" s="46">
        <f>IFERROR(IF(OR(INPUT!P43="",INPUT!Q43=""),"",INPUT!P43-INPUT!Q43),"")</f>
        <v>0.29999999999999716</v>
      </c>
      <c r="L48" s="48">
        <f>IFERROR(IF(OR(INPUT!P43="",INPUT!Q43="",INPUT!P43=0),"",(INPUT!P43-INPUT!Q43)/INPUT!P43),"")</f>
        <v>4.160887656033248E-3</v>
      </c>
    </row>
    <row r="49" spans="1:12" ht="18" hidden="1" customHeight="1" x14ac:dyDescent="0.2">
      <c r="A49" s="11">
        <f>IF(INPUT!M44="","",INPUT!M44)</f>
        <v>45870</v>
      </c>
      <c r="B49" s="11">
        <f>IF(INPUT!M44="","",INPUT!M44-WEEKDAY(INPUT!M44,2)+1)</f>
        <v>45866</v>
      </c>
      <c r="C49" s="20">
        <f>IFERROR(_xlfn.ISOWEEKNUM(INPUT!M44),"")</f>
        <v>31</v>
      </c>
      <c r="D49" s="20">
        <f>IFERROR(YEAR(INPUT!M44),"")</f>
        <v>2025</v>
      </c>
      <c r="E49" t="str">
        <f>IF(INPUT!O44="","",INPUT!O44)</f>
        <v>RAYA</v>
      </c>
      <c r="F49" t="str">
        <f>IF(INPUT!N44="","",INPUT!N44)</f>
        <v>M</v>
      </c>
      <c r="G49" t="str" cm="1">
        <f t="array" ref="G49">IFERROR(VLOOKUP(INPUT!M44&amp;INPUT!N44,CHOOSE({1,2},INPUT!$A$3:$A$5000&amp;INPUT!$C$3:$C$5000,INPUT!$F$3:$F$5000),2,FALSE),"")</f>
        <v/>
      </c>
      <c r="H49" t="str" cm="1">
        <f t="array" ref="H49">IFERROR(VLOOKUP(INPUT!M44&amp;INPUT!N44,CHOOSE({1,2},INPUT!$A$3:$A$5000&amp;INPUT!$C$3:$C$5000,INPUT!$D$3:$D$5000),2,FALSE),"")</f>
        <v/>
      </c>
      <c r="I49" s="46">
        <f>IF(INPUT!P44="","",INPUT!P44)</f>
        <v>81.599999999999994</v>
      </c>
      <c r="J49" s="46">
        <f>IF(INPUT!Q44="","",INPUT!Q44)</f>
        <v>80.400000000000006</v>
      </c>
      <c r="K49" s="46">
        <f>IFERROR(IF(OR(INPUT!P44="",INPUT!Q44=""),"",INPUT!P44-INPUT!Q44),"")</f>
        <v>1.1999999999999886</v>
      </c>
      <c r="L49" s="48">
        <f>IFERROR(IF(OR(INPUT!P44="",INPUT!Q44="",INPUT!P44=0),"",(INPUT!P44-INPUT!Q44)/INPUT!P44),"")</f>
        <v>1.4705882352941037E-2</v>
      </c>
    </row>
    <row r="50" spans="1:12" ht="18" hidden="1" customHeight="1" x14ac:dyDescent="0.2">
      <c r="A50" s="11">
        <f>IF(INPUT!M45="","",INPUT!M45)</f>
        <v>45870</v>
      </c>
      <c r="B50" s="11">
        <f>IF(INPUT!M45="","",INPUT!M45-WEEKDAY(INPUT!M45,2)+1)</f>
        <v>45866</v>
      </c>
      <c r="C50" s="20">
        <f>IFERROR(_xlfn.ISOWEEKNUM(INPUT!M45),"")</f>
        <v>31</v>
      </c>
      <c r="D50" s="20">
        <f>IFERROR(YEAR(INPUT!M45),"")</f>
        <v>2025</v>
      </c>
      <c r="E50" t="str">
        <f>IF(INPUT!O45="","",INPUT!O45)</f>
        <v>JAVI</v>
      </c>
      <c r="F50" t="str">
        <f>IF(INPUT!N45="","",INPUT!N45)</f>
        <v>M</v>
      </c>
      <c r="G50" t="str" cm="1">
        <f t="array" ref="G50">IFERROR(VLOOKUP(INPUT!M45&amp;INPUT!N45,CHOOSE({1,2},INPUT!$A$3:$A$5000&amp;INPUT!$C$3:$C$5000,INPUT!$F$3:$F$5000),2,FALSE),"")</f>
        <v/>
      </c>
      <c r="H50" t="str" cm="1">
        <f t="array" ref="H50">IFERROR(VLOOKUP(INPUT!M45&amp;INPUT!N45,CHOOSE({1,2},INPUT!$A$3:$A$5000&amp;INPUT!$C$3:$C$5000,INPUT!$D$3:$D$5000),2,FALSE),"")</f>
        <v/>
      </c>
      <c r="I50" s="46">
        <f>IF(INPUT!P45="","",INPUT!P45)</f>
        <v>79</v>
      </c>
      <c r="J50" s="46">
        <f>IF(INPUT!Q45="","",INPUT!Q45)</f>
        <v>78</v>
      </c>
      <c r="K50" s="46">
        <f>IFERROR(IF(OR(INPUT!P45="",INPUT!Q45=""),"",INPUT!P45-INPUT!Q45),"")</f>
        <v>1</v>
      </c>
      <c r="L50" s="48">
        <f>IFERROR(IF(OR(INPUT!P45="",INPUT!Q45="",INPUT!P45=0),"",(INPUT!P45-INPUT!Q45)/INPUT!P45),"")</f>
        <v>1.2658227848101266E-2</v>
      </c>
    </row>
    <row r="51" spans="1:12" ht="18" hidden="1" customHeight="1" x14ac:dyDescent="0.2">
      <c r="A51" s="11">
        <f>IF(INPUT!M46="","",INPUT!M46)</f>
        <v>45870</v>
      </c>
      <c r="B51" s="11">
        <f>IF(INPUT!M46="","",INPUT!M46-WEEKDAY(INPUT!M46,2)+1)</f>
        <v>45866</v>
      </c>
      <c r="C51" s="20">
        <f>IFERROR(_xlfn.ISOWEEKNUM(INPUT!M46),"")</f>
        <v>31</v>
      </c>
      <c r="D51" s="20">
        <f>IFERROR(YEAR(INPUT!M46),"")</f>
        <v>2025</v>
      </c>
      <c r="E51" t="str">
        <f>IF(INPUT!O46="","",INPUT!O46)</f>
        <v>PANI</v>
      </c>
      <c r="F51" t="str">
        <f>IF(INPUT!N46="","",INPUT!N46)</f>
        <v>M</v>
      </c>
      <c r="G51" t="str" cm="1">
        <f t="array" ref="G51">IFERROR(VLOOKUP(INPUT!M46&amp;INPUT!N46,CHOOSE({1,2},INPUT!$A$3:$A$5000&amp;INPUT!$C$3:$C$5000,INPUT!$F$3:$F$5000),2,FALSE),"")</f>
        <v/>
      </c>
      <c r="H51" t="str" cm="1">
        <f t="array" ref="H51">IFERROR(VLOOKUP(INPUT!M46&amp;INPUT!N46,CHOOSE({1,2},INPUT!$A$3:$A$5000&amp;INPUT!$C$3:$C$5000,INPUT!$D$3:$D$5000),2,FALSE),"")</f>
        <v/>
      </c>
      <c r="I51" s="46">
        <f>IF(INPUT!P46="","",INPUT!P46)</f>
        <v>68.8</v>
      </c>
      <c r="J51" s="46">
        <f>IF(INPUT!Q46="","",INPUT!Q46)</f>
        <v>70.7</v>
      </c>
      <c r="K51" s="46">
        <f>IFERROR(IF(OR(INPUT!P46="",INPUT!Q46=""),"",INPUT!P46-INPUT!Q46),"")</f>
        <v>-1.9000000000000057</v>
      </c>
      <c r="L51" s="48">
        <f>IFERROR(IF(OR(INPUT!P46="",INPUT!Q46="",INPUT!P46=0),"",(INPUT!P46-INPUT!Q46)/INPUT!P46),"")</f>
        <v>-2.7616279069767526E-2</v>
      </c>
    </row>
    <row r="52" spans="1:12" ht="18" hidden="1" customHeight="1" x14ac:dyDescent="0.2">
      <c r="A52" s="11">
        <f>IF(INPUT!M47="","",INPUT!M47)</f>
        <v>45870</v>
      </c>
      <c r="B52" s="11">
        <f>IF(INPUT!M47="","",INPUT!M47-WEEKDAY(INPUT!M47,2)+1)</f>
        <v>45866</v>
      </c>
      <c r="C52" s="20">
        <f>IFERROR(_xlfn.ISOWEEKNUM(INPUT!M47),"")</f>
        <v>31</v>
      </c>
      <c r="D52" s="20">
        <f>IFERROR(YEAR(INPUT!M47),"")</f>
        <v>2025</v>
      </c>
      <c r="E52" t="str">
        <f>IF(INPUT!O47="","",INPUT!O47)</f>
        <v>PIRATA</v>
      </c>
      <c r="F52" t="str">
        <f>IF(INPUT!N47="","",INPUT!N47)</f>
        <v>M</v>
      </c>
      <c r="G52" t="str" cm="1">
        <f t="array" ref="G52">IFERROR(VLOOKUP(INPUT!M47&amp;INPUT!N47,CHOOSE({1,2},INPUT!$A$3:$A$5000&amp;INPUT!$C$3:$C$5000,INPUT!$F$3:$F$5000),2,FALSE),"")</f>
        <v/>
      </c>
      <c r="H52" t="str" cm="1">
        <f t="array" ref="H52">IFERROR(VLOOKUP(INPUT!M47&amp;INPUT!N47,CHOOSE({1,2},INPUT!$A$3:$A$5000&amp;INPUT!$C$3:$C$5000,INPUT!$D$3:$D$5000),2,FALSE),"")</f>
        <v/>
      </c>
      <c r="I52" s="46">
        <f>IF(INPUT!P47="","",INPUT!P47)</f>
        <v>74.099999999999994</v>
      </c>
      <c r="J52" s="46">
        <f>IF(INPUT!Q47="","",INPUT!Q47)</f>
        <v>74</v>
      </c>
      <c r="K52" s="46">
        <f>IFERROR(IF(OR(INPUT!P47="",INPUT!Q47=""),"",INPUT!P47-INPUT!Q47),"")</f>
        <v>9.9999999999994316E-2</v>
      </c>
      <c r="L52" s="48">
        <f>IFERROR(IF(OR(INPUT!P47="",INPUT!Q47="",INPUT!P47=0),"",(INPUT!P47-INPUT!Q47)/INPUT!P47),"")</f>
        <v>1.3495276653170624E-3</v>
      </c>
    </row>
    <row r="53" spans="1:12" ht="18" hidden="1" customHeight="1" x14ac:dyDescent="0.2">
      <c r="A53" s="11">
        <f>IF(INPUT!M48="","",INPUT!M48)</f>
        <v>45870</v>
      </c>
      <c r="B53" s="11">
        <f>IF(INPUT!M48="","",INPUT!M48-WEEKDAY(INPUT!M48,2)+1)</f>
        <v>45866</v>
      </c>
      <c r="C53" s="20">
        <f>IFERROR(_xlfn.ISOWEEKNUM(INPUT!M48),"")</f>
        <v>31</v>
      </c>
      <c r="D53" s="20">
        <f>IFERROR(YEAR(INPUT!M48),"")</f>
        <v>2025</v>
      </c>
      <c r="E53" t="str">
        <f>IF(INPUT!O48="","",INPUT!O48)</f>
        <v>BARONA</v>
      </c>
      <c r="F53" t="str">
        <f>IF(INPUT!N48="","",INPUT!N48)</f>
        <v>M</v>
      </c>
      <c r="G53" t="str" cm="1">
        <f t="array" ref="G53">IFERROR(VLOOKUP(INPUT!M48&amp;INPUT!N48,CHOOSE({1,2},INPUT!$A$3:$A$5000&amp;INPUT!$C$3:$C$5000,INPUT!$F$3:$F$5000),2,FALSE),"")</f>
        <v/>
      </c>
      <c r="H53" t="str" cm="1">
        <f t="array" ref="H53">IFERROR(VLOOKUP(INPUT!M48&amp;INPUT!N48,CHOOSE({1,2},INPUT!$A$3:$A$5000&amp;INPUT!$C$3:$C$5000,INPUT!$D$3:$D$5000),2,FALSE),"")</f>
        <v/>
      </c>
      <c r="I53" s="46">
        <f>IF(INPUT!P48="","",INPUT!P48)</f>
        <v>70.900000000000006</v>
      </c>
      <c r="J53" s="46">
        <f>IF(INPUT!Q48="","",INPUT!Q48)</f>
        <v>71.099999999999994</v>
      </c>
      <c r="K53" s="46">
        <f>IFERROR(IF(OR(INPUT!P48="",INPUT!Q48=""),"",INPUT!P48-INPUT!Q48),"")</f>
        <v>-0.19999999999998863</v>
      </c>
      <c r="L53" s="48">
        <f>IFERROR(IF(OR(INPUT!P48="",INPUT!Q48="",INPUT!P48=0),"",(INPUT!P48-INPUT!Q48)/INPUT!P48),"")</f>
        <v>-2.8208744710858762E-3</v>
      </c>
    </row>
    <row r="54" spans="1:12" ht="18" hidden="1" customHeight="1" x14ac:dyDescent="0.2">
      <c r="A54" s="11">
        <f>IF(INPUT!M49="","",INPUT!M49)</f>
        <v>45870</v>
      </c>
      <c r="B54" s="11">
        <f>IF(INPUT!M49="","",INPUT!M49-WEEKDAY(INPUT!M49,2)+1)</f>
        <v>45866</v>
      </c>
      <c r="C54" s="20">
        <f>IFERROR(_xlfn.ISOWEEKNUM(INPUT!M49),"")</f>
        <v>31</v>
      </c>
      <c r="D54" s="20">
        <f>IFERROR(YEAR(INPUT!M49),"")</f>
        <v>2025</v>
      </c>
      <c r="E54" t="str">
        <f>IF(INPUT!O49="","",INPUT!O49)</f>
        <v>CARLOS</v>
      </c>
      <c r="F54" t="str">
        <f>IF(INPUT!N49="","",INPUT!N49)</f>
        <v>M</v>
      </c>
      <c r="G54" t="str" cm="1">
        <f t="array" ref="G54">IFERROR(VLOOKUP(INPUT!M49&amp;INPUT!N49,CHOOSE({1,2},INPUT!$A$3:$A$5000&amp;INPUT!$C$3:$C$5000,INPUT!$F$3:$F$5000),2,FALSE),"")</f>
        <v/>
      </c>
      <c r="H54" t="str" cm="1">
        <f t="array" ref="H54">IFERROR(VLOOKUP(INPUT!M49&amp;INPUT!N49,CHOOSE({1,2},INPUT!$A$3:$A$5000&amp;INPUT!$C$3:$C$5000,INPUT!$D$3:$D$5000),2,FALSE),"")</f>
        <v/>
      </c>
      <c r="I54" s="46">
        <f>IF(INPUT!P49="","",INPUT!P49)</f>
        <v>67.3</v>
      </c>
      <c r="J54" s="46">
        <f>IF(INPUT!Q49="","",INPUT!Q49)</f>
        <v>67</v>
      </c>
      <c r="K54" s="46">
        <f>IFERROR(IF(OR(INPUT!P49="",INPUT!Q49=""),"",INPUT!P49-INPUT!Q49),"")</f>
        <v>0.29999999999999716</v>
      </c>
      <c r="L54" s="48">
        <f>IFERROR(IF(OR(INPUT!P49="",INPUT!Q49="",INPUT!P49=0),"",(INPUT!P49-INPUT!Q49)/INPUT!P49),"")</f>
        <v>4.4576523031203148E-3</v>
      </c>
    </row>
    <row r="55" spans="1:12" ht="18" hidden="1" customHeight="1" x14ac:dyDescent="0.2">
      <c r="A55" s="11">
        <f>IF(INPUT!M50="","",INPUT!M50)</f>
        <v>45870</v>
      </c>
      <c r="B55" s="11">
        <f>IF(INPUT!M50="","",INPUT!M50-WEEKDAY(INPUT!M50,2)+1)</f>
        <v>45866</v>
      </c>
      <c r="C55" s="20">
        <f>IFERROR(_xlfn.ISOWEEKNUM(INPUT!M50),"")</f>
        <v>31</v>
      </c>
      <c r="D55" s="20">
        <f>IFERROR(YEAR(INPUT!M50),"")</f>
        <v>2025</v>
      </c>
      <c r="E55" t="str">
        <f>IF(INPUT!O50="","",INPUT!O50)</f>
        <v>GONZALO</v>
      </c>
      <c r="F55" t="str">
        <f>IF(INPUT!N50="","",INPUT!N50)</f>
        <v>M</v>
      </c>
      <c r="G55" t="str" cm="1">
        <f t="array" ref="G55">IFERROR(VLOOKUP(INPUT!M50&amp;INPUT!N50,CHOOSE({1,2},INPUT!$A$3:$A$5000&amp;INPUT!$C$3:$C$5000,INPUT!$F$3:$F$5000),2,FALSE),"")</f>
        <v/>
      </c>
      <c r="H55" t="str" cm="1">
        <f t="array" ref="H55">IFERROR(VLOOKUP(INPUT!M50&amp;INPUT!N50,CHOOSE({1,2},INPUT!$A$3:$A$5000&amp;INPUT!$C$3:$C$5000,INPUT!$D$3:$D$5000),2,FALSE),"")</f>
        <v/>
      </c>
      <c r="I55" s="46">
        <f>IF(INPUT!P50="","",INPUT!P50)</f>
        <v>84.8</v>
      </c>
      <c r="J55" s="46">
        <f>IF(INPUT!Q50="","",INPUT!Q50)</f>
        <v>84.8</v>
      </c>
      <c r="K55" s="46">
        <f>IFERROR(IF(OR(INPUT!P50="",INPUT!Q50=""),"",INPUT!P50-INPUT!Q50),"")</f>
        <v>0</v>
      </c>
      <c r="L55" s="48">
        <f>IFERROR(IF(OR(INPUT!P50="",INPUT!Q50="",INPUT!P50=0),"",(INPUT!P50-INPUT!Q50)/INPUT!P50),"")</f>
        <v>0</v>
      </c>
    </row>
    <row r="56" spans="1:12" ht="18" customHeight="1" x14ac:dyDescent="0.2">
      <c r="A56" s="11">
        <f>IF(INPUT!M51="","",INPUT!M51)</f>
        <v>45870</v>
      </c>
      <c r="B56" s="11">
        <f>IF(INPUT!M51="","",INPUT!M51-WEEKDAY(INPUT!M51,2)+1)</f>
        <v>45866</v>
      </c>
      <c r="C56" s="20">
        <f>IFERROR(_xlfn.ISOWEEKNUM(INPUT!M51),"")</f>
        <v>31</v>
      </c>
      <c r="D56" s="20">
        <f>IFERROR(YEAR(INPUT!M51),"")</f>
        <v>2025</v>
      </c>
      <c r="E56" t="str">
        <f>IF(INPUT!O51="","",INPUT!O51)</f>
        <v>RUBIO</v>
      </c>
      <c r="F56" t="str">
        <f>IF(INPUT!N51="","",INPUT!N51)</f>
        <v>M</v>
      </c>
      <c r="G56" t="str" cm="1">
        <f t="array" ref="G56">IFERROR(VLOOKUP(INPUT!M51&amp;INPUT!N51,CHOOSE({1,2},INPUT!$A$3:$A$5000&amp;INPUT!$C$3:$C$5000,INPUT!$F$3:$F$5000),2,FALSE),"")</f>
        <v/>
      </c>
      <c r="H56" t="str" cm="1">
        <f t="array" ref="H56">IFERROR(VLOOKUP(INPUT!M51&amp;INPUT!N51,CHOOSE({1,2},INPUT!$A$3:$A$5000&amp;INPUT!$C$3:$C$5000,INPUT!$D$3:$D$5000),2,FALSE),"")</f>
        <v/>
      </c>
      <c r="I56" s="46">
        <f>IF(INPUT!P51="","",INPUT!P51)</f>
        <v>74.400000000000006</v>
      </c>
      <c r="J56" s="46">
        <f>IF(INPUT!Q51="","",INPUT!Q51)</f>
        <v>75</v>
      </c>
      <c r="K56" s="46">
        <f>IFERROR(IF(OR(INPUT!P51="",INPUT!Q51=""),"",INPUT!P51-INPUT!Q51),"")</f>
        <v>-0.59999999999999432</v>
      </c>
      <c r="L56" s="48">
        <f>IFERROR(IF(OR(INPUT!P51="",INPUT!Q51="",INPUT!P51=0),"",(INPUT!P51-INPUT!Q51)/INPUT!P51),"")</f>
        <v>-8.0645161290321815E-3</v>
      </c>
    </row>
    <row r="57" spans="1:12" ht="18" customHeight="1" x14ac:dyDescent="0.2">
      <c r="A57" s="11">
        <f>IF(INPUT!M52="","",INPUT!M52)</f>
        <v>45870</v>
      </c>
      <c r="B57" s="11">
        <f>IF(INPUT!M52="","",INPUT!M52-WEEKDAY(INPUT!M52,2)+1)</f>
        <v>45866</v>
      </c>
      <c r="C57" s="20">
        <f>IFERROR(_xlfn.ISOWEEKNUM(INPUT!M52),"")</f>
        <v>31</v>
      </c>
      <c r="D57" s="20">
        <f>IFERROR(YEAR(INPUT!M52),"")</f>
        <v>2025</v>
      </c>
      <c r="E57" t="str">
        <f>IF(INPUT!O52="","",INPUT!O52)</f>
        <v>DANI</v>
      </c>
      <c r="F57" t="str">
        <f>IF(INPUT!N52="","",INPUT!N52)</f>
        <v>M</v>
      </c>
      <c r="G57" t="str" cm="1">
        <f t="array" ref="G57">IFERROR(VLOOKUP(INPUT!M52&amp;INPUT!N52,CHOOSE({1,2},INPUT!$A$3:$A$5000&amp;INPUT!$C$3:$C$5000,INPUT!$F$3:$F$5000),2,FALSE),"")</f>
        <v/>
      </c>
      <c r="H57" t="str" cm="1">
        <f t="array" ref="H57">IFERROR(VLOOKUP(INPUT!M52&amp;INPUT!N52,CHOOSE({1,2},INPUT!$A$3:$A$5000&amp;INPUT!$C$3:$C$5000,INPUT!$D$3:$D$5000),2,FALSE),"")</f>
        <v/>
      </c>
      <c r="I57" s="46">
        <f>IF(INPUT!P52="","",INPUT!P52)</f>
        <v>93</v>
      </c>
      <c r="J57" s="46">
        <f>IF(INPUT!Q52="","",INPUT!Q52)</f>
        <v>92.4</v>
      </c>
      <c r="K57" s="46">
        <f>IFERROR(IF(OR(INPUT!P52="",INPUT!Q52=""),"",INPUT!P52-INPUT!Q52),"")</f>
        <v>0.59999999999999432</v>
      </c>
      <c r="L57" s="48">
        <f>IFERROR(IF(OR(INPUT!P52="",INPUT!Q52="",INPUT!P52=0),"",(INPUT!P52-INPUT!Q52)/INPUT!P52),"")</f>
        <v>6.4516129032257457E-3</v>
      </c>
    </row>
    <row r="58" spans="1:12" ht="18" customHeight="1" x14ac:dyDescent="0.2">
      <c r="A58" s="11">
        <f>IF(INPUT!M53="","",INPUT!M53)</f>
        <v>45870</v>
      </c>
      <c r="B58" s="11">
        <f>IF(INPUT!M53="","",INPUT!M53-WEEKDAY(INPUT!M53,2)+1)</f>
        <v>45866</v>
      </c>
      <c r="C58" s="20">
        <f>IFERROR(_xlfn.ISOWEEKNUM(INPUT!M53),"")</f>
        <v>31</v>
      </c>
      <c r="D58" s="20">
        <f>IFERROR(YEAR(INPUT!M53),"")</f>
        <v>2025</v>
      </c>
      <c r="E58" t="str">
        <f>IF(INPUT!O53="","",INPUT!O53)</f>
        <v>JAIME</v>
      </c>
      <c r="F58" t="str">
        <f>IF(INPUT!N53="","",INPUT!N53)</f>
        <v>M</v>
      </c>
      <c r="G58" t="str" cm="1">
        <f t="array" ref="G58">IFERROR(VLOOKUP(INPUT!M53&amp;INPUT!N53,CHOOSE({1,2},INPUT!$A$3:$A$5000&amp;INPUT!$C$3:$C$5000,INPUT!$F$3:$F$5000),2,FALSE),"")</f>
        <v/>
      </c>
      <c r="H58" t="str" cm="1">
        <f t="array" ref="H58">IFERROR(VLOOKUP(INPUT!M53&amp;INPUT!N53,CHOOSE({1,2},INPUT!$A$3:$A$5000&amp;INPUT!$C$3:$C$5000,INPUT!$D$3:$D$5000),2,FALSE),"")</f>
        <v/>
      </c>
      <c r="I58" s="46">
        <f>IF(INPUT!P53="","",INPUT!P53)</f>
        <v>75.5</v>
      </c>
      <c r="J58" s="46">
        <f>IF(INPUT!Q53="","",INPUT!Q53)</f>
        <v>75.2</v>
      </c>
      <c r="K58" s="46">
        <f>IFERROR(IF(OR(INPUT!P53="",INPUT!Q53=""),"",INPUT!P53-INPUT!Q53),"")</f>
        <v>0.29999999999999716</v>
      </c>
      <c r="L58" s="48">
        <f>IFERROR(IF(OR(INPUT!P53="",INPUT!Q53="",INPUT!P53=0),"",(INPUT!P53-INPUT!Q53)/INPUT!P53),"")</f>
        <v>3.9735099337747971E-3</v>
      </c>
    </row>
    <row r="59" spans="1:12" ht="18" hidden="1" customHeight="1" x14ac:dyDescent="0.2">
      <c r="A59" s="11">
        <f>IF(INPUT!M54="","",INPUT!M54)</f>
        <v>45873</v>
      </c>
      <c r="B59" s="11">
        <f>IF(INPUT!M54="","",INPUT!M54-WEEKDAY(INPUT!M54,2)+1)</f>
        <v>45873</v>
      </c>
      <c r="C59" s="20">
        <f>IFERROR(_xlfn.ISOWEEKNUM(INPUT!M54),"")</f>
        <v>32</v>
      </c>
      <c r="D59" s="20">
        <f>IFERROR(YEAR(INPUT!M54),"")</f>
        <v>2025</v>
      </c>
      <c r="E59" t="str">
        <f>IF(INPUT!O54="","",INPUT!O54)</f>
        <v>HERRERO</v>
      </c>
      <c r="F59" t="str">
        <f>IF(INPUT!N54="","",INPUT!N54)</f>
        <v>T</v>
      </c>
      <c r="G59" t="str" cm="1">
        <f t="array" ref="G59">IFERROR(VLOOKUP(INPUT!M54&amp;INPUT!N54,CHOOSE({1,2},INPUT!$A$3:$A$5000&amp;INPUT!$C$3:$C$5000,INPUT!$F$3:$F$5000),2,FALSE),"")</f>
        <v>PRE-TEMPORADA</v>
      </c>
      <c r="H59" t="str" cm="1">
        <f t="array" ref="H59">IFERROR(VLOOKUP(INPUT!M54&amp;INPUT!N54,CHOOSE({1,2},INPUT!$A$3:$A$5000&amp;INPUT!$C$3:$C$5000,INPUT!$D$3:$D$5000),2,FALSE),"")</f>
        <v>TEC-TAC</v>
      </c>
      <c r="I59" s="46">
        <f>IF(INPUT!P54="","",INPUT!P54)</f>
        <v>77.2</v>
      </c>
      <c r="J59" s="46">
        <f>IF(INPUT!Q54="","",INPUT!Q54)</f>
        <v>76.099999999999994</v>
      </c>
      <c r="K59" s="46">
        <f>IFERROR(IF(OR(INPUT!P54="",INPUT!Q54=""),"",INPUT!P54-INPUT!Q54),"")</f>
        <v>1.1000000000000085</v>
      </c>
      <c r="L59" s="48">
        <f>IFERROR(IF(OR(INPUT!P54="",INPUT!Q54="",INPUT!P54=0),"",(INPUT!P54-INPUT!Q54)/INPUT!P54),"")</f>
        <v>1.4248704663212545E-2</v>
      </c>
    </row>
    <row r="60" spans="1:12" ht="18" hidden="1" customHeight="1" x14ac:dyDescent="0.2">
      <c r="A60" s="11">
        <f>IF(INPUT!M55="","",INPUT!M55)</f>
        <v>45873</v>
      </c>
      <c r="B60" s="11">
        <f>IF(INPUT!M55="","",INPUT!M55-WEEKDAY(INPUT!M55,2)+1)</f>
        <v>45873</v>
      </c>
      <c r="C60" s="20">
        <f>IFERROR(_xlfn.ISOWEEKNUM(INPUT!M55),"")</f>
        <v>32</v>
      </c>
      <c r="D60" s="20">
        <f>IFERROR(YEAR(INPUT!M55),"")</f>
        <v>2025</v>
      </c>
      <c r="E60" t="str">
        <f>IF(INPUT!O55="","",INPUT!O55)</f>
        <v>GARCIA</v>
      </c>
      <c r="F60" t="str">
        <f>IF(INPUT!N55="","",INPUT!N55)</f>
        <v>T</v>
      </c>
      <c r="G60" t="str" cm="1">
        <f t="array" ref="G60">IFERROR(VLOOKUP(INPUT!M55&amp;INPUT!N55,CHOOSE({1,2},INPUT!$A$3:$A$5000&amp;INPUT!$C$3:$C$5000,INPUT!$F$3:$F$5000),2,FALSE),"")</f>
        <v>PRE-TEMPORADA</v>
      </c>
      <c r="H60" t="str" cm="1">
        <f t="array" ref="H60">IFERROR(VLOOKUP(INPUT!M55&amp;INPUT!N55,CHOOSE({1,2},INPUT!$A$3:$A$5000&amp;INPUT!$C$3:$C$5000,INPUT!$D$3:$D$5000),2,FALSE),"")</f>
        <v>TEC-TAC</v>
      </c>
      <c r="I60" s="46">
        <f>IF(INPUT!P55="","",INPUT!P55)</f>
        <v>78.8</v>
      </c>
      <c r="J60" s="46">
        <f>IF(INPUT!Q55="","",INPUT!Q55)</f>
        <v>78.599999999999994</v>
      </c>
      <c r="K60" s="46">
        <f>IFERROR(IF(OR(INPUT!P55="",INPUT!Q55=""),"",INPUT!P55-INPUT!Q55),"")</f>
        <v>0.20000000000000284</v>
      </c>
      <c r="L60" s="48">
        <f>IFERROR(IF(OR(INPUT!P55="",INPUT!Q55="",INPUT!P55=0),"",(INPUT!P55-INPUT!Q55)/INPUT!P55),"")</f>
        <v>2.5380710659898839E-3</v>
      </c>
    </row>
    <row r="61" spans="1:12" ht="18" hidden="1" customHeight="1" x14ac:dyDescent="0.2">
      <c r="A61" s="11">
        <f>IF(INPUT!M56="","",INPUT!M56)</f>
        <v>45873</v>
      </c>
      <c r="B61" s="11">
        <f>IF(INPUT!M56="","",INPUT!M56-WEEKDAY(INPUT!M56,2)+1)</f>
        <v>45873</v>
      </c>
      <c r="C61" s="20">
        <f>IFERROR(_xlfn.ISOWEEKNUM(INPUT!M56),"")</f>
        <v>32</v>
      </c>
      <c r="D61" s="20">
        <f>IFERROR(YEAR(INPUT!M56),"")</f>
        <v>2025</v>
      </c>
      <c r="E61" t="str">
        <f>IF(INPUT!O56="","",INPUT!O56)</f>
        <v>OSCAR</v>
      </c>
      <c r="F61" t="str">
        <f>IF(INPUT!N56="","",INPUT!N56)</f>
        <v>T</v>
      </c>
      <c r="G61" t="str" cm="1">
        <f t="array" ref="G61">IFERROR(VLOOKUP(INPUT!M56&amp;INPUT!N56,CHOOSE({1,2},INPUT!$A$3:$A$5000&amp;INPUT!$C$3:$C$5000,INPUT!$F$3:$F$5000),2,FALSE),"")</f>
        <v>PRE-TEMPORADA</v>
      </c>
      <c r="H61" t="str" cm="1">
        <f t="array" ref="H61">IFERROR(VLOOKUP(INPUT!M56&amp;INPUT!N56,CHOOSE({1,2},INPUT!$A$3:$A$5000&amp;INPUT!$C$3:$C$5000,INPUT!$D$3:$D$5000),2,FALSE),"")</f>
        <v>TEC-TAC</v>
      </c>
      <c r="I61" s="46">
        <f>IF(INPUT!P56="","",INPUT!P56)</f>
        <v>89.8</v>
      </c>
      <c r="J61" s="46">
        <f>IF(INPUT!Q56="","",INPUT!Q56)</f>
        <v>89.8</v>
      </c>
      <c r="K61" s="46">
        <f>IFERROR(IF(OR(INPUT!P56="",INPUT!Q56=""),"",INPUT!P56-INPUT!Q56),"")</f>
        <v>0</v>
      </c>
      <c r="L61" s="48">
        <f>IFERROR(IF(OR(INPUT!P56="",INPUT!Q56="",INPUT!P56=0),"",(INPUT!P56-INPUT!Q56)/INPUT!P56),"")</f>
        <v>0</v>
      </c>
    </row>
    <row r="62" spans="1:12" ht="18" hidden="1" customHeight="1" x14ac:dyDescent="0.2">
      <c r="A62" s="11">
        <f>IF(INPUT!M57="","",INPUT!M57)</f>
        <v>45873</v>
      </c>
      <c r="B62" s="11">
        <f>IF(INPUT!M57="","",INPUT!M57-WEEKDAY(INPUT!M57,2)+1)</f>
        <v>45873</v>
      </c>
      <c r="C62" s="20">
        <f>IFERROR(_xlfn.ISOWEEKNUM(INPUT!M57),"")</f>
        <v>32</v>
      </c>
      <c r="D62" s="20">
        <f>IFERROR(YEAR(INPUT!M57),"")</f>
        <v>2025</v>
      </c>
      <c r="E62" t="str">
        <f>IF(INPUT!O57="","",INPUT!O57)</f>
        <v>CECILIO</v>
      </c>
      <c r="F62" t="str">
        <f>IF(INPUT!N57="","",INPUT!N57)</f>
        <v>T</v>
      </c>
      <c r="G62" t="str" cm="1">
        <f t="array" ref="G62">IFERROR(VLOOKUP(INPUT!M57&amp;INPUT!N57,CHOOSE({1,2},INPUT!$A$3:$A$5000&amp;INPUT!$C$3:$C$5000,INPUT!$F$3:$F$5000),2,FALSE),"")</f>
        <v>PRE-TEMPORADA</v>
      </c>
      <c r="H62" t="str" cm="1">
        <f t="array" ref="H62">IFERROR(VLOOKUP(INPUT!M57&amp;INPUT!N57,CHOOSE({1,2},INPUT!$A$3:$A$5000&amp;INPUT!$C$3:$C$5000,INPUT!$D$3:$D$5000),2,FALSE),"")</f>
        <v>TEC-TAC</v>
      </c>
      <c r="I62" s="46">
        <f>IF(INPUT!P57="","",INPUT!P57)</f>
        <v>69</v>
      </c>
      <c r="J62" s="46">
        <f>IF(INPUT!Q57="","",INPUT!Q57)</f>
        <v>67.900000000000006</v>
      </c>
      <c r="K62" s="46">
        <f>IFERROR(IF(OR(INPUT!P57="",INPUT!Q57=""),"",INPUT!P57-INPUT!Q57),"")</f>
        <v>1.0999999999999943</v>
      </c>
      <c r="L62" s="48">
        <f>IFERROR(IF(OR(INPUT!P57="",INPUT!Q57="",INPUT!P57=0),"",(INPUT!P57-INPUT!Q57)/INPUT!P57),"")</f>
        <v>1.5942028985507162E-2</v>
      </c>
    </row>
    <row r="63" spans="1:12" ht="18" hidden="1" customHeight="1" x14ac:dyDescent="0.2">
      <c r="A63" s="11">
        <f>IF(INPUT!M58="","",INPUT!M58)</f>
        <v>45873</v>
      </c>
      <c r="B63" s="11">
        <f>IF(INPUT!M58="","",INPUT!M58-WEEKDAY(INPUT!M58,2)+1)</f>
        <v>45873</v>
      </c>
      <c r="C63" s="20">
        <f>IFERROR(_xlfn.ISOWEEKNUM(INPUT!M58),"")</f>
        <v>32</v>
      </c>
      <c r="D63" s="20">
        <f>IFERROR(YEAR(INPUT!M58),"")</f>
        <v>2025</v>
      </c>
      <c r="E63" t="str">
        <f>IF(INPUT!O58="","",INPUT!O58)</f>
        <v>CHAGUINHA</v>
      </c>
      <c r="F63" t="str">
        <f>IF(INPUT!N58="","",INPUT!N58)</f>
        <v>T</v>
      </c>
      <c r="G63" t="str" cm="1">
        <f t="array" ref="G63">IFERROR(VLOOKUP(INPUT!M58&amp;INPUT!N58,CHOOSE({1,2},INPUT!$A$3:$A$5000&amp;INPUT!$C$3:$C$5000,INPUT!$F$3:$F$5000),2,FALSE),"")</f>
        <v>PRE-TEMPORADA</v>
      </c>
      <c r="H63" t="str" cm="1">
        <f t="array" ref="H63">IFERROR(VLOOKUP(INPUT!M58&amp;INPUT!N58,CHOOSE({1,2},INPUT!$A$3:$A$5000&amp;INPUT!$C$3:$C$5000,INPUT!$D$3:$D$5000),2,FALSE),"")</f>
        <v>TEC-TAC</v>
      </c>
      <c r="I63" s="46">
        <f>IF(INPUT!P58="","",INPUT!P58)</f>
        <v>68.5</v>
      </c>
      <c r="J63" s="46">
        <f>IF(INPUT!Q58="","",INPUT!Q58)</f>
        <v>68</v>
      </c>
      <c r="K63" s="46">
        <f>IFERROR(IF(OR(INPUT!P58="",INPUT!Q58=""),"",INPUT!P58-INPUT!Q58),"")</f>
        <v>0.5</v>
      </c>
      <c r="L63" s="48">
        <f>IFERROR(IF(OR(INPUT!P58="",INPUT!Q58="",INPUT!P58=0),"",(INPUT!P58-INPUT!Q58)/INPUT!P58),"")</f>
        <v>7.2992700729927005E-3</v>
      </c>
    </row>
    <row r="64" spans="1:12" ht="18" hidden="1" customHeight="1" x14ac:dyDescent="0.2">
      <c r="A64" s="11">
        <f>IF(INPUT!M59="","",INPUT!M59)</f>
        <v>45873</v>
      </c>
      <c r="B64" s="11">
        <f>IF(INPUT!M59="","",INPUT!M59-WEEKDAY(INPUT!M59,2)+1)</f>
        <v>45873</v>
      </c>
      <c r="C64" s="20">
        <f>IFERROR(_xlfn.ISOWEEKNUM(INPUT!M59),"")</f>
        <v>32</v>
      </c>
      <c r="D64" s="20">
        <f>IFERROR(YEAR(INPUT!M59),"")</f>
        <v>2025</v>
      </c>
      <c r="E64" t="str">
        <f>IF(INPUT!O59="","",INPUT!O59)</f>
        <v>RAUL</v>
      </c>
      <c r="F64" t="str">
        <f>IF(INPUT!N59="","",INPUT!N59)</f>
        <v>T</v>
      </c>
      <c r="G64" t="str" cm="1">
        <f t="array" ref="G64">IFERROR(VLOOKUP(INPUT!M59&amp;INPUT!N59,CHOOSE({1,2},INPUT!$A$3:$A$5000&amp;INPUT!$C$3:$C$5000,INPUT!$F$3:$F$5000),2,FALSE),"")</f>
        <v>PRE-TEMPORADA</v>
      </c>
      <c r="H64" t="str" cm="1">
        <f t="array" ref="H64">IFERROR(VLOOKUP(INPUT!M59&amp;INPUT!N59,CHOOSE({1,2},INPUT!$A$3:$A$5000&amp;INPUT!$C$3:$C$5000,INPUT!$D$3:$D$5000),2,FALSE),"")</f>
        <v>TEC-TAC</v>
      </c>
      <c r="I64" s="46">
        <f>IF(INPUT!P59="","",INPUT!P59)</f>
        <v>80</v>
      </c>
      <c r="J64" s="46">
        <f>IF(INPUT!Q59="","",INPUT!Q59)</f>
        <v>79.5</v>
      </c>
      <c r="K64" s="46">
        <f>IFERROR(IF(OR(INPUT!P59="",INPUT!Q59=""),"",INPUT!P59-INPUT!Q59),"")</f>
        <v>0.5</v>
      </c>
      <c r="L64" s="48">
        <f>IFERROR(IF(OR(INPUT!P59="",INPUT!Q59="",INPUT!P59=0),"",(INPUT!P59-INPUT!Q59)/INPUT!P59),"")</f>
        <v>6.2500000000000003E-3</v>
      </c>
    </row>
    <row r="65" spans="1:12" ht="18" hidden="1" customHeight="1" x14ac:dyDescent="0.2">
      <c r="A65" s="11">
        <f>IF(INPUT!M60="","",INPUT!M60)</f>
        <v>45873</v>
      </c>
      <c r="B65" s="11">
        <f>IF(INPUT!M60="","",INPUT!M60-WEEKDAY(INPUT!M60,2)+1)</f>
        <v>45873</v>
      </c>
      <c r="C65" s="20">
        <f>IFERROR(_xlfn.ISOWEEKNUM(INPUT!M60),"")</f>
        <v>32</v>
      </c>
      <c r="D65" s="20">
        <f>IFERROR(YEAR(INPUT!M60),"")</f>
        <v>2025</v>
      </c>
      <c r="E65" t="str">
        <f>IF(INPUT!O60="","",INPUT!O60)</f>
        <v>HARRISON</v>
      </c>
      <c r="F65" t="str">
        <f>IF(INPUT!N60="","",INPUT!N60)</f>
        <v>T</v>
      </c>
      <c r="G65" t="str" cm="1">
        <f t="array" ref="G65">IFERROR(VLOOKUP(INPUT!M60&amp;INPUT!N60,CHOOSE({1,2},INPUT!$A$3:$A$5000&amp;INPUT!$C$3:$C$5000,INPUT!$F$3:$F$5000),2,FALSE),"")</f>
        <v>PRE-TEMPORADA</v>
      </c>
      <c r="H65" t="str" cm="1">
        <f t="array" ref="H65">IFERROR(VLOOKUP(INPUT!M60&amp;INPUT!N60,CHOOSE({1,2},INPUT!$A$3:$A$5000&amp;INPUT!$C$3:$C$5000,INPUT!$D$3:$D$5000),2,FALSE),"")</f>
        <v>TEC-TAC</v>
      </c>
      <c r="I65" s="46">
        <f>IF(INPUT!P60="","",INPUT!P60)</f>
        <v>72.7</v>
      </c>
      <c r="J65" s="46">
        <f>IF(INPUT!Q60="","",INPUT!Q60)</f>
        <v>72.400000000000006</v>
      </c>
      <c r="K65" s="46">
        <f>IFERROR(IF(OR(INPUT!P60="",INPUT!Q60=""),"",INPUT!P60-INPUT!Q60),"")</f>
        <v>0.29999999999999716</v>
      </c>
      <c r="L65" s="48">
        <f>IFERROR(IF(OR(INPUT!P60="",INPUT!Q60="",INPUT!P60=0),"",(INPUT!P60-INPUT!Q60)/INPUT!P60),"")</f>
        <v>4.1265474552956965E-3</v>
      </c>
    </row>
    <row r="66" spans="1:12" ht="18" hidden="1" customHeight="1" x14ac:dyDescent="0.2">
      <c r="A66" s="11">
        <f>IF(INPUT!M61="","",INPUT!M61)</f>
        <v>45873</v>
      </c>
      <c r="B66" s="11">
        <f>IF(INPUT!M61="","",INPUT!M61-WEEKDAY(INPUT!M61,2)+1)</f>
        <v>45873</v>
      </c>
      <c r="C66" s="20">
        <f>IFERROR(_xlfn.ISOWEEKNUM(INPUT!M61),"")</f>
        <v>32</v>
      </c>
      <c r="D66" s="20">
        <f>IFERROR(YEAR(INPUT!M61),"")</f>
        <v>2025</v>
      </c>
      <c r="E66" t="str">
        <f>IF(INPUT!O61="","",INPUT!O61)</f>
        <v>RAYA</v>
      </c>
      <c r="F66" t="str">
        <f>IF(INPUT!N61="","",INPUT!N61)</f>
        <v>T</v>
      </c>
      <c r="G66" t="str" cm="1">
        <f t="array" ref="G66">IFERROR(VLOOKUP(INPUT!M61&amp;INPUT!N61,CHOOSE({1,2},INPUT!$A$3:$A$5000&amp;INPUT!$C$3:$C$5000,INPUT!$F$3:$F$5000),2,FALSE),"")</f>
        <v>PRE-TEMPORADA</v>
      </c>
      <c r="H66" t="str" cm="1">
        <f t="array" ref="H66">IFERROR(VLOOKUP(INPUT!M61&amp;INPUT!N61,CHOOSE({1,2},INPUT!$A$3:$A$5000&amp;INPUT!$C$3:$C$5000,INPUT!$D$3:$D$5000),2,FALSE),"")</f>
        <v>TEC-TAC</v>
      </c>
      <c r="I66" s="46">
        <f>IF(INPUT!P61="","",INPUT!P61)</f>
        <v>82.5</v>
      </c>
      <c r="J66" s="46">
        <f>IF(INPUT!Q61="","",INPUT!Q61)</f>
        <v>82</v>
      </c>
      <c r="K66" s="46">
        <f>IFERROR(IF(OR(INPUT!P61="",INPUT!Q61=""),"",INPUT!P61-INPUT!Q61),"")</f>
        <v>0.5</v>
      </c>
      <c r="L66" s="48">
        <f>IFERROR(IF(OR(INPUT!P61="",INPUT!Q61="",INPUT!P61=0),"",(INPUT!P61-INPUT!Q61)/INPUT!P61),"")</f>
        <v>6.0606060606060606E-3</v>
      </c>
    </row>
    <row r="67" spans="1:12" ht="18" hidden="1" customHeight="1" x14ac:dyDescent="0.2">
      <c r="A67" s="11">
        <f>IF(INPUT!M62="","",INPUT!M62)</f>
        <v>45873</v>
      </c>
      <c r="B67" s="11">
        <f>IF(INPUT!M62="","",INPUT!M62-WEEKDAY(INPUT!M62,2)+1)</f>
        <v>45873</v>
      </c>
      <c r="C67" s="20">
        <f>IFERROR(_xlfn.ISOWEEKNUM(INPUT!M62),"")</f>
        <v>32</v>
      </c>
      <c r="D67" s="20">
        <f>IFERROR(YEAR(INPUT!M62),"")</f>
        <v>2025</v>
      </c>
      <c r="E67" t="str">
        <f>IF(INPUT!O62="","",INPUT!O62)</f>
        <v>PANI</v>
      </c>
      <c r="F67" t="str">
        <f>IF(INPUT!N62="","",INPUT!N62)</f>
        <v>T</v>
      </c>
      <c r="G67" t="str" cm="1">
        <f t="array" ref="G67">IFERROR(VLOOKUP(INPUT!M62&amp;INPUT!N62,CHOOSE({1,2},INPUT!$A$3:$A$5000&amp;INPUT!$C$3:$C$5000,INPUT!$F$3:$F$5000),2,FALSE),"")</f>
        <v>PRE-TEMPORADA</v>
      </c>
      <c r="H67" t="str" cm="1">
        <f t="array" ref="H67">IFERROR(VLOOKUP(INPUT!M62&amp;INPUT!N62,CHOOSE({1,2},INPUT!$A$3:$A$5000&amp;INPUT!$C$3:$C$5000,INPUT!$D$3:$D$5000),2,FALSE),"")</f>
        <v>TEC-TAC</v>
      </c>
      <c r="I67" s="46">
        <f>IF(INPUT!P62="","",INPUT!P62)</f>
        <v>71</v>
      </c>
      <c r="J67" s="46">
        <f>IF(INPUT!Q62="","",INPUT!Q62)</f>
        <v>70.7</v>
      </c>
      <c r="K67" s="46">
        <f>IFERROR(IF(OR(INPUT!P62="",INPUT!Q62=""),"",INPUT!P62-INPUT!Q62),"")</f>
        <v>0.29999999999999716</v>
      </c>
      <c r="L67" s="48">
        <f>IFERROR(IF(OR(INPUT!P62="",INPUT!Q62="",INPUT!P62=0),"",(INPUT!P62-INPUT!Q62)/INPUT!P62),"")</f>
        <v>4.225352112676016E-3</v>
      </c>
    </row>
    <row r="68" spans="1:12" ht="18" hidden="1" customHeight="1" x14ac:dyDescent="0.2">
      <c r="A68" s="11">
        <f>IF(INPUT!M63="","",INPUT!M63)</f>
        <v>45873</v>
      </c>
      <c r="B68" s="11">
        <f>IF(INPUT!M63="","",INPUT!M63-WEEKDAY(INPUT!M63,2)+1)</f>
        <v>45873</v>
      </c>
      <c r="C68" s="20">
        <f>IFERROR(_xlfn.ISOWEEKNUM(INPUT!M63),"")</f>
        <v>32</v>
      </c>
      <c r="D68" s="20">
        <f>IFERROR(YEAR(INPUT!M63),"")</f>
        <v>2025</v>
      </c>
      <c r="E68" t="str">
        <f>IF(INPUT!O63="","",INPUT!O63)</f>
        <v>PIRATA</v>
      </c>
      <c r="F68" t="str">
        <f>IF(INPUT!N63="","",INPUT!N63)</f>
        <v>T</v>
      </c>
      <c r="G68" t="str" cm="1">
        <f t="array" ref="G68">IFERROR(VLOOKUP(INPUT!M63&amp;INPUT!N63,CHOOSE({1,2},INPUT!$A$3:$A$5000&amp;INPUT!$C$3:$C$5000,INPUT!$F$3:$F$5000),2,FALSE),"")</f>
        <v>PRE-TEMPORADA</v>
      </c>
      <c r="H68" t="str" cm="1">
        <f t="array" ref="H68">IFERROR(VLOOKUP(INPUT!M63&amp;INPUT!N63,CHOOSE({1,2},INPUT!$A$3:$A$5000&amp;INPUT!$C$3:$C$5000,INPUT!$D$3:$D$5000),2,FALSE),"")</f>
        <v>TEC-TAC</v>
      </c>
      <c r="I68" s="46">
        <f>IF(INPUT!P63="","",INPUT!P63)</f>
        <v>76</v>
      </c>
      <c r="J68" s="46">
        <f>IF(INPUT!Q63="","",INPUT!Q63)</f>
        <v>76</v>
      </c>
      <c r="K68" s="46">
        <f>IFERROR(IF(OR(INPUT!P63="",INPUT!Q63=""),"",INPUT!P63-INPUT!Q63),"")</f>
        <v>0</v>
      </c>
      <c r="L68" s="48">
        <f>IFERROR(IF(OR(INPUT!P63="",INPUT!Q63="",INPUT!P63=0),"",(INPUT!P63-INPUT!Q63)/INPUT!P63),"")</f>
        <v>0</v>
      </c>
    </row>
    <row r="69" spans="1:12" ht="18" hidden="1" customHeight="1" x14ac:dyDescent="0.2">
      <c r="A69" s="11">
        <f>IF(INPUT!M64="","",INPUT!M64)</f>
        <v>45873</v>
      </c>
      <c r="B69" s="11">
        <f>IF(INPUT!M64="","",INPUT!M64-WEEKDAY(INPUT!M64,2)+1)</f>
        <v>45873</v>
      </c>
      <c r="C69" s="20">
        <f>IFERROR(_xlfn.ISOWEEKNUM(INPUT!M64),"")</f>
        <v>32</v>
      </c>
      <c r="D69" s="20">
        <f>IFERROR(YEAR(INPUT!M64),"")</f>
        <v>2025</v>
      </c>
      <c r="E69" t="str">
        <f>IF(INPUT!O64="","",INPUT!O64)</f>
        <v>BARONA</v>
      </c>
      <c r="F69" t="str">
        <f>IF(INPUT!N64="","",INPUT!N64)</f>
        <v>T</v>
      </c>
      <c r="G69" t="str" cm="1">
        <f t="array" ref="G69">IFERROR(VLOOKUP(INPUT!M64&amp;INPUT!N64,CHOOSE({1,2},INPUT!$A$3:$A$5000&amp;INPUT!$C$3:$C$5000,INPUT!$F$3:$F$5000),2,FALSE),"")</f>
        <v>PRE-TEMPORADA</v>
      </c>
      <c r="H69" t="str" cm="1">
        <f t="array" ref="H69">IFERROR(VLOOKUP(INPUT!M64&amp;INPUT!N64,CHOOSE({1,2},INPUT!$A$3:$A$5000&amp;INPUT!$C$3:$C$5000,INPUT!$D$3:$D$5000),2,FALSE),"")</f>
        <v>TEC-TAC</v>
      </c>
      <c r="I69" s="46">
        <f>IF(INPUT!P64="","",INPUT!P64)</f>
        <v>71.3</v>
      </c>
      <c r="J69" s="46">
        <f>IF(INPUT!Q64="","",INPUT!Q64)</f>
        <v>71</v>
      </c>
      <c r="K69" s="46">
        <f>IFERROR(IF(OR(INPUT!P64="",INPUT!Q64=""),"",INPUT!P64-INPUT!Q64),"")</f>
        <v>0.29999999999999716</v>
      </c>
      <c r="L69" s="48">
        <f>IFERROR(IF(OR(INPUT!P64="",INPUT!Q64="",INPUT!P64=0),"",(INPUT!P64-INPUT!Q64)/INPUT!P64),"")</f>
        <v>4.2075736325385294E-3</v>
      </c>
    </row>
    <row r="70" spans="1:12" ht="18" hidden="1" customHeight="1" x14ac:dyDescent="0.2">
      <c r="A70" s="11">
        <f>IF(INPUT!M65="","",INPUT!M65)</f>
        <v>45873</v>
      </c>
      <c r="B70" s="11">
        <f>IF(INPUT!M65="","",INPUT!M65-WEEKDAY(INPUT!M65,2)+1)</f>
        <v>45873</v>
      </c>
      <c r="C70" s="20">
        <f>IFERROR(_xlfn.ISOWEEKNUM(INPUT!M65),"")</f>
        <v>32</v>
      </c>
      <c r="D70" s="20">
        <f>IFERROR(YEAR(INPUT!M65),"")</f>
        <v>2025</v>
      </c>
      <c r="E70" t="str">
        <f>IF(INPUT!O65="","",INPUT!O65)</f>
        <v>CARLOS</v>
      </c>
      <c r="F70" t="str">
        <f>IF(INPUT!N65="","",INPUT!N65)</f>
        <v>T</v>
      </c>
      <c r="G70" t="str" cm="1">
        <f t="array" ref="G70">IFERROR(VLOOKUP(INPUT!M65&amp;INPUT!N65,CHOOSE({1,2},INPUT!$A$3:$A$5000&amp;INPUT!$C$3:$C$5000,INPUT!$F$3:$F$5000),2,FALSE),"")</f>
        <v>PRE-TEMPORADA</v>
      </c>
      <c r="H70" t="str" cm="1">
        <f t="array" ref="H70">IFERROR(VLOOKUP(INPUT!M65&amp;INPUT!N65,CHOOSE({1,2},INPUT!$A$3:$A$5000&amp;INPUT!$C$3:$C$5000,INPUT!$D$3:$D$5000),2,FALSE),"")</f>
        <v>TEC-TAC</v>
      </c>
      <c r="I70" s="46">
        <f>IF(INPUT!P65="","",INPUT!P65)</f>
        <v>67.7</v>
      </c>
      <c r="J70" s="46">
        <f>IF(INPUT!Q65="","",INPUT!Q65)</f>
        <v>67.099999999999994</v>
      </c>
      <c r="K70" s="46">
        <f>IFERROR(IF(OR(INPUT!P65="",INPUT!Q65=""),"",INPUT!P65-INPUT!Q65),"")</f>
        <v>0.60000000000000853</v>
      </c>
      <c r="L70" s="48">
        <f>IFERROR(IF(OR(INPUT!P65="",INPUT!Q65="",INPUT!P65=0),"",(INPUT!P65-INPUT!Q65)/INPUT!P65),"")</f>
        <v>8.8626292466766395E-3</v>
      </c>
    </row>
    <row r="71" spans="1:12" ht="18" hidden="1" customHeight="1" x14ac:dyDescent="0.2">
      <c r="A71" s="11">
        <f>IF(INPUT!M66="","",INPUT!M66)</f>
        <v>45873</v>
      </c>
      <c r="B71" s="11">
        <f>IF(INPUT!M66="","",INPUT!M66-WEEKDAY(INPUT!M66,2)+1)</f>
        <v>45873</v>
      </c>
      <c r="C71" s="20">
        <f>IFERROR(_xlfn.ISOWEEKNUM(INPUT!M66),"")</f>
        <v>32</v>
      </c>
      <c r="D71" s="20">
        <f>IFERROR(YEAR(INPUT!M66),"")</f>
        <v>2025</v>
      </c>
      <c r="E71" t="str">
        <f>IF(INPUT!O66="","",INPUT!O66)</f>
        <v>GONZALO</v>
      </c>
      <c r="F71" t="str">
        <f>IF(INPUT!N66="","",INPUT!N66)</f>
        <v>T</v>
      </c>
      <c r="G71" t="str" cm="1">
        <f t="array" ref="G71">IFERROR(VLOOKUP(INPUT!M66&amp;INPUT!N66,CHOOSE({1,2},INPUT!$A$3:$A$5000&amp;INPUT!$C$3:$C$5000,INPUT!$F$3:$F$5000),2,FALSE),"")</f>
        <v>PRE-TEMPORADA</v>
      </c>
      <c r="H71" t="str" cm="1">
        <f t="array" ref="H71">IFERROR(VLOOKUP(INPUT!M66&amp;INPUT!N66,CHOOSE({1,2},INPUT!$A$3:$A$5000&amp;INPUT!$C$3:$C$5000,INPUT!$D$3:$D$5000),2,FALSE),"")</f>
        <v>TEC-TAC</v>
      </c>
      <c r="I71" s="46">
        <f>IF(INPUT!P66="","",INPUT!P66)</f>
        <v>85.2</v>
      </c>
      <c r="J71" s="46">
        <f>IF(INPUT!Q66="","",INPUT!Q66)</f>
        <v>85.1</v>
      </c>
      <c r="K71" s="46">
        <f>IFERROR(IF(OR(INPUT!P66="",INPUT!Q66=""),"",INPUT!P66-INPUT!Q66),"")</f>
        <v>0.10000000000000853</v>
      </c>
      <c r="L71" s="48">
        <f>IFERROR(IF(OR(INPUT!P66="",INPUT!Q66="",INPUT!P66=0),"",(INPUT!P66-INPUT!Q66)/INPUT!P66),"")</f>
        <v>1.1737089201878934E-3</v>
      </c>
    </row>
    <row r="72" spans="1:12" ht="18" hidden="1" customHeight="1" x14ac:dyDescent="0.2">
      <c r="A72" s="11">
        <f>IF(INPUT!M67="","",INPUT!M67)</f>
        <v>45873</v>
      </c>
      <c r="B72" s="11">
        <f>IF(INPUT!M67="","",INPUT!M67-WEEKDAY(INPUT!M67,2)+1)</f>
        <v>45873</v>
      </c>
      <c r="C72" s="20">
        <f>IFERROR(_xlfn.ISOWEEKNUM(INPUT!M67),"")</f>
        <v>32</v>
      </c>
      <c r="D72" s="20">
        <f>IFERROR(YEAR(INPUT!M67),"")</f>
        <v>2025</v>
      </c>
      <c r="E72" t="str">
        <f>IF(INPUT!O67="","",INPUT!O67)</f>
        <v>RUBIO</v>
      </c>
      <c r="F72" t="str">
        <f>IF(INPUT!N67="","",INPUT!N67)</f>
        <v>T</v>
      </c>
      <c r="G72" t="str" cm="1">
        <f t="array" ref="G72">IFERROR(VLOOKUP(INPUT!M67&amp;INPUT!N67,CHOOSE({1,2},INPUT!$A$3:$A$5000&amp;INPUT!$C$3:$C$5000,INPUT!$F$3:$F$5000),2,FALSE),"")</f>
        <v>PRE-TEMPORADA</v>
      </c>
      <c r="H72" t="str" cm="1">
        <f t="array" ref="H72">IFERROR(VLOOKUP(INPUT!M67&amp;INPUT!N67,CHOOSE({1,2},INPUT!$A$3:$A$5000&amp;INPUT!$C$3:$C$5000,INPUT!$D$3:$D$5000),2,FALSE),"")</f>
        <v>TEC-TAC</v>
      </c>
      <c r="I72" s="46">
        <f>IF(INPUT!P67="","",INPUT!P67)</f>
        <v>75</v>
      </c>
      <c r="J72" s="46">
        <f>IF(INPUT!Q67="","",INPUT!Q67)</f>
        <v>74</v>
      </c>
      <c r="K72" s="46">
        <f>IFERROR(IF(OR(INPUT!P67="",INPUT!Q67=""),"",INPUT!P67-INPUT!Q67),"")</f>
        <v>1</v>
      </c>
      <c r="L72" s="48">
        <f>IFERROR(IF(OR(INPUT!P67="",INPUT!Q67="",INPUT!P67=0),"",(INPUT!P67-INPUT!Q67)/INPUT!P67),"")</f>
        <v>1.3333333333333334E-2</v>
      </c>
    </row>
    <row r="73" spans="1:12" ht="18" hidden="1" customHeight="1" x14ac:dyDescent="0.2">
      <c r="A73" s="11">
        <f>IF(INPUT!M68="","",INPUT!M68)</f>
        <v>45873</v>
      </c>
      <c r="B73" s="11">
        <f>IF(INPUT!M68="","",INPUT!M68-WEEKDAY(INPUT!M68,2)+1)</f>
        <v>45873</v>
      </c>
      <c r="C73" s="20">
        <f>IFERROR(_xlfn.ISOWEEKNUM(INPUT!M68),"")</f>
        <v>32</v>
      </c>
      <c r="D73" s="20">
        <f>IFERROR(YEAR(INPUT!M68),"")</f>
        <v>2025</v>
      </c>
      <c r="E73" t="str">
        <f>IF(INPUT!O68="","",INPUT!O68)</f>
        <v>DANI</v>
      </c>
      <c r="F73" t="str">
        <f>IF(INPUT!N68="","",INPUT!N68)</f>
        <v>T</v>
      </c>
      <c r="G73" t="str" cm="1">
        <f t="array" ref="G73">IFERROR(VLOOKUP(INPUT!M68&amp;INPUT!N68,CHOOSE({1,2},INPUT!$A$3:$A$5000&amp;INPUT!$C$3:$C$5000,INPUT!$F$3:$F$5000),2,FALSE),"")</f>
        <v>PRE-TEMPORADA</v>
      </c>
      <c r="H73" t="str" cm="1">
        <f t="array" ref="H73">IFERROR(VLOOKUP(INPUT!M68&amp;INPUT!N68,CHOOSE({1,2},INPUT!$A$3:$A$5000&amp;INPUT!$C$3:$C$5000,INPUT!$D$3:$D$5000),2,FALSE),"")</f>
        <v>TEC-TAC</v>
      </c>
      <c r="I73" s="46">
        <f>IF(INPUT!P68="","",INPUT!P68)</f>
        <v>93.8</v>
      </c>
      <c r="J73" s="46">
        <f>IF(INPUT!Q68="","",INPUT!Q68)</f>
        <v>93.1</v>
      </c>
      <c r="K73" s="46">
        <f>IFERROR(IF(OR(INPUT!P68="",INPUT!Q68=""),"",INPUT!P68-INPUT!Q68),"")</f>
        <v>0.70000000000000284</v>
      </c>
      <c r="L73" s="48">
        <f>IFERROR(IF(OR(INPUT!P68="",INPUT!Q68="",INPUT!P68=0),"",(INPUT!P68-INPUT!Q68)/INPUT!P68),"")</f>
        <v>7.4626865671642093E-3</v>
      </c>
    </row>
    <row r="74" spans="1:12" ht="18" hidden="1" customHeight="1" x14ac:dyDescent="0.2">
      <c r="A74" s="11">
        <f>IF(INPUT!M69="","",INPUT!M69)</f>
        <v>45873</v>
      </c>
      <c r="B74" s="11">
        <f>IF(INPUT!M69="","",INPUT!M69-WEEKDAY(INPUT!M69,2)+1)</f>
        <v>45873</v>
      </c>
      <c r="C74" s="20">
        <f>IFERROR(_xlfn.ISOWEEKNUM(INPUT!M69),"")</f>
        <v>32</v>
      </c>
      <c r="D74" s="20">
        <f>IFERROR(YEAR(INPUT!M69),"")</f>
        <v>2025</v>
      </c>
      <c r="E74" t="str">
        <f>IF(INPUT!O69="","",INPUT!O69)</f>
        <v>JAIME</v>
      </c>
      <c r="F74" t="str">
        <f>IF(INPUT!N69="","",INPUT!N69)</f>
        <v>T</v>
      </c>
      <c r="G74" t="str" cm="1">
        <f t="array" ref="G74">IFERROR(VLOOKUP(INPUT!M69&amp;INPUT!N69,CHOOSE({1,2},INPUT!$A$3:$A$5000&amp;INPUT!$C$3:$C$5000,INPUT!$F$3:$F$5000),2,FALSE),"")</f>
        <v>PRE-TEMPORADA</v>
      </c>
      <c r="H74" t="str" cm="1">
        <f t="array" ref="H74">IFERROR(VLOOKUP(INPUT!M69&amp;INPUT!N69,CHOOSE({1,2},INPUT!$A$3:$A$5000&amp;INPUT!$C$3:$C$5000,INPUT!$D$3:$D$5000),2,FALSE),"")</f>
        <v>TEC-TAC</v>
      </c>
      <c r="I74" s="46">
        <f>IF(INPUT!P69="","",INPUT!P69)</f>
        <v>75.400000000000006</v>
      </c>
      <c r="J74" s="46">
        <f>IF(INPUT!Q69="","",INPUT!Q69)</f>
        <v>75.2</v>
      </c>
      <c r="K74" s="46">
        <f>IFERROR(IF(OR(INPUT!P69="",INPUT!Q69=""),"",INPUT!P69-INPUT!Q69),"")</f>
        <v>0.20000000000000284</v>
      </c>
      <c r="L74" s="48">
        <f>IFERROR(IF(OR(INPUT!P69="",INPUT!Q69="",INPUT!P69=0),"",(INPUT!P69-INPUT!Q69)/INPUT!P69),"")</f>
        <v>2.6525198938992418E-3</v>
      </c>
    </row>
    <row r="75" spans="1:12" ht="18" hidden="1" customHeight="1" x14ac:dyDescent="0.2">
      <c r="A75" s="11">
        <f>IF(INPUT!M70="","",INPUT!M70)</f>
        <v>45874</v>
      </c>
      <c r="B75" s="11">
        <f>IF(INPUT!M70="","",INPUT!M70-WEEKDAY(INPUT!M70,2)+1)</f>
        <v>45873</v>
      </c>
      <c r="C75" s="20">
        <f>IFERROR(_xlfn.ISOWEEKNUM(INPUT!M70),"")</f>
        <v>32</v>
      </c>
      <c r="D75" s="20">
        <f>IFERROR(YEAR(INPUT!M70),"")</f>
        <v>2025</v>
      </c>
      <c r="E75" t="str">
        <f>IF(INPUT!O70="","",INPUT!O70)</f>
        <v>HERRERO</v>
      </c>
      <c r="F75" t="str">
        <f>IF(INPUT!N70="","",INPUT!N70)</f>
        <v>M</v>
      </c>
      <c r="G75" t="str" cm="1">
        <f t="array" ref="G75">IFERROR(VLOOKUP(INPUT!M70&amp;INPUT!N70,CHOOSE({1,2},INPUT!$A$3:$A$5000&amp;INPUT!$C$3:$C$5000,INPUT!$F$3:$F$5000),2,FALSE),"")</f>
        <v>PRE-TEMPORADA</v>
      </c>
      <c r="H75" t="str" cm="1">
        <f t="array" ref="H75">IFERROR(VLOOKUP(INPUT!M70&amp;INPUT!N70,CHOOSE({1,2},INPUT!$A$3:$A$5000&amp;INPUT!$C$3:$C$5000,INPUT!$D$3:$D$5000),2,FALSE),"")</f>
        <v>FISICO</v>
      </c>
      <c r="I75" s="46">
        <f>IF(INPUT!P70="","",INPUT!P70)</f>
        <v>76.900000000000006</v>
      </c>
      <c r="J75" s="46">
        <f>IF(INPUT!Q70="","",INPUT!Q70)</f>
        <v>75.3</v>
      </c>
      <c r="K75" s="46">
        <f>IFERROR(IF(OR(INPUT!P70="",INPUT!Q70=""),"",INPUT!P70-INPUT!Q70),"")</f>
        <v>1.6000000000000085</v>
      </c>
      <c r="L75" s="48">
        <f>IFERROR(IF(OR(INPUT!P70="",INPUT!Q70="",INPUT!P70=0),"",(INPUT!P70-INPUT!Q70)/INPUT!P70),"")</f>
        <v>2.0806241872561877E-2</v>
      </c>
    </row>
    <row r="76" spans="1:12" ht="18" hidden="1" customHeight="1" x14ac:dyDescent="0.2">
      <c r="A76" s="11">
        <f>IF(INPUT!M71="","",INPUT!M71)</f>
        <v>45874</v>
      </c>
      <c r="B76" s="11">
        <f>IF(INPUT!M71="","",INPUT!M71-WEEKDAY(INPUT!M71,2)+1)</f>
        <v>45873</v>
      </c>
      <c r="C76" s="20">
        <f>IFERROR(_xlfn.ISOWEEKNUM(INPUT!M71),"")</f>
        <v>32</v>
      </c>
      <c r="D76" s="20">
        <f>IFERROR(YEAR(INPUT!M71),"")</f>
        <v>2025</v>
      </c>
      <c r="E76" t="str">
        <f>IF(INPUT!O71="","",INPUT!O71)</f>
        <v>GARCIA</v>
      </c>
      <c r="F76" t="str">
        <f>IF(INPUT!N71="","",INPUT!N71)</f>
        <v>M</v>
      </c>
      <c r="G76" t="str" cm="1">
        <f t="array" ref="G76">IFERROR(VLOOKUP(INPUT!M71&amp;INPUT!N71,CHOOSE({1,2},INPUT!$A$3:$A$5000&amp;INPUT!$C$3:$C$5000,INPUT!$F$3:$F$5000),2,FALSE),"")</f>
        <v>PRE-TEMPORADA</v>
      </c>
      <c r="H76" t="str" cm="1">
        <f t="array" ref="H76">IFERROR(VLOOKUP(INPUT!M71&amp;INPUT!N71,CHOOSE({1,2},INPUT!$A$3:$A$5000&amp;INPUT!$C$3:$C$5000,INPUT!$D$3:$D$5000),2,FALSE),"")</f>
        <v>FISICO</v>
      </c>
      <c r="I76" s="46">
        <f>IF(INPUT!P71="","",INPUT!P71)</f>
        <v>78.900000000000006</v>
      </c>
      <c r="J76" s="46">
        <f>IF(INPUT!Q71="","",INPUT!Q71)</f>
        <v>78</v>
      </c>
      <c r="K76" s="46">
        <f>IFERROR(IF(OR(INPUT!P71="",INPUT!Q71=""),"",INPUT!P71-INPUT!Q71),"")</f>
        <v>0.90000000000000568</v>
      </c>
      <c r="L76" s="48">
        <f>IFERROR(IF(OR(INPUT!P71="",INPUT!Q71="",INPUT!P71=0),"",(INPUT!P71-INPUT!Q71)/INPUT!P71),"")</f>
        <v>1.140684410646395E-2</v>
      </c>
    </row>
    <row r="77" spans="1:12" ht="18" hidden="1" customHeight="1" x14ac:dyDescent="0.2">
      <c r="A77" s="11">
        <f>IF(INPUT!M72="","",INPUT!M72)</f>
        <v>45874</v>
      </c>
      <c r="B77" s="11">
        <f>IF(INPUT!M72="","",INPUT!M72-WEEKDAY(INPUT!M72,2)+1)</f>
        <v>45873</v>
      </c>
      <c r="C77" s="20">
        <f>IFERROR(_xlfn.ISOWEEKNUM(INPUT!M72),"")</f>
        <v>32</v>
      </c>
      <c r="D77" s="20">
        <f>IFERROR(YEAR(INPUT!M72),"")</f>
        <v>2025</v>
      </c>
      <c r="E77" t="str">
        <f>IF(INPUT!O72="","",INPUT!O72)</f>
        <v>OSCAR</v>
      </c>
      <c r="F77" t="str">
        <f>IF(INPUT!N72="","",INPUT!N72)</f>
        <v>M</v>
      </c>
      <c r="G77" t="str" cm="1">
        <f t="array" ref="G77">IFERROR(VLOOKUP(INPUT!M72&amp;INPUT!N72,CHOOSE({1,2},INPUT!$A$3:$A$5000&amp;INPUT!$C$3:$C$5000,INPUT!$F$3:$F$5000),2,FALSE),"")</f>
        <v>PRE-TEMPORADA</v>
      </c>
      <c r="H77" t="str" cm="1">
        <f t="array" ref="H77">IFERROR(VLOOKUP(INPUT!M72&amp;INPUT!N72,CHOOSE({1,2},INPUT!$A$3:$A$5000&amp;INPUT!$C$3:$C$5000,INPUT!$D$3:$D$5000),2,FALSE),"")</f>
        <v>FISICO</v>
      </c>
      <c r="I77" s="46">
        <f>IF(INPUT!P72="","",INPUT!P72)</f>
        <v>88.9</v>
      </c>
      <c r="J77" s="46">
        <f>IF(INPUT!Q72="","",INPUT!Q72)</f>
        <v>88.5</v>
      </c>
      <c r="K77" s="46">
        <f>IFERROR(IF(OR(INPUT!P72="",INPUT!Q72=""),"",INPUT!P72-INPUT!Q72),"")</f>
        <v>0.40000000000000568</v>
      </c>
      <c r="L77" s="48">
        <f>IFERROR(IF(OR(INPUT!P72="",INPUT!Q72="",INPUT!P72=0),"",(INPUT!P72-INPUT!Q72)/INPUT!P72),"")</f>
        <v>4.4994375703037758E-3</v>
      </c>
    </row>
    <row r="78" spans="1:12" ht="18" hidden="1" customHeight="1" x14ac:dyDescent="0.2">
      <c r="A78" s="11">
        <f>IF(INPUT!M73="","",INPUT!M73)</f>
        <v>45874</v>
      </c>
      <c r="B78" s="11">
        <f>IF(INPUT!M73="","",INPUT!M73-WEEKDAY(INPUT!M73,2)+1)</f>
        <v>45873</v>
      </c>
      <c r="C78" s="20">
        <f>IFERROR(_xlfn.ISOWEEKNUM(INPUT!M73),"")</f>
        <v>32</v>
      </c>
      <c r="D78" s="20">
        <f>IFERROR(YEAR(INPUT!M73),"")</f>
        <v>2025</v>
      </c>
      <c r="E78" t="str">
        <f>IF(INPUT!O73="","",INPUT!O73)</f>
        <v>CECILIO</v>
      </c>
      <c r="F78" t="str">
        <f>IF(INPUT!N73="","",INPUT!N73)</f>
        <v>M</v>
      </c>
      <c r="G78" t="str" cm="1">
        <f t="array" ref="G78">IFERROR(VLOOKUP(INPUT!M73&amp;INPUT!N73,CHOOSE({1,2},INPUT!$A$3:$A$5000&amp;INPUT!$C$3:$C$5000,INPUT!$F$3:$F$5000),2,FALSE),"")</f>
        <v>PRE-TEMPORADA</v>
      </c>
      <c r="H78" t="str" cm="1">
        <f t="array" ref="H78">IFERROR(VLOOKUP(INPUT!M73&amp;INPUT!N73,CHOOSE({1,2},INPUT!$A$3:$A$5000&amp;INPUT!$C$3:$C$5000,INPUT!$D$3:$D$5000),2,FALSE),"")</f>
        <v>FISICO</v>
      </c>
      <c r="I78" s="46">
        <f>IF(INPUT!P73="","",INPUT!P73)</f>
        <v>68.5</v>
      </c>
      <c r="J78" s="46">
        <f>IF(INPUT!Q73="","",INPUT!Q73)</f>
        <v>68.599999999999994</v>
      </c>
      <c r="K78" s="46">
        <f>IFERROR(IF(OR(INPUT!P73="",INPUT!Q73=""),"",INPUT!P73-INPUT!Q73),"")</f>
        <v>-9.9999999999994316E-2</v>
      </c>
      <c r="L78" s="48">
        <f>IFERROR(IF(OR(INPUT!P73="",INPUT!Q73="",INPUT!P73=0),"",(INPUT!P73-INPUT!Q73)/INPUT!P73),"")</f>
        <v>-1.4598540145984572E-3</v>
      </c>
    </row>
    <row r="79" spans="1:12" ht="18" hidden="1" customHeight="1" x14ac:dyDescent="0.2">
      <c r="A79" s="11">
        <f>IF(INPUT!M74="","",INPUT!M74)</f>
        <v>45874</v>
      </c>
      <c r="B79" s="11">
        <f>IF(INPUT!M74="","",INPUT!M74-WEEKDAY(INPUT!M74,2)+1)</f>
        <v>45873</v>
      </c>
      <c r="C79" s="20">
        <f>IFERROR(_xlfn.ISOWEEKNUM(INPUT!M74),"")</f>
        <v>32</v>
      </c>
      <c r="D79" s="20">
        <f>IFERROR(YEAR(INPUT!M74),"")</f>
        <v>2025</v>
      </c>
      <c r="E79" t="str">
        <f>IF(INPUT!O74="","",INPUT!O74)</f>
        <v>CHAGUINHA</v>
      </c>
      <c r="F79" t="str">
        <f>IF(INPUT!N74="","",INPUT!N74)</f>
        <v>M</v>
      </c>
      <c r="G79" t="str" cm="1">
        <f t="array" ref="G79">IFERROR(VLOOKUP(INPUT!M74&amp;INPUT!N74,CHOOSE({1,2},INPUT!$A$3:$A$5000&amp;INPUT!$C$3:$C$5000,INPUT!$F$3:$F$5000),2,FALSE),"")</f>
        <v>PRE-TEMPORADA</v>
      </c>
      <c r="H79" t="str" cm="1">
        <f t="array" ref="H79">IFERROR(VLOOKUP(INPUT!M74&amp;INPUT!N74,CHOOSE({1,2},INPUT!$A$3:$A$5000&amp;INPUT!$C$3:$C$5000,INPUT!$D$3:$D$5000),2,FALSE),"")</f>
        <v>FISICO</v>
      </c>
      <c r="I79" s="46">
        <f>IF(INPUT!P74="","",INPUT!P74)</f>
        <v>68.5</v>
      </c>
      <c r="J79" s="46">
        <f>IF(INPUT!Q74="","",INPUT!Q74)</f>
        <v>67.599999999999994</v>
      </c>
      <c r="K79" s="46">
        <f>IFERROR(IF(OR(INPUT!P74="",INPUT!Q74=""),"",INPUT!P74-INPUT!Q74),"")</f>
        <v>0.90000000000000568</v>
      </c>
      <c r="L79" s="48">
        <f>IFERROR(IF(OR(INPUT!P74="",INPUT!Q74="",INPUT!P74=0),"",(INPUT!P74-INPUT!Q74)/INPUT!P74),"")</f>
        <v>1.3138686131386945E-2</v>
      </c>
    </row>
    <row r="80" spans="1:12" ht="18" hidden="1" customHeight="1" x14ac:dyDescent="0.2">
      <c r="A80" s="11">
        <f>IF(INPUT!M75="","",INPUT!M75)</f>
        <v>45874</v>
      </c>
      <c r="B80" s="11">
        <f>IF(INPUT!M75="","",INPUT!M75-WEEKDAY(INPUT!M75,2)+1)</f>
        <v>45873</v>
      </c>
      <c r="C80" s="20">
        <f>IFERROR(_xlfn.ISOWEEKNUM(INPUT!M75),"")</f>
        <v>32</v>
      </c>
      <c r="D80" s="20">
        <f>IFERROR(YEAR(INPUT!M75),"")</f>
        <v>2025</v>
      </c>
      <c r="E80" t="str">
        <f>IF(INPUT!O75="","",INPUT!O75)</f>
        <v>RAUL</v>
      </c>
      <c r="F80" t="str">
        <f>IF(INPUT!N75="","",INPUT!N75)</f>
        <v>M</v>
      </c>
      <c r="G80" t="str" cm="1">
        <f t="array" ref="G80">IFERROR(VLOOKUP(INPUT!M75&amp;INPUT!N75,CHOOSE({1,2},INPUT!$A$3:$A$5000&amp;INPUT!$C$3:$C$5000,INPUT!$F$3:$F$5000),2,FALSE),"")</f>
        <v>PRE-TEMPORADA</v>
      </c>
      <c r="H80" t="str" cm="1">
        <f t="array" ref="H80">IFERROR(VLOOKUP(INPUT!M75&amp;INPUT!N75,CHOOSE({1,2},INPUT!$A$3:$A$5000&amp;INPUT!$C$3:$C$5000,INPUT!$D$3:$D$5000),2,FALSE),"")</f>
        <v>FISICO</v>
      </c>
      <c r="I80" s="46">
        <f>IF(INPUT!P75="","",INPUT!P75)</f>
        <v>79.2</v>
      </c>
      <c r="J80" s="46">
        <f>IF(INPUT!Q75="","",INPUT!Q75)</f>
        <v>78.8</v>
      </c>
      <c r="K80" s="46">
        <f>IFERROR(IF(OR(INPUT!P75="",INPUT!Q75=""),"",INPUT!P75-INPUT!Q75),"")</f>
        <v>0.40000000000000568</v>
      </c>
      <c r="L80" s="48">
        <f>IFERROR(IF(OR(INPUT!P75="",INPUT!Q75="",INPUT!P75=0),"",(INPUT!P75-INPUT!Q75)/INPUT!P75),"")</f>
        <v>5.0505050505051221E-3</v>
      </c>
    </row>
    <row r="81" spans="1:12" ht="18" hidden="1" customHeight="1" x14ac:dyDescent="0.2">
      <c r="A81" s="11">
        <f>IF(INPUT!M76="","",INPUT!M76)</f>
        <v>45874</v>
      </c>
      <c r="B81" s="11">
        <f>IF(INPUT!M76="","",INPUT!M76-WEEKDAY(INPUT!M76,2)+1)</f>
        <v>45873</v>
      </c>
      <c r="C81" s="20">
        <f>IFERROR(_xlfn.ISOWEEKNUM(INPUT!M76),"")</f>
        <v>32</v>
      </c>
      <c r="D81" s="20">
        <f>IFERROR(YEAR(INPUT!M76),"")</f>
        <v>2025</v>
      </c>
      <c r="E81" t="str">
        <f>IF(INPUT!O76="","",INPUT!O76)</f>
        <v>HARRISON</v>
      </c>
      <c r="F81" t="str">
        <f>IF(INPUT!N76="","",INPUT!N76)</f>
        <v>M</v>
      </c>
      <c r="G81" t="str" cm="1">
        <f t="array" ref="G81">IFERROR(VLOOKUP(INPUT!M76&amp;INPUT!N76,CHOOSE({1,2},INPUT!$A$3:$A$5000&amp;INPUT!$C$3:$C$5000,INPUT!$F$3:$F$5000),2,FALSE),"")</f>
        <v>PRE-TEMPORADA</v>
      </c>
      <c r="H81" t="str" cm="1">
        <f t="array" ref="H81">IFERROR(VLOOKUP(INPUT!M76&amp;INPUT!N76,CHOOSE({1,2},INPUT!$A$3:$A$5000&amp;INPUT!$C$3:$C$5000,INPUT!$D$3:$D$5000),2,FALSE),"")</f>
        <v>FISICO</v>
      </c>
      <c r="I81" s="46">
        <f>IF(INPUT!P76="","",INPUT!P76)</f>
        <v>71.8</v>
      </c>
      <c r="J81" s="46">
        <f>IF(INPUT!Q76="","",INPUT!Q76)</f>
        <v>72.099999999999994</v>
      </c>
      <c r="K81" s="46">
        <f>IFERROR(IF(OR(INPUT!P76="",INPUT!Q76=""),"",INPUT!P76-INPUT!Q76),"")</f>
        <v>-0.29999999999999716</v>
      </c>
      <c r="L81" s="48">
        <f>IFERROR(IF(OR(INPUT!P76="",INPUT!Q76="",INPUT!P76=0),"",(INPUT!P76-INPUT!Q76)/INPUT!P76),"")</f>
        <v>-4.1782729805013531E-3</v>
      </c>
    </row>
    <row r="82" spans="1:12" ht="18" hidden="1" customHeight="1" x14ac:dyDescent="0.2">
      <c r="A82" s="11">
        <f>IF(INPUT!M77="","",INPUT!M77)</f>
        <v>45874</v>
      </c>
      <c r="B82" s="11">
        <f>IF(INPUT!M77="","",INPUT!M77-WEEKDAY(INPUT!M77,2)+1)</f>
        <v>45873</v>
      </c>
      <c r="C82" s="20">
        <f>IFERROR(_xlfn.ISOWEEKNUM(INPUT!M77),"")</f>
        <v>32</v>
      </c>
      <c r="D82" s="20">
        <f>IFERROR(YEAR(INPUT!M77),"")</f>
        <v>2025</v>
      </c>
      <c r="E82" t="str">
        <f>IF(INPUT!O77="","",INPUT!O77)</f>
        <v>RAYA</v>
      </c>
      <c r="F82" t="str">
        <f>IF(INPUT!N77="","",INPUT!N77)</f>
        <v>M</v>
      </c>
      <c r="G82" t="str" cm="1">
        <f t="array" ref="G82">IFERROR(VLOOKUP(INPUT!M77&amp;INPUT!N77,CHOOSE({1,2},INPUT!$A$3:$A$5000&amp;INPUT!$C$3:$C$5000,INPUT!$F$3:$F$5000),2,FALSE),"")</f>
        <v>PRE-TEMPORADA</v>
      </c>
      <c r="H82" t="str" cm="1">
        <f t="array" ref="H82">IFERROR(VLOOKUP(INPUT!M77&amp;INPUT!N77,CHOOSE({1,2},INPUT!$A$3:$A$5000&amp;INPUT!$C$3:$C$5000,INPUT!$D$3:$D$5000),2,FALSE),"")</f>
        <v>FISICO</v>
      </c>
      <c r="I82" s="46">
        <f>IF(INPUT!P77="","",INPUT!P77)</f>
        <v>81.8</v>
      </c>
      <c r="J82" s="46">
        <f>IF(INPUT!Q77="","",INPUT!Q77)</f>
        <v>80</v>
      </c>
      <c r="K82" s="46">
        <f>IFERROR(IF(OR(INPUT!P77="",INPUT!Q77=""),"",INPUT!P77-INPUT!Q77),"")</f>
        <v>1.7999999999999972</v>
      </c>
      <c r="L82" s="48">
        <f>IFERROR(IF(OR(INPUT!P77="",INPUT!Q77="",INPUT!P77=0),"",(INPUT!P77-INPUT!Q77)/INPUT!P77),"")</f>
        <v>2.2004889975550088E-2</v>
      </c>
    </row>
    <row r="83" spans="1:12" ht="18" hidden="1" customHeight="1" x14ac:dyDescent="0.2">
      <c r="A83" s="11">
        <f>IF(INPUT!M78="","",INPUT!M78)</f>
        <v>45874</v>
      </c>
      <c r="B83" s="11">
        <f>IF(INPUT!M78="","",INPUT!M78-WEEKDAY(INPUT!M78,2)+1)</f>
        <v>45873</v>
      </c>
      <c r="C83" s="20">
        <f>IFERROR(_xlfn.ISOWEEKNUM(INPUT!M78),"")</f>
        <v>32</v>
      </c>
      <c r="D83" s="20">
        <f>IFERROR(YEAR(INPUT!M78),"")</f>
        <v>2025</v>
      </c>
      <c r="E83" t="str">
        <f>IF(INPUT!O78="","",INPUT!O78)</f>
        <v>PANI</v>
      </c>
      <c r="F83" t="str">
        <f>IF(INPUT!N78="","",INPUT!N78)</f>
        <v>M</v>
      </c>
      <c r="G83" t="str" cm="1">
        <f t="array" ref="G83">IFERROR(VLOOKUP(INPUT!M78&amp;INPUT!N78,CHOOSE({1,2},INPUT!$A$3:$A$5000&amp;INPUT!$C$3:$C$5000,INPUT!$F$3:$F$5000),2,FALSE),"")</f>
        <v>PRE-TEMPORADA</v>
      </c>
      <c r="H83" t="str" cm="1">
        <f t="array" ref="H83">IFERROR(VLOOKUP(INPUT!M78&amp;INPUT!N78,CHOOSE({1,2},INPUT!$A$3:$A$5000&amp;INPUT!$C$3:$C$5000,INPUT!$D$3:$D$5000),2,FALSE),"")</f>
        <v>FISICO</v>
      </c>
      <c r="I83" s="46">
        <f>IF(INPUT!P78="","",INPUT!P78)</f>
        <v>69.7</v>
      </c>
      <c r="J83" s="46">
        <f>IF(INPUT!Q78="","",INPUT!Q78)</f>
        <v>70.7</v>
      </c>
      <c r="K83" s="46">
        <f>IFERROR(IF(OR(INPUT!P78="",INPUT!Q78=""),"",INPUT!P78-INPUT!Q78),"")</f>
        <v>-1</v>
      </c>
      <c r="L83" s="48">
        <f>IFERROR(IF(OR(INPUT!P78="",INPUT!Q78="",INPUT!P78=0),"",(INPUT!P78-INPUT!Q78)/INPUT!P78),"")</f>
        <v>-1.4347202295552367E-2</v>
      </c>
    </row>
    <row r="84" spans="1:12" ht="18" hidden="1" customHeight="1" x14ac:dyDescent="0.2">
      <c r="A84" s="11">
        <f>IF(INPUT!M79="","",INPUT!M79)</f>
        <v>45874</v>
      </c>
      <c r="B84" s="11">
        <f>IF(INPUT!M79="","",INPUT!M79-WEEKDAY(INPUT!M79,2)+1)</f>
        <v>45873</v>
      </c>
      <c r="C84" s="20">
        <f>IFERROR(_xlfn.ISOWEEKNUM(INPUT!M79),"")</f>
        <v>32</v>
      </c>
      <c r="D84" s="20">
        <f>IFERROR(YEAR(INPUT!M79),"")</f>
        <v>2025</v>
      </c>
      <c r="E84" t="str">
        <f>IF(INPUT!O79="","",INPUT!O79)</f>
        <v>PIRATA</v>
      </c>
      <c r="F84" t="str">
        <f>IF(INPUT!N79="","",INPUT!N79)</f>
        <v>M</v>
      </c>
      <c r="G84" t="str" cm="1">
        <f t="array" ref="G84">IFERROR(VLOOKUP(INPUT!M79&amp;INPUT!N79,CHOOSE({1,2},INPUT!$A$3:$A$5000&amp;INPUT!$C$3:$C$5000,INPUT!$F$3:$F$5000),2,FALSE),"")</f>
        <v>PRE-TEMPORADA</v>
      </c>
      <c r="H84" t="str" cm="1">
        <f t="array" ref="H84">IFERROR(VLOOKUP(INPUT!M79&amp;INPUT!N79,CHOOSE({1,2},INPUT!$A$3:$A$5000&amp;INPUT!$C$3:$C$5000,INPUT!$D$3:$D$5000),2,FALSE),"")</f>
        <v>FISICO</v>
      </c>
      <c r="I84" s="46">
        <f>IF(INPUT!P79="","",INPUT!P79)</f>
        <v>75.099999999999994</v>
      </c>
      <c r="J84" s="46">
        <f>IF(INPUT!Q79="","",INPUT!Q79)</f>
        <v>74.7</v>
      </c>
      <c r="K84" s="46">
        <f>IFERROR(IF(OR(INPUT!P79="",INPUT!Q79=""),"",INPUT!P79-INPUT!Q79),"")</f>
        <v>0.39999999999999147</v>
      </c>
      <c r="L84" s="48">
        <f>IFERROR(IF(OR(INPUT!P79="",INPUT!Q79="",INPUT!P79=0),"",(INPUT!P79-INPUT!Q79)/INPUT!P79),"")</f>
        <v>5.3262316910784487E-3</v>
      </c>
    </row>
    <row r="85" spans="1:12" ht="18" hidden="1" customHeight="1" x14ac:dyDescent="0.2">
      <c r="A85" s="11">
        <f>IF(INPUT!M80="","",INPUT!M80)</f>
        <v>45874</v>
      </c>
      <c r="B85" s="11">
        <f>IF(INPUT!M80="","",INPUT!M80-WEEKDAY(INPUT!M80,2)+1)</f>
        <v>45873</v>
      </c>
      <c r="C85" s="20">
        <f>IFERROR(_xlfn.ISOWEEKNUM(INPUT!M80),"")</f>
        <v>32</v>
      </c>
      <c r="D85" s="20">
        <f>IFERROR(YEAR(INPUT!M80),"")</f>
        <v>2025</v>
      </c>
      <c r="E85" t="str">
        <f>IF(INPUT!O80="","",INPUT!O80)</f>
        <v>BARONA</v>
      </c>
      <c r="F85" t="str">
        <f>IF(INPUT!N80="","",INPUT!N80)</f>
        <v>M</v>
      </c>
      <c r="G85" t="str" cm="1">
        <f t="array" ref="G85">IFERROR(VLOOKUP(INPUT!M80&amp;INPUT!N80,CHOOSE({1,2},INPUT!$A$3:$A$5000&amp;INPUT!$C$3:$C$5000,INPUT!$F$3:$F$5000),2,FALSE),"")</f>
        <v>PRE-TEMPORADA</v>
      </c>
      <c r="H85" t="str" cm="1">
        <f t="array" ref="H85">IFERROR(VLOOKUP(INPUT!M80&amp;INPUT!N80,CHOOSE({1,2},INPUT!$A$3:$A$5000&amp;INPUT!$C$3:$C$5000,INPUT!$D$3:$D$5000),2,FALSE),"")</f>
        <v>FISICO</v>
      </c>
      <c r="I85" s="46">
        <f>IF(INPUT!P80="","",INPUT!P80)</f>
        <v>70.599999999999994</v>
      </c>
      <c r="J85" s="46">
        <f>IF(INPUT!Q80="","",INPUT!Q80)</f>
        <v>70.3</v>
      </c>
      <c r="K85" s="46">
        <f>IFERROR(IF(OR(INPUT!P80="",INPUT!Q80=""),"",INPUT!P80-INPUT!Q80),"")</f>
        <v>0.29999999999999716</v>
      </c>
      <c r="L85" s="48">
        <f>IFERROR(IF(OR(INPUT!P80="",INPUT!Q80="",INPUT!P80=0),"",(INPUT!P80-INPUT!Q80)/INPUT!P80),"")</f>
        <v>4.2492917847025092E-3</v>
      </c>
    </row>
    <row r="86" spans="1:12" ht="18" hidden="1" customHeight="1" x14ac:dyDescent="0.2">
      <c r="A86" s="11">
        <f>IF(INPUT!M81="","",INPUT!M81)</f>
        <v>45874</v>
      </c>
      <c r="B86" s="11">
        <f>IF(INPUT!M81="","",INPUT!M81-WEEKDAY(INPUT!M81,2)+1)</f>
        <v>45873</v>
      </c>
      <c r="C86" s="20">
        <f>IFERROR(_xlfn.ISOWEEKNUM(INPUT!M81),"")</f>
        <v>32</v>
      </c>
      <c r="D86" s="20">
        <f>IFERROR(YEAR(INPUT!M81),"")</f>
        <v>2025</v>
      </c>
      <c r="E86" t="str">
        <f>IF(INPUT!O81="","",INPUT!O81)</f>
        <v>CARLOS</v>
      </c>
      <c r="F86" t="str">
        <f>IF(INPUT!N81="","",INPUT!N81)</f>
        <v>M</v>
      </c>
      <c r="G86" t="str" cm="1">
        <f t="array" ref="G86">IFERROR(VLOOKUP(INPUT!M81&amp;INPUT!N81,CHOOSE({1,2},INPUT!$A$3:$A$5000&amp;INPUT!$C$3:$C$5000,INPUT!$F$3:$F$5000),2,FALSE),"")</f>
        <v>PRE-TEMPORADA</v>
      </c>
      <c r="H86" t="str" cm="1">
        <f t="array" ref="H86">IFERROR(VLOOKUP(INPUT!M81&amp;INPUT!N81,CHOOSE({1,2},INPUT!$A$3:$A$5000&amp;INPUT!$C$3:$C$5000,INPUT!$D$3:$D$5000),2,FALSE),"")</f>
        <v>FISICO</v>
      </c>
      <c r="I86" s="46">
        <f>IF(INPUT!P81="","",INPUT!P81)</f>
        <v>66.599999999999994</v>
      </c>
      <c r="J86" s="46">
        <f>IF(INPUT!Q81="","",INPUT!Q81)</f>
        <v>66.400000000000006</v>
      </c>
      <c r="K86" s="46">
        <f>IFERROR(IF(OR(INPUT!P81="",INPUT!Q81=""),"",INPUT!P81-INPUT!Q81),"")</f>
        <v>0.19999999999998863</v>
      </c>
      <c r="L86" s="48">
        <f>IFERROR(IF(OR(INPUT!P81="",INPUT!Q81="",INPUT!P81=0),"",(INPUT!P81-INPUT!Q81)/INPUT!P81),"")</f>
        <v>3.0030030030028325E-3</v>
      </c>
    </row>
    <row r="87" spans="1:12" ht="18" hidden="1" customHeight="1" x14ac:dyDescent="0.2">
      <c r="A87" s="11">
        <f>IF(INPUT!M82="","",INPUT!M82)</f>
        <v>45874</v>
      </c>
      <c r="B87" s="11">
        <f>IF(INPUT!M82="","",INPUT!M82-WEEKDAY(INPUT!M82,2)+1)</f>
        <v>45873</v>
      </c>
      <c r="C87" s="20">
        <f>IFERROR(_xlfn.ISOWEEKNUM(INPUT!M82),"")</f>
        <v>32</v>
      </c>
      <c r="D87" s="20">
        <f>IFERROR(YEAR(INPUT!M82),"")</f>
        <v>2025</v>
      </c>
      <c r="E87" t="str">
        <f>IF(INPUT!O82="","",INPUT!O82)</f>
        <v>GONZALO</v>
      </c>
      <c r="F87" t="str">
        <f>IF(INPUT!N82="","",INPUT!N82)</f>
        <v>M</v>
      </c>
      <c r="G87" t="str" cm="1">
        <f t="array" ref="G87">IFERROR(VLOOKUP(INPUT!M82&amp;INPUT!N82,CHOOSE({1,2},INPUT!$A$3:$A$5000&amp;INPUT!$C$3:$C$5000,INPUT!$F$3:$F$5000),2,FALSE),"")</f>
        <v>PRE-TEMPORADA</v>
      </c>
      <c r="H87" t="str" cm="1">
        <f t="array" ref="H87">IFERROR(VLOOKUP(INPUT!M82&amp;INPUT!N82,CHOOSE({1,2},INPUT!$A$3:$A$5000&amp;INPUT!$C$3:$C$5000,INPUT!$D$3:$D$5000),2,FALSE),"")</f>
        <v>FISICO</v>
      </c>
      <c r="I87" s="46">
        <f>IF(INPUT!P82="","",INPUT!P82)</f>
        <v>85.1</v>
      </c>
      <c r="J87" s="46">
        <f>IF(INPUT!Q82="","",INPUT!Q82)</f>
        <v>84.7</v>
      </c>
      <c r="K87" s="46">
        <f>IFERROR(IF(OR(INPUT!P82="",INPUT!Q82=""),"",INPUT!P82-INPUT!Q82),"")</f>
        <v>0.39999999999999147</v>
      </c>
      <c r="L87" s="48">
        <f>IFERROR(IF(OR(INPUT!P82="",INPUT!Q82="",INPUT!P82=0),"",(INPUT!P82-INPUT!Q82)/INPUT!P82),"")</f>
        <v>4.7003525264393831E-3</v>
      </c>
    </row>
    <row r="88" spans="1:12" ht="18" hidden="1" customHeight="1" x14ac:dyDescent="0.2">
      <c r="A88" s="11">
        <f>IF(INPUT!M83="","",INPUT!M83)</f>
        <v>45874</v>
      </c>
      <c r="B88" s="11">
        <f>IF(INPUT!M83="","",INPUT!M83-WEEKDAY(INPUT!M83,2)+1)</f>
        <v>45873</v>
      </c>
      <c r="C88" s="20">
        <f>IFERROR(_xlfn.ISOWEEKNUM(INPUT!M83),"")</f>
        <v>32</v>
      </c>
      <c r="D88" s="20">
        <f>IFERROR(YEAR(INPUT!M83),"")</f>
        <v>2025</v>
      </c>
      <c r="E88" t="str">
        <f>IF(INPUT!O83="","",INPUT!O83)</f>
        <v>RUBIO</v>
      </c>
      <c r="F88" t="str">
        <f>IF(INPUT!N83="","",INPUT!N83)</f>
        <v>M</v>
      </c>
      <c r="G88" t="str" cm="1">
        <f t="array" ref="G88">IFERROR(VLOOKUP(INPUT!M83&amp;INPUT!N83,CHOOSE({1,2},INPUT!$A$3:$A$5000&amp;INPUT!$C$3:$C$5000,INPUT!$F$3:$F$5000),2,FALSE),"")</f>
        <v>PRE-TEMPORADA</v>
      </c>
      <c r="H88" t="str" cm="1">
        <f t="array" ref="H88">IFERROR(VLOOKUP(INPUT!M83&amp;INPUT!N83,CHOOSE({1,2},INPUT!$A$3:$A$5000&amp;INPUT!$C$3:$C$5000,INPUT!$D$3:$D$5000),2,FALSE),"")</f>
        <v>FISICO</v>
      </c>
      <c r="I88" s="46">
        <f>IF(INPUT!P83="","",INPUT!P83)</f>
        <v>74.400000000000006</v>
      </c>
      <c r="J88" s="46">
        <f>IF(INPUT!Q83="","",INPUT!Q83)</f>
        <v>74.2</v>
      </c>
      <c r="K88" s="46">
        <f>IFERROR(IF(OR(INPUT!P83="",INPUT!Q83=""),"",INPUT!P83-INPUT!Q83),"")</f>
        <v>0.20000000000000284</v>
      </c>
      <c r="L88" s="48">
        <f>IFERROR(IF(OR(INPUT!P83="",INPUT!Q83="",INPUT!P83=0),"",(INPUT!P83-INPUT!Q83)/INPUT!P83),"")</f>
        <v>2.6881720430107906E-3</v>
      </c>
    </row>
    <row r="89" spans="1:12" ht="18" hidden="1" customHeight="1" x14ac:dyDescent="0.2">
      <c r="A89" s="11">
        <f>IF(INPUT!M84="","",INPUT!M84)</f>
        <v>45874</v>
      </c>
      <c r="B89" s="11">
        <f>IF(INPUT!M84="","",INPUT!M84-WEEKDAY(INPUT!M84,2)+1)</f>
        <v>45873</v>
      </c>
      <c r="C89" s="20">
        <f>IFERROR(_xlfn.ISOWEEKNUM(INPUT!M84),"")</f>
        <v>32</v>
      </c>
      <c r="D89" s="20">
        <f>IFERROR(YEAR(INPUT!M84),"")</f>
        <v>2025</v>
      </c>
      <c r="E89" t="str">
        <f>IF(INPUT!O84="","",INPUT!O84)</f>
        <v>DANI</v>
      </c>
      <c r="F89" t="str">
        <f>IF(INPUT!N84="","",INPUT!N84)</f>
        <v>M</v>
      </c>
      <c r="G89" t="str" cm="1">
        <f t="array" ref="G89">IFERROR(VLOOKUP(INPUT!M84&amp;INPUT!N84,CHOOSE({1,2},INPUT!$A$3:$A$5000&amp;INPUT!$C$3:$C$5000,INPUT!$F$3:$F$5000),2,FALSE),"")</f>
        <v>PRE-TEMPORADA</v>
      </c>
      <c r="H89" t="str" cm="1">
        <f t="array" ref="H89">IFERROR(VLOOKUP(INPUT!M84&amp;INPUT!N84,CHOOSE({1,2},INPUT!$A$3:$A$5000&amp;INPUT!$C$3:$C$5000,INPUT!$D$3:$D$5000),2,FALSE),"")</f>
        <v>FISICO</v>
      </c>
      <c r="I89" s="46">
        <f>IF(INPUT!P84="","",INPUT!P84)</f>
        <v>93.5</v>
      </c>
      <c r="J89" s="46">
        <f>IF(INPUT!Q84="","",INPUT!Q84)</f>
        <v>92.6</v>
      </c>
      <c r="K89" s="46">
        <f>IFERROR(IF(OR(INPUT!P84="",INPUT!Q84=""),"",INPUT!P84-INPUT!Q84),"")</f>
        <v>0.90000000000000568</v>
      </c>
      <c r="L89" s="48">
        <f>IFERROR(IF(OR(INPUT!P84="",INPUT!Q84="",INPUT!P84=0),"",(INPUT!P84-INPUT!Q84)/INPUT!P84),"")</f>
        <v>9.6256684491979223E-3</v>
      </c>
    </row>
    <row r="90" spans="1:12" ht="18" hidden="1" customHeight="1" x14ac:dyDescent="0.2">
      <c r="A90" s="11">
        <f>IF(INPUT!M85="","",INPUT!M85)</f>
        <v>45874</v>
      </c>
      <c r="B90" s="11">
        <f>IF(INPUT!M85="","",INPUT!M85-WEEKDAY(INPUT!M85,2)+1)</f>
        <v>45873</v>
      </c>
      <c r="C90" s="20">
        <f>IFERROR(_xlfn.ISOWEEKNUM(INPUT!M85),"")</f>
        <v>32</v>
      </c>
      <c r="D90" s="20">
        <f>IFERROR(YEAR(INPUT!M85),"")</f>
        <v>2025</v>
      </c>
      <c r="E90" t="str">
        <f>IF(INPUT!O85="","",INPUT!O85)</f>
        <v>JAIME</v>
      </c>
      <c r="F90" t="str">
        <f>IF(INPUT!N85="","",INPUT!N85)</f>
        <v>M</v>
      </c>
      <c r="G90" t="str" cm="1">
        <f t="array" ref="G90">IFERROR(VLOOKUP(INPUT!M85&amp;INPUT!N85,CHOOSE({1,2},INPUT!$A$3:$A$5000&amp;INPUT!$C$3:$C$5000,INPUT!$F$3:$F$5000),2,FALSE),"")</f>
        <v>PRE-TEMPORADA</v>
      </c>
      <c r="H90" t="str" cm="1">
        <f t="array" ref="H90">IFERROR(VLOOKUP(INPUT!M85&amp;INPUT!N85,CHOOSE({1,2},INPUT!$A$3:$A$5000&amp;INPUT!$C$3:$C$5000,INPUT!$D$3:$D$5000),2,FALSE),"")</f>
        <v>FISICO</v>
      </c>
      <c r="I90" s="46">
        <f>IF(INPUT!P85="","",INPUT!P85)</f>
        <v>75.7</v>
      </c>
      <c r="J90" s="46">
        <f>IF(INPUT!Q85="","",INPUT!Q85)</f>
        <v>74.599999999999994</v>
      </c>
      <c r="K90" s="46">
        <f>IFERROR(IF(OR(INPUT!P85="",INPUT!Q85=""),"",INPUT!P85-INPUT!Q85),"")</f>
        <v>1.1000000000000085</v>
      </c>
      <c r="L90" s="48">
        <f>IFERROR(IF(OR(INPUT!P85="",INPUT!Q85="",INPUT!P85=0),"",(INPUT!P85-INPUT!Q85)/INPUT!P85),"")</f>
        <v>1.4531043593130892E-2</v>
      </c>
    </row>
    <row r="91" spans="1:12" ht="18" hidden="1" customHeight="1" x14ac:dyDescent="0.2">
      <c r="A91" s="11">
        <f>IF(INPUT!M86="","",INPUT!M86)</f>
        <v>45875</v>
      </c>
      <c r="B91" s="11">
        <f>IF(INPUT!M86="","",INPUT!M86-WEEKDAY(INPUT!M86,2)+1)</f>
        <v>45873</v>
      </c>
      <c r="C91" s="20">
        <f>IFERROR(_xlfn.ISOWEEKNUM(INPUT!M86),"")</f>
        <v>32</v>
      </c>
      <c r="D91" s="20">
        <f>IFERROR(YEAR(INPUT!M86),"")</f>
        <v>2025</v>
      </c>
      <c r="E91" t="str">
        <f>IF(INPUT!O86="","",INPUT!O86)</f>
        <v>HERRERO</v>
      </c>
      <c r="F91" t="str">
        <f>IF(INPUT!N86="","",INPUT!N86)</f>
        <v>M</v>
      </c>
      <c r="G91" t="str" cm="1">
        <f t="array" ref="G91">IFERROR(VLOOKUP(INPUT!M86&amp;INPUT!N86,CHOOSE({1,2},INPUT!$A$3:$A$5000&amp;INPUT!$C$3:$C$5000,INPUT!$F$3:$F$5000),2,FALSE),"")</f>
        <v>PRE-TEMPORADA</v>
      </c>
      <c r="H91" t="str" cm="1">
        <f t="array" ref="H91">IFERROR(VLOOKUP(INPUT!M86&amp;INPUT!N86,CHOOSE({1,2},INPUT!$A$3:$A$5000&amp;INPUT!$C$3:$C$5000,INPUT!$D$3:$D$5000),2,FALSE),"")</f>
        <v>TEC-TAC</v>
      </c>
      <c r="I91" s="46">
        <f>IF(INPUT!P86="","",INPUT!P86)</f>
        <v>77.3</v>
      </c>
      <c r="J91" s="46">
        <f>IF(INPUT!Q86="","",INPUT!Q86)</f>
        <v>76.5</v>
      </c>
      <c r="K91" s="46">
        <f>IFERROR(IF(OR(INPUT!P86="",INPUT!Q86=""),"",INPUT!P86-INPUT!Q86),"")</f>
        <v>0.79999999999999716</v>
      </c>
      <c r="L91" s="48">
        <f>IFERROR(IF(OR(INPUT!P86="",INPUT!Q86="",INPUT!P86=0),"",(INPUT!P86-INPUT!Q86)/INPUT!P86),"")</f>
        <v>1.0349288486416523E-2</v>
      </c>
    </row>
    <row r="92" spans="1:12" ht="18" hidden="1" customHeight="1" x14ac:dyDescent="0.2">
      <c r="A92" s="11">
        <f>IF(INPUT!M87="","",INPUT!M87)</f>
        <v>45875</v>
      </c>
      <c r="B92" s="11">
        <f>IF(INPUT!M87="","",INPUT!M87-WEEKDAY(INPUT!M87,2)+1)</f>
        <v>45873</v>
      </c>
      <c r="C92" s="20">
        <f>IFERROR(_xlfn.ISOWEEKNUM(INPUT!M87),"")</f>
        <v>32</v>
      </c>
      <c r="D92" s="20">
        <f>IFERROR(YEAR(INPUT!M87),"")</f>
        <v>2025</v>
      </c>
      <c r="E92" t="str">
        <f>IF(INPUT!O87="","",INPUT!O87)</f>
        <v>HERRERO</v>
      </c>
      <c r="F92" t="str">
        <f>IF(INPUT!N87="","",INPUT!N87)</f>
        <v>T</v>
      </c>
      <c r="G92" t="str" cm="1">
        <f t="array" ref="G92">IFERROR(VLOOKUP(INPUT!M87&amp;INPUT!N87,CHOOSE({1,2},INPUT!$A$3:$A$5000&amp;INPUT!$C$3:$C$5000,INPUT!$F$3:$F$5000),2,FALSE),"")</f>
        <v>PRE-TEMPORADA</v>
      </c>
      <c r="H92" t="str" cm="1">
        <f t="array" ref="H92">IFERROR(VLOOKUP(INPUT!M87&amp;INPUT!N87,CHOOSE({1,2},INPUT!$A$3:$A$5000&amp;INPUT!$C$3:$C$5000,INPUT!$D$3:$D$5000),2,FALSE),"")</f>
        <v>TEC-TAC</v>
      </c>
      <c r="I92" s="46">
        <f>IF(INPUT!P87="","",INPUT!P87)</f>
        <v>77</v>
      </c>
      <c r="J92" s="46">
        <f>IF(INPUT!Q87="","",INPUT!Q87)</f>
        <v>76.599999999999994</v>
      </c>
      <c r="K92" s="46">
        <f>IFERROR(IF(OR(INPUT!P87="",INPUT!Q87=""),"",INPUT!P87-INPUT!Q87),"")</f>
        <v>0.40000000000000568</v>
      </c>
      <c r="L92" s="48">
        <f>IFERROR(IF(OR(INPUT!P87="",INPUT!Q87="",INPUT!P87=0),"",(INPUT!P87-INPUT!Q87)/INPUT!P87),"")</f>
        <v>5.1948051948052685E-3</v>
      </c>
    </row>
    <row r="93" spans="1:12" ht="18" hidden="1" customHeight="1" x14ac:dyDescent="0.2">
      <c r="A93" s="11">
        <f>IF(INPUT!M88="","",INPUT!M88)</f>
        <v>45875</v>
      </c>
      <c r="B93" s="11">
        <f>IF(INPUT!M88="","",INPUT!M88-WEEKDAY(INPUT!M88,2)+1)</f>
        <v>45873</v>
      </c>
      <c r="C93" s="20">
        <f>IFERROR(_xlfn.ISOWEEKNUM(INPUT!M88),"")</f>
        <v>32</v>
      </c>
      <c r="D93" s="20">
        <f>IFERROR(YEAR(INPUT!M88),"")</f>
        <v>2025</v>
      </c>
      <c r="E93" t="str">
        <f>IF(INPUT!O88="","",INPUT!O88)</f>
        <v>GARCIA</v>
      </c>
      <c r="F93" t="str">
        <f>IF(INPUT!N88="","",INPUT!N88)</f>
        <v>M</v>
      </c>
      <c r="G93" t="str" cm="1">
        <f t="array" ref="G93">IFERROR(VLOOKUP(INPUT!M88&amp;INPUT!N88,CHOOSE({1,2},INPUT!$A$3:$A$5000&amp;INPUT!$C$3:$C$5000,INPUT!$F$3:$F$5000),2,FALSE),"")</f>
        <v>PRE-TEMPORADA</v>
      </c>
      <c r="H93" t="str" cm="1">
        <f t="array" ref="H93">IFERROR(VLOOKUP(INPUT!M88&amp;INPUT!N88,CHOOSE({1,2},INPUT!$A$3:$A$5000&amp;INPUT!$C$3:$C$5000,INPUT!$D$3:$D$5000),2,FALSE),"")</f>
        <v>TEC-TAC</v>
      </c>
      <c r="I93" s="46">
        <f>IF(INPUT!P88="","",INPUT!P88)</f>
        <v>78.900000000000006</v>
      </c>
      <c r="J93" s="46">
        <f>IF(INPUT!Q88="","",INPUT!Q88)</f>
        <v>78.7</v>
      </c>
      <c r="K93" s="46">
        <f>IFERROR(IF(OR(INPUT!P88="",INPUT!Q88=""),"",INPUT!P88-INPUT!Q88),"")</f>
        <v>0.20000000000000284</v>
      </c>
      <c r="L93" s="48">
        <f>IFERROR(IF(OR(INPUT!P88="",INPUT!Q88="",INPUT!P88=0),"",(INPUT!P88-INPUT!Q88)/INPUT!P88),"")</f>
        <v>2.5348542458808977E-3</v>
      </c>
    </row>
    <row r="94" spans="1:12" ht="18" hidden="1" customHeight="1" x14ac:dyDescent="0.2">
      <c r="A94" s="11">
        <f>IF(INPUT!M89="","",INPUT!M89)</f>
        <v>45875</v>
      </c>
      <c r="B94" s="11">
        <f>IF(INPUT!M89="","",INPUT!M89-WEEKDAY(INPUT!M89,2)+1)</f>
        <v>45873</v>
      </c>
      <c r="C94" s="20">
        <f>IFERROR(_xlfn.ISOWEEKNUM(INPUT!M89),"")</f>
        <v>32</v>
      </c>
      <c r="D94" s="20">
        <f>IFERROR(YEAR(INPUT!M89),"")</f>
        <v>2025</v>
      </c>
      <c r="E94" t="str">
        <f>IF(INPUT!O89="","",INPUT!O89)</f>
        <v>GARCIA</v>
      </c>
      <c r="F94" t="str">
        <f>IF(INPUT!N89="","",INPUT!N89)</f>
        <v>T</v>
      </c>
      <c r="G94" t="str" cm="1">
        <f t="array" ref="G94">IFERROR(VLOOKUP(INPUT!M89&amp;INPUT!N89,CHOOSE({1,2},INPUT!$A$3:$A$5000&amp;INPUT!$C$3:$C$5000,INPUT!$F$3:$F$5000),2,FALSE),"")</f>
        <v>PRE-TEMPORADA</v>
      </c>
      <c r="H94" t="str" cm="1">
        <f t="array" ref="H94">IFERROR(VLOOKUP(INPUT!M89&amp;INPUT!N89,CHOOSE({1,2},INPUT!$A$3:$A$5000&amp;INPUT!$C$3:$C$5000,INPUT!$D$3:$D$5000),2,FALSE),"")</f>
        <v>TEC-TAC</v>
      </c>
      <c r="I94" s="46">
        <f>IF(INPUT!P89="","",INPUT!P89)</f>
        <v>78.900000000000006</v>
      </c>
      <c r="J94" s="46">
        <f>IF(INPUT!Q89="","",INPUT!Q89)</f>
        <v>78.7</v>
      </c>
      <c r="K94" s="46">
        <f>IFERROR(IF(OR(INPUT!P89="",INPUT!Q89=""),"",INPUT!P89-INPUT!Q89),"")</f>
        <v>0.20000000000000284</v>
      </c>
      <c r="L94" s="48">
        <f>IFERROR(IF(OR(INPUT!P89="",INPUT!Q89="",INPUT!P89=0),"",(INPUT!P89-INPUT!Q89)/INPUT!P89),"")</f>
        <v>2.5348542458808977E-3</v>
      </c>
    </row>
    <row r="95" spans="1:12" ht="18" hidden="1" customHeight="1" x14ac:dyDescent="0.2">
      <c r="A95" s="11">
        <f>IF(INPUT!M90="","",INPUT!M90)</f>
        <v>45875</v>
      </c>
      <c r="B95" s="11">
        <f>IF(INPUT!M90="","",INPUT!M90-WEEKDAY(INPUT!M90,2)+1)</f>
        <v>45873</v>
      </c>
      <c r="C95" s="20">
        <f>IFERROR(_xlfn.ISOWEEKNUM(INPUT!M90),"")</f>
        <v>32</v>
      </c>
      <c r="D95" s="20">
        <f>IFERROR(YEAR(INPUT!M90),"")</f>
        <v>2025</v>
      </c>
      <c r="E95" t="str">
        <f>IF(INPUT!O90="","",INPUT!O90)</f>
        <v>OSCAR</v>
      </c>
      <c r="F95" t="str">
        <f>IF(INPUT!N90="","",INPUT!N90)</f>
        <v>M</v>
      </c>
      <c r="G95" t="str" cm="1">
        <f t="array" ref="G95">IFERROR(VLOOKUP(INPUT!M90&amp;INPUT!N90,CHOOSE({1,2},INPUT!$A$3:$A$5000&amp;INPUT!$C$3:$C$5000,INPUT!$F$3:$F$5000),2,FALSE),"")</f>
        <v>PRE-TEMPORADA</v>
      </c>
      <c r="H95" t="str" cm="1">
        <f t="array" ref="H95">IFERROR(VLOOKUP(INPUT!M90&amp;INPUT!N90,CHOOSE({1,2},INPUT!$A$3:$A$5000&amp;INPUT!$C$3:$C$5000,INPUT!$D$3:$D$5000),2,FALSE),"")</f>
        <v>TEC-TAC</v>
      </c>
      <c r="I95" s="46">
        <f>IF(INPUT!P90="","",INPUT!P90)</f>
        <v>91</v>
      </c>
      <c r="J95" s="46">
        <f>IF(INPUT!Q90="","",INPUT!Q90)</f>
        <v>89.7</v>
      </c>
      <c r="K95" s="46">
        <f>IFERROR(IF(OR(INPUT!P90="",INPUT!Q90=""),"",INPUT!P90-INPUT!Q90),"")</f>
        <v>1.2999999999999972</v>
      </c>
      <c r="L95" s="48">
        <f>IFERROR(IF(OR(INPUT!P90="",INPUT!Q90="",INPUT!P90=0),"",(INPUT!P90-INPUT!Q90)/INPUT!P90),"")</f>
        <v>1.4285714285714254E-2</v>
      </c>
    </row>
    <row r="96" spans="1:12" ht="18" hidden="1" customHeight="1" x14ac:dyDescent="0.2">
      <c r="A96" s="11">
        <f>IF(INPUT!M91="","",INPUT!M91)</f>
        <v>45875</v>
      </c>
      <c r="B96" s="11">
        <f>IF(INPUT!M91="","",INPUT!M91-WEEKDAY(INPUT!M91,2)+1)</f>
        <v>45873</v>
      </c>
      <c r="C96" s="20">
        <f>IFERROR(_xlfn.ISOWEEKNUM(INPUT!M91),"")</f>
        <v>32</v>
      </c>
      <c r="D96" s="20">
        <f>IFERROR(YEAR(INPUT!M91),"")</f>
        <v>2025</v>
      </c>
      <c r="E96" t="str">
        <f>IF(INPUT!O91="","",INPUT!O91)</f>
        <v>OSCAR</v>
      </c>
      <c r="F96" t="str">
        <f>IF(INPUT!N91="","",INPUT!N91)</f>
        <v>T</v>
      </c>
      <c r="G96" t="str" cm="1">
        <f t="array" ref="G96">IFERROR(VLOOKUP(INPUT!M91&amp;INPUT!N91,CHOOSE({1,2},INPUT!$A$3:$A$5000&amp;INPUT!$C$3:$C$5000,INPUT!$F$3:$F$5000),2,FALSE),"")</f>
        <v>PRE-TEMPORADA</v>
      </c>
      <c r="H96" t="str" cm="1">
        <f t="array" ref="H96">IFERROR(VLOOKUP(INPUT!M91&amp;INPUT!N91,CHOOSE({1,2},INPUT!$A$3:$A$5000&amp;INPUT!$C$3:$C$5000,INPUT!$D$3:$D$5000),2,FALSE),"")</f>
        <v>TEC-TAC</v>
      </c>
      <c r="I96" s="46">
        <f>IF(INPUT!P91="","",INPUT!P91)</f>
        <v>89.9</v>
      </c>
      <c r="J96" s="46">
        <f>IF(INPUT!Q91="","",INPUT!Q91)</f>
        <v>89.9</v>
      </c>
      <c r="K96" s="46">
        <f>IFERROR(IF(OR(INPUT!P91="",INPUT!Q91=""),"",INPUT!P91-INPUT!Q91),"")</f>
        <v>0</v>
      </c>
      <c r="L96" s="48">
        <f>IFERROR(IF(OR(INPUT!P91="",INPUT!Q91="",INPUT!P91=0),"",(INPUT!P91-INPUT!Q91)/INPUT!P91),"")</f>
        <v>0</v>
      </c>
    </row>
    <row r="97" spans="1:12" ht="18" hidden="1" customHeight="1" x14ac:dyDescent="0.2">
      <c r="A97" s="11">
        <f>IF(INPUT!M92="","",INPUT!M92)</f>
        <v>45875</v>
      </c>
      <c r="B97" s="11">
        <f>IF(INPUT!M92="","",INPUT!M92-WEEKDAY(INPUT!M92,2)+1)</f>
        <v>45873</v>
      </c>
      <c r="C97" s="20">
        <f>IFERROR(_xlfn.ISOWEEKNUM(INPUT!M92),"")</f>
        <v>32</v>
      </c>
      <c r="D97" s="20">
        <f>IFERROR(YEAR(INPUT!M92),"")</f>
        <v>2025</v>
      </c>
      <c r="E97" t="str">
        <f>IF(INPUT!O92="","",INPUT!O92)</f>
        <v>CECILIO</v>
      </c>
      <c r="F97" t="str">
        <f>IF(INPUT!N92="","",INPUT!N92)</f>
        <v>M</v>
      </c>
      <c r="G97" t="str" cm="1">
        <f t="array" ref="G97">IFERROR(VLOOKUP(INPUT!M92&amp;INPUT!N92,CHOOSE({1,2},INPUT!$A$3:$A$5000&amp;INPUT!$C$3:$C$5000,INPUT!$F$3:$F$5000),2,FALSE),"")</f>
        <v>PRE-TEMPORADA</v>
      </c>
      <c r="H97" t="str" cm="1">
        <f t="array" ref="H97">IFERROR(VLOOKUP(INPUT!M92&amp;INPUT!N92,CHOOSE({1,2},INPUT!$A$3:$A$5000&amp;INPUT!$C$3:$C$5000,INPUT!$D$3:$D$5000),2,FALSE),"")</f>
        <v>TEC-TAC</v>
      </c>
      <c r="I97" s="46">
        <f>IF(INPUT!P92="","",INPUT!P92)</f>
        <v>69</v>
      </c>
      <c r="J97" s="46">
        <f>IF(INPUT!Q92="","",INPUT!Q92)</f>
        <v>68.7</v>
      </c>
      <c r="K97" s="46">
        <f>IFERROR(IF(OR(INPUT!P92="",INPUT!Q92=""),"",INPUT!P92-INPUT!Q92),"")</f>
        <v>0.29999999999999716</v>
      </c>
      <c r="L97" s="48">
        <f>IFERROR(IF(OR(INPUT!P92="",INPUT!Q92="",INPUT!P92=0),"",(INPUT!P92-INPUT!Q92)/INPUT!P92),"")</f>
        <v>4.3478260869564802E-3</v>
      </c>
    </row>
    <row r="98" spans="1:12" ht="18" hidden="1" customHeight="1" x14ac:dyDescent="0.2">
      <c r="A98" s="11">
        <f>IF(INPUT!M93="","",INPUT!M93)</f>
        <v>45875</v>
      </c>
      <c r="B98" s="11">
        <f>IF(INPUT!M93="","",INPUT!M93-WEEKDAY(INPUT!M93,2)+1)</f>
        <v>45873</v>
      </c>
      <c r="C98" s="20">
        <f>IFERROR(_xlfn.ISOWEEKNUM(INPUT!M93),"")</f>
        <v>32</v>
      </c>
      <c r="D98" s="20">
        <f>IFERROR(YEAR(INPUT!M93),"")</f>
        <v>2025</v>
      </c>
      <c r="E98" t="str">
        <f>IF(INPUT!O93="","",INPUT!O93)</f>
        <v>CECILIO</v>
      </c>
      <c r="F98" t="str">
        <f>IF(INPUT!N93="","",INPUT!N93)</f>
        <v>T</v>
      </c>
      <c r="G98" t="str" cm="1">
        <f t="array" ref="G98">IFERROR(VLOOKUP(INPUT!M93&amp;INPUT!N93,CHOOSE({1,2},INPUT!$A$3:$A$5000&amp;INPUT!$C$3:$C$5000,INPUT!$F$3:$F$5000),2,FALSE),"")</f>
        <v>PRE-TEMPORADA</v>
      </c>
      <c r="H98" t="str" cm="1">
        <f t="array" ref="H98">IFERROR(VLOOKUP(INPUT!M93&amp;INPUT!N93,CHOOSE({1,2},INPUT!$A$3:$A$5000&amp;INPUT!$C$3:$C$5000,INPUT!$D$3:$D$5000),2,FALSE),"")</f>
        <v>TEC-TAC</v>
      </c>
      <c r="I98" s="46">
        <f>IF(INPUT!P93="","",INPUT!P93)</f>
        <v>69</v>
      </c>
      <c r="J98" s="46">
        <f>IF(INPUT!Q93="","",INPUT!Q93)</f>
        <v>68.900000000000006</v>
      </c>
      <c r="K98" s="46">
        <f>IFERROR(IF(OR(INPUT!P93="",INPUT!Q93=""),"",INPUT!P93-INPUT!Q93),"")</f>
        <v>9.9999999999994316E-2</v>
      </c>
      <c r="L98" s="48">
        <f>IFERROR(IF(OR(INPUT!P93="",INPUT!Q93="",INPUT!P93=0),"",(INPUT!P93-INPUT!Q93)/INPUT!P93),"")</f>
        <v>1.4492753623187582E-3</v>
      </c>
    </row>
    <row r="99" spans="1:12" ht="18" hidden="1" customHeight="1" x14ac:dyDescent="0.2">
      <c r="A99" s="11">
        <f>IF(INPUT!M94="","",INPUT!M94)</f>
        <v>45875</v>
      </c>
      <c r="B99" s="11">
        <f>IF(INPUT!M94="","",INPUT!M94-WEEKDAY(INPUT!M94,2)+1)</f>
        <v>45873</v>
      </c>
      <c r="C99" s="20">
        <f>IFERROR(_xlfn.ISOWEEKNUM(INPUT!M94),"")</f>
        <v>32</v>
      </c>
      <c r="D99" s="20">
        <f>IFERROR(YEAR(INPUT!M94),"")</f>
        <v>2025</v>
      </c>
      <c r="E99" t="str">
        <f>IF(INPUT!O94="","",INPUT!O94)</f>
        <v>CHAGUINHA</v>
      </c>
      <c r="F99" t="str">
        <f>IF(INPUT!N94="","",INPUT!N94)</f>
        <v>M</v>
      </c>
      <c r="G99" t="str" cm="1">
        <f t="array" ref="G99">IFERROR(VLOOKUP(INPUT!M94&amp;INPUT!N94,CHOOSE({1,2},INPUT!$A$3:$A$5000&amp;INPUT!$C$3:$C$5000,INPUT!$F$3:$F$5000),2,FALSE),"")</f>
        <v>PRE-TEMPORADA</v>
      </c>
      <c r="H99" t="str" cm="1">
        <f t="array" ref="H99">IFERROR(VLOOKUP(INPUT!M94&amp;INPUT!N94,CHOOSE({1,2},INPUT!$A$3:$A$5000&amp;INPUT!$C$3:$C$5000,INPUT!$D$3:$D$5000),2,FALSE),"")</f>
        <v>TEC-TAC</v>
      </c>
      <c r="I99" s="46">
        <f>IF(INPUT!P94="","",INPUT!P94)</f>
        <v>68.099999999999994</v>
      </c>
      <c r="J99" s="46">
        <f>IF(INPUT!Q94="","",INPUT!Q94)</f>
        <v>67.5</v>
      </c>
      <c r="K99" s="46">
        <f>IFERROR(IF(OR(INPUT!P94="",INPUT!Q94=""),"",INPUT!P94-INPUT!Q94),"")</f>
        <v>0.59999999999999432</v>
      </c>
      <c r="L99" s="48">
        <f>IFERROR(IF(OR(INPUT!P94="",INPUT!Q94="",INPUT!P94=0),"",(INPUT!P94-INPUT!Q94)/INPUT!P94),"")</f>
        <v>8.8105726872245872E-3</v>
      </c>
    </row>
    <row r="100" spans="1:12" ht="18" customHeight="1" x14ac:dyDescent="0.2">
      <c r="A100" s="11">
        <f>IF(INPUT!M95="","",INPUT!M95)</f>
        <v>45875</v>
      </c>
      <c r="B100" s="11">
        <f>IF(INPUT!M95="","",INPUT!M95-WEEKDAY(INPUT!M95,2)+1)</f>
        <v>45873</v>
      </c>
      <c r="C100" s="20">
        <f>IFERROR(_xlfn.ISOWEEKNUM(INPUT!M95),"")</f>
        <v>32</v>
      </c>
      <c r="D100" s="20">
        <f>IFERROR(YEAR(INPUT!M95),"")</f>
        <v>2025</v>
      </c>
      <c r="E100" t="str">
        <f>IF(INPUT!O95="","",INPUT!O95)</f>
        <v>CHAGUINHA</v>
      </c>
      <c r="F100" t="str">
        <f>IF(INPUT!N95="","",INPUT!N95)</f>
        <v>T</v>
      </c>
      <c r="G100" t="str" cm="1">
        <f t="array" ref="G100">IFERROR(VLOOKUP(INPUT!M95&amp;INPUT!N95,CHOOSE({1,2},INPUT!$A$3:$A$5000&amp;INPUT!$C$3:$C$5000,INPUT!$F$3:$F$5000),2,FALSE),"")</f>
        <v>PRE-TEMPORADA</v>
      </c>
      <c r="H100" t="str" cm="1">
        <f t="array" ref="H100">IFERROR(VLOOKUP(INPUT!M95&amp;INPUT!N95,CHOOSE({1,2},INPUT!$A$3:$A$5000&amp;INPUT!$C$3:$C$5000,INPUT!$D$3:$D$5000),2,FALSE),"")</f>
        <v>TEC-TAC</v>
      </c>
      <c r="I100" s="46">
        <f>IF(INPUT!P95="","",INPUT!P95)</f>
        <v>68</v>
      </c>
      <c r="J100" s="46">
        <f>IF(INPUT!Q95="","",INPUT!Q95)</f>
        <v>67.5</v>
      </c>
      <c r="K100" s="46">
        <f>IFERROR(IF(OR(INPUT!P95="",INPUT!Q95=""),"",INPUT!P95-INPUT!Q95),"")</f>
        <v>0.5</v>
      </c>
      <c r="L100" s="48">
        <f>IFERROR(IF(OR(INPUT!P95="",INPUT!Q95="",INPUT!P95=0),"",(INPUT!P95-INPUT!Q95)/INPUT!P95),"")</f>
        <v>7.3529411764705881E-3</v>
      </c>
    </row>
    <row r="101" spans="1:12" ht="18" customHeight="1" x14ac:dyDescent="0.2">
      <c r="A101" s="11">
        <f>IF(INPUT!M96="","",INPUT!M96)</f>
        <v>45875</v>
      </c>
      <c r="B101" s="11">
        <f>IF(INPUT!M96="","",INPUT!M96-WEEKDAY(INPUT!M96,2)+1)</f>
        <v>45873</v>
      </c>
      <c r="C101" s="20">
        <f>IFERROR(_xlfn.ISOWEEKNUM(INPUT!M96),"")</f>
        <v>32</v>
      </c>
      <c r="D101" s="20">
        <f>IFERROR(YEAR(INPUT!M96),"")</f>
        <v>2025</v>
      </c>
      <c r="E101" t="str">
        <f>IF(INPUT!O96="","",INPUT!O96)</f>
        <v>RAUL</v>
      </c>
      <c r="F101" t="str">
        <f>IF(INPUT!N96="","",INPUT!N96)</f>
        <v>M</v>
      </c>
      <c r="G101" t="str" cm="1">
        <f t="array" ref="G101">IFERROR(VLOOKUP(INPUT!M96&amp;INPUT!N96,CHOOSE({1,2},INPUT!$A$3:$A$5000&amp;INPUT!$C$3:$C$5000,INPUT!$F$3:$F$5000),2,FALSE),"")</f>
        <v>PRE-TEMPORADA</v>
      </c>
      <c r="H101" t="str" cm="1">
        <f t="array" ref="H101">IFERROR(VLOOKUP(INPUT!M96&amp;INPUT!N96,CHOOSE({1,2},INPUT!$A$3:$A$5000&amp;INPUT!$C$3:$C$5000,INPUT!$D$3:$D$5000),2,FALSE),"")</f>
        <v>TEC-TAC</v>
      </c>
      <c r="I101" s="46">
        <f>IF(INPUT!P96="","",INPUT!P96)</f>
        <v>79.3</v>
      </c>
      <c r="J101" s="46">
        <f>IF(INPUT!Q96="","",INPUT!Q96)</f>
        <v>79.400000000000006</v>
      </c>
      <c r="K101" s="46">
        <f>IFERROR(IF(OR(INPUT!P96="",INPUT!Q96=""),"",INPUT!P96-INPUT!Q96),"")</f>
        <v>-0.10000000000000853</v>
      </c>
      <c r="L101" s="48">
        <f>IFERROR(IF(OR(INPUT!P96="",INPUT!Q96="",INPUT!P96=0),"",(INPUT!P96-INPUT!Q96)/INPUT!P96),"")</f>
        <v>-1.2610340479194014E-3</v>
      </c>
    </row>
    <row r="102" spans="1:12" ht="18" customHeight="1" x14ac:dyDescent="0.2">
      <c r="A102" s="11">
        <f>IF(INPUT!M97="","",INPUT!M97)</f>
        <v>45875</v>
      </c>
      <c r="B102" s="11">
        <f>IF(INPUT!M97="","",INPUT!M97-WEEKDAY(INPUT!M97,2)+1)</f>
        <v>45873</v>
      </c>
      <c r="C102" s="20">
        <f>IFERROR(_xlfn.ISOWEEKNUM(INPUT!M97),"")</f>
        <v>32</v>
      </c>
      <c r="D102" s="20">
        <f>IFERROR(YEAR(INPUT!M97),"")</f>
        <v>2025</v>
      </c>
      <c r="E102" t="str">
        <f>IF(INPUT!O97="","",INPUT!O97)</f>
        <v>RAUL</v>
      </c>
      <c r="F102" t="str">
        <f>IF(INPUT!N97="","",INPUT!N97)</f>
        <v>T</v>
      </c>
      <c r="G102" t="str" cm="1">
        <f t="array" ref="G102">IFERROR(VLOOKUP(INPUT!M97&amp;INPUT!N97,CHOOSE({1,2},INPUT!$A$3:$A$5000&amp;INPUT!$C$3:$C$5000,INPUT!$F$3:$F$5000),2,FALSE),"")</f>
        <v>PRE-TEMPORADA</v>
      </c>
      <c r="H102" t="str" cm="1">
        <f t="array" ref="H102">IFERROR(VLOOKUP(INPUT!M97&amp;INPUT!N97,CHOOSE({1,2},INPUT!$A$3:$A$5000&amp;INPUT!$C$3:$C$5000,INPUT!$D$3:$D$5000),2,FALSE),"")</f>
        <v>TEC-TAC</v>
      </c>
      <c r="I102" s="46">
        <f>IF(INPUT!P97="","",INPUT!P97)</f>
        <v>79.2</v>
      </c>
      <c r="J102" s="46">
        <f>IF(INPUT!Q97="","",INPUT!Q97)</f>
        <v>79.3</v>
      </c>
      <c r="K102" s="46">
        <f>IFERROR(IF(OR(INPUT!P97="",INPUT!Q97=""),"",INPUT!P97-INPUT!Q97),"")</f>
        <v>-9.9999999999994316E-2</v>
      </c>
      <c r="L102" s="48">
        <f>IFERROR(IF(OR(INPUT!P97="",INPUT!Q97="",INPUT!P97=0),"",(INPUT!P97-INPUT!Q97)/INPUT!P97),"")</f>
        <v>-1.2626262626261907E-3</v>
      </c>
    </row>
    <row r="103" spans="1:12" ht="18" customHeight="1" x14ac:dyDescent="0.2">
      <c r="A103" s="11">
        <f>IF(INPUT!M98="","",INPUT!M98)</f>
        <v>45875</v>
      </c>
      <c r="B103" s="11">
        <f>IF(INPUT!M98="","",INPUT!M98-WEEKDAY(INPUT!M98,2)+1)</f>
        <v>45873</v>
      </c>
      <c r="C103" s="20">
        <f>IFERROR(_xlfn.ISOWEEKNUM(INPUT!M98),"")</f>
        <v>32</v>
      </c>
      <c r="D103" s="20">
        <f>IFERROR(YEAR(INPUT!M98),"")</f>
        <v>2025</v>
      </c>
      <c r="E103" t="str">
        <f>IF(INPUT!O98="","",INPUT!O98)</f>
        <v>HARRISON</v>
      </c>
      <c r="F103" t="str">
        <f>IF(INPUT!N98="","",INPUT!N98)</f>
        <v>M</v>
      </c>
      <c r="G103" t="str" cm="1">
        <f t="array" ref="G103">IFERROR(VLOOKUP(INPUT!M98&amp;INPUT!N98,CHOOSE({1,2},INPUT!$A$3:$A$5000&amp;INPUT!$C$3:$C$5000,INPUT!$F$3:$F$5000),2,FALSE),"")</f>
        <v>PRE-TEMPORADA</v>
      </c>
      <c r="H103" t="str" cm="1">
        <f t="array" ref="H103">IFERROR(VLOOKUP(INPUT!M98&amp;INPUT!N98,CHOOSE({1,2},INPUT!$A$3:$A$5000&amp;INPUT!$C$3:$C$5000,INPUT!$D$3:$D$5000),2,FALSE),"")</f>
        <v>TEC-TAC</v>
      </c>
      <c r="I103" s="46">
        <f>IF(INPUT!P98="","",INPUT!P98)</f>
        <v>71.599999999999994</v>
      </c>
      <c r="J103" s="46">
        <f>IF(INPUT!Q98="","",INPUT!Q98)</f>
        <v>71.900000000000006</v>
      </c>
      <c r="K103" s="46">
        <f>IFERROR(IF(OR(INPUT!P98="",INPUT!Q98=""),"",INPUT!P98-INPUT!Q98),"")</f>
        <v>-0.30000000000001137</v>
      </c>
      <c r="L103" s="48">
        <f>IFERROR(IF(OR(INPUT!P98="",INPUT!Q98="",INPUT!P98=0),"",(INPUT!P98-INPUT!Q98)/INPUT!P98),"")</f>
        <v>-4.1899441340783718E-3</v>
      </c>
    </row>
    <row r="104" spans="1:12" ht="18" customHeight="1" x14ac:dyDescent="0.2">
      <c r="A104" s="11">
        <f>IF(INPUT!M99="","",INPUT!M99)</f>
        <v>45875</v>
      </c>
      <c r="B104" s="11">
        <f>IF(INPUT!M99="","",INPUT!M99-WEEKDAY(INPUT!M99,2)+1)</f>
        <v>45873</v>
      </c>
      <c r="C104" s="20">
        <f>IFERROR(_xlfn.ISOWEEKNUM(INPUT!M99),"")</f>
        <v>32</v>
      </c>
      <c r="D104" s="20">
        <f>IFERROR(YEAR(INPUT!M99),"")</f>
        <v>2025</v>
      </c>
      <c r="E104" t="str">
        <f>IF(INPUT!O99="","",INPUT!O99)</f>
        <v>HARRISON</v>
      </c>
      <c r="F104" t="str">
        <f>IF(INPUT!N99="","",INPUT!N99)</f>
        <v>T</v>
      </c>
      <c r="G104" t="str" cm="1">
        <f t="array" ref="G104">IFERROR(VLOOKUP(INPUT!M99&amp;INPUT!N99,CHOOSE({1,2},INPUT!$A$3:$A$5000&amp;INPUT!$C$3:$C$5000,INPUT!$F$3:$F$5000),2,FALSE),"")</f>
        <v>PRE-TEMPORADA</v>
      </c>
      <c r="H104" t="str" cm="1">
        <f t="array" ref="H104">IFERROR(VLOOKUP(INPUT!M99&amp;INPUT!N99,CHOOSE({1,2},INPUT!$A$3:$A$5000&amp;INPUT!$C$3:$C$5000,INPUT!$D$3:$D$5000),2,FALSE),"")</f>
        <v>TEC-TAC</v>
      </c>
      <c r="I104" s="46">
        <f>IF(INPUT!P99="","",INPUT!P99)</f>
        <v>72</v>
      </c>
      <c r="J104" s="46">
        <f>IF(INPUT!Q99="","",INPUT!Q99)</f>
        <v>71.8</v>
      </c>
      <c r="K104" s="46">
        <f>IFERROR(IF(OR(INPUT!P99="",INPUT!Q99=""),"",INPUT!P99-INPUT!Q99),"")</f>
        <v>0.20000000000000284</v>
      </c>
      <c r="L104" s="48">
        <f>IFERROR(IF(OR(INPUT!P99="",INPUT!Q99="",INPUT!P99=0),"",(INPUT!P99-INPUT!Q99)/INPUT!P99),"")</f>
        <v>2.7777777777778173E-3</v>
      </c>
    </row>
    <row r="105" spans="1:12" ht="18" customHeight="1" x14ac:dyDescent="0.2">
      <c r="A105" s="11">
        <f>IF(INPUT!M100="","",INPUT!M100)</f>
        <v>45875</v>
      </c>
      <c r="B105" s="11">
        <f>IF(INPUT!M100="","",INPUT!M100-WEEKDAY(INPUT!M100,2)+1)</f>
        <v>45873</v>
      </c>
      <c r="C105" s="20">
        <f>IFERROR(_xlfn.ISOWEEKNUM(INPUT!M100),"")</f>
        <v>32</v>
      </c>
      <c r="D105" s="20">
        <f>IFERROR(YEAR(INPUT!M100),"")</f>
        <v>2025</v>
      </c>
      <c r="E105" t="str">
        <f>IF(INPUT!O100="","",INPUT!O100)</f>
        <v>RAYA</v>
      </c>
      <c r="F105" t="str">
        <f>IF(INPUT!N100="","",INPUT!N100)</f>
        <v>M</v>
      </c>
      <c r="G105" t="str" cm="1">
        <f t="array" ref="G105">IFERROR(VLOOKUP(INPUT!M100&amp;INPUT!N100,CHOOSE({1,2},INPUT!$A$3:$A$5000&amp;INPUT!$C$3:$C$5000,INPUT!$F$3:$F$5000),2,FALSE),"")</f>
        <v>PRE-TEMPORADA</v>
      </c>
      <c r="H105" t="str" cm="1">
        <f t="array" ref="H105">IFERROR(VLOOKUP(INPUT!M100&amp;INPUT!N100,CHOOSE({1,2},INPUT!$A$3:$A$5000&amp;INPUT!$C$3:$C$5000,INPUT!$D$3:$D$5000),2,FALSE),"")</f>
        <v>TEC-TAC</v>
      </c>
      <c r="I105" s="46">
        <f>IF(INPUT!P100="","",INPUT!P100)</f>
        <v>82.4</v>
      </c>
      <c r="J105" s="46">
        <f>IF(INPUT!Q100="","",INPUT!Q100)</f>
        <v>80.8</v>
      </c>
      <c r="K105" s="46">
        <f>IFERROR(IF(OR(INPUT!P100="",INPUT!Q100=""),"",INPUT!P100-INPUT!Q100),"")</f>
        <v>1.6000000000000085</v>
      </c>
      <c r="L105" s="48">
        <f>IFERROR(IF(OR(INPUT!P100="",INPUT!Q100="",INPUT!P100=0),"",(INPUT!P100-INPUT!Q100)/INPUT!P100),"")</f>
        <v>1.9417475728155442E-2</v>
      </c>
    </row>
    <row r="106" spans="1:12" ht="18" customHeight="1" x14ac:dyDescent="0.2">
      <c r="A106" s="11">
        <f>IF(INPUT!M101="","",INPUT!M101)</f>
        <v>45875</v>
      </c>
      <c r="B106" s="11">
        <f>IF(INPUT!M101="","",INPUT!M101-WEEKDAY(INPUT!M101,2)+1)</f>
        <v>45873</v>
      </c>
      <c r="C106" s="20">
        <f>IFERROR(_xlfn.ISOWEEKNUM(INPUT!M101),"")</f>
        <v>32</v>
      </c>
      <c r="D106" s="20">
        <f>IFERROR(YEAR(INPUT!M101),"")</f>
        <v>2025</v>
      </c>
      <c r="E106" t="str">
        <f>IF(INPUT!O101="","",INPUT!O101)</f>
        <v>RAYA</v>
      </c>
      <c r="F106" t="str">
        <f>IF(INPUT!N101="","",INPUT!N101)</f>
        <v>T</v>
      </c>
      <c r="G106" t="str" cm="1">
        <f t="array" ref="G106">IFERROR(VLOOKUP(INPUT!M101&amp;INPUT!N101,CHOOSE({1,2},INPUT!$A$3:$A$5000&amp;INPUT!$C$3:$C$5000,INPUT!$F$3:$F$5000),2,FALSE),"")</f>
        <v>PRE-TEMPORADA</v>
      </c>
      <c r="H106" t="str" cm="1">
        <f t="array" ref="H106">IFERROR(VLOOKUP(INPUT!M101&amp;INPUT!N101,CHOOSE({1,2},INPUT!$A$3:$A$5000&amp;INPUT!$C$3:$C$5000,INPUT!$D$3:$D$5000),2,FALSE),"")</f>
        <v>TEC-TAC</v>
      </c>
      <c r="I106" s="46">
        <f>IF(INPUT!P101="","",INPUT!P101)</f>
        <v>80.8</v>
      </c>
      <c r="J106" s="46">
        <f>IF(INPUT!Q101="","",INPUT!Q101)</f>
        <v>81.3</v>
      </c>
      <c r="K106" s="46">
        <f>IFERROR(IF(OR(INPUT!P101="",INPUT!Q101=""),"",INPUT!P101-INPUT!Q101),"")</f>
        <v>-0.5</v>
      </c>
      <c r="L106" s="48">
        <f>IFERROR(IF(OR(INPUT!P101="",INPUT!Q101="",INPUT!P101=0),"",(INPUT!P101-INPUT!Q101)/INPUT!P101),"")</f>
        <v>-6.1881188118811884E-3</v>
      </c>
    </row>
    <row r="107" spans="1:12" ht="18" hidden="1" customHeight="1" x14ac:dyDescent="0.2">
      <c r="A107" s="11">
        <f>IF(INPUT!M102="","",INPUT!M102)</f>
        <v>45875</v>
      </c>
      <c r="B107" s="11">
        <f>IF(INPUT!M102="","",INPUT!M102-WEEKDAY(INPUT!M102,2)+1)</f>
        <v>45873</v>
      </c>
      <c r="C107" s="20">
        <f>IFERROR(_xlfn.ISOWEEKNUM(INPUT!M102),"")</f>
        <v>32</v>
      </c>
      <c r="D107" s="20">
        <f>IFERROR(YEAR(INPUT!M102),"")</f>
        <v>2025</v>
      </c>
      <c r="E107" t="str">
        <f>IF(INPUT!O102="","",INPUT!O102)</f>
        <v>PANI</v>
      </c>
      <c r="F107" t="str">
        <f>IF(INPUT!N102="","",INPUT!N102)</f>
        <v>M</v>
      </c>
      <c r="G107" t="str" cm="1">
        <f t="array" ref="G107">IFERROR(VLOOKUP(INPUT!M102&amp;INPUT!N102,CHOOSE({1,2},INPUT!$A$3:$A$5000&amp;INPUT!$C$3:$C$5000,INPUT!$F$3:$F$5000),2,FALSE),"")</f>
        <v>PRE-TEMPORADA</v>
      </c>
      <c r="H107" t="str" cm="1">
        <f t="array" ref="H107">IFERROR(VLOOKUP(INPUT!M102&amp;INPUT!N102,CHOOSE({1,2},INPUT!$A$3:$A$5000&amp;INPUT!$C$3:$C$5000,INPUT!$D$3:$D$5000),2,FALSE),"")</f>
        <v>TEC-TAC</v>
      </c>
      <c r="I107" s="46">
        <f>IF(INPUT!P102="","",INPUT!P102)</f>
        <v>70.599999999999994</v>
      </c>
      <c r="J107" s="46">
        <f>IF(INPUT!Q102="","",INPUT!Q102)</f>
        <v>70.099999999999994</v>
      </c>
      <c r="K107" s="46">
        <f>IFERROR(IF(OR(INPUT!P102="",INPUT!Q102=""),"",INPUT!P102-INPUT!Q102),"")</f>
        <v>0.5</v>
      </c>
      <c r="L107" s="48">
        <f>IFERROR(IF(OR(INPUT!P102="",INPUT!Q102="",INPUT!P102=0),"",(INPUT!P102-INPUT!Q102)/INPUT!P102),"")</f>
        <v>7.0821529745042503E-3</v>
      </c>
    </row>
    <row r="108" spans="1:12" ht="18" hidden="1" customHeight="1" x14ac:dyDescent="0.2">
      <c r="A108" s="11">
        <f>IF(INPUT!M103="","",INPUT!M103)</f>
        <v>45875</v>
      </c>
      <c r="B108" s="11">
        <f>IF(INPUT!M103="","",INPUT!M103-WEEKDAY(INPUT!M103,2)+1)</f>
        <v>45873</v>
      </c>
      <c r="C108" s="20">
        <f>IFERROR(_xlfn.ISOWEEKNUM(INPUT!M103),"")</f>
        <v>32</v>
      </c>
      <c r="D108" s="20">
        <f>IFERROR(YEAR(INPUT!M103),"")</f>
        <v>2025</v>
      </c>
      <c r="E108" t="str">
        <f>IF(INPUT!O103="","",INPUT!O103)</f>
        <v>PANI</v>
      </c>
      <c r="F108" t="str">
        <f>IF(INPUT!N103="","",INPUT!N103)</f>
        <v>T</v>
      </c>
      <c r="G108" t="str" cm="1">
        <f t="array" ref="G108">IFERROR(VLOOKUP(INPUT!M103&amp;INPUT!N103,CHOOSE({1,2},INPUT!$A$3:$A$5000&amp;INPUT!$C$3:$C$5000,INPUT!$F$3:$F$5000),2,FALSE),"")</f>
        <v>PRE-TEMPORADA</v>
      </c>
      <c r="H108" t="str" cm="1">
        <f t="array" ref="H108">IFERROR(VLOOKUP(INPUT!M103&amp;INPUT!N103,CHOOSE({1,2},INPUT!$A$3:$A$5000&amp;INPUT!$C$3:$C$5000,INPUT!$D$3:$D$5000),2,FALSE),"")</f>
        <v>TEC-TAC</v>
      </c>
      <c r="I108" s="46">
        <f>IF(INPUT!P103="","",INPUT!P103)</f>
        <v>70.900000000000006</v>
      </c>
      <c r="J108" s="46">
        <f>IF(INPUT!Q103="","",INPUT!Q103)</f>
        <v>70</v>
      </c>
      <c r="K108" s="46">
        <f>IFERROR(IF(OR(INPUT!P103="",INPUT!Q103=""),"",INPUT!P103-INPUT!Q103),"")</f>
        <v>0.90000000000000568</v>
      </c>
      <c r="L108" s="48">
        <f>IFERROR(IF(OR(INPUT!P103="",INPUT!Q103="",INPUT!P103=0),"",(INPUT!P103-INPUT!Q103)/INPUT!P103),"")</f>
        <v>1.2693935119887244E-2</v>
      </c>
    </row>
    <row r="109" spans="1:12" ht="18" hidden="1" customHeight="1" x14ac:dyDescent="0.2">
      <c r="A109" s="11">
        <f>IF(INPUT!M104="","",INPUT!M104)</f>
        <v>45875</v>
      </c>
      <c r="B109" s="11">
        <f>IF(INPUT!M104="","",INPUT!M104-WEEKDAY(INPUT!M104,2)+1)</f>
        <v>45873</v>
      </c>
      <c r="C109" s="20">
        <f>IFERROR(_xlfn.ISOWEEKNUM(INPUT!M104),"")</f>
        <v>32</v>
      </c>
      <c r="D109" s="20">
        <f>IFERROR(YEAR(INPUT!M104),"")</f>
        <v>2025</v>
      </c>
      <c r="E109" t="str">
        <f>IF(INPUT!O104="","",INPUT!O104)</f>
        <v>PIRATA</v>
      </c>
      <c r="F109" t="str">
        <f>IF(INPUT!N104="","",INPUT!N104)</f>
        <v>M</v>
      </c>
      <c r="G109" t="str" cm="1">
        <f t="array" ref="G109">IFERROR(VLOOKUP(INPUT!M104&amp;INPUT!N104,CHOOSE({1,2},INPUT!$A$3:$A$5000&amp;INPUT!$C$3:$C$5000,INPUT!$F$3:$F$5000),2,FALSE),"")</f>
        <v>PRE-TEMPORADA</v>
      </c>
      <c r="H109" t="str" cm="1">
        <f t="array" ref="H109">IFERROR(VLOOKUP(INPUT!M104&amp;INPUT!N104,CHOOSE({1,2},INPUT!$A$3:$A$5000&amp;INPUT!$C$3:$C$5000,INPUT!$D$3:$D$5000),2,FALSE),"")</f>
        <v>TEC-TAC</v>
      </c>
      <c r="I109" s="46">
        <f>IF(INPUT!P104="","",INPUT!P104)</f>
        <v>74.900000000000006</v>
      </c>
      <c r="J109" s="46">
        <f>IF(INPUT!Q104="","",INPUT!Q104)</f>
        <v>74.900000000000006</v>
      </c>
      <c r="K109" s="46">
        <f>IFERROR(IF(OR(INPUT!P104="",INPUT!Q104=""),"",INPUT!P104-INPUT!Q104),"")</f>
        <v>0</v>
      </c>
      <c r="L109" s="48">
        <f>IFERROR(IF(OR(INPUT!P104="",INPUT!Q104="",INPUT!P104=0),"",(INPUT!P104-INPUT!Q104)/INPUT!P104),"")</f>
        <v>0</v>
      </c>
    </row>
    <row r="110" spans="1:12" ht="18" hidden="1" customHeight="1" x14ac:dyDescent="0.2">
      <c r="A110" s="11">
        <f>IF(INPUT!M105="","",INPUT!M105)</f>
        <v>45875</v>
      </c>
      <c r="B110" s="11">
        <f>IF(INPUT!M105="","",INPUT!M105-WEEKDAY(INPUT!M105,2)+1)</f>
        <v>45873</v>
      </c>
      <c r="C110" s="20">
        <f>IFERROR(_xlfn.ISOWEEKNUM(INPUT!M105),"")</f>
        <v>32</v>
      </c>
      <c r="D110" s="20">
        <f>IFERROR(YEAR(INPUT!M105),"")</f>
        <v>2025</v>
      </c>
      <c r="E110" t="str">
        <f>IF(INPUT!O105="","",INPUT!O105)</f>
        <v>PIRATA</v>
      </c>
      <c r="F110" t="str">
        <f>IF(INPUT!N105="","",INPUT!N105)</f>
        <v>T</v>
      </c>
      <c r="G110" t="str" cm="1">
        <f t="array" ref="G110">IFERROR(VLOOKUP(INPUT!M105&amp;INPUT!N105,CHOOSE({1,2},INPUT!$A$3:$A$5000&amp;INPUT!$C$3:$C$5000,INPUT!$F$3:$F$5000),2,FALSE),"")</f>
        <v>PRE-TEMPORADA</v>
      </c>
      <c r="H110" t="str" cm="1">
        <f t="array" ref="H110">IFERROR(VLOOKUP(INPUT!M105&amp;INPUT!N105,CHOOSE({1,2},INPUT!$A$3:$A$5000&amp;INPUT!$C$3:$C$5000,INPUT!$D$3:$D$5000),2,FALSE),"")</f>
        <v>TEC-TAC</v>
      </c>
      <c r="I110" s="46">
        <f>IF(INPUT!P105="","",INPUT!P105)</f>
        <v>74.8</v>
      </c>
      <c r="J110" s="46">
        <f>IF(INPUT!Q105="","",INPUT!Q105)</f>
        <v>74.599999999999994</v>
      </c>
      <c r="K110" s="46">
        <f>IFERROR(IF(OR(INPUT!P105="",INPUT!Q105=""),"",INPUT!P105-INPUT!Q105),"")</f>
        <v>0.20000000000000284</v>
      </c>
      <c r="L110" s="48">
        <f>IFERROR(IF(OR(INPUT!P105="",INPUT!Q105="",INPUT!P105=0),"",(INPUT!P105-INPUT!Q105)/INPUT!P105),"")</f>
        <v>2.6737967914438883E-3</v>
      </c>
    </row>
    <row r="111" spans="1:12" ht="18" hidden="1" customHeight="1" x14ac:dyDescent="0.2">
      <c r="A111" s="11">
        <f>IF(INPUT!M106="","",INPUT!M106)</f>
        <v>45875</v>
      </c>
      <c r="B111" s="11">
        <f>IF(INPUT!M106="","",INPUT!M106-WEEKDAY(INPUT!M106,2)+1)</f>
        <v>45873</v>
      </c>
      <c r="C111" s="20">
        <f>IFERROR(_xlfn.ISOWEEKNUM(INPUT!M106),"")</f>
        <v>32</v>
      </c>
      <c r="D111" s="20">
        <f>IFERROR(YEAR(INPUT!M106),"")</f>
        <v>2025</v>
      </c>
      <c r="E111" t="str">
        <f>IF(INPUT!O106="","",INPUT!O106)</f>
        <v>BARONA</v>
      </c>
      <c r="F111" t="str">
        <f>IF(INPUT!N106="","",INPUT!N106)</f>
        <v>M</v>
      </c>
      <c r="G111" t="str" cm="1">
        <f t="array" ref="G111">IFERROR(VLOOKUP(INPUT!M106&amp;INPUT!N106,CHOOSE({1,2},INPUT!$A$3:$A$5000&amp;INPUT!$C$3:$C$5000,INPUT!$F$3:$F$5000),2,FALSE),"")</f>
        <v>PRE-TEMPORADA</v>
      </c>
      <c r="H111" t="str" cm="1">
        <f t="array" ref="H111">IFERROR(VLOOKUP(INPUT!M106&amp;INPUT!N106,CHOOSE({1,2},INPUT!$A$3:$A$5000&amp;INPUT!$C$3:$C$5000,INPUT!$D$3:$D$5000),2,FALSE),"")</f>
        <v>TEC-TAC</v>
      </c>
      <c r="I111" s="46">
        <f>IF(INPUT!P106="","",INPUT!P106)</f>
        <v>70.8</v>
      </c>
      <c r="J111" s="46">
        <f>IF(INPUT!Q106="","",INPUT!Q106)</f>
        <v>70.3</v>
      </c>
      <c r="K111" s="46">
        <f>IFERROR(IF(OR(INPUT!P106="",INPUT!Q106=""),"",INPUT!P106-INPUT!Q106),"")</f>
        <v>0.5</v>
      </c>
      <c r="L111" s="48">
        <f>IFERROR(IF(OR(INPUT!P106="",INPUT!Q106="",INPUT!P106=0),"",(INPUT!P106-INPUT!Q106)/INPUT!P106),"")</f>
        <v>7.0621468926553672E-3</v>
      </c>
    </row>
    <row r="112" spans="1:12" ht="18" hidden="1" customHeight="1" x14ac:dyDescent="0.2">
      <c r="A112" s="11">
        <f>IF(INPUT!M107="","",INPUT!M107)</f>
        <v>45875</v>
      </c>
      <c r="B112" s="11">
        <f>IF(INPUT!M107="","",INPUT!M107-WEEKDAY(INPUT!M107,2)+1)</f>
        <v>45873</v>
      </c>
      <c r="C112" s="20">
        <f>IFERROR(_xlfn.ISOWEEKNUM(INPUT!M107),"")</f>
        <v>32</v>
      </c>
      <c r="D112" s="20">
        <f>IFERROR(YEAR(INPUT!M107),"")</f>
        <v>2025</v>
      </c>
      <c r="E112" t="str">
        <f>IF(INPUT!O107="","",INPUT!O107)</f>
        <v>BARONA</v>
      </c>
      <c r="F112" t="str">
        <f>IF(INPUT!N107="","",INPUT!N107)</f>
        <v>T</v>
      </c>
      <c r="G112" t="str" cm="1">
        <f t="array" ref="G112">IFERROR(VLOOKUP(INPUT!M107&amp;INPUT!N107,CHOOSE({1,2},INPUT!$A$3:$A$5000&amp;INPUT!$C$3:$C$5000,INPUT!$F$3:$F$5000),2,FALSE),"")</f>
        <v>PRE-TEMPORADA</v>
      </c>
      <c r="H112" t="str" cm="1">
        <f t="array" ref="H112">IFERROR(VLOOKUP(INPUT!M107&amp;INPUT!N107,CHOOSE({1,2},INPUT!$A$3:$A$5000&amp;INPUT!$C$3:$C$5000,INPUT!$D$3:$D$5000),2,FALSE),"")</f>
        <v>TEC-TAC</v>
      </c>
      <c r="I112" s="46">
        <f>IF(INPUT!P107="","",INPUT!P107)</f>
        <v>70.599999999999994</v>
      </c>
      <c r="J112" s="46">
        <f>IF(INPUT!Q107="","",INPUT!Q107)</f>
        <v>70.7</v>
      </c>
      <c r="K112" s="46">
        <f>IFERROR(IF(OR(INPUT!P107="",INPUT!Q107=""),"",INPUT!P107-INPUT!Q107),"")</f>
        <v>-0.10000000000000853</v>
      </c>
      <c r="L112" s="48">
        <f>IFERROR(IF(OR(INPUT!P107="",INPUT!Q107="",INPUT!P107=0),"",(INPUT!P107-INPUT!Q107)/INPUT!P107),"")</f>
        <v>-1.4164305949009707E-3</v>
      </c>
    </row>
    <row r="113" spans="1:12" ht="18" hidden="1" customHeight="1" x14ac:dyDescent="0.2">
      <c r="A113" s="11">
        <f>IF(INPUT!M108="","",INPUT!M108)</f>
        <v>45875</v>
      </c>
      <c r="B113" s="11">
        <f>IF(INPUT!M108="","",INPUT!M108-WEEKDAY(INPUT!M108,2)+1)</f>
        <v>45873</v>
      </c>
      <c r="C113" s="20">
        <f>IFERROR(_xlfn.ISOWEEKNUM(INPUT!M108),"")</f>
        <v>32</v>
      </c>
      <c r="D113" s="20">
        <f>IFERROR(YEAR(INPUT!M108),"")</f>
        <v>2025</v>
      </c>
      <c r="E113" t="str">
        <f>IF(INPUT!O108="","",INPUT!O108)</f>
        <v>CARLOS</v>
      </c>
      <c r="F113" t="str">
        <f>IF(INPUT!N108="","",INPUT!N108)</f>
        <v>M</v>
      </c>
      <c r="G113" t="str" cm="1">
        <f t="array" ref="G113">IFERROR(VLOOKUP(INPUT!M108&amp;INPUT!N108,CHOOSE({1,2},INPUT!$A$3:$A$5000&amp;INPUT!$C$3:$C$5000,INPUT!$F$3:$F$5000),2,FALSE),"")</f>
        <v>PRE-TEMPORADA</v>
      </c>
      <c r="H113" t="str" cm="1">
        <f t="array" ref="H113">IFERROR(VLOOKUP(INPUT!M108&amp;INPUT!N108,CHOOSE({1,2},INPUT!$A$3:$A$5000&amp;INPUT!$C$3:$C$5000,INPUT!$D$3:$D$5000),2,FALSE),"")</f>
        <v>TEC-TAC</v>
      </c>
      <c r="I113" s="46">
        <f>IF(INPUT!P108="","",INPUT!P108)</f>
        <v>67.2</v>
      </c>
      <c r="J113" s="46">
        <f>IF(INPUT!Q108="","",INPUT!Q108)</f>
        <v>66.7</v>
      </c>
      <c r="K113" s="46">
        <f>IFERROR(IF(OR(INPUT!P108="",INPUT!Q108=""),"",INPUT!P108-INPUT!Q108),"")</f>
        <v>0.5</v>
      </c>
      <c r="L113" s="48">
        <f>IFERROR(IF(OR(INPUT!P108="",INPUT!Q108="",INPUT!P108=0),"",(INPUT!P108-INPUT!Q108)/INPUT!P108),"")</f>
        <v>7.4404761904761901E-3</v>
      </c>
    </row>
    <row r="114" spans="1:12" ht="18" hidden="1" customHeight="1" x14ac:dyDescent="0.2">
      <c r="A114" s="11">
        <f>IF(INPUT!M109="","",INPUT!M109)</f>
        <v>45875</v>
      </c>
      <c r="B114" s="11">
        <f>IF(INPUT!M109="","",INPUT!M109-WEEKDAY(INPUT!M109,2)+1)</f>
        <v>45873</v>
      </c>
      <c r="C114" s="20">
        <f>IFERROR(_xlfn.ISOWEEKNUM(INPUT!M109),"")</f>
        <v>32</v>
      </c>
      <c r="D114" s="20">
        <f>IFERROR(YEAR(INPUT!M109),"")</f>
        <v>2025</v>
      </c>
      <c r="E114" t="str">
        <f>IF(INPUT!O109="","",INPUT!O109)</f>
        <v>CARLOS</v>
      </c>
      <c r="F114" t="str">
        <f>IF(INPUT!N109="","",INPUT!N109)</f>
        <v>T</v>
      </c>
      <c r="G114" t="str" cm="1">
        <f t="array" ref="G114">IFERROR(VLOOKUP(INPUT!M109&amp;INPUT!N109,CHOOSE({1,2},INPUT!$A$3:$A$5000&amp;INPUT!$C$3:$C$5000,INPUT!$F$3:$F$5000),2,FALSE),"")</f>
        <v>PRE-TEMPORADA</v>
      </c>
      <c r="H114" t="str" cm="1">
        <f t="array" ref="H114">IFERROR(VLOOKUP(INPUT!M109&amp;INPUT!N109,CHOOSE({1,2},INPUT!$A$3:$A$5000&amp;INPUT!$C$3:$C$5000,INPUT!$D$3:$D$5000),2,FALSE),"")</f>
        <v>TEC-TAC</v>
      </c>
      <c r="I114" s="46">
        <f>IF(INPUT!P109="","",INPUT!P109)</f>
        <v>67.599999999999994</v>
      </c>
      <c r="J114" s="46">
        <f>IF(INPUT!Q109="","",INPUT!Q109)</f>
        <v>66.8</v>
      </c>
      <c r="K114" s="46">
        <f>IFERROR(IF(OR(INPUT!P109="",INPUT!Q109=""),"",INPUT!P109-INPUT!Q109),"")</f>
        <v>0.79999999999999716</v>
      </c>
      <c r="L114" s="48">
        <f>IFERROR(IF(OR(INPUT!P109="",INPUT!Q109="",INPUT!P109=0),"",(INPUT!P109-INPUT!Q109)/INPUT!P109),"")</f>
        <v>1.1834319526627177E-2</v>
      </c>
    </row>
    <row r="115" spans="1:12" ht="18" hidden="1" customHeight="1" x14ac:dyDescent="0.2">
      <c r="A115" s="11">
        <f>IF(INPUT!M110="","",INPUT!M110)</f>
        <v>45875</v>
      </c>
      <c r="B115" s="11">
        <f>IF(INPUT!M110="","",INPUT!M110-WEEKDAY(INPUT!M110,2)+1)</f>
        <v>45873</v>
      </c>
      <c r="C115" s="20">
        <f>IFERROR(_xlfn.ISOWEEKNUM(INPUT!M110),"")</f>
        <v>32</v>
      </c>
      <c r="D115" s="20">
        <f>IFERROR(YEAR(INPUT!M110),"")</f>
        <v>2025</v>
      </c>
      <c r="E115" t="str">
        <f>IF(INPUT!O110="","",INPUT!O110)</f>
        <v>GONZALO</v>
      </c>
      <c r="F115" t="str">
        <f>IF(INPUT!N110="","",INPUT!N110)</f>
        <v>M</v>
      </c>
      <c r="G115" t="str" cm="1">
        <f t="array" ref="G115">IFERROR(VLOOKUP(INPUT!M110&amp;INPUT!N110,CHOOSE({1,2},INPUT!$A$3:$A$5000&amp;INPUT!$C$3:$C$5000,INPUT!$F$3:$F$5000),2,FALSE),"")</f>
        <v>PRE-TEMPORADA</v>
      </c>
      <c r="H115" t="str" cm="1">
        <f t="array" ref="H115">IFERROR(VLOOKUP(INPUT!M110&amp;INPUT!N110,CHOOSE({1,2},INPUT!$A$3:$A$5000&amp;INPUT!$C$3:$C$5000,INPUT!$D$3:$D$5000),2,FALSE),"")</f>
        <v>TEC-TAC</v>
      </c>
      <c r="I115" s="46">
        <f>IF(INPUT!P110="","",INPUT!P110)</f>
        <v>84.7</v>
      </c>
      <c r="J115" s="46">
        <f>IF(INPUT!Q110="","",INPUT!Q110)</f>
        <v>84.8</v>
      </c>
      <c r="K115" s="46">
        <f>IFERROR(IF(OR(INPUT!P110="",INPUT!Q110=""),"",INPUT!P110-INPUT!Q110),"")</f>
        <v>-9.9999999999994316E-2</v>
      </c>
      <c r="L115" s="48">
        <f>IFERROR(IF(OR(INPUT!P110="",INPUT!Q110="",INPUT!P110=0),"",(INPUT!P110-INPUT!Q110)/INPUT!P110),"")</f>
        <v>-1.1806375442738408E-3</v>
      </c>
    </row>
    <row r="116" spans="1:12" ht="18" hidden="1" customHeight="1" x14ac:dyDescent="0.2">
      <c r="A116" s="11">
        <f>IF(INPUT!M111="","",INPUT!M111)</f>
        <v>45875</v>
      </c>
      <c r="B116" s="11">
        <f>IF(INPUT!M111="","",INPUT!M111-WEEKDAY(INPUT!M111,2)+1)</f>
        <v>45873</v>
      </c>
      <c r="C116" s="20">
        <f>IFERROR(_xlfn.ISOWEEKNUM(INPUT!M111),"")</f>
        <v>32</v>
      </c>
      <c r="D116" s="20">
        <f>IFERROR(YEAR(INPUT!M111),"")</f>
        <v>2025</v>
      </c>
      <c r="E116" t="str">
        <f>IF(INPUT!O111="","",INPUT!O111)</f>
        <v>GONZALO</v>
      </c>
      <c r="F116" t="str">
        <f>IF(INPUT!N111="","",INPUT!N111)</f>
        <v>T</v>
      </c>
      <c r="G116" t="str" cm="1">
        <f t="array" ref="G116">IFERROR(VLOOKUP(INPUT!M111&amp;INPUT!N111,CHOOSE({1,2},INPUT!$A$3:$A$5000&amp;INPUT!$C$3:$C$5000,INPUT!$F$3:$F$5000),2,FALSE),"")</f>
        <v>PRE-TEMPORADA</v>
      </c>
      <c r="H116" t="str" cm="1">
        <f t="array" ref="H116">IFERROR(VLOOKUP(INPUT!M111&amp;INPUT!N111,CHOOSE({1,2},INPUT!$A$3:$A$5000&amp;INPUT!$C$3:$C$5000,INPUT!$D$3:$D$5000),2,FALSE),"")</f>
        <v>TEC-TAC</v>
      </c>
      <c r="I116" s="46">
        <f>IF(INPUT!P111="","",INPUT!P111)</f>
        <v>85.2</v>
      </c>
      <c r="J116" s="46">
        <f>IF(INPUT!Q111="","",INPUT!Q111)</f>
        <v>85.1</v>
      </c>
      <c r="K116" s="46">
        <f>IFERROR(IF(OR(INPUT!P111="",INPUT!Q111=""),"",INPUT!P111-INPUT!Q111),"")</f>
        <v>0.10000000000000853</v>
      </c>
      <c r="L116" s="48">
        <f>IFERROR(IF(OR(INPUT!P111="",INPUT!Q111="",INPUT!P111=0),"",(INPUT!P111-INPUT!Q111)/INPUT!P111),"")</f>
        <v>1.1737089201878934E-3</v>
      </c>
    </row>
    <row r="117" spans="1:12" ht="18" hidden="1" customHeight="1" x14ac:dyDescent="0.2">
      <c r="A117" s="11">
        <f>IF(INPUT!M112="","",INPUT!M112)</f>
        <v>45875</v>
      </c>
      <c r="B117" s="11">
        <f>IF(INPUT!M112="","",INPUT!M112-WEEKDAY(INPUT!M112,2)+1)</f>
        <v>45873</v>
      </c>
      <c r="C117" s="20">
        <f>IFERROR(_xlfn.ISOWEEKNUM(INPUT!M112),"")</f>
        <v>32</v>
      </c>
      <c r="D117" s="20">
        <f>IFERROR(YEAR(INPUT!M112),"")</f>
        <v>2025</v>
      </c>
      <c r="E117" t="str">
        <f>IF(INPUT!O112="","",INPUT!O112)</f>
        <v>RUBIO</v>
      </c>
      <c r="F117" t="str">
        <f>IF(INPUT!N112="","",INPUT!N112)</f>
        <v>M</v>
      </c>
      <c r="G117" t="str" cm="1">
        <f t="array" ref="G117">IFERROR(VLOOKUP(INPUT!M112&amp;INPUT!N112,CHOOSE({1,2},INPUT!$A$3:$A$5000&amp;INPUT!$C$3:$C$5000,INPUT!$F$3:$F$5000),2,FALSE),"")</f>
        <v>PRE-TEMPORADA</v>
      </c>
      <c r="H117" t="str" cm="1">
        <f t="array" ref="H117">IFERROR(VLOOKUP(INPUT!M112&amp;INPUT!N112,CHOOSE({1,2},INPUT!$A$3:$A$5000&amp;INPUT!$C$3:$C$5000,INPUT!$D$3:$D$5000),2,FALSE),"")</f>
        <v>TEC-TAC</v>
      </c>
      <c r="I117" s="46">
        <f>IF(INPUT!P112="","",INPUT!P112)</f>
        <v>74.599999999999994</v>
      </c>
      <c r="J117" s="46">
        <f>IF(INPUT!Q112="","",INPUT!Q112)</f>
        <v>74.3</v>
      </c>
      <c r="K117" s="46">
        <f>IFERROR(IF(OR(INPUT!P112="",INPUT!Q112=""),"",INPUT!P112-INPUT!Q112),"")</f>
        <v>0.29999999999999716</v>
      </c>
      <c r="L117" s="48">
        <f>IFERROR(IF(OR(INPUT!P112="",INPUT!Q112="",INPUT!P112=0),"",(INPUT!P112-INPUT!Q112)/INPUT!P112),"")</f>
        <v>4.0214477211795866E-3</v>
      </c>
    </row>
    <row r="118" spans="1:12" ht="18" hidden="1" customHeight="1" x14ac:dyDescent="0.2">
      <c r="A118" s="11">
        <f>IF(INPUT!M113="","",INPUT!M113)</f>
        <v>45875</v>
      </c>
      <c r="B118" s="11">
        <f>IF(INPUT!M113="","",INPUT!M113-WEEKDAY(INPUT!M113,2)+1)</f>
        <v>45873</v>
      </c>
      <c r="C118" s="20">
        <f>IFERROR(_xlfn.ISOWEEKNUM(INPUT!M113),"")</f>
        <v>32</v>
      </c>
      <c r="D118" s="20">
        <f>IFERROR(YEAR(INPUT!M113),"")</f>
        <v>2025</v>
      </c>
      <c r="E118" t="str">
        <f>IF(INPUT!O113="","",INPUT!O113)</f>
        <v>RUBIO</v>
      </c>
      <c r="F118" t="str">
        <f>IF(INPUT!N113="","",INPUT!N113)</f>
        <v>T</v>
      </c>
      <c r="G118" t="str" cm="1">
        <f t="array" ref="G118">IFERROR(VLOOKUP(INPUT!M113&amp;INPUT!N113,CHOOSE({1,2},INPUT!$A$3:$A$5000&amp;INPUT!$C$3:$C$5000,INPUT!$F$3:$F$5000),2,FALSE),"")</f>
        <v>PRE-TEMPORADA</v>
      </c>
      <c r="H118" t="str" cm="1">
        <f t="array" ref="H118">IFERROR(VLOOKUP(INPUT!M113&amp;INPUT!N113,CHOOSE({1,2},INPUT!$A$3:$A$5000&amp;INPUT!$C$3:$C$5000,INPUT!$D$3:$D$5000),2,FALSE),"")</f>
        <v>TEC-TAC</v>
      </c>
      <c r="I118" s="46">
        <f>IF(INPUT!P113="","",INPUT!P113)</f>
        <v>75</v>
      </c>
      <c r="J118" s="46">
        <f>IF(INPUT!Q113="","",INPUT!Q113)</f>
        <v>74.8</v>
      </c>
      <c r="K118" s="46">
        <f>IFERROR(IF(OR(INPUT!P113="",INPUT!Q113=""),"",INPUT!P113-INPUT!Q113),"")</f>
        <v>0.20000000000000284</v>
      </c>
      <c r="L118" s="48">
        <f>IFERROR(IF(OR(INPUT!P113="",INPUT!Q113="",INPUT!P113=0),"",(INPUT!P113-INPUT!Q113)/INPUT!P113),"")</f>
        <v>2.6666666666667047E-3</v>
      </c>
    </row>
    <row r="119" spans="1:12" ht="18" hidden="1" customHeight="1" x14ac:dyDescent="0.2">
      <c r="A119" s="11">
        <f>IF(INPUT!M114="","",INPUT!M114)</f>
        <v>45875</v>
      </c>
      <c r="B119" s="11">
        <f>IF(INPUT!M114="","",INPUT!M114-WEEKDAY(INPUT!M114,2)+1)</f>
        <v>45873</v>
      </c>
      <c r="C119" s="20">
        <f>IFERROR(_xlfn.ISOWEEKNUM(INPUT!M114),"")</f>
        <v>32</v>
      </c>
      <c r="D119" s="20">
        <f>IFERROR(YEAR(INPUT!M114),"")</f>
        <v>2025</v>
      </c>
      <c r="E119" t="str">
        <f>IF(INPUT!O114="","",INPUT!O114)</f>
        <v>DANI</v>
      </c>
      <c r="F119" t="str">
        <f>IF(INPUT!N114="","",INPUT!N114)</f>
        <v>M</v>
      </c>
      <c r="G119" t="str" cm="1">
        <f t="array" ref="G119">IFERROR(VLOOKUP(INPUT!M114&amp;INPUT!N114,CHOOSE({1,2},INPUT!$A$3:$A$5000&amp;INPUT!$C$3:$C$5000,INPUT!$F$3:$F$5000),2,FALSE),"")</f>
        <v>PRE-TEMPORADA</v>
      </c>
      <c r="H119" t="str" cm="1">
        <f t="array" ref="H119">IFERROR(VLOOKUP(INPUT!M114&amp;INPUT!N114,CHOOSE({1,2},INPUT!$A$3:$A$5000&amp;INPUT!$C$3:$C$5000,INPUT!$D$3:$D$5000),2,FALSE),"")</f>
        <v>TEC-TAC</v>
      </c>
      <c r="I119" s="46">
        <f>IF(INPUT!P114="","",INPUT!P114)</f>
        <v>93.9</v>
      </c>
      <c r="J119" s="46">
        <f>IF(INPUT!Q114="","",INPUT!Q114)</f>
        <v>93</v>
      </c>
      <c r="K119" s="46">
        <f>IFERROR(IF(OR(INPUT!P114="",INPUT!Q114=""),"",INPUT!P114-INPUT!Q114),"")</f>
        <v>0.90000000000000568</v>
      </c>
      <c r="L119" s="48">
        <f>IFERROR(IF(OR(INPUT!P114="",INPUT!Q114="",INPUT!P114=0),"",(INPUT!P114-INPUT!Q114)/INPUT!P114),"")</f>
        <v>9.5846645367412744E-3</v>
      </c>
    </row>
    <row r="120" spans="1:12" ht="18" hidden="1" customHeight="1" x14ac:dyDescent="0.2">
      <c r="A120" s="11">
        <f>IF(INPUT!M115="","",INPUT!M115)</f>
        <v>45875</v>
      </c>
      <c r="B120" s="11">
        <f>IF(INPUT!M115="","",INPUT!M115-WEEKDAY(INPUT!M115,2)+1)</f>
        <v>45873</v>
      </c>
      <c r="C120" s="20">
        <f>IFERROR(_xlfn.ISOWEEKNUM(INPUT!M115),"")</f>
        <v>32</v>
      </c>
      <c r="D120" s="20">
        <f>IFERROR(YEAR(INPUT!M115),"")</f>
        <v>2025</v>
      </c>
      <c r="E120" t="str">
        <f>IF(INPUT!O115="","",INPUT!O115)</f>
        <v>DANI</v>
      </c>
      <c r="F120" t="str">
        <f>IF(INPUT!N115="","",INPUT!N115)</f>
        <v>T</v>
      </c>
      <c r="G120" t="str" cm="1">
        <f t="array" ref="G120">IFERROR(VLOOKUP(INPUT!M115&amp;INPUT!N115,CHOOSE({1,2},INPUT!$A$3:$A$5000&amp;INPUT!$C$3:$C$5000,INPUT!$F$3:$F$5000),2,FALSE),"")</f>
        <v>PRE-TEMPORADA</v>
      </c>
      <c r="H120" t="str" cm="1">
        <f t="array" ref="H120">IFERROR(VLOOKUP(INPUT!M115&amp;INPUT!N115,CHOOSE({1,2},INPUT!$A$3:$A$5000&amp;INPUT!$C$3:$C$5000,INPUT!$D$3:$D$5000),2,FALSE),"")</f>
        <v>TEC-TAC</v>
      </c>
      <c r="I120" s="46">
        <f>IF(INPUT!P115="","",INPUT!P115)</f>
        <v>93.6</v>
      </c>
      <c r="J120" s="46">
        <f>IF(INPUT!Q115="","",INPUT!Q115)</f>
        <v>93.2</v>
      </c>
      <c r="K120" s="46">
        <f>IFERROR(IF(OR(INPUT!P115="",INPUT!Q115=""),"",INPUT!P115-INPUT!Q115),"")</f>
        <v>0.39999999999999147</v>
      </c>
      <c r="L120" s="48">
        <f>IFERROR(IF(OR(INPUT!P115="",INPUT!Q115="",INPUT!P115=0),"",(INPUT!P115-INPUT!Q115)/INPUT!P115),"")</f>
        <v>4.2735042735041829E-3</v>
      </c>
    </row>
    <row r="121" spans="1:12" ht="18" hidden="1" customHeight="1" x14ac:dyDescent="0.2">
      <c r="A121" s="11">
        <f>IF(INPUT!M116="","",INPUT!M116)</f>
        <v>45875</v>
      </c>
      <c r="B121" s="11">
        <f>IF(INPUT!M116="","",INPUT!M116-WEEKDAY(INPUT!M116,2)+1)</f>
        <v>45873</v>
      </c>
      <c r="C121" s="20">
        <f>IFERROR(_xlfn.ISOWEEKNUM(INPUT!M116),"")</f>
        <v>32</v>
      </c>
      <c r="D121" s="20">
        <f>IFERROR(YEAR(INPUT!M116),"")</f>
        <v>2025</v>
      </c>
      <c r="E121" t="str">
        <f>IF(INPUT!O116="","",INPUT!O116)</f>
        <v>JAIME</v>
      </c>
      <c r="F121" t="str">
        <f>IF(INPUT!N116="","",INPUT!N116)</f>
        <v>M</v>
      </c>
      <c r="G121" t="str" cm="1">
        <f t="array" ref="G121">IFERROR(VLOOKUP(INPUT!M116&amp;INPUT!N116,CHOOSE({1,2},INPUT!$A$3:$A$5000&amp;INPUT!$C$3:$C$5000,INPUT!$F$3:$F$5000),2,FALSE),"")</f>
        <v>PRE-TEMPORADA</v>
      </c>
      <c r="H121" t="str" cm="1">
        <f t="array" ref="H121">IFERROR(VLOOKUP(INPUT!M116&amp;INPUT!N116,CHOOSE({1,2},INPUT!$A$3:$A$5000&amp;INPUT!$C$3:$C$5000,INPUT!$D$3:$D$5000),2,FALSE),"")</f>
        <v>TEC-TAC</v>
      </c>
      <c r="I121" s="46">
        <f>IF(INPUT!P116="","",INPUT!P116)</f>
        <v>75.099999999999994</v>
      </c>
      <c r="J121" s="46">
        <f>IF(INPUT!Q116="","",INPUT!Q116)</f>
        <v>74.8</v>
      </c>
      <c r="K121" s="46">
        <f>IFERROR(IF(OR(INPUT!P116="",INPUT!Q116=""),"",INPUT!P116-INPUT!Q116),"")</f>
        <v>0.29999999999999716</v>
      </c>
      <c r="L121" s="48">
        <f>IFERROR(IF(OR(INPUT!P116="",INPUT!Q116="",INPUT!P116=0),"",(INPUT!P116-INPUT!Q116)/INPUT!P116),"")</f>
        <v>3.9946737683088842E-3</v>
      </c>
    </row>
    <row r="122" spans="1:12" ht="18" hidden="1" customHeight="1" x14ac:dyDescent="0.2">
      <c r="A122" s="11">
        <f>IF(INPUT!M117="","",INPUT!M117)</f>
        <v>45875</v>
      </c>
      <c r="B122" s="11">
        <f>IF(INPUT!M117="","",INPUT!M117-WEEKDAY(INPUT!M117,2)+1)</f>
        <v>45873</v>
      </c>
      <c r="C122" s="20">
        <f>IFERROR(_xlfn.ISOWEEKNUM(INPUT!M117),"")</f>
        <v>32</v>
      </c>
      <c r="D122" s="20">
        <f>IFERROR(YEAR(INPUT!M117),"")</f>
        <v>2025</v>
      </c>
      <c r="E122" t="str">
        <f>IF(INPUT!O117="","",INPUT!O117)</f>
        <v>JAIME</v>
      </c>
      <c r="F122" t="str">
        <f>IF(INPUT!N117="","",INPUT!N117)</f>
        <v>T</v>
      </c>
      <c r="G122" t="str" cm="1">
        <f t="array" ref="G122">IFERROR(VLOOKUP(INPUT!M117&amp;INPUT!N117,CHOOSE({1,2},INPUT!$A$3:$A$5000&amp;INPUT!$C$3:$C$5000,INPUT!$F$3:$F$5000),2,FALSE),"")</f>
        <v>PRE-TEMPORADA</v>
      </c>
      <c r="H122" t="str" cm="1">
        <f t="array" ref="H122">IFERROR(VLOOKUP(INPUT!M117&amp;INPUT!N117,CHOOSE({1,2},INPUT!$A$3:$A$5000&amp;INPUT!$C$3:$C$5000,INPUT!$D$3:$D$5000),2,FALSE),"")</f>
        <v>TEC-TAC</v>
      </c>
      <c r="I122" s="46">
        <f>IF(INPUT!P117="","",INPUT!P117)</f>
        <v>75.3</v>
      </c>
      <c r="J122" s="46">
        <f>IF(INPUT!Q117="","",INPUT!Q117)</f>
        <v>75.3</v>
      </c>
      <c r="K122" s="46">
        <f>IFERROR(IF(OR(INPUT!P117="",INPUT!Q117=""),"",INPUT!P117-INPUT!Q117),"")</f>
        <v>0</v>
      </c>
      <c r="L122" s="48">
        <f>IFERROR(IF(OR(INPUT!P117="",INPUT!Q117="",INPUT!P117=0),"",(INPUT!P117-INPUT!Q117)/INPUT!P117),"")</f>
        <v>0</v>
      </c>
    </row>
    <row r="123" spans="1:12" ht="18" hidden="1" customHeight="1" x14ac:dyDescent="0.2">
      <c r="A123" s="11">
        <f>IF(INPUT!M118="","",INPUT!M118)</f>
        <v>45876</v>
      </c>
      <c r="B123" s="11">
        <f>IF(INPUT!M118="","",INPUT!M118-WEEKDAY(INPUT!M118,2)+1)</f>
        <v>45873</v>
      </c>
      <c r="C123" s="20">
        <f>IFERROR(_xlfn.ISOWEEKNUM(INPUT!M118),"")</f>
        <v>32</v>
      </c>
      <c r="D123" s="20">
        <f>IFERROR(YEAR(INPUT!M118),"")</f>
        <v>2025</v>
      </c>
      <c r="E123" t="str">
        <f>IF(INPUT!O118="","",INPUT!O118)</f>
        <v>HERRERO</v>
      </c>
      <c r="F123" t="str">
        <f>IF(INPUT!N118="","",INPUT!N118)</f>
        <v>T</v>
      </c>
      <c r="G123" t="str" cm="1">
        <f t="array" ref="G123">IFERROR(VLOOKUP(INPUT!M118&amp;INPUT!N118,CHOOSE({1,2},INPUT!$A$3:$A$5000&amp;INPUT!$C$3:$C$5000,INPUT!$F$3:$F$5000),2,FALSE),"")</f>
        <v>PRE-TEMPORADA</v>
      </c>
      <c r="H123" t="str" cm="1">
        <f t="array" ref="H123">IFERROR(VLOOKUP(INPUT!M118&amp;INPUT!N118,CHOOSE({1,2},INPUT!$A$3:$A$5000&amp;INPUT!$C$3:$C$5000,INPUT!$D$3:$D$5000),2,FALSE),"")</f>
        <v>TEC-TAC</v>
      </c>
      <c r="I123" s="46">
        <f>IF(INPUT!P118="","",INPUT!P118)</f>
        <v>76.8</v>
      </c>
      <c r="J123" s="46">
        <f>IF(INPUT!Q118="","",INPUT!Q118)</f>
        <v>75.900000000000006</v>
      </c>
      <c r="K123" s="46">
        <f>IFERROR(IF(OR(INPUT!P118="",INPUT!Q118=""),"",INPUT!P118-INPUT!Q118),"")</f>
        <v>0.89999999999999147</v>
      </c>
      <c r="L123" s="48">
        <f>IFERROR(IF(OR(INPUT!P118="",INPUT!Q118="",INPUT!P118=0),"",(INPUT!P118-INPUT!Q118)/INPUT!P118),"")</f>
        <v>1.1718749999999889E-2</v>
      </c>
    </row>
    <row r="124" spans="1:12" ht="18" customHeight="1" x14ac:dyDescent="0.2">
      <c r="A124" s="11">
        <f>IF(INPUT!M119="","",INPUT!M119)</f>
        <v>45876</v>
      </c>
      <c r="B124" s="11">
        <f>IF(INPUT!M119="","",INPUT!M119-WEEKDAY(INPUT!M119,2)+1)</f>
        <v>45873</v>
      </c>
      <c r="C124" s="20">
        <f>IFERROR(_xlfn.ISOWEEKNUM(INPUT!M119),"")</f>
        <v>32</v>
      </c>
      <c r="D124" s="20">
        <f>IFERROR(YEAR(INPUT!M119),"")</f>
        <v>2025</v>
      </c>
      <c r="E124" t="str">
        <f>IF(INPUT!O119="","",INPUT!O119)</f>
        <v>GARCIA</v>
      </c>
      <c r="F124" t="str">
        <f>IF(INPUT!N119="","",INPUT!N119)</f>
        <v>T</v>
      </c>
      <c r="G124" t="str" cm="1">
        <f t="array" ref="G124">IFERROR(VLOOKUP(INPUT!M119&amp;INPUT!N119,CHOOSE({1,2},INPUT!$A$3:$A$5000&amp;INPUT!$C$3:$C$5000,INPUT!$F$3:$F$5000),2,FALSE),"")</f>
        <v>PRE-TEMPORADA</v>
      </c>
      <c r="H124" t="str" cm="1">
        <f t="array" ref="H124">IFERROR(VLOOKUP(INPUT!M119&amp;INPUT!N119,CHOOSE({1,2},INPUT!$A$3:$A$5000&amp;INPUT!$C$3:$C$5000,INPUT!$D$3:$D$5000),2,FALSE),"")</f>
        <v>TEC-TAC</v>
      </c>
      <c r="I124" s="46">
        <f>IF(INPUT!P119="","",INPUT!P119)</f>
        <v>78.8</v>
      </c>
      <c r="J124" s="46">
        <f>IF(INPUT!Q119="","",INPUT!Q119)</f>
        <v>78.900000000000006</v>
      </c>
      <c r="K124" s="46">
        <f>IFERROR(IF(OR(INPUT!P119="",INPUT!Q119=""),"",INPUT!P119-INPUT!Q119),"")</f>
        <v>-0.10000000000000853</v>
      </c>
      <c r="L124" s="48">
        <f>IFERROR(IF(OR(INPUT!P119="",INPUT!Q119="",INPUT!P119=0),"",(INPUT!P119-INPUT!Q119)/INPUT!P119),"")</f>
        <v>-1.2690355329950322E-3</v>
      </c>
    </row>
    <row r="125" spans="1:12" ht="18" customHeight="1" x14ac:dyDescent="0.2">
      <c r="A125" s="11">
        <f>IF(INPUT!M120="","",INPUT!M120)</f>
        <v>45876</v>
      </c>
      <c r="B125" s="11">
        <f>IF(INPUT!M120="","",INPUT!M120-WEEKDAY(INPUT!M120,2)+1)</f>
        <v>45873</v>
      </c>
      <c r="C125" s="20">
        <f>IFERROR(_xlfn.ISOWEEKNUM(INPUT!M120),"")</f>
        <v>32</v>
      </c>
      <c r="D125" s="20">
        <f>IFERROR(YEAR(INPUT!M120),"")</f>
        <v>2025</v>
      </c>
      <c r="E125" t="str">
        <f>IF(INPUT!O120="","",INPUT!O120)</f>
        <v>OSCAR</v>
      </c>
      <c r="F125" t="str">
        <f>IF(INPUT!N120="","",INPUT!N120)</f>
        <v>T</v>
      </c>
      <c r="G125" t="str" cm="1">
        <f t="array" ref="G125">IFERROR(VLOOKUP(INPUT!M120&amp;INPUT!N120,CHOOSE({1,2},INPUT!$A$3:$A$5000&amp;INPUT!$C$3:$C$5000,INPUT!$F$3:$F$5000),2,FALSE),"")</f>
        <v>PRE-TEMPORADA</v>
      </c>
      <c r="H125" t="str" cm="1">
        <f t="array" ref="H125">IFERROR(VLOOKUP(INPUT!M120&amp;INPUT!N120,CHOOSE({1,2},INPUT!$A$3:$A$5000&amp;INPUT!$C$3:$C$5000,INPUT!$D$3:$D$5000),2,FALSE),"")</f>
        <v>TEC-TAC</v>
      </c>
      <c r="I125" s="46">
        <f>IF(INPUT!P120="","",INPUT!P120)</f>
        <v>89.5</v>
      </c>
      <c r="J125" s="46">
        <f>IF(INPUT!Q120="","",INPUT!Q120)</f>
        <v>89.6</v>
      </c>
      <c r="K125" s="46">
        <f>IFERROR(IF(OR(INPUT!P120="",INPUT!Q120=""),"",INPUT!P120-INPUT!Q120),"")</f>
        <v>-9.9999999999994316E-2</v>
      </c>
      <c r="L125" s="48">
        <f>IFERROR(IF(OR(INPUT!P120="",INPUT!Q120="",INPUT!P120=0),"",(INPUT!P120-INPUT!Q120)/INPUT!P120),"")</f>
        <v>-1.1173184357541265E-3</v>
      </c>
    </row>
    <row r="126" spans="1:12" ht="18" customHeight="1" x14ac:dyDescent="0.2">
      <c r="A126" s="11">
        <f>IF(INPUT!M121="","",INPUT!M121)</f>
        <v>45876</v>
      </c>
      <c r="B126" s="11">
        <f>IF(INPUT!M121="","",INPUT!M121-WEEKDAY(INPUT!M121,2)+1)</f>
        <v>45873</v>
      </c>
      <c r="C126" s="20">
        <f>IFERROR(_xlfn.ISOWEEKNUM(INPUT!M121),"")</f>
        <v>32</v>
      </c>
      <c r="D126" s="20">
        <f>IFERROR(YEAR(INPUT!M121),"")</f>
        <v>2025</v>
      </c>
      <c r="E126" t="str">
        <f>IF(INPUT!O121="","",INPUT!O121)</f>
        <v>CECILIO</v>
      </c>
      <c r="F126" t="str">
        <f>IF(INPUT!N121="","",INPUT!N121)</f>
        <v>T</v>
      </c>
      <c r="G126" t="str" cm="1">
        <f t="array" ref="G126">IFERROR(VLOOKUP(INPUT!M121&amp;INPUT!N121,CHOOSE({1,2},INPUT!$A$3:$A$5000&amp;INPUT!$C$3:$C$5000,INPUT!$F$3:$F$5000),2,FALSE),"")</f>
        <v>PRE-TEMPORADA</v>
      </c>
      <c r="H126" t="str" cm="1">
        <f t="array" ref="H126">IFERROR(VLOOKUP(INPUT!M121&amp;INPUT!N121,CHOOSE({1,2},INPUT!$A$3:$A$5000&amp;INPUT!$C$3:$C$5000,INPUT!$D$3:$D$5000),2,FALSE),"")</f>
        <v>TEC-TAC</v>
      </c>
      <c r="I126" s="46">
        <f>IF(INPUT!P121="","",INPUT!P121)</f>
        <v>69</v>
      </c>
      <c r="J126" s="46">
        <f>IF(INPUT!Q121="","",INPUT!Q121)</f>
        <v>68.5</v>
      </c>
      <c r="K126" s="46">
        <f>IFERROR(IF(OR(INPUT!P121="",INPUT!Q121=""),"",INPUT!P121-INPUT!Q121),"")</f>
        <v>0.5</v>
      </c>
      <c r="L126" s="48">
        <f>IFERROR(IF(OR(INPUT!P121="",INPUT!Q121="",INPUT!P121=0),"",(INPUT!P121-INPUT!Q121)/INPUT!P121),"")</f>
        <v>7.246376811594203E-3</v>
      </c>
    </row>
    <row r="127" spans="1:12" ht="18" customHeight="1" x14ac:dyDescent="0.2">
      <c r="A127" s="11">
        <f>IF(INPUT!M122="","",INPUT!M122)</f>
        <v>45876</v>
      </c>
      <c r="B127" s="11">
        <f>IF(INPUT!M122="","",INPUT!M122-WEEKDAY(INPUT!M122,2)+1)</f>
        <v>45873</v>
      </c>
      <c r="C127" s="20">
        <f>IFERROR(_xlfn.ISOWEEKNUM(INPUT!M122),"")</f>
        <v>32</v>
      </c>
      <c r="D127" s="20">
        <f>IFERROR(YEAR(INPUT!M122),"")</f>
        <v>2025</v>
      </c>
      <c r="E127" t="str">
        <f>IF(INPUT!O122="","",INPUT!O122)</f>
        <v>CHAGUINHA</v>
      </c>
      <c r="F127" t="str">
        <f>IF(INPUT!N122="","",INPUT!N122)</f>
        <v>T</v>
      </c>
      <c r="G127" t="str" cm="1">
        <f t="array" ref="G127">IFERROR(VLOOKUP(INPUT!M122&amp;INPUT!N122,CHOOSE({1,2},INPUT!$A$3:$A$5000&amp;INPUT!$C$3:$C$5000,INPUT!$F$3:$F$5000),2,FALSE),"")</f>
        <v>PRE-TEMPORADA</v>
      </c>
      <c r="H127" t="str" cm="1">
        <f t="array" ref="H127">IFERROR(VLOOKUP(INPUT!M122&amp;INPUT!N122,CHOOSE({1,2},INPUT!$A$3:$A$5000&amp;INPUT!$C$3:$C$5000,INPUT!$D$3:$D$5000),2,FALSE),"")</f>
        <v>TEC-TAC</v>
      </c>
      <c r="I127" s="46">
        <f>IF(INPUT!P122="","",INPUT!P122)</f>
        <v>68.5</v>
      </c>
      <c r="J127" s="46">
        <f>IF(INPUT!Q122="","",INPUT!Q122)</f>
        <v>67.599999999999994</v>
      </c>
      <c r="K127" s="46">
        <f>IFERROR(IF(OR(INPUT!P122="",INPUT!Q122=""),"",INPUT!P122-INPUT!Q122),"")</f>
        <v>0.90000000000000568</v>
      </c>
      <c r="L127" s="48">
        <f>IFERROR(IF(OR(INPUT!P122="",INPUT!Q122="",INPUT!P122=0),"",(INPUT!P122-INPUT!Q122)/INPUT!P122),"")</f>
        <v>1.3138686131386945E-2</v>
      </c>
    </row>
    <row r="128" spans="1:12" ht="18" customHeight="1" x14ac:dyDescent="0.2">
      <c r="A128" s="11">
        <f>IF(INPUT!M123="","",INPUT!M123)</f>
        <v>45876</v>
      </c>
      <c r="B128" s="11">
        <f>IF(INPUT!M123="","",INPUT!M123-WEEKDAY(INPUT!M123,2)+1)</f>
        <v>45873</v>
      </c>
      <c r="C128" s="20">
        <f>IFERROR(_xlfn.ISOWEEKNUM(INPUT!M123),"")</f>
        <v>32</v>
      </c>
      <c r="D128" s="20">
        <f>IFERROR(YEAR(INPUT!M123),"")</f>
        <v>2025</v>
      </c>
      <c r="E128" t="str">
        <f>IF(INPUT!O123="","",INPUT!O123)</f>
        <v>RAUL</v>
      </c>
      <c r="F128" t="str">
        <f>IF(INPUT!N123="","",INPUT!N123)</f>
        <v>T</v>
      </c>
      <c r="G128" t="str" cm="1">
        <f t="array" ref="G128">IFERROR(VLOOKUP(INPUT!M123&amp;INPUT!N123,CHOOSE({1,2},INPUT!$A$3:$A$5000&amp;INPUT!$C$3:$C$5000,INPUT!$F$3:$F$5000),2,FALSE),"")</f>
        <v>PRE-TEMPORADA</v>
      </c>
      <c r="H128" t="str" cm="1">
        <f t="array" ref="H128">IFERROR(VLOOKUP(INPUT!M123&amp;INPUT!N123,CHOOSE({1,2},INPUT!$A$3:$A$5000&amp;INPUT!$C$3:$C$5000,INPUT!$D$3:$D$5000),2,FALSE),"")</f>
        <v>TEC-TAC</v>
      </c>
      <c r="I128" s="46">
        <f>IF(INPUT!P123="","",INPUT!P123)</f>
        <v>80</v>
      </c>
      <c r="J128" s="46">
        <f>IF(INPUT!Q123="","",INPUT!Q123)</f>
        <v>79.5</v>
      </c>
      <c r="K128" s="46">
        <f>IFERROR(IF(OR(INPUT!P123="",INPUT!Q123=""),"",INPUT!P123-INPUT!Q123),"")</f>
        <v>0.5</v>
      </c>
      <c r="L128" s="48">
        <f>IFERROR(IF(OR(INPUT!P123="",INPUT!Q123="",INPUT!P123=0),"",(INPUT!P123-INPUT!Q123)/INPUT!P123),"")</f>
        <v>6.2500000000000003E-3</v>
      </c>
    </row>
    <row r="129" spans="1:12" ht="18" customHeight="1" x14ac:dyDescent="0.2">
      <c r="A129" s="11">
        <f>IF(INPUT!M124="","",INPUT!M124)</f>
        <v>45876</v>
      </c>
      <c r="B129" s="11">
        <f>IF(INPUT!M124="","",INPUT!M124-WEEKDAY(INPUT!M124,2)+1)</f>
        <v>45873</v>
      </c>
      <c r="C129" s="20">
        <f>IFERROR(_xlfn.ISOWEEKNUM(INPUT!M124),"")</f>
        <v>32</v>
      </c>
      <c r="D129" s="20">
        <f>IFERROR(YEAR(INPUT!M124),"")</f>
        <v>2025</v>
      </c>
      <c r="E129" t="str">
        <f>IF(INPUT!O124="","",INPUT!O124)</f>
        <v>HARRISON</v>
      </c>
      <c r="F129" t="str">
        <f>IF(INPUT!N124="","",INPUT!N124)</f>
        <v>T</v>
      </c>
      <c r="G129" t="str" cm="1">
        <f t="array" ref="G129">IFERROR(VLOOKUP(INPUT!M124&amp;INPUT!N124,CHOOSE({1,2},INPUT!$A$3:$A$5000&amp;INPUT!$C$3:$C$5000,INPUT!$F$3:$F$5000),2,FALSE),"")</f>
        <v>PRE-TEMPORADA</v>
      </c>
      <c r="H129" t="str" cm="1">
        <f t="array" ref="H129">IFERROR(VLOOKUP(INPUT!M124&amp;INPUT!N124,CHOOSE({1,2},INPUT!$A$3:$A$5000&amp;INPUT!$C$3:$C$5000,INPUT!$D$3:$D$5000),2,FALSE),"")</f>
        <v>TEC-TAC</v>
      </c>
      <c r="I129" s="46">
        <f>IF(INPUT!P124="","",INPUT!P124)</f>
        <v>72.099999999999994</v>
      </c>
      <c r="J129" s="46">
        <f>IF(INPUT!Q124="","",INPUT!Q124)</f>
        <v>72.3</v>
      </c>
      <c r="K129" s="46">
        <f>IFERROR(IF(OR(INPUT!P124="",INPUT!Q124=""),"",INPUT!P124-INPUT!Q124),"")</f>
        <v>-0.20000000000000284</v>
      </c>
      <c r="L129" s="48">
        <f>IFERROR(IF(OR(INPUT!P124="",INPUT!Q124="",INPUT!P124=0),"",(INPUT!P124-INPUT!Q124)/INPUT!P124),"")</f>
        <v>-2.7739251040222309E-3</v>
      </c>
    </row>
    <row r="130" spans="1:12" ht="18" customHeight="1" x14ac:dyDescent="0.2">
      <c r="A130" s="11">
        <f>IF(INPUT!M125="","",INPUT!M125)</f>
        <v>45876</v>
      </c>
      <c r="B130" s="11">
        <f>IF(INPUT!M125="","",INPUT!M125-WEEKDAY(INPUT!M125,2)+1)</f>
        <v>45873</v>
      </c>
      <c r="C130" s="20">
        <f>IFERROR(_xlfn.ISOWEEKNUM(INPUT!M125),"")</f>
        <v>32</v>
      </c>
      <c r="D130" s="20">
        <f>IFERROR(YEAR(INPUT!M125),"")</f>
        <v>2025</v>
      </c>
      <c r="E130" t="str">
        <f>IF(INPUT!O125="","",INPUT!O125)</f>
        <v>RAYA</v>
      </c>
      <c r="F130" t="str">
        <f>IF(INPUT!N125="","",INPUT!N125)</f>
        <v>T</v>
      </c>
      <c r="G130" t="str" cm="1">
        <f t="array" ref="G130">IFERROR(VLOOKUP(INPUT!M125&amp;INPUT!N125,CHOOSE({1,2},INPUT!$A$3:$A$5000&amp;INPUT!$C$3:$C$5000,INPUT!$F$3:$F$5000),2,FALSE),"")</f>
        <v>PRE-TEMPORADA</v>
      </c>
      <c r="H130" t="str" cm="1">
        <f t="array" ref="H130">IFERROR(VLOOKUP(INPUT!M125&amp;INPUT!N125,CHOOSE({1,2},INPUT!$A$3:$A$5000&amp;INPUT!$C$3:$C$5000,INPUT!$D$3:$D$5000),2,FALSE),"")</f>
        <v>TEC-TAC</v>
      </c>
      <c r="I130" s="46">
        <f>IF(INPUT!P125="","",INPUT!P125)</f>
        <v>82.5</v>
      </c>
      <c r="J130" s="46">
        <f>IF(INPUT!Q125="","",INPUT!Q125)</f>
        <v>81</v>
      </c>
      <c r="K130" s="46">
        <f>IFERROR(IF(OR(INPUT!P125="",INPUT!Q125=""),"",INPUT!P125-INPUT!Q125),"")</f>
        <v>1.5</v>
      </c>
      <c r="L130" s="48">
        <f>IFERROR(IF(OR(INPUT!P125="",INPUT!Q125="",INPUT!P125=0),"",(INPUT!P125-INPUT!Q125)/INPUT!P125),"")</f>
        <v>1.8181818181818181E-2</v>
      </c>
    </row>
    <row r="131" spans="1:12" ht="18" hidden="1" customHeight="1" x14ac:dyDescent="0.2">
      <c r="A131" s="11">
        <f>IF(INPUT!M126="","",INPUT!M126)</f>
        <v>45876</v>
      </c>
      <c r="B131" s="11">
        <f>IF(INPUT!M126="","",INPUT!M126-WEEKDAY(INPUT!M126,2)+1)</f>
        <v>45873</v>
      </c>
      <c r="C131" s="20">
        <f>IFERROR(_xlfn.ISOWEEKNUM(INPUT!M126),"")</f>
        <v>32</v>
      </c>
      <c r="D131" s="20">
        <f>IFERROR(YEAR(INPUT!M126),"")</f>
        <v>2025</v>
      </c>
      <c r="E131" t="str">
        <f>IF(INPUT!O126="","",INPUT!O126)</f>
        <v>JAVI</v>
      </c>
      <c r="F131" t="str">
        <f>IF(INPUT!N126="","",INPUT!N126)</f>
        <v>T</v>
      </c>
      <c r="G131" t="str" cm="1">
        <f t="array" ref="G131">IFERROR(VLOOKUP(INPUT!M126&amp;INPUT!N126,CHOOSE({1,2},INPUT!$A$3:$A$5000&amp;INPUT!$C$3:$C$5000,INPUT!$F$3:$F$5000),2,FALSE),"")</f>
        <v>PRE-TEMPORADA</v>
      </c>
      <c r="H131" t="str" cm="1">
        <f t="array" ref="H131">IFERROR(VLOOKUP(INPUT!M126&amp;INPUT!N126,CHOOSE({1,2},INPUT!$A$3:$A$5000&amp;INPUT!$C$3:$C$5000,INPUT!$D$3:$D$5000),2,FALSE),"")</f>
        <v>TEC-TAC</v>
      </c>
      <c r="I131" s="46">
        <f>IF(INPUT!P126="","",INPUT!P126)</f>
        <v>79.5</v>
      </c>
      <c r="J131" s="46">
        <f>IF(INPUT!Q126="","",INPUT!Q126)</f>
        <v>79.099999999999994</v>
      </c>
      <c r="K131" s="46">
        <f>IFERROR(IF(OR(INPUT!P126="",INPUT!Q126=""),"",INPUT!P126-INPUT!Q126),"")</f>
        <v>0.40000000000000568</v>
      </c>
      <c r="L131" s="48">
        <f>IFERROR(IF(OR(INPUT!P126="",INPUT!Q126="",INPUT!P126=0),"",(INPUT!P126-INPUT!Q126)/INPUT!P126),"")</f>
        <v>5.0314465408805749E-3</v>
      </c>
    </row>
    <row r="132" spans="1:12" ht="18" hidden="1" customHeight="1" x14ac:dyDescent="0.2">
      <c r="A132" s="11">
        <f>IF(INPUT!M127="","",INPUT!M127)</f>
        <v>45876</v>
      </c>
      <c r="B132" s="11">
        <f>IF(INPUT!M127="","",INPUT!M127-WEEKDAY(INPUT!M127,2)+1)</f>
        <v>45873</v>
      </c>
      <c r="C132" s="20">
        <f>IFERROR(_xlfn.ISOWEEKNUM(INPUT!M127),"")</f>
        <v>32</v>
      </c>
      <c r="D132" s="20">
        <f>IFERROR(YEAR(INPUT!M127),"")</f>
        <v>2025</v>
      </c>
      <c r="E132" t="str">
        <f>IF(INPUT!O127="","",INPUT!O127)</f>
        <v>PANI</v>
      </c>
      <c r="F132" t="str">
        <f>IF(INPUT!N127="","",INPUT!N127)</f>
        <v>T</v>
      </c>
      <c r="G132" t="str" cm="1">
        <f t="array" ref="G132">IFERROR(VLOOKUP(INPUT!M127&amp;INPUT!N127,CHOOSE({1,2},INPUT!$A$3:$A$5000&amp;INPUT!$C$3:$C$5000,INPUT!$F$3:$F$5000),2,FALSE),"")</f>
        <v>PRE-TEMPORADA</v>
      </c>
      <c r="H132" t="str" cm="1">
        <f t="array" ref="H132">IFERROR(VLOOKUP(INPUT!M127&amp;INPUT!N127,CHOOSE({1,2},INPUT!$A$3:$A$5000&amp;INPUT!$C$3:$C$5000,INPUT!$D$3:$D$5000),2,FALSE),"")</f>
        <v>TEC-TAC</v>
      </c>
      <c r="I132" s="46">
        <f>IF(INPUT!P127="","",INPUT!P127)</f>
        <v>70.400000000000006</v>
      </c>
      <c r="J132" s="46">
        <f>IF(INPUT!Q127="","",INPUT!Q127)</f>
        <v>70</v>
      </c>
      <c r="K132" s="46">
        <f>IFERROR(IF(OR(INPUT!P127="",INPUT!Q127=""),"",INPUT!P127-INPUT!Q127),"")</f>
        <v>0.40000000000000568</v>
      </c>
      <c r="L132" s="48">
        <f>IFERROR(IF(OR(INPUT!P127="",INPUT!Q127="",INPUT!P127=0),"",(INPUT!P127-INPUT!Q127)/INPUT!P127),"")</f>
        <v>5.6818181818182618E-3</v>
      </c>
    </row>
    <row r="133" spans="1:12" ht="18" hidden="1" customHeight="1" x14ac:dyDescent="0.2">
      <c r="A133" s="11">
        <f>IF(INPUT!M128="","",INPUT!M128)</f>
        <v>45876</v>
      </c>
      <c r="B133" s="11">
        <f>IF(INPUT!M128="","",INPUT!M128-WEEKDAY(INPUT!M128,2)+1)</f>
        <v>45873</v>
      </c>
      <c r="C133" s="20">
        <f>IFERROR(_xlfn.ISOWEEKNUM(INPUT!M128),"")</f>
        <v>32</v>
      </c>
      <c r="D133" s="20">
        <f>IFERROR(YEAR(INPUT!M128),"")</f>
        <v>2025</v>
      </c>
      <c r="E133" t="str">
        <f>IF(INPUT!O128="","",INPUT!O128)</f>
        <v>PIRATA</v>
      </c>
      <c r="F133" t="str">
        <f>IF(INPUT!N128="","",INPUT!N128)</f>
        <v>T</v>
      </c>
      <c r="G133" t="str" cm="1">
        <f t="array" ref="G133">IFERROR(VLOOKUP(INPUT!M128&amp;INPUT!N128,CHOOSE({1,2},INPUT!$A$3:$A$5000&amp;INPUT!$C$3:$C$5000,INPUT!$F$3:$F$5000),2,FALSE),"")</f>
        <v>PRE-TEMPORADA</v>
      </c>
      <c r="H133" t="str" cm="1">
        <f t="array" ref="H133">IFERROR(VLOOKUP(INPUT!M128&amp;INPUT!N128,CHOOSE({1,2},INPUT!$A$3:$A$5000&amp;INPUT!$C$3:$C$5000,INPUT!$D$3:$D$5000),2,FALSE),"")</f>
        <v>TEC-TAC</v>
      </c>
      <c r="I133" s="46">
        <f>IF(INPUT!P128="","",INPUT!P128)</f>
        <v>75.5</v>
      </c>
      <c r="J133" s="46">
        <f>IF(INPUT!Q128="","",INPUT!Q128)</f>
        <v>75.099999999999994</v>
      </c>
      <c r="K133" s="46">
        <f>IFERROR(IF(OR(INPUT!P128="",INPUT!Q128=""),"",INPUT!P128-INPUT!Q128),"")</f>
        <v>0.40000000000000568</v>
      </c>
      <c r="L133" s="48">
        <f>IFERROR(IF(OR(INPUT!P128="",INPUT!Q128="",INPUT!P128=0),"",(INPUT!P128-INPUT!Q128)/INPUT!P128),"")</f>
        <v>5.298013245033188E-3</v>
      </c>
    </row>
    <row r="134" spans="1:12" ht="18" hidden="1" customHeight="1" x14ac:dyDescent="0.2">
      <c r="A134" s="11">
        <f>IF(INPUT!M129="","",INPUT!M129)</f>
        <v>45876</v>
      </c>
      <c r="B134" s="11">
        <f>IF(INPUT!M129="","",INPUT!M129-WEEKDAY(INPUT!M129,2)+1)</f>
        <v>45873</v>
      </c>
      <c r="C134" s="20">
        <f>IFERROR(_xlfn.ISOWEEKNUM(INPUT!M129),"")</f>
        <v>32</v>
      </c>
      <c r="D134" s="20">
        <f>IFERROR(YEAR(INPUT!M129),"")</f>
        <v>2025</v>
      </c>
      <c r="E134" t="str">
        <f>IF(INPUT!O129="","",INPUT!O129)</f>
        <v>BARONA</v>
      </c>
      <c r="F134" t="str">
        <f>IF(INPUT!N129="","",INPUT!N129)</f>
        <v>T</v>
      </c>
      <c r="G134" t="str" cm="1">
        <f t="array" ref="G134">IFERROR(VLOOKUP(INPUT!M129&amp;INPUT!N129,CHOOSE({1,2},INPUT!$A$3:$A$5000&amp;INPUT!$C$3:$C$5000,INPUT!$F$3:$F$5000),2,FALSE),"")</f>
        <v>PRE-TEMPORADA</v>
      </c>
      <c r="H134" t="str" cm="1">
        <f t="array" ref="H134">IFERROR(VLOOKUP(INPUT!M129&amp;INPUT!N129,CHOOSE({1,2},INPUT!$A$3:$A$5000&amp;INPUT!$C$3:$C$5000,INPUT!$D$3:$D$5000),2,FALSE),"")</f>
        <v>TEC-TAC</v>
      </c>
      <c r="I134" s="46">
        <f>IF(INPUT!P129="","",INPUT!P129)</f>
        <v>70.599999999999994</v>
      </c>
      <c r="J134" s="46">
        <f>IF(INPUT!Q129="","",INPUT!Q129)</f>
        <v>70.2</v>
      </c>
      <c r="K134" s="46">
        <f>IFERROR(IF(OR(INPUT!P129="",INPUT!Q129=""),"",INPUT!P129-INPUT!Q129),"")</f>
        <v>0.39999999999999147</v>
      </c>
      <c r="L134" s="48">
        <f>IFERROR(IF(OR(INPUT!P129="",INPUT!Q129="",INPUT!P129=0),"",(INPUT!P129-INPUT!Q129)/INPUT!P129),"")</f>
        <v>5.6657223796032791E-3</v>
      </c>
    </row>
    <row r="135" spans="1:12" ht="18" hidden="1" customHeight="1" x14ac:dyDescent="0.2">
      <c r="A135" s="11">
        <f>IF(INPUT!M130="","",INPUT!M130)</f>
        <v>45876</v>
      </c>
      <c r="B135" s="11">
        <f>IF(INPUT!M130="","",INPUT!M130-WEEKDAY(INPUT!M130,2)+1)</f>
        <v>45873</v>
      </c>
      <c r="C135" s="20">
        <f>IFERROR(_xlfn.ISOWEEKNUM(INPUT!M130),"")</f>
        <v>32</v>
      </c>
      <c r="D135" s="20">
        <f>IFERROR(YEAR(INPUT!M130),"")</f>
        <v>2025</v>
      </c>
      <c r="E135" t="str">
        <f>IF(INPUT!O130="","",INPUT!O130)</f>
        <v>CARLOS</v>
      </c>
      <c r="F135" t="str">
        <f>IF(INPUT!N130="","",INPUT!N130)</f>
        <v>T</v>
      </c>
      <c r="G135" t="str" cm="1">
        <f t="array" ref="G135">IFERROR(VLOOKUP(INPUT!M130&amp;INPUT!N130,CHOOSE({1,2},INPUT!$A$3:$A$5000&amp;INPUT!$C$3:$C$5000,INPUT!$F$3:$F$5000),2,FALSE),"")</f>
        <v>PRE-TEMPORADA</v>
      </c>
      <c r="H135" t="str" cm="1">
        <f t="array" ref="H135">IFERROR(VLOOKUP(INPUT!M130&amp;INPUT!N130,CHOOSE({1,2},INPUT!$A$3:$A$5000&amp;INPUT!$C$3:$C$5000,INPUT!$D$3:$D$5000),2,FALSE),"")</f>
        <v>TEC-TAC</v>
      </c>
      <c r="I135" s="46">
        <f>IF(INPUT!P130="","",INPUT!P130)</f>
        <v>67.7</v>
      </c>
      <c r="J135" s="46">
        <f>IF(INPUT!Q130="","",INPUT!Q130)</f>
        <v>66.2</v>
      </c>
      <c r="K135" s="46">
        <f>IFERROR(IF(OR(INPUT!P130="",INPUT!Q130=""),"",INPUT!P130-INPUT!Q130),"")</f>
        <v>1.5</v>
      </c>
      <c r="L135" s="48">
        <f>IFERROR(IF(OR(INPUT!P130="",INPUT!Q130="",INPUT!P130=0),"",(INPUT!P130-INPUT!Q130)/INPUT!P130),"")</f>
        <v>2.2156573116691284E-2</v>
      </c>
    </row>
    <row r="136" spans="1:12" ht="18" hidden="1" customHeight="1" x14ac:dyDescent="0.2">
      <c r="A136" s="11">
        <f>IF(INPUT!M131="","",INPUT!M131)</f>
        <v>45876</v>
      </c>
      <c r="B136" s="11">
        <f>IF(INPUT!M131="","",INPUT!M131-WEEKDAY(INPUT!M131,2)+1)</f>
        <v>45873</v>
      </c>
      <c r="C136" s="20">
        <f>IFERROR(_xlfn.ISOWEEKNUM(INPUT!M131),"")</f>
        <v>32</v>
      </c>
      <c r="D136" s="20">
        <f>IFERROR(YEAR(INPUT!M131),"")</f>
        <v>2025</v>
      </c>
      <c r="E136" t="str">
        <f>IF(INPUT!O131="","",INPUT!O131)</f>
        <v>GONZALO</v>
      </c>
      <c r="F136" t="str">
        <f>IF(INPUT!N131="","",INPUT!N131)</f>
        <v>T</v>
      </c>
      <c r="G136" t="str" cm="1">
        <f t="array" ref="G136">IFERROR(VLOOKUP(INPUT!M131&amp;INPUT!N131,CHOOSE({1,2},INPUT!$A$3:$A$5000&amp;INPUT!$C$3:$C$5000,INPUT!$F$3:$F$5000),2,FALSE),"")</f>
        <v>PRE-TEMPORADA</v>
      </c>
      <c r="H136" t="str" cm="1">
        <f t="array" ref="H136">IFERROR(VLOOKUP(INPUT!M131&amp;INPUT!N131,CHOOSE({1,2},INPUT!$A$3:$A$5000&amp;INPUT!$C$3:$C$5000,INPUT!$D$3:$D$5000),2,FALSE),"")</f>
        <v>TEC-TAC</v>
      </c>
      <c r="I136" s="46">
        <f>IF(INPUT!P131="","",INPUT!P131)</f>
        <v>85.3</v>
      </c>
      <c r="J136" s="46">
        <f>IF(INPUT!Q131="","",INPUT!Q131)</f>
        <v>85.1</v>
      </c>
      <c r="K136" s="46">
        <f>IFERROR(IF(OR(INPUT!P131="",INPUT!Q131=""),"",INPUT!P131-INPUT!Q131),"")</f>
        <v>0.20000000000000284</v>
      </c>
      <c r="L136" s="48">
        <f>IFERROR(IF(OR(INPUT!P131="",INPUT!Q131="",INPUT!P131=0),"",(INPUT!P131-INPUT!Q131)/INPUT!P131),"")</f>
        <v>2.3446658851114049E-3</v>
      </c>
    </row>
    <row r="137" spans="1:12" ht="18" hidden="1" customHeight="1" x14ac:dyDescent="0.2">
      <c r="A137" s="11">
        <f>IF(INPUT!M132="","",INPUT!M132)</f>
        <v>45876</v>
      </c>
      <c r="B137" s="11">
        <f>IF(INPUT!M132="","",INPUT!M132-WEEKDAY(INPUT!M132,2)+1)</f>
        <v>45873</v>
      </c>
      <c r="C137" s="20">
        <f>IFERROR(_xlfn.ISOWEEKNUM(INPUT!M132),"")</f>
        <v>32</v>
      </c>
      <c r="D137" s="20">
        <f>IFERROR(YEAR(INPUT!M132),"")</f>
        <v>2025</v>
      </c>
      <c r="E137" t="str">
        <f>IF(INPUT!O132="","",INPUT!O132)</f>
        <v>RUBIO</v>
      </c>
      <c r="F137" t="str">
        <f>IF(INPUT!N132="","",INPUT!N132)</f>
        <v>T</v>
      </c>
      <c r="G137" t="str" cm="1">
        <f t="array" ref="G137">IFERROR(VLOOKUP(INPUT!M132&amp;INPUT!N132,CHOOSE({1,2},INPUT!$A$3:$A$5000&amp;INPUT!$C$3:$C$5000,INPUT!$F$3:$F$5000),2,FALSE),"")</f>
        <v>PRE-TEMPORADA</v>
      </c>
      <c r="H137" t="str" cm="1">
        <f t="array" ref="H137">IFERROR(VLOOKUP(INPUT!M132&amp;INPUT!N132,CHOOSE({1,2},INPUT!$A$3:$A$5000&amp;INPUT!$C$3:$C$5000,INPUT!$D$3:$D$5000),2,FALSE),"")</f>
        <v>TEC-TAC</v>
      </c>
      <c r="I137" s="46">
        <f>IF(INPUT!P132="","",INPUT!P132)</f>
        <v>74.7</v>
      </c>
      <c r="J137" s="46">
        <f>IF(INPUT!Q132="","",INPUT!Q132)</f>
        <v>74.599999999999994</v>
      </c>
      <c r="K137" s="46">
        <f>IFERROR(IF(OR(INPUT!P132="",INPUT!Q132=""),"",INPUT!P132-INPUT!Q132),"")</f>
        <v>0.10000000000000853</v>
      </c>
      <c r="L137" s="48">
        <f>IFERROR(IF(OR(INPUT!P132="",INPUT!Q132="",INPUT!P132=0),"",(INPUT!P132-INPUT!Q132)/INPUT!P132),"")</f>
        <v>1.3386880856761515E-3</v>
      </c>
    </row>
    <row r="138" spans="1:12" ht="18" hidden="1" customHeight="1" x14ac:dyDescent="0.2">
      <c r="A138" s="11">
        <f>IF(INPUT!M133="","",INPUT!M133)</f>
        <v>45876</v>
      </c>
      <c r="B138" s="11">
        <f>IF(INPUT!M133="","",INPUT!M133-WEEKDAY(INPUT!M133,2)+1)</f>
        <v>45873</v>
      </c>
      <c r="C138" s="20">
        <f>IFERROR(_xlfn.ISOWEEKNUM(INPUT!M133),"")</f>
        <v>32</v>
      </c>
      <c r="D138" s="20">
        <f>IFERROR(YEAR(INPUT!M133),"")</f>
        <v>2025</v>
      </c>
      <c r="E138" t="str">
        <f>IF(INPUT!O133="","",INPUT!O133)</f>
        <v>DANI</v>
      </c>
      <c r="F138" t="str">
        <f>IF(INPUT!N133="","",INPUT!N133)</f>
        <v>T</v>
      </c>
      <c r="G138" t="str" cm="1">
        <f t="array" ref="G138">IFERROR(VLOOKUP(INPUT!M133&amp;INPUT!N133,CHOOSE({1,2},INPUT!$A$3:$A$5000&amp;INPUT!$C$3:$C$5000,INPUT!$F$3:$F$5000),2,FALSE),"")</f>
        <v>PRE-TEMPORADA</v>
      </c>
      <c r="H138" t="str" cm="1">
        <f t="array" ref="H138">IFERROR(VLOOKUP(INPUT!M133&amp;INPUT!N133,CHOOSE({1,2},INPUT!$A$3:$A$5000&amp;INPUT!$C$3:$C$5000,INPUT!$D$3:$D$5000),2,FALSE),"")</f>
        <v>TEC-TAC</v>
      </c>
      <c r="I138" s="46">
        <f>IF(INPUT!P133="","",INPUT!P133)</f>
        <v>94.2</v>
      </c>
      <c r="J138" s="46">
        <f>IF(INPUT!Q133="","",INPUT!Q133)</f>
        <v>93.4</v>
      </c>
      <c r="K138" s="46">
        <f>IFERROR(IF(OR(INPUT!P133="",INPUT!Q133=""),"",INPUT!P133-INPUT!Q133),"")</f>
        <v>0.79999999999999716</v>
      </c>
      <c r="L138" s="48">
        <f>IFERROR(IF(OR(INPUT!P133="",INPUT!Q133="",INPUT!P133=0),"",(INPUT!P133-INPUT!Q133)/INPUT!P133),"")</f>
        <v>8.4925690021231126E-3</v>
      </c>
    </row>
    <row r="139" spans="1:12" ht="18" hidden="1" customHeight="1" x14ac:dyDescent="0.2">
      <c r="A139" s="11">
        <f>IF(INPUT!M134="","",INPUT!M134)</f>
        <v>45876</v>
      </c>
      <c r="B139" s="11">
        <f>IF(INPUT!M134="","",INPUT!M134-WEEKDAY(INPUT!M134,2)+1)</f>
        <v>45873</v>
      </c>
      <c r="C139" s="20">
        <f>IFERROR(_xlfn.ISOWEEKNUM(INPUT!M134),"")</f>
        <v>32</v>
      </c>
      <c r="D139" s="20">
        <f>IFERROR(YEAR(INPUT!M134),"")</f>
        <v>2025</v>
      </c>
      <c r="E139" t="str">
        <f>IF(INPUT!O134="","",INPUT!O134)</f>
        <v>JAIME</v>
      </c>
      <c r="F139" t="str">
        <f>IF(INPUT!N134="","",INPUT!N134)</f>
        <v>T</v>
      </c>
      <c r="G139" t="str" cm="1">
        <f t="array" ref="G139">IFERROR(VLOOKUP(INPUT!M134&amp;INPUT!N134,CHOOSE({1,2},INPUT!$A$3:$A$5000&amp;INPUT!$C$3:$C$5000,INPUT!$F$3:$F$5000),2,FALSE),"")</f>
        <v>PRE-TEMPORADA</v>
      </c>
      <c r="H139" t="str" cm="1">
        <f t="array" ref="H139">IFERROR(VLOOKUP(INPUT!M134&amp;INPUT!N134,CHOOSE({1,2},INPUT!$A$3:$A$5000&amp;INPUT!$C$3:$C$5000,INPUT!$D$3:$D$5000),2,FALSE),"")</f>
        <v>TEC-TAC</v>
      </c>
      <c r="I139" s="46">
        <f>IF(INPUT!P134="","",INPUT!P134)</f>
        <v>76.5</v>
      </c>
      <c r="J139" s="46">
        <f>IF(INPUT!Q134="","",INPUT!Q134)</f>
        <v>75.5</v>
      </c>
      <c r="K139" s="46">
        <f>IFERROR(IF(OR(INPUT!P134="",INPUT!Q134=""),"",INPUT!P134-INPUT!Q134),"")</f>
        <v>1</v>
      </c>
      <c r="L139" s="48">
        <f>IFERROR(IF(OR(INPUT!P134="",INPUT!Q134="",INPUT!P134=0),"",(INPUT!P134-INPUT!Q134)/INPUT!P134),"")</f>
        <v>1.3071895424836602E-2</v>
      </c>
    </row>
    <row r="140" spans="1:12" ht="18" hidden="1" customHeight="1" x14ac:dyDescent="0.2">
      <c r="A140" s="11">
        <f>IF(INPUT!M135="","",INPUT!M135)</f>
        <v>45877</v>
      </c>
      <c r="B140" s="11">
        <f>IF(INPUT!M135="","",INPUT!M135-WEEKDAY(INPUT!M135,2)+1)</f>
        <v>45873</v>
      </c>
      <c r="C140" s="20">
        <f>IFERROR(_xlfn.ISOWEEKNUM(INPUT!M135),"")</f>
        <v>32</v>
      </c>
      <c r="D140" s="20">
        <f>IFERROR(YEAR(INPUT!M135),"")</f>
        <v>2025</v>
      </c>
      <c r="E140" t="str">
        <f>IF(INPUT!O135="","",INPUT!O135)</f>
        <v>HERRERO</v>
      </c>
      <c r="F140" t="str">
        <f>IF(INPUT!N135="","",INPUT!N135)</f>
        <v>M</v>
      </c>
      <c r="G140" t="str" cm="1">
        <f t="array" ref="G140">IFERROR(VLOOKUP(INPUT!M135&amp;INPUT!N135,CHOOSE({1,2},INPUT!$A$3:$A$5000&amp;INPUT!$C$3:$C$5000,INPUT!$F$3:$F$5000),2,FALSE),"")</f>
        <v>PRE-TEMPORADA</v>
      </c>
      <c r="H140" t="str" cm="1">
        <f t="array" ref="H140">IFERROR(VLOOKUP(INPUT!M135&amp;INPUT!N135,CHOOSE({1,2},INPUT!$A$3:$A$5000&amp;INPUT!$C$3:$C$5000,INPUT!$D$3:$D$5000),2,FALSE),"")</f>
        <v>TEC-TAC</v>
      </c>
      <c r="I140" s="46">
        <f>IF(INPUT!P135="","",INPUT!P135)</f>
        <v>76.8</v>
      </c>
      <c r="J140" s="46">
        <f>IF(INPUT!Q135="","",INPUT!Q135)</f>
        <v>76</v>
      </c>
      <c r="K140" s="46">
        <f>IFERROR(IF(OR(INPUT!P135="",INPUT!Q135=""),"",INPUT!P135-INPUT!Q135),"")</f>
        <v>0.79999999999999716</v>
      </c>
      <c r="L140" s="48">
        <f>IFERROR(IF(OR(INPUT!P135="",INPUT!Q135="",INPUT!P135=0),"",(INPUT!P135-INPUT!Q135)/INPUT!P135),"")</f>
        <v>1.041666666666663E-2</v>
      </c>
    </row>
    <row r="141" spans="1:12" ht="18" hidden="1" customHeight="1" x14ac:dyDescent="0.2">
      <c r="A141" s="11">
        <f>IF(INPUT!M136="","",INPUT!M136)</f>
        <v>45877</v>
      </c>
      <c r="B141" s="11">
        <f>IF(INPUT!M136="","",INPUT!M136-WEEKDAY(INPUT!M136,2)+1)</f>
        <v>45873</v>
      </c>
      <c r="C141" s="20">
        <f>IFERROR(_xlfn.ISOWEEKNUM(INPUT!M136),"")</f>
        <v>32</v>
      </c>
      <c r="D141" s="20">
        <f>IFERROR(YEAR(INPUT!M136),"")</f>
        <v>2025</v>
      </c>
      <c r="E141" t="str">
        <f>IF(INPUT!O136="","",INPUT!O136)</f>
        <v>HERRERO</v>
      </c>
      <c r="F141" t="str">
        <f>IF(INPUT!N136="","",INPUT!N136)</f>
        <v>T</v>
      </c>
      <c r="G141" t="str" cm="1">
        <f t="array" ref="G141">IFERROR(VLOOKUP(INPUT!M136&amp;INPUT!N136,CHOOSE({1,2},INPUT!$A$3:$A$5000&amp;INPUT!$C$3:$C$5000,INPUT!$F$3:$F$5000),2,FALSE),"")</f>
        <v>PRE-TEMPORADA</v>
      </c>
      <c r="H141" t="str" cm="1">
        <f t="array" ref="H141">IFERROR(VLOOKUP(INPUT!M136&amp;INPUT!N136,CHOOSE({1,2},INPUT!$A$3:$A$5000&amp;INPUT!$C$3:$C$5000,INPUT!$D$3:$D$5000),2,FALSE),"")</f>
        <v>PARTIDO</v>
      </c>
      <c r="I141" s="46">
        <f>IF(INPUT!P136="","",INPUT!P136)</f>
        <v>77.099999999999994</v>
      </c>
      <c r="J141" s="46">
        <f>IF(INPUT!Q136="","",INPUT!Q136)</f>
        <v>76.5</v>
      </c>
      <c r="K141" s="46">
        <f>IFERROR(IF(OR(INPUT!P136="",INPUT!Q136=""),"",INPUT!P136-INPUT!Q136),"")</f>
        <v>0.59999999999999432</v>
      </c>
      <c r="L141" s="48">
        <f>IFERROR(IF(OR(INPUT!P136="",INPUT!Q136="",INPUT!P136=0),"",(INPUT!P136-INPUT!Q136)/INPUT!P136),"")</f>
        <v>7.7821011673151023E-3</v>
      </c>
    </row>
    <row r="142" spans="1:12" ht="18" hidden="1" customHeight="1" x14ac:dyDescent="0.2">
      <c r="A142" s="11">
        <f>IF(INPUT!M137="","",INPUT!M137)</f>
        <v>45877</v>
      </c>
      <c r="B142" s="11">
        <f>IF(INPUT!M137="","",INPUT!M137-WEEKDAY(INPUT!M137,2)+1)</f>
        <v>45873</v>
      </c>
      <c r="C142" s="20">
        <f>IFERROR(_xlfn.ISOWEEKNUM(INPUT!M137),"")</f>
        <v>32</v>
      </c>
      <c r="D142" s="20">
        <f>IFERROR(YEAR(INPUT!M137),"")</f>
        <v>2025</v>
      </c>
      <c r="E142" t="str">
        <f>IF(INPUT!O137="","",INPUT!O137)</f>
        <v>GARCIA</v>
      </c>
      <c r="F142" t="str">
        <f>IF(INPUT!N137="","",INPUT!N137)</f>
        <v>M</v>
      </c>
      <c r="G142" t="str" cm="1">
        <f t="array" ref="G142">IFERROR(VLOOKUP(INPUT!M137&amp;INPUT!N137,CHOOSE({1,2},INPUT!$A$3:$A$5000&amp;INPUT!$C$3:$C$5000,INPUT!$F$3:$F$5000),2,FALSE),"")</f>
        <v>PRE-TEMPORADA</v>
      </c>
      <c r="H142" t="str" cm="1">
        <f t="array" ref="H142">IFERROR(VLOOKUP(INPUT!M137&amp;INPUT!N137,CHOOSE({1,2},INPUT!$A$3:$A$5000&amp;INPUT!$C$3:$C$5000,INPUT!$D$3:$D$5000),2,FALSE),"")</f>
        <v>TEC-TAC</v>
      </c>
      <c r="I142" s="46">
        <f>IF(INPUT!P137="","",INPUT!P137)</f>
        <v>79</v>
      </c>
      <c r="J142" s="46">
        <f>IF(INPUT!Q137="","",INPUT!Q137)</f>
        <v>78.8</v>
      </c>
      <c r="K142" s="46">
        <f>IFERROR(IF(OR(INPUT!P137="",INPUT!Q137=""),"",INPUT!P137-INPUT!Q137),"")</f>
        <v>0.20000000000000284</v>
      </c>
      <c r="L142" s="48">
        <f>IFERROR(IF(OR(INPUT!P137="",INPUT!Q137="",INPUT!P137=0),"",(INPUT!P137-INPUT!Q137)/INPUT!P137),"")</f>
        <v>2.5316455696202892E-3</v>
      </c>
    </row>
    <row r="143" spans="1:12" ht="18" hidden="1" customHeight="1" x14ac:dyDescent="0.2">
      <c r="A143" s="11">
        <f>IF(INPUT!M138="","",INPUT!M138)</f>
        <v>45877</v>
      </c>
      <c r="B143" s="11">
        <f>IF(INPUT!M138="","",INPUT!M138-WEEKDAY(INPUT!M138,2)+1)</f>
        <v>45873</v>
      </c>
      <c r="C143" s="20">
        <f>IFERROR(_xlfn.ISOWEEKNUM(INPUT!M138),"")</f>
        <v>32</v>
      </c>
      <c r="D143" s="20">
        <f>IFERROR(YEAR(INPUT!M138),"")</f>
        <v>2025</v>
      </c>
      <c r="E143" t="str">
        <f>IF(INPUT!O138="","",INPUT!O138)</f>
        <v>GARCIA</v>
      </c>
      <c r="F143" t="str">
        <f>IF(INPUT!N138="","",INPUT!N138)</f>
        <v>T</v>
      </c>
      <c r="G143" t="str" cm="1">
        <f t="array" ref="G143">IFERROR(VLOOKUP(INPUT!M138&amp;INPUT!N138,CHOOSE({1,2},INPUT!$A$3:$A$5000&amp;INPUT!$C$3:$C$5000,INPUT!$F$3:$F$5000),2,FALSE),"")</f>
        <v>PRE-TEMPORADA</v>
      </c>
      <c r="H143" t="str" cm="1">
        <f t="array" ref="H143">IFERROR(VLOOKUP(INPUT!M138&amp;INPUT!N138,CHOOSE({1,2},INPUT!$A$3:$A$5000&amp;INPUT!$C$3:$C$5000,INPUT!$D$3:$D$5000),2,FALSE),"")</f>
        <v>PARTIDO</v>
      </c>
      <c r="I143" s="46">
        <f>IF(INPUT!P138="","",INPUT!P138)</f>
        <v>78.8</v>
      </c>
      <c r="J143" s="46">
        <f>IF(INPUT!Q138="","",INPUT!Q138)</f>
        <v>78.7</v>
      </c>
      <c r="K143" s="46">
        <f>IFERROR(IF(OR(INPUT!P138="",INPUT!Q138=""),"",INPUT!P138-INPUT!Q138),"")</f>
        <v>9.9999999999994316E-2</v>
      </c>
      <c r="L143" s="48">
        <f>IFERROR(IF(OR(INPUT!P138="",INPUT!Q138="",INPUT!P138=0),"",(INPUT!P138-INPUT!Q138)/INPUT!P138),"")</f>
        <v>1.2690355329948518E-3</v>
      </c>
    </row>
    <row r="144" spans="1:12" ht="18" hidden="1" customHeight="1" x14ac:dyDescent="0.2">
      <c r="A144" s="11">
        <f>IF(INPUT!M139="","",INPUT!M139)</f>
        <v>45877</v>
      </c>
      <c r="B144" s="11">
        <f>IF(INPUT!M139="","",INPUT!M139-WEEKDAY(INPUT!M139,2)+1)</f>
        <v>45873</v>
      </c>
      <c r="C144" s="20">
        <f>IFERROR(_xlfn.ISOWEEKNUM(INPUT!M139),"")</f>
        <v>32</v>
      </c>
      <c r="D144" s="20">
        <f>IFERROR(YEAR(INPUT!M139),"")</f>
        <v>2025</v>
      </c>
      <c r="E144" t="str">
        <f>IF(INPUT!O139="","",INPUT!O139)</f>
        <v>OSCAR</v>
      </c>
      <c r="F144" t="str">
        <f>IF(INPUT!N139="","",INPUT!N139)</f>
        <v>M</v>
      </c>
      <c r="G144" t="str" cm="1">
        <f t="array" ref="G144">IFERROR(VLOOKUP(INPUT!M139&amp;INPUT!N139,CHOOSE({1,2},INPUT!$A$3:$A$5000&amp;INPUT!$C$3:$C$5000,INPUT!$F$3:$F$5000),2,FALSE),"")</f>
        <v>PRE-TEMPORADA</v>
      </c>
      <c r="H144" t="str" cm="1">
        <f t="array" ref="H144">IFERROR(VLOOKUP(INPUT!M139&amp;INPUT!N139,CHOOSE({1,2},INPUT!$A$3:$A$5000&amp;INPUT!$C$3:$C$5000,INPUT!$D$3:$D$5000),2,FALSE),"")</f>
        <v>TEC-TAC</v>
      </c>
      <c r="I144" s="46">
        <f>IF(INPUT!P139="","",INPUT!P139)</f>
        <v>89.7</v>
      </c>
      <c r="J144" s="46">
        <f>IF(INPUT!Q139="","",INPUT!Q139)</f>
        <v>88.6</v>
      </c>
      <c r="K144" s="46">
        <f>IFERROR(IF(OR(INPUT!P139="",INPUT!Q139=""),"",INPUT!P139-INPUT!Q139),"")</f>
        <v>1.1000000000000085</v>
      </c>
      <c r="L144" s="48">
        <f>IFERROR(IF(OR(INPUT!P139="",INPUT!Q139="",INPUT!P139=0),"",(INPUT!P139-INPUT!Q139)/INPUT!P139),"")</f>
        <v>1.2263099219621054E-2</v>
      </c>
    </row>
    <row r="145" spans="1:12" ht="18" hidden="1" customHeight="1" x14ac:dyDescent="0.2">
      <c r="A145" s="11">
        <f>IF(INPUT!M140="","",INPUT!M140)</f>
        <v>45877</v>
      </c>
      <c r="B145" s="11">
        <f>IF(INPUT!M140="","",INPUT!M140-WEEKDAY(INPUT!M140,2)+1)</f>
        <v>45873</v>
      </c>
      <c r="C145" s="20">
        <f>IFERROR(_xlfn.ISOWEEKNUM(INPUT!M140),"")</f>
        <v>32</v>
      </c>
      <c r="D145" s="20">
        <f>IFERROR(YEAR(INPUT!M140),"")</f>
        <v>2025</v>
      </c>
      <c r="E145" t="str">
        <f>IF(INPUT!O140="","",INPUT!O140)</f>
        <v>CECILIO</v>
      </c>
      <c r="F145" t="str">
        <f>IF(INPUT!N140="","",INPUT!N140)</f>
        <v>M</v>
      </c>
      <c r="G145" t="str" cm="1">
        <f t="array" ref="G145">IFERROR(VLOOKUP(INPUT!M140&amp;INPUT!N140,CHOOSE({1,2},INPUT!$A$3:$A$5000&amp;INPUT!$C$3:$C$5000,INPUT!$F$3:$F$5000),2,FALSE),"")</f>
        <v>PRE-TEMPORADA</v>
      </c>
      <c r="H145" t="str" cm="1">
        <f t="array" ref="H145">IFERROR(VLOOKUP(INPUT!M140&amp;INPUT!N140,CHOOSE({1,2},INPUT!$A$3:$A$5000&amp;INPUT!$C$3:$C$5000,INPUT!$D$3:$D$5000),2,FALSE),"")</f>
        <v>TEC-TAC</v>
      </c>
      <c r="I145" s="46">
        <f>IF(INPUT!P140="","",INPUT!P140)</f>
        <v>69</v>
      </c>
      <c r="J145" s="46">
        <f>IF(INPUT!Q140="","",INPUT!Q140)</f>
        <v>68.2</v>
      </c>
      <c r="K145" s="46">
        <f>IFERROR(IF(OR(INPUT!P140="",INPUT!Q140=""),"",INPUT!P140-INPUT!Q140),"")</f>
        <v>0.79999999999999716</v>
      </c>
      <c r="L145" s="48">
        <f>IFERROR(IF(OR(INPUT!P140="",INPUT!Q140="",INPUT!P140=0),"",(INPUT!P140-INPUT!Q140)/INPUT!P140),"")</f>
        <v>1.1594202898550683E-2</v>
      </c>
    </row>
    <row r="146" spans="1:12" ht="18" hidden="1" customHeight="1" x14ac:dyDescent="0.2">
      <c r="A146" s="11">
        <f>IF(INPUT!M141="","",INPUT!M141)</f>
        <v>45877</v>
      </c>
      <c r="B146" s="11">
        <f>IF(INPUT!M141="","",INPUT!M141-WEEKDAY(INPUT!M141,2)+1)</f>
        <v>45873</v>
      </c>
      <c r="C146" s="20">
        <f>IFERROR(_xlfn.ISOWEEKNUM(INPUT!M141),"")</f>
        <v>32</v>
      </c>
      <c r="D146" s="20">
        <f>IFERROR(YEAR(INPUT!M141),"")</f>
        <v>2025</v>
      </c>
      <c r="E146" t="str">
        <f>IF(INPUT!O141="","",INPUT!O141)</f>
        <v>CECILIO</v>
      </c>
      <c r="F146" t="str">
        <f>IF(INPUT!N141="","",INPUT!N141)</f>
        <v>T</v>
      </c>
      <c r="G146" t="str" cm="1">
        <f t="array" ref="G146">IFERROR(VLOOKUP(INPUT!M141&amp;INPUT!N141,CHOOSE({1,2},INPUT!$A$3:$A$5000&amp;INPUT!$C$3:$C$5000,INPUT!$F$3:$F$5000),2,FALSE),"")</f>
        <v>PRE-TEMPORADA</v>
      </c>
      <c r="H146" t="str" cm="1">
        <f t="array" ref="H146">IFERROR(VLOOKUP(INPUT!M141&amp;INPUT!N141,CHOOSE({1,2},INPUT!$A$3:$A$5000&amp;INPUT!$C$3:$C$5000,INPUT!$D$3:$D$5000),2,FALSE),"")</f>
        <v>PARTIDO</v>
      </c>
      <c r="I146" s="46">
        <f>IF(INPUT!P141="","",INPUT!P141)</f>
        <v>69.5</v>
      </c>
      <c r="J146" s="46">
        <f>IF(INPUT!Q141="","",INPUT!Q141)</f>
        <v>68.599999999999994</v>
      </c>
      <c r="K146" s="46">
        <f>IFERROR(IF(OR(INPUT!P141="",INPUT!Q141=""),"",INPUT!P141-INPUT!Q141),"")</f>
        <v>0.90000000000000568</v>
      </c>
      <c r="L146" s="48">
        <f>IFERROR(IF(OR(INPUT!P141="",INPUT!Q141="",INPUT!P141=0),"",(INPUT!P141-INPUT!Q141)/INPUT!P141),"")</f>
        <v>1.2949640287769865E-2</v>
      </c>
    </row>
    <row r="147" spans="1:12" ht="18" hidden="1" customHeight="1" x14ac:dyDescent="0.2">
      <c r="A147" s="11">
        <f>IF(INPUT!M142="","",INPUT!M142)</f>
        <v>45877</v>
      </c>
      <c r="B147" s="11">
        <f>IF(INPUT!M142="","",INPUT!M142-WEEKDAY(INPUT!M142,2)+1)</f>
        <v>45873</v>
      </c>
      <c r="C147" s="20">
        <f>IFERROR(_xlfn.ISOWEEKNUM(INPUT!M142),"")</f>
        <v>32</v>
      </c>
      <c r="D147" s="20">
        <f>IFERROR(YEAR(INPUT!M142),"")</f>
        <v>2025</v>
      </c>
      <c r="E147" t="str">
        <f>IF(INPUT!O142="","",INPUT!O142)</f>
        <v>CHAGUINHA</v>
      </c>
      <c r="F147" t="str">
        <f>IF(INPUT!N142="","",INPUT!N142)</f>
        <v>M</v>
      </c>
      <c r="G147" t="str" cm="1">
        <f t="array" ref="G147">IFERROR(VLOOKUP(INPUT!M142&amp;INPUT!N142,CHOOSE({1,2},INPUT!$A$3:$A$5000&amp;INPUT!$C$3:$C$5000,INPUT!$F$3:$F$5000),2,FALSE),"")</f>
        <v>PRE-TEMPORADA</v>
      </c>
      <c r="H147" t="str" cm="1">
        <f t="array" ref="H147">IFERROR(VLOOKUP(INPUT!M142&amp;INPUT!N142,CHOOSE({1,2},INPUT!$A$3:$A$5000&amp;INPUT!$C$3:$C$5000,INPUT!$D$3:$D$5000),2,FALSE),"")</f>
        <v>TEC-TAC</v>
      </c>
      <c r="I147" s="46">
        <f>IF(INPUT!P142="","",INPUT!P142)</f>
        <v>68.3</v>
      </c>
      <c r="J147" s="46">
        <f>IF(INPUT!Q142="","",INPUT!Q142)</f>
        <v>68</v>
      </c>
      <c r="K147" s="46">
        <f>IFERROR(IF(OR(INPUT!P142="",INPUT!Q142=""),"",INPUT!P142-INPUT!Q142),"")</f>
        <v>0.29999999999999716</v>
      </c>
      <c r="L147" s="48">
        <f>IFERROR(IF(OR(INPUT!P142="",INPUT!Q142="",INPUT!P142=0),"",(INPUT!P142-INPUT!Q142)/INPUT!P142),"")</f>
        <v>4.3923865300145998E-3</v>
      </c>
    </row>
    <row r="148" spans="1:12" ht="18" hidden="1" customHeight="1" x14ac:dyDescent="0.2">
      <c r="A148" s="11">
        <f>IF(INPUT!M143="","",INPUT!M143)</f>
        <v>45877</v>
      </c>
      <c r="B148" s="11">
        <f>IF(INPUT!M143="","",INPUT!M143-WEEKDAY(INPUT!M143,2)+1)</f>
        <v>45873</v>
      </c>
      <c r="C148" s="20">
        <f>IFERROR(_xlfn.ISOWEEKNUM(INPUT!M143),"")</f>
        <v>32</v>
      </c>
      <c r="D148" s="20">
        <f>IFERROR(YEAR(INPUT!M143),"")</f>
        <v>2025</v>
      </c>
      <c r="E148" t="str">
        <f>IF(INPUT!O143="","",INPUT!O143)</f>
        <v>CHAGUINHA</v>
      </c>
      <c r="F148" t="str">
        <f>IF(INPUT!N143="","",INPUT!N143)</f>
        <v>T</v>
      </c>
      <c r="G148" t="str" cm="1">
        <f t="array" ref="G148">IFERROR(VLOOKUP(INPUT!M143&amp;INPUT!N143,CHOOSE({1,2},INPUT!$A$3:$A$5000&amp;INPUT!$C$3:$C$5000,INPUT!$F$3:$F$5000),2,FALSE),"")</f>
        <v>PRE-TEMPORADA</v>
      </c>
      <c r="H148" t="str" cm="1">
        <f t="array" ref="H148">IFERROR(VLOOKUP(INPUT!M143&amp;INPUT!N143,CHOOSE({1,2},INPUT!$A$3:$A$5000&amp;INPUT!$C$3:$C$5000,INPUT!$D$3:$D$5000),2,FALSE),"")</f>
        <v>PARTIDO</v>
      </c>
      <c r="I148" s="46">
        <f>IF(INPUT!P143="","",INPUT!P143)</f>
        <v>68.599999999999994</v>
      </c>
      <c r="J148" s="46">
        <f>IF(INPUT!Q143="","",INPUT!Q143)</f>
        <v>68</v>
      </c>
      <c r="K148" s="46">
        <f>IFERROR(IF(OR(INPUT!P143="",INPUT!Q143=""),"",INPUT!P143-INPUT!Q143),"")</f>
        <v>0.59999999999999432</v>
      </c>
      <c r="L148" s="48">
        <f>IFERROR(IF(OR(INPUT!P143="",INPUT!Q143="",INPUT!P143=0),"",(INPUT!P143-INPUT!Q143)/INPUT!P143),"")</f>
        <v>8.7463556851311124E-3</v>
      </c>
    </row>
    <row r="149" spans="1:12" ht="18" hidden="1" customHeight="1" x14ac:dyDescent="0.2">
      <c r="A149" s="11">
        <f>IF(INPUT!M144="","",INPUT!M144)</f>
        <v>45877</v>
      </c>
      <c r="B149" s="11">
        <f>IF(INPUT!M144="","",INPUT!M144-WEEKDAY(INPUT!M144,2)+1)</f>
        <v>45873</v>
      </c>
      <c r="C149" s="20">
        <f>IFERROR(_xlfn.ISOWEEKNUM(INPUT!M144),"")</f>
        <v>32</v>
      </c>
      <c r="D149" s="20">
        <f>IFERROR(YEAR(INPUT!M144),"")</f>
        <v>2025</v>
      </c>
      <c r="E149" t="str">
        <f>IF(INPUT!O144="","",INPUT!O144)</f>
        <v>RAUL</v>
      </c>
      <c r="F149" t="str">
        <f>IF(INPUT!N144="","",INPUT!N144)</f>
        <v>M</v>
      </c>
      <c r="G149" t="str" cm="1">
        <f t="array" ref="G149">IFERROR(VLOOKUP(INPUT!M144&amp;INPUT!N144,CHOOSE({1,2},INPUT!$A$3:$A$5000&amp;INPUT!$C$3:$C$5000,INPUT!$F$3:$F$5000),2,FALSE),"")</f>
        <v>PRE-TEMPORADA</v>
      </c>
      <c r="H149" t="str" cm="1">
        <f t="array" ref="H149">IFERROR(VLOOKUP(INPUT!M144&amp;INPUT!N144,CHOOSE({1,2},INPUT!$A$3:$A$5000&amp;INPUT!$C$3:$C$5000,INPUT!$D$3:$D$5000),2,FALSE),"")</f>
        <v>TEC-TAC</v>
      </c>
      <c r="I149" s="46">
        <f>IF(INPUT!P144="","",INPUT!P144)</f>
        <v>79.400000000000006</v>
      </c>
      <c r="J149" s="46">
        <f>IF(INPUT!Q144="","",INPUT!Q144)</f>
        <v>79.3</v>
      </c>
      <c r="K149" s="46">
        <f>IFERROR(IF(OR(INPUT!P144="",INPUT!Q144=""),"",INPUT!P144-INPUT!Q144),"")</f>
        <v>0.10000000000000853</v>
      </c>
      <c r="L149" s="48">
        <f>IFERROR(IF(OR(INPUT!P144="",INPUT!Q144="",INPUT!P144=0),"",(INPUT!P144-INPUT!Q144)/INPUT!P144),"")</f>
        <v>1.2594458438288227E-3</v>
      </c>
    </row>
    <row r="150" spans="1:12" ht="18" hidden="1" customHeight="1" x14ac:dyDescent="0.2">
      <c r="A150" s="11">
        <f>IF(INPUT!M145="","",INPUT!M145)</f>
        <v>45877</v>
      </c>
      <c r="B150" s="11">
        <f>IF(INPUT!M145="","",INPUT!M145-WEEKDAY(INPUT!M145,2)+1)</f>
        <v>45873</v>
      </c>
      <c r="C150" s="20">
        <f>IFERROR(_xlfn.ISOWEEKNUM(INPUT!M145),"")</f>
        <v>32</v>
      </c>
      <c r="D150" s="20">
        <f>IFERROR(YEAR(INPUT!M145),"")</f>
        <v>2025</v>
      </c>
      <c r="E150" t="str">
        <f>IF(INPUT!O145="","",INPUT!O145)</f>
        <v>RAUL</v>
      </c>
      <c r="F150" t="str">
        <f>IF(INPUT!N145="","",INPUT!N145)</f>
        <v>T</v>
      </c>
      <c r="G150" t="str" cm="1">
        <f t="array" ref="G150">IFERROR(VLOOKUP(INPUT!M145&amp;INPUT!N145,CHOOSE({1,2},INPUT!$A$3:$A$5000&amp;INPUT!$C$3:$C$5000,INPUT!$F$3:$F$5000),2,FALSE),"")</f>
        <v>PRE-TEMPORADA</v>
      </c>
      <c r="H150" t="str" cm="1">
        <f t="array" ref="H150">IFERROR(VLOOKUP(INPUT!M145&amp;INPUT!N145,CHOOSE({1,2},INPUT!$A$3:$A$5000&amp;INPUT!$C$3:$C$5000,INPUT!$D$3:$D$5000),2,FALSE),"")</f>
        <v>PARTIDO</v>
      </c>
      <c r="I150" s="46">
        <f>IF(INPUT!P145="","",INPUT!P145)</f>
        <v>79.900000000000006</v>
      </c>
      <c r="J150" s="46">
        <f>IF(INPUT!Q145="","",INPUT!Q145)</f>
        <v>79.2</v>
      </c>
      <c r="K150" s="46">
        <f>IFERROR(IF(OR(INPUT!P145="",INPUT!Q145=""),"",INPUT!P145-INPUT!Q145),"")</f>
        <v>0.70000000000000284</v>
      </c>
      <c r="L150" s="48">
        <f>IFERROR(IF(OR(INPUT!P145="",INPUT!Q145="",INPUT!P145=0),"",(INPUT!P145-INPUT!Q145)/INPUT!P145),"")</f>
        <v>8.7609511889862671E-3</v>
      </c>
    </row>
    <row r="151" spans="1:12" ht="18" hidden="1" customHeight="1" x14ac:dyDescent="0.2">
      <c r="A151" s="11">
        <f>IF(INPUT!M146="","",INPUT!M146)</f>
        <v>45877</v>
      </c>
      <c r="B151" s="11">
        <f>IF(INPUT!M146="","",INPUT!M146-WEEKDAY(INPUT!M146,2)+1)</f>
        <v>45873</v>
      </c>
      <c r="C151" s="20">
        <f>IFERROR(_xlfn.ISOWEEKNUM(INPUT!M146),"")</f>
        <v>32</v>
      </c>
      <c r="D151" s="20">
        <f>IFERROR(YEAR(INPUT!M146),"")</f>
        <v>2025</v>
      </c>
      <c r="E151" t="str">
        <f>IF(INPUT!O146="","",INPUT!O146)</f>
        <v>HARRISON</v>
      </c>
      <c r="F151" t="str">
        <f>IF(INPUT!N146="","",INPUT!N146)</f>
        <v>M</v>
      </c>
      <c r="G151" t="str" cm="1">
        <f t="array" ref="G151">IFERROR(VLOOKUP(INPUT!M146&amp;INPUT!N146,CHOOSE({1,2},INPUT!$A$3:$A$5000&amp;INPUT!$C$3:$C$5000,INPUT!$F$3:$F$5000),2,FALSE),"")</f>
        <v>PRE-TEMPORADA</v>
      </c>
      <c r="H151" t="str" cm="1">
        <f t="array" ref="H151">IFERROR(VLOOKUP(INPUT!M146&amp;INPUT!N146,CHOOSE({1,2},INPUT!$A$3:$A$5000&amp;INPUT!$C$3:$C$5000,INPUT!$D$3:$D$5000),2,FALSE),"")</f>
        <v>TEC-TAC</v>
      </c>
      <c r="I151" s="46">
        <f>IF(INPUT!P146="","",INPUT!P146)</f>
        <v>71.8</v>
      </c>
      <c r="J151" s="46">
        <f>IF(INPUT!Q146="","",INPUT!Q146)</f>
        <v>71.8</v>
      </c>
      <c r="K151" s="46">
        <f>IFERROR(IF(OR(INPUT!P146="",INPUT!Q146=""),"",INPUT!P146-INPUT!Q146),"")</f>
        <v>0</v>
      </c>
      <c r="L151" s="48">
        <f>IFERROR(IF(OR(INPUT!P146="",INPUT!Q146="",INPUT!P146=0),"",(INPUT!P146-INPUT!Q146)/INPUT!P146),"")</f>
        <v>0</v>
      </c>
    </row>
    <row r="152" spans="1:12" ht="18" hidden="1" customHeight="1" x14ac:dyDescent="0.2">
      <c r="A152" s="11">
        <f>IF(INPUT!M147="","",INPUT!M147)</f>
        <v>45877</v>
      </c>
      <c r="B152" s="11">
        <f>IF(INPUT!M147="","",INPUT!M147-WEEKDAY(INPUT!M147,2)+1)</f>
        <v>45873</v>
      </c>
      <c r="C152" s="20">
        <f>IFERROR(_xlfn.ISOWEEKNUM(INPUT!M147),"")</f>
        <v>32</v>
      </c>
      <c r="D152" s="20">
        <f>IFERROR(YEAR(INPUT!M147),"")</f>
        <v>2025</v>
      </c>
      <c r="E152" t="str">
        <f>IF(INPUT!O147="","",INPUT!O147)</f>
        <v>HARRISON</v>
      </c>
      <c r="F152" t="str">
        <f>IF(INPUT!N147="","",INPUT!N147)</f>
        <v>T</v>
      </c>
      <c r="G152" t="str" cm="1">
        <f t="array" ref="G152">IFERROR(VLOOKUP(INPUT!M147&amp;INPUT!N147,CHOOSE({1,2},INPUT!$A$3:$A$5000&amp;INPUT!$C$3:$C$5000,INPUT!$F$3:$F$5000),2,FALSE),"")</f>
        <v>PRE-TEMPORADA</v>
      </c>
      <c r="H152" t="str" cm="1">
        <f t="array" ref="H152">IFERROR(VLOOKUP(INPUT!M147&amp;INPUT!N147,CHOOSE({1,2},INPUT!$A$3:$A$5000&amp;INPUT!$C$3:$C$5000,INPUT!$D$3:$D$5000),2,FALSE),"")</f>
        <v>PARTIDO</v>
      </c>
      <c r="I152" s="46">
        <f>IF(INPUT!P147="","",INPUT!P147)</f>
        <v>71.8</v>
      </c>
      <c r="J152" s="46">
        <f>IF(INPUT!Q147="","",INPUT!Q147)</f>
        <v>71.7</v>
      </c>
      <c r="K152" s="46">
        <f>IFERROR(IF(OR(INPUT!P147="",INPUT!Q147=""),"",INPUT!P147-INPUT!Q147),"")</f>
        <v>9.9999999999994316E-2</v>
      </c>
      <c r="L152" s="48">
        <f>IFERROR(IF(OR(INPUT!P147="",INPUT!Q147="",INPUT!P147=0),"",(INPUT!P147-INPUT!Q147)/INPUT!P147),"")</f>
        <v>1.3927576601670518E-3</v>
      </c>
    </row>
    <row r="153" spans="1:12" ht="18" hidden="1" customHeight="1" x14ac:dyDescent="0.2">
      <c r="A153" s="11">
        <f>IF(INPUT!M148="","",INPUT!M148)</f>
        <v>45877</v>
      </c>
      <c r="B153" s="11">
        <f>IF(INPUT!M148="","",INPUT!M148-WEEKDAY(INPUT!M148,2)+1)</f>
        <v>45873</v>
      </c>
      <c r="C153" s="20">
        <f>IFERROR(_xlfn.ISOWEEKNUM(INPUT!M148),"")</f>
        <v>32</v>
      </c>
      <c r="D153" s="20">
        <f>IFERROR(YEAR(INPUT!M148),"")</f>
        <v>2025</v>
      </c>
      <c r="E153" t="str">
        <f>IF(INPUT!O148="","",INPUT!O148)</f>
        <v>RAYA</v>
      </c>
      <c r="F153" t="str">
        <f>IF(INPUT!N148="","",INPUT!N148)</f>
        <v>M</v>
      </c>
      <c r="G153" t="str" cm="1">
        <f t="array" ref="G153">IFERROR(VLOOKUP(INPUT!M148&amp;INPUT!N148,CHOOSE({1,2},INPUT!$A$3:$A$5000&amp;INPUT!$C$3:$C$5000,INPUT!$F$3:$F$5000),2,FALSE),"")</f>
        <v>PRE-TEMPORADA</v>
      </c>
      <c r="H153" t="str" cm="1">
        <f t="array" ref="H153">IFERROR(VLOOKUP(INPUT!M148&amp;INPUT!N148,CHOOSE({1,2},INPUT!$A$3:$A$5000&amp;INPUT!$C$3:$C$5000,INPUT!$D$3:$D$5000),2,FALSE),"")</f>
        <v>TEC-TAC</v>
      </c>
      <c r="I153" s="46">
        <f>IF(INPUT!P148="","",INPUT!P148)</f>
        <v>82.4</v>
      </c>
      <c r="J153" s="46">
        <f>IF(INPUT!Q148="","",INPUT!Q148)</f>
        <v>82</v>
      </c>
      <c r="K153" s="46">
        <f>IFERROR(IF(OR(INPUT!P148="",INPUT!Q148=""),"",INPUT!P148-INPUT!Q148),"")</f>
        <v>0.40000000000000568</v>
      </c>
      <c r="L153" s="48">
        <f>IFERROR(IF(OR(INPUT!P148="",INPUT!Q148="",INPUT!P148=0),"",(INPUT!P148-INPUT!Q148)/INPUT!P148),"")</f>
        <v>4.8543689320389039E-3</v>
      </c>
    </row>
    <row r="154" spans="1:12" ht="18" hidden="1" customHeight="1" x14ac:dyDescent="0.2">
      <c r="A154" s="11">
        <f>IF(INPUT!M149="","",INPUT!M149)</f>
        <v>45877</v>
      </c>
      <c r="B154" s="11">
        <f>IF(INPUT!M149="","",INPUT!M149-WEEKDAY(INPUT!M149,2)+1)</f>
        <v>45873</v>
      </c>
      <c r="C154" s="20">
        <f>IFERROR(_xlfn.ISOWEEKNUM(INPUT!M149),"")</f>
        <v>32</v>
      </c>
      <c r="D154" s="20">
        <f>IFERROR(YEAR(INPUT!M149),"")</f>
        <v>2025</v>
      </c>
      <c r="E154" t="str">
        <f>IF(INPUT!O149="","",INPUT!O149)</f>
        <v>RAYA</v>
      </c>
      <c r="F154" t="str">
        <f>IF(INPUT!N149="","",INPUT!N149)</f>
        <v>T</v>
      </c>
      <c r="G154" t="str" cm="1">
        <f t="array" ref="G154">IFERROR(VLOOKUP(INPUT!M149&amp;INPUT!N149,CHOOSE({1,2},INPUT!$A$3:$A$5000&amp;INPUT!$C$3:$C$5000,INPUT!$F$3:$F$5000),2,FALSE),"")</f>
        <v>PRE-TEMPORADA</v>
      </c>
      <c r="H154" t="str" cm="1">
        <f t="array" ref="H154">IFERROR(VLOOKUP(INPUT!M149&amp;INPUT!N149,CHOOSE({1,2},INPUT!$A$3:$A$5000&amp;INPUT!$C$3:$C$5000,INPUT!$D$3:$D$5000),2,FALSE),"")</f>
        <v>PARTIDO</v>
      </c>
      <c r="I154" s="46">
        <f>IF(INPUT!P149="","",INPUT!P149)</f>
        <v>82</v>
      </c>
      <c r="J154" s="46">
        <f>IF(INPUT!Q149="","",INPUT!Q149)</f>
        <v>80.5</v>
      </c>
      <c r="K154" s="46">
        <f>IFERROR(IF(OR(INPUT!P149="",INPUT!Q149=""),"",INPUT!P149-INPUT!Q149),"")</f>
        <v>1.5</v>
      </c>
      <c r="L154" s="48">
        <f>IFERROR(IF(OR(INPUT!P149="",INPUT!Q149="",INPUT!P149=0),"",(INPUT!P149-INPUT!Q149)/INPUT!P149),"")</f>
        <v>1.8292682926829267E-2</v>
      </c>
    </row>
    <row r="155" spans="1:12" ht="18" hidden="1" customHeight="1" x14ac:dyDescent="0.2">
      <c r="A155" s="11">
        <f>IF(INPUT!M150="","",INPUT!M150)</f>
        <v>45877</v>
      </c>
      <c r="B155" s="11">
        <f>IF(INPUT!M150="","",INPUT!M150-WEEKDAY(INPUT!M150,2)+1)</f>
        <v>45873</v>
      </c>
      <c r="C155" s="20">
        <f>IFERROR(_xlfn.ISOWEEKNUM(INPUT!M150),"")</f>
        <v>32</v>
      </c>
      <c r="D155" s="20">
        <f>IFERROR(YEAR(INPUT!M150),"")</f>
        <v>2025</v>
      </c>
      <c r="E155" t="str">
        <f>IF(INPUT!O150="","",INPUT!O150)</f>
        <v>JAVI</v>
      </c>
      <c r="F155" t="str">
        <f>IF(INPUT!N150="","",INPUT!N150)</f>
        <v>M</v>
      </c>
      <c r="G155" t="str" cm="1">
        <f t="array" ref="G155">IFERROR(VLOOKUP(INPUT!M150&amp;INPUT!N150,CHOOSE({1,2},INPUT!$A$3:$A$5000&amp;INPUT!$C$3:$C$5000,INPUT!$F$3:$F$5000),2,FALSE),"")</f>
        <v>PRE-TEMPORADA</v>
      </c>
      <c r="H155" t="str" cm="1">
        <f t="array" ref="H155">IFERROR(VLOOKUP(INPUT!M150&amp;INPUT!N150,CHOOSE({1,2},INPUT!$A$3:$A$5000&amp;INPUT!$C$3:$C$5000,INPUT!$D$3:$D$5000),2,FALSE),"")</f>
        <v>TEC-TAC</v>
      </c>
      <c r="I155" s="46">
        <f>IF(INPUT!P150="","",INPUT!P150)</f>
        <v>78.8</v>
      </c>
      <c r="J155" s="46">
        <f>IF(INPUT!Q150="","",INPUT!Q150)</f>
        <v>78.5</v>
      </c>
      <c r="K155" s="46">
        <f>IFERROR(IF(OR(INPUT!P150="",INPUT!Q150=""),"",INPUT!P150-INPUT!Q150),"")</f>
        <v>0.29999999999999716</v>
      </c>
      <c r="L155" s="48">
        <f>IFERROR(IF(OR(INPUT!P150="",INPUT!Q150="",INPUT!P150=0),"",(INPUT!P150-INPUT!Q150)/INPUT!P150),"")</f>
        <v>3.8071065989847357E-3</v>
      </c>
    </row>
    <row r="156" spans="1:12" ht="18" hidden="1" customHeight="1" x14ac:dyDescent="0.2">
      <c r="A156" s="11">
        <f>IF(INPUT!M151="","",INPUT!M151)</f>
        <v>45877</v>
      </c>
      <c r="B156" s="11">
        <f>IF(INPUT!M151="","",INPUT!M151-WEEKDAY(INPUT!M151,2)+1)</f>
        <v>45873</v>
      </c>
      <c r="C156" s="20">
        <f>IFERROR(_xlfn.ISOWEEKNUM(INPUT!M151),"")</f>
        <v>32</v>
      </c>
      <c r="D156" s="20">
        <f>IFERROR(YEAR(INPUT!M151),"")</f>
        <v>2025</v>
      </c>
      <c r="E156" t="str">
        <f>IF(INPUT!O151="","",INPUT!O151)</f>
        <v>JAVI</v>
      </c>
      <c r="F156" t="str">
        <f>IF(INPUT!N151="","",INPUT!N151)</f>
        <v>T</v>
      </c>
      <c r="G156" t="str" cm="1">
        <f t="array" ref="G156">IFERROR(VLOOKUP(INPUT!M151&amp;INPUT!N151,CHOOSE({1,2},INPUT!$A$3:$A$5000&amp;INPUT!$C$3:$C$5000,INPUT!$F$3:$F$5000),2,FALSE),"")</f>
        <v>PRE-TEMPORADA</v>
      </c>
      <c r="H156" t="str" cm="1">
        <f t="array" ref="H156">IFERROR(VLOOKUP(INPUT!M151&amp;INPUT!N151,CHOOSE({1,2},INPUT!$A$3:$A$5000&amp;INPUT!$C$3:$C$5000,INPUT!$D$3:$D$5000),2,FALSE),"")</f>
        <v>PARTIDO</v>
      </c>
      <c r="I156" s="46">
        <f>IF(INPUT!P151="","",INPUT!P151)</f>
        <v>78.5</v>
      </c>
      <c r="J156" s="46">
        <f>IF(INPUT!Q151="","",INPUT!Q151)</f>
        <v>78.599999999999994</v>
      </c>
      <c r="K156" s="46">
        <f>IFERROR(IF(OR(INPUT!P151="",INPUT!Q151=""),"",INPUT!P151-INPUT!Q151),"")</f>
        <v>-9.9999999999994316E-2</v>
      </c>
      <c r="L156" s="48">
        <f>IFERROR(IF(OR(INPUT!P151="",INPUT!Q151="",INPUT!P151=0),"",(INPUT!P151-INPUT!Q151)/INPUT!P151),"")</f>
        <v>-1.2738853503183988E-3</v>
      </c>
    </row>
    <row r="157" spans="1:12" ht="18" hidden="1" customHeight="1" x14ac:dyDescent="0.2">
      <c r="A157" s="11">
        <f>IF(INPUT!M152="","",INPUT!M152)</f>
        <v>45877</v>
      </c>
      <c r="B157" s="11">
        <f>IF(INPUT!M152="","",INPUT!M152-WEEKDAY(INPUT!M152,2)+1)</f>
        <v>45873</v>
      </c>
      <c r="C157" s="20">
        <f>IFERROR(_xlfn.ISOWEEKNUM(INPUT!M152),"")</f>
        <v>32</v>
      </c>
      <c r="D157" s="20">
        <f>IFERROR(YEAR(INPUT!M152),"")</f>
        <v>2025</v>
      </c>
      <c r="E157" t="str">
        <f>IF(INPUT!O152="","",INPUT!O152)</f>
        <v>PANI</v>
      </c>
      <c r="F157" t="str">
        <f>IF(INPUT!N152="","",INPUT!N152)</f>
        <v>M</v>
      </c>
      <c r="G157" t="str" cm="1">
        <f t="array" ref="G157">IFERROR(VLOOKUP(INPUT!M152&amp;INPUT!N152,CHOOSE({1,2},INPUT!$A$3:$A$5000&amp;INPUT!$C$3:$C$5000,INPUT!$F$3:$F$5000),2,FALSE),"")</f>
        <v>PRE-TEMPORADA</v>
      </c>
      <c r="H157" t="str" cm="1">
        <f t="array" ref="H157">IFERROR(VLOOKUP(INPUT!M152&amp;INPUT!N152,CHOOSE({1,2},INPUT!$A$3:$A$5000&amp;INPUT!$C$3:$C$5000,INPUT!$D$3:$D$5000),2,FALSE),"")</f>
        <v>TEC-TAC</v>
      </c>
      <c r="I157" s="46">
        <f>IF(INPUT!P152="","",INPUT!P152)</f>
        <v>69.5</v>
      </c>
      <c r="J157" s="46">
        <f>IF(INPUT!Q152="","",INPUT!Q152)</f>
        <v>69.3</v>
      </c>
      <c r="K157" s="46">
        <f>IFERROR(IF(OR(INPUT!P152="",INPUT!Q152=""),"",INPUT!P152-INPUT!Q152),"")</f>
        <v>0.20000000000000284</v>
      </c>
      <c r="L157" s="48">
        <f>IFERROR(IF(OR(INPUT!P152="",INPUT!Q152="",INPUT!P152=0),"",(INPUT!P152-INPUT!Q152)/INPUT!P152),"")</f>
        <v>2.8776978417266595E-3</v>
      </c>
    </row>
    <row r="158" spans="1:12" ht="18" hidden="1" customHeight="1" x14ac:dyDescent="0.2">
      <c r="A158" s="11">
        <f>IF(INPUT!M153="","",INPUT!M153)</f>
        <v>45877</v>
      </c>
      <c r="B158" s="11">
        <f>IF(INPUT!M153="","",INPUT!M153-WEEKDAY(INPUT!M153,2)+1)</f>
        <v>45873</v>
      </c>
      <c r="C158" s="20">
        <f>IFERROR(_xlfn.ISOWEEKNUM(INPUT!M153),"")</f>
        <v>32</v>
      </c>
      <c r="D158" s="20">
        <f>IFERROR(YEAR(INPUT!M153),"")</f>
        <v>2025</v>
      </c>
      <c r="E158" t="str">
        <f>IF(INPUT!O153="","",INPUT!O153)</f>
        <v>PANI</v>
      </c>
      <c r="F158" t="str">
        <f>IF(INPUT!N153="","",INPUT!N153)</f>
        <v>T</v>
      </c>
      <c r="G158" t="str" cm="1">
        <f t="array" ref="G158">IFERROR(VLOOKUP(INPUT!M153&amp;INPUT!N153,CHOOSE({1,2},INPUT!$A$3:$A$5000&amp;INPUT!$C$3:$C$5000,INPUT!$F$3:$F$5000),2,FALSE),"")</f>
        <v>PRE-TEMPORADA</v>
      </c>
      <c r="H158" t="str" cm="1">
        <f t="array" ref="H158">IFERROR(VLOOKUP(INPUT!M153&amp;INPUT!N153,CHOOSE({1,2},INPUT!$A$3:$A$5000&amp;INPUT!$C$3:$C$5000,INPUT!$D$3:$D$5000),2,FALSE),"")</f>
        <v>PARTIDO</v>
      </c>
      <c r="I158" s="46">
        <f>IF(INPUT!P153="","",INPUT!P153)</f>
        <v>70.3</v>
      </c>
      <c r="J158" s="46">
        <f>IF(INPUT!Q153="","",INPUT!Q153)</f>
        <v>69.7</v>
      </c>
      <c r="K158" s="46">
        <f>IFERROR(IF(OR(INPUT!P153="",INPUT!Q153=""),"",INPUT!P153-INPUT!Q153),"")</f>
        <v>0.59999999999999432</v>
      </c>
      <c r="L158" s="48">
        <f>IFERROR(IF(OR(INPUT!P153="",INPUT!Q153="",INPUT!P153=0),"",(INPUT!P153-INPUT!Q153)/INPUT!P153),"")</f>
        <v>8.5348506401137173E-3</v>
      </c>
    </row>
    <row r="159" spans="1:12" ht="18" hidden="1" customHeight="1" x14ac:dyDescent="0.2">
      <c r="A159" s="11">
        <f>IF(INPUT!M154="","",INPUT!M154)</f>
        <v>45877</v>
      </c>
      <c r="B159" s="11">
        <f>IF(INPUT!M154="","",INPUT!M154-WEEKDAY(INPUT!M154,2)+1)</f>
        <v>45873</v>
      </c>
      <c r="C159" s="20">
        <f>IFERROR(_xlfn.ISOWEEKNUM(INPUT!M154),"")</f>
        <v>32</v>
      </c>
      <c r="D159" s="20">
        <f>IFERROR(YEAR(INPUT!M154),"")</f>
        <v>2025</v>
      </c>
      <c r="E159" t="str">
        <f>IF(INPUT!O154="","",INPUT!O154)</f>
        <v>PIRATA</v>
      </c>
      <c r="F159" t="str">
        <f>IF(INPUT!N154="","",INPUT!N154)</f>
        <v>M</v>
      </c>
      <c r="G159" t="str" cm="1">
        <f t="array" ref="G159">IFERROR(VLOOKUP(INPUT!M154&amp;INPUT!N154,CHOOSE({1,2},INPUT!$A$3:$A$5000&amp;INPUT!$C$3:$C$5000,INPUT!$F$3:$F$5000),2,FALSE),"")</f>
        <v>PRE-TEMPORADA</v>
      </c>
      <c r="H159" t="str" cm="1">
        <f t="array" ref="H159">IFERROR(VLOOKUP(INPUT!M154&amp;INPUT!N154,CHOOSE({1,2},INPUT!$A$3:$A$5000&amp;INPUT!$C$3:$C$5000,INPUT!$D$3:$D$5000),2,FALSE),"")</f>
        <v>TEC-TAC</v>
      </c>
      <c r="I159" s="46">
        <f>IF(INPUT!P154="","",INPUT!P154)</f>
        <v>75.2</v>
      </c>
      <c r="J159" s="46">
        <f>IF(INPUT!Q154="","",INPUT!Q154)</f>
        <v>75</v>
      </c>
      <c r="K159" s="46">
        <f>IFERROR(IF(OR(INPUT!P154="",INPUT!Q154=""),"",INPUT!P154-INPUT!Q154),"")</f>
        <v>0.20000000000000284</v>
      </c>
      <c r="L159" s="48">
        <f>IFERROR(IF(OR(INPUT!P154="",INPUT!Q154="",INPUT!P154=0),"",(INPUT!P154-INPUT!Q154)/INPUT!P154),"")</f>
        <v>2.659574468085144E-3</v>
      </c>
    </row>
    <row r="160" spans="1:12" ht="18" hidden="1" customHeight="1" x14ac:dyDescent="0.2">
      <c r="A160" s="11">
        <f>IF(INPUT!M155="","",INPUT!M155)</f>
        <v>45877</v>
      </c>
      <c r="B160" s="11">
        <f>IF(INPUT!M155="","",INPUT!M155-WEEKDAY(INPUT!M155,2)+1)</f>
        <v>45873</v>
      </c>
      <c r="C160" s="20">
        <f>IFERROR(_xlfn.ISOWEEKNUM(INPUT!M155),"")</f>
        <v>32</v>
      </c>
      <c r="D160" s="20">
        <f>IFERROR(YEAR(INPUT!M155),"")</f>
        <v>2025</v>
      </c>
      <c r="E160" t="str">
        <f>IF(INPUT!O155="","",INPUT!O155)</f>
        <v>PIRATA</v>
      </c>
      <c r="F160" t="str">
        <f>IF(INPUT!N155="","",INPUT!N155)</f>
        <v>T</v>
      </c>
      <c r="G160" t="str" cm="1">
        <f t="array" ref="G160">IFERROR(VLOOKUP(INPUT!M155&amp;INPUT!N155,CHOOSE({1,2},INPUT!$A$3:$A$5000&amp;INPUT!$C$3:$C$5000,INPUT!$F$3:$F$5000),2,FALSE),"")</f>
        <v>PRE-TEMPORADA</v>
      </c>
      <c r="H160" t="str" cm="1">
        <f t="array" ref="H160">IFERROR(VLOOKUP(INPUT!M155&amp;INPUT!N155,CHOOSE({1,2},INPUT!$A$3:$A$5000&amp;INPUT!$C$3:$C$5000,INPUT!$D$3:$D$5000),2,FALSE),"")</f>
        <v>PARTIDO</v>
      </c>
      <c r="I160" s="46">
        <f>IF(INPUT!P155="","",INPUT!P155)</f>
        <v>75.3</v>
      </c>
      <c r="J160" s="46">
        <f>IF(INPUT!Q155="","",INPUT!Q155)</f>
        <v>75.3</v>
      </c>
      <c r="K160" s="46">
        <f>IFERROR(IF(OR(INPUT!P155="",INPUT!Q155=""),"",INPUT!P155-INPUT!Q155),"")</f>
        <v>0</v>
      </c>
      <c r="L160" s="48">
        <f>IFERROR(IF(OR(INPUT!P155="",INPUT!Q155="",INPUT!P155=0),"",(INPUT!P155-INPUT!Q155)/INPUT!P155),"")</f>
        <v>0</v>
      </c>
    </row>
    <row r="161" spans="1:12" ht="18" hidden="1" customHeight="1" x14ac:dyDescent="0.2">
      <c r="A161" s="11">
        <f>IF(INPUT!M156="","",INPUT!M156)</f>
        <v>45877</v>
      </c>
      <c r="B161" s="11">
        <f>IF(INPUT!M156="","",INPUT!M156-WEEKDAY(INPUT!M156,2)+1)</f>
        <v>45873</v>
      </c>
      <c r="C161" s="20">
        <f>IFERROR(_xlfn.ISOWEEKNUM(INPUT!M156),"")</f>
        <v>32</v>
      </c>
      <c r="D161" s="20">
        <f>IFERROR(YEAR(INPUT!M156),"")</f>
        <v>2025</v>
      </c>
      <c r="E161" t="str">
        <f>IF(INPUT!O156="","",INPUT!O156)</f>
        <v>BARONA</v>
      </c>
      <c r="F161" t="str">
        <f>IF(INPUT!N156="","",INPUT!N156)</f>
        <v>M</v>
      </c>
      <c r="G161" t="str" cm="1">
        <f t="array" ref="G161">IFERROR(VLOOKUP(INPUT!M156&amp;INPUT!N156,CHOOSE({1,2},INPUT!$A$3:$A$5000&amp;INPUT!$C$3:$C$5000,INPUT!$F$3:$F$5000),2,FALSE),"")</f>
        <v>PRE-TEMPORADA</v>
      </c>
      <c r="H161" t="str" cm="1">
        <f t="array" ref="H161">IFERROR(VLOOKUP(INPUT!M156&amp;INPUT!N156,CHOOSE({1,2},INPUT!$A$3:$A$5000&amp;INPUT!$C$3:$C$5000,INPUT!$D$3:$D$5000),2,FALSE),"")</f>
        <v>TEC-TAC</v>
      </c>
      <c r="I161" s="46">
        <f>IF(INPUT!P156="","",INPUT!P156)</f>
        <v>71.099999999999994</v>
      </c>
      <c r="J161" s="46">
        <f>IF(INPUT!Q156="","",INPUT!Q156)</f>
        <v>70.8</v>
      </c>
      <c r="K161" s="46">
        <f>IFERROR(IF(OR(INPUT!P156="",INPUT!Q156=""),"",INPUT!P156-INPUT!Q156),"")</f>
        <v>0.29999999999999716</v>
      </c>
      <c r="L161" s="48">
        <f>IFERROR(IF(OR(INPUT!P156="",INPUT!Q156="",INPUT!P156=0),"",(INPUT!P156-INPUT!Q156)/INPUT!P156),"")</f>
        <v>4.2194092827003826E-3</v>
      </c>
    </row>
    <row r="162" spans="1:12" ht="18" hidden="1" customHeight="1" x14ac:dyDescent="0.2">
      <c r="A162" s="11">
        <f>IF(INPUT!M157="","",INPUT!M157)</f>
        <v>45877</v>
      </c>
      <c r="B162" s="11">
        <f>IF(INPUT!M157="","",INPUT!M157-WEEKDAY(INPUT!M157,2)+1)</f>
        <v>45873</v>
      </c>
      <c r="C162" s="20">
        <f>IFERROR(_xlfn.ISOWEEKNUM(INPUT!M157),"")</f>
        <v>32</v>
      </c>
      <c r="D162" s="20">
        <f>IFERROR(YEAR(INPUT!M157),"")</f>
        <v>2025</v>
      </c>
      <c r="E162" t="str">
        <f>IF(INPUT!O157="","",INPUT!O157)</f>
        <v>BARONA</v>
      </c>
      <c r="F162" t="str">
        <f>IF(INPUT!N157="","",INPUT!N157)</f>
        <v>T</v>
      </c>
      <c r="G162" t="str" cm="1">
        <f t="array" ref="G162">IFERROR(VLOOKUP(INPUT!M157&amp;INPUT!N157,CHOOSE({1,2},INPUT!$A$3:$A$5000&amp;INPUT!$C$3:$C$5000,INPUT!$F$3:$F$5000),2,FALSE),"")</f>
        <v>PRE-TEMPORADA</v>
      </c>
      <c r="H162" t="str" cm="1">
        <f t="array" ref="H162">IFERROR(VLOOKUP(INPUT!M157&amp;INPUT!N157,CHOOSE({1,2},INPUT!$A$3:$A$5000&amp;INPUT!$C$3:$C$5000,INPUT!$D$3:$D$5000),2,FALSE),"")</f>
        <v>PARTIDO</v>
      </c>
      <c r="I162" s="46">
        <f>IF(INPUT!P157="","",INPUT!P157)</f>
        <v>71.099999999999994</v>
      </c>
      <c r="J162" s="46">
        <f>IF(INPUT!Q157="","",INPUT!Q157)</f>
        <v>71.099999999999994</v>
      </c>
      <c r="K162" s="46">
        <f>IFERROR(IF(OR(INPUT!P157="",INPUT!Q157=""),"",INPUT!P157-INPUT!Q157),"")</f>
        <v>0</v>
      </c>
      <c r="L162" s="48">
        <f>IFERROR(IF(OR(INPUT!P157="",INPUT!Q157="",INPUT!P157=0),"",(INPUT!P157-INPUT!Q157)/INPUT!P157),"")</f>
        <v>0</v>
      </c>
    </row>
    <row r="163" spans="1:12" ht="18" hidden="1" customHeight="1" x14ac:dyDescent="0.2">
      <c r="A163" s="11">
        <f>IF(INPUT!M158="","",INPUT!M158)</f>
        <v>45877</v>
      </c>
      <c r="B163" s="11">
        <f>IF(INPUT!M158="","",INPUT!M158-WEEKDAY(INPUT!M158,2)+1)</f>
        <v>45873</v>
      </c>
      <c r="C163" s="20">
        <f>IFERROR(_xlfn.ISOWEEKNUM(INPUT!M158),"")</f>
        <v>32</v>
      </c>
      <c r="D163" s="20">
        <f>IFERROR(YEAR(INPUT!M158),"")</f>
        <v>2025</v>
      </c>
      <c r="E163" t="str">
        <f>IF(INPUT!O158="","",INPUT!O158)</f>
        <v>CARLOS</v>
      </c>
      <c r="F163" t="str">
        <f>IF(INPUT!N158="","",INPUT!N158)</f>
        <v>M</v>
      </c>
      <c r="G163" t="str" cm="1">
        <f t="array" ref="G163">IFERROR(VLOOKUP(INPUT!M158&amp;INPUT!N158,CHOOSE({1,2},INPUT!$A$3:$A$5000&amp;INPUT!$C$3:$C$5000,INPUT!$F$3:$F$5000),2,FALSE),"")</f>
        <v>PRE-TEMPORADA</v>
      </c>
      <c r="H163" t="str" cm="1">
        <f t="array" ref="H163">IFERROR(VLOOKUP(INPUT!M158&amp;INPUT!N158,CHOOSE({1,2},INPUT!$A$3:$A$5000&amp;INPUT!$C$3:$C$5000,INPUT!$D$3:$D$5000),2,FALSE),"")</f>
        <v>TEC-TAC</v>
      </c>
      <c r="I163" s="46">
        <f>IF(INPUT!P158="","",INPUT!P158)</f>
        <v>67.2</v>
      </c>
      <c r="J163" s="46">
        <f>IF(INPUT!Q158="","",INPUT!Q158)</f>
        <v>67.2</v>
      </c>
      <c r="K163" s="46">
        <f>IFERROR(IF(OR(INPUT!P158="",INPUT!Q158=""),"",INPUT!P158-INPUT!Q158),"")</f>
        <v>0</v>
      </c>
      <c r="L163" s="48">
        <f>IFERROR(IF(OR(INPUT!P158="",INPUT!Q158="",INPUT!P158=0),"",(INPUT!P158-INPUT!Q158)/INPUT!P158),"")</f>
        <v>0</v>
      </c>
    </row>
    <row r="164" spans="1:12" ht="18" hidden="1" customHeight="1" x14ac:dyDescent="0.2">
      <c r="A164" s="11">
        <f>IF(INPUT!M159="","",INPUT!M159)</f>
        <v>45877</v>
      </c>
      <c r="B164" s="11">
        <f>IF(INPUT!M159="","",INPUT!M159-WEEKDAY(INPUT!M159,2)+1)</f>
        <v>45873</v>
      </c>
      <c r="C164" s="20">
        <f>IFERROR(_xlfn.ISOWEEKNUM(INPUT!M159),"")</f>
        <v>32</v>
      </c>
      <c r="D164" s="20">
        <f>IFERROR(YEAR(INPUT!M159),"")</f>
        <v>2025</v>
      </c>
      <c r="E164" t="str">
        <f>IF(INPUT!O159="","",INPUT!O159)</f>
        <v>CARLOS</v>
      </c>
      <c r="F164" t="str">
        <f>IF(INPUT!N159="","",INPUT!N159)</f>
        <v>T</v>
      </c>
      <c r="G164" t="str" cm="1">
        <f t="array" ref="G164">IFERROR(VLOOKUP(INPUT!M159&amp;INPUT!N159,CHOOSE({1,2},INPUT!$A$3:$A$5000&amp;INPUT!$C$3:$C$5000,INPUT!$F$3:$F$5000),2,FALSE),"")</f>
        <v>PRE-TEMPORADA</v>
      </c>
      <c r="H164" t="str" cm="1">
        <f t="array" ref="H164">IFERROR(VLOOKUP(INPUT!M159&amp;INPUT!N159,CHOOSE({1,2},INPUT!$A$3:$A$5000&amp;INPUT!$C$3:$C$5000,INPUT!$D$3:$D$5000),2,FALSE),"")</f>
        <v>PARTIDO</v>
      </c>
      <c r="I164" s="46">
        <f>IF(INPUT!P159="","",INPUT!P159)</f>
        <v>68</v>
      </c>
      <c r="J164" s="46">
        <f>IF(INPUT!Q159="","",INPUT!Q159)</f>
        <v>66.8</v>
      </c>
      <c r="K164" s="46">
        <f>IFERROR(IF(OR(INPUT!P159="",INPUT!Q159=""),"",INPUT!P159-INPUT!Q159),"")</f>
        <v>1.2000000000000028</v>
      </c>
      <c r="L164" s="48">
        <f>IFERROR(IF(OR(INPUT!P159="",INPUT!Q159="",INPUT!P159=0),"",(INPUT!P159-INPUT!Q159)/INPUT!P159),"")</f>
        <v>1.7647058823529453E-2</v>
      </c>
    </row>
    <row r="165" spans="1:12" ht="18" hidden="1" customHeight="1" x14ac:dyDescent="0.2">
      <c r="A165" s="11">
        <f>IF(INPUT!M160="","",INPUT!M160)</f>
        <v>45877</v>
      </c>
      <c r="B165" s="11">
        <f>IF(INPUT!M160="","",INPUT!M160-WEEKDAY(INPUT!M160,2)+1)</f>
        <v>45873</v>
      </c>
      <c r="C165" s="20">
        <f>IFERROR(_xlfn.ISOWEEKNUM(INPUT!M160),"")</f>
        <v>32</v>
      </c>
      <c r="D165" s="20">
        <f>IFERROR(YEAR(INPUT!M160),"")</f>
        <v>2025</v>
      </c>
      <c r="E165" t="str">
        <f>IF(INPUT!O160="","",INPUT!O160)</f>
        <v>GONZALO</v>
      </c>
      <c r="F165" t="str">
        <f>IF(INPUT!N160="","",INPUT!N160)</f>
        <v>M</v>
      </c>
      <c r="G165" t="str" cm="1">
        <f t="array" ref="G165">IFERROR(VLOOKUP(INPUT!M160&amp;INPUT!N160,CHOOSE({1,2},INPUT!$A$3:$A$5000&amp;INPUT!$C$3:$C$5000,INPUT!$F$3:$F$5000),2,FALSE),"")</f>
        <v>PRE-TEMPORADA</v>
      </c>
      <c r="H165" t="str" cm="1">
        <f t="array" ref="H165">IFERROR(VLOOKUP(INPUT!M160&amp;INPUT!N160,CHOOSE({1,2},INPUT!$A$3:$A$5000&amp;INPUT!$C$3:$C$5000,INPUT!$D$3:$D$5000),2,FALSE),"")</f>
        <v>TEC-TAC</v>
      </c>
      <c r="I165" s="46">
        <f>IF(INPUT!P160="","",INPUT!P160)</f>
        <v>85.4</v>
      </c>
      <c r="J165" s="46">
        <f>IF(INPUT!Q160="","",INPUT!Q160)</f>
        <v>85</v>
      </c>
      <c r="K165" s="46">
        <f>IFERROR(IF(OR(INPUT!P160="",INPUT!Q160=""),"",INPUT!P160-INPUT!Q160),"")</f>
        <v>0.40000000000000568</v>
      </c>
      <c r="L165" s="48">
        <f>IFERROR(IF(OR(INPUT!P160="",INPUT!Q160="",INPUT!P160=0),"",(INPUT!P160-INPUT!Q160)/INPUT!P160),"")</f>
        <v>4.6838407494145858E-3</v>
      </c>
    </row>
    <row r="166" spans="1:12" ht="18" customHeight="1" x14ac:dyDescent="0.2">
      <c r="A166" s="11">
        <f>IF(INPUT!M161="","",INPUT!M161)</f>
        <v>45877</v>
      </c>
      <c r="B166" s="11">
        <f>IF(INPUT!M161="","",INPUT!M161-WEEKDAY(INPUT!M161,2)+1)</f>
        <v>45873</v>
      </c>
      <c r="C166" s="20">
        <f>IFERROR(_xlfn.ISOWEEKNUM(INPUT!M161),"")</f>
        <v>32</v>
      </c>
      <c r="D166" s="20">
        <f>IFERROR(YEAR(INPUT!M161),"")</f>
        <v>2025</v>
      </c>
      <c r="E166" t="str">
        <f>IF(INPUT!O161="","",INPUT!O161)</f>
        <v>GONZALO</v>
      </c>
      <c r="F166" t="str">
        <f>IF(INPUT!N161="","",INPUT!N161)</f>
        <v>T</v>
      </c>
      <c r="G166" t="str" cm="1">
        <f t="array" ref="G166">IFERROR(VLOOKUP(INPUT!M161&amp;INPUT!N161,CHOOSE({1,2},INPUT!$A$3:$A$5000&amp;INPUT!$C$3:$C$5000,INPUT!$F$3:$F$5000),2,FALSE),"")</f>
        <v>PRE-TEMPORADA</v>
      </c>
      <c r="H166" t="str" cm="1">
        <f t="array" ref="H166">IFERROR(VLOOKUP(INPUT!M161&amp;INPUT!N161,CHOOSE({1,2},INPUT!$A$3:$A$5000&amp;INPUT!$C$3:$C$5000,INPUT!$D$3:$D$5000),2,FALSE),"")</f>
        <v>PARTIDO</v>
      </c>
      <c r="I166" s="46">
        <f>IF(INPUT!P161="","",INPUT!P161)</f>
        <v>84.9</v>
      </c>
      <c r="J166" s="46">
        <f>IF(INPUT!Q161="","",INPUT!Q161)</f>
        <v>84.8</v>
      </c>
      <c r="K166" s="46">
        <f>IFERROR(IF(OR(INPUT!P161="",INPUT!Q161=""),"",INPUT!P161-INPUT!Q161),"")</f>
        <v>0.10000000000000853</v>
      </c>
      <c r="L166" s="48">
        <f>IFERROR(IF(OR(INPUT!P161="",INPUT!Q161="",INPUT!P161=0),"",(INPUT!P161-INPUT!Q161)/INPUT!P161),"")</f>
        <v>1.1778563015313135E-3</v>
      </c>
    </row>
    <row r="167" spans="1:12" ht="18" customHeight="1" x14ac:dyDescent="0.2">
      <c r="A167" s="11">
        <f>IF(INPUT!M162="","",INPUT!M162)</f>
        <v>45877</v>
      </c>
      <c r="B167" s="11">
        <f>IF(INPUT!M162="","",INPUT!M162-WEEKDAY(INPUT!M162,2)+1)</f>
        <v>45873</v>
      </c>
      <c r="C167" s="20">
        <f>IFERROR(_xlfn.ISOWEEKNUM(INPUT!M162),"")</f>
        <v>32</v>
      </c>
      <c r="D167" s="20">
        <f>IFERROR(YEAR(INPUT!M162),"")</f>
        <v>2025</v>
      </c>
      <c r="E167" t="str">
        <f>IF(INPUT!O162="","",INPUT!O162)</f>
        <v>RUBIO</v>
      </c>
      <c r="F167" t="str">
        <f>IF(INPUT!N162="","",INPUT!N162)</f>
        <v>M</v>
      </c>
      <c r="G167" t="str" cm="1">
        <f t="array" ref="G167">IFERROR(VLOOKUP(INPUT!M162&amp;INPUT!N162,CHOOSE({1,2},INPUT!$A$3:$A$5000&amp;INPUT!$C$3:$C$5000,INPUT!$F$3:$F$5000),2,FALSE),"")</f>
        <v>PRE-TEMPORADA</v>
      </c>
      <c r="H167" t="str" cm="1">
        <f t="array" ref="H167">IFERROR(VLOOKUP(INPUT!M162&amp;INPUT!N162,CHOOSE({1,2},INPUT!$A$3:$A$5000&amp;INPUT!$C$3:$C$5000,INPUT!$D$3:$D$5000),2,FALSE),"")</f>
        <v>TEC-TAC</v>
      </c>
      <c r="I167" s="46">
        <f>IF(INPUT!P162="","",INPUT!P162)</f>
        <v>74.599999999999994</v>
      </c>
      <c r="J167" s="46">
        <f>IF(INPUT!Q162="","",INPUT!Q162)</f>
        <v>74.8</v>
      </c>
      <c r="K167" s="46">
        <f>IFERROR(IF(OR(INPUT!P162="",INPUT!Q162=""),"",INPUT!P162-INPUT!Q162),"")</f>
        <v>-0.20000000000000284</v>
      </c>
      <c r="L167" s="48">
        <f>IFERROR(IF(OR(INPUT!P162="",INPUT!Q162="",INPUT!P162=0),"",(INPUT!P162-INPUT!Q162)/INPUT!P162),"")</f>
        <v>-2.6809651474531213E-3</v>
      </c>
    </row>
    <row r="168" spans="1:12" ht="18" customHeight="1" x14ac:dyDescent="0.2">
      <c r="A168" s="11">
        <f>IF(INPUT!M163="","",INPUT!M163)</f>
        <v>45877</v>
      </c>
      <c r="B168" s="11">
        <f>IF(INPUT!M163="","",INPUT!M163-WEEKDAY(INPUT!M163,2)+1)</f>
        <v>45873</v>
      </c>
      <c r="C168" s="20">
        <f>IFERROR(_xlfn.ISOWEEKNUM(INPUT!M163),"")</f>
        <v>32</v>
      </c>
      <c r="D168" s="20">
        <f>IFERROR(YEAR(INPUT!M163),"")</f>
        <v>2025</v>
      </c>
      <c r="E168" t="str">
        <f>IF(INPUT!O163="","",INPUT!O163)</f>
        <v>RUBIO</v>
      </c>
      <c r="F168" t="str">
        <f>IF(INPUT!N163="","",INPUT!N163)</f>
        <v>T</v>
      </c>
      <c r="G168" t="str" cm="1">
        <f t="array" ref="G168">IFERROR(VLOOKUP(INPUT!M163&amp;INPUT!N163,CHOOSE({1,2},INPUT!$A$3:$A$5000&amp;INPUT!$C$3:$C$5000,INPUT!$F$3:$F$5000),2,FALSE),"")</f>
        <v>PRE-TEMPORADA</v>
      </c>
      <c r="H168" t="str" cm="1">
        <f t="array" ref="H168">IFERROR(VLOOKUP(INPUT!M163&amp;INPUT!N163,CHOOSE({1,2},INPUT!$A$3:$A$5000&amp;INPUT!$C$3:$C$5000,INPUT!$D$3:$D$5000),2,FALSE),"")</f>
        <v>PARTIDO</v>
      </c>
      <c r="I168" s="46">
        <f>IF(INPUT!P163="","",INPUT!P163)</f>
        <v>74.8</v>
      </c>
      <c r="J168" s="46">
        <f>IF(INPUT!Q163="","",INPUT!Q163)</f>
        <v>74.8</v>
      </c>
      <c r="K168" s="46">
        <f>IFERROR(IF(OR(INPUT!P163="",INPUT!Q163=""),"",INPUT!P163-INPUT!Q163),"")</f>
        <v>0</v>
      </c>
      <c r="L168" s="48">
        <f>IFERROR(IF(OR(INPUT!P163="",INPUT!Q163="",INPUT!P163=0),"",(INPUT!P163-INPUT!Q163)/INPUT!P163),"")</f>
        <v>0</v>
      </c>
    </row>
    <row r="169" spans="1:12" ht="18" customHeight="1" x14ac:dyDescent="0.2">
      <c r="A169" s="11">
        <f>IF(INPUT!M164="","",INPUT!M164)</f>
        <v>45877</v>
      </c>
      <c r="B169" s="11">
        <f>IF(INPUT!M164="","",INPUT!M164-WEEKDAY(INPUT!M164,2)+1)</f>
        <v>45873</v>
      </c>
      <c r="C169" s="20">
        <f>IFERROR(_xlfn.ISOWEEKNUM(INPUT!M164),"")</f>
        <v>32</v>
      </c>
      <c r="D169" s="20">
        <f>IFERROR(YEAR(INPUT!M164),"")</f>
        <v>2025</v>
      </c>
      <c r="E169" t="str">
        <f>IF(INPUT!O164="","",INPUT!O164)</f>
        <v>DANI</v>
      </c>
      <c r="F169" t="str">
        <f>IF(INPUT!N164="","",INPUT!N164)</f>
        <v>M</v>
      </c>
      <c r="G169" t="str" cm="1">
        <f t="array" ref="G169">IFERROR(VLOOKUP(INPUT!M164&amp;INPUT!N164,CHOOSE({1,2},INPUT!$A$3:$A$5000&amp;INPUT!$C$3:$C$5000,INPUT!$F$3:$F$5000),2,FALSE),"")</f>
        <v>PRE-TEMPORADA</v>
      </c>
      <c r="H169" t="str" cm="1">
        <f t="array" ref="H169">IFERROR(VLOOKUP(INPUT!M164&amp;INPUT!N164,CHOOSE({1,2},INPUT!$A$3:$A$5000&amp;INPUT!$C$3:$C$5000,INPUT!$D$3:$D$5000),2,FALSE),"")</f>
        <v>TEC-TAC</v>
      </c>
      <c r="I169" s="46">
        <f>IF(INPUT!P164="","",INPUT!P164)</f>
        <v>93.8</v>
      </c>
      <c r="J169" s="46">
        <f>IF(INPUT!Q164="","",INPUT!Q164)</f>
        <v>93.6</v>
      </c>
      <c r="K169" s="46">
        <f>IFERROR(IF(OR(INPUT!P164="",INPUT!Q164=""),"",INPUT!P164-INPUT!Q164),"")</f>
        <v>0.20000000000000284</v>
      </c>
      <c r="L169" s="48">
        <f>IFERROR(IF(OR(INPUT!P164="",INPUT!Q164="",INPUT!P164=0),"",(INPUT!P164-INPUT!Q164)/INPUT!P164),"")</f>
        <v>2.1321961620469386E-3</v>
      </c>
    </row>
    <row r="170" spans="1:12" ht="18" customHeight="1" x14ac:dyDescent="0.2">
      <c r="A170" s="11">
        <f>IF(INPUT!M165="","",INPUT!M165)</f>
        <v>45877</v>
      </c>
      <c r="B170" s="11">
        <f>IF(INPUT!M165="","",INPUT!M165-WEEKDAY(INPUT!M165,2)+1)</f>
        <v>45873</v>
      </c>
      <c r="C170" s="20">
        <f>IFERROR(_xlfn.ISOWEEKNUM(INPUT!M165),"")</f>
        <v>32</v>
      </c>
      <c r="D170" s="20">
        <f>IFERROR(YEAR(INPUT!M165),"")</f>
        <v>2025</v>
      </c>
      <c r="E170" t="str">
        <f>IF(INPUT!O165="","",INPUT!O165)</f>
        <v>DANI</v>
      </c>
      <c r="F170" t="str">
        <f>IF(INPUT!N165="","",INPUT!N165)</f>
        <v>T</v>
      </c>
      <c r="G170" t="str" cm="1">
        <f t="array" ref="G170">IFERROR(VLOOKUP(INPUT!M165&amp;INPUT!N165,CHOOSE({1,2},INPUT!$A$3:$A$5000&amp;INPUT!$C$3:$C$5000,INPUT!$F$3:$F$5000),2,FALSE),"")</f>
        <v>PRE-TEMPORADA</v>
      </c>
      <c r="H170" t="str" cm="1">
        <f t="array" ref="H170">IFERROR(VLOOKUP(INPUT!M165&amp;INPUT!N165,CHOOSE({1,2},INPUT!$A$3:$A$5000&amp;INPUT!$C$3:$C$5000,INPUT!$D$3:$D$5000),2,FALSE),"")</f>
        <v>PARTIDO</v>
      </c>
      <c r="I170" s="46">
        <f>IF(INPUT!P165="","",INPUT!P165)</f>
        <v>94.3</v>
      </c>
      <c r="J170" s="46">
        <f>IF(INPUT!Q165="","",INPUT!Q165)</f>
        <v>92.7</v>
      </c>
      <c r="K170" s="46">
        <f>IFERROR(IF(OR(INPUT!P165="",INPUT!Q165=""),"",INPUT!P165-INPUT!Q165),"")</f>
        <v>1.5999999999999943</v>
      </c>
      <c r="L170" s="48">
        <f>IFERROR(IF(OR(INPUT!P165="",INPUT!Q165="",INPUT!P165=0),"",(INPUT!P165-INPUT!Q165)/INPUT!P165),"")</f>
        <v>1.6967126193001E-2</v>
      </c>
    </row>
    <row r="171" spans="1:12" ht="18" customHeight="1" x14ac:dyDescent="0.2">
      <c r="A171" s="11">
        <f>IF(INPUT!M166="","",INPUT!M166)</f>
        <v>45877</v>
      </c>
      <c r="B171" s="11">
        <f>IF(INPUT!M166="","",INPUT!M166-WEEKDAY(INPUT!M166,2)+1)</f>
        <v>45873</v>
      </c>
      <c r="C171" s="20">
        <f>IFERROR(_xlfn.ISOWEEKNUM(INPUT!M166),"")</f>
        <v>32</v>
      </c>
      <c r="D171" s="20">
        <f>IFERROR(YEAR(INPUT!M166),"")</f>
        <v>2025</v>
      </c>
      <c r="E171" t="str">
        <f>IF(INPUT!O166="","",INPUT!O166)</f>
        <v>JAIME</v>
      </c>
      <c r="F171" t="str">
        <f>IF(INPUT!N166="","",INPUT!N166)</f>
        <v>M</v>
      </c>
      <c r="G171" t="str" cm="1">
        <f t="array" ref="G171">IFERROR(VLOOKUP(INPUT!M166&amp;INPUT!N166,CHOOSE({1,2},INPUT!$A$3:$A$5000&amp;INPUT!$C$3:$C$5000,INPUT!$F$3:$F$5000),2,FALSE),"")</f>
        <v>PRE-TEMPORADA</v>
      </c>
      <c r="H171" t="str" cm="1">
        <f t="array" ref="H171">IFERROR(VLOOKUP(INPUT!M166&amp;INPUT!N166,CHOOSE({1,2},INPUT!$A$3:$A$5000&amp;INPUT!$C$3:$C$5000,INPUT!$D$3:$D$5000),2,FALSE),"")</f>
        <v>TEC-TAC</v>
      </c>
      <c r="I171" s="46">
        <f>IF(INPUT!P166="","",INPUT!P166)</f>
        <v>75.599999999999994</v>
      </c>
      <c r="J171" s="46">
        <f>IF(INPUT!Q166="","",INPUT!Q166)</f>
        <v>75</v>
      </c>
      <c r="K171" s="46">
        <f>IFERROR(IF(OR(INPUT!P166="",INPUT!Q166=""),"",INPUT!P166-INPUT!Q166),"")</f>
        <v>0.59999999999999432</v>
      </c>
      <c r="L171" s="48">
        <f>IFERROR(IF(OR(INPUT!P166="",INPUT!Q166="",INPUT!P166=0),"",(INPUT!P166-INPUT!Q166)/INPUT!P166),"")</f>
        <v>7.9365079365078615E-3</v>
      </c>
    </row>
    <row r="172" spans="1:12" ht="18" hidden="1" customHeight="1" x14ac:dyDescent="0.2">
      <c r="A172" s="11">
        <f>IF(INPUT!M167="","",INPUT!M167)</f>
        <v>45880</v>
      </c>
      <c r="B172" s="11">
        <f>IF(INPUT!M167="","",INPUT!M167-WEEKDAY(INPUT!M167,2)+1)</f>
        <v>45880</v>
      </c>
      <c r="C172" s="20">
        <f>IFERROR(_xlfn.ISOWEEKNUM(INPUT!M167),"")</f>
        <v>33</v>
      </c>
      <c r="D172" s="20">
        <f>IFERROR(YEAR(INPUT!M167),"")</f>
        <v>2025</v>
      </c>
      <c r="E172" t="str">
        <f>IF(INPUT!O167="","",INPUT!O167)</f>
        <v>HERRERO</v>
      </c>
      <c r="F172" t="str">
        <f>IF(INPUT!N167="","",INPUT!N167)</f>
        <v>T</v>
      </c>
      <c r="G172" t="str" cm="1">
        <f t="array" ref="G172">IFERROR(VLOOKUP(INPUT!M167&amp;INPUT!N167,CHOOSE({1,2},INPUT!$A$3:$A$5000&amp;INPUT!$C$3:$C$5000,INPUT!$F$3:$F$5000),2,FALSE),"")</f>
        <v>PRE-TEMPORADA</v>
      </c>
      <c r="H172" t="str" cm="1">
        <f t="array" ref="H172">IFERROR(VLOOKUP(INPUT!M167&amp;INPUT!N167,CHOOSE({1,2},INPUT!$A$3:$A$5000&amp;INPUT!$C$3:$C$5000,INPUT!$D$3:$D$5000),2,FALSE),"")</f>
        <v>TEC-TAC</v>
      </c>
      <c r="I172" s="46">
        <f>IF(INPUT!P167="","",INPUT!P167)</f>
        <v>76.900000000000006</v>
      </c>
      <c r="J172" s="46">
        <f>IF(INPUT!Q167="","",INPUT!Q167)</f>
        <v>76.5</v>
      </c>
      <c r="K172" s="46">
        <f>IFERROR(IF(OR(INPUT!P167="",INPUT!Q167=""),"",INPUT!P167-INPUT!Q167),"")</f>
        <v>0.40000000000000568</v>
      </c>
      <c r="L172" s="48">
        <f>IFERROR(IF(OR(INPUT!P167="",INPUT!Q167="",INPUT!P167=0),"",(INPUT!P167-INPUT!Q167)/INPUT!P167),"")</f>
        <v>5.201560468140516E-3</v>
      </c>
    </row>
    <row r="173" spans="1:12" ht="18" hidden="1" customHeight="1" x14ac:dyDescent="0.2">
      <c r="A173" s="11">
        <f>IF(INPUT!M168="","",INPUT!M168)</f>
        <v>45880</v>
      </c>
      <c r="B173" s="11">
        <f>IF(INPUT!M168="","",INPUT!M168-WEEKDAY(INPUT!M168,2)+1)</f>
        <v>45880</v>
      </c>
      <c r="C173" s="20">
        <f>IFERROR(_xlfn.ISOWEEKNUM(INPUT!M168),"")</f>
        <v>33</v>
      </c>
      <c r="D173" s="20">
        <f>IFERROR(YEAR(INPUT!M168),"")</f>
        <v>2025</v>
      </c>
      <c r="E173" t="str">
        <f>IF(INPUT!O168="","",INPUT!O168)</f>
        <v>GARCIA</v>
      </c>
      <c r="F173" t="str">
        <f>IF(INPUT!N168="","",INPUT!N168)</f>
        <v>T</v>
      </c>
      <c r="G173" t="str" cm="1">
        <f t="array" ref="G173">IFERROR(VLOOKUP(INPUT!M168&amp;INPUT!N168,CHOOSE({1,2},INPUT!$A$3:$A$5000&amp;INPUT!$C$3:$C$5000,INPUT!$F$3:$F$5000),2,FALSE),"")</f>
        <v>PRE-TEMPORADA</v>
      </c>
      <c r="H173" t="str" cm="1">
        <f t="array" ref="H173">IFERROR(VLOOKUP(INPUT!M168&amp;INPUT!N168,CHOOSE({1,2},INPUT!$A$3:$A$5000&amp;INPUT!$C$3:$C$5000,INPUT!$D$3:$D$5000),2,FALSE),"")</f>
        <v>TEC-TAC</v>
      </c>
      <c r="I173" s="46">
        <f>IF(INPUT!P168="","",INPUT!P168)</f>
        <v>79.3</v>
      </c>
      <c r="J173" s="46">
        <f>IF(INPUT!Q168="","",INPUT!Q168)</f>
        <v>78.400000000000006</v>
      </c>
      <c r="K173" s="46">
        <f>IFERROR(IF(OR(INPUT!P168="",INPUT!Q168=""),"",INPUT!P168-INPUT!Q168),"")</f>
        <v>0.89999999999999147</v>
      </c>
      <c r="L173" s="48">
        <f>IFERROR(IF(OR(INPUT!P168="",INPUT!Q168="",INPUT!P168=0),"",(INPUT!P168-INPUT!Q168)/INPUT!P168),"")</f>
        <v>1.1349306431273538E-2</v>
      </c>
    </row>
    <row r="174" spans="1:12" ht="18" hidden="1" customHeight="1" x14ac:dyDescent="0.2">
      <c r="A174" s="11">
        <f>IF(INPUT!M169="","",INPUT!M169)</f>
        <v>45880</v>
      </c>
      <c r="B174" s="11">
        <f>IF(INPUT!M169="","",INPUT!M169-WEEKDAY(INPUT!M169,2)+1)</f>
        <v>45880</v>
      </c>
      <c r="C174" s="20">
        <f>IFERROR(_xlfn.ISOWEEKNUM(INPUT!M169),"")</f>
        <v>33</v>
      </c>
      <c r="D174" s="20">
        <f>IFERROR(YEAR(INPUT!M169),"")</f>
        <v>2025</v>
      </c>
      <c r="E174" t="str">
        <f>IF(INPUT!O169="","",INPUT!O169)</f>
        <v>OSCAR</v>
      </c>
      <c r="F174" t="str">
        <f>IF(INPUT!N169="","",INPUT!N169)</f>
        <v>T</v>
      </c>
      <c r="G174" t="str" cm="1">
        <f t="array" ref="G174">IFERROR(VLOOKUP(INPUT!M169&amp;INPUT!N169,CHOOSE({1,2},INPUT!$A$3:$A$5000&amp;INPUT!$C$3:$C$5000,INPUT!$F$3:$F$5000),2,FALSE),"")</f>
        <v>PRE-TEMPORADA</v>
      </c>
      <c r="H174" t="str" cm="1">
        <f t="array" ref="H174">IFERROR(VLOOKUP(INPUT!M169&amp;INPUT!N169,CHOOSE({1,2},INPUT!$A$3:$A$5000&amp;INPUT!$C$3:$C$5000,INPUT!$D$3:$D$5000),2,FALSE),"")</f>
        <v>TEC-TAC</v>
      </c>
      <c r="I174" s="46">
        <f>IF(INPUT!P169="","",INPUT!P169)</f>
        <v>88.9</v>
      </c>
      <c r="J174" s="46">
        <f>IF(INPUT!Q169="","",INPUT!Q169)</f>
        <v>88.6</v>
      </c>
      <c r="K174" s="46">
        <f>IFERROR(IF(OR(INPUT!P169="",INPUT!Q169=""),"",INPUT!P169-INPUT!Q169),"")</f>
        <v>0.30000000000001137</v>
      </c>
      <c r="L174" s="48">
        <f>IFERROR(IF(OR(INPUT!P169="",INPUT!Q169="",INPUT!P169=0),"",(INPUT!P169-INPUT!Q169)/INPUT!P169),"")</f>
        <v>3.3745781777279119E-3</v>
      </c>
    </row>
    <row r="175" spans="1:12" ht="18" hidden="1" customHeight="1" x14ac:dyDescent="0.2">
      <c r="A175" s="11">
        <f>IF(INPUT!M170="","",INPUT!M170)</f>
        <v>45880</v>
      </c>
      <c r="B175" s="11">
        <f>IF(INPUT!M170="","",INPUT!M170-WEEKDAY(INPUT!M170,2)+1)</f>
        <v>45880</v>
      </c>
      <c r="C175" s="20">
        <f>IFERROR(_xlfn.ISOWEEKNUM(INPUT!M170),"")</f>
        <v>33</v>
      </c>
      <c r="D175" s="20">
        <f>IFERROR(YEAR(INPUT!M170),"")</f>
        <v>2025</v>
      </c>
      <c r="E175" t="str">
        <f>IF(INPUT!O170="","",INPUT!O170)</f>
        <v>CECILIO</v>
      </c>
      <c r="F175" t="str">
        <f>IF(INPUT!N170="","",INPUT!N170)</f>
        <v>T</v>
      </c>
      <c r="G175" t="str" cm="1">
        <f t="array" ref="G175">IFERROR(VLOOKUP(INPUT!M170&amp;INPUT!N170,CHOOSE({1,2},INPUT!$A$3:$A$5000&amp;INPUT!$C$3:$C$5000,INPUT!$F$3:$F$5000),2,FALSE),"")</f>
        <v>PRE-TEMPORADA</v>
      </c>
      <c r="H175" t="str" cm="1">
        <f t="array" ref="H175">IFERROR(VLOOKUP(INPUT!M170&amp;INPUT!N170,CHOOSE({1,2},INPUT!$A$3:$A$5000&amp;INPUT!$C$3:$C$5000,INPUT!$D$3:$D$5000),2,FALSE),"")</f>
        <v>TEC-TAC</v>
      </c>
      <c r="I175" s="46">
        <f>IF(INPUT!P170="","",INPUT!P170)</f>
        <v>68.099999999999994</v>
      </c>
      <c r="J175" s="46">
        <f>IF(INPUT!Q170="","",INPUT!Q170)</f>
        <v>68.599999999999994</v>
      </c>
      <c r="K175" s="46">
        <f>IFERROR(IF(OR(INPUT!P170="",INPUT!Q170=""),"",INPUT!P170-INPUT!Q170),"")</f>
        <v>-0.5</v>
      </c>
      <c r="L175" s="48">
        <f>IFERROR(IF(OR(INPUT!P170="",INPUT!Q170="",INPUT!P170=0),"",(INPUT!P170-INPUT!Q170)/INPUT!P170),"")</f>
        <v>-7.3421439060205587E-3</v>
      </c>
    </row>
    <row r="176" spans="1:12" ht="18" hidden="1" customHeight="1" x14ac:dyDescent="0.2">
      <c r="A176" s="11">
        <f>IF(INPUT!M171="","",INPUT!M171)</f>
        <v>45880</v>
      </c>
      <c r="B176" s="11">
        <f>IF(INPUT!M171="","",INPUT!M171-WEEKDAY(INPUT!M171,2)+1)</f>
        <v>45880</v>
      </c>
      <c r="C176" s="20">
        <f>IFERROR(_xlfn.ISOWEEKNUM(INPUT!M171),"")</f>
        <v>33</v>
      </c>
      <c r="D176" s="20">
        <f>IFERROR(YEAR(INPUT!M171),"")</f>
        <v>2025</v>
      </c>
      <c r="E176" t="str">
        <f>IF(INPUT!O171="","",INPUT!O171)</f>
        <v>CHAGUINHA</v>
      </c>
      <c r="F176" t="str">
        <f>IF(INPUT!N171="","",INPUT!N171)</f>
        <v>T</v>
      </c>
      <c r="G176" t="str" cm="1">
        <f t="array" ref="G176">IFERROR(VLOOKUP(INPUT!M171&amp;INPUT!N171,CHOOSE({1,2},INPUT!$A$3:$A$5000&amp;INPUT!$C$3:$C$5000,INPUT!$F$3:$F$5000),2,FALSE),"")</f>
        <v>PRE-TEMPORADA</v>
      </c>
      <c r="H176" t="str" cm="1">
        <f t="array" ref="H176">IFERROR(VLOOKUP(INPUT!M171&amp;INPUT!N171,CHOOSE({1,2},INPUT!$A$3:$A$5000&amp;INPUT!$C$3:$C$5000,INPUT!$D$3:$D$5000),2,FALSE),"")</f>
        <v>TEC-TAC</v>
      </c>
      <c r="I176" s="46">
        <f>IF(INPUT!P171="","",INPUT!P171)</f>
        <v>68.5</v>
      </c>
      <c r="J176" s="46">
        <f>IF(INPUT!Q171="","",INPUT!Q171)</f>
        <v>68</v>
      </c>
      <c r="K176" s="46">
        <f>IFERROR(IF(OR(INPUT!P171="",INPUT!Q171=""),"",INPUT!P171-INPUT!Q171),"")</f>
        <v>0.5</v>
      </c>
      <c r="L176" s="48">
        <f>IFERROR(IF(OR(INPUT!P171="",INPUT!Q171="",INPUT!P171=0),"",(INPUT!P171-INPUT!Q171)/INPUT!P171),"")</f>
        <v>7.2992700729927005E-3</v>
      </c>
    </row>
    <row r="177" spans="1:12" ht="18" hidden="1" customHeight="1" x14ac:dyDescent="0.2">
      <c r="A177" s="11">
        <f>IF(INPUT!M172="","",INPUT!M172)</f>
        <v>45880</v>
      </c>
      <c r="B177" s="11">
        <f>IF(INPUT!M172="","",INPUT!M172-WEEKDAY(INPUT!M172,2)+1)</f>
        <v>45880</v>
      </c>
      <c r="C177" s="20">
        <f>IFERROR(_xlfn.ISOWEEKNUM(INPUT!M172),"")</f>
        <v>33</v>
      </c>
      <c r="D177" s="20">
        <f>IFERROR(YEAR(INPUT!M172),"")</f>
        <v>2025</v>
      </c>
      <c r="E177" t="str">
        <f>IF(INPUT!O172="","",INPUT!O172)</f>
        <v>RAUL</v>
      </c>
      <c r="F177" t="str">
        <f>IF(INPUT!N172="","",INPUT!N172)</f>
        <v>T</v>
      </c>
      <c r="G177" t="str" cm="1">
        <f t="array" ref="G177">IFERROR(VLOOKUP(INPUT!M172&amp;INPUT!N172,CHOOSE({1,2},INPUT!$A$3:$A$5000&amp;INPUT!$C$3:$C$5000,INPUT!$F$3:$F$5000),2,FALSE),"")</f>
        <v>PRE-TEMPORADA</v>
      </c>
      <c r="H177" t="str" cm="1">
        <f t="array" ref="H177">IFERROR(VLOOKUP(INPUT!M172&amp;INPUT!N172,CHOOSE({1,2},INPUT!$A$3:$A$5000&amp;INPUT!$C$3:$C$5000,INPUT!$D$3:$D$5000),2,FALSE),"")</f>
        <v>TEC-TAC</v>
      </c>
      <c r="I177" s="46">
        <f>IF(INPUT!P172="","",INPUT!P172)</f>
        <v>79.5</v>
      </c>
      <c r="J177" s="46">
        <f>IF(INPUT!Q172="","",INPUT!Q172)</f>
        <v>79</v>
      </c>
      <c r="K177" s="46">
        <f>IFERROR(IF(OR(INPUT!P172="",INPUT!Q172=""),"",INPUT!P172-INPUT!Q172),"")</f>
        <v>0.5</v>
      </c>
      <c r="L177" s="48">
        <f>IFERROR(IF(OR(INPUT!P172="",INPUT!Q172="",INPUT!P172=0),"",(INPUT!P172-INPUT!Q172)/INPUT!P172),"")</f>
        <v>6.2893081761006293E-3</v>
      </c>
    </row>
    <row r="178" spans="1:12" ht="18" hidden="1" customHeight="1" x14ac:dyDescent="0.2">
      <c r="A178" s="11">
        <f>IF(INPUT!M173="","",INPUT!M173)</f>
        <v>45880</v>
      </c>
      <c r="B178" s="11">
        <f>IF(INPUT!M173="","",INPUT!M173-WEEKDAY(INPUT!M173,2)+1)</f>
        <v>45880</v>
      </c>
      <c r="C178" s="20">
        <f>IFERROR(_xlfn.ISOWEEKNUM(INPUT!M173),"")</f>
        <v>33</v>
      </c>
      <c r="D178" s="20">
        <f>IFERROR(YEAR(INPUT!M173),"")</f>
        <v>2025</v>
      </c>
      <c r="E178" t="str">
        <f>IF(INPUT!O173="","",INPUT!O173)</f>
        <v>HARRISON</v>
      </c>
      <c r="F178" t="str">
        <f>IF(INPUT!N173="","",INPUT!N173)</f>
        <v>T</v>
      </c>
      <c r="G178" t="str" cm="1">
        <f t="array" ref="G178">IFERROR(VLOOKUP(INPUT!M173&amp;INPUT!N173,CHOOSE({1,2},INPUT!$A$3:$A$5000&amp;INPUT!$C$3:$C$5000,INPUT!$F$3:$F$5000),2,FALSE),"")</f>
        <v>PRE-TEMPORADA</v>
      </c>
      <c r="H178" t="str" cm="1">
        <f t="array" ref="H178">IFERROR(VLOOKUP(INPUT!M173&amp;INPUT!N173,CHOOSE({1,2},INPUT!$A$3:$A$5000&amp;INPUT!$C$3:$C$5000,INPUT!$D$3:$D$5000),2,FALSE),"")</f>
        <v>TEC-TAC</v>
      </c>
      <c r="I178" s="46">
        <f>IF(INPUT!P173="","",INPUT!P173)</f>
        <v>71.3</v>
      </c>
      <c r="J178" s="46">
        <f>IF(INPUT!Q173="","",INPUT!Q173)</f>
        <v>71.2</v>
      </c>
      <c r="K178" s="46">
        <f>IFERROR(IF(OR(INPUT!P173="",INPUT!Q173=""),"",INPUT!P173-INPUT!Q173),"")</f>
        <v>9.9999999999994316E-2</v>
      </c>
      <c r="L178" s="48">
        <f>IFERROR(IF(OR(INPUT!P173="",INPUT!Q173="",INPUT!P173=0),"",(INPUT!P173-INPUT!Q173)/INPUT!P173),"")</f>
        <v>1.4025245441794435E-3</v>
      </c>
    </row>
    <row r="179" spans="1:12" ht="18" hidden="1" customHeight="1" x14ac:dyDescent="0.2">
      <c r="A179" s="11">
        <f>IF(INPUT!M174="","",INPUT!M174)</f>
        <v>45880</v>
      </c>
      <c r="B179" s="11">
        <f>IF(INPUT!M174="","",INPUT!M174-WEEKDAY(INPUT!M174,2)+1)</f>
        <v>45880</v>
      </c>
      <c r="C179" s="20">
        <f>IFERROR(_xlfn.ISOWEEKNUM(INPUT!M174),"")</f>
        <v>33</v>
      </c>
      <c r="D179" s="20">
        <f>IFERROR(YEAR(INPUT!M174),"")</f>
        <v>2025</v>
      </c>
      <c r="E179" t="str">
        <f>IF(INPUT!O174="","",INPUT!O174)</f>
        <v>RAYA</v>
      </c>
      <c r="F179" t="str">
        <f>IF(INPUT!N174="","",INPUT!N174)</f>
        <v>T</v>
      </c>
      <c r="G179" t="str" cm="1">
        <f t="array" ref="G179">IFERROR(VLOOKUP(INPUT!M174&amp;INPUT!N174,CHOOSE({1,2},INPUT!$A$3:$A$5000&amp;INPUT!$C$3:$C$5000,INPUT!$F$3:$F$5000),2,FALSE),"")</f>
        <v>PRE-TEMPORADA</v>
      </c>
      <c r="H179" t="str" cm="1">
        <f t="array" ref="H179">IFERROR(VLOOKUP(INPUT!M174&amp;INPUT!N174,CHOOSE({1,2},INPUT!$A$3:$A$5000&amp;INPUT!$C$3:$C$5000,INPUT!$D$3:$D$5000),2,FALSE),"")</f>
        <v>TEC-TAC</v>
      </c>
      <c r="I179" s="46">
        <f>IF(INPUT!P174="","",INPUT!P174)</f>
        <v>82.8</v>
      </c>
      <c r="J179" s="46">
        <f>IF(INPUT!Q174="","",INPUT!Q174)</f>
        <v>81.599999999999994</v>
      </c>
      <c r="K179" s="46">
        <f>IFERROR(IF(OR(INPUT!P174="",INPUT!Q174=""),"",INPUT!P174-INPUT!Q174),"")</f>
        <v>1.2000000000000028</v>
      </c>
      <c r="L179" s="48">
        <f>IFERROR(IF(OR(INPUT!P174="",INPUT!Q174="",INPUT!P174=0),"",(INPUT!P174-INPUT!Q174)/INPUT!P174),"")</f>
        <v>1.4492753623188441E-2</v>
      </c>
    </row>
    <row r="180" spans="1:12" ht="18" hidden="1" customHeight="1" x14ac:dyDescent="0.2">
      <c r="A180" s="11">
        <f>IF(INPUT!M175="","",INPUT!M175)</f>
        <v>45880</v>
      </c>
      <c r="B180" s="11">
        <f>IF(INPUT!M175="","",INPUT!M175-WEEKDAY(INPUT!M175,2)+1)</f>
        <v>45880</v>
      </c>
      <c r="C180" s="20">
        <f>IFERROR(_xlfn.ISOWEEKNUM(INPUT!M175),"")</f>
        <v>33</v>
      </c>
      <c r="D180" s="20">
        <f>IFERROR(YEAR(INPUT!M175),"")</f>
        <v>2025</v>
      </c>
      <c r="E180" t="str">
        <f>IF(INPUT!O175="","",INPUT!O175)</f>
        <v>JAVI</v>
      </c>
      <c r="F180" t="str">
        <f>IF(INPUT!N175="","",INPUT!N175)</f>
        <v>T</v>
      </c>
      <c r="G180" t="str" cm="1">
        <f t="array" ref="G180">IFERROR(VLOOKUP(INPUT!M175&amp;INPUT!N175,CHOOSE({1,2},INPUT!$A$3:$A$5000&amp;INPUT!$C$3:$C$5000,INPUT!$F$3:$F$5000),2,FALSE),"")</f>
        <v>PRE-TEMPORADA</v>
      </c>
      <c r="H180" t="str" cm="1">
        <f t="array" ref="H180">IFERROR(VLOOKUP(INPUT!M175&amp;INPUT!N175,CHOOSE({1,2},INPUT!$A$3:$A$5000&amp;INPUT!$C$3:$C$5000,INPUT!$D$3:$D$5000),2,FALSE),"")</f>
        <v>TEC-TAC</v>
      </c>
      <c r="I180" s="46">
        <f>IF(INPUT!P175="","",INPUT!P175)</f>
        <v>78.7</v>
      </c>
      <c r="J180" s="46">
        <f>IF(INPUT!Q175="","",INPUT!Q175)</f>
        <v>78.2</v>
      </c>
      <c r="K180" s="46">
        <f>IFERROR(IF(OR(INPUT!P175="",INPUT!Q175=""),"",INPUT!P175-INPUT!Q175),"")</f>
        <v>0.5</v>
      </c>
      <c r="L180" s="48">
        <f>IFERROR(IF(OR(INPUT!P175="",INPUT!Q175="",INPUT!P175=0),"",(INPUT!P175-INPUT!Q175)/INPUT!P175),"")</f>
        <v>6.3532401524777635E-3</v>
      </c>
    </row>
    <row r="181" spans="1:12" ht="18" hidden="1" customHeight="1" x14ac:dyDescent="0.2">
      <c r="A181" s="11">
        <f>IF(INPUT!M176="","",INPUT!M176)</f>
        <v>45880</v>
      </c>
      <c r="B181" s="11">
        <f>IF(INPUT!M176="","",INPUT!M176-WEEKDAY(INPUT!M176,2)+1)</f>
        <v>45880</v>
      </c>
      <c r="C181" s="20">
        <f>IFERROR(_xlfn.ISOWEEKNUM(INPUT!M176),"")</f>
        <v>33</v>
      </c>
      <c r="D181" s="20">
        <f>IFERROR(YEAR(INPUT!M176),"")</f>
        <v>2025</v>
      </c>
      <c r="E181" t="str">
        <f>IF(INPUT!O176="","",INPUT!O176)</f>
        <v>PANI</v>
      </c>
      <c r="F181" t="str">
        <f>IF(INPUT!N176="","",INPUT!N176)</f>
        <v>T</v>
      </c>
      <c r="G181" t="str" cm="1">
        <f t="array" ref="G181">IFERROR(VLOOKUP(INPUT!M176&amp;INPUT!N176,CHOOSE({1,2},INPUT!$A$3:$A$5000&amp;INPUT!$C$3:$C$5000,INPUT!$F$3:$F$5000),2,FALSE),"")</f>
        <v>PRE-TEMPORADA</v>
      </c>
      <c r="H181" t="str" cm="1">
        <f t="array" ref="H181">IFERROR(VLOOKUP(INPUT!M176&amp;INPUT!N176,CHOOSE({1,2},INPUT!$A$3:$A$5000&amp;INPUT!$C$3:$C$5000,INPUT!$D$3:$D$5000),2,FALSE),"")</f>
        <v>TEC-TAC</v>
      </c>
      <c r="I181" s="46">
        <f>IF(INPUT!P176="","",INPUT!P176)</f>
        <v>71.3</v>
      </c>
      <c r="J181" s="46">
        <f>IF(INPUT!Q176="","",INPUT!Q176)</f>
        <v>70.5</v>
      </c>
      <c r="K181" s="46">
        <f>IFERROR(IF(OR(INPUT!P176="",INPUT!Q176=""),"",INPUT!P176-INPUT!Q176),"")</f>
        <v>0.79999999999999716</v>
      </c>
      <c r="L181" s="48">
        <f>IFERROR(IF(OR(INPUT!P176="",INPUT!Q176="",INPUT!P176=0),"",(INPUT!P176-INPUT!Q176)/INPUT!P176),"")</f>
        <v>1.1220196353436145E-2</v>
      </c>
    </row>
    <row r="182" spans="1:12" ht="18" hidden="1" customHeight="1" x14ac:dyDescent="0.2">
      <c r="A182" s="11">
        <f>IF(INPUT!M177="","",INPUT!M177)</f>
        <v>45880</v>
      </c>
      <c r="B182" s="11">
        <f>IF(INPUT!M177="","",INPUT!M177-WEEKDAY(INPUT!M177,2)+1)</f>
        <v>45880</v>
      </c>
      <c r="C182" s="20">
        <f>IFERROR(_xlfn.ISOWEEKNUM(INPUT!M177),"")</f>
        <v>33</v>
      </c>
      <c r="D182" s="20">
        <f>IFERROR(YEAR(INPUT!M177),"")</f>
        <v>2025</v>
      </c>
      <c r="E182" t="str">
        <f>IF(INPUT!O177="","",INPUT!O177)</f>
        <v>PIRATA</v>
      </c>
      <c r="F182" t="str">
        <f>IF(INPUT!N177="","",INPUT!N177)</f>
        <v>T</v>
      </c>
      <c r="G182" t="str" cm="1">
        <f t="array" ref="G182">IFERROR(VLOOKUP(INPUT!M177&amp;INPUT!N177,CHOOSE({1,2},INPUT!$A$3:$A$5000&amp;INPUT!$C$3:$C$5000,INPUT!$F$3:$F$5000),2,FALSE),"")</f>
        <v>PRE-TEMPORADA</v>
      </c>
      <c r="H182" t="str" cm="1">
        <f t="array" ref="H182">IFERROR(VLOOKUP(INPUT!M177&amp;INPUT!N177,CHOOSE({1,2},INPUT!$A$3:$A$5000&amp;INPUT!$C$3:$C$5000,INPUT!$D$3:$D$5000),2,FALSE),"")</f>
        <v>TEC-TAC</v>
      </c>
      <c r="I182" s="46">
        <f>IF(INPUT!P177="","",INPUT!P177)</f>
        <v>75.7</v>
      </c>
      <c r="J182" s="46">
        <f>IF(INPUT!Q177="","",INPUT!Q177)</f>
        <v>75</v>
      </c>
      <c r="K182" s="46">
        <f>IFERROR(IF(OR(INPUT!P177="",INPUT!Q177=""),"",INPUT!P177-INPUT!Q177),"")</f>
        <v>0.70000000000000284</v>
      </c>
      <c r="L182" s="48">
        <f>IFERROR(IF(OR(INPUT!P177="",INPUT!Q177="",INPUT!P177=0),"",(INPUT!P177-INPUT!Q177)/INPUT!P177),"")</f>
        <v>9.2470277410832604E-3</v>
      </c>
    </row>
    <row r="183" spans="1:12" ht="18" hidden="1" customHeight="1" x14ac:dyDescent="0.2">
      <c r="A183" s="11">
        <f>IF(INPUT!M178="","",INPUT!M178)</f>
        <v>45880</v>
      </c>
      <c r="B183" s="11">
        <f>IF(INPUT!M178="","",INPUT!M178-WEEKDAY(INPUT!M178,2)+1)</f>
        <v>45880</v>
      </c>
      <c r="C183" s="20">
        <f>IFERROR(_xlfn.ISOWEEKNUM(INPUT!M178),"")</f>
        <v>33</v>
      </c>
      <c r="D183" s="20">
        <f>IFERROR(YEAR(INPUT!M178),"")</f>
        <v>2025</v>
      </c>
      <c r="E183" t="str">
        <f>IF(INPUT!O178="","",INPUT!O178)</f>
        <v>BARONA</v>
      </c>
      <c r="F183" t="str">
        <f>IF(INPUT!N178="","",INPUT!N178)</f>
        <v>T</v>
      </c>
      <c r="G183" t="str" cm="1">
        <f t="array" ref="G183">IFERROR(VLOOKUP(INPUT!M178&amp;INPUT!N178,CHOOSE({1,2},INPUT!$A$3:$A$5000&amp;INPUT!$C$3:$C$5000,INPUT!$F$3:$F$5000),2,FALSE),"")</f>
        <v>PRE-TEMPORADA</v>
      </c>
      <c r="H183" t="str" cm="1">
        <f t="array" ref="H183">IFERROR(VLOOKUP(INPUT!M178&amp;INPUT!N178,CHOOSE({1,2},INPUT!$A$3:$A$5000&amp;INPUT!$C$3:$C$5000,INPUT!$D$3:$D$5000),2,FALSE),"")</f>
        <v>TEC-TAC</v>
      </c>
      <c r="I183" s="46">
        <f>IF(INPUT!P178="","",INPUT!P178)</f>
        <v>71.2</v>
      </c>
      <c r="J183" s="46">
        <f>IF(INPUT!Q178="","",INPUT!Q178)</f>
        <v>70.5</v>
      </c>
      <c r="K183" s="46">
        <f>IFERROR(IF(OR(INPUT!P178="",INPUT!Q178=""),"",INPUT!P178-INPUT!Q178),"")</f>
        <v>0.70000000000000284</v>
      </c>
      <c r="L183" s="48">
        <f>IFERROR(IF(OR(INPUT!P178="",INPUT!Q178="",INPUT!P178=0),"",(INPUT!P178-INPUT!Q178)/INPUT!P178),"")</f>
        <v>9.831460674157343E-3</v>
      </c>
    </row>
    <row r="184" spans="1:12" ht="18" hidden="1" customHeight="1" x14ac:dyDescent="0.2">
      <c r="A184" s="11">
        <f>IF(INPUT!M179="","",INPUT!M179)</f>
        <v>45880</v>
      </c>
      <c r="B184" s="11">
        <f>IF(INPUT!M179="","",INPUT!M179-WEEKDAY(INPUT!M179,2)+1)</f>
        <v>45880</v>
      </c>
      <c r="C184" s="20">
        <f>IFERROR(_xlfn.ISOWEEKNUM(INPUT!M179),"")</f>
        <v>33</v>
      </c>
      <c r="D184" s="20">
        <f>IFERROR(YEAR(INPUT!M179),"")</f>
        <v>2025</v>
      </c>
      <c r="E184" t="str">
        <f>IF(INPUT!O179="","",INPUT!O179)</f>
        <v>CARLOS</v>
      </c>
      <c r="F184" t="str">
        <f>IF(INPUT!N179="","",INPUT!N179)</f>
        <v>T</v>
      </c>
      <c r="G184" t="str" cm="1">
        <f t="array" ref="G184">IFERROR(VLOOKUP(INPUT!M179&amp;INPUT!N179,CHOOSE({1,2},INPUT!$A$3:$A$5000&amp;INPUT!$C$3:$C$5000,INPUT!$F$3:$F$5000),2,FALSE),"")</f>
        <v>PRE-TEMPORADA</v>
      </c>
      <c r="H184" t="str" cm="1">
        <f t="array" ref="H184">IFERROR(VLOOKUP(INPUT!M179&amp;INPUT!N179,CHOOSE({1,2},INPUT!$A$3:$A$5000&amp;INPUT!$C$3:$C$5000,INPUT!$D$3:$D$5000),2,FALSE),"")</f>
        <v>TEC-TAC</v>
      </c>
      <c r="I184" s="46">
        <f>IF(INPUT!P179="","",INPUT!P179)</f>
        <v>68.099999999999994</v>
      </c>
      <c r="J184" s="46">
        <f>IF(INPUT!Q179="","",INPUT!Q179)</f>
        <v>67.8</v>
      </c>
      <c r="K184" s="46">
        <f>IFERROR(IF(OR(INPUT!P179="",INPUT!Q179=""),"",INPUT!P179-INPUT!Q179),"")</f>
        <v>0.29999999999999716</v>
      </c>
      <c r="L184" s="48">
        <f>IFERROR(IF(OR(INPUT!P179="",INPUT!Q179="",INPUT!P179=0),"",(INPUT!P179-INPUT!Q179)/INPUT!P179),"")</f>
        <v>4.4052863436122936E-3</v>
      </c>
    </row>
    <row r="185" spans="1:12" ht="18" hidden="1" customHeight="1" x14ac:dyDescent="0.2">
      <c r="A185" s="11">
        <f>IF(INPUT!M180="","",INPUT!M180)</f>
        <v>45880</v>
      </c>
      <c r="B185" s="11">
        <f>IF(INPUT!M180="","",INPUT!M180-WEEKDAY(INPUT!M180,2)+1)</f>
        <v>45880</v>
      </c>
      <c r="C185" s="20">
        <f>IFERROR(_xlfn.ISOWEEKNUM(INPUT!M180),"")</f>
        <v>33</v>
      </c>
      <c r="D185" s="20">
        <f>IFERROR(YEAR(INPUT!M180),"")</f>
        <v>2025</v>
      </c>
      <c r="E185" t="str">
        <f>IF(INPUT!O180="","",INPUT!O180)</f>
        <v>GONZALO</v>
      </c>
      <c r="F185" t="str">
        <f>IF(INPUT!N180="","",INPUT!N180)</f>
        <v>T</v>
      </c>
      <c r="G185" t="str" cm="1">
        <f t="array" ref="G185">IFERROR(VLOOKUP(INPUT!M180&amp;INPUT!N180,CHOOSE({1,2},INPUT!$A$3:$A$5000&amp;INPUT!$C$3:$C$5000,INPUT!$F$3:$F$5000),2,FALSE),"")</f>
        <v>PRE-TEMPORADA</v>
      </c>
      <c r="H185" t="str" cm="1">
        <f t="array" ref="H185">IFERROR(VLOOKUP(INPUT!M180&amp;INPUT!N180,CHOOSE({1,2},INPUT!$A$3:$A$5000&amp;INPUT!$C$3:$C$5000,INPUT!$D$3:$D$5000),2,FALSE),"")</f>
        <v>TEC-TAC</v>
      </c>
      <c r="I185" s="46">
        <f>IF(INPUT!P180="","",INPUT!P180)</f>
        <v>85.3</v>
      </c>
      <c r="J185" s="46">
        <f>IF(INPUT!Q180="","",INPUT!Q180)</f>
        <v>85.4</v>
      </c>
      <c r="K185" s="46">
        <f>IFERROR(IF(OR(INPUT!P180="",INPUT!Q180=""),"",INPUT!P180-INPUT!Q180),"")</f>
        <v>-0.10000000000000853</v>
      </c>
      <c r="L185" s="48">
        <f>IFERROR(IF(OR(INPUT!P180="",INPUT!Q180="",INPUT!P180=0),"",(INPUT!P180-INPUT!Q180)/INPUT!P180),"")</f>
        <v>-1.1723329425557859E-3</v>
      </c>
    </row>
    <row r="186" spans="1:12" ht="18" hidden="1" customHeight="1" x14ac:dyDescent="0.2">
      <c r="A186" s="11">
        <f>IF(INPUT!M181="","",INPUT!M181)</f>
        <v>45880</v>
      </c>
      <c r="B186" s="11">
        <f>IF(INPUT!M181="","",INPUT!M181-WEEKDAY(INPUT!M181,2)+1)</f>
        <v>45880</v>
      </c>
      <c r="C186" s="20">
        <f>IFERROR(_xlfn.ISOWEEKNUM(INPUT!M181),"")</f>
        <v>33</v>
      </c>
      <c r="D186" s="20">
        <f>IFERROR(YEAR(INPUT!M181),"")</f>
        <v>2025</v>
      </c>
      <c r="E186" t="str">
        <f>IF(INPUT!O181="","",INPUT!O181)</f>
        <v>RUBIO</v>
      </c>
      <c r="F186" t="str">
        <f>IF(INPUT!N181="","",INPUT!N181)</f>
        <v>T</v>
      </c>
      <c r="G186" t="str" cm="1">
        <f t="array" ref="G186">IFERROR(VLOOKUP(INPUT!M181&amp;INPUT!N181,CHOOSE({1,2},INPUT!$A$3:$A$5000&amp;INPUT!$C$3:$C$5000,INPUT!$F$3:$F$5000),2,FALSE),"")</f>
        <v>PRE-TEMPORADA</v>
      </c>
      <c r="H186" t="str" cm="1">
        <f t="array" ref="H186">IFERROR(VLOOKUP(INPUT!M181&amp;INPUT!N181,CHOOSE({1,2},INPUT!$A$3:$A$5000&amp;INPUT!$C$3:$C$5000,INPUT!$D$3:$D$5000),2,FALSE),"")</f>
        <v>TEC-TAC</v>
      </c>
      <c r="I186" s="46">
        <f>IF(INPUT!P181="","",INPUT!P181)</f>
        <v>74.5</v>
      </c>
      <c r="J186" s="46">
        <f>IF(INPUT!Q181="","",INPUT!Q181)</f>
        <v>74.5</v>
      </c>
      <c r="K186" s="46">
        <f>IFERROR(IF(OR(INPUT!P181="",INPUT!Q181=""),"",INPUT!P181-INPUT!Q181),"")</f>
        <v>0</v>
      </c>
      <c r="L186" s="48">
        <f>IFERROR(IF(OR(INPUT!P181="",INPUT!Q181="",INPUT!P181=0),"",(INPUT!P181-INPUT!Q181)/INPUT!P181),"")</f>
        <v>0</v>
      </c>
    </row>
    <row r="187" spans="1:12" ht="18" hidden="1" customHeight="1" x14ac:dyDescent="0.2">
      <c r="A187" s="11">
        <f>IF(INPUT!M182="","",INPUT!M182)</f>
        <v>45880</v>
      </c>
      <c r="B187" s="11">
        <f>IF(INPUT!M182="","",INPUT!M182-WEEKDAY(INPUT!M182,2)+1)</f>
        <v>45880</v>
      </c>
      <c r="C187" s="20">
        <f>IFERROR(_xlfn.ISOWEEKNUM(INPUT!M182),"")</f>
        <v>33</v>
      </c>
      <c r="D187" s="20">
        <f>IFERROR(YEAR(INPUT!M182),"")</f>
        <v>2025</v>
      </c>
      <c r="E187" t="str">
        <f>IF(INPUT!O182="","",INPUT!O182)</f>
        <v>DANI</v>
      </c>
      <c r="F187" t="str">
        <f>IF(INPUT!N182="","",INPUT!N182)</f>
        <v>T</v>
      </c>
      <c r="G187" t="str" cm="1">
        <f t="array" ref="G187">IFERROR(VLOOKUP(INPUT!M182&amp;INPUT!N182,CHOOSE({1,2},INPUT!$A$3:$A$5000&amp;INPUT!$C$3:$C$5000,INPUT!$F$3:$F$5000),2,FALSE),"")</f>
        <v>PRE-TEMPORADA</v>
      </c>
      <c r="H187" t="str" cm="1">
        <f t="array" ref="H187">IFERROR(VLOOKUP(INPUT!M182&amp;INPUT!N182,CHOOSE({1,2},INPUT!$A$3:$A$5000&amp;INPUT!$C$3:$C$5000,INPUT!$D$3:$D$5000),2,FALSE),"")</f>
        <v>TEC-TAC</v>
      </c>
      <c r="I187" s="46">
        <f>IF(INPUT!P182="","",INPUT!P182)</f>
        <v>93.7</v>
      </c>
      <c r="J187" s="46">
        <f>IF(INPUT!Q182="","",INPUT!Q182)</f>
        <v>92.8</v>
      </c>
      <c r="K187" s="46">
        <f>IFERROR(IF(OR(INPUT!P182="",INPUT!Q182=""),"",INPUT!P182-INPUT!Q182),"")</f>
        <v>0.90000000000000568</v>
      </c>
      <c r="L187" s="48">
        <f>IFERROR(IF(OR(INPUT!P182="",INPUT!Q182="",INPUT!P182=0),"",(INPUT!P182-INPUT!Q182)/INPUT!P182),"")</f>
        <v>9.6051227321238605E-3</v>
      </c>
    </row>
    <row r="188" spans="1:12" ht="18" hidden="1" customHeight="1" x14ac:dyDescent="0.2">
      <c r="A188" s="11">
        <f>IF(INPUT!M183="","",INPUT!M183)</f>
        <v>45880</v>
      </c>
      <c r="B188" s="11">
        <f>IF(INPUT!M183="","",INPUT!M183-WEEKDAY(INPUT!M183,2)+1)</f>
        <v>45880</v>
      </c>
      <c r="C188" s="20">
        <f>IFERROR(_xlfn.ISOWEEKNUM(INPUT!M183),"")</f>
        <v>33</v>
      </c>
      <c r="D188" s="20">
        <f>IFERROR(YEAR(INPUT!M183),"")</f>
        <v>2025</v>
      </c>
      <c r="E188" t="str">
        <f>IF(INPUT!O183="","",INPUT!O183)</f>
        <v>JAIME</v>
      </c>
      <c r="F188" t="str">
        <f>IF(INPUT!N183="","",INPUT!N183)</f>
        <v>T</v>
      </c>
      <c r="G188" t="str" cm="1">
        <f t="array" ref="G188">IFERROR(VLOOKUP(INPUT!M183&amp;INPUT!N183,CHOOSE({1,2},INPUT!$A$3:$A$5000&amp;INPUT!$C$3:$C$5000,INPUT!$F$3:$F$5000),2,FALSE),"")</f>
        <v>PRE-TEMPORADA</v>
      </c>
      <c r="H188" t="str" cm="1">
        <f t="array" ref="H188">IFERROR(VLOOKUP(INPUT!M183&amp;INPUT!N183,CHOOSE({1,2},INPUT!$A$3:$A$5000&amp;INPUT!$C$3:$C$5000,INPUT!$D$3:$D$5000),2,FALSE),"")</f>
        <v>TEC-TAC</v>
      </c>
      <c r="I188" s="46">
        <f>IF(INPUT!P183="","",INPUT!P183)</f>
        <v>76.2</v>
      </c>
      <c r="J188" s="46">
        <f>IF(INPUT!Q183="","",INPUT!Q183)</f>
        <v>75.2</v>
      </c>
      <c r="K188" s="46">
        <f>IFERROR(IF(OR(INPUT!P183="",INPUT!Q183=""),"",INPUT!P183-INPUT!Q183),"")</f>
        <v>1</v>
      </c>
      <c r="L188" s="48">
        <f>IFERROR(IF(OR(INPUT!P183="",INPUT!Q183="",INPUT!P183=0),"",(INPUT!P183-INPUT!Q183)/INPUT!P183),"")</f>
        <v>1.3123359580052493E-2</v>
      </c>
    </row>
    <row r="189" spans="1:12" ht="18" hidden="1" customHeight="1" x14ac:dyDescent="0.2">
      <c r="A189" s="11">
        <f>IF(INPUT!M184="","",INPUT!M184)</f>
        <v>45881</v>
      </c>
      <c r="B189" s="11">
        <f>IF(INPUT!M184="","",INPUT!M184-WEEKDAY(INPUT!M184,2)+1)</f>
        <v>45880</v>
      </c>
      <c r="C189" s="20">
        <f>IFERROR(_xlfn.ISOWEEKNUM(INPUT!M184),"")</f>
        <v>33</v>
      </c>
      <c r="D189" s="20">
        <f>IFERROR(YEAR(INPUT!M184),"")</f>
        <v>2025</v>
      </c>
      <c r="E189" t="str">
        <f>IF(INPUT!O184="","",INPUT!O184)</f>
        <v>HERRERO</v>
      </c>
      <c r="F189" t="str">
        <f>IF(INPUT!N184="","",INPUT!N184)</f>
        <v>M</v>
      </c>
      <c r="G189" t="str" cm="1">
        <f t="array" ref="G189">IFERROR(VLOOKUP(INPUT!M184&amp;INPUT!N184,CHOOSE({1,2},INPUT!$A$3:$A$5000&amp;INPUT!$C$3:$C$5000,INPUT!$F$3:$F$5000),2,FALSE),"")</f>
        <v>PRE-TEMPORADA</v>
      </c>
      <c r="H189" t="str" cm="1">
        <f t="array" ref="H189">IFERROR(VLOOKUP(INPUT!M184&amp;INPUT!N184,CHOOSE({1,2},INPUT!$A$3:$A$5000&amp;INPUT!$C$3:$C$5000,INPUT!$D$3:$D$5000),2,FALSE),"")</f>
        <v>TEC-TAC</v>
      </c>
      <c r="I189" s="46">
        <f>IF(INPUT!P184="","",INPUT!P184)</f>
        <v>76.8</v>
      </c>
      <c r="J189" s="46">
        <f>IF(INPUT!Q184="","",INPUT!Q184)</f>
        <v>76</v>
      </c>
      <c r="K189" s="46">
        <f>IFERROR(IF(OR(INPUT!P184="",INPUT!Q184=""),"",INPUT!P184-INPUT!Q184),"")</f>
        <v>0.79999999999999716</v>
      </c>
      <c r="L189" s="48">
        <f>IFERROR(IF(OR(INPUT!P184="",INPUT!Q184="",INPUT!P184=0),"",(INPUT!P184-INPUT!Q184)/INPUT!P184),"")</f>
        <v>1.041666666666663E-2</v>
      </c>
    </row>
    <row r="190" spans="1:12" ht="18" hidden="1" customHeight="1" x14ac:dyDescent="0.2">
      <c r="A190" s="11">
        <f>IF(INPUT!M185="","",INPUT!M185)</f>
        <v>45881</v>
      </c>
      <c r="B190" s="11">
        <f>IF(INPUT!M185="","",INPUT!M185-WEEKDAY(INPUT!M185,2)+1)</f>
        <v>45880</v>
      </c>
      <c r="C190" s="20">
        <f>IFERROR(_xlfn.ISOWEEKNUM(INPUT!M185),"")</f>
        <v>33</v>
      </c>
      <c r="D190" s="20">
        <f>IFERROR(YEAR(INPUT!M185),"")</f>
        <v>2025</v>
      </c>
      <c r="E190" t="str">
        <f>IF(INPUT!O185="","",INPUT!O185)</f>
        <v>GARCIA</v>
      </c>
      <c r="F190" t="str">
        <f>IF(INPUT!N185="","",INPUT!N185)</f>
        <v>M</v>
      </c>
      <c r="G190" t="str" cm="1">
        <f t="array" ref="G190">IFERROR(VLOOKUP(INPUT!M185&amp;INPUT!N185,CHOOSE({1,2},INPUT!$A$3:$A$5000&amp;INPUT!$C$3:$C$5000,INPUT!$F$3:$F$5000),2,FALSE),"")</f>
        <v>PRE-TEMPORADA</v>
      </c>
      <c r="H190" t="str" cm="1">
        <f t="array" ref="H190">IFERROR(VLOOKUP(INPUT!M185&amp;INPUT!N185,CHOOSE({1,2},INPUT!$A$3:$A$5000&amp;INPUT!$C$3:$C$5000,INPUT!$D$3:$D$5000),2,FALSE),"")</f>
        <v>TEC-TAC</v>
      </c>
      <c r="I190" s="46">
        <f>IF(INPUT!P185="","",INPUT!P185)</f>
        <v>79.3</v>
      </c>
      <c r="J190" s="46">
        <f>IF(INPUT!Q185="","",INPUT!Q185)</f>
        <v>78.7</v>
      </c>
      <c r="K190" s="46">
        <f>IFERROR(IF(OR(INPUT!P185="",INPUT!Q185=""),"",INPUT!P185-INPUT!Q185),"")</f>
        <v>0.59999999999999432</v>
      </c>
      <c r="L190" s="48">
        <f>IFERROR(IF(OR(INPUT!P185="",INPUT!Q185="",INPUT!P185=0),"",(INPUT!P185-INPUT!Q185)/INPUT!P185),"")</f>
        <v>7.5662042875156918E-3</v>
      </c>
    </row>
    <row r="191" spans="1:12" ht="18" hidden="1" customHeight="1" x14ac:dyDescent="0.2">
      <c r="A191" s="11">
        <f>IF(INPUT!M186="","",INPUT!M186)</f>
        <v>45881</v>
      </c>
      <c r="B191" s="11">
        <f>IF(INPUT!M186="","",INPUT!M186-WEEKDAY(INPUT!M186,2)+1)</f>
        <v>45880</v>
      </c>
      <c r="C191" s="20">
        <f>IFERROR(_xlfn.ISOWEEKNUM(INPUT!M186),"")</f>
        <v>33</v>
      </c>
      <c r="D191" s="20">
        <f>IFERROR(YEAR(INPUT!M186),"")</f>
        <v>2025</v>
      </c>
      <c r="E191" t="str">
        <f>IF(INPUT!O186="","",INPUT!O186)</f>
        <v>OSCAR</v>
      </c>
      <c r="F191" t="str">
        <f>IF(INPUT!N186="","",INPUT!N186)</f>
        <v>M</v>
      </c>
      <c r="G191" t="str" cm="1">
        <f t="array" ref="G191">IFERROR(VLOOKUP(INPUT!M186&amp;INPUT!N186,CHOOSE({1,2},INPUT!$A$3:$A$5000&amp;INPUT!$C$3:$C$5000,INPUT!$F$3:$F$5000),2,FALSE),"")</f>
        <v>PRE-TEMPORADA</v>
      </c>
      <c r="H191" t="str" cm="1">
        <f t="array" ref="H191">IFERROR(VLOOKUP(INPUT!M186&amp;INPUT!N186,CHOOSE({1,2},INPUT!$A$3:$A$5000&amp;INPUT!$C$3:$C$5000,INPUT!$D$3:$D$5000),2,FALSE),"")</f>
        <v>TEC-TAC</v>
      </c>
      <c r="I191" s="46">
        <f>IF(INPUT!P186="","",INPUT!P186)</f>
        <v>88.9</v>
      </c>
      <c r="J191" s="46">
        <f>IF(INPUT!Q186="","",INPUT!Q186)</f>
        <v>89</v>
      </c>
      <c r="K191" s="46">
        <f>IFERROR(IF(OR(INPUT!P186="",INPUT!Q186=""),"",INPUT!P186-INPUT!Q186),"")</f>
        <v>-9.9999999999994316E-2</v>
      </c>
      <c r="L191" s="48">
        <f>IFERROR(IF(OR(INPUT!P186="",INPUT!Q186="",INPUT!P186=0),"",(INPUT!P186-INPUT!Q186)/INPUT!P186),"")</f>
        <v>-1.1248593925758639E-3</v>
      </c>
    </row>
    <row r="192" spans="1:12" ht="18" hidden="1" customHeight="1" x14ac:dyDescent="0.2">
      <c r="A192" s="11">
        <f>IF(INPUT!M187="","",INPUT!M187)</f>
        <v>45881</v>
      </c>
      <c r="B192" s="11">
        <f>IF(INPUT!M187="","",INPUT!M187-WEEKDAY(INPUT!M187,2)+1)</f>
        <v>45880</v>
      </c>
      <c r="C192" s="20">
        <f>IFERROR(_xlfn.ISOWEEKNUM(INPUT!M187),"")</f>
        <v>33</v>
      </c>
      <c r="D192" s="20">
        <f>IFERROR(YEAR(INPUT!M187),"")</f>
        <v>2025</v>
      </c>
      <c r="E192" t="str">
        <f>IF(INPUT!O187="","",INPUT!O187)</f>
        <v>CECILIO</v>
      </c>
      <c r="F192" t="str">
        <f>IF(INPUT!N187="","",INPUT!N187)</f>
        <v>M</v>
      </c>
      <c r="G192" t="str" cm="1">
        <f t="array" ref="G192">IFERROR(VLOOKUP(INPUT!M187&amp;INPUT!N187,CHOOSE({1,2},INPUT!$A$3:$A$5000&amp;INPUT!$C$3:$C$5000,INPUT!$F$3:$F$5000),2,FALSE),"")</f>
        <v>PRE-TEMPORADA</v>
      </c>
      <c r="H192" t="str" cm="1">
        <f t="array" ref="H192">IFERROR(VLOOKUP(INPUT!M187&amp;INPUT!N187,CHOOSE({1,2},INPUT!$A$3:$A$5000&amp;INPUT!$C$3:$C$5000,INPUT!$D$3:$D$5000),2,FALSE),"")</f>
        <v>TEC-TAC</v>
      </c>
      <c r="I192" s="46">
        <f>IF(INPUT!P187="","",INPUT!P187)</f>
        <v>68.5</v>
      </c>
      <c r="J192" s="46">
        <f>IF(INPUT!Q187="","",INPUT!Q187)</f>
        <v>68</v>
      </c>
      <c r="K192" s="46">
        <f>IFERROR(IF(OR(INPUT!P187="",INPUT!Q187=""),"",INPUT!P187-INPUT!Q187),"")</f>
        <v>0.5</v>
      </c>
      <c r="L192" s="48">
        <f>IFERROR(IF(OR(INPUT!P187="",INPUT!Q187="",INPUT!P187=0),"",(INPUT!P187-INPUT!Q187)/INPUT!P187),"")</f>
        <v>7.2992700729927005E-3</v>
      </c>
    </row>
    <row r="193" spans="1:12" ht="18" hidden="1" customHeight="1" x14ac:dyDescent="0.2">
      <c r="A193" s="11">
        <f>IF(INPUT!M188="","",INPUT!M188)</f>
        <v>45881</v>
      </c>
      <c r="B193" s="11">
        <f>IF(INPUT!M188="","",INPUT!M188-WEEKDAY(INPUT!M188,2)+1)</f>
        <v>45880</v>
      </c>
      <c r="C193" s="20">
        <f>IFERROR(_xlfn.ISOWEEKNUM(INPUT!M188),"")</f>
        <v>33</v>
      </c>
      <c r="D193" s="20">
        <f>IFERROR(YEAR(INPUT!M188),"")</f>
        <v>2025</v>
      </c>
      <c r="E193" t="str">
        <f>IF(INPUT!O188="","",INPUT!O188)</f>
        <v>CHAGUINHA</v>
      </c>
      <c r="F193" t="str">
        <f>IF(INPUT!N188="","",INPUT!N188)</f>
        <v>M</v>
      </c>
      <c r="G193" t="str" cm="1">
        <f t="array" ref="G193">IFERROR(VLOOKUP(INPUT!M188&amp;INPUT!N188,CHOOSE({1,2},INPUT!$A$3:$A$5000&amp;INPUT!$C$3:$C$5000,INPUT!$F$3:$F$5000),2,FALSE),"")</f>
        <v>PRE-TEMPORADA</v>
      </c>
      <c r="H193" t="str" cm="1">
        <f t="array" ref="H193">IFERROR(VLOOKUP(INPUT!M188&amp;INPUT!N188,CHOOSE({1,2},INPUT!$A$3:$A$5000&amp;INPUT!$C$3:$C$5000,INPUT!$D$3:$D$5000),2,FALSE),"")</f>
        <v>TEC-TAC</v>
      </c>
      <c r="I193" s="46">
        <f>IF(INPUT!P188="","",INPUT!P188)</f>
        <v>68.3</v>
      </c>
      <c r="J193" s="46">
        <f>IF(INPUT!Q188="","",INPUT!Q188)</f>
        <v>67.900000000000006</v>
      </c>
      <c r="K193" s="46">
        <f>IFERROR(IF(OR(INPUT!P188="",INPUT!Q188=""),"",INPUT!P188-INPUT!Q188),"")</f>
        <v>0.39999999999999147</v>
      </c>
      <c r="L193" s="48">
        <f>IFERROR(IF(OR(INPUT!P188="",INPUT!Q188="",INPUT!P188=0),"",(INPUT!P188-INPUT!Q188)/INPUT!P188),"")</f>
        <v>5.8565153733527303E-3</v>
      </c>
    </row>
    <row r="194" spans="1:12" ht="18" hidden="1" customHeight="1" x14ac:dyDescent="0.2">
      <c r="A194" s="11">
        <f>IF(INPUT!M189="","",INPUT!M189)</f>
        <v>45881</v>
      </c>
      <c r="B194" s="11">
        <f>IF(INPUT!M189="","",INPUT!M189-WEEKDAY(INPUT!M189,2)+1)</f>
        <v>45880</v>
      </c>
      <c r="C194" s="20">
        <f>IFERROR(_xlfn.ISOWEEKNUM(INPUT!M189),"")</f>
        <v>33</v>
      </c>
      <c r="D194" s="20">
        <f>IFERROR(YEAR(INPUT!M189),"")</f>
        <v>2025</v>
      </c>
      <c r="E194" t="str">
        <f>IF(INPUT!O189="","",INPUT!O189)</f>
        <v>RAUL</v>
      </c>
      <c r="F194" t="str">
        <f>IF(INPUT!N189="","",INPUT!N189)</f>
        <v>M</v>
      </c>
      <c r="G194" t="str" cm="1">
        <f t="array" ref="G194">IFERROR(VLOOKUP(INPUT!M189&amp;INPUT!N189,CHOOSE({1,2},INPUT!$A$3:$A$5000&amp;INPUT!$C$3:$C$5000,INPUT!$F$3:$F$5000),2,FALSE),"")</f>
        <v>PRE-TEMPORADA</v>
      </c>
      <c r="H194" t="str" cm="1">
        <f t="array" ref="H194">IFERROR(VLOOKUP(INPUT!M189&amp;INPUT!N189,CHOOSE({1,2},INPUT!$A$3:$A$5000&amp;INPUT!$C$3:$C$5000,INPUT!$D$3:$D$5000),2,FALSE),"")</f>
        <v>TEC-TAC</v>
      </c>
      <c r="I194" s="46">
        <f>IF(INPUT!P189="","",INPUT!P189)</f>
        <v>78.5</v>
      </c>
      <c r="J194" s="46">
        <f>IF(INPUT!Q189="","",INPUT!Q189)</f>
        <v>78</v>
      </c>
      <c r="K194" s="46">
        <f>IFERROR(IF(OR(INPUT!P189="",INPUT!Q189=""),"",INPUT!P189-INPUT!Q189),"")</f>
        <v>0.5</v>
      </c>
      <c r="L194" s="48">
        <f>IFERROR(IF(OR(INPUT!P189="",INPUT!Q189="",INPUT!P189=0),"",(INPUT!P189-INPUT!Q189)/INPUT!P189),"")</f>
        <v>6.369426751592357E-3</v>
      </c>
    </row>
    <row r="195" spans="1:12" ht="18" hidden="1" customHeight="1" x14ac:dyDescent="0.2">
      <c r="A195" s="11">
        <f>IF(INPUT!M190="","",INPUT!M190)</f>
        <v>45881</v>
      </c>
      <c r="B195" s="11">
        <f>IF(INPUT!M190="","",INPUT!M190-WEEKDAY(INPUT!M190,2)+1)</f>
        <v>45880</v>
      </c>
      <c r="C195" s="20">
        <f>IFERROR(_xlfn.ISOWEEKNUM(INPUT!M190),"")</f>
        <v>33</v>
      </c>
      <c r="D195" s="20">
        <f>IFERROR(YEAR(INPUT!M190),"")</f>
        <v>2025</v>
      </c>
      <c r="E195" t="str">
        <f>IF(INPUT!O190="","",INPUT!O190)</f>
        <v>HARRISON</v>
      </c>
      <c r="F195" t="str">
        <f>IF(INPUT!N190="","",INPUT!N190)</f>
        <v>M</v>
      </c>
      <c r="G195" t="str" cm="1">
        <f t="array" ref="G195">IFERROR(VLOOKUP(INPUT!M190&amp;INPUT!N190,CHOOSE({1,2},INPUT!$A$3:$A$5000&amp;INPUT!$C$3:$C$5000,INPUT!$F$3:$F$5000),2,FALSE),"")</f>
        <v>PRE-TEMPORADA</v>
      </c>
      <c r="H195" t="str" cm="1">
        <f t="array" ref="H195">IFERROR(VLOOKUP(INPUT!M190&amp;INPUT!N190,CHOOSE({1,2},INPUT!$A$3:$A$5000&amp;INPUT!$C$3:$C$5000,INPUT!$D$3:$D$5000),2,FALSE),"")</f>
        <v>TEC-TAC</v>
      </c>
      <c r="I195" s="46">
        <f>IF(INPUT!P190="","",INPUT!P190)</f>
        <v>71.099999999999994</v>
      </c>
      <c r="J195" s="46">
        <f>IF(INPUT!Q190="","",INPUT!Q190)</f>
        <v>71.099999999999994</v>
      </c>
      <c r="K195" s="46">
        <f>IFERROR(IF(OR(INPUT!P190="",INPUT!Q190=""),"",INPUT!P190-INPUT!Q190),"")</f>
        <v>0</v>
      </c>
      <c r="L195" s="48">
        <f>IFERROR(IF(OR(INPUT!P190="",INPUT!Q190="",INPUT!P190=0),"",(INPUT!P190-INPUT!Q190)/INPUT!P190),"")</f>
        <v>0</v>
      </c>
    </row>
    <row r="196" spans="1:12" ht="18" hidden="1" customHeight="1" x14ac:dyDescent="0.2">
      <c r="A196" s="11">
        <f>IF(INPUT!M191="","",INPUT!M191)</f>
        <v>45881</v>
      </c>
      <c r="B196" s="11">
        <f>IF(INPUT!M191="","",INPUT!M191-WEEKDAY(INPUT!M191,2)+1)</f>
        <v>45880</v>
      </c>
      <c r="C196" s="20">
        <f>IFERROR(_xlfn.ISOWEEKNUM(INPUT!M191),"")</f>
        <v>33</v>
      </c>
      <c r="D196" s="20">
        <f>IFERROR(YEAR(INPUT!M191),"")</f>
        <v>2025</v>
      </c>
      <c r="E196" t="str">
        <f>IF(INPUT!O191="","",INPUT!O191)</f>
        <v>RAYA</v>
      </c>
      <c r="F196" t="str">
        <f>IF(INPUT!N191="","",INPUT!N191)</f>
        <v>M</v>
      </c>
      <c r="G196" t="str" cm="1">
        <f t="array" ref="G196">IFERROR(VLOOKUP(INPUT!M191&amp;INPUT!N191,CHOOSE({1,2},INPUT!$A$3:$A$5000&amp;INPUT!$C$3:$C$5000,INPUT!$F$3:$F$5000),2,FALSE),"")</f>
        <v>PRE-TEMPORADA</v>
      </c>
      <c r="H196" t="str" cm="1">
        <f t="array" ref="H196">IFERROR(VLOOKUP(INPUT!M191&amp;INPUT!N191,CHOOSE({1,2},INPUT!$A$3:$A$5000&amp;INPUT!$C$3:$C$5000,INPUT!$D$3:$D$5000),2,FALSE),"")</f>
        <v>TEC-TAC</v>
      </c>
      <c r="I196" s="46">
        <f>IF(INPUT!P191="","",INPUT!P191)</f>
        <v>82.2</v>
      </c>
      <c r="J196" s="46">
        <f>IF(INPUT!Q191="","",INPUT!Q191)</f>
        <v>82</v>
      </c>
      <c r="K196" s="46">
        <f>IFERROR(IF(OR(INPUT!P191="",INPUT!Q191=""),"",INPUT!P191-INPUT!Q191),"")</f>
        <v>0.20000000000000284</v>
      </c>
      <c r="L196" s="48">
        <f>IFERROR(IF(OR(INPUT!P191="",INPUT!Q191="",INPUT!P191=0),"",(INPUT!P191-INPUT!Q191)/INPUT!P191),"")</f>
        <v>2.4330900243309346E-3</v>
      </c>
    </row>
    <row r="197" spans="1:12" ht="18" hidden="1" customHeight="1" x14ac:dyDescent="0.2">
      <c r="A197" s="11">
        <f>IF(INPUT!M192="","",INPUT!M192)</f>
        <v>45881</v>
      </c>
      <c r="B197" s="11">
        <f>IF(INPUT!M192="","",INPUT!M192-WEEKDAY(INPUT!M192,2)+1)</f>
        <v>45880</v>
      </c>
      <c r="C197" s="20">
        <f>IFERROR(_xlfn.ISOWEEKNUM(INPUT!M192),"")</f>
        <v>33</v>
      </c>
      <c r="D197" s="20">
        <f>IFERROR(YEAR(INPUT!M192),"")</f>
        <v>2025</v>
      </c>
      <c r="E197" t="str">
        <f>IF(INPUT!O192="","",INPUT!O192)</f>
        <v>JAVI</v>
      </c>
      <c r="F197" t="str">
        <f>IF(INPUT!N192="","",INPUT!N192)</f>
        <v>M</v>
      </c>
      <c r="G197" t="str" cm="1">
        <f t="array" ref="G197">IFERROR(VLOOKUP(INPUT!M192&amp;INPUT!N192,CHOOSE({1,2},INPUT!$A$3:$A$5000&amp;INPUT!$C$3:$C$5000,INPUT!$F$3:$F$5000),2,FALSE),"")</f>
        <v>PRE-TEMPORADA</v>
      </c>
      <c r="H197" t="str" cm="1">
        <f t="array" ref="H197">IFERROR(VLOOKUP(INPUT!M192&amp;INPUT!N192,CHOOSE({1,2},INPUT!$A$3:$A$5000&amp;INPUT!$C$3:$C$5000,INPUT!$D$3:$D$5000),2,FALSE),"")</f>
        <v>TEC-TAC</v>
      </c>
      <c r="I197" s="46">
        <f>IF(INPUT!P192="","",INPUT!P192)</f>
        <v>77.8</v>
      </c>
      <c r="J197" s="46">
        <f>IF(INPUT!Q192="","",INPUT!Q192)</f>
        <v>77.400000000000006</v>
      </c>
      <c r="K197" s="46">
        <f>IFERROR(IF(OR(INPUT!P192="",INPUT!Q192=""),"",INPUT!P192-INPUT!Q192),"")</f>
        <v>0.39999999999999147</v>
      </c>
      <c r="L197" s="48">
        <f>IFERROR(IF(OR(INPUT!P192="",INPUT!Q192="",INPUT!P192=0),"",(INPUT!P192-INPUT!Q192)/INPUT!P192),"")</f>
        <v>5.1413881748070883E-3</v>
      </c>
    </row>
    <row r="198" spans="1:12" ht="18" hidden="1" customHeight="1" x14ac:dyDescent="0.2">
      <c r="A198" s="11">
        <f>IF(INPUT!M193="","",INPUT!M193)</f>
        <v>45881</v>
      </c>
      <c r="B198" s="11">
        <f>IF(INPUT!M193="","",INPUT!M193-WEEKDAY(INPUT!M193,2)+1)</f>
        <v>45880</v>
      </c>
      <c r="C198" s="20">
        <f>IFERROR(_xlfn.ISOWEEKNUM(INPUT!M193),"")</f>
        <v>33</v>
      </c>
      <c r="D198" s="20">
        <f>IFERROR(YEAR(INPUT!M193),"")</f>
        <v>2025</v>
      </c>
      <c r="E198" t="str">
        <f>IF(INPUT!O193="","",INPUT!O193)</f>
        <v>PANI</v>
      </c>
      <c r="F198" t="str">
        <f>IF(INPUT!N193="","",INPUT!N193)</f>
        <v>M</v>
      </c>
      <c r="G198" t="str" cm="1">
        <f t="array" ref="G198">IFERROR(VLOOKUP(INPUT!M193&amp;INPUT!N193,CHOOSE({1,2},INPUT!$A$3:$A$5000&amp;INPUT!$C$3:$C$5000,INPUT!$F$3:$F$5000),2,FALSE),"")</f>
        <v>PRE-TEMPORADA</v>
      </c>
      <c r="H198" t="str" cm="1">
        <f t="array" ref="H198">IFERROR(VLOOKUP(INPUT!M193&amp;INPUT!N193,CHOOSE({1,2},INPUT!$A$3:$A$5000&amp;INPUT!$C$3:$C$5000,INPUT!$D$3:$D$5000),2,FALSE),"")</f>
        <v>TEC-TAC</v>
      </c>
      <c r="I198" s="46">
        <f>IF(INPUT!P193="","",INPUT!P193)</f>
        <v>70.2</v>
      </c>
      <c r="J198" s="46">
        <f>IF(INPUT!Q193="","",INPUT!Q193)</f>
        <v>69.8</v>
      </c>
      <c r="K198" s="46">
        <f>IFERROR(IF(OR(INPUT!P193="",INPUT!Q193=""),"",INPUT!P193-INPUT!Q193),"")</f>
        <v>0.40000000000000568</v>
      </c>
      <c r="L198" s="48">
        <f>IFERROR(IF(OR(INPUT!P193="",INPUT!Q193="",INPUT!P193=0),"",(INPUT!P193-INPUT!Q193)/INPUT!P193),"")</f>
        <v>5.698005698005779E-3</v>
      </c>
    </row>
    <row r="199" spans="1:12" ht="18" hidden="1" customHeight="1" x14ac:dyDescent="0.2">
      <c r="A199" s="11">
        <f>IF(INPUT!M194="","",INPUT!M194)</f>
        <v>45881</v>
      </c>
      <c r="B199" s="11">
        <f>IF(INPUT!M194="","",INPUT!M194-WEEKDAY(INPUT!M194,2)+1)</f>
        <v>45880</v>
      </c>
      <c r="C199" s="20">
        <f>IFERROR(_xlfn.ISOWEEKNUM(INPUT!M194),"")</f>
        <v>33</v>
      </c>
      <c r="D199" s="20">
        <f>IFERROR(YEAR(INPUT!M194),"")</f>
        <v>2025</v>
      </c>
      <c r="E199" t="str">
        <f>IF(INPUT!O194="","",INPUT!O194)</f>
        <v>PIRATA</v>
      </c>
      <c r="F199" t="str">
        <f>IF(INPUT!N194="","",INPUT!N194)</f>
        <v>M</v>
      </c>
      <c r="G199" t="str" cm="1">
        <f t="array" ref="G199">IFERROR(VLOOKUP(INPUT!M194&amp;INPUT!N194,CHOOSE({1,2},INPUT!$A$3:$A$5000&amp;INPUT!$C$3:$C$5000,INPUT!$F$3:$F$5000),2,FALSE),"")</f>
        <v>PRE-TEMPORADA</v>
      </c>
      <c r="H199" t="str" cm="1">
        <f t="array" ref="H199">IFERROR(VLOOKUP(INPUT!M194&amp;INPUT!N194,CHOOSE({1,2},INPUT!$A$3:$A$5000&amp;INPUT!$C$3:$C$5000,INPUT!$D$3:$D$5000),2,FALSE),"")</f>
        <v>TEC-TAC</v>
      </c>
      <c r="I199" s="46">
        <f>IF(INPUT!P194="","",INPUT!P194)</f>
        <v>74.5</v>
      </c>
      <c r="J199" s="46">
        <f>IF(INPUT!Q194="","",INPUT!Q194)</f>
        <v>74.599999999999994</v>
      </c>
      <c r="K199" s="46">
        <f>IFERROR(IF(OR(INPUT!P194="",INPUT!Q194=""),"",INPUT!P194-INPUT!Q194),"")</f>
        <v>-9.9999999999994316E-2</v>
      </c>
      <c r="L199" s="48">
        <f>IFERROR(IF(OR(INPUT!P194="",INPUT!Q194="",INPUT!P194=0),"",(INPUT!P194-INPUT!Q194)/INPUT!P194),"")</f>
        <v>-1.3422818791945545E-3</v>
      </c>
    </row>
    <row r="200" spans="1:12" ht="18" hidden="1" customHeight="1" x14ac:dyDescent="0.2">
      <c r="A200" s="11">
        <f>IF(INPUT!M195="","",INPUT!M195)</f>
        <v>45881</v>
      </c>
      <c r="B200" s="11">
        <f>IF(INPUT!M195="","",INPUT!M195-WEEKDAY(INPUT!M195,2)+1)</f>
        <v>45880</v>
      </c>
      <c r="C200" s="20">
        <f>IFERROR(_xlfn.ISOWEEKNUM(INPUT!M195),"")</f>
        <v>33</v>
      </c>
      <c r="D200" s="20">
        <f>IFERROR(YEAR(INPUT!M195),"")</f>
        <v>2025</v>
      </c>
      <c r="E200" t="str">
        <f>IF(INPUT!O195="","",INPUT!O195)</f>
        <v>BARONA</v>
      </c>
      <c r="F200" t="str">
        <f>IF(INPUT!N195="","",INPUT!N195)</f>
        <v>M</v>
      </c>
      <c r="G200" t="str" cm="1">
        <f t="array" ref="G200">IFERROR(VLOOKUP(INPUT!M195&amp;INPUT!N195,CHOOSE({1,2},INPUT!$A$3:$A$5000&amp;INPUT!$C$3:$C$5000,INPUT!$F$3:$F$5000),2,FALSE),"")</f>
        <v>PRE-TEMPORADA</v>
      </c>
      <c r="H200" t="str" cm="1">
        <f t="array" ref="H200">IFERROR(VLOOKUP(INPUT!M195&amp;INPUT!N195,CHOOSE({1,2},INPUT!$A$3:$A$5000&amp;INPUT!$C$3:$C$5000,INPUT!$D$3:$D$5000),2,FALSE),"")</f>
        <v>TEC-TAC</v>
      </c>
      <c r="I200" s="46">
        <f>IF(INPUT!P195="","",INPUT!P195)</f>
        <v>70.599999999999994</v>
      </c>
      <c r="J200" s="46">
        <f>IF(INPUT!Q195="","",INPUT!Q195)</f>
        <v>70</v>
      </c>
      <c r="K200" s="46">
        <f>IFERROR(IF(OR(INPUT!P195="",INPUT!Q195=""),"",INPUT!P195-INPUT!Q195),"")</f>
        <v>0.59999999999999432</v>
      </c>
      <c r="L200" s="48">
        <f>IFERROR(IF(OR(INPUT!P195="",INPUT!Q195="",INPUT!P195=0),"",(INPUT!P195-INPUT!Q195)/INPUT!P195),"")</f>
        <v>8.4985835694050185E-3</v>
      </c>
    </row>
    <row r="201" spans="1:12" ht="18" hidden="1" customHeight="1" x14ac:dyDescent="0.2">
      <c r="A201" s="11">
        <f>IF(INPUT!M196="","",INPUT!M196)</f>
        <v>45881</v>
      </c>
      <c r="B201" s="11">
        <f>IF(INPUT!M196="","",INPUT!M196-WEEKDAY(INPUT!M196,2)+1)</f>
        <v>45880</v>
      </c>
      <c r="C201" s="20">
        <f>IFERROR(_xlfn.ISOWEEKNUM(INPUT!M196),"")</f>
        <v>33</v>
      </c>
      <c r="D201" s="20">
        <f>IFERROR(YEAR(INPUT!M196),"")</f>
        <v>2025</v>
      </c>
      <c r="E201" t="str">
        <f>IF(INPUT!O196="","",INPUT!O196)</f>
        <v>CARLOS</v>
      </c>
      <c r="F201" t="str">
        <f>IF(INPUT!N196="","",INPUT!N196)</f>
        <v>M</v>
      </c>
      <c r="G201" t="str" cm="1">
        <f t="array" ref="G201">IFERROR(VLOOKUP(INPUT!M196&amp;INPUT!N196,CHOOSE({1,2},INPUT!$A$3:$A$5000&amp;INPUT!$C$3:$C$5000,INPUT!$F$3:$F$5000),2,FALSE),"")</f>
        <v>PRE-TEMPORADA</v>
      </c>
      <c r="H201" t="str" cm="1">
        <f t="array" ref="H201">IFERROR(VLOOKUP(INPUT!M196&amp;INPUT!N196,CHOOSE({1,2},INPUT!$A$3:$A$5000&amp;INPUT!$C$3:$C$5000,INPUT!$D$3:$D$5000),2,FALSE),"")</f>
        <v>TEC-TAC</v>
      </c>
      <c r="I201" s="46">
        <f>IF(INPUT!P196="","",INPUT!P196)</f>
        <v>67.8</v>
      </c>
      <c r="J201" s="46">
        <f>IF(INPUT!Q196="","",INPUT!Q196)</f>
        <v>67.3</v>
      </c>
      <c r="K201" s="46">
        <f>IFERROR(IF(OR(INPUT!P196="",INPUT!Q196=""),"",INPUT!P196-INPUT!Q196),"")</f>
        <v>0.5</v>
      </c>
      <c r="L201" s="48">
        <f>IFERROR(IF(OR(INPUT!P196="",INPUT!Q196="",INPUT!P196=0),"",(INPUT!P196-INPUT!Q196)/INPUT!P196),"")</f>
        <v>7.3746312684365781E-3</v>
      </c>
    </row>
    <row r="202" spans="1:12" ht="18" hidden="1" customHeight="1" x14ac:dyDescent="0.2">
      <c r="A202" s="11">
        <f>IF(INPUT!M197="","",INPUT!M197)</f>
        <v>45881</v>
      </c>
      <c r="B202" s="11">
        <f>IF(INPUT!M197="","",INPUT!M197-WEEKDAY(INPUT!M197,2)+1)</f>
        <v>45880</v>
      </c>
      <c r="C202" s="20">
        <f>IFERROR(_xlfn.ISOWEEKNUM(INPUT!M197),"")</f>
        <v>33</v>
      </c>
      <c r="D202" s="20">
        <f>IFERROR(YEAR(INPUT!M197),"")</f>
        <v>2025</v>
      </c>
      <c r="E202" t="str">
        <f>IF(INPUT!O197="","",INPUT!O197)</f>
        <v>GONZALO</v>
      </c>
      <c r="F202" t="str">
        <f>IF(INPUT!N197="","",INPUT!N197)</f>
        <v>M</v>
      </c>
      <c r="G202" t="str" cm="1">
        <f t="array" ref="G202">IFERROR(VLOOKUP(INPUT!M197&amp;INPUT!N197,CHOOSE({1,2},INPUT!$A$3:$A$5000&amp;INPUT!$C$3:$C$5000,INPUT!$F$3:$F$5000),2,FALSE),"")</f>
        <v>PRE-TEMPORADA</v>
      </c>
      <c r="H202" t="str" cm="1">
        <f t="array" ref="H202">IFERROR(VLOOKUP(INPUT!M197&amp;INPUT!N197,CHOOSE({1,2},INPUT!$A$3:$A$5000&amp;INPUT!$C$3:$C$5000,INPUT!$D$3:$D$5000),2,FALSE),"")</f>
        <v>TEC-TAC</v>
      </c>
      <c r="I202" s="46">
        <f>IF(INPUT!P197="","",INPUT!P197)</f>
        <v>84.7</v>
      </c>
      <c r="J202" s="46">
        <f>IF(INPUT!Q197="","",INPUT!Q197)</f>
        <v>84.8</v>
      </c>
      <c r="K202" s="46">
        <f>IFERROR(IF(OR(INPUT!P197="",INPUT!Q197=""),"",INPUT!P197-INPUT!Q197),"")</f>
        <v>-9.9999999999994316E-2</v>
      </c>
      <c r="L202" s="48">
        <f>IFERROR(IF(OR(INPUT!P197="",INPUT!Q197="",INPUT!P197=0),"",(INPUT!P197-INPUT!Q197)/INPUT!P197),"")</f>
        <v>-1.1806375442738408E-3</v>
      </c>
    </row>
    <row r="203" spans="1:12" ht="18" hidden="1" customHeight="1" x14ac:dyDescent="0.2">
      <c r="A203" s="11">
        <f>IF(INPUT!M198="","",INPUT!M198)</f>
        <v>45881</v>
      </c>
      <c r="B203" s="11">
        <f>IF(INPUT!M198="","",INPUT!M198-WEEKDAY(INPUT!M198,2)+1)</f>
        <v>45880</v>
      </c>
      <c r="C203" s="20">
        <f>IFERROR(_xlfn.ISOWEEKNUM(INPUT!M198),"")</f>
        <v>33</v>
      </c>
      <c r="D203" s="20">
        <f>IFERROR(YEAR(INPUT!M198),"")</f>
        <v>2025</v>
      </c>
      <c r="E203" t="str">
        <f>IF(INPUT!O198="","",INPUT!O198)</f>
        <v>RUBIO</v>
      </c>
      <c r="F203" t="str">
        <f>IF(INPUT!N198="","",INPUT!N198)</f>
        <v>M</v>
      </c>
      <c r="G203" t="str" cm="1">
        <f t="array" ref="G203">IFERROR(VLOOKUP(INPUT!M198&amp;INPUT!N198,CHOOSE({1,2},INPUT!$A$3:$A$5000&amp;INPUT!$C$3:$C$5000,INPUT!$F$3:$F$5000),2,FALSE),"")</f>
        <v>PRE-TEMPORADA</v>
      </c>
      <c r="H203" t="str" cm="1">
        <f t="array" ref="H203">IFERROR(VLOOKUP(INPUT!M198&amp;INPUT!N198,CHOOSE({1,2},INPUT!$A$3:$A$5000&amp;INPUT!$C$3:$C$5000,INPUT!$D$3:$D$5000),2,FALSE),"")</f>
        <v>TEC-TAC</v>
      </c>
      <c r="I203" s="46">
        <f>IF(INPUT!P198="","",INPUT!P198)</f>
        <v>74.7</v>
      </c>
      <c r="J203" s="46">
        <f>IF(INPUT!Q198="","",INPUT!Q198)</f>
        <v>74.900000000000006</v>
      </c>
      <c r="K203" s="46">
        <f>IFERROR(IF(OR(INPUT!P198="",INPUT!Q198=""),"",INPUT!P198-INPUT!Q198),"")</f>
        <v>-0.20000000000000284</v>
      </c>
      <c r="L203" s="48">
        <f>IFERROR(IF(OR(INPUT!P198="",INPUT!Q198="",INPUT!P198=0),"",(INPUT!P198-INPUT!Q198)/INPUT!P198),"")</f>
        <v>-2.677376171352113E-3</v>
      </c>
    </row>
    <row r="204" spans="1:12" ht="18" hidden="1" customHeight="1" x14ac:dyDescent="0.2">
      <c r="A204" s="11">
        <f>IF(INPUT!M199="","",INPUT!M199)</f>
        <v>45881</v>
      </c>
      <c r="B204" s="11">
        <f>IF(INPUT!M199="","",INPUT!M199-WEEKDAY(INPUT!M199,2)+1)</f>
        <v>45880</v>
      </c>
      <c r="C204" s="20">
        <f>IFERROR(_xlfn.ISOWEEKNUM(INPUT!M199),"")</f>
        <v>33</v>
      </c>
      <c r="D204" s="20">
        <f>IFERROR(YEAR(INPUT!M199),"")</f>
        <v>2025</v>
      </c>
      <c r="E204" t="str">
        <f>IF(INPUT!O199="","",INPUT!O199)</f>
        <v>DANI</v>
      </c>
      <c r="F204" t="str">
        <f>IF(INPUT!N199="","",INPUT!N199)</f>
        <v>M</v>
      </c>
      <c r="G204" t="str" cm="1">
        <f t="array" ref="G204">IFERROR(VLOOKUP(INPUT!M199&amp;INPUT!N199,CHOOSE({1,2},INPUT!$A$3:$A$5000&amp;INPUT!$C$3:$C$5000,INPUT!$F$3:$F$5000),2,FALSE),"")</f>
        <v>PRE-TEMPORADA</v>
      </c>
      <c r="H204" t="str" cm="1">
        <f t="array" ref="H204">IFERROR(VLOOKUP(INPUT!M199&amp;INPUT!N199,CHOOSE({1,2},INPUT!$A$3:$A$5000&amp;INPUT!$C$3:$C$5000,INPUT!$D$3:$D$5000),2,FALSE),"")</f>
        <v>TEC-TAC</v>
      </c>
      <c r="I204" s="46">
        <f>IF(INPUT!P199="","",INPUT!P199)</f>
        <v>93.8</v>
      </c>
      <c r="J204" s="46">
        <f>IF(INPUT!Q199="","",INPUT!Q199)</f>
        <v>92</v>
      </c>
      <c r="K204" s="46">
        <f>IFERROR(IF(OR(INPUT!P199="",INPUT!Q199=""),"",INPUT!P199-INPUT!Q199),"")</f>
        <v>1.7999999999999972</v>
      </c>
      <c r="L204" s="48">
        <f>IFERROR(IF(OR(INPUT!P199="",INPUT!Q199="",INPUT!P199=0),"",(INPUT!P199-INPUT!Q199)/INPUT!P199),"")</f>
        <v>1.9189765458422145E-2</v>
      </c>
    </row>
    <row r="205" spans="1:12" ht="18" hidden="1" customHeight="1" x14ac:dyDescent="0.2">
      <c r="A205" s="11">
        <f>IF(INPUT!M200="","",INPUT!M200)</f>
        <v>45881</v>
      </c>
      <c r="B205" s="11">
        <f>IF(INPUT!M200="","",INPUT!M200-WEEKDAY(INPUT!M200,2)+1)</f>
        <v>45880</v>
      </c>
      <c r="C205" s="20">
        <f>IFERROR(_xlfn.ISOWEEKNUM(INPUT!M200),"")</f>
        <v>33</v>
      </c>
      <c r="D205" s="20">
        <f>IFERROR(YEAR(INPUT!M200),"")</f>
        <v>2025</v>
      </c>
      <c r="E205" t="str">
        <f>IF(INPUT!O200="","",INPUT!O200)</f>
        <v>JAIME</v>
      </c>
      <c r="F205" t="str">
        <f>IF(INPUT!N200="","",INPUT!N200)</f>
        <v>M</v>
      </c>
      <c r="G205" t="str" cm="1">
        <f t="array" ref="G205">IFERROR(VLOOKUP(INPUT!M200&amp;INPUT!N200,CHOOSE({1,2},INPUT!$A$3:$A$5000&amp;INPUT!$C$3:$C$5000,INPUT!$F$3:$F$5000),2,FALSE),"")</f>
        <v>PRE-TEMPORADA</v>
      </c>
      <c r="H205" t="str" cm="1">
        <f t="array" ref="H205">IFERROR(VLOOKUP(INPUT!M200&amp;INPUT!N200,CHOOSE({1,2},INPUT!$A$3:$A$5000&amp;INPUT!$C$3:$C$5000,INPUT!$D$3:$D$5000),2,FALSE),"")</f>
        <v>TEC-TAC</v>
      </c>
      <c r="I205" s="46">
        <f>IF(INPUT!P200="","",INPUT!P200)</f>
        <v>75.7</v>
      </c>
      <c r="J205" s="46">
        <f>IF(INPUT!Q200="","",INPUT!Q200)</f>
        <v>75</v>
      </c>
      <c r="K205" s="46">
        <f>IFERROR(IF(OR(INPUT!P200="",INPUT!Q200=""),"",INPUT!P200-INPUT!Q200),"")</f>
        <v>0.70000000000000284</v>
      </c>
      <c r="L205" s="48">
        <f>IFERROR(IF(OR(INPUT!P200="",INPUT!Q200="",INPUT!P200=0),"",(INPUT!P200-INPUT!Q200)/INPUT!P200),"")</f>
        <v>9.2470277410832604E-3</v>
      </c>
    </row>
    <row r="206" spans="1:12" ht="18" hidden="1" customHeight="1" x14ac:dyDescent="0.2">
      <c r="A206" s="11">
        <f>IF(INPUT!M201="","",INPUT!M201)</f>
        <v>45882</v>
      </c>
      <c r="B206" s="11">
        <f>IF(INPUT!M201="","",INPUT!M201-WEEKDAY(INPUT!M201,2)+1)</f>
        <v>45880</v>
      </c>
      <c r="C206" s="20">
        <f>IFERROR(_xlfn.ISOWEEKNUM(INPUT!M201),"")</f>
        <v>33</v>
      </c>
      <c r="D206" s="20">
        <f>IFERROR(YEAR(INPUT!M201),"")</f>
        <v>2025</v>
      </c>
      <c r="E206" t="str">
        <f>IF(INPUT!O201="","",INPUT!O201)</f>
        <v>HERRERO</v>
      </c>
      <c r="F206" t="str">
        <f>IF(INPUT!N201="","",INPUT!N201)</f>
        <v>M</v>
      </c>
      <c r="G206" t="str" cm="1">
        <f t="array" ref="G206">IFERROR(VLOOKUP(INPUT!M201&amp;INPUT!N201,CHOOSE({1,2},INPUT!$A$3:$A$5000&amp;INPUT!$C$3:$C$5000,INPUT!$F$3:$F$5000),2,FALSE),"")</f>
        <v>PRE-TEMPORADA</v>
      </c>
      <c r="H206" t="str" cm="1">
        <f t="array" ref="H206">IFERROR(VLOOKUP(INPUT!M201&amp;INPUT!N201,CHOOSE({1,2},INPUT!$A$3:$A$5000&amp;INPUT!$C$3:$C$5000,INPUT!$D$3:$D$5000),2,FALSE),"")</f>
        <v>TEC-TAC</v>
      </c>
      <c r="I206" s="46">
        <f>IF(INPUT!P201="","",INPUT!P201)</f>
        <v>76.8</v>
      </c>
      <c r="J206" s="46">
        <f>IF(INPUT!Q201="","",INPUT!Q201)</f>
        <v>76</v>
      </c>
      <c r="K206" s="46">
        <f>IFERROR(IF(OR(INPUT!P201="",INPUT!Q201=""),"",INPUT!P201-INPUT!Q201),"")</f>
        <v>0.79999999999999716</v>
      </c>
      <c r="L206" s="48">
        <f>IFERROR(IF(OR(INPUT!P201="",INPUT!Q201="",INPUT!P201=0),"",(INPUT!P201-INPUT!Q201)/INPUT!P201),"")</f>
        <v>1.041666666666663E-2</v>
      </c>
    </row>
    <row r="207" spans="1:12" ht="18" hidden="1" customHeight="1" x14ac:dyDescent="0.2">
      <c r="A207" s="11">
        <f>IF(INPUT!M202="","",INPUT!M202)</f>
        <v>45882</v>
      </c>
      <c r="B207" s="11">
        <f>IF(INPUT!M202="","",INPUT!M202-WEEKDAY(INPUT!M202,2)+1)</f>
        <v>45880</v>
      </c>
      <c r="C207" s="20">
        <f>IFERROR(_xlfn.ISOWEEKNUM(INPUT!M202),"")</f>
        <v>33</v>
      </c>
      <c r="D207" s="20">
        <f>IFERROR(YEAR(INPUT!M202),"")</f>
        <v>2025</v>
      </c>
      <c r="E207" t="str">
        <f>IF(INPUT!O202="","",INPUT!O202)</f>
        <v>HERRERO</v>
      </c>
      <c r="F207" t="str">
        <f>IF(INPUT!N202="","",INPUT!N202)</f>
        <v>T</v>
      </c>
      <c r="G207" t="str" cm="1">
        <f t="array" ref="G207">IFERROR(VLOOKUP(INPUT!M202&amp;INPUT!N202,CHOOSE({1,2},INPUT!$A$3:$A$5000&amp;INPUT!$C$3:$C$5000,INPUT!$F$3:$F$5000),2,FALSE),"")</f>
        <v>PRE-TEMPORADA</v>
      </c>
      <c r="H207" t="str" cm="1">
        <f t="array" ref="H207">IFERROR(VLOOKUP(INPUT!M202&amp;INPUT!N202,CHOOSE({1,2},INPUT!$A$3:$A$5000&amp;INPUT!$C$3:$C$5000,INPUT!$D$3:$D$5000),2,FALSE),"")</f>
        <v>TEC-TAC</v>
      </c>
      <c r="I207" s="46">
        <f>IF(INPUT!P202="","",INPUT!P202)</f>
        <v>77</v>
      </c>
      <c r="J207" s="46">
        <f>IF(INPUT!Q202="","",INPUT!Q202)</f>
        <v>77</v>
      </c>
      <c r="K207" s="46">
        <f>IFERROR(IF(OR(INPUT!P202="",INPUT!Q202=""),"",INPUT!P202-INPUT!Q202),"")</f>
        <v>0</v>
      </c>
      <c r="L207" s="48">
        <f>IFERROR(IF(OR(INPUT!P202="",INPUT!Q202="",INPUT!P202=0),"",(INPUT!P202-INPUT!Q202)/INPUT!P202),"")</f>
        <v>0</v>
      </c>
    </row>
    <row r="208" spans="1:12" ht="18" hidden="1" customHeight="1" x14ac:dyDescent="0.2">
      <c r="A208" s="11">
        <f>IF(INPUT!M203="","",INPUT!M203)</f>
        <v>45882</v>
      </c>
      <c r="B208" s="11">
        <f>IF(INPUT!M203="","",INPUT!M203-WEEKDAY(INPUT!M203,2)+1)</f>
        <v>45880</v>
      </c>
      <c r="C208" s="20">
        <f>IFERROR(_xlfn.ISOWEEKNUM(INPUT!M203),"")</f>
        <v>33</v>
      </c>
      <c r="D208" s="20">
        <f>IFERROR(YEAR(INPUT!M203),"")</f>
        <v>2025</v>
      </c>
      <c r="E208" t="str">
        <f>IF(INPUT!O203="","",INPUT!O203)</f>
        <v>GARCIA</v>
      </c>
      <c r="F208" t="str">
        <f>IF(INPUT!N203="","",INPUT!N203)</f>
        <v>M</v>
      </c>
      <c r="G208" t="str" cm="1">
        <f t="array" ref="G208">IFERROR(VLOOKUP(INPUT!M203&amp;INPUT!N203,CHOOSE({1,2},INPUT!$A$3:$A$5000&amp;INPUT!$C$3:$C$5000,INPUT!$F$3:$F$5000),2,FALSE),"")</f>
        <v>PRE-TEMPORADA</v>
      </c>
      <c r="H208" t="str" cm="1">
        <f t="array" ref="H208">IFERROR(VLOOKUP(INPUT!M203&amp;INPUT!N203,CHOOSE({1,2},INPUT!$A$3:$A$5000&amp;INPUT!$C$3:$C$5000,INPUT!$D$3:$D$5000),2,FALSE),"")</f>
        <v>TEC-TAC</v>
      </c>
      <c r="I208" s="46">
        <f>IF(INPUT!P203="","",INPUT!P203)</f>
        <v>79.3</v>
      </c>
      <c r="J208" s="46">
        <f>IF(INPUT!Q203="","",INPUT!Q203)</f>
        <v>79</v>
      </c>
      <c r="K208" s="46">
        <f>IFERROR(IF(OR(INPUT!P203="",INPUT!Q203=""),"",INPUT!P203-INPUT!Q203),"")</f>
        <v>0.29999999999999716</v>
      </c>
      <c r="L208" s="48">
        <f>IFERROR(IF(OR(INPUT!P203="",INPUT!Q203="",INPUT!P203=0),"",(INPUT!P203-INPUT!Q203)/INPUT!P203),"")</f>
        <v>3.7831021437578459E-3</v>
      </c>
    </row>
    <row r="209" spans="1:12" ht="18" hidden="1" customHeight="1" x14ac:dyDescent="0.2">
      <c r="A209" s="11">
        <f>IF(INPUT!M204="","",INPUT!M204)</f>
        <v>45882</v>
      </c>
      <c r="B209" s="11">
        <f>IF(INPUT!M204="","",INPUT!M204-WEEKDAY(INPUT!M204,2)+1)</f>
        <v>45880</v>
      </c>
      <c r="C209" s="20">
        <f>IFERROR(_xlfn.ISOWEEKNUM(INPUT!M204),"")</f>
        <v>33</v>
      </c>
      <c r="D209" s="20">
        <f>IFERROR(YEAR(INPUT!M204),"")</f>
        <v>2025</v>
      </c>
      <c r="E209" t="str">
        <f>IF(INPUT!O204="","",INPUT!O204)</f>
        <v>GARCIA</v>
      </c>
      <c r="F209" t="str">
        <f>IF(INPUT!N204="","",INPUT!N204)</f>
        <v>T</v>
      </c>
      <c r="G209" t="str" cm="1">
        <f t="array" ref="G209">IFERROR(VLOOKUP(INPUT!M204&amp;INPUT!N204,CHOOSE({1,2},INPUT!$A$3:$A$5000&amp;INPUT!$C$3:$C$5000,INPUT!$F$3:$F$5000),2,FALSE),"")</f>
        <v>PRE-TEMPORADA</v>
      </c>
      <c r="H209" t="str" cm="1">
        <f t="array" ref="H209">IFERROR(VLOOKUP(INPUT!M204&amp;INPUT!N204,CHOOSE({1,2},INPUT!$A$3:$A$5000&amp;INPUT!$C$3:$C$5000,INPUT!$D$3:$D$5000),2,FALSE),"")</f>
        <v>TEC-TAC</v>
      </c>
      <c r="I209" s="46">
        <f>IF(INPUT!P204="","",INPUT!P204)</f>
        <v>79.5</v>
      </c>
      <c r="J209" s="46">
        <f>IF(INPUT!Q204="","",INPUT!Q204)</f>
        <v>78.8</v>
      </c>
      <c r="K209" s="46">
        <f>IFERROR(IF(OR(INPUT!P204="",INPUT!Q204=""),"",INPUT!P204-INPUT!Q204),"")</f>
        <v>0.70000000000000284</v>
      </c>
      <c r="L209" s="48">
        <f>IFERROR(IF(OR(INPUT!P204="",INPUT!Q204="",INPUT!P204=0),"",(INPUT!P204-INPUT!Q204)/INPUT!P204),"")</f>
        <v>8.8050314465409167E-3</v>
      </c>
    </row>
    <row r="210" spans="1:12" ht="18" hidden="1" customHeight="1" x14ac:dyDescent="0.2">
      <c r="A210" s="11">
        <f>IF(INPUT!M205="","",INPUT!M205)</f>
        <v>45882</v>
      </c>
      <c r="B210" s="11">
        <f>IF(INPUT!M205="","",INPUT!M205-WEEKDAY(INPUT!M205,2)+1)</f>
        <v>45880</v>
      </c>
      <c r="C210" s="20">
        <f>IFERROR(_xlfn.ISOWEEKNUM(INPUT!M205),"")</f>
        <v>33</v>
      </c>
      <c r="D210" s="20">
        <f>IFERROR(YEAR(INPUT!M205),"")</f>
        <v>2025</v>
      </c>
      <c r="E210" t="str">
        <f>IF(INPUT!O205="","",INPUT!O205)</f>
        <v>OSCAR</v>
      </c>
      <c r="F210" t="str">
        <f>IF(INPUT!N205="","",INPUT!N205)</f>
        <v>M</v>
      </c>
      <c r="G210" t="str" cm="1">
        <f t="array" ref="G210">IFERROR(VLOOKUP(INPUT!M205&amp;INPUT!N205,CHOOSE({1,2},INPUT!$A$3:$A$5000&amp;INPUT!$C$3:$C$5000,INPUT!$F$3:$F$5000),2,FALSE),"")</f>
        <v>PRE-TEMPORADA</v>
      </c>
      <c r="H210" t="str" cm="1">
        <f t="array" ref="H210">IFERROR(VLOOKUP(INPUT!M205&amp;INPUT!N205,CHOOSE({1,2},INPUT!$A$3:$A$5000&amp;INPUT!$C$3:$C$5000,INPUT!$D$3:$D$5000),2,FALSE),"")</f>
        <v>TEC-TAC</v>
      </c>
      <c r="I210" s="46">
        <f>IF(INPUT!P205="","",INPUT!P205)</f>
        <v>89.1</v>
      </c>
      <c r="J210" s="46">
        <f>IF(INPUT!Q205="","",INPUT!Q205)</f>
        <v>88</v>
      </c>
      <c r="K210" s="46">
        <f>IFERROR(IF(OR(INPUT!P205="",INPUT!Q205=""),"",INPUT!P205-INPUT!Q205),"")</f>
        <v>1.0999999999999943</v>
      </c>
      <c r="L210" s="48">
        <f>IFERROR(IF(OR(INPUT!P205="",INPUT!Q205="",INPUT!P205=0),"",(INPUT!P205-INPUT!Q205)/INPUT!P205),"")</f>
        <v>1.2345679012345616E-2</v>
      </c>
    </row>
    <row r="211" spans="1:12" ht="18" hidden="1" customHeight="1" x14ac:dyDescent="0.2">
      <c r="A211" s="11">
        <f>IF(INPUT!M206="","",INPUT!M206)</f>
        <v>45882</v>
      </c>
      <c r="B211" s="11">
        <f>IF(INPUT!M206="","",INPUT!M206-WEEKDAY(INPUT!M206,2)+1)</f>
        <v>45880</v>
      </c>
      <c r="C211" s="20">
        <f>IFERROR(_xlfn.ISOWEEKNUM(INPUT!M206),"")</f>
        <v>33</v>
      </c>
      <c r="D211" s="20">
        <f>IFERROR(YEAR(INPUT!M206),"")</f>
        <v>2025</v>
      </c>
      <c r="E211" t="str">
        <f>IF(INPUT!O206="","",INPUT!O206)</f>
        <v>OSCAR</v>
      </c>
      <c r="F211" t="str">
        <f>IF(INPUT!N206="","",INPUT!N206)</f>
        <v>T</v>
      </c>
      <c r="G211" t="str" cm="1">
        <f t="array" ref="G211">IFERROR(VLOOKUP(INPUT!M206&amp;INPUT!N206,CHOOSE({1,2},INPUT!$A$3:$A$5000&amp;INPUT!$C$3:$C$5000,INPUT!$F$3:$F$5000),2,FALSE),"")</f>
        <v>PRE-TEMPORADA</v>
      </c>
      <c r="H211" t="str" cm="1">
        <f t="array" ref="H211">IFERROR(VLOOKUP(INPUT!M206&amp;INPUT!N206,CHOOSE({1,2},INPUT!$A$3:$A$5000&amp;INPUT!$C$3:$C$5000,INPUT!$D$3:$D$5000),2,FALSE),"")</f>
        <v>TEC-TAC</v>
      </c>
      <c r="I211" s="46">
        <f>IF(INPUT!P206="","",INPUT!P206)</f>
        <v>88.8</v>
      </c>
      <c r="J211" s="46">
        <f>IF(INPUT!Q206="","",INPUT!Q206)</f>
        <v>88.3</v>
      </c>
      <c r="K211" s="46">
        <f>IFERROR(IF(OR(INPUT!P206="",INPUT!Q206=""),"",INPUT!P206-INPUT!Q206),"")</f>
        <v>0.5</v>
      </c>
      <c r="L211" s="48">
        <f>IFERROR(IF(OR(INPUT!P206="",INPUT!Q206="",INPUT!P206=0),"",(INPUT!P206-INPUT!Q206)/INPUT!P206),"")</f>
        <v>5.6306306306306312E-3</v>
      </c>
    </row>
    <row r="212" spans="1:12" ht="18" customHeight="1" x14ac:dyDescent="0.2">
      <c r="A212" s="11">
        <f>IF(INPUT!M207="","",INPUT!M207)</f>
        <v>45882</v>
      </c>
      <c r="B212" s="11">
        <f>IF(INPUT!M207="","",INPUT!M207-WEEKDAY(INPUT!M207,2)+1)</f>
        <v>45880</v>
      </c>
      <c r="C212" s="20">
        <f>IFERROR(_xlfn.ISOWEEKNUM(INPUT!M207),"")</f>
        <v>33</v>
      </c>
      <c r="D212" s="20">
        <f>IFERROR(YEAR(INPUT!M207),"")</f>
        <v>2025</v>
      </c>
      <c r="E212" t="str">
        <f>IF(INPUT!O207="","",INPUT!O207)</f>
        <v>CECILIO</v>
      </c>
      <c r="F212" t="str">
        <f>IF(INPUT!N207="","",INPUT!N207)</f>
        <v>M</v>
      </c>
      <c r="G212" t="str" cm="1">
        <f t="array" ref="G212">IFERROR(VLOOKUP(INPUT!M207&amp;INPUT!N207,CHOOSE({1,2},INPUT!$A$3:$A$5000&amp;INPUT!$C$3:$C$5000,INPUT!$F$3:$F$5000),2,FALSE),"")</f>
        <v>PRE-TEMPORADA</v>
      </c>
      <c r="H212" t="str" cm="1">
        <f t="array" ref="H212">IFERROR(VLOOKUP(INPUT!M207&amp;INPUT!N207,CHOOSE({1,2},INPUT!$A$3:$A$5000&amp;INPUT!$C$3:$C$5000,INPUT!$D$3:$D$5000),2,FALSE),"")</f>
        <v>TEC-TAC</v>
      </c>
      <c r="I212" s="46">
        <f>IF(INPUT!P207="","",INPUT!P207)</f>
        <v>68</v>
      </c>
      <c r="J212" s="46">
        <f>IF(INPUT!Q207="","",INPUT!Q207)</f>
        <v>68</v>
      </c>
      <c r="K212" s="46">
        <f>IFERROR(IF(OR(INPUT!P207="",INPUT!Q207=""),"",INPUT!P207-INPUT!Q207),"")</f>
        <v>0</v>
      </c>
      <c r="L212" s="48">
        <f>IFERROR(IF(OR(INPUT!P207="",INPUT!Q207="",INPUT!P207=0),"",(INPUT!P207-INPUT!Q207)/INPUT!P207),"")</f>
        <v>0</v>
      </c>
    </row>
    <row r="213" spans="1:12" ht="18" customHeight="1" x14ac:dyDescent="0.2">
      <c r="A213" s="11">
        <f>IF(INPUT!M208="","",INPUT!M208)</f>
        <v>45882</v>
      </c>
      <c r="B213" s="11">
        <f>IF(INPUT!M208="","",INPUT!M208-WEEKDAY(INPUT!M208,2)+1)</f>
        <v>45880</v>
      </c>
      <c r="C213" s="20">
        <f>IFERROR(_xlfn.ISOWEEKNUM(INPUT!M208),"")</f>
        <v>33</v>
      </c>
      <c r="D213" s="20">
        <f>IFERROR(YEAR(INPUT!M208),"")</f>
        <v>2025</v>
      </c>
      <c r="E213" t="str">
        <f>IF(INPUT!O208="","",INPUT!O208)</f>
        <v>CECILIO</v>
      </c>
      <c r="F213" t="str">
        <f>IF(INPUT!N208="","",INPUT!N208)</f>
        <v>T</v>
      </c>
      <c r="G213" t="str" cm="1">
        <f t="array" ref="G213">IFERROR(VLOOKUP(INPUT!M208&amp;INPUT!N208,CHOOSE({1,2},INPUT!$A$3:$A$5000&amp;INPUT!$C$3:$C$5000,INPUT!$F$3:$F$5000),2,FALSE),"")</f>
        <v>PRE-TEMPORADA</v>
      </c>
      <c r="H213" t="str" cm="1">
        <f t="array" ref="H213">IFERROR(VLOOKUP(INPUT!M208&amp;INPUT!N208,CHOOSE({1,2},INPUT!$A$3:$A$5000&amp;INPUT!$C$3:$C$5000,INPUT!$D$3:$D$5000),2,FALSE),"")</f>
        <v>TEC-TAC</v>
      </c>
      <c r="I213" s="46">
        <f>IF(INPUT!P208="","",INPUT!P208)</f>
        <v>68.099999999999994</v>
      </c>
      <c r="J213" s="46">
        <f>IF(INPUT!Q208="","",INPUT!Q208)</f>
        <v>68</v>
      </c>
      <c r="K213" s="46">
        <f>IFERROR(IF(OR(INPUT!P208="",INPUT!Q208=""),"",INPUT!P208-INPUT!Q208),"")</f>
        <v>9.9999999999994316E-2</v>
      </c>
      <c r="L213" s="48">
        <f>IFERROR(IF(OR(INPUT!P208="",INPUT!Q208="",INPUT!P208=0),"",(INPUT!P208-INPUT!Q208)/INPUT!P208),"")</f>
        <v>1.4684287812040283E-3</v>
      </c>
    </row>
    <row r="214" spans="1:12" ht="18" customHeight="1" x14ac:dyDescent="0.2">
      <c r="A214" s="11">
        <f>IF(INPUT!M209="","",INPUT!M209)</f>
        <v>45882</v>
      </c>
      <c r="B214" s="11">
        <f>IF(INPUT!M209="","",INPUT!M209-WEEKDAY(INPUT!M209,2)+1)</f>
        <v>45880</v>
      </c>
      <c r="C214" s="20">
        <f>IFERROR(_xlfn.ISOWEEKNUM(INPUT!M209),"")</f>
        <v>33</v>
      </c>
      <c r="D214" s="20">
        <f>IFERROR(YEAR(INPUT!M209),"")</f>
        <v>2025</v>
      </c>
      <c r="E214" t="str">
        <f>IF(INPUT!O209="","",INPUT!O209)</f>
        <v>CHAGUINHA</v>
      </c>
      <c r="F214" t="str">
        <f>IF(INPUT!N209="","",INPUT!N209)</f>
        <v>M</v>
      </c>
      <c r="G214" t="str" cm="1">
        <f t="array" ref="G214">IFERROR(VLOOKUP(INPUT!M209&amp;INPUT!N209,CHOOSE({1,2},INPUT!$A$3:$A$5000&amp;INPUT!$C$3:$C$5000,INPUT!$F$3:$F$5000),2,FALSE),"")</f>
        <v>PRE-TEMPORADA</v>
      </c>
      <c r="H214" t="str" cm="1">
        <f t="array" ref="H214">IFERROR(VLOOKUP(INPUT!M209&amp;INPUT!N209,CHOOSE({1,2},INPUT!$A$3:$A$5000&amp;INPUT!$C$3:$C$5000,INPUT!$D$3:$D$5000),2,FALSE),"")</f>
        <v>TEC-TAC</v>
      </c>
      <c r="I214" s="46">
        <f>IF(INPUT!P209="","",INPUT!P209)</f>
        <v>68.3</v>
      </c>
      <c r="J214" s="46">
        <f>IF(INPUT!Q209="","",INPUT!Q209)</f>
        <v>68</v>
      </c>
      <c r="K214" s="46">
        <f>IFERROR(IF(OR(INPUT!P209="",INPUT!Q209=""),"",INPUT!P209-INPUT!Q209),"")</f>
        <v>0.29999999999999716</v>
      </c>
      <c r="L214" s="48">
        <f>IFERROR(IF(OR(INPUT!P209="",INPUT!Q209="",INPUT!P209=0),"",(INPUT!P209-INPUT!Q209)/INPUT!P209),"")</f>
        <v>4.3923865300145998E-3</v>
      </c>
    </row>
    <row r="215" spans="1:12" ht="18" customHeight="1" x14ac:dyDescent="0.2">
      <c r="A215" s="11">
        <f>IF(INPUT!M210="","",INPUT!M210)</f>
        <v>45882</v>
      </c>
      <c r="B215" s="11">
        <f>IF(INPUT!M210="","",INPUT!M210-WEEKDAY(INPUT!M210,2)+1)</f>
        <v>45880</v>
      </c>
      <c r="C215" s="20">
        <f>IFERROR(_xlfn.ISOWEEKNUM(INPUT!M210),"")</f>
        <v>33</v>
      </c>
      <c r="D215" s="20">
        <f>IFERROR(YEAR(INPUT!M210),"")</f>
        <v>2025</v>
      </c>
      <c r="E215" t="str">
        <f>IF(INPUT!O210="","",INPUT!O210)</f>
        <v>CHAGUINHA</v>
      </c>
      <c r="F215" t="str">
        <f>IF(INPUT!N210="","",INPUT!N210)</f>
        <v>T</v>
      </c>
      <c r="G215" t="str" cm="1">
        <f t="array" ref="G215">IFERROR(VLOOKUP(INPUT!M210&amp;INPUT!N210,CHOOSE({1,2},INPUT!$A$3:$A$5000&amp;INPUT!$C$3:$C$5000,INPUT!$F$3:$F$5000),2,FALSE),"")</f>
        <v>PRE-TEMPORADA</v>
      </c>
      <c r="H215" t="str" cm="1">
        <f t="array" ref="H215">IFERROR(VLOOKUP(INPUT!M210&amp;INPUT!N210,CHOOSE({1,2},INPUT!$A$3:$A$5000&amp;INPUT!$C$3:$C$5000,INPUT!$D$3:$D$5000),2,FALSE),"")</f>
        <v>TEC-TAC</v>
      </c>
      <c r="I215" s="46">
        <f>IF(INPUT!P210="","",INPUT!P210)</f>
        <v>68</v>
      </c>
      <c r="J215" s="46">
        <f>IF(INPUT!Q210="","",INPUT!Q210)</f>
        <v>67.5</v>
      </c>
      <c r="K215" s="46">
        <f>IFERROR(IF(OR(INPUT!P210="",INPUT!Q210=""),"",INPUT!P210-INPUT!Q210),"")</f>
        <v>0.5</v>
      </c>
      <c r="L215" s="48">
        <f>IFERROR(IF(OR(INPUT!P210="",INPUT!Q210="",INPUT!P210=0),"",(INPUT!P210-INPUT!Q210)/INPUT!P210),"")</f>
        <v>7.3529411764705881E-3</v>
      </c>
    </row>
    <row r="216" spans="1:12" ht="18" customHeight="1" x14ac:dyDescent="0.2">
      <c r="A216" s="11">
        <f>IF(INPUT!M211="","",INPUT!M211)</f>
        <v>45882</v>
      </c>
      <c r="B216" s="11">
        <f>IF(INPUT!M211="","",INPUT!M211-WEEKDAY(INPUT!M211,2)+1)</f>
        <v>45880</v>
      </c>
      <c r="C216" s="20">
        <f>IFERROR(_xlfn.ISOWEEKNUM(INPUT!M211),"")</f>
        <v>33</v>
      </c>
      <c r="D216" s="20">
        <f>IFERROR(YEAR(INPUT!M211),"")</f>
        <v>2025</v>
      </c>
      <c r="E216" t="str">
        <f>IF(INPUT!O211="","",INPUT!O211)</f>
        <v>RAUL</v>
      </c>
      <c r="F216" t="str">
        <f>IF(INPUT!N211="","",INPUT!N211)</f>
        <v>M</v>
      </c>
      <c r="G216" t="str" cm="1">
        <f t="array" ref="G216">IFERROR(VLOOKUP(INPUT!M211&amp;INPUT!N211,CHOOSE({1,2},INPUT!$A$3:$A$5000&amp;INPUT!$C$3:$C$5000,INPUT!$F$3:$F$5000),2,FALSE),"")</f>
        <v>PRE-TEMPORADA</v>
      </c>
      <c r="H216" t="str" cm="1">
        <f t="array" ref="H216">IFERROR(VLOOKUP(INPUT!M211&amp;INPUT!N211,CHOOSE({1,2},INPUT!$A$3:$A$5000&amp;INPUT!$C$3:$C$5000,INPUT!$D$3:$D$5000),2,FALSE),"")</f>
        <v>TEC-TAC</v>
      </c>
      <c r="I216" s="46">
        <f>IF(INPUT!P211="","",INPUT!P211)</f>
        <v>78.7</v>
      </c>
      <c r="J216" s="46">
        <f>IF(INPUT!Q211="","",INPUT!Q211)</f>
        <v>78</v>
      </c>
      <c r="K216" s="46">
        <f>IFERROR(IF(OR(INPUT!P211="",INPUT!Q211=""),"",INPUT!P211-INPUT!Q211),"")</f>
        <v>0.70000000000000284</v>
      </c>
      <c r="L216" s="48">
        <f>IFERROR(IF(OR(INPUT!P211="",INPUT!Q211="",INPUT!P211=0),"",(INPUT!P211-INPUT!Q211)/INPUT!P211),"")</f>
        <v>8.8945362134689055E-3</v>
      </c>
    </row>
    <row r="217" spans="1:12" ht="18" customHeight="1" x14ac:dyDescent="0.2">
      <c r="A217" s="11">
        <f>IF(INPUT!M212="","",INPUT!M212)</f>
        <v>45882</v>
      </c>
      <c r="B217" s="11">
        <f>IF(INPUT!M212="","",INPUT!M212-WEEKDAY(INPUT!M212,2)+1)</f>
        <v>45880</v>
      </c>
      <c r="C217" s="20">
        <f>IFERROR(_xlfn.ISOWEEKNUM(INPUT!M212),"")</f>
        <v>33</v>
      </c>
      <c r="D217" s="20">
        <f>IFERROR(YEAR(INPUT!M212),"")</f>
        <v>2025</v>
      </c>
      <c r="E217" t="str">
        <f>IF(INPUT!O212="","",INPUT!O212)</f>
        <v>RAUL</v>
      </c>
      <c r="F217" t="str">
        <f>IF(INPUT!N212="","",INPUT!N212)</f>
        <v>T</v>
      </c>
      <c r="G217" t="str" cm="1">
        <f t="array" ref="G217">IFERROR(VLOOKUP(INPUT!M212&amp;INPUT!N212,CHOOSE({1,2},INPUT!$A$3:$A$5000&amp;INPUT!$C$3:$C$5000,INPUT!$F$3:$F$5000),2,FALSE),"")</f>
        <v>PRE-TEMPORADA</v>
      </c>
      <c r="H217" t="str" cm="1">
        <f t="array" ref="H217">IFERROR(VLOOKUP(INPUT!M212&amp;INPUT!N212,CHOOSE({1,2},INPUT!$A$3:$A$5000&amp;INPUT!$C$3:$C$5000,INPUT!$D$3:$D$5000),2,FALSE),"")</f>
        <v>TEC-TAC</v>
      </c>
      <c r="I217" s="46">
        <f>IF(INPUT!P212="","",INPUT!P212)</f>
        <v>78.8</v>
      </c>
      <c r="J217" s="46">
        <f>IF(INPUT!Q212="","",INPUT!Q212)</f>
        <v>78.900000000000006</v>
      </c>
      <c r="K217" s="46">
        <f>IFERROR(IF(OR(INPUT!P212="",INPUT!Q212=""),"",INPUT!P212-INPUT!Q212),"")</f>
        <v>-0.10000000000000853</v>
      </c>
      <c r="L217" s="48">
        <f>IFERROR(IF(OR(INPUT!P212="",INPUT!Q212="",INPUT!P212=0),"",(INPUT!P212-INPUT!Q212)/INPUT!P212),"")</f>
        <v>-1.2690355329950322E-3</v>
      </c>
    </row>
    <row r="218" spans="1:12" ht="18" customHeight="1" x14ac:dyDescent="0.2">
      <c r="A218" s="11">
        <f>IF(INPUT!M213="","",INPUT!M213)</f>
        <v>45882</v>
      </c>
      <c r="B218" s="11">
        <f>IF(INPUT!M213="","",INPUT!M213-WEEKDAY(INPUT!M213,2)+1)</f>
        <v>45880</v>
      </c>
      <c r="C218" s="20">
        <f>IFERROR(_xlfn.ISOWEEKNUM(INPUT!M213),"")</f>
        <v>33</v>
      </c>
      <c r="D218" s="20">
        <f>IFERROR(YEAR(INPUT!M213),"")</f>
        <v>2025</v>
      </c>
      <c r="E218" t="str">
        <f>IF(INPUT!O213="","",INPUT!O213)</f>
        <v>HARRISON</v>
      </c>
      <c r="F218" t="str">
        <f>IF(INPUT!N213="","",INPUT!N213)</f>
        <v>M</v>
      </c>
      <c r="G218" t="str" cm="1">
        <f t="array" ref="G218">IFERROR(VLOOKUP(INPUT!M213&amp;INPUT!N213,CHOOSE({1,2},INPUT!$A$3:$A$5000&amp;INPUT!$C$3:$C$5000,INPUT!$F$3:$F$5000),2,FALSE),"")</f>
        <v>PRE-TEMPORADA</v>
      </c>
      <c r="H218" t="str" cm="1">
        <f t="array" ref="H218">IFERROR(VLOOKUP(INPUT!M213&amp;INPUT!N213,CHOOSE({1,2},INPUT!$A$3:$A$5000&amp;INPUT!$C$3:$C$5000,INPUT!$D$3:$D$5000),2,FALSE),"")</f>
        <v>TEC-TAC</v>
      </c>
      <c r="I218" s="46">
        <f>IF(INPUT!P213="","",INPUT!P213)</f>
        <v>70.8</v>
      </c>
      <c r="J218" s="46">
        <f>IF(INPUT!Q213="","",INPUT!Q213)</f>
        <v>71</v>
      </c>
      <c r="K218" s="46">
        <f>IFERROR(IF(OR(INPUT!P213="",INPUT!Q213=""),"",INPUT!P213-INPUT!Q213),"")</f>
        <v>-0.20000000000000284</v>
      </c>
      <c r="L218" s="48">
        <f>IFERROR(IF(OR(INPUT!P213="",INPUT!Q213="",INPUT!P213=0),"",(INPUT!P213-INPUT!Q213)/INPUT!P213),"")</f>
        <v>-2.8248587570621872E-3</v>
      </c>
    </row>
    <row r="219" spans="1:12" ht="18" hidden="1" customHeight="1" x14ac:dyDescent="0.2">
      <c r="A219" s="11">
        <f>IF(INPUT!M214="","",INPUT!M214)</f>
        <v>45882</v>
      </c>
      <c r="B219" s="11">
        <f>IF(INPUT!M214="","",INPUT!M214-WEEKDAY(INPUT!M214,2)+1)</f>
        <v>45880</v>
      </c>
      <c r="C219" s="20">
        <f>IFERROR(_xlfn.ISOWEEKNUM(INPUT!M214),"")</f>
        <v>33</v>
      </c>
      <c r="D219" s="20">
        <f>IFERROR(YEAR(INPUT!M214),"")</f>
        <v>2025</v>
      </c>
      <c r="E219" t="str">
        <f>IF(INPUT!O214="","",INPUT!O214)</f>
        <v>HARRISON</v>
      </c>
      <c r="F219" t="str">
        <f>IF(INPUT!N214="","",INPUT!N214)</f>
        <v>T</v>
      </c>
      <c r="G219" t="str" cm="1">
        <f t="array" ref="G219">IFERROR(VLOOKUP(INPUT!M214&amp;INPUT!N214,CHOOSE({1,2},INPUT!$A$3:$A$5000&amp;INPUT!$C$3:$C$5000,INPUT!$F$3:$F$5000),2,FALSE),"")</f>
        <v>PRE-TEMPORADA</v>
      </c>
      <c r="H219" t="str" cm="1">
        <f t="array" ref="H219">IFERROR(VLOOKUP(INPUT!M214&amp;INPUT!N214,CHOOSE({1,2},INPUT!$A$3:$A$5000&amp;INPUT!$C$3:$C$5000,INPUT!$D$3:$D$5000),2,FALSE),"")</f>
        <v>TEC-TAC</v>
      </c>
      <c r="I219" s="46">
        <f>IF(INPUT!P214="","",INPUT!P214)</f>
        <v>71.400000000000006</v>
      </c>
      <c r="J219" s="46">
        <f>IF(INPUT!Q214="","",INPUT!Q214)</f>
        <v>71.3</v>
      </c>
      <c r="K219" s="46">
        <f>IFERROR(IF(OR(INPUT!P214="",INPUT!Q214=""),"",INPUT!P214-INPUT!Q214),"")</f>
        <v>0.10000000000000853</v>
      </c>
      <c r="L219" s="48">
        <f>IFERROR(IF(OR(INPUT!P214="",INPUT!Q214="",INPUT!P214=0),"",(INPUT!P214-INPUT!Q214)/INPUT!P214),"")</f>
        <v>1.4005602240897551E-3</v>
      </c>
    </row>
    <row r="220" spans="1:12" ht="18" hidden="1" customHeight="1" x14ac:dyDescent="0.2">
      <c r="A220" s="11">
        <f>IF(INPUT!M215="","",INPUT!M215)</f>
        <v>45882</v>
      </c>
      <c r="B220" s="11">
        <f>IF(INPUT!M215="","",INPUT!M215-WEEKDAY(INPUT!M215,2)+1)</f>
        <v>45880</v>
      </c>
      <c r="C220" s="20">
        <f>IFERROR(_xlfn.ISOWEEKNUM(INPUT!M215),"")</f>
        <v>33</v>
      </c>
      <c r="D220" s="20">
        <f>IFERROR(YEAR(INPUT!M215),"")</f>
        <v>2025</v>
      </c>
      <c r="E220" t="str">
        <f>IF(INPUT!O215="","",INPUT!O215)</f>
        <v>RAYA</v>
      </c>
      <c r="F220" t="str">
        <f>IF(INPUT!N215="","",INPUT!N215)</f>
        <v>M</v>
      </c>
      <c r="G220" t="str" cm="1">
        <f t="array" ref="G220">IFERROR(VLOOKUP(INPUT!M215&amp;INPUT!N215,CHOOSE({1,2},INPUT!$A$3:$A$5000&amp;INPUT!$C$3:$C$5000,INPUT!$F$3:$F$5000),2,FALSE),"")</f>
        <v>PRE-TEMPORADA</v>
      </c>
      <c r="H220" t="str" cm="1">
        <f t="array" ref="H220">IFERROR(VLOOKUP(INPUT!M215&amp;INPUT!N215,CHOOSE({1,2},INPUT!$A$3:$A$5000&amp;INPUT!$C$3:$C$5000,INPUT!$D$3:$D$5000),2,FALSE),"")</f>
        <v>TEC-TAC</v>
      </c>
      <c r="I220" s="46">
        <f>IF(INPUT!P215="","",INPUT!P215)</f>
        <v>82.6</v>
      </c>
      <c r="J220" s="46">
        <f>IF(INPUT!Q215="","",INPUT!Q215)</f>
        <v>81.3</v>
      </c>
      <c r="K220" s="46">
        <f>IFERROR(IF(OR(INPUT!P215="",INPUT!Q215=""),"",INPUT!P215-INPUT!Q215),"")</f>
        <v>1.2999999999999972</v>
      </c>
      <c r="L220" s="48">
        <f>IFERROR(IF(OR(INPUT!P215="",INPUT!Q215="",INPUT!P215=0),"",(INPUT!P215-INPUT!Q215)/INPUT!P215),"")</f>
        <v>1.5738498789346213E-2</v>
      </c>
    </row>
    <row r="221" spans="1:12" ht="18" hidden="1" customHeight="1" x14ac:dyDescent="0.2">
      <c r="A221" s="11">
        <f>IF(INPUT!M216="","",INPUT!M216)</f>
        <v>45882</v>
      </c>
      <c r="B221" s="11">
        <f>IF(INPUT!M216="","",INPUT!M216-WEEKDAY(INPUT!M216,2)+1)</f>
        <v>45880</v>
      </c>
      <c r="C221" s="20">
        <f>IFERROR(_xlfn.ISOWEEKNUM(INPUT!M216),"")</f>
        <v>33</v>
      </c>
      <c r="D221" s="20">
        <f>IFERROR(YEAR(INPUT!M216),"")</f>
        <v>2025</v>
      </c>
      <c r="E221" t="str">
        <f>IF(INPUT!O216="","",INPUT!O216)</f>
        <v>RAYA</v>
      </c>
      <c r="F221" t="str">
        <f>IF(INPUT!N216="","",INPUT!N216)</f>
        <v>T</v>
      </c>
      <c r="G221" t="str" cm="1">
        <f t="array" ref="G221">IFERROR(VLOOKUP(INPUT!M216&amp;INPUT!N216,CHOOSE({1,2},INPUT!$A$3:$A$5000&amp;INPUT!$C$3:$C$5000,INPUT!$F$3:$F$5000),2,FALSE),"")</f>
        <v>PRE-TEMPORADA</v>
      </c>
      <c r="H221" t="str" cm="1">
        <f t="array" ref="H221">IFERROR(VLOOKUP(INPUT!M216&amp;INPUT!N216,CHOOSE({1,2},INPUT!$A$3:$A$5000&amp;INPUT!$C$3:$C$5000,INPUT!$D$3:$D$5000),2,FALSE),"")</f>
        <v>TEC-TAC</v>
      </c>
      <c r="I221" s="46">
        <f>IF(INPUT!P216="","",INPUT!P216)</f>
        <v>81.3</v>
      </c>
      <c r="J221" s="46">
        <f>IF(INPUT!Q216="","",INPUT!Q216)</f>
        <v>81.900000000000006</v>
      </c>
      <c r="K221" s="46">
        <f>IFERROR(IF(OR(INPUT!P216="",INPUT!Q216=""),"",INPUT!P216-INPUT!Q216),"")</f>
        <v>-0.60000000000000853</v>
      </c>
      <c r="L221" s="48">
        <f>IFERROR(IF(OR(INPUT!P216="",INPUT!Q216="",INPUT!P216=0),"",(INPUT!P216-INPUT!Q216)/INPUT!P216),"")</f>
        <v>-7.3800738007381121E-3</v>
      </c>
    </row>
    <row r="222" spans="1:12" ht="18" hidden="1" customHeight="1" x14ac:dyDescent="0.2">
      <c r="A222" s="11">
        <f>IF(INPUT!M217="","",INPUT!M217)</f>
        <v>45882</v>
      </c>
      <c r="B222" s="11">
        <f>IF(INPUT!M217="","",INPUT!M217-WEEKDAY(INPUT!M217,2)+1)</f>
        <v>45880</v>
      </c>
      <c r="C222" s="20">
        <f>IFERROR(_xlfn.ISOWEEKNUM(INPUT!M217),"")</f>
        <v>33</v>
      </c>
      <c r="D222" s="20">
        <f>IFERROR(YEAR(INPUT!M217),"")</f>
        <v>2025</v>
      </c>
      <c r="E222" t="str">
        <f>IF(INPUT!O217="","",INPUT!O217)</f>
        <v>JAVI</v>
      </c>
      <c r="F222" t="str">
        <f>IF(INPUT!N217="","",INPUT!N217)</f>
        <v>M</v>
      </c>
      <c r="G222" t="str" cm="1">
        <f t="array" ref="G222">IFERROR(VLOOKUP(INPUT!M217&amp;INPUT!N217,CHOOSE({1,2},INPUT!$A$3:$A$5000&amp;INPUT!$C$3:$C$5000,INPUT!$F$3:$F$5000),2,FALSE),"")</f>
        <v>PRE-TEMPORADA</v>
      </c>
      <c r="H222" t="str" cm="1">
        <f t="array" ref="H222">IFERROR(VLOOKUP(INPUT!M217&amp;INPUT!N217,CHOOSE({1,2},INPUT!$A$3:$A$5000&amp;INPUT!$C$3:$C$5000,INPUT!$D$3:$D$5000),2,FALSE),"")</f>
        <v>TEC-TAC</v>
      </c>
      <c r="I222" s="46">
        <f>IF(INPUT!P217="","",INPUT!P217)</f>
        <v>78.599999999999994</v>
      </c>
      <c r="J222" s="46">
        <f>IF(INPUT!Q217="","",INPUT!Q217)</f>
        <v>78.599999999999994</v>
      </c>
      <c r="K222" s="46">
        <f>IFERROR(IF(OR(INPUT!P217="",INPUT!Q217=""),"",INPUT!P217-INPUT!Q217),"")</f>
        <v>0</v>
      </c>
      <c r="L222" s="48">
        <f>IFERROR(IF(OR(INPUT!P217="",INPUT!Q217="",INPUT!P217=0),"",(INPUT!P217-INPUT!Q217)/INPUT!P217),"")</f>
        <v>0</v>
      </c>
    </row>
    <row r="223" spans="1:12" ht="18" hidden="1" customHeight="1" x14ac:dyDescent="0.2">
      <c r="A223" s="11">
        <f>IF(INPUT!M218="","",INPUT!M218)</f>
        <v>45882</v>
      </c>
      <c r="B223" s="11">
        <f>IF(INPUT!M218="","",INPUT!M218-WEEKDAY(INPUT!M218,2)+1)</f>
        <v>45880</v>
      </c>
      <c r="C223" s="20">
        <f>IFERROR(_xlfn.ISOWEEKNUM(INPUT!M218),"")</f>
        <v>33</v>
      </c>
      <c r="D223" s="20">
        <f>IFERROR(YEAR(INPUT!M218),"")</f>
        <v>2025</v>
      </c>
      <c r="E223" t="str">
        <f>IF(INPUT!O218="","",INPUT!O218)</f>
        <v>JAVI</v>
      </c>
      <c r="F223" t="str">
        <f>IF(INPUT!N218="","",INPUT!N218)</f>
        <v>T</v>
      </c>
      <c r="G223" t="str" cm="1">
        <f t="array" ref="G223">IFERROR(VLOOKUP(INPUT!M218&amp;INPUT!N218,CHOOSE({1,2},INPUT!$A$3:$A$5000&amp;INPUT!$C$3:$C$5000,INPUT!$F$3:$F$5000),2,FALSE),"")</f>
        <v>PRE-TEMPORADA</v>
      </c>
      <c r="H223" t="str" cm="1">
        <f t="array" ref="H223">IFERROR(VLOOKUP(INPUT!M218&amp;INPUT!N218,CHOOSE({1,2},INPUT!$A$3:$A$5000&amp;INPUT!$C$3:$C$5000,INPUT!$D$3:$D$5000),2,FALSE),"")</f>
        <v>TEC-TAC</v>
      </c>
      <c r="I223" s="46">
        <f>IF(INPUT!P218="","",INPUT!P218)</f>
        <v>79.900000000000006</v>
      </c>
      <c r="J223" s="46">
        <f>IF(INPUT!Q218="","",INPUT!Q218)</f>
        <v>79.7</v>
      </c>
      <c r="K223" s="46">
        <f>IFERROR(IF(OR(INPUT!P218="",INPUT!Q218=""),"",INPUT!P218-INPUT!Q218),"")</f>
        <v>0.20000000000000284</v>
      </c>
      <c r="L223" s="48">
        <f>IFERROR(IF(OR(INPUT!P218="",INPUT!Q218="",INPUT!P218=0),"",(INPUT!P218-INPUT!Q218)/INPUT!P218),"")</f>
        <v>2.5031289111389588E-3</v>
      </c>
    </row>
    <row r="224" spans="1:12" ht="18" hidden="1" customHeight="1" x14ac:dyDescent="0.2">
      <c r="A224" s="11">
        <f>IF(INPUT!M219="","",INPUT!M219)</f>
        <v>45882</v>
      </c>
      <c r="B224" s="11">
        <f>IF(INPUT!M219="","",INPUT!M219-WEEKDAY(INPUT!M219,2)+1)</f>
        <v>45880</v>
      </c>
      <c r="C224" s="20">
        <f>IFERROR(_xlfn.ISOWEEKNUM(INPUT!M219),"")</f>
        <v>33</v>
      </c>
      <c r="D224" s="20">
        <f>IFERROR(YEAR(INPUT!M219),"")</f>
        <v>2025</v>
      </c>
      <c r="E224" t="str">
        <f>IF(INPUT!O219="","",INPUT!O219)</f>
        <v>PANI</v>
      </c>
      <c r="F224" t="str">
        <f>IF(INPUT!N219="","",INPUT!N219)</f>
        <v>M</v>
      </c>
      <c r="G224" t="str" cm="1">
        <f t="array" ref="G224">IFERROR(VLOOKUP(INPUT!M219&amp;INPUT!N219,CHOOSE({1,2},INPUT!$A$3:$A$5000&amp;INPUT!$C$3:$C$5000,INPUT!$F$3:$F$5000),2,FALSE),"")</f>
        <v>PRE-TEMPORADA</v>
      </c>
      <c r="H224" t="str" cm="1">
        <f t="array" ref="H224">IFERROR(VLOOKUP(INPUT!M219&amp;INPUT!N219,CHOOSE({1,2},INPUT!$A$3:$A$5000&amp;INPUT!$C$3:$C$5000,INPUT!$D$3:$D$5000),2,FALSE),"")</f>
        <v>TEC-TAC</v>
      </c>
      <c r="I224" s="46">
        <f>IF(INPUT!P219="","",INPUT!P219)</f>
        <v>70.7</v>
      </c>
      <c r="J224" s="46">
        <f>IF(INPUT!Q219="","",INPUT!Q219)</f>
        <v>70</v>
      </c>
      <c r="K224" s="46">
        <f>IFERROR(IF(OR(INPUT!P219="",INPUT!Q219=""),"",INPUT!P219-INPUT!Q219),"")</f>
        <v>0.70000000000000284</v>
      </c>
      <c r="L224" s="48">
        <f>IFERROR(IF(OR(INPUT!P219="",INPUT!Q219="",INPUT!P219=0),"",(INPUT!P219-INPUT!Q219)/INPUT!P219),"")</f>
        <v>9.900990099009941E-3</v>
      </c>
    </row>
    <row r="225" spans="1:12" ht="18" hidden="1" customHeight="1" x14ac:dyDescent="0.2">
      <c r="A225" s="11">
        <f>IF(INPUT!M220="","",INPUT!M220)</f>
        <v>45882</v>
      </c>
      <c r="B225" s="11">
        <f>IF(INPUT!M220="","",INPUT!M220-WEEKDAY(INPUT!M220,2)+1)</f>
        <v>45880</v>
      </c>
      <c r="C225" s="20">
        <f>IFERROR(_xlfn.ISOWEEKNUM(INPUT!M220),"")</f>
        <v>33</v>
      </c>
      <c r="D225" s="20">
        <f>IFERROR(YEAR(INPUT!M220),"")</f>
        <v>2025</v>
      </c>
      <c r="E225" t="str">
        <f>IF(INPUT!O220="","",INPUT!O220)</f>
        <v>PANI</v>
      </c>
      <c r="F225" t="str">
        <f>IF(INPUT!N220="","",INPUT!N220)</f>
        <v>T</v>
      </c>
      <c r="G225" t="str" cm="1">
        <f t="array" ref="G225">IFERROR(VLOOKUP(INPUT!M220&amp;INPUT!N220,CHOOSE({1,2},INPUT!$A$3:$A$5000&amp;INPUT!$C$3:$C$5000,INPUT!$F$3:$F$5000),2,FALSE),"")</f>
        <v>PRE-TEMPORADA</v>
      </c>
      <c r="H225" t="str" cm="1">
        <f t="array" ref="H225">IFERROR(VLOOKUP(INPUT!M220&amp;INPUT!N220,CHOOSE({1,2},INPUT!$A$3:$A$5000&amp;INPUT!$C$3:$C$5000,INPUT!$D$3:$D$5000),2,FALSE),"")</f>
        <v>TEC-TAC</v>
      </c>
      <c r="I225" s="46">
        <f>IF(INPUT!P220="","",INPUT!P220)</f>
        <v>70.8</v>
      </c>
      <c r="J225" s="46">
        <f>IF(INPUT!Q220="","",INPUT!Q220)</f>
        <v>70.3</v>
      </c>
      <c r="K225" s="46">
        <f>IFERROR(IF(OR(INPUT!P220="",INPUT!Q220=""),"",INPUT!P220-INPUT!Q220),"")</f>
        <v>0.5</v>
      </c>
      <c r="L225" s="48">
        <f>IFERROR(IF(OR(INPUT!P220="",INPUT!Q220="",INPUT!P220=0),"",(INPUT!P220-INPUT!Q220)/INPUT!P220),"")</f>
        <v>7.0621468926553672E-3</v>
      </c>
    </row>
    <row r="226" spans="1:12" ht="18" hidden="1" customHeight="1" x14ac:dyDescent="0.2">
      <c r="A226" s="11">
        <f>IF(INPUT!M221="","",INPUT!M221)</f>
        <v>45882</v>
      </c>
      <c r="B226" s="11">
        <f>IF(INPUT!M221="","",INPUT!M221-WEEKDAY(INPUT!M221,2)+1)</f>
        <v>45880</v>
      </c>
      <c r="C226" s="20">
        <f>IFERROR(_xlfn.ISOWEEKNUM(INPUT!M221),"")</f>
        <v>33</v>
      </c>
      <c r="D226" s="20">
        <f>IFERROR(YEAR(INPUT!M221),"")</f>
        <v>2025</v>
      </c>
      <c r="E226" t="str">
        <f>IF(INPUT!O221="","",INPUT!O221)</f>
        <v>PIRATA</v>
      </c>
      <c r="F226" t="str">
        <f>IF(INPUT!N221="","",INPUT!N221)</f>
        <v>M</v>
      </c>
      <c r="G226" t="str" cm="1">
        <f t="array" ref="G226">IFERROR(VLOOKUP(INPUT!M221&amp;INPUT!N221,CHOOSE({1,2},INPUT!$A$3:$A$5000&amp;INPUT!$C$3:$C$5000,INPUT!$F$3:$F$5000),2,FALSE),"")</f>
        <v>PRE-TEMPORADA</v>
      </c>
      <c r="H226" t="str" cm="1">
        <f t="array" ref="H226">IFERROR(VLOOKUP(INPUT!M221&amp;INPUT!N221,CHOOSE({1,2},INPUT!$A$3:$A$5000&amp;INPUT!$C$3:$C$5000,INPUT!$D$3:$D$5000),2,FALSE),"")</f>
        <v>TEC-TAC</v>
      </c>
      <c r="I226" s="46">
        <f>IF(INPUT!P221="","",INPUT!P221)</f>
        <v>74.900000000000006</v>
      </c>
      <c r="J226" s="46">
        <f>IF(INPUT!Q221="","",INPUT!Q221)</f>
        <v>74.8</v>
      </c>
      <c r="K226" s="46">
        <f>IFERROR(IF(OR(INPUT!P221="",INPUT!Q221=""),"",INPUT!P221-INPUT!Q221),"")</f>
        <v>0.10000000000000853</v>
      </c>
      <c r="L226" s="48">
        <f>IFERROR(IF(OR(INPUT!P221="",INPUT!Q221="",INPUT!P221=0),"",(INPUT!P221-INPUT!Q221)/INPUT!P221),"")</f>
        <v>1.3351134846463087E-3</v>
      </c>
    </row>
    <row r="227" spans="1:12" ht="18" hidden="1" customHeight="1" x14ac:dyDescent="0.2">
      <c r="A227" s="11">
        <f>IF(INPUT!M222="","",INPUT!M222)</f>
        <v>45882</v>
      </c>
      <c r="B227" s="11">
        <f>IF(INPUT!M222="","",INPUT!M222-WEEKDAY(INPUT!M222,2)+1)</f>
        <v>45880</v>
      </c>
      <c r="C227" s="20">
        <f>IFERROR(_xlfn.ISOWEEKNUM(INPUT!M222),"")</f>
        <v>33</v>
      </c>
      <c r="D227" s="20">
        <f>IFERROR(YEAR(INPUT!M222),"")</f>
        <v>2025</v>
      </c>
      <c r="E227" t="str">
        <f>IF(INPUT!O222="","",INPUT!O222)</f>
        <v>PIRATA</v>
      </c>
      <c r="F227" t="str">
        <f>IF(INPUT!N222="","",INPUT!N222)</f>
        <v>T</v>
      </c>
      <c r="G227" t="str" cm="1">
        <f t="array" ref="G227">IFERROR(VLOOKUP(INPUT!M222&amp;INPUT!N222,CHOOSE({1,2},INPUT!$A$3:$A$5000&amp;INPUT!$C$3:$C$5000,INPUT!$F$3:$F$5000),2,FALSE),"")</f>
        <v>PRE-TEMPORADA</v>
      </c>
      <c r="H227" t="str" cm="1">
        <f t="array" ref="H227">IFERROR(VLOOKUP(INPUT!M222&amp;INPUT!N222,CHOOSE({1,2},INPUT!$A$3:$A$5000&amp;INPUT!$C$3:$C$5000,INPUT!$D$3:$D$5000),2,FALSE),"")</f>
        <v>TEC-TAC</v>
      </c>
      <c r="I227" s="46">
        <f>IF(INPUT!P222="","",INPUT!P222)</f>
        <v>74.8</v>
      </c>
      <c r="J227" s="46">
        <f>IF(INPUT!Q222="","",INPUT!Q222)</f>
        <v>75.2</v>
      </c>
      <c r="K227" s="46">
        <f>IFERROR(IF(OR(INPUT!P222="",INPUT!Q222=""),"",INPUT!P222-INPUT!Q222),"")</f>
        <v>-0.40000000000000568</v>
      </c>
      <c r="L227" s="48">
        <f>IFERROR(IF(OR(INPUT!P222="",INPUT!Q222="",INPUT!P222=0),"",(INPUT!P222-INPUT!Q222)/INPUT!P222),"")</f>
        <v>-5.3475935828877766E-3</v>
      </c>
    </row>
    <row r="228" spans="1:12" ht="18" hidden="1" customHeight="1" x14ac:dyDescent="0.2">
      <c r="A228" s="11">
        <f>IF(INPUT!M223="","",INPUT!M223)</f>
        <v>45882</v>
      </c>
      <c r="B228" s="11">
        <f>IF(INPUT!M223="","",INPUT!M223-WEEKDAY(INPUT!M223,2)+1)</f>
        <v>45880</v>
      </c>
      <c r="C228" s="20">
        <f>IFERROR(_xlfn.ISOWEEKNUM(INPUT!M223),"")</f>
        <v>33</v>
      </c>
      <c r="D228" s="20">
        <f>IFERROR(YEAR(INPUT!M223),"")</f>
        <v>2025</v>
      </c>
      <c r="E228" t="str">
        <f>IF(INPUT!O223="","",INPUT!O223)</f>
        <v>BARONA</v>
      </c>
      <c r="F228" t="str">
        <f>IF(INPUT!N223="","",INPUT!N223)</f>
        <v>M</v>
      </c>
      <c r="G228" t="str" cm="1">
        <f t="array" ref="G228">IFERROR(VLOOKUP(INPUT!M223&amp;INPUT!N223,CHOOSE({1,2},INPUT!$A$3:$A$5000&amp;INPUT!$C$3:$C$5000,INPUT!$F$3:$F$5000),2,FALSE),"")</f>
        <v>PRE-TEMPORADA</v>
      </c>
      <c r="H228" t="str" cm="1">
        <f t="array" ref="H228">IFERROR(VLOOKUP(INPUT!M223&amp;INPUT!N223,CHOOSE({1,2},INPUT!$A$3:$A$5000&amp;INPUT!$C$3:$C$5000,INPUT!$D$3:$D$5000),2,FALSE),"")</f>
        <v>TEC-TAC</v>
      </c>
      <c r="I228" s="46">
        <f>IF(INPUT!P223="","",INPUT!P223)</f>
        <v>70.7</v>
      </c>
      <c r="J228" s="46">
        <f>IF(INPUT!Q223="","",INPUT!Q223)</f>
        <v>70.7</v>
      </c>
      <c r="K228" s="46">
        <f>IFERROR(IF(OR(INPUT!P223="",INPUT!Q223=""),"",INPUT!P223-INPUT!Q223),"")</f>
        <v>0</v>
      </c>
      <c r="L228" s="48">
        <f>IFERROR(IF(OR(INPUT!P223="",INPUT!Q223="",INPUT!P223=0),"",(INPUT!P223-INPUT!Q223)/INPUT!P223),"")</f>
        <v>0</v>
      </c>
    </row>
    <row r="229" spans="1:12" ht="18" hidden="1" customHeight="1" x14ac:dyDescent="0.2">
      <c r="A229" s="11">
        <f>IF(INPUT!M224="","",INPUT!M224)</f>
        <v>45882</v>
      </c>
      <c r="B229" s="11">
        <f>IF(INPUT!M224="","",INPUT!M224-WEEKDAY(INPUT!M224,2)+1)</f>
        <v>45880</v>
      </c>
      <c r="C229" s="20">
        <f>IFERROR(_xlfn.ISOWEEKNUM(INPUT!M224),"")</f>
        <v>33</v>
      </c>
      <c r="D229" s="20">
        <f>IFERROR(YEAR(INPUT!M224),"")</f>
        <v>2025</v>
      </c>
      <c r="E229" t="str">
        <f>IF(INPUT!O224="","",INPUT!O224)</f>
        <v>BARONA</v>
      </c>
      <c r="F229" t="str">
        <f>IF(INPUT!N224="","",INPUT!N224)</f>
        <v>T</v>
      </c>
      <c r="G229" t="str" cm="1">
        <f t="array" ref="G229">IFERROR(VLOOKUP(INPUT!M224&amp;INPUT!N224,CHOOSE({1,2},INPUT!$A$3:$A$5000&amp;INPUT!$C$3:$C$5000,INPUT!$F$3:$F$5000),2,FALSE),"")</f>
        <v>PRE-TEMPORADA</v>
      </c>
      <c r="H229" t="str" cm="1">
        <f t="array" ref="H229">IFERROR(VLOOKUP(INPUT!M224&amp;INPUT!N224,CHOOSE({1,2},INPUT!$A$3:$A$5000&amp;INPUT!$C$3:$C$5000,INPUT!$D$3:$D$5000),2,FALSE),"")</f>
        <v>TEC-TAC</v>
      </c>
      <c r="I229" s="46">
        <f>IF(INPUT!P224="","",INPUT!P224)</f>
        <v>70.3</v>
      </c>
      <c r="J229" s="46">
        <f>IF(INPUT!Q224="","",INPUT!Q224)</f>
        <v>70.3</v>
      </c>
      <c r="K229" s="46">
        <f>IFERROR(IF(OR(INPUT!P224="",INPUT!Q224=""),"",INPUT!P224-INPUT!Q224),"")</f>
        <v>0</v>
      </c>
      <c r="L229" s="48">
        <f>IFERROR(IF(OR(INPUT!P224="",INPUT!Q224="",INPUT!P224=0),"",(INPUT!P224-INPUT!Q224)/INPUT!P224),"")</f>
        <v>0</v>
      </c>
    </row>
    <row r="230" spans="1:12" ht="18" hidden="1" customHeight="1" x14ac:dyDescent="0.2">
      <c r="A230" s="11">
        <f>IF(INPUT!M225="","",INPUT!M225)</f>
        <v>45882</v>
      </c>
      <c r="B230" s="11">
        <f>IF(INPUT!M225="","",INPUT!M225-WEEKDAY(INPUT!M225,2)+1)</f>
        <v>45880</v>
      </c>
      <c r="C230" s="20">
        <f>IFERROR(_xlfn.ISOWEEKNUM(INPUT!M225),"")</f>
        <v>33</v>
      </c>
      <c r="D230" s="20">
        <f>IFERROR(YEAR(INPUT!M225),"")</f>
        <v>2025</v>
      </c>
      <c r="E230" t="str">
        <f>IF(INPUT!O225="","",INPUT!O225)</f>
        <v>CARLOS</v>
      </c>
      <c r="F230" t="str">
        <f>IF(INPUT!N225="","",INPUT!N225)</f>
        <v>M</v>
      </c>
      <c r="G230" t="str" cm="1">
        <f t="array" ref="G230">IFERROR(VLOOKUP(INPUT!M225&amp;INPUT!N225,CHOOSE({1,2},INPUT!$A$3:$A$5000&amp;INPUT!$C$3:$C$5000,INPUT!$F$3:$F$5000),2,FALSE),"")</f>
        <v>PRE-TEMPORADA</v>
      </c>
      <c r="H230" t="str" cm="1">
        <f t="array" ref="H230">IFERROR(VLOOKUP(INPUT!M225&amp;INPUT!N225,CHOOSE({1,2},INPUT!$A$3:$A$5000&amp;INPUT!$C$3:$C$5000,INPUT!$D$3:$D$5000),2,FALSE),"")</f>
        <v>TEC-TAC</v>
      </c>
      <c r="I230" s="46">
        <f>IF(INPUT!P225="","",INPUT!P225)</f>
        <v>67.599999999999994</v>
      </c>
      <c r="J230" s="46">
        <f>IF(INPUT!Q225="","",INPUT!Q225)</f>
        <v>66.900000000000006</v>
      </c>
      <c r="K230" s="46">
        <f>IFERROR(IF(OR(INPUT!P225="",INPUT!Q225=""),"",INPUT!P225-INPUT!Q225),"")</f>
        <v>0.69999999999998863</v>
      </c>
      <c r="L230" s="48">
        <f>IFERROR(IF(OR(INPUT!P225="",INPUT!Q225="",INPUT!P225=0),"",(INPUT!P225-INPUT!Q225)/INPUT!P225),"")</f>
        <v>1.0355029585798649E-2</v>
      </c>
    </row>
    <row r="231" spans="1:12" ht="18" hidden="1" customHeight="1" x14ac:dyDescent="0.2">
      <c r="A231" s="11">
        <f>IF(INPUT!M226="","",INPUT!M226)</f>
        <v>45882</v>
      </c>
      <c r="B231" s="11">
        <f>IF(INPUT!M226="","",INPUT!M226-WEEKDAY(INPUT!M226,2)+1)</f>
        <v>45880</v>
      </c>
      <c r="C231" s="20">
        <f>IFERROR(_xlfn.ISOWEEKNUM(INPUT!M226),"")</f>
        <v>33</v>
      </c>
      <c r="D231" s="20">
        <f>IFERROR(YEAR(INPUT!M226),"")</f>
        <v>2025</v>
      </c>
      <c r="E231" t="str">
        <f>IF(INPUT!O226="","",INPUT!O226)</f>
        <v>CARLOS</v>
      </c>
      <c r="F231" t="str">
        <f>IF(INPUT!N226="","",INPUT!N226)</f>
        <v>T</v>
      </c>
      <c r="G231" t="str" cm="1">
        <f t="array" ref="G231">IFERROR(VLOOKUP(INPUT!M226&amp;INPUT!N226,CHOOSE({1,2},INPUT!$A$3:$A$5000&amp;INPUT!$C$3:$C$5000,INPUT!$F$3:$F$5000),2,FALSE),"")</f>
        <v>PRE-TEMPORADA</v>
      </c>
      <c r="H231" t="str" cm="1">
        <f t="array" ref="H231">IFERROR(VLOOKUP(INPUT!M226&amp;INPUT!N226,CHOOSE({1,2},INPUT!$A$3:$A$5000&amp;INPUT!$C$3:$C$5000,INPUT!$D$3:$D$5000),2,FALSE),"")</f>
        <v>TEC-TAC</v>
      </c>
      <c r="I231" s="46">
        <f>IF(INPUT!P226="","",INPUT!P226)</f>
        <v>67.900000000000006</v>
      </c>
      <c r="J231" s="46">
        <f>IF(INPUT!Q226="","",INPUT!Q226)</f>
        <v>67.400000000000006</v>
      </c>
      <c r="K231" s="46">
        <f>IFERROR(IF(OR(INPUT!P226="",INPUT!Q226=""),"",INPUT!P226-INPUT!Q226),"")</f>
        <v>0.5</v>
      </c>
      <c r="L231" s="48">
        <f>IFERROR(IF(OR(INPUT!P226="",INPUT!Q226="",INPUT!P226=0),"",(INPUT!P226-INPUT!Q226)/INPUT!P226),"")</f>
        <v>7.3637702503681875E-3</v>
      </c>
    </row>
    <row r="232" spans="1:12" ht="18" hidden="1" customHeight="1" x14ac:dyDescent="0.2">
      <c r="A232" s="11">
        <f>IF(INPUT!M227="","",INPUT!M227)</f>
        <v>45882</v>
      </c>
      <c r="B232" s="11">
        <f>IF(INPUT!M227="","",INPUT!M227-WEEKDAY(INPUT!M227,2)+1)</f>
        <v>45880</v>
      </c>
      <c r="C232" s="20">
        <f>IFERROR(_xlfn.ISOWEEKNUM(INPUT!M227),"")</f>
        <v>33</v>
      </c>
      <c r="D232" s="20">
        <f>IFERROR(YEAR(INPUT!M227),"")</f>
        <v>2025</v>
      </c>
      <c r="E232" t="str">
        <f>IF(INPUT!O227="","",INPUT!O227)</f>
        <v>GONZALO</v>
      </c>
      <c r="F232" t="str">
        <f>IF(INPUT!N227="","",INPUT!N227)</f>
        <v>M</v>
      </c>
      <c r="G232" t="str" cm="1">
        <f t="array" ref="G232">IFERROR(VLOOKUP(INPUT!M227&amp;INPUT!N227,CHOOSE({1,2},INPUT!$A$3:$A$5000&amp;INPUT!$C$3:$C$5000,INPUT!$F$3:$F$5000),2,FALSE),"")</f>
        <v>PRE-TEMPORADA</v>
      </c>
      <c r="H232" t="str" cm="1">
        <f t="array" ref="H232">IFERROR(VLOOKUP(INPUT!M227&amp;INPUT!N227,CHOOSE({1,2},INPUT!$A$3:$A$5000&amp;INPUT!$C$3:$C$5000,INPUT!$D$3:$D$5000),2,FALSE),"")</f>
        <v>TEC-TAC</v>
      </c>
      <c r="I232" s="46">
        <f>IF(INPUT!P227="","",INPUT!P227)</f>
        <v>85.2</v>
      </c>
      <c r="J232" s="46">
        <f>IF(INPUT!Q227="","",INPUT!Q227)</f>
        <v>85.3</v>
      </c>
      <c r="K232" s="46">
        <f>IFERROR(IF(OR(INPUT!P227="",INPUT!Q227=""),"",INPUT!P227-INPUT!Q227),"")</f>
        <v>-9.9999999999994316E-2</v>
      </c>
      <c r="L232" s="48">
        <f>IFERROR(IF(OR(INPUT!P227="",INPUT!Q227="",INPUT!P227=0),"",(INPUT!P227-INPUT!Q227)/INPUT!P227),"")</f>
        <v>-1.1737089201877267E-3</v>
      </c>
    </row>
    <row r="233" spans="1:12" ht="18" hidden="1" customHeight="1" x14ac:dyDescent="0.2">
      <c r="A233" s="11">
        <f>IF(INPUT!M228="","",INPUT!M228)</f>
        <v>45882</v>
      </c>
      <c r="B233" s="11">
        <f>IF(INPUT!M228="","",INPUT!M228-WEEKDAY(INPUT!M228,2)+1)</f>
        <v>45880</v>
      </c>
      <c r="C233" s="20">
        <f>IFERROR(_xlfn.ISOWEEKNUM(INPUT!M228),"")</f>
        <v>33</v>
      </c>
      <c r="D233" s="20">
        <f>IFERROR(YEAR(INPUT!M228),"")</f>
        <v>2025</v>
      </c>
      <c r="E233" t="str">
        <f>IF(INPUT!O228="","",INPUT!O228)</f>
        <v>GONZALO</v>
      </c>
      <c r="F233" t="str">
        <f>IF(INPUT!N228="","",INPUT!N228)</f>
        <v>T</v>
      </c>
      <c r="G233" t="str" cm="1">
        <f t="array" ref="G233">IFERROR(VLOOKUP(INPUT!M228&amp;INPUT!N228,CHOOSE({1,2},INPUT!$A$3:$A$5000&amp;INPUT!$C$3:$C$5000,INPUT!$F$3:$F$5000),2,FALSE),"")</f>
        <v>PRE-TEMPORADA</v>
      </c>
      <c r="H233" t="str" cm="1">
        <f t="array" ref="H233">IFERROR(VLOOKUP(INPUT!M228&amp;INPUT!N228,CHOOSE({1,2},INPUT!$A$3:$A$5000&amp;INPUT!$C$3:$C$5000,INPUT!$D$3:$D$5000),2,FALSE),"")</f>
        <v>TEC-TAC</v>
      </c>
      <c r="I233" s="46">
        <f>IF(INPUT!P228="","",INPUT!P228)</f>
        <v>85.4</v>
      </c>
      <c r="J233" s="46">
        <f>IF(INPUT!Q228="","",INPUT!Q228)</f>
        <v>85.3</v>
      </c>
      <c r="K233" s="46">
        <f>IFERROR(IF(OR(INPUT!P228="",INPUT!Q228=""),"",INPUT!P228-INPUT!Q228),"")</f>
        <v>0.10000000000000853</v>
      </c>
      <c r="L233" s="48">
        <f>IFERROR(IF(OR(INPUT!P228="",INPUT!Q228="",INPUT!P228=0),"",(INPUT!P228-INPUT!Q228)/INPUT!P228),"")</f>
        <v>1.1709601873537297E-3</v>
      </c>
    </row>
    <row r="234" spans="1:12" ht="18" hidden="1" customHeight="1" x14ac:dyDescent="0.2">
      <c r="A234" s="11">
        <f>IF(INPUT!M229="","",INPUT!M229)</f>
        <v>45882</v>
      </c>
      <c r="B234" s="11">
        <f>IF(INPUT!M229="","",INPUT!M229-WEEKDAY(INPUT!M229,2)+1)</f>
        <v>45880</v>
      </c>
      <c r="C234" s="20">
        <f>IFERROR(_xlfn.ISOWEEKNUM(INPUT!M229),"")</f>
        <v>33</v>
      </c>
      <c r="D234" s="20">
        <f>IFERROR(YEAR(INPUT!M229),"")</f>
        <v>2025</v>
      </c>
      <c r="E234" t="str">
        <f>IF(INPUT!O229="","",INPUT!O229)</f>
        <v>RUBIO</v>
      </c>
      <c r="F234" t="str">
        <f>IF(INPUT!N229="","",INPUT!N229)</f>
        <v>M</v>
      </c>
      <c r="G234" t="str" cm="1">
        <f t="array" ref="G234">IFERROR(VLOOKUP(INPUT!M229&amp;INPUT!N229,CHOOSE({1,2},INPUT!$A$3:$A$5000&amp;INPUT!$C$3:$C$5000,INPUT!$F$3:$F$5000),2,FALSE),"")</f>
        <v>PRE-TEMPORADA</v>
      </c>
      <c r="H234" t="str" cm="1">
        <f t="array" ref="H234">IFERROR(VLOOKUP(INPUT!M229&amp;INPUT!N229,CHOOSE({1,2},INPUT!$A$3:$A$5000&amp;INPUT!$C$3:$C$5000,INPUT!$D$3:$D$5000),2,FALSE),"")</f>
        <v>TEC-TAC</v>
      </c>
      <c r="I234" s="46">
        <f>IF(INPUT!P229="","",INPUT!P229)</f>
        <v>73.8</v>
      </c>
      <c r="J234" s="46">
        <f>IF(INPUT!Q229="","",INPUT!Q229)</f>
        <v>74.400000000000006</v>
      </c>
      <c r="K234" s="46">
        <f>IFERROR(IF(OR(INPUT!P229="",INPUT!Q229=""),"",INPUT!P229-INPUT!Q229),"")</f>
        <v>-0.60000000000000853</v>
      </c>
      <c r="L234" s="48">
        <f>IFERROR(IF(OR(INPUT!P229="",INPUT!Q229="",INPUT!P229=0),"",(INPUT!P229-INPUT!Q229)/INPUT!P229),"")</f>
        <v>-8.1300813008131235E-3</v>
      </c>
    </row>
    <row r="235" spans="1:12" ht="18" hidden="1" customHeight="1" x14ac:dyDescent="0.2">
      <c r="A235" s="11">
        <f>IF(INPUT!M230="","",INPUT!M230)</f>
        <v>45882</v>
      </c>
      <c r="B235" s="11">
        <f>IF(INPUT!M230="","",INPUT!M230-WEEKDAY(INPUT!M230,2)+1)</f>
        <v>45880</v>
      </c>
      <c r="C235" s="20">
        <f>IFERROR(_xlfn.ISOWEEKNUM(INPUT!M230),"")</f>
        <v>33</v>
      </c>
      <c r="D235" s="20">
        <f>IFERROR(YEAR(INPUT!M230),"")</f>
        <v>2025</v>
      </c>
      <c r="E235" t="str">
        <f>IF(INPUT!O230="","",INPUT!O230)</f>
        <v>RUBIO</v>
      </c>
      <c r="F235" t="str">
        <f>IF(INPUT!N230="","",INPUT!N230)</f>
        <v>T</v>
      </c>
      <c r="G235" t="str" cm="1">
        <f t="array" ref="G235">IFERROR(VLOOKUP(INPUT!M230&amp;INPUT!N230,CHOOSE({1,2},INPUT!$A$3:$A$5000&amp;INPUT!$C$3:$C$5000,INPUT!$F$3:$F$5000),2,FALSE),"")</f>
        <v>PRE-TEMPORADA</v>
      </c>
      <c r="H235" t="str" cm="1">
        <f t="array" ref="H235">IFERROR(VLOOKUP(INPUT!M230&amp;INPUT!N230,CHOOSE({1,2},INPUT!$A$3:$A$5000&amp;INPUT!$C$3:$C$5000,INPUT!$D$3:$D$5000),2,FALSE),"")</f>
        <v>TEC-TAC</v>
      </c>
      <c r="I235" s="46">
        <f>IF(INPUT!P230="","",INPUT!P230)</f>
        <v>74.900000000000006</v>
      </c>
      <c r="J235" s="46">
        <f>IF(INPUT!Q230="","",INPUT!Q230)</f>
        <v>74.400000000000006</v>
      </c>
      <c r="K235" s="46">
        <f>IFERROR(IF(OR(INPUT!P230="",INPUT!Q230=""),"",INPUT!P230-INPUT!Q230),"")</f>
        <v>0.5</v>
      </c>
      <c r="L235" s="48">
        <f>IFERROR(IF(OR(INPUT!P230="",INPUT!Q230="",INPUT!P230=0),"",(INPUT!P230-INPUT!Q230)/INPUT!P230),"")</f>
        <v>6.675567423230974E-3</v>
      </c>
    </row>
    <row r="236" spans="1:12" ht="18" hidden="1" customHeight="1" x14ac:dyDescent="0.2">
      <c r="A236" s="11">
        <f>IF(INPUT!M231="","",INPUT!M231)</f>
        <v>45882</v>
      </c>
      <c r="B236" s="11">
        <f>IF(INPUT!M231="","",INPUT!M231-WEEKDAY(INPUT!M231,2)+1)</f>
        <v>45880</v>
      </c>
      <c r="C236" s="20">
        <f>IFERROR(_xlfn.ISOWEEKNUM(INPUT!M231),"")</f>
        <v>33</v>
      </c>
      <c r="D236" s="20">
        <f>IFERROR(YEAR(INPUT!M231),"")</f>
        <v>2025</v>
      </c>
      <c r="E236" t="str">
        <f>IF(INPUT!O231="","",INPUT!O231)</f>
        <v>DANI</v>
      </c>
      <c r="F236" t="str">
        <f>IF(INPUT!N231="","",INPUT!N231)</f>
        <v>M</v>
      </c>
      <c r="G236" t="str" cm="1">
        <f t="array" ref="G236">IFERROR(VLOOKUP(INPUT!M231&amp;INPUT!N231,CHOOSE({1,2},INPUT!$A$3:$A$5000&amp;INPUT!$C$3:$C$5000,INPUT!$F$3:$F$5000),2,FALSE),"")</f>
        <v>PRE-TEMPORADA</v>
      </c>
      <c r="H236" t="str" cm="1">
        <f t="array" ref="H236">IFERROR(VLOOKUP(INPUT!M231&amp;INPUT!N231,CHOOSE({1,2},INPUT!$A$3:$A$5000&amp;INPUT!$C$3:$C$5000,INPUT!$D$3:$D$5000),2,FALSE),"")</f>
        <v>TEC-TAC</v>
      </c>
      <c r="I236" s="46">
        <f>IF(INPUT!P231="","",INPUT!P231)</f>
        <v>93.8</v>
      </c>
      <c r="J236" s="46">
        <f>IF(INPUT!Q231="","",INPUT!Q231)</f>
        <v>93.2</v>
      </c>
      <c r="K236" s="46">
        <f>IFERROR(IF(OR(INPUT!P231="",INPUT!Q231=""),"",INPUT!P231-INPUT!Q231),"")</f>
        <v>0.59999999999999432</v>
      </c>
      <c r="L236" s="48">
        <f>IFERROR(IF(OR(INPUT!P231="",INPUT!Q231="",INPUT!P231=0),"",(INPUT!P231-INPUT!Q231)/INPUT!P231),"")</f>
        <v>6.3965884861406641E-3</v>
      </c>
    </row>
    <row r="237" spans="1:12" ht="18" hidden="1" customHeight="1" x14ac:dyDescent="0.2">
      <c r="A237" s="11">
        <f>IF(INPUT!M232="","",INPUT!M232)</f>
        <v>45882</v>
      </c>
      <c r="B237" s="11">
        <f>IF(INPUT!M232="","",INPUT!M232-WEEKDAY(INPUT!M232,2)+1)</f>
        <v>45880</v>
      </c>
      <c r="C237" s="20">
        <f>IFERROR(_xlfn.ISOWEEKNUM(INPUT!M232),"")</f>
        <v>33</v>
      </c>
      <c r="D237" s="20">
        <f>IFERROR(YEAR(INPUT!M232),"")</f>
        <v>2025</v>
      </c>
      <c r="E237" t="str">
        <f>IF(INPUT!O232="","",INPUT!O232)</f>
        <v>DANI</v>
      </c>
      <c r="F237" t="str">
        <f>IF(INPUT!N232="","",INPUT!N232)</f>
        <v>T</v>
      </c>
      <c r="G237" t="str" cm="1">
        <f t="array" ref="G237">IFERROR(VLOOKUP(INPUT!M232&amp;INPUT!N232,CHOOSE({1,2},INPUT!$A$3:$A$5000&amp;INPUT!$C$3:$C$5000,INPUT!$F$3:$F$5000),2,FALSE),"")</f>
        <v>PRE-TEMPORADA</v>
      </c>
      <c r="H237" t="str" cm="1">
        <f t="array" ref="H237">IFERROR(VLOOKUP(INPUT!M232&amp;INPUT!N232,CHOOSE({1,2},INPUT!$A$3:$A$5000&amp;INPUT!$C$3:$C$5000,INPUT!$D$3:$D$5000),2,FALSE),"")</f>
        <v>TEC-TAC</v>
      </c>
      <c r="I237" s="46">
        <f>IF(INPUT!P232="","",INPUT!P232)</f>
        <v>94.1</v>
      </c>
      <c r="J237" s="46">
        <f>IF(INPUT!Q232="","",INPUT!Q232)</f>
        <v>93.5</v>
      </c>
      <c r="K237" s="46">
        <f>IFERROR(IF(OR(INPUT!P232="",INPUT!Q232=""),"",INPUT!P232-INPUT!Q232),"")</f>
        <v>0.59999999999999432</v>
      </c>
      <c r="L237" s="48">
        <f>IFERROR(IF(OR(INPUT!P232="",INPUT!Q232="",INPUT!P232=0),"",(INPUT!P232-INPUT!Q232)/INPUT!P232),"")</f>
        <v>6.3761955366630641E-3</v>
      </c>
    </row>
    <row r="238" spans="1:12" ht="18" hidden="1" customHeight="1" x14ac:dyDescent="0.2">
      <c r="A238" s="11">
        <f>IF(INPUT!M233="","",INPUT!M233)</f>
        <v>45882</v>
      </c>
      <c r="B238" s="11">
        <f>IF(INPUT!M233="","",INPUT!M233-WEEKDAY(INPUT!M233,2)+1)</f>
        <v>45880</v>
      </c>
      <c r="C238" s="20">
        <f>IFERROR(_xlfn.ISOWEEKNUM(INPUT!M233),"")</f>
        <v>33</v>
      </c>
      <c r="D238" s="20">
        <f>IFERROR(YEAR(INPUT!M233),"")</f>
        <v>2025</v>
      </c>
      <c r="E238" t="str">
        <f>IF(INPUT!O233="","",INPUT!O233)</f>
        <v>JAIME</v>
      </c>
      <c r="F238" t="str">
        <f>IF(INPUT!N233="","",INPUT!N233)</f>
        <v>M</v>
      </c>
      <c r="G238" t="str" cm="1">
        <f t="array" ref="G238">IFERROR(VLOOKUP(INPUT!M233&amp;INPUT!N233,CHOOSE({1,2},INPUT!$A$3:$A$5000&amp;INPUT!$C$3:$C$5000,INPUT!$F$3:$F$5000),2,FALSE),"")</f>
        <v>PRE-TEMPORADA</v>
      </c>
      <c r="H238" t="str" cm="1">
        <f t="array" ref="H238">IFERROR(VLOOKUP(INPUT!M233&amp;INPUT!N233,CHOOSE({1,2},INPUT!$A$3:$A$5000&amp;INPUT!$C$3:$C$5000,INPUT!$D$3:$D$5000),2,FALSE),"")</f>
        <v>TEC-TAC</v>
      </c>
      <c r="I238" s="46">
        <f>IF(INPUT!P233="","",INPUT!P233)</f>
        <v>76.099999999999994</v>
      </c>
      <c r="J238" s="46">
        <f>IF(INPUT!Q233="","",INPUT!Q233)</f>
        <v>75.5</v>
      </c>
      <c r="K238" s="46">
        <f>IFERROR(IF(OR(INPUT!P233="",INPUT!Q233=""),"",INPUT!P233-INPUT!Q233),"")</f>
        <v>0.59999999999999432</v>
      </c>
      <c r="L238" s="48">
        <f>IFERROR(IF(OR(INPUT!P233="",INPUT!Q233="",INPUT!P233=0),"",(INPUT!P233-INPUT!Q233)/INPUT!P233),"")</f>
        <v>7.8843626806832379E-3</v>
      </c>
    </row>
    <row r="239" spans="1:12" ht="18" customHeight="1" x14ac:dyDescent="0.2">
      <c r="A239" s="11">
        <f>IF(INPUT!M234="","",INPUT!M234)</f>
        <v>45882</v>
      </c>
      <c r="B239" s="11">
        <f>IF(INPUT!M234="","",INPUT!M234-WEEKDAY(INPUT!M234,2)+1)</f>
        <v>45880</v>
      </c>
      <c r="C239" s="20">
        <f>IFERROR(_xlfn.ISOWEEKNUM(INPUT!M234),"")</f>
        <v>33</v>
      </c>
      <c r="D239" s="20">
        <f>IFERROR(YEAR(INPUT!M234),"")</f>
        <v>2025</v>
      </c>
      <c r="E239" t="str">
        <f>IF(INPUT!O234="","",INPUT!O234)</f>
        <v>JAIME</v>
      </c>
      <c r="F239" t="str">
        <f>IF(INPUT!N234="","",INPUT!N234)</f>
        <v>T</v>
      </c>
      <c r="G239" t="str" cm="1">
        <f t="array" ref="G239">IFERROR(VLOOKUP(INPUT!M234&amp;INPUT!N234,CHOOSE({1,2},INPUT!$A$3:$A$5000&amp;INPUT!$C$3:$C$5000,INPUT!$F$3:$F$5000),2,FALSE),"")</f>
        <v>PRE-TEMPORADA</v>
      </c>
      <c r="H239" t="str" cm="1">
        <f t="array" ref="H239">IFERROR(VLOOKUP(INPUT!M234&amp;INPUT!N234,CHOOSE({1,2},INPUT!$A$3:$A$5000&amp;INPUT!$C$3:$C$5000,INPUT!$D$3:$D$5000),2,FALSE),"")</f>
        <v>TEC-TAC</v>
      </c>
      <c r="I239" s="46">
        <f>IF(INPUT!P234="","",INPUT!P234)</f>
        <v>75.599999999999994</v>
      </c>
      <c r="J239" s="46">
        <f>IF(INPUT!Q234="","",INPUT!Q234)</f>
        <v>74.5</v>
      </c>
      <c r="K239" s="46">
        <f>IFERROR(IF(OR(INPUT!P234="",INPUT!Q234=""),"",INPUT!P234-INPUT!Q234),"")</f>
        <v>1.0999999999999943</v>
      </c>
      <c r="L239" s="48">
        <f>IFERROR(IF(OR(INPUT!P234="",INPUT!Q234="",INPUT!P234=0),"",(INPUT!P234-INPUT!Q234)/INPUT!P234),"")</f>
        <v>1.4550264550264477E-2</v>
      </c>
    </row>
    <row r="240" spans="1:12" ht="18" customHeight="1" x14ac:dyDescent="0.2">
      <c r="A240" s="11">
        <f>IF(INPUT!M235="","",INPUT!M235)</f>
        <v>45883</v>
      </c>
      <c r="B240" s="11">
        <f>IF(INPUT!M235="","",INPUT!M235-WEEKDAY(INPUT!M235,2)+1)</f>
        <v>45880</v>
      </c>
      <c r="C240" s="20">
        <f>IFERROR(_xlfn.ISOWEEKNUM(INPUT!M235),"")</f>
        <v>33</v>
      </c>
      <c r="D240" s="20">
        <f>IFERROR(YEAR(INPUT!M235),"")</f>
        <v>2025</v>
      </c>
      <c r="E240" t="str">
        <f>IF(INPUT!O235="","",INPUT!O235)</f>
        <v>HERRERO</v>
      </c>
      <c r="F240" t="str">
        <f>IF(INPUT!N235="","",INPUT!N235)</f>
        <v>M</v>
      </c>
      <c r="G240" t="str" cm="1">
        <f t="array" ref="G240">IFERROR(VLOOKUP(INPUT!M235&amp;INPUT!N235,CHOOSE({1,2},INPUT!$A$3:$A$5000&amp;INPUT!$C$3:$C$5000,INPUT!$F$3:$F$5000),2,FALSE),"")</f>
        <v>PRE-TEMPORADA</v>
      </c>
      <c r="H240" t="str" cm="1">
        <f t="array" ref="H240">IFERROR(VLOOKUP(INPUT!M235&amp;INPUT!N235,CHOOSE({1,2},INPUT!$A$3:$A$5000&amp;INPUT!$C$3:$C$5000,INPUT!$D$3:$D$5000),2,FALSE),"")</f>
        <v>GYM+TEC-TAC</v>
      </c>
      <c r="I240" s="46">
        <f>IF(INPUT!P235="","",INPUT!P235)</f>
        <v>77</v>
      </c>
      <c r="J240" s="46">
        <f>IF(INPUT!Q235="","",INPUT!Q235)</f>
        <v>76</v>
      </c>
      <c r="K240" s="46">
        <f>IFERROR(IF(OR(INPUT!P235="",INPUT!Q235=""),"",INPUT!P235-INPUT!Q235),"")</f>
        <v>1</v>
      </c>
      <c r="L240" s="48">
        <f>IFERROR(IF(OR(INPUT!P235="",INPUT!Q235="",INPUT!P235=0),"",(INPUT!P235-INPUT!Q235)/INPUT!P235),"")</f>
        <v>1.2987012987012988E-2</v>
      </c>
    </row>
    <row r="241" spans="1:12" ht="18" customHeight="1" x14ac:dyDescent="0.2">
      <c r="A241" s="11">
        <f>IF(INPUT!M236="","",INPUT!M236)</f>
        <v>45883</v>
      </c>
      <c r="B241" s="11">
        <f>IF(INPUT!M236="","",INPUT!M236-WEEKDAY(INPUT!M236,2)+1)</f>
        <v>45880</v>
      </c>
      <c r="C241" s="20">
        <f>IFERROR(_xlfn.ISOWEEKNUM(INPUT!M236),"")</f>
        <v>33</v>
      </c>
      <c r="D241" s="20">
        <f>IFERROR(YEAR(INPUT!M236),"")</f>
        <v>2025</v>
      </c>
      <c r="E241" t="str">
        <f>IF(INPUT!O236="","",INPUT!O236)</f>
        <v>GARCIA</v>
      </c>
      <c r="F241" t="str">
        <f>IF(INPUT!N236="","",INPUT!N236)</f>
        <v>M</v>
      </c>
      <c r="G241" t="str" cm="1">
        <f t="array" ref="G241">IFERROR(VLOOKUP(INPUT!M236&amp;INPUT!N236,CHOOSE({1,2},INPUT!$A$3:$A$5000&amp;INPUT!$C$3:$C$5000,INPUT!$F$3:$F$5000),2,FALSE),"")</f>
        <v>PRE-TEMPORADA</v>
      </c>
      <c r="H241" t="str" cm="1">
        <f t="array" ref="H241">IFERROR(VLOOKUP(INPUT!M236&amp;INPUT!N236,CHOOSE({1,2},INPUT!$A$3:$A$5000&amp;INPUT!$C$3:$C$5000,INPUT!$D$3:$D$5000),2,FALSE),"")</f>
        <v>GYM+TEC-TAC</v>
      </c>
      <c r="I241" s="46">
        <f>IF(INPUT!P236="","",INPUT!P236)</f>
        <v>79</v>
      </c>
      <c r="J241" s="46">
        <f>IF(INPUT!Q236="","",INPUT!Q236)</f>
        <v>78.7</v>
      </c>
      <c r="K241" s="46">
        <f>IFERROR(IF(OR(INPUT!P236="",INPUT!Q236=""),"",INPUT!P236-INPUT!Q236),"")</f>
        <v>0.29999999999999716</v>
      </c>
      <c r="L241" s="48">
        <f>IFERROR(IF(OR(INPUT!P236="",INPUT!Q236="",INPUT!P236=0),"",(INPUT!P236-INPUT!Q236)/INPUT!P236),"")</f>
        <v>3.7974683544303436E-3</v>
      </c>
    </row>
    <row r="242" spans="1:12" ht="18" customHeight="1" x14ac:dyDescent="0.2">
      <c r="A242" s="11">
        <f>IF(INPUT!M237="","",INPUT!M237)</f>
        <v>45883</v>
      </c>
      <c r="B242" s="11">
        <f>IF(INPUT!M237="","",INPUT!M237-WEEKDAY(INPUT!M237,2)+1)</f>
        <v>45880</v>
      </c>
      <c r="C242" s="20">
        <f>IFERROR(_xlfn.ISOWEEKNUM(INPUT!M237),"")</f>
        <v>33</v>
      </c>
      <c r="D242" s="20">
        <f>IFERROR(YEAR(INPUT!M237),"")</f>
        <v>2025</v>
      </c>
      <c r="E242" t="str">
        <f>IF(INPUT!O237="","",INPUT!O237)</f>
        <v>OSCAR</v>
      </c>
      <c r="F242" t="str">
        <f>IF(INPUT!N237="","",INPUT!N237)</f>
        <v>M</v>
      </c>
      <c r="G242" t="str" cm="1">
        <f t="array" ref="G242">IFERROR(VLOOKUP(INPUT!M237&amp;INPUT!N237,CHOOSE({1,2},INPUT!$A$3:$A$5000&amp;INPUT!$C$3:$C$5000,INPUT!$F$3:$F$5000),2,FALSE),"")</f>
        <v>PRE-TEMPORADA</v>
      </c>
      <c r="H242" t="str" cm="1">
        <f t="array" ref="H242">IFERROR(VLOOKUP(INPUT!M237&amp;INPUT!N237,CHOOSE({1,2},INPUT!$A$3:$A$5000&amp;INPUT!$C$3:$C$5000,INPUT!$D$3:$D$5000),2,FALSE),"")</f>
        <v>GYM+TEC-TAC</v>
      </c>
      <c r="I242" s="46">
        <f>IF(INPUT!P237="","",INPUT!P237)</f>
        <v>88.9</v>
      </c>
      <c r="J242" s="46">
        <f>IF(INPUT!Q237="","",INPUT!Q237)</f>
        <v>88.3</v>
      </c>
      <c r="K242" s="46">
        <f>IFERROR(IF(OR(INPUT!P237="",INPUT!Q237=""),"",INPUT!P237-INPUT!Q237),"")</f>
        <v>0.60000000000000853</v>
      </c>
      <c r="L242" s="48">
        <f>IFERROR(IF(OR(INPUT!P237="",INPUT!Q237="",INPUT!P237=0),"",(INPUT!P237-INPUT!Q237)/INPUT!P237),"")</f>
        <v>6.7491563554556632E-3</v>
      </c>
    </row>
    <row r="243" spans="1:12" ht="18" customHeight="1" x14ac:dyDescent="0.2">
      <c r="A243" s="11">
        <f>IF(INPUT!M238="","",INPUT!M238)</f>
        <v>45883</v>
      </c>
      <c r="B243" s="11">
        <f>IF(INPUT!M238="","",INPUT!M238-WEEKDAY(INPUT!M238,2)+1)</f>
        <v>45880</v>
      </c>
      <c r="C243" s="20">
        <f>IFERROR(_xlfn.ISOWEEKNUM(INPUT!M238),"")</f>
        <v>33</v>
      </c>
      <c r="D243" s="20">
        <f>IFERROR(YEAR(INPUT!M238),"")</f>
        <v>2025</v>
      </c>
      <c r="E243" t="str">
        <f>IF(INPUT!O238="","",INPUT!O238)</f>
        <v>CECILIO</v>
      </c>
      <c r="F243" t="str">
        <f>IF(INPUT!N238="","",INPUT!N238)</f>
        <v>M</v>
      </c>
      <c r="G243" t="str" cm="1">
        <f t="array" ref="G243">IFERROR(VLOOKUP(INPUT!M238&amp;INPUT!N238,CHOOSE({1,2},INPUT!$A$3:$A$5000&amp;INPUT!$C$3:$C$5000,INPUT!$F$3:$F$5000),2,FALSE),"")</f>
        <v>PRE-TEMPORADA</v>
      </c>
      <c r="H243" t="str" cm="1">
        <f t="array" ref="H243">IFERROR(VLOOKUP(INPUT!M238&amp;INPUT!N238,CHOOSE({1,2},INPUT!$A$3:$A$5000&amp;INPUT!$C$3:$C$5000,INPUT!$D$3:$D$5000),2,FALSE),"")</f>
        <v>GYM+TEC-TAC</v>
      </c>
      <c r="I243" s="46">
        <f>IF(INPUT!P238="","",INPUT!P238)</f>
        <v>67.900000000000006</v>
      </c>
      <c r="J243" s="46">
        <f>IF(INPUT!Q238="","",INPUT!Q238)</f>
        <v>67.8</v>
      </c>
      <c r="K243" s="46">
        <f>IFERROR(IF(OR(INPUT!P238="",INPUT!Q238=""),"",INPUT!P238-INPUT!Q238),"")</f>
        <v>0.10000000000000853</v>
      </c>
      <c r="L243" s="48">
        <f>IFERROR(IF(OR(INPUT!P238="",INPUT!Q238="",INPUT!P238=0),"",(INPUT!P238-INPUT!Q238)/INPUT!P238),"")</f>
        <v>1.4727540500737632E-3</v>
      </c>
    </row>
    <row r="244" spans="1:12" ht="18" customHeight="1" x14ac:dyDescent="0.2">
      <c r="A244" s="11">
        <f>IF(INPUT!M239="","",INPUT!M239)</f>
        <v>45883</v>
      </c>
      <c r="B244" s="11">
        <f>IF(INPUT!M239="","",INPUT!M239-WEEKDAY(INPUT!M239,2)+1)</f>
        <v>45880</v>
      </c>
      <c r="C244" s="20">
        <f>IFERROR(_xlfn.ISOWEEKNUM(INPUT!M239),"")</f>
        <v>33</v>
      </c>
      <c r="D244" s="20">
        <f>IFERROR(YEAR(INPUT!M239),"")</f>
        <v>2025</v>
      </c>
      <c r="E244" t="str">
        <f>IF(INPUT!O239="","",INPUT!O239)</f>
        <v>CHAGUINHA</v>
      </c>
      <c r="F244" t="str">
        <f>IF(INPUT!N239="","",INPUT!N239)</f>
        <v>M</v>
      </c>
      <c r="G244" t="str" cm="1">
        <f t="array" ref="G244">IFERROR(VLOOKUP(INPUT!M239&amp;INPUT!N239,CHOOSE({1,2},INPUT!$A$3:$A$5000&amp;INPUT!$C$3:$C$5000,INPUT!$F$3:$F$5000),2,FALSE),"")</f>
        <v>PRE-TEMPORADA</v>
      </c>
      <c r="H244" t="str" cm="1">
        <f t="array" ref="H244">IFERROR(VLOOKUP(INPUT!M239&amp;INPUT!N239,CHOOSE({1,2},INPUT!$A$3:$A$5000&amp;INPUT!$C$3:$C$5000,INPUT!$D$3:$D$5000),2,FALSE),"")</f>
        <v>GYM+TEC-TAC</v>
      </c>
      <c r="I244" s="46">
        <f>IF(INPUT!P239="","",INPUT!P239)</f>
        <v>69</v>
      </c>
      <c r="J244" s="46">
        <f>IF(INPUT!Q239="","",INPUT!Q239)</f>
        <v>68.7</v>
      </c>
      <c r="K244" s="46">
        <f>IFERROR(IF(OR(INPUT!P239="",INPUT!Q239=""),"",INPUT!P239-INPUT!Q239),"")</f>
        <v>0.29999999999999716</v>
      </c>
      <c r="L244" s="48">
        <f>IFERROR(IF(OR(INPUT!P239="",INPUT!Q239="",INPUT!P239=0),"",(INPUT!P239-INPUT!Q239)/INPUT!P239),"")</f>
        <v>4.3478260869564802E-3</v>
      </c>
    </row>
    <row r="245" spans="1:12" ht="18" customHeight="1" x14ac:dyDescent="0.2">
      <c r="A245" s="11">
        <f>IF(INPUT!M240="","",INPUT!M240)</f>
        <v>45883</v>
      </c>
      <c r="B245" s="11">
        <f>IF(INPUT!M240="","",INPUT!M240-WEEKDAY(INPUT!M240,2)+1)</f>
        <v>45880</v>
      </c>
      <c r="C245" s="20">
        <f>IFERROR(_xlfn.ISOWEEKNUM(INPUT!M240),"")</f>
        <v>33</v>
      </c>
      <c r="D245" s="20">
        <f>IFERROR(YEAR(INPUT!M240),"")</f>
        <v>2025</v>
      </c>
      <c r="E245" t="str">
        <f>IF(INPUT!O240="","",INPUT!O240)</f>
        <v>RAUL</v>
      </c>
      <c r="F245" t="str">
        <f>IF(INPUT!N240="","",INPUT!N240)</f>
        <v>M</v>
      </c>
      <c r="G245" t="str" cm="1">
        <f t="array" ref="G245">IFERROR(VLOOKUP(INPUT!M240&amp;INPUT!N240,CHOOSE({1,2},INPUT!$A$3:$A$5000&amp;INPUT!$C$3:$C$5000,INPUT!$F$3:$F$5000),2,FALSE),"")</f>
        <v>PRE-TEMPORADA</v>
      </c>
      <c r="H245" t="str" cm="1">
        <f t="array" ref="H245">IFERROR(VLOOKUP(INPUT!M240&amp;INPUT!N240,CHOOSE({1,2},INPUT!$A$3:$A$5000&amp;INPUT!$C$3:$C$5000,INPUT!$D$3:$D$5000),2,FALSE),"")</f>
        <v>GYM+TEC-TAC</v>
      </c>
      <c r="I245" s="46">
        <f>IF(INPUT!P240="","",INPUT!P240)</f>
        <v>80</v>
      </c>
      <c r="J245" s="46">
        <f>IF(INPUT!Q240="","",INPUT!Q240)</f>
        <v>80.099999999999994</v>
      </c>
      <c r="K245" s="46">
        <f>IFERROR(IF(OR(INPUT!P240="",INPUT!Q240=""),"",INPUT!P240-INPUT!Q240),"")</f>
        <v>-9.9999999999994316E-2</v>
      </c>
      <c r="L245" s="48">
        <f>IFERROR(IF(OR(INPUT!P240="",INPUT!Q240="",INPUT!P240=0),"",(INPUT!P240-INPUT!Q240)/INPUT!P240),"")</f>
        <v>-1.2499999999999289E-3</v>
      </c>
    </row>
    <row r="246" spans="1:12" ht="18" hidden="1" customHeight="1" x14ac:dyDescent="0.2">
      <c r="A246" s="11">
        <f>IF(INPUT!M241="","",INPUT!M241)</f>
        <v>45883</v>
      </c>
      <c r="B246" s="11">
        <f>IF(INPUT!M241="","",INPUT!M241-WEEKDAY(INPUT!M241,2)+1)</f>
        <v>45880</v>
      </c>
      <c r="C246" s="20">
        <f>IFERROR(_xlfn.ISOWEEKNUM(INPUT!M241),"")</f>
        <v>33</v>
      </c>
      <c r="D246" s="20">
        <f>IFERROR(YEAR(INPUT!M241),"")</f>
        <v>2025</v>
      </c>
      <c r="E246" t="str">
        <f>IF(INPUT!O241="","",INPUT!O241)</f>
        <v>HARRISON</v>
      </c>
      <c r="F246" t="str">
        <f>IF(INPUT!N241="","",INPUT!N241)</f>
        <v>M</v>
      </c>
      <c r="G246" t="str" cm="1">
        <f t="array" ref="G246">IFERROR(VLOOKUP(INPUT!M241&amp;INPUT!N241,CHOOSE({1,2},INPUT!$A$3:$A$5000&amp;INPUT!$C$3:$C$5000,INPUT!$F$3:$F$5000),2,FALSE),"")</f>
        <v>PRE-TEMPORADA</v>
      </c>
      <c r="H246" t="str" cm="1">
        <f t="array" ref="H246">IFERROR(VLOOKUP(INPUT!M241&amp;INPUT!N241,CHOOSE({1,2},INPUT!$A$3:$A$5000&amp;INPUT!$C$3:$C$5000,INPUT!$D$3:$D$5000),2,FALSE),"")</f>
        <v>GYM+TEC-TAC</v>
      </c>
      <c r="I246" s="46">
        <f>IF(INPUT!P241="","",INPUT!P241)</f>
        <v>71.599999999999994</v>
      </c>
      <c r="J246" s="46">
        <f>IF(INPUT!Q241="","",INPUT!Q241)</f>
        <v>71.7</v>
      </c>
      <c r="K246" s="46">
        <f>IFERROR(IF(OR(INPUT!P241="",INPUT!Q241=""),"",INPUT!P241-INPUT!Q241),"")</f>
        <v>-0.10000000000000853</v>
      </c>
      <c r="L246" s="48">
        <f>IFERROR(IF(OR(INPUT!P241="",INPUT!Q241="",INPUT!P241=0),"",(INPUT!P241-INPUT!Q241)/INPUT!P241),"")</f>
        <v>-1.3966480446928565E-3</v>
      </c>
    </row>
    <row r="247" spans="1:12" ht="18" hidden="1" customHeight="1" x14ac:dyDescent="0.2">
      <c r="A247" s="11">
        <f>IF(INPUT!M242="","",INPUT!M242)</f>
        <v>45883</v>
      </c>
      <c r="B247" s="11">
        <f>IF(INPUT!M242="","",INPUT!M242-WEEKDAY(INPUT!M242,2)+1)</f>
        <v>45880</v>
      </c>
      <c r="C247" s="20">
        <f>IFERROR(_xlfn.ISOWEEKNUM(INPUT!M242),"")</f>
        <v>33</v>
      </c>
      <c r="D247" s="20">
        <f>IFERROR(YEAR(INPUT!M242),"")</f>
        <v>2025</v>
      </c>
      <c r="E247" t="str">
        <f>IF(INPUT!O242="","",INPUT!O242)</f>
        <v>RAYA</v>
      </c>
      <c r="F247" t="str">
        <f>IF(INPUT!N242="","",INPUT!N242)</f>
        <v>M</v>
      </c>
      <c r="G247" t="str" cm="1">
        <f t="array" ref="G247">IFERROR(VLOOKUP(INPUT!M242&amp;INPUT!N242,CHOOSE({1,2},INPUT!$A$3:$A$5000&amp;INPUT!$C$3:$C$5000,INPUT!$F$3:$F$5000),2,FALSE),"")</f>
        <v>PRE-TEMPORADA</v>
      </c>
      <c r="H247" t="str" cm="1">
        <f t="array" ref="H247">IFERROR(VLOOKUP(INPUT!M242&amp;INPUT!N242,CHOOSE({1,2},INPUT!$A$3:$A$5000&amp;INPUT!$C$3:$C$5000,INPUT!$D$3:$D$5000),2,FALSE),"")</f>
        <v>GYM+TEC-TAC</v>
      </c>
      <c r="I247" s="46">
        <f>IF(INPUT!P242="","",INPUT!P242)</f>
        <v>82.5</v>
      </c>
      <c r="J247" s="46">
        <f>IF(INPUT!Q242="","",INPUT!Q242)</f>
        <v>80.8</v>
      </c>
      <c r="K247" s="46">
        <f>IFERROR(IF(OR(INPUT!P242="",INPUT!Q242=""),"",INPUT!P242-INPUT!Q242),"")</f>
        <v>1.7000000000000028</v>
      </c>
      <c r="L247" s="48">
        <f>IFERROR(IF(OR(INPUT!P242="",INPUT!Q242="",INPUT!P242=0),"",(INPUT!P242-INPUT!Q242)/INPUT!P242),"")</f>
        <v>2.0606060606060642E-2</v>
      </c>
    </row>
    <row r="248" spans="1:12" ht="18" hidden="1" customHeight="1" x14ac:dyDescent="0.2">
      <c r="A248" s="11">
        <f>IF(INPUT!M243="","",INPUT!M243)</f>
        <v>45883</v>
      </c>
      <c r="B248" s="11">
        <f>IF(INPUT!M243="","",INPUT!M243-WEEKDAY(INPUT!M243,2)+1)</f>
        <v>45880</v>
      </c>
      <c r="C248" s="20">
        <f>IFERROR(_xlfn.ISOWEEKNUM(INPUT!M243),"")</f>
        <v>33</v>
      </c>
      <c r="D248" s="20">
        <f>IFERROR(YEAR(INPUT!M243),"")</f>
        <v>2025</v>
      </c>
      <c r="E248" t="str">
        <f>IF(INPUT!O243="","",INPUT!O243)</f>
        <v>JAVI</v>
      </c>
      <c r="F248" t="str">
        <f>IF(INPUT!N243="","",INPUT!N243)</f>
        <v>M</v>
      </c>
      <c r="G248" t="str" cm="1">
        <f t="array" ref="G248">IFERROR(VLOOKUP(INPUT!M243&amp;INPUT!N243,CHOOSE({1,2},INPUT!$A$3:$A$5000&amp;INPUT!$C$3:$C$5000,INPUT!$F$3:$F$5000),2,FALSE),"")</f>
        <v>PRE-TEMPORADA</v>
      </c>
      <c r="H248" t="str" cm="1">
        <f t="array" ref="H248">IFERROR(VLOOKUP(INPUT!M243&amp;INPUT!N243,CHOOSE({1,2},INPUT!$A$3:$A$5000&amp;INPUT!$C$3:$C$5000,INPUT!$D$3:$D$5000),2,FALSE),"")</f>
        <v>GYM+TEC-TAC</v>
      </c>
      <c r="I248" s="46">
        <f>IF(INPUT!P243="","",INPUT!P243)</f>
        <v>79.2</v>
      </c>
      <c r="J248" s="46">
        <f>IF(INPUT!Q243="","",INPUT!Q243)</f>
        <v>79.599999999999994</v>
      </c>
      <c r="K248" s="46">
        <f>IFERROR(IF(OR(INPUT!P243="",INPUT!Q243=""),"",INPUT!P243-INPUT!Q243),"")</f>
        <v>-0.39999999999999147</v>
      </c>
      <c r="L248" s="48">
        <f>IFERROR(IF(OR(INPUT!P243="",INPUT!Q243="",INPUT!P243=0),"",(INPUT!P243-INPUT!Q243)/INPUT!P243),"")</f>
        <v>-5.0505050505049425E-3</v>
      </c>
    </row>
    <row r="249" spans="1:12" ht="18" hidden="1" customHeight="1" x14ac:dyDescent="0.2">
      <c r="A249" s="11">
        <f>IF(INPUT!M244="","",INPUT!M244)</f>
        <v>45883</v>
      </c>
      <c r="B249" s="11">
        <f>IF(INPUT!M244="","",INPUT!M244-WEEKDAY(INPUT!M244,2)+1)</f>
        <v>45880</v>
      </c>
      <c r="C249" s="20">
        <f>IFERROR(_xlfn.ISOWEEKNUM(INPUT!M244),"")</f>
        <v>33</v>
      </c>
      <c r="D249" s="20">
        <f>IFERROR(YEAR(INPUT!M244),"")</f>
        <v>2025</v>
      </c>
      <c r="E249" t="str">
        <f>IF(INPUT!O244="","",INPUT!O244)</f>
        <v>PANI</v>
      </c>
      <c r="F249" t="str">
        <f>IF(INPUT!N244="","",INPUT!N244)</f>
        <v>M</v>
      </c>
      <c r="G249" t="str" cm="1">
        <f t="array" ref="G249">IFERROR(VLOOKUP(INPUT!M244&amp;INPUT!N244,CHOOSE({1,2},INPUT!$A$3:$A$5000&amp;INPUT!$C$3:$C$5000,INPUT!$F$3:$F$5000),2,FALSE),"")</f>
        <v>PRE-TEMPORADA</v>
      </c>
      <c r="H249" t="str" cm="1">
        <f t="array" ref="H249">IFERROR(VLOOKUP(INPUT!M244&amp;INPUT!N244,CHOOSE({1,2},INPUT!$A$3:$A$5000&amp;INPUT!$C$3:$C$5000,INPUT!$D$3:$D$5000),2,FALSE),"")</f>
        <v>GYM+TEC-TAC</v>
      </c>
      <c r="I249" s="46">
        <f>IF(INPUT!P244="","",INPUT!P244)</f>
        <v>70.7</v>
      </c>
      <c r="J249" s="46">
        <f>IF(INPUT!Q244="","",INPUT!Q244)</f>
        <v>70.599999999999994</v>
      </c>
      <c r="K249" s="46">
        <f>IFERROR(IF(OR(INPUT!P244="",INPUT!Q244=""),"",INPUT!P244-INPUT!Q244),"")</f>
        <v>0.10000000000000853</v>
      </c>
      <c r="L249" s="48">
        <f>IFERROR(IF(OR(INPUT!P244="",INPUT!Q244="",INPUT!P244=0),"",(INPUT!P244-INPUT!Q244)/INPUT!P244),"")</f>
        <v>1.414427157001535E-3</v>
      </c>
    </row>
    <row r="250" spans="1:12" ht="18" hidden="1" customHeight="1" x14ac:dyDescent="0.2">
      <c r="A250" s="11">
        <f>IF(INPUT!M245="","",INPUT!M245)</f>
        <v>45883</v>
      </c>
      <c r="B250" s="11">
        <f>IF(INPUT!M245="","",INPUT!M245-WEEKDAY(INPUT!M245,2)+1)</f>
        <v>45880</v>
      </c>
      <c r="C250" s="20">
        <f>IFERROR(_xlfn.ISOWEEKNUM(INPUT!M245),"")</f>
        <v>33</v>
      </c>
      <c r="D250" s="20">
        <f>IFERROR(YEAR(INPUT!M245),"")</f>
        <v>2025</v>
      </c>
      <c r="E250" t="str">
        <f>IF(INPUT!O245="","",INPUT!O245)</f>
        <v>PIRATA</v>
      </c>
      <c r="F250" t="str">
        <f>IF(INPUT!N245="","",INPUT!N245)</f>
        <v>M</v>
      </c>
      <c r="G250" t="str" cm="1">
        <f t="array" ref="G250">IFERROR(VLOOKUP(INPUT!M245&amp;INPUT!N245,CHOOSE({1,2},INPUT!$A$3:$A$5000&amp;INPUT!$C$3:$C$5000,INPUT!$F$3:$F$5000),2,FALSE),"")</f>
        <v>PRE-TEMPORADA</v>
      </c>
      <c r="H250" t="str" cm="1">
        <f t="array" ref="H250">IFERROR(VLOOKUP(INPUT!M245&amp;INPUT!N245,CHOOSE({1,2},INPUT!$A$3:$A$5000&amp;INPUT!$C$3:$C$5000,INPUT!$D$3:$D$5000),2,FALSE),"")</f>
        <v>GYM+TEC-TAC</v>
      </c>
      <c r="I250" s="46">
        <f>IF(INPUT!P245="","",INPUT!P245)</f>
        <v>75.8</v>
      </c>
      <c r="J250" s="46">
        <f>IF(INPUT!Q245="","",INPUT!Q245)</f>
        <v>75.099999999999994</v>
      </c>
      <c r="K250" s="46">
        <f>IFERROR(IF(OR(INPUT!P245="",INPUT!Q245=""),"",INPUT!P245-INPUT!Q245),"")</f>
        <v>0.70000000000000284</v>
      </c>
      <c r="L250" s="48">
        <f>IFERROR(IF(OR(INPUT!P245="",INPUT!Q245="",INPUT!P245=0),"",(INPUT!P245-INPUT!Q245)/INPUT!P245),"")</f>
        <v>9.2348284960422546E-3</v>
      </c>
    </row>
    <row r="251" spans="1:12" ht="18" hidden="1" customHeight="1" x14ac:dyDescent="0.2">
      <c r="A251" s="11">
        <f>IF(INPUT!M246="","",INPUT!M246)</f>
        <v>45883</v>
      </c>
      <c r="B251" s="11">
        <f>IF(INPUT!M246="","",INPUT!M246-WEEKDAY(INPUT!M246,2)+1)</f>
        <v>45880</v>
      </c>
      <c r="C251" s="20">
        <f>IFERROR(_xlfn.ISOWEEKNUM(INPUT!M246),"")</f>
        <v>33</v>
      </c>
      <c r="D251" s="20">
        <f>IFERROR(YEAR(INPUT!M246),"")</f>
        <v>2025</v>
      </c>
      <c r="E251" t="str">
        <f>IF(INPUT!O246="","",INPUT!O246)</f>
        <v>CARLOS</v>
      </c>
      <c r="F251" t="str">
        <f>IF(INPUT!N246="","",INPUT!N246)</f>
        <v>M</v>
      </c>
      <c r="G251" t="str" cm="1">
        <f t="array" ref="G251">IFERROR(VLOOKUP(INPUT!M246&amp;INPUT!N246,CHOOSE({1,2},INPUT!$A$3:$A$5000&amp;INPUT!$C$3:$C$5000,INPUT!$F$3:$F$5000),2,FALSE),"")</f>
        <v>PRE-TEMPORADA</v>
      </c>
      <c r="H251" t="str" cm="1">
        <f t="array" ref="H251">IFERROR(VLOOKUP(INPUT!M246&amp;INPUT!N246,CHOOSE({1,2},INPUT!$A$3:$A$5000&amp;INPUT!$C$3:$C$5000,INPUT!$D$3:$D$5000),2,FALSE),"")</f>
        <v>GYM+TEC-TAC</v>
      </c>
      <c r="I251" s="46">
        <f>IF(INPUT!P246="","",INPUT!P246)</f>
        <v>68.3</v>
      </c>
      <c r="J251" s="46">
        <f>IF(INPUT!Q246="","",INPUT!Q246)</f>
        <v>67.099999999999994</v>
      </c>
      <c r="K251" s="46">
        <f>IFERROR(IF(OR(INPUT!P246="",INPUT!Q246=""),"",INPUT!P246-INPUT!Q246),"")</f>
        <v>1.2000000000000028</v>
      </c>
      <c r="L251" s="48">
        <f>IFERROR(IF(OR(INPUT!P246="",INPUT!Q246="",INPUT!P246=0),"",(INPUT!P246-INPUT!Q246)/INPUT!P246),"")</f>
        <v>1.7569546120058607E-2</v>
      </c>
    </row>
    <row r="252" spans="1:12" ht="18" hidden="1" customHeight="1" x14ac:dyDescent="0.2">
      <c r="A252" s="11">
        <f>IF(INPUT!M247="","",INPUT!M247)</f>
        <v>45883</v>
      </c>
      <c r="B252" s="11">
        <f>IF(INPUT!M247="","",INPUT!M247-WEEKDAY(INPUT!M247,2)+1)</f>
        <v>45880</v>
      </c>
      <c r="C252" s="20">
        <f>IFERROR(_xlfn.ISOWEEKNUM(INPUT!M247),"")</f>
        <v>33</v>
      </c>
      <c r="D252" s="20">
        <f>IFERROR(YEAR(INPUT!M247),"")</f>
        <v>2025</v>
      </c>
      <c r="E252" t="str">
        <f>IF(INPUT!O247="","",INPUT!O247)</f>
        <v>GONZALO</v>
      </c>
      <c r="F252" t="str">
        <f>IF(INPUT!N247="","",INPUT!N247)</f>
        <v>M</v>
      </c>
      <c r="G252" t="str" cm="1">
        <f t="array" ref="G252">IFERROR(VLOOKUP(INPUT!M247&amp;INPUT!N247,CHOOSE({1,2},INPUT!$A$3:$A$5000&amp;INPUT!$C$3:$C$5000,INPUT!$F$3:$F$5000),2,FALSE),"")</f>
        <v>PRE-TEMPORADA</v>
      </c>
      <c r="H252" t="str" cm="1">
        <f t="array" ref="H252">IFERROR(VLOOKUP(INPUT!M247&amp;INPUT!N247,CHOOSE({1,2},INPUT!$A$3:$A$5000&amp;INPUT!$C$3:$C$5000,INPUT!$D$3:$D$5000),2,FALSE),"")</f>
        <v>GYM+TEC-TAC</v>
      </c>
      <c r="I252" s="46">
        <f>IF(INPUT!P247="","",INPUT!P247)</f>
        <v>85.1</v>
      </c>
      <c r="J252" s="46">
        <f>IF(INPUT!Q247="","",INPUT!Q247)</f>
        <v>85.6</v>
      </c>
      <c r="K252" s="46">
        <f>IFERROR(IF(OR(INPUT!P247="",INPUT!Q247=""),"",INPUT!P247-INPUT!Q247),"")</f>
        <v>-0.5</v>
      </c>
      <c r="L252" s="48">
        <f>IFERROR(IF(OR(INPUT!P247="",INPUT!Q247="",INPUT!P247=0),"",(INPUT!P247-INPUT!Q247)/INPUT!P247),"")</f>
        <v>-5.8754406580493537E-3</v>
      </c>
    </row>
    <row r="253" spans="1:12" ht="18" hidden="1" customHeight="1" x14ac:dyDescent="0.2">
      <c r="A253" s="11">
        <f>IF(INPUT!M248="","",INPUT!M248)</f>
        <v>45883</v>
      </c>
      <c r="B253" s="11">
        <f>IF(INPUT!M248="","",INPUT!M248-WEEKDAY(INPUT!M248,2)+1)</f>
        <v>45880</v>
      </c>
      <c r="C253" s="20">
        <f>IFERROR(_xlfn.ISOWEEKNUM(INPUT!M248),"")</f>
        <v>33</v>
      </c>
      <c r="D253" s="20">
        <f>IFERROR(YEAR(INPUT!M248),"")</f>
        <v>2025</v>
      </c>
      <c r="E253" t="str">
        <f>IF(INPUT!O248="","",INPUT!O248)</f>
        <v>RUBIO</v>
      </c>
      <c r="F253" t="str">
        <f>IF(INPUT!N248="","",INPUT!N248)</f>
        <v>M</v>
      </c>
      <c r="G253" t="str" cm="1">
        <f t="array" ref="G253">IFERROR(VLOOKUP(INPUT!M248&amp;INPUT!N248,CHOOSE({1,2},INPUT!$A$3:$A$5000&amp;INPUT!$C$3:$C$5000,INPUT!$F$3:$F$5000),2,FALSE),"")</f>
        <v>PRE-TEMPORADA</v>
      </c>
      <c r="H253" t="str" cm="1">
        <f t="array" ref="H253">IFERROR(VLOOKUP(INPUT!M248&amp;INPUT!N248,CHOOSE({1,2},INPUT!$A$3:$A$5000&amp;INPUT!$C$3:$C$5000,INPUT!$D$3:$D$5000),2,FALSE),"")</f>
        <v>GYM+TEC-TAC</v>
      </c>
      <c r="I253" s="46">
        <f>IF(INPUT!P248="","",INPUT!P248)</f>
        <v>75.2</v>
      </c>
      <c r="J253" s="46">
        <f>IF(INPUT!Q248="","",INPUT!Q248)</f>
        <v>75.400000000000006</v>
      </c>
      <c r="K253" s="46">
        <f>IFERROR(IF(OR(INPUT!P248="",INPUT!Q248=""),"",INPUT!P248-INPUT!Q248),"")</f>
        <v>-0.20000000000000284</v>
      </c>
      <c r="L253" s="48">
        <f>IFERROR(IF(OR(INPUT!P248="",INPUT!Q248="",INPUT!P248=0),"",(INPUT!P248-INPUT!Q248)/INPUT!P248),"")</f>
        <v>-2.659574468085144E-3</v>
      </c>
    </row>
    <row r="254" spans="1:12" ht="18" hidden="1" customHeight="1" x14ac:dyDescent="0.2">
      <c r="A254" s="11">
        <f>IF(INPUT!M249="","",INPUT!M249)</f>
        <v>45883</v>
      </c>
      <c r="B254" s="11">
        <f>IF(INPUT!M249="","",INPUT!M249-WEEKDAY(INPUT!M249,2)+1)</f>
        <v>45880</v>
      </c>
      <c r="C254" s="20">
        <f>IFERROR(_xlfn.ISOWEEKNUM(INPUT!M249),"")</f>
        <v>33</v>
      </c>
      <c r="D254" s="20">
        <f>IFERROR(YEAR(INPUT!M249),"")</f>
        <v>2025</v>
      </c>
      <c r="E254" t="str">
        <f>IF(INPUT!O249="","",INPUT!O249)</f>
        <v>DANI</v>
      </c>
      <c r="F254" t="str">
        <f>IF(INPUT!N249="","",INPUT!N249)</f>
        <v>M</v>
      </c>
      <c r="G254" t="str" cm="1">
        <f t="array" ref="G254">IFERROR(VLOOKUP(INPUT!M249&amp;INPUT!N249,CHOOSE({1,2},INPUT!$A$3:$A$5000&amp;INPUT!$C$3:$C$5000,INPUT!$F$3:$F$5000),2,FALSE),"")</f>
        <v>PRE-TEMPORADA</v>
      </c>
      <c r="H254" t="str" cm="1">
        <f t="array" ref="H254">IFERROR(VLOOKUP(INPUT!M249&amp;INPUT!N249,CHOOSE({1,2},INPUT!$A$3:$A$5000&amp;INPUT!$C$3:$C$5000,INPUT!$D$3:$D$5000),2,FALSE),"")</f>
        <v>GYM+TEC-TAC</v>
      </c>
      <c r="I254" s="46">
        <f>IF(INPUT!P249="","",INPUT!P249)</f>
        <v>94</v>
      </c>
      <c r="J254" s="46">
        <f>IF(INPUT!Q249="","",INPUT!Q249)</f>
        <v>93.2</v>
      </c>
      <c r="K254" s="46">
        <f>IFERROR(IF(OR(INPUT!P249="",INPUT!Q249=""),"",INPUT!P249-INPUT!Q249),"")</f>
        <v>0.79999999999999716</v>
      </c>
      <c r="L254" s="48">
        <f>IFERROR(IF(OR(INPUT!P249="",INPUT!Q249="",INPUT!P249=0),"",(INPUT!P249-INPUT!Q249)/INPUT!P249),"")</f>
        <v>8.5106382978723093E-3</v>
      </c>
    </row>
    <row r="255" spans="1:12" ht="18" hidden="1" customHeight="1" x14ac:dyDescent="0.2">
      <c r="A255" s="11">
        <f>IF(INPUT!M250="","",INPUT!M250)</f>
        <v>45883</v>
      </c>
      <c r="B255" s="11">
        <f>IF(INPUT!M250="","",INPUT!M250-WEEKDAY(INPUT!M250,2)+1)</f>
        <v>45880</v>
      </c>
      <c r="C255" s="20">
        <f>IFERROR(_xlfn.ISOWEEKNUM(INPUT!M250),"")</f>
        <v>33</v>
      </c>
      <c r="D255" s="20">
        <f>IFERROR(YEAR(INPUT!M250),"")</f>
        <v>2025</v>
      </c>
      <c r="E255" t="str">
        <f>IF(INPUT!O250="","",INPUT!O250)</f>
        <v>JAIME</v>
      </c>
      <c r="F255" t="str">
        <f>IF(INPUT!N250="","",INPUT!N250)</f>
        <v>M</v>
      </c>
      <c r="G255" t="str" cm="1">
        <f t="array" ref="G255">IFERROR(VLOOKUP(INPUT!M250&amp;INPUT!N250,CHOOSE({1,2},INPUT!$A$3:$A$5000&amp;INPUT!$C$3:$C$5000,INPUT!$F$3:$F$5000),2,FALSE),"")</f>
        <v>PRE-TEMPORADA</v>
      </c>
      <c r="H255" t="str" cm="1">
        <f t="array" ref="H255">IFERROR(VLOOKUP(INPUT!M250&amp;INPUT!N250,CHOOSE({1,2},INPUT!$A$3:$A$5000&amp;INPUT!$C$3:$C$5000,INPUT!$D$3:$D$5000),2,FALSE),"")</f>
        <v>GYM+TEC-TAC</v>
      </c>
      <c r="I255" s="46">
        <f>IF(INPUT!P250="","",INPUT!P250)</f>
        <v>75.2</v>
      </c>
      <c r="J255" s="46">
        <f>IF(INPUT!Q250="","",INPUT!Q250)</f>
        <v>75.3</v>
      </c>
      <c r="K255" s="46">
        <f>IFERROR(IF(OR(INPUT!P250="",INPUT!Q250=""),"",INPUT!P250-INPUT!Q250),"")</f>
        <v>-9.9999999999994316E-2</v>
      </c>
      <c r="L255" s="48">
        <f>IFERROR(IF(OR(INPUT!P250="",INPUT!Q250="",INPUT!P250=0),"",(INPUT!P250-INPUT!Q250)/INPUT!P250),"")</f>
        <v>-1.3297872340424775E-3</v>
      </c>
    </row>
    <row r="256" spans="1:12" ht="18" hidden="1" customHeight="1" x14ac:dyDescent="0.2">
      <c r="A256" s="11">
        <f>IF(INPUT!M251="","",INPUT!M251)</f>
        <v>45884</v>
      </c>
      <c r="B256" s="11">
        <f>IF(INPUT!M251="","",INPUT!M251-WEEKDAY(INPUT!M251,2)+1)</f>
        <v>45880</v>
      </c>
      <c r="C256" s="20">
        <f>IFERROR(_xlfn.ISOWEEKNUM(INPUT!M251),"")</f>
        <v>33</v>
      </c>
      <c r="D256" s="20">
        <f>IFERROR(YEAR(INPUT!M251),"")</f>
        <v>2025</v>
      </c>
      <c r="E256" t="str">
        <f>IF(INPUT!O251="","",INPUT!O251)</f>
        <v>HERRERO</v>
      </c>
      <c r="F256" t="str">
        <f>IF(INPUT!N251="","",INPUT!N251)</f>
        <v>M</v>
      </c>
      <c r="G256" t="str" cm="1">
        <f t="array" ref="G256">IFERROR(VLOOKUP(INPUT!M251&amp;INPUT!N251,CHOOSE({1,2},INPUT!$A$3:$A$5000&amp;INPUT!$C$3:$C$5000,INPUT!$F$3:$F$5000),2,FALSE),"")</f>
        <v>PRE-TEMPORADA</v>
      </c>
      <c r="H256" t="str" cm="1">
        <f t="array" ref="H256">IFERROR(VLOOKUP(INPUT!M251&amp;INPUT!N251,CHOOSE({1,2},INPUT!$A$3:$A$5000&amp;INPUT!$C$3:$C$5000,INPUT!$D$3:$D$5000),2,FALSE),"")</f>
        <v>TEC-TAC</v>
      </c>
      <c r="I256" s="46">
        <f>IF(INPUT!P251="","",INPUT!P251)</f>
        <v>76.8</v>
      </c>
      <c r="J256" s="46">
        <f>IF(INPUT!Q251="","",INPUT!Q251)</f>
        <v>75.900000000000006</v>
      </c>
      <c r="K256" s="46">
        <f>IFERROR(IF(OR(INPUT!P251="",INPUT!Q251=""),"",INPUT!P251-INPUT!Q251),"")</f>
        <v>0.89999999999999147</v>
      </c>
      <c r="L256" s="48">
        <f>IFERROR(IF(OR(INPUT!P251="",INPUT!Q251="",INPUT!P251=0),"",(INPUT!P251-INPUT!Q251)/INPUT!P251),"")</f>
        <v>1.1718749999999889E-2</v>
      </c>
    </row>
    <row r="257" spans="1:12" ht="18" hidden="1" customHeight="1" x14ac:dyDescent="0.2">
      <c r="A257" s="11">
        <f>IF(INPUT!M252="","",INPUT!M252)</f>
        <v>45884</v>
      </c>
      <c r="B257" s="11">
        <f>IF(INPUT!M252="","",INPUT!M252-WEEKDAY(INPUT!M252,2)+1)</f>
        <v>45880</v>
      </c>
      <c r="C257" s="20">
        <f>IFERROR(_xlfn.ISOWEEKNUM(INPUT!M252),"")</f>
        <v>33</v>
      </c>
      <c r="D257" s="20">
        <f>IFERROR(YEAR(INPUT!M252),"")</f>
        <v>2025</v>
      </c>
      <c r="E257" t="str">
        <f>IF(INPUT!O252="","",INPUT!O252)</f>
        <v>HERRERO</v>
      </c>
      <c r="F257" t="str">
        <f>IF(INPUT!N252="","",INPUT!N252)</f>
        <v>T</v>
      </c>
      <c r="G257" t="str" cm="1">
        <f t="array" ref="G257">IFERROR(VLOOKUP(INPUT!M252&amp;INPUT!N252,CHOOSE({1,2},INPUT!$A$3:$A$5000&amp;INPUT!$C$3:$C$5000,INPUT!$F$3:$F$5000),2,FALSE),"")</f>
        <v>PRE-TEMPORADA</v>
      </c>
      <c r="H257" t="str" cm="1">
        <f t="array" ref="H257">IFERROR(VLOOKUP(INPUT!M252&amp;INPUT!N252,CHOOSE({1,2},INPUT!$A$3:$A$5000&amp;INPUT!$C$3:$C$5000,INPUT!$D$3:$D$5000),2,FALSE),"")</f>
        <v>PARTIDO</v>
      </c>
      <c r="I257" s="46">
        <f>IF(INPUT!P252="","",INPUT!P252)</f>
        <v>77</v>
      </c>
      <c r="J257" s="46">
        <f>IF(INPUT!Q252="","",INPUT!Q252)</f>
        <v>75.8</v>
      </c>
      <c r="K257" s="46">
        <f>IFERROR(IF(OR(INPUT!P252="",INPUT!Q252=""),"",INPUT!P252-INPUT!Q252),"")</f>
        <v>1.2000000000000028</v>
      </c>
      <c r="L257" s="48">
        <f>IFERROR(IF(OR(INPUT!P252="",INPUT!Q252="",INPUT!P252=0),"",(INPUT!P252-INPUT!Q252)/INPUT!P252),"")</f>
        <v>1.5584415584415621E-2</v>
      </c>
    </row>
    <row r="258" spans="1:12" ht="18" hidden="1" customHeight="1" x14ac:dyDescent="0.2">
      <c r="A258" s="11">
        <f>IF(INPUT!M253="","",INPUT!M253)</f>
        <v>45884</v>
      </c>
      <c r="B258" s="11">
        <f>IF(INPUT!M253="","",INPUT!M253-WEEKDAY(INPUT!M253,2)+1)</f>
        <v>45880</v>
      </c>
      <c r="C258" s="20">
        <f>IFERROR(_xlfn.ISOWEEKNUM(INPUT!M253),"")</f>
        <v>33</v>
      </c>
      <c r="D258" s="20">
        <f>IFERROR(YEAR(INPUT!M253),"")</f>
        <v>2025</v>
      </c>
      <c r="E258" t="str">
        <f>IF(INPUT!O253="","",INPUT!O253)</f>
        <v>GARCIA</v>
      </c>
      <c r="F258" t="str">
        <f>IF(INPUT!N253="","",INPUT!N253)</f>
        <v>M</v>
      </c>
      <c r="G258" t="str" cm="1">
        <f t="array" ref="G258">IFERROR(VLOOKUP(INPUT!M253&amp;INPUT!N253,CHOOSE({1,2},INPUT!$A$3:$A$5000&amp;INPUT!$C$3:$C$5000,INPUT!$F$3:$F$5000),2,FALSE),"")</f>
        <v>PRE-TEMPORADA</v>
      </c>
      <c r="H258" t="str" cm="1">
        <f t="array" ref="H258">IFERROR(VLOOKUP(INPUT!M253&amp;INPUT!N253,CHOOSE({1,2},INPUT!$A$3:$A$5000&amp;INPUT!$C$3:$C$5000,INPUT!$D$3:$D$5000),2,FALSE),"")</f>
        <v>TEC-TAC</v>
      </c>
      <c r="I258" s="46">
        <f>IF(INPUT!P253="","",INPUT!P253)</f>
        <v>79.2</v>
      </c>
      <c r="J258" s="46">
        <f>IF(INPUT!Q253="","",INPUT!Q253)</f>
        <v>78.900000000000006</v>
      </c>
      <c r="K258" s="46">
        <f>IFERROR(IF(OR(INPUT!P253="",INPUT!Q253=""),"",INPUT!P253-INPUT!Q253),"")</f>
        <v>0.29999999999999716</v>
      </c>
      <c r="L258" s="48">
        <f>IFERROR(IF(OR(INPUT!P253="",INPUT!Q253="",INPUT!P253=0),"",(INPUT!P253-INPUT!Q253)/INPUT!P253),"")</f>
        <v>3.787878787878752E-3</v>
      </c>
    </row>
    <row r="259" spans="1:12" ht="18" hidden="1" customHeight="1" x14ac:dyDescent="0.2">
      <c r="A259" s="11">
        <f>IF(INPUT!M254="","",INPUT!M254)</f>
        <v>45884</v>
      </c>
      <c r="B259" s="11">
        <f>IF(INPUT!M254="","",INPUT!M254-WEEKDAY(INPUT!M254,2)+1)</f>
        <v>45880</v>
      </c>
      <c r="C259" s="20">
        <f>IFERROR(_xlfn.ISOWEEKNUM(INPUT!M254),"")</f>
        <v>33</v>
      </c>
      <c r="D259" s="20">
        <f>IFERROR(YEAR(INPUT!M254),"")</f>
        <v>2025</v>
      </c>
      <c r="E259" t="str">
        <f>IF(INPUT!O254="","",INPUT!O254)</f>
        <v>GARCIA</v>
      </c>
      <c r="F259" t="str">
        <f>IF(INPUT!N254="","",INPUT!N254)</f>
        <v>T</v>
      </c>
      <c r="G259" t="str" cm="1">
        <f t="array" ref="G259">IFERROR(VLOOKUP(INPUT!M254&amp;INPUT!N254,CHOOSE({1,2},INPUT!$A$3:$A$5000&amp;INPUT!$C$3:$C$5000,INPUT!$F$3:$F$5000),2,FALSE),"")</f>
        <v>PRE-TEMPORADA</v>
      </c>
      <c r="H259" t="str" cm="1">
        <f t="array" ref="H259">IFERROR(VLOOKUP(INPUT!M254&amp;INPUT!N254,CHOOSE({1,2},INPUT!$A$3:$A$5000&amp;INPUT!$C$3:$C$5000,INPUT!$D$3:$D$5000),2,FALSE),"")</f>
        <v>PARTIDO</v>
      </c>
      <c r="I259" s="46">
        <f>IF(INPUT!P254="","",INPUT!P254)</f>
        <v>79.099999999999994</v>
      </c>
      <c r="J259" s="46">
        <f>IF(INPUT!Q254="","",INPUT!Q254)</f>
        <v>78.3</v>
      </c>
      <c r="K259" s="46">
        <f>IFERROR(IF(OR(INPUT!P254="",INPUT!Q254=""),"",INPUT!P254-INPUT!Q254),"")</f>
        <v>0.79999999999999716</v>
      </c>
      <c r="L259" s="48">
        <f>IFERROR(IF(OR(INPUT!P254="",INPUT!Q254="",INPUT!P254=0),"",(INPUT!P254-INPUT!Q254)/INPUT!P254),"")</f>
        <v>1.0113780025284414E-2</v>
      </c>
    </row>
    <row r="260" spans="1:12" ht="18" hidden="1" customHeight="1" x14ac:dyDescent="0.2">
      <c r="A260" s="11">
        <f>IF(INPUT!M255="","",INPUT!M255)</f>
        <v>45884</v>
      </c>
      <c r="B260" s="11">
        <f>IF(INPUT!M255="","",INPUT!M255-WEEKDAY(INPUT!M255,2)+1)</f>
        <v>45880</v>
      </c>
      <c r="C260" s="20">
        <f>IFERROR(_xlfn.ISOWEEKNUM(INPUT!M255),"")</f>
        <v>33</v>
      </c>
      <c r="D260" s="20">
        <f>IFERROR(YEAR(INPUT!M255),"")</f>
        <v>2025</v>
      </c>
      <c r="E260" t="str">
        <f>IF(INPUT!O255="","",INPUT!O255)</f>
        <v>CECILIO</v>
      </c>
      <c r="F260" t="str">
        <f>IF(INPUT!N255="","",INPUT!N255)</f>
        <v>M</v>
      </c>
      <c r="G260" t="str" cm="1">
        <f t="array" ref="G260">IFERROR(VLOOKUP(INPUT!M255&amp;INPUT!N255,CHOOSE({1,2},INPUT!$A$3:$A$5000&amp;INPUT!$C$3:$C$5000,INPUT!$F$3:$F$5000),2,FALSE),"")</f>
        <v>PRE-TEMPORADA</v>
      </c>
      <c r="H260" t="str" cm="1">
        <f t="array" ref="H260">IFERROR(VLOOKUP(INPUT!M255&amp;INPUT!N255,CHOOSE({1,2},INPUT!$A$3:$A$5000&amp;INPUT!$C$3:$C$5000,INPUT!$D$3:$D$5000),2,FALSE),"")</f>
        <v>TEC-TAC</v>
      </c>
      <c r="I260" s="46">
        <f>IF(INPUT!P255="","",INPUT!P255)</f>
        <v>68.099999999999994</v>
      </c>
      <c r="J260" s="46">
        <f>IF(INPUT!Q255="","",INPUT!Q255)</f>
        <v>68.5</v>
      </c>
      <c r="K260" s="46">
        <f>IFERROR(IF(OR(INPUT!P255="",INPUT!Q255=""),"",INPUT!P255-INPUT!Q255),"")</f>
        <v>-0.40000000000000568</v>
      </c>
      <c r="L260" s="48">
        <f>IFERROR(IF(OR(INPUT!P255="",INPUT!Q255="",INPUT!P255=0),"",(INPUT!P255-INPUT!Q255)/INPUT!P255),"")</f>
        <v>-5.8737151248165302E-3</v>
      </c>
    </row>
    <row r="261" spans="1:12" ht="18" hidden="1" customHeight="1" x14ac:dyDescent="0.2">
      <c r="A261" s="11">
        <f>IF(INPUT!M256="","",INPUT!M256)</f>
        <v>45884</v>
      </c>
      <c r="B261" s="11">
        <f>IF(INPUT!M256="","",INPUT!M256-WEEKDAY(INPUT!M256,2)+1)</f>
        <v>45880</v>
      </c>
      <c r="C261" s="20">
        <f>IFERROR(_xlfn.ISOWEEKNUM(INPUT!M256),"")</f>
        <v>33</v>
      </c>
      <c r="D261" s="20">
        <f>IFERROR(YEAR(INPUT!M256),"")</f>
        <v>2025</v>
      </c>
      <c r="E261" t="str">
        <f>IF(INPUT!O256="","",INPUT!O256)</f>
        <v>CECILIO</v>
      </c>
      <c r="F261" t="str">
        <f>IF(INPUT!N256="","",INPUT!N256)</f>
        <v>T</v>
      </c>
      <c r="G261" t="str" cm="1">
        <f t="array" ref="G261">IFERROR(VLOOKUP(INPUT!M256&amp;INPUT!N256,CHOOSE({1,2},INPUT!$A$3:$A$5000&amp;INPUT!$C$3:$C$5000,INPUT!$F$3:$F$5000),2,FALSE),"")</f>
        <v>PRE-TEMPORADA</v>
      </c>
      <c r="H261" t="str" cm="1">
        <f t="array" ref="H261">IFERROR(VLOOKUP(INPUT!M256&amp;INPUT!N256,CHOOSE({1,2},INPUT!$A$3:$A$5000&amp;INPUT!$C$3:$C$5000,INPUT!$D$3:$D$5000),2,FALSE),"")</f>
        <v>PARTIDO</v>
      </c>
      <c r="I261" s="46">
        <f>IF(INPUT!P256="","",INPUT!P256)</f>
        <v>68.5</v>
      </c>
      <c r="J261" s="46">
        <f>IF(INPUT!Q256="","",INPUT!Q256)</f>
        <v>68.599999999999994</v>
      </c>
      <c r="K261" s="46">
        <f>IFERROR(IF(OR(INPUT!P256="",INPUT!Q256=""),"",INPUT!P256-INPUT!Q256),"")</f>
        <v>-9.9999999999994316E-2</v>
      </c>
      <c r="L261" s="48">
        <f>IFERROR(IF(OR(INPUT!P256="",INPUT!Q256="",INPUT!P256=0),"",(INPUT!P256-INPUT!Q256)/INPUT!P256),"")</f>
        <v>-1.4598540145984572E-3</v>
      </c>
    </row>
    <row r="262" spans="1:12" ht="18" hidden="1" customHeight="1" x14ac:dyDescent="0.2">
      <c r="A262" s="11">
        <f>IF(INPUT!M257="","",INPUT!M257)</f>
        <v>45884</v>
      </c>
      <c r="B262" s="11">
        <f>IF(INPUT!M257="","",INPUT!M257-WEEKDAY(INPUT!M257,2)+1)</f>
        <v>45880</v>
      </c>
      <c r="C262" s="20">
        <f>IFERROR(_xlfn.ISOWEEKNUM(INPUT!M257),"")</f>
        <v>33</v>
      </c>
      <c r="D262" s="20">
        <f>IFERROR(YEAR(INPUT!M257),"")</f>
        <v>2025</v>
      </c>
      <c r="E262" t="str">
        <f>IF(INPUT!O257="","",INPUT!O257)</f>
        <v>CHAGUINHA</v>
      </c>
      <c r="F262" t="str">
        <f>IF(INPUT!N257="","",INPUT!N257)</f>
        <v>M</v>
      </c>
      <c r="G262" t="str" cm="1">
        <f t="array" ref="G262">IFERROR(VLOOKUP(INPUT!M257&amp;INPUT!N257,CHOOSE({1,2},INPUT!$A$3:$A$5000&amp;INPUT!$C$3:$C$5000,INPUT!$F$3:$F$5000),2,FALSE),"")</f>
        <v>PRE-TEMPORADA</v>
      </c>
      <c r="H262" t="str" cm="1">
        <f t="array" ref="H262">IFERROR(VLOOKUP(INPUT!M257&amp;INPUT!N257,CHOOSE({1,2},INPUT!$A$3:$A$5000&amp;INPUT!$C$3:$C$5000,INPUT!$D$3:$D$5000),2,FALSE),"")</f>
        <v>TEC-TAC</v>
      </c>
      <c r="I262" s="46">
        <f>IF(INPUT!P257="","",INPUT!P257)</f>
        <v>68.7</v>
      </c>
      <c r="J262" s="46">
        <f>IF(INPUT!Q257="","",INPUT!Q257)</f>
        <v>68.400000000000006</v>
      </c>
      <c r="K262" s="46">
        <f>IFERROR(IF(OR(INPUT!P257="",INPUT!Q257=""),"",INPUT!P257-INPUT!Q257),"")</f>
        <v>0.29999999999999716</v>
      </c>
      <c r="L262" s="48">
        <f>IFERROR(IF(OR(INPUT!P257="",INPUT!Q257="",INPUT!P257=0),"",(INPUT!P257-INPUT!Q257)/INPUT!P257),"")</f>
        <v>4.3668122270741939E-3</v>
      </c>
    </row>
    <row r="263" spans="1:12" ht="18" hidden="1" customHeight="1" x14ac:dyDescent="0.2">
      <c r="A263" s="11">
        <f>IF(INPUT!M258="","",INPUT!M258)</f>
        <v>45884</v>
      </c>
      <c r="B263" s="11">
        <f>IF(INPUT!M258="","",INPUT!M258-WEEKDAY(INPUT!M258,2)+1)</f>
        <v>45880</v>
      </c>
      <c r="C263" s="20">
        <f>IFERROR(_xlfn.ISOWEEKNUM(INPUT!M258),"")</f>
        <v>33</v>
      </c>
      <c r="D263" s="20">
        <f>IFERROR(YEAR(INPUT!M258),"")</f>
        <v>2025</v>
      </c>
      <c r="E263" t="str">
        <f>IF(INPUT!O258="","",INPUT!O258)</f>
        <v>CHAGUINHA</v>
      </c>
      <c r="F263" t="str">
        <f>IF(INPUT!N258="","",INPUT!N258)</f>
        <v>T</v>
      </c>
      <c r="G263" t="str" cm="1">
        <f t="array" ref="G263">IFERROR(VLOOKUP(INPUT!M258&amp;INPUT!N258,CHOOSE({1,2},INPUT!$A$3:$A$5000&amp;INPUT!$C$3:$C$5000,INPUT!$F$3:$F$5000),2,FALSE),"")</f>
        <v>PRE-TEMPORADA</v>
      </c>
      <c r="H263" t="str" cm="1">
        <f t="array" ref="H263">IFERROR(VLOOKUP(INPUT!M258&amp;INPUT!N258,CHOOSE({1,2},INPUT!$A$3:$A$5000&amp;INPUT!$C$3:$C$5000,INPUT!$D$3:$D$5000),2,FALSE),"")</f>
        <v>PARTIDO</v>
      </c>
      <c r="I263" s="46">
        <f>IF(INPUT!P258="","",INPUT!P258)</f>
        <v>68.900000000000006</v>
      </c>
      <c r="J263" s="46">
        <f>IF(INPUT!Q258="","",INPUT!Q258)</f>
        <v>68.900000000000006</v>
      </c>
      <c r="K263" s="46">
        <f>IFERROR(IF(OR(INPUT!P258="",INPUT!Q258=""),"",INPUT!P258-INPUT!Q258),"")</f>
        <v>0</v>
      </c>
      <c r="L263" s="48">
        <f>IFERROR(IF(OR(INPUT!P258="",INPUT!Q258="",INPUT!P258=0),"",(INPUT!P258-INPUT!Q258)/INPUT!P258),"")</f>
        <v>0</v>
      </c>
    </row>
    <row r="264" spans="1:12" ht="18" hidden="1" customHeight="1" x14ac:dyDescent="0.2">
      <c r="A264" s="11">
        <f>IF(INPUT!M259="","",INPUT!M259)</f>
        <v>45884</v>
      </c>
      <c r="B264" s="11">
        <f>IF(INPUT!M259="","",INPUT!M259-WEEKDAY(INPUT!M259,2)+1)</f>
        <v>45880</v>
      </c>
      <c r="C264" s="20">
        <f>IFERROR(_xlfn.ISOWEEKNUM(INPUT!M259),"")</f>
        <v>33</v>
      </c>
      <c r="D264" s="20">
        <f>IFERROR(YEAR(INPUT!M259),"")</f>
        <v>2025</v>
      </c>
      <c r="E264" t="str">
        <f>IF(INPUT!O259="","",INPUT!O259)</f>
        <v>RAUL</v>
      </c>
      <c r="F264" t="str">
        <f>IF(INPUT!N259="","",INPUT!N259)</f>
        <v>M</v>
      </c>
      <c r="G264" t="str" cm="1">
        <f t="array" ref="G264">IFERROR(VLOOKUP(INPUT!M259&amp;INPUT!N259,CHOOSE({1,2},INPUT!$A$3:$A$5000&amp;INPUT!$C$3:$C$5000,INPUT!$F$3:$F$5000),2,FALSE),"")</f>
        <v>PRE-TEMPORADA</v>
      </c>
      <c r="H264" t="str" cm="1">
        <f t="array" ref="H264">IFERROR(VLOOKUP(INPUT!M259&amp;INPUT!N259,CHOOSE({1,2},INPUT!$A$3:$A$5000&amp;INPUT!$C$3:$C$5000,INPUT!$D$3:$D$5000),2,FALSE),"")</f>
        <v>TEC-TAC</v>
      </c>
      <c r="I264" s="46">
        <f>IF(INPUT!P259="","",INPUT!P259)</f>
        <v>79.099999999999994</v>
      </c>
      <c r="J264" s="46">
        <f>IF(INPUT!Q259="","",INPUT!Q259)</f>
        <v>80</v>
      </c>
      <c r="K264" s="46">
        <f>IFERROR(IF(OR(INPUT!P259="",INPUT!Q259=""),"",INPUT!P259-INPUT!Q259),"")</f>
        <v>-0.90000000000000568</v>
      </c>
      <c r="L264" s="48">
        <f>IFERROR(IF(OR(INPUT!P259="",INPUT!Q259="",INPUT!P259=0),"",(INPUT!P259-INPUT!Q259)/INPUT!P259),"")</f>
        <v>-1.1378002528445079E-2</v>
      </c>
    </row>
    <row r="265" spans="1:12" ht="18" hidden="1" customHeight="1" x14ac:dyDescent="0.2">
      <c r="A265" s="11">
        <f>IF(INPUT!M260="","",INPUT!M260)</f>
        <v>45884</v>
      </c>
      <c r="B265" s="11">
        <f>IF(INPUT!M260="","",INPUT!M260-WEEKDAY(INPUT!M260,2)+1)</f>
        <v>45880</v>
      </c>
      <c r="C265" s="20">
        <f>IFERROR(_xlfn.ISOWEEKNUM(INPUT!M260),"")</f>
        <v>33</v>
      </c>
      <c r="D265" s="20">
        <f>IFERROR(YEAR(INPUT!M260),"")</f>
        <v>2025</v>
      </c>
      <c r="E265" t="str">
        <f>IF(INPUT!O260="","",INPUT!O260)</f>
        <v>RAUL</v>
      </c>
      <c r="F265" t="str">
        <f>IF(INPUT!N260="","",INPUT!N260)</f>
        <v>T</v>
      </c>
      <c r="G265" t="str" cm="1">
        <f t="array" ref="G265">IFERROR(VLOOKUP(INPUT!M260&amp;INPUT!N260,CHOOSE({1,2},INPUT!$A$3:$A$5000&amp;INPUT!$C$3:$C$5000,INPUT!$F$3:$F$5000),2,FALSE),"")</f>
        <v>PRE-TEMPORADA</v>
      </c>
      <c r="H265" t="str" cm="1">
        <f t="array" ref="H265">IFERROR(VLOOKUP(INPUT!M260&amp;INPUT!N260,CHOOSE({1,2},INPUT!$A$3:$A$5000&amp;INPUT!$C$3:$C$5000,INPUT!$D$3:$D$5000),2,FALSE),"")</f>
        <v>PARTIDO</v>
      </c>
      <c r="I265" s="46">
        <f>IF(INPUT!P260="","",INPUT!P260)</f>
        <v>80</v>
      </c>
      <c r="J265" s="46">
        <f>IF(INPUT!Q260="","",INPUT!Q260)</f>
        <v>79</v>
      </c>
      <c r="K265" s="46">
        <f>IFERROR(IF(OR(INPUT!P260="",INPUT!Q260=""),"",INPUT!P260-INPUT!Q260),"")</f>
        <v>1</v>
      </c>
      <c r="L265" s="48">
        <f>IFERROR(IF(OR(INPUT!P260="",INPUT!Q260="",INPUT!P260=0),"",(INPUT!P260-INPUT!Q260)/INPUT!P260),"")</f>
        <v>1.2500000000000001E-2</v>
      </c>
    </row>
    <row r="266" spans="1:12" ht="18" hidden="1" customHeight="1" x14ac:dyDescent="0.2">
      <c r="A266" s="11">
        <f>IF(INPUT!M261="","",INPUT!M261)</f>
        <v>45884</v>
      </c>
      <c r="B266" s="11">
        <f>IF(INPUT!M261="","",INPUT!M261-WEEKDAY(INPUT!M261,2)+1)</f>
        <v>45880</v>
      </c>
      <c r="C266" s="20">
        <f>IFERROR(_xlfn.ISOWEEKNUM(INPUT!M261),"")</f>
        <v>33</v>
      </c>
      <c r="D266" s="20">
        <f>IFERROR(YEAR(INPUT!M261),"")</f>
        <v>2025</v>
      </c>
      <c r="E266" t="str">
        <f>IF(INPUT!O261="","",INPUT!O261)</f>
        <v>HARRISON</v>
      </c>
      <c r="F266" t="str">
        <f>IF(INPUT!N261="","",INPUT!N261)</f>
        <v>M</v>
      </c>
      <c r="G266" t="str" cm="1">
        <f t="array" ref="G266">IFERROR(VLOOKUP(INPUT!M261&amp;INPUT!N261,CHOOSE({1,2},INPUT!$A$3:$A$5000&amp;INPUT!$C$3:$C$5000,INPUT!$F$3:$F$5000),2,FALSE),"")</f>
        <v>PRE-TEMPORADA</v>
      </c>
      <c r="H266" t="str" cm="1">
        <f t="array" ref="H266">IFERROR(VLOOKUP(INPUT!M261&amp;INPUT!N261,CHOOSE({1,2},INPUT!$A$3:$A$5000&amp;INPUT!$C$3:$C$5000,INPUT!$D$3:$D$5000),2,FALSE),"")</f>
        <v>TEC-TAC</v>
      </c>
      <c r="I266" s="46">
        <f>IF(INPUT!P261="","",INPUT!P261)</f>
        <v>71</v>
      </c>
      <c r="J266" s="46">
        <f>IF(INPUT!Q261="","",INPUT!Q261)</f>
        <v>71.099999999999994</v>
      </c>
      <c r="K266" s="46">
        <f>IFERROR(IF(OR(INPUT!P261="",INPUT!Q261=""),"",INPUT!P261-INPUT!Q261),"")</f>
        <v>-9.9999999999994316E-2</v>
      </c>
      <c r="L266" s="48">
        <f>IFERROR(IF(OR(INPUT!P261="",INPUT!Q261="",INPUT!P261=0),"",(INPUT!P261-INPUT!Q261)/INPUT!P261),"")</f>
        <v>-1.408450704225272E-3</v>
      </c>
    </row>
    <row r="267" spans="1:12" ht="18" hidden="1" customHeight="1" x14ac:dyDescent="0.2">
      <c r="A267" s="11">
        <f>IF(INPUT!M262="","",INPUT!M262)</f>
        <v>45884</v>
      </c>
      <c r="B267" s="11">
        <f>IF(INPUT!M262="","",INPUT!M262-WEEKDAY(INPUT!M262,2)+1)</f>
        <v>45880</v>
      </c>
      <c r="C267" s="20">
        <f>IFERROR(_xlfn.ISOWEEKNUM(INPUT!M262),"")</f>
        <v>33</v>
      </c>
      <c r="D267" s="20">
        <f>IFERROR(YEAR(INPUT!M262),"")</f>
        <v>2025</v>
      </c>
      <c r="E267" t="str">
        <f>IF(INPUT!O262="","",INPUT!O262)</f>
        <v>HARRISON</v>
      </c>
      <c r="F267" t="str">
        <f>IF(INPUT!N262="","",INPUT!N262)</f>
        <v>T</v>
      </c>
      <c r="G267" t="str" cm="1">
        <f t="array" ref="G267">IFERROR(VLOOKUP(INPUT!M262&amp;INPUT!N262,CHOOSE({1,2},INPUT!$A$3:$A$5000&amp;INPUT!$C$3:$C$5000,INPUT!$F$3:$F$5000),2,FALSE),"")</f>
        <v>PRE-TEMPORADA</v>
      </c>
      <c r="H267" t="str" cm="1">
        <f t="array" ref="H267">IFERROR(VLOOKUP(INPUT!M262&amp;INPUT!N262,CHOOSE({1,2},INPUT!$A$3:$A$5000&amp;INPUT!$C$3:$C$5000,INPUT!$D$3:$D$5000),2,FALSE),"")</f>
        <v>PARTIDO</v>
      </c>
      <c r="I267" s="46">
        <f>IF(INPUT!P262="","",INPUT!P262)</f>
        <v>71.2</v>
      </c>
      <c r="J267" s="46">
        <f>IF(INPUT!Q262="","",INPUT!Q262)</f>
        <v>71.599999999999994</v>
      </c>
      <c r="K267" s="46">
        <f>IFERROR(IF(OR(INPUT!P262="",INPUT!Q262=""),"",INPUT!P262-INPUT!Q262),"")</f>
        <v>-0.39999999999999147</v>
      </c>
      <c r="L267" s="48">
        <f>IFERROR(IF(OR(INPUT!P262="",INPUT!Q262="",INPUT!P262=0),"",(INPUT!P262-INPUT!Q262)/INPUT!P262),"")</f>
        <v>-5.6179775280897678E-3</v>
      </c>
    </row>
    <row r="268" spans="1:12" ht="18" hidden="1" customHeight="1" x14ac:dyDescent="0.2">
      <c r="A268" s="11">
        <f>IF(INPUT!M263="","",INPUT!M263)</f>
        <v>45884</v>
      </c>
      <c r="B268" s="11">
        <f>IF(INPUT!M263="","",INPUT!M263-WEEKDAY(INPUT!M263,2)+1)</f>
        <v>45880</v>
      </c>
      <c r="C268" s="20">
        <f>IFERROR(_xlfn.ISOWEEKNUM(INPUT!M263),"")</f>
        <v>33</v>
      </c>
      <c r="D268" s="20">
        <f>IFERROR(YEAR(INPUT!M263),"")</f>
        <v>2025</v>
      </c>
      <c r="E268" t="str">
        <f>IF(INPUT!O263="","",INPUT!O263)</f>
        <v>RAYA</v>
      </c>
      <c r="F268" t="str">
        <f>IF(INPUT!N263="","",INPUT!N263)</f>
        <v>M</v>
      </c>
      <c r="G268" t="str" cm="1">
        <f t="array" ref="G268">IFERROR(VLOOKUP(INPUT!M263&amp;INPUT!N263,CHOOSE({1,2},INPUT!$A$3:$A$5000&amp;INPUT!$C$3:$C$5000,INPUT!$F$3:$F$5000),2,FALSE),"")</f>
        <v>PRE-TEMPORADA</v>
      </c>
      <c r="H268" t="str" cm="1">
        <f t="array" ref="H268">IFERROR(VLOOKUP(INPUT!M263&amp;INPUT!N263,CHOOSE({1,2},INPUT!$A$3:$A$5000&amp;INPUT!$C$3:$C$5000,INPUT!$D$3:$D$5000),2,FALSE),"")</f>
        <v>TEC-TAC</v>
      </c>
      <c r="I268" s="46">
        <f>IF(INPUT!P263="","",INPUT!P263)</f>
        <v>81.900000000000006</v>
      </c>
      <c r="J268" s="46">
        <f>IF(INPUT!Q263="","",INPUT!Q263)</f>
        <v>80.8</v>
      </c>
      <c r="K268" s="46">
        <f>IFERROR(IF(OR(INPUT!P263="",INPUT!Q263=""),"",INPUT!P263-INPUT!Q263),"")</f>
        <v>1.1000000000000085</v>
      </c>
      <c r="L268" s="48">
        <f>IFERROR(IF(OR(INPUT!P263="",INPUT!Q263="",INPUT!P263=0),"",(INPUT!P263-INPUT!Q263)/INPUT!P263),"")</f>
        <v>1.3431013431013534E-2</v>
      </c>
    </row>
    <row r="269" spans="1:12" ht="18" hidden="1" customHeight="1" x14ac:dyDescent="0.2">
      <c r="A269" s="11">
        <f>IF(INPUT!M264="","",INPUT!M264)</f>
        <v>45884</v>
      </c>
      <c r="B269" s="11">
        <f>IF(INPUT!M264="","",INPUT!M264-WEEKDAY(INPUT!M264,2)+1)</f>
        <v>45880</v>
      </c>
      <c r="C269" s="20">
        <f>IFERROR(_xlfn.ISOWEEKNUM(INPUT!M264),"")</f>
        <v>33</v>
      </c>
      <c r="D269" s="20">
        <f>IFERROR(YEAR(INPUT!M264),"")</f>
        <v>2025</v>
      </c>
      <c r="E269" t="str">
        <f>IF(INPUT!O264="","",INPUT!O264)</f>
        <v>RAYA</v>
      </c>
      <c r="F269" t="str">
        <f>IF(INPUT!N264="","",INPUT!N264)</f>
        <v>T</v>
      </c>
      <c r="G269" t="str" cm="1">
        <f t="array" ref="G269">IFERROR(VLOOKUP(INPUT!M264&amp;INPUT!N264,CHOOSE({1,2},INPUT!$A$3:$A$5000&amp;INPUT!$C$3:$C$5000,INPUT!$F$3:$F$5000),2,FALSE),"")</f>
        <v>PRE-TEMPORADA</v>
      </c>
      <c r="H269" t="str" cm="1">
        <f t="array" ref="H269">IFERROR(VLOOKUP(INPUT!M264&amp;INPUT!N264,CHOOSE({1,2},INPUT!$A$3:$A$5000&amp;INPUT!$C$3:$C$5000,INPUT!$D$3:$D$5000),2,FALSE),"")</f>
        <v>PARTIDO</v>
      </c>
      <c r="I269" s="46">
        <f>IF(INPUT!P264="","",INPUT!P264)</f>
        <v>82.4</v>
      </c>
      <c r="J269" s="46">
        <f>IF(INPUT!Q264="","",INPUT!Q264)</f>
        <v>80.599999999999994</v>
      </c>
      <c r="K269" s="46">
        <f>IFERROR(IF(OR(INPUT!P264="",INPUT!Q264=""),"",INPUT!P264-INPUT!Q264),"")</f>
        <v>1.8000000000000114</v>
      </c>
      <c r="L269" s="48">
        <f>IFERROR(IF(OR(INPUT!P264="",INPUT!Q264="",INPUT!P264=0),"",(INPUT!P264-INPUT!Q264)/INPUT!P264),"")</f>
        <v>2.1844660194174893E-2</v>
      </c>
    </row>
    <row r="270" spans="1:12" ht="18" hidden="1" customHeight="1" x14ac:dyDescent="0.2">
      <c r="A270" s="11">
        <f>IF(INPUT!M265="","",INPUT!M265)</f>
        <v>45884</v>
      </c>
      <c r="B270" s="11">
        <f>IF(INPUT!M265="","",INPUT!M265-WEEKDAY(INPUT!M265,2)+1)</f>
        <v>45880</v>
      </c>
      <c r="C270" s="20">
        <f>IFERROR(_xlfn.ISOWEEKNUM(INPUT!M265),"")</f>
        <v>33</v>
      </c>
      <c r="D270" s="20">
        <f>IFERROR(YEAR(INPUT!M265),"")</f>
        <v>2025</v>
      </c>
      <c r="E270" t="str">
        <f>IF(INPUT!O265="","",INPUT!O265)</f>
        <v>JAVI</v>
      </c>
      <c r="F270" t="str">
        <f>IF(INPUT!N265="","",INPUT!N265)</f>
        <v>M</v>
      </c>
      <c r="G270" t="str" cm="1">
        <f t="array" ref="G270">IFERROR(VLOOKUP(INPUT!M265&amp;INPUT!N265,CHOOSE({1,2},INPUT!$A$3:$A$5000&amp;INPUT!$C$3:$C$5000,INPUT!$F$3:$F$5000),2,FALSE),"")</f>
        <v>PRE-TEMPORADA</v>
      </c>
      <c r="H270" t="str" cm="1">
        <f t="array" ref="H270">IFERROR(VLOOKUP(INPUT!M265&amp;INPUT!N265,CHOOSE({1,2},INPUT!$A$3:$A$5000&amp;INPUT!$C$3:$C$5000,INPUT!$D$3:$D$5000),2,FALSE),"")</f>
        <v>TEC-TAC</v>
      </c>
      <c r="I270" s="46">
        <f>IF(INPUT!P265="","",INPUT!P265)</f>
        <v>78.400000000000006</v>
      </c>
      <c r="J270" s="46">
        <f>IF(INPUT!Q265="","",INPUT!Q265)</f>
        <v>78.599999999999994</v>
      </c>
      <c r="K270" s="46">
        <f>IFERROR(IF(OR(INPUT!P265="",INPUT!Q265=""),"",INPUT!P265-INPUT!Q265),"")</f>
        <v>-0.19999999999998863</v>
      </c>
      <c r="L270" s="48">
        <f>IFERROR(IF(OR(INPUT!P265="",INPUT!Q265="",INPUT!P265=0),"",(INPUT!P265-INPUT!Q265)/INPUT!P265),"")</f>
        <v>-2.5510204081631203E-3</v>
      </c>
    </row>
    <row r="271" spans="1:12" ht="18" hidden="1" customHeight="1" x14ac:dyDescent="0.2">
      <c r="A271" s="11">
        <f>IF(INPUT!M266="","",INPUT!M266)</f>
        <v>45884</v>
      </c>
      <c r="B271" s="11">
        <f>IF(INPUT!M266="","",INPUT!M266-WEEKDAY(INPUT!M266,2)+1)</f>
        <v>45880</v>
      </c>
      <c r="C271" s="20">
        <f>IFERROR(_xlfn.ISOWEEKNUM(INPUT!M266),"")</f>
        <v>33</v>
      </c>
      <c r="D271" s="20">
        <f>IFERROR(YEAR(INPUT!M266),"")</f>
        <v>2025</v>
      </c>
      <c r="E271" t="str">
        <f>IF(INPUT!O266="","",INPUT!O266)</f>
        <v>PANI</v>
      </c>
      <c r="F271" t="str">
        <f>IF(INPUT!N266="","",INPUT!N266)</f>
        <v>M</v>
      </c>
      <c r="G271" t="str" cm="1">
        <f t="array" ref="G271">IFERROR(VLOOKUP(INPUT!M266&amp;INPUT!N266,CHOOSE({1,2},INPUT!$A$3:$A$5000&amp;INPUT!$C$3:$C$5000,INPUT!$F$3:$F$5000),2,FALSE),"")</f>
        <v>PRE-TEMPORADA</v>
      </c>
      <c r="H271" t="str" cm="1">
        <f t="array" ref="H271">IFERROR(VLOOKUP(INPUT!M266&amp;INPUT!N266,CHOOSE({1,2},INPUT!$A$3:$A$5000&amp;INPUT!$C$3:$C$5000,INPUT!$D$3:$D$5000),2,FALSE),"")</f>
        <v>TEC-TAC</v>
      </c>
      <c r="I271" s="46">
        <f>IF(INPUT!P266="","",INPUT!P266)</f>
        <v>70.5</v>
      </c>
      <c r="J271" s="46">
        <f>IF(INPUT!Q266="","",INPUT!Q266)</f>
        <v>70.3</v>
      </c>
      <c r="K271" s="46">
        <f>IFERROR(IF(OR(INPUT!P266="",INPUT!Q266=""),"",INPUT!P266-INPUT!Q266),"")</f>
        <v>0.20000000000000284</v>
      </c>
      <c r="L271" s="48">
        <f>IFERROR(IF(OR(INPUT!P266="",INPUT!Q266="",INPUT!P266=0),"",(INPUT!P266-INPUT!Q266)/INPUT!P266),"")</f>
        <v>2.836879432624154E-3</v>
      </c>
    </row>
    <row r="272" spans="1:12" ht="18" hidden="1" customHeight="1" x14ac:dyDescent="0.2">
      <c r="A272" s="11">
        <f>IF(INPUT!M267="","",INPUT!M267)</f>
        <v>45884</v>
      </c>
      <c r="B272" s="11">
        <f>IF(INPUT!M267="","",INPUT!M267-WEEKDAY(INPUT!M267,2)+1)</f>
        <v>45880</v>
      </c>
      <c r="C272" s="20">
        <f>IFERROR(_xlfn.ISOWEEKNUM(INPUT!M267),"")</f>
        <v>33</v>
      </c>
      <c r="D272" s="20">
        <f>IFERROR(YEAR(INPUT!M267),"")</f>
        <v>2025</v>
      </c>
      <c r="E272" t="str">
        <f>IF(INPUT!O267="","",INPUT!O267)</f>
        <v>PANI</v>
      </c>
      <c r="F272" t="str">
        <f>IF(INPUT!N267="","",INPUT!N267)</f>
        <v>T</v>
      </c>
      <c r="G272" t="str" cm="1">
        <f t="array" ref="G272">IFERROR(VLOOKUP(INPUT!M267&amp;INPUT!N267,CHOOSE({1,2},INPUT!$A$3:$A$5000&amp;INPUT!$C$3:$C$5000,INPUT!$F$3:$F$5000),2,FALSE),"")</f>
        <v>PRE-TEMPORADA</v>
      </c>
      <c r="H272" t="str" cm="1">
        <f t="array" ref="H272">IFERROR(VLOOKUP(INPUT!M267&amp;INPUT!N267,CHOOSE({1,2},INPUT!$A$3:$A$5000&amp;INPUT!$C$3:$C$5000,INPUT!$D$3:$D$5000),2,FALSE),"")</f>
        <v>PARTIDO</v>
      </c>
      <c r="I272" s="46">
        <f>IF(INPUT!P267="","",INPUT!P267)</f>
        <v>70.900000000000006</v>
      </c>
      <c r="J272" s="46">
        <f>IF(INPUT!Q267="","",INPUT!Q267)</f>
        <v>69.8</v>
      </c>
      <c r="K272" s="46">
        <f>IFERROR(IF(OR(INPUT!P267="",INPUT!Q267=""),"",INPUT!P267-INPUT!Q267),"")</f>
        <v>1.1000000000000085</v>
      </c>
      <c r="L272" s="48">
        <f>IFERROR(IF(OR(INPUT!P267="",INPUT!Q267="",INPUT!P267=0),"",(INPUT!P267-INPUT!Q267)/INPUT!P267),"")</f>
        <v>1.5514809590973322E-2</v>
      </c>
    </row>
    <row r="273" spans="1:12" ht="18" hidden="1" customHeight="1" x14ac:dyDescent="0.2">
      <c r="A273" s="11">
        <f>IF(INPUT!M268="","",INPUT!M268)</f>
        <v>45884</v>
      </c>
      <c r="B273" s="11">
        <f>IF(INPUT!M268="","",INPUT!M268-WEEKDAY(INPUT!M268,2)+1)</f>
        <v>45880</v>
      </c>
      <c r="C273" s="20">
        <f>IFERROR(_xlfn.ISOWEEKNUM(INPUT!M268),"")</f>
        <v>33</v>
      </c>
      <c r="D273" s="20">
        <f>IFERROR(YEAR(INPUT!M268),"")</f>
        <v>2025</v>
      </c>
      <c r="E273" t="str">
        <f>IF(INPUT!O268="","",INPUT!O268)</f>
        <v>PIRATA</v>
      </c>
      <c r="F273" t="str">
        <f>IF(INPUT!N268="","",INPUT!N268)</f>
        <v>M</v>
      </c>
      <c r="G273" t="str" cm="1">
        <f t="array" ref="G273">IFERROR(VLOOKUP(INPUT!M268&amp;INPUT!N268,CHOOSE({1,2},INPUT!$A$3:$A$5000&amp;INPUT!$C$3:$C$5000,INPUT!$F$3:$F$5000),2,FALSE),"")</f>
        <v>PRE-TEMPORADA</v>
      </c>
      <c r="H273" t="str" cm="1">
        <f t="array" ref="H273">IFERROR(VLOOKUP(INPUT!M268&amp;INPUT!N268,CHOOSE({1,2},INPUT!$A$3:$A$5000&amp;INPUT!$C$3:$C$5000,INPUT!$D$3:$D$5000),2,FALSE),"")</f>
        <v>TEC-TAC</v>
      </c>
      <c r="I273" s="46">
        <f>IF(INPUT!P268="","",INPUT!P268)</f>
        <v>75</v>
      </c>
      <c r="J273" s="46">
        <f>IF(INPUT!Q268="","",INPUT!Q268)</f>
        <v>75</v>
      </c>
      <c r="K273" s="46">
        <f>IFERROR(IF(OR(INPUT!P268="",INPUT!Q268=""),"",INPUT!P268-INPUT!Q268),"")</f>
        <v>0</v>
      </c>
      <c r="L273" s="48">
        <f>IFERROR(IF(OR(INPUT!P268="",INPUT!Q268="",INPUT!P268=0),"",(INPUT!P268-INPUT!Q268)/INPUT!P268),"")</f>
        <v>0</v>
      </c>
    </row>
    <row r="274" spans="1:12" ht="18" hidden="1" customHeight="1" x14ac:dyDescent="0.2">
      <c r="A274" s="11">
        <f>IF(INPUT!M269="","",INPUT!M269)</f>
        <v>45884</v>
      </c>
      <c r="B274" s="11">
        <f>IF(INPUT!M269="","",INPUT!M269-WEEKDAY(INPUT!M269,2)+1)</f>
        <v>45880</v>
      </c>
      <c r="C274" s="20">
        <f>IFERROR(_xlfn.ISOWEEKNUM(INPUT!M269),"")</f>
        <v>33</v>
      </c>
      <c r="D274" s="20">
        <f>IFERROR(YEAR(INPUT!M269),"")</f>
        <v>2025</v>
      </c>
      <c r="E274" t="str">
        <f>IF(INPUT!O269="","",INPUT!O269)</f>
        <v>PIRATA</v>
      </c>
      <c r="F274" t="str">
        <f>IF(INPUT!N269="","",INPUT!N269)</f>
        <v>T</v>
      </c>
      <c r="G274" t="str" cm="1">
        <f t="array" ref="G274">IFERROR(VLOOKUP(INPUT!M269&amp;INPUT!N269,CHOOSE({1,2},INPUT!$A$3:$A$5000&amp;INPUT!$C$3:$C$5000,INPUT!$F$3:$F$5000),2,FALSE),"")</f>
        <v>PRE-TEMPORADA</v>
      </c>
      <c r="H274" t="str" cm="1">
        <f t="array" ref="H274">IFERROR(VLOOKUP(INPUT!M269&amp;INPUT!N269,CHOOSE({1,2},INPUT!$A$3:$A$5000&amp;INPUT!$C$3:$C$5000,INPUT!$D$3:$D$5000),2,FALSE),"")</f>
        <v>PARTIDO</v>
      </c>
      <c r="I274" s="46">
        <f>IF(INPUT!P269="","",INPUT!P269)</f>
        <v>75.5</v>
      </c>
      <c r="J274" s="46">
        <f>IF(INPUT!Q269="","",INPUT!Q269)</f>
        <v>74.8</v>
      </c>
      <c r="K274" s="46">
        <f>IFERROR(IF(OR(INPUT!P269="",INPUT!Q269=""),"",INPUT!P269-INPUT!Q269),"")</f>
        <v>0.70000000000000284</v>
      </c>
      <c r="L274" s="48">
        <f>IFERROR(IF(OR(INPUT!P269="",INPUT!Q269="",INPUT!P269=0),"",(INPUT!P269-INPUT!Q269)/INPUT!P269),"")</f>
        <v>9.2715231788079843E-3</v>
      </c>
    </row>
    <row r="275" spans="1:12" ht="18" hidden="1" customHeight="1" x14ac:dyDescent="0.2">
      <c r="A275" s="11">
        <f>IF(INPUT!M270="","",INPUT!M270)</f>
        <v>45884</v>
      </c>
      <c r="B275" s="11">
        <f>IF(INPUT!M270="","",INPUT!M270-WEEKDAY(INPUT!M270,2)+1)</f>
        <v>45880</v>
      </c>
      <c r="C275" s="20">
        <f>IFERROR(_xlfn.ISOWEEKNUM(INPUT!M270),"")</f>
        <v>33</v>
      </c>
      <c r="D275" s="20">
        <f>IFERROR(YEAR(INPUT!M270),"")</f>
        <v>2025</v>
      </c>
      <c r="E275" t="str">
        <f>IF(INPUT!O270="","",INPUT!O270)</f>
        <v>BARONA</v>
      </c>
      <c r="F275" t="str">
        <f>IF(INPUT!N270="","",INPUT!N270)</f>
        <v>M</v>
      </c>
      <c r="G275" t="str" cm="1">
        <f t="array" ref="G275">IFERROR(VLOOKUP(INPUT!M270&amp;INPUT!N270,CHOOSE({1,2},INPUT!$A$3:$A$5000&amp;INPUT!$C$3:$C$5000,INPUT!$F$3:$F$5000),2,FALSE),"")</f>
        <v>PRE-TEMPORADA</v>
      </c>
      <c r="H275" t="str" cm="1">
        <f t="array" ref="H275">IFERROR(VLOOKUP(INPUT!M270&amp;INPUT!N270,CHOOSE({1,2},INPUT!$A$3:$A$5000&amp;INPUT!$C$3:$C$5000,INPUT!$D$3:$D$5000),2,FALSE),"")</f>
        <v>TEC-TAC</v>
      </c>
      <c r="I275" s="46">
        <f>IF(INPUT!P270="","",INPUT!P270)</f>
        <v>70</v>
      </c>
      <c r="J275" s="46">
        <f>IF(INPUT!Q270="","",INPUT!Q270)</f>
        <v>70</v>
      </c>
      <c r="K275" s="46">
        <f>IFERROR(IF(OR(INPUT!P270="",INPUT!Q270=""),"",INPUT!P270-INPUT!Q270),"")</f>
        <v>0</v>
      </c>
      <c r="L275" s="48">
        <f>IFERROR(IF(OR(INPUT!P270="",INPUT!Q270="",INPUT!P270=0),"",(INPUT!P270-INPUT!Q270)/INPUT!P270),"")</f>
        <v>0</v>
      </c>
    </row>
    <row r="276" spans="1:12" ht="18" hidden="1" customHeight="1" x14ac:dyDescent="0.2">
      <c r="A276" s="11">
        <f>IF(INPUT!M271="","",INPUT!M271)</f>
        <v>45884</v>
      </c>
      <c r="B276" s="11">
        <f>IF(INPUT!M271="","",INPUT!M271-WEEKDAY(INPUT!M271,2)+1)</f>
        <v>45880</v>
      </c>
      <c r="C276" s="20">
        <f>IFERROR(_xlfn.ISOWEEKNUM(INPUT!M271),"")</f>
        <v>33</v>
      </c>
      <c r="D276" s="20">
        <f>IFERROR(YEAR(INPUT!M271),"")</f>
        <v>2025</v>
      </c>
      <c r="E276" t="str">
        <f>IF(INPUT!O271="","",INPUT!O271)</f>
        <v>BARONA</v>
      </c>
      <c r="F276" t="str">
        <f>IF(INPUT!N271="","",INPUT!N271)</f>
        <v>T</v>
      </c>
      <c r="G276" t="str" cm="1">
        <f t="array" ref="G276">IFERROR(VLOOKUP(INPUT!M271&amp;INPUT!N271,CHOOSE({1,2},INPUT!$A$3:$A$5000&amp;INPUT!$C$3:$C$5000,INPUT!$F$3:$F$5000),2,FALSE),"")</f>
        <v>PRE-TEMPORADA</v>
      </c>
      <c r="H276" t="str" cm="1">
        <f t="array" ref="H276">IFERROR(VLOOKUP(INPUT!M271&amp;INPUT!N271,CHOOSE({1,2},INPUT!$A$3:$A$5000&amp;INPUT!$C$3:$C$5000,INPUT!$D$3:$D$5000),2,FALSE),"")</f>
        <v>PARTIDO</v>
      </c>
      <c r="I276" s="46">
        <f>IF(INPUT!P271="","",INPUT!P271)</f>
        <v>70</v>
      </c>
      <c r="J276" s="46">
        <f>IF(INPUT!Q271="","",INPUT!Q271)</f>
        <v>70</v>
      </c>
      <c r="K276" s="46">
        <f>IFERROR(IF(OR(INPUT!P271="",INPUT!Q271=""),"",INPUT!P271-INPUT!Q271),"")</f>
        <v>0</v>
      </c>
      <c r="L276" s="48">
        <f>IFERROR(IF(OR(INPUT!P271="",INPUT!Q271="",INPUT!P271=0),"",(INPUT!P271-INPUT!Q271)/INPUT!P271),"")</f>
        <v>0</v>
      </c>
    </row>
    <row r="277" spans="1:12" ht="18" hidden="1" customHeight="1" x14ac:dyDescent="0.2">
      <c r="A277" s="11">
        <f>IF(INPUT!M272="","",INPUT!M272)</f>
        <v>45884</v>
      </c>
      <c r="B277" s="11">
        <f>IF(INPUT!M272="","",INPUT!M272-WEEKDAY(INPUT!M272,2)+1)</f>
        <v>45880</v>
      </c>
      <c r="C277" s="20">
        <f>IFERROR(_xlfn.ISOWEEKNUM(INPUT!M272),"")</f>
        <v>33</v>
      </c>
      <c r="D277" s="20">
        <f>IFERROR(YEAR(INPUT!M272),"")</f>
        <v>2025</v>
      </c>
      <c r="E277" t="str">
        <f>IF(INPUT!O272="","",INPUT!O272)</f>
        <v>CARLOS</v>
      </c>
      <c r="F277" t="str">
        <f>IF(INPUT!N272="","",INPUT!N272)</f>
        <v>M</v>
      </c>
      <c r="G277" t="str" cm="1">
        <f t="array" ref="G277">IFERROR(VLOOKUP(INPUT!M272&amp;INPUT!N272,CHOOSE({1,2},INPUT!$A$3:$A$5000&amp;INPUT!$C$3:$C$5000,INPUT!$F$3:$F$5000),2,FALSE),"")</f>
        <v>PRE-TEMPORADA</v>
      </c>
      <c r="H277" t="str" cm="1">
        <f t="array" ref="H277">IFERROR(VLOOKUP(INPUT!M272&amp;INPUT!N272,CHOOSE({1,2},INPUT!$A$3:$A$5000&amp;INPUT!$C$3:$C$5000,INPUT!$D$3:$D$5000),2,FALSE),"")</f>
        <v>TEC-TAC</v>
      </c>
      <c r="I277" s="46">
        <f>IF(INPUT!P272="","",INPUT!P272)</f>
        <v>67.900000000000006</v>
      </c>
      <c r="J277" s="46">
        <f>IF(INPUT!Q272="","",INPUT!Q272)</f>
        <v>67.3</v>
      </c>
      <c r="K277" s="46">
        <f>IFERROR(IF(OR(INPUT!P272="",INPUT!Q272=""),"",INPUT!P272-INPUT!Q272),"")</f>
        <v>0.60000000000000853</v>
      </c>
      <c r="L277" s="48">
        <f>IFERROR(IF(OR(INPUT!P272="",INPUT!Q272="",INPUT!P272=0),"",(INPUT!P272-INPUT!Q272)/INPUT!P272),"")</f>
        <v>8.8365243004419509E-3</v>
      </c>
    </row>
    <row r="278" spans="1:12" ht="18" hidden="1" customHeight="1" x14ac:dyDescent="0.2">
      <c r="A278" s="11">
        <f>IF(INPUT!M273="","",INPUT!M273)</f>
        <v>45884</v>
      </c>
      <c r="B278" s="11">
        <f>IF(INPUT!M273="","",INPUT!M273-WEEKDAY(INPUT!M273,2)+1)</f>
        <v>45880</v>
      </c>
      <c r="C278" s="20">
        <f>IFERROR(_xlfn.ISOWEEKNUM(INPUT!M273),"")</f>
        <v>33</v>
      </c>
      <c r="D278" s="20">
        <f>IFERROR(YEAR(INPUT!M273),"")</f>
        <v>2025</v>
      </c>
      <c r="E278" t="str">
        <f>IF(INPUT!O273="","",INPUT!O273)</f>
        <v>CARLOS</v>
      </c>
      <c r="F278" t="str">
        <f>IF(INPUT!N273="","",INPUT!N273)</f>
        <v>T</v>
      </c>
      <c r="G278" t="str" cm="1">
        <f t="array" ref="G278">IFERROR(VLOOKUP(INPUT!M273&amp;INPUT!N273,CHOOSE({1,2},INPUT!$A$3:$A$5000&amp;INPUT!$C$3:$C$5000,INPUT!$F$3:$F$5000),2,FALSE),"")</f>
        <v>PRE-TEMPORADA</v>
      </c>
      <c r="H278" t="str" cm="1">
        <f t="array" ref="H278">IFERROR(VLOOKUP(INPUT!M273&amp;INPUT!N273,CHOOSE({1,2},INPUT!$A$3:$A$5000&amp;INPUT!$C$3:$C$5000,INPUT!$D$3:$D$5000),2,FALSE),"")</f>
        <v>PARTIDO</v>
      </c>
      <c r="I278" s="46">
        <f>IF(INPUT!P273="","",INPUT!P273)</f>
        <v>68</v>
      </c>
      <c r="J278" s="46">
        <f>IF(INPUT!Q273="","",INPUT!Q273)</f>
        <v>67.7</v>
      </c>
      <c r="K278" s="46">
        <f>IFERROR(IF(OR(INPUT!P273="",INPUT!Q273=""),"",INPUT!P273-INPUT!Q273),"")</f>
        <v>0.29999999999999716</v>
      </c>
      <c r="L278" s="48">
        <f>IFERROR(IF(OR(INPUT!P273="",INPUT!Q273="",INPUT!P273=0),"",(INPUT!P273-INPUT!Q273)/INPUT!P273),"")</f>
        <v>4.4117647058823112E-3</v>
      </c>
    </row>
    <row r="279" spans="1:12" ht="18" hidden="1" customHeight="1" x14ac:dyDescent="0.2">
      <c r="A279" s="11">
        <f>IF(INPUT!M274="","",INPUT!M274)</f>
        <v>45884</v>
      </c>
      <c r="B279" s="11">
        <f>IF(INPUT!M274="","",INPUT!M274-WEEKDAY(INPUT!M274,2)+1)</f>
        <v>45880</v>
      </c>
      <c r="C279" s="20">
        <f>IFERROR(_xlfn.ISOWEEKNUM(INPUT!M274),"")</f>
        <v>33</v>
      </c>
      <c r="D279" s="20">
        <f>IFERROR(YEAR(INPUT!M274),"")</f>
        <v>2025</v>
      </c>
      <c r="E279" t="str">
        <f>IF(INPUT!O274="","",INPUT!O274)</f>
        <v>GONZALO</v>
      </c>
      <c r="F279" t="str">
        <f>IF(INPUT!N274="","",INPUT!N274)</f>
        <v>M</v>
      </c>
      <c r="G279" t="str" cm="1">
        <f t="array" ref="G279">IFERROR(VLOOKUP(INPUT!M274&amp;INPUT!N274,CHOOSE({1,2},INPUT!$A$3:$A$5000&amp;INPUT!$C$3:$C$5000,INPUT!$F$3:$F$5000),2,FALSE),"")</f>
        <v>PRE-TEMPORADA</v>
      </c>
      <c r="H279" t="str" cm="1">
        <f t="array" ref="H279">IFERROR(VLOOKUP(INPUT!M274&amp;INPUT!N274,CHOOSE({1,2},INPUT!$A$3:$A$5000&amp;INPUT!$C$3:$C$5000,INPUT!$D$3:$D$5000),2,FALSE),"")</f>
        <v>TEC-TAC</v>
      </c>
      <c r="I279" s="46">
        <f>IF(INPUT!P274="","",INPUT!P274)</f>
        <v>85.2</v>
      </c>
      <c r="J279" s="46">
        <f>IF(INPUT!Q274="","",INPUT!Q274)</f>
        <v>85.3</v>
      </c>
      <c r="K279" s="46">
        <f>IFERROR(IF(OR(INPUT!P274="",INPUT!Q274=""),"",INPUT!P274-INPUT!Q274),"")</f>
        <v>-9.9999999999994316E-2</v>
      </c>
      <c r="L279" s="48">
        <f>IFERROR(IF(OR(INPUT!P274="",INPUT!Q274="",INPUT!P274=0),"",(INPUT!P274-INPUT!Q274)/INPUT!P274),"")</f>
        <v>-1.1737089201877267E-3</v>
      </c>
    </row>
    <row r="280" spans="1:12" ht="18" customHeight="1" x14ac:dyDescent="0.2">
      <c r="A280" s="11">
        <f>IF(INPUT!M275="","",INPUT!M275)</f>
        <v>45884</v>
      </c>
      <c r="B280" s="11">
        <f>IF(INPUT!M275="","",INPUT!M275-WEEKDAY(INPUT!M275,2)+1)</f>
        <v>45880</v>
      </c>
      <c r="C280" s="20">
        <f>IFERROR(_xlfn.ISOWEEKNUM(INPUT!M275),"")</f>
        <v>33</v>
      </c>
      <c r="D280" s="20">
        <f>IFERROR(YEAR(INPUT!M275),"")</f>
        <v>2025</v>
      </c>
      <c r="E280" t="str">
        <f>IF(INPUT!O275="","",INPUT!O275)</f>
        <v>GONZALO</v>
      </c>
      <c r="F280" t="str">
        <f>IF(INPUT!N275="","",INPUT!N275)</f>
        <v>T</v>
      </c>
      <c r="G280" t="str" cm="1">
        <f t="array" ref="G280">IFERROR(VLOOKUP(INPUT!M275&amp;INPUT!N275,CHOOSE({1,2},INPUT!$A$3:$A$5000&amp;INPUT!$C$3:$C$5000,INPUT!$F$3:$F$5000),2,FALSE),"")</f>
        <v>PRE-TEMPORADA</v>
      </c>
      <c r="H280" t="str" cm="1">
        <f t="array" ref="H280">IFERROR(VLOOKUP(INPUT!M275&amp;INPUT!N275,CHOOSE({1,2},INPUT!$A$3:$A$5000&amp;INPUT!$C$3:$C$5000,INPUT!$D$3:$D$5000),2,FALSE),"")</f>
        <v>PARTIDO</v>
      </c>
      <c r="I280" s="46">
        <f>IF(INPUT!P275="","",INPUT!P275)</f>
        <v>85.1</v>
      </c>
      <c r="J280" s="46">
        <f>IF(INPUT!Q275="","",INPUT!Q275)</f>
        <v>85</v>
      </c>
      <c r="K280" s="46">
        <f>IFERROR(IF(OR(INPUT!P275="",INPUT!Q275=""),"",INPUT!P275-INPUT!Q275),"")</f>
        <v>9.9999999999994316E-2</v>
      </c>
      <c r="L280" s="48">
        <f>IFERROR(IF(OR(INPUT!P275="",INPUT!Q275="",INPUT!P275=0),"",(INPUT!P275-INPUT!Q275)/INPUT!P275),"")</f>
        <v>1.1750881316098039E-3</v>
      </c>
    </row>
    <row r="281" spans="1:12" ht="18" customHeight="1" x14ac:dyDescent="0.2">
      <c r="A281" s="11">
        <f>IF(INPUT!M276="","",INPUT!M276)</f>
        <v>45884</v>
      </c>
      <c r="B281" s="11">
        <f>IF(INPUT!M276="","",INPUT!M276-WEEKDAY(INPUT!M276,2)+1)</f>
        <v>45880</v>
      </c>
      <c r="C281" s="20">
        <f>IFERROR(_xlfn.ISOWEEKNUM(INPUT!M276),"")</f>
        <v>33</v>
      </c>
      <c r="D281" s="20">
        <f>IFERROR(YEAR(INPUT!M276),"")</f>
        <v>2025</v>
      </c>
      <c r="E281" t="str">
        <f>IF(INPUT!O276="","",INPUT!O276)</f>
        <v>RUBIO</v>
      </c>
      <c r="F281" t="str">
        <f>IF(INPUT!N276="","",INPUT!N276)</f>
        <v>M</v>
      </c>
      <c r="G281" t="str" cm="1">
        <f t="array" ref="G281">IFERROR(VLOOKUP(INPUT!M276&amp;INPUT!N276,CHOOSE({1,2},INPUT!$A$3:$A$5000&amp;INPUT!$C$3:$C$5000,INPUT!$F$3:$F$5000),2,FALSE),"")</f>
        <v>PRE-TEMPORADA</v>
      </c>
      <c r="H281" t="str" cm="1">
        <f t="array" ref="H281">IFERROR(VLOOKUP(INPUT!M276&amp;INPUT!N276,CHOOSE({1,2},INPUT!$A$3:$A$5000&amp;INPUT!$C$3:$C$5000,INPUT!$D$3:$D$5000),2,FALSE),"")</f>
        <v>TEC-TAC</v>
      </c>
      <c r="I281" s="46">
        <f>IF(INPUT!P276="","",INPUT!P276)</f>
        <v>74.7</v>
      </c>
      <c r="J281" s="46">
        <f>IF(INPUT!Q276="","",INPUT!Q276)</f>
        <v>74.900000000000006</v>
      </c>
      <c r="K281" s="46">
        <f>IFERROR(IF(OR(INPUT!P276="",INPUT!Q276=""),"",INPUT!P276-INPUT!Q276),"")</f>
        <v>-0.20000000000000284</v>
      </c>
      <c r="L281" s="48">
        <f>IFERROR(IF(OR(INPUT!P276="",INPUT!Q276="",INPUT!P276=0),"",(INPUT!P276-INPUT!Q276)/INPUT!P276),"")</f>
        <v>-2.677376171352113E-3</v>
      </c>
    </row>
    <row r="282" spans="1:12" ht="18" customHeight="1" x14ac:dyDescent="0.2">
      <c r="A282" s="11">
        <f>IF(INPUT!M277="","",INPUT!M277)</f>
        <v>45884</v>
      </c>
      <c r="B282" s="11">
        <f>IF(INPUT!M277="","",INPUT!M277-WEEKDAY(INPUT!M277,2)+1)</f>
        <v>45880</v>
      </c>
      <c r="C282" s="20">
        <f>IFERROR(_xlfn.ISOWEEKNUM(INPUT!M277),"")</f>
        <v>33</v>
      </c>
      <c r="D282" s="20">
        <f>IFERROR(YEAR(INPUT!M277),"")</f>
        <v>2025</v>
      </c>
      <c r="E282" t="str">
        <f>IF(INPUT!O277="","",INPUT!O277)</f>
        <v>RUBIO</v>
      </c>
      <c r="F282" t="str">
        <f>IF(INPUT!N277="","",INPUT!N277)</f>
        <v>T</v>
      </c>
      <c r="G282" t="str" cm="1">
        <f t="array" ref="G282">IFERROR(VLOOKUP(INPUT!M277&amp;INPUT!N277,CHOOSE({1,2},INPUT!$A$3:$A$5000&amp;INPUT!$C$3:$C$5000,INPUT!$F$3:$F$5000),2,FALSE),"")</f>
        <v>PRE-TEMPORADA</v>
      </c>
      <c r="H282" t="str" cm="1">
        <f t="array" ref="H282">IFERROR(VLOOKUP(INPUT!M277&amp;INPUT!N277,CHOOSE({1,2},INPUT!$A$3:$A$5000&amp;INPUT!$C$3:$C$5000,INPUT!$D$3:$D$5000),2,FALSE),"")</f>
        <v>PARTIDO</v>
      </c>
      <c r="I282" s="46">
        <f>IF(INPUT!P277="","",INPUT!P277)</f>
        <v>74.8</v>
      </c>
      <c r="J282" s="46">
        <f>IF(INPUT!Q277="","",INPUT!Q277)</f>
        <v>74.8</v>
      </c>
      <c r="K282" s="46">
        <f>IFERROR(IF(OR(INPUT!P277="",INPUT!Q277=""),"",INPUT!P277-INPUT!Q277),"")</f>
        <v>0</v>
      </c>
      <c r="L282" s="48">
        <f>IFERROR(IF(OR(INPUT!P277="",INPUT!Q277="",INPUT!P277=0),"",(INPUT!P277-INPUT!Q277)/INPUT!P277),"")</f>
        <v>0</v>
      </c>
    </row>
    <row r="283" spans="1:12" ht="18" customHeight="1" x14ac:dyDescent="0.2">
      <c r="A283" s="11">
        <f>IF(INPUT!M278="","",INPUT!M278)</f>
        <v>45884</v>
      </c>
      <c r="B283" s="11">
        <f>IF(INPUT!M278="","",INPUT!M278-WEEKDAY(INPUT!M278,2)+1)</f>
        <v>45880</v>
      </c>
      <c r="C283" s="20">
        <f>IFERROR(_xlfn.ISOWEEKNUM(INPUT!M278),"")</f>
        <v>33</v>
      </c>
      <c r="D283" s="20">
        <f>IFERROR(YEAR(INPUT!M278),"")</f>
        <v>2025</v>
      </c>
      <c r="E283" t="str">
        <f>IF(INPUT!O278="","",INPUT!O278)</f>
        <v>DANI</v>
      </c>
      <c r="F283" t="str">
        <f>IF(INPUT!N278="","",INPUT!N278)</f>
        <v>M</v>
      </c>
      <c r="G283" t="str" cm="1">
        <f t="array" ref="G283">IFERROR(VLOOKUP(INPUT!M278&amp;INPUT!N278,CHOOSE({1,2},INPUT!$A$3:$A$5000&amp;INPUT!$C$3:$C$5000,INPUT!$F$3:$F$5000),2,FALSE),"")</f>
        <v>PRE-TEMPORADA</v>
      </c>
      <c r="H283" t="str" cm="1">
        <f t="array" ref="H283">IFERROR(VLOOKUP(INPUT!M278&amp;INPUT!N278,CHOOSE({1,2},INPUT!$A$3:$A$5000&amp;INPUT!$C$3:$C$5000,INPUT!$D$3:$D$5000),2,FALSE),"")</f>
        <v>TEC-TAC</v>
      </c>
      <c r="I283" s="46">
        <f>IF(INPUT!P278="","",INPUT!P278)</f>
        <v>93.7</v>
      </c>
      <c r="J283" s="46">
        <f>IF(INPUT!Q278="","",INPUT!Q278)</f>
        <v>93.5</v>
      </c>
      <c r="K283" s="46">
        <f>IFERROR(IF(OR(INPUT!P278="",INPUT!Q278=""),"",INPUT!P278-INPUT!Q278),"")</f>
        <v>0.20000000000000284</v>
      </c>
      <c r="L283" s="48">
        <f>IFERROR(IF(OR(INPUT!P278="",INPUT!Q278="",INPUT!P278=0),"",(INPUT!P278-INPUT!Q278)/INPUT!P278),"")</f>
        <v>2.1344717182497632E-3</v>
      </c>
    </row>
    <row r="284" spans="1:12" ht="18" customHeight="1" x14ac:dyDescent="0.2">
      <c r="A284" s="11">
        <f>IF(INPUT!M279="","",INPUT!M279)</f>
        <v>45884</v>
      </c>
      <c r="B284" s="11">
        <f>IF(INPUT!M279="","",INPUT!M279-WEEKDAY(INPUT!M279,2)+1)</f>
        <v>45880</v>
      </c>
      <c r="C284" s="20">
        <f>IFERROR(_xlfn.ISOWEEKNUM(INPUT!M279),"")</f>
        <v>33</v>
      </c>
      <c r="D284" s="20">
        <f>IFERROR(YEAR(INPUT!M279),"")</f>
        <v>2025</v>
      </c>
      <c r="E284" t="str">
        <f>IF(INPUT!O279="","",INPUT!O279)</f>
        <v>DANI</v>
      </c>
      <c r="F284" t="str">
        <f>IF(INPUT!N279="","",INPUT!N279)</f>
        <v>T</v>
      </c>
      <c r="G284" t="str" cm="1">
        <f t="array" ref="G284">IFERROR(VLOOKUP(INPUT!M279&amp;INPUT!N279,CHOOSE({1,2},INPUT!$A$3:$A$5000&amp;INPUT!$C$3:$C$5000,INPUT!$F$3:$F$5000),2,FALSE),"")</f>
        <v>PRE-TEMPORADA</v>
      </c>
      <c r="H284" t="str" cm="1">
        <f t="array" ref="H284">IFERROR(VLOOKUP(INPUT!M279&amp;INPUT!N279,CHOOSE({1,2},INPUT!$A$3:$A$5000&amp;INPUT!$C$3:$C$5000,INPUT!$D$3:$D$5000),2,FALSE),"")</f>
        <v>PARTIDO</v>
      </c>
      <c r="I284" s="46">
        <f>IF(INPUT!P279="","",INPUT!P279)</f>
        <v>93.9</v>
      </c>
      <c r="J284" s="46">
        <f>IF(INPUT!Q279="","",INPUT!Q279)</f>
        <v>93</v>
      </c>
      <c r="K284" s="46">
        <f>IFERROR(IF(OR(INPUT!P279="",INPUT!Q279=""),"",INPUT!P279-INPUT!Q279),"")</f>
        <v>0.90000000000000568</v>
      </c>
      <c r="L284" s="48">
        <f>IFERROR(IF(OR(INPUT!P279="",INPUT!Q279="",INPUT!P279=0),"",(INPUT!P279-INPUT!Q279)/INPUT!P279),"")</f>
        <v>9.5846645367412744E-3</v>
      </c>
    </row>
    <row r="285" spans="1:12" ht="18" customHeight="1" x14ac:dyDescent="0.2">
      <c r="A285" s="11">
        <f>IF(INPUT!M280="","",INPUT!M280)</f>
        <v>45884</v>
      </c>
      <c r="B285" s="11">
        <f>IF(INPUT!M280="","",INPUT!M280-WEEKDAY(INPUT!M280,2)+1)</f>
        <v>45880</v>
      </c>
      <c r="C285" s="20">
        <f>IFERROR(_xlfn.ISOWEEKNUM(INPUT!M280),"")</f>
        <v>33</v>
      </c>
      <c r="D285" s="20">
        <f>IFERROR(YEAR(INPUT!M280),"")</f>
        <v>2025</v>
      </c>
      <c r="E285" t="str">
        <f>IF(INPUT!O280="","",INPUT!O280)</f>
        <v>JAIME</v>
      </c>
      <c r="F285" t="str">
        <f>IF(INPUT!N280="","",INPUT!N280)</f>
        <v>M</v>
      </c>
      <c r="G285" t="str" cm="1">
        <f t="array" ref="G285">IFERROR(VLOOKUP(INPUT!M280&amp;INPUT!N280,CHOOSE({1,2},INPUT!$A$3:$A$5000&amp;INPUT!$C$3:$C$5000,INPUT!$F$3:$F$5000),2,FALSE),"")</f>
        <v>PRE-TEMPORADA</v>
      </c>
      <c r="H285" t="str" cm="1">
        <f t="array" ref="H285">IFERROR(VLOOKUP(INPUT!M280&amp;INPUT!N280,CHOOSE({1,2},INPUT!$A$3:$A$5000&amp;INPUT!$C$3:$C$5000,INPUT!$D$3:$D$5000),2,FALSE),"")</f>
        <v>TEC-TAC</v>
      </c>
      <c r="I285" s="46">
        <f>IF(INPUT!P280="","",INPUT!P280)</f>
        <v>76</v>
      </c>
      <c r="J285" s="46">
        <f>IF(INPUT!Q280="","",INPUT!Q280)</f>
        <v>74.3</v>
      </c>
      <c r="K285" s="46">
        <f>IFERROR(IF(OR(INPUT!P280="",INPUT!Q280=""),"",INPUT!P280-INPUT!Q280),"")</f>
        <v>1.7000000000000028</v>
      </c>
      <c r="L285" s="48">
        <f>IFERROR(IF(OR(INPUT!P280="",INPUT!Q280="",INPUT!P280=0),"",(INPUT!P280-INPUT!Q280)/INPUT!P280),"")</f>
        <v>2.2368421052631617E-2</v>
      </c>
    </row>
    <row r="286" spans="1:12" ht="18" customHeight="1" x14ac:dyDescent="0.2">
      <c r="A286" s="11">
        <f>IF(INPUT!M281="","",INPUT!M281)</f>
        <v>45884</v>
      </c>
      <c r="B286" s="11">
        <f>IF(INPUT!M281="","",INPUT!M281-WEEKDAY(INPUT!M281,2)+1)</f>
        <v>45880</v>
      </c>
      <c r="C286" s="20">
        <f>IFERROR(_xlfn.ISOWEEKNUM(INPUT!M281),"")</f>
        <v>33</v>
      </c>
      <c r="D286" s="20">
        <f>IFERROR(YEAR(INPUT!M281),"")</f>
        <v>2025</v>
      </c>
      <c r="E286" t="str">
        <f>IF(INPUT!O281="","",INPUT!O281)</f>
        <v>JAIME</v>
      </c>
      <c r="F286" t="str">
        <f>IF(INPUT!N281="","",INPUT!N281)</f>
        <v>T</v>
      </c>
      <c r="G286" t="str" cm="1">
        <f t="array" ref="G286">IFERROR(VLOOKUP(INPUT!M281&amp;INPUT!N281,CHOOSE({1,2},INPUT!$A$3:$A$5000&amp;INPUT!$C$3:$C$5000,INPUT!$F$3:$F$5000),2,FALSE),"")</f>
        <v>PRE-TEMPORADA</v>
      </c>
      <c r="H286" t="str" cm="1">
        <f t="array" ref="H286">IFERROR(VLOOKUP(INPUT!M281&amp;INPUT!N281,CHOOSE({1,2},INPUT!$A$3:$A$5000&amp;INPUT!$C$3:$C$5000,INPUT!$D$3:$D$5000),2,FALSE),"")</f>
        <v>PARTIDO</v>
      </c>
      <c r="I286" s="46">
        <f>IF(INPUT!P281="","",INPUT!P281)</f>
        <v>74.8</v>
      </c>
      <c r="J286" s="46">
        <f>IF(INPUT!Q281="","",INPUT!Q281)</f>
        <v>74.7</v>
      </c>
      <c r="K286" s="46">
        <f>IFERROR(IF(OR(INPUT!P281="",INPUT!Q281=""),"",INPUT!P281-INPUT!Q281),"")</f>
        <v>9.9999999999994316E-2</v>
      </c>
      <c r="L286" s="48">
        <f>IFERROR(IF(OR(INPUT!P281="",INPUT!Q281="",INPUT!P281=0),"",(INPUT!P281-INPUT!Q281)/INPUT!P281),"")</f>
        <v>1.3368983957218492E-3</v>
      </c>
    </row>
    <row r="287" spans="1:12" ht="18" hidden="1" customHeight="1" x14ac:dyDescent="0.2">
      <c r="A287" s="11">
        <f>IF(INPUT!M282="","",INPUT!M282)</f>
        <v>45887</v>
      </c>
      <c r="B287" s="11">
        <f>IF(INPUT!M282="","",INPUT!M282-WEEKDAY(INPUT!M282,2)+1)</f>
        <v>45887</v>
      </c>
      <c r="C287" s="20">
        <f>IFERROR(_xlfn.ISOWEEKNUM(INPUT!M282),"")</f>
        <v>34</v>
      </c>
      <c r="D287" s="20">
        <f>IFERROR(YEAR(INPUT!M282),"")</f>
        <v>2025</v>
      </c>
      <c r="E287" t="str">
        <f>IF(INPUT!O282="","",INPUT!O282)</f>
        <v>HERRERO</v>
      </c>
      <c r="F287" t="str">
        <f>IF(INPUT!N282="","",INPUT!N282)</f>
        <v>M</v>
      </c>
      <c r="G287" t="str" cm="1">
        <f t="array" ref="G287">IFERROR(VLOOKUP(INPUT!M282&amp;INPUT!N282,CHOOSE({1,2},INPUT!$A$3:$A$5000&amp;INPUT!$C$3:$C$5000,INPUT!$F$3:$F$5000),2,FALSE),"")</f>
        <v>PRE-TEMPORADA</v>
      </c>
      <c r="H287" t="str" cm="1">
        <f t="array" ref="H287">IFERROR(VLOOKUP(INPUT!M282&amp;INPUT!N282,CHOOSE({1,2},INPUT!$A$3:$A$5000&amp;INPUT!$C$3:$C$5000,INPUT!$D$3:$D$5000),2,FALSE),"")</f>
        <v>GYM+FISICO</v>
      </c>
      <c r="I287" s="46">
        <f>IF(INPUT!P282="","",INPUT!P282)</f>
        <v>76.8</v>
      </c>
      <c r="J287" s="46">
        <f>IF(INPUT!Q282="","",INPUT!Q282)</f>
        <v>76</v>
      </c>
      <c r="K287" s="46">
        <f>IFERROR(IF(OR(INPUT!P282="",INPUT!Q282=""),"",INPUT!P282-INPUT!Q282),"")</f>
        <v>0.79999999999999716</v>
      </c>
      <c r="L287" s="48">
        <f>IFERROR(IF(OR(INPUT!P282="",INPUT!Q282="",INPUT!P282=0),"",(INPUT!P282-INPUT!Q282)/INPUT!P282),"")</f>
        <v>1.041666666666663E-2</v>
      </c>
    </row>
    <row r="288" spans="1:12" ht="18" hidden="1" customHeight="1" x14ac:dyDescent="0.2">
      <c r="A288" s="11">
        <f>IF(INPUT!M283="","",INPUT!M283)</f>
        <v>45887</v>
      </c>
      <c r="B288" s="11">
        <f>IF(INPUT!M283="","",INPUT!M283-WEEKDAY(INPUT!M283,2)+1)</f>
        <v>45887</v>
      </c>
      <c r="C288" s="20">
        <f>IFERROR(_xlfn.ISOWEEKNUM(INPUT!M283),"")</f>
        <v>34</v>
      </c>
      <c r="D288" s="20">
        <f>IFERROR(YEAR(INPUT!M283),"")</f>
        <v>2025</v>
      </c>
      <c r="E288" t="str">
        <f>IF(INPUT!O283="","",INPUT!O283)</f>
        <v>HERRERO</v>
      </c>
      <c r="F288" t="str">
        <f>IF(INPUT!N283="","",INPUT!N283)</f>
        <v>T</v>
      </c>
      <c r="G288" t="str" cm="1">
        <f t="array" ref="G288">IFERROR(VLOOKUP(INPUT!M283&amp;INPUT!N283,CHOOSE({1,2},INPUT!$A$3:$A$5000&amp;INPUT!$C$3:$C$5000,INPUT!$F$3:$F$5000),2,FALSE),"")</f>
        <v>PRE-TEMPORADA</v>
      </c>
      <c r="H288" t="str" cm="1">
        <f t="array" ref="H288">IFERROR(VLOOKUP(INPUT!M283&amp;INPUT!N283,CHOOSE({1,2},INPUT!$A$3:$A$5000&amp;INPUT!$C$3:$C$5000,INPUT!$D$3:$D$5000),2,FALSE),"")</f>
        <v>TEC-TAC</v>
      </c>
      <c r="I288" s="46">
        <f>IF(INPUT!P283="","",INPUT!P283)</f>
        <v>77.099999999999994</v>
      </c>
      <c r="J288" s="46">
        <f>IF(INPUT!Q283="","",INPUT!Q283)</f>
        <v>76.5</v>
      </c>
      <c r="K288" s="46">
        <f>IFERROR(IF(OR(INPUT!P283="",INPUT!Q283=""),"",INPUT!P283-INPUT!Q283),"")</f>
        <v>0.59999999999999432</v>
      </c>
      <c r="L288" s="48">
        <f>IFERROR(IF(OR(INPUT!P283="",INPUT!Q283="",INPUT!P283=0),"",(INPUT!P283-INPUT!Q283)/INPUT!P283),"")</f>
        <v>7.7821011673151023E-3</v>
      </c>
    </row>
    <row r="289" spans="1:12" ht="18" hidden="1" customHeight="1" x14ac:dyDescent="0.2">
      <c r="A289" s="11">
        <f>IF(INPUT!M284="","",INPUT!M284)</f>
        <v>45887</v>
      </c>
      <c r="B289" s="11">
        <f>IF(INPUT!M284="","",INPUT!M284-WEEKDAY(INPUT!M284,2)+1)</f>
        <v>45887</v>
      </c>
      <c r="C289" s="20">
        <f>IFERROR(_xlfn.ISOWEEKNUM(INPUT!M284),"")</f>
        <v>34</v>
      </c>
      <c r="D289" s="20">
        <f>IFERROR(YEAR(INPUT!M284),"")</f>
        <v>2025</v>
      </c>
      <c r="E289" t="str">
        <f>IF(INPUT!O284="","",INPUT!O284)</f>
        <v>GARCIA</v>
      </c>
      <c r="F289" t="str">
        <f>IF(INPUT!N284="","",INPUT!N284)</f>
        <v>M</v>
      </c>
      <c r="G289" t="str" cm="1">
        <f t="array" ref="G289">IFERROR(VLOOKUP(INPUT!M284&amp;INPUT!N284,CHOOSE({1,2},INPUT!$A$3:$A$5000&amp;INPUT!$C$3:$C$5000,INPUT!$F$3:$F$5000),2,FALSE),"")</f>
        <v>PRE-TEMPORADA</v>
      </c>
      <c r="H289" t="str" cm="1">
        <f t="array" ref="H289">IFERROR(VLOOKUP(INPUT!M284&amp;INPUT!N284,CHOOSE({1,2},INPUT!$A$3:$A$5000&amp;INPUT!$C$3:$C$5000,INPUT!$D$3:$D$5000),2,FALSE),"")</f>
        <v>GYM+FISICO</v>
      </c>
      <c r="I289" s="46">
        <f>IF(INPUT!P284="","",INPUT!P284)</f>
        <v>79.400000000000006</v>
      </c>
      <c r="J289" s="46">
        <f>IF(INPUT!Q284="","",INPUT!Q284)</f>
        <v>79</v>
      </c>
      <c r="K289" s="46">
        <f>IFERROR(IF(OR(INPUT!P284="",INPUT!Q284=""),"",INPUT!P284-INPUT!Q284),"")</f>
        <v>0.40000000000000568</v>
      </c>
      <c r="L289" s="48">
        <f>IFERROR(IF(OR(INPUT!P284="",INPUT!Q284="",INPUT!P284=0),"",(INPUT!P284-INPUT!Q284)/INPUT!P284),"")</f>
        <v>5.0377833753149324E-3</v>
      </c>
    </row>
    <row r="290" spans="1:12" ht="18" hidden="1" customHeight="1" x14ac:dyDescent="0.2">
      <c r="A290" s="11">
        <f>IF(INPUT!M285="","",INPUT!M285)</f>
        <v>45887</v>
      </c>
      <c r="B290" s="11">
        <f>IF(INPUT!M285="","",INPUT!M285-WEEKDAY(INPUT!M285,2)+1)</f>
        <v>45887</v>
      </c>
      <c r="C290" s="20">
        <f>IFERROR(_xlfn.ISOWEEKNUM(INPUT!M285),"")</f>
        <v>34</v>
      </c>
      <c r="D290" s="20">
        <f>IFERROR(YEAR(INPUT!M285),"")</f>
        <v>2025</v>
      </c>
      <c r="E290" t="str">
        <f>IF(INPUT!O285="","",INPUT!O285)</f>
        <v>GARCIA</v>
      </c>
      <c r="F290" t="str">
        <f>IF(INPUT!N285="","",INPUT!N285)</f>
        <v>T</v>
      </c>
      <c r="G290" t="str" cm="1">
        <f t="array" ref="G290">IFERROR(VLOOKUP(INPUT!M285&amp;INPUT!N285,CHOOSE({1,2},INPUT!$A$3:$A$5000&amp;INPUT!$C$3:$C$5000,INPUT!$F$3:$F$5000),2,FALSE),"")</f>
        <v>PRE-TEMPORADA</v>
      </c>
      <c r="H290" t="str" cm="1">
        <f t="array" ref="H290">IFERROR(VLOOKUP(INPUT!M285&amp;INPUT!N285,CHOOSE({1,2},INPUT!$A$3:$A$5000&amp;INPUT!$C$3:$C$5000,INPUT!$D$3:$D$5000),2,FALSE),"")</f>
        <v>TEC-TAC</v>
      </c>
      <c r="I290" s="46">
        <f>IF(INPUT!P285="","",INPUT!P285)</f>
        <v>79.5</v>
      </c>
      <c r="J290" s="46">
        <f>IF(INPUT!Q285="","",INPUT!Q285)</f>
        <v>78.900000000000006</v>
      </c>
      <c r="K290" s="46">
        <f>IFERROR(IF(OR(INPUT!P285="",INPUT!Q285=""),"",INPUT!P285-INPUT!Q285),"")</f>
        <v>0.59999999999999432</v>
      </c>
      <c r="L290" s="48">
        <f>IFERROR(IF(OR(INPUT!P285="",INPUT!Q285="",INPUT!P285=0),"",(INPUT!P285-INPUT!Q285)/INPUT!P285),"")</f>
        <v>7.5471698113206828E-3</v>
      </c>
    </row>
    <row r="291" spans="1:12" ht="18" hidden="1" customHeight="1" x14ac:dyDescent="0.2">
      <c r="A291" s="11">
        <f>IF(INPUT!M286="","",INPUT!M286)</f>
        <v>45887</v>
      </c>
      <c r="B291" s="11">
        <f>IF(INPUT!M286="","",INPUT!M286-WEEKDAY(INPUT!M286,2)+1)</f>
        <v>45887</v>
      </c>
      <c r="C291" s="20">
        <f>IFERROR(_xlfn.ISOWEEKNUM(INPUT!M286),"")</f>
        <v>34</v>
      </c>
      <c r="D291" s="20">
        <f>IFERROR(YEAR(INPUT!M286),"")</f>
        <v>2025</v>
      </c>
      <c r="E291" t="str">
        <f>IF(INPUT!O286="","",INPUT!O286)</f>
        <v>OSCAR</v>
      </c>
      <c r="F291" t="str">
        <f>IF(INPUT!N286="","",INPUT!N286)</f>
        <v>M</v>
      </c>
      <c r="G291" t="str" cm="1">
        <f t="array" ref="G291">IFERROR(VLOOKUP(INPUT!M286&amp;INPUT!N286,CHOOSE({1,2},INPUT!$A$3:$A$5000&amp;INPUT!$C$3:$C$5000,INPUT!$F$3:$F$5000),2,FALSE),"")</f>
        <v>PRE-TEMPORADA</v>
      </c>
      <c r="H291" t="str" cm="1">
        <f t="array" ref="H291">IFERROR(VLOOKUP(INPUT!M286&amp;INPUT!N286,CHOOSE({1,2},INPUT!$A$3:$A$5000&amp;INPUT!$C$3:$C$5000,INPUT!$D$3:$D$5000),2,FALSE),"")</f>
        <v>GYM+FISICO</v>
      </c>
      <c r="I291" s="46">
        <f>IF(INPUT!P286="","",INPUT!P286)</f>
        <v>88.6</v>
      </c>
      <c r="J291" s="46">
        <f>IF(INPUT!Q286="","",INPUT!Q286)</f>
        <v>87.4</v>
      </c>
      <c r="K291" s="46">
        <f>IFERROR(IF(OR(INPUT!P286="",INPUT!Q286=""),"",INPUT!P286-INPUT!Q286),"")</f>
        <v>1.1999999999999886</v>
      </c>
      <c r="L291" s="48">
        <f>IFERROR(IF(OR(INPUT!P286="",INPUT!Q286="",INPUT!P286=0),"",(INPUT!P286-INPUT!Q286)/INPUT!P286),"")</f>
        <v>1.3544018058690618E-2</v>
      </c>
    </row>
    <row r="292" spans="1:12" ht="18" hidden="1" customHeight="1" x14ac:dyDescent="0.2">
      <c r="A292" s="11">
        <f>IF(INPUT!M287="","",INPUT!M287)</f>
        <v>45887</v>
      </c>
      <c r="B292" s="11">
        <f>IF(INPUT!M287="","",INPUT!M287-WEEKDAY(INPUT!M287,2)+1)</f>
        <v>45887</v>
      </c>
      <c r="C292" s="20">
        <f>IFERROR(_xlfn.ISOWEEKNUM(INPUT!M287),"")</f>
        <v>34</v>
      </c>
      <c r="D292" s="20">
        <f>IFERROR(YEAR(INPUT!M287),"")</f>
        <v>2025</v>
      </c>
      <c r="E292" t="str">
        <f>IF(INPUT!O287="","",INPUT!O287)</f>
        <v>OSCAR</v>
      </c>
      <c r="F292" t="str">
        <f>IF(INPUT!N287="","",INPUT!N287)</f>
        <v>T</v>
      </c>
      <c r="G292" t="str" cm="1">
        <f t="array" ref="G292">IFERROR(VLOOKUP(INPUT!M287&amp;INPUT!N287,CHOOSE({1,2},INPUT!$A$3:$A$5000&amp;INPUT!$C$3:$C$5000,INPUT!$F$3:$F$5000),2,FALSE),"")</f>
        <v>PRE-TEMPORADA</v>
      </c>
      <c r="H292" t="str" cm="1">
        <f t="array" ref="H292">IFERROR(VLOOKUP(INPUT!M287&amp;INPUT!N287,CHOOSE({1,2},INPUT!$A$3:$A$5000&amp;INPUT!$C$3:$C$5000,INPUT!$D$3:$D$5000),2,FALSE),"")</f>
        <v>TEC-TAC</v>
      </c>
      <c r="I292" s="46">
        <f>IF(INPUT!P287="","",INPUT!P287)</f>
        <v>89.2</v>
      </c>
      <c r="J292" s="46">
        <f>IF(INPUT!Q287="","",INPUT!Q287)</f>
        <v>88.7</v>
      </c>
      <c r="K292" s="46">
        <f>IFERROR(IF(OR(INPUT!P287="",INPUT!Q287=""),"",INPUT!P287-INPUT!Q287),"")</f>
        <v>0.5</v>
      </c>
      <c r="L292" s="48">
        <f>IFERROR(IF(OR(INPUT!P287="",INPUT!Q287="",INPUT!P287=0),"",(INPUT!P287-INPUT!Q287)/INPUT!P287),"")</f>
        <v>5.6053811659192822E-3</v>
      </c>
    </row>
    <row r="293" spans="1:12" ht="18" hidden="1" customHeight="1" x14ac:dyDescent="0.2">
      <c r="A293" s="11">
        <f>IF(INPUT!M288="","",INPUT!M288)</f>
        <v>45887</v>
      </c>
      <c r="B293" s="11">
        <f>IF(INPUT!M288="","",INPUT!M288-WEEKDAY(INPUT!M288,2)+1)</f>
        <v>45887</v>
      </c>
      <c r="C293" s="20">
        <f>IFERROR(_xlfn.ISOWEEKNUM(INPUT!M288),"")</f>
        <v>34</v>
      </c>
      <c r="D293" s="20">
        <f>IFERROR(YEAR(INPUT!M288),"")</f>
        <v>2025</v>
      </c>
      <c r="E293" t="str">
        <f>IF(INPUT!O288="","",INPUT!O288)</f>
        <v>CECILIO</v>
      </c>
      <c r="F293" t="str">
        <f>IF(INPUT!N288="","",INPUT!N288)</f>
        <v>M</v>
      </c>
      <c r="G293" t="str" cm="1">
        <f t="array" ref="G293">IFERROR(VLOOKUP(INPUT!M288&amp;INPUT!N288,CHOOSE({1,2},INPUT!$A$3:$A$5000&amp;INPUT!$C$3:$C$5000,INPUT!$F$3:$F$5000),2,FALSE),"")</f>
        <v>PRE-TEMPORADA</v>
      </c>
      <c r="H293" t="str" cm="1">
        <f t="array" ref="H293">IFERROR(VLOOKUP(INPUT!M288&amp;INPUT!N288,CHOOSE({1,2},INPUT!$A$3:$A$5000&amp;INPUT!$C$3:$C$5000,INPUT!$D$3:$D$5000),2,FALSE),"")</f>
        <v>GYM+FISICO</v>
      </c>
      <c r="I293" s="46">
        <f>IF(INPUT!P288="","",INPUT!P288)</f>
        <v>68.5</v>
      </c>
      <c r="J293" s="46">
        <f>IF(INPUT!Q288="","",INPUT!Q288)</f>
        <v>68.7</v>
      </c>
      <c r="K293" s="46">
        <f>IFERROR(IF(OR(INPUT!P288="",INPUT!Q288=""),"",INPUT!P288-INPUT!Q288),"")</f>
        <v>-0.20000000000000284</v>
      </c>
      <c r="L293" s="48">
        <f>IFERROR(IF(OR(INPUT!P288="",INPUT!Q288="",INPUT!P288=0),"",(INPUT!P288-INPUT!Q288)/INPUT!P288),"")</f>
        <v>-2.9197080291971217E-3</v>
      </c>
    </row>
    <row r="294" spans="1:12" ht="18" hidden="1" customHeight="1" x14ac:dyDescent="0.2">
      <c r="A294" s="11">
        <f>IF(INPUT!M289="","",INPUT!M289)</f>
        <v>45887</v>
      </c>
      <c r="B294" s="11">
        <f>IF(INPUT!M289="","",INPUT!M289-WEEKDAY(INPUT!M289,2)+1)</f>
        <v>45887</v>
      </c>
      <c r="C294" s="20">
        <f>IFERROR(_xlfn.ISOWEEKNUM(INPUT!M289),"")</f>
        <v>34</v>
      </c>
      <c r="D294" s="20">
        <f>IFERROR(YEAR(INPUT!M289),"")</f>
        <v>2025</v>
      </c>
      <c r="E294" t="str">
        <f>IF(INPUT!O289="","",INPUT!O289)</f>
        <v>CECILIO</v>
      </c>
      <c r="F294" t="str">
        <f>IF(INPUT!N289="","",INPUT!N289)</f>
        <v>T</v>
      </c>
      <c r="G294" t="str" cm="1">
        <f t="array" ref="G294">IFERROR(VLOOKUP(INPUT!M289&amp;INPUT!N289,CHOOSE({1,2},INPUT!$A$3:$A$5000&amp;INPUT!$C$3:$C$5000,INPUT!$F$3:$F$5000),2,FALSE),"")</f>
        <v>PRE-TEMPORADA</v>
      </c>
      <c r="H294" t="str" cm="1">
        <f t="array" ref="H294">IFERROR(VLOOKUP(INPUT!M289&amp;INPUT!N289,CHOOSE({1,2},INPUT!$A$3:$A$5000&amp;INPUT!$C$3:$C$5000,INPUT!$D$3:$D$5000),2,FALSE),"")</f>
        <v>TEC-TAC</v>
      </c>
      <c r="I294" s="46">
        <f>IF(INPUT!P289="","",INPUT!P289)</f>
        <v>68.400000000000006</v>
      </c>
      <c r="J294" s="46">
        <f>IF(INPUT!Q289="","",INPUT!Q289)</f>
        <v>67.400000000000006</v>
      </c>
      <c r="K294" s="46">
        <f>IFERROR(IF(OR(INPUT!P289="",INPUT!Q289=""),"",INPUT!P289-INPUT!Q289),"")</f>
        <v>1</v>
      </c>
      <c r="L294" s="48">
        <f>IFERROR(IF(OR(INPUT!P289="",INPUT!Q289="",INPUT!P289=0),"",(INPUT!P289-INPUT!Q289)/INPUT!P289),"")</f>
        <v>1.4619883040935672E-2</v>
      </c>
    </row>
    <row r="295" spans="1:12" ht="18" hidden="1" customHeight="1" x14ac:dyDescent="0.2">
      <c r="A295" s="11">
        <f>IF(INPUT!M290="","",INPUT!M290)</f>
        <v>45887</v>
      </c>
      <c r="B295" s="11">
        <f>IF(INPUT!M290="","",INPUT!M290-WEEKDAY(INPUT!M290,2)+1)</f>
        <v>45887</v>
      </c>
      <c r="C295" s="20">
        <f>IFERROR(_xlfn.ISOWEEKNUM(INPUT!M290),"")</f>
        <v>34</v>
      </c>
      <c r="D295" s="20">
        <f>IFERROR(YEAR(INPUT!M290),"")</f>
        <v>2025</v>
      </c>
      <c r="E295" t="str">
        <f>IF(INPUT!O290="","",INPUT!O290)</f>
        <v>CHAGUINHA</v>
      </c>
      <c r="F295" t="str">
        <f>IF(INPUT!N290="","",INPUT!N290)</f>
        <v>M</v>
      </c>
      <c r="G295" t="str" cm="1">
        <f t="array" ref="G295">IFERROR(VLOOKUP(INPUT!M290&amp;INPUT!N290,CHOOSE({1,2},INPUT!$A$3:$A$5000&amp;INPUT!$C$3:$C$5000,INPUT!$F$3:$F$5000),2,FALSE),"")</f>
        <v>PRE-TEMPORADA</v>
      </c>
      <c r="H295" t="str" cm="1">
        <f t="array" ref="H295">IFERROR(VLOOKUP(INPUT!M290&amp;INPUT!N290,CHOOSE({1,2},INPUT!$A$3:$A$5000&amp;INPUT!$C$3:$C$5000,INPUT!$D$3:$D$5000),2,FALSE),"")</f>
        <v>GYM+FISICO</v>
      </c>
      <c r="I295" s="46">
        <f>IF(INPUT!P290="","",INPUT!P290)</f>
        <v>68.5</v>
      </c>
      <c r="J295" s="46">
        <f>IF(INPUT!Q290="","",INPUT!Q290)</f>
        <v>68.099999999999994</v>
      </c>
      <c r="K295" s="46">
        <f>IFERROR(IF(OR(INPUT!P290="",INPUT!Q290=""),"",INPUT!P290-INPUT!Q290),"")</f>
        <v>0.40000000000000568</v>
      </c>
      <c r="L295" s="48">
        <f>IFERROR(IF(OR(INPUT!P290="",INPUT!Q290="",INPUT!P290=0),"",(INPUT!P290-INPUT!Q290)/INPUT!P290),"")</f>
        <v>5.8394160583942435E-3</v>
      </c>
    </row>
    <row r="296" spans="1:12" ht="18" hidden="1" customHeight="1" x14ac:dyDescent="0.2">
      <c r="A296" s="11">
        <f>IF(INPUT!M291="","",INPUT!M291)</f>
        <v>45887</v>
      </c>
      <c r="B296" s="11">
        <f>IF(INPUT!M291="","",INPUT!M291-WEEKDAY(INPUT!M291,2)+1)</f>
        <v>45887</v>
      </c>
      <c r="C296" s="20">
        <f>IFERROR(_xlfn.ISOWEEKNUM(INPUT!M291),"")</f>
        <v>34</v>
      </c>
      <c r="D296" s="20">
        <f>IFERROR(YEAR(INPUT!M291),"")</f>
        <v>2025</v>
      </c>
      <c r="E296" t="str">
        <f>IF(INPUT!O291="","",INPUT!O291)</f>
        <v>CHAGUINHA</v>
      </c>
      <c r="F296" t="str">
        <f>IF(INPUT!N291="","",INPUT!N291)</f>
        <v>T</v>
      </c>
      <c r="G296" t="str" cm="1">
        <f t="array" ref="G296">IFERROR(VLOOKUP(INPUT!M291&amp;INPUT!N291,CHOOSE({1,2},INPUT!$A$3:$A$5000&amp;INPUT!$C$3:$C$5000,INPUT!$F$3:$F$5000),2,FALSE),"")</f>
        <v>PRE-TEMPORADA</v>
      </c>
      <c r="H296" t="str" cm="1">
        <f t="array" ref="H296">IFERROR(VLOOKUP(INPUT!M291&amp;INPUT!N291,CHOOSE({1,2},INPUT!$A$3:$A$5000&amp;INPUT!$C$3:$C$5000,INPUT!$D$3:$D$5000),2,FALSE),"")</f>
        <v>TEC-TAC</v>
      </c>
      <c r="I296" s="46">
        <f>IF(INPUT!P291="","",INPUT!P291)</f>
        <v>69.2</v>
      </c>
      <c r="J296" s="46">
        <f>IF(INPUT!Q291="","",INPUT!Q291)</f>
        <v>69</v>
      </c>
      <c r="K296" s="46">
        <f>IFERROR(IF(OR(INPUT!P291="",INPUT!Q291=""),"",INPUT!P291-INPUT!Q291),"")</f>
        <v>0.20000000000000284</v>
      </c>
      <c r="L296" s="48">
        <f>IFERROR(IF(OR(INPUT!P291="",INPUT!Q291="",INPUT!P291=0),"",(INPUT!P291-INPUT!Q291)/INPUT!P291),"")</f>
        <v>2.8901734104046653E-3</v>
      </c>
    </row>
    <row r="297" spans="1:12" ht="18" hidden="1" customHeight="1" x14ac:dyDescent="0.2">
      <c r="A297" s="11">
        <f>IF(INPUT!M292="","",INPUT!M292)</f>
        <v>45887</v>
      </c>
      <c r="B297" s="11">
        <f>IF(INPUT!M292="","",INPUT!M292-WEEKDAY(INPUT!M292,2)+1)</f>
        <v>45887</v>
      </c>
      <c r="C297" s="20">
        <f>IFERROR(_xlfn.ISOWEEKNUM(INPUT!M292),"")</f>
        <v>34</v>
      </c>
      <c r="D297" s="20">
        <f>IFERROR(YEAR(INPUT!M292),"")</f>
        <v>2025</v>
      </c>
      <c r="E297" t="str">
        <f>IF(INPUT!O292="","",INPUT!O292)</f>
        <v>RAUL</v>
      </c>
      <c r="F297" t="str">
        <f>IF(INPUT!N292="","",INPUT!N292)</f>
        <v>M</v>
      </c>
      <c r="G297" t="str" cm="1">
        <f t="array" ref="G297">IFERROR(VLOOKUP(INPUT!M292&amp;INPUT!N292,CHOOSE({1,2},INPUT!$A$3:$A$5000&amp;INPUT!$C$3:$C$5000,INPUT!$F$3:$F$5000),2,FALSE),"")</f>
        <v>PRE-TEMPORADA</v>
      </c>
      <c r="H297" t="str" cm="1">
        <f t="array" ref="H297">IFERROR(VLOOKUP(INPUT!M292&amp;INPUT!N292,CHOOSE({1,2},INPUT!$A$3:$A$5000&amp;INPUT!$C$3:$C$5000,INPUT!$D$3:$D$5000),2,FALSE),"")</f>
        <v>GYM+FISICO</v>
      </c>
      <c r="I297" s="46">
        <f>IF(INPUT!P292="","",INPUT!P292)</f>
        <v>79.8</v>
      </c>
      <c r="J297" s="46">
        <f>IF(INPUT!Q292="","",INPUT!Q292)</f>
        <v>79.3</v>
      </c>
      <c r="K297" s="46">
        <f>IFERROR(IF(OR(INPUT!P292="",INPUT!Q292=""),"",INPUT!P292-INPUT!Q292),"")</f>
        <v>0.5</v>
      </c>
      <c r="L297" s="48">
        <f>IFERROR(IF(OR(INPUT!P292="",INPUT!Q292="",INPUT!P292=0),"",(INPUT!P292-INPUT!Q292)/INPUT!P292),"")</f>
        <v>6.265664160401003E-3</v>
      </c>
    </row>
    <row r="298" spans="1:12" ht="18" hidden="1" customHeight="1" x14ac:dyDescent="0.2">
      <c r="A298" s="11">
        <f>IF(INPUT!M293="","",INPUT!M293)</f>
        <v>45887</v>
      </c>
      <c r="B298" s="11">
        <f>IF(INPUT!M293="","",INPUT!M293-WEEKDAY(INPUT!M293,2)+1)</f>
        <v>45887</v>
      </c>
      <c r="C298" s="20">
        <f>IFERROR(_xlfn.ISOWEEKNUM(INPUT!M293),"")</f>
        <v>34</v>
      </c>
      <c r="D298" s="20">
        <f>IFERROR(YEAR(INPUT!M293),"")</f>
        <v>2025</v>
      </c>
      <c r="E298" t="str">
        <f>IF(INPUT!O293="","",INPUT!O293)</f>
        <v>RAUL</v>
      </c>
      <c r="F298" t="str">
        <f>IF(INPUT!N293="","",INPUT!N293)</f>
        <v>T</v>
      </c>
      <c r="G298" t="str" cm="1">
        <f t="array" ref="G298">IFERROR(VLOOKUP(INPUT!M293&amp;INPUT!N293,CHOOSE({1,2},INPUT!$A$3:$A$5000&amp;INPUT!$C$3:$C$5000,INPUT!$F$3:$F$5000),2,FALSE),"")</f>
        <v>PRE-TEMPORADA</v>
      </c>
      <c r="H298" t="str" cm="1">
        <f t="array" ref="H298">IFERROR(VLOOKUP(INPUT!M293&amp;INPUT!N293,CHOOSE({1,2},INPUT!$A$3:$A$5000&amp;INPUT!$C$3:$C$5000,INPUT!$D$3:$D$5000),2,FALSE),"")</f>
        <v>TEC-TAC</v>
      </c>
      <c r="I298" s="46">
        <f>IF(INPUT!P293="","",INPUT!P293)</f>
        <v>79.7</v>
      </c>
      <c r="J298" s="46">
        <f>IF(INPUT!Q293="","",INPUT!Q293)</f>
        <v>79</v>
      </c>
      <c r="K298" s="46">
        <f>IFERROR(IF(OR(INPUT!P293="",INPUT!Q293=""),"",INPUT!P293-INPUT!Q293),"")</f>
        <v>0.70000000000000284</v>
      </c>
      <c r="L298" s="48">
        <f>IFERROR(IF(OR(INPUT!P293="",INPUT!Q293="",INPUT!P293=0),"",(INPUT!P293-INPUT!Q293)/INPUT!P293),"")</f>
        <v>8.7829360100376772E-3</v>
      </c>
    </row>
    <row r="299" spans="1:12" ht="18" hidden="1" customHeight="1" x14ac:dyDescent="0.2">
      <c r="A299" s="11">
        <f>IF(INPUT!M294="","",INPUT!M294)</f>
        <v>45887</v>
      </c>
      <c r="B299" s="11">
        <f>IF(INPUT!M294="","",INPUT!M294-WEEKDAY(INPUT!M294,2)+1)</f>
        <v>45887</v>
      </c>
      <c r="C299" s="20">
        <f>IFERROR(_xlfn.ISOWEEKNUM(INPUT!M294),"")</f>
        <v>34</v>
      </c>
      <c r="D299" s="20">
        <f>IFERROR(YEAR(INPUT!M294),"")</f>
        <v>2025</v>
      </c>
      <c r="E299" t="str">
        <f>IF(INPUT!O294="","",INPUT!O294)</f>
        <v>HARRISON</v>
      </c>
      <c r="F299" t="str">
        <f>IF(INPUT!N294="","",INPUT!N294)</f>
        <v>M</v>
      </c>
      <c r="G299" t="str" cm="1">
        <f t="array" ref="G299">IFERROR(VLOOKUP(INPUT!M294&amp;INPUT!N294,CHOOSE({1,2},INPUT!$A$3:$A$5000&amp;INPUT!$C$3:$C$5000,INPUT!$F$3:$F$5000),2,FALSE),"")</f>
        <v>PRE-TEMPORADA</v>
      </c>
      <c r="H299" t="str" cm="1">
        <f t="array" ref="H299">IFERROR(VLOOKUP(INPUT!M294&amp;INPUT!N294,CHOOSE({1,2},INPUT!$A$3:$A$5000&amp;INPUT!$C$3:$C$5000,INPUT!$D$3:$D$5000),2,FALSE),"")</f>
        <v>GYM+FISICO</v>
      </c>
      <c r="I299" s="46">
        <f>IF(INPUT!P294="","",INPUT!P294)</f>
        <v>71.599999999999994</v>
      </c>
      <c r="J299" s="46">
        <f>IF(INPUT!Q294="","",INPUT!Q294)</f>
        <v>71.5</v>
      </c>
      <c r="K299" s="46">
        <f>IFERROR(IF(OR(INPUT!P294="",INPUT!Q294=""),"",INPUT!P294-INPUT!Q294),"")</f>
        <v>9.9999999999994316E-2</v>
      </c>
      <c r="L299" s="48">
        <f>IFERROR(IF(OR(INPUT!P294="",INPUT!Q294="",INPUT!P294=0),"",(INPUT!P294-INPUT!Q294)/INPUT!P294),"")</f>
        <v>1.3966480446926581E-3</v>
      </c>
    </row>
    <row r="300" spans="1:12" ht="18" hidden="1" customHeight="1" x14ac:dyDescent="0.2">
      <c r="A300" s="11">
        <f>IF(INPUT!M295="","",INPUT!M295)</f>
        <v>45887</v>
      </c>
      <c r="B300" s="11">
        <f>IF(INPUT!M295="","",INPUT!M295-WEEKDAY(INPUT!M295,2)+1)</f>
        <v>45887</v>
      </c>
      <c r="C300" s="20">
        <f>IFERROR(_xlfn.ISOWEEKNUM(INPUT!M295),"")</f>
        <v>34</v>
      </c>
      <c r="D300" s="20">
        <f>IFERROR(YEAR(INPUT!M295),"")</f>
        <v>2025</v>
      </c>
      <c r="E300" t="str">
        <f>IF(INPUT!O295="","",INPUT!O295)</f>
        <v>HARRISON</v>
      </c>
      <c r="F300" t="str">
        <f>IF(INPUT!N295="","",INPUT!N295)</f>
        <v>T</v>
      </c>
      <c r="G300" t="str" cm="1">
        <f t="array" ref="G300">IFERROR(VLOOKUP(INPUT!M295&amp;INPUT!N295,CHOOSE({1,2},INPUT!$A$3:$A$5000&amp;INPUT!$C$3:$C$5000,INPUT!$F$3:$F$5000),2,FALSE),"")</f>
        <v>PRE-TEMPORADA</v>
      </c>
      <c r="H300" t="str" cm="1">
        <f t="array" ref="H300">IFERROR(VLOOKUP(INPUT!M295&amp;INPUT!N295,CHOOSE({1,2},INPUT!$A$3:$A$5000&amp;INPUT!$C$3:$C$5000,INPUT!$D$3:$D$5000),2,FALSE),"")</f>
        <v>TEC-TAC</v>
      </c>
      <c r="I300" s="46">
        <f>IF(INPUT!P295="","",INPUT!P295)</f>
        <v>71.7</v>
      </c>
      <c r="J300" s="46">
        <f>IF(INPUT!Q295="","",INPUT!Q295)</f>
        <v>71.3</v>
      </c>
      <c r="K300" s="46">
        <f>IFERROR(IF(OR(INPUT!P295="",INPUT!Q295=""),"",INPUT!P295-INPUT!Q295),"")</f>
        <v>0.40000000000000568</v>
      </c>
      <c r="L300" s="48">
        <f>IFERROR(IF(OR(INPUT!P295="",INPUT!Q295="",INPUT!P295=0),"",(INPUT!P295-INPUT!Q295)/INPUT!P295),"")</f>
        <v>5.5788005578801345E-3</v>
      </c>
    </row>
    <row r="301" spans="1:12" ht="18" hidden="1" customHeight="1" x14ac:dyDescent="0.2">
      <c r="A301" s="11">
        <f>IF(INPUT!M296="","",INPUT!M296)</f>
        <v>45887</v>
      </c>
      <c r="B301" s="11">
        <f>IF(INPUT!M296="","",INPUT!M296-WEEKDAY(INPUT!M296,2)+1)</f>
        <v>45887</v>
      </c>
      <c r="C301" s="20">
        <f>IFERROR(_xlfn.ISOWEEKNUM(INPUT!M296),"")</f>
        <v>34</v>
      </c>
      <c r="D301" s="20">
        <f>IFERROR(YEAR(INPUT!M296),"")</f>
        <v>2025</v>
      </c>
      <c r="E301" t="str">
        <f>IF(INPUT!O296="","",INPUT!O296)</f>
        <v>RAYA</v>
      </c>
      <c r="F301" t="str">
        <f>IF(INPUT!N296="","",INPUT!N296)</f>
        <v>M</v>
      </c>
      <c r="G301" t="str" cm="1">
        <f t="array" ref="G301">IFERROR(VLOOKUP(INPUT!M296&amp;INPUT!N296,CHOOSE({1,2},INPUT!$A$3:$A$5000&amp;INPUT!$C$3:$C$5000,INPUT!$F$3:$F$5000),2,FALSE),"")</f>
        <v>PRE-TEMPORADA</v>
      </c>
      <c r="H301" t="str" cm="1">
        <f t="array" ref="H301">IFERROR(VLOOKUP(INPUT!M296&amp;INPUT!N296,CHOOSE({1,2},INPUT!$A$3:$A$5000&amp;INPUT!$C$3:$C$5000,INPUT!$D$3:$D$5000),2,FALSE),"")</f>
        <v>GYM+FISICO</v>
      </c>
      <c r="I301" s="46">
        <f>IF(INPUT!P296="","",INPUT!P296)</f>
        <v>80.7</v>
      </c>
      <c r="J301" s="46">
        <f>IF(INPUT!Q296="","",INPUT!Q296)</f>
        <v>80</v>
      </c>
      <c r="K301" s="46">
        <f>IFERROR(IF(OR(INPUT!P296="",INPUT!Q296=""),"",INPUT!P296-INPUT!Q296),"")</f>
        <v>0.70000000000000284</v>
      </c>
      <c r="L301" s="48">
        <f>IFERROR(IF(OR(INPUT!P296="",INPUT!Q296="",INPUT!P296=0),"",(INPUT!P296-INPUT!Q296)/INPUT!P296),"")</f>
        <v>8.6741016109046203E-3</v>
      </c>
    </row>
    <row r="302" spans="1:12" ht="18" hidden="1" customHeight="1" x14ac:dyDescent="0.2">
      <c r="A302" s="11">
        <f>IF(INPUT!M297="","",INPUT!M297)</f>
        <v>45887</v>
      </c>
      <c r="B302" s="11">
        <f>IF(INPUT!M297="","",INPUT!M297-WEEKDAY(INPUT!M297,2)+1)</f>
        <v>45887</v>
      </c>
      <c r="C302" s="20">
        <f>IFERROR(_xlfn.ISOWEEKNUM(INPUT!M297),"")</f>
        <v>34</v>
      </c>
      <c r="D302" s="20">
        <f>IFERROR(YEAR(INPUT!M297),"")</f>
        <v>2025</v>
      </c>
      <c r="E302" t="str">
        <f>IF(INPUT!O297="","",INPUT!O297)</f>
        <v>RAYA</v>
      </c>
      <c r="F302" t="str">
        <f>IF(INPUT!N297="","",INPUT!N297)</f>
        <v>T</v>
      </c>
      <c r="G302" t="str" cm="1">
        <f t="array" ref="G302">IFERROR(VLOOKUP(INPUT!M297&amp;INPUT!N297,CHOOSE({1,2},INPUT!$A$3:$A$5000&amp;INPUT!$C$3:$C$5000,INPUT!$F$3:$F$5000),2,FALSE),"")</f>
        <v>PRE-TEMPORADA</v>
      </c>
      <c r="H302" t="str" cm="1">
        <f t="array" ref="H302">IFERROR(VLOOKUP(INPUT!M297&amp;INPUT!N297,CHOOSE({1,2},INPUT!$A$3:$A$5000&amp;INPUT!$C$3:$C$5000,INPUT!$D$3:$D$5000),2,FALSE),"")</f>
        <v>TEC-TAC</v>
      </c>
      <c r="I302" s="46">
        <f>IF(INPUT!P297="","",INPUT!P297)</f>
        <v>82</v>
      </c>
      <c r="J302" s="46">
        <f>IF(INPUT!Q297="","",INPUT!Q297)</f>
        <v>80.8</v>
      </c>
      <c r="K302" s="46">
        <f>IFERROR(IF(OR(INPUT!P297="",INPUT!Q297=""),"",INPUT!P297-INPUT!Q297),"")</f>
        <v>1.2000000000000028</v>
      </c>
      <c r="L302" s="48">
        <f>IFERROR(IF(OR(INPUT!P297="",INPUT!Q297="",INPUT!P297=0),"",(INPUT!P297-INPUT!Q297)/INPUT!P297),"")</f>
        <v>1.4634146341463448E-2</v>
      </c>
    </row>
    <row r="303" spans="1:12" ht="18" hidden="1" customHeight="1" x14ac:dyDescent="0.2">
      <c r="A303" s="11">
        <f>IF(INPUT!M298="","",INPUT!M298)</f>
        <v>45887</v>
      </c>
      <c r="B303" s="11">
        <f>IF(INPUT!M298="","",INPUT!M298-WEEKDAY(INPUT!M298,2)+1)</f>
        <v>45887</v>
      </c>
      <c r="C303" s="20">
        <f>IFERROR(_xlfn.ISOWEEKNUM(INPUT!M298),"")</f>
        <v>34</v>
      </c>
      <c r="D303" s="20">
        <f>IFERROR(YEAR(INPUT!M298),"")</f>
        <v>2025</v>
      </c>
      <c r="E303" t="str">
        <f>IF(INPUT!O298="","",INPUT!O298)</f>
        <v>JAVI</v>
      </c>
      <c r="F303" t="str">
        <f>IF(INPUT!N298="","",INPUT!N298)</f>
        <v>M</v>
      </c>
      <c r="G303" t="str" cm="1">
        <f t="array" ref="G303">IFERROR(VLOOKUP(INPUT!M298&amp;INPUT!N298,CHOOSE({1,2},INPUT!$A$3:$A$5000&amp;INPUT!$C$3:$C$5000,INPUT!$F$3:$F$5000),2,FALSE),"")</f>
        <v>PRE-TEMPORADA</v>
      </c>
      <c r="H303" t="str" cm="1">
        <f t="array" ref="H303">IFERROR(VLOOKUP(INPUT!M298&amp;INPUT!N298,CHOOSE({1,2},INPUT!$A$3:$A$5000&amp;INPUT!$C$3:$C$5000,INPUT!$D$3:$D$5000),2,FALSE),"")</f>
        <v>GYM+FISICO</v>
      </c>
      <c r="I303" s="46">
        <f>IF(INPUT!P298="","",INPUT!P298)</f>
        <v>79.599999999999994</v>
      </c>
      <c r="J303" s="46">
        <f>IF(INPUT!Q298="","",INPUT!Q298)</f>
        <v>79.099999999999994</v>
      </c>
      <c r="K303" s="46">
        <f>IFERROR(IF(OR(INPUT!P298="",INPUT!Q298=""),"",INPUT!P298-INPUT!Q298),"")</f>
        <v>0.5</v>
      </c>
      <c r="L303" s="48">
        <f>IFERROR(IF(OR(INPUT!P298="",INPUT!Q298="",INPUT!P298=0),"",(INPUT!P298-INPUT!Q298)/INPUT!P298),"")</f>
        <v>6.2814070351758797E-3</v>
      </c>
    </row>
    <row r="304" spans="1:12" ht="18" hidden="1" customHeight="1" x14ac:dyDescent="0.2">
      <c r="A304" s="11">
        <f>IF(INPUT!M299="","",INPUT!M299)</f>
        <v>45887</v>
      </c>
      <c r="B304" s="11">
        <f>IF(INPUT!M299="","",INPUT!M299-WEEKDAY(INPUT!M299,2)+1)</f>
        <v>45887</v>
      </c>
      <c r="C304" s="20">
        <f>IFERROR(_xlfn.ISOWEEKNUM(INPUT!M299),"")</f>
        <v>34</v>
      </c>
      <c r="D304" s="20">
        <f>IFERROR(YEAR(INPUT!M299),"")</f>
        <v>2025</v>
      </c>
      <c r="E304" t="str">
        <f>IF(INPUT!O299="","",INPUT!O299)</f>
        <v>JAVI</v>
      </c>
      <c r="F304" t="str">
        <f>IF(INPUT!N299="","",INPUT!N299)</f>
        <v>T</v>
      </c>
      <c r="G304" t="str" cm="1">
        <f t="array" ref="G304">IFERROR(VLOOKUP(INPUT!M299&amp;INPUT!N299,CHOOSE({1,2},INPUT!$A$3:$A$5000&amp;INPUT!$C$3:$C$5000,INPUT!$F$3:$F$5000),2,FALSE),"")</f>
        <v>PRE-TEMPORADA</v>
      </c>
      <c r="H304" t="str" cm="1">
        <f t="array" ref="H304">IFERROR(VLOOKUP(INPUT!M299&amp;INPUT!N299,CHOOSE({1,2},INPUT!$A$3:$A$5000&amp;INPUT!$C$3:$C$5000,INPUT!$D$3:$D$5000),2,FALSE),"")</f>
        <v>TEC-TAC</v>
      </c>
      <c r="I304" s="46">
        <f>IF(INPUT!P299="","",INPUT!P299)</f>
        <v>79.400000000000006</v>
      </c>
      <c r="J304" s="46">
        <f>IF(INPUT!Q299="","",INPUT!Q299)</f>
        <v>79.3</v>
      </c>
      <c r="K304" s="46">
        <f>IFERROR(IF(OR(INPUT!P299="",INPUT!Q299=""),"",INPUT!P299-INPUT!Q299),"")</f>
        <v>0.10000000000000853</v>
      </c>
      <c r="L304" s="48">
        <f>IFERROR(IF(OR(INPUT!P299="",INPUT!Q299="",INPUT!P299=0),"",(INPUT!P299-INPUT!Q299)/INPUT!P299),"")</f>
        <v>1.2594458438288227E-3</v>
      </c>
    </row>
    <row r="305" spans="1:12" ht="18" hidden="1" customHeight="1" x14ac:dyDescent="0.2">
      <c r="A305" s="11">
        <f>IF(INPUT!M300="","",INPUT!M300)</f>
        <v>45887</v>
      </c>
      <c r="B305" s="11">
        <f>IF(INPUT!M300="","",INPUT!M300-WEEKDAY(INPUT!M300,2)+1)</f>
        <v>45887</v>
      </c>
      <c r="C305" s="20">
        <f>IFERROR(_xlfn.ISOWEEKNUM(INPUT!M300),"")</f>
        <v>34</v>
      </c>
      <c r="D305" s="20">
        <f>IFERROR(YEAR(INPUT!M300),"")</f>
        <v>2025</v>
      </c>
      <c r="E305" t="str">
        <f>IF(INPUT!O300="","",INPUT!O300)</f>
        <v>PANI</v>
      </c>
      <c r="F305" t="str">
        <f>IF(INPUT!N300="","",INPUT!N300)</f>
        <v>M</v>
      </c>
      <c r="G305" t="str" cm="1">
        <f t="array" ref="G305">IFERROR(VLOOKUP(INPUT!M300&amp;INPUT!N300,CHOOSE({1,2},INPUT!$A$3:$A$5000&amp;INPUT!$C$3:$C$5000,INPUT!$F$3:$F$5000),2,FALSE),"")</f>
        <v>PRE-TEMPORADA</v>
      </c>
      <c r="H305" t="str" cm="1">
        <f t="array" ref="H305">IFERROR(VLOOKUP(INPUT!M300&amp;INPUT!N300,CHOOSE({1,2},INPUT!$A$3:$A$5000&amp;INPUT!$C$3:$C$5000,INPUT!$D$3:$D$5000),2,FALSE),"")</f>
        <v>GYM+FISICO</v>
      </c>
      <c r="I305" s="46">
        <f>IF(INPUT!P300="","",INPUT!P300)</f>
        <v>70.8</v>
      </c>
      <c r="J305" s="46">
        <f>IF(INPUT!Q300="","",INPUT!Q300)</f>
        <v>71</v>
      </c>
      <c r="K305" s="46">
        <f>IFERROR(IF(OR(INPUT!P300="",INPUT!Q300=""),"",INPUT!P300-INPUT!Q300),"")</f>
        <v>-0.20000000000000284</v>
      </c>
      <c r="L305" s="48">
        <f>IFERROR(IF(OR(INPUT!P300="",INPUT!Q300="",INPUT!P300=0),"",(INPUT!P300-INPUT!Q300)/INPUT!P300),"")</f>
        <v>-2.8248587570621872E-3</v>
      </c>
    </row>
    <row r="306" spans="1:12" ht="18" hidden="1" customHeight="1" x14ac:dyDescent="0.2">
      <c r="A306" s="11">
        <f>IF(INPUT!M301="","",INPUT!M301)</f>
        <v>45887</v>
      </c>
      <c r="B306" s="11">
        <f>IF(INPUT!M301="","",INPUT!M301-WEEKDAY(INPUT!M301,2)+1)</f>
        <v>45887</v>
      </c>
      <c r="C306" s="20">
        <f>IFERROR(_xlfn.ISOWEEKNUM(INPUT!M301),"")</f>
        <v>34</v>
      </c>
      <c r="D306" s="20">
        <f>IFERROR(YEAR(INPUT!M301),"")</f>
        <v>2025</v>
      </c>
      <c r="E306" t="str">
        <f>IF(INPUT!O301="","",INPUT!O301)</f>
        <v>PANI</v>
      </c>
      <c r="F306" t="str">
        <f>IF(INPUT!N301="","",INPUT!N301)</f>
        <v>T</v>
      </c>
      <c r="G306" t="str" cm="1">
        <f t="array" ref="G306">IFERROR(VLOOKUP(INPUT!M301&amp;INPUT!N301,CHOOSE({1,2},INPUT!$A$3:$A$5000&amp;INPUT!$C$3:$C$5000,INPUT!$F$3:$F$5000),2,FALSE),"")</f>
        <v>PRE-TEMPORADA</v>
      </c>
      <c r="H306" t="str" cm="1">
        <f t="array" ref="H306">IFERROR(VLOOKUP(INPUT!M301&amp;INPUT!N301,CHOOSE({1,2},INPUT!$A$3:$A$5000&amp;INPUT!$C$3:$C$5000,INPUT!$D$3:$D$5000),2,FALSE),"")</f>
        <v>TEC-TAC</v>
      </c>
      <c r="I306" s="46">
        <f>IF(INPUT!P301="","",INPUT!P301)</f>
        <v>71.400000000000006</v>
      </c>
      <c r="J306" s="46">
        <f>IF(INPUT!Q301="","",INPUT!Q301)</f>
        <v>71.400000000000006</v>
      </c>
      <c r="K306" s="46">
        <f>IFERROR(IF(OR(INPUT!P301="",INPUT!Q301=""),"",INPUT!P301-INPUT!Q301),"")</f>
        <v>0</v>
      </c>
      <c r="L306" s="48">
        <f>IFERROR(IF(OR(INPUT!P301="",INPUT!Q301="",INPUT!P301=0),"",(INPUT!P301-INPUT!Q301)/INPUT!P301),"")</f>
        <v>0</v>
      </c>
    </row>
    <row r="307" spans="1:12" ht="18" hidden="1" customHeight="1" x14ac:dyDescent="0.2">
      <c r="A307" s="11">
        <f>IF(INPUT!M302="","",INPUT!M302)</f>
        <v>45887</v>
      </c>
      <c r="B307" s="11">
        <f>IF(INPUT!M302="","",INPUT!M302-WEEKDAY(INPUT!M302,2)+1)</f>
        <v>45887</v>
      </c>
      <c r="C307" s="20">
        <f>IFERROR(_xlfn.ISOWEEKNUM(INPUT!M302),"")</f>
        <v>34</v>
      </c>
      <c r="D307" s="20">
        <f>IFERROR(YEAR(INPUT!M302),"")</f>
        <v>2025</v>
      </c>
      <c r="E307" t="str">
        <f>IF(INPUT!O302="","",INPUT!O302)</f>
        <v>PIRATA</v>
      </c>
      <c r="F307" t="str">
        <f>IF(INPUT!N302="","",INPUT!N302)</f>
        <v>M</v>
      </c>
      <c r="G307" t="str" cm="1">
        <f t="array" ref="G307">IFERROR(VLOOKUP(INPUT!M302&amp;INPUT!N302,CHOOSE({1,2},INPUT!$A$3:$A$5000&amp;INPUT!$C$3:$C$5000,INPUT!$F$3:$F$5000),2,FALSE),"")</f>
        <v>PRE-TEMPORADA</v>
      </c>
      <c r="H307" t="str" cm="1">
        <f t="array" ref="H307">IFERROR(VLOOKUP(INPUT!M302&amp;INPUT!N302,CHOOSE({1,2},INPUT!$A$3:$A$5000&amp;INPUT!$C$3:$C$5000,INPUT!$D$3:$D$5000),2,FALSE),"")</f>
        <v>GYM+FISICO</v>
      </c>
      <c r="I307" s="46">
        <f>IF(INPUT!P302="","",INPUT!P302)</f>
        <v>75.5</v>
      </c>
      <c r="J307" s="46">
        <f>IF(INPUT!Q302="","",INPUT!Q302)</f>
        <v>74.8</v>
      </c>
      <c r="K307" s="46">
        <f>IFERROR(IF(OR(INPUT!P302="",INPUT!Q302=""),"",INPUT!P302-INPUT!Q302),"")</f>
        <v>0.70000000000000284</v>
      </c>
      <c r="L307" s="48">
        <f>IFERROR(IF(OR(INPUT!P302="",INPUT!Q302="",INPUT!P302=0),"",(INPUT!P302-INPUT!Q302)/INPUT!P302),"")</f>
        <v>9.2715231788079843E-3</v>
      </c>
    </row>
    <row r="308" spans="1:12" ht="18" hidden="1" customHeight="1" x14ac:dyDescent="0.2">
      <c r="A308" s="11">
        <f>IF(INPUT!M303="","",INPUT!M303)</f>
        <v>45887</v>
      </c>
      <c r="B308" s="11">
        <f>IF(INPUT!M303="","",INPUT!M303-WEEKDAY(INPUT!M303,2)+1)</f>
        <v>45887</v>
      </c>
      <c r="C308" s="20">
        <f>IFERROR(_xlfn.ISOWEEKNUM(INPUT!M303),"")</f>
        <v>34</v>
      </c>
      <c r="D308" s="20">
        <f>IFERROR(YEAR(INPUT!M303),"")</f>
        <v>2025</v>
      </c>
      <c r="E308" t="str">
        <f>IF(INPUT!O303="","",INPUT!O303)</f>
        <v>PIRATA</v>
      </c>
      <c r="F308" t="str">
        <f>IF(INPUT!N303="","",INPUT!N303)</f>
        <v>T</v>
      </c>
      <c r="G308" t="str" cm="1">
        <f t="array" ref="G308">IFERROR(VLOOKUP(INPUT!M303&amp;INPUT!N303,CHOOSE({1,2},INPUT!$A$3:$A$5000&amp;INPUT!$C$3:$C$5000,INPUT!$F$3:$F$5000),2,FALSE),"")</f>
        <v>PRE-TEMPORADA</v>
      </c>
      <c r="H308" t="str" cm="1">
        <f t="array" ref="H308">IFERROR(VLOOKUP(INPUT!M303&amp;INPUT!N303,CHOOSE({1,2},INPUT!$A$3:$A$5000&amp;INPUT!$C$3:$C$5000,INPUT!$D$3:$D$5000),2,FALSE),"")</f>
        <v>TEC-TAC</v>
      </c>
      <c r="I308" s="46">
        <f>IF(INPUT!P303="","",INPUT!P303)</f>
        <v>75.400000000000006</v>
      </c>
      <c r="J308" s="46">
        <f>IF(INPUT!Q303="","",INPUT!Q303)</f>
        <v>75.400000000000006</v>
      </c>
      <c r="K308" s="46">
        <f>IFERROR(IF(OR(INPUT!P303="",INPUT!Q303=""),"",INPUT!P303-INPUT!Q303),"")</f>
        <v>0</v>
      </c>
      <c r="L308" s="48">
        <f>IFERROR(IF(OR(INPUT!P303="",INPUT!Q303="",INPUT!P303=0),"",(INPUT!P303-INPUT!Q303)/INPUT!P303),"")</f>
        <v>0</v>
      </c>
    </row>
    <row r="309" spans="1:12" ht="18" hidden="1" customHeight="1" x14ac:dyDescent="0.2">
      <c r="A309" s="11">
        <f>IF(INPUT!M304="","",INPUT!M304)</f>
        <v>45887</v>
      </c>
      <c r="B309" s="11">
        <f>IF(INPUT!M304="","",INPUT!M304-WEEKDAY(INPUT!M304,2)+1)</f>
        <v>45887</v>
      </c>
      <c r="C309" s="20">
        <f>IFERROR(_xlfn.ISOWEEKNUM(INPUT!M304),"")</f>
        <v>34</v>
      </c>
      <c r="D309" s="20">
        <f>IFERROR(YEAR(INPUT!M304),"")</f>
        <v>2025</v>
      </c>
      <c r="E309" t="str">
        <f>IF(INPUT!O304="","",INPUT!O304)</f>
        <v>BARONA</v>
      </c>
      <c r="F309" t="str">
        <f>IF(INPUT!N304="","",INPUT!N304)</f>
        <v>M</v>
      </c>
      <c r="G309" t="str" cm="1">
        <f t="array" ref="G309">IFERROR(VLOOKUP(INPUT!M304&amp;INPUT!N304,CHOOSE({1,2},INPUT!$A$3:$A$5000&amp;INPUT!$C$3:$C$5000,INPUT!$F$3:$F$5000),2,FALSE),"")</f>
        <v>PRE-TEMPORADA</v>
      </c>
      <c r="H309" t="str" cm="1">
        <f t="array" ref="H309">IFERROR(VLOOKUP(INPUT!M304&amp;INPUT!N304,CHOOSE({1,2},INPUT!$A$3:$A$5000&amp;INPUT!$C$3:$C$5000,INPUT!$D$3:$D$5000),2,FALSE),"")</f>
        <v>GYM+FISICO</v>
      </c>
      <c r="I309" s="46">
        <f>IF(INPUT!P304="","",INPUT!P304)</f>
        <v>70.400000000000006</v>
      </c>
      <c r="J309" s="46">
        <f>IF(INPUT!Q304="","",INPUT!Q304)</f>
        <v>70.400000000000006</v>
      </c>
      <c r="K309" s="46">
        <f>IFERROR(IF(OR(INPUT!P304="",INPUT!Q304=""),"",INPUT!P304-INPUT!Q304),"")</f>
        <v>0</v>
      </c>
      <c r="L309" s="48">
        <f>IFERROR(IF(OR(INPUT!P304="",INPUT!Q304="",INPUT!P304=0),"",(INPUT!P304-INPUT!Q304)/INPUT!P304),"")</f>
        <v>0</v>
      </c>
    </row>
    <row r="310" spans="1:12" ht="18" hidden="1" customHeight="1" x14ac:dyDescent="0.2">
      <c r="A310" s="11">
        <f>IF(INPUT!M305="","",INPUT!M305)</f>
        <v>45887</v>
      </c>
      <c r="B310" s="11">
        <f>IF(INPUT!M305="","",INPUT!M305-WEEKDAY(INPUT!M305,2)+1)</f>
        <v>45887</v>
      </c>
      <c r="C310" s="20">
        <f>IFERROR(_xlfn.ISOWEEKNUM(INPUT!M305),"")</f>
        <v>34</v>
      </c>
      <c r="D310" s="20">
        <f>IFERROR(YEAR(INPUT!M305),"")</f>
        <v>2025</v>
      </c>
      <c r="E310" t="str">
        <f>IF(INPUT!O305="","",INPUT!O305)</f>
        <v>BARONA</v>
      </c>
      <c r="F310" t="str">
        <f>IF(INPUT!N305="","",INPUT!N305)</f>
        <v>T</v>
      </c>
      <c r="G310" t="str" cm="1">
        <f t="array" ref="G310">IFERROR(VLOOKUP(INPUT!M305&amp;INPUT!N305,CHOOSE({1,2},INPUT!$A$3:$A$5000&amp;INPUT!$C$3:$C$5000,INPUT!$F$3:$F$5000),2,FALSE),"")</f>
        <v>PRE-TEMPORADA</v>
      </c>
      <c r="H310" t="str" cm="1">
        <f t="array" ref="H310">IFERROR(VLOOKUP(INPUT!M305&amp;INPUT!N305,CHOOSE({1,2},INPUT!$A$3:$A$5000&amp;INPUT!$C$3:$C$5000,INPUT!$D$3:$D$5000),2,FALSE),"")</f>
        <v>TEC-TAC</v>
      </c>
      <c r="I310" s="46">
        <f>IF(INPUT!P305="","",INPUT!P305)</f>
        <v>70.599999999999994</v>
      </c>
      <c r="J310" s="46">
        <f>IF(INPUT!Q305="","",INPUT!Q305)</f>
        <v>70.599999999999994</v>
      </c>
      <c r="K310" s="46">
        <f>IFERROR(IF(OR(INPUT!P305="",INPUT!Q305=""),"",INPUT!P305-INPUT!Q305),"")</f>
        <v>0</v>
      </c>
      <c r="L310" s="48">
        <f>IFERROR(IF(OR(INPUT!P305="",INPUT!Q305="",INPUT!P305=0),"",(INPUT!P305-INPUT!Q305)/INPUT!P305),"")</f>
        <v>0</v>
      </c>
    </row>
    <row r="311" spans="1:12" ht="18" hidden="1" customHeight="1" x14ac:dyDescent="0.2">
      <c r="A311" s="11">
        <f>IF(INPUT!M306="","",INPUT!M306)</f>
        <v>45887</v>
      </c>
      <c r="B311" s="11">
        <f>IF(INPUT!M306="","",INPUT!M306-WEEKDAY(INPUT!M306,2)+1)</f>
        <v>45887</v>
      </c>
      <c r="C311" s="20">
        <f>IFERROR(_xlfn.ISOWEEKNUM(INPUT!M306),"")</f>
        <v>34</v>
      </c>
      <c r="D311" s="20">
        <f>IFERROR(YEAR(INPUT!M306),"")</f>
        <v>2025</v>
      </c>
      <c r="E311" t="str">
        <f>IF(INPUT!O306="","",INPUT!O306)</f>
        <v>CARLOS</v>
      </c>
      <c r="F311" t="str">
        <f>IF(INPUT!N306="","",INPUT!N306)</f>
        <v>M</v>
      </c>
      <c r="G311" t="str" cm="1">
        <f t="array" ref="G311">IFERROR(VLOOKUP(INPUT!M306&amp;INPUT!N306,CHOOSE({1,2},INPUT!$A$3:$A$5000&amp;INPUT!$C$3:$C$5000,INPUT!$F$3:$F$5000),2,FALSE),"")</f>
        <v>PRE-TEMPORADA</v>
      </c>
      <c r="H311" t="str" cm="1">
        <f t="array" ref="H311">IFERROR(VLOOKUP(INPUT!M306&amp;INPUT!N306,CHOOSE({1,2},INPUT!$A$3:$A$5000&amp;INPUT!$C$3:$C$5000,INPUT!$D$3:$D$5000),2,FALSE),"")</f>
        <v>GYM+FISICO</v>
      </c>
      <c r="I311" s="46">
        <f>IF(INPUT!P306="","",INPUT!P306)</f>
        <v>67.599999999999994</v>
      </c>
      <c r="J311" s="46">
        <f>IF(INPUT!Q306="","",INPUT!Q306)</f>
        <v>67.5</v>
      </c>
      <c r="K311" s="46">
        <f>IFERROR(IF(OR(INPUT!P306="",INPUT!Q306=""),"",INPUT!P306-INPUT!Q306),"")</f>
        <v>9.9999999999994316E-2</v>
      </c>
      <c r="L311" s="48">
        <f>IFERROR(IF(OR(INPUT!P306="",INPUT!Q306="",INPUT!P306=0),"",(INPUT!P306-INPUT!Q306)/INPUT!P306),"")</f>
        <v>1.4792899408283184E-3</v>
      </c>
    </row>
    <row r="312" spans="1:12" ht="18" hidden="1" customHeight="1" x14ac:dyDescent="0.2">
      <c r="A312" s="11">
        <f>IF(INPUT!M307="","",INPUT!M307)</f>
        <v>45887</v>
      </c>
      <c r="B312" s="11">
        <f>IF(INPUT!M307="","",INPUT!M307-WEEKDAY(INPUT!M307,2)+1)</f>
        <v>45887</v>
      </c>
      <c r="C312" s="20">
        <f>IFERROR(_xlfn.ISOWEEKNUM(INPUT!M307),"")</f>
        <v>34</v>
      </c>
      <c r="D312" s="20">
        <f>IFERROR(YEAR(INPUT!M307),"")</f>
        <v>2025</v>
      </c>
      <c r="E312" t="str">
        <f>IF(INPUT!O307="","",INPUT!O307)</f>
        <v>CARLOS</v>
      </c>
      <c r="F312" t="str">
        <f>IF(INPUT!N307="","",INPUT!N307)</f>
        <v>T</v>
      </c>
      <c r="G312" t="str" cm="1">
        <f t="array" ref="G312">IFERROR(VLOOKUP(INPUT!M307&amp;INPUT!N307,CHOOSE({1,2},INPUT!$A$3:$A$5000&amp;INPUT!$C$3:$C$5000,INPUT!$F$3:$F$5000),2,FALSE),"")</f>
        <v>PRE-TEMPORADA</v>
      </c>
      <c r="H312" t="str" cm="1">
        <f t="array" ref="H312">IFERROR(VLOOKUP(INPUT!M307&amp;INPUT!N307,CHOOSE({1,2},INPUT!$A$3:$A$5000&amp;INPUT!$C$3:$C$5000,INPUT!$D$3:$D$5000),2,FALSE),"")</f>
        <v>TEC-TAC</v>
      </c>
      <c r="I312" s="46">
        <f>IF(INPUT!P307="","",INPUT!P307)</f>
        <v>67.900000000000006</v>
      </c>
      <c r="J312" s="46">
        <f>IF(INPUT!Q307="","",INPUT!Q307)</f>
        <v>67.7</v>
      </c>
      <c r="K312" s="46">
        <f>IFERROR(IF(OR(INPUT!P307="",INPUT!Q307=""),"",INPUT!P307-INPUT!Q307),"")</f>
        <v>0.20000000000000284</v>
      </c>
      <c r="L312" s="48">
        <f>IFERROR(IF(OR(INPUT!P307="",INPUT!Q307="",INPUT!P307=0),"",(INPUT!P307-INPUT!Q307)/INPUT!P307),"")</f>
        <v>2.945508100147317E-3</v>
      </c>
    </row>
    <row r="313" spans="1:12" ht="18" hidden="1" customHeight="1" x14ac:dyDescent="0.2">
      <c r="A313" s="11">
        <f>IF(INPUT!M308="","",INPUT!M308)</f>
        <v>45887</v>
      </c>
      <c r="B313" s="11">
        <f>IF(INPUT!M308="","",INPUT!M308-WEEKDAY(INPUT!M308,2)+1)</f>
        <v>45887</v>
      </c>
      <c r="C313" s="20">
        <f>IFERROR(_xlfn.ISOWEEKNUM(INPUT!M308),"")</f>
        <v>34</v>
      </c>
      <c r="D313" s="20">
        <f>IFERROR(YEAR(INPUT!M308),"")</f>
        <v>2025</v>
      </c>
      <c r="E313" t="str">
        <f>IF(INPUT!O308="","",INPUT!O308)</f>
        <v>GONZALO</v>
      </c>
      <c r="F313" t="str">
        <f>IF(INPUT!N308="","",INPUT!N308)</f>
        <v>M</v>
      </c>
      <c r="G313" t="str" cm="1">
        <f t="array" ref="G313">IFERROR(VLOOKUP(INPUT!M308&amp;INPUT!N308,CHOOSE({1,2},INPUT!$A$3:$A$5000&amp;INPUT!$C$3:$C$5000,INPUT!$F$3:$F$5000),2,FALSE),"")</f>
        <v>PRE-TEMPORADA</v>
      </c>
      <c r="H313" t="str" cm="1">
        <f t="array" ref="H313">IFERROR(VLOOKUP(INPUT!M308&amp;INPUT!N308,CHOOSE({1,2},INPUT!$A$3:$A$5000&amp;INPUT!$C$3:$C$5000,INPUT!$D$3:$D$5000),2,FALSE),"")</f>
        <v>GYM+FISICO</v>
      </c>
      <c r="I313" s="46">
        <f>IF(INPUT!P308="","",INPUT!P308)</f>
        <v>84.9</v>
      </c>
      <c r="J313" s="46">
        <f>IF(INPUT!Q308="","",INPUT!Q308)</f>
        <v>85.2</v>
      </c>
      <c r="K313" s="46">
        <f>IFERROR(IF(OR(INPUT!P308="",INPUT!Q308=""),"",INPUT!P308-INPUT!Q308),"")</f>
        <v>-0.29999999999999716</v>
      </c>
      <c r="L313" s="48">
        <f>IFERROR(IF(OR(INPUT!P308="",INPUT!Q308="",INPUT!P308=0),"",(INPUT!P308-INPUT!Q308)/INPUT!P308),"")</f>
        <v>-3.5335689045936057E-3</v>
      </c>
    </row>
    <row r="314" spans="1:12" ht="18" hidden="1" customHeight="1" x14ac:dyDescent="0.2">
      <c r="A314" s="11">
        <f>IF(INPUT!M309="","",INPUT!M309)</f>
        <v>45887</v>
      </c>
      <c r="B314" s="11">
        <f>IF(INPUT!M309="","",INPUT!M309-WEEKDAY(INPUT!M309,2)+1)</f>
        <v>45887</v>
      </c>
      <c r="C314" s="20">
        <f>IFERROR(_xlfn.ISOWEEKNUM(INPUT!M309),"")</f>
        <v>34</v>
      </c>
      <c r="D314" s="20">
        <f>IFERROR(YEAR(INPUT!M309),"")</f>
        <v>2025</v>
      </c>
      <c r="E314" t="str">
        <f>IF(INPUT!O309="","",INPUT!O309)</f>
        <v>GONZALO</v>
      </c>
      <c r="F314" t="str">
        <f>IF(INPUT!N309="","",INPUT!N309)</f>
        <v>T</v>
      </c>
      <c r="G314" t="str" cm="1">
        <f t="array" ref="G314">IFERROR(VLOOKUP(INPUT!M309&amp;INPUT!N309,CHOOSE({1,2},INPUT!$A$3:$A$5000&amp;INPUT!$C$3:$C$5000,INPUT!$F$3:$F$5000),2,FALSE),"")</f>
        <v>PRE-TEMPORADA</v>
      </c>
      <c r="H314" t="str" cm="1">
        <f t="array" ref="H314">IFERROR(VLOOKUP(INPUT!M309&amp;INPUT!N309,CHOOSE({1,2},INPUT!$A$3:$A$5000&amp;INPUT!$C$3:$C$5000,INPUT!$D$3:$D$5000),2,FALSE),"")</f>
        <v>TEC-TAC</v>
      </c>
      <c r="I314" s="46">
        <f>IF(INPUT!P309="","",INPUT!P309)</f>
        <v>85.4</v>
      </c>
      <c r="J314" s="46">
        <f>IF(INPUT!Q309="","",INPUT!Q309)</f>
        <v>85.4</v>
      </c>
      <c r="K314" s="46">
        <f>IFERROR(IF(OR(INPUT!P309="",INPUT!Q309=""),"",INPUT!P309-INPUT!Q309),"")</f>
        <v>0</v>
      </c>
      <c r="L314" s="48">
        <f>IFERROR(IF(OR(INPUT!P309="",INPUT!Q309="",INPUT!P309=0),"",(INPUT!P309-INPUT!Q309)/INPUT!P309),"")</f>
        <v>0</v>
      </c>
    </row>
    <row r="315" spans="1:12" ht="18" hidden="1" customHeight="1" x14ac:dyDescent="0.2">
      <c r="A315" s="11">
        <f>IF(INPUT!M310="","",INPUT!M310)</f>
        <v>45887</v>
      </c>
      <c r="B315" s="11">
        <f>IF(INPUT!M310="","",INPUT!M310-WEEKDAY(INPUT!M310,2)+1)</f>
        <v>45887</v>
      </c>
      <c r="C315" s="20">
        <f>IFERROR(_xlfn.ISOWEEKNUM(INPUT!M310),"")</f>
        <v>34</v>
      </c>
      <c r="D315" s="20">
        <f>IFERROR(YEAR(INPUT!M310),"")</f>
        <v>2025</v>
      </c>
      <c r="E315" t="str">
        <f>IF(INPUT!O310="","",INPUT!O310)</f>
        <v>RUBIO</v>
      </c>
      <c r="F315" t="str">
        <f>IF(INPUT!N310="","",INPUT!N310)</f>
        <v>M</v>
      </c>
      <c r="G315" t="str" cm="1">
        <f t="array" ref="G315">IFERROR(VLOOKUP(INPUT!M310&amp;INPUT!N310,CHOOSE({1,2},INPUT!$A$3:$A$5000&amp;INPUT!$C$3:$C$5000,INPUT!$F$3:$F$5000),2,FALSE),"")</f>
        <v>PRE-TEMPORADA</v>
      </c>
      <c r="H315" t="str" cm="1">
        <f t="array" ref="H315">IFERROR(VLOOKUP(INPUT!M310&amp;INPUT!N310,CHOOSE({1,2},INPUT!$A$3:$A$5000&amp;INPUT!$C$3:$C$5000,INPUT!$D$3:$D$5000),2,FALSE),"")</f>
        <v>GYM+FISICO</v>
      </c>
      <c r="I315" s="46">
        <f>IF(INPUT!P310="","",INPUT!P310)</f>
        <v>74.599999999999994</v>
      </c>
      <c r="J315" s="46">
        <f>IF(INPUT!Q310="","",INPUT!Q310)</f>
        <v>74.8</v>
      </c>
      <c r="K315" s="46">
        <f>IFERROR(IF(OR(INPUT!P310="",INPUT!Q310=""),"",INPUT!P310-INPUT!Q310),"")</f>
        <v>-0.20000000000000284</v>
      </c>
      <c r="L315" s="48">
        <f>IFERROR(IF(OR(INPUT!P310="",INPUT!Q310="",INPUT!P310=0),"",(INPUT!P310-INPUT!Q310)/INPUT!P310),"")</f>
        <v>-2.6809651474531213E-3</v>
      </c>
    </row>
    <row r="316" spans="1:12" ht="18" hidden="1" customHeight="1" x14ac:dyDescent="0.2">
      <c r="A316" s="11">
        <f>IF(INPUT!M311="","",INPUT!M311)</f>
        <v>45887</v>
      </c>
      <c r="B316" s="11">
        <f>IF(INPUT!M311="","",INPUT!M311-WEEKDAY(INPUT!M311,2)+1)</f>
        <v>45887</v>
      </c>
      <c r="C316" s="20">
        <f>IFERROR(_xlfn.ISOWEEKNUM(INPUT!M311),"")</f>
        <v>34</v>
      </c>
      <c r="D316" s="20">
        <f>IFERROR(YEAR(INPUT!M311),"")</f>
        <v>2025</v>
      </c>
      <c r="E316" t="str">
        <f>IF(INPUT!O311="","",INPUT!O311)</f>
        <v>RUBIO</v>
      </c>
      <c r="F316" t="str">
        <f>IF(INPUT!N311="","",INPUT!N311)</f>
        <v>T</v>
      </c>
      <c r="G316" t="str" cm="1">
        <f t="array" ref="G316">IFERROR(VLOOKUP(INPUT!M311&amp;INPUT!N311,CHOOSE({1,2},INPUT!$A$3:$A$5000&amp;INPUT!$C$3:$C$5000,INPUT!$F$3:$F$5000),2,FALSE),"")</f>
        <v>PRE-TEMPORADA</v>
      </c>
      <c r="H316" t="str" cm="1">
        <f t="array" ref="H316">IFERROR(VLOOKUP(INPUT!M311&amp;INPUT!N311,CHOOSE({1,2},INPUT!$A$3:$A$5000&amp;INPUT!$C$3:$C$5000,INPUT!$D$3:$D$5000),2,FALSE),"")</f>
        <v>TEC-TAC</v>
      </c>
      <c r="I316" s="46">
        <f>IF(INPUT!P311="","",INPUT!P311)</f>
        <v>74.8</v>
      </c>
      <c r="J316" s="46">
        <f>IF(INPUT!Q311="","",INPUT!Q311)</f>
        <v>74.7</v>
      </c>
      <c r="K316" s="46">
        <f>IFERROR(IF(OR(INPUT!P311="",INPUT!Q311=""),"",INPUT!P311-INPUT!Q311),"")</f>
        <v>9.9999999999994316E-2</v>
      </c>
      <c r="L316" s="48">
        <f>IFERROR(IF(OR(INPUT!P311="",INPUT!Q311="",INPUT!P311=0),"",(INPUT!P311-INPUT!Q311)/INPUT!P311),"")</f>
        <v>1.3368983957218492E-3</v>
      </c>
    </row>
    <row r="317" spans="1:12" ht="18" hidden="1" customHeight="1" x14ac:dyDescent="0.2">
      <c r="A317" s="11">
        <f>IF(INPUT!M312="","",INPUT!M312)</f>
        <v>45887</v>
      </c>
      <c r="B317" s="11">
        <f>IF(INPUT!M312="","",INPUT!M312-WEEKDAY(INPUT!M312,2)+1)</f>
        <v>45887</v>
      </c>
      <c r="C317" s="20">
        <f>IFERROR(_xlfn.ISOWEEKNUM(INPUT!M312),"")</f>
        <v>34</v>
      </c>
      <c r="D317" s="20">
        <f>IFERROR(YEAR(INPUT!M312),"")</f>
        <v>2025</v>
      </c>
      <c r="E317" t="str">
        <f>IF(INPUT!O312="","",INPUT!O312)</f>
        <v>DANI</v>
      </c>
      <c r="F317" t="str">
        <f>IF(INPUT!N312="","",INPUT!N312)</f>
        <v>M</v>
      </c>
      <c r="G317" t="str" cm="1">
        <f t="array" ref="G317">IFERROR(VLOOKUP(INPUT!M312&amp;INPUT!N312,CHOOSE({1,2},INPUT!$A$3:$A$5000&amp;INPUT!$C$3:$C$5000,INPUT!$F$3:$F$5000),2,FALSE),"")</f>
        <v>PRE-TEMPORADA</v>
      </c>
      <c r="H317" t="str" cm="1">
        <f t="array" ref="H317">IFERROR(VLOOKUP(INPUT!M312&amp;INPUT!N312,CHOOSE({1,2},INPUT!$A$3:$A$5000&amp;INPUT!$C$3:$C$5000,INPUT!$D$3:$D$5000),2,FALSE),"")</f>
        <v>GYM+FISICO</v>
      </c>
      <c r="I317" s="46">
        <f>IF(INPUT!P312="","",INPUT!P312)</f>
        <v>93.6</v>
      </c>
      <c r="J317" s="46">
        <f>IF(INPUT!Q312="","",INPUT!Q312)</f>
        <v>92.7</v>
      </c>
      <c r="K317" s="46">
        <f>IFERROR(IF(OR(INPUT!P312="",INPUT!Q312=""),"",INPUT!P312-INPUT!Q312),"")</f>
        <v>0.89999999999999147</v>
      </c>
      <c r="L317" s="48">
        <f>IFERROR(IF(OR(INPUT!P312="",INPUT!Q312="",INPUT!P312=0),"",(INPUT!P312-INPUT!Q312)/INPUT!P312),"")</f>
        <v>9.6153846153845257E-3</v>
      </c>
    </row>
    <row r="318" spans="1:12" ht="18" hidden="1" customHeight="1" x14ac:dyDescent="0.2">
      <c r="A318" s="11">
        <f>IF(INPUT!M313="","",INPUT!M313)</f>
        <v>45887</v>
      </c>
      <c r="B318" s="11">
        <f>IF(INPUT!M313="","",INPUT!M313-WEEKDAY(INPUT!M313,2)+1)</f>
        <v>45887</v>
      </c>
      <c r="C318" s="20">
        <f>IFERROR(_xlfn.ISOWEEKNUM(INPUT!M313),"")</f>
        <v>34</v>
      </c>
      <c r="D318" s="20">
        <f>IFERROR(YEAR(INPUT!M313),"")</f>
        <v>2025</v>
      </c>
      <c r="E318" t="str">
        <f>IF(INPUT!O313="","",INPUT!O313)</f>
        <v>DANI</v>
      </c>
      <c r="F318" t="str">
        <f>IF(INPUT!N313="","",INPUT!N313)</f>
        <v>T</v>
      </c>
      <c r="G318" t="str" cm="1">
        <f t="array" ref="G318">IFERROR(VLOOKUP(INPUT!M313&amp;INPUT!N313,CHOOSE({1,2},INPUT!$A$3:$A$5000&amp;INPUT!$C$3:$C$5000,INPUT!$F$3:$F$5000),2,FALSE),"")</f>
        <v>PRE-TEMPORADA</v>
      </c>
      <c r="H318" t="str" cm="1">
        <f t="array" ref="H318">IFERROR(VLOOKUP(INPUT!M313&amp;INPUT!N313,CHOOSE({1,2},INPUT!$A$3:$A$5000&amp;INPUT!$C$3:$C$5000,INPUT!$D$3:$D$5000),2,FALSE),"")</f>
        <v>TEC-TAC</v>
      </c>
      <c r="I318" s="46">
        <f>IF(INPUT!P313="","",INPUT!P313)</f>
        <v>93.5</v>
      </c>
      <c r="J318" s="46">
        <f>IF(INPUT!Q313="","",INPUT!Q313)</f>
        <v>93</v>
      </c>
      <c r="K318" s="46">
        <f>IFERROR(IF(OR(INPUT!P313="",INPUT!Q313=""),"",INPUT!P313-INPUT!Q313),"")</f>
        <v>0.5</v>
      </c>
      <c r="L318" s="48">
        <f>IFERROR(IF(OR(INPUT!P313="",INPUT!Q313="",INPUT!P313=0),"",(INPUT!P313-INPUT!Q313)/INPUT!P313),"")</f>
        <v>5.3475935828877002E-3</v>
      </c>
    </row>
    <row r="319" spans="1:12" ht="18" hidden="1" customHeight="1" x14ac:dyDescent="0.2">
      <c r="A319" s="11">
        <f>IF(INPUT!M314="","",INPUT!M314)</f>
        <v>45887</v>
      </c>
      <c r="B319" s="11">
        <f>IF(INPUT!M314="","",INPUT!M314-WEEKDAY(INPUT!M314,2)+1)</f>
        <v>45887</v>
      </c>
      <c r="C319" s="20">
        <f>IFERROR(_xlfn.ISOWEEKNUM(INPUT!M314),"")</f>
        <v>34</v>
      </c>
      <c r="D319" s="20">
        <f>IFERROR(YEAR(INPUT!M314),"")</f>
        <v>2025</v>
      </c>
      <c r="E319" t="str">
        <f>IF(INPUT!O314="","",INPUT!O314)</f>
        <v>JAIME</v>
      </c>
      <c r="F319" t="str">
        <f>IF(INPUT!N314="","",INPUT!N314)</f>
        <v>M</v>
      </c>
      <c r="G319" t="str" cm="1">
        <f t="array" ref="G319">IFERROR(VLOOKUP(INPUT!M314&amp;INPUT!N314,CHOOSE({1,2},INPUT!$A$3:$A$5000&amp;INPUT!$C$3:$C$5000,INPUT!$F$3:$F$5000),2,FALSE),"")</f>
        <v>PRE-TEMPORADA</v>
      </c>
      <c r="H319" t="str" cm="1">
        <f t="array" ref="H319">IFERROR(VLOOKUP(INPUT!M314&amp;INPUT!N314,CHOOSE({1,2},INPUT!$A$3:$A$5000&amp;INPUT!$C$3:$C$5000,INPUT!$D$3:$D$5000),2,FALSE),"")</f>
        <v>GYM+FISICO</v>
      </c>
      <c r="I319" s="46">
        <f>IF(INPUT!P314="","",INPUT!P314)</f>
        <v>74.8</v>
      </c>
      <c r="J319" s="46">
        <f>IF(INPUT!Q314="","",INPUT!Q314)</f>
        <v>74.400000000000006</v>
      </c>
      <c r="K319" s="46">
        <f>IFERROR(IF(OR(INPUT!P314="",INPUT!Q314=""),"",INPUT!P314-INPUT!Q314),"")</f>
        <v>0.39999999999999147</v>
      </c>
      <c r="L319" s="48">
        <f>IFERROR(IF(OR(INPUT!P314="",INPUT!Q314="",INPUT!P314=0),"",(INPUT!P314-INPUT!Q314)/INPUT!P314),"")</f>
        <v>5.3475935828875866E-3</v>
      </c>
    </row>
    <row r="320" spans="1:12" ht="18" hidden="1" customHeight="1" x14ac:dyDescent="0.2">
      <c r="A320" s="11">
        <f>IF(INPUT!M315="","",INPUT!M315)</f>
        <v>45887</v>
      </c>
      <c r="B320" s="11">
        <f>IF(INPUT!M315="","",INPUT!M315-WEEKDAY(INPUT!M315,2)+1)</f>
        <v>45887</v>
      </c>
      <c r="C320" s="20">
        <f>IFERROR(_xlfn.ISOWEEKNUM(INPUT!M315),"")</f>
        <v>34</v>
      </c>
      <c r="D320" s="20">
        <f>IFERROR(YEAR(INPUT!M315),"")</f>
        <v>2025</v>
      </c>
      <c r="E320" t="str">
        <f>IF(INPUT!O315="","",INPUT!O315)</f>
        <v>JAIME</v>
      </c>
      <c r="F320" t="str">
        <f>IF(INPUT!N315="","",INPUT!N315)</f>
        <v>T</v>
      </c>
      <c r="G320" t="str" cm="1">
        <f t="array" ref="G320">IFERROR(VLOOKUP(INPUT!M315&amp;INPUT!N315,CHOOSE({1,2},INPUT!$A$3:$A$5000&amp;INPUT!$C$3:$C$5000,INPUT!$F$3:$F$5000),2,FALSE),"")</f>
        <v>PRE-TEMPORADA</v>
      </c>
      <c r="H320" t="str" cm="1">
        <f t="array" ref="H320">IFERROR(VLOOKUP(INPUT!M315&amp;INPUT!N315,CHOOSE({1,2},INPUT!$A$3:$A$5000&amp;INPUT!$C$3:$C$5000,INPUT!$D$3:$D$5000),2,FALSE),"")</f>
        <v>TEC-TAC</v>
      </c>
      <c r="I320" s="46">
        <f>IF(INPUT!P315="","",INPUT!P315)</f>
        <v>74.5</v>
      </c>
      <c r="J320" s="46">
        <f>IF(INPUT!Q315="","",INPUT!Q315)</f>
        <v>74.400000000000006</v>
      </c>
      <c r="K320" s="46">
        <f>IFERROR(IF(OR(INPUT!P315="",INPUT!Q315=""),"",INPUT!P315-INPUT!Q315),"")</f>
        <v>9.9999999999994316E-2</v>
      </c>
      <c r="L320" s="48">
        <f>IFERROR(IF(OR(INPUT!P315="",INPUT!Q315="",INPUT!P315=0),"",(INPUT!P315-INPUT!Q315)/INPUT!P315),"")</f>
        <v>1.3422818791945545E-3</v>
      </c>
    </row>
    <row r="321" spans="1:12" ht="18" hidden="1" customHeight="1" x14ac:dyDescent="0.2">
      <c r="A321" s="11">
        <f>IF(INPUT!M316="","",INPUT!M316)</f>
        <v>45888</v>
      </c>
      <c r="B321" s="11">
        <f>IF(INPUT!M316="","",INPUT!M316-WEEKDAY(INPUT!M316,2)+1)</f>
        <v>45887</v>
      </c>
      <c r="C321" s="20">
        <f>IFERROR(_xlfn.ISOWEEKNUM(INPUT!M316),"")</f>
        <v>34</v>
      </c>
      <c r="D321" s="20">
        <f>IFERROR(YEAR(INPUT!M316),"")</f>
        <v>2025</v>
      </c>
      <c r="E321" t="str">
        <f>IF(INPUT!O316="","",INPUT!O316)</f>
        <v>HERRERO</v>
      </c>
      <c r="F321" t="str">
        <f>IF(INPUT!N316="","",INPUT!N316)</f>
        <v>M</v>
      </c>
      <c r="G321" t="str" cm="1">
        <f t="array" ref="G321">IFERROR(VLOOKUP(INPUT!M316&amp;INPUT!N316,CHOOSE({1,2},INPUT!$A$3:$A$5000&amp;INPUT!$C$3:$C$5000,INPUT!$F$3:$F$5000),2,FALSE),"")</f>
        <v>PRE-TEMPORADA</v>
      </c>
      <c r="H321" t="str" cm="1">
        <f t="array" ref="H321">IFERROR(VLOOKUP(INPUT!M316&amp;INPUT!N316,CHOOSE({1,2},INPUT!$A$3:$A$5000&amp;INPUT!$C$3:$C$5000,INPUT!$D$3:$D$5000),2,FALSE),"")</f>
        <v>TEC-TAC</v>
      </c>
      <c r="I321" s="46">
        <f>IF(INPUT!P316="","",INPUT!P316)</f>
        <v>76.900000000000006</v>
      </c>
      <c r="J321" s="46">
        <f>IF(INPUT!Q316="","",INPUT!Q316)</f>
        <v>76</v>
      </c>
      <c r="K321" s="46">
        <f>IFERROR(IF(OR(INPUT!P316="",INPUT!Q316=""),"",INPUT!P316-INPUT!Q316),"")</f>
        <v>0.90000000000000568</v>
      </c>
      <c r="L321" s="48">
        <f>IFERROR(IF(OR(INPUT!P316="",INPUT!Q316="",INPUT!P316=0),"",(INPUT!P316-INPUT!Q316)/INPUT!P316),"")</f>
        <v>1.1703511053316068E-2</v>
      </c>
    </row>
    <row r="322" spans="1:12" ht="18" hidden="1" customHeight="1" x14ac:dyDescent="0.2">
      <c r="A322" s="11">
        <f>IF(INPUT!M317="","",INPUT!M317)</f>
        <v>45888</v>
      </c>
      <c r="B322" s="11">
        <f>IF(INPUT!M317="","",INPUT!M317-WEEKDAY(INPUT!M317,2)+1)</f>
        <v>45887</v>
      </c>
      <c r="C322" s="20">
        <f>IFERROR(_xlfn.ISOWEEKNUM(INPUT!M317),"")</f>
        <v>34</v>
      </c>
      <c r="D322" s="20">
        <f>IFERROR(YEAR(INPUT!M317),"")</f>
        <v>2025</v>
      </c>
      <c r="E322" t="str">
        <f>IF(INPUT!O317="","",INPUT!O317)</f>
        <v>GARCIA</v>
      </c>
      <c r="F322" t="str">
        <f>IF(INPUT!N317="","",INPUT!N317)</f>
        <v>M</v>
      </c>
      <c r="G322" t="str" cm="1">
        <f t="array" ref="G322">IFERROR(VLOOKUP(INPUT!M317&amp;INPUT!N317,CHOOSE({1,2},INPUT!$A$3:$A$5000&amp;INPUT!$C$3:$C$5000,INPUT!$F$3:$F$5000),2,FALSE),"")</f>
        <v>PRE-TEMPORADA</v>
      </c>
      <c r="H322" t="str" cm="1">
        <f t="array" ref="H322">IFERROR(VLOOKUP(INPUT!M317&amp;INPUT!N317,CHOOSE({1,2},INPUT!$A$3:$A$5000&amp;INPUT!$C$3:$C$5000,INPUT!$D$3:$D$5000),2,FALSE),"")</f>
        <v>TEC-TAC</v>
      </c>
      <c r="I322" s="46">
        <f>IF(INPUT!P317="","",INPUT!P317)</f>
        <v>79.5</v>
      </c>
      <c r="J322" s="46">
        <f>IF(INPUT!Q317="","",INPUT!Q317)</f>
        <v>78.8</v>
      </c>
      <c r="K322" s="46">
        <f>IFERROR(IF(OR(INPUT!P317="",INPUT!Q317=""),"",INPUT!P317-INPUT!Q317),"")</f>
        <v>0.70000000000000284</v>
      </c>
      <c r="L322" s="48">
        <f>IFERROR(IF(OR(INPUT!P317="",INPUT!Q317="",INPUT!P317=0),"",(INPUT!P317-INPUT!Q317)/INPUT!P317),"")</f>
        <v>8.8050314465409167E-3</v>
      </c>
    </row>
    <row r="323" spans="1:12" ht="18" hidden="1" customHeight="1" x14ac:dyDescent="0.2">
      <c r="A323" s="11">
        <f>IF(INPUT!M318="","",INPUT!M318)</f>
        <v>45888</v>
      </c>
      <c r="B323" s="11">
        <f>IF(INPUT!M318="","",INPUT!M318-WEEKDAY(INPUT!M318,2)+1)</f>
        <v>45887</v>
      </c>
      <c r="C323" s="20">
        <f>IFERROR(_xlfn.ISOWEEKNUM(INPUT!M318),"")</f>
        <v>34</v>
      </c>
      <c r="D323" s="20">
        <f>IFERROR(YEAR(INPUT!M318),"")</f>
        <v>2025</v>
      </c>
      <c r="E323" t="str">
        <f>IF(INPUT!O318="","",INPUT!O318)</f>
        <v>OSCAR</v>
      </c>
      <c r="F323" t="str">
        <f>IF(INPUT!N318="","",INPUT!N318)</f>
        <v>M</v>
      </c>
      <c r="G323" t="str" cm="1">
        <f t="array" ref="G323">IFERROR(VLOOKUP(INPUT!M318&amp;INPUT!N318,CHOOSE({1,2},INPUT!$A$3:$A$5000&amp;INPUT!$C$3:$C$5000,INPUT!$F$3:$F$5000),2,FALSE),"")</f>
        <v>PRE-TEMPORADA</v>
      </c>
      <c r="H323" t="str" cm="1">
        <f t="array" ref="H323">IFERROR(VLOOKUP(INPUT!M318&amp;INPUT!N318,CHOOSE({1,2},INPUT!$A$3:$A$5000&amp;INPUT!$C$3:$C$5000,INPUT!$D$3:$D$5000),2,FALSE),"")</f>
        <v>TEC-TAC</v>
      </c>
      <c r="I323" s="46">
        <f>IF(INPUT!P318="","",INPUT!P318)</f>
        <v>88.3</v>
      </c>
      <c r="J323" s="46">
        <f>IF(INPUT!Q318="","",INPUT!Q318)</f>
        <v>88.2</v>
      </c>
      <c r="K323" s="46">
        <f>IFERROR(IF(OR(INPUT!P318="",INPUT!Q318=""),"",INPUT!P318-INPUT!Q318),"")</f>
        <v>9.9999999999994316E-2</v>
      </c>
      <c r="L323" s="48">
        <f>IFERROR(IF(OR(INPUT!P318="",INPUT!Q318="",INPUT!P318=0),"",(INPUT!P318-INPUT!Q318)/INPUT!P318),"")</f>
        <v>1.1325028312570138E-3</v>
      </c>
    </row>
    <row r="324" spans="1:12" ht="18" hidden="1" customHeight="1" x14ac:dyDescent="0.2">
      <c r="A324" s="11">
        <f>IF(INPUT!M319="","",INPUT!M319)</f>
        <v>45888</v>
      </c>
      <c r="B324" s="11">
        <f>IF(INPUT!M319="","",INPUT!M319-WEEKDAY(INPUT!M319,2)+1)</f>
        <v>45887</v>
      </c>
      <c r="C324" s="20">
        <f>IFERROR(_xlfn.ISOWEEKNUM(INPUT!M319),"")</f>
        <v>34</v>
      </c>
      <c r="D324" s="20">
        <f>IFERROR(YEAR(INPUT!M319),"")</f>
        <v>2025</v>
      </c>
      <c r="E324" t="str">
        <f>IF(INPUT!O319="","",INPUT!O319)</f>
        <v>CECILIO</v>
      </c>
      <c r="F324" t="str">
        <f>IF(INPUT!N319="","",INPUT!N319)</f>
        <v>M</v>
      </c>
      <c r="G324" t="str" cm="1">
        <f t="array" ref="G324">IFERROR(VLOOKUP(INPUT!M319&amp;INPUT!N319,CHOOSE({1,2},INPUT!$A$3:$A$5000&amp;INPUT!$C$3:$C$5000,INPUT!$F$3:$F$5000),2,FALSE),"")</f>
        <v>PRE-TEMPORADA</v>
      </c>
      <c r="H324" t="str" cm="1">
        <f t="array" ref="H324">IFERROR(VLOOKUP(INPUT!M319&amp;INPUT!N319,CHOOSE({1,2},INPUT!$A$3:$A$5000&amp;INPUT!$C$3:$C$5000,INPUT!$D$3:$D$5000),2,FALSE),"")</f>
        <v>TEC-TAC</v>
      </c>
      <c r="I324" s="46">
        <f>IF(INPUT!P319="","",INPUT!P319)</f>
        <v>67.8</v>
      </c>
      <c r="J324" s="46">
        <f>IF(INPUT!Q319="","",INPUT!Q319)</f>
        <v>67.2</v>
      </c>
      <c r="K324" s="46">
        <f>IFERROR(IF(OR(INPUT!P319="",INPUT!Q319=""),"",INPUT!P319-INPUT!Q319),"")</f>
        <v>0.59999999999999432</v>
      </c>
      <c r="L324" s="48">
        <f>IFERROR(IF(OR(INPUT!P319="",INPUT!Q319="",INPUT!P319=0),"",(INPUT!P319-INPUT!Q319)/INPUT!P319),"")</f>
        <v>8.8495575221238104E-3</v>
      </c>
    </row>
    <row r="325" spans="1:12" ht="18" customHeight="1" x14ac:dyDescent="0.2">
      <c r="A325" s="11">
        <f>IF(INPUT!M320="","",INPUT!M320)</f>
        <v>45888</v>
      </c>
      <c r="B325" s="11">
        <f>IF(INPUT!M320="","",INPUT!M320-WEEKDAY(INPUT!M320,2)+1)</f>
        <v>45887</v>
      </c>
      <c r="C325" s="20">
        <f>IFERROR(_xlfn.ISOWEEKNUM(INPUT!M320),"")</f>
        <v>34</v>
      </c>
      <c r="D325" s="20">
        <f>IFERROR(YEAR(INPUT!M320),"")</f>
        <v>2025</v>
      </c>
      <c r="E325" t="str">
        <f>IF(INPUT!O320="","",INPUT!O320)</f>
        <v>CHAGUINHA</v>
      </c>
      <c r="F325" t="str">
        <f>IF(INPUT!N320="","",INPUT!N320)</f>
        <v>M</v>
      </c>
      <c r="G325" t="str" cm="1">
        <f t="array" ref="G325">IFERROR(VLOOKUP(INPUT!M320&amp;INPUT!N320,CHOOSE({1,2},INPUT!$A$3:$A$5000&amp;INPUT!$C$3:$C$5000,INPUT!$F$3:$F$5000),2,FALSE),"")</f>
        <v>PRE-TEMPORADA</v>
      </c>
      <c r="H325" t="str" cm="1">
        <f t="array" ref="H325">IFERROR(VLOOKUP(INPUT!M320&amp;INPUT!N320,CHOOSE({1,2},INPUT!$A$3:$A$5000&amp;INPUT!$C$3:$C$5000,INPUT!$D$3:$D$5000),2,FALSE),"")</f>
        <v>TEC-TAC</v>
      </c>
      <c r="I325" s="46">
        <f>IF(INPUT!P320="","",INPUT!P320)</f>
        <v>69.2</v>
      </c>
      <c r="J325" s="46">
        <f>IF(INPUT!Q320="","",INPUT!Q320)</f>
        <v>69</v>
      </c>
      <c r="K325" s="46">
        <f>IFERROR(IF(OR(INPUT!P320="",INPUT!Q320=""),"",INPUT!P320-INPUT!Q320),"")</f>
        <v>0.20000000000000284</v>
      </c>
      <c r="L325" s="48">
        <f>IFERROR(IF(OR(INPUT!P320="",INPUT!Q320="",INPUT!P320=0),"",(INPUT!P320-INPUT!Q320)/INPUT!P320),"")</f>
        <v>2.8901734104046653E-3</v>
      </c>
    </row>
    <row r="326" spans="1:12" ht="18" customHeight="1" x14ac:dyDescent="0.2">
      <c r="A326" s="11">
        <f>IF(INPUT!M321="","",INPUT!M321)</f>
        <v>45888</v>
      </c>
      <c r="B326" s="11">
        <f>IF(INPUT!M321="","",INPUT!M321-WEEKDAY(INPUT!M321,2)+1)</f>
        <v>45887</v>
      </c>
      <c r="C326" s="20">
        <f>IFERROR(_xlfn.ISOWEEKNUM(INPUT!M321),"")</f>
        <v>34</v>
      </c>
      <c r="D326" s="20">
        <f>IFERROR(YEAR(INPUT!M321),"")</f>
        <v>2025</v>
      </c>
      <c r="E326" t="str">
        <f>IF(INPUT!O321="","",INPUT!O321)</f>
        <v>RAUL</v>
      </c>
      <c r="F326" t="str">
        <f>IF(INPUT!N321="","",INPUT!N321)</f>
        <v>M</v>
      </c>
      <c r="G326" t="str" cm="1">
        <f t="array" ref="G326">IFERROR(VLOOKUP(INPUT!M321&amp;INPUT!N321,CHOOSE({1,2},INPUT!$A$3:$A$5000&amp;INPUT!$C$3:$C$5000,INPUT!$F$3:$F$5000),2,FALSE),"")</f>
        <v>PRE-TEMPORADA</v>
      </c>
      <c r="H326" t="str" cm="1">
        <f t="array" ref="H326">IFERROR(VLOOKUP(INPUT!M321&amp;INPUT!N321,CHOOSE({1,2},INPUT!$A$3:$A$5000&amp;INPUT!$C$3:$C$5000,INPUT!$D$3:$D$5000),2,FALSE),"")</f>
        <v>TEC-TAC</v>
      </c>
      <c r="I326" s="46">
        <f>IF(INPUT!P321="","",INPUT!P321)</f>
        <v>80</v>
      </c>
      <c r="J326" s="46">
        <f>IF(INPUT!Q321="","",INPUT!Q321)</f>
        <v>79.599999999999994</v>
      </c>
      <c r="K326" s="46">
        <f>IFERROR(IF(OR(INPUT!P321="",INPUT!Q321=""),"",INPUT!P321-INPUT!Q321),"")</f>
        <v>0.40000000000000568</v>
      </c>
      <c r="L326" s="48">
        <f>IFERROR(IF(OR(INPUT!P321="",INPUT!Q321="",INPUT!P321=0),"",(INPUT!P321-INPUT!Q321)/INPUT!P321),"")</f>
        <v>5.0000000000000712E-3</v>
      </c>
    </row>
    <row r="327" spans="1:12" ht="18" customHeight="1" x14ac:dyDescent="0.2">
      <c r="A327" s="11">
        <f>IF(INPUT!M322="","",INPUT!M322)</f>
        <v>45888</v>
      </c>
      <c r="B327" s="11">
        <f>IF(INPUT!M322="","",INPUT!M322-WEEKDAY(INPUT!M322,2)+1)</f>
        <v>45887</v>
      </c>
      <c r="C327" s="20">
        <f>IFERROR(_xlfn.ISOWEEKNUM(INPUT!M322),"")</f>
        <v>34</v>
      </c>
      <c r="D327" s="20">
        <f>IFERROR(YEAR(INPUT!M322),"")</f>
        <v>2025</v>
      </c>
      <c r="E327" t="str">
        <f>IF(INPUT!O322="","",INPUT!O322)</f>
        <v>HARRISON</v>
      </c>
      <c r="F327" t="str">
        <f>IF(INPUT!N322="","",INPUT!N322)</f>
        <v>M</v>
      </c>
      <c r="G327" t="str" cm="1">
        <f t="array" ref="G327">IFERROR(VLOOKUP(INPUT!M322&amp;INPUT!N322,CHOOSE({1,2},INPUT!$A$3:$A$5000&amp;INPUT!$C$3:$C$5000,INPUT!$F$3:$F$5000),2,FALSE),"")</f>
        <v>PRE-TEMPORADA</v>
      </c>
      <c r="H327" t="str" cm="1">
        <f t="array" ref="H327">IFERROR(VLOOKUP(INPUT!M322&amp;INPUT!N322,CHOOSE({1,2},INPUT!$A$3:$A$5000&amp;INPUT!$C$3:$C$5000,INPUT!$D$3:$D$5000),2,FALSE),"")</f>
        <v>TEC-TAC</v>
      </c>
      <c r="I327" s="46">
        <f>IF(INPUT!P322="","",INPUT!P322)</f>
        <v>70.900000000000006</v>
      </c>
      <c r="J327" s="46">
        <f>IF(INPUT!Q322="","",INPUT!Q322)</f>
        <v>71.099999999999994</v>
      </c>
      <c r="K327" s="46">
        <f>IFERROR(IF(OR(INPUT!P322="",INPUT!Q322=""),"",INPUT!P322-INPUT!Q322),"")</f>
        <v>-0.19999999999998863</v>
      </c>
      <c r="L327" s="48">
        <f>IFERROR(IF(OR(INPUT!P322="",INPUT!Q322="",INPUT!P322=0),"",(INPUT!P322-INPUT!Q322)/INPUT!P322),"")</f>
        <v>-2.8208744710858762E-3</v>
      </c>
    </row>
    <row r="328" spans="1:12" ht="18" customHeight="1" x14ac:dyDescent="0.2">
      <c r="A328" s="11">
        <f>IF(INPUT!M323="","",INPUT!M323)</f>
        <v>45888</v>
      </c>
      <c r="B328" s="11">
        <f>IF(INPUT!M323="","",INPUT!M323-WEEKDAY(INPUT!M323,2)+1)</f>
        <v>45887</v>
      </c>
      <c r="C328" s="20">
        <f>IFERROR(_xlfn.ISOWEEKNUM(INPUT!M323),"")</f>
        <v>34</v>
      </c>
      <c r="D328" s="20">
        <f>IFERROR(YEAR(INPUT!M323),"")</f>
        <v>2025</v>
      </c>
      <c r="E328" t="str">
        <f>IF(INPUT!O323="","",INPUT!O323)</f>
        <v>RAYA</v>
      </c>
      <c r="F328" t="str">
        <f>IF(INPUT!N323="","",INPUT!N323)</f>
        <v>M</v>
      </c>
      <c r="G328" t="str" cm="1">
        <f t="array" ref="G328">IFERROR(VLOOKUP(INPUT!M323&amp;INPUT!N323,CHOOSE({1,2},INPUT!$A$3:$A$5000&amp;INPUT!$C$3:$C$5000,INPUT!$F$3:$F$5000),2,FALSE),"")</f>
        <v>PRE-TEMPORADA</v>
      </c>
      <c r="H328" t="str" cm="1">
        <f t="array" ref="H328">IFERROR(VLOOKUP(INPUT!M323&amp;INPUT!N323,CHOOSE({1,2},INPUT!$A$3:$A$5000&amp;INPUT!$C$3:$C$5000,INPUT!$D$3:$D$5000),2,FALSE),"")</f>
        <v>TEC-TAC</v>
      </c>
      <c r="I328" s="46">
        <f>IF(INPUT!P323="","",INPUT!P323)</f>
        <v>81.900000000000006</v>
      </c>
      <c r="J328" s="46">
        <f>IF(INPUT!Q323="","",INPUT!Q323)</f>
        <v>80.2</v>
      </c>
      <c r="K328" s="46">
        <f>IFERROR(IF(OR(INPUT!P323="",INPUT!Q323=""),"",INPUT!P323-INPUT!Q323),"")</f>
        <v>1.7000000000000028</v>
      </c>
      <c r="L328" s="48">
        <f>IFERROR(IF(OR(INPUT!P323="",INPUT!Q323="",INPUT!P323=0),"",(INPUT!P323-INPUT!Q323)/INPUT!P323),"")</f>
        <v>2.0757020757020791E-2</v>
      </c>
    </row>
    <row r="329" spans="1:12" ht="18" customHeight="1" x14ac:dyDescent="0.2">
      <c r="A329" s="11">
        <f>IF(INPUT!M324="","",INPUT!M324)</f>
        <v>45888</v>
      </c>
      <c r="B329" s="11">
        <f>IF(INPUT!M324="","",INPUT!M324-WEEKDAY(INPUT!M324,2)+1)</f>
        <v>45887</v>
      </c>
      <c r="C329" s="20">
        <f>IFERROR(_xlfn.ISOWEEKNUM(INPUT!M324),"")</f>
        <v>34</v>
      </c>
      <c r="D329" s="20">
        <f>IFERROR(YEAR(INPUT!M324),"")</f>
        <v>2025</v>
      </c>
      <c r="E329" t="str">
        <f>IF(INPUT!O324="","",INPUT!O324)</f>
        <v>JAVI</v>
      </c>
      <c r="F329" t="str">
        <f>IF(INPUT!N324="","",INPUT!N324)</f>
        <v>M</v>
      </c>
      <c r="G329" t="str" cm="1">
        <f t="array" ref="G329">IFERROR(VLOOKUP(INPUT!M324&amp;INPUT!N324,CHOOSE({1,2},INPUT!$A$3:$A$5000&amp;INPUT!$C$3:$C$5000,INPUT!$F$3:$F$5000),2,FALSE),"")</f>
        <v>PRE-TEMPORADA</v>
      </c>
      <c r="H329" t="str" cm="1">
        <f t="array" ref="H329">IFERROR(VLOOKUP(INPUT!M324&amp;INPUT!N324,CHOOSE({1,2},INPUT!$A$3:$A$5000&amp;INPUT!$C$3:$C$5000,INPUT!$D$3:$D$5000),2,FALSE),"")</f>
        <v>TEC-TAC</v>
      </c>
      <c r="I329" s="46">
        <f>IF(INPUT!P324="","",INPUT!P324)</f>
        <v>79.099999999999994</v>
      </c>
      <c r="J329" s="46">
        <f>IF(INPUT!Q324="","",INPUT!Q324)</f>
        <v>79.099999999999994</v>
      </c>
      <c r="K329" s="46">
        <f>IFERROR(IF(OR(INPUT!P324="",INPUT!Q324=""),"",INPUT!P324-INPUT!Q324),"")</f>
        <v>0</v>
      </c>
      <c r="L329" s="48">
        <f>IFERROR(IF(OR(INPUT!P324="",INPUT!Q324="",INPUT!P324=0),"",(INPUT!P324-INPUT!Q324)/INPUT!P324),"")</f>
        <v>0</v>
      </c>
    </row>
    <row r="330" spans="1:12" ht="18" customHeight="1" x14ac:dyDescent="0.2">
      <c r="A330" s="11">
        <f>IF(INPUT!M325="","",INPUT!M325)</f>
        <v>45888</v>
      </c>
      <c r="B330" s="11">
        <f>IF(INPUT!M325="","",INPUT!M325-WEEKDAY(INPUT!M325,2)+1)</f>
        <v>45887</v>
      </c>
      <c r="C330" s="20">
        <f>IFERROR(_xlfn.ISOWEEKNUM(INPUT!M325),"")</f>
        <v>34</v>
      </c>
      <c r="D330" s="20">
        <f>IFERROR(YEAR(INPUT!M325),"")</f>
        <v>2025</v>
      </c>
      <c r="E330" t="str">
        <f>IF(INPUT!O325="","",INPUT!O325)</f>
        <v>PANI</v>
      </c>
      <c r="F330" t="str">
        <f>IF(INPUT!N325="","",INPUT!N325)</f>
        <v>M</v>
      </c>
      <c r="G330" t="str" cm="1">
        <f t="array" ref="G330">IFERROR(VLOOKUP(INPUT!M325&amp;INPUT!N325,CHOOSE({1,2},INPUT!$A$3:$A$5000&amp;INPUT!$C$3:$C$5000,INPUT!$F$3:$F$5000),2,FALSE),"")</f>
        <v>PRE-TEMPORADA</v>
      </c>
      <c r="H330" t="str" cm="1">
        <f t="array" ref="H330">IFERROR(VLOOKUP(INPUT!M325&amp;INPUT!N325,CHOOSE({1,2},INPUT!$A$3:$A$5000&amp;INPUT!$C$3:$C$5000,INPUT!$D$3:$D$5000),2,FALSE),"")</f>
        <v>TEC-TAC</v>
      </c>
      <c r="I330" s="46">
        <f>IF(INPUT!P325="","",INPUT!P325)</f>
        <v>71.3</v>
      </c>
      <c r="J330" s="46">
        <f>IF(INPUT!Q325="","",INPUT!Q325)</f>
        <v>70.2</v>
      </c>
      <c r="K330" s="46">
        <f>IFERROR(IF(OR(INPUT!P325="",INPUT!Q325=""),"",INPUT!P325-INPUT!Q325),"")</f>
        <v>1.0999999999999943</v>
      </c>
      <c r="L330" s="48">
        <f>IFERROR(IF(OR(INPUT!P325="",INPUT!Q325="",INPUT!P325=0),"",(INPUT!P325-INPUT!Q325)/INPUT!P325),"")</f>
        <v>1.5427769985974676E-2</v>
      </c>
    </row>
    <row r="331" spans="1:12" ht="18" customHeight="1" x14ac:dyDescent="0.2">
      <c r="A331" s="11">
        <f>IF(INPUT!M326="","",INPUT!M326)</f>
        <v>45888</v>
      </c>
      <c r="B331" s="11">
        <f>IF(INPUT!M326="","",INPUT!M326-WEEKDAY(INPUT!M326,2)+1)</f>
        <v>45887</v>
      </c>
      <c r="C331" s="20">
        <f>IFERROR(_xlfn.ISOWEEKNUM(INPUT!M326),"")</f>
        <v>34</v>
      </c>
      <c r="D331" s="20">
        <f>IFERROR(YEAR(INPUT!M326),"")</f>
        <v>2025</v>
      </c>
      <c r="E331" t="str">
        <f>IF(INPUT!O326="","",INPUT!O326)</f>
        <v>PIRATA</v>
      </c>
      <c r="F331" t="str">
        <f>IF(INPUT!N326="","",INPUT!N326)</f>
        <v>M</v>
      </c>
      <c r="G331" t="str" cm="1">
        <f t="array" ref="G331">IFERROR(VLOOKUP(INPUT!M326&amp;INPUT!N326,CHOOSE({1,2},INPUT!$A$3:$A$5000&amp;INPUT!$C$3:$C$5000,INPUT!$F$3:$F$5000),2,FALSE),"")</f>
        <v>PRE-TEMPORADA</v>
      </c>
      <c r="H331" t="str" cm="1">
        <f t="array" ref="H331">IFERROR(VLOOKUP(INPUT!M326&amp;INPUT!N326,CHOOSE({1,2},INPUT!$A$3:$A$5000&amp;INPUT!$C$3:$C$5000,INPUT!$D$3:$D$5000),2,FALSE),"")</f>
        <v>TEC-TAC</v>
      </c>
      <c r="I331" s="46">
        <f>IF(INPUT!P326="","",INPUT!P326)</f>
        <v>74.8</v>
      </c>
      <c r="J331" s="46">
        <f>IF(INPUT!Q326="","",INPUT!Q326)</f>
        <v>74.5</v>
      </c>
      <c r="K331" s="46">
        <f>IFERROR(IF(OR(INPUT!P326="",INPUT!Q326=""),"",INPUT!P326-INPUT!Q326),"")</f>
        <v>0.29999999999999716</v>
      </c>
      <c r="L331" s="48">
        <f>IFERROR(IF(OR(INPUT!P326="",INPUT!Q326="",INPUT!P326=0),"",(INPUT!P326-INPUT!Q326)/INPUT!P326),"")</f>
        <v>4.0106951871657377E-3</v>
      </c>
    </row>
    <row r="332" spans="1:12" ht="18" hidden="1" customHeight="1" x14ac:dyDescent="0.2">
      <c r="A332" s="11">
        <f>IF(INPUT!M327="","",INPUT!M327)</f>
        <v>45888</v>
      </c>
      <c r="B332" s="11">
        <f>IF(INPUT!M327="","",INPUT!M327-WEEKDAY(INPUT!M327,2)+1)</f>
        <v>45887</v>
      </c>
      <c r="C332" s="20">
        <f>IFERROR(_xlfn.ISOWEEKNUM(INPUT!M327),"")</f>
        <v>34</v>
      </c>
      <c r="D332" s="20">
        <f>IFERROR(YEAR(INPUT!M327),"")</f>
        <v>2025</v>
      </c>
      <c r="E332" t="str">
        <f>IF(INPUT!O327="","",INPUT!O327)</f>
        <v>BARONA</v>
      </c>
      <c r="F332" t="str">
        <f>IF(INPUT!N327="","",INPUT!N327)</f>
        <v>M</v>
      </c>
      <c r="G332" t="str" cm="1">
        <f t="array" ref="G332">IFERROR(VLOOKUP(INPUT!M327&amp;INPUT!N327,CHOOSE({1,2},INPUT!$A$3:$A$5000&amp;INPUT!$C$3:$C$5000,INPUT!$F$3:$F$5000),2,FALSE),"")</f>
        <v>PRE-TEMPORADA</v>
      </c>
      <c r="H332" t="str" cm="1">
        <f t="array" ref="H332">IFERROR(VLOOKUP(INPUT!M327&amp;INPUT!N327,CHOOSE({1,2},INPUT!$A$3:$A$5000&amp;INPUT!$C$3:$C$5000,INPUT!$D$3:$D$5000),2,FALSE),"")</f>
        <v>TEC-TAC</v>
      </c>
      <c r="I332" s="46">
        <f>IF(INPUT!P327="","",INPUT!P327)</f>
        <v>70.8</v>
      </c>
      <c r="J332" s="46">
        <f>IF(INPUT!Q327="","",INPUT!Q327)</f>
        <v>70.5</v>
      </c>
      <c r="K332" s="46">
        <f>IFERROR(IF(OR(INPUT!P327="",INPUT!Q327=""),"",INPUT!P327-INPUT!Q327),"")</f>
        <v>0.29999999999999716</v>
      </c>
      <c r="L332" s="48">
        <f>IFERROR(IF(OR(INPUT!P327="",INPUT!Q327="",INPUT!P327=0),"",(INPUT!P327-INPUT!Q327)/INPUT!P327),"")</f>
        <v>4.2372881355931804E-3</v>
      </c>
    </row>
    <row r="333" spans="1:12" ht="18" hidden="1" customHeight="1" x14ac:dyDescent="0.2">
      <c r="A333" s="11">
        <f>IF(INPUT!M328="","",INPUT!M328)</f>
        <v>45888</v>
      </c>
      <c r="B333" s="11">
        <f>IF(INPUT!M328="","",INPUT!M328-WEEKDAY(INPUT!M328,2)+1)</f>
        <v>45887</v>
      </c>
      <c r="C333" s="20">
        <f>IFERROR(_xlfn.ISOWEEKNUM(INPUT!M328),"")</f>
        <v>34</v>
      </c>
      <c r="D333" s="20">
        <f>IFERROR(YEAR(INPUT!M328),"")</f>
        <v>2025</v>
      </c>
      <c r="E333" t="str">
        <f>IF(INPUT!O328="","",INPUT!O328)</f>
        <v>CARLOS</v>
      </c>
      <c r="F333" t="str">
        <f>IF(INPUT!N328="","",INPUT!N328)</f>
        <v>M</v>
      </c>
      <c r="G333" t="str" cm="1">
        <f t="array" ref="G333">IFERROR(VLOOKUP(INPUT!M328&amp;INPUT!N328,CHOOSE({1,2},INPUT!$A$3:$A$5000&amp;INPUT!$C$3:$C$5000,INPUT!$F$3:$F$5000),2,FALSE),"")</f>
        <v>PRE-TEMPORADA</v>
      </c>
      <c r="H333" t="str" cm="1">
        <f t="array" ref="H333">IFERROR(VLOOKUP(INPUT!M328&amp;INPUT!N328,CHOOSE({1,2},INPUT!$A$3:$A$5000&amp;INPUT!$C$3:$C$5000,INPUT!$D$3:$D$5000),2,FALSE),"")</f>
        <v>TEC-TAC</v>
      </c>
      <c r="I333" s="46">
        <f>IF(INPUT!P328="","",INPUT!P328)</f>
        <v>67.7</v>
      </c>
      <c r="J333" s="46">
        <f>IF(INPUT!Q328="","",INPUT!Q328)</f>
        <v>67.2</v>
      </c>
      <c r="K333" s="46">
        <f>IFERROR(IF(OR(INPUT!P328="",INPUT!Q328=""),"",INPUT!P328-INPUT!Q328),"")</f>
        <v>0.5</v>
      </c>
      <c r="L333" s="48">
        <f>IFERROR(IF(OR(INPUT!P328="",INPUT!Q328="",INPUT!P328=0),"",(INPUT!P328-INPUT!Q328)/INPUT!P328),"")</f>
        <v>7.385524372230428E-3</v>
      </c>
    </row>
    <row r="334" spans="1:12" ht="18" hidden="1" customHeight="1" x14ac:dyDescent="0.2">
      <c r="A334" s="11">
        <f>IF(INPUT!M329="","",INPUT!M329)</f>
        <v>45888</v>
      </c>
      <c r="B334" s="11">
        <f>IF(INPUT!M329="","",INPUT!M329-WEEKDAY(INPUT!M329,2)+1)</f>
        <v>45887</v>
      </c>
      <c r="C334" s="20">
        <f>IFERROR(_xlfn.ISOWEEKNUM(INPUT!M329),"")</f>
        <v>34</v>
      </c>
      <c r="D334" s="20">
        <f>IFERROR(YEAR(INPUT!M329),"")</f>
        <v>2025</v>
      </c>
      <c r="E334" t="str">
        <f>IF(INPUT!O329="","",INPUT!O329)</f>
        <v>GONZALO</v>
      </c>
      <c r="F334" t="str">
        <f>IF(INPUT!N329="","",INPUT!N329)</f>
        <v>M</v>
      </c>
      <c r="G334" t="str" cm="1">
        <f t="array" ref="G334">IFERROR(VLOOKUP(INPUT!M329&amp;INPUT!N329,CHOOSE({1,2},INPUT!$A$3:$A$5000&amp;INPUT!$C$3:$C$5000,INPUT!$F$3:$F$5000),2,FALSE),"")</f>
        <v>PRE-TEMPORADA</v>
      </c>
      <c r="H334" t="str" cm="1">
        <f t="array" ref="H334">IFERROR(VLOOKUP(INPUT!M329&amp;INPUT!N329,CHOOSE({1,2},INPUT!$A$3:$A$5000&amp;INPUT!$C$3:$C$5000,INPUT!$D$3:$D$5000),2,FALSE),"")</f>
        <v>TEC-TAC</v>
      </c>
      <c r="I334" s="46">
        <f>IF(INPUT!P329="","",INPUT!P329)</f>
        <v>85.1</v>
      </c>
      <c r="J334" s="46">
        <f>IF(INPUT!Q329="","",INPUT!Q329)</f>
        <v>85.3</v>
      </c>
      <c r="K334" s="46">
        <f>IFERROR(IF(OR(INPUT!P329="",INPUT!Q329=""),"",INPUT!P329-INPUT!Q329),"")</f>
        <v>-0.20000000000000284</v>
      </c>
      <c r="L334" s="48">
        <f>IFERROR(IF(OR(INPUT!P329="",INPUT!Q329="",INPUT!P329=0),"",(INPUT!P329-INPUT!Q329)/INPUT!P329),"")</f>
        <v>-2.3501762632197752E-3</v>
      </c>
    </row>
    <row r="335" spans="1:12" ht="18" hidden="1" customHeight="1" x14ac:dyDescent="0.2">
      <c r="A335" s="11">
        <f>IF(INPUT!M330="","",INPUT!M330)</f>
        <v>45888</v>
      </c>
      <c r="B335" s="11">
        <f>IF(INPUT!M330="","",INPUT!M330-WEEKDAY(INPUT!M330,2)+1)</f>
        <v>45887</v>
      </c>
      <c r="C335" s="20">
        <f>IFERROR(_xlfn.ISOWEEKNUM(INPUT!M330),"")</f>
        <v>34</v>
      </c>
      <c r="D335" s="20">
        <f>IFERROR(YEAR(INPUT!M330),"")</f>
        <v>2025</v>
      </c>
      <c r="E335" t="str">
        <f>IF(INPUT!O330="","",INPUT!O330)</f>
        <v>RUBIO</v>
      </c>
      <c r="F335" t="str">
        <f>IF(INPUT!N330="","",INPUT!N330)</f>
        <v>M</v>
      </c>
      <c r="G335" t="str" cm="1">
        <f t="array" ref="G335">IFERROR(VLOOKUP(INPUT!M330&amp;INPUT!N330,CHOOSE({1,2},INPUT!$A$3:$A$5000&amp;INPUT!$C$3:$C$5000,INPUT!$F$3:$F$5000),2,FALSE),"")</f>
        <v>PRE-TEMPORADA</v>
      </c>
      <c r="H335" t="str" cm="1">
        <f t="array" ref="H335">IFERROR(VLOOKUP(INPUT!M330&amp;INPUT!N330,CHOOSE({1,2},INPUT!$A$3:$A$5000&amp;INPUT!$C$3:$C$5000,INPUT!$D$3:$D$5000),2,FALSE),"")</f>
        <v>TEC-TAC</v>
      </c>
      <c r="I335" s="46">
        <f>IF(INPUT!P330="","",INPUT!P330)</f>
        <v>75</v>
      </c>
      <c r="J335" s="46">
        <f>IF(INPUT!Q330="","",INPUT!Q330)</f>
        <v>74.900000000000006</v>
      </c>
      <c r="K335" s="46">
        <f>IFERROR(IF(OR(INPUT!P330="",INPUT!Q330=""),"",INPUT!P330-INPUT!Q330),"")</f>
        <v>9.9999999999994316E-2</v>
      </c>
      <c r="L335" s="48">
        <f>IFERROR(IF(OR(INPUT!P330="",INPUT!Q330="",INPUT!P330=0),"",(INPUT!P330-INPUT!Q330)/INPUT!P330),"")</f>
        <v>1.3333333333332576E-3</v>
      </c>
    </row>
    <row r="336" spans="1:12" ht="18" hidden="1" customHeight="1" x14ac:dyDescent="0.2">
      <c r="A336" s="11">
        <f>IF(INPUT!M331="","",INPUT!M331)</f>
        <v>45888</v>
      </c>
      <c r="B336" s="11">
        <f>IF(INPUT!M331="","",INPUT!M331-WEEKDAY(INPUT!M331,2)+1)</f>
        <v>45887</v>
      </c>
      <c r="C336" s="20">
        <f>IFERROR(_xlfn.ISOWEEKNUM(INPUT!M331),"")</f>
        <v>34</v>
      </c>
      <c r="D336" s="20">
        <f>IFERROR(YEAR(INPUT!M331),"")</f>
        <v>2025</v>
      </c>
      <c r="E336" t="str">
        <f>IF(INPUT!O331="","",INPUT!O331)</f>
        <v>DANI</v>
      </c>
      <c r="F336" t="str">
        <f>IF(INPUT!N331="","",INPUT!N331)</f>
        <v>M</v>
      </c>
      <c r="G336" t="str" cm="1">
        <f t="array" ref="G336">IFERROR(VLOOKUP(INPUT!M331&amp;INPUT!N331,CHOOSE({1,2},INPUT!$A$3:$A$5000&amp;INPUT!$C$3:$C$5000,INPUT!$F$3:$F$5000),2,FALSE),"")</f>
        <v>PRE-TEMPORADA</v>
      </c>
      <c r="H336" t="str" cm="1">
        <f t="array" ref="H336">IFERROR(VLOOKUP(INPUT!M331&amp;INPUT!N331,CHOOSE({1,2},INPUT!$A$3:$A$5000&amp;INPUT!$C$3:$C$5000,INPUT!$D$3:$D$5000),2,FALSE),"")</f>
        <v>TEC-TAC</v>
      </c>
      <c r="I336" s="46">
        <f>IF(INPUT!P331="","",INPUT!P331)</f>
        <v>93</v>
      </c>
      <c r="J336" s="46">
        <f>IF(INPUT!Q331="","",INPUT!Q331)</f>
        <v>92.3</v>
      </c>
      <c r="K336" s="46">
        <f>IFERROR(IF(OR(INPUT!P331="",INPUT!Q331=""),"",INPUT!P331-INPUT!Q331),"")</f>
        <v>0.70000000000000284</v>
      </c>
      <c r="L336" s="48">
        <f>IFERROR(IF(OR(INPUT!P331="",INPUT!Q331="",INPUT!P331=0),"",(INPUT!P331-INPUT!Q331)/INPUT!P331),"")</f>
        <v>7.5268817204301383E-3</v>
      </c>
    </row>
    <row r="337" spans="1:12" ht="18" hidden="1" customHeight="1" x14ac:dyDescent="0.2">
      <c r="A337" s="11">
        <f>IF(INPUT!M332="","",INPUT!M332)</f>
        <v>45888</v>
      </c>
      <c r="B337" s="11">
        <f>IF(INPUT!M332="","",INPUT!M332-WEEKDAY(INPUT!M332,2)+1)</f>
        <v>45887</v>
      </c>
      <c r="C337" s="20">
        <f>IFERROR(_xlfn.ISOWEEKNUM(INPUT!M332),"")</f>
        <v>34</v>
      </c>
      <c r="D337" s="20">
        <f>IFERROR(YEAR(INPUT!M332),"")</f>
        <v>2025</v>
      </c>
      <c r="E337" t="str">
        <f>IF(INPUT!O332="","",INPUT!O332)</f>
        <v>JAIME</v>
      </c>
      <c r="F337" t="str">
        <f>IF(INPUT!N332="","",INPUT!N332)</f>
        <v>M</v>
      </c>
      <c r="G337" t="str" cm="1">
        <f t="array" ref="G337">IFERROR(VLOOKUP(INPUT!M332&amp;INPUT!N332,CHOOSE({1,2},INPUT!$A$3:$A$5000&amp;INPUT!$C$3:$C$5000,INPUT!$F$3:$F$5000),2,FALSE),"")</f>
        <v>PRE-TEMPORADA</v>
      </c>
      <c r="H337" t="str" cm="1">
        <f t="array" ref="H337">IFERROR(VLOOKUP(INPUT!M332&amp;INPUT!N332,CHOOSE({1,2},INPUT!$A$3:$A$5000&amp;INPUT!$C$3:$C$5000,INPUT!$D$3:$D$5000),2,FALSE),"")</f>
        <v>TEC-TAC</v>
      </c>
      <c r="I337" s="46">
        <f>IF(INPUT!P332="","",INPUT!P332)</f>
        <v>75.099999999999994</v>
      </c>
      <c r="J337" s="46">
        <f>IF(INPUT!Q332="","",INPUT!Q332)</f>
        <v>74.599999999999994</v>
      </c>
      <c r="K337" s="46">
        <f>IFERROR(IF(OR(INPUT!P332="",INPUT!Q332=""),"",INPUT!P332-INPUT!Q332),"")</f>
        <v>0.5</v>
      </c>
      <c r="L337" s="48">
        <f>IFERROR(IF(OR(INPUT!P332="",INPUT!Q332="",INPUT!P332=0),"",(INPUT!P332-INPUT!Q332)/INPUT!P332),"")</f>
        <v>6.6577896138482031E-3</v>
      </c>
    </row>
    <row r="338" spans="1:12" ht="18" hidden="1" customHeight="1" x14ac:dyDescent="0.2">
      <c r="A338" s="11">
        <f>IF(INPUT!M333="","",INPUT!M333)</f>
        <v>45889</v>
      </c>
      <c r="B338" s="11">
        <f>IF(INPUT!M333="","",INPUT!M333-WEEKDAY(INPUT!M333,2)+1)</f>
        <v>45887</v>
      </c>
      <c r="C338" s="20">
        <f>IFERROR(_xlfn.ISOWEEKNUM(INPUT!M333),"")</f>
        <v>34</v>
      </c>
      <c r="D338" s="20">
        <f>IFERROR(YEAR(INPUT!M333),"")</f>
        <v>2025</v>
      </c>
      <c r="E338" t="str">
        <f>IF(INPUT!O333="","",INPUT!O333)</f>
        <v>HERRERO</v>
      </c>
      <c r="F338" t="str">
        <f>IF(INPUT!N333="","",INPUT!N333)</f>
        <v>M</v>
      </c>
      <c r="G338" t="str" cm="1">
        <f t="array" ref="G338">IFERROR(VLOOKUP(INPUT!M333&amp;INPUT!N333,CHOOSE({1,2},INPUT!$A$3:$A$5000&amp;INPUT!$C$3:$C$5000,INPUT!$F$3:$F$5000),2,FALSE),"")</f>
        <v>PRE-TEMPORADA</v>
      </c>
      <c r="H338" t="str" cm="1">
        <f t="array" ref="H338">IFERROR(VLOOKUP(INPUT!M333&amp;INPUT!N333,CHOOSE({1,2},INPUT!$A$3:$A$5000&amp;INPUT!$C$3:$C$5000,INPUT!$D$3:$D$5000),2,FALSE),"")</f>
        <v>GYM+FISICO</v>
      </c>
      <c r="I338" s="46">
        <f>IF(INPUT!P333="","",INPUT!P333)</f>
        <v>76.8</v>
      </c>
      <c r="J338" s="46">
        <f>IF(INPUT!Q333="","",INPUT!Q333)</f>
        <v>76</v>
      </c>
      <c r="K338" s="46">
        <f>IFERROR(IF(OR(INPUT!P333="",INPUT!Q333=""),"",INPUT!P333-INPUT!Q333),"")</f>
        <v>0.79999999999999716</v>
      </c>
      <c r="L338" s="48">
        <f>IFERROR(IF(OR(INPUT!P333="",INPUT!Q333="",INPUT!P333=0),"",(INPUT!P333-INPUT!Q333)/INPUT!P333),"")</f>
        <v>1.041666666666663E-2</v>
      </c>
    </row>
    <row r="339" spans="1:12" ht="18" hidden="1" customHeight="1" x14ac:dyDescent="0.2">
      <c r="A339" s="11">
        <f>IF(INPUT!M334="","",INPUT!M334)</f>
        <v>45889</v>
      </c>
      <c r="B339" s="11">
        <f>IF(INPUT!M334="","",INPUT!M334-WEEKDAY(INPUT!M334,2)+1)</f>
        <v>45887</v>
      </c>
      <c r="C339" s="20">
        <f>IFERROR(_xlfn.ISOWEEKNUM(INPUT!M334),"")</f>
        <v>34</v>
      </c>
      <c r="D339" s="20">
        <f>IFERROR(YEAR(INPUT!M334),"")</f>
        <v>2025</v>
      </c>
      <c r="E339" t="str">
        <f>IF(INPUT!O334="","",INPUT!O334)</f>
        <v>HERRERO</v>
      </c>
      <c r="F339" t="str">
        <f>IF(INPUT!N334="","",INPUT!N334)</f>
        <v>T</v>
      </c>
      <c r="G339" t="str" cm="1">
        <f t="array" ref="G339">IFERROR(VLOOKUP(INPUT!M334&amp;INPUT!N334,CHOOSE({1,2},INPUT!$A$3:$A$5000&amp;INPUT!$C$3:$C$5000,INPUT!$F$3:$F$5000),2,FALSE),"")</f>
        <v>PRE-TEMPORADA</v>
      </c>
      <c r="H339" t="str" cm="1">
        <f t="array" ref="H339">IFERROR(VLOOKUP(INPUT!M334&amp;INPUT!N334,CHOOSE({1,2},INPUT!$A$3:$A$5000&amp;INPUT!$C$3:$C$5000,INPUT!$D$3:$D$5000),2,FALSE),"")</f>
        <v>TEC-TAC</v>
      </c>
      <c r="I339" s="46">
        <f>IF(INPUT!P334="","",INPUT!P334)</f>
        <v>76.7</v>
      </c>
      <c r="J339" s="46">
        <f>IF(INPUT!Q334="","",INPUT!Q334)</f>
        <v>76</v>
      </c>
      <c r="K339" s="46">
        <f>IFERROR(IF(OR(INPUT!P334="",INPUT!Q334=""),"",INPUT!P334-INPUT!Q334),"")</f>
        <v>0.70000000000000284</v>
      </c>
      <c r="L339" s="48">
        <f>IFERROR(IF(OR(INPUT!P334="",INPUT!Q334="",INPUT!P334=0),"",(INPUT!P334-INPUT!Q334)/INPUT!P334),"")</f>
        <v>9.1264667535854351E-3</v>
      </c>
    </row>
    <row r="340" spans="1:12" ht="18" hidden="1" customHeight="1" x14ac:dyDescent="0.2">
      <c r="A340" s="11">
        <f>IF(INPUT!M335="","",INPUT!M335)</f>
        <v>45889</v>
      </c>
      <c r="B340" s="11">
        <f>IF(INPUT!M335="","",INPUT!M335-WEEKDAY(INPUT!M335,2)+1)</f>
        <v>45887</v>
      </c>
      <c r="C340" s="20">
        <f>IFERROR(_xlfn.ISOWEEKNUM(INPUT!M335),"")</f>
        <v>34</v>
      </c>
      <c r="D340" s="20">
        <f>IFERROR(YEAR(INPUT!M335),"")</f>
        <v>2025</v>
      </c>
      <c r="E340" t="str">
        <f>IF(INPUT!O335="","",INPUT!O335)</f>
        <v>GARCIA</v>
      </c>
      <c r="F340" t="str">
        <f>IF(INPUT!N335="","",INPUT!N335)</f>
        <v>M</v>
      </c>
      <c r="G340" t="str" cm="1">
        <f t="array" ref="G340">IFERROR(VLOOKUP(INPUT!M335&amp;INPUT!N335,CHOOSE({1,2},INPUT!$A$3:$A$5000&amp;INPUT!$C$3:$C$5000,INPUT!$F$3:$F$5000),2,FALSE),"")</f>
        <v>PRE-TEMPORADA</v>
      </c>
      <c r="H340" t="str" cm="1">
        <f t="array" ref="H340">IFERROR(VLOOKUP(INPUT!M335&amp;INPUT!N335,CHOOSE({1,2},INPUT!$A$3:$A$5000&amp;INPUT!$C$3:$C$5000,INPUT!$D$3:$D$5000),2,FALSE),"")</f>
        <v>GYM+FISICO</v>
      </c>
      <c r="I340" s="46">
        <f>IF(INPUT!P335="","",INPUT!P335)</f>
        <v>79.2</v>
      </c>
      <c r="J340" s="46">
        <f>IF(INPUT!Q335="","",INPUT!Q335)</f>
        <v>79</v>
      </c>
      <c r="K340" s="46">
        <f>IFERROR(IF(OR(INPUT!P335="",INPUT!Q335=""),"",INPUT!P335-INPUT!Q335),"")</f>
        <v>0.20000000000000284</v>
      </c>
      <c r="L340" s="48">
        <f>IFERROR(IF(OR(INPUT!P335="",INPUT!Q335="",INPUT!P335=0),"",(INPUT!P335-INPUT!Q335)/INPUT!P335),"")</f>
        <v>2.525252525252561E-3</v>
      </c>
    </row>
    <row r="341" spans="1:12" ht="18" hidden="1" customHeight="1" x14ac:dyDescent="0.2">
      <c r="A341" s="11">
        <f>IF(INPUT!M336="","",INPUT!M336)</f>
        <v>45889</v>
      </c>
      <c r="B341" s="11">
        <f>IF(INPUT!M336="","",INPUT!M336-WEEKDAY(INPUT!M336,2)+1)</f>
        <v>45887</v>
      </c>
      <c r="C341" s="20">
        <f>IFERROR(_xlfn.ISOWEEKNUM(INPUT!M336),"")</f>
        <v>34</v>
      </c>
      <c r="D341" s="20">
        <f>IFERROR(YEAR(INPUT!M336),"")</f>
        <v>2025</v>
      </c>
      <c r="E341" t="str">
        <f>IF(INPUT!O336="","",INPUT!O336)</f>
        <v>GARCIA</v>
      </c>
      <c r="F341" t="str">
        <f>IF(INPUT!N336="","",INPUT!N336)</f>
        <v>T</v>
      </c>
      <c r="G341" t="str" cm="1">
        <f t="array" ref="G341">IFERROR(VLOOKUP(INPUT!M336&amp;INPUT!N336,CHOOSE({1,2},INPUT!$A$3:$A$5000&amp;INPUT!$C$3:$C$5000,INPUT!$F$3:$F$5000),2,FALSE),"")</f>
        <v>PRE-TEMPORADA</v>
      </c>
      <c r="H341" t="str" cm="1">
        <f t="array" ref="H341">IFERROR(VLOOKUP(INPUT!M336&amp;INPUT!N336,CHOOSE({1,2},INPUT!$A$3:$A$5000&amp;INPUT!$C$3:$C$5000,INPUT!$D$3:$D$5000),2,FALSE),"")</f>
        <v>TEC-TAC</v>
      </c>
      <c r="I341" s="46">
        <f>IF(INPUT!P336="","",INPUT!P336)</f>
        <v>79.400000000000006</v>
      </c>
      <c r="J341" s="46">
        <f>IF(INPUT!Q336="","",INPUT!Q336)</f>
        <v>79</v>
      </c>
      <c r="K341" s="46">
        <f>IFERROR(IF(OR(INPUT!P336="",INPUT!Q336=""),"",INPUT!P336-INPUT!Q336),"")</f>
        <v>0.40000000000000568</v>
      </c>
      <c r="L341" s="48">
        <f>IFERROR(IF(OR(INPUT!P336="",INPUT!Q336="",INPUT!P336=0),"",(INPUT!P336-INPUT!Q336)/INPUT!P336),"")</f>
        <v>5.0377833753149324E-3</v>
      </c>
    </row>
    <row r="342" spans="1:12" ht="18" hidden="1" customHeight="1" x14ac:dyDescent="0.2">
      <c r="A342" s="11">
        <f>IF(INPUT!M337="","",INPUT!M337)</f>
        <v>45889</v>
      </c>
      <c r="B342" s="11">
        <f>IF(INPUT!M337="","",INPUT!M337-WEEKDAY(INPUT!M337,2)+1)</f>
        <v>45887</v>
      </c>
      <c r="C342" s="20">
        <f>IFERROR(_xlfn.ISOWEEKNUM(INPUT!M337),"")</f>
        <v>34</v>
      </c>
      <c r="D342" s="20">
        <f>IFERROR(YEAR(INPUT!M337),"")</f>
        <v>2025</v>
      </c>
      <c r="E342" t="str">
        <f>IF(INPUT!O337="","",INPUT!O337)</f>
        <v>CECILIO</v>
      </c>
      <c r="F342" t="str">
        <f>IF(INPUT!N337="","",INPUT!N337)</f>
        <v>M</v>
      </c>
      <c r="G342" t="str" cm="1">
        <f t="array" ref="G342">IFERROR(VLOOKUP(INPUT!M337&amp;INPUT!N337,CHOOSE({1,2},INPUT!$A$3:$A$5000&amp;INPUT!$C$3:$C$5000,INPUT!$F$3:$F$5000),2,FALSE),"")</f>
        <v>PRE-TEMPORADA</v>
      </c>
      <c r="H342" t="str" cm="1">
        <f t="array" ref="H342">IFERROR(VLOOKUP(INPUT!M337&amp;INPUT!N337,CHOOSE({1,2},INPUT!$A$3:$A$5000&amp;INPUT!$C$3:$C$5000,INPUT!$D$3:$D$5000),2,FALSE),"")</f>
        <v>GYM+FISICO</v>
      </c>
      <c r="I342" s="46">
        <f>IF(INPUT!P337="","",INPUT!P337)</f>
        <v>67.900000000000006</v>
      </c>
      <c r="J342" s="46">
        <f>IF(INPUT!Q337="","",INPUT!Q337)</f>
        <v>67.7</v>
      </c>
      <c r="K342" s="46">
        <f>IFERROR(IF(OR(INPUT!P337="",INPUT!Q337=""),"",INPUT!P337-INPUT!Q337),"")</f>
        <v>0.20000000000000284</v>
      </c>
      <c r="L342" s="48">
        <f>IFERROR(IF(OR(INPUT!P337="",INPUT!Q337="",INPUT!P337=0),"",(INPUT!P337-INPUT!Q337)/INPUT!P337),"")</f>
        <v>2.945508100147317E-3</v>
      </c>
    </row>
    <row r="343" spans="1:12" ht="18" hidden="1" customHeight="1" x14ac:dyDescent="0.2">
      <c r="A343" s="11">
        <f>IF(INPUT!M338="","",INPUT!M338)</f>
        <v>45889</v>
      </c>
      <c r="B343" s="11">
        <f>IF(INPUT!M338="","",INPUT!M338-WEEKDAY(INPUT!M338,2)+1)</f>
        <v>45887</v>
      </c>
      <c r="C343" s="20">
        <f>IFERROR(_xlfn.ISOWEEKNUM(INPUT!M338),"")</f>
        <v>34</v>
      </c>
      <c r="D343" s="20">
        <f>IFERROR(YEAR(INPUT!M338),"")</f>
        <v>2025</v>
      </c>
      <c r="E343" t="str">
        <f>IF(INPUT!O338="","",INPUT!O338)</f>
        <v>CECILIO</v>
      </c>
      <c r="F343" t="str">
        <f>IF(INPUT!N338="","",INPUT!N338)</f>
        <v>T</v>
      </c>
      <c r="G343" t="str" cm="1">
        <f t="array" ref="G343">IFERROR(VLOOKUP(INPUT!M338&amp;INPUT!N338,CHOOSE({1,2},INPUT!$A$3:$A$5000&amp;INPUT!$C$3:$C$5000,INPUT!$F$3:$F$5000),2,FALSE),"")</f>
        <v>PRE-TEMPORADA</v>
      </c>
      <c r="H343" t="str" cm="1">
        <f t="array" ref="H343">IFERROR(VLOOKUP(INPUT!M338&amp;INPUT!N338,CHOOSE({1,2},INPUT!$A$3:$A$5000&amp;INPUT!$C$3:$C$5000,INPUT!$D$3:$D$5000),2,FALSE),"")</f>
        <v>TEC-TAC</v>
      </c>
      <c r="I343" s="46">
        <f>IF(INPUT!P338="","",INPUT!P338)</f>
        <v>67.7</v>
      </c>
      <c r="J343" s="46">
        <f>IF(INPUT!Q338="","",INPUT!Q338)</f>
        <v>67.599999999999994</v>
      </c>
      <c r="K343" s="46">
        <f>IFERROR(IF(OR(INPUT!P338="",INPUT!Q338=""),"",INPUT!P338-INPUT!Q338),"")</f>
        <v>0.10000000000000853</v>
      </c>
      <c r="L343" s="48">
        <f>IFERROR(IF(OR(INPUT!P338="",INPUT!Q338="",INPUT!P338=0),"",(INPUT!P338-INPUT!Q338)/INPUT!P338),"")</f>
        <v>1.4771048744462115E-3</v>
      </c>
    </row>
    <row r="344" spans="1:12" ht="18" hidden="1" customHeight="1" x14ac:dyDescent="0.2">
      <c r="A344" s="11">
        <f>IF(INPUT!M339="","",INPUT!M339)</f>
        <v>45889</v>
      </c>
      <c r="B344" s="11">
        <f>IF(INPUT!M339="","",INPUT!M339-WEEKDAY(INPUT!M339,2)+1)</f>
        <v>45887</v>
      </c>
      <c r="C344" s="20">
        <f>IFERROR(_xlfn.ISOWEEKNUM(INPUT!M339),"")</f>
        <v>34</v>
      </c>
      <c r="D344" s="20">
        <f>IFERROR(YEAR(INPUT!M339),"")</f>
        <v>2025</v>
      </c>
      <c r="E344" t="str">
        <f>IF(INPUT!O339="","",INPUT!O339)</f>
        <v>CHAGUINHA</v>
      </c>
      <c r="F344" t="str">
        <f>IF(INPUT!N339="","",INPUT!N339)</f>
        <v>M</v>
      </c>
      <c r="G344" t="str" cm="1">
        <f t="array" ref="G344">IFERROR(VLOOKUP(INPUT!M339&amp;INPUT!N339,CHOOSE({1,2},INPUT!$A$3:$A$5000&amp;INPUT!$C$3:$C$5000,INPUT!$F$3:$F$5000),2,FALSE),"")</f>
        <v>PRE-TEMPORADA</v>
      </c>
      <c r="H344" t="str" cm="1">
        <f t="array" ref="H344">IFERROR(VLOOKUP(INPUT!M339&amp;INPUT!N339,CHOOSE({1,2},INPUT!$A$3:$A$5000&amp;INPUT!$C$3:$C$5000,INPUT!$D$3:$D$5000),2,FALSE),"")</f>
        <v>GYM+FISICO</v>
      </c>
      <c r="I344" s="46">
        <f>IF(INPUT!P339="","",INPUT!P339)</f>
        <v>69.2</v>
      </c>
      <c r="J344" s="46">
        <f>IF(INPUT!Q339="","",INPUT!Q339)</f>
        <v>68.599999999999994</v>
      </c>
      <c r="K344" s="46">
        <f>IFERROR(IF(OR(INPUT!P339="",INPUT!Q339=""),"",INPUT!P339-INPUT!Q339),"")</f>
        <v>0.60000000000000853</v>
      </c>
      <c r="L344" s="48">
        <f>IFERROR(IF(OR(INPUT!P339="",INPUT!Q339="",INPUT!P339=0),"",(INPUT!P339-INPUT!Q339)/INPUT!P339),"")</f>
        <v>8.6705202312139951E-3</v>
      </c>
    </row>
    <row r="345" spans="1:12" ht="18" hidden="1" customHeight="1" x14ac:dyDescent="0.2">
      <c r="A345" s="11">
        <f>IF(INPUT!M340="","",INPUT!M340)</f>
        <v>45889</v>
      </c>
      <c r="B345" s="11">
        <f>IF(INPUT!M340="","",INPUT!M340-WEEKDAY(INPUT!M340,2)+1)</f>
        <v>45887</v>
      </c>
      <c r="C345" s="20">
        <f>IFERROR(_xlfn.ISOWEEKNUM(INPUT!M340),"")</f>
        <v>34</v>
      </c>
      <c r="D345" s="20">
        <f>IFERROR(YEAR(INPUT!M340),"")</f>
        <v>2025</v>
      </c>
      <c r="E345" t="str">
        <f>IF(INPUT!O340="","",INPUT!O340)</f>
        <v>CHAGUINHA</v>
      </c>
      <c r="F345" t="str">
        <f>IF(INPUT!N340="","",INPUT!N340)</f>
        <v>T</v>
      </c>
      <c r="G345" t="str" cm="1">
        <f t="array" ref="G345">IFERROR(VLOOKUP(INPUT!M340&amp;INPUT!N340,CHOOSE({1,2},INPUT!$A$3:$A$5000&amp;INPUT!$C$3:$C$5000,INPUT!$F$3:$F$5000),2,FALSE),"")</f>
        <v>PRE-TEMPORADA</v>
      </c>
      <c r="H345" t="str" cm="1">
        <f t="array" ref="H345">IFERROR(VLOOKUP(INPUT!M340&amp;INPUT!N340,CHOOSE({1,2},INPUT!$A$3:$A$5000&amp;INPUT!$C$3:$C$5000,INPUT!$D$3:$D$5000),2,FALSE),"")</f>
        <v>TEC-TAC</v>
      </c>
      <c r="I345" s="46">
        <f>IF(INPUT!P340="","",INPUT!P340)</f>
        <v>69</v>
      </c>
      <c r="J345" s="46">
        <f>IF(INPUT!Q340="","",INPUT!Q340)</f>
        <v>68.5</v>
      </c>
      <c r="K345" s="46">
        <f>IFERROR(IF(OR(INPUT!P340="",INPUT!Q340=""),"",INPUT!P340-INPUT!Q340),"")</f>
        <v>0.5</v>
      </c>
      <c r="L345" s="48">
        <f>IFERROR(IF(OR(INPUT!P340="",INPUT!Q340="",INPUT!P340=0),"",(INPUT!P340-INPUT!Q340)/INPUT!P340),"")</f>
        <v>7.246376811594203E-3</v>
      </c>
    </row>
    <row r="346" spans="1:12" ht="18" hidden="1" customHeight="1" x14ac:dyDescent="0.2">
      <c r="A346" s="11">
        <f>IF(INPUT!M341="","",INPUT!M341)</f>
        <v>45889</v>
      </c>
      <c r="B346" s="11">
        <f>IF(INPUT!M341="","",INPUT!M341-WEEKDAY(INPUT!M341,2)+1)</f>
        <v>45887</v>
      </c>
      <c r="C346" s="20">
        <f>IFERROR(_xlfn.ISOWEEKNUM(INPUT!M341),"")</f>
        <v>34</v>
      </c>
      <c r="D346" s="20">
        <f>IFERROR(YEAR(INPUT!M341),"")</f>
        <v>2025</v>
      </c>
      <c r="E346" t="str">
        <f>IF(INPUT!O341="","",INPUT!O341)</f>
        <v>RAUL</v>
      </c>
      <c r="F346" t="str">
        <f>IF(INPUT!N341="","",INPUT!N341)</f>
        <v>M</v>
      </c>
      <c r="G346" t="str" cm="1">
        <f t="array" ref="G346">IFERROR(VLOOKUP(INPUT!M341&amp;INPUT!N341,CHOOSE({1,2},INPUT!$A$3:$A$5000&amp;INPUT!$C$3:$C$5000,INPUT!$F$3:$F$5000),2,FALSE),"")</f>
        <v>PRE-TEMPORADA</v>
      </c>
      <c r="H346" t="str" cm="1">
        <f t="array" ref="H346">IFERROR(VLOOKUP(INPUT!M341&amp;INPUT!N341,CHOOSE({1,2},INPUT!$A$3:$A$5000&amp;INPUT!$C$3:$C$5000,INPUT!$D$3:$D$5000),2,FALSE),"")</f>
        <v>GYM+FISICO</v>
      </c>
      <c r="I346" s="46">
        <f>IF(INPUT!P341="","",INPUT!P341)</f>
        <v>79.8</v>
      </c>
      <c r="J346" s="46">
        <f>IF(INPUT!Q341="","",INPUT!Q341)</f>
        <v>79.3</v>
      </c>
      <c r="K346" s="46">
        <f>IFERROR(IF(OR(INPUT!P341="",INPUT!Q341=""),"",INPUT!P341-INPUT!Q341),"")</f>
        <v>0.5</v>
      </c>
      <c r="L346" s="48">
        <f>IFERROR(IF(OR(INPUT!P341="",INPUT!Q341="",INPUT!P341=0),"",(INPUT!P341-INPUT!Q341)/INPUT!P341),"")</f>
        <v>6.265664160401003E-3</v>
      </c>
    </row>
    <row r="347" spans="1:12" ht="18" hidden="1" customHeight="1" x14ac:dyDescent="0.2">
      <c r="A347" s="11">
        <f>IF(INPUT!M342="","",INPUT!M342)</f>
        <v>45889</v>
      </c>
      <c r="B347" s="11">
        <f>IF(INPUT!M342="","",INPUT!M342-WEEKDAY(INPUT!M342,2)+1)</f>
        <v>45887</v>
      </c>
      <c r="C347" s="20">
        <f>IFERROR(_xlfn.ISOWEEKNUM(INPUT!M342),"")</f>
        <v>34</v>
      </c>
      <c r="D347" s="20">
        <f>IFERROR(YEAR(INPUT!M342),"")</f>
        <v>2025</v>
      </c>
      <c r="E347" t="str">
        <f>IF(INPUT!O342="","",INPUT!O342)</f>
        <v>RAUL</v>
      </c>
      <c r="F347" t="str">
        <f>IF(INPUT!N342="","",INPUT!N342)</f>
        <v>T</v>
      </c>
      <c r="G347" t="str" cm="1">
        <f t="array" ref="G347">IFERROR(VLOOKUP(INPUT!M342&amp;INPUT!N342,CHOOSE({1,2},INPUT!$A$3:$A$5000&amp;INPUT!$C$3:$C$5000,INPUT!$F$3:$F$5000),2,FALSE),"")</f>
        <v>PRE-TEMPORADA</v>
      </c>
      <c r="H347" t="str" cm="1">
        <f t="array" ref="H347">IFERROR(VLOOKUP(INPUT!M342&amp;INPUT!N342,CHOOSE({1,2},INPUT!$A$3:$A$5000&amp;INPUT!$C$3:$C$5000,INPUT!$D$3:$D$5000),2,FALSE),"")</f>
        <v>TEC-TAC</v>
      </c>
      <c r="I347" s="46">
        <f>IF(INPUT!P342="","",INPUT!P342)</f>
        <v>79.8</v>
      </c>
      <c r="J347" s="46">
        <f>IF(INPUT!Q342="","",INPUT!Q342)</f>
        <v>79.599999999999994</v>
      </c>
      <c r="K347" s="46">
        <f>IFERROR(IF(OR(INPUT!P342="",INPUT!Q342=""),"",INPUT!P342-INPUT!Q342),"")</f>
        <v>0.20000000000000284</v>
      </c>
      <c r="L347" s="48">
        <f>IFERROR(IF(OR(INPUT!P342="",INPUT!Q342="",INPUT!P342=0),"",(INPUT!P342-INPUT!Q342)/INPUT!P342),"")</f>
        <v>2.5062656641604369E-3</v>
      </c>
    </row>
    <row r="348" spans="1:12" ht="18" hidden="1" customHeight="1" x14ac:dyDescent="0.2">
      <c r="A348" s="11">
        <f>IF(INPUT!M343="","",INPUT!M343)</f>
        <v>45889</v>
      </c>
      <c r="B348" s="11">
        <f>IF(INPUT!M343="","",INPUT!M343-WEEKDAY(INPUT!M343,2)+1)</f>
        <v>45887</v>
      </c>
      <c r="C348" s="20">
        <f>IFERROR(_xlfn.ISOWEEKNUM(INPUT!M343),"")</f>
        <v>34</v>
      </c>
      <c r="D348" s="20">
        <f>IFERROR(YEAR(INPUT!M343),"")</f>
        <v>2025</v>
      </c>
      <c r="E348" t="str">
        <f>IF(INPUT!O343="","",INPUT!O343)</f>
        <v>HARRISON</v>
      </c>
      <c r="F348" t="str">
        <f>IF(INPUT!N343="","",INPUT!N343)</f>
        <v>M</v>
      </c>
      <c r="G348" t="str" cm="1">
        <f t="array" ref="G348">IFERROR(VLOOKUP(INPUT!M343&amp;INPUT!N343,CHOOSE({1,2},INPUT!$A$3:$A$5000&amp;INPUT!$C$3:$C$5000,INPUT!$F$3:$F$5000),2,FALSE),"")</f>
        <v>PRE-TEMPORADA</v>
      </c>
      <c r="H348" t="str" cm="1">
        <f t="array" ref="H348">IFERROR(VLOOKUP(INPUT!M343&amp;INPUT!N343,CHOOSE({1,2},INPUT!$A$3:$A$5000&amp;INPUT!$C$3:$C$5000,INPUT!$D$3:$D$5000),2,FALSE),"")</f>
        <v>GYM+FISICO</v>
      </c>
      <c r="I348" s="46">
        <f>IF(INPUT!P343="","",INPUT!P343)</f>
        <v>71.5</v>
      </c>
      <c r="J348" s="46">
        <f>IF(INPUT!Q343="","",INPUT!Q343)</f>
        <v>71</v>
      </c>
      <c r="K348" s="46">
        <f>IFERROR(IF(OR(INPUT!P343="",INPUT!Q343=""),"",INPUT!P343-INPUT!Q343),"")</f>
        <v>0.5</v>
      </c>
      <c r="L348" s="48">
        <f>IFERROR(IF(OR(INPUT!P343="",INPUT!Q343="",INPUT!P343=0),"",(INPUT!P343-INPUT!Q343)/INPUT!P343),"")</f>
        <v>6.993006993006993E-3</v>
      </c>
    </row>
    <row r="349" spans="1:12" ht="18" hidden="1" customHeight="1" x14ac:dyDescent="0.2">
      <c r="A349" s="11">
        <f>IF(INPUT!M344="","",INPUT!M344)</f>
        <v>45889</v>
      </c>
      <c r="B349" s="11">
        <f>IF(INPUT!M344="","",INPUT!M344-WEEKDAY(INPUT!M344,2)+1)</f>
        <v>45887</v>
      </c>
      <c r="C349" s="20">
        <f>IFERROR(_xlfn.ISOWEEKNUM(INPUT!M344),"")</f>
        <v>34</v>
      </c>
      <c r="D349" s="20">
        <f>IFERROR(YEAR(INPUT!M344),"")</f>
        <v>2025</v>
      </c>
      <c r="E349" t="str">
        <f>IF(INPUT!O344="","",INPUT!O344)</f>
        <v>HARRISON</v>
      </c>
      <c r="F349" t="str">
        <f>IF(INPUT!N344="","",INPUT!N344)</f>
        <v>T</v>
      </c>
      <c r="G349" t="str" cm="1">
        <f t="array" ref="G349">IFERROR(VLOOKUP(INPUT!M344&amp;INPUT!N344,CHOOSE({1,2},INPUT!$A$3:$A$5000&amp;INPUT!$C$3:$C$5000,INPUT!$F$3:$F$5000),2,FALSE),"")</f>
        <v>PRE-TEMPORADA</v>
      </c>
      <c r="H349" t="str" cm="1">
        <f t="array" ref="H349">IFERROR(VLOOKUP(INPUT!M344&amp;INPUT!N344,CHOOSE({1,2},INPUT!$A$3:$A$5000&amp;INPUT!$C$3:$C$5000,INPUT!$D$3:$D$5000),2,FALSE),"")</f>
        <v>TEC-TAC</v>
      </c>
      <c r="I349" s="46">
        <f>IF(INPUT!P344="","",INPUT!P344)</f>
        <v>71.400000000000006</v>
      </c>
      <c r="J349" s="46">
        <f>IF(INPUT!Q344="","",INPUT!Q344)</f>
        <v>71.900000000000006</v>
      </c>
      <c r="K349" s="46">
        <f>IFERROR(IF(OR(INPUT!P344="",INPUT!Q344=""),"",INPUT!P344-INPUT!Q344),"")</f>
        <v>-0.5</v>
      </c>
      <c r="L349" s="48">
        <f>IFERROR(IF(OR(INPUT!P344="",INPUT!Q344="",INPUT!P344=0),"",(INPUT!P344-INPUT!Q344)/INPUT!P344),"")</f>
        <v>-7.0028011204481787E-3</v>
      </c>
    </row>
    <row r="350" spans="1:12" ht="18" hidden="1" customHeight="1" x14ac:dyDescent="0.2">
      <c r="A350" s="11">
        <f>IF(INPUT!M345="","",INPUT!M345)</f>
        <v>45889</v>
      </c>
      <c r="B350" s="11">
        <f>IF(INPUT!M345="","",INPUT!M345-WEEKDAY(INPUT!M345,2)+1)</f>
        <v>45887</v>
      </c>
      <c r="C350" s="20">
        <f>IFERROR(_xlfn.ISOWEEKNUM(INPUT!M345),"")</f>
        <v>34</v>
      </c>
      <c r="D350" s="20">
        <f>IFERROR(YEAR(INPUT!M345),"")</f>
        <v>2025</v>
      </c>
      <c r="E350" t="str">
        <f>IF(INPUT!O345="","",INPUT!O345)</f>
        <v>RAYA</v>
      </c>
      <c r="F350" t="str">
        <f>IF(INPUT!N345="","",INPUT!N345)</f>
        <v>M</v>
      </c>
      <c r="G350" t="str" cm="1">
        <f t="array" ref="G350">IFERROR(VLOOKUP(INPUT!M345&amp;INPUT!N345,CHOOSE({1,2},INPUT!$A$3:$A$5000&amp;INPUT!$C$3:$C$5000,INPUT!$F$3:$F$5000),2,FALSE),"")</f>
        <v>PRE-TEMPORADA</v>
      </c>
      <c r="H350" t="str" cm="1">
        <f t="array" ref="H350">IFERROR(VLOOKUP(INPUT!M345&amp;INPUT!N345,CHOOSE({1,2},INPUT!$A$3:$A$5000&amp;INPUT!$C$3:$C$5000,INPUT!$D$3:$D$5000),2,FALSE),"")</f>
        <v>GYM+FISICO</v>
      </c>
      <c r="I350" s="46">
        <f>IF(INPUT!P345="","",INPUT!P345)</f>
        <v>81.400000000000006</v>
      </c>
      <c r="J350" s="46">
        <f>IF(INPUT!Q345="","",INPUT!Q345)</f>
        <v>81</v>
      </c>
      <c r="K350" s="46">
        <f>IFERROR(IF(OR(INPUT!P345="",INPUT!Q345=""),"",INPUT!P345-INPUT!Q345),"")</f>
        <v>0.40000000000000568</v>
      </c>
      <c r="L350" s="48">
        <f>IFERROR(IF(OR(INPUT!P345="",INPUT!Q345="",INPUT!P345=0),"",(INPUT!P345-INPUT!Q345)/INPUT!P345),"")</f>
        <v>4.9140049140049833E-3</v>
      </c>
    </row>
    <row r="351" spans="1:12" ht="18" hidden="1" customHeight="1" x14ac:dyDescent="0.2">
      <c r="A351" s="11">
        <f>IF(INPUT!M346="","",INPUT!M346)</f>
        <v>45889</v>
      </c>
      <c r="B351" s="11">
        <f>IF(INPUT!M346="","",INPUT!M346-WEEKDAY(INPUT!M346,2)+1)</f>
        <v>45887</v>
      </c>
      <c r="C351" s="20">
        <f>IFERROR(_xlfn.ISOWEEKNUM(INPUT!M346),"")</f>
        <v>34</v>
      </c>
      <c r="D351" s="20">
        <f>IFERROR(YEAR(INPUT!M346),"")</f>
        <v>2025</v>
      </c>
      <c r="E351" t="str">
        <f>IF(INPUT!O346="","",INPUT!O346)</f>
        <v>RAYA</v>
      </c>
      <c r="F351" t="str">
        <f>IF(INPUT!N346="","",INPUT!N346)</f>
        <v>T</v>
      </c>
      <c r="G351" t="str" cm="1">
        <f t="array" ref="G351">IFERROR(VLOOKUP(INPUT!M346&amp;INPUT!N346,CHOOSE({1,2},INPUT!$A$3:$A$5000&amp;INPUT!$C$3:$C$5000,INPUT!$F$3:$F$5000),2,FALSE),"")</f>
        <v>PRE-TEMPORADA</v>
      </c>
      <c r="H351" t="str" cm="1">
        <f t="array" ref="H351">IFERROR(VLOOKUP(INPUT!M346&amp;INPUT!N346,CHOOSE({1,2},INPUT!$A$3:$A$5000&amp;INPUT!$C$3:$C$5000,INPUT!$D$3:$D$5000),2,FALSE),"")</f>
        <v>TEC-TAC</v>
      </c>
      <c r="I351" s="46">
        <f>IF(INPUT!P346="","",INPUT!P346)</f>
        <v>82.5</v>
      </c>
      <c r="J351" s="46">
        <f>IF(INPUT!Q346="","",INPUT!Q346)</f>
        <v>81.400000000000006</v>
      </c>
      <c r="K351" s="46">
        <f>IFERROR(IF(OR(INPUT!P346="",INPUT!Q346=""),"",INPUT!P346-INPUT!Q346),"")</f>
        <v>1.0999999999999943</v>
      </c>
      <c r="L351" s="48">
        <f>IFERROR(IF(OR(INPUT!P346="",INPUT!Q346="",INPUT!P346=0),"",(INPUT!P346-INPUT!Q346)/INPUT!P346),"")</f>
        <v>1.3333333333333265E-2</v>
      </c>
    </row>
    <row r="352" spans="1:12" ht="18" hidden="1" customHeight="1" x14ac:dyDescent="0.2">
      <c r="A352" s="11">
        <f>IF(INPUT!M347="","",INPUT!M347)</f>
        <v>45889</v>
      </c>
      <c r="B352" s="11">
        <f>IF(INPUT!M347="","",INPUT!M347-WEEKDAY(INPUT!M347,2)+1)</f>
        <v>45887</v>
      </c>
      <c r="C352" s="20">
        <f>IFERROR(_xlfn.ISOWEEKNUM(INPUT!M347),"")</f>
        <v>34</v>
      </c>
      <c r="D352" s="20">
        <f>IFERROR(YEAR(INPUT!M347),"")</f>
        <v>2025</v>
      </c>
      <c r="E352" t="str">
        <f>IF(INPUT!O347="","",INPUT!O347)</f>
        <v>JAVI</v>
      </c>
      <c r="F352" t="str">
        <f>IF(INPUT!N347="","",INPUT!N347)</f>
        <v>M</v>
      </c>
      <c r="G352" t="str" cm="1">
        <f t="array" ref="G352">IFERROR(VLOOKUP(INPUT!M347&amp;INPUT!N347,CHOOSE({1,2},INPUT!$A$3:$A$5000&amp;INPUT!$C$3:$C$5000,INPUT!$F$3:$F$5000),2,FALSE),"")</f>
        <v>PRE-TEMPORADA</v>
      </c>
      <c r="H352" t="str" cm="1">
        <f t="array" ref="H352">IFERROR(VLOOKUP(INPUT!M347&amp;INPUT!N347,CHOOSE({1,2},INPUT!$A$3:$A$5000&amp;INPUT!$C$3:$C$5000,INPUT!$D$3:$D$5000),2,FALSE),"")</f>
        <v>GYM+FISICO</v>
      </c>
      <c r="I352" s="46">
        <f>IF(INPUT!P347="","",INPUT!P347)</f>
        <v>79.7</v>
      </c>
      <c r="J352" s="46">
        <f>IF(INPUT!Q347="","",INPUT!Q347)</f>
        <v>79</v>
      </c>
      <c r="K352" s="46">
        <f>IFERROR(IF(OR(INPUT!P347="",INPUT!Q347=""),"",INPUT!P347-INPUT!Q347),"")</f>
        <v>0.70000000000000284</v>
      </c>
      <c r="L352" s="48">
        <f>IFERROR(IF(OR(INPUT!P347="",INPUT!Q347="",INPUT!P347=0),"",(INPUT!P347-INPUT!Q347)/INPUT!P347),"")</f>
        <v>8.7829360100376772E-3</v>
      </c>
    </row>
    <row r="353" spans="1:12" ht="18" customHeight="1" x14ac:dyDescent="0.2">
      <c r="A353" s="11">
        <f>IF(INPUT!M348="","",INPUT!M348)</f>
        <v>45889</v>
      </c>
      <c r="B353" s="11">
        <f>IF(INPUT!M348="","",INPUT!M348-WEEKDAY(INPUT!M348,2)+1)</f>
        <v>45887</v>
      </c>
      <c r="C353" s="20">
        <f>IFERROR(_xlfn.ISOWEEKNUM(INPUT!M348),"")</f>
        <v>34</v>
      </c>
      <c r="D353" s="20">
        <f>IFERROR(YEAR(INPUT!M348),"")</f>
        <v>2025</v>
      </c>
      <c r="E353" t="str">
        <f>IF(INPUT!O348="","",INPUT!O348)</f>
        <v>JAVI</v>
      </c>
      <c r="F353" t="str">
        <f>IF(INPUT!N348="","",INPUT!N348)</f>
        <v>T</v>
      </c>
      <c r="G353" t="str" cm="1">
        <f t="array" ref="G353">IFERROR(VLOOKUP(INPUT!M348&amp;INPUT!N348,CHOOSE({1,2},INPUT!$A$3:$A$5000&amp;INPUT!$C$3:$C$5000,INPUT!$F$3:$F$5000),2,FALSE),"")</f>
        <v>PRE-TEMPORADA</v>
      </c>
      <c r="H353" t="str" cm="1">
        <f t="array" ref="H353">IFERROR(VLOOKUP(INPUT!M348&amp;INPUT!N348,CHOOSE({1,2},INPUT!$A$3:$A$5000&amp;INPUT!$C$3:$C$5000,INPUT!$D$3:$D$5000),2,FALSE),"")</f>
        <v>TEC-TAC</v>
      </c>
      <c r="I353" s="46">
        <f>IF(INPUT!P348="","",INPUT!P348)</f>
        <v>79.400000000000006</v>
      </c>
      <c r="J353" s="46">
        <f>IF(INPUT!Q348="","",INPUT!Q348)</f>
        <v>80.2</v>
      </c>
      <c r="K353" s="46">
        <f>IFERROR(IF(OR(INPUT!P348="",INPUT!Q348=""),"",INPUT!P348-INPUT!Q348),"")</f>
        <v>-0.79999999999999716</v>
      </c>
      <c r="L353" s="48">
        <f>IFERROR(IF(OR(INPUT!P348="",INPUT!Q348="",INPUT!P348=0),"",(INPUT!P348-INPUT!Q348)/INPUT!P348),"")</f>
        <v>-1.0075566750629686E-2</v>
      </c>
    </row>
    <row r="354" spans="1:12" ht="18" customHeight="1" x14ac:dyDescent="0.2">
      <c r="A354" s="11">
        <f>IF(INPUT!M349="","",INPUT!M349)</f>
        <v>45889</v>
      </c>
      <c r="B354" s="11">
        <f>IF(INPUT!M349="","",INPUT!M349-WEEKDAY(INPUT!M349,2)+1)</f>
        <v>45887</v>
      </c>
      <c r="C354" s="20">
        <f>IFERROR(_xlfn.ISOWEEKNUM(INPUT!M349),"")</f>
        <v>34</v>
      </c>
      <c r="D354" s="20">
        <f>IFERROR(YEAR(INPUT!M349),"")</f>
        <v>2025</v>
      </c>
      <c r="E354" t="str">
        <f>IF(INPUT!O349="","",INPUT!O349)</f>
        <v>PANI</v>
      </c>
      <c r="F354" t="str">
        <f>IF(INPUT!N349="","",INPUT!N349)</f>
        <v>M</v>
      </c>
      <c r="G354" t="str" cm="1">
        <f t="array" ref="G354">IFERROR(VLOOKUP(INPUT!M349&amp;INPUT!N349,CHOOSE({1,2},INPUT!$A$3:$A$5000&amp;INPUT!$C$3:$C$5000,INPUT!$F$3:$F$5000),2,FALSE),"")</f>
        <v>PRE-TEMPORADA</v>
      </c>
      <c r="H354" t="str" cm="1">
        <f t="array" ref="H354">IFERROR(VLOOKUP(INPUT!M349&amp;INPUT!N349,CHOOSE({1,2},INPUT!$A$3:$A$5000&amp;INPUT!$C$3:$C$5000,INPUT!$D$3:$D$5000),2,FALSE),"")</f>
        <v>GYM+FISICO</v>
      </c>
      <c r="I354" s="46">
        <f>IF(INPUT!P349="","",INPUT!P349)</f>
        <v>71</v>
      </c>
      <c r="J354" s="46">
        <f>IF(INPUT!Q349="","",INPUT!Q349)</f>
        <v>70.3</v>
      </c>
      <c r="K354" s="46">
        <f>IFERROR(IF(OR(INPUT!P349="",INPUT!Q349=""),"",INPUT!P349-INPUT!Q349),"")</f>
        <v>0.70000000000000284</v>
      </c>
      <c r="L354" s="48">
        <f>IFERROR(IF(OR(INPUT!P349="",INPUT!Q349="",INPUT!P349=0),"",(INPUT!P349-INPUT!Q349)/INPUT!P349),"")</f>
        <v>9.8591549295775054E-3</v>
      </c>
    </row>
    <row r="355" spans="1:12" ht="18" customHeight="1" x14ac:dyDescent="0.2">
      <c r="A355" s="11">
        <f>IF(INPUT!M350="","",INPUT!M350)</f>
        <v>45889</v>
      </c>
      <c r="B355" s="11">
        <f>IF(INPUT!M350="","",INPUT!M350-WEEKDAY(INPUT!M350,2)+1)</f>
        <v>45887</v>
      </c>
      <c r="C355" s="20">
        <f>IFERROR(_xlfn.ISOWEEKNUM(INPUT!M350),"")</f>
        <v>34</v>
      </c>
      <c r="D355" s="20">
        <f>IFERROR(YEAR(INPUT!M350),"")</f>
        <v>2025</v>
      </c>
      <c r="E355" t="str">
        <f>IF(INPUT!O350="","",INPUT!O350)</f>
        <v>PANI</v>
      </c>
      <c r="F355" t="str">
        <f>IF(INPUT!N350="","",INPUT!N350)</f>
        <v>T</v>
      </c>
      <c r="G355" t="str" cm="1">
        <f t="array" ref="G355">IFERROR(VLOOKUP(INPUT!M350&amp;INPUT!N350,CHOOSE({1,2},INPUT!$A$3:$A$5000&amp;INPUT!$C$3:$C$5000,INPUT!$F$3:$F$5000),2,FALSE),"")</f>
        <v>PRE-TEMPORADA</v>
      </c>
      <c r="H355" t="str" cm="1">
        <f t="array" ref="H355">IFERROR(VLOOKUP(INPUT!M350&amp;INPUT!N350,CHOOSE({1,2},INPUT!$A$3:$A$5000&amp;INPUT!$C$3:$C$5000,INPUT!$D$3:$D$5000),2,FALSE),"")</f>
        <v>TEC-TAC</v>
      </c>
      <c r="I355" s="46">
        <f>IF(INPUT!P350="","",INPUT!P350)</f>
        <v>71.3</v>
      </c>
      <c r="J355" s="46">
        <f>IF(INPUT!Q350="","",INPUT!Q350)</f>
        <v>71.099999999999994</v>
      </c>
      <c r="K355" s="46">
        <f>IFERROR(IF(OR(INPUT!P350="",INPUT!Q350=""),"",INPUT!P350-INPUT!Q350),"")</f>
        <v>0.20000000000000284</v>
      </c>
      <c r="L355" s="48">
        <f>IFERROR(IF(OR(INPUT!P350="",INPUT!Q350="",INPUT!P350=0),"",(INPUT!P350-INPUT!Q350)/INPUT!P350),"")</f>
        <v>2.8050490883590861E-3</v>
      </c>
    </row>
    <row r="356" spans="1:12" ht="18" customHeight="1" x14ac:dyDescent="0.2">
      <c r="A356" s="11">
        <f>IF(INPUT!M351="","",INPUT!M351)</f>
        <v>45889</v>
      </c>
      <c r="B356" s="11">
        <f>IF(INPUT!M351="","",INPUT!M351-WEEKDAY(INPUT!M351,2)+1)</f>
        <v>45887</v>
      </c>
      <c r="C356" s="20">
        <f>IFERROR(_xlfn.ISOWEEKNUM(INPUT!M351),"")</f>
        <v>34</v>
      </c>
      <c r="D356" s="20">
        <f>IFERROR(YEAR(INPUT!M351),"")</f>
        <v>2025</v>
      </c>
      <c r="E356" t="str">
        <f>IF(INPUT!O351="","",INPUT!O351)</f>
        <v>PIRATA</v>
      </c>
      <c r="F356" t="str">
        <f>IF(INPUT!N351="","",INPUT!N351)</f>
        <v>M</v>
      </c>
      <c r="G356" t="str" cm="1">
        <f t="array" ref="G356">IFERROR(VLOOKUP(INPUT!M351&amp;INPUT!N351,CHOOSE({1,2},INPUT!$A$3:$A$5000&amp;INPUT!$C$3:$C$5000,INPUT!$F$3:$F$5000),2,FALSE),"")</f>
        <v>PRE-TEMPORADA</v>
      </c>
      <c r="H356" t="str" cm="1">
        <f t="array" ref="H356">IFERROR(VLOOKUP(INPUT!M351&amp;INPUT!N351,CHOOSE({1,2},INPUT!$A$3:$A$5000&amp;INPUT!$C$3:$C$5000,INPUT!$D$3:$D$5000),2,FALSE),"")</f>
        <v>GYM+FISICO</v>
      </c>
      <c r="I356" s="46">
        <f>IF(INPUT!P351="","",INPUT!P351)</f>
        <v>75.099999999999994</v>
      </c>
      <c r="J356" s="46">
        <f>IF(INPUT!Q351="","",INPUT!Q351)</f>
        <v>74.5</v>
      </c>
      <c r="K356" s="46">
        <f>IFERROR(IF(OR(INPUT!P351="",INPUT!Q351=""),"",INPUT!P351-INPUT!Q351),"")</f>
        <v>0.59999999999999432</v>
      </c>
      <c r="L356" s="48">
        <f>IFERROR(IF(OR(INPUT!P351="",INPUT!Q351="",INPUT!P351=0),"",(INPUT!P351-INPUT!Q351)/INPUT!P351),"")</f>
        <v>7.9893475366177684E-3</v>
      </c>
    </row>
    <row r="357" spans="1:12" ht="18" customHeight="1" x14ac:dyDescent="0.2">
      <c r="A357" s="11">
        <f>IF(INPUT!M352="","",INPUT!M352)</f>
        <v>45889</v>
      </c>
      <c r="B357" s="11">
        <f>IF(INPUT!M352="","",INPUT!M352-WEEKDAY(INPUT!M352,2)+1)</f>
        <v>45887</v>
      </c>
      <c r="C357" s="20">
        <f>IFERROR(_xlfn.ISOWEEKNUM(INPUT!M352),"")</f>
        <v>34</v>
      </c>
      <c r="D357" s="20">
        <f>IFERROR(YEAR(INPUT!M352),"")</f>
        <v>2025</v>
      </c>
      <c r="E357" t="str">
        <f>IF(INPUT!O352="","",INPUT!O352)</f>
        <v>PIRATA</v>
      </c>
      <c r="F357" t="str">
        <f>IF(INPUT!N352="","",INPUT!N352)</f>
        <v>T</v>
      </c>
      <c r="G357" t="str" cm="1">
        <f t="array" ref="G357">IFERROR(VLOOKUP(INPUT!M352&amp;INPUT!N352,CHOOSE({1,2},INPUT!$A$3:$A$5000&amp;INPUT!$C$3:$C$5000,INPUT!$F$3:$F$5000),2,FALSE),"")</f>
        <v>PRE-TEMPORADA</v>
      </c>
      <c r="H357" t="str" cm="1">
        <f t="array" ref="H357">IFERROR(VLOOKUP(INPUT!M352&amp;INPUT!N352,CHOOSE({1,2},INPUT!$A$3:$A$5000&amp;INPUT!$C$3:$C$5000,INPUT!$D$3:$D$5000),2,FALSE),"")</f>
        <v>TEC-TAC</v>
      </c>
      <c r="I357" s="46">
        <f>IF(INPUT!P352="","",INPUT!P352)</f>
        <v>75.400000000000006</v>
      </c>
      <c r="J357" s="46">
        <f>IF(INPUT!Q352="","",INPUT!Q352)</f>
        <v>75.099999999999994</v>
      </c>
      <c r="K357" s="46">
        <f>IFERROR(IF(OR(INPUT!P352="",INPUT!Q352=""),"",INPUT!P352-INPUT!Q352),"")</f>
        <v>0.30000000000001137</v>
      </c>
      <c r="L357" s="48">
        <f>IFERROR(IF(OR(INPUT!P352="",INPUT!Q352="",INPUT!P352=0),"",(INPUT!P352-INPUT!Q352)/INPUT!P352),"")</f>
        <v>3.9787798408489564E-3</v>
      </c>
    </row>
    <row r="358" spans="1:12" ht="18" customHeight="1" x14ac:dyDescent="0.2">
      <c r="A358" s="11">
        <f>IF(INPUT!M353="","",INPUT!M353)</f>
        <v>45889</v>
      </c>
      <c r="B358" s="11">
        <f>IF(INPUT!M353="","",INPUT!M353-WEEKDAY(INPUT!M353,2)+1)</f>
        <v>45887</v>
      </c>
      <c r="C358" s="20">
        <f>IFERROR(_xlfn.ISOWEEKNUM(INPUT!M353),"")</f>
        <v>34</v>
      </c>
      <c r="D358" s="20">
        <f>IFERROR(YEAR(INPUT!M353),"")</f>
        <v>2025</v>
      </c>
      <c r="E358" t="str">
        <f>IF(INPUT!O353="","",INPUT!O353)</f>
        <v>BARONA</v>
      </c>
      <c r="F358" t="str">
        <f>IF(INPUT!N353="","",INPUT!N353)</f>
        <v>T</v>
      </c>
      <c r="G358" t="str" cm="1">
        <f t="array" ref="G358">IFERROR(VLOOKUP(INPUT!M353&amp;INPUT!N353,CHOOSE({1,2},INPUT!$A$3:$A$5000&amp;INPUT!$C$3:$C$5000,INPUT!$F$3:$F$5000),2,FALSE),"")</f>
        <v>PRE-TEMPORADA</v>
      </c>
      <c r="H358" t="str" cm="1">
        <f t="array" ref="H358">IFERROR(VLOOKUP(INPUT!M353&amp;INPUT!N353,CHOOSE({1,2},INPUT!$A$3:$A$5000&amp;INPUT!$C$3:$C$5000,INPUT!$D$3:$D$5000),2,FALSE),"")</f>
        <v>TEC-TAC</v>
      </c>
      <c r="I358" s="46">
        <f>IF(INPUT!P353="","",INPUT!P353)</f>
        <v>70.8</v>
      </c>
      <c r="J358" s="46">
        <f>IF(INPUT!Q353="","",INPUT!Q353)</f>
        <v>70.8</v>
      </c>
      <c r="K358" s="46">
        <f>IFERROR(IF(OR(INPUT!P353="",INPUT!Q353=""),"",INPUT!P353-INPUT!Q353),"")</f>
        <v>0</v>
      </c>
      <c r="L358" s="48">
        <f>IFERROR(IF(OR(INPUT!P353="",INPUT!Q353="",INPUT!P353=0),"",(INPUT!P353-INPUT!Q353)/INPUT!P353),"")</f>
        <v>0</v>
      </c>
    </row>
    <row r="359" spans="1:12" ht="18" customHeight="1" x14ac:dyDescent="0.2">
      <c r="A359" s="11">
        <f>IF(INPUT!M354="","",INPUT!M354)</f>
        <v>45889</v>
      </c>
      <c r="B359" s="11">
        <f>IF(INPUT!M354="","",INPUT!M354-WEEKDAY(INPUT!M354,2)+1)</f>
        <v>45887</v>
      </c>
      <c r="C359" s="20">
        <f>IFERROR(_xlfn.ISOWEEKNUM(INPUT!M354),"")</f>
        <v>34</v>
      </c>
      <c r="D359" s="20">
        <f>IFERROR(YEAR(INPUT!M354),"")</f>
        <v>2025</v>
      </c>
      <c r="E359" t="str">
        <f>IF(INPUT!O354="","",INPUT!O354)</f>
        <v>CARLOS</v>
      </c>
      <c r="F359" t="str">
        <f>IF(INPUT!N354="","",INPUT!N354)</f>
        <v>M</v>
      </c>
      <c r="G359" t="str" cm="1">
        <f t="array" ref="G359">IFERROR(VLOOKUP(INPUT!M354&amp;INPUT!N354,CHOOSE({1,2},INPUT!$A$3:$A$5000&amp;INPUT!$C$3:$C$5000,INPUT!$F$3:$F$5000),2,FALSE),"")</f>
        <v>PRE-TEMPORADA</v>
      </c>
      <c r="H359" t="str" cm="1">
        <f t="array" ref="H359">IFERROR(VLOOKUP(INPUT!M354&amp;INPUT!N354,CHOOSE({1,2},INPUT!$A$3:$A$5000&amp;INPUT!$C$3:$C$5000,INPUT!$D$3:$D$5000),2,FALSE),"")</f>
        <v>GYM+FISICO</v>
      </c>
      <c r="I359" s="46">
        <f>IF(INPUT!P354="","",INPUT!P354)</f>
        <v>67.8</v>
      </c>
      <c r="J359" s="46">
        <f>IF(INPUT!Q354="","",INPUT!Q354)</f>
        <v>67.2</v>
      </c>
      <c r="K359" s="46">
        <f>IFERROR(IF(OR(INPUT!P354="",INPUT!Q354=""),"",INPUT!P354-INPUT!Q354),"")</f>
        <v>0.59999999999999432</v>
      </c>
      <c r="L359" s="48">
        <f>IFERROR(IF(OR(INPUT!P354="",INPUT!Q354="",INPUT!P354=0),"",(INPUT!P354-INPUT!Q354)/INPUT!P354),"")</f>
        <v>8.8495575221238104E-3</v>
      </c>
    </row>
    <row r="360" spans="1:12" ht="18" hidden="1" customHeight="1" x14ac:dyDescent="0.2">
      <c r="A360" s="11">
        <f>IF(INPUT!M355="","",INPUT!M355)</f>
        <v>45889</v>
      </c>
      <c r="B360" s="11">
        <f>IF(INPUT!M355="","",INPUT!M355-WEEKDAY(INPUT!M355,2)+1)</f>
        <v>45887</v>
      </c>
      <c r="C360" s="20">
        <f>IFERROR(_xlfn.ISOWEEKNUM(INPUT!M355),"")</f>
        <v>34</v>
      </c>
      <c r="D360" s="20">
        <f>IFERROR(YEAR(INPUT!M355),"")</f>
        <v>2025</v>
      </c>
      <c r="E360" t="str">
        <f>IF(INPUT!O355="","",INPUT!O355)</f>
        <v>CARLOS</v>
      </c>
      <c r="F360" t="str">
        <f>IF(INPUT!N355="","",INPUT!N355)</f>
        <v>T</v>
      </c>
      <c r="G360" t="str" cm="1">
        <f t="array" ref="G360">IFERROR(VLOOKUP(INPUT!M355&amp;INPUT!N355,CHOOSE({1,2},INPUT!$A$3:$A$5000&amp;INPUT!$C$3:$C$5000,INPUT!$F$3:$F$5000),2,FALSE),"")</f>
        <v>PRE-TEMPORADA</v>
      </c>
      <c r="H360" t="str" cm="1">
        <f t="array" ref="H360">IFERROR(VLOOKUP(INPUT!M355&amp;INPUT!N355,CHOOSE({1,2},INPUT!$A$3:$A$5000&amp;INPUT!$C$3:$C$5000,INPUT!$D$3:$D$5000),2,FALSE),"")</f>
        <v>TEC-TAC</v>
      </c>
      <c r="I360" s="46">
        <f>IF(INPUT!P355="","",INPUT!P355)</f>
        <v>67.7</v>
      </c>
      <c r="J360" s="46">
        <f>IF(INPUT!Q355="","",INPUT!Q355)</f>
        <v>66.7</v>
      </c>
      <c r="K360" s="46">
        <f>IFERROR(IF(OR(INPUT!P355="",INPUT!Q355=""),"",INPUT!P355-INPUT!Q355),"")</f>
        <v>1</v>
      </c>
      <c r="L360" s="48">
        <f>IFERROR(IF(OR(INPUT!P355="",INPUT!Q355="",INPUT!P355=0),"",(INPUT!P355-INPUT!Q355)/INPUT!P355),"")</f>
        <v>1.4771048744460856E-2</v>
      </c>
    </row>
    <row r="361" spans="1:12" ht="18" hidden="1" customHeight="1" x14ac:dyDescent="0.2">
      <c r="A361" s="11">
        <f>IF(INPUT!M356="","",INPUT!M356)</f>
        <v>45889</v>
      </c>
      <c r="B361" s="11">
        <f>IF(INPUT!M356="","",INPUT!M356-WEEKDAY(INPUT!M356,2)+1)</f>
        <v>45887</v>
      </c>
      <c r="C361" s="20">
        <f>IFERROR(_xlfn.ISOWEEKNUM(INPUT!M356),"")</f>
        <v>34</v>
      </c>
      <c r="D361" s="20">
        <f>IFERROR(YEAR(INPUT!M356),"")</f>
        <v>2025</v>
      </c>
      <c r="E361" t="str">
        <f>IF(INPUT!O356="","",INPUT!O356)</f>
        <v>GONZALO</v>
      </c>
      <c r="F361" t="str">
        <f>IF(INPUT!N356="","",INPUT!N356)</f>
        <v>M</v>
      </c>
      <c r="G361" t="str" cm="1">
        <f t="array" ref="G361">IFERROR(VLOOKUP(INPUT!M356&amp;INPUT!N356,CHOOSE({1,2},INPUT!$A$3:$A$5000&amp;INPUT!$C$3:$C$5000,INPUT!$F$3:$F$5000),2,FALSE),"")</f>
        <v>PRE-TEMPORADA</v>
      </c>
      <c r="H361" t="str" cm="1">
        <f t="array" ref="H361">IFERROR(VLOOKUP(INPUT!M356&amp;INPUT!N356,CHOOSE({1,2},INPUT!$A$3:$A$5000&amp;INPUT!$C$3:$C$5000,INPUT!$D$3:$D$5000),2,FALSE),"")</f>
        <v>GYM+FISICO</v>
      </c>
      <c r="I361" s="46">
        <f>IF(INPUT!P356="","",INPUT!P356)</f>
        <v>85.4</v>
      </c>
      <c r="J361" s="46">
        <f>IF(INPUT!Q356="","",INPUT!Q356)</f>
        <v>85.2</v>
      </c>
      <c r="K361" s="46">
        <f>IFERROR(IF(OR(INPUT!P356="",INPUT!Q356=""),"",INPUT!P356-INPUT!Q356),"")</f>
        <v>0.20000000000000284</v>
      </c>
      <c r="L361" s="48">
        <f>IFERROR(IF(OR(INPUT!P356="",INPUT!Q356="",INPUT!P356=0),"",(INPUT!P356-INPUT!Q356)/INPUT!P356),"")</f>
        <v>2.3419203747072929E-3</v>
      </c>
    </row>
    <row r="362" spans="1:12" ht="18" hidden="1" customHeight="1" x14ac:dyDescent="0.2">
      <c r="A362" s="11">
        <f>IF(INPUT!M357="","",INPUT!M357)</f>
        <v>45889</v>
      </c>
      <c r="B362" s="11">
        <f>IF(INPUT!M357="","",INPUT!M357-WEEKDAY(INPUT!M357,2)+1)</f>
        <v>45887</v>
      </c>
      <c r="C362" s="20">
        <f>IFERROR(_xlfn.ISOWEEKNUM(INPUT!M357),"")</f>
        <v>34</v>
      </c>
      <c r="D362" s="20">
        <f>IFERROR(YEAR(INPUT!M357),"")</f>
        <v>2025</v>
      </c>
      <c r="E362" t="str">
        <f>IF(INPUT!O357="","",INPUT!O357)</f>
        <v>GONZALO</v>
      </c>
      <c r="F362" t="str">
        <f>IF(INPUT!N357="","",INPUT!N357)</f>
        <v>T</v>
      </c>
      <c r="G362" t="str" cm="1">
        <f t="array" ref="G362">IFERROR(VLOOKUP(INPUT!M357&amp;INPUT!N357,CHOOSE({1,2},INPUT!$A$3:$A$5000&amp;INPUT!$C$3:$C$5000,INPUT!$F$3:$F$5000),2,FALSE),"")</f>
        <v>PRE-TEMPORADA</v>
      </c>
      <c r="H362" t="str" cm="1">
        <f t="array" ref="H362">IFERROR(VLOOKUP(INPUT!M357&amp;INPUT!N357,CHOOSE({1,2},INPUT!$A$3:$A$5000&amp;INPUT!$C$3:$C$5000,INPUT!$D$3:$D$5000),2,FALSE),"")</f>
        <v>TEC-TAC</v>
      </c>
      <c r="I362" s="46">
        <f>IF(INPUT!P357="","",INPUT!P357)</f>
        <v>85.2</v>
      </c>
      <c r="J362" s="46">
        <f>IF(INPUT!Q357="","",INPUT!Q357)</f>
        <v>85.1</v>
      </c>
      <c r="K362" s="46">
        <f>IFERROR(IF(OR(INPUT!P357="",INPUT!Q357=""),"",INPUT!P357-INPUT!Q357),"")</f>
        <v>0.10000000000000853</v>
      </c>
      <c r="L362" s="48">
        <f>IFERROR(IF(OR(INPUT!P357="",INPUT!Q357="",INPUT!P357=0),"",(INPUT!P357-INPUT!Q357)/INPUT!P357),"")</f>
        <v>1.1737089201878934E-3</v>
      </c>
    </row>
    <row r="363" spans="1:12" ht="18" hidden="1" customHeight="1" x14ac:dyDescent="0.2">
      <c r="A363" s="11">
        <f>IF(INPUT!M358="","",INPUT!M358)</f>
        <v>45889</v>
      </c>
      <c r="B363" s="11">
        <f>IF(INPUT!M358="","",INPUT!M358-WEEKDAY(INPUT!M358,2)+1)</f>
        <v>45887</v>
      </c>
      <c r="C363" s="20">
        <f>IFERROR(_xlfn.ISOWEEKNUM(INPUT!M358),"")</f>
        <v>34</v>
      </c>
      <c r="D363" s="20">
        <f>IFERROR(YEAR(INPUT!M358),"")</f>
        <v>2025</v>
      </c>
      <c r="E363" t="str">
        <f>IF(INPUT!O358="","",INPUT!O358)</f>
        <v>RUBIO</v>
      </c>
      <c r="F363" t="str">
        <f>IF(INPUT!N358="","",INPUT!N358)</f>
        <v>M</v>
      </c>
      <c r="G363" t="str" cm="1">
        <f t="array" ref="G363">IFERROR(VLOOKUP(INPUT!M358&amp;INPUT!N358,CHOOSE({1,2},INPUT!$A$3:$A$5000&amp;INPUT!$C$3:$C$5000,INPUT!$F$3:$F$5000),2,FALSE),"")</f>
        <v>PRE-TEMPORADA</v>
      </c>
      <c r="H363" t="str" cm="1">
        <f t="array" ref="H363">IFERROR(VLOOKUP(INPUT!M358&amp;INPUT!N358,CHOOSE({1,2},INPUT!$A$3:$A$5000&amp;INPUT!$C$3:$C$5000,INPUT!$D$3:$D$5000),2,FALSE),"")</f>
        <v>GYM+FISICO</v>
      </c>
      <c r="I363" s="46">
        <f>IF(INPUT!P358="","",INPUT!P358)</f>
        <v>75.099999999999994</v>
      </c>
      <c r="J363" s="46">
        <f>IF(INPUT!Q358="","",INPUT!Q358)</f>
        <v>75.099999999999994</v>
      </c>
      <c r="K363" s="46">
        <f>IFERROR(IF(OR(INPUT!P358="",INPUT!Q358=""),"",INPUT!P358-INPUT!Q358),"")</f>
        <v>0</v>
      </c>
      <c r="L363" s="48">
        <f>IFERROR(IF(OR(INPUT!P358="",INPUT!Q358="",INPUT!P358=0),"",(INPUT!P358-INPUT!Q358)/INPUT!P358),"")</f>
        <v>0</v>
      </c>
    </row>
    <row r="364" spans="1:12" ht="18" hidden="1" customHeight="1" x14ac:dyDescent="0.2">
      <c r="A364" s="11">
        <f>IF(INPUT!M359="","",INPUT!M359)</f>
        <v>45889</v>
      </c>
      <c r="B364" s="11">
        <f>IF(INPUT!M359="","",INPUT!M359-WEEKDAY(INPUT!M359,2)+1)</f>
        <v>45887</v>
      </c>
      <c r="C364" s="20">
        <f>IFERROR(_xlfn.ISOWEEKNUM(INPUT!M359),"")</f>
        <v>34</v>
      </c>
      <c r="D364" s="20">
        <f>IFERROR(YEAR(INPUT!M359),"")</f>
        <v>2025</v>
      </c>
      <c r="E364" t="str">
        <f>IF(INPUT!O359="","",INPUT!O359)</f>
        <v>RUBIO</v>
      </c>
      <c r="F364" t="str">
        <f>IF(INPUT!N359="","",INPUT!N359)</f>
        <v>T</v>
      </c>
      <c r="G364" t="str" cm="1">
        <f t="array" ref="G364">IFERROR(VLOOKUP(INPUT!M359&amp;INPUT!N359,CHOOSE({1,2},INPUT!$A$3:$A$5000&amp;INPUT!$C$3:$C$5000,INPUT!$F$3:$F$5000),2,FALSE),"")</f>
        <v>PRE-TEMPORADA</v>
      </c>
      <c r="H364" t="str" cm="1">
        <f t="array" ref="H364">IFERROR(VLOOKUP(INPUT!M359&amp;INPUT!N359,CHOOSE({1,2},INPUT!$A$3:$A$5000&amp;INPUT!$C$3:$C$5000,INPUT!$D$3:$D$5000),2,FALSE),"")</f>
        <v>TEC-TAC</v>
      </c>
      <c r="I364" s="46">
        <f>IF(INPUT!P359="","",INPUT!P359)</f>
        <v>75.5</v>
      </c>
      <c r="J364" s="46">
        <f>IF(INPUT!Q359="","",INPUT!Q359)</f>
        <v>75.3</v>
      </c>
      <c r="K364" s="46">
        <f>IFERROR(IF(OR(INPUT!P359="",INPUT!Q359=""),"",INPUT!P359-INPUT!Q359),"")</f>
        <v>0.20000000000000284</v>
      </c>
      <c r="L364" s="48">
        <f>IFERROR(IF(OR(INPUT!P359="",INPUT!Q359="",INPUT!P359=0),"",(INPUT!P359-INPUT!Q359)/INPUT!P359),"")</f>
        <v>2.649006622516594E-3</v>
      </c>
    </row>
    <row r="365" spans="1:12" ht="18" hidden="1" customHeight="1" x14ac:dyDescent="0.2">
      <c r="A365" s="11">
        <f>IF(INPUT!M360="","",INPUT!M360)</f>
        <v>45889</v>
      </c>
      <c r="B365" s="11">
        <f>IF(INPUT!M360="","",INPUT!M360-WEEKDAY(INPUT!M360,2)+1)</f>
        <v>45887</v>
      </c>
      <c r="C365" s="20">
        <f>IFERROR(_xlfn.ISOWEEKNUM(INPUT!M360),"")</f>
        <v>34</v>
      </c>
      <c r="D365" s="20">
        <f>IFERROR(YEAR(INPUT!M360),"")</f>
        <v>2025</v>
      </c>
      <c r="E365" t="str">
        <f>IF(INPUT!O360="","",INPUT!O360)</f>
        <v>DANI</v>
      </c>
      <c r="F365" t="str">
        <f>IF(INPUT!N360="","",INPUT!N360)</f>
        <v>M</v>
      </c>
      <c r="G365" t="str" cm="1">
        <f t="array" ref="G365">IFERROR(VLOOKUP(INPUT!M360&amp;INPUT!N360,CHOOSE({1,2},INPUT!$A$3:$A$5000&amp;INPUT!$C$3:$C$5000,INPUT!$F$3:$F$5000),2,FALSE),"")</f>
        <v>PRE-TEMPORADA</v>
      </c>
      <c r="H365" t="str" cm="1">
        <f t="array" ref="H365">IFERROR(VLOOKUP(INPUT!M360&amp;INPUT!N360,CHOOSE({1,2},INPUT!$A$3:$A$5000&amp;INPUT!$C$3:$C$5000,INPUT!$D$3:$D$5000),2,FALSE),"")</f>
        <v>GYM+FISICO</v>
      </c>
      <c r="I365" s="46">
        <f>IF(INPUT!P360="","",INPUT!P360)</f>
        <v>93.6</v>
      </c>
      <c r="J365" s="46">
        <f>IF(INPUT!Q360="","",INPUT!Q360)</f>
        <v>92.6</v>
      </c>
      <c r="K365" s="46">
        <f>IFERROR(IF(OR(INPUT!P360="",INPUT!Q360=""),"",INPUT!P360-INPUT!Q360),"")</f>
        <v>1</v>
      </c>
      <c r="L365" s="48">
        <f>IFERROR(IF(OR(INPUT!P360="",INPUT!Q360="",INPUT!P360=0),"",(INPUT!P360-INPUT!Q360)/INPUT!P360),"")</f>
        <v>1.0683760683760684E-2</v>
      </c>
    </row>
    <row r="366" spans="1:12" ht="18" hidden="1" customHeight="1" x14ac:dyDescent="0.2">
      <c r="A366" s="11">
        <f>IF(INPUT!M361="","",INPUT!M361)</f>
        <v>45889</v>
      </c>
      <c r="B366" s="11">
        <f>IF(INPUT!M361="","",INPUT!M361-WEEKDAY(INPUT!M361,2)+1)</f>
        <v>45887</v>
      </c>
      <c r="C366" s="20">
        <f>IFERROR(_xlfn.ISOWEEKNUM(INPUT!M361),"")</f>
        <v>34</v>
      </c>
      <c r="D366" s="20">
        <f>IFERROR(YEAR(INPUT!M361),"")</f>
        <v>2025</v>
      </c>
      <c r="E366" t="str">
        <f>IF(INPUT!O361="","",INPUT!O361)</f>
        <v>DANI</v>
      </c>
      <c r="F366" t="str">
        <f>IF(INPUT!N361="","",INPUT!N361)</f>
        <v>T</v>
      </c>
      <c r="G366" t="str" cm="1">
        <f t="array" ref="G366">IFERROR(VLOOKUP(INPUT!M361&amp;INPUT!N361,CHOOSE({1,2},INPUT!$A$3:$A$5000&amp;INPUT!$C$3:$C$5000,INPUT!$F$3:$F$5000),2,FALSE),"")</f>
        <v>PRE-TEMPORADA</v>
      </c>
      <c r="H366" t="str" cm="1">
        <f t="array" ref="H366">IFERROR(VLOOKUP(INPUT!M361&amp;INPUT!N361,CHOOSE({1,2},INPUT!$A$3:$A$5000&amp;INPUT!$C$3:$C$5000,INPUT!$D$3:$D$5000),2,FALSE),"")</f>
        <v>TEC-TAC</v>
      </c>
      <c r="I366" s="46">
        <f>IF(INPUT!P361="","",INPUT!P361)</f>
        <v>93.8</v>
      </c>
      <c r="J366" s="46">
        <f>IF(INPUT!Q361="","",INPUT!Q361)</f>
        <v>92.9</v>
      </c>
      <c r="K366" s="46">
        <f>IFERROR(IF(OR(INPUT!P361="",INPUT!Q361=""),"",INPUT!P361-INPUT!Q361),"")</f>
        <v>0.89999999999999147</v>
      </c>
      <c r="L366" s="48">
        <f>IFERROR(IF(OR(INPUT!P361="",INPUT!Q361="",INPUT!P361=0),"",(INPUT!P361-INPUT!Q361)/INPUT!P361),"")</f>
        <v>9.5948827292109962E-3</v>
      </c>
    </row>
    <row r="367" spans="1:12" ht="18" hidden="1" customHeight="1" x14ac:dyDescent="0.2">
      <c r="A367" s="11">
        <f>IF(INPUT!M362="","",INPUT!M362)</f>
        <v>45889</v>
      </c>
      <c r="B367" s="11">
        <f>IF(INPUT!M362="","",INPUT!M362-WEEKDAY(INPUT!M362,2)+1)</f>
        <v>45887</v>
      </c>
      <c r="C367" s="20">
        <f>IFERROR(_xlfn.ISOWEEKNUM(INPUT!M362),"")</f>
        <v>34</v>
      </c>
      <c r="D367" s="20">
        <f>IFERROR(YEAR(INPUT!M362),"")</f>
        <v>2025</v>
      </c>
      <c r="E367" t="str">
        <f>IF(INPUT!O362="","",INPUT!O362)</f>
        <v>JAIME</v>
      </c>
      <c r="F367" t="str">
        <f>IF(INPUT!N362="","",INPUT!N362)</f>
        <v>M</v>
      </c>
      <c r="G367" t="str" cm="1">
        <f t="array" ref="G367">IFERROR(VLOOKUP(INPUT!M362&amp;INPUT!N362,CHOOSE({1,2},INPUT!$A$3:$A$5000&amp;INPUT!$C$3:$C$5000,INPUT!$F$3:$F$5000),2,FALSE),"")</f>
        <v>PRE-TEMPORADA</v>
      </c>
      <c r="H367" t="str" cm="1">
        <f t="array" ref="H367">IFERROR(VLOOKUP(INPUT!M362&amp;INPUT!N362,CHOOSE({1,2},INPUT!$A$3:$A$5000&amp;INPUT!$C$3:$C$5000,INPUT!$D$3:$D$5000),2,FALSE),"")</f>
        <v>GYM+FISICO</v>
      </c>
      <c r="I367" s="46">
        <f>IF(INPUT!P362="","",INPUT!P362)</f>
        <v>75.7</v>
      </c>
      <c r="J367" s="46">
        <f>IF(INPUT!Q362="","",INPUT!Q362)</f>
        <v>74.8</v>
      </c>
      <c r="K367" s="46">
        <f>IFERROR(IF(OR(INPUT!P362="",INPUT!Q362=""),"",INPUT!P362-INPUT!Q362),"")</f>
        <v>0.90000000000000568</v>
      </c>
      <c r="L367" s="48">
        <f>IFERROR(IF(OR(INPUT!P362="",INPUT!Q362="",INPUT!P362=0),"",(INPUT!P362-INPUT!Q362)/INPUT!P362),"")</f>
        <v>1.1889035667107075E-2</v>
      </c>
    </row>
    <row r="368" spans="1:12" ht="18" hidden="1" customHeight="1" x14ac:dyDescent="0.2">
      <c r="A368" s="11">
        <f>IF(INPUT!M363="","",INPUT!M363)</f>
        <v>45889</v>
      </c>
      <c r="B368" s="11">
        <f>IF(INPUT!M363="","",INPUT!M363-WEEKDAY(INPUT!M363,2)+1)</f>
        <v>45887</v>
      </c>
      <c r="C368" s="20">
        <f>IFERROR(_xlfn.ISOWEEKNUM(INPUT!M363),"")</f>
        <v>34</v>
      </c>
      <c r="D368" s="20">
        <f>IFERROR(YEAR(INPUT!M363),"")</f>
        <v>2025</v>
      </c>
      <c r="E368" t="str">
        <f>IF(INPUT!O363="","",INPUT!O363)</f>
        <v>JAIME</v>
      </c>
      <c r="F368" t="str">
        <f>IF(INPUT!N363="","",INPUT!N363)</f>
        <v>T</v>
      </c>
      <c r="G368" t="str" cm="1">
        <f t="array" ref="G368">IFERROR(VLOOKUP(INPUT!M363&amp;INPUT!N363,CHOOSE({1,2},INPUT!$A$3:$A$5000&amp;INPUT!$C$3:$C$5000,INPUT!$F$3:$F$5000),2,FALSE),"")</f>
        <v>PRE-TEMPORADA</v>
      </c>
      <c r="H368" t="str" cm="1">
        <f t="array" ref="H368">IFERROR(VLOOKUP(INPUT!M363&amp;INPUT!N363,CHOOSE({1,2},INPUT!$A$3:$A$5000&amp;INPUT!$C$3:$C$5000,INPUT!$D$3:$D$5000),2,FALSE),"")</f>
        <v>TEC-TAC</v>
      </c>
      <c r="I368" s="46">
        <f>IF(INPUT!P363="","",INPUT!P363)</f>
        <v>76</v>
      </c>
      <c r="J368" s="46">
        <f>IF(INPUT!Q363="","",INPUT!Q363)</f>
        <v>75.5</v>
      </c>
      <c r="K368" s="46">
        <f>IFERROR(IF(OR(INPUT!P363="",INPUT!Q363=""),"",INPUT!P363-INPUT!Q363),"")</f>
        <v>0.5</v>
      </c>
      <c r="L368" s="48">
        <f>IFERROR(IF(OR(INPUT!P363="",INPUT!Q363="",INPUT!P363=0),"",(INPUT!P363-INPUT!Q363)/INPUT!P363),"")</f>
        <v>6.5789473684210523E-3</v>
      </c>
    </row>
    <row r="369" spans="1:12" ht="18" hidden="1" customHeight="1" x14ac:dyDescent="0.2">
      <c r="A369" s="11">
        <f>IF(INPUT!M364="","",INPUT!M364)</f>
        <v>45890</v>
      </c>
      <c r="B369" s="11">
        <f>IF(INPUT!M364="","",INPUT!M364-WEEKDAY(INPUT!M364,2)+1)</f>
        <v>45887</v>
      </c>
      <c r="C369" s="20">
        <f>IFERROR(_xlfn.ISOWEEKNUM(INPUT!M364),"")</f>
        <v>34</v>
      </c>
      <c r="D369" s="20">
        <f>IFERROR(YEAR(INPUT!M364),"")</f>
        <v>2025</v>
      </c>
      <c r="E369" t="str">
        <f>IF(INPUT!O364="","",INPUT!O364)</f>
        <v>HERRERO</v>
      </c>
      <c r="F369" t="str">
        <f>IF(INPUT!N364="","",INPUT!N364)</f>
        <v>M</v>
      </c>
      <c r="G369" t="str" cm="1">
        <f t="array" ref="G369">IFERROR(VLOOKUP(INPUT!M364&amp;INPUT!N364,CHOOSE({1,2},INPUT!$A$3:$A$5000&amp;INPUT!$C$3:$C$5000,INPUT!$F$3:$F$5000),2,FALSE),"")</f>
        <v>PRE-TEMPORADA</v>
      </c>
      <c r="H369" t="str" cm="1">
        <f t="array" ref="H369">IFERROR(VLOOKUP(INPUT!M364&amp;INPUT!N364,CHOOSE({1,2},INPUT!$A$3:$A$5000&amp;INPUT!$C$3:$C$5000,INPUT!$D$3:$D$5000),2,FALSE),"")</f>
        <v>TEC-TAC</v>
      </c>
      <c r="I369" s="46">
        <f>IF(INPUT!P364="","",INPUT!P364)</f>
        <v>76.7</v>
      </c>
      <c r="J369" s="46">
        <f>IF(INPUT!Q364="","",INPUT!Q364)</f>
        <v>76</v>
      </c>
      <c r="K369" s="46">
        <f>IFERROR(IF(OR(INPUT!P364="",INPUT!Q364=""),"",INPUT!P364-INPUT!Q364),"")</f>
        <v>0.70000000000000284</v>
      </c>
      <c r="L369" s="48">
        <f>IFERROR(IF(OR(INPUT!P364="",INPUT!Q364="",INPUT!P364=0),"",(INPUT!P364-INPUT!Q364)/INPUT!P364),"")</f>
        <v>9.1264667535854351E-3</v>
      </c>
    </row>
    <row r="370" spans="1:12" ht="18" hidden="1" customHeight="1" x14ac:dyDescent="0.2">
      <c r="A370" s="11">
        <f>IF(INPUT!M365="","",INPUT!M365)</f>
        <v>45890</v>
      </c>
      <c r="B370" s="11">
        <f>IF(INPUT!M365="","",INPUT!M365-WEEKDAY(INPUT!M365,2)+1)</f>
        <v>45887</v>
      </c>
      <c r="C370" s="20">
        <f>IFERROR(_xlfn.ISOWEEKNUM(INPUT!M365),"")</f>
        <v>34</v>
      </c>
      <c r="D370" s="20">
        <f>IFERROR(YEAR(INPUT!M365),"")</f>
        <v>2025</v>
      </c>
      <c r="E370" t="str">
        <f>IF(INPUT!O365="","",INPUT!O365)</f>
        <v>GARCIA</v>
      </c>
      <c r="F370" t="str">
        <f>IF(INPUT!N365="","",INPUT!N365)</f>
        <v>M</v>
      </c>
      <c r="G370" t="str" cm="1">
        <f t="array" ref="G370">IFERROR(VLOOKUP(INPUT!M365&amp;INPUT!N365,CHOOSE({1,2},INPUT!$A$3:$A$5000&amp;INPUT!$C$3:$C$5000,INPUT!$F$3:$F$5000),2,FALSE),"")</f>
        <v>PRE-TEMPORADA</v>
      </c>
      <c r="H370" t="str" cm="1">
        <f t="array" ref="H370">IFERROR(VLOOKUP(INPUT!M365&amp;INPUT!N365,CHOOSE({1,2},INPUT!$A$3:$A$5000&amp;INPUT!$C$3:$C$5000,INPUT!$D$3:$D$5000),2,FALSE),"")</f>
        <v>TEC-TAC</v>
      </c>
      <c r="I370" s="46">
        <f>IF(INPUT!P365="","",INPUT!P365)</f>
        <v>79.599999999999994</v>
      </c>
      <c r="J370" s="46">
        <f>IF(INPUT!Q365="","",INPUT!Q365)</f>
        <v>79</v>
      </c>
      <c r="K370" s="46">
        <f>IFERROR(IF(OR(INPUT!P365="",INPUT!Q365=""),"",INPUT!P365-INPUT!Q365),"")</f>
        <v>0.59999999999999432</v>
      </c>
      <c r="L370" s="48">
        <f>IFERROR(IF(OR(INPUT!P365="",INPUT!Q365="",INPUT!P365=0),"",(INPUT!P365-INPUT!Q365)/INPUT!P365),"")</f>
        <v>7.5376884422109847E-3</v>
      </c>
    </row>
    <row r="371" spans="1:12" ht="18" hidden="1" customHeight="1" x14ac:dyDescent="0.2">
      <c r="A371" s="11">
        <f>IF(INPUT!M366="","",INPUT!M366)</f>
        <v>45890</v>
      </c>
      <c r="B371" s="11">
        <f>IF(INPUT!M366="","",INPUT!M366-WEEKDAY(INPUT!M366,2)+1)</f>
        <v>45887</v>
      </c>
      <c r="C371" s="20">
        <f>IFERROR(_xlfn.ISOWEEKNUM(INPUT!M366),"")</f>
        <v>34</v>
      </c>
      <c r="D371" s="20">
        <f>IFERROR(YEAR(INPUT!M366),"")</f>
        <v>2025</v>
      </c>
      <c r="E371" t="str">
        <f>IF(INPUT!O366="","",INPUT!O366)</f>
        <v>CECILIO</v>
      </c>
      <c r="F371" t="str">
        <f>IF(INPUT!N366="","",INPUT!N366)</f>
        <v>M</v>
      </c>
      <c r="G371" t="str" cm="1">
        <f t="array" ref="G371">IFERROR(VLOOKUP(INPUT!M366&amp;INPUT!N366,CHOOSE({1,2},INPUT!$A$3:$A$5000&amp;INPUT!$C$3:$C$5000,INPUT!$F$3:$F$5000),2,FALSE),"")</f>
        <v>PRE-TEMPORADA</v>
      </c>
      <c r="H371" t="str" cm="1">
        <f t="array" ref="H371">IFERROR(VLOOKUP(INPUT!M366&amp;INPUT!N366,CHOOSE({1,2},INPUT!$A$3:$A$5000&amp;INPUT!$C$3:$C$5000,INPUT!$D$3:$D$5000),2,FALSE),"")</f>
        <v>TEC-TAC</v>
      </c>
      <c r="I371" s="46">
        <f>IF(INPUT!P366="","",INPUT!P366)</f>
        <v>68.2</v>
      </c>
      <c r="J371" s="46">
        <f>IF(INPUT!Q366="","",INPUT!Q366)</f>
        <v>68</v>
      </c>
      <c r="K371" s="46">
        <f>IFERROR(IF(OR(INPUT!P366="",INPUT!Q366=""),"",INPUT!P366-INPUT!Q366),"")</f>
        <v>0.20000000000000284</v>
      </c>
      <c r="L371" s="48">
        <f>IFERROR(IF(OR(INPUT!P366="",INPUT!Q366="",INPUT!P366=0),"",(INPUT!P366-INPUT!Q366)/INPUT!P366),"")</f>
        <v>2.9325513196481355E-3</v>
      </c>
    </row>
    <row r="372" spans="1:12" ht="18" hidden="1" customHeight="1" x14ac:dyDescent="0.2">
      <c r="A372" s="11">
        <f>IF(INPUT!M367="","",INPUT!M367)</f>
        <v>45890</v>
      </c>
      <c r="B372" s="11">
        <f>IF(INPUT!M367="","",INPUT!M367-WEEKDAY(INPUT!M367,2)+1)</f>
        <v>45887</v>
      </c>
      <c r="C372" s="20">
        <f>IFERROR(_xlfn.ISOWEEKNUM(INPUT!M367),"")</f>
        <v>34</v>
      </c>
      <c r="D372" s="20">
        <f>IFERROR(YEAR(INPUT!M367),"")</f>
        <v>2025</v>
      </c>
      <c r="E372" t="str">
        <f>IF(INPUT!O367="","",INPUT!O367)</f>
        <v>CHAGUINHA</v>
      </c>
      <c r="F372" t="str">
        <f>IF(INPUT!N367="","",INPUT!N367)</f>
        <v>M</v>
      </c>
      <c r="G372" t="str" cm="1">
        <f t="array" ref="G372">IFERROR(VLOOKUP(INPUT!M367&amp;INPUT!N367,CHOOSE({1,2},INPUT!$A$3:$A$5000&amp;INPUT!$C$3:$C$5000,INPUT!$F$3:$F$5000),2,FALSE),"")</f>
        <v>PRE-TEMPORADA</v>
      </c>
      <c r="H372" t="str" cm="1">
        <f t="array" ref="H372">IFERROR(VLOOKUP(INPUT!M367&amp;INPUT!N367,CHOOSE({1,2},INPUT!$A$3:$A$5000&amp;INPUT!$C$3:$C$5000,INPUT!$D$3:$D$5000),2,FALSE),"")</f>
        <v>TEC-TAC</v>
      </c>
      <c r="I372" s="46">
        <f>IF(INPUT!P367="","",INPUT!P367)</f>
        <v>69.2</v>
      </c>
      <c r="J372" s="46">
        <f>IF(INPUT!Q367="","",INPUT!Q367)</f>
        <v>68.5</v>
      </c>
      <c r="K372" s="46">
        <f>IFERROR(IF(OR(INPUT!P367="",INPUT!Q367=""),"",INPUT!P367-INPUT!Q367),"")</f>
        <v>0.70000000000000284</v>
      </c>
      <c r="L372" s="48">
        <f>IFERROR(IF(OR(INPUT!P367="",INPUT!Q367="",INPUT!P367=0),"",(INPUT!P367-INPUT!Q367)/INPUT!P367),"")</f>
        <v>1.0115606936416225E-2</v>
      </c>
    </row>
    <row r="373" spans="1:12" ht="18" hidden="1" customHeight="1" x14ac:dyDescent="0.2">
      <c r="A373" s="11">
        <f>IF(INPUT!M368="","",INPUT!M368)</f>
        <v>45890</v>
      </c>
      <c r="B373" s="11">
        <f>IF(INPUT!M368="","",INPUT!M368-WEEKDAY(INPUT!M368,2)+1)</f>
        <v>45887</v>
      </c>
      <c r="C373" s="20">
        <f>IFERROR(_xlfn.ISOWEEKNUM(INPUT!M368),"")</f>
        <v>34</v>
      </c>
      <c r="D373" s="20">
        <f>IFERROR(YEAR(INPUT!M368),"")</f>
        <v>2025</v>
      </c>
      <c r="E373" t="str">
        <f>IF(INPUT!O368="","",INPUT!O368)</f>
        <v>RAUL</v>
      </c>
      <c r="F373" t="str">
        <f>IF(INPUT!N368="","",INPUT!N368)</f>
        <v>M</v>
      </c>
      <c r="G373" t="str" cm="1">
        <f t="array" ref="G373">IFERROR(VLOOKUP(INPUT!M368&amp;INPUT!N368,CHOOSE({1,2},INPUT!$A$3:$A$5000&amp;INPUT!$C$3:$C$5000,INPUT!$F$3:$F$5000),2,FALSE),"")</f>
        <v>PRE-TEMPORADA</v>
      </c>
      <c r="H373" t="str" cm="1">
        <f t="array" ref="H373">IFERROR(VLOOKUP(INPUT!M368&amp;INPUT!N368,CHOOSE({1,2},INPUT!$A$3:$A$5000&amp;INPUT!$C$3:$C$5000,INPUT!$D$3:$D$5000),2,FALSE),"")</f>
        <v>TEC-TAC</v>
      </c>
      <c r="I373" s="46">
        <f>IF(INPUT!P368="","",INPUT!P368)</f>
        <v>79.400000000000006</v>
      </c>
      <c r="J373" s="46">
        <f>IF(INPUT!Q368="","",INPUT!Q368)</f>
        <v>79</v>
      </c>
      <c r="K373" s="46">
        <f>IFERROR(IF(OR(INPUT!P368="",INPUT!Q368=""),"",INPUT!P368-INPUT!Q368),"")</f>
        <v>0.40000000000000568</v>
      </c>
      <c r="L373" s="48">
        <f>IFERROR(IF(OR(INPUT!P368="",INPUT!Q368="",INPUT!P368=0),"",(INPUT!P368-INPUT!Q368)/INPUT!P368),"")</f>
        <v>5.0377833753149324E-3</v>
      </c>
    </row>
    <row r="374" spans="1:12" ht="18" hidden="1" customHeight="1" x14ac:dyDescent="0.2">
      <c r="A374" s="11">
        <f>IF(INPUT!M369="","",INPUT!M369)</f>
        <v>45890</v>
      </c>
      <c r="B374" s="11">
        <f>IF(INPUT!M369="","",INPUT!M369-WEEKDAY(INPUT!M369,2)+1)</f>
        <v>45887</v>
      </c>
      <c r="C374" s="20">
        <f>IFERROR(_xlfn.ISOWEEKNUM(INPUT!M369),"")</f>
        <v>34</v>
      </c>
      <c r="D374" s="20">
        <f>IFERROR(YEAR(INPUT!M369),"")</f>
        <v>2025</v>
      </c>
      <c r="E374" t="str">
        <f>IF(INPUT!O369="","",INPUT!O369)</f>
        <v>HARRISON</v>
      </c>
      <c r="F374" t="str">
        <f>IF(INPUT!N369="","",INPUT!N369)</f>
        <v>M</v>
      </c>
      <c r="G374" t="str" cm="1">
        <f t="array" ref="G374">IFERROR(VLOOKUP(INPUT!M369&amp;INPUT!N369,CHOOSE({1,2},INPUT!$A$3:$A$5000&amp;INPUT!$C$3:$C$5000,INPUT!$F$3:$F$5000),2,FALSE),"")</f>
        <v>PRE-TEMPORADA</v>
      </c>
      <c r="H374" t="str" cm="1">
        <f t="array" ref="H374">IFERROR(VLOOKUP(INPUT!M369&amp;INPUT!N369,CHOOSE({1,2},INPUT!$A$3:$A$5000&amp;INPUT!$C$3:$C$5000,INPUT!$D$3:$D$5000),2,FALSE),"")</f>
        <v>TEC-TAC</v>
      </c>
      <c r="I374" s="46">
        <f>IF(INPUT!P369="","",INPUT!P369)</f>
        <v>70.900000000000006</v>
      </c>
      <c r="J374" s="46">
        <f>IF(INPUT!Q369="","",INPUT!Q369)</f>
        <v>70.5</v>
      </c>
      <c r="K374" s="46">
        <f>IFERROR(IF(OR(INPUT!P369="",INPUT!Q369=""),"",INPUT!P369-INPUT!Q369),"")</f>
        <v>0.40000000000000568</v>
      </c>
      <c r="L374" s="48">
        <f>IFERROR(IF(OR(INPUT!P369="",INPUT!Q369="",INPUT!P369=0),"",(INPUT!P369-INPUT!Q369)/INPUT!P369),"")</f>
        <v>5.641748942172153E-3</v>
      </c>
    </row>
    <row r="375" spans="1:12" ht="18" hidden="1" customHeight="1" x14ac:dyDescent="0.2">
      <c r="A375" s="11">
        <f>IF(INPUT!M370="","",INPUT!M370)</f>
        <v>45890</v>
      </c>
      <c r="B375" s="11">
        <f>IF(INPUT!M370="","",INPUT!M370-WEEKDAY(INPUT!M370,2)+1)</f>
        <v>45887</v>
      </c>
      <c r="C375" s="20">
        <f>IFERROR(_xlfn.ISOWEEKNUM(INPUT!M370),"")</f>
        <v>34</v>
      </c>
      <c r="D375" s="20">
        <f>IFERROR(YEAR(INPUT!M370),"")</f>
        <v>2025</v>
      </c>
      <c r="E375" t="str">
        <f>IF(INPUT!O370="","",INPUT!O370)</f>
        <v>RAYA</v>
      </c>
      <c r="F375" t="str">
        <f>IF(INPUT!N370="","",INPUT!N370)</f>
        <v>M</v>
      </c>
      <c r="G375" t="str" cm="1">
        <f t="array" ref="G375">IFERROR(VLOOKUP(INPUT!M370&amp;INPUT!N370,CHOOSE({1,2},INPUT!$A$3:$A$5000&amp;INPUT!$C$3:$C$5000,INPUT!$F$3:$F$5000),2,FALSE),"")</f>
        <v>PRE-TEMPORADA</v>
      </c>
      <c r="H375" t="str" cm="1">
        <f t="array" ref="H375">IFERROR(VLOOKUP(INPUT!M370&amp;INPUT!N370,CHOOSE({1,2},INPUT!$A$3:$A$5000&amp;INPUT!$C$3:$C$5000,INPUT!$D$3:$D$5000),2,FALSE),"")</f>
        <v>TEC-TAC</v>
      </c>
      <c r="I375" s="46">
        <f>IF(INPUT!P370="","",INPUT!P370)</f>
        <v>82.5</v>
      </c>
      <c r="J375" s="46">
        <f>IF(INPUT!Q370="","",INPUT!Q370)</f>
        <v>81.5</v>
      </c>
      <c r="K375" s="46">
        <f>IFERROR(IF(OR(INPUT!P370="",INPUT!Q370=""),"",INPUT!P370-INPUT!Q370),"")</f>
        <v>1</v>
      </c>
      <c r="L375" s="48">
        <f>IFERROR(IF(OR(INPUT!P370="",INPUT!Q370="",INPUT!P370=0),"",(INPUT!P370-INPUT!Q370)/INPUT!P370),"")</f>
        <v>1.2121212121212121E-2</v>
      </c>
    </row>
    <row r="376" spans="1:12" ht="18" hidden="1" customHeight="1" x14ac:dyDescent="0.2">
      <c r="A376" s="11">
        <f>IF(INPUT!M371="","",INPUT!M371)</f>
        <v>45890</v>
      </c>
      <c r="B376" s="11">
        <f>IF(INPUT!M371="","",INPUT!M371-WEEKDAY(INPUT!M371,2)+1)</f>
        <v>45887</v>
      </c>
      <c r="C376" s="20">
        <f>IFERROR(_xlfn.ISOWEEKNUM(INPUT!M371),"")</f>
        <v>34</v>
      </c>
      <c r="D376" s="20">
        <f>IFERROR(YEAR(INPUT!M371),"")</f>
        <v>2025</v>
      </c>
      <c r="E376" t="str">
        <f>IF(INPUT!O371="","",INPUT!O371)</f>
        <v>JAVI</v>
      </c>
      <c r="F376" t="str">
        <f>IF(INPUT!N371="","",INPUT!N371)</f>
        <v>M</v>
      </c>
      <c r="G376" t="str" cm="1">
        <f t="array" ref="G376">IFERROR(VLOOKUP(INPUT!M371&amp;INPUT!N371,CHOOSE({1,2},INPUT!$A$3:$A$5000&amp;INPUT!$C$3:$C$5000,INPUT!$F$3:$F$5000),2,FALSE),"")</f>
        <v>PRE-TEMPORADA</v>
      </c>
      <c r="H376" t="str" cm="1">
        <f t="array" ref="H376">IFERROR(VLOOKUP(INPUT!M371&amp;INPUT!N371,CHOOSE({1,2},INPUT!$A$3:$A$5000&amp;INPUT!$C$3:$C$5000,INPUT!$D$3:$D$5000),2,FALSE),"")</f>
        <v>TEC-TAC</v>
      </c>
      <c r="I376" s="46">
        <f>IF(INPUT!P371="","",INPUT!P371)</f>
        <v>79.599999999999994</v>
      </c>
      <c r="J376" s="46">
        <f>IF(INPUT!Q371="","",INPUT!Q371)</f>
        <v>79.2</v>
      </c>
      <c r="K376" s="46">
        <f>IFERROR(IF(OR(INPUT!P371="",INPUT!Q371=""),"",INPUT!P371-INPUT!Q371),"")</f>
        <v>0.39999999999999147</v>
      </c>
      <c r="L376" s="48">
        <f>IFERROR(IF(OR(INPUT!P371="",INPUT!Q371="",INPUT!P371=0),"",(INPUT!P371-INPUT!Q371)/INPUT!P371),"")</f>
        <v>5.0251256281405969E-3</v>
      </c>
    </row>
    <row r="377" spans="1:12" ht="18" hidden="1" customHeight="1" x14ac:dyDescent="0.2">
      <c r="A377" s="11">
        <f>IF(INPUT!M372="","",INPUT!M372)</f>
        <v>45890</v>
      </c>
      <c r="B377" s="11">
        <f>IF(INPUT!M372="","",INPUT!M372-WEEKDAY(INPUT!M372,2)+1)</f>
        <v>45887</v>
      </c>
      <c r="C377" s="20">
        <f>IFERROR(_xlfn.ISOWEEKNUM(INPUT!M372),"")</f>
        <v>34</v>
      </c>
      <c r="D377" s="20">
        <f>IFERROR(YEAR(INPUT!M372),"")</f>
        <v>2025</v>
      </c>
      <c r="E377" t="str">
        <f>IF(INPUT!O372="","",INPUT!O372)</f>
        <v>PANI</v>
      </c>
      <c r="F377" t="str">
        <f>IF(INPUT!N372="","",INPUT!N372)</f>
        <v>M</v>
      </c>
      <c r="G377" t="str" cm="1">
        <f t="array" ref="G377">IFERROR(VLOOKUP(INPUT!M372&amp;INPUT!N372,CHOOSE({1,2},INPUT!$A$3:$A$5000&amp;INPUT!$C$3:$C$5000,INPUT!$F$3:$F$5000),2,FALSE),"")</f>
        <v>PRE-TEMPORADA</v>
      </c>
      <c r="H377" t="str" cm="1">
        <f t="array" ref="H377">IFERROR(VLOOKUP(INPUT!M372&amp;INPUT!N372,CHOOSE({1,2},INPUT!$A$3:$A$5000&amp;INPUT!$C$3:$C$5000,INPUT!$D$3:$D$5000),2,FALSE),"")</f>
        <v>TEC-TAC</v>
      </c>
      <c r="I377" s="46">
        <f>IF(INPUT!P372="","",INPUT!P372)</f>
        <v>70.400000000000006</v>
      </c>
      <c r="J377" s="46">
        <f>IF(INPUT!Q372="","",INPUT!Q372)</f>
        <v>70.7</v>
      </c>
      <c r="K377" s="46">
        <f>IFERROR(IF(OR(INPUT!P372="",INPUT!Q372=""),"",INPUT!P372-INPUT!Q372),"")</f>
        <v>-0.29999999999999716</v>
      </c>
      <c r="L377" s="48">
        <f>IFERROR(IF(OR(INPUT!P372="",INPUT!Q372="",INPUT!P372=0),"",(INPUT!P372-INPUT!Q372)/INPUT!P372),"")</f>
        <v>-4.2613636363635953E-3</v>
      </c>
    </row>
    <row r="378" spans="1:12" ht="18" hidden="1" customHeight="1" x14ac:dyDescent="0.2">
      <c r="A378" s="11">
        <f>IF(INPUT!M373="","",INPUT!M373)</f>
        <v>45890</v>
      </c>
      <c r="B378" s="11">
        <f>IF(INPUT!M373="","",INPUT!M373-WEEKDAY(INPUT!M373,2)+1)</f>
        <v>45887</v>
      </c>
      <c r="C378" s="20">
        <f>IFERROR(_xlfn.ISOWEEKNUM(INPUT!M373),"")</f>
        <v>34</v>
      </c>
      <c r="D378" s="20">
        <f>IFERROR(YEAR(INPUT!M373),"")</f>
        <v>2025</v>
      </c>
      <c r="E378" t="str">
        <f>IF(INPUT!O373="","",INPUT!O373)</f>
        <v>PIRATA</v>
      </c>
      <c r="F378" t="str">
        <f>IF(INPUT!N373="","",INPUT!N373)</f>
        <v>M</v>
      </c>
      <c r="G378" t="str" cm="1">
        <f t="array" ref="G378">IFERROR(VLOOKUP(INPUT!M373&amp;INPUT!N373,CHOOSE({1,2},INPUT!$A$3:$A$5000&amp;INPUT!$C$3:$C$5000,INPUT!$F$3:$F$5000),2,FALSE),"")</f>
        <v>PRE-TEMPORADA</v>
      </c>
      <c r="H378" t="str" cm="1">
        <f t="array" ref="H378">IFERROR(VLOOKUP(INPUT!M373&amp;INPUT!N373,CHOOSE({1,2},INPUT!$A$3:$A$5000&amp;INPUT!$C$3:$C$5000,INPUT!$D$3:$D$5000),2,FALSE),"")</f>
        <v>TEC-TAC</v>
      </c>
      <c r="I378" s="46">
        <f>IF(INPUT!P373="","",INPUT!P373)</f>
        <v>75.5</v>
      </c>
      <c r="J378" s="46">
        <f>IF(INPUT!Q373="","",INPUT!Q373)</f>
        <v>75.5</v>
      </c>
      <c r="K378" s="46">
        <f>IFERROR(IF(OR(INPUT!P373="",INPUT!Q373=""),"",INPUT!P373-INPUT!Q373),"")</f>
        <v>0</v>
      </c>
      <c r="L378" s="48">
        <f>IFERROR(IF(OR(INPUT!P373="",INPUT!Q373="",INPUT!P373=0),"",(INPUT!P373-INPUT!Q373)/INPUT!P373),"")</f>
        <v>0</v>
      </c>
    </row>
    <row r="379" spans="1:12" ht="18" hidden="1" customHeight="1" x14ac:dyDescent="0.2">
      <c r="A379" s="11">
        <f>IF(INPUT!M374="","",INPUT!M374)</f>
        <v>45890</v>
      </c>
      <c r="B379" s="11">
        <f>IF(INPUT!M374="","",INPUT!M374-WEEKDAY(INPUT!M374,2)+1)</f>
        <v>45887</v>
      </c>
      <c r="C379" s="20">
        <f>IFERROR(_xlfn.ISOWEEKNUM(INPUT!M374),"")</f>
        <v>34</v>
      </c>
      <c r="D379" s="20">
        <f>IFERROR(YEAR(INPUT!M374),"")</f>
        <v>2025</v>
      </c>
      <c r="E379" t="str">
        <f>IF(INPUT!O374="","",INPUT!O374)</f>
        <v>BARONA</v>
      </c>
      <c r="F379" t="str">
        <f>IF(INPUT!N374="","",INPUT!N374)</f>
        <v>M</v>
      </c>
      <c r="G379" t="str" cm="1">
        <f t="array" ref="G379">IFERROR(VLOOKUP(INPUT!M374&amp;INPUT!N374,CHOOSE({1,2},INPUT!$A$3:$A$5000&amp;INPUT!$C$3:$C$5000,INPUT!$F$3:$F$5000),2,FALSE),"")</f>
        <v>PRE-TEMPORADA</v>
      </c>
      <c r="H379" t="str" cm="1">
        <f t="array" ref="H379">IFERROR(VLOOKUP(INPUT!M374&amp;INPUT!N374,CHOOSE({1,2},INPUT!$A$3:$A$5000&amp;INPUT!$C$3:$C$5000,INPUT!$D$3:$D$5000),2,FALSE),"")</f>
        <v>TEC-TAC</v>
      </c>
      <c r="I379" s="46">
        <f>IF(INPUT!P374="","",INPUT!P374)</f>
        <v>70.8</v>
      </c>
      <c r="J379" s="46">
        <f>IF(INPUT!Q374="","",INPUT!Q374)</f>
        <v>70.8</v>
      </c>
      <c r="K379" s="46">
        <f>IFERROR(IF(OR(INPUT!P374="",INPUT!Q374=""),"",INPUT!P374-INPUT!Q374),"")</f>
        <v>0</v>
      </c>
      <c r="L379" s="48">
        <f>IFERROR(IF(OR(INPUT!P374="",INPUT!Q374="",INPUT!P374=0),"",(INPUT!P374-INPUT!Q374)/INPUT!P374),"")</f>
        <v>0</v>
      </c>
    </row>
    <row r="380" spans="1:12" ht="18" hidden="1" customHeight="1" x14ac:dyDescent="0.2">
      <c r="A380" s="11">
        <f>IF(INPUT!M375="","",INPUT!M375)</f>
        <v>45890</v>
      </c>
      <c r="B380" s="11">
        <f>IF(INPUT!M375="","",INPUT!M375-WEEKDAY(INPUT!M375,2)+1)</f>
        <v>45887</v>
      </c>
      <c r="C380" s="20">
        <f>IFERROR(_xlfn.ISOWEEKNUM(INPUT!M375),"")</f>
        <v>34</v>
      </c>
      <c r="D380" s="20">
        <f>IFERROR(YEAR(INPUT!M375),"")</f>
        <v>2025</v>
      </c>
      <c r="E380" t="str">
        <f>IF(INPUT!O375="","",INPUT!O375)</f>
        <v>CARLOS</v>
      </c>
      <c r="F380" t="str">
        <f>IF(INPUT!N375="","",INPUT!N375)</f>
        <v>M</v>
      </c>
      <c r="G380" t="str" cm="1">
        <f t="array" ref="G380">IFERROR(VLOOKUP(INPUT!M375&amp;INPUT!N375,CHOOSE({1,2},INPUT!$A$3:$A$5000&amp;INPUT!$C$3:$C$5000,INPUT!$F$3:$F$5000),2,FALSE),"")</f>
        <v>PRE-TEMPORADA</v>
      </c>
      <c r="H380" t="str" cm="1">
        <f t="array" ref="H380">IFERROR(VLOOKUP(INPUT!M375&amp;INPUT!N375,CHOOSE({1,2},INPUT!$A$3:$A$5000&amp;INPUT!$C$3:$C$5000,INPUT!$D$3:$D$5000),2,FALSE),"")</f>
        <v>TEC-TAC</v>
      </c>
      <c r="I380" s="46">
        <f>IF(INPUT!P375="","",INPUT!P375)</f>
        <v>67</v>
      </c>
      <c r="J380" s="46">
        <f>IF(INPUT!Q375="","",INPUT!Q375)</f>
        <v>67.2</v>
      </c>
      <c r="K380" s="46">
        <f>IFERROR(IF(OR(INPUT!P375="",INPUT!Q375=""),"",INPUT!P375-INPUT!Q375),"")</f>
        <v>-0.20000000000000284</v>
      </c>
      <c r="L380" s="48">
        <f>IFERROR(IF(OR(INPUT!P375="",INPUT!Q375="",INPUT!P375=0),"",(INPUT!P375-INPUT!Q375)/INPUT!P375),"")</f>
        <v>-2.9850746268657142E-3</v>
      </c>
    </row>
    <row r="381" spans="1:12" ht="18" hidden="1" customHeight="1" x14ac:dyDescent="0.2">
      <c r="A381" s="11">
        <f>IF(INPUT!M376="","",INPUT!M376)</f>
        <v>45890</v>
      </c>
      <c r="B381" s="11">
        <f>IF(INPUT!M376="","",INPUT!M376-WEEKDAY(INPUT!M376,2)+1)</f>
        <v>45887</v>
      </c>
      <c r="C381" s="20">
        <f>IFERROR(_xlfn.ISOWEEKNUM(INPUT!M376),"")</f>
        <v>34</v>
      </c>
      <c r="D381" s="20">
        <f>IFERROR(YEAR(INPUT!M376),"")</f>
        <v>2025</v>
      </c>
      <c r="E381" t="str">
        <f>IF(INPUT!O376="","",INPUT!O376)</f>
        <v>GONZALO</v>
      </c>
      <c r="F381" t="str">
        <f>IF(INPUT!N376="","",INPUT!N376)</f>
        <v>M</v>
      </c>
      <c r="G381" t="str" cm="1">
        <f t="array" ref="G381">IFERROR(VLOOKUP(INPUT!M376&amp;INPUT!N376,CHOOSE({1,2},INPUT!$A$3:$A$5000&amp;INPUT!$C$3:$C$5000,INPUT!$F$3:$F$5000),2,FALSE),"")</f>
        <v>PRE-TEMPORADA</v>
      </c>
      <c r="H381" t="str" cm="1">
        <f t="array" ref="H381">IFERROR(VLOOKUP(INPUT!M376&amp;INPUT!N376,CHOOSE({1,2},INPUT!$A$3:$A$5000&amp;INPUT!$C$3:$C$5000,INPUT!$D$3:$D$5000),2,FALSE),"")</f>
        <v>TEC-TAC</v>
      </c>
      <c r="I381" s="46">
        <f>IF(INPUT!P376="","",INPUT!P376)</f>
        <v>85.1</v>
      </c>
      <c r="J381" s="46">
        <f>IF(INPUT!Q376="","",INPUT!Q376)</f>
        <v>85.2</v>
      </c>
      <c r="K381" s="46">
        <f>IFERROR(IF(OR(INPUT!P376="",INPUT!Q376=""),"",INPUT!P376-INPUT!Q376),"")</f>
        <v>-0.10000000000000853</v>
      </c>
      <c r="L381" s="48">
        <f>IFERROR(IF(OR(INPUT!P376="",INPUT!Q376="",INPUT!P376=0),"",(INPUT!P376-INPUT!Q376)/INPUT!P376),"")</f>
        <v>-1.1750881316099711E-3</v>
      </c>
    </row>
    <row r="382" spans="1:12" ht="18" hidden="1" customHeight="1" x14ac:dyDescent="0.2">
      <c r="A382" s="11">
        <f>IF(INPUT!M377="","",INPUT!M377)</f>
        <v>45890</v>
      </c>
      <c r="B382" s="11">
        <f>IF(INPUT!M377="","",INPUT!M377-WEEKDAY(INPUT!M377,2)+1)</f>
        <v>45887</v>
      </c>
      <c r="C382" s="20">
        <f>IFERROR(_xlfn.ISOWEEKNUM(INPUT!M377),"")</f>
        <v>34</v>
      </c>
      <c r="D382" s="20">
        <f>IFERROR(YEAR(INPUT!M377),"")</f>
        <v>2025</v>
      </c>
      <c r="E382" t="str">
        <f>IF(INPUT!O377="","",INPUT!O377)</f>
        <v>RUBIO</v>
      </c>
      <c r="F382" t="str">
        <f>IF(INPUT!N377="","",INPUT!N377)</f>
        <v>M</v>
      </c>
      <c r="G382" t="str" cm="1">
        <f t="array" ref="G382">IFERROR(VLOOKUP(INPUT!M377&amp;INPUT!N377,CHOOSE({1,2},INPUT!$A$3:$A$5000&amp;INPUT!$C$3:$C$5000,INPUT!$F$3:$F$5000),2,FALSE),"")</f>
        <v>PRE-TEMPORADA</v>
      </c>
      <c r="H382" t="str" cm="1">
        <f t="array" ref="H382">IFERROR(VLOOKUP(INPUT!M377&amp;INPUT!N377,CHOOSE({1,2},INPUT!$A$3:$A$5000&amp;INPUT!$C$3:$C$5000,INPUT!$D$3:$D$5000),2,FALSE),"")</f>
        <v>TEC-TAC</v>
      </c>
      <c r="I382" s="46">
        <f>IF(INPUT!P377="","",INPUT!P377)</f>
        <v>75.2</v>
      </c>
      <c r="J382" s="46">
        <f>IF(INPUT!Q377="","",INPUT!Q377)</f>
        <v>75.099999999999994</v>
      </c>
      <c r="K382" s="46">
        <f>IFERROR(IF(OR(INPUT!P377="",INPUT!Q377=""),"",INPUT!P377-INPUT!Q377),"")</f>
        <v>0.10000000000000853</v>
      </c>
      <c r="L382" s="48">
        <f>IFERROR(IF(OR(INPUT!P377="",INPUT!Q377="",INPUT!P377=0),"",(INPUT!P377-INPUT!Q377)/INPUT!P377),"")</f>
        <v>1.3297872340426666E-3</v>
      </c>
    </row>
    <row r="383" spans="1:12" ht="18" hidden="1" customHeight="1" x14ac:dyDescent="0.2">
      <c r="A383" s="11">
        <f>IF(INPUT!M378="","",INPUT!M378)</f>
        <v>45890</v>
      </c>
      <c r="B383" s="11">
        <f>IF(INPUT!M378="","",INPUT!M378-WEEKDAY(INPUT!M378,2)+1)</f>
        <v>45887</v>
      </c>
      <c r="C383" s="20">
        <f>IFERROR(_xlfn.ISOWEEKNUM(INPUT!M378),"")</f>
        <v>34</v>
      </c>
      <c r="D383" s="20">
        <f>IFERROR(YEAR(INPUT!M378),"")</f>
        <v>2025</v>
      </c>
      <c r="E383" t="str">
        <f>IF(INPUT!O378="","",INPUT!O378)</f>
        <v>DANI</v>
      </c>
      <c r="F383" t="str">
        <f>IF(INPUT!N378="","",INPUT!N378)</f>
        <v>M</v>
      </c>
      <c r="G383" t="str" cm="1">
        <f t="array" ref="G383">IFERROR(VLOOKUP(INPUT!M378&amp;INPUT!N378,CHOOSE({1,2},INPUT!$A$3:$A$5000&amp;INPUT!$C$3:$C$5000,INPUT!$F$3:$F$5000),2,FALSE),"")</f>
        <v>PRE-TEMPORADA</v>
      </c>
      <c r="H383" t="str" cm="1">
        <f t="array" ref="H383">IFERROR(VLOOKUP(INPUT!M378&amp;INPUT!N378,CHOOSE({1,2},INPUT!$A$3:$A$5000&amp;INPUT!$C$3:$C$5000,INPUT!$D$3:$D$5000),2,FALSE),"")</f>
        <v>TEC-TAC</v>
      </c>
      <c r="I383" s="46">
        <f>IF(INPUT!P378="","",INPUT!P378)</f>
        <v>93.8</v>
      </c>
      <c r="J383" s="46">
        <f>IF(INPUT!Q378="","",INPUT!Q378)</f>
        <v>93.1</v>
      </c>
      <c r="K383" s="46">
        <f>IFERROR(IF(OR(INPUT!P378="",INPUT!Q378=""),"",INPUT!P378-INPUT!Q378),"")</f>
        <v>0.70000000000000284</v>
      </c>
      <c r="L383" s="48">
        <f>IFERROR(IF(OR(INPUT!P378="",INPUT!Q378="",INPUT!P378=0),"",(INPUT!P378-INPUT!Q378)/INPUT!P378),"")</f>
        <v>7.4626865671642093E-3</v>
      </c>
    </row>
    <row r="384" spans="1:12" ht="18" hidden="1" customHeight="1" x14ac:dyDescent="0.2">
      <c r="A384" s="11">
        <f>IF(INPUT!M379="","",INPUT!M379)</f>
        <v>45890</v>
      </c>
      <c r="B384" s="11">
        <f>IF(INPUT!M379="","",INPUT!M379-WEEKDAY(INPUT!M379,2)+1)</f>
        <v>45887</v>
      </c>
      <c r="C384" s="20">
        <f>IFERROR(_xlfn.ISOWEEKNUM(INPUT!M379),"")</f>
        <v>34</v>
      </c>
      <c r="D384" s="20">
        <f>IFERROR(YEAR(INPUT!M379),"")</f>
        <v>2025</v>
      </c>
      <c r="E384" t="str">
        <f>IF(INPUT!O379="","",INPUT!O379)</f>
        <v>JAIME</v>
      </c>
      <c r="F384" t="str">
        <f>IF(INPUT!N379="","",INPUT!N379)</f>
        <v>M</v>
      </c>
      <c r="G384" t="str" cm="1">
        <f t="array" ref="G384">IFERROR(VLOOKUP(INPUT!M379&amp;INPUT!N379,CHOOSE({1,2},INPUT!$A$3:$A$5000&amp;INPUT!$C$3:$C$5000,INPUT!$F$3:$F$5000),2,FALSE),"")</f>
        <v>PRE-TEMPORADA</v>
      </c>
      <c r="H384" t="str" cm="1">
        <f t="array" ref="H384">IFERROR(VLOOKUP(INPUT!M379&amp;INPUT!N379,CHOOSE({1,2},INPUT!$A$3:$A$5000&amp;INPUT!$C$3:$C$5000,INPUT!$D$3:$D$5000),2,FALSE),"")</f>
        <v>TEC-TAC</v>
      </c>
      <c r="I384" s="46">
        <f>IF(INPUT!P379="","",INPUT!P379)</f>
        <v>75.400000000000006</v>
      </c>
      <c r="J384" s="46">
        <f>IF(INPUT!Q379="","",INPUT!Q379)</f>
        <v>74.8</v>
      </c>
      <c r="K384" s="46">
        <f>IFERROR(IF(OR(INPUT!P379="",INPUT!Q379=""),"",INPUT!P379-INPUT!Q379),"")</f>
        <v>0.60000000000000853</v>
      </c>
      <c r="L384" s="48">
        <f>IFERROR(IF(OR(INPUT!P379="",INPUT!Q379="",INPUT!P379=0),"",(INPUT!P379-INPUT!Q379)/INPUT!P379),"")</f>
        <v>7.9575596816977255E-3</v>
      </c>
    </row>
    <row r="385" spans="1:12" ht="18" hidden="1" customHeight="1" x14ac:dyDescent="0.2">
      <c r="A385" s="11">
        <f>IF(INPUT!M380="","",INPUT!M380)</f>
        <v>45891</v>
      </c>
      <c r="B385" s="11">
        <f>IF(INPUT!M380="","",INPUT!M380-WEEKDAY(INPUT!M380,2)+1)</f>
        <v>45887</v>
      </c>
      <c r="C385" s="20">
        <f>IFERROR(_xlfn.ISOWEEKNUM(INPUT!M380),"")</f>
        <v>34</v>
      </c>
      <c r="D385" s="20">
        <f>IFERROR(YEAR(INPUT!M380),"")</f>
        <v>2025</v>
      </c>
      <c r="E385" t="str">
        <f>IF(INPUT!O380="","",INPUT!O380)</f>
        <v>HERRERO</v>
      </c>
      <c r="F385" t="str">
        <f>IF(INPUT!N380="","",INPUT!N380)</f>
        <v>M</v>
      </c>
      <c r="G385" t="str" cm="1">
        <f t="array" ref="G385">IFERROR(VLOOKUP(INPUT!M380&amp;INPUT!N380,CHOOSE({1,2},INPUT!$A$3:$A$5000&amp;INPUT!$C$3:$C$5000,INPUT!$F$3:$F$5000),2,FALSE),"")</f>
        <v>PRE-TEMPORADA</v>
      </c>
      <c r="H385" t="str" cm="1">
        <f t="array" ref="H385">IFERROR(VLOOKUP(INPUT!M380&amp;INPUT!N380,CHOOSE({1,2},INPUT!$A$3:$A$5000&amp;INPUT!$C$3:$C$5000,INPUT!$D$3:$D$5000),2,FALSE),"")</f>
        <v>TEC-TAC</v>
      </c>
      <c r="I385" s="46">
        <f>IF(INPUT!P380="","",INPUT!P380)</f>
        <v>76.7</v>
      </c>
      <c r="J385" s="46">
        <f>IF(INPUT!Q380="","",INPUT!Q380)</f>
        <v>76</v>
      </c>
      <c r="K385" s="46">
        <f>IFERROR(IF(OR(INPUT!P380="",INPUT!Q380=""),"",INPUT!P380-INPUT!Q380),"")</f>
        <v>0.70000000000000284</v>
      </c>
      <c r="L385" s="48">
        <f>IFERROR(IF(OR(INPUT!P380="",INPUT!Q380="",INPUT!P380=0),"",(INPUT!P380-INPUT!Q380)/INPUT!P380),"")</f>
        <v>9.1264667535854351E-3</v>
      </c>
    </row>
    <row r="386" spans="1:12" ht="18" hidden="1" customHeight="1" x14ac:dyDescent="0.2">
      <c r="A386" s="11">
        <f>IF(INPUT!M381="","",INPUT!M381)</f>
        <v>45891</v>
      </c>
      <c r="B386" s="11">
        <f>IF(INPUT!M381="","",INPUT!M381-WEEKDAY(INPUT!M381,2)+1)</f>
        <v>45887</v>
      </c>
      <c r="C386" s="20">
        <f>IFERROR(_xlfn.ISOWEEKNUM(INPUT!M381),"")</f>
        <v>34</v>
      </c>
      <c r="D386" s="20">
        <f>IFERROR(YEAR(INPUT!M381),"")</f>
        <v>2025</v>
      </c>
      <c r="E386" t="str">
        <f>IF(INPUT!O381="","",INPUT!O381)</f>
        <v>GARCIA</v>
      </c>
      <c r="F386" t="str">
        <f>IF(INPUT!N381="","",INPUT!N381)</f>
        <v>M</v>
      </c>
      <c r="G386" t="str" cm="1">
        <f t="array" ref="G386">IFERROR(VLOOKUP(INPUT!M381&amp;INPUT!N381,CHOOSE({1,2},INPUT!$A$3:$A$5000&amp;INPUT!$C$3:$C$5000,INPUT!$F$3:$F$5000),2,FALSE),"")</f>
        <v>PRE-TEMPORADA</v>
      </c>
      <c r="H386" t="str" cm="1">
        <f t="array" ref="H386">IFERROR(VLOOKUP(INPUT!M381&amp;INPUT!N381,CHOOSE({1,2},INPUT!$A$3:$A$5000&amp;INPUT!$C$3:$C$5000,INPUT!$D$3:$D$5000),2,FALSE),"")</f>
        <v>TEC-TAC</v>
      </c>
      <c r="I386" s="46">
        <f>IF(INPUT!P381="","",INPUT!P381)</f>
        <v>79.400000000000006</v>
      </c>
      <c r="J386" s="46">
        <f>IF(INPUT!Q381="","",INPUT!Q381)</f>
        <v>79</v>
      </c>
      <c r="K386" s="46">
        <f>IFERROR(IF(OR(INPUT!P381="",INPUT!Q381=""),"",INPUT!P381-INPUT!Q381),"")</f>
        <v>0.40000000000000568</v>
      </c>
      <c r="L386" s="48">
        <f>IFERROR(IF(OR(INPUT!P381="",INPUT!Q381="",INPUT!P381=0),"",(INPUT!P381-INPUT!Q381)/INPUT!P381),"")</f>
        <v>5.0377833753149324E-3</v>
      </c>
    </row>
    <row r="387" spans="1:12" ht="18" hidden="1" customHeight="1" x14ac:dyDescent="0.2">
      <c r="A387" s="11">
        <f>IF(INPUT!M382="","",INPUT!M382)</f>
        <v>45891</v>
      </c>
      <c r="B387" s="11">
        <f>IF(INPUT!M382="","",INPUT!M382-WEEKDAY(INPUT!M382,2)+1)</f>
        <v>45887</v>
      </c>
      <c r="C387" s="20">
        <f>IFERROR(_xlfn.ISOWEEKNUM(INPUT!M382),"")</f>
        <v>34</v>
      </c>
      <c r="D387" s="20">
        <f>IFERROR(YEAR(INPUT!M382),"")</f>
        <v>2025</v>
      </c>
      <c r="E387" t="str">
        <f>IF(INPUT!O382="","",INPUT!O382)</f>
        <v>CECILIO</v>
      </c>
      <c r="F387" t="str">
        <f>IF(INPUT!N382="","",INPUT!N382)</f>
        <v>M</v>
      </c>
      <c r="G387" t="str" cm="1">
        <f t="array" ref="G387">IFERROR(VLOOKUP(INPUT!M382&amp;INPUT!N382,CHOOSE({1,2},INPUT!$A$3:$A$5000&amp;INPUT!$C$3:$C$5000,INPUT!$F$3:$F$5000),2,FALSE),"")</f>
        <v>PRE-TEMPORADA</v>
      </c>
      <c r="H387" t="str" cm="1">
        <f t="array" ref="H387">IFERROR(VLOOKUP(INPUT!M382&amp;INPUT!N382,CHOOSE({1,2},INPUT!$A$3:$A$5000&amp;INPUT!$C$3:$C$5000,INPUT!$D$3:$D$5000),2,FALSE),"")</f>
        <v>TEC-TAC</v>
      </c>
      <c r="I387" s="46">
        <f>IF(INPUT!P382="","",INPUT!P382)</f>
        <v>70</v>
      </c>
      <c r="J387" s="46">
        <f>IF(INPUT!Q382="","",INPUT!Q382)</f>
        <v>69.5</v>
      </c>
      <c r="K387" s="46">
        <f>IFERROR(IF(OR(INPUT!P382="",INPUT!Q382=""),"",INPUT!P382-INPUT!Q382),"")</f>
        <v>0.5</v>
      </c>
      <c r="L387" s="48">
        <f>IFERROR(IF(OR(INPUT!P382="",INPUT!Q382="",INPUT!P382=0),"",(INPUT!P382-INPUT!Q382)/INPUT!P382),"")</f>
        <v>7.1428571428571426E-3</v>
      </c>
    </row>
    <row r="388" spans="1:12" ht="18" hidden="1" customHeight="1" x14ac:dyDescent="0.2">
      <c r="A388" s="11">
        <f>IF(INPUT!M383="","",INPUT!M383)</f>
        <v>45891</v>
      </c>
      <c r="B388" s="11">
        <f>IF(INPUT!M383="","",INPUT!M383-WEEKDAY(INPUT!M383,2)+1)</f>
        <v>45887</v>
      </c>
      <c r="C388" s="20">
        <f>IFERROR(_xlfn.ISOWEEKNUM(INPUT!M383),"")</f>
        <v>34</v>
      </c>
      <c r="D388" s="20">
        <f>IFERROR(YEAR(INPUT!M383),"")</f>
        <v>2025</v>
      </c>
      <c r="E388" t="str">
        <f>IF(INPUT!O383="","",INPUT!O383)</f>
        <v>CHAGUINHA</v>
      </c>
      <c r="F388" t="str">
        <f>IF(INPUT!N383="","",INPUT!N383)</f>
        <v>M</v>
      </c>
      <c r="G388" t="str" cm="1">
        <f t="array" ref="G388">IFERROR(VLOOKUP(INPUT!M383&amp;INPUT!N383,CHOOSE({1,2},INPUT!$A$3:$A$5000&amp;INPUT!$C$3:$C$5000,INPUT!$F$3:$F$5000),2,FALSE),"")</f>
        <v>PRE-TEMPORADA</v>
      </c>
      <c r="H388" t="str" cm="1">
        <f t="array" ref="H388">IFERROR(VLOOKUP(INPUT!M383&amp;INPUT!N383,CHOOSE({1,2},INPUT!$A$3:$A$5000&amp;INPUT!$C$3:$C$5000,INPUT!$D$3:$D$5000),2,FALSE),"")</f>
        <v>TEC-TAC</v>
      </c>
      <c r="I388" s="46">
        <f>IF(INPUT!P383="","",INPUT!P383)</f>
        <v>70</v>
      </c>
      <c r="J388" s="46">
        <f>IF(INPUT!Q383="","",INPUT!Q383)</f>
        <v>69.5</v>
      </c>
      <c r="K388" s="46">
        <f>IFERROR(IF(OR(INPUT!P383="",INPUT!Q383=""),"",INPUT!P383-INPUT!Q383),"")</f>
        <v>0.5</v>
      </c>
      <c r="L388" s="48">
        <f>IFERROR(IF(OR(INPUT!P383="",INPUT!Q383="",INPUT!P383=0),"",(INPUT!P383-INPUT!Q383)/INPUT!P383),"")</f>
        <v>7.1428571428571426E-3</v>
      </c>
    </row>
    <row r="389" spans="1:12" ht="18" hidden="1" customHeight="1" x14ac:dyDescent="0.2">
      <c r="A389" s="11">
        <f>IF(INPUT!M384="","",INPUT!M384)</f>
        <v>45891</v>
      </c>
      <c r="B389" s="11">
        <f>IF(INPUT!M384="","",INPUT!M384-WEEKDAY(INPUT!M384,2)+1)</f>
        <v>45887</v>
      </c>
      <c r="C389" s="20">
        <f>IFERROR(_xlfn.ISOWEEKNUM(INPUT!M384),"")</f>
        <v>34</v>
      </c>
      <c r="D389" s="20">
        <f>IFERROR(YEAR(INPUT!M384),"")</f>
        <v>2025</v>
      </c>
      <c r="E389" t="str">
        <f>IF(INPUT!O384="","",INPUT!O384)</f>
        <v>RAUL</v>
      </c>
      <c r="F389" t="str">
        <f>IF(INPUT!N384="","",INPUT!N384)</f>
        <v>M</v>
      </c>
      <c r="G389" t="str" cm="1">
        <f t="array" ref="G389">IFERROR(VLOOKUP(INPUT!M384&amp;INPUT!N384,CHOOSE({1,2},INPUT!$A$3:$A$5000&amp;INPUT!$C$3:$C$5000,INPUT!$F$3:$F$5000),2,FALSE),"")</f>
        <v>PRE-TEMPORADA</v>
      </c>
      <c r="H389" t="str" cm="1">
        <f t="array" ref="H389">IFERROR(VLOOKUP(INPUT!M384&amp;INPUT!N384,CHOOSE({1,2},INPUT!$A$3:$A$5000&amp;INPUT!$C$3:$C$5000,INPUT!$D$3:$D$5000),2,FALSE),"")</f>
        <v>TEC-TAC</v>
      </c>
      <c r="I389" s="46">
        <f>IF(INPUT!P384="","",INPUT!P384)</f>
        <v>79.3</v>
      </c>
      <c r="J389" s="46">
        <f>IF(INPUT!Q384="","",INPUT!Q384)</f>
        <v>79</v>
      </c>
      <c r="K389" s="46">
        <f>IFERROR(IF(OR(INPUT!P384="",INPUT!Q384=""),"",INPUT!P384-INPUT!Q384),"")</f>
        <v>0.29999999999999716</v>
      </c>
      <c r="L389" s="48">
        <f>IFERROR(IF(OR(INPUT!P384="",INPUT!Q384="",INPUT!P384=0),"",(INPUT!P384-INPUT!Q384)/INPUT!P384),"")</f>
        <v>3.7831021437578459E-3</v>
      </c>
    </row>
    <row r="390" spans="1:12" ht="18" hidden="1" customHeight="1" x14ac:dyDescent="0.2">
      <c r="A390" s="11">
        <f>IF(INPUT!M385="","",INPUT!M385)</f>
        <v>45891</v>
      </c>
      <c r="B390" s="11">
        <f>IF(INPUT!M385="","",INPUT!M385-WEEKDAY(INPUT!M385,2)+1)</f>
        <v>45887</v>
      </c>
      <c r="C390" s="20">
        <f>IFERROR(_xlfn.ISOWEEKNUM(INPUT!M385),"")</f>
        <v>34</v>
      </c>
      <c r="D390" s="20">
        <f>IFERROR(YEAR(INPUT!M385),"")</f>
        <v>2025</v>
      </c>
      <c r="E390" t="str">
        <f>IF(INPUT!O385="","",INPUT!O385)</f>
        <v>HARRISON</v>
      </c>
      <c r="F390" t="str">
        <f>IF(INPUT!N385="","",INPUT!N385)</f>
        <v>M</v>
      </c>
      <c r="G390" t="str" cm="1">
        <f t="array" ref="G390">IFERROR(VLOOKUP(INPUT!M385&amp;INPUT!N385,CHOOSE({1,2},INPUT!$A$3:$A$5000&amp;INPUT!$C$3:$C$5000,INPUT!$F$3:$F$5000),2,FALSE),"")</f>
        <v>PRE-TEMPORADA</v>
      </c>
      <c r="H390" t="str" cm="1">
        <f t="array" ref="H390">IFERROR(VLOOKUP(INPUT!M385&amp;INPUT!N385,CHOOSE({1,2},INPUT!$A$3:$A$5000&amp;INPUT!$C$3:$C$5000,INPUT!$D$3:$D$5000),2,FALSE),"")</f>
        <v>TEC-TAC</v>
      </c>
      <c r="I390" s="46">
        <f>IF(INPUT!P385="","",INPUT!P385)</f>
        <v>70.8</v>
      </c>
      <c r="J390" s="46">
        <f>IF(INPUT!Q385="","",INPUT!Q385)</f>
        <v>70.900000000000006</v>
      </c>
      <c r="K390" s="46">
        <f>IFERROR(IF(OR(INPUT!P385="",INPUT!Q385=""),"",INPUT!P385-INPUT!Q385),"")</f>
        <v>-0.10000000000000853</v>
      </c>
      <c r="L390" s="48">
        <f>IFERROR(IF(OR(INPUT!P385="",INPUT!Q385="",INPUT!P385=0),"",(INPUT!P385-INPUT!Q385)/INPUT!P385),"")</f>
        <v>-1.412429378531194E-3</v>
      </c>
    </row>
    <row r="391" spans="1:12" ht="18" hidden="1" customHeight="1" x14ac:dyDescent="0.2">
      <c r="A391" s="11">
        <f>IF(INPUT!M386="","",INPUT!M386)</f>
        <v>45891</v>
      </c>
      <c r="B391" s="11">
        <f>IF(INPUT!M386="","",INPUT!M386-WEEKDAY(INPUT!M386,2)+1)</f>
        <v>45887</v>
      </c>
      <c r="C391" s="20">
        <f>IFERROR(_xlfn.ISOWEEKNUM(INPUT!M386),"")</f>
        <v>34</v>
      </c>
      <c r="D391" s="20">
        <f>IFERROR(YEAR(INPUT!M386),"")</f>
        <v>2025</v>
      </c>
      <c r="E391" t="str">
        <f>IF(INPUT!O386="","",INPUT!O386)</f>
        <v>RAYA</v>
      </c>
      <c r="F391" t="str">
        <f>IF(INPUT!N386="","",INPUT!N386)</f>
        <v>M</v>
      </c>
      <c r="G391" t="str" cm="1">
        <f t="array" ref="G391">IFERROR(VLOOKUP(INPUT!M386&amp;INPUT!N386,CHOOSE({1,2},INPUT!$A$3:$A$5000&amp;INPUT!$C$3:$C$5000,INPUT!$F$3:$F$5000),2,FALSE),"")</f>
        <v>PRE-TEMPORADA</v>
      </c>
      <c r="H391" t="str" cm="1">
        <f t="array" ref="H391">IFERROR(VLOOKUP(INPUT!M386&amp;INPUT!N386,CHOOSE({1,2},INPUT!$A$3:$A$5000&amp;INPUT!$C$3:$C$5000,INPUT!$D$3:$D$5000),2,FALSE),"")</f>
        <v>TEC-TAC</v>
      </c>
      <c r="I391" s="46">
        <f>IF(INPUT!P386="","",INPUT!P386)</f>
        <v>82.3</v>
      </c>
      <c r="J391" s="46">
        <f>IF(INPUT!Q386="","",INPUT!Q386)</f>
        <v>82</v>
      </c>
      <c r="K391" s="46">
        <f>IFERROR(IF(OR(INPUT!P386="",INPUT!Q386=""),"",INPUT!P386-INPUT!Q386),"")</f>
        <v>0.29999999999999716</v>
      </c>
      <c r="L391" s="48">
        <f>IFERROR(IF(OR(INPUT!P386="",INPUT!Q386="",INPUT!P386=0),"",(INPUT!P386-INPUT!Q386)/INPUT!P386),"")</f>
        <v>3.6452004860266971E-3</v>
      </c>
    </row>
    <row r="392" spans="1:12" ht="18" hidden="1" customHeight="1" x14ac:dyDescent="0.2">
      <c r="A392" s="11">
        <f>IF(INPUT!M387="","",INPUT!M387)</f>
        <v>45891</v>
      </c>
      <c r="B392" s="11">
        <f>IF(INPUT!M387="","",INPUT!M387-WEEKDAY(INPUT!M387,2)+1)</f>
        <v>45887</v>
      </c>
      <c r="C392" s="20">
        <f>IFERROR(_xlfn.ISOWEEKNUM(INPUT!M387),"")</f>
        <v>34</v>
      </c>
      <c r="D392" s="20">
        <f>IFERROR(YEAR(INPUT!M387),"")</f>
        <v>2025</v>
      </c>
      <c r="E392" t="str">
        <f>IF(INPUT!O387="","",INPUT!O387)</f>
        <v>JAVI</v>
      </c>
      <c r="F392" t="str">
        <f>IF(INPUT!N387="","",INPUT!N387)</f>
        <v>M</v>
      </c>
      <c r="G392" t="str" cm="1">
        <f t="array" ref="G392">IFERROR(VLOOKUP(INPUT!M387&amp;INPUT!N387,CHOOSE({1,2},INPUT!$A$3:$A$5000&amp;INPUT!$C$3:$C$5000,INPUT!$F$3:$F$5000),2,FALSE),"")</f>
        <v>PRE-TEMPORADA</v>
      </c>
      <c r="H392" t="str" cm="1">
        <f t="array" ref="H392">IFERROR(VLOOKUP(INPUT!M387&amp;INPUT!N387,CHOOSE({1,2},INPUT!$A$3:$A$5000&amp;INPUT!$C$3:$C$5000,INPUT!$D$3:$D$5000),2,FALSE),"")</f>
        <v>TEC-TAC</v>
      </c>
      <c r="I392" s="46">
        <f>IF(INPUT!P387="","",INPUT!P387)</f>
        <v>79.599999999999994</v>
      </c>
      <c r="J392" s="46">
        <f>IF(INPUT!Q387="","",INPUT!Q387)</f>
        <v>79.7</v>
      </c>
      <c r="K392" s="46">
        <f>IFERROR(IF(OR(INPUT!P387="",INPUT!Q387=""),"",INPUT!P387-INPUT!Q387),"")</f>
        <v>-0.10000000000000853</v>
      </c>
      <c r="L392" s="48">
        <f>IFERROR(IF(OR(INPUT!P387="",INPUT!Q387="",INPUT!P387=0),"",(INPUT!P387-INPUT!Q387)/INPUT!P387),"")</f>
        <v>-1.256281407035283E-3</v>
      </c>
    </row>
    <row r="393" spans="1:12" ht="18" hidden="1" customHeight="1" x14ac:dyDescent="0.2">
      <c r="A393" s="11">
        <f>IF(INPUT!M388="","",INPUT!M388)</f>
        <v>45891</v>
      </c>
      <c r="B393" s="11">
        <f>IF(INPUT!M388="","",INPUT!M388-WEEKDAY(INPUT!M388,2)+1)</f>
        <v>45887</v>
      </c>
      <c r="C393" s="20">
        <f>IFERROR(_xlfn.ISOWEEKNUM(INPUT!M388),"")</f>
        <v>34</v>
      </c>
      <c r="D393" s="20">
        <f>IFERROR(YEAR(INPUT!M388),"")</f>
        <v>2025</v>
      </c>
      <c r="E393" t="str">
        <f>IF(INPUT!O388="","",INPUT!O388)</f>
        <v>PANI</v>
      </c>
      <c r="F393" t="str">
        <f>IF(INPUT!N388="","",INPUT!N388)</f>
        <v>M</v>
      </c>
      <c r="G393" t="str" cm="1">
        <f t="array" ref="G393">IFERROR(VLOOKUP(INPUT!M388&amp;INPUT!N388,CHOOSE({1,2},INPUT!$A$3:$A$5000&amp;INPUT!$C$3:$C$5000,INPUT!$F$3:$F$5000),2,FALSE),"")</f>
        <v>PRE-TEMPORADA</v>
      </c>
      <c r="H393" t="str" cm="1">
        <f t="array" ref="H393">IFERROR(VLOOKUP(INPUT!M388&amp;INPUT!N388,CHOOSE({1,2},INPUT!$A$3:$A$5000&amp;INPUT!$C$3:$C$5000,INPUT!$D$3:$D$5000),2,FALSE),"")</f>
        <v>TEC-TAC</v>
      </c>
      <c r="I393" s="46">
        <f>IF(INPUT!P388="","",INPUT!P388)</f>
        <v>71.3</v>
      </c>
      <c r="J393" s="46">
        <f>IF(INPUT!Q388="","",INPUT!Q388)</f>
        <v>71</v>
      </c>
      <c r="K393" s="46">
        <f>IFERROR(IF(OR(INPUT!P388="",INPUT!Q388=""),"",INPUT!P388-INPUT!Q388),"")</f>
        <v>0.29999999999999716</v>
      </c>
      <c r="L393" s="48">
        <f>IFERROR(IF(OR(INPUT!P388="",INPUT!Q388="",INPUT!P388=0),"",(INPUT!P388-INPUT!Q388)/INPUT!P388),"")</f>
        <v>4.2075736325385294E-3</v>
      </c>
    </row>
    <row r="394" spans="1:12" ht="18" customHeight="1" x14ac:dyDescent="0.2">
      <c r="A394" s="11">
        <f>IF(INPUT!M389="","",INPUT!M389)</f>
        <v>45891</v>
      </c>
      <c r="B394" s="11">
        <f>IF(INPUT!M389="","",INPUT!M389-WEEKDAY(INPUT!M389,2)+1)</f>
        <v>45887</v>
      </c>
      <c r="C394" s="20">
        <f>IFERROR(_xlfn.ISOWEEKNUM(INPUT!M389),"")</f>
        <v>34</v>
      </c>
      <c r="D394" s="20">
        <f>IFERROR(YEAR(INPUT!M389),"")</f>
        <v>2025</v>
      </c>
      <c r="E394" t="str">
        <f>IF(INPUT!O389="","",INPUT!O389)</f>
        <v>PIRATA</v>
      </c>
      <c r="F394" t="str">
        <f>IF(INPUT!N389="","",INPUT!N389)</f>
        <v>M</v>
      </c>
      <c r="G394" t="str" cm="1">
        <f t="array" ref="G394">IFERROR(VLOOKUP(INPUT!M389&amp;INPUT!N389,CHOOSE({1,2},INPUT!$A$3:$A$5000&amp;INPUT!$C$3:$C$5000,INPUT!$F$3:$F$5000),2,FALSE),"")</f>
        <v>PRE-TEMPORADA</v>
      </c>
      <c r="H394" t="str" cm="1">
        <f t="array" ref="H394">IFERROR(VLOOKUP(INPUT!M389&amp;INPUT!N389,CHOOSE({1,2},INPUT!$A$3:$A$5000&amp;INPUT!$C$3:$C$5000,INPUT!$D$3:$D$5000),2,FALSE),"")</f>
        <v>TEC-TAC</v>
      </c>
      <c r="I394" s="46">
        <f>IF(INPUT!P389="","",INPUT!P389)</f>
        <v>75.7</v>
      </c>
      <c r="J394" s="46">
        <f>IF(INPUT!Q389="","",INPUT!Q389)</f>
        <v>75.400000000000006</v>
      </c>
      <c r="K394" s="46">
        <f>IFERROR(IF(OR(INPUT!P389="",INPUT!Q389=""),"",INPUT!P389-INPUT!Q389),"")</f>
        <v>0.29999999999999716</v>
      </c>
      <c r="L394" s="48">
        <f>IFERROR(IF(OR(INPUT!P389="",INPUT!Q389="",INPUT!P389=0),"",(INPUT!P389-INPUT!Q389)/INPUT!P389),"")</f>
        <v>3.9630118890356296E-3</v>
      </c>
    </row>
    <row r="395" spans="1:12" ht="18" customHeight="1" x14ac:dyDescent="0.2">
      <c r="A395" s="11">
        <f>IF(INPUT!M390="","",INPUT!M390)</f>
        <v>45891</v>
      </c>
      <c r="B395" s="11">
        <f>IF(INPUT!M390="","",INPUT!M390-WEEKDAY(INPUT!M390,2)+1)</f>
        <v>45887</v>
      </c>
      <c r="C395" s="20">
        <f>IFERROR(_xlfn.ISOWEEKNUM(INPUT!M390),"")</f>
        <v>34</v>
      </c>
      <c r="D395" s="20">
        <f>IFERROR(YEAR(INPUT!M390),"")</f>
        <v>2025</v>
      </c>
      <c r="E395" t="str">
        <f>IF(INPUT!O390="","",INPUT!O390)</f>
        <v>BARONA</v>
      </c>
      <c r="F395" t="str">
        <f>IF(INPUT!N390="","",INPUT!N390)</f>
        <v>M</v>
      </c>
      <c r="G395" t="str" cm="1">
        <f t="array" ref="G395">IFERROR(VLOOKUP(INPUT!M390&amp;INPUT!N390,CHOOSE({1,2},INPUT!$A$3:$A$5000&amp;INPUT!$C$3:$C$5000,INPUT!$F$3:$F$5000),2,FALSE),"")</f>
        <v>PRE-TEMPORADA</v>
      </c>
      <c r="H395" t="str" cm="1">
        <f t="array" ref="H395">IFERROR(VLOOKUP(INPUT!M390&amp;INPUT!N390,CHOOSE({1,2},INPUT!$A$3:$A$5000&amp;INPUT!$C$3:$C$5000,INPUT!$D$3:$D$5000),2,FALSE),"")</f>
        <v>TEC-TAC</v>
      </c>
      <c r="I395" s="46">
        <f>IF(INPUT!P390="","",INPUT!P390)</f>
        <v>70.2</v>
      </c>
      <c r="J395" s="46">
        <f>IF(INPUT!Q390="","",INPUT!Q390)</f>
        <v>70.2</v>
      </c>
      <c r="K395" s="46">
        <f>IFERROR(IF(OR(INPUT!P390="",INPUT!Q390=""),"",INPUT!P390-INPUT!Q390),"")</f>
        <v>0</v>
      </c>
      <c r="L395" s="48">
        <f>IFERROR(IF(OR(INPUT!P390="",INPUT!Q390="",INPUT!P390=0),"",(INPUT!P390-INPUT!Q390)/INPUT!P390),"")</f>
        <v>0</v>
      </c>
    </row>
    <row r="396" spans="1:12" ht="18" customHeight="1" x14ac:dyDescent="0.2">
      <c r="A396" s="11">
        <f>IF(INPUT!M391="","",INPUT!M391)</f>
        <v>45891</v>
      </c>
      <c r="B396" s="11">
        <f>IF(INPUT!M391="","",INPUT!M391-WEEKDAY(INPUT!M391,2)+1)</f>
        <v>45887</v>
      </c>
      <c r="C396" s="20">
        <f>IFERROR(_xlfn.ISOWEEKNUM(INPUT!M391),"")</f>
        <v>34</v>
      </c>
      <c r="D396" s="20">
        <f>IFERROR(YEAR(INPUT!M391),"")</f>
        <v>2025</v>
      </c>
      <c r="E396" t="str">
        <f>IF(INPUT!O391="","",INPUT!O391)</f>
        <v>CARLOS</v>
      </c>
      <c r="F396" t="str">
        <f>IF(INPUT!N391="","",INPUT!N391)</f>
        <v>M</v>
      </c>
      <c r="G396" t="str" cm="1">
        <f t="array" ref="G396">IFERROR(VLOOKUP(INPUT!M391&amp;INPUT!N391,CHOOSE({1,2},INPUT!$A$3:$A$5000&amp;INPUT!$C$3:$C$5000,INPUT!$F$3:$F$5000),2,FALSE),"")</f>
        <v>PRE-TEMPORADA</v>
      </c>
      <c r="H396" t="str" cm="1">
        <f t="array" ref="H396">IFERROR(VLOOKUP(INPUT!M391&amp;INPUT!N391,CHOOSE({1,2},INPUT!$A$3:$A$5000&amp;INPUT!$C$3:$C$5000,INPUT!$D$3:$D$5000),2,FALSE),"")</f>
        <v>TEC-TAC</v>
      </c>
      <c r="I396" s="46">
        <f>IF(INPUT!P391="","",INPUT!P391)</f>
        <v>67.599999999999994</v>
      </c>
      <c r="J396" s="46">
        <f>IF(INPUT!Q391="","",INPUT!Q391)</f>
        <v>67.2</v>
      </c>
      <c r="K396" s="46">
        <f>IFERROR(IF(OR(INPUT!P391="",INPUT!Q391=""),"",INPUT!P391-INPUT!Q391),"")</f>
        <v>0.39999999999999147</v>
      </c>
      <c r="L396" s="48">
        <f>IFERROR(IF(OR(INPUT!P391="",INPUT!Q391="",INPUT!P391=0),"",(INPUT!P391-INPUT!Q391)/INPUT!P391),"")</f>
        <v>5.9171597633134836E-3</v>
      </c>
    </row>
    <row r="397" spans="1:12" ht="18" customHeight="1" x14ac:dyDescent="0.2">
      <c r="A397" s="11">
        <f>IF(INPUT!M392="","",INPUT!M392)</f>
        <v>45891</v>
      </c>
      <c r="B397" s="11">
        <f>IF(INPUT!M392="","",INPUT!M392-WEEKDAY(INPUT!M392,2)+1)</f>
        <v>45887</v>
      </c>
      <c r="C397" s="20">
        <f>IFERROR(_xlfn.ISOWEEKNUM(INPUT!M392),"")</f>
        <v>34</v>
      </c>
      <c r="D397" s="20">
        <f>IFERROR(YEAR(INPUT!M392),"")</f>
        <v>2025</v>
      </c>
      <c r="E397" t="str">
        <f>IF(INPUT!O392="","",INPUT!O392)</f>
        <v>GONZALO</v>
      </c>
      <c r="F397" t="str">
        <f>IF(INPUT!N392="","",INPUT!N392)</f>
        <v>M</v>
      </c>
      <c r="G397" t="str" cm="1">
        <f t="array" ref="G397">IFERROR(VLOOKUP(INPUT!M392&amp;INPUT!N392,CHOOSE({1,2},INPUT!$A$3:$A$5000&amp;INPUT!$C$3:$C$5000,INPUT!$F$3:$F$5000),2,FALSE),"")</f>
        <v>PRE-TEMPORADA</v>
      </c>
      <c r="H397" t="str" cm="1">
        <f t="array" ref="H397">IFERROR(VLOOKUP(INPUT!M392&amp;INPUT!N392,CHOOSE({1,2},INPUT!$A$3:$A$5000&amp;INPUT!$C$3:$C$5000,INPUT!$D$3:$D$5000),2,FALSE),"")</f>
        <v>TEC-TAC</v>
      </c>
      <c r="I397" s="46">
        <f>IF(INPUT!P392="","",INPUT!P392)</f>
        <v>85.5</v>
      </c>
      <c r="J397" s="46">
        <f>IF(INPUT!Q392="","",INPUT!Q392)</f>
        <v>85.2</v>
      </c>
      <c r="K397" s="46">
        <f>IFERROR(IF(OR(INPUT!P392="",INPUT!Q392=""),"",INPUT!P392-INPUT!Q392),"")</f>
        <v>0.29999999999999716</v>
      </c>
      <c r="L397" s="48">
        <f>IFERROR(IF(OR(INPUT!P392="",INPUT!Q392="",INPUT!P392=0),"",(INPUT!P392-INPUT!Q392)/INPUT!P392),"")</f>
        <v>3.5087719298245281E-3</v>
      </c>
    </row>
    <row r="398" spans="1:12" ht="18" customHeight="1" x14ac:dyDescent="0.2">
      <c r="A398" s="11">
        <f>IF(INPUT!M393="","",INPUT!M393)</f>
        <v>45891</v>
      </c>
      <c r="B398" s="11">
        <f>IF(INPUT!M393="","",INPUT!M393-WEEKDAY(INPUT!M393,2)+1)</f>
        <v>45887</v>
      </c>
      <c r="C398" s="20">
        <f>IFERROR(_xlfn.ISOWEEKNUM(INPUT!M393),"")</f>
        <v>34</v>
      </c>
      <c r="D398" s="20">
        <f>IFERROR(YEAR(INPUT!M393),"")</f>
        <v>2025</v>
      </c>
      <c r="E398" t="str">
        <f>IF(INPUT!O393="","",INPUT!O393)</f>
        <v>RUBIO</v>
      </c>
      <c r="F398" t="str">
        <f>IF(INPUT!N393="","",INPUT!N393)</f>
        <v>M</v>
      </c>
      <c r="G398" t="str" cm="1">
        <f t="array" ref="G398">IFERROR(VLOOKUP(INPUT!M393&amp;INPUT!N393,CHOOSE({1,2},INPUT!$A$3:$A$5000&amp;INPUT!$C$3:$C$5000,INPUT!$F$3:$F$5000),2,FALSE),"")</f>
        <v>PRE-TEMPORADA</v>
      </c>
      <c r="H398" t="str" cm="1">
        <f t="array" ref="H398">IFERROR(VLOOKUP(INPUT!M393&amp;INPUT!N393,CHOOSE({1,2},INPUT!$A$3:$A$5000&amp;INPUT!$C$3:$C$5000,INPUT!$D$3:$D$5000),2,FALSE),"")</f>
        <v>TEC-TAC</v>
      </c>
      <c r="I398" s="46">
        <f>IF(INPUT!P393="","",INPUT!P393)</f>
        <v>74.400000000000006</v>
      </c>
      <c r="J398" s="46">
        <f>IF(INPUT!Q393="","",INPUT!Q393)</f>
        <v>74.599999999999994</v>
      </c>
      <c r="K398" s="46">
        <f>IFERROR(IF(OR(INPUT!P393="",INPUT!Q393=""),"",INPUT!P393-INPUT!Q393),"")</f>
        <v>-0.19999999999998863</v>
      </c>
      <c r="L398" s="48">
        <f>IFERROR(IF(OR(INPUT!P393="",INPUT!Q393="",INPUT!P393=0),"",(INPUT!P393-INPUT!Q393)/INPUT!P393),"")</f>
        <v>-2.6881720430105998E-3</v>
      </c>
    </row>
    <row r="399" spans="1:12" ht="18" customHeight="1" x14ac:dyDescent="0.2">
      <c r="A399" s="11">
        <f>IF(INPUT!M394="","",INPUT!M394)</f>
        <v>45891</v>
      </c>
      <c r="B399" s="11">
        <f>IF(INPUT!M394="","",INPUT!M394-WEEKDAY(INPUT!M394,2)+1)</f>
        <v>45887</v>
      </c>
      <c r="C399" s="20">
        <f>IFERROR(_xlfn.ISOWEEKNUM(INPUT!M394),"")</f>
        <v>34</v>
      </c>
      <c r="D399" s="20">
        <f>IFERROR(YEAR(INPUT!M394),"")</f>
        <v>2025</v>
      </c>
      <c r="E399" t="str">
        <f>IF(INPUT!O394="","",INPUT!O394)</f>
        <v>DANI</v>
      </c>
      <c r="F399" t="str">
        <f>IF(INPUT!N394="","",INPUT!N394)</f>
        <v>M</v>
      </c>
      <c r="G399" t="str" cm="1">
        <f t="array" ref="G399">IFERROR(VLOOKUP(INPUT!M394&amp;INPUT!N394,CHOOSE({1,2},INPUT!$A$3:$A$5000&amp;INPUT!$C$3:$C$5000,INPUT!$F$3:$F$5000),2,FALSE),"")</f>
        <v>PRE-TEMPORADA</v>
      </c>
      <c r="H399" t="str" cm="1">
        <f t="array" ref="H399">IFERROR(VLOOKUP(INPUT!M394&amp;INPUT!N394,CHOOSE({1,2},INPUT!$A$3:$A$5000&amp;INPUT!$C$3:$C$5000,INPUT!$D$3:$D$5000),2,FALSE),"")</f>
        <v>TEC-TAC</v>
      </c>
      <c r="I399" s="46">
        <f>IF(INPUT!P394="","",INPUT!P394)</f>
        <v>93.9</v>
      </c>
      <c r="J399" s="46">
        <f>IF(INPUT!Q394="","",INPUT!Q394)</f>
        <v>93.1</v>
      </c>
      <c r="K399" s="46">
        <f>IFERROR(IF(OR(INPUT!P394="",INPUT!Q394=""),"",INPUT!P394-INPUT!Q394),"")</f>
        <v>0.80000000000001137</v>
      </c>
      <c r="L399" s="48">
        <f>IFERROR(IF(OR(INPUT!P394="",INPUT!Q394="",INPUT!P394=0),"",(INPUT!P394-INPUT!Q394)/INPUT!P394),"")</f>
        <v>8.5197018104367552E-3</v>
      </c>
    </row>
    <row r="400" spans="1:12" ht="18" customHeight="1" x14ac:dyDescent="0.2">
      <c r="A400" s="11">
        <f>IF(INPUT!M395="","",INPUT!M395)</f>
        <v>45891</v>
      </c>
      <c r="B400" s="11">
        <f>IF(INPUT!M395="","",INPUT!M395-WEEKDAY(INPUT!M395,2)+1)</f>
        <v>45887</v>
      </c>
      <c r="C400" s="20">
        <f>IFERROR(_xlfn.ISOWEEKNUM(INPUT!M395),"")</f>
        <v>34</v>
      </c>
      <c r="D400" s="20">
        <f>IFERROR(YEAR(INPUT!M395),"")</f>
        <v>2025</v>
      </c>
      <c r="E400" t="str">
        <f>IF(INPUT!O395="","",INPUT!O395)</f>
        <v>JAIME</v>
      </c>
      <c r="F400" t="str">
        <f>IF(INPUT!N395="","",INPUT!N395)</f>
        <v>M</v>
      </c>
      <c r="G400" t="str" cm="1">
        <f t="array" ref="G400">IFERROR(VLOOKUP(INPUT!M395&amp;INPUT!N395,CHOOSE({1,2},INPUT!$A$3:$A$5000&amp;INPUT!$C$3:$C$5000,INPUT!$F$3:$F$5000),2,FALSE),"")</f>
        <v>PRE-TEMPORADA</v>
      </c>
      <c r="H400" t="str" cm="1">
        <f t="array" ref="H400">IFERROR(VLOOKUP(INPUT!M395&amp;INPUT!N395,CHOOSE({1,2},INPUT!$A$3:$A$5000&amp;INPUT!$C$3:$C$5000,INPUT!$D$3:$D$5000),2,FALSE),"")</f>
        <v>TEC-TAC</v>
      </c>
      <c r="I400" s="46">
        <f>IF(INPUT!P395="","",INPUT!P395)</f>
        <v>75.400000000000006</v>
      </c>
      <c r="J400" s="46">
        <f>IF(INPUT!Q395="","",INPUT!Q395)</f>
        <v>75.099999999999994</v>
      </c>
      <c r="K400" s="46">
        <f>IFERROR(IF(OR(INPUT!P395="",INPUT!Q395=""),"",INPUT!P395-INPUT!Q395),"")</f>
        <v>0.30000000000001137</v>
      </c>
      <c r="L400" s="48">
        <f>IFERROR(IF(OR(INPUT!P395="",INPUT!Q395="",INPUT!P395=0),"",(INPUT!P395-INPUT!Q395)/INPUT!P395),"")</f>
        <v>3.9787798408489564E-3</v>
      </c>
    </row>
    <row r="401" spans="1:12" ht="18" hidden="1" customHeight="1" x14ac:dyDescent="0.2">
      <c r="A401" s="11">
        <f>IF(INPUT!M396="","",INPUT!M396)</f>
        <v>45895</v>
      </c>
      <c r="B401" s="11">
        <f>IF(INPUT!M396="","",INPUT!M396-WEEKDAY(INPUT!M396,2)+1)</f>
        <v>45894</v>
      </c>
      <c r="C401" s="20">
        <f>IFERROR(_xlfn.ISOWEEKNUM(INPUT!M396),"")</f>
        <v>35</v>
      </c>
      <c r="D401" s="20">
        <f>IFERROR(YEAR(INPUT!M396),"")</f>
        <v>2025</v>
      </c>
      <c r="E401" t="str">
        <f>IF(INPUT!O396="","",INPUT!O396)</f>
        <v>HERRERO</v>
      </c>
      <c r="F401" t="str">
        <f>IF(INPUT!N396="","",INPUT!N396)</f>
        <v>M</v>
      </c>
      <c r="G401" t="str" cm="1">
        <f t="array" ref="G401">IFERROR(VLOOKUP(INPUT!M396&amp;INPUT!N396,CHOOSE({1,2},INPUT!$A$3:$A$5000&amp;INPUT!$C$3:$C$5000,INPUT!$F$3:$F$5000),2,FALSE),"")</f>
        <v>PRE-TEMPORADA</v>
      </c>
      <c r="H401" t="str" cm="1">
        <f t="array" ref="H401">IFERROR(VLOOKUP(INPUT!M396&amp;INPUT!N396,CHOOSE({1,2},INPUT!$A$3:$A$5000&amp;INPUT!$C$3:$C$5000,INPUT!$D$3:$D$5000),2,FALSE),"")</f>
        <v>GYM+TEC-TAC</v>
      </c>
      <c r="I401" s="46">
        <f>IF(INPUT!P396="","",INPUT!P396)</f>
        <v>77</v>
      </c>
      <c r="J401" s="46">
        <f>IF(INPUT!Q396="","",INPUT!Q396)</f>
        <v>76</v>
      </c>
      <c r="K401" s="46">
        <f>IFERROR(IF(OR(INPUT!P396="",INPUT!Q396=""),"",INPUT!P396-INPUT!Q396),"")</f>
        <v>1</v>
      </c>
      <c r="L401" s="48">
        <f>IFERROR(IF(OR(INPUT!P396="",INPUT!Q396="",INPUT!P396=0),"",(INPUT!P396-INPUT!Q396)/INPUT!P396),"")</f>
        <v>1.2987012987012988E-2</v>
      </c>
    </row>
    <row r="402" spans="1:12" ht="18" hidden="1" customHeight="1" x14ac:dyDescent="0.2">
      <c r="A402" s="11">
        <f>IF(INPUT!M397="","",INPUT!M397)</f>
        <v>45895</v>
      </c>
      <c r="B402" s="11">
        <f>IF(INPUT!M397="","",INPUT!M397-WEEKDAY(INPUT!M397,2)+1)</f>
        <v>45894</v>
      </c>
      <c r="C402" s="20">
        <f>IFERROR(_xlfn.ISOWEEKNUM(INPUT!M397),"")</f>
        <v>35</v>
      </c>
      <c r="D402" s="20">
        <f>IFERROR(YEAR(INPUT!M397),"")</f>
        <v>2025</v>
      </c>
      <c r="E402" t="str">
        <f>IF(INPUT!O397="","",INPUT!O397)</f>
        <v>GARCIA</v>
      </c>
      <c r="F402" t="str">
        <f>IF(INPUT!N397="","",INPUT!N397)</f>
        <v>M</v>
      </c>
      <c r="G402" t="str" cm="1">
        <f t="array" ref="G402">IFERROR(VLOOKUP(INPUT!M397&amp;INPUT!N397,CHOOSE({1,2},INPUT!$A$3:$A$5000&amp;INPUT!$C$3:$C$5000,INPUT!$F$3:$F$5000),2,FALSE),"")</f>
        <v>PRE-TEMPORADA</v>
      </c>
      <c r="H402" t="str" cm="1">
        <f t="array" ref="H402">IFERROR(VLOOKUP(INPUT!M397&amp;INPUT!N397,CHOOSE({1,2},INPUT!$A$3:$A$5000&amp;INPUT!$C$3:$C$5000,INPUT!$D$3:$D$5000),2,FALSE),"")</f>
        <v>GYM+TEC-TAC</v>
      </c>
      <c r="I402" s="46">
        <f>IF(INPUT!P397="","",INPUT!P397)</f>
        <v>79.400000000000006</v>
      </c>
      <c r="J402" s="46">
        <f>IF(INPUT!Q397="","",INPUT!Q397)</f>
        <v>79</v>
      </c>
      <c r="K402" s="46">
        <f>IFERROR(IF(OR(INPUT!P397="",INPUT!Q397=""),"",INPUT!P397-INPUT!Q397),"")</f>
        <v>0.40000000000000568</v>
      </c>
      <c r="L402" s="48">
        <f>IFERROR(IF(OR(INPUT!P397="",INPUT!Q397="",INPUT!P397=0),"",(INPUT!P397-INPUT!Q397)/INPUT!P397),"")</f>
        <v>5.0377833753149324E-3</v>
      </c>
    </row>
    <row r="403" spans="1:12" ht="18" hidden="1" customHeight="1" x14ac:dyDescent="0.2">
      <c r="A403" s="11">
        <f>IF(INPUT!M398="","",INPUT!M398)</f>
        <v>45895</v>
      </c>
      <c r="B403" s="11">
        <f>IF(INPUT!M398="","",INPUT!M398-WEEKDAY(INPUT!M398,2)+1)</f>
        <v>45894</v>
      </c>
      <c r="C403" s="20">
        <f>IFERROR(_xlfn.ISOWEEKNUM(INPUT!M398),"")</f>
        <v>35</v>
      </c>
      <c r="D403" s="20">
        <f>IFERROR(YEAR(INPUT!M398),"")</f>
        <v>2025</v>
      </c>
      <c r="E403" t="str">
        <f>IF(INPUT!O398="","",INPUT!O398)</f>
        <v>OSCAR</v>
      </c>
      <c r="F403" t="str">
        <f>IF(INPUT!N398="","",INPUT!N398)</f>
        <v>M</v>
      </c>
      <c r="G403" t="str" cm="1">
        <f t="array" ref="G403">IFERROR(VLOOKUP(INPUT!M398&amp;INPUT!N398,CHOOSE({1,2},INPUT!$A$3:$A$5000&amp;INPUT!$C$3:$C$5000,INPUT!$F$3:$F$5000),2,FALSE),"")</f>
        <v>PRE-TEMPORADA</v>
      </c>
      <c r="H403" t="str" cm="1">
        <f t="array" ref="H403">IFERROR(VLOOKUP(INPUT!M398&amp;INPUT!N398,CHOOSE({1,2},INPUT!$A$3:$A$5000&amp;INPUT!$C$3:$C$5000,INPUT!$D$3:$D$5000),2,FALSE),"")</f>
        <v>GYM+TEC-TAC</v>
      </c>
      <c r="I403" s="46">
        <f>IF(INPUT!P398="","",INPUT!P398)</f>
        <v>87.5</v>
      </c>
      <c r="J403" s="46">
        <f>IF(INPUT!Q398="","",INPUT!Q398)</f>
        <v>87.1</v>
      </c>
      <c r="K403" s="46">
        <f>IFERROR(IF(OR(INPUT!P398="",INPUT!Q398=""),"",INPUT!P398-INPUT!Q398),"")</f>
        <v>0.40000000000000568</v>
      </c>
      <c r="L403" s="48">
        <f>IFERROR(IF(OR(INPUT!P398="",INPUT!Q398="",INPUT!P398=0),"",(INPUT!P398-INPUT!Q398)/INPUT!P398),"")</f>
        <v>4.5714285714286368E-3</v>
      </c>
    </row>
    <row r="404" spans="1:12" ht="18" hidden="1" customHeight="1" x14ac:dyDescent="0.2">
      <c r="A404" s="11">
        <f>IF(INPUT!M399="","",INPUT!M399)</f>
        <v>45895</v>
      </c>
      <c r="B404" s="11">
        <f>IF(INPUT!M399="","",INPUT!M399-WEEKDAY(INPUT!M399,2)+1)</f>
        <v>45894</v>
      </c>
      <c r="C404" s="20">
        <f>IFERROR(_xlfn.ISOWEEKNUM(INPUT!M399),"")</f>
        <v>35</v>
      </c>
      <c r="D404" s="20">
        <f>IFERROR(YEAR(INPUT!M399),"")</f>
        <v>2025</v>
      </c>
      <c r="E404" t="str">
        <f>IF(INPUT!O399="","",INPUT!O399)</f>
        <v>CECILIO</v>
      </c>
      <c r="F404" t="str">
        <f>IF(INPUT!N399="","",INPUT!N399)</f>
        <v>M</v>
      </c>
      <c r="G404" t="str" cm="1">
        <f t="array" ref="G404">IFERROR(VLOOKUP(INPUT!M399&amp;INPUT!N399,CHOOSE({1,2},INPUT!$A$3:$A$5000&amp;INPUT!$C$3:$C$5000,INPUT!$F$3:$F$5000),2,FALSE),"")</f>
        <v>PRE-TEMPORADA</v>
      </c>
      <c r="H404" t="str" cm="1">
        <f t="array" ref="H404">IFERROR(VLOOKUP(INPUT!M399&amp;INPUT!N399,CHOOSE({1,2},INPUT!$A$3:$A$5000&amp;INPUT!$C$3:$C$5000,INPUT!$D$3:$D$5000),2,FALSE),"")</f>
        <v>GYM+TEC-TAC</v>
      </c>
      <c r="I404" s="46">
        <f>IF(INPUT!P399="","",INPUT!P399)</f>
        <v>68.3</v>
      </c>
      <c r="J404" s="46">
        <f>IF(INPUT!Q399="","",INPUT!Q399)</f>
        <v>67.900000000000006</v>
      </c>
      <c r="K404" s="46">
        <f>IFERROR(IF(OR(INPUT!P399="",INPUT!Q399=""),"",INPUT!P399-INPUT!Q399),"")</f>
        <v>0.39999999999999147</v>
      </c>
      <c r="L404" s="48">
        <f>IFERROR(IF(OR(INPUT!P399="",INPUT!Q399="",INPUT!P399=0),"",(INPUT!P399-INPUT!Q399)/INPUT!P399),"")</f>
        <v>5.8565153733527303E-3</v>
      </c>
    </row>
    <row r="405" spans="1:12" ht="18" hidden="1" customHeight="1" x14ac:dyDescent="0.2">
      <c r="A405" s="11">
        <f>IF(INPUT!M400="","",INPUT!M400)</f>
        <v>45895</v>
      </c>
      <c r="B405" s="11">
        <f>IF(INPUT!M400="","",INPUT!M400-WEEKDAY(INPUT!M400,2)+1)</f>
        <v>45894</v>
      </c>
      <c r="C405" s="20">
        <f>IFERROR(_xlfn.ISOWEEKNUM(INPUT!M400),"")</f>
        <v>35</v>
      </c>
      <c r="D405" s="20">
        <f>IFERROR(YEAR(INPUT!M400),"")</f>
        <v>2025</v>
      </c>
      <c r="E405" t="str">
        <f>IF(INPUT!O400="","",INPUT!O400)</f>
        <v>CHAGUINHA</v>
      </c>
      <c r="F405" t="str">
        <f>IF(INPUT!N400="","",INPUT!N400)</f>
        <v>M</v>
      </c>
      <c r="G405" t="str" cm="1">
        <f t="array" ref="G405">IFERROR(VLOOKUP(INPUT!M400&amp;INPUT!N400,CHOOSE({1,2},INPUT!$A$3:$A$5000&amp;INPUT!$C$3:$C$5000,INPUT!$F$3:$F$5000),2,FALSE),"")</f>
        <v>PRE-TEMPORADA</v>
      </c>
      <c r="H405" t="str" cm="1">
        <f t="array" ref="H405">IFERROR(VLOOKUP(INPUT!M400&amp;INPUT!N400,CHOOSE({1,2},INPUT!$A$3:$A$5000&amp;INPUT!$C$3:$C$5000,INPUT!$D$3:$D$5000),2,FALSE),"")</f>
        <v>GYM+TEC-TAC</v>
      </c>
      <c r="I405" s="46">
        <f>IF(INPUT!P400="","",INPUT!P400)</f>
        <v>68.3</v>
      </c>
      <c r="J405" s="46">
        <f>IF(INPUT!Q400="","",INPUT!Q400)</f>
        <v>68</v>
      </c>
      <c r="K405" s="46">
        <f>IFERROR(IF(OR(INPUT!P400="",INPUT!Q400=""),"",INPUT!P400-INPUT!Q400),"")</f>
        <v>0.29999999999999716</v>
      </c>
      <c r="L405" s="48">
        <f>IFERROR(IF(OR(INPUT!P400="",INPUT!Q400="",INPUT!P400=0),"",(INPUT!P400-INPUT!Q400)/INPUT!P400),"")</f>
        <v>4.3923865300145998E-3</v>
      </c>
    </row>
    <row r="406" spans="1:12" ht="18" hidden="1" customHeight="1" x14ac:dyDescent="0.2">
      <c r="A406" s="11">
        <f>IF(INPUT!M401="","",INPUT!M401)</f>
        <v>45895</v>
      </c>
      <c r="B406" s="11">
        <f>IF(INPUT!M401="","",INPUT!M401-WEEKDAY(INPUT!M401,2)+1)</f>
        <v>45894</v>
      </c>
      <c r="C406" s="20">
        <f>IFERROR(_xlfn.ISOWEEKNUM(INPUT!M401),"")</f>
        <v>35</v>
      </c>
      <c r="D406" s="20">
        <f>IFERROR(YEAR(INPUT!M401),"")</f>
        <v>2025</v>
      </c>
      <c r="E406" t="str">
        <f>IF(INPUT!O401="","",INPUT!O401)</f>
        <v>RAUL</v>
      </c>
      <c r="F406" t="str">
        <f>IF(INPUT!N401="","",INPUT!N401)</f>
        <v>M</v>
      </c>
      <c r="G406" t="str" cm="1">
        <f t="array" ref="G406">IFERROR(VLOOKUP(INPUT!M401&amp;INPUT!N401,CHOOSE({1,2},INPUT!$A$3:$A$5000&amp;INPUT!$C$3:$C$5000,INPUT!$F$3:$F$5000),2,FALSE),"")</f>
        <v>PRE-TEMPORADA</v>
      </c>
      <c r="H406" t="str" cm="1">
        <f t="array" ref="H406">IFERROR(VLOOKUP(INPUT!M401&amp;INPUT!N401,CHOOSE({1,2},INPUT!$A$3:$A$5000&amp;INPUT!$C$3:$C$5000,INPUT!$D$3:$D$5000),2,FALSE),"")</f>
        <v>GYM+TEC-TAC</v>
      </c>
      <c r="I406" s="46">
        <f>IF(INPUT!P401="","",INPUT!P401)</f>
        <v>80.2</v>
      </c>
      <c r="J406" s="46">
        <f>IF(INPUT!Q401="","",INPUT!Q401)</f>
        <v>80</v>
      </c>
      <c r="K406" s="46">
        <f>IFERROR(IF(OR(INPUT!P401="",INPUT!Q401=""),"",INPUT!P401-INPUT!Q401),"")</f>
        <v>0.20000000000000284</v>
      </c>
      <c r="L406" s="48">
        <f>IFERROR(IF(OR(INPUT!P401="",INPUT!Q401="",INPUT!P401=0),"",(INPUT!P401-INPUT!Q401)/INPUT!P401),"")</f>
        <v>2.4937655860349482E-3</v>
      </c>
    </row>
    <row r="407" spans="1:12" ht="18" hidden="1" customHeight="1" x14ac:dyDescent="0.2">
      <c r="A407" s="11">
        <f>IF(INPUT!M402="","",INPUT!M402)</f>
        <v>45895</v>
      </c>
      <c r="B407" s="11">
        <f>IF(INPUT!M402="","",INPUT!M402-WEEKDAY(INPUT!M402,2)+1)</f>
        <v>45894</v>
      </c>
      <c r="C407" s="20">
        <f>IFERROR(_xlfn.ISOWEEKNUM(INPUT!M402),"")</f>
        <v>35</v>
      </c>
      <c r="D407" s="20">
        <f>IFERROR(YEAR(INPUT!M402),"")</f>
        <v>2025</v>
      </c>
      <c r="E407" t="str">
        <f>IF(INPUT!O402="","",INPUT!O402)</f>
        <v>HARRISON</v>
      </c>
      <c r="F407" t="str">
        <f>IF(INPUT!N402="","",INPUT!N402)</f>
        <v>M</v>
      </c>
      <c r="G407" t="str" cm="1">
        <f t="array" ref="G407">IFERROR(VLOOKUP(INPUT!M402&amp;INPUT!N402,CHOOSE({1,2},INPUT!$A$3:$A$5000&amp;INPUT!$C$3:$C$5000,INPUT!$F$3:$F$5000),2,FALSE),"")</f>
        <v>PRE-TEMPORADA</v>
      </c>
      <c r="H407" t="str" cm="1">
        <f t="array" ref="H407">IFERROR(VLOOKUP(INPUT!M402&amp;INPUT!N402,CHOOSE({1,2},INPUT!$A$3:$A$5000&amp;INPUT!$C$3:$C$5000,INPUT!$D$3:$D$5000),2,FALSE),"")</f>
        <v>GYM+TEC-TAC</v>
      </c>
      <c r="I407" s="46">
        <f>IF(INPUT!P402="","",INPUT!P402)</f>
        <v>71.2</v>
      </c>
      <c r="J407" s="46">
        <f>IF(INPUT!Q402="","",INPUT!Q402)</f>
        <v>71.400000000000006</v>
      </c>
      <c r="K407" s="46">
        <f>IFERROR(IF(OR(INPUT!P402="",INPUT!Q402=""),"",INPUT!P402-INPUT!Q402),"")</f>
        <v>-0.20000000000000284</v>
      </c>
      <c r="L407" s="48">
        <f>IFERROR(IF(OR(INPUT!P402="",INPUT!Q402="",INPUT!P402=0),"",(INPUT!P402-INPUT!Q402)/INPUT!P402),"")</f>
        <v>-2.8089887640449836E-3</v>
      </c>
    </row>
    <row r="408" spans="1:12" ht="18" hidden="1" customHeight="1" x14ac:dyDescent="0.2">
      <c r="A408" s="11">
        <f>IF(INPUT!M403="","",INPUT!M403)</f>
        <v>45895</v>
      </c>
      <c r="B408" s="11">
        <f>IF(INPUT!M403="","",INPUT!M403-WEEKDAY(INPUT!M403,2)+1)</f>
        <v>45894</v>
      </c>
      <c r="C408" s="20">
        <f>IFERROR(_xlfn.ISOWEEKNUM(INPUT!M403),"")</f>
        <v>35</v>
      </c>
      <c r="D408" s="20">
        <f>IFERROR(YEAR(INPUT!M403),"")</f>
        <v>2025</v>
      </c>
      <c r="E408" t="str">
        <f>IF(INPUT!O403="","",INPUT!O403)</f>
        <v>RAYA</v>
      </c>
      <c r="F408" t="str">
        <f>IF(INPUT!N403="","",INPUT!N403)</f>
        <v>M</v>
      </c>
      <c r="G408" t="str" cm="1">
        <f t="array" ref="G408">IFERROR(VLOOKUP(INPUT!M403&amp;INPUT!N403,CHOOSE({1,2},INPUT!$A$3:$A$5000&amp;INPUT!$C$3:$C$5000,INPUT!$F$3:$F$5000),2,FALSE),"")</f>
        <v>PRE-TEMPORADA</v>
      </c>
      <c r="H408" t="str" cm="1">
        <f t="array" ref="H408">IFERROR(VLOOKUP(INPUT!M403&amp;INPUT!N403,CHOOSE({1,2},INPUT!$A$3:$A$5000&amp;INPUT!$C$3:$C$5000,INPUT!$D$3:$D$5000),2,FALSE),"")</f>
        <v>GYM+TEC-TAC</v>
      </c>
      <c r="I408" s="46">
        <f>IF(INPUT!P403="","",INPUT!P403)</f>
        <v>82.7</v>
      </c>
      <c r="J408" s="46">
        <f>IF(INPUT!Q403="","",INPUT!Q403)</f>
        <v>80.7</v>
      </c>
      <c r="K408" s="46">
        <f>IFERROR(IF(OR(INPUT!P403="",INPUT!Q403=""),"",INPUT!P403-INPUT!Q403),"")</f>
        <v>2</v>
      </c>
      <c r="L408" s="48">
        <f>IFERROR(IF(OR(INPUT!P403="",INPUT!Q403="",INPUT!P403=0),"",(INPUT!P403-INPUT!Q403)/INPUT!P403),"")</f>
        <v>2.4183796856106408E-2</v>
      </c>
    </row>
    <row r="409" spans="1:12" ht="18" hidden="1" customHeight="1" x14ac:dyDescent="0.2">
      <c r="A409" s="11">
        <f>IF(INPUT!M404="","",INPUT!M404)</f>
        <v>45895</v>
      </c>
      <c r="B409" s="11">
        <f>IF(INPUT!M404="","",INPUT!M404-WEEKDAY(INPUT!M404,2)+1)</f>
        <v>45894</v>
      </c>
      <c r="C409" s="20">
        <f>IFERROR(_xlfn.ISOWEEKNUM(INPUT!M404),"")</f>
        <v>35</v>
      </c>
      <c r="D409" s="20">
        <f>IFERROR(YEAR(INPUT!M404),"")</f>
        <v>2025</v>
      </c>
      <c r="E409" t="str">
        <f>IF(INPUT!O404="","",INPUT!O404)</f>
        <v>JAVI</v>
      </c>
      <c r="F409" t="str">
        <f>IF(INPUT!N404="","",INPUT!N404)</f>
        <v>M</v>
      </c>
      <c r="G409" t="str" cm="1">
        <f t="array" ref="G409">IFERROR(VLOOKUP(INPUT!M404&amp;INPUT!N404,CHOOSE({1,2},INPUT!$A$3:$A$5000&amp;INPUT!$C$3:$C$5000,INPUT!$F$3:$F$5000),2,FALSE),"")</f>
        <v>PRE-TEMPORADA</v>
      </c>
      <c r="H409" t="str" cm="1">
        <f t="array" ref="H409">IFERROR(VLOOKUP(INPUT!M404&amp;INPUT!N404,CHOOSE({1,2},INPUT!$A$3:$A$5000&amp;INPUT!$C$3:$C$5000,INPUT!$D$3:$D$5000),2,FALSE),"")</f>
        <v>GYM+TEC-TAC</v>
      </c>
      <c r="I409" s="46">
        <f>IF(INPUT!P404="","",INPUT!P404)</f>
        <v>79</v>
      </c>
      <c r="J409" s="46">
        <f>IF(INPUT!Q404="","",INPUT!Q404)</f>
        <v>79.400000000000006</v>
      </c>
      <c r="K409" s="46">
        <f>IFERROR(IF(OR(INPUT!P404="",INPUT!Q404=""),"",INPUT!P404-INPUT!Q404),"")</f>
        <v>-0.40000000000000568</v>
      </c>
      <c r="L409" s="48">
        <f>IFERROR(IF(OR(INPUT!P404="",INPUT!Q404="",INPUT!P404=0),"",(INPUT!P404-INPUT!Q404)/INPUT!P404),"")</f>
        <v>-5.0632911392405784E-3</v>
      </c>
    </row>
    <row r="410" spans="1:12" ht="18" hidden="1" customHeight="1" x14ac:dyDescent="0.2">
      <c r="A410" s="11">
        <f>IF(INPUT!M405="","",INPUT!M405)</f>
        <v>45895</v>
      </c>
      <c r="B410" s="11">
        <f>IF(INPUT!M405="","",INPUT!M405-WEEKDAY(INPUT!M405,2)+1)</f>
        <v>45894</v>
      </c>
      <c r="C410" s="20">
        <f>IFERROR(_xlfn.ISOWEEKNUM(INPUT!M405),"")</f>
        <v>35</v>
      </c>
      <c r="D410" s="20">
        <f>IFERROR(YEAR(INPUT!M405),"")</f>
        <v>2025</v>
      </c>
      <c r="E410" t="str">
        <f>IF(INPUT!O405="","",INPUT!O405)</f>
        <v>PANI</v>
      </c>
      <c r="F410" t="str">
        <f>IF(INPUT!N405="","",INPUT!N405)</f>
        <v>M</v>
      </c>
      <c r="G410" t="str" cm="1">
        <f t="array" ref="G410">IFERROR(VLOOKUP(INPUT!M405&amp;INPUT!N405,CHOOSE({1,2},INPUT!$A$3:$A$5000&amp;INPUT!$C$3:$C$5000,INPUT!$F$3:$F$5000),2,FALSE),"")</f>
        <v>PRE-TEMPORADA</v>
      </c>
      <c r="H410" t="str" cm="1">
        <f t="array" ref="H410">IFERROR(VLOOKUP(INPUT!M405&amp;INPUT!N405,CHOOSE({1,2},INPUT!$A$3:$A$5000&amp;INPUT!$C$3:$C$5000,INPUT!$D$3:$D$5000),2,FALSE),"")</f>
        <v>GYM+TEC-TAC</v>
      </c>
      <c r="I410" s="46">
        <f>IF(INPUT!P405="","",INPUT!P405)</f>
        <v>70.3</v>
      </c>
      <c r="J410" s="46">
        <f>IF(INPUT!Q405="","",INPUT!Q405)</f>
        <v>69.599999999999994</v>
      </c>
      <c r="K410" s="46">
        <f>IFERROR(IF(OR(INPUT!P405="",INPUT!Q405=""),"",INPUT!P405-INPUT!Q405),"")</f>
        <v>0.70000000000000284</v>
      </c>
      <c r="L410" s="48">
        <f>IFERROR(IF(OR(INPUT!P405="",INPUT!Q405="",INPUT!P405=0),"",(INPUT!P405-INPUT!Q405)/INPUT!P405),"")</f>
        <v>9.9573257467994725E-3</v>
      </c>
    </row>
    <row r="411" spans="1:12" ht="18" hidden="1" customHeight="1" x14ac:dyDescent="0.2">
      <c r="A411" s="11">
        <f>IF(INPUT!M406="","",INPUT!M406)</f>
        <v>45895</v>
      </c>
      <c r="B411" s="11">
        <f>IF(INPUT!M406="","",INPUT!M406-WEEKDAY(INPUT!M406,2)+1)</f>
        <v>45894</v>
      </c>
      <c r="C411" s="20">
        <f>IFERROR(_xlfn.ISOWEEKNUM(INPUT!M406),"")</f>
        <v>35</v>
      </c>
      <c r="D411" s="20">
        <f>IFERROR(YEAR(INPUT!M406),"")</f>
        <v>2025</v>
      </c>
      <c r="E411" t="str">
        <f>IF(INPUT!O406="","",INPUT!O406)</f>
        <v>PIRATA</v>
      </c>
      <c r="F411" t="str">
        <f>IF(INPUT!N406="","",INPUT!N406)</f>
        <v>M</v>
      </c>
      <c r="G411" t="str" cm="1">
        <f t="array" ref="G411">IFERROR(VLOOKUP(INPUT!M406&amp;INPUT!N406,CHOOSE({1,2},INPUT!$A$3:$A$5000&amp;INPUT!$C$3:$C$5000,INPUT!$F$3:$F$5000),2,FALSE),"")</f>
        <v>PRE-TEMPORADA</v>
      </c>
      <c r="H411" t="str" cm="1">
        <f t="array" ref="H411">IFERROR(VLOOKUP(INPUT!M406&amp;INPUT!N406,CHOOSE({1,2},INPUT!$A$3:$A$5000&amp;INPUT!$C$3:$C$5000,INPUT!$D$3:$D$5000),2,FALSE),"")</f>
        <v>GYM+TEC-TAC</v>
      </c>
      <c r="I411" s="46">
        <f>IF(INPUT!P406="","",INPUT!P406)</f>
        <v>74.900000000000006</v>
      </c>
      <c r="J411" s="46">
        <f>IF(INPUT!Q406="","",INPUT!Q406)</f>
        <v>74.599999999999994</v>
      </c>
      <c r="K411" s="46">
        <f>IFERROR(IF(OR(INPUT!P406="",INPUT!Q406=""),"",INPUT!P406-INPUT!Q406),"")</f>
        <v>0.30000000000001137</v>
      </c>
      <c r="L411" s="48">
        <f>IFERROR(IF(OR(INPUT!P406="",INPUT!Q406="",INPUT!P406=0),"",(INPUT!P406-INPUT!Q406)/INPUT!P406),"")</f>
        <v>4.005340453938736E-3</v>
      </c>
    </row>
    <row r="412" spans="1:12" ht="18" hidden="1" customHeight="1" x14ac:dyDescent="0.2">
      <c r="A412" s="11">
        <f>IF(INPUT!M407="","",INPUT!M407)</f>
        <v>45895</v>
      </c>
      <c r="B412" s="11">
        <f>IF(INPUT!M407="","",INPUT!M407-WEEKDAY(INPUT!M407,2)+1)</f>
        <v>45894</v>
      </c>
      <c r="C412" s="20">
        <f>IFERROR(_xlfn.ISOWEEKNUM(INPUT!M407),"")</f>
        <v>35</v>
      </c>
      <c r="D412" s="20">
        <f>IFERROR(YEAR(INPUT!M407),"")</f>
        <v>2025</v>
      </c>
      <c r="E412" t="str">
        <f>IF(INPUT!O407="","",INPUT!O407)</f>
        <v>BARONA</v>
      </c>
      <c r="F412" t="str">
        <f>IF(INPUT!N407="","",INPUT!N407)</f>
        <v>M</v>
      </c>
      <c r="G412" t="str" cm="1">
        <f t="array" ref="G412">IFERROR(VLOOKUP(INPUT!M407&amp;INPUT!N407,CHOOSE({1,2},INPUT!$A$3:$A$5000&amp;INPUT!$C$3:$C$5000,INPUT!$F$3:$F$5000),2,FALSE),"")</f>
        <v>PRE-TEMPORADA</v>
      </c>
      <c r="H412" t="str" cm="1">
        <f t="array" ref="H412">IFERROR(VLOOKUP(INPUT!M407&amp;INPUT!N407,CHOOSE({1,2},INPUT!$A$3:$A$5000&amp;INPUT!$C$3:$C$5000,INPUT!$D$3:$D$5000),2,FALSE),"")</f>
        <v>GYM+TEC-TAC</v>
      </c>
      <c r="I412" s="46">
        <f>IF(INPUT!P407="","",INPUT!P407)</f>
        <v>70.900000000000006</v>
      </c>
      <c r="J412" s="46">
        <f>IF(INPUT!Q407="","",INPUT!Q407)</f>
        <v>70.900000000000006</v>
      </c>
      <c r="K412" s="46">
        <f>IFERROR(IF(OR(INPUT!P407="",INPUT!Q407=""),"",INPUT!P407-INPUT!Q407),"")</f>
        <v>0</v>
      </c>
      <c r="L412" s="48">
        <f>IFERROR(IF(OR(INPUT!P407="",INPUT!Q407="",INPUT!P407=0),"",(INPUT!P407-INPUT!Q407)/INPUT!P407),"")</f>
        <v>0</v>
      </c>
    </row>
    <row r="413" spans="1:12" ht="18" hidden="1" customHeight="1" x14ac:dyDescent="0.2">
      <c r="A413" s="11">
        <f>IF(INPUT!M408="","",INPUT!M408)</f>
        <v>45895</v>
      </c>
      <c r="B413" s="11">
        <f>IF(INPUT!M408="","",INPUT!M408-WEEKDAY(INPUT!M408,2)+1)</f>
        <v>45894</v>
      </c>
      <c r="C413" s="20">
        <f>IFERROR(_xlfn.ISOWEEKNUM(INPUT!M408),"")</f>
        <v>35</v>
      </c>
      <c r="D413" s="20">
        <f>IFERROR(YEAR(INPUT!M408),"")</f>
        <v>2025</v>
      </c>
      <c r="E413" t="str">
        <f>IF(INPUT!O408="","",INPUT!O408)</f>
        <v>CARLOS</v>
      </c>
      <c r="F413" t="str">
        <f>IF(INPUT!N408="","",INPUT!N408)</f>
        <v>M</v>
      </c>
      <c r="G413" t="str" cm="1">
        <f t="array" ref="G413">IFERROR(VLOOKUP(INPUT!M408&amp;INPUT!N408,CHOOSE({1,2},INPUT!$A$3:$A$5000&amp;INPUT!$C$3:$C$5000,INPUT!$F$3:$F$5000),2,FALSE),"")</f>
        <v>PRE-TEMPORADA</v>
      </c>
      <c r="H413" t="str" cm="1">
        <f t="array" ref="H413">IFERROR(VLOOKUP(INPUT!M408&amp;INPUT!N408,CHOOSE({1,2},INPUT!$A$3:$A$5000&amp;INPUT!$C$3:$C$5000,INPUT!$D$3:$D$5000),2,FALSE),"")</f>
        <v>GYM+TEC-TAC</v>
      </c>
      <c r="I413" s="46">
        <f>IF(INPUT!P408="","",INPUT!P408)</f>
        <v>67.3</v>
      </c>
      <c r="J413" s="46">
        <f>IF(INPUT!Q408="","",INPUT!Q408)</f>
        <v>66.900000000000006</v>
      </c>
      <c r="K413" s="46">
        <f>IFERROR(IF(OR(INPUT!P408="",INPUT!Q408=""),"",INPUT!P408-INPUT!Q408),"")</f>
        <v>0.39999999999999147</v>
      </c>
      <c r="L413" s="48">
        <f>IFERROR(IF(OR(INPUT!P408="",INPUT!Q408="",INPUT!P408=0),"",(INPUT!P408-INPUT!Q408)/INPUT!P408),"")</f>
        <v>5.9435364041603494E-3</v>
      </c>
    </row>
    <row r="414" spans="1:12" ht="18" hidden="1" customHeight="1" x14ac:dyDescent="0.2">
      <c r="A414" s="11">
        <f>IF(INPUT!M409="","",INPUT!M409)</f>
        <v>45895</v>
      </c>
      <c r="B414" s="11">
        <f>IF(INPUT!M409="","",INPUT!M409-WEEKDAY(INPUT!M409,2)+1)</f>
        <v>45894</v>
      </c>
      <c r="C414" s="20">
        <f>IFERROR(_xlfn.ISOWEEKNUM(INPUT!M409),"")</f>
        <v>35</v>
      </c>
      <c r="D414" s="20">
        <f>IFERROR(YEAR(INPUT!M409),"")</f>
        <v>2025</v>
      </c>
      <c r="E414" t="str">
        <f>IF(INPUT!O409="","",INPUT!O409)</f>
        <v>GONZALO</v>
      </c>
      <c r="F414" t="str">
        <f>IF(INPUT!N409="","",INPUT!N409)</f>
        <v>M</v>
      </c>
      <c r="G414" t="str" cm="1">
        <f t="array" ref="G414">IFERROR(VLOOKUP(INPUT!M409&amp;INPUT!N409,CHOOSE({1,2},INPUT!$A$3:$A$5000&amp;INPUT!$C$3:$C$5000,INPUT!$F$3:$F$5000),2,FALSE),"")</f>
        <v>PRE-TEMPORADA</v>
      </c>
      <c r="H414" t="str" cm="1">
        <f t="array" ref="H414">IFERROR(VLOOKUP(INPUT!M409&amp;INPUT!N409,CHOOSE({1,2},INPUT!$A$3:$A$5000&amp;INPUT!$C$3:$C$5000,INPUT!$D$3:$D$5000),2,FALSE),"")</f>
        <v>GYM+TEC-TAC</v>
      </c>
      <c r="I414" s="46">
        <f>IF(INPUT!P409="","",INPUT!P409)</f>
        <v>85.2</v>
      </c>
      <c r="J414" s="46">
        <f>IF(INPUT!Q409="","",INPUT!Q409)</f>
        <v>85</v>
      </c>
      <c r="K414" s="46">
        <f>IFERROR(IF(OR(INPUT!P409="",INPUT!Q409=""),"",INPUT!P409-INPUT!Q409),"")</f>
        <v>0.20000000000000284</v>
      </c>
      <c r="L414" s="48">
        <f>IFERROR(IF(OR(INPUT!P409="",INPUT!Q409="",INPUT!P409=0),"",(INPUT!P409-INPUT!Q409)/INPUT!P409),"")</f>
        <v>2.3474178403756203E-3</v>
      </c>
    </row>
    <row r="415" spans="1:12" ht="18" hidden="1" customHeight="1" x14ac:dyDescent="0.2">
      <c r="A415" s="11">
        <f>IF(INPUT!M410="","",INPUT!M410)</f>
        <v>45895</v>
      </c>
      <c r="B415" s="11">
        <f>IF(INPUT!M410="","",INPUT!M410-WEEKDAY(INPUT!M410,2)+1)</f>
        <v>45894</v>
      </c>
      <c r="C415" s="20">
        <f>IFERROR(_xlfn.ISOWEEKNUM(INPUT!M410),"")</f>
        <v>35</v>
      </c>
      <c r="D415" s="20">
        <f>IFERROR(YEAR(INPUT!M410),"")</f>
        <v>2025</v>
      </c>
      <c r="E415" t="str">
        <f>IF(INPUT!O410="","",INPUT!O410)</f>
        <v>RUBIO</v>
      </c>
      <c r="F415" t="str">
        <f>IF(INPUT!N410="","",INPUT!N410)</f>
        <v>M</v>
      </c>
      <c r="G415" t="str" cm="1">
        <f t="array" ref="G415">IFERROR(VLOOKUP(INPUT!M410&amp;INPUT!N410,CHOOSE({1,2},INPUT!$A$3:$A$5000&amp;INPUT!$C$3:$C$5000,INPUT!$F$3:$F$5000),2,FALSE),"")</f>
        <v>PRE-TEMPORADA</v>
      </c>
      <c r="H415" t="str" cm="1">
        <f t="array" ref="H415">IFERROR(VLOOKUP(INPUT!M410&amp;INPUT!N410,CHOOSE({1,2},INPUT!$A$3:$A$5000&amp;INPUT!$C$3:$C$5000,INPUT!$D$3:$D$5000),2,FALSE),"")</f>
        <v>GYM+TEC-TAC</v>
      </c>
      <c r="I415" s="46">
        <f>IF(INPUT!P410="","",INPUT!P410)</f>
        <v>75.599999999999994</v>
      </c>
      <c r="J415" s="46">
        <f>IF(INPUT!Q410="","",INPUT!Q410)</f>
        <v>75.8</v>
      </c>
      <c r="K415" s="46">
        <f>IFERROR(IF(OR(INPUT!P410="",INPUT!Q410=""),"",INPUT!P410-INPUT!Q410),"")</f>
        <v>-0.20000000000000284</v>
      </c>
      <c r="L415" s="48">
        <f>IFERROR(IF(OR(INPUT!P410="",INPUT!Q410="",INPUT!P410=0),"",(INPUT!P410-INPUT!Q410)/INPUT!P410),"")</f>
        <v>-2.6455026455026831E-3</v>
      </c>
    </row>
    <row r="416" spans="1:12" ht="18" hidden="1" customHeight="1" x14ac:dyDescent="0.2">
      <c r="A416" s="11">
        <f>IF(INPUT!M411="","",INPUT!M411)</f>
        <v>45895</v>
      </c>
      <c r="B416" s="11">
        <f>IF(INPUT!M411="","",INPUT!M411-WEEKDAY(INPUT!M411,2)+1)</f>
        <v>45894</v>
      </c>
      <c r="C416" s="20">
        <f>IFERROR(_xlfn.ISOWEEKNUM(INPUT!M411),"")</f>
        <v>35</v>
      </c>
      <c r="D416" s="20">
        <f>IFERROR(YEAR(INPUT!M411),"")</f>
        <v>2025</v>
      </c>
      <c r="E416" t="str">
        <f>IF(INPUT!O411="","",INPUT!O411)</f>
        <v>DANI</v>
      </c>
      <c r="F416" t="str">
        <f>IF(INPUT!N411="","",INPUT!N411)</f>
        <v>M</v>
      </c>
      <c r="G416" t="str" cm="1">
        <f t="array" ref="G416">IFERROR(VLOOKUP(INPUT!M411&amp;INPUT!N411,CHOOSE({1,2},INPUT!$A$3:$A$5000&amp;INPUT!$C$3:$C$5000,INPUT!$F$3:$F$5000),2,FALSE),"")</f>
        <v>PRE-TEMPORADA</v>
      </c>
      <c r="H416" t="str" cm="1">
        <f t="array" ref="H416">IFERROR(VLOOKUP(INPUT!M411&amp;INPUT!N411,CHOOSE({1,2},INPUT!$A$3:$A$5000&amp;INPUT!$C$3:$C$5000,INPUT!$D$3:$D$5000),2,FALSE),"")</f>
        <v>GYM+TEC-TAC</v>
      </c>
      <c r="I416" s="46">
        <f>IF(INPUT!P411="","",INPUT!P411)</f>
        <v>93.2</v>
      </c>
      <c r="J416" s="46">
        <f>IF(INPUT!Q411="","",INPUT!Q411)</f>
        <v>92.1</v>
      </c>
      <c r="K416" s="46">
        <f>IFERROR(IF(OR(INPUT!P411="",INPUT!Q411=""),"",INPUT!P411-INPUT!Q411),"")</f>
        <v>1.1000000000000085</v>
      </c>
      <c r="L416" s="48">
        <f>IFERROR(IF(OR(INPUT!P411="",INPUT!Q411="",INPUT!P411=0),"",(INPUT!P411-INPUT!Q411)/INPUT!P411),"")</f>
        <v>1.1802575107296228E-2</v>
      </c>
    </row>
    <row r="417" spans="1:12" ht="18" hidden="1" customHeight="1" x14ac:dyDescent="0.2">
      <c r="A417" s="11">
        <f>IF(INPUT!M412="","",INPUT!M412)</f>
        <v>45896</v>
      </c>
      <c r="B417" s="11">
        <f>IF(INPUT!M412="","",INPUT!M412-WEEKDAY(INPUT!M412,2)+1)</f>
        <v>45894</v>
      </c>
      <c r="C417" s="20">
        <f>IFERROR(_xlfn.ISOWEEKNUM(INPUT!M412),"")</f>
        <v>35</v>
      </c>
      <c r="D417" s="20">
        <f>IFERROR(YEAR(INPUT!M412),"")</f>
        <v>2025</v>
      </c>
      <c r="E417" t="str">
        <f>IF(INPUT!O412="","",INPUT!O412)</f>
        <v>HERRERO</v>
      </c>
      <c r="F417" t="str">
        <f>IF(INPUT!N412="","",INPUT!N412)</f>
        <v>M</v>
      </c>
      <c r="G417" t="str" cm="1">
        <f t="array" ref="G417">IFERROR(VLOOKUP(INPUT!M412&amp;INPUT!N412,CHOOSE({1,2},INPUT!$A$3:$A$5000&amp;INPUT!$C$3:$C$5000,INPUT!$F$3:$F$5000),2,FALSE),"")</f>
        <v>PRE-TEMPORADA</v>
      </c>
      <c r="H417" t="str" cm="1">
        <f t="array" ref="H417">IFERROR(VLOOKUP(INPUT!M412&amp;INPUT!N412,CHOOSE({1,2},INPUT!$A$3:$A$5000&amp;INPUT!$C$3:$C$5000,INPUT!$D$3:$D$5000),2,FALSE),"")</f>
        <v>TEC-TAC</v>
      </c>
      <c r="I417" s="46">
        <f>IF(INPUT!P412="","",INPUT!P412)</f>
        <v>77</v>
      </c>
      <c r="J417" s="46">
        <f>IF(INPUT!Q412="","",INPUT!Q412)</f>
        <v>75.8</v>
      </c>
      <c r="K417" s="46">
        <f>IFERROR(IF(OR(INPUT!P412="",INPUT!Q412=""),"",INPUT!P412-INPUT!Q412),"")</f>
        <v>1.2000000000000028</v>
      </c>
      <c r="L417" s="48">
        <f>IFERROR(IF(OR(INPUT!P412="",INPUT!Q412="",INPUT!P412=0),"",(INPUT!P412-INPUT!Q412)/INPUT!P412),"")</f>
        <v>1.5584415584415621E-2</v>
      </c>
    </row>
    <row r="418" spans="1:12" ht="18" hidden="1" customHeight="1" x14ac:dyDescent="0.2">
      <c r="A418" s="11">
        <f>IF(INPUT!M413="","",INPUT!M413)</f>
        <v>45896</v>
      </c>
      <c r="B418" s="11">
        <f>IF(INPUT!M413="","",INPUT!M413-WEEKDAY(INPUT!M413,2)+1)</f>
        <v>45894</v>
      </c>
      <c r="C418" s="20">
        <f>IFERROR(_xlfn.ISOWEEKNUM(INPUT!M413),"")</f>
        <v>35</v>
      </c>
      <c r="D418" s="20">
        <f>IFERROR(YEAR(INPUT!M413),"")</f>
        <v>2025</v>
      </c>
      <c r="E418" t="str">
        <f>IF(INPUT!O413="","",INPUT!O413)</f>
        <v>GARCIA</v>
      </c>
      <c r="F418" t="str">
        <f>IF(INPUT!N413="","",INPUT!N413)</f>
        <v>M</v>
      </c>
      <c r="G418" t="str" cm="1">
        <f t="array" ref="G418">IFERROR(VLOOKUP(INPUT!M413&amp;INPUT!N413,CHOOSE({1,2},INPUT!$A$3:$A$5000&amp;INPUT!$C$3:$C$5000,INPUT!$F$3:$F$5000),2,FALSE),"")</f>
        <v>PRE-TEMPORADA</v>
      </c>
      <c r="H418" t="str" cm="1">
        <f t="array" ref="H418">IFERROR(VLOOKUP(INPUT!M413&amp;INPUT!N413,CHOOSE({1,2},INPUT!$A$3:$A$5000&amp;INPUT!$C$3:$C$5000,INPUT!$D$3:$D$5000),2,FALSE),"")</f>
        <v>TEC-TAC</v>
      </c>
      <c r="I418" s="46">
        <f>IF(INPUT!P413="","",INPUT!P413)</f>
        <v>78.900000000000006</v>
      </c>
      <c r="J418" s="46">
        <f>IF(INPUT!Q413="","",INPUT!Q413)</f>
        <v>79</v>
      </c>
      <c r="K418" s="46">
        <f>IFERROR(IF(OR(INPUT!P413="",INPUT!Q413=""),"",INPUT!P413-INPUT!Q413),"")</f>
        <v>-9.9999999999994316E-2</v>
      </c>
      <c r="L418" s="48">
        <f>IFERROR(IF(OR(INPUT!P413="",INPUT!Q413="",INPUT!P413=0),"",(INPUT!P413-INPUT!Q413)/INPUT!P413),"")</f>
        <v>-1.2674271229403589E-3</v>
      </c>
    </row>
    <row r="419" spans="1:12" ht="18" hidden="1" customHeight="1" x14ac:dyDescent="0.2">
      <c r="A419" s="11">
        <f>IF(INPUT!M414="","",INPUT!M414)</f>
        <v>45896</v>
      </c>
      <c r="B419" s="11">
        <f>IF(INPUT!M414="","",INPUT!M414-WEEKDAY(INPUT!M414,2)+1)</f>
        <v>45894</v>
      </c>
      <c r="C419" s="20">
        <f>IFERROR(_xlfn.ISOWEEKNUM(INPUT!M414),"")</f>
        <v>35</v>
      </c>
      <c r="D419" s="20">
        <f>IFERROR(YEAR(INPUT!M414),"")</f>
        <v>2025</v>
      </c>
      <c r="E419" t="str">
        <f>IF(INPUT!O414="","",INPUT!O414)</f>
        <v>OSCAR</v>
      </c>
      <c r="F419" t="str">
        <f>IF(INPUT!N414="","",INPUT!N414)</f>
        <v>M</v>
      </c>
      <c r="G419" t="str" cm="1">
        <f t="array" ref="G419">IFERROR(VLOOKUP(INPUT!M414&amp;INPUT!N414,CHOOSE({1,2},INPUT!$A$3:$A$5000&amp;INPUT!$C$3:$C$5000,INPUT!$F$3:$F$5000),2,FALSE),"")</f>
        <v>PRE-TEMPORADA</v>
      </c>
      <c r="H419" t="str" cm="1">
        <f t="array" ref="H419">IFERROR(VLOOKUP(INPUT!M414&amp;INPUT!N414,CHOOSE({1,2},INPUT!$A$3:$A$5000&amp;INPUT!$C$3:$C$5000,INPUT!$D$3:$D$5000),2,FALSE),"")</f>
        <v>TEC-TAC</v>
      </c>
      <c r="I419" s="46">
        <f>IF(INPUT!P414="","",INPUT!P414)</f>
        <v>87.9</v>
      </c>
      <c r="J419" s="46">
        <f>IF(INPUT!Q414="","",INPUT!Q414)</f>
        <v>87.2</v>
      </c>
      <c r="K419" s="46">
        <f>IFERROR(IF(OR(INPUT!P414="",INPUT!Q414=""),"",INPUT!P414-INPUT!Q414),"")</f>
        <v>0.70000000000000284</v>
      </c>
      <c r="L419" s="48">
        <f>IFERROR(IF(OR(INPUT!P414="",INPUT!Q414="",INPUT!P414=0),"",(INPUT!P414-INPUT!Q414)/INPUT!P414),"")</f>
        <v>7.9635949943117502E-3</v>
      </c>
    </row>
    <row r="420" spans="1:12" ht="18" hidden="1" customHeight="1" x14ac:dyDescent="0.2">
      <c r="A420" s="11">
        <f>IF(INPUT!M415="","",INPUT!M415)</f>
        <v>45896</v>
      </c>
      <c r="B420" s="11">
        <f>IF(INPUT!M415="","",INPUT!M415-WEEKDAY(INPUT!M415,2)+1)</f>
        <v>45894</v>
      </c>
      <c r="C420" s="20">
        <f>IFERROR(_xlfn.ISOWEEKNUM(INPUT!M415),"")</f>
        <v>35</v>
      </c>
      <c r="D420" s="20">
        <f>IFERROR(YEAR(INPUT!M415),"")</f>
        <v>2025</v>
      </c>
      <c r="E420" t="str">
        <f>IF(INPUT!O415="","",INPUT!O415)</f>
        <v>CECILIO</v>
      </c>
      <c r="F420" t="str">
        <f>IF(INPUT!N415="","",INPUT!N415)</f>
        <v>M</v>
      </c>
      <c r="G420" t="str" cm="1">
        <f t="array" ref="G420">IFERROR(VLOOKUP(INPUT!M415&amp;INPUT!N415,CHOOSE({1,2},INPUT!$A$3:$A$5000&amp;INPUT!$C$3:$C$5000,INPUT!$F$3:$F$5000),2,FALSE),"")</f>
        <v>PRE-TEMPORADA</v>
      </c>
      <c r="H420" t="str" cm="1">
        <f t="array" ref="H420">IFERROR(VLOOKUP(INPUT!M415&amp;INPUT!N415,CHOOSE({1,2},INPUT!$A$3:$A$5000&amp;INPUT!$C$3:$C$5000,INPUT!$D$3:$D$5000),2,FALSE),"")</f>
        <v>TEC-TAC</v>
      </c>
      <c r="I420" s="46">
        <f>IF(INPUT!P415="","",INPUT!P415)</f>
        <v>68.2</v>
      </c>
      <c r="J420" s="46">
        <f>IF(INPUT!Q415="","",INPUT!Q415)</f>
        <v>68</v>
      </c>
      <c r="K420" s="46">
        <f>IFERROR(IF(OR(INPUT!P415="",INPUT!Q415=""),"",INPUT!P415-INPUT!Q415),"")</f>
        <v>0.20000000000000284</v>
      </c>
      <c r="L420" s="48">
        <f>IFERROR(IF(OR(INPUT!P415="",INPUT!Q415="",INPUT!P415=0),"",(INPUT!P415-INPUT!Q415)/INPUT!P415),"")</f>
        <v>2.9325513196481355E-3</v>
      </c>
    </row>
    <row r="421" spans="1:12" ht="18" hidden="1" customHeight="1" x14ac:dyDescent="0.2">
      <c r="A421" s="11">
        <f>IF(INPUT!M416="","",INPUT!M416)</f>
        <v>45896</v>
      </c>
      <c r="B421" s="11">
        <f>IF(INPUT!M416="","",INPUT!M416-WEEKDAY(INPUT!M416,2)+1)</f>
        <v>45894</v>
      </c>
      <c r="C421" s="20">
        <f>IFERROR(_xlfn.ISOWEEKNUM(INPUT!M416),"")</f>
        <v>35</v>
      </c>
      <c r="D421" s="20">
        <f>IFERROR(YEAR(INPUT!M416),"")</f>
        <v>2025</v>
      </c>
      <c r="E421" t="str">
        <f>IF(INPUT!O416="","",INPUT!O416)</f>
        <v>CHAGUINHA</v>
      </c>
      <c r="F421" t="str">
        <f>IF(INPUT!N416="","",INPUT!N416)</f>
        <v>M</v>
      </c>
      <c r="G421" t="str" cm="1">
        <f t="array" ref="G421">IFERROR(VLOOKUP(INPUT!M416&amp;INPUT!N416,CHOOSE({1,2},INPUT!$A$3:$A$5000&amp;INPUT!$C$3:$C$5000,INPUT!$F$3:$F$5000),2,FALSE),"")</f>
        <v>PRE-TEMPORADA</v>
      </c>
      <c r="H421" t="str" cm="1">
        <f t="array" ref="H421">IFERROR(VLOOKUP(INPUT!M416&amp;INPUT!N416,CHOOSE({1,2},INPUT!$A$3:$A$5000&amp;INPUT!$C$3:$C$5000,INPUT!$D$3:$D$5000),2,FALSE),"")</f>
        <v>TEC-TAC</v>
      </c>
      <c r="I421" s="46">
        <f>IF(INPUT!P416="","",INPUT!P416)</f>
        <v>69.400000000000006</v>
      </c>
      <c r="J421" s="46">
        <f>IF(INPUT!Q416="","",INPUT!Q416)</f>
        <v>69</v>
      </c>
      <c r="K421" s="46">
        <f>IFERROR(IF(OR(INPUT!P416="",INPUT!Q416=""),"",INPUT!P416-INPUT!Q416),"")</f>
        <v>0.40000000000000568</v>
      </c>
      <c r="L421" s="48">
        <f>IFERROR(IF(OR(INPUT!P416="",INPUT!Q416="",INPUT!P416=0),"",(INPUT!P416-INPUT!Q416)/INPUT!P416),"")</f>
        <v>5.7636887608069976E-3</v>
      </c>
    </row>
    <row r="422" spans="1:12" ht="18" hidden="1" customHeight="1" x14ac:dyDescent="0.2">
      <c r="A422" s="11">
        <f>IF(INPUT!M417="","",INPUT!M417)</f>
        <v>45896</v>
      </c>
      <c r="B422" s="11">
        <f>IF(INPUT!M417="","",INPUT!M417-WEEKDAY(INPUT!M417,2)+1)</f>
        <v>45894</v>
      </c>
      <c r="C422" s="20">
        <f>IFERROR(_xlfn.ISOWEEKNUM(INPUT!M417),"")</f>
        <v>35</v>
      </c>
      <c r="D422" s="20">
        <f>IFERROR(YEAR(INPUT!M417),"")</f>
        <v>2025</v>
      </c>
      <c r="E422" t="str">
        <f>IF(INPUT!O417="","",INPUT!O417)</f>
        <v>RAUL</v>
      </c>
      <c r="F422" t="str">
        <f>IF(INPUT!N417="","",INPUT!N417)</f>
        <v>M</v>
      </c>
      <c r="G422" t="str" cm="1">
        <f t="array" ref="G422">IFERROR(VLOOKUP(INPUT!M417&amp;INPUT!N417,CHOOSE({1,2},INPUT!$A$3:$A$5000&amp;INPUT!$C$3:$C$5000,INPUT!$F$3:$F$5000),2,FALSE),"")</f>
        <v>PRE-TEMPORADA</v>
      </c>
      <c r="H422" t="str" cm="1">
        <f t="array" ref="H422">IFERROR(VLOOKUP(INPUT!M417&amp;INPUT!N417,CHOOSE({1,2},INPUT!$A$3:$A$5000&amp;INPUT!$C$3:$C$5000,INPUT!$D$3:$D$5000),2,FALSE),"")</f>
        <v>TEC-TAC</v>
      </c>
      <c r="I422" s="46">
        <f>IF(INPUT!P417="","",INPUT!P417)</f>
        <v>80.3</v>
      </c>
      <c r="J422" s="46">
        <f>IF(INPUT!Q417="","",INPUT!Q417)</f>
        <v>80.5</v>
      </c>
      <c r="K422" s="46">
        <f>IFERROR(IF(OR(INPUT!P417="",INPUT!Q417=""),"",INPUT!P417-INPUT!Q417),"")</f>
        <v>-0.20000000000000284</v>
      </c>
      <c r="L422" s="48">
        <f>IFERROR(IF(OR(INPUT!P417="",INPUT!Q417="",INPUT!P417=0),"",(INPUT!P417-INPUT!Q417)/INPUT!P417),"")</f>
        <v>-2.4906600249066358E-3</v>
      </c>
    </row>
    <row r="423" spans="1:12" ht="18" customHeight="1" x14ac:dyDescent="0.2">
      <c r="A423" s="11">
        <f>IF(INPUT!M418="","",INPUT!M418)</f>
        <v>45896</v>
      </c>
      <c r="B423" s="11">
        <f>IF(INPUT!M418="","",INPUT!M418-WEEKDAY(INPUT!M418,2)+1)</f>
        <v>45894</v>
      </c>
      <c r="C423" s="20">
        <f>IFERROR(_xlfn.ISOWEEKNUM(INPUT!M418),"")</f>
        <v>35</v>
      </c>
      <c r="D423" s="20">
        <f>IFERROR(YEAR(INPUT!M418),"")</f>
        <v>2025</v>
      </c>
      <c r="E423" t="str">
        <f>IF(INPUT!O418="","",INPUT!O418)</f>
        <v>HARRISON</v>
      </c>
      <c r="F423" t="str">
        <f>IF(INPUT!N418="","",INPUT!N418)</f>
        <v>M</v>
      </c>
      <c r="G423" t="str" cm="1">
        <f t="array" ref="G423">IFERROR(VLOOKUP(INPUT!M418&amp;INPUT!N418,CHOOSE({1,2},INPUT!$A$3:$A$5000&amp;INPUT!$C$3:$C$5000,INPUT!$F$3:$F$5000),2,FALSE),"")</f>
        <v>PRE-TEMPORADA</v>
      </c>
      <c r="H423" t="str" cm="1">
        <f t="array" ref="H423">IFERROR(VLOOKUP(INPUT!M418&amp;INPUT!N418,CHOOSE({1,2},INPUT!$A$3:$A$5000&amp;INPUT!$C$3:$C$5000,INPUT!$D$3:$D$5000),2,FALSE),"")</f>
        <v>TEC-TAC</v>
      </c>
      <c r="I423" s="46">
        <f>IF(INPUT!P418="","",INPUT!P418)</f>
        <v>71.7</v>
      </c>
      <c r="J423" s="46">
        <f>IF(INPUT!Q418="","",INPUT!Q418)</f>
        <v>71</v>
      </c>
      <c r="K423" s="46">
        <f>IFERROR(IF(OR(INPUT!P418="",INPUT!Q418=""),"",INPUT!P418-INPUT!Q418),"")</f>
        <v>0.70000000000000284</v>
      </c>
      <c r="L423" s="48">
        <f>IFERROR(IF(OR(INPUT!P418="",INPUT!Q418="",INPUT!P418=0),"",(INPUT!P418-INPUT!Q418)/INPUT!P418),"")</f>
        <v>9.762900976290137E-3</v>
      </c>
    </row>
    <row r="424" spans="1:12" ht="18" customHeight="1" x14ac:dyDescent="0.2">
      <c r="A424" s="11">
        <f>IF(INPUT!M419="","",INPUT!M419)</f>
        <v>45896</v>
      </c>
      <c r="B424" s="11">
        <f>IF(INPUT!M419="","",INPUT!M419-WEEKDAY(INPUT!M419,2)+1)</f>
        <v>45894</v>
      </c>
      <c r="C424" s="20">
        <f>IFERROR(_xlfn.ISOWEEKNUM(INPUT!M419),"")</f>
        <v>35</v>
      </c>
      <c r="D424" s="20">
        <f>IFERROR(YEAR(INPUT!M419),"")</f>
        <v>2025</v>
      </c>
      <c r="E424" t="str">
        <f>IF(INPUT!O419="","",INPUT!O419)</f>
        <v>RAYA</v>
      </c>
      <c r="F424" t="str">
        <f>IF(INPUT!N419="","",INPUT!N419)</f>
        <v>M</v>
      </c>
      <c r="G424" t="str" cm="1">
        <f t="array" ref="G424">IFERROR(VLOOKUP(INPUT!M419&amp;INPUT!N419,CHOOSE({1,2},INPUT!$A$3:$A$5000&amp;INPUT!$C$3:$C$5000,INPUT!$F$3:$F$5000),2,FALSE),"")</f>
        <v>PRE-TEMPORADA</v>
      </c>
      <c r="H424" t="str" cm="1">
        <f t="array" ref="H424">IFERROR(VLOOKUP(INPUT!M419&amp;INPUT!N419,CHOOSE({1,2},INPUT!$A$3:$A$5000&amp;INPUT!$C$3:$C$5000,INPUT!$D$3:$D$5000),2,FALSE),"")</f>
        <v>TEC-TAC</v>
      </c>
      <c r="I424" s="46">
        <f>IF(INPUT!P419="","",INPUT!P419)</f>
        <v>82.1</v>
      </c>
      <c r="J424" s="46">
        <f>IF(INPUT!Q419="","",INPUT!Q419)</f>
        <v>81</v>
      </c>
      <c r="K424" s="46">
        <f>IFERROR(IF(OR(INPUT!P419="",INPUT!Q419=""),"",INPUT!P419-INPUT!Q419),"")</f>
        <v>1.0999999999999943</v>
      </c>
      <c r="L424" s="48">
        <f>IFERROR(IF(OR(INPUT!P419="",INPUT!Q419="",INPUT!P419=0),"",(INPUT!P419-INPUT!Q419)/INPUT!P419),"")</f>
        <v>1.3398294762484707E-2</v>
      </c>
    </row>
    <row r="425" spans="1:12" ht="18" customHeight="1" x14ac:dyDescent="0.2">
      <c r="A425" s="11">
        <f>IF(INPUT!M420="","",INPUT!M420)</f>
        <v>45896</v>
      </c>
      <c r="B425" s="11">
        <f>IF(INPUT!M420="","",INPUT!M420-WEEKDAY(INPUT!M420,2)+1)</f>
        <v>45894</v>
      </c>
      <c r="C425" s="20">
        <f>IFERROR(_xlfn.ISOWEEKNUM(INPUT!M420),"")</f>
        <v>35</v>
      </c>
      <c r="D425" s="20">
        <f>IFERROR(YEAR(INPUT!M420),"")</f>
        <v>2025</v>
      </c>
      <c r="E425" t="str">
        <f>IF(INPUT!O420="","",INPUT!O420)</f>
        <v>JAVI</v>
      </c>
      <c r="F425" t="str">
        <f>IF(INPUT!N420="","",INPUT!N420)</f>
        <v>M</v>
      </c>
      <c r="G425" t="str" cm="1">
        <f t="array" ref="G425">IFERROR(VLOOKUP(INPUT!M420&amp;INPUT!N420,CHOOSE({1,2},INPUT!$A$3:$A$5000&amp;INPUT!$C$3:$C$5000,INPUT!$F$3:$F$5000),2,FALSE),"")</f>
        <v>PRE-TEMPORADA</v>
      </c>
      <c r="H425" t="str" cm="1">
        <f t="array" ref="H425">IFERROR(VLOOKUP(INPUT!M420&amp;INPUT!N420,CHOOSE({1,2},INPUT!$A$3:$A$5000&amp;INPUT!$C$3:$C$5000,INPUT!$D$3:$D$5000),2,FALSE),"")</f>
        <v>TEC-TAC</v>
      </c>
      <c r="I425" s="46">
        <f>IF(INPUT!P420="","",INPUT!P420)</f>
        <v>79.599999999999994</v>
      </c>
      <c r="J425" s="46">
        <f>IF(INPUT!Q420="","",INPUT!Q420)</f>
        <v>80.2</v>
      </c>
      <c r="K425" s="46">
        <f>IFERROR(IF(OR(INPUT!P420="",INPUT!Q420=""),"",INPUT!P420-INPUT!Q420),"")</f>
        <v>-0.60000000000000853</v>
      </c>
      <c r="L425" s="48">
        <f>IFERROR(IF(OR(INPUT!P420="",INPUT!Q420="",INPUT!P420=0),"",(INPUT!P420-INPUT!Q420)/INPUT!P420),"")</f>
        <v>-7.5376884422111625E-3</v>
      </c>
    </row>
    <row r="426" spans="1:12" ht="18" customHeight="1" x14ac:dyDescent="0.2">
      <c r="A426" s="11">
        <f>IF(INPUT!M421="","",INPUT!M421)</f>
        <v>45896</v>
      </c>
      <c r="B426" s="11">
        <f>IF(INPUT!M421="","",INPUT!M421-WEEKDAY(INPUT!M421,2)+1)</f>
        <v>45894</v>
      </c>
      <c r="C426" s="20">
        <f>IFERROR(_xlfn.ISOWEEKNUM(INPUT!M421),"")</f>
        <v>35</v>
      </c>
      <c r="D426" s="20">
        <f>IFERROR(YEAR(INPUT!M421),"")</f>
        <v>2025</v>
      </c>
      <c r="E426" t="str">
        <f>IF(INPUT!O421="","",INPUT!O421)</f>
        <v>PANI</v>
      </c>
      <c r="F426" t="str">
        <f>IF(INPUT!N421="","",INPUT!N421)</f>
        <v>M</v>
      </c>
      <c r="G426" t="str" cm="1">
        <f t="array" ref="G426">IFERROR(VLOOKUP(INPUT!M421&amp;INPUT!N421,CHOOSE({1,2},INPUT!$A$3:$A$5000&amp;INPUT!$C$3:$C$5000,INPUT!$F$3:$F$5000),2,FALSE),"")</f>
        <v>PRE-TEMPORADA</v>
      </c>
      <c r="H426" t="str" cm="1">
        <f t="array" ref="H426">IFERROR(VLOOKUP(INPUT!M421&amp;INPUT!N421,CHOOSE({1,2},INPUT!$A$3:$A$5000&amp;INPUT!$C$3:$C$5000,INPUT!$D$3:$D$5000),2,FALSE),"")</f>
        <v>TEC-TAC</v>
      </c>
      <c r="I426" s="46">
        <f>IF(INPUT!P421="","",INPUT!P421)</f>
        <v>70.400000000000006</v>
      </c>
      <c r="J426" s="46">
        <f>IF(INPUT!Q421="","",INPUT!Q421)</f>
        <v>70</v>
      </c>
      <c r="K426" s="46">
        <f>IFERROR(IF(OR(INPUT!P421="",INPUT!Q421=""),"",INPUT!P421-INPUT!Q421),"")</f>
        <v>0.40000000000000568</v>
      </c>
      <c r="L426" s="48">
        <f>IFERROR(IF(OR(INPUT!P421="",INPUT!Q421="",INPUT!P421=0),"",(INPUT!P421-INPUT!Q421)/INPUT!P421),"")</f>
        <v>5.6818181818182618E-3</v>
      </c>
    </row>
    <row r="427" spans="1:12" ht="18" hidden="1" customHeight="1" x14ac:dyDescent="0.2">
      <c r="A427" s="11">
        <f>IF(INPUT!M422="","",INPUT!M422)</f>
        <v>45896</v>
      </c>
      <c r="B427" s="11">
        <f>IF(INPUT!M422="","",INPUT!M422-WEEKDAY(INPUT!M422,2)+1)</f>
        <v>45894</v>
      </c>
      <c r="C427" s="20">
        <f>IFERROR(_xlfn.ISOWEEKNUM(INPUT!M422),"")</f>
        <v>35</v>
      </c>
      <c r="D427" s="20">
        <f>IFERROR(YEAR(INPUT!M422),"")</f>
        <v>2025</v>
      </c>
      <c r="E427" t="str">
        <f>IF(INPUT!O422="","",INPUT!O422)</f>
        <v>PIRATA</v>
      </c>
      <c r="F427" t="str">
        <f>IF(INPUT!N422="","",INPUT!N422)</f>
        <v>M</v>
      </c>
      <c r="G427" t="str" cm="1">
        <f t="array" ref="G427">IFERROR(VLOOKUP(INPUT!M422&amp;INPUT!N422,CHOOSE({1,2},INPUT!$A$3:$A$5000&amp;INPUT!$C$3:$C$5000,INPUT!$F$3:$F$5000),2,FALSE),"")</f>
        <v>PRE-TEMPORADA</v>
      </c>
      <c r="H427" t="str" cm="1">
        <f t="array" ref="H427">IFERROR(VLOOKUP(INPUT!M422&amp;INPUT!N422,CHOOSE({1,2},INPUT!$A$3:$A$5000&amp;INPUT!$C$3:$C$5000,INPUT!$D$3:$D$5000),2,FALSE),"")</f>
        <v>TEC-TAC</v>
      </c>
      <c r="I427" s="46">
        <f>IF(INPUT!P422="","",INPUT!P422)</f>
        <v>74.900000000000006</v>
      </c>
      <c r="J427" s="46">
        <f>IF(INPUT!Q422="","",INPUT!Q422)</f>
        <v>74.7</v>
      </c>
      <c r="K427" s="46">
        <f>IFERROR(IF(OR(INPUT!P422="",INPUT!Q422=""),"",INPUT!P422-INPUT!Q422),"")</f>
        <v>0.20000000000000284</v>
      </c>
      <c r="L427" s="48">
        <f>IFERROR(IF(OR(INPUT!P422="",INPUT!Q422="",INPUT!P422=0),"",(INPUT!P422-INPUT!Q422)/INPUT!P422),"")</f>
        <v>2.6702269692924275E-3</v>
      </c>
    </row>
    <row r="428" spans="1:12" ht="18" hidden="1" customHeight="1" x14ac:dyDescent="0.2">
      <c r="A428" s="11">
        <f>IF(INPUT!M423="","",INPUT!M423)</f>
        <v>45896</v>
      </c>
      <c r="B428" s="11">
        <f>IF(INPUT!M423="","",INPUT!M423-WEEKDAY(INPUT!M423,2)+1)</f>
        <v>45894</v>
      </c>
      <c r="C428" s="20">
        <f>IFERROR(_xlfn.ISOWEEKNUM(INPUT!M423),"")</f>
        <v>35</v>
      </c>
      <c r="D428" s="20">
        <f>IFERROR(YEAR(INPUT!M423),"")</f>
        <v>2025</v>
      </c>
      <c r="E428" t="str">
        <f>IF(INPUT!O423="","",INPUT!O423)</f>
        <v>BARONA</v>
      </c>
      <c r="F428" t="str">
        <f>IF(INPUT!N423="","",INPUT!N423)</f>
        <v>M</v>
      </c>
      <c r="G428" t="str" cm="1">
        <f t="array" ref="G428">IFERROR(VLOOKUP(INPUT!M423&amp;INPUT!N423,CHOOSE({1,2},INPUT!$A$3:$A$5000&amp;INPUT!$C$3:$C$5000,INPUT!$F$3:$F$5000),2,FALSE),"")</f>
        <v>PRE-TEMPORADA</v>
      </c>
      <c r="H428" t="str" cm="1">
        <f t="array" ref="H428">IFERROR(VLOOKUP(INPUT!M423&amp;INPUT!N423,CHOOSE({1,2},INPUT!$A$3:$A$5000&amp;INPUT!$C$3:$C$5000,INPUT!$D$3:$D$5000),2,FALSE),"")</f>
        <v>TEC-TAC</v>
      </c>
      <c r="I428" s="46">
        <f>IF(INPUT!P423="","",INPUT!P423)</f>
        <v>70</v>
      </c>
      <c r="J428" s="46">
        <f>IF(INPUT!Q423="","",INPUT!Q423)</f>
        <v>70</v>
      </c>
      <c r="K428" s="46">
        <f>IFERROR(IF(OR(INPUT!P423="",INPUT!Q423=""),"",INPUT!P423-INPUT!Q423),"")</f>
        <v>0</v>
      </c>
      <c r="L428" s="48">
        <f>IFERROR(IF(OR(INPUT!P423="",INPUT!Q423="",INPUT!P423=0),"",(INPUT!P423-INPUT!Q423)/INPUT!P423),"")</f>
        <v>0</v>
      </c>
    </row>
    <row r="429" spans="1:12" ht="18" hidden="1" customHeight="1" x14ac:dyDescent="0.2">
      <c r="A429" s="11">
        <f>IF(INPUT!M424="","",INPUT!M424)</f>
        <v>45896</v>
      </c>
      <c r="B429" s="11">
        <f>IF(INPUT!M424="","",INPUT!M424-WEEKDAY(INPUT!M424,2)+1)</f>
        <v>45894</v>
      </c>
      <c r="C429" s="20">
        <f>IFERROR(_xlfn.ISOWEEKNUM(INPUT!M424),"")</f>
        <v>35</v>
      </c>
      <c r="D429" s="20">
        <f>IFERROR(YEAR(INPUT!M424),"")</f>
        <v>2025</v>
      </c>
      <c r="E429" t="str">
        <f>IF(INPUT!O424="","",INPUT!O424)</f>
        <v>CARLOS</v>
      </c>
      <c r="F429" t="str">
        <f>IF(INPUT!N424="","",INPUT!N424)</f>
        <v>M</v>
      </c>
      <c r="G429" t="str" cm="1">
        <f t="array" ref="G429">IFERROR(VLOOKUP(INPUT!M424&amp;INPUT!N424,CHOOSE({1,2},INPUT!$A$3:$A$5000&amp;INPUT!$C$3:$C$5000,INPUT!$F$3:$F$5000),2,FALSE),"")</f>
        <v>PRE-TEMPORADA</v>
      </c>
      <c r="H429" t="str" cm="1">
        <f t="array" ref="H429">IFERROR(VLOOKUP(INPUT!M424&amp;INPUT!N424,CHOOSE({1,2},INPUT!$A$3:$A$5000&amp;INPUT!$C$3:$C$5000,INPUT!$D$3:$D$5000),2,FALSE),"")</f>
        <v>TEC-TAC</v>
      </c>
      <c r="I429" s="46">
        <f>IF(INPUT!P424="","",INPUT!P424)</f>
        <v>67.099999999999994</v>
      </c>
      <c r="J429" s="46">
        <f>IF(INPUT!Q424="","",INPUT!Q424)</f>
        <v>66.900000000000006</v>
      </c>
      <c r="K429" s="46">
        <f>IFERROR(IF(OR(INPUT!P424="",INPUT!Q424=""),"",INPUT!P424-INPUT!Q424),"")</f>
        <v>0.19999999999998863</v>
      </c>
      <c r="L429" s="48">
        <f>IFERROR(IF(OR(INPUT!P424="",INPUT!Q424="",INPUT!P424=0),"",(INPUT!P424-INPUT!Q424)/INPUT!P424),"")</f>
        <v>2.9806259314454344E-3</v>
      </c>
    </row>
    <row r="430" spans="1:12" ht="18" hidden="1" customHeight="1" x14ac:dyDescent="0.2">
      <c r="A430" s="11">
        <f>IF(INPUT!M425="","",INPUT!M425)</f>
        <v>45896</v>
      </c>
      <c r="B430" s="11">
        <f>IF(INPUT!M425="","",INPUT!M425-WEEKDAY(INPUT!M425,2)+1)</f>
        <v>45894</v>
      </c>
      <c r="C430" s="20">
        <f>IFERROR(_xlfn.ISOWEEKNUM(INPUT!M425),"")</f>
        <v>35</v>
      </c>
      <c r="D430" s="20">
        <f>IFERROR(YEAR(INPUT!M425),"")</f>
        <v>2025</v>
      </c>
      <c r="E430" t="str">
        <f>IF(INPUT!O425="","",INPUT!O425)</f>
        <v>GONZALO</v>
      </c>
      <c r="F430" t="str">
        <f>IF(INPUT!N425="","",INPUT!N425)</f>
        <v>M</v>
      </c>
      <c r="G430" t="str" cm="1">
        <f t="array" ref="G430">IFERROR(VLOOKUP(INPUT!M425&amp;INPUT!N425,CHOOSE({1,2},INPUT!$A$3:$A$5000&amp;INPUT!$C$3:$C$5000,INPUT!$F$3:$F$5000),2,FALSE),"")</f>
        <v>PRE-TEMPORADA</v>
      </c>
      <c r="H430" t="str" cm="1">
        <f t="array" ref="H430">IFERROR(VLOOKUP(INPUT!M425&amp;INPUT!N425,CHOOSE({1,2},INPUT!$A$3:$A$5000&amp;INPUT!$C$3:$C$5000,INPUT!$D$3:$D$5000),2,FALSE),"")</f>
        <v>TEC-TAC</v>
      </c>
      <c r="I430" s="46">
        <f>IF(INPUT!P425="","",INPUT!P425)</f>
        <v>84.9</v>
      </c>
      <c r="J430" s="46">
        <f>IF(INPUT!Q425="","",INPUT!Q425)</f>
        <v>85.4</v>
      </c>
      <c r="K430" s="46">
        <f>IFERROR(IF(OR(INPUT!P425="",INPUT!Q425=""),"",INPUT!P425-INPUT!Q425),"")</f>
        <v>-0.5</v>
      </c>
      <c r="L430" s="48">
        <f>IFERROR(IF(OR(INPUT!P425="",INPUT!Q425="",INPUT!P425=0),"",(INPUT!P425-INPUT!Q425)/INPUT!P425),"")</f>
        <v>-5.8892815076560653E-3</v>
      </c>
    </row>
    <row r="431" spans="1:12" ht="18" hidden="1" customHeight="1" x14ac:dyDescent="0.2">
      <c r="A431" s="11">
        <f>IF(INPUT!M426="","",INPUT!M426)</f>
        <v>45896</v>
      </c>
      <c r="B431" s="11">
        <f>IF(INPUT!M426="","",INPUT!M426-WEEKDAY(INPUT!M426,2)+1)</f>
        <v>45894</v>
      </c>
      <c r="C431" s="20">
        <f>IFERROR(_xlfn.ISOWEEKNUM(INPUT!M426),"")</f>
        <v>35</v>
      </c>
      <c r="D431" s="20">
        <f>IFERROR(YEAR(INPUT!M426),"")</f>
        <v>2025</v>
      </c>
      <c r="E431" t="str">
        <f>IF(INPUT!O426="","",INPUT!O426)</f>
        <v>RUBIO</v>
      </c>
      <c r="F431" t="str">
        <f>IF(INPUT!N426="","",INPUT!N426)</f>
        <v>M</v>
      </c>
      <c r="G431" t="str" cm="1">
        <f t="array" ref="G431">IFERROR(VLOOKUP(INPUT!M426&amp;INPUT!N426,CHOOSE({1,2},INPUT!$A$3:$A$5000&amp;INPUT!$C$3:$C$5000,INPUT!$F$3:$F$5000),2,FALSE),"")</f>
        <v>PRE-TEMPORADA</v>
      </c>
      <c r="H431" t="str" cm="1">
        <f t="array" ref="H431">IFERROR(VLOOKUP(INPUT!M426&amp;INPUT!N426,CHOOSE({1,2},INPUT!$A$3:$A$5000&amp;INPUT!$C$3:$C$5000,INPUT!$D$3:$D$5000),2,FALSE),"")</f>
        <v>TEC-TAC</v>
      </c>
      <c r="I431" s="46">
        <f>IF(INPUT!P426="","",INPUT!P426)</f>
        <v>74.7</v>
      </c>
      <c r="J431" s="46">
        <f>IF(INPUT!Q426="","",INPUT!Q426)</f>
        <v>74.599999999999994</v>
      </c>
      <c r="K431" s="46">
        <f>IFERROR(IF(OR(INPUT!P426="",INPUT!Q426=""),"",INPUT!P426-INPUT!Q426),"")</f>
        <v>0.10000000000000853</v>
      </c>
      <c r="L431" s="48">
        <f>IFERROR(IF(OR(INPUT!P426="",INPUT!Q426="",INPUT!P426=0),"",(INPUT!P426-INPUT!Q426)/INPUT!P426),"")</f>
        <v>1.3386880856761515E-3</v>
      </c>
    </row>
    <row r="432" spans="1:12" ht="18" hidden="1" customHeight="1" x14ac:dyDescent="0.2">
      <c r="A432" s="11">
        <f>IF(INPUT!M427="","",INPUT!M427)</f>
        <v>45896</v>
      </c>
      <c r="B432" s="11">
        <f>IF(INPUT!M427="","",INPUT!M427-WEEKDAY(INPUT!M427,2)+1)</f>
        <v>45894</v>
      </c>
      <c r="C432" s="20">
        <f>IFERROR(_xlfn.ISOWEEKNUM(INPUT!M427),"")</f>
        <v>35</v>
      </c>
      <c r="D432" s="20">
        <f>IFERROR(YEAR(INPUT!M427),"")</f>
        <v>2025</v>
      </c>
      <c r="E432" t="str">
        <f>IF(INPUT!O427="","",INPUT!O427)</f>
        <v>DANI</v>
      </c>
      <c r="F432" t="str">
        <f>IF(INPUT!N427="","",INPUT!N427)</f>
        <v>M</v>
      </c>
      <c r="G432" t="str" cm="1">
        <f t="array" ref="G432">IFERROR(VLOOKUP(INPUT!M427&amp;INPUT!N427,CHOOSE({1,2},INPUT!$A$3:$A$5000&amp;INPUT!$C$3:$C$5000,INPUT!$F$3:$F$5000),2,FALSE),"")</f>
        <v>PRE-TEMPORADA</v>
      </c>
      <c r="H432" t="str" cm="1">
        <f t="array" ref="H432">IFERROR(VLOOKUP(INPUT!M427&amp;INPUT!N427,CHOOSE({1,2},INPUT!$A$3:$A$5000&amp;INPUT!$C$3:$C$5000,INPUT!$D$3:$D$5000),2,FALSE),"")</f>
        <v>TEC-TAC</v>
      </c>
      <c r="I432" s="46">
        <f>IF(INPUT!P427="","",INPUT!P427)</f>
        <v>93</v>
      </c>
      <c r="J432" s="46">
        <f>IF(INPUT!Q427="","",INPUT!Q427)</f>
        <v>92.2</v>
      </c>
      <c r="K432" s="46">
        <f>IFERROR(IF(OR(INPUT!P427="",INPUT!Q427=""),"",INPUT!P427-INPUT!Q427),"")</f>
        <v>0.79999999999999716</v>
      </c>
      <c r="L432" s="48">
        <f>IFERROR(IF(OR(INPUT!P427="",INPUT!Q427="",INPUT!P427=0),"",(INPUT!P427-INPUT!Q427)/INPUT!P427),"")</f>
        <v>8.6021505376343774E-3</v>
      </c>
    </row>
    <row r="433" spans="1:12" ht="18" hidden="1" customHeight="1" x14ac:dyDescent="0.2">
      <c r="A433" s="11">
        <f>IF(INPUT!M428="","",INPUT!M428)</f>
        <v>45897</v>
      </c>
      <c r="B433" s="11">
        <f>IF(INPUT!M428="","",INPUT!M428-WEEKDAY(INPUT!M428,2)+1)</f>
        <v>45894</v>
      </c>
      <c r="C433" s="20">
        <f>IFERROR(_xlfn.ISOWEEKNUM(INPUT!M428),"")</f>
        <v>35</v>
      </c>
      <c r="D433" s="20">
        <f>IFERROR(YEAR(INPUT!M428),"")</f>
        <v>2025</v>
      </c>
      <c r="E433" t="str">
        <f>IF(INPUT!O428="","",INPUT!O428)</f>
        <v>HERRERO</v>
      </c>
      <c r="F433" t="str">
        <f>IF(INPUT!N428="","",INPUT!N428)</f>
        <v>M</v>
      </c>
      <c r="G433" t="str" cm="1">
        <f t="array" ref="G433">IFERROR(VLOOKUP(INPUT!M428&amp;INPUT!N428,CHOOSE({1,2},INPUT!$A$3:$A$5000&amp;INPUT!$C$3:$C$5000,INPUT!$F$3:$F$5000),2,FALSE),"")</f>
        <v>PRE-TEMPORADA</v>
      </c>
      <c r="H433" t="str" cm="1">
        <f t="array" ref="H433">IFERROR(VLOOKUP(INPUT!M428&amp;INPUT!N428,CHOOSE({1,2},INPUT!$A$3:$A$5000&amp;INPUT!$C$3:$C$5000,INPUT!$D$3:$D$5000),2,FALSE),"")</f>
        <v>GYM+TEC-TAC</v>
      </c>
      <c r="I433" s="46">
        <f>IF(INPUT!P428="","",INPUT!P428)</f>
        <v>76.8</v>
      </c>
      <c r="J433" s="46">
        <f>IF(INPUT!Q428="","",INPUT!Q428)</f>
        <v>76</v>
      </c>
      <c r="K433" s="46">
        <f>IFERROR(IF(OR(INPUT!P428="",INPUT!Q428=""),"",INPUT!P428-INPUT!Q428),"")</f>
        <v>0.79999999999999716</v>
      </c>
      <c r="L433" s="48">
        <f>IFERROR(IF(OR(INPUT!P428="",INPUT!Q428="",INPUT!P428=0),"",(INPUT!P428-INPUT!Q428)/INPUT!P428),"")</f>
        <v>1.041666666666663E-2</v>
      </c>
    </row>
    <row r="434" spans="1:12" ht="18" hidden="1" customHeight="1" x14ac:dyDescent="0.2">
      <c r="A434" s="11">
        <f>IF(INPUT!M429="","",INPUT!M429)</f>
        <v>45897</v>
      </c>
      <c r="B434" s="11">
        <f>IF(INPUT!M429="","",INPUT!M429-WEEKDAY(INPUT!M429,2)+1)</f>
        <v>45894</v>
      </c>
      <c r="C434" s="20">
        <f>IFERROR(_xlfn.ISOWEEKNUM(INPUT!M429),"")</f>
        <v>35</v>
      </c>
      <c r="D434" s="20">
        <f>IFERROR(YEAR(INPUT!M429),"")</f>
        <v>2025</v>
      </c>
      <c r="E434" t="str">
        <f>IF(INPUT!O429="","",INPUT!O429)</f>
        <v>GARCIA</v>
      </c>
      <c r="F434" t="str">
        <f>IF(INPUT!N429="","",INPUT!N429)</f>
        <v>M</v>
      </c>
      <c r="G434" t="str" cm="1">
        <f t="array" ref="G434">IFERROR(VLOOKUP(INPUT!M429&amp;INPUT!N429,CHOOSE({1,2},INPUT!$A$3:$A$5000&amp;INPUT!$C$3:$C$5000,INPUT!$F$3:$F$5000),2,FALSE),"")</f>
        <v>PRE-TEMPORADA</v>
      </c>
      <c r="H434" t="str" cm="1">
        <f t="array" ref="H434">IFERROR(VLOOKUP(INPUT!M429&amp;INPUT!N429,CHOOSE({1,2},INPUT!$A$3:$A$5000&amp;INPUT!$C$3:$C$5000,INPUT!$D$3:$D$5000),2,FALSE),"")</f>
        <v>GYM+TEC-TAC</v>
      </c>
      <c r="I434" s="46">
        <f>IF(INPUT!P429="","",INPUT!P429)</f>
        <v>79</v>
      </c>
      <c r="J434" s="46">
        <f>IF(INPUT!Q429="","",INPUT!Q429)</f>
        <v>78.599999999999994</v>
      </c>
      <c r="K434" s="46">
        <f>IFERROR(IF(OR(INPUT!P429="",INPUT!Q429=""),"",INPUT!P429-INPUT!Q429),"")</f>
        <v>0.40000000000000568</v>
      </c>
      <c r="L434" s="48">
        <f>IFERROR(IF(OR(INPUT!P429="",INPUT!Q429="",INPUT!P429=0),"",(INPUT!P429-INPUT!Q429)/INPUT!P429),"")</f>
        <v>5.0632911392405784E-3</v>
      </c>
    </row>
    <row r="435" spans="1:12" ht="18" hidden="1" customHeight="1" x14ac:dyDescent="0.2">
      <c r="A435" s="11">
        <f>IF(INPUT!M430="","",INPUT!M430)</f>
        <v>45897</v>
      </c>
      <c r="B435" s="11">
        <f>IF(INPUT!M430="","",INPUT!M430-WEEKDAY(INPUT!M430,2)+1)</f>
        <v>45894</v>
      </c>
      <c r="C435" s="20">
        <f>IFERROR(_xlfn.ISOWEEKNUM(INPUT!M430),"")</f>
        <v>35</v>
      </c>
      <c r="D435" s="20">
        <f>IFERROR(YEAR(INPUT!M430),"")</f>
        <v>2025</v>
      </c>
      <c r="E435" t="str">
        <f>IF(INPUT!O430="","",INPUT!O430)</f>
        <v>CECILIO</v>
      </c>
      <c r="F435" t="str">
        <f>IF(INPUT!N430="","",INPUT!N430)</f>
        <v>M</v>
      </c>
      <c r="G435" t="str" cm="1">
        <f t="array" ref="G435">IFERROR(VLOOKUP(INPUT!M430&amp;INPUT!N430,CHOOSE({1,2},INPUT!$A$3:$A$5000&amp;INPUT!$C$3:$C$5000,INPUT!$F$3:$F$5000),2,FALSE),"")</f>
        <v>PRE-TEMPORADA</v>
      </c>
      <c r="H435" t="str" cm="1">
        <f t="array" ref="H435">IFERROR(VLOOKUP(INPUT!M430&amp;INPUT!N430,CHOOSE({1,2},INPUT!$A$3:$A$5000&amp;INPUT!$C$3:$C$5000,INPUT!$D$3:$D$5000),2,FALSE),"")</f>
        <v>GYM+TEC-TAC</v>
      </c>
      <c r="I435" s="46">
        <f>IF(INPUT!P430="","",INPUT!P430)</f>
        <v>68</v>
      </c>
      <c r="J435" s="46">
        <f>IF(INPUT!Q430="","",INPUT!Q430)</f>
        <v>67.3</v>
      </c>
      <c r="K435" s="46">
        <f>IFERROR(IF(OR(INPUT!P430="",INPUT!Q430=""),"",INPUT!P430-INPUT!Q430),"")</f>
        <v>0.70000000000000284</v>
      </c>
      <c r="L435" s="48">
        <f>IFERROR(IF(OR(INPUT!P430="",INPUT!Q430="",INPUT!P430=0),"",(INPUT!P430-INPUT!Q430)/INPUT!P430),"")</f>
        <v>1.0294117647058865E-2</v>
      </c>
    </row>
    <row r="436" spans="1:12" ht="18" hidden="1" customHeight="1" x14ac:dyDescent="0.2">
      <c r="A436" s="11">
        <f>IF(INPUT!M431="","",INPUT!M431)</f>
        <v>45897</v>
      </c>
      <c r="B436" s="11">
        <f>IF(INPUT!M431="","",INPUT!M431-WEEKDAY(INPUT!M431,2)+1)</f>
        <v>45894</v>
      </c>
      <c r="C436" s="20">
        <f>IFERROR(_xlfn.ISOWEEKNUM(INPUT!M431),"")</f>
        <v>35</v>
      </c>
      <c r="D436" s="20">
        <f>IFERROR(YEAR(INPUT!M431),"")</f>
        <v>2025</v>
      </c>
      <c r="E436" t="str">
        <f>IF(INPUT!O431="","",INPUT!O431)</f>
        <v>CHAGUINHA</v>
      </c>
      <c r="F436" t="str">
        <f>IF(INPUT!N431="","",INPUT!N431)</f>
        <v>M</v>
      </c>
      <c r="G436" t="str" cm="1">
        <f t="array" ref="G436">IFERROR(VLOOKUP(INPUT!M431&amp;INPUT!N431,CHOOSE({1,2},INPUT!$A$3:$A$5000&amp;INPUT!$C$3:$C$5000,INPUT!$F$3:$F$5000),2,FALSE),"")</f>
        <v>PRE-TEMPORADA</v>
      </c>
      <c r="H436" t="str" cm="1">
        <f t="array" ref="H436">IFERROR(VLOOKUP(INPUT!M431&amp;INPUT!N431,CHOOSE({1,2},INPUT!$A$3:$A$5000&amp;INPUT!$C$3:$C$5000,INPUT!$D$3:$D$5000),2,FALSE),"")</f>
        <v>GYM+TEC-TAC</v>
      </c>
      <c r="I436" s="46">
        <f>IF(INPUT!P431="","",INPUT!P431)</f>
        <v>69.5</v>
      </c>
      <c r="J436" s="46">
        <f>IF(INPUT!Q431="","",INPUT!Q431)</f>
        <v>68.8</v>
      </c>
      <c r="K436" s="46">
        <f>IFERROR(IF(OR(INPUT!P431="",INPUT!Q431=""),"",INPUT!P431-INPUT!Q431),"")</f>
        <v>0.70000000000000284</v>
      </c>
      <c r="L436" s="48">
        <f>IFERROR(IF(OR(INPUT!P431="",INPUT!Q431="",INPUT!P431=0),"",(INPUT!P431-INPUT!Q431)/INPUT!P431),"")</f>
        <v>1.0071942446043206E-2</v>
      </c>
    </row>
    <row r="437" spans="1:12" ht="18" hidden="1" customHeight="1" x14ac:dyDescent="0.2">
      <c r="A437" s="11">
        <f>IF(INPUT!M432="","",INPUT!M432)</f>
        <v>45897</v>
      </c>
      <c r="B437" s="11">
        <f>IF(INPUT!M432="","",INPUT!M432-WEEKDAY(INPUT!M432,2)+1)</f>
        <v>45894</v>
      </c>
      <c r="C437" s="20">
        <f>IFERROR(_xlfn.ISOWEEKNUM(INPUT!M432),"")</f>
        <v>35</v>
      </c>
      <c r="D437" s="20">
        <f>IFERROR(YEAR(INPUT!M432),"")</f>
        <v>2025</v>
      </c>
      <c r="E437" t="str">
        <f>IF(INPUT!O432="","",INPUT!O432)</f>
        <v>RAUL</v>
      </c>
      <c r="F437" t="str">
        <f>IF(INPUT!N432="","",INPUT!N432)</f>
        <v>M</v>
      </c>
      <c r="G437" t="str" cm="1">
        <f t="array" ref="G437">IFERROR(VLOOKUP(INPUT!M432&amp;INPUT!N432,CHOOSE({1,2},INPUT!$A$3:$A$5000&amp;INPUT!$C$3:$C$5000,INPUT!$F$3:$F$5000),2,FALSE),"")</f>
        <v>PRE-TEMPORADA</v>
      </c>
      <c r="H437" t="str" cm="1">
        <f t="array" ref="H437">IFERROR(VLOOKUP(INPUT!M432&amp;INPUT!N432,CHOOSE({1,2},INPUT!$A$3:$A$5000&amp;INPUT!$C$3:$C$5000,INPUT!$D$3:$D$5000),2,FALSE),"")</f>
        <v>GYM+TEC-TAC</v>
      </c>
      <c r="I437" s="46">
        <f>IF(INPUT!P432="","",INPUT!P432)</f>
        <v>80.5</v>
      </c>
      <c r="J437" s="46">
        <f>IF(INPUT!Q432="","",INPUT!Q432)</f>
        <v>80</v>
      </c>
      <c r="K437" s="46">
        <f>IFERROR(IF(OR(INPUT!P432="",INPUT!Q432=""),"",INPUT!P432-INPUT!Q432),"")</f>
        <v>0.5</v>
      </c>
      <c r="L437" s="48">
        <f>IFERROR(IF(OR(INPUT!P432="",INPUT!Q432="",INPUT!P432=0),"",(INPUT!P432-INPUT!Q432)/INPUT!P432),"")</f>
        <v>6.2111801242236021E-3</v>
      </c>
    </row>
    <row r="438" spans="1:12" ht="18" hidden="1" customHeight="1" x14ac:dyDescent="0.2">
      <c r="A438" s="11">
        <f>IF(INPUT!M433="","",INPUT!M433)</f>
        <v>45897</v>
      </c>
      <c r="B438" s="11">
        <f>IF(INPUT!M433="","",INPUT!M433-WEEKDAY(INPUT!M433,2)+1)</f>
        <v>45894</v>
      </c>
      <c r="C438" s="20">
        <f>IFERROR(_xlfn.ISOWEEKNUM(INPUT!M433),"")</f>
        <v>35</v>
      </c>
      <c r="D438" s="20">
        <f>IFERROR(YEAR(INPUT!M433),"")</f>
        <v>2025</v>
      </c>
      <c r="E438" t="str">
        <f>IF(INPUT!O433="","",INPUT!O433)</f>
        <v>HARRISON</v>
      </c>
      <c r="F438" t="str">
        <f>IF(INPUT!N433="","",INPUT!N433)</f>
        <v>M</v>
      </c>
      <c r="G438" t="str" cm="1">
        <f t="array" ref="G438">IFERROR(VLOOKUP(INPUT!M433&amp;INPUT!N433,CHOOSE({1,2},INPUT!$A$3:$A$5000&amp;INPUT!$C$3:$C$5000,INPUT!$F$3:$F$5000),2,FALSE),"")</f>
        <v>PRE-TEMPORADA</v>
      </c>
      <c r="H438" t="str" cm="1">
        <f t="array" ref="H438">IFERROR(VLOOKUP(INPUT!M433&amp;INPUT!N433,CHOOSE({1,2},INPUT!$A$3:$A$5000&amp;INPUT!$C$3:$C$5000,INPUT!$D$3:$D$5000),2,FALSE),"")</f>
        <v>GYM+TEC-TAC</v>
      </c>
      <c r="I438" s="46">
        <f>IF(INPUT!P433="","",INPUT!P433)</f>
        <v>71.2</v>
      </c>
      <c r="J438" s="46">
        <f>IF(INPUT!Q433="","",INPUT!Q433)</f>
        <v>71.3</v>
      </c>
      <c r="K438" s="46">
        <f>IFERROR(IF(OR(INPUT!P433="",INPUT!Q433=""),"",INPUT!P433-INPUT!Q433),"")</f>
        <v>-9.9999999999994316E-2</v>
      </c>
      <c r="L438" s="48">
        <f>IFERROR(IF(OR(INPUT!P433="",INPUT!Q433="",INPUT!P433=0),"",(INPUT!P433-INPUT!Q433)/INPUT!P433),"")</f>
        <v>-1.4044943820223921E-3</v>
      </c>
    </row>
    <row r="439" spans="1:12" ht="18" customHeight="1" x14ac:dyDescent="0.2">
      <c r="A439" s="11">
        <f>IF(INPUT!M434="","",INPUT!M434)</f>
        <v>45897</v>
      </c>
      <c r="B439" s="11">
        <f>IF(INPUT!M434="","",INPUT!M434-WEEKDAY(INPUT!M434,2)+1)</f>
        <v>45894</v>
      </c>
      <c r="C439" s="20">
        <f>IFERROR(_xlfn.ISOWEEKNUM(INPUT!M434),"")</f>
        <v>35</v>
      </c>
      <c r="D439" s="20">
        <f>IFERROR(YEAR(INPUT!M434),"")</f>
        <v>2025</v>
      </c>
      <c r="E439" t="str">
        <f>IF(INPUT!O434="","",INPUT!O434)</f>
        <v>RAYA</v>
      </c>
      <c r="F439" t="str">
        <f>IF(INPUT!N434="","",INPUT!N434)</f>
        <v>M</v>
      </c>
      <c r="G439" t="str" cm="1">
        <f t="array" ref="G439">IFERROR(VLOOKUP(INPUT!M434&amp;INPUT!N434,CHOOSE({1,2},INPUT!$A$3:$A$5000&amp;INPUT!$C$3:$C$5000,INPUT!$F$3:$F$5000),2,FALSE),"")</f>
        <v>PRE-TEMPORADA</v>
      </c>
      <c r="H439" t="str" cm="1">
        <f t="array" ref="H439">IFERROR(VLOOKUP(INPUT!M434&amp;INPUT!N434,CHOOSE({1,2},INPUT!$A$3:$A$5000&amp;INPUT!$C$3:$C$5000,INPUT!$D$3:$D$5000),2,FALSE),"")</f>
        <v>GYM+TEC-TAC</v>
      </c>
      <c r="I439" s="46">
        <f>IF(INPUT!P434="","",INPUT!P434)</f>
        <v>82.5</v>
      </c>
      <c r="J439" s="46">
        <f>IF(INPUT!Q434="","",INPUT!Q434)</f>
        <v>81</v>
      </c>
      <c r="K439" s="46">
        <f>IFERROR(IF(OR(INPUT!P434="",INPUT!Q434=""),"",INPUT!P434-INPUT!Q434),"")</f>
        <v>1.5</v>
      </c>
      <c r="L439" s="48">
        <f>IFERROR(IF(OR(INPUT!P434="",INPUT!Q434="",INPUT!P434=0),"",(INPUT!P434-INPUT!Q434)/INPUT!P434),"")</f>
        <v>1.8181818181818181E-2</v>
      </c>
    </row>
    <row r="440" spans="1:12" ht="18" customHeight="1" x14ac:dyDescent="0.2">
      <c r="A440" s="11">
        <f>IF(INPUT!M435="","",INPUT!M435)</f>
        <v>45897</v>
      </c>
      <c r="B440" s="11">
        <f>IF(INPUT!M435="","",INPUT!M435-WEEKDAY(INPUT!M435,2)+1)</f>
        <v>45894</v>
      </c>
      <c r="C440" s="20">
        <f>IFERROR(_xlfn.ISOWEEKNUM(INPUT!M435),"")</f>
        <v>35</v>
      </c>
      <c r="D440" s="20">
        <f>IFERROR(YEAR(INPUT!M435),"")</f>
        <v>2025</v>
      </c>
      <c r="E440" t="str">
        <f>IF(INPUT!O435="","",INPUT!O435)</f>
        <v>JAVI</v>
      </c>
      <c r="F440" t="str">
        <f>IF(INPUT!N435="","",INPUT!N435)</f>
        <v>M</v>
      </c>
      <c r="G440" t="str" cm="1">
        <f t="array" ref="G440">IFERROR(VLOOKUP(INPUT!M435&amp;INPUT!N435,CHOOSE({1,2},INPUT!$A$3:$A$5000&amp;INPUT!$C$3:$C$5000,INPUT!$F$3:$F$5000),2,FALSE),"")</f>
        <v>PRE-TEMPORADA</v>
      </c>
      <c r="H440" t="str" cm="1">
        <f t="array" ref="H440">IFERROR(VLOOKUP(INPUT!M435&amp;INPUT!N435,CHOOSE({1,2},INPUT!$A$3:$A$5000&amp;INPUT!$C$3:$C$5000,INPUT!$D$3:$D$5000),2,FALSE),"")</f>
        <v>GYM+TEC-TAC</v>
      </c>
      <c r="I440" s="46">
        <f>IF(INPUT!P435="","",INPUT!P435)</f>
        <v>81.2</v>
      </c>
      <c r="J440" s="46">
        <f>IF(INPUT!Q435="","",INPUT!Q435)</f>
        <v>80.5</v>
      </c>
      <c r="K440" s="46">
        <f>IFERROR(IF(OR(INPUT!P435="",INPUT!Q435=""),"",INPUT!P435-INPUT!Q435),"")</f>
        <v>0.70000000000000284</v>
      </c>
      <c r="L440" s="48">
        <f>IFERROR(IF(OR(INPUT!P435="",INPUT!Q435="",INPUT!P435=0),"",(INPUT!P435-INPUT!Q435)/INPUT!P435),"")</f>
        <v>8.6206896551724484E-3</v>
      </c>
    </row>
    <row r="441" spans="1:12" ht="18" customHeight="1" x14ac:dyDescent="0.2">
      <c r="A441" s="11">
        <f>IF(INPUT!M436="","",INPUT!M436)</f>
        <v>45897</v>
      </c>
      <c r="B441" s="11">
        <f>IF(INPUT!M436="","",INPUT!M436-WEEKDAY(INPUT!M436,2)+1)</f>
        <v>45894</v>
      </c>
      <c r="C441" s="20">
        <f>IFERROR(_xlfn.ISOWEEKNUM(INPUT!M436),"")</f>
        <v>35</v>
      </c>
      <c r="D441" s="20">
        <f>IFERROR(YEAR(INPUT!M436),"")</f>
        <v>2025</v>
      </c>
      <c r="E441" t="str">
        <f>IF(INPUT!O436="","",INPUT!O436)</f>
        <v>PANI</v>
      </c>
      <c r="F441" t="str">
        <f>IF(INPUT!N436="","",INPUT!N436)</f>
        <v>M</v>
      </c>
      <c r="G441" t="str" cm="1">
        <f t="array" ref="G441">IFERROR(VLOOKUP(INPUT!M436&amp;INPUT!N436,CHOOSE({1,2},INPUT!$A$3:$A$5000&amp;INPUT!$C$3:$C$5000,INPUT!$F$3:$F$5000),2,FALSE),"")</f>
        <v>PRE-TEMPORADA</v>
      </c>
      <c r="H441" t="str" cm="1">
        <f t="array" ref="H441">IFERROR(VLOOKUP(INPUT!M436&amp;INPUT!N436,CHOOSE({1,2},INPUT!$A$3:$A$5000&amp;INPUT!$C$3:$C$5000,INPUT!$D$3:$D$5000),2,FALSE),"")</f>
        <v>GYM+TEC-TAC</v>
      </c>
      <c r="I441" s="46">
        <f>IF(INPUT!P436="","",INPUT!P436)</f>
        <v>70.900000000000006</v>
      </c>
      <c r="J441" s="46">
        <f>IF(INPUT!Q436="","",INPUT!Q436)</f>
        <v>70.7</v>
      </c>
      <c r="K441" s="46">
        <f>IFERROR(IF(OR(INPUT!P436="",INPUT!Q436=""),"",INPUT!P436-INPUT!Q436),"")</f>
        <v>0.20000000000000284</v>
      </c>
      <c r="L441" s="48">
        <f>IFERROR(IF(OR(INPUT!P436="",INPUT!Q436="",INPUT!P436=0),"",(INPUT!P436-INPUT!Q436)/INPUT!P436),"")</f>
        <v>2.8208744710860765E-3</v>
      </c>
    </row>
    <row r="442" spans="1:12" ht="18" customHeight="1" x14ac:dyDescent="0.2">
      <c r="A442" s="11">
        <f>IF(INPUT!M437="","",INPUT!M437)</f>
        <v>45897</v>
      </c>
      <c r="B442" s="11">
        <f>IF(INPUT!M437="","",INPUT!M437-WEEKDAY(INPUT!M437,2)+1)</f>
        <v>45894</v>
      </c>
      <c r="C442" s="20">
        <f>IFERROR(_xlfn.ISOWEEKNUM(INPUT!M437),"")</f>
        <v>35</v>
      </c>
      <c r="D442" s="20">
        <f>IFERROR(YEAR(INPUT!M437),"")</f>
        <v>2025</v>
      </c>
      <c r="E442" t="str">
        <f>IF(INPUT!O437="","",INPUT!O437)</f>
        <v>PIRATA</v>
      </c>
      <c r="F442" t="str">
        <f>IF(INPUT!N437="","",INPUT!N437)</f>
        <v>M</v>
      </c>
      <c r="G442" t="str" cm="1">
        <f t="array" ref="G442">IFERROR(VLOOKUP(INPUT!M437&amp;INPUT!N437,CHOOSE({1,2},INPUT!$A$3:$A$5000&amp;INPUT!$C$3:$C$5000,INPUT!$F$3:$F$5000),2,FALSE),"")</f>
        <v>PRE-TEMPORADA</v>
      </c>
      <c r="H442" t="str" cm="1">
        <f t="array" ref="H442">IFERROR(VLOOKUP(INPUT!M437&amp;INPUT!N437,CHOOSE({1,2},INPUT!$A$3:$A$5000&amp;INPUT!$C$3:$C$5000,INPUT!$D$3:$D$5000),2,FALSE),"")</f>
        <v>GYM+TEC-TAC</v>
      </c>
      <c r="I442" s="46">
        <f>IF(INPUT!P437="","",INPUT!P437)</f>
        <v>75.599999999999994</v>
      </c>
      <c r="J442" s="46">
        <f>IF(INPUT!Q437="","",INPUT!Q437)</f>
        <v>74.8</v>
      </c>
      <c r="K442" s="46">
        <f>IFERROR(IF(OR(INPUT!P437="",INPUT!Q437=""),"",INPUT!P437-INPUT!Q437),"")</f>
        <v>0.79999999999999716</v>
      </c>
      <c r="L442" s="48">
        <f>IFERROR(IF(OR(INPUT!P437="",INPUT!Q437="",INPUT!P437=0),"",(INPUT!P437-INPUT!Q437)/INPUT!P437),"")</f>
        <v>1.0582010582010545E-2</v>
      </c>
    </row>
    <row r="443" spans="1:12" ht="18" hidden="1" customHeight="1" x14ac:dyDescent="0.2">
      <c r="A443" s="11">
        <f>IF(INPUT!M438="","",INPUT!M438)</f>
        <v>45897</v>
      </c>
      <c r="B443" s="11">
        <f>IF(INPUT!M438="","",INPUT!M438-WEEKDAY(INPUT!M438,2)+1)</f>
        <v>45894</v>
      </c>
      <c r="C443" s="20">
        <f>IFERROR(_xlfn.ISOWEEKNUM(INPUT!M438),"")</f>
        <v>35</v>
      </c>
      <c r="D443" s="20">
        <f>IFERROR(YEAR(INPUT!M438),"")</f>
        <v>2025</v>
      </c>
      <c r="E443" t="str">
        <f>IF(INPUT!O438="","",INPUT!O438)</f>
        <v>BARONA</v>
      </c>
      <c r="F443" t="str">
        <f>IF(INPUT!N438="","",INPUT!N438)</f>
        <v>M</v>
      </c>
      <c r="G443" t="str" cm="1">
        <f t="array" ref="G443">IFERROR(VLOOKUP(INPUT!M438&amp;INPUT!N438,CHOOSE({1,2},INPUT!$A$3:$A$5000&amp;INPUT!$C$3:$C$5000,INPUT!$F$3:$F$5000),2,FALSE),"")</f>
        <v>PRE-TEMPORADA</v>
      </c>
      <c r="H443" t="str" cm="1">
        <f t="array" ref="H443">IFERROR(VLOOKUP(INPUT!M438&amp;INPUT!N438,CHOOSE({1,2},INPUT!$A$3:$A$5000&amp;INPUT!$C$3:$C$5000,INPUT!$D$3:$D$5000),2,FALSE),"")</f>
        <v>GYM+TEC-TAC</v>
      </c>
      <c r="I443" s="46">
        <f>IF(INPUT!P438="","",INPUT!P438)</f>
        <v>70.900000000000006</v>
      </c>
      <c r="J443" s="46">
        <f>IF(INPUT!Q438="","",INPUT!Q438)</f>
        <v>70.900000000000006</v>
      </c>
      <c r="K443" s="46">
        <f>IFERROR(IF(OR(INPUT!P438="",INPUT!Q438=""),"",INPUT!P438-INPUT!Q438),"")</f>
        <v>0</v>
      </c>
      <c r="L443" s="48">
        <f>IFERROR(IF(OR(INPUT!P438="",INPUT!Q438="",INPUT!P438=0),"",(INPUT!P438-INPUT!Q438)/INPUT!P438),"")</f>
        <v>0</v>
      </c>
    </row>
    <row r="444" spans="1:12" ht="18" hidden="1" customHeight="1" x14ac:dyDescent="0.2">
      <c r="A444" s="11">
        <f>IF(INPUT!M439="","",INPUT!M439)</f>
        <v>45897</v>
      </c>
      <c r="B444" s="11">
        <f>IF(INPUT!M439="","",INPUT!M439-WEEKDAY(INPUT!M439,2)+1)</f>
        <v>45894</v>
      </c>
      <c r="C444" s="20">
        <f>IFERROR(_xlfn.ISOWEEKNUM(INPUT!M439),"")</f>
        <v>35</v>
      </c>
      <c r="D444" s="20">
        <f>IFERROR(YEAR(INPUT!M439),"")</f>
        <v>2025</v>
      </c>
      <c r="E444" t="str">
        <f>IF(INPUT!O439="","",INPUT!O439)</f>
        <v>CARLOS</v>
      </c>
      <c r="F444" t="str">
        <f>IF(INPUT!N439="","",INPUT!N439)</f>
        <v>M</v>
      </c>
      <c r="G444" t="str" cm="1">
        <f t="array" ref="G444">IFERROR(VLOOKUP(INPUT!M439&amp;INPUT!N439,CHOOSE({1,2},INPUT!$A$3:$A$5000&amp;INPUT!$C$3:$C$5000,INPUT!$F$3:$F$5000),2,FALSE),"")</f>
        <v>PRE-TEMPORADA</v>
      </c>
      <c r="H444" t="str" cm="1">
        <f t="array" ref="H444">IFERROR(VLOOKUP(INPUT!M439&amp;INPUT!N439,CHOOSE({1,2},INPUT!$A$3:$A$5000&amp;INPUT!$C$3:$C$5000,INPUT!$D$3:$D$5000),2,FALSE),"")</f>
        <v>GYM+TEC-TAC</v>
      </c>
      <c r="I444" s="46">
        <f>IF(INPUT!P439="","",INPUT!P439)</f>
        <v>66.8</v>
      </c>
      <c r="J444" s="46">
        <f>IF(INPUT!Q439="","",INPUT!Q439)</f>
        <v>66.400000000000006</v>
      </c>
      <c r="K444" s="46">
        <f>IFERROR(IF(OR(INPUT!P439="",INPUT!Q439=""),"",INPUT!P439-INPUT!Q439),"")</f>
        <v>0.39999999999999147</v>
      </c>
      <c r="L444" s="48">
        <f>IFERROR(IF(OR(INPUT!P439="",INPUT!Q439="",INPUT!P439=0),"",(INPUT!P439-INPUT!Q439)/INPUT!P439),"")</f>
        <v>5.9880239520956812E-3</v>
      </c>
    </row>
    <row r="445" spans="1:12" ht="18" hidden="1" customHeight="1" x14ac:dyDescent="0.2">
      <c r="A445" s="11">
        <f>IF(INPUT!M440="","",INPUT!M440)</f>
        <v>45897</v>
      </c>
      <c r="B445" s="11">
        <f>IF(INPUT!M440="","",INPUT!M440-WEEKDAY(INPUT!M440,2)+1)</f>
        <v>45894</v>
      </c>
      <c r="C445" s="20">
        <f>IFERROR(_xlfn.ISOWEEKNUM(INPUT!M440),"")</f>
        <v>35</v>
      </c>
      <c r="D445" s="20">
        <f>IFERROR(YEAR(INPUT!M440),"")</f>
        <v>2025</v>
      </c>
      <c r="E445" t="str">
        <f>IF(INPUT!O440="","",INPUT!O440)</f>
        <v>GONZALO</v>
      </c>
      <c r="F445" t="str">
        <f>IF(INPUT!N440="","",INPUT!N440)</f>
        <v>M</v>
      </c>
      <c r="G445" t="str" cm="1">
        <f t="array" ref="G445">IFERROR(VLOOKUP(INPUT!M440&amp;INPUT!N440,CHOOSE({1,2},INPUT!$A$3:$A$5000&amp;INPUT!$C$3:$C$5000,INPUT!$F$3:$F$5000),2,FALSE),"")</f>
        <v>PRE-TEMPORADA</v>
      </c>
      <c r="H445" t="str" cm="1">
        <f t="array" ref="H445">IFERROR(VLOOKUP(INPUT!M440&amp;INPUT!N440,CHOOSE({1,2},INPUT!$A$3:$A$5000&amp;INPUT!$C$3:$C$5000,INPUT!$D$3:$D$5000),2,FALSE),"")</f>
        <v>GYM+TEC-TAC</v>
      </c>
      <c r="I445" s="46">
        <f>IF(INPUT!P440="","",INPUT!P440)</f>
        <v>85</v>
      </c>
      <c r="J445" s="46">
        <f>IF(INPUT!Q440="","",INPUT!Q440)</f>
        <v>85.1</v>
      </c>
      <c r="K445" s="46">
        <f>IFERROR(IF(OR(INPUT!P440="",INPUT!Q440=""),"",INPUT!P440-INPUT!Q440),"")</f>
        <v>-9.9999999999994316E-2</v>
      </c>
      <c r="L445" s="48">
        <f>IFERROR(IF(OR(INPUT!P440="",INPUT!Q440="",INPUT!P440=0),"",(INPUT!P440-INPUT!Q440)/INPUT!P440),"")</f>
        <v>-1.1764705882352272E-3</v>
      </c>
    </row>
    <row r="446" spans="1:12" ht="18" hidden="1" customHeight="1" x14ac:dyDescent="0.2">
      <c r="A446" s="11">
        <f>IF(INPUT!M441="","",INPUT!M441)</f>
        <v>45897</v>
      </c>
      <c r="B446" s="11">
        <f>IF(INPUT!M441="","",INPUT!M441-WEEKDAY(INPUT!M441,2)+1)</f>
        <v>45894</v>
      </c>
      <c r="C446" s="20">
        <f>IFERROR(_xlfn.ISOWEEKNUM(INPUT!M441),"")</f>
        <v>35</v>
      </c>
      <c r="D446" s="20">
        <f>IFERROR(YEAR(INPUT!M441),"")</f>
        <v>2025</v>
      </c>
      <c r="E446" t="str">
        <f>IF(INPUT!O441="","",INPUT!O441)</f>
        <v>RUBIO</v>
      </c>
      <c r="F446" t="str">
        <f>IF(INPUT!N441="","",INPUT!N441)</f>
        <v>M</v>
      </c>
      <c r="G446" t="str" cm="1">
        <f t="array" ref="G446">IFERROR(VLOOKUP(INPUT!M441&amp;INPUT!N441,CHOOSE({1,2},INPUT!$A$3:$A$5000&amp;INPUT!$C$3:$C$5000,INPUT!$F$3:$F$5000),2,FALSE),"")</f>
        <v>PRE-TEMPORADA</v>
      </c>
      <c r="H446" t="str" cm="1">
        <f t="array" ref="H446">IFERROR(VLOOKUP(INPUT!M441&amp;INPUT!N441,CHOOSE({1,2},INPUT!$A$3:$A$5000&amp;INPUT!$C$3:$C$5000,INPUT!$D$3:$D$5000),2,FALSE),"")</f>
        <v>GYM+TEC-TAC</v>
      </c>
      <c r="I446" s="46">
        <f>IF(INPUT!P441="","",INPUT!P441)</f>
        <v>74.2</v>
      </c>
      <c r="J446" s="46">
        <f>IF(INPUT!Q441="","",INPUT!Q441)</f>
        <v>74</v>
      </c>
      <c r="K446" s="46">
        <f>IFERROR(IF(OR(INPUT!P441="",INPUT!Q441=""),"",INPUT!P441-INPUT!Q441),"")</f>
        <v>0.20000000000000284</v>
      </c>
      <c r="L446" s="48">
        <f>IFERROR(IF(OR(INPUT!P441="",INPUT!Q441="",INPUT!P441=0),"",(INPUT!P441-INPUT!Q441)/INPUT!P441),"")</f>
        <v>2.6954177897574507E-3</v>
      </c>
    </row>
    <row r="447" spans="1:12" ht="18" hidden="1" customHeight="1" x14ac:dyDescent="0.2">
      <c r="A447" s="11">
        <f>IF(INPUT!M442="","",INPUT!M442)</f>
        <v>45897</v>
      </c>
      <c r="B447" s="11">
        <f>IF(INPUT!M442="","",INPUT!M442-WEEKDAY(INPUT!M442,2)+1)</f>
        <v>45894</v>
      </c>
      <c r="C447" s="20">
        <f>IFERROR(_xlfn.ISOWEEKNUM(INPUT!M442),"")</f>
        <v>35</v>
      </c>
      <c r="D447" s="20">
        <f>IFERROR(YEAR(INPUT!M442),"")</f>
        <v>2025</v>
      </c>
      <c r="E447" t="str">
        <f>IF(INPUT!O442="","",INPUT!O442)</f>
        <v>DANI</v>
      </c>
      <c r="F447" t="str">
        <f>IF(INPUT!N442="","",INPUT!N442)</f>
        <v>M</v>
      </c>
      <c r="G447" t="str" cm="1">
        <f t="array" ref="G447">IFERROR(VLOOKUP(INPUT!M442&amp;INPUT!N442,CHOOSE({1,2},INPUT!$A$3:$A$5000&amp;INPUT!$C$3:$C$5000,INPUT!$F$3:$F$5000),2,FALSE),"")</f>
        <v>PRE-TEMPORADA</v>
      </c>
      <c r="H447" t="str" cm="1">
        <f t="array" ref="H447">IFERROR(VLOOKUP(INPUT!M442&amp;INPUT!N442,CHOOSE({1,2},INPUT!$A$3:$A$5000&amp;INPUT!$C$3:$C$5000,INPUT!$D$3:$D$5000),2,FALSE),"")</f>
        <v>GYM+TEC-TAC</v>
      </c>
      <c r="I447" s="46">
        <f>IF(INPUT!P442="","",INPUT!P442)</f>
        <v>94</v>
      </c>
      <c r="J447" s="46">
        <f>IF(INPUT!Q442="","",INPUT!Q442)</f>
        <v>93.4</v>
      </c>
      <c r="K447" s="46">
        <f>IFERROR(IF(OR(INPUT!P442="",INPUT!Q442=""),"",INPUT!P442-INPUT!Q442),"")</f>
        <v>0.59999999999999432</v>
      </c>
      <c r="L447" s="48">
        <f>IFERROR(IF(OR(INPUT!P442="",INPUT!Q442="",INPUT!P442=0),"",(INPUT!P442-INPUT!Q442)/INPUT!P442),"")</f>
        <v>6.3829787234041951E-3</v>
      </c>
    </row>
    <row r="448" spans="1:12" ht="18" hidden="1" customHeight="1" x14ac:dyDescent="0.2">
      <c r="A448" s="11">
        <f>IF(INPUT!M443="","",INPUT!M443)</f>
        <v>45898</v>
      </c>
      <c r="B448" s="11">
        <f>IF(INPUT!M443="","",INPUT!M443-WEEKDAY(INPUT!M443,2)+1)</f>
        <v>45894</v>
      </c>
      <c r="C448" s="20">
        <f>IFERROR(_xlfn.ISOWEEKNUM(INPUT!M443),"")</f>
        <v>35</v>
      </c>
      <c r="D448" s="20">
        <f>IFERROR(YEAR(INPUT!M443),"")</f>
        <v>2025</v>
      </c>
      <c r="E448" t="str">
        <f>IF(INPUT!O443="","",INPUT!O443)</f>
        <v>HERRERO</v>
      </c>
      <c r="F448" t="str">
        <f>IF(INPUT!N443="","",INPUT!N443)</f>
        <v>M</v>
      </c>
      <c r="G448" t="str" cm="1">
        <f t="array" ref="G448">IFERROR(VLOOKUP(INPUT!M443&amp;INPUT!N443,CHOOSE({1,2},INPUT!$A$3:$A$5000&amp;INPUT!$C$3:$C$5000,INPUT!$F$3:$F$5000),2,FALSE),"")</f>
        <v>PRE-TEMPORADA</v>
      </c>
      <c r="H448" t="str" cm="1">
        <f t="array" ref="H448">IFERROR(VLOOKUP(INPUT!M443&amp;INPUT!N443,CHOOSE({1,2},INPUT!$A$3:$A$5000&amp;INPUT!$C$3:$C$5000,INPUT!$D$3:$D$5000),2,FALSE),"")</f>
        <v>TEC-TAC</v>
      </c>
      <c r="I448" s="46">
        <f>IF(INPUT!P443="","",INPUT!P443)</f>
        <v>76.8</v>
      </c>
      <c r="J448" s="46">
        <f>IF(INPUT!Q443="","",INPUT!Q443)</f>
        <v>76</v>
      </c>
      <c r="K448" s="46">
        <f>IFERROR(IF(OR(INPUT!P443="",INPUT!Q443=""),"",INPUT!P443-INPUT!Q443),"")</f>
        <v>0.79999999999999716</v>
      </c>
      <c r="L448" s="48">
        <f>IFERROR(IF(OR(INPUT!P443="",INPUT!Q443="",INPUT!P443=0),"",(INPUT!P443-INPUT!Q443)/INPUT!P443),"")</f>
        <v>1.041666666666663E-2</v>
      </c>
    </row>
    <row r="449" spans="1:12" ht="18" hidden="1" customHeight="1" x14ac:dyDescent="0.2">
      <c r="A449" s="11">
        <f>IF(INPUT!M444="","",INPUT!M444)</f>
        <v>45898</v>
      </c>
      <c r="B449" s="11">
        <f>IF(INPUT!M444="","",INPUT!M444-WEEKDAY(INPUT!M444,2)+1)</f>
        <v>45894</v>
      </c>
      <c r="C449" s="20">
        <f>IFERROR(_xlfn.ISOWEEKNUM(INPUT!M444),"")</f>
        <v>35</v>
      </c>
      <c r="D449" s="20">
        <f>IFERROR(YEAR(INPUT!M444),"")</f>
        <v>2025</v>
      </c>
      <c r="E449" t="str">
        <f>IF(INPUT!O444="","",INPUT!O444)</f>
        <v>GARCIA</v>
      </c>
      <c r="F449" t="str">
        <f>IF(INPUT!N444="","",INPUT!N444)</f>
        <v>M</v>
      </c>
      <c r="G449" t="str" cm="1">
        <f t="array" ref="G449">IFERROR(VLOOKUP(INPUT!M444&amp;INPUT!N444,CHOOSE({1,2},INPUT!$A$3:$A$5000&amp;INPUT!$C$3:$C$5000,INPUT!$F$3:$F$5000),2,FALSE),"")</f>
        <v>PRE-TEMPORADA</v>
      </c>
      <c r="H449" t="str" cm="1">
        <f t="array" ref="H449">IFERROR(VLOOKUP(INPUT!M444&amp;INPUT!N444,CHOOSE({1,2},INPUT!$A$3:$A$5000&amp;INPUT!$C$3:$C$5000,INPUT!$D$3:$D$5000),2,FALSE),"")</f>
        <v>TEC-TAC</v>
      </c>
      <c r="I449" s="46">
        <f>IF(INPUT!P444="","",INPUT!P444)</f>
        <v>79.400000000000006</v>
      </c>
      <c r="J449" s="46">
        <f>IF(INPUT!Q444="","",INPUT!Q444)</f>
        <v>79</v>
      </c>
      <c r="K449" s="46">
        <f>IFERROR(IF(OR(INPUT!P444="",INPUT!Q444=""),"",INPUT!P444-INPUT!Q444),"")</f>
        <v>0.40000000000000568</v>
      </c>
      <c r="L449" s="48">
        <f>IFERROR(IF(OR(INPUT!P444="",INPUT!Q444="",INPUT!P444=0),"",(INPUT!P444-INPUT!Q444)/INPUT!P444),"")</f>
        <v>5.0377833753149324E-3</v>
      </c>
    </row>
    <row r="450" spans="1:12" ht="18" hidden="1" customHeight="1" x14ac:dyDescent="0.2">
      <c r="A450" s="11">
        <f>IF(INPUT!M445="","",INPUT!M445)</f>
        <v>45898</v>
      </c>
      <c r="B450" s="11">
        <f>IF(INPUT!M445="","",INPUT!M445-WEEKDAY(INPUT!M445,2)+1)</f>
        <v>45894</v>
      </c>
      <c r="C450" s="20">
        <f>IFERROR(_xlfn.ISOWEEKNUM(INPUT!M445),"")</f>
        <v>35</v>
      </c>
      <c r="D450" s="20">
        <f>IFERROR(YEAR(INPUT!M445),"")</f>
        <v>2025</v>
      </c>
      <c r="E450" t="str">
        <f>IF(INPUT!O445="","",INPUT!O445)</f>
        <v>CECILIO</v>
      </c>
      <c r="F450" t="str">
        <f>IF(INPUT!N445="","",INPUT!N445)</f>
        <v>M</v>
      </c>
      <c r="G450" t="str" cm="1">
        <f t="array" ref="G450">IFERROR(VLOOKUP(INPUT!M445&amp;INPUT!N445,CHOOSE({1,2},INPUT!$A$3:$A$5000&amp;INPUT!$C$3:$C$5000,INPUT!$F$3:$F$5000),2,FALSE),"")</f>
        <v>PRE-TEMPORADA</v>
      </c>
      <c r="H450" t="str" cm="1">
        <f t="array" ref="H450">IFERROR(VLOOKUP(INPUT!M445&amp;INPUT!N445,CHOOSE({1,2},INPUT!$A$3:$A$5000&amp;INPUT!$C$3:$C$5000,INPUT!$D$3:$D$5000),2,FALSE),"")</f>
        <v>TEC-TAC</v>
      </c>
      <c r="I450" s="46">
        <f>IF(INPUT!P445="","",INPUT!P445)</f>
        <v>67.7</v>
      </c>
      <c r="J450" s="46">
        <f>IF(INPUT!Q445="","",INPUT!Q445)</f>
        <v>68</v>
      </c>
      <c r="K450" s="46">
        <f>IFERROR(IF(OR(INPUT!P445="",INPUT!Q445=""),"",INPUT!P445-INPUT!Q445),"")</f>
        <v>-0.29999999999999716</v>
      </c>
      <c r="L450" s="48">
        <f>IFERROR(IF(OR(INPUT!P445="",INPUT!Q445="",INPUT!P445=0),"",(INPUT!P445-INPUT!Q445)/INPUT!P445),"")</f>
        <v>-4.4313146233382148E-3</v>
      </c>
    </row>
    <row r="451" spans="1:12" ht="18" hidden="1" customHeight="1" x14ac:dyDescent="0.2">
      <c r="A451" s="11">
        <f>IF(INPUT!M446="","",INPUT!M446)</f>
        <v>45898</v>
      </c>
      <c r="B451" s="11">
        <f>IF(INPUT!M446="","",INPUT!M446-WEEKDAY(INPUT!M446,2)+1)</f>
        <v>45894</v>
      </c>
      <c r="C451" s="20">
        <f>IFERROR(_xlfn.ISOWEEKNUM(INPUT!M446),"")</f>
        <v>35</v>
      </c>
      <c r="D451" s="20">
        <f>IFERROR(YEAR(INPUT!M446),"")</f>
        <v>2025</v>
      </c>
      <c r="E451" t="str">
        <f>IF(INPUT!O446="","",INPUT!O446)</f>
        <v>CHAGUINHA</v>
      </c>
      <c r="F451" t="str">
        <f>IF(INPUT!N446="","",INPUT!N446)</f>
        <v>M</v>
      </c>
      <c r="G451" t="str" cm="1">
        <f t="array" ref="G451">IFERROR(VLOOKUP(INPUT!M446&amp;INPUT!N446,CHOOSE({1,2},INPUT!$A$3:$A$5000&amp;INPUT!$C$3:$C$5000,INPUT!$F$3:$F$5000),2,FALSE),"")</f>
        <v>PRE-TEMPORADA</v>
      </c>
      <c r="H451" t="str" cm="1">
        <f t="array" ref="H451">IFERROR(VLOOKUP(INPUT!M446&amp;INPUT!N446,CHOOSE({1,2},INPUT!$A$3:$A$5000&amp;INPUT!$C$3:$C$5000,INPUT!$D$3:$D$5000),2,FALSE),"")</f>
        <v>TEC-TAC</v>
      </c>
      <c r="I451" s="46">
        <f>IF(INPUT!P446="","",INPUT!P446)</f>
        <v>69.2</v>
      </c>
      <c r="J451" s="46">
        <f>IF(INPUT!Q446="","",INPUT!Q446)</f>
        <v>68.8</v>
      </c>
      <c r="K451" s="46">
        <f>IFERROR(IF(OR(INPUT!P446="",INPUT!Q446=""),"",INPUT!P446-INPUT!Q446),"")</f>
        <v>0.40000000000000568</v>
      </c>
      <c r="L451" s="48">
        <f>IFERROR(IF(OR(INPUT!P446="",INPUT!Q446="",INPUT!P446=0),"",(INPUT!P446-INPUT!Q446)/INPUT!P446),"")</f>
        <v>5.7803468208093307E-3</v>
      </c>
    </row>
    <row r="452" spans="1:12" ht="18" hidden="1" customHeight="1" x14ac:dyDescent="0.2">
      <c r="A452" s="11">
        <f>IF(INPUT!M447="","",INPUT!M447)</f>
        <v>45898</v>
      </c>
      <c r="B452" s="11">
        <f>IF(INPUT!M447="","",INPUT!M447-WEEKDAY(INPUT!M447,2)+1)</f>
        <v>45894</v>
      </c>
      <c r="C452" s="20">
        <f>IFERROR(_xlfn.ISOWEEKNUM(INPUT!M447),"")</f>
        <v>35</v>
      </c>
      <c r="D452" s="20">
        <f>IFERROR(YEAR(INPUT!M447),"")</f>
        <v>2025</v>
      </c>
      <c r="E452" t="str">
        <f>IF(INPUT!O447="","",INPUT!O447)</f>
        <v>RAUL</v>
      </c>
      <c r="F452" t="str">
        <f>IF(INPUT!N447="","",INPUT!N447)</f>
        <v>M</v>
      </c>
      <c r="G452" t="str" cm="1">
        <f t="array" ref="G452">IFERROR(VLOOKUP(INPUT!M447&amp;INPUT!N447,CHOOSE({1,2},INPUT!$A$3:$A$5000&amp;INPUT!$C$3:$C$5000,INPUT!$F$3:$F$5000),2,FALSE),"")</f>
        <v>PRE-TEMPORADA</v>
      </c>
      <c r="H452" t="str" cm="1">
        <f t="array" ref="H452">IFERROR(VLOOKUP(INPUT!M447&amp;INPUT!N447,CHOOSE({1,2},INPUT!$A$3:$A$5000&amp;INPUT!$C$3:$C$5000,INPUT!$D$3:$D$5000),2,FALSE),"")</f>
        <v>TEC-TAC</v>
      </c>
      <c r="I452" s="46">
        <f>IF(INPUT!P447="","",INPUT!P447)</f>
        <v>80.5</v>
      </c>
      <c r="J452" s="46">
        <f>IF(INPUT!Q447="","",INPUT!Q447)</f>
        <v>80.3</v>
      </c>
      <c r="K452" s="46">
        <f>IFERROR(IF(OR(INPUT!P447="",INPUT!Q447=""),"",INPUT!P447-INPUT!Q447),"")</f>
        <v>0.20000000000000284</v>
      </c>
      <c r="L452" s="48">
        <f>IFERROR(IF(OR(INPUT!P447="",INPUT!Q447="",INPUT!P447=0),"",(INPUT!P447-INPUT!Q447)/INPUT!P447),"")</f>
        <v>2.4844720496894762E-3</v>
      </c>
    </row>
    <row r="453" spans="1:12" ht="18" hidden="1" customHeight="1" x14ac:dyDescent="0.2">
      <c r="A453" s="11">
        <f>IF(INPUT!M448="","",INPUT!M448)</f>
        <v>45898</v>
      </c>
      <c r="B453" s="11">
        <f>IF(INPUT!M448="","",INPUT!M448-WEEKDAY(INPUT!M448,2)+1)</f>
        <v>45894</v>
      </c>
      <c r="C453" s="20">
        <f>IFERROR(_xlfn.ISOWEEKNUM(INPUT!M448),"")</f>
        <v>35</v>
      </c>
      <c r="D453" s="20">
        <f>IFERROR(YEAR(INPUT!M448),"")</f>
        <v>2025</v>
      </c>
      <c r="E453" t="str">
        <f>IF(INPUT!O448="","",INPUT!O448)</f>
        <v>HARRISON</v>
      </c>
      <c r="F453" t="str">
        <f>IF(INPUT!N448="","",INPUT!N448)</f>
        <v>M</v>
      </c>
      <c r="G453" t="str" cm="1">
        <f t="array" ref="G453">IFERROR(VLOOKUP(INPUT!M448&amp;INPUT!N448,CHOOSE({1,2},INPUT!$A$3:$A$5000&amp;INPUT!$C$3:$C$5000,INPUT!$F$3:$F$5000),2,FALSE),"")</f>
        <v>PRE-TEMPORADA</v>
      </c>
      <c r="H453" t="str" cm="1">
        <f t="array" ref="H453">IFERROR(VLOOKUP(INPUT!M448&amp;INPUT!N448,CHOOSE({1,2},INPUT!$A$3:$A$5000&amp;INPUT!$C$3:$C$5000,INPUT!$D$3:$D$5000),2,FALSE),"")</f>
        <v>TEC-TAC</v>
      </c>
      <c r="I453" s="46">
        <f>IF(INPUT!P448="","",INPUT!P448)</f>
        <v>71.400000000000006</v>
      </c>
      <c r="J453" s="46">
        <f>IF(INPUT!Q448="","",INPUT!Q448)</f>
        <v>71.599999999999994</v>
      </c>
      <c r="K453" s="46">
        <f>IFERROR(IF(OR(INPUT!P448="",INPUT!Q448=""),"",INPUT!P448-INPUT!Q448),"")</f>
        <v>-0.19999999999998863</v>
      </c>
      <c r="L453" s="48">
        <f>IFERROR(IF(OR(INPUT!P448="",INPUT!Q448="",INPUT!P448=0),"",(INPUT!P448-INPUT!Q448)/INPUT!P448),"")</f>
        <v>-2.8011204481791121E-3</v>
      </c>
    </row>
    <row r="454" spans="1:12" ht="18" hidden="1" customHeight="1" x14ac:dyDescent="0.2">
      <c r="A454" s="11">
        <f>IF(INPUT!M449="","",INPUT!M449)</f>
        <v>45898</v>
      </c>
      <c r="B454" s="11">
        <f>IF(INPUT!M449="","",INPUT!M449-WEEKDAY(INPUT!M449,2)+1)</f>
        <v>45894</v>
      </c>
      <c r="C454" s="20">
        <f>IFERROR(_xlfn.ISOWEEKNUM(INPUT!M449),"")</f>
        <v>35</v>
      </c>
      <c r="D454" s="20">
        <f>IFERROR(YEAR(INPUT!M449),"")</f>
        <v>2025</v>
      </c>
      <c r="E454" t="str">
        <f>IF(INPUT!O449="","",INPUT!O449)</f>
        <v>RAYA</v>
      </c>
      <c r="F454" t="str">
        <f>IF(INPUT!N449="","",INPUT!N449)</f>
        <v>M</v>
      </c>
      <c r="G454" t="str" cm="1">
        <f t="array" ref="G454">IFERROR(VLOOKUP(INPUT!M449&amp;INPUT!N449,CHOOSE({1,2},INPUT!$A$3:$A$5000&amp;INPUT!$C$3:$C$5000,INPUT!$F$3:$F$5000),2,FALSE),"")</f>
        <v>PRE-TEMPORADA</v>
      </c>
      <c r="H454" t="str" cm="1">
        <f t="array" ref="H454">IFERROR(VLOOKUP(INPUT!M449&amp;INPUT!N449,CHOOSE({1,2},INPUT!$A$3:$A$5000&amp;INPUT!$C$3:$C$5000,INPUT!$D$3:$D$5000),2,FALSE),"")</f>
        <v>TEC-TAC</v>
      </c>
      <c r="I454" s="46">
        <f>IF(INPUT!P449="","",INPUT!P449)</f>
        <v>82.8</v>
      </c>
      <c r="J454" s="46">
        <f>IF(INPUT!Q449="","",INPUT!Q449)</f>
        <v>81.400000000000006</v>
      </c>
      <c r="K454" s="46">
        <f>IFERROR(IF(OR(INPUT!P449="",INPUT!Q449=""),"",INPUT!P449-INPUT!Q449),"")</f>
        <v>1.3999999999999915</v>
      </c>
      <c r="L454" s="48">
        <f>IFERROR(IF(OR(INPUT!P449="",INPUT!Q449="",INPUT!P449=0),"",(INPUT!P449-INPUT!Q449)/INPUT!P449),"")</f>
        <v>1.6908212560386372E-2</v>
      </c>
    </row>
    <row r="455" spans="1:12" ht="18" hidden="1" customHeight="1" x14ac:dyDescent="0.2">
      <c r="A455" s="11">
        <f>IF(INPUT!M450="","",INPUT!M450)</f>
        <v>45898</v>
      </c>
      <c r="B455" s="11">
        <f>IF(INPUT!M450="","",INPUT!M450-WEEKDAY(INPUT!M450,2)+1)</f>
        <v>45894</v>
      </c>
      <c r="C455" s="20">
        <f>IFERROR(_xlfn.ISOWEEKNUM(INPUT!M450),"")</f>
        <v>35</v>
      </c>
      <c r="D455" s="20">
        <f>IFERROR(YEAR(INPUT!M450),"")</f>
        <v>2025</v>
      </c>
      <c r="E455" t="str">
        <f>IF(INPUT!O450="","",INPUT!O450)</f>
        <v>JAVI</v>
      </c>
      <c r="F455" t="str">
        <f>IF(INPUT!N450="","",INPUT!N450)</f>
        <v>M</v>
      </c>
      <c r="G455" t="str" cm="1">
        <f t="array" ref="G455">IFERROR(VLOOKUP(INPUT!M450&amp;INPUT!N450,CHOOSE({1,2},INPUT!$A$3:$A$5000&amp;INPUT!$C$3:$C$5000,INPUT!$F$3:$F$5000),2,FALSE),"")</f>
        <v>PRE-TEMPORADA</v>
      </c>
      <c r="H455" t="str" cm="1">
        <f t="array" ref="H455">IFERROR(VLOOKUP(INPUT!M450&amp;INPUT!N450,CHOOSE({1,2},INPUT!$A$3:$A$5000&amp;INPUT!$C$3:$C$5000,INPUT!$D$3:$D$5000),2,FALSE),"")</f>
        <v>TEC-TAC</v>
      </c>
      <c r="I455" s="46">
        <f>IF(INPUT!P450="","",INPUT!P450)</f>
        <v>80.2</v>
      </c>
      <c r="J455" s="46">
        <f>IF(INPUT!Q450="","",INPUT!Q450)</f>
        <v>79.8</v>
      </c>
      <c r="K455" s="46">
        <f>IFERROR(IF(OR(INPUT!P450="",INPUT!Q450=""),"",INPUT!P450-INPUT!Q450),"")</f>
        <v>0.40000000000000568</v>
      </c>
      <c r="L455" s="48">
        <f>IFERROR(IF(OR(INPUT!P450="",INPUT!Q450="",INPUT!P450=0),"",(INPUT!P450-INPUT!Q450)/INPUT!P450),"")</f>
        <v>4.9875311720698964E-3</v>
      </c>
    </row>
    <row r="456" spans="1:12" ht="18" hidden="1" customHeight="1" x14ac:dyDescent="0.2">
      <c r="A456" s="11">
        <f>IF(INPUT!M451="","",INPUT!M451)</f>
        <v>45898</v>
      </c>
      <c r="B456" s="11">
        <f>IF(INPUT!M451="","",INPUT!M451-WEEKDAY(INPUT!M451,2)+1)</f>
        <v>45894</v>
      </c>
      <c r="C456" s="20">
        <f>IFERROR(_xlfn.ISOWEEKNUM(INPUT!M451),"")</f>
        <v>35</v>
      </c>
      <c r="D456" s="20">
        <f>IFERROR(YEAR(INPUT!M451),"")</f>
        <v>2025</v>
      </c>
      <c r="E456" t="str">
        <f>IF(INPUT!O451="","",INPUT!O451)</f>
        <v>PANI</v>
      </c>
      <c r="F456" t="str">
        <f>IF(INPUT!N451="","",INPUT!N451)</f>
        <v>M</v>
      </c>
      <c r="G456" t="str" cm="1">
        <f t="array" ref="G456">IFERROR(VLOOKUP(INPUT!M451&amp;INPUT!N451,CHOOSE({1,2},INPUT!$A$3:$A$5000&amp;INPUT!$C$3:$C$5000,INPUT!$F$3:$F$5000),2,FALSE),"")</f>
        <v>PRE-TEMPORADA</v>
      </c>
      <c r="H456" t="str" cm="1">
        <f t="array" ref="H456">IFERROR(VLOOKUP(INPUT!M451&amp;INPUT!N451,CHOOSE({1,2},INPUT!$A$3:$A$5000&amp;INPUT!$C$3:$C$5000,INPUT!$D$3:$D$5000),2,FALSE),"")</f>
        <v>TEC-TAC</v>
      </c>
      <c r="I456" s="46">
        <f>IF(INPUT!P451="","",INPUT!P451)</f>
        <v>70.8</v>
      </c>
      <c r="J456" s="46">
        <f>IF(INPUT!Q451="","",INPUT!Q451)</f>
        <v>70.5</v>
      </c>
      <c r="K456" s="46">
        <f>IFERROR(IF(OR(INPUT!P451="",INPUT!Q451=""),"",INPUT!P451-INPUT!Q451),"")</f>
        <v>0.29999999999999716</v>
      </c>
      <c r="L456" s="48">
        <f>IFERROR(IF(OR(INPUT!P451="",INPUT!Q451="",INPUT!P451=0),"",(INPUT!P451-INPUT!Q451)/INPUT!P451),"")</f>
        <v>4.2372881355931804E-3</v>
      </c>
    </row>
    <row r="457" spans="1:12" ht="18" hidden="1" customHeight="1" x14ac:dyDescent="0.2">
      <c r="A457" s="11">
        <f>IF(INPUT!M452="","",INPUT!M452)</f>
        <v>45898</v>
      </c>
      <c r="B457" s="11">
        <f>IF(INPUT!M452="","",INPUT!M452-WEEKDAY(INPUT!M452,2)+1)</f>
        <v>45894</v>
      </c>
      <c r="C457" s="20">
        <f>IFERROR(_xlfn.ISOWEEKNUM(INPUT!M452),"")</f>
        <v>35</v>
      </c>
      <c r="D457" s="20">
        <f>IFERROR(YEAR(INPUT!M452),"")</f>
        <v>2025</v>
      </c>
      <c r="E457" t="str">
        <f>IF(INPUT!O452="","",INPUT!O452)</f>
        <v>PIRATA</v>
      </c>
      <c r="F457" t="str">
        <f>IF(INPUT!N452="","",INPUT!N452)</f>
        <v>M</v>
      </c>
      <c r="G457" t="str" cm="1">
        <f t="array" ref="G457">IFERROR(VLOOKUP(INPUT!M452&amp;INPUT!N452,CHOOSE({1,2},INPUT!$A$3:$A$5000&amp;INPUT!$C$3:$C$5000,INPUT!$F$3:$F$5000),2,FALSE),"")</f>
        <v>PRE-TEMPORADA</v>
      </c>
      <c r="H457" t="str" cm="1">
        <f t="array" ref="H457">IFERROR(VLOOKUP(INPUT!M452&amp;INPUT!N452,CHOOSE({1,2},INPUT!$A$3:$A$5000&amp;INPUT!$C$3:$C$5000,INPUT!$D$3:$D$5000),2,FALSE),"")</f>
        <v>TEC-TAC</v>
      </c>
      <c r="I457" s="46">
        <f>IF(INPUT!P452="","",INPUT!P452)</f>
        <v>75.400000000000006</v>
      </c>
      <c r="J457" s="46">
        <f>IF(INPUT!Q452="","",INPUT!Q452)</f>
        <v>75.099999999999994</v>
      </c>
      <c r="K457" s="46">
        <f>IFERROR(IF(OR(INPUT!P452="",INPUT!Q452=""),"",INPUT!P452-INPUT!Q452),"")</f>
        <v>0.30000000000001137</v>
      </c>
      <c r="L457" s="48">
        <f>IFERROR(IF(OR(INPUT!P452="",INPUT!Q452="",INPUT!P452=0),"",(INPUT!P452-INPUT!Q452)/INPUT!P452),"")</f>
        <v>3.9787798408489564E-3</v>
      </c>
    </row>
    <row r="458" spans="1:12" ht="18" hidden="1" customHeight="1" x14ac:dyDescent="0.2">
      <c r="A458" s="11">
        <f>IF(INPUT!M453="","",INPUT!M453)</f>
        <v>45898</v>
      </c>
      <c r="B458" s="11">
        <f>IF(INPUT!M453="","",INPUT!M453-WEEKDAY(INPUT!M453,2)+1)</f>
        <v>45894</v>
      </c>
      <c r="C458" s="20">
        <f>IFERROR(_xlfn.ISOWEEKNUM(INPUT!M453),"")</f>
        <v>35</v>
      </c>
      <c r="D458" s="20">
        <f>IFERROR(YEAR(INPUT!M453),"")</f>
        <v>2025</v>
      </c>
      <c r="E458" t="str">
        <f>IF(INPUT!O453="","",INPUT!O453)</f>
        <v>BARONA</v>
      </c>
      <c r="F458" t="str">
        <f>IF(INPUT!N453="","",INPUT!N453)</f>
        <v>M</v>
      </c>
      <c r="G458" t="str" cm="1">
        <f t="array" ref="G458">IFERROR(VLOOKUP(INPUT!M453&amp;INPUT!N453,CHOOSE({1,2},INPUT!$A$3:$A$5000&amp;INPUT!$C$3:$C$5000,INPUT!$F$3:$F$5000),2,FALSE),"")</f>
        <v>PRE-TEMPORADA</v>
      </c>
      <c r="H458" t="str" cm="1">
        <f t="array" ref="H458">IFERROR(VLOOKUP(INPUT!M453&amp;INPUT!N453,CHOOSE({1,2},INPUT!$A$3:$A$5000&amp;INPUT!$C$3:$C$5000,INPUT!$D$3:$D$5000),2,FALSE),"")</f>
        <v>TEC-TAC</v>
      </c>
      <c r="I458" s="46">
        <f>IF(INPUT!P453="","",INPUT!P453)</f>
        <v>70.599999999999994</v>
      </c>
      <c r="J458" s="46">
        <f>IF(INPUT!Q453="","",INPUT!Q453)</f>
        <v>70</v>
      </c>
      <c r="K458" s="46">
        <f>IFERROR(IF(OR(INPUT!P453="",INPUT!Q453=""),"",INPUT!P453-INPUT!Q453),"")</f>
        <v>0.59999999999999432</v>
      </c>
      <c r="L458" s="48">
        <f>IFERROR(IF(OR(INPUT!P453="",INPUT!Q453="",INPUT!P453=0),"",(INPUT!P453-INPUT!Q453)/INPUT!P453),"")</f>
        <v>8.4985835694050185E-3</v>
      </c>
    </row>
    <row r="459" spans="1:12" ht="18" hidden="1" customHeight="1" x14ac:dyDescent="0.2">
      <c r="A459" s="11">
        <f>IF(INPUT!M454="","",INPUT!M454)</f>
        <v>45898</v>
      </c>
      <c r="B459" s="11">
        <f>IF(INPUT!M454="","",INPUT!M454-WEEKDAY(INPUT!M454,2)+1)</f>
        <v>45894</v>
      </c>
      <c r="C459" s="20">
        <f>IFERROR(_xlfn.ISOWEEKNUM(INPUT!M454),"")</f>
        <v>35</v>
      </c>
      <c r="D459" s="20">
        <f>IFERROR(YEAR(INPUT!M454),"")</f>
        <v>2025</v>
      </c>
      <c r="E459" t="str">
        <f>IF(INPUT!O454="","",INPUT!O454)</f>
        <v>CARLOS</v>
      </c>
      <c r="F459" t="str">
        <f>IF(INPUT!N454="","",INPUT!N454)</f>
        <v>M</v>
      </c>
      <c r="G459" t="str" cm="1">
        <f t="array" ref="G459">IFERROR(VLOOKUP(INPUT!M454&amp;INPUT!N454,CHOOSE({1,2},INPUT!$A$3:$A$5000&amp;INPUT!$C$3:$C$5000,INPUT!$F$3:$F$5000),2,FALSE),"")</f>
        <v>PRE-TEMPORADA</v>
      </c>
      <c r="H459" t="str" cm="1">
        <f t="array" ref="H459">IFERROR(VLOOKUP(INPUT!M454&amp;INPUT!N454,CHOOSE({1,2},INPUT!$A$3:$A$5000&amp;INPUT!$C$3:$C$5000,INPUT!$D$3:$D$5000),2,FALSE),"")</f>
        <v>TEC-TAC</v>
      </c>
      <c r="I459" s="46">
        <f>IF(INPUT!P454="","",INPUT!P454)</f>
        <v>67</v>
      </c>
      <c r="J459" s="46">
        <f>IF(INPUT!Q454="","",INPUT!Q454)</f>
        <v>67.099999999999994</v>
      </c>
      <c r="K459" s="46">
        <f>IFERROR(IF(OR(INPUT!P454="",INPUT!Q454=""),"",INPUT!P454-INPUT!Q454),"")</f>
        <v>-9.9999999999994316E-2</v>
      </c>
      <c r="L459" s="48">
        <f>IFERROR(IF(OR(INPUT!P454="",INPUT!Q454="",INPUT!P454=0),"",(INPUT!P454-INPUT!Q454)/INPUT!P454),"")</f>
        <v>-1.4925373134327511E-3</v>
      </c>
    </row>
    <row r="460" spans="1:12" ht="18" hidden="1" customHeight="1" x14ac:dyDescent="0.2">
      <c r="A460" s="11">
        <f>IF(INPUT!M455="","",INPUT!M455)</f>
        <v>45898</v>
      </c>
      <c r="B460" s="11">
        <f>IF(INPUT!M455="","",INPUT!M455-WEEKDAY(INPUT!M455,2)+1)</f>
        <v>45894</v>
      </c>
      <c r="C460" s="20">
        <f>IFERROR(_xlfn.ISOWEEKNUM(INPUT!M455),"")</f>
        <v>35</v>
      </c>
      <c r="D460" s="20">
        <f>IFERROR(YEAR(INPUT!M455),"")</f>
        <v>2025</v>
      </c>
      <c r="E460" t="str">
        <f>IF(INPUT!O455="","",INPUT!O455)</f>
        <v>GONZALO</v>
      </c>
      <c r="F460" t="str">
        <f>IF(INPUT!N455="","",INPUT!N455)</f>
        <v>M</v>
      </c>
      <c r="G460" t="str" cm="1">
        <f t="array" ref="G460">IFERROR(VLOOKUP(INPUT!M455&amp;INPUT!N455,CHOOSE({1,2},INPUT!$A$3:$A$5000&amp;INPUT!$C$3:$C$5000,INPUT!$F$3:$F$5000),2,FALSE),"")</f>
        <v>PRE-TEMPORADA</v>
      </c>
      <c r="H460" t="str" cm="1">
        <f t="array" ref="H460">IFERROR(VLOOKUP(INPUT!M455&amp;INPUT!N455,CHOOSE({1,2},INPUT!$A$3:$A$5000&amp;INPUT!$C$3:$C$5000,INPUT!$D$3:$D$5000),2,FALSE),"")</f>
        <v>TEC-TAC</v>
      </c>
      <c r="I460" s="46">
        <f>IF(INPUT!P455="","",INPUT!P455)</f>
        <v>84.8</v>
      </c>
      <c r="J460" s="46">
        <f>IF(INPUT!Q455="","",INPUT!Q455)</f>
        <v>85.3</v>
      </c>
      <c r="K460" s="46">
        <f>IFERROR(IF(OR(INPUT!P455="",INPUT!Q455=""),"",INPUT!P455-INPUT!Q455),"")</f>
        <v>-0.5</v>
      </c>
      <c r="L460" s="48">
        <f>IFERROR(IF(OR(INPUT!P455="",INPUT!Q455="",INPUT!P455=0),"",(INPUT!P455-INPUT!Q455)/INPUT!P455),"")</f>
        <v>-5.89622641509434E-3</v>
      </c>
    </row>
    <row r="461" spans="1:12" ht="18" hidden="1" customHeight="1" x14ac:dyDescent="0.2">
      <c r="A461" s="11">
        <f>IF(INPUT!M456="","",INPUT!M456)</f>
        <v>45898</v>
      </c>
      <c r="B461" s="11">
        <f>IF(INPUT!M456="","",INPUT!M456-WEEKDAY(INPUT!M456,2)+1)</f>
        <v>45894</v>
      </c>
      <c r="C461" s="20">
        <f>IFERROR(_xlfn.ISOWEEKNUM(INPUT!M456),"")</f>
        <v>35</v>
      </c>
      <c r="D461" s="20">
        <f>IFERROR(YEAR(INPUT!M456),"")</f>
        <v>2025</v>
      </c>
      <c r="E461" t="str">
        <f>IF(INPUT!O456="","",INPUT!O456)</f>
        <v>RUBIO</v>
      </c>
      <c r="F461" t="str">
        <f>IF(INPUT!N456="","",INPUT!N456)</f>
        <v>M</v>
      </c>
      <c r="G461" t="str" cm="1">
        <f t="array" ref="G461">IFERROR(VLOOKUP(INPUT!M456&amp;INPUT!N456,CHOOSE({1,2},INPUT!$A$3:$A$5000&amp;INPUT!$C$3:$C$5000,INPUT!$F$3:$F$5000),2,FALSE),"")</f>
        <v>PRE-TEMPORADA</v>
      </c>
      <c r="H461" t="str" cm="1">
        <f t="array" ref="H461">IFERROR(VLOOKUP(INPUT!M456&amp;INPUT!N456,CHOOSE({1,2},INPUT!$A$3:$A$5000&amp;INPUT!$C$3:$C$5000,INPUT!$D$3:$D$5000),2,FALSE),"")</f>
        <v>TEC-TAC</v>
      </c>
      <c r="I461" s="46">
        <f>IF(INPUT!P456="","",INPUT!P456)</f>
        <v>74.7</v>
      </c>
      <c r="J461" s="46">
        <f>IF(INPUT!Q456="","",INPUT!Q456)</f>
        <v>74.599999999999994</v>
      </c>
      <c r="K461" s="46">
        <f>IFERROR(IF(OR(INPUT!P456="",INPUT!Q456=""),"",INPUT!P456-INPUT!Q456),"")</f>
        <v>0.10000000000000853</v>
      </c>
      <c r="L461" s="48">
        <f>IFERROR(IF(OR(INPUT!P456="",INPUT!Q456="",INPUT!P456=0),"",(INPUT!P456-INPUT!Q456)/INPUT!P456),"")</f>
        <v>1.3386880856761515E-3</v>
      </c>
    </row>
    <row r="462" spans="1:12" ht="18" hidden="1" customHeight="1" x14ac:dyDescent="0.2">
      <c r="A462" s="11">
        <f>IF(INPUT!M457="","",INPUT!M457)</f>
        <v>45898</v>
      </c>
      <c r="B462" s="11">
        <f>IF(INPUT!M457="","",INPUT!M457-WEEKDAY(INPUT!M457,2)+1)</f>
        <v>45894</v>
      </c>
      <c r="C462" s="20">
        <f>IFERROR(_xlfn.ISOWEEKNUM(INPUT!M457),"")</f>
        <v>35</v>
      </c>
      <c r="D462" s="20">
        <f>IFERROR(YEAR(INPUT!M457),"")</f>
        <v>2025</v>
      </c>
      <c r="E462" t="str">
        <f>IF(INPUT!O457="","",INPUT!O457)</f>
        <v>DANI</v>
      </c>
      <c r="F462" t="str">
        <f>IF(INPUT!N457="","",INPUT!N457)</f>
        <v>M</v>
      </c>
      <c r="G462" t="str" cm="1">
        <f t="array" ref="G462">IFERROR(VLOOKUP(INPUT!M457&amp;INPUT!N457,CHOOSE({1,2},INPUT!$A$3:$A$5000&amp;INPUT!$C$3:$C$5000,INPUT!$F$3:$F$5000),2,FALSE),"")</f>
        <v>PRE-TEMPORADA</v>
      </c>
      <c r="H462" t="str" cm="1">
        <f t="array" ref="H462">IFERROR(VLOOKUP(INPUT!M457&amp;INPUT!N457,CHOOSE({1,2},INPUT!$A$3:$A$5000&amp;INPUT!$C$3:$C$5000,INPUT!$D$3:$D$5000),2,FALSE),"")</f>
        <v>TEC-TAC</v>
      </c>
      <c r="I462" s="46">
        <f>IF(INPUT!P457="","",INPUT!P457)</f>
        <v>93.3</v>
      </c>
      <c r="J462" s="46">
        <f>IF(INPUT!Q457="","",INPUT!Q457)</f>
        <v>93.1</v>
      </c>
      <c r="K462" s="46">
        <f>IFERROR(IF(OR(INPUT!P457="",INPUT!Q457=""),"",INPUT!P457-INPUT!Q457),"")</f>
        <v>0.20000000000000284</v>
      </c>
      <c r="L462" s="48">
        <f>IFERROR(IF(OR(INPUT!P457="",INPUT!Q457="",INPUT!P457=0),"",(INPUT!P457-INPUT!Q457)/INPUT!P457),"")</f>
        <v>2.1436227224008878E-3</v>
      </c>
    </row>
    <row r="463" spans="1:12" ht="18" hidden="1" customHeight="1" x14ac:dyDescent="0.2">
      <c r="A463" s="11">
        <f>IF(INPUT!M458="","",INPUT!M458)</f>
        <v>45902</v>
      </c>
      <c r="B463" s="11">
        <f>IF(INPUT!M458="","",INPUT!M458-WEEKDAY(INPUT!M458,2)+1)</f>
        <v>45901</v>
      </c>
      <c r="C463" s="20">
        <f>IFERROR(_xlfn.ISOWEEKNUM(INPUT!M458),"")</f>
        <v>36</v>
      </c>
      <c r="D463" s="20">
        <f>IFERROR(YEAR(INPUT!M458),"")</f>
        <v>2025</v>
      </c>
      <c r="E463" t="str">
        <f>IF(INPUT!O458="","",INPUT!O458)</f>
        <v>HERRERO</v>
      </c>
      <c r="F463" t="str">
        <f>IF(INPUT!N458="","",INPUT!N458)</f>
        <v>M</v>
      </c>
      <c r="G463" t="str" cm="1">
        <f t="array" ref="G463">IFERROR(VLOOKUP(INPUT!M458&amp;INPUT!N458,CHOOSE({1,2},INPUT!$A$3:$A$5000&amp;INPUT!$C$3:$C$5000,INPUT!$F$3:$F$5000),2,FALSE),"")</f>
        <v>PRE-TEMPORADA</v>
      </c>
      <c r="H463" t="str" cm="1">
        <f t="array" ref="H463">IFERROR(VLOOKUP(INPUT!M458&amp;INPUT!N458,CHOOSE({1,2},INPUT!$A$3:$A$5000&amp;INPUT!$C$3:$C$5000,INPUT!$D$3:$D$5000),2,FALSE),"")</f>
        <v>TEC-TAC</v>
      </c>
      <c r="I463" s="46">
        <f>IF(INPUT!P458="","",INPUT!P458)</f>
        <v>76.8</v>
      </c>
      <c r="J463" s="46">
        <f>IF(INPUT!Q458="","",INPUT!Q458)</f>
        <v>76</v>
      </c>
      <c r="K463" s="46">
        <f>IFERROR(IF(OR(INPUT!P458="",INPUT!Q458=""),"",INPUT!P458-INPUT!Q458),"")</f>
        <v>0.79999999999999716</v>
      </c>
      <c r="L463" s="48">
        <f>IFERROR(IF(OR(INPUT!P458="",INPUT!Q458="",INPUT!P458=0),"",(INPUT!P458-INPUT!Q458)/INPUT!P458),"")</f>
        <v>1.041666666666663E-2</v>
      </c>
    </row>
    <row r="464" spans="1:12" ht="18" hidden="1" customHeight="1" x14ac:dyDescent="0.2">
      <c r="A464" s="11">
        <f>IF(INPUT!M459="","",INPUT!M459)</f>
        <v>45902</v>
      </c>
      <c r="B464" s="11">
        <f>IF(INPUT!M459="","",INPUT!M459-WEEKDAY(INPUT!M459,2)+1)</f>
        <v>45901</v>
      </c>
      <c r="C464" s="20">
        <f>IFERROR(_xlfn.ISOWEEKNUM(INPUT!M459),"")</f>
        <v>36</v>
      </c>
      <c r="D464" s="20">
        <f>IFERROR(YEAR(INPUT!M459),"")</f>
        <v>2025</v>
      </c>
      <c r="E464" t="str">
        <f>IF(INPUT!O459="","",INPUT!O459)</f>
        <v>GARCIA</v>
      </c>
      <c r="F464" t="str">
        <f>IF(INPUT!N459="","",INPUT!N459)</f>
        <v>M</v>
      </c>
      <c r="G464" t="str" cm="1">
        <f t="array" ref="G464">IFERROR(VLOOKUP(INPUT!M459&amp;INPUT!N459,CHOOSE({1,2},INPUT!$A$3:$A$5000&amp;INPUT!$C$3:$C$5000,INPUT!$F$3:$F$5000),2,FALSE),"")</f>
        <v>PRE-TEMPORADA</v>
      </c>
      <c r="H464" t="str" cm="1">
        <f t="array" ref="H464">IFERROR(VLOOKUP(INPUT!M459&amp;INPUT!N459,CHOOSE({1,2},INPUT!$A$3:$A$5000&amp;INPUT!$C$3:$C$5000,INPUT!$D$3:$D$5000),2,FALSE),"")</f>
        <v>TEC-TAC</v>
      </c>
      <c r="I464" s="46">
        <f>IF(INPUT!P459="","",INPUT!P459)</f>
        <v>79</v>
      </c>
      <c r="J464" s="46">
        <f>IF(INPUT!Q459="","",INPUT!Q459)</f>
        <v>78.8</v>
      </c>
      <c r="K464" s="46">
        <f>IFERROR(IF(OR(INPUT!P459="",INPUT!Q459=""),"",INPUT!P459-INPUT!Q459),"")</f>
        <v>0.20000000000000284</v>
      </c>
      <c r="L464" s="48">
        <f>IFERROR(IF(OR(INPUT!P459="",INPUT!Q459="",INPUT!P459=0),"",(INPUT!P459-INPUT!Q459)/INPUT!P459),"")</f>
        <v>2.5316455696202892E-3</v>
      </c>
    </row>
    <row r="465" spans="1:12" ht="18" hidden="1" customHeight="1" x14ac:dyDescent="0.2">
      <c r="A465" s="11">
        <f>IF(INPUT!M460="","",INPUT!M460)</f>
        <v>45902</v>
      </c>
      <c r="B465" s="11">
        <f>IF(INPUT!M460="","",INPUT!M460-WEEKDAY(INPUT!M460,2)+1)</f>
        <v>45901</v>
      </c>
      <c r="C465" s="20">
        <f>IFERROR(_xlfn.ISOWEEKNUM(INPUT!M460),"")</f>
        <v>36</v>
      </c>
      <c r="D465" s="20">
        <f>IFERROR(YEAR(INPUT!M460),"")</f>
        <v>2025</v>
      </c>
      <c r="E465" t="str">
        <f>IF(INPUT!O460="","",INPUT!O460)</f>
        <v>OSCAR</v>
      </c>
      <c r="F465" t="str">
        <f>IF(INPUT!N460="","",INPUT!N460)</f>
        <v>M</v>
      </c>
      <c r="G465" t="str" cm="1">
        <f t="array" ref="G465">IFERROR(VLOOKUP(INPUT!M460&amp;INPUT!N460,CHOOSE({1,2},INPUT!$A$3:$A$5000&amp;INPUT!$C$3:$C$5000,INPUT!$F$3:$F$5000),2,FALSE),"")</f>
        <v>PRE-TEMPORADA</v>
      </c>
      <c r="H465" t="str" cm="1">
        <f t="array" ref="H465">IFERROR(VLOOKUP(INPUT!M460&amp;INPUT!N460,CHOOSE({1,2},INPUT!$A$3:$A$5000&amp;INPUT!$C$3:$C$5000,INPUT!$D$3:$D$5000),2,FALSE),"")</f>
        <v>TEC-TAC</v>
      </c>
      <c r="I465" s="46">
        <f>IF(INPUT!P460="","",INPUT!P460)</f>
        <v>89</v>
      </c>
      <c r="J465" s="46">
        <f>IF(INPUT!Q460="","",INPUT!Q460)</f>
        <v>87.4</v>
      </c>
      <c r="K465" s="46">
        <f>IFERROR(IF(OR(INPUT!P460="",INPUT!Q460=""),"",INPUT!P460-INPUT!Q460),"")</f>
        <v>1.5999999999999943</v>
      </c>
      <c r="L465" s="48">
        <f>IFERROR(IF(OR(INPUT!P460="",INPUT!Q460="",INPUT!P460=0),"",(INPUT!P460-INPUT!Q460)/INPUT!P460),"")</f>
        <v>1.7977528089887576E-2</v>
      </c>
    </row>
    <row r="466" spans="1:12" ht="18" hidden="1" customHeight="1" x14ac:dyDescent="0.2">
      <c r="A466" s="11">
        <f>IF(INPUT!M461="","",INPUT!M461)</f>
        <v>45902</v>
      </c>
      <c r="B466" s="11">
        <f>IF(INPUT!M461="","",INPUT!M461-WEEKDAY(INPUT!M461,2)+1)</f>
        <v>45901</v>
      </c>
      <c r="C466" s="20">
        <f>IFERROR(_xlfn.ISOWEEKNUM(INPUT!M461),"")</f>
        <v>36</v>
      </c>
      <c r="D466" s="20">
        <f>IFERROR(YEAR(INPUT!M461),"")</f>
        <v>2025</v>
      </c>
      <c r="E466" t="str">
        <f>IF(INPUT!O461="","",INPUT!O461)</f>
        <v>CECILIO</v>
      </c>
      <c r="F466" t="str">
        <f>IF(INPUT!N461="","",INPUT!N461)</f>
        <v>M</v>
      </c>
      <c r="G466" t="str" cm="1">
        <f t="array" ref="G466">IFERROR(VLOOKUP(INPUT!M461&amp;INPUT!N461,CHOOSE({1,2},INPUT!$A$3:$A$5000&amp;INPUT!$C$3:$C$5000,INPUT!$F$3:$F$5000),2,FALSE),"")</f>
        <v>PRE-TEMPORADA</v>
      </c>
      <c r="H466" t="str" cm="1">
        <f t="array" ref="H466">IFERROR(VLOOKUP(INPUT!M461&amp;INPUT!N461,CHOOSE({1,2},INPUT!$A$3:$A$5000&amp;INPUT!$C$3:$C$5000,INPUT!$D$3:$D$5000),2,FALSE),"")</f>
        <v>TEC-TAC</v>
      </c>
      <c r="I466" s="46">
        <f>IF(INPUT!P461="","",INPUT!P461)</f>
        <v>68.2</v>
      </c>
      <c r="J466" s="46">
        <f>IF(INPUT!Q461="","",INPUT!Q461)</f>
        <v>67.8</v>
      </c>
      <c r="K466" s="46">
        <f>IFERROR(IF(OR(INPUT!P461="",INPUT!Q461=""),"",INPUT!P461-INPUT!Q461),"")</f>
        <v>0.40000000000000568</v>
      </c>
      <c r="L466" s="48">
        <f>IFERROR(IF(OR(INPUT!P461="",INPUT!Q461="",INPUT!P461=0),"",(INPUT!P461-INPUT!Q461)/INPUT!P461),"")</f>
        <v>5.8651026392962709E-3</v>
      </c>
    </row>
    <row r="467" spans="1:12" ht="18" hidden="1" customHeight="1" x14ac:dyDescent="0.2">
      <c r="A467" s="11">
        <f>IF(INPUT!M462="","",INPUT!M462)</f>
        <v>45902</v>
      </c>
      <c r="B467" s="11">
        <f>IF(INPUT!M462="","",INPUT!M462-WEEKDAY(INPUT!M462,2)+1)</f>
        <v>45901</v>
      </c>
      <c r="C467" s="20">
        <f>IFERROR(_xlfn.ISOWEEKNUM(INPUT!M462),"")</f>
        <v>36</v>
      </c>
      <c r="D467" s="20">
        <f>IFERROR(YEAR(INPUT!M462),"")</f>
        <v>2025</v>
      </c>
      <c r="E467" t="str">
        <f>IF(INPUT!O462="","",INPUT!O462)</f>
        <v>CHAGUINHA</v>
      </c>
      <c r="F467" t="str">
        <f>IF(INPUT!N462="","",INPUT!N462)</f>
        <v>M</v>
      </c>
      <c r="G467" t="str" cm="1">
        <f t="array" ref="G467">IFERROR(VLOOKUP(INPUT!M462&amp;INPUT!N462,CHOOSE({1,2},INPUT!$A$3:$A$5000&amp;INPUT!$C$3:$C$5000,INPUT!$F$3:$F$5000),2,FALSE),"")</f>
        <v>PRE-TEMPORADA</v>
      </c>
      <c r="H467" t="str" cm="1">
        <f t="array" ref="H467">IFERROR(VLOOKUP(INPUT!M462&amp;INPUT!N462,CHOOSE({1,2},INPUT!$A$3:$A$5000&amp;INPUT!$C$3:$C$5000,INPUT!$D$3:$D$5000),2,FALSE),"")</f>
        <v>TEC-TAC</v>
      </c>
      <c r="I467" s="46">
        <f>IF(INPUT!P462="","",INPUT!P462)</f>
        <v>69.3</v>
      </c>
      <c r="J467" s="46">
        <f>IF(INPUT!Q462="","",INPUT!Q462)</f>
        <v>68.5</v>
      </c>
      <c r="K467" s="46">
        <f>IFERROR(IF(OR(INPUT!P462="",INPUT!Q462=""),"",INPUT!P462-INPUT!Q462),"")</f>
        <v>0.79999999999999716</v>
      </c>
      <c r="L467" s="48">
        <f>IFERROR(IF(OR(INPUT!P462="",INPUT!Q462="",INPUT!P462=0),"",(INPUT!P462-INPUT!Q462)/INPUT!P462),"")</f>
        <v>1.1544011544011504E-2</v>
      </c>
    </row>
    <row r="468" spans="1:12" ht="18" hidden="1" customHeight="1" x14ac:dyDescent="0.2">
      <c r="A468" s="11">
        <f>IF(INPUT!M463="","",INPUT!M463)</f>
        <v>45902</v>
      </c>
      <c r="B468" s="11">
        <f>IF(INPUT!M463="","",INPUT!M463-WEEKDAY(INPUT!M463,2)+1)</f>
        <v>45901</v>
      </c>
      <c r="C468" s="20">
        <f>IFERROR(_xlfn.ISOWEEKNUM(INPUT!M463),"")</f>
        <v>36</v>
      </c>
      <c r="D468" s="20">
        <f>IFERROR(YEAR(INPUT!M463),"")</f>
        <v>2025</v>
      </c>
      <c r="E468" t="str">
        <f>IF(INPUT!O463="","",INPUT!O463)</f>
        <v>RAUL</v>
      </c>
      <c r="F468" t="str">
        <f>IF(INPUT!N463="","",INPUT!N463)</f>
        <v>M</v>
      </c>
      <c r="G468" t="str" cm="1">
        <f t="array" ref="G468">IFERROR(VLOOKUP(INPUT!M463&amp;INPUT!N463,CHOOSE({1,2},INPUT!$A$3:$A$5000&amp;INPUT!$C$3:$C$5000,INPUT!$F$3:$F$5000),2,FALSE),"")</f>
        <v>PRE-TEMPORADA</v>
      </c>
      <c r="H468" t="str" cm="1">
        <f t="array" ref="H468">IFERROR(VLOOKUP(INPUT!M463&amp;INPUT!N463,CHOOSE({1,2},INPUT!$A$3:$A$5000&amp;INPUT!$C$3:$C$5000,INPUT!$D$3:$D$5000),2,FALSE),"")</f>
        <v>TEC-TAC</v>
      </c>
      <c r="I468" s="46">
        <f>IF(INPUT!P463="","",INPUT!P463)</f>
        <v>80</v>
      </c>
      <c r="J468" s="46">
        <f>IF(INPUT!Q463="","",INPUT!Q463)</f>
        <v>80.099999999999994</v>
      </c>
      <c r="K468" s="46">
        <f>IFERROR(IF(OR(INPUT!P463="",INPUT!Q463=""),"",INPUT!P463-INPUT!Q463),"")</f>
        <v>-9.9999999999994316E-2</v>
      </c>
      <c r="L468" s="48">
        <f>IFERROR(IF(OR(INPUT!P463="",INPUT!Q463="",INPUT!P463=0),"",(INPUT!P463-INPUT!Q463)/INPUT!P463),"")</f>
        <v>-1.2499999999999289E-3</v>
      </c>
    </row>
    <row r="469" spans="1:12" ht="18" hidden="1" customHeight="1" x14ac:dyDescent="0.2">
      <c r="A469" s="11">
        <f>IF(INPUT!M464="","",INPUT!M464)</f>
        <v>45902</v>
      </c>
      <c r="B469" s="11">
        <f>IF(INPUT!M464="","",INPUT!M464-WEEKDAY(INPUT!M464,2)+1)</f>
        <v>45901</v>
      </c>
      <c r="C469" s="20">
        <f>IFERROR(_xlfn.ISOWEEKNUM(INPUT!M464),"")</f>
        <v>36</v>
      </c>
      <c r="D469" s="20">
        <f>IFERROR(YEAR(INPUT!M464),"")</f>
        <v>2025</v>
      </c>
      <c r="E469" t="str">
        <f>IF(INPUT!O464="","",INPUT!O464)</f>
        <v>HARRISON</v>
      </c>
      <c r="F469" t="str">
        <f>IF(INPUT!N464="","",INPUT!N464)</f>
        <v>M</v>
      </c>
      <c r="G469" t="str" cm="1">
        <f t="array" ref="G469">IFERROR(VLOOKUP(INPUT!M464&amp;INPUT!N464,CHOOSE({1,2},INPUT!$A$3:$A$5000&amp;INPUT!$C$3:$C$5000,INPUT!$F$3:$F$5000),2,FALSE),"")</f>
        <v>PRE-TEMPORADA</v>
      </c>
      <c r="H469" t="str" cm="1">
        <f t="array" ref="H469">IFERROR(VLOOKUP(INPUT!M464&amp;INPUT!N464,CHOOSE({1,2},INPUT!$A$3:$A$5000&amp;INPUT!$C$3:$C$5000,INPUT!$D$3:$D$5000),2,FALSE),"")</f>
        <v>TEC-TAC</v>
      </c>
      <c r="I469" s="46">
        <f>IF(INPUT!P464="","",INPUT!P464)</f>
        <v>71.400000000000006</v>
      </c>
      <c r="J469" s="46">
        <f>IF(INPUT!Q464="","",INPUT!Q464)</f>
        <v>71.5</v>
      </c>
      <c r="K469" s="46">
        <f>IFERROR(IF(OR(INPUT!P464="",INPUT!Q464=""),"",INPUT!P464-INPUT!Q464),"")</f>
        <v>-9.9999999999994316E-2</v>
      </c>
      <c r="L469" s="48">
        <f>IFERROR(IF(OR(INPUT!P464="",INPUT!Q464="",INPUT!P464=0),"",(INPUT!P464-INPUT!Q464)/INPUT!P464),"")</f>
        <v>-1.4005602240895561E-3</v>
      </c>
    </row>
    <row r="470" spans="1:12" ht="18" hidden="1" customHeight="1" x14ac:dyDescent="0.2">
      <c r="A470" s="11">
        <f>IF(INPUT!M465="","",INPUT!M465)</f>
        <v>45902</v>
      </c>
      <c r="B470" s="11">
        <f>IF(INPUT!M465="","",INPUT!M465-WEEKDAY(INPUT!M465,2)+1)</f>
        <v>45901</v>
      </c>
      <c r="C470" s="20">
        <f>IFERROR(_xlfn.ISOWEEKNUM(INPUT!M465),"")</f>
        <v>36</v>
      </c>
      <c r="D470" s="20">
        <f>IFERROR(YEAR(INPUT!M465),"")</f>
        <v>2025</v>
      </c>
      <c r="E470" t="str">
        <f>IF(INPUT!O465="","",INPUT!O465)</f>
        <v>JAVI</v>
      </c>
      <c r="F470" t="str">
        <f>IF(INPUT!N465="","",INPUT!N465)</f>
        <v>M</v>
      </c>
      <c r="G470" t="str" cm="1">
        <f t="array" ref="G470">IFERROR(VLOOKUP(INPUT!M465&amp;INPUT!N465,CHOOSE({1,2},INPUT!$A$3:$A$5000&amp;INPUT!$C$3:$C$5000,INPUT!$F$3:$F$5000),2,FALSE),"")</f>
        <v>PRE-TEMPORADA</v>
      </c>
      <c r="H470" t="str" cm="1">
        <f t="array" ref="H470">IFERROR(VLOOKUP(INPUT!M465&amp;INPUT!N465,CHOOSE({1,2},INPUT!$A$3:$A$5000&amp;INPUT!$C$3:$C$5000,INPUT!$D$3:$D$5000),2,FALSE),"")</f>
        <v>TEC-TAC</v>
      </c>
      <c r="I470" s="46">
        <f>IF(INPUT!P465="","",INPUT!P465)</f>
        <v>79.900000000000006</v>
      </c>
      <c r="J470" s="46">
        <f>IF(INPUT!Q465="","",INPUT!Q465)</f>
        <v>79.900000000000006</v>
      </c>
      <c r="K470" s="46">
        <f>IFERROR(IF(OR(INPUT!P465="",INPUT!Q465=""),"",INPUT!P465-INPUT!Q465),"")</f>
        <v>0</v>
      </c>
      <c r="L470" s="48">
        <f>IFERROR(IF(OR(INPUT!P465="",INPUT!Q465="",INPUT!P465=0),"",(INPUT!P465-INPUT!Q465)/INPUT!P465),"")</f>
        <v>0</v>
      </c>
    </row>
    <row r="471" spans="1:12" ht="18" hidden="1" customHeight="1" x14ac:dyDescent="0.2">
      <c r="A471" s="11">
        <f>IF(INPUT!M466="","",INPUT!M466)</f>
        <v>45902</v>
      </c>
      <c r="B471" s="11">
        <f>IF(INPUT!M466="","",INPUT!M466-WEEKDAY(INPUT!M466,2)+1)</f>
        <v>45901</v>
      </c>
      <c r="C471" s="20">
        <f>IFERROR(_xlfn.ISOWEEKNUM(INPUT!M466),"")</f>
        <v>36</v>
      </c>
      <c r="D471" s="20">
        <f>IFERROR(YEAR(INPUT!M466),"")</f>
        <v>2025</v>
      </c>
      <c r="E471" t="str">
        <f>IF(INPUT!O466="","",INPUT!O466)</f>
        <v>PANI</v>
      </c>
      <c r="F471" t="str">
        <f>IF(INPUT!N466="","",INPUT!N466)</f>
        <v>M</v>
      </c>
      <c r="G471" t="str" cm="1">
        <f t="array" ref="G471">IFERROR(VLOOKUP(INPUT!M466&amp;INPUT!N466,CHOOSE({1,2},INPUT!$A$3:$A$5000&amp;INPUT!$C$3:$C$5000,INPUT!$F$3:$F$5000),2,FALSE),"")</f>
        <v>PRE-TEMPORADA</v>
      </c>
      <c r="H471" t="str" cm="1">
        <f t="array" ref="H471">IFERROR(VLOOKUP(INPUT!M466&amp;INPUT!N466,CHOOSE({1,2},INPUT!$A$3:$A$5000&amp;INPUT!$C$3:$C$5000,INPUT!$D$3:$D$5000),2,FALSE),"")</f>
        <v>TEC-TAC</v>
      </c>
      <c r="I471" s="46">
        <f>IF(INPUT!P466="","",INPUT!P466)</f>
        <v>71.400000000000006</v>
      </c>
      <c r="J471" s="46">
        <f>IF(INPUT!Q466="","",INPUT!Q466)</f>
        <v>71</v>
      </c>
      <c r="K471" s="46">
        <f>IFERROR(IF(OR(INPUT!P466="",INPUT!Q466=""),"",INPUT!P466-INPUT!Q466),"")</f>
        <v>0.40000000000000568</v>
      </c>
      <c r="L471" s="48">
        <f>IFERROR(IF(OR(INPUT!P466="",INPUT!Q466="",INPUT!P466=0),"",(INPUT!P466-INPUT!Q466)/INPUT!P466),"")</f>
        <v>5.6022408963586224E-3</v>
      </c>
    </row>
    <row r="472" spans="1:12" ht="18" hidden="1" customHeight="1" x14ac:dyDescent="0.2">
      <c r="A472" s="11">
        <f>IF(INPUT!M467="","",INPUT!M467)</f>
        <v>45902</v>
      </c>
      <c r="B472" s="11">
        <f>IF(INPUT!M467="","",INPUT!M467-WEEKDAY(INPUT!M467,2)+1)</f>
        <v>45901</v>
      </c>
      <c r="C472" s="20">
        <f>IFERROR(_xlfn.ISOWEEKNUM(INPUT!M467),"")</f>
        <v>36</v>
      </c>
      <c r="D472" s="20">
        <f>IFERROR(YEAR(INPUT!M467),"")</f>
        <v>2025</v>
      </c>
      <c r="E472" t="str">
        <f>IF(INPUT!O467="","",INPUT!O467)</f>
        <v>PIRATA</v>
      </c>
      <c r="F472" t="str">
        <f>IF(INPUT!N467="","",INPUT!N467)</f>
        <v>M</v>
      </c>
      <c r="G472" t="str" cm="1">
        <f t="array" ref="G472">IFERROR(VLOOKUP(INPUT!M467&amp;INPUT!N467,CHOOSE({1,2},INPUT!$A$3:$A$5000&amp;INPUT!$C$3:$C$5000,INPUT!$F$3:$F$5000),2,FALSE),"")</f>
        <v>PRE-TEMPORADA</v>
      </c>
      <c r="H472" t="str" cm="1">
        <f t="array" ref="H472">IFERROR(VLOOKUP(INPUT!M467&amp;INPUT!N467,CHOOSE({1,2},INPUT!$A$3:$A$5000&amp;INPUT!$C$3:$C$5000,INPUT!$D$3:$D$5000),2,FALSE),"")</f>
        <v>TEC-TAC</v>
      </c>
      <c r="I472" s="46">
        <f>IF(INPUT!P467="","",INPUT!P467)</f>
        <v>75.7</v>
      </c>
      <c r="J472" s="46">
        <f>IF(INPUT!Q467="","",INPUT!Q467)</f>
        <v>75</v>
      </c>
      <c r="K472" s="46">
        <f>IFERROR(IF(OR(INPUT!P467="",INPUT!Q467=""),"",INPUT!P467-INPUT!Q467),"")</f>
        <v>0.70000000000000284</v>
      </c>
      <c r="L472" s="48">
        <f>IFERROR(IF(OR(INPUT!P467="",INPUT!Q467="",INPUT!P467=0),"",(INPUT!P467-INPUT!Q467)/INPUT!P467),"")</f>
        <v>9.2470277410832604E-3</v>
      </c>
    </row>
    <row r="473" spans="1:12" ht="18" hidden="1" customHeight="1" x14ac:dyDescent="0.2">
      <c r="A473" s="11">
        <f>IF(INPUT!M468="","",INPUT!M468)</f>
        <v>45902</v>
      </c>
      <c r="B473" s="11">
        <f>IF(INPUT!M468="","",INPUT!M468-WEEKDAY(INPUT!M468,2)+1)</f>
        <v>45901</v>
      </c>
      <c r="C473" s="20">
        <f>IFERROR(_xlfn.ISOWEEKNUM(INPUT!M468),"")</f>
        <v>36</v>
      </c>
      <c r="D473" s="20">
        <f>IFERROR(YEAR(INPUT!M468),"")</f>
        <v>2025</v>
      </c>
      <c r="E473" t="str">
        <f>IF(INPUT!O468="","",INPUT!O468)</f>
        <v>BARONA</v>
      </c>
      <c r="F473" t="str">
        <f>IF(INPUT!N468="","",INPUT!N468)</f>
        <v>M</v>
      </c>
      <c r="G473" t="str" cm="1">
        <f t="array" ref="G473">IFERROR(VLOOKUP(INPUT!M468&amp;INPUT!N468,CHOOSE({1,2},INPUT!$A$3:$A$5000&amp;INPUT!$C$3:$C$5000,INPUT!$F$3:$F$5000),2,FALSE),"")</f>
        <v>PRE-TEMPORADA</v>
      </c>
      <c r="H473" t="str" cm="1">
        <f t="array" ref="H473">IFERROR(VLOOKUP(INPUT!M468&amp;INPUT!N468,CHOOSE({1,2},INPUT!$A$3:$A$5000&amp;INPUT!$C$3:$C$5000,INPUT!$D$3:$D$5000),2,FALSE),"")</f>
        <v>TEC-TAC</v>
      </c>
      <c r="I473" s="46">
        <f>IF(INPUT!P468="","",INPUT!P468)</f>
        <v>71.5</v>
      </c>
      <c r="J473" s="46">
        <f>IF(INPUT!Q468="","",INPUT!Q468)</f>
        <v>71.5</v>
      </c>
      <c r="K473" s="46">
        <f>IFERROR(IF(OR(INPUT!P468="",INPUT!Q468=""),"",INPUT!P468-INPUT!Q468),"")</f>
        <v>0</v>
      </c>
      <c r="L473" s="48">
        <f>IFERROR(IF(OR(INPUT!P468="",INPUT!Q468="",INPUT!P468=0),"",(INPUT!P468-INPUT!Q468)/INPUT!P468),"")</f>
        <v>0</v>
      </c>
    </row>
    <row r="474" spans="1:12" ht="18" hidden="1" customHeight="1" x14ac:dyDescent="0.2">
      <c r="A474" s="11">
        <f>IF(INPUT!M469="","",INPUT!M469)</f>
        <v>45902</v>
      </c>
      <c r="B474" s="11">
        <f>IF(INPUT!M469="","",INPUT!M469-WEEKDAY(INPUT!M469,2)+1)</f>
        <v>45901</v>
      </c>
      <c r="C474" s="20">
        <f>IFERROR(_xlfn.ISOWEEKNUM(INPUT!M469),"")</f>
        <v>36</v>
      </c>
      <c r="D474" s="20">
        <f>IFERROR(YEAR(INPUT!M469),"")</f>
        <v>2025</v>
      </c>
      <c r="E474" t="str">
        <f>IF(INPUT!O469="","",INPUT!O469)</f>
        <v>CARLOS</v>
      </c>
      <c r="F474" t="str">
        <f>IF(INPUT!N469="","",INPUT!N469)</f>
        <v>M</v>
      </c>
      <c r="G474" t="str" cm="1">
        <f t="array" ref="G474">IFERROR(VLOOKUP(INPUT!M469&amp;INPUT!N469,CHOOSE({1,2},INPUT!$A$3:$A$5000&amp;INPUT!$C$3:$C$5000,INPUT!$F$3:$F$5000),2,FALSE),"")</f>
        <v>PRE-TEMPORADA</v>
      </c>
      <c r="H474" t="str" cm="1">
        <f t="array" ref="H474">IFERROR(VLOOKUP(INPUT!M469&amp;INPUT!N469,CHOOSE({1,2},INPUT!$A$3:$A$5000&amp;INPUT!$C$3:$C$5000,INPUT!$D$3:$D$5000),2,FALSE),"")</f>
        <v>TEC-TAC</v>
      </c>
      <c r="I474" s="46">
        <f>IF(INPUT!P469="","",INPUT!P469)</f>
        <v>66.7</v>
      </c>
      <c r="J474" s="46">
        <f>IF(INPUT!Q469="","",INPUT!Q469)</f>
        <v>66.8</v>
      </c>
      <c r="K474" s="46">
        <f>IFERROR(IF(OR(INPUT!P469="",INPUT!Q469=""),"",INPUT!P469-INPUT!Q469),"")</f>
        <v>-9.9999999999994316E-2</v>
      </c>
      <c r="L474" s="48">
        <f>IFERROR(IF(OR(INPUT!P469="",INPUT!Q469="",INPUT!P469=0),"",(INPUT!P469-INPUT!Q469)/INPUT!P469),"")</f>
        <v>-1.4992503748125084E-3</v>
      </c>
    </row>
    <row r="475" spans="1:12" ht="18" hidden="1" customHeight="1" x14ac:dyDescent="0.2">
      <c r="A475" s="11">
        <f>IF(INPUT!M470="","",INPUT!M470)</f>
        <v>45902</v>
      </c>
      <c r="B475" s="11">
        <f>IF(INPUT!M470="","",INPUT!M470-WEEKDAY(INPUT!M470,2)+1)</f>
        <v>45901</v>
      </c>
      <c r="C475" s="20">
        <f>IFERROR(_xlfn.ISOWEEKNUM(INPUT!M470),"")</f>
        <v>36</v>
      </c>
      <c r="D475" s="20">
        <f>IFERROR(YEAR(INPUT!M470),"")</f>
        <v>2025</v>
      </c>
      <c r="E475" t="str">
        <f>IF(INPUT!O470="","",INPUT!O470)</f>
        <v>GONZALO</v>
      </c>
      <c r="F475" t="str">
        <f>IF(INPUT!N470="","",INPUT!N470)</f>
        <v>M</v>
      </c>
      <c r="G475" t="str" cm="1">
        <f t="array" ref="G475">IFERROR(VLOOKUP(INPUT!M470&amp;INPUT!N470,CHOOSE({1,2},INPUT!$A$3:$A$5000&amp;INPUT!$C$3:$C$5000,INPUT!$F$3:$F$5000),2,FALSE),"")</f>
        <v>PRE-TEMPORADA</v>
      </c>
      <c r="H475" t="str" cm="1">
        <f t="array" ref="H475">IFERROR(VLOOKUP(INPUT!M470&amp;INPUT!N470,CHOOSE({1,2},INPUT!$A$3:$A$5000&amp;INPUT!$C$3:$C$5000,INPUT!$D$3:$D$5000),2,FALSE),"")</f>
        <v>TEC-TAC</v>
      </c>
      <c r="I475" s="46">
        <f>IF(INPUT!P470="","",INPUT!P470)</f>
        <v>84.8</v>
      </c>
      <c r="J475" s="46">
        <f>IF(INPUT!Q470="","",INPUT!Q470)</f>
        <v>84.9</v>
      </c>
      <c r="K475" s="46">
        <f>IFERROR(IF(OR(INPUT!P470="",INPUT!Q470=""),"",INPUT!P470-INPUT!Q470),"")</f>
        <v>-0.10000000000000853</v>
      </c>
      <c r="L475" s="48">
        <f>IFERROR(IF(OR(INPUT!P470="",INPUT!Q470="",INPUT!P470=0),"",(INPUT!P470-INPUT!Q470)/INPUT!P470),"")</f>
        <v>-1.1792452830189685E-3</v>
      </c>
    </row>
    <row r="476" spans="1:12" ht="18" hidden="1" customHeight="1" x14ac:dyDescent="0.2">
      <c r="A476" s="11">
        <f>IF(INPUT!M471="","",INPUT!M471)</f>
        <v>45902</v>
      </c>
      <c r="B476" s="11">
        <f>IF(INPUT!M471="","",INPUT!M471-WEEKDAY(INPUT!M471,2)+1)</f>
        <v>45901</v>
      </c>
      <c r="C476" s="20">
        <f>IFERROR(_xlfn.ISOWEEKNUM(INPUT!M471),"")</f>
        <v>36</v>
      </c>
      <c r="D476" s="20">
        <f>IFERROR(YEAR(INPUT!M471),"")</f>
        <v>2025</v>
      </c>
      <c r="E476" t="str">
        <f>IF(INPUT!O471="","",INPUT!O471)</f>
        <v>RUBIO</v>
      </c>
      <c r="F476" t="str">
        <f>IF(INPUT!N471="","",INPUT!N471)</f>
        <v>M</v>
      </c>
      <c r="G476" t="str" cm="1">
        <f t="array" ref="G476">IFERROR(VLOOKUP(INPUT!M471&amp;INPUT!N471,CHOOSE({1,2},INPUT!$A$3:$A$5000&amp;INPUT!$C$3:$C$5000,INPUT!$F$3:$F$5000),2,FALSE),"")</f>
        <v>PRE-TEMPORADA</v>
      </c>
      <c r="H476" t="str" cm="1">
        <f t="array" ref="H476">IFERROR(VLOOKUP(INPUT!M471&amp;INPUT!N471,CHOOSE({1,2},INPUT!$A$3:$A$5000&amp;INPUT!$C$3:$C$5000,INPUT!$D$3:$D$5000),2,FALSE),"")</f>
        <v>TEC-TAC</v>
      </c>
      <c r="I476" s="46">
        <f>IF(INPUT!P471="","",INPUT!P471)</f>
        <v>74.8</v>
      </c>
      <c r="J476" s="46">
        <f>IF(INPUT!Q471="","",INPUT!Q471)</f>
        <v>74.5</v>
      </c>
      <c r="K476" s="46">
        <f>IFERROR(IF(OR(INPUT!P471="",INPUT!Q471=""),"",INPUT!P471-INPUT!Q471),"")</f>
        <v>0.29999999999999716</v>
      </c>
      <c r="L476" s="48">
        <f>IFERROR(IF(OR(INPUT!P471="",INPUT!Q471="",INPUT!P471=0),"",(INPUT!P471-INPUT!Q471)/INPUT!P471),"")</f>
        <v>4.0106951871657377E-3</v>
      </c>
    </row>
    <row r="477" spans="1:12" ht="18" hidden="1" customHeight="1" x14ac:dyDescent="0.2">
      <c r="A477" s="11">
        <f>IF(INPUT!M472="","",INPUT!M472)</f>
        <v>45902</v>
      </c>
      <c r="B477" s="11">
        <f>IF(INPUT!M472="","",INPUT!M472-WEEKDAY(INPUT!M472,2)+1)</f>
        <v>45901</v>
      </c>
      <c r="C477" s="20">
        <f>IFERROR(_xlfn.ISOWEEKNUM(INPUT!M472),"")</f>
        <v>36</v>
      </c>
      <c r="D477" s="20">
        <f>IFERROR(YEAR(INPUT!M472),"")</f>
        <v>2025</v>
      </c>
      <c r="E477" t="str">
        <f>IF(INPUT!O472="","",INPUT!O472)</f>
        <v>DANI</v>
      </c>
      <c r="F477" t="str">
        <f>IF(INPUT!N472="","",INPUT!N472)</f>
        <v>M</v>
      </c>
      <c r="G477" t="str" cm="1">
        <f t="array" ref="G477">IFERROR(VLOOKUP(INPUT!M472&amp;INPUT!N472,CHOOSE({1,2},INPUT!$A$3:$A$5000&amp;INPUT!$C$3:$C$5000,INPUT!$F$3:$F$5000),2,FALSE),"")</f>
        <v>PRE-TEMPORADA</v>
      </c>
      <c r="H477" t="str" cm="1">
        <f t="array" ref="H477">IFERROR(VLOOKUP(INPUT!M472&amp;INPUT!N472,CHOOSE({1,2},INPUT!$A$3:$A$5000&amp;INPUT!$C$3:$C$5000,INPUT!$D$3:$D$5000),2,FALSE),"")</f>
        <v>TEC-TAC</v>
      </c>
      <c r="I477" s="46">
        <f>IF(INPUT!P472="","",INPUT!P472)</f>
        <v>93.2</v>
      </c>
      <c r="J477" s="46">
        <f>IF(INPUT!Q472="","",INPUT!Q472)</f>
        <v>92.8</v>
      </c>
      <c r="K477" s="46">
        <f>IFERROR(IF(OR(INPUT!P472="",INPUT!Q472=""),"",INPUT!P472-INPUT!Q472),"")</f>
        <v>0.40000000000000568</v>
      </c>
      <c r="L477" s="48">
        <f>IFERROR(IF(OR(INPUT!P472="",INPUT!Q472="",INPUT!P472=0),"",(INPUT!P472-INPUT!Q472)/INPUT!P472),"")</f>
        <v>4.2918454935622925E-3</v>
      </c>
    </row>
    <row r="478" spans="1:12" ht="18" hidden="1" customHeight="1" x14ac:dyDescent="0.2">
      <c r="A478" s="11">
        <f>IF(INPUT!M473="","",INPUT!M473)</f>
        <v>45903</v>
      </c>
      <c r="B478" s="11">
        <f>IF(INPUT!M473="","",INPUT!M473-WEEKDAY(INPUT!M473,2)+1)</f>
        <v>45901</v>
      </c>
      <c r="C478" s="20">
        <f>IFERROR(_xlfn.ISOWEEKNUM(INPUT!M473),"")</f>
        <v>36</v>
      </c>
      <c r="D478" s="20">
        <f>IFERROR(YEAR(INPUT!M473),"")</f>
        <v>2025</v>
      </c>
      <c r="E478" t="str">
        <f>IF(INPUT!O473="","",INPUT!O473)</f>
        <v>HERRERO</v>
      </c>
      <c r="F478" t="str">
        <f>IF(INPUT!N473="","",INPUT!N473)</f>
        <v>M</v>
      </c>
      <c r="G478" t="str" cm="1">
        <f t="array" ref="G478">IFERROR(VLOOKUP(INPUT!M473&amp;INPUT!N473,CHOOSE({1,2},INPUT!$A$3:$A$5000&amp;INPUT!$C$3:$C$5000,INPUT!$F$3:$F$5000),2,FALSE),"")</f>
        <v>PRE-TEMPORADA</v>
      </c>
      <c r="H478" t="str" cm="1">
        <f t="array" ref="H478">IFERROR(VLOOKUP(INPUT!M473&amp;INPUT!N473,CHOOSE({1,2},INPUT!$A$3:$A$5000&amp;INPUT!$C$3:$C$5000,INPUT!$D$3:$D$5000),2,FALSE),"")</f>
        <v>TEC-TAC</v>
      </c>
      <c r="I478" s="46">
        <f>IF(INPUT!P473="","",INPUT!P473)</f>
        <v>76.8</v>
      </c>
      <c r="J478" s="46">
        <f>IF(INPUT!Q473="","",INPUT!Q473)</f>
        <v>76</v>
      </c>
      <c r="K478" s="46">
        <f>IFERROR(IF(OR(INPUT!P473="",INPUT!Q473=""),"",INPUT!P473-INPUT!Q473),"")</f>
        <v>0.79999999999999716</v>
      </c>
      <c r="L478" s="48">
        <f>IFERROR(IF(OR(INPUT!P473="",INPUT!Q473="",INPUT!P473=0),"",(INPUT!P473-INPUT!Q473)/INPUT!P473),"")</f>
        <v>1.041666666666663E-2</v>
      </c>
    </row>
    <row r="479" spans="1:12" ht="18" hidden="1" customHeight="1" x14ac:dyDescent="0.2">
      <c r="A479" s="11">
        <f>IF(INPUT!M474="","",INPUT!M474)</f>
        <v>45903</v>
      </c>
      <c r="B479" s="11">
        <f>IF(INPUT!M474="","",INPUT!M474-WEEKDAY(INPUT!M474,2)+1)</f>
        <v>45901</v>
      </c>
      <c r="C479" s="20">
        <f>IFERROR(_xlfn.ISOWEEKNUM(INPUT!M474),"")</f>
        <v>36</v>
      </c>
      <c r="D479" s="20">
        <f>IFERROR(YEAR(INPUT!M474),"")</f>
        <v>2025</v>
      </c>
      <c r="E479" t="str">
        <f>IF(INPUT!O474="","",INPUT!O474)</f>
        <v>GARCIA</v>
      </c>
      <c r="F479" t="str">
        <f>IF(INPUT!N474="","",INPUT!N474)</f>
        <v>M</v>
      </c>
      <c r="G479" t="str" cm="1">
        <f t="array" ref="G479">IFERROR(VLOOKUP(INPUT!M474&amp;INPUT!N474,CHOOSE({1,2},INPUT!$A$3:$A$5000&amp;INPUT!$C$3:$C$5000,INPUT!$F$3:$F$5000),2,FALSE),"")</f>
        <v>PRE-TEMPORADA</v>
      </c>
      <c r="H479" t="str" cm="1">
        <f t="array" ref="H479">IFERROR(VLOOKUP(INPUT!M474&amp;INPUT!N474,CHOOSE({1,2},INPUT!$A$3:$A$5000&amp;INPUT!$C$3:$C$5000,INPUT!$D$3:$D$5000),2,FALSE),"")</f>
        <v>TEC-TAC</v>
      </c>
      <c r="I479" s="46">
        <f>IF(INPUT!P474="","",INPUT!P474)</f>
        <v>79.599999999999994</v>
      </c>
      <c r="J479" s="46">
        <f>IF(INPUT!Q474="","",INPUT!Q474)</f>
        <v>79</v>
      </c>
      <c r="K479" s="46">
        <f>IFERROR(IF(OR(INPUT!P474="",INPUT!Q474=""),"",INPUT!P474-INPUT!Q474),"")</f>
        <v>0.59999999999999432</v>
      </c>
      <c r="L479" s="48">
        <f>IFERROR(IF(OR(INPUT!P474="",INPUT!Q474="",INPUT!P474=0),"",(INPUT!P474-INPUT!Q474)/INPUT!P474),"")</f>
        <v>7.5376884422109847E-3</v>
      </c>
    </row>
    <row r="480" spans="1:12" ht="18" hidden="1" customHeight="1" x14ac:dyDescent="0.2">
      <c r="A480" s="11">
        <f>IF(INPUT!M475="","",INPUT!M475)</f>
        <v>45903</v>
      </c>
      <c r="B480" s="11">
        <f>IF(INPUT!M475="","",INPUT!M475-WEEKDAY(INPUT!M475,2)+1)</f>
        <v>45901</v>
      </c>
      <c r="C480" s="20">
        <f>IFERROR(_xlfn.ISOWEEKNUM(INPUT!M475),"")</f>
        <v>36</v>
      </c>
      <c r="D480" s="20">
        <f>IFERROR(YEAR(INPUT!M475),"")</f>
        <v>2025</v>
      </c>
      <c r="E480" t="str">
        <f>IF(INPUT!O475="","",INPUT!O475)</f>
        <v>CECILIO</v>
      </c>
      <c r="F480" t="str">
        <f>IF(INPUT!N475="","",INPUT!N475)</f>
        <v>M</v>
      </c>
      <c r="G480" t="str" cm="1">
        <f t="array" ref="G480">IFERROR(VLOOKUP(INPUT!M475&amp;INPUT!N475,CHOOSE({1,2},INPUT!$A$3:$A$5000&amp;INPUT!$C$3:$C$5000,INPUT!$F$3:$F$5000),2,FALSE),"")</f>
        <v>PRE-TEMPORADA</v>
      </c>
      <c r="H480" t="str" cm="1">
        <f t="array" ref="H480">IFERROR(VLOOKUP(INPUT!M475&amp;INPUT!N475,CHOOSE({1,2},INPUT!$A$3:$A$5000&amp;INPUT!$C$3:$C$5000,INPUT!$D$3:$D$5000),2,FALSE),"")</f>
        <v>TEC-TAC</v>
      </c>
      <c r="I480" s="46">
        <f>IF(INPUT!P475="","",INPUT!P475)</f>
        <v>68</v>
      </c>
      <c r="J480" s="46">
        <f>IF(INPUT!Q475="","",INPUT!Q475)</f>
        <v>67.2</v>
      </c>
      <c r="K480" s="46">
        <f>IFERROR(IF(OR(INPUT!P475="",INPUT!Q475=""),"",INPUT!P475-INPUT!Q475),"")</f>
        <v>0.79999999999999716</v>
      </c>
      <c r="L480" s="48">
        <f>IFERROR(IF(OR(INPUT!P475="",INPUT!Q475="",INPUT!P475=0),"",(INPUT!P475-INPUT!Q475)/INPUT!P475),"")</f>
        <v>1.1764705882352899E-2</v>
      </c>
    </row>
    <row r="481" spans="1:12" ht="18" hidden="1" customHeight="1" x14ac:dyDescent="0.2">
      <c r="A481" s="11">
        <f>IF(INPUT!M476="","",INPUT!M476)</f>
        <v>45903</v>
      </c>
      <c r="B481" s="11">
        <f>IF(INPUT!M476="","",INPUT!M476-WEEKDAY(INPUT!M476,2)+1)</f>
        <v>45901</v>
      </c>
      <c r="C481" s="20">
        <f>IFERROR(_xlfn.ISOWEEKNUM(INPUT!M476),"")</f>
        <v>36</v>
      </c>
      <c r="D481" s="20">
        <f>IFERROR(YEAR(INPUT!M476),"")</f>
        <v>2025</v>
      </c>
      <c r="E481" t="str">
        <f>IF(INPUT!O476="","",INPUT!O476)</f>
        <v>CHAGUINHA</v>
      </c>
      <c r="F481" t="str">
        <f>IF(INPUT!N476="","",INPUT!N476)</f>
        <v>M</v>
      </c>
      <c r="G481" t="str" cm="1">
        <f t="array" ref="G481">IFERROR(VLOOKUP(INPUT!M476&amp;INPUT!N476,CHOOSE({1,2},INPUT!$A$3:$A$5000&amp;INPUT!$C$3:$C$5000,INPUT!$F$3:$F$5000),2,FALSE),"")</f>
        <v>PRE-TEMPORADA</v>
      </c>
      <c r="H481" t="str" cm="1">
        <f t="array" ref="H481">IFERROR(VLOOKUP(INPUT!M476&amp;INPUT!N476,CHOOSE({1,2},INPUT!$A$3:$A$5000&amp;INPUT!$C$3:$C$5000,INPUT!$D$3:$D$5000),2,FALSE),"")</f>
        <v>TEC-TAC</v>
      </c>
      <c r="I481" s="46">
        <f>IF(INPUT!P476="","",INPUT!P476)</f>
        <v>69</v>
      </c>
      <c r="J481" s="46">
        <f>IF(INPUT!Q476="","",INPUT!Q476)</f>
        <v>68.599999999999994</v>
      </c>
      <c r="K481" s="46">
        <f>IFERROR(IF(OR(INPUT!P476="",INPUT!Q476=""),"",INPUT!P476-INPUT!Q476),"")</f>
        <v>0.40000000000000568</v>
      </c>
      <c r="L481" s="48">
        <f>IFERROR(IF(OR(INPUT!P476="",INPUT!Q476="",INPUT!P476=0),"",(INPUT!P476-INPUT!Q476)/INPUT!P476),"")</f>
        <v>5.7971014492754448E-3</v>
      </c>
    </row>
    <row r="482" spans="1:12" ht="18" hidden="1" customHeight="1" x14ac:dyDescent="0.2">
      <c r="A482" s="11">
        <f>IF(INPUT!M477="","",INPUT!M477)</f>
        <v>45903</v>
      </c>
      <c r="B482" s="11">
        <f>IF(INPUT!M477="","",INPUT!M477-WEEKDAY(INPUT!M477,2)+1)</f>
        <v>45901</v>
      </c>
      <c r="C482" s="20">
        <f>IFERROR(_xlfn.ISOWEEKNUM(INPUT!M477),"")</f>
        <v>36</v>
      </c>
      <c r="D482" s="20">
        <f>IFERROR(YEAR(INPUT!M477),"")</f>
        <v>2025</v>
      </c>
      <c r="E482" t="str">
        <f>IF(INPUT!O477="","",INPUT!O477)</f>
        <v>RAUL</v>
      </c>
      <c r="F482" t="str">
        <f>IF(INPUT!N477="","",INPUT!N477)</f>
        <v>M</v>
      </c>
      <c r="G482" t="str" cm="1">
        <f t="array" ref="G482">IFERROR(VLOOKUP(INPUT!M477&amp;INPUT!N477,CHOOSE({1,2},INPUT!$A$3:$A$5000&amp;INPUT!$C$3:$C$5000,INPUT!$F$3:$F$5000),2,FALSE),"")</f>
        <v>PRE-TEMPORADA</v>
      </c>
      <c r="H482" t="str" cm="1">
        <f t="array" ref="H482">IFERROR(VLOOKUP(INPUT!M477&amp;INPUT!N477,CHOOSE({1,2},INPUT!$A$3:$A$5000&amp;INPUT!$C$3:$C$5000,INPUT!$D$3:$D$5000),2,FALSE),"")</f>
        <v>TEC-TAC</v>
      </c>
      <c r="I482" s="46">
        <f>IF(INPUT!P477="","",INPUT!P477)</f>
        <v>80.599999999999994</v>
      </c>
      <c r="J482" s="46">
        <f>IF(INPUT!Q477="","",INPUT!Q477)</f>
        <v>80.8</v>
      </c>
      <c r="K482" s="46">
        <f>IFERROR(IF(OR(INPUT!P477="",INPUT!Q477=""),"",INPUT!P477-INPUT!Q477),"")</f>
        <v>-0.20000000000000284</v>
      </c>
      <c r="L482" s="48">
        <f>IFERROR(IF(OR(INPUT!P477="",INPUT!Q477="",INPUT!P477=0),"",(INPUT!P477-INPUT!Q477)/INPUT!P477),"")</f>
        <v>-2.4813895781638073E-3</v>
      </c>
    </row>
    <row r="483" spans="1:12" ht="18" hidden="1" customHeight="1" x14ac:dyDescent="0.2">
      <c r="A483" s="11">
        <f>IF(INPUT!M478="","",INPUT!M478)</f>
        <v>45903</v>
      </c>
      <c r="B483" s="11">
        <f>IF(INPUT!M478="","",INPUT!M478-WEEKDAY(INPUT!M478,2)+1)</f>
        <v>45901</v>
      </c>
      <c r="C483" s="20">
        <f>IFERROR(_xlfn.ISOWEEKNUM(INPUT!M478),"")</f>
        <v>36</v>
      </c>
      <c r="D483" s="20">
        <f>IFERROR(YEAR(INPUT!M478),"")</f>
        <v>2025</v>
      </c>
      <c r="E483" t="str">
        <f>IF(INPUT!O478="","",INPUT!O478)</f>
        <v>HARRISON</v>
      </c>
      <c r="F483" t="str">
        <f>IF(INPUT!N478="","",INPUT!N478)</f>
        <v>M</v>
      </c>
      <c r="G483" t="str" cm="1">
        <f t="array" ref="G483">IFERROR(VLOOKUP(INPUT!M478&amp;INPUT!N478,CHOOSE({1,2},INPUT!$A$3:$A$5000&amp;INPUT!$C$3:$C$5000,INPUT!$F$3:$F$5000),2,FALSE),"")</f>
        <v>PRE-TEMPORADA</v>
      </c>
      <c r="H483" t="str" cm="1">
        <f t="array" ref="H483">IFERROR(VLOOKUP(INPUT!M478&amp;INPUT!N478,CHOOSE({1,2},INPUT!$A$3:$A$5000&amp;INPUT!$C$3:$C$5000,INPUT!$D$3:$D$5000),2,FALSE),"")</f>
        <v>TEC-TAC</v>
      </c>
      <c r="I483" s="46">
        <f>IF(INPUT!P478="","",INPUT!P478)</f>
        <v>71.5</v>
      </c>
      <c r="J483" s="46">
        <f>IF(INPUT!Q478="","",INPUT!Q478)</f>
        <v>71.7</v>
      </c>
      <c r="K483" s="46">
        <f>IFERROR(IF(OR(INPUT!P478="",INPUT!Q478=""),"",INPUT!P478-INPUT!Q478),"")</f>
        <v>-0.20000000000000284</v>
      </c>
      <c r="L483" s="48">
        <f>IFERROR(IF(OR(INPUT!P478="",INPUT!Q478="",INPUT!P478=0),"",(INPUT!P478-INPUT!Q478)/INPUT!P478),"")</f>
        <v>-2.7972027972028371E-3</v>
      </c>
    </row>
    <row r="484" spans="1:12" ht="18" hidden="1" customHeight="1" x14ac:dyDescent="0.2">
      <c r="A484" s="11">
        <f>IF(INPUT!M479="","",INPUT!M479)</f>
        <v>45903</v>
      </c>
      <c r="B484" s="11">
        <f>IF(INPUT!M479="","",INPUT!M479-WEEKDAY(INPUT!M479,2)+1)</f>
        <v>45901</v>
      </c>
      <c r="C484" s="20">
        <f>IFERROR(_xlfn.ISOWEEKNUM(INPUT!M479),"")</f>
        <v>36</v>
      </c>
      <c r="D484" s="20">
        <f>IFERROR(YEAR(INPUT!M479),"")</f>
        <v>2025</v>
      </c>
      <c r="E484" t="str">
        <f>IF(INPUT!O479="","",INPUT!O479)</f>
        <v>JAVI</v>
      </c>
      <c r="F484" t="str">
        <f>IF(INPUT!N479="","",INPUT!N479)</f>
        <v>M</v>
      </c>
      <c r="G484" t="str" cm="1">
        <f t="array" ref="G484">IFERROR(VLOOKUP(INPUT!M479&amp;INPUT!N479,CHOOSE({1,2},INPUT!$A$3:$A$5000&amp;INPUT!$C$3:$C$5000,INPUT!$F$3:$F$5000),2,FALSE),"")</f>
        <v>PRE-TEMPORADA</v>
      </c>
      <c r="H484" t="str" cm="1">
        <f t="array" ref="H484">IFERROR(VLOOKUP(INPUT!M479&amp;INPUT!N479,CHOOSE({1,2},INPUT!$A$3:$A$5000&amp;INPUT!$C$3:$C$5000,INPUT!$D$3:$D$5000),2,FALSE),"")</f>
        <v>TEC-TAC</v>
      </c>
      <c r="I484" s="46">
        <f>IF(INPUT!P479="","",INPUT!P479)</f>
        <v>79.8</v>
      </c>
      <c r="J484" s="46">
        <f>IF(INPUT!Q479="","",INPUT!Q479)</f>
        <v>79.599999999999994</v>
      </c>
      <c r="K484" s="46">
        <f>IFERROR(IF(OR(INPUT!P479="",INPUT!Q479=""),"",INPUT!P479-INPUT!Q479),"")</f>
        <v>0.20000000000000284</v>
      </c>
      <c r="L484" s="48">
        <f>IFERROR(IF(OR(INPUT!P479="",INPUT!Q479="",INPUT!P479=0),"",(INPUT!P479-INPUT!Q479)/INPUT!P479),"")</f>
        <v>2.5062656641604369E-3</v>
      </c>
    </row>
    <row r="485" spans="1:12" ht="18" hidden="1" customHeight="1" x14ac:dyDescent="0.2">
      <c r="A485" s="11">
        <f>IF(INPUT!M480="","",INPUT!M480)</f>
        <v>45903</v>
      </c>
      <c r="B485" s="11">
        <f>IF(INPUT!M480="","",INPUT!M480-WEEKDAY(INPUT!M480,2)+1)</f>
        <v>45901</v>
      </c>
      <c r="C485" s="20">
        <f>IFERROR(_xlfn.ISOWEEKNUM(INPUT!M480),"")</f>
        <v>36</v>
      </c>
      <c r="D485" s="20">
        <f>IFERROR(YEAR(INPUT!M480),"")</f>
        <v>2025</v>
      </c>
      <c r="E485" t="str">
        <f>IF(INPUT!O480="","",INPUT!O480)</f>
        <v>PANI</v>
      </c>
      <c r="F485" t="str">
        <f>IF(INPUT!N480="","",INPUT!N480)</f>
        <v>M</v>
      </c>
      <c r="G485" t="str" cm="1">
        <f t="array" ref="G485">IFERROR(VLOOKUP(INPUT!M480&amp;INPUT!N480,CHOOSE({1,2},INPUT!$A$3:$A$5000&amp;INPUT!$C$3:$C$5000,INPUT!$F$3:$F$5000),2,FALSE),"")</f>
        <v>PRE-TEMPORADA</v>
      </c>
      <c r="H485" t="str" cm="1">
        <f t="array" ref="H485">IFERROR(VLOOKUP(INPUT!M480&amp;INPUT!N480,CHOOSE({1,2},INPUT!$A$3:$A$5000&amp;INPUT!$C$3:$C$5000,INPUT!$D$3:$D$5000),2,FALSE),"")</f>
        <v>TEC-TAC</v>
      </c>
      <c r="I485" s="46">
        <f>IF(INPUT!P480="","",INPUT!P480)</f>
        <v>71</v>
      </c>
      <c r="J485" s="46">
        <f>IF(INPUT!Q480="","",INPUT!Q480)</f>
        <v>70.8</v>
      </c>
      <c r="K485" s="46">
        <f>IFERROR(IF(OR(INPUT!P480="",INPUT!Q480=""),"",INPUT!P480-INPUT!Q480),"")</f>
        <v>0.20000000000000284</v>
      </c>
      <c r="L485" s="48">
        <f>IFERROR(IF(OR(INPUT!P480="",INPUT!Q480="",INPUT!P480=0),"",(INPUT!P480-INPUT!Q480)/INPUT!P480),"")</f>
        <v>2.8169014084507443E-3</v>
      </c>
    </row>
    <row r="486" spans="1:12" ht="18" hidden="1" customHeight="1" x14ac:dyDescent="0.2">
      <c r="A486" s="11">
        <f>IF(INPUT!M481="","",INPUT!M481)</f>
        <v>45903</v>
      </c>
      <c r="B486" s="11">
        <f>IF(INPUT!M481="","",INPUT!M481-WEEKDAY(INPUT!M481,2)+1)</f>
        <v>45901</v>
      </c>
      <c r="C486" s="20">
        <f>IFERROR(_xlfn.ISOWEEKNUM(INPUT!M481),"")</f>
        <v>36</v>
      </c>
      <c r="D486" s="20">
        <f>IFERROR(YEAR(INPUT!M481),"")</f>
        <v>2025</v>
      </c>
      <c r="E486" t="str">
        <f>IF(INPUT!O481="","",INPUT!O481)</f>
        <v>PIRATA</v>
      </c>
      <c r="F486" t="str">
        <f>IF(INPUT!N481="","",INPUT!N481)</f>
        <v>M</v>
      </c>
      <c r="G486" t="str" cm="1">
        <f t="array" ref="G486">IFERROR(VLOOKUP(INPUT!M481&amp;INPUT!N481,CHOOSE({1,2},INPUT!$A$3:$A$5000&amp;INPUT!$C$3:$C$5000,INPUT!$F$3:$F$5000),2,FALSE),"")</f>
        <v>PRE-TEMPORADA</v>
      </c>
      <c r="H486" t="str" cm="1">
        <f t="array" ref="H486">IFERROR(VLOOKUP(INPUT!M481&amp;INPUT!N481,CHOOSE({1,2},INPUT!$A$3:$A$5000&amp;INPUT!$C$3:$C$5000,INPUT!$D$3:$D$5000),2,FALSE),"")</f>
        <v>TEC-TAC</v>
      </c>
      <c r="I486" s="46">
        <f>IF(INPUT!P481="","",INPUT!P481)</f>
        <v>75.8</v>
      </c>
      <c r="J486" s="46">
        <f>IF(INPUT!Q481="","",INPUT!Q481)</f>
        <v>75.099999999999994</v>
      </c>
      <c r="K486" s="46">
        <f>IFERROR(IF(OR(INPUT!P481="",INPUT!Q481=""),"",INPUT!P481-INPUT!Q481),"")</f>
        <v>0.70000000000000284</v>
      </c>
      <c r="L486" s="48">
        <f>IFERROR(IF(OR(INPUT!P481="",INPUT!Q481="",INPUT!P481=0),"",(INPUT!P481-INPUT!Q481)/INPUT!P481),"")</f>
        <v>9.2348284960422546E-3</v>
      </c>
    </row>
    <row r="487" spans="1:12" ht="18" hidden="1" customHeight="1" x14ac:dyDescent="0.2">
      <c r="A487" s="11">
        <f>IF(INPUT!M482="","",INPUT!M482)</f>
        <v>45903</v>
      </c>
      <c r="B487" s="11">
        <f>IF(INPUT!M482="","",INPUT!M482-WEEKDAY(INPUT!M482,2)+1)</f>
        <v>45901</v>
      </c>
      <c r="C487" s="20">
        <f>IFERROR(_xlfn.ISOWEEKNUM(INPUT!M482),"")</f>
        <v>36</v>
      </c>
      <c r="D487" s="20">
        <f>IFERROR(YEAR(INPUT!M482),"")</f>
        <v>2025</v>
      </c>
      <c r="E487" t="str">
        <f>IF(INPUT!O482="","",INPUT!O482)</f>
        <v>BARONA</v>
      </c>
      <c r="F487" t="str">
        <f>IF(INPUT!N482="","",INPUT!N482)</f>
        <v>M</v>
      </c>
      <c r="G487" t="str" cm="1">
        <f t="array" ref="G487">IFERROR(VLOOKUP(INPUT!M482&amp;INPUT!N482,CHOOSE({1,2},INPUT!$A$3:$A$5000&amp;INPUT!$C$3:$C$5000,INPUT!$F$3:$F$5000),2,FALSE),"")</f>
        <v>PRE-TEMPORADA</v>
      </c>
      <c r="H487" t="str" cm="1">
        <f t="array" ref="H487">IFERROR(VLOOKUP(INPUT!M482&amp;INPUT!N482,CHOOSE({1,2},INPUT!$A$3:$A$5000&amp;INPUT!$C$3:$C$5000,INPUT!$D$3:$D$5000),2,FALSE),"")</f>
        <v>TEC-TAC</v>
      </c>
      <c r="I487" s="46">
        <f>IF(INPUT!P482="","",INPUT!P482)</f>
        <v>72.599999999999994</v>
      </c>
      <c r="J487" s="46">
        <f>IF(INPUT!Q482="","",INPUT!Q482)</f>
        <v>72.599999999999994</v>
      </c>
      <c r="K487" s="46">
        <f>IFERROR(IF(OR(INPUT!P482="",INPUT!Q482=""),"",INPUT!P482-INPUT!Q482),"")</f>
        <v>0</v>
      </c>
      <c r="L487" s="48">
        <f>IFERROR(IF(OR(INPUT!P482="",INPUT!Q482="",INPUT!P482=0),"",(INPUT!P482-INPUT!Q482)/INPUT!P482),"")</f>
        <v>0</v>
      </c>
    </row>
    <row r="488" spans="1:12" ht="18" hidden="1" customHeight="1" x14ac:dyDescent="0.2">
      <c r="A488" s="11">
        <f>IF(INPUT!M483="","",INPUT!M483)</f>
        <v>45903</v>
      </c>
      <c r="B488" s="11">
        <f>IF(INPUT!M483="","",INPUT!M483-WEEKDAY(INPUT!M483,2)+1)</f>
        <v>45901</v>
      </c>
      <c r="C488" s="20">
        <f>IFERROR(_xlfn.ISOWEEKNUM(INPUT!M483),"")</f>
        <v>36</v>
      </c>
      <c r="D488" s="20">
        <f>IFERROR(YEAR(INPUT!M483),"")</f>
        <v>2025</v>
      </c>
      <c r="E488" t="str">
        <f>IF(INPUT!O483="","",INPUT!O483)</f>
        <v>CARLOS</v>
      </c>
      <c r="F488" t="str">
        <f>IF(INPUT!N483="","",INPUT!N483)</f>
        <v>M</v>
      </c>
      <c r="G488" t="str" cm="1">
        <f t="array" ref="G488">IFERROR(VLOOKUP(INPUT!M483&amp;INPUT!N483,CHOOSE({1,2},INPUT!$A$3:$A$5000&amp;INPUT!$C$3:$C$5000,INPUT!$F$3:$F$5000),2,FALSE),"")</f>
        <v>PRE-TEMPORADA</v>
      </c>
      <c r="H488" t="str" cm="1">
        <f t="array" ref="H488">IFERROR(VLOOKUP(INPUT!M483&amp;INPUT!N483,CHOOSE({1,2},INPUT!$A$3:$A$5000&amp;INPUT!$C$3:$C$5000,INPUT!$D$3:$D$5000),2,FALSE),"")</f>
        <v>TEC-TAC</v>
      </c>
      <c r="I488" s="46">
        <f>IF(INPUT!P483="","",INPUT!P483)</f>
        <v>67.2</v>
      </c>
      <c r="J488" s="46">
        <f>IF(INPUT!Q483="","",INPUT!Q483)</f>
        <v>66.2</v>
      </c>
      <c r="K488" s="46">
        <f>IFERROR(IF(OR(INPUT!P483="",INPUT!Q483=""),"",INPUT!P483-INPUT!Q483),"")</f>
        <v>1</v>
      </c>
      <c r="L488" s="48">
        <f>IFERROR(IF(OR(INPUT!P483="",INPUT!Q483="",INPUT!P483=0),"",(INPUT!P483-INPUT!Q483)/INPUT!P483),"")</f>
        <v>1.488095238095238E-2</v>
      </c>
    </row>
    <row r="489" spans="1:12" ht="18" customHeight="1" x14ac:dyDescent="0.2">
      <c r="A489" s="11">
        <f>IF(INPUT!M484="","",INPUT!M484)</f>
        <v>45903</v>
      </c>
      <c r="B489" s="11">
        <f>IF(INPUT!M484="","",INPUT!M484-WEEKDAY(INPUT!M484,2)+1)</f>
        <v>45901</v>
      </c>
      <c r="C489" s="20">
        <f>IFERROR(_xlfn.ISOWEEKNUM(INPUT!M484),"")</f>
        <v>36</v>
      </c>
      <c r="D489" s="20">
        <f>IFERROR(YEAR(INPUT!M484),"")</f>
        <v>2025</v>
      </c>
      <c r="E489" t="str">
        <f>IF(INPUT!O484="","",INPUT!O484)</f>
        <v>GONZALO</v>
      </c>
      <c r="F489" t="str">
        <f>IF(INPUT!N484="","",INPUT!N484)</f>
        <v>M</v>
      </c>
      <c r="G489" t="str" cm="1">
        <f t="array" ref="G489">IFERROR(VLOOKUP(INPUT!M484&amp;INPUT!N484,CHOOSE({1,2},INPUT!$A$3:$A$5000&amp;INPUT!$C$3:$C$5000,INPUT!$F$3:$F$5000),2,FALSE),"")</f>
        <v>PRE-TEMPORADA</v>
      </c>
      <c r="H489" t="str" cm="1">
        <f t="array" ref="H489">IFERROR(VLOOKUP(INPUT!M484&amp;INPUT!N484,CHOOSE({1,2},INPUT!$A$3:$A$5000&amp;INPUT!$C$3:$C$5000,INPUT!$D$3:$D$5000),2,FALSE),"")</f>
        <v>TEC-TAC</v>
      </c>
      <c r="I489" s="46">
        <f>IF(INPUT!P484="","",INPUT!P484)</f>
        <v>84.8</v>
      </c>
      <c r="J489" s="46">
        <f>IF(INPUT!Q484="","",INPUT!Q484)</f>
        <v>84.9</v>
      </c>
      <c r="K489" s="46">
        <f>IFERROR(IF(OR(INPUT!P484="",INPUT!Q484=""),"",INPUT!P484-INPUT!Q484),"")</f>
        <v>-0.10000000000000853</v>
      </c>
      <c r="L489" s="48">
        <f>IFERROR(IF(OR(INPUT!P484="",INPUT!Q484="",INPUT!P484=0),"",(INPUT!P484-INPUT!Q484)/INPUT!P484),"")</f>
        <v>-1.1792452830189685E-3</v>
      </c>
    </row>
    <row r="490" spans="1:12" ht="18" customHeight="1" x14ac:dyDescent="0.2">
      <c r="A490" s="11">
        <f>IF(INPUT!M485="","",INPUT!M485)</f>
        <v>45903</v>
      </c>
      <c r="B490" s="11">
        <f>IF(INPUT!M485="","",INPUT!M485-WEEKDAY(INPUT!M485,2)+1)</f>
        <v>45901</v>
      </c>
      <c r="C490" s="20">
        <f>IFERROR(_xlfn.ISOWEEKNUM(INPUT!M485),"")</f>
        <v>36</v>
      </c>
      <c r="D490" s="20">
        <f>IFERROR(YEAR(INPUT!M485),"")</f>
        <v>2025</v>
      </c>
      <c r="E490" t="str">
        <f>IF(INPUT!O485="","",INPUT!O485)</f>
        <v>RUBIO</v>
      </c>
      <c r="F490" t="str">
        <f>IF(INPUT!N485="","",INPUT!N485)</f>
        <v>M</v>
      </c>
      <c r="G490" t="str" cm="1">
        <f t="array" ref="G490">IFERROR(VLOOKUP(INPUT!M485&amp;INPUT!N485,CHOOSE({1,2},INPUT!$A$3:$A$5000&amp;INPUT!$C$3:$C$5000,INPUT!$F$3:$F$5000),2,FALSE),"")</f>
        <v>PRE-TEMPORADA</v>
      </c>
      <c r="H490" t="str" cm="1">
        <f t="array" ref="H490">IFERROR(VLOOKUP(INPUT!M485&amp;INPUT!N485,CHOOSE({1,2},INPUT!$A$3:$A$5000&amp;INPUT!$C$3:$C$5000,INPUT!$D$3:$D$5000),2,FALSE),"")</f>
        <v>TEC-TAC</v>
      </c>
      <c r="I490" s="46">
        <f>IF(INPUT!P485="","",INPUT!P485)</f>
        <v>74.8</v>
      </c>
      <c r="J490" s="46">
        <f>IF(INPUT!Q485="","",INPUT!Q485)</f>
        <v>74.7</v>
      </c>
      <c r="K490" s="46">
        <f>IFERROR(IF(OR(INPUT!P485="",INPUT!Q485=""),"",INPUT!P485-INPUT!Q485),"")</f>
        <v>9.9999999999994316E-2</v>
      </c>
      <c r="L490" s="48">
        <f>IFERROR(IF(OR(INPUT!P485="",INPUT!Q485="",INPUT!P485=0),"",(INPUT!P485-INPUT!Q485)/INPUT!P485),"")</f>
        <v>1.3368983957218492E-3</v>
      </c>
    </row>
    <row r="491" spans="1:12" ht="18" customHeight="1" x14ac:dyDescent="0.2">
      <c r="A491" s="11">
        <f>IF(INPUT!M486="","",INPUT!M486)</f>
        <v>45904</v>
      </c>
      <c r="B491" s="11">
        <f>IF(INPUT!M486="","",INPUT!M486-WEEKDAY(INPUT!M486,2)+1)</f>
        <v>45901</v>
      </c>
      <c r="C491" s="20">
        <f>IFERROR(_xlfn.ISOWEEKNUM(INPUT!M486),"")</f>
        <v>36</v>
      </c>
      <c r="D491" s="20">
        <f>IFERROR(YEAR(INPUT!M486),"")</f>
        <v>2025</v>
      </c>
      <c r="E491" t="str">
        <f>IF(INPUT!O486="","",INPUT!O486)</f>
        <v>HERRERO</v>
      </c>
      <c r="F491" t="str">
        <f>IF(INPUT!N486="","",INPUT!N486)</f>
        <v>M</v>
      </c>
      <c r="G491" t="str" cm="1">
        <f t="array" ref="G491">IFERROR(VLOOKUP(INPUT!M486&amp;INPUT!N486,CHOOSE({1,2},INPUT!$A$3:$A$5000&amp;INPUT!$C$3:$C$5000,INPUT!$F$3:$F$5000),2,FALSE),"")</f>
        <v>PRE-TEMPORADA</v>
      </c>
      <c r="H491" t="str" cm="1">
        <f t="array" ref="H491">IFERROR(VLOOKUP(INPUT!M486&amp;INPUT!N486,CHOOSE({1,2},INPUT!$A$3:$A$5000&amp;INPUT!$C$3:$C$5000,INPUT!$D$3:$D$5000),2,FALSE),"")</f>
        <v>TEC-TAC</v>
      </c>
      <c r="I491" s="46">
        <f>IF(INPUT!P486="","",INPUT!P486)</f>
        <v>76.8</v>
      </c>
      <c r="J491" s="46">
        <f>IF(INPUT!Q486="","",INPUT!Q486)</f>
        <v>76</v>
      </c>
      <c r="K491" s="46">
        <f>IFERROR(IF(OR(INPUT!P486="",INPUT!Q486=""),"",INPUT!P486-INPUT!Q486),"")</f>
        <v>0.79999999999999716</v>
      </c>
      <c r="L491" s="48">
        <f>IFERROR(IF(OR(INPUT!P486="",INPUT!Q486="",INPUT!P486=0),"",(INPUT!P486-INPUT!Q486)/INPUT!P486),"")</f>
        <v>1.041666666666663E-2</v>
      </c>
    </row>
    <row r="492" spans="1:12" ht="18" customHeight="1" x14ac:dyDescent="0.2">
      <c r="A492" s="11">
        <f>IF(INPUT!M487="","",INPUT!M487)</f>
        <v>45904</v>
      </c>
      <c r="B492" s="11">
        <f>IF(INPUT!M487="","",INPUT!M487-WEEKDAY(INPUT!M487,2)+1)</f>
        <v>45901</v>
      </c>
      <c r="C492" s="20">
        <f>IFERROR(_xlfn.ISOWEEKNUM(INPUT!M487),"")</f>
        <v>36</v>
      </c>
      <c r="D492" s="20">
        <f>IFERROR(YEAR(INPUT!M487),"")</f>
        <v>2025</v>
      </c>
      <c r="E492" t="str">
        <f>IF(INPUT!O487="","",INPUT!O487)</f>
        <v>GARCIA</v>
      </c>
      <c r="F492" t="str">
        <f>IF(INPUT!N487="","",INPUT!N487)</f>
        <v>M</v>
      </c>
      <c r="G492" t="str" cm="1">
        <f t="array" ref="G492">IFERROR(VLOOKUP(INPUT!M487&amp;INPUT!N487,CHOOSE({1,2},INPUT!$A$3:$A$5000&amp;INPUT!$C$3:$C$5000,INPUT!$F$3:$F$5000),2,FALSE),"")</f>
        <v>PRE-TEMPORADA</v>
      </c>
      <c r="H492" t="str" cm="1">
        <f t="array" ref="H492">IFERROR(VLOOKUP(INPUT!M487&amp;INPUT!N487,CHOOSE({1,2},INPUT!$A$3:$A$5000&amp;INPUT!$C$3:$C$5000,INPUT!$D$3:$D$5000),2,FALSE),"")</f>
        <v>TEC-TAC</v>
      </c>
      <c r="I492" s="46">
        <f>IF(INPUT!P487="","",INPUT!P487)</f>
        <v>79.599999999999994</v>
      </c>
      <c r="J492" s="46">
        <f>IF(INPUT!Q487="","",INPUT!Q487)</f>
        <v>79</v>
      </c>
      <c r="K492" s="46">
        <f>IFERROR(IF(OR(INPUT!P487="",INPUT!Q487=""),"",INPUT!P487-INPUT!Q487),"")</f>
        <v>0.59999999999999432</v>
      </c>
      <c r="L492" s="48">
        <f>IFERROR(IF(OR(INPUT!P487="",INPUT!Q487="",INPUT!P487=0),"",(INPUT!P487-INPUT!Q487)/INPUT!P487),"")</f>
        <v>7.5376884422109847E-3</v>
      </c>
    </row>
    <row r="493" spans="1:12" ht="18" customHeight="1" x14ac:dyDescent="0.2">
      <c r="A493" s="11">
        <f>IF(INPUT!M488="","",INPUT!M488)</f>
        <v>45904</v>
      </c>
      <c r="B493" s="11">
        <f>IF(INPUT!M488="","",INPUT!M488-WEEKDAY(INPUT!M488,2)+1)</f>
        <v>45901</v>
      </c>
      <c r="C493" s="20">
        <f>IFERROR(_xlfn.ISOWEEKNUM(INPUT!M488),"")</f>
        <v>36</v>
      </c>
      <c r="D493" s="20">
        <f>IFERROR(YEAR(INPUT!M488),"")</f>
        <v>2025</v>
      </c>
      <c r="E493" t="str">
        <f>IF(INPUT!O488="","",INPUT!O488)</f>
        <v>CECILIO</v>
      </c>
      <c r="F493" t="str">
        <f>IF(INPUT!N488="","",INPUT!N488)</f>
        <v>M</v>
      </c>
      <c r="G493" t="str" cm="1">
        <f t="array" ref="G493">IFERROR(VLOOKUP(INPUT!M488&amp;INPUT!N488,CHOOSE({1,2},INPUT!$A$3:$A$5000&amp;INPUT!$C$3:$C$5000,INPUT!$F$3:$F$5000),2,FALSE),"")</f>
        <v>PRE-TEMPORADA</v>
      </c>
      <c r="H493" t="str" cm="1">
        <f t="array" ref="H493">IFERROR(VLOOKUP(INPUT!M488&amp;INPUT!N488,CHOOSE({1,2},INPUT!$A$3:$A$5000&amp;INPUT!$C$3:$C$5000,INPUT!$D$3:$D$5000),2,FALSE),"")</f>
        <v>TEC-TAC</v>
      </c>
      <c r="I493" s="46">
        <f>IF(INPUT!P488="","",INPUT!P488)</f>
        <v>68</v>
      </c>
      <c r="J493" s="46">
        <f>IF(INPUT!Q488="","",INPUT!Q488)</f>
        <v>67.2</v>
      </c>
      <c r="K493" s="46">
        <f>IFERROR(IF(OR(INPUT!P488="",INPUT!Q488=""),"",INPUT!P488-INPUT!Q488),"")</f>
        <v>0.79999999999999716</v>
      </c>
      <c r="L493" s="48">
        <f>IFERROR(IF(OR(INPUT!P488="",INPUT!Q488="",INPUT!P488=0),"",(INPUT!P488-INPUT!Q488)/INPUT!P488),"")</f>
        <v>1.1764705882352899E-2</v>
      </c>
    </row>
    <row r="494" spans="1:12" ht="18" hidden="1" customHeight="1" x14ac:dyDescent="0.2">
      <c r="A494" s="11">
        <f>IF(INPUT!M489="","",INPUT!M489)</f>
        <v>45904</v>
      </c>
      <c r="B494" s="11">
        <f>IF(INPUT!M489="","",INPUT!M489-WEEKDAY(INPUT!M489,2)+1)</f>
        <v>45901</v>
      </c>
      <c r="C494" s="20">
        <f>IFERROR(_xlfn.ISOWEEKNUM(INPUT!M489),"")</f>
        <v>36</v>
      </c>
      <c r="D494" s="20">
        <f>IFERROR(YEAR(INPUT!M489),"")</f>
        <v>2025</v>
      </c>
      <c r="E494" t="str">
        <f>IF(INPUT!O489="","",INPUT!O489)</f>
        <v>CHAGUINHA</v>
      </c>
      <c r="F494" t="str">
        <f>IF(INPUT!N489="","",INPUT!N489)</f>
        <v>M</v>
      </c>
      <c r="G494" t="str" cm="1">
        <f t="array" ref="G494">IFERROR(VLOOKUP(INPUT!M489&amp;INPUT!N489,CHOOSE({1,2},INPUT!$A$3:$A$5000&amp;INPUT!$C$3:$C$5000,INPUT!$F$3:$F$5000),2,FALSE),"")</f>
        <v>PRE-TEMPORADA</v>
      </c>
      <c r="H494" t="str" cm="1">
        <f t="array" ref="H494">IFERROR(VLOOKUP(INPUT!M489&amp;INPUT!N489,CHOOSE({1,2},INPUT!$A$3:$A$5000&amp;INPUT!$C$3:$C$5000,INPUT!$D$3:$D$5000),2,FALSE),"")</f>
        <v>TEC-TAC</v>
      </c>
      <c r="I494" s="46">
        <f>IF(INPUT!P489="","",INPUT!P489)</f>
        <v>69</v>
      </c>
      <c r="J494" s="46">
        <f>IF(INPUT!Q489="","",INPUT!Q489)</f>
        <v>68.599999999999994</v>
      </c>
      <c r="K494" s="46">
        <f>IFERROR(IF(OR(INPUT!P489="",INPUT!Q489=""),"",INPUT!P489-INPUT!Q489),"")</f>
        <v>0.40000000000000568</v>
      </c>
      <c r="L494" s="48">
        <f>IFERROR(IF(OR(INPUT!P489="",INPUT!Q489="",INPUT!P489=0),"",(INPUT!P489-INPUT!Q489)/INPUT!P489),"")</f>
        <v>5.7971014492754448E-3</v>
      </c>
    </row>
    <row r="495" spans="1:12" ht="18" hidden="1" customHeight="1" x14ac:dyDescent="0.2">
      <c r="A495" s="11">
        <f>IF(INPUT!M490="","",INPUT!M490)</f>
        <v>45904</v>
      </c>
      <c r="B495" s="11">
        <f>IF(INPUT!M490="","",INPUT!M490-WEEKDAY(INPUT!M490,2)+1)</f>
        <v>45901</v>
      </c>
      <c r="C495" s="20">
        <f>IFERROR(_xlfn.ISOWEEKNUM(INPUT!M490),"")</f>
        <v>36</v>
      </c>
      <c r="D495" s="20">
        <f>IFERROR(YEAR(INPUT!M490),"")</f>
        <v>2025</v>
      </c>
      <c r="E495" t="str">
        <f>IF(INPUT!O490="","",INPUT!O490)</f>
        <v>RAUL</v>
      </c>
      <c r="F495" t="str">
        <f>IF(INPUT!N490="","",INPUT!N490)</f>
        <v>M</v>
      </c>
      <c r="G495" t="str" cm="1">
        <f t="array" ref="G495">IFERROR(VLOOKUP(INPUT!M490&amp;INPUT!N490,CHOOSE({1,2},INPUT!$A$3:$A$5000&amp;INPUT!$C$3:$C$5000,INPUT!$F$3:$F$5000),2,FALSE),"")</f>
        <v>PRE-TEMPORADA</v>
      </c>
      <c r="H495" t="str" cm="1">
        <f t="array" ref="H495">IFERROR(VLOOKUP(INPUT!M490&amp;INPUT!N490,CHOOSE({1,2},INPUT!$A$3:$A$5000&amp;INPUT!$C$3:$C$5000,INPUT!$D$3:$D$5000),2,FALSE),"")</f>
        <v>TEC-TAC</v>
      </c>
      <c r="I495" s="46">
        <f>IF(INPUT!P490="","",INPUT!P490)</f>
        <v>80.599999999999994</v>
      </c>
      <c r="J495" s="46">
        <f>IF(INPUT!Q490="","",INPUT!Q490)</f>
        <v>80.8</v>
      </c>
      <c r="K495" s="46">
        <f>IFERROR(IF(OR(INPUT!P490="",INPUT!Q490=""),"",INPUT!P490-INPUT!Q490),"")</f>
        <v>-0.20000000000000284</v>
      </c>
      <c r="L495" s="48">
        <f>IFERROR(IF(OR(INPUT!P490="",INPUT!Q490="",INPUT!P490=0),"",(INPUT!P490-INPUT!Q490)/INPUT!P490),"")</f>
        <v>-2.4813895781638073E-3</v>
      </c>
    </row>
    <row r="496" spans="1:12" ht="18" hidden="1" customHeight="1" x14ac:dyDescent="0.2">
      <c r="A496" s="11">
        <f>IF(INPUT!M491="","",INPUT!M491)</f>
        <v>45904</v>
      </c>
      <c r="B496" s="11">
        <f>IF(INPUT!M491="","",INPUT!M491-WEEKDAY(INPUT!M491,2)+1)</f>
        <v>45901</v>
      </c>
      <c r="C496" s="20">
        <f>IFERROR(_xlfn.ISOWEEKNUM(INPUT!M491),"")</f>
        <v>36</v>
      </c>
      <c r="D496" s="20">
        <f>IFERROR(YEAR(INPUT!M491),"")</f>
        <v>2025</v>
      </c>
      <c r="E496" t="str">
        <f>IF(INPUT!O491="","",INPUT!O491)</f>
        <v>HARRISON</v>
      </c>
      <c r="F496" t="str">
        <f>IF(INPUT!N491="","",INPUT!N491)</f>
        <v>M</v>
      </c>
      <c r="G496" t="str" cm="1">
        <f t="array" ref="G496">IFERROR(VLOOKUP(INPUT!M491&amp;INPUT!N491,CHOOSE({1,2},INPUT!$A$3:$A$5000&amp;INPUT!$C$3:$C$5000,INPUT!$F$3:$F$5000),2,FALSE),"")</f>
        <v>PRE-TEMPORADA</v>
      </c>
      <c r="H496" t="str" cm="1">
        <f t="array" ref="H496">IFERROR(VLOOKUP(INPUT!M491&amp;INPUT!N491,CHOOSE({1,2},INPUT!$A$3:$A$5000&amp;INPUT!$C$3:$C$5000,INPUT!$D$3:$D$5000),2,FALSE),"")</f>
        <v>TEC-TAC</v>
      </c>
      <c r="I496" s="46">
        <f>IF(INPUT!P491="","",INPUT!P491)</f>
        <v>71.5</v>
      </c>
      <c r="J496" s="46">
        <f>IF(INPUT!Q491="","",INPUT!Q491)</f>
        <v>71.7</v>
      </c>
      <c r="K496" s="46">
        <f>IFERROR(IF(OR(INPUT!P491="",INPUT!Q491=""),"",INPUT!P491-INPUT!Q491),"")</f>
        <v>-0.20000000000000284</v>
      </c>
      <c r="L496" s="48">
        <f>IFERROR(IF(OR(INPUT!P491="",INPUT!Q491="",INPUT!P491=0),"",(INPUT!P491-INPUT!Q491)/INPUT!P491),"")</f>
        <v>-2.7972027972028371E-3</v>
      </c>
    </row>
    <row r="497" spans="1:12" ht="18" hidden="1" customHeight="1" x14ac:dyDescent="0.2">
      <c r="A497" s="11">
        <f>IF(INPUT!M492="","",INPUT!M492)</f>
        <v>45904</v>
      </c>
      <c r="B497" s="11">
        <f>IF(INPUT!M492="","",INPUT!M492-WEEKDAY(INPUT!M492,2)+1)</f>
        <v>45901</v>
      </c>
      <c r="C497" s="20">
        <f>IFERROR(_xlfn.ISOWEEKNUM(INPUT!M492),"")</f>
        <v>36</v>
      </c>
      <c r="D497" s="20">
        <f>IFERROR(YEAR(INPUT!M492),"")</f>
        <v>2025</v>
      </c>
      <c r="E497" t="str">
        <f>IF(INPUT!O492="","",INPUT!O492)</f>
        <v>JAVI</v>
      </c>
      <c r="F497" t="str">
        <f>IF(INPUT!N492="","",INPUT!N492)</f>
        <v>M</v>
      </c>
      <c r="G497" t="str" cm="1">
        <f t="array" ref="G497">IFERROR(VLOOKUP(INPUT!M492&amp;INPUT!N492,CHOOSE({1,2},INPUT!$A$3:$A$5000&amp;INPUT!$C$3:$C$5000,INPUT!$F$3:$F$5000),2,FALSE),"")</f>
        <v>PRE-TEMPORADA</v>
      </c>
      <c r="H497" t="str" cm="1">
        <f t="array" ref="H497">IFERROR(VLOOKUP(INPUT!M492&amp;INPUT!N492,CHOOSE({1,2},INPUT!$A$3:$A$5000&amp;INPUT!$C$3:$C$5000,INPUT!$D$3:$D$5000),2,FALSE),"")</f>
        <v>TEC-TAC</v>
      </c>
      <c r="I497" s="46">
        <f>IF(INPUT!P492="","",INPUT!P492)</f>
        <v>79.8</v>
      </c>
      <c r="J497" s="46">
        <f>IF(INPUT!Q492="","",INPUT!Q492)</f>
        <v>79.599999999999994</v>
      </c>
      <c r="K497" s="46">
        <f>IFERROR(IF(OR(INPUT!P492="",INPUT!Q492=""),"",INPUT!P492-INPUT!Q492),"")</f>
        <v>0.20000000000000284</v>
      </c>
      <c r="L497" s="48">
        <f>IFERROR(IF(OR(INPUT!P492="",INPUT!Q492="",INPUT!P492=0),"",(INPUT!P492-INPUT!Q492)/INPUT!P492),"")</f>
        <v>2.5062656641604369E-3</v>
      </c>
    </row>
    <row r="498" spans="1:12" ht="18" hidden="1" customHeight="1" x14ac:dyDescent="0.2">
      <c r="A498" s="11">
        <f>IF(INPUT!M493="","",INPUT!M493)</f>
        <v>45904</v>
      </c>
      <c r="B498" s="11">
        <f>IF(INPUT!M493="","",INPUT!M493-WEEKDAY(INPUT!M493,2)+1)</f>
        <v>45901</v>
      </c>
      <c r="C498" s="20">
        <f>IFERROR(_xlfn.ISOWEEKNUM(INPUT!M493),"")</f>
        <v>36</v>
      </c>
      <c r="D498" s="20">
        <f>IFERROR(YEAR(INPUT!M493),"")</f>
        <v>2025</v>
      </c>
      <c r="E498" t="str">
        <f>IF(INPUT!O493="","",INPUT!O493)</f>
        <v>PANI</v>
      </c>
      <c r="F498" t="str">
        <f>IF(INPUT!N493="","",INPUT!N493)</f>
        <v>M</v>
      </c>
      <c r="G498" t="str" cm="1">
        <f t="array" ref="G498">IFERROR(VLOOKUP(INPUT!M493&amp;INPUT!N493,CHOOSE({1,2},INPUT!$A$3:$A$5000&amp;INPUT!$C$3:$C$5000,INPUT!$F$3:$F$5000),2,FALSE),"")</f>
        <v>PRE-TEMPORADA</v>
      </c>
      <c r="H498" t="str" cm="1">
        <f t="array" ref="H498">IFERROR(VLOOKUP(INPUT!M493&amp;INPUT!N493,CHOOSE({1,2},INPUT!$A$3:$A$5000&amp;INPUT!$C$3:$C$5000,INPUT!$D$3:$D$5000),2,FALSE),"")</f>
        <v>TEC-TAC</v>
      </c>
      <c r="I498" s="46">
        <f>IF(INPUT!P493="","",INPUT!P493)</f>
        <v>71</v>
      </c>
      <c r="J498" s="46">
        <f>IF(INPUT!Q493="","",INPUT!Q493)</f>
        <v>70.8</v>
      </c>
      <c r="K498" s="46">
        <f>IFERROR(IF(OR(INPUT!P493="",INPUT!Q493=""),"",INPUT!P493-INPUT!Q493),"")</f>
        <v>0.20000000000000284</v>
      </c>
      <c r="L498" s="48">
        <f>IFERROR(IF(OR(INPUT!P493="",INPUT!Q493="",INPUT!P493=0),"",(INPUT!P493-INPUT!Q493)/INPUT!P493),"")</f>
        <v>2.8169014084507443E-3</v>
      </c>
    </row>
    <row r="499" spans="1:12" ht="18" hidden="1" customHeight="1" x14ac:dyDescent="0.2">
      <c r="A499" s="11">
        <f>IF(INPUT!M494="","",INPUT!M494)</f>
        <v>45904</v>
      </c>
      <c r="B499" s="11">
        <f>IF(INPUT!M494="","",INPUT!M494-WEEKDAY(INPUT!M494,2)+1)</f>
        <v>45901</v>
      </c>
      <c r="C499" s="20">
        <f>IFERROR(_xlfn.ISOWEEKNUM(INPUT!M494),"")</f>
        <v>36</v>
      </c>
      <c r="D499" s="20">
        <f>IFERROR(YEAR(INPUT!M494),"")</f>
        <v>2025</v>
      </c>
      <c r="E499" t="str">
        <f>IF(INPUT!O494="","",INPUT!O494)</f>
        <v>PIRATA</v>
      </c>
      <c r="F499" t="str">
        <f>IF(INPUT!N494="","",INPUT!N494)</f>
        <v>M</v>
      </c>
      <c r="G499" t="str" cm="1">
        <f t="array" ref="G499">IFERROR(VLOOKUP(INPUT!M494&amp;INPUT!N494,CHOOSE({1,2},INPUT!$A$3:$A$5000&amp;INPUT!$C$3:$C$5000,INPUT!$F$3:$F$5000),2,FALSE),"")</f>
        <v>PRE-TEMPORADA</v>
      </c>
      <c r="H499" t="str" cm="1">
        <f t="array" ref="H499">IFERROR(VLOOKUP(INPUT!M494&amp;INPUT!N494,CHOOSE({1,2},INPUT!$A$3:$A$5000&amp;INPUT!$C$3:$C$5000,INPUT!$D$3:$D$5000),2,FALSE),"")</f>
        <v>TEC-TAC</v>
      </c>
      <c r="I499" s="46">
        <f>IF(INPUT!P494="","",INPUT!P494)</f>
        <v>75.8</v>
      </c>
      <c r="J499" s="46">
        <f>IF(INPUT!Q494="","",INPUT!Q494)</f>
        <v>75.099999999999994</v>
      </c>
      <c r="K499" s="46">
        <f>IFERROR(IF(OR(INPUT!P494="",INPUT!Q494=""),"",INPUT!P494-INPUT!Q494),"")</f>
        <v>0.70000000000000284</v>
      </c>
      <c r="L499" s="48">
        <f>IFERROR(IF(OR(INPUT!P494="",INPUT!Q494="",INPUT!P494=0),"",(INPUT!P494-INPUT!Q494)/INPUT!P494),"")</f>
        <v>9.2348284960422546E-3</v>
      </c>
    </row>
    <row r="500" spans="1:12" ht="18" hidden="1" customHeight="1" x14ac:dyDescent="0.2">
      <c r="A500" s="11">
        <f>IF(INPUT!M495="","",INPUT!M495)</f>
        <v>45904</v>
      </c>
      <c r="B500" s="11">
        <f>IF(INPUT!M495="","",INPUT!M495-WEEKDAY(INPUT!M495,2)+1)</f>
        <v>45901</v>
      </c>
      <c r="C500" s="20">
        <f>IFERROR(_xlfn.ISOWEEKNUM(INPUT!M495),"")</f>
        <v>36</v>
      </c>
      <c r="D500" s="20">
        <f>IFERROR(YEAR(INPUT!M495),"")</f>
        <v>2025</v>
      </c>
      <c r="E500" t="str">
        <f>IF(INPUT!O495="","",INPUT!O495)</f>
        <v>BARONA</v>
      </c>
      <c r="F500" t="str">
        <f>IF(INPUT!N495="","",INPUT!N495)</f>
        <v>M</v>
      </c>
      <c r="G500" t="str" cm="1">
        <f t="array" ref="G500">IFERROR(VLOOKUP(INPUT!M495&amp;INPUT!N495,CHOOSE({1,2},INPUT!$A$3:$A$5000&amp;INPUT!$C$3:$C$5000,INPUT!$F$3:$F$5000),2,FALSE),"")</f>
        <v>PRE-TEMPORADA</v>
      </c>
      <c r="H500" t="str" cm="1">
        <f t="array" ref="H500">IFERROR(VLOOKUP(INPUT!M495&amp;INPUT!N495,CHOOSE({1,2},INPUT!$A$3:$A$5000&amp;INPUT!$C$3:$C$5000,INPUT!$D$3:$D$5000),2,FALSE),"")</f>
        <v>TEC-TAC</v>
      </c>
      <c r="I500" s="46">
        <f>IF(INPUT!P495="","",INPUT!P495)</f>
        <v>72.599999999999994</v>
      </c>
      <c r="J500" s="46">
        <f>IF(INPUT!Q495="","",INPUT!Q495)</f>
        <v>72.599999999999994</v>
      </c>
      <c r="K500" s="46">
        <f>IFERROR(IF(OR(INPUT!P495="",INPUT!Q495=""),"",INPUT!P495-INPUT!Q495),"")</f>
        <v>0</v>
      </c>
      <c r="L500" s="48">
        <f>IFERROR(IF(OR(INPUT!P495="",INPUT!Q495="",INPUT!P495=0),"",(INPUT!P495-INPUT!Q495)/INPUT!P495),"")</f>
        <v>0</v>
      </c>
    </row>
    <row r="501" spans="1:12" ht="18" hidden="1" customHeight="1" x14ac:dyDescent="0.2">
      <c r="A501" s="11">
        <f>IF(INPUT!M496="","",INPUT!M496)</f>
        <v>45904</v>
      </c>
      <c r="B501" s="11">
        <f>IF(INPUT!M496="","",INPUT!M496-WEEKDAY(INPUT!M496,2)+1)</f>
        <v>45901</v>
      </c>
      <c r="C501" s="20">
        <f>IFERROR(_xlfn.ISOWEEKNUM(INPUT!M496),"")</f>
        <v>36</v>
      </c>
      <c r="D501" s="20">
        <f>IFERROR(YEAR(INPUT!M496),"")</f>
        <v>2025</v>
      </c>
      <c r="E501" t="str">
        <f>IF(INPUT!O496="","",INPUT!O496)</f>
        <v>CARLOS</v>
      </c>
      <c r="F501" t="str">
        <f>IF(INPUT!N496="","",INPUT!N496)</f>
        <v>M</v>
      </c>
      <c r="G501" t="str" cm="1">
        <f t="array" ref="G501">IFERROR(VLOOKUP(INPUT!M496&amp;INPUT!N496,CHOOSE({1,2},INPUT!$A$3:$A$5000&amp;INPUT!$C$3:$C$5000,INPUT!$F$3:$F$5000),2,FALSE),"")</f>
        <v>PRE-TEMPORADA</v>
      </c>
      <c r="H501" t="str" cm="1">
        <f t="array" ref="H501">IFERROR(VLOOKUP(INPUT!M496&amp;INPUT!N496,CHOOSE({1,2},INPUT!$A$3:$A$5000&amp;INPUT!$C$3:$C$5000,INPUT!$D$3:$D$5000),2,FALSE),"")</f>
        <v>TEC-TAC</v>
      </c>
      <c r="I501" s="46">
        <f>IF(INPUT!P496="","",INPUT!P496)</f>
        <v>67.2</v>
      </c>
      <c r="J501" s="46">
        <f>IF(INPUT!Q496="","",INPUT!Q496)</f>
        <v>66.2</v>
      </c>
      <c r="K501" s="46">
        <f>IFERROR(IF(OR(INPUT!P496="",INPUT!Q496=""),"",INPUT!P496-INPUT!Q496),"")</f>
        <v>1</v>
      </c>
      <c r="L501" s="48">
        <f>IFERROR(IF(OR(INPUT!P496="",INPUT!Q496="",INPUT!P496=0),"",(INPUT!P496-INPUT!Q496)/INPUT!P496),"")</f>
        <v>1.488095238095238E-2</v>
      </c>
    </row>
    <row r="502" spans="1:12" ht="18" hidden="1" customHeight="1" x14ac:dyDescent="0.2">
      <c r="A502" s="11">
        <f>IF(INPUT!M497="","",INPUT!M497)</f>
        <v>45904</v>
      </c>
      <c r="B502" s="11">
        <f>IF(INPUT!M497="","",INPUT!M497-WEEKDAY(INPUT!M497,2)+1)</f>
        <v>45901</v>
      </c>
      <c r="C502" s="20">
        <f>IFERROR(_xlfn.ISOWEEKNUM(INPUT!M497),"")</f>
        <v>36</v>
      </c>
      <c r="D502" s="20">
        <f>IFERROR(YEAR(INPUT!M497),"")</f>
        <v>2025</v>
      </c>
      <c r="E502" t="str">
        <f>IF(INPUT!O497="","",INPUT!O497)</f>
        <v>GONZALO</v>
      </c>
      <c r="F502" t="str">
        <f>IF(INPUT!N497="","",INPUT!N497)</f>
        <v>M</v>
      </c>
      <c r="G502" t="str" cm="1">
        <f t="array" ref="G502">IFERROR(VLOOKUP(INPUT!M497&amp;INPUT!N497,CHOOSE({1,2},INPUT!$A$3:$A$5000&amp;INPUT!$C$3:$C$5000,INPUT!$F$3:$F$5000),2,FALSE),"")</f>
        <v>PRE-TEMPORADA</v>
      </c>
      <c r="H502" t="str" cm="1">
        <f t="array" ref="H502">IFERROR(VLOOKUP(INPUT!M497&amp;INPUT!N497,CHOOSE({1,2},INPUT!$A$3:$A$5000&amp;INPUT!$C$3:$C$5000,INPUT!$D$3:$D$5000),2,FALSE),"")</f>
        <v>TEC-TAC</v>
      </c>
      <c r="I502" s="46">
        <f>IF(INPUT!P497="","",INPUT!P497)</f>
        <v>84.8</v>
      </c>
      <c r="J502" s="46">
        <f>IF(INPUT!Q497="","",INPUT!Q497)</f>
        <v>84.9</v>
      </c>
      <c r="K502" s="46">
        <f>IFERROR(IF(OR(INPUT!P497="",INPUT!Q497=""),"",INPUT!P497-INPUT!Q497),"")</f>
        <v>-0.10000000000000853</v>
      </c>
      <c r="L502" s="48">
        <f>IFERROR(IF(OR(INPUT!P497="",INPUT!Q497="",INPUT!P497=0),"",(INPUT!P497-INPUT!Q497)/INPUT!P497),"")</f>
        <v>-1.1792452830189685E-3</v>
      </c>
    </row>
    <row r="503" spans="1:12" ht="18" hidden="1" customHeight="1" x14ac:dyDescent="0.2">
      <c r="A503" s="11">
        <f>IF(INPUT!M498="","",INPUT!M498)</f>
        <v>45904</v>
      </c>
      <c r="B503" s="11">
        <f>IF(INPUT!M498="","",INPUT!M498-WEEKDAY(INPUT!M498,2)+1)</f>
        <v>45901</v>
      </c>
      <c r="C503" s="20">
        <f>IFERROR(_xlfn.ISOWEEKNUM(INPUT!M498),"")</f>
        <v>36</v>
      </c>
      <c r="D503" s="20">
        <f>IFERROR(YEAR(INPUT!M498),"")</f>
        <v>2025</v>
      </c>
      <c r="E503" t="str">
        <f>IF(INPUT!O498="","",INPUT!O498)</f>
        <v>RUBIO</v>
      </c>
      <c r="F503" t="str">
        <f>IF(INPUT!N498="","",INPUT!N498)</f>
        <v>M</v>
      </c>
      <c r="G503" t="str" cm="1">
        <f t="array" ref="G503">IFERROR(VLOOKUP(INPUT!M498&amp;INPUT!N498,CHOOSE({1,2},INPUT!$A$3:$A$5000&amp;INPUT!$C$3:$C$5000,INPUT!$F$3:$F$5000),2,FALSE),"")</f>
        <v>PRE-TEMPORADA</v>
      </c>
      <c r="H503" t="str" cm="1">
        <f t="array" ref="H503">IFERROR(VLOOKUP(INPUT!M498&amp;INPUT!N498,CHOOSE({1,2},INPUT!$A$3:$A$5000&amp;INPUT!$C$3:$C$5000,INPUT!$D$3:$D$5000),2,FALSE),"")</f>
        <v>TEC-TAC</v>
      </c>
      <c r="I503" s="46">
        <f>IF(INPUT!P498="","",INPUT!P498)</f>
        <v>74.8</v>
      </c>
      <c r="J503" s="46">
        <f>IF(INPUT!Q498="","",INPUT!Q498)</f>
        <v>74.7</v>
      </c>
      <c r="K503" s="46">
        <f>IFERROR(IF(OR(INPUT!P498="",INPUT!Q498=""),"",INPUT!P498-INPUT!Q498),"")</f>
        <v>9.9999999999994316E-2</v>
      </c>
      <c r="L503" s="48">
        <f>IFERROR(IF(OR(INPUT!P498="",INPUT!Q498="",INPUT!P498=0),"",(INPUT!P498-INPUT!Q498)/INPUT!P498),"")</f>
        <v>1.3368983957218492E-3</v>
      </c>
    </row>
    <row r="504" spans="1:12" ht="18" hidden="1" customHeight="1" x14ac:dyDescent="0.2">
      <c r="A504" s="11">
        <f>IF(INPUT!M499="","",INPUT!M499)</f>
        <v>45905</v>
      </c>
      <c r="B504" s="11">
        <f>IF(INPUT!M499="","",INPUT!M499-WEEKDAY(INPUT!M499,2)+1)</f>
        <v>45901</v>
      </c>
      <c r="C504" s="20">
        <f>IFERROR(_xlfn.ISOWEEKNUM(INPUT!M499),"")</f>
        <v>36</v>
      </c>
      <c r="D504" s="20">
        <f>IFERROR(YEAR(INPUT!M499),"")</f>
        <v>2025</v>
      </c>
      <c r="E504" t="str">
        <f>IF(INPUT!O499="","",INPUT!O499)</f>
        <v>HERRERO</v>
      </c>
      <c r="F504" t="str">
        <f>IF(INPUT!N499="","",INPUT!N499)</f>
        <v>M</v>
      </c>
      <c r="G504" t="str" cm="1">
        <f t="array" ref="G504">IFERROR(VLOOKUP(INPUT!M499&amp;INPUT!N499,CHOOSE({1,2},INPUT!$A$3:$A$5000&amp;INPUT!$C$3:$C$5000,INPUT!$F$3:$F$5000),2,FALSE),"")</f>
        <v>PRE-TEMPORADA</v>
      </c>
      <c r="H504" t="str" cm="1">
        <f t="array" ref="H504">IFERROR(VLOOKUP(INPUT!M499&amp;INPUT!N499,CHOOSE({1,2},INPUT!$A$3:$A$5000&amp;INPUT!$C$3:$C$5000,INPUT!$D$3:$D$5000),2,FALSE),"")</f>
        <v>TEC-TAC</v>
      </c>
      <c r="I504" s="46">
        <f>IF(INPUT!P499="","",INPUT!P499)</f>
        <v>76.8</v>
      </c>
      <c r="J504" s="46">
        <f>IF(INPUT!Q499="","",INPUT!Q499)</f>
        <v>76</v>
      </c>
      <c r="K504" s="46">
        <f>IFERROR(IF(OR(INPUT!P499="",INPUT!Q499=""),"",INPUT!P499-INPUT!Q499),"")</f>
        <v>0.79999999999999716</v>
      </c>
      <c r="L504" s="48">
        <f>IFERROR(IF(OR(INPUT!P499="",INPUT!Q499="",INPUT!P499=0),"",(INPUT!P499-INPUT!Q499)/INPUT!P499),"")</f>
        <v>1.041666666666663E-2</v>
      </c>
    </row>
    <row r="505" spans="1:12" ht="18" hidden="1" customHeight="1" x14ac:dyDescent="0.2">
      <c r="A505" s="11">
        <f>IF(INPUT!M500="","",INPUT!M500)</f>
        <v>45905</v>
      </c>
      <c r="B505" s="11">
        <f>IF(INPUT!M500="","",INPUT!M500-WEEKDAY(INPUT!M500,2)+1)</f>
        <v>45901</v>
      </c>
      <c r="C505" s="20">
        <f>IFERROR(_xlfn.ISOWEEKNUM(INPUT!M500),"")</f>
        <v>36</v>
      </c>
      <c r="D505" s="20">
        <f>IFERROR(YEAR(INPUT!M500),"")</f>
        <v>2025</v>
      </c>
      <c r="E505" t="str">
        <f>IF(INPUT!O500="","",INPUT!O500)</f>
        <v>GARCIA</v>
      </c>
      <c r="F505" t="str">
        <f>IF(INPUT!N500="","",INPUT!N500)</f>
        <v>M</v>
      </c>
      <c r="G505" t="str" cm="1">
        <f t="array" ref="G505">IFERROR(VLOOKUP(INPUT!M500&amp;INPUT!N500,CHOOSE({1,2},INPUT!$A$3:$A$5000&amp;INPUT!$C$3:$C$5000,INPUT!$F$3:$F$5000),2,FALSE),"")</f>
        <v>PRE-TEMPORADA</v>
      </c>
      <c r="H505" t="str" cm="1">
        <f t="array" ref="H505">IFERROR(VLOOKUP(INPUT!M500&amp;INPUT!N500,CHOOSE({1,2},INPUT!$A$3:$A$5000&amp;INPUT!$C$3:$C$5000,INPUT!$D$3:$D$5000),2,FALSE),"")</f>
        <v>TEC-TAC</v>
      </c>
      <c r="I505" s="46">
        <f>IF(INPUT!P500="","",INPUT!P500)</f>
        <v>79.400000000000006</v>
      </c>
      <c r="J505" s="46">
        <f>IF(INPUT!Q500="","",INPUT!Q500)</f>
        <v>79</v>
      </c>
      <c r="K505" s="46">
        <f>IFERROR(IF(OR(INPUT!P500="",INPUT!Q500=""),"",INPUT!P500-INPUT!Q500),"")</f>
        <v>0.40000000000000568</v>
      </c>
      <c r="L505" s="48">
        <f>IFERROR(IF(OR(INPUT!P500="",INPUT!Q500="",INPUT!P500=0),"",(INPUT!P500-INPUT!Q500)/INPUT!P500),"")</f>
        <v>5.0377833753149324E-3</v>
      </c>
    </row>
    <row r="506" spans="1:12" ht="18" customHeight="1" x14ac:dyDescent="0.2">
      <c r="A506" s="11">
        <f>IF(INPUT!M501="","",INPUT!M501)</f>
        <v>45905</v>
      </c>
      <c r="B506" s="11">
        <f>IF(INPUT!M501="","",INPUT!M501-WEEKDAY(INPUT!M501,2)+1)</f>
        <v>45901</v>
      </c>
      <c r="C506" s="20">
        <f>IFERROR(_xlfn.ISOWEEKNUM(INPUT!M501),"")</f>
        <v>36</v>
      </c>
      <c r="D506" s="20">
        <f>IFERROR(YEAR(INPUT!M501),"")</f>
        <v>2025</v>
      </c>
      <c r="E506" t="str">
        <f>IF(INPUT!O501="","",INPUT!O501)</f>
        <v>CECILIO</v>
      </c>
      <c r="F506" t="str">
        <f>IF(INPUT!N501="","",INPUT!N501)</f>
        <v>M</v>
      </c>
      <c r="G506" t="str" cm="1">
        <f t="array" ref="G506">IFERROR(VLOOKUP(INPUT!M501&amp;INPUT!N501,CHOOSE({1,2},INPUT!$A$3:$A$5000&amp;INPUT!$C$3:$C$5000,INPUT!$F$3:$F$5000),2,FALSE),"")</f>
        <v>PRE-TEMPORADA</v>
      </c>
      <c r="H506" t="str" cm="1">
        <f t="array" ref="H506">IFERROR(VLOOKUP(INPUT!M501&amp;INPUT!N501,CHOOSE({1,2},INPUT!$A$3:$A$5000&amp;INPUT!$C$3:$C$5000,INPUT!$D$3:$D$5000),2,FALSE),"")</f>
        <v>TEC-TAC</v>
      </c>
      <c r="I506" s="46">
        <f>IF(INPUT!P501="","",INPUT!P501)</f>
        <v>68.5</v>
      </c>
      <c r="J506" s="46">
        <f>IF(INPUT!Q501="","",INPUT!Q501)</f>
        <v>68.099999999999994</v>
      </c>
      <c r="K506" s="46">
        <f>IFERROR(IF(OR(INPUT!P501="",INPUT!Q501=""),"",INPUT!P501-INPUT!Q501),"")</f>
        <v>0.40000000000000568</v>
      </c>
      <c r="L506" s="48">
        <f>IFERROR(IF(OR(INPUT!P501="",INPUT!Q501="",INPUT!P501=0),"",(INPUT!P501-INPUT!Q501)/INPUT!P501),"")</f>
        <v>5.8394160583942435E-3</v>
      </c>
    </row>
    <row r="507" spans="1:12" ht="18" customHeight="1" x14ac:dyDescent="0.2">
      <c r="A507" s="11">
        <f>IF(INPUT!M502="","",INPUT!M502)</f>
        <v>45905</v>
      </c>
      <c r="B507" s="11">
        <f>IF(INPUT!M502="","",INPUT!M502-WEEKDAY(INPUT!M502,2)+1)</f>
        <v>45901</v>
      </c>
      <c r="C507" s="20">
        <f>IFERROR(_xlfn.ISOWEEKNUM(INPUT!M502),"")</f>
        <v>36</v>
      </c>
      <c r="D507" s="20">
        <f>IFERROR(YEAR(INPUT!M502),"")</f>
        <v>2025</v>
      </c>
      <c r="E507" t="str">
        <f>IF(INPUT!O502="","",INPUT!O502)</f>
        <v>CHAGUINHA</v>
      </c>
      <c r="F507" t="str">
        <f>IF(INPUT!N502="","",INPUT!N502)</f>
        <v>M</v>
      </c>
      <c r="G507" t="str" cm="1">
        <f t="array" ref="G507">IFERROR(VLOOKUP(INPUT!M502&amp;INPUT!N502,CHOOSE({1,2},INPUT!$A$3:$A$5000&amp;INPUT!$C$3:$C$5000,INPUT!$F$3:$F$5000),2,FALSE),"")</f>
        <v>PRE-TEMPORADA</v>
      </c>
      <c r="H507" t="str" cm="1">
        <f t="array" ref="H507">IFERROR(VLOOKUP(INPUT!M502&amp;INPUT!N502,CHOOSE({1,2},INPUT!$A$3:$A$5000&amp;INPUT!$C$3:$C$5000,INPUT!$D$3:$D$5000),2,FALSE),"")</f>
        <v>TEC-TAC</v>
      </c>
      <c r="I507" s="46">
        <f>IF(INPUT!P502="","",INPUT!P502)</f>
        <v>69</v>
      </c>
      <c r="J507" s="46">
        <f>IF(INPUT!Q502="","",INPUT!Q502)</f>
        <v>68.8</v>
      </c>
      <c r="K507" s="46">
        <f>IFERROR(IF(OR(INPUT!P502="",INPUT!Q502=""),"",INPUT!P502-INPUT!Q502),"")</f>
        <v>0.20000000000000284</v>
      </c>
      <c r="L507" s="48">
        <f>IFERROR(IF(OR(INPUT!P502="",INPUT!Q502="",INPUT!P502=0),"",(INPUT!P502-INPUT!Q502)/INPUT!P502),"")</f>
        <v>2.8985507246377224E-3</v>
      </c>
    </row>
    <row r="508" spans="1:12" ht="18" customHeight="1" x14ac:dyDescent="0.2">
      <c r="A508" s="11">
        <f>IF(INPUT!M503="","",INPUT!M503)</f>
        <v>45905</v>
      </c>
      <c r="B508" s="11">
        <f>IF(INPUT!M503="","",INPUT!M503-WEEKDAY(INPUT!M503,2)+1)</f>
        <v>45901</v>
      </c>
      <c r="C508" s="20">
        <f>IFERROR(_xlfn.ISOWEEKNUM(INPUT!M503),"")</f>
        <v>36</v>
      </c>
      <c r="D508" s="20">
        <f>IFERROR(YEAR(INPUT!M503),"")</f>
        <v>2025</v>
      </c>
      <c r="E508" t="str">
        <f>IF(INPUT!O503="","",INPUT!O503)</f>
        <v>RAUL</v>
      </c>
      <c r="F508" t="str">
        <f>IF(INPUT!N503="","",INPUT!N503)</f>
        <v>M</v>
      </c>
      <c r="G508" t="str" cm="1">
        <f t="array" ref="G508">IFERROR(VLOOKUP(INPUT!M503&amp;INPUT!N503,CHOOSE({1,2},INPUT!$A$3:$A$5000&amp;INPUT!$C$3:$C$5000,INPUT!$F$3:$F$5000),2,FALSE),"")</f>
        <v>PRE-TEMPORADA</v>
      </c>
      <c r="H508" t="str" cm="1">
        <f t="array" ref="H508">IFERROR(VLOOKUP(INPUT!M503&amp;INPUT!N503,CHOOSE({1,2},INPUT!$A$3:$A$5000&amp;INPUT!$C$3:$C$5000,INPUT!$D$3:$D$5000),2,FALSE),"")</f>
        <v>TEC-TAC</v>
      </c>
      <c r="I508" s="46">
        <f>IF(INPUT!P503="","",INPUT!P503)</f>
        <v>80.3</v>
      </c>
      <c r="J508" s="46">
        <f>IF(INPUT!Q503="","",INPUT!Q503)</f>
        <v>79.8</v>
      </c>
      <c r="K508" s="46">
        <f>IFERROR(IF(OR(INPUT!P503="",INPUT!Q503=""),"",INPUT!P503-INPUT!Q503),"")</f>
        <v>0.5</v>
      </c>
      <c r="L508" s="48">
        <f>IFERROR(IF(OR(INPUT!P503="",INPUT!Q503="",INPUT!P503=0),"",(INPUT!P503-INPUT!Q503)/INPUT!P503),"")</f>
        <v>6.2266500622665012E-3</v>
      </c>
    </row>
    <row r="509" spans="1:12" ht="18" customHeight="1" x14ac:dyDescent="0.2">
      <c r="A509" s="11">
        <f>IF(INPUT!M504="","",INPUT!M504)</f>
        <v>45905</v>
      </c>
      <c r="B509" s="11">
        <f>IF(INPUT!M504="","",INPUT!M504-WEEKDAY(INPUT!M504,2)+1)</f>
        <v>45901</v>
      </c>
      <c r="C509" s="20">
        <f>IFERROR(_xlfn.ISOWEEKNUM(INPUT!M504),"")</f>
        <v>36</v>
      </c>
      <c r="D509" s="20">
        <f>IFERROR(YEAR(INPUT!M504),"")</f>
        <v>2025</v>
      </c>
      <c r="E509" t="str">
        <f>IF(INPUT!O504="","",INPUT!O504)</f>
        <v>HARRISON</v>
      </c>
      <c r="F509" t="str">
        <f>IF(INPUT!N504="","",INPUT!N504)</f>
        <v>M</v>
      </c>
      <c r="G509" t="str" cm="1">
        <f t="array" ref="G509">IFERROR(VLOOKUP(INPUT!M504&amp;INPUT!N504,CHOOSE({1,2},INPUT!$A$3:$A$5000&amp;INPUT!$C$3:$C$5000,INPUT!$F$3:$F$5000),2,FALSE),"")</f>
        <v>PRE-TEMPORADA</v>
      </c>
      <c r="H509" t="str" cm="1">
        <f t="array" ref="H509">IFERROR(VLOOKUP(INPUT!M504&amp;INPUT!N504,CHOOSE({1,2},INPUT!$A$3:$A$5000&amp;INPUT!$C$3:$C$5000,INPUT!$D$3:$D$5000),2,FALSE),"")</f>
        <v>TEC-TAC</v>
      </c>
      <c r="I509" s="46">
        <f>IF(INPUT!P504="","",INPUT!P504)</f>
        <v>70.900000000000006</v>
      </c>
      <c r="J509" s="46">
        <f>IF(INPUT!Q504="","",INPUT!Q504)</f>
        <v>71.099999999999994</v>
      </c>
      <c r="K509" s="46">
        <f>IFERROR(IF(OR(INPUT!P504="",INPUT!Q504=""),"",INPUT!P504-INPUT!Q504),"")</f>
        <v>-0.19999999999998863</v>
      </c>
      <c r="L509" s="48">
        <f>IFERROR(IF(OR(INPUT!P504="",INPUT!Q504="",INPUT!P504=0),"",(INPUT!P504-INPUT!Q504)/INPUT!P504),"")</f>
        <v>-2.8208744710858762E-3</v>
      </c>
    </row>
    <row r="510" spans="1:12" ht="18" customHeight="1" x14ac:dyDescent="0.2">
      <c r="A510" s="11">
        <f>IF(INPUT!M505="","",INPUT!M505)</f>
        <v>45905</v>
      </c>
      <c r="B510" s="11">
        <f>IF(INPUT!M505="","",INPUT!M505-WEEKDAY(INPUT!M505,2)+1)</f>
        <v>45901</v>
      </c>
      <c r="C510" s="20">
        <f>IFERROR(_xlfn.ISOWEEKNUM(INPUT!M505),"")</f>
        <v>36</v>
      </c>
      <c r="D510" s="20">
        <f>IFERROR(YEAR(INPUT!M505),"")</f>
        <v>2025</v>
      </c>
      <c r="E510" t="str">
        <f>IF(INPUT!O505="","",INPUT!O505)</f>
        <v>RAYA</v>
      </c>
      <c r="F510" t="str">
        <f>IF(INPUT!N505="","",INPUT!N505)</f>
        <v>M</v>
      </c>
      <c r="G510" t="str" cm="1">
        <f t="array" ref="G510">IFERROR(VLOOKUP(INPUT!M505&amp;INPUT!N505,CHOOSE({1,2},INPUT!$A$3:$A$5000&amp;INPUT!$C$3:$C$5000,INPUT!$F$3:$F$5000),2,FALSE),"")</f>
        <v>PRE-TEMPORADA</v>
      </c>
      <c r="H510" t="str" cm="1">
        <f t="array" ref="H510">IFERROR(VLOOKUP(INPUT!M505&amp;INPUT!N505,CHOOSE({1,2},INPUT!$A$3:$A$5000&amp;INPUT!$C$3:$C$5000,INPUT!$D$3:$D$5000),2,FALSE),"")</f>
        <v>TEC-TAC</v>
      </c>
      <c r="I510" s="46">
        <f>IF(INPUT!P505="","",INPUT!P505)</f>
        <v>82.8</v>
      </c>
      <c r="J510" s="46">
        <f>IF(INPUT!Q505="","",INPUT!Q505)</f>
        <v>82.2</v>
      </c>
      <c r="K510" s="46">
        <f>IFERROR(IF(OR(INPUT!P505="",INPUT!Q505=""),"",INPUT!P505-INPUT!Q505),"")</f>
        <v>0.59999999999999432</v>
      </c>
      <c r="L510" s="48">
        <f>IFERROR(IF(OR(INPUT!P505="",INPUT!Q505="",INPUT!P505=0),"",(INPUT!P505-INPUT!Q505)/INPUT!P505),"")</f>
        <v>7.2463768115941345E-3</v>
      </c>
    </row>
    <row r="511" spans="1:12" ht="18" hidden="1" customHeight="1" x14ac:dyDescent="0.2">
      <c r="A511" s="11">
        <f>IF(INPUT!M506="","",INPUT!M506)</f>
        <v>45905</v>
      </c>
      <c r="B511" s="11">
        <f>IF(INPUT!M506="","",INPUT!M506-WEEKDAY(INPUT!M506,2)+1)</f>
        <v>45901</v>
      </c>
      <c r="C511" s="20">
        <f>IFERROR(_xlfn.ISOWEEKNUM(INPUT!M506),"")</f>
        <v>36</v>
      </c>
      <c r="D511" s="20">
        <f>IFERROR(YEAR(INPUT!M506),"")</f>
        <v>2025</v>
      </c>
      <c r="E511" t="str">
        <f>IF(INPUT!O506="","",INPUT!O506)</f>
        <v>JAVI</v>
      </c>
      <c r="F511" t="str">
        <f>IF(INPUT!N506="","",INPUT!N506)</f>
        <v>M</v>
      </c>
      <c r="G511" t="str" cm="1">
        <f t="array" ref="G511">IFERROR(VLOOKUP(INPUT!M506&amp;INPUT!N506,CHOOSE({1,2},INPUT!$A$3:$A$5000&amp;INPUT!$C$3:$C$5000,INPUT!$F$3:$F$5000),2,FALSE),"")</f>
        <v>PRE-TEMPORADA</v>
      </c>
      <c r="H511" t="str" cm="1">
        <f t="array" ref="H511">IFERROR(VLOOKUP(INPUT!M506&amp;INPUT!N506,CHOOSE({1,2},INPUT!$A$3:$A$5000&amp;INPUT!$C$3:$C$5000,INPUT!$D$3:$D$5000),2,FALSE),"")</f>
        <v>TEC-TAC</v>
      </c>
      <c r="I511" s="46">
        <f>IF(INPUT!P506="","",INPUT!P506)</f>
        <v>80.5</v>
      </c>
      <c r="J511" s="46">
        <f>IF(INPUT!Q506="","",INPUT!Q506)</f>
        <v>80.2</v>
      </c>
      <c r="K511" s="46">
        <f>IFERROR(IF(OR(INPUT!P506="",INPUT!Q506=""),"",INPUT!P506-INPUT!Q506),"")</f>
        <v>0.29999999999999716</v>
      </c>
      <c r="L511" s="48">
        <f>IFERROR(IF(OR(INPUT!P506="",INPUT!Q506="",INPUT!P506=0),"",(INPUT!P506-INPUT!Q506)/INPUT!P506),"")</f>
        <v>3.7267080745341263E-3</v>
      </c>
    </row>
    <row r="512" spans="1:12" ht="18" hidden="1" customHeight="1" x14ac:dyDescent="0.2">
      <c r="A512" s="11">
        <f>IF(INPUT!M507="","",INPUT!M507)</f>
        <v>45905</v>
      </c>
      <c r="B512" s="11">
        <f>IF(INPUT!M507="","",INPUT!M507-WEEKDAY(INPUT!M507,2)+1)</f>
        <v>45901</v>
      </c>
      <c r="C512" s="20">
        <f>IFERROR(_xlfn.ISOWEEKNUM(INPUT!M507),"")</f>
        <v>36</v>
      </c>
      <c r="D512" s="20">
        <f>IFERROR(YEAR(INPUT!M507),"")</f>
        <v>2025</v>
      </c>
      <c r="E512" t="str">
        <f>IF(INPUT!O507="","",INPUT!O507)</f>
        <v>PANI</v>
      </c>
      <c r="F512" t="str">
        <f>IF(INPUT!N507="","",INPUT!N507)</f>
        <v>M</v>
      </c>
      <c r="G512" t="str" cm="1">
        <f t="array" ref="G512">IFERROR(VLOOKUP(INPUT!M507&amp;INPUT!N507,CHOOSE({1,2},INPUT!$A$3:$A$5000&amp;INPUT!$C$3:$C$5000,INPUT!$F$3:$F$5000),2,FALSE),"")</f>
        <v>PRE-TEMPORADA</v>
      </c>
      <c r="H512" t="str" cm="1">
        <f t="array" ref="H512">IFERROR(VLOOKUP(INPUT!M507&amp;INPUT!N507,CHOOSE({1,2},INPUT!$A$3:$A$5000&amp;INPUT!$C$3:$C$5000,INPUT!$D$3:$D$5000),2,FALSE),"")</f>
        <v>TEC-TAC</v>
      </c>
      <c r="I512" s="46">
        <f>IF(INPUT!P507="","",INPUT!P507)</f>
        <v>71.599999999999994</v>
      </c>
      <c r="J512" s="46">
        <f>IF(INPUT!Q507="","",INPUT!Q507)</f>
        <v>71.400000000000006</v>
      </c>
      <c r="K512" s="46">
        <f>IFERROR(IF(OR(INPUT!P507="",INPUT!Q507=""),"",INPUT!P507-INPUT!Q507),"")</f>
        <v>0.19999999999998863</v>
      </c>
      <c r="L512" s="48">
        <f>IFERROR(IF(OR(INPUT!P507="",INPUT!Q507="",INPUT!P507=0),"",(INPUT!P507-INPUT!Q507)/INPUT!P507),"")</f>
        <v>2.7932960893853162E-3</v>
      </c>
    </row>
    <row r="513" spans="1:12" ht="18" hidden="1" customHeight="1" x14ac:dyDescent="0.2">
      <c r="A513" s="11">
        <f>IF(INPUT!M508="","",INPUT!M508)</f>
        <v>45905</v>
      </c>
      <c r="B513" s="11">
        <f>IF(INPUT!M508="","",INPUT!M508-WEEKDAY(INPUT!M508,2)+1)</f>
        <v>45901</v>
      </c>
      <c r="C513" s="20">
        <f>IFERROR(_xlfn.ISOWEEKNUM(INPUT!M508),"")</f>
        <v>36</v>
      </c>
      <c r="D513" s="20">
        <f>IFERROR(YEAR(INPUT!M508),"")</f>
        <v>2025</v>
      </c>
      <c r="E513" t="str">
        <f>IF(INPUT!O508="","",INPUT!O508)</f>
        <v>PIRATA</v>
      </c>
      <c r="F513" t="str">
        <f>IF(INPUT!N508="","",INPUT!N508)</f>
        <v>M</v>
      </c>
      <c r="G513" t="str" cm="1">
        <f t="array" ref="G513">IFERROR(VLOOKUP(INPUT!M508&amp;INPUT!N508,CHOOSE({1,2},INPUT!$A$3:$A$5000&amp;INPUT!$C$3:$C$5000,INPUT!$F$3:$F$5000),2,FALSE),"")</f>
        <v>PRE-TEMPORADA</v>
      </c>
      <c r="H513" t="str" cm="1">
        <f t="array" ref="H513">IFERROR(VLOOKUP(INPUT!M508&amp;INPUT!N508,CHOOSE({1,2},INPUT!$A$3:$A$5000&amp;INPUT!$C$3:$C$5000,INPUT!$D$3:$D$5000),2,FALSE),"")</f>
        <v>TEC-TAC</v>
      </c>
      <c r="I513" s="46">
        <f>IF(INPUT!P508="","",INPUT!P508)</f>
        <v>75.599999999999994</v>
      </c>
      <c r="J513" s="46">
        <f>IF(INPUT!Q508="","",INPUT!Q508)</f>
        <v>75.5</v>
      </c>
      <c r="K513" s="46">
        <f>IFERROR(IF(OR(INPUT!P508="",INPUT!Q508=""),"",INPUT!P508-INPUT!Q508),"")</f>
        <v>9.9999999999994316E-2</v>
      </c>
      <c r="L513" s="48">
        <f>IFERROR(IF(OR(INPUT!P508="",INPUT!Q508="",INPUT!P508=0),"",(INPUT!P508-INPUT!Q508)/INPUT!P508),"")</f>
        <v>1.3227513227512477E-3</v>
      </c>
    </row>
    <row r="514" spans="1:12" ht="18" hidden="1" customHeight="1" x14ac:dyDescent="0.2">
      <c r="A514" s="11">
        <f>IF(INPUT!M509="","",INPUT!M509)</f>
        <v>45905</v>
      </c>
      <c r="B514" s="11">
        <f>IF(INPUT!M509="","",INPUT!M509-WEEKDAY(INPUT!M509,2)+1)</f>
        <v>45901</v>
      </c>
      <c r="C514" s="20">
        <f>IFERROR(_xlfn.ISOWEEKNUM(INPUT!M509),"")</f>
        <v>36</v>
      </c>
      <c r="D514" s="20">
        <f>IFERROR(YEAR(INPUT!M509),"")</f>
        <v>2025</v>
      </c>
      <c r="E514" t="str">
        <f>IF(INPUT!O509="","",INPUT!O509)</f>
        <v>BARONA</v>
      </c>
      <c r="F514" t="str">
        <f>IF(INPUT!N509="","",INPUT!N509)</f>
        <v>M</v>
      </c>
      <c r="G514" t="str" cm="1">
        <f t="array" ref="G514">IFERROR(VLOOKUP(INPUT!M509&amp;INPUT!N509,CHOOSE({1,2},INPUT!$A$3:$A$5000&amp;INPUT!$C$3:$C$5000,INPUT!$F$3:$F$5000),2,FALSE),"")</f>
        <v>PRE-TEMPORADA</v>
      </c>
      <c r="H514" t="str" cm="1">
        <f t="array" ref="H514">IFERROR(VLOOKUP(INPUT!M509&amp;INPUT!N509,CHOOSE({1,2},INPUT!$A$3:$A$5000&amp;INPUT!$C$3:$C$5000,INPUT!$D$3:$D$5000),2,FALSE),"")</f>
        <v>TEC-TAC</v>
      </c>
      <c r="I514" s="46">
        <f>IF(INPUT!P509="","",INPUT!P509)</f>
        <v>71.8</v>
      </c>
      <c r="J514" s="46">
        <f>IF(INPUT!Q509="","",INPUT!Q509)</f>
        <v>71.7</v>
      </c>
      <c r="K514" s="46">
        <f>IFERROR(IF(OR(INPUT!P509="",INPUT!Q509=""),"",INPUT!P509-INPUT!Q509),"")</f>
        <v>9.9999999999994316E-2</v>
      </c>
      <c r="L514" s="48">
        <f>IFERROR(IF(OR(INPUT!P509="",INPUT!Q509="",INPUT!P509=0),"",(INPUT!P509-INPUT!Q509)/INPUT!P509),"")</f>
        <v>1.3927576601670518E-3</v>
      </c>
    </row>
    <row r="515" spans="1:12" ht="18" hidden="1" customHeight="1" x14ac:dyDescent="0.2">
      <c r="A515" s="11">
        <f>IF(INPUT!M510="","",INPUT!M510)</f>
        <v>45905</v>
      </c>
      <c r="B515" s="11">
        <f>IF(INPUT!M510="","",INPUT!M510-WEEKDAY(INPUT!M510,2)+1)</f>
        <v>45901</v>
      </c>
      <c r="C515" s="20">
        <f>IFERROR(_xlfn.ISOWEEKNUM(INPUT!M510),"")</f>
        <v>36</v>
      </c>
      <c r="D515" s="20">
        <f>IFERROR(YEAR(INPUT!M510),"")</f>
        <v>2025</v>
      </c>
      <c r="E515" t="str">
        <f>IF(INPUT!O510="","",INPUT!O510)</f>
        <v>CARLOS</v>
      </c>
      <c r="F515" t="str">
        <f>IF(INPUT!N510="","",INPUT!N510)</f>
        <v>M</v>
      </c>
      <c r="G515" t="str" cm="1">
        <f t="array" ref="G515">IFERROR(VLOOKUP(INPUT!M510&amp;INPUT!N510,CHOOSE({1,2},INPUT!$A$3:$A$5000&amp;INPUT!$C$3:$C$5000,INPUT!$F$3:$F$5000),2,FALSE),"")</f>
        <v>PRE-TEMPORADA</v>
      </c>
      <c r="H515" t="str" cm="1">
        <f t="array" ref="H515">IFERROR(VLOOKUP(INPUT!M510&amp;INPUT!N510,CHOOSE({1,2},INPUT!$A$3:$A$5000&amp;INPUT!$C$3:$C$5000,INPUT!$D$3:$D$5000),2,FALSE),"")</f>
        <v>TEC-TAC</v>
      </c>
      <c r="I515" s="46">
        <f>IF(INPUT!P510="","",INPUT!P510)</f>
        <v>68</v>
      </c>
      <c r="J515" s="46">
        <f>IF(INPUT!Q510="","",INPUT!Q510)</f>
        <v>67.5</v>
      </c>
      <c r="K515" s="46">
        <f>IFERROR(IF(OR(INPUT!P510="",INPUT!Q510=""),"",INPUT!P510-INPUT!Q510),"")</f>
        <v>0.5</v>
      </c>
      <c r="L515" s="48">
        <f>IFERROR(IF(OR(INPUT!P510="",INPUT!Q510="",INPUT!P510=0),"",(INPUT!P510-INPUT!Q510)/INPUT!P510),"")</f>
        <v>7.3529411764705881E-3</v>
      </c>
    </row>
    <row r="516" spans="1:12" ht="18" hidden="1" customHeight="1" x14ac:dyDescent="0.2">
      <c r="A516" s="11">
        <f>IF(INPUT!M511="","",INPUT!M511)</f>
        <v>45905</v>
      </c>
      <c r="B516" s="11">
        <f>IF(INPUT!M511="","",INPUT!M511-WEEKDAY(INPUT!M511,2)+1)</f>
        <v>45901</v>
      </c>
      <c r="C516" s="20">
        <f>IFERROR(_xlfn.ISOWEEKNUM(INPUT!M511),"")</f>
        <v>36</v>
      </c>
      <c r="D516" s="20">
        <f>IFERROR(YEAR(INPUT!M511),"")</f>
        <v>2025</v>
      </c>
      <c r="E516" t="str">
        <f>IF(INPUT!O511="","",INPUT!O511)</f>
        <v>GONZALO</v>
      </c>
      <c r="F516" t="str">
        <f>IF(INPUT!N511="","",INPUT!N511)</f>
        <v>M</v>
      </c>
      <c r="G516" t="str" cm="1">
        <f t="array" ref="G516">IFERROR(VLOOKUP(INPUT!M511&amp;INPUT!N511,CHOOSE({1,2},INPUT!$A$3:$A$5000&amp;INPUT!$C$3:$C$5000,INPUT!$F$3:$F$5000),2,FALSE),"")</f>
        <v>PRE-TEMPORADA</v>
      </c>
      <c r="H516" t="str" cm="1">
        <f t="array" ref="H516">IFERROR(VLOOKUP(INPUT!M511&amp;INPUT!N511,CHOOSE({1,2},INPUT!$A$3:$A$5000&amp;INPUT!$C$3:$C$5000,INPUT!$D$3:$D$5000),2,FALSE),"")</f>
        <v>TEC-TAC</v>
      </c>
      <c r="I516" s="46">
        <f>IF(INPUT!P511="","",INPUT!P511)</f>
        <v>84.7</v>
      </c>
      <c r="J516" s="46">
        <f>IF(INPUT!Q511="","",INPUT!Q511)</f>
        <v>84.8</v>
      </c>
      <c r="K516" s="46">
        <f>IFERROR(IF(OR(INPUT!P511="",INPUT!Q511=""),"",INPUT!P511-INPUT!Q511),"")</f>
        <v>-9.9999999999994316E-2</v>
      </c>
      <c r="L516" s="48">
        <f>IFERROR(IF(OR(INPUT!P511="",INPUT!Q511="",INPUT!P511=0),"",(INPUT!P511-INPUT!Q511)/INPUT!P511),"")</f>
        <v>-1.1806375442738408E-3</v>
      </c>
    </row>
    <row r="517" spans="1:12" ht="18" hidden="1" customHeight="1" x14ac:dyDescent="0.2">
      <c r="A517" s="11">
        <f>IF(INPUT!M512="","",INPUT!M512)</f>
        <v>45905</v>
      </c>
      <c r="B517" s="11">
        <f>IF(INPUT!M512="","",INPUT!M512-WEEKDAY(INPUT!M512,2)+1)</f>
        <v>45901</v>
      </c>
      <c r="C517" s="20">
        <f>IFERROR(_xlfn.ISOWEEKNUM(INPUT!M512),"")</f>
        <v>36</v>
      </c>
      <c r="D517" s="20">
        <f>IFERROR(YEAR(INPUT!M512),"")</f>
        <v>2025</v>
      </c>
      <c r="E517" t="str">
        <f>IF(INPUT!O512="","",INPUT!O512)</f>
        <v>RUBIO</v>
      </c>
      <c r="F517" t="str">
        <f>IF(INPUT!N512="","",INPUT!N512)</f>
        <v>M</v>
      </c>
      <c r="G517" t="str" cm="1">
        <f t="array" ref="G517">IFERROR(VLOOKUP(INPUT!M512&amp;INPUT!N512,CHOOSE({1,2},INPUT!$A$3:$A$5000&amp;INPUT!$C$3:$C$5000,INPUT!$F$3:$F$5000),2,FALSE),"")</f>
        <v>PRE-TEMPORADA</v>
      </c>
      <c r="H517" t="str" cm="1">
        <f t="array" ref="H517">IFERROR(VLOOKUP(INPUT!M512&amp;INPUT!N512,CHOOSE({1,2},INPUT!$A$3:$A$5000&amp;INPUT!$C$3:$C$5000,INPUT!$D$3:$D$5000),2,FALSE),"")</f>
        <v>TEC-TAC</v>
      </c>
      <c r="I517" s="46">
        <f>IF(INPUT!P512="","",INPUT!P512)</f>
        <v>74.7</v>
      </c>
      <c r="J517" s="46">
        <f>IF(INPUT!Q512="","",INPUT!Q512)</f>
        <v>74.7</v>
      </c>
      <c r="K517" s="46">
        <f>IFERROR(IF(OR(INPUT!P512="",INPUT!Q512=""),"",INPUT!P512-INPUT!Q512),"")</f>
        <v>0</v>
      </c>
      <c r="L517" s="48">
        <f>IFERROR(IF(OR(INPUT!P512="",INPUT!Q512="",INPUT!P512=0),"",(INPUT!P512-INPUT!Q512)/INPUT!P512),"")</f>
        <v>0</v>
      </c>
    </row>
    <row r="518" spans="1:12" ht="18" hidden="1" customHeight="1" x14ac:dyDescent="0.2">
      <c r="A518" s="11">
        <f>IF(INPUT!M513="","",INPUT!M513)</f>
        <v>45905</v>
      </c>
      <c r="B518" s="11">
        <f>IF(INPUT!M513="","",INPUT!M513-WEEKDAY(INPUT!M513,2)+1)</f>
        <v>45901</v>
      </c>
      <c r="C518" s="20">
        <f>IFERROR(_xlfn.ISOWEEKNUM(INPUT!M513),"")</f>
        <v>36</v>
      </c>
      <c r="D518" s="20">
        <f>IFERROR(YEAR(INPUT!M513),"")</f>
        <v>2025</v>
      </c>
      <c r="E518" t="str">
        <f>IF(INPUT!O513="","",INPUT!O513)</f>
        <v>DANI</v>
      </c>
      <c r="F518" t="str">
        <f>IF(INPUT!N513="","",INPUT!N513)</f>
        <v>M</v>
      </c>
      <c r="G518" t="str" cm="1">
        <f t="array" ref="G518">IFERROR(VLOOKUP(INPUT!M513&amp;INPUT!N513,CHOOSE({1,2},INPUT!$A$3:$A$5000&amp;INPUT!$C$3:$C$5000,INPUT!$F$3:$F$5000),2,FALSE),"")</f>
        <v>PRE-TEMPORADA</v>
      </c>
      <c r="H518" t="str" cm="1">
        <f t="array" ref="H518">IFERROR(VLOOKUP(INPUT!M513&amp;INPUT!N513,CHOOSE({1,2},INPUT!$A$3:$A$5000&amp;INPUT!$C$3:$C$5000,INPUT!$D$3:$D$5000),2,FALSE),"")</f>
        <v>TEC-TAC</v>
      </c>
      <c r="I518" s="46">
        <f>IF(INPUT!P513="","",INPUT!P513)</f>
        <v>93.2</v>
      </c>
      <c r="J518" s="46">
        <f>IF(INPUT!Q513="","",INPUT!Q513)</f>
        <v>93.6</v>
      </c>
      <c r="K518" s="46">
        <f>IFERROR(IF(OR(INPUT!P513="",INPUT!Q513=""),"",INPUT!P513-INPUT!Q513),"")</f>
        <v>-0.39999999999999147</v>
      </c>
      <c r="L518" s="48">
        <f>IFERROR(IF(OR(INPUT!P513="",INPUT!Q513="",INPUT!P513=0),"",(INPUT!P513-INPUT!Q513)/INPUT!P513),"")</f>
        <v>-4.2918454935621398E-3</v>
      </c>
    </row>
    <row r="519" spans="1:12" ht="18" hidden="1" customHeight="1" x14ac:dyDescent="0.2">
      <c r="A519" s="11">
        <f>IF(INPUT!M514="","",INPUT!M514)</f>
        <v>45906</v>
      </c>
      <c r="B519" s="11">
        <f>IF(INPUT!M514="","",INPUT!M514-WEEKDAY(INPUT!M514,2)+1)</f>
        <v>45901</v>
      </c>
      <c r="C519" s="20">
        <f>IFERROR(_xlfn.ISOWEEKNUM(INPUT!M514),"")</f>
        <v>36</v>
      </c>
      <c r="D519" s="20">
        <f>IFERROR(YEAR(INPUT!M514),"")</f>
        <v>2025</v>
      </c>
      <c r="E519" t="str">
        <f>IF(INPUT!O514="","",INPUT!O514)</f>
        <v>HERRERO</v>
      </c>
      <c r="F519" t="str">
        <f>IF(INPUT!N514="","",INPUT!N514)</f>
        <v>T</v>
      </c>
      <c r="G519" t="str" cm="1">
        <f t="array" ref="G519">IFERROR(VLOOKUP(INPUT!M514&amp;INPUT!N514,CHOOSE({1,2},INPUT!$A$3:$A$5000&amp;INPUT!$C$3:$C$5000,INPUT!$F$3:$F$5000),2,FALSE),"")</f>
        <v>PRE-TEMPORADA</v>
      </c>
      <c r="H519" t="str" cm="1">
        <f t="array" ref="H519">IFERROR(VLOOKUP(INPUT!M514&amp;INPUT!N514,CHOOSE({1,2},INPUT!$A$3:$A$5000&amp;INPUT!$C$3:$C$5000,INPUT!$D$3:$D$5000),2,FALSE),"")</f>
        <v>PARTIDO</v>
      </c>
      <c r="I519" s="46">
        <f>IF(INPUT!P514="","",INPUT!P514)</f>
        <v>77</v>
      </c>
      <c r="J519" s="46">
        <f>IF(INPUT!Q514="","",INPUT!Q514)</f>
        <v>75.5</v>
      </c>
      <c r="K519" s="46">
        <f>IFERROR(IF(OR(INPUT!P514="",INPUT!Q514=""),"",INPUT!P514-INPUT!Q514),"")</f>
        <v>1.5</v>
      </c>
      <c r="L519" s="48">
        <f>IFERROR(IF(OR(INPUT!P514="",INPUT!Q514="",INPUT!P514=0),"",(INPUT!P514-INPUT!Q514)/INPUT!P514),"")</f>
        <v>1.948051948051948E-2</v>
      </c>
    </row>
    <row r="520" spans="1:12" ht="18" hidden="1" customHeight="1" x14ac:dyDescent="0.2">
      <c r="A520" s="11">
        <f>IF(INPUT!M515="","",INPUT!M515)</f>
        <v>45906</v>
      </c>
      <c r="B520" s="11">
        <f>IF(INPUT!M515="","",INPUT!M515-WEEKDAY(INPUT!M515,2)+1)</f>
        <v>45901</v>
      </c>
      <c r="C520" s="20">
        <f>IFERROR(_xlfn.ISOWEEKNUM(INPUT!M515),"")</f>
        <v>36</v>
      </c>
      <c r="D520" s="20">
        <f>IFERROR(YEAR(INPUT!M515),"")</f>
        <v>2025</v>
      </c>
      <c r="E520" t="str">
        <f>IF(INPUT!O515="","",INPUT!O515)</f>
        <v>GARCIA</v>
      </c>
      <c r="F520" t="str">
        <f>IF(INPUT!N515="","",INPUT!N515)</f>
        <v>T</v>
      </c>
      <c r="G520" t="str" cm="1">
        <f t="array" ref="G520">IFERROR(VLOOKUP(INPUT!M515&amp;INPUT!N515,CHOOSE({1,2},INPUT!$A$3:$A$5000&amp;INPUT!$C$3:$C$5000,INPUT!$F$3:$F$5000),2,FALSE),"")</f>
        <v>PRE-TEMPORADA</v>
      </c>
      <c r="H520" t="str" cm="1">
        <f t="array" ref="H520">IFERROR(VLOOKUP(INPUT!M515&amp;INPUT!N515,CHOOSE({1,2},INPUT!$A$3:$A$5000&amp;INPUT!$C$3:$C$5000,INPUT!$D$3:$D$5000),2,FALSE),"")</f>
        <v>PARTIDO</v>
      </c>
      <c r="I520" s="46">
        <f>IF(INPUT!P515="","",INPUT!P515)</f>
        <v>79.599999999999994</v>
      </c>
      <c r="J520" s="46">
        <f>IF(INPUT!Q515="","",INPUT!Q515)</f>
        <v>79.400000000000006</v>
      </c>
      <c r="K520" s="46">
        <f>IFERROR(IF(OR(INPUT!P515="",INPUT!Q515=""),"",INPUT!P515-INPUT!Q515),"")</f>
        <v>0.19999999999998863</v>
      </c>
      <c r="L520" s="48">
        <f>IFERROR(IF(OR(INPUT!P515="",INPUT!Q515="",INPUT!P515=0),"",(INPUT!P515-INPUT!Q515)/INPUT!P515),"")</f>
        <v>2.5125628140702091E-3</v>
      </c>
    </row>
    <row r="521" spans="1:12" ht="18" hidden="1" customHeight="1" x14ac:dyDescent="0.2">
      <c r="A521" s="11">
        <f>IF(INPUT!M516="","",INPUT!M516)</f>
        <v>45906</v>
      </c>
      <c r="B521" s="11">
        <f>IF(INPUT!M516="","",INPUT!M516-WEEKDAY(INPUT!M516,2)+1)</f>
        <v>45901</v>
      </c>
      <c r="C521" s="20">
        <f>IFERROR(_xlfn.ISOWEEKNUM(INPUT!M516),"")</f>
        <v>36</v>
      </c>
      <c r="D521" s="20">
        <f>IFERROR(YEAR(INPUT!M516),"")</f>
        <v>2025</v>
      </c>
      <c r="E521" t="str">
        <f>IF(INPUT!O516="","",INPUT!O516)</f>
        <v>CECILIO</v>
      </c>
      <c r="F521" t="str">
        <f>IF(INPUT!N516="","",INPUT!N516)</f>
        <v>T</v>
      </c>
      <c r="G521" t="str" cm="1">
        <f t="array" ref="G521">IFERROR(VLOOKUP(INPUT!M516&amp;INPUT!N516,CHOOSE({1,2},INPUT!$A$3:$A$5000&amp;INPUT!$C$3:$C$5000,INPUT!$F$3:$F$5000),2,FALSE),"")</f>
        <v>PRE-TEMPORADA</v>
      </c>
      <c r="H521" t="str" cm="1">
        <f t="array" ref="H521">IFERROR(VLOOKUP(INPUT!M516&amp;INPUT!N516,CHOOSE({1,2},INPUT!$A$3:$A$5000&amp;INPUT!$C$3:$C$5000,INPUT!$D$3:$D$5000),2,FALSE),"")</f>
        <v>PARTIDO</v>
      </c>
      <c r="I521" s="46">
        <f>IF(INPUT!P516="","",INPUT!P516)</f>
        <v>68</v>
      </c>
      <c r="J521" s="46">
        <f>IF(INPUT!Q516="","",INPUT!Q516)</f>
        <v>67</v>
      </c>
      <c r="K521" s="46">
        <f>IFERROR(IF(OR(INPUT!P516="",INPUT!Q516=""),"",INPUT!P516-INPUT!Q516),"")</f>
        <v>1</v>
      </c>
      <c r="L521" s="48">
        <f>IFERROR(IF(OR(INPUT!P516="",INPUT!Q516="",INPUT!P516=0),"",(INPUT!P516-INPUT!Q516)/INPUT!P516),"")</f>
        <v>1.4705882352941176E-2</v>
      </c>
    </row>
    <row r="522" spans="1:12" ht="18" hidden="1" customHeight="1" x14ac:dyDescent="0.2">
      <c r="A522" s="11">
        <f>IF(INPUT!M517="","",INPUT!M517)</f>
        <v>45906</v>
      </c>
      <c r="B522" s="11">
        <f>IF(INPUT!M517="","",INPUT!M517-WEEKDAY(INPUT!M517,2)+1)</f>
        <v>45901</v>
      </c>
      <c r="C522" s="20">
        <f>IFERROR(_xlfn.ISOWEEKNUM(INPUT!M517),"")</f>
        <v>36</v>
      </c>
      <c r="D522" s="20">
        <f>IFERROR(YEAR(INPUT!M517),"")</f>
        <v>2025</v>
      </c>
      <c r="E522" t="str">
        <f>IF(INPUT!O517="","",INPUT!O517)</f>
        <v>CHAGUINHA</v>
      </c>
      <c r="F522" t="str">
        <f>IF(INPUT!N517="","",INPUT!N517)</f>
        <v>T</v>
      </c>
      <c r="G522" t="str" cm="1">
        <f t="array" ref="G522">IFERROR(VLOOKUP(INPUT!M517&amp;INPUT!N517,CHOOSE({1,2},INPUT!$A$3:$A$5000&amp;INPUT!$C$3:$C$5000,INPUT!$F$3:$F$5000),2,FALSE),"")</f>
        <v>PRE-TEMPORADA</v>
      </c>
      <c r="H522" t="str" cm="1">
        <f t="array" ref="H522">IFERROR(VLOOKUP(INPUT!M517&amp;INPUT!N517,CHOOSE({1,2},INPUT!$A$3:$A$5000&amp;INPUT!$C$3:$C$5000,INPUT!$D$3:$D$5000),2,FALSE),"")</f>
        <v>PARTIDO</v>
      </c>
      <c r="I522" s="46">
        <f>IF(INPUT!P517="","",INPUT!P517)</f>
        <v>69</v>
      </c>
      <c r="J522" s="46">
        <f>IF(INPUT!Q517="","",INPUT!Q517)</f>
        <v>68</v>
      </c>
      <c r="K522" s="46">
        <f>IFERROR(IF(OR(INPUT!P517="",INPUT!Q517=""),"",INPUT!P517-INPUT!Q517),"")</f>
        <v>1</v>
      </c>
      <c r="L522" s="48">
        <f>IFERROR(IF(OR(INPUT!P517="",INPUT!Q517="",INPUT!P517=0),"",(INPUT!P517-INPUT!Q517)/INPUT!P517),"")</f>
        <v>1.4492753623188406E-2</v>
      </c>
    </row>
    <row r="523" spans="1:12" ht="18" hidden="1" customHeight="1" x14ac:dyDescent="0.2">
      <c r="A523" s="11">
        <f>IF(INPUT!M518="","",INPUT!M518)</f>
        <v>45906</v>
      </c>
      <c r="B523" s="11">
        <f>IF(INPUT!M518="","",INPUT!M518-WEEKDAY(INPUT!M518,2)+1)</f>
        <v>45901</v>
      </c>
      <c r="C523" s="20">
        <f>IFERROR(_xlfn.ISOWEEKNUM(INPUT!M518),"")</f>
        <v>36</v>
      </c>
      <c r="D523" s="20">
        <f>IFERROR(YEAR(INPUT!M518),"")</f>
        <v>2025</v>
      </c>
      <c r="E523" t="str">
        <f>IF(INPUT!O518="","",INPUT!O518)</f>
        <v>RAUL</v>
      </c>
      <c r="F523" t="str">
        <f>IF(INPUT!N518="","",INPUT!N518)</f>
        <v>T</v>
      </c>
      <c r="G523" t="str" cm="1">
        <f t="array" ref="G523">IFERROR(VLOOKUP(INPUT!M518&amp;INPUT!N518,CHOOSE({1,2},INPUT!$A$3:$A$5000&amp;INPUT!$C$3:$C$5000,INPUT!$F$3:$F$5000),2,FALSE),"")</f>
        <v>PRE-TEMPORADA</v>
      </c>
      <c r="H523" t="str" cm="1">
        <f t="array" ref="H523">IFERROR(VLOOKUP(INPUT!M518&amp;INPUT!N518,CHOOSE({1,2},INPUT!$A$3:$A$5000&amp;INPUT!$C$3:$C$5000,INPUT!$D$3:$D$5000),2,FALSE),"")</f>
        <v>PARTIDO</v>
      </c>
      <c r="I523" s="46">
        <f>IF(INPUT!P518="","",INPUT!P518)</f>
        <v>80</v>
      </c>
      <c r="J523" s="46">
        <f>IF(INPUT!Q518="","",INPUT!Q518)</f>
        <v>78.900000000000006</v>
      </c>
      <c r="K523" s="46">
        <f>IFERROR(IF(OR(INPUT!P518="",INPUT!Q518=""),"",INPUT!P518-INPUT!Q518),"")</f>
        <v>1.0999999999999943</v>
      </c>
      <c r="L523" s="48">
        <f>IFERROR(IF(OR(INPUT!P518="",INPUT!Q518="",INPUT!P518=0),"",(INPUT!P518-INPUT!Q518)/INPUT!P518),"")</f>
        <v>1.3749999999999929E-2</v>
      </c>
    </row>
    <row r="524" spans="1:12" ht="18" hidden="1" customHeight="1" x14ac:dyDescent="0.2">
      <c r="A524" s="11">
        <f>IF(INPUT!M519="","",INPUT!M519)</f>
        <v>45906</v>
      </c>
      <c r="B524" s="11">
        <f>IF(INPUT!M519="","",INPUT!M519-WEEKDAY(INPUT!M519,2)+1)</f>
        <v>45901</v>
      </c>
      <c r="C524" s="20">
        <f>IFERROR(_xlfn.ISOWEEKNUM(INPUT!M519),"")</f>
        <v>36</v>
      </c>
      <c r="D524" s="20">
        <f>IFERROR(YEAR(INPUT!M519),"")</f>
        <v>2025</v>
      </c>
      <c r="E524" t="str">
        <f>IF(INPUT!O519="","",INPUT!O519)</f>
        <v>HARRISON</v>
      </c>
      <c r="F524" t="str">
        <f>IF(INPUT!N519="","",INPUT!N519)</f>
        <v>T</v>
      </c>
      <c r="G524" t="str" cm="1">
        <f t="array" ref="G524">IFERROR(VLOOKUP(INPUT!M519&amp;INPUT!N519,CHOOSE({1,2},INPUT!$A$3:$A$5000&amp;INPUT!$C$3:$C$5000,INPUT!$F$3:$F$5000),2,FALSE),"")</f>
        <v>PRE-TEMPORADA</v>
      </c>
      <c r="H524" t="str" cm="1">
        <f t="array" ref="H524">IFERROR(VLOOKUP(INPUT!M519&amp;INPUT!N519,CHOOSE({1,2},INPUT!$A$3:$A$5000&amp;INPUT!$C$3:$C$5000,INPUT!$D$3:$D$5000),2,FALSE),"")</f>
        <v>PARTIDO</v>
      </c>
      <c r="I524" s="46">
        <f>IF(INPUT!P519="","",INPUT!P519)</f>
        <v>71</v>
      </c>
      <c r="J524" s="46">
        <f>IF(INPUT!Q519="","",INPUT!Q519)</f>
        <v>71.3</v>
      </c>
      <c r="K524" s="46">
        <f>IFERROR(IF(OR(INPUT!P519="",INPUT!Q519=""),"",INPUT!P519-INPUT!Q519),"")</f>
        <v>-0.29999999999999716</v>
      </c>
      <c r="L524" s="48">
        <f>IFERROR(IF(OR(INPUT!P519="",INPUT!Q519="",INPUT!P519=0),"",(INPUT!P519-INPUT!Q519)/INPUT!P519),"")</f>
        <v>-4.225352112676016E-3</v>
      </c>
    </row>
    <row r="525" spans="1:12" ht="18" hidden="1" customHeight="1" x14ac:dyDescent="0.2">
      <c r="A525" s="11">
        <f>IF(INPUT!M520="","",INPUT!M520)</f>
        <v>45906</v>
      </c>
      <c r="B525" s="11">
        <f>IF(INPUT!M520="","",INPUT!M520-WEEKDAY(INPUT!M520,2)+1)</f>
        <v>45901</v>
      </c>
      <c r="C525" s="20">
        <f>IFERROR(_xlfn.ISOWEEKNUM(INPUT!M520),"")</f>
        <v>36</v>
      </c>
      <c r="D525" s="20">
        <f>IFERROR(YEAR(INPUT!M520),"")</f>
        <v>2025</v>
      </c>
      <c r="E525" t="str">
        <f>IF(INPUT!O520="","",INPUT!O520)</f>
        <v>RAYA</v>
      </c>
      <c r="F525" t="str">
        <f>IF(INPUT!N520="","",INPUT!N520)</f>
        <v>T</v>
      </c>
      <c r="G525" t="str" cm="1">
        <f t="array" ref="G525">IFERROR(VLOOKUP(INPUT!M520&amp;INPUT!N520,CHOOSE({1,2},INPUT!$A$3:$A$5000&amp;INPUT!$C$3:$C$5000,INPUT!$F$3:$F$5000),2,FALSE),"")</f>
        <v>PRE-TEMPORADA</v>
      </c>
      <c r="H525" t="str" cm="1">
        <f t="array" ref="H525">IFERROR(VLOOKUP(INPUT!M520&amp;INPUT!N520,CHOOSE({1,2},INPUT!$A$3:$A$5000&amp;INPUT!$C$3:$C$5000,INPUT!$D$3:$D$5000),2,FALSE),"")</f>
        <v>PARTIDO</v>
      </c>
      <c r="I525" s="46">
        <f>IF(INPUT!P520="","",INPUT!P520)</f>
        <v>82.7</v>
      </c>
      <c r="J525" s="46">
        <f>IF(INPUT!Q520="","",INPUT!Q520)</f>
        <v>79.3</v>
      </c>
      <c r="K525" s="46">
        <f>IFERROR(IF(OR(INPUT!P520="",INPUT!Q520=""),"",INPUT!P520-INPUT!Q520),"")</f>
        <v>3.4000000000000057</v>
      </c>
      <c r="L525" s="48">
        <f>IFERROR(IF(OR(INPUT!P520="",INPUT!Q520="",INPUT!P520=0),"",(INPUT!P520-INPUT!Q520)/INPUT!P520),"")</f>
        <v>4.1112454655380964E-2</v>
      </c>
    </row>
    <row r="526" spans="1:12" ht="18" hidden="1" customHeight="1" x14ac:dyDescent="0.2">
      <c r="A526" s="11">
        <f>IF(INPUT!M521="","",INPUT!M521)</f>
        <v>45906</v>
      </c>
      <c r="B526" s="11">
        <f>IF(INPUT!M521="","",INPUT!M521-WEEKDAY(INPUT!M521,2)+1)</f>
        <v>45901</v>
      </c>
      <c r="C526" s="20">
        <f>IFERROR(_xlfn.ISOWEEKNUM(INPUT!M521),"")</f>
        <v>36</v>
      </c>
      <c r="D526" s="20">
        <f>IFERROR(YEAR(INPUT!M521),"")</f>
        <v>2025</v>
      </c>
      <c r="E526" t="str">
        <f>IF(INPUT!O521="","",INPUT!O521)</f>
        <v>JAVI</v>
      </c>
      <c r="F526" t="str">
        <f>IF(INPUT!N521="","",INPUT!N521)</f>
        <v>T</v>
      </c>
      <c r="G526" t="str" cm="1">
        <f t="array" ref="G526">IFERROR(VLOOKUP(INPUT!M521&amp;INPUT!N521,CHOOSE({1,2},INPUT!$A$3:$A$5000&amp;INPUT!$C$3:$C$5000,INPUT!$F$3:$F$5000),2,FALSE),"")</f>
        <v>PRE-TEMPORADA</v>
      </c>
      <c r="H526" t="str" cm="1">
        <f t="array" ref="H526">IFERROR(VLOOKUP(INPUT!M521&amp;INPUT!N521,CHOOSE({1,2},INPUT!$A$3:$A$5000&amp;INPUT!$C$3:$C$5000,INPUT!$D$3:$D$5000),2,FALSE),"")</f>
        <v>PARTIDO</v>
      </c>
      <c r="I526" s="46">
        <f>IF(INPUT!P521="","",INPUT!P521)</f>
        <v>79.3</v>
      </c>
      <c r="J526" s="46">
        <f>IF(INPUT!Q521="","",INPUT!Q521)</f>
        <v>79.400000000000006</v>
      </c>
      <c r="K526" s="46">
        <f>IFERROR(IF(OR(INPUT!P521="",INPUT!Q521=""),"",INPUT!P521-INPUT!Q521),"")</f>
        <v>-0.10000000000000853</v>
      </c>
      <c r="L526" s="48">
        <f>IFERROR(IF(OR(INPUT!P521="",INPUT!Q521="",INPUT!P521=0),"",(INPUT!P521-INPUT!Q521)/INPUT!P521),"")</f>
        <v>-1.2610340479194014E-3</v>
      </c>
    </row>
    <row r="527" spans="1:12" ht="18" hidden="1" customHeight="1" x14ac:dyDescent="0.2">
      <c r="A527" s="11">
        <f>IF(INPUT!M522="","",INPUT!M522)</f>
        <v>45906</v>
      </c>
      <c r="B527" s="11">
        <f>IF(INPUT!M522="","",INPUT!M522-WEEKDAY(INPUT!M522,2)+1)</f>
        <v>45901</v>
      </c>
      <c r="C527" s="20">
        <f>IFERROR(_xlfn.ISOWEEKNUM(INPUT!M522),"")</f>
        <v>36</v>
      </c>
      <c r="D527" s="20">
        <f>IFERROR(YEAR(INPUT!M522),"")</f>
        <v>2025</v>
      </c>
      <c r="E527" t="str">
        <f>IF(INPUT!O522="","",INPUT!O522)</f>
        <v>PANI</v>
      </c>
      <c r="F527" t="str">
        <f>IF(INPUT!N522="","",INPUT!N522)</f>
        <v>T</v>
      </c>
      <c r="G527" t="str" cm="1">
        <f t="array" ref="G527">IFERROR(VLOOKUP(INPUT!M522&amp;INPUT!N522,CHOOSE({1,2},INPUT!$A$3:$A$5000&amp;INPUT!$C$3:$C$5000,INPUT!$F$3:$F$5000),2,FALSE),"")</f>
        <v>PRE-TEMPORADA</v>
      </c>
      <c r="H527" t="str" cm="1">
        <f t="array" ref="H527">IFERROR(VLOOKUP(INPUT!M522&amp;INPUT!N522,CHOOSE({1,2},INPUT!$A$3:$A$5000&amp;INPUT!$C$3:$C$5000,INPUT!$D$3:$D$5000),2,FALSE),"")</f>
        <v>PARTIDO</v>
      </c>
      <c r="I527" s="46">
        <f>IF(INPUT!P522="","",INPUT!P522)</f>
        <v>71.5</v>
      </c>
      <c r="J527" s="46">
        <f>IF(INPUT!Q522="","",INPUT!Q522)</f>
        <v>71.400000000000006</v>
      </c>
      <c r="K527" s="46">
        <f>IFERROR(IF(OR(INPUT!P522="",INPUT!Q522=""),"",INPUT!P522-INPUT!Q522),"")</f>
        <v>9.9999999999994316E-2</v>
      </c>
      <c r="L527" s="48">
        <f>IFERROR(IF(OR(INPUT!P522="",INPUT!Q522="",INPUT!P522=0),"",(INPUT!P522-INPUT!Q522)/INPUT!P522),"")</f>
        <v>1.398601398601319E-3</v>
      </c>
    </row>
    <row r="528" spans="1:12" ht="18" hidden="1" customHeight="1" x14ac:dyDescent="0.2">
      <c r="A528" s="11">
        <f>IF(INPUT!M523="","",INPUT!M523)</f>
        <v>45906</v>
      </c>
      <c r="B528" s="11">
        <f>IF(INPUT!M523="","",INPUT!M523-WEEKDAY(INPUT!M523,2)+1)</f>
        <v>45901</v>
      </c>
      <c r="C528" s="20">
        <f>IFERROR(_xlfn.ISOWEEKNUM(INPUT!M523),"")</f>
        <v>36</v>
      </c>
      <c r="D528" s="20">
        <f>IFERROR(YEAR(INPUT!M523),"")</f>
        <v>2025</v>
      </c>
      <c r="E528" t="str">
        <f>IF(INPUT!O523="","",INPUT!O523)</f>
        <v>PIRATA</v>
      </c>
      <c r="F528" t="str">
        <f>IF(INPUT!N523="","",INPUT!N523)</f>
        <v>T</v>
      </c>
      <c r="G528" t="str" cm="1">
        <f t="array" ref="G528">IFERROR(VLOOKUP(INPUT!M523&amp;INPUT!N523,CHOOSE({1,2},INPUT!$A$3:$A$5000&amp;INPUT!$C$3:$C$5000,INPUT!$F$3:$F$5000),2,FALSE),"")</f>
        <v>PRE-TEMPORADA</v>
      </c>
      <c r="H528" t="str" cm="1">
        <f t="array" ref="H528">IFERROR(VLOOKUP(INPUT!M523&amp;INPUT!N523,CHOOSE({1,2},INPUT!$A$3:$A$5000&amp;INPUT!$C$3:$C$5000,INPUT!$D$3:$D$5000),2,FALSE),"")</f>
        <v>PARTIDO</v>
      </c>
      <c r="I528" s="46">
        <f>IF(INPUT!P523="","",INPUT!P523)</f>
        <v>75.7</v>
      </c>
      <c r="J528" s="46">
        <f>IF(INPUT!Q523="","",INPUT!Q523)</f>
        <v>74.599999999999994</v>
      </c>
      <c r="K528" s="46">
        <f>IFERROR(IF(OR(INPUT!P523="",INPUT!Q523=""),"",INPUT!P523-INPUT!Q523),"")</f>
        <v>1.1000000000000085</v>
      </c>
      <c r="L528" s="48">
        <f>IFERROR(IF(OR(INPUT!P523="",INPUT!Q523="",INPUT!P523=0),"",(INPUT!P523-INPUT!Q523)/INPUT!P523),"")</f>
        <v>1.4531043593130892E-2</v>
      </c>
    </row>
    <row r="529" spans="1:12" ht="18" hidden="1" customHeight="1" x14ac:dyDescent="0.2">
      <c r="A529" s="11">
        <f>IF(INPUT!M524="","",INPUT!M524)</f>
        <v>45906</v>
      </c>
      <c r="B529" s="11">
        <f>IF(INPUT!M524="","",INPUT!M524-WEEKDAY(INPUT!M524,2)+1)</f>
        <v>45901</v>
      </c>
      <c r="C529" s="20">
        <f>IFERROR(_xlfn.ISOWEEKNUM(INPUT!M524),"")</f>
        <v>36</v>
      </c>
      <c r="D529" s="20">
        <f>IFERROR(YEAR(INPUT!M524),"")</f>
        <v>2025</v>
      </c>
      <c r="E529" t="str">
        <f>IF(INPUT!O524="","",INPUT!O524)</f>
        <v>BARONA</v>
      </c>
      <c r="F529" t="str">
        <f>IF(INPUT!N524="","",INPUT!N524)</f>
        <v>T</v>
      </c>
      <c r="G529" t="str" cm="1">
        <f t="array" ref="G529">IFERROR(VLOOKUP(INPUT!M524&amp;INPUT!N524,CHOOSE({1,2},INPUT!$A$3:$A$5000&amp;INPUT!$C$3:$C$5000,INPUT!$F$3:$F$5000),2,FALSE),"")</f>
        <v>PRE-TEMPORADA</v>
      </c>
      <c r="H529" t="str" cm="1">
        <f t="array" ref="H529">IFERROR(VLOOKUP(INPUT!M524&amp;INPUT!N524,CHOOSE({1,2},INPUT!$A$3:$A$5000&amp;INPUT!$C$3:$C$5000,INPUT!$D$3:$D$5000),2,FALSE),"")</f>
        <v>PARTIDO</v>
      </c>
      <c r="I529" s="46">
        <f>IF(INPUT!P524="","",INPUT!P524)</f>
        <v>71.7</v>
      </c>
      <c r="J529" s="46">
        <f>IF(INPUT!Q524="","",INPUT!Q524)</f>
        <v>71.7</v>
      </c>
      <c r="K529" s="46">
        <f>IFERROR(IF(OR(INPUT!P524="",INPUT!Q524=""),"",INPUT!P524-INPUT!Q524),"")</f>
        <v>0</v>
      </c>
      <c r="L529" s="48">
        <f>IFERROR(IF(OR(INPUT!P524="",INPUT!Q524="",INPUT!P524=0),"",(INPUT!P524-INPUT!Q524)/INPUT!P524),"")</f>
        <v>0</v>
      </c>
    </row>
    <row r="530" spans="1:12" ht="18" hidden="1" customHeight="1" x14ac:dyDescent="0.2">
      <c r="A530" s="11">
        <f>IF(INPUT!M525="","",INPUT!M525)</f>
        <v>45906</v>
      </c>
      <c r="B530" s="11">
        <f>IF(INPUT!M525="","",INPUT!M525-WEEKDAY(INPUT!M525,2)+1)</f>
        <v>45901</v>
      </c>
      <c r="C530" s="20">
        <f>IFERROR(_xlfn.ISOWEEKNUM(INPUT!M525),"")</f>
        <v>36</v>
      </c>
      <c r="D530" s="20">
        <f>IFERROR(YEAR(INPUT!M525),"")</f>
        <v>2025</v>
      </c>
      <c r="E530" t="str">
        <f>IF(INPUT!O525="","",INPUT!O525)</f>
        <v>CARLOS</v>
      </c>
      <c r="F530" t="str">
        <f>IF(INPUT!N525="","",INPUT!N525)</f>
        <v>T</v>
      </c>
      <c r="G530" t="str" cm="1">
        <f t="array" ref="G530">IFERROR(VLOOKUP(INPUT!M525&amp;INPUT!N525,CHOOSE({1,2},INPUT!$A$3:$A$5000&amp;INPUT!$C$3:$C$5000,INPUT!$F$3:$F$5000),2,FALSE),"")</f>
        <v>PRE-TEMPORADA</v>
      </c>
      <c r="H530" t="str" cm="1">
        <f t="array" ref="H530">IFERROR(VLOOKUP(INPUT!M525&amp;INPUT!N525,CHOOSE({1,2},INPUT!$A$3:$A$5000&amp;INPUT!$C$3:$C$5000,INPUT!$D$3:$D$5000),2,FALSE),"")</f>
        <v>PARTIDO</v>
      </c>
      <c r="I530" s="46">
        <f>IF(INPUT!P525="","",INPUT!P525)</f>
        <v>66.8</v>
      </c>
      <c r="J530" s="46">
        <f>IF(INPUT!Q525="","",INPUT!Q525)</f>
        <v>66.400000000000006</v>
      </c>
      <c r="K530" s="46">
        <f>IFERROR(IF(OR(INPUT!P525="",INPUT!Q525=""),"",INPUT!P525-INPUT!Q525),"")</f>
        <v>0.39999999999999147</v>
      </c>
      <c r="L530" s="48">
        <f>IFERROR(IF(OR(INPUT!P525="",INPUT!Q525="",INPUT!P525=0),"",(INPUT!P525-INPUT!Q525)/INPUT!P525),"")</f>
        <v>5.9880239520956812E-3</v>
      </c>
    </row>
    <row r="531" spans="1:12" ht="18" hidden="1" customHeight="1" x14ac:dyDescent="0.2">
      <c r="A531" s="11">
        <f>IF(INPUT!M526="","",INPUT!M526)</f>
        <v>45906</v>
      </c>
      <c r="B531" s="11">
        <f>IF(INPUT!M526="","",INPUT!M526-WEEKDAY(INPUT!M526,2)+1)</f>
        <v>45901</v>
      </c>
      <c r="C531" s="20">
        <f>IFERROR(_xlfn.ISOWEEKNUM(INPUT!M526),"")</f>
        <v>36</v>
      </c>
      <c r="D531" s="20">
        <f>IFERROR(YEAR(INPUT!M526),"")</f>
        <v>2025</v>
      </c>
      <c r="E531" t="str">
        <f>IF(INPUT!O526="","",INPUT!O526)</f>
        <v>GONZALO</v>
      </c>
      <c r="F531" t="str">
        <f>IF(INPUT!N526="","",INPUT!N526)</f>
        <v>T</v>
      </c>
      <c r="G531" t="str" cm="1">
        <f t="array" ref="G531">IFERROR(VLOOKUP(INPUT!M526&amp;INPUT!N526,CHOOSE({1,2},INPUT!$A$3:$A$5000&amp;INPUT!$C$3:$C$5000,INPUT!$F$3:$F$5000),2,FALSE),"")</f>
        <v>PRE-TEMPORADA</v>
      </c>
      <c r="H531" t="str" cm="1">
        <f t="array" ref="H531">IFERROR(VLOOKUP(INPUT!M526&amp;INPUT!N526,CHOOSE({1,2},INPUT!$A$3:$A$5000&amp;INPUT!$C$3:$C$5000,INPUT!$D$3:$D$5000),2,FALSE),"")</f>
        <v>PARTIDO</v>
      </c>
      <c r="I531" s="46">
        <f>IF(INPUT!P526="","",INPUT!P526)</f>
        <v>84.9</v>
      </c>
      <c r="J531" s="46">
        <f>IF(INPUT!Q526="","",INPUT!Q526)</f>
        <v>84.5</v>
      </c>
      <c r="K531" s="46">
        <f>IFERROR(IF(OR(INPUT!P526="",INPUT!Q526=""),"",INPUT!P526-INPUT!Q526),"")</f>
        <v>0.40000000000000568</v>
      </c>
      <c r="L531" s="48">
        <f>IFERROR(IF(OR(INPUT!P526="",INPUT!Q526="",INPUT!P526=0),"",(INPUT!P526-INPUT!Q526)/INPUT!P526),"")</f>
        <v>4.7114252061249192E-3</v>
      </c>
    </row>
    <row r="532" spans="1:12" ht="18" hidden="1" customHeight="1" x14ac:dyDescent="0.2">
      <c r="A532" s="11">
        <f>IF(INPUT!M527="","",INPUT!M527)</f>
        <v>45906</v>
      </c>
      <c r="B532" s="11">
        <f>IF(INPUT!M527="","",INPUT!M527-WEEKDAY(INPUT!M527,2)+1)</f>
        <v>45901</v>
      </c>
      <c r="C532" s="20">
        <f>IFERROR(_xlfn.ISOWEEKNUM(INPUT!M527),"")</f>
        <v>36</v>
      </c>
      <c r="D532" s="20">
        <f>IFERROR(YEAR(INPUT!M527),"")</f>
        <v>2025</v>
      </c>
      <c r="E532" t="str">
        <f>IF(INPUT!O527="","",INPUT!O527)</f>
        <v>RUBIO</v>
      </c>
      <c r="F532" t="str">
        <f>IF(INPUT!N527="","",INPUT!N527)</f>
        <v>T</v>
      </c>
      <c r="G532" t="str" cm="1">
        <f t="array" ref="G532">IFERROR(VLOOKUP(INPUT!M527&amp;INPUT!N527,CHOOSE({1,2},INPUT!$A$3:$A$5000&amp;INPUT!$C$3:$C$5000,INPUT!$F$3:$F$5000),2,FALSE),"")</f>
        <v>PRE-TEMPORADA</v>
      </c>
      <c r="H532" t="str" cm="1">
        <f t="array" ref="H532">IFERROR(VLOOKUP(INPUT!M527&amp;INPUT!N527,CHOOSE({1,2},INPUT!$A$3:$A$5000&amp;INPUT!$C$3:$C$5000,INPUT!$D$3:$D$5000),2,FALSE),"")</f>
        <v>PARTIDO</v>
      </c>
      <c r="I532" s="46">
        <f>IF(INPUT!P527="","",INPUT!P527)</f>
        <v>74.599999999999994</v>
      </c>
      <c r="J532" s="46">
        <f>IF(INPUT!Q527="","",INPUT!Q527)</f>
        <v>74.599999999999994</v>
      </c>
      <c r="K532" s="46">
        <f>IFERROR(IF(OR(INPUT!P527="",INPUT!Q527=""),"",INPUT!P527-INPUT!Q527),"")</f>
        <v>0</v>
      </c>
      <c r="L532" s="48">
        <f>IFERROR(IF(OR(INPUT!P527="",INPUT!Q527="",INPUT!P527=0),"",(INPUT!P527-INPUT!Q527)/INPUT!P527),"")</f>
        <v>0</v>
      </c>
    </row>
    <row r="533" spans="1:12" ht="18" hidden="1" customHeight="1" x14ac:dyDescent="0.2">
      <c r="A533" s="11">
        <f>IF(INPUT!M528="","",INPUT!M528)</f>
        <v>45906</v>
      </c>
      <c r="B533" s="11">
        <f>IF(INPUT!M528="","",INPUT!M528-WEEKDAY(INPUT!M528,2)+1)</f>
        <v>45901</v>
      </c>
      <c r="C533" s="20">
        <f>IFERROR(_xlfn.ISOWEEKNUM(INPUT!M528),"")</f>
        <v>36</v>
      </c>
      <c r="D533" s="20">
        <f>IFERROR(YEAR(INPUT!M528),"")</f>
        <v>2025</v>
      </c>
      <c r="E533" t="str">
        <f>IF(INPUT!O528="","",INPUT!O528)</f>
        <v>DANI</v>
      </c>
      <c r="F533" t="str">
        <f>IF(INPUT!N528="","",INPUT!N528)</f>
        <v>T</v>
      </c>
      <c r="G533" t="str" cm="1">
        <f t="array" ref="G533">IFERROR(VLOOKUP(INPUT!M528&amp;INPUT!N528,CHOOSE({1,2},INPUT!$A$3:$A$5000&amp;INPUT!$C$3:$C$5000,INPUT!$F$3:$F$5000),2,FALSE),"")</f>
        <v>PRE-TEMPORADA</v>
      </c>
      <c r="H533" t="str" cm="1">
        <f t="array" ref="H533">IFERROR(VLOOKUP(INPUT!M528&amp;INPUT!N528,CHOOSE({1,2},INPUT!$A$3:$A$5000&amp;INPUT!$C$3:$C$5000,INPUT!$D$3:$D$5000),2,FALSE),"")</f>
        <v>PARTIDO</v>
      </c>
      <c r="I533" s="46">
        <f>IF(INPUT!P528="","",INPUT!P528)</f>
        <v>93.4</v>
      </c>
      <c r="J533" s="46">
        <f>IF(INPUT!Q528="","",INPUT!Q528)</f>
        <v>93</v>
      </c>
      <c r="K533" s="46">
        <f>IFERROR(IF(OR(INPUT!P528="",INPUT!Q528=""),"",INPUT!P528-INPUT!Q528),"")</f>
        <v>0.40000000000000568</v>
      </c>
      <c r="L533" s="48">
        <f>IFERROR(IF(OR(INPUT!P528="",INPUT!Q528="",INPUT!P528=0),"",(INPUT!P528-INPUT!Q528)/INPUT!P528),"")</f>
        <v>4.2826552462527376E-3</v>
      </c>
    </row>
    <row r="534" spans="1:12" ht="18" hidden="1" customHeight="1" x14ac:dyDescent="0.2">
      <c r="A534" s="11">
        <f>IF(INPUT!M529="","",INPUT!M529)</f>
        <v>45908</v>
      </c>
      <c r="B534" s="11">
        <f>IF(INPUT!M529="","",INPUT!M529-WEEKDAY(INPUT!M529,2)+1)</f>
        <v>45908</v>
      </c>
      <c r="C534" s="20">
        <f>IFERROR(_xlfn.ISOWEEKNUM(INPUT!M529),"")</f>
        <v>37</v>
      </c>
      <c r="D534" s="20">
        <f>IFERROR(YEAR(INPUT!M529),"")</f>
        <v>2025</v>
      </c>
      <c r="E534" t="str">
        <f>IF(INPUT!O529="","",INPUT!O529)</f>
        <v>HERRERO</v>
      </c>
      <c r="F534" t="str">
        <f>IF(INPUT!N529="","",INPUT!N529)</f>
        <v>T</v>
      </c>
      <c r="G534" t="str" cm="1">
        <f t="array" ref="G534">IFERROR(VLOOKUP(INPUT!M529&amp;INPUT!N529,CHOOSE({1,2},INPUT!$A$3:$A$5000&amp;INPUT!$C$3:$C$5000,INPUT!$F$3:$F$5000),2,FALSE),"")</f>
        <v>PRE-TEMPORADA</v>
      </c>
      <c r="H534" t="str" cm="1">
        <f t="array" ref="H534">IFERROR(VLOOKUP(INPUT!M529&amp;INPUT!N529,CHOOSE({1,2},INPUT!$A$3:$A$5000&amp;INPUT!$C$3:$C$5000,INPUT!$D$3:$D$5000),2,FALSE),"")</f>
        <v>TEC-TAC</v>
      </c>
      <c r="I534" s="46">
        <f>IF(INPUT!P529="","",INPUT!P529)</f>
        <v>76.900000000000006</v>
      </c>
      <c r="J534" s="46">
        <f>IF(INPUT!Q529="","",INPUT!Q529)</f>
        <v>76.2</v>
      </c>
      <c r="K534" s="46">
        <f>IFERROR(IF(OR(INPUT!P529="",INPUT!Q529=""),"",INPUT!P529-INPUT!Q529),"")</f>
        <v>0.70000000000000284</v>
      </c>
      <c r="L534" s="48">
        <f>IFERROR(IF(OR(INPUT!P529="",INPUT!Q529="",INPUT!P529=0),"",(INPUT!P529-INPUT!Q529)/INPUT!P529),"")</f>
        <v>9.1027308192458099E-3</v>
      </c>
    </row>
    <row r="535" spans="1:12" ht="18" hidden="1" customHeight="1" x14ac:dyDescent="0.2">
      <c r="A535" s="11">
        <f>IF(INPUT!M530="","",INPUT!M530)</f>
        <v>45908</v>
      </c>
      <c r="B535" s="11">
        <f>IF(INPUT!M530="","",INPUT!M530-WEEKDAY(INPUT!M530,2)+1)</f>
        <v>45908</v>
      </c>
      <c r="C535" s="20">
        <f>IFERROR(_xlfn.ISOWEEKNUM(INPUT!M530),"")</f>
        <v>37</v>
      </c>
      <c r="D535" s="20">
        <f>IFERROR(YEAR(INPUT!M530),"")</f>
        <v>2025</v>
      </c>
      <c r="E535" t="str">
        <f>IF(INPUT!O530="","",INPUT!O530)</f>
        <v>GARCIA</v>
      </c>
      <c r="F535" t="str">
        <f>IF(INPUT!N530="","",INPUT!N530)</f>
        <v>T</v>
      </c>
      <c r="G535" t="str" cm="1">
        <f t="array" ref="G535">IFERROR(VLOOKUP(INPUT!M530&amp;INPUT!N530,CHOOSE({1,2},INPUT!$A$3:$A$5000&amp;INPUT!$C$3:$C$5000,INPUT!$F$3:$F$5000),2,FALSE),"")</f>
        <v>PRE-TEMPORADA</v>
      </c>
      <c r="H535" t="str" cm="1">
        <f t="array" ref="H535">IFERROR(VLOOKUP(INPUT!M530&amp;INPUT!N530,CHOOSE({1,2},INPUT!$A$3:$A$5000&amp;INPUT!$C$3:$C$5000,INPUT!$D$3:$D$5000),2,FALSE),"")</f>
        <v>TEC-TAC</v>
      </c>
      <c r="I535" s="46">
        <f>IF(INPUT!P530="","",INPUT!P530)</f>
        <v>79.5</v>
      </c>
      <c r="J535" s="46">
        <f>IF(INPUT!Q530="","",INPUT!Q530)</f>
        <v>79.400000000000006</v>
      </c>
      <c r="K535" s="46">
        <f>IFERROR(IF(OR(INPUT!P530="",INPUT!Q530=""),"",INPUT!P530-INPUT!Q530),"")</f>
        <v>9.9999999999994316E-2</v>
      </c>
      <c r="L535" s="48">
        <f>IFERROR(IF(OR(INPUT!P530="",INPUT!Q530="",INPUT!P530=0),"",(INPUT!P530-INPUT!Q530)/INPUT!P530),"")</f>
        <v>1.2578616352200544E-3</v>
      </c>
    </row>
    <row r="536" spans="1:12" ht="18" hidden="1" customHeight="1" x14ac:dyDescent="0.2">
      <c r="A536" s="11">
        <f>IF(INPUT!M531="","",INPUT!M531)</f>
        <v>45908</v>
      </c>
      <c r="B536" s="11">
        <f>IF(INPUT!M531="","",INPUT!M531-WEEKDAY(INPUT!M531,2)+1)</f>
        <v>45908</v>
      </c>
      <c r="C536" s="20">
        <f>IFERROR(_xlfn.ISOWEEKNUM(INPUT!M531),"")</f>
        <v>37</v>
      </c>
      <c r="D536" s="20">
        <f>IFERROR(YEAR(INPUT!M531),"")</f>
        <v>2025</v>
      </c>
      <c r="E536" t="str">
        <f>IF(INPUT!O531="","",INPUT!O531)</f>
        <v>CECILIO</v>
      </c>
      <c r="F536" t="str">
        <f>IF(INPUT!N531="","",INPUT!N531)</f>
        <v>T</v>
      </c>
      <c r="G536" t="str" cm="1">
        <f t="array" ref="G536">IFERROR(VLOOKUP(INPUT!M531&amp;INPUT!N531,CHOOSE({1,2},INPUT!$A$3:$A$5000&amp;INPUT!$C$3:$C$5000,INPUT!$F$3:$F$5000),2,FALSE),"")</f>
        <v>PRE-TEMPORADA</v>
      </c>
      <c r="H536" t="str" cm="1">
        <f t="array" ref="H536">IFERROR(VLOOKUP(INPUT!M531&amp;INPUT!N531,CHOOSE({1,2},INPUT!$A$3:$A$5000&amp;INPUT!$C$3:$C$5000,INPUT!$D$3:$D$5000),2,FALSE),"")</f>
        <v>TEC-TAC</v>
      </c>
      <c r="I536" s="46">
        <f>IF(INPUT!P531="","",INPUT!P531)</f>
        <v>68.2</v>
      </c>
      <c r="J536" s="46">
        <f>IF(INPUT!Q531="","",INPUT!Q531)</f>
        <v>68.099999999999994</v>
      </c>
      <c r="K536" s="46">
        <f>IFERROR(IF(OR(INPUT!P531="",INPUT!Q531=""),"",INPUT!P531-INPUT!Q531),"")</f>
        <v>0.10000000000000853</v>
      </c>
      <c r="L536" s="48">
        <f>IFERROR(IF(OR(INPUT!P531="",INPUT!Q531="",INPUT!P531=0),"",(INPUT!P531-INPUT!Q531)/INPUT!P531),"")</f>
        <v>1.4662756598241718E-3</v>
      </c>
    </row>
    <row r="537" spans="1:12" ht="18" hidden="1" customHeight="1" x14ac:dyDescent="0.2">
      <c r="A537" s="11">
        <f>IF(INPUT!M532="","",INPUT!M532)</f>
        <v>45908</v>
      </c>
      <c r="B537" s="11">
        <f>IF(INPUT!M532="","",INPUT!M532-WEEKDAY(INPUT!M532,2)+1)</f>
        <v>45908</v>
      </c>
      <c r="C537" s="20">
        <f>IFERROR(_xlfn.ISOWEEKNUM(INPUT!M532),"")</f>
        <v>37</v>
      </c>
      <c r="D537" s="20">
        <f>IFERROR(YEAR(INPUT!M532),"")</f>
        <v>2025</v>
      </c>
      <c r="E537" t="str">
        <f>IF(INPUT!O532="","",INPUT!O532)</f>
        <v>CHAGUINHA</v>
      </c>
      <c r="F537" t="str">
        <f>IF(INPUT!N532="","",INPUT!N532)</f>
        <v>T</v>
      </c>
      <c r="G537" t="str" cm="1">
        <f t="array" ref="G537">IFERROR(VLOOKUP(INPUT!M532&amp;INPUT!N532,CHOOSE({1,2},INPUT!$A$3:$A$5000&amp;INPUT!$C$3:$C$5000,INPUT!$F$3:$F$5000),2,FALSE),"")</f>
        <v>PRE-TEMPORADA</v>
      </c>
      <c r="H537" t="str" cm="1">
        <f t="array" ref="H537">IFERROR(VLOOKUP(INPUT!M532&amp;INPUT!N532,CHOOSE({1,2},INPUT!$A$3:$A$5000&amp;INPUT!$C$3:$C$5000,INPUT!$D$3:$D$5000),2,FALSE),"")</f>
        <v>TEC-TAC</v>
      </c>
      <c r="I537" s="46">
        <f>IF(INPUT!P532="","",INPUT!P532)</f>
        <v>69</v>
      </c>
      <c r="J537" s="46">
        <f>IF(INPUT!Q532="","",INPUT!Q532)</f>
        <v>69</v>
      </c>
      <c r="K537" s="46">
        <f>IFERROR(IF(OR(INPUT!P532="",INPUT!Q532=""),"",INPUT!P532-INPUT!Q532),"")</f>
        <v>0</v>
      </c>
      <c r="L537" s="48">
        <f>IFERROR(IF(OR(INPUT!P532="",INPUT!Q532="",INPUT!P532=0),"",(INPUT!P532-INPUT!Q532)/INPUT!P532),"")</f>
        <v>0</v>
      </c>
    </row>
    <row r="538" spans="1:12" ht="18" hidden="1" customHeight="1" x14ac:dyDescent="0.2">
      <c r="A538" s="11">
        <f>IF(INPUT!M533="","",INPUT!M533)</f>
        <v>45908</v>
      </c>
      <c r="B538" s="11">
        <f>IF(INPUT!M533="","",INPUT!M533-WEEKDAY(INPUT!M533,2)+1)</f>
        <v>45908</v>
      </c>
      <c r="C538" s="20">
        <f>IFERROR(_xlfn.ISOWEEKNUM(INPUT!M533),"")</f>
        <v>37</v>
      </c>
      <c r="D538" s="20">
        <f>IFERROR(YEAR(INPUT!M533),"")</f>
        <v>2025</v>
      </c>
      <c r="E538" t="str">
        <f>IF(INPUT!O533="","",INPUT!O533)</f>
        <v>RAUL</v>
      </c>
      <c r="F538" t="str">
        <f>IF(INPUT!N533="","",INPUT!N533)</f>
        <v>T</v>
      </c>
      <c r="G538" t="str" cm="1">
        <f t="array" ref="G538">IFERROR(VLOOKUP(INPUT!M533&amp;INPUT!N533,CHOOSE({1,2},INPUT!$A$3:$A$5000&amp;INPUT!$C$3:$C$5000,INPUT!$F$3:$F$5000),2,FALSE),"")</f>
        <v>PRE-TEMPORADA</v>
      </c>
      <c r="H538" t="str" cm="1">
        <f t="array" ref="H538">IFERROR(VLOOKUP(INPUT!M533&amp;INPUT!N533,CHOOSE({1,2},INPUT!$A$3:$A$5000&amp;INPUT!$C$3:$C$5000,INPUT!$D$3:$D$5000),2,FALSE),"")</f>
        <v>TEC-TAC</v>
      </c>
      <c r="I538" s="46">
        <f>IF(INPUT!P533="","",INPUT!P533)</f>
        <v>80</v>
      </c>
      <c r="J538" s="46">
        <f>IF(INPUT!Q533="","",INPUT!Q533)</f>
        <v>80.099999999999994</v>
      </c>
      <c r="K538" s="46">
        <f>IFERROR(IF(OR(INPUT!P533="",INPUT!Q533=""),"",INPUT!P533-INPUT!Q533),"")</f>
        <v>-9.9999999999994316E-2</v>
      </c>
      <c r="L538" s="48">
        <f>IFERROR(IF(OR(INPUT!P533="",INPUT!Q533="",INPUT!P533=0),"",(INPUT!P533-INPUT!Q533)/INPUT!P533),"")</f>
        <v>-1.2499999999999289E-3</v>
      </c>
    </row>
    <row r="539" spans="1:12" ht="18" hidden="1" customHeight="1" x14ac:dyDescent="0.2">
      <c r="A539" s="11">
        <f>IF(INPUT!M534="","",INPUT!M534)</f>
        <v>45908</v>
      </c>
      <c r="B539" s="11">
        <f>IF(INPUT!M534="","",INPUT!M534-WEEKDAY(INPUT!M534,2)+1)</f>
        <v>45908</v>
      </c>
      <c r="C539" s="20">
        <f>IFERROR(_xlfn.ISOWEEKNUM(INPUT!M534),"")</f>
        <v>37</v>
      </c>
      <c r="D539" s="20">
        <f>IFERROR(YEAR(INPUT!M534),"")</f>
        <v>2025</v>
      </c>
      <c r="E539" t="str">
        <f>IF(INPUT!O534="","",INPUT!O534)</f>
        <v>HARRISON</v>
      </c>
      <c r="F539" t="str">
        <f>IF(INPUT!N534="","",INPUT!N534)</f>
        <v>T</v>
      </c>
      <c r="G539" t="str" cm="1">
        <f t="array" ref="G539">IFERROR(VLOOKUP(INPUT!M534&amp;INPUT!N534,CHOOSE({1,2},INPUT!$A$3:$A$5000&amp;INPUT!$C$3:$C$5000,INPUT!$F$3:$F$5000),2,FALSE),"")</f>
        <v>PRE-TEMPORADA</v>
      </c>
      <c r="H539" t="str" cm="1">
        <f t="array" ref="H539">IFERROR(VLOOKUP(INPUT!M534&amp;INPUT!N534,CHOOSE({1,2},INPUT!$A$3:$A$5000&amp;INPUT!$C$3:$C$5000,INPUT!$D$3:$D$5000),2,FALSE),"")</f>
        <v>TEC-TAC</v>
      </c>
      <c r="I539" s="46">
        <f>IF(INPUT!P534="","",INPUT!P534)</f>
        <v>70.8</v>
      </c>
      <c r="J539" s="46">
        <f>IF(INPUT!Q534="","",INPUT!Q534)</f>
        <v>71</v>
      </c>
      <c r="K539" s="46">
        <f>IFERROR(IF(OR(INPUT!P534="",INPUT!Q534=""),"",INPUT!P534-INPUT!Q534),"")</f>
        <v>-0.20000000000000284</v>
      </c>
      <c r="L539" s="48">
        <f>IFERROR(IF(OR(INPUT!P534="",INPUT!Q534="",INPUT!P534=0),"",(INPUT!P534-INPUT!Q534)/INPUT!P534),"")</f>
        <v>-2.8248587570621872E-3</v>
      </c>
    </row>
    <row r="540" spans="1:12" ht="18" hidden="1" customHeight="1" x14ac:dyDescent="0.2">
      <c r="A540" s="11">
        <f>IF(INPUT!M535="","",INPUT!M535)</f>
        <v>45908</v>
      </c>
      <c r="B540" s="11">
        <f>IF(INPUT!M535="","",INPUT!M535-WEEKDAY(INPUT!M535,2)+1)</f>
        <v>45908</v>
      </c>
      <c r="C540" s="20">
        <f>IFERROR(_xlfn.ISOWEEKNUM(INPUT!M535),"")</f>
        <v>37</v>
      </c>
      <c r="D540" s="20">
        <f>IFERROR(YEAR(INPUT!M535),"")</f>
        <v>2025</v>
      </c>
      <c r="E540" t="str">
        <f>IF(INPUT!O535="","",INPUT!O535)</f>
        <v>RAYA</v>
      </c>
      <c r="F540" t="str">
        <f>IF(INPUT!N535="","",INPUT!N535)</f>
        <v>T</v>
      </c>
      <c r="G540" t="str" cm="1">
        <f t="array" ref="G540">IFERROR(VLOOKUP(INPUT!M535&amp;INPUT!N535,CHOOSE({1,2},INPUT!$A$3:$A$5000&amp;INPUT!$C$3:$C$5000,INPUT!$F$3:$F$5000),2,FALSE),"")</f>
        <v>PRE-TEMPORADA</v>
      </c>
      <c r="H540" t="str" cm="1">
        <f t="array" ref="H540">IFERROR(VLOOKUP(INPUT!M535&amp;INPUT!N535,CHOOSE({1,2},INPUT!$A$3:$A$5000&amp;INPUT!$C$3:$C$5000,INPUT!$D$3:$D$5000),2,FALSE),"")</f>
        <v>TEC-TAC</v>
      </c>
      <c r="I540" s="46">
        <f>IF(INPUT!P535="","",INPUT!P535)</f>
        <v>82.9</v>
      </c>
      <c r="J540" s="46">
        <f>IF(INPUT!Q535="","",INPUT!Q535)</f>
        <v>81.400000000000006</v>
      </c>
      <c r="K540" s="46">
        <f>IFERROR(IF(OR(INPUT!P535="",INPUT!Q535=""),"",INPUT!P535-INPUT!Q535),"")</f>
        <v>1.5</v>
      </c>
      <c r="L540" s="48">
        <f>IFERROR(IF(OR(INPUT!P535="",INPUT!Q535="",INPUT!P535=0),"",(INPUT!P535-INPUT!Q535)/INPUT!P535),"")</f>
        <v>1.8094089264173701E-2</v>
      </c>
    </row>
    <row r="541" spans="1:12" ht="18" hidden="1" customHeight="1" x14ac:dyDescent="0.2">
      <c r="A541" s="11">
        <f>IF(INPUT!M536="","",INPUT!M536)</f>
        <v>45908</v>
      </c>
      <c r="B541" s="11">
        <f>IF(INPUT!M536="","",INPUT!M536-WEEKDAY(INPUT!M536,2)+1)</f>
        <v>45908</v>
      </c>
      <c r="C541" s="20">
        <f>IFERROR(_xlfn.ISOWEEKNUM(INPUT!M536),"")</f>
        <v>37</v>
      </c>
      <c r="D541" s="20">
        <f>IFERROR(YEAR(INPUT!M536),"")</f>
        <v>2025</v>
      </c>
      <c r="E541" t="str">
        <f>IF(INPUT!O536="","",INPUT!O536)</f>
        <v>JAVI</v>
      </c>
      <c r="F541" t="str">
        <f>IF(INPUT!N536="","",INPUT!N536)</f>
        <v>T</v>
      </c>
      <c r="G541" t="str" cm="1">
        <f t="array" ref="G541">IFERROR(VLOOKUP(INPUT!M536&amp;INPUT!N536,CHOOSE({1,2},INPUT!$A$3:$A$5000&amp;INPUT!$C$3:$C$5000,INPUT!$F$3:$F$5000),2,FALSE),"")</f>
        <v>PRE-TEMPORADA</v>
      </c>
      <c r="H541" t="str" cm="1">
        <f t="array" ref="H541">IFERROR(VLOOKUP(INPUT!M536&amp;INPUT!N536,CHOOSE({1,2},INPUT!$A$3:$A$5000&amp;INPUT!$C$3:$C$5000,INPUT!$D$3:$D$5000),2,FALSE),"")</f>
        <v>TEC-TAC</v>
      </c>
      <c r="I541" s="46">
        <f>IF(INPUT!P536="","",INPUT!P536)</f>
        <v>79.2</v>
      </c>
      <c r="J541" s="46">
        <f>IF(INPUT!Q536="","",INPUT!Q536)</f>
        <v>79.3</v>
      </c>
      <c r="K541" s="46">
        <f>IFERROR(IF(OR(INPUT!P536="",INPUT!Q536=""),"",INPUT!P536-INPUT!Q536),"")</f>
        <v>-9.9999999999994316E-2</v>
      </c>
      <c r="L541" s="48">
        <f>IFERROR(IF(OR(INPUT!P536="",INPUT!Q536="",INPUT!P536=0),"",(INPUT!P536-INPUT!Q536)/INPUT!P536),"")</f>
        <v>-1.2626262626261907E-3</v>
      </c>
    </row>
    <row r="542" spans="1:12" ht="18" hidden="1" customHeight="1" x14ac:dyDescent="0.2">
      <c r="A542" s="11">
        <f>IF(INPUT!M537="","",INPUT!M537)</f>
        <v>45908</v>
      </c>
      <c r="B542" s="11">
        <f>IF(INPUT!M537="","",INPUT!M537-WEEKDAY(INPUT!M537,2)+1)</f>
        <v>45908</v>
      </c>
      <c r="C542" s="20">
        <f>IFERROR(_xlfn.ISOWEEKNUM(INPUT!M537),"")</f>
        <v>37</v>
      </c>
      <c r="D542" s="20">
        <f>IFERROR(YEAR(INPUT!M537),"")</f>
        <v>2025</v>
      </c>
      <c r="E542" t="str">
        <f>IF(INPUT!O537="","",INPUT!O537)</f>
        <v>PANI</v>
      </c>
      <c r="F542" t="str">
        <f>IF(INPUT!N537="","",INPUT!N537)</f>
        <v>T</v>
      </c>
      <c r="G542" t="str" cm="1">
        <f t="array" ref="G542">IFERROR(VLOOKUP(INPUT!M537&amp;INPUT!N537,CHOOSE({1,2},INPUT!$A$3:$A$5000&amp;INPUT!$C$3:$C$5000,INPUT!$F$3:$F$5000),2,FALSE),"")</f>
        <v>PRE-TEMPORADA</v>
      </c>
      <c r="H542" t="str" cm="1">
        <f t="array" ref="H542">IFERROR(VLOOKUP(INPUT!M537&amp;INPUT!N537,CHOOSE({1,2},INPUT!$A$3:$A$5000&amp;INPUT!$C$3:$C$5000,INPUT!$D$3:$D$5000),2,FALSE),"")</f>
        <v>TEC-TAC</v>
      </c>
      <c r="I542" s="46">
        <f>IF(INPUT!P537="","",INPUT!P537)</f>
        <v>71.2</v>
      </c>
      <c r="J542" s="46">
        <f>IF(INPUT!Q537="","",INPUT!Q537)</f>
        <v>71</v>
      </c>
      <c r="K542" s="46">
        <f>IFERROR(IF(OR(INPUT!P537="",INPUT!Q537=""),"",INPUT!P537-INPUT!Q537),"")</f>
        <v>0.20000000000000284</v>
      </c>
      <c r="L542" s="48">
        <f>IFERROR(IF(OR(INPUT!P537="",INPUT!Q537="",INPUT!P537=0),"",(INPUT!P537-INPUT!Q537)/INPUT!P537),"")</f>
        <v>2.8089887640449836E-3</v>
      </c>
    </row>
    <row r="543" spans="1:12" ht="18" hidden="1" customHeight="1" x14ac:dyDescent="0.2">
      <c r="A543" s="11">
        <f>IF(INPUT!M538="","",INPUT!M538)</f>
        <v>45908</v>
      </c>
      <c r="B543" s="11">
        <f>IF(INPUT!M538="","",INPUT!M538-WEEKDAY(INPUT!M538,2)+1)</f>
        <v>45908</v>
      </c>
      <c r="C543" s="20">
        <f>IFERROR(_xlfn.ISOWEEKNUM(INPUT!M538),"")</f>
        <v>37</v>
      </c>
      <c r="D543" s="20">
        <f>IFERROR(YEAR(INPUT!M538),"")</f>
        <v>2025</v>
      </c>
      <c r="E543" t="str">
        <f>IF(INPUT!O538="","",INPUT!O538)</f>
        <v>PIRATA</v>
      </c>
      <c r="F543" t="str">
        <f>IF(INPUT!N538="","",INPUT!N538)</f>
        <v>T</v>
      </c>
      <c r="G543" t="str" cm="1">
        <f t="array" ref="G543">IFERROR(VLOOKUP(INPUT!M538&amp;INPUT!N538,CHOOSE({1,2},INPUT!$A$3:$A$5000&amp;INPUT!$C$3:$C$5000,INPUT!$F$3:$F$5000),2,FALSE),"")</f>
        <v>PRE-TEMPORADA</v>
      </c>
      <c r="H543" t="str" cm="1">
        <f t="array" ref="H543">IFERROR(VLOOKUP(INPUT!M538&amp;INPUT!N538,CHOOSE({1,2},INPUT!$A$3:$A$5000&amp;INPUT!$C$3:$C$5000,INPUT!$D$3:$D$5000),2,FALSE),"")</f>
        <v>TEC-TAC</v>
      </c>
      <c r="I543" s="46">
        <f>IF(INPUT!P538="","",INPUT!P538)</f>
        <v>75.5</v>
      </c>
      <c r="J543" s="46">
        <f>IF(INPUT!Q538="","",INPUT!Q538)</f>
        <v>75.400000000000006</v>
      </c>
      <c r="K543" s="46">
        <f>IFERROR(IF(OR(INPUT!P538="",INPUT!Q538=""),"",INPUT!P538-INPUT!Q538),"")</f>
        <v>9.9999999999994316E-2</v>
      </c>
      <c r="L543" s="48">
        <f>IFERROR(IF(OR(INPUT!P538="",INPUT!Q538="",INPUT!P538=0),"",(INPUT!P538-INPUT!Q538)/INPUT!P538),"")</f>
        <v>1.3245033112582029E-3</v>
      </c>
    </row>
    <row r="544" spans="1:12" ht="18" hidden="1" customHeight="1" x14ac:dyDescent="0.2">
      <c r="A544" s="11">
        <f>IF(INPUT!M539="","",INPUT!M539)</f>
        <v>45908</v>
      </c>
      <c r="B544" s="11">
        <f>IF(INPUT!M539="","",INPUT!M539-WEEKDAY(INPUT!M539,2)+1)</f>
        <v>45908</v>
      </c>
      <c r="C544" s="20">
        <f>IFERROR(_xlfn.ISOWEEKNUM(INPUT!M539),"")</f>
        <v>37</v>
      </c>
      <c r="D544" s="20">
        <f>IFERROR(YEAR(INPUT!M539),"")</f>
        <v>2025</v>
      </c>
      <c r="E544" t="str">
        <f>IF(INPUT!O539="","",INPUT!O539)</f>
        <v>BARONA</v>
      </c>
      <c r="F544" t="str">
        <f>IF(INPUT!N539="","",INPUT!N539)</f>
        <v>T</v>
      </c>
      <c r="G544" t="str" cm="1">
        <f t="array" ref="G544">IFERROR(VLOOKUP(INPUT!M539&amp;INPUT!N539,CHOOSE({1,2},INPUT!$A$3:$A$5000&amp;INPUT!$C$3:$C$5000,INPUT!$F$3:$F$5000),2,FALSE),"")</f>
        <v>PRE-TEMPORADA</v>
      </c>
      <c r="H544" t="str" cm="1">
        <f t="array" ref="H544">IFERROR(VLOOKUP(INPUT!M539&amp;INPUT!N539,CHOOSE({1,2},INPUT!$A$3:$A$5000&amp;INPUT!$C$3:$C$5000,INPUT!$D$3:$D$5000),2,FALSE),"")</f>
        <v>TEC-TAC</v>
      </c>
      <c r="I544" s="46">
        <f>IF(INPUT!P539="","",INPUT!P539)</f>
        <v>71.8</v>
      </c>
      <c r="J544" s="46">
        <f>IF(INPUT!Q539="","",INPUT!Q539)</f>
        <v>71.099999999999994</v>
      </c>
      <c r="K544" s="46">
        <f>IFERROR(IF(OR(INPUT!P539="",INPUT!Q539=""),"",INPUT!P539-INPUT!Q539),"")</f>
        <v>0.70000000000000284</v>
      </c>
      <c r="L544" s="48">
        <f>IFERROR(IF(OR(INPUT!P539="",INPUT!Q539="",INPUT!P539=0),"",(INPUT!P539-INPUT!Q539)/INPUT!P539),"")</f>
        <v>9.7493036211699566E-3</v>
      </c>
    </row>
    <row r="545" spans="1:12" ht="18" hidden="1" customHeight="1" x14ac:dyDescent="0.2">
      <c r="A545" s="11">
        <f>IF(INPUT!M540="","",INPUT!M540)</f>
        <v>45908</v>
      </c>
      <c r="B545" s="11">
        <f>IF(INPUT!M540="","",INPUT!M540-WEEKDAY(INPUT!M540,2)+1)</f>
        <v>45908</v>
      </c>
      <c r="C545" s="20">
        <f>IFERROR(_xlfn.ISOWEEKNUM(INPUT!M540),"")</f>
        <v>37</v>
      </c>
      <c r="D545" s="20">
        <f>IFERROR(YEAR(INPUT!M540),"")</f>
        <v>2025</v>
      </c>
      <c r="E545" t="str">
        <f>IF(INPUT!O540="","",INPUT!O540)</f>
        <v>CARLOS</v>
      </c>
      <c r="F545" t="str">
        <f>IF(INPUT!N540="","",INPUT!N540)</f>
        <v>T</v>
      </c>
      <c r="G545" t="str" cm="1">
        <f t="array" ref="G545">IFERROR(VLOOKUP(INPUT!M540&amp;INPUT!N540,CHOOSE({1,2},INPUT!$A$3:$A$5000&amp;INPUT!$C$3:$C$5000,INPUT!$F$3:$F$5000),2,FALSE),"")</f>
        <v>PRE-TEMPORADA</v>
      </c>
      <c r="H545" t="str" cm="1">
        <f t="array" ref="H545">IFERROR(VLOOKUP(INPUT!M540&amp;INPUT!N540,CHOOSE({1,2},INPUT!$A$3:$A$5000&amp;INPUT!$C$3:$C$5000,INPUT!$D$3:$D$5000),2,FALSE),"")</f>
        <v>TEC-TAC</v>
      </c>
      <c r="I545" s="46">
        <f>IF(INPUT!P540="","",INPUT!P540)</f>
        <v>67.2</v>
      </c>
      <c r="J545" s="46">
        <f>IF(INPUT!Q540="","",INPUT!Q540)</f>
        <v>66.5</v>
      </c>
      <c r="K545" s="46">
        <f>IFERROR(IF(OR(INPUT!P540="",INPUT!Q540=""),"",INPUT!P540-INPUT!Q540),"")</f>
        <v>0.70000000000000284</v>
      </c>
      <c r="L545" s="48">
        <f>IFERROR(IF(OR(INPUT!P540="",INPUT!Q540="",INPUT!P540=0),"",(INPUT!P540-INPUT!Q540)/INPUT!P540),"")</f>
        <v>1.0416666666666708E-2</v>
      </c>
    </row>
    <row r="546" spans="1:12" ht="18" hidden="1" customHeight="1" x14ac:dyDescent="0.2">
      <c r="A546" s="11">
        <f>IF(INPUT!M541="","",INPUT!M541)</f>
        <v>45908</v>
      </c>
      <c r="B546" s="11">
        <f>IF(INPUT!M541="","",INPUT!M541-WEEKDAY(INPUT!M541,2)+1)</f>
        <v>45908</v>
      </c>
      <c r="C546" s="20">
        <f>IFERROR(_xlfn.ISOWEEKNUM(INPUT!M541),"")</f>
        <v>37</v>
      </c>
      <c r="D546" s="20">
        <f>IFERROR(YEAR(INPUT!M541),"")</f>
        <v>2025</v>
      </c>
      <c r="E546" t="str">
        <f>IF(INPUT!O541="","",INPUT!O541)</f>
        <v>GONZALO</v>
      </c>
      <c r="F546" t="str">
        <f>IF(INPUT!N541="","",INPUT!N541)</f>
        <v>T</v>
      </c>
      <c r="G546" t="str" cm="1">
        <f t="array" ref="G546">IFERROR(VLOOKUP(INPUT!M541&amp;INPUT!N541,CHOOSE({1,2},INPUT!$A$3:$A$5000&amp;INPUT!$C$3:$C$5000,INPUT!$F$3:$F$5000),2,FALSE),"")</f>
        <v>PRE-TEMPORADA</v>
      </c>
      <c r="H546" t="str" cm="1">
        <f t="array" ref="H546">IFERROR(VLOOKUP(INPUT!M541&amp;INPUT!N541,CHOOSE({1,2},INPUT!$A$3:$A$5000&amp;INPUT!$C$3:$C$5000,INPUT!$D$3:$D$5000),2,FALSE),"")</f>
        <v>TEC-TAC</v>
      </c>
      <c r="I546" s="46">
        <f>IF(INPUT!P541="","",INPUT!P541)</f>
        <v>85.2</v>
      </c>
      <c r="J546" s="46">
        <f>IF(INPUT!Q541="","",INPUT!Q541)</f>
        <v>85</v>
      </c>
      <c r="K546" s="46">
        <f>IFERROR(IF(OR(INPUT!P541="",INPUT!Q541=""),"",INPUT!P541-INPUT!Q541),"")</f>
        <v>0.20000000000000284</v>
      </c>
      <c r="L546" s="48">
        <f>IFERROR(IF(OR(INPUT!P541="",INPUT!Q541="",INPUT!P541=0),"",(INPUT!P541-INPUT!Q541)/INPUT!P541),"")</f>
        <v>2.3474178403756203E-3</v>
      </c>
    </row>
    <row r="547" spans="1:12" ht="18" hidden="1" customHeight="1" x14ac:dyDescent="0.2">
      <c r="A547" s="11">
        <f>IF(INPUT!M542="","",INPUT!M542)</f>
        <v>45908</v>
      </c>
      <c r="B547" s="11">
        <f>IF(INPUT!M542="","",INPUT!M542-WEEKDAY(INPUT!M542,2)+1)</f>
        <v>45908</v>
      </c>
      <c r="C547" s="20">
        <f>IFERROR(_xlfn.ISOWEEKNUM(INPUT!M542),"")</f>
        <v>37</v>
      </c>
      <c r="D547" s="20">
        <f>IFERROR(YEAR(INPUT!M542),"")</f>
        <v>2025</v>
      </c>
      <c r="E547" t="str">
        <f>IF(INPUT!O542="","",INPUT!O542)</f>
        <v>RUBIO</v>
      </c>
      <c r="F547" t="str">
        <f>IF(INPUT!N542="","",INPUT!N542)</f>
        <v>T</v>
      </c>
      <c r="G547" t="str" cm="1">
        <f t="array" ref="G547">IFERROR(VLOOKUP(INPUT!M542&amp;INPUT!N542,CHOOSE({1,2},INPUT!$A$3:$A$5000&amp;INPUT!$C$3:$C$5000,INPUT!$F$3:$F$5000),2,FALSE),"")</f>
        <v>PRE-TEMPORADA</v>
      </c>
      <c r="H547" t="str" cm="1">
        <f t="array" ref="H547">IFERROR(VLOOKUP(INPUT!M542&amp;INPUT!N542,CHOOSE({1,2},INPUT!$A$3:$A$5000&amp;INPUT!$C$3:$C$5000,INPUT!$D$3:$D$5000),2,FALSE),"")</f>
        <v>TEC-TAC</v>
      </c>
      <c r="I547" s="46">
        <f>IF(INPUT!P542="","",INPUT!P542)</f>
        <v>75.2</v>
      </c>
      <c r="J547" s="46">
        <f>IF(INPUT!Q542="","",INPUT!Q542)</f>
        <v>75.3</v>
      </c>
      <c r="K547" s="46">
        <f>IFERROR(IF(OR(INPUT!P542="",INPUT!Q542=""),"",INPUT!P542-INPUT!Q542),"")</f>
        <v>-9.9999999999994316E-2</v>
      </c>
      <c r="L547" s="48">
        <f>IFERROR(IF(OR(INPUT!P542="",INPUT!Q542="",INPUT!P542=0),"",(INPUT!P542-INPUT!Q542)/INPUT!P542),"")</f>
        <v>-1.3297872340424775E-3</v>
      </c>
    </row>
    <row r="548" spans="1:12" ht="18" hidden="1" customHeight="1" x14ac:dyDescent="0.2">
      <c r="A548" s="11">
        <f>IF(INPUT!M543="","",INPUT!M543)</f>
        <v>45908</v>
      </c>
      <c r="B548" s="11">
        <f>IF(INPUT!M543="","",INPUT!M543-WEEKDAY(INPUT!M543,2)+1)</f>
        <v>45908</v>
      </c>
      <c r="C548" s="20">
        <f>IFERROR(_xlfn.ISOWEEKNUM(INPUT!M543),"")</f>
        <v>37</v>
      </c>
      <c r="D548" s="20">
        <f>IFERROR(YEAR(INPUT!M543),"")</f>
        <v>2025</v>
      </c>
      <c r="E548" t="str">
        <f>IF(INPUT!O543="","",INPUT!O543)</f>
        <v>DANI</v>
      </c>
      <c r="F548" t="str">
        <f>IF(INPUT!N543="","",INPUT!N543)</f>
        <v>T</v>
      </c>
      <c r="G548" t="str" cm="1">
        <f t="array" ref="G548">IFERROR(VLOOKUP(INPUT!M543&amp;INPUT!N543,CHOOSE({1,2},INPUT!$A$3:$A$5000&amp;INPUT!$C$3:$C$5000,INPUT!$F$3:$F$5000),2,FALSE),"")</f>
        <v>PRE-TEMPORADA</v>
      </c>
      <c r="H548" t="str" cm="1">
        <f t="array" ref="H548">IFERROR(VLOOKUP(INPUT!M543&amp;INPUT!N543,CHOOSE({1,2},INPUT!$A$3:$A$5000&amp;INPUT!$C$3:$C$5000,INPUT!$D$3:$D$5000),2,FALSE),"")</f>
        <v>TEC-TAC</v>
      </c>
      <c r="I548" s="46">
        <f>IF(INPUT!P543="","",INPUT!P543)</f>
        <v>93.2</v>
      </c>
      <c r="J548" s="46">
        <f>IF(INPUT!Q543="","",INPUT!Q543)</f>
        <v>93</v>
      </c>
      <c r="K548" s="46">
        <f>IFERROR(IF(OR(INPUT!P543="",INPUT!Q543=""),"",INPUT!P543-INPUT!Q543),"")</f>
        <v>0.20000000000000284</v>
      </c>
      <c r="L548" s="48">
        <f>IFERROR(IF(OR(INPUT!P543="",INPUT!Q543="",INPUT!P543=0),"",(INPUT!P543-INPUT!Q543)/INPUT!P543),"")</f>
        <v>2.1459227467811462E-3</v>
      </c>
    </row>
    <row r="549" spans="1:12" ht="18" customHeight="1" x14ac:dyDescent="0.2">
      <c r="A549" s="11">
        <f>IF(INPUT!M544="","",INPUT!M544)</f>
        <v>45908</v>
      </c>
      <c r="B549" s="11">
        <f>IF(INPUT!M544="","",INPUT!M544-WEEKDAY(INPUT!M544,2)+1)</f>
        <v>45908</v>
      </c>
      <c r="C549" s="20">
        <f>IFERROR(_xlfn.ISOWEEKNUM(INPUT!M544),"")</f>
        <v>37</v>
      </c>
      <c r="D549" s="20">
        <f>IFERROR(YEAR(INPUT!M544),"")</f>
        <v>2025</v>
      </c>
      <c r="E549" t="str">
        <f>IF(INPUT!O544="","",INPUT!O544)</f>
        <v>JAIME</v>
      </c>
      <c r="F549" t="str">
        <f>IF(INPUT!N544="","",INPUT!N544)</f>
        <v>T</v>
      </c>
      <c r="G549" t="str" cm="1">
        <f t="array" ref="G549">IFERROR(VLOOKUP(INPUT!M544&amp;INPUT!N544,CHOOSE({1,2},INPUT!$A$3:$A$5000&amp;INPUT!$C$3:$C$5000,INPUT!$F$3:$F$5000),2,FALSE),"")</f>
        <v>PRE-TEMPORADA</v>
      </c>
      <c r="H549" t="str" cm="1">
        <f t="array" ref="H549">IFERROR(VLOOKUP(INPUT!M544&amp;INPUT!N544,CHOOSE({1,2},INPUT!$A$3:$A$5000&amp;INPUT!$C$3:$C$5000,INPUT!$D$3:$D$5000),2,FALSE),"")</f>
        <v>TEC-TAC</v>
      </c>
      <c r="I549" s="46">
        <f>IF(INPUT!P544="","",INPUT!P544)</f>
        <v>75.3</v>
      </c>
      <c r="J549" s="46">
        <f>IF(INPUT!Q544="","",INPUT!Q544)</f>
        <v>74.7</v>
      </c>
      <c r="K549" s="46">
        <f>IFERROR(IF(OR(INPUT!P544="",INPUT!Q544=""),"",INPUT!P544-INPUT!Q544),"")</f>
        <v>0.59999999999999432</v>
      </c>
      <c r="L549" s="48">
        <f>IFERROR(IF(OR(INPUT!P544="",INPUT!Q544="",INPUT!P544=0),"",(INPUT!P544-INPUT!Q544)/INPUT!P544),"")</f>
        <v>7.9681274900397659E-3</v>
      </c>
    </row>
    <row r="550" spans="1:12" ht="18" customHeight="1" x14ac:dyDescent="0.2">
      <c r="A550" s="11">
        <f>IF(INPUT!M545="","",INPUT!M545)</f>
        <v>45911</v>
      </c>
      <c r="B550" s="11">
        <f>IF(INPUT!M545="","",INPUT!M545-WEEKDAY(INPUT!M545,2)+1)</f>
        <v>45908</v>
      </c>
      <c r="C550" s="20">
        <f>IFERROR(_xlfn.ISOWEEKNUM(INPUT!M545),"")</f>
        <v>37</v>
      </c>
      <c r="D550" s="20">
        <f>IFERROR(YEAR(INPUT!M545),"")</f>
        <v>2025</v>
      </c>
      <c r="E550" t="str">
        <f>IF(INPUT!O545="","",INPUT!O545)</f>
        <v>HERRERO</v>
      </c>
      <c r="F550" t="str">
        <f>IF(INPUT!N545="","",INPUT!N545)</f>
        <v>M</v>
      </c>
      <c r="G550" t="str" cm="1">
        <f t="array" ref="G550">IFERROR(VLOOKUP(INPUT!M545&amp;INPUT!N545,CHOOSE({1,2},INPUT!$A$3:$A$5000&amp;INPUT!$C$3:$C$5000,INPUT!$F$3:$F$5000),2,FALSE),"")</f>
        <v>PRE-TEMPORADA</v>
      </c>
      <c r="H550" t="str" cm="1">
        <f t="array" ref="H550">IFERROR(VLOOKUP(INPUT!M545&amp;INPUT!N545,CHOOSE({1,2},INPUT!$A$3:$A$5000&amp;INPUT!$C$3:$C$5000,INPUT!$D$3:$D$5000),2,FALSE),"")</f>
        <v>TEC-TAC</v>
      </c>
      <c r="I550" s="46">
        <f>IF(INPUT!P545="","",INPUT!P545)</f>
        <v>76.7</v>
      </c>
      <c r="J550" s="46">
        <f>IF(INPUT!Q545="","",INPUT!Q545)</f>
        <v>76</v>
      </c>
      <c r="K550" s="46">
        <f>IFERROR(IF(OR(INPUT!P545="",INPUT!Q545=""),"",INPUT!P545-INPUT!Q545),"")</f>
        <v>0.70000000000000284</v>
      </c>
      <c r="L550" s="48">
        <f>IFERROR(IF(OR(INPUT!P545="",INPUT!Q545="",INPUT!P545=0),"",(INPUT!P545-INPUT!Q545)/INPUT!P545),"")</f>
        <v>9.1264667535854351E-3</v>
      </c>
    </row>
    <row r="551" spans="1:12" ht="18" customHeight="1" x14ac:dyDescent="0.2">
      <c r="A551" s="11">
        <f>IF(INPUT!M546="","",INPUT!M546)</f>
        <v>45911</v>
      </c>
      <c r="B551" s="11">
        <f>IF(INPUT!M546="","",INPUT!M546-WEEKDAY(INPUT!M546,2)+1)</f>
        <v>45908</v>
      </c>
      <c r="C551" s="20">
        <f>IFERROR(_xlfn.ISOWEEKNUM(INPUT!M546),"")</f>
        <v>37</v>
      </c>
      <c r="D551" s="20">
        <f>IFERROR(YEAR(INPUT!M546),"")</f>
        <v>2025</v>
      </c>
      <c r="E551" t="str">
        <f>IF(INPUT!O546="","",INPUT!O546)</f>
        <v>GARCIA</v>
      </c>
      <c r="F551" t="str">
        <f>IF(INPUT!N546="","",INPUT!N546)</f>
        <v>M</v>
      </c>
      <c r="G551" t="str" cm="1">
        <f t="array" ref="G551">IFERROR(VLOOKUP(INPUT!M546&amp;INPUT!N546,CHOOSE({1,2},INPUT!$A$3:$A$5000&amp;INPUT!$C$3:$C$5000,INPUT!$F$3:$F$5000),2,FALSE),"")</f>
        <v>PRE-TEMPORADA</v>
      </c>
      <c r="H551" t="str" cm="1">
        <f t="array" ref="H551">IFERROR(VLOOKUP(INPUT!M546&amp;INPUT!N546,CHOOSE({1,2},INPUT!$A$3:$A$5000&amp;INPUT!$C$3:$C$5000,INPUT!$D$3:$D$5000),2,FALSE),"")</f>
        <v>TEC-TAC</v>
      </c>
      <c r="I551" s="46">
        <f>IF(INPUT!P546="","",INPUT!P546)</f>
        <v>79.400000000000006</v>
      </c>
      <c r="J551" s="46">
        <f>IF(INPUT!Q546="","",INPUT!Q546)</f>
        <v>79.3</v>
      </c>
      <c r="K551" s="46">
        <f>IFERROR(IF(OR(INPUT!P546="",INPUT!Q546=""),"",INPUT!P546-INPUT!Q546),"")</f>
        <v>0.10000000000000853</v>
      </c>
      <c r="L551" s="48">
        <f>IFERROR(IF(OR(INPUT!P546="",INPUT!Q546="",INPUT!P546=0),"",(INPUT!P546-INPUT!Q546)/INPUT!P546),"")</f>
        <v>1.2594458438288227E-3</v>
      </c>
    </row>
    <row r="552" spans="1:12" ht="18" hidden="1" customHeight="1" x14ac:dyDescent="0.2">
      <c r="A552" s="11">
        <f>IF(INPUT!M547="","",INPUT!M547)</f>
        <v>45911</v>
      </c>
      <c r="B552" s="11">
        <f>IF(INPUT!M547="","",INPUT!M547-WEEKDAY(INPUT!M547,2)+1)</f>
        <v>45908</v>
      </c>
      <c r="C552" s="20">
        <f>IFERROR(_xlfn.ISOWEEKNUM(INPUT!M547),"")</f>
        <v>37</v>
      </c>
      <c r="D552" s="20">
        <f>IFERROR(YEAR(INPUT!M547),"")</f>
        <v>2025</v>
      </c>
      <c r="E552" t="str">
        <f>IF(INPUT!O547="","",INPUT!O547)</f>
        <v>CECILIO</v>
      </c>
      <c r="F552" t="str">
        <f>IF(INPUT!N547="","",INPUT!N547)</f>
        <v>M</v>
      </c>
      <c r="G552" t="str" cm="1">
        <f t="array" ref="G552">IFERROR(VLOOKUP(INPUT!M547&amp;INPUT!N547,CHOOSE({1,2},INPUT!$A$3:$A$5000&amp;INPUT!$C$3:$C$5000,INPUT!$F$3:$F$5000),2,FALSE),"")</f>
        <v>PRE-TEMPORADA</v>
      </c>
      <c r="H552" t="str" cm="1">
        <f t="array" ref="H552">IFERROR(VLOOKUP(INPUT!M547&amp;INPUT!N547,CHOOSE({1,2},INPUT!$A$3:$A$5000&amp;INPUT!$C$3:$C$5000,INPUT!$D$3:$D$5000),2,FALSE),"")</f>
        <v>TEC-TAC</v>
      </c>
      <c r="I552" s="46">
        <f>IF(INPUT!P547="","",INPUT!P547)</f>
        <v>68.5</v>
      </c>
      <c r="J552" s="46">
        <f>IF(INPUT!Q547="","",INPUT!Q547)</f>
        <v>67.599999999999994</v>
      </c>
      <c r="K552" s="46">
        <f>IFERROR(IF(OR(INPUT!P547="",INPUT!Q547=""),"",INPUT!P547-INPUT!Q547),"")</f>
        <v>0.90000000000000568</v>
      </c>
      <c r="L552" s="48">
        <f>IFERROR(IF(OR(INPUT!P547="",INPUT!Q547="",INPUT!P547=0),"",(INPUT!P547-INPUT!Q547)/INPUT!P547),"")</f>
        <v>1.3138686131386945E-2</v>
      </c>
    </row>
    <row r="553" spans="1:12" ht="18" hidden="1" customHeight="1" x14ac:dyDescent="0.2">
      <c r="A553" s="11">
        <f>IF(INPUT!M548="","",INPUT!M548)</f>
        <v>45911</v>
      </c>
      <c r="B553" s="11">
        <f>IF(INPUT!M548="","",INPUT!M548-WEEKDAY(INPUT!M548,2)+1)</f>
        <v>45908</v>
      </c>
      <c r="C553" s="20">
        <f>IFERROR(_xlfn.ISOWEEKNUM(INPUT!M548),"")</f>
        <v>37</v>
      </c>
      <c r="D553" s="20">
        <f>IFERROR(YEAR(INPUT!M548),"")</f>
        <v>2025</v>
      </c>
      <c r="E553" t="str">
        <f>IF(INPUT!O548="","",INPUT!O548)</f>
        <v>CHAGUINHA</v>
      </c>
      <c r="F553" t="str">
        <f>IF(INPUT!N548="","",INPUT!N548)</f>
        <v>M</v>
      </c>
      <c r="G553" t="str" cm="1">
        <f t="array" ref="G553">IFERROR(VLOOKUP(INPUT!M548&amp;INPUT!N548,CHOOSE({1,2},INPUT!$A$3:$A$5000&amp;INPUT!$C$3:$C$5000,INPUT!$F$3:$F$5000),2,FALSE),"")</f>
        <v>PRE-TEMPORADA</v>
      </c>
      <c r="H553" t="str" cm="1">
        <f t="array" ref="H553">IFERROR(VLOOKUP(INPUT!M548&amp;INPUT!N548,CHOOSE({1,2},INPUT!$A$3:$A$5000&amp;INPUT!$C$3:$C$5000,INPUT!$D$3:$D$5000),2,FALSE),"")</f>
        <v>TEC-TAC</v>
      </c>
      <c r="I553" s="46">
        <f>IF(INPUT!P548="","",INPUT!P548)</f>
        <v>69.099999999999994</v>
      </c>
      <c r="J553" s="46">
        <f>IF(INPUT!Q548="","",INPUT!Q548)</f>
        <v>69</v>
      </c>
      <c r="K553" s="46">
        <f>IFERROR(IF(OR(INPUT!P548="",INPUT!Q548=""),"",INPUT!P548-INPUT!Q548),"")</f>
        <v>9.9999999999994316E-2</v>
      </c>
      <c r="L553" s="48">
        <f>IFERROR(IF(OR(INPUT!P548="",INPUT!Q548="",INPUT!P548=0),"",(INPUT!P548-INPUT!Q548)/INPUT!P548),"")</f>
        <v>1.4471780028942739E-3</v>
      </c>
    </row>
    <row r="554" spans="1:12" ht="18" hidden="1" customHeight="1" x14ac:dyDescent="0.2">
      <c r="A554" s="11">
        <f>IF(INPUT!M549="","",INPUT!M549)</f>
        <v>45911</v>
      </c>
      <c r="B554" s="11">
        <f>IF(INPUT!M549="","",INPUT!M549-WEEKDAY(INPUT!M549,2)+1)</f>
        <v>45908</v>
      </c>
      <c r="C554" s="20">
        <f>IFERROR(_xlfn.ISOWEEKNUM(INPUT!M549),"")</f>
        <v>37</v>
      </c>
      <c r="D554" s="20">
        <f>IFERROR(YEAR(INPUT!M549),"")</f>
        <v>2025</v>
      </c>
      <c r="E554" t="str">
        <f>IF(INPUT!O549="","",INPUT!O549)</f>
        <v>RAUL</v>
      </c>
      <c r="F554" t="str">
        <f>IF(INPUT!N549="","",INPUT!N549)</f>
        <v>M</v>
      </c>
      <c r="G554" t="str" cm="1">
        <f t="array" ref="G554">IFERROR(VLOOKUP(INPUT!M549&amp;INPUT!N549,CHOOSE({1,2},INPUT!$A$3:$A$5000&amp;INPUT!$C$3:$C$5000,INPUT!$F$3:$F$5000),2,FALSE),"")</f>
        <v>PRE-TEMPORADA</v>
      </c>
      <c r="H554" t="str" cm="1">
        <f t="array" ref="H554">IFERROR(VLOOKUP(INPUT!M549&amp;INPUT!N549,CHOOSE({1,2},INPUT!$A$3:$A$5000&amp;INPUT!$C$3:$C$5000,INPUT!$D$3:$D$5000),2,FALSE),"")</f>
        <v>TEC-TAC</v>
      </c>
      <c r="I554" s="46">
        <f>IF(INPUT!P549="","",INPUT!P549)</f>
        <v>80</v>
      </c>
      <c r="J554" s="46">
        <f>IF(INPUT!Q549="","",INPUT!Q549)</f>
        <v>79.7</v>
      </c>
      <c r="K554" s="46">
        <f>IFERROR(IF(OR(INPUT!P549="",INPUT!Q549=""),"",INPUT!P549-INPUT!Q549),"")</f>
        <v>0.29999999999999716</v>
      </c>
      <c r="L554" s="48">
        <f>IFERROR(IF(OR(INPUT!P549="",INPUT!Q549="",INPUT!P549=0),"",(INPUT!P549-INPUT!Q549)/INPUT!P549),"")</f>
        <v>3.7499999999999643E-3</v>
      </c>
    </row>
    <row r="555" spans="1:12" ht="18" hidden="1" customHeight="1" x14ac:dyDescent="0.2">
      <c r="A555" s="11">
        <f>IF(INPUT!M550="","",INPUT!M550)</f>
        <v>45911</v>
      </c>
      <c r="B555" s="11">
        <f>IF(INPUT!M550="","",INPUT!M550-WEEKDAY(INPUT!M550,2)+1)</f>
        <v>45908</v>
      </c>
      <c r="C555" s="20">
        <f>IFERROR(_xlfn.ISOWEEKNUM(INPUT!M550),"")</f>
        <v>37</v>
      </c>
      <c r="D555" s="20">
        <f>IFERROR(YEAR(INPUT!M550),"")</f>
        <v>2025</v>
      </c>
      <c r="E555" t="str">
        <f>IF(INPUT!O550="","",INPUT!O550)</f>
        <v>HARRISON</v>
      </c>
      <c r="F555" t="str">
        <f>IF(INPUT!N550="","",INPUT!N550)</f>
        <v>M</v>
      </c>
      <c r="G555" t="str" cm="1">
        <f t="array" ref="G555">IFERROR(VLOOKUP(INPUT!M550&amp;INPUT!N550,CHOOSE({1,2},INPUT!$A$3:$A$5000&amp;INPUT!$C$3:$C$5000,INPUT!$F$3:$F$5000),2,FALSE),"")</f>
        <v>PRE-TEMPORADA</v>
      </c>
      <c r="H555" t="str" cm="1">
        <f t="array" ref="H555">IFERROR(VLOOKUP(INPUT!M550&amp;INPUT!N550,CHOOSE({1,2},INPUT!$A$3:$A$5000&amp;INPUT!$C$3:$C$5000,INPUT!$D$3:$D$5000),2,FALSE),"")</f>
        <v>TEC-TAC</v>
      </c>
      <c r="I555" s="46">
        <f>IF(INPUT!P550="","",INPUT!P550)</f>
        <v>71.400000000000006</v>
      </c>
      <c r="J555" s="46">
        <f>IF(INPUT!Q550="","",INPUT!Q550)</f>
        <v>70.7</v>
      </c>
      <c r="K555" s="46">
        <f>IFERROR(IF(OR(INPUT!P550="",INPUT!Q550=""),"",INPUT!P550-INPUT!Q550),"")</f>
        <v>0.70000000000000284</v>
      </c>
      <c r="L555" s="48">
        <f>IFERROR(IF(OR(INPUT!P550="",INPUT!Q550="",INPUT!P550=0),"",(INPUT!P550-INPUT!Q550)/INPUT!P550),"")</f>
        <v>9.8039215686274907E-3</v>
      </c>
    </row>
    <row r="556" spans="1:12" ht="18" hidden="1" customHeight="1" x14ac:dyDescent="0.2">
      <c r="A556" s="11">
        <f>IF(INPUT!M551="","",INPUT!M551)</f>
        <v>45911</v>
      </c>
      <c r="B556" s="11">
        <f>IF(INPUT!M551="","",INPUT!M551-WEEKDAY(INPUT!M551,2)+1)</f>
        <v>45908</v>
      </c>
      <c r="C556" s="20">
        <f>IFERROR(_xlfn.ISOWEEKNUM(INPUT!M551),"")</f>
        <v>37</v>
      </c>
      <c r="D556" s="20">
        <f>IFERROR(YEAR(INPUT!M551),"")</f>
        <v>2025</v>
      </c>
      <c r="E556" t="str">
        <f>IF(INPUT!O551="","",INPUT!O551)</f>
        <v>RAYA</v>
      </c>
      <c r="F556" t="str">
        <f>IF(INPUT!N551="","",INPUT!N551)</f>
        <v>M</v>
      </c>
      <c r="G556" t="str" cm="1">
        <f t="array" ref="G556">IFERROR(VLOOKUP(INPUT!M551&amp;INPUT!N551,CHOOSE({1,2},INPUT!$A$3:$A$5000&amp;INPUT!$C$3:$C$5000,INPUT!$F$3:$F$5000),2,FALSE),"")</f>
        <v>PRE-TEMPORADA</v>
      </c>
      <c r="H556" t="str" cm="1">
        <f t="array" ref="H556">IFERROR(VLOOKUP(INPUT!M551&amp;INPUT!N551,CHOOSE({1,2},INPUT!$A$3:$A$5000&amp;INPUT!$C$3:$C$5000,INPUT!$D$3:$D$5000),2,FALSE),"")</f>
        <v>TEC-TAC</v>
      </c>
      <c r="I556" s="46">
        <f>IF(INPUT!P551="","",INPUT!P551)</f>
        <v>82.3</v>
      </c>
      <c r="J556" s="46">
        <f>IF(INPUT!Q551="","",INPUT!Q551)</f>
        <v>80.599999999999994</v>
      </c>
      <c r="K556" s="46">
        <f>IFERROR(IF(OR(INPUT!P551="",INPUT!Q551=""),"",INPUT!P551-INPUT!Q551),"")</f>
        <v>1.7000000000000028</v>
      </c>
      <c r="L556" s="48">
        <f>IFERROR(IF(OR(INPUT!P551="",INPUT!Q551="",INPUT!P551=0),"",(INPUT!P551-INPUT!Q551)/INPUT!P551),"")</f>
        <v>2.0656136087484848E-2</v>
      </c>
    </row>
    <row r="557" spans="1:12" ht="18" hidden="1" customHeight="1" x14ac:dyDescent="0.2">
      <c r="A557" s="11">
        <f>IF(INPUT!M552="","",INPUT!M552)</f>
        <v>45911</v>
      </c>
      <c r="B557" s="11">
        <f>IF(INPUT!M552="","",INPUT!M552-WEEKDAY(INPUT!M552,2)+1)</f>
        <v>45908</v>
      </c>
      <c r="C557" s="20">
        <f>IFERROR(_xlfn.ISOWEEKNUM(INPUT!M552),"")</f>
        <v>37</v>
      </c>
      <c r="D557" s="20">
        <f>IFERROR(YEAR(INPUT!M552),"")</f>
        <v>2025</v>
      </c>
      <c r="E557" t="str">
        <f>IF(INPUT!O552="","",INPUT!O552)</f>
        <v>JAVI</v>
      </c>
      <c r="F557" t="str">
        <f>IF(INPUT!N552="","",INPUT!N552)</f>
        <v>M</v>
      </c>
      <c r="G557" t="str" cm="1">
        <f t="array" ref="G557">IFERROR(VLOOKUP(INPUT!M552&amp;INPUT!N552,CHOOSE({1,2},INPUT!$A$3:$A$5000&amp;INPUT!$C$3:$C$5000,INPUT!$F$3:$F$5000),2,FALSE),"")</f>
        <v>PRE-TEMPORADA</v>
      </c>
      <c r="H557" t="str" cm="1">
        <f t="array" ref="H557">IFERROR(VLOOKUP(INPUT!M552&amp;INPUT!N552,CHOOSE({1,2},INPUT!$A$3:$A$5000&amp;INPUT!$C$3:$C$5000,INPUT!$D$3:$D$5000),2,FALSE),"")</f>
        <v>TEC-TAC</v>
      </c>
      <c r="I557" s="46">
        <f>IF(INPUT!P552="","",INPUT!P552)</f>
        <v>78.7</v>
      </c>
      <c r="J557" s="46">
        <f>IF(INPUT!Q552="","",INPUT!Q552)</f>
        <v>79.099999999999994</v>
      </c>
      <c r="K557" s="46">
        <f>IFERROR(IF(OR(INPUT!P552="",INPUT!Q552=""),"",INPUT!P552-INPUT!Q552),"")</f>
        <v>-0.39999999999999147</v>
      </c>
      <c r="L557" s="48">
        <f>IFERROR(IF(OR(INPUT!P552="",INPUT!Q552="",INPUT!P552=0),"",(INPUT!P552-INPUT!Q552)/INPUT!P552),"")</f>
        <v>-5.0825921219821027E-3</v>
      </c>
    </row>
    <row r="558" spans="1:12" ht="18" hidden="1" customHeight="1" x14ac:dyDescent="0.2">
      <c r="A558" s="11">
        <f>IF(INPUT!M553="","",INPUT!M553)</f>
        <v>45911</v>
      </c>
      <c r="B558" s="11">
        <f>IF(INPUT!M553="","",INPUT!M553-WEEKDAY(INPUT!M553,2)+1)</f>
        <v>45908</v>
      </c>
      <c r="C558" s="20">
        <f>IFERROR(_xlfn.ISOWEEKNUM(INPUT!M553),"")</f>
        <v>37</v>
      </c>
      <c r="D558" s="20">
        <f>IFERROR(YEAR(INPUT!M553),"")</f>
        <v>2025</v>
      </c>
      <c r="E558" t="str">
        <f>IF(INPUT!O553="","",INPUT!O553)</f>
        <v>PANI</v>
      </c>
      <c r="F558" t="str">
        <f>IF(INPUT!N553="","",INPUT!N553)</f>
        <v>M</v>
      </c>
      <c r="G558" t="str" cm="1">
        <f t="array" ref="G558">IFERROR(VLOOKUP(INPUT!M553&amp;INPUT!N553,CHOOSE({1,2},INPUT!$A$3:$A$5000&amp;INPUT!$C$3:$C$5000,INPUT!$F$3:$F$5000),2,FALSE),"")</f>
        <v>PRE-TEMPORADA</v>
      </c>
      <c r="H558" t="str" cm="1">
        <f t="array" ref="H558">IFERROR(VLOOKUP(INPUT!M553&amp;INPUT!N553,CHOOSE({1,2},INPUT!$A$3:$A$5000&amp;INPUT!$C$3:$C$5000,INPUT!$D$3:$D$5000),2,FALSE),"")</f>
        <v>TEC-TAC</v>
      </c>
      <c r="I558" s="46">
        <f>IF(INPUT!P553="","",INPUT!P553)</f>
        <v>71.599999999999994</v>
      </c>
      <c r="J558" s="46">
        <f>IF(INPUT!Q553="","",INPUT!Q553)</f>
        <v>70.7</v>
      </c>
      <c r="K558" s="46">
        <f>IFERROR(IF(OR(INPUT!P553="",INPUT!Q553=""),"",INPUT!P553-INPUT!Q553),"")</f>
        <v>0.89999999999999147</v>
      </c>
      <c r="L558" s="48">
        <f>IFERROR(IF(OR(INPUT!P553="",INPUT!Q553="",INPUT!P553=0),"",(INPUT!P553-INPUT!Q553)/INPUT!P553),"")</f>
        <v>1.256983240223452E-2</v>
      </c>
    </row>
    <row r="559" spans="1:12" ht="18" hidden="1" customHeight="1" x14ac:dyDescent="0.2">
      <c r="A559" s="11">
        <f>IF(INPUT!M554="","",INPUT!M554)</f>
        <v>45911</v>
      </c>
      <c r="B559" s="11">
        <f>IF(INPUT!M554="","",INPUT!M554-WEEKDAY(INPUT!M554,2)+1)</f>
        <v>45908</v>
      </c>
      <c r="C559" s="20">
        <f>IFERROR(_xlfn.ISOWEEKNUM(INPUT!M554),"")</f>
        <v>37</v>
      </c>
      <c r="D559" s="20">
        <f>IFERROR(YEAR(INPUT!M554),"")</f>
        <v>2025</v>
      </c>
      <c r="E559" t="str">
        <f>IF(INPUT!O554="","",INPUT!O554)</f>
        <v>PIRATA</v>
      </c>
      <c r="F559" t="str">
        <f>IF(INPUT!N554="","",INPUT!N554)</f>
        <v>M</v>
      </c>
      <c r="G559" t="str" cm="1">
        <f t="array" ref="G559">IFERROR(VLOOKUP(INPUT!M554&amp;INPUT!N554,CHOOSE({1,2},INPUT!$A$3:$A$5000&amp;INPUT!$C$3:$C$5000,INPUT!$F$3:$F$5000),2,FALSE),"")</f>
        <v>PRE-TEMPORADA</v>
      </c>
      <c r="H559" t="str" cm="1">
        <f t="array" ref="H559">IFERROR(VLOOKUP(INPUT!M554&amp;INPUT!N554,CHOOSE({1,2},INPUT!$A$3:$A$5000&amp;INPUT!$C$3:$C$5000,INPUT!$D$3:$D$5000),2,FALSE),"")</f>
        <v>TEC-TAC</v>
      </c>
      <c r="I559" s="46">
        <f>IF(INPUT!P554="","",INPUT!P554)</f>
        <v>74.599999999999994</v>
      </c>
      <c r="J559" s="46">
        <f>IF(INPUT!Q554="","",INPUT!Q554)</f>
        <v>74.8</v>
      </c>
      <c r="K559" s="46">
        <f>IFERROR(IF(OR(INPUT!P554="",INPUT!Q554=""),"",INPUT!P554-INPUT!Q554),"")</f>
        <v>-0.20000000000000284</v>
      </c>
      <c r="L559" s="48">
        <f>IFERROR(IF(OR(INPUT!P554="",INPUT!Q554="",INPUT!P554=0),"",(INPUT!P554-INPUT!Q554)/INPUT!P554),"")</f>
        <v>-2.6809651474531213E-3</v>
      </c>
    </row>
    <row r="560" spans="1:12" ht="18" hidden="1" customHeight="1" x14ac:dyDescent="0.2">
      <c r="A560" s="11">
        <f>IF(INPUT!M555="","",INPUT!M555)</f>
        <v>45911</v>
      </c>
      <c r="B560" s="11">
        <f>IF(INPUT!M555="","",INPUT!M555-WEEKDAY(INPUT!M555,2)+1)</f>
        <v>45908</v>
      </c>
      <c r="C560" s="20">
        <f>IFERROR(_xlfn.ISOWEEKNUM(INPUT!M555),"")</f>
        <v>37</v>
      </c>
      <c r="D560" s="20">
        <f>IFERROR(YEAR(INPUT!M555),"")</f>
        <v>2025</v>
      </c>
      <c r="E560" t="str">
        <f>IF(INPUT!O555="","",INPUT!O555)</f>
        <v>BARONA</v>
      </c>
      <c r="F560" t="str">
        <f>IF(INPUT!N555="","",INPUT!N555)</f>
        <v>M</v>
      </c>
      <c r="G560" t="str" cm="1">
        <f t="array" ref="G560">IFERROR(VLOOKUP(INPUT!M555&amp;INPUT!N555,CHOOSE({1,2},INPUT!$A$3:$A$5000&amp;INPUT!$C$3:$C$5000,INPUT!$F$3:$F$5000),2,FALSE),"")</f>
        <v>PRE-TEMPORADA</v>
      </c>
      <c r="H560" t="str" cm="1">
        <f t="array" ref="H560">IFERROR(VLOOKUP(INPUT!M555&amp;INPUT!N555,CHOOSE({1,2},INPUT!$A$3:$A$5000&amp;INPUT!$C$3:$C$5000,INPUT!$D$3:$D$5000),2,FALSE),"")</f>
        <v>TEC-TAC</v>
      </c>
      <c r="I560" s="46">
        <f>IF(INPUT!P555="","",INPUT!P555)</f>
        <v>71.2</v>
      </c>
      <c r="J560" s="46">
        <f>IF(INPUT!Q555="","",INPUT!Q555)</f>
        <v>71.099999999999994</v>
      </c>
      <c r="K560" s="46">
        <f>IFERROR(IF(OR(INPUT!P555="",INPUT!Q555=""),"",INPUT!P555-INPUT!Q555),"")</f>
        <v>0.10000000000000853</v>
      </c>
      <c r="L560" s="48">
        <f>IFERROR(IF(OR(INPUT!P555="",INPUT!Q555="",INPUT!P555=0),"",(INPUT!P555-INPUT!Q555)/INPUT!P555),"")</f>
        <v>1.4044943820225916E-3</v>
      </c>
    </row>
    <row r="561" spans="1:12" ht="18" customHeight="1" x14ac:dyDescent="0.2">
      <c r="A561" s="11">
        <f>IF(INPUT!M556="","",INPUT!M556)</f>
        <v>45911</v>
      </c>
      <c r="B561" s="11">
        <f>IF(INPUT!M556="","",INPUT!M556-WEEKDAY(INPUT!M556,2)+1)</f>
        <v>45908</v>
      </c>
      <c r="C561" s="20">
        <f>IFERROR(_xlfn.ISOWEEKNUM(INPUT!M556),"")</f>
        <v>37</v>
      </c>
      <c r="D561" s="20">
        <f>IFERROR(YEAR(INPUT!M556),"")</f>
        <v>2025</v>
      </c>
      <c r="E561" t="str">
        <f>IF(INPUT!O556="","",INPUT!O556)</f>
        <v>CARLOS</v>
      </c>
      <c r="F561" t="str">
        <f>IF(INPUT!N556="","",INPUT!N556)</f>
        <v>M</v>
      </c>
      <c r="G561" t="str" cm="1">
        <f t="array" ref="G561">IFERROR(VLOOKUP(INPUT!M556&amp;INPUT!N556,CHOOSE({1,2},INPUT!$A$3:$A$5000&amp;INPUT!$C$3:$C$5000,INPUT!$F$3:$F$5000),2,FALSE),"")</f>
        <v>PRE-TEMPORADA</v>
      </c>
      <c r="H561" t="str" cm="1">
        <f t="array" ref="H561">IFERROR(VLOOKUP(INPUT!M556&amp;INPUT!N556,CHOOSE({1,2},INPUT!$A$3:$A$5000&amp;INPUT!$C$3:$C$5000,INPUT!$D$3:$D$5000),2,FALSE),"")</f>
        <v>TEC-TAC</v>
      </c>
      <c r="I561" s="46">
        <f>IF(INPUT!P556="","",INPUT!P556)</f>
        <v>66.599999999999994</v>
      </c>
      <c r="J561" s="46">
        <f>IF(INPUT!Q556="","",INPUT!Q556)</f>
        <v>66.5</v>
      </c>
      <c r="K561" s="46">
        <f>IFERROR(IF(OR(INPUT!P556="",INPUT!Q556=""),"",INPUT!P556-INPUT!Q556),"")</f>
        <v>9.9999999999994316E-2</v>
      </c>
      <c r="L561" s="48">
        <f>IFERROR(IF(OR(INPUT!P556="",INPUT!Q556="",INPUT!P556=0),"",(INPUT!P556-INPUT!Q556)/INPUT!P556),"")</f>
        <v>1.5015015015014163E-3</v>
      </c>
    </row>
    <row r="562" spans="1:12" ht="18" customHeight="1" x14ac:dyDescent="0.2">
      <c r="A562" s="11">
        <f>IF(INPUT!M557="","",INPUT!M557)</f>
        <v>45911</v>
      </c>
      <c r="B562" s="11">
        <f>IF(INPUT!M557="","",INPUT!M557-WEEKDAY(INPUT!M557,2)+1)</f>
        <v>45908</v>
      </c>
      <c r="C562" s="20">
        <f>IFERROR(_xlfn.ISOWEEKNUM(INPUT!M557),"")</f>
        <v>37</v>
      </c>
      <c r="D562" s="20">
        <f>IFERROR(YEAR(INPUT!M557),"")</f>
        <v>2025</v>
      </c>
      <c r="E562" t="str">
        <f>IF(INPUT!O557="","",INPUT!O557)</f>
        <v>GONZALO</v>
      </c>
      <c r="F562" t="str">
        <f>IF(INPUT!N557="","",INPUT!N557)</f>
        <v>M</v>
      </c>
      <c r="G562" t="str" cm="1">
        <f t="array" ref="G562">IFERROR(VLOOKUP(INPUT!M557&amp;INPUT!N557,CHOOSE({1,2},INPUT!$A$3:$A$5000&amp;INPUT!$C$3:$C$5000,INPUT!$F$3:$F$5000),2,FALSE),"")</f>
        <v>PRE-TEMPORADA</v>
      </c>
      <c r="H562" t="str" cm="1">
        <f t="array" ref="H562">IFERROR(VLOOKUP(INPUT!M557&amp;INPUT!N557,CHOOSE({1,2},INPUT!$A$3:$A$5000&amp;INPUT!$C$3:$C$5000,INPUT!$D$3:$D$5000),2,FALSE),"")</f>
        <v>TEC-TAC</v>
      </c>
      <c r="I562" s="46">
        <f>IF(INPUT!P557="","",INPUT!P557)</f>
        <v>84.7</v>
      </c>
      <c r="J562" s="46">
        <f>IF(INPUT!Q557="","",INPUT!Q557)</f>
        <v>84.8</v>
      </c>
      <c r="K562" s="46">
        <f>IFERROR(IF(OR(INPUT!P557="",INPUT!Q557=""),"",INPUT!P557-INPUT!Q557),"")</f>
        <v>-9.9999999999994316E-2</v>
      </c>
      <c r="L562" s="48">
        <f>IFERROR(IF(OR(INPUT!P557="",INPUT!Q557="",INPUT!P557=0),"",(INPUT!P557-INPUT!Q557)/INPUT!P557),"")</f>
        <v>-1.1806375442738408E-3</v>
      </c>
    </row>
    <row r="563" spans="1:12" ht="18" customHeight="1" x14ac:dyDescent="0.2">
      <c r="A563" s="11">
        <f>IF(INPUT!M558="","",INPUT!M558)</f>
        <v>45911</v>
      </c>
      <c r="B563" s="11">
        <f>IF(INPUT!M558="","",INPUT!M558-WEEKDAY(INPUT!M558,2)+1)</f>
        <v>45908</v>
      </c>
      <c r="C563" s="20">
        <f>IFERROR(_xlfn.ISOWEEKNUM(INPUT!M558),"")</f>
        <v>37</v>
      </c>
      <c r="D563" s="20">
        <f>IFERROR(YEAR(INPUT!M558),"")</f>
        <v>2025</v>
      </c>
      <c r="E563" t="str">
        <f>IF(INPUT!O558="","",INPUT!O558)</f>
        <v>RUBIO</v>
      </c>
      <c r="F563" t="str">
        <f>IF(INPUT!N558="","",INPUT!N558)</f>
        <v>M</v>
      </c>
      <c r="G563" t="str" cm="1">
        <f t="array" ref="G563">IFERROR(VLOOKUP(INPUT!M558&amp;INPUT!N558,CHOOSE({1,2},INPUT!$A$3:$A$5000&amp;INPUT!$C$3:$C$5000,INPUT!$F$3:$F$5000),2,FALSE),"")</f>
        <v>PRE-TEMPORADA</v>
      </c>
      <c r="H563" t="str" cm="1">
        <f t="array" ref="H563">IFERROR(VLOOKUP(INPUT!M558&amp;INPUT!N558,CHOOSE({1,2},INPUT!$A$3:$A$5000&amp;INPUT!$C$3:$C$5000,INPUT!$D$3:$D$5000),2,FALSE),"")</f>
        <v>TEC-TAC</v>
      </c>
      <c r="I563" s="46">
        <f>IF(INPUT!P558="","",INPUT!P558)</f>
        <v>74.599999999999994</v>
      </c>
      <c r="J563" s="46">
        <f>IF(INPUT!Q558="","",INPUT!Q558)</f>
        <v>74.599999999999994</v>
      </c>
      <c r="K563" s="46">
        <f>IFERROR(IF(OR(INPUT!P558="",INPUT!Q558=""),"",INPUT!P558-INPUT!Q558),"")</f>
        <v>0</v>
      </c>
      <c r="L563" s="48">
        <f>IFERROR(IF(OR(INPUT!P558="",INPUT!Q558="",INPUT!P558=0),"",(INPUT!P558-INPUT!Q558)/INPUT!P558),"")</f>
        <v>0</v>
      </c>
    </row>
    <row r="564" spans="1:12" ht="18" hidden="1" customHeight="1" x14ac:dyDescent="0.2">
      <c r="A564" s="11">
        <f>IF(INPUT!M559="","",INPUT!M559)</f>
        <v>45911</v>
      </c>
      <c r="B564" s="11">
        <f>IF(INPUT!M559="","",INPUT!M559-WEEKDAY(INPUT!M559,2)+1)</f>
        <v>45908</v>
      </c>
      <c r="C564" s="20">
        <f>IFERROR(_xlfn.ISOWEEKNUM(INPUT!M559),"")</f>
        <v>37</v>
      </c>
      <c r="D564" s="20">
        <f>IFERROR(YEAR(INPUT!M559),"")</f>
        <v>2025</v>
      </c>
      <c r="E564" t="str">
        <f>IF(INPUT!O559="","",INPUT!O559)</f>
        <v>JAIME</v>
      </c>
      <c r="F564" t="str">
        <f>IF(INPUT!N559="","",INPUT!N559)</f>
        <v>M</v>
      </c>
      <c r="G564" t="str" cm="1">
        <f t="array" ref="G564">IFERROR(VLOOKUP(INPUT!M559&amp;INPUT!N559,CHOOSE({1,2},INPUT!$A$3:$A$5000&amp;INPUT!$C$3:$C$5000,INPUT!$F$3:$F$5000),2,FALSE),"")</f>
        <v>PRE-TEMPORADA</v>
      </c>
      <c r="H564" t="str" cm="1">
        <f t="array" ref="H564">IFERROR(VLOOKUP(INPUT!M559&amp;INPUT!N559,CHOOSE({1,2},INPUT!$A$3:$A$5000&amp;INPUT!$C$3:$C$5000,INPUT!$D$3:$D$5000),2,FALSE),"")</f>
        <v>TEC-TAC</v>
      </c>
      <c r="I564" s="46">
        <f>IF(INPUT!P559="","",INPUT!P559)</f>
        <v>75</v>
      </c>
      <c r="J564" s="46">
        <f>IF(INPUT!Q559="","",INPUT!Q559)</f>
        <v>74.7</v>
      </c>
      <c r="K564" s="46">
        <f>IFERROR(IF(OR(INPUT!P559="",INPUT!Q559=""),"",INPUT!P559-INPUT!Q559),"")</f>
        <v>0.29999999999999716</v>
      </c>
      <c r="L564" s="48">
        <f>IFERROR(IF(OR(INPUT!P559="",INPUT!Q559="",INPUT!P559=0),"",(INPUT!P559-INPUT!Q559)/INPUT!P559),"")</f>
        <v>3.9999999999999619E-3</v>
      </c>
    </row>
    <row r="565" spans="1:12" ht="18" hidden="1" customHeight="1" x14ac:dyDescent="0.2">
      <c r="A565" s="11">
        <f>IF(INPUT!M560="","",INPUT!M560)</f>
        <v>45912</v>
      </c>
      <c r="B565" s="11">
        <f>IF(INPUT!M560="","",INPUT!M560-WEEKDAY(INPUT!M560,2)+1)</f>
        <v>45908</v>
      </c>
      <c r="C565" s="20">
        <f>IFERROR(_xlfn.ISOWEEKNUM(INPUT!M560),"")</f>
        <v>37</v>
      </c>
      <c r="D565" s="20">
        <f>IFERROR(YEAR(INPUT!M560),"")</f>
        <v>2025</v>
      </c>
      <c r="E565" t="str">
        <f>IF(INPUT!O560="","",INPUT!O560)</f>
        <v>HERRERO</v>
      </c>
      <c r="F565" t="str">
        <f>IF(INPUT!N560="","",INPUT!N560)</f>
        <v>M</v>
      </c>
      <c r="G565" t="str" cm="1">
        <f t="array" ref="G565">IFERROR(VLOOKUP(INPUT!M560&amp;INPUT!N560,CHOOSE({1,2},INPUT!$A$3:$A$5000&amp;INPUT!$C$3:$C$5000,INPUT!$F$3:$F$5000),2,FALSE),"")</f>
        <v>PRE-TEMPORADA</v>
      </c>
      <c r="H565" t="str" cm="1">
        <f t="array" ref="H565">IFERROR(VLOOKUP(INPUT!M560&amp;INPUT!N560,CHOOSE({1,2},INPUT!$A$3:$A$5000&amp;INPUT!$C$3:$C$5000,INPUT!$D$3:$D$5000),2,FALSE),"")</f>
        <v>TEC-TAC</v>
      </c>
      <c r="I565" s="46">
        <f>IF(INPUT!P560="","",INPUT!P560)</f>
        <v>76.8</v>
      </c>
      <c r="J565" s="46">
        <f>IF(INPUT!Q560="","",INPUT!Q560)</f>
        <v>76</v>
      </c>
      <c r="K565" s="46">
        <f>IFERROR(IF(OR(INPUT!P560="",INPUT!Q560=""),"",INPUT!P560-INPUT!Q560),"")</f>
        <v>0.79999999999999716</v>
      </c>
      <c r="L565" s="48">
        <f>IFERROR(IF(OR(INPUT!P560="",INPUT!Q560="",INPUT!P560=0),"",(INPUT!P560-INPUT!Q560)/INPUT!P560),"")</f>
        <v>1.041666666666663E-2</v>
      </c>
    </row>
    <row r="566" spans="1:12" ht="18" hidden="1" customHeight="1" x14ac:dyDescent="0.2">
      <c r="A566" s="11">
        <f>IF(INPUT!M561="","",INPUT!M561)</f>
        <v>45912</v>
      </c>
      <c r="B566" s="11">
        <f>IF(INPUT!M561="","",INPUT!M561-WEEKDAY(INPUT!M561,2)+1)</f>
        <v>45908</v>
      </c>
      <c r="C566" s="20">
        <f>IFERROR(_xlfn.ISOWEEKNUM(INPUT!M561),"")</f>
        <v>37</v>
      </c>
      <c r="D566" s="20">
        <f>IFERROR(YEAR(INPUT!M561),"")</f>
        <v>2025</v>
      </c>
      <c r="E566" t="str">
        <f>IF(INPUT!O561="","",INPUT!O561)</f>
        <v>GARCIA</v>
      </c>
      <c r="F566" t="str">
        <f>IF(INPUT!N561="","",INPUT!N561)</f>
        <v>M</v>
      </c>
      <c r="G566" t="str" cm="1">
        <f t="array" ref="G566">IFERROR(VLOOKUP(INPUT!M561&amp;INPUT!N561,CHOOSE({1,2},INPUT!$A$3:$A$5000&amp;INPUT!$C$3:$C$5000,INPUT!$F$3:$F$5000),2,FALSE),"")</f>
        <v>PRE-TEMPORADA</v>
      </c>
      <c r="H566" t="str" cm="1">
        <f t="array" ref="H566">IFERROR(VLOOKUP(INPUT!M561&amp;INPUT!N561,CHOOSE({1,2},INPUT!$A$3:$A$5000&amp;INPUT!$C$3:$C$5000,INPUT!$D$3:$D$5000),2,FALSE),"")</f>
        <v>TEC-TAC</v>
      </c>
      <c r="I566" s="46">
        <f>IF(INPUT!P561="","",INPUT!P561)</f>
        <v>79.400000000000006</v>
      </c>
      <c r="J566" s="46">
        <f>IF(INPUT!Q561="","",INPUT!Q561)</f>
        <v>79.3</v>
      </c>
      <c r="K566" s="46">
        <f>IFERROR(IF(OR(INPUT!P561="",INPUT!Q561=""),"",INPUT!P561-INPUT!Q561),"")</f>
        <v>0.10000000000000853</v>
      </c>
      <c r="L566" s="48">
        <f>IFERROR(IF(OR(INPUT!P561="",INPUT!Q561="",INPUT!P561=0),"",(INPUT!P561-INPUT!Q561)/INPUT!P561),"")</f>
        <v>1.2594458438288227E-3</v>
      </c>
    </row>
    <row r="567" spans="1:12" ht="18" hidden="1" customHeight="1" x14ac:dyDescent="0.2">
      <c r="A567" s="11">
        <f>IF(INPUT!M562="","",INPUT!M562)</f>
        <v>45912</v>
      </c>
      <c r="B567" s="11">
        <f>IF(INPUT!M562="","",INPUT!M562-WEEKDAY(INPUT!M562,2)+1)</f>
        <v>45908</v>
      </c>
      <c r="C567" s="20">
        <f>IFERROR(_xlfn.ISOWEEKNUM(INPUT!M562),"")</f>
        <v>37</v>
      </c>
      <c r="D567" s="20">
        <f>IFERROR(YEAR(INPUT!M562),"")</f>
        <v>2025</v>
      </c>
      <c r="E567" t="str">
        <f>IF(INPUT!O562="","",INPUT!O562)</f>
        <v>CECILIO</v>
      </c>
      <c r="F567" t="str">
        <f>IF(INPUT!N562="","",INPUT!N562)</f>
        <v>M</v>
      </c>
      <c r="G567" t="str" cm="1">
        <f t="array" ref="G567">IFERROR(VLOOKUP(INPUT!M562&amp;INPUT!N562,CHOOSE({1,2},INPUT!$A$3:$A$5000&amp;INPUT!$C$3:$C$5000,INPUT!$F$3:$F$5000),2,FALSE),"")</f>
        <v>PRE-TEMPORADA</v>
      </c>
      <c r="H567" t="str" cm="1">
        <f t="array" ref="H567">IFERROR(VLOOKUP(INPUT!M562&amp;INPUT!N562,CHOOSE({1,2},INPUT!$A$3:$A$5000&amp;INPUT!$C$3:$C$5000,INPUT!$D$3:$D$5000),2,FALSE),"")</f>
        <v>TEC-TAC</v>
      </c>
      <c r="I567" s="46">
        <f>IF(INPUT!P562="","",INPUT!P562)</f>
        <v>67.599999999999994</v>
      </c>
      <c r="J567" s="46">
        <f>IF(INPUT!Q562="","",INPUT!Q562)</f>
        <v>67.400000000000006</v>
      </c>
      <c r="K567" s="46">
        <f>IFERROR(IF(OR(INPUT!P562="",INPUT!Q562=""),"",INPUT!P562-INPUT!Q562),"")</f>
        <v>0.19999999999998863</v>
      </c>
      <c r="L567" s="48">
        <f>IFERROR(IF(OR(INPUT!P562="",INPUT!Q562="",INPUT!P562=0),"",(INPUT!P562-INPUT!Q562)/INPUT!P562),"")</f>
        <v>2.9585798816566368E-3</v>
      </c>
    </row>
    <row r="568" spans="1:12" ht="18" hidden="1" customHeight="1" x14ac:dyDescent="0.2">
      <c r="A568" s="11">
        <f>IF(INPUT!M563="","",INPUT!M563)</f>
        <v>45912</v>
      </c>
      <c r="B568" s="11">
        <f>IF(INPUT!M563="","",INPUT!M563-WEEKDAY(INPUT!M563,2)+1)</f>
        <v>45908</v>
      </c>
      <c r="C568" s="20">
        <f>IFERROR(_xlfn.ISOWEEKNUM(INPUT!M563),"")</f>
        <v>37</v>
      </c>
      <c r="D568" s="20">
        <f>IFERROR(YEAR(INPUT!M563),"")</f>
        <v>2025</v>
      </c>
      <c r="E568" t="str">
        <f>IF(INPUT!O563="","",INPUT!O563)</f>
        <v>CHAGUINHA</v>
      </c>
      <c r="F568" t="str">
        <f>IF(INPUT!N563="","",INPUT!N563)</f>
        <v>M</v>
      </c>
      <c r="G568" t="str" cm="1">
        <f t="array" ref="G568">IFERROR(VLOOKUP(INPUT!M563&amp;INPUT!N563,CHOOSE({1,2},INPUT!$A$3:$A$5000&amp;INPUT!$C$3:$C$5000,INPUT!$F$3:$F$5000),2,FALSE),"")</f>
        <v>PRE-TEMPORADA</v>
      </c>
      <c r="H568" t="str" cm="1">
        <f t="array" ref="H568">IFERROR(VLOOKUP(INPUT!M563&amp;INPUT!N563,CHOOSE({1,2},INPUT!$A$3:$A$5000&amp;INPUT!$C$3:$C$5000,INPUT!$D$3:$D$5000),2,FALSE),"")</f>
        <v>TEC-TAC</v>
      </c>
      <c r="I568" s="46">
        <f>IF(INPUT!P563="","",INPUT!P563)</f>
        <v>69.2</v>
      </c>
      <c r="J568" s="46">
        <f>IF(INPUT!Q563="","",INPUT!Q563)</f>
        <v>69</v>
      </c>
      <c r="K568" s="46">
        <f>IFERROR(IF(OR(INPUT!P563="",INPUT!Q563=""),"",INPUT!P563-INPUT!Q563),"")</f>
        <v>0.20000000000000284</v>
      </c>
      <c r="L568" s="48">
        <f>IFERROR(IF(OR(INPUT!P563="",INPUT!Q563="",INPUT!P563=0),"",(INPUT!P563-INPUT!Q563)/INPUT!P563),"")</f>
        <v>2.8901734104046653E-3</v>
      </c>
    </row>
    <row r="569" spans="1:12" ht="18" hidden="1" customHeight="1" x14ac:dyDescent="0.2">
      <c r="A569" s="11">
        <f>IF(INPUT!M564="","",INPUT!M564)</f>
        <v>45912</v>
      </c>
      <c r="B569" s="11">
        <f>IF(INPUT!M564="","",INPUT!M564-WEEKDAY(INPUT!M564,2)+1)</f>
        <v>45908</v>
      </c>
      <c r="C569" s="20">
        <f>IFERROR(_xlfn.ISOWEEKNUM(INPUT!M564),"")</f>
        <v>37</v>
      </c>
      <c r="D569" s="20">
        <f>IFERROR(YEAR(INPUT!M564),"")</f>
        <v>2025</v>
      </c>
      <c r="E569" t="str">
        <f>IF(INPUT!O564="","",INPUT!O564)</f>
        <v>RAUL</v>
      </c>
      <c r="F569" t="str">
        <f>IF(INPUT!N564="","",INPUT!N564)</f>
        <v>M</v>
      </c>
      <c r="G569" t="str" cm="1">
        <f t="array" ref="G569">IFERROR(VLOOKUP(INPUT!M564&amp;INPUT!N564,CHOOSE({1,2},INPUT!$A$3:$A$5000&amp;INPUT!$C$3:$C$5000,INPUT!$F$3:$F$5000),2,FALSE),"")</f>
        <v>PRE-TEMPORADA</v>
      </c>
      <c r="H569" t="str" cm="1">
        <f t="array" ref="H569">IFERROR(VLOOKUP(INPUT!M564&amp;INPUT!N564,CHOOSE({1,2},INPUT!$A$3:$A$5000&amp;INPUT!$C$3:$C$5000,INPUT!$D$3:$D$5000),2,FALSE),"")</f>
        <v>TEC-TAC</v>
      </c>
      <c r="I569" s="46">
        <f>IF(INPUT!P564="","",INPUT!P564)</f>
        <v>79.599999999999994</v>
      </c>
      <c r="J569" s="46">
        <f>IF(INPUT!Q564="","",INPUT!Q564)</f>
        <v>80.099999999999994</v>
      </c>
      <c r="K569" s="46">
        <f>IFERROR(IF(OR(INPUT!P564="",INPUT!Q564=""),"",INPUT!P564-INPUT!Q564),"")</f>
        <v>-0.5</v>
      </c>
      <c r="L569" s="48">
        <f>IFERROR(IF(OR(INPUT!P564="",INPUT!Q564="",INPUT!P564=0),"",(INPUT!P564-INPUT!Q564)/INPUT!P564),"")</f>
        <v>-6.2814070351758797E-3</v>
      </c>
    </row>
    <row r="570" spans="1:12" ht="18" hidden="1" customHeight="1" x14ac:dyDescent="0.2">
      <c r="A570" s="11">
        <f>IF(INPUT!M565="","",INPUT!M565)</f>
        <v>45912</v>
      </c>
      <c r="B570" s="11">
        <f>IF(INPUT!M565="","",INPUT!M565-WEEKDAY(INPUT!M565,2)+1)</f>
        <v>45908</v>
      </c>
      <c r="C570" s="20">
        <f>IFERROR(_xlfn.ISOWEEKNUM(INPUT!M565),"")</f>
        <v>37</v>
      </c>
      <c r="D570" s="20">
        <f>IFERROR(YEAR(INPUT!M565),"")</f>
        <v>2025</v>
      </c>
      <c r="E570" t="str">
        <f>IF(INPUT!O565="","",INPUT!O565)</f>
        <v>HARRISON</v>
      </c>
      <c r="F570" t="str">
        <f>IF(INPUT!N565="","",INPUT!N565)</f>
        <v>M</v>
      </c>
      <c r="G570" t="str" cm="1">
        <f t="array" ref="G570">IFERROR(VLOOKUP(INPUT!M565&amp;INPUT!N565,CHOOSE({1,2},INPUT!$A$3:$A$5000&amp;INPUT!$C$3:$C$5000,INPUT!$F$3:$F$5000),2,FALSE),"")</f>
        <v>PRE-TEMPORADA</v>
      </c>
      <c r="H570" t="str" cm="1">
        <f t="array" ref="H570">IFERROR(VLOOKUP(INPUT!M565&amp;INPUT!N565,CHOOSE({1,2},INPUT!$A$3:$A$5000&amp;INPUT!$C$3:$C$5000,INPUT!$D$3:$D$5000),2,FALSE),"")</f>
        <v>TEC-TAC</v>
      </c>
      <c r="I570" s="46">
        <f>IF(INPUT!P565="","",INPUT!P565)</f>
        <v>70.7</v>
      </c>
      <c r="J570" s="46">
        <f>IF(INPUT!Q565="","",INPUT!Q565)</f>
        <v>70.599999999999994</v>
      </c>
      <c r="K570" s="46">
        <f>IFERROR(IF(OR(INPUT!P565="",INPUT!Q565=""),"",INPUT!P565-INPUT!Q565),"")</f>
        <v>0.10000000000000853</v>
      </c>
      <c r="L570" s="48">
        <f>IFERROR(IF(OR(INPUT!P565="",INPUT!Q565="",INPUT!P565=0),"",(INPUT!P565-INPUT!Q565)/INPUT!P565),"")</f>
        <v>1.414427157001535E-3</v>
      </c>
    </row>
    <row r="571" spans="1:12" ht="18" hidden="1" customHeight="1" x14ac:dyDescent="0.2">
      <c r="A571" s="11">
        <f>IF(INPUT!M566="","",INPUT!M566)</f>
        <v>45912</v>
      </c>
      <c r="B571" s="11">
        <f>IF(INPUT!M566="","",INPUT!M566-WEEKDAY(INPUT!M566,2)+1)</f>
        <v>45908</v>
      </c>
      <c r="C571" s="20">
        <f>IFERROR(_xlfn.ISOWEEKNUM(INPUT!M566),"")</f>
        <v>37</v>
      </c>
      <c r="D571" s="20">
        <f>IFERROR(YEAR(INPUT!M566),"")</f>
        <v>2025</v>
      </c>
      <c r="E571" t="str">
        <f>IF(INPUT!O566="","",INPUT!O566)</f>
        <v>RAYA</v>
      </c>
      <c r="F571" t="str">
        <f>IF(INPUT!N566="","",INPUT!N566)</f>
        <v>M</v>
      </c>
      <c r="G571" t="str" cm="1">
        <f t="array" ref="G571">IFERROR(VLOOKUP(INPUT!M566&amp;INPUT!N566,CHOOSE({1,2},INPUT!$A$3:$A$5000&amp;INPUT!$C$3:$C$5000,INPUT!$F$3:$F$5000),2,FALSE),"")</f>
        <v>PRE-TEMPORADA</v>
      </c>
      <c r="H571" t="str" cm="1">
        <f t="array" ref="H571">IFERROR(VLOOKUP(INPUT!M566&amp;INPUT!N566,CHOOSE({1,2},INPUT!$A$3:$A$5000&amp;INPUT!$C$3:$C$5000,INPUT!$D$3:$D$5000),2,FALSE),"")</f>
        <v>TEC-TAC</v>
      </c>
      <c r="I571" s="46">
        <f>IF(INPUT!P566="","",INPUT!P566)</f>
        <v>82.2</v>
      </c>
      <c r="J571" s="46">
        <f>IF(INPUT!Q566="","",INPUT!Q566)</f>
        <v>80.8</v>
      </c>
      <c r="K571" s="46">
        <f>IFERROR(IF(OR(INPUT!P566="",INPUT!Q566=""),"",INPUT!P566-INPUT!Q566),"")</f>
        <v>1.4000000000000057</v>
      </c>
      <c r="L571" s="48">
        <f>IFERROR(IF(OR(INPUT!P566="",INPUT!Q566="",INPUT!P566=0),"",(INPUT!P566-INPUT!Q566)/INPUT!P566),"")</f>
        <v>1.7031630170316371E-2</v>
      </c>
    </row>
    <row r="572" spans="1:12" ht="18" hidden="1" customHeight="1" x14ac:dyDescent="0.2">
      <c r="A572" s="11">
        <f>IF(INPUT!M567="","",INPUT!M567)</f>
        <v>45912</v>
      </c>
      <c r="B572" s="11">
        <f>IF(INPUT!M567="","",INPUT!M567-WEEKDAY(INPUT!M567,2)+1)</f>
        <v>45908</v>
      </c>
      <c r="C572" s="20">
        <f>IFERROR(_xlfn.ISOWEEKNUM(INPUT!M567),"")</f>
        <v>37</v>
      </c>
      <c r="D572" s="20">
        <f>IFERROR(YEAR(INPUT!M567),"")</f>
        <v>2025</v>
      </c>
      <c r="E572" t="str">
        <f>IF(INPUT!O567="","",INPUT!O567)</f>
        <v>JAVI</v>
      </c>
      <c r="F572" t="str">
        <f>IF(INPUT!N567="","",INPUT!N567)</f>
        <v>M</v>
      </c>
      <c r="G572" t="str" cm="1">
        <f t="array" ref="G572">IFERROR(VLOOKUP(INPUT!M567&amp;INPUT!N567,CHOOSE({1,2},INPUT!$A$3:$A$5000&amp;INPUT!$C$3:$C$5000,INPUT!$F$3:$F$5000),2,FALSE),"")</f>
        <v>PRE-TEMPORADA</v>
      </c>
      <c r="H572" t="str" cm="1">
        <f t="array" ref="H572">IFERROR(VLOOKUP(INPUT!M567&amp;INPUT!N567,CHOOSE({1,2},INPUT!$A$3:$A$5000&amp;INPUT!$C$3:$C$5000,INPUT!$D$3:$D$5000),2,FALSE),"")</f>
        <v>TEC-TAC</v>
      </c>
      <c r="I572" s="46">
        <f>IF(INPUT!P567="","",INPUT!P567)</f>
        <v>79.2</v>
      </c>
      <c r="J572" s="46">
        <f>IF(INPUT!Q567="","",INPUT!Q567)</f>
        <v>79.3</v>
      </c>
      <c r="K572" s="46">
        <f>IFERROR(IF(OR(INPUT!P567="",INPUT!Q567=""),"",INPUT!P567-INPUT!Q567),"")</f>
        <v>-9.9999999999994316E-2</v>
      </c>
      <c r="L572" s="48">
        <f>IFERROR(IF(OR(INPUT!P567="",INPUT!Q567="",INPUT!P567=0),"",(INPUT!P567-INPUT!Q567)/INPUT!P567),"")</f>
        <v>-1.2626262626261907E-3</v>
      </c>
    </row>
    <row r="573" spans="1:12" ht="18" hidden="1" customHeight="1" x14ac:dyDescent="0.2">
      <c r="A573" s="11">
        <f>IF(INPUT!M568="","",INPUT!M568)</f>
        <v>45912</v>
      </c>
      <c r="B573" s="11">
        <f>IF(INPUT!M568="","",INPUT!M568-WEEKDAY(INPUT!M568,2)+1)</f>
        <v>45908</v>
      </c>
      <c r="C573" s="20">
        <f>IFERROR(_xlfn.ISOWEEKNUM(INPUT!M568),"")</f>
        <v>37</v>
      </c>
      <c r="D573" s="20">
        <f>IFERROR(YEAR(INPUT!M568),"")</f>
        <v>2025</v>
      </c>
      <c r="E573" t="str">
        <f>IF(INPUT!O568="","",INPUT!O568)</f>
        <v>PANI</v>
      </c>
      <c r="F573" t="str">
        <f>IF(INPUT!N568="","",INPUT!N568)</f>
        <v>M</v>
      </c>
      <c r="G573" t="str" cm="1">
        <f t="array" ref="G573">IFERROR(VLOOKUP(INPUT!M568&amp;INPUT!N568,CHOOSE({1,2},INPUT!$A$3:$A$5000&amp;INPUT!$C$3:$C$5000,INPUT!$F$3:$F$5000),2,FALSE),"")</f>
        <v>PRE-TEMPORADA</v>
      </c>
      <c r="H573" t="str" cm="1">
        <f t="array" ref="H573">IFERROR(VLOOKUP(INPUT!M568&amp;INPUT!N568,CHOOSE({1,2},INPUT!$A$3:$A$5000&amp;INPUT!$C$3:$C$5000,INPUT!$D$3:$D$5000),2,FALSE),"")</f>
        <v>TEC-TAC</v>
      </c>
      <c r="I573" s="46">
        <f>IF(INPUT!P568="","",INPUT!P568)</f>
        <v>71.400000000000006</v>
      </c>
      <c r="J573" s="46">
        <f>IF(INPUT!Q568="","",INPUT!Q568)</f>
        <v>70.400000000000006</v>
      </c>
      <c r="K573" s="46">
        <f>IFERROR(IF(OR(INPUT!P568="",INPUT!Q568=""),"",INPUT!P568-INPUT!Q568),"")</f>
        <v>1</v>
      </c>
      <c r="L573" s="48">
        <f>IFERROR(IF(OR(INPUT!P568="",INPUT!Q568="",INPUT!P568=0),"",(INPUT!P568-INPUT!Q568)/INPUT!P568),"")</f>
        <v>1.4005602240896357E-2</v>
      </c>
    </row>
    <row r="574" spans="1:12" ht="18" hidden="1" customHeight="1" x14ac:dyDescent="0.2">
      <c r="A574" s="11">
        <f>IF(INPUT!M569="","",INPUT!M569)</f>
        <v>45912</v>
      </c>
      <c r="B574" s="11">
        <f>IF(INPUT!M569="","",INPUT!M569-WEEKDAY(INPUT!M569,2)+1)</f>
        <v>45908</v>
      </c>
      <c r="C574" s="20">
        <f>IFERROR(_xlfn.ISOWEEKNUM(INPUT!M569),"")</f>
        <v>37</v>
      </c>
      <c r="D574" s="20">
        <f>IFERROR(YEAR(INPUT!M569),"")</f>
        <v>2025</v>
      </c>
      <c r="E574" t="str">
        <f>IF(INPUT!O569="","",INPUT!O569)</f>
        <v>PIRATA</v>
      </c>
      <c r="F574" t="str">
        <f>IF(INPUT!N569="","",INPUT!N569)</f>
        <v>M</v>
      </c>
      <c r="G574" t="str" cm="1">
        <f t="array" ref="G574">IFERROR(VLOOKUP(INPUT!M569&amp;INPUT!N569,CHOOSE({1,2},INPUT!$A$3:$A$5000&amp;INPUT!$C$3:$C$5000,INPUT!$F$3:$F$5000),2,FALSE),"")</f>
        <v>PRE-TEMPORADA</v>
      </c>
      <c r="H574" t="str" cm="1">
        <f t="array" ref="H574">IFERROR(VLOOKUP(INPUT!M569&amp;INPUT!N569,CHOOSE({1,2},INPUT!$A$3:$A$5000&amp;INPUT!$C$3:$C$5000,INPUT!$D$3:$D$5000),2,FALSE),"")</f>
        <v>TEC-TAC</v>
      </c>
      <c r="I574" s="46">
        <f>IF(INPUT!P569="","",INPUT!P569)</f>
        <v>74.7</v>
      </c>
      <c r="J574" s="46">
        <f>IF(INPUT!Q569="","",INPUT!Q569)</f>
        <v>74.5</v>
      </c>
      <c r="K574" s="46">
        <f>IFERROR(IF(OR(INPUT!P569="",INPUT!Q569=""),"",INPUT!P569-INPUT!Q569),"")</f>
        <v>0.20000000000000284</v>
      </c>
      <c r="L574" s="48">
        <f>IFERROR(IF(OR(INPUT!P569="",INPUT!Q569="",INPUT!P569=0),"",(INPUT!P569-INPUT!Q569)/INPUT!P569),"")</f>
        <v>2.677376171352113E-3</v>
      </c>
    </row>
    <row r="575" spans="1:12" ht="18" hidden="1" customHeight="1" x14ac:dyDescent="0.2">
      <c r="A575" s="11">
        <f>IF(INPUT!M570="","",INPUT!M570)</f>
        <v>45912</v>
      </c>
      <c r="B575" s="11">
        <f>IF(INPUT!M570="","",INPUT!M570-WEEKDAY(INPUT!M570,2)+1)</f>
        <v>45908</v>
      </c>
      <c r="C575" s="20">
        <f>IFERROR(_xlfn.ISOWEEKNUM(INPUT!M570),"")</f>
        <v>37</v>
      </c>
      <c r="D575" s="20">
        <f>IFERROR(YEAR(INPUT!M570),"")</f>
        <v>2025</v>
      </c>
      <c r="E575" t="str">
        <f>IF(INPUT!O570="","",INPUT!O570)</f>
        <v>BARONA</v>
      </c>
      <c r="F575" t="str">
        <f>IF(INPUT!N570="","",INPUT!N570)</f>
        <v>M</v>
      </c>
      <c r="G575" t="str" cm="1">
        <f t="array" ref="G575">IFERROR(VLOOKUP(INPUT!M570&amp;INPUT!N570,CHOOSE({1,2},INPUT!$A$3:$A$5000&amp;INPUT!$C$3:$C$5000,INPUT!$F$3:$F$5000),2,FALSE),"")</f>
        <v>PRE-TEMPORADA</v>
      </c>
      <c r="H575" t="str" cm="1">
        <f t="array" ref="H575">IFERROR(VLOOKUP(INPUT!M570&amp;INPUT!N570,CHOOSE({1,2},INPUT!$A$3:$A$5000&amp;INPUT!$C$3:$C$5000,INPUT!$D$3:$D$5000),2,FALSE),"")</f>
        <v>TEC-TAC</v>
      </c>
      <c r="I575" s="46">
        <f>IF(INPUT!P570="","",INPUT!P570)</f>
        <v>71.400000000000006</v>
      </c>
      <c r="J575" s="46">
        <f>IF(INPUT!Q570="","",INPUT!Q570)</f>
        <v>70.900000000000006</v>
      </c>
      <c r="K575" s="46">
        <f>IFERROR(IF(OR(INPUT!P570="",INPUT!Q570=""),"",INPUT!P570-INPUT!Q570),"")</f>
        <v>0.5</v>
      </c>
      <c r="L575" s="48">
        <f>IFERROR(IF(OR(INPUT!P570="",INPUT!Q570="",INPUT!P570=0),"",(INPUT!P570-INPUT!Q570)/INPUT!P570),"")</f>
        <v>7.0028011204481787E-3</v>
      </c>
    </row>
    <row r="576" spans="1:12" ht="18" hidden="1" customHeight="1" x14ac:dyDescent="0.2">
      <c r="A576" s="11">
        <f>IF(INPUT!M571="","",INPUT!M571)</f>
        <v>45912</v>
      </c>
      <c r="B576" s="11">
        <f>IF(INPUT!M571="","",INPUT!M571-WEEKDAY(INPUT!M571,2)+1)</f>
        <v>45908</v>
      </c>
      <c r="C576" s="20">
        <f>IFERROR(_xlfn.ISOWEEKNUM(INPUT!M571),"")</f>
        <v>37</v>
      </c>
      <c r="D576" s="20">
        <f>IFERROR(YEAR(INPUT!M571),"")</f>
        <v>2025</v>
      </c>
      <c r="E576" t="str">
        <f>IF(INPUT!O571="","",INPUT!O571)</f>
        <v>CARLOS</v>
      </c>
      <c r="F576" t="str">
        <f>IF(INPUT!N571="","",INPUT!N571)</f>
        <v>M</v>
      </c>
      <c r="G576" t="str" cm="1">
        <f t="array" ref="G576">IFERROR(VLOOKUP(INPUT!M571&amp;INPUT!N571,CHOOSE({1,2},INPUT!$A$3:$A$5000&amp;INPUT!$C$3:$C$5000,INPUT!$F$3:$F$5000),2,FALSE),"")</f>
        <v>PRE-TEMPORADA</v>
      </c>
      <c r="H576" t="str" cm="1">
        <f t="array" ref="H576">IFERROR(VLOOKUP(INPUT!M571&amp;INPUT!N571,CHOOSE({1,2},INPUT!$A$3:$A$5000&amp;INPUT!$C$3:$C$5000,INPUT!$D$3:$D$5000),2,FALSE),"")</f>
        <v>TEC-TAC</v>
      </c>
      <c r="I576" s="46">
        <f>IF(INPUT!P571="","",INPUT!P571)</f>
        <v>66.5</v>
      </c>
      <c r="J576" s="46">
        <f>IF(INPUT!Q571="","",INPUT!Q571)</f>
        <v>66.3</v>
      </c>
      <c r="K576" s="46">
        <f>IFERROR(IF(OR(INPUT!P571="",INPUT!Q571=""),"",INPUT!P571-INPUT!Q571),"")</f>
        <v>0.20000000000000284</v>
      </c>
      <c r="L576" s="48">
        <f>IFERROR(IF(OR(INPUT!P571="",INPUT!Q571="",INPUT!P571=0),"",(INPUT!P571-INPUT!Q571)/INPUT!P571),"")</f>
        <v>3.0075187969925239E-3</v>
      </c>
    </row>
    <row r="577" spans="1:12" ht="18" customHeight="1" x14ac:dyDescent="0.2">
      <c r="A577" s="11">
        <f>IF(INPUT!M572="","",INPUT!M572)</f>
        <v>45912</v>
      </c>
      <c r="B577" s="11">
        <f>IF(INPUT!M572="","",INPUT!M572-WEEKDAY(INPUT!M572,2)+1)</f>
        <v>45908</v>
      </c>
      <c r="C577" s="20">
        <f>IFERROR(_xlfn.ISOWEEKNUM(INPUT!M572),"")</f>
        <v>37</v>
      </c>
      <c r="D577" s="20">
        <f>IFERROR(YEAR(INPUT!M572),"")</f>
        <v>2025</v>
      </c>
      <c r="E577" t="str">
        <f>IF(INPUT!O572="","",INPUT!O572)</f>
        <v>GONZALO</v>
      </c>
      <c r="F577" t="str">
        <f>IF(INPUT!N572="","",INPUT!N572)</f>
        <v>M</v>
      </c>
      <c r="G577" t="str" cm="1">
        <f t="array" ref="G577">IFERROR(VLOOKUP(INPUT!M572&amp;INPUT!N572,CHOOSE({1,2},INPUT!$A$3:$A$5000&amp;INPUT!$C$3:$C$5000,INPUT!$F$3:$F$5000),2,FALSE),"")</f>
        <v>PRE-TEMPORADA</v>
      </c>
      <c r="H577" t="str" cm="1">
        <f t="array" ref="H577">IFERROR(VLOOKUP(INPUT!M572&amp;INPUT!N572,CHOOSE({1,2},INPUT!$A$3:$A$5000&amp;INPUT!$C$3:$C$5000,INPUT!$D$3:$D$5000),2,FALSE),"")</f>
        <v>TEC-TAC</v>
      </c>
      <c r="I577" s="46">
        <f>IF(INPUT!P572="","",INPUT!P572)</f>
        <v>84.6</v>
      </c>
      <c r="J577" s="46">
        <f>IF(INPUT!Q572="","",INPUT!Q572)</f>
        <v>84.7</v>
      </c>
      <c r="K577" s="46">
        <f>IFERROR(IF(OR(INPUT!P572="",INPUT!Q572=""),"",INPUT!P572-INPUT!Q572),"")</f>
        <v>-0.10000000000000853</v>
      </c>
      <c r="L577" s="48">
        <f>IFERROR(IF(OR(INPUT!P572="",INPUT!Q572="",INPUT!P572=0),"",(INPUT!P572-INPUT!Q572)/INPUT!P572),"")</f>
        <v>-1.1820330969268148E-3</v>
      </c>
    </row>
    <row r="578" spans="1:12" ht="18" customHeight="1" x14ac:dyDescent="0.2">
      <c r="A578" s="11">
        <f>IF(INPUT!M573="","",INPUT!M573)</f>
        <v>45912</v>
      </c>
      <c r="B578" s="11">
        <f>IF(INPUT!M573="","",INPUT!M573-WEEKDAY(INPUT!M573,2)+1)</f>
        <v>45908</v>
      </c>
      <c r="C578" s="20">
        <f>IFERROR(_xlfn.ISOWEEKNUM(INPUT!M573),"")</f>
        <v>37</v>
      </c>
      <c r="D578" s="20">
        <f>IFERROR(YEAR(INPUT!M573),"")</f>
        <v>2025</v>
      </c>
      <c r="E578" t="str">
        <f>IF(INPUT!O573="","",INPUT!O573)</f>
        <v>RUBIO</v>
      </c>
      <c r="F578" t="str">
        <f>IF(INPUT!N573="","",INPUT!N573)</f>
        <v>M</v>
      </c>
      <c r="G578" t="str" cm="1">
        <f t="array" ref="G578">IFERROR(VLOOKUP(INPUT!M573&amp;INPUT!N573,CHOOSE({1,2},INPUT!$A$3:$A$5000&amp;INPUT!$C$3:$C$5000,INPUT!$F$3:$F$5000),2,FALSE),"")</f>
        <v>PRE-TEMPORADA</v>
      </c>
      <c r="H578" t="str" cm="1">
        <f t="array" ref="H578">IFERROR(VLOOKUP(INPUT!M573&amp;INPUT!N573,CHOOSE({1,2},INPUT!$A$3:$A$5000&amp;INPUT!$C$3:$C$5000,INPUT!$D$3:$D$5000),2,FALSE),"")</f>
        <v>TEC-TAC</v>
      </c>
      <c r="I578" s="46">
        <f>IF(INPUT!P573="","",INPUT!P573)</f>
        <v>75.099999999999994</v>
      </c>
      <c r="J578" s="46">
        <f>IF(INPUT!Q573="","",INPUT!Q573)</f>
        <v>75.2</v>
      </c>
      <c r="K578" s="46">
        <f>IFERROR(IF(OR(INPUT!P573="",INPUT!Q573=""),"",INPUT!P573-INPUT!Q573),"")</f>
        <v>-0.10000000000000853</v>
      </c>
      <c r="L578" s="48">
        <f>IFERROR(IF(OR(INPUT!P573="",INPUT!Q573="",INPUT!P573=0),"",(INPUT!P573-INPUT!Q573)/INPUT!P573),"")</f>
        <v>-1.3315579227697542E-3</v>
      </c>
    </row>
    <row r="579" spans="1:12" ht="18" customHeight="1" x14ac:dyDescent="0.2">
      <c r="A579" s="11">
        <f>IF(INPUT!M574="","",INPUT!M574)</f>
        <v>45912</v>
      </c>
      <c r="B579" s="11">
        <f>IF(INPUT!M574="","",INPUT!M574-WEEKDAY(INPUT!M574,2)+1)</f>
        <v>45908</v>
      </c>
      <c r="C579" s="20">
        <f>IFERROR(_xlfn.ISOWEEKNUM(INPUT!M574),"")</f>
        <v>37</v>
      </c>
      <c r="D579" s="20">
        <f>IFERROR(YEAR(INPUT!M574),"")</f>
        <v>2025</v>
      </c>
      <c r="E579" t="str">
        <f>IF(INPUT!O574="","",INPUT!O574)</f>
        <v>JAIME</v>
      </c>
      <c r="F579" t="str">
        <f>IF(INPUT!N574="","",INPUT!N574)</f>
        <v>M</v>
      </c>
      <c r="G579" t="str" cm="1">
        <f t="array" ref="G579">IFERROR(VLOOKUP(INPUT!M574&amp;INPUT!N574,CHOOSE({1,2},INPUT!$A$3:$A$5000&amp;INPUT!$C$3:$C$5000,INPUT!$F$3:$F$5000),2,FALSE),"")</f>
        <v>PRE-TEMPORADA</v>
      </c>
      <c r="H579" t="str" cm="1">
        <f t="array" ref="H579">IFERROR(VLOOKUP(INPUT!M574&amp;INPUT!N574,CHOOSE({1,2},INPUT!$A$3:$A$5000&amp;INPUT!$C$3:$C$5000,INPUT!$D$3:$D$5000),2,FALSE),"")</f>
        <v>TEC-TAC</v>
      </c>
      <c r="I579" s="46">
        <f>IF(INPUT!P574="","",INPUT!P574)</f>
        <v>75.7</v>
      </c>
      <c r="J579" s="46">
        <f>IF(INPUT!Q574="","",INPUT!Q574)</f>
        <v>74.900000000000006</v>
      </c>
      <c r="K579" s="46">
        <f>IFERROR(IF(OR(INPUT!P574="",INPUT!Q574=""),"",INPUT!P574-INPUT!Q574),"")</f>
        <v>0.79999999999999716</v>
      </c>
      <c r="L579" s="48">
        <f>IFERROR(IF(OR(INPUT!P574="",INPUT!Q574="",INPUT!P574=0),"",(INPUT!P574-INPUT!Q574)/INPUT!P574),"")</f>
        <v>1.0568031704095074E-2</v>
      </c>
    </row>
    <row r="580" spans="1:12" ht="18" hidden="1" customHeight="1" x14ac:dyDescent="0.2">
      <c r="A580" s="11">
        <f>IF(INPUT!M575="","",INPUT!M575)</f>
        <v>45915</v>
      </c>
      <c r="B580" s="11">
        <f>IF(INPUT!M575="","",INPUT!M575-WEEKDAY(INPUT!M575,2)+1)</f>
        <v>45915</v>
      </c>
      <c r="C580" s="20">
        <f>IFERROR(_xlfn.ISOWEEKNUM(INPUT!M575),"")</f>
        <v>38</v>
      </c>
      <c r="D580" s="20">
        <f>IFERROR(YEAR(INPUT!M575),"")</f>
        <v>2025</v>
      </c>
      <c r="E580" t="str">
        <f>IF(INPUT!O575="","",INPUT!O575)</f>
        <v>HERRERO</v>
      </c>
      <c r="F580" t="str">
        <f>IF(INPUT!N575="","",INPUT!N575)</f>
        <v>M</v>
      </c>
      <c r="G580" t="str" cm="1">
        <f t="array" ref="G580">IFERROR(VLOOKUP(INPUT!M575&amp;INPUT!N575,CHOOSE({1,2},INPUT!$A$3:$A$5000&amp;INPUT!$C$3:$C$5000,INPUT!$F$3:$F$5000),2,FALSE),"")</f>
        <v>PRE-TEMPORADA</v>
      </c>
      <c r="H580" t="str" cm="1">
        <f t="array" ref="H580">IFERROR(VLOOKUP(INPUT!M575&amp;INPUT!N575,CHOOSE({1,2},INPUT!$A$3:$A$5000&amp;INPUT!$C$3:$C$5000,INPUT!$D$3:$D$5000),2,FALSE),"")</f>
        <v>FISICO</v>
      </c>
      <c r="I580" s="46">
        <f>IF(INPUT!P575="","",INPUT!P575)</f>
        <v>77</v>
      </c>
      <c r="J580" s="46">
        <f>IF(INPUT!Q575="","",INPUT!Q575)</f>
        <v>76</v>
      </c>
      <c r="K580" s="46">
        <f>IFERROR(IF(OR(INPUT!P575="",INPUT!Q575=""),"",INPUT!P575-INPUT!Q575),"")</f>
        <v>1</v>
      </c>
      <c r="L580" s="48">
        <f>IFERROR(IF(OR(INPUT!P575="",INPUT!Q575="",INPUT!P575=0),"",(INPUT!P575-INPUT!Q575)/INPUT!P575),"")</f>
        <v>1.2987012987012988E-2</v>
      </c>
    </row>
    <row r="581" spans="1:12" ht="18" hidden="1" customHeight="1" x14ac:dyDescent="0.2">
      <c r="A581" s="11">
        <f>IF(INPUT!M576="","",INPUT!M576)</f>
        <v>45915</v>
      </c>
      <c r="B581" s="11">
        <f>IF(INPUT!M576="","",INPUT!M576-WEEKDAY(INPUT!M576,2)+1)</f>
        <v>45915</v>
      </c>
      <c r="C581" s="20">
        <f>IFERROR(_xlfn.ISOWEEKNUM(INPUT!M576),"")</f>
        <v>38</v>
      </c>
      <c r="D581" s="20">
        <f>IFERROR(YEAR(INPUT!M576),"")</f>
        <v>2025</v>
      </c>
      <c r="E581" t="str">
        <f>IF(INPUT!O576="","",INPUT!O576)</f>
        <v>HERRERO</v>
      </c>
      <c r="F581" t="str">
        <f>IF(INPUT!N576="","",INPUT!N576)</f>
        <v>T</v>
      </c>
      <c r="G581" t="str" cm="1">
        <f t="array" ref="G581">IFERROR(VLOOKUP(INPUT!M576&amp;INPUT!N576,CHOOSE({1,2},INPUT!$A$3:$A$5000&amp;INPUT!$C$3:$C$5000,INPUT!$F$3:$F$5000),2,FALSE),"")</f>
        <v>PRE-TEMPORADA</v>
      </c>
      <c r="H581" t="str" cm="1">
        <f t="array" ref="H581">IFERROR(VLOOKUP(INPUT!M576&amp;INPUT!N576,CHOOSE({1,2},INPUT!$A$3:$A$5000&amp;INPUT!$C$3:$C$5000,INPUT!$D$3:$D$5000),2,FALSE),"")</f>
        <v>TEC-TAC</v>
      </c>
      <c r="I581" s="46">
        <f>IF(INPUT!P576="","",INPUT!P576)</f>
        <v>76.900000000000006</v>
      </c>
      <c r="J581" s="46">
        <f>IF(INPUT!Q576="","",INPUT!Q576)</f>
        <v>75.8</v>
      </c>
      <c r="K581" s="46">
        <f>IFERROR(IF(OR(INPUT!P576="",INPUT!Q576=""),"",INPUT!P576-INPUT!Q576),"")</f>
        <v>1.1000000000000085</v>
      </c>
      <c r="L581" s="48">
        <f>IFERROR(IF(OR(INPUT!P576="",INPUT!Q576="",INPUT!P576=0),"",(INPUT!P576-INPUT!Q576)/INPUT!P576),"")</f>
        <v>1.4304291287386325E-2</v>
      </c>
    </row>
    <row r="582" spans="1:12" ht="18" hidden="1" customHeight="1" x14ac:dyDescent="0.2">
      <c r="A582" s="11">
        <f>IF(INPUT!M577="","",INPUT!M577)</f>
        <v>45915</v>
      </c>
      <c r="B582" s="11">
        <f>IF(INPUT!M577="","",INPUT!M577-WEEKDAY(INPUT!M577,2)+1)</f>
        <v>45915</v>
      </c>
      <c r="C582" s="20">
        <f>IFERROR(_xlfn.ISOWEEKNUM(INPUT!M577),"")</f>
        <v>38</v>
      </c>
      <c r="D582" s="20">
        <f>IFERROR(YEAR(INPUT!M577),"")</f>
        <v>2025</v>
      </c>
      <c r="E582" t="str">
        <f>IF(INPUT!O577="","",INPUT!O577)</f>
        <v>GARCIA</v>
      </c>
      <c r="F582" t="str">
        <f>IF(INPUT!N577="","",INPUT!N577)</f>
        <v>M</v>
      </c>
      <c r="G582" t="str" cm="1">
        <f t="array" ref="G582">IFERROR(VLOOKUP(INPUT!M577&amp;INPUT!N577,CHOOSE({1,2},INPUT!$A$3:$A$5000&amp;INPUT!$C$3:$C$5000,INPUT!$F$3:$F$5000),2,FALSE),"")</f>
        <v>PRE-TEMPORADA</v>
      </c>
      <c r="H582" t="str" cm="1">
        <f t="array" ref="H582">IFERROR(VLOOKUP(INPUT!M577&amp;INPUT!N577,CHOOSE({1,2},INPUT!$A$3:$A$5000&amp;INPUT!$C$3:$C$5000,INPUT!$D$3:$D$5000),2,FALSE),"")</f>
        <v>FISICO</v>
      </c>
      <c r="I582" s="46">
        <f>IF(INPUT!P577="","",INPUT!P577)</f>
        <v>79.599999999999994</v>
      </c>
      <c r="J582" s="46">
        <f>IF(INPUT!Q577="","",INPUT!Q577)</f>
        <v>79.5</v>
      </c>
      <c r="K582" s="46">
        <f>IFERROR(IF(OR(INPUT!P577="",INPUT!Q577=""),"",INPUT!P577-INPUT!Q577),"")</f>
        <v>9.9999999999994316E-2</v>
      </c>
      <c r="L582" s="48">
        <f>IFERROR(IF(OR(INPUT!P577="",INPUT!Q577="",INPUT!P577=0),"",(INPUT!P577-INPUT!Q577)/INPUT!P577),"")</f>
        <v>1.2562814070351046E-3</v>
      </c>
    </row>
    <row r="583" spans="1:12" ht="18" hidden="1" customHeight="1" x14ac:dyDescent="0.2">
      <c r="A583" s="11">
        <f>IF(INPUT!M578="","",INPUT!M578)</f>
        <v>45915</v>
      </c>
      <c r="B583" s="11">
        <f>IF(INPUT!M578="","",INPUT!M578-WEEKDAY(INPUT!M578,2)+1)</f>
        <v>45915</v>
      </c>
      <c r="C583" s="20">
        <f>IFERROR(_xlfn.ISOWEEKNUM(INPUT!M578),"")</f>
        <v>38</v>
      </c>
      <c r="D583" s="20">
        <f>IFERROR(YEAR(INPUT!M578),"")</f>
        <v>2025</v>
      </c>
      <c r="E583" t="str">
        <f>IF(INPUT!O578="","",INPUT!O578)</f>
        <v>GARCIA</v>
      </c>
      <c r="F583" t="str">
        <f>IF(INPUT!N578="","",INPUT!N578)</f>
        <v>T</v>
      </c>
      <c r="G583" t="str" cm="1">
        <f t="array" ref="G583">IFERROR(VLOOKUP(INPUT!M578&amp;INPUT!N578,CHOOSE({1,2},INPUT!$A$3:$A$5000&amp;INPUT!$C$3:$C$5000,INPUT!$F$3:$F$5000),2,FALSE),"")</f>
        <v>PRE-TEMPORADA</v>
      </c>
      <c r="H583" t="str" cm="1">
        <f t="array" ref="H583">IFERROR(VLOOKUP(INPUT!M578&amp;INPUT!N578,CHOOSE({1,2},INPUT!$A$3:$A$5000&amp;INPUT!$C$3:$C$5000,INPUT!$D$3:$D$5000),2,FALSE),"")</f>
        <v>TEC-TAC</v>
      </c>
      <c r="I583" s="46">
        <f>IF(INPUT!P578="","",INPUT!P578)</f>
        <v>79.7</v>
      </c>
      <c r="J583" s="46">
        <f>IF(INPUT!Q578="","",INPUT!Q578)</f>
        <v>79.400000000000006</v>
      </c>
      <c r="K583" s="46">
        <f>IFERROR(IF(OR(INPUT!P578="",INPUT!Q578=""),"",INPUT!P578-INPUT!Q578),"")</f>
        <v>0.29999999999999716</v>
      </c>
      <c r="L583" s="48">
        <f>IFERROR(IF(OR(INPUT!P578="",INPUT!Q578="",INPUT!P578=0),"",(INPUT!P578-INPUT!Q578)/INPUT!P578),"")</f>
        <v>3.7641154328732392E-3</v>
      </c>
    </row>
    <row r="584" spans="1:12" ht="18" hidden="1" customHeight="1" x14ac:dyDescent="0.2">
      <c r="A584" s="11">
        <f>IF(INPUT!M579="","",INPUT!M579)</f>
        <v>45915</v>
      </c>
      <c r="B584" s="11">
        <f>IF(INPUT!M579="","",INPUT!M579-WEEKDAY(INPUT!M579,2)+1)</f>
        <v>45915</v>
      </c>
      <c r="C584" s="20">
        <f>IFERROR(_xlfn.ISOWEEKNUM(INPUT!M579),"")</f>
        <v>38</v>
      </c>
      <c r="D584" s="20">
        <f>IFERROR(YEAR(INPUT!M579),"")</f>
        <v>2025</v>
      </c>
      <c r="E584" t="str">
        <f>IF(INPUT!O579="","",INPUT!O579)</f>
        <v>OSCAR</v>
      </c>
      <c r="F584" t="str">
        <f>IF(INPUT!N579="","",INPUT!N579)</f>
        <v>T</v>
      </c>
      <c r="G584" t="str" cm="1">
        <f t="array" ref="G584">IFERROR(VLOOKUP(INPUT!M579&amp;INPUT!N579,CHOOSE({1,2},INPUT!$A$3:$A$5000&amp;INPUT!$C$3:$C$5000,INPUT!$F$3:$F$5000),2,FALSE),"")</f>
        <v>PRE-TEMPORADA</v>
      </c>
      <c r="H584" t="str" cm="1">
        <f t="array" ref="H584">IFERROR(VLOOKUP(INPUT!M579&amp;INPUT!N579,CHOOSE({1,2},INPUT!$A$3:$A$5000&amp;INPUT!$C$3:$C$5000,INPUT!$D$3:$D$5000),2,FALSE),"")</f>
        <v>TEC-TAC</v>
      </c>
      <c r="I584" s="46">
        <f>IF(INPUT!P579="","",INPUT!P579)</f>
        <v>86.4</v>
      </c>
      <c r="J584" s="46">
        <f>IF(INPUT!Q579="","",INPUT!Q579)</f>
        <v>85.7</v>
      </c>
      <c r="K584" s="46">
        <f>IFERROR(IF(OR(INPUT!P579="",INPUT!Q579=""),"",INPUT!P579-INPUT!Q579),"")</f>
        <v>0.70000000000000284</v>
      </c>
      <c r="L584" s="48">
        <f>IFERROR(IF(OR(INPUT!P579="",INPUT!Q579="",INPUT!P579=0),"",(INPUT!P579-INPUT!Q579)/INPUT!P579),"")</f>
        <v>8.1018518518518844E-3</v>
      </c>
    </row>
    <row r="585" spans="1:12" ht="18" hidden="1" customHeight="1" x14ac:dyDescent="0.2">
      <c r="A585" s="11">
        <f>IF(INPUT!M580="","",INPUT!M580)</f>
        <v>45915</v>
      </c>
      <c r="B585" s="11">
        <f>IF(INPUT!M580="","",INPUT!M580-WEEKDAY(INPUT!M580,2)+1)</f>
        <v>45915</v>
      </c>
      <c r="C585" s="20">
        <f>IFERROR(_xlfn.ISOWEEKNUM(INPUT!M580),"")</f>
        <v>38</v>
      </c>
      <c r="D585" s="20">
        <f>IFERROR(YEAR(INPUT!M580),"")</f>
        <v>2025</v>
      </c>
      <c r="E585" t="str">
        <f>IF(INPUT!O580="","",INPUT!O580)</f>
        <v>CECILIO</v>
      </c>
      <c r="F585" t="str">
        <f>IF(INPUT!N580="","",INPUT!N580)</f>
        <v>M</v>
      </c>
      <c r="G585" t="str" cm="1">
        <f t="array" ref="G585">IFERROR(VLOOKUP(INPUT!M580&amp;INPUT!N580,CHOOSE({1,2},INPUT!$A$3:$A$5000&amp;INPUT!$C$3:$C$5000,INPUT!$F$3:$F$5000),2,FALSE),"")</f>
        <v>PRE-TEMPORADA</v>
      </c>
      <c r="H585" t="str" cm="1">
        <f t="array" ref="H585">IFERROR(VLOOKUP(INPUT!M580&amp;INPUT!N580,CHOOSE({1,2},INPUT!$A$3:$A$5000&amp;INPUT!$C$3:$C$5000,INPUT!$D$3:$D$5000),2,FALSE),"")</f>
        <v>FISICO</v>
      </c>
      <c r="I585" s="46">
        <f>IF(INPUT!P580="","",INPUT!P580)</f>
        <v>68.5</v>
      </c>
      <c r="J585" s="46">
        <f>IF(INPUT!Q580="","",INPUT!Q580)</f>
        <v>68</v>
      </c>
      <c r="K585" s="46">
        <f>IFERROR(IF(OR(INPUT!P580="",INPUT!Q580=""),"",INPUT!P580-INPUT!Q580),"")</f>
        <v>0.5</v>
      </c>
      <c r="L585" s="48">
        <f>IFERROR(IF(OR(INPUT!P580="",INPUT!Q580="",INPUT!P580=0),"",(INPUT!P580-INPUT!Q580)/INPUT!P580),"")</f>
        <v>7.2992700729927005E-3</v>
      </c>
    </row>
    <row r="586" spans="1:12" ht="18" hidden="1" customHeight="1" x14ac:dyDescent="0.2">
      <c r="A586" s="11">
        <f>IF(INPUT!M581="","",INPUT!M581)</f>
        <v>45915</v>
      </c>
      <c r="B586" s="11">
        <f>IF(INPUT!M581="","",INPUT!M581-WEEKDAY(INPUT!M581,2)+1)</f>
        <v>45915</v>
      </c>
      <c r="C586" s="20">
        <f>IFERROR(_xlfn.ISOWEEKNUM(INPUT!M581),"")</f>
        <v>38</v>
      </c>
      <c r="D586" s="20">
        <f>IFERROR(YEAR(INPUT!M581),"")</f>
        <v>2025</v>
      </c>
      <c r="E586" t="str">
        <f>IF(INPUT!O581="","",INPUT!O581)</f>
        <v>CECILIO</v>
      </c>
      <c r="F586" t="str">
        <f>IF(INPUT!N581="","",INPUT!N581)</f>
        <v>T</v>
      </c>
      <c r="G586" t="str" cm="1">
        <f t="array" ref="G586">IFERROR(VLOOKUP(INPUT!M581&amp;INPUT!N581,CHOOSE({1,2},INPUT!$A$3:$A$5000&amp;INPUT!$C$3:$C$5000,INPUT!$F$3:$F$5000),2,FALSE),"")</f>
        <v>PRE-TEMPORADA</v>
      </c>
      <c r="H586" t="str" cm="1">
        <f t="array" ref="H586">IFERROR(VLOOKUP(INPUT!M581&amp;INPUT!N581,CHOOSE({1,2},INPUT!$A$3:$A$5000&amp;INPUT!$C$3:$C$5000,INPUT!$D$3:$D$5000),2,FALSE),"")</f>
        <v>TEC-TAC</v>
      </c>
      <c r="I586" s="46">
        <f>IF(INPUT!P581="","",INPUT!P581)</f>
        <v>69</v>
      </c>
      <c r="J586" s="46">
        <f>IF(INPUT!Q581="","",INPUT!Q581)</f>
        <v>68.900000000000006</v>
      </c>
      <c r="K586" s="46">
        <f>IFERROR(IF(OR(INPUT!P581="",INPUT!Q581=""),"",INPUT!P581-INPUT!Q581),"")</f>
        <v>9.9999999999994316E-2</v>
      </c>
      <c r="L586" s="48">
        <f>IFERROR(IF(OR(INPUT!P581="",INPUT!Q581="",INPUT!P581=0),"",(INPUT!P581-INPUT!Q581)/INPUT!P581),"")</f>
        <v>1.4492753623187582E-3</v>
      </c>
    </row>
    <row r="587" spans="1:12" ht="18" hidden="1" customHeight="1" x14ac:dyDescent="0.2">
      <c r="A587" s="11">
        <f>IF(INPUT!M582="","",INPUT!M582)</f>
        <v>45915</v>
      </c>
      <c r="B587" s="11">
        <f>IF(INPUT!M582="","",INPUT!M582-WEEKDAY(INPUT!M582,2)+1)</f>
        <v>45915</v>
      </c>
      <c r="C587" s="20">
        <f>IFERROR(_xlfn.ISOWEEKNUM(INPUT!M582),"")</f>
        <v>38</v>
      </c>
      <c r="D587" s="20">
        <f>IFERROR(YEAR(INPUT!M582),"")</f>
        <v>2025</v>
      </c>
      <c r="E587" t="str">
        <f>IF(INPUT!O582="","",INPUT!O582)</f>
        <v>CHAGUINHA</v>
      </c>
      <c r="F587" t="str">
        <f>IF(INPUT!N582="","",INPUT!N582)</f>
        <v>M</v>
      </c>
      <c r="G587" t="str" cm="1">
        <f t="array" ref="G587">IFERROR(VLOOKUP(INPUT!M582&amp;INPUT!N582,CHOOSE({1,2},INPUT!$A$3:$A$5000&amp;INPUT!$C$3:$C$5000,INPUT!$F$3:$F$5000),2,FALSE),"")</f>
        <v>PRE-TEMPORADA</v>
      </c>
      <c r="H587" t="str" cm="1">
        <f t="array" ref="H587">IFERROR(VLOOKUP(INPUT!M582&amp;INPUT!N582,CHOOSE({1,2},INPUT!$A$3:$A$5000&amp;INPUT!$C$3:$C$5000,INPUT!$D$3:$D$5000),2,FALSE),"")</f>
        <v>FISICO</v>
      </c>
      <c r="I587" s="46">
        <f>IF(INPUT!P582="","",INPUT!P582)</f>
        <v>69</v>
      </c>
      <c r="J587" s="46">
        <f>IF(INPUT!Q582="","",INPUT!Q582)</f>
        <v>68.8</v>
      </c>
      <c r="K587" s="46">
        <f>IFERROR(IF(OR(INPUT!P582="",INPUT!Q582=""),"",INPUT!P582-INPUT!Q582),"")</f>
        <v>0.20000000000000284</v>
      </c>
      <c r="L587" s="48">
        <f>IFERROR(IF(OR(INPUT!P582="",INPUT!Q582="",INPUT!P582=0),"",(INPUT!P582-INPUT!Q582)/INPUT!P582),"")</f>
        <v>2.8985507246377224E-3</v>
      </c>
    </row>
    <row r="588" spans="1:12" ht="18" hidden="1" customHeight="1" x14ac:dyDescent="0.2">
      <c r="A588" s="11">
        <f>IF(INPUT!M583="","",INPUT!M583)</f>
        <v>45915</v>
      </c>
      <c r="B588" s="11">
        <f>IF(INPUT!M583="","",INPUT!M583-WEEKDAY(INPUT!M583,2)+1)</f>
        <v>45915</v>
      </c>
      <c r="C588" s="20">
        <f>IFERROR(_xlfn.ISOWEEKNUM(INPUT!M583),"")</f>
        <v>38</v>
      </c>
      <c r="D588" s="20">
        <f>IFERROR(YEAR(INPUT!M583),"")</f>
        <v>2025</v>
      </c>
      <c r="E588" t="str">
        <f>IF(INPUT!O583="","",INPUT!O583)</f>
        <v>CHAGUINHA</v>
      </c>
      <c r="F588" t="str">
        <f>IF(INPUT!N583="","",INPUT!N583)</f>
        <v>T</v>
      </c>
      <c r="G588" t="str" cm="1">
        <f t="array" ref="G588">IFERROR(VLOOKUP(INPUT!M583&amp;INPUT!N583,CHOOSE({1,2},INPUT!$A$3:$A$5000&amp;INPUT!$C$3:$C$5000,INPUT!$F$3:$F$5000),2,FALSE),"")</f>
        <v>PRE-TEMPORADA</v>
      </c>
      <c r="H588" t="str" cm="1">
        <f t="array" ref="H588">IFERROR(VLOOKUP(INPUT!M583&amp;INPUT!N583,CHOOSE({1,2},INPUT!$A$3:$A$5000&amp;INPUT!$C$3:$C$5000,INPUT!$D$3:$D$5000),2,FALSE),"")</f>
        <v>TEC-TAC</v>
      </c>
      <c r="I588" s="46">
        <f>IF(INPUT!P583="","",INPUT!P583)</f>
        <v>69.099999999999994</v>
      </c>
      <c r="J588" s="46">
        <f>IF(INPUT!Q583="","",INPUT!Q583)</f>
        <v>68.3</v>
      </c>
      <c r="K588" s="46">
        <f>IFERROR(IF(OR(INPUT!P583="",INPUT!Q583=""),"",INPUT!P583-INPUT!Q583),"")</f>
        <v>0.79999999999999716</v>
      </c>
      <c r="L588" s="48">
        <f>IFERROR(IF(OR(INPUT!P583="",INPUT!Q583="",INPUT!P583=0),"",(INPUT!P583-INPUT!Q583)/INPUT!P583),"")</f>
        <v>1.1577424023154807E-2</v>
      </c>
    </row>
    <row r="589" spans="1:12" ht="18" hidden="1" customHeight="1" x14ac:dyDescent="0.2">
      <c r="A589" s="11">
        <f>IF(INPUT!M584="","",INPUT!M584)</f>
        <v>45915</v>
      </c>
      <c r="B589" s="11">
        <f>IF(INPUT!M584="","",INPUT!M584-WEEKDAY(INPUT!M584,2)+1)</f>
        <v>45915</v>
      </c>
      <c r="C589" s="20">
        <f>IFERROR(_xlfn.ISOWEEKNUM(INPUT!M584),"")</f>
        <v>38</v>
      </c>
      <c r="D589" s="20">
        <f>IFERROR(YEAR(INPUT!M584),"")</f>
        <v>2025</v>
      </c>
      <c r="E589" t="str">
        <f>IF(INPUT!O584="","",INPUT!O584)</f>
        <v>HARRISON</v>
      </c>
      <c r="F589" t="str">
        <f>IF(INPUT!N584="","",INPUT!N584)</f>
        <v>M</v>
      </c>
      <c r="G589" t="str" cm="1">
        <f t="array" ref="G589">IFERROR(VLOOKUP(INPUT!M584&amp;INPUT!N584,CHOOSE({1,2},INPUT!$A$3:$A$5000&amp;INPUT!$C$3:$C$5000,INPUT!$F$3:$F$5000),2,FALSE),"")</f>
        <v>PRE-TEMPORADA</v>
      </c>
      <c r="H589" t="str" cm="1">
        <f t="array" ref="H589">IFERROR(VLOOKUP(INPUT!M584&amp;INPUT!N584,CHOOSE({1,2},INPUT!$A$3:$A$5000&amp;INPUT!$C$3:$C$5000,INPUT!$D$3:$D$5000),2,FALSE),"")</f>
        <v>FISICO</v>
      </c>
      <c r="I589" s="46">
        <f>IF(INPUT!P584="","",INPUT!P584)</f>
        <v>71.7</v>
      </c>
      <c r="J589" s="46">
        <f>IF(INPUT!Q584="","",INPUT!Q584)</f>
        <v>71</v>
      </c>
      <c r="K589" s="46">
        <f>IFERROR(IF(OR(INPUT!P584="",INPUT!Q584=""),"",INPUT!P584-INPUT!Q584),"")</f>
        <v>0.70000000000000284</v>
      </c>
      <c r="L589" s="48">
        <f>IFERROR(IF(OR(INPUT!P584="",INPUT!Q584="",INPUT!P584=0),"",(INPUT!P584-INPUT!Q584)/INPUT!P584),"")</f>
        <v>9.762900976290137E-3</v>
      </c>
    </row>
    <row r="590" spans="1:12" ht="18" hidden="1" customHeight="1" x14ac:dyDescent="0.2">
      <c r="A590" s="11">
        <f>IF(INPUT!M585="","",INPUT!M585)</f>
        <v>45915</v>
      </c>
      <c r="B590" s="11">
        <f>IF(INPUT!M585="","",INPUT!M585-WEEKDAY(INPUT!M585,2)+1)</f>
        <v>45915</v>
      </c>
      <c r="C590" s="20">
        <f>IFERROR(_xlfn.ISOWEEKNUM(INPUT!M585),"")</f>
        <v>38</v>
      </c>
      <c r="D590" s="20">
        <f>IFERROR(YEAR(INPUT!M585),"")</f>
        <v>2025</v>
      </c>
      <c r="E590" t="str">
        <f>IF(INPUT!O585="","",INPUT!O585)</f>
        <v>HARRISON</v>
      </c>
      <c r="F590" t="str">
        <f>IF(INPUT!N585="","",INPUT!N585)</f>
        <v>T</v>
      </c>
      <c r="G590" t="str" cm="1">
        <f t="array" ref="G590">IFERROR(VLOOKUP(INPUT!M585&amp;INPUT!N585,CHOOSE({1,2},INPUT!$A$3:$A$5000&amp;INPUT!$C$3:$C$5000,INPUT!$F$3:$F$5000),2,FALSE),"")</f>
        <v>PRE-TEMPORADA</v>
      </c>
      <c r="H590" t="str" cm="1">
        <f t="array" ref="H590">IFERROR(VLOOKUP(INPUT!M585&amp;INPUT!N585,CHOOSE({1,2},INPUT!$A$3:$A$5000&amp;INPUT!$C$3:$C$5000,INPUT!$D$3:$D$5000),2,FALSE),"")</f>
        <v>TEC-TAC</v>
      </c>
      <c r="I590" s="46">
        <f>IF(INPUT!P585="","",INPUT!P585)</f>
        <v>71.900000000000006</v>
      </c>
      <c r="J590" s="46">
        <f>IF(INPUT!Q585="","",INPUT!Q585)</f>
        <v>71.599999999999994</v>
      </c>
      <c r="K590" s="46">
        <f>IFERROR(IF(OR(INPUT!P585="",INPUT!Q585=""),"",INPUT!P585-INPUT!Q585),"")</f>
        <v>0.30000000000001137</v>
      </c>
      <c r="L590" s="48">
        <f>IFERROR(IF(OR(INPUT!P585="",INPUT!Q585="",INPUT!P585=0),"",(INPUT!P585-INPUT!Q585)/INPUT!P585),"")</f>
        <v>4.1724617524340939E-3</v>
      </c>
    </row>
    <row r="591" spans="1:12" ht="18" hidden="1" customHeight="1" x14ac:dyDescent="0.2">
      <c r="A591" s="11">
        <f>IF(INPUT!M586="","",INPUT!M586)</f>
        <v>45915</v>
      </c>
      <c r="B591" s="11">
        <f>IF(INPUT!M586="","",INPUT!M586-WEEKDAY(INPUT!M586,2)+1)</f>
        <v>45915</v>
      </c>
      <c r="C591" s="20">
        <f>IFERROR(_xlfn.ISOWEEKNUM(INPUT!M586),"")</f>
        <v>38</v>
      </c>
      <c r="D591" s="20">
        <f>IFERROR(YEAR(INPUT!M586),"")</f>
        <v>2025</v>
      </c>
      <c r="E591" t="str">
        <f>IF(INPUT!O586="","",INPUT!O586)</f>
        <v>RAYA</v>
      </c>
      <c r="F591" t="str">
        <f>IF(INPUT!N586="","",INPUT!N586)</f>
        <v>M</v>
      </c>
      <c r="G591" t="str" cm="1">
        <f t="array" ref="G591">IFERROR(VLOOKUP(INPUT!M586&amp;INPUT!N586,CHOOSE({1,2},INPUT!$A$3:$A$5000&amp;INPUT!$C$3:$C$5000,INPUT!$F$3:$F$5000),2,FALSE),"")</f>
        <v>PRE-TEMPORADA</v>
      </c>
      <c r="H591" t="str" cm="1">
        <f t="array" ref="H591">IFERROR(VLOOKUP(INPUT!M586&amp;INPUT!N586,CHOOSE({1,2},INPUT!$A$3:$A$5000&amp;INPUT!$C$3:$C$5000,INPUT!$D$3:$D$5000),2,FALSE),"")</f>
        <v>FISICO</v>
      </c>
      <c r="I591" s="46">
        <f>IF(INPUT!P586="","",INPUT!P586)</f>
        <v>81.7</v>
      </c>
      <c r="J591" s="46">
        <f>IF(INPUT!Q586="","",INPUT!Q586)</f>
        <v>81.5</v>
      </c>
      <c r="K591" s="46">
        <f>IFERROR(IF(OR(INPUT!P586="",INPUT!Q586=""),"",INPUT!P586-INPUT!Q586),"")</f>
        <v>0.20000000000000284</v>
      </c>
      <c r="L591" s="48">
        <f>IFERROR(IF(OR(INPUT!P586="",INPUT!Q586="",INPUT!P586=0),"",(INPUT!P586-INPUT!Q586)/INPUT!P586),"")</f>
        <v>2.4479804161567057E-3</v>
      </c>
    </row>
    <row r="592" spans="1:12" ht="18" hidden="1" customHeight="1" x14ac:dyDescent="0.2">
      <c r="A592" s="11">
        <f>IF(INPUT!M587="","",INPUT!M587)</f>
        <v>45915</v>
      </c>
      <c r="B592" s="11">
        <f>IF(INPUT!M587="","",INPUT!M587-WEEKDAY(INPUT!M587,2)+1)</f>
        <v>45915</v>
      </c>
      <c r="C592" s="20">
        <f>IFERROR(_xlfn.ISOWEEKNUM(INPUT!M587),"")</f>
        <v>38</v>
      </c>
      <c r="D592" s="20">
        <f>IFERROR(YEAR(INPUT!M587),"")</f>
        <v>2025</v>
      </c>
      <c r="E592" t="str">
        <f>IF(INPUT!O587="","",INPUT!O587)</f>
        <v>RAYA</v>
      </c>
      <c r="F592" t="str">
        <f>IF(INPUT!N587="","",INPUT!N587)</f>
        <v>T</v>
      </c>
      <c r="G592" t="str" cm="1">
        <f t="array" ref="G592">IFERROR(VLOOKUP(INPUT!M587&amp;INPUT!N587,CHOOSE({1,2},INPUT!$A$3:$A$5000&amp;INPUT!$C$3:$C$5000,INPUT!$F$3:$F$5000),2,FALSE),"")</f>
        <v>PRE-TEMPORADA</v>
      </c>
      <c r="H592" t="str" cm="1">
        <f t="array" ref="H592">IFERROR(VLOOKUP(INPUT!M587&amp;INPUT!N587,CHOOSE({1,2},INPUT!$A$3:$A$5000&amp;INPUT!$C$3:$C$5000,INPUT!$D$3:$D$5000),2,FALSE),"")</f>
        <v>TEC-TAC</v>
      </c>
      <c r="I592" s="46">
        <f>IF(INPUT!P587="","",INPUT!P587)</f>
        <v>82.8</v>
      </c>
      <c r="J592" s="46">
        <f>IF(INPUT!Q587="","",INPUT!Q587)</f>
        <v>81.2</v>
      </c>
      <c r="K592" s="46">
        <f>IFERROR(IF(OR(INPUT!P587="",INPUT!Q587=""),"",INPUT!P587-INPUT!Q587),"")</f>
        <v>1.5999999999999943</v>
      </c>
      <c r="L592" s="48">
        <f>IFERROR(IF(OR(INPUT!P587="",INPUT!Q587="",INPUT!P587=0),"",(INPUT!P587-INPUT!Q587)/INPUT!P587),"")</f>
        <v>1.9323671497584474E-2</v>
      </c>
    </row>
    <row r="593" spans="1:12" ht="18" hidden="1" customHeight="1" x14ac:dyDescent="0.2">
      <c r="A593" s="11">
        <f>IF(INPUT!M588="","",INPUT!M588)</f>
        <v>45915</v>
      </c>
      <c r="B593" s="11">
        <f>IF(INPUT!M588="","",INPUT!M588-WEEKDAY(INPUT!M588,2)+1)</f>
        <v>45915</v>
      </c>
      <c r="C593" s="20">
        <f>IFERROR(_xlfn.ISOWEEKNUM(INPUT!M588),"")</f>
        <v>38</v>
      </c>
      <c r="D593" s="20">
        <f>IFERROR(YEAR(INPUT!M588),"")</f>
        <v>2025</v>
      </c>
      <c r="E593" t="str">
        <f>IF(INPUT!O588="","",INPUT!O588)</f>
        <v>PIRATA</v>
      </c>
      <c r="F593" t="str">
        <f>IF(INPUT!N588="","",INPUT!N588)</f>
        <v>M</v>
      </c>
      <c r="G593" t="str" cm="1">
        <f t="array" ref="G593">IFERROR(VLOOKUP(INPUT!M588&amp;INPUT!N588,CHOOSE({1,2},INPUT!$A$3:$A$5000&amp;INPUT!$C$3:$C$5000,INPUT!$F$3:$F$5000),2,FALSE),"")</f>
        <v>PRE-TEMPORADA</v>
      </c>
      <c r="H593" t="str" cm="1">
        <f t="array" ref="H593">IFERROR(VLOOKUP(INPUT!M588&amp;INPUT!N588,CHOOSE({1,2},INPUT!$A$3:$A$5000&amp;INPUT!$C$3:$C$5000,INPUT!$D$3:$D$5000),2,FALSE),"")</f>
        <v>FISICO</v>
      </c>
      <c r="I593" s="46">
        <f>IF(INPUT!P588="","",INPUT!P588)</f>
        <v>74.599999999999994</v>
      </c>
      <c r="J593" s="46">
        <f>IF(INPUT!Q588="","",INPUT!Q588)</f>
        <v>74.5</v>
      </c>
      <c r="K593" s="46">
        <f>IFERROR(IF(OR(INPUT!P588="",INPUT!Q588=""),"",INPUT!P588-INPUT!Q588),"")</f>
        <v>9.9999999999994316E-2</v>
      </c>
      <c r="L593" s="48">
        <f>IFERROR(IF(OR(INPUT!P588="",INPUT!Q588="",INPUT!P588=0),"",(INPUT!P588-INPUT!Q588)/INPUT!P588),"")</f>
        <v>1.3404825737264655E-3</v>
      </c>
    </row>
    <row r="594" spans="1:12" ht="18" hidden="1" customHeight="1" x14ac:dyDescent="0.2">
      <c r="A594" s="11">
        <f>IF(INPUT!M589="","",INPUT!M589)</f>
        <v>45915</v>
      </c>
      <c r="B594" s="11">
        <f>IF(INPUT!M589="","",INPUT!M589-WEEKDAY(INPUT!M589,2)+1)</f>
        <v>45915</v>
      </c>
      <c r="C594" s="20">
        <f>IFERROR(_xlfn.ISOWEEKNUM(INPUT!M589),"")</f>
        <v>38</v>
      </c>
      <c r="D594" s="20">
        <f>IFERROR(YEAR(INPUT!M589),"")</f>
        <v>2025</v>
      </c>
      <c r="E594" t="str">
        <f>IF(INPUT!O589="","",INPUT!O589)</f>
        <v>PIRATA</v>
      </c>
      <c r="F594" t="str">
        <f>IF(INPUT!N589="","",INPUT!N589)</f>
        <v>T</v>
      </c>
      <c r="G594" t="str" cm="1">
        <f t="array" ref="G594">IFERROR(VLOOKUP(INPUT!M589&amp;INPUT!N589,CHOOSE({1,2},INPUT!$A$3:$A$5000&amp;INPUT!$C$3:$C$5000,INPUT!$F$3:$F$5000),2,FALSE),"")</f>
        <v>PRE-TEMPORADA</v>
      </c>
      <c r="H594" t="str" cm="1">
        <f t="array" ref="H594">IFERROR(VLOOKUP(INPUT!M589&amp;INPUT!N589,CHOOSE({1,2},INPUT!$A$3:$A$5000&amp;INPUT!$C$3:$C$5000,INPUT!$D$3:$D$5000),2,FALSE),"")</f>
        <v>TEC-TAC</v>
      </c>
      <c r="I594" s="46">
        <f>IF(INPUT!P589="","",INPUT!P589)</f>
        <v>75</v>
      </c>
      <c r="J594" s="46">
        <f>IF(INPUT!Q589="","",INPUT!Q589)</f>
        <v>74.8</v>
      </c>
      <c r="K594" s="46">
        <f>IFERROR(IF(OR(INPUT!P589="",INPUT!Q589=""),"",INPUT!P589-INPUT!Q589),"")</f>
        <v>0.20000000000000284</v>
      </c>
      <c r="L594" s="48">
        <f>IFERROR(IF(OR(INPUT!P589="",INPUT!Q589="",INPUT!P589=0),"",(INPUT!P589-INPUT!Q589)/INPUT!P589),"")</f>
        <v>2.6666666666667047E-3</v>
      </c>
    </row>
    <row r="595" spans="1:12" ht="18" hidden="1" customHeight="1" x14ac:dyDescent="0.2">
      <c r="A595" s="11">
        <f>IF(INPUT!M590="","",INPUT!M590)</f>
        <v>45915</v>
      </c>
      <c r="B595" s="11">
        <f>IF(INPUT!M590="","",INPUT!M590-WEEKDAY(INPUT!M590,2)+1)</f>
        <v>45915</v>
      </c>
      <c r="C595" s="20">
        <f>IFERROR(_xlfn.ISOWEEKNUM(INPUT!M590),"")</f>
        <v>38</v>
      </c>
      <c r="D595" s="20">
        <f>IFERROR(YEAR(INPUT!M590),"")</f>
        <v>2025</v>
      </c>
      <c r="E595" t="str">
        <f>IF(INPUT!O590="","",INPUT!O590)</f>
        <v>BARONA</v>
      </c>
      <c r="F595" t="str">
        <f>IF(INPUT!N590="","",INPUT!N590)</f>
        <v>M</v>
      </c>
      <c r="G595" t="str" cm="1">
        <f t="array" ref="G595">IFERROR(VLOOKUP(INPUT!M590&amp;INPUT!N590,CHOOSE({1,2},INPUT!$A$3:$A$5000&amp;INPUT!$C$3:$C$5000,INPUT!$F$3:$F$5000),2,FALSE),"")</f>
        <v>PRE-TEMPORADA</v>
      </c>
      <c r="H595" t="str" cm="1">
        <f t="array" ref="H595">IFERROR(VLOOKUP(INPUT!M590&amp;INPUT!N590,CHOOSE({1,2},INPUT!$A$3:$A$5000&amp;INPUT!$C$3:$C$5000,INPUT!$D$3:$D$5000),2,FALSE),"")</f>
        <v>FISICO</v>
      </c>
      <c r="I595" s="46">
        <f>IF(INPUT!P590="","",INPUT!P590)</f>
        <v>74.7</v>
      </c>
      <c r="J595" s="46">
        <f>IF(INPUT!Q590="","",INPUT!Q590)</f>
        <v>74.7</v>
      </c>
      <c r="K595" s="46">
        <f>IFERROR(IF(OR(INPUT!P590="",INPUT!Q590=""),"",INPUT!P590-INPUT!Q590),"")</f>
        <v>0</v>
      </c>
      <c r="L595" s="48">
        <f>IFERROR(IF(OR(INPUT!P590="",INPUT!Q590="",INPUT!P590=0),"",(INPUT!P590-INPUT!Q590)/INPUT!P590),"")</f>
        <v>0</v>
      </c>
    </row>
    <row r="596" spans="1:12" ht="18" hidden="1" customHeight="1" x14ac:dyDescent="0.2">
      <c r="A596" s="11">
        <f>IF(INPUT!M591="","",INPUT!M591)</f>
        <v>45915</v>
      </c>
      <c r="B596" s="11">
        <f>IF(INPUT!M591="","",INPUT!M591-WEEKDAY(INPUT!M591,2)+1)</f>
        <v>45915</v>
      </c>
      <c r="C596" s="20">
        <f>IFERROR(_xlfn.ISOWEEKNUM(INPUT!M591),"")</f>
        <v>38</v>
      </c>
      <c r="D596" s="20">
        <f>IFERROR(YEAR(INPUT!M591),"")</f>
        <v>2025</v>
      </c>
      <c r="E596" t="str">
        <f>IF(INPUT!O591="","",INPUT!O591)</f>
        <v>BARONA</v>
      </c>
      <c r="F596" t="str">
        <f>IF(INPUT!N591="","",INPUT!N591)</f>
        <v>T</v>
      </c>
      <c r="G596" t="str" cm="1">
        <f t="array" ref="G596">IFERROR(VLOOKUP(INPUT!M591&amp;INPUT!N591,CHOOSE({1,2},INPUT!$A$3:$A$5000&amp;INPUT!$C$3:$C$5000,INPUT!$F$3:$F$5000),2,FALSE),"")</f>
        <v>PRE-TEMPORADA</v>
      </c>
      <c r="H596" t="str" cm="1">
        <f t="array" ref="H596">IFERROR(VLOOKUP(INPUT!M591&amp;INPUT!N591,CHOOSE({1,2},INPUT!$A$3:$A$5000&amp;INPUT!$C$3:$C$5000,INPUT!$D$3:$D$5000),2,FALSE),"")</f>
        <v>TEC-TAC</v>
      </c>
      <c r="I596" s="46">
        <f>IF(INPUT!P591="","",INPUT!P591)</f>
        <v>74.3</v>
      </c>
      <c r="J596" s="46">
        <f>IF(INPUT!Q591="","",INPUT!Q591)</f>
        <v>74.5</v>
      </c>
      <c r="K596" s="46">
        <f>IFERROR(IF(OR(INPUT!P591="",INPUT!Q591=""),"",INPUT!P591-INPUT!Q591),"")</f>
        <v>-0.20000000000000284</v>
      </c>
      <c r="L596" s="48">
        <f>IFERROR(IF(OR(INPUT!P591="",INPUT!Q591="",INPUT!P591=0),"",(INPUT!P591-INPUT!Q591)/INPUT!P591),"")</f>
        <v>-2.6917900403768888E-3</v>
      </c>
    </row>
    <row r="597" spans="1:12" ht="18" hidden="1" customHeight="1" x14ac:dyDescent="0.2">
      <c r="A597" s="11">
        <f>IF(INPUT!M592="","",INPUT!M592)</f>
        <v>45915</v>
      </c>
      <c r="B597" s="11">
        <f>IF(INPUT!M592="","",INPUT!M592-WEEKDAY(INPUT!M592,2)+1)</f>
        <v>45915</v>
      </c>
      <c r="C597" s="20">
        <f>IFERROR(_xlfn.ISOWEEKNUM(INPUT!M592),"")</f>
        <v>38</v>
      </c>
      <c r="D597" s="20">
        <f>IFERROR(YEAR(INPUT!M592),"")</f>
        <v>2025</v>
      </c>
      <c r="E597" t="str">
        <f>IF(INPUT!O592="","",INPUT!O592)</f>
        <v>CARLOS</v>
      </c>
      <c r="F597" t="str">
        <f>IF(INPUT!N592="","",INPUT!N592)</f>
        <v>M</v>
      </c>
      <c r="G597" t="str" cm="1">
        <f t="array" ref="G597">IFERROR(VLOOKUP(INPUT!M592&amp;INPUT!N592,CHOOSE({1,2},INPUT!$A$3:$A$5000&amp;INPUT!$C$3:$C$5000,INPUT!$F$3:$F$5000),2,FALSE),"")</f>
        <v>PRE-TEMPORADA</v>
      </c>
      <c r="H597" t="str" cm="1">
        <f t="array" ref="H597">IFERROR(VLOOKUP(INPUT!M592&amp;INPUT!N592,CHOOSE({1,2},INPUT!$A$3:$A$5000&amp;INPUT!$C$3:$C$5000,INPUT!$D$3:$D$5000),2,FALSE),"")</f>
        <v>FISICO</v>
      </c>
      <c r="I597" s="46">
        <f>IF(INPUT!P592="","",INPUT!P592)</f>
        <v>66.599999999999994</v>
      </c>
      <c r="J597" s="46">
        <f>IF(INPUT!Q592="","",INPUT!Q592)</f>
        <v>66</v>
      </c>
      <c r="K597" s="46">
        <f>IFERROR(IF(OR(INPUT!P592="",INPUT!Q592=""),"",INPUT!P592-INPUT!Q592),"")</f>
        <v>0.59999999999999432</v>
      </c>
      <c r="L597" s="48">
        <f>IFERROR(IF(OR(INPUT!P592="",INPUT!Q592="",INPUT!P592=0),"",(INPUT!P592-INPUT!Q592)/INPUT!P592),"")</f>
        <v>9.0090090090089239E-3</v>
      </c>
    </row>
    <row r="598" spans="1:12" ht="18" hidden="1" customHeight="1" x14ac:dyDescent="0.2">
      <c r="A598" s="11">
        <f>IF(INPUT!M593="","",INPUT!M593)</f>
        <v>45915</v>
      </c>
      <c r="B598" s="11">
        <f>IF(INPUT!M593="","",INPUT!M593-WEEKDAY(INPUT!M593,2)+1)</f>
        <v>45915</v>
      </c>
      <c r="C598" s="20">
        <f>IFERROR(_xlfn.ISOWEEKNUM(INPUT!M593),"")</f>
        <v>38</v>
      </c>
      <c r="D598" s="20">
        <f>IFERROR(YEAR(INPUT!M593),"")</f>
        <v>2025</v>
      </c>
      <c r="E598" t="str">
        <f>IF(INPUT!O593="","",INPUT!O593)</f>
        <v>CARLOS</v>
      </c>
      <c r="F598" t="str">
        <f>IF(INPUT!N593="","",INPUT!N593)</f>
        <v>T</v>
      </c>
      <c r="G598" t="str" cm="1">
        <f t="array" ref="G598">IFERROR(VLOOKUP(INPUT!M593&amp;INPUT!N593,CHOOSE({1,2},INPUT!$A$3:$A$5000&amp;INPUT!$C$3:$C$5000,INPUT!$F$3:$F$5000),2,FALSE),"")</f>
        <v>PRE-TEMPORADA</v>
      </c>
      <c r="H598" t="str" cm="1">
        <f t="array" ref="H598">IFERROR(VLOOKUP(INPUT!M593&amp;INPUT!N593,CHOOSE({1,2},INPUT!$A$3:$A$5000&amp;INPUT!$C$3:$C$5000,INPUT!$D$3:$D$5000),2,FALSE),"")</f>
        <v>TEC-TAC</v>
      </c>
      <c r="I598" s="46">
        <f>IF(INPUT!P593="","",INPUT!P593)</f>
        <v>67</v>
      </c>
      <c r="J598" s="46">
        <f>IF(INPUT!Q593="","",INPUT!Q593)</f>
        <v>66.400000000000006</v>
      </c>
      <c r="K598" s="46">
        <f>IFERROR(IF(OR(INPUT!P593="",INPUT!Q593=""),"",INPUT!P593-INPUT!Q593),"")</f>
        <v>0.59999999999999432</v>
      </c>
      <c r="L598" s="48">
        <f>IFERROR(IF(OR(INPUT!P593="",INPUT!Q593="",INPUT!P593=0),"",(INPUT!P593-INPUT!Q593)/INPUT!P593),"")</f>
        <v>8.9552238805969304E-3</v>
      </c>
    </row>
    <row r="599" spans="1:12" ht="18" hidden="1" customHeight="1" x14ac:dyDescent="0.2">
      <c r="A599" s="11">
        <f>IF(INPUT!M594="","",INPUT!M594)</f>
        <v>45915</v>
      </c>
      <c r="B599" s="11">
        <f>IF(INPUT!M594="","",INPUT!M594-WEEKDAY(INPUT!M594,2)+1)</f>
        <v>45915</v>
      </c>
      <c r="C599" s="20">
        <f>IFERROR(_xlfn.ISOWEEKNUM(INPUT!M594),"")</f>
        <v>38</v>
      </c>
      <c r="D599" s="20">
        <f>IFERROR(YEAR(INPUT!M594),"")</f>
        <v>2025</v>
      </c>
      <c r="E599" t="str">
        <f>IF(INPUT!O594="","",INPUT!O594)</f>
        <v>GONZALO</v>
      </c>
      <c r="F599" t="str">
        <f>IF(INPUT!N594="","",INPUT!N594)</f>
        <v>M</v>
      </c>
      <c r="G599" t="str" cm="1">
        <f t="array" ref="G599">IFERROR(VLOOKUP(INPUT!M594&amp;INPUT!N594,CHOOSE({1,2},INPUT!$A$3:$A$5000&amp;INPUT!$C$3:$C$5000,INPUT!$F$3:$F$5000),2,FALSE),"")</f>
        <v>PRE-TEMPORADA</v>
      </c>
      <c r="H599" t="str" cm="1">
        <f t="array" ref="H599">IFERROR(VLOOKUP(INPUT!M594&amp;INPUT!N594,CHOOSE({1,2},INPUT!$A$3:$A$5000&amp;INPUT!$C$3:$C$5000,INPUT!$D$3:$D$5000),2,FALSE),"")</f>
        <v>FISICO</v>
      </c>
      <c r="I599" s="46">
        <f>IF(INPUT!P594="","",INPUT!P594)</f>
        <v>84.8</v>
      </c>
      <c r="J599" s="46">
        <f>IF(INPUT!Q594="","",INPUT!Q594)</f>
        <v>84.9</v>
      </c>
      <c r="K599" s="46">
        <f>IFERROR(IF(OR(INPUT!P594="",INPUT!Q594=""),"",INPUT!P594-INPUT!Q594),"")</f>
        <v>-0.10000000000000853</v>
      </c>
      <c r="L599" s="48">
        <f>IFERROR(IF(OR(INPUT!P594="",INPUT!Q594="",INPUT!P594=0),"",(INPUT!P594-INPUT!Q594)/INPUT!P594),"")</f>
        <v>-1.1792452830189685E-3</v>
      </c>
    </row>
    <row r="600" spans="1:12" ht="18" hidden="1" customHeight="1" x14ac:dyDescent="0.2">
      <c r="A600" s="11">
        <f>IF(INPUT!M595="","",INPUT!M595)</f>
        <v>45915</v>
      </c>
      <c r="B600" s="11">
        <f>IF(INPUT!M595="","",INPUT!M595-WEEKDAY(INPUT!M595,2)+1)</f>
        <v>45915</v>
      </c>
      <c r="C600" s="20">
        <f>IFERROR(_xlfn.ISOWEEKNUM(INPUT!M595),"")</f>
        <v>38</v>
      </c>
      <c r="D600" s="20">
        <f>IFERROR(YEAR(INPUT!M595),"")</f>
        <v>2025</v>
      </c>
      <c r="E600" t="str">
        <f>IF(INPUT!O595="","",INPUT!O595)</f>
        <v>GONZALO</v>
      </c>
      <c r="F600" t="str">
        <f>IF(INPUT!N595="","",INPUT!N595)</f>
        <v>T</v>
      </c>
      <c r="G600" t="str" cm="1">
        <f t="array" ref="G600">IFERROR(VLOOKUP(INPUT!M595&amp;INPUT!N595,CHOOSE({1,2},INPUT!$A$3:$A$5000&amp;INPUT!$C$3:$C$5000,INPUT!$F$3:$F$5000),2,FALSE),"")</f>
        <v>PRE-TEMPORADA</v>
      </c>
      <c r="H600" t="str" cm="1">
        <f t="array" ref="H600">IFERROR(VLOOKUP(INPUT!M595&amp;INPUT!N595,CHOOSE({1,2},INPUT!$A$3:$A$5000&amp;INPUT!$C$3:$C$5000,INPUT!$D$3:$D$5000),2,FALSE),"")</f>
        <v>TEC-TAC</v>
      </c>
      <c r="I600" s="46">
        <f>IF(INPUT!P595="","",INPUT!P595)</f>
        <v>85</v>
      </c>
      <c r="J600" s="46">
        <f>IF(INPUT!Q595="","",INPUT!Q595)</f>
        <v>85</v>
      </c>
      <c r="K600" s="46">
        <f>IFERROR(IF(OR(INPUT!P595="",INPUT!Q595=""),"",INPUT!P595-INPUT!Q595),"")</f>
        <v>0</v>
      </c>
      <c r="L600" s="48">
        <f>IFERROR(IF(OR(INPUT!P595="",INPUT!Q595="",INPUT!P595=0),"",(INPUT!P595-INPUT!Q595)/INPUT!P595),"")</f>
        <v>0</v>
      </c>
    </row>
    <row r="601" spans="1:12" ht="18" hidden="1" customHeight="1" x14ac:dyDescent="0.2">
      <c r="A601" s="11">
        <f>IF(INPUT!M596="","",INPUT!M596)</f>
        <v>45915</v>
      </c>
      <c r="B601" s="11">
        <f>IF(INPUT!M596="","",INPUT!M596-WEEKDAY(INPUT!M596,2)+1)</f>
        <v>45915</v>
      </c>
      <c r="C601" s="20">
        <f>IFERROR(_xlfn.ISOWEEKNUM(INPUT!M596),"")</f>
        <v>38</v>
      </c>
      <c r="D601" s="20">
        <f>IFERROR(YEAR(INPUT!M596),"")</f>
        <v>2025</v>
      </c>
      <c r="E601" t="str">
        <f>IF(INPUT!O596="","",INPUT!O596)</f>
        <v>RUBIO</v>
      </c>
      <c r="F601" t="str">
        <f>IF(INPUT!N596="","",INPUT!N596)</f>
        <v>M</v>
      </c>
      <c r="G601" t="str" cm="1">
        <f t="array" ref="G601">IFERROR(VLOOKUP(INPUT!M596&amp;INPUT!N596,CHOOSE({1,2},INPUT!$A$3:$A$5000&amp;INPUT!$C$3:$C$5000,INPUT!$F$3:$F$5000),2,FALSE),"")</f>
        <v>PRE-TEMPORADA</v>
      </c>
      <c r="H601" t="str" cm="1">
        <f t="array" ref="H601">IFERROR(VLOOKUP(INPUT!M596&amp;INPUT!N596,CHOOSE({1,2},INPUT!$A$3:$A$5000&amp;INPUT!$C$3:$C$5000,INPUT!$D$3:$D$5000),2,FALSE),"")</f>
        <v>FISICO</v>
      </c>
      <c r="I601" s="46">
        <f>IF(INPUT!P596="","",INPUT!P596)</f>
        <v>74.5</v>
      </c>
      <c r="J601" s="46">
        <f>IF(INPUT!Q596="","",INPUT!Q596)</f>
        <v>74.5</v>
      </c>
      <c r="K601" s="46">
        <f>IFERROR(IF(OR(INPUT!P596="",INPUT!Q596=""),"",INPUT!P596-INPUT!Q596),"")</f>
        <v>0</v>
      </c>
      <c r="L601" s="48">
        <f>IFERROR(IF(OR(INPUT!P596="",INPUT!Q596="",INPUT!P596=0),"",(INPUT!P596-INPUT!Q596)/INPUT!P596),"")</f>
        <v>0</v>
      </c>
    </row>
    <row r="602" spans="1:12" ht="18" hidden="1" customHeight="1" x14ac:dyDescent="0.2">
      <c r="A602" s="11">
        <f>IF(INPUT!M597="","",INPUT!M597)</f>
        <v>45915</v>
      </c>
      <c r="B602" s="11">
        <f>IF(INPUT!M597="","",INPUT!M597-WEEKDAY(INPUT!M597,2)+1)</f>
        <v>45915</v>
      </c>
      <c r="C602" s="20">
        <f>IFERROR(_xlfn.ISOWEEKNUM(INPUT!M597),"")</f>
        <v>38</v>
      </c>
      <c r="D602" s="20">
        <f>IFERROR(YEAR(INPUT!M597),"")</f>
        <v>2025</v>
      </c>
      <c r="E602" t="str">
        <f>IF(INPUT!O597="","",INPUT!O597)</f>
        <v>RUBIO</v>
      </c>
      <c r="F602" t="str">
        <f>IF(INPUT!N597="","",INPUT!N597)</f>
        <v>T</v>
      </c>
      <c r="G602" t="str" cm="1">
        <f t="array" ref="G602">IFERROR(VLOOKUP(INPUT!M597&amp;INPUT!N597,CHOOSE({1,2},INPUT!$A$3:$A$5000&amp;INPUT!$C$3:$C$5000,INPUT!$F$3:$F$5000),2,FALSE),"")</f>
        <v>PRE-TEMPORADA</v>
      </c>
      <c r="H602" t="str" cm="1">
        <f t="array" ref="H602">IFERROR(VLOOKUP(INPUT!M597&amp;INPUT!N597,CHOOSE({1,2},INPUT!$A$3:$A$5000&amp;INPUT!$C$3:$C$5000,INPUT!$D$3:$D$5000),2,FALSE),"")</f>
        <v>TEC-TAC</v>
      </c>
      <c r="I602" s="46">
        <f>IF(INPUT!P597="","",INPUT!P597)</f>
        <v>74.2</v>
      </c>
      <c r="J602" s="46">
        <f>IF(INPUT!Q597="","",INPUT!Q597)</f>
        <v>74.3</v>
      </c>
      <c r="K602" s="46">
        <f>IFERROR(IF(OR(INPUT!P597="",INPUT!Q597=""),"",INPUT!P597-INPUT!Q597),"")</f>
        <v>-9.9999999999994316E-2</v>
      </c>
      <c r="L602" s="48">
        <f>IFERROR(IF(OR(INPUT!P597="",INPUT!Q597="",INPUT!P597=0),"",(INPUT!P597-INPUT!Q597)/INPUT!P597),"")</f>
        <v>-1.3477088948786295E-3</v>
      </c>
    </row>
    <row r="603" spans="1:12" ht="18" hidden="1" customHeight="1" x14ac:dyDescent="0.2">
      <c r="A603" s="11">
        <f>IF(INPUT!M598="","",INPUT!M598)</f>
        <v>45915</v>
      </c>
      <c r="B603" s="11">
        <f>IF(INPUT!M598="","",INPUT!M598-WEEKDAY(INPUT!M598,2)+1)</f>
        <v>45915</v>
      </c>
      <c r="C603" s="20">
        <f>IFERROR(_xlfn.ISOWEEKNUM(INPUT!M598),"")</f>
        <v>38</v>
      </c>
      <c r="D603" s="20">
        <f>IFERROR(YEAR(INPUT!M598),"")</f>
        <v>2025</v>
      </c>
      <c r="E603" t="str">
        <f>IF(INPUT!O598="","",INPUT!O598)</f>
        <v>DANI</v>
      </c>
      <c r="F603" t="str">
        <f>IF(INPUT!N598="","",INPUT!N598)</f>
        <v>M</v>
      </c>
      <c r="G603" t="str" cm="1">
        <f t="array" ref="G603">IFERROR(VLOOKUP(INPUT!M598&amp;INPUT!N598,CHOOSE({1,2},INPUT!$A$3:$A$5000&amp;INPUT!$C$3:$C$5000,INPUT!$F$3:$F$5000),2,FALSE),"")</f>
        <v>PRE-TEMPORADA</v>
      </c>
      <c r="H603" t="str" cm="1">
        <f t="array" ref="H603">IFERROR(VLOOKUP(INPUT!M598&amp;INPUT!N598,CHOOSE({1,2},INPUT!$A$3:$A$5000&amp;INPUT!$C$3:$C$5000,INPUT!$D$3:$D$5000),2,FALSE),"")</f>
        <v>FISICO</v>
      </c>
      <c r="I603" s="46">
        <f>IF(INPUT!P598="","",INPUT!P598)</f>
        <v>92.1</v>
      </c>
      <c r="J603" s="46">
        <f>IF(INPUT!Q598="","",INPUT!Q598)</f>
        <v>92.1</v>
      </c>
      <c r="K603" s="46">
        <f>IFERROR(IF(OR(INPUT!P598="",INPUT!Q598=""),"",INPUT!P598-INPUT!Q598),"")</f>
        <v>0</v>
      </c>
      <c r="L603" s="48">
        <f>IFERROR(IF(OR(INPUT!P598="",INPUT!Q598="",INPUT!P598=0),"",(INPUT!P598-INPUT!Q598)/INPUT!P598),"")</f>
        <v>0</v>
      </c>
    </row>
    <row r="604" spans="1:12" ht="18" hidden="1" customHeight="1" x14ac:dyDescent="0.2">
      <c r="A604" s="11">
        <f>IF(INPUT!M599="","",INPUT!M599)</f>
        <v>45915</v>
      </c>
      <c r="B604" s="11">
        <f>IF(INPUT!M599="","",INPUT!M599-WEEKDAY(INPUT!M599,2)+1)</f>
        <v>45915</v>
      </c>
      <c r="C604" s="20">
        <f>IFERROR(_xlfn.ISOWEEKNUM(INPUT!M599),"")</f>
        <v>38</v>
      </c>
      <c r="D604" s="20">
        <f>IFERROR(YEAR(INPUT!M599),"")</f>
        <v>2025</v>
      </c>
      <c r="E604" t="str">
        <f>IF(INPUT!O599="","",INPUT!O599)</f>
        <v>DANI</v>
      </c>
      <c r="F604" t="str">
        <f>IF(INPUT!N599="","",INPUT!N599)</f>
        <v>T</v>
      </c>
      <c r="G604" t="str" cm="1">
        <f t="array" ref="G604">IFERROR(VLOOKUP(INPUT!M599&amp;INPUT!N599,CHOOSE({1,2},INPUT!$A$3:$A$5000&amp;INPUT!$C$3:$C$5000,INPUT!$F$3:$F$5000),2,FALSE),"")</f>
        <v>PRE-TEMPORADA</v>
      </c>
      <c r="H604" t="str" cm="1">
        <f t="array" ref="H604">IFERROR(VLOOKUP(INPUT!M599&amp;INPUT!N599,CHOOSE({1,2},INPUT!$A$3:$A$5000&amp;INPUT!$C$3:$C$5000,INPUT!$D$3:$D$5000),2,FALSE),"")</f>
        <v>TEC-TAC</v>
      </c>
      <c r="I604" s="46">
        <f>IF(INPUT!P599="","",INPUT!P599)</f>
        <v>92.4</v>
      </c>
      <c r="J604" s="46">
        <f>IF(INPUT!Q599="","",INPUT!Q599)</f>
        <v>92</v>
      </c>
      <c r="K604" s="46">
        <f>IFERROR(IF(OR(INPUT!P599="",INPUT!Q599=""),"",INPUT!P599-INPUT!Q599),"")</f>
        <v>0.40000000000000568</v>
      </c>
      <c r="L604" s="48">
        <f>IFERROR(IF(OR(INPUT!P599="",INPUT!Q599="",INPUT!P599=0),"",(INPUT!P599-INPUT!Q599)/INPUT!P599),"")</f>
        <v>4.3290043290043906E-3</v>
      </c>
    </row>
    <row r="605" spans="1:12" ht="18" hidden="1" customHeight="1" x14ac:dyDescent="0.2">
      <c r="A605" s="11">
        <f>IF(INPUT!M600="","",INPUT!M600)</f>
        <v>45916</v>
      </c>
      <c r="B605" s="11">
        <f>IF(INPUT!M600="","",INPUT!M600-WEEKDAY(INPUT!M600,2)+1)</f>
        <v>45915</v>
      </c>
      <c r="C605" s="20">
        <f>IFERROR(_xlfn.ISOWEEKNUM(INPUT!M600),"")</f>
        <v>38</v>
      </c>
      <c r="D605" s="20">
        <f>IFERROR(YEAR(INPUT!M600),"")</f>
        <v>2025</v>
      </c>
      <c r="E605" t="str">
        <f>IF(INPUT!O600="","",INPUT!O600)</f>
        <v>HERRERO</v>
      </c>
      <c r="F605" t="str">
        <f>IF(INPUT!N600="","",INPUT!N600)</f>
        <v>M</v>
      </c>
      <c r="G605" t="str" cm="1">
        <f t="array" ref="G605">IFERROR(VLOOKUP(INPUT!M600&amp;INPUT!N600,CHOOSE({1,2},INPUT!$A$3:$A$5000&amp;INPUT!$C$3:$C$5000,INPUT!$F$3:$F$5000),2,FALSE),"")</f>
        <v>PRE-TEMPORADA</v>
      </c>
      <c r="H605" t="str" cm="1">
        <f t="array" ref="H605">IFERROR(VLOOKUP(INPUT!M600&amp;INPUT!N600,CHOOSE({1,2},INPUT!$A$3:$A$5000&amp;INPUT!$C$3:$C$5000,INPUT!$D$3:$D$5000),2,FALSE),"")</f>
        <v>TEC-TAC</v>
      </c>
      <c r="I605" s="46">
        <f>IF(INPUT!P600="","",INPUT!P600)</f>
        <v>76.7</v>
      </c>
      <c r="J605" s="46">
        <f>IF(INPUT!Q600="","",INPUT!Q600)</f>
        <v>76</v>
      </c>
      <c r="K605" s="46">
        <f>IFERROR(IF(OR(INPUT!P600="",INPUT!Q600=""),"",INPUT!P600-INPUT!Q600),"")</f>
        <v>0.70000000000000284</v>
      </c>
      <c r="L605" s="48">
        <f>IFERROR(IF(OR(INPUT!P600="",INPUT!Q600="",INPUT!P600=0),"",(INPUT!P600-INPUT!Q600)/INPUT!P600),"")</f>
        <v>9.1264667535854351E-3</v>
      </c>
    </row>
    <row r="606" spans="1:12" ht="18" hidden="1" customHeight="1" x14ac:dyDescent="0.2">
      <c r="A606" s="11">
        <f>IF(INPUT!M601="","",INPUT!M601)</f>
        <v>45916</v>
      </c>
      <c r="B606" s="11">
        <f>IF(INPUT!M601="","",INPUT!M601-WEEKDAY(INPUT!M601,2)+1)</f>
        <v>45915</v>
      </c>
      <c r="C606" s="20">
        <f>IFERROR(_xlfn.ISOWEEKNUM(INPUT!M601),"")</f>
        <v>38</v>
      </c>
      <c r="D606" s="20">
        <f>IFERROR(YEAR(INPUT!M601),"")</f>
        <v>2025</v>
      </c>
      <c r="E606" t="str">
        <f>IF(INPUT!O601="","",INPUT!O601)</f>
        <v>GARCIA</v>
      </c>
      <c r="F606" t="str">
        <f>IF(INPUT!N601="","",INPUT!N601)</f>
        <v>M</v>
      </c>
      <c r="G606" t="str" cm="1">
        <f t="array" ref="G606">IFERROR(VLOOKUP(INPUT!M601&amp;INPUT!N601,CHOOSE({1,2},INPUT!$A$3:$A$5000&amp;INPUT!$C$3:$C$5000,INPUT!$F$3:$F$5000),2,FALSE),"")</f>
        <v>PRE-TEMPORADA</v>
      </c>
      <c r="H606" t="str" cm="1">
        <f t="array" ref="H606">IFERROR(VLOOKUP(INPUT!M601&amp;INPUT!N601,CHOOSE({1,2},INPUT!$A$3:$A$5000&amp;INPUT!$C$3:$C$5000,INPUT!$D$3:$D$5000),2,FALSE),"")</f>
        <v>TEC-TAC</v>
      </c>
      <c r="I606" s="46">
        <f>IF(INPUT!P601="","",INPUT!P601)</f>
        <v>79.7</v>
      </c>
      <c r="J606" s="46">
        <f>IF(INPUT!Q601="","",INPUT!Q601)</f>
        <v>79.400000000000006</v>
      </c>
      <c r="K606" s="46">
        <f>IFERROR(IF(OR(INPUT!P601="",INPUT!Q601=""),"",INPUT!P601-INPUT!Q601),"")</f>
        <v>0.29999999999999716</v>
      </c>
      <c r="L606" s="48">
        <f>IFERROR(IF(OR(INPUT!P601="",INPUT!Q601="",INPUT!P601=0),"",(INPUT!P601-INPUT!Q601)/INPUT!P601),"")</f>
        <v>3.7641154328732392E-3</v>
      </c>
    </row>
    <row r="607" spans="1:12" ht="18" hidden="1" customHeight="1" x14ac:dyDescent="0.2">
      <c r="A607" s="11">
        <f>IF(INPUT!M602="","",INPUT!M602)</f>
        <v>45916</v>
      </c>
      <c r="B607" s="11">
        <f>IF(INPUT!M602="","",INPUT!M602-WEEKDAY(INPUT!M602,2)+1)</f>
        <v>45915</v>
      </c>
      <c r="C607" s="20">
        <f>IFERROR(_xlfn.ISOWEEKNUM(INPUT!M602),"")</f>
        <v>38</v>
      </c>
      <c r="D607" s="20">
        <f>IFERROR(YEAR(INPUT!M602),"")</f>
        <v>2025</v>
      </c>
      <c r="E607" t="str">
        <f>IF(INPUT!O602="","",INPUT!O602)</f>
        <v>CECILIO</v>
      </c>
      <c r="F607" t="str">
        <f>IF(INPUT!N602="","",INPUT!N602)</f>
        <v>M</v>
      </c>
      <c r="G607" t="str" cm="1">
        <f t="array" ref="G607">IFERROR(VLOOKUP(INPUT!M602&amp;INPUT!N602,CHOOSE({1,2},INPUT!$A$3:$A$5000&amp;INPUT!$C$3:$C$5000,INPUT!$F$3:$F$5000),2,FALSE),"")</f>
        <v>PRE-TEMPORADA</v>
      </c>
      <c r="H607" t="str" cm="1">
        <f t="array" ref="H607">IFERROR(VLOOKUP(INPUT!M602&amp;INPUT!N602,CHOOSE({1,2},INPUT!$A$3:$A$5000&amp;INPUT!$C$3:$C$5000,INPUT!$D$3:$D$5000),2,FALSE),"")</f>
        <v>TEC-TAC</v>
      </c>
      <c r="I607" s="46">
        <f>IF(INPUT!P602="","",INPUT!P602)</f>
        <v>68.3</v>
      </c>
      <c r="J607" s="46">
        <f>IF(INPUT!Q602="","",INPUT!Q602)</f>
        <v>68.099999999999994</v>
      </c>
      <c r="K607" s="46">
        <f>IFERROR(IF(OR(INPUT!P602="",INPUT!Q602=""),"",INPUT!P602-INPUT!Q602),"")</f>
        <v>0.20000000000000284</v>
      </c>
      <c r="L607" s="48">
        <f>IFERROR(IF(OR(INPUT!P602="",INPUT!Q602="",INPUT!P602=0),"",(INPUT!P602-INPUT!Q602)/INPUT!P602),"")</f>
        <v>2.9282576866764692E-3</v>
      </c>
    </row>
    <row r="608" spans="1:12" ht="18" hidden="1" customHeight="1" x14ac:dyDescent="0.2">
      <c r="A608" s="11">
        <f>IF(INPUT!M603="","",INPUT!M603)</f>
        <v>45916</v>
      </c>
      <c r="B608" s="11">
        <f>IF(INPUT!M603="","",INPUT!M603-WEEKDAY(INPUT!M603,2)+1)</f>
        <v>45915</v>
      </c>
      <c r="C608" s="20">
        <f>IFERROR(_xlfn.ISOWEEKNUM(INPUT!M603),"")</f>
        <v>38</v>
      </c>
      <c r="D608" s="20">
        <f>IFERROR(YEAR(INPUT!M603),"")</f>
        <v>2025</v>
      </c>
      <c r="E608" t="str">
        <f>IF(INPUT!O603="","",INPUT!O603)</f>
        <v>CHAGUINHA</v>
      </c>
      <c r="F608" t="str">
        <f>IF(INPUT!N603="","",INPUT!N603)</f>
        <v>M</v>
      </c>
      <c r="G608" t="str" cm="1">
        <f t="array" ref="G608">IFERROR(VLOOKUP(INPUT!M603&amp;INPUT!N603,CHOOSE({1,2},INPUT!$A$3:$A$5000&amp;INPUT!$C$3:$C$5000,INPUT!$F$3:$F$5000),2,FALSE),"")</f>
        <v>PRE-TEMPORADA</v>
      </c>
      <c r="H608" t="str" cm="1">
        <f t="array" ref="H608">IFERROR(VLOOKUP(INPUT!M603&amp;INPUT!N603,CHOOSE({1,2},INPUT!$A$3:$A$5000&amp;INPUT!$C$3:$C$5000,INPUT!$D$3:$D$5000),2,FALSE),"")</f>
        <v>TEC-TAC</v>
      </c>
      <c r="I608" s="46">
        <f>IF(INPUT!P603="","",INPUT!P603)</f>
        <v>68.3</v>
      </c>
      <c r="J608" s="46">
        <f>IF(INPUT!Q603="","",INPUT!Q603)</f>
        <v>68</v>
      </c>
      <c r="K608" s="46">
        <f>IFERROR(IF(OR(INPUT!P603="",INPUT!Q603=""),"",INPUT!P603-INPUT!Q603),"")</f>
        <v>0.29999999999999716</v>
      </c>
      <c r="L608" s="48">
        <f>IFERROR(IF(OR(INPUT!P603="",INPUT!Q603="",INPUT!P603=0),"",(INPUT!P603-INPUT!Q603)/INPUT!P603),"")</f>
        <v>4.3923865300145998E-3</v>
      </c>
    </row>
    <row r="609" spans="1:12" ht="18" hidden="1" customHeight="1" x14ac:dyDescent="0.2">
      <c r="A609" s="11">
        <f>IF(INPUT!M604="","",INPUT!M604)</f>
        <v>45916</v>
      </c>
      <c r="B609" s="11">
        <f>IF(INPUT!M604="","",INPUT!M604-WEEKDAY(INPUT!M604,2)+1)</f>
        <v>45915</v>
      </c>
      <c r="C609" s="20">
        <f>IFERROR(_xlfn.ISOWEEKNUM(INPUT!M604),"")</f>
        <v>38</v>
      </c>
      <c r="D609" s="20">
        <f>IFERROR(YEAR(INPUT!M604),"")</f>
        <v>2025</v>
      </c>
      <c r="E609" t="str">
        <f>IF(INPUT!O604="","",INPUT!O604)</f>
        <v>HARRISON</v>
      </c>
      <c r="F609" t="str">
        <f>IF(INPUT!N604="","",INPUT!N604)</f>
        <v>M</v>
      </c>
      <c r="G609" t="str" cm="1">
        <f t="array" ref="G609">IFERROR(VLOOKUP(INPUT!M604&amp;INPUT!N604,CHOOSE({1,2},INPUT!$A$3:$A$5000&amp;INPUT!$C$3:$C$5000,INPUT!$F$3:$F$5000),2,FALSE),"")</f>
        <v>PRE-TEMPORADA</v>
      </c>
      <c r="H609" t="str" cm="1">
        <f t="array" ref="H609">IFERROR(VLOOKUP(INPUT!M604&amp;INPUT!N604,CHOOSE({1,2},INPUT!$A$3:$A$5000&amp;INPUT!$C$3:$C$5000,INPUT!$D$3:$D$5000),2,FALSE),"")</f>
        <v>TEC-TAC</v>
      </c>
      <c r="I609" s="46">
        <f>IF(INPUT!P604="","",INPUT!P604)</f>
        <v>71</v>
      </c>
      <c r="J609" s="46">
        <f>IF(INPUT!Q604="","",INPUT!Q604)</f>
        <v>70.599999999999994</v>
      </c>
      <c r="K609" s="46">
        <f>IFERROR(IF(OR(INPUT!P604="",INPUT!Q604=""),"",INPUT!P604-INPUT!Q604),"")</f>
        <v>0.40000000000000568</v>
      </c>
      <c r="L609" s="48">
        <f>IFERROR(IF(OR(INPUT!P604="",INPUT!Q604="",INPUT!P604=0),"",(INPUT!P604-INPUT!Q604)/INPUT!P604),"")</f>
        <v>5.6338028169014885E-3</v>
      </c>
    </row>
    <row r="610" spans="1:12" ht="18" customHeight="1" x14ac:dyDescent="0.2">
      <c r="A610" s="11">
        <f>IF(INPUT!M605="","",INPUT!M605)</f>
        <v>45916</v>
      </c>
      <c r="B610" s="11">
        <f>IF(INPUT!M605="","",INPUT!M605-WEEKDAY(INPUT!M605,2)+1)</f>
        <v>45915</v>
      </c>
      <c r="C610" s="20">
        <f>IFERROR(_xlfn.ISOWEEKNUM(INPUT!M605),"")</f>
        <v>38</v>
      </c>
      <c r="D610" s="20">
        <f>IFERROR(YEAR(INPUT!M605),"")</f>
        <v>2025</v>
      </c>
      <c r="E610" t="str">
        <f>IF(INPUT!O605="","",INPUT!O605)</f>
        <v>RAYA</v>
      </c>
      <c r="F610" t="str">
        <f>IF(INPUT!N605="","",INPUT!N605)</f>
        <v>M</v>
      </c>
      <c r="G610" t="str" cm="1">
        <f t="array" ref="G610">IFERROR(VLOOKUP(INPUT!M605&amp;INPUT!N605,CHOOSE({1,2},INPUT!$A$3:$A$5000&amp;INPUT!$C$3:$C$5000,INPUT!$F$3:$F$5000),2,FALSE),"")</f>
        <v>PRE-TEMPORADA</v>
      </c>
      <c r="H610" t="str" cm="1">
        <f t="array" ref="H610">IFERROR(VLOOKUP(INPUT!M605&amp;INPUT!N605,CHOOSE({1,2},INPUT!$A$3:$A$5000&amp;INPUT!$C$3:$C$5000,INPUT!$D$3:$D$5000),2,FALSE),"")</f>
        <v>TEC-TAC</v>
      </c>
      <c r="I610" s="46">
        <f>IF(INPUT!P605="","",INPUT!P605)</f>
        <v>82.6</v>
      </c>
      <c r="J610" s="46">
        <f>IF(INPUT!Q605="","",INPUT!Q605)</f>
        <v>81.400000000000006</v>
      </c>
      <c r="K610" s="46">
        <f>IFERROR(IF(OR(INPUT!P605="",INPUT!Q605=""),"",INPUT!P605-INPUT!Q605),"")</f>
        <v>1.1999999999999886</v>
      </c>
      <c r="L610" s="48">
        <f>IFERROR(IF(OR(INPUT!P605="",INPUT!Q605="",INPUT!P605=0),"",(INPUT!P605-INPUT!Q605)/INPUT!P605),"")</f>
        <v>1.4527845036319476E-2</v>
      </c>
    </row>
    <row r="611" spans="1:12" ht="18" customHeight="1" x14ac:dyDescent="0.2">
      <c r="A611" s="11">
        <f>IF(INPUT!M606="","",INPUT!M606)</f>
        <v>45916</v>
      </c>
      <c r="B611" s="11">
        <f>IF(INPUT!M606="","",INPUT!M606-WEEKDAY(INPUT!M606,2)+1)</f>
        <v>45915</v>
      </c>
      <c r="C611" s="20">
        <f>IFERROR(_xlfn.ISOWEEKNUM(INPUT!M606),"")</f>
        <v>38</v>
      </c>
      <c r="D611" s="20">
        <f>IFERROR(YEAR(INPUT!M606),"")</f>
        <v>2025</v>
      </c>
      <c r="E611" t="str">
        <f>IF(INPUT!O606="","",INPUT!O606)</f>
        <v>PIRATA</v>
      </c>
      <c r="F611" t="str">
        <f>IF(INPUT!N606="","",INPUT!N606)</f>
        <v>M</v>
      </c>
      <c r="G611" t="str" cm="1">
        <f t="array" ref="G611">IFERROR(VLOOKUP(INPUT!M606&amp;INPUT!N606,CHOOSE({1,2},INPUT!$A$3:$A$5000&amp;INPUT!$C$3:$C$5000,INPUT!$F$3:$F$5000),2,FALSE),"")</f>
        <v>PRE-TEMPORADA</v>
      </c>
      <c r="H611" t="str" cm="1">
        <f t="array" ref="H611">IFERROR(VLOOKUP(INPUT!M606&amp;INPUT!N606,CHOOSE({1,2},INPUT!$A$3:$A$5000&amp;INPUT!$C$3:$C$5000,INPUT!$D$3:$D$5000),2,FALSE),"")</f>
        <v>TEC-TAC</v>
      </c>
      <c r="I611" s="46">
        <f>IF(INPUT!P606="","",INPUT!P606)</f>
        <v>74.8</v>
      </c>
      <c r="J611" s="46">
        <f>IF(INPUT!Q606="","",INPUT!Q606)</f>
        <v>74.400000000000006</v>
      </c>
      <c r="K611" s="46">
        <f>IFERROR(IF(OR(INPUT!P606="",INPUT!Q606=""),"",INPUT!P606-INPUT!Q606),"")</f>
        <v>0.39999999999999147</v>
      </c>
      <c r="L611" s="48">
        <f>IFERROR(IF(OR(INPUT!P606="",INPUT!Q606="",INPUT!P606=0),"",(INPUT!P606-INPUT!Q606)/INPUT!P606),"")</f>
        <v>5.3475935828875866E-3</v>
      </c>
    </row>
    <row r="612" spans="1:12" ht="18" customHeight="1" x14ac:dyDescent="0.2">
      <c r="A612" s="11">
        <f>IF(INPUT!M607="","",INPUT!M607)</f>
        <v>45916</v>
      </c>
      <c r="B612" s="11">
        <f>IF(INPUT!M607="","",INPUT!M607-WEEKDAY(INPUT!M607,2)+1)</f>
        <v>45915</v>
      </c>
      <c r="C612" s="20">
        <f>IFERROR(_xlfn.ISOWEEKNUM(INPUT!M607),"")</f>
        <v>38</v>
      </c>
      <c r="D612" s="20">
        <f>IFERROR(YEAR(INPUT!M607),"")</f>
        <v>2025</v>
      </c>
      <c r="E612" t="str">
        <f>IF(INPUT!O607="","",INPUT!O607)</f>
        <v>BARONA</v>
      </c>
      <c r="F612" t="str">
        <f>IF(INPUT!N607="","",INPUT!N607)</f>
        <v>M</v>
      </c>
      <c r="G612" t="str" cm="1">
        <f t="array" ref="G612">IFERROR(VLOOKUP(INPUT!M607&amp;INPUT!N607,CHOOSE({1,2},INPUT!$A$3:$A$5000&amp;INPUT!$C$3:$C$5000,INPUT!$F$3:$F$5000),2,FALSE),"")</f>
        <v>PRE-TEMPORADA</v>
      </c>
      <c r="H612" t="str" cm="1">
        <f t="array" ref="H612">IFERROR(VLOOKUP(INPUT!M607&amp;INPUT!N607,CHOOSE({1,2},INPUT!$A$3:$A$5000&amp;INPUT!$C$3:$C$5000,INPUT!$D$3:$D$5000),2,FALSE),"")</f>
        <v>TEC-TAC</v>
      </c>
      <c r="I612" s="46">
        <f>IF(INPUT!P607="","",INPUT!P607)</f>
        <v>71.2</v>
      </c>
      <c r="J612" s="46">
        <f>IF(INPUT!Q607="","",INPUT!Q607)</f>
        <v>71.599999999999994</v>
      </c>
      <c r="K612" s="46">
        <f>IFERROR(IF(OR(INPUT!P607="",INPUT!Q607=""),"",INPUT!P607-INPUT!Q607),"")</f>
        <v>-0.39999999999999147</v>
      </c>
      <c r="L612" s="48">
        <f>IFERROR(IF(OR(INPUT!P607="",INPUT!Q607="",INPUT!P607=0),"",(INPUT!P607-INPUT!Q607)/INPUT!P607),"")</f>
        <v>-5.6179775280897678E-3</v>
      </c>
    </row>
    <row r="613" spans="1:12" ht="18" customHeight="1" x14ac:dyDescent="0.2">
      <c r="A613" s="11">
        <f>IF(INPUT!M608="","",INPUT!M608)</f>
        <v>45916</v>
      </c>
      <c r="B613" s="11">
        <f>IF(INPUT!M608="","",INPUT!M608-WEEKDAY(INPUT!M608,2)+1)</f>
        <v>45915</v>
      </c>
      <c r="C613" s="20">
        <f>IFERROR(_xlfn.ISOWEEKNUM(INPUT!M608),"")</f>
        <v>38</v>
      </c>
      <c r="D613" s="20">
        <f>IFERROR(YEAR(INPUT!M608),"")</f>
        <v>2025</v>
      </c>
      <c r="E613" t="str">
        <f>IF(INPUT!O608="","",INPUT!O608)</f>
        <v>CARLOS</v>
      </c>
      <c r="F613" t="str">
        <f>IF(INPUT!N608="","",INPUT!N608)</f>
        <v>M</v>
      </c>
      <c r="G613" t="str" cm="1">
        <f t="array" ref="G613">IFERROR(VLOOKUP(INPUT!M608&amp;INPUT!N608,CHOOSE({1,2},INPUT!$A$3:$A$5000&amp;INPUT!$C$3:$C$5000,INPUT!$F$3:$F$5000),2,FALSE),"")</f>
        <v>PRE-TEMPORADA</v>
      </c>
      <c r="H613" t="str" cm="1">
        <f t="array" ref="H613">IFERROR(VLOOKUP(INPUT!M608&amp;INPUT!N608,CHOOSE({1,2},INPUT!$A$3:$A$5000&amp;INPUT!$C$3:$C$5000,INPUT!$D$3:$D$5000),2,FALSE),"")</f>
        <v>TEC-TAC</v>
      </c>
      <c r="I613" s="46">
        <f>IF(INPUT!P608="","",INPUT!P608)</f>
        <v>66.5</v>
      </c>
      <c r="J613" s="46">
        <f>IF(INPUT!Q608="","",INPUT!Q608)</f>
        <v>66.3</v>
      </c>
      <c r="K613" s="46">
        <f>IFERROR(IF(OR(INPUT!P608="",INPUT!Q608=""),"",INPUT!P608-INPUT!Q608),"")</f>
        <v>0.20000000000000284</v>
      </c>
      <c r="L613" s="48">
        <f>IFERROR(IF(OR(INPUT!P608="",INPUT!Q608="",INPUT!P608=0),"",(INPUT!P608-INPUT!Q608)/INPUT!P608),"")</f>
        <v>3.0075187969925239E-3</v>
      </c>
    </row>
    <row r="614" spans="1:12" ht="18" customHeight="1" x14ac:dyDescent="0.2">
      <c r="A614" s="11">
        <f>IF(INPUT!M609="","",INPUT!M609)</f>
        <v>45916</v>
      </c>
      <c r="B614" s="11">
        <f>IF(INPUT!M609="","",INPUT!M609-WEEKDAY(INPUT!M609,2)+1)</f>
        <v>45915</v>
      </c>
      <c r="C614" s="20">
        <f>IFERROR(_xlfn.ISOWEEKNUM(INPUT!M609),"")</f>
        <v>38</v>
      </c>
      <c r="D614" s="20">
        <f>IFERROR(YEAR(INPUT!M609),"")</f>
        <v>2025</v>
      </c>
      <c r="E614" t="str">
        <f>IF(INPUT!O609="","",INPUT!O609)</f>
        <v>GONZALO</v>
      </c>
      <c r="F614" t="str">
        <f>IF(INPUT!N609="","",INPUT!N609)</f>
        <v>M</v>
      </c>
      <c r="G614" t="str" cm="1">
        <f t="array" ref="G614">IFERROR(VLOOKUP(INPUT!M609&amp;INPUT!N609,CHOOSE({1,2},INPUT!$A$3:$A$5000&amp;INPUT!$C$3:$C$5000,INPUT!$F$3:$F$5000),2,FALSE),"")</f>
        <v>PRE-TEMPORADA</v>
      </c>
      <c r="H614" t="str" cm="1">
        <f t="array" ref="H614">IFERROR(VLOOKUP(INPUT!M609&amp;INPUT!N609,CHOOSE({1,2},INPUT!$A$3:$A$5000&amp;INPUT!$C$3:$C$5000,INPUT!$D$3:$D$5000),2,FALSE),"")</f>
        <v>TEC-TAC</v>
      </c>
      <c r="I614" s="46">
        <f>IF(INPUT!P609="","",INPUT!P609)</f>
        <v>84.9</v>
      </c>
      <c r="J614" s="46">
        <f>IF(INPUT!Q609="","",INPUT!Q609)</f>
        <v>85.7</v>
      </c>
      <c r="K614" s="46">
        <f>IFERROR(IF(OR(INPUT!P609="",INPUT!Q609=""),"",INPUT!P609-INPUT!Q609),"")</f>
        <v>-0.79999999999999716</v>
      </c>
      <c r="L614" s="48">
        <f>IFERROR(IF(OR(INPUT!P609="",INPUT!Q609="",INPUT!P609=0),"",(INPUT!P609-INPUT!Q609)/INPUT!P609),"")</f>
        <v>-9.4228504122496719E-3</v>
      </c>
    </row>
    <row r="615" spans="1:12" ht="18" customHeight="1" x14ac:dyDescent="0.2">
      <c r="A615" s="11">
        <f>IF(INPUT!M610="","",INPUT!M610)</f>
        <v>45916</v>
      </c>
      <c r="B615" s="11">
        <f>IF(INPUT!M610="","",INPUT!M610-WEEKDAY(INPUT!M610,2)+1)</f>
        <v>45915</v>
      </c>
      <c r="C615" s="20">
        <f>IFERROR(_xlfn.ISOWEEKNUM(INPUT!M610),"")</f>
        <v>38</v>
      </c>
      <c r="D615" s="20">
        <f>IFERROR(YEAR(INPUT!M610),"")</f>
        <v>2025</v>
      </c>
      <c r="E615" t="str">
        <f>IF(INPUT!O610="","",INPUT!O610)</f>
        <v>SEGO</v>
      </c>
      <c r="F615" t="str">
        <f>IF(INPUT!N610="","",INPUT!N610)</f>
        <v>M</v>
      </c>
      <c r="G615" t="str" cm="1">
        <f t="array" ref="G615">IFERROR(VLOOKUP(INPUT!M610&amp;INPUT!N610,CHOOSE({1,2},INPUT!$A$3:$A$5000&amp;INPUT!$C$3:$C$5000,INPUT!$F$3:$F$5000),2,FALSE),"")</f>
        <v>PRE-TEMPORADA</v>
      </c>
      <c r="H615" t="str" cm="1">
        <f t="array" ref="H615">IFERROR(VLOOKUP(INPUT!M610&amp;INPUT!N610,CHOOSE({1,2},INPUT!$A$3:$A$5000&amp;INPUT!$C$3:$C$5000,INPUT!$D$3:$D$5000),2,FALSE),"")</f>
        <v>TEC-TAC</v>
      </c>
      <c r="I615" s="46">
        <f>IF(INPUT!P610="","",INPUT!P610)</f>
        <v>74.599999999999994</v>
      </c>
      <c r="J615" s="46">
        <f>IF(INPUT!Q610="","",INPUT!Q610)</f>
        <v>74.3</v>
      </c>
      <c r="K615" s="46">
        <f>IFERROR(IF(OR(INPUT!P610="",INPUT!Q610=""),"",INPUT!P610-INPUT!Q610),"")</f>
        <v>0.29999999999999716</v>
      </c>
      <c r="L615" s="48">
        <f>IFERROR(IF(OR(INPUT!P610="",INPUT!Q610="",INPUT!P610=0),"",(INPUT!P610-INPUT!Q610)/INPUT!P610),"")</f>
        <v>4.0214477211795866E-3</v>
      </c>
    </row>
    <row r="616" spans="1:12" ht="18" customHeight="1" x14ac:dyDescent="0.2">
      <c r="A616" s="11">
        <f>IF(INPUT!M611="","",INPUT!M611)</f>
        <v>45916</v>
      </c>
      <c r="B616" s="11">
        <f>IF(INPUT!M611="","",INPUT!M611-WEEKDAY(INPUT!M611,2)+1)</f>
        <v>45915</v>
      </c>
      <c r="C616" s="20">
        <f>IFERROR(_xlfn.ISOWEEKNUM(INPUT!M611),"")</f>
        <v>38</v>
      </c>
      <c r="D616" s="20">
        <f>IFERROR(YEAR(INPUT!M611),"")</f>
        <v>2025</v>
      </c>
      <c r="E616" t="str">
        <f>IF(INPUT!O611="","",INPUT!O611)</f>
        <v>RUBIO</v>
      </c>
      <c r="F616" t="str">
        <f>IF(INPUT!N611="","",INPUT!N611)</f>
        <v>M</v>
      </c>
      <c r="G616" t="str" cm="1">
        <f t="array" ref="G616">IFERROR(VLOOKUP(INPUT!M611&amp;INPUT!N611,CHOOSE({1,2},INPUT!$A$3:$A$5000&amp;INPUT!$C$3:$C$5000,INPUT!$F$3:$F$5000),2,FALSE),"")</f>
        <v>PRE-TEMPORADA</v>
      </c>
      <c r="H616" t="str" cm="1">
        <f t="array" ref="H616">IFERROR(VLOOKUP(INPUT!M611&amp;INPUT!N611,CHOOSE({1,2},INPUT!$A$3:$A$5000&amp;INPUT!$C$3:$C$5000,INPUT!$D$3:$D$5000),2,FALSE),"")</f>
        <v>TEC-TAC</v>
      </c>
      <c r="I616" s="46">
        <f>IF(INPUT!P611="","",INPUT!P611)</f>
        <v>75.2</v>
      </c>
      <c r="J616" s="46">
        <f>IF(INPUT!Q611="","",INPUT!Q611)</f>
        <v>75.2</v>
      </c>
      <c r="K616" s="46">
        <f>IFERROR(IF(OR(INPUT!P611="",INPUT!Q611=""),"",INPUT!P611-INPUT!Q611),"")</f>
        <v>0</v>
      </c>
      <c r="L616" s="48">
        <f>IFERROR(IF(OR(INPUT!P611="",INPUT!Q611="",INPUT!P611=0),"",(INPUT!P611-INPUT!Q611)/INPUT!P611),"")</f>
        <v>0</v>
      </c>
    </row>
    <row r="617" spans="1:12" ht="18" hidden="1" customHeight="1" x14ac:dyDescent="0.2">
      <c r="A617" s="11">
        <f>IF(INPUT!M612="","",INPUT!M612)</f>
        <v>45916</v>
      </c>
      <c r="B617" s="11">
        <f>IF(INPUT!M612="","",INPUT!M612-WEEKDAY(INPUT!M612,2)+1)</f>
        <v>45915</v>
      </c>
      <c r="C617" s="20">
        <f>IFERROR(_xlfn.ISOWEEKNUM(INPUT!M612),"")</f>
        <v>38</v>
      </c>
      <c r="D617" s="20">
        <f>IFERROR(YEAR(INPUT!M612),"")</f>
        <v>2025</v>
      </c>
      <c r="E617" t="str">
        <f>IF(INPUT!O612="","",INPUT!O612)</f>
        <v>DANI</v>
      </c>
      <c r="F617" t="str">
        <f>IF(INPUT!N612="","",INPUT!N612)</f>
        <v>M</v>
      </c>
      <c r="G617" t="str" cm="1">
        <f t="array" ref="G617">IFERROR(VLOOKUP(INPUT!M612&amp;INPUT!N612,CHOOSE({1,2},INPUT!$A$3:$A$5000&amp;INPUT!$C$3:$C$5000,INPUT!$F$3:$F$5000),2,FALSE),"")</f>
        <v>PRE-TEMPORADA</v>
      </c>
      <c r="H617" t="str" cm="1">
        <f t="array" ref="H617">IFERROR(VLOOKUP(INPUT!M612&amp;INPUT!N612,CHOOSE({1,2},INPUT!$A$3:$A$5000&amp;INPUT!$C$3:$C$5000,INPUT!$D$3:$D$5000),2,FALSE),"")</f>
        <v>TEC-TAC</v>
      </c>
      <c r="I617" s="46">
        <f>IF(INPUT!P612="","",INPUT!P612)</f>
        <v>92.3</v>
      </c>
      <c r="J617" s="46">
        <f>IF(INPUT!Q612="","",INPUT!Q612)</f>
        <v>91.7</v>
      </c>
      <c r="K617" s="46">
        <f>IFERROR(IF(OR(INPUT!P612="",INPUT!Q612=""),"",INPUT!P612-INPUT!Q612),"")</f>
        <v>0.59999999999999432</v>
      </c>
      <c r="L617" s="48">
        <f>IFERROR(IF(OR(INPUT!P612="",INPUT!Q612="",INPUT!P612=0),"",(INPUT!P612-INPUT!Q612)/INPUT!P612),"")</f>
        <v>6.5005417118092559E-3</v>
      </c>
    </row>
    <row r="618" spans="1:12" ht="18" hidden="1" customHeight="1" x14ac:dyDescent="0.2">
      <c r="A618" s="11">
        <f>IF(INPUT!M613="","",INPUT!M613)</f>
        <v>45917</v>
      </c>
      <c r="B618" s="11">
        <f>IF(INPUT!M613="","",INPUT!M613-WEEKDAY(INPUT!M613,2)+1)</f>
        <v>45915</v>
      </c>
      <c r="C618" s="20">
        <f>IFERROR(_xlfn.ISOWEEKNUM(INPUT!M613),"")</f>
        <v>38</v>
      </c>
      <c r="D618" s="20">
        <f>IFERROR(YEAR(INPUT!M613),"")</f>
        <v>2025</v>
      </c>
      <c r="E618" t="str">
        <f>IF(INPUT!O613="","",INPUT!O613)</f>
        <v>HERRERO</v>
      </c>
      <c r="F618" t="str">
        <f>IF(INPUT!N613="","",INPUT!N613)</f>
        <v>M</v>
      </c>
      <c r="G618" t="str" cm="1">
        <f t="array" ref="G618">IFERROR(VLOOKUP(INPUT!M613&amp;INPUT!N613,CHOOSE({1,2},INPUT!$A$3:$A$5000&amp;INPUT!$C$3:$C$5000,INPUT!$F$3:$F$5000),2,FALSE),"")</f>
        <v>PRE-TEMPORADA</v>
      </c>
      <c r="H618" t="str" cm="1">
        <f t="array" ref="H618">IFERROR(VLOOKUP(INPUT!M613&amp;INPUT!N613,CHOOSE({1,2},INPUT!$A$3:$A$5000&amp;INPUT!$C$3:$C$5000,INPUT!$D$3:$D$5000),2,FALSE),"")</f>
        <v>MATINAL</v>
      </c>
      <c r="I618" s="46">
        <f>IF(INPUT!P613="","",INPUT!P613)</f>
        <v>76.8</v>
      </c>
      <c r="J618" s="46">
        <f>IF(INPUT!Q613="","",INPUT!Q613)</f>
        <v>76.5</v>
      </c>
      <c r="K618" s="46">
        <f>IFERROR(IF(OR(INPUT!P613="",INPUT!Q613=""),"",INPUT!P613-INPUT!Q613),"")</f>
        <v>0.29999999999999716</v>
      </c>
      <c r="L618" s="48">
        <f>IFERROR(IF(OR(INPUT!P613="",INPUT!Q613="",INPUT!P613=0),"",(INPUT!P613-INPUT!Q613)/INPUT!P613),"")</f>
        <v>3.9062499999999631E-3</v>
      </c>
    </row>
    <row r="619" spans="1:12" ht="18" hidden="1" customHeight="1" x14ac:dyDescent="0.2">
      <c r="A619" s="11">
        <f>IF(INPUT!M614="","",INPUT!M614)</f>
        <v>45917</v>
      </c>
      <c r="B619" s="11">
        <f>IF(INPUT!M614="","",INPUT!M614-WEEKDAY(INPUT!M614,2)+1)</f>
        <v>45915</v>
      </c>
      <c r="C619" s="20">
        <f>IFERROR(_xlfn.ISOWEEKNUM(INPUT!M614),"")</f>
        <v>38</v>
      </c>
      <c r="D619" s="20">
        <f>IFERROR(YEAR(INPUT!M614),"")</f>
        <v>2025</v>
      </c>
      <c r="E619" t="str">
        <f>IF(INPUT!O614="","",INPUT!O614)</f>
        <v>HERRERO</v>
      </c>
      <c r="F619" t="str">
        <f>IF(INPUT!N614="","",INPUT!N614)</f>
        <v>T</v>
      </c>
      <c r="G619" t="str" cm="1">
        <f t="array" ref="G619">IFERROR(VLOOKUP(INPUT!M614&amp;INPUT!N614,CHOOSE({1,2},INPUT!$A$3:$A$5000&amp;INPUT!$C$3:$C$5000,INPUT!$F$3:$F$5000),2,FALSE),"")</f>
        <v>PRE-TEMPORADA</v>
      </c>
      <c r="H619" t="str" cm="1">
        <f t="array" ref="H619">IFERROR(VLOOKUP(INPUT!M614&amp;INPUT!N614,CHOOSE({1,2},INPUT!$A$3:$A$5000&amp;INPUT!$C$3:$C$5000,INPUT!$D$3:$D$5000),2,FALSE),"")</f>
        <v>PARTIDO</v>
      </c>
      <c r="I619" s="46">
        <f>IF(INPUT!P614="","",INPUT!P614)</f>
        <v>77</v>
      </c>
      <c r="J619" s="46">
        <f>IF(INPUT!Q614="","",INPUT!Q614)</f>
        <v>77</v>
      </c>
      <c r="K619" s="46">
        <f>IFERROR(IF(OR(INPUT!P614="",INPUT!Q614=""),"",INPUT!P614-INPUT!Q614),"")</f>
        <v>0</v>
      </c>
      <c r="L619" s="48">
        <f>IFERROR(IF(OR(INPUT!P614="",INPUT!Q614="",INPUT!P614=0),"",(INPUT!P614-INPUT!Q614)/INPUT!P614),"")</f>
        <v>0</v>
      </c>
    </row>
    <row r="620" spans="1:12" ht="18" hidden="1" customHeight="1" x14ac:dyDescent="0.2">
      <c r="A620" s="11">
        <f>IF(INPUT!M615="","",INPUT!M615)</f>
        <v>45917</v>
      </c>
      <c r="B620" s="11">
        <f>IF(INPUT!M615="","",INPUT!M615-WEEKDAY(INPUT!M615,2)+1)</f>
        <v>45915</v>
      </c>
      <c r="C620" s="20">
        <f>IFERROR(_xlfn.ISOWEEKNUM(INPUT!M615),"")</f>
        <v>38</v>
      </c>
      <c r="D620" s="20">
        <f>IFERROR(YEAR(INPUT!M615),"")</f>
        <v>2025</v>
      </c>
      <c r="E620" t="str">
        <f>IF(INPUT!O615="","",INPUT!O615)</f>
        <v>GARCIA</v>
      </c>
      <c r="F620" t="str">
        <f>IF(INPUT!N615="","",INPUT!N615)</f>
        <v>M</v>
      </c>
      <c r="G620" t="str" cm="1">
        <f t="array" ref="G620">IFERROR(VLOOKUP(INPUT!M615&amp;INPUT!N615,CHOOSE({1,2},INPUT!$A$3:$A$5000&amp;INPUT!$C$3:$C$5000,INPUT!$F$3:$F$5000),2,FALSE),"")</f>
        <v>PRE-TEMPORADA</v>
      </c>
      <c r="H620" t="str" cm="1">
        <f t="array" ref="H620">IFERROR(VLOOKUP(INPUT!M615&amp;INPUT!N615,CHOOSE({1,2},INPUT!$A$3:$A$5000&amp;INPUT!$C$3:$C$5000,INPUT!$D$3:$D$5000),2,FALSE),"")</f>
        <v>MATINAL</v>
      </c>
      <c r="I620" s="46">
        <f>IF(INPUT!P615="","",INPUT!P615)</f>
        <v>79.5</v>
      </c>
      <c r="J620" s="46">
        <f>IF(INPUT!Q615="","",INPUT!Q615)</f>
        <v>79.400000000000006</v>
      </c>
      <c r="K620" s="46">
        <f>IFERROR(IF(OR(INPUT!P615="",INPUT!Q615=""),"",INPUT!P615-INPUT!Q615),"")</f>
        <v>9.9999999999994316E-2</v>
      </c>
      <c r="L620" s="48">
        <f>IFERROR(IF(OR(INPUT!P615="",INPUT!Q615="",INPUT!P615=0),"",(INPUT!P615-INPUT!Q615)/INPUT!P615),"")</f>
        <v>1.2578616352200544E-3</v>
      </c>
    </row>
    <row r="621" spans="1:12" ht="18" hidden="1" customHeight="1" x14ac:dyDescent="0.2">
      <c r="A621" s="11">
        <f>IF(INPUT!M616="","",INPUT!M616)</f>
        <v>45917</v>
      </c>
      <c r="B621" s="11">
        <f>IF(INPUT!M616="","",INPUT!M616-WEEKDAY(INPUT!M616,2)+1)</f>
        <v>45915</v>
      </c>
      <c r="C621" s="20">
        <f>IFERROR(_xlfn.ISOWEEKNUM(INPUT!M616),"")</f>
        <v>38</v>
      </c>
      <c r="D621" s="20">
        <f>IFERROR(YEAR(INPUT!M616),"")</f>
        <v>2025</v>
      </c>
      <c r="E621" t="str">
        <f>IF(INPUT!O616="","",INPUT!O616)</f>
        <v>GARCIA</v>
      </c>
      <c r="F621" t="str">
        <f>IF(INPUT!N616="","",INPUT!N616)</f>
        <v>T</v>
      </c>
      <c r="G621" t="str" cm="1">
        <f t="array" ref="G621">IFERROR(VLOOKUP(INPUT!M616&amp;INPUT!N616,CHOOSE({1,2},INPUT!$A$3:$A$5000&amp;INPUT!$C$3:$C$5000,INPUT!$F$3:$F$5000),2,FALSE),"")</f>
        <v>PRE-TEMPORADA</v>
      </c>
      <c r="H621" t="str" cm="1">
        <f t="array" ref="H621">IFERROR(VLOOKUP(INPUT!M616&amp;INPUT!N616,CHOOSE({1,2},INPUT!$A$3:$A$5000&amp;INPUT!$C$3:$C$5000,INPUT!$D$3:$D$5000),2,FALSE),"")</f>
        <v>PARTIDO</v>
      </c>
      <c r="I621" s="46">
        <f>IF(INPUT!P616="","",INPUT!P616)</f>
        <v>79.5</v>
      </c>
      <c r="J621" s="46">
        <f>IF(INPUT!Q616="","",INPUT!Q616)</f>
        <v>78.900000000000006</v>
      </c>
      <c r="K621" s="46">
        <f>IFERROR(IF(OR(INPUT!P616="",INPUT!Q616=""),"",INPUT!P616-INPUT!Q616),"")</f>
        <v>0.59999999999999432</v>
      </c>
      <c r="L621" s="48">
        <f>IFERROR(IF(OR(INPUT!P616="",INPUT!Q616="",INPUT!P616=0),"",(INPUT!P616-INPUT!Q616)/INPUT!P616),"")</f>
        <v>7.5471698113206828E-3</v>
      </c>
    </row>
    <row r="622" spans="1:12" ht="18" hidden="1" customHeight="1" x14ac:dyDescent="0.2">
      <c r="A622" s="11">
        <f>IF(INPUT!M617="","",INPUT!M617)</f>
        <v>45917</v>
      </c>
      <c r="B622" s="11">
        <f>IF(INPUT!M617="","",INPUT!M617-WEEKDAY(INPUT!M617,2)+1)</f>
        <v>45915</v>
      </c>
      <c r="C622" s="20">
        <f>IFERROR(_xlfn.ISOWEEKNUM(INPUT!M617),"")</f>
        <v>38</v>
      </c>
      <c r="D622" s="20">
        <f>IFERROR(YEAR(INPUT!M617),"")</f>
        <v>2025</v>
      </c>
      <c r="E622" t="str">
        <f>IF(INPUT!O617="","",INPUT!O617)</f>
        <v>CECILIO</v>
      </c>
      <c r="F622" t="str">
        <f>IF(INPUT!N617="","",INPUT!N617)</f>
        <v>M</v>
      </c>
      <c r="G622" t="str" cm="1">
        <f t="array" ref="G622">IFERROR(VLOOKUP(INPUT!M617&amp;INPUT!N617,CHOOSE({1,2},INPUT!$A$3:$A$5000&amp;INPUT!$C$3:$C$5000,INPUT!$F$3:$F$5000),2,FALSE),"")</f>
        <v>PRE-TEMPORADA</v>
      </c>
      <c r="H622" t="str" cm="1">
        <f t="array" ref="H622">IFERROR(VLOOKUP(INPUT!M617&amp;INPUT!N617,CHOOSE({1,2},INPUT!$A$3:$A$5000&amp;INPUT!$C$3:$C$5000,INPUT!$D$3:$D$5000),2,FALSE),"")</f>
        <v>MATINAL</v>
      </c>
      <c r="I622" s="46">
        <f>IF(INPUT!P617="","",INPUT!P617)</f>
        <v>67.5</v>
      </c>
      <c r="J622" s="46">
        <f>IF(INPUT!Q617="","",INPUT!Q617)</f>
        <v>67.400000000000006</v>
      </c>
      <c r="K622" s="46">
        <f>IFERROR(IF(OR(INPUT!P617="",INPUT!Q617=""),"",INPUT!P617-INPUT!Q617),"")</f>
        <v>9.9999999999994316E-2</v>
      </c>
      <c r="L622" s="48">
        <f>IFERROR(IF(OR(INPUT!P617="",INPUT!Q617="",INPUT!P617=0),"",(INPUT!P617-INPUT!Q617)/INPUT!P617),"")</f>
        <v>1.4814814814813973E-3</v>
      </c>
    </row>
    <row r="623" spans="1:12" ht="18" hidden="1" customHeight="1" x14ac:dyDescent="0.2">
      <c r="A623" s="11">
        <f>IF(INPUT!M618="","",INPUT!M618)</f>
        <v>45917</v>
      </c>
      <c r="B623" s="11">
        <f>IF(INPUT!M618="","",INPUT!M618-WEEKDAY(INPUT!M618,2)+1)</f>
        <v>45915</v>
      </c>
      <c r="C623" s="20">
        <f>IFERROR(_xlfn.ISOWEEKNUM(INPUT!M618),"")</f>
        <v>38</v>
      </c>
      <c r="D623" s="20">
        <f>IFERROR(YEAR(INPUT!M618),"")</f>
        <v>2025</v>
      </c>
      <c r="E623" t="str">
        <f>IF(INPUT!O618="","",INPUT!O618)</f>
        <v>CECILIO</v>
      </c>
      <c r="F623" t="str">
        <f>IF(INPUT!N618="","",INPUT!N618)</f>
        <v>T</v>
      </c>
      <c r="G623" t="str" cm="1">
        <f t="array" ref="G623">IFERROR(VLOOKUP(INPUT!M618&amp;INPUT!N618,CHOOSE({1,2},INPUT!$A$3:$A$5000&amp;INPUT!$C$3:$C$5000,INPUT!$F$3:$F$5000),2,FALSE),"")</f>
        <v>PRE-TEMPORADA</v>
      </c>
      <c r="H623" t="str" cm="1">
        <f t="array" ref="H623">IFERROR(VLOOKUP(INPUT!M618&amp;INPUT!N618,CHOOSE({1,2},INPUT!$A$3:$A$5000&amp;INPUT!$C$3:$C$5000,INPUT!$D$3:$D$5000),2,FALSE),"")</f>
        <v>PARTIDO</v>
      </c>
      <c r="I623" s="46">
        <f>IF(INPUT!P618="","",INPUT!P618)</f>
        <v>67.099999999999994</v>
      </c>
      <c r="J623" s="46">
        <f>IF(INPUT!Q618="","",INPUT!Q618)</f>
        <v>66.599999999999994</v>
      </c>
      <c r="K623" s="46">
        <f>IFERROR(IF(OR(INPUT!P618="",INPUT!Q618=""),"",INPUT!P618-INPUT!Q618),"")</f>
        <v>0.5</v>
      </c>
      <c r="L623" s="48">
        <f>IFERROR(IF(OR(INPUT!P618="",INPUT!Q618="",INPUT!P618=0),"",(INPUT!P618-INPUT!Q618)/INPUT!P618),"")</f>
        <v>7.4515648286140098E-3</v>
      </c>
    </row>
    <row r="624" spans="1:12" ht="18" customHeight="1" x14ac:dyDescent="0.2">
      <c r="A624" s="11">
        <f>IF(INPUT!M619="","",INPUT!M619)</f>
        <v>45917</v>
      </c>
      <c r="B624" s="11">
        <f>IF(INPUT!M619="","",INPUT!M619-WEEKDAY(INPUT!M619,2)+1)</f>
        <v>45915</v>
      </c>
      <c r="C624" s="20">
        <f>IFERROR(_xlfn.ISOWEEKNUM(INPUT!M619),"")</f>
        <v>38</v>
      </c>
      <c r="D624" s="20">
        <f>IFERROR(YEAR(INPUT!M619),"")</f>
        <v>2025</v>
      </c>
      <c r="E624" t="str">
        <f>IF(INPUT!O619="","",INPUT!O619)</f>
        <v>CHAGUINHA</v>
      </c>
      <c r="F624" t="str">
        <f>IF(INPUT!N619="","",INPUT!N619)</f>
        <v>M</v>
      </c>
      <c r="G624" t="str" cm="1">
        <f t="array" ref="G624">IFERROR(VLOOKUP(INPUT!M619&amp;INPUT!N619,CHOOSE({1,2},INPUT!$A$3:$A$5000&amp;INPUT!$C$3:$C$5000,INPUT!$F$3:$F$5000),2,FALSE),"")</f>
        <v>PRE-TEMPORADA</v>
      </c>
      <c r="H624" t="str" cm="1">
        <f t="array" ref="H624">IFERROR(VLOOKUP(INPUT!M619&amp;INPUT!N619,CHOOSE({1,2},INPUT!$A$3:$A$5000&amp;INPUT!$C$3:$C$5000,INPUT!$D$3:$D$5000),2,FALSE),"")</f>
        <v>MATINAL</v>
      </c>
      <c r="I624" s="46">
        <f>IF(INPUT!P619="","",INPUT!P619)</f>
        <v>68.599999999999994</v>
      </c>
      <c r="J624" s="46">
        <f>IF(INPUT!Q619="","",INPUT!Q619)</f>
        <v>68.7</v>
      </c>
      <c r="K624" s="46">
        <f>IFERROR(IF(OR(INPUT!P619="",INPUT!Q619=""),"",INPUT!P619-INPUT!Q619),"")</f>
        <v>-0.10000000000000853</v>
      </c>
      <c r="L624" s="48">
        <f>IFERROR(IF(OR(INPUT!P619="",INPUT!Q619="",INPUT!P619=0),"",(INPUT!P619-INPUT!Q619)/INPUT!P619),"")</f>
        <v>-1.4577259475219903E-3</v>
      </c>
    </row>
    <row r="625" spans="1:12" ht="18" customHeight="1" x14ac:dyDescent="0.2">
      <c r="A625" s="11">
        <f>IF(INPUT!M620="","",INPUT!M620)</f>
        <v>45917</v>
      </c>
      <c r="B625" s="11">
        <f>IF(INPUT!M620="","",INPUT!M620-WEEKDAY(INPUT!M620,2)+1)</f>
        <v>45915</v>
      </c>
      <c r="C625" s="20">
        <f>IFERROR(_xlfn.ISOWEEKNUM(INPUT!M620),"")</f>
        <v>38</v>
      </c>
      <c r="D625" s="20">
        <f>IFERROR(YEAR(INPUT!M620),"")</f>
        <v>2025</v>
      </c>
      <c r="E625" t="str">
        <f>IF(INPUT!O620="","",INPUT!O620)</f>
        <v>CHAGUINHA</v>
      </c>
      <c r="F625" t="str">
        <f>IF(INPUT!N620="","",INPUT!N620)</f>
        <v>T</v>
      </c>
      <c r="G625" t="str" cm="1">
        <f t="array" ref="G625">IFERROR(VLOOKUP(INPUT!M620&amp;INPUT!N620,CHOOSE({1,2},INPUT!$A$3:$A$5000&amp;INPUT!$C$3:$C$5000,INPUT!$F$3:$F$5000),2,FALSE),"")</f>
        <v>PRE-TEMPORADA</v>
      </c>
      <c r="H625" t="str" cm="1">
        <f t="array" ref="H625">IFERROR(VLOOKUP(INPUT!M620&amp;INPUT!N620,CHOOSE({1,2},INPUT!$A$3:$A$5000&amp;INPUT!$C$3:$C$5000,INPUT!$D$3:$D$5000),2,FALSE),"")</f>
        <v>PARTIDO</v>
      </c>
      <c r="I625" s="46">
        <f>IF(INPUT!P620="","",INPUT!P620)</f>
        <v>68.7</v>
      </c>
      <c r="J625" s="46">
        <f>IF(INPUT!Q620="","",INPUT!Q620)</f>
        <v>68</v>
      </c>
      <c r="K625" s="46">
        <f>IFERROR(IF(OR(INPUT!P620="",INPUT!Q620=""),"",INPUT!P620-INPUT!Q620),"")</f>
        <v>0.70000000000000284</v>
      </c>
      <c r="L625" s="48">
        <f>IFERROR(IF(OR(INPUT!P620="",INPUT!Q620="",INPUT!P620=0),"",(INPUT!P620-INPUT!Q620)/INPUT!P620),"")</f>
        <v>1.0189228529839925E-2</v>
      </c>
    </row>
    <row r="626" spans="1:12" ht="18" customHeight="1" x14ac:dyDescent="0.2">
      <c r="A626" s="11">
        <f>IF(INPUT!M621="","",INPUT!M621)</f>
        <v>45917</v>
      </c>
      <c r="B626" s="11">
        <f>IF(INPUT!M621="","",INPUT!M621-WEEKDAY(INPUT!M621,2)+1)</f>
        <v>45915</v>
      </c>
      <c r="C626" s="20">
        <f>IFERROR(_xlfn.ISOWEEKNUM(INPUT!M621),"")</f>
        <v>38</v>
      </c>
      <c r="D626" s="20">
        <f>IFERROR(YEAR(INPUT!M621),"")</f>
        <v>2025</v>
      </c>
      <c r="E626" t="str">
        <f>IF(INPUT!O621="","",INPUT!O621)</f>
        <v>HARRISON</v>
      </c>
      <c r="F626" t="str">
        <f>IF(INPUT!N621="","",INPUT!N621)</f>
        <v>M</v>
      </c>
      <c r="G626" t="str" cm="1">
        <f t="array" ref="G626">IFERROR(VLOOKUP(INPUT!M621&amp;INPUT!N621,CHOOSE({1,2},INPUT!$A$3:$A$5000&amp;INPUT!$C$3:$C$5000,INPUT!$F$3:$F$5000),2,FALSE),"")</f>
        <v>PRE-TEMPORADA</v>
      </c>
      <c r="H626" t="str" cm="1">
        <f t="array" ref="H626">IFERROR(VLOOKUP(INPUT!M621&amp;INPUT!N621,CHOOSE({1,2},INPUT!$A$3:$A$5000&amp;INPUT!$C$3:$C$5000,INPUT!$D$3:$D$5000),2,FALSE),"")</f>
        <v>MATINAL</v>
      </c>
      <c r="I626" s="46">
        <f>IF(INPUT!P621="","",INPUT!P621)</f>
        <v>70.7</v>
      </c>
      <c r="J626" s="46">
        <f>IF(INPUT!Q621="","",INPUT!Q621)</f>
        <v>70.400000000000006</v>
      </c>
      <c r="K626" s="46">
        <f>IFERROR(IF(OR(INPUT!P621="",INPUT!Q621=""),"",INPUT!P621-INPUT!Q621),"")</f>
        <v>0.29999999999999716</v>
      </c>
      <c r="L626" s="48">
        <f>IFERROR(IF(OR(INPUT!P621="",INPUT!Q621="",INPUT!P621=0),"",(INPUT!P621-INPUT!Q621)/INPUT!P621),"")</f>
        <v>4.2432814710042033E-3</v>
      </c>
    </row>
    <row r="627" spans="1:12" ht="18" customHeight="1" x14ac:dyDescent="0.2">
      <c r="A627" s="11">
        <f>IF(INPUT!M622="","",INPUT!M622)</f>
        <v>45917</v>
      </c>
      <c r="B627" s="11">
        <f>IF(INPUT!M622="","",INPUT!M622-WEEKDAY(INPUT!M622,2)+1)</f>
        <v>45915</v>
      </c>
      <c r="C627" s="20">
        <f>IFERROR(_xlfn.ISOWEEKNUM(INPUT!M622),"")</f>
        <v>38</v>
      </c>
      <c r="D627" s="20">
        <f>IFERROR(YEAR(INPUT!M622),"")</f>
        <v>2025</v>
      </c>
      <c r="E627" t="str">
        <f>IF(INPUT!O622="","",INPUT!O622)</f>
        <v>HARRISON</v>
      </c>
      <c r="F627" t="str">
        <f>IF(INPUT!N622="","",INPUT!N622)</f>
        <v>T</v>
      </c>
      <c r="G627" t="str" cm="1">
        <f t="array" ref="G627">IFERROR(VLOOKUP(INPUT!M622&amp;INPUT!N622,CHOOSE({1,2},INPUT!$A$3:$A$5000&amp;INPUT!$C$3:$C$5000,INPUT!$F$3:$F$5000),2,FALSE),"")</f>
        <v>PRE-TEMPORADA</v>
      </c>
      <c r="H627" t="str" cm="1">
        <f t="array" ref="H627">IFERROR(VLOOKUP(INPUT!M622&amp;INPUT!N622,CHOOSE({1,2},INPUT!$A$3:$A$5000&amp;INPUT!$C$3:$C$5000,INPUT!$D$3:$D$5000),2,FALSE),"")</f>
        <v>PARTIDO</v>
      </c>
      <c r="I627" s="46">
        <f>IF(INPUT!P622="","",INPUT!P622)</f>
        <v>70.599999999999994</v>
      </c>
      <c r="J627" s="46">
        <f>IF(INPUT!Q622="","",INPUT!Q622)</f>
        <v>70.5</v>
      </c>
      <c r="K627" s="46">
        <f>IFERROR(IF(OR(INPUT!P622="",INPUT!Q622=""),"",INPUT!P622-INPUT!Q622),"")</f>
        <v>9.9999999999994316E-2</v>
      </c>
      <c r="L627" s="48">
        <f>IFERROR(IF(OR(INPUT!P622="",INPUT!Q622="",INPUT!P622=0),"",(INPUT!P622-INPUT!Q622)/INPUT!P622),"")</f>
        <v>1.4164305949007695E-3</v>
      </c>
    </row>
    <row r="628" spans="1:12" ht="18" customHeight="1" x14ac:dyDescent="0.2">
      <c r="A628" s="11">
        <f>IF(INPUT!M623="","",INPUT!M623)</f>
        <v>45917</v>
      </c>
      <c r="B628" s="11">
        <f>IF(INPUT!M623="","",INPUT!M623-WEEKDAY(INPUT!M623,2)+1)</f>
        <v>45915</v>
      </c>
      <c r="C628" s="20">
        <f>IFERROR(_xlfn.ISOWEEKNUM(INPUT!M623),"")</f>
        <v>38</v>
      </c>
      <c r="D628" s="20">
        <f>IFERROR(YEAR(INPUT!M623),"")</f>
        <v>2025</v>
      </c>
      <c r="E628" t="str">
        <f>IF(INPUT!O623="","",INPUT!O623)</f>
        <v>RAYA</v>
      </c>
      <c r="F628" t="str">
        <f>IF(INPUT!N623="","",INPUT!N623)</f>
        <v>M</v>
      </c>
      <c r="G628" t="str" cm="1">
        <f t="array" ref="G628">IFERROR(VLOOKUP(INPUT!M623&amp;INPUT!N623,CHOOSE({1,2},INPUT!$A$3:$A$5000&amp;INPUT!$C$3:$C$5000,INPUT!$F$3:$F$5000),2,FALSE),"")</f>
        <v>PRE-TEMPORADA</v>
      </c>
      <c r="H628" t="str" cm="1">
        <f t="array" ref="H628">IFERROR(VLOOKUP(INPUT!M623&amp;INPUT!N623,CHOOSE({1,2},INPUT!$A$3:$A$5000&amp;INPUT!$C$3:$C$5000,INPUT!$D$3:$D$5000),2,FALSE),"")</f>
        <v>MATINAL</v>
      </c>
      <c r="I628" s="46">
        <f>IF(INPUT!P623="","",INPUT!P623)</f>
        <v>82.1</v>
      </c>
      <c r="J628" s="46">
        <f>IF(INPUT!Q623="","",INPUT!Q623)</f>
        <v>81.8</v>
      </c>
      <c r="K628" s="46">
        <f>IFERROR(IF(OR(INPUT!P623="",INPUT!Q623=""),"",INPUT!P623-INPUT!Q623),"")</f>
        <v>0.29999999999999716</v>
      </c>
      <c r="L628" s="48">
        <f>IFERROR(IF(OR(INPUT!P623="",INPUT!Q623="",INPUT!P623=0),"",(INPUT!P623-INPUT!Q623)/INPUT!P623),"")</f>
        <v>3.6540803897685404E-3</v>
      </c>
    </row>
    <row r="629" spans="1:12" ht="18" customHeight="1" x14ac:dyDescent="0.2">
      <c r="A629" s="11">
        <f>IF(INPUT!M624="","",INPUT!M624)</f>
        <v>45917</v>
      </c>
      <c r="B629" s="11">
        <f>IF(INPUT!M624="","",INPUT!M624-WEEKDAY(INPUT!M624,2)+1)</f>
        <v>45915</v>
      </c>
      <c r="C629" s="20">
        <f>IFERROR(_xlfn.ISOWEEKNUM(INPUT!M624),"")</f>
        <v>38</v>
      </c>
      <c r="D629" s="20">
        <f>IFERROR(YEAR(INPUT!M624),"")</f>
        <v>2025</v>
      </c>
      <c r="E629" t="str">
        <f>IF(INPUT!O624="","",INPUT!O624)</f>
        <v>RAYA</v>
      </c>
      <c r="F629" t="str">
        <f>IF(INPUT!N624="","",INPUT!N624)</f>
        <v>T</v>
      </c>
      <c r="G629" t="str" cm="1">
        <f t="array" ref="G629">IFERROR(VLOOKUP(INPUT!M624&amp;INPUT!N624,CHOOSE({1,2},INPUT!$A$3:$A$5000&amp;INPUT!$C$3:$C$5000,INPUT!$F$3:$F$5000),2,FALSE),"")</f>
        <v>PRE-TEMPORADA</v>
      </c>
      <c r="H629" t="str" cm="1">
        <f t="array" ref="H629">IFERROR(VLOOKUP(INPUT!M624&amp;INPUT!N624,CHOOSE({1,2},INPUT!$A$3:$A$5000&amp;INPUT!$C$3:$C$5000,INPUT!$D$3:$D$5000),2,FALSE),"")</f>
        <v>PARTIDO</v>
      </c>
      <c r="I629" s="46">
        <f>IF(INPUT!P624="","",INPUT!P624)</f>
        <v>81.8</v>
      </c>
      <c r="J629" s="46">
        <f>IF(INPUT!Q624="","",INPUT!Q624)</f>
        <v>80.099999999999994</v>
      </c>
      <c r="K629" s="46">
        <f>IFERROR(IF(OR(INPUT!P624="",INPUT!Q624=""),"",INPUT!P624-INPUT!Q624),"")</f>
        <v>1.7000000000000028</v>
      </c>
      <c r="L629" s="48">
        <f>IFERROR(IF(OR(INPUT!P624="",INPUT!Q624="",INPUT!P624=0),"",(INPUT!P624-INPUT!Q624)/INPUT!P624),"")</f>
        <v>2.0782396088019597E-2</v>
      </c>
    </row>
    <row r="630" spans="1:12" ht="18" customHeight="1" x14ac:dyDescent="0.2">
      <c r="A630" s="11">
        <f>IF(INPUT!M625="","",INPUT!M625)</f>
        <v>45917</v>
      </c>
      <c r="B630" s="11">
        <f>IF(INPUT!M625="","",INPUT!M625-WEEKDAY(INPUT!M625,2)+1)</f>
        <v>45915</v>
      </c>
      <c r="C630" s="20">
        <f>IFERROR(_xlfn.ISOWEEKNUM(INPUT!M625),"")</f>
        <v>38</v>
      </c>
      <c r="D630" s="20">
        <f>IFERROR(YEAR(INPUT!M625),"")</f>
        <v>2025</v>
      </c>
      <c r="E630" t="str">
        <f>IF(INPUT!O625="","",INPUT!O625)</f>
        <v>PIRATA</v>
      </c>
      <c r="F630" t="str">
        <f>IF(INPUT!N625="","",INPUT!N625)</f>
        <v>M</v>
      </c>
      <c r="G630" t="str" cm="1">
        <f t="array" ref="G630">IFERROR(VLOOKUP(INPUT!M625&amp;INPUT!N625,CHOOSE({1,2},INPUT!$A$3:$A$5000&amp;INPUT!$C$3:$C$5000,INPUT!$F$3:$F$5000),2,FALSE),"")</f>
        <v>PRE-TEMPORADA</v>
      </c>
      <c r="H630" t="str" cm="1">
        <f t="array" ref="H630">IFERROR(VLOOKUP(INPUT!M625&amp;INPUT!N625,CHOOSE({1,2},INPUT!$A$3:$A$5000&amp;INPUT!$C$3:$C$5000,INPUT!$D$3:$D$5000),2,FALSE),"")</f>
        <v>MATINAL</v>
      </c>
      <c r="I630" s="46">
        <f>IF(INPUT!P625="","",INPUT!P625)</f>
        <v>74.900000000000006</v>
      </c>
      <c r="J630" s="46">
        <f>IF(INPUT!Q625="","",INPUT!Q625)</f>
        <v>74.8</v>
      </c>
      <c r="K630" s="46">
        <f>IFERROR(IF(OR(INPUT!P625="",INPUT!Q625=""),"",INPUT!P625-INPUT!Q625),"")</f>
        <v>0.10000000000000853</v>
      </c>
      <c r="L630" s="48">
        <f>IFERROR(IF(OR(INPUT!P625="",INPUT!Q625="",INPUT!P625=0),"",(INPUT!P625-INPUT!Q625)/INPUT!P625),"")</f>
        <v>1.3351134846463087E-3</v>
      </c>
    </row>
    <row r="631" spans="1:12" ht="18" hidden="1" customHeight="1" x14ac:dyDescent="0.2">
      <c r="A631" s="11">
        <f>IF(INPUT!M626="","",INPUT!M626)</f>
        <v>45917</v>
      </c>
      <c r="B631" s="11">
        <f>IF(INPUT!M626="","",INPUT!M626-WEEKDAY(INPUT!M626,2)+1)</f>
        <v>45915</v>
      </c>
      <c r="C631" s="20">
        <f>IFERROR(_xlfn.ISOWEEKNUM(INPUT!M626),"")</f>
        <v>38</v>
      </c>
      <c r="D631" s="20">
        <f>IFERROR(YEAR(INPUT!M626),"")</f>
        <v>2025</v>
      </c>
      <c r="E631" t="str">
        <f>IF(INPUT!O626="","",INPUT!O626)</f>
        <v>PIRATA</v>
      </c>
      <c r="F631" t="str">
        <f>IF(INPUT!N626="","",INPUT!N626)</f>
        <v>T</v>
      </c>
      <c r="G631" t="str" cm="1">
        <f t="array" ref="G631">IFERROR(VLOOKUP(INPUT!M626&amp;INPUT!N626,CHOOSE({1,2},INPUT!$A$3:$A$5000&amp;INPUT!$C$3:$C$5000,INPUT!$F$3:$F$5000),2,FALSE),"")</f>
        <v>PRE-TEMPORADA</v>
      </c>
      <c r="H631" t="str" cm="1">
        <f t="array" ref="H631">IFERROR(VLOOKUP(INPUT!M626&amp;INPUT!N626,CHOOSE({1,2},INPUT!$A$3:$A$5000&amp;INPUT!$C$3:$C$5000,INPUT!$D$3:$D$5000),2,FALSE),"")</f>
        <v>PARTIDO</v>
      </c>
      <c r="I631" s="46">
        <f>IF(INPUT!P626="","",INPUT!P626)</f>
        <v>75.2</v>
      </c>
      <c r="J631" s="46">
        <f>IF(INPUT!Q626="","",INPUT!Q626)</f>
        <v>75</v>
      </c>
      <c r="K631" s="46">
        <f>IFERROR(IF(OR(INPUT!P626="",INPUT!Q626=""),"",INPUT!P626-INPUT!Q626),"")</f>
        <v>0.20000000000000284</v>
      </c>
      <c r="L631" s="48">
        <f>IFERROR(IF(OR(INPUT!P626="",INPUT!Q626="",INPUT!P626=0),"",(INPUT!P626-INPUT!Q626)/INPUT!P626),"")</f>
        <v>2.659574468085144E-3</v>
      </c>
    </row>
    <row r="632" spans="1:12" ht="18" hidden="1" customHeight="1" x14ac:dyDescent="0.2">
      <c r="A632" s="11">
        <f>IF(INPUT!M627="","",INPUT!M627)</f>
        <v>45917</v>
      </c>
      <c r="B632" s="11">
        <f>IF(INPUT!M627="","",INPUT!M627-WEEKDAY(INPUT!M627,2)+1)</f>
        <v>45915</v>
      </c>
      <c r="C632" s="20">
        <f>IFERROR(_xlfn.ISOWEEKNUM(INPUT!M627),"")</f>
        <v>38</v>
      </c>
      <c r="D632" s="20">
        <f>IFERROR(YEAR(INPUT!M627),"")</f>
        <v>2025</v>
      </c>
      <c r="E632" t="str">
        <f>IF(INPUT!O627="","",INPUT!O627)</f>
        <v>BARONA</v>
      </c>
      <c r="F632" t="str">
        <f>IF(INPUT!N627="","",INPUT!N627)</f>
        <v>M</v>
      </c>
      <c r="G632" t="str" cm="1">
        <f t="array" ref="G632">IFERROR(VLOOKUP(INPUT!M627&amp;INPUT!N627,CHOOSE({1,2},INPUT!$A$3:$A$5000&amp;INPUT!$C$3:$C$5000,INPUT!$F$3:$F$5000),2,FALSE),"")</f>
        <v>PRE-TEMPORADA</v>
      </c>
      <c r="H632" t="str" cm="1">
        <f t="array" ref="H632">IFERROR(VLOOKUP(INPUT!M627&amp;INPUT!N627,CHOOSE({1,2},INPUT!$A$3:$A$5000&amp;INPUT!$C$3:$C$5000,INPUT!$D$3:$D$5000),2,FALSE),"")</f>
        <v>MATINAL</v>
      </c>
      <c r="I632" s="46">
        <f>IF(INPUT!P627="","",INPUT!P627)</f>
        <v>71.7</v>
      </c>
      <c r="J632" s="46">
        <f>IF(INPUT!Q627="","",INPUT!Q627)</f>
        <v>71.7</v>
      </c>
      <c r="K632" s="46">
        <f>IFERROR(IF(OR(INPUT!P627="",INPUT!Q627=""),"",INPUT!P627-INPUT!Q627),"")</f>
        <v>0</v>
      </c>
      <c r="L632" s="48">
        <f>IFERROR(IF(OR(INPUT!P627="",INPUT!Q627="",INPUT!P627=0),"",(INPUT!P627-INPUT!Q627)/INPUT!P627),"")</f>
        <v>0</v>
      </c>
    </row>
    <row r="633" spans="1:12" ht="18" hidden="1" customHeight="1" x14ac:dyDescent="0.2">
      <c r="A633" s="11">
        <f>IF(INPUT!M628="","",INPUT!M628)</f>
        <v>45917</v>
      </c>
      <c r="B633" s="11">
        <f>IF(INPUT!M628="","",INPUT!M628-WEEKDAY(INPUT!M628,2)+1)</f>
        <v>45915</v>
      </c>
      <c r="C633" s="20">
        <f>IFERROR(_xlfn.ISOWEEKNUM(INPUT!M628),"")</f>
        <v>38</v>
      </c>
      <c r="D633" s="20">
        <f>IFERROR(YEAR(INPUT!M628),"")</f>
        <v>2025</v>
      </c>
      <c r="E633" t="str">
        <f>IF(INPUT!O628="","",INPUT!O628)</f>
        <v>BARONA</v>
      </c>
      <c r="F633" t="str">
        <f>IF(INPUT!N628="","",INPUT!N628)</f>
        <v>T</v>
      </c>
      <c r="G633" t="str" cm="1">
        <f t="array" ref="G633">IFERROR(VLOOKUP(INPUT!M628&amp;INPUT!N628,CHOOSE({1,2},INPUT!$A$3:$A$5000&amp;INPUT!$C$3:$C$5000,INPUT!$F$3:$F$5000),2,FALSE),"")</f>
        <v>PRE-TEMPORADA</v>
      </c>
      <c r="H633" t="str" cm="1">
        <f t="array" ref="H633">IFERROR(VLOOKUP(INPUT!M628&amp;INPUT!N628,CHOOSE({1,2},INPUT!$A$3:$A$5000&amp;INPUT!$C$3:$C$5000,INPUT!$D$3:$D$5000),2,FALSE),"")</f>
        <v>PARTIDO</v>
      </c>
      <c r="I633" s="46">
        <f>IF(INPUT!P628="","",INPUT!P628)</f>
        <v>71</v>
      </c>
      <c r="J633" s="46">
        <f>IF(INPUT!Q628="","",INPUT!Q628)</f>
        <v>71</v>
      </c>
      <c r="K633" s="46">
        <f>IFERROR(IF(OR(INPUT!P628="",INPUT!Q628=""),"",INPUT!P628-INPUT!Q628),"")</f>
        <v>0</v>
      </c>
      <c r="L633" s="48">
        <f>IFERROR(IF(OR(INPUT!P628="",INPUT!Q628="",INPUT!P628=0),"",(INPUT!P628-INPUT!Q628)/INPUT!P628),"")</f>
        <v>0</v>
      </c>
    </row>
    <row r="634" spans="1:12" ht="18" hidden="1" customHeight="1" x14ac:dyDescent="0.2">
      <c r="A634" s="11">
        <f>IF(INPUT!M629="","",INPUT!M629)</f>
        <v>45917</v>
      </c>
      <c r="B634" s="11">
        <f>IF(INPUT!M629="","",INPUT!M629-WEEKDAY(INPUT!M629,2)+1)</f>
        <v>45915</v>
      </c>
      <c r="C634" s="20">
        <f>IFERROR(_xlfn.ISOWEEKNUM(INPUT!M629),"")</f>
        <v>38</v>
      </c>
      <c r="D634" s="20">
        <f>IFERROR(YEAR(INPUT!M629),"")</f>
        <v>2025</v>
      </c>
      <c r="E634" t="str">
        <f>IF(INPUT!O629="","",INPUT!O629)</f>
        <v>CARLOS</v>
      </c>
      <c r="F634" t="str">
        <f>IF(INPUT!N629="","",INPUT!N629)</f>
        <v>M</v>
      </c>
      <c r="G634" t="str" cm="1">
        <f t="array" ref="G634">IFERROR(VLOOKUP(INPUT!M629&amp;INPUT!N629,CHOOSE({1,2},INPUT!$A$3:$A$5000&amp;INPUT!$C$3:$C$5000,INPUT!$F$3:$F$5000),2,FALSE),"")</f>
        <v>PRE-TEMPORADA</v>
      </c>
      <c r="H634" t="str" cm="1">
        <f t="array" ref="H634">IFERROR(VLOOKUP(INPUT!M629&amp;INPUT!N629,CHOOSE({1,2},INPUT!$A$3:$A$5000&amp;INPUT!$C$3:$C$5000,INPUT!$D$3:$D$5000),2,FALSE),"")</f>
        <v>MATINAL</v>
      </c>
      <c r="I634" s="46">
        <f>IF(INPUT!P629="","",INPUT!P629)</f>
        <v>67.3</v>
      </c>
      <c r="J634" s="46">
        <f>IF(INPUT!Q629="","",INPUT!Q629)</f>
        <v>66.7</v>
      </c>
      <c r="K634" s="46">
        <f>IFERROR(IF(OR(INPUT!P629="",INPUT!Q629=""),"",INPUT!P629-INPUT!Q629),"")</f>
        <v>0.59999999999999432</v>
      </c>
      <c r="L634" s="48">
        <f>IFERROR(IF(OR(INPUT!P629="",INPUT!Q629="",INPUT!P629=0),"",(INPUT!P629-INPUT!Q629)/INPUT!P629),"")</f>
        <v>8.9153046062406295E-3</v>
      </c>
    </row>
    <row r="635" spans="1:12" ht="18" hidden="1" customHeight="1" x14ac:dyDescent="0.2">
      <c r="A635" s="11">
        <f>IF(INPUT!M630="","",INPUT!M630)</f>
        <v>45917</v>
      </c>
      <c r="B635" s="11">
        <f>IF(INPUT!M630="","",INPUT!M630-WEEKDAY(INPUT!M630,2)+1)</f>
        <v>45915</v>
      </c>
      <c r="C635" s="20">
        <f>IFERROR(_xlfn.ISOWEEKNUM(INPUT!M630),"")</f>
        <v>38</v>
      </c>
      <c r="D635" s="20">
        <f>IFERROR(YEAR(INPUT!M630),"")</f>
        <v>2025</v>
      </c>
      <c r="E635" t="str">
        <f>IF(INPUT!O630="","",INPUT!O630)</f>
        <v>CARLOS</v>
      </c>
      <c r="F635" t="str">
        <f>IF(INPUT!N630="","",INPUT!N630)</f>
        <v>T</v>
      </c>
      <c r="G635" t="str" cm="1">
        <f t="array" ref="G635">IFERROR(VLOOKUP(INPUT!M630&amp;INPUT!N630,CHOOSE({1,2},INPUT!$A$3:$A$5000&amp;INPUT!$C$3:$C$5000,INPUT!$F$3:$F$5000),2,FALSE),"")</f>
        <v>PRE-TEMPORADA</v>
      </c>
      <c r="H635" t="str" cm="1">
        <f t="array" ref="H635">IFERROR(VLOOKUP(INPUT!M630&amp;INPUT!N630,CHOOSE({1,2},INPUT!$A$3:$A$5000&amp;INPUT!$C$3:$C$5000,INPUT!$D$3:$D$5000),2,FALSE),"")</f>
        <v>PARTIDO</v>
      </c>
      <c r="I635" s="46">
        <f>IF(INPUT!P630="","",INPUT!P630)</f>
        <v>66.900000000000006</v>
      </c>
      <c r="J635" s="46">
        <f>IF(INPUT!Q630="","",INPUT!Q630)</f>
        <v>66.5</v>
      </c>
      <c r="K635" s="46">
        <f>IFERROR(IF(OR(INPUT!P630="",INPUT!Q630=""),"",INPUT!P630-INPUT!Q630),"")</f>
        <v>0.40000000000000568</v>
      </c>
      <c r="L635" s="48">
        <f>IFERROR(IF(OR(INPUT!P630="",INPUT!Q630="",INPUT!P630=0),"",(INPUT!P630-INPUT!Q630)/INPUT!P630),"")</f>
        <v>5.979073243647319E-3</v>
      </c>
    </row>
    <row r="636" spans="1:12" ht="18" hidden="1" customHeight="1" x14ac:dyDescent="0.2">
      <c r="A636" s="11">
        <f>IF(INPUT!M631="","",INPUT!M631)</f>
        <v>45917</v>
      </c>
      <c r="B636" s="11">
        <f>IF(INPUT!M631="","",INPUT!M631-WEEKDAY(INPUT!M631,2)+1)</f>
        <v>45915</v>
      </c>
      <c r="C636" s="20">
        <f>IFERROR(_xlfn.ISOWEEKNUM(INPUT!M631),"")</f>
        <v>38</v>
      </c>
      <c r="D636" s="20">
        <f>IFERROR(YEAR(INPUT!M631),"")</f>
        <v>2025</v>
      </c>
      <c r="E636" t="str">
        <f>IF(INPUT!O631="","",INPUT!O631)</f>
        <v>GONZALO</v>
      </c>
      <c r="F636" t="str">
        <f>IF(INPUT!N631="","",INPUT!N631)</f>
        <v>M</v>
      </c>
      <c r="G636" t="str" cm="1">
        <f t="array" ref="G636">IFERROR(VLOOKUP(INPUT!M631&amp;INPUT!N631,CHOOSE({1,2},INPUT!$A$3:$A$5000&amp;INPUT!$C$3:$C$5000,INPUT!$F$3:$F$5000),2,FALSE),"")</f>
        <v>PRE-TEMPORADA</v>
      </c>
      <c r="H636" t="str" cm="1">
        <f t="array" ref="H636">IFERROR(VLOOKUP(INPUT!M631&amp;INPUT!N631,CHOOSE({1,2},INPUT!$A$3:$A$5000&amp;INPUT!$C$3:$C$5000,INPUT!$D$3:$D$5000),2,FALSE),"")</f>
        <v>MATINAL</v>
      </c>
      <c r="I636" s="46">
        <f>IF(INPUT!P631="","",INPUT!P631)</f>
        <v>84.7</v>
      </c>
      <c r="J636" s="46">
        <f>IF(INPUT!Q631="","",INPUT!Q631)</f>
        <v>84.8</v>
      </c>
      <c r="K636" s="46">
        <f>IFERROR(IF(OR(INPUT!P631="",INPUT!Q631=""),"",INPUT!P631-INPUT!Q631),"")</f>
        <v>-9.9999999999994316E-2</v>
      </c>
      <c r="L636" s="48">
        <f>IFERROR(IF(OR(INPUT!P631="",INPUT!Q631="",INPUT!P631=0),"",(INPUT!P631-INPUT!Q631)/INPUT!P631),"")</f>
        <v>-1.1806375442738408E-3</v>
      </c>
    </row>
    <row r="637" spans="1:12" ht="18" hidden="1" customHeight="1" x14ac:dyDescent="0.2">
      <c r="A637" s="11">
        <f>IF(INPUT!M632="","",INPUT!M632)</f>
        <v>45917</v>
      </c>
      <c r="B637" s="11">
        <f>IF(INPUT!M632="","",INPUT!M632-WEEKDAY(INPUT!M632,2)+1)</f>
        <v>45915</v>
      </c>
      <c r="C637" s="20">
        <f>IFERROR(_xlfn.ISOWEEKNUM(INPUT!M632),"")</f>
        <v>38</v>
      </c>
      <c r="D637" s="20">
        <f>IFERROR(YEAR(INPUT!M632),"")</f>
        <v>2025</v>
      </c>
      <c r="E637" t="str">
        <f>IF(INPUT!O632="","",INPUT!O632)</f>
        <v>GONZALO</v>
      </c>
      <c r="F637" t="str">
        <f>IF(INPUT!N632="","",INPUT!N632)</f>
        <v>T</v>
      </c>
      <c r="G637" t="str" cm="1">
        <f t="array" ref="G637">IFERROR(VLOOKUP(INPUT!M632&amp;INPUT!N632,CHOOSE({1,2},INPUT!$A$3:$A$5000&amp;INPUT!$C$3:$C$5000,INPUT!$F$3:$F$5000),2,FALSE),"")</f>
        <v>PRE-TEMPORADA</v>
      </c>
      <c r="H637" t="str" cm="1">
        <f t="array" ref="H637">IFERROR(VLOOKUP(INPUT!M632&amp;INPUT!N632,CHOOSE({1,2},INPUT!$A$3:$A$5000&amp;INPUT!$C$3:$C$5000,INPUT!$D$3:$D$5000),2,FALSE),"")</f>
        <v>PARTIDO</v>
      </c>
      <c r="I637" s="46">
        <f>IF(INPUT!P632="","",INPUT!P632)</f>
        <v>84.9</v>
      </c>
      <c r="J637" s="46">
        <f>IF(INPUT!Q632="","",INPUT!Q632)</f>
        <v>84.8</v>
      </c>
      <c r="K637" s="46">
        <f>IFERROR(IF(OR(INPUT!P632="",INPUT!Q632=""),"",INPUT!P632-INPUT!Q632),"")</f>
        <v>0.10000000000000853</v>
      </c>
      <c r="L637" s="48">
        <f>IFERROR(IF(OR(INPUT!P632="",INPUT!Q632="",INPUT!P632=0),"",(INPUT!P632-INPUT!Q632)/INPUT!P632),"")</f>
        <v>1.1778563015313135E-3</v>
      </c>
    </row>
    <row r="638" spans="1:12" ht="18" hidden="1" customHeight="1" x14ac:dyDescent="0.2">
      <c r="A638" s="11">
        <f>IF(INPUT!M633="","",INPUT!M633)</f>
        <v>45917</v>
      </c>
      <c r="B638" s="11">
        <f>IF(INPUT!M633="","",INPUT!M633-WEEKDAY(INPUT!M633,2)+1)</f>
        <v>45915</v>
      </c>
      <c r="C638" s="20">
        <f>IFERROR(_xlfn.ISOWEEKNUM(INPUT!M633),"")</f>
        <v>38</v>
      </c>
      <c r="D638" s="20">
        <f>IFERROR(YEAR(INPUT!M633),"")</f>
        <v>2025</v>
      </c>
      <c r="E638" t="str">
        <f>IF(INPUT!O633="","",INPUT!O633)</f>
        <v>SEGO</v>
      </c>
      <c r="F638" t="str">
        <f>IF(INPUT!N633="","",INPUT!N633)</f>
        <v>M</v>
      </c>
      <c r="G638" t="str" cm="1">
        <f t="array" ref="G638">IFERROR(VLOOKUP(INPUT!M633&amp;INPUT!N633,CHOOSE({1,2},INPUT!$A$3:$A$5000&amp;INPUT!$C$3:$C$5000,INPUT!$F$3:$F$5000),2,FALSE),"")</f>
        <v>PRE-TEMPORADA</v>
      </c>
      <c r="H638" t="str" cm="1">
        <f t="array" ref="H638">IFERROR(VLOOKUP(INPUT!M633&amp;INPUT!N633,CHOOSE({1,2},INPUT!$A$3:$A$5000&amp;INPUT!$C$3:$C$5000,INPUT!$D$3:$D$5000),2,FALSE),"")</f>
        <v>MATINAL</v>
      </c>
      <c r="I638" s="46">
        <f>IF(INPUT!P633="","",INPUT!P633)</f>
        <v>75.2</v>
      </c>
      <c r="J638" s="46">
        <f>IF(INPUT!Q633="","",INPUT!Q633)</f>
        <v>75.099999999999994</v>
      </c>
      <c r="K638" s="46">
        <f>IFERROR(IF(OR(INPUT!P633="",INPUT!Q633=""),"",INPUT!P633-INPUT!Q633),"")</f>
        <v>0.10000000000000853</v>
      </c>
      <c r="L638" s="48">
        <f>IFERROR(IF(OR(INPUT!P633="",INPUT!Q633="",INPUT!P633=0),"",(INPUT!P633-INPUT!Q633)/INPUT!P633),"")</f>
        <v>1.3297872340426666E-3</v>
      </c>
    </row>
    <row r="639" spans="1:12" ht="18" hidden="1" customHeight="1" x14ac:dyDescent="0.2">
      <c r="A639" s="11">
        <f>IF(INPUT!M634="","",INPUT!M634)</f>
        <v>45917</v>
      </c>
      <c r="B639" s="11">
        <f>IF(INPUT!M634="","",INPUT!M634-WEEKDAY(INPUT!M634,2)+1)</f>
        <v>45915</v>
      </c>
      <c r="C639" s="20">
        <f>IFERROR(_xlfn.ISOWEEKNUM(INPUT!M634),"")</f>
        <v>38</v>
      </c>
      <c r="D639" s="20">
        <f>IFERROR(YEAR(INPUT!M634),"")</f>
        <v>2025</v>
      </c>
      <c r="E639" t="str">
        <f>IF(INPUT!O634="","",INPUT!O634)</f>
        <v>SEGO</v>
      </c>
      <c r="F639" t="str">
        <f>IF(INPUT!N634="","",INPUT!N634)</f>
        <v>T</v>
      </c>
      <c r="G639" t="str" cm="1">
        <f t="array" ref="G639">IFERROR(VLOOKUP(INPUT!M634&amp;INPUT!N634,CHOOSE({1,2},INPUT!$A$3:$A$5000&amp;INPUT!$C$3:$C$5000,INPUT!$F$3:$F$5000),2,FALSE),"")</f>
        <v>PRE-TEMPORADA</v>
      </c>
      <c r="H639" t="str" cm="1">
        <f t="array" ref="H639">IFERROR(VLOOKUP(INPUT!M634&amp;INPUT!N634,CHOOSE({1,2},INPUT!$A$3:$A$5000&amp;INPUT!$C$3:$C$5000,INPUT!$D$3:$D$5000),2,FALSE),"")</f>
        <v>PARTIDO</v>
      </c>
      <c r="I639" s="46">
        <f>IF(INPUT!P634="","",INPUT!P634)</f>
        <v>75.400000000000006</v>
      </c>
      <c r="J639" s="46">
        <f>IF(INPUT!Q634="","",INPUT!Q634)</f>
        <v>75.3</v>
      </c>
      <c r="K639" s="46">
        <f>IFERROR(IF(OR(INPUT!P634="",INPUT!Q634=""),"",INPUT!P634-INPUT!Q634),"")</f>
        <v>0.10000000000000853</v>
      </c>
      <c r="L639" s="48">
        <f>IFERROR(IF(OR(INPUT!P634="",INPUT!Q634="",INPUT!P634=0),"",(INPUT!P634-INPUT!Q634)/INPUT!P634),"")</f>
        <v>1.326259946949715E-3</v>
      </c>
    </row>
    <row r="640" spans="1:12" ht="18" hidden="1" customHeight="1" x14ac:dyDescent="0.2">
      <c r="A640" s="11">
        <f>IF(INPUT!M635="","",INPUT!M635)</f>
        <v>45917</v>
      </c>
      <c r="B640" s="11">
        <f>IF(INPUT!M635="","",INPUT!M635-WEEKDAY(INPUT!M635,2)+1)</f>
        <v>45915</v>
      </c>
      <c r="C640" s="20">
        <f>IFERROR(_xlfn.ISOWEEKNUM(INPUT!M635),"")</f>
        <v>38</v>
      </c>
      <c r="D640" s="20">
        <f>IFERROR(YEAR(INPUT!M635),"")</f>
        <v>2025</v>
      </c>
      <c r="E640" t="str">
        <f>IF(INPUT!O635="","",INPUT!O635)</f>
        <v>RUBIO</v>
      </c>
      <c r="F640" t="str">
        <f>IF(INPUT!N635="","",INPUT!N635)</f>
        <v>M</v>
      </c>
      <c r="G640" t="str" cm="1">
        <f t="array" ref="G640">IFERROR(VLOOKUP(INPUT!M635&amp;INPUT!N635,CHOOSE({1,2},INPUT!$A$3:$A$5000&amp;INPUT!$C$3:$C$5000,INPUT!$F$3:$F$5000),2,FALSE),"")</f>
        <v>PRE-TEMPORADA</v>
      </c>
      <c r="H640" t="str" cm="1">
        <f t="array" ref="H640">IFERROR(VLOOKUP(INPUT!M635&amp;INPUT!N635,CHOOSE({1,2},INPUT!$A$3:$A$5000&amp;INPUT!$C$3:$C$5000,INPUT!$D$3:$D$5000),2,FALSE),"")</f>
        <v>MATINAL</v>
      </c>
      <c r="I640" s="46">
        <f>IF(INPUT!P635="","",INPUT!P635)</f>
        <v>74.8</v>
      </c>
      <c r="J640" s="46">
        <f>IF(INPUT!Q635="","",INPUT!Q635)</f>
        <v>74.900000000000006</v>
      </c>
      <c r="K640" s="46">
        <f>IFERROR(IF(OR(INPUT!P635="",INPUT!Q635=""),"",INPUT!P635-INPUT!Q635),"")</f>
        <v>-0.10000000000000853</v>
      </c>
      <c r="L640" s="48">
        <f>IFERROR(IF(OR(INPUT!P635="",INPUT!Q635="",INPUT!P635=0),"",(INPUT!P635-INPUT!Q635)/INPUT!P635),"")</f>
        <v>-1.3368983957220391E-3</v>
      </c>
    </row>
    <row r="641" spans="1:12" ht="18" hidden="1" customHeight="1" x14ac:dyDescent="0.2">
      <c r="A641" s="11">
        <f>IF(INPUT!M636="","",INPUT!M636)</f>
        <v>45917</v>
      </c>
      <c r="B641" s="11">
        <f>IF(INPUT!M636="","",INPUT!M636-WEEKDAY(INPUT!M636,2)+1)</f>
        <v>45915</v>
      </c>
      <c r="C641" s="20">
        <f>IFERROR(_xlfn.ISOWEEKNUM(INPUT!M636),"")</f>
        <v>38</v>
      </c>
      <c r="D641" s="20">
        <f>IFERROR(YEAR(INPUT!M636),"")</f>
        <v>2025</v>
      </c>
      <c r="E641" t="str">
        <f>IF(INPUT!O636="","",INPUT!O636)</f>
        <v>RUBIO</v>
      </c>
      <c r="F641" t="str">
        <f>IF(INPUT!N636="","",INPUT!N636)</f>
        <v>T</v>
      </c>
      <c r="G641" t="str" cm="1">
        <f t="array" ref="G641">IFERROR(VLOOKUP(INPUT!M636&amp;INPUT!N636,CHOOSE({1,2},INPUT!$A$3:$A$5000&amp;INPUT!$C$3:$C$5000,INPUT!$F$3:$F$5000),2,FALSE),"")</f>
        <v>PRE-TEMPORADA</v>
      </c>
      <c r="H641" t="str" cm="1">
        <f t="array" ref="H641">IFERROR(VLOOKUP(INPUT!M636&amp;INPUT!N636,CHOOSE({1,2},INPUT!$A$3:$A$5000&amp;INPUT!$C$3:$C$5000,INPUT!$D$3:$D$5000),2,FALSE),"")</f>
        <v>PARTIDO</v>
      </c>
      <c r="I641" s="46">
        <f>IF(INPUT!P636="","",INPUT!P636)</f>
        <v>75.2</v>
      </c>
      <c r="J641" s="46">
        <f>IF(INPUT!Q636="","",INPUT!Q636)</f>
        <v>75.3</v>
      </c>
      <c r="K641" s="46">
        <f>IFERROR(IF(OR(INPUT!P636="",INPUT!Q636=""),"",INPUT!P636-INPUT!Q636),"")</f>
        <v>-9.9999999999994316E-2</v>
      </c>
      <c r="L641" s="48">
        <f>IFERROR(IF(OR(INPUT!P636="",INPUT!Q636="",INPUT!P636=0),"",(INPUT!P636-INPUT!Q636)/INPUT!P636),"")</f>
        <v>-1.3297872340424775E-3</v>
      </c>
    </row>
    <row r="642" spans="1:12" ht="18" hidden="1" customHeight="1" x14ac:dyDescent="0.2">
      <c r="A642" s="11">
        <f>IF(INPUT!M637="","",INPUT!M637)</f>
        <v>45917</v>
      </c>
      <c r="B642" s="11">
        <f>IF(INPUT!M637="","",INPUT!M637-WEEKDAY(INPUT!M637,2)+1)</f>
        <v>45915</v>
      </c>
      <c r="C642" s="20">
        <f>IFERROR(_xlfn.ISOWEEKNUM(INPUT!M637),"")</f>
        <v>38</v>
      </c>
      <c r="D642" s="20">
        <f>IFERROR(YEAR(INPUT!M637),"")</f>
        <v>2025</v>
      </c>
      <c r="E642" t="str">
        <f>IF(INPUT!O637="","",INPUT!O637)</f>
        <v>DANI</v>
      </c>
      <c r="F642" t="str">
        <f>IF(INPUT!N637="","",INPUT!N637)</f>
        <v>M</v>
      </c>
      <c r="G642" t="str" cm="1">
        <f t="array" ref="G642">IFERROR(VLOOKUP(INPUT!M637&amp;INPUT!N637,CHOOSE({1,2},INPUT!$A$3:$A$5000&amp;INPUT!$C$3:$C$5000,INPUT!$F$3:$F$5000),2,FALSE),"")</f>
        <v>PRE-TEMPORADA</v>
      </c>
      <c r="H642" t="str" cm="1">
        <f t="array" ref="H642">IFERROR(VLOOKUP(INPUT!M637&amp;INPUT!N637,CHOOSE({1,2},INPUT!$A$3:$A$5000&amp;INPUT!$C$3:$C$5000,INPUT!$D$3:$D$5000),2,FALSE),"")</f>
        <v>MATINAL</v>
      </c>
      <c r="I642" s="46">
        <f>IF(INPUT!P637="","",INPUT!P637)</f>
        <v>92.3</v>
      </c>
      <c r="J642" s="46">
        <f>IF(INPUT!Q637="","",INPUT!Q637)</f>
        <v>91.8</v>
      </c>
      <c r="K642" s="46">
        <f>IFERROR(IF(OR(INPUT!P637="",INPUT!Q637=""),"",INPUT!P637-INPUT!Q637),"")</f>
        <v>0.5</v>
      </c>
      <c r="L642" s="48">
        <f>IFERROR(IF(OR(INPUT!P637="",INPUT!Q637="",INPUT!P637=0),"",(INPUT!P637-INPUT!Q637)/INPUT!P637),"")</f>
        <v>5.4171180931744311E-3</v>
      </c>
    </row>
    <row r="643" spans="1:12" ht="18" hidden="1" customHeight="1" x14ac:dyDescent="0.2">
      <c r="A643" s="11">
        <f>IF(INPUT!M638="","",INPUT!M638)</f>
        <v>45917</v>
      </c>
      <c r="B643" s="11">
        <f>IF(INPUT!M638="","",INPUT!M638-WEEKDAY(INPUT!M638,2)+1)</f>
        <v>45915</v>
      </c>
      <c r="C643" s="20">
        <f>IFERROR(_xlfn.ISOWEEKNUM(INPUT!M638),"")</f>
        <v>38</v>
      </c>
      <c r="D643" s="20">
        <f>IFERROR(YEAR(INPUT!M638),"")</f>
        <v>2025</v>
      </c>
      <c r="E643" t="str">
        <f>IF(INPUT!O638="","",INPUT!O638)</f>
        <v>DANI</v>
      </c>
      <c r="F643" t="str">
        <f>IF(INPUT!N638="","",INPUT!N638)</f>
        <v>T</v>
      </c>
      <c r="G643" t="str" cm="1">
        <f t="array" ref="G643">IFERROR(VLOOKUP(INPUT!M638&amp;INPUT!N638,CHOOSE({1,2},INPUT!$A$3:$A$5000&amp;INPUT!$C$3:$C$5000,INPUT!$F$3:$F$5000),2,FALSE),"")</f>
        <v>PRE-TEMPORADA</v>
      </c>
      <c r="H643" t="str" cm="1">
        <f t="array" ref="H643">IFERROR(VLOOKUP(INPUT!M638&amp;INPUT!N638,CHOOSE({1,2},INPUT!$A$3:$A$5000&amp;INPUT!$C$3:$C$5000,INPUT!$D$3:$D$5000),2,FALSE),"")</f>
        <v>PARTIDO</v>
      </c>
      <c r="I643" s="46">
        <f>IF(INPUT!P638="","",INPUT!P638)</f>
        <v>92.3</v>
      </c>
      <c r="J643" s="46">
        <f>IF(INPUT!Q638="","",INPUT!Q638)</f>
        <v>91.6</v>
      </c>
      <c r="K643" s="46">
        <f>IFERROR(IF(OR(INPUT!P638="",INPUT!Q638=""),"",INPUT!P638-INPUT!Q638),"")</f>
        <v>0.70000000000000284</v>
      </c>
      <c r="L643" s="48">
        <f>IFERROR(IF(OR(INPUT!P638="",INPUT!Q638="",INPUT!P638=0),"",(INPUT!P638-INPUT!Q638)/INPUT!P638),"")</f>
        <v>7.5839653304442343E-3</v>
      </c>
    </row>
    <row r="644" spans="1:12" ht="18" hidden="1" customHeight="1" x14ac:dyDescent="0.2">
      <c r="A644" s="11">
        <f>IF(INPUT!M639="","",INPUT!M639)</f>
        <v>45919</v>
      </c>
      <c r="B644" s="11">
        <f>IF(INPUT!M639="","",INPUT!M639-WEEKDAY(INPUT!M639,2)+1)</f>
        <v>45915</v>
      </c>
      <c r="C644" s="20">
        <f>IFERROR(_xlfn.ISOWEEKNUM(INPUT!M639),"")</f>
        <v>38</v>
      </c>
      <c r="D644" s="20">
        <f>IFERROR(YEAR(INPUT!M639),"")</f>
        <v>2025</v>
      </c>
      <c r="E644" t="str">
        <f>IF(INPUT!O639="","",INPUT!O639)</f>
        <v>HERRERO</v>
      </c>
      <c r="F644" t="str">
        <f>IF(INPUT!N639="","",INPUT!N639)</f>
        <v>M</v>
      </c>
      <c r="G644" t="str" cm="1">
        <f t="array" ref="G644">IFERROR(VLOOKUP(INPUT!M639&amp;INPUT!N639,CHOOSE({1,2},INPUT!$A$3:$A$5000&amp;INPUT!$C$3:$C$5000,INPUT!$F$3:$F$5000),2,FALSE),"")</f>
        <v>PRE-TEMPORADA</v>
      </c>
      <c r="H644" t="str" cm="1">
        <f t="array" ref="H644">IFERROR(VLOOKUP(INPUT!M639&amp;INPUT!N639,CHOOSE({1,2},INPUT!$A$3:$A$5000&amp;INPUT!$C$3:$C$5000,INPUT!$D$3:$D$5000),2,FALSE),"")</f>
        <v>TEC-TAC</v>
      </c>
      <c r="I644" s="46">
        <f>IF(INPUT!P639="","",INPUT!P639)</f>
        <v>76.8</v>
      </c>
      <c r="J644" s="46">
        <f>IF(INPUT!Q639="","",INPUT!Q639)</f>
        <v>76</v>
      </c>
      <c r="K644" s="46">
        <f>IFERROR(IF(OR(INPUT!P639="",INPUT!Q639=""),"",INPUT!P639-INPUT!Q639),"")</f>
        <v>0.79999999999999716</v>
      </c>
      <c r="L644" s="48">
        <f>IFERROR(IF(OR(INPUT!P639="",INPUT!Q639="",INPUT!P639=0),"",(INPUT!P639-INPUT!Q639)/INPUT!P639),"")</f>
        <v>1.041666666666663E-2</v>
      </c>
    </row>
    <row r="645" spans="1:12" ht="18" hidden="1" customHeight="1" x14ac:dyDescent="0.2">
      <c r="A645" s="11">
        <f>IF(INPUT!M640="","",INPUT!M640)</f>
        <v>45919</v>
      </c>
      <c r="B645" s="11">
        <f>IF(INPUT!M640="","",INPUT!M640-WEEKDAY(INPUT!M640,2)+1)</f>
        <v>45915</v>
      </c>
      <c r="C645" s="20">
        <f>IFERROR(_xlfn.ISOWEEKNUM(INPUT!M640),"")</f>
        <v>38</v>
      </c>
      <c r="D645" s="20">
        <f>IFERROR(YEAR(INPUT!M640),"")</f>
        <v>2025</v>
      </c>
      <c r="E645" t="str">
        <f>IF(INPUT!O640="","",INPUT!O640)</f>
        <v>HERRERO</v>
      </c>
      <c r="F645" t="str">
        <f>IF(INPUT!N640="","",INPUT!N640)</f>
        <v>T</v>
      </c>
      <c r="G645" t="str" cm="1">
        <f t="array" ref="G645">IFERROR(VLOOKUP(INPUT!M640&amp;INPUT!N640,CHOOSE({1,2},INPUT!$A$3:$A$5000&amp;INPUT!$C$3:$C$5000,INPUT!$F$3:$F$5000),2,FALSE),"")</f>
        <v>PRE-TEMPORADA</v>
      </c>
      <c r="H645" t="str" cm="1">
        <f t="array" ref="H645">IFERROR(VLOOKUP(INPUT!M640&amp;INPUT!N640,CHOOSE({1,2},INPUT!$A$3:$A$5000&amp;INPUT!$C$3:$C$5000,INPUT!$D$3:$D$5000),2,FALSE),"")</f>
        <v>FISICO</v>
      </c>
      <c r="I645" s="46">
        <f>IF(INPUT!P640="","",INPUT!P640)</f>
        <v>77</v>
      </c>
      <c r="J645" s="46">
        <f>IF(INPUT!Q640="","",INPUT!Q640)</f>
        <v>76</v>
      </c>
      <c r="K645" s="46">
        <f>IFERROR(IF(OR(INPUT!P640="",INPUT!Q640=""),"",INPUT!P640-INPUT!Q640),"")</f>
        <v>1</v>
      </c>
      <c r="L645" s="48">
        <f>IFERROR(IF(OR(INPUT!P640="",INPUT!Q640="",INPUT!P640=0),"",(INPUT!P640-INPUT!Q640)/INPUT!P640),"")</f>
        <v>1.2987012987012988E-2</v>
      </c>
    </row>
    <row r="646" spans="1:12" ht="18" hidden="1" customHeight="1" x14ac:dyDescent="0.2">
      <c r="A646" s="11">
        <f>IF(INPUT!M641="","",INPUT!M641)</f>
        <v>45919</v>
      </c>
      <c r="B646" s="11">
        <f>IF(INPUT!M641="","",INPUT!M641-WEEKDAY(INPUT!M641,2)+1)</f>
        <v>45915</v>
      </c>
      <c r="C646" s="20">
        <f>IFERROR(_xlfn.ISOWEEKNUM(INPUT!M641),"")</f>
        <v>38</v>
      </c>
      <c r="D646" s="20">
        <f>IFERROR(YEAR(INPUT!M641),"")</f>
        <v>2025</v>
      </c>
      <c r="E646" t="str">
        <f>IF(INPUT!O641="","",INPUT!O641)</f>
        <v>GARCIA</v>
      </c>
      <c r="F646" t="str">
        <f>IF(INPUT!N641="","",INPUT!N641)</f>
        <v>M</v>
      </c>
      <c r="G646" t="str" cm="1">
        <f t="array" ref="G646">IFERROR(VLOOKUP(INPUT!M641&amp;INPUT!N641,CHOOSE({1,2},INPUT!$A$3:$A$5000&amp;INPUT!$C$3:$C$5000,INPUT!$F$3:$F$5000),2,FALSE),"")</f>
        <v>PRE-TEMPORADA</v>
      </c>
      <c r="H646" t="str" cm="1">
        <f t="array" ref="H646">IFERROR(VLOOKUP(INPUT!M641&amp;INPUT!N641,CHOOSE({1,2},INPUT!$A$3:$A$5000&amp;INPUT!$C$3:$C$5000,INPUT!$D$3:$D$5000),2,FALSE),"")</f>
        <v>TEC-TAC</v>
      </c>
      <c r="I646" s="46">
        <f>IF(INPUT!P641="","",INPUT!P641)</f>
        <v>79.7</v>
      </c>
      <c r="J646" s="46">
        <f>IF(INPUT!Q641="","",INPUT!Q641)</f>
        <v>79.5</v>
      </c>
      <c r="K646" s="46">
        <f>IFERROR(IF(OR(INPUT!P641="",INPUT!Q641=""),"",INPUT!P641-INPUT!Q641),"")</f>
        <v>0.20000000000000284</v>
      </c>
      <c r="L646" s="48">
        <f>IFERROR(IF(OR(INPUT!P641="",INPUT!Q641="",INPUT!P641=0),"",(INPUT!P641-INPUT!Q641)/INPUT!P641),"")</f>
        <v>2.5094102885822186E-3</v>
      </c>
    </row>
    <row r="647" spans="1:12" ht="18" hidden="1" customHeight="1" x14ac:dyDescent="0.2">
      <c r="A647" s="11">
        <f>IF(INPUT!M642="","",INPUT!M642)</f>
        <v>45919</v>
      </c>
      <c r="B647" s="11">
        <f>IF(INPUT!M642="","",INPUT!M642-WEEKDAY(INPUT!M642,2)+1)</f>
        <v>45915</v>
      </c>
      <c r="C647" s="20">
        <f>IFERROR(_xlfn.ISOWEEKNUM(INPUT!M642),"")</f>
        <v>38</v>
      </c>
      <c r="D647" s="20">
        <f>IFERROR(YEAR(INPUT!M642),"")</f>
        <v>2025</v>
      </c>
      <c r="E647" t="str">
        <f>IF(INPUT!O642="","",INPUT!O642)</f>
        <v>GARCIA</v>
      </c>
      <c r="F647" t="str">
        <f>IF(INPUT!N642="","",INPUT!N642)</f>
        <v>T</v>
      </c>
      <c r="G647" t="str" cm="1">
        <f t="array" ref="G647">IFERROR(VLOOKUP(INPUT!M642&amp;INPUT!N642,CHOOSE({1,2},INPUT!$A$3:$A$5000&amp;INPUT!$C$3:$C$5000,INPUT!$F$3:$F$5000),2,FALSE),"")</f>
        <v>PRE-TEMPORADA</v>
      </c>
      <c r="H647" t="str" cm="1">
        <f t="array" ref="H647">IFERROR(VLOOKUP(INPUT!M642&amp;INPUT!N642,CHOOSE({1,2},INPUT!$A$3:$A$5000&amp;INPUT!$C$3:$C$5000,INPUT!$D$3:$D$5000),2,FALSE),"")</f>
        <v>FISICO</v>
      </c>
      <c r="I647" s="46">
        <f>IF(INPUT!P642="","",INPUT!P642)</f>
        <v>79.8</v>
      </c>
      <c r="J647" s="46">
        <f>IF(INPUT!Q642="","",INPUT!Q642)</f>
        <v>79.599999999999994</v>
      </c>
      <c r="K647" s="46">
        <f>IFERROR(IF(OR(INPUT!P642="",INPUT!Q642=""),"",INPUT!P642-INPUT!Q642),"")</f>
        <v>0.20000000000000284</v>
      </c>
      <c r="L647" s="48">
        <f>IFERROR(IF(OR(INPUT!P642="",INPUT!Q642="",INPUT!P642=0),"",(INPUT!P642-INPUT!Q642)/INPUT!P642),"")</f>
        <v>2.5062656641604369E-3</v>
      </c>
    </row>
    <row r="648" spans="1:12" ht="18" hidden="1" customHeight="1" x14ac:dyDescent="0.2">
      <c r="A648" s="11">
        <f>IF(INPUT!M643="","",INPUT!M643)</f>
        <v>45919</v>
      </c>
      <c r="B648" s="11">
        <f>IF(INPUT!M643="","",INPUT!M643-WEEKDAY(INPUT!M643,2)+1)</f>
        <v>45915</v>
      </c>
      <c r="C648" s="20">
        <f>IFERROR(_xlfn.ISOWEEKNUM(INPUT!M643),"")</f>
        <v>38</v>
      </c>
      <c r="D648" s="20">
        <f>IFERROR(YEAR(INPUT!M643),"")</f>
        <v>2025</v>
      </c>
      <c r="E648" t="str">
        <f>IF(INPUT!O643="","",INPUT!O643)</f>
        <v>OSCAR</v>
      </c>
      <c r="F648" t="str">
        <f>IF(INPUT!N643="","",INPUT!N643)</f>
        <v>M</v>
      </c>
      <c r="G648" t="str" cm="1">
        <f t="array" ref="G648">IFERROR(VLOOKUP(INPUT!M643&amp;INPUT!N643,CHOOSE({1,2},INPUT!$A$3:$A$5000&amp;INPUT!$C$3:$C$5000,INPUT!$F$3:$F$5000),2,FALSE),"")</f>
        <v>PRE-TEMPORADA</v>
      </c>
      <c r="H648" t="str" cm="1">
        <f t="array" ref="H648">IFERROR(VLOOKUP(INPUT!M643&amp;INPUT!N643,CHOOSE({1,2},INPUT!$A$3:$A$5000&amp;INPUT!$C$3:$C$5000,INPUT!$D$3:$D$5000),2,FALSE),"")</f>
        <v>TEC-TAC</v>
      </c>
      <c r="I648" s="46">
        <f>IF(INPUT!P643="","",INPUT!P643)</f>
        <v>85.9</v>
      </c>
      <c r="J648" s="46">
        <f>IF(INPUT!Q643="","",INPUT!Q643)</f>
        <v>85.3</v>
      </c>
      <c r="K648" s="46">
        <f>IFERROR(IF(OR(INPUT!P643="",INPUT!Q643=""),"",INPUT!P643-INPUT!Q643),"")</f>
        <v>0.60000000000000853</v>
      </c>
      <c r="L648" s="48">
        <f>IFERROR(IF(OR(INPUT!P643="",INPUT!Q643="",INPUT!P643=0),"",(INPUT!P643-INPUT!Q643)/INPUT!P643),"")</f>
        <v>6.9848661233994002E-3</v>
      </c>
    </row>
    <row r="649" spans="1:12" ht="18" hidden="1" customHeight="1" x14ac:dyDescent="0.2">
      <c r="A649" s="11">
        <f>IF(INPUT!M644="","",INPUT!M644)</f>
        <v>45919</v>
      </c>
      <c r="B649" s="11">
        <f>IF(INPUT!M644="","",INPUT!M644-WEEKDAY(INPUT!M644,2)+1)</f>
        <v>45915</v>
      </c>
      <c r="C649" s="20">
        <f>IFERROR(_xlfn.ISOWEEKNUM(INPUT!M644),"")</f>
        <v>38</v>
      </c>
      <c r="D649" s="20">
        <f>IFERROR(YEAR(INPUT!M644),"")</f>
        <v>2025</v>
      </c>
      <c r="E649" t="str">
        <f>IF(INPUT!O644="","",INPUT!O644)</f>
        <v>CECILIO</v>
      </c>
      <c r="F649" t="str">
        <f>IF(INPUT!N644="","",INPUT!N644)</f>
        <v>M</v>
      </c>
      <c r="G649" t="str" cm="1">
        <f t="array" ref="G649">IFERROR(VLOOKUP(INPUT!M644&amp;INPUT!N644,CHOOSE({1,2},INPUT!$A$3:$A$5000&amp;INPUT!$C$3:$C$5000,INPUT!$F$3:$F$5000),2,FALSE),"")</f>
        <v>PRE-TEMPORADA</v>
      </c>
      <c r="H649" t="str" cm="1">
        <f t="array" ref="H649">IFERROR(VLOOKUP(INPUT!M644&amp;INPUT!N644,CHOOSE({1,2},INPUT!$A$3:$A$5000&amp;INPUT!$C$3:$C$5000,INPUT!$D$3:$D$5000),2,FALSE),"")</f>
        <v>TEC-TAC</v>
      </c>
      <c r="I649" s="46">
        <f>IF(INPUT!P644="","",INPUT!P644)</f>
        <v>67.7</v>
      </c>
      <c r="J649" s="46">
        <f>IF(INPUT!Q644="","",INPUT!Q644)</f>
        <v>67.8</v>
      </c>
      <c r="K649" s="46">
        <f>IFERROR(IF(OR(INPUT!P644="",INPUT!Q644=""),"",INPUT!P644-INPUT!Q644),"")</f>
        <v>-9.9999999999994316E-2</v>
      </c>
      <c r="L649" s="48">
        <f>IFERROR(IF(OR(INPUT!P644="",INPUT!Q644="",INPUT!P644=0),"",(INPUT!P644-INPUT!Q644)/INPUT!P644),"")</f>
        <v>-1.4771048744460016E-3</v>
      </c>
    </row>
    <row r="650" spans="1:12" ht="18" hidden="1" customHeight="1" x14ac:dyDescent="0.2">
      <c r="A650" s="11">
        <f>IF(INPUT!M645="","",INPUT!M645)</f>
        <v>45919</v>
      </c>
      <c r="B650" s="11">
        <f>IF(INPUT!M645="","",INPUT!M645-WEEKDAY(INPUT!M645,2)+1)</f>
        <v>45915</v>
      </c>
      <c r="C650" s="20">
        <f>IFERROR(_xlfn.ISOWEEKNUM(INPUT!M645),"")</f>
        <v>38</v>
      </c>
      <c r="D650" s="20">
        <f>IFERROR(YEAR(INPUT!M645),"")</f>
        <v>2025</v>
      </c>
      <c r="E650" t="str">
        <f>IF(INPUT!O645="","",INPUT!O645)</f>
        <v>CECILIO</v>
      </c>
      <c r="F650" t="str">
        <f>IF(INPUT!N645="","",INPUT!N645)</f>
        <v>T</v>
      </c>
      <c r="G650" t="str" cm="1">
        <f t="array" ref="G650">IFERROR(VLOOKUP(INPUT!M645&amp;INPUT!N645,CHOOSE({1,2},INPUT!$A$3:$A$5000&amp;INPUT!$C$3:$C$5000,INPUT!$F$3:$F$5000),2,FALSE),"")</f>
        <v>PRE-TEMPORADA</v>
      </c>
      <c r="H650" t="str" cm="1">
        <f t="array" ref="H650">IFERROR(VLOOKUP(INPUT!M645&amp;INPUT!N645,CHOOSE({1,2},INPUT!$A$3:$A$5000&amp;INPUT!$C$3:$C$5000,INPUT!$D$3:$D$5000),2,FALSE),"")</f>
        <v>FISICO</v>
      </c>
      <c r="I650" s="46">
        <f>IF(INPUT!P645="","",INPUT!P645)</f>
        <v>68.2</v>
      </c>
      <c r="J650" s="46">
        <f>IF(INPUT!Q645="","",INPUT!Q645)</f>
        <v>68.099999999999994</v>
      </c>
      <c r="K650" s="46">
        <f>IFERROR(IF(OR(INPUT!P645="",INPUT!Q645=""),"",INPUT!P645-INPUT!Q645),"")</f>
        <v>0.10000000000000853</v>
      </c>
      <c r="L650" s="48">
        <f>IFERROR(IF(OR(INPUT!P645="",INPUT!Q645="",INPUT!P645=0),"",(INPUT!P645-INPUT!Q645)/INPUT!P645),"")</f>
        <v>1.4662756598241718E-3</v>
      </c>
    </row>
    <row r="651" spans="1:12" ht="18" hidden="1" customHeight="1" x14ac:dyDescent="0.2">
      <c r="A651" s="11">
        <f>IF(INPUT!M646="","",INPUT!M646)</f>
        <v>45919</v>
      </c>
      <c r="B651" s="11">
        <f>IF(INPUT!M646="","",INPUT!M646-WEEKDAY(INPUT!M646,2)+1)</f>
        <v>45915</v>
      </c>
      <c r="C651" s="20">
        <f>IFERROR(_xlfn.ISOWEEKNUM(INPUT!M646),"")</f>
        <v>38</v>
      </c>
      <c r="D651" s="20">
        <f>IFERROR(YEAR(INPUT!M646),"")</f>
        <v>2025</v>
      </c>
      <c r="E651" t="str">
        <f>IF(INPUT!O646="","",INPUT!O646)</f>
        <v>CHAGUINHA</v>
      </c>
      <c r="F651" t="str">
        <f>IF(INPUT!N646="","",INPUT!N646)</f>
        <v>M</v>
      </c>
      <c r="G651" t="str" cm="1">
        <f t="array" ref="G651">IFERROR(VLOOKUP(INPUT!M646&amp;INPUT!N646,CHOOSE({1,2},INPUT!$A$3:$A$5000&amp;INPUT!$C$3:$C$5000,INPUT!$F$3:$F$5000),2,FALSE),"")</f>
        <v>PRE-TEMPORADA</v>
      </c>
      <c r="H651" t="str" cm="1">
        <f t="array" ref="H651">IFERROR(VLOOKUP(INPUT!M646&amp;INPUT!N646,CHOOSE({1,2},INPUT!$A$3:$A$5000&amp;INPUT!$C$3:$C$5000,INPUT!$D$3:$D$5000),2,FALSE),"")</f>
        <v>TEC-TAC</v>
      </c>
      <c r="I651" s="46">
        <f>IF(INPUT!P646="","",INPUT!P646)</f>
        <v>69</v>
      </c>
      <c r="J651" s="46">
        <f>IF(INPUT!Q646="","",INPUT!Q646)</f>
        <v>68.5</v>
      </c>
      <c r="K651" s="46">
        <f>IFERROR(IF(OR(INPUT!P646="",INPUT!Q646=""),"",INPUT!P646-INPUT!Q646),"")</f>
        <v>0.5</v>
      </c>
      <c r="L651" s="48">
        <f>IFERROR(IF(OR(INPUT!P646="",INPUT!Q646="",INPUT!P646=0),"",(INPUT!P646-INPUT!Q646)/INPUT!P646),"")</f>
        <v>7.246376811594203E-3</v>
      </c>
    </row>
    <row r="652" spans="1:12" ht="18" hidden="1" customHeight="1" x14ac:dyDescent="0.2">
      <c r="A652" s="11">
        <f>IF(INPUT!M647="","",INPUT!M647)</f>
        <v>45919</v>
      </c>
      <c r="B652" s="11">
        <f>IF(INPUT!M647="","",INPUT!M647-WEEKDAY(INPUT!M647,2)+1)</f>
        <v>45915</v>
      </c>
      <c r="C652" s="20">
        <f>IFERROR(_xlfn.ISOWEEKNUM(INPUT!M647),"")</f>
        <v>38</v>
      </c>
      <c r="D652" s="20">
        <f>IFERROR(YEAR(INPUT!M647),"")</f>
        <v>2025</v>
      </c>
      <c r="E652" t="str">
        <f>IF(INPUT!O647="","",INPUT!O647)</f>
        <v>CHAGUINHA</v>
      </c>
      <c r="F652" t="str">
        <f>IF(INPUT!N647="","",INPUT!N647)</f>
        <v>T</v>
      </c>
      <c r="G652" t="str" cm="1">
        <f t="array" ref="G652">IFERROR(VLOOKUP(INPUT!M647&amp;INPUT!N647,CHOOSE({1,2},INPUT!$A$3:$A$5000&amp;INPUT!$C$3:$C$5000,INPUT!$F$3:$F$5000),2,FALSE),"")</f>
        <v>PRE-TEMPORADA</v>
      </c>
      <c r="H652" t="str" cm="1">
        <f t="array" ref="H652">IFERROR(VLOOKUP(INPUT!M647&amp;INPUT!N647,CHOOSE({1,2},INPUT!$A$3:$A$5000&amp;INPUT!$C$3:$C$5000,INPUT!$D$3:$D$5000),2,FALSE),"")</f>
        <v>FISICO</v>
      </c>
      <c r="I652" s="46">
        <f>IF(INPUT!P647="","",INPUT!P647)</f>
        <v>68.900000000000006</v>
      </c>
      <c r="J652" s="46">
        <f>IF(INPUT!Q647="","",INPUT!Q647)</f>
        <v>68.3</v>
      </c>
      <c r="K652" s="46">
        <f>IFERROR(IF(OR(INPUT!P647="",INPUT!Q647=""),"",INPUT!P647-INPUT!Q647),"")</f>
        <v>0.60000000000000853</v>
      </c>
      <c r="L652" s="48">
        <f>IFERROR(IF(OR(INPUT!P647="",INPUT!Q647="",INPUT!P647=0),"",(INPUT!P647-INPUT!Q647)/INPUT!P647),"")</f>
        <v>8.7082728592163781E-3</v>
      </c>
    </row>
    <row r="653" spans="1:12" ht="18" hidden="1" customHeight="1" x14ac:dyDescent="0.2">
      <c r="A653" s="11">
        <f>IF(INPUT!M648="","",INPUT!M648)</f>
        <v>45919</v>
      </c>
      <c r="B653" s="11">
        <f>IF(INPUT!M648="","",INPUT!M648-WEEKDAY(INPUT!M648,2)+1)</f>
        <v>45915</v>
      </c>
      <c r="C653" s="20">
        <f>IFERROR(_xlfn.ISOWEEKNUM(INPUT!M648),"")</f>
        <v>38</v>
      </c>
      <c r="D653" s="20">
        <f>IFERROR(YEAR(INPUT!M648),"")</f>
        <v>2025</v>
      </c>
      <c r="E653" t="str">
        <f>IF(INPUT!O648="","",INPUT!O648)</f>
        <v>HARRISON</v>
      </c>
      <c r="F653" t="str">
        <f>IF(INPUT!N648="","",INPUT!N648)</f>
        <v>M</v>
      </c>
      <c r="G653" t="str" cm="1">
        <f t="array" ref="G653">IFERROR(VLOOKUP(INPUT!M648&amp;INPUT!N648,CHOOSE({1,2},INPUT!$A$3:$A$5000&amp;INPUT!$C$3:$C$5000,INPUT!$F$3:$F$5000),2,FALSE),"")</f>
        <v>PRE-TEMPORADA</v>
      </c>
      <c r="H653" t="str" cm="1">
        <f t="array" ref="H653">IFERROR(VLOOKUP(INPUT!M648&amp;INPUT!N648,CHOOSE({1,2},INPUT!$A$3:$A$5000&amp;INPUT!$C$3:$C$5000,INPUT!$D$3:$D$5000),2,FALSE),"")</f>
        <v>TEC-TAC</v>
      </c>
      <c r="I653" s="46">
        <f>IF(INPUT!P648="","",INPUT!P648)</f>
        <v>70.7</v>
      </c>
      <c r="J653" s="46">
        <f>IF(INPUT!Q648="","",INPUT!Q648)</f>
        <v>71</v>
      </c>
      <c r="K653" s="46">
        <f>IFERROR(IF(OR(INPUT!P648="",INPUT!Q648=""),"",INPUT!P648-INPUT!Q648),"")</f>
        <v>-0.29999999999999716</v>
      </c>
      <c r="L653" s="48">
        <f>IFERROR(IF(OR(INPUT!P648="",INPUT!Q648="",INPUT!P648=0),"",(INPUT!P648-INPUT!Q648)/INPUT!P648),"")</f>
        <v>-4.2432814710042033E-3</v>
      </c>
    </row>
    <row r="654" spans="1:12" ht="18" hidden="1" customHeight="1" x14ac:dyDescent="0.2">
      <c r="A654" s="11">
        <f>IF(INPUT!M649="","",INPUT!M649)</f>
        <v>45919</v>
      </c>
      <c r="B654" s="11">
        <f>IF(INPUT!M649="","",INPUT!M649-WEEKDAY(INPUT!M649,2)+1)</f>
        <v>45915</v>
      </c>
      <c r="C654" s="20">
        <f>IFERROR(_xlfn.ISOWEEKNUM(INPUT!M649),"")</f>
        <v>38</v>
      </c>
      <c r="D654" s="20">
        <f>IFERROR(YEAR(INPUT!M649),"")</f>
        <v>2025</v>
      </c>
      <c r="E654" t="str">
        <f>IF(INPUT!O649="","",INPUT!O649)</f>
        <v>HARRISON</v>
      </c>
      <c r="F654" t="str">
        <f>IF(INPUT!N649="","",INPUT!N649)</f>
        <v>T</v>
      </c>
      <c r="G654" t="str" cm="1">
        <f t="array" ref="G654">IFERROR(VLOOKUP(INPUT!M649&amp;INPUT!N649,CHOOSE({1,2},INPUT!$A$3:$A$5000&amp;INPUT!$C$3:$C$5000,INPUT!$F$3:$F$5000),2,FALSE),"")</f>
        <v>PRE-TEMPORADA</v>
      </c>
      <c r="H654" t="str" cm="1">
        <f t="array" ref="H654">IFERROR(VLOOKUP(INPUT!M649&amp;INPUT!N649,CHOOSE({1,2},INPUT!$A$3:$A$5000&amp;INPUT!$C$3:$C$5000,INPUT!$D$3:$D$5000),2,FALSE),"")</f>
        <v>FISICO</v>
      </c>
      <c r="I654" s="46">
        <f>IF(INPUT!P649="","",INPUT!P649)</f>
        <v>70.8</v>
      </c>
      <c r="J654" s="46">
        <f>IF(INPUT!Q649="","",INPUT!Q649)</f>
        <v>71</v>
      </c>
      <c r="K654" s="46">
        <f>IFERROR(IF(OR(INPUT!P649="",INPUT!Q649=""),"",INPUT!P649-INPUT!Q649),"")</f>
        <v>-0.20000000000000284</v>
      </c>
      <c r="L654" s="48">
        <f>IFERROR(IF(OR(INPUT!P649="",INPUT!Q649="",INPUT!P649=0),"",(INPUT!P649-INPUT!Q649)/INPUT!P649),"")</f>
        <v>-2.8248587570621872E-3</v>
      </c>
    </row>
    <row r="655" spans="1:12" ht="18" hidden="1" customHeight="1" x14ac:dyDescent="0.2">
      <c r="A655" s="11">
        <f>IF(INPUT!M650="","",INPUT!M650)</f>
        <v>45919</v>
      </c>
      <c r="B655" s="11">
        <f>IF(INPUT!M650="","",INPUT!M650-WEEKDAY(INPUT!M650,2)+1)</f>
        <v>45915</v>
      </c>
      <c r="C655" s="20">
        <f>IFERROR(_xlfn.ISOWEEKNUM(INPUT!M650),"")</f>
        <v>38</v>
      </c>
      <c r="D655" s="20">
        <f>IFERROR(YEAR(INPUT!M650),"")</f>
        <v>2025</v>
      </c>
      <c r="E655" t="str">
        <f>IF(INPUT!O650="","",INPUT!O650)</f>
        <v>RAYA</v>
      </c>
      <c r="F655" t="str">
        <f>IF(INPUT!N650="","",INPUT!N650)</f>
        <v>M</v>
      </c>
      <c r="G655" t="str" cm="1">
        <f t="array" ref="G655">IFERROR(VLOOKUP(INPUT!M650&amp;INPUT!N650,CHOOSE({1,2},INPUT!$A$3:$A$5000&amp;INPUT!$C$3:$C$5000,INPUT!$F$3:$F$5000),2,FALSE),"")</f>
        <v>PRE-TEMPORADA</v>
      </c>
      <c r="H655" t="str" cm="1">
        <f t="array" ref="H655">IFERROR(VLOOKUP(INPUT!M650&amp;INPUT!N650,CHOOSE({1,2},INPUT!$A$3:$A$5000&amp;INPUT!$C$3:$C$5000,INPUT!$D$3:$D$5000),2,FALSE),"")</f>
        <v>TEC-TAC</v>
      </c>
      <c r="I655" s="46">
        <f>IF(INPUT!P650="","",INPUT!P650)</f>
        <v>82.5</v>
      </c>
      <c r="J655" s="46">
        <f>IF(INPUT!Q650="","",INPUT!Q650)</f>
        <v>80.8</v>
      </c>
      <c r="K655" s="46">
        <f>IFERROR(IF(OR(INPUT!P650="",INPUT!Q650=""),"",INPUT!P650-INPUT!Q650),"")</f>
        <v>1.7000000000000028</v>
      </c>
      <c r="L655" s="48">
        <f>IFERROR(IF(OR(INPUT!P650="",INPUT!Q650="",INPUT!P650=0),"",(INPUT!P650-INPUT!Q650)/INPUT!P650),"")</f>
        <v>2.0606060606060642E-2</v>
      </c>
    </row>
    <row r="656" spans="1:12" ht="18" hidden="1" customHeight="1" x14ac:dyDescent="0.2">
      <c r="A656" s="11">
        <f>IF(INPUT!M651="","",INPUT!M651)</f>
        <v>45919</v>
      </c>
      <c r="B656" s="11">
        <f>IF(INPUT!M651="","",INPUT!M651-WEEKDAY(INPUT!M651,2)+1)</f>
        <v>45915</v>
      </c>
      <c r="C656" s="20">
        <f>IFERROR(_xlfn.ISOWEEKNUM(INPUT!M651),"")</f>
        <v>38</v>
      </c>
      <c r="D656" s="20">
        <f>IFERROR(YEAR(INPUT!M651),"")</f>
        <v>2025</v>
      </c>
      <c r="E656" t="str">
        <f>IF(INPUT!O651="","",INPUT!O651)</f>
        <v>RAYA</v>
      </c>
      <c r="F656" t="str">
        <f>IF(INPUT!N651="","",INPUT!N651)</f>
        <v>T</v>
      </c>
      <c r="G656" t="str" cm="1">
        <f t="array" ref="G656">IFERROR(VLOOKUP(INPUT!M651&amp;INPUT!N651,CHOOSE({1,2},INPUT!$A$3:$A$5000&amp;INPUT!$C$3:$C$5000,INPUT!$F$3:$F$5000),2,FALSE),"")</f>
        <v>PRE-TEMPORADA</v>
      </c>
      <c r="H656" t="str" cm="1">
        <f t="array" ref="H656">IFERROR(VLOOKUP(INPUT!M651&amp;INPUT!N651,CHOOSE({1,2},INPUT!$A$3:$A$5000&amp;INPUT!$C$3:$C$5000,INPUT!$D$3:$D$5000),2,FALSE),"")</f>
        <v>FISICO</v>
      </c>
      <c r="I656" s="46">
        <f>IF(INPUT!P651="","",INPUT!P651)</f>
        <v>82.3</v>
      </c>
      <c r="J656" s="46">
        <f>IF(INPUT!Q651="","",INPUT!Q651)</f>
        <v>82</v>
      </c>
      <c r="K656" s="46">
        <f>IFERROR(IF(OR(INPUT!P651="",INPUT!Q651=""),"",INPUT!P651-INPUT!Q651),"")</f>
        <v>0.29999999999999716</v>
      </c>
      <c r="L656" s="48">
        <f>IFERROR(IF(OR(INPUT!P651="",INPUT!Q651="",INPUT!P651=0),"",(INPUT!P651-INPUT!Q651)/INPUT!P651),"")</f>
        <v>3.6452004860266971E-3</v>
      </c>
    </row>
    <row r="657" spans="1:12" ht="18" hidden="1" customHeight="1" x14ac:dyDescent="0.2">
      <c r="A657" s="11">
        <f>IF(INPUT!M652="","",INPUT!M652)</f>
        <v>45919</v>
      </c>
      <c r="B657" s="11">
        <f>IF(INPUT!M652="","",INPUT!M652-WEEKDAY(INPUT!M652,2)+1)</f>
        <v>45915</v>
      </c>
      <c r="C657" s="20">
        <f>IFERROR(_xlfn.ISOWEEKNUM(INPUT!M652),"")</f>
        <v>38</v>
      </c>
      <c r="D657" s="20">
        <f>IFERROR(YEAR(INPUT!M652),"")</f>
        <v>2025</v>
      </c>
      <c r="E657" t="str">
        <f>IF(INPUT!O652="","",INPUT!O652)</f>
        <v>PIRATA</v>
      </c>
      <c r="F657" t="str">
        <f>IF(INPUT!N652="","",INPUT!N652)</f>
        <v>M</v>
      </c>
      <c r="G657" t="str" cm="1">
        <f t="array" ref="G657">IFERROR(VLOOKUP(INPUT!M652&amp;INPUT!N652,CHOOSE({1,2},INPUT!$A$3:$A$5000&amp;INPUT!$C$3:$C$5000,INPUT!$F$3:$F$5000),2,FALSE),"")</f>
        <v>PRE-TEMPORADA</v>
      </c>
      <c r="H657" t="str" cm="1">
        <f t="array" ref="H657">IFERROR(VLOOKUP(INPUT!M652&amp;INPUT!N652,CHOOSE({1,2},INPUT!$A$3:$A$5000&amp;INPUT!$C$3:$C$5000,INPUT!$D$3:$D$5000),2,FALSE),"")</f>
        <v>TEC-TAC</v>
      </c>
      <c r="I657" s="46">
        <f>IF(INPUT!P652="","",INPUT!P652)</f>
        <v>75</v>
      </c>
      <c r="J657" s="46">
        <f>IF(INPUT!Q652="","",INPUT!Q652)</f>
        <v>74.7</v>
      </c>
      <c r="K657" s="46">
        <f>IFERROR(IF(OR(INPUT!P652="",INPUT!Q652=""),"",INPUT!P652-INPUT!Q652),"")</f>
        <v>0.29999999999999716</v>
      </c>
      <c r="L657" s="48">
        <f>IFERROR(IF(OR(INPUT!P652="",INPUT!Q652="",INPUT!P652=0),"",(INPUT!P652-INPUT!Q652)/INPUT!P652),"")</f>
        <v>3.9999999999999619E-3</v>
      </c>
    </row>
    <row r="658" spans="1:12" ht="18" hidden="1" customHeight="1" x14ac:dyDescent="0.2">
      <c r="A658" s="11">
        <f>IF(INPUT!M653="","",INPUT!M653)</f>
        <v>45919</v>
      </c>
      <c r="B658" s="11">
        <f>IF(INPUT!M653="","",INPUT!M653-WEEKDAY(INPUT!M653,2)+1)</f>
        <v>45915</v>
      </c>
      <c r="C658" s="20">
        <f>IFERROR(_xlfn.ISOWEEKNUM(INPUT!M653),"")</f>
        <v>38</v>
      </c>
      <c r="D658" s="20">
        <f>IFERROR(YEAR(INPUT!M653),"")</f>
        <v>2025</v>
      </c>
      <c r="E658" t="str">
        <f>IF(INPUT!O653="","",INPUT!O653)</f>
        <v>PIRATA</v>
      </c>
      <c r="F658" t="str">
        <f>IF(INPUT!N653="","",INPUT!N653)</f>
        <v>T</v>
      </c>
      <c r="G658" t="str" cm="1">
        <f t="array" ref="G658">IFERROR(VLOOKUP(INPUT!M653&amp;INPUT!N653,CHOOSE({1,2},INPUT!$A$3:$A$5000&amp;INPUT!$C$3:$C$5000,INPUT!$F$3:$F$5000),2,FALSE),"")</f>
        <v>PRE-TEMPORADA</v>
      </c>
      <c r="H658" t="str" cm="1">
        <f t="array" ref="H658">IFERROR(VLOOKUP(INPUT!M653&amp;INPUT!N653,CHOOSE({1,2},INPUT!$A$3:$A$5000&amp;INPUT!$C$3:$C$5000,INPUT!$D$3:$D$5000),2,FALSE),"")</f>
        <v>FISICO</v>
      </c>
      <c r="I658" s="46">
        <f>IF(INPUT!P653="","",INPUT!P653)</f>
        <v>74.900000000000006</v>
      </c>
      <c r="J658" s="46">
        <f>IF(INPUT!Q653="","",INPUT!Q653)</f>
        <v>74.8</v>
      </c>
      <c r="K658" s="46">
        <f>IFERROR(IF(OR(INPUT!P653="",INPUT!Q653=""),"",INPUT!P653-INPUT!Q653),"")</f>
        <v>0.10000000000000853</v>
      </c>
      <c r="L658" s="48">
        <f>IFERROR(IF(OR(INPUT!P653="",INPUT!Q653="",INPUT!P653=0),"",(INPUT!P653-INPUT!Q653)/INPUT!P653),"")</f>
        <v>1.3351134846463087E-3</v>
      </c>
    </row>
    <row r="659" spans="1:12" ht="18" hidden="1" customHeight="1" x14ac:dyDescent="0.2">
      <c r="A659" s="11">
        <f>IF(INPUT!M654="","",INPUT!M654)</f>
        <v>45919</v>
      </c>
      <c r="B659" s="11">
        <f>IF(INPUT!M654="","",INPUT!M654-WEEKDAY(INPUT!M654,2)+1)</f>
        <v>45915</v>
      </c>
      <c r="C659" s="20">
        <f>IFERROR(_xlfn.ISOWEEKNUM(INPUT!M654),"")</f>
        <v>38</v>
      </c>
      <c r="D659" s="20">
        <f>IFERROR(YEAR(INPUT!M654),"")</f>
        <v>2025</v>
      </c>
      <c r="E659" t="str">
        <f>IF(INPUT!O654="","",INPUT!O654)</f>
        <v>BARONA</v>
      </c>
      <c r="F659" t="str">
        <f>IF(INPUT!N654="","",INPUT!N654)</f>
        <v>M</v>
      </c>
      <c r="G659" t="str" cm="1">
        <f t="array" ref="G659">IFERROR(VLOOKUP(INPUT!M654&amp;INPUT!N654,CHOOSE({1,2},INPUT!$A$3:$A$5000&amp;INPUT!$C$3:$C$5000,INPUT!$F$3:$F$5000),2,FALSE),"")</f>
        <v>PRE-TEMPORADA</v>
      </c>
      <c r="H659" t="str" cm="1">
        <f t="array" ref="H659">IFERROR(VLOOKUP(INPUT!M654&amp;INPUT!N654,CHOOSE({1,2},INPUT!$A$3:$A$5000&amp;INPUT!$C$3:$C$5000,INPUT!$D$3:$D$5000),2,FALSE),"")</f>
        <v>TEC-TAC</v>
      </c>
      <c r="I659" s="46">
        <f>IF(INPUT!P654="","",INPUT!P654)</f>
        <v>71.2</v>
      </c>
      <c r="J659" s="46">
        <f>IF(INPUT!Q654="","",INPUT!Q654)</f>
        <v>71</v>
      </c>
      <c r="K659" s="46">
        <f>IFERROR(IF(OR(INPUT!P654="",INPUT!Q654=""),"",INPUT!P654-INPUT!Q654),"")</f>
        <v>0.20000000000000284</v>
      </c>
      <c r="L659" s="48">
        <f>IFERROR(IF(OR(INPUT!P654="",INPUT!Q654="",INPUT!P654=0),"",(INPUT!P654-INPUT!Q654)/INPUT!P654),"")</f>
        <v>2.8089887640449836E-3</v>
      </c>
    </row>
    <row r="660" spans="1:12" ht="18" hidden="1" customHeight="1" x14ac:dyDescent="0.2">
      <c r="A660" s="11">
        <f>IF(INPUT!M655="","",INPUT!M655)</f>
        <v>45919</v>
      </c>
      <c r="B660" s="11">
        <f>IF(INPUT!M655="","",INPUT!M655-WEEKDAY(INPUT!M655,2)+1)</f>
        <v>45915</v>
      </c>
      <c r="C660" s="20">
        <f>IFERROR(_xlfn.ISOWEEKNUM(INPUT!M655),"")</f>
        <v>38</v>
      </c>
      <c r="D660" s="20">
        <f>IFERROR(YEAR(INPUT!M655),"")</f>
        <v>2025</v>
      </c>
      <c r="E660" t="str">
        <f>IF(INPUT!O655="","",INPUT!O655)</f>
        <v>BARONA</v>
      </c>
      <c r="F660" t="str">
        <f>IF(INPUT!N655="","",INPUT!N655)</f>
        <v>T</v>
      </c>
      <c r="G660" t="str" cm="1">
        <f t="array" ref="G660">IFERROR(VLOOKUP(INPUT!M655&amp;INPUT!N655,CHOOSE({1,2},INPUT!$A$3:$A$5000&amp;INPUT!$C$3:$C$5000,INPUT!$F$3:$F$5000),2,FALSE),"")</f>
        <v>PRE-TEMPORADA</v>
      </c>
      <c r="H660" t="str" cm="1">
        <f t="array" ref="H660">IFERROR(VLOOKUP(INPUT!M655&amp;INPUT!N655,CHOOSE({1,2},INPUT!$A$3:$A$5000&amp;INPUT!$C$3:$C$5000,INPUT!$D$3:$D$5000),2,FALSE),"")</f>
        <v>FISICO</v>
      </c>
      <c r="I660" s="46">
        <f>IF(INPUT!P655="","",INPUT!P655)</f>
        <v>71</v>
      </c>
      <c r="J660" s="46">
        <f>IF(INPUT!Q655="","",INPUT!Q655)</f>
        <v>71</v>
      </c>
      <c r="K660" s="46">
        <f>IFERROR(IF(OR(INPUT!P655="",INPUT!Q655=""),"",INPUT!P655-INPUT!Q655),"")</f>
        <v>0</v>
      </c>
      <c r="L660" s="48">
        <f>IFERROR(IF(OR(INPUT!P655="",INPUT!Q655="",INPUT!P655=0),"",(INPUT!P655-INPUT!Q655)/INPUT!P655),"")</f>
        <v>0</v>
      </c>
    </row>
    <row r="661" spans="1:12" ht="18" hidden="1" customHeight="1" x14ac:dyDescent="0.2">
      <c r="A661" s="11">
        <f>IF(INPUT!M656="","",INPUT!M656)</f>
        <v>45919</v>
      </c>
      <c r="B661" s="11">
        <f>IF(INPUT!M656="","",INPUT!M656-WEEKDAY(INPUT!M656,2)+1)</f>
        <v>45915</v>
      </c>
      <c r="C661" s="20">
        <f>IFERROR(_xlfn.ISOWEEKNUM(INPUT!M656),"")</f>
        <v>38</v>
      </c>
      <c r="D661" s="20">
        <f>IFERROR(YEAR(INPUT!M656),"")</f>
        <v>2025</v>
      </c>
      <c r="E661" t="str">
        <f>IF(INPUT!O656="","",INPUT!O656)</f>
        <v>CARLOS</v>
      </c>
      <c r="F661" t="str">
        <f>IF(INPUT!N656="","",INPUT!N656)</f>
        <v>M</v>
      </c>
      <c r="G661" t="str" cm="1">
        <f t="array" ref="G661">IFERROR(VLOOKUP(INPUT!M656&amp;INPUT!N656,CHOOSE({1,2},INPUT!$A$3:$A$5000&amp;INPUT!$C$3:$C$5000,INPUT!$F$3:$F$5000),2,FALSE),"")</f>
        <v>PRE-TEMPORADA</v>
      </c>
      <c r="H661" t="str" cm="1">
        <f t="array" ref="H661">IFERROR(VLOOKUP(INPUT!M656&amp;INPUT!N656,CHOOSE({1,2},INPUT!$A$3:$A$5000&amp;INPUT!$C$3:$C$5000,INPUT!$D$3:$D$5000),2,FALSE),"")</f>
        <v>TEC-TAC</v>
      </c>
      <c r="I661" s="46">
        <f>IF(INPUT!P656="","",INPUT!P656)</f>
        <v>67.7</v>
      </c>
      <c r="J661" s="46">
        <f>IF(INPUT!Q656="","",INPUT!Q656)</f>
        <v>66.400000000000006</v>
      </c>
      <c r="K661" s="46">
        <f>IFERROR(IF(OR(INPUT!P656="",INPUT!Q656=""),"",INPUT!P656-INPUT!Q656),"")</f>
        <v>1.2999999999999972</v>
      </c>
      <c r="L661" s="48">
        <f>IFERROR(IF(OR(INPUT!P656="",INPUT!Q656="",INPUT!P656=0),"",(INPUT!P656-INPUT!Q656)/INPUT!P656),"")</f>
        <v>1.9202363367799073E-2</v>
      </c>
    </row>
    <row r="662" spans="1:12" ht="18" hidden="1" customHeight="1" x14ac:dyDescent="0.2">
      <c r="A662" s="11">
        <f>IF(INPUT!M657="","",INPUT!M657)</f>
        <v>45919</v>
      </c>
      <c r="B662" s="11">
        <f>IF(INPUT!M657="","",INPUT!M657-WEEKDAY(INPUT!M657,2)+1)</f>
        <v>45915</v>
      </c>
      <c r="C662" s="20">
        <f>IFERROR(_xlfn.ISOWEEKNUM(INPUT!M657),"")</f>
        <v>38</v>
      </c>
      <c r="D662" s="20">
        <f>IFERROR(YEAR(INPUT!M657),"")</f>
        <v>2025</v>
      </c>
      <c r="E662" t="str">
        <f>IF(INPUT!O657="","",INPUT!O657)</f>
        <v>CARLOS</v>
      </c>
      <c r="F662" t="str">
        <f>IF(INPUT!N657="","",INPUT!N657)</f>
        <v>T</v>
      </c>
      <c r="G662" t="str" cm="1">
        <f t="array" ref="G662">IFERROR(VLOOKUP(INPUT!M657&amp;INPUT!N657,CHOOSE({1,2},INPUT!$A$3:$A$5000&amp;INPUT!$C$3:$C$5000,INPUT!$F$3:$F$5000),2,FALSE),"")</f>
        <v>PRE-TEMPORADA</v>
      </c>
      <c r="H662" t="str" cm="1">
        <f t="array" ref="H662">IFERROR(VLOOKUP(INPUT!M657&amp;INPUT!N657,CHOOSE({1,2},INPUT!$A$3:$A$5000&amp;INPUT!$C$3:$C$5000,INPUT!$D$3:$D$5000),2,FALSE),"")</f>
        <v>FISICO</v>
      </c>
      <c r="I662" s="46">
        <f>IF(INPUT!P657="","",INPUT!P657)</f>
        <v>67.2</v>
      </c>
      <c r="J662" s="46">
        <f>IF(INPUT!Q657="","",INPUT!Q657)</f>
        <v>66.400000000000006</v>
      </c>
      <c r="K662" s="46">
        <f>IFERROR(IF(OR(INPUT!P657="",INPUT!Q657=""),"",INPUT!P657-INPUT!Q657),"")</f>
        <v>0.79999999999999716</v>
      </c>
      <c r="L662" s="48">
        <f>IFERROR(IF(OR(INPUT!P657="",INPUT!Q657="",INPUT!P657=0),"",(INPUT!P657-INPUT!Q657)/INPUT!P657),"")</f>
        <v>1.1904761904761862E-2</v>
      </c>
    </row>
    <row r="663" spans="1:12" ht="18" hidden="1" customHeight="1" x14ac:dyDescent="0.2">
      <c r="A663" s="11">
        <f>IF(INPUT!M658="","",INPUT!M658)</f>
        <v>45919</v>
      </c>
      <c r="B663" s="11">
        <f>IF(INPUT!M658="","",INPUT!M658-WEEKDAY(INPUT!M658,2)+1)</f>
        <v>45915</v>
      </c>
      <c r="C663" s="20">
        <f>IFERROR(_xlfn.ISOWEEKNUM(INPUT!M658),"")</f>
        <v>38</v>
      </c>
      <c r="D663" s="20">
        <f>IFERROR(YEAR(INPUT!M658),"")</f>
        <v>2025</v>
      </c>
      <c r="E663" t="str">
        <f>IF(INPUT!O658="","",INPUT!O658)</f>
        <v>GONZALO</v>
      </c>
      <c r="F663" t="str">
        <f>IF(INPUT!N658="","",INPUT!N658)</f>
        <v>M</v>
      </c>
      <c r="G663" t="str" cm="1">
        <f t="array" ref="G663">IFERROR(VLOOKUP(INPUT!M658&amp;INPUT!N658,CHOOSE({1,2},INPUT!$A$3:$A$5000&amp;INPUT!$C$3:$C$5000,INPUT!$F$3:$F$5000),2,FALSE),"")</f>
        <v>PRE-TEMPORADA</v>
      </c>
      <c r="H663" t="str" cm="1">
        <f t="array" ref="H663">IFERROR(VLOOKUP(INPUT!M658&amp;INPUT!N658,CHOOSE({1,2},INPUT!$A$3:$A$5000&amp;INPUT!$C$3:$C$5000,INPUT!$D$3:$D$5000),2,FALSE),"")</f>
        <v>TEC-TAC</v>
      </c>
      <c r="I663" s="46">
        <f>IF(INPUT!P658="","",INPUT!P658)</f>
        <v>84.9</v>
      </c>
      <c r="J663" s="46">
        <f>IF(INPUT!Q658="","",INPUT!Q658)</f>
        <v>85</v>
      </c>
      <c r="K663" s="46">
        <f>IFERROR(IF(OR(INPUT!P658="",INPUT!Q658=""),"",INPUT!P658-INPUT!Q658),"")</f>
        <v>-9.9999999999994316E-2</v>
      </c>
      <c r="L663" s="48">
        <f>IFERROR(IF(OR(INPUT!P658="",INPUT!Q658="",INPUT!P658=0),"",(INPUT!P658-INPUT!Q658)/INPUT!P658),"")</f>
        <v>-1.1778563015311461E-3</v>
      </c>
    </row>
    <row r="664" spans="1:12" ht="18" hidden="1" customHeight="1" x14ac:dyDescent="0.2">
      <c r="A664" s="11">
        <f>IF(INPUT!M659="","",INPUT!M659)</f>
        <v>45919</v>
      </c>
      <c r="B664" s="11">
        <f>IF(INPUT!M659="","",INPUT!M659-WEEKDAY(INPUT!M659,2)+1)</f>
        <v>45915</v>
      </c>
      <c r="C664" s="20">
        <f>IFERROR(_xlfn.ISOWEEKNUM(INPUT!M659),"")</f>
        <v>38</v>
      </c>
      <c r="D664" s="20">
        <f>IFERROR(YEAR(INPUT!M659),"")</f>
        <v>2025</v>
      </c>
      <c r="E664" t="str">
        <f>IF(INPUT!O659="","",INPUT!O659)</f>
        <v>SEGO</v>
      </c>
      <c r="F664" t="str">
        <f>IF(INPUT!N659="","",INPUT!N659)</f>
        <v>M</v>
      </c>
      <c r="G664" t="str" cm="1">
        <f t="array" ref="G664">IFERROR(VLOOKUP(INPUT!M659&amp;INPUT!N659,CHOOSE({1,2},INPUT!$A$3:$A$5000&amp;INPUT!$C$3:$C$5000,INPUT!$F$3:$F$5000),2,FALSE),"")</f>
        <v>PRE-TEMPORADA</v>
      </c>
      <c r="H664" t="str" cm="1">
        <f t="array" ref="H664">IFERROR(VLOOKUP(INPUT!M659&amp;INPUT!N659,CHOOSE({1,2},INPUT!$A$3:$A$5000&amp;INPUT!$C$3:$C$5000,INPUT!$D$3:$D$5000),2,FALSE),"")</f>
        <v>TEC-TAC</v>
      </c>
      <c r="I664" s="46">
        <f>IF(INPUT!P659="","",INPUT!P659)</f>
        <v>75.3</v>
      </c>
      <c r="J664" s="46">
        <f>IF(INPUT!Q659="","",INPUT!Q659)</f>
        <v>75.2</v>
      </c>
      <c r="K664" s="46">
        <f>IFERROR(IF(OR(INPUT!P659="",INPUT!Q659=""),"",INPUT!P659-INPUT!Q659),"")</f>
        <v>9.9999999999994316E-2</v>
      </c>
      <c r="L664" s="48">
        <f>IFERROR(IF(OR(INPUT!P659="",INPUT!Q659="",INPUT!P659=0),"",(INPUT!P659-INPUT!Q659)/INPUT!P659),"")</f>
        <v>1.3280212483398981E-3</v>
      </c>
    </row>
    <row r="665" spans="1:12" ht="18" hidden="1" customHeight="1" x14ac:dyDescent="0.2">
      <c r="A665" s="11">
        <f>IF(INPUT!M660="","",INPUT!M660)</f>
        <v>45919</v>
      </c>
      <c r="B665" s="11">
        <f>IF(INPUT!M660="","",INPUT!M660-WEEKDAY(INPUT!M660,2)+1)</f>
        <v>45915</v>
      </c>
      <c r="C665" s="20">
        <f>IFERROR(_xlfn.ISOWEEKNUM(INPUT!M660),"")</f>
        <v>38</v>
      </c>
      <c r="D665" s="20">
        <f>IFERROR(YEAR(INPUT!M660),"")</f>
        <v>2025</v>
      </c>
      <c r="E665" t="str">
        <f>IF(INPUT!O660="","",INPUT!O660)</f>
        <v>SEGO</v>
      </c>
      <c r="F665" t="str">
        <f>IF(INPUT!N660="","",INPUT!N660)</f>
        <v>T</v>
      </c>
      <c r="G665" t="str" cm="1">
        <f t="array" ref="G665">IFERROR(VLOOKUP(INPUT!M660&amp;INPUT!N660,CHOOSE({1,2},INPUT!$A$3:$A$5000&amp;INPUT!$C$3:$C$5000,INPUT!$F$3:$F$5000),2,FALSE),"")</f>
        <v>PRE-TEMPORADA</v>
      </c>
      <c r="H665" t="str" cm="1">
        <f t="array" ref="H665">IFERROR(VLOOKUP(INPUT!M660&amp;INPUT!N660,CHOOSE({1,2},INPUT!$A$3:$A$5000&amp;INPUT!$C$3:$C$5000,INPUT!$D$3:$D$5000),2,FALSE),"")</f>
        <v>FISICO</v>
      </c>
      <c r="I665" s="46">
        <f>IF(INPUT!P660="","",INPUT!P660)</f>
        <v>75.2</v>
      </c>
      <c r="J665" s="46">
        <f>IF(INPUT!Q660="","",INPUT!Q660)</f>
        <v>75.599999999999994</v>
      </c>
      <c r="K665" s="46">
        <f>IFERROR(IF(OR(INPUT!P660="",INPUT!Q660=""),"",INPUT!P660-INPUT!Q660),"")</f>
        <v>-0.39999999999999147</v>
      </c>
      <c r="L665" s="48">
        <f>IFERROR(IF(OR(INPUT!P660="",INPUT!Q660="",INPUT!P660=0),"",(INPUT!P660-INPUT!Q660)/INPUT!P660),"")</f>
        <v>-5.319148936170099E-3</v>
      </c>
    </row>
    <row r="666" spans="1:12" ht="18" hidden="1" customHeight="1" x14ac:dyDescent="0.2">
      <c r="A666" s="11">
        <f>IF(INPUT!M661="","",INPUT!M661)</f>
        <v>45919</v>
      </c>
      <c r="B666" s="11">
        <f>IF(INPUT!M661="","",INPUT!M661-WEEKDAY(INPUT!M661,2)+1)</f>
        <v>45915</v>
      </c>
      <c r="C666" s="20">
        <f>IFERROR(_xlfn.ISOWEEKNUM(INPUT!M661),"")</f>
        <v>38</v>
      </c>
      <c r="D666" s="20">
        <f>IFERROR(YEAR(INPUT!M661),"")</f>
        <v>2025</v>
      </c>
      <c r="E666" t="str">
        <f>IF(INPUT!O661="","",INPUT!O661)</f>
        <v>RUBIO</v>
      </c>
      <c r="F666" t="str">
        <f>IF(INPUT!N661="","",INPUT!N661)</f>
        <v>M</v>
      </c>
      <c r="G666" t="str" cm="1">
        <f t="array" ref="G666">IFERROR(VLOOKUP(INPUT!M661&amp;INPUT!N661,CHOOSE({1,2},INPUT!$A$3:$A$5000&amp;INPUT!$C$3:$C$5000,INPUT!$F$3:$F$5000),2,FALSE),"")</f>
        <v>PRE-TEMPORADA</v>
      </c>
      <c r="H666" t="str" cm="1">
        <f t="array" ref="H666">IFERROR(VLOOKUP(INPUT!M661&amp;INPUT!N661,CHOOSE({1,2},INPUT!$A$3:$A$5000&amp;INPUT!$C$3:$C$5000,INPUT!$D$3:$D$5000),2,FALSE),"")</f>
        <v>TEC-TAC</v>
      </c>
      <c r="I666" s="46">
        <f>IF(INPUT!P661="","",INPUT!P661)</f>
        <v>74.900000000000006</v>
      </c>
      <c r="J666" s="46">
        <f>IF(INPUT!Q661="","",INPUT!Q661)</f>
        <v>74.7</v>
      </c>
      <c r="K666" s="46">
        <f>IFERROR(IF(OR(INPUT!P661="",INPUT!Q661=""),"",INPUT!P661-INPUT!Q661),"")</f>
        <v>0.20000000000000284</v>
      </c>
      <c r="L666" s="48">
        <f>IFERROR(IF(OR(INPUT!P661="",INPUT!Q661="",INPUT!P661=0),"",(INPUT!P661-INPUT!Q661)/INPUT!P661),"")</f>
        <v>2.6702269692924275E-3</v>
      </c>
    </row>
    <row r="667" spans="1:12" ht="18" hidden="1" customHeight="1" x14ac:dyDescent="0.2">
      <c r="A667" s="11">
        <f>IF(INPUT!M662="","",INPUT!M662)</f>
        <v>45919</v>
      </c>
      <c r="B667" s="11">
        <f>IF(INPUT!M662="","",INPUT!M662-WEEKDAY(INPUT!M662,2)+1)</f>
        <v>45915</v>
      </c>
      <c r="C667" s="20">
        <f>IFERROR(_xlfn.ISOWEEKNUM(INPUT!M662),"")</f>
        <v>38</v>
      </c>
      <c r="D667" s="20">
        <f>IFERROR(YEAR(INPUT!M662),"")</f>
        <v>2025</v>
      </c>
      <c r="E667" t="str">
        <f>IF(INPUT!O662="","",INPUT!O662)</f>
        <v>DANI</v>
      </c>
      <c r="F667" t="str">
        <f>IF(INPUT!N662="","",INPUT!N662)</f>
        <v>M</v>
      </c>
      <c r="G667" t="str" cm="1">
        <f t="array" ref="G667">IFERROR(VLOOKUP(INPUT!M662&amp;INPUT!N662,CHOOSE({1,2},INPUT!$A$3:$A$5000&amp;INPUT!$C$3:$C$5000,INPUT!$F$3:$F$5000),2,FALSE),"")</f>
        <v>PRE-TEMPORADA</v>
      </c>
      <c r="H667" t="str" cm="1">
        <f t="array" ref="H667">IFERROR(VLOOKUP(INPUT!M662&amp;INPUT!N662,CHOOSE({1,2},INPUT!$A$3:$A$5000&amp;INPUT!$C$3:$C$5000,INPUT!$D$3:$D$5000),2,FALSE),"")</f>
        <v>TEC-TAC</v>
      </c>
      <c r="I667" s="46">
        <f>IF(INPUT!P662="","",INPUT!P662)</f>
        <v>92.2</v>
      </c>
      <c r="J667" s="46">
        <f>IF(INPUT!Q662="","",INPUT!Q662)</f>
        <v>90.7</v>
      </c>
      <c r="K667" s="46">
        <f>IFERROR(IF(OR(INPUT!P662="",INPUT!Q662=""),"",INPUT!P662-INPUT!Q662),"")</f>
        <v>1.5</v>
      </c>
      <c r="L667" s="48">
        <f>IFERROR(IF(OR(INPUT!P662="",INPUT!Q662="",INPUT!P662=0),"",(INPUT!P662-INPUT!Q662)/INPUT!P662),"")</f>
        <v>1.6268980477223426E-2</v>
      </c>
    </row>
    <row r="668" spans="1:12" ht="18" hidden="1" customHeight="1" x14ac:dyDescent="0.2">
      <c r="A668" s="11">
        <f>IF(INPUT!M663="","",INPUT!M663)</f>
        <v>45922</v>
      </c>
      <c r="B668" s="11">
        <f>IF(INPUT!M663="","",INPUT!M663-WEEKDAY(INPUT!M663,2)+1)</f>
        <v>45922</v>
      </c>
      <c r="C668" s="20">
        <f>IFERROR(_xlfn.ISOWEEKNUM(INPUT!M663),"")</f>
        <v>39</v>
      </c>
      <c r="D668" s="20">
        <f>IFERROR(YEAR(INPUT!M663),"")</f>
        <v>2025</v>
      </c>
      <c r="E668" t="str">
        <f>IF(INPUT!O663="","",INPUT!O663)</f>
        <v>HERRERO</v>
      </c>
      <c r="F668" t="str">
        <f>IF(INPUT!N663="","",INPUT!N663)</f>
        <v>T</v>
      </c>
      <c r="G668" t="str" cm="1">
        <f t="array" ref="G668">IFERROR(VLOOKUP(INPUT!M663&amp;INPUT!N663,CHOOSE({1,2},INPUT!$A$3:$A$5000&amp;INPUT!$C$3:$C$5000,INPUT!$F$3:$F$5000),2,FALSE),"")</f>
        <v>PRE-TEMPORADA</v>
      </c>
      <c r="H668" t="str" cm="1">
        <f t="array" ref="H668">IFERROR(VLOOKUP(INPUT!M663&amp;INPUT!N663,CHOOSE({1,2},INPUT!$A$3:$A$5000&amp;INPUT!$C$3:$C$5000,INPUT!$D$3:$D$5000),2,FALSE),"")</f>
        <v>TEC-TAC</v>
      </c>
      <c r="I668" s="46">
        <f>IF(INPUT!P663="","",INPUT!P663)</f>
        <v>77.099999999999994</v>
      </c>
      <c r="J668" s="46">
        <f>IF(INPUT!Q663="","",INPUT!Q663)</f>
        <v>76.8</v>
      </c>
      <c r="K668" s="46">
        <f>IFERROR(IF(OR(INPUT!P663="",INPUT!Q663=""),"",INPUT!P663-INPUT!Q663),"")</f>
        <v>0.29999999999999716</v>
      </c>
      <c r="L668" s="48">
        <f>IFERROR(IF(OR(INPUT!P663="",INPUT!Q663="",INPUT!P663=0),"",(INPUT!P663-INPUT!Q663)/INPUT!P663),"")</f>
        <v>3.8910505836575512E-3</v>
      </c>
    </row>
    <row r="669" spans="1:12" ht="18" hidden="1" customHeight="1" x14ac:dyDescent="0.2">
      <c r="A669" s="11">
        <f>IF(INPUT!M664="","",INPUT!M664)</f>
        <v>45922</v>
      </c>
      <c r="B669" s="11">
        <f>IF(INPUT!M664="","",INPUT!M664-WEEKDAY(INPUT!M664,2)+1)</f>
        <v>45922</v>
      </c>
      <c r="C669" s="20">
        <f>IFERROR(_xlfn.ISOWEEKNUM(INPUT!M664),"")</f>
        <v>39</v>
      </c>
      <c r="D669" s="20">
        <f>IFERROR(YEAR(INPUT!M664),"")</f>
        <v>2025</v>
      </c>
      <c r="E669" t="str">
        <f>IF(INPUT!O664="","",INPUT!O664)</f>
        <v>GARCIA</v>
      </c>
      <c r="F669" t="str">
        <f>IF(INPUT!N664="","",INPUT!N664)</f>
        <v>T</v>
      </c>
      <c r="G669" t="str" cm="1">
        <f t="array" ref="G669">IFERROR(VLOOKUP(INPUT!M664&amp;INPUT!N664,CHOOSE({1,2},INPUT!$A$3:$A$5000&amp;INPUT!$C$3:$C$5000,INPUT!$F$3:$F$5000),2,FALSE),"")</f>
        <v>PRE-TEMPORADA</v>
      </c>
      <c r="H669" t="str" cm="1">
        <f t="array" ref="H669">IFERROR(VLOOKUP(INPUT!M664&amp;INPUT!N664,CHOOSE({1,2},INPUT!$A$3:$A$5000&amp;INPUT!$C$3:$C$5000,INPUT!$D$3:$D$5000),2,FALSE),"")</f>
        <v>TEC-TAC</v>
      </c>
      <c r="I669" s="46">
        <f>IF(INPUT!P664="","",INPUT!P664)</f>
        <v>79.7</v>
      </c>
      <c r="J669" s="46">
        <f>IF(INPUT!Q664="","",INPUT!Q664)</f>
        <v>79.5</v>
      </c>
      <c r="K669" s="46">
        <f>IFERROR(IF(OR(INPUT!P664="",INPUT!Q664=""),"",INPUT!P664-INPUT!Q664),"")</f>
        <v>0.20000000000000284</v>
      </c>
      <c r="L669" s="48">
        <f>IFERROR(IF(OR(INPUT!P664="",INPUT!Q664="",INPUT!P664=0),"",(INPUT!P664-INPUT!Q664)/INPUT!P664),"")</f>
        <v>2.5094102885822186E-3</v>
      </c>
    </row>
    <row r="670" spans="1:12" ht="18" hidden="1" customHeight="1" x14ac:dyDescent="0.2">
      <c r="A670" s="11">
        <f>IF(INPUT!M665="","",INPUT!M665)</f>
        <v>45922</v>
      </c>
      <c r="B670" s="11">
        <f>IF(INPUT!M665="","",INPUT!M665-WEEKDAY(INPUT!M665,2)+1)</f>
        <v>45922</v>
      </c>
      <c r="C670" s="20">
        <f>IFERROR(_xlfn.ISOWEEKNUM(INPUT!M665),"")</f>
        <v>39</v>
      </c>
      <c r="D670" s="20">
        <f>IFERROR(YEAR(INPUT!M665),"")</f>
        <v>2025</v>
      </c>
      <c r="E670" t="str">
        <f>IF(INPUT!O665="","",INPUT!O665)</f>
        <v>CECILIO</v>
      </c>
      <c r="F670" t="str">
        <f>IF(INPUT!N665="","",INPUT!N665)</f>
        <v>T</v>
      </c>
      <c r="G670" t="str" cm="1">
        <f t="array" ref="G670">IFERROR(VLOOKUP(INPUT!M665&amp;INPUT!N665,CHOOSE({1,2},INPUT!$A$3:$A$5000&amp;INPUT!$C$3:$C$5000,INPUT!$F$3:$F$5000),2,FALSE),"")</f>
        <v>PRE-TEMPORADA</v>
      </c>
      <c r="H670" t="str" cm="1">
        <f t="array" ref="H670">IFERROR(VLOOKUP(INPUT!M665&amp;INPUT!N665,CHOOSE({1,2},INPUT!$A$3:$A$5000&amp;INPUT!$C$3:$C$5000,INPUT!$D$3:$D$5000),2,FALSE),"")</f>
        <v>TEC-TAC</v>
      </c>
      <c r="I670" s="46">
        <f>IF(INPUT!P665="","",INPUT!P665)</f>
        <v>67.5</v>
      </c>
      <c r="J670" s="46">
        <f>IF(INPUT!Q665="","",INPUT!Q665)</f>
        <v>68.099999999999994</v>
      </c>
      <c r="K670" s="46">
        <f>IFERROR(IF(OR(INPUT!P665="",INPUT!Q665=""),"",INPUT!P665-INPUT!Q665),"")</f>
        <v>-0.59999999999999432</v>
      </c>
      <c r="L670" s="48">
        <f>IFERROR(IF(OR(INPUT!P665="",INPUT!Q665="",INPUT!P665=0),"",(INPUT!P665-INPUT!Q665)/INPUT!P665),"")</f>
        <v>-8.8888888888888039E-3</v>
      </c>
    </row>
    <row r="671" spans="1:12" ht="18" hidden="1" customHeight="1" x14ac:dyDescent="0.2">
      <c r="A671" s="11">
        <f>IF(INPUT!M666="","",INPUT!M666)</f>
        <v>45922</v>
      </c>
      <c r="B671" s="11">
        <f>IF(INPUT!M666="","",INPUT!M666-WEEKDAY(INPUT!M666,2)+1)</f>
        <v>45922</v>
      </c>
      <c r="C671" s="20">
        <f>IFERROR(_xlfn.ISOWEEKNUM(INPUT!M666),"")</f>
        <v>39</v>
      </c>
      <c r="D671" s="20">
        <f>IFERROR(YEAR(INPUT!M666),"")</f>
        <v>2025</v>
      </c>
      <c r="E671" t="str">
        <f>IF(INPUT!O666="","",INPUT!O666)</f>
        <v>CHAGUINHA</v>
      </c>
      <c r="F671" t="str">
        <f>IF(INPUT!N666="","",INPUT!N666)</f>
        <v>T</v>
      </c>
      <c r="G671" t="str" cm="1">
        <f t="array" ref="G671">IFERROR(VLOOKUP(INPUT!M666&amp;INPUT!N666,CHOOSE({1,2},INPUT!$A$3:$A$5000&amp;INPUT!$C$3:$C$5000,INPUT!$F$3:$F$5000),2,FALSE),"")</f>
        <v>PRE-TEMPORADA</v>
      </c>
      <c r="H671" t="str" cm="1">
        <f t="array" ref="H671">IFERROR(VLOOKUP(INPUT!M666&amp;INPUT!N666,CHOOSE({1,2},INPUT!$A$3:$A$5000&amp;INPUT!$C$3:$C$5000,INPUT!$D$3:$D$5000),2,FALSE),"")</f>
        <v>TEC-TAC</v>
      </c>
      <c r="I671" s="46">
        <f>IF(INPUT!P666="","",INPUT!P666)</f>
        <v>68.8</v>
      </c>
      <c r="J671" s="46">
        <f>IF(INPUT!Q666="","",INPUT!Q666)</f>
        <v>67.8</v>
      </c>
      <c r="K671" s="46">
        <f>IFERROR(IF(OR(INPUT!P666="",INPUT!Q666=""),"",INPUT!P666-INPUT!Q666),"")</f>
        <v>1</v>
      </c>
      <c r="L671" s="48">
        <f>IFERROR(IF(OR(INPUT!P666="",INPUT!Q666="",INPUT!P666=0),"",(INPUT!P666-INPUT!Q666)/INPUT!P666),"")</f>
        <v>1.4534883720930232E-2</v>
      </c>
    </row>
    <row r="672" spans="1:12" ht="18" hidden="1" customHeight="1" x14ac:dyDescent="0.2">
      <c r="A672" s="11">
        <f>IF(INPUT!M667="","",INPUT!M667)</f>
        <v>45922</v>
      </c>
      <c r="B672" s="11">
        <f>IF(INPUT!M667="","",INPUT!M667-WEEKDAY(INPUT!M667,2)+1)</f>
        <v>45922</v>
      </c>
      <c r="C672" s="20">
        <f>IFERROR(_xlfn.ISOWEEKNUM(INPUT!M667),"")</f>
        <v>39</v>
      </c>
      <c r="D672" s="20">
        <f>IFERROR(YEAR(INPUT!M667),"")</f>
        <v>2025</v>
      </c>
      <c r="E672" t="str">
        <f>IF(INPUT!O667="","",INPUT!O667)</f>
        <v>HARRISON</v>
      </c>
      <c r="F672" t="str">
        <f>IF(INPUT!N667="","",INPUT!N667)</f>
        <v>T</v>
      </c>
      <c r="G672" t="str" cm="1">
        <f t="array" ref="G672">IFERROR(VLOOKUP(INPUT!M667&amp;INPUT!N667,CHOOSE({1,2},INPUT!$A$3:$A$5000&amp;INPUT!$C$3:$C$5000,INPUT!$F$3:$F$5000),2,FALSE),"")</f>
        <v>PRE-TEMPORADA</v>
      </c>
      <c r="H672" t="str" cm="1">
        <f t="array" ref="H672">IFERROR(VLOOKUP(INPUT!M667&amp;INPUT!N667,CHOOSE({1,2},INPUT!$A$3:$A$5000&amp;INPUT!$C$3:$C$5000,INPUT!$D$3:$D$5000),2,FALSE),"")</f>
        <v>TEC-TAC</v>
      </c>
      <c r="I672" s="46">
        <f>IF(INPUT!P667="","",INPUT!P667)</f>
        <v>71.3</v>
      </c>
      <c r="J672" s="46">
        <f>IF(INPUT!Q667="","",INPUT!Q667)</f>
        <v>71.2</v>
      </c>
      <c r="K672" s="46">
        <f>IFERROR(IF(OR(INPUT!P667="",INPUT!Q667=""),"",INPUT!P667-INPUT!Q667),"")</f>
        <v>9.9999999999994316E-2</v>
      </c>
      <c r="L672" s="48">
        <f>IFERROR(IF(OR(INPUT!P667="",INPUT!Q667="",INPUT!P667=0),"",(INPUT!P667-INPUT!Q667)/INPUT!P667),"")</f>
        <v>1.4025245441794435E-3</v>
      </c>
    </row>
    <row r="673" spans="1:12" ht="18" hidden="1" customHeight="1" x14ac:dyDescent="0.2">
      <c r="A673" s="11">
        <f>IF(INPUT!M668="","",INPUT!M668)</f>
        <v>45922</v>
      </c>
      <c r="B673" s="11">
        <f>IF(INPUT!M668="","",INPUT!M668-WEEKDAY(INPUT!M668,2)+1)</f>
        <v>45922</v>
      </c>
      <c r="C673" s="20">
        <f>IFERROR(_xlfn.ISOWEEKNUM(INPUT!M668),"")</f>
        <v>39</v>
      </c>
      <c r="D673" s="20">
        <f>IFERROR(YEAR(INPUT!M668),"")</f>
        <v>2025</v>
      </c>
      <c r="E673" t="str">
        <f>IF(INPUT!O668="","",INPUT!O668)</f>
        <v>RAYA</v>
      </c>
      <c r="F673" t="str">
        <f>IF(INPUT!N668="","",INPUT!N668)</f>
        <v>T</v>
      </c>
      <c r="G673" t="str" cm="1">
        <f t="array" ref="G673">IFERROR(VLOOKUP(INPUT!M668&amp;INPUT!N668,CHOOSE({1,2},INPUT!$A$3:$A$5000&amp;INPUT!$C$3:$C$5000,INPUT!$F$3:$F$5000),2,FALSE),"")</f>
        <v>PRE-TEMPORADA</v>
      </c>
      <c r="H673" t="str" cm="1">
        <f t="array" ref="H673">IFERROR(VLOOKUP(INPUT!M668&amp;INPUT!N668,CHOOSE({1,2},INPUT!$A$3:$A$5000&amp;INPUT!$C$3:$C$5000,INPUT!$D$3:$D$5000),2,FALSE),"")</f>
        <v>TEC-TAC</v>
      </c>
      <c r="I673" s="46">
        <f>IF(INPUT!P668="","",INPUT!P668)</f>
        <v>82</v>
      </c>
      <c r="J673" s="46">
        <f>IF(INPUT!Q668="","",INPUT!Q668)</f>
        <v>81.400000000000006</v>
      </c>
      <c r="K673" s="46">
        <f>IFERROR(IF(OR(INPUT!P668="",INPUT!Q668=""),"",INPUT!P668-INPUT!Q668),"")</f>
        <v>0.59999999999999432</v>
      </c>
      <c r="L673" s="48">
        <f>IFERROR(IF(OR(INPUT!P668="",INPUT!Q668="",INPUT!P668=0),"",(INPUT!P668-INPUT!Q668)/INPUT!P668),"")</f>
        <v>7.3170731707316384E-3</v>
      </c>
    </row>
    <row r="674" spans="1:12" ht="18" hidden="1" customHeight="1" x14ac:dyDescent="0.2">
      <c r="A674" s="11">
        <f>IF(INPUT!M669="","",INPUT!M669)</f>
        <v>45922</v>
      </c>
      <c r="B674" s="11">
        <f>IF(INPUT!M669="","",INPUT!M669-WEEKDAY(INPUT!M669,2)+1)</f>
        <v>45922</v>
      </c>
      <c r="C674" s="20">
        <f>IFERROR(_xlfn.ISOWEEKNUM(INPUT!M669),"")</f>
        <v>39</v>
      </c>
      <c r="D674" s="20">
        <f>IFERROR(YEAR(INPUT!M669),"")</f>
        <v>2025</v>
      </c>
      <c r="E674" t="str">
        <f>IF(INPUT!O669="","",INPUT!O669)</f>
        <v>PIRATA</v>
      </c>
      <c r="F674" t="str">
        <f>IF(INPUT!N669="","",INPUT!N669)</f>
        <v>T</v>
      </c>
      <c r="G674" t="str" cm="1">
        <f t="array" ref="G674">IFERROR(VLOOKUP(INPUT!M669&amp;INPUT!N669,CHOOSE({1,2},INPUT!$A$3:$A$5000&amp;INPUT!$C$3:$C$5000,INPUT!$F$3:$F$5000),2,FALSE),"")</f>
        <v>PRE-TEMPORADA</v>
      </c>
      <c r="H674" t="str" cm="1">
        <f t="array" ref="H674">IFERROR(VLOOKUP(INPUT!M669&amp;INPUT!N669,CHOOSE({1,2},INPUT!$A$3:$A$5000&amp;INPUT!$C$3:$C$5000,INPUT!$D$3:$D$5000),2,FALSE),"")</f>
        <v>TEC-TAC</v>
      </c>
      <c r="I674" s="46">
        <f>IF(INPUT!P669="","",INPUT!P669)</f>
        <v>75.900000000000006</v>
      </c>
      <c r="J674" s="46">
        <f>IF(INPUT!Q669="","",INPUT!Q669)</f>
        <v>74.7</v>
      </c>
      <c r="K674" s="46">
        <f>IFERROR(IF(OR(INPUT!P669="",INPUT!Q669=""),"",INPUT!P669-INPUT!Q669),"")</f>
        <v>1.2000000000000028</v>
      </c>
      <c r="L674" s="48">
        <f>IFERROR(IF(OR(INPUT!P669="",INPUT!Q669="",INPUT!P669=0),"",(INPUT!P669-INPUT!Q669)/INPUT!P669),"")</f>
        <v>1.5810276679841934E-2</v>
      </c>
    </row>
    <row r="675" spans="1:12" ht="18" hidden="1" customHeight="1" x14ac:dyDescent="0.2">
      <c r="A675" s="11">
        <f>IF(INPUT!M670="","",INPUT!M670)</f>
        <v>45922</v>
      </c>
      <c r="B675" s="11">
        <f>IF(INPUT!M670="","",INPUT!M670-WEEKDAY(INPUT!M670,2)+1)</f>
        <v>45922</v>
      </c>
      <c r="C675" s="20">
        <f>IFERROR(_xlfn.ISOWEEKNUM(INPUT!M670),"")</f>
        <v>39</v>
      </c>
      <c r="D675" s="20">
        <f>IFERROR(YEAR(INPUT!M670),"")</f>
        <v>2025</v>
      </c>
      <c r="E675" t="str">
        <f>IF(INPUT!O670="","",INPUT!O670)</f>
        <v>BARONA</v>
      </c>
      <c r="F675" t="str">
        <f>IF(INPUT!N670="","",INPUT!N670)</f>
        <v>T</v>
      </c>
      <c r="G675" t="str" cm="1">
        <f t="array" ref="G675">IFERROR(VLOOKUP(INPUT!M670&amp;INPUT!N670,CHOOSE({1,2},INPUT!$A$3:$A$5000&amp;INPUT!$C$3:$C$5000,INPUT!$F$3:$F$5000),2,FALSE),"")</f>
        <v>PRE-TEMPORADA</v>
      </c>
      <c r="H675" t="str" cm="1">
        <f t="array" ref="H675">IFERROR(VLOOKUP(INPUT!M670&amp;INPUT!N670,CHOOSE({1,2},INPUT!$A$3:$A$5000&amp;INPUT!$C$3:$C$5000,INPUT!$D$3:$D$5000),2,FALSE),"")</f>
        <v>TEC-TAC</v>
      </c>
      <c r="I675" s="46">
        <f>IF(INPUT!P670="","",INPUT!P670)</f>
        <v>72.400000000000006</v>
      </c>
      <c r="J675" s="46">
        <f>IF(INPUT!Q670="","",INPUT!Q670)</f>
        <v>71.8</v>
      </c>
      <c r="K675" s="46">
        <f>IFERROR(IF(OR(INPUT!P670="",INPUT!Q670=""),"",INPUT!P670-INPUT!Q670),"")</f>
        <v>0.60000000000000853</v>
      </c>
      <c r="L675" s="48">
        <f>IFERROR(IF(OR(INPUT!P670="",INPUT!Q670="",INPUT!P670=0),"",(INPUT!P670-INPUT!Q670)/INPUT!P670),"")</f>
        <v>8.2872928176796756E-3</v>
      </c>
    </row>
    <row r="676" spans="1:12" ht="18" hidden="1" customHeight="1" x14ac:dyDescent="0.2">
      <c r="A676" s="11">
        <f>IF(INPUT!M671="","",INPUT!M671)</f>
        <v>45922</v>
      </c>
      <c r="B676" s="11">
        <f>IF(INPUT!M671="","",INPUT!M671-WEEKDAY(INPUT!M671,2)+1)</f>
        <v>45922</v>
      </c>
      <c r="C676" s="20">
        <f>IFERROR(_xlfn.ISOWEEKNUM(INPUT!M671),"")</f>
        <v>39</v>
      </c>
      <c r="D676" s="20">
        <f>IFERROR(YEAR(INPUT!M671),"")</f>
        <v>2025</v>
      </c>
      <c r="E676" t="str">
        <f>IF(INPUT!O671="","",INPUT!O671)</f>
        <v>CARLOS</v>
      </c>
      <c r="F676" t="str">
        <f>IF(INPUT!N671="","",INPUT!N671)</f>
        <v>T</v>
      </c>
      <c r="G676" t="str" cm="1">
        <f t="array" ref="G676">IFERROR(VLOOKUP(INPUT!M671&amp;INPUT!N671,CHOOSE({1,2},INPUT!$A$3:$A$5000&amp;INPUT!$C$3:$C$5000,INPUT!$F$3:$F$5000),2,FALSE),"")</f>
        <v>PRE-TEMPORADA</v>
      </c>
      <c r="H676" t="str" cm="1">
        <f t="array" ref="H676">IFERROR(VLOOKUP(INPUT!M671&amp;INPUT!N671,CHOOSE({1,2},INPUT!$A$3:$A$5000&amp;INPUT!$C$3:$C$5000,INPUT!$D$3:$D$5000),2,FALSE),"")</f>
        <v>TEC-TAC</v>
      </c>
      <c r="I676" s="46">
        <f>IF(INPUT!P671="","",INPUT!P671)</f>
        <v>66.2</v>
      </c>
      <c r="J676" s="46">
        <f>IF(INPUT!Q671="","",INPUT!Q671)</f>
        <v>65.400000000000006</v>
      </c>
      <c r="K676" s="46">
        <f>IFERROR(IF(OR(INPUT!P671="",INPUT!Q671=""),"",INPUT!P671-INPUT!Q671),"")</f>
        <v>0.79999999999999716</v>
      </c>
      <c r="L676" s="48">
        <f>IFERROR(IF(OR(INPUT!P671="",INPUT!Q671="",INPUT!P671=0),"",(INPUT!P671-INPUT!Q671)/INPUT!P671),"")</f>
        <v>1.2084592145015062E-2</v>
      </c>
    </row>
    <row r="677" spans="1:12" ht="18" hidden="1" customHeight="1" x14ac:dyDescent="0.2">
      <c r="A677" s="11">
        <f>IF(INPUT!M672="","",INPUT!M672)</f>
        <v>45922</v>
      </c>
      <c r="B677" s="11">
        <f>IF(INPUT!M672="","",INPUT!M672-WEEKDAY(INPUT!M672,2)+1)</f>
        <v>45922</v>
      </c>
      <c r="C677" s="20">
        <f>IFERROR(_xlfn.ISOWEEKNUM(INPUT!M672),"")</f>
        <v>39</v>
      </c>
      <c r="D677" s="20">
        <f>IFERROR(YEAR(INPUT!M672),"")</f>
        <v>2025</v>
      </c>
      <c r="E677" t="str">
        <f>IF(INPUT!O672="","",INPUT!O672)</f>
        <v>GONZALO</v>
      </c>
      <c r="F677" t="str">
        <f>IF(INPUT!N672="","",INPUT!N672)</f>
        <v>T</v>
      </c>
      <c r="G677" t="str" cm="1">
        <f t="array" ref="G677">IFERROR(VLOOKUP(INPUT!M672&amp;INPUT!N672,CHOOSE({1,2},INPUT!$A$3:$A$5000&amp;INPUT!$C$3:$C$5000,INPUT!$F$3:$F$5000),2,FALSE),"")</f>
        <v>PRE-TEMPORADA</v>
      </c>
      <c r="H677" t="str" cm="1">
        <f t="array" ref="H677">IFERROR(VLOOKUP(INPUT!M672&amp;INPUT!N672,CHOOSE({1,2},INPUT!$A$3:$A$5000&amp;INPUT!$C$3:$C$5000,INPUT!$D$3:$D$5000),2,FALSE),"")</f>
        <v>TEC-TAC</v>
      </c>
      <c r="I677" s="46">
        <f>IF(INPUT!P672="","",INPUT!P672)</f>
        <v>84.4</v>
      </c>
      <c r="J677" s="46">
        <f>IF(INPUT!Q672="","",INPUT!Q672)</f>
        <v>84.5</v>
      </c>
      <c r="K677" s="46">
        <f>IFERROR(IF(OR(INPUT!P672="",INPUT!Q672=""),"",INPUT!P672-INPUT!Q672),"")</f>
        <v>-9.9999999999994316E-2</v>
      </c>
      <c r="L677" s="48">
        <f>IFERROR(IF(OR(INPUT!P672="",INPUT!Q672="",INPUT!P672=0),"",(INPUT!P672-INPUT!Q672)/INPUT!P672),"")</f>
        <v>-1.1848341232226815E-3</v>
      </c>
    </row>
    <row r="678" spans="1:12" ht="18" hidden="1" customHeight="1" x14ac:dyDescent="0.2">
      <c r="A678" s="11">
        <f>IF(INPUT!M673="","",INPUT!M673)</f>
        <v>45922</v>
      </c>
      <c r="B678" s="11">
        <f>IF(INPUT!M673="","",INPUT!M673-WEEKDAY(INPUT!M673,2)+1)</f>
        <v>45922</v>
      </c>
      <c r="C678" s="20">
        <f>IFERROR(_xlfn.ISOWEEKNUM(INPUT!M673),"")</f>
        <v>39</v>
      </c>
      <c r="D678" s="20">
        <f>IFERROR(YEAR(INPUT!M673),"")</f>
        <v>2025</v>
      </c>
      <c r="E678" t="str">
        <f>IF(INPUT!O673="","",INPUT!O673)</f>
        <v>RUBIO</v>
      </c>
      <c r="F678" t="str">
        <f>IF(INPUT!N673="","",INPUT!N673)</f>
        <v>T</v>
      </c>
      <c r="G678" t="str" cm="1">
        <f t="array" ref="G678">IFERROR(VLOOKUP(INPUT!M673&amp;INPUT!N673,CHOOSE({1,2},INPUT!$A$3:$A$5000&amp;INPUT!$C$3:$C$5000,INPUT!$F$3:$F$5000),2,FALSE),"")</f>
        <v>PRE-TEMPORADA</v>
      </c>
      <c r="H678" t="str" cm="1">
        <f t="array" ref="H678">IFERROR(VLOOKUP(INPUT!M673&amp;INPUT!N673,CHOOSE({1,2},INPUT!$A$3:$A$5000&amp;INPUT!$C$3:$C$5000,INPUT!$D$3:$D$5000),2,FALSE),"")</f>
        <v>TEC-TAC</v>
      </c>
      <c r="I678" s="46">
        <f>IF(INPUT!P673="","",INPUT!P673)</f>
        <v>74.599999999999994</v>
      </c>
      <c r="J678" s="46">
        <f>IF(INPUT!Q673="","",INPUT!Q673)</f>
        <v>74.8</v>
      </c>
      <c r="K678" s="46">
        <f>IFERROR(IF(OR(INPUT!P673="",INPUT!Q673=""),"",INPUT!P673-INPUT!Q673),"")</f>
        <v>-0.20000000000000284</v>
      </c>
      <c r="L678" s="48">
        <f>IFERROR(IF(OR(INPUT!P673="",INPUT!Q673="",INPUT!P673=0),"",(INPUT!P673-INPUT!Q673)/INPUT!P673),"")</f>
        <v>-2.6809651474531213E-3</v>
      </c>
    </row>
    <row r="679" spans="1:12" ht="18" hidden="1" customHeight="1" x14ac:dyDescent="0.2">
      <c r="A679" s="11">
        <f>IF(INPUT!M674="","",INPUT!M674)</f>
        <v>45922</v>
      </c>
      <c r="B679" s="11">
        <f>IF(INPUT!M674="","",INPUT!M674-WEEKDAY(INPUT!M674,2)+1)</f>
        <v>45922</v>
      </c>
      <c r="C679" s="20">
        <f>IFERROR(_xlfn.ISOWEEKNUM(INPUT!M674),"")</f>
        <v>39</v>
      </c>
      <c r="D679" s="20">
        <f>IFERROR(YEAR(INPUT!M674),"")</f>
        <v>2025</v>
      </c>
      <c r="E679" t="str">
        <f>IF(INPUT!O674="","",INPUT!O674)</f>
        <v>DANI</v>
      </c>
      <c r="F679" t="str">
        <f>IF(INPUT!N674="","",INPUT!N674)</f>
        <v>T</v>
      </c>
      <c r="G679" t="str" cm="1">
        <f t="array" ref="G679">IFERROR(VLOOKUP(INPUT!M674&amp;INPUT!N674,CHOOSE({1,2},INPUT!$A$3:$A$5000&amp;INPUT!$C$3:$C$5000,INPUT!$F$3:$F$5000),2,FALSE),"")</f>
        <v>PRE-TEMPORADA</v>
      </c>
      <c r="H679" t="str" cm="1">
        <f t="array" ref="H679">IFERROR(VLOOKUP(INPUT!M674&amp;INPUT!N674,CHOOSE({1,2},INPUT!$A$3:$A$5000&amp;INPUT!$C$3:$C$5000,INPUT!$D$3:$D$5000),2,FALSE),"")</f>
        <v>TEC-TAC</v>
      </c>
      <c r="I679" s="46">
        <f>IF(INPUT!P674="","",INPUT!P674)</f>
        <v>93.2</v>
      </c>
      <c r="J679" s="46">
        <f>IF(INPUT!Q674="","",INPUT!Q674)</f>
        <v>91.5</v>
      </c>
      <c r="K679" s="46">
        <f>IFERROR(IF(OR(INPUT!P674="",INPUT!Q674=""),"",INPUT!P674-INPUT!Q674),"")</f>
        <v>1.7000000000000028</v>
      </c>
      <c r="L679" s="48">
        <f>IFERROR(IF(OR(INPUT!P674="",INPUT!Q674="",INPUT!P674=0),"",(INPUT!P674-INPUT!Q674)/INPUT!P674),"")</f>
        <v>1.8240343347639514E-2</v>
      </c>
    </row>
    <row r="680" spans="1:12" ht="18" hidden="1" customHeight="1" x14ac:dyDescent="0.2">
      <c r="A680" s="11">
        <f>IF(INPUT!M675="","",INPUT!M675)</f>
        <v>45923</v>
      </c>
      <c r="B680" s="11">
        <f>IF(INPUT!M675="","",INPUT!M675-WEEKDAY(INPUT!M675,2)+1)</f>
        <v>45922</v>
      </c>
      <c r="C680" s="20">
        <f>IFERROR(_xlfn.ISOWEEKNUM(INPUT!M675),"")</f>
        <v>39</v>
      </c>
      <c r="D680" s="20">
        <f>IFERROR(YEAR(INPUT!M675),"")</f>
        <v>2025</v>
      </c>
      <c r="E680" t="str">
        <f>IF(INPUT!O675="","",INPUT!O675)</f>
        <v>HERRERO</v>
      </c>
      <c r="F680" t="str">
        <f>IF(INPUT!N675="","",INPUT!N675)</f>
        <v>M</v>
      </c>
      <c r="G680" t="str" cm="1">
        <f t="array" ref="G680">IFERROR(VLOOKUP(INPUT!M675&amp;INPUT!N675,CHOOSE({1,2},INPUT!$A$3:$A$5000&amp;INPUT!$C$3:$C$5000,INPUT!$F$3:$F$5000),2,FALSE),"")</f>
        <v>PRE-TEMPORADA</v>
      </c>
      <c r="H680" t="str" cm="1">
        <f t="array" ref="H680">IFERROR(VLOOKUP(INPUT!M675&amp;INPUT!N675,CHOOSE({1,2},INPUT!$A$3:$A$5000&amp;INPUT!$C$3:$C$5000,INPUT!$D$3:$D$5000),2,FALSE),"")</f>
        <v>TEC-TAC</v>
      </c>
      <c r="I680" s="46">
        <f>IF(INPUT!P675="","",INPUT!P675)</f>
        <v>76.900000000000006</v>
      </c>
      <c r="J680" s="46">
        <f>IF(INPUT!Q675="","",INPUT!Q675)</f>
        <v>75.8</v>
      </c>
      <c r="K680" s="46">
        <f>IFERROR(IF(OR(INPUT!P675="",INPUT!Q675=""),"",INPUT!P675-INPUT!Q675),"")</f>
        <v>1.1000000000000085</v>
      </c>
      <c r="L680" s="48">
        <f>IFERROR(IF(OR(INPUT!P675="",INPUT!Q675="",INPUT!P675=0),"",(INPUT!P675-INPUT!Q675)/INPUT!P675),"")</f>
        <v>1.4304291287386325E-2</v>
      </c>
    </row>
    <row r="681" spans="1:12" ht="18" hidden="1" customHeight="1" x14ac:dyDescent="0.2">
      <c r="A681" s="11">
        <f>IF(INPUT!M676="","",INPUT!M676)</f>
        <v>45923</v>
      </c>
      <c r="B681" s="11">
        <f>IF(INPUT!M676="","",INPUT!M676-WEEKDAY(INPUT!M676,2)+1)</f>
        <v>45922</v>
      </c>
      <c r="C681" s="20">
        <f>IFERROR(_xlfn.ISOWEEKNUM(INPUT!M676),"")</f>
        <v>39</v>
      </c>
      <c r="D681" s="20">
        <f>IFERROR(YEAR(INPUT!M676),"")</f>
        <v>2025</v>
      </c>
      <c r="E681" t="str">
        <f>IF(INPUT!O676="","",INPUT!O676)</f>
        <v>GARCIA</v>
      </c>
      <c r="F681" t="str">
        <f>IF(INPUT!N676="","",INPUT!N676)</f>
        <v>M</v>
      </c>
      <c r="G681" t="str" cm="1">
        <f t="array" ref="G681">IFERROR(VLOOKUP(INPUT!M676&amp;INPUT!N676,CHOOSE({1,2},INPUT!$A$3:$A$5000&amp;INPUT!$C$3:$C$5000,INPUT!$F$3:$F$5000),2,FALSE),"")</f>
        <v>PRE-TEMPORADA</v>
      </c>
      <c r="H681" t="str" cm="1">
        <f t="array" ref="H681">IFERROR(VLOOKUP(INPUT!M676&amp;INPUT!N676,CHOOSE({1,2},INPUT!$A$3:$A$5000&amp;INPUT!$C$3:$C$5000,INPUT!$D$3:$D$5000),2,FALSE),"")</f>
        <v>TEC-TAC</v>
      </c>
      <c r="I681" s="46">
        <f>IF(INPUT!P676="","",INPUT!P676)</f>
        <v>79.8</v>
      </c>
      <c r="J681" s="46">
        <f>IF(INPUT!Q676="","",INPUT!Q676)</f>
        <v>79.7</v>
      </c>
      <c r="K681" s="46">
        <f>IFERROR(IF(OR(INPUT!P676="",INPUT!Q676=""),"",INPUT!P676-INPUT!Q676),"")</f>
        <v>9.9999999999994316E-2</v>
      </c>
      <c r="L681" s="48">
        <f>IFERROR(IF(OR(INPUT!P676="",INPUT!Q676="",INPUT!P676=0),"",(INPUT!P676-INPUT!Q676)/INPUT!P676),"")</f>
        <v>1.2531328320801293E-3</v>
      </c>
    </row>
    <row r="682" spans="1:12" ht="18" hidden="1" customHeight="1" x14ac:dyDescent="0.2">
      <c r="A682" s="11">
        <f>IF(INPUT!M677="","",INPUT!M677)</f>
        <v>45923</v>
      </c>
      <c r="B682" s="11">
        <f>IF(INPUT!M677="","",INPUT!M677-WEEKDAY(INPUT!M677,2)+1)</f>
        <v>45922</v>
      </c>
      <c r="C682" s="20">
        <f>IFERROR(_xlfn.ISOWEEKNUM(INPUT!M677),"")</f>
        <v>39</v>
      </c>
      <c r="D682" s="20">
        <f>IFERROR(YEAR(INPUT!M677),"")</f>
        <v>2025</v>
      </c>
      <c r="E682" t="str">
        <f>IF(INPUT!O677="","",INPUT!O677)</f>
        <v>CECILIO</v>
      </c>
      <c r="F682" t="str">
        <f>IF(INPUT!N677="","",INPUT!N677)</f>
        <v>M</v>
      </c>
      <c r="G682" t="str" cm="1">
        <f t="array" ref="G682">IFERROR(VLOOKUP(INPUT!M677&amp;INPUT!N677,CHOOSE({1,2},INPUT!$A$3:$A$5000&amp;INPUT!$C$3:$C$5000,INPUT!$F$3:$F$5000),2,FALSE),"")</f>
        <v>PRE-TEMPORADA</v>
      </c>
      <c r="H682" t="str" cm="1">
        <f t="array" ref="H682">IFERROR(VLOOKUP(INPUT!M677&amp;INPUT!N677,CHOOSE({1,2},INPUT!$A$3:$A$5000&amp;INPUT!$C$3:$C$5000,INPUT!$D$3:$D$5000),2,FALSE),"")</f>
        <v>TEC-TAC</v>
      </c>
      <c r="I682" s="46">
        <f>IF(INPUT!P677="","",INPUT!P677)</f>
        <v>67</v>
      </c>
      <c r="J682" s="46">
        <f>IF(INPUT!Q677="","",INPUT!Q677)</f>
        <v>66.8</v>
      </c>
      <c r="K682" s="46">
        <f>IFERROR(IF(OR(INPUT!P677="",INPUT!Q677=""),"",INPUT!P677-INPUT!Q677),"")</f>
        <v>0.20000000000000284</v>
      </c>
      <c r="L682" s="48">
        <f>IFERROR(IF(OR(INPUT!P677="",INPUT!Q677="",INPUT!P677=0),"",(INPUT!P677-INPUT!Q677)/INPUT!P677),"")</f>
        <v>2.9850746268657142E-3</v>
      </c>
    </row>
    <row r="683" spans="1:12" ht="18" hidden="1" customHeight="1" x14ac:dyDescent="0.2">
      <c r="A683" s="11">
        <f>IF(INPUT!M678="","",INPUT!M678)</f>
        <v>45923</v>
      </c>
      <c r="B683" s="11">
        <f>IF(INPUT!M678="","",INPUT!M678-WEEKDAY(INPUT!M678,2)+1)</f>
        <v>45922</v>
      </c>
      <c r="C683" s="20">
        <f>IFERROR(_xlfn.ISOWEEKNUM(INPUT!M678),"")</f>
        <v>39</v>
      </c>
      <c r="D683" s="20">
        <f>IFERROR(YEAR(INPUT!M678),"")</f>
        <v>2025</v>
      </c>
      <c r="E683" t="str">
        <f>IF(INPUT!O678="","",INPUT!O678)</f>
        <v>CHAGUINHA</v>
      </c>
      <c r="F683" t="str">
        <f>IF(INPUT!N678="","",INPUT!N678)</f>
        <v>M</v>
      </c>
      <c r="G683" t="str" cm="1">
        <f t="array" ref="G683">IFERROR(VLOOKUP(INPUT!M678&amp;INPUT!N678,CHOOSE({1,2},INPUT!$A$3:$A$5000&amp;INPUT!$C$3:$C$5000,INPUT!$F$3:$F$5000),2,FALSE),"")</f>
        <v>PRE-TEMPORADA</v>
      </c>
      <c r="H683" t="str" cm="1">
        <f t="array" ref="H683">IFERROR(VLOOKUP(INPUT!M678&amp;INPUT!N678,CHOOSE({1,2},INPUT!$A$3:$A$5000&amp;INPUT!$C$3:$C$5000,INPUT!$D$3:$D$5000),2,FALSE),"")</f>
        <v>TEC-TAC</v>
      </c>
      <c r="I683" s="46">
        <f>IF(INPUT!P678="","",INPUT!P678)</f>
        <v>68.400000000000006</v>
      </c>
      <c r="J683" s="46">
        <f>IF(INPUT!Q678="","",INPUT!Q678)</f>
        <v>67.8</v>
      </c>
      <c r="K683" s="46">
        <f>IFERROR(IF(OR(INPUT!P678="",INPUT!Q678=""),"",INPUT!P678-INPUT!Q678),"")</f>
        <v>0.60000000000000853</v>
      </c>
      <c r="L683" s="48">
        <f>IFERROR(IF(OR(INPUT!P678="",INPUT!Q678="",INPUT!P678=0),"",(INPUT!P678-INPUT!Q678)/INPUT!P678),"")</f>
        <v>8.7719298245615279E-3</v>
      </c>
    </row>
    <row r="684" spans="1:12" ht="18" hidden="1" customHeight="1" x14ac:dyDescent="0.2">
      <c r="A684" s="11">
        <f>IF(INPUT!M679="","",INPUT!M679)</f>
        <v>45923</v>
      </c>
      <c r="B684" s="11">
        <f>IF(INPUT!M679="","",INPUT!M679-WEEKDAY(INPUT!M679,2)+1)</f>
        <v>45922</v>
      </c>
      <c r="C684" s="20">
        <f>IFERROR(_xlfn.ISOWEEKNUM(INPUT!M679),"")</f>
        <v>39</v>
      </c>
      <c r="D684" s="20">
        <f>IFERROR(YEAR(INPUT!M679),"")</f>
        <v>2025</v>
      </c>
      <c r="E684" t="str">
        <f>IF(INPUT!O679="","",INPUT!O679)</f>
        <v>RAUL</v>
      </c>
      <c r="F684" t="str">
        <f>IF(INPUT!N679="","",INPUT!N679)</f>
        <v>M</v>
      </c>
      <c r="G684" t="str" cm="1">
        <f t="array" ref="G684">IFERROR(VLOOKUP(INPUT!M679&amp;INPUT!N679,CHOOSE({1,2},INPUT!$A$3:$A$5000&amp;INPUT!$C$3:$C$5000,INPUT!$F$3:$F$5000),2,FALSE),"")</f>
        <v>PRE-TEMPORADA</v>
      </c>
      <c r="H684" t="str" cm="1">
        <f t="array" ref="H684">IFERROR(VLOOKUP(INPUT!M679&amp;INPUT!N679,CHOOSE({1,2},INPUT!$A$3:$A$5000&amp;INPUT!$C$3:$C$5000,INPUT!$D$3:$D$5000),2,FALSE),"")</f>
        <v>TEC-TAC</v>
      </c>
      <c r="I684" s="46">
        <f>IF(INPUT!P679="","",INPUT!P679)</f>
        <v>80</v>
      </c>
      <c r="J684" s="46">
        <f>IF(INPUT!Q679="","",INPUT!Q679)</f>
        <v>79.900000000000006</v>
      </c>
      <c r="K684" s="46">
        <f>IFERROR(IF(OR(INPUT!P679="",INPUT!Q679=""),"",INPUT!P679-INPUT!Q679),"")</f>
        <v>9.9999999999994316E-2</v>
      </c>
      <c r="L684" s="48">
        <f>IFERROR(IF(OR(INPUT!P679="",INPUT!Q679="",INPUT!P679=0),"",(INPUT!P679-INPUT!Q679)/INPUT!P679),"")</f>
        <v>1.2499999999999289E-3</v>
      </c>
    </row>
    <row r="685" spans="1:12" ht="18" hidden="1" customHeight="1" x14ac:dyDescent="0.2">
      <c r="A685" s="11">
        <f>IF(INPUT!M680="","",INPUT!M680)</f>
        <v>45923</v>
      </c>
      <c r="B685" s="11">
        <f>IF(INPUT!M680="","",INPUT!M680-WEEKDAY(INPUT!M680,2)+1)</f>
        <v>45922</v>
      </c>
      <c r="C685" s="20">
        <f>IFERROR(_xlfn.ISOWEEKNUM(INPUT!M680),"")</f>
        <v>39</v>
      </c>
      <c r="D685" s="20">
        <f>IFERROR(YEAR(INPUT!M680),"")</f>
        <v>2025</v>
      </c>
      <c r="E685" t="str">
        <f>IF(INPUT!O680="","",INPUT!O680)</f>
        <v>HARRISON</v>
      </c>
      <c r="F685" t="str">
        <f>IF(INPUT!N680="","",INPUT!N680)</f>
        <v>M</v>
      </c>
      <c r="G685" t="str" cm="1">
        <f t="array" ref="G685">IFERROR(VLOOKUP(INPUT!M680&amp;INPUT!N680,CHOOSE({1,2},INPUT!$A$3:$A$5000&amp;INPUT!$C$3:$C$5000,INPUT!$F$3:$F$5000),2,FALSE),"")</f>
        <v>PRE-TEMPORADA</v>
      </c>
      <c r="H685" t="str" cm="1">
        <f t="array" ref="H685">IFERROR(VLOOKUP(INPUT!M680&amp;INPUT!N680,CHOOSE({1,2},INPUT!$A$3:$A$5000&amp;INPUT!$C$3:$C$5000,INPUT!$D$3:$D$5000),2,FALSE),"")</f>
        <v>TEC-TAC</v>
      </c>
      <c r="I685" s="46">
        <f>IF(INPUT!P680="","",INPUT!P680)</f>
        <v>72</v>
      </c>
      <c r="J685" s="46">
        <f>IF(INPUT!Q680="","",INPUT!Q680)</f>
        <v>71.7</v>
      </c>
      <c r="K685" s="46">
        <f>IFERROR(IF(OR(INPUT!P680="",INPUT!Q680=""),"",INPUT!P680-INPUT!Q680),"")</f>
        <v>0.29999999999999716</v>
      </c>
      <c r="L685" s="48">
        <f>IFERROR(IF(OR(INPUT!P680="",INPUT!Q680="",INPUT!P680=0),"",(INPUT!P680-INPUT!Q680)/INPUT!P680),"")</f>
        <v>4.1666666666666276E-3</v>
      </c>
    </row>
    <row r="686" spans="1:12" ht="18" hidden="1" customHeight="1" x14ac:dyDescent="0.2">
      <c r="A686" s="11">
        <f>IF(INPUT!M681="","",INPUT!M681)</f>
        <v>45923</v>
      </c>
      <c r="B686" s="11">
        <f>IF(INPUT!M681="","",INPUT!M681-WEEKDAY(INPUT!M681,2)+1)</f>
        <v>45922</v>
      </c>
      <c r="C686" s="20">
        <f>IFERROR(_xlfn.ISOWEEKNUM(INPUT!M681),"")</f>
        <v>39</v>
      </c>
      <c r="D686" s="20">
        <f>IFERROR(YEAR(INPUT!M681),"")</f>
        <v>2025</v>
      </c>
      <c r="E686" t="str">
        <f>IF(INPUT!O681="","",INPUT!O681)</f>
        <v>RAYA</v>
      </c>
      <c r="F686" t="str">
        <f>IF(INPUT!N681="","",INPUT!N681)</f>
        <v>M</v>
      </c>
      <c r="G686" t="str" cm="1">
        <f t="array" ref="G686">IFERROR(VLOOKUP(INPUT!M681&amp;INPUT!N681,CHOOSE({1,2},INPUT!$A$3:$A$5000&amp;INPUT!$C$3:$C$5000,INPUT!$F$3:$F$5000),2,FALSE),"")</f>
        <v>PRE-TEMPORADA</v>
      </c>
      <c r="H686" t="str" cm="1">
        <f t="array" ref="H686">IFERROR(VLOOKUP(INPUT!M681&amp;INPUT!N681,CHOOSE({1,2},INPUT!$A$3:$A$5000&amp;INPUT!$C$3:$C$5000,INPUT!$D$3:$D$5000),2,FALSE),"")</f>
        <v>TEC-TAC</v>
      </c>
      <c r="I686" s="46">
        <f>IF(INPUT!P681="","",INPUT!P681)</f>
        <v>82.2</v>
      </c>
      <c r="J686" s="46">
        <f>IF(INPUT!Q681="","",INPUT!Q681)</f>
        <v>81.2</v>
      </c>
      <c r="K686" s="46">
        <f>IFERROR(IF(OR(INPUT!P681="",INPUT!Q681=""),"",INPUT!P681-INPUT!Q681),"")</f>
        <v>1</v>
      </c>
      <c r="L686" s="48">
        <f>IFERROR(IF(OR(INPUT!P681="",INPUT!Q681="",INPUT!P681=0),"",(INPUT!P681-INPUT!Q681)/INPUT!P681),"")</f>
        <v>1.21654501216545E-2</v>
      </c>
    </row>
    <row r="687" spans="1:12" ht="18" hidden="1" customHeight="1" x14ac:dyDescent="0.2">
      <c r="A687" s="11">
        <f>IF(INPUT!M682="","",INPUT!M682)</f>
        <v>45923</v>
      </c>
      <c r="B687" s="11">
        <f>IF(INPUT!M682="","",INPUT!M682-WEEKDAY(INPUT!M682,2)+1)</f>
        <v>45922</v>
      </c>
      <c r="C687" s="20">
        <f>IFERROR(_xlfn.ISOWEEKNUM(INPUT!M682),"")</f>
        <v>39</v>
      </c>
      <c r="D687" s="20">
        <f>IFERROR(YEAR(INPUT!M682),"")</f>
        <v>2025</v>
      </c>
      <c r="E687" t="str">
        <f>IF(INPUT!O682="","",INPUT!O682)</f>
        <v>PIRATA</v>
      </c>
      <c r="F687" t="str">
        <f>IF(INPUT!N682="","",INPUT!N682)</f>
        <v>M</v>
      </c>
      <c r="G687" t="str" cm="1">
        <f t="array" ref="G687">IFERROR(VLOOKUP(INPUT!M682&amp;INPUT!N682,CHOOSE({1,2},INPUT!$A$3:$A$5000&amp;INPUT!$C$3:$C$5000,INPUT!$F$3:$F$5000),2,FALSE),"")</f>
        <v>PRE-TEMPORADA</v>
      </c>
      <c r="H687" t="str" cm="1">
        <f t="array" ref="H687">IFERROR(VLOOKUP(INPUT!M682&amp;INPUT!N682,CHOOSE({1,2},INPUT!$A$3:$A$5000&amp;INPUT!$C$3:$C$5000,INPUT!$D$3:$D$5000),2,FALSE),"")</f>
        <v>TEC-TAC</v>
      </c>
      <c r="I687" s="46">
        <f>IF(INPUT!P682="","",INPUT!P682)</f>
        <v>75.2</v>
      </c>
      <c r="J687" s="46">
        <f>IF(INPUT!Q682="","",INPUT!Q682)</f>
        <v>75</v>
      </c>
      <c r="K687" s="46">
        <f>IFERROR(IF(OR(INPUT!P682="",INPUT!Q682=""),"",INPUT!P682-INPUT!Q682),"")</f>
        <v>0.20000000000000284</v>
      </c>
      <c r="L687" s="48">
        <f>IFERROR(IF(OR(INPUT!P682="",INPUT!Q682="",INPUT!P682=0),"",(INPUT!P682-INPUT!Q682)/INPUT!P682),"")</f>
        <v>2.659574468085144E-3</v>
      </c>
    </row>
    <row r="688" spans="1:12" ht="18" hidden="1" customHeight="1" x14ac:dyDescent="0.2">
      <c r="A688" s="11">
        <f>IF(INPUT!M683="","",INPUT!M683)</f>
        <v>45923</v>
      </c>
      <c r="B688" s="11">
        <f>IF(INPUT!M683="","",INPUT!M683-WEEKDAY(INPUT!M683,2)+1)</f>
        <v>45922</v>
      </c>
      <c r="C688" s="20">
        <f>IFERROR(_xlfn.ISOWEEKNUM(INPUT!M683),"")</f>
        <v>39</v>
      </c>
      <c r="D688" s="20">
        <f>IFERROR(YEAR(INPUT!M683),"")</f>
        <v>2025</v>
      </c>
      <c r="E688" t="str">
        <f>IF(INPUT!O683="","",INPUT!O683)</f>
        <v>BARONA</v>
      </c>
      <c r="F688" t="str">
        <f>IF(INPUT!N683="","",INPUT!N683)</f>
        <v>M</v>
      </c>
      <c r="G688" t="str" cm="1">
        <f t="array" ref="G688">IFERROR(VLOOKUP(INPUT!M683&amp;INPUT!N683,CHOOSE({1,2},INPUT!$A$3:$A$5000&amp;INPUT!$C$3:$C$5000,INPUT!$F$3:$F$5000),2,FALSE),"")</f>
        <v>PRE-TEMPORADA</v>
      </c>
      <c r="H688" t="str" cm="1">
        <f t="array" ref="H688">IFERROR(VLOOKUP(INPUT!M683&amp;INPUT!N683,CHOOSE({1,2},INPUT!$A$3:$A$5000&amp;INPUT!$C$3:$C$5000,INPUT!$D$3:$D$5000),2,FALSE),"")</f>
        <v>TEC-TAC</v>
      </c>
      <c r="I688" s="46">
        <f>IF(INPUT!P683="","",INPUT!P683)</f>
        <v>71.599999999999994</v>
      </c>
      <c r="J688" s="46">
        <f>IF(INPUT!Q683="","",INPUT!Q683)</f>
        <v>70.8</v>
      </c>
      <c r="K688" s="46">
        <f>IFERROR(IF(OR(INPUT!P683="",INPUT!Q683=""),"",INPUT!P683-INPUT!Q683),"")</f>
        <v>0.79999999999999716</v>
      </c>
      <c r="L688" s="48">
        <f>IFERROR(IF(OR(INPUT!P683="",INPUT!Q683="",INPUT!P683=0),"",(INPUT!P683-INPUT!Q683)/INPUT!P683),"")</f>
        <v>1.117318435754186E-2</v>
      </c>
    </row>
    <row r="689" spans="1:12" ht="18" hidden="1" customHeight="1" x14ac:dyDescent="0.2">
      <c r="A689" s="11">
        <f>IF(INPUT!M684="","",INPUT!M684)</f>
        <v>45923</v>
      </c>
      <c r="B689" s="11">
        <f>IF(INPUT!M684="","",INPUT!M684-WEEKDAY(INPUT!M684,2)+1)</f>
        <v>45922</v>
      </c>
      <c r="C689" s="20">
        <f>IFERROR(_xlfn.ISOWEEKNUM(INPUT!M684),"")</f>
        <v>39</v>
      </c>
      <c r="D689" s="20">
        <f>IFERROR(YEAR(INPUT!M684),"")</f>
        <v>2025</v>
      </c>
      <c r="E689" t="str">
        <f>IF(INPUT!O684="","",INPUT!O684)</f>
        <v>CARLOS</v>
      </c>
      <c r="F689" t="str">
        <f>IF(INPUT!N684="","",INPUT!N684)</f>
        <v>M</v>
      </c>
      <c r="G689" t="str" cm="1">
        <f t="array" ref="G689">IFERROR(VLOOKUP(INPUT!M684&amp;INPUT!N684,CHOOSE({1,2},INPUT!$A$3:$A$5000&amp;INPUT!$C$3:$C$5000,INPUT!$F$3:$F$5000),2,FALSE),"")</f>
        <v>PRE-TEMPORADA</v>
      </c>
      <c r="H689" t="str" cm="1">
        <f t="array" ref="H689">IFERROR(VLOOKUP(INPUT!M684&amp;INPUT!N684,CHOOSE({1,2},INPUT!$A$3:$A$5000&amp;INPUT!$C$3:$C$5000,INPUT!$D$3:$D$5000),2,FALSE),"")</f>
        <v>TEC-TAC</v>
      </c>
      <c r="I689" s="46">
        <f>IF(INPUT!P684="","",INPUT!P684)</f>
        <v>65.7</v>
      </c>
      <c r="J689" s="46">
        <f>IF(INPUT!Q684="","",INPUT!Q684)</f>
        <v>65.7</v>
      </c>
      <c r="K689" s="46">
        <f>IFERROR(IF(OR(INPUT!P684="",INPUT!Q684=""),"",INPUT!P684-INPUT!Q684),"")</f>
        <v>0</v>
      </c>
      <c r="L689" s="48">
        <f>IFERROR(IF(OR(INPUT!P684="",INPUT!Q684="",INPUT!P684=0),"",(INPUT!P684-INPUT!Q684)/INPUT!P684),"")</f>
        <v>0</v>
      </c>
    </row>
    <row r="690" spans="1:12" ht="18" hidden="1" customHeight="1" x14ac:dyDescent="0.2">
      <c r="A690" s="11">
        <f>IF(INPUT!M685="","",INPUT!M685)</f>
        <v>45923</v>
      </c>
      <c r="B690" s="11">
        <f>IF(INPUT!M685="","",INPUT!M685-WEEKDAY(INPUT!M685,2)+1)</f>
        <v>45922</v>
      </c>
      <c r="C690" s="20">
        <f>IFERROR(_xlfn.ISOWEEKNUM(INPUT!M685),"")</f>
        <v>39</v>
      </c>
      <c r="D690" s="20">
        <f>IFERROR(YEAR(INPUT!M685),"")</f>
        <v>2025</v>
      </c>
      <c r="E690" t="str">
        <f>IF(INPUT!O685="","",INPUT!O685)</f>
        <v>GONZALO</v>
      </c>
      <c r="F690" t="str">
        <f>IF(INPUT!N685="","",INPUT!N685)</f>
        <v>M</v>
      </c>
      <c r="G690" t="str" cm="1">
        <f t="array" ref="G690">IFERROR(VLOOKUP(INPUT!M685&amp;INPUT!N685,CHOOSE({1,2},INPUT!$A$3:$A$5000&amp;INPUT!$C$3:$C$5000,INPUT!$F$3:$F$5000),2,FALSE),"")</f>
        <v>PRE-TEMPORADA</v>
      </c>
      <c r="H690" t="str" cm="1">
        <f t="array" ref="H690">IFERROR(VLOOKUP(INPUT!M685&amp;INPUT!N685,CHOOSE({1,2},INPUT!$A$3:$A$5000&amp;INPUT!$C$3:$C$5000,INPUT!$D$3:$D$5000),2,FALSE),"")</f>
        <v>TEC-TAC</v>
      </c>
      <c r="I690" s="46">
        <f>IF(INPUT!P685="","",INPUT!P685)</f>
        <v>84.6</v>
      </c>
      <c r="J690" s="46">
        <f>IF(INPUT!Q685="","",INPUT!Q685)</f>
        <v>84.8</v>
      </c>
      <c r="K690" s="46">
        <f>IFERROR(IF(OR(INPUT!P685="",INPUT!Q685=""),"",INPUT!P685-INPUT!Q685),"")</f>
        <v>-0.20000000000000284</v>
      </c>
      <c r="L690" s="48">
        <f>IFERROR(IF(OR(INPUT!P685="",INPUT!Q685="",INPUT!P685=0),"",(INPUT!P685-INPUT!Q685)/INPUT!P685),"")</f>
        <v>-2.3640661938534617E-3</v>
      </c>
    </row>
    <row r="691" spans="1:12" ht="18" hidden="1" customHeight="1" x14ac:dyDescent="0.2">
      <c r="A691" s="11">
        <f>IF(INPUT!M686="","",INPUT!M686)</f>
        <v>45923</v>
      </c>
      <c r="B691" s="11">
        <f>IF(INPUT!M686="","",INPUT!M686-WEEKDAY(INPUT!M686,2)+1)</f>
        <v>45922</v>
      </c>
      <c r="C691" s="20">
        <f>IFERROR(_xlfn.ISOWEEKNUM(INPUT!M686),"")</f>
        <v>39</v>
      </c>
      <c r="D691" s="20">
        <f>IFERROR(YEAR(INPUT!M686),"")</f>
        <v>2025</v>
      </c>
      <c r="E691" t="str">
        <f>IF(INPUT!O686="","",INPUT!O686)</f>
        <v>RUBIO</v>
      </c>
      <c r="F691" t="str">
        <f>IF(INPUT!N686="","",INPUT!N686)</f>
        <v>M</v>
      </c>
      <c r="G691" t="str" cm="1">
        <f t="array" ref="G691">IFERROR(VLOOKUP(INPUT!M686&amp;INPUT!N686,CHOOSE({1,2},INPUT!$A$3:$A$5000&amp;INPUT!$C$3:$C$5000,INPUT!$F$3:$F$5000),2,FALSE),"")</f>
        <v>PRE-TEMPORADA</v>
      </c>
      <c r="H691" t="str" cm="1">
        <f t="array" ref="H691">IFERROR(VLOOKUP(INPUT!M686&amp;INPUT!N686,CHOOSE({1,2},INPUT!$A$3:$A$5000&amp;INPUT!$C$3:$C$5000,INPUT!$D$3:$D$5000),2,FALSE),"")</f>
        <v>TEC-TAC</v>
      </c>
      <c r="I691" s="46">
        <f>IF(INPUT!P686="","",INPUT!P686)</f>
        <v>74.5</v>
      </c>
      <c r="J691" s="46">
        <f>IF(INPUT!Q686="","",INPUT!Q686)</f>
        <v>74.3</v>
      </c>
      <c r="K691" s="46">
        <f>IFERROR(IF(OR(INPUT!P686="",INPUT!Q686=""),"",INPUT!P686-INPUT!Q686),"")</f>
        <v>0.20000000000000284</v>
      </c>
      <c r="L691" s="48">
        <f>IFERROR(IF(OR(INPUT!P686="",INPUT!Q686="",INPUT!P686=0),"",(INPUT!P686-INPUT!Q686)/INPUT!P686),"")</f>
        <v>2.6845637583892998E-3</v>
      </c>
    </row>
    <row r="692" spans="1:12" ht="18" hidden="1" customHeight="1" x14ac:dyDescent="0.2">
      <c r="A692" s="11">
        <f>IF(INPUT!M687="","",INPUT!M687)</f>
        <v>45923</v>
      </c>
      <c r="B692" s="11">
        <f>IF(INPUT!M687="","",INPUT!M687-WEEKDAY(INPUT!M687,2)+1)</f>
        <v>45922</v>
      </c>
      <c r="C692" s="20">
        <f>IFERROR(_xlfn.ISOWEEKNUM(INPUT!M687),"")</f>
        <v>39</v>
      </c>
      <c r="D692" s="20">
        <f>IFERROR(YEAR(INPUT!M687),"")</f>
        <v>2025</v>
      </c>
      <c r="E692" t="str">
        <f>IF(INPUT!O687="","",INPUT!O687)</f>
        <v>DANI</v>
      </c>
      <c r="F692" t="str">
        <f>IF(INPUT!N687="","",INPUT!N687)</f>
        <v>M</v>
      </c>
      <c r="G692" t="str" cm="1">
        <f t="array" ref="G692">IFERROR(VLOOKUP(INPUT!M687&amp;INPUT!N687,CHOOSE({1,2},INPUT!$A$3:$A$5000&amp;INPUT!$C$3:$C$5000,INPUT!$F$3:$F$5000),2,FALSE),"")</f>
        <v>PRE-TEMPORADA</v>
      </c>
      <c r="H692" t="str" cm="1">
        <f t="array" ref="H692">IFERROR(VLOOKUP(INPUT!M687&amp;INPUT!N687,CHOOSE({1,2},INPUT!$A$3:$A$5000&amp;INPUT!$C$3:$C$5000,INPUT!$D$3:$D$5000),2,FALSE),"")</f>
        <v>TEC-TAC</v>
      </c>
      <c r="I692" s="46">
        <f>IF(INPUT!P687="","",INPUT!P687)</f>
        <v>92.3</v>
      </c>
      <c r="J692" s="46">
        <f>IF(INPUT!Q687="","",INPUT!Q687)</f>
        <v>91.5</v>
      </c>
      <c r="K692" s="46">
        <f>IFERROR(IF(OR(INPUT!P687="",INPUT!Q687=""),"",INPUT!P687-INPUT!Q687),"")</f>
        <v>0.79999999999999716</v>
      </c>
      <c r="L692" s="48">
        <f>IFERROR(IF(OR(INPUT!P687="",INPUT!Q687="",INPUT!P687=0),"",(INPUT!P687-INPUT!Q687)/INPUT!P687),"")</f>
        <v>8.66738894907906E-3</v>
      </c>
    </row>
    <row r="693" spans="1:12" ht="18" hidden="1" customHeight="1" x14ac:dyDescent="0.2">
      <c r="A693" s="11">
        <f>IF(INPUT!M688="","",INPUT!M688)</f>
        <v>45924</v>
      </c>
      <c r="B693" s="11">
        <f>IF(INPUT!M688="","",INPUT!M688-WEEKDAY(INPUT!M688,2)+1)</f>
        <v>45922</v>
      </c>
      <c r="C693" s="20">
        <f>IFERROR(_xlfn.ISOWEEKNUM(INPUT!M688),"")</f>
        <v>39</v>
      </c>
      <c r="D693" s="20">
        <f>IFERROR(YEAR(INPUT!M688),"")</f>
        <v>2025</v>
      </c>
      <c r="E693" t="str">
        <f>IF(INPUT!O688="","",INPUT!O688)</f>
        <v>HERRERO</v>
      </c>
      <c r="F693" t="str">
        <f>IF(INPUT!N688="","",INPUT!N688)</f>
        <v>T</v>
      </c>
      <c r="G693" t="str" cm="1">
        <f t="array" ref="G693">IFERROR(VLOOKUP(INPUT!M688&amp;INPUT!N688,CHOOSE({1,2},INPUT!$A$3:$A$5000&amp;INPUT!$C$3:$C$5000,INPUT!$F$3:$F$5000),2,FALSE),"")</f>
        <v>PRE-TEMPORADA</v>
      </c>
      <c r="H693" t="str" cm="1">
        <f t="array" ref="H693">IFERROR(VLOOKUP(INPUT!M688&amp;INPUT!N688,CHOOSE({1,2},INPUT!$A$3:$A$5000&amp;INPUT!$C$3:$C$5000,INPUT!$D$3:$D$5000),2,FALSE),"")</f>
        <v>TEC-TAC</v>
      </c>
      <c r="I693" s="46">
        <f>IF(INPUT!P688="","",INPUT!P688)</f>
        <v>76.8</v>
      </c>
      <c r="J693" s="46">
        <f>IF(INPUT!Q688="","",INPUT!Q688)</f>
        <v>76</v>
      </c>
      <c r="K693" s="46">
        <f>IFERROR(IF(OR(INPUT!P688="",INPUT!Q688=""),"",INPUT!P688-INPUT!Q688),"")</f>
        <v>0.79999999999999716</v>
      </c>
      <c r="L693" s="48">
        <f>IFERROR(IF(OR(INPUT!P688="",INPUT!Q688="",INPUT!P688=0),"",(INPUT!P688-INPUT!Q688)/INPUT!P688),"")</f>
        <v>1.041666666666663E-2</v>
      </c>
    </row>
    <row r="694" spans="1:12" ht="18" hidden="1" customHeight="1" x14ac:dyDescent="0.2">
      <c r="A694" s="11">
        <f>IF(INPUT!M689="","",INPUT!M689)</f>
        <v>45924</v>
      </c>
      <c r="B694" s="11">
        <f>IF(INPUT!M689="","",INPUT!M689-WEEKDAY(INPUT!M689,2)+1)</f>
        <v>45922</v>
      </c>
      <c r="C694" s="20">
        <f>IFERROR(_xlfn.ISOWEEKNUM(INPUT!M689),"")</f>
        <v>39</v>
      </c>
      <c r="D694" s="20">
        <f>IFERROR(YEAR(INPUT!M689),"")</f>
        <v>2025</v>
      </c>
      <c r="E694" t="str">
        <f>IF(INPUT!O689="","",INPUT!O689)</f>
        <v>GARCIA</v>
      </c>
      <c r="F694" t="str">
        <f>IF(INPUT!N689="","",INPUT!N689)</f>
        <v>T</v>
      </c>
      <c r="G694" t="str" cm="1">
        <f t="array" ref="G694">IFERROR(VLOOKUP(INPUT!M689&amp;INPUT!N689,CHOOSE({1,2},INPUT!$A$3:$A$5000&amp;INPUT!$C$3:$C$5000,INPUT!$F$3:$F$5000),2,FALSE),"")</f>
        <v>PRE-TEMPORADA</v>
      </c>
      <c r="H694" t="str" cm="1">
        <f t="array" ref="H694">IFERROR(VLOOKUP(INPUT!M689&amp;INPUT!N689,CHOOSE({1,2},INPUT!$A$3:$A$5000&amp;INPUT!$C$3:$C$5000,INPUT!$D$3:$D$5000),2,FALSE),"")</f>
        <v>TEC-TAC</v>
      </c>
      <c r="I694" s="46">
        <f>IF(INPUT!P689="","",INPUT!P689)</f>
        <v>79.8</v>
      </c>
      <c r="J694" s="46">
        <f>IF(INPUT!Q689="","",INPUT!Q689)</f>
        <v>79.7</v>
      </c>
      <c r="K694" s="46">
        <f>IFERROR(IF(OR(INPUT!P689="",INPUT!Q689=""),"",INPUT!P689-INPUT!Q689),"")</f>
        <v>9.9999999999994316E-2</v>
      </c>
      <c r="L694" s="48">
        <f>IFERROR(IF(OR(INPUT!P689="",INPUT!Q689="",INPUT!P689=0),"",(INPUT!P689-INPUT!Q689)/INPUT!P689),"")</f>
        <v>1.2531328320801293E-3</v>
      </c>
    </row>
    <row r="695" spans="1:12" ht="18" hidden="1" customHeight="1" x14ac:dyDescent="0.2">
      <c r="A695" s="11">
        <f>IF(INPUT!M690="","",INPUT!M690)</f>
        <v>45924</v>
      </c>
      <c r="B695" s="11">
        <f>IF(INPUT!M690="","",INPUT!M690-WEEKDAY(INPUT!M690,2)+1)</f>
        <v>45922</v>
      </c>
      <c r="C695" s="20">
        <f>IFERROR(_xlfn.ISOWEEKNUM(INPUT!M690),"")</f>
        <v>39</v>
      </c>
      <c r="D695" s="20">
        <f>IFERROR(YEAR(INPUT!M690),"")</f>
        <v>2025</v>
      </c>
      <c r="E695" t="str">
        <f>IF(INPUT!O690="","",INPUT!O690)</f>
        <v>CECILIO</v>
      </c>
      <c r="F695" t="str">
        <f>IF(INPUT!N690="","",INPUT!N690)</f>
        <v>T</v>
      </c>
      <c r="G695" t="str" cm="1">
        <f t="array" ref="G695">IFERROR(VLOOKUP(INPUT!M690&amp;INPUT!N690,CHOOSE({1,2},INPUT!$A$3:$A$5000&amp;INPUT!$C$3:$C$5000,INPUT!$F$3:$F$5000),2,FALSE),"")</f>
        <v>PRE-TEMPORADA</v>
      </c>
      <c r="H695" t="str" cm="1">
        <f t="array" ref="H695">IFERROR(VLOOKUP(INPUT!M690&amp;INPUT!N690,CHOOSE({1,2},INPUT!$A$3:$A$5000&amp;INPUT!$C$3:$C$5000,INPUT!$D$3:$D$5000),2,FALSE),"")</f>
        <v>TEC-TAC</v>
      </c>
      <c r="I695" s="46">
        <f>IF(INPUT!P690="","",INPUT!P690)</f>
        <v>68</v>
      </c>
      <c r="J695" s="46">
        <f>IF(INPUT!Q690="","",INPUT!Q690)</f>
        <v>67</v>
      </c>
      <c r="K695" s="46">
        <f>IFERROR(IF(OR(INPUT!P690="",INPUT!Q690=""),"",INPUT!P690-INPUT!Q690),"")</f>
        <v>1</v>
      </c>
      <c r="L695" s="48">
        <f>IFERROR(IF(OR(INPUT!P690="",INPUT!Q690="",INPUT!P690=0),"",(INPUT!P690-INPUT!Q690)/INPUT!P690),"")</f>
        <v>1.4705882352941176E-2</v>
      </c>
    </row>
    <row r="696" spans="1:12" ht="18" hidden="1" customHeight="1" x14ac:dyDescent="0.2">
      <c r="A696" s="11">
        <f>IF(INPUT!M691="","",INPUT!M691)</f>
        <v>45924</v>
      </c>
      <c r="B696" s="11">
        <f>IF(INPUT!M691="","",INPUT!M691-WEEKDAY(INPUT!M691,2)+1)</f>
        <v>45922</v>
      </c>
      <c r="C696" s="20">
        <f>IFERROR(_xlfn.ISOWEEKNUM(INPUT!M691),"")</f>
        <v>39</v>
      </c>
      <c r="D696" s="20">
        <f>IFERROR(YEAR(INPUT!M691),"")</f>
        <v>2025</v>
      </c>
      <c r="E696" t="str">
        <f>IF(INPUT!O691="","",INPUT!O691)</f>
        <v>CHAGUINHA</v>
      </c>
      <c r="F696" t="str">
        <f>IF(INPUT!N691="","",INPUT!N691)</f>
        <v>T</v>
      </c>
      <c r="G696" t="str" cm="1">
        <f t="array" ref="G696">IFERROR(VLOOKUP(INPUT!M691&amp;INPUT!N691,CHOOSE({1,2},INPUT!$A$3:$A$5000&amp;INPUT!$C$3:$C$5000,INPUT!$F$3:$F$5000),2,FALSE),"")</f>
        <v>PRE-TEMPORADA</v>
      </c>
      <c r="H696" t="str" cm="1">
        <f t="array" ref="H696">IFERROR(VLOOKUP(INPUT!M691&amp;INPUT!N691,CHOOSE({1,2},INPUT!$A$3:$A$5000&amp;INPUT!$C$3:$C$5000,INPUT!$D$3:$D$5000),2,FALSE),"")</f>
        <v>TEC-TAC</v>
      </c>
      <c r="I696" s="46">
        <f>IF(INPUT!P691="","",INPUT!P691)</f>
        <v>68.7</v>
      </c>
      <c r="J696" s="46">
        <f>IF(INPUT!Q691="","",INPUT!Q691)</f>
        <v>67.8</v>
      </c>
      <c r="K696" s="46">
        <f>IFERROR(IF(OR(INPUT!P691="",INPUT!Q691=""),"",INPUT!P691-INPUT!Q691),"")</f>
        <v>0.90000000000000568</v>
      </c>
      <c r="L696" s="48">
        <f>IFERROR(IF(OR(INPUT!P691="",INPUT!Q691="",INPUT!P691=0),"",(INPUT!P691-INPUT!Q691)/INPUT!P691),"")</f>
        <v>1.310043668122279E-2</v>
      </c>
    </row>
    <row r="697" spans="1:12" ht="18" hidden="1" customHeight="1" x14ac:dyDescent="0.2">
      <c r="A697" s="11">
        <f>IF(INPUT!M692="","",INPUT!M692)</f>
        <v>45924</v>
      </c>
      <c r="B697" s="11">
        <f>IF(INPUT!M692="","",INPUT!M692-WEEKDAY(INPUT!M692,2)+1)</f>
        <v>45922</v>
      </c>
      <c r="C697" s="20">
        <f>IFERROR(_xlfn.ISOWEEKNUM(INPUT!M692),"")</f>
        <v>39</v>
      </c>
      <c r="D697" s="20">
        <f>IFERROR(YEAR(INPUT!M692),"")</f>
        <v>2025</v>
      </c>
      <c r="E697" t="str">
        <f>IF(INPUT!O692="","",INPUT!O692)</f>
        <v>RAUL</v>
      </c>
      <c r="F697" t="str">
        <f>IF(INPUT!N692="","",INPUT!N692)</f>
        <v>T</v>
      </c>
      <c r="G697" t="str" cm="1">
        <f t="array" ref="G697">IFERROR(VLOOKUP(INPUT!M692&amp;INPUT!N692,CHOOSE({1,2},INPUT!$A$3:$A$5000&amp;INPUT!$C$3:$C$5000,INPUT!$F$3:$F$5000),2,FALSE),"")</f>
        <v>PRE-TEMPORADA</v>
      </c>
      <c r="H697" t="str" cm="1">
        <f t="array" ref="H697">IFERROR(VLOOKUP(INPUT!M692&amp;INPUT!N692,CHOOSE({1,2},INPUT!$A$3:$A$5000&amp;INPUT!$C$3:$C$5000,INPUT!$D$3:$D$5000),2,FALSE),"")</f>
        <v>TEC-TAC</v>
      </c>
      <c r="I697" s="46">
        <f>IF(INPUT!P692="","",INPUT!P692)</f>
        <v>81.8</v>
      </c>
      <c r="J697" s="46">
        <f>IF(INPUT!Q692="","",INPUT!Q692)</f>
        <v>80.900000000000006</v>
      </c>
      <c r="K697" s="46">
        <f>IFERROR(IF(OR(INPUT!P692="",INPUT!Q692=""),"",INPUT!P692-INPUT!Q692),"")</f>
        <v>0.89999999999999147</v>
      </c>
      <c r="L697" s="48">
        <f>IFERROR(IF(OR(INPUT!P692="",INPUT!Q692="",INPUT!P692=0),"",(INPUT!P692-INPUT!Q692)/INPUT!P692),"")</f>
        <v>1.1002444987774957E-2</v>
      </c>
    </row>
    <row r="698" spans="1:12" ht="18" customHeight="1" x14ac:dyDescent="0.2">
      <c r="A698" s="11">
        <f>IF(INPUT!M693="","",INPUT!M693)</f>
        <v>45924</v>
      </c>
      <c r="B698" s="11">
        <f>IF(INPUT!M693="","",INPUT!M693-WEEKDAY(INPUT!M693,2)+1)</f>
        <v>45922</v>
      </c>
      <c r="C698" s="20">
        <f>IFERROR(_xlfn.ISOWEEKNUM(INPUT!M693),"")</f>
        <v>39</v>
      </c>
      <c r="D698" s="20">
        <f>IFERROR(YEAR(INPUT!M693),"")</f>
        <v>2025</v>
      </c>
      <c r="E698" t="str">
        <f>IF(INPUT!O693="","",INPUT!O693)</f>
        <v>HARRISON</v>
      </c>
      <c r="F698" t="str">
        <f>IF(INPUT!N693="","",INPUT!N693)</f>
        <v>T</v>
      </c>
      <c r="G698" t="str" cm="1">
        <f t="array" ref="G698">IFERROR(VLOOKUP(INPUT!M693&amp;INPUT!N693,CHOOSE({1,2},INPUT!$A$3:$A$5000&amp;INPUT!$C$3:$C$5000,INPUT!$F$3:$F$5000),2,FALSE),"")</f>
        <v>PRE-TEMPORADA</v>
      </c>
      <c r="H698" t="str" cm="1">
        <f t="array" ref="H698">IFERROR(VLOOKUP(INPUT!M693&amp;INPUT!N693,CHOOSE({1,2},INPUT!$A$3:$A$5000&amp;INPUT!$C$3:$C$5000,INPUT!$D$3:$D$5000),2,FALSE),"")</f>
        <v>TEC-TAC</v>
      </c>
      <c r="I698" s="46">
        <f>IF(INPUT!P693="","",INPUT!P693)</f>
        <v>71.5</v>
      </c>
      <c r="J698" s="46">
        <f>IF(INPUT!Q693="","",INPUT!Q693)</f>
        <v>71</v>
      </c>
      <c r="K698" s="46">
        <f>IFERROR(IF(OR(INPUT!P693="",INPUT!Q693=""),"",INPUT!P693-INPUT!Q693),"")</f>
        <v>0.5</v>
      </c>
      <c r="L698" s="48">
        <f>IFERROR(IF(OR(INPUT!P693="",INPUT!Q693="",INPUT!P693=0),"",(INPUT!P693-INPUT!Q693)/INPUT!P693),"")</f>
        <v>6.993006993006993E-3</v>
      </c>
    </row>
    <row r="699" spans="1:12" ht="18" customHeight="1" x14ac:dyDescent="0.2">
      <c r="A699" s="11">
        <f>IF(INPUT!M694="","",INPUT!M694)</f>
        <v>45924</v>
      </c>
      <c r="B699" s="11">
        <f>IF(INPUT!M694="","",INPUT!M694-WEEKDAY(INPUT!M694,2)+1)</f>
        <v>45922</v>
      </c>
      <c r="C699" s="20">
        <f>IFERROR(_xlfn.ISOWEEKNUM(INPUT!M694),"")</f>
        <v>39</v>
      </c>
      <c r="D699" s="20">
        <f>IFERROR(YEAR(INPUT!M694),"")</f>
        <v>2025</v>
      </c>
      <c r="E699" t="str">
        <f>IF(INPUT!O694="","",INPUT!O694)</f>
        <v>RAYA</v>
      </c>
      <c r="F699" t="str">
        <f>IF(INPUT!N694="","",INPUT!N694)</f>
        <v>T</v>
      </c>
      <c r="G699" t="str" cm="1">
        <f t="array" ref="G699">IFERROR(VLOOKUP(INPUT!M694&amp;INPUT!N694,CHOOSE({1,2},INPUT!$A$3:$A$5000&amp;INPUT!$C$3:$C$5000,INPUT!$F$3:$F$5000),2,FALSE),"")</f>
        <v>PRE-TEMPORADA</v>
      </c>
      <c r="H699" t="str" cm="1">
        <f t="array" ref="H699">IFERROR(VLOOKUP(INPUT!M694&amp;INPUT!N694,CHOOSE({1,2},INPUT!$A$3:$A$5000&amp;INPUT!$C$3:$C$5000,INPUT!$D$3:$D$5000),2,FALSE),"")</f>
        <v>TEC-TAC</v>
      </c>
      <c r="I699" s="46">
        <f>IF(INPUT!P694="","",INPUT!P694)</f>
        <v>82.6</v>
      </c>
      <c r="J699" s="46">
        <f>IF(INPUT!Q694="","",INPUT!Q694)</f>
        <v>81.599999999999994</v>
      </c>
      <c r="K699" s="46">
        <f>IFERROR(IF(OR(INPUT!P694="",INPUT!Q694=""),"",INPUT!P694-INPUT!Q694),"")</f>
        <v>1</v>
      </c>
      <c r="L699" s="48">
        <f>IFERROR(IF(OR(INPUT!P694="",INPUT!Q694="",INPUT!P694=0),"",(INPUT!P694-INPUT!Q694)/INPUT!P694),"")</f>
        <v>1.2106537530266345E-2</v>
      </c>
    </row>
    <row r="700" spans="1:12" ht="18" customHeight="1" x14ac:dyDescent="0.2">
      <c r="A700" s="11">
        <f>IF(INPUT!M695="","",INPUT!M695)</f>
        <v>45924</v>
      </c>
      <c r="B700" s="11">
        <f>IF(INPUT!M695="","",INPUT!M695-WEEKDAY(INPUT!M695,2)+1)</f>
        <v>45922</v>
      </c>
      <c r="C700" s="20">
        <f>IFERROR(_xlfn.ISOWEEKNUM(INPUT!M695),"")</f>
        <v>39</v>
      </c>
      <c r="D700" s="20">
        <f>IFERROR(YEAR(INPUT!M695),"")</f>
        <v>2025</v>
      </c>
      <c r="E700" t="str">
        <f>IF(INPUT!O695="","",INPUT!O695)</f>
        <v>JAVI</v>
      </c>
      <c r="F700" t="str">
        <f>IF(INPUT!N695="","",INPUT!N695)</f>
        <v>T</v>
      </c>
      <c r="G700" t="str" cm="1">
        <f t="array" ref="G700">IFERROR(VLOOKUP(INPUT!M695&amp;INPUT!N695,CHOOSE({1,2},INPUT!$A$3:$A$5000&amp;INPUT!$C$3:$C$5000,INPUT!$F$3:$F$5000),2,FALSE),"")</f>
        <v>PRE-TEMPORADA</v>
      </c>
      <c r="H700" t="str" cm="1">
        <f t="array" ref="H700">IFERROR(VLOOKUP(INPUT!M695&amp;INPUT!N695,CHOOSE({1,2},INPUT!$A$3:$A$5000&amp;INPUT!$C$3:$C$5000,INPUT!$D$3:$D$5000),2,FALSE),"")</f>
        <v>TEC-TAC</v>
      </c>
      <c r="I700" s="46">
        <f>IF(INPUT!P695="","",INPUT!P695)</f>
        <v>80.2</v>
      </c>
      <c r="J700" s="46">
        <f>IF(INPUT!Q695="","",INPUT!Q695)</f>
        <v>79.400000000000006</v>
      </c>
      <c r="K700" s="46">
        <f>IFERROR(IF(OR(INPUT!P695="",INPUT!Q695=""),"",INPUT!P695-INPUT!Q695),"")</f>
        <v>0.79999999999999716</v>
      </c>
      <c r="L700" s="48">
        <f>IFERROR(IF(OR(INPUT!P695="",INPUT!Q695="",INPUT!P695=0),"",(INPUT!P695-INPUT!Q695)/INPUT!P695),"")</f>
        <v>9.9750623441396159E-3</v>
      </c>
    </row>
    <row r="701" spans="1:12" ht="18" customHeight="1" x14ac:dyDescent="0.2">
      <c r="A701" s="11">
        <f>IF(INPUT!M696="","",INPUT!M696)</f>
        <v>45924</v>
      </c>
      <c r="B701" s="11">
        <f>IF(INPUT!M696="","",INPUT!M696-WEEKDAY(INPUT!M696,2)+1)</f>
        <v>45922</v>
      </c>
      <c r="C701" s="20">
        <f>IFERROR(_xlfn.ISOWEEKNUM(INPUT!M696),"")</f>
        <v>39</v>
      </c>
      <c r="D701" s="20">
        <f>IFERROR(YEAR(INPUT!M696),"")</f>
        <v>2025</v>
      </c>
      <c r="E701" t="str">
        <f>IF(INPUT!O696="","",INPUT!O696)</f>
        <v>PANI</v>
      </c>
      <c r="F701" t="str">
        <f>IF(INPUT!N696="","",INPUT!N696)</f>
        <v>T</v>
      </c>
      <c r="G701" t="str" cm="1">
        <f t="array" ref="G701">IFERROR(VLOOKUP(INPUT!M696&amp;INPUT!N696,CHOOSE({1,2},INPUT!$A$3:$A$5000&amp;INPUT!$C$3:$C$5000,INPUT!$F$3:$F$5000),2,FALSE),"")</f>
        <v>PRE-TEMPORADA</v>
      </c>
      <c r="H701" t="str" cm="1">
        <f t="array" ref="H701">IFERROR(VLOOKUP(INPUT!M696&amp;INPUT!N696,CHOOSE({1,2},INPUT!$A$3:$A$5000&amp;INPUT!$C$3:$C$5000,INPUT!$D$3:$D$5000),2,FALSE),"")</f>
        <v>TEC-TAC</v>
      </c>
      <c r="I701" s="46">
        <f>IF(INPUT!P696="","",INPUT!P696)</f>
        <v>71.2</v>
      </c>
      <c r="J701" s="46">
        <f>IF(INPUT!Q696="","",INPUT!Q696)</f>
        <v>70.400000000000006</v>
      </c>
      <c r="K701" s="46">
        <f>IFERROR(IF(OR(INPUT!P696="",INPUT!Q696=""),"",INPUT!P696-INPUT!Q696),"")</f>
        <v>0.79999999999999716</v>
      </c>
      <c r="L701" s="48">
        <f>IFERROR(IF(OR(INPUT!P696="",INPUT!Q696="",INPUT!P696=0),"",(INPUT!P696-INPUT!Q696)/INPUT!P696),"")</f>
        <v>1.1235955056179735E-2</v>
      </c>
    </row>
    <row r="702" spans="1:12" ht="18" customHeight="1" x14ac:dyDescent="0.2">
      <c r="A702" s="11">
        <f>IF(INPUT!M697="","",INPUT!M697)</f>
        <v>45924</v>
      </c>
      <c r="B702" s="11">
        <f>IF(INPUT!M697="","",INPUT!M697-WEEKDAY(INPUT!M697,2)+1)</f>
        <v>45922</v>
      </c>
      <c r="C702" s="20">
        <f>IFERROR(_xlfn.ISOWEEKNUM(INPUT!M697),"")</f>
        <v>39</v>
      </c>
      <c r="D702" s="20">
        <f>IFERROR(YEAR(INPUT!M697),"")</f>
        <v>2025</v>
      </c>
      <c r="E702" t="str">
        <f>IF(INPUT!O697="","",INPUT!O697)</f>
        <v>PIRATA</v>
      </c>
      <c r="F702" t="str">
        <f>IF(INPUT!N697="","",INPUT!N697)</f>
        <v>T</v>
      </c>
      <c r="G702" t="str" cm="1">
        <f t="array" ref="G702">IFERROR(VLOOKUP(INPUT!M697&amp;INPUT!N697,CHOOSE({1,2},INPUT!$A$3:$A$5000&amp;INPUT!$C$3:$C$5000,INPUT!$F$3:$F$5000),2,FALSE),"")</f>
        <v>PRE-TEMPORADA</v>
      </c>
      <c r="H702" t="str" cm="1">
        <f t="array" ref="H702">IFERROR(VLOOKUP(INPUT!M697&amp;INPUT!N697,CHOOSE({1,2},INPUT!$A$3:$A$5000&amp;INPUT!$C$3:$C$5000,INPUT!$D$3:$D$5000),2,FALSE),"")</f>
        <v>TEC-TAC</v>
      </c>
      <c r="I702" s="46">
        <f>IF(INPUT!P697="","",INPUT!P697)</f>
        <v>75.3</v>
      </c>
      <c r="J702" s="46">
        <f>IF(INPUT!Q697="","",INPUT!Q697)</f>
        <v>74.8</v>
      </c>
      <c r="K702" s="46">
        <f>IFERROR(IF(OR(INPUT!P697="",INPUT!Q697=""),"",INPUT!P697-INPUT!Q697),"")</f>
        <v>0.5</v>
      </c>
      <c r="L702" s="48">
        <f>IFERROR(IF(OR(INPUT!P697="",INPUT!Q697="",INPUT!P697=0),"",(INPUT!P697-INPUT!Q697)/INPUT!P697),"")</f>
        <v>6.6401062416998674E-3</v>
      </c>
    </row>
    <row r="703" spans="1:12" ht="18" customHeight="1" x14ac:dyDescent="0.2">
      <c r="A703" s="11">
        <f>IF(INPUT!M698="","",INPUT!M698)</f>
        <v>45924</v>
      </c>
      <c r="B703" s="11">
        <f>IF(INPUT!M698="","",INPUT!M698-WEEKDAY(INPUT!M698,2)+1)</f>
        <v>45922</v>
      </c>
      <c r="C703" s="20">
        <f>IFERROR(_xlfn.ISOWEEKNUM(INPUT!M698),"")</f>
        <v>39</v>
      </c>
      <c r="D703" s="20">
        <f>IFERROR(YEAR(INPUT!M698),"")</f>
        <v>2025</v>
      </c>
      <c r="E703" t="str">
        <f>IF(INPUT!O698="","",INPUT!O698)</f>
        <v>BARONA</v>
      </c>
      <c r="F703" t="str">
        <f>IF(INPUT!N698="","",INPUT!N698)</f>
        <v>T</v>
      </c>
      <c r="G703" t="str" cm="1">
        <f t="array" ref="G703">IFERROR(VLOOKUP(INPUT!M698&amp;INPUT!N698,CHOOSE({1,2},INPUT!$A$3:$A$5000&amp;INPUT!$C$3:$C$5000,INPUT!$F$3:$F$5000),2,FALSE),"")</f>
        <v>PRE-TEMPORADA</v>
      </c>
      <c r="H703" t="str" cm="1">
        <f t="array" ref="H703">IFERROR(VLOOKUP(INPUT!M698&amp;INPUT!N698,CHOOSE({1,2},INPUT!$A$3:$A$5000&amp;INPUT!$C$3:$C$5000,INPUT!$D$3:$D$5000),2,FALSE),"")</f>
        <v>TEC-TAC</v>
      </c>
      <c r="I703" s="46">
        <f>IF(INPUT!P698="","",INPUT!P698)</f>
        <v>71.5</v>
      </c>
      <c r="J703" s="46">
        <f>IF(INPUT!Q698="","",INPUT!Q698)</f>
        <v>71</v>
      </c>
      <c r="K703" s="46">
        <f>IFERROR(IF(OR(INPUT!P698="",INPUT!Q698=""),"",INPUT!P698-INPUT!Q698),"")</f>
        <v>0.5</v>
      </c>
      <c r="L703" s="48">
        <f>IFERROR(IF(OR(INPUT!P698="",INPUT!Q698="",INPUT!P698=0),"",(INPUT!P698-INPUT!Q698)/INPUT!P698),"")</f>
        <v>6.993006993006993E-3</v>
      </c>
    </row>
    <row r="704" spans="1:12" ht="18" hidden="1" customHeight="1" x14ac:dyDescent="0.2">
      <c r="A704" s="11">
        <f>IF(INPUT!M699="","",INPUT!M699)</f>
        <v>45924</v>
      </c>
      <c r="B704" s="11">
        <f>IF(INPUT!M699="","",INPUT!M699-WEEKDAY(INPUT!M699,2)+1)</f>
        <v>45922</v>
      </c>
      <c r="C704" s="20">
        <f>IFERROR(_xlfn.ISOWEEKNUM(INPUT!M699),"")</f>
        <v>39</v>
      </c>
      <c r="D704" s="20">
        <f>IFERROR(YEAR(INPUT!M699),"")</f>
        <v>2025</v>
      </c>
      <c r="E704" t="str">
        <f>IF(INPUT!O699="","",INPUT!O699)</f>
        <v>CARLOS</v>
      </c>
      <c r="F704" t="str">
        <f>IF(INPUT!N699="","",INPUT!N699)</f>
        <v>T</v>
      </c>
      <c r="G704" t="str" cm="1">
        <f t="array" ref="G704">IFERROR(VLOOKUP(INPUT!M699&amp;INPUT!N699,CHOOSE({1,2},INPUT!$A$3:$A$5000&amp;INPUT!$C$3:$C$5000,INPUT!$F$3:$F$5000),2,FALSE),"")</f>
        <v>PRE-TEMPORADA</v>
      </c>
      <c r="H704" t="str" cm="1">
        <f t="array" ref="H704">IFERROR(VLOOKUP(INPUT!M699&amp;INPUT!N699,CHOOSE({1,2},INPUT!$A$3:$A$5000&amp;INPUT!$C$3:$C$5000,INPUT!$D$3:$D$5000),2,FALSE),"")</f>
        <v>TEC-TAC</v>
      </c>
      <c r="I704" s="46">
        <f>IF(INPUT!P699="","",INPUT!P699)</f>
        <v>66.400000000000006</v>
      </c>
      <c r="J704" s="46">
        <f>IF(INPUT!Q699="","",INPUT!Q699)</f>
        <v>65.7</v>
      </c>
      <c r="K704" s="46">
        <f>IFERROR(IF(OR(INPUT!P699="",INPUT!Q699=""),"",INPUT!P699-INPUT!Q699),"")</f>
        <v>0.70000000000000284</v>
      </c>
      <c r="L704" s="48">
        <f>IFERROR(IF(OR(INPUT!P699="",INPUT!Q699="",INPUT!P699=0),"",(INPUT!P699-INPUT!Q699)/INPUT!P699),"")</f>
        <v>1.0542168674698838E-2</v>
      </c>
    </row>
    <row r="705" spans="1:12" ht="18" hidden="1" customHeight="1" x14ac:dyDescent="0.2">
      <c r="A705" s="11">
        <f>IF(INPUT!M700="","",INPUT!M700)</f>
        <v>45924</v>
      </c>
      <c r="B705" s="11">
        <f>IF(INPUT!M700="","",INPUT!M700-WEEKDAY(INPUT!M700,2)+1)</f>
        <v>45922</v>
      </c>
      <c r="C705" s="20">
        <f>IFERROR(_xlfn.ISOWEEKNUM(INPUT!M700),"")</f>
        <v>39</v>
      </c>
      <c r="D705" s="20">
        <f>IFERROR(YEAR(INPUT!M700),"")</f>
        <v>2025</v>
      </c>
      <c r="E705" t="str">
        <f>IF(INPUT!O700="","",INPUT!O700)</f>
        <v>GONZALO</v>
      </c>
      <c r="F705" t="str">
        <f>IF(INPUT!N700="","",INPUT!N700)</f>
        <v>T</v>
      </c>
      <c r="G705" t="str" cm="1">
        <f t="array" ref="G705">IFERROR(VLOOKUP(INPUT!M700&amp;INPUT!N700,CHOOSE({1,2},INPUT!$A$3:$A$5000&amp;INPUT!$C$3:$C$5000,INPUT!$F$3:$F$5000),2,FALSE),"")</f>
        <v>PRE-TEMPORADA</v>
      </c>
      <c r="H705" t="str" cm="1">
        <f t="array" ref="H705">IFERROR(VLOOKUP(INPUT!M700&amp;INPUT!N700,CHOOSE({1,2},INPUT!$A$3:$A$5000&amp;INPUT!$C$3:$C$5000,INPUT!$D$3:$D$5000),2,FALSE),"")</f>
        <v>TEC-TAC</v>
      </c>
      <c r="I705" s="46">
        <f>IF(INPUT!P700="","",INPUT!P700)</f>
        <v>83.6</v>
      </c>
      <c r="J705" s="46">
        <f>IF(INPUT!Q700="","",INPUT!Q700)</f>
        <v>83.4</v>
      </c>
      <c r="K705" s="46">
        <f>IFERROR(IF(OR(INPUT!P700="",INPUT!Q700=""),"",INPUT!P700-INPUT!Q700),"")</f>
        <v>0.19999999999998863</v>
      </c>
      <c r="L705" s="48">
        <f>IFERROR(IF(OR(INPUT!P700="",INPUT!Q700="",INPUT!P700=0),"",(INPUT!P700-INPUT!Q700)/INPUT!P700),"")</f>
        <v>2.3923444976075197E-3</v>
      </c>
    </row>
    <row r="706" spans="1:12" ht="18" hidden="1" customHeight="1" x14ac:dyDescent="0.2">
      <c r="A706" s="11">
        <f>IF(INPUT!M701="","",INPUT!M701)</f>
        <v>45924</v>
      </c>
      <c r="B706" s="11">
        <f>IF(INPUT!M701="","",INPUT!M701-WEEKDAY(INPUT!M701,2)+1)</f>
        <v>45922</v>
      </c>
      <c r="C706" s="20">
        <f>IFERROR(_xlfn.ISOWEEKNUM(INPUT!M701),"")</f>
        <v>39</v>
      </c>
      <c r="D706" s="20">
        <f>IFERROR(YEAR(INPUT!M701),"")</f>
        <v>2025</v>
      </c>
      <c r="E706" t="str">
        <f>IF(INPUT!O701="","",INPUT!O701)</f>
        <v>RUBIO</v>
      </c>
      <c r="F706" t="str">
        <f>IF(INPUT!N701="","",INPUT!N701)</f>
        <v>T</v>
      </c>
      <c r="G706" t="str" cm="1">
        <f t="array" ref="G706">IFERROR(VLOOKUP(INPUT!M701&amp;INPUT!N701,CHOOSE({1,2},INPUT!$A$3:$A$5000&amp;INPUT!$C$3:$C$5000,INPUT!$F$3:$F$5000),2,FALSE),"")</f>
        <v>PRE-TEMPORADA</v>
      </c>
      <c r="H706" t="str" cm="1">
        <f t="array" ref="H706">IFERROR(VLOOKUP(INPUT!M701&amp;INPUT!N701,CHOOSE({1,2},INPUT!$A$3:$A$5000&amp;INPUT!$C$3:$C$5000,INPUT!$D$3:$D$5000),2,FALSE),"")</f>
        <v>TEC-TAC</v>
      </c>
      <c r="I706" s="46">
        <f>IF(INPUT!P701="","",INPUT!P701)</f>
        <v>74.599999999999994</v>
      </c>
      <c r="J706" s="46">
        <f>IF(INPUT!Q701="","",INPUT!Q701)</f>
        <v>74.8</v>
      </c>
      <c r="K706" s="46">
        <f>IFERROR(IF(OR(INPUT!P701="",INPUT!Q701=""),"",INPUT!P701-INPUT!Q701),"")</f>
        <v>-0.20000000000000284</v>
      </c>
      <c r="L706" s="48">
        <f>IFERROR(IF(OR(INPUT!P701="",INPUT!Q701="",INPUT!P701=0),"",(INPUT!P701-INPUT!Q701)/INPUT!P701),"")</f>
        <v>-2.6809651474531213E-3</v>
      </c>
    </row>
    <row r="707" spans="1:12" ht="18" hidden="1" customHeight="1" x14ac:dyDescent="0.2">
      <c r="A707" s="11">
        <f>IF(INPUT!M702="","",INPUT!M702)</f>
        <v>45924</v>
      </c>
      <c r="B707" s="11">
        <f>IF(INPUT!M702="","",INPUT!M702-WEEKDAY(INPUT!M702,2)+1)</f>
        <v>45922</v>
      </c>
      <c r="C707" s="20">
        <f>IFERROR(_xlfn.ISOWEEKNUM(INPUT!M702),"")</f>
        <v>39</v>
      </c>
      <c r="D707" s="20">
        <f>IFERROR(YEAR(INPUT!M702),"")</f>
        <v>2025</v>
      </c>
      <c r="E707" t="str">
        <f>IF(INPUT!O702="","",INPUT!O702)</f>
        <v>DANI</v>
      </c>
      <c r="F707" t="str">
        <f>IF(INPUT!N702="","",INPUT!N702)</f>
        <v>T</v>
      </c>
      <c r="G707" t="str" cm="1">
        <f t="array" ref="G707">IFERROR(VLOOKUP(INPUT!M702&amp;INPUT!N702,CHOOSE({1,2},INPUT!$A$3:$A$5000&amp;INPUT!$C$3:$C$5000,INPUT!$F$3:$F$5000),2,FALSE),"")</f>
        <v>PRE-TEMPORADA</v>
      </c>
      <c r="H707" t="str" cm="1">
        <f t="array" ref="H707">IFERROR(VLOOKUP(INPUT!M702&amp;INPUT!N702,CHOOSE({1,2},INPUT!$A$3:$A$5000&amp;INPUT!$C$3:$C$5000,INPUT!$D$3:$D$5000),2,FALSE),"")</f>
        <v>TEC-TAC</v>
      </c>
      <c r="I707" s="46">
        <f>IF(INPUT!P702="","",INPUT!P702)</f>
        <v>93.2</v>
      </c>
      <c r="J707" s="46">
        <f>IF(INPUT!Q702="","",INPUT!Q702)</f>
        <v>92.2</v>
      </c>
      <c r="K707" s="46">
        <f>IFERROR(IF(OR(INPUT!P702="",INPUT!Q702=""),"",INPUT!P702-INPUT!Q702),"")</f>
        <v>1</v>
      </c>
      <c r="L707" s="48">
        <f>IFERROR(IF(OR(INPUT!P702="",INPUT!Q702="",INPUT!P702=0),"",(INPUT!P702-INPUT!Q702)/INPUT!P702),"")</f>
        <v>1.0729613733905579E-2</v>
      </c>
    </row>
    <row r="708" spans="1:12" ht="18" hidden="1" customHeight="1" x14ac:dyDescent="0.2">
      <c r="A708" s="11">
        <f>IF(INPUT!M703="","",INPUT!M703)</f>
        <v>45925</v>
      </c>
      <c r="B708" s="11">
        <f>IF(INPUT!M703="","",INPUT!M703-WEEKDAY(INPUT!M703,2)+1)</f>
        <v>45922</v>
      </c>
      <c r="C708" s="20">
        <f>IFERROR(_xlfn.ISOWEEKNUM(INPUT!M703),"")</f>
        <v>39</v>
      </c>
      <c r="D708" s="20">
        <f>IFERROR(YEAR(INPUT!M703),"")</f>
        <v>2025</v>
      </c>
      <c r="E708" t="str">
        <f>IF(INPUT!O703="","",INPUT!O703)</f>
        <v>HERRERO</v>
      </c>
      <c r="F708" t="str">
        <f>IF(INPUT!N703="","",INPUT!N703)</f>
        <v>M</v>
      </c>
      <c r="G708" t="str" cm="1">
        <f t="array" ref="G708">IFERROR(VLOOKUP(INPUT!M703&amp;INPUT!N703,CHOOSE({1,2},INPUT!$A$3:$A$5000&amp;INPUT!$C$3:$C$5000,INPUT!$F$3:$F$5000),2,FALSE),"")</f>
        <v>PRE-TEMPORADA</v>
      </c>
      <c r="H708" t="str" cm="1">
        <f t="array" ref="H708">IFERROR(VLOOKUP(INPUT!M703&amp;INPUT!N703,CHOOSE({1,2},INPUT!$A$3:$A$5000&amp;INPUT!$C$3:$C$5000,INPUT!$D$3:$D$5000),2,FALSE),"")</f>
        <v>TEC-TAC</v>
      </c>
      <c r="I708" s="46">
        <f>IF(INPUT!P703="","",INPUT!P703)</f>
        <v>77</v>
      </c>
      <c r="J708" s="46">
        <f>IF(INPUT!Q703="","",INPUT!Q703)</f>
        <v>77</v>
      </c>
      <c r="K708" s="46">
        <f>IFERROR(IF(OR(INPUT!P703="",INPUT!Q703=""),"",INPUT!P703-INPUT!Q703),"")</f>
        <v>0</v>
      </c>
      <c r="L708" s="48">
        <f>IFERROR(IF(OR(INPUT!P703="",INPUT!Q703="",INPUT!P703=0),"",(INPUT!P703-INPUT!Q703)/INPUT!P703),"")</f>
        <v>0</v>
      </c>
    </row>
    <row r="709" spans="1:12" ht="18" hidden="1" customHeight="1" x14ac:dyDescent="0.2">
      <c r="A709" s="11">
        <f>IF(INPUT!M704="","",INPUT!M704)</f>
        <v>45925</v>
      </c>
      <c r="B709" s="11">
        <f>IF(INPUT!M704="","",INPUT!M704-WEEKDAY(INPUT!M704,2)+1)</f>
        <v>45922</v>
      </c>
      <c r="C709" s="20">
        <f>IFERROR(_xlfn.ISOWEEKNUM(INPUT!M704),"")</f>
        <v>39</v>
      </c>
      <c r="D709" s="20">
        <f>IFERROR(YEAR(INPUT!M704),"")</f>
        <v>2025</v>
      </c>
      <c r="E709" t="str">
        <f>IF(INPUT!O704="","",INPUT!O704)</f>
        <v>GARCIA</v>
      </c>
      <c r="F709" t="str">
        <f>IF(INPUT!N704="","",INPUT!N704)</f>
        <v>M</v>
      </c>
      <c r="G709" t="str" cm="1">
        <f t="array" ref="G709">IFERROR(VLOOKUP(INPUT!M704&amp;INPUT!N704,CHOOSE({1,2},INPUT!$A$3:$A$5000&amp;INPUT!$C$3:$C$5000,INPUT!$F$3:$F$5000),2,FALSE),"")</f>
        <v>PRE-TEMPORADA</v>
      </c>
      <c r="H709" t="str" cm="1">
        <f t="array" ref="H709">IFERROR(VLOOKUP(INPUT!M704&amp;INPUT!N704,CHOOSE({1,2},INPUT!$A$3:$A$5000&amp;INPUT!$C$3:$C$5000,INPUT!$D$3:$D$5000),2,FALSE),"")</f>
        <v>TEC-TAC</v>
      </c>
      <c r="I709" s="46">
        <f>IF(INPUT!P704="","",INPUT!P704)</f>
        <v>79.5</v>
      </c>
      <c r="J709" s="46">
        <f>IF(INPUT!Q704="","",INPUT!Q704)</f>
        <v>79</v>
      </c>
      <c r="K709" s="46">
        <f>IFERROR(IF(OR(INPUT!P704="",INPUT!Q704=""),"",INPUT!P704-INPUT!Q704),"")</f>
        <v>0.5</v>
      </c>
      <c r="L709" s="48">
        <f>IFERROR(IF(OR(INPUT!P704="",INPUT!Q704="",INPUT!P704=0),"",(INPUT!P704-INPUT!Q704)/INPUT!P704),"")</f>
        <v>6.2893081761006293E-3</v>
      </c>
    </row>
    <row r="710" spans="1:12" ht="18" hidden="1" customHeight="1" x14ac:dyDescent="0.2">
      <c r="A710" s="11">
        <f>IF(INPUT!M705="","",INPUT!M705)</f>
        <v>45925</v>
      </c>
      <c r="B710" s="11">
        <f>IF(INPUT!M705="","",INPUT!M705-WEEKDAY(INPUT!M705,2)+1)</f>
        <v>45922</v>
      </c>
      <c r="C710" s="20">
        <f>IFERROR(_xlfn.ISOWEEKNUM(INPUT!M705),"")</f>
        <v>39</v>
      </c>
      <c r="D710" s="20">
        <f>IFERROR(YEAR(INPUT!M705),"")</f>
        <v>2025</v>
      </c>
      <c r="E710" t="str">
        <f>IF(INPUT!O705="","",INPUT!O705)</f>
        <v>CECILIO</v>
      </c>
      <c r="F710" t="str">
        <f>IF(INPUT!N705="","",INPUT!N705)</f>
        <v>M</v>
      </c>
      <c r="G710" t="str" cm="1">
        <f t="array" ref="G710">IFERROR(VLOOKUP(INPUT!M705&amp;INPUT!N705,CHOOSE({1,2},INPUT!$A$3:$A$5000&amp;INPUT!$C$3:$C$5000,INPUT!$F$3:$F$5000),2,FALSE),"")</f>
        <v>PRE-TEMPORADA</v>
      </c>
      <c r="H710" t="str" cm="1">
        <f t="array" ref="H710">IFERROR(VLOOKUP(INPUT!M705&amp;INPUT!N705,CHOOSE({1,2},INPUT!$A$3:$A$5000&amp;INPUT!$C$3:$C$5000,INPUT!$D$3:$D$5000),2,FALSE),"")</f>
        <v>TEC-TAC</v>
      </c>
      <c r="I710" s="46">
        <f>IF(INPUT!P705="","",INPUT!P705)</f>
        <v>68.2</v>
      </c>
      <c r="J710" s="46">
        <f>IF(INPUT!Q705="","",INPUT!Q705)</f>
        <v>68</v>
      </c>
      <c r="K710" s="46">
        <f>IFERROR(IF(OR(INPUT!P705="",INPUT!Q705=""),"",INPUT!P705-INPUT!Q705),"")</f>
        <v>0.20000000000000284</v>
      </c>
      <c r="L710" s="48">
        <f>IFERROR(IF(OR(INPUT!P705="",INPUT!Q705="",INPUT!P705=0),"",(INPUT!P705-INPUT!Q705)/INPUT!P705),"")</f>
        <v>2.9325513196481355E-3</v>
      </c>
    </row>
    <row r="711" spans="1:12" ht="18" hidden="1" customHeight="1" x14ac:dyDescent="0.2">
      <c r="A711" s="11">
        <f>IF(INPUT!M706="","",INPUT!M706)</f>
        <v>45925</v>
      </c>
      <c r="B711" s="11">
        <f>IF(INPUT!M706="","",INPUT!M706-WEEKDAY(INPUT!M706,2)+1)</f>
        <v>45922</v>
      </c>
      <c r="C711" s="20">
        <f>IFERROR(_xlfn.ISOWEEKNUM(INPUT!M706),"")</f>
        <v>39</v>
      </c>
      <c r="D711" s="20">
        <f>IFERROR(YEAR(INPUT!M706),"")</f>
        <v>2025</v>
      </c>
      <c r="E711" t="str">
        <f>IF(INPUT!O706="","",INPUT!O706)</f>
        <v>CHAGUINHA</v>
      </c>
      <c r="F711" t="str">
        <f>IF(INPUT!N706="","",INPUT!N706)</f>
        <v>M</v>
      </c>
      <c r="G711" t="str" cm="1">
        <f t="array" ref="G711">IFERROR(VLOOKUP(INPUT!M706&amp;INPUT!N706,CHOOSE({1,2},INPUT!$A$3:$A$5000&amp;INPUT!$C$3:$C$5000,INPUT!$F$3:$F$5000),2,FALSE),"")</f>
        <v>PRE-TEMPORADA</v>
      </c>
      <c r="H711" t="str" cm="1">
        <f t="array" ref="H711">IFERROR(VLOOKUP(INPUT!M706&amp;INPUT!N706,CHOOSE({1,2},INPUT!$A$3:$A$5000&amp;INPUT!$C$3:$C$5000,INPUT!$D$3:$D$5000),2,FALSE),"")</f>
        <v>TEC-TAC</v>
      </c>
      <c r="I711" s="46">
        <f>IF(INPUT!P706="","",INPUT!P706)</f>
        <v>68.7</v>
      </c>
      <c r="J711" s="46">
        <f>IF(INPUT!Q706="","",INPUT!Q706)</f>
        <v>68</v>
      </c>
      <c r="K711" s="46">
        <f>IFERROR(IF(OR(INPUT!P706="",INPUT!Q706=""),"",INPUT!P706-INPUT!Q706),"")</f>
        <v>0.70000000000000284</v>
      </c>
      <c r="L711" s="48">
        <f>IFERROR(IF(OR(INPUT!P706="",INPUT!Q706="",INPUT!P706=0),"",(INPUT!P706-INPUT!Q706)/INPUT!P706),"")</f>
        <v>1.0189228529839925E-2</v>
      </c>
    </row>
    <row r="712" spans="1:12" ht="18" hidden="1" customHeight="1" x14ac:dyDescent="0.2">
      <c r="A712" s="11">
        <f>IF(INPUT!M707="","",INPUT!M707)</f>
        <v>45925</v>
      </c>
      <c r="B712" s="11">
        <f>IF(INPUT!M707="","",INPUT!M707-WEEKDAY(INPUT!M707,2)+1)</f>
        <v>45922</v>
      </c>
      <c r="C712" s="20">
        <f>IFERROR(_xlfn.ISOWEEKNUM(INPUT!M707),"")</f>
        <v>39</v>
      </c>
      <c r="D712" s="20">
        <f>IFERROR(YEAR(INPUT!M707),"")</f>
        <v>2025</v>
      </c>
      <c r="E712" t="str">
        <f>IF(INPUT!O707="","",INPUT!O707)</f>
        <v>RAUL</v>
      </c>
      <c r="F712" t="str">
        <f>IF(INPUT!N707="","",INPUT!N707)</f>
        <v>M</v>
      </c>
      <c r="G712" t="str" cm="1">
        <f t="array" ref="G712">IFERROR(VLOOKUP(INPUT!M707&amp;INPUT!N707,CHOOSE({1,2},INPUT!$A$3:$A$5000&amp;INPUT!$C$3:$C$5000,INPUT!$F$3:$F$5000),2,FALSE),"")</f>
        <v>PRE-TEMPORADA</v>
      </c>
      <c r="H712" t="str" cm="1">
        <f t="array" ref="H712">IFERROR(VLOOKUP(INPUT!M707&amp;INPUT!N707,CHOOSE({1,2},INPUT!$A$3:$A$5000&amp;INPUT!$C$3:$C$5000,INPUT!$D$3:$D$5000),2,FALSE),"")</f>
        <v>TEC-TAC</v>
      </c>
      <c r="I712" s="46">
        <f>IF(INPUT!P707="","",INPUT!P707)</f>
        <v>80.099999999999994</v>
      </c>
      <c r="J712" s="46">
        <f>IF(INPUT!Q707="","",INPUT!Q707)</f>
        <v>80.599999999999994</v>
      </c>
      <c r="K712" s="46">
        <f>IFERROR(IF(OR(INPUT!P707="",INPUT!Q707=""),"",INPUT!P707-INPUT!Q707),"")</f>
        <v>-0.5</v>
      </c>
      <c r="L712" s="48">
        <f>IFERROR(IF(OR(INPUT!P707="",INPUT!Q707="",INPUT!P707=0),"",(INPUT!P707-INPUT!Q707)/INPUT!P707),"")</f>
        <v>-6.242197253433209E-3</v>
      </c>
    </row>
    <row r="713" spans="1:12" ht="18" hidden="1" customHeight="1" x14ac:dyDescent="0.2">
      <c r="A713" s="11">
        <f>IF(INPUT!M708="","",INPUT!M708)</f>
        <v>45925</v>
      </c>
      <c r="B713" s="11">
        <f>IF(INPUT!M708="","",INPUT!M708-WEEKDAY(INPUT!M708,2)+1)</f>
        <v>45922</v>
      </c>
      <c r="C713" s="20">
        <f>IFERROR(_xlfn.ISOWEEKNUM(INPUT!M708),"")</f>
        <v>39</v>
      </c>
      <c r="D713" s="20">
        <f>IFERROR(YEAR(INPUT!M708),"")</f>
        <v>2025</v>
      </c>
      <c r="E713" t="str">
        <f>IF(INPUT!O708="","",INPUT!O708)</f>
        <v>HARRISON</v>
      </c>
      <c r="F713" t="str">
        <f>IF(INPUT!N708="","",INPUT!N708)</f>
        <v>M</v>
      </c>
      <c r="G713" t="str" cm="1">
        <f t="array" ref="G713">IFERROR(VLOOKUP(INPUT!M708&amp;INPUT!N708,CHOOSE({1,2},INPUT!$A$3:$A$5000&amp;INPUT!$C$3:$C$5000,INPUT!$F$3:$F$5000),2,FALSE),"")</f>
        <v>PRE-TEMPORADA</v>
      </c>
      <c r="H713" t="str" cm="1">
        <f t="array" ref="H713">IFERROR(VLOOKUP(INPUT!M708&amp;INPUT!N708,CHOOSE({1,2},INPUT!$A$3:$A$5000&amp;INPUT!$C$3:$C$5000,INPUT!$D$3:$D$5000),2,FALSE),"")</f>
        <v>TEC-TAC</v>
      </c>
      <c r="I713" s="46">
        <f>IF(INPUT!P708="","",INPUT!P708)</f>
        <v>70.8</v>
      </c>
      <c r="J713" s="46">
        <f>IF(INPUT!Q708="","",INPUT!Q708)</f>
        <v>70.7</v>
      </c>
      <c r="K713" s="46">
        <f>IFERROR(IF(OR(INPUT!P708="",INPUT!Q708=""),"",INPUT!P708-INPUT!Q708),"")</f>
        <v>9.9999999999994316E-2</v>
      </c>
      <c r="L713" s="48">
        <f>IFERROR(IF(OR(INPUT!P708="",INPUT!Q708="",INPUT!P708=0),"",(INPUT!P708-INPUT!Q708)/INPUT!P708),"")</f>
        <v>1.4124293785309932E-3</v>
      </c>
    </row>
    <row r="714" spans="1:12" ht="18" hidden="1" customHeight="1" x14ac:dyDescent="0.2">
      <c r="A714" s="11">
        <f>IF(INPUT!M709="","",INPUT!M709)</f>
        <v>45925</v>
      </c>
      <c r="B714" s="11">
        <f>IF(INPUT!M709="","",INPUT!M709-WEEKDAY(INPUT!M709,2)+1)</f>
        <v>45922</v>
      </c>
      <c r="C714" s="20">
        <f>IFERROR(_xlfn.ISOWEEKNUM(INPUT!M709),"")</f>
        <v>39</v>
      </c>
      <c r="D714" s="20">
        <f>IFERROR(YEAR(INPUT!M709),"")</f>
        <v>2025</v>
      </c>
      <c r="E714" t="str">
        <f>IF(INPUT!O709="","",INPUT!O709)</f>
        <v>RAYA</v>
      </c>
      <c r="F714" t="str">
        <f>IF(INPUT!N709="","",INPUT!N709)</f>
        <v>M</v>
      </c>
      <c r="G714" t="str" cm="1">
        <f t="array" ref="G714">IFERROR(VLOOKUP(INPUT!M709&amp;INPUT!N709,CHOOSE({1,2},INPUT!$A$3:$A$5000&amp;INPUT!$C$3:$C$5000,INPUT!$F$3:$F$5000),2,FALSE),"")</f>
        <v>PRE-TEMPORADA</v>
      </c>
      <c r="H714" t="str" cm="1">
        <f t="array" ref="H714">IFERROR(VLOOKUP(INPUT!M709&amp;INPUT!N709,CHOOSE({1,2},INPUT!$A$3:$A$5000&amp;INPUT!$C$3:$C$5000,INPUT!$D$3:$D$5000),2,FALSE),"")</f>
        <v>TEC-TAC</v>
      </c>
      <c r="I714" s="46">
        <f>IF(INPUT!P709="","",INPUT!P709)</f>
        <v>81.7</v>
      </c>
      <c r="J714" s="46">
        <f>IF(INPUT!Q709="","",INPUT!Q709)</f>
        <v>80.400000000000006</v>
      </c>
      <c r="K714" s="46">
        <f>IFERROR(IF(OR(INPUT!P709="",INPUT!Q709=""),"",INPUT!P709-INPUT!Q709),"")</f>
        <v>1.2999999999999972</v>
      </c>
      <c r="L714" s="48">
        <f>IFERROR(IF(OR(INPUT!P709="",INPUT!Q709="",INPUT!P709=0),"",(INPUT!P709-INPUT!Q709)/INPUT!P709),"")</f>
        <v>1.5911872705018325E-2</v>
      </c>
    </row>
    <row r="715" spans="1:12" ht="18" hidden="1" customHeight="1" x14ac:dyDescent="0.2">
      <c r="A715" s="11">
        <f>IF(INPUT!M710="","",INPUT!M710)</f>
        <v>45925</v>
      </c>
      <c r="B715" s="11">
        <f>IF(INPUT!M710="","",INPUT!M710-WEEKDAY(INPUT!M710,2)+1)</f>
        <v>45922</v>
      </c>
      <c r="C715" s="20">
        <f>IFERROR(_xlfn.ISOWEEKNUM(INPUT!M710),"")</f>
        <v>39</v>
      </c>
      <c r="D715" s="20">
        <f>IFERROR(YEAR(INPUT!M710),"")</f>
        <v>2025</v>
      </c>
      <c r="E715" t="str">
        <f>IF(INPUT!O710="","",INPUT!O710)</f>
        <v>JAVI</v>
      </c>
      <c r="F715" t="str">
        <f>IF(INPUT!N710="","",INPUT!N710)</f>
        <v>M</v>
      </c>
      <c r="G715" t="str" cm="1">
        <f t="array" ref="G715">IFERROR(VLOOKUP(INPUT!M710&amp;INPUT!N710,CHOOSE({1,2},INPUT!$A$3:$A$5000&amp;INPUT!$C$3:$C$5000,INPUT!$F$3:$F$5000),2,FALSE),"")</f>
        <v>PRE-TEMPORADA</v>
      </c>
      <c r="H715" t="str" cm="1">
        <f t="array" ref="H715">IFERROR(VLOOKUP(INPUT!M710&amp;INPUT!N710,CHOOSE({1,2},INPUT!$A$3:$A$5000&amp;INPUT!$C$3:$C$5000,INPUT!$D$3:$D$5000),2,FALSE),"")</f>
        <v>TEC-TAC</v>
      </c>
      <c r="I715" s="46">
        <f>IF(INPUT!P710="","",INPUT!P710)</f>
        <v>80.7</v>
      </c>
      <c r="J715" s="46">
        <f>IF(INPUT!Q710="","",INPUT!Q710)</f>
        <v>80.400000000000006</v>
      </c>
      <c r="K715" s="46">
        <f>IFERROR(IF(OR(INPUT!P710="",INPUT!Q710=""),"",INPUT!P710-INPUT!Q710),"")</f>
        <v>0.29999999999999716</v>
      </c>
      <c r="L715" s="48">
        <f>IFERROR(IF(OR(INPUT!P710="",INPUT!Q710="",INPUT!P710=0),"",(INPUT!P710-INPUT!Q710)/INPUT!P710),"")</f>
        <v>3.7174721189590725E-3</v>
      </c>
    </row>
    <row r="716" spans="1:12" ht="18" hidden="1" customHeight="1" x14ac:dyDescent="0.2">
      <c r="A716" s="11">
        <f>IF(INPUT!M711="","",INPUT!M711)</f>
        <v>45925</v>
      </c>
      <c r="B716" s="11">
        <f>IF(INPUT!M711="","",INPUT!M711-WEEKDAY(INPUT!M711,2)+1)</f>
        <v>45922</v>
      </c>
      <c r="C716" s="20">
        <f>IFERROR(_xlfn.ISOWEEKNUM(INPUT!M711),"")</f>
        <v>39</v>
      </c>
      <c r="D716" s="20">
        <f>IFERROR(YEAR(INPUT!M711),"")</f>
        <v>2025</v>
      </c>
      <c r="E716" t="str">
        <f>IF(INPUT!O711="","",INPUT!O711)</f>
        <v>PANI</v>
      </c>
      <c r="F716" t="str">
        <f>IF(INPUT!N711="","",INPUT!N711)</f>
        <v>M</v>
      </c>
      <c r="G716" t="str" cm="1">
        <f t="array" ref="G716">IFERROR(VLOOKUP(INPUT!M711&amp;INPUT!N711,CHOOSE({1,2},INPUT!$A$3:$A$5000&amp;INPUT!$C$3:$C$5000,INPUT!$F$3:$F$5000),2,FALSE),"")</f>
        <v>PRE-TEMPORADA</v>
      </c>
      <c r="H716" t="str" cm="1">
        <f t="array" ref="H716">IFERROR(VLOOKUP(INPUT!M711&amp;INPUT!N711,CHOOSE({1,2},INPUT!$A$3:$A$5000&amp;INPUT!$C$3:$C$5000,INPUT!$D$3:$D$5000),2,FALSE),"")</f>
        <v>TEC-TAC</v>
      </c>
      <c r="I716" s="46">
        <f>IF(INPUT!P711="","",INPUT!P711)</f>
        <v>71.8</v>
      </c>
      <c r="J716" s="46">
        <f>IF(INPUT!Q711="","",INPUT!Q711)</f>
        <v>71.5</v>
      </c>
      <c r="K716" s="46">
        <f>IFERROR(IF(OR(INPUT!P711="",INPUT!Q711=""),"",INPUT!P711-INPUT!Q711),"")</f>
        <v>0.29999999999999716</v>
      </c>
      <c r="L716" s="48">
        <f>IFERROR(IF(OR(INPUT!P711="",INPUT!Q711="",INPUT!P711=0),"",(INPUT!P711-INPUT!Q711)/INPUT!P711),"")</f>
        <v>4.1782729805013531E-3</v>
      </c>
    </row>
    <row r="717" spans="1:12" ht="18" hidden="1" customHeight="1" x14ac:dyDescent="0.2">
      <c r="A717" s="11">
        <f>IF(INPUT!M712="","",INPUT!M712)</f>
        <v>45925</v>
      </c>
      <c r="B717" s="11">
        <f>IF(INPUT!M712="","",INPUT!M712-WEEKDAY(INPUT!M712,2)+1)</f>
        <v>45922</v>
      </c>
      <c r="C717" s="20">
        <f>IFERROR(_xlfn.ISOWEEKNUM(INPUT!M712),"")</f>
        <v>39</v>
      </c>
      <c r="D717" s="20">
        <f>IFERROR(YEAR(INPUT!M712),"")</f>
        <v>2025</v>
      </c>
      <c r="E717" t="str">
        <f>IF(INPUT!O712="","",INPUT!O712)</f>
        <v>PIRATA</v>
      </c>
      <c r="F717" t="str">
        <f>IF(INPUT!N712="","",INPUT!N712)</f>
        <v>M</v>
      </c>
      <c r="G717" t="str" cm="1">
        <f t="array" ref="G717">IFERROR(VLOOKUP(INPUT!M712&amp;INPUT!N712,CHOOSE({1,2},INPUT!$A$3:$A$5000&amp;INPUT!$C$3:$C$5000,INPUT!$F$3:$F$5000),2,FALSE),"")</f>
        <v>PRE-TEMPORADA</v>
      </c>
      <c r="H717" t="str" cm="1">
        <f t="array" ref="H717">IFERROR(VLOOKUP(INPUT!M712&amp;INPUT!N712,CHOOSE({1,2},INPUT!$A$3:$A$5000&amp;INPUT!$C$3:$C$5000,INPUT!$D$3:$D$5000),2,FALSE),"")</f>
        <v>TEC-TAC</v>
      </c>
      <c r="I717" s="46">
        <f>IF(INPUT!P712="","",INPUT!P712)</f>
        <v>75.2</v>
      </c>
      <c r="J717" s="46">
        <f>IF(INPUT!Q712="","",INPUT!Q712)</f>
        <v>75.099999999999994</v>
      </c>
      <c r="K717" s="46">
        <f>IFERROR(IF(OR(INPUT!P712="",INPUT!Q712=""),"",INPUT!P712-INPUT!Q712),"")</f>
        <v>0.10000000000000853</v>
      </c>
      <c r="L717" s="48">
        <f>IFERROR(IF(OR(INPUT!P712="",INPUT!Q712="",INPUT!P712=0),"",(INPUT!P712-INPUT!Q712)/INPUT!P712),"")</f>
        <v>1.3297872340426666E-3</v>
      </c>
    </row>
    <row r="718" spans="1:12" ht="18" customHeight="1" x14ac:dyDescent="0.2">
      <c r="A718" s="11">
        <f>IF(INPUT!M713="","",INPUT!M713)</f>
        <v>45925</v>
      </c>
      <c r="B718" s="11">
        <f>IF(INPUT!M713="","",INPUT!M713-WEEKDAY(INPUT!M713,2)+1)</f>
        <v>45922</v>
      </c>
      <c r="C718" s="20">
        <f>IFERROR(_xlfn.ISOWEEKNUM(INPUT!M713),"")</f>
        <v>39</v>
      </c>
      <c r="D718" s="20">
        <f>IFERROR(YEAR(INPUT!M713),"")</f>
        <v>2025</v>
      </c>
      <c r="E718" t="str">
        <f>IF(INPUT!O713="","",INPUT!O713)</f>
        <v>BARONA</v>
      </c>
      <c r="F718" t="str">
        <f>IF(INPUT!N713="","",INPUT!N713)</f>
        <v>M</v>
      </c>
      <c r="G718" t="str" cm="1">
        <f t="array" ref="G718">IFERROR(VLOOKUP(INPUT!M713&amp;INPUT!N713,CHOOSE({1,2},INPUT!$A$3:$A$5000&amp;INPUT!$C$3:$C$5000,INPUT!$F$3:$F$5000),2,FALSE),"")</f>
        <v>PRE-TEMPORADA</v>
      </c>
      <c r="H718" t="str" cm="1">
        <f t="array" ref="H718">IFERROR(VLOOKUP(INPUT!M713&amp;INPUT!N713,CHOOSE({1,2},INPUT!$A$3:$A$5000&amp;INPUT!$C$3:$C$5000,INPUT!$D$3:$D$5000),2,FALSE),"")</f>
        <v>TEC-TAC</v>
      </c>
      <c r="I718" s="46">
        <f>IF(INPUT!P713="","",INPUT!P713)</f>
        <v>70.3</v>
      </c>
      <c r="J718" s="46">
        <f>IF(INPUT!Q713="","",INPUT!Q713)</f>
        <v>70</v>
      </c>
      <c r="K718" s="46">
        <f>IFERROR(IF(OR(INPUT!P713="",INPUT!Q713=""),"",INPUT!P713-INPUT!Q713),"")</f>
        <v>0.29999999999999716</v>
      </c>
      <c r="L718" s="48">
        <f>IFERROR(IF(OR(INPUT!P713="",INPUT!Q713="",INPUT!P713=0),"",(INPUT!P713-INPUT!Q713)/INPUT!P713),"")</f>
        <v>4.2674253200568587E-3</v>
      </c>
    </row>
    <row r="719" spans="1:12" ht="18" customHeight="1" x14ac:dyDescent="0.2">
      <c r="A719" s="11">
        <f>IF(INPUT!M714="","",INPUT!M714)</f>
        <v>45925</v>
      </c>
      <c r="B719" s="11">
        <f>IF(INPUT!M714="","",INPUT!M714-WEEKDAY(INPUT!M714,2)+1)</f>
        <v>45922</v>
      </c>
      <c r="C719" s="20">
        <f>IFERROR(_xlfn.ISOWEEKNUM(INPUT!M714),"")</f>
        <v>39</v>
      </c>
      <c r="D719" s="20">
        <f>IFERROR(YEAR(INPUT!M714),"")</f>
        <v>2025</v>
      </c>
      <c r="E719" t="str">
        <f>IF(INPUT!O714="","",INPUT!O714)</f>
        <v>CARLOS</v>
      </c>
      <c r="F719" t="str">
        <f>IF(INPUT!N714="","",INPUT!N714)</f>
        <v>M</v>
      </c>
      <c r="G719" t="str" cm="1">
        <f t="array" ref="G719">IFERROR(VLOOKUP(INPUT!M714&amp;INPUT!N714,CHOOSE({1,2},INPUT!$A$3:$A$5000&amp;INPUT!$C$3:$C$5000,INPUT!$F$3:$F$5000),2,FALSE),"")</f>
        <v>PRE-TEMPORADA</v>
      </c>
      <c r="H719" t="str" cm="1">
        <f t="array" ref="H719">IFERROR(VLOOKUP(INPUT!M714&amp;INPUT!N714,CHOOSE({1,2},INPUT!$A$3:$A$5000&amp;INPUT!$C$3:$C$5000,INPUT!$D$3:$D$5000),2,FALSE),"")</f>
        <v>TEC-TAC</v>
      </c>
      <c r="I719" s="46">
        <f>IF(INPUT!P714="","",INPUT!P714)</f>
        <v>66.400000000000006</v>
      </c>
      <c r="J719" s="46">
        <f>IF(INPUT!Q714="","",INPUT!Q714)</f>
        <v>66.400000000000006</v>
      </c>
      <c r="K719" s="46">
        <f>IFERROR(IF(OR(INPUT!P714="",INPUT!Q714=""),"",INPUT!P714-INPUT!Q714),"")</f>
        <v>0</v>
      </c>
      <c r="L719" s="48">
        <f>IFERROR(IF(OR(INPUT!P714="",INPUT!Q714="",INPUT!P714=0),"",(INPUT!P714-INPUT!Q714)/INPUT!P714),"")</f>
        <v>0</v>
      </c>
    </row>
    <row r="720" spans="1:12" ht="18" customHeight="1" x14ac:dyDescent="0.2">
      <c r="A720" s="11">
        <f>IF(INPUT!M715="","",INPUT!M715)</f>
        <v>45925</v>
      </c>
      <c r="B720" s="11">
        <f>IF(INPUT!M715="","",INPUT!M715-WEEKDAY(INPUT!M715,2)+1)</f>
        <v>45922</v>
      </c>
      <c r="C720" s="20">
        <f>IFERROR(_xlfn.ISOWEEKNUM(INPUT!M715),"")</f>
        <v>39</v>
      </c>
      <c r="D720" s="20">
        <f>IFERROR(YEAR(INPUT!M715),"")</f>
        <v>2025</v>
      </c>
      <c r="E720" t="str">
        <f>IF(INPUT!O715="","",INPUT!O715)</f>
        <v>GONZALO</v>
      </c>
      <c r="F720" t="str">
        <f>IF(INPUT!N715="","",INPUT!N715)</f>
        <v>M</v>
      </c>
      <c r="G720" t="str" cm="1">
        <f t="array" ref="G720">IFERROR(VLOOKUP(INPUT!M715&amp;INPUT!N715,CHOOSE({1,2},INPUT!$A$3:$A$5000&amp;INPUT!$C$3:$C$5000,INPUT!$F$3:$F$5000),2,FALSE),"")</f>
        <v>PRE-TEMPORADA</v>
      </c>
      <c r="H720" t="str" cm="1">
        <f t="array" ref="H720">IFERROR(VLOOKUP(INPUT!M715&amp;INPUT!N715,CHOOSE({1,2},INPUT!$A$3:$A$5000&amp;INPUT!$C$3:$C$5000,INPUT!$D$3:$D$5000),2,FALSE),"")</f>
        <v>TEC-TAC</v>
      </c>
      <c r="I720" s="46">
        <f>IF(INPUT!P715="","",INPUT!P715)</f>
        <v>83.8</v>
      </c>
      <c r="J720" s="46">
        <f>IF(INPUT!Q715="","",INPUT!Q715)</f>
        <v>84</v>
      </c>
      <c r="K720" s="46">
        <f>IFERROR(IF(OR(INPUT!P715="",INPUT!Q715=""),"",INPUT!P715-INPUT!Q715),"")</f>
        <v>-0.20000000000000284</v>
      </c>
      <c r="L720" s="48">
        <f>IFERROR(IF(OR(INPUT!P715="",INPUT!Q715="",INPUT!P715=0),"",(INPUT!P715-INPUT!Q715)/INPUT!P715),"")</f>
        <v>-2.386634844868769E-3</v>
      </c>
    </row>
    <row r="721" spans="1:12" ht="18" customHeight="1" x14ac:dyDescent="0.2">
      <c r="A721" s="11">
        <f>IF(INPUT!M716="","",INPUT!M716)</f>
        <v>45925</v>
      </c>
      <c r="B721" s="11">
        <f>IF(INPUT!M716="","",INPUT!M716-WEEKDAY(INPUT!M716,2)+1)</f>
        <v>45922</v>
      </c>
      <c r="C721" s="20">
        <f>IFERROR(_xlfn.ISOWEEKNUM(INPUT!M716),"")</f>
        <v>39</v>
      </c>
      <c r="D721" s="20">
        <f>IFERROR(YEAR(INPUT!M716),"")</f>
        <v>2025</v>
      </c>
      <c r="E721" t="str">
        <f>IF(INPUT!O716="","",INPUT!O716)</f>
        <v>RUBIO</v>
      </c>
      <c r="F721" t="str">
        <f>IF(INPUT!N716="","",INPUT!N716)</f>
        <v>M</v>
      </c>
      <c r="G721" t="str" cm="1">
        <f t="array" ref="G721">IFERROR(VLOOKUP(INPUT!M716&amp;INPUT!N716,CHOOSE({1,2},INPUT!$A$3:$A$5000&amp;INPUT!$C$3:$C$5000,INPUT!$F$3:$F$5000),2,FALSE),"")</f>
        <v>PRE-TEMPORADA</v>
      </c>
      <c r="H721" t="str" cm="1">
        <f t="array" ref="H721">IFERROR(VLOOKUP(INPUT!M716&amp;INPUT!N716,CHOOSE({1,2},INPUT!$A$3:$A$5000&amp;INPUT!$C$3:$C$5000,INPUT!$D$3:$D$5000),2,FALSE),"")</f>
        <v>TEC-TAC</v>
      </c>
      <c r="I721" s="46">
        <f>IF(INPUT!P716="","",INPUT!P716)</f>
        <v>74</v>
      </c>
      <c r="J721" s="46">
        <f>IF(INPUT!Q716="","",INPUT!Q716)</f>
        <v>74</v>
      </c>
      <c r="K721" s="46">
        <f>IFERROR(IF(OR(INPUT!P716="",INPUT!Q716=""),"",INPUT!P716-INPUT!Q716),"")</f>
        <v>0</v>
      </c>
      <c r="L721" s="48">
        <f>IFERROR(IF(OR(INPUT!P716="",INPUT!Q716="",INPUT!P716=0),"",(INPUT!P716-INPUT!Q716)/INPUT!P716),"")</f>
        <v>0</v>
      </c>
    </row>
    <row r="722" spans="1:12" ht="18" customHeight="1" x14ac:dyDescent="0.2">
      <c r="A722" s="11">
        <f>IF(INPUT!M717="","",INPUT!M717)</f>
        <v>45925</v>
      </c>
      <c r="B722" s="11">
        <f>IF(INPUT!M717="","",INPUT!M717-WEEKDAY(INPUT!M717,2)+1)</f>
        <v>45922</v>
      </c>
      <c r="C722" s="20">
        <f>IFERROR(_xlfn.ISOWEEKNUM(INPUT!M717),"")</f>
        <v>39</v>
      </c>
      <c r="D722" s="20">
        <f>IFERROR(YEAR(INPUT!M717),"")</f>
        <v>2025</v>
      </c>
      <c r="E722" t="str">
        <f>IF(INPUT!O717="","",INPUT!O717)</f>
        <v>DANI</v>
      </c>
      <c r="F722" t="str">
        <f>IF(INPUT!N717="","",INPUT!N717)</f>
        <v>M</v>
      </c>
      <c r="G722" t="str" cm="1">
        <f t="array" ref="G722">IFERROR(VLOOKUP(INPUT!M717&amp;INPUT!N717,CHOOSE({1,2},INPUT!$A$3:$A$5000&amp;INPUT!$C$3:$C$5000,INPUT!$F$3:$F$5000),2,FALSE),"")</f>
        <v>PRE-TEMPORADA</v>
      </c>
      <c r="H722" t="str" cm="1">
        <f t="array" ref="H722">IFERROR(VLOOKUP(INPUT!M717&amp;INPUT!N717,CHOOSE({1,2},INPUT!$A$3:$A$5000&amp;INPUT!$C$3:$C$5000,INPUT!$D$3:$D$5000),2,FALSE),"")</f>
        <v>TEC-TAC</v>
      </c>
      <c r="I722" s="46">
        <f>IF(INPUT!P717="","",INPUT!P717)</f>
        <v>92.3</v>
      </c>
      <c r="J722" s="46">
        <f>IF(INPUT!Q717="","",INPUT!Q717)</f>
        <v>92.1</v>
      </c>
      <c r="K722" s="46">
        <f>IFERROR(IF(OR(INPUT!P717="",INPUT!Q717=""),"",INPUT!P717-INPUT!Q717),"")</f>
        <v>0.20000000000000284</v>
      </c>
      <c r="L722" s="48">
        <f>IFERROR(IF(OR(INPUT!P717="",INPUT!Q717="",INPUT!P717=0),"",(INPUT!P717-INPUT!Q717)/INPUT!P717),"")</f>
        <v>2.1668472372698032E-3</v>
      </c>
    </row>
    <row r="723" spans="1:12" ht="18" customHeight="1" x14ac:dyDescent="0.2">
      <c r="A723" s="11">
        <f>IF(INPUT!M718="","",INPUT!M718)</f>
        <v>45926</v>
      </c>
      <c r="B723" s="11">
        <f>IF(INPUT!M718="","",INPUT!M718-WEEKDAY(INPUT!M718,2)+1)</f>
        <v>45922</v>
      </c>
      <c r="C723" s="20">
        <f>IFERROR(_xlfn.ISOWEEKNUM(INPUT!M718),"")</f>
        <v>39</v>
      </c>
      <c r="D723" s="20">
        <f>IFERROR(YEAR(INPUT!M718),"")</f>
        <v>2025</v>
      </c>
      <c r="E723" t="str">
        <f>IF(INPUT!O718="","",INPUT!O718)</f>
        <v>HERRERO</v>
      </c>
      <c r="F723" t="str">
        <f>IF(INPUT!N718="","",INPUT!N718)</f>
        <v>M</v>
      </c>
      <c r="G723" t="str" cm="1">
        <f t="array" ref="G723">IFERROR(VLOOKUP(INPUT!M718&amp;INPUT!N718,CHOOSE({1,2},INPUT!$A$3:$A$5000&amp;INPUT!$C$3:$C$5000,INPUT!$F$3:$F$5000),2,FALSE),"")</f>
        <v>PRE-TEMPORADA</v>
      </c>
      <c r="H723" t="str" cm="1">
        <f t="array" ref="H723">IFERROR(VLOOKUP(INPUT!M718&amp;INPUT!N718,CHOOSE({1,2},INPUT!$A$3:$A$5000&amp;INPUT!$C$3:$C$5000,INPUT!$D$3:$D$5000),2,FALSE),"")</f>
        <v>TEC-TAC</v>
      </c>
      <c r="I723" s="46">
        <f>IF(INPUT!P718="","",INPUT!P718)</f>
        <v>77</v>
      </c>
      <c r="J723" s="46">
        <f>IF(INPUT!Q718="","",INPUT!Q718)</f>
        <v>76.5</v>
      </c>
      <c r="K723" s="46">
        <f>IFERROR(IF(OR(INPUT!P718="",INPUT!Q718=""),"",INPUT!P718-INPUT!Q718),"")</f>
        <v>0.5</v>
      </c>
      <c r="L723" s="48">
        <f>IFERROR(IF(OR(INPUT!P718="",INPUT!Q718="",INPUT!P718=0),"",(INPUT!P718-INPUT!Q718)/INPUT!P718),"")</f>
        <v>6.4935064935064939E-3</v>
      </c>
    </row>
    <row r="724" spans="1:12" ht="18" hidden="1" customHeight="1" x14ac:dyDescent="0.2">
      <c r="A724" s="11">
        <f>IF(INPUT!M719="","",INPUT!M719)</f>
        <v>45926</v>
      </c>
      <c r="B724" s="11">
        <f>IF(INPUT!M719="","",INPUT!M719-WEEKDAY(INPUT!M719,2)+1)</f>
        <v>45922</v>
      </c>
      <c r="C724" s="20">
        <f>IFERROR(_xlfn.ISOWEEKNUM(INPUT!M719),"")</f>
        <v>39</v>
      </c>
      <c r="D724" s="20">
        <f>IFERROR(YEAR(INPUT!M719),"")</f>
        <v>2025</v>
      </c>
      <c r="E724" t="str">
        <f>IF(INPUT!O719="","",INPUT!O719)</f>
        <v>GARCIA</v>
      </c>
      <c r="F724" t="str">
        <f>IF(INPUT!N719="","",INPUT!N719)</f>
        <v>M</v>
      </c>
      <c r="G724" t="str" cm="1">
        <f t="array" ref="G724">IFERROR(VLOOKUP(INPUT!M719&amp;INPUT!N719,CHOOSE({1,2},INPUT!$A$3:$A$5000&amp;INPUT!$C$3:$C$5000,INPUT!$F$3:$F$5000),2,FALSE),"")</f>
        <v>PRE-TEMPORADA</v>
      </c>
      <c r="H724" t="str" cm="1">
        <f t="array" ref="H724">IFERROR(VLOOKUP(INPUT!M719&amp;INPUT!N719,CHOOSE({1,2},INPUT!$A$3:$A$5000&amp;INPUT!$C$3:$C$5000,INPUT!$D$3:$D$5000),2,FALSE),"")</f>
        <v>TEC-TAC</v>
      </c>
      <c r="I724" s="46">
        <f>IF(INPUT!P719="","",INPUT!P719)</f>
        <v>79.8</v>
      </c>
      <c r="J724" s="46">
        <f>IF(INPUT!Q719="","",INPUT!Q719)</f>
        <v>79.400000000000006</v>
      </c>
      <c r="K724" s="46">
        <f>IFERROR(IF(OR(INPUT!P719="",INPUT!Q719=""),"",INPUT!P719-INPUT!Q719),"")</f>
        <v>0.39999999999999147</v>
      </c>
      <c r="L724" s="48">
        <f>IFERROR(IF(OR(INPUT!P719="",INPUT!Q719="",INPUT!P719=0),"",(INPUT!P719-INPUT!Q719)/INPUT!P719),"")</f>
        <v>5.012531328320695E-3</v>
      </c>
    </row>
    <row r="725" spans="1:12" ht="18" hidden="1" customHeight="1" x14ac:dyDescent="0.2">
      <c r="A725" s="11">
        <f>IF(INPUT!M720="","",INPUT!M720)</f>
        <v>45926</v>
      </c>
      <c r="B725" s="11">
        <f>IF(INPUT!M720="","",INPUT!M720-WEEKDAY(INPUT!M720,2)+1)</f>
        <v>45922</v>
      </c>
      <c r="C725" s="20">
        <f>IFERROR(_xlfn.ISOWEEKNUM(INPUT!M720),"")</f>
        <v>39</v>
      </c>
      <c r="D725" s="20">
        <f>IFERROR(YEAR(INPUT!M720),"")</f>
        <v>2025</v>
      </c>
      <c r="E725" t="str">
        <f>IF(INPUT!O720="","",INPUT!O720)</f>
        <v>OSCAR</v>
      </c>
      <c r="F725" t="str">
        <f>IF(INPUT!N720="","",INPUT!N720)</f>
        <v>M</v>
      </c>
      <c r="G725" t="str" cm="1">
        <f t="array" ref="G725">IFERROR(VLOOKUP(INPUT!M720&amp;INPUT!N720,CHOOSE({1,2},INPUT!$A$3:$A$5000&amp;INPUT!$C$3:$C$5000,INPUT!$F$3:$F$5000),2,FALSE),"")</f>
        <v>PRE-TEMPORADA</v>
      </c>
      <c r="H725" t="str" cm="1">
        <f t="array" ref="H725">IFERROR(VLOOKUP(INPUT!M720&amp;INPUT!N720,CHOOSE({1,2},INPUT!$A$3:$A$5000&amp;INPUT!$C$3:$C$5000,INPUT!$D$3:$D$5000),2,FALSE),"")</f>
        <v>TEC-TAC</v>
      </c>
      <c r="I725" s="46">
        <f>IF(INPUT!P720="","",INPUT!P720)</f>
        <v>86.2</v>
      </c>
      <c r="J725" s="46">
        <f>IF(INPUT!Q720="","",INPUT!Q720)</f>
        <v>85.3</v>
      </c>
      <c r="K725" s="46">
        <f>IFERROR(IF(OR(INPUT!P720="",INPUT!Q720=""),"",INPUT!P720-INPUT!Q720),"")</f>
        <v>0.90000000000000568</v>
      </c>
      <c r="L725" s="48">
        <f>IFERROR(IF(OR(INPUT!P720="",INPUT!Q720="",INPUT!P720=0),"",(INPUT!P720-INPUT!Q720)/INPUT!P720),"")</f>
        <v>1.0440835266821411E-2</v>
      </c>
    </row>
    <row r="726" spans="1:12" ht="18" hidden="1" customHeight="1" x14ac:dyDescent="0.2">
      <c r="A726" s="11">
        <f>IF(INPUT!M721="","",INPUT!M721)</f>
        <v>45926</v>
      </c>
      <c r="B726" s="11">
        <f>IF(INPUT!M721="","",INPUT!M721-WEEKDAY(INPUT!M721,2)+1)</f>
        <v>45922</v>
      </c>
      <c r="C726" s="20">
        <f>IFERROR(_xlfn.ISOWEEKNUM(INPUT!M721),"")</f>
        <v>39</v>
      </c>
      <c r="D726" s="20">
        <f>IFERROR(YEAR(INPUT!M721),"")</f>
        <v>2025</v>
      </c>
      <c r="E726" t="str">
        <f>IF(INPUT!O721="","",INPUT!O721)</f>
        <v>CECILIO</v>
      </c>
      <c r="F726" t="str">
        <f>IF(INPUT!N721="","",INPUT!N721)</f>
        <v>M</v>
      </c>
      <c r="G726" t="str" cm="1">
        <f t="array" ref="G726">IFERROR(VLOOKUP(INPUT!M721&amp;INPUT!N721,CHOOSE({1,2},INPUT!$A$3:$A$5000&amp;INPUT!$C$3:$C$5000,INPUT!$F$3:$F$5000),2,FALSE),"")</f>
        <v>PRE-TEMPORADA</v>
      </c>
      <c r="H726" t="str" cm="1">
        <f t="array" ref="H726">IFERROR(VLOOKUP(INPUT!M721&amp;INPUT!N721,CHOOSE({1,2},INPUT!$A$3:$A$5000&amp;INPUT!$C$3:$C$5000,INPUT!$D$3:$D$5000),2,FALSE),"")</f>
        <v>TEC-TAC</v>
      </c>
      <c r="I726" s="46">
        <f>IF(INPUT!P721="","",INPUT!P721)</f>
        <v>68</v>
      </c>
      <c r="J726" s="46">
        <f>IF(INPUT!Q721="","",INPUT!Q721)</f>
        <v>67</v>
      </c>
      <c r="K726" s="46">
        <f>IFERROR(IF(OR(INPUT!P721="",INPUT!Q721=""),"",INPUT!P721-INPUT!Q721),"")</f>
        <v>1</v>
      </c>
      <c r="L726" s="48">
        <f>IFERROR(IF(OR(INPUT!P721="",INPUT!Q721="",INPUT!P721=0),"",(INPUT!P721-INPUT!Q721)/INPUT!P721),"")</f>
        <v>1.4705882352941176E-2</v>
      </c>
    </row>
    <row r="727" spans="1:12" ht="18" hidden="1" customHeight="1" x14ac:dyDescent="0.2">
      <c r="A727" s="11">
        <f>IF(INPUT!M722="","",INPUT!M722)</f>
        <v>45926</v>
      </c>
      <c r="B727" s="11">
        <f>IF(INPUT!M722="","",INPUT!M722-WEEKDAY(INPUT!M722,2)+1)</f>
        <v>45922</v>
      </c>
      <c r="C727" s="20">
        <f>IFERROR(_xlfn.ISOWEEKNUM(INPUT!M722),"")</f>
        <v>39</v>
      </c>
      <c r="D727" s="20">
        <f>IFERROR(YEAR(INPUT!M722),"")</f>
        <v>2025</v>
      </c>
      <c r="E727" t="str">
        <f>IF(INPUT!O722="","",INPUT!O722)</f>
        <v>CHAGUINHA</v>
      </c>
      <c r="F727" t="str">
        <f>IF(INPUT!N722="","",INPUT!N722)</f>
        <v>M</v>
      </c>
      <c r="G727" t="str" cm="1">
        <f t="array" ref="G727">IFERROR(VLOOKUP(INPUT!M722&amp;INPUT!N722,CHOOSE({1,2},INPUT!$A$3:$A$5000&amp;INPUT!$C$3:$C$5000,INPUT!$F$3:$F$5000),2,FALSE),"")</f>
        <v>PRE-TEMPORADA</v>
      </c>
      <c r="H727" t="str" cm="1">
        <f t="array" ref="H727">IFERROR(VLOOKUP(INPUT!M722&amp;INPUT!N722,CHOOSE({1,2},INPUT!$A$3:$A$5000&amp;INPUT!$C$3:$C$5000,INPUT!$D$3:$D$5000),2,FALSE),"")</f>
        <v>TEC-TAC</v>
      </c>
      <c r="I727" s="46">
        <f>IF(INPUT!P722="","",INPUT!P722)</f>
        <v>69</v>
      </c>
      <c r="J727" s="46">
        <f>IF(INPUT!Q722="","",INPUT!Q722)</f>
        <v>68.599999999999994</v>
      </c>
      <c r="K727" s="46">
        <f>IFERROR(IF(OR(INPUT!P722="",INPUT!Q722=""),"",INPUT!P722-INPUT!Q722),"")</f>
        <v>0.40000000000000568</v>
      </c>
      <c r="L727" s="48">
        <f>IFERROR(IF(OR(INPUT!P722="",INPUT!Q722="",INPUT!P722=0),"",(INPUT!P722-INPUT!Q722)/INPUT!P722),"")</f>
        <v>5.7971014492754448E-3</v>
      </c>
    </row>
    <row r="728" spans="1:12" ht="18" hidden="1" customHeight="1" x14ac:dyDescent="0.2">
      <c r="A728" s="11">
        <f>IF(INPUT!M723="","",INPUT!M723)</f>
        <v>45926</v>
      </c>
      <c r="B728" s="11">
        <f>IF(INPUT!M723="","",INPUT!M723-WEEKDAY(INPUT!M723,2)+1)</f>
        <v>45922</v>
      </c>
      <c r="C728" s="20">
        <f>IFERROR(_xlfn.ISOWEEKNUM(INPUT!M723),"")</f>
        <v>39</v>
      </c>
      <c r="D728" s="20">
        <f>IFERROR(YEAR(INPUT!M723),"")</f>
        <v>2025</v>
      </c>
      <c r="E728" t="str">
        <f>IF(INPUT!O723="","",INPUT!O723)</f>
        <v>RAUL</v>
      </c>
      <c r="F728" t="str">
        <f>IF(INPUT!N723="","",INPUT!N723)</f>
        <v>M</v>
      </c>
      <c r="G728" t="str" cm="1">
        <f t="array" ref="G728">IFERROR(VLOOKUP(INPUT!M723&amp;INPUT!N723,CHOOSE({1,2},INPUT!$A$3:$A$5000&amp;INPUT!$C$3:$C$5000,INPUT!$F$3:$F$5000),2,FALSE),"")</f>
        <v>PRE-TEMPORADA</v>
      </c>
      <c r="H728" t="str" cm="1">
        <f t="array" ref="H728">IFERROR(VLOOKUP(INPUT!M723&amp;INPUT!N723,CHOOSE({1,2},INPUT!$A$3:$A$5000&amp;INPUT!$C$3:$C$5000,INPUT!$D$3:$D$5000),2,FALSE),"")</f>
        <v>TEC-TAC</v>
      </c>
      <c r="I728" s="46">
        <f>IF(INPUT!P723="","",INPUT!P723)</f>
        <v>80</v>
      </c>
      <c r="J728" s="46">
        <f>IF(INPUT!Q723="","",INPUT!Q723)</f>
        <v>80</v>
      </c>
      <c r="K728" s="46">
        <f>IFERROR(IF(OR(INPUT!P723="",INPUT!Q723=""),"",INPUT!P723-INPUT!Q723),"")</f>
        <v>0</v>
      </c>
      <c r="L728" s="48">
        <f>IFERROR(IF(OR(INPUT!P723="",INPUT!Q723="",INPUT!P723=0),"",(INPUT!P723-INPUT!Q723)/INPUT!P723),"")</f>
        <v>0</v>
      </c>
    </row>
    <row r="729" spans="1:12" ht="18" hidden="1" customHeight="1" x14ac:dyDescent="0.2">
      <c r="A729" s="11">
        <f>IF(INPUT!M724="","",INPUT!M724)</f>
        <v>45926</v>
      </c>
      <c r="B729" s="11">
        <f>IF(INPUT!M724="","",INPUT!M724-WEEKDAY(INPUT!M724,2)+1)</f>
        <v>45922</v>
      </c>
      <c r="C729" s="20">
        <f>IFERROR(_xlfn.ISOWEEKNUM(INPUT!M724),"")</f>
        <v>39</v>
      </c>
      <c r="D729" s="20">
        <f>IFERROR(YEAR(INPUT!M724),"")</f>
        <v>2025</v>
      </c>
      <c r="E729" t="str">
        <f>IF(INPUT!O724="","",INPUT!O724)</f>
        <v>HARRISON</v>
      </c>
      <c r="F729" t="str">
        <f>IF(INPUT!N724="","",INPUT!N724)</f>
        <v>M</v>
      </c>
      <c r="G729" t="str" cm="1">
        <f t="array" ref="G729">IFERROR(VLOOKUP(INPUT!M724&amp;INPUT!N724,CHOOSE({1,2},INPUT!$A$3:$A$5000&amp;INPUT!$C$3:$C$5000,INPUT!$F$3:$F$5000),2,FALSE),"")</f>
        <v>PRE-TEMPORADA</v>
      </c>
      <c r="H729" t="str" cm="1">
        <f t="array" ref="H729">IFERROR(VLOOKUP(INPUT!M724&amp;INPUT!N724,CHOOSE({1,2},INPUT!$A$3:$A$5000&amp;INPUT!$C$3:$C$5000,INPUT!$D$3:$D$5000),2,FALSE),"")</f>
        <v>TEC-TAC</v>
      </c>
      <c r="I729" s="46">
        <f>IF(INPUT!P724="","",INPUT!P724)</f>
        <v>72</v>
      </c>
      <c r="J729" s="46">
        <f>IF(INPUT!Q724="","",INPUT!Q724)</f>
        <v>71.8</v>
      </c>
      <c r="K729" s="46">
        <f>IFERROR(IF(OR(INPUT!P724="",INPUT!Q724=""),"",INPUT!P724-INPUT!Q724),"")</f>
        <v>0.20000000000000284</v>
      </c>
      <c r="L729" s="48">
        <f>IFERROR(IF(OR(INPUT!P724="",INPUT!Q724="",INPUT!P724=0),"",(INPUT!P724-INPUT!Q724)/INPUT!P724),"")</f>
        <v>2.7777777777778173E-3</v>
      </c>
    </row>
    <row r="730" spans="1:12" ht="18" hidden="1" customHeight="1" x14ac:dyDescent="0.2">
      <c r="A730" s="11">
        <f>IF(INPUT!M725="","",INPUT!M725)</f>
        <v>45926</v>
      </c>
      <c r="B730" s="11">
        <f>IF(INPUT!M725="","",INPUT!M725-WEEKDAY(INPUT!M725,2)+1)</f>
        <v>45922</v>
      </c>
      <c r="C730" s="20">
        <f>IFERROR(_xlfn.ISOWEEKNUM(INPUT!M725),"")</f>
        <v>39</v>
      </c>
      <c r="D730" s="20">
        <f>IFERROR(YEAR(INPUT!M725),"")</f>
        <v>2025</v>
      </c>
      <c r="E730" t="str">
        <f>IF(INPUT!O725="","",INPUT!O725)</f>
        <v>RAYA</v>
      </c>
      <c r="F730" t="str">
        <f>IF(INPUT!N725="","",INPUT!N725)</f>
        <v>M</v>
      </c>
      <c r="G730" t="str" cm="1">
        <f t="array" ref="G730">IFERROR(VLOOKUP(INPUT!M725&amp;INPUT!N725,CHOOSE({1,2},INPUT!$A$3:$A$5000&amp;INPUT!$C$3:$C$5000,INPUT!$F$3:$F$5000),2,FALSE),"")</f>
        <v>PRE-TEMPORADA</v>
      </c>
      <c r="H730" t="str" cm="1">
        <f t="array" ref="H730">IFERROR(VLOOKUP(INPUT!M725&amp;INPUT!N725,CHOOSE({1,2},INPUT!$A$3:$A$5000&amp;INPUT!$C$3:$C$5000,INPUT!$D$3:$D$5000),2,FALSE),"")</f>
        <v>TEC-TAC</v>
      </c>
      <c r="I730" s="46">
        <f>IF(INPUT!P725="","",INPUT!P725)</f>
        <v>82.4</v>
      </c>
      <c r="J730" s="46">
        <f>IF(INPUT!Q725="","",INPUT!Q725)</f>
        <v>81.400000000000006</v>
      </c>
      <c r="K730" s="46">
        <f>IFERROR(IF(OR(INPUT!P725="",INPUT!Q725=""),"",INPUT!P725-INPUT!Q725),"")</f>
        <v>1</v>
      </c>
      <c r="L730" s="48">
        <f>IFERROR(IF(OR(INPUT!P725="",INPUT!Q725="",INPUT!P725=0),"",(INPUT!P725-INPUT!Q725)/INPUT!P725),"")</f>
        <v>1.2135922330097087E-2</v>
      </c>
    </row>
    <row r="731" spans="1:12" ht="18" hidden="1" customHeight="1" x14ac:dyDescent="0.2">
      <c r="A731" s="11">
        <f>IF(INPUT!M726="","",INPUT!M726)</f>
        <v>45926</v>
      </c>
      <c r="B731" s="11">
        <f>IF(INPUT!M726="","",INPUT!M726-WEEKDAY(INPUT!M726,2)+1)</f>
        <v>45922</v>
      </c>
      <c r="C731" s="20">
        <f>IFERROR(_xlfn.ISOWEEKNUM(INPUT!M726),"")</f>
        <v>39</v>
      </c>
      <c r="D731" s="20">
        <f>IFERROR(YEAR(INPUT!M726),"")</f>
        <v>2025</v>
      </c>
      <c r="E731" t="str">
        <f>IF(INPUT!O726="","",INPUT!O726)</f>
        <v>JAVI</v>
      </c>
      <c r="F731" t="str">
        <f>IF(INPUT!N726="","",INPUT!N726)</f>
        <v>M</v>
      </c>
      <c r="G731" t="str" cm="1">
        <f t="array" ref="G731">IFERROR(VLOOKUP(INPUT!M726&amp;INPUT!N726,CHOOSE({1,2},INPUT!$A$3:$A$5000&amp;INPUT!$C$3:$C$5000,INPUT!$F$3:$F$5000),2,FALSE),"")</f>
        <v>PRE-TEMPORADA</v>
      </c>
      <c r="H731" t="str" cm="1">
        <f t="array" ref="H731">IFERROR(VLOOKUP(INPUT!M726&amp;INPUT!N726,CHOOSE({1,2},INPUT!$A$3:$A$5000&amp;INPUT!$C$3:$C$5000,INPUT!$D$3:$D$5000),2,FALSE),"")</f>
        <v>TEC-TAC</v>
      </c>
      <c r="I731" s="46">
        <f>IF(INPUT!P726="","",INPUT!P726)</f>
        <v>79.7</v>
      </c>
      <c r="J731" s="46">
        <f>IF(INPUT!Q726="","",INPUT!Q726)</f>
        <v>79.3</v>
      </c>
      <c r="K731" s="46">
        <f>IFERROR(IF(OR(INPUT!P726="",INPUT!Q726=""),"",INPUT!P726-INPUT!Q726),"")</f>
        <v>0.40000000000000568</v>
      </c>
      <c r="L731" s="48">
        <f>IFERROR(IF(OR(INPUT!P726="",INPUT!Q726="",INPUT!P726=0),"",(INPUT!P726-INPUT!Q726)/INPUT!P726),"")</f>
        <v>5.0188205771644371E-3</v>
      </c>
    </row>
    <row r="732" spans="1:12" ht="18" hidden="1" customHeight="1" x14ac:dyDescent="0.2">
      <c r="A732" s="11">
        <f>IF(INPUT!M727="","",INPUT!M727)</f>
        <v>45926</v>
      </c>
      <c r="B732" s="11">
        <f>IF(INPUT!M727="","",INPUT!M727-WEEKDAY(INPUT!M727,2)+1)</f>
        <v>45922</v>
      </c>
      <c r="C732" s="20">
        <f>IFERROR(_xlfn.ISOWEEKNUM(INPUT!M727),"")</f>
        <v>39</v>
      </c>
      <c r="D732" s="20">
        <f>IFERROR(YEAR(INPUT!M727),"")</f>
        <v>2025</v>
      </c>
      <c r="E732" t="str">
        <f>IF(INPUT!O727="","",INPUT!O727)</f>
        <v>PANI</v>
      </c>
      <c r="F732" t="str">
        <f>IF(INPUT!N727="","",INPUT!N727)</f>
        <v>M</v>
      </c>
      <c r="G732" t="str" cm="1">
        <f t="array" ref="G732">IFERROR(VLOOKUP(INPUT!M727&amp;INPUT!N727,CHOOSE({1,2},INPUT!$A$3:$A$5000&amp;INPUT!$C$3:$C$5000,INPUT!$F$3:$F$5000),2,FALSE),"")</f>
        <v>PRE-TEMPORADA</v>
      </c>
      <c r="H732" t="str" cm="1">
        <f t="array" ref="H732">IFERROR(VLOOKUP(INPUT!M727&amp;INPUT!N727,CHOOSE({1,2},INPUT!$A$3:$A$5000&amp;INPUT!$C$3:$C$5000,INPUT!$D$3:$D$5000),2,FALSE),"")</f>
        <v>TEC-TAC</v>
      </c>
      <c r="I732" s="46">
        <f>IF(INPUT!P727="","",INPUT!P727)</f>
        <v>70.900000000000006</v>
      </c>
      <c r="J732" s="46">
        <f>IF(INPUT!Q727="","",INPUT!Q727)</f>
        <v>71.3</v>
      </c>
      <c r="K732" s="46">
        <f>IFERROR(IF(OR(INPUT!P727="",INPUT!Q727=""),"",INPUT!P727-INPUT!Q727),"")</f>
        <v>-0.39999999999999147</v>
      </c>
      <c r="L732" s="48">
        <f>IFERROR(IF(OR(INPUT!P727="",INPUT!Q727="",INPUT!P727=0),"",(INPUT!P727-INPUT!Q727)/INPUT!P727),"")</f>
        <v>-5.6417489421719527E-3</v>
      </c>
    </row>
    <row r="733" spans="1:12" ht="18" hidden="1" customHeight="1" x14ac:dyDescent="0.2">
      <c r="A733" s="11">
        <f>IF(INPUT!M728="","",INPUT!M728)</f>
        <v>45926</v>
      </c>
      <c r="B733" s="11">
        <f>IF(INPUT!M728="","",INPUT!M728-WEEKDAY(INPUT!M728,2)+1)</f>
        <v>45922</v>
      </c>
      <c r="C733" s="20">
        <f>IFERROR(_xlfn.ISOWEEKNUM(INPUT!M728),"")</f>
        <v>39</v>
      </c>
      <c r="D733" s="20">
        <f>IFERROR(YEAR(INPUT!M728),"")</f>
        <v>2025</v>
      </c>
      <c r="E733" t="str">
        <f>IF(INPUT!O728="","",INPUT!O728)</f>
        <v>PIRATA</v>
      </c>
      <c r="F733" t="str">
        <f>IF(INPUT!N728="","",INPUT!N728)</f>
        <v>M</v>
      </c>
      <c r="G733" t="str" cm="1">
        <f t="array" ref="G733">IFERROR(VLOOKUP(INPUT!M728&amp;INPUT!N728,CHOOSE({1,2},INPUT!$A$3:$A$5000&amp;INPUT!$C$3:$C$5000,INPUT!$F$3:$F$5000),2,FALSE),"")</f>
        <v>PRE-TEMPORADA</v>
      </c>
      <c r="H733" t="str" cm="1">
        <f t="array" ref="H733">IFERROR(VLOOKUP(INPUT!M728&amp;INPUT!N728,CHOOSE({1,2},INPUT!$A$3:$A$5000&amp;INPUT!$C$3:$C$5000,INPUT!$D$3:$D$5000),2,FALSE),"")</f>
        <v>TEC-TAC</v>
      </c>
      <c r="I733" s="46">
        <f>IF(INPUT!P728="","",INPUT!P728)</f>
        <v>75</v>
      </c>
      <c r="J733" s="46">
        <f>IF(INPUT!Q728="","",INPUT!Q728)</f>
        <v>74.8</v>
      </c>
      <c r="K733" s="46">
        <f>IFERROR(IF(OR(INPUT!P728="",INPUT!Q728=""),"",INPUT!P728-INPUT!Q728),"")</f>
        <v>0.20000000000000284</v>
      </c>
      <c r="L733" s="48">
        <f>IFERROR(IF(OR(INPUT!P728="",INPUT!Q728="",INPUT!P728=0),"",(INPUT!P728-INPUT!Q728)/INPUT!P728),"")</f>
        <v>2.6666666666667047E-3</v>
      </c>
    </row>
    <row r="734" spans="1:12" ht="18" hidden="1" customHeight="1" x14ac:dyDescent="0.2">
      <c r="A734" s="11">
        <f>IF(INPUT!M729="","",INPUT!M729)</f>
        <v>45926</v>
      </c>
      <c r="B734" s="11">
        <f>IF(INPUT!M729="","",INPUT!M729-WEEKDAY(INPUT!M729,2)+1)</f>
        <v>45922</v>
      </c>
      <c r="C734" s="20">
        <f>IFERROR(_xlfn.ISOWEEKNUM(INPUT!M729),"")</f>
        <v>39</v>
      </c>
      <c r="D734" s="20">
        <f>IFERROR(YEAR(INPUT!M729),"")</f>
        <v>2025</v>
      </c>
      <c r="E734" t="str">
        <f>IF(INPUT!O729="","",INPUT!O729)</f>
        <v>BARONA</v>
      </c>
      <c r="F734" t="str">
        <f>IF(INPUT!N729="","",INPUT!N729)</f>
        <v>M</v>
      </c>
      <c r="G734" t="str" cm="1">
        <f t="array" ref="G734">IFERROR(VLOOKUP(INPUT!M729&amp;INPUT!N729,CHOOSE({1,2},INPUT!$A$3:$A$5000&amp;INPUT!$C$3:$C$5000,INPUT!$F$3:$F$5000),2,FALSE),"")</f>
        <v>PRE-TEMPORADA</v>
      </c>
      <c r="H734" t="str" cm="1">
        <f t="array" ref="H734">IFERROR(VLOOKUP(INPUT!M729&amp;INPUT!N729,CHOOSE({1,2},INPUT!$A$3:$A$5000&amp;INPUT!$C$3:$C$5000,INPUT!$D$3:$D$5000),2,FALSE),"")</f>
        <v>TEC-TAC</v>
      </c>
      <c r="I734" s="46">
        <f>IF(INPUT!P729="","",INPUT!P729)</f>
        <v>71.599999999999994</v>
      </c>
      <c r="J734" s="46">
        <f>IF(INPUT!Q729="","",INPUT!Q729)</f>
        <v>70.900000000000006</v>
      </c>
      <c r="K734" s="46">
        <f>IFERROR(IF(OR(INPUT!P729="",INPUT!Q729=""),"",INPUT!P729-INPUT!Q729),"")</f>
        <v>0.69999999999998863</v>
      </c>
      <c r="L734" s="48">
        <f>IFERROR(IF(OR(INPUT!P729="",INPUT!Q729="",INPUT!P729=0),"",(INPUT!P729-INPUT!Q729)/INPUT!P729),"")</f>
        <v>9.7765363128490042E-3</v>
      </c>
    </row>
    <row r="735" spans="1:12" ht="18" hidden="1" customHeight="1" x14ac:dyDescent="0.2">
      <c r="A735" s="11">
        <f>IF(INPUT!M730="","",INPUT!M730)</f>
        <v>45926</v>
      </c>
      <c r="B735" s="11">
        <f>IF(INPUT!M730="","",INPUT!M730-WEEKDAY(INPUT!M730,2)+1)</f>
        <v>45922</v>
      </c>
      <c r="C735" s="20">
        <f>IFERROR(_xlfn.ISOWEEKNUM(INPUT!M730),"")</f>
        <v>39</v>
      </c>
      <c r="D735" s="20">
        <f>IFERROR(YEAR(INPUT!M730),"")</f>
        <v>2025</v>
      </c>
      <c r="E735" t="str">
        <f>IF(INPUT!O730="","",INPUT!O730)</f>
        <v>CARLOS</v>
      </c>
      <c r="F735" t="str">
        <f>IF(INPUT!N730="","",INPUT!N730)</f>
        <v>M</v>
      </c>
      <c r="G735" t="str" cm="1">
        <f t="array" ref="G735">IFERROR(VLOOKUP(INPUT!M730&amp;INPUT!N730,CHOOSE({1,2},INPUT!$A$3:$A$5000&amp;INPUT!$C$3:$C$5000,INPUT!$F$3:$F$5000),2,FALSE),"")</f>
        <v>PRE-TEMPORADA</v>
      </c>
      <c r="H735" t="str" cm="1">
        <f t="array" ref="H735">IFERROR(VLOOKUP(INPUT!M730&amp;INPUT!N730,CHOOSE({1,2},INPUT!$A$3:$A$5000&amp;INPUT!$C$3:$C$5000,INPUT!$D$3:$D$5000),2,FALSE),"")</f>
        <v>TEC-TAC</v>
      </c>
      <c r="I735" s="46">
        <f>IF(INPUT!P730="","",INPUT!P730)</f>
        <v>66.400000000000006</v>
      </c>
      <c r="J735" s="46">
        <f>IF(INPUT!Q730="","",INPUT!Q730)</f>
        <v>65.900000000000006</v>
      </c>
      <c r="K735" s="46">
        <f>IFERROR(IF(OR(INPUT!P730="",INPUT!Q730=""),"",INPUT!P730-INPUT!Q730),"")</f>
        <v>0.5</v>
      </c>
      <c r="L735" s="48">
        <f>IFERROR(IF(OR(INPUT!P730="",INPUT!Q730="",INPUT!P730=0),"",(INPUT!P730-INPUT!Q730)/INPUT!P730),"")</f>
        <v>7.5301204819277099E-3</v>
      </c>
    </row>
    <row r="736" spans="1:12" ht="18" hidden="1" customHeight="1" x14ac:dyDescent="0.2">
      <c r="A736" s="11">
        <f>IF(INPUT!M731="","",INPUT!M731)</f>
        <v>45926</v>
      </c>
      <c r="B736" s="11">
        <f>IF(INPUT!M731="","",INPUT!M731-WEEKDAY(INPUT!M731,2)+1)</f>
        <v>45922</v>
      </c>
      <c r="C736" s="20">
        <f>IFERROR(_xlfn.ISOWEEKNUM(INPUT!M731),"")</f>
        <v>39</v>
      </c>
      <c r="D736" s="20">
        <f>IFERROR(YEAR(INPUT!M731),"")</f>
        <v>2025</v>
      </c>
      <c r="E736" t="str">
        <f>IF(INPUT!O731="","",INPUT!O731)</f>
        <v>GONZALO</v>
      </c>
      <c r="F736" t="str">
        <f>IF(INPUT!N731="","",INPUT!N731)</f>
        <v>M</v>
      </c>
      <c r="G736" t="str" cm="1">
        <f t="array" ref="G736">IFERROR(VLOOKUP(INPUT!M731&amp;INPUT!N731,CHOOSE({1,2},INPUT!$A$3:$A$5000&amp;INPUT!$C$3:$C$5000,INPUT!$F$3:$F$5000),2,FALSE),"")</f>
        <v>PRE-TEMPORADA</v>
      </c>
      <c r="H736" t="str" cm="1">
        <f t="array" ref="H736">IFERROR(VLOOKUP(INPUT!M731&amp;INPUT!N731,CHOOSE({1,2},INPUT!$A$3:$A$5000&amp;INPUT!$C$3:$C$5000,INPUT!$D$3:$D$5000),2,FALSE),"")</f>
        <v>TEC-TAC</v>
      </c>
      <c r="I736" s="46">
        <f>IF(INPUT!P731="","",INPUT!P731)</f>
        <v>84.2</v>
      </c>
      <c r="J736" s="46">
        <f>IF(INPUT!Q731="","",INPUT!Q731)</f>
        <v>84</v>
      </c>
      <c r="K736" s="46">
        <f>IFERROR(IF(OR(INPUT!P731="",INPUT!Q731=""),"",INPUT!P731-INPUT!Q731),"")</f>
        <v>0.20000000000000284</v>
      </c>
      <c r="L736" s="48">
        <f>IFERROR(IF(OR(INPUT!P731="",INPUT!Q731="",INPUT!P731=0),"",(INPUT!P731-INPUT!Q731)/INPUT!P731),"")</f>
        <v>2.3752969121140478E-3</v>
      </c>
    </row>
    <row r="737" spans="1:12" ht="18" hidden="1" customHeight="1" x14ac:dyDescent="0.2">
      <c r="A737" s="11">
        <f>IF(INPUT!M732="","",INPUT!M732)</f>
        <v>45926</v>
      </c>
      <c r="B737" s="11">
        <f>IF(INPUT!M732="","",INPUT!M732-WEEKDAY(INPUT!M732,2)+1)</f>
        <v>45922</v>
      </c>
      <c r="C737" s="20">
        <f>IFERROR(_xlfn.ISOWEEKNUM(INPUT!M732),"")</f>
        <v>39</v>
      </c>
      <c r="D737" s="20">
        <f>IFERROR(YEAR(INPUT!M732),"")</f>
        <v>2025</v>
      </c>
      <c r="E737" t="str">
        <f>IF(INPUT!O732="","",INPUT!O732)</f>
        <v>RUBIO</v>
      </c>
      <c r="F737" t="str">
        <f>IF(INPUT!N732="","",INPUT!N732)</f>
        <v>M</v>
      </c>
      <c r="G737" t="str" cm="1">
        <f t="array" ref="G737">IFERROR(VLOOKUP(INPUT!M732&amp;INPUT!N732,CHOOSE({1,2},INPUT!$A$3:$A$5000&amp;INPUT!$C$3:$C$5000,INPUT!$F$3:$F$5000),2,FALSE),"")</f>
        <v>PRE-TEMPORADA</v>
      </c>
      <c r="H737" t="str" cm="1">
        <f t="array" ref="H737">IFERROR(VLOOKUP(INPUT!M732&amp;INPUT!N732,CHOOSE({1,2},INPUT!$A$3:$A$5000&amp;INPUT!$C$3:$C$5000,INPUT!$D$3:$D$5000),2,FALSE),"")</f>
        <v>TEC-TAC</v>
      </c>
      <c r="I737" s="46">
        <f>IF(INPUT!P732="","",INPUT!P732)</f>
        <v>74.8</v>
      </c>
      <c r="J737" s="46">
        <f>IF(INPUT!Q732="","",INPUT!Q732)</f>
        <v>74.599999999999994</v>
      </c>
      <c r="K737" s="46">
        <f>IFERROR(IF(OR(INPUT!P732="",INPUT!Q732=""),"",INPUT!P732-INPUT!Q732),"")</f>
        <v>0.20000000000000284</v>
      </c>
      <c r="L737" s="48">
        <f>IFERROR(IF(OR(INPUT!P732="",INPUT!Q732="",INPUT!P732=0),"",(INPUT!P732-INPUT!Q732)/INPUT!P732),"")</f>
        <v>2.6737967914438883E-3</v>
      </c>
    </row>
    <row r="738" spans="1:12" ht="18" hidden="1" customHeight="1" x14ac:dyDescent="0.2">
      <c r="A738" s="11">
        <f>IF(INPUT!M733="","",INPUT!M733)</f>
        <v>45926</v>
      </c>
      <c r="B738" s="11">
        <f>IF(INPUT!M733="","",INPUT!M733-WEEKDAY(INPUT!M733,2)+1)</f>
        <v>45922</v>
      </c>
      <c r="C738" s="20">
        <f>IFERROR(_xlfn.ISOWEEKNUM(INPUT!M733),"")</f>
        <v>39</v>
      </c>
      <c r="D738" s="20">
        <f>IFERROR(YEAR(INPUT!M733),"")</f>
        <v>2025</v>
      </c>
      <c r="E738" t="str">
        <f>IF(INPUT!O733="","",INPUT!O733)</f>
        <v>DANI</v>
      </c>
      <c r="F738" t="str">
        <f>IF(INPUT!N733="","",INPUT!N733)</f>
        <v>M</v>
      </c>
      <c r="G738" t="str" cm="1">
        <f t="array" ref="G738">IFERROR(VLOOKUP(INPUT!M733&amp;INPUT!N733,CHOOSE({1,2},INPUT!$A$3:$A$5000&amp;INPUT!$C$3:$C$5000,INPUT!$F$3:$F$5000),2,FALSE),"")</f>
        <v>PRE-TEMPORADA</v>
      </c>
      <c r="H738" t="str" cm="1">
        <f t="array" ref="H738">IFERROR(VLOOKUP(INPUT!M733&amp;INPUT!N733,CHOOSE({1,2},INPUT!$A$3:$A$5000&amp;INPUT!$C$3:$C$5000,INPUT!$D$3:$D$5000),2,FALSE),"")</f>
        <v>TEC-TAC</v>
      </c>
      <c r="I738" s="46">
        <f>IF(INPUT!P733="","",INPUT!P733)</f>
        <v>93.4</v>
      </c>
      <c r="J738" s="46">
        <f>IF(INPUT!Q733="","",INPUT!Q733)</f>
        <v>92.9</v>
      </c>
      <c r="K738" s="46">
        <f>IFERROR(IF(OR(INPUT!P733="",INPUT!Q733=""),"",INPUT!P733-INPUT!Q733),"")</f>
        <v>0.5</v>
      </c>
      <c r="L738" s="48">
        <f>IFERROR(IF(OR(INPUT!P733="",INPUT!Q733="",INPUT!P733=0),"",(INPUT!P733-INPUT!Q733)/INPUT!P733),"")</f>
        <v>5.3533190578158455E-3</v>
      </c>
    </row>
    <row r="739" spans="1:12" ht="18" hidden="1" customHeight="1" x14ac:dyDescent="0.2">
      <c r="A739" s="11">
        <f>IF(INPUT!M734="","",INPUT!M734)</f>
        <v>45927</v>
      </c>
      <c r="B739" s="11">
        <f>IF(INPUT!M734="","",INPUT!M734-WEEKDAY(INPUT!M734,2)+1)</f>
        <v>45922</v>
      </c>
      <c r="C739" s="20">
        <f>IFERROR(_xlfn.ISOWEEKNUM(INPUT!M734),"")</f>
        <v>39</v>
      </c>
      <c r="D739" s="20">
        <f>IFERROR(YEAR(INPUT!M734),"")</f>
        <v>2025</v>
      </c>
      <c r="E739" t="str">
        <f>IF(INPUT!O734="","",INPUT!O734)</f>
        <v>GARCIA</v>
      </c>
      <c r="F739" t="str">
        <f>IF(INPUT!N734="","",INPUT!N734)</f>
        <v>M</v>
      </c>
      <c r="G739" t="str" cm="1">
        <f t="array" ref="G739">IFERROR(VLOOKUP(INPUT!M734&amp;INPUT!N734,CHOOSE({1,2},INPUT!$A$3:$A$5000&amp;INPUT!$C$3:$C$5000,INPUT!$F$3:$F$5000),2,FALSE),"")</f>
        <v>PRE-TEMPORADA</v>
      </c>
      <c r="H739" t="str" cm="1">
        <f t="array" ref="H739">IFERROR(VLOOKUP(INPUT!M734&amp;INPUT!N734,CHOOSE({1,2},INPUT!$A$3:$A$5000&amp;INPUT!$C$3:$C$5000,INPUT!$D$3:$D$5000),2,FALSE),"")</f>
        <v>PARTIDO</v>
      </c>
      <c r="I739" s="46">
        <f>IF(INPUT!P734="","",INPUT!P734)</f>
        <v>79.400000000000006</v>
      </c>
      <c r="J739" s="46">
        <f>IF(INPUT!Q734="","",INPUT!Q734)</f>
        <v>79</v>
      </c>
      <c r="K739" s="46">
        <f>IFERROR(IF(OR(INPUT!P734="",INPUT!Q734=""),"",INPUT!P734-INPUT!Q734),"")</f>
        <v>0.40000000000000568</v>
      </c>
      <c r="L739" s="48">
        <f>IFERROR(IF(OR(INPUT!P734="",INPUT!Q734="",INPUT!P734=0),"",(INPUT!P734-INPUT!Q734)/INPUT!P734),"")</f>
        <v>5.0377833753149324E-3</v>
      </c>
    </row>
    <row r="740" spans="1:12" ht="18" hidden="1" customHeight="1" x14ac:dyDescent="0.2">
      <c r="A740" s="11">
        <f>IF(INPUT!M735="","",INPUT!M735)</f>
        <v>45927</v>
      </c>
      <c r="B740" s="11">
        <f>IF(INPUT!M735="","",INPUT!M735-WEEKDAY(INPUT!M735,2)+1)</f>
        <v>45922</v>
      </c>
      <c r="C740" s="20">
        <f>IFERROR(_xlfn.ISOWEEKNUM(INPUT!M735),"")</f>
        <v>39</v>
      </c>
      <c r="D740" s="20">
        <f>IFERROR(YEAR(INPUT!M735),"")</f>
        <v>2025</v>
      </c>
      <c r="E740" t="str">
        <f>IF(INPUT!O735="","",INPUT!O735)</f>
        <v>OSCAR</v>
      </c>
      <c r="F740" t="str">
        <f>IF(INPUT!N735="","",INPUT!N735)</f>
        <v>M</v>
      </c>
      <c r="G740" t="str" cm="1">
        <f t="array" ref="G740">IFERROR(VLOOKUP(INPUT!M735&amp;INPUT!N735,CHOOSE({1,2},INPUT!$A$3:$A$5000&amp;INPUT!$C$3:$C$5000,INPUT!$F$3:$F$5000),2,FALSE),"")</f>
        <v>PRE-TEMPORADA</v>
      </c>
      <c r="H740" t="str" cm="1">
        <f t="array" ref="H740">IFERROR(VLOOKUP(INPUT!M735&amp;INPUT!N735,CHOOSE({1,2},INPUT!$A$3:$A$5000&amp;INPUT!$C$3:$C$5000,INPUT!$D$3:$D$5000),2,FALSE),"")</f>
        <v>PARTIDO</v>
      </c>
      <c r="I740" s="46">
        <f>IF(INPUT!P735="","",INPUT!P735)</f>
        <v>86.1</v>
      </c>
      <c r="J740" s="46">
        <f>IF(INPUT!Q735="","",INPUT!Q735)</f>
        <v>85</v>
      </c>
      <c r="K740" s="46">
        <f>IFERROR(IF(OR(INPUT!P735="",INPUT!Q735=""),"",INPUT!P735-INPUT!Q735),"")</f>
        <v>1.0999999999999943</v>
      </c>
      <c r="L740" s="48">
        <f>IFERROR(IF(OR(INPUT!P735="",INPUT!Q735="",INPUT!P735=0),"",(INPUT!P735-INPUT!Q735)/INPUT!P735),"")</f>
        <v>1.2775842044134662E-2</v>
      </c>
    </row>
    <row r="741" spans="1:12" ht="18" hidden="1" customHeight="1" x14ac:dyDescent="0.2">
      <c r="A741" s="11">
        <f>IF(INPUT!M736="","",INPUT!M736)</f>
        <v>45927</v>
      </c>
      <c r="B741" s="11">
        <f>IF(INPUT!M736="","",INPUT!M736-WEEKDAY(INPUT!M736,2)+1)</f>
        <v>45922</v>
      </c>
      <c r="C741" s="20">
        <f>IFERROR(_xlfn.ISOWEEKNUM(INPUT!M736),"")</f>
        <v>39</v>
      </c>
      <c r="D741" s="20">
        <f>IFERROR(YEAR(INPUT!M736),"")</f>
        <v>2025</v>
      </c>
      <c r="E741" t="str">
        <f>IF(INPUT!O736="","",INPUT!O736)</f>
        <v>CECILIO</v>
      </c>
      <c r="F741" t="str">
        <f>IF(INPUT!N736="","",INPUT!N736)</f>
        <v>M</v>
      </c>
      <c r="G741" t="str" cm="1">
        <f t="array" ref="G741">IFERROR(VLOOKUP(INPUT!M736&amp;INPUT!N736,CHOOSE({1,2},INPUT!$A$3:$A$5000&amp;INPUT!$C$3:$C$5000,INPUT!$F$3:$F$5000),2,FALSE),"")</f>
        <v>PRE-TEMPORADA</v>
      </c>
      <c r="H741" t="str" cm="1">
        <f t="array" ref="H741">IFERROR(VLOOKUP(INPUT!M736&amp;INPUT!N736,CHOOSE({1,2},INPUT!$A$3:$A$5000&amp;INPUT!$C$3:$C$5000,INPUT!$D$3:$D$5000),2,FALSE),"")</f>
        <v>PARTIDO</v>
      </c>
      <c r="I741" s="46">
        <f>IF(INPUT!P736="","",INPUT!P736)</f>
        <v>68.099999999999994</v>
      </c>
      <c r="J741" s="46">
        <f>IF(INPUT!Q736="","",INPUT!Q736)</f>
        <v>67.8</v>
      </c>
      <c r="K741" s="46">
        <f>IFERROR(IF(OR(INPUT!P736="",INPUT!Q736=""),"",INPUT!P736-INPUT!Q736),"")</f>
        <v>0.29999999999999716</v>
      </c>
      <c r="L741" s="48">
        <f>IFERROR(IF(OR(INPUT!P736="",INPUT!Q736="",INPUT!P736=0),"",(INPUT!P736-INPUT!Q736)/INPUT!P736),"")</f>
        <v>4.4052863436122936E-3</v>
      </c>
    </row>
    <row r="742" spans="1:12" ht="18" hidden="1" customHeight="1" x14ac:dyDescent="0.2">
      <c r="A742" s="11">
        <f>IF(INPUT!M737="","",INPUT!M737)</f>
        <v>45927</v>
      </c>
      <c r="B742" s="11">
        <f>IF(INPUT!M737="","",INPUT!M737-WEEKDAY(INPUT!M737,2)+1)</f>
        <v>45922</v>
      </c>
      <c r="C742" s="20">
        <f>IFERROR(_xlfn.ISOWEEKNUM(INPUT!M737),"")</f>
        <v>39</v>
      </c>
      <c r="D742" s="20">
        <f>IFERROR(YEAR(INPUT!M737),"")</f>
        <v>2025</v>
      </c>
      <c r="E742" t="str">
        <f>IF(INPUT!O737="","",INPUT!O737)</f>
        <v>CHAGUINHA</v>
      </c>
      <c r="F742" t="str">
        <f>IF(INPUT!N737="","",INPUT!N737)</f>
        <v>M</v>
      </c>
      <c r="G742" t="str" cm="1">
        <f t="array" ref="G742">IFERROR(VLOOKUP(INPUT!M737&amp;INPUT!N737,CHOOSE({1,2},INPUT!$A$3:$A$5000&amp;INPUT!$C$3:$C$5000,INPUT!$F$3:$F$5000),2,FALSE),"")</f>
        <v>PRE-TEMPORADA</v>
      </c>
      <c r="H742" t="str" cm="1">
        <f t="array" ref="H742">IFERROR(VLOOKUP(INPUT!M737&amp;INPUT!N737,CHOOSE({1,2},INPUT!$A$3:$A$5000&amp;INPUT!$C$3:$C$5000,INPUT!$D$3:$D$5000),2,FALSE),"")</f>
        <v>PARTIDO</v>
      </c>
      <c r="I742" s="46">
        <f>IF(INPUT!P737="","",INPUT!P737)</f>
        <v>69</v>
      </c>
      <c r="J742" s="46">
        <f>IF(INPUT!Q737="","",INPUT!Q737)</f>
        <v>68</v>
      </c>
      <c r="K742" s="46">
        <f>IFERROR(IF(OR(INPUT!P737="",INPUT!Q737=""),"",INPUT!P737-INPUT!Q737),"")</f>
        <v>1</v>
      </c>
      <c r="L742" s="48">
        <f>IFERROR(IF(OR(INPUT!P737="",INPUT!Q737="",INPUT!P737=0),"",(INPUT!P737-INPUT!Q737)/INPUT!P737),"")</f>
        <v>1.4492753623188406E-2</v>
      </c>
    </row>
    <row r="743" spans="1:12" ht="18" hidden="1" customHeight="1" x14ac:dyDescent="0.2">
      <c r="A743" s="11">
        <f>IF(INPUT!M738="","",INPUT!M738)</f>
        <v>45927</v>
      </c>
      <c r="B743" s="11">
        <f>IF(INPUT!M738="","",INPUT!M738-WEEKDAY(INPUT!M738,2)+1)</f>
        <v>45922</v>
      </c>
      <c r="C743" s="20">
        <f>IFERROR(_xlfn.ISOWEEKNUM(INPUT!M738),"")</f>
        <v>39</v>
      </c>
      <c r="D743" s="20">
        <f>IFERROR(YEAR(INPUT!M738),"")</f>
        <v>2025</v>
      </c>
      <c r="E743" t="str">
        <f>IF(INPUT!O738="","",INPUT!O738)</f>
        <v>RAUL</v>
      </c>
      <c r="F743" t="str">
        <f>IF(INPUT!N738="","",INPUT!N738)</f>
        <v>M</v>
      </c>
      <c r="G743" t="str" cm="1">
        <f t="array" ref="G743">IFERROR(VLOOKUP(INPUT!M738&amp;INPUT!N738,CHOOSE({1,2},INPUT!$A$3:$A$5000&amp;INPUT!$C$3:$C$5000,INPUT!$F$3:$F$5000),2,FALSE),"")</f>
        <v>PRE-TEMPORADA</v>
      </c>
      <c r="H743" t="str" cm="1">
        <f t="array" ref="H743">IFERROR(VLOOKUP(INPUT!M738&amp;INPUT!N738,CHOOSE({1,2},INPUT!$A$3:$A$5000&amp;INPUT!$C$3:$C$5000,INPUT!$D$3:$D$5000),2,FALSE),"")</f>
        <v>PARTIDO</v>
      </c>
      <c r="I743" s="46">
        <f>IF(INPUT!P738="","",INPUT!P738)</f>
        <v>80.3</v>
      </c>
      <c r="J743" s="46">
        <f>IF(INPUT!Q738="","",INPUT!Q738)</f>
        <v>79.400000000000006</v>
      </c>
      <c r="K743" s="46">
        <f>IFERROR(IF(OR(INPUT!P738="",INPUT!Q738=""),"",INPUT!P738-INPUT!Q738),"")</f>
        <v>0.89999999999999147</v>
      </c>
      <c r="L743" s="48">
        <f>IFERROR(IF(OR(INPUT!P738="",INPUT!Q738="",INPUT!P738=0),"",(INPUT!P738-INPUT!Q738)/INPUT!P738),"")</f>
        <v>1.1207970112079595E-2</v>
      </c>
    </row>
    <row r="744" spans="1:12" ht="18" hidden="1" customHeight="1" x14ac:dyDescent="0.2">
      <c r="A744" s="11">
        <f>IF(INPUT!M739="","",INPUT!M739)</f>
        <v>45927</v>
      </c>
      <c r="B744" s="11">
        <f>IF(INPUT!M739="","",INPUT!M739-WEEKDAY(INPUT!M739,2)+1)</f>
        <v>45922</v>
      </c>
      <c r="C744" s="20">
        <f>IFERROR(_xlfn.ISOWEEKNUM(INPUT!M739),"")</f>
        <v>39</v>
      </c>
      <c r="D744" s="20">
        <f>IFERROR(YEAR(INPUT!M739),"")</f>
        <v>2025</v>
      </c>
      <c r="E744" t="str">
        <f>IF(INPUT!O739="","",INPUT!O739)</f>
        <v>HARRISON</v>
      </c>
      <c r="F744" t="str">
        <f>IF(INPUT!N739="","",INPUT!N739)</f>
        <v>M</v>
      </c>
      <c r="G744" t="str" cm="1">
        <f t="array" ref="G744">IFERROR(VLOOKUP(INPUT!M739&amp;INPUT!N739,CHOOSE({1,2},INPUT!$A$3:$A$5000&amp;INPUT!$C$3:$C$5000,INPUT!$F$3:$F$5000),2,FALSE),"")</f>
        <v>PRE-TEMPORADA</v>
      </c>
      <c r="H744" t="str" cm="1">
        <f t="array" ref="H744">IFERROR(VLOOKUP(INPUT!M739&amp;INPUT!N739,CHOOSE({1,2},INPUT!$A$3:$A$5000&amp;INPUT!$C$3:$C$5000,INPUT!$D$3:$D$5000),2,FALSE),"")</f>
        <v>PARTIDO</v>
      </c>
      <c r="I744" s="46">
        <f>IF(INPUT!P739="","",INPUT!P739)</f>
        <v>71.3</v>
      </c>
      <c r="J744" s="46">
        <f>IF(INPUT!Q739="","",INPUT!Q739)</f>
        <v>70.7</v>
      </c>
      <c r="K744" s="46">
        <f>IFERROR(IF(OR(INPUT!P739="",INPUT!Q739=""),"",INPUT!P739-INPUT!Q739),"")</f>
        <v>0.59999999999999432</v>
      </c>
      <c r="L744" s="48">
        <f>IFERROR(IF(OR(INPUT!P739="",INPUT!Q739="",INPUT!P739=0),"",(INPUT!P739-INPUT!Q739)/INPUT!P739),"")</f>
        <v>8.4151472650770588E-3</v>
      </c>
    </row>
    <row r="745" spans="1:12" ht="18" hidden="1" customHeight="1" x14ac:dyDescent="0.2">
      <c r="A745" s="11">
        <f>IF(INPUT!M740="","",INPUT!M740)</f>
        <v>45927</v>
      </c>
      <c r="B745" s="11">
        <f>IF(INPUT!M740="","",INPUT!M740-WEEKDAY(INPUT!M740,2)+1)</f>
        <v>45922</v>
      </c>
      <c r="C745" s="20">
        <f>IFERROR(_xlfn.ISOWEEKNUM(INPUT!M740),"")</f>
        <v>39</v>
      </c>
      <c r="D745" s="20">
        <f>IFERROR(YEAR(INPUT!M740),"")</f>
        <v>2025</v>
      </c>
      <c r="E745" t="str">
        <f>IF(INPUT!O740="","",INPUT!O740)</f>
        <v>RAYA</v>
      </c>
      <c r="F745" t="str">
        <f>IF(INPUT!N740="","",INPUT!N740)</f>
        <v>M</v>
      </c>
      <c r="G745" t="str" cm="1">
        <f t="array" ref="G745">IFERROR(VLOOKUP(INPUT!M740&amp;INPUT!N740,CHOOSE({1,2},INPUT!$A$3:$A$5000&amp;INPUT!$C$3:$C$5000,INPUT!$F$3:$F$5000),2,FALSE),"")</f>
        <v>PRE-TEMPORADA</v>
      </c>
      <c r="H745" t="str" cm="1">
        <f t="array" ref="H745">IFERROR(VLOOKUP(INPUT!M740&amp;INPUT!N740,CHOOSE({1,2},INPUT!$A$3:$A$5000&amp;INPUT!$C$3:$C$5000,INPUT!$D$3:$D$5000),2,FALSE),"")</f>
        <v>PARTIDO</v>
      </c>
      <c r="I745" s="46">
        <f>IF(INPUT!P740="","",INPUT!P740)</f>
        <v>82.3</v>
      </c>
      <c r="J745" s="46">
        <f>IF(INPUT!Q740="","",INPUT!Q740)</f>
        <v>82</v>
      </c>
      <c r="K745" s="46">
        <f>IFERROR(IF(OR(INPUT!P740="",INPUT!Q740=""),"",INPUT!P740-INPUT!Q740),"")</f>
        <v>0.29999999999999716</v>
      </c>
      <c r="L745" s="48">
        <f>IFERROR(IF(OR(INPUT!P740="",INPUT!Q740="",INPUT!P740=0),"",(INPUT!P740-INPUT!Q740)/INPUT!P740),"")</f>
        <v>3.6452004860266971E-3</v>
      </c>
    </row>
    <row r="746" spans="1:12" ht="18" hidden="1" customHeight="1" x14ac:dyDescent="0.2">
      <c r="A746" s="11">
        <f>IF(INPUT!M741="","",INPUT!M741)</f>
        <v>45927</v>
      </c>
      <c r="B746" s="11">
        <f>IF(INPUT!M741="","",INPUT!M741-WEEKDAY(INPUT!M741,2)+1)</f>
        <v>45922</v>
      </c>
      <c r="C746" s="20">
        <f>IFERROR(_xlfn.ISOWEEKNUM(INPUT!M741),"")</f>
        <v>39</v>
      </c>
      <c r="D746" s="20">
        <f>IFERROR(YEAR(INPUT!M741),"")</f>
        <v>2025</v>
      </c>
      <c r="E746" t="str">
        <f>IF(INPUT!O741="","",INPUT!O741)</f>
        <v>JAVI</v>
      </c>
      <c r="F746" t="str">
        <f>IF(INPUT!N741="","",INPUT!N741)</f>
        <v>M</v>
      </c>
      <c r="G746" t="str" cm="1">
        <f t="array" ref="G746">IFERROR(VLOOKUP(INPUT!M741&amp;INPUT!N741,CHOOSE({1,2},INPUT!$A$3:$A$5000&amp;INPUT!$C$3:$C$5000,INPUT!$F$3:$F$5000),2,FALSE),"")</f>
        <v>PRE-TEMPORADA</v>
      </c>
      <c r="H746" t="str" cm="1">
        <f t="array" ref="H746">IFERROR(VLOOKUP(INPUT!M741&amp;INPUT!N741,CHOOSE({1,2},INPUT!$A$3:$A$5000&amp;INPUT!$C$3:$C$5000,INPUT!$D$3:$D$5000),2,FALSE),"")</f>
        <v>PARTIDO</v>
      </c>
      <c r="I746" s="46">
        <f>IF(INPUT!P741="","",INPUT!P741)</f>
        <v>79.599999999999994</v>
      </c>
      <c r="J746" s="46">
        <f>IF(INPUT!Q741="","",INPUT!Q741)</f>
        <v>80.599999999999994</v>
      </c>
      <c r="K746" s="46">
        <f>IFERROR(IF(OR(INPUT!P741="",INPUT!Q741=""),"",INPUT!P741-INPUT!Q741),"")</f>
        <v>-1</v>
      </c>
      <c r="L746" s="48">
        <f>IFERROR(IF(OR(INPUT!P741="",INPUT!Q741="",INPUT!P741=0),"",(INPUT!P741-INPUT!Q741)/INPUT!P741),"")</f>
        <v>-1.2562814070351759E-2</v>
      </c>
    </row>
    <row r="747" spans="1:12" ht="18" hidden="1" customHeight="1" x14ac:dyDescent="0.2">
      <c r="A747" s="11">
        <f>IF(INPUT!M742="","",INPUT!M742)</f>
        <v>45927</v>
      </c>
      <c r="B747" s="11">
        <f>IF(INPUT!M742="","",INPUT!M742-WEEKDAY(INPUT!M742,2)+1)</f>
        <v>45922</v>
      </c>
      <c r="C747" s="20">
        <f>IFERROR(_xlfn.ISOWEEKNUM(INPUT!M742),"")</f>
        <v>39</v>
      </c>
      <c r="D747" s="20">
        <f>IFERROR(YEAR(INPUT!M742),"")</f>
        <v>2025</v>
      </c>
      <c r="E747" t="str">
        <f>IF(INPUT!O742="","",INPUT!O742)</f>
        <v>PANI</v>
      </c>
      <c r="F747" t="str">
        <f>IF(INPUT!N742="","",INPUT!N742)</f>
        <v>M</v>
      </c>
      <c r="G747" t="str" cm="1">
        <f t="array" ref="G747">IFERROR(VLOOKUP(INPUT!M742&amp;INPUT!N742,CHOOSE({1,2},INPUT!$A$3:$A$5000&amp;INPUT!$C$3:$C$5000,INPUT!$F$3:$F$5000),2,FALSE),"")</f>
        <v>PRE-TEMPORADA</v>
      </c>
      <c r="H747" t="str" cm="1">
        <f t="array" ref="H747">IFERROR(VLOOKUP(INPUT!M742&amp;INPUT!N742,CHOOSE({1,2},INPUT!$A$3:$A$5000&amp;INPUT!$C$3:$C$5000,INPUT!$D$3:$D$5000),2,FALSE),"")</f>
        <v>PARTIDO</v>
      </c>
      <c r="I747" s="46">
        <f>IF(INPUT!P742="","",INPUT!P742)</f>
        <v>71.099999999999994</v>
      </c>
      <c r="J747" s="46">
        <f>IF(INPUT!Q742="","",INPUT!Q742)</f>
        <v>69.7</v>
      </c>
      <c r="K747" s="46">
        <f>IFERROR(IF(OR(INPUT!P742="",INPUT!Q742=""),"",INPUT!P742-INPUT!Q742),"")</f>
        <v>1.3999999999999915</v>
      </c>
      <c r="L747" s="48">
        <f>IFERROR(IF(OR(INPUT!P742="",INPUT!Q742="",INPUT!P742=0),"",(INPUT!P742-INPUT!Q742)/INPUT!P742),"")</f>
        <v>1.9690576652601852E-2</v>
      </c>
    </row>
    <row r="748" spans="1:12" ht="18" hidden="1" customHeight="1" x14ac:dyDescent="0.2">
      <c r="A748" s="11">
        <f>IF(INPUT!M743="","",INPUT!M743)</f>
        <v>45927</v>
      </c>
      <c r="B748" s="11">
        <f>IF(INPUT!M743="","",INPUT!M743-WEEKDAY(INPUT!M743,2)+1)</f>
        <v>45922</v>
      </c>
      <c r="C748" s="20">
        <f>IFERROR(_xlfn.ISOWEEKNUM(INPUT!M743),"")</f>
        <v>39</v>
      </c>
      <c r="D748" s="20">
        <f>IFERROR(YEAR(INPUT!M743),"")</f>
        <v>2025</v>
      </c>
      <c r="E748" t="str">
        <f>IF(INPUT!O743="","",INPUT!O743)</f>
        <v>PIRATA</v>
      </c>
      <c r="F748" t="str">
        <f>IF(INPUT!N743="","",INPUT!N743)</f>
        <v>M</v>
      </c>
      <c r="G748" t="str" cm="1">
        <f t="array" ref="G748">IFERROR(VLOOKUP(INPUT!M743&amp;INPUT!N743,CHOOSE({1,2},INPUT!$A$3:$A$5000&amp;INPUT!$C$3:$C$5000,INPUT!$F$3:$F$5000),2,FALSE),"")</f>
        <v>PRE-TEMPORADA</v>
      </c>
      <c r="H748" t="str" cm="1">
        <f t="array" ref="H748">IFERROR(VLOOKUP(INPUT!M743&amp;INPUT!N743,CHOOSE({1,2},INPUT!$A$3:$A$5000&amp;INPUT!$C$3:$C$5000,INPUT!$D$3:$D$5000),2,FALSE),"")</f>
        <v>PARTIDO</v>
      </c>
      <c r="I748" s="46">
        <f>IF(INPUT!P743="","",INPUT!P743)</f>
        <v>75.2</v>
      </c>
      <c r="J748" s="46">
        <f>IF(INPUT!Q743="","",INPUT!Q743)</f>
        <v>75.099999999999994</v>
      </c>
      <c r="K748" s="46">
        <f>IFERROR(IF(OR(INPUT!P743="",INPUT!Q743=""),"",INPUT!P743-INPUT!Q743),"")</f>
        <v>0.10000000000000853</v>
      </c>
      <c r="L748" s="48">
        <f>IFERROR(IF(OR(INPUT!P743="",INPUT!Q743="",INPUT!P743=0),"",(INPUT!P743-INPUT!Q743)/INPUT!P743),"")</f>
        <v>1.3297872340426666E-3</v>
      </c>
    </row>
    <row r="749" spans="1:12" ht="18" hidden="1" customHeight="1" x14ac:dyDescent="0.2">
      <c r="A749" s="11">
        <f>IF(INPUT!M744="","",INPUT!M744)</f>
        <v>45927</v>
      </c>
      <c r="B749" s="11">
        <f>IF(INPUT!M744="","",INPUT!M744-WEEKDAY(INPUT!M744,2)+1)</f>
        <v>45922</v>
      </c>
      <c r="C749" s="20">
        <f>IFERROR(_xlfn.ISOWEEKNUM(INPUT!M744),"")</f>
        <v>39</v>
      </c>
      <c r="D749" s="20">
        <f>IFERROR(YEAR(INPUT!M744),"")</f>
        <v>2025</v>
      </c>
      <c r="E749" t="str">
        <f>IF(INPUT!O744="","",INPUT!O744)</f>
        <v>BARONA</v>
      </c>
      <c r="F749" t="str">
        <f>IF(INPUT!N744="","",INPUT!N744)</f>
        <v>M</v>
      </c>
      <c r="G749" t="str" cm="1">
        <f t="array" ref="G749">IFERROR(VLOOKUP(INPUT!M744&amp;INPUT!N744,CHOOSE({1,2},INPUT!$A$3:$A$5000&amp;INPUT!$C$3:$C$5000,INPUT!$F$3:$F$5000),2,FALSE),"")</f>
        <v>PRE-TEMPORADA</v>
      </c>
      <c r="H749" t="str" cm="1">
        <f t="array" ref="H749">IFERROR(VLOOKUP(INPUT!M744&amp;INPUT!N744,CHOOSE({1,2},INPUT!$A$3:$A$5000&amp;INPUT!$C$3:$C$5000,INPUT!$D$3:$D$5000),2,FALSE),"")</f>
        <v>PARTIDO</v>
      </c>
      <c r="I749" s="46">
        <f>IF(INPUT!P744="","",INPUT!P744)</f>
        <v>71.8</v>
      </c>
      <c r="J749" s="46">
        <f>IF(INPUT!Q744="","",INPUT!Q744)</f>
        <v>70.5</v>
      </c>
      <c r="K749" s="46">
        <f>IFERROR(IF(OR(INPUT!P744="",INPUT!Q744=""),"",INPUT!P744-INPUT!Q744),"")</f>
        <v>1.2999999999999972</v>
      </c>
      <c r="L749" s="48">
        <f>IFERROR(IF(OR(INPUT!P744="",INPUT!Q744="",INPUT!P744=0),"",(INPUT!P744-INPUT!Q744)/INPUT!P744),"")</f>
        <v>1.8105849582172664E-2</v>
      </c>
    </row>
    <row r="750" spans="1:12" ht="18" hidden="1" customHeight="1" x14ac:dyDescent="0.2">
      <c r="A750" s="11">
        <f>IF(INPUT!M745="","",INPUT!M745)</f>
        <v>45927</v>
      </c>
      <c r="B750" s="11">
        <f>IF(INPUT!M745="","",INPUT!M745-WEEKDAY(INPUT!M745,2)+1)</f>
        <v>45922</v>
      </c>
      <c r="C750" s="20">
        <f>IFERROR(_xlfn.ISOWEEKNUM(INPUT!M745),"")</f>
        <v>39</v>
      </c>
      <c r="D750" s="20">
        <f>IFERROR(YEAR(INPUT!M745),"")</f>
        <v>2025</v>
      </c>
      <c r="E750" t="str">
        <f>IF(INPUT!O745="","",INPUT!O745)</f>
        <v>CARLOS</v>
      </c>
      <c r="F750" t="str">
        <f>IF(INPUT!N745="","",INPUT!N745)</f>
        <v>M</v>
      </c>
      <c r="G750" t="str" cm="1">
        <f t="array" ref="G750">IFERROR(VLOOKUP(INPUT!M745&amp;INPUT!N745,CHOOSE({1,2},INPUT!$A$3:$A$5000&amp;INPUT!$C$3:$C$5000,INPUT!$F$3:$F$5000),2,FALSE),"")</f>
        <v>PRE-TEMPORADA</v>
      </c>
      <c r="H750" t="str" cm="1">
        <f t="array" ref="H750">IFERROR(VLOOKUP(INPUT!M745&amp;INPUT!N745,CHOOSE({1,2},INPUT!$A$3:$A$5000&amp;INPUT!$C$3:$C$5000,INPUT!$D$3:$D$5000),2,FALSE),"")</f>
        <v>PARTIDO</v>
      </c>
      <c r="I750" s="46">
        <f>IF(INPUT!P745="","",INPUT!P745)</f>
        <v>66.7</v>
      </c>
      <c r="J750" s="46">
        <f>IF(INPUT!Q745="","",INPUT!Q745)</f>
        <v>66.3</v>
      </c>
      <c r="K750" s="46">
        <f>IFERROR(IF(OR(INPUT!P745="",INPUT!Q745=""),"",INPUT!P745-INPUT!Q745),"")</f>
        <v>0.40000000000000568</v>
      </c>
      <c r="L750" s="48">
        <f>IFERROR(IF(OR(INPUT!P745="",INPUT!Q745="",INPUT!P745=0),"",(INPUT!P745-INPUT!Q745)/INPUT!P745),"")</f>
        <v>5.9970014992504596E-3</v>
      </c>
    </row>
    <row r="751" spans="1:12" ht="18" hidden="1" customHeight="1" x14ac:dyDescent="0.2">
      <c r="A751" s="11">
        <f>IF(INPUT!M746="","",INPUT!M746)</f>
        <v>45927</v>
      </c>
      <c r="B751" s="11">
        <f>IF(INPUT!M746="","",INPUT!M746-WEEKDAY(INPUT!M746,2)+1)</f>
        <v>45922</v>
      </c>
      <c r="C751" s="20">
        <f>IFERROR(_xlfn.ISOWEEKNUM(INPUT!M746),"")</f>
        <v>39</v>
      </c>
      <c r="D751" s="20">
        <f>IFERROR(YEAR(INPUT!M746),"")</f>
        <v>2025</v>
      </c>
      <c r="E751" t="str">
        <f>IF(INPUT!O746="","",INPUT!O746)</f>
        <v>RUBIO</v>
      </c>
      <c r="F751" t="str">
        <f>IF(INPUT!N746="","",INPUT!N746)</f>
        <v>M</v>
      </c>
      <c r="G751" t="str" cm="1">
        <f t="array" ref="G751">IFERROR(VLOOKUP(INPUT!M746&amp;INPUT!N746,CHOOSE({1,2},INPUT!$A$3:$A$5000&amp;INPUT!$C$3:$C$5000,INPUT!$F$3:$F$5000),2,FALSE),"")</f>
        <v>PRE-TEMPORADA</v>
      </c>
      <c r="H751" t="str" cm="1">
        <f t="array" ref="H751">IFERROR(VLOOKUP(INPUT!M746&amp;INPUT!N746,CHOOSE({1,2},INPUT!$A$3:$A$5000&amp;INPUT!$C$3:$C$5000,INPUT!$D$3:$D$5000),2,FALSE),"")</f>
        <v>PARTIDO</v>
      </c>
      <c r="I751" s="46">
        <f>IF(INPUT!P746="","",INPUT!P746)</f>
        <v>74.599999999999994</v>
      </c>
      <c r="J751" s="46">
        <f>IF(INPUT!Q746="","",INPUT!Q746)</f>
        <v>74.599999999999994</v>
      </c>
      <c r="K751" s="46">
        <f>IFERROR(IF(OR(INPUT!P746="",INPUT!Q746=""),"",INPUT!P746-INPUT!Q746),"")</f>
        <v>0</v>
      </c>
      <c r="L751" s="48">
        <f>IFERROR(IF(OR(INPUT!P746="",INPUT!Q746="",INPUT!P746=0),"",(INPUT!P746-INPUT!Q746)/INPUT!P746),"")</f>
        <v>0</v>
      </c>
    </row>
    <row r="752" spans="1:12" ht="18" hidden="1" customHeight="1" x14ac:dyDescent="0.2">
      <c r="A752" s="11">
        <f>IF(INPUT!M747="","",INPUT!M747)</f>
        <v>45927</v>
      </c>
      <c r="B752" s="11">
        <f>IF(INPUT!M747="","",INPUT!M747-WEEKDAY(INPUT!M747,2)+1)</f>
        <v>45922</v>
      </c>
      <c r="C752" s="20">
        <f>IFERROR(_xlfn.ISOWEEKNUM(INPUT!M747),"")</f>
        <v>39</v>
      </c>
      <c r="D752" s="20">
        <f>IFERROR(YEAR(INPUT!M747),"")</f>
        <v>2025</v>
      </c>
      <c r="E752" t="str">
        <f>IF(INPUT!O747="","",INPUT!O747)</f>
        <v>DANI</v>
      </c>
      <c r="F752" t="str">
        <f>IF(INPUT!N747="","",INPUT!N747)</f>
        <v>M</v>
      </c>
      <c r="G752" t="str" cm="1">
        <f t="array" ref="G752">IFERROR(VLOOKUP(INPUT!M747&amp;INPUT!N747,CHOOSE({1,2},INPUT!$A$3:$A$5000&amp;INPUT!$C$3:$C$5000,INPUT!$F$3:$F$5000),2,FALSE),"")</f>
        <v>PRE-TEMPORADA</v>
      </c>
      <c r="H752" t="str" cm="1">
        <f t="array" ref="H752">IFERROR(VLOOKUP(INPUT!M747&amp;INPUT!N747,CHOOSE({1,2},INPUT!$A$3:$A$5000&amp;INPUT!$C$3:$C$5000,INPUT!$D$3:$D$5000),2,FALSE),"")</f>
        <v>PARTIDO</v>
      </c>
      <c r="I752" s="46">
        <f>IF(INPUT!P747="","",INPUT!P747)</f>
        <v>93.3</v>
      </c>
      <c r="J752" s="46">
        <f>IF(INPUT!Q747="","",INPUT!Q747)</f>
        <v>93</v>
      </c>
      <c r="K752" s="46">
        <f>IFERROR(IF(OR(INPUT!P747="",INPUT!Q747=""),"",INPUT!P747-INPUT!Q747),"")</f>
        <v>0.29999999999999716</v>
      </c>
      <c r="L752" s="48">
        <f>IFERROR(IF(OR(INPUT!P747="",INPUT!Q747="",INPUT!P747=0),"",(INPUT!P747-INPUT!Q747)/INPUT!P747),"")</f>
        <v>3.2154340836012558E-3</v>
      </c>
    </row>
    <row r="753" spans="1:12" ht="18" hidden="1" customHeight="1" x14ac:dyDescent="0.2">
      <c r="A753" s="11">
        <f>IF(INPUT!M748="","",INPUT!M748)</f>
        <v>45929</v>
      </c>
      <c r="B753" s="11">
        <f>IF(INPUT!M748="","",INPUT!M748-WEEKDAY(INPUT!M748,2)+1)</f>
        <v>45929</v>
      </c>
      <c r="C753" s="20">
        <f>IFERROR(_xlfn.ISOWEEKNUM(INPUT!M748),"")</f>
        <v>40</v>
      </c>
      <c r="D753" s="20">
        <f>IFERROR(YEAR(INPUT!M748),"")</f>
        <v>2025</v>
      </c>
      <c r="E753" t="str">
        <f>IF(INPUT!O748="","",INPUT!O748)</f>
        <v>HERRERO</v>
      </c>
      <c r="F753" t="str">
        <f>IF(INPUT!N748="","",INPUT!N748)</f>
        <v>T</v>
      </c>
      <c r="G753" t="str" cm="1">
        <f t="array" ref="G753">IFERROR(VLOOKUP(INPUT!M748&amp;INPUT!N748,CHOOSE({1,2},INPUT!$A$3:$A$5000&amp;INPUT!$C$3:$C$5000,INPUT!$F$3:$F$5000),2,FALSE),"")</f>
        <v>PRE-TEMPORADA</v>
      </c>
      <c r="H753" t="str" cm="1">
        <f t="array" ref="H753">IFERROR(VLOOKUP(INPUT!M748&amp;INPUT!N748,CHOOSE({1,2},INPUT!$A$3:$A$5000&amp;INPUT!$C$3:$C$5000,INPUT!$D$3:$D$5000),2,FALSE),"")</f>
        <v>TEC-TAC</v>
      </c>
      <c r="I753" s="46">
        <f>IF(INPUT!P748="","",INPUT!P748)</f>
        <v>77</v>
      </c>
      <c r="J753" s="46">
        <f>IF(INPUT!Q748="","",INPUT!Q748)</f>
        <v>76</v>
      </c>
      <c r="K753" s="46">
        <f>IFERROR(IF(OR(INPUT!P748="",INPUT!Q748=""),"",INPUT!P748-INPUT!Q748),"")</f>
        <v>1</v>
      </c>
      <c r="L753" s="48">
        <f>IFERROR(IF(OR(INPUT!P748="",INPUT!Q748="",INPUT!P748=0),"",(INPUT!P748-INPUT!Q748)/INPUT!P748),"")</f>
        <v>1.2987012987012988E-2</v>
      </c>
    </row>
    <row r="754" spans="1:12" ht="18" hidden="1" customHeight="1" x14ac:dyDescent="0.2">
      <c r="A754" s="11">
        <f>IF(INPUT!M749="","",INPUT!M749)</f>
        <v>45929</v>
      </c>
      <c r="B754" s="11">
        <f>IF(INPUT!M749="","",INPUT!M749-WEEKDAY(INPUT!M749,2)+1)</f>
        <v>45929</v>
      </c>
      <c r="C754" s="20">
        <f>IFERROR(_xlfn.ISOWEEKNUM(INPUT!M749),"")</f>
        <v>40</v>
      </c>
      <c r="D754" s="20">
        <f>IFERROR(YEAR(INPUT!M749),"")</f>
        <v>2025</v>
      </c>
      <c r="E754" t="str">
        <f>IF(INPUT!O749="","",INPUT!O749)</f>
        <v>OSCAR</v>
      </c>
      <c r="F754" t="str">
        <f>IF(INPUT!N749="","",INPUT!N749)</f>
        <v>T</v>
      </c>
      <c r="G754" t="str" cm="1">
        <f t="array" ref="G754">IFERROR(VLOOKUP(INPUT!M749&amp;INPUT!N749,CHOOSE({1,2},INPUT!$A$3:$A$5000&amp;INPUT!$C$3:$C$5000,INPUT!$F$3:$F$5000),2,FALSE),"")</f>
        <v>PRE-TEMPORADA</v>
      </c>
      <c r="H754" t="str" cm="1">
        <f t="array" ref="H754">IFERROR(VLOOKUP(INPUT!M749&amp;INPUT!N749,CHOOSE({1,2},INPUT!$A$3:$A$5000&amp;INPUT!$C$3:$C$5000,INPUT!$D$3:$D$5000),2,FALSE),"")</f>
        <v>TEC-TAC</v>
      </c>
      <c r="I754" s="46">
        <f>IF(INPUT!P749="","",INPUT!P749)</f>
        <v>85.5</v>
      </c>
      <c r="J754" s="46">
        <f>IF(INPUT!Q749="","",INPUT!Q749)</f>
        <v>85.2</v>
      </c>
      <c r="K754" s="46">
        <f>IFERROR(IF(OR(INPUT!P749="",INPUT!Q749=""),"",INPUT!P749-INPUT!Q749),"")</f>
        <v>0.29999999999999716</v>
      </c>
      <c r="L754" s="48">
        <f>IFERROR(IF(OR(INPUT!P749="",INPUT!Q749="",INPUT!P749=0),"",(INPUT!P749-INPUT!Q749)/INPUT!P749),"")</f>
        <v>3.5087719298245281E-3</v>
      </c>
    </row>
    <row r="755" spans="1:12" ht="18" hidden="1" customHeight="1" x14ac:dyDescent="0.2">
      <c r="A755" s="11">
        <f>IF(INPUT!M750="","",INPUT!M750)</f>
        <v>45929</v>
      </c>
      <c r="B755" s="11">
        <f>IF(INPUT!M750="","",INPUT!M750-WEEKDAY(INPUT!M750,2)+1)</f>
        <v>45929</v>
      </c>
      <c r="C755" s="20">
        <f>IFERROR(_xlfn.ISOWEEKNUM(INPUT!M750),"")</f>
        <v>40</v>
      </c>
      <c r="D755" s="20">
        <f>IFERROR(YEAR(INPUT!M750),"")</f>
        <v>2025</v>
      </c>
      <c r="E755" t="str">
        <f>IF(INPUT!O750="","",INPUT!O750)</f>
        <v>CECILIO</v>
      </c>
      <c r="F755" t="str">
        <f>IF(INPUT!N750="","",INPUT!N750)</f>
        <v>T</v>
      </c>
      <c r="G755" t="str" cm="1">
        <f t="array" ref="G755">IFERROR(VLOOKUP(INPUT!M750&amp;INPUT!N750,CHOOSE({1,2},INPUT!$A$3:$A$5000&amp;INPUT!$C$3:$C$5000,INPUT!$F$3:$F$5000),2,FALSE),"")</f>
        <v>PRE-TEMPORADA</v>
      </c>
      <c r="H755" t="str" cm="1">
        <f t="array" ref="H755">IFERROR(VLOOKUP(INPUT!M750&amp;INPUT!N750,CHOOSE({1,2},INPUT!$A$3:$A$5000&amp;INPUT!$C$3:$C$5000,INPUT!$D$3:$D$5000),2,FALSE),"")</f>
        <v>TEC-TAC</v>
      </c>
      <c r="I755" s="46">
        <f>IF(INPUT!P750="","",INPUT!P750)</f>
        <v>67.099999999999994</v>
      </c>
      <c r="J755" s="46">
        <f>IF(INPUT!Q750="","",INPUT!Q750)</f>
        <v>67</v>
      </c>
      <c r="K755" s="46">
        <f>IFERROR(IF(OR(INPUT!P750="",INPUT!Q750=""),"",INPUT!P750-INPUT!Q750),"")</f>
        <v>9.9999999999994316E-2</v>
      </c>
      <c r="L755" s="48">
        <f>IFERROR(IF(OR(INPUT!P750="",INPUT!Q750="",INPUT!P750=0),"",(INPUT!P750-INPUT!Q750)/INPUT!P750),"")</f>
        <v>1.4903129657227172E-3</v>
      </c>
    </row>
    <row r="756" spans="1:12" ht="18" hidden="1" customHeight="1" x14ac:dyDescent="0.2">
      <c r="A756" s="11">
        <f>IF(INPUT!M751="","",INPUT!M751)</f>
        <v>45929</v>
      </c>
      <c r="B756" s="11">
        <f>IF(INPUT!M751="","",INPUT!M751-WEEKDAY(INPUT!M751,2)+1)</f>
        <v>45929</v>
      </c>
      <c r="C756" s="20">
        <f>IFERROR(_xlfn.ISOWEEKNUM(INPUT!M751),"")</f>
        <v>40</v>
      </c>
      <c r="D756" s="20">
        <f>IFERROR(YEAR(INPUT!M751),"")</f>
        <v>2025</v>
      </c>
      <c r="E756" t="str">
        <f>IF(INPUT!O751="","",INPUT!O751)</f>
        <v>CHAGUINHA</v>
      </c>
      <c r="F756" t="str">
        <f>IF(INPUT!N751="","",INPUT!N751)</f>
        <v>T</v>
      </c>
      <c r="G756" t="str" cm="1">
        <f t="array" ref="G756">IFERROR(VLOOKUP(INPUT!M751&amp;INPUT!N751,CHOOSE({1,2},INPUT!$A$3:$A$5000&amp;INPUT!$C$3:$C$5000,INPUT!$F$3:$F$5000),2,FALSE),"")</f>
        <v>PRE-TEMPORADA</v>
      </c>
      <c r="H756" t="str" cm="1">
        <f t="array" ref="H756">IFERROR(VLOOKUP(INPUT!M751&amp;INPUT!N751,CHOOSE({1,2},INPUT!$A$3:$A$5000&amp;INPUT!$C$3:$C$5000,INPUT!$D$3:$D$5000),2,FALSE),"")</f>
        <v>TEC-TAC</v>
      </c>
      <c r="I756" s="46">
        <f>IF(INPUT!P751="","",INPUT!P751)</f>
        <v>69</v>
      </c>
      <c r="J756" s="46">
        <f>IF(INPUT!Q751="","",INPUT!Q751)</f>
        <v>68.5</v>
      </c>
      <c r="K756" s="46">
        <f>IFERROR(IF(OR(INPUT!P751="",INPUT!Q751=""),"",INPUT!P751-INPUT!Q751),"")</f>
        <v>0.5</v>
      </c>
      <c r="L756" s="48">
        <f>IFERROR(IF(OR(INPUT!P751="",INPUT!Q751="",INPUT!P751=0),"",(INPUT!P751-INPUT!Q751)/INPUT!P751),"")</f>
        <v>7.246376811594203E-3</v>
      </c>
    </row>
    <row r="757" spans="1:12" ht="18" hidden="1" customHeight="1" x14ac:dyDescent="0.2">
      <c r="A757" s="11">
        <f>IF(INPUT!M752="","",INPUT!M752)</f>
        <v>45929</v>
      </c>
      <c r="B757" s="11">
        <f>IF(INPUT!M752="","",INPUT!M752-WEEKDAY(INPUT!M752,2)+1)</f>
        <v>45929</v>
      </c>
      <c r="C757" s="20">
        <f>IFERROR(_xlfn.ISOWEEKNUM(INPUT!M752),"")</f>
        <v>40</v>
      </c>
      <c r="D757" s="20">
        <f>IFERROR(YEAR(INPUT!M752),"")</f>
        <v>2025</v>
      </c>
      <c r="E757" t="str">
        <f>IF(INPUT!O752="","",INPUT!O752)</f>
        <v>RAUL</v>
      </c>
      <c r="F757" t="str">
        <f>IF(INPUT!N752="","",INPUT!N752)</f>
        <v>T</v>
      </c>
      <c r="G757" t="str" cm="1">
        <f t="array" ref="G757">IFERROR(VLOOKUP(INPUT!M752&amp;INPUT!N752,CHOOSE({1,2},INPUT!$A$3:$A$5000&amp;INPUT!$C$3:$C$5000,INPUT!$F$3:$F$5000),2,FALSE),"")</f>
        <v>PRE-TEMPORADA</v>
      </c>
      <c r="H757" t="str" cm="1">
        <f t="array" ref="H757">IFERROR(VLOOKUP(INPUT!M752&amp;INPUT!N752,CHOOSE({1,2},INPUT!$A$3:$A$5000&amp;INPUT!$C$3:$C$5000,INPUT!$D$3:$D$5000),2,FALSE),"")</f>
        <v>TEC-TAC</v>
      </c>
      <c r="I757" s="46">
        <f>IF(INPUT!P752="","",INPUT!P752)</f>
        <v>81</v>
      </c>
      <c r="J757" s="46">
        <f>IF(INPUT!Q752="","",INPUT!Q752)</f>
        <v>81.099999999999994</v>
      </c>
      <c r="K757" s="46">
        <f>IFERROR(IF(OR(INPUT!P752="",INPUT!Q752=""),"",INPUT!P752-INPUT!Q752),"")</f>
        <v>-9.9999999999994316E-2</v>
      </c>
      <c r="L757" s="48">
        <f>IFERROR(IF(OR(INPUT!P752="",INPUT!Q752="",INPUT!P752=0),"",(INPUT!P752-INPUT!Q752)/INPUT!P752),"")</f>
        <v>-1.2345679012344976E-3</v>
      </c>
    </row>
    <row r="758" spans="1:12" ht="18" hidden="1" customHeight="1" x14ac:dyDescent="0.2">
      <c r="A758" s="11">
        <f>IF(INPUT!M753="","",INPUT!M753)</f>
        <v>45929</v>
      </c>
      <c r="B758" s="11">
        <f>IF(INPUT!M753="","",INPUT!M753-WEEKDAY(INPUT!M753,2)+1)</f>
        <v>45929</v>
      </c>
      <c r="C758" s="20">
        <f>IFERROR(_xlfn.ISOWEEKNUM(INPUT!M753),"")</f>
        <v>40</v>
      </c>
      <c r="D758" s="20">
        <f>IFERROR(YEAR(INPUT!M753),"")</f>
        <v>2025</v>
      </c>
      <c r="E758" t="str">
        <f>IF(INPUT!O753="","",INPUT!O753)</f>
        <v>HARRISON</v>
      </c>
      <c r="F758" t="str">
        <f>IF(INPUT!N753="","",INPUT!N753)</f>
        <v>T</v>
      </c>
      <c r="G758" t="str" cm="1">
        <f t="array" ref="G758">IFERROR(VLOOKUP(INPUT!M753&amp;INPUT!N753,CHOOSE({1,2},INPUT!$A$3:$A$5000&amp;INPUT!$C$3:$C$5000,INPUT!$F$3:$F$5000),2,FALSE),"")</f>
        <v>PRE-TEMPORADA</v>
      </c>
      <c r="H758" t="str" cm="1">
        <f t="array" ref="H758">IFERROR(VLOOKUP(INPUT!M753&amp;INPUT!N753,CHOOSE({1,2},INPUT!$A$3:$A$5000&amp;INPUT!$C$3:$C$5000,INPUT!$D$3:$D$5000),2,FALSE),"")</f>
        <v>TEC-TAC</v>
      </c>
      <c r="I758" s="46">
        <f>IF(INPUT!P753="","",INPUT!P753)</f>
        <v>71.599999999999994</v>
      </c>
      <c r="J758" s="46">
        <f>IF(INPUT!Q753="","",INPUT!Q753)</f>
        <v>71.8</v>
      </c>
      <c r="K758" s="46">
        <f>IFERROR(IF(OR(INPUT!P753="",INPUT!Q753=""),"",INPUT!P753-INPUT!Q753),"")</f>
        <v>-0.20000000000000284</v>
      </c>
      <c r="L758" s="48">
        <f>IFERROR(IF(OR(INPUT!P753="",INPUT!Q753="",INPUT!P753=0),"",(INPUT!P753-INPUT!Q753)/INPUT!P753),"")</f>
        <v>-2.7932960893855148E-3</v>
      </c>
    </row>
    <row r="759" spans="1:12" ht="18" hidden="1" customHeight="1" x14ac:dyDescent="0.2">
      <c r="A759" s="11">
        <f>IF(INPUT!M754="","",INPUT!M754)</f>
        <v>45929</v>
      </c>
      <c r="B759" s="11">
        <f>IF(INPUT!M754="","",INPUT!M754-WEEKDAY(INPUT!M754,2)+1)</f>
        <v>45929</v>
      </c>
      <c r="C759" s="20">
        <f>IFERROR(_xlfn.ISOWEEKNUM(INPUT!M754),"")</f>
        <v>40</v>
      </c>
      <c r="D759" s="20">
        <f>IFERROR(YEAR(INPUT!M754),"")</f>
        <v>2025</v>
      </c>
      <c r="E759" t="str">
        <f>IF(INPUT!O754="","",INPUT!O754)</f>
        <v>JAVI</v>
      </c>
      <c r="F759" t="str">
        <f>IF(INPUT!N754="","",INPUT!N754)</f>
        <v>T</v>
      </c>
      <c r="G759" t="str" cm="1">
        <f t="array" ref="G759">IFERROR(VLOOKUP(INPUT!M754&amp;INPUT!N754,CHOOSE({1,2},INPUT!$A$3:$A$5000&amp;INPUT!$C$3:$C$5000,INPUT!$F$3:$F$5000),2,FALSE),"")</f>
        <v>PRE-TEMPORADA</v>
      </c>
      <c r="H759" t="str" cm="1">
        <f t="array" ref="H759">IFERROR(VLOOKUP(INPUT!M754&amp;INPUT!N754,CHOOSE({1,2},INPUT!$A$3:$A$5000&amp;INPUT!$C$3:$C$5000,INPUT!$D$3:$D$5000),2,FALSE),"")</f>
        <v>TEC-TAC</v>
      </c>
      <c r="I759" s="46">
        <f>IF(INPUT!P754="","",INPUT!P754)</f>
        <v>78.5</v>
      </c>
      <c r="J759" s="46">
        <f>IF(INPUT!Q754="","",INPUT!Q754)</f>
        <v>78.5</v>
      </c>
      <c r="K759" s="46">
        <f>IFERROR(IF(OR(INPUT!P754="",INPUT!Q754=""),"",INPUT!P754-INPUT!Q754),"")</f>
        <v>0</v>
      </c>
      <c r="L759" s="48">
        <f>IFERROR(IF(OR(INPUT!P754="",INPUT!Q754="",INPUT!P754=0),"",(INPUT!P754-INPUT!Q754)/INPUT!P754),"")</f>
        <v>0</v>
      </c>
    </row>
    <row r="760" spans="1:12" ht="18" hidden="1" customHeight="1" x14ac:dyDescent="0.2">
      <c r="A760" s="11">
        <f>IF(INPUT!M755="","",INPUT!M755)</f>
        <v>45929</v>
      </c>
      <c r="B760" s="11">
        <f>IF(INPUT!M755="","",INPUT!M755-WEEKDAY(INPUT!M755,2)+1)</f>
        <v>45929</v>
      </c>
      <c r="C760" s="20">
        <f>IFERROR(_xlfn.ISOWEEKNUM(INPUT!M755),"")</f>
        <v>40</v>
      </c>
      <c r="D760" s="20">
        <f>IFERROR(YEAR(INPUT!M755),"")</f>
        <v>2025</v>
      </c>
      <c r="E760" t="str">
        <f>IF(INPUT!O755="","",INPUT!O755)</f>
        <v>PANI</v>
      </c>
      <c r="F760" t="str">
        <f>IF(INPUT!N755="","",INPUT!N755)</f>
        <v>T</v>
      </c>
      <c r="G760" t="str" cm="1">
        <f t="array" ref="G760">IFERROR(VLOOKUP(INPUT!M755&amp;INPUT!N755,CHOOSE({1,2},INPUT!$A$3:$A$5000&amp;INPUT!$C$3:$C$5000,INPUT!$F$3:$F$5000),2,FALSE),"")</f>
        <v>PRE-TEMPORADA</v>
      </c>
      <c r="H760" t="str" cm="1">
        <f t="array" ref="H760">IFERROR(VLOOKUP(INPUT!M755&amp;INPUT!N755,CHOOSE({1,2},INPUT!$A$3:$A$5000&amp;INPUT!$C$3:$C$5000,INPUT!$D$3:$D$5000),2,FALSE),"")</f>
        <v>TEC-TAC</v>
      </c>
      <c r="I760" s="46">
        <f>IF(INPUT!P755="","",INPUT!P755)</f>
        <v>71.5</v>
      </c>
      <c r="J760" s="46">
        <f>IF(INPUT!Q755="","",INPUT!Q755)</f>
        <v>70.2</v>
      </c>
      <c r="K760" s="46">
        <f>IFERROR(IF(OR(INPUT!P755="",INPUT!Q755=""),"",INPUT!P755-INPUT!Q755),"")</f>
        <v>1.2999999999999972</v>
      </c>
      <c r="L760" s="48">
        <f>IFERROR(IF(OR(INPUT!P755="",INPUT!Q755="",INPUT!P755=0),"",(INPUT!P755-INPUT!Q755)/INPUT!P755),"")</f>
        <v>1.8181818181818143E-2</v>
      </c>
    </row>
    <row r="761" spans="1:12" ht="18" hidden="1" customHeight="1" x14ac:dyDescent="0.2">
      <c r="A761" s="11">
        <f>IF(INPUT!M756="","",INPUT!M756)</f>
        <v>45929</v>
      </c>
      <c r="B761" s="11">
        <f>IF(INPUT!M756="","",INPUT!M756-WEEKDAY(INPUT!M756,2)+1)</f>
        <v>45929</v>
      </c>
      <c r="C761" s="20">
        <f>IFERROR(_xlfn.ISOWEEKNUM(INPUT!M756),"")</f>
        <v>40</v>
      </c>
      <c r="D761" s="20">
        <f>IFERROR(YEAR(INPUT!M756),"")</f>
        <v>2025</v>
      </c>
      <c r="E761" t="str">
        <f>IF(INPUT!O756="","",INPUT!O756)</f>
        <v>PIRATA</v>
      </c>
      <c r="F761" t="str">
        <f>IF(INPUT!N756="","",INPUT!N756)</f>
        <v>T</v>
      </c>
      <c r="G761" t="str" cm="1">
        <f t="array" ref="G761">IFERROR(VLOOKUP(INPUT!M756&amp;INPUT!N756,CHOOSE({1,2},INPUT!$A$3:$A$5000&amp;INPUT!$C$3:$C$5000,INPUT!$F$3:$F$5000),2,FALSE),"")</f>
        <v>PRE-TEMPORADA</v>
      </c>
      <c r="H761" t="str" cm="1">
        <f t="array" ref="H761">IFERROR(VLOOKUP(INPUT!M756&amp;INPUT!N756,CHOOSE({1,2},INPUT!$A$3:$A$5000&amp;INPUT!$C$3:$C$5000,INPUT!$D$3:$D$5000),2,FALSE),"")</f>
        <v>TEC-TAC</v>
      </c>
      <c r="I761" s="46">
        <f>IF(INPUT!P756="","",INPUT!P756)</f>
        <v>74.900000000000006</v>
      </c>
      <c r="J761" s="46">
        <f>IF(INPUT!Q756="","",INPUT!Q756)</f>
        <v>74.900000000000006</v>
      </c>
      <c r="K761" s="46">
        <f>IFERROR(IF(OR(INPUT!P756="",INPUT!Q756=""),"",INPUT!P756-INPUT!Q756),"")</f>
        <v>0</v>
      </c>
      <c r="L761" s="48">
        <f>IFERROR(IF(OR(INPUT!P756="",INPUT!Q756="",INPUT!P756=0),"",(INPUT!P756-INPUT!Q756)/INPUT!P756),"")</f>
        <v>0</v>
      </c>
    </row>
    <row r="762" spans="1:12" ht="18" hidden="1" customHeight="1" x14ac:dyDescent="0.2">
      <c r="A762" s="11">
        <f>IF(INPUT!M757="","",INPUT!M757)</f>
        <v>45929</v>
      </c>
      <c r="B762" s="11">
        <f>IF(INPUT!M757="","",INPUT!M757-WEEKDAY(INPUT!M757,2)+1)</f>
        <v>45929</v>
      </c>
      <c r="C762" s="20">
        <f>IFERROR(_xlfn.ISOWEEKNUM(INPUT!M757),"")</f>
        <v>40</v>
      </c>
      <c r="D762" s="20">
        <f>IFERROR(YEAR(INPUT!M757),"")</f>
        <v>2025</v>
      </c>
      <c r="E762" t="str">
        <f>IF(INPUT!O757="","",INPUT!O757)</f>
        <v>BARONA</v>
      </c>
      <c r="F762" t="str">
        <f>IF(INPUT!N757="","",INPUT!N757)</f>
        <v>T</v>
      </c>
      <c r="G762" t="str" cm="1">
        <f t="array" ref="G762">IFERROR(VLOOKUP(INPUT!M757&amp;INPUT!N757,CHOOSE({1,2},INPUT!$A$3:$A$5000&amp;INPUT!$C$3:$C$5000,INPUT!$F$3:$F$5000),2,FALSE),"")</f>
        <v>PRE-TEMPORADA</v>
      </c>
      <c r="H762" t="str" cm="1">
        <f t="array" ref="H762">IFERROR(VLOOKUP(INPUT!M757&amp;INPUT!N757,CHOOSE({1,2},INPUT!$A$3:$A$5000&amp;INPUT!$C$3:$C$5000,INPUT!$D$3:$D$5000),2,FALSE),"")</f>
        <v>TEC-TAC</v>
      </c>
      <c r="I762" s="46">
        <f>IF(INPUT!P757="","",INPUT!P757)</f>
        <v>72.099999999999994</v>
      </c>
      <c r="J762" s="46">
        <f>IF(INPUT!Q757="","",INPUT!Q757)</f>
        <v>72.099999999999994</v>
      </c>
      <c r="K762" s="46">
        <f>IFERROR(IF(OR(INPUT!P757="",INPUT!Q757=""),"",INPUT!P757-INPUT!Q757),"")</f>
        <v>0</v>
      </c>
      <c r="L762" s="48">
        <f>IFERROR(IF(OR(INPUT!P757="",INPUT!Q757="",INPUT!P757=0),"",(INPUT!P757-INPUT!Q757)/INPUT!P757),"")</f>
        <v>0</v>
      </c>
    </row>
    <row r="763" spans="1:12" ht="18" hidden="1" customHeight="1" x14ac:dyDescent="0.2">
      <c r="A763" s="11">
        <f>IF(INPUT!M758="","",INPUT!M758)</f>
        <v>45929</v>
      </c>
      <c r="B763" s="11">
        <f>IF(INPUT!M758="","",INPUT!M758-WEEKDAY(INPUT!M758,2)+1)</f>
        <v>45929</v>
      </c>
      <c r="C763" s="20">
        <f>IFERROR(_xlfn.ISOWEEKNUM(INPUT!M758),"")</f>
        <v>40</v>
      </c>
      <c r="D763" s="20">
        <f>IFERROR(YEAR(INPUT!M758),"")</f>
        <v>2025</v>
      </c>
      <c r="E763" t="str">
        <f>IF(INPUT!O758="","",INPUT!O758)</f>
        <v>CARLOS</v>
      </c>
      <c r="F763" t="str">
        <f>IF(INPUT!N758="","",INPUT!N758)</f>
        <v>T</v>
      </c>
      <c r="G763" t="str" cm="1">
        <f t="array" ref="G763">IFERROR(VLOOKUP(INPUT!M758&amp;INPUT!N758,CHOOSE({1,2},INPUT!$A$3:$A$5000&amp;INPUT!$C$3:$C$5000,INPUT!$F$3:$F$5000),2,FALSE),"")</f>
        <v>PRE-TEMPORADA</v>
      </c>
      <c r="H763" t="str" cm="1">
        <f t="array" ref="H763">IFERROR(VLOOKUP(INPUT!M758&amp;INPUT!N758,CHOOSE({1,2},INPUT!$A$3:$A$5000&amp;INPUT!$C$3:$C$5000,INPUT!$D$3:$D$5000),2,FALSE),"")</f>
        <v>TEC-TAC</v>
      </c>
      <c r="I763" s="46">
        <f>IF(INPUT!P758="","",INPUT!P758)</f>
        <v>66.400000000000006</v>
      </c>
      <c r="J763" s="46">
        <f>IF(INPUT!Q758="","",INPUT!Q758)</f>
        <v>66.099999999999994</v>
      </c>
      <c r="K763" s="46">
        <f>IFERROR(IF(OR(INPUT!P758="",INPUT!Q758=""),"",INPUT!P758-INPUT!Q758),"")</f>
        <v>0.30000000000001137</v>
      </c>
      <c r="L763" s="48">
        <f>IFERROR(IF(OR(INPUT!P758="",INPUT!Q758="",INPUT!P758=0),"",(INPUT!P758-INPUT!Q758)/INPUT!P758),"")</f>
        <v>4.5180722891567972E-3</v>
      </c>
    </row>
    <row r="764" spans="1:12" ht="18" hidden="1" customHeight="1" x14ac:dyDescent="0.2">
      <c r="A764" s="11">
        <f>IF(INPUT!M759="","",INPUT!M759)</f>
        <v>45929</v>
      </c>
      <c r="B764" s="11">
        <f>IF(INPUT!M759="","",INPUT!M759-WEEKDAY(INPUT!M759,2)+1)</f>
        <v>45929</v>
      </c>
      <c r="C764" s="20">
        <f>IFERROR(_xlfn.ISOWEEKNUM(INPUT!M759),"")</f>
        <v>40</v>
      </c>
      <c r="D764" s="20">
        <f>IFERROR(YEAR(INPUT!M759),"")</f>
        <v>2025</v>
      </c>
      <c r="E764" t="str">
        <f>IF(INPUT!O759="","",INPUT!O759)</f>
        <v>GONZALO</v>
      </c>
      <c r="F764" t="str">
        <f>IF(INPUT!N759="","",INPUT!N759)</f>
        <v>T</v>
      </c>
      <c r="G764" t="str" cm="1">
        <f t="array" ref="G764">IFERROR(VLOOKUP(INPUT!M759&amp;INPUT!N759,CHOOSE({1,2},INPUT!$A$3:$A$5000&amp;INPUT!$C$3:$C$5000,INPUT!$F$3:$F$5000),2,FALSE),"")</f>
        <v>PRE-TEMPORADA</v>
      </c>
      <c r="H764" t="str" cm="1">
        <f t="array" ref="H764">IFERROR(VLOOKUP(INPUT!M759&amp;INPUT!N759,CHOOSE({1,2},INPUT!$A$3:$A$5000&amp;INPUT!$C$3:$C$5000,INPUT!$D$3:$D$5000),2,FALSE),"")</f>
        <v>TEC-TAC</v>
      </c>
      <c r="I764" s="46">
        <f>IF(INPUT!P759="","",INPUT!P759)</f>
        <v>84.3</v>
      </c>
      <c r="J764" s="46">
        <f>IF(INPUT!Q759="","",INPUT!Q759)</f>
        <v>84.4</v>
      </c>
      <c r="K764" s="46">
        <f>IFERROR(IF(OR(INPUT!P759="",INPUT!Q759=""),"",INPUT!P759-INPUT!Q759),"")</f>
        <v>-0.10000000000000853</v>
      </c>
      <c r="L764" s="48">
        <f>IFERROR(IF(OR(INPUT!P759="",INPUT!Q759="",INPUT!P759=0),"",(INPUT!P759-INPUT!Q759)/INPUT!P759),"")</f>
        <v>-1.1862396204034226E-3</v>
      </c>
    </row>
    <row r="765" spans="1:12" ht="18" hidden="1" customHeight="1" x14ac:dyDescent="0.2">
      <c r="A765" s="11">
        <f>IF(INPUT!M760="","",INPUT!M760)</f>
        <v>45929</v>
      </c>
      <c r="B765" s="11">
        <f>IF(INPUT!M760="","",INPUT!M760-WEEKDAY(INPUT!M760,2)+1)</f>
        <v>45929</v>
      </c>
      <c r="C765" s="20">
        <f>IFERROR(_xlfn.ISOWEEKNUM(INPUT!M760),"")</f>
        <v>40</v>
      </c>
      <c r="D765" s="20">
        <f>IFERROR(YEAR(INPUT!M760),"")</f>
        <v>2025</v>
      </c>
      <c r="E765" t="str">
        <f>IF(INPUT!O760="","",INPUT!O760)</f>
        <v>RUBIO</v>
      </c>
      <c r="F765" t="str">
        <f>IF(INPUT!N760="","",INPUT!N760)</f>
        <v>T</v>
      </c>
      <c r="G765" t="str" cm="1">
        <f t="array" ref="G765">IFERROR(VLOOKUP(INPUT!M760&amp;INPUT!N760,CHOOSE({1,2},INPUT!$A$3:$A$5000&amp;INPUT!$C$3:$C$5000,INPUT!$F$3:$F$5000),2,FALSE),"")</f>
        <v>PRE-TEMPORADA</v>
      </c>
      <c r="H765" t="str" cm="1">
        <f t="array" ref="H765">IFERROR(VLOOKUP(INPUT!M760&amp;INPUT!N760,CHOOSE({1,2},INPUT!$A$3:$A$5000&amp;INPUT!$C$3:$C$5000,INPUT!$D$3:$D$5000),2,FALSE),"")</f>
        <v>TEC-TAC</v>
      </c>
      <c r="I765" s="46">
        <f>IF(INPUT!P760="","",INPUT!P760)</f>
        <v>74.599999999999994</v>
      </c>
      <c r="J765" s="46">
        <f>IF(INPUT!Q760="","",INPUT!Q760)</f>
        <v>74.599999999999994</v>
      </c>
      <c r="K765" s="46">
        <f>IFERROR(IF(OR(INPUT!P760="",INPUT!Q760=""),"",INPUT!P760-INPUT!Q760),"")</f>
        <v>0</v>
      </c>
      <c r="L765" s="48">
        <f>IFERROR(IF(OR(INPUT!P760="",INPUT!Q760="",INPUT!P760=0),"",(INPUT!P760-INPUT!Q760)/INPUT!P760),"")</f>
        <v>0</v>
      </c>
    </row>
    <row r="766" spans="1:12" ht="18" hidden="1" customHeight="1" x14ac:dyDescent="0.2">
      <c r="A766" s="11">
        <f>IF(INPUT!M761="","",INPUT!M761)</f>
        <v>45929</v>
      </c>
      <c r="B766" s="11">
        <f>IF(INPUT!M761="","",INPUT!M761-WEEKDAY(INPUT!M761,2)+1)</f>
        <v>45929</v>
      </c>
      <c r="C766" s="20">
        <f>IFERROR(_xlfn.ISOWEEKNUM(INPUT!M761),"")</f>
        <v>40</v>
      </c>
      <c r="D766" s="20">
        <f>IFERROR(YEAR(INPUT!M761),"")</f>
        <v>2025</v>
      </c>
      <c r="E766" t="str">
        <f>IF(INPUT!O761="","",INPUT!O761)</f>
        <v>DANI</v>
      </c>
      <c r="F766" t="str">
        <f>IF(INPUT!N761="","",INPUT!N761)</f>
        <v>T</v>
      </c>
      <c r="G766" t="str" cm="1">
        <f t="array" ref="G766">IFERROR(VLOOKUP(INPUT!M761&amp;INPUT!N761,CHOOSE({1,2},INPUT!$A$3:$A$5000&amp;INPUT!$C$3:$C$5000,INPUT!$F$3:$F$5000),2,FALSE),"")</f>
        <v>PRE-TEMPORADA</v>
      </c>
      <c r="H766" t="str" cm="1">
        <f t="array" ref="H766">IFERROR(VLOOKUP(INPUT!M761&amp;INPUT!N761,CHOOSE({1,2},INPUT!$A$3:$A$5000&amp;INPUT!$C$3:$C$5000,INPUT!$D$3:$D$5000),2,FALSE),"")</f>
        <v>TEC-TAC</v>
      </c>
      <c r="I766" s="46">
        <f>IF(INPUT!P761="","",INPUT!P761)</f>
        <v>93.3</v>
      </c>
      <c r="J766" s="46">
        <f>IF(INPUT!Q761="","",INPUT!Q761)</f>
        <v>92.8</v>
      </c>
      <c r="K766" s="46">
        <f>IFERROR(IF(OR(INPUT!P761="",INPUT!Q761=""),"",INPUT!P761-INPUT!Q761),"")</f>
        <v>0.5</v>
      </c>
      <c r="L766" s="48">
        <f>IFERROR(IF(OR(INPUT!P761="",INPUT!Q761="",INPUT!P761=0),"",(INPUT!P761-INPUT!Q761)/INPUT!P761),"")</f>
        <v>5.3590568060021436E-3</v>
      </c>
    </row>
    <row r="767" spans="1:12" ht="18" hidden="1" customHeight="1" x14ac:dyDescent="0.2">
      <c r="A767" s="11">
        <f>IF(INPUT!M762="","",INPUT!M762)</f>
        <v>45930</v>
      </c>
      <c r="B767" s="11">
        <f>IF(INPUT!M762="","",INPUT!M762-WEEKDAY(INPUT!M762,2)+1)</f>
        <v>45929</v>
      </c>
      <c r="C767" s="20">
        <f>IFERROR(_xlfn.ISOWEEKNUM(INPUT!M762),"")</f>
        <v>40</v>
      </c>
      <c r="D767" s="20">
        <f>IFERROR(YEAR(INPUT!M762),"")</f>
        <v>2025</v>
      </c>
      <c r="E767" t="str">
        <f>IF(INPUT!O762="","",INPUT!O762)</f>
        <v>HERRERO</v>
      </c>
      <c r="F767" t="str">
        <f>IF(INPUT!N762="","",INPUT!N762)</f>
        <v>M</v>
      </c>
      <c r="G767" t="str" cm="1">
        <f t="array" ref="G767">IFERROR(VLOOKUP(INPUT!M762&amp;INPUT!N762,CHOOSE({1,2},INPUT!$A$3:$A$5000&amp;INPUT!$C$3:$C$5000,INPUT!$F$3:$F$5000),2,FALSE),"")</f>
        <v>PRE-TEMPORADA</v>
      </c>
      <c r="H767" t="str" cm="1">
        <f t="array" ref="H767">IFERROR(VLOOKUP(INPUT!M762&amp;INPUT!N762,CHOOSE({1,2},INPUT!$A$3:$A$5000&amp;INPUT!$C$3:$C$5000,INPUT!$D$3:$D$5000),2,FALSE),"")</f>
        <v>TEC-TAC</v>
      </c>
      <c r="I767" s="46">
        <f>IF(INPUT!P762="","",INPUT!P762)</f>
        <v>76.8</v>
      </c>
      <c r="J767" s="46">
        <f>IF(INPUT!Q762="","",INPUT!Q762)</f>
        <v>76</v>
      </c>
      <c r="K767" s="46">
        <f>IFERROR(IF(OR(INPUT!P762="",INPUT!Q762=""),"",INPUT!P762-INPUT!Q762),"")</f>
        <v>0.79999999999999716</v>
      </c>
      <c r="L767" s="48">
        <f>IFERROR(IF(OR(INPUT!P762="",INPUT!Q762="",INPUT!P762=0),"",(INPUT!P762-INPUT!Q762)/INPUT!P762),"")</f>
        <v>1.041666666666663E-2</v>
      </c>
    </row>
    <row r="768" spans="1:12" ht="18" hidden="1" customHeight="1" x14ac:dyDescent="0.2">
      <c r="A768" s="11">
        <f>IF(INPUT!M763="","",INPUT!M763)</f>
        <v>45930</v>
      </c>
      <c r="B768" s="11">
        <f>IF(INPUT!M763="","",INPUT!M763-WEEKDAY(INPUT!M763,2)+1)</f>
        <v>45929</v>
      </c>
      <c r="C768" s="20">
        <f>IFERROR(_xlfn.ISOWEEKNUM(INPUT!M763),"")</f>
        <v>40</v>
      </c>
      <c r="D768" s="20">
        <f>IFERROR(YEAR(INPUT!M763),"")</f>
        <v>2025</v>
      </c>
      <c r="E768" t="str">
        <f>IF(INPUT!O763="","",INPUT!O763)</f>
        <v>GARCIA</v>
      </c>
      <c r="F768" t="str">
        <f>IF(INPUT!N763="","",INPUT!N763)</f>
        <v>M</v>
      </c>
      <c r="G768" t="str" cm="1">
        <f t="array" ref="G768">IFERROR(VLOOKUP(INPUT!M763&amp;INPUT!N763,CHOOSE({1,2},INPUT!$A$3:$A$5000&amp;INPUT!$C$3:$C$5000,INPUT!$F$3:$F$5000),2,FALSE),"")</f>
        <v>PRE-TEMPORADA</v>
      </c>
      <c r="H768" t="str" cm="1">
        <f t="array" ref="H768">IFERROR(VLOOKUP(INPUT!M763&amp;INPUT!N763,CHOOSE({1,2},INPUT!$A$3:$A$5000&amp;INPUT!$C$3:$C$5000,INPUT!$D$3:$D$5000),2,FALSE),"")</f>
        <v>TEC-TAC</v>
      </c>
      <c r="I768" s="46">
        <f>IF(INPUT!P763="","",INPUT!P763)</f>
        <v>79.8</v>
      </c>
      <c r="J768" s="46">
        <f>IF(INPUT!Q763="","",INPUT!Q763)</f>
        <v>79.5</v>
      </c>
      <c r="K768" s="46">
        <f>IFERROR(IF(OR(INPUT!P763="",INPUT!Q763=""),"",INPUT!P763-INPUT!Q763),"")</f>
        <v>0.29999999999999716</v>
      </c>
      <c r="L768" s="48">
        <f>IFERROR(IF(OR(INPUT!P763="",INPUT!Q763="",INPUT!P763=0),"",(INPUT!P763-INPUT!Q763)/INPUT!P763),"")</f>
        <v>3.7593984962405662E-3</v>
      </c>
    </row>
    <row r="769" spans="1:12" ht="18" hidden="1" customHeight="1" x14ac:dyDescent="0.2">
      <c r="A769" s="11">
        <f>IF(INPUT!M764="","",INPUT!M764)</f>
        <v>45930</v>
      </c>
      <c r="B769" s="11">
        <f>IF(INPUT!M764="","",INPUT!M764-WEEKDAY(INPUT!M764,2)+1)</f>
        <v>45929</v>
      </c>
      <c r="C769" s="20">
        <f>IFERROR(_xlfn.ISOWEEKNUM(INPUT!M764),"")</f>
        <v>40</v>
      </c>
      <c r="D769" s="20">
        <f>IFERROR(YEAR(INPUT!M764),"")</f>
        <v>2025</v>
      </c>
      <c r="E769" t="str">
        <f>IF(INPUT!O764="","",INPUT!O764)</f>
        <v>CECILIO</v>
      </c>
      <c r="F769" t="str">
        <f>IF(INPUT!N764="","",INPUT!N764)</f>
        <v>M</v>
      </c>
      <c r="G769" t="str" cm="1">
        <f t="array" ref="G769">IFERROR(VLOOKUP(INPUT!M764&amp;INPUT!N764,CHOOSE({1,2},INPUT!$A$3:$A$5000&amp;INPUT!$C$3:$C$5000,INPUT!$F$3:$F$5000),2,FALSE),"")</f>
        <v>PRE-TEMPORADA</v>
      </c>
      <c r="H769" t="str" cm="1">
        <f t="array" ref="H769">IFERROR(VLOOKUP(INPUT!M764&amp;INPUT!N764,CHOOSE({1,2},INPUT!$A$3:$A$5000&amp;INPUT!$C$3:$C$5000,INPUT!$D$3:$D$5000),2,FALSE),"")</f>
        <v>TEC-TAC</v>
      </c>
      <c r="I769" s="46">
        <f>IF(INPUT!P764="","",INPUT!P764)</f>
        <v>67</v>
      </c>
      <c r="J769" s="46">
        <f>IF(INPUT!Q764="","",INPUT!Q764)</f>
        <v>66.900000000000006</v>
      </c>
      <c r="K769" s="46">
        <f>IFERROR(IF(OR(INPUT!P764="",INPUT!Q764=""),"",INPUT!P764-INPUT!Q764),"")</f>
        <v>9.9999999999994316E-2</v>
      </c>
      <c r="L769" s="48">
        <f>IFERROR(IF(OR(INPUT!P764="",INPUT!Q764="",INPUT!P764=0),"",(INPUT!P764-INPUT!Q764)/INPUT!P764),"")</f>
        <v>1.4925373134327511E-3</v>
      </c>
    </row>
    <row r="770" spans="1:12" ht="18" hidden="1" customHeight="1" x14ac:dyDescent="0.2">
      <c r="A770" s="11">
        <f>IF(INPUT!M765="","",INPUT!M765)</f>
        <v>45930</v>
      </c>
      <c r="B770" s="11">
        <f>IF(INPUT!M765="","",INPUT!M765-WEEKDAY(INPUT!M765,2)+1)</f>
        <v>45929</v>
      </c>
      <c r="C770" s="20">
        <f>IFERROR(_xlfn.ISOWEEKNUM(INPUT!M765),"")</f>
        <v>40</v>
      </c>
      <c r="D770" s="20">
        <f>IFERROR(YEAR(INPUT!M765),"")</f>
        <v>2025</v>
      </c>
      <c r="E770" t="str">
        <f>IF(INPUT!O765="","",INPUT!O765)</f>
        <v>CHAGUINHA</v>
      </c>
      <c r="F770" t="str">
        <f>IF(INPUT!N765="","",INPUT!N765)</f>
        <v>M</v>
      </c>
      <c r="G770" t="str" cm="1">
        <f t="array" ref="G770">IFERROR(VLOOKUP(INPUT!M765&amp;INPUT!N765,CHOOSE({1,2},INPUT!$A$3:$A$5000&amp;INPUT!$C$3:$C$5000,INPUT!$F$3:$F$5000),2,FALSE),"")</f>
        <v>PRE-TEMPORADA</v>
      </c>
      <c r="H770" t="str" cm="1">
        <f t="array" ref="H770">IFERROR(VLOOKUP(INPUT!M765&amp;INPUT!N765,CHOOSE({1,2},INPUT!$A$3:$A$5000&amp;INPUT!$C$3:$C$5000,INPUT!$D$3:$D$5000),2,FALSE),"")</f>
        <v>TEC-TAC</v>
      </c>
      <c r="I770" s="46">
        <f>IF(INPUT!P765="","",INPUT!P765)</f>
        <v>69</v>
      </c>
      <c r="J770" s="46">
        <f>IF(INPUT!Q765="","",INPUT!Q765)</f>
        <v>68.5</v>
      </c>
      <c r="K770" s="46">
        <f>IFERROR(IF(OR(INPUT!P765="",INPUT!Q765=""),"",INPUT!P765-INPUT!Q765),"")</f>
        <v>0.5</v>
      </c>
      <c r="L770" s="48">
        <f>IFERROR(IF(OR(INPUT!P765="",INPUT!Q765="",INPUT!P765=0),"",(INPUT!P765-INPUT!Q765)/INPUT!P765),"")</f>
        <v>7.246376811594203E-3</v>
      </c>
    </row>
    <row r="771" spans="1:12" ht="18" hidden="1" customHeight="1" x14ac:dyDescent="0.2">
      <c r="A771" s="11">
        <f>IF(INPUT!M766="","",INPUT!M766)</f>
        <v>45930</v>
      </c>
      <c r="B771" s="11">
        <f>IF(INPUT!M766="","",INPUT!M766-WEEKDAY(INPUT!M766,2)+1)</f>
        <v>45929</v>
      </c>
      <c r="C771" s="20">
        <f>IFERROR(_xlfn.ISOWEEKNUM(INPUT!M766),"")</f>
        <v>40</v>
      </c>
      <c r="D771" s="20">
        <f>IFERROR(YEAR(INPUT!M766),"")</f>
        <v>2025</v>
      </c>
      <c r="E771" t="str">
        <f>IF(INPUT!O766="","",INPUT!O766)</f>
        <v>RAUL</v>
      </c>
      <c r="F771" t="str">
        <f>IF(INPUT!N766="","",INPUT!N766)</f>
        <v>M</v>
      </c>
      <c r="G771" t="str" cm="1">
        <f t="array" ref="G771">IFERROR(VLOOKUP(INPUT!M766&amp;INPUT!N766,CHOOSE({1,2},INPUT!$A$3:$A$5000&amp;INPUT!$C$3:$C$5000,INPUT!$F$3:$F$5000),2,FALSE),"")</f>
        <v>PRE-TEMPORADA</v>
      </c>
      <c r="H771" t="str" cm="1">
        <f t="array" ref="H771">IFERROR(VLOOKUP(INPUT!M766&amp;INPUT!N766,CHOOSE({1,2},INPUT!$A$3:$A$5000&amp;INPUT!$C$3:$C$5000,INPUT!$D$3:$D$5000),2,FALSE),"")</f>
        <v>TEC-TAC</v>
      </c>
      <c r="I771" s="46">
        <f>IF(INPUT!P766="","",INPUT!P766)</f>
        <v>80.599999999999994</v>
      </c>
      <c r="J771" s="46">
        <f>IF(INPUT!Q766="","",INPUT!Q766)</f>
        <v>81.2</v>
      </c>
      <c r="K771" s="46">
        <f>IFERROR(IF(OR(INPUT!P766="",INPUT!Q766=""),"",INPUT!P766-INPUT!Q766),"")</f>
        <v>-0.60000000000000853</v>
      </c>
      <c r="L771" s="48">
        <f>IFERROR(IF(OR(INPUT!P766="",INPUT!Q766="",INPUT!P766=0),"",(INPUT!P766-INPUT!Q766)/INPUT!P766),"")</f>
        <v>-7.4441687344914218E-3</v>
      </c>
    </row>
    <row r="772" spans="1:12" ht="18" hidden="1" customHeight="1" x14ac:dyDescent="0.2">
      <c r="A772" s="11">
        <f>IF(INPUT!M767="","",INPUT!M767)</f>
        <v>45930</v>
      </c>
      <c r="B772" s="11">
        <f>IF(INPUT!M767="","",INPUT!M767-WEEKDAY(INPUT!M767,2)+1)</f>
        <v>45929</v>
      </c>
      <c r="C772" s="20">
        <f>IFERROR(_xlfn.ISOWEEKNUM(INPUT!M767),"")</f>
        <v>40</v>
      </c>
      <c r="D772" s="20">
        <f>IFERROR(YEAR(INPUT!M767),"")</f>
        <v>2025</v>
      </c>
      <c r="E772" t="str">
        <f>IF(INPUT!O767="","",INPUT!O767)</f>
        <v>HARRISON</v>
      </c>
      <c r="F772" t="str">
        <f>IF(INPUT!N767="","",INPUT!N767)</f>
        <v>M</v>
      </c>
      <c r="G772" t="str" cm="1">
        <f t="array" ref="G772">IFERROR(VLOOKUP(INPUT!M767&amp;INPUT!N767,CHOOSE({1,2},INPUT!$A$3:$A$5000&amp;INPUT!$C$3:$C$5000,INPUT!$F$3:$F$5000),2,FALSE),"")</f>
        <v>PRE-TEMPORADA</v>
      </c>
      <c r="H772" t="str" cm="1">
        <f t="array" ref="H772">IFERROR(VLOOKUP(INPUT!M767&amp;INPUT!N767,CHOOSE({1,2},INPUT!$A$3:$A$5000&amp;INPUT!$C$3:$C$5000,INPUT!$D$3:$D$5000),2,FALSE),"")</f>
        <v>TEC-TAC</v>
      </c>
      <c r="I772" s="46">
        <f>IF(INPUT!P767="","",INPUT!P767)</f>
        <v>72</v>
      </c>
      <c r="J772" s="46">
        <f>IF(INPUT!Q767="","",INPUT!Q767)</f>
        <v>71</v>
      </c>
      <c r="K772" s="46">
        <f>IFERROR(IF(OR(INPUT!P767="",INPUT!Q767=""),"",INPUT!P767-INPUT!Q767),"")</f>
        <v>1</v>
      </c>
      <c r="L772" s="48">
        <f>IFERROR(IF(OR(INPUT!P767="",INPUT!Q767="",INPUT!P767=0),"",(INPUT!P767-INPUT!Q767)/INPUT!P767),"")</f>
        <v>1.3888888888888888E-2</v>
      </c>
    </row>
    <row r="773" spans="1:12" ht="18" hidden="1" customHeight="1" x14ac:dyDescent="0.2">
      <c r="A773" s="11">
        <f>IF(INPUT!M768="","",INPUT!M768)</f>
        <v>45930</v>
      </c>
      <c r="B773" s="11">
        <f>IF(INPUT!M768="","",INPUT!M768-WEEKDAY(INPUT!M768,2)+1)</f>
        <v>45929</v>
      </c>
      <c r="C773" s="20">
        <f>IFERROR(_xlfn.ISOWEEKNUM(INPUT!M768),"")</f>
        <v>40</v>
      </c>
      <c r="D773" s="20">
        <f>IFERROR(YEAR(INPUT!M768),"")</f>
        <v>2025</v>
      </c>
      <c r="E773" t="str">
        <f>IF(INPUT!O768="","",INPUT!O768)</f>
        <v>RAYA</v>
      </c>
      <c r="F773" t="str">
        <f>IF(INPUT!N768="","",INPUT!N768)</f>
        <v>M</v>
      </c>
      <c r="G773" t="str" cm="1">
        <f t="array" ref="G773">IFERROR(VLOOKUP(INPUT!M768&amp;INPUT!N768,CHOOSE({1,2},INPUT!$A$3:$A$5000&amp;INPUT!$C$3:$C$5000,INPUT!$F$3:$F$5000),2,FALSE),"")</f>
        <v>PRE-TEMPORADA</v>
      </c>
      <c r="H773" t="str" cm="1">
        <f t="array" ref="H773">IFERROR(VLOOKUP(INPUT!M768&amp;INPUT!N768,CHOOSE({1,2},INPUT!$A$3:$A$5000&amp;INPUT!$C$3:$C$5000,INPUT!$D$3:$D$5000),2,FALSE),"")</f>
        <v>TEC-TAC</v>
      </c>
      <c r="I773" s="46">
        <f>IF(INPUT!P768="","",INPUT!P768)</f>
        <v>82.4</v>
      </c>
      <c r="J773" s="46">
        <f>IF(INPUT!Q768="","",INPUT!Q768)</f>
        <v>80.7</v>
      </c>
      <c r="K773" s="46">
        <f>IFERROR(IF(OR(INPUT!P768="",INPUT!Q768=""),"",INPUT!P768-INPUT!Q768),"")</f>
        <v>1.7000000000000028</v>
      </c>
      <c r="L773" s="48">
        <f>IFERROR(IF(OR(INPUT!P768="",INPUT!Q768="",INPUT!P768=0),"",(INPUT!P768-INPUT!Q768)/INPUT!P768),"")</f>
        <v>2.0631067961165081E-2</v>
      </c>
    </row>
    <row r="774" spans="1:12" ht="18" hidden="1" customHeight="1" x14ac:dyDescent="0.2">
      <c r="A774" s="11">
        <f>IF(INPUT!M769="","",INPUT!M769)</f>
        <v>45930</v>
      </c>
      <c r="B774" s="11">
        <f>IF(INPUT!M769="","",INPUT!M769-WEEKDAY(INPUT!M769,2)+1)</f>
        <v>45929</v>
      </c>
      <c r="C774" s="20">
        <f>IFERROR(_xlfn.ISOWEEKNUM(INPUT!M769),"")</f>
        <v>40</v>
      </c>
      <c r="D774" s="20">
        <f>IFERROR(YEAR(INPUT!M769),"")</f>
        <v>2025</v>
      </c>
      <c r="E774" t="str">
        <f>IF(INPUT!O769="","",INPUT!O769)</f>
        <v>JAVI</v>
      </c>
      <c r="F774" t="str">
        <f>IF(INPUT!N769="","",INPUT!N769)</f>
        <v>M</v>
      </c>
      <c r="G774" t="str" cm="1">
        <f t="array" ref="G774">IFERROR(VLOOKUP(INPUT!M769&amp;INPUT!N769,CHOOSE({1,2},INPUT!$A$3:$A$5000&amp;INPUT!$C$3:$C$5000,INPUT!$F$3:$F$5000),2,FALSE),"")</f>
        <v>PRE-TEMPORADA</v>
      </c>
      <c r="H774" t="str" cm="1">
        <f t="array" ref="H774">IFERROR(VLOOKUP(INPUT!M769&amp;INPUT!N769,CHOOSE({1,2},INPUT!$A$3:$A$5000&amp;INPUT!$C$3:$C$5000,INPUT!$D$3:$D$5000),2,FALSE),"")</f>
        <v>TEC-TAC</v>
      </c>
      <c r="I774" s="46">
        <f>IF(INPUT!P769="","",INPUT!P769)</f>
        <v>78.5</v>
      </c>
      <c r="J774" s="46">
        <f>IF(INPUT!Q769="","",INPUT!Q769)</f>
        <v>78.5</v>
      </c>
      <c r="K774" s="46">
        <f>IFERROR(IF(OR(INPUT!P769="",INPUT!Q769=""),"",INPUT!P769-INPUT!Q769),"")</f>
        <v>0</v>
      </c>
      <c r="L774" s="48">
        <f>IFERROR(IF(OR(INPUT!P769="",INPUT!Q769="",INPUT!P769=0),"",(INPUT!P769-INPUT!Q769)/INPUT!P769),"")</f>
        <v>0</v>
      </c>
    </row>
    <row r="775" spans="1:12" ht="18" hidden="1" customHeight="1" x14ac:dyDescent="0.2">
      <c r="A775" s="11">
        <f>IF(INPUT!M770="","",INPUT!M770)</f>
        <v>45930</v>
      </c>
      <c r="B775" s="11">
        <f>IF(INPUT!M770="","",INPUT!M770-WEEKDAY(INPUT!M770,2)+1)</f>
        <v>45929</v>
      </c>
      <c r="C775" s="20">
        <f>IFERROR(_xlfn.ISOWEEKNUM(INPUT!M770),"")</f>
        <v>40</v>
      </c>
      <c r="D775" s="20">
        <f>IFERROR(YEAR(INPUT!M770),"")</f>
        <v>2025</v>
      </c>
      <c r="E775" t="str">
        <f>IF(INPUT!O770="","",INPUT!O770)</f>
        <v>PANI</v>
      </c>
      <c r="F775" t="str">
        <f>IF(INPUT!N770="","",INPUT!N770)</f>
        <v>M</v>
      </c>
      <c r="G775" t="str" cm="1">
        <f t="array" ref="G775">IFERROR(VLOOKUP(INPUT!M770&amp;INPUT!N770,CHOOSE({1,2},INPUT!$A$3:$A$5000&amp;INPUT!$C$3:$C$5000,INPUT!$F$3:$F$5000),2,FALSE),"")</f>
        <v>PRE-TEMPORADA</v>
      </c>
      <c r="H775" t="str" cm="1">
        <f t="array" ref="H775">IFERROR(VLOOKUP(INPUT!M770&amp;INPUT!N770,CHOOSE({1,2},INPUT!$A$3:$A$5000&amp;INPUT!$C$3:$C$5000,INPUT!$D$3:$D$5000),2,FALSE),"")</f>
        <v>TEC-TAC</v>
      </c>
      <c r="I775" s="46">
        <f>IF(INPUT!P770="","",INPUT!P770)</f>
        <v>70.2</v>
      </c>
      <c r="J775" s="46">
        <f>IF(INPUT!Q770="","",INPUT!Q770)</f>
        <v>70</v>
      </c>
      <c r="K775" s="46">
        <f>IFERROR(IF(OR(INPUT!P770="",INPUT!Q770=""),"",INPUT!P770-INPUT!Q770),"")</f>
        <v>0.20000000000000284</v>
      </c>
      <c r="L775" s="48">
        <f>IFERROR(IF(OR(INPUT!P770="",INPUT!Q770="",INPUT!P770=0),"",(INPUT!P770-INPUT!Q770)/INPUT!P770),"")</f>
        <v>2.8490028490028895E-3</v>
      </c>
    </row>
    <row r="776" spans="1:12" ht="18" hidden="1" customHeight="1" x14ac:dyDescent="0.2">
      <c r="A776" s="11">
        <f>IF(INPUT!M771="","",INPUT!M771)</f>
        <v>45930</v>
      </c>
      <c r="B776" s="11">
        <f>IF(INPUT!M771="","",INPUT!M771-WEEKDAY(INPUT!M771,2)+1)</f>
        <v>45929</v>
      </c>
      <c r="C776" s="20">
        <f>IFERROR(_xlfn.ISOWEEKNUM(INPUT!M771),"")</f>
        <v>40</v>
      </c>
      <c r="D776" s="20">
        <f>IFERROR(YEAR(INPUT!M771),"")</f>
        <v>2025</v>
      </c>
      <c r="E776" t="str">
        <f>IF(INPUT!O771="","",INPUT!O771)</f>
        <v>PIRATA</v>
      </c>
      <c r="F776" t="str">
        <f>IF(INPUT!N771="","",INPUT!N771)</f>
        <v>M</v>
      </c>
      <c r="G776" t="str" cm="1">
        <f t="array" ref="G776">IFERROR(VLOOKUP(INPUT!M771&amp;INPUT!N771,CHOOSE({1,2},INPUT!$A$3:$A$5000&amp;INPUT!$C$3:$C$5000,INPUT!$F$3:$F$5000),2,FALSE),"")</f>
        <v>PRE-TEMPORADA</v>
      </c>
      <c r="H776" t="str" cm="1">
        <f t="array" ref="H776">IFERROR(VLOOKUP(INPUT!M771&amp;INPUT!N771,CHOOSE({1,2},INPUT!$A$3:$A$5000&amp;INPUT!$C$3:$C$5000,INPUT!$D$3:$D$5000),2,FALSE),"")</f>
        <v>TEC-TAC</v>
      </c>
      <c r="I776" s="46">
        <f>IF(INPUT!P771="","",INPUT!P771)</f>
        <v>75.5</v>
      </c>
      <c r="J776" s="46">
        <f>IF(INPUT!Q771="","",INPUT!Q771)</f>
        <v>75.099999999999994</v>
      </c>
      <c r="K776" s="46">
        <f>IFERROR(IF(OR(INPUT!P771="",INPUT!Q771=""),"",INPUT!P771-INPUT!Q771),"")</f>
        <v>0.40000000000000568</v>
      </c>
      <c r="L776" s="48">
        <f>IFERROR(IF(OR(INPUT!P771="",INPUT!Q771="",INPUT!P771=0),"",(INPUT!P771-INPUT!Q771)/INPUT!P771),"")</f>
        <v>5.298013245033188E-3</v>
      </c>
    </row>
    <row r="777" spans="1:12" ht="18" hidden="1" customHeight="1" x14ac:dyDescent="0.2">
      <c r="A777" s="11">
        <f>IF(INPUT!M772="","",INPUT!M772)</f>
        <v>45930</v>
      </c>
      <c r="B777" s="11">
        <f>IF(INPUT!M772="","",INPUT!M772-WEEKDAY(INPUT!M772,2)+1)</f>
        <v>45929</v>
      </c>
      <c r="C777" s="20">
        <f>IFERROR(_xlfn.ISOWEEKNUM(INPUT!M772),"")</f>
        <v>40</v>
      </c>
      <c r="D777" s="20">
        <f>IFERROR(YEAR(INPUT!M772),"")</f>
        <v>2025</v>
      </c>
      <c r="E777" t="str">
        <f>IF(INPUT!O772="","",INPUT!O772)</f>
        <v>BARONA</v>
      </c>
      <c r="F777" t="str">
        <f>IF(INPUT!N772="","",INPUT!N772)</f>
        <v>M</v>
      </c>
      <c r="G777" t="str" cm="1">
        <f t="array" ref="G777">IFERROR(VLOOKUP(INPUT!M772&amp;INPUT!N772,CHOOSE({1,2},INPUT!$A$3:$A$5000&amp;INPUT!$C$3:$C$5000,INPUT!$F$3:$F$5000),2,FALSE),"")</f>
        <v>PRE-TEMPORADA</v>
      </c>
      <c r="H777" t="str" cm="1">
        <f t="array" ref="H777">IFERROR(VLOOKUP(INPUT!M772&amp;INPUT!N772,CHOOSE({1,2},INPUT!$A$3:$A$5000&amp;INPUT!$C$3:$C$5000,INPUT!$D$3:$D$5000),2,FALSE),"")</f>
        <v>TEC-TAC</v>
      </c>
      <c r="I777" s="46">
        <f>IF(INPUT!P772="","",INPUT!P772)</f>
        <v>72.5</v>
      </c>
      <c r="J777" s="46">
        <f>IF(INPUT!Q772="","",INPUT!Q772)</f>
        <v>71.8</v>
      </c>
      <c r="K777" s="46">
        <f>IFERROR(IF(OR(INPUT!P772="",INPUT!Q772=""),"",INPUT!P772-INPUT!Q772),"")</f>
        <v>0.70000000000000284</v>
      </c>
      <c r="L777" s="48">
        <f>IFERROR(IF(OR(INPUT!P772="",INPUT!Q772="",INPUT!P772=0),"",(INPUT!P772-INPUT!Q772)/INPUT!P772),"")</f>
        <v>9.6551724137931422E-3</v>
      </c>
    </row>
    <row r="778" spans="1:12" ht="18" hidden="1" customHeight="1" x14ac:dyDescent="0.2">
      <c r="A778" s="11">
        <f>IF(INPUT!M773="","",INPUT!M773)</f>
        <v>45930</v>
      </c>
      <c r="B778" s="11">
        <f>IF(INPUT!M773="","",INPUT!M773-WEEKDAY(INPUT!M773,2)+1)</f>
        <v>45929</v>
      </c>
      <c r="C778" s="20">
        <f>IFERROR(_xlfn.ISOWEEKNUM(INPUT!M773),"")</f>
        <v>40</v>
      </c>
      <c r="D778" s="20">
        <f>IFERROR(YEAR(INPUT!M773),"")</f>
        <v>2025</v>
      </c>
      <c r="E778" t="str">
        <f>IF(INPUT!O773="","",INPUT!O773)</f>
        <v>CARLOS</v>
      </c>
      <c r="F778" t="str">
        <f>IF(INPUT!N773="","",INPUT!N773)</f>
        <v>M</v>
      </c>
      <c r="G778" t="str" cm="1">
        <f t="array" ref="G778">IFERROR(VLOOKUP(INPUT!M773&amp;INPUT!N773,CHOOSE({1,2},INPUT!$A$3:$A$5000&amp;INPUT!$C$3:$C$5000,INPUT!$F$3:$F$5000),2,FALSE),"")</f>
        <v>PRE-TEMPORADA</v>
      </c>
      <c r="H778" t="str" cm="1">
        <f t="array" ref="H778">IFERROR(VLOOKUP(INPUT!M773&amp;INPUT!N773,CHOOSE({1,2},INPUT!$A$3:$A$5000&amp;INPUT!$C$3:$C$5000,INPUT!$D$3:$D$5000),2,FALSE),"")</f>
        <v>TEC-TAC</v>
      </c>
      <c r="I778" s="46">
        <f>IF(INPUT!P773="","",INPUT!P773)</f>
        <v>67</v>
      </c>
      <c r="J778" s="46">
        <f>IF(INPUT!Q773="","",INPUT!Q773)</f>
        <v>66.599999999999994</v>
      </c>
      <c r="K778" s="46">
        <f>IFERROR(IF(OR(INPUT!P773="",INPUT!Q773=""),"",INPUT!P773-INPUT!Q773),"")</f>
        <v>0.40000000000000568</v>
      </c>
      <c r="L778" s="48">
        <f>IFERROR(IF(OR(INPUT!P773="",INPUT!Q773="",INPUT!P773=0),"",(INPUT!P773-INPUT!Q773)/INPUT!P773),"")</f>
        <v>5.9701492537314283E-3</v>
      </c>
    </row>
    <row r="779" spans="1:12" ht="18" hidden="1" customHeight="1" x14ac:dyDescent="0.2">
      <c r="A779" s="11">
        <f>IF(INPUT!M774="","",INPUT!M774)</f>
        <v>45930</v>
      </c>
      <c r="B779" s="11">
        <f>IF(INPUT!M774="","",INPUT!M774-WEEKDAY(INPUT!M774,2)+1)</f>
        <v>45929</v>
      </c>
      <c r="C779" s="20">
        <f>IFERROR(_xlfn.ISOWEEKNUM(INPUT!M774),"")</f>
        <v>40</v>
      </c>
      <c r="D779" s="20">
        <f>IFERROR(YEAR(INPUT!M774),"")</f>
        <v>2025</v>
      </c>
      <c r="E779" t="str">
        <f>IF(INPUT!O774="","",INPUT!O774)</f>
        <v>GONZALO</v>
      </c>
      <c r="F779" t="str">
        <f>IF(INPUT!N774="","",INPUT!N774)</f>
        <v>M</v>
      </c>
      <c r="G779" t="str" cm="1">
        <f t="array" ref="G779">IFERROR(VLOOKUP(INPUT!M774&amp;INPUT!N774,CHOOSE({1,2},INPUT!$A$3:$A$5000&amp;INPUT!$C$3:$C$5000,INPUT!$F$3:$F$5000),2,FALSE),"")</f>
        <v>PRE-TEMPORADA</v>
      </c>
      <c r="H779" t="str" cm="1">
        <f t="array" ref="H779">IFERROR(VLOOKUP(INPUT!M774&amp;INPUT!N774,CHOOSE({1,2},INPUT!$A$3:$A$5000&amp;INPUT!$C$3:$C$5000,INPUT!$D$3:$D$5000),2,FALSE),"")</f>
        <v>TEC-TAC</v>
      </c>
      <c r="I779" s="46">
        <f>IF(INPUT!P774="","",INPUT!P774)</f>
        <v>84.6</v>
      </c>
      <c r="J779" s="46">
        <f>IF(INPUT!Q774="","",INPUT!Q774)</f>
        <v>84.8</v>
      </c>
      <c r="K779" s="46">
        <f>IFERROR(IF(OR(INPUT!P774="",INPUT!Q774=""),"",INPUT!P774-INPUT!Q774),"")</f>
        <v>-0.20000000000000284</v>
      </c>
      <c r="L779" s="48">
        <f>IFERROR(IF(OR(INPUT!P774="",INPUT!Q774="",INPUT!P774=0),"",(INPUT!P774-INPUT!Q774)/INPUT!P774),"")</f>
        <v>-2.3640661938534617E-3</v>
      </c>
    </row>
    <row r="780" spans="1:12" ht="18" hidden="1" customHeight="1" x14ac:dyDescent="0.2">
      <c r="A780" s="11">
        <f>IF(INPUT!M775="","",INPUT!M775)</f>
        <v>45930</v>
      </c>
      <c r="B780" s="11">
        <f>IF(INPUT!M775="","",INPUT!M775-WEEKDAY(INPUT!M775,2)+1)</f>
        <v>45929</v>
      </c>
      <c r="C780" s="20">
        <f>IFERROR(_xlfn.ISOWEEKNUM(INPUT!M775),"")</f>
        <v>40</v>
      </c>
      <c r="D780" s="20">
        <f>IFERROR(YEAR(INPUT!M775),"")</f>
        <v>2025</v>
      </c>
      <c r="E780" t="str">
        <f>IF(INPUT!O775="","",INPUT!O775)</f>
        <v>RUBIO</v>
      </c>
      <c r="F780" t="str">
        <f>IF(INPUT!N775="","",INPUT!N775)</f>
        <v>M</v>
      </c>
      <c r="G780" t="str" cm="1">
        <f t="array" ref="G780">IFERROR(VLOOKUP(INPUT!M775&amp;INPUT!N775,CHOOSE({1,2},INPUT!$A$3:$A$5000&amp;INPUT!$C$3:$C$5000,INPUT!$F$3:$F$5000),2,FALSE),"")</f>
        <v>PRE-TEMPORADA</v>
      </c>
      <c r="H780" t="str" cm="1">
        <f t="array" ref="H780">IFERROR(VLOOKUP(INPUT!M775&amp;INPUT!N775,CHOOSE({1,2},INPUT!$A$3:$A$5000&amp;INPUT!$C$3:$C$5000,INPUT!$D$3:$D$5000),2,FALSE),"")</f>
        <v>TEC-TAC</v>
      </c>
      <c r="I780" s="46">
        <f>IF(INPUT!P775="","",INPUT!P775)</f>
        <v>74.3</v>
      </c>
      <c r="J780" s="46">
        <f>IF(INPUT!Q775="","",INPUT!Q775)</f>
        <v>74.5</v>
      </c>
      <c r="K780" s="46">
        <f>IFERROR(IF(OR(INPUT!P775="",INPUT!Q775=""),"",INPUT!P775-INPUT!Q775),"")</f>
        <v>-0.20000000000000284</v>
      </c>
      <c r="L780" s="48">
        <f>IFERROR(IF(OR(INPUT!P775="",INPUT!Q775="",INPUT!P775=0),"",(INPUT!P775-INPUT!Q775)/INPUT!P775),"")</f>
        <v>-2.6917900403768888E-3</v>
      </c>
    </row>
    <row r="781" spans="1:12" ht="18" hidden="1" customHeight="1" x14ac:dyDescent="0.2">
      <c r="A781" s="11">
        <f>IF(INPUT!M776="","",INPUT!M776)</f>
        <v>45930</v>
      </c>
      <c r="B781" s="11">
        <f>IF(INPUT!M776="","",INPUT!M776-WEEKDAY(INPUT!M776,2)+1)</f>
        <v>45929</v>
      </c>
      <c r="C781" s="20">
        <f>IFERROR(_xlfn.ISOWEEKNUM(INPUT!M776),"")</f>
        <v>40</v>
      </c>
      <c r="D781" s="20">
        <f>IFERROR(YEAR(INPUT!M776),"")</f>
        <v>2025</v>
      </c>
      <c r="E781" t="str">
        <f>IF(INPUT!O776="","",INPUT!O776)</f>
        <v>DANI</v>
      </c>
      <c r="F781" t="str">
        <f>IF(INPUT!N776="","",INPUT!N776)</f>
        <v>M</v>
      </c>
      <c r="G781" t="str" cm="1">
        <f t="array" ref="G781">IFERROR(VLOOKUP(INPUT!M776&amp;INPUT!N776,CHOOSE({1,2},INPUT!$A$3:$A$5000&amp;INPUT!$C$3:$C$5000,INPUT!$F$3:$F$5000),2,FALSE),"")</f>
        <v>PRE-TEMPORADA</v>
      </c>
      <c r="H781" t="str" cm="1">
        <f t="array" ref="H781">IFERROR(VLOOKUP(INPUT!M776&amp;INPUT!N776,CHOOSE({1,2},INPUT!$A$3:$A$5000&amp;INPUT!$C$3:$C$5000,INPUT!$D$3:$D$5000),2,FALSE),"")</f>
        <v>TEC-TAC</v>
      </c>
      <c r="I781" s="46">
        <f>IF(INPUT!P776="","",INPUT!P776)</f>
        <v>93</v>
      </c>
      <c r="J781" s="46">
        <f>IF(INPUT!Q776="","",INPUT!Q776)</f>
        <v>92.6</v>
      </c>
      <c r="K781" s="46">
        <f>IFERROR(IF(OR(INPUT!P776="",INPUT!Q776=""),"",INPUT!P776-INPUT!Q776),"")</f>
        <v>0.40000000000000568</v>
      </c>
      <c r="L781" s="48">
        <f>IFERROR(IF(OR(INPUT!P776="",INPUT!Q776="",INPUT!P776=0),"",(INPUT!P776-INPUT!Q776)/INPUT!P776),"")</f>
        <v>4.301075268817265E-3</v>
      </c>
    </row>
    <row r="782" spans="1:12" ht="18" hidden="1" customHeight="1" x14ac:dyDescent="0.2">
      <c r="A782" s="11">
        <f>IF(INPUT!M777="","",INPUT!M777)</f>
        <v>45931</v>
      </c>
      <c r="B782" s="11">
        <f>IF(INPUT!M777="","",INPUT!M777-WEEKDAY(INPUT!M777,2)+1)</f>
        <v>45929</v>
      </c>
      <c r="C782" s="20">
        <f>IFERROR(_xlfn.ISOWEEKNUM(INPUT!M777),"")</f>
        <v>40</v>
      </c>
      <c r="D782" s="20">
        <f>IFERROR(YEAR(INPUT!M777),"")</f>
        <v>2025</v>
      </c>
      <c r="E782" t="str">
        <f>IF(INPUT!O777="","",INPUT!O777)</f>
        <v>HERRERO</v>
      </c>
      <c r="F782" t="str">
        <f>IF(INPUT!N777="","",INPUT!N777)</f>
        <v>M</v>
      </c>
      <c r="G782" t="str" cm="1">
        <f t="array" ref="G782">IFERROR(VLOOKUP(INPUT!M777&amp;INPUT!N777,CHOOSE({1,2},INPUT!$A$3:$A$5000&amp;INPUT!$C$3:$C$5000,INPUT!$F$3:$F$5000),2,FALSE),"")</f>
        <v>PRE-TEMPORADA</v>
      </c>
      <c r="H782" t="str" cm="1">
        <f t="array" ref="H782">IFERROR(VLOOKUP(INPUT!M777&amp;INPUT!N777,CHOOSE({1,2},INPUT!$A$3:$A$5000&amp;INPUT!$C$3:$C$5000,INPUT!$D$3:$D$5000),2,FALSE),"")</f>
        <v>GYM</v>
      </c>
      <c r="I782" s="46">
        <f>IF(INPUT!P777="","",INPUT!P777)</f>
        <v>76.7</v>
      </c>
      <c r="J782" s="46">
        <f>IF(INPUT!Q777="","",INPUT!Q777)</f>
        <v>76.5</v>
      </c>
      <c r="K782" s="46">
        <f>IFERROR(IF(OR(INPUT!P777="",INPUT!Q777=""),"",INPUT!P777-INPUT!Q777),"")</f>
        <v>0.20000000000000284</v>
      </c>
      <c r="L782" s="48">
        <f>IFERROR(IF(OR(INPUT!P777="",INPUT!Q777="",INPUT!P777=0),"",(INPUT!P777-INPUT!Q777)/INPUT!P777),"")</f>
        <v>2.6075619295958647E-3</v>
      </c>
    </row>
    <row r="783" spans="1:12" ht="18" customHeight="1" x14ac:dyDescent="0.2">
      <c r="A783" s="11">
        <f>IF(INPUT!M778="","",INPUT!M778)</f>
        <v>45931</v>
      </c>
      <c r="B783" s="11">
        <f>IF(INPUT!M778="","",INPUT!M778-WEEKDAY(INPUT!M778,2)+1)</f>
        <v>45929</v>
      </c>
      <c r="C783" s="20">
        <f>IFERROR(_xlfn.ISOWEEKNUM(INPUT!M778),"")</f>
        <v>40</v>
      </c>
      <c r="D783" s="20">
        <f>IFERROR(YEAR(INPUT!M778),"")</f>
        <v>2025</v>
      </c>
      <c r="E783" t="str">
        <f>IF(INPUT!O778="","",INPUT!O778)</f>
        <v>HERRERO</v>
      </c>
      <c r="F783" t="str">
        <f>IF(INPUT!N778="","",INPUT!N778)</f>
        <v>T</v>
      </c>
      <c r="G783" t="str" cm="1">
        <f t="array" ref="G783">IFERROR(VLOOKUP(INPUT!M778&amp;INPUT!N778,CHOOSE({1,2},INPUT!$A$3:$A$5000&amp;INPUT!$C$3:$C$5000,INPUT!$F$3:$F$5000),2,FALSE),"")</f>
        <v>PRE-TEMPORADA</v>
      </c>
      <c r="H783" t="str" cm="1">
        <f t="array" ref="H783">IFERROR(VLOOKUP(INPUT!M778&amp;INPUT!N778,CHOOSE({1,2},INPUT!$A$3:$A$5000&amp;INPUT!$C$3:$C$5000,INPUT!$D$3:$D$5000),2,FALSE),"")</f>
        <v>TEC-TAC</v>
      </c>
      <c r="I783" s="46">
        <f>IF(INPUT!P778="","",INPUT!P778)</f>
        <v>77</v>
      </c>
      <c r="J783" s="46">
        <f>IF(INPUT!Q778="","",INPUT!Q778)</f>
        <v>76</v>
      </c>
      <c r="K783" s="46">
        <f>IFERROR(IF(OR(INPUT!P778="",INPUT!Q778=""),"",INPUT!P778-INPUT!Q778),"")</f>
        <v>1</v>
      </c>
      <c r="L783" s="48">
        <f>IFERROR(IF(OR(INPUT!P778="",INPUT!Q778="",INPUT!P778=0),"",(INPUT!P778-INPUT!Q778)/INPUT!P778),"")</f>
        <v>1.2987012987012988E-2</v>
      </c>
    </row>
    <row r="784" spans="1:12" ht="18" customHeight="1" x14ac:dyDescent="0.2">
      <c r="A784" s="11">
        <f>IF(INPUT!M779="","",INPUT!M779)</f>
        <v>45931</v>
      </c>
      <c r="B784" s="11">
        <f>IF(INPUT!M779="","",INPUT!M779-WEEKDAY(INPUT!M779,2)+1)</f>
        <v>45929</v>
      </c>
      <c r="C784" s="20">
        <f>IFERROR(_xlfn.ISOWEEKNUM(INPUT!M779),"")</f>
        <v>40</v>
      </c>
      <c r="D784" s="20">
        <f>IFERROR(YEAR(INPUT!M779),"")</f>
        <v>2025</v>
      </c>
      <c r="E784" t="str">
        <f>IF(INPUT!O779="","",INPUT!O779)</f>
        <v>GARCIA</v>
      </c>
      <c r="F784" t="str">
        <f>IF(INPUT!N779="","",INPUT!N779)</f>
        <v>M</v>
      </c>
      <c r="G784" t="str" cm="1">
        <f t="array" ref="G784">IFERROR(VLOOKUP(INPUT!M779&amp;INPUT!N779,CHOOSE({1,2},INPUT!$A$3:$A$5000&amp;INPUT!$C$3:$C$5000,INPUT!$F$3:$F$5000),2,FALSE),"")</f>
        <v>PRE-TEMPORADA</v>
      </c>
      <c r="H784" t="str" cm="1">
        <f t="array" ref="H784">IFERROR(VLOOKUP(INPUT!M779&amp;INPUT!N779,CHOOSE({1,2},INPUT!$A$3:$A$5000&amp;INPUT!$C$3:$C$5000,INPUT!$D$3:$D$5000),2,FALSE),"")</f>
        <v>GYM</v>
      </c>
      <c r="I784" s="46">
        <f>IF(INPUT!P779="","",INPUT!P779)</f>
        <v>79.900000000000006</v>
      </c>
      <c r="J784" s="46">
        <f>IF(INPUT!Q779="","",INPUT!Q779)</f>
        <v>79.7</v>
      </c>
      <c r="K784" s="46">
        <f>IFERROR(IF(OR(INPUT!P779="",INPUT!Q779=""),"",INPUT!P779-INPUT!Q779),"")</f>
        <v>0.20000000000000284</v>
      </c>
      <c r="L784" s="48">
        <f>IFERROR(IF(OR(INPUT!P779="",INPUT!Q779="",INPUT!P779=0),"",(INPUT!P779-INPUT!Q779)/INPUT!P779),"")</f>
        <v>2.5031289111389588E-3</v>
      </c>
    </row>
    <row r="785" spans="1:12" ht="18" customHeight="1" x14ac:dyDescent="0.2">
      <c r="A785" s="11">
        <f>IF(INPUT!M780="","",INPUT!M780)</f>
        <v>45931</v>
      </c>
      <c r="B785" s="11">
        <f>IF(INPUT!M780="","",INPUT!M780-WEEKDAY(INPUT!M780,2)+1)</f>
        <v>45929</v>
      </c>
      <c r="C785" s="20">
        <f>IFERROR(_xlfn.ISOWEEKNUM(INPUT!M780),"")</f>
        <v>40</v>
      </c>
      <c r="D785" s="20">
        <f>IFERROR(YEAR(INPUT!M780),"")</f>
        <v>2025</v>
      </c>
      <c r="E785" t="str">
        <f>IF(INPUT!O780="","",INPUT!O780)</f>
        <v>GARCIA</v>
      </c>
      <c r="F785" t="str">
        <f>IF(INPUT!N780="","",INPUT!N780)</f>
        <v>T</v>
      </c>
      <c r="G785" t="str" cm="1">
        <f t="array" ref="G785">IFERROR(VLOOKUP(INPUT!M780&amp;INPUT!N780,CHOOSE({1,2},INPUT!$A$3:$A$5000&amp;INPUT!$C$3:$C$5000,INPUT!$F$3:$F$5000),2,FALSE),"")</f>
        <v>PRE-TEMPORADA</v>
      </c>
      <c r="H785" t="str" cm="1">
        <f t="array" ref="H785">IFERROR(VLOOKUP(INPUT!M780&amp;INPUT!N780,CHOOSE({1,2},INPUT!$A$3:$A$5000&amp;INPUT!$C$3:$C$5000,INPUT!$D$3:$D$5000),2,FALSE),"")</f>
        <v>TEC-TAC</v>
      </c>
      <c r="I785" s="46">
        <f>IF(INPUT!P780="","",INPUT!P780)</f>
        <v>79.400000000000006</v>
      </c>
      <c r="J785" s="46">
        <f>IF(INPUT!Q780="","",INPUT!Q780)</f>
        <v>79.400000000000006</v>
      </c>
      <c r="K785" s="46">
        <f>IFERROR(IF(OR(INPUT!P780="",INPUT!Q780=""),"",INPUT!P780-INPUT!Q780),"")</f>
        <v>0</v>
      </c>
      <c r="L785" s="48">
        <f>IFERROR(IF(OR(INPUT!P780="",INPUT!Q780="",INPUT!P780=0),"",(INPUT!P780-INPUT!Q780)/INPUT!P780),"")</f>
        <v>0</v>
      </c>
    </row>
    <row r="786" spans="1:12" ht="18" customHeight="1" x14ac:dyDescent="0.2">
      <c r="A786" s="11">
        <f>IF(INPUT!M781="","",INPUT!M781)</f>
        <v>45931</v>
      </c>
      <c r="B786" s="11">
        <f>IF(INPUT!M781="","",INPUT!M781-WEEKDAY(INPUT!M781,2)+1)</f>
        <v>45929</v>
      </c>
      <c r="C786" s="20">
        <f>IFERROR(_xlfn.ISOWEEKNUM(INPUT!M781),"")</f>
        <v>40</v>
      </c>
      <c r="D786" s="20">
        <f>IFERROR(YEAR(INPUT!M781),"")</f>
        <v>2025</v>
      </c>
      <c r="E786" t="str">
        <f>IF(INPUT!O781="","",INPUT!O781)</f>
        <v>CECILIO</v>
      </c>
      <c r="F786" t="str">
        <f>IF(INPUT!N781="","",INPUT!N781)</f>
        <v>M</v>
      </c>
      <c r="G786" t="str" cm="1">
        <f t="array" ref="G786">IFERROR(VLOOKUP(INPUT!M781&amp;INPUT!N781,CHOOSE({1,2},INPUT!$A$3:$A$5000&amp;INPUT!$C$3:$C$5000,INPUT!$F$3:$F$5000),2,FALSE),"")</f>
        <v>PRE-TEMPORADA</v>
      </c>
      <c r="H786" t="str" cm="1">
        <f t="array" ref="H786">IFERROR(VLOOKUP(INPUT!M781&amp;INPUT!N781,CHOOSE({1,2},INPUT!$A$3:$A$5000&amp;INPUT!$C$3:$C$5000,INPUT!$D$3:$D$5000),2,FALSE),"")</f>
        <v>GYM</v>
      </c>
      <c r="I786" s="46">
        <f>IF(INPUT!P781="","",INPUT!P781)</f>
        <v>68</v>
      </c>
      <c r="J786" s="46">
        <f>IF(INPUT!Q781="","",INPUT!Q781)</f>
        <v>67.3</v>
      </c>
      <c r="K786" s="46">
        <f>IFERROR(IF(OR(INPUT!P781="",INPUT!Q781=""),"",INPUT!P781-INPUT!Q781),"")</f>
        <v>0.70000000000000284</v>
      </c>
      <c r="L786" s="48">
        <f>IFERROR(IF(OR(INPUT!P781="",INPUT!Q781="",INPUT!P781=0),"",(INPUT!P781-INPUT!Q781)/INPUT!P781),"")</f>
        <v>1.0294117647058865E-2</v>
      </c>
    </row>
    <row r="787" spans="1:12" ht="18" customHeight="1" x14ac:dyDescent="0.2">
      <c r="A787" s="11">
        <f>IF(INPUT!M782="","",INPUT!M782)</f>
        <v>45931</v>
      </c>
      <c r="B787" s="11">
        <f>IF(INPUT!M782="","",INPUT!M782-WEEKDAY(INPUT!M782,2)+1)</f>
        <v>45929</v>
      </c>
      <c r="C787" s="20">
        <f>IFERROR(_xlfn.ISOWEEKNUM(INPUT!M782),"")</f>
        <v>40</v>
      </c>
      <c r="D787" s="20">
        <f>IFERROR(YEAR(INPUT!M782),"")</f>
        <v>2025</v>
      </c>
      <c r="E787" t="str">
        <f>IF(INPUT!O782="","",INPUT!O782)</f>
        <v>CECILIO</v>
      </c>
      <c r="F787" t="str">
        <f>IF(INPUT!N782="","",INPUT!N782)</f>
        <v>T</v>
      </c>
      <c r="G787" t="str" cm="1">
        <f t="array" ref="G787">IFERROR(VLOOKUP(INPUT!M782&amp;INPUT!N782,CHOOSE({1,2},INPUT!$A$3:$A$5000&amp;INPUT!$C$3:$C$5000,INPUT!$F$3:$F$5000),2,FALSE),"")</f>
        <v>PRE-TEMPORADA</v>
      </c>
      <c r="H787" t="str" cm="1">
        <f t="array" ref="H787">IFERROR(VLOOKUP(INPUT!M782&amp;INPUT!N782,CHOOSE({1,2},INPUT!$A$3:$A$5000&amp;INPUT!$C$3:$C$5000,INPUT!$D$3:$D$5000),2,FALSE),"")</f>
        <v>TEC-TAC</v>
      </c>
      <c r="I787" s="46">
        <f>IF(INPUT!P782="","",INPUT!P782)</f>
        <v>68.3</v>
      </c>
      <c r="J787" s="46">
        <f>IF(INPUT!Q782="","",INPUT!Q782)</f>
        <v>67.400000000000006</v>
      </c>
      <c r="K787" s="46">
        <f>IFERROR(IF(OR(INPUT!P782="",INPUT!Q782=""),"",INPUT!P782-INPUT!Q782),"")</f>
        <v>0.89999999999999147</v>
      </c>
      <c r="L787" s="48">
        <f>IFERROR(IF(OR(INPUT!P782="",INPUT!Q782="",INPUT!P782=0),"",(INPUT!P782-INPUT!Q782)/INPUT!P782),"")</f>
        <v>1.3177159590043799E-2</v>
      </c>
    </row>
    <row r="788" spans="1:12" ht="18" customHeight="1" x14ac:dyDescent="0.2">
      <c r="A788" s="11">
        <f>IF(INPUT!M783="","",INPUT!M783)</f>
        <v>45931</v>
      </c>
      <c r="B788" s="11">
        <f>IF(INPUT!M783="","",INPUT!M783-WEEKDAY(INPUT!M783,2)+1)</f>
        <v>45929</v>
      </c>
      <c r="C788" s="20">
        <f>IFERROR(_xlfn.ISOWEEKNUM(INPUT!M783),"")</f>
        <v>40</v>
      </c>
      <c r="D788" s="20">
        <f>IFERROR(YEAR(INPUT!M783),"")</f>
        <v>2025</v>
      </c>
      <c r="E788" t="str">
        <f>IF(INPUT!O783="","",INPUT!O783)</f>
        <v>CHAGUINHA</v>
      </c>
      <c r="F788" t="str">
        <f>IF(INPUT!N783="","",INPUT!N783)</f>
        <v>M</v>
      </c>
      <c r="G788" t="str" cm="1">
        <f t="array" ref="G788">IFERROR(VLOOKUP(INPUT!M783&amp;INPUT!N783,CHOOSE({1,2},INPUT!$A$3:$A$5000&amp;INPUT!$C$3:$C$5000,INPUT!$F$3:$F$5000),2,FALSE),"")</f>
        <v>PRE-TEMPORADA</v>
      </c>
      <c r="H788" t="str" cm="1">
        <f t="array" ref="H788">IFERROR(VLOOKUP(INPUT!M783&amp;INPUT!N783,CHOOSE({1,2},INPUT!$A$3:$A$5000&amp;INPUT!$C$3:$C$5000,INPUT!$D$3:$D$5000),2,FALSE),"")</f>
        <v>GYM</v>
      </c>
      <c r="I788" s="46">
        <f>IF(INPUT!P783="","",INPUT!P783)</f>
        <v>68.8</v>
      </c>
      <c r="J788" s="46">
        <f>IF(INPUT!Q783="","",INPUT!Q783)</f>
        <v>68.7</v>
      </c>
      <c r="K788" s="46">
        <f>IFERROR(IF(OR(INPUT!P783="",INPUT!Q783=""),"",INPUT!P783-INPUT!Q783),"")</f>
        <v>9.9999999999994316E-2</v>
      </c>
      <c r="L788" s="48">
        <f>IFERROR(IF(OR(INPUT!P783="",INPUT!Q783="",INPUT!P783=0),"",(INPUT!P783-INPUT!Q783)/INPUT!P783),"")</f>
        <v>1.4534883720929406E-3</v>
      </c>
    </row>
    <row r="789" spans="1:12" ht="18" hidden="1" customHeight="1" x14ac:dyDescent="0.2">
      <c r="A789" s="11">
        <f>IF(INPUT!M784="","",INPUT!M784)</f>
        <v>45931</v>
      </c>
      <c r="B789" s="11">
        <f>IF(INPUT!M784="","",INPUT!M784-WEEKDAY(INPUT!M784,2)+1)</f>
        <v>45929</v>
      </c>
      <c r="C789" s="20">
        <f>IFERROR(_xlfn.ISOWEEKNUM(INPUT!M784),"")</f>
        <v>40</v>
      </c>
      <c r="D789" s="20">
        <f>IFERROR(YEAR(INPUT!M784),"")</f>
        <v>2025</v>
      </c>
      <c r="E789" t="str">
        <f>IF(INPUT!O784="","",INPUT!O784)</f>
        <v>CHAGUINHA</v>
      </c>
      <c r="F789" t="str">
        <f>IF(INPUT!N784="","",INPUT!N784)</f>
        <v>T</v>
      </c>
      <c r="G789" t="str" cm="1">
        <f t="array" ref="G789">IFERROR(VLOOKUP(INPUT!M784&amp;INPUT!N784,CHOOSE({1,2},INPUT!$A$3:$A$5000&amp;INPUT!$C$3:$C$5000,INPUT!$F$3:$F$5000),2,FALSE),"")</f>
        <v>PRE-TEMPORADA</v>
      </c>
      <c r="H789" t="str" cm="1">
        <f t="array" ref="H789">IFERROR(VLOOKUP(INPUT!M784&amp;INPUT!N784,CHOOSE({1,2},INPUT!$A$3:$A$5000&amp;INPUT!$C$3:$C$5000,INPUT!$D$3:$D$5000),2,FALSE),"")</f>
        <v>TEC-TAC</v>
      </c>
      <c r="I789" s="46">
        <f>IF(INPUT!P784="","",INPUT!P784)</f>
        <v>69.5</v>
      </c>
      <c r="J789" s="46">
        <f>IF(INPUT!Q784="","",INPUT!Q784)</f>
        <v>68.8</v>
      </c>
      <c r="K789" s="46">
        <f>IFERROR(IF(OR(INPUT!P784="",INPUT!Q784=""),"",INPUT!P784-INPUT!Q784),"")</f>
        <v>0.70000000000000284</v>
      </c>
      <c r="L789" s="48">
        <f>IFERROR(IF(OR(INPUT!P784="",INPUT!Q784="",INPUT!P784=0),"",(INPUT!P784-INPUT!Q784)/INPUT!P784),"")</f>
        <v>1.0071942446043206E-2</v>
      </c>
    </row>
    <row r="790" spans="1:12" ht="18" hidden="1" customHeight="1" x14ac:dyDescent="0.2">
      <c r="A790" s="11">
        <f>IF(INPUT!M785="","",INPUT!M785)</f>
        <v>45931</v>
      </c>
      <c r="B790" s="11">
        <f>IF(INPUT!M785="","",INPUT!M785-WEEKDAY(INPUT!M785,2)+1)</f>
        <v>45929</v>
      </c>
      <c r="C790" s="20">
        <f>IFERROR(_xlfn.ISOWEEKNUM(INPUT!M785),"")</f>
        <v>40</v>
      </c>
      <c r="D790" s="20">
        <f>IFERROR(YEAR(INPUT!M785),"")</f>
        <v>2025</v>
      </c>
      <c r="E790" t="str">
        <f>IF(INPUT!O785="","",INPUT!O785)</f>
        <v>RAUL</v>
      </c>
      <c r="F790" t="str">
        <f>IF(INPUT!N785="","",INPUT!N785)</f>
        <v>M</v>
      </c>
      <c r="G790" t="str" cm="1">
        <f t="array" ref="G790">IFERROR(VLOOKUP(INPUT!M785&amp;INPUT!N785,CHOOSE({1,2},INPUT!$A$3:$A$5000&amp;INPUT!$C$3:$C$5000,INPUT!$F$3:$F$5000),2,FALSE),"")</f>
        <v>PRE-TEMPORADA</v>
      </c>
      <c r="H790" t="str" cm="1">
        <f t="array" ref="H790">IFERROR(VLOOKUP(INPUT!M785&amp;INPUT!N785,CHOOSE({1,2},INPUT!$A$3:$A$5000&amp;INPUT!$C$3:$C$5000,INPUT!$D$3:$D$5000),2,FALSE),"")</f>
        <v>GYM</v>
      </c>
      <c r="I790" s="46">
        <f>IF(INPUT!P785="","",INPUT!P785)</f>
        <v>80.8</v>
      </c>
      <c r="J790" s="46">
        <f>IF(INPUT!Q785="","",INPUT!Q785)</f>
        <v>80</v>
      </c>
      <c r="K790" s="46">
        <f>IFERROR(IF(OR(INPUT!P785="",INPUT!Q785=""),"",INPUT!P785-INPUT!Q785),"")</f>
        <v>0.79999999999999716</v>
      </c>
      <c r="L790" s="48">
        <f>IFERROR(IF(OR(INPUT!P785="",INPUT!Q785="",INPUT!P785=0),"",(INPUT!P785-INPUT!Q785)/INPUT!P785),"")</f>
        <v>9.9009900990098664E-3</v>
      </c>
    </row>
    <row r="791" spans="1:12" ht="18" hidden="1" customHeight="1" x14ac:dyDescent="0.2">
      <c r="A791" s="11">
        <f>IF(INPUT!M786="","",INPUT!M786)</f>
        <v>45931</v>
      </c>
      <c r="B791" s="11">
        <f>IF(INPUT!M786="","",INPUT!M786-WEEKDAY(INPUT!M786,2)+1)</f>
        <v>45929</v>
      </c>
      <c r="C791" s="20">
        <f>IFERROR(_xlfn.ISOWEEKNUM(INPUT!M786),"")</f>
        <v>40</v>
      </c>
      <c r="D791" s="20">
        <f>IFERROR(YEAR(INPUT!M786),"")</f>
        <v>2025</v>
      </c>
      <c r="E791" t="str">
        <f>IF(INPUT!O786="","",INPUT!O786)</f>
        <v>RAUL</v>
      </c>
      <c r="F791" t="str">
        <f>IF(INPUT!N786="","",INPUT!N786)</f>
        <v>T</v>
      </c>
      <c r="G791" t="str" cm="1">
        <f t="array" ref="G791">IFERROR(VLOOKUP(INPUT!M786&amp;INPUT!N786,CHOOSE({1,2},INPUT!$A$3:$A$5000&amp;INPUT!$C$3:$C$5000,INPUT!$F$3:$F$5000),2,FALSE),"")</f>
        <v>PRE-TEMPORADA</v>
      </c>
      <c r="H791" t="str" cm="1">
        <f t="array" ref="H791">IFERROR(VLOOKUP(INPUT!M786&amp;INPUT!N786,CHOOSE({1,2},INPUT!$A$3:$A$5000&amp;INPUT!$C$3:$C$5000,INPUT!$D$3:$D$5000),2,FALSE),"")</f>
        <v>TEC-TAC</v>
      </c>
      <c r="I791" s="46">
        <f>IF(INPUT!P786="","",INPUT!P786)</f>
        <v>80.5</v>
      </c>
      <c r="J791" s="46">
        <f>IF(INPUT!Q786="","",INPUT!Q786)</f>
        <v>80.400000000000006</v>
      </c>
      <c r="K791" s="46">
        <f>IFERROR(IF(OR(INPUT!P786="",INPUT!Q786=""),"",INPUT!P786-INPUT!Q786),"")</f>
        <v>9.9999999999994316E-2</v>
      </c>
      <c r="L791" s="48">
        <f>IFERROR(IF(OR(INPUT!P786="",INPUT!Q786="",INPUT!P786=0),"",(INPUT!P786-INPUT!Q786)/INPUT!P786),"")</f>
        <v>1.2422360248446499E-3</v>
      </c>
    </row>
    <row r="792" spans="1:12" ht="18" hidden="1" customHeight="1" x14ac:dyDescent="0.2">
      <c r="A792" s="11">
        <f>IF(INPUT!M787="","",INPUT!M787)</f>
        <v>45931</v>
      </c>
      <c r="B792" s="11">
        <f>IF(INPUT!M787="","",INPUT!M787-WEEKDAY(INPUT!M787,2)+1)</f>
        <v>45929</v>
      </c>
      <c r="C792" s="20">
        <f>IFERROR(_xlfn.ISOWEEKNUM(INPUT!M787),"")</f>
        <v>40</v>
      </c>
      <c r="D792" s="20">
        <f>IFERROR(YEAR(INPUT!M787),"")</f>
        <v>2025</v>
      </c>
      <c r="E792" t="str">
        <f>IF(INPUT!O787="","",INPUT!O787)</f>
        <v>HARRISON</v>
      </c>
      <c r="F792" t="str">
        <f>IF(INPUT!N787="","",INPUT!N787)</f>
        <v>M</v>
      </c>
      <c r="G792" t="str" cm="1">
        <f t="array" ref="G792">IFERROR(VLOOKUP(INPUT!M787&amp;INPUT!N787,CHOOSE({1,2},INPUT!$A$3:$A$5000&amp;INPUT!$C$3:$C$5000,INPUT!$F$3:$F$5000),2,FALSE),"")</f>
        <v>PRE-TEMPORADA</v>
      </c>
      <c r="H792" t="str" cm="1">
        <f t="array" ref="H792">IFERROR(VLOOKUP(INPUT!M787&amp;INPUT!N787,CHOOSE({1,2},INPUT!$A$3:$A$5000&amp;INPUT!$C$3:$C$5000,INPUT!$D$3:$D$5000),2,FALSE),"")</f>
        <v>GYM</v>
      </c>
      <c r="I792" s="46">
        <f>IF(INPUT!P787="","",INPUT!P787)</f>
        <v>71</v>
      </c>
      <c r="J792" s="46">
        <f>IF(INPUT!Q787="","",INPUT!Q787)</f>
        <v>70.8</v>
      </c>
      <c r="K792" s="46">
        <f>IFERROR(IF(OR(INPUT!P787="",INPUT!Q787=""),"",INPUT!P787-INPUT!Q787),"")</f>
        <v>0.20000000000000284</v>
      </c>
      <c r="L792" s="48">
        <f>IFERROR(IF(OR(INPUT!P787="",INPUT!Q787="",INPUT!P787=0),"",(INPUT!P787-INPUT!Q787)/INPUT!P787),"")</f>
        <v>2.8169014084507443E-3</v>
      </c>
    </row>
    <row r="793" spans="1:12" ht="18" hidden="1" customHeight="1" x14ac:dyDescent="0.2">
      <c r="A793" s="11">
        <f>IF(INPUT!M788="","",INPUT!M788)</f>
        <v>45931</v>
      </c>
      <c r="B793" s="11">
        <f>IF(INPUT!M788="","",INPUT!M788-WEEKDAY(INPUT!M788,2)+1)</f>
        <v>45929</v>
      </c>
      <c r="C793" s="20">
        <f>IFERROR(_xlfn.ISOWEEKNUM(INPUT!M788),"")</f>
        <v>40</v>
      </c>
      <c r="D793" s="20">
        <f>IFERROR(YEAR(INPUT!M788),"")</f>
        <v>2025</v>
      </c>
      <c r="E793" t="str">
        <f>IF(INPUT!O788="","",INPUT!O788)</f>
        <v>HARRISON</v>
      </c>
      <c r="F793" t="str">
        <f>IF(INPUT!N788="","",INPUT!N788)</f>
        <v>T</v>
      </c>
      <c r="G793" t="str" cm="1">
        <f t="array" ref="G793">IFERROR(VLOOKUP(INPUT!M788&amp;INPUT!N788,CHOOSE({1,2},INPUT!$A$3:$A$5000&amp;INPUT!$C$3:$C$5000,INPUT!$F$3:$F$5000),2,FALSE),"")</f>
        <v>PRE-TEMPORADA</v>
      </c>
      <c r="H793" t="str" cm="1">
        <f t="array" ref="H793">IFERROR(VLOOKUP(INPUT!M788&amp;INPUT!N788,CHOOSE({1,2},INPUT!$A$3:$A$5000&amp;INPUT!$C$3:$C$5000,INPUT!$D$3:$D$5000),2,FALSE),"")</f>
        <v>TEC-TAC</v>
      </c>
      <c r="I793" s="46">
        <f>IF(INPUT!P788="","",INPUT!P788)</f>
        <v>70.8</v>
      </c>
      <c r="J793" s="46">
        <f>IF(INPUT!Q788="","",INPUT!Q788)</f>
        <v>70.8</v>
      </c>
      <c r="K793" s="46">
        <f>IFERROR(IF(OR(INPUT!P788="",INPUT!Q788=""),"",INPUT!P788-INPUT!Q788),"")</f>
        <v>0</v>
      </c>
      <c r="L793" s="48">
        <f>IFERROR(IF(OR(INPUT!P788="",INPUT!Q788="",INPUT!P788=0),"",(INPUT!P788-INPUT!Q788)/INPUT!P788),"")</f>
        <v>0</v>
      </c>
    </row>
    <row r="794" spans="1:12" ht="18" hidden="1" customHeight="1" x14ac:dyDescent="0.2">
      <c r="A794" s="11">
        <f>IF(INPUT!M789="","",INPUT!M789)</f>
        <v>45931</v>
      </c>
      <c r="B794" s="11">
        <f>IF(INPUT!M789="","",INPUT!M789-WEEKDAY(INPUT!M789,2)+1)</f>
        <v>45929</v>
      </c>
      <c r="C794" s="20">
        <f>IFERROR(_xlfn.ISOWEEKNUM(INPUT!M789),"")</f>
        <v>40</v>
      </c>
      <c r="D794" s="20">
        <f>IFERROR(YEAR(INPUT!M789),"")</f>
        <v>2025</v>
      </c>
      <c r="E794" t="str">
        <f>IF(INPUT!O789="","",INPUT!O789)</f>
        <v>RAYA</v>
      </c>
      <c r="F794" t="str">
        <f>IF(INPUT!N789="","",INPUT!N789)</f>
        <v>M</v>
      </c>
      <c r="G794" t="str" cm="1">
        <f t="array" ref="G794">IFERROR(VLOOKUP(INPUT!M789&amp;INPUT!N789,CHOOSE({1,2},INPUT!$A$3:$A$5000&amp;INPUT!$C$3:$C$5000,INPUT!$F$3:$F$5000),2,FALSE),"")</f>
        <v>PRE-TEMPORADA</v>
      </c>
      <c r="H794" t="str" cm="1">
        <f t="array" ref="H794">IFERROR(VLOOKUP(INPUT!M789&amp;INPUT!N789,CHOOSE({1,2},INPUT!$A$3:$A$5000&amp;INPUT!$C$3:$C$5000,INPUT!$D$3:$D$5000),2,FALSE),"")</f>
        <v>GYM</v>
      </c>
      <c r="I794" s="46">
        <f>IF(INPUT!P789="","",INPUT!P789)</f>
        <v>82.5</v>
      </c>
      <c r="J794" s="46">
        <f>IF(INPUT!Q789="","",INPUT!Q789)</f>
        <v>82</v>
      </c>
      <c r="K794" s="46">
        <f>IFERROR(IF(OR(INPUT!P789="",INPUT!Q789=""),"",INPUT!P789-INPUT!Q789),"")</f>
        <v>0.5</v>
      </c>
      <c r="L794" s="48">
        <f>IFERROR(IF(OR(INPUT!P789="",INPUT!Q789="",INPUT!P789=0),"",(INPUT!P789-INPUT!Q789)/INPUT!P789),"")</f>
        <v>6.0606060606060606E-3</v>
      </c>
    </row>
    <row r="795" spans="1:12" ht="18" hidden="1" customHeight="1" x14ac:dyDescent="0.2">
      <c r="A795" s="11">
        <f>IF(INPUT!M790="","",INPUT!M790)</f>
        <v>45931</v>
      </c>
      <c r="B795" s="11">
        <f>IF(INPUT!M790="","",INPUT!M790-WEEKDAY(INPUT!M790,2)+1)</f>
        <v>45929</v>
      </c>
      <c r="C795" s="20">
        <f>IFERROR(_xlfn.ISOWEEKNUM(INPUT!M790),"")</f>
        <v>40</v>
      </c>
      <c r="D795" s="20">
        <f>IFERROR(YEAR(INPUT!M790),"")</f>
        <v>2025</v>
      </c>
      <c r="E795" t="str">
        <f>IF(INPUT!O790="","",INPUT!O790)</f>
        <v>RAYA</v>
      </c>
      <c r="F795" t="str">
        <f>IF(INPUT!N790="","",INPUT!N790)</f>
        <v>T</v>
      </c>
      <c r="G795" t="str" cm="1">
        <f t="array" ref="G795">IFERROR(VLOOKUP(INPUT!M790&amp;INPUT!N790,CHOOSE({1,2},INPUT!$A$3:$A$5000&amp;INPUT!$C$3:$C$5000,INPUT!$F$3:$F$5000),2,FALSE),"")</f>
        <v>PRE-TEMPORADA</v>
      </c>
      <c r="H795" t="str" cm="1">
        <f t="array" ref="H795">IFERROR(VLOOKUP(INPUT!M790&amp;INPUT!N790,CHOOSE({1,2},INPUT!$A$3:$A$5000&amp;INPUT!$C$3:$C$5000,INPUT!$D$3:$D$5000),2,FALSE),"")</f>
        <v>TEC-TAC</v>
      </c>
      <c r="I795" s="46">
        <f>IF(INPUT!P790="","",INPUT!P790)</f>
        <v>82.8</v>
      </c>
      <c r="J795" s="46">
        <f>IF(INPUT!Q790="","",INPUT!Q790)</f>
        <v>82.5</v>
      </c>
      <c r="K795" s="46">
        <f>IFERROR(IF(OR(INPUT!P790="",INPUT!Q790=""),"",INPUT!P790-INPUT!Q790),"")</f>
        <v>0.29999999999999716</v>
      </c>
      <c r="L795" s="48">
        <f>IFERROR(IF(OR(INPUT!P790="",INPUT!Q790="",INPUT!P790=0),"",(INPUT!P790-INPUT!Q790)/INPUT!P790),"")</f>
        <v>3.6231884057970672E-3</v>
      </c>
    </row>
    <row r="796" spans="1:12" ht="18" hidden="1" customHeight="1" x14ac:dyDescent="0.2">
      <c r="A796" s="11">
        <f>IF(INPUT!M791="","",INPUT!M791)</f>
        <v>45931</v>
      </c>
      <c r="B796" s="11">
        <f>IF(INPUT!M791="","",INPUT!M791-WEEKDAY(INPUT!M791,2)+1)</f>
        <v>45929</v>
      </c>
      <c r="C796" s="20">
        <f>IFERROR(_xlfn.ISOWEEKNUM(INPUT!M791),"")</f>
        <v>40</v>
      </c>
      <c r="D796" s="20">
        <f>IFERROR(YEAR(INPUT!M791),"")</f>
        <v>2025</v>
      </c>
      <c r="E796" t="str">
        <f>IF(INPUT!O791="","",INPUT!O791)</f>
        <v>JAVI</v>
      </c>
      <c r="F796" t="str">
        <f>IF(INPUT!N791="","",INPUT!N791)</f>
        <v>M</v>
      </c>
      <c r="G796" t="str" cm="1">
        <f t="array" ref="G796">IFERROR(VLOOKUP(INPUT!M791&amp;INPUT!N791,CHOOSE({1,2},INPUT!$A$3:$A$5000&amp;INPUT!$C$3:$C$5000,INPUT!$F$3:$F$5000),2,FALSE),"")</f>
        <v>PRE-TEMPORADA</v>
      </c>
      <c r="H796" t="str" cm="1">
        <f t="array" ref="H796">IFERROR(VLOOKUP(INPUT!M791&amp;INPUT!N791,CHOOSE({1,2},INPUT!$A$3:$A$5000&amp;INPUT!$C$3:$C$5000,INPUT!$D$3:$D$5000),2,FALSE),"")</f>
        <v>GYM</v>
      </c>
      <c r="I796" s="46">
        <f>IF(INPUT!P791="","",INPUT!P791)</f>
        <v>79.8</v>
      </c>
      <c r="J796" s="46">
        <f>IF(INPUT!Q791="","",INPUT!Q791)</f>
        <v>78.7</v>
      </c>
      <c r="K796" s="46">
        <f>IFERROR(IF(OR(INPUT!P791="",INPUT!Q791=""),"",INPUT!P791-INPUT!Q791),"")</f>
        <v>1.0999999999999943</v>
      </c>
      <c r="L796" s="48">
        <f>IFERROR(IF(OR(INPUT!P791="",INPUT!Q791="",INPUT!P791=0),"",(INPUT!P791-INPUT!Q791)/INPUT!P791),"")</f>
        <v>1.3784461152882135E-2</v>
      </c>
    </row>
    <row r="797" spans="1:12" ht="18" hidden="1" customHeight="1" x14ac:dyDescent="0.2">
      <c r="A797" s="11">
        <f>IF(INPUT!M792="","",INPUT!M792)</f>
        <v>45931</v>
      </c>
      <c r="B797" s="11">
        <f>IF(INPUT!M792="","",INPUT!M792-WEEKDAY(INPUT!M792,2)+1)</f>
        <v>45929</v>
      </c>
      <c r="C797" s="20">
        <f>IFERROR(_xlfn.ISOWEEKNUM(INPUT!M792),"")</f>
        <v>40</v>
      </c>
      <c r="D797" s="20">
        <f>IFERROR(YEAR(INPUT!M792),"")</f>
        <v>2025</v>
      </c>
      <c r="E797" t="str">
        <f>IF(INPUT!O792="","",INPUT!O792)</f>
        <v>JAVI</v>
      </c>
      <c r="F797" t="str">
        <f>IF(INPUT!N792="","",INPUT!N792)</f>
        <v>T</v>
      </c>
      <c r="G797" t="str" cm="1">
        <f t="array" ref="G797">IFERROR(VLOOKUP(INPUT!M792&amp;INPUT!N792,CHOOSE({1,2},INPUT!$A$3:$A$5000&amp;INPUT!$C$3:$C$5000,INPUT!$F$3:$F$5000),2,FALSE),"")</f>
        <v>PRE-TEMPORADA</v>
      </c>
      <c r="H797" t="str" cm="1">
        <f t="array" ref="H797">IFERROR(VLOOKUP(INPUT!M792&amp;INPUT!N792,CHOOSE({1,2},INPUT!$A$3:$A$5000&amp;INPUT!$C$3:$C$5000,INPUT!$D$3:$D$5000),2,FALSE),"")</f>
        <v>TEC-TAC</v>
      </c>
      <c r="I797" s="46">
        <f>IF(INPUT!P792="","",INPUT!P792)</f>
        <v>79.7</v>
      </c>
      <c r="J797" s="46">
        <f>IF(INPUT!Q792="","",INPUT!Q792)</f>
        <v>79.400000000000006</v>
      </c>
      <c r="K797" s="46">
        <f>IFERROR(IF(OR(INPUT!P792="",INPUT!Q792=""),"",INPUT!P792-INPUT!Q792),"")</f>
        <v>0.29999999999999716</v>
      </c>
      <c r="L797" s="48">
        <f>IFERROR(IF(OR(INPUT!P792="",INPUT!Q792="",INPUT!P792=0),"",(INPUT!P792-INPUT!Q792)/INPUT!P792),"")</f>
        <v>3.7641154328732392E-3</v>
      </c>
    </row>
    <row r="798" spans="1:12" ht="18" hidden="1" customHeight="1" x14ac:dyDescent="0.2">
      <c r="A798" s="11">
        <f>IF(INPUT!M793="","",INPUT!M793)</f>
        <v>45931</v>
      </c>
      <c r="B798" s="11">
        <f>IF(INPUT!M793="","",INPUT!M793-WEEKDAY(INPUT!M793,2)+1)</f>
        <v>45929</v>
      </c>
      <c r="C798" s="20">
        <f>IFERROR(_xlfn.ISOWEEKNUM(INPUT!M793),"")</f>
        <v>40</v>
      </c>
      <c r="D798" s="20">
        <f>IFERROR(YEAR(INPUT!M793),"")</f>
        <v>2025</v>
      </c>
      <c r="E798" t="str">
        <f>IF(INPUT!O793="","",INPUT!O793)</f>
        <v>PANI</v>
      </c>
      <c r="F798" t="str">
        <f>IF(INPUT!N793="","",INPUT!N793)</f>
        <v>M</v>
      </c>
      <c r="G798" t="str" cm="1">
        <f t="array" ref="G798">IFERROR(VLOOKUP(INPUT!M793&amp;INPUT!N793,CHOOSE({1,2},INPUT!$A$3:$A$5000&amp;INPUT!$C$3:$C$5000,INPUT!$F$3:$F$5000),2,FALSE),"")</f>
        <v>PRE-TEMPORADA</v>
      </c>
      <c r="H798" t="str" cm="1">
        <f t="array" ref="H798">IFERROR(VLOOKUP(INPUT!M793&amp;INPUT!N793,CHOOSE({1,2},INPUT!$A$3:$A$5000&amp;INPUT!$C$3:$C$5000,INPUT!$D$3:$D$5000),2,FALSE),"")</f>
        <v>GYM</v>
      </c>
      <c r="I798" s="46">
        <f>IF(INPUT!P793="","",INPUT!P793)</f>
        <v>70.3</v>
      </c>
      <c r="J798" s="46">
        <f>IF(INPUT!Q793="","",INPUT!Q793)</f>
        <v>70</v>
      </c>
      <c r="K798" s="46">
        <f>IFERROR(IF(OR(INPUT!P793="",INPUT!Q793=""),"",INPUT!P793-INPUT!Q793),"")</f>
        <v>0.29999999999999716</v>
      </c>
      <c r="L798" s="48">
        <f>IFERROR(IF(OR(INPUT!P793="",INPUT!Q793="",INPUT!P793=0),"",(INPUT!P793-INPUT!Q793)/INPUT!P793),"")</f>
        <v>4.2674253200568587E-3</v>
      </c>
    </row>
    <row r="799" spans="1:12" ht="18" hidden="1" customHeight="1" x14ac:dyDescent="0.2">
      <c r="A799" s="11">
        <f>IF(INPUT!M794="","",INPUT!M794)</f>
        <v>45931</v>
      </c>
      <c r="B799" s="11">
        <f>IF(INPUT!M794="","",INPUT!M794-WEEKDAY(INPUT!M794,2)+1)</f>
        <v>45929</v>
      </c>
      <c r="C799" s="20">
        <f>IFERROR(_xlfn.ISOWEEKNUM(INPUT!M794),"")</f>
        <v>40</v>
      </c>
      <c r="D799" s="20">
        <f>IFERROR(YEAR(INPUT!M794),"")</f>
        <v>2025</v>
      </c>
      <c r="E799" t="str">
        <f>IF(INPUT!O794="","",INPUT!O794)</f>
        <v>PANI</v>
      </c>
      <c r="F799" t="str">
        <f>IF(INPUT!N794="","",INPUT!N794)</f>
        <v>T</v>
      </c>
      <c r="G799" t="str" cm="1">
        <f t="array" ref="G799">IFERROR(VLOOKUP(INPUT!M794&amp;INPUT!N794,CHOOSE({1,2},INPUT!$A$3:$A$5000&amp;INPUT!$C$3:$C$5000,INPUT!$F$3:$F$5000),2,FALSE),"")</f>
        <v>PRE-TEMPORADA</v>
      </c>
      <c r="H799" t="str" cm="1">
        <f t="array" ref="H799">IFERROR(VLOOKUP(INPUT!M794&amp;INPUT!N794,CHOOSE({1,2},INPUT!$A$3:$A$5000&amp;INPUT!$C$3:$C$5000,INPUT!$D$3:$D$5000),2,FALSE),"")</f>
        <v>TEC-TAC</v>
      </c>
      <c r="I799" s="46">
        <f>IF(INPUT!P794="","",INPUT!P794)</f>
        <v>71.5</v>
      </c>
      <c r="J799" s="46">
        <f>IF(INPUT!Q794="","",INPUT!Q794)</f>
        <v>70.7</v>
      </c>
      <c r="K799" s="46">
        <f>IFERROR(IF(OR(INPUT!P794="",INPUT!Q794=""),"",INPUT!P794-INPUT!Q794),"")</f>
        <v>0.79999999999999716</v>
      </c>
      <c r="L799" s="48">
        <f>IFERROR(IF(OR(INPUT!P794="",INPUT!Q794="",INPUT!P794=0),"",(INPUT!P794-INPUT!Q794)/INPUT!P794),"")</f>
        <v>1.1188811188811149E-2</v>
      </c>
    </row>
    <row r="800" spans="1:12" ht="18" hidden="1" customHeight="1" x14ac:dyDescent="0.2">
      <c r="A800" s="11">
        <f>IF(INPUT!M795="","",INPUT!M795)</f>
        <v>45931</v>
      </c>
      <c r="B800" s="11">
        <f>IF(INPUT!M795="","",INPUT!M795-WEEKDAY(INPUT!M795,2)+1)</f>
        <v>45929</v>
      </c>
      <c r="C800" s="20">
        <f>IFERROR(_xlfn.ISOWEEKNUM(INPUT!M795),"")</f>
        <v>40</v>
      </c>
      <c r="D800" s="20">
        <f>IFERROR(YEAR(INPUT!M795),"")</f>
        <v>2025</v>
      </c>
      <c r="E800" t="str">
        <f>IF(INPUT!O795="","",INPUT!O795)</f>
        <v>PIRATA</v>
      </c>
      <c r="F800" t="str">
        <f>IF(INPUT!N795="","",INPUT!N795)</f>
        <v>M</v>
      </c>
      <c r="G800" t="str" cm="1">
        <f t="array" ref="G800">IFERROR(VLOOKUP(INPUT!M795&amp;INPUT!N795,CHOOSE({1,2},INPUT!$A$3:$A$5000&amp;INPUT!$C$3:$C$5000,INPUT!$F$3:$F$5000),2,FALSE),"")</f>
        <v>PRE-TEMPORADA</v>
      </c>
      <c r="H800" t="str" cm="1">
        <f t="array" ref="H800">IFERROR(VLOOKUP(INPUT!M795&amp;INPUT!N795,CHOOSE({1,2},INPUT!$A$3:$A$5000&amp;INPUT!$C$3:$C$5000,INPUT!$D$3:$D$5000),2,FALSE),"")</f>
        <v>GYM</v>
      </c>
      <c r="I800" s="46">
        <f>IF(INPUT!P795="","",INPUT!P795)</f>
        <v>75.400000000000006</v>
      </c>
      <c r="J800" s="46">
        <f>IF(INPUT!Q795="","",INPUT!Q795)</f>
        <v>75.099999999999994</v>
      </c>
      <c r="K800" s="46">
        <f>IFERROR(IF(OR(INPUT!P795="",INPUT!Q795=""),"",INPUT!P795-INPUT!Q795),"")</f>
        <v>0.30000000000001137</v>
      </c>
      <c r="L800" s="48">
        <f>IFERROR(IF(OR(INPUT!P795="",INPUT!Q795="",INPUT!P795=0),"",(INPUT!P795-INPUT!Q795)/INPUT!P795),"")</f>
        <v>3.9787798408489564E-3</v>
      </c>
    </row>
    <row r="801" spans="1:12" ht="18" hidden="1" customHeight="1" x14ac:dyDescent="0.2">
      <c r="A801" s="11">
        <f>IF(INPUT!M796="","",INPUT!M796)</f>
        <v>45931</v>
      </c>
      <c r="B801" s="11">
        <f>IF(INPUT!M796="","",INPUT!M796-WEEKDAY(INPUT!M796,2)+1)</f>
        <v>45929</v>
      </c>
      <c r="C801" s="20">
        <f>IFERROR(_xlfn.ISOWEEKNUM(INPUT!M796),"")</f>
        <v>40</v>
      </c>
      <c r="D801" s="20">
        <f>IFERROR(YEAR(INPUT!M796),"")</f>
        <v>2025</v>
      </c>
      <c r="E801" t="str">
        <f>IF(INPUT!O796="","",INPUT!O796)</f>
        <v>PIRATA</v>
      </c>
      <c r="F801" t="str">
        <f>IF(INPUT!N796="","",INPUT!N796)</f>
        <v>T</v>
      </c>
      <c r="G801" t="str" cm="1">
        <f t="array" ref="G801">IFERROR(VLOOKUP(INPUT!M796&amp;INPUT!N796,CHOOSE({1,2},INPUT!$A$3:$A$5000&amp;INPUT!$C$3:$C$5000,INPUT!$F$3:$F$5000),2,FALSE),"")</f>
        <v>PRE-TEMPORADA</v>
      </c>
      <c r="H801" t="str" cm="1">
        <f t="array" ref="H801">IFERROR(VLOOKUP(INPUT!M796&amp;INPUT!N796,CHOOSE({1,2},INPUT!$A$3:$A$5000&amp;INPUT!$C$3:$C$5000,INPUT!$D$3:$D$5000),2,FALSE),"")</f>
        <v>TEC-TAC</v>
      </c>
      <c r="I801" s="46">
        <f>IF(INPUT!P796="","",INPUT!P796)</f>
        <v>75.3</v>
      </c>
      <c r="J801" s="46">
        <f>IF(INPUT!Q796="","",INPUT!Q796)</f>
        <v>75.599999999999994</v>
      </c>
      <c r="K801" s="46">
        <f>IFERROR(IF(OR(INPUT!P796="",INPUT!Q796=""),"",INPUT!P796-INPUT!Q796),"")</f>
        <v>-0.29999999999999716</v>
      </c>
      <c r="L801" s="48">
        <f>IFERROR(IF(OR(INPUT!P796="",INPUT!Q796="",INPUT!P796=0),"",(INPUT!P796-INPUT!Q796)/INPUT!P796),"")</f>
        <v>-3.984063745019883E-3</v>
      </c>
    </row>
    <row r="802" spans="1:12" ht="18" hidden="1" customHeight="1" x14ac:dyDescent="0.2">
      <c r="A802" s="11">
        <f>IF(INPUT!M797="","",INPUT!M797)</f>
        <v>45931</v>
      </c>
      <c r="B802" s="11">
        <f>IF(INPUT!M797="","",INPUT!M797-WEEKDAY(INPUT!M797,2)+1)</f>
        <v>45929</v>
      </c>
      <c r="C802" s="20">
        <f>IFERROR(_xlfn.ISOWEEKNUM(INPUT!M797),"")</f>
        <v>40</v>
      </c>
      <c r="D802" s="20">
        <f>IFERROR(YEAR(INPUT!M797),"")</f>
        <v>2025</v>
      </c>
      <c r="E802" t="str">
        <f>IF(INPUT!O797="","",INPUT!O797)</f>
        <v>BARONA</v>
      </c>
      <c r="F802" t="str">
        <f>IF(INPUT!N797="","",INPUT!N797)</f>
        <v>M</v>
      </c>
      <c r="G802" t="str" cm="1">
        <f t="array" ref="G802">IFERROR(VLOOKUP(INPUT!M797&amp;INPUT!N797,CHOOSE({1,2},INPUT!$A$3:$A$5000&amp;INPUT!$C$3:$C$5000,INPUT!$F$3:$F$5000),2,FALSE),"")</f>
        <v>PRE-TEMPORADA</v>
      </c>
      <c r="H802" t="str" cm="1">
        <f t="array" ref="H802">IFERROR(VLOOKUP(INPUT!M797&amp;INPUT!N797,CHOOSE({1,2},INPUT!$A$3:$A$5000&amp;INPUT!$C$3:$C$5000,INPUT!$D$3:$D$5000),2,FALSE),"")</f>
        <v>GYM</v>
      </c>
      <c r="I802" s="46">
        <f>IF(INPUT!P797="","",INPUT!P797)</f>
        <v>71.5</v>
      </c>
      <c r="J802" s="46">
        <f>IF(INPUT!Q797="","",INPUT!Q797)</f>
        <v>70.8</v>
      </c>
      <c r="K802" s="46">
        <f>IFERROR(IF(OR(INPUT!P797="",INPUT!Q797=""),"",INPUT!P797-INPUT!Q797),"")</f>
        <v>0.70000000000000284</v>
      </c>
      <c r="L802" s="48">
        <f>IFERROR(IF(OR(INPUT!P797="",INPUT!Q797="",INPUT!P797=0),"",(INPUT!P797-INPUT!Q797)/INPUT!P797),"")</f>
        <v>9.7902097902098292E-3</v>
      </c>
    </row>
    <row r="803" spans="1:12" ht="18" hidden="1" customHeight="1" x14ac:dyDescent="0.2">
      <c r="A803" s="11">
        <f>IF(INPUT!M798="","",INPUT!M798)</f>
        <v>45931</v>
      </c>
      <c r="B803" s="11">
        <f>IF(INPUT!M798="","",INPUT!M798-WEEKDAY(INPUT!M798,2)+1)</f>
        <v>45929</v>
      </c>
      <c r="C803" s="20">
        <f>IFERROR(_xlfn.ISOWEEKNUM(INPUT!M798),"")</f>
        <v>40</v>
      </c>
      <c r="D803" s="20">
        <f>IFERROR(YEAR(INPUT!M798),"")</f>
        <v>2025</v>
      </c>
      <c r="E803" t="str">
        <f>IF(INPUT!O798="","",INPUT!O798)</f>
        <v>BARONA</v>
      </c>
      <c r="F803" t="str">
        <f>IF(INPUT!N798="","",INPUT!N798)</f>
        <v>T</v>
      </c>
      <c r="G803" t="str" cm="1">
        <f t="array" ref="G803">IFERROR(VLOOKUP(INPUT!M798&amp;INPUT!N798,CHOOSE({1,2},INPUT!$A$3:$A$5000&amp;INPUT!$C$3:$C$5000,INPUT!$F$3:$F$5000),2,FALSE),"")</f>
        <v>PRE-TEMPORADA</v>
      </c>
      <c r="H803" t="str" cm="1">
        <f t="array" ref="H803">IFERROR(VLOOKUP(INPUT!M798&amp;INPUT!N798,CHOOSE({1,2},INPUT!$A$3:$A$5000&amp;INPUT!$C$3:$C$5000,INPUT!$D$3:$D$5000),2,FALSE),"")</f>
        <v>TEC-TAC</v>
      </c>
      <c r="I803" s="46">
        <f>IF(INPUT!P798="","",INPUT!P798)</f>
        <v>72.2</v>
      </c>
      <c r="J803" s="46">
        <f>IF(INPUT!Q798="","",INPUT!Q798)</f>
        <v>71.2</v>
      </c>
      <c r="K803" s="46">
        <f>IFERROR(IF(OR(INPUT!P798="",INPUT!Q798=""),"",INPUT!P798-INPUT!Q798),"")</f>
        <v>1</v>
      </c>
      <c r="L803" s="48">
        <f>IFERROR(IF(OR(INPUT!P798="",INPUT!Q798="",INPUT!P798=0),"",(INPUT!P798-INPUT!Q798)/INPUT!P798),"")</f>
        <v>1.3850415512465374E-2</v>
      </c>
    </row>
    <row r="804" spans="1:12" ht="18" hidden="1" customHeight="1" x14ac:dyDescent="0.2">
      <c r="A804" s="11">
        <f>IF(INPUT!M799="","",INPUT!M799)</f>
        <v>45931</v>
      </c>
      <c r="B804" s="11">
        <f>IF(INPUT!M799="","",INPUT!M799-WEEKDAY(INPUT!M799,2)+1)</f>
        <v>45929</v>
      </c>
      <c r="C804" s="20">
        <f>IFERROR(_xlfn.ISOWEEKNUM(INPUT!M799),"")</f>
        <v>40</v>
      </c>
      <c r="D804" s="20">
        <f>IFERROR(YEAR(INPUT!M799),"")</f>
        <v>2025</v>
      </c>
      <c r="E804" t="str">
        <f>IF(INPUT!O799="","",INPUT!O799)</f>
        <v>CARLOS</v>
      </c>
      <c r="F804" t="str">
        <f>IF(INPUT!N799="","",INPUT!N799)</f>
        <v>M</v>
      </c>
      <c r="G804" t="str" cm="1">
        <f t="array" ref="G804">IFERROR(VLOOKUP(INPUT!M799&amp;INPUT!N799,CHOOSE({1,2},INPUT!$A$3:$A$5000&amp;INPUT!$C$3:$C$5000,INPUT!$F$3:$F$5000),2,FALSE),"")</f>
        <v>PRE-TEMPORADA</v>
      </c>
      <c r="H804" t="str" cm="1">
        <f t="array" ref="H804">IFERROR(VLOOKUP(INPUT!M799&amp;INPUT!N799,CHOOSE({1,2},INPUT!$A$3:$A$5000&amp;INPUT!$C$3:$C$5000,INPUT!$D$3:$D$5000),2,FALSE),"")</f>
        <v>GYM</v>
      </c>
      <c r="I804" s="46">
        <f>IF(INPUT!P799="","",INPUT!P799)</f>
        <v>66.599999999999994</v>
      </c>
      <c r="J804" s="46">
        <f>IF(INPUT!Q799="","",INPUT!Q799)</f>
        <v>66.099999999999994</v>
      </c>
      <c r="K804" s="46">
        <f>IFERROR(IF(OR(INPUT!P799="",INPUT!Q799=""),"",INPUT!P799-INPUT!Q799),"")</f>
        <v>0.5</v>
      </c>
      <c r="L804" s="48">
        <f>IFERROR(IF(OR(INPUT!P799="",INPUT!Q799="",INPUT!P799=0),"",(INPUT!P799-INPUT!Q799)/INPUT!P799),"")</f>
        <v>7.5075075075075083E-3</v>
      </c>
    </row>
    <row r="805" spans="1:12" ht="18" hidden="1" customHeight="1" x14ac:dyDescent="0.2">
      <c r="A805" s="11">
        <f>IF(INPUT!M800="","",INPUT!M800)</f>
        <v>45931</v>
      </c>
      <c r="B805" s="11">
        <f>IF(INPUT!M800="","",INPUT!M800-WEEKDAY(INPUT!M800,2)+1)</f>
        <v>45929</v>
      </c>
      <c r="C805" s="20">
        <f>IFERROR(_xlfn.ISOWEEKNUM(INPUT!M800),"")</f>
        <v>40</v>
      </c>
      <c r="D805" s="20">
        <f>IFERROR(YEAR(INPUT!M800),"")</f>
        <v>2025</v>
      </c>
      <c r="E805" t="str">
        <f>IF(INPUT!O800="","",INPUT!O800)</f>
        <v>CARLOS</v>
      </c>
      <c r="F805" t="str">
        <f>IF(INPUT!N800="","",INPUT!N800)</f>
        <v>T</v>
      </c>
      <c r="G805" t="str" cm="1">
        <f t="array" ref="G805">IFERROR(VLOOKUP(INPUT!M800&amp;INPUT!N800,CHOOSE({1,2},INPUT!$A$3:$A$5000&amp;INPUT!$C$3:$C$5000,INPUT!$F$3:$F$5000),2,FALSE),"")</f>
        <v>PRE-TEMPORADA</v>
      </c>
      <c r="H805" t="str" cm="1">
        <f t="array" ref="H805">IFERROR(VLOOKUP(INPUT!M800&amp;INPUT!N800,CHOOSE({1,2},INPUT!$A$3:$A$5000&amp;INPUT!$C$3:$C$5000,INPUT!$D$3:$D$5000),2,FALSE),"")</f>
        <v>TEC-TAC</v>
      </c>
      <c r="I805" s="46">
        <f>IF(INPUT!P800="","",INPUT!P800)</f>
        <v>68</v>
      </c>
      <c r="J805" s="46">
        <f>IF(INPUT!Q800="","",INPUT!Q800)</f>
        <v>66.599999999999994</v>
      </c>
      <c r="K805" s="46">
        <f>IFERROR(IF(OR(INPUT!P800="",INPUT!Q800=""),"",INPUT!P800-INPUT!Q800),"")</f>
        <v>1.4000000000000057</v>
      </c>
      <c r="L805" s="48">
        <f>IFERROR(IF(OR(INPUT!P800="",INPUT!Q800="",INPUT!P800=0),"",(INPUT!P800-INPUT!Q800)/INPUT!P800),"")</f>
        <v>2.058823529411773E-2</v>
      </c>
    </row>
    <row r="806" spans="1:12" ht="18" customHeight="1" x14ac:dyDescent="0.2">
      <c r="A806" s="11">
        <f>IF(INPUT!M801="","",INPUT!M801)</f>
        <v>45931</v>
      </c>
      <c r="B806" s="11">
        <f>IF(INPUT!M801="","",INPUT!M801-WEEKDAY(INPUT!M801,2)+1)</f>
        <v>45929</v>
      </c>
      <c r="C806" s="20">
        <f>IFERROR(_xlfn.ISOWEEKNUM(INPUT!M801),"")</f>
        <v>40</v>
      </c>
      <c r="D806" s="20">
        <f>IFERROR(YEAR(INPUT!M801),"")</f>
        <v>2025</v>
      </c>
      <c r="E806" t="str">
        <f>IF(INPUT!O801="","",INPUT!O801)</f>
        <v>GONZALO</v>
      </c>
      <c r="F806" t="str">
        <f>IF(INPUT!N801="","",INPUT!N801)</f>
        <v>M</v>
      </c>
      <c r="G806" t="str" cm="1">
        <f t="array" ref="G806">IFERROR(VLOOKUP(INPUT!M801&amp;INPUT!N801,CHOOSE({1,2},INPUT!$A$3:$A$5000&amp;INPUT!$C$3:$C$5000,INPUT!$F$3:$F$5000),2,FALSE),"")</f>
        <v>PRE-TEMPORADA</v>
      </c>
      <c r="H806" t="str" cm="1">
        <f t="array" ref="H806">IFERROR(VLOOKUP(INPUT!M801&amp;INPUT!N801,CHOOSE({1,2},INPUT!$A$3:$A$5000&amp;INPUT!$C$3:$C$5000,INPUT!$D$3:$D$5000),2,FALSE),"")</f>
        <v>GYM</v>
      </c>
      <c r="I806" s="46">
        <f>IF(INPUT!P801="","",INPUT!P801)</f>
        <v>84.3</v>
      </c>
      <c r="J806" s="46">
        <f>IF(INPUT!Q801="","",INPUT!Q801)</f>
        <v>84.2</v>
      </c>
      <c r="K806" s="46">
        <f>IFERROR(IF(OR(INPUT!P801="",INPUT!Q801=""),"",INPUT!P801-INPUT!Q801),"")</f>
        <v>9.9999999999994316E-2</v>
      </c>
      <c r="L806" s="48">
        <f>IFERROR(IF(OR(INPUT!P801="",INPUT!Q801="",INPUT!P801=0),"",(INPUT!P801-INPUT!Q801)/INPUT!P801),"")</f>
        <v>1.1862396204032541E-3</v>
      </c>
    </row>
    <row r="807" spans="1:12" ht="18" customHeight="1" x14ac:dyDescent="0.2">
      <c r="A807" s="11">
        <f>IF(INPUT!M802="","",INPUT!M802)</f>
        <v>45931</v>
      </c>
      <c r="B807" s="11">
        <f>IF(INPUT!M802="","",INPUT!M802-WEEKDAY(INPUT!M802,2)+1)</f>
        <v>45929</v>
      </c>
      <c r="C807" s="20">
        <f>IFERROR(_xlfn.ISOWEEKNUM(INPUT!M802),"")</f>
        <v>40</v>
      </c>
      <c r="D807" s="20">
        <f>IFERROR(YEAR(INPUT!M802),"")</f>
        <v>2025</v>
      </c>
      <c r="E807" t="str">
        <f>IF(INPUT!O802="","",INPUT!O802)</f>
        <v>GONZALO</v>
      </c>
      <c r="F807" t="str">
        <f>IF(INPUT!N802="","",INPUT!N802)</f>
        <v>T</v>
      </c>
      <c r="G807" t="str" cm="1">
        <f t="array" ref="G807">IFERROR(VLOOKUP(INPUT!M802&amp;INPUT!N802,CHOOSE({1,2},INPUT!$A$3:$A$5000&amp;INPUT!$C$3:$C$5000,INPUT!$F$3:$F$5000),2,FALSE),"")</f>
        <v>PRE-TEMPORADA</v>
      </c>
      <c r="H807" t="str" cm="1">
        <f t="array" ref="H807">IFERROR(VLOOKUP(INPUT!M802&amp;INPUT!N802,CHOOSE({1,2},INPUT!$A$3:$A$5000&amp;INPUT!$C$3:$C$5000,INPUT!$D$3:$D$5000),2,FALSE),"")</f>
        <v>TEC-TAC</v>
      </c>
      <c r="I807" s="46">
        <f>IF(INPUT!P802="","",INPUT!P802)</f>
        <v>84.4</v>
      </c>
      <c r="J807" s="46">
        <f>IF(INPUT!Q802="","",INPUT!Q802)</f>
        <v>84.4</v>
      </c>
      <c r="K807" s="46">
        <f>IFERROR(IF(OR(INPUT!P802="",INPUT!Q802=""),"",INPUT!P802-INPUT!Q802),"")</f>
        <v>0</v>
      </c>
      <c r="L807" s="48">
        <f>IFERROR(IF(OR(INPUT!P802="",INPUT!Q802="",INPUT!P802=0),"",(INPUT!P802-INPUT!Q802)/INPUT!P802),"")</f>
        <v>0</v>
      </c>
    </row>
    <row r="808" spans="1:12" ht="18" customHeight="1" x14ac:dyDescent="0.2">
      <c r="A808" s="11">
        <f>IF(INPUT!M803="","",INPUT!M803)</f>
        <v>45931</v>
      </c>
      <c r="B808" s="11">
        <f>IF(INPUT!M803="","",INPUT!M803-WEEKDAY(INPUT!M803,2)+1)</f>
        <v>45929</v>
      </c>
      <c r="C808" s="20">
        <f>IFERROR(_xlfn.ISOWEEKNUM(INPUT!M803),"")</f>
        <v>40</v>
      </c>
      <c r="D808" s="20">
        <f>IFERROR(YEAR(INPUT!M803),"")</f>
        <v>2025</v>
      </c>
      <c r="E808" t="str">
        <f>IF(INPUT!O803="","",INPUT!O803)</f>
        <v>RUBIO</v>
      </c>
      <c r="F808" t="str">
        <f>IF(INPUT!N803="","",INPUT!N803)</f>
        <v>M</v>
      </c>
      <c r="G808" t="str" cm="1">
        <f t="array" ref="G808">IFERROR(VLOOKUP(INPUT!M803&amp;INPUT!N803,CHOOSE({1,2},INPUT!$A$3:$A$5000&amp;INPUT!$C$3:$C$5000,INPUT!$F$3:$F$5000),2,FALSE),"")</f>
        <v>PRE-TEMPORADA</v>
      </c>
      <c r="H808" t="str" cm="1">
        <f t="array" ref="H808">IFERROR(VLOOKUP(INPUT!M803&amp;INPUT!N803,CHOOSE({1,2},INPUT!$A$3:$A$5000&amp;INPUT!$C$3:$C$5000,INPUT!$D$3:$D$5000),2,FALSE),"")</f>
        <v>GYM</v>
      </c>
      <c r="I808" s="46">
        <f>IF(INPUT!P803="","",INPUT!P803)</f>
        <v>74.5</v>
      </c>
      <c r="J808" s="46">
        <f>IF(INPUT!Q803="","",INPUT!Q803)</f>
        <v>74.599999999999994</v>
      </c>
      <c r="K808" s="46">
        <f>IFERROR(IF(OR(INPUT!P803="",INPUT!Q803=""),"",INPUT!P803-INPUT!Q803),"")</f>
        <v>-9.9999999999994316E-2</v>
      </c>
      <c r="L808" s="48">
        <f>IFERROR(IF(OR(INPUT!P803="",INPUT!Q803="",INPUT!P803=0),"",(INPUT!P803-INPUT!Q803)/INPUT!P803),"")</f>
        <v>-1.3422818791945545E-3</v>
      </c>
    </row>
    <row r="809" spans="1:12" ht="18" customHeight="1" x14ac:dyDescent="0.2">
      <c r="A809" s="11">
        <f>IF(INPUT!M804="","",INPUT!M804)</f>
        <v>45931</v>
      </c>
      <c r="B809" s="11">
        <f>IF(INPUT!M804="","",INPUT!M804-WEEKDAY(INPUT!M804,2)+1)</f>
        <v>45929</v>
      </c>
      <c r="C809" s="20">
        <f>IFERROR(_xlfn.ISOWEEKNUM(INPUT!M804),"")</f>
        <v>40</v>
      </c>
      <c r="D809" s="20">
        <f>IFERROR(YEAR(INPUT!M804),"")</f>
        <v>2025</v>
      </c>
      <c r="E809" t="str">
        <f>IF(INPUT!O804="","",INPUT!O804)</f>
        <v>RUBIO</v>
      </c>
      <c r="F809" t="str">
        <f>IF(INPUT!N804="","",INPUT!N804)</f>
        <v>T</v>
      </c>
      <c r="G809" t="str" cm="1">
        <f t="array" ref="G809">IFERROR(VLOOKUP(INPUT!M804&amp;INPUT!N804,CHOOSE({1,2},INPUT!$A$3:$A$5000&amp;INPUT!$C$3:$C$5000,INPUT!$F$3:$F$5000),2,FALSE),"")</f>
        <v>PRE-TEMPORADA</v>
      </c>
      <c r="H809" t="str" cm="1">
        <f t="array" ref="H809">IFERROR(VLOOKUP(INPUT!M804&amp;INPUT!N804,CHOOSE({1,2},INPUT!$A$3:$A$5000&amp;INPUT!$C$3:$C$5000,INPUT!$D$3:$D$5000),2,FALSE),"")</f>
        <v>TEC-TAC</v>
      </c>
      <c r="I809" s="46">
        <f>IF(INPUT!P804="","",INPUT!P804)</f>
        <v>74.8</v>
      </c>
      <c r="J809" s="46">
        <f>IF(INPUT!Q804="","",INPUT!Q804)</f>
        <v>74.7</v>
      </c>
      <c r="K809" s="46">
        <f>IFERROR(IF(OR(INPUT!P804="",INPUT!Q804=""),"",INPUT!P804-INPUT!Q804),"")</f>
        <v>9.9999999999994316E-2</v>
      </c>
      <c r="L809" s="48">
        <f>IFERROR(IF(OR(INPUT!P804="",INPUT!Q804="",INPUT!P804=0),"",(INPUT!P804-INPUT!Q804)/INPUT!P804),"")</f>
        <v>1.3368983957218492E-3</v>
      </c>
    </row>
    <row r="810" spans="1:12" ht="18" customHeight="1" x14ac:dyDescent="0.2">
      <c r="A810" s="11">
        <f>IF(INPUT!M805="","",INPUT!M805)</f>
        <v>45931</v>
      </c>
      <c r="B810" s="11">
        <f>IF(INPUT!M805="","",INPUT!M805-WEEKDAY(INPUT!M805,2)+1)</f>
        <v>45929</v>
      </c>
      <c r="C810" s="20">
        <f>IFERROR(_xlfn.ISOWEEKNUM(INPUT!M805),"")</f>
        <v>40</v>
      </c>
      <c r="D810" s="20">
        <f>IFERROR(YEAR(INPUT!M805),"")</f>
        <v>2025</v>
      </c>
      <c r="E810" t="str">
        <f>IF(INPUT!O805="","",INPUT!O805)</f>
        <v>DANI</v>
      </c>
      <c r="F810" t="str">
        <f>IF(INPUT!N805="","",INPUT!N805)</f>
        <v>M</v>
      </c>
      <c r="G810" t="str" cm="1">
        <f t="array" ref="G810">IFERROR(VLOOKUP(INPUT!M805&amp;INPUT!N805,CHOOSE({1,2},INPUT!$A$3:$A$5000&amp;INPUT!$C$3:$C$5000,INPUT!$F$3:$F$5000),2,FALSE),"")</f>
        <v>PRE-TEMPORADA</v>
      </c>
      <c r="H810" t="str" cm="1">
        <f t="array" ref="H810">IFERROR(VLOOKUP(INPUT!M805&amp;INPUT!N805,CHOOSE({1,2},INPUT!$A$3:$A$5000&amp;INPUT!$C$3:$C$5000,INPUT!$D$3:$D$5000),2,FALSE),"")</f>
        <v>GYM</v>
      </c>
      <c r="I810" s="46">
        <f>IF(INPUT!P805="","",INPUT!P805)</f>
        <v>93.2</v>
      </c>
      <c r="J810" s="46">
        <f>IF(INPUT!Q805="","",INPUT!Q805)</f>
        <v>92.6</v>
      </c>
      <c r="K810" s="46">
        <f>IFERROR(IF(OR(INPUT!P805="",INPUT!Q805=""),"",INPUT!P805-INPUT!Q805),"")</f>
        <v>0.60000000000000853</v>
      </c>
      <c r="L810" s="48">
        <f>IFERROR(IF(OR(INPUT!P805="",INPUT!Q805="",INPUT!P805=0),"",(INPUT!P805-INPUT!Q805)/INPUT!P805),"")</f>
        <v>6.4377682403434387E-3</v>
      </c>
    </row>
    <row r="811" spans="1:12" ht="18" customHeight="1" x14ac:dyDescent="0.2">
      <c r="A811" s="11">
        <f>IF(INPUT!M806="","",INPUT!M806)</f>
        <v>45931</v>
      </c>
      <c r="B811" s="11">
        <f>IF(INPUT!M806="","",INPUT!M806-WEEKDAY(INPUT!M806,2)+1)</f>
        <v>45929</v>
      </c>
      <c r="C811" s="20">
        <f>IFERROR(_xlfn.ISOWEEKNUM(INPUT!M806),"")</f>
        <v>40</v>
      </c>
      <c r="D811" s="20">
        <f>IFERROR(YEAR(INPUT!M806),"")</f>
        <v>2025</v>
      </c>
      <c r="E811" t="str">
        <f>IF(INPUT!O806="","",INPUT!O806)</f>
        <v>DANI</v>
      </c>
      <c r="F811" t="str">
        <f>IF(INPUT!N806="","",INPUT!N806)</f>
        <v>T</v>
      </c>
      <c r="G811" t="str" cm="1">
        <f t="array" ref="G811">IFERROR(VLOOKUP(INPUT!M806&amp;INPUT!N806,CHOOSE({1,2},INPUT!$A$3:$A$5000&amp;INPUT!$C$3:$C$5000,INPUT!$F$3:$F$5000),2,FALSE),"")</f>
        <v>PRE-TEMPORADA</v>
      </c>
      <c r="H811" t="str" cm="1">
        <f t="array" ref="H811">IFERROR(VLOOKUP(INPUT!M806&amp;INPUT!N806,CHOOSE({1,2},INPUT!$A$3:$A$5000&amp;INPUT!$C$3:$C$5000,INPUT!$D$3:$D$5000),2,FALSE),"")</f>
        <v>TEC-TAC</v>
      </c>
      <c r="I811" s="46">
        <f>IF(INPUT!P806="","",INPUT!P806)</f>
        <v>93.4</v>
      </c>
      <c r="J811" s="46">
        <f>IF(INPUT!Q806="","",INPUT!Q806)</f>
        <v>93</v>
      </c>
      <c r="K811" s="46">
        <f>IFERROR(IF(OR(INPUT!P806="",INPUT!Q806=""),"",INPUT!P806-INPUT!Q806),"")</f>
        <v>0.40000000000000568</v>
      </c>
      <c r="L811" s="48">
        <f>IFERROR(IF(OR(INPUT!P806="",INPUT!Q806="",INPUT!P806=0),"",(INPUT!P806-INPUT!Q806)/INPUT!P806),"")</f>
        <v>4.2826552462527376E-3</v>
      </c>
    </row>
    <row r="812" spans="1:12" ht="18" hidden="1" customHeight="1" x14ac:dyDescent="0.2">
      <c r="A812" s="11">
        <f>IF(INPUT!M807="","",INPUT!M807)</f>
        <v>45932</v>
      </c>
      <c r="B812" s="11">
        <f>IF(INPUT!M807="","",INPUT!M807-WEEKDAY(INPUT!M807,2)+1)</f>
        <v>45929</v>
      </c>
      <c r="C812" s="20">
        <f>IFERROR(_xlfn.ISOWEEKNUM(INPUT!M807),"")</f>
        <v>40</v>
      </c>
      <c r="D812" s="20">
        <f>IFERROR(YEAR(INPUT!M807),"")</f>
        <v>2025</v>
      </c>
      <c r="E812" t="str">
        <f>IF(INPUT!O807="","",INPUT!O807)</f>
        <v>HERRERO</v>
      </c>
      <c r="F812" t="str">
        <f>IF(INPUT!N807="","",INPUT!N807)</f>
        <v>M</v>
      </c>
      <c r="G812" t="str" cm="1">
        <f t="array" ref="G812">IFERROR(VLOOKUP(INPUT!M807&amp;INPUT!N807,CHOOSE({1,2},INPUT!$A$3:$A$5000&amp;INPUT!$C$3:$C$5000,INPUT!$F$3:$F$5000),2,FALSE),"")</f>
        <v>PRE-TEMPORADA</v>
      </c>
      <c r="H812" t="str" cm="1">
        <f t="array" ref="H812">IFERROR(VLOOKUP(INPUT!M807&amp;INPUT!N807,CHOOSE({1,2},INPUT!$A$3:$A$5000&amp;INPUT!$C$3:$C$5000,INPUT!$D$3:$D$5000),2,FALSE),"")</f>
        <v>TEC-TAC</v>
      </c>
      <c r="I812" s="46">
        <f>IF(INPUT!P807="","",INPUT!P807)</f>
        <v>76.7</v>
      </c>
      <c r="J812" s="46">
        <f>IF(INPUT!Q807="","",INPUT!Q807)</f>
        <v>76</v>
      </c>
      <c r="K812" s="46">
        <f>IFERROR(IF(OR(INPUT!P807="",INPUT!Q807=""),"",INPUT!P807-INPUT!Q807),"")</f>
        <v>0.70000000000000284</v>
      </c>
      <c r="L812" s="48">
        <f>IFERROR(IF(OR(INPUT!P807="",INPUT!Q807="",INPUT!P807=0),"",(INPUT!P807-INPUT!Q807)/INPUT!P807),"")</f>
        <v>9.1264667535854351E-3</v>
      </c>
    </row>
    <row r="813" spans="1:12" ht="18" hidden="1" customHeight="1" x14ac:dyDescent="0.2">
      <c r="A813" s="11">
        <f>IF(INPUT!M808="","",INPUT!M808)</f>
        <v>45932</v>
      </c>
      <c r="B813" s="11">
        <f>IF(INPUT!M808="","",INPUT!M808-WEEKDAY(INPUT!M808,2)+1)</f>
        <v>45929</v>
      </c>
      <c r="C813" s="20">
        <f>IFERROR(_xlfn.ISOWEEKNUM(INPUT!M808),"")</f>
        <v>40</v>
      </c>
      <c r="D813" s="20">
        <f>IFERROR(YEAR(INPUT!M808),"")</f>
        <v>2025</v>
      </c>
      <c r="E813" t="str">
        <f>IF(INPUT!O808="","",INPUT!O808)</f>
        <v>GARCIA</v>
      </c>
      <c r="F813" t="str">
        <f>IF(INPUT!N808="","",INPUT!N808)</f>
        <v>M</v>
      </c>
      <c r="G813" t="str" cm="1">
        <f t="array" ref="G813">IFERROR(VLOOKUP(INPUT!M808&amp;INPUT!N808,CHOOSE({1,2},INPUT!$A$3:$A$5000&amp;INPUT!$C$3:$C$5000,INPUT!$F$3:$F$5000),2,FALSE),"")</f>
        <v>PRE-TEMPORADA</v>
      </c>
      <c r="H813" t="str" cm="1">
        <f t="array" ref="H813">IFERROR(VLOOKUP(INPUT!M808&amp;INPUT!N808,CHOOSE({1,2},INPUT!$A$3:$A$5000&amp;INPUT!$C$3:$C$5000,INPUT!$D$3:$D$5000),2,FALSE),"")</f>
        <v>TEC-TAC</v>
      </c>
      <c r="I813" s="46">
        <f>IF(INPUT!P808="","",INPUT!P808)</f>
        <v>79.8</v>
      </c>
      <c r="J813" s="46">
        <f>IF(INPUT!Q808="","",INPUT!Q808)</f>
        <v>79.7</v>
      </c>
      <c r="K813" s="46">
        <f>IFERROR(IF(OR(INPUT!P808="",INPUT!Q808=""),"",INPUT!P808-INPUT!Q808),"")</f>
        <v>9.9999999999994316E-2</v>
      </c>
      <c r="L813" s="48">
        <f>IFERROR(IF(OR(INPUT!P808="",INPUT!Q808="",INPUT!P808=0),"",(INPUT!P808-INPUT!Q808)/INPUT!P808),"")</f>
        <v>1.2531328320801293E-3</v>
      </c>
    </row>
    <row r="814" spans="1:12" ht="18" hidden="1" customHeight="1" x14ac:dyDescent="0.2">
      <c r="A814" s="11">
        <f>IF(INPUT!M809="","",INPUT!M809)</f>
        <v>45932</v>
      </c>
      <c r="B814" s="11">
        <f>IF(INPUT!M809="","",INPUT!M809-WEEKDAY(INPUT!M809,2)+1)</f>
        <v>45929</v>
      </c>
      <c r="C814" s="20">
        <f>IFERROR(_xlfn.ISOWEEKNUM(INPUT!M809),"")</f>
        <v>40</v>
      </c>
      <c r="D814" s="20">
        <f>IFERROR(YEAR(INPUT!M809),"")</f>
        <v>2025</v>
      </c>
      <c r="E814" t="str">
        <f>IF(INPUT!O809="","",INPUT!O809)</f>
        <v>CECILIO</v>
      </c>
      <c r="F814" t="str">
        <f>IF(INPUT!N809="","",INPUT!N809)</f>
        <v>M</v>
      </c>
      <c r="G814" t="str" cm="1">
        <f t="array" ref="G814">IFERROR(VLOOKUP(INPUT!M809&amp;INPUT!N809,CHOOSE({1,2},INPUT!$A$3:$A$5000&amp;INPUT!$C$3:$C$5000,INPUT!$F$3:$F$5000),2,FALSE),"")</f>
        <v>PRE-TEMPORADA</v>
      </c>
      <c r="H814" t="str" cm="1">
        <f t="array" ref="H814">IFERROR(VLOOKUP(INPUT!M809&amp;INPUT!N809,CHOOSE({1,2},INPUT!$A$3:$A$5000&amp;INPUT!$C$3:$C$5000,INPUT!$D$3:$D$5000),2,FALSE),"")</f>
        <v>TEC-TAC</v>
      </c>
      <c r="I814" s="46">
        <f>IF(INPUT!P809="","",INPUT!P809)</f>
        <v>67.900000000000006</v>
      </c>
      <c r="J814" s="46">
        <f>IF(INPUT!Q809="","",INPUT!Q809)</f>
        <v>67.099999999999994</v>
      </c>
      <c r="K814" s="46">
        <f>IFERROR(IF(OR(INPUT!P809="",INPUT!Q809=""),"",INPUT!P809-INPUT!Q809),"")</f>
        <v>0.80000000000001137</v>
      </c>
      <c r="L814" s="48">
        <f>IFERROR(IF(OR(INPUT!P809="",INPUT!Q809="",INPUT!P809=0),"",(INPUT!P809-INPUT!Q809)/INPUT!P809),"")</f>
        <v>1.1782032400589268E-2</v>
      </c>
    </row>
    <row r="815" spans="1:12" ht="18" hidden="1" customHeight="1" x14ac:dyDescent="0.2">
      <c r="A815" s="11">
        <f>IF(INPUT!M810="","",INPUT!M810)</f>
        <v>45932</v>
      </c>
      <c r="B815" s="11">
        <f>IF(INPUT!M810="","",INPUT!M810-WEEKDAY(INPUT!M810,2)+1)</f>
        <v>45929</v>
      </c>
      <c r="C815" s="20">
        <f>IFERROR(_xlfn.ISOWEEKNUM(INPUT!M810),"")</f>
        <v>40</v>
      </c>
      <c r="D815" s="20">
        <f>IFERROR(YEAR(INPUT!M810),"")</f>
        <v>2025</v>
      </c>
      <c r="E815" t="str">
        <f>IF(INPUT!O810="","",INPUT!O810)</f>
        <v>CHAGUINHA</v>
      </c>
      <c r="F815" t="str">
        <f>IF(INPUT!N810="","",INPUT!N810)</f>
        <v>M</v>
      </c>
      <c r="G815" t="str" cm="1">
        <f t="array" ref="G815">IFERROR(VLOOKUP(INPUT!M810&amp;INPUT!N810,CHOOSE({1,2},INPUT!$A$3:$A$5000&amp;INPUT!$C$3:$C$5000,INPUT!$F$3:$F$5000),2,FALSE),"")</f>
        <v>PRE-TEMPORADA</v>
      </c>
      <c r="H815" t="str" cm="1">
        <f t="array" ref="H815">IFERROR(VLOOKUP(INPUT!M810&amp;INPUT!N810,CHOOSE({1,2},INPUT!$A$3:$A$5000&amp;INPUT!$C$3:$C$5000,INPUT!$D$3:$D$5000),2,FALSE),"")</f>
        <v>TEC-TAC</v>
      </c>
      <c r="I815" s="46">
        <f>IF(INPUT!P810="","",INPUT!P810)</f>
        <v>69.099999999999994</v>
      </c>
      <c r="J815" s="46">
        <f>IF(INPUT!Q810="","",INPUT!Q810)</f>
        <v>68.5</v>
      </c>
      <c r="K815" s="46">
        <f>IFERROR(IF(OR(INPUT!P810="",INPUT!Q810=""),"",INPUT!P810-INPUT!Q810),"")</f>
        <v>0.59999999999999432</v>
      </c>
      <c r="L815" s="48">
        <f>IFERROR(IF(OR(INPUT!P810="",INPUT!Q810="",INPUT!P810=0),"",(INPUT!P810-INPUT!Q810)/INPUT!P810),"")</f>
        <v>8.6830680173660552E-3</v>
      </c>
    </row>
    <row r="816" spans="1:12" ht="18" hidden="1" customHeight="1" x14ac:dyDescent="0.2">
      <c r="A816" s="11">
        <f>IF(INPUT!M811="","",INPUT!M811)</f>
        <v>45932</v>
      </c>
      <c r="B816" s="11">
        <f>IF(INPUT!M811="","",INPUT!M811-WEEKDAY(INPUT!M811,2)+1)</f>
        <v>45929</v>
      </c>
      <c r="C816" s="20">
        <f>IFERROR(_xlfn.ISOWEEKNUM(INPUT!M811),"")</f>
        <v>40</v>
      </c>
      <c r="D816" s="20">
        <f>IFERROR(YEAR(INPUT!M811),"")</f>
        <v>2025</v>
      </c>
      <c r="E816" t="str">
        <f>IF(INPUT!O811="","",INPUT!O811)</f>
        <v>RAUL</v>
      </c>
      <c r="F816" t="str">
        <f>IF(INPUT!N811="","",INPUT!N811)</f>
        <v>M</v>
      </c>
      <c r="G816" t="str" cm="1">
        <f t="array" ref="G816">IFERROR(VLOOKUP(INPUT!M811&amp;INPUT!N811,CHOOSE({1,2},INPUT!$A$3:$A$5000&amp;INPUT!$C$3:$C$5000,INPUT!$F$3:$F$5000),2,FALSE),"")</f>
        <v>PRE-TEMPORADA</v>
      </c>
      <c r="H816" t="str" cm="1">
        <f t="array" ref="H816">IFERROR(VLOOKUP(INPUT!M811&amp;INPUT!N811,CHOOSE({1,2},INPUT!$A$3:$A$5000&amp;INPUT!$C$3:$C$5000,INPUT!$D$3:$D$5000),2,FALSE),"")</f>
        <v>TEC-TAC</v>
      </c>
      <c r="I816" s="46">
        <f>IF(INPUT!P811="","",INPUT!P811)</f>
        <v>80.099999999999994</v>
      </c>
      <c r="J816" s="46">
        <f>IF(INPUT!Q811="","",INPUT!Q811)</f>
        <v>80.599999999999994</v>
      </c>
      <c r="K816" s="46">
        <f>IFERROR(IF(OR(INPUT!P811="",INPUT!Q811=""),"",INPUT!P811-INPUT!Q811),"")</f>
        <v>-0.5</v>
      </c>
      <c r="L816" s="48">
        <f>IFERROR(IF(OR(INPUT!P811="",INPUT!Q811="",INPUT!P811=0),"",(INPUT!P811-INPUT!Q811)/INPUT!P811),"")</f>
        <v>-6.242197253433209E-3</v>
      </c>
    </row>
    <row r="817" spans="1:12" ht="18" hidden="1" customHeight="1" x14ac:dyDescent="0.2">
      <c r="A817" s="11">
        <f>IF(INPUT!M812="","",INPUT!M812)</f>
        <v>45932</v>
      </c>
      <c r="B817" s="11">
        <f>IF(INPUT!M812="","",INPUT!M812-WEEKDAY(INPUT!M812,2)+1)</f>
        <v>45929</v>
      </c>
      <c r="C817" s="20">
        <f>IFERROR(_xlfn.ISOWEEKNUM(INPUT!M812),"")</f>
        <v>40</v>
      </c>
      <c r="D817" s="20">
        <f>IFERROR(YEAR(INPUT!M812),"")</f>
        <v>2025</v>
      </c>
      <c r="E817" t="str">
        <f>IF(INPUT!O812="","",INPUT!O812)</f>
        <v>HARRISON</v>
      </c>
      <c r="F817" t="str">
        <f>IF(INPUT!N812="","",INPUT!N812)</f>
        <v>M</v>
      </c>
      <c r="G817" t="str" cm="1">
        <f t="array" ref="G817">IFERROR(VLOOKUP(INPUT!M812&amp;INPUT!N812,CHOOSE({1,2},INPUT!$A$3:$A$5000&amp;INPUT!$C$3:$C$5000,INPUT!$F$3:$F$5000),2,FALSE),"")</f>
        <v>PRE-TEMPORADA</v>
      </c>
      <c r="H817" t="str" cm="1">
        <f t="array" ref="H817">IFERROR(VLOOKUP(INPUT!M812&amp;INPUT!N812,CHOOSE({1,2},INPUT!$A$3:$A$5000&amp;INPUT!$C$3:$C$5000,INPUT!$D$3:$D$5000),2,FALSE),"")</f>
        <v>TEC-TAC</v>
      </c>
      <c r="I817" s="46">
        <f>IF(INPUT!P812="","",INPUT!P812)</f>
        <v>70.8</v>
      </c>
      <c r="J817" s="46">
        <f>IF(INPUT!Q812="","",INPUT!Q812)</f>
        <v>71</v>
      </c>
      <c r="K817" s="46">
        <f>IFERROR(IF(OR(INPUT!P812="",INPUT!Q812=""),"",INPUT!P812-INPUT!Q812),"")</f>
        <v>-0.20000000000000284</v>
      </c>
      <c r="L817" s="48">
        <f>IFERROR(IF(OR(INPUT!P812="",INPUT!Q812="",INPUT!P812=0),"",(INPUT!P812-INPUT!Q812)/INPUT!P812),"")</f>
        <v>-2.8248587570621872E-3</v>
      </c>
    </row>
    <row r="818" spans="1:12" ht="18" hidden="1" customHeight="1" x14ac:dyDescent="0.2">
      <c r="A818" s="11">
        <f>IF(INPUT!M813="","",INPUT!M813)</f>
        <v>45932</v>
      </c>
      <c r="B818" s="11">
        <f>IF(INPUT!M813="","",INPUT!M813-WEEKDAY(INPUT!M813,2)+1)</f>
        <v>45929</v>
      </c>
      <c r="C818" s="20">
        <f>IFERROR(_xlfn.ISOWEEKNUM(INPUT!M813),"")</f>
        <v>40</v>
      </c>
      <c r="D818" s="20">
        <f>IFERROR(YEAR(INPUT!M813),"")</f>
        <v>2025</v>
      </c>
      <c r="E818" t="str">
        <f>IF(INPUT!O813="","",INPUT!O813)</f>
        <v>RAYA</v>
      </c>
      <c r="F818" t="str">
        <f>IF(INPUT!N813="","",INPUT!N813)</f>
        <v>M</v>
      </c>
      <c r="G818" t="str" cm="1">
        <f t="array" ref="G818">IFERROR(VLOOKUP(INPUT!M813&amp;INPUT!N813,CHOOSE({1,2},INPUT!$A$3:$A$5000&amp;INPUT!$C$3:$C$5000,INPUT!$F$3:$F$5000),2,FALSE),"")</f>
        <v>PRE-TEMPORADA</v>
      </c>
      <c r="H818" t="str" cm="1">
        <f t="array" ref="H818">IFERROR(VLOOKUP(INPUT!M813&amp;INPUT!N813,CHOOSE({1,2},INPUT!$A$3:$A$5000&amp;INPUT!$C$3:$C$5000,INPUT!$D$3:$D$5000),2,FALSE),"")</f>
        <v>TEC-TAC</v>
      </c>
      <c r="I818" s="46">
        <f>IF(INPUT!P813="","",INPUT!P813)</f>
        <v>82.8</v>
      </c>
      <c r="J818" s="46">
        <f>IF(INPUT!Q813="","",INPUT!Q813)</f>
        <v>81.8</v>
      </c>
      <c r="K818" s="46">
        <f>IFERROR(IF(OR(INPUT!P813="",INPUT!Q813=""),"",INPUT!P813-INPUT!Q813),"")</f>
        <v>1</v>
      </c>
      <c r="L818" s="48">
        <f>IFERROR(IF(OR(INPUT!P813="",INPUT!Q813="",INPUT!P813=0),"",(INPUT!P813-INPUT!Q813)/INPUT!P813),"")</f>
        <v>1.2077294685990338E-2</v>
      </c>
    </row>
    <row r="819" spans="1:12" ht="18" hidden="1" customHeight="1" x14ac:dyDescent="0.2">
      <c r="A819" s="11">
        <f>IF(INPUT!M814="","",INPUT!M814)</f>
        <v>45932</v>
      </c>
      <c r="B819" s="11">
        <f>IF(INPUT!M814="","",INPUT!M814-WEEKDAY(INPUT!M814,2)+1)</f>
        <v>45929</v>
      </c>
      <c r="C819" s="20">
        <f>IFERROR(_xlfn.ISOWEEKNUM(INPUT!M814),"")</f>
        <v>40</v>
      </c>
      <c r="D819" s="20">
        <f>IFERROR(YEAR(INPUT!M814),"")</f>
        <v>2025</v>
      </c>
      <c r="E819" t="str">
        <f>IF(INPUT!O814="","",INPUT!O814)</f>
        <v>JAVI</v>
      </c>
      <c r="F819" t="str">
        <f>IF(INPUT!N814="","",INPUT!N814)</f>
        <v>M</v>
      </c>
      <c r="G819" t="str" cm="1">
        <f t="array" ref="G819">IFERROR(VLOOKUP(INPUT!M814&amp;INPUT!N814,CHOOSE({1,2},INPUT!$A$3:$A$5000&amp;INPUT!$C$3:$C$5000,INPUT!$F$3:$F$5000),2,FALSE),"")</f>
        <v>PRE-TEMPORADA</v>
      </c>
      <c r="H819" t="str" cm="1">
        <f t="array" ref="H819">IFERROR(VLOOKUP(INPUT!M814&amp;INPUT!N814,CHOOSE({1,2},INPUT!$A$3:$A$5000&amp;INPUT!$C$3:$C$5000,INPUT!$D$3:$D$5000),2,FALSE),"")</f>
        <v>TEC-TAC</v>
      </c>
      <c r="I819" s="46">
        <f>IF(INPUT!P814="","",INPUT!P814)</f>
        <v>79.2</v>
      </c>
      <c r="J819" s="46">
        <f>IF(INPUT!Q814="","",INPUT!Q814)</f>
        <v>79.400000000000006</v>
      </c>
      <c r="K819" s="46">
        <f>IFERROR(IF(OR(INPUT!P814="",INPUT!Q814=""),"",INPUT!P814-INPUT!Q814),"")</f>
        <v>-0.20000000000000284</v>
      </c>
      <c r="L819" s="48">
        <f>IFERROR(IF(OR(INPUT!P814="",INPUT!Q814="",INPUT!P814=0),"",(INPUT!P814-INPUT!Q814)/INPUT!P814),"")</f>
        <v>-2.525252525252561E-3</v>
      </c>
    </row>
    <row r="820" spans="1:12" ht="18" hidden="1" customHeight="1" x14ac:dyDescent="0.2">
      <c r="A820" s="11">
        <f>IF(INPUT!M815="","",INPUT!M815)</f>
        <v>45932</v>
      </c>
      <c r="B820" s="11">
        <f>IF(INPUT!M815="","",INPUT!M815-WEEKDAY(INPUT!M815,2)+1)</f>
        <v>45929</v>
      </c>
      <c r="C820" s="20">
        <f>IFERROR(_xlfn.ISOWEEKNUM(INPUT!M815),"")</f>
        <v>40</v>
      </c>
      <c r="D820" s="20">
        <f>IFERROR(YEAR(INPUT!M815),"")</f>
        <v>2025</v>
      </c>
      <c r="E820" t="str">
        <f>IF(INPUT!O815="","",INPUT!O815)</f>
        <v>PANI</v>
      </c>
      <c r="F820" t="str">
        <f>IF(INPUT!N815="","",INPUT!N815)</f>
        <v>M</v>
      </c>
      <c r="G820" t="str" cm="1">
        <f t="array" ref="G820">IFERROR(VLOOKUP(INPUT!M815&amp;INPUT!N815,CHOOSE({1,2},INPUT!$A$3:$A$5000&amp;INPUT!$C$3:$C$5000,INPUT!$F$3:$F$5000),2,FALSE),"")</f>
        <v>PRE-TEMPORADA</v>
      </c>
      <c r="H820" t="str" cm="1">
        <f t="array" ref="H820">IFERROR(VLOOKUP(INPUT!M815&amp;INPUT!N815,CHOOSE({1,2},INPUT!$A$3:$A$5000&amp;INPUT!$C$3:$C$5000,INPUT!$D$3:$D$5000),2,FALSE),"")</f>
        <v>TEC-TAC</v>
      </c>
      <c r="I820" s="46">
        <f>IF(INPUT!P815="","",INPUT!P815)</f>
        <v>70.400000000000006</v>
      </c>
      <c r="J820" s="46">
        <f>IF(INPUT!Q815="","",INPUT!Q815)</f>
        <v>70.5</v>
      </c>
      <c r="K820" s="46">
        <f>IFERROR(IF(OR(INPUT!P815="",INPUT!Q815=""),"",INPUT!P815-INPUT!Q815),"")</f>
        <v>-9.9999999999994316E-2</v>
      </c>
      <c r="L820" s="48">
        <f>IFERROR(IF(OR(INPUT!P815="",INPUT!Q815="",INPUT!P815=0),"",(INPUT!P815-INPUT!Q815)/INPUT!P815),"")</f>
        <v>-1.4204545454544646E-3</v>
      </c>
    </row>
    <row r="821" spans="1:12" ht="18" hidden="1" customHeight="1" x14ac:dyDescent="0.2">
      <c r="A821" s="11">
        <f>IF(INPUT!M816="","",INPUT!M816)</f>
        <v>45932</v>
      </c>
      <c r="B821" s="11">
        <f>IF(INPUT!M816="","",INPUT!M816-WEEKDAY(INPUT!M816,2)+1)</f>
        <v>45929</v>
      </c>
      <c r="C821" s="20">
        <f>IFERROR(_xlfn.ISOWEEKNUM(INPUT!M816),"")</f>
        <v>40</v>
      </c>
      <c r="D821" s="20">
        <f>IFERROR(YEAR(INPUT!M816),"")</f>
        <v>2025</v>
      </c>
      <c r="E821" t="str">
        <f>IF(INPUT!O816="","",INPUT!O816)</f>
        <v>PIRATA</v>
      </c>
      <c r="F821" t="str">
        <f>IF(INPUT!N816="","",INPUT!N816)</f>
        <v>M</v>
      </c>
      <c r="G821" t="str" cm="1">
        <f t="array" ref="G821">IFERROR(VLOOKUP(INPUT!M816&amp;INPUT!N816,CHOOSE({1,2},INPUT!$A$3:$A$5000&amp;INPUT!$C$3:$C$5000,INPUT!$F$3:$F$5000),2,FALSE),"")</f>
        <v>PRE-TEMPORADA</v>
      </c>
      <c r="H821" t="str" cm="1">
        <f t="array" ref="H821">IFERROR(VLOOKUP(INPUT!M816&amp;INPUT!N816,CHOOSE({1,2},INPUT!$A$3:$A$5000&amp;INPUT!$C$3:$C$5000,INPUT!$D$3:$D$5000),2,FALSE),"")</f>
        <v>TEC-TAC</v>
      </c>
      <c r="I821" s="46">
        <f>IF(INPUT!P816="","",INPUT!P816)</f>
        <v>75.7</v>
      </c>
      <c r="J821" s="46">
        <f>IF(INPUT!Q816="","",INPUT!Q816)</f>
        <v>75.599999999999994</v>
      </c>
      <c r="K821" s="46">
        <f>IFERROR(IF(OR(INPUT!P816="",INPUT!Q816=""),"",INPUT!P816-INPUT!Q816),"")</f>
        <v>0.10000000000000853</v>
      </c>
      <c r="L821" s="48">
        <f>IFERROR(IF(OR(INPUT!P816="",INPUT!Q816="",INPUT!P816=0),"",(INPUT!P816-INPUT!Q816)/INPUT!P816),"")</f>
        <v>1.3210039630120016E-3</v>
      </c>
    </row>
    <row r="822" spans="1:12" ht="18" hidden="1" customHeight="1" x14ac:dyDescent="0.2">
      <c r="A822" s="11">
        <f>IF(INPUT!M817="","",INPUT!M817)</f>
        <v>45932</v>
      </c>
      <c r="B822" s="11">
        <f>IF(INPUT!M817="","",INPUT!M817-WEEKDAY(INPUT!M817,2)+1)</f>
        <v>45929</v>
      </c>
      <c r="C822" s="20">
        <f>IFERROR(_xlfn.ISOWEEKNUM(INPUT!M817),"")</f>
        <v>40</v>
      </c>
      <c r="D822" s="20">
        <f>IFERROR(YEAR(INPUT!M817),"")</f>
        <v>2025</v>
      </c>
      <c r="E822" t="str">
        <f>IF(INPUT!O817="","",INPUT!O817)</f>
        <v>BARONA</v>
      </c>
      <c r="F822" t="str">
        <f>IF(INPUT!N817="","",INPUT!N817)</f>
        <v>M</v>
      </c>
      <c r="G822" t="str" cm="1">
        <f t="array" ref="G822">IFERROR(VLOOKUP(INPUT!M817&amp;INPUT!N817,CHOOSE({1,2},INPUT!$A$3:$A$5000&amp;INPUT!$C$3:$C$5000,INPUT!$F$3:$F$5000),2,FALSE),"")</f>
        <v>PRE-TEMPORADA</v>
      </c>
      <c r="H822" t="str" cm="1">
        <f t="array" ref="H822">IFERROR(VLOOKUP(INPUT!M817&amp;INPUT!N817,CHOOSE({1,2},INPUT!$A$3:$A$5000&amp;INPUT!$C$3:$C$5000,INPUT!$D$3:$D$5000),2,FALSE),"")</f>
        <v>TEC-TAC</v>
      </c>
      <c r="I822" s="46">
        <f>IF(INPUT!P817="","",INPUT!P817)</f>
        <v>72.2</v>
      </c>
      <c r="J822" s="46">
        <f>IF(INPUT!Q817="","",INPUT!Q817)</f>
        <v>71.8</v>
      </c>
      <c r="K822" s="46">
        <f>IFERROR(IF(OR(INPUT!P817="",INPUT!Q817=""),"",INPUT!P817-INPUT!Q817),"")</f>
        <v>0.40000000000000568</v>
      </c>
      <c r="L822" s="48">
        <f>IFERROR(IF(OR(INPUT!P817="",INPUT!Q817="",INPUT!P817=0),"",(INPUT!P817-INPUT!Q817)/INPUT!P817),"")</f>
        <v>5.5401662049862285E-3</v>
      </c>
    </row>
    <row r="823" spans="1:12" ht="18" hidden="1" customHeight="1" x14ac:dyDescent="0.2">
      <c r="A823" s="11">
        <f>IF(INPUT!M818="","",INPUT!M818)</f>
        <v>45932</v>
      </c>
      <c r="B823" s="11">
        <f>IF(INPUT!M818="","",INPUT!M818-WEEKDAY(INPUT!M818,2)+1)</f>
        <v>45929</v>
      </c>
      <c r="C823" s="20">
        <f>IFERROR(_xlfn.ISOWEEKNUM(INPUT!M818),"")</f>
        <v>40</v>
      </c>
      <c r="D823" s="20">
        <f>IFERROR(YEAR(INPUT!M818),"")</f>
        <v>2025</v>
      </c>
      <c r="E823" t="str">
        <f>IF(INPUT!O818="","",INPUT!O818)</f>
        <v>CARLOS</v>
      </c>
      <c r="F823" t="str">
        <f>IF(INPUT!N818="","",INPUT!N818)</f>
        <v>M</v>
      </c>
      <c r="G823" t="str" cm="1">
        <f t="array" ref="G823">IFERROR(VLOOKUP(INPUT!M818&amp;INPUT!N818,CHOOSE({1,2},INPUT!$A$3:$A$5000&amp;INPUT!$C$3:$C$5000,INPUT!$F$3:$F$5000),2,FALSE),"")</f>
        <v>PRE-TEMPORADA</v>
      </c>
      <c r="H823" t="str" cm="1">
        <f t="array" ref="H823">IFERROR(VLOOKUP(INPUT!M818&amp;INPUT!N818,CHOOSE({1,2},INPUT!$A$3:$A$5000&amp;INPUT!$C$3:$C$5000,INPUT!$D$3:$D$5000),2,FALSE),"")</f>
        <v>TEC-TAC</v>
      </c>
      <c r="I823" s="46">
        <f>IF(INPUT!P818="","",INPUT!P818)</f>
        <v>66.3</v>
      </c>
      <c r="J823" s="46">
        <f>IF(INPUT!Q818="","",INPUT!Q818)</f>
        <v>66</v>
      </c>
      <c r="K823" s="46">
        <f>IFERROR(IF(OR(INPUT!P818="",INPUT!Q818=""),"",INPUT!P818-INPUT!Q818),"")</f>
        <v>0.29999999999999716</v>
      </c>
      <c r="L823" s="48">
        <f>IFERROR(IF(OR(INPUT!P818="",INPUT!Q818="",INPUT!P818=0),"",(INPUT!P818-INPUT!Q818)/INPUT!P818),"")</f>
        <v>4.5248868778280113E-3</v>
      </c>
    </row>
    <row r="824" spans="1:12" ht="18" hidden="1" customHeight="1" x14ac:dyDescent="0.2">
      <c r="A824" s="11">
        <f>IF(INPUT!M819="","",INPUT!M819)</f>
        <v>45932</v>
      </c>
      <c r="B824" s="11">
        <f>IF(INPUT!M819="","",INPUT!M819-WEEKDAY(INPUT!M819,2)+1)</f>
        <v>45929</v>
      </c>
      <c r="C824" s="20">
        <f>IFERROR(_xlfn.ISOWEEKNUM(INPUT!M819),"")</f>
        <v>40</v>
      </c>
      <c r="D824" s="20">
        <f>IFERROR(YEAR(INPUT!M819),"")</f>
        <v>2025</v>
      </c>
      <c r="E824" t="str">
        <f>IF(INPUT!O819="","",INPUT!O819)</f>
        <v>GONZALO</v>
      </c>
      <c r="F824" t="str">
        <f>IF(INPUT!N819="","",INPUT!N819)</f>
        <v>M</v>
      </c>
      <c r="G824" t="str" cm="1">
        <f t="array" ref="G824">IFERROR(VLOOKUP(INPUT!M819&amp;INPUT!N819,CHOOSE({1,2},INPUT!$A$3:$A$5000&amp;INPUT!$C$3:$C$5000,INPUT!$F$3:$F$5000),2,FALSE),"")</f>
        <v>PRE-TEMPORADA</v>
      </c>
      <c r="H824" t="str" cm="1">
        <f t="array" ref="H824">IFERROR(VLOOKUP(INPUT!M819&amp;INPUT!N819,CHOOSE({1,2},INPUT!$A$3:$A$5000&amp;INPUT!$C$3:$C$5000,INPUT!$D$3:$D$5000),2,FALSE),"")</f>
        <v>TEC-TAC</v>
      </c>
      <c r="I824" s="46">
        <f>IF(INPUT!P819="","",INPUT!P819)</f>
        <v>84.3</v>
      </c>
      <c r="J824" s="46">
        <f>IF(INPUT!Q819="","",INPUT!Q819)</f>
        <v>84.2</v>
      </c>
      <c r="K824" s="46">
        <f>IFERROR(IF(OR(INPUT!P819="",INPUT!Q819=""),"",INPUT!P819-INPUT!Q819),"")</f>
        <v>9.9999999999994316E-2</v>
      </c>
      <c r="L824" s="48">
        <f>IFERROR(IF(OR(INPUT!P819="",INPUT!Q819="",INPUT!P819=0),"",(INPUT!P819-INPUT!Q819)/INPUT!P819),"")</f>
        <v>1.1862396204032541E-3</v>
      </c>
    </row>
    <row r="825" spans="1:12" ht="18" hidden="1" customHeight="1" x14ac:dyDescent="0.2">
      <c r="A825" s="11">
        <f>IF(INPUT!M820="","",INPUT!M820)</f>
        <v>45932</v>
      </c>
      <c r="B825" s="11">
        <f>IF(INPUT!M820="","",INPUT!M820-WEEKDAY(INPUT!M820,2)+1)</f>
        <v>45929</v>
      </c>
      <c r="C825" s="20">
        <f>IFERROR(_xlfn.ISOWEEKNUM(INPUT!M820),"")</f>
        <v>40</v>
      </c>
      <c r="D825" s="20">
        <f>IFERROR(YEAR(INPUT!M820),"")</f>
        <v>2025</v>
      </c>
      <c r="E825" t="str">
        <f>IF(INPUT!O820="","",INPUT!O820)</f>
        <v>RUBIO</v>
      </c>
      <c r="F825" t="str">
        <f>IF(INPUT!N820="","",INPUT!N820)</f>
        <v>M</v>
      </c>
      <c r="G825" t="str" cm="1">
        <f t="array" ref="G825">IFERROR(VLOOKUP(INPUT!M820&amp;INPUT!N820,CHOOSE({1,2},INPUT!$A$3:$A$5000&amp;INPUT!$C$3:$C$5000,INPUT!$F$3:$F$5000),2,FALSE),"")</f>
        <v>PRE-TEMPORADA</v>
      </c>
      <c r="H825" t="str" cm="1">
        <f t="array" ref="H825">IFERROR(VLOOKUP(INPUT!M820&amp;INPUT!N820,CHOOSE({1,2},INPUT!$A$3:$A$5000&amp;INPUT!$C$3:$C$5000,INPUT!$D$3:$D$5000),2,FALSE),"")</f>
        <v>TEC-TAC</v>
      </c>
      <c r="I825" s="46">
        <f>IF(INPUT!P820="","",INPUT!P820)</f>
        <v>74.3</v>
      </c>
      <c r="J825" s="46">
        <f>IF(INPUT!Q820="","",INPUT!Q820)</f>
        <v>74.5</v>
      </c>
      <c r="K825" s="46">
        <f>IFERROR(IF(OR(INPUT!P820="",INPUT!Q820=""),"",INPUT!P820-INPUT!Q820),"")</f>
        <v>-0.20000000000000284</v>
      </c>
      <c r="L825" s="48">
        <f>IFERROR(IF(OR(INPUT!P820="",INPUT!Q820="",INPUT!P820=0),"",(INPUT!P820-INPUT!Q820)/INPUT!P820),"")</f>
        <v>-2.6917900403768888E-3</v>
      </c>
    </row>
    <row r="826" spans="1:12" ht="18" hidden="1" customHeight="1" x14ac:dyDescent="0.2">
      <c r="A826" s="11">
        <f>IF(INPUT!M821="","",INPUT!M821)</f>
        <v>45932</v>
      </c>
      <c r="B826" s="11">
        <f>IF(INPUT!M821="","",INPUT!M821-WEEKDAY(INPUT!M821,2)+1)</f>
        <v>45929</v>
      </c>
      <c r="C826" s="20">
        <f>IFERROR(_xlfn.ISOWEEKNUM(INPUT!M821),"")</f>
        <v>40</v>
      </c>
      <c r="D826" s="20">
        <f>IFERROR(YEAR(INPUT!M821),"")</f>
        <v>2025</v>
      </c>
      <c r="E826" t="str">
        <f>IF(INPUT!O821="","",INPUT!O821)</f>
        <v>DANI</v>
      </c>
      <c r="F826" t="str">
        <f>IF(INPUT!N821="","",INPUT!N821)</f>
        <v>M</v>
      </c>
      <c r="G826" t="str" cm="1">
        <f t="array" ref="G826">IFERROR(VLOOKUP(INPUT!M821&amp;INPUT!N821,CHOOSE({1,2},INPUT!$A$3:$A$5000&amp;INPUT!$C$3:$C$5000,INPUT!$F$3:$F$5000),2,FALSE),"")</f>
        <v>PRE-TEMPORADA</v>
      </c>
      <c r="H826" t="str" cm="1">
        <f t="array" ref="H826">IFERROR(VLOOKUP(INPUT!M821&amp;INPUT!N821,CHOOSE({1,2},INPUT!$A$3:$A$5000&amp;INPUT!$C$3:$C$5000,INPUT!$D$3:$D$5000),2,FALSE),"")</f>
        <v>TEC-TAC</v>
      </c>
      <c r="I826" s="46">
        <f>IF(INPUT!P821="","",INPUT!P821)</f>
        <v>93.1</v>
      </c>
      <c r="J826" s="46">
        <f>IF(INPUT!Q821="","",INPUT!Q821)</f>
        <v>92.4</v>
      </c>
      <c r="K826" s="46">
        <f>IFERROR(IF(OR(INPUT!P821="",INPUT!Q821=""),"",INPUT!P821-INPUT!Q821),"")</f>
        <v>0.69999999999998863</v>
      </c>
      <c r="L826" s="48">
        <f>IFERROR(IF(OR(INPUT!P821="",INPUT!Q821="",INPUT!P821=0),"",(INPUT!P821-INPUT!Q821)/INPUT!P821),"")</f>
        <v>7.5187969924810812E-3</v>
      </c>
    </row>
    <row r="827" spans="1:12" ht="18" hidden="1" customHeight="1" x14ac:dyDescent="0.2">
      <c r="A827" s="11">
        <f>IF(INPUT!M822="","",INPUT!M822)</f>
        <v>45933</v>
      </c>
      <c r="B827" s="11">
        <f>IF(INPUT!M822="","",INPUT!M822-WEEKDAY(INPUT!M822,2)+1)</f>
        <v>45929</v>
      </c>
      <c r="C827" s="20">
        <f>IFERROR(_xlfn.ISOWEEKNUM(INPUT!M822),"")</f>
        <v>40</v>
      </c>
      <c r="D827" s="20">
        <f>IFERROR(YEAR(INPUT!M822),"")</f>
        <v>2025</v>
      </c>
      <c r="E827" t="str">
        <f>IF(INPUT!O822="","",INPUT!O822)</f>
        <v>HERRERO</v>
      </c>
      <c r="F827" t="str">
        <f>IF(INPUT!N822="","",INPUT!N822)</f>
        <v>M</v>
      </c>
      <c r="G827" t="str" cm="1">
        <f t="array" ref="G827">IFERROR(VLOOKUP(INPUT!M822&amp;INPUT!N822,CHOOSE({1,2},INPUT!$A$3:$A$5000&amp;INPUT!$C$3:$C$5000,INPUT!$F$3:$F$5000),2,FALSE),"")</f>
        <v>PRE-TEMPORADA</v>
      </c>
      <c r="H827" t="str" cm="1">
        <f t="array" ref="H827">IFERROR(VLOOKUP(INPUT!M822&amp;INPUT!N822,CHOOSE({1,2},INPUT!$A$3:$A$5000&amp;INPUT!$C$3:$C$5000,INPUT!$D$3:$D$5000),2,FALSE),"")</f>
        <v>TEC-TAC</v>
      </c>
      <c r="I827" s="46">
        <f>IF(INPUT!P822="","",INPUT!P822)</f>
        <v>76.7</v>
      </c>
      <c r="J827" s="46">
        <f>IF(INPUT!Q822="","",INPUT!Q822)</f>
        <v>76.2</v>
      </c>
      <c r="K827" s="46">
        <f>IFERROR(IF(OR(INPUT!P822="",INPUT!Q822=""),"",INPUT!P822-INPUT!Q822),"")</f>
        <v>0.5</v>
      </c>
      <c r="L827" s="48">
        <f>IFERROR(IF(OR(INPUT!P822="",INPUT!Q822="",INPUT!P822=0),"",(INPUT!P822-INPUT!Q822)/INPUT!P822),"")</f>
        <v>6.5189048239895691E-3</v>
      </c>
    </row>
    <row r="828" spans="1:12" ht="18" hidden="1" customHeight="1" x14ac:dyDescent="0.2">
      <c r="A828" s="11">
        <f>IF(INPUT!M823="","",INPUT!M823)</f>
        <v>45933</v>
      </c>
      <c r="B828" s="11">
        <f>IF(INPUT!M823="","",INPUT!M823-WEEKDAY(INPUT!M823,2)+1)</f>
        <v>45929</v>
      </c>
      <c r="C828" s="20">
        <f>IFERROR(_xlfn.ISOWEEKNUM(INPUT!M823),"")</f>
        <v>40</v>
      </c>
      <c r="D828" s="20">
        <f>IFERROR(YEAR(INPUT!M823),"")</f>
        <v>2025</v>
      </c>
      <c r="E828" t="str">
        <f>IF(INPUT!O823="","",INPUT!O823)</f>
        <v>GARCIA</v>
      </c>
      <c r="F828" t="str">
        <f>IF(INPUT!N823="","",INPUT!N823)</f>
        <v>M</v>
      </c>
      <c r="G828" t="str" cm="1">
        <f t="array" ref="G828">IFERROR(VLOOKUP(INPUT!M823&amp;INPUT!N823,CHOOSE({1,2},INPUT!$A$3:$A$5000&amp;INPUT!$C$3:$C$5000,INPUT!$F$3:$F$5000),2,FALSE),"")</f>
        <v>PRE-TEMPORADA</v>
      </c>
      <c r="H828" t="str" cm="1">
        <f t="array" ref="H828">IFERROR(VLOOKUP(INPUT!M823&amp;INPUT!N823,CHOOSE({1,2},INPUT!$A$3:$A$5000&amp;INPUT!$C$3:$C$5000,INPUT!$D$3:$D$5000),2,FALSE),"")</f>
        <v>TEC-TAC</v>
      </c>
      <c r="I828" s="46">
        <f>IF(INPUT!P823="","",INPUT!P823)</f>
        <v>79.8</v>
      </c>
      <c r="J828" s="46">
        <f>IF(INPUT!Q823="","",INPUT!Q823)</f>
        <v>79.599999999999994</v>
      </c>
      <c r="K828" s="46">
        <f>IFERROR(IF(OR(INPUT!P823="",INPUT!Q823=""),"",INPUT!P823-INPUT!Q823),"")</f>
        <v>0.20000000000000284</v>
      </c>
      <c r="L828" s="48">
        <f>IFERROR(IF(OR(INPUT!P823="",INPUT!Q823="",INPUT!P823=0),"",(INPUT!P823-INPUT!Q823)/INPUT!P823),"")</f>
        <v>2.5062656641604369E-3</v>
      </c>
    </row>
    <row r="829" spans="1:12" ht="18" hidden="1" customHeight="1" x14ac:dyDescent="0.2">
      <c r="A829" s="11">
        <f>IF(INPUT!M824="","",INPUT!M824)</f>
        <v>45933</v>
      </c>
      <c r="B829" s="11">
        <f>IF(INPUT!M824="","",INPUT!M824-WEEKDAY(INPUT!M824,2)+1)</f>
        <v>45929</v>
      </c>
      <c r="C829" s="20">
        <f>IFERROR(_xlfn.ISOWEEKNUM(INPUT!M824),"")</f>
        <v>40</v>
      </c>
      <c r="D829" s="20">
        <f>IFERROR(YEAR(INPUT!M824),"")</f>
        <v>2025</v>
      </c>
      <c r="E829" t="str">
        <f>IF(INPUT!O824="","",INPUT!O824)</f>
        <v>CECILIO</v>
      </c>
      <c r="F829" t="str">
        <f>IF(INPUT!N824="","",INPUT!N824)</f>
        <v>M</v>
      </c>
      <c r="G829" t="str" cm="1">
        <f t="array" ref="G829">IFERROR(VLOOKUP(INPUT!M824&amp;INPUT!N824,CHOOSE({1,2},INPUT!$A$3:$A$5000&amp;INPUT!$C$3:$C$5000,INPUT!$F$3:$F$5000),2,FALSE),"")</f>
        <v>PRE-TEMPORADA</v>
      </c>
      <c r="H829" t="str" cm="1">
        <f t="array" ref="H829">IFERROR(VLOOKUP(INPUT!M824&amp;INPUT!N824,CHOOSE({1,2},INPUT!$A$3:$A$5000&amp;INPUT!$C$3:$C$5000,INPUT!$D$3:$D$5000),2,FALSE),"")</f>
        <v>TEC-TAC</v>
      </c>
      <c r="I829" s="46">
        <f>IF(INPUT!P824="","",INPUT!P824)</f>
        <v>68.5</v>
      </c>
      <c r="J829" s="46">
        <f>IF(INPUT!Q824="","",INPUT!Q824)</f>
        <v>68.900000000000006</v>
      </c>
      <c r="K829" s="46">
        <f>IFERROR(IF(OR(INPUT!P824="",INPUT!Q824=""),"",INPUT!P824-INPUT!Q824),"")</f>
        <v>-0.40000000000000568</v>
      </c>
      <c r="L829" s="48">
        <f>IFERROR(IF(OR(INPUT!P824="",INPUT!Q824="",INPUT!P824=0),"",(INPUT!P824-INPUT!Q824)/INPUT!P824),"")</f>
        <v>-5.8394160583942435E-3</v>
      </c>
    </row>
    <row r="830" spans="1:12" ht="18" hidden="1" customHeight="1" x14ac:dyDescent="0.2">
      <c r="A830" s="11">
        <f>IF(INPUT!M825="","",INPUT!M825)</f>
        <v>45933</v>
      </c>
      <c r="B830" s="11">
        <f>IF(INPUT!M825="","",INPUT!M825-WEEKDAY(INPUT!M825,2)+1)</f>
        <v>45929</v>
      </c>
      <c r="C830" s="20">
        <f>IFERROR(_xlfn.ISOWEEKNUM(INPUT!M825),"")</f>
        <v>40</v>
      </c>
      <c r="D830" s="20">
        <f>IFERROR(YEAR(INPUT!M825),"")</f>
        <v>2025</v>
      </c>
      <c r="E830" t="str">
        <f>IF(INPUT!O825="","",INPUT!O825)</f>
        <v>CHAGUINHA</v>
      </c>
      <c r="F830" t="str">
        <f>IF(INPUT!N825="","",INPUT!N825)</f>
        <v>M</v>
      </c>
      <c r="G830" t="str" cm="1">
        <f t="array" ref="G830">IFERROR(VLOOKUP(INPUT!M825&amp;INPUT!N825,CHOOSE({1,2},INPUT!$A$3:$A$5000&amp;INPUT!$C$3:$C$5000,INPUT!$F$3:$F$5000),2,FALSE),"")</f>
        <v>PRE-TEMPORADA</v>
      </c>
      <c r="H830" t="str" cm="1">
        <f t="array" ref="H830">IFERROR(VLOOKUP(INPUT!M825&amp;INPUT!N825,CHOOSE({1,2},INPUT!$A$3:$A$5000&amp;INPUT!$C$3:$C$5000,INPUT!$D$3:$D$5000),2,FALSE),"")</f>
        <v>TEC-TAC</v>
      </c>
      <c r="I830" s="46">
        <f>IF(INPUT!P825="","",INPUT!P825)</f>
        <v>69.099999999999994</v>
      </c>
      <c r="J830" s="46">
        <f>IF(INPUT!Q825="","",INPUT!Q825)</f>
        <v>68.3</v>
      </c>
      <c r="K830" s="46">
        <f>IFERROR(IF(OR(INPUT!P825="",INPUT!Q825=""),"",INPUT!P825-INPUT!Q825),"")</f>
        <v>0.79999999999999716</v>
      </c>
      <c r="L830" s="48">
        <f>IFERROR(IF(OR(INPUT!P825="",INPUT!Q825="",INPUT!P825=0),"",(INPUT!P825-INPUT!Q825)/INPUT!P825),"")</f>
        <v>1.1577424023154807E-2</v>
      </c>
    </row>
    <row r="831" spans="1:12" ht="18" hidden="1" customHeight="1" x14ac:dyDescent="0.2">
      <c r="A831" s="11">
        <f>IF(INPUT!M826="","",INPUT!M826)</f>
        <v>45933</v>
      </c>
      <c r="B831" s="11">
        <f>IF(INPUT!M826="","",INPUT!M826-WEEKDAY(INPUT!M826,2)+1)</f>
        <v>45929</v>
      </c>
      <c r="C831" s="20">
        <f>IFERROR(_xlfn.ISOWEEKNUM(INPUT!M826),"")</f>
        <v>40</v>
      </c>
      <c r="D831" s="20">
        <f>IFERROR(YEAR(INPUT!M826),"")</f>
        <v>2025</v>
      </c>
      <c r="E831" t="str">
        <f>IF(INPUT!O826="","",INPUT!O826)</f>
        <v>RAUL</v>
      </c>
      <c r="F831" t="str">
        <f>IF(INPUT!N826="","",INPUT!N826)</f>
        <v>M</v>
      </c>
      <c r="G831" t="str" cm="1">
        <f t="array" ref="G831">IFERROR(VLOOKUP(INPUT!M826&amp;INPUT!N826,CHOOSE({1,2},INPUT!$A$3:$A$5000&amp;INPUT!$C$3:$C$5000,INPUT!$F$3:$F$5000),2,FALSE),"")</f>
        <v>PRE-TEMPORADA</v>
      </c>
      <c r="H831" t="str" cm="1">
        <f t="array" ref="H831">IFERROR(VLOOKUP(INPUT!M826&amp;INPUT!N826,CHOOSE({1,2},INPUT!$A$3:$A$5000&amp;INPUT!$C$3:$C$5000,INPUT!$D$3:$D$5000),2,FALSE),"")</f>
        <v>TEC-TAC</v>
      </c>
      <c r="I831" s="46">
        <f>IF(INPUT!P826="","",INPUT!P826)</f>
        <v>79.5</v>
      </c>
      <c r="J831" s="46">
        <f>IF(INPUT!Q826="","",INPUT!Q826)</f>
        <v>79.900000000000006</v>
      </c>
      <c r="K831" s="46">
        <f>IFERROR(IF(OR(INPUT!P826="",INPUT!Q826=""),"",INPUT!P826-INPUT!Q826),"")</f>
        <v>-0.40000000000000568</v>
      </c>
      <c r="L831" s="48">
        <f>IFERROR(IF(OR(INPUT!P826="",INPUT!Q826="",INPUT!P826=0),"",(INPUT!P826-INPUT!Q826)/INPUT!P826),"")</f>
        <v>-5.0314465408805749E-3</v>
      </c>
    </row>
    <row r="832" spans="1:12" ht="18" hidden="1" customHeight="1" x14ac:dyDescent="0.2">
      <c r="A832" s="11">
        <f>IF(INPUT!M827="","",INPUT!M827)</f>
        <v>45933</v>
      </c>
      <c r="B832" s="11">
        <f>IF(INPUT!M827="","",INPUT!M827-WEEKDAY(INPUT!M827,2)+1)</f>
        <v>45929</v>
      </c>
      <c r="C832" s="20">
        <f>IFERROR(_xlfn.ISOWEEKNUM(INPUT!M827),"")</f>
        <v>40</v>
      </c>
      <c r="D832" s="20">
        <f>IFERROR(YEAR(INPUT!M827),"")</f>
        <v>2025</v>
      </c>
      <c r="E832" t="str">
        <f>IF(INPUT!O827="","",INPUT!O827)</f>
        <v>HARRISON</v>
      </c>
      <c r="F832" t="str">
        <f>IF(INPUT!N827="","",INPUT!N827)</f>
        <v>M</v>
      </c>
      <c r="G832" t="str" cm="1">
        <f t="array" ref="G832">IFERROR(VLOOKUP(INPUT!M827&amp;INPUT!N827,CHOOSE({1,2},INPUT!$A$3:$A$5000&amp;INPUT!$C$3:$C$5000,INPUT!$F$3:$F$5000),2,FALSE),"")</f>
        <v>PRE-TEMPORADA</v>
      </c>
      <c r="H832" t="str" cm="1">
        <f t="array" ref="H832">IFERROR(VLOOKUP(INPUT!M827&amp;INPUT!N827,CHOOSE({1,2},INPUT!$A$3:$A$5000&amp;INPUT!$C$3:$C$5000,INPUT!$D$3:$D$5000),2,FALSE),"")</f>
        <v>TEC-TAC</v>
      </c>
      <c r="I832" s="46">
        <f>IF(INPUT!P827="","",INPUT!P827)</f>
        <v>71.2</v>
      </c>
      <c r="J832" s="46">
        <f>IF(INPUT!Q827="","",INPUT!Q827)</f>
        <v>71</v>
      </c>
      <c r="K832" s="46">
        <f>IFERROR(IF(OR(INPUT!P827="",INPUT!Q827=""),"",INPUT!P827-INPUT!Q827),"")</f>
        <v>0.20000000000000284</v>
      </c>
      <c r="L832" s="48">
        <f>IFERROR(IF(OR(INPUT!P827="",INPUT!Q827="",INPUT!P827=0),"",(INPUT!P827-INPUT!Q827)/INPUT!P827),"")</f>
        <v>2.8089887640449836E-3</v>
      </c>
    </row>
    <row r="833" spans="1:12" ht="18" hidden="1" customHeight="1" x14ac:dyDescent="0.2">
      <c r="A833" s="11">
        <f>IF(INPUT!M828="","",INPUT!M828)</f>
        <v>45933</v>
      </c>
      <c r="B833" s="11">
        <f>IF(INPUT!M828="","",INPUT!M828-WEEKDAY(INPUT!M828,2)+1)</f>
        <v>45929</v>
      </c>
      <c r="C833" s="20">
        <f>IFERROR(_xlfn.ISOWEEKNUM(INPUT!M828),"")</f>
        <v>40</v>
      </c>
      <c r="D833" s="20">
        <f>IFERROR(YEAR(INPUT!M828),"")</f>
        <v>2025</v>
      </c>
      <c r="E833" t="str">
        <f>IF(INPUT!O828="","",INPUT!O828)</f>
        <v>RAYA</v>
      </c>
      <c r="F833" t="str">
        <f>IF(INPUT!N828="","",INPUT!N828)</f>
        <v>M</v>
      </c>
      <c r="G833" t="str" cm="1">
        <f t="array" ref="G833">IFERROR(VLOOKUP(INPUT!M828&amp;INPUT!N828,CHOOSE({1,2},INPUT!$A$3:$A$5000&amp;INPUT!$C$3:$C$5000,INPUT!$F$3:$F$5000),2,FALSE),"")</f>
        <v>PRE-TEMPORADA</v>
      </c>
      <c r="H833" t="str" cm="1">
        <f t="array" ref="H833">IFERROR(VLOOKUP(INPUT!M828&amp;INPUT!N828,CHOOSE({1,2},INPUT!$A$3:$A$5000&amp;INPUT!$C$3:$C$5000,INPUT!$D$3:$D$5000),2,FALSE),"")</f>
        <v>TEC-TAC</v>
      </c>
      <c r="I833" s="46">
        <f>IF(INPUT!P828="","",INPUT!P828)</f>
        <v>82.8</v>
      </c>
      <c r="J833" s="46">
        <f>IF(INPUT!Q828="","",INPUT!Q828)</f>
        <v>82.2</v>
      </c>
      <c r="K833" s="46">
        <f>IFERROR(IF(OR(INPUT!P828="",INPUT!Q828=""),"",INPUT!P828-INPUT!Q828),"")</f>
        <v>0.59999999999999432</v>
      </c>
      <c r="L833" s="48">
        <f>IFERROR(IF(OR(INPUT!P828="",INPUT!Q828="",INPUT!P828=0),"",(INPUT!P828-INPUT!Q828)/INPUT!P828),"")</f>
        <v>7.2463768115941345E-3</v>
      </c>
    </row>
    <row r="834" spans="1:12" ht="18" hidden="1" customHeight="1" x14ac:dyDescent="0.2">
      <c r="A834" s="11">
        <f>IF(INPUT!M829="","",INPUT!M829)</f>
        <v>45933</v>
      </c>
      <c r="B834" s="11">
        <f>IF(INPUT!M829="","",INPUT!M829-WEEKDAY(INPUT!M829,2)+1)</f>
        <v>45929</v>
      </c>
      <c r="C834" s="20">
        <f>IFERROR(_xlfn.ISOWEEKNUM(INPUT!M829),"")</f>
        <v>40</v>
      </c>
      <c r="D834" s="20">
        <f>IFERROR(YEAR(INPUT!M829),"")</f>
        <v>2025</v>
      </c>
      <c r="E834" t="str">
        <f>IF(INPUT!O829="","",INPUT!O829)</f>
        <v>JAVI</v>
      </c>
      <c r="F834" t="str">
        <f>IF(INPUT!N829="","",INPUT!N829)</f>
        <v>M</v>
      </c>
      <c r="G834" t="str" cm="1">
        <f t="array" ref="G834">IFERROR(VLOOKUP(INPUT!M829&amp;INPUT!N829,CHOOSE({1,2},INPUT!$A$3:$A$5000&amp;INPUT!$C$3:$C$5000,INPUT!$F$3:$F$5000),2,FALSE),"")</f>
        <v>PRE-TEMPORADA</v>
      </c>
      <c r="H834" t="str" cm="1">
        <f t="array" ref="H834">IFERROR(VLOOKUP(INPUT!M829&amp;INPUT!N829,CHOOSE({1,2},INPUT!$A$3:$A$5000&amp;INPUT!$C$3:$C$5000,INPUT!$D$3:$D$5000),2,FALSE),"")</f>
        <v>TEC-TAC</v>
      </c>
      <c r="I834" s="46">
        <f>IF(INPUT!P829="","",INPUT!P829)</f>
        <v>79.599999999999994</v>
      </c>
      <c r="J834" s="46">
        <f>IF(INPUT!Q829="","",INPUT!Q829)</f>
        <v>79.8</v>
      </c>
      <c r="K834" s="46">
        <f>IFERROR(IF(OR(INPUT!P829="",INPUT!Q829=""),"",INPUT!P829-INPUT!Q829),"")</f>
        <v>-0.20000000000000284</v>
      </c>
      <c r="L834" s="48">
        <f>IFERROR(IF(OR(INPUT!P829="",INPUT!Q829="",INPUT!P829=0),"",(INPUT!P829-INPUT!Q829)/INPUT!P829),"")</f>
        <v>-2.5125628140703878E-3</v>
      </c>
    </row>
    <row r="835" spans="1:12" ht="18" hidden="1" customHeight="1" x14ac:dyDescent="0.2">
      <c r="A835" s="11">
        <f>IF(INPUT!M830="","",INPUT!M830)</f>
        <v>45933</v>
      </c>
      <c r="B835" s="11">
        <f>IF(INPUT!M830="","",INPUT!M830-WEEKDAY(INPUT!M830,2)+1)</f>
        <v>45929</v>
      </c>
      <c r="C835" s="20">
        <f>IFERROR(_xlfn.ISOWEEKNUM(INPUT!M830),"")</f>
        <v>40</v>
      </c>
      <c r="D835" s="20">
        <f>IFERROR(YEAR(INPUT!M830),"")</f>
        <v>2025</v>
      </c>
      <c r="E835" t="str">
        <f>IF(INPUT!O830="","",INPUT!O830)</f>
        <v>PANI</v>
      </c>
      <c r="F835" t="str">
        <f>IF(INPUT!N830="","",INPUT!N830)</f>
        <v>M</v>
      </c>
      <c r="G835" t="str" cm="1">
        <f t="array" ref="G835">IFERROR(VLOOKUP(INPUT!M830&amp;INPUT!N830,CHOOSE({1,2},INPUT!$A$3:$A$5000&amp;INPUT!$C$3:$C$5000,INPUT!$F$3:$F$5000),2,FALSE),"")</f>
        <v>PRE-TEMPORADA</v>
      </c>
      <c r="H835" t="str" cm="1">
        <f t="array" ref="H835">IFERROR(VLOOKUP(INPUT!M830&amp;INPUT!N830,CHOOSE({1,2},INPUT!$A$3:$A$5000&amp;INPUT!$C$3:$C$5000,INPUT!$D$3:$D$5000),2,FALSE),"")</f>
        <v>TEC-TAC</v>
      </c>
      <c r="I835" s="46">
        <f>IF(INPUT!P830="","",INPUT!P830)</f>
        <v>70.400000000000006</v>
      </c>
      <c r="J835" s="46">
        <f>IF(INPUT!Q830="","",INPUT!Q830)</f>
        <v>69.900000000000006</v>
      </c>
      <c r="K835" s="46">
        <f>IFERROR(IF(OR(INPUT!P830="",INPUT!Q830=""),"",INPUT!P830-INPUT!Q830),"")</f>
        <v>0.5</v>
      </c>
      <c r="L835" s="48">
        <f>IFERROR(IF(OR(INPUT!P830="",INPUT!Q830="",INPUT!P830=0),"",(INPUT!P830-INPUT!Q830)/INPUT!P830),"")</f>
        <v>7.102272727272727E-3</v>
      </c>
    </row>
    <row r="836" spans="1:12" ht="18" hidden="1" customHeight="1" x14ac:dyDescent="0.2">
      <c r="A836" s="11">
        <f>IF(INPUT!M831="","",INPUT!M831)</f>
        <v>45933</v>
      </c>
      <c r="B836" s="11">
        <f>IF(INPUT!M831="","",INPUT!M831-WEEKDAY(INPUT!M831,2)+1)</f>
        <v>45929</v>
      </c>
      <c r="C836" s="20">
        <f>IFERROR(_xlfn.ISOWEEKNUM(INPUT!M831),"")</f>
        <v>40</v>
      </c>
      <c r="D836" s="20">
        <f>IFERROR(YEAR(INPUT!M831),"")</f>
        <v>2025</v>
      </c>
      <c r="E836" t="str">
        <f>IF(INPUT!O831="","",INPUT!O831)</f>
        <v>PIRATA</v>
      </c>
      <c r="F836" t="str">
        <f>IF(INPUT!N831="","",INPUT!N831)</f>
        <v>M</v>
      </c>
      <c r="G836" t="str" cm="1">
        <f t="array" ref="G836">IFERROR(VLOOKUP(INPUT!M831&amp;INPUT!N831,CHOOSE({1,2},INPUT!$A$3:$A$5000&amp;INPUT!$C$3:$C$5000,INPUT!$F$3:$F$5000),2,FALSE),"")</f>
        <v>PRE-TEMPORADA</v>
      </c>
      <c r="H836" t="str" cm="1">
        <f t="array" ref="H836">IFERROR(VLOOKUP(INPUT!M831&amp;INPUT!N831,CHOOSE({1,2},INPUT!$A$3:$A$5000&amp;INPUT!$C$3:$C$5000,INPUT!$D$3:$D$5000),2,FALSE),"")</f>
        <v>TEC-TAC</v>
      </c>
      <c r="I836" s="46">
        <f>IF(INPUT!P831="","",INPUT!P831)</f>
        <v>75.2</v>
      </c>
      <c r="J836" s="46">
        <f>IF(INPUT!Q831="","",INPUT!Q831)</f>
        <v>75</v>
      </c>
      <c r="K836" s="46">
        <f>IFERROR(IF(OR(INPUT!P831="",INPUT!Q831=""),"",INPUT!P831-INPUT!Q831),"")</f>
        <v>0.20000000000000284</v>
      </c>
      <c r="L836" s="48">
        <f>IFERROR(IF(OR(INPUT!P831="",INPUT!Q831="",INPUT!P831=0),"",(INPUT!P831-INPUT!Q831)/INPUT!P831),"")</f>
        <v>2.659574468085144E-3</v>
      </c>
    </row>
    <row r="837" spans="1:12" ht="18" hidden="1" customHeight="1" x14ac:dyDescent="0.2">
      <c r="A837" s="11">
        <f>IF(INPUT!M832="","",INPUT!M832)</f>
        <v>45933</v>
      </c>
      <c r="B837" s="11">
        <f>IF(INPUT!M832="","",INPUT!M832-WEEKDAY(INPUT!M832,2)+1)</f>
        <v>45929</v>
      </c>
      <c r="C837" s="20">
        <f>IFERROR(_xlfn.ISOWEEKNUM(INPUT!M832),"")</f>
        <v>40</v>
      </c>
      <c r="D837" s="20">
        <f>IFERROR(YEAR(INPUT!M832),"")</f>
        <v>2025</v>
      </c>
      <c r="E837" t="str">
        <f>IF(INPUT!O832="","",INPUT!O832)</f>
        <v>BARONA</v>
      </c>
      <c r="F837" t="str">
        <f>IF(INPUT!N832="","",INPUT!N832)</f>
        <v>M</v>
      </c>
      <c r="G837" t="str" cm="1">
        <f t="array" ref="G837">IFERROR(VLOOKUP(INPUT!M832&amp;INPUT!N832,CHOOSE({1,2},INPUT!$A$3:$A$5000&amp;INPUT!$C$3:$C$5000,INPUT!$F$3:$F$5000),2,FALSE),"")</f>
        <v>PRE-TEMPORADA</v>
      </c>
      <c r="H837" t="str" cm="1">
        <f t="array" ref="H837">IFERROR(VLOOKUP(INPUT!M832&amp;INPUT!N832,CHOOSE({1,2},INPUT!$A$3:$A$5000&amp;INPUT!$C$3:$C$5000,INPUT!$D$3:$D$5000),2,FALSE),"")</f>
        <v>TEC-TAC</v>
      </c>
      <c r="I837" s="46">
        <f>IF(INPUT!P832="","",INPUT!P832)</f>
        <v>71.5</v>
      </c>
      <c r="J837" s="46">
        <f>IF(INPUT!Q832="","",INPUT!Q832)</f>
        <v>71.400000000000006</v>
      </c>
      <c r="K837" s="46">
        <f>IFERROR(IF(OR(INPUT!P832="",INPUT!Q832=""),"",INPUT!P832-INPUT!Q832),"")</f>
        <v>9.9999999999994316E-2</v>
      </c>
      <c r="L837" s="48">
        <f>IFERROR(IF(OR(INPUT!P832="",INPUT!Q832="",INPUT!P832=0),"",(INPUT!P832-INPUT!Q832)/INPUT!P832),"")</f>
        <v>1.398601398601319E-3</v>
      </c>
    </row>
    <row r="838" spans="1:12" ht="18" hidden="1" customHeight="1" x14ac:dyDescent="0.2">
      <c r="A838" s="11">
        <f>IF(INPUT!M833="","",INPUT!M833)</f>
        <v>45933</v>
      </c>
      <c r="B838" s="11">
        <f>IF(INPUT!M833="","",INPUT!M833-WEEKDAY(INPUT!M833,2)+1)</f>
        <v>45929</v>
      </c>
      <c r="C838" s="20">
        <f>IFERROR(_xlfn.ISOWEEKNUM(INPUT!M833),"")</f>
        <v>40</v>
      </c>
      <c r="D838" s="20">
        <f>IFERROR(YEAR(INPUT!M833),"")</f>
        <v>2025</v>
      </c>
      <c r="E838" t="str">
        <f>IF(INPUT!O833="","",INPUT!O833)</f>
        <v>CARLOS</v>
      </c>
      <c r="F838" t="str">
        <f>IF(INPUT!N833="","",INPUT!N833)</f>
        <v>M</v>
      </c>
      <c r="G838" t="str" cm="1">
        <f t="array" ref="G838">IFERROR(VLOOKUP(INPUT!M833&amp;INPUT!N833,CHOOSE({1,2},INPUT!$A$3:$A$5000&amp;INPUT!$C$3:$C$5000,INPUT!$F$3:$F$5000),2,FALSE),"")</f>
        <v>PRE-TEMPORADA</v>
      </c>
      <c r="H838" t="str" cm="1">
        <f t="array" ref="H838">IFERROR(VLOOKUP(INPUT!M833&amp;INPUT!N833,CHOOSE({1,2},INPUT!$A$3:$A$5000&amp;INPUT!$C$3:$C$5000,INPUT!$D$3:$D$5000),2,FALSE),"")</f>
        <v>TEC-TAC</v>
      </c>
      <c r="I838" s="46">
        <f>IF(INPUT!P833="","",INPUT!P833)</f>
        <v>66.7</v>
      </c>
      <c r="J838" s="46">
        <f>IF(INPUT!Q833="","",INPUT!Q833)</f>
        <v>66.5</v>
      </c>
      <c r="K838" s="46">
        <f>IFERROR(IF(OR(INPUT!P833="",INPUT!Q833=""),"",INPUT!P833-INPUT!Q833),"")</f>
        <v>0.20000000000000284</v>
      </c>
      <c r="L838" s="48">
        <f>IFERROR(IF(OR(INPUT!P833="",INPUT!Q833="",INPUT!P833=0),"",(INPUT!P833-INPUT!Q833)/INPUT!P833),"")</f>
        <v>2.9985007496252298E-3</v>
      </c>
    </row>
    <row r="839" spans="1:12" ht="18" hidden="1" customHeight="1" x14ac:dyDescent="0.2">
      <c r="A839" s="11">
        <f>IF(INPUT!M834="","",INPUT!M834)</f>
        <v>45933</v>
      </c>
      <c r="B839" s="11">
        <f>IF(INPUT!M834="","",INPUT!M834-WEEKDAY(INPUT!M834,2)+1)</f>
        <v>45929</v>
      </c>
      <c r="C839" s="20">
        <f>IFERROR(_xlfn.ISOWEEKNUM(INPUT!M834),"")</f>
        <v>40</v>
      </c>
      <c r="D839" s="20">
        <f>IFERROR(YEAR(INPUT!M834),"")</f>
        <v>2025</v>
      </c>
      <c r="E839" t="str">
        <f>IF(INPUT!O834="","",INPUT!O834)</f>
        <v>GONZALO</v>
      </c>
      <c r="F839" t="str">
        <f>IF(INPUT!N834="","",INPUT!N834)</f>
        <v>M</v>
      </c>
      <c r="G839" t="str" cm="1">
        <f t="array" ref="G839">IFERROR(VLOOKUP(INPUT!M834&amp;INPUT!N834,CHOOSE({1,2},INPUT!$A$3:$A$5000&amp;INPUT!$C$3:$C$5000,INPUT!$F$3:$F$5000),2,FALSE),"")</f>
        <v>PRE-TEMPORADA</v>
      </c>
      <c r="H839" t="str" cm="1">
        <f t="array" ref="H839">IFERROR(VLOOKUP(INPUT!M834&amp;INPUT!N834,CHOOSE({1,2},INPUT!$A$3:$A$5000&amp;INPUT!$C$3:$C$5000,INPUT!$D$3:$D$5000),2,FALSE),"")</f>
        <v>TEC-TAC</v>
      </c>
      <c r="I839" s="46">
        <f>IF(INPUT!P834="","",INPUT!P834)</f>
        <v>84.5</v>
      </c>
      <c r="J839" s="46">
        <f>IF(INPUT!Q834="","",INPUT!Q834)</f>
        <v>84.5</v>
      </c>
      <c r="K839" s="46">
        <f>IFERROR(IF(OR(INPUT!P834="",INPUT!Q834=""),"",INPUT!P834-INPUT!Q834),"")</f>
        <v>0</v>
      </c>
      <c r="L839" s="48">
        <f>IFERROR(IF(OR(INPUT!P834="",INPUT!Q834="",INPUT!P834=0),"",(INPUT!P834-INPUT!Q834)/INPUT!P834),"")</f>
        <v>0</v>
      </c>
    </row>
    <row r="840" spans="1:12" ht="18" hidden="1" customHeight="1" x14ac:dyDescent="0.2">
      <c r="A840" s="11">
        <f>IF(INPUT!M835="","",INPUT!M835)</f>
        <v>45933</v>
      </c>
      <c r="B840" s="11">
        <f>IF(INPUT!M835="","",INPUT!M835-WEEKDAY(INPUT!M835,2)+1)</f>
        <v>45929</v>
      </c>
      <c r="C840" s="20">
        <f>IFERROR(_xlfn.ISOWEEKNUM(INPUT!M835),"")</f>
        <v>40</v>
      </c>
      <c r="D840" s="20">
        <f>IFERROR(YEAR(INPUT!M835),"")</f>
        <v>2025</v>
      </c>
      <c r="E840" t="str">
        <f>IF(INPUT!O835="","",INPUT!O835)</f>
        <v>RUBIO</v>
      </c>
      <c r="F840" t="str">
        <f>IF(INPUT!N835="","",INPUT!N835)</f>
        <v>M</v>
      </c>
      <c r="G840" t="str" cm="1">
        <f t="array" ref="G840">IFERROR(VLOOKUP(INPUT!M835&amp;INPUT!N835,CHOOSE({1,2},INPUT!$A$3:$A$5000&amp;INPUT!$C$3:$C$5000,INPUT!$F$3:$F$5000),2,FALSE),"")</f>
        <v>PRE-TEMPORADA</v>
      </c>
      <c r="H840" t="str" cm="1">
        <f t="array" ref="H840">IFERROR(VLOOKUP(INPUT!M835&amp;INPUT!N835,CHOOSE({1,2},INPUT!$A$3:$A$5000&amp;INPUT!$C$3:$C$5000,INPUT!$D$3:$D$5000),2,FALSE),"")</f>
        <v>TEC-TAC</v>
      </c>
      <c r="I840" s="46">
        <f>IF(INPUT!P835="","",INPUT!P835)</f>
        <v>74.2</v>
      </c>
      <c r="J840" s="46">
        <f>IF(INPUT!Q835="","",INPUT!Q835)</f>
        <v>74.099999999999994</v>
      </c>
      <c r="K840" s="46">
        <f>IFERROR(IF(OR(INPUT!P835="",INPUT!Q835=""),"",INPUT!P835-INPUT!Q835),"")</f>
        <v>0.10000000000000853</v>
      </c>
      <c r="L840" s="48">
        <f>IFERROR(IF(OR(INPUT!P835="",INPUT!Q835="",INPUT!P835=0),"",(INPUT!P835-INPUT!Q835)/INPUT!P835),"")</f>
        <v>1.347708894878821E-3</v>
      </c>
    </row>
    <row r="841" spans="1:12" ht="18" hidden="1" customHeight="1" x14ac:dyDescent="0.2">
      <c r="A841" s="11">
        <f>IF(INPUT!M836="","",INPUT!M836)</f>
        <v>45933</v>
      </c>
      <c r="B841" s="11">
        <f>IF(INPUT!M836="","",INPUT!M836-WEEKDAY(INPUT!M836,2)+1)</f>
        <v>45929</v>
      </c>
      <c r="C841" s="20">
        <f>IFERROR(_xlfn.ISOWEEKNUM(INPUT!M836),"")</f>
        <v>40</v>
      </c>
      <c r="D841" s="20">
        <f>IFERROR(YEAR(INPUT!M836),"")</f>
        <v>2025</v>
      </c>
      <c r="E841" t="str">
        <f>IF(INPUT!O836="","",INPUT!O836)</f>
        <v>DANI</v>
      </c>
      <c r="F841" t="str">
        <f>IF(INPUT!N836="","",INPUT!N836)</f>
        <v>M</v>
      </c>
      <c r="G841" t="str" cm="1">
        <f t="array" ref="G841">IFERROR(VLOOKUP(INPUT!M836&amp;INPUT!N836,CHOOSE({1,2},INPUT!$A$3:$A$5000&amp;INPUT!$C$3:$C$5000,INPUT!$F$3:$F$5000),2,FALSE),"")</f>
        <v>PRE-TEMPORADA</v>
      </c>
      <c r="H841" t="str" cm="1">
        <f t="array" ref="H841">IFERROR(VLOOKUP(INPUT!M836&amp;INPUT!N836,CHOOSE({1,2},INPUT!$A$3:$A$5000&amp;INPUT!$C$3:$C$5000,INPUT!$D$3:$D$5000),2,FALSE),"")</f>
        <v>TEC-TAC</v>
      </c>
      <c r="I841" s="46">
        <f>IF(INPUT!P836="","",INPUT!P836)</f>
        <v>93.6</v>
      </c>
      <c r="J841" s="46">
        <f>IF(INPUT!Q836="","",INPUT!Q836)</f>
        <v>94</v>
      </c>
      <c r="K841" s="46">
        <f>IFERROR(IF(OR(INPUT!P836="",INPUT!Q836=""),"",INPUT!P836-INPUT!Q836),"")</f>
        <v>-0.40000000000000568</v>
      </c>
      <c r="L841" s="48">
        <f>IFERROR(IF(OR(INPUT!P836="",INPUT!Q836="",INPUT!P836=0),"",(INPUT!P836-INPUT!Q836)/INPUT!P836),"")</f>
        <v>-4.2735042735043346E-3</v>
      </c>
    </row>
    <row r="842" spans="1:12" ht="18" hidden="1" customHeight="1" x14ac:dyDescent="0.2">
      <c r="A842" s="11">
        <f>IF(INPUT!M837="","",INPUT!M837)</f>
        <v>45936</v>
      </c>
      <c r="B842" s="11">
        <f>IF(INPUT!M837="","",INPUT!M837-WEEKDAY(INPUT!M837,2)+1)</f>
        <v>45936</v>
      </c>
      <c r="C842" s="20">
        <f>IFERROR(_xlfn.ISOWEEKNUM(INPUT!M837),"")</f>
        <v>41</v>
      </c>
      <c r="D842" s="20">
        <f>IFERROR(YEAR(INPUT!M837),"")</f>
        <v>2025</v>
      </c>
      <c r="E842" t="str">
        <f>IF(INPUT!O837="","",INPUT!O837)</f>
        <v>HERRERO</v>
      </c>
      <c r="F842" t="str">
        <f>IF(INPUT!N837="","",INPUT!N837)</f>
        <v>M</v>
      </c>
      <c r="G842" t="str" cm="1">
        <f t="array" ref="G842">IFERROR(VLOOKUP(INPUT!M837&amp;INPUT!N837,CHOOSE({1,2},INPUT!$A$3:$A$5000&amp;INPUT!$C$3:$C$5000,INPUT!$F$3:$F$5000),2,FALSE),"")</f>
        <v>PRE-TEMPORADA</v>
      </c>
      <c r="H842" t="str" cm="1">
        <f t="array" ref="H842">IFERROR(VLOOKUP(INPUT!M837&amp;INPUT!N837,CHOOSE({1,2},INPUT!$A$3:$A$5000&amp;INPUT!$C$3:$C$5000,INPUT!$D$3:$D$5000),2,FALSE),"")</f>
        <v>TEC-TAC</v>
      </c>
      <c r="I842" s="46">
        <f>IF(INPUT!P837="","",INPUT!P837)</f>
        <v>77</v>
      </c>
      <c r="J842" s="46">
        <f>IF(INPUT!Q837="","",INPUT!Q837)</f>
        <v>76.5</v>
      </c>
      <c r="K842" s="46">
        <f>IFERROR(IF(OR(INPUT!P837="",INPUT!Q837=""),"",INPUT!P837-INPUT!Q837),"")</f>
        <v>0.5</v>
      </c>
      <c r="L842" s="48">
        <f>IFERROR(IF(OR(INPUT!P837="",INPUT!Q837="",INPUT!P837=0),"",(INPUT!P837-INPUT!Q837)/INPUT!P837),"")</f>
        <v>6.4935064935064939E-3</v>
      </c>
    </row>
    <row r="843" spans="1:12" ht="18" hidden="1" customHeight="1" x14ac:dyDescent="0.2">
      <c r="A843" s="11">
        <f>IF(INPUT!M838="","",INPUT!M838)</f>
        <v>45936</v>
      </c>
      <c r="B843" s="11">
        <f>IF(INPUT!M838="","",INPUT!M838-WEEKDAY(INPUT!M838,2)+1)</f>
        <v>45936</v>
      </c>
      <c r="C843" s="20">
        <f>IFERROR(_xlfn.ISOWEEKNUM(INPUT!M838),"")</f>
        <v>41</v>
      </c>
      <c r="D843" s="20">
        <f>IFERROR(YEAR(INPUT!M838),"")</f>
        <v>2025</v>
      </c>
      <c r="E843" t="str">
        <f>IF(INPUT!O838="","",INPUT!O838)</f>
        <v>GARCIA</v>
      </c>
      <c r="F843" t="str">
        <f>IF(INPUT!N838="","",INPUT!N838)</f>
        <v>M</v>
      </c>
      <c r="G843" t="str" cm="1">
        <f t="array" ref="G843">IFERROR(VLOOKUP(INPUT!M838&amp;INPUT!N838,CHOOSE({1,2},INPUT!$A$3:$A$5000&amp;INPUT!$C$3:$C$5000,INPUT!$F$3:$F$5000),2,FALSE),"")</f>
        <v>PRE-TEMPORADA</v>
      </c>
      <c r="H843" t="str" cm="1">
        <f t="array" ref="H843">IFERROR(VLOOKUP(INPUT!M838&amp;INPUT!N838,CHOOSE({1,2},INPUT!$A$3:$A$5000&amp;INPUT!$C$3:$C$5000,INPUT!$D$3:$D$5000),2,FALSE),"")</f>
        <v>TEC-TAC</v>
      </c>
      <c r="I843" s="46">
        <f>IF(INPUT!P838="","",INPUT!P838)</f>
        <v>79.8</v>
      </c>
      <c r="J843" s="46">
        <f>IF(INPUT!Q838="","",INPUT!Q838)</f>
        <v>79.7</v>
      </c>
      <c r="K843" s="46">
        <f>IFERROR(IF(OR(INPUT!P838="",INPUT!Q838=""),"",INPUT!P838-INPUT!Q838),"")</f>
        <v>9.9999999999994316E-2</v>
      </c>
      <c r="L843" s="48">
        <f>IFERROR(IF(OR(INPUT!P838="",INPUT!Q838="",INPUT!P838=0),"",(INPUT!P838-INPUT!Q838)/INPUT!P838),"")</f>
        <v>1.2531328320801293E-3</v>
      </c>
    </row>
    <row r="844" spans="1:12" ht="18" hidden="1" customHeight="1" x14ac:dyDescent="0.2">
      <c r="A844" s="11">
        <f>IF(INPUT!M839="","",INPUT!M839)</f>
        <v>45936</v>
      </c>
      <c r="B844" s="11">
        <f>IF(INPUT!M839="","",INPUT!M839-WEEKDAY(INPUT!M839,2)+1)</f>
        <v>45936</v>
      </c>
      <c r="C844" s="20">
        <f>IFERROR(_xlfn.ISOWEEKNUM(INPUT!M839),"")</f>
        <v>41</v>
      </c>
      <c r="D844" s="20">
        <f>IFERROR(YEAR(INPUT!M839),"")</f>
        <v>2025</v>
      </c>
      <c r="E844" t="str">
        <f>IF(INPUT!O839="","",INPUT!O839)</f>
        <v>CECILIO</v>
      </c>
      <c r="F844" t="str">
        <f>IF(INPUT!N839="","",INPUT!N839)</f>
        <v>M</v>
      </c>
      <c r="G844" t="str" cm="1">
        <f t="array" ref="G844">IFERROR(VLOOKUP(INPUT!M839&amp;INPUT!N839,CHOOSE({1,2},INPUT!$A$3:$A$5000&amp;INPUT!$C$3:$C$5000,INPUT!$F$3:$F$5000),2,FALSE),"")</f>
        <v>PRE-TEMPORADA</v>
      </c>
      <c r="H844" t="str" cm="1">
        <f t="array" ref="H844">IFERROR(VLOOKUP(INPUT!M839&amp;INPUT!N839,CHOOSE({1,2},INPUT!$A$3:$A$5000&amp;INPUT!$C$3:$C$5000,INPUT!$D$3:$D$5000),2,FALSE),"")</f>
        <v>TEC-TAC</v>
      </c>
      <c r="I844" s="46">
        <f>IF(INPUT!P839="","",INPUT!P839)</f>
        <v>68</v>
      </c>
      <c r="J844" s="46">
        <f>IF(INPUT!Q839="","",INPUT!Q839)</f>
        <v>66.900000000000006</v>
      </c>
      <c r="K844" s="46">
        <f>IFERROR(IF(OR(INPUT!P839="",INPUT!Q839=""),"",INPUT!P839-INPUT!Q839),"")</f>
        <v>1.0999999999999943</v>
      </c>
      <c r="L844" s="48">
        <f>IFERROR(IF(OR(INPUT!P839="",INPUT!Q839="",INPUT!P839=0),"",(INPUT!P839-INPUT!Q839)/INPUT!P839),"")</f>
        <v>1.6176470588235209E-2</v>
      </c>
    </row>
    <row r="845" spans="1:12" ht="18" hidden="1" customHeight="1" x14ac:dyDescent="0.2">
      <c r="A845" s="11">
        <f>IF(INPUT!M840="","",INPUT!M840)</f>
        <v>45936</v>
      </c>
      <c r="B845" s="11">
        <f>IF(INPUT!M840="","",INPUT!M840-WEEKDAY(INPUT!M840,2)+1)</f>
        <v>45936</v>
      </c>
      <c r="C845" s="20">
        <f>IFERROR(_xlfn.ISOWEEKNUM(INPUT!M840),"")</f>
        <v>41</v>
      </c>
      <c r="D845" s="20">
        <f>IFERROR(YEAR(INPUT!M840),"")</f>
        <v>2025</v>
      </c>
      <c r="E845" t="str">
        <f>IF(INPUT!O840="","",INPUT!O840)</f>
        <v>CHAGUINHA</v>
      </c>
      <c r="F845" t="str">
        <f>IF(INPUT!N840="","",INPUT!N840)</f>
        <v>M</v>
      </c>
      <c r="G845" t="str" cm="1">
        <f t="array" ref="G845">IFERROR(VLOOKUP(INPUT!M840&amp;INPUT!N840,CHOOSE({1,2},INPUT!$A$3:$A$5000&amp;INPUT!$C$3:$C$5000,INPUT!$F$3:$F$5000),2,FALSE),"")</f>
        <v>PRE-TEMPORADA</v>
      </c>
      <c r="H845" t="str" cm="1">
        <f t="array" ref="H845">IFERROR(VLOOKUP(INPUT!M840&amp;INPUT!N840,CHOOSE({1,2},INPUT!$A$3:$A$5000&amp;INPUT!$C$3:$C$5000,INPUT!$D$3:$D$5000),2,FALSE),"")</f>
        <v>TEC-TAC</v>
      </c>
      <c r="I845" s="46">
        <f>IF(INPUT!P840="","",INPUT!P840)</f>
        <v>69</v>
      </c>
      <c r="J845" s="46">
        <f>IF(INPUT!Q840="","",INPUT!Q840)</f>
        <v>68.8</v>
      </c>
      <c r="K845" s="46">
        <f>IFERROR(IF(OR(INPUT!P840="",INPUT!Q840=""),"",INPUT!P840-INPUT!Q840),"")</f>
        <v>0.20000000000000284</v>
      </c>
      <c r="L845" s="48">
        <f>IFERROR(IF(OR(INPUT!P840="",INPUT!Q840="",INPUT!P840=0),"",(INPUT!P840-INPUT!Q840)/INPUT!P840),"")</f>
        <v>2.8985507246377224E-3</v>
      </c>
    </row>
    <row r="846" spans="1:12" ht="18" hidden="1" customHeight="1" x14ac:dyDescent="0.2">
      <c r="A846" s="11">
        <f>IF(INPUT!M841="","",INPUT!M841)</f>
        <v>45936</v>
      </c>
      <c r="B846" s="11">
        <f>IF(INPUT!M841="","",INPUT!M841-WEEKDAY(INPUT!M841,2)+1)</f>
        <v>45936</v>
      </c>
      <c r="C846" s="20">
        <f>IFERROR(_xlfn.ISOWEEKNUM(INPUT!M841),"")</f>
        <v>41</v>
      </c>
      <c r="D846" s="20">
        <f>IFERROR(YEAR(INPUT!M841),"")</f>
        <v>2025</v>
      </c>
      <c r="E846" t="str">
        <f>IF(INPUT!O841="","",INPUT!O841)</f>
        <v>RAUL</v>
      </c>
      <c r="F846" t="str">
        <f>IF(INPUT!N841="","",INPUT!N841)</f>
        <v>M</v>
      </c>
      <c r="G846" t="str" cm="1">
        <f t="array" ref="G846">IFERROR(VLOOKUP(INPUT!M841&amp;INPUT!N841,CHOOSE({1,2},INPUT!$A$3:$A$5000&amp;INPUT!$C$3:$C$5000,INPUT!$F$3:$F$5000),2,FALSE),"")</f>
        <v>PRE-TEMPORADA</v>
      </c>
      <c r="H846" t="str" cm="1">
        <f t="array" ref="H846">IFERROR(VLOOKUP(INPUT!M841&amp;INPUT!N841,CHOOSE({1,2},INPUT!$A$3:$A$5000&amp;INPUT!$C$3:$C$5000,INPUT!$D$3:$D$5000),2,FALSE),"")</f>
        <v>TEC-TAC</v>
      </c>
      <c r="I846" s="46">
        <f>IF(INPUT!P841="","",INPUT!P841)</f>
        <v>81.5</v>
      </c>
      <c r="J846" s="46">
        <f>IF(INPUT!Q841="","",INPUT!Q841)</f>
        <v>80.8</v>
      </c>
      <c r="K846" s="46">
        <f>IFERROR(IF(OR(INPUT!P841="",INPUT!Q841=""),"",INPUT!P841-INPUT!Q841),"")</f>
        <v>0.70000000000000284</v>
      </c>
      <c r="L846" s="48">
        <f>IFERROR(IF(OR(INPUT!P841="",INPUT!Q841="",INPUT!P841=0),"",(INPUT!P841-INPUT!Q841)/INPUT!P841),"")</f>
        <v>8.5889570552147593E-3</v>
      </c>
    </row>
    <row r="847" spans="1:12" ht="18" hidden="1" customHeight="1" x14ac:dyDescent="0.2">
      <c r="A847" s="11">
        <f>IF(INPUT!M842="","",INPUT!M842)</f>
        <v>45936</v>
      </c>
      <c r="B847" s="11">
        <f>IF(INPUT!M842="","",INPUT!M842-WEEKDAY(INPUT!M842,2)+1)</f>
        <v>45936</v>
      </c>
      <c r="C847" s="20">
        <f>IFERROR(_xlfn.ISOWEEKNUM(INPUT!M842),"")</f>
        <v>41</v>
      </c>
      <c r="D847" s="20">
        <f>IFERROR(YEAR(INPUT!M842),"")</f>
        <v>2025</v>
      </c>
      <c r="E847" t="str">
        <f>IF(INPUT!O842="","",INPUT!O842)</f>
        <v>HARRISON</v>
      </c>
      <c r="F847" t="str">
        <f>IF(INPUT!N842="","",INPUT!N842)</f>
        <v>M</v>
      </c>
      <c r="G847" t="str" cm="1">
        <f t="array" ref="G847">IFERROR(VLOOKUP(INPUT!M842&amp;INPUT!N842,CHOOSE({1,2},INPUT!$A$3:$A$5000&amp;INPUT!$C$3:$C$5000,INPUT!$F$3:$F$5000),2,FALSE),"")</f>
        <v>PRE-TEMPORADA</v>
      </c>
      <c r="H847" t="str" cm="1">
        <f t="array" ref="H847">IFERROR(VLOOKUP(INPUT!M842&amp;INPUT!N842,CHOOSE({1,2},INPUT!$A$3:$A$5000&amp;INPUT!$C$3:$C$5000,INPUT!$D$3:$D$5000),2,FALSE),"")</f>
        <v>TEC-TAC</v>
      </c>
      <c r="I847" s="46">
        <f>IF(INPUT!P842="","",INPUT!P842)</f>
        <v>72</v>
      </c>
      <c r="J847" s="46">
        <f>IF(INPUT!Q842="","",INPUT!Q842)</f>
        <v>71.599999999999994</v>
      </c>
      <c r="K847" s="46">
        <f>IFERROR(IF(OR(INPUT!P842="",INPUT!Q842=""),"",INPUT!P842-INPUT!Q842),"")</f>
        <v>0.40000000000000568</v>
      </c>
      <c r="L847" s="48">
        <f>IFERROR(IF(OR(INPUT!P842="",INPUT!Q842="",INPUT!P842=0),"",(INPUT!P842-INPUT!Q842)/INPUT!P842),"")</f>
        <v>5.5555555555556347E-3</v>
      </c>
    </row>
    <row r="848" spans="1:12" ht="18" hidden="1" customHeight="1" x14ac:dyDescent="0.2">
      <c r="A848" s="11">
        <f>IF(INPUT!M843="","",INPUT!M843)</f>
        <v>45936</v>
      </c>
      <c r="B848" s="11">
        <f>IF(INPUT!M843="","",INPUT!M843-WEEKDAY(INPUT!M843,2)+1)</f>
        <v>45936</v>
      </c>
      <c r="C848" s="20">
        <f>IFERROR(_xlfn.ISOWEEKNUM(INPUT!M843),"")</f>
        <v>41</v>
      </c>
      <c r="D848" s="20">
        <f>IFERROR(YEAR(INPUT!M843),"")</f>
        <v>2025</v>
      </c>
      <c r="E848" t="str">
        <f>IF(INPUT!O843="","",INPUT!O843)</f>
        <v>RAYA</v>
      </c>
      <c r="F848" t="str">
        <f>IF(INPUT!N843="","",INPUT!N843)</f>
        <v>M</v>
      </c>
      <c r="G848" t="str" cm="1">
        <f t="array" ref="G848">IFERROR(VLOOKUP(INPUT!M843&amp;INPUT!N843,CHOOSE({1,2},INPUT!$A$3:$A$5000&amp;INPUT!$C$3:$C$5000,INPUT!$F$3:$F$5000),2,FALSE),"")</f>
        <v>PRE-TEMPORADA</v>
      </c>
      <c r="H848" t="str" cm="1">
        <f t="array" ref="H848">IFERROR(VLOOKUP(INPUT!M843&amp;INPUT!N843,CHOOSE({1,2},INPUT!$A$3:$A$5000&amp;INPUT!$C$3:$C$5000,INPUT!$D$3:$D$5000),2,FALSE),"")</f>
        <v>TEC-TAC</v>
      </c>
      <c r="I848" s="46">
        <f>IF(INPUT!P843="","",INPUT!P843)</f>
        <v>82</v>
      </c>
      <c r="J848" s="46">
        <f>IF(INPUT!Q843="","",INPUT!Q843)</f>
        <v>81.7</v>
      </c>
      <c r="K848" s="46">
        <f>IFERROR(IF(OR(INPUT!P843="",INPUT!Q843=""),"",INPUT!P843-INPUT!Q843),"")</f>
        <v>0.29999999999999716</v>
      </c>
      <c r="L848" s="48">
        <f>IFERROR(IF(OR(INPUT!P843="",INPUT!Q843="",INPUT!P843=0),"",(INPUT!P843-INPUT!Q843)/INPUT!P843),"")</f>
        <v>3.6585365853658192E-3</v>
      </c>
    </row>
    <row r="849" spans="1:12" ht="18" hidden="1" customHeight="1" x14ac:dyDescent="0.2">
      <c r="A849" s="11">
        <f>IF(INPUT!M844="","",INPUT!M844)</f>
        <v>45936</v>
      </c>
      <c r="B849" s="11">
        <f>IF(INPUT!M844="","",INPUT!M844-WEEKDAY(INPUT!M844,2)+1)</f>
        <v>45936</v>
      </c>
      <c r="C849" s="20">
        <f>IFERROR(_xlfn.ISOWEEKNUM(INPUT!M844),"")</f>
        <v>41</v>
      </c>
      <c r="D849" s="20">
        <f>IFERROR(YEAR(INPUT!M844),"")</f>
        <v>2025</v>
      </c>
      <c r="E849" t="str">
        <f>IF(INPUT!O844="","",INPUT!O844)</f>
        <v>JAVI</v>
      </c>
      <c r="F849" t="str">
        <f>IF(INPUT!N844="","",INPUT!N844)</f>
        <v>M</v>
      </c>
      <c r="G849" t="str" cm="1">
        <f t="array" ref="G849">IFERROR(VLOOKUP(INPUT!M844&amp;INPUT!N844,CHOOSE({1,2},INPUT!$A$3:$A$5000&amp;INPUT!$C$3:$C$5000,INPUT!$F$3:$F$5000),2,FALSE),"")</f>
        <v>PRE-TEMPORADA</v>
      </c>
      <c r="H849" t="str" cm="1">
        <f t="array" ref="H849">IFERROR(VLOOKUP(INPUT!M844&amp;INPUT!N844,CHOOSE({1,2},INPUT!$A$3:$A$5000&amp;INPUT!$C$3:$C$5000,INPUT!$D$3:$D$5000),2,FALSE),"")</f>
        <v>TEC-TAC</v>
      </c>
      <c r="I849" s="46">
        <f>IF(INPUT!P844="","",INPUT!P844)</f>
        <v>79.5</v>
      </c>
      <c r="J849" s="46">
        <f>IF(INPUT!Q844="","",INPUT!Q844)</f>
        <v>79</v>
      </c>
      <c r="K849" s="46">
        <f>IFERROR(IF(OR(INPUT!P844="",INPUT!Q844=""),"",INPUT!P844-INPUT!Q844),"")</f>
        <v>0.5</v>
      </c>
      <c r="L849" s="48">
        <f>IFERROR(IF(OR(INPUT!P844="",INPUT!Q844="",INPUT!P844=0),"",(INPUT!P844-INPUT!Q844)/INPUT!P844),"")</f>
        <v>6.2893081761006293E-3</v>
      </c>
    </row>
    <row r="850" spans="1:12" ht="18" hidden="1" customHeight="1" x14ac:dyDescent="0.2">
      <c r="A850" s="11">
        <f>IF(INPUT!M845="","",INPUT!M845)</f>
        <v>45936</v>
      </c>
      <c r="B850" s="11">
        <f>IF(INPUT!M845="","",INPUT!M845-WEEKDAY(INPUT!M845,2)+1)</f>
        <v>45936</v>
      </c>
      <c r="C850" s="20">
        <f>IFERROR(_xlfn.ISOWEEKNUM(INPUT!M845),"")</f>
        <v>41</v>
      </c>
      <c r="D850" s="20">
        <f>IFERROR(YEAR(INPUT!M845),"")</f>
        <v>2025</v>
      </c>
      <c r="E850" t="str">
        <f>IF(INPUT!O845="","",INPUT!O845)</f>
        <v>PANI</v>
      </c>
      <c r="F850" t="str">
        <f>IF(INPUT!N845="","",INPUT!N845)</f>
        <v>M</v>
      </c>
      <c r="G850" t="str" cm="1">
        <f t="array" ref="G850">IFERROR(VLOOKUP(INPUT!M845&amp;INPUT!N845,CHOOSE({1,2},INPUT!$A$3:$A$5000&amp;INPUT!$C$3:$C$5000,INPUT!$F$3:$F$5000),2,FALSE),"")</f>
        <v>PRE-TEMPORADA</v>
      </c>
      <c r="H850" t="str" cm="1">
        <f t="array" ref="H850">IFERROR(VLOOKUP(INPUT!M845&amp;INPUT!N845,CHOOSE({1,2},INPUT!$A$3:$A$5000&amp;INPUT!$C$3:$C$5000,INPUT!$D$3:$D$5000),2,FALSE),"")</f>
        <v>TEC-TAC</v>
      </c>
      <c r="I850" s="46">
        <f>IF(INPUT!P845="","",INPUT!P845)</f>
        <v>69.900000000000006</v>
      </c>
      <c r="J850" s="46">
        <f>IF(INPUT!Q845="","",INPUT!Q845)</f>
        <v>70</v>
      </c>
      <c r="K850" s="46">
        <f>IFERROR(IF(OR(INPUT!P845="",INPUT!Q845=""),"",INPUT!P845-INPUT!Q845),"")</f>
        <v>-9.9999999999994316E-2</v>
      </c>
      <c r="L850" s="48">
        <f>IFERROR(IF(OR(INPUT!P845="",INPUT!Q845="",INPUT!P845=0),"",(INPUT!P845-INPUT!Q845)/INPUT!P845),"")</f>
        <v>-1.4306151645206624E-3</v>
      </c>
    </row>
    <row r="851" spans="1:12" ht="18" hidden="1" customHeight="1" x14ac:dyDescent="0.2">
      <c r="A851" s="11">
        <f>IF(INPUT!M846="","",INPUT!M846)</f>
        <v>45936</v>
      </c>
      <c r="B851" s="11">
        <f>IF(INPUT!M846="","",INPUT!M846-WEEKDAY(INPUT!M846,2)+1)</f>
        <v>45936</v>
      </c>
      <c r="C851" s="20">
        <f>IFERROR(_xlfn.ISOWEEKNUM(INPUT!M846),"")</f>
        <v>41</v>
      </c>
      <c r="D851" s="20">
        <f>IFERROR(YEAR(INPUT!M846),"")</f>
        <v>2025</v>
      </c>
      <c r="E851" t="str">
        <f>IF(INPUT!O846="","",INPUT!O846)</f>
        <v>PIRATA</v>
      </c>
      <c r="F851" t="str">
        <f>IF(INPUT!N846="","",INPUT!N846)</f>
        <v>M</v>
      </c>
      <c r="G851" t="str" cm="1">
        <f t="array" ref="G851">IFERROR(VLOOKUP(INPUT!M846&amp;INPUT!N846,CHOOSE({1,2},INPUT!$A$3:$A$5000&amp;INPUT!$C$3:$C$5000,INPUT!$F$3:$F$5000),2,FALSE),"")</f>
        <v>PRE-TEMPORADA</v>
      </c>
      <c r="H851" t="str" cm="1">
        <f t="array" ref="H851">IFERROR(VLOOKUP(INPUT!M846&amp;INPUT!N846,CHOOSE({1,2},INPUT!$A$3:$A$5000&amp;INPUT!$C$3:$C$5000,INPUT!$D$3:$D$5000),2,FALSE),"")</f>
        <v>TEC-TAC</v>
      </c>
      <c r="I851" s="46">
        <f>IF(INPUT!P846="","",INPUT!P846)</f>
        <v>75.5</v>
      </c>
      <c r="J851" s="46">
        <f>IF(INPUT!Q846="","",INPUT!Q846)</f>
        <v>74.8</v>
      </c>
      <c r="K851" s="46">
        <f>IFERROR(IF(OR(INPUT!P846="",INPUT!Q846=""),"",INPUT!P846-INPUT!Q846),"")</f>
        <v>0.70000000000000284</v>
      </c>
      <c r="L851" s="48">
        <f>IFERROR(IF(OR(INPUT!P846="",INPUT!Q846="",INPUT!P846=0),"",(INPUT!P846-INPUT!Q846)/INPUT!P846),"")</f>
        <v>9.2715231788079843E-3</v>
      </c>
    </row>
    <row r="852" spans="1:12" ht="18" hidden="1" customHeight="1" x14ac:dyDescent="0.2">
      <c r="A852" s="11">
        <f>IF(INPUT!M847="","",INPUT!M847)</f>
        <v>45936</v>
      </c>
      <c r="B852" s="11">
        <f>IF(INPUT!M847="","",INPUT!M847-WEEKDAY(INPUT!M847,2)+1)</f>
        <v>45936</v>
      </c>
      <c r="C852" s="20">
        <f>IFERROR(_xlfn.ISOWEEKNUM(INPUT!M847),"")</f>
        <v>41</v>
      </c>
      <c r="D852" s="20">
        <f>IFERROR(YEAR(INPUT!M847),"")</f>
        <v>2025</v>
      </c>
      <c r="E852" t="str">
        <f>IF(INPUT!O847="","",INPUT!O847)</f>
        <v>BARONA</v>
      </c>
      <c r="F852" t="str">
        <f>IF(INPUT!N847="","",INPUT!N847)</f>
        <v>M</v>
      </c>
      <c r="G852" t="str" cm="1">
        <f t="array" ref="G852">IFERROR(VLOOKUP(INPUT!M847&amp;INPUT!N847,CHOOSE({1,2},INPUT!$A$3:$A$5000&amp;INPUT!$C$3:$C$5000,INPUT!$F$3:$F$5000),2,FALSE),"")</f>
        <v>PRE-TEMPORADA</v>
      </c>
      <c r="H852" t="str" cm="1">
        <f t="array" ref="H852">IFERROR(VLOOKUP(INPUT!M847&amp;INPUT!N847,CHOOSE({1,2},INPUT!$A$3:$A$5000&amp;INPUT!$C$3:$C$5000,INPUT!$D$3:$D$5000),2,FALSE),"")</f>
        <v>TEC-TAC</v>
      </c>
      <c r="I852" s="46">
        <f>IF(INPUT!P847="","",INPUT!P847)</f>
        <v>72.2</v>
      </c>
      <c r="J852" s="46">
        <f>IF(INPUT!Q847="","",INPUT!Q847)</f>
        <v>72.099999999999994</v>
      </c>
      <c r="K852" s="46">
        <f>IFERROR(IF(OR(INPUT!P847="",INPUT!Q847=""),"",INPUT!P847-INPUT!Q847),"")</f>
        <v>0.10000000000000853</v>
      </c>
      <c r="L852" s="48">
        <f>IFERROR(IF(OR(INPUT!P847="",INPUT!Q847="",INPUT!P847=0),"",(INPUT!P847-INPUT!Q847)/INPUT!P847),"")</f>
        <v>1.3850415512466554E-3</v>
      </c>
    </row>
    <row r="853" spans="1:12" ht="18" hidden="1" customHeight="1" x14ac:dyDescent="0.2">
      <c r="A853" s="11">
        <f>IF(INPUT!M848="","",INPUT!M848)</f>
        <v>45936</v>
      </c>
      <c r="B853" s="11">
        <f>IF(INPUT!M848="","",INPUT!M848-WEEKDAY(INPUT!M848,2)+1)</f>
        <v>45936</v>
      </c>
      <c r="C853" s="20">
        <f>IFERROR(_xlfn.ISOWEEKNUM(INPUT!M848),"")</f>
        <v>41</v>
      </c>
      <c r="D853" s="20">
        <f>IFERROR(YEAR(INPUT!M848),"")</f>
        <v>2025</v>
      </c>
      <c r="E853" t="str">
        <f>IF(INPUT!O848="","",INPUT!O848)</f>
        <v>CARLOS</v>
      </c>
      <c r="F853" t="str">
        <f>IF(INPUT!N848="","",INPUT!N848)</f>
        <v>M</v>
      </c>
      <c r="G853" t="str" cm="1">
        <f t="array" ref="G853">IFERROR(VLOOKUP(INPUT!M848&amp;INPUT!N848,CHOOSE({1,2},INPUT!$A$3:$A$5000&amp;INPUT!$C$3:$C$5000,INPUT!$F$3:$F$5000),2,FALSE),"")</f>
        <v>PRE-TEMPORADA</v>
      </c>
      <c r="H853" t="str" cm="1">
        <f t="array" ref="H853">IFERROR(VLOOKUP(INPUT!M848&amp;INPUT!N848,CHOOSE({1,2},INPUT!$A$3:$A$5000&amp;INPUT!$C$3:$C$5000,INPUT!$D$3:$D$5000),2,FALSE),"")</f>
        <v>TEC-TAC</v>
      </c>
      <c r="I853" s="46">
        <f>IF(INPUT!P848="","",INPUT!P848)</f>
        <v>66.8</v>
      </c>
      <c r="J853" s="46">
        <f>IF(INPUT!Q848="","",INPUT!Q848)</f>
        <v>66</v>
      </c>
      <c r="K853" s="46">
        <f>IFERROR(IF(OR(INPUT!P848="",INPUT!Q848=""),"",INPUT!P848-INPUT!Q848),"")</f>
        <v>0.79999999999999716</v>
      </c>
      <c r="L853" s="48">
        <f>IFERROR(IF(OR(INPUT!P848="",INPUT!Q848="",INPUT!P848=0),"",(INPUT!P848-INPUT!Q848)/INPUT!P848),"")</f>
        <v>1.1976047904191574E-2</v>
      </c>
    </row>
    <row r="854" spans="1:12" ht="18" hidden="1" customHeight="1" x14ac:dyDescent="0.2">
      <c r="A854" s="11">
        <f>IF(INPUT!M849="","",INPUT!M849)</f>
        <v>45936</v>
      </c>
      <c r="B854" s="11">
        <f>IF(INPUT!M849="","",INPUT!M849-WEEKDAY(INPUT!M849,2)+1)</f>
        <v>45936</v>
      </c>
      <c r="C854" s="20">
        <f>IFERROR(_xlfn.ISOWEEKNUM(INPUT!M849),"")</f>
        <v>41</v>
      </c>
      <c r="D854" s="20">
        <f>IFERROR(YEAR(INPUT!M849),"")</f>
        <v>2025</v>
      </c>
      <c r="E854" t="str">
        <f>IF(INPUT!O849="","",INPUT!O849)</f>
        <v>RUBIO</v>
      </c>
      <c r="F854" t="str">
        <f>IF(INPUT!N849="","",INPUT!N849)</f>
        <v>M</v>
      </c>
      <c r="G854" t="str" cm="1">
        <f t="array" ref="G854">IFERROR(VLOOKUP(INPUT!M849&amp;INPUT!N849,CHOOSE({1,2},INPUT!$A$3:$A$5000&amp;INPUT!$C$3:$C$5000,INPUT!$F$3:$F$5000),2,FALSE),"")</f>
        <v>PRE-TEMPORADA</v>
      </c>
      <c r="H854" t="str" cm="1">
        <f t="array" ref="H854">IFERROR(VLOOKUP(INPUT!M849&amp;INPUT!N849,CHOOSE({1,2},INPUT!$A$3:$A$5000&amp;INPUT!$C$3:$C$5000,INPUT!$D$3:$D$5000),2,FALSE),"")</f>
        <v>TEC-TAC</v>
      </c>
      <c r="I854" s="46">
        <f>IF(INPUT!P849="","",INPUT!P849)</f>
        <v>74.2</v>
      </c>
      <c r="J854" s="46">
        <f>IF(INPUT!Q849="","",INPUT!Q849)</f>
        <v>74.400000000000006</v>
      </c>
      <c r="K854" s="46">
        <f>IFERROR(IF(OR(INPUT!P849="",INPUT!Q849=""),"",INPUT!P849-INPUT!Q849),"")</f>
        <v>-0.20000000000000284</v>
      </c>
      <c r="L854" s="48">
        <f>IFERROR(IF(OR(INPUT!P849="",INPUT!Q849="",INPUT!P849=0),"",(INPUT!P849-INPUT!Q849)/INPUT!P849),"")</f>
        <v>-2.6954177897574507E-3</v>
      </c>
    </row>
    <row r="855" spans="1:12" ht="18" hidden="1" customHeight="1" x14ac:dyDescent="0.2">
      <c r="A855" s="11">
        <f>IF(INPUT!M850="","",INPUT!M850)</f>
        <v>45936</v>
      </c>
      <c r="B855" s="11">
        <f>IF(INPUT!M850="","",INPUT!M850-WEEKDAY(INPUT!M850,2)+1)</f>
        <v>45936</v>
      </c>
      <c r="C855" s="20">
        <f>IFERROR(_xlfn.ISOWEEKNUM(INPUT!M850),"")</f>
        <v>41</v>
      </c>
      <c r="D855" s="20">
        <f>IFERROR(YEAR(INPUT!M850),"")</f>
        <v>2025</v>
      </c>
      <c r="E855" t="str">
        <f>IF(INPUT!O850="","",INPUT!O850)</f>
        <v>DANI</v>
      </c>
      <c r="F855" t="str">
        <f>IF(INPUT!N850="","",INPUT!N850)</f>
        <v>M</v>
      </c>
      <c r="G855" t="str" cm="1">
        <f t="array" ref="G855">IFERROR(VLOOKUP(INPUT!M850&amp;INPUT!N850,CHOOSE({1,2},INPUT!$A$3:$A$5000&amp;INPUT!$C$3:$C$5000,INPUT!$F$3:$F$5000),2,FALSE),"")</f>
        <v>PRE-TEMPORADA</v>
      </c>
      <c r="H855" t="str" cm="1">
        <f t="array" ref="H855">IFERROR(VLOOKUP(INPUT!M850&amp;INPUT!N850,CHOOSE({1,2},INPUT!$A$3:$A$5000&amp;INPUT!$C$3:$C$5000,INPUT!$D$3:$D$5000),2,FALSE),"")</f>
        <v>TEC-TAC</v>
      </c>
      <c r="I855" s="46">
        <f>IF(INPUT!P850="","",INPUT!P850)</f>
        <v>93.2</v>
      </c>
      <c r="J855" s="46">
        <f>IF(INPUT!Q850="","",INPUT!Q850)</f>
        <v>91.9</v>
      </c>
      <c r="K855" s="46">
        <f>IFERROR(IF(OR(INPUT!P850="",INPUT!Q850=""),"",INPUT!P850-INPUT!Q850),"")</f>
        <v>1.2999999999999972</v>
      </c>
      <c r="L855" s="48">
        <f>IFERROR(IF(OR(INPUT!P850="",INPUT!Q850="",INPUT!P850=0),"",(INPUT!P850-INPUT!Q850)/INPUT!P850),"")</f>
        <v>1.3948497854077223E-2</v>
      </c>
    </row>
    <row r="856" spans="1:12" ht="18" hidden="1" customHeight="1" x14ac:dyDescent="0.2">
      <c r="A856" s="11">
        <f>IF(INPUT!M851="","",INPUT!M851)</f>
        <v>45937</v>
      </c>
      <c r="B856" s="11">
        <f>IF(INPUT!M851="","",INPUT!M851-WEEKDAY(INPUT!M851,2)+1)</f>
        <v>45936</v>
      </c>
      <c r="C856" s="20">
        <f>IFERROR(_xlfn.ISOWEEKNUM(INPUT!M851),"")</f>
        <v>41</v>
      </c>
      <c r="D856" s="20">
        <f>IFERROR(YEAR(INPUT!M851),"")</f>
        <v>2025</v>
      </c>
      <c r="E856" t="str">
        <f>IF(INPUT!O851="","",INPUT!O851)</f>
        <v>HERRERO</v>
      </c>
      <c r="F856" t="str">
        <f>IF(INPUT!N851="","",INPUT!N851)</f>
        <v>M</v>
      </c>
      <c r="G856" t="str" cm="1">
        <f t="array" ref="G856">IFERROR(VLOOKUP(INPUT!M851&amp;INPUT!N851,CHOOSE({1,2},INPUT!$A$3:$A$5000&amp;INPUT!$C$3:$C$5000,INPUT!$F$3:$F$5000),2,FALSE),"")</f>
        <v>PRE-TEMPORADA</v>
      </c>
      <c r="H856" t="str" cm="1">
        <f t="array" ref="H856">IFERROR(VLOOKUP(INPUT!M851&amp;INPUT!N851,CHOOSE({1,2},INPUT!$A$3:$A$5000&amp;INPUT!$C$3:$C$5000,INPUT!$D$3:$D$5000),2,FALSE),"")</f>
        <v>TEC-TAC</v>
      </c>
      <c r="I856" s="46">
        <f>IF(INPUT!P851="","",INPUT!P851)</f>
        <v>76.8</v>
      </c>
      <c r="J856" s="46">
        <f>IF(INPUT!Q851="","",INPUT!Q851)</f>
        <v>76.400000000000006</v>
      </c>
      <c r="K856" s="46">
        <f>IFERROR(IF(OR(INPUT!P851="",INPUT!Q851=""),"",INPUT!P851-INPUT!Q851),"")</f>
        <v>0.39999999999999147</v>
      </c>
      <c r="L856" s="48">
        <f>IFERROR(IF(OR(INPUT!P851="",INPUT!Q851="",INPUT!P851=0),"",(INPUT!P851-INPUT!Q851)/INPUT!P851),"")</f>
        <v>5.2083333333332229E-3</v>
      </c>
    </row>
    <row r="857" spans="1:12" ht="18" hidden="1" customHeight="1" x14ac:dyDescent="0.2">
      <c r="A857" s="11">
        <f>IF(INPUT!M852="","",INPUT!M852)</f>
        <v>45937</v>
      </c>
      <c r="B857" s="11">
        <f>IF(INPUT!M852="","",INPUT!M852-WEEKDAY(INPUT!M852,2)+1)</f>
        <v>45936</v>
      </c>
      <c r="C857" s="20">
        <f>IFERROR(_xlfn.ISOWEEKNUM(INPUT!M852),"")</f>
        <v>41</v>
      </c>
      <c r="D857" s="20">
        <f>IFERROR(YEAR(INPUT!M852),"")</f>
        <v>2025</v>
      </c>
      <c r="E857" t="str">
        <f>IF(INPUT!O852="","",INPUT!O852)</f>
        <v>GARCIA</v>
      </c>
      <c r="F857" t="str">
        <f>IF(INPUT!N852="","",INPUT!N852)</f>
        <v>M</v>
      </c>
      <c r="G857" t="str" cm="1">
        <f t="array" ref="G857">IFERROR(VLOOKUP(INPUT!M852&amp;INPUT!N852,CHOOSE({1,2},INPUT!$A$3:$A$5000&amp;INPUT!$C$3:$C$5000,INPUT!$F$3:$F$5000),2,FALSE),"")</f>
        <v>PRE-TEMPORADA</v>
      </c>
      <c r="H857" t="str" cm="1">
        <f t="array" ref="H857">IFERROR(VLOOKUP(INPUT!M852&amp;INPUT!N852,CHOOSE({1,2},INPUT!$A$3:$A$5000&amp;INPUT!$C$3:$C$5000,INPUT!$D$3:$D$5000),2,FALSE),"")</f>
        <v>TEC-TAC</v>
      </c>
      <c r="I857" s="46">
        <f>IF(INPUT!P852="","",INPUT!P852)</f>
        <v>79.900000000000006</v>
      </c>
      <c r="J857" s="46">
        <f>IF(INPUT!Q852="","",INPUT!Q852)</f>
        <v>79.7</v>
      </c>
      <c r="K857" s="46">
        <f>IFERROR(IF(OR(INPUT!P852="",INPUT!Q852=""),"",INPUT!P852-INPUT!Q852),"")</f>
        <v>0.20000000000000284</v>
      </c>
      <c r="L857" s="48">
        <f>IFERROR(IF(OR(INPUT!P852="",INPUT!Q852="",INPUT!P852=0),"",(INPUT!P852-INPUT!Q852)/INPUT!P852),"")</f>
        <v>2.5031289111389588E-3</v>
      </c>
    </row>
    <row r="858" spans="1:12" ht="18" hidden="1" customHeight="1" x14ac:dyDescent="0.2">
      <c r="A858" s="11">
        <f>IF(INPUT!M853="","",INPUT!M853)</f>
        <v>45937</v>
      </c>
      <c r="B858" s="11">
        <f>IF(INPUT!M853="","",INPUT!M853-WEEKDAY(INPUT!M853,2)+1)</f>
        <v>45936</v>
      </c>
      <c r="C858" s="20">
        <f>IFERROR(_xlfn.ISOWEEKNUM(INPUT!M853),"")</f>
        <v>41</v>
      </c>
      <c r="D858" s="20">
        <f>IFERROR(YEAR(INPUT!M853),"")</f>
        <v>2025</v>
      </c>
      <c r="E858" t="str">
        <f>IF(INPUT!O853="","",INPUT!O853)</f>
        <v>CECILIO</v>
      </c>
      <c r="F858" t="str">
        <f>IF(INPUT!N853="","",INPUT!N853)</f>
        <v>M</v>
      </c>
      <c r="G858" t="str" cm="1">
        <f t="array" ref="G858">IFERROR(VLOOKUP(INPUT!M853&amp;INPUT!N853,CHOOSE({1,2},INPUT!$A$3:$A$5000&amp;INPUT!$C$3:$C$5000,INPUT!$F$3:$F$5000),2,FALSE),"")</f>
        <v>PRE-TEMPORADA</v>
      </c>
      <c r="H858" t="str" cm="1">
        <f t="array" ref="H858">IFERROR(VLOOKUP(INPUT!M853&amp;INPUT!N853,CHOOSE({1,2},INPUT!$A$3:$A$5000&amp;INPUT!$C$3:$C$5000,INPUT!$D$3:$D$5000),2,FALSE),"")</f>
        <v>TEC-TAC</v>
      </c>
      <c r="I858" s="46">
        <f>IF(INPUT!P853="","",INPUT!P853)</f>
        <v>67.599999999999994</v>
      </c>
      <c r="J858" s="46">
        <f>IF(INPUT!Q853="","",INPUT!Q853)</f>
        <v>66.900000000000006</v>
      </c>
      <c r="K858" s="46">
        <f>IFERROR(IF(OR(INPUT!P853="",INPUT!Q853=""),"",INPUT!P853-INPUT!Q853),"")</f>
        <v>0.69999999999998863</v>
      </c>
      <c r="L858" s="48">
        <f>IFERROR(IF(OR(INPUT!P853="",INPUT!Q853="",INPUT!P853=0),"",(INPUT!P853-INPUT!Q853)/INPUT!P853),"")</f>
        <v>1.0355029585798649E-2</v>
      </c>
    </row>
    <row r="859" spans="1:12" ht="18" hidden="1" customHeight="1" x14ac:dyDescent="0.2">
      <c r="A859" s="11">
        <f>IF(INPUT!M854="","",INPUT!M854)</f>
        <v>45937</v>
      </c>
      <c r="B859" s="11">
        <f>IF(INPUT!M854="","",INPUT!M854-WEEKDAY(INPUT!M854,2)+1)</f>
        <v>45936</v>
      </c>
      <c r="C859" s="20">
        <f>IFERROR(_xlfn.ISOWEEKNUM(INPUT!M854),"")</f>
        <v>41</v>
      </c>
      <c r="D859" s="20">
        <f>IFERROR(YEAR(INPUT!M854),"")</f>
        <v>2025</v>
      </c>
      <c r="E859" t="str">
        <f>IF(INPUT!O854="","",INPUT!O854)</f>
        <v>CHAGUINHA</v>
      </c>
      <c r="F859" t="str">
        <f>IF(INPUT!N854="","",INPUT!N854)</f>
        <v>M</v>
      </c>
      <c r="G859" t="str" cm="1">
        <f t="array" ref="G859">IFERROR(VLOOKUP(INPUT!M854&amp;INPUT!N854,CHOOSE({1,2},INPUT!$A$3:$A$5000&amp;INPUT!$C$3:$C$5000,INPUT!$F$3:$F$5000),2,FALSE),"")</f>
        <v>PRE-TEMPORADA</v>
      </c>
      <c r="H859" t="str" cm="1">
        <f t="array" ref="H859">IFERROR(VLOOKUP(INPUT!M854&amp;INPUT!N854,CHOOSE({1,2},INPUT!$A$3:$A$5000&amp;INPUT!$C$3:$C$5000,INPUT!$D$3:$D$5000),2,FALSE),"")</f>
        <v>TEC-TAC</v>
      </c>
      <c r="I859" s="46">
        <f>IF(INPUT!P854="","",INPUT!P854)</f>
        <v>68.400000000000006</v>
      </c>
      <c r="J859" s="46">
        <f>IF(INPUT!Q854="","",INPUT!Q854)</f>
        <v>68.3</v>
      </c>
      <c r="K859" s="46">
        <f>IFERROR(IF(OR(INPUT!P854="",INPUT!Q854=""),"",INPUT!P854-INPUT!Q854),"")</f>
        <v>0.10000000000000853</v>
      </c>
      <c r="L859" s="48">
        <f>IFERROR(IF(OR(INPUT!P854="",INPUT!Q854="",INPUT!P854=0),"",(INPUT!P854-INPUT!Q854)/INPUT!P854),"")</f>
        <v>1.4619883040936919E-3</v>
      </c>
    </row>
    <row r="860" spans="1:12" ht="18" hidden="1" customHeight="1" x14ac:dyDescent="0.2">
      <c r="A860" s="11">
        <f>IF(INPUT!M855="","",INPUT!M855)</f>
        <v>45937</v>
      </c>
      <c r="B860" s="11">
        <f>IF(INPUT!M855="","",INPUT!M855-WEEKDAY(INPUT!M855,2)+1)</f>
        <v>45936</v>
      </c>
      <c r="C860" s="20">
        <f>IFERROR(_xlfn.ISOWEEKNUM(INPUT!M855),"")</f>
        <v>41</v>
      </c>
      <c r="D860" s="20">
        <f>IFERROR(YEAR(INPUT!M855),"")</f>
        <v>2025</v>
      </c>
      <c r="E860" t="str">
        <f>IF(INPUT!O855="","",INPUT!O855)</f>
        <v>RAUL</v>
      </c>
      <c r="F860" t="str">
        <f>IF(INPUT!N855="","",INPUT!N855)</f>
        <v>M</v>
      </c>
      <c r="G860" t="str" cm="1">
        <f t="array" ref="G860">IFERROR(VLOOKUP(INPUT!M855&amp;INPUT!N855,CHOOSE({1,2},INPUT!$A$3:$A$5000&amp;INPUT!$C$3:$C$5000,INPUT!$F$3:$F$5000),2,FALSE),"")</f>
        <v>PRE-TEMPORADA</v>
      </c>
      <c r="H860" t="str" cm="1">
        <f t="array" ref="H860">IFERROR(VLOOKUP(INPUT!M855&amp;INPUT!N855,CHOOSE({1,2},INPUT!$A$3:$A$5000&amp;INPUT!$C$3:$C$5000,INPUT!$D$3:$D$5000),2,FALSE),"")</f>
        <v>TEC-TAC</v>
      </c>
      <c r="I860" s="46">
        <f>IF(INPUT!P855="","",INPUT!P855)</f>
        <v>80.5</v>
      </c>
      <c r="J860" s="46">
        <f>IF(INPUT!Q855="","",INPUT!Q855)</f>
        <v>80.5</v>
      </c>
      <c r="K860" s="46">
        <f>IFERROR(IF(OR(INPUT!P855="",INPUT!Q855=""),"",INPUT!P855-INPUT!Q855),"")</f>
        <v>0</v>
      </c>
      <c r="L860" s="48">
        <f>IFERROR(IF(OR(INPUT!P855="",INPUT!Q855="",INPUT!P855=0),"",(INPUT!P855-INPUT!Q855)/INPUT!P855),"")</f>
        <v>0</v>
      </c>
    </row>
    <row r="861" spans="1:12" ht="18" hidden="1" customHeight="1" x14ac:dyDescent="0.2">
      <c r="A861" s="11">
        <f>IF(INPUT!M856="","",INPUT!M856)</f>
        <v>45937</v>
      </c>
      <c r="B861" s="11">
        <f>IF(INPUT!M856="","",INPUT!M856-WEEKDAY(INPUT!M856,2)+1)</f>
        <v>45936</v>
      </c>
      <c r="C861" s="20">
        <f>IFERROR(_xlfn.ISOWEEKNUM(INPUT!M856),"")</f>
        <v>41</v>
      </c>
      <c r="D861" s="20">
        <f>IFERROR(YEAR(INPUT!M856),"")</f>
        <v>2025</v>
      </c>
      <c r="E861" t="str">
        <f>IF(INPUT!O856="","",INPUT!O856)</f>
        <v>HARRISON</v>
      </c>
      <c r="F861" t="str">
        <f>IF(INPUT!N856="","",INPUT!N856)</f>
        <v>M</v>
      </c>
      <c r="G861" t="str" cm="1">
        <f t="array" ref="G861">IFERROR(VLOOKUP(INPUT!M856&amp;INPUT!N856,CHOOSE({1,2},INPUT!$A$3:$A$5000&amp;INPUT!$C$3:$C$5000,INPUT!$F$3:$F$5000),2,FALSE),"")</f>
        <v>PRE-TEMPORADA</v>
      </c>
      <c r="H861" t="str" cm="1">
        <f t="array" ref="H861">IFERROR(VLOOKUP(INPUT!M856&amp;INPUT!N856,CHOOSE({1,2},INPUT!$A$3:$A$5000&amp;INPUT!$C$3:$C$5000,INPUT!$D$3:$D$5000),2,FALSE),"")</f>
        <v>TEC-TAC</v>
      </c>
      <c r="I861" s="46">
        <f>IF(INPUT!P856="","",INPUT!P856)</f>
        <v>71.8</v>
      </c>
      <c r="J861" s="46">
        <f>IF(INPUT!Q856="","",INPUT!Q856)</f>
        <v>71.599999999999994</v>
      </c>
      <c r="K861" s="46">
        <f>IFERROR(IF(OR(INPUT!P856="",INPUT!Q856=""),"",INPUT!P856-INPUT!Q856),"")</f>
        <v>0.20000000000000284</v>
      </c>
      <c r="L861" s="48">
        <f>IFERROR(IF(OR(INPUT!P856="",INPUT!Q856="",INPUT!P856=0),"",(INPUT!P856-INPUT!Q856)/INPUT!P856),"")</f>
        <v>2.7855153203343017E-3</v>
      </c>
    </row>
    <row r="862" spans="1:12" ht="18" hidden="1" customHeight="1" x14ac:dyDescent="0.2">
      <c r="A862" s="11">
        <f>IF(INPUT!M857="","",INPUT!M857)</f>
        <v>45937</v>
      </c>
      <c r="B862" s="11">
        <f>IF(INPUT!M857="","",INPUT!M857-WEEKDAY(INPUT!M857,2)+1)</f>
        <v>45936</v>
      </c>
      <c r="C862" s="20">
        <f>IFERROR(_xlfn.ISOWEEKNUM(INPUT!M857),"")</f>
        <v>41</v>
      </c>
      <c r="D862" s="20">
        <f>IFERROR(YEAR(INPUT!M857),"")</f>
        <v>2025</v>
      </c>
      <c r="E862" t="str">
        <f>IF(INPUT!O857="","",INPUT!O857)</f>
        <v>RAYA</v>
      </c>
      <c r="F862" t="str">
        <f>IF(INPUT!N857="","",INPUT!N857)</f>
        <v>M</v>
      </c>
      <c r="G862" t="str" cm="1">
        <f t="array" ref="G862">IFERROR(VLOOKUP(INPUT!M857&amp;INPUT!N857,CHOOSE({1,2},INPUT!$A$3:$A$5000&amp;INPUT!$C$3:$C$5000,INPUT!$F$3:$F$5000),2,FALSE),"")</f>
        <v>PRE-TEMPORADA</v>
      </c>
      <c r="H862" t="str" cm="1">
        <f t="array" ref="H862">IFERROR(VLOOKUP(INPUT!M857&amp;INPUT!N857,CHOOSE({1,2},INPUT!$A$3:$A$5000&amp;INPUT!$C$3:$C$5000,INPUT!$D$3:$D$5000),2,FALSE),"")</f>
        <v>TEC-TAC</v>
      </c>
      <c r="I862" s="46">
        <f>IF(INPUT!P857="","",INPUT!P857)</f>
        <v>82.8</v>
      </c>
      <c r="J862" s="46">
        <f>IF(INPUT!Q857="","",INPUT!Q857)</f>
        <v>82.1</v>
      </c>
      <c r="K862" s="46">
        <f>IFERROR(IF(OR(INPUT!P857="",INPUT!Q857=""),"",INPUT!P857-INPUT!Q857),"")</f>
        <v>0.70000000000000284</v>
      </c>
      <c r="L862" s="48">
        <f>IFERROR(IF(OR(INPUT!P857="",INPUT!Q857="",INPUT!P857=0),"",(INPUT!P857-INPUT!Q857)/INPUT!P857),"")</f>
        <v>8.4541062801932708E-3</v>
      </c>
    </row>
    <row r="863" spans="1:12" ht="18" hidden="1" customHeight="1" x14ac:dyDescent="0.2">
      <c r="A863" s="11">
        <f>IF(INPUT!M858="","",INPUT!M858)</f>
        <v>45937</v>
      </c>
      <c r="B863" s="11">
        <f>IF(INPUT!M858="","",INPUT!M858-WEEKDAY(INPUT!M858,2)+1)</f>
        <v>45936</v>
      </c>
      <c r="C863" s="20">
        <f>IFERROR(_xlfn.ISOWEEKNUM(INPUT!M858),"")</f>
        <v>41</v>
      </c>
      <c r="D863" s="20">
        <f>IFERROR(YEAR(INPUT!M858),"")</f>
        <v>2025</v>
      </c>
      <c r="E863" t="str">
        <f>IF(INPUT!O858="","",INPUT!O858)</f>
        <v>JAVI</v>
      </c>
      <c r="F863" t="str">
        <f>IF(INPUT!N858="","",INPUT!N858)</f>
        <v>M</v>
      </c>
      <c r="G863" t="str" cm="1">
        <f t="array" ref="G863">IFERROR(VLOOKUP(INPUT!M858&amp;INPUT!N858,CHOOSE({1,2},INPUT!$A$3:$A$5000&amp;INPUT!$C$3:$C$5000,INPUT!$F$3:$F$5000),2,FALSE),"")</f>
        <v>PRE-TEMPORADA</v>
      </c>
      <c r="H863" t="str" cm="1">
        <f t="array" ref="H863">IFERROR(VLOOKUP(INPUT!M858&amp;INPUT!N858,CHOOSE({1,2},INPUT!$A$3:$A$5000&amp;INPUT!$C$3:$C$5000,INPUT!$D$3:$D$5000),2,FALSE),"")</f>
        <v>TEC-TAC</v>
      </c>
      <c r="I863" s="46">
        <f>IF(INPUT!P858="","",INPUT!P858)</f>
        <v>79.099999999999994</v>
      </c>
      <c r="J863" s="46">
        <f>IF(INPUT!Q858="","",INPUT!Q858)</f>
        <v>79</v>
      </c>
      <c r="K863" s="46">
        <f>IFERROR(IF(OR(INPUT!P858="",INPUT!Q858=""),"",INPUT!P858-INPUT!Q858),"")</f>
        <v>9.9999999999994316E-2</v>
      </c>
      <c r="L863" s="48">
        <f>IFERROR(IF(OR(INPUT!P858="",INPUT!Q858="",INPUT!P858=0),"",(INPUT!P858-INPUT!Q858)/INPUT!P858),"")</f>
        <v>1.2642225031604846E-3</v>
      </c>
    </row>
    <row r="864" spans="1:12" ht="18" hidden="1" customHeight="1" x14ac:dyDescent="0.2">
      <c r="A864" s="11">
        <f>IF(INPUT!M859="","",INPUT!M859)</f>
        <v>45937</v>
      </c>
      <c r="B864" s="11">
        <f>IF(INPUT!M859="","",INPUT!M859-WEEKDAY(INPUT!M859,2)+1)</f>
        <v>45936</v>
      </c>
      <c r="C864" s="20">
        <f>IFERROR(_xlfn.ISOWEEKNUM(INPUT!M859),"")</f>
        <v>41</v>
      </c>
      <c r="D864" s="20">
        <f>IFERROR(YEAR(INPUT!M859),"")</f>
        <v>2025</v>
      </c>
      <c r="E864" t="str">
        <f>IF(INPUT!O859="","",INPUT!O859)</f>
        <v>PANI</v>
      </c>
      <c r="F864" t="str">
        <f>IF(INPUT!N859="","",INPUT!N859)</f>
        <v>M</v>
      </c>
      <c r="G864" t="str" cm="1">
        <f t="array" ref="G864">IFERROR(VLOOKUP(INPUT!M859&amp;INPUT!N859,CHOOSE({1,2},INPUT!$A$3:$A$5000&amp;INPUT!$C$3:$C$5000,INPUT!$F$3:$F$5000),2,FALSE),"")</f>
        <v>PRE-TEMPORADA</v>
      </c>
      <c r="H864" t="str" cm="1">
        <f t="array" ref="H864">IFERROR(VLOOKUP(INPUT!M859&amp;INPUT!N859,CHOOSE({1,2},INPUT!$A$3:$A$5000&amp;INPUT!$C$3:$C$5000,INPUT!$D$3:$D$5000),2,FALSE),"")</f>
        <v>TEC-TAC</v>
      </c>
      <c r="I864" s="46">
        <f>IF(INPUT!P859="","",INPUT!P859)</f>
        <v>70.599999999999994</v>
      </c>
      <c r="J864" s="46">
        <f>IF(INPUT!Q859="","",INPUT!Q859)</f>
        <v>69.7</v>
      </c>
      <c r="K864" s="46">
        <f>IFERROR(IF(OR(INPUT!P859="",INPUT!Q859=""),"",INPUT!P859-INPUT!Q859),"")</f>
        <v>0.89999999999999147</v>
      </c>
      <c r="L864" s="48">
        <f>IFERROR(IF(OR(INPUT!P859="",INPUT!Q859="",INPUT!P859=0),"",(INPUT!P859-INPUT!Q859)/INPUT!P859),"")</f>
        <v>1.2747875354107529E-2</v>
      </c>
    </row>
    <row r="865" spans="1:12" ht="18" hidden="1" customHeight="1" x14ac:dyDescent="0.2">
      <c r="A865" s="11">
        <f>IF(INPUT!M860="","",INPUT!M860)</f>
        <v>45937</v>
      </c>
      <c r="B865" s="11">
        <f>IF(INPUT!M860="","",INPUT!M860-WEEKDAY(INPUT!M860,2)+1)</f>
        <v>45936</v>
      </c>
      <c r="C865" s="20">
        <f>IFERROR(_xlfn.ISOWEEKNUM(INPUT!M860),"")</f>
        <v>41</v>
      </c>
      <c r="D865" s="20">
        <f>IFERROR(YEAR(INPUT!M860),"")</f>
        <v>2025</v>
      </c>
      <c r="E865" t="str">
        <f>IF(INPUT!O860="","",INPUT!O860)</f>
        <v>PIRATA</v>
      </c>
      <c r="F865" t="str">
        <f>IF(INPUT!N860="","",INPUT!N860)</f>
        <v>M</v>
      </c>
      <c r="G865" t="str" cm="1">
        <f t="array" ref="G865">IFERROR(VLOOKUP(INPUT!M860&amp;INPUT!N860,CHOOSE({1,2},INPUT!$A$3:$A$5000&amp;INPUT!$C$3:$C$5000,INPUT!$F$3:$F$5000),2,FALSE),"")</f>
        <v>PRE-TEMPORADA</v>
      </c>
      <c r="H865" t="str" cm="1">
        <f t="array" ref="H865">IFERROR(VLOOKUP(INPUT!M860&amp;INPUT!N860,CHOOSE({1,2},INPUT!$A$3:$A$5000&amp;INPUT!$C$3:$C$5000,INPUT!$D$3:$D$5000),2,FALSE),"")</f>
        <v>TEC-TAC</v>
      </c>
      <c r="I865" s="46">
        <f>IF(INPUT!P860="","",INPUT!P860)</f>
        <v>75.5</v>
      </c>
      <c r="J865" s="46">
        <f>IF(INPUT!Q860="","",INPUT!Q860)</f>
        <v>74.8</v>
      </c>
      <c r="K865" s="46">
        <f>IFERROR(IF(OR(INPUT!P860="",INPUT!Q860=""),"",INPUT!P860-INPUT!Q860),"")</f>
        <v>0.70000000000000284</v>
      </c>
      <c r="L865" s="48">
        <f>IFERROR(IF(OR(INPUT!P860="",INPUT!Q860="",INPUT!P860=0),"",(INPUT!P860-INPUT!Q860)/INPUT!P860),"")</f>
        <v>9.2715231788079843E-3</v>
      </c>
    </row>
    <row r="866" spans="1:12" ht="18" hidden="1" customHeight="1" x14ac:dyDescent="0.2">
      <c r="A866" s="11">
        <f>IF(INPUT!M861="","",INPUT!M861)</f>
        <v>45937</v>
      </c>
      <c r="B866" s="11">
        <f>IF(INPUT!M861="","",INPUT!M861-WEEKDAY(INPUT!M861,2)+1)</f>
        <v>45936</v>
      </c>
      <c r="C866" s="20">
        <f>IFERROR(_xlfn.ISOWEEKNUM(INPUT!M861),"")</f>
        <v>41</v>
      </c>
      <c r="D866" s="20">
        <f>IFERROR(YEAR(INPUT!M861),"")</f>
        <v>2025</v>
      </c>
      <c r="E866" t="str">
        <f>IF(INPUT!O861="","",INPUT!O861)</f>
        <v>BARONA</v>
      </c>
      <c r="F866" t="str">
        <f>IF(INPUT!N861="","",INPUT!N861)</f>
        <v>M</v>
      </c>
      <c r="G866" t="str" cm="1">
        <f t="array" ref="G866">IFERROR(VLOOKUP(INPUT!M861&amp;INPUT!N861,CHOOSE({1,2},INPUT!$A$3:$A$5000&amp;INPUT!$C$3:$C$5000,INPUT!$F$3:$F$5000),2,FALSE),"")</f>
        <v>PRE-TEMPORADA</v>
      </c>
      <c r="H866" t="str" cm="1">
        <f t="array" ref="H866">IFERROR(VLOOKUP(INPUT!M861&amp;INPUT!N861,CHOOSE({1,2},INPUT!$A$3:$A$5000&amp;INPUT!$C$3:$C$5000,INPUT!$D$3:$D$5000),2,FALSE),"")</f>
        <v>TEC-TAC</v>
      </c>
      <c r="I866" s="46">
        <f>IF(INPUT!P861="","",INPUT!P861)</f>
        <v>71.599999999999994</v>
      </c>
      <c r="J866" s="46">
        <f>IF(INPUT!Q861="","",INPUT!Q861)</f>
        <v>71.5</v>
      </c>
      <c r="K866" s="46">
        <f>IFERROR(IF(OR(INPUT!P861="",INPUT!Q861=""),"",INPUT!P861-INPUT!Q861),"")</f>
        <v>9.9999999999994316E-2</v>
      </c>
      <c r="L866" s="48">
        <f>IFERROR(IF(OR(INPUT!P861="",INPUT!Q861="",INPUT!P861=0),"",(INPUT!P861-INPUT!Q861)/INPUT!P861),"")</f>
        <v>1.3966480446926581E-3</v>
      </c>
    </row>
    <row r="867" spans="1:12" ht="18" customHeight="1" x14ac:dyDescent="0.2">
      <c r="A867" s="11">
        <f>IF(INPUT!M862="","",INPUT!M862)</f>
        <v>45937</v>
      </c>
      <c r="B867" s="11">
        <f>IF(INPUT!M862="","",INPUT!M862-WEEKDAY(INPUT!M862,2)+1)</f>
        <v>45936</v>
      </c>
      <c r="C867" s="20">
        <f>IFERROR(_xlfn.ISOWEEKNUM(INPUT!M862),"")</f>
        <v>41</v>
      </c>
      <c r="D867" s="20">
        <f>IFERROR(YEAR(INPUT!M862),"")</f>
        <v>2025</v>
      </c>
      <c r="E867" t="str">
        <f>IF(INPUT!O862="","",INPUT!O862)</f>
        <v>CARLOS</v>
      </c>
      <c r="F867" t="str">
        <f>IF(INPUT!N862="","",INPUT!N862)</f>
        <v>M</v>
      </c>
      <c r="G867" t="str" cm="1">
        <f t="array" ref="G867">IFERROR(VLOOKUP(INPUT!M862&amp;INPUT!N862,CHOOSE({1,2},INPUT!$A$3:$A$5000&amp;INPUT!$C$3:$C$5000,INPUT!$F$3:$F$5000),2,FALSE),"")</f>
        <v>PRE-TEMPORADA</v>
      </c>
      <c r="H867" t="str" cm="1">
        <f t="array" ref="H867">IFERROR(VLOOKUP(INPUT!M862&amp;INPUT!N862,CHOOSE({1,2},INPUT!$A$3:$A$5000&amp;INPUT!$C$3:$C$5000,INPUT!$D$3:$D$5000),2,FALSE),"")</f>
        <v>TEC-TAC</v>
      </c>
      <c r="I867" s="46">
        <f>IF(INPUT!P862="","",INPUT!P862)</f>
        <v>67</v>
      </c>
      <c r="J867" s="46">
        <f>IF(INPUT!Q862="","",INPUT!Q862)</f>
        <v>66.400000000000006</v>
      </c>
      <c r="K867" s="46">
        <f>IFERROR(IF(OR(INPUT!P862="",INPUT!Q862=""),"",INPUT!P862-INPUT!Q862),"")</f>
        <v>0.59999999999999432</v>
      </c>
      <c r="L867" s="48">
        <f>IFERROR(IF(OR(INPUT!P862="",INPUT!Q862="",INPUT!P862=0),"",(INPUT!P862-INPUT!Q862)/INPUT!P862),"")</f>
        <v>8.9552238805969304E-3</v>
      </c>
    </row>
    <row r="868" spans="1:12" ht="18" customHeight="1" x14ac:dyDescent="0.2">
      <c r="A868" s="11">
        <f>IF(INPUT!M863="","",INPUT!M863)</f>
        <v>45937</v>
      </c>
      <c r="B868" s="11">
        <f>IF(INPUT!M863="","",INPUT!M863-WEEKDAY(INPUT!M863,2)+1)</f>
        <v>45936</v>
      </c>
      <c r="C868" s="20">
        <f>IFERROR(_xlfn.ISOWEEKNUM(INPUT!M863),"")</f>
        <v>41</v>
      </c>
      <c r="D868" s="20">
        <f>IFERROR(YEAR(INPUT!M863),"")</f>
        <v>2025</v>
      </c>
      <c r="E868" t="str">
        <f>IF(INPUT!O863="","",INPUT!O863)</f>
        <v>RUBIO</v>
      </c>
      <c r="F868" t="str">
        <f>IF(INPUT!N863="","",INPUT!N863)</f>
        <v>M</v>
      </c>
      <c r="G868" t="str" cm="1">
        <f t="array" ref="G868">IFERROR(VLOOKUP(INPUT!M863&amp;INPUT!N863,CHOOSE({1,2},INPUT!$A$3:$A$5000&amp;INPUT!$C$3:$C$5000,INPUT!$F$3:$F$5000),2,FALSE),"")</f>
        <v>PRE-TEMPORADA</v>
      </c>
      <c r="H868" t="str" cm="1">
        <f t="array" ref="H868">IFERROR(VLOOKUP(INPUT!M863&amp;INPUT!N863,CHOOSE({1,2},INPUT!$A$3:$A$5000&amp;INPUT!$C$3:$C$5000,INPUT!$D$3:$D$5000),2,FALSE),"")</f>
        <v>TEC-TAC</v>
      </c>
      <c r="I868" s="46">
        <f>IF(INPUT!P863="","",INPUT!P863)</f>
        <v>75</v>
      </c>
      <c r="J868" s="46">
        <f>IF(INPUT!Q863="","",INPUT!Q863)</f>
        <v>74.8</v>
      </c>
      <c r="K868" s="46">
        <f>IFERROR(IF(OR(INPUT!P863="",INPUT!Q863=""),"",INPUT!P863-INPUT!Q863),"")</f>
        <v>0.20000000000000284</v>
      </c>
      <c r="L868" s="48">
        <f>IFERROR(IF(OR(INPUT!P863="",INPUT!Q863="",INPUT!P863=0),"",(INPUT!P863-INPUT!Q863)/INPUT!P863),"")</f>
        <v>2.6666666666667047E-3</v>
      </c>
    </row>
    <row r="869" spans="1:12" ht="18" customHeight="1" x14ac:dyDescent="0.2">
      <c r="A869" s="11">
        <f>IF(INPUT!M864="","",INPUT!M864)</f>
        <v>45937</v>
      </c>
      <c r="B869" s="11">
        <f>IF(INPUT!M864="","",INPUT!M864-WEEKDAY(INPUT!M864,2)+1)</f>
        <v>45936</v>
      </c>
      <c r="C869" s="20">
        <f>IFERROR(_xlfn.ISOWEEKNUM(INPUT!M864),"")</f>
        <v>41</v>
      </c>
      <c r="D869" s="20">
        <f>IFERROR(YEAR(INPUT!M864),"")</f>
        <v>2025</v>
      </c>
      <c r="E869" t="str">
        <f>IF(INPUT!O864="","",INPUT!O864)</f>
        <v>DANI</v>
      </c>
      <c r="F869" t="str">
        <f>IF(INPUT!N864="","",INPUT!N864)</f>
        <v>M</v>
      </c>
      <c r="G869" t="str" cm="1">
        <f t="array" ref="G869">IFERROR(VLOOKUP(INPUT!M864&amp;INPUT!N864,CHOOSE({1,2},INPUT!$A$3:$A$5000&amp;INPUT!$C$3:$C$5000,INPUT!$F$3:$F$5000),2,FALSE),"")</f>
        <v>PRE-TEMPORADA</v>
      </c>
      <c r="H869" t="str" cm="1">
        <f t="array" ref="H869">IFERROR(VLOOKUP(INPUT!M864&amp;INPUT!N864,CHOOSE({1,2},INPUT!$A$3:$A$5000&amp;INPUT!$C$3:$C$5000,INPUT!$D$3:$D$5000),2,FALSE),"")</f>
        <v>TEC-TAC</v>
      </c>
      <c r="I869" s="46">
        <f>IF(INPUT!P864="","",INPUT!P864)</f>
        <v>92.7</v>
      </c>
      <c r="J869" s="46">
        <f>IF(INPUT!Q864="","",INPUT!Q864)</f>
        <v>92.6</v>
      </c>
      <c r="K869" s="46">
        <f>IFERROR(IF(OR(INPUT!P864="",INPUT!Q864=""),"",INPUT!P864-INPUT!Q864),"")</f>
        <v>0.10000000000000853</v>
      </c>
      <c r="L869" s="48">
        <f>IFERROR(IF(OR(INPUT!P864="",INPUT!Q864="",INPUT!P864=0),"",(INPUT!P864-INPUT!Q864)/INPUT!P864),"")</f>
        <v>1.0787486515642774E-3</v>
      </c>
    </row>
    <row r="870" spans="1:12" ht="18" customHeight="1" x14ac:dyDescent="0.2">
      <c r="A870" s="11">
        <f>IF(INPUT!M865="","",INPUT!M865)</f>
        <v>45940</v>
      </c>
      <c r="B870" s="11">
        <f>IF(INPUT!M865="","",INPUT!M865-WEEKDAY(INPUT!M865,2)+1)</f>
        <v>45936</v>
      </c>
      <c r="C870" s="20">
        <f>IFERROR(_xlfn.ISOWEEKNUM(INPUT!M865),"")</f>
        <v>41</v>
      </c>
      <c r="D870" s="20">
        <f>IFERROR(YEAR(INPUT!M865),"")</f>
        <v>2025</v>
      </c>
      <c r="E870" t="str">
        <f>IF(INPUT!O865="","",INPUT!O865)</f>
        <v>HERRERO</v>
      </c>
      <c r="F870" t="str">
        <f>IF(INPUT!N865="","",INPUT!N865)</f>
        <v>M</v>
      </c>
      <c r="G870" t="str" cm="1">
        <f t="array" ref="G870">IFERROR(VLOOKUP(INPUT!M865&amp;INPUT!N865,CHOOSE({1,2},INPUT!$A$3:$A$5000&amp;INPUT!$C$3:$C$5000,INPUT!$F$3:$F$5000),2,FALSE),"")</f>
        <v>PRE-TEMPORADA</v>
      </c>
      <c r="H870" t="str" cm="1">
        <f t="array" ref="H870">IFERROR(VLOOKUP(INPUT!M865&amp;INPUT!N865,CHOOSE({1,2},INPUT!$A$3:$A$5000&amp;INPUT!$C$3:$C$5000,INPUT!$D$3:$D$5000),2,FALSE),"")</f>
        <v>TEC-TAC</v>
      </c>
      <c r="I870" s="46">
        <f>IF(INPUT!P865="","",INPUT!P865)</f>
        <v>77</v>
      </c>
      <c r="J870" s="46">
        <f>IF(INPUT!Q865="","",INPUT!Q865)</f>
        <v>76</v>
      </c>
      <c r="K870" s="46">
        <f>IFERROR(IF(OR(INPUT!P865="",INPUT!Q865=""),"",INPUT!P865-INPUT!Q865),"")</f>
        <v>1</v>
      </c>
      <c r="L870" s="48">
        <f>IFERROR(IF(OR(INPUT!P865="",INPUT!Q865="",INPUT!P865=0),"",(INPUT!P865-INPUT!Q865)/INPUT!P865),"")</f>
        <v>1.2987012987012988E-2</v>
      </c>
    </row>
    <row r="871" spans="1:12" ht="18" customHeight="1" x14ac:dyDescent="0.2">
      <c r="A871" s="11">
        <f>IF(INPUT!M866="","",INPUT!M866)</f>
        <v>45940</v>
      </c>
      <c r="B871" s="11">
        <f>IF(INPUT!M866="","",INPUT!M866-WEEKDAY(INPUT!M866,2)+1)</f>
        <v>45936</v>
      </c>
      <c r="C871" s="20">
        <f>IFERROR(_xlfn.ISOWEEKNUM(INPUT!M866),"")</f>
        <v>41</v>
      </c>
      <c r="D871" s="20">
        <f>IFERROR(YEAR(INPUT!M866),"")</f>
        <v>2025</v>
      </c>
      <c r="E871" t="str">
        <f>IF(INPUT!O866="","",INPUT!O866)</f>
        <v>GARCIA</v>
      </c>
      <c r="F871" t="str">
        <f>IF(INPUT!N866="","",INPUT!N866)</f>
        <v>M</v>
      </c>
      <c r="G871" t="str" cm="1">
        <f t="array" ref="G871">IFERROR(VLOOKUP(INPUT!M866&amp;INPUT!N866,CHOOSE({1,2},INPUT!$A$3:$A$5000&amp;INPUT!$C$3:$C$5000,INPUT!$F$3:$F$5000),2,FALSE),"")</f>
        <v>PRE-TEMPORADA</v>
      </c>
      <c r="H871" t="str" cm="1">
        <f t="array" ref="H871">IFERROR(VLOOKUP(INPUT!M866&amp;INPUT!N866,CHOOSE({1,2},INPUT!$A$3:$A$5000&amp;INPUT!$C$3:$C$5000,INPUT!$D$3:$D$5000),2,FALSE),"")</f>
        <v>TEC-TAC</v>
      </c>
      <c r="I871" s="46">
        <f>IF(INPUT!P866="","",INPUT!P866)</f>
        <v>79.8</v>
      </c>
      <c r="J871" s="46">
        <f>IF(INPUT!Q866="","",INPUT!Q866)</f>
        <v>79.5</v>
      </c>
      <c r="K871" s="46">
        <f>IFERROR(IF(OR(INPUT!P866="",INPUT!Q866=""),"",INPUT!P866-INPUT!Q866),"")</f>
        <v>0.29999999999999716</v>
      </c>
      <c r="L871" s="48">
        <f>IFERROR(IF(OR(INPUT!P866="",INPUT!Q866="",INPUT!P866=0),"",(INPUT!P866-INPUT!Q866)/INPUT!P866),"")</f>
        <v>3.7593984962405662E-3</v>
      </c>
    </row>
    <row r="872" spans="1:12" ht="18" hidden="1" customHeight="1" x14ac:dyDescent="0.2">
      <c r="A872" s="11">
        <f>IF(INPUT!M867="","",INPUT!M867)</f>
        <v>45940</v>
      </c>
      <c r="B872" s="11">
        <f>IF(INPUT!M867="","",INPUT!M867-WEEKDAY(INPUT!M867,2)+1)</f>
        <v>45936</v>
      </c>
      <c r="C872" s="20">
        <f>IFERROR(_xlfn.ISOWEEKNUM(INPUT!M867),"")</f>
        <v>41</v>
      </c>
      <c r="D872" s="20">
        <f>IFERROR(YEAR(INPUT!M867),"")</f>
        <v>2025</v>
      </c>
      <c r="E872" t="str">
        <f>IF(INPUT!O867="","",INPUT!O867)</f>
        <v>CECILIO</v>
      </c>
      <c r="F872" t="str">
        <f>IF(INPUT!N867="","",INPUT!N867)</f>
        <v>M</v>
      </c>
      <c r="G872" t="str" cm="1">
        <f t="array" ref="G872">IFERROR(VLOOKUP(INPUT!M867&amp;INPUT!N867,CHOOSE({1,2},INPUT!$A$3:$A$5000&amp;INPUT!$C$3:$C$5000,INPUT!$F$3:$F$5000),2,FALSE),"")</f>
        <v>PRE-TEMPORADA</v>
      </c>
      <c r="H872" t="str" cm="1">
        <f t="array" ref="H872">IFERROR(VLOOKUP(INPUT!M867&amp;INPUT!N867,CHOOSE({1,2},INPUT!$A$3:$A$5000&amp;INPUT!$C$3:$C$5000,INPUT!$D$3:$D$5000),2,FALSE),"")</f>
        <v>TEC-TAC</v>
      </c>
      <c r="I872" s="46">
        <f>IF(INPUT!P867="","",INPUT!P867)</f>
        <v>67.400000000000006</v>
      </c>
      <c r="J872" s="46">
        <f>IF(INPUT!Q867="","",INPUT!Q867)</f>
        <v>65.8</v>
      </c>
      <c r="K872" s="46">
        <f>IFERROR(IF(OR(INPUT!P867="",INPUT!Q867=""),"",INPUT!P867-INPUT!Q867),"")</f>
        <v>1.6000000000000085</v>
      </c>
      <c r="L872" s="48">
        <f>IFERROR(IF(OR(INPUT!P867="",INPUT!Q867="",INPUT!P867=0),"",(INPUT!P867-INPUT!Q867)/INPUT!P867),"")</f>
        <v>2.3738872403560957E-2</v>
      </c>
    </row>
    <row r="873" spans="1:12" ht="18" hidden="1" customHeight="1" x14ac:dyDescent="0.2">
      <c r="A873" s="11">
        <f>IF(INPUT!M868="","",INPUT!M868)</f>
        <v>45940</v>
      </c>
      <c r="B873" s="11">
        <f>IF(INPUT!M868="","",INPUT!M868-WEEKDAY(INPUT!M868,2)+1)</f>
        <v>45936</v>
      </c>
      <c r="C873" s="20">
        <f>IFERROR(_xlfn.ISOWEEKNUM(INPUT!M868),"")</f>
        <v>41</v>
      </c>
      <c r="D873" s="20">
        <f>IFERROR(YEAR(INPUT!M868),"")</f>
        <v>2025</v>
      </c>
      <c r="E873" t="str">
        <f>IF(INPUT!O868="","",INPUT!O868)</f>
        <v>CHAGUINHA</v>
      </c>
      <c r="F873" t="str">
        <f>IF(INPUT!N868="","",INPUT!N868)</f>
        <v>M</v>
      </c>
      <c r="G873" t="str" cm="1">
        <f t="array" ref="G873">IFERROR(VLOOKUP(INPUT!M868&amp;INPUT!N868,CHOOSE({1,2},INPUT!$A$3:$A$5000&amp;INPUT!$C$3:$C$5000,INPUT!$F$3:$F$5000),2,FALSE),"")</f>
        <v>PRE-TEMPORADA</v>
      </c>
      <c r="H873" t="str" cm="1">
        <f t="array" ref="H873">IFERROR(VLOOKUP(INPUT!M868&amp;INPUT!N868,CHOOSE({1,2},INPUT!$A$3:$A$5000&amp;INPUT!$C$3:$C$5000,INPUT!$D$3:$D$5000),2,FALSE),"")</f>
        <v>TEC-TAC</v>
      </c>
      <c r="I873" s="46">
        <f>IF(INPUT!P868="","",INPUT!P868)</f>
        <v>69.099999999999994</v>
      </c>
      <c r="J873" s="46">
        <f>IF(INPUT!Q868="","",INPUT!Q868)</f>
        <v>68.5</v>
      </c>
      <c r="K873" s="46">
        <f>IFERROR(IF(OR(INPUT!P868="",INPUT!Q868=""),"",INPUT!P868-INPUT!Q868),"")</f>
        <v>0.59999999999999432</v>
      </c>
      <c r="L873" s="48">
        <f>IFERROR(IF(OR(INPUT!P868="",INPUT!Q868="",INPUT!P868=0),"",(INPUT!P868-INPUT!Q868)/INPUT!P868),"")</f>
        <v>8.6830680173660552E-3</v>
      </c>
    </row>
    <row r="874" spans="1:12" ht="18" hidden="1" customHeight="1" x14ac:dyDescent="0.2">
      <c r="A874" s="11">
        <f>IF(INPUT!M869="","",INPUT!M869)</f>
        <v>45940</v>
      </c>
      <c r="B874" s="11">
        <f>IF(INPUT!M869="","",INPUT!M869-WEEKDAY(INPUT!M869,2)+1)</f>
        <v>45936</v>
      </c>
      <c r="C874" s="20">
        <f>IFERROR(_xlfn.ISOWEEKNUM(INPUT!M869),"")</f>
        <v>41</v>
      </c>
      <c r="D874" s="20">
        <f>IFERROR(YEAR(INPUT!M869),"")</f>
        <v>2025</v>
      </c>
      <c r="E874" t="str">
        <f>IF(INPUT!O869="","",INPUT!O869)</f>
        <v>RAUL</v>
      </c>
      <c r="F874" t="str">
        <f>IF(INPUT!N869="","",INPUT!N869)</f>
        <v>M</v>
      </c>
      <c r="G874" t="str" cm="1">
        <f t="array" ref="G874">IFERROR(VLOOKUP(INPUT!M869&amp;INPUT!N869,CHOOSE({1,2},INPUT!$A$3:$A$5000&amp;INPUT!$C$3:$C$5000,INPUT!$F$3:$F$5000),2,FALSE),"")</f>
        <v>PRE-TEMPORADA</v>
      </c>
      <c r="H874" t="str" cm="1">
        <f t="array" ref="H874">IFERROR(VLOOKUP(INPUT!M869&amp;INPUT!N869,CHOOSE({1,2},INPUT!$A$3:$A$5000&amp;INPUT!$C$3:$C$5000,INPUT!$D$3:$D$5000),2,FALSE),"")</f>
        <v>TEC-TAC</v>
      </c>
      <c r="I874" s="46">
        <f>IF(INPUT!P869="","",INPUT!P869)</f>
        <v>79.900000000000006</v>
      </c>
      <c r="J874" s="46">
        <f>IF(INPUT!Q869="","",INPUT!Q869)</f>
        <v>79.5</v>
      </c>
      <c r="K874" s="46">
        <f>IFERROR(IF(OR(INPUT!P869="",INPUT!Q869=""),"",INPUT!P869-INPUT!Q869),"")</f>
        <v>0.40000000000000568</v>
      </c>
      <c r="L874" s="48">
        <f>IFERROR(IF(OR(INPUT!P869="",INPUT!Q869="",INPUT!P869=0),"",(INPUT!P869-INPUT!Q869)/INPUT!P869),"")</f>
        <v>5.0062578222779177E-3</v>
      </c>
    </row>
    <row r="875" spans="1:12" ht="18" hidden="1" customHeight="1" x14ac:dyDescent="0.2">
      <c r="A875" s="11">
        <f>IF(INPUT!M870="","",INPUT!M870)</f>
        <v>45940</v>
      </c>
      <c r="B875" s="11">
        <f>IF(INPUT!M870="","",INPUT!M870-WEEKDAY(INPUT!M870,2)+1)</f>
        <v>45936</v>
      </c>
      <c r="C875" s="20">
        <f>IFERROR(_xlfn.ISOWEEKNUM(INPUT!M870),"")</f>
        <v>41</v>
      </c>
      <c r="D875" s="20">
        <f>IFERROR(YEAR(INPUT!M870),"")</f>
        <v>2025</v>
      </c>
      <c r="E875" t="str">
        <f>IF(INPUT!O870="","",INPUT!O870)</f>
        <v>HARRISON</v>
      </c>
      <c r="F875" t="str">
        <f>IF(INPUT!N870="","",INPUT!N870)</f>
        <v>M</v>
      </c>
      <c r="G875" t="str" cm="1">
        <f t="array" ref="G875">IFERROR(VLOOKUP(INPUT!M870&amp;INPUT!N870,CHOOSE({1,2},INPUT!$A$3:$A$5000&amp;INPUT!$C$3:$C$5000,INPUT!$F$3:$F$5000),2,FALSE),"")</f>
        <v>PRE-TEMPORADA</v>
      </c>
      <c r="H875" t="str" cm="1">
        <f t="array" ref="H875">IFERROR(VLOOKUP(INPUT!M870&amp;INPUT!N870,CHOOSE({1,2},INPUT!$A$3:$A$5000&amp;INPUT!$C$3:$C$5000,INPUT!$D$3:$D$5000),2,FALSE),"")</f>
        <v>TEC-TAC</v>
      </c>
      <c r="I875" s="46">
        <f>IF(INPUT!P870="","",INPUT!P870)</f>
        <v>72</v>
      </c>
      <c r="J875" s="46">
        <f>IF(INPUT!Q870="","",INPUT!Q870)</f>
        <v>71.7</v>
      </c>
      <c r="K875" s="46">
        <f>IFERROR(IF(OR(INPUT!P870="",INPUT!Q870=""),"",INPUT!P870-INPUT!Q870),"")</f>
        <v>0.29999999999999716</v>
      </c>
      <c r="L875" s="48">
        <f>IFERROR(IF(OR(INPUT!P870="",INPUT!Q870="",INPUT!P870=0),"",(INPUT!P870-INPUT!Q870)/INPUT!P870),"")</f>
        <v>4.1666666666666276E-3</v>
      </c>
    </row>
    <row r="876" spans="1:12" ht="18" hidden="1" customHeight="1" x14ac:dyDescent="0.2">
      <c r="A876" s="11">
        <f>IF(INPUT!M871="","",INPUT!M871)</f>
        <v>45940</v>
      </c>
      <c r="B876" s="11">
        <f>IF(INPUT!M871="","",INPUT!M871-WEEKDAY(INPUT!M871,2)+1)</f>
        <v>45936</v>
      </c>
      <c r="C876" s="20">
        <f>IFERROR(_xlfn.ISOWEEKNUM(INPUT!M871),"")</f>
        <v>41</v>
      </c>
      <c r="D876" s="20">
        <f>IFERROR(YEAR(INPUT!M871),"")</f>
        <v>2025</v>
      </c>
      <c r="E876" t="str">
        <f>IF(INPUT!O871="","",INPUT!O871)</f>
        <v>RAYA</v>
      </c>
      <c r="F876" t="str">
        <f>IF(INPUT!N871="","",INPUT!N871)</f>
        <v>M</v>
      </c>
      <c r="G876" t="str" cm="1">
        <f t="array" ref="G876">IFERROR(VLOOKUP(INPUT!M871&amp;INPUT!N871,CHOOSE({1,2},INPUT!$A$3:$A$5000&amp;INPUT!$C$3:$C$5000,INPUT!$F$3:$F$5000),2,FALSE),"")</f>
        <v>PRE-TEMPORADA</v>
      </c>
      <c r="H876" t="str" cm="1">
        <f t="array" ref="H876">IFERROR(VLOOKUP(INPUT!M871&amp;INPUT!N871,CHOOSE({1,2},INPUT!$A$3:$A$5000&amp;INPUT!$C$3:$C$5000,INPUT!$D$3:$D$5000),2,FALSE),"")</f>
        <v>TEC-TAC</v>
      </c>
      <c r="I876" s="46">
        <f>IF(INPUT!P871="","",INPUT!P871)</f>
        <v>83.8</v>
      </c>
      <c r="J876" s="46">
        <f>IF(INPUT!Q871="","",INPUT!Q871)</f>
        <v>82.7</v>
      </c>
      <c r="K876" s="46">
        <f>IFERROR(IF(OR(INPUT!P871="",INPUT!Q871=""),"",INPUT!P871-INPUT!Q871),"")</f>
        <v>1.0999999999999943</v>
      </c>
      <c r="L876" s="48">
        <f>IFERROR(IF(OR(INPUT!P871="",INPUT!Q871="",INPUT!P871=0),"",(INPUT!P871-INPUT!Q871)/INPUT!P871),"")</f>
        <v>1.3126491646777975E-2</v>
      </c>
    </row>
    <row r="877" spans="1:12" ht="18" hidden="1" customHeight="1" x14ac:dyDescent="0.2">
      <c r="A877" s="11">
        <f>IF(INPUT!M872="","",INPUT!M872)</f>
        <v>45940</v>
      </c>
      <c r="B877" s="11">
        <f>IF(INPUT!M872="","",INPUT!M872-WEEKDAY(INPUT!M872,2)+1)</f>
        <v>45936</v>
      </c>
      <c r="C877" s="20">
        <f>IFERROR(_xlfn.ISOWEEKNUM(INPUT!M872),"")</f>
        <v>41</v>
      </c>
      <c r="D877" s="20">
        <f>IFERROR(YEAR(INPUT!M872),"")</f>
        <v>2025</v>
      </c>
      <c r="E877" t="str">
        <f>IF(INPUT!O872="","",INPUT!O872)</f>
        <v>JAVI</v>
      </c>
      <c r="F877" t="str">
        <f>IF(INPUT!N872="","",INPUT!N872)</f>
        <v>M</v>
      </c>
      <c r="G877" t="str" cm="1">
        <f t="array" ref="G877">IFERROR(VLOOKUP(INPUT!M872&amp;INPUT!N872,CHOOSE({1,2},INPUT!$A$3:$A$5000&amp;INPUT!$C$3:$C$5000,INPUT!$F$3:$F$5000),2,FALSE),"")</f>
        <v>PRE-TEMPORADA</v>
      </c>
      <c r="H877" t="str" cm="1">
        <f t="array" ref="H877">IFERROR(VLOOKUP(INPUT!M872&amp;INPUT!N872,CHOOSE({1,2},INPUT!$A$3:$A$5000&amp;INPUT!$C$3:$C$5000,INPUT!$D$3:$D$5000),2,FALSE),"")</f>
        <v>TEC-TAC</v>
      </c>
      <c r="I877" s="46">
        <f>IF(INPUT!P872="","",INPUT!P872)</f>
        <v>79.3</v>
      </c>
      <c r="J877" s="46">
        <f>IF(INPUT!Q872="","",INPUT!Q872)</f>
        <v>79.2</v>
      </c>
      <c r="K877" s="46">
        <f>IFERROR(IF(OR(INPUT!P872="",INPUT!Q872=""),"",INPUT!P872-INPUT!Q872),"")</f>
        <v>9.9999999999994316E-2</v>
      </c>
      <c r="L877" s="48">
        <f>IFERROR(IF(OR(INPUT!P872="",INPUT!Q872="",INPUT!P872=0),"",(INPUT!P872-INPUT!Q872)/INPUT!P872),"")</f>
        <v>1.2610340479192223E-3</v>
      </c>
    </row>
    <row r="878" spans="1:12" ht="18" hidden="1" customHeight="1" x14ac:dyDescent="0.2">
      <c r="A878" s="11">
        <f>IF(INPUT!M873="","",INPUT!M873)</f>
        <v>45940</v>
      </c>
      <c r="B878" s="11">
        <f>IF(INPUT!M873="","",INPUT!M873-WEEKDAY(INPUT!M873,2)+1)</f>
        <v>45936</v>
      </c>
      <c r="C878" s="20">
        <f>IFERROR(_xlfn.ISOWEEKNUM(INPUT!M873),"")</f>
        <v>41</v>
      </c>
      <c r="D878" s="20">
        <f>IFERROR(YEAR(INPUT!M873),"")</f>
        <v>2025</v>
      </c>
      <c r="E878" t="str">
        <f>IF(INPUT!O873="","",INPUT!O873)</f>
        <v>PANI</v>
      </c>
      <c r="F878" t="str">
        <f>IF(INPUT!N873="","",INPUT!N873)</f>
        <v>M</v>
      </c>
      <c r="G878" t="str" cm="1">
        <f t="array" ref="G878">IFERROR(VLOOKUP(INPUT!M873&amp;INPUT!N873,CHOOSE({1,2},INPUT!$A$3:$A$5000&amp;INPUT!$C$3:$C$5000,INPUT!$F$3:$F$5000),2,FALSE),"")</f>
        <v>PRE-TEMPORADA</v>
      </c>
      <c r="H878" t="str" cm="1">
        <f t="array" ref="H878">IFERROR(VLOOKUP(INPUT!M873&amp;INPUT!N873,CHOOSE({1,2},INPUT!$A$3:$A$5000&amp;INPUT!$C$3:$C$5000,INPUT!$D$3:$D$5000),2,FALSE),"")</f>
        <v>TEC-TAC</v>
      </c>
      <c r="I878" s="46">
        <f>IF(INPUT!P873="","",INPUT!P873)</f>
        <v>69.7</v>
      </c>
      <c r="J878" s="46">
        <f>IF(INPUT!Q873="","",INPUT!Q873)</f>
        <v>69.400000000000006</v>
      </c>
      <c r="K878" s="46">
        <f>IFERROR(IF(OR(INPUT!P873="",INPUT!Q873=""),"",INPUT!P873-INPUT!Q873),"")</f>
        <v>0.29999999999999716</v>
      </c>
      <c r="L878" s="48">
        <f>IFERROR(IF(OR(INPUT!P873="",INPUT!Q873="",INPUT!P873=0),"",(INPUT!P873-INPUT!Q873)/INPUT!P873),"")</f>
        <v>4.3041606886656692E-3</v>
      </c>
    </row>
    <row r="879" spans="1:12" ht="18" hidden="1" customHeight="1" x14ac:dyDescent="0.2">
      <c r="A879" s="11">
        <f>IF(INPUT!M874="","",INPUT!M874)</f>
        <v>45940</v>
      </c>
      <c r="B879" s="11">
        <f>IF(INPUT!M874="","",INPUT!M874-WEEKDAY(INPUT!M874,2)+1)</f>
        <v>45936</v>
      </c>
      <c r="C879" s="20">
        <f>IFERROR(_xlfn.ISOWEEKNUM(INPUT!M874),"")</f>
        <v>41</v>
      </c>
      <c r="D879" s="20">
        <f>IFERROR(YEAR(INPUT!M874),"")</f>
        <v>2025</v>
      </c>
      <c r="E879" t="str">
        <f>IF(INPUT!O874="","",INPUT!O874)</f>
        <v>PIRATA</v>
      </c>
      <c r="F879" t="str">
        <f>IF(INPUT!N874="","",INPUT!N874)</f>
        <v>M</v>
      </c>
      <c r="G879" t="str" cm="1">
        <f t="array" ref="G879">IFERROR(VLOOKUP(INPUT!M874&amp;INPUT!N874,CHOOSE({1,2},INPUT!$A$3:$A$5000&amp;INPUT!$C$3:$C$5000,INPUT!$F$3:$F$5000),2,FALSE),"")</f>
        <v>PRE-TEMPORADA</v>
      </c>
      <c r="H879" t="str" cm="1">
        <f t="array" ref="H879">IFERROR(VLOOKUP(INPUT!M874&amp;INPUT!N874,CHOOSE({1,2},INPUT!$A$3:$A$5000&amp;INPUT!$C$3:$C$5000,INPUT!$D$3:$D$5000),2,FALSE),"")</f>
        <v>TEC-TAC</v>
      </c>
      <c r="I879" s="46">
        <f>IF(INPUT!P874="","",INPUT!P874)</f>
        <v>75.5</v>
      </c>
      <c r="J879" s="46">
        <f>IF(INPUT!Q874="","",INPUT!Q874)</f>
        <v>75.099999999999994</v>
      </c>
      <c r="K879" s="46">
        <f>IFERROR(IF(OR(INPUT!P874="",INPUT!Q874=""),"",INPUT!P874-INPUT!Q874),"")</f>
        <v>0.40000000000000568</v>
      </c>
      <c r="L879" s="48">
        <f>IFERROR(IF(OR(INPUT!P874="",INPUT!Q874="",INPUT!P874=0),"",(INPUT!P874-INPUT!Q874)/INPUT!P874),"")</f>
        <v>5.298013245033188E-3</v>
      </c>
    </row>
    <row r="880" spans="1:12" ht="18" hidden="1" customHeight="1" x14ac:dyDescent="0.2">
      <c r="A880" s="11">
        <f>IF(INPUT!M875="","",INPUT!M875)</f>
        <v>45940</v>
      </c>
      <c r="B880" s="11">
        <f>IF(INPUT!M875="","",INPUT!M875-WEEKDAY(INPUT!M875,2)+1)</f>
        <v>45936</v>
      </c>
      <c r="C880" s="20">
        <f>IFERROR(_xlfn.ISOWEEKNUM(INPUT!M875),"")</f>
        <v>41</v>
      </c>
      <c r="D880" s="20">
        <f>IFERROR(YEAR(INPUT!M875),"")</f>
        <v>2025</v>
      </c>
      <c r="E880" t="str">
        <f>IF(INPUT!O875="","",INPUT!O875)</f>
        <v>BARONA</v>
      </c>
      <c r="F880" t="str">
        <f>IF(INPUT!N875="","",INPUT!N875)</f>
        <v>M</v>
      </c>
      <c r="G880" t="str" cm="1">
        <f t="array" ref="G880">IFERROR(VLOOKUP(INPUT!M875&amp;INPUT!N875,CHOOSE({1,2},INPUT!$A$3:$A$5000&amp;INPUT!$C$3:$C$5000,INPUT!$F$3:$F$5000),2,FALSE),"")</f>
        <v>PRE-TEMPORADA</v>
      </c>
      <c r="H880" t="str" cm="1">
        <f t="array" ref="H880">IFERROR(VLOOKUP(INPUT!M875&amp;INPUT!N875,CHOOSE({1,2},INPUT!$A$3:$A$5000&amp;INPUT!$C$3:$C$5000,INPUT!$D$3:$D$5000),2,FALSE),"")</f>
        <v>TEC-TAC</v>
      </c>
      <c r="I880" s="46">
        <f>IF(INPUT!P875="","",INPUT!P875)</f>
        <v>71.3</v>
      </c>
      <c r="J880" s="46">
        <f>IF(INPUT!Q875="","",INPUT!Q875)</f>
        <v>71.2</v>
      </c>
      <c r="K880" s="46">
        <f>IFERROR(IF(OR(INPUT!P875="",INPUT!Q875=""),"",INPUT!P875-INPUT!Q875),"")</f>
        <v>9.9999999999994316E-2</v>
      </c>
      <c r="L880" s="48">
        <f>IFERROR(IF(OR(INPUT!P875="",INPUT!Q875="",INPUT!P875=0),"",(INPUT!P875-INPUT!Q875)/INPUT!P875),"")</f>
        <v>1.4025245441794435E-3</v>
      </c>
    </row>
    <row r="881" spans="1:12" ht="18" hidden="1" customHeight="1" x14ac:dyDescent="0.2">
      <c r="A881" s="11">
        <f>IF(INPUT!M876="","",INPUT!M876)</f>
        <v>45940</v>
      </c>
      <c r="B881" s="11">
        <f>IF(INPUT!M876="","",INPUT!M876-WEEKDAY(INPUT!M876,2)+1)</f>
        <v>45936</v>
      </c>
      <c r="C881" s="20">
        <f>IFERROR(_xlfn.ISOWEEKNUM(INPUT!M876),"")</f>
        <v>41</v>
      </c>
      <c r="D881" s="20">
        <f>IFERROR(YEAR(INPUT!M876),"")</f>
        <v>2025</v>
      </c>
      <c r="E881" t="str">
        <f>IF(INPUT!O876="","",INPUT!O876)</f>
        <v>CARLOS</v>
      </c>
      <c r="F881" t="str">
        <f>IF(INPUT!N876="","",INPUT!N876)</f>
        <v>M</v>
      </c>
      <c r="G881" t="str" cm="1">
        <f t="array" ref="G881">IFERROR(VLOOKUP(INPUT!M876&amp;INPUT!N876,CHOOSE({1,2},INPUT!$A$3:$A$5000&amp;INPUT!$C$3:$C$5000,INPUT!$F$3:$F$5000),2,FALSE),"")</f>
        <v>PRE-TEMPORADA</v>
      </c>
      <c r="H881" t="str" cm="1">
        <f t="array" ref="H881">IFERROR(VLOOKUP(INPUT!M876&amp;INPUT!N876,CHOOSE({1,2},INPUT!$A$3:$A$5000&amp;INPUT!$C$3:$C$5000,INPUT!$D$3:$D$5000),2,FALSE),"")</f>
        <v>TEC-TAC</v>
      </c>
      <c r="I881" s="46">
        <f>IF(INPUT!P876="","",INPUT!P876)</f>
        <v>66.599999999999994</v>
      </c>
      <c r="J881" s="46">
        <f>IF(INPUT!Q876="","",INPUT!Q876)</f>
        <v>66.3</v>
      </c>
      <c r="K881" s="46">
        <f>IFERROR(IF(OR(INPUT!P876="",INPUT!Q876=""),"",INPUT!P876-INPUT!Q876),"")</f>
        <v>0.29999999999999716</v>
      </c>
      <c r="L881" s="48">
        <f>IFERROR(IF(OR(INPUT!P876="",INPUT!Q876="",INPUT!P876=0),"",(INPUT!P876-INPUT!Q876)/INPUT!P876),"")</f>
        <v>4.504504504504462E-3</v>
      </c>
    </row>
    <row r="882" spans="1:12" ht="18" hidden="1" customHeight="1" x14ac:dyDescent="0.2">
      <c r="A882" s="11">
        <f>IF(INPUT!M877="","",INPUT!M877)</f>
        <v>45940</v>
      </c>
      <c r="B882" s="11">
        <f>IF(INPUT!M877="","",INPUT!M877-WEEKDAY(INPUT!M877,2)+1)</f>
        <v>45936</v>
      </c>
      <c r="C882" s="20">
        <f>IFERROR(_xlfn.ISOWEEKNUM(INPUT!M877),"")</f>
        <v>41</v>
      </c>
      <c r="D882" s="20">
        <f>IFERROR(YEAR(INPUT!M877),"")</f>
        <v>2025</v>
      </c>
      <c r="E882" t="str">
        <f>IF(INPUT!O877="","",INPUT!O877)</f>
        <v>RUBIO</v>
      </c>
      <c r="F882" t="str">
        <f>IF(INPUT!N877="","",INPUT!N877)</f>
        <v>M</v>
      </c>
      <c r="G882" t="str" cm="1">
        <f t="array" ref="G882">IFERROR(VLOOKUP(INPUT!M877&amp;INPUT!N877,CHOOSE({1,2},INPUT!$A$3:$A$5000&amp;INPUT!$C$3:$C$5000,INPUT!$F$3:$F$5000),2,FALSE),"")</f>
        <v>PRE-TEMPORADA</v>
      </c>
      <c r="H882" t="str" cm="1">
        <f t="array" ref="H882">IFERROR(VLOOKUP(INPUT!M877&amp;INPUT!N877,CHOOSE({1,2},INPUT!$A$3:$A$5000&amp;INPUT!$C$3:$C$5000,INPUT!$D$3:$D$5000),2,FALSE),"")</f>
        <v>TEC-TAC</v>
      </c>
      <c r="I882" s="46">
        <f>IF(INPUT!P877="","",INPUT!P877)</f>
        <v>74.599999999999994</v>
      </c>
      <c r="J882" s="46">
        <f>IF(INPUT!Q877="","",INPUT!Q877)</f>
        <v>74.400000000000006</v>
      </c>
      <c r="K882" s="46">
        <f>IFERROR(IF(OR(INPUT!P877="",INPUT!Q877=""),"",INPUT!P877-INPUT!Q877),"")</f>
        <v>0.19999999999998863</v>
      </c>
      <c r="L882" s="48">
        <f>IFERROR(IF(OR(INPUT!P877="",INPUT!Q877="",INPUT!P877=0),"",(INPUT!P877-INPUT!Q877)/INPUT!P877),"")</f>
        <v>2.6809651474529309E-3</v>
      </c>
    </row>
    <row r="883" spans="1:12" ht="18" hidden="1" customHeight="1" x14ac:dyDescent="0.2">
      <c r="A883" s="11">
        <f>IF(INPUT!M878="","",INPUT!M878)</f>
        <v>45940</v>
      </c>
      <c r="B883" s="11">
        <f>IF(INPUT!M878="","",INPUT!M878-WEEKDAY(INPUT!M878,2)+1)</f>
        <v>45936</v>
      </c>
      <c r="C883" s="20">
        <f>IFERROR(_xlfn.ISOWEEKNUM(INPUT!M878),"")</f>
        <v>41</v>
      </c>
      <c r="D883" s="20">
        <f>IFERROR(YEAR(INPUT!M878),"")</f>
        <v>2025</v>
      </c>
      <c r="E883" t="str">
        <f>IF(INPUT!O878="","",INPUT!O878)</f>
        <v>DANI</v>
      </c>
      <c r="F883" t="str">
        <f>IF(INPUT!N878="","",INPUT!N878)</f>
        <v>M</v>
      </c>
      <c r="G883" t="str" cm="1">
        <f t="array" ref="G883">IFERROR(VLOOKUP(INPUT!M878&amp;INPUT!N878,CHOOSE({1,2},INPUT!$A$3:$A$5000&amp;INPUT!$C$3:$C$5000,INPUT!$F$3:$F$5000),2,FALSE),"")</f>
        <v>PRE-TEMPORADA</v>
      </c>
      <c r="H883" t="str" cm="1">
        <f t="array" ref="H883">IFERROR(VLOOKUP(INPUT!M878&amp;INPUT!N878,CHOOSE({1,2},INPUT!$A$3:$A$5000&amp;INPUT!$C$3:$C$5000,INPUT!$D$3:$D$5000),2,FALSE),"")</f>
        <v>TEC-TAC</v>
      </c>
      <c r="I883" s="46">
        <f>IF(INPUT!P878="","",INPUT!P878)</f>
        <v>93.1</v>
      </c>
      <c r="J883" s="46">
        <f>IF(INPUT!Q878="","",INPUT!Q878)</f>
        <v>92.6</v>
      </c>
      <c r="K883" s="46">
        <f>IFERROR(IF(OR(INPUT!P878="",INPUT!Q878=""),"",INPUT!P878-INPUT!Q878),"")</f>
        <v>0.5</v>
      </c>
      <c r="L883" s="48">
        <f>IFERROR(IF(OR(INPUT!P878="",INPUT!Q878="",INPUT!P878=0),"",(INPUT!P878-INPUT!Q878)/INPUT!P878),"")</f>
        <v>5.3705692803437165E-3</v>
      </c>
    </row>
    <row r="884" spans="1:12" ht="18" hidden="1" customHeight="1" x14ac:dyDescent="0.2">
      <c r="A884" s="11">
        <f>IF(INPUT!M879="","",INPUT!M879)</f>
        <v>45941</v>
      </c>
      <c r="B884" s="11">
        <f>IF(INPUT!M879="","",INPUT!M879-WEEKDAY(INPUT!M879,2)+1)</f>
        <v>45936</v>
      </c>
      <c r="C884" s="20">
        <f>IFERROR(_xlfn.ISOWEEKNUM(INPUT!M879),"")</f>
        <v>41</v>
      </c>
      <c r="D884" s="20">
        <f>IFERROR(YEAR(INPUT!M879),"")</f>
        <v>2025</v>
      </c>
      <c r="E884" t="str">
        <f>IF(INPUT!O879="","",INPUT!O879)</f>
        <v>HERRERO</v>
      </c>
      <c r="F884" t="str">
        <f>IF(INPUT!N879="","",INPUT!N879)</f>
        <v>M</v>
      </c>
      <c r="G884" t="str" cm="1">
        <f t="array" ref="G884">IFERROR(VLOOKUP(INPUT!M879&amp;INPUT!N879,CHOOSE({1,2},INPUT!$A$3:$A$5000&amp;INPUT!$C$3:$C$5000,INPUT!$F$3:$F$5000),2,FALSE),"")</f>
        <v>PRE-TEMPORADA</v>
      </c>
      <c r="H884" t="str" cm="1">
        <f t="array" ref="H884">IFERROR(VLOOKUP(INPUT!M879&amp;INPUT!N879,CHOOSE({1,2},INPUT!$A$3:$A$5000&amp;INPUT!$C$3:$C$5000,INPUT!$D$3:$D$5000),2,FALSE),"")</f>
        <v>TEC-TAC</v>
      </c>
      <c r="I884" s="46">
        <f>IF(INPUT!P879="","",INPUT!P879)</f>
        <v>77</v>
      </c>
      <c r="J884" s="46">
        <f>IF(INPUT!Q879="","",INPUT!Q879)</f>
        <v>76.8</v>
      </c>
      <c r="K884" s="46">
        <f>IFERROR(IF(OR(INPUT!P879="",INPUT!Q879=""),"",INPUT!P879-INPUT!Q879),"")</f>
        <v>0.20000000000000284</v>
      </c>
      <c r="L884" s="48">
        <f>IFERROR(IF(OR(INPUT!P879="",INPUT!Q879="",INPUT!P879=0),"",(INPUT!P879-INPUT!Q879)/INPUT!P879),"")</f>
        <v>2.5974025974026343E-3</v>
      </c>
    </row>
    <row r="885" spans="1:12" ht="18" hidden="1" customHeight="1" x14ac:dyDescent="0.2">
      <c r="A885" s="11">
        <f>IF(INPUT!M880="","",INPUT!M880)</f>
        <v>45941</v>
      </c>
      <c r="B885" s="11">
        <f>IF(INPUT!M880="","",INPUT!M880-WEEKDAY(INPUT!M880,2)+1)</f>
        <v>45936</v>
      </c>
      <c r="C885" s="20">
        <f>IFERROR(_xlfn.ISOWEEKNUM(INPUT!M880),"")</f>
        <v>41</v>
      </c>
      <c r="D885" s="20">
        <f>IFERROR(YEAR(INPUT!M880),"")</f>
        <v>2025</v>
      </c>
      <c r="E885" t="str">
        <f>IF(INPUT!O880="","",INPUT!O880)</f>
        <v>GARCIA</v>
      </c>
      <c r="F885" t="str">
        <f>IF(INPUT!N880="","",INPUT!N880)</f>
        <v>M</v>
      </c>
      <c r="G885" t="str" cm="1">
        <f t="array" ref="G885">IFERROR(VLOOKUP(INPUT!M880&amp;INPUT!N880,CHOOSE({1,2},INPUT!$A$3:$A$5000&amp;INPUT!$C$3:$C$5000,INPUT!$F$3:$F$5000),2,FALSE),"")</f>
        <v>PRE-TEMPORADA</v>
      </c>
      <c r="H885" t="str" cm="1">
        <f t="array" ref="H885">IFERROR(VLOOKUP(INPUT!M880&amp;INPUT!N880,CHOOSE({1,2},INPUT!$A$3:$A$5000&amp;INPUT!$C$3:$C$5000,INPUT!$D$3:$D$5000),2,FALSE),"")</f>
        <v>TEC-TAC</v>
      </c>
      <c r="I885" s="46">
        <f>IF(INPUT!P880="","",INPUT!P880)</f>
        <v>79.8</v>
      </c>
      <c r="J885" s="46">
        <f>IF(INPUT!Q880="","",INPUT!Q880)</f>
        <v>79.5</v>
      </c>
      <c r="K885" s="46">
        <f>IFERROR(IF(OR(INPUT!P880="",INPUT!Q880=""),"",INPUT!P880-INPUT!Q880),"")</f>
        <v>0.29999999999999716</v>
      </c>
      <c r="L885" s="48">
        <f>IFERROR(IF(OR(INPUT!P880="",INPUT!Q880="",INPUT!P880=0),"",(INPUT!P880-INPUT!Q880)/INPUT!P880),"")</f>
        <v>3.7593984962405662E-3</v>
      </c>
    </row>
    <row r="886" spans="1:12" ht="18" hidden="1" customHeight="1" x14ac:dyDescent="0.2">
      <c r="A886" s="11">
        <f>IF(INPUT!M881="","",INPUT!M881)</f>
        <v>45941</v>
      </c>
      <c r="B886" s="11">
        <f>IF(INPUT!M881="","",INPUT!M881-WEEKDAY(INPUT!M881,2)+1)</f>
        <v>45936</v>
      </c>
      <c r="C886" s="20">
        <f>IFERROR(_xlfn.ISOWEEKNUM(INPUT!M881),"")</f>
        <v>41</v>
      </c>
      <c r="D886" s="20">
        <f>IFERROR(YEAR(INPUT!M881),"")</f>
        <v>2025</v>
      </c>
      <c r="E886" t="str">
        <f>IF(INPUT!O881="","",INPUT!O881)</f>
        <v>CECILIO</v>
      </c>
      <c r="F886" t="str">
        <f>IF(INPUT!N881="","",INPUT!N881)</f>
        <v>M</v>
      </c>
      <c r="G886" t="str" cm="1">
        <f t="array" ref="G886">IFERROR(VLOOKUP(INPUT!M881&amp;INPUT!N881,CHOOSE({1,2},INPUT!$A$3:$A$5000&amp;INPUT!$C$3:$C$5000,INPUT!$F$3:$F$5000),2,FALSE),"")</f>
        <v>PRE-TEMPORADA</v>
      </c>
      <c r="H886" t="str" cm="1">
        <f t="array" ref="H886">IFERROR(VLOOKUP(INPUT!M881&amp;INPUT!N881,CHOOSE({1,2},INPUT!$A$3:$A$5000&amp;INPUT!$C$3:$C$5000,INPUT!$D$3:$D$5000),2,FALSE),"")</f>
        <v>TEC-TAC</v>
      </c>
      <c r="I886" s="46">
        <f>IF(INPUT!P881="","",INPUT!P881)</f>
        <v>67.400000000000006</v>
      </c>
      <c r="J886" s="46">
        <f>IF(INPUT!Q881="","",INPUT!Q881)</f>
        <v>67.2</v>
      </c>
      <c r="K886" s="46">
        <f>IFERROR(IF(OR(INPUT!P881="",INPUT!Q881=""),"",INPUT!P881-INPUT!Q881),"")</f>
        <v>0.20000000000000284</v>
      </c>
      <c r="L886" s="48">
        <f>IFERROR(IF(OR(INPUT!P881="",INPUT!Q881="",INPUT!P881=0),"",(INPUT!P881-INPUT!Q881)/INPUT!P881),"")</f>
        <v>2.9673590504451456E-3</v>
      </c>
    </row>
    <row r="887" spans="1:12" ht="18" customHeight="1" x14ac:dyDescent="0.2">
      <c r="A887" s="11">
        <f>IF(INPUT!M882="","",INPUT!M882)</f>
        <v>45941</v>
      </c>
      <c r="B887" s="11">
        <f>IF(INPUT!M882="","",INPUT!M882-WEEKDAY(INPUT!M882,2)+1)</f>
        <v>45936</v>
      </c>
      <c r="C887" s="20">
        <f>IFERROR(_xlfn.ISOWEEKNUM(INPUT!M882),"")</f>
        <v>41</v>
      </c>
      <c r="D887" s="20">
        <f>IFERROR(YEAR(INPUT!M882),"")</f>
        <v>2025</v>
      </c>
      <c r="E887" t="str">
        <f>IF(INPUT!O882="","",INPUT!O882)</f>
        <v>CHAGUINHA</v>
      </c>
      <c r="F887" t="str">
        <f>IF(INPUT!N882="","",INPUT!N882)</f>
        <v>M</v>
      </c>
      <c r="G887" t="str" cm="1">
        <f t="array" ref="G887">IFERROR(VLOOKUP(INPUT!M882&amp;INPUT!N882,CHOOSE({1,2},INPUT!$A$3:$A$5000&amp;INPUT!$C$3:$C$5000,INPUT!$F$3:$F$5000),2,FALSE),"")</f>
        <v>PRE-TEMPORADA</v>
      </c>
      <c r="H887" t="str" cm="1">
        <f t="array" ref="H887">IFERROR(VLOOKUP(INPUT!M882&amp;INPUT!N882,CHOOSE({1,2},INPUT!$A$3:$A$5000&amp;INPUT!$C$3:$C$5000,INPUT!$D$3:$D$5000),2,FALSE),"")</f>
        <v>TEC-TAC</v>
      </c>
      <c r="I887" s="46">
        <f>IF(INPUT!P882="","",INPUT!P882)</f>
        <v>68.2</v>
      </c>
      <c r="J887" s="46">
        <f>IF(INPUT!Q882="","",INPUT!Q882)</f>
        <v>68.2</v>
      </c>
      <c r="K887" s="46">
        <f>IFERROR(IF(OR(INPUT!P882="",INPUT!Q882=""),"",INPUT!P882-INPUT!Q882),"")</f>
        <v>0</v>
      </c>
      <c r="L887" s="48">
        <f>IFERROR(IF(OR(INPUT!P882="",INPUT!Q882="",INPUT!P882=0),"",(INPUT!P882-INPUT!Q882)/INPUT!P882),"")</f>
        <v>0</v>
      </c>
    </row>
    <row r="888" spans="1:12" ht="18" customHeight="1" x14ac:dyDescent="0.2">
      <c r="A888" s="11">
        <f>IF(INPUT!M883="","",INPUT!M883)</f>
        <v>45941</v>
      </c>
      <c r="B888" s="11">
        <f>IF(INPUT!M883="","",INPUT!M883-WEEKDAY(INPUT!M883,2)+1)</f>
        <v>45936</v>
      </c>
      <c r="C888" s="20">
        <f>IFERROR(_xlfn.ISOWEEKNUM(INPUT!M883),"")</f>
        <v>41</v>
      </c>
      <c r="D888" s="20">
        <f>IFERROR(YEAR(INPUT!M883),"")</f>
        <v>2025</v>
      </c>
      <c r="E888" t="str">
        <f>IF(INPUT!O883="","",INPUT!O883)</f>
        <v>RAUL</v>
      </c>
      <c r="F888" t="str">
        <f>IF(INPUT!N883="","",INPUT!N883)</f>
        <v>M</v>
      </c>
      <c r="G888" t="str" cm="1">
        <f t="array" ref="G888">IFERROR(VLOOKUP(INPUT!M883&amp;INPUT!N883,CHOOSE({1,2},INPUT!$A$3:$A$5000&amp;INPUT!$C$3:$C$5000,INPUT!$F$3:$F$5000),2,FALSE),"")</f>
        <v>PRE-TEMPORADA</v>
      </c>
      <c r="H888" t="str" cm="1">
        <f t="array" ref="H888">IFERROR(VLOOKUP(INPUT!M883&amp;INPUT!N883,CHOOSE({1,2},INPUT!$A$3:$A$5000&amp;INPUT!$C$3:$C$5000,INPUT!$D$3:$D$5000),2,FALSE),"")</f>
        <v>TEC-TAC</v>
      </c>
      <c r="I888" s="46">
        <f>IF(INPUT!P883="","",INPUT!P883)</f>
        <v>80.400000000000006</v>
      </c>
      <c r="J888" s="46">
        <f>IF(INPUT!Q883="","",INPUT!Q883)</f>
        <v>80.8</v>
      </c>
      <c r="K888" s="46">
        <f>IFERROR(IF(OR(INPUT!P883="",INPUT!Q883=""),"",INPUT!P883-INPUT!Q883),"")</f>
        <v>-0.39999999999999147</v>
      </c>
      <c r="L888" s="48">
        <f>IFERROR(IF(OR(INPUT!P883="",INPUT!Q883="",INPUT!P883=0),"",(INPUT!P883-INPUT!Q883)/INPUT!P883),"")</f>
        <v>-4.975124378109346E-3</v>
      </c>
    </row>
    <row r="889" spans="1:12" ht="18" customHeight="1" x14ac:dyDescent="0.2">
      <c r="A889" s="11">
        <f>IF(INPUT!M884="","",INPUT!M884)</f>
        <v>45941</v>
      </c>
      <c r="B889" s="11">
        <f>IF(INPUT!M884="","",INPUT!M884-WEEKDAY(INPUT!M884,2)+1)</f>
        <v>45936</v>
      </c>
      <c r="C889" s="20">
        <f>IFERROR(_xlfn.ISOWEEKNUM(INPUT!M884),"")</f>
        <v>41</v>
      </c>
      <c r="D889" s="20">
        <f>IFERROR(YEAR(INPUT!M884),"")</f>
        <v>2025</v>
      </c>
      <c r="E889" t="str">
        <f>IF(INPUT!O884="","",INPUT!O884)</f>
        <v>HARRISON</v>
      </c>
      <c r="F889" t="str">
        <f>IF(INPUT!N884="","",INPUT!N884)</f>
        <v>M</v>
      </c>
      <c r="G889" t="str" cm="1">
        <f t="array" ref="G889">IFERROR(VLOOKUP(INPUT!M884&amp;INPUT!N884,CHOOSE({1,2},INPUT!$A$3:$A$5000&amp;INPUT!$C$3:$C$5000,INPUT!$F$3:$F$5000),2,FALSE),"")</f>
        <v>PRE-TEMPORADA</v>
      </c>
      <c r="H889" t="str" cm="1">
        <f t="array" ref="H889">IFERROR(VLOOKUP(INPUT!M884&amp;INPUT!N884,CHOOSE({1,2},INPUT!$A$3:$A$5000&amp;INPUT!$C$3:$C$5000,INPUT!$D$3:$D$5000),2,FALSE),"")</f>
        <v>TEC-TAC</v>
      </c>
      <c r="I889" s="46">
        <f>IF(INPUT!P884="","",INPUT!P884)</f>
        <v>71.599999999999994</v>
      </c>
      <c r="J889" s="46">
        <f>IF(INPUT!Q884="","",INPUT!Q884)</f>
        <v>71.5</v>
      </c>
      <c r="K889" s="46">
        <f>IFERROR(IF(OR(INPUT!P884="",INPUT!Q884=""),"",INPUT!P884-INPUT!Q884),"")</f>
        <v>9.9999999999994316E-2</v>
      </c>
      <c r="L889" s="48">
        <f>IFERROR(IF(OR(INPUT!P884="",INPUT!Q884="",INPUT!P884=0),"",(INPUT!P884-INPUT!Q884)/INPUT!P884),"")</f>
        <v>1.3966480446926581E-3</v>
      </c>
    </row>
    <row r="890" spans="1:12" ht="18" customHeight="1" x14ac:dyDescent="0.2">
      <c r="A890" s="11">
        <f>IF(INPUT!M885="","",INPUT!M885)</f>
        <v>45941</v>
      </c>
      <c r="B890" s="11">
        <f>IF(INPUT!M885="","",INPUT!M885-WEEKDAY(INPUT!M885,2)+1)</f>
        <v>45936</v>
      </c>
      <c r="C890" s="20">
        <f>IFERROR(_xlfn.ISOWEEKNUM(INPUT!M885),"")</f>
        <v>41</v>
      </c>
      <c r="D890" s="20">
        <f>IFERROR(YEAR(INPUT!M885),"")</f>
        <v>2025</v>
      </c>
      <c r="E890" t="str">
        <f>IF(INPUT!O885="","",INPUT!O885)</f>
        <v>RAYA</v>
      </c>
      <c r="F890" t="str">
        <f>IF(INPUT!N885="","",INPUT!N885)</f>
        <v>M</v>
      </c>
      <c r="G890" t="str" cm="1">
        <f t="array" ref="G890">IFERROR(VLOOKUP(INPUT!M885&amp;INPUT!N885,CHOOSE({1,2},INPUT!$A$3:$A$5000&amp;INPUT!$C$3:$C$5000,INPUT!$F$3:$F$5000),2,FALSE),"")</f>
        <v>PRE-TEMPORADA</v>
      </c>
      <c r="H890" t="str" cm="1">
        <f t="array" ref="H890">IFERROR(VLOOKUP(INPUT!M885&amp;INPUT!N885,CHOOSE({1,2},INPUT!$A$3:$A$5000&amp;INPUT!$C$3:$C$5000,INPUT!$D$3:$D$5000),2,FALSE),"")</f>
        <v>TEC-TAC</v>
      </c>
      <c r="I890" s="46">
        <f>IF(INPUT!P885="","",INPUT!P885)</f>
        <v>82.9</v>
      </c>
      <c r="J890" s="46">
        <f>IF(INPUT!Q885="","",INPUT!Q885)</f>
        <v>82</v>
      </c>
      <c r="K890" s="46">
        <f>IFERROR(IF(OR(INPUT!P885="",INPUT!Q885=""),"",INPUT!P885-INPUT!Q885),"")</f>
        <v>0.90000000000000568</v>
      </c>
      <c r="L890" s="48">
        <f>IFERROR(IF(OR(INPUT!P885="",INPUT!Q885="",INPUT!P885=0),"",(INPUT!P885-INPUT!Q885)/INPUT!P885),"")</f>
        <v>1.085645355850429E-2</v>
      </c>
    </row>
    <row r="891" spans="1:12" ht="18" customHeight="1" x14ac:dyDescent="0.2">
      <c r="A891" s="11">
        <f>IF(INPUT!M886="","",INPUT!M886)</f>
        <v>45941</v>
      </c>
      <c r="B891" s="11">
        <f>IF(INPUT!M886="","",INPUT!M886-WEEKDAY(INPUT!M886,2)+1)</f>
        <v>45936</v>
      </c>
      <c r="C891" s="20">
        <f>IFERROR(_xlfn.ISOWEEKNUM(INPUT!M886),"")</f>
        <v>41</v>
      </c>
      <c r="D891" s="20">
        <f>IFERROR(YEAR(INPUT!M886),"")</f>
        <v>2025</v>
      </c>
      <c r="E891" t="str">
        <f>IF(INPUT!O886="","",INPUT!O886)</f>
        <v>JAVI</v>
      </c>
      <c r="F891" t="str">
        <f>IF(INPUT!N886="","",INPUT!N886)</f>
        <v>M</v>
      </c>
      <c r="G891" t="str" cm="1">
        <f t="array" ref="G891">IFERROR(VLOOKUP(INPUT!M886&amp;INPUT!N886,CHOOSE({1,2},INPUT!$A$3:$A$5000&amp;INPUT!$C$3:$C$5000,INPUT!$F$3:$F$5000),2,FALSE),"")</f>
        <v>PRE-TEMPORADA</v>
      </c>
      <c r="H891" t="str" cm="1">
        <f t="array" ref="H891">IFERROR(VLOOKUP(INPUT!M886&amp;INPUT!N886,CHOOSE({1,2},INPUT!$A$3:$A$5000&amp;INPUT!$C$3:$C$5000,INPUT!$D$3:$D$5000),2,FALSE),"")</f>
        <v>TEC-TAC</v>
      </c>
      <c r="I891" s="46">
        <f>IF(INPUT!P886="","",INPUT!P886)</f>
        <v>78.3</v>
      </c>
      <c r="J891" s="46">
        <f>IF(INPUT!Q886="","",INPUT!Q886)</f>
        <v>78.2</v>
      </c>
      <c r="K891" s="46">
        <f>IFERROR(IF(OR(INPUT!P886="",INPUT!Q886=""),"",INPUT!P886-INPUT!Q886),"")</f>
        <v>9.9999999999994316E-2</v>
      </c>
      <c r="L891" s="48">
        <f>IFERROR(IF(OR(INPUT!P886="",INPUT!Q886="",INPUT!P886=0),"",(INPUT!P886-INPUT!Q886)/INPUT!P886),"")</f>
        <v>1.2771392081736184E-3</v>
      </c>
    </row>
    <row r="892" spans="1:12" ht="18" hidden="1" customHeight="1" x14ac:dyDescent="0.2">
      <c r="A892" s="11">
        <f>IF(INPUT!M887="","",INPUT!M887)</f>
        <v>45941</v>
      </c>
      <c r="B892" s="11">
        <f>IF(INPUT!M887="","",INPUT!M887-WEEKDAY(INPUT!M887,2)+1)</f>
        <v>45936</v>
      </c>
      <c r="C892" s="20">
        <f>IFERROR(_xlfn.ISOWEEKNUM(INPUT!M887),"")</f>
        <v>41</v>
      </c>
      <c r="D892" s="20">
        <f>IFERROR(YEAR(INPUT!M887),"")</f>
        <v>2025</v>
      </c>
      <c r="E892" t="str">
        <f>IF(INPUT!O887="","",INPUT!O887)</f>
        <v>PANI</v>
      </c>
      <c r="F892" t="str">
        <f>IF(INPUT!N887="","",INPUT!N887)</f>
        <v>M</v>
      </c>
      <c r="G892" t="str" cm="1">
        <f t="array" ref="G892">IFERROR(VLOOKUP(INPUT!M887&amp;INPUT!N887,CHOOSE({1,2},INPUT!$A$3:$A$5000&amp;INPUT!$C$3:$C$5000,INPUT!$F$3:$F$5000),2,FALSE),"")</f>
        <v>PRE-TEMPORADA</v>
      </c>
      <c r="H892" t="str" cm="1">
        <f t="array" ref="H892">IFERROR(VLOOKUP(INPUT!M887&amp;INPUT!N887,CHOOSE({1,2},INPUT!$A$3:$A$5000&amp;INPUT!$C$3:$C$5000,INPUT!$D$3:$D$5000),2,FALSE),"")</f>
        <v>TEC-TAC</v>
      </c>
      <c r="I892" s="46">
        <f>IF(INPUT!P887="","",INPUT!P887)</f>
        <v>70.099999999999994</v>
      </c>
      <c r="J892" s="46">
        <f>IF(INPUT!Q887="","",INPUT!Q887)</f>
        <v>69.8</v>
      </c>
      <c r="K892" s="46">
        <f>IFERROR(IF(OR(INPUT!P887="",INPUT!Q887=""),"",INPUT!P887-INPUT!Q887),"")</f>
        <v>0.29999999999999716</v>
      </c>
      <c r="L892" s="48">
        <f>IFERROR(IF(OR(INPUT!P887="",INPUT!Q887="",INPUT!P887=0),"",(INPUT!P887-INPUT!Q887)/INPUT!P887),"")</f>
        <v>4.2796005706133696E-3</v>
      </c>
    </row>
    <row r="893" spans="1:12" ht="18" hidden="1" customHeight="1" x14ac:dyDescent="0.2">
      <c r="A893" s="11">
        <f>IF(INPUT!M888="","",INPUT!M888)</f>
        <v>45941</v>
      </c>
      <c r="B893" s="11">
        <f>IF(INPUT!M888="","",INPUT!M888-WEEKDAY(INPUT!M888,2)+1)</f>
        <v>45936</v>
      </c>
      <c r="C893" s="20">
        <f>IFERROR(_xlfn.ISOWEEKNUM(INPUT!M888),"")</f>
        <v>41</v>
      </c>
      <c r="D893" s="20">
        <f>IFERROR(YEAR(INPUT!M888),"")</f>
        <v>2025</v>
      </c>
      <c r="E893" t="str">
        <f>IF(INPUT!O888="","",INPUT!O888)</f>
        <v>PIRATA</v>
      </c>
      <c r="F893" t="str">
        <f>IF(INPUT!N888="","",INPUT!N888)</f>
        <v>M</v>
      </c>
      <c r="G893" t="str" cm="1">
        <f t="array" ref="G893">IFERROR(VLOOKUP(INPUT!M888&amp;INPUT!N888,CHOOSE({1,2},INPUT!$A$3:$A$5000&amp;INPUT!$C$3:$C$5000,INPUT!$F$3:$F$5000),2,FALSE),"")</f>
        <v>PRE-TEMPORADA</v>
      </c>
      <c r="H893" t="str" cm="1">
        <f t="array" ref="H893">IFERROR(VLOOKUP(INPUT!M888&amp;INPUT!N888,CHOOSE({1,2},INPUT!$A$3:$A$5000&amp;INPUT!$C$3:$C$5000,INPUT!$D$3:$D$5000),2,FALSE),"")</f>
        <v>TEC-TAC</v>
      </c>
      <c r="I893" s="46">
        <f>IF(INPUT!P888="","",INPUT!P888)</f>
        <v>75.599999999999994</v>
      </c>
      <c r="J893" s="46">
        <f>IF(INPUT!Q888="","",INPUT!Q888)</f>
        <v>75.7</v>
      </c>
      <c r="K893" s="46">
        <f>IFERROR(IF(OR(INPUT!P888="",INPUT!Q888=""),"",INPUT!P888-INPUT!Q888),"")</f>
        <v>-0.10000000000000853</v>
      </c>
      <c r="L893" s="48">
        <f>IFERROR(IF(OR(INPUT!P888="",INPUT!Q888="",INPUT!P888=0),"",(INPUT!P888-INPUT!Q888)/INPUT!P888),"")</f>
        <v>-1.3227513227514357E-3</v>
      </c>
    </row>
    <row r="894" spans="1:12" ht="18" hidden="1" customHeight="1" x14ac:dyDescent="0.2">
      <c r="A894" s="11">
        <f>IF(INPUT!M889="","",INPUT!M889)</f>
        <v>45941</v>
      </c>
      <c r="B894" s="11">
        <f>IF(INPUT!M889="","",INPUT!M889-WEEKDAY(INPUT!M889,2)+1)</f>
        <v>45936</v>
      </c>
      <c r="C894" s="20">
        <f>IFERROR(_xlfn.ISOWEEKNUM(INPUT!M889),"")</f>
        <v>41</v>
      </c>
      <c r="D894" s="20">
        <f>IFERROR(YEAR(INPUT!M889),"")</f>
        <v>2025</v>
      </c>
      <c r="E894" t="str">
        <f>IF(INPUT!O889="","",INPUT!O889)</f>
        <v>BARONA</v>
      </c>
      <c r="F894" t="str">
        <f>IF(INPUT!N889="","",INPUT!N889)</f>
        <v>M</v>
      </c>
      <c r="G894" t="str" cm="1">
        <f t="array" ref="G894">IFERROR(VLOOKUP(INPUT!M889&amp;INPUT!N889,CHOOSE({1,2},INPUT!$A$3:$A$5000&amp;INPUT!$C$3:$C$5000,INPUT!$F$3:$F$5000),2,FALSE),"")</f>
        <v>PRE-TEMPORADA</v>
      </c>
      <c r="H894" t="str" cm="1">
        <f t="array" ref="H894">IFERROR(VLOOKUP(INPUT!M889&amp;INPUT!N889,CHOOSE({1,2},INPUT!$A$3:$A$5000&amp;INPUT!$C$3:$C$5000,INPUT!$D$3:$D$5000),2,FALSE),"")</f>
        <v>TEC-TAC</v>
      </c>
      <c r="I894" s="46">
        <f>IF(INPUT!P889="","",INPUT!P889)</f>
        <v>72.3</v>
      </c>
      <c r="J894" s="46">
        <f>IF(INPUT!Q889="","",INPUT!Q889)</f>
        <v>72.099999999999994</v>
      </c>
      <c r="K894" s="46">
        <f>IFERROR(IF(OR(INPUT!P889="",INPUT!Q889=""),"",INPUT!P889-INPUT!Q889),"")</f>
        <v>0.20000000000000284</v>
      </c>
      <c r="L894" s="48">
        <f>IFERROR(IF(OR(INPUT!P889="",INPUT!Q889="",INPUT!P889=0),"",(INPUT!P889-INPUT!Q889)/INPUT!P889),"")</f>
        <v>2.7662517289073702E-3</v>
      </c>
    </row>
    <row r="895" spans="1:12" ht="18" hidden="1" customHeight="1" x14ac:dyDescent="0.2">
      <c r="A895" s="11">
        <f>IF(INPUT!M890="","",INPUT!M890)</f>
        <v>45941</v>
      </c>
      <c r="B895" s="11">
        <f>IF(INPUT!M890="","",INPUT!M890-WEEKDAY(INPUT!M890,2)+1)</f>
        <v>45936</v>
      </c>
      <c r="C895" s="20">
        <f>IFERROR(_xlfn.ISOWEEKNUM(INPUT!M890),"")</f>
        <v>41</v>
      </c>
      <c r="D895" s="20">
        <f>IFERROR(YEAR(INPUT!M890),"")</f>
        <v>2025</v>
      </c>
      <c r="E895" t="str">
        <f>IF(INPUT!O890="","",INPUT!O890)</f>
        <v>CARLOS</v>
      </c>
      <c r="F895" t="str">
        <f>IF(INPUT!N890="","",INPUT!N890)</f>
        <v>M</v>
      </c>
      <c r="G895" t="str" cm="1">
        <f t="array" ref="G895">IFERROR(VLOOKUP(INPUT!M890&amp;INPUT!N890,CHOOSE({1,2},INPUT!$A$3:$A$5000&amp;INPUT!$C$3:$C$5000,INPUT!$F$3:$F$5000),2,FALSE),"")</f>
        <v>PRE-TEMPORADA</v>
      </c>
      <c r="H895" t="str" cm="1">
        <f t="array" ref="H895">IFERROR(VLOOKUP(INPUT!M890&amp;INPUT!N890,CHOOSE({1,2},INPUT!$A$3:$A$5000&amp;INPUT!$C$3:$C$5000,INPUT!$D$3:$D$5000),2,FALSE),"")</f>
        <v>TEC-TAC</v>
      </c>
      <c r="I895" s="46">
        <f>IF(INPUT!P890="","",INPUT!P890)</f>
        <v>66.7</v>
      </c>
      <c r="J895" s="46">
        <f>IF(INPUT!Q890="","",INPUT!Q890)</f>
        <v>66.400000000000006</v>
      </c>
      <c r="K895" s="46">
        <f>IFERROR(IF(OR(INPUT!P890="",INPUT!Q890=""),"",INPUT!P890-INPUT!Q890),"")</f>
        <v>0.29999999999999716</v>
      </c>
      <c r="L895" s="48">
        <f>IFERROR(IF(OR(INPUT!P890="",INPUT!Q890="",INPUT!P890=0),"",(INPUT!P890-INPUT!Q890)/INPUT!P890),"")</f>
        <v>4.4977511244377382E-3</v>
      </c>
    </row>
    <row r="896" spans="1:12" ht="18" hidden="1" customHeight="1" x14ac:dyDescent="0.2">
      <c r="A896" s="11">
        <f>IF(INPUT!M891="","",INPUT!M891)</f>
        <v>45941</v>
      </c>
      <c r="B896" s="11">
        <f>IF(INPUT!M891="","",INPUT!M891-WEEKDAY(INPUT!M891,2)+1)</f>
        <v>45936</v>
      </c>
      <c r="C896" s="20">
        <f>IFERROR(_xlfn.ISOWEEKNUM(INPUT!M891),"")</f>
        <v>41</v>
      </c>
      <c r="D896" s="20">
        <f>IFERROR(YEAR(INPUT!M891),"")</f>
        <v>2025</v>
      </c>
      <c r="E896" t="str">
        <f>IF(INPUT!O891="","",INPUT!O891)</f>
        <v>RUBIO</v>
      </c>
      <c r="F896" t="str">
        <f>IF(INPUT!N891="","",INPUT!N891)</f>
        <v>M</v>
      </c>
      <c r="G896" t="str" cm="1">
        <f t="array" ref="G896">IFERROR(VLOOKUP(INPUT!M891&amp;INPUT!N891,CHOOSE({1,2},INPUT!$A$3:$A$5000&amp;INPUT!$C$3:$C$5000,INPUT!$F$3:$F$5000),2,FALSE),"")</f>
        <v>PRE-TEMPORADA</v>
      </c>
      <c r="H896" t="str" cm="1">
        <f t="array" ref="H896">IFERROR(VLOOKUP(INPUT!M891&amp;INPUT!N891,CHOOSE({1,2},INPUT!$A$3:$A$5000&amp;INPUT!$C$3:$C$5000,INPUT!$D$3:$D$5000),2,FALSE),"")</f>
        <v>TEC-TAC</v>
      </c>
      <c r="I896" s="46">
        <f>IF(INPUT!P891="","",INPUT!P891)</f>
        <v>74.599999999999994</v>
      </c>
      <c r="J896" s="46">
        <f>IF(INPUT!Q891="","",INPUT!Q891)</f>
        <v>74.7</v>
      </c>
      <c r="K896" s="46">
        <f>IFERROR(IF(OR(INPUT!P891="",INPUT!Q891=""),"",INPUT!P891-INPUT!Q891),"")</f>
        <v>-0.10000000000000853</v>
      </c>
      <c r="L896" s="48">
        <f>IFERROR(IF(OR(INPUT!P891="",INPUT!Q891="",INPUT!P891=0),"",(INPUT!P891-INPUT!Q891)/INPUT!P891),"")</f>
        <v>-1.3404825737266559E-3</v>
      </c>
    </row>
    <row r="897" spans="1:12" ht="18" hidden="1" customHeight="1" x14ac:dyDescent="0.2">
      <c r="A897" s="11">
        <f>IF(INPUT!M892="","",INPUT!M892)</f>
        <v>45941</v>
      </c>
      <c r="B897" s="11">
        <f>IF(INPUT!M892="","",INPUT!M892-WEEKDAY(INPUT!M892,2)+1)</f>
        <v>45936</v>
      </c>
      <c r="C897" s="20">
        <f>IFERROR(_xlfn.ISOWEEKNUM(INPUT!M892),"")</f>
        <v>41</v>
      </c>
      <c r="D897" s="20">
        <f>IFERROR(YEAR(INPUT!M892),"")</f>
        <v>2025</v>
      </c>
      <c r="E897" t="str">
        <f>IF(INPUT!O892="","",INPUT!O892)</f>
        <v>DANI</v>
      </c>
      <c r="F897" t="str">
        <f>IF(INPUT!N892="","",INPUT!N892)</f>
        <v>M</v>
      </c>
      <c r="G897" t="str" cm="1">
        <f t="array" ref="G897">IFERROR(VLOOKUP(INPUT!M892&amp;INPUT!N892,CHOOSE({1,2},INPUT!$A$3:$A$5000&amp;INPUT!$C$3:$C$5000,INPUT!$F$3:$F$5000),2,FALSE),"")</f>
        <v>PRE-TEMPORADA</v>
      </c>
      <c r="H897" t="str" cm="1">
        <f t="array" ref="H897">IFERROR(VLOOKUP(INPUT!M892&amp;INPUT!N892,CHOOSE({1,2},INPUT!$A$3:$A$5000&amp;INPUT!$C$3:$C$5000,INPUT!$D$3:$D$5000),2,FALSE),"")</f>
        <v>TEC-TAC</v>
      </c>
      <c r="I897" s="46">
        <f>IF(INPUT!P892="","",INPUT!P892)</f>
        <v>93.1</v>
      </c>
      <c r="J897" s="46">
        <f>IF(INPUT!Q892="","",INPUT!Q892)</f>
        <v>92.8</v>
      </c>
      <c r="K897" s="46">
        <f>IFERROR(IF(OR(INPUT!P892="",INPUT!Q892=""),"",INPUT!P892-INPUT!Q892),"")</f>
        <v>0.29999999999999716</v>
      </c>
      <c r="L897" s="48">
        <f>IFERROR(IF(OR(INPUT!P892="",INPUT!Q892="",INPUT!P892=0),"",(INPUT!P892-INPUT!Q892)/INPUT!P892),"")</f>
        <v>3.2223415682061996E-3</v>
      </c>
    </row>
    <row r="898" spans="1:12" ht="18" hidden="1" customHeight="1" x14ac:dyDescent="0.2">
      <c r="A898" s="11">
        <f>IF(INPUT!M893="","",INPUT!M893)</f>
        <v>45942</v>
      </c>
      <c r="B898" s="11">
        <f>IF(INPUT!M893="","",INPUT!M893-WEEKDAY(INPUT!M893,2)+1)</f>
        <v>45936</v>
      </c>
      <c r="C898" s="20">
        <f>IFERROR(_xlfn.ISOWEEKNUM(INPUT!M893),"")</f>
        <v>41</v>
      </c>
      <c r="D898" s="20">
        <f>IFERROR(YEAR(INPUT!M893),"")</f>
        <v>2025</v>
      </c>
      <c r="E898" t="str">
        <f>IF(INPUT!O893="","",INPUT!O893)</f>
        <v>HERRERO</v>
      </c>
      <c r="F898" t="str">
        <f>IF(INPUT!N893="","",INPUT!N893)</f>
        <v>M</v>
      </c>
      <c r="G898" t="str" cm="1">
        <f t="array" ref="G898">IFERROR(VLOOKUP(INPUT!M893&amp;INPUT!N893,CHOOSE({1,2},INPUT!$A$3:$A$5000&amp;INPUT!$C$3:$C$5000,INPUT!$F$3:$F$5000),2,FALSE),"")</f>
        <v>PRE-TEMPORADA</v>
      </c>
      <c r="H898" t="str" cm="1">
        <f t="array" ref="H898">IFERROR(VLOOKUP(INPUT!M893&amp;INPUT!N893,CHOOSE({1,2},INPUT!$A$3:$A$5000&amp;INPUT!$C$3:$C$5000,INPUT!$D$3:$D$5000),2,FALSE),"")</f>
        <v>PARTIDO</v>
      </c>
      <c r="I898" s="46">
        <f>IF(INPUT!P893="","",INPUT!P893)</f>
        <v>77</v>
      </c>
      <c r="J898" s="46">
        <f>IF(INPUT!Q893="","",INPUT!Q893)</f>
        <v>77</v>
      </c>
      <c r="K898" s="46">
        <f>IFERROR(IF(OR(INPUT!P893="",INPUT!Q893=""),"",INPUT!P893-INPUT!Q893),"")</f>
        <v>0</v>
      </c>
      <c r="L898" s="48">
        <f>IFERROR(IF(OR(INPUT!P893="",INPUT!Q893="",INPUT!P893=0),"",(INPUT!P893-INPUT!Q893)/INPUT!P893),"")</f>
        <v>0</v>
      </c>
    </row>
    <row r="899" spans="1:12" ht="18" hidden="1" customHeight="1" x14ac:dyDescent="0.2">
      <c r="A899" s="11">
        <f>IF(INPUT!M894="","",INPUT!M894)</f>
        <v>45942</v>
      </c>
      <c r="B899" s="11">
        <f>IF(INPUT!M894="","",INPUT!M894-WEEKDAY(INPUT!M894,2)+1)</f>
        <v>45936</v>
      </c>
      <c r="C899" s="20">
        <f>IFERROR(_xlfn.ISOWEEKNUM(INPUT!M894),"")</f>
        <v>41</v>
      </c>
      <c r="D899" s="20">
        <f>IFERROR(YEAR(INPUT!M894),"")</f>
        <v>2025</v>
      </c>
      <c r="E899" t="str">
        <f>IF(INPUT!O894="","",INPUT!O894)</f>
        <v>GARCIA</v>
      </c>
      <c r="F899" t="str">
        <f>IF(INPUT!N894="","",INPUT!N894)</f>
        <v>M</v>
      </c>
      <c r="G899" t="str" cm="1">
        <f t="array" ref="G899">IFERROR(VLOOKUP(INPUT!M894&amp;INPUT!N894,CHOOSE({1,2},INPUT!$A$3:$A$5000&amp;INPUT!$C$3:$C$5000,INPUT!$F$3:$F$5000),2,FALSE),"")</f>
        <v>PRE-TEMPORADA</v>
      </c>
      <c r="H899" t="str" cm="1">
        <f t="array" ref="H899">IFERROR(VLOOKUP(INPUT!M894&amp;INPUT!N894,CHOOSE({1,2},INPUT!$A$3:$A$5000&amp;INPUT!$C$3:$C$5000,INPUT!$D$3:$D$5000),2,FALSE),"")</f>
        <v>PARTIDO</v>
      </c>
      <c r="I899" s="46">
        <f>IF(INPUT!P894="","",INPUT!P894)</f>
        <v>79.8</v>
      </c>
      <c r="J899" s="46">
        <f>IF(INPUT!Q894="","",INPUT!Q894)</f>
        <v>79.599999999999994</v>
      </c>
      <c r="K899" s="46">
        <f>IFERROR(IF(OR(INPUT!P894="",INPUT!Q894=""),"",INPUT!P894-INPUT!Q894),"")</f>
        <v>0.20000000000000284</v>
      </c>
      <c r="L899" s="48">
        <f>IFERROR(IF(OR(INPUT!P894="",INPUT!Q894="",INPUT!P894=0),"",(INPUT!P894-INPUT!Q894)/INPUT!P894),"")</f>
        <v>2.5062656641604369E-3</v>
      </c>
    </row>
    <row r="900" spans="1:12" ht="18" hidden="1" customHeight="1" x14ac:dyDescent="0.2">
      <c r="A900" s="11">
        <f>IF(INPUT!M895="","",INPUT!M895)</f>
        <v>45942</v>
      </c>
      <c r="B900" s="11">
        <f>IF(INPUT!M895="","",INPUT!M895-WEEKDAY(INPUT!M895,2)+1)</f>
        <v>45936</v>
      </c>
      <c r="C900" s="20">
        <f>IFERROR(_xlfn.ISOWEEKNUM(INPUT!M895),"")</f>
        <v>41</v>
      </c>
      <c r="D900" s="20">
        <f>IFERROR(YEAR(INPUT!M895),"")</f>
        <v>2025</v>
      </c>
      <c r="E900" t="str">
        <f>IF(INPUT!O895="","",INPUT!O895)</f>
        <v>CECILIO</v>
      </c>
      <c r="F900" t="str">
        <f>IF(INPUT!N895="","",INPUT!N895)</f>
        <v>M</v>
      </c>
      <c r="G900" t="str" cm="1">
        <f t="array" ref="G900">IFERROR(VLOOKUP(INPUT!M895&amp;INPUT!N895,CHOOSE({1,2},INPUT!$A$3:$A$5000&amp;INPUT!$C$3:$C$5000,INPUT!$F$3:$F$5000),2,FALSE),"")</f>
        <v>PRE-TEMPORADA</v>
      </c>
      <c r="H900" t="str" cm="1">
        <f t="array" ref="H900">IFERROR(VLOOKUP(INPUT!M895&amp;INPUT!N895,CHOOSE({1,2},INPUT!$A$3:$A$5000&amp;INPUT!$C$3:$C$5000,INPUT!$D$3:$D$5000),2,FALSE),"")</f>
        <v>PARTIDO</v>
      </c>
      <c r="I900" s="46">
        <f>IF(INPUT!P895="","",INPUT!P895)</f>
        <v>66.8</v>
      </c>
      <c r="J900" s="46">
        <f>IF(INPUT!Q895="","",INPUT!Q895)</f>
        <v>66.2</v>
      </c>
      <c r="K900" s="46">
        <f>IFERROR(IF(OR(INPUT!P895="",INPUT!Q895=""),"",INPUT!P895-INPUT!Q895),"")</f>
        <v>0.59999999999999432</v>
      </c>
      <c r="L900" s="48">
        <f>IFERROR(IF(OR(INPUT!P895="",INPUT!Q895="",INPUT!P895=0),"",(INPUT!P895-INPUT!Q895)/INPUT!P895),"")</f>
        <v>8.9820359281436273E-3</v>
      </c>
    </row>
    <row r="901" spans="1:12" ht="18" hidden="1" customHeight="1" x14ac:dyDescent="0.2">
      <c r="A901" s="11">
        <f>IF(INPUT!M896="","",INPUT!M896)</f>
        <v>45942</v>
      </c>
      <c r="B901" s="11">
        <f>IF(INPUT!M896="","",INPUT!M896-WEEKDAY(INPUT!M896,2)+1)</f>
        <v>45936</v>
      </c>
      <c r="C901" s="20">
        <f>IFERROR(_xlfn.ISOWEEKNUM(INPUT!M896),"")</f>
        <v>41</v>
      </c>
      <c r="D901" s="20">
        <f>IFERROR(YEAR(INPUT!M896),"")</f>
        <v>2025</v>
      </c>
      <c r="E901" t="str">
        <f>IF(INPUT!O896="","",INPUT!O896)</f>
        <v>CHAGUINHA</v>
      </c>
      <c r="F901" t="str">
        <f>IF(INPUT!N896="","",INPUT!N896)</f>
        <v>M</v>
      </c>
      <c r="G901" t="str" cm="1">
        <f t="array" ref="G901">IFERROR(VLOOKUP(INPUT!M896&amp;INPUT!N896,CHOOSE({1,2},INPUT!$A$3:$A$5000&amp;INPUT!$C$3:$C$5000,INPUT!$F$3:$F$5000),2,FALSE),"")</f>
        <v>PRE-TEMPORADA</v>
      </c>
      <c r="H901" t="str" cm="1">
        <f t="array" ref="H901">IFERROR(VLOOKUP(INPUT!M896&amp;INPUT!N896,CHOOSE({1,2},INPUT!$A$3:$A$5000&amp;INPUT!$C$3:$C$5000,INPUT!$D$3:$D$5000),2,FALSE),"")</f>
        <v>PARTIDO</v>
      </c>
      <c r="I901" s="46">
        <f>IF(INPUT!P896="","",INPUT!P896)</f>
        <v>68.3</v>
      </c>
      <c r="J901" s="46">
        <f>IF(INPUT!Q896="","",INPUT!Q896)</f>
        <v>68</v>
      </c>
      <c r="K901" s="46">
        <f>IFERROR(IF(OR(INPUT!P896="",INPUT!Q896=""),"",INPUT!P896-INPUT!Q896),"")</f>
        <v>0.29999999999999716</v>
      </c>
      <c r="L901" s="48">
        <f>IFERROR(IF(OR(INPUT!P896="",INPUT!Q896="",INPUT!P896=0),"",(INPUT!P896-INPUT!Q896)/INPUT!P896),"")</f>
        <v>4.3923865300145998E-3</v>
      </c>
    </row>
    <row r="902" spans="1:12" ht="18" hidden="1" customHeight="1" x14ac:dyDescent="0.2">
      <c r="A902" s="11">
        <f>IF(INPUT!M897="","",INPUT!M897)</f>
        <v>45942</v>
      </c>
      <c r="B902" s="11">
        <f>IF(INPUT!M897="","",INPUT!M897-WEEKDAY(INPUT!M897,2)+1)</f>
        <v>45936</v>
      </c>
      <c r="C902" s="20">
        <f>IFERROR(_xlfn.ISOWEEKNUM(INPUT!M897),"")</f>
        <v>41</v>
      </c>
      <c r="D902" s="20">
        <f>IFERROR(YEAR(INPUT!M897),"")</f>
        <v>2025</v>
      </c>
      <c r="E902" t="str">
        <f>IF(INPUT!O897="","",INPUT!O897)</f>
        <v>RAUL</v>
      </c>
      <c r="F902" t="str">
        <f>IF(INPUT!N897="","",INPUT!N897)</f>
        <v>M</v>
      </c>
      <c r="G902" t="str" cm="1">
        <f t="array" ref="G902">IFERROR(VLOOKUP(INPUT!M897&amp;INPUT!N897,CHOOSE({1,2},INPUT!$A$3:$A$5000&amp;INPUT!$C$3:$C$5000,INPUT!$F$3:$F$5000),2,FALSE),"")</f>
        <v>PRE-TEMPORADA</v>
      </c>
      <c r="H902" t="str" cm="1">
        <f t="array" ref="H902">IFERROR(VLOOKUP(INPUT!M897&amp;INPUT!N897,CHOOSE({1,2},INPUT!$A$3:$A$5000&amp;INPUT!$C$3:$C$5000,INPUT!$D$3:$D$5000),2,FALSE),"")</f>
        <v>PARTIDO</v>
      </c>
      <c r="I902" s="46">
        <f>IF(INPUT!P897="","",INPUT!P897)</f>
        <v>80.900000000000006</v>
      </c>
      <c r="J902" s="46">
        <f>IF(INPUT!Q897="","",INPUT!Q897)</f>
        <v>79.5</v>
      </c>
      <c r="K902" s="46">
        <f>IFERROR(IF(OR(INPUT!P897="",INPUT!Q897=""),"",INPUT!P897-INPUT!Q897),"")</f>
        <v>1.4000000000000057</v>
      </c>
      <c r="L902" s="48">
        <f>IFERROR(IF(OR(INPUT!P897="",INPUT!Q897="",INPUT!P897=0),"",(INPUT!P897-INPUT!Q897)/INPUT!P897),"")</f>
        <v>1.7305315203955569E-2</v>
      </c>
    </row>
    <row r="903" spans="1:12" ht="18" hidden="1" customHeight="1" x14ac:dyDescent="0.2">
      <c r="A903" s="11">
        <f>IF(INPUT!M898="","",INPUT!M898)</f>
        <v>45942</v>
      </c>
      <c r="B903" s="11">
        <f>IF(INPUT!M898="","",INPUT!M898-WEEKDAY(INPUT!M898,2)+1)</f>
        <v>45936</v>
      </c>
      <c r="C903" s="20">
        <f>IFERROR(_xlfn.ISOWEEKNUM(INPUT!M898),"")</f>
        <v>41</v>
      </c>
      <c r="D903" s="20">
        <f>IFERROR(YEAR(INPUT!M898),"")</f>
        <v>2025</v>
      </c>
      <c r="E903" t="str">
        <f>IF(INPUT!O898="","",INPUT!O898)</f>
        <v>HARRISON</v>
      </c>
      <c r="F903" t="str">
        <f>IF(INPUT!N898="","",INPUT!N898)</f>
        <v>M</v>
      </c>
      <c r="G903" t="str" cm="1">
        <f t="array" ref="G903">IFERROR(VLOOKUP(INPUT!M898&amp;INPUT!N898,CHOOSE({1,2},INPUT!$A$3:$A$5000&amp;INPUT!$C$3:$C$5000,INPUT!$F$3:$F$5000),2,FALSE),"")</f>
        <v>PRE-TEMPORADA</v>
      </c>
      <c r="H903" t="str" cm="1">
        <f t="array" ref="H903">IFERROR(VLOOKUP(INPUT!M898&amp;INPUT!N898,CHOOSE({1,2},INPUT!$A$3:$A$5000&amp;INPUT!$C$3:$C$5000,INPUT!$D$3:$D$5000),2,FALSE),"")</f>
        <v>PARTIDO</v>
      </c>
      <c r="I903" s="46">
        <f>IF(INPUT!P898="","",INPUT!P898)</f>
        <v>72</v>
      </c>
      <c r="J903" s="46">
        <f>IF(INPUT!Q898="","",INPUT!Q898)</f>
        <v>71.7</v>
      </c>
      <c r="K903" s="46">
        <f>IFERROR(IF(OR(INPUT!P898="",INPUT!Q898=""),"",INPUT!P898-INPUT!Q898),"")</f>
        <v>0.29999999999999716</v>
      </c>
      <c r="L903" s="48">
        <f>IFERROR(IF(OR(INPUT!P898="",INPUT!Q898="",INPUT!P898=0),"",(INPUT!P898-INPUT!Q898)/INPUT!P898),"")</f>
        <v>4.1666666666666276E-3</v>
      </c>
    </row>
    <row r="904" spans="1:12" ht="18" hidden="1" customHeight="1" x14ac:dyDescent="0.2">
      <c r="A904" s="11">
        <f>IF(INPUT!M899="","",INPUT!M899)</f>
        <v>45942</v>
      </c>
      <c r="B904" s="11">
        <f>IF(INPUT!M899="","",INPUT!M899-WEEKDAY(INPUT!M899,2)+1)</f>
        <v>45936</v>
      </c>
      <c r="C904" s="20">
        <f>IFERROR(_xlfn.ISOWEEKNUM(INPUT!M899),"")</f>
        <v>41</v>
      </c>
      <c r="D904" s="20">
        <f>IFERROR(YEAR(INPUT!M899),"")</f>
        <v>2025</v>
      </c>
      <c r="E904" t="str">
        <f>IF(INPUT!O899="","",INPUT!O899)</f>
        <v>RAYA</v>
      </c>
      <c r="F904" t="str">
        <f>IF(INPUT!N899="","",INPUT!N899)</f>
        <v>M</v>
      </c>
      <c r="G904" t="str" cm="1">
        <f t="array" ref="G904">IFERROR(VLOOKUP(INPUT!M899&amp;INPUT!N899,CHOOSE({1,2},INPUT!$A$3:$A$5000&amp;INPUT!$C$3:$C$5000,INPUT!$F$3:$F$5000),2,FALSE),"")</f>
        <v>PRE-TEMPORADA</v>
      </c>
      <c r="H904" t="str" cm="1">
        <f t="array" ref="H904">IFERROR(VLOOKUP(INPUT!M899&amp;INPUT!N899,CHOOSE({1,2},INPUT!$A$3:$A$5000&amp;INPUT!$C$3:$C$5000,INPUT!$D$3:$D$5000),2,FALSE),"")</f>
        <v>PARTIDO</v>
      </c>
      <c r="I904" s="46">
        <f>IF(INPUT!P899="","",INPUT!P899)</f>
        <v>82.9</v>
      </c>
      <c r="J904" s="46">
        <f>IF(INPUT!Q899="","",INPUT!Q899)</f>
        <v>80.900000000000006</v>
      </c>
      <c r="K904" s="46">
        <f>IFERROR(IF(OR(INPUT!P899="",INPUT!Q899=""),"",INPUT!P899-INPUT!Q899),"")</f>
        <v>2</v>
      </c>
      <c r="L904" s="48">
        <f>IFERROR(IF(OR(INPUT!P899="",INPUT!Q899="",INPUT!P899=0),"",(INPUT!P899-INPUT!Q899)/INPUT!P899),"")</f>
        <v>2.4125452352231604E-2</v>
      </c>
    </row>
    <row r="905" spans="1:12" ht="18" hidden="1" customHeight="1" x14ac:dyDescent="0.2">
      <c r="A905" s="11">
        <f>IF(INPUT!M900="","",INPUT!M900)</f>
        <v>45942</v>
      </c>
      <c r="B905" s="11">
        <f>IF(INPUT!M900="","",INPUT!M900-WEEKDAY(INPUT!M900,2)+1)</f>
        <v>45936</v>
      </c>
      <c r="C905" s="20">
        <f>IFERROR(_xlfn.ISOWEEKNUM(INPUT!M900),"")</f>
        <v>41</v>
      </c>
      <c r="D905" s="20">
        <f>IFERROR(YEAR(INPUT!M900),"")</f>
        <v>2025</v>
      </c>
      <c r="E905" t="str">
        <f>IF(INPUT!O900="","",INPUT!O900)</f>
        <v>JAVI</v>
      </c>
      <c r="F905" t="str">
        <f>IF(INPUT!N900="","",INPUT!N900)</f>
        <v>M</v>
      </c>
      <c r="G905" t="str" cm="1">
        <f t="array" ref="G905">IFERROR(VLOOKUP(INPUT!M900&amp;INPUT!N900,CHOOSE({1,2},INPUT!$A$3:$A$5000&amp;INPUT!$C$3:$C$5000,INPUT!$F$3:$F$5000),2,FALSE),"")</f>
        <v>PRE-TEMPORADA</v>
      </c>
      <c r="H905" t="str" cm="1">
        <f t="array" ref="H905">IFERROR(VLOOKUP(INPUT!M900&amp;INPUT!N900,CHOOSE({1,2},INPUT!$A$3:$A$5000&amp;INPUT!$C$3:$C$5000,INPUT!$D$3:$D$5000),2,FALSE),"")</f>
        <v>PARTIDO</v>
      </c>
      <c r="I905" s="46">
        <f>IF(INPUT!P900="","",INPUT!P900)</f>
        <v>78.2</v>
      </c>
      <c r="J905" s="46">
        <f>IF(INPUT!Q900="","",INPUT!Q900)</f>
        <v>78.5</v>
      </c>
      <c r="K905" s="46">
        <f>IFERROR(IF(OR(INPUT!P900="",INPUT!Q900=""),"",INPUT!P900-INPUT!Q900),"")</f>
        <v>-0.29999999999999716</v>
      </c>
      <c r="L905" s="48">
        <f>IFERROR(IF(OR(INPUT!P900="",INPUT!Q900="",INPUT!P900=0),"",(INPUT!P900-INPUT!Q900)/INPUT!P900),"")</f>
        <v>-3.8363171355498358E-3</v>
      </c>
    </row>
    <row r="906" spans="1:12" ht="18" hidden="1" customHeight="1" x14ac:dyDescent="0.2">
      <c r="A906" s="11">
        <f>IF(INPUT!M901="","",INPUT!M901)</f>
        <v>45942</v>
      </c>
      <c r="B906" s="11">
        <f>IF(INPUT!M901="","",INPUT!M901-WEEKDAY(INPUT!M901,2)+1)</f>
        <v>45936</v>
      </c>
      <c r="C906" s="20">
        <f>IFERROR(_xlfn.ISOWEEKNUM(INPUT!M901),"")</f>
        <v>41</v>
      </c>
      <c r="D906" s="20">
        <f>IFERROR(YEAR(INPUT!M901),"")</f>
        <v>2025</v>
      </c>
      <c r="E906" t="str">
        <f>IF(INPUT!O901="","",INPUT!O901)</f>
        <v>PANI</v>
      </c>
      <c r="F906" t="str">
        <f>IF(INPUT!N901="","",INPUT!N901)</f>
        <v>M</v>
      </c>
      <c r="G906" t="str" cm="1">
        <f t="array" ref="G906">IFERROR(VLOOKUP(INPUT!M901&amp;INPUT!N901,CHOOSE({1,2},INPUT!$A$3:$A$5000&amp;INPUT!$C$3:$C$5000,INPUT!$F$3:$F$5000),2,FALSE),"")</f>
        <v>PRE-TEMPORADA</v>
      </c>
      <c r="H906" t="str" cm="1">
        <f t="array" ref="H906">IFERROR(VLOOKUP(INPUT!M901&amp;INPUT!N901,CHOOSE({1,2},INPUT!$A$3:$A$5000&amp;INPUT!$C$3:$C$5000,INPUT!$D$3:$D$5000),2,FALSE),"")</f>
        <v>PARTIDO</v>
      </c>
      <c r="I906" s="46">
        <f>IF(INPUT!P901="","",INPUT!P901)</f>
        <v>69.400000000000006</v>
      </c>
      <c r="J906" s="46">
        <f>IF(INPUT!Q901="","",INPUT!Q901)</f>
        <v>69</v>
      </c>
      <c r="K906" s="46">
        <f>IFERROR(IF(OR(INPUT!P901="",INPUT!Q901=""),"",INPUT!P901-INPUT!Q901),"")</f>
        <v>0.40000000000000568</v>
      </c>
      <c r="L906" s="48">
        <f>IFERROR(IF(OR(INPUT!P901="",INPUT!Q901="",INPUT!P901=0),"",(INPUT!P901-INPUT!Q901)/INPUT!P901),"")</f>
        <v>5.7636887608069976E-3</v>
      </c>
    </row>
    <row r="907" spans="1:12" ht="18" hidden="1" customHeight="1" x14ac:dyDescent="0.2">
      <c r="A907" s="11">
        <f>IF(INPUT!M902="","",INPUT!M902)</f>
        <v>45942</v>
      </c>
      <c r="B907" s="11">
        <f>IF(INPUT!M902="","",INPUT!M902-WEEKDAY(INPUT!M902,2)+1)</f>
        <v>45936</v>
      </c>
      <c r="C907" s="20">
        <f>IFERROR(_xlfn.ISOWEEKNUM(INPUT!M902),"")</f>
        <v>41</v>
      </c>
      <c r="D907" s="20">
        <f>IFERROR(YEAR(INPUT!M902),"")</f>
        <v>2025</v>
      </c>
      <c r="E907" t="str">
        <f>IF(INPUT!O902="","",INPUT!O902)</f>
        <v>PIRATA</v>
      </c>
      <c r="F907" t="str">
        <f>IF(INPUT!N902="","",INPUT!N902)</f>
        <v>M</v>
      </c>
      <c r="G907" t="str" cm="1">
        <f t="array" ref="G907">IFERROR(VLOOKUP(INPUT!M902&amp;INPUT!N902,CHOOSE({1,2},INPUT!$A$3:$A$5000&amp;INPUT!$C$3:$C$5000,INPUT!$F$3:$F$5000),2,FALSE),"")</f>
        <v>PRE-TEMPORADA</v>
      </c>
      <c r="H907" t="str" cm="1">
        <f t="array" ref="H907">IFERROR(VLOOKUP(INPUT!M902&amp;INPUT!N902,CHOOSE({1,2},INPUT!$A$3:$A$5000&amp;INPUT!$C$3:$C$5000,INPUT!$D$3:$D$5000),2,FALSE),"")</f>
        <v>PARTIDO</v>
      </c>
      <c r="I907" s="46">
        <f>IF(INPUT!P902="","",INPUT!P902)</f>
        <v>75.2</v>
      </c>
      <c r="J907" s="46">
        <f>IF(INPUT!Q902="","",INPUT!Q902)</f>
        <v>75.3</v>
      </c>
      <c r="K907" s="46">
        <f>IFERROR(IF(OR(INPUT!P902="",INPUT!Q902=""),"",INPUT!P902-INPUT!Q902),"")</f>
        <v>-9.9999999999994316E-2</v>
      </c>
      <c r="L907" s="48">
        <f>IFERROR(IF(OR(INPUT!P902="",INPUT!Q902="",INPUT!P902=0),"",(INPUT!P902-INPUT!Q902)/INPUT!P902),"")</f>
        <v>-1.3297872340424775E-3</v>
      </c>
    </row>
    <row r="908" spans="1:12" ht="18" hidden="1" customHeight="1" x14ac:dyDescent="0.2">
      <c r="A908" s="11">
        <f>IF(INPUT!M903="","",INPUT!M903)</f>
        <v>45942</v>
      </c>
      <c r="B908" s="11">
        <f>IF(INPUT!M903="","",INPUT!M903-WEEKDAY(INPUT!M903,2)+1)</f>
        <v>45936</v>
      </c>
      <c r="C908" s="20">
        <f>IFERROR(_xlfn.ISOWEEKNUM(INPUT!M903),"")</f>
        <v>41</v>
      </c>
      <c r="D908" s="20">
        <f>IFERROR(YEAR(INPUT!M903),"")</f>
        <v>2025</v>
      </c>
      <c r="E908" t="str">
        <f>IF(INPUT!O903="","",INPUT!O903)</f>
        <v>BARONA</v>
      </c>
      <c r="F908" t="str">
        <f>IF(INPUT!N903="","",INPUT!N903)</f>
        <v>M</v>
      </c>
      <c r="G908" t="str" cm="1">
        <f t="array" ref="G908">IFERROR(VLOOKUP(INPUT!M903&amp;INPUT!N903,CHOOSE({1,2},INPUT!$A$3:$A$5000&amp;INPUT!$C$3:$C$5000,INPUT!$F$3:$F$5000),2,FALSE),"")</f>
        <v>PRE-TEMPORADA</v>
      </c>
      <c r="H908" t="str" cm="1">
        <f t="array" ref="H908">IFERROR(VLOOKUP(INPUT!M903&amp;INPUT!N903,CHOOSE({1,2},INPUT!$A$3:$A$5000&amp;INPUT!$C$3:$C$5000,INPUT!$D$3:$D$5000),2,FALSE),"")</f>
        <v>PARTIDO</v>
      </c>
      <c r="I908" s="46">
        <f>IF(INPUT!P903="","",INPUT!P903)</f>
        <v>72</v>
      </c>
      <c r="J908" s="46">
        <f>IF(INPUT!Q903="","",INPUT!Q903)</f>
        <v>72</v>
      </c>
      <c r="K908" s="46">
        <f>IFERROR(IF(OR(INPUT!P903="",INPUT!Q903=""),"",INPUT!P903-INPUT!Q903),"")</f>
        <v>0</v>
      </c>
      <c r="L908" s="48">
        <f>IFERROR(IF(OR(INPUT!P903="",INPUT!Q903="",INPUT!P903=0),"",(INPUT!P903-INPUT!Q903)/INPUT!P903),"")</f>
        <v>0</v>
      </c>
    </row>
    <row r="909" spans="1:12" ht="18" hidden="1" customHeight="1" x14ac:dyDescent="0.2">
      <c r="A909" s="11">
        <f>IF(INPUT!M904="","",INPUT!M904)</f>
        <v>45942</v>
      </c>
      <c r="B909" s="11">
        <f>IF(INPUT!M904="","",INPUT!M904-WEEKDAY(INPUT!M904,2)+1)</f>
        <v>45936</v>
      </c>
      <c r="C909" s="20">
        <f>IFERROR(_xlfn.ISOWEEKNUM(INPUT!M904),"")</f>
        <v>41</v>
      </c>
      <c r="D909" s="20">
        <f>IFERROR(YEAR(INPUT!M904),"")</f>
        <v>2025</v>
      </c>
      <c r="E909" t="str">
        <f>IF(INPUT!O904="","",INPUT!O904)</f>
        <v>CARLOS</v>
      </c>
      <c r="F909" t="str">
        <f>IF(INPUT!N904="","",INPUT!N904)</f>
        <v>M</v>
      </c>
      <c r="G909" t="str" cm="1">
        <f t="array" ref="G909">IFERROR(VLOOKUP(INPUT!M904&amp;INPUT!N904,CHOOSE({1,2},INPUT!$A$3:$A$5000&amp;INPUT!$C$3:$C$5000,INPUT!$F$3:$F$5000),2,FALSE),"")</f>
        <v>PRE-TEMPORADA</v>
      </c>
      <c r="H909" t="str" cm="1">
        <f t="array" ref="H909">IFERROR(VLOOKUP(INPUT!M904&amp;INPUT!N904,CHOOSE({1,2},INPUT!$A$3:$A$5000&amp;INPUT!$C$3:$C$5000,INPUT!$D$3:$D$5000),2,FALSE),"")</f>
        <v>PARTIDO</v>
      </c>
      <c r="I909" s="46">
        <f>IF(INPUT!P904="","",INPUT!P904)</f>
        <v>66.7</v>
      </c>
      <c r="J909" s="46">
        <f>IF(INPUT!Q904="","",INPUT!Q904)</f>
        <v>66.7</v>
      </c>
      <c r="K909" s="46">
        <f>IFERROR(IF(OR(INPUT!P904="",INPUT!Q904=""),"",INPUT!P904-INPUT!Q904),"")</f>
        <v>0</v>
      </c>
      <c r="L909" s="48">
        <f>IFERROR(IF(OR(INPUT!P904="",INPUT!Q904="",INPUT!P904=0),"",(INPUT!P904-INPUT!Q904)/INPUT!P904),"")</f>
        <v>0</v>
      </c>
    </row>
    <row r="910" spans="1:12" ht="18" hidden="1" customHeight="1" x14ac:dyDescent="0.2">
      <c r="A910" s="11">
        <f>IF(INPUT!M905="","",INPUT!M905)</f>
        <v>45942</v>
      </c>
      <c r="B910" s="11">
        <f>IF(INPUT!M905="","",INPUT!M905-WEEKDAY(INPUT!M905,2)+1)</f>
        <v>45936</v>
      </c>
      <c r="C910" s="20">
        <f>IFERROR(_xlfn.ISOWEEKNUM(INPUT!M905),"")</f>
        <v>41</v>
      </c>
      <c r="D910" s="20">
        <f>IFERROR(YEAR(INPUT!M905),"")</f>
        <v>2025</v>
      </c>
      <c r="E910" t="str">
        <f>IF(INPUT!O905="","",INPUT!O905)</f>
        <v>RUBIO</v>
      </c>
      <c r="F910" t="str">
        <f>IF(INPUT!N905="","",INPUT!N905)</f>
        <v>M</v>
      </c>
      <c r="G910" t="str" cm="1">
        <f t="array" ref="G910">IFERROR(VLOOKUP(INPUT!M905&amp;INPUT!N905,CHOOSE({1,2},INPUT!$A$3:$A$5000&amp;INPUT!$C$3:$C$5000,INPUT!$F$3:$F$5000),2,FALSE),"")</f>
        <v>PRE-TEMPORADA</v>
      </c>
      <c r="H910" t="str" cm="1">
        <f t="array" ref="H910">IFERROR(VLOOKUP(INPUT!M905&amp;INPUT!N905,CHOOSE({1,2},INPUT!$A$3:$A$5000&amp;INPUT!$C$3:$C$5000,INPUT!$D$3:$D$5000),2,FALSE),"")</f>
        <v>PARTIDO</v>
      </c>
      <c r="I910" s="46">
        <f>IF(INPUT!P905="","",INPUT!P905)</f>
        <v>74.599999999999994</v>
      </c>
      <c r="J910" s="46">
        <f>IF(INPUT!Q905="","",INPUT!Q905)</f>
        <v>74.7</v>
      </c>
      <c r="K910" s="46">
        <f>IFERROR(IF(OR(INPUT!P905="",INPUT!Q905=""),"",INPUT!P905-INPUT!Q905),"")</f>
        <v>-0.10000000000000853</v>
      </c>
      <c r="L910" s="48">
        <f>IFERROR(IF(OR(INPUT!P905="",INPUT!Q905="",INPUT!P905=0),"",(INPUT!P905-INPUT!Q905)/INPUT!P905),"")</f>
        <v>-1.3404825737266559E-3</v>
      </c>
    </row>
    <row r="911" spans="1:12" ht="18" hidden="1" customHeight="1" x14ac:dyDescent="0.2">
      <c r="A911" s="11">
        <f>IF(INPUT!M906="","",INPUT!M906)</f>
        <v>45942</v>
      </c>
      <c r="B911" s="11">
        <f>IF(INPUT!M906="","",INPUT!M906-WEEKDAY(INPUT!M906,2)+1)</f>
        <v>45936</v>
      </c>
      <c r="C911" s="20">
        <f>IFERROR(_xlfn.ISOWEEKNUM(INPUT!M906),"")</f>
        <v>41</v>
      </c>
      <c r="D911" s="20">
        <f>IFERROR(YEAR(INPUT!M906),"")</f>
        <v>2025</v>
      </c>
      <c r="E911" t="str">
        <f>IF(INPUT!O906="","",INPUT!O906)</f>
        <v>DANI</v>
      </c>
      <c r="F911" t="str">
        <f>IF(INPUT!N906="","",INPUT!N906)</f>
        <v>M</v>
      </c>
      <c r="G911" t="str" cm="1">
        <f t="array" ref="G911">IFERROR(VLOOKUP(INPUT!M906&amp;INPUT!N906,CHOOSE({1,2},INPUT!$A$3:$A$5000&amp;INPUT!$C$3:$C$5000,INPUT!$F$3:$F$5000),2,FALSE),"")</f>
        <v>PRE-TEMPORADA</v>
      </c>
      <c r="H911" t="str" cm="1">
        <f t="array" ref="H911">IFERROR(VLOOKUP(INPUT!M906&amp;INPUT!N906,CHOOSE({1,2},INPUT!$A$3:$A$5000&amp;INPUT!$C$3:$C$5000,INPUT!$D$3:$D$5000),2,FALSE),"")</f>
        <v>PARTIDO</v>
      </c>
      <c r="I911" s="46">
        <f>IF(INPUT!P906="","",INPUT!P906)</f>
        <v>93</v>
      </c>
      <c r="J911" s="46">
        <f>IF(INPUT!Q906="","",INPUT!Q906)</f>
        <v>92</v>
      </c>
      <c r="K911" s="46">
        <f>IFERROR(IF(OR(INPUT!P906="",INPUT!Q906=""),"",INPUT!P906-INPUT!Q906),"")</f>
        <v>1</v>
      </c>
      <c r="L911" s="48">
        <f>IFERROR(IF(OR(INPUT!P906="",INPUT!Q906="",INPUT!P906=0),"",(INPUT!P906-INPUT!Q906)/INPUT!P906),"")</f>
        <v>1.0752688172043012E-2</v>
      </c>
    </row>
    <row r="912" spans="1:12" ht="18" hidden="1" customHeight="1" x14ac:dyDescent="0.2">
      <c r="A912" s="11">
        <f>IF(INPUT!M907="","",INPUT!M907)</f>
        <v>45944</v>
      </c>
      <c r="B912" s="11">
        <f>IF(INPUT!M907="","",INPUT!M907-WEEKDAY(INPUT!M907,2)+1)</f>
        <v>45943</v>
      </c>
      <c r="C912" s="20">
        <f>IFERROR(_xlfn.ISOWEEKNUM(INPUT!M907),"")</f>
        <v>42</v>
      </c>
      <c r="D912" s="20">
        <f>IFERROR(YEAR(INPUT!M907),"")</f>
        <v>2025</v>
      </c>
      <c r="E912" t="str">
        <f>IF(INPUT!O907="","",INPUT!O907)</f>
        <v>HERRERO</v>
      </c>
      <c r="F912" t="str">
        <f>IF(INPUT!N907="","",INPUT!N907)</f>
        <v>M</v>
      </c>
      <c r="G912" t="str" cm="1">
        <f t="array" ref="G912">IFERROR(VLOOKUP(INPUT!M907&amp;INPUT!N907,CHOOSE({1,2},INPUT!$A$3:$A$5000&amp;INPUT!$C$3:$C$5000,INPUT!$F$3:$F$5000),2,FALSE),"")</f>
        <v>PRE-TEMPORADA</v>
      </c>
      <c r="H912" t="str" cm="1">
        <f t="array" ref="H912">IFERROR(VLOOKUP(INPUT!M907&amp;INPUT!N907,CHOOSE({1,2},INPUT!$A$3:$A$5000&amp;INPUT!$C$3:$C$5000,INPUT!$D$3:$D$5000),2,FALSE),"")</f>
        <v>GYM+TEC-TAC</v>
      </c>
      <c r="I912" s="46">
        <f>IF(INPUT!P907="","",INPUT!P907)</f>
        <v>77</v>
      </c>
      <c r="J912" s="46">
        <f>IF(INPUT!Q907="","",INPUT!Q907)</f>
        <v>76.7</v>
      </c>
      <c r="K912" s="46">
        <f>IFERROR(IF(OR(INPUT!P907="",INPUT!Q907=""),"",INPUT!P907-INPUT!Q907),"")</f>
        <v>0.29999999999999716</v>
      </c>
      <c r="L912" s="48">
        <f>IFERROR(IF(OR(INPUT!P907="",INPUT!Q907="",INPUT!P907=0),"",(INPUT!P907-INPUT!Q907)/INPUT!P907),"")</f>
        <v>3.8961038961038592E-3</v>
      </c>
    </row>
    <row r="913" spans="1:12" ht="18" hidden="1" customHeight="1" x14ac:dyDescent="0.2">
      <c r="A913" s="11">
        <f>IF(INPUT!M908="","",INPUT!M908)</f>
        <v>45944</v>
      </c>
      <c r="B913" s="11">
        <f>IF(INPUT!M908="","",INPUT!M908-WEEKDAY(INPUT!M908,2)+1)</f>
        <v>45943</v>
      </c>
      <c r="C913" s="20">
        <f>IFERROR(_xlfn.ISOWEEKNUM(INPUT!M908),"")</f>
        <v>42</v>
      </c>
      <c r="D913" s="20">
        <f>IFERROR(YEAR(INPUT!M908),"")</f>
        <v>2025</v>
      </c>
      <c r="E913" t="str">
        <f>IF(INPUT!O908="","",INPUT!O908)</f>
        <v>GARCIA</v>
      </c>
      <c r="F913" t="str">
        <f>IF(INPUT!N908="","",INPUT!N908)</f>
        <v>M</v>
      </c>
      <c r="G913" t="str" cm="1">
        <f t="array" ref="G913">IFERROR(VLOOKUP(INPUT!M908&amp;INPUT!N908,CHOOSE({1,2},INPUT!$A$3:$A$5000&amp;INPUT!$C$3:$C$5000,INPUT!$F$3:$F$5000),2,FALSE),"")</f>
        <v>PRE-TEMPORADA</v>
      </c>
      <c r="H913" t="str" cm="1">
        <f t="array" ref="H913">IFERROR(VLOOKUP(INPUT!M908&amp;INPUT!N908,CHOOSE({1,2},INPUT!$A$3:$A$5000&amp;INPUT!$C$3:$C$5000,INPUT!$D$3:$D$5000),2,FALSE),"")</f>
        <v>GYM+TEC-TAC</v>
      </c>
      <c r="I913" s="46">
        <f>IF(INPUT!P908="","",INPUT!P908)</f>
        <v>79.900000000000006</v>
      </c>
      <c r="J913" s="46">
        <f>IF(INPUT!Q908="","",INPUT!Q908)</f>
        <v>79.7</v>
      </c>
      <c r="K913" s="46">
        <f>IFERROR(IF(OR(INPUT!P908="",INPUT!Q908=""),"",INPUT!P908-INPUT!Q908),"")</f>
        <v>0.20000000000000284</v>
      </c>
      <c r="L913" s="48">
        <f>IFERROR(IF(OR(INPUT!P908="",INPUT!Q908="",INPUT!P908=0),"",(INPUT!P908-INPUT!Q908)/INPUT!P908),"")</f>
        <v>2.5031289111389588E-3</v>
      </c>
    </row>
    <row r="914" spans="1:12" ht="18" hidden="1" customHeight="1" x14ac:dyDescent="0.2">
      <c r="A914" s="11">
        <f>IF(INPUT!M909="","",INPUT!M909)</f>
        <v>45944</v>
      </c>
      <c r="B914" s="11">
        <f>IF(INPUT!M909="","",INPUT!M909-WEEKDAY(INPUT!M909,2)+1)</f>
        <v>45943</v>
      </c>
      <c r="C914" s="20">
        <f>IFERROR(_xlfn.ISOWEEKNUM(INPUT!M909),"")</f>
        <v>42</v>
      </c>
      <c r="D914" s="20">
        <f>IFERROR(YEAR(INPUT!M909),"")</f>
        <v>2025</v>
      </c>
      <c r="E914" t="str">
        <f>IF(INPUT!O909="","",INPUT!O909)</f>
        <v>CECILIO</v>
      </c>
      <c r="F914" t="str">
        <f>IF(INPUT!N909="","",INPUT!N909)</f>
        <v>M</v>
      </c>
      <c r="G914" t="str" cm="1">
        <f t="array" ref="G914">IFERROR(VLOOKUP(INPUT!M909&amp;INPUT!N909,CHOOSE({1,2},INPUT!$A$3:$A$5000&amp;INPUT!$C$3:$C$5000,INPUT!$F$3:$F$5000),2,FALSE),"")</f>
        <v>PRE-TEMPORADA</v>
      </c>
      <c r="H914" t="str" cm="1">
        <f t="array" ref="H914">IFERROR(VLOOKUP(INPUT!M909&amp;INPUT!N909,CHOOSE({1,2},INPUT!$A$3:$A$5000&amp;INPUT!$C$3:$C$5000,INPUT!$D$3:$D$5000),2,FALSE),"")</f>
        <v>GYM+TEC-TAC</v>
      </c>
      <c r="I914" s="46">
        <f>IF(INPUT!P909="","",INPUT!P909)</f>
        <v>67.5</v>
      </c>
      <c r="J914" s="46">
        <f>IF(INPUT!Q909="","",INPUT!Q909)</f>
        <v>67.5</v>
      </c>
      <c r="K914" s="46">
        <f>IFERROR(IF(OR(INPUT!P909="",INPUT!Q909=""),"",INPUT!P909-INPUT!Q909),"")</f>
        <v>0</v>
      </c>
      <c r="L914" s="48">
        <f>IFERROR(IF(OR(INPUT!P909="",INPUT!Q909="",INPUT!P909=0),"",(INPUT!P909-INPUT!Q909)/INPUT!P909),"")</f>
        <v>0</v>
      </c>
    </row>
    <row r="915" spans="1:12" ht="18" hidden="1" customHeight="1" x14ac:dyDescent="0.2">
      <c r="A915" s="11">
        <f>IF(INPUT!M910="","",INPUT!M910)</f>
        <v>45944</v>
      </c>
      <c r="B915" s="11">
        <f>IF(INPUT!M910="","",INPUT!M910-WEEKDAY(INPUT!M910,2)+1)</f>
        <v>45943</v>
      </c>
      <c r="C915" s="20">
        <f>IFERROR(_xlfn.ISOWEEKNUM(INPUT!M910),"")</f>
        <v>42</v>
      </c>
      <c r="D915" s="20">
        <f>IFERROR(YEAR(INPUT!M910),"")</f>
        <v>2025</v>
      </c>
      <c r="E915" t="str">
        <f>IF(INPUT!O910="","",INPUT!O910)</f>
        <v>CHAGUINHA</v>
      </c>
      <c r="F915" t="str">
        <f>IF(INPUT!N910="","",INPUT!N910)</f>
        <v>M</v>
      </c>
      <c r="G915" t="str" cm="1">
        <f t="array" ref="G915">IFERROR(VLOOKUP(INPUT!M910&amp;INPUT!N910,CHOOSE({1,2},INPUT!$A$3:$A$5000&amp;INPUT!$C$3:$C$5000,INPUT!$F$3:$F$5000),2,FALSE),"")</f>
        <v>PRE-TEMPORADA</v>
      </c>
      <c r="H915" t="str" cm="1">
        <f t="array" ref="H915">IFERROR(VLOOKUP(INPUT!M910&amp;INPUT!N910,CHOOSE({1,2},INPUT!$A$3:$A$5000&amp;INPUT!$C$3:$C$5000,INPUT!$D$3:$D$5000),2,FALSE),"")</f>
        <v>GYM+TEC-TAC</v>
      </c>
      <c r="I915" s="46">
        <f>IF(INPUT!P910="","",INPUT!P910)</f>
        <v>69</v>
      </c>
      <c r="J915" s="46">
        <f>IF(INPUT!Q910="","",INPUT!Q910)</f>
        <v>69</v>
      </c>
      <c r="K915" s="46">
        <f>IFERROR(IF(OR(INPUT!P910="",INPUT!Q910=""),"",INPUT!P910-INPUT!Q910),"")</f>
        <v>0</v>
      </c>
      <c r="L915" s="48">
        <f>IFERROR(IF(OR(INPUT!P910="",INPUT!Q910="",INPUT!P910=0),"",(INPUT!P910-INPUT!Q910)/INPUT!P910),"")</f>
        <v>0</v>
      </c>
    </row>
    <row r="916" spans="1:12" ht="18" hidden="1" customHeight="1" x14ac:dyDescent="0.2">
      <c r="A916" s="11">
        <f>IF(INPUT!M911="","",INPUT!M911)</f>
        <v>45944</v>
      </c>
      <c r="B916" s="11">
        <f>IF(INPUT!M911="","",INPUT!M911-WEEKDAY(INPUT!M911,2)+1)</f>
        <v>45943</v>
      </c>
      <c r="C916" s="20">
        <f>IFERROR(_xlfn.ISOWEEKNUM(INPUT!M911),"")</f>
        <v>42</v>
      </c>
      <c r="D916" s="20">
        <f>IFERROR(YEAR(INPUT!M911),"")</f>
        <v>2025</v>
      </c>
      <c r="E916" t="str">
        <f>IF(INPUT!O911="","",INPUT!O911)</f>
        <v>HARRISON</v>
      </c>
      <c r="F916" t="str">
        <f>IF(INPUT!N911="","",INPUT!N911)</f>
        <v>M</v>
      </c>
      <c r="G916" t="str" cm="1">
        <f t="array" ref="G916">IFERROR(VLOOKUP(INPUT!M911&amp;INPUT!N911,CHOOSE({1,2},INPUT!$A$3:$A$5000&amp;INPUT!$C$3:$C$5000,INPUT!$F$3:$F$5000),2,FALSE),"")</f>
        <v>PRE-TEMPORADA</v>
      </c>
      <c r="H916" t="str" cm="1">
        <f t="array" ref="H916">IFERROR(VLOOKUP(INPUT!M911&amp;INPUT!N911,CHOOSE({1,2},INPUT!$A$3:$A$5000&amp;INPUT!$C$3:$C$5000,INPUT!$D$3:$D$5000),2,FALSE),"")</f>
        <v>GYM+TEC-TAC</v>
      </c>
      <c r="I916" s="46">
        <f>IF(INPUT!P911="","",INPUT!P911)</f>
        <v>71</v>
      </c>
      <c r="J916" s="46">
        <f>IF(INPUT!Q911="","",INPUT!Q911)</f>
        <v>70.8</v>
      </c>
      <c r="K916" s="46">
        <f>IFERROR(IF(OR(INPUT!P911="",INPUT!Q911=""),"",INPUT!P911-INPUT!Q911),"")</f>
        <v>0.20000000000000284</v>
      </c>
      <c r="L916" s="48">
        <f>IFERROR(IF(OR(INPUT!P911="",INPUT!Q911="",INPUT!P911=0),"",(INPUT!P911-INPUT!Q911)/INPUT!P911),"")</f>
        <v>2.8169014084507443E-3</v>
      </c>
    </row>
    <row r="917" spans="1:12" ht="18" hidden="1" customHeight="1" x14ac:dyDescent="0.2">
      <c r="A917" s="11">
        <f>IF(INPUT!M912="","",INPUT!M912)</f>
        <v>45944</v>
      </c>
      <c r="B917" s="11">
        <f>IF(INPUT!M912="","",INPUT!M912-WEEKDAY(INPUT!M912,2)+1)</f>
        <v>45943</v>
      </c>
      <c r="C917" s="20">
        <f>IFERROR(_xlfn.ISOWEEKNUM(INPUT!M912),"")</f>
        <v>42</v>
      </c>
      <c r="D917" s="20">
        <f>IFERROR(YEAR(INPUT!M912),"")</f>
        <v>2025</v>
      </c>
      <c r="E917" t="str">
        <f>IF(INPUT!O912="","",INPUT!O912)</f>
        <v>RAYA</v>
      </c>
      <c r="F917" t="str">
        <f>IF(INPUT!N912="","",INPUT!N912)</f>
        <v>M</v>
      </c>
      <c r="G917" t="str" cm="1">
        <f t="array" ref="G917">IFERROR(VLOOKUP(INPUT!M912&amp;INPUT!N912,CHOOSE({1,2},INPUT!$A$3:$A$5000&amp;INPUT!$C$3:$C$5000,INPUT!$F$3:$F$5000),2,FALSE),"")</f>
        <v>PRE-TEMPORADA</v>
      </c>
      <c r="H917" t="str" cm="1">
        <f t="array" ref="H917">IFERROR(VLOOKUP(INPUT!M912&amp;INPUT!N912,CHOOSE({1,2},INPUT!$A$3:$A$5000&amp;INPUT!$C$3:$C$5000,INPUT!$D$3:$D$5000),2,FALSE),"")</f>
        <v>GYM+TEC-TAC</v>
      </c>
      <c r="I917" s="46">
        <f>IF(INPUT!P912="","",INPUT!P912)</f>
        <v>82.9</v>
      </c>
      <c r="J917" s="46">
        <f>IF(INPUT!Q912="","",INPUT!Q912)</f>
        <v>82.8</v>
      </c>
      <c r="K917" s="46">
        <f>IFERROR(IF(OR(INPUT!P912="",INPUT!Q912=""),"",INPUT!P912-INPUT!Q912),"")</f>
        <v>0.10000000000000853</v>
      </c>
      <c r="L917" s="48">
        <f>IFERROR(IF(OR(INPUT!P912="",INPUT!Q912="",INPUT!P912=0),"",(INPUT!P912-INPUT!Q912)/INPUT!P912),"")</f>
        <v>1.2062726176116829E-3</v>
      </c>
    </row>
    <row r="918" spans="1:12" ht="18" hidden="1" customHeight="1" x14ac:dyDescent="0.2">
      <c r="A918" s="11">
        <f>IF(INPUT!M913="","",INPUT!M913)</f>
        <v>45944</v>
      </c>
      <c r="B918" s="11">
        <f>IF(INPUT!M913="","",INPUT!M913-WEEKDAY(INPUT!M913,2)+1)</f>
        <v>45943</v>
      </c>
      <c r="C918" s="20">
        <f>IFERROR(_xlfn.ISOWEEKNUM(INPUT!M913),"")</f>
        <v>42</v>
      </c>
      <c r="D918" s="20">
        <f>IFERROR(YEAR(INPUT!M913),"")</f>
        <v>2025</v>
      </c>
      <c r="E918" t="str">
        <f>IF(INPUT!O913="","",INPUT!O913)</f>
        <v>JAVI</v>
      </c>
      <c r="F918" t="str">
        <f>IF(INPUT!N913="","",INPUT!N913)</f>
        <v>M</v>
      </c>
      <c r="G918" t="str" cm="1">
        <f t="array" ref="G918">IFERROR(VLOOKUP(INPUT!M913&amp;INPUT!N913,CHOOSE({1,2},INPUT!$A$3:$A$5000&amp;INPUT!$C$3:$C$5000,INPUT!$F$3:$F$5000),2,FALSE),"")</f>
        <v>PRE-TEMPORADA</v>
      </c>
      <c r="H918" t="str" cm="1">
        <f t="array" ref="H918">IFERROR(VLOOKUP(INPUT!M913&amp;INPUT!N913,CHOOSE({1,2},INPUT!$A$3:$A$5000&amp;INPUT!$C$3:$C$5000,INPUT!$D$3:$D$5000),2,FALSE),"")</f>
        <v>GYM+TEC-TAC</v>
      </c>
      <c r="I918" s="46">
        <f>IF(INPUT!P913="","",INPUT!P913)</f>
        <v>78.400000000000006</v>
      </c>
      <c r="J918" s="46">
        <f>IF(INPUT!Q913="","",INPUT!Q913)</f>
        <v>78.5</v>
      </c>
      <c r="K918" s="46">
        <f>IFERROR(IF(OR(INPUT!P913="",INPUT!Q913=""),"",INPUT!P913-INPUT!Q913),"")</f>
        <v>-9.9999999999994316E-2</v>
      </c>
      <c r="L918" s="48">
        <f>IFERROR(IF(OR(INPUT!P913="",INPUT!Q913="",INPUT!P913=0),"",(INPUT!P913-INPUT!Q913)/INPUT!P913),"")</f>
        <v>-1.2755102040815601E-3</v>
      </c>
    </row>
    <row r="919" spans="1:12" ht="18" hidden="1" customHeight="1" x14ac:dyDescent="0.2">
      <c r="A919" s="11">
        <f>IF(INPUT!M914="","",INPUT!M914)</f>
        <v>45944</v>
      </c>
      <c r="B919" s="11">
        <f>IF(INPUT!M914="","",INPUT!M914-WEEKDAY(INPUT!M914,2)+1)</f>
        <v>45943</v>
      </c>
      <c r="C919" s="20">
        <f>IFERROR(_xlfn.ISOWEEKNUM(INPUT!M914),"")</f>
        <v>42</v>
      </c>
      <c r="D919" s="20">
        <f>IFERROR(YEAR(INPUT!M914),"")</f>
        <v>2025</v>
      </c>
      <c r="E919" t="str">
        <f>IF(INPUT!O914="","",INPUT!O914)</f>
        <v>PANI</v>
      </c>
      <c r="F919" t="str">
        <f>IF(INPUT!N914="","",INPUT!N914)</f>
        <v>M</v>
      </c>
      <c r="G919" t="str" cm="1">
        <f t="array" ref="G919">IFERROR(VLOOKUP(INPUT!M914&amp;INPUT!N914,CHOOSE({1,2},INPUT!$A$3:$A$5000&amp;INPUT!$C$3:$C$5000,INPUT!$F$3:$F$5000),2,FALSE),"")</f>
        <v>PRE-TEMPORADA</v>
      </c>
      <c r="H919" t="str" cm="1">
        <f t="array" ref="H919">IFERROR(VLOOKUP(INPUT!M914&amp;INPUT!N914,CHOOSE({1,2},INPUT!$A$3:$A$5000&amp;INPUT!$C$3:$C$5000,INPUT!$D$3:$D$5000),2,FALSE),"")</f>
        <v>GYM+TEC-TAC</v>
      </c>
      <c r="I919" s="46">
        <f>IF(INPUT!P914="","",INPUT!P914)</f>
        <v>69.599999999999994</v>
      </c>
      <c r="J919" s="46">
        <f>IF(INPUT!Q914="","",INPUT!Q914)</f>
        <v>69.400000000000006</v>
      </c>
      <c r="K919" s="46">
        <f>IFERROR(IF(OR(INPUT!P914="",INPUT!Q914=""),"",INPUT!P914-INPUT!Q914),"")</f>
        <v>0.19999999999998863</v>
      </c>
      <c r="L919" s="48">
        <f>IFERROR(IF(OR(INPUT!P914="",INPUT!Q914="",INPUT!P914=0),"",(INPUT!P914-INPUT!Q914)/INPUT!P914),"")</f>
        <v>2.8735632183906415E-3</v>
      </c>
    </row>
    <row r="920" spans="1:12" ht="18" hidden="1" customHeight="1" x14ac:dyDescent="0.2">
      <c r="A920" s="11">
        <f>IF(INPUT!M915="","",INPUT!M915)</f>
        <v>45944</v>
      </c>
      <c r="B920" s="11">
        <f>IF(INPUT!M915="","",INPUT!M915-WEEKDAY(INPUT!M915,2)+1)</f>
        <v>45943</v>
      </c>
      <c r="C920" s="20">
        <f>IFERROR(_xlfn.ISOWEEKNUM(INPUT!M915),"")</f>
        <v>42</v>
      </c>
      <c r="D920" s="20">
        <f>IFERROR(YEAR(INPUT!M915),"")</f>
        <v>2025</v>
      </c>
      <c r="E920" t="str">
        <f>IF(INPUT!O915="","",INPUT!O915)</f>
        <v>PIRATA</v>
      </c>
      <c r="F920" t="str">
        <f>IF(INPUT!N915="","",INPUT!N915)</f>
        <v>M</v>
      </c>
      <c r="G920" t="str" cm="1">
        <f t="array" ref="G920">IFERROR(VLOOKUP(INPUT!M915&amp;INPUT!N915,CHOOSE({1,2},INPUT!$A$3:$A$5000&amp;INPUT!$C$3:$C$5000,INPUT!$F$3:$F$5000),2,FALSE),"")</f>
        <v>PRE-TEMPORADA</v>
      </c>
      <c r="H920" t="str" cm="1">
        <f t="array" ref="H920">IFERROR(VLOOKUP(INPUT!M915&amp;INPUT!N915,CHOOSE({1,2},INPUT!$A$3:$A$5000&amp;INPUT!$C$3:$C$5000,INPUT!$D$3:$D$5000),2,FALSE),"")</f>
        <v>GYM+TEC-TAC</v>
      </c>
      <c r="I920" s="46">
        <f>IF(INPUT!P915="","",INPUT!P915)</f>
        <v>75.099999999999994</v>
      </c>
      <c r="J920" s="46">
        <f>IF(INPUT!Q915="","",INPUT!Q915)</f>
        <v>75.2</v>
      </c>
      <c r="K920" s="46">
        <f>IFERROR(IF(OR(INPUT!P915="",INPUT!Q915=""),"",INPUT!P915-INPUT!Q915),"")</f>
        <v>-0.10000000000000853</v>
      </c>
      <c r="L920" s="48">
        <f>IFERROR(IF(OR(INPUT!P915="",INPUT!Q915="",INPUT!P915=0),"",(INPUT!P915-INPUT!Q915)/INPUT!P915),"")</f>
        <v>-1.3315579227697542E-3</v>
      </c>
    </row>
    <row r="921" spans="1:12" ht="18" hidden="1" customHeight="1" x14ac:dyDescent="0.2">
      <c r="A921" s="11">
        <f>IF(INPUT!M916="","",INPUT!M916)</f>
        <v>45944</v>
      </c>
      <c r="B921" s="11">
        <f>IF(INPUT!M916="","",INPUT!M916-WEEKDAY(INPUT!M916,2)+1)</f>
        <v>45943</v>
      </c>
      <c r="C921" s="20">
        <f>IFERROR(_xlfn.ISOWEEKNUM(INPUT!M916),"")</f>
        <v>42</v>
      </c>
      <c r="D921" s="20">
        <f>IFERROR(YEAR(INPUT!M916),"")</f>
        <v>2025</v>
      </c>
      <c r="E921" t="str">
        <f>IF(INPUT!O916="","",INPUT!O916)</f>
        <v>BARONA</v>
      </c>
      <c r="F921" t="str">
        <f>IF(INPUT!N916="","",INPUT!N916)</f>
        <v>M</v>
      </c>
      <c r="G921" t="str" cm="1">
        <f t="array" ref="G921">IFERROR(VLOOKUP(INPUT!M916&amp;INPUT!N916,CHOOSE({1,2},INPUT!$A$3:$A$5000&amp;INPUT!$C$3:$C$5000,INPUT!$F$3:$F$5000),2,FALSE),"")</f>
        <v>PRE-TEMPORADA</v>
      </c>
      <c r="H921" t="str" cm="1">
        <f t="array" ref="H921">IFERROR(VLOOKUP(INPUT!M916&amp;INPUT!N916,CHOOSE({1,2},INPUT!$A$3:$A$5000&amp;INPUT!$C$3:$C$5000,INPUT!$D$3:$D$5000),2,FALSE),"")</f>
        <v>GYM+TEC-TAC</v>
      </c>
      <c r="I921" s="46">
        <f>IF(INPUT!P916="","",INPUT!P916)</f>
        <v>71.5</v>
      </c>
      <c r="J921" s="46">
        <f>IF(INPUT!Q916="","",INPUT!Q916)</f>
        <v>71.3</v>
      </c>
      <c r="K921" s="46">
        <f>IFERROR(IF(OR(INPUT!P916="",INPUT!Q916=""),"",INPUT!P916-INPUT!Q916),"")</f>
        <v>0.20000000000000284</v>
      </c>
      <c r="L921" s="48">
        <f>IFERROR(IF(OR(INPUT!P916="",INPUT!Q916="",INPUT!P916=0),"",(INPUT!P916-INPUT!Q916)/INPUT!P916),"")</f>
        <v>2.7972027972028371E-3</v>
      </c>
    </row>
    <row r="922" spans="1:12" ht="18" hidden="1" customHeight="1" x14ac:dyDescent="0.2">
      <c r="A922" s="11">
        <f>IF(INPUT!M917="","",INPUT!M917)</f>
        <v>45944</v>
      </c>
      <c r="B922" s="11">
        <f>IF(INPUT!M917="","",INPUT!M917-WEEKDAY(INPUT!M917,2)+1)</f>
        <v>45943</v>
      </c>
      <c r="C922" s="20">
        <f>IFERROR(_xlfn.ISOWEEKNUM(INPUT!M917),"")</f>
        <v>42</v>
      </c>
      <c r="D922" s="20">
        <f>IFERROR(YEAR(INPUT!M917),"")</f>
        <v>2025</v>
      </c>
      <c r="E922" t="str">
        <f>IF(INPUT!O917="","",INPUT!O917)</f>
        <v>CARLOS</v>
      </c>
      <c r="F922" t="str">
        <f>IF(INPUT!N917="","",INPUT!N917)</f>
        <v>M</v>
      </c>
      <c r="G922" t="str" cm="1">
        <f t="array" ref="G922">IFERROR(VLOOKUP(INPUT!M917&amp;INPUT!N917,CHOOSE({1,2},INPUT!$A$3:$A$5000&amp;INPUT!$C$3:$C$5000,INPUT!$F$3:$F$5000),2,FALSE),"")</f>
        <v>PRE-TEMPORADA</v>
      </c>
      <c r="H922" t="str" cm="1">
        <f t="array" ref="H922">IFERROR(VLOOKUP(INPUT!M917&amp;INPUT!N917,CHOOSE({1,2},INPUT!$A$3:$A$5000&amp;INPUT!$C$3:$C$5000,INPUT!$D$3:$D$5000),2,FALSE),"")</f>
        <v>GYM+TEC-TAC</v>
      </c>
      <c r="I922" s="46">
        <f>IF(INPUT!P917="","",INPUT!P917)</f>
        <v>66.599999999999994</v>
      </c>
      <c r="J922" s="46">
        <f>IF(INPUT!Q917="","",INPUT!Q917)</f>
        <v>66.099999999999994</v>
      </c>
      <c r="K922" s="46">
        <f>IFERROR(IF(OR(INPUT!P917="",INPUT!Q917=""),"",INPUT!P917-INPUT!Q917),"")</f>
        <v>0.5</v>
      </c>
      <c r="L922" s="48">
        <f>IFERROR(IF(OR(INPUT!P917="",INPUT!Q917="",INPUT!P917=0),"",(INPUT!P917-INPUT!Q917)/INPUT!P917),"")</f>
        <v>7.5075075075075083E-3</v>
      </c>
    </row>
    <row r="923" spans="1:12" ht="18" hidden="1" customHeight="1" x14ac:dyDescent="0.2">
      <c r="A923" s="11">
        <f>IF(INPUT!M918="","",INPUT!M918)</f>
        <v>45944</v>
      </c>
      <c r="B923" s="11">
        <f>IF(INPUT!M918="","",INPUT!M918-WEEKDAY(INPUT!M918,2)+1)</f>
        <v>45943</v>
      </c>
      <c r="C923" s="20">
        <f>IFERROR(_xlfn.ISOWEEKNUM(INPUT!M918),"")</f>
        <v>42</v>
      </c>
      <c r="D923" s="20">
        <f>IFERROR(YEAR(INPUT!M918),"")</f>
        <v>2025</v>
      </c>
      <c r="E923" t="str">
        <f>IF(INPUT!O918="","",INPUT!O918)</f>
        <v>GONZALO</v>
      </c>
      <c r="F923" t="str">
        <f>IF(INPUT!N918="","",INPUT!N918)</f>
        <v>M</v>
      </c>
      <c r="G923" t="str" cm="1">
        <f t="array" ref="G923">IFERROR(VLOOKUP(INPUT!M918&amp;INPUT!N918,CHOOSE({1,2},INPUT!$A$3:$A$5000&amp;INPUT!$C$3:$C$5000,INPUT!$F$3:$F$5000),2,FALSE),"")</f>
        <v>PRE-TEMPORADA</v>
      </c>
      <c r="H923" t="str" cm="1">
        <f t="array" ref="H923">IFERROR(VLOOKUP(INPUT!M918&amp;INPUT!N918,CHOOSE({1,2},INPUT!$A$3:$A$5000&amp;INPUT!$C$3:$C$5000,INPUT!$D$3:$D$5000),2,FALSE),"")</f>
        <v>GYM+TEC-TAC</v>
      </c>
      <c r="I923" s="46">
        <f>IF(INPUT!P918="","",INPUT!P918)</f>
        <v>83.6</v>
      </c>
      <c r="J923" s="46">
        <f>IF(INPUT!Q918="","",INPUT!Q918)</f>
        <v>82.9</v>
      </c>
      <c r="K923" s="46">
        <f>IFERROR(IF(OR(INPUT!P918="",INPUT!Q918=""),"",INPUT!P918-INPUT!Q918),"")</f>
        <v>0.69999999999998863</v>
      </c>
      <c r="L923" s="48">
        <f>IFERROR(IF(OR(INPUT!P918="",INPUT!Q918="",INPUT!P918=0),"",(INPUT!P918-INPUT!Q918)/INPUT!P918),"")</f>
        <v>8.3732057416266593E-3</v>
      </c>
    </row>
    <row r="924" spans="1:12" ht="18" customHeight="1" x14ac:dyDescent="0.2">
      <c r="A924" s="11">
        <f>IF(INPUT!M919="","",INPUT!M919)</f>
        <v>45944</v>
      </c>
      <c r="B924" s="11">
        <f>IF(INPUT!M919="","",INPUT!M919-WEEKDAY(INPUT!M919,2)+1)</f>
        <v>45943</v>
      </c>
      <c r="C924" s="20">
        <f>IFERROR(_xlfn.ISOWEEKNUM(INPUT!M919),"")</f>
        <v>42</v>
      </c>
      <c r="D924" s="20">
        <f>IFERROR(YEAR(INPUT!M919),"")</f>
        <v>2025</v>
      </c>
      <c r="E924" t="str">
        <f>IF(INPUT!O919="","",INPUT!O919)</f>
        <v>SEGO</v>
      </c>
      <c r="F924" t="str">
        <f>IF(INPUT!N919="","",INPUT!N919)</f>
        <v>M</v>
      </c>
      <c r="G924" t="str" cm="1">
        <f t="array" ref="G924">IFERROR(VLOOKUP(INPUT!M919&amp;INPUT!N919,CHOOSE({1,2},INPUT!$A$3:$A$5000&amp;INPUT!$C$3:$C$5000,INPUT!$F$3:$F$5000),2,FALSE),"")</f>
        <v>PRE-TEMPORADA</v>
      </c>
      <c r="H924" t="str" cm="1">
        <f t="array" ref="H924">IFERROR(VLOOKUP(INPUT!M919&amp;INPUT!N919,CHOOSE({1,2},INPUT!$A$3:$A$5000&amp;INPUT!$C$3:$C$5000,INPUT!$D$3:$D$5000),2,FALSE),"")</f>
        <v>GYM+TEC-TAC</v>
      </c>
      <c r="I924" s="46">
        <f>IF(INPUT!P919="","",INPUT!P919)</f>
        <v>74.3</v>
      </c>
      <c r="J924" s="46">
        <f>IF(INPUT!Q919="","",INPUT!Q919)</f>
        <v>74.2</v>
      </c>
      <c r="K924" s="46">
        <f>IFERROR(IF(OR(INPUT!P919="",INPUT!Q919=""),"",INPUT!P919-INPUT!Q919),"")</f>
        <v>9.9999999999994316E-2</v>
      </c>
      <c r="L924" s="48">
        <f>IFERROR(IF(OR(INPUT!P919="",INPUT!Q919="",INPUT!P919=0),"",(INPUT!P919-INPUT!Q919)/INPUT!P919),"")</f>
        <v>1.3458950201883488E-3</v>
      </c>
    </row>
    <row r="925" spans="1:12" ht="18" customHeight="1" x14ac:dyDescent="0.2">
      <c r="A925" s="11">
        <f>IF(INPUT!M920="","",INPUT!M920)</f>
        <v>45944</v>
      </c>
      <c r="B925" s="11">
        <f>IF(INPUT!M920="","",INPUT!M920-WEEKDAY(INPUT!M920,2)+1)</f>
        <v>45943</v>
      </c>
      <c r="C925" s="20">
        <f>IFERROR(_xlfn.ISOWEEKNUM(INPUT!M920),"")</f>
        <v>42</v>
      </c>
      <c r="D925" s="20">
        <f>IFERROR(YEAR(INPUT!M920),"")</f>
        <v>2025</v>
      </c>
      <c r="E925" t="str">
        <f>IF(INPUT!O920="","",INPUT!O920)</f>
        <v>RUBIO</v>
      </c>
      <c r="F925" t="str">
        <f>IF(INPUT!N920="","",INPUT!N920)</f>
        <v>M</v>
      </c>
      <c r="G925" t="str" cm="1">
        <f t="array" ref="G925">IFERROR(VLOOKUP(INPUT!M920&amp;INPUT!N920,CHOOSE({1,2},INPUT!$A$3:$A$5000&amp;INPUT!$C$3:$C$5000,INPUT!$F$3:$F$5000),2,FALSE),"")</f>
        <v>PRE-TEMPORADA</v>
      </c>
      <c r="H925" t="str" cm="1">
        <f t="array" ref="H925">IFERROR(VLOOKUP(INPUT!M920&amp;INPUT!N920,CHOOSE({1,2},INPUT!$A$3:$A$5000&amp;INPUT!$C$3:$C$5000,INPUT!$D$3:$D$5000),2,FALSE),"")</f>
        <v>GYM+TEC-TAC</v>
      </c>
      <c r="I925" s="46">
        <f>IF(INPUT!P920="","",INPUT!P920)</f>
        <v>74.5</v>
      </c>
      <c r="J925" s="46">
        <f>IF(INPUT!Q920="","",INPUT!Q920)</f>
        <v>74.5</v>
      </c>
      <c r="K925" s="46">
        <f>IFERROR(IF(OR(INPUT!P920="",INPUT!Q920=""),"",INPUT!P920-INPUT!Q920),"")</f>
        <v>0</v>
      </c>
      <c r="L925" s="48">
        <f>IFERROR(IF(OR(INPUT!P920="",INPUT!Q920="",INPUT!P920=0),"",(INPUT!P920-INPUT!Q920)/INPUT!P920),"")</f>
        <v>0</v>
      </c>
    </row>
    <row r="926" spans="1:12" ht="18" customHeight="1" x14ac:dyDescent="0.2">
      <c r="A926" s="11">
        <f>IF(INPUT!M921="","",INPUT!M921)</f>
        <v>45944</v>
      </c>
      <c r="B926" s="11">
        <f>IF(INPUT!M921="","",INPUT!M921-WEEKDAY(INPUT!M921,2)+1)</f>
        <v>45943</v>
      </c>
      <c r="C926" s="20">
        <f>IFERROR(_xlfn.ISOWEEKNUM(INPUT!M921),"")</f>
        <v>42</v>
      </c>
      <c r="D926" s="20">
        <f>IFERROR(YEAR(INPUT!M921),"")</f>
        <v>2025</v>
      </c>
      <c r="E926" t="str">
        <f>IF(INPUT!O921="","",INPUT!O921)</f>
        <v>DANI</v>
      </c>
      <c r="F926" t="str">
        <f>IF(INPUT!N921="","",INPUT!N921)</f>
        <v>M</v>
      </c>
      <c r="G926" t="str" cm="1">
        <f t="array" ref="G926">IFERROR(VLOOKUP(INPUT!M921&amp;INPUT!N921,CHOOSE({1,2},INPUT!$A$3:$A$5000&amp;INPUT!$C$3:$C$5000,INPUT!$F$3:$F$5000),2,FALSE),"")</f>
        <v>PRE-TEMPORADA</v>
      </c>
      <c r="H926" t="str" cm="1">
        <f t="array" ref="H926">IFERROR(VLOOKUP(INPUT!M921&amp;INPUT!N921,CHOOSE({1,2},INPUT!$A$3:$A$5000&amp;INPUT!$C$3:$C$5000,INPUT!$D$3:$D$5000),2,FALSE),"")</f>
        <v>GYM+TEC-TAC</v>
      </c>
      <c r="I926" s="46">
        <f>IF(INPUT!P921="","",INPUT!P921)</f>
        <v>92.7</v>
      </c>
      <c r="J926" s="46">
        <f>IF(INPUT!Q921="","",INPUT!Q921)</f>
        <v>92.7</v>
      </c>
      <c r="K926" s="46">
        <f>IFERROR(IF(OR(INPUT!P921="",INPUT!Q921=""),"",INPUT!P921-INPUT!Q921),"")</f>
        <v>0</v>
      </c>
      <c r="L926" s="48">
        <f>IFERROR(IF(OR(INPUT!P921="",INPUT!Q921="",INPUT!P921=0),"",(INPUT!P921-INPUT!Q921)/INPUT!P921),"")</f>
        <v>0</v>
      </c>
    </row>
    <row r="927" spans="1:12" ht="18" hidden="1" customHeight="1" x14ac:dyDescent="0.2">
      <c r="A927" s="11">
        <f>IF(INPUT!M922="","",INPUT!M922)</f>
        <v>45944</v>
      </c>
      <c r="B927" s="11">
        <f>IF(INPUT!M922="","",INPUT!M922-WEEKDAY(INPUT!M922,2)+1)</f>
        <v>45943</v>
      </c>
      <c r="C927" s="20">
        <f>IFERROR(_xlfn.ISOWEEKNUM(INPUT!M922),"")</f>
        <v>42</v>
      </c>
      <c r="D927" s="20">
        <f>IFERROR(YEAR(INPUT!M922),"")</f>
        <v>2025</v>
      </c>
      <c r="E927" t="str">
        <f>IF(INPUT!O922="","",INPUT!O922)</f>
        <v>JAIME</v>
      </c>
      <c r="F927" t="str">
        <f>IF(INPUT!N922="","",INPUT!N922)</f>
        <v>M</v>
      </c>
      <c r="G927" t="str" cm="1">
        <f t="array" ref="G927">IFERROR(VLOOKUP(INPUT!M922&amp;INPUT!N922,CHOOSE({1,2},INPUT!$A$3:$A$5000&amp;INPUT!$C$3:$C$5000,INPUT!$F$3:$F$5000),2,FALSE),"")</f>
        <v>PRE-TEMPORADA</v>
      </c>
      <c r="H927" t="str" cm="1">
        <f t="array" ref="H927">IFERROR(VLOOKUP(INPUT!M922&amp;INPUT!N922,CHOOSE({1,2},INPUT!$A$3:$A$5000&amp;INPUT!$C$3:$C$5000,INPUT!$D$3:$D$5000),2,FALSE),"")</f>
        <v>GYM+TEC-TAC</v>
      </c>
      <c r="I927" s="46">
        <f>IF(INPUT!P922="","",INPUT!P922)</f>
        <v>75.599999999999994</v>
      </c>
      <c r="J927" s="46">
        <f>IF(INPUT!Q922="","",INPUT!Q922)</f>
        <v>75.599999999999994</v>
      </c>
      <c r="K927" s="46">
        <f>IFERROR(IF(OR(INPUT!P922="",INPUT!Q922=""),"",INPUT!P922-INPUT!Q922),"")</f>
        <v>0</v>
      </c>
      <c r="L927" s="48">
        <f>IFERROR(IF(OR(INPUT!P922="",INPUT!Q922="",INPUT!P922=0),"",(INPUT!P922-INPUT!Q922)/INPUT!P922),"")</f>
        <v>0</v>
      </c>
    </row>
    <row r="928" spans="1:12" ht="18" hidden="1" customHeight="1" x14ac:dyDescent="0.2">
      <c r="A928" s="11">
        <f>IF(INPUT!M923="","",INPUT!M923)</f>
        <v>45946</v>
      </c>
      <c r="B928" s="11">
        <f>IF(INPUT!M923="","",INPUT!M923-WEEKDAY(INPUT!M923,2)+1)</f>
        <v>45943</v>
      </c>
      <c r="C928" s="20">
        <f>IFERROR(_xlfn.ISOWEEKNUM(INPUT!M923),"")</f>
        <v>42</v>
      </c>
      <c r="D928" s="20">
        <f>IFERROR(YEAR(INPUT!M923),"")</f>
        <v>2025</v>
      </c>
      <c r="E928" t="str">
        <f>IF(INPUT!O923="","",INPUT!O923)</f>
        <v>HERRERO</v>
      </c>
      <c r="F928" t="str">
        <f>IF(INPUT!N923="","",INPUT!N923)</f>
        <v>M</v>
      </c>
      <c r="G928" t="str" cm="1">
        <f t="array" ref="G928">IFERROR(VLOOKUP(INPUT!M923&amp;INPUT!N923,CHOOSE({1,2},INPUT!$A$3:$A$5000&amp;INPUT!$C$3:$C$5000,INPUT!$F$3:$F$5000),2,FALSE),"")</f>
        <v>PRE-TEMPORADA</v>
      </c>
      <c r="H928" t="str" cm="1">
        <f t="array" ref="H928">IFERROR(VLOOKUP(INPUT!M923&amp;INPUT!N923,CHOOSE({1,2},INPUT!$A$3:$A$5000&amp;INPUT!$C$3:$C$5000,INPUT!$D$3:$D$5000),2,FALSE),"")</f>
        <v>TEC-TAC</v>
      </c>
      <c r="I928" s="46">
        <f>IF(INPUT!P923="","",INPUT!P923)</f>
        <v>77</v>
      </c>
      <c r="J928" s="46">
        <f>IF(INPUT!Q923="","",INPUT!Q923)</f>
        <v>77</v>
      </c>
      <c r="K928" s="46">
        <f>IFERROR(IF(OR(INPUT!P923="",INPUT!Q923=""),"",INPUT!P923-INPUT!Q923),"")</f>
        <v>0</v>
      </c>
      <c r="L928" s="48">
        <f>IFERROR(IF(OR(INPUT!P923="",INPUT!Q923="",INPUT!P923=0),"",(INPUT!P923-INPUT!Q923)/INPUT!P923),"")</f>
        <v>0</v>
      </c>
    </row>
    <row r="929" spans="1:12" ht="18" hidden="1" customHeight="1" x14ac:dyDescent="0.2">
      <c r="A929" s="11">
        <f>IF(INPUT!M924="","",INPUT!M924)</f>
        <v>45946</v>
      </c>
      <c r="B929" s="11">
        <f>IF(INPUT!M924="","",INPUT!M924-WEEKDAY(INPUT!M924,2)+1)</f>
        <v>45943</v>
      </c>
      <c r="C929" s="20">
        <f>IFERROR(_xlfn.ISOWEEKNUM(INPUT!M924),"")</f>
        <v>42</v>
      </c>
      <c r="D929" s="20">
        <f>IFERROR(YEAR(INPUT!M924),"")</f>
        <v>2025</v>
      </c>
      <c r="E929" t="str">
        <f>IF(INPUT!O924="","",INPUT!O924)</f>
        <v>GARCIA</v>
      </c>
      <c r="F929" t="str">
        <f>IF(INPUT!N924="","",INPUT!N924)</f>
        <v>M</v>
      </c>
      <c r="G929" t="str" cm="1">
        <f t="array" ref="G929">IFERROR(VLOOKUP(INPUT!M924&amp;INPUT!N924,CHOOSE({1,2},INPUT!$A$3:$A$5000&amp;INPUT!$C$3:$C$5000,INPUT!$F$3:$F$5000),2,FALSE),"")</f>
        <v>PRE-TEMPORADA</v>
      </c>
      <c r="H929" t="str" cm="1">
        <f t="array" ref="H929">IFERROR(VLOOKUP(INPUT!M924&amp;INPUT!N924,CHOOSE({1,2},INPUT!$A$3:$A$5000&amp;INPUT!$C$3:$C$5000,INPUT!$D$3:$D$5000),2,FALSE),"")</f>
        <v>TEC-TAC</v>
      </c>
      <c r="I929" s="46">
        <f>IF(INPUT!P924="","",INPUT!P924)</f>
        <v>79.8</v>
      </c>
      <c r="J929" s="46">
        <f>IF(INPUT!Q924="","",INPUT!Q924)</f>
        <v>79.7</v>
      </c>
      <c r="K929" s="46">
        <f>IFERROR(IF(OR(INPUT!P924="",INPUT!Q924=""),"",INPUT!P924-INPUT!Q924),"")</f>
        <v>9.9999999999994316E-2</v>
      </c>
      <c r="L929" s="48">
        <f>IFERROR(IF(OR(INPUT!P924="",INPUT!Q924="",INPUT!P924=0),"",(INPUT!P924-INPUT!Q924)/INPUT!P924),"")</f>
        <v>1.2531328320801293E-3</v>
      </c>
    </row>
    <row r="930" spans="1:12" ht="18" hidden="1" customHeight="1" x14ac:dyDescent="0.2">
      <c r="A930" s="11">
        <f>IF(INPUT!M925="","",INPUT!M925)</f>
        <v>45946</v>
      </c>
      <c r="B930" s="11">
        <f>IF(INPUT!M925="","",INPUT!M925-WEEKDAY(INPUT!M925,2)+1)</f>
        <v>45943</v>
      </c>
      <c r="C930" s="20">
        <f>IFERROR(_xlfn.ISOWEEKNUM(INPUT!M925),"")</f>
        <v>42</v>
      </c>
      <c r="D930" s="20">
        <f>IFERROR(YEAR(INPUT!M925),"")</f>
        <v>2025</v>
      </c>
      <c r="E930" t="str">
        <f>IF(INPUT!O925="","",INPUT!O925)</f>
        <v>CECILIO</v>
      </c>
      <c r="F930" t="str">
        <f>IF(INPUT!N925="","",INPUT!N925)</f>
        <v>M</v>
      </c>
      <c r="G930" t="str" cm="1">
        <f t="array" ref="G930">IFERROR(VLOOKUP(INPUT!M925&amp;INPUT!N925,CHOOSE({1,2},INPUT!$A$3:$A$5000&amp;INPUT!$C$3:$C$5000,INPUT!$F$3:$F$5000),2,FALSE),"")</f>
        <v>PRE-TEMPORADA</v>
      </c>
      <c r="H930" t="str" cm="1">
        <f t="array" ref="H930">IFERROR(VLOOKUP(INPUT!M925&amp;INPUT!N925,CHOOSE({1,2},INPUT!$A$3:$A$5000&amp;INPUT!$C$3:$C$5000,INPUT!$D$3:$D$5000),2,FALSE),"")</f>
        <v>TEC-TAC</v>
      </c>
      <c r="I930" s="46">
        <f>IF(INPUT!P925="","",INPUT!P925)</f>
        <v>66.900000000000006</v>
      </c>
      <c r="J930" s="46">
        <f>IF(INPUT!Q925="","",INPUT!Q925)</f>
        <v>66.8</v>
      </c>
      <c r="K930" s="46">
        <f>IFERROR(IF(OR(INPUT!P925="",INPUT!Q925=""),"",INPUT!P925-INPUT!Q925),"")</f>
        <v>0.10000000000000853</v>
      </c>
      <c r="L930" s="48">
        <f>IFERROR(IF(OR(INPUT!P925="",INPUT!Q925="",INPUT!P925=0),"",(INPUT!P925-INPUT!Q925)/INPUT!P925),"")</f>
        <v>1.494768310911936E-3</v>
      </c>
    </row>
    <row r="931" spans="1:12" ht="18" hidden="1" customHeight="1" x14ac:dyDescent="0.2">
      <c r="A931" s="11">
        <f>IF(INPUT!M926="","",INPUT!M926)</f>
        <v>45946</v>
      </c>
      <c r="B931" s="11">
        <f>IF(INPUT!M926="","",INPUT!M926-WEEKDAY(INPUT!M926,2)+1)</f>
        <v>45943</v>
      </c>
      <c r="C931" s="20">
        <f>IFERROR(_xlfn.ISOWEEKNUM(INPUT!M926),"")</f>
        <v>42</v>
      </c>
      <c r="D931" s="20">
        <f>IFERROR(YEAR(INPUT!M926),"")</f>
        <v>2025</v>
      </c>
      <c r="E931" t="str">
        <f>IF(INPUT!O926="","",INPUT!O926)</f>
        <v>CHAGUINHA</v>
      </c>
      <c r="F931" t="str">
        <f>IF(INPUT!N926="","",INPUT!N926)</f>
        <v>M</v>
      </c>
      <c r="G931" t="str" cm="1">
        <f t="array" ref="G931">IFERROR(VLOOKUP(INPUT!M926&amp;INPUT!N926,CHOOSE({1,2},INPUT!$A$3:$A$5000&amp;INPUT!$C$3:$C$5000,INPUT!$F$3:$F$5000),2,FALSE),"")</f>
        <v>PRE-TEMPORADA</v>
      </c>
      <c r="H931" t="str" cm="1">
        <f t="array" ref="H931">IFERROR(VLOOKUP(INPUT!M926&amp;INPUT!N926,CHOOSE({1,2},INPUT!$A$3:$A$5000&amp;INPUT!$C$3:$C$5000,INPUT!$D$3:$D$5000),2,FALSE),"")</f>
        <v>TEC-TAC</v>
      </c>
      <c r="I931" s="46">
        <f>IF(INPUT!P926="","",INPUT!P926)</f>
        <v>69</v>
      </c>
      <c r="J931" s="46">
        <f>IF(INPUT!Q926="","",INPUT!Q926)</f>
        <v>68.7</v>
      </c>
      <c r="K931" s="46">
        <f>IFERROR(IF(OR(INPUT!P926="",INPUT!Q926=""),"",INPUT!P926-INPUT!Q926),"")</f>
        <v>0.29999999999999716</v>
      </c>
      <c r="L931" s="48">
        <f>IFERROR(IF(OR(INPUT!P926="",INPUT!Q926="",INPUT!P926=0),"",(INPUT!P926-INPUT!Q926)/INPUT!P926),"")</f>
        <v>4.3478260869564802E-3</v>
      </c>
    </row>
    <row r="932" spans="1:12" ht="18" hidden="1" customHeight="1" x14ac:dyDescent="0.2">
      <c r="A932" s="11">
        <f>IF(INPUT!M927="","",INPUT!M927)</f>
        <v>45946</v>
      </c>
      <c r="B932" s="11">
        <f>IF(INPUT!M927="","",INPUT!M927-WEEKDAY(INPUT!M927,2)+1)</f>
        <v>45943</v>
      </c>
      <c r="C932" s="20">
        <f>IFERROR(_xlfn.ISOWEEKNUM(INPUT!M927),"")</f>
        <v>42</v>
      </c>
      <c r="D932" s="20">
        <f>IFERROR(YEAR(INPUT!M927),"")</f>
        <v>2025</v>
      </c>
      <c r="E932" t="str">
        <f>IF(INPUT!O927="","",INPUT!O927)</f>
        <v>HARRISON</v>
      </c>
      <c r="F932" t="str">
        <f>IF(INPUT!N927="","",INPUT!N927)</f>
        <v>M</v>
      </c>
      <c r="G932" t="str" cm="1">
        <f t="array" ref="G932">IFERROR(VLOOKUP(INPUT!M927&amp;INPUT!N927,CHOOSE({1,2},INPUT!$A$3:$A$5000&amp;INPUT!$C$3:$C$5000,INPUT!$F$3:$F$5000),2,FALSE),"")</f>
        <v>PRE-TEMPORADA</v>
      </c>
      <c r="H932" t="str" cm="1">
        <f t="array" ref="H932">IFERROR(VLOOKUP(INPUT!M927&amp;INPUT!N927,CHOOSE({1,2},INPUT!$A$3:$A$5000&amp;INPUT!$C$3:$C$5000,INPUT!$D$3:$D$5000),2,FALSE),"")</f>
        <v>TEC-TAC</v>
      </c>
      <c r="I932" s="46">
        <f>IF(INPUT!P927="","",INPUT!P927)</f>
        <v>71.900000000000006</v>
      </c>
      <c r="J932" s="46">
        <f>IF(INPUT!Q927="","",INPUT!Q927)</f>
        <v>71.7</v>
      </c>
      <c r="K932" s="46">
        <f>IFERROR(IF(OR(INPUT!P927="",INPUT!Q927=""),"",INPUT!P927-INPUT!Q927),"")</f>
        <v>0.20000000000000284</v>
      </c>
      <c r="L932" s="48">
        <f>IFERROR(IF(OR(INPUT!P927="",INPUT!Q927="",INPUT!P927=0),"",(INPUT!P927-INPUT!Q927)/INPUT!P927),"")</f>
        <v>2.78164116828933E-3</v>
      </c>
    </row>
    <row r="933" spans="1:12" ht="18" hidden="1" customHeight="1" x14ac:dyDescent="0.2">
      <c r="A933" s="11">
        <f>IF(INPUT!M928="","",INPUT!M928)</f>
        <v>45946</v>
      </c>
      <c r="B933" s="11">
        <f>IF(INPUT!M928="","",INPUT!M928-WEEKDAY(INPUT!M928,2)+1)</f>
        <v>45943</v>
      </c>
      <c r="C933" s="20">
        <f>IFERROR(_xlfn.ISOWEEKNUM(INPUT!M928),"")</f>
        <v>42</v>
      </c>
      <c r="D933" s="20">
        <f>IFERROR(YEAR(INPUT!M928),"")</f>
        <v>2025</v>
      </c>
      <c r="E933" t="str">
        <f>IF(INPUT!O928="","",INPUT!O928)</f>
        <v>RAYA</v>
      </c>
      <c r="F933" t="str">
        <f>IF(INPUT!N928="","",INPUT!N928)</f>
        <v>M</v>
      </c>
      <c r="G933" t="str" cm="1">
        <f t="array" ref="G933">IFERROR(VLOOKUP(INPUT!M928&amp;INPUT!N928,CHOOSE({1,2},INPUT!$A$3:$A$5000&amp;INPUT!$C$3:$C$5000,INPUT!$F$3:$F$5000),2,FALSE),"")</f>
        <v>PRE-TEMPORADA</v>
      </c>
      <c r="H933" t="str" cm="1">
        <f t="array" ref="H933">IFERROR(VLOOKUP(INPUT!M928&amp;INPUT!N928,CHOOSE({1,2},INPUT!$A$3:$A$5000&amp;INPUT!$C$3:$C$5000,INPUT!$D$3:$D$5000),2,FALSE),"")</f>
        <v>TEC-TAC</v>
      </c>
      <c r="I933" s="46">
        <f>IF(INPUT!P928="","",INPUT!P928)</f>
        <v>82.7</v>
      </c>
      <c r="J933" s="46">
        <f>IF(INPUT!Q928="","",INPUT!Q928)</f>
        <v>81.099999999999994</v>
      </c>
      <c r="K933" s="46">
        <f>IFERROR(IF(OR(INPUT!P928="",INPUT!Q928=""),"",INPUT!P928-INPUT!Q928),"")</f>
        <v>1.6000000000000085</v>
      </c>
      <c r="L933" s="48">
        <f>IFERROR(IF(OR(INPUT!P928="",INPUT!Q928="",INPUT!P928=0),"",(INPUT!P928-INPUT!Q928)/INPUT!P928),"")</f>
        <v>1.934703748488523E-2</v>
      </c>
    </row>
    <row r="934" spans="1:12" ht="18" hidden="1" customHeight="1" x14ac:dyDescent="0.2">
      <c r="A934" s="11">
        <f>IF(INPUT!M929="","",INPUT!M929)</f>
        <v>45946</v>
      </c>
      <c r="B934" s="11">
        <f>IF(INPUT!M929="","",INPUT!M929-WEEKDAY(INPUT!M929,2)+1)</f>
        <v>45943</v>
      </c>
      <c r="C934" s="20">
        <f>IFERROR(_xlfn.ISOWEEKNUM(INPUT!M929),"")</f>
        <v>42</v>
      </c>
      <c r="D934" s="20">
        <f>IFERROR(YEAR(INPUT!M929),"")</f>
        <v>2025</v>
      </c>
      <c r="E934" t="str">
        <f>IF(INPUT!O929="","",INPUT!O929)</f>
        <v>JAVI</v>
      </c>
      <c r="F934" t="str">
        <f>IF(INPUT!N929="","",INPUT!N929)</f>
        <v>M</v>
      </c>
      <c r="G934" t="str" cm="1">
        <f t="array" ref="G934">IFERROR(VLOOKUP(INPUT!M929&amp;INPUT!N929,CHOOSE({1,2},INPUT!$A$3:$A$5000&amp;INPUT!$C$3:$C$5000,INPUT!$F$3:$F$5000),2,FALSE),"")</f>
        <v>PRE-TEMPORADA</v>
      </c>
      <c r="H934" t="str" cm="1">
        <f t="array" ref="H934">IFERROR(VLOOKUP(INPUT!M929&amp;INPUT!N929,CHOOSE({1,2},INPUT!$A$3:$A$5000&amp;INPUT!$C$3:$C$5000,INPUT!$D$3:$D$5000),2,FALSE),"")</f>
        <v>TEC-TAC</v>
      </c>
      <c r="I934" s="46">
        <f>IF(INPUT!P929="","",INPUT!P929)</f>
        <v>78.900000000000006</v>
      </c>
      <c r="J934" s="46">
        <f>IF(INPUT!Q929="","",INPUT!Q929)</f>
        <v>78.5</v>
      </c>
      <c r="K934" s="46">
        <f>IFERROR(IF(OR(INPUT!P929="",INPUT!Q929=""),"",INPUT!P929-INPUT!Q929),"")</f>
        <v>0.40000000000000568</v>
      </c>
      <c r="L934" s="48">
        <f>IFERROR(IF(OR(INPUT!P929="",INPUT!Q929="",INPUT!P929=0),"",(INPUT!P929-INPUT!Q929)/INPUT!P929),"")</f>
        <v>5.0697084917617954E-3</v>
      </c>
    </row>
    <row r="935" spans="1:12" ht="18" hidden="1" customHeight="1" x14ac:dyDescent="0.2">
      <c r="A935" s="11">
        <f>IF(INPUT!M930="","",INPUT!M930)</f>
        <v>45946</v>
      </c>
      <c r="B935" s="11">
        <f>IF(INPUT!M930="","",INPUT!M930-WEEKDAY(INPUT!M930,2)+1)</f>
        <v>45943</v>
      </c>
      <c r="C935" s="20">
        <f>IFERROR(_xlfn.ISOWEEKNUM(INPUT!M930),"")</f>
        <v>42</v>
      </c>
      <c r="D935" s="20">
        <f>IFERROR(YEAR(INPUT!M930),"")</f>
        <v>2025</v>
      </c>
      <c r="E935" t="str">
        <f>IF(INPUT!O930="","",INPUT!O930)</f>
        <v>PANI</v>
      </c>
      <c r="F935" t="str">
        <f>IF(INPUT!N930="","",INPUT!N930)</f>
        <v>M</v>
      </c>
      <c r="G935" t="str" cm="1">
        <f t="array" ref="G935">IFERROR(VLOOKUP(INPUT!M930&amp;INPUT!N930,CHOOSE({1,2},INPUT!$A$3:$A$5000&amp;INPUT!$C$3:$C$5000,INPUT!$F$3:$F$5000),2,FALSE),"")</f>
        <v>PRE-TEMPORADA</v>
      </c>
      <c r="H935" t="str" cm="1">
        <f t="array" ref="H935">IFERROR(VLOOKUP(INPUT!M930&amp;INPUT!N930,CHOOSE({1,2},INPUT!$A$3:$A$5000&amp;INPUT!$C$3:$C$5000,INPUT!$D$3:$D$5000),2,FALSE),"")</f>
        <v>TEC-TAC</v>
      </c>
      <c r="I935" s="46">
        <f>IF(INPUT!P930="","",INPUT!P930)</f>
        <v>69.7</v>
      </c>
      <c r="J935" s="46">
        <f>IF(INPUT!Q930="","",INPUT!Q930)</f>
        <v>68.7</v>
      </c>
      <c r="K935" s="46">
        <f>IFERROR(IF(OR(INPUT!P930="",INPUT!Q930=""),"",INPUT!P930-INPUT!Q930),"")</f>
        <v>1</v>
      </c>
      <c r="L935" s="48">
        <f>IFERROR(IF(OR(INPUT!P930="",INPUT!Q930="",INPUT!P930=0),"",(INPUT!P930-INPUT!Q930)/INPUT!P930),"")</f>
        <v>1.4347202295552367E-2</v>
      </c>
    </row>
    <row r="936" spans="1:12" ht="18" customHeight="1" x14ac:dyDescent="0.2">
      <c r="A936" s="11">
        <f>IF(INPUT!M931="","",INPUT!M931)</f>
        <v>45946</v>
      </c>
      <c r="B936" s="11">
        <f>IF(INPUT!M931="","",INPUT!M931-WEEKDAY(INPUT!M931,2)+1)</f>
        <v>45943</v>
      </c>
      <c r="C936" s="20">
        <f>IFERROR(_xlfn.ISOWEEKNUM(INPUT!M931),"")</f>
        <v>42</v>
      </c>
      <c r="D936" s="20">
        <f>IFERROR(YEAR(INPUT!M931),"")</f>
        <v>2025</v>
      </c>
      <c r="E936" t="str">
        <f>IF(INPUT!O931="","",INPUT!O931)</f>
        <v>PIRATA</v>
      </c>
      <c r="F936" t="str">
        <f>IF(INPUT!N931="","",INPUT!N931)</f>
        <v>M</v>
      </c>
      <c r="G936" t="str" cm="1">
        <f t="array" ref="G936">IFERROR(VLOOKUP(INPUT!M931&amp;INPUT!N931,CHOOSE({1,2},INPUT!$A$3:$A$5000&amp;INPUT!$C$3:$C$5000,INPUT!$F$3:$F$5000),2,FALSE),"")</f>
        <v>PRE-TEMPORADA</v>
      </c>
      <c r="H936" t="str" cm="1">
        <f t="array" ref="H936">IFERROR(VLOOKUP(INPUT!M931&amp;INPUT!N931,CHOOSE({1,2},INPUT!$A$3:$A$5000&amp;INPUT!$C$3:$C$5000,INPUT!$D$3:$D$5000),2,FALSE),"")</f>
        <v>TEC-TAC</v>
      </c>
      <c r="I936" s="46">
        <f>IF(INPUT!P931="","",INPUT!P931)</f>
        <v>75.7</v>
      </c>
      <c r="J936" s="46">
        <f>IF(INPUT!Q931="","",INPUT!Q931)</f>
        <v>75.5</v>
      </c>
      <c r="K936" s="46">
        <f>IFERROR(IF(OR(INPUT!P931="",INPUT!Q931=""),"",INPUT!P931-INPUT!Q931),"")</f>
        <v>0.20000000000000284</v>
      </c>
      <c r="L936" s="48">
        <f>IFERROR(IF(OR(INPUT!P931="",INPUT!Q931="",INPUT!P931=0),"",(INPUT!P931-INPUT!Q931)/INPUT!P931),"")</f>
        <v>2.6420079260238154E-3</v>
      </c>
    </row>
    <row r="937" spans="1:12" ht="18" customHeight="1" x14ac:dyDescent="0.2">
      <c r="A937" s="11">
        <f>IF(INPUT!M932="","",INPUT!M932)</f>
        <v>45946</v>
      </c>
      <c r="B937" s="11">
        <f>IF(INPUT!M932="","",INPUT!M932-WEEKDAY(INPUT!M932,2)+1)</f>
        <v>45943</v>
      </c>
      <c r="C937" s="20">
        <f>IFERROR(_xlfn.ISOWEEKNUM(INPUT!M932),"")</f>
        <v>42</v>
      </c>
      <c r="D937" s="20">
        <f>IFERROR(YEAR(INPUT!M932),"")</f>
        <v>2025</v>
      </c>
      <c r="E937" t="str">
        <f>IF(INPUT!O932="","",INPUT!O932)</f>
        <v>BARONA</v>
      </c>
      <c r="F937" t="str">
        <f>IF(INPUT!N932="","",INPUT!N932)</f>
        <v>M</v>
      </c>
      <c r="G937" t="str" cm="1">
        <f t="array" ref="G937">IFERROR(VLOOKUP(INPUT!M932&amp;INPUT!N932,CHOOSE({1,2},INPUT!$A$3:$A$5000&amp;INPUT!$C$3:$C$5000,INPUT!$F$3:$F$5000),2,FALSE),"")</f>
        <v>PRE-TEMPORADA</v>
      </c>
      <c r="H937" t="str" cm="1">
        <f t="array" ref="H937">IFERROR(VLOOKUP(INPUT!M932&amp;INPUT!N932,CHOOSE({1,2},INPUT!$A$3:$A$5000&amp;INPUT!$C$3:$C$5000,INPUT!$D$3:$D$5000),2,FALSE),"")</f>
        <v>TEC-TAC</v>
      </c>
      <c r="I937" s="46">
        <f>IF(INPUT!P932="","",INPUT!P932)</f>
        <v>71.5</v>
      </c>
      <c r="J937" s="46">
        <f>IF(INPUT!Q932="","",INPUT!Q932)</f>
        <v>71</v>
      </c>
      <c r="K937" s="46">
        <f>IFERROR(IF(OR(INPUT!P932="",INPUT!Q932=""),"",INPUT!P932-INPUT!Q932),"")</f>
        <v>0.5</v>
      </c>
      <c r="L937" s="48">
        <f>IFERROR(IF(OR(INPUT!P932="",INPUT!Q932="",INPUT!P932=0),"",(INPUT!P932-INPUT!Q932)/INPUT!P932),"")</f>
        <v>6.993006993006993E-3</v>
      </c>
    </row>
    <row r="938" spans="1:12" ht="18" customHeight="1" x14ac:dyDescent="0.2">
      <c r="A938" s="11">
        <f>IF(INPUT!M933="","",INPUT!M933)</f>
        <v>45946</v>
      </c>
      <c r="B938" s="11">
        <f>IF(INPUT!M933="","",INPUT!M933-WEEKDAY(INPUT!M933,2)+1)</f>
        <v>45943</v>
      </c>
      <c r="C938" s="20">
        <f>IFERROR(_xlfn.ISOWEEKNUM(INPUT!M933),"")</f>
        <v>42</v>
      </c>
      <c r="D938" s="20">
        <f>IFERROR(YEAR(INPUT!M933),"")</f>
        <v>2025</v>
      </c>
      <c r="E938" t="str">
        <f>IF(INPUT!O933="","",INPUT!O933)</f>
        <v>CARLOS</v>
      </c>
      <c r="F938" t="str">
        <f>IF(INPUT!N933="","",INPUT!N933)</f>
        <v>M</v>
      </c>
      <c r="G938" t="str" cm="1">
        <f t="array" ref="G938">IFERROR(VLOOKUP(INPUT!M933&amp;INPUT!N933,CHOOSE({1,2},INPUT!$A$3:$A$5000&amp;INPUT!$C$3:$C$5000,INPUT!$F$3:$F$5000),2,FALSE),"")</f>
        <v>PRE-TEMPORADA</v>
      </c>
      <c r="H938" t="str" cm="1">
        <f t="array" ref="H938">IFERROR(VLOOKUP(INPUT!M933&amp;INPUT!N933,CHOOSE({1,2},INPUT!$A$3:$A$5000&amp;INPUT!$C$3:$C$5000,INPUT!$D$3:$D$5000),2,FALSE),"")</f>
        <v>TEC-TAC</v>
      </c>
      <c r="I938" s="46">
        <f>IF(INPUT!P933="","",INPUT!P933)</f>
        <v>67.2</v>
      </c>
      <c r="J938" s="46">
        <f>IF(INPUT!Q933="","",INPUT!Q933)</f>
        <v>67</v>
      </c>
      <c r="K938" s="46">
        <f>IFERROR(IF(OR(INPUT!P933="",INPUT!Q933=""),"",INPUT!P933-INPUT!Q933),"")</f>
        <v>0.20000000000000284</v>
      </c>
      <c r="L938" s="48">
        <f>IFERROR(IF(OR(INPUT!P933="",INPUT!Q933="",INPUT!P933=0),"",(INPUT!P933-INPUT!Q933)/INPUT!P933),"")</f>
        <v>2.9761904761905185E-3</v>
      </c>
    </row>
    <row r="939" spans="1:12" ht="18" hidden="1" customHeight="1" x14ac:dyDescent="0.2">
      <c r="A939" s="11">
        <f>IF(INPUT!M934="","",INPUT!M934)</f>
        <v>45946</v>
      </c>
      <c r="B939" s="11">
        <f>IF(INPUT!M934="","",INPUT!M934-WEEKDAY(INPUT!M934,2)+1)</f>
        <v>45943</v>
      </c>
      <c r="C939" s="20">
        <f>IFERROR(_xlfn.ISOWEEKNUM(INPUT!M934),"")</f>
        <v>42</v>
      </c>
      <c r="D939" s="20">
        <f>IFERROR(YEAR(INPUT!M934),"")</f>
        <v>2025</v>
      </c>
      <c r="E939" t="str">
        <f>IF(INPUT!O934="","",INPUT!O934)</f>
        <v>GONZALO</v>
      </c>
      <c r="F939" t="str">
        <f>IF(INPUT!N934="","",INPUT!N934)</f>
        <v>M</v>
      </c>
      <c r="G939" t="str" cm="1">
        <f t="array" ref="G939">IFERROR(VLOOKUP(INPUT!M934&amp;INPUT!N934,CHOOSE({1,2},INPUT!$A$3:$A$5000&amp;INPUT!$C$3:$C$5000,INPUT!$F$3:$F$5000),2,FALSE),"")</f>
        <v>PRE-TEMPORADA</v>
      </c>
      <c r="H939" t="str" cm="1">
        <f t="array" ref="H939">IFERROR(VLOOKUP(INPUT!M934&amp;INPUT!N934,CHOOSE({1,2},INPUT!$A$3:$A$5000&amp;INPUT!$C$3:$C$5000,INPUT!$D$3:$D$5000),2,FALSE),"")</f>
        <v>TEC-TAC</v>
      </c>
      <c r="I939" s="46">
        <f>IF(INPUT!P934="","",INPUT!P934)</f>
        <v>83.8</v>
      </c>
      <c r="J939" s="46">
        <f>IF(INPUT!Q934="","",INPUT!Q934)</f>
        <v>83.7</v>
      </c>
      <c r="K939" s="46">
        <f>IFERROR(IF(OR(INPUT!P934="",INPUT!Q934=""),"",INPUT!P934-INPUT!Q934),"")</f>
        <v>9.9999999999994316E-2</v>
      </c>
      <c r="L939" s="48">
        <f>IFERROR(IF(OR(INPUT!P934="",INPUT!Q934="",INPUT!P934=0),"",(INPUT!P934-INPUT!Q934)/INPUT!P934),"")</f>
        <v>1.1933174224342997E-3</v>
      </c>
    </row>
    <row r="940" spans="1:12" ht="18" hidden="1" customHeight="1" x14ac:dyDescent="0.2">
      <c r="A940" s="11">
        <f>IF(INPUT!M935="","",INPUT!M935)</f>
        <v>45946</v>
      </c>
      <c r="B940" s="11">
        <f>IF(INPUT!M935="","",INPUT!M935-WEEKDAY(INPUT!M935,2)+1)</f>
        <v>45943</v>
      </c>
      <c r="C940" s="20">
        <f>IFERROR(_xlfn.ISOWEEKNUM(INPUT!M935),"")</f>
        <v>42</v>
      </c>
      <c r="D940" s="20">
        <f>IFERROR(YEAR(INPUT!M935),"")</f>
        <v>2025</v>
      </c>
      <c r="E940" t="str">
        <f>IF(INPUT!O935="","",INPUT!O935)</f>
        <v>SEGO</v>
      </c>
      <c r="F940" t="str">
        <f>IF(INPUT!N935="","",INPUT!N935)</f>
        <v>M</v>
      </c>
      <c r="G940" t="str" cm="1">
        <f t="array" ref="G940">IFERROR(VLOOKUP(INPUT!M935&amp;INPUT!N935,CHOOSE({1,2},INPUT!$A$3:$A$5000&amp;INPUT!$C$3:$C$5000,INPUT!$F$3:$F$5000),2,FALSE),"")</f>
        <v>PRE-TEMPORADA</v>
      </c>
      <c r="H940" t="str" cm="1">
        <f t="array" ref="H940">IFERROR(VLOOKUP(INPUT!M935&amp;INPUT!N935,CHOOSE({1,2},INPUT!$A$3:$A$5000&amp;INPUT!$C$3:$C$5000,INPUT!$D$3:$D$5000),2,FALSE),"")</f>
        <v>TEC-TAC</v>
      </c>
      <c r="I940" s="46">
        <f>IF(INPUT!P935="","",INPUT!P935)</f>
        <v>74.099999999999994</v>
      </c>
      <c r="J940" s="46">
        <f>IF(INPUT!Q935="","",INPUT!Q935)</f>
        <v>74.2</v>
      </c>
      <c r="K940" s="46">
        <f>IFERROR(IF(OR(INPUT!P935="",INPUT!Q935=""),"",INPUT!P935-INPUT!Q935),"")</f>
        <v>-0.10000000000000853</v>
      </c>
      <c r="L940" s="48">
        <f>IFERROR(IF(OR(INPUT!P935="",INPUT!Q935="",INPUT!P935=0),"",(INPUT!P935-INPUT!Q935)/INPUT!P935),"")</f>
        <v>-1.3495276653172541E-3</v>
      </c>
    </row>
    <row r="941" spans="1:12" ht="18" hidden="1" customHeight="1" x14ac:dyDescent="0.2">
      <c r="A941" s="11">
        <f>IF(INPUT!M936="","",INPUT!M936)</f>
        <v>45946</v>
      </c>
      <c r="B941" s="11">
        <f>IF(INPUT!M936="","",INPUT!M936-WEEKDAY(INPUT!M936,2)+1)</f>
        <v>45943</v>
      </c>
      <c r="C941" s="20">
        <f>IFERROR(_xlfn.ISOWEEKNUM(INPUT!M936),"")</f>
        <v>42</v>
      </c>
      <c r="D941" s="20">
        <f>IFERROR(YEAR(INPUT!M936),"")</f>
        <v>2025</v>
      </c>
      <c r="E941" t="str">
        <f>IF(INPUT!O936="","",INPUT!O936)</f>
        <v>RUBIO</v>
      </c>
      <c r="F941" t="str">
        <f>IF(INPUT!N936="","",INPUT!N936)</f>
        <v>M</v>
      </c>
      <c r="G941" t="str" cm="1">
        <f t="array" ref="G941">IFERROR(VLOOKUP(INPUT!M936&amp;INPUT!N936,CHOOSE({1,2},INPUT!$A$3:$A$5000&amp;INPUT!$C$3:$C$5000,INPUT!$F$3:$F$5000),2,FALSE),"")</f>
        <v>PRE-TEMPORADA</v>
      </c>
      <c r="H941" t="str" cm="1">
        <f t="array" ref="H941">IFERROR(VLOOKUP(INPUT!M936&amp;INPUT!N936,CHOOSE({1,2},INPUT!$A$3:$A$5000&amp;INPUT!$C$3:$C$5000,INPUT!$D$3:$D$5000),2,FALSE),"")</f>
        <v>TEC-TAC</v>
      </c>
      <c r="I941" s="46">
        <f>IF(INPUT!P936="","",INPUT!P936)</f>
        <v>75.2</v>
      </c>
      <c r="J941" s="46">
        <f>IF(INPUT!Q936="","",INPUT!Q936)</f>
        <v>75.3</v>
      </c>
      <c r="K941" s="46">
        <f>IFERROR(IF(OR(INPUT!P936="",INPUT!Q936=""),"",INPUT!P936-INPUT!Q936),"")</f>
        <v>-9.9999999999994316E-2</v>
      </c>
      <c r="L941" s="48">
        <f>IFERROR(IF(OR(INPUT!P936="",INPUT!Q936="",INPUT!P936=0),"",(INPUT!P936-INPUT!Q936)/INPUT!P936),"")</f>
        <v>-1.3297872340424775E-3</v>
      </c>
    </row>
    <row r="942" spans="1:12" ht="18" hidden="1" customHeight="1" x14ac:dyDescent="0.2">
      <c r="A942" s="11">
        <f>IF(INPUT!M937="","",INPUT!M937)</f>
        <v>45946</v>
      </c>
      <c r="B942" s="11">
        <f>IF(INPUT!M937="","",INPUT!M937-WEEKDAY(INPUT!M937,2)+1)</f>
        <v>45943</v>
      </c>
      <c r="C942" s="20">
        <f>IFERROR(_xlfn.ISOWEEKNUM(INPUT!M937),"")</f>
        <v>42</v>
      </c>
      <c r="D942" s="20">
        <f>IFERROR(YEAR(INPUT!M937),"")</f>
        <v>2025</v>
      </c>
      <c r="E942" t="str">
        <f>IF(INPUT!O937="","",INPUT!O937)</f>
        <v>DANI</v>
      </c>
      <c r="F942" t="str">
        <f>IF(INPUT!N937="","",INPUT!N937)</f>
        <v>M</v>
      </c>
      <c r="G942" t="str" cm="1">
        <f t="array" ref="G942">IFERROR(VLOOKUP(INPUT!M937&amp;INPUT!N937,CHOOSE({1,2},INPUT!$A$3:$A$5000&amp;INPUT!$C$3:$C$5000,INPUT!$F$3:$F$5000),2,FALSE),"")</f>
        <v>PRE-TEMPORADA</v>
      </c>
      <c r="H942" t="str" cm="1">
        <f t="array" ref="H942">IFERROR(VLOOKUP(INPUT!M937&amp;INPUT!N937,CHOOSE({1,2},INPUT!$A$3:$A$5000&amp;INPUT!$C$3:$C$5000,INPUT!$D$3:$D$5000),2,FALSE),"")</f>
        <v>TEC-TAC</v>
      </c>
      <c r="I942" s="46">
        <f>IF(INPUT!P937="","",INPUT!P937)</f>
        <v>93.1</v>
      </c>
      <c r="J942" s="46">
        <f>IF(INPUT!Q937="","",INPUT!Q937)</f>
        <v>92.3</v>
      </c>
      <c r="K942" s="46">
        <f>IFERROR(IF(OR(INPUT!P937="",INPUT!Q937=""),"",INPUT!P937-INPUT!Q937),"")</f>
        <v>0.79999999999999716</v>
      </c>
      <c r="L942" s="48">
        <f>IFERROR(IF(OR(INPUT!P937="",INPUT!Q937="",INPUT!P937=0),"",(INPUT!P937-INPUT!Q937)/INPUT!P937),"")</f>
        <v>8.5929108485499166E-3</v>
      </c>
    </row>
    <row r="943" spans="1:12" ht="18" hidden="1" customHeight="1" x14ac:dyDescent="0.2">
      <c r="A943" s="11">
        <f>IF(INPUT!M938="","",INPUT!M938)</f>
        <v>45946</v>
      </c>
      <c r="B943" s="11">
        <f>IF(INPUT!M938="","",INPUT!M938-WEEKDAY(INPUT!M938,2)+1)</f>
        <v>45943</v>
      </c>
      <c r="C943" s="20">
        <f>IFERROR(_xlfn.ISOWEEKNUM(INPUT!M938),"")</f>
        <v>42</v>
      </c>
      <c r="D943" s="20">
        <f>IFERROR(YEAR(INPUT!M938),"")</f>
        <v>2025</v>
      </c>
      <c r="E943" t="str">
        <f>IF(INPUT!O938="","",INPUT!O938)</f>
        <v>JAIME</v>
      </c>
      <c r="F943" t="str">
        <f>IF(INPUT!N938="","",INPUT!N938)</f>
        <v>M</v>
      </c>
      <c r="G943" t="str" cm="1">
        <f t="array" ref="G943">IFERROR(VLOOKUP(INPUT!M938&amp;INPUT!N938,CHOOSE({1,2},INPUT!$A$3:$A$5000&amp;INPUT!$C$3:$C$5000,INPUT!$F$3:$F$5000),2,FALSE),"")</f>
        <v>PRE-TEMPORADA</v>
      </c>
      <c r="H943" t="str" cm="1">
        <f t="array" ref="H943">IFERROR(VLOOKUP(INPUT!M938&amp;INPUT!N938,CHOOSE({1,2},INPUT!$A$3:$A$5000&amp;INPUT!$C$3:$C$5000,INPUT!$D$3:$D$5000),2,FALSE),"")</f>
        <v>TEC-TAC</v>
      </c>
      <c r="I943" s="46">
        <f>IF(INPUT!P938="","",INPUT!P938)</f>
        <v>75.400000000000006</v>
      </c>
      <c r="J943" s="46">
        <f>IF(INPUT!Q938="","",INPUT!Q938)</f>
        <v>75.7</v>
      </c>
      <c r="K943" s="46">
        <f>IFERROR(IF(OR(INPUT!P938="",INPUT!Q938=""),"",INPUT!P938-INPUT!Q938),"")</f>
        <v>-0.29999999999999716</v>
      </c>
      <c r="L943" s="48">
        <f>IFERROR(IF(OR(INPUT!P938="",INPUT!Q938="",INPUT!P938=0),"",(INPUT!P938-INPUT!Q938)/INPUT!P938),"")</f>
        <v>-3.9787798408487682E-3</v>
      </c>
    </row>
    <row r="944" spans="1:12" ht="18" hidden="1" customHeight="1" x14ac:dyDescent="0.2">
      <c r="A944" s="11">
        <f>IF(INPUT!M939="","",INPUT!M939)</f>
        <v>45947</v>
      </c>
      <c r="B944" s="11">
        <f>IF(INPUT!M939="","",INPUT!M939-WEEKDAY(INPUT!M939,2)+1)</f>
        <v>45943</v>
      </c>
      <c r="C944" s="20">
        <f>IFERROR(_xlfn.ISOWEEKNUM(INPUT!M939),"")</f>
        <v>42</v>
      </c>
      <c r="D944" s="20">
        <f>IFERROR(YEAR(INPUT!M939),"")</f>
        <v>2025</v>
      </c>
      <c r="E944" t="str">
        <f>IF(INPUT!O939="","",INPUT!O939)</f>
        <v>HERRERO</v>
      </c>
      <c r="F944" t="str">
        <f>IF(INPUT!N939="","",INPUT!N939)</f>
        <v>M</v>
      </c>
      <c r="G944" t="str" cm="1">
        <f t="array" ref="G944">IFERROR(VLOOKUP(INPUT!M939&amp;INPUT!N939,CHOOSE({1,2},INPUT!$A$3:$A$5000&amp;INPUT!$C$3:$C$5000,INPUT!$F$3:$F$5000),2,FALSE),"")</f>
        <v>PRE-TEMPORADA</v>
      </c>
      <c r="H944" t="str" cm="1">
        <f t="array" ref="H944">IFERROR(VLOOKUP(INPUT!M939&amp;INPUT!N939,CHOOSE({1,2},INPUT!$A$3:$A$5000&amp;INPUT!$C$3:$C$5000,INPUT!$D$3:$D$5000),2,FALSE),"")</f>
        <v>GYM+TEC-TAC</v>
      </c>
      <c r="I944" s="46">
        <f>IF(INPUT!P939="","",INPUT!P939)</f>
        <v>77</v>
      </c>
      <c r="J944" s="46">
        <f>IF(INPUT!Q939="","",INPUT!Q939)</f>
        <v>76.900000000000006</v>
      </c>
      <c r="K944" s="46">
        <f>IFERROR(IF(OR(INPUT!P939="",INPUT!Q939=""),"",INPUT!P939-INPUT!Q939),"")</f>
        <v>9.9999999999994316E-2</v>
      </c>
      <c r="L944" s="48">
        <f>IFERROR(IF(OR(INPUT!P939="",INPUT!Q939="",INPUT!P939=0),"",(INPUT!P939-INPUT!Q939)/INPUT!P939),"")</f>
        <v>1.298701298701225E-3</v>
      </c>
    </row>
    <row r="945" spans="1:12" ht="18" hidden="1" customHeight="1" x14ac:dyDescent="0.2">
      <c r="A945" s="11">
        <f>IF(INPUT!M940="","",INPUT!M940)</f>
        <v>45947</v>
      </c>
      <c r="B945" s="11">
        <f>IF(INPUT!M940="","",INPUT!M940-WEEKDAY(INPUT!M940,2)+1)</f>
        <v>45943</v>
      </c>
      <c r="C945" s="20">
        <f>IFERROR(_xlfn.ISOWEEKNUM(INPUT!M940),"")</f>
        <v>42</v>
      </c>
      <c r="D945" s="20">
        <f>IFERROR(YEAR(INPUT!M940),"")</f>
        <v>2025</v>
      </c>
      <c r="E945" t="str">
        <f>IF(INPUT!O940="","",INPUT!O940)</f>
        <v>GARCIA</v>
      </c>
      <c r="F945" t="str">
        <f>IF(INPUT!N940="","",INPUT!N940)</f>
        <v>M</v>
      </c>
      <c r="G945" t="str" cm="1">
        <f t="array" ref="G945">IFERROR(VLOOKUP(INPUT!M940&amp;INPUT!N940,CHOOSE({1,2},INPUT!$A$3:$A$5000&amp;INPUT!$C$3:$C$5000,INPUT!$F$3:$F$5000),2,FALSE),"")</f>
        <v>PRE-TEMPORADA</v>
      </c>
      <c r="H945" t="str" cm="1">
        <f t="array" ref="H945">IFERROR(VLOOKUP(INPUT!M940&amp;INPUT!N940,CHOOSE({1,2},INPUT!$A$3:$A$5000&amp;INPUT!$C$3:$C$5000,INPUT!$D$3:$D$5000),2,FALSE),"")</f>
        <v>GYM+TEC-TAC</v>
      </c>
      <c r="I945" s="46">
        <f>IF(INPUT!P940="","",INPUT!P940)</f>
        <v>79.900000000000006</v>
      </c>
      <c r="J945" s="46">
        <f>IF(INPUT!Q940="","",INPUT!Q940)</f>
        <v>79.8</v>
      </c>
      <c r="K945" s="46">
        <f>IFERROR(IF(OR(INPUT!P940="",INPUT!Q940=""),"",INPUT!P940-INPUT!Q940),"")</f>
        <v>0.10000000000000853</v>
      </c>
      <c r="L945" s="48">
        <f>IFERROR(IF(OR(INPUT!P940="",INPUT!Q940="",INPUT!P940=0),"",(INPUT!P940-INPUT!Q940)/INPUT!P940),"")</f>
        <v>1.2515644555695685E-3</v>
      </c>
    </row>
    <row r="946" spans="1:12" ht="18" hidden="1" customHeight="1" x14ac:dyDescent="0.2">
      <c r="A946" s="11">
        <f>IF(INPUT!M941="","",INPUT!M941)</f>
        <v>45947</v>
      </c>
      <c r="B946" s="11">
        <f>IF(INPUT!M941="","",INPUT!M941-WEEKDAY(INPUT!M941,2)+1)</f>
        <v>45943</v>
      </c>
      <c r="C946" s="20">
        <f>IFERROR(_xlfn.ISOWEEKNUM(INPUT!M941),"")</f>
        <v>42</v>
      </c>
      <c r="D946" s="20">
        <f>IFERROR(YEAR(INPUT!M941),"")</f>
        <v>2025</v>
      </c>
      <c r="E946" t="str">
        <f>IF(INPUT!O941="","",INPUT!O941)</f>
        <v>CECILIO</v>
      </c>
      <c r="F946" t="str">
        <f>IF(INPUT!N941="","",INPUT!N941)</f>
        <v>M</v>
      </c>
      <c r="G946" t="str" cm="1">
        <f t="array" ref="G946">IFERROR(VLOOKUP(INPUT!M941&amp;INPUT!N941,CHOOSE({1,2},INPUT!$A$3:$A$5000&amp;INPUT!$C$3:$C$5000,INPUT!$F$3:$F$5000),2,FALSE),"")</f>
        <v>PRE-TEMPORADA</v>
      </c>
      <c r="H946" t="str" cm="1">
        <f t="array" ref="H946">IFERROR(VLOOKUP(INPUT!M941&amp;INPUT!N941,CHOOSE({1,2},INPUT!$A$3:$A$5000&amp;INPUT!$C$3:$C$5000,INPUT!$D$3:$D$5000),2,FALSE),"")</f>
        <v>GYM+TEC-TAC</v>
      </c>
      <c r="I946" s="46">
        <f>IF(INPUT!P941="","",INPUT!P941)</f>
        <v>67.5</v>
      </c>
      <c r="J946" s="46">
        <f>IF(INPUT!Q941="","",INPUT!Q941)</f>
        <v>66.8</v>
      </c>
      <c r="K946" s="46">
        <f>IFERROR(IF(OR(INPUT!P941="",INPUT!Q941=""),"",INPUT!P941-INPUT!Q941),"")</f>
        <v>0.70000000000000284</v>
      </c>
      <c r="L946" s="48">
        <f>IFERROR(IF(OR(INPUT!P941="",INPUT!Q941="",INPUT!P941=0),"",(INPUT!P941-INPUT!Q941)/INPUT!P941),"")</f>
        <v>1.0370370370370412E-2</v>
      </c>
    </row>
    <row r="947" spans="1:12" ht="18" hidden="1" customHeight="1" x14ac:dyDescent="0.2">
      <c r="A947" s="11">
        <f>IF(INPUT!M942="","",INPUT!M942)</f>
        <v>45947</v>
      </c>
      <c r="B947" s="11">
        <f>IF(INPUT!M942="","",INPUT!M942-WEEKDAY(INPUT!M942,2)+1)</f>
        <v>45943</v>
      </c>
      <c r="C947" s="20">
        <f>IFERROR(_xlfn.ISOWEEKNUM(INPUT!M942),"")</f>
        <v>42</v>
      </c>
      <c r="D947" s="20">
        <f>IFERROR(YEAR(INPUT!M942),"")</f>
        <v>2025</v>
      </c>
      <c r="E947" t="str">
        <f>IF(INPUT!O942="","",INPUT!O942)</f>
        <v>CHAGUINHA</v>
      </c>
      <c r="F947" t="str">
        <f>IF(INPUT!N942="","",INPUT!N942)</f>
        <v>M</v>
      </c>
      <c r="G947" t="str" cm="1">
        <f t="array" ref="G947">IFERROR(VLOOKUP(INPUT!M942&amp;INPUT!N942,CHOOSE({1,2},INPUT!$A$3:$A$5000&amp;INPUT!$C$3:$C$5000,INPUT!$F$3:$F$5000),2,FALSE),"")</f>
        <v>PRE-TEMPORADA</v>
      </c>
      <c r="H947" t="str" cm="1">
        <f t="array" ref="H947">IFERROR(VLOOKUP(INPUT!M942&amp;INPUT!N942,CHOOSE({1,2},INPUT!$A$3:$A$5000&amp;INPUT!$C$3:$C$5000,INPUT!$D$3:$D$5000),2,FALSE),"")</f>
        <v>GYM+TEC-TAC</v>
      </c>
      <c r="I947" s="46">
        <f>IF(INPUT!P942="","",INPUT!P942)</f>
        <v>69</v>
      </c>
      <c r="J947" s="46">
        <f>IF(INPUT!Q942="","",INPUT!Q942)</f>
        <v>68.3</v>
      </c>
      <c r="K947" s="46">
        <f>IFERROR(IF(OR(INPUT!P942="",INPUT!Q942=""),"",INPUT!P942-INPUT!Q942),"")</f>
        <v>0.70000000000000284</v>
      </c>
      <c r="L947" s="48">
        <f>IFERROR(IF(OR(INPUT!P942="",INPUT!Q942="",INPUT!P942=0),"",(INPUT!P942-INPUT!Q942)/INPUT!P942),"")</f>
        <v>1.0144927536231925E-2</v>
      </c>
    </row>
    <row r="948" spans="1:12" ht="18" hidden="1" customHeight="1" x14ac:dyDescent="0.2">
      <c r="A948" s="11">
        <f>IF(INPUT!M943="","",INPUT!M943)</f>
        <v>45947</v>
      </c>
      <c r="B948" s="11">
        <f>IF(INPUT!M943="","",INPUT!M943-WEEKDAY(INPUT!M943,2)+1)</f>
        <v>45943</v>
      </c>
      <c r="C948" s="20">
        <f>IFERROR(_xlfn.ISOWEEKNUM(INPUT!M943),"")</f>
        <v>42</v>
      </c>
      <c r="D948" s="20">
        <f>IFERROR(YEAR(INPUT!M943),"")</f>
        <v>2025</v>
      </c>
      <c r="E948" t="str">
        <f>IF(INPUT!O943="","",INPUT!O943)</f>
        <v>HARRISON</v>
      </c>
      <c r="F948" t="str">
        <f>IF(INPUT!N943="","",INPUT!N943)</f>
        <v>M</v>
      </c>
      <c r="G948" t="str" cm="1">
        <f t="array" ref="G948">IFERROR(VLOOKUP(INPUT!M943&amp;INPUT!N943,CHOOSE({1,2},INPUT!$A$3:$A$5000&amp;INPUT!$C$3:$C$5000,INPUT!$F$3:$F$5000),2,FALSE),"")</f>
        <v>PRE-TEMPORADA</v>
      </c>
      <c r="H948" t="str" cm="1">
        <f t="array" ref="H948">IFERROR(VLOOKUP(INPUT!M943&amp;INPUT!N943,CHOOSE({1,2},INPUT!$A$3:$A$5000&amp;INPUT!$C$3:$C$5000,INPUT!$D$3:$D$5000),2,FALSE),"")</f>
        <v>GYM+TEC-TAC</v>
      </c>
      <c r="I948" s="46">
        <f>IF(INPUT!P943="","",INPUT!P943)</f>
        <v>71.900000000000006</v>
      </c>
      <c r="J948" s="46">
        <f>IF(INPUT!Q943="","",INPUT!Q943)</f>
        <v>71.7</v>
      </c>
      <c r="K948" s="46">
        <f>IFERROR(IF(OR(INPUT!P943="",INPUT!Q943=""),"",INPUT!P943-INPUT!Q943),"")</f>
        <v>0.20000000000000284</v>
      </c>
      <c r="L948" s="48">
        <f>IFERROR(IF(OR(INPUT!P943="",INPUT!Q943="",INPUT!P943=0),"",(INPUT!P943-INPUT!Q943)/INPUT!P943),"")</f>
        <v>2.78164116828933E-3</v>
      </c>
    </row>
    <row r="949" spans="1:12" ht="18" hidden="1" customHeight="1" x14ac:dyDescent="0.2">
      <c r="A949" s="11">
        <f>IF(INPUT!M944="","",INPUT!M944)</f>
        <v>45947</v>
      </c>
      <c r="B949" s="11">
        <f>IF(INPUT!M944="","",INPUT!M944-WEEKDAY(INPUT!M944,2)+1)</f>
        <v>45943</v>
      </c>
      <c r="C949" s="20">
        <f>IFERROR(_xlfn.ISOWEEKNUM(INPUT!M944),"")</f>
        <v>42</v>
      </c>
      <c r="D949" s="20">
        <f>IFERROR(YEAR(INPUT!M944),"")</f>
        <v>2025</v>
      </c>
      <c r="E949" t="str">
        <f>IF(INPUT!O944="","",INPUT!O944)</f>
        <v>RAYA</v>
      </c>
      <c r="F949" t="str">
        <f>IF(INPUT!N944="","",INPUT!N944)</f>
        <v>M</v>
      </c>
      <c r="G949" t="str" cm="1">
        <f t="array" ref="G949">IFERROR(VLOOKUP(INPUT!M944&amp;INPUT!N944,CHOOSE({1,2},INPUT!$A$3:$A$5000&amp;INPUT!$C$3:$C$5000,INPUT!$F$3:$F$5000),2,FALSE),"")</f>
        <v>PRE-TEMPORADA</v>
      </c>
      <c r="H949" t="str" cm="1">
        <f t="array" ref="H949">IFERROR(VLOOKUP(INPUT!M944&amp;INPUT!N944,CHOOSE({1,2},INPUT!$A$3:$A$5000&amp;INPUT!$C$3:$C$5000,INPUT!$D$3:$D$5000),2,FALSE),"")</f>
        <v>GYM+TEC-TAC</v>
      </c>
      <c r="I949" s="46">
        <f>IF(INPUT!P944="","",INPUT!P944)</f>
        <v>82.2</v>
      </c>
      <c r="J949" s="46">
        <f>IF(INPUT!Q944="","",INPUT!Q944)</f>
        <v>81.2</v>
      </c>
      <c r="K949" s="46">
        <f>IFERROR(IF(OR(INPUT!P944="",INPUT!Q944=""),"",INPUT!P944-INPUT!Q944),"")</f>
        <v>1</v>
      </c>
      <c r="L949" s="48">
        <f>IFERROR(IF(OR(INPUT!P944="",INPUT!Q944="",INPUT!P944=0),"",(INPUT!P944-INPUT!Q944)/INPUT!P944),"")</f>
        <v>1.21654501216545E-2</v>
      </c>
    </row>
    <row r="950" spans="1:12" ht="18" hidden="1" customHeight="1" x14ac:dyDescent="0.2">
      <c r="A950" s="11">
        <f>IF(INPUT!M945="","",INPUT!M945)</f>
        <v>45947</v>
      </c>
      <c r="B950" s="11">
        <f>IF(INPUT!M945="","",INPUT!M945-WEEKDAY(INPUT!M945,2)+1)</f>
        <v>45943</v>
      </c>
      <c r="C950" s="20">
        <f>IFERROR(_xlfn.ISOWEEKNUM(INPUT!M945),"")</f>
        <v>42</v>
      </c>
      <c r="D950" s="20">
        <f>IFERROR(YEAR(INPUT!M945),"")</f>
        <v>2025</v>
      </c>
      <c r="E950" t="str">
        <f>IF(INPUT!O945="","",INPUT!O945)</f>
        <v>JAVI</v>
      </c>
      <c r="F950" t="str">
        <f>IF(INPUT!N945="","",INPUT!N945)</f>
        <v>M</v>
      </c>
      <c r="G950" t="str" cm="1">
        <f t="array" ref="G950">IFERROR(VLOOKUP(INPUT!M945&amp;INPUT!N945,CHOOSE({1,2},INPUT!$A$3:$A$5000&amp;INPUT!$C$3:$C$5000,INPUT!$F$3:$F$5000),2,FALSE),"")</f>
        <v>PRE-TEMPORADA</v>
      </c>
      <c r="H950" t="str" cm="1">
        <f t="array" ref="H950">IFERROR(VLOOKUP(INPUT!M945&amp;INPUT!N945,CHOOSE({1,2},INPUT!$A$3:$A$5000&amp;INPUT!$C$3:$C$5000,INPUT!$D$3:$D$5000),2,FALSE),"")</f>
        <v>GYM+TEC-TAC</v>
      </c>
      <c r="I950" s="46">
        <f>IF(INPUT!P945="","",INPUT!P945)</f>
        <v>79</v>
      </c>
      <c r="J950" s="46">
        <f>IF(INPUT!Q945="","",INPUT!Q945)</f>
        <v>79</v>
      </c>
      <c r="K950" s="46">
        <f>IFERROR(IF(OR(INPUT!P945="",INPUT!Q945=""),"",INPUT!P945-INPUT!Q945),"")</f>
        <v>0</v>
      </c>
      <c r="L950" s="48">
        <f>IFERROR(IF(OR(INPUT!P945="",INPUT!Q945="",INPUT!P945=0),"",(INPUT!P945-INPUT!Q945)/INPUT!P945),"")</f>
        <v>0</v>
      </c>
    </row>
    <row r="951" spans="1:12" ht="18" hidden="1" customHeight="1" x14ac:dyDescent="0.2">
      <c r="A951" s="11">
        <f>IF(INPUT!M946="","",INPUT!M946)</f>
        <v>45947</v>
      </c>
      <c r="B951" s="11">
        <f>IF(INPUT!M946="","",INPUT!M946-WEEKDAY(INPUT!M946,2)+1)</f>
        <v>45943</v>
      </c>
      <c r="C951" s="20">
        <f>IFERROR(_xlfn.ISOWEEKNUM(INPUT!M946),"")</f>
        <v>42</v>
      </c>
      <c r="D951" s="20">
        <f>IFERROR(YEAR(INPUT!M946),"")</f>
        <v>2025</v>
      </c>
      <c r="E951" t="str">
        <f>IF(INPUT!O946="","",INPUT!O946)</f>
        <v>PANI</v>
      </c>
      <c r="F951" t="str">
        <f>IF(INPUT!N946="","",INPUT!N946)</f>
        <v>M</v>
      </c>
      <c r="G951" t="str" cm="1">
        <f t="array" ref="G951">IFERROR(VLOOKUP(INPUT!M946&amp;INPUT!N946,CHOOSE({1,2},INPUT!$A$3:$A$5000&amp;INPUT!$C$3:$C$5000,INPUT!$F$3:$F$5000),2,FALSE),"")</f>
        <v>PRE-TEMPORADA</v>
      </c>
      <c r="H951" t="str" cm="1">
        <f t="array" ref="H951">IFERROR(VLOOKUP(INPUT!M946&amp;INPUT!N946,CHOOSE({1,2},INPUT!$A$3:$A$5000&amp;INPUT!$C$3:$C$5000,INPUT!$D$3:$D$5000),2,FALSE),"")</f>
        <v>GYM+TEC-TAC</v>
      </c>
      <c r="I951" s="46">
        <f>IF(INPUT!P946="","",INPUT!P946)</f>
        <v>69.8</v>
      </c>
      <c r="J951" s="46">
        <f>IF(INPUT!Q946="","",INPUT!Q946)</f>
        <v>69.400000000000006</v>
      </c>
      <c r="K951" s="46">
        <f>IFERROR(IF(OR(INPUT!P946="",INPUT!Q946=""),"",INPUT!P946-INPUT!Q946),"")</f>
        <v>0.39999999999999147</v>
      </c>
      <c r="L951" s="48">
        <f>IFERROR(IF(OR(INPUT!P946="",INPUT!Q946="",INPUT!P946=0),"",(INPUT!P946-INPUT!Q946)/INPUT!P946),"")</f>
        <v>5.730659025787844E-3</v>
      </c>
    </row>
    <row r="952" spans="1:12" ht="18" hidden="1" customHeight="1" x14ac:dyDescent="0.2">
      <c r="A952" s="11">
        <f>IF(INPUT!M947="","",INPUT!M947)</f>
        <v>45947</v>
      </c>
      <c r="B952" s="11">
        <f>IF(INPUT!M947="","",INPUT!M947-WEEKDAY(INPUT!M947,2)+1)</f>
        <v>45943</v>
      </c>
      <c r="C952" s="20">
        <f>IFERROR(_xlfn.ISOWEEKNUM(INPUT!M947),"")</f>
        <v>42</v>
      </c>
      <c r="D952" s="20">
        <f>IFERROR(YEAR(INPUT!M947),"")</f>
        <v>2025</v>
      </c>
      <c r="E952" t="str">
        <f>IF(INPUT!O947="","",INPUT!O947)</f>
        <v>PIRATA</v>
      </c>
      <c r="F952" t="str">
        <f>IF(INPUT!N947="","",INPUT!N947)</f>
        <v>M</v>
      </c>
      <c r="G952" t="str" cm="1">
        <f t="array" ref="G952">IFERROR(VLOOKUP(INPUT!M947&amp;INPUT!N947,CHOOSE({1,2},INPUT!$A$3:$A$5000&amp;INPUT!$C$3:$C$5000,INPUT!$F$3:$F$5000),2,FALSE),"")</f>
        <v>PRE-TEMPORADA</v>
      </c>
      <c r="H952" t="str" cm="1">
        <f t="array" ref="H952">IFERROR(VLOOKUP(INPUT!M947&amp;INPUT!N947,CHOOSE({1,2},INPUT!$A$3:$A$5000&amp;INPUT!$C$3:$C$5000,INPUT!$D$3:$D$5000),2,FALSE),"")</f>
        <v>GYM+TEC-TAC</v>
      </c>
      <c r="I952" s="46">
        <f>IF(INPUT!P947="","",INPUT!P947)</f>
        <v>75.599999999999994</v>
      </c>
      <c r="J952" s="46">
        <f>IF(INPUT!Q947="","",INPUT!Q947)</f>
        <v>75.5</v>
      </c>
      <c r="K952" s="46">
        <f>IFERROR(IF(OR(INPUT!P947="",INPUT!Q947=""),"",INPUT!P947-INPUT!Q947),"")</f>
        <v>9.9999999999994316E-2</v>
      </c>
      <c r="L952" s="48">
        <f>IFERROR(IF(OR(INPUT!P947="",INPUT!Q947="",INPUT!P947=0),"",(INPUT!P947-INPUT!Q947)/INPUT!P947),"")</f>
        <v>1.3227513227512477E-3</v>
      </c>
    </row>
    <row r="953" spans="1:12" ht="18" hidden="1" customHeight="1" x14ac:dyDescent="0.2">
      <c r="A953" s="11">
        <f>IF(INPUT!M948="","",INPUT!M948)</f>
        <v>45947</v>
      </c>
      <c r="B953" s="11">
        <f>IF(INPUT!M948="","",INPUT!M948-WEEKDAY(INPUT!M948,2)+1)</f>
        <v>45943</v>
      </c>
      <c r="C953" s="20">
        <f>IFERROR(_xlfn.ISOWEEKNUM(INPUT!M948),"")</f>
        <v>42</v>
      </c>
      <c r="D953" s="20">
        <f>IFERROR(YEAR(INPUT!M948),"")</f>
        <v>2025</v>
      </c>
      <c r="E953" t="str">
        <f>IF(INPUT!O948="","",INPUT!O948)</f>
        <v>BARONA</v>
      </c>
      <c r="F953" t="str">
        <f>IF(INPUT!N948="","",INPUT!N948)</f>
        <v>M</v>
      </c>
      <c r="G953" t="str" cm="1">
        <f t="array" ref="G953">IFERROR(VLOOKUP(INPUT!M948&amp;INPUT!N948,CHOOSE({1,2},INPUT!$A$3:$A$5000&amp;INPUT!$C$3:$C$5000,INPUT!$F$3:$F$5000),2,FALSE),"")</f>
        <v>PRE-TEMPORADA</v>
      </c>
      <c r="H953" t="str" cm="1">
        <f t="array" ref="H953">IFERROR(VLOOKUP(INPUT!M948&amp;INPUT!N948,CHOOSE({1,2},INPUT!$A$3:$A$5000&amp;INPUT!$C$3:$C$5000,INPUT!$D$3:$D$5000),2,FALSE),"")</f>
        <v>GYM+TEC-TAC</v>
      </c>
      <c r="I953" s="46">
        <f>IF(INPUT!P948="","",INPUT!P948)</f>
        <v>71.8</v>
      </c>
      <c r="J953" s="46">
        <f>IF(INPUT!Q948="","",INPUT!Q948)</f>
        <v>71.099999999999994</v>
      </c>
      <c r="K953" s="46">
        <f>IFERROR(IF(OR(INPUT!P948="",INPUT!Q948=""),"",INPUT!P948-INPUT!Q948),"")</f>
        <v>0.70000000000000284</v>
      </c>
      <c r="L953" s="48">
        <f>IFERROR(IF(OR(INPUT!P948="",INPUT!Q948="",INPUT!P948=0),"",(INPUT!P948-INPUT!Q948)/INPUT!P948),"")</f>
        <v>9.7493036211699566E-3</v>
      </c>
    </row>
    <row r="954" spans="1:12" ht="18" hidden="1" customHeight="1" x14ac:dyDescent="0.2">
      <c r="A954" s="11">
        <f>IF(INPUT!M949="","",INPUT!M949)</f>
        <v>45947</v>
      </c>
      <c r="B954" s="11">
        <f>IF(INPUT!M949="","",INPUT!M949-WEEKDAY(INPUT!M949,2)+1)</f>
        <v>45943</v>
      </c>
      <c r="C954" s="20">
        <f>IFERROR(_xlfn.ISOWEEKNUM(INPUT!M949),"")</f>
        <v>42</v>
      </c>
      <c r="D954" s="20">
        <f>IFERROR(YEAR(INPUT!M949),"")</f>
        <v>2025</v>
      </c>
      <c r="E954" t="str">
        <f>IF(INPUT!O949="","",INPUT!O949)</f>
        <v>CARLOS</v>
      </c>
      <c r="F954" t="str">
        <f>IF(INPUT!N949="","",INPUT!N949)</f>
        <v>M</v>
      </c>
      <c r="G954" t="str" cm="1">
        <f t="array" ref="G954">IFERROR(VLOOKUP(INPUT!M949&amp;INPUT!N949,CHOOSE({1,2},INPUT!$A$3:$A$5000&amp;INPUT!$C$3:$C$5000,INPUT!$F$3:$F$5000),2,FALSE),"")</f>
        <v>PRE-TEMPORADA</v>
      </c>
      <c r="H954" t="str" cm="1">
        <f t="array" ref="H954">IFERROR(VLOOKUP(INPUT!M949&amp;INPUT!N949,CHOOSE({1,2},INPUT!$A$3:$A$5000&amp;INPUT!$C$3:$C$5000,INPUT!$D$3:$D$5000),2,FALSE),"")</f>
        <v>GYM+TEC-TAC</v>
      </c>
      <c r="I954" s="46">
        <f>IF(INPUT!P949="","",INPUT!P949)</f>
        <v>67</v>
      </c>
      <c r="J954" s="46">
        <f>IF(INPUT!Q949="","",INPUT!Q949)</f>
        <v>66.900000000000006</v>
      </c>
      <c r="K954" s="46">
        <f>IFERROR(IF(OR(INPUT!P949="",INPUT!Q949=""),"",INPUT!P949-INPUT!Q949),"")</f>
        <v>9.9999999999994316E-2</v>
      </c>
      <c r="L954" s="48">
        <f>IFERROR(IF(OR(INPUT!P949="",INPUT!Q949="",INPUT!P949=0),"",(INPUT!P949-INPUT!Q949)/INPUT!P949),"")</f>
        <v>1.4925373134327511E-3</v>
      </c>
    </row>
    <row r="955" spans="1:12" ht="18" hidden="1" customHeight="1" x14ac:dyDescent="0.2">
      <c r="A955" s="11">
        <f>IF(INPUT!M950="","",INPUT!M950)</f>
        <v>45947</v>
      </c>
      <c r="B955" s="11">
        <f>IF(INPUT!M950="","",INPUT!M950-WEEKDAY(INPUT!M950,2)+1)</f>
        <v>45943</v>
      </c>
      <c r="C955" s="20">
        <f>IFERROR(_xlfn.ISOWEEKNUM(INPUT!M950),"")</f>
        <v>42</v>
      </c>
      <c r="D955" s="20">
        <f>IFERROR(YEAR(INPUT!M950),"")</f>
        <v>2025</v>
      </c>
      <c r="E955" t="str">
        <f>IF(INPUT!O950="","",INPUT!O950)</f>
        <v>GONZALO</v>
      </c>
      <c r="F955" t="str">
        <f>IF(INPUT!N950="","",INPUT!N950)</f>
        <v>M</v>
      </c>
      <c r="G955" t="str" cm="1">
        <f t="array" ref="G955">IFERROR(VLOOKUP(INPUT!M950&amp;INPUT!N950,CHOOSE({1,2},INPUT!$A$3:$A$5000&amp;INPUT!$C$3:$C$5000,INPUT!$F$3:$F$5000),2,FALSE),"")</f>
        <v>PRE-TEMPORADA</v>
      </c>
      <c r="H955" t="str" cm="1">
        <f t="array" ref="H955">IFERROR(VLOOKUP(INPUT!M950&amp;INPUT!N950,CHOOSE({1,2},INPUT!$A$3:$A$5000&amp;INPUT!$C$3:$C$5000,INPUT!$D$3:$D$5000),2,FALSE),"")</f>
        <v>GYM+TEC-TAC</v>
      </c>
      <c r="I955" s="46">
        <f>IF(INPUT!P950="","",INPUT!P950)</f>
        <v>83.4</v>
      </c>
      <c r="J955" s="46">
        <f>IF(INPUT!Q950="","",INPUT!Q950)</f>
        <v>83.2</v>
      </c>
      <c r="K955" s="46">
        <f>IFERROR(IF(OR(INPUT!P950="",INPUT!Q950=""),"",INPUT!P950-INPUT!Q950),"")</f>
        <v>0.20000000000000284</v>
      </c>
      <c r="L955" s="48">
        <f>IFERROR(IF(OR(INPUT!P950="",INPUT!Q950="",INPUT!P950=0),"",(INPUT!P950-INPUT!Q950)/INPUT!P950),"")</f>
        <v>2.3980815347722164E-3</v>
      </c>
    </row>
    <row r="956" spans="1:12" ht="18" hidden="1" customHeight="1" x14ac:dyDescent="0.2">
      <c r="A956" s="11">
        <f>IF(INPUT!M951="","",INPUT!M951)</f>
        <v>45947</v>
      </c>
      <c r="B956" s="11">
        <f>IF(INPUT!M951="","",INPUT!M951-WEEKDAY(INPUT!M951,2)+1)</f>
        <v>45943</v>
      </c>
      <c r="C956" s="20">
        <f>IFERROR(_xlfn.ISOWEEKNUM(INPUT!M951),"")</f>
        <v>42</v>
      </c>
      <c r="D956" s="20">
        <f>IFERROR(YEAR(INPUT!M951),"")</f>
        <v>2025</v>
      </c>
      <c r="E956" t="str">
        <f>IF(INPUT!O951="","",INPUT!O951)</f>
        <v>SEGO</v>
      </c>
      <c r="F956" t="str">
        <f>IF(INPUT!N951="","",INPUT!N951)</f>
        <v>M</v>
      </c>
      <c r="G956" t="str" cm="1">
        <f t="array" ref="G956">IFERROR(VLOOKUP(INPUT!M951&amp;INPUT!N951,CHOOSE({1,2},INPUT!$A$3:$A$5000&amp;INPUT!$C$3:$C$5000,INPUT!$F$3:$F$5000),2,FALSE),"")</f>
        <v>PRE-TEMPORADA</v>
      </c>
      <c r="H956" t="str" cm="1">
        <f t="array" ref="H956">IFERROR(VLOOKUP(INPUT!M951&amp;INPUT!N951,CHOOSE({1,2},INPUT!$A$3:$A$5000&amp;INPUT!$C$3:$C$5000,INPUT!$D$3:$D$5000),2,FALSE),"")</f>
        <v>GYM+TEC-TAC</v>
      </c>
      <c r="I956" s="46">
        <f>IF(INPUT!P951="","",INPUT!P951)</f>
        <v>75.400000000000006</v>
      </c>
      <c r="J956" s="46">
        <f>IF(INPUT!Q951="","",INPUT!Q951)</f>
        <v>75.599999999999994</v>
      </c>
      <c r="K956" s="46">
        <f>IFERROR(IF(OR(INPUT!P951="",INPUT!Q951=""),"",INPUT!P951-INPUT!Q951),"")</f>
        <v>-0.19999999999998863</v>
      </c>
      <c r="L956" s="48">
        <f>IFERROR(IF(OR(INPUT!P951="",INPUT!Q951="",INPUT!P951=0),"",(INPUT!P951-INPUT!Q951)/INPUT!P951),"")</f>
        <v>-2.6525198938990532E-3</v>
      </c>
    </row>
    <row r="957" spans="1:12" ht="18" customHeight="1" x14ac:dyDescent="0.2">
      <c r="A957" s="11">
        <f>IF(INPUT!M952="","",INPUT!M952)</f>
        <v>45947</v>
      </c>
      <c r="B957" s="11">
        <f>IF(INPUT!M952="","",INPUT!M952-WEEKDAY(INPUT!M952,2)+1)</f>
        <v>45943</v>
      </c>
      <c r="C957" s="20">
        <f>IFERROR(_xlfn.ISOWEEKNUM(INPUT!M952),"")</f>
        <v>42</v>
      </c>
      <c r="D957" s="20">
        <f>IFERROR(YEAR(INPUT!M952),"")</f>
        <v>2025</v>
      </c>
      <c r="E957" t="str">
        <f>IF(INPUT!O952="","",INPUT!O952)</f>
        <v>RUBIO</v>
      </c>
      <c r="F957" t="str">
        <f>IF(INPUT!N952="","",INPUT!N952)</f>
        <v>M</v>
      </c>
      <c r="G957" t="str" cm="1">
        <f t="array" ref="G957">IFERROR(VLOOKUP(INPUT!M952&amp;INPUT!N952,CHOOSE({1,2},INPUT!$A$3:$A$5000&amp;INPUT!$C$3:$C$5000,INPUT!$F$3:$F$5000),2,FALSE),"")</f>
        <v>PRE-TEMPORADA</v>
      </c>
      <c r="H957" t="str" cm="1">
        <f t="array" ref="H957">IFERROR(VLOOKUP(INPUT!M952&amp;INPUT!N952,CHOOSE({1,2},INPUT!$A$3:$A$5000&amp;INPUT!$C$3:$C$5000,INPUT!$D$3:$D$5000),2,FALSE),"")</f>
        <v>GYM+TEC-TAC</v>
      </c>
      <c r="I957" s="46">
        <f>IF(INPUT!P952="","",INPUT!P952)</f>
        <v>75.400000000000006</v>
      </c>
      <c r="J957" s="46">
        <f>IF(INPUT!Q952="","",INPUT!Q952)</f>
        <v>75.599999999999994</v>
      </c>
      <c r="K957" s="46">
        <f>IFERROR(IF(OR(INPUT!P952="",INPUT!Q952=""),"",INPUT!P952-INPUT!Q952),"")</f>
        <v>-0.19999999999998863</v>
      </c>
      <c r="L957" s="48">
        <f>IFERROR(IF(OR(INPUT!P952="",INPUT!Q952="",INPUT!P952=0),"",(INPUT!P952-INPUT!Q952)/INPUT!P952),"")</f>
        <v>-2.6525198938990532E-3</v>
      </c>
    </row>
    <row r="958" spans="1:12" ht="18" customHeight="1" x14ac:dyDescent="0.2">
      <c r="A958" s="11">
        <f>IF(INPUT!M953="","",INPUT!M953)</f>
        <v>45947</v>
      </c>
      <c r="B958" s="11">
        <f>IF(INPUT!M953="","",INPUT!M953-WEEKDAY(INPUT!M953,2)+1)</f>
        <v>45943</v>
      </c>
      <c r="C958" s="20">
        <f>IFERROR(_xlfn.ISOWEEKNUM(INPUT!M953),"")</f>
        <v>42</v>
      </c>
      <c r="D958" s="20">
        <f>IFERROR(YEAR(INPUT!M953),"")</f>
        <v>2025</v>
      </c>
      <c r="E958" t="str">
        <f>IF(INPUT!O953="","",INPUT!O953)</f>
        <v>DANI</v>
      </c>
      <c r="F958" t="str">
        <f>IF(INPUT!N953="","",INPUT!N953)</f>
        <v>M</v>
      </c>
      <c r="G958" t="str" cm="1">
        <f t="array" ref="G958">IFERROR(VLOOKUP(INPUT!M953&amp;INPUT!N953,CHOOSE({1,2},INPUT!$A$3:$A$5000&amp;INPUT!$C$3:$C$5000,INPUT!$F$3:$F$5000),2,FALSE),"")</f>
        <v>PRE-TEMPORADA</v>
      </c>
      <c r="H958" t="str" cm="1">
        <f t="array" ref="H958">IFERROR(VLOOKUP(INPUT!M953&amp;INPUT!N953,CHOOSE({1,2},INPUT!$A$3:$A$5000&amp;INPUT!$C$3:$C$5000,INPUT!$D$3:$D$5000),2,FALSE),"")</f>
        <v>GYM+TEC-TAC</v>
      </c>
      <c r="I958" s="46">
        <f>IF(INPUT!P953="","",INPUT!P953)</f>
        <v>93.6</v>
      </c>
      <c r="J958" s="46">
        <f>IF(INPUT!Q953="","",INPUT!Q953)</f>
        <v>93.1</v>
      </c>
      <c r="K958" s="46">
        <f>IFERROR(IF(OR(INPUT!P953="",INPUT!Q953=""),"",INPUT!P953-INPUT!Q953),"")</f>
        <v>0.5</v>
      </c>
      <c r="L958" s="48">
        <f>IFERROR(IF(OR(INPUT!P953="",INPUT!Q953="",INPUT!P953=0),"",(INPUT!P953-INPUT!Q953)/INPUT!P953),"")</f>
        <v>5.341880341880342E-3</v>
      </c>
    </row>
    <row r="959" spans="1:12" ht="18" customHeight="1" x14ac:dyDescent="0.2">
      <c r="A959" s="11">
        <f>IF(INPUT!M954="","",INPUT!M954)</f>
        <v>45947</v>
      </c>
      <c r="B959" s="11">
        <f>IF(INPUT!M954="","",INPUT!M954-WEEKDAY(INPUT!M954,2)+1)</f>
        <v>45943</v>
      </c>
      <c r="C959" s="20">
        <f>IFERROR(_xlfn.ISOWEEKNUM(INPUT!M954),"")</f>
        <v>42</v>
      </c>
      <c r="D959" s="20">
        <f>IFERROR(YEAR(INPUT!M954),"")</f>
        <v>2025</v>
      </c>
      <c r="E959" t="str">
        <f>IF(INPUT!O954="","",INPUT!O954)</f>
        <v>JAIME</v>
      </c>
      <c r="F959" t="str">
        <f>IF(INPUT!N954="","",INPUT!N954)</f>
        <v>M</v>
      </c>
      <c r="G959" t="str" cm="1">
        <f t="array" ref="G959">IFERROR(VLOOKUP(INPUT!M954&amp;INPUT!N954,CHOOSE({1,2},INPUT!$A$3:$A$5000&amp;INPUT!$C$3:$C$5000,INPUT!$F$3:$F$5000),2,FALSE),"")</f>
        <v>PRE-TEMPORADA</v>
      </c>
      <c r="H959" t="str" cm="1">
        <f t="array" ref="H959">IFERROR(VLOOKUP(INPUT!M954&amp;INPUT!N954,CHOOSE({1,2},INPUT!$A$3:$A$5000&amp;INPUT!$C$3:$C$5000,INPUT!$D$3:$D$5000),2,FALSE),"")</f>
        <v>GYM+TEC-TAC</v>
      </c>
      <c r="I959" s="46">
        <f>IF(INPUT!P954="","",INPUT!P954)</f>
        <v>76.099999999999994</v>
      </c>
      <c r="J959" s="46">
        <f>IF(INPUT!Q954="","",INPUT!Q954)</f>
        <v>76.5</v>
      </c>
      <c r="K959" s="46">
        <f>IFERROR(IF(OR(INPUT!P954="",INPUT!Q954=""),"",INPUT!P954-INPUT!Q954),"")</f>
        <v>-0.40000000000000568</v>
      </c>
      <c r="L959" s="48">
        <f>IFERROR(IF(OR(INPUT!P954="",INPUT!Q954="",INPUT!P954=0),"",(INPUT!P954-INPUT!Q954)/INPUT!P954),"")</f>
        <v>-5.2562417871222823E-3</v>
      </c>
    </row>
    <row r="960" spans="1:12" ht="18" hidden="1" customHeight="1" x14ac:dyDescent="0.2">
      <c r="A960" s="11">
        <f>IF(INPUT!M955="","",INPUT!M955)</f>
        <v>45950</v>
      </c>
      <c r="B960" s="11">
        <f>IF(INPUT!M955="","",INPUT!M955-WEEKDAY(INPUT!M955,2)+1)</f>
        <v>45950</v>
      </c>
      <c r="C960" s="20">
        <f>IFERROR(_xlfn.ISOWEEKNUM(INPUT!M955),"")</f>
        <v>43</v>
      </c>
      <c r="D960" s="20">
        <f>IFERROR(YEAR(INPUT!M955),"")</f>
        <v>2025</v>
      </c>
      <c r="E960" t="str">
        <f>IF(INPUT!O955="","",INPUT!O955)</f>
        <v>HERRERO</v>
      </c>
      <c r="F960" t="str">
        <f>IF(INPUT!N955="","",INPUT!N955)</f>
        <v>M</v>
      </c>
      <c r="G960" t="str" cm="1">
        <f t="array" ref="G960">IFERROR(VLOOKUP(INPUT!M955&amp;INPUT!N955,CHOOSE({1,2},INPUT!$A$3:$A$5000&amp;INPUT!$C$3:$C$5000,INPUT!$F$3:$F$5000),2,FALSE),"")</f>
        <v>PRE-TEMPORADA</v>
      </c>
      <c r="H960" t="str" cm="1">
        <f t="array" ref="H960">IFERROR(VLOOKUP(INPUT!M955&amp;INPUT!N955,CHOOSE({1,2},INPUT!$A$3:$A$5000&amp;INPUT!$C$3:$C$5000,INPUT!$D$3:$D$5000),2,FALSE),"")</f>
        <v>GYM+TEC-TAC</v>
      </c>
      <c r="I960" s="46">
        <f>IF(INPUT!P955="","",INPUT!P955)</f>
        <v>77</v>
      </c>
      <c r="J960" s="46">
        <f>IF(INPUT!Q955="","",INPUT!Q955)</f>
        <v>77</v>
      </c>
      <c r="K960" s="46">
        <f>IFERROR(IF(OR(INPUT!P955="",INPUT!Q955=""),"",INPUT!P955-INPUT!Q955),"")</f>
        <v>0</v>
      </c>
      <c r="L960" s="48">
        <f>IFERROR(IF(OR(INPUT!P955="",INPUT!Q955="",INPUT!P955=0),"",(INPUT!P955-INPUT!Q955)/INPUT!P955),"")</f>
        <v>0</v>
      </c>
    </row>
    <row r="961" spans="1:12" ht="18" hidden="1" customHeight="1" x14ac:dyDescent="0.2">
      <c r="A961" s="11">
        <f>IF(INPUT!M956="","",INPUT!M956)</f>
        <v>45950</v>
      </c>
      <c r="B961" s="11">
        <f>IF(INPUT!M956="","",INPUT!M956-WEEKDAY(INPUT!M956,2)+1)</f>
        <v>45950</v>
      </c>
      <c r="C961" s="20">
        <f>IFERROR(_xlfn.ISOWEEKNUM(INPUT!M956),"")</f>
        <v>43</v>
      </c>
      <c r="D961" s="20">
        <f>IFERROR(YEAR(INPUT!M956),"")</f>
        <v>2025</v>
      </c>
      <c r="E961" t="str">
        <f>IF(INPUT!O956="","",INPUT!O956)</f>
        <v>HERRERO</v>
      </c>
      <c r="F961" t="str">
        <f>IF(INPUT!N956="","",INPUT!N956)</f>
        <v>T</v>
      </c>
      <c r="G961" t="str" cm="1">
        <f t="array" ref="G961">IFERROR(VLOOKUP(INPUT!M956&amp;INPUT!N956,CHOOSE({1,2},INPUT!$A$3:$A$5000&amp;INPUT!$C$3:$C$5000,INPUT!$F$3:$F$5000),2,FALSE),"")</f>
        <v>PRE-TEMPORADA</v>
      </c>
      <c r="H961" t="str" cm="1">
        <f t="array" ref="H961">IFERROR(VLOOKUP(INPUT!M956&amp;INPUT!N956,CHOOSE({1,2},INPUT!$A$3:$A$5000&amp;INPUT!$C$3:$C$5000,INPUT!$D$3:$D$5000),2,FALSE),"")</f>
        <v>TEC-TAC</v>
      </c>
      <c r="I961" s="46">
        <f>IF(INPUT!P956="","",INPUT!P956)</f>
        <v>77</v>
      </c>
      <c r="J961" s="46">
        <f>IF(INPUT!Q956="","",INPUT!Q956)</f>
        <v>77</v>
      </c>
      <c r="K961" s="46">
        <f>IFERROR(IF(OR(INPUT!P956="",INPUT!Q956=""),"",INPUT!P956-INPUT!Q956),"")</f>
        <v>0</v>
      </c>
      <c r="L961" s="48">
        <f>IFERROR(IF(OR(INPUT!P956="",INPUT!Q956="",INPUT!P956=0),"",(INPUT!P956-INPUT!Q956)/INPUT!P956),"")</f>
        <v>0</v>
      </c>
    </row>
    <row r="962" spans="1:12" ht="18" hidden="1" customHeight="1" x14ac:dyDescent="0.2">
      <c r="A962" s="11">
        <f>IF(INPUT!M957="","",INPUT!M957)</f>
        <v>45950</v>
      </c>
      <c r="B962" s="11">
        <f>IF(INPUT!M957="","",INPUT!M957-WEEKDAY(INPUT!M957,2)+1)</f>
        <v>45950</v>
      </c>
      <c r="C962" s="20">
        <f>IFERROR(_xlfn.ISOWEEKNUM(INPUT!M957),"")</f>
        <v>43</v>
      </c>
      <c r="D962" s="20">
        <f>IFERROR(YEAR(INPUT!M957),"")</f>
        <v>2025</v>
      </c>
      <c r="E962" t="str">
        <f>IF(INPUT!O957="","",INPUT!O957)</f>
        <v>GARCIA</v>
      </c>
      <c r="F962" t="str">
        <f>IF(INPUT!N957="","",INPUT!N957)</f>
        <v>M</v>
      </c>
      <c r="G962" t="str" cm="1">
        <f t="array" ref="G962">IFERROR(VLOOKUP(INPUT!M957&amp;INPUT!N957,CHOOSE({1,2},INPUT!$A$3:$A$5000&amp;INPUT!$C$3:$C$5000,INPUT!$F$3:$F$5000),2,FALSE),"")</f>
        <v>PRE-TEMPORADA</v>
      </c>
      <c r="H962" t="str" cm="1">
        <f t="array" ref="H962">IFERROR(VLOOKUP(INPUT!M957&amp;INPUT!N957,CHOOSE({1,2},INPUT!$A$3:$A$5000&amp;INPUT!$C$3:$C$5000,INPUT!$D$3:$D$5000),2,FALSE),"")</f>
        <v>GYM+TEC-TAC</v>
      </c>
      <c r="I962" s="46">
        <f>IF(INPUT!P957="","",INPUT!P957)</f>
        <v>79.900000000000006</v>
      </c>
      <c r="J962" s="46">
        <f>IF(INPUT!Q957="","",INPUT!Q957)</f>
        <v>79.900000000000006</v>
      </c>
      <c r="K962" s="46">
        <f>IFERROR(IF(OR(INPUT!P957="",INPUT!Q957=""),"",INPUT!P957-INPUT!Q957),"")</f>
        <v>0</v>
      </c>
      <c r="L962" s="48">
        <f>IFERROR(IF(OR(INPUT!P957="",INPUT!Q957="",INPUT!P957=0),"",(INPUT!P957-INPUT!Q957)/INPUT!P957),"")</f>
        <v>0</v>
      </c>
    </row>
    <row r="963" spans="1:12" ht="18" hidden="1" customHeight="1" x14ac:dyDescent="0.2">
      <c r="A963" s="11">
        <f>IF(INPUT!M958="","",INPUT!M958)</f>
        <v>45950</v>
      </c>
      <c r="B963" s="11">
        <f>IF(INPUT!M958="","",INPUT!M958-WEEKDAY(INPUT!M958,2)+1)</f>
        <v>45950</v>
      </c>
      <c r="C963" s="20">
        <f>IFERROR(_xlfn.ISOWEEKNUM(INPUT!M958),"")</f>
        <v>43</v>
      </c>
      <c r="D963" s="20">
        <f>IFERROR(YEAR(INPUT!M958),"")</f>
        <v>2025</v>
      </c>
      <c r="E963" t="str">
        <f>IF(INPUT!O958="","",INPUT!O958)</f>
        <v>GARCIA</v>
      </c>
      <c r="F963" t="str">
        <f>IF(INPUT!N958="","",INPUT!N958)</f>
        <v>T</v>
      </c>
      <c r="G963" t="str" cm="1">
        <f t="array" ref="G963">IFERROR(VLOOKUP(INPUT!M958&amp;INPUT!N958,CHOOSE({1,2},INPUT!$A$3:$A$5000&amp;INPUT!$C$3:$C$5000,INPUT!$F$3:$F$5000),2,FALSE),"")</f>
        <v>PRE-TEMPORADA</v>
      </c>
      <c r="H963" t="str" cm="1">
        <f t="array" ref="H963">IFERROR(VLOOKUP(INPUT!M958&amp;INPUT!N958,CHOOSE({1,2},INPUT!$A$3:$A$5000&amp;INPUT!$C$3:$C$5000,INPUT!$D$3:$D$5000),2,FALSE),"")</f>
        <v>TEC-TAC</v>
      </c>
      <c r="I963" s="46">
        <f>IF(INPUT!P958="","",INPUT!P958)</f>
        <v>79.7</v>
      </c>
      <c r="J963" s="46">
        <f>IF(INPUT!Q958="","",INPUT!Q958)</f>
        <v>79.599999999999994</v>
      </c>
      <c r="K963" s="46">
        <f>IFERROR(IF(OR(INPUT!P958="",INPUT!Q958=""),"",INPUT!P958-INPUT!Q958),"")</f>
        <v>0.10000000000000853</v>
      </c>
      <c r="L963" s="48">
        <f>IFERROR(IF(OR(INPUT!P958="",INPUT!Q958="",INPUT!P958=0),"",(INPUT!P958-INPUT!Q958)/INPUT!P958),"")</f>
        <v>1.2547051442911986E-3</v>
      </c>
    </row>
    <row r="964" spans="1:12" ht="18" hidden="1" customHeight="1" x14ac:dyDescent="0.2">
      <c r="A964" s="11">
        <f>IF(INPUT!M959="","",INPUT!M959)</f>
        <v>45950</v>
      </c>
      <c r="B964" s="11">
        <f>IF(INPUT!M959="","",INPUT!M959-WEEKDAY(INPUT!M959,2)+1)</f>
        <v>45950</v>
      </c>
      <c r="C964" s="20">
        <f>IFERROR(_xlfn.ISOWEEKNUM(INPUT!M959),"")</f>
        <v>43</v>
      </c>
      <c r="D964" s="20">
        <f>IFERROR(YEAR(INPUT!M959),"")</f>
        <v>2025</v>
      </c>
      <c r="E964" t="str">
        <f>IF(INPUT!O959="","",INPUT!O959)</f>
        <v>CECILIO</v>
      </c>
      <c r="F964" t="str">
        <f>IF(INPUT!N959="","",INPUT!N959)</f>
        <v>M</v>
      </c>
      <c r="G964" t="str" cm="1">
        <f t="array" ref="G964">IFERROR(VLOOKUP(INPUT!M959&amp;INPUT!N959,CHOOSE({1,2},INPUT!$A$3:$A$5000&amp;INPUT!$C$3:$C$5000,INPUT!$F$3:$F$5000),2,FALSE),"")</f>
        <v>PRE-TEMPORADA</v>
      </c>
      <c r="H964" t="str" cm="1">
        <f t="array" ref="H964">IFERROR(VLOOKUP(INPUT!M959&amp;INPUT!N959,CHOOSE({1,2},INPUT!$A$3:$A$5000&amp;INPUT!$C$3:$C$5000,INPUT!$D$3:$D$5000),2,FALSE),"")</f>
        <v>GYM+TEC-TAC</v>
      </c>
      <c r="I964" s="46">
        <f>IF(INPUT!P959="","",INPUT!P959)</f>
        <v>67.8</v>
      </c>
      <c r="J964" s="46">
        <f>IF(INPUT!Q959="","",INPUT!Q959)</f>
        <v>67.099999999999994</v>
      </c>
      <c r="K964" s="46">
        <f>IFERROR(IF(OR(INPUT!P959="",INPUT!Q959=""),"",INPUT!P959-INPUT!Q959),"")</f>
        <v>0.70000000000000284</v>
      </c>
      <c r="L964" s="48">
        <f>IFERROR(IF(OR(INPUT!P959="",INPUT!Q959="",INPUT!P959=0),"",(INPUT!P959-INPUT!Q959)/INPUT!P959),"")</f>
        <v>1.0324483775811251E-2</v>
      </c>
    </row>
    <row r="965" spans="1:12" ht="18" hidden="1" customHeight="1" x14ac:dyDescent="0.2">
      <c r="A965" s="11">
        <f>IF(INPUT!M960="","",INPUT!M960)</f>
        <v>45950</v>
      </c>
      <c r="B965" s="11">
        <f>IF(INPUT!M960="","",INPUT!M960-WEEKDAY(INPUT!M960,2)+1)</f>
        <v>45950</v>
      </c>
      <c r="C965" s="20">
        <f>IFERROR(_xlfn.ISOWEEKNUM(INPUT!M960),"")</f>
        <v>43</v>
      </c>
      <c r="D965" s="20">
        <f>IFERROR(YEAR(INPUT!M960),"")</f>
        <v>2025</v>
      </c>
      <c r="E965" t="str">
        <f>IF(INPUT!O960="","",INPUT!O960)</f>
        <v>CECILIO</v>
      </c>
      <c r="F965" t="str">
        <f>IF(INPUT!N960="","",INPUT!N960)</f>
        <v>T</v>
      </c>
      <c r="G965" t="str" cm="1">
        <f t="array" ref="G965">IFERROR(VLOOKUP(INPUT!M960&amp;INPUT!N960,CHOOSE({1,2},INPUT!$A$3:$A$5000&amp;INPUT!$C$3:$C$5000,INPUT!$F$3:$F$5000),2,FALSE),"")</f>
        <v>PRE-TEMPORADA</v>
      </c>
      <c r="H965" t="str" cm="1">
        <f t="array" ref="H965">IFERROR(VLOOKUP(INPUT!M960&amp;INPUT!N960,CHOOSE({1,2},INPUT!$A$3:$A$5000&amp;INPUT!$C$3:$C$5000,INPUT!$D$3:$D$5000),2,FALSE),"")</f>
        <v>TEC-TAC</v>
      </c>
      <c r="I965" s="46">
        <f>IF(INPUT!P960="","",INPUT!P960)</f>
        <v>67.5</v>
      </c>
      <c r="J965" s="46">
        <f>IF(INPUT!Q960="","",INPUT!Q960)</f>
        <v>67.099999999999994</v>
      </c>
      <c r="K965" s="46">
        <f>IFERROR(IF(OR(INPUT!P960="",INPUT!Q960=""),"",INPUT!P960-INPUT!Q960),"")</f>
        <v>0.40000000000000568</v>
      </c>
      <c r="L965" s="48">
        <f>IFERROR(IF(OR(INPUT!P960="",INPUT!Q960="",INPUT!P960=0),"",(INPUT!P960-INPUT!Q960)/INPUT!P960),"")</f>
        <v>5.9259259259260098E-3</v>
      </c>
    </row>
    <row r="966" spans="1:12" ht="18" hidden="1" customHeight="1" x14ac:dyDescent="0.2">
      <c r="A966" s="11">
        <f>IF(INPUT!M961="","",INPUT!M961)</f>
        <v>45950</v>
      </c>
      <c r="B966" s="11">
        <f>IF(INPUT!M961="","",INPUT!M961-WEEKDAY(INPUT!M961,2)+1)</f>
        <v>45950</v>
      </c>
      <c r="C966" s="20">
        <f>IFERROR(_xlfn.ISOWEEKNUM(INPUT!M961),"")</f>
        <v>43</v>
      </c>
      <c r="D966" s="20">
        <f>IFERROR(YEAR(INPUT!M961),"")</f>
        <v>2025</v>
      </c>
      <c r="E966" t="str">
        <f>IF(INPUT!O961="","",INPUT!O961)</f>
        <v>CHAGUINHA</v>
      </c>
      <c r="F966" t="str">
        <f>IF(INPUT!N961="","",INPUT!N961)</f>
        <v>M</v>
      </c>
      <c r="G966" t="str" cm="1">
        <f t="array" ref="G966">IFERROR(VLOOKUP(INPUT!M961&amp;INPUT!N961,CHOOSE({1,2},INPUT!$A$3:$A$5000&amp;INPUT!$C$3:$C$5000,INPUT!$F$3:$F$5000),2,FALSE),"")</f>
        <v>PRE-TEMPORADA</v>
      </c>
      <c r="H966" t="str" cm="1">
        <f t="array" ref="H966">IFERROR(VLOOKUP(INPUT!M961&amp;INPUT!N961,CHOOSE({1,2},INPUT!$A$3:$A$5000&amp;INPUT!$C$3:$C$5000,INPUT!$D$3:$D$5000),2,FALSE),"")</f>
        <v>GYM+TEC-TAC</v>
      </c>
      <c r="I966" s="46">
        <f>IF(INPUT!P961="","",INPUT!P961)</f>
        <v>69</v>
      </c>
      <c r="J966" s="46">
        <f>IF(INPUT!Q961="","",INPUT!Q961)</f>
        <v>68.7</v>
      </c>
      <c r="K966" s="46">
        <f>IFERROR(IF(OR(INPUT!P961="",INPUT!Q961=""),"",INPUT!P961-INPUT!Q961),"")</f>
        <v>0.29999999999999716</v>
      </c>
      <c r="L966" s="48">
        <f>IFERROR(IF(OR(INPUT!P961="",INPUT!Q961="",INPUT!P961=0),"",(INPUT!P961-INPUT!Q961)/INPUT!P961),"")</f>
        <v>4.3478260869564802E-3</v>
      </c>
    </row>
    <row r="967" spans="1:12" ht="18" hidden="1" customHeight="1" x14ac:dyDescent="0.2">
      <c r="A967" s="11">
        <f>IF(INPUT!M962="","",INPUT!M962)</f>
        <v>45950</v>
      </c>
      <c r="B967" s="11">
        <f>IF(INPUT!M962="","",INPUT!M962-WEEKDAY(INPUT!M962,2)+1)</f>
        <v>45950</v>
      </c>
      <c r="C967" s="20">
        <f>IFERROR(_xlfn.ISOWEEKNUM(INPUT!M962),"")</f>
        <v>43</v>
      </c>
      <c r="D967" s="20">
        <f>IFERROR(YEAR(INPUT!M962),"")</f>
        <v>2025</v>
      </c>
      <c r="E967" t="str">
        <f>IF(INPUT!O962="","",INPUT!O962)</f>
        <v>CHAGUINHA</v>
      </c>
      <c r="F967" t="str">
        <f>IF(INPUT!N962="","",INPUT!N962)</f>
        <v>T</v>
      </c>
      <c r="G967" t="str" cm="1">
        <f t="array" ref="G967">IFERROR(VLOOKUP(INPUT!M962&amp;INPUT!N962,CHOOSE({1,2},INPUT!$A$3:$A$5000&amp;INPUT!$C$3:$C$5000,INPUT!$F$3:$F$5000),2,FALSE),"")</f>
        <v>PRE-TEMPORADA</v>
      </c>
      <c r="H967" t="str" cm="1">
        <f t="array" ref="H967">IFERROR(VLOOKUP(INPUT!M962&amp;INPUT!N962,CHOOSE({1,2},INPUT!$A$3:$A$5000&amp;INPUT!$C$3:$C$5000,INPUT!$D$3:$D$5000),2,FALSE),"")</f>
        <v>TEC-TAC</v>
      </c>
      <c r="I967" s="46">
        <f>IF(INPUT!P962="","",INPUT!P962)</f>
        <v>69</v>
      </c>
      <c r="J967" s="46">
        <f>IF(INPUT!Q962="","",INPUT!Q962)</f>
        <v>68.3</v>
      </c>
      <c r="K967" s="46">
        <f>IFERROR(IF(OR(INPUT!P962="",INPUT!Q962=""),"",INPUT!P962-INPUT!Q962),"")</f>
        <v>0.70000000000000284</v>
      </c>
      <c r="L967" s="48">
        <f>IFERROR(IF(OR(INPUT!P962="",INPUT!Q962="",INPUT!P962=0),"",(INPUT!P962-INPUT!Q962)/INPUT!P962),"")</f>
        <v>1.0144927536231925E-2</v>
      </c>
    </row>
    <row r="968" spans="1:12" ht="18" hidden="1" customHeight="1" x14ac:dyDescent="0.2">
      <c r="A968" s="11">
        <f>IF(INPUT!M963="","",INPUT!M963)</f>
        <v>45950</v>
      </c>
      <c r="B968" s="11">
        <f>IF(INPUT!M963="","",INPUT!M963-WEEKDAY(INPUT!M963,2)+1)</f>
        <v>45950</v>
      </c>
      <c r="C968" s="20">
        <f>IFERROR(_xlfn.ISOWEEKNUM(INPUT!M963),"")</f>
        <v>43</v>
      </c>
      <c r="D968" s="20">
        <f>IFERROR(YEAR(INPUT!M963),"")</f>
        <v>2025</v>
      </c>
      <c r="E968" t="str">
        <f>IF(INPUT!O963="","",INPUT!O963)</f>
        <v>HARRISON</v>
      </c>
      <c r="F968" t="str">
        <f>IF(INPUT!N963="","",INPUT!N963)</f>
        <v>M</v>
      </c>
      <c r="G968" t="str" cm="1">
        <f t="array" ref="G968">IFERROR(VLOOKUP(INPUT!M963&amp;INPUT!N963,CHOOSE({1,2},INPUT!$A$3:$A$5000&amp;INPUT!$C$3:$C$5000,INPUT!$F$3:$F$5000),2,FALSE),"")</f>
        <v>PRE-TEMPORADA</v>
      </c>
      <c r="H968" t="str" cm="1">
        <f t="array" ref="H968">IFERROR(VLOOKUP(INPUT!M963&amp;INPUT!N963,CHOOSE({1,2},INPUT!$A$3:$A$5000&amp;INPUT!$C$3:$C$5000,INPUT!$D$3:$D$5000),2,FALSE),"")</f>
        <v>GYM+TEC-TAC</v>
      </c>
      <c r="I968" s="46">
        <f>IF(INPUT!P963="","",INPUT!P963)</f>
        <v>72</v>
      </c>
      <c r="J968" s="46">
        <f>IF(INPUT!Q963="","",INPUT!Q963)</f>
        <v>71.7</v>
      </c>
      <c r="K968" s="46">
        <f>IFERROR(IF(OR(INPUT!P963="",INPUT!Q963=""),"",INPUT!P963-INPUT!Q963),"")</f>
        <v>0.29999999999999716</v>
      </c>
      <c r="L968" s="48">
        <f>IFERROR(IF(OR(INPUT!P963="",INPUT!Q963="",INPUT!P963=0),"",(INPUT!P963-INPUT!Q963)/INPUT!P963),"")</f>
        <v>4.1666666666666276E-3</v>
      </c>
    </row>
    <row r="969" spans="1:12" ht="18" hidden="1" customHeight="1" x14ac:dyDescent="0.2">
      <c r="A969" s="11">
        <f>IF(INPUT!M964="","",INPUT!M964)</f>
        <v>45950</v>
      </c>
      <c r="B969" s="11">
        <f>IF(INPUT!M964="","",INPUT!M964-WEEKDAY(INPUT!M964,2)+1)</f>
        <v>45950</v>
      </c>
      <c r="C969" s="20">
        <f>IFERROR(_xlfn.ISOWEEKNUM(INPUT!M964),"")</f>
        <v>43</v>
      </c>
      <c r="D969" s="20">
        <f>IFERROR(YEAR(INPUT!M964),"")</f>
        <v>2025</v>
      </c>
      <c r="E969" t="str">
        <f>IF(INPUT!O964="","",INPUT!O964)</f>
        <v>HARRISON</v>
      </c>
      <c r="F969" t="str">
        <f>IF(INPUT!N964="","",INPUT!N964)</f>
        <v>T</v>
      </c>
      <c r="G969" t="str" cm="1">
        <f t="array" ref="G969">IFERROR(VLOOKUP(INPUT!M964&amp;INPUT!N964,CHOOSE({1,2},INPUT!$A$3:$A$5000&amp;INPUT!$C$3:$C$5000,INPUT!$F$3:$F$5000),2,FALSE),"")</f>
        <v>PRE-TEMPORADA</v>
      </c>
      <c r="H969" t="str" cm="1">
        <f t="array" ref="H969">IFERROR(VLOOKUP(INPUT!M964&amp;INPUT!N964,CHOOSE({1,2},INPUT!$A$3:$A$5000&amp;INPUT!$C$3:$C$5000,INPUT!$D$3:$D$5000),2,FALSE),"")</f>
        <v>TEC-TAC</v>
      </c>
      <c r="I969" s="46">
        <f>IF(INPUT!P964="","",INPUT!P964)</f>
        <v>71.8</v>
      </c>
      <c r="J969" s="46">
        <f>IF(INPUT!Q964="","",INPUT!Q964)</f>
        <v>72</v>
      </c>
      <c r="K969" s="46">
        <f>IFERROR(IF(OR(INPUT!P964="",INPUT!Q964=""),"",INPUT!P964-INPUT!Q964),"")</f>
        <v>-0.20000000000000284</v>
      </c>
      <c r="L969" s="48">
        <f>IFERROR(IF(OR(INPUT!P964="",INPUT!Q964="",INPUT!P964=0),"",(INPUT!P964-INPUT!Q964)/INPUT!P964),"")</f>
        <v>-2.7855153203343017E-3</v>
      </c>
    </row>
    <row r="970" spans="1:12" ht="18" hidden="1" customHeight="1" x14ac:dyDescent="0.2">
      <c r="A970" s="11">
        <f>IF(INPUT!M965="","",INPUT!M965)</f>
        <v>45950</v>
      </c>
      <c r="B970" s="11">
        <f>IF(INPUT!M965="","",INPUT!M965-WEEKDAY(INPUT!M965,2)+1)</f>
        <v>45950</v>
      </c>
      <c r="C970" s="20">
        <f>IFERROR(_xlfn.ISOWEEKNUM(INPUT!M965),"")</f>
        <v>43</v>
      </c>
      <c r="D970" s="20">
        <f>IFERROR(YEAR(INPUT!M965),"")</f>
        <v>2025</v>
      </c>
      <c r="E970" t="str">
        <f>IF(INPUT!O965="","",INPUT!O965)</f>
        <v>RAYA</v>
      </c>
      <c r="F970" t="str">
        <f>IF(INPUT!N965="","",INPUT!N965)</f>
        <v>M</v>
      </c>
      <c r="G970" t="str" cm="1">
        <f t="array" ref="G970">IFERROR(VLOOKUP(INPUT!M965&amp;INPUT!N965,CHOOSE({1,2},INPUT!$A$3:$A$5000&amp;INPUT!$C$3:$C$5000,INPUT!$F$3:$F$5000),2,FALSE),"")</f>
        <v>PRE-TEMPORADA</v>
      </c>
      <c r="H970" t="str" cm="1">
        <f t="array" ref="H970">IFERROR(VLOOKUP(INPUT!M965&amp;INPUT!N965,CHOOSE({1,2},INPUT!$A$3:$A$5000&amp;INPUT!$C$3:$C$5000,INPUT!$D$3:$D$5000),2,FALSE),"")</f>
        <v>GYM+TEC-TAC</v>
      </c>
      <c r="I970" s="46">
        <f>IF(INPUT!P965="","",INPUT!P965)</f>
        <v>82.4</v>
      </c>
      <c r="J970" s="46">
        <f>IF(INPUT!Q965="","",INPUT!Q965)</f>
        <v>81.7</v>
      </c>
      <c r="K970" s="46">
        <f>IFERROR(IF(OR(INPUT!P965="",INPUT!Q965=""),"",INPUT!P965-INPUT!Q965),"")</f>
        <v>0.70000000000000284</v>
      </c>
      <c r="L970" s="48">
        <f>IFERROR(IF(OR(INPUT!P965="",INPUT!Q965="",INPUT!P965=0),"",(INPUT!P965-INPUT!Q965)/INPUT!P965),"")</f>
        <v>8.4951456310679956E-3</v>
      </c>
    </row>
    <row r="971" spans="1:12" ht="18" hidden="1" customHeight="1" x14ac:dyDescent="0.2">
      <c r="A971" s="11">
        <f>IF(INPUT!M966="","",INPUT!M966)</f>
        <v>45950</v>
      </c>
      <c r="B971" s="11">
        <f>IF(INPUT!M966="","",INPUT!M966-WEEKDAY(INPUT!M966,2)+1)</f>
        <v>45950</v>
      </c>
      <c r="C971" s="20">
        <f>IFERROR(_xlfn.ISOWEEKNUM(INPUT!M966),"")</f>
        <v>43</v>
      </c>
      <c r="D971" s="20">
        <f>IFERROR(YEAR(INPUT!M966),"")</f>
        <v>2025</v>
      </c>
      <c r="E971" t="str">
        <f>IF(INPUT!O966="","",INPUT!O966)</f>
        <v>RAYA</v>
      </c>
      <c r="F971" t="str">
        <f>IF(INPUT!N966="","",INPUT!N966)</f>
        <v>T</v>
      </c>
      <c r="G971" t="str" cm="1">
        <f t="array" ref="G971">IFERROR(VLOOKUP(INPUT!M966&amp;INPUT!N966,CHOOSE({1,2},INPUT!$A$3:$A$5000&amp;INPUT!$C$3:$C$5000,INPUT!$F$3:$F$5000),2,FALSE),"")</f>
        <v>PRE-TEMPORADA</v>
      </c>
      <c r="H971" t="str" cm="1">
        <f t="array" ref="H971">IFERROR(VLOOKUP(INPUT!M966&amp;INPUT!N966,CHOOSE({1,2},INPUT!$A$3:$A$5000&amp;INPUT!$C$3:$C$5000,INPUT!$D$3:$D$5000),2,FALSE),"")</f>
        <v>TEC-TAC</v>
      </c>
      <c r="I971" s="46">
        <f>IF(INPUT!P966="","",INPUT!P966)</f>
        <v>82.7</v>
      </c>
      <c r="J971" s="46">
        <f>IF(INPUT!Q966="","",INPUT!Q966)</f>
        <v>81.7</v>
      </c>
      <c r="K971" s="46">
        <f>IFERROR(IF(OR(INPUT!P966="",INPUT!Q966=""),"",INPUT!P966-INPUT!Q966),"")</f>
        <v>1</v>
      </c>
      <c r="L971" s="48">
        <f>IFERROR(IF(OR(INPUT!P966="",INPUT!Q966="",INPUT!P966=0),"",(INPUT!P966-INPUT!Q966)/INPUT!P966),"")</f>
        <v>1.2091898428053204E-2</v>
      </c>
    </row>
    <row r="972" spans="1:12" ht="18" hidden="1" customHeight="1" x14ac:dyDescent="0.2">
      <c r="A972" s="11">
        <f>IF(INPUT!M967="","",INPUT!M967)</f>
        <v>45950</v>
      </c>
      <c r="B972" s="11">
        <f>IF(INPUT!M967="","",INPUT!M967-WEEKDAY(INPUT!M967,2)+1)</f>
        <v>45950</v>
      </c>
      <c r="C972" s="20">
        <f>IFERROR(_xlfn.ISOWEEKNUM(INPUT!M967),"")</f>
        <v>43</v>
      </c>
      <c r="D972" s="20">
        <f>IFERROR(YEAR(INPUT!M967),"")</f>
        <v>2025</v>
      </c>
      <c r="E972" t="str">
        <f>IF(INPUT!O967="","",INPUT!O967)</f>
        <v>JAVI</v>
      </c>
      <c r="F972" t="str">
        <f>IF(INPUT!N967="","",INPUT!N967)</f>
        <v>M</v>
      </c>
      <c r="G972" t="str" cm="1">
        <f t="array" ref="G972">IFERROR(VLOOKUP(INPUT!M967&amp;INPUT!N967,CHOOSE({1,2},INPUT!$A$3:$A$5000&amp;INPUT!$C$3:$C$5000,INPUT!$F$3:$F$5000),2,FALSE),"")</f>
        <v>PRE-TEMPORADA</v>
      </c>
      <c r="H972" t="str" cm="1">
        <f t="array" ref="H972">IFERROR(VLOOKUP(INPUT!M967&amp;INPUT!N967,CHOOSE({1,2},INPUT!$A$3:$A$5000&amp;INPUT!$C$3:$C$5000,INPUT!$D$3:$D$5000),2,FALSE),"")</f>
        <v>GYM+TEC-TAC</v>
      </c>
      <c r="I972" s="46">
        <f>IF(INPUT!P967="","",INPUT!P967)</f>
        <v>78.900000000000006</v>
      </c>
      <c r="J972" s="46">
        <f>IF(INPUT!Q967="","",INPUT!Q967)</f>
        <v>78.3</v>
      </c>
      <c r="K972" s="46">
        <f>IFERROR(IF(OR(INPUT!P967="",INPUT!Q967=""),"",INPUT!P967-INPUT!Q967),"")</f>
        <v>0.60000000000000853</v>
      </c>
      <c r="L972" s="48">
        <f>IFERROR(IF(OR(INPUT!P967="",INPUT!Q967="",INPUT!P967=0),"",(INPUT!P967-INPUT!Q967)/INPUT!P967),"")</f>
        <v>7.6045627376426931E-3</v>
      </c>
    </row>
    <row r="973" spans="1:12" ht="18" hidden="1" customHeight="1" x14ac:dyDescent="0.2">
      <c r="A973" s="11">
        <f>IF(INPUT!M968="","",INPUT!M968)</f>
        <v>45950</v>
      </c>
      <c r="B973" s="11">
        <f>IF(INPUT!M968="","",INPUT!M968-WEEKDAY(INPUT!M968,2)+1)</f>
        <v>45950</v>
      </c>
      <c r="C973" s="20">
        <f>IFERROR(_xlfn.ISOWEEKNUM(INPUT!M968),"")</f>
        <v>43</v>
      </c>
      <c r="D973" s="20">
        <f>IFERROR(YEAR(INPUT!M968),"")</f>
        <v>2025</v>
      </c>
      <c r="E973" t="str">
        <f>IF(INPUT!O968="","",INPUT!O968)</f>
        <v>JAVI</v>
      </c>
      <c r="F973" t="str">
        <f>IF(INPUT!N968="","",INPUT!N968)</f>
        <v>T</v>
      </c>
      <c r="G973" t="str" cm="1">
        <f t="array" ref="G973">IFERROR(VLOOKUP(INPUT!M968&amp;INPUT!N968,CHOOSE({1,2},INPUT!$A$3:$A$5000&amp;INPUT!$C$3:$C$5000,INPUT!$F$3:$F$5000),2,FALSE),"")</f>
        <v>PRE-TEMPORADA</v>
      </c>
      <c r="H973" t="str" cm="1">
        <f t="array" ref="H973">IFERROR(VLOOKUP(INPUT!M968&amp;INPUT!N968,CHOOSE({1,2},INPUT!$A$3:$A$5000&amp;INPUT!$C$3:$C$5000,INPUT!$D$3:$D$5000),2,FALSE),"")</f>
        <v>TEC-TAC</v>
      </c>
      <c r="I973" s="46">
        <f>IF(INPUT!P968="","",INPUT!P968)</f>
        <v>78.599999999999994</v>
      </c>
      <c r="J973" s="46">
        <f>IF(INPUT!Q968="","",INPUT!Q968)</f>
        <v>78.599999999999994</v>
      </c>
      <c r="K973" s="46">
        <f>IFERROR(IF(OR(INPUT!P968="",INPUT!Q968=""),"",INPUT!P968-INPUT!Q968),"")</f>
        <v>0</v>
      </c>
      <c r="L973" s="48">
        <f>IFERROR(IF(OR(INPUT!P968="",INPUT!Q968="",INPUT!P968=0),"",(INPUT!P968-INPUT!Q968)/INPUT!P968),"")</f>
        <v>0</v>
      </c>
    </row>
    <row r="974" spans="1:12" ht="18" hidden="1" customHeight="1" x14ac:dyDescent="0.2">
      <c r="A974" s="11">
        <f>IF(INPUT!M969="","",INPUT!M969)</f>
        <v>45950</v>
      </c>
      <c r="B974" s="11">
        <f>IF(INPUT!M969="","",INPUT!M969-WEEKDAY(INPUT!M969,2)+1)</f>
        <v>45950</v>
      </c>
      <c r="C974" s="20">
        <f>IFERROR(_xlfn.ISOWEEKNUM(INPUT!M969),"")</f>
        <v>43</v>
      </c>
      <c r="D974" s="20">
        <f>IFERROR(YEAR(INPUT!M969),"")</f>
        <v>2025</v>
      </c>
      <c r="E974" t="str">
        <f>IF(INPUT!O969="","",INPUT!O969)</f>
        <v>PANI</v>
      </c>
      <c r="F974" t="str">
        <f>IF(INPUT!N969="","",INPUT!N969)</f>
        <v>M</v>
      </c>
      <c r="G974" t="str" cm="1">
        <f t="array" ref="G974">IFERROR(VLOOKUP(INPUT!M969&amp;INPUT!N969,CHOOSE({1,2},INPUT!$A$3:$A$5000&amp;INPUT!$C$3:$C$5000,INPUT!$F$3:$F$5000),2,FALSE),"")</f>
        <v>PRE-TEMPORADA</v>
      </c>
      <c r="H974" t="str" cm="1">
        <f t="array" ref="H974">IFERROR(VLOOKUP(INPUT!M969&amp;INPUT!N969,CHOOSE({1,2},INPUT!$A$3:$A$5000&amp;INPUT!$C$3:$C$5000,INPUT!$D$3:$D$5000),2,FALSE),"")</f>
        <v>GYM+TEC-TAC</v>
      </c>
      <c r="I974" s="46">
        <f>IF(INPUT!P969="","",INPUT!P969)</f>
        <v>69.900000000000006</v>
      </c>
      <c r="J974" s="46">
        <f>IF(INPUT!Q969="","",INPUT!Q969)</f>
        <v>69.2</v>
      </c>
      <c r="K974" s="46">
        <f>IFERROR(IF(OR(INPUT!P969="",INPUT!Q969=""),"",INPUT!P969-INPUT!Q969),"")</f>
        <v>0.70000000000000284</v>
      </c>
      <c r="L974" s="48">
        <f>IFERROR(IF(OR(INPUT!P969="",INPUT!Q969="",INPUT!P969=0),"",(INPUT!P969-INPUT!Q969)/INPUT!P969),"")</f>
        <v>1.0014306151645247E-2</v>
      </c>
    </row>
    <row r="975" spans="1:12" ht="18" hidden="1" customHeight="1" x14ac:dyDescent="0.2">
      <c r="A975" s="11">
        <f>IF(INPUT!M970="","",INPUT!M970)</f>
        <v>45950</v>
      </c>
      <c r="B975" s="11">
        <f>IF(INPUT!M970="","",INPUT!M970-WEEKDAY(INPUT!M970,2)+1)</f>
        <v>45950</v>
      </c>
      <c r="C975" s="20">
        <f>IFERROR(_xlfn.ISOWEEKNUM(INPUT!M970),"")</f>
        <v>43</v>
      </c>
      <c r="D975" s="20">
        <f>IFERROR(YEAR(INPUT!M970),"")</f>
        <v>2025</v>
      </c>
      <c r="E975" t="str">
        <f>IF(INPUT!O970="","",INPUT!O970)</f>
        <v>PANI</v>
      </c>
      <c r="F975" t="str">
        <f>IF(INPUT!N970="","",INPUT!N970)</f>
        <v>T</v>
      </c>
      <c r="G975" t="str" cm="1">
        <f t="array" ref="G975">IFERROR(VLOOKUP(INPUT!M970&amp;INPUT!N970,CHOOSE({1,2},INPUT!$A$3:$A$5000&amp;INPUT!$C$3:$C$5000,INPUT!$F$3:$F$5000),2,FALSE),"")</f>
        <v>PRE-TEMPORADA</v>
      </c>
      <c r="H975" t="str" cm="1">
        <f t="array" ref="H975">IFERROR(VLOOKUP(INPUT!M970&amp;INPUT!N970,CHOOSE({1,2},INPUT!$A$3:$A$5000&amp;INPUT!$C$3:$C$5000,INPUT!$D$3:$D$5000),2,FALSE),"")</f>
        <v>TEC-TAC</v>
      </c>
      <c r="I975" s="46">
        <f>IF(INPUT!P970="","",INPUT!P970)</f>
        <v>70.5</v>
      </c>
      <c r="J975" s="46">
        <f>IF(INPUT!Q970="","",INPUT!Q970)</f>
        <v>69.7</v>
      </c>
      <c r="K975" s="46">
        <f>IFERROR(IF(OR(INPUT!P970="",INPUT!Q970=""),"",INPUT!P970-INPUT!Q970),"")</f>
        <v>0.79999999999999716</v>
      </c>
      <c r="L975" s="48">
        <f>IFERROR(IF(OR(INPUT!P970="",INPUT!Q970="",INPUT!P970=0),"",(INPUT!P970-INPUT!Q970)/INPUT!P970),"")</f>
        <v>1.1347517730496413E-2</v>
      </c>
    </row>
    <row r="976" spans="1:12" ht="18" hidden="1" customHeight="1" x14ac:dyDescent="0.2">
      <c r="A976" s="11">
        <f>IF(INPUT!M971="","",INPUT!M971)</f>
        <v>45950</v>
      </c>
      <c r="B976" s="11">
        <f>IF(INPUT!M971="","",INPUT!M971-WEEKDAY(INPUT!M971,2)+1)</f>
        <v>45950</v>
      </c>
      <c r="C976" s="20">
        <f>IFERROR(_xlfn.ISOWEEKNUM(INPUT!M971),"")</f>
        <v>43</v>
      </c>
      <c r="D976" s="20">
        <f>IFERROR(YEAR(INPUT!M971),"")</f>
        <v>2025</v>
      </c>
      <c r="E976" t="str">
        <f>IF(INPUT!O971="","",INPUT!O971)</f>
        <v>PIRATA</v>
      </c>
      <c r="F976" t="str">
        <f>IF(INPUT!N971="","",INPUT!N971)</f>
        <v>M</v>
      </c>
      <c r="G976" t="str" cm="1">
        <f t="array" ref="G976">IFERROR(VLOOKUP(INPUT!M971&amp;INPUT!N971,CHOOSE({1,2},INPUT!$A$3:$A$5000&amp;INPUT!$C$3:$C$5000,INPUT!$F$3:$F$5000),2,FALSE),"")</f>
        <v>PRE-TEMPORADA</v>
      </c>
      <c r="H976" t="str" cm="1">
        <f t="array" ref="H976">IFERROR(VLOOKUP(INPUT!M971&amp;INPUT!N971,CHOOSE({1,2},INPUT!$A$3:$A$5000&amp;INPUT!$C$3:$C$5000,INPUT!$D$3:$D$5000),2,FALSE),"")</f>
        <v>GYM+TEC-TAC</v>
      </c>
      <c r="I976" s="46">
        <f>IF(INPUT!P971="","",INPUT!P971)</f>
        <v>75.900000000000006</v>
      </c>
      <c r="J976" s="46">
        <f>IF(INPUT!Q971="","",INPUT!Q971)</f>
        <v>75.8</v>
      </c>
      <c r="K976" s="46">
        <f>IFERROR(IF(OR(INPUT!P971="",INPUT!Q971=""),"",INPUT!P971-INPUT!Q971),"")</f>
        <v>0.10000000000000853</v>
      </c>
      <c r="L976" s="48">
        <f>IFERROR(IF(OR(INPUT!P971="",INPUT!Q971="",INPUT!P971=0),"",(INPUT!P971-INPUT!Q971)/INPUT!P971),"")</f>
        <v>1.3175230566536036E-3</v>
      </c>
    </row>
    <row r="977" spans="1:12" ht="18" hidden="1" customHeight="1" x14ac:dyDescent="0.2">
      <c r="A977" s="11">
        <f>IF(INPUT!M972="","",INPUT!M972)</f>
        <v>45950</v>
      </c>
      <c r="B977" s="11">
        <f>IF(INPUT!M972="","",INPUT!M972-WEEKDAY(INPUT!M972,2)+1)</f>
        <v>45950</v>
      </c>
      <c r="C977" s="20">
        <f>IFERROR(_xlfn.ISOWEEKNUM(INPUT!M972),"")</f>
        <v>43</v>
      </c>
      <c r="D977" s="20">
        <f>IFERROR(YEAR(INPUT!M972),"")</f>
        <v>2025</v>
      </c>
      <c r="E977" t="str">
        <f>IF(INPUT!O972="","",INPUT!O972)</f>
        <v>PIRATA</v>
      </c>
      <c r="F977" t="str">
        <f>IF(INPUT!N972="","",INPUT!N972)</f>
        <v>T</v>
      </c>
      <c r="G977" t="str" cm="1">
        <f t="array" ref="G977">IFERROR(VLOOKUP(INPUT!M972&amp;INPUT!N972,CHOOSE({1,2},INPUT!$A$3:$A$5000&amp;INPUT!$C$3:$C$5000,INPUT!$F$3:$F$5000),2,FALSE),"")</f>
        <v>PRE-TEMPORADA</v>
      </c>
      <c r="H977" t="str" cm="1">
        <f t="array" ref="H977">IFERROR(VLOOKUP(INPUT!M972&amp;INPUT!N972,CHOOSE({1,2},INPUT!$A$3:$A$5000&amp;INPUT!$C$3:$C$5000,INPUT!$D$3:$D$5000),2,FALSE),"")</f>
        <v>TEC-TAC</v>
      </c>
      <c r="I977" s="46">
        <f>IF(INPUT!P972="","",INPUT!P972)</f>
        <v>75.8</v>
      </c>
      <c r="J977" s="46">
        <f>IF(INPUT!Q972="","",INPUT!Q972)</f>
        <v>75.599999999999994</v>
      </c>
      <c r="K977" s="46">
        <f>IFERROR(IF(OR(INPUT!P972="",INPUT!Q972=""),"",INPUT!P972-INPUT!Q972),"")</f>
        <v>0.20000000000000284</v>
      </c>
      <c r="L977" s="48">
        <f>IFERROR(IF(OR(INPUT!P972="",INPUT!Q972="",INPUT!P972=0),"",(INPUT!P972-INPUT!Q972)/INPUT!P972),"")</f>
        <v>2.6385224274406709E-3</v>
      </c>
    </row>
    <row r="978" spans="1:12" ht="18" hidden="1" customHeight="1" x14ac:dyDescent="0.2">
      <c r="A978" s="11">
        <f>IF(INPUT!M973="","",INPUT!M973)</f>
        <v>45950</v>
      </c>
      <c r="B978" s="11">
        <f>IF(INPUT!M973="","",INPUT!M973-WEEKDAY(INPUT!M973,2)+1)</f>
        <v>45950</v>
      </c>
      <c r="C978" s="20">
        <f>IFERROR(_xlfn.ISOWEEKNUM(INPUT!M973),"")</f>
        <v>43</v>
      </c>
      <c r="D978" s="20">
        <f>IFERROR(YEAR(INPUT!M973),"")</f>
        <v>2025</v>
      </c>
      <c r="E978" t="str">
        <f>IF(INPUT!O973="","",INPUT!O973)</f>
        <v>BARONA</v>
      </c>
      <c r="F978" t="str">
        <f>IF(INPUT!N973="","",INPUT!N973)</f>
        <v>M</v>
      </c>
      <c r="G978" t="str" cm="1">
        <f t="array" ref="G978">IFERROR(VLOOKUP(INPUT!M973&amp;INPUT!N973,CHOOSE({1,2},INPUT!$A$3:$A$5000&amp;INPUT!$C$3:$C$5000,INPUT!$F$3:$F$5000),2,FALSE),"")</f>
        <v>PRE-TEMPORADA</v>
      </c>
      <c r="H978" t="str" cm="1">
        <f t="array" ref="H978">IFERROR(VLOOKUP(INPUT!M973&amp;INPUT!N973,CHOOSE({1,2},INPUT!$A$3:$A$5000&amp;INPUT!$C$3:$C$5000,INPUT!$D$3:$D$5000),2,FALSE),"")</f>
        <v>GYM+TEC-TAC</v>
      </c>
      <c r="I978" s="46">
        <f>IF(INPUT!P973="","",INPUT!P973)</f>
        <v>72.3</v>
      </c>
      <c r="J978" s="46">
        <f>IF(INPUT!Q973="","",INPUT!Q973)</f>
        <v>72</v>
      </c>
      <c r="K978" s="46">
        <f>IFERROR(IF(OR(INPUT!P973="",INPUT!Q973=""),"",INPUT!P973-INPUT!Q973),"")</f>
        <v>0.29999999999999716</v>
      </c>
      <c r="L978" s="48">
        <f>IFERROR(IF(OR(INPUT!P973="",INPUT!Q973="",INPUT!P973=0),"",(INPUT!P973-INPUT!Q973)/INPUT!P973),"")</f>
        <v>4.1493775933609568E-3</v>
      </c>
    </row>
    <row r="979" spans="1:12" ht="18" hidden="1" customHeight="1" x14ac:dyDescent="0.2">
      <c r="A979" s="11">
        <f>IF(INPUT!M974="","",INPUT!M974)</f>
        <v>45950</v>
      </c>
      <c r="B979" s="11">
        <f>IF(INPUT!M974="","",INPUT!M974-WEEKDAY(INPUT!M974,2)+1)</f>
        <v>45950</v>
      </c>
      <c r="C979" s="20">
        <f>IFERROR(_xlfn.ISOWEEKNUM(INPUT!M974),"")</f>
        <v>43</v>
      </c>
      <c r="D979" s="20">
        <f>IFERROR(YEAR(INPUT!M974),"")</f>
        <v>2025</v>
      </c>
      <c r="E979" t="str">
        <f>IF(INPUT!O974="","",INPUT!O974)</f>
        <v>BARONA</v>
      </c>
      <c r="F979" t="str">
        <f>IF(INPUT!N974="","",INPUT!N974)</f>
        <v>T</v>
      </c>
      <c r="G979" t="str" cm="1">
        <f t="array" ref="G979">IFERROR(VLOOKUP(INPUT!M974&amp;INPUT!N974,CHOOSE({1,2},INPUT!$A$3:$A$5000&amp;INPUT!$C$3:$C$5000,INPUT!$F$3:$F$5000),2,FALSE),"")</f>
        <v>PRE-TEMPORADA</v>
      </c>
      <c r="H979" t="str" cm="1">
        <f t="array" ref="H979">IFERROR(VLOOKUP(INPUT!M974&amp;INPUT!N974,CHOOSE({1,2},INPUT!$A$3:$A$5000&amp;INPUT!$C$3:$C$5000,INPUT!$D$3:$D$5000),2,FALSE),"")</f>
        <v>TEC-TAC</v>
      </c>
      <c r="I979" s="46">
        <f>IF(INPUT!P974="","",INPUT!P974)</f>
        <v>72.599999999999994</v>
      </c>
      <c r="J979" s="46">
        <f>IF(INPUT!Q974="","",INPUT!Q974)</f>
        <v>72</v>
      </c>
      <c r="K979" s="46">
        <f>IFERROR(IF(OR(INPUT!P974="",INPUT!Q974=""),"",INPUT!P974-INPUT!Q974),"")</f>
        <v>0.59999999999999432</v>
      </c>
      <c r="L979" s="48">
        <f>IFERROR(IF(OR(INPUT!P974="",INPUT!Q974="",INPUT!P974=0),"",(INPUT!P974-INPUT!Q974)/INPUT!P974),"")</f>
        <v>8.2644628099172775E-3</v>
      </c>
    </row>
    <row r="980" spans="1:12" ht="18" hidden="1" customHeight="1" x14ac:dyDescent="0.2">
      <c r="A980" s="11">
        <f>IF(INPUT!M975="","",INPUT!M975)</f>
        <v>45950</v>
      </c>
      <c r="B980" s="11">
        <f>IF(INPUT!M975="","",INPUT!M975-WEEKDAY(INPUT!M975,2)+1)</f>
        <v>45950</v>
      </c>
      <c r="C980" s="20">
        <f>IFERROR(_xlfn.ISOWEEKNUM(INPUT!M975),"")</f>
        <v>43</v>
      </c>
      <c r="D980" s="20">
        <f>IFERROR(YEAR(INPUT!M975),"")</f>
        <v>2025</v>
      </c>
      <c r="E980" t="str">
        <f>IF(INPUT!O975="","",INPUT!O975)</f>
        <v>CARLOS</v>
      </c>
      <c r="F980" t="str">
        <f>IF(INPUT!N975="","",INPUT!N975)</f>
        <v>M</v>
      </c>
      <c r="G980" t="str" cm="1">
        <f t="array" ref="G980">IFERROR(VLOOKUP(INPUT!M975&amp;INPUT!N975,CHOOSE({1,2},INPUT!$A$3:$A$5000&amp;INPUT!$C$3:$C$5000,INPUT!$F$3:$F$5000),2,FALSE),"")</f>
        <v>PRE-TEMPORADA</v>
      </c>
      <c r="H980" t="str" cm="1">
        <f t="array" ref="H980">IFERROR(VLOOKUP(INPUT!M975&amp;INPUT!N975,CHOOSE({1,2},INPUT!$A$3:$A$5000&amp;INPUT!$C$3:$C$5000,INPUT!$D$3:$D$5000),2,FALSE),"")</f>
        <v>GYM+TEC-TAC</v>
      </c>
      <c r="I980" s="46">
        <f>IF(INPUT!P975="","",INPUT!P975)</f>
        <v>67.2</v>
      </c>
      <c r="J980" s="46">
        <f>IF(INPUT!Q975="","",INPUT!Q975)</f>
        <v>66.8</v>
      </c>
      <c r="K980" s="46">
        <f>IFERROR(IF(OR(INPUT!P975="",INPUT!Q975=""),"",INPUT!P975-INPUT!Q975),"")</f>
        <v>0.40000000000000568</v>
      </c>
      <c r="L980" s="48">
        <f>IFERROR(IF(OR(INPUT!P975="",INPUT!Q975="",INPUT!P975=0),"",(INPUT!P975-INPUT!Q975)/INPUT!P975),"")</f>
        <v>5.9523809523810371E-3</v>
      </c>
    </row>
    <row r="981" spans="1:12" ht="18" hidden="1" customHeight="1" x14ac:dyDescent="0.2">
      <c r="A981" s="11">
        <f>IF(INPUT!M976="","",INPUT!M976)</f>
        <v>45950</v>
      </c>
      <c r="B981" s="11">
        <f>IF(INPUT!M976="","",INPUT!M976-WEEKDAY(INPUT!M976,2)+1)</f>
        <v>45950</v>
      </c>
      <c r="C981" s="20">
        <f>IFERROR(_xlfn.ISOWEEKNUM(INPUT!M976),"")</f>
        <v>43</v>
      </c>
      <c r="D981" s="20">
        <f>IFERROR(YEAR(INPUT!M976),"")</f>
        <v>2025</v>
      </c>
      <c r="E981" t="str">
        <f>IF(INPUT!O976="","",INPUT!O976)</f>
        <v>CARLOS</v>
      </c>
      <c r="F981" t="str">
        <f>IF(INPUT!N976="","",INPUT!N976)</f>
        <v>T</v>
      </c>
      <c r="G981" t="str" cm="1">
        <f t="array" ref="G981">IFERROR(VLOOKUP(INPUT!M976&amp;INPUT!N976,CHOOSE({1,2},INPUT!$A$3:$A$5000&amp;INPUT!$C$3:$C$5000,INPUT!$F$3:$F$5000),2,FALSE),"")</f>
        <v>PRE-TEMPORADA</v>
      </c>
      <c r="H981" t="str" cm="1">
        <f t="array" ref="H981">IFERROR(VLOOKUP(INPUT!M976&amp;INPUT!N976,CHOOSE({1,2},INPUT!$A$3:$A$5000&amp;INPUT!$C$3:$C$5000,INPUT!$D$3:$D$5000),2,FALSE),"")</f>
        <v>TEC-TAC</v>
      </c>
      <c r="I981" s="46">
        <f>IF(INPUT!P976="","",INPUT!P976)</f>
        <v>67.2</v>
      </c>
      <c r="J981" s="46">
        <f>IF(INPUT!Q976="","",INPUT!Q976)</f>
        <v>67</v>
      </c>
      <c r="K981" s="46">
        <f>IFERROR(IF(OR(INPUT!P976="",INPUT!Q976=""),"",INPUT!P976-INPUT!Q976),"")</f>
        <v>0.20000000000000284</v>
      </c>
      <c r="L981" s="48">
        <f>IFERROR(IF(OR(INPUT!P976="",INPUT!Q976="",INPUT!P976=0),"",(INPUT!P976-INPUT!Q976)/INPUT!P976),"")</f>
        <v>2.9761904761905185E-3</v>
      </c>
    </row>
    <row r="982" spans="1:12" ht="18" hidden="1" customHeight="1" x14ac:dyDescent="0.2">
      <c r="A982" s="11">
        <f>IF(INPUT!M977="","",INPUT!M977)</f>
        <v>45950</v>
      </c>
      <c r="B982" s="11">
        <f>IF(INPUT!M977="","",INPUT!M977-WEEKDAY(INPUT!M977,2)+1)</f>
        <v>45950</v>
      </c>
      <c r="C982" s="20">
        <f>IFERROR(_xlfn.ISOWEEKNUM(INPUT!M977),"")</f>
        <v>43</v>
      </c>
      <c r="D982" s="20">
        <f>IFERROR(YEAR(INPUT!M977),"")</f>
        <v>2025</v>
      </c>
      <c r="E982" t="str">
        <f>IF(INPUT!O977="","",INPUT!O977)</f>
        <v>RUBIO</v>
      </c>
      <c r="F982" t="str">
        <f>IF(INPUT!N977="","",INPUT!N977)</f>
        <v>M</v>
      </c>
      <c r="G982" t="str" cm="1">
        <f t="array" ref="G982">IFERROR(VLOOKUP(INPUT!M977&amp;INPUT!N977,CHOOSE({1,2},INPUT!$A$3:$A$5000&amp;INPUT!$C$3:$C$5000,INPUT!$F$3:$F$5000),2,FALSE),"")</f>
        <v>PRE-TEMPORADA</v>
      </c>
      <c r="H982" t="str" cm="1">
        <f t="array" ref="H982">IFERROR(VLOOKUP(INPUT!M977&amp;INPUT!N977,CHOOSE({1,2},INPUT!$A$3:$A$5000&amp;INPUT!$C$3:$C$5000,INPUT!$D$3:$D$5000),2,FALSE),"")</f>
        <v>GYM+TEC-TAC</v>
      </c>
      <c r="I982" s="46">
        <f>IF(INPUT!P977="","",INPUT!P977)</f>
        <v>75.099999999999994</v>
      </c>
      <c r="J982" s="46">
        <f>IF(INPUT!Q977="","",INPUT!Q977)</f>
        <v>75</v>
      </c>
      <c r="K982" s="46">
        <f>IFERROR(IF(OR(INPUT!P977="",INPUT!Q977=""),"",INPUT!P977-INPUT!Q977),"")</f>
        <v>9.9999999999994316E-2</v>
      </c>
      <c r="L982" s="48">
        <f>IFERROR(IF(OR(INPUT!P977="",INPUT!Q977="",INPUT!P977=0),"",(INPUT!P977-INPUT!Q977)/INPUT!P977),"")</f>
        <v>1.3315579227695649E-3</v>
      </c>
    </row>
    <row r="983" spans="1:12" ht="18" customHeight="1" x14ac:dyDescent="0.2">
      <c r="A983" s="11">
        <f>IF(INPUT!M978="","",INPUT!M978)</f>
        <v>45950</v>
      </c>
      <c r="B983" s="11">
        <f>IF(INPUT!M978="","",INPUT!M978-WEEKDAY(INPUT!M978,2)+1)</f>
        <v>45950</v>
      </c>
      <c r="C983" s="20">
        <f>IFERROR(_xlfn.ISOWEEKNUM(INPUT!M978),"")</f>
        <v>43</v>
      </c>
      <c r="D983" s="20">
        <f>IFERROR(YEAR(INPUT!M978),"")</f>
        <v>2025</v>
      </c>
      <c r="E983" t="str">
        <f>IF(INPUT!O978="","",INPUT!O978)</f>
        <v>RUBIO</v>
      </c>
      <c r="F983" t="str">
        <f>IF(INPUT!N978="","",INPUT!N978)</f>
        <v>T</v>
      </c>
      <c r="G983" t="str" cm="1">
        <f t="array" ref="G983">IFERROR(VLOOKUP(INPUT!M978&amp;INPUT!N978,CHOOSE({1,2},INPUT!$A$3:$A$5000&amp;INPUT!$C$3:$C$5000,INPUT!$F$3:$F$5000),2,FALSE),"")</f>
        <v>PRE-TEMPORADA</v>
      </c>
      <c r="H983" t="str" cm="1">
        <f t="array" ref="H983">IFERROR(VLOOKUP(INPUT!M978&amp;INPUT!N978,CHOOSE({1,2},INPUT!$A$3:$A$5000&amp;INPUT!$C$3:$C$5000,INPUT!$D$3:$D$5000),2,FALSE),"")</f>
        <v>TEC-TAC</v>
      </c>
      <c r="I983" s="46">
        <f>IF(INPUT!P978="","",INPUT!P978)</f>
        <v>75.2</v>
      </c>
      <c r="J983" s="46">
        <f>IF(INPUT!Q978="","",INPUT!Q978)</f>
        <v>75.3</v>
      </c>
      <c r="K983" s="46">
        <f>IFERROR(IF(OR(INPUT!P978="",INPUT!Q978=""),"",INPUT!P978-INPUT!Q978),"")</f>
        <v>-9.9999999999994316E-2</v>
      </c>
      <c r="L983" s="48">
        <f>IFERROR(IF(OR(INPUT!P978="",INPUT!Q978="",INPUT!P978=0),"",(INPUT!P978-INPUT!Q978)/INPUT!P978),"")</f>
        <v>-1.3297872340424775E-3</v>
      </c>
    </row>
    <row r="984" spans="1:12" ht="18" customHeight="1" x14ac:dyDescent="0.2">
      <c r="A984" s="11">
        <f>IF(INPUT!M979="","",INPUT!M979)</f>
        <v>45950</v>
      </c>
      <c r="B984" s="11">
        <f>IF(INPUT!M979="","",INPUT!M979-WEEKDAY(INPUT!M979,2)+1)</f>
        <v>45950</v>
      </c>
      <c r="C984" s="20">
        <f>IFERROR(_xlfn.ISOWEEKNUM(INPUT!M979),"")</f>
        <v>43</v>
      </c>
      <c r="D984" s="20">
        <f>IFERROR(YEAR(INPUT!M979),"")</f>
        <v>2025</v>
      </c>
      <c r="E984" t="str">
        <f>IF(INPUT!O979="","",INPUT!O979)</f>
        <v>DANI</v>
      </c>
      <c r="F984" t="str">
        <f>IF(INPUT!N979="","",INPUT!N979)</f>
        <v>M</v>
      </c>
      <c r="G984" t="str" cm="1">
        <f t="array" ref="G984">IFERROR(VLOOKUP(INPUT!M979&amp;INPUT!N979,CHOOSE({1,2},INPUT!$A$3:$A$5000&amp;INPUT!$C$3:$C$5000,INPUT!$F$3:$F$5000),2,FALSE),"")</f>
        <v>PRE-TEMPORADA</v>
      </c>
      <c r="H984" t="str" cm="1">
        <f t="array" ref="H984">IFERROR(VLOOKUP(INPUT!M979&amp;INPUT!N979,CHOOSE({1,2},INPUT!$A$3:$A$5000&amp;INPUT!$C$3:$C$5000,INPUT!$D$3:$D$5000),2,FALSE),"")</f>
        <v>GYM+TEC-TAC</v>
      </c>
      <c r="I984" s="46">
        <f>IF(INPUT!P979="","",INPUT!P979)</f>
        <v>93.1</v>
      </c>
      <c r="J984" s="46">
        <f>IF(INPUT!Q979="","",INPUT!Q979)</f>
        <v>93</v>
      </c>
      <c r="K984" s="46">
        <f>IFERROR(IF(OR(INPUT!P979="",INPUT!Q979=""),"",INPUT!P979-INPUT!Q979),"")</f>
        <v>9.9999999999994316E-2</v>
      </c>
      <c r="L984" s="48">
        <f>IFERROR(IF(OR(INPUT!P979="",INPUT!Q979="",INPUT!P979=0),"",(INPUT!P979-INPUT!Q979)/INPUT!P979),"")</f>
        <v>1.0741138560686823E-3</v>
      </c>
    </row>
    <row r="985" spans="1:12" ht="18" customHeight="1" x14ac:dyDescent="0.2">
      <c r="A985" s="11">
        <f>IF(INPUT!M980="","",INPUT!M980)</f>
        <v>45950</v>
      </c>
      <c r="B985" s="11">
        <f>IF(INPUT!M980="","",INPUT!M980-WEEKDAY(INPUT!M980,2)+1)</f>
        <v>45950</v>
      </c>
      <c r="C985" s="20">
        <f>IFERROR(_xlfn.ISOWEEKNUM(INPUT!M980),"")</f>
        <v>43</v>
      </c>
      <c r="D985" s="20">
        <f>IFERROR(YEAR(INPUT!M980),"")</f>
        <v>2025</v>
      </c>
      <c r="E985" t="str">
        <f>IF(INPUT!O980="","",INPUT!O980)</f>
        <v>DANI</v>
      </c>
      <c r="F985" t="str">
        <f>IF(INPUT!N980="","",INPUT!N980)</f>
        <v>T</v>
      </c>
      <c r="G985" t="str" cm="1">
        <f t="array" ref="G985">IFERROR(VLOOKUP(INPUT!M980&amp;INPUT!N980,CHOOSE({1,2},INPUT!$A$3:$A$5000&amp;INPUT!$C$3:$C$5000,INPUT!$F$3:$F$5000),2,FALSE),"")</f>
        <v>PRE-TEMPORADA</v>
      </c>
      <c r="H985" t="str" cm="1">
        <f t="array" ref="H985">IFERROR(VLOOKUP(INPUT!M980&amp;INPUT!N980,CHOOSE({1,2},INPUT!$A$3:$A$5000&amp;INPUT!$C$3:$C$5000,INPUT!$D$3:$D$5000),2,FALSE),"")</f>
        <v>TEC-TAC</v>
      </c>
      <c r="I985" s="46">
        <f>IF(INPUT!P980="","",INPUT!P980)</f>
        <v>93.6</v>
      </c>
      <c r="J985" s="46">
        <f>IF(INPUT!Q980="","",INPUT!Q980)</f>
        <v>93</v>
      </c>
      <c r="K985" s="46">
        <f>IFERROR(IF(OR(INPUT!P980="",INPUT!Q980=""),"",INPUT!P980-INPUT!Q980),"")</f>
        <v>0.59999999999999432</v>
      </c>
      <c r="L985" s="48">
        <f>IFERROR(IF(OR(INPUT!P980="",INPUT!Q980="",INPUT!P980=0),"",(INPUT!P980-INPUT!Q980)/INPUT!P980),"")</f>
        <v>6.4102564102563502E-3</v>
      </c>
    </row>
    <row r="986" spans="1:12" ht="18" customHeight="1" x14ac:dyDescent="0.2">
      <c r="A986" s="11">
        <f>IF(INPUT!M981="","",INPUT!M981)</f>
        <v>45950</v>
      </c>
      <c r="B986" s="11">
        <f>IF(INPUT!M981="","",INPUT!M981-WEEKDAY(INPUT!M981,2)+1)</f>
        <v>45950</v>
      </c>
      <c r="C986" s="20">
        <f>IFERROR(_xlfn.ISOWEEKNUM(INPUT!M981),"")</f>
        <v>43</v>
      </c>
      <c r="D986" s="20">
        <f>IFERROR(YEAR(INPUT!M981),"")</f>
        <v>2025</v>
      </c>
      <c r="E986" t="str">
        <f>IF(INPUT!O981="","",INPUT!O981)</f>
        <v>JAIME</v>
      </c>
      <c r="F986" t="str">
        <f>IF(INPUT!N981="","",INPUT!N981)</f>
        <v>M</v>
      </c>
      <c r="G986" t="str" cm="1">
        <f t="array" ref="G986">IFERROR(VLOOKUP(INPUT!M981&amp;INPUT!N981,CHOOSE({1,2},INPUT!$A$3:$A$5000&amp;INPUT!$C$3:$C$5000,INPUT!$F$3:$F$5000),2,FALSE),"")</f>
        <v>PRE-TEMPORADA</v>
      </c>
      <c r="H986" t="str" cm="1">
        <f t="array" ref="H986">IFERROR(VLOOKUP(INPUT!M981&amp;INPUT!N981,CHOOSE({1,2},INPUT!$A$3:$A$5000&amp;INPUT!$C$3:$C$5000,INPUT!$D$3:$D$5000),2,FALSE),"")</f>
        <v>GYM+TEC-TAC</v>
      </c>
      <c r="I986" s="46">
        <f>IF(INPUT!P981="","",INPUT!P981)</f>
        <v>76.599999999999994</v>
      </c>
      <c r="J986" s="46">
        <f>IF(INPUT!Q981="","",INPUT!Q981)</f>
        <v>75.7</v>
      </c>
      <c r="K986" s="46">
        <f>IFERROR(IF(OR(INPUT!P981="",INPUT!Q981=""),"",INPUT!P981-INPUT!Q981),"")</f>
        <v>0.89999999999999147</v>
      </c>
      <c r="L986" s="48">
        <f>IFERROR(IF(OR(INPUT!P981="",INPUT!Q981="",INPUT!P981=0),"",(INPUT!P981-INPUT!Q981)/INPUT!P981),"")</f>
        <v>1.1749347258485528E-2</v>
      </c>
    </row>
    <row r="987" spans="1:12" ht="18" customHeight="1" x14ac:dyDescent="0.2">
      <c r="A987" s="11">
        <f>IF(INPUT!M982="","",INPUT!M982)</f>
        <v>45950</v>
      </c>
      <c r="B987" s="11">
        <f>IF(INPUT!M982="","",INPUT!M982-WEEKDAY(INPUT!M982,2)+1)</f>
        <v>45950</v>
      </c>
      <c r="C987" s="20">
        <f>IFERROR(_xlfn.ISOWEEKNUM(INPUT!M982),"")</f>
        <v>43</v>
      </c>
      <c r="D987" s="20">
        <f>IFERROR(YEAR(INPUT!M982),"")</f>
        <v>2025</v>
      </c>
      <c r="E987" t="str">
        <f>IF(INPUT!O982="","",INPUT!O982)</f>
        <v>JAIME</v>
      </c>
      <c r="F987" t="str">
        <f>IF(INPUT!N982="","",INPUT!N982)</f>
        <v>T</v>
      </c>
      <c r="G987" t="str" cm="1">
        <f t="array" ref="G987">IFERROR(VLOOKUP(INPUT!M982&amp;INPUT!N982,CHOOSE({1,2},INPUT!$A$3:$A$5000&amp;INPUT!$C$3:$C$5000,INPUT!$F$3:$F$5000),2,FALSE),"")</f>
        <v>PRE-TEMPORADA</v>
      </c>
      <c r="H987" t="str" cm="1">
        <f t="array" ref="H987">IFERROR(VLOOKUP(INPUT!M982&amp;INPUT!N982,CHOOSE({1,2},INPUT!$A$3:$A$5000&amp;INPUT!$C$3:$C$5000,INPUT!$D$3:$D$5000),2,FALSE),"")</f>
        <v>TEC-TAC</v>
      </c>
      <c r="I987" s="46">
        <f>IF(INPUT!P982="","",INPUT!P982)</f>
        <v>76.7</v>
      </c>
      <c r="J987" s="46">
        <f>IF(INPUT!Q982="","",INPUT!Q982)</f>
        <v>76.099999999999994</v>
      </c>
      <c r="K987" s="46">
        <f>IFERROR(IF(OR(INPUT!P982="",INPUT!Q982=""),"",INPUT!P982-INPUT!Q982),"")</f>
        <v>0.60000000000000853</v>
      </c>
      <c r="L987" s="48">
        <f>IFERROR(IF(OR(INPUT!P982="",INPUT!Q982="",INPUT!P982=0),"",(INPUT!P982-INPUT!Q982)/INPUT!P982),"")</f>
        <v>7.8226857887875954E-3</v>
      </c>
    </row>
    <row r="988" spans="1:12" ht="18" hidden="1" customHeight="1" x14ac:dyDescent="0.2">
      <c r="A988" s="11">
        <f>IF(INPUT!M983="","",INPUT!M983)</f>
        <v>45951</v>
      </c>
      <c r="B988" s="11">
        <f>IF(INPUT!M983="","",INPUT!M983-WEEKDAY(INPUT!M983,2)+1)</f>
        <v>45950</v>
      </c>
      <c r="C988" s="20">
        <f>IFERROR(_xlfn.ISOWEEKNUM(INPUT!M983),"")</f>
        <v>43</v>
      </c>
      <c r="D988" s="20">
        <f>IFERROR(YEAR(INPUT!M983),"")</f>
        <v>2025</v>
      </c>
      <c r="E988" t="str">
        <f>IF(INPUT!O983="","",INPUT!O983)</f>
        <v>HERRERO</v>
      </c>
      <c r="F988" t="str">
        <f>IF(INPUT!N983="","",INPUT!N983)</f>
        <v>M</v>
      </c>
      <c r="G988" t="str" cm="1">
        <f t="array" ref="G988">IFERROR(VLOOKUP(INPUT!M983&amp;INPUT!N983,CHOOSE({1,2},INPUT!$A$3:$A$5000&amp;INPUT!$C$3:$C$5000,INPUT!$F$3:$F$5000),2,FALSE),"")</f>
        <v>PRE-TEMPORADA</v>
      </c>
      <c r="H988" t="str" cm="1">
        <f t="array" ref="H988">IFERROR(VLOOKUP(INPUT!M983&amp;INPUT!N983,CHOOSE({1,2},INPUT!$A$3:$A$5000&amp;INPUT!$C$3:$C$5000,INPUT!$D$3:$D$5000),2,FALSE),"")</f>
        <v>TEC-TAC</v>
      </c>
      <c r="I988" s="46">
        <f>IF(INPUT!P983="","",INPUT!P983)</f>
        <v>77</v>
      </c>
      <c r="J988" s="46">
        <f>IF(INPUT!Q983="","",INPUT!Q983)</f>
        <v>77.8</v>
      </c>
      <c r="K988" s="46">
        <f>IFERROR(IF(OR(INPUT!P983="",INPUT!Q983=""),"",INPUT!P983-INPUT!Q983),"")</f>
        <v>-0.79999999999999716</v>
      </c>
      <c r="L988" s="48">
        <f>IFERROR(IF(OR(INPUT!P983="",INPUT!Q983="",INPUT!P983=0),"",(INPUT!P983-INPUT!Q983)/INPUT!P983),"")</f>
        <v>-1.0389610389610353E-2</v>
      </c>
    </row>
    <row r="989" spans="1:12" ht="18" hidden="1" customHeight="1" x14ac:dyDescent="0.2">
      <c r="A989" s="11">
        <f>IF(INPUT!M984="","",INPUT!M984)</f>
        <v>45951</v>
      </c>
      <c r="B989" s="11">
        <f>IF(INPUT!M984="","",INPUT!M984-WEEKDAY(INPUT!M984,2)+1)</f>
        <v>45950</v>
      </c>
      <c r="C989" s="20">
        <f>IFERROR(_xlfn.ISOWEEKNUM(INPUT!M984),"")</f>
        <v>43</v>
      </c>
      <c r="D989" s="20">
        <f>IFERROR(YEAR(INPUT!M984),"")</f>
        <v>2025</v>
      </c>
      <c r="E989" t="str">
        <f>IF(INPUT!O984="","",INPUT!O984)</f>
        <v>GARCIA</v>
      </c>
      <c r="F989" t="str">
        <f>IF(INPUT!N984="","",INPUT!N984)</f>
        <v>M</v>
      </c>
      <c r="G989" t="str" cm="1">
        <f t="array" ref="G989">IFERROR(VLOOKUP(INPUT!M984&amp;INPUT!N984,CHOOSE({1,2},INPUT!$A$3:$A$5000&amp;INPUT!$C$3:$C$5000,INPUT!$F$3:$F$5000),2,FALSE),"")</f>
        <v>PRE-TEMPORADA</v>
      </c>
      <c r="H989" t="str" cm="1">
        <f t="array" ref="H989">IFERROR(VLOOKUP(INPUT!M984&amp;INPUT!N984,CHOOSE({1,2},INPUT!$A$3:$A$5000&amp;INPUT!$C$3:$C$5000,INPUT!$D$3:$D$5000),2,FALSE),"")</f>
        <v>TEC-TAC</v>
      </c>
      <c r="I989" s="46">
        <f>IF(INPUT!P984="","",INPUT!P984)</f>
        <v>79.8</v>
      </c>
      <c r="J989" s="46">
        <f>IF(INPUT!Q984="","",INPUT!Q984)</f>
        <v>79.8</v>
      </c>
      <c r="K989" s="46">
        <f>IFERROR(IF(OR(INPUT!P984="",INPUT!Q984=""),"",INPUT!P984-INPUT!Q984),"")</f>
        <v>0</v>
      </c>
      <c r="L989" s="48">
        <f>IFERROR(IF(OR(INPUT!P984="",INPUT!Q984="",INPUT!P984=0),"",(INPUT!P984-INPUT!Q984)/INPUT!P984),"")</f>
        <v>0</v>
      </c>
    </row>
    <row r="990" spans="1:12" ht="18" hidden="1" customHeight="1" x14ac:dyDescent="0.2">
      <c r="A990" s="11">
        <f>IF(INPUT!M985="","",INPUT!M985)</f>
        <v>45951</v>
      </c>
      <c r="B990" s="11">
        <f>IF(INPUT!M985="","",INPUT!M985-WEEKDAY(INPUT!M985,2)+1)</f>
        <v>45950</v>
      </c>
      <c r="C990" s="20">
        <f>IFERROR(_xlfn.ISOWEEKNUM(INPUT!M985),"")</f>
        <v>43</v>
      </c>
      <c r="D990" s="20">
        <f>IFERROR(YEAR(INPUT!M985),"")</f>
        <v>2025</v>
      </c>
      <c r="E990" t="str">
        <f>IF(INPUT!O985="","",INPUT!O985)</f>
        <v>CECILIO</v>
      </c>
      <c r="F990" t="str">
        <f>IF(INPUT!N985="","",INPUT!N985)</f>
        <v>M</v>
      </c>
      <c r="G990" t="str" cm="1">
        <f t="array" ref="G990">IFERROR(VLOOKUP(INPUT!M985&amp;INPUT!N985,CHOOSE({1,2},INPUT!$A$3:$A$5000&amp;INPUT!$C$3:$C$5000,INPUT!$F$3:$F$5000),2,FALSE),"")</f>
        <v>PRE-TEMPORADA</v>
      </c>
      <c r="H990" t="str" cm="1">
        <f t="array" ref="H990">IFERROR(VLOOKUP(INPUT!M985&amp;INPUT!N985,CHOOSE({1,2},INPUT!$A$3:$A$5000&amp;INPUT!$C$3:$C$5000,INPUT!$D$3:$D$5000),2,FALSE),"")</f>
        <v>TEC-TAC</v>
      </c>
      <c r="I990" s="46">
        <f>IF(INPUT!P985="","",INPUT!P985)</f>
        <v>67</v>
      </c>
      <c r="J990" s="46">
        <f>IF(INPUT!Q985="","",INPUT!Q985)</f>
        <v>67.099999999999994</v>
      </c>
      <c r="K990" s="46">
        <f>IFERROR(IF(OR(INPUT!P985="",INPUT!Q985=""),"",INPUT!P985-INPUT!Q985),"")</f>
        <v>-9.9999999999994316E-2</v>
      </c>
      <c r="L990" s="48">
        <f>IFERROR(IF(OR(INPUT!P985="",INPUT!Q985="",INPUT!P985=0),"",(INPUT!P985-INPUT!Q985)/INPUT!P985),"")</f>
        <v>-1.4925373134327511E-3</v>
      </c>
    </row>
    <row r="991" spans="1:12" ht="18" hidden="1" customHeight="1" x14ac:dyDescent="0.2">
      <c r="A991" s="11">
        <f>IF(INPUT!M986="","",INPUT!M986)</f>
        <v>45951</v>
      </c>
      <c r="B991" s="11">
        <f>IF(INPUT!M986="","",INPUT!M986-WEEKDAY(INPUT!M986,2)+1)</f>
        <v>45950</v>
      </c>
      <c r="C991" s="20">
        <f>IFERROR(_xlfn.ISOWEEKNUM(INPUT!M986),"")</f>
        <v>43</v>
      </c>
      <c r="D991" s="20">
        <f>IFERROR(YEAR(INPUT!M986),"")</f>
        <v>2025</v>
      </c>
      <c r="E991" t="str">
        <f>IF(INPUT!O986="","",INPUT!O986)</f>
        <v>CHAGUINHA</v>
      </c>
      <c r="F991" t="str">
        <f>IF(INPUT!N986="","",INPUT!N986)</f>
        <v>M</v>
      </c>
      <c r="G991" t="str" cm="1">
        <f t="array" ref="G991">IFERROR(VLOOKUP(INPUT!M986&amp;INPUT!N986,CHOOSE({1,2},INPUT!$A$3:$A$5000&amp;INPUT!$C$3:$C$5000,INPUT!$F$3:$F$5000),2,FALSE),"")</f>
        <v>PRE-TEMPORADA</v>
      </c>
      <c r="H991" t="str" cm="1">
        <f t="array" ref="H991">IFERROR(VLOOKUP(INPUT!M986&amp;INPUT!N986,CHOOSE({1,2},INPUT!$A$3:$A$5000&amp;INPUT!$C$3:$C$5000,INPUT!$D$3:$D$5000),2,FALSE),"")</f>
        <v>TEC-TAC</v>
      </c>
      <c r="I991" s="46">
        <f>IF(INPUT!P986="","",INPUT!P986)</f>
        <v>68.5</v>
      </c>
      <c r="J991" s="46">
        <f>IF(INPUT!Q986="","",INPUT!Q986)</f>
        <v>68</v>
      </c>
      <c r="K991" s="46">
        <f>IFERROR(IF(OR(INPUT!P986="",INPUT!Q986=""),"",INPUT!P986-INPUT!Q986),"")</f>
        <v>0.5</v>
      </c>
      <c r="L991" s="48">
        <f>IFERROR(IF(OR(INPUT!P986="",INPUT!Q986="",INPUT!P986=0),"",(INPUT!P986-INPUT!Q986)/INPUT!P986),"")</f>
        <v>7.2992700729927005E-3</v>
      </c>
    </row>
    <row r="992" spans="1:12" ht="18" hidden="1" customHeight="1" x14ac:dyDescent="0.2">
      <c r="A992" s="11">
        <f>IF(INPUT!M987="","",INPUT!M987)</f>
        <v>45951</v>
      </c>
      <c r="B992" s="11">
        <f>IF(INPUT!M987="","",INPUT!M987-WEEKDAY(INPUT!M987,2)+1)</f>
        <v>45950</v>
      </c>
      <c r="C992" s="20">
        <f>IFERROR(_xlfn.ISOWEEKNUM(INPUT!M987),"")</f>
        <v>43</v>
      </c>
      <c r="D992" s="20">
        <f>IFERROR(YEAR(INPUT!M987),"")</f>
        <v>2025</v>
      </c>
      <c r="E992" t="str">
        <f>IF(INPUT!O987="","",INPUT!O987)</f>
        <v>HARRISON</v>
      </c>
      <c r="F992" t="str">
        <f>IF(INPUT!N987="","",INPUT!N987)</f>
        <v>M</v>
      </c>
      <c r="G992" t="str" cm="1">
        <f t="array" ref="G992">IFERROR(VLOOKUP(INPUT!M987&amp;INPUT!N987,CHOOSE({1,2},INPUT!$A$3:$A$5000&amp;INPUT!$C$3:$C$5000,INPUT!$F$3:$F$5000),2,FALSE),"")</f>
        <v>PRE-TEMPORADA</v>
      </c>
      <c r="H992" t="str" cm="1">
        <f t="array" ref="H992">IFERROR(VLOOKUP(INPUT!M987&amp;INPUT!N987,CHOOSE({1,2},INPUT!$A$3:$A$5000&amp;INPUT!$C$3:$C$5000,INPUT!$D$3:$D$5000),2,FALSE),"")</f>
        <v>TEC-TAC</v>
      </c>
      <c r="I992" s="46">
        <f>IF(INPUT!P987="","",INPUT!P987)</f>
        <v>72</v>
      </c>
      <c r="J992" s="46">
        <f>IF(INPUT!Q987="","",INPUT!Q987)</f>
        <v>72</v>
      </c>
      <c r="K992" s="46">
        <f>IFERROR(IF(OR(INPUT!P987="",INPUT!Q987=""),"",INPUT!P987-INPUT!Q987),"")</f>
        <v>0</v>
      </c>
      <c r="L992" s="48">
        <f>IFERROR(IF(OR(INPUT!P987="",INPUT!Q987="",INPUT!P987=0),"",(INPUT!P987-INPUT!Q987)/INPUT!P987),"")</f>
        <v>0</v>
      </c>
    </row>
    <row r="993" spans="1:12" ht="18" hidden="1" customHeight="1" x14ac:dyDescent="0.2">
      <c r="A993" s="11">
        <f>IF(INPUT!M988="","",INPUT!M988)</f>
        <v>45951</v>
      </c>
      <c r="B993" s="11">
        <f>IF(INPUT!M988="","",INPUT!M988-WEEKDAY(INPUT!M988,2)+1)</f>
        <v>45950</v>
      </c>
      <c r="C993" s="20">
        <f>IFERROR(_xlfn.ISOWEEKNUM(INPUT!M988),"")</f>
        <v>43</v>
      </c>
      <c r="D993" s="20">
        <f>IFERROR(YEAR(INPUT!M988),"")</f>
        <v>2025</v>
      </c>
      <c r="E993" t="str">
        <f>IF(INPUT!O988="","",INPUT!O988)</f>
        <v>RAYA</v>
      </c>
      <c r="F993" t="str">
        <f>IF(INPUT!N988="","",INPUT!N988)</f>
        <v>M</v>
      </c>
      <c r="G993" t="str" cm="1">
        <f t="array" ref="G993">IFERROR(VLOOKUP(INPUT!M988&amp;INPUT!N988,CHOOSE({1,2},INPUT!$A$3:$A$5000&amp;INPUT!$C$3:$C$5000,INPUT!$F$3:$F$5000),2,FALSE),"")</f>
        <v>PRE-TEMPORADA</v>
      </c>
      <c r="H993" t="str" cm="1">
        <f t="array" ref="H993">IFERROR(VLOOKUP(INPUT!M988&amp;INPUT!N988,CHOOSE({1,2},INPUT!$A$3:$A$5000&amp;INPUT!$C$3:$C$5000,INPUT!$D$3:$D$5000),2,FALSE),"")</f>
        <v>TEC-TAC</v>
      </c>
      <c r="I993" s="46">
        <f>IF(INPUT!P988="","",INPUT!P988)</f>
        <v>82.4</v>
      </c>
      <c r="J993" s="46">
        <f>IF(INPUT!Q988="","",INPUT!Q988)</f>
        <v>81.599999999999994</v>
      </c>
      <c r="K993" s="46">
        <f>IFERROR(IF(OR(INPUT!P988="",INPUT!Q988=""),"",INPUT!P988-INPUT!Q988),"")</f>
        <v>0.80000000000001137</v>
      </c>
      <c r="L993" s="48">
        <f>IFERROR(IF(OR(INPUT!P988="",INPUT!Q988="",INPUT!P988=0),"",(INPUT!P988-INPUT!Q988)/INPUT!P988),"")</f>
        <v>9.7087378640778078E-3</v>
      </c>
    </row>
    <row r="994" spans="1:12" ht="18" hidden="1" customHeight="1" x14ac:dyDescent="0.2">
      <c r="A994" s="11">
        <f>IF(INPUT!M989="","",INPUT!M989)</f>
        <v>45951</v>
      </c>
      <c r="B994" s="11">
        <f>IF(INPUT!M989="","",INPUT!M989-WEEKDAY(INPUT!M989,2)+1)</f>
        <v>45950</v>
      </c>
      <c r="C994" s="20">
        <f>IFERROR(_xlfn.ISOWEEKNUM(INPUT!M989),"")</f>
        <v>43</v>
      </c>
      <c r="D994" s="20">
        <f>IFERROR(YEAR(INPUT!M989),"")</f>
        <v>2025</v>
      </c>
      <c r="E994" t="str">
        <f>IF(INPUT!O989="","",INPUT!O989)</f>
        <v>JAVI</v>
      </c>
      <c r="F994" t="str">
        <f>IF(INPUT!N989="","",INPUT!N989)</f>
        <v>M</v>
      </c>
      <c r="G994" t="str" cm="1">
        <f t="array" ref="G994">IFERROR(VLOOKUP(INPUT!M989&amp;INPUT!N989,CHOOSE({1,2},INPUT!$A$3:$A$5000&amp;INPUT!$C$3:$C$5000,INPUT!$F$3:$F$5000),2,FALSE),"")</f>
        <v>PRE-TEMPORADA</v>
      </c>
      <c r="H994" t="str" cm="1">
        <f t="array" ref="H994">IFERROR(VLOOKUP(INPUT!M989&amp;INPUT!N989,CHOOSE({1,2},INPUT!$A$3:$A$5000&amp;INPUT!$C$3:$C$5000,INPUT!$D$3:$D$5000),2,FALSE),"")</f>
        <v>TEC-TAC</v>
      </c>
      <c r="I994" s="46">
        <f>IF(INPUT!P989="","",INPUT!P989)</f>
        <v>77.7</v>
      </c>
      <c r="J994" s="46">
        <f>IF(INPUT!Q989="","",INPUT!Q989)</f>
        <v>79.400000000000006</v>
      </c>
      <c r="K994" s="46">
        <f>IFERROR(IF(OR(INPUT!P989="",INPUT!Q989=""),"",INPUT!P989-INPUT!Q989),"")</f>
        <v>-1.7000000000000028</v>
      </c>
      <c r="L994" s="48">
        <f>IFERROR(IF(OR(INPUT!P989="",INPUT!Q989="",INPUT!P989=0),"",(INPUT!P989-INPUT!Q989)/INPUT!P989),"")</f>
        <v>-2.1879021879021916E-2</v>
      </c>
    </row>
    <row r="995" spans="1:12" ht="18" hidden="1" customHeight="1" x14ac:dyDescent="0.2">
      <c r="A995" s="11">
        <f>IF(INPUT!M990="","",INPUT!M990)</f>
        <v>45951</v>
      </c>
      <c r="B995" s="11">
        <f>IF(INPUT!M990="","",INPUT!M990-WEEKDAY(INPUT!M990,2)+1)</f>
        <v>45950</v>
      </c>
      <c r="C995" s="20">
        <f>IFERROR(_xlfn.ISOWEEKNUM(INPUT!M990),"")</f>
        <v>43</v>
      </c>
      <c r="D995" s="20">
        <f>IFERROR(YEAR(INPUT!M990),"")</f>
        <v>2025</v>
      </c>
      <c r="E995" t="str">
        <f>IF(INPUT!O990="","",INPUT!O990)</f>
        <v>PANI</v>
      </c>
      <c r="F995" t="str">
        <f>IF(INPUT!N990="","",INPUT!N990)</f>
        <v>M</v>
      </c>
      <c r="G995" t="str" cm="1">
        <f t="array" ref="G995">IFERROR(VLOOKUP(INPUT!M990&amp;INPUT!N990,CHOOSE({1,2},INPUT!$A$3:$A$5000&amp;INPUT!$C$3:$C$5000,INPUT!$F$3:$F$5000),2,FALSE),"")</f>
        <v>PRE-TEMPORADA</v>
      </c>
      <c r="H995" t="str" cm="1">
        <f t="array" ref="H995">IFERROR(VLOOKUP(INPUT!M990&amp;INPUT!N990,CHOOSE({1,2},INPUT!$A$3:$A$5000&amp;INPUT!$C$3:$C$5000,INPUT!$D$3:$D$5000),2,FALSE),"")</f>
        <v>TEC-TAC</v>
      </c>
      <c r="I995" s="46">
        <f>IF(INPUT!P990="","",INPUT!P990)</f>
        <v>70</v>
      </c>
      <c r="J995" s="46">
        <f>IF(INPUT!Q990="","",INPUT!Q990)</f>
        <v>68.900000000000006</v>
      </c>
      <c r="K995" s="46">
        <f>IFERROR(IF(OR(INPUT!P990="",INPUT!Q990=""),"",INPUT!P990-INPUT!Q990),"")</f>
        <v>1.0999999999999943</v>
      </c>
      <c r="L995" s="48">
        <f>IFERROR(IF(OR(INPUT!P990="",INPUT!Q990="",INPUT!P990=0),"",(INPUT!P990-INPUT!Q990)/INPUT!P990),"")</f>
        <v>1.5714285714285632E-2</v>
      </c>
    </row>
    <row r="996" spans="1:12" ht="18" hidden="1" customHeight="1" x14ac:dyDescent="0.2">
      <c r="A996" s="11">
        <f>IF(INPUT!M991="","",INPUT!M991)</f>
        <v>45951</v>
      </c>
      <c r="B996" s="11">
        <f>IF(INPUT!M991="","",INPUT!M991-WEEKDAY(INPUT!M991,2)+1)</f>
        <v>45950</v>
      </c>
      <c r="C996" s="20">
        <f>IFERROR(_xlfn.ISOWEEKNUM(INPUT!M991),"")</f>
        <v>43</v>
      </c>
      <c r="D996" s="20">
        <f>IFERROR(YEAR(INPUT!M991),"")</f>
        <v>2025</v>
      </c>
      <c r="E996" t="str">
        <f>IF(INPUT!O991="","",INPUT!O991)</f>
        <v>PIRATA</v>
      </c>
      <c r="F996" t="str">
        <f>IF(INPUT!N991="","",INPUT!N991)</f>
        <v>M</v>
      </c>
      <c r="G996" t="str" cm="1">
        <f t="array" ref="G996">IFERROR(VLOOKUP(INPUT!M991&amp;INPUT!N991,CHOOSE({1,2},INPUT!$A$3:$A$5000&amp;INPUT!$C$3:$C$5000,INPUT!$F$3:$F$5000),2,FALSE),"")</f>
        <v>PRE-TEMPORADA</v>
      </c>
      <c r="H996" t="str" cm="1">
        <f t="array" ref="H996">IFERROR(VLOOKUP(INPUT!M991&amp;INPUT!N991,CHOOSE({1,2},INPUT!$A$3:$A$5000&amp;INPUT!$C$3:$C$5000,INPUT!$D$3:$D$5000),2,FALSE),"")</f>
        <v>TEC-TAC</v>
      </c>
      <c r="I996" s="46">
        <f>IF(INPUT!P991="","",INPUT!P991)</f>
        <v>75.5</v>
      </c>
      <c r="J996" s="46">
        <f>IF(INPUT!Q991="","",INPUT!Q991)</f>
        <v>75.599999999999994</v>
      </c>
      <c r="K996" s="46">
        <f>IFERROR(IF(OR(INPUT!P991="",INPUT!Q991=""),"",INPUT!P991-INPUT!Q991),"")</f>
        <v>-9.9999999999994316E-2</v>
      </c>
      <c r="L996" s="48">
        <f>IFERROR(IF(OR(INPUT!P991="",INPUT!Q991="",INPUT!P991=0),"",(INPUT!P991-INPUT!Q991)/INPUT!P991),"")</f>
        <v>-1.3245033112582029E-3</v>
      </c>
    </row>
    <row r="997" spans="1:12" ht="18" hidden="1" customHeight="1" x14ac:dyDescent="0.2">
      <c r="A997" s="11">
        <f>IF(INPUT!M992="","",INPUT!M992)</f>
        <v>45951</v>
      </c>
      <c r="B997" s="11">
        <f>IF(INPUT!M992="","",INPUT!M992-WEEKDAY(INPUT!M992,2)+1)</f>
        <v>45950</v>
      </c>
      <c r="C997" s="20">
        <f>IFERROR(_xlfn.ISOWEEKNUM(INPUT!M992),"")</f>
        <v>43</v>
      </c>
      <c r="D997" s="20">
        <f>IFERROR(YEAR(INPUT!M992),"")</f>
        <v>2025</v>
      </c>
      <c r="E997" t="str">
        <f>IF(INPUT!O992="","",INPUT!O992)</f>
        <v>BARONA</v>
      </c>
      <c r="F997" t="str">
        <f>IF(INPUT!N992="","",INPUT!N992)</f>
        <v>M</v>
      </c>
      <c r="G997" t="str" cm="1">
        <f t="array" ref="G997">IFERROR(VLOOKUP(INPUT!M992&amp;INPUT!N992,CHOOSE({1,2},INPUT!$A$3:$A$5000&amp;INPUT!$C$3:$C$5000,INPUT!$F$3:$F$5000),2,FALSE),"")</f>
        <v>PRE-TEMPORADA</v>
      </c>
      <c r="H997" t="str" cm="1">
        <f t="array" ref="H997">IFERROR(VLOOKUP(INPUT!M992&amp;INPUT!N992,CHOOSE({1,2},INPUT!$A$3:$A$5000&amp;INPUT!$C$3:$C$5000,INPUT!$D$3:$D$5000),2,FALSE),"")</f>
        <v>TEC-TAC</v>
      </c>
      <c r="I997" s="46">
        <f>IF(INPUT!P992="","",INPUT!P992)</f>
        <v>71.5</v>
      </c>
      <c r="J997" s="46">
        <f>IF(INPUT!Q992="","",INPUT!Q992)</f>
        <v>71.099999999999994</v>
      </c>
      <c r="K997" s="46">
        <f>IFERROR(IF(OR(INPUT!P992="",INPUT!Q992=""),"",INPUT!P992-INPUT!Q992),"")</f>
        <v>0.40000000000000568</v>
      </c>
      <c r="L997" s="48">
        <f>IFERROR(IF(OR(INPUT!P992="",INPUT!Q992="",INPUT!P992=0),"",(INPUT!P992-INPUT!Q992)/INPUT!P992),"")</f>
        <v>5.5944055944056742E-3</v>
      </c>
    </row>
    <row r="998" spans="1:12" ht="18" hidden="1" customHeight="1" x14ac:dyDescent="0.2">
      <c r="A998" s="11">
        <f>IF(INPUT!M993="","",INPUT!M993)</f>
        <v>45951</v>
      </c>
      <c r="B998" s="11">
        <f>IF(INPUT!M993="","",INPUT!M993-WEEKDAY(INPUT!M993,2)+1)</f>
        <v>45950</v>
      </c>
      <c r="C998" s="20">
        <f>IFERROR(_xlfn.ISOWEEKNUM(INPUT!M993),"")</f>
        <v>43</v>
      </c>
      <c r="D998" s="20">
        <f>IFERROR(YEAR(INPUT!M993),"")</f>
        <v>2025</v>
      </c>
      <c r="E998" t="str">
        <f>IF(INPUT!O993="","",INPUT!O993)</f>
        <v>CARLOS</v>
      </c>
      <c r="F998" t="str">
        <f>IF(INPUT!N993="","",INPUT!N993)</f>
        <v>M</v>
      </c>
      <c r="G998" t="str" cm="1">
        <f t="array" ref="G998">IFERROR(VLOOKUP(INPUT!M993&amp;INPUT!N993,CHOOSE({1,2},INPUT!$A$3:$A$5000&amp;INPUT!$C$3:$C$5000,INPUT!$F$3:$F$5000),2,FALSE),"")</f>
        <v>PRE-TEMPORADA</v>
      </c>
      <c r="H998" t="str" cm="1">
        <f t="array" ref="H998">IFERROR(VLOOKUP(INPUT!M993&amp;INPUT!N993,CHOOSE({1,2},INPUT!$A$3:$A$5000&amp;INPUT!$C$3:$C$5000,INPUT!$D$3:$D$5000),2,FALSE),"")</f>
        <v>TEC-TAC</v>
      </c>
      <c r="I998" s="46">
        <f>IF(INPUT!P993="","",INPUT!P993)</f>
        <v>66.5</v>
      </c>
      <c r="J998" s="46">
        <f>IF(INPUT!Q993="","",INPUT!Q993)</f>
        <v>65.400000000000006</v>
      </c>
      <c r="K998" s="46">
        <f>IFERROR(IF(OR(INPUT!P993="",INPUT!Q993=""),"",INPUT!P993-INPUT!Q993),"")</f>
        <v>1.0999999999999943</v>
      </c>
      <c r="L998" s="48">
        <f>IFERROR(IF(OR(INPUT!P993="",INPUT!Q993="",INPUT!P993=0),"",(INPUT!P993-INPUT!Q993)/INPUT!P993),"")</f>
        <v>1.6541353383458562E-2</v>
      </c>
    </row>
    <row r="999" spans="1:12" ht="18" hidden="1" customHeight="1" x14ac:dyDescent="0.2">
      <c r="A999" s="11">
        <f>IF(INPUT!M994="","",INPUT!M994)</f>
        <v>45951</v>
      </c>
      <c r="B999" s="11">
        <f>IF(INPUT!M994="","",INPUT!M994-WEEKDAY(INPUT!M994,2)+1)</f>
        <v>45950</v>
      </c>
      <c r="C999" s="20">
        <f>IFERROR(_xlfn.ISOWEEKNUM(INPUT!M994),"")</f>
        <v>43</v>
      </c>
      <c r="D999" s="20">
        <f>IFERROR(YEAR(INPUT!M994),"")</f>
        <v>2025</v>
      </c>
      <c r="E999" t="str">
        <f>IF(INPUT!O994="","",INPUT!O994)</f>
        <v>RUBIO</v>
      </c>
      <c r="F999" t="str">
        <f>IF(INPUT!N994="","",INPUT!N994)</f>
        <v>M</v>
      </c>
      <c r="G999" t="str" cm="1">
        <f t="array" ref="G999">IFERROR(VLOOKUP(INPUT!M994&amp;INPUT!N994,CHOOSE({1,2},INPUT!$A$3:$A$5000&amp;INPUT!$C$3:$C$5000,INPUT!$F$3:$F$5000),2,FALSE),"")</f>
        <v>PRE-TEMPORADA</v>
      </c>
      <c r="H999" t="str" cm="1">
        <f t="array" ref="H999">IFERROR(VLOOKUP(INPUT!M994&amp;INPUT!N994,CHOOSE({1,2},INPUT!$A$3:$A$5000&amp;INPUT!$C$3:$C$5000,INPUT!$D$3:$D$5000),2,FALSE),"")</f>
        <v>TEC-TAC</v>
      </c>
      <c r="I999" s="46">
        <f>IF(INPUT!P994="","",INPUT!P994)</f>
        <v>75.2</v>
      </c>
      <c r="J999" s="46">
        <f>IF(INPUT!Q994="","",INPUT!Q994)</f>
        <v>75</v>
      </c>
      <c r="K999" s="46">
        <f>IFERROR(IF(OR(INPUT!P994="",INPUT!Q994=""),"",INPUT!P994-INPUT!Q994),"")</f>
        <v>0.20000000000000284</v>
      </c>
      <c r="L999" s="48">
        <f>IFERROR(IF(OR(INPUT!P994="",INPUT!Q994="",INPUT!P994=0),"",(INPUT!P994-INPUT!Q994)/INPUT!P994),"")</f>
        <v>2.659574468085144E-3</v>
      </c>
    </row>
    <row r="1000" spans="1:12" ht="18" hidden="1" customHeight="1" x14ac:dyDescent="0.2">
      <c r="A1000" s="11">
        <f>IF(INPUT!M995="","",INPUT!M995)</f>
        <v>45951</v>
      </c>
      <c r="B1000" s="11">
        <f>IF(INPUT!M995="","",INPUT!M995-WEEKDAY(INPUT!M995,2)+1)</f>
        <v>45950</v>
      </c>
      <c r="C1000" s="20">
        <f>IFERROR(_xlfn.ISOWEEKNUM(INPUT!M995),"")</f>
        <v>43</v>
      </c>
      <c r="D1000" s="20">
        <f>IFERROR(YEAR(INPUT!M995),"")</f>
        <v>2025</v>
      </c>
      <c r="E1000" t="str">
        <f>IF(INPUT!O995="","",INPUT!O995)</f>
        <v>DANI</v>
      </c>
      <c r="F1000" t="str">
        <f>IF(INPUT!N995="","",INPUT!N995)</f>
        <v>M</v>
      </c>
      <c r="G1000" t="str" cm="1">
        <f t="array" ref="G1000">IFERROR(VLOOKUP(INPUT!M995&amp;INPUT!N995,CHOOSE({1,2},INPUT!$A$3:$A$5000&amp;INPUT!$C$3:$C$5000,INPUT!$F$3:$F$5000),2,FALSE),"")</f>
        <v>PRE-TEMPORADA</v>
      </c>
      <c r="H1000" t="str" cm="1">
        <f t="array" ref="H1000">IFERROR(VLOOKUP(INPUT!M995&amp;INPUT!N995,CHOOSE({1,2},INPUT!$A$3:$A$5000&amp;INPUT!$C$3:$C$5000,INPUT!$D$3:$D$5000),2,FALSE),"")</f>
        <v>TEC-TAC</v>
      </c>
      <c r="I1000" s="46">
        <f>IF(INPUT!P995="","",INPUT!P995)</f>
        <v>93.5</v>
      </c>
      <c r="J1000" s="46">
        <f>IF(INPUT!Q995="","",INPUT!Q995)</f>
        <v>92.7</v>
      </c>
      <c r="K1000" s="46">
        <f>IFERROR(IF(OR(INPUT!P995="",INPUT!Q995=""),"",INPUT!P995-INPUT!Q995),"")</f>
        <v>0.79999999999999716</v>
      </c>
      <c r="L1000" s="48">
        <f>IFERROR(IF(OR(INPUT!P995="",INPUT!Q995="",INPUT!P995=0),"",(INPUT!P995-INPUT!Q995)/INPUT!P995),"")</f>
        <v>8.5561497326202898E-3</v>
      </c>
    </row>
    <row r="1001" spans="1:12" ht="18" hidden="1" customHeight="1" x14ac:dyDescent="0.2">
      <c r="A1001" s="11">
        <f>IF(INPUT!M996="","",INPUT!M996)</f>
        <v>45951</v>
      </c>
      <c r="B1001" s="11">
        <f>IF(INPUT!M996="","",INPUT!M996-WEEKDAY(INPUT!M996,2)+1)</f>
        <v>45950</v>
      </c>
      <c r="C1001" s="20">
        <f>IFERROR(_xlfn.ISOWEEKNUM(INPUT!M996),"")</f>
        <v>43</v>
      </c>
      <c r="D1001" s="20">
        <f>IFERROR(YEAR(INPUT!M996),"")</f>
        <v>2025</v>
      </c>
      <c r="E1001" t="str">
        <f>IF(INPUT!O996="","",INPUT!O996)</f>
        <v>JAIME</v>
      </c>
      <c r="F1001" t="str">
        <f>IF(INPUT!N996="","",INPUT!N996)</f>
        <v>M</v>
      </c>
      <c r="G1001" t="str" cm="1">
        <f t="array" ref="G1001">IFERROR(VLOOKUP(INPUT!M996&amp;INPUT!N996,CHOOSE({1,2},INPUT!$A$3:$A$5000&amp;INPUT!$C$3:$C$5000,INPUT!$F$3:$F$5000),2,FALSE),"")</f>
        <v>PRE-TEMPORADA</v>
      </c>
      <c r="H1001" t="str" cm="1">
        <f t="array" ref="H1001">IFERROR(VLOOKUP(INPUT!M996&amp;INPUT!N996,CHOOSE({1,2},INPUT!$A$3:$A$5000&amp;INPUT!$C$3:$C$5000,INPUT!$D$3:$D$5000),2,FALSE),"")</f>
        <v>TEC-TAC</v>
      </c>
      <c r="I1001" s="46">
        <f>IF(INPUT!P996="","",INPUT!P996)</f>
        <v>76.3</v>
      </c>
      <c r="J1001" s="46">
        <f>IF(INPUT!Q996="","",INPUT!Q996)</f>
        <v>75.8</v>
      </c>
      <c r="K1001" s="46">
        <f>IFERROR(IF(OR(INPUT!P996="",INPUT!Q996=""),"",INPUT!P996-INPUT!Q996),"")</f>
        <v>0.5</v>
      </c>
      <c r="L1001" s="48">
        <f>IFERROR(IF(OR(INPUT!P996="",INPUT!Q996="",INPUT!P996=0),"",(INPUT!P996-INPUT!Q996)/INPUT!P996),"")</f>
        <v>6.5530799475753609E-3</v>
      </c>
    </row>
    <row r="1002" spans="1:12" ht="18" hidden="1" customHeight="1" x14ac:dyDescent="0.2">
      <c r="A1002" s="11">
        <f>IF(INPUT!M997="","",INPUT!M997)</f>
        <v>45952</v>
      </c>
      <c r="B1002" s="11">
        <f>IF(INPUT!M997="","",INPUT!M997-WEEKDAY(INPUT!M997,2)+1)</f>
        <v>45950</v>
      </c>
      <c r="C1002" s="20">
        <f>IFERROR(_xlfn.ISOWEEKNUM(INPUT!M997),"")</f>
        <v>43</v>
      </c>
      <c r="D1002" s="20">
        <f>IFERROR(YEAR(INPUT!M997),"")</f>
        <v>2025</v>
      </c>
      <c r="E1002" t="str">
        <f>IF(INPUT!O997="","",INPUT!O997)</f>
        <v>HERRERO</v>
      </c>
      <c r="F1002" t="str">
        <f>IF(INPUT!N997="","",INPUT!N997)</f>
        <v>M</v>
      </c>
      <c r="G1002" t="str" cm="1">
        <f t="array" ref="G1002">IFERROR(VLOOKUP(INPUT!M997&amp;INPUT!N997,CHOOSE({1,2},INPUT!$A$3:$A$5000&amp;INPUT!$C$3:$C$5000,INPUT!$F$3:$F$5000),2,FALSE),"")</f>
        <v>PRE-TEMPORADA</v>
      </c>
      <c r="H1002" t="str" cm="1">
        <f t="array" ref="H1002">IFERROR(VLOOKUP(INPUT!M997&amp;INPUT!N997,CHOOSE({1,2},INPUT!$A$3:$A$5000&amp;INPUT!$C$3:$C$5000,INPUT!$D$3:$D$5000),2,FALSE),"")</f>
        <v>GYM+TEC-TAC</v>
      </c>
      <c r="I1002" s="46">
        <f>IF(INPUT!P997="","",INPUT!P997)</f>
        <v>76.900000000000006</v>
      </c>
      <c r="J1002" s="46">
        <f>IF(INPUT!Q997="","",INPUT!Q997)</f>
        <v>76.8</v>
      </c>
      <c r="K1002" s="46">
        <f>IFERROR(IF(OR(INPUT!P997="",INPUT!Q997=""),"",INPUT!P997-INPUT!Q997),"")</f>
        <v>0.10000000000000853</v>
      </c>
      <c r="L1002" s="48">
        <f>IFERROR(IF(OR(INPUT!P997="",INPUT!Q997="",INPUT!P997=0),"",(INPUT!P997-INPUT!Q997)/INPUT!P997),"")</f>
        <v>1.3003901170352214E-3</v>
      </c>
    </row>
    <row r="1003" spans="1:12" ht="18" customHeight="1" x14ac:dyDescent="0.2">
      <c r="A1003" s="11">
        <f>IF(INPUT!M998="","",INPUT!M998)</f>
        <v>45952</v>
      </c>
      <c r="B1003" s="11">
        <f>IF(INPUT!M998="","",INPUT!M998-WEEKDAY(INPUT!M998,2)+1)</f>
        <v>45950</v>
      </c>
      <c r="C1003" s="20">
        <f>IFERROR(_xlfn.ISOWEEKNUM(INPUT!M998),"")</f>
        <v>43</v>
      </c>
      <c r="D1003" s="20">
        <f>IFERROR(YEAR(INPUT!M998),"")</f>
        <v>2025</v>
      </c>
      <c r="E1003" t="str">
        <f>IF(INPUT!O998="","",INPUT!O998)</f>
        <v>GARCIA</v>
      </c>
      <c r="F1003" t="str">
        <f>IF(INPUT!N998="","",INPUT!N998)</f>
        <v>M</v>
      </c>
      <c r="G1003" t="str" cm="1">
        <f t="array" ref="G1003">IFERROR(VLOOKUP(INPUT!M998&amp;INPUT!N998,CHOOSE({1,2},INPUT!$A$3:$A$5000&amp;INPUT!$C$3:$C$5000,INPUT!$F$3:$F$5000),2,FALSE),"")</f>
        <v>PRE-TEMPORADA</v>
      </c>
      <c r="H1003" t="str" cm="1">
        <f t="array" ref="H1003">IFERROR(VLOOKUP(INPUT!M998&amp;INPUT!N998,CHOOSE({1,2},INPUT!$A$3:$A$5000&amp;INPUT!$C$3:$C$5000,INPUT!$D$3:$D$5000),2,FALSE),"")</f>
        <v>GYM+TEC-TAC</v>
      </c>
      <c r="I1003" s="46">
        <f>IF(INPUT!P998="","",INPUT!P998)</f>
        <v>79.900000000000006</v>
      </c>
      <c r="J1003" s="46">
        <f>IF(INPUT!Q998="","",INPUT!Q998)</f>
        <v>79.7</v>
      </c>
      <c r="K1003" s="46">
        <f>IFERROR(IF(OR(INPUT!P998="",INPUT!Q998=""),"",INPUT!P998-INPUT!Q998),"")</f>
        <v>0.20000000000000284</v>
      </c>
      <c r="L1003" s="48">
        <f>IFERROR(IF(OR(INPUT!P998="",INPUT!Q998="",INPUT!P998=0),"",(INPUT!P998-INPUT!Q998)/INPUT!P998),"")</f>
        <v>2.5031289111389588E-3</v>
      </c>
    </row>
    <row r="1004" spans="1:12" ht="18" customHeight="1" x14ac:dyDescent="0.2">
      <c r="A1004" s="11">
        <f>IF(INPUT!M999="","",INPUT!M999)</f>
        <v>45952</v>
      </c>
      <c r="B1004" s="11">
        <f>IF(INPUT!M999="","",INPUT!M999-WEEKDAY(INPUT!M999,2)+1)</f>
        <v>45950</v>
      </c>
      <c r="C1004" s="20">
        <f>IFERROR(_xlfn.ISOWEEKNUM(INPUT!M999),"")</f>
        <v>43</v>
      </c>
      <c r="D1004" s="20">
        <f>IFERROR(YEAR(INPUT!M999),"")</f>
        <v>2025</v>
      </c>
      <c r="E1004" t="str">
        <f>IF(INPUT!O999="","",INPUT!O999)</f>
        <v>OSCAR</v>
      </c>
      <c r="F1004" t="str">
        <f>IF(INPUT!N999="","",INPUT!N999)</f>
        <v>M</v>
      </c>
      <c r="G1004" t="str" cm="1">
        <f t="array" ref="G1004">IFERROR(VLOOKUP(INPUT!M999&amp;INPUT!N999,CHOOSE({1,2},INPUT!$A$3:$A$5000&amp;INPUT!$C$3:$C$5000,INPUT!$F$3:$F$5000),2,FALSE),"")</f>
        <v>PRE-TEMPORADA</v>
      </c>
      <c r="H1004" t="str" cm="1">
        <f t="array" ref="H1004">IFERROR(VLOOKUP(INPUT!M999&amp;INPUT!N999,CHOOSE({1,2},INPUT!$A$3:$A$5000&amp;INPUT!$C$3:$C$5000,INPUT!$D$3:$D$5000),2,FALSE),"")</f>
        <v>GYM+TEC-TAC</v>
      </c>
      <c r="I1004" s="46">
        <f>IF(INPUT!P999="","",INPUT!P999)</f>
        <v>88</v>
      </c>
      <c r="J1004" s="46">
        <f>IF(INPUT!Q999="","",INPUT!Q999)</f>
        <v>86.2</v>
      </c>
      <c r="K1004" s="46">
        <f>IFERROR(IF(OR(INPUT!P999="",INPUT!Q999=""),"",INPUT!P999-INPUT!Q999),"")</f>
        <v>1.7999999999999972</v>
      </c>
      <c r="L1004" s="48">
        <f>IFERROR(IF(OR(INPUT!P999="",INPUT!Q999="",INPUT!P999=0),"",(INPUT!P999-INPUT!Q999)/INPUT!P999),"")</f>
        <v>2.0454545454545423E-2</v>
      </c>
    </row>
    <row r="1005" spans="1:12" ht="18" customHeight="1" x14ac:dyDescent="0.2">
      <c r="A1005" s="11">
        <f>IF(INPUT!M1000="","",INPUT!M1000)</f>
        <v>45952</v>
      </c>
      <c r="B1005" s="11">
        <f>IF(INPUT!M1000="","",INPUT!M1000-WEEKDAY(INPUT!M1000,2)+1)</f>
        <v>45950</v>
      </c>
      <c r="C1005" s="20">
        <f>IFERROR(_xlfn.ISOWEEKNUM(INPUT!M1000),"")</f>
        <v>43</v>
      </c>
      <c r="D1005" s="20">
        <f>IFERROR(YEAR(INPUT!M1000),"")</f>
        <v>2025</v>
      </c>
      <c r="E1005" t="str">
        <f>IF(INPUT!O1000="","",INPUT!O1000)</f>
        <v>CECILIO</v>
      </c>
      <c r="F1005" t="str">
        <f>IF(INPUT!N1000="","",INPUT!N1000)</f>
        <v>M</v>
      </c>
      <c r="G1005" t="str" cm="1">
        <f t="array" ref="G1005">IFERROR(VLOOKUP(INPUT!M1000&amp;INPUT!N1000,CHOOSE({1,2},INPUT!$A$3:$A$5000&amp;INPUT!$C$3:$C$5000,INPUT!$F$3:$F$5000),2,FALSE),"")</f>
        <v>PRE-TEMPORADA</v>
      </c>
      <c r="H1005" t="str" cm="1">
        <f t="array" ref="H1005">IFERROR(VLOOKUP(INPUT!M1000&amp;INPUT!N1000,CHOOSE({1,2},INPUT!$A$3:$A$5000&amp;INPUT!$C$3:$C$5000,INPUT!$D$3:$D$5000),2,FALSE),"")</f>
        <v>GYM+TEC-TAC</v>
      </c>
      <c r="I1005" s="46">
        <f>IF(INPUT!P1000="","",INPUT!P1000)</f>
        <v>67</v>
      </c>
      <c r="J1005" s="46">
        <f>IF(INPUT!Q1000="","",INPUT!Q1000)</f>
        <v>66.599999999999994</v>
      </c>
      <c r="K1005" s="46">
        <f>IFERROR(IF(OR(INPUT!P1000="",INPUT!Q1000=""),"",INPUT!P1000-INPUT!Q1000),"")</f>
        <v>0.40000000000000568</v>
      </c>
      <c r="L1005" s="48">
        <f>IFERROR(IF(OR(INPUT!P1000="",INPUT!Q1000="",INPUT!P1000=0),"",(INPUT!P1000-INPUT!Q1000)/INPUT!P1000),"")</f>
        <v>5.9701492537314283E-3</v>
      </c>
    </row>
    <row r="1006" spans="1:12" ht="18" customHeight="1" x14ac:dyDescent="0.2">
      <c r="A1006" s="11">
        <f>IF(INPUT!M1001="","",INPUT!M1001)</f>
        <v>45952</v>
      </c>
      <c r="B1006" s="11">
        <f>IF(INPUT!M1001="","",INPUT!M1001-WEEKDAY(INPUT!M1001,2)+1)</f>
        <v>45950</v>
      </c>
      <c r="C1006" s="20">
        <f>IFERROR(_xlfn.ISOWEEKNUM(INPUT!M1001),"")</f>
        <v>43</v>
      </c>
      <c r="D1006" s="20">
        <f>IFERROR(YEAR(INPUT!M1001),"")</f>
        <v>2025</v>
      </c>
      <c r="E1006" t="str">
        <f>IF(INPUT!O1001="","",INPUT!O1001)</f>
        <v>CHAGUINHA</v>
      </c>
      <c r="F1006" t="str">
        <f>IF(INPUT!N1001="","",INPUT!N1001)</f>
        <v>M</v>
      </c>
      <c r="G1006" t="str" cm="1">
        <f t="array" ref="G1006">IFERROR(VLOOKUP(INPUT!M1001&amp;INPUT!N1001,CHOOSE({1,2},INPUT!$A$3:$A$5000&amp;INPUT!$C$3:$C$5000,INPUT!$F$3:$F$5000),2,FALSE),"")</f>
        <v>PRE-TEMPORADA</v>
      </c>
      <c r="H1006" t="str" cm="1">
        <f t="array" ref="H1006">IFERROR(VLOOKUP(INPUT!M1001&amp;INPUT!N1001,CHOOSE({1,2},INPUT!$A$3:$A$5000&amp;INPUT!$C$3:$C$5000,INPUT!$D$3:$D$5000),2,FALSE),"")</f>
        <v>GYM+TEC-TAC</v>
      </c>
      <c r="I1006" s="46">
        <f>IF(INPUT!P1001="","",INPUT!P1001)</f>
        <v>68.5</v>
      </c>
      <c r="J1006" s="46">
        <f>IF(INPUT!Q1001="","",INPUT!Q1001)</f>
        <v>68</v>
      </c>
      <c r="K1006" s="46">
        <f>IFERROR(IF(OR(INPUT!P1001="",INPUT!Q1001=""),"",INPUT!P1001-INPUT!Q1001),"")</f>
        <v>0.5</v>
      </c>
      <c r="L1006" s="48">
        <f>IFERROR(IF(OR(INPUT!P1001="",INPUT!Q1001="",INPUT!P1001=0),"",(INPUT!P1001-INPUT!Q1001)/INPUT!P1001),"")</f>
        <v>7.2992700729927005E-3</v>
      </c>
    </row>
    <row r="1007" spans="1:12" ht="18" customHeight="1" x14ac:dyDescent="0.2">
      <c r="A1007" s="11">
        <f>IF(INPUT!M1002="","",INPUT!M1002)</f>
        <v>45952</v>
      </c>
      <c r="B1007" s="11">
        <f>IF(INPUT!M1002="","",INPUT!M1002-WEEKDAY(INPUT!M1002,2)+1)</f>
        <v>45950</v>
      </c>
      <c r="C1007" s="20">
        <f>IFERROR(_xlfn.ISOWEEKNUM(INPUT!M1002),"")</f>
        <v>43</v>
      </c>
      <c r="D1007" s="20">
        <f>IFERROR(YEAR(INPUT!M1002),"")</f>
        <v>2025</v>
      </c>
      <c r="E1007" t="str">
        <f>IF(INPUT!O1002="","",INPUT!O1002)</f>
        <v>HARRISON</v>
      </c>
      <c r="F1007" t="str">
        <f>IF(INPUT!N1002="","",INPUT!N1002)</f>
        <v>M</v>
      </c>
      <c r="G1007" t="str" cm="1">
        <f t="array" ref="G1007">IFERROR(VLOOKUP(INPUT!M1002&amp;INPUT!N1002,CHOOSE({1,2},INPUT!$A$3:$A$5000&amp;INPUT!$C$3:$C$5000,INPUT!$F$3:$F$5000),2,FALSE),"")</f>
        <v>PRE-TEMPORADA</v>
      </c>
      <c r="H1007" t="str" cm="1">
        <f t="array" ref="H1007">IFERROR(VLOOKUP(INPUT!M1002&amp;INPUT!N1002,CHOOSE({1,2},INPUT!$A$3:$A$5000&amp;INPUT!$C$3:$C$5000,INPUT!$D$3:$D$5000),2,FALSE),"")</f>
        <v>GYM+TEC-TAC</v>
      </c>
      <c r="I1007" s="46">
        <f>IF(INPUT!P1002="","",INPUT!P1002)</f>
        <v>71.599999999999994</v>
      </c>
      <c r="J1007" s="46">
        <f>IF(INPUT!Q1002="","",INPUT!Q1002)</f>
        <v>71.5</v>
      </c>
      <c r="K1007" s="46">
        <f>IFERROR(IF(OR(INPUT!P1002="",INPUT!Q1002=""),"",INPUT!P1002-INPUT!Q1002),"")</f>
        <v>9.9999999999994316E-2</v>
      </c>
      <c r="L1007" s="48">
        <f>IFERROR(IF(OR(INPUT!P1002="",INPUT!Q1002="",INPUT!P1002=0),"",(INPUT!P1002-INPUT!Q1002)/INPUT!P1002),"")</f>
        <v>1.3966480446926581E-3</v>
      </c>
    </row>
    <row r="1008" spans="1:12" ht="18" hidden="1" customHeight="1" x14ac:dyDescent="0.2">
      <c r="A1008" s="11">
        <f>IF(INPUT!M1003="","",INPUT!M1003)</f>
        <v>45952</v>
      </c>
      <c r="B1008" s="11">
        <f>IF(INPUT!M1003="","",INPUT!M1003-WEEKDAY(INPUT!M1003,2)+1)</f>
        <v>45950</v>
      </c>
      <c r="C1008" s="20">
        <f>IFERROR(_xlfn.ISOWEEKNUM(INPUT!M1003),"")</f>
        <v>43</v>
      </c>
      <c r="D1008" s="20">
        <f>IFERROR(YEAR(INPUT!M1003),"")</f>
        <v>2025</v>
      </c>
      <c r="E1008" t="str">
        <f>IF(INPUT!O1003="","",INPUT!O1003)</f>
        <v>RAYA</v>
      </c>
      <c r="F1008" t="str">
        <f>IF(INPUT!N1003="","",INPUT!N1003)</f>
        <v>M</v>
      </c>
      <c r="G1008" t="str" cm="1">
        <f t="array" ref="G1008">IFERROR(VLOOKUP(INPUT!M1003&amp;INPUT!N1003,CHOOSE({1,2},INPUT!$A$3:$A$5000&amp;INPUT!$C$3:$C$5000,INPUT!$F$3:$F$5000),2,FALSE),"")</f>
        <v>PRE-TEMPORADA</v>
      </c>
      <c r="H1008" t="str" cm="1">
        <f t="array" ref="H1008">IFERROR(VLOOKUP(INPUT!M1003&amp;INPUT!N1003,CHOOSE({1,2},INPUT!$A$3:$A$5000&amp;INPUT!$C$3:$C$5000,INPUT!$D$3:$D$5000),2,FALSE),"")</f>
        <v>GYM+TEC-TAC</v>
      </c>
      <c r="I1008" s="46">
        <f>IF(INPUT!P1003="","",INPUT!P1003)</f>
        <v>82.4</v>
      </c>
      <c r="J1008" s="46">
        <f>IF(INPUT!Q1003="","",INPUT!Q1003)</f>
        <v>81.3</v>
      </c>
      <c r="K1008" s="46">
        <f>IFERROR(IF(OR(INPUT!P1003="",INPUT!Q1003=""),"",INPUT!P1003-INPUT!Q1003),"")</f>
        <v>1.1000000000000085</v>
      </c>
      <c r="L1008" s="48">
        <f>IFERROR(IF(OR(INPUT!P1003="",INPUT!Q1003="",INPUT!P1003=0),"",(INPUT!P1003-INPUT!Q1003)/INPUT!P1003),"")</f>
        <v>1.3349514563106899E-2</v>
      </c>
    </row>
    <row r="1009" spans="1:12" ht="18" hidden="1" customHeight="1" x14ac:dyDescent="0.2">
      <c r="A1009" s="11">
        <f>IF(INPUT!M1004="","",INPUT!M1004)</f>
        <v>45952</v>
      </c>
      <c r="B1009" s="11">
        <f>IF(INPUT!M1004="","",INPUT!M1004-WEEKDAY(INPUT!M1004,2)+1)</f>
        <v>45950</v>
      </c>
      <c r="C1009" s="20">
        <f>IFERROR(_xlfn.ISOWEEKNUM(INPUT!M1004),"")</f>
        <v>43</v>
      </c>
      <c r="D1009" s="20">
        <f>IFERROR(YEAR(INPUT!M1004),"")</f>
        <v>2025</v>
      </c>
      <c r="E1009" t="str">
        <f>IF(INPUT!O1004="","",INPUT!O1004)</f>
        <v>JAVI</v>
      </c>
      <c r="F1009" t="str">
        <f>IF(INPUT!N1004="","",INPUT!N1004)</f>
        <v>M</v>
      </c>
      <c r="G1009" t="str" cm="1">
        <f t="array" ref="G1009">IFERROR(VLOOKUP(INPUT!M1004&amp;INPUT!N1004,CHOOSE({1,2},INPUT!$A$3:$A$5000&amp;INPUT!$C$3:$C$5000,INPUT!$F$3:$F$5000),2,FALSE),"")</f>
        <v>PRE-TEMPORADA</v>
      </c>
      <c r="H1009" t="str" cm="1">
        <f t="array" ref="H1009">IFERROR(VLOOKUP(INPUT!M1004&amp;INPUT!N1004,CHOOSE({1,2},INPUT!$A$3:$A$5000&amp;INPUT!$C$3:$C$5000,INPUT!$D$3:$D$5000),2,FALSE),"")</f>
        <v>GYM+TEC-TAC</v>
      </c>
      <c r="I1009" s="46">
        <f>IF(INPUT!P1004="","",INPUT!P1004)</f>
        <v>78.7</v>
      </c>
      <c r="J1009" s="46">
        <f>IF(INPUT!Q1004="","",INPUT!Q1004)</f>
        <v>78.599999999999994</v>
      </c>
      <c r="K1009" s="46">
        <f>IFERROR(IF(OR(INPUT!P1004="",INPUT!Q1004=""),"",INPUT!P1004-INPUT!Q1004),"")</f>
        <v>0.10000000000000853</v>
      </c>
      <c r="L1009" s="48">
        <f>IFERROR(IF(OR(INPUT!P1004="",INPUT!Q1004="",INPUT!P1004=0),"",(INPUT!P1004-INPUT!Q1004)/INPUT!P1004),"")</f>
        <v>1.270648030495661E-3</v>
      </c>
    </row>
    <row r="1010" spans="1:12" ht="18" hidden="1" customHeight="1" x14ac:dyDescent="0.2">
      <c r="A1010" s="11">
        <f>IF(INPUT!M1005="","",INPUT!M1005)</f>
        <v>45952</v>
      </c>
      <c r="B1010" s="11">
        <f>IF(INPUT!M1005="","",INPUT!M1005-WEEKDAY(INPUT!M1005,2)+1)</f>
        <v>45950</v>
      </c>
      <c r="C1010" s="20">
        <f>IFERROR(_xlfn.ISOWEEKNUM(INPUT!M1005),"")</f>
        <v>43</v>
      </c>
      <c r="D1010" s="20">
        <f>IFERROR(YEAR(INPUT!M1005),"")</f>
        <v>2025</v>
      </c>
      <c r="E1010" t="str">
        <f>IF(INPUT!O1005="","",INPUT!O1005)</f>
        <v>PANI</v>
      </c>
      <c r="F1010" t="str">
        <f>IF(INPUT!N1005="","",INPUT!N1005)</f>
        <v>M</v>
      </c>
      <c r="G1010" t="str" cm="1">
        <f t="array" ref="G1010">IFERROR(VLOOKUP(INPUT!M1005&amp;INPUT!N1005,CHOOSE({1,2},INPUT!$A$3:$A$5000&amp;INPUT!$C$3:$C$5000,INPUT!$F$3:$F$5000),2,FALSE),"")</f>
        <v>PRE-TEMPORADA</v>
      </c>
      <c r="H1010" t="str" cm="1">
        <f t="array" ref="H1010">IFERROR(VLOOKUP(INPUT!M1005&amp;INPUT!N1005,CHOOSE({1,2},INPUT!$A$3:$A$5000&amp;INPUT!$C$3:$C$5000,INPUT!$D$3:$D$5000),2,FALSE),"")</f>
        <v>GYM+TEC-TAC</v>
      </c>
      <c r="I1010" s="46">
        <f>IF(INPUT!P1005="","",INPUT!P1005)</f>
        <v>70.3</v>
      </c>
      <c r="J1010" s="46">
        <f>IF(INPUT!Q1005="","",INPUT!Q1005)</f>
        <v>69.3</v>
      </c>
      <c r="K1010" s="46">
        <f>IFERROR(IF(OR(INPUT!P1005="",INPUT!Q1005=""),"",INPUT!P1005-INPUT!Q1005),"")</f>
        <v>1</v>
      </c>
      <c r="L1010" s="48">
        <f>IFERROR(IF(OR(INPUT!P1005="",INPUT!Q1005="",INPUT!P1005=0),"",(INPUT!P1005-INPUT!Q1005)/INPUT!P1005),"")</f>
        <v>1.422475106685633E-2</v>
      </c>
    </row>
    <row r="1011" spans="1:12" ht="18" hidden="1" customHeight="1" x14ac:dyDescent="0.2">
      <c r="A1011" s="11">
        <f>IF(INPUT!M1006="","",INPUT!M1006)</f>
        <v>45952</v>
      </c>
      <c r="B1011" s="11">
        <f>IF(INPUT!M1006="","",INPUT!M1006-WEEKDAY(INPUT!M1006,2)+1)</f>
        <v>45950</v>
      </c>
      <c r="C1011" s="20">
        <f>IFERROR(_xlfn.ISOWEEKNUM(INPUT!M1006),"")</f>
        <v>43</v>
      </c>
      <c r="D1011" s="20">
        <f>IFERROR(YEAR(INPUT!M1006),"")</f>
        <v>2025</v>
      </c>
      <c r="E1011" t="str">
        <f>IF(INPUT!O1006="","",INPUT!O1006)</f>
        <v>PIRATA</v>
      </c>
      <c r="F1011" t="str">
        <f>IF(INPUT!N1006="","",INPUT!N1006)</f>
        <v>M</v>
      </c>
      <c r="G1011" t="str" cm="1">
        <f t="array" ref="G1011">IFERROR(VLOOKUP(INPUT!M1006&amp;INPUT!N1006,CHOOSE({1,2},INPUT!$A$3:$A$5000&amp;INPUT!$C$3:$C$5000,INPUT!$F$3:$F$5000),2,FALSE),"")</f>
        <v>PRE-TEMPORADA</v>
      </c>
      <c r="H1011" t="str" cm="1">
        <f t="array" ref="H1011">IFERROR(VLOOKUP(INPUT!M1006&amp;INPUT!N1006,CHOOSE({1,2},INPUT!$A$3:$A$5000&amp;INPUT!$C$3:$C$5000,INPUT!$D$3:$D$5000),2,FALSE),"")</f>
        <v>GYM+TEC-TAC</v>
      </c>
      <c r="I1011" s="46">
        <f>IF(INPUT!P1006="","",INPUT!P1006)</f>
        <v>75.900000000000006</v>
      </c>
      <c r="J1011" s="46">
        <f>IF(INPUT!Q1006="","",INPUT!Q1006)</f>
        <v>75.5</v>
      </c>
      <c r="K1011" s="46">
        <f>IFERROR(IF(OR(INPUT!P1006="",INPUT!Q1006=""),"",INPUT!P1006-INPUT!Q1006),"")</f>
        <v>0.40000000000000568</v>
      </c>
      <c r="L1011" s="48">
        <f>IFERROR(IF(OR(INPUT!P1006="",INPUT!Q1006="",INPUT!P1006=0),"",(INPUT!P1006-INPUT!Q1006)/INPUT!P1006),"")</f>
        <v>5.2700922266140406E-3</v>
      </c>
    </row>
    <row r="1012" spans="1:12" ht="18" hidden="1" customHeight="1" x14ac:dyDescent="0.2">
      <c r="A1012" s="11">
        <f>IF(INPUT!M1007="","",INPUT!M1007)</f>
        <v>45952</v>
      </c>
      <c r="B1012" s="11">
        <f>IF(INPUT!M1007="","",INPUT!M1007-WEEKDAY(INPUT!M1007,2)+1)</f>
        <v>45950</v>
      </c>
      <c r="C1012" s="20">
        <f>IFERROR(_xlfn.ISOWEEKNUM(INPUT!M1007),"")</f>
        <v>43</v>
      </c>
      <c r="D1012" s="20">
        <f>IFERROR(YEAR(INPUT!M1007),"")</f>
        <v>2025</v>
      </c>
      <c r="E1012" t="str">
        <f>IF(INPUT!O1007="","",INPUT!O1007)</f>
        <v>BARONA</v>
      </c>
      <c r="F1012" t="str">
        <f>IF(INPUT!N1007="","",INPUT!N1007)</f>
        <v>M</v>
      </c>
      <c r="G1012" t="str" cm="1">
        <f t="array" ref="G1012">IFERROR(VLOOKUP(INPUT!M1007&amp;INPUT!N1007,CHOOSE({1,2},INPUT!$A$3:$A$5000&amp;INPUT!$C$3:$C$5000,INPUT!$F$3:$F$5000),2,FALSE),"")</f>
        <v>PRE-TEMPORADA</v>
      </c>
      <c r="H1012" t="str" cm="1">
        <f t="array" ref="H1012">IFERROR(VLOOKUP(INPUT!M1007&amp;INPUT!N1007,CHOOSE({1,2},INPUT!$A$3:$A$5000&amp;INPUT!$C$3:$C$5000,INPUT!$D$3:$D$5000),2,FALSE),"")</f>
        <v>GYM+TEC-TAC</v>
      </c>
      <c r="I1012" s="46">
        <f>IF(INPUT!P1007="","",INPUT!P1007)</f>
        <v>71.5</v>
      </c>
      <c r="J1012" s="46">
        <f>IF(INPUT!Q1007="","",INPUT!Q1007)</f>
        <v>71.5</v>
      </c>
      <c r="K1012" s="46">
        <f>IFERROR(IF(OR(INPUT!P1007="",INPUT!Q1007=""),"",INPUT!P1007-INPUT!Q1007),"")</f>
        <v>0</v>
      </c>
      <c r="L1012" s="48">
        <f>IFERROR(IF(OR(INPUT!P1007="",INPUT!Q1007="",INPUT!P1007=0),"",(INPUT!P1007-INPUT!Q1007)/INPUT!P1007),"")</f>
        <v>0</v>
      </c>
    </row>
    <row r="1013" spans="1:12" ht="18" hidden="1" customHeight="1" x14ac:dyDescent="0.2">
      <c r="A1013" s="11">
        <f>IF(INPUT!M1008="","",INPUT!M1008)</f>
        <v>45952</v>
      </c>
      <c r="B1013" s="11">
        <f>IF(INPUT!M1008="","",INPUT!M1008-WEEKDAY(INPUT!M1008,2)+1)</f>
        <v>45950</v>
      </c>
      <c r="C1013" s="20">
        <f>IFERROR(_xlfn.ISOWEEKNUM(INPUT!M1008),"")</f>
        <v>43</v>
      </c>
      <c r="D1013" s="20">
        <f>IFERROR(YEAR(INPUT!M1008),"")</f>
        <v>2025</v>
      </c>
      <c r="E1013" t="str">
        <f>IF(INPUT!O1008="","",INPUT!O1008)</f>
        <v>CARLOS</v>
      </c>
      <c r="F1013" t="str">
        <f>IF(INPUT!N1008="","",INPUT!N1008)</f>
        <v>M</v>
      </c>
      <c r="G1013" t="str" cm="1">
        <f t="array" ref="G1013">IFERROR(VLOOKUP(INPUT!M1008&amp;INPUT!N1008,CHOOSE({1,2},INPUT!$A$3:$A$5000&amp;INPUT!$C$3:$C$5000,INPUT!$F$3:$F$5000),2,FALSE),"")</f>
        <v>PRE-TEMPORADA</v>
      </c>
      <c r="H1013" t="str" cm="1">
        <f t="array" ref="H1013">IFERROR(VLOOKUP(INPUT!M1008&amp;INPUT!N1008,CHOOSE({1,2},INPUT!$A$3:$A$5000&amp;INPUT!$C$3:$C$5000,INPUT!$D$3:$D$5000),2,FALSE),"")</f>
        <v>GYM+TEC-TAC</v>
      </c>
      <c r="I1013" s="46">
        <f>IF(INPUT!P1008="","",INPUT!P1008)</f>
        <v>67.8</v>
      </c>
      <c r="J1013" s="46">
        <f>IF(INPUT!Q1008="","",INPUT!Q1008)</f>
        <v>67.2</v>
      </c>
      <c r="K1013" s="46">
        <f>IFERROR(IF(OR(INPUT!P1008="",INPUT!Q1008=""),"",INPUT!P1008-INPUT!Q1008),"")</f>
        <v>0.59999999999999432</v>
      </c>
      <c r="L1013" s="48">
        <f>IFERROR(IF(OR(INPUT!P1008="",INPUT!Q1008="",INPUT!P1008=0),"",(INPUT!P1008-INPUT!Q1008)/INPUT!P1008),"")</f>
        <v>8.8495575221238104E-3</v>
      </c>
    </row>
    <row r="1014" spans="1:12" ht="18" hidden="1" customHeight="1" x14ac:dyDescent="0.2">
      <c r="A1014" s="11">
        <f>IF(INPUT!M1009="","",INPUT!M1009)</f>
        <v>45952</v>
      </c>
      <c r="B1014" s="11">
        <f>IF(INPUT!M1009="","",INPUT!M1009-WEEKDAY(INPUT!M1009,2)+1)</f>
        <v>45950</v>
      </c>
      <c r="C1014" s="20">
        <f>IFERROR(_xlfn.ISOWEEKNUM(INPUT!M1009),"")</f>
        <v>43</v>
      </c>
      <c r="D1014" s="20">
        <f>IFERROR(YEAR(INPUT!M1009),"")</f>
        <v>2025</v>
      </c>
      <c r="E1014" t="str">
        <f>IF(INPUT!O1009="","",INPUT!O1009)</f>
        <v>GONZALO</v>
      </c>
      <c r="F1014" t="str">
        <f>IF(INPUT!N1009="","",INPUT!N1009)</f>
        <v>M</v>
      </c>
      <c r="G1014" t="str" cm="1">
        <f t="array" ref="G1014">IFERROR(VLOOKUP(INPUT!M1009&amp;INPUT!N1009,CHOOSE({1,2},INPUT!$A$3:$A$5000&amp;INPUT!$C$3:$C$5000,INPUT!$F$3:$F$5000),2,FALSE),"")</f>
        <v>PRE-TEMPORADA</v>
      </c>
      <c r="H1014" t="str" cm="1">
        <f t="array" ref="H1014">IFERROR(VLOOKUP(INPUT!M1009&amp;INPUT!N1009,CHOOSE({1,2},INPUT!$A$3:$A$5000&amp;INPUT!$C$3:$C$5000,INPUT!$D$3:$D$5000),2,FALSE),"")</f>
        <v>GYM+TEC-TAC</v>
      </c>
      <c r="I1014" s="46">
        <f>IF(INPUT!P1009="","",INPUT!P1009)</f>
        <v>82.9</v>
      </c>
      <c r="J1014" s="46">
        <f>IF(INPUT!Q1009="","",INPUT!Q1009)</f>
        <v>83</v>
      </c>
      <c r="K1014" s="46">
        <f>IFERROR(IF(OR(INPUT!P1009="",INPUT!Q1009=""),"",INPUT!P1009-INPUT!Q1009),"")</f>
        <v>-9.9999999999994316E-2</v>
      </c>
      <c r="L1014" s="48">
        <f>IFERROR(IF(OR(INPUT!P1009="",INPUT!Q1009="",INPUT!P1009=0),"",(INPUT!P1009-INPUT!Q1009)/INPUT!P1009),"")</f>
        <v>-1.2062726176115116E-3</v>
      </c>
    </row>
    <row r="1015" spans="1:12" ht="18" hidden="1" customHeight="1" x14ac:dyDescent="0.2">
      <c r="A1015" s="11">
        <f>IF(INPUT!M1010="","",INPUT!M1010)</f>
        <v>45952</v>
      </c>
      <c r="B1015" s="11">
        <f>IF(INPUT!M1010="","",INPUT!M1010-WEEKDAY(INPUT!M1010,2)+1)</f>
        <v>45950</v>
      </c>
      <c r="C1015" s="20">
        <f>IFERROR(_xlfn.ISOWEEKNUM(INPUT!M1010),"")</f>
        <v>43</v>
      </c>
      <c r="D1015" s="20">
        <f>IFERROR(YEAR(INPUT!M1010),"")</f>
        <v>2025</v>
      </c>
      <c r="E1015" t="str">
        <f>IF(INPUT!O1010="","",INPUT!O1010)</f>
        <v>RUBIO</v>
      </c>
      <c r="F1015" t="str">
        <f>IF(INPUT!N1010="","",INPUT!N1010)</f>
        <v>M</v>
      </c>
      <c r="G1015" t="str" cm="1">
        <f t="array" ref="G1015">IFERROR(VLOOKUP(INPUT!M1010&amp;INPUT!N1010,CHOOSE({1,2},INPUT!$A$3:$A$5000&amp;INPUT!$C$3:$C$5000,INPUT!$F$3:$F$5000),2,FALSE),"")</f>
        <v>PRE-TEMPORADA</v>
      </c>
      <c r="H1015" t="str" cm="1">
        <f t="array" ref="H1015">IFERROR(VLOOKUP(INPUT!M1010&amp;INPUT!N1010,CHOOSE({1,2},INPUT!$A$3:$A$5000&amp;INPUT!$C$3:$C$5000,INPUT!$D$3:$D$5000),2,FALSE),"")</f>
        <v>GYM+TEC-TAC</v>
      </c>
      <c r="I1015" s="46">
        <f>IF(INPUT!P1010="","",INPUT!P1010)</f>
        <v>75.2</v>
      </c>
      <c r="J1015" s="46">
        <f>IF(INPUT!Q1010="","",INPUT!Q1010)</f>
        <v>75.3</v>
      </c>
      <c r="K1015" s="46">
        <f>IFERROR(IF(OR(INPUT!P1010="",INPUT!Q1010=""),"",INPUT!P1010-INPUT!Q1010),"")</f>
        <v>-9.9999999999994316E-2</v>
      </c>
      <c r="L1015" s="48">
        <f>IFERROR(IF(OR(INPUT!P1010="",INPUT!Q1010="",INPUT!P1010=0),"",(INPUT!P1010-INPUT!Q1010)/INPUT!P1010),"")</f>
        <v>-1.3297872340424775E-3</v>
      </c>
    </row>
    <row r="1016" spans="1:12" ht="18" hidden="1" customHeight="1" x14ac:dyDescent="0.2">
      <c r="A1016" s="11">
        <f>IF(INPUT!M1011="","",INPUT!M1011)</f>
        <v>45952</v>
      </c>
      <c r="B1016" s="11">
        <f>IF(INPUT!M1011="","",INPUT!M1011-WEEKDAY(INPUT!M1011,2)+1)</f>
        <v>45950</v>
      </c>
      <c r="C1016" s="20">
        <f>IFERROR(_xlfn.ISOWEEKNUM(INPUT!M1011),"")</f>
        <v>43</v>
      </c>
      <c r="D1016" s="20">
        <f>IFERROR(YEAR(INPUT!M1011),"")</f>
        <v>2025</v>
      </c>
      <c r="E1016" t="str">
        <f>IF(INPUT!O1011="","",INPUT!O1011)</f>
        <v>DANI</v>
      </c>
      <c r="F1016" t="str">
        <f>IF(INPUT!N1011="","",INPUT!N1011)</f>
        <v>M</v>
      </c>
      <c r="G1016" t="str" cm="1">
        <f t="array" ref="G1016">IFERROR(VLOOKUP(INPUT!M1011&amp;INPUT!N1011,CHOOSE({1,2},INPUT!$A$3:$A$5000&amp;INPUT!$C$3:$C$5000,INPUT!$F$3:$F$5000),2,FALSE),"")</f>
        <v>PRE-TEMPORADA</v>
      </c>
      <c r="H1016" t="str" cm="1">
        <f t="array" ref="H1016">IFERROR(VLOOKUP(INPUT!M1011&amp;INPUT!N1011,CHOOSE({1,2},INPUT!$A$3:$A$5000&amp;INPUT!$C$3:$C$5000,INPUT!$D$3:$D$5000),2,FALSE),"")</f>
        <v>GYM+TEC-TAC</v>
      </c>
      <c r="I1016" s="46">
        <f>IF(INPUT!P1011="","",INPUT!P1011)</f>
        <v>93.9</v>
      </c>
      <c r="J1016" s="46">
        <f>IF(INPUT!Q1011="","",INPUT!Q1011)</f>
        <v>93.5</v>
      </c>
      <c r="K1016" s="46">
        <f>IFERROR(IF(OR(INPUT!P1011="",INPUT!Q1011=""),"",INPUT!P1011-INPUT!Q1011),"")</f>
        <v>0.40000000000000568</v>
      </c>
      <c r="L1016" s="48">
        <f>IFERROR(IF(OR(INPUT!P1011="",INPUT!Q1011="",INPUT!P1011=0),"",(INPUT!P1011-INPUT!Q1011)/INPUT!P1011),"")</f>
        <v>4.2598509052183776E-3</v>
      </c>
    </row>
    <row r="1017" spans="1:12" ht="18" hidden="1" customHeight="1" x14ac:dyDescent="0.2">
      <c r="A1017" s="11">
        <f>IF(INPUT!M1012="","",INPUT!M1012)</f>
        <v>45952</v>
      </c>
      <c r="B1017" s="11">
        <f>IF(INPUT!M1012="","",INPUT!M1012-WEEKDAY(INPUT!M1012,2)+1)</f>
        <v>45950</v>
      </c>
      <c r="C1017" s="20">
        <f>IFERROR(_xlfn.ISOWEEKNUM(INPUT!M1012),"")</f>
        <v>43</v>
      </c>
      <c r="D1017" s="20">
        <f>IFERROR(YEAR(INPUT!M1012),"")</f>
        <v>2025</v>
      </c>
      <c r="E1017" t="str">
        <f>IF(INPUT!O1012="","",INPUT!O1012)</f>
        <v>JAIME</v>
      </c>
      <c r="F1017" t="str">
        <f>IF(INPUT!N1012="","",INPUT!N1012)</f>
        <v>M</v>
      </c>
      <c r="G1017" t="str" cm="1">
        <f t="array" ref="G1017">IFERROR(VLOOKUP(INPUT!M1012&amp;INPUT!N1012,CHOOSE({1,2},INPUT!$A$3:$A$5000&amp;INPUT!$C$3:$C$5000,INPUT!$F$3:$F$5000),2,FALSE),"")</f>
        <v>PRE-TEMPORADA</v>
      </c>
      <c r="H1017" t="str" cm="1">
        <f t="array" ref="H1017">IFERROR(VLOOKUP(INPUT!M1012&amp;INPUT!N1012,CHOOSE({1,2},INPUT!$A$3:$A$5000&amp;INPUT!$C$3:$C$5000,INPUT!$D$3:$D$5000),2,FALSE),"")</f>
        <v>GYM+TEC-TAC</v>
      </c>
      <c r="I1017" s="46">
        <f>IF(INPUT!P1012="","",INPUT!P1012)</f>
        <v>76.3</v>
      </c>
      <c r="J1017" s="46">
        <f>IF(INPUT!Q1012="","",INPUT!Q1012)</f>
        <v>76</v>
      </c>
      <c r="K1017" s="46">
        <f>IFERROR(IF(OR(INPUT!P1012="",INPUT!Q1012=""),"",INPUT!P1012-INPUT!Q1012),"")</f>
        <v>0.29999999999999716</v>
      </c>
      <c r="L1017" s="48">
        <f>IFERROR(IF(OR(INPUT!P1012="",INPUT!Q1012="",INPUT!P1012=0),"",(INPUT!P1012-INPUT!Q1012)/INPUT!P1012),"")</f>
        <v>3.9318479685451794E-3</v>
      </c>
    </row>
    <row r="1018" spans="1:12" ht="18" hidden="1" customHeight="1" x14ac:dyDescent="0.2">
      <c r="A1018" s="11">
        <f>IF(INPUT!M1013="","",INPUT!M1013)</f>
        <v>45953</v>
      </c>
      <c r="B1018" s="11">
        <f>IF(INPUT!M1013="","",INPUT!M1013-WEEKDAY(INPUT!M1013,2)+1)</f>
        <v>45950</v>
      </c>
      <c r="C1018" s="20">
        <f>IFERROR(_xlfn.ISOWEEKNUM(INPUT!M1013),"")</f>
        <v>43</v>
      </c>
      <c r="D1018" s="20">
        <f>IFERROR(YEAR(INPUT!M1013),"")</f>
        <v>2025</v>
      </c>
      <c r="E1018" t="str">
        <f>IF(INPUT!O1013="","",INPUT!O1013)</f>
        <v>HERRERO</v>
      </c>
      <c r="F1018" t="str">
        <f>IF(INPUT!N1013="","",INPUT!N1013)</f>
        <v>M</v>
      </c>
      <c r="G1018" t="str" cm="1">
        <f t="array" ref="G1018">IFERROR(VLOOKUP(INPUT!M1013&amp;INPUT!N1013,CHOOSE({1,2},INPUT!$A$3:$A$5000&amp;INPUT!$C$3:$C$5000,INPUT!$F$3:$F$5000),2,FALSE),"")</f>
        <v>PRE-TEMPORADA</v>
      </c>
      <c r="H1018" t="str" cm="1">
        <f t="array" ref="H1018">IFERROR(VLOOKUP(INPUT!M1013&amp;INPUT!N1013,CHOOSE({1,2},INPUT!$A$3:$A$5000&amp;INPUT!$C$3:$C$5000,INPUT!$D$3:$D$5000),2,FALSE),"")</f>
        <v>TEC-TAC</v>
      </c>
      <c r="I1018" s="46">
        <f>IF(INPUT!P1013="","",INPUT!P1013)</f>
        <v>77</v>
      </c>
      <c r="J1018" s="46">
        <f>IF(INPUT!Q1013="","",INPUT!Q1013)</f>
        <v>77.5</v>
      </c>
      <c r="K1018" s="46">
        <f>IFERROR(IF(OR(INPUT!P1013="",INPUT!Q1013=""),"",INPUT!P1013-INPUT!Q1013),"")</f>
        <v>-0.5</v>
      </c>
      <c r="L1018" s="48">
        <f>IFERROR(IF(OR(INPUT!P1013="",INPUT!Q1013="",INPUT!P1013=0),"",(INPUT!P1013-INPUT!Q1013)/INPUT!P1013),"")</f>
        <v>-6.4935064935064939E-3</v>
      </c>
    </row>
    <row r="1019" spans="1:12" ht="18" hidden="1" customHeight="1" x14ac:dyDescent="0.2">
      <c r="A1019" s="11">
        <f>IF(INPUT!M1014="","",INPUT!M1014)</f>
        <v>45953</v>
      </c>
      <c r="B1019" s="11">
        <f>IF(INPUT!M1014="","",INPUT!M1014-WEEKDAY(INPUT!M1014,2)+1)</f>
        <v>45950</v>
      </c>
      <c r="C1019" s="20">
        <f>IFERROR(_xlfn.ISOWEEKNUM(INPUT!M1014),"")</f>
        <v>43</v>
      </c>
      <c r="D1019" s="20">
        <f>IFERROR(YEAR(INPUT!M1014),"")</f>
        <v>2025</v>
      </c>
      <c r="E1019" t="str">
        <f>IF(INPUT!O1014="","",INPUT!O1014)</f>
        <v>GARCIA</v>
      </c>
      <c r="F1019" t="str">
        <f>IF(INPUT!N1014="","",INPUT!N1014)</f>
        <v>M</v>
      </c>
      <c r="G1019" t="str" cm="1">
        <f t="array" ref="G1019">IFERROR(VLOOKUP(INPUT!M1014&amp;INPUT!N1014,CHOOSE({1,2},INPUT!$A$3:$A$5000&amp;INPUT!$C$3:$C$5000,INPUT!$F$3:$F$5000),2,FALSE),"")</f>
        <v>PRE-TEMPORADA</v>
      </c>
      <c r="H1019" t="str" cm="1">
        <f t="array" ref="H1019">IFERROR(VLOOKUP(INPUT!M1014&amp;INPUT!N1014,CHOOSE({1,2},INPUT!$A$3:$A$5000&amp;INPUT!$C$3:$C$5000,INPUT!$D$3:$D$5000),2,FALSE),"")</f>
        <v>TEC-TAC</v>
      </c>
      <c r="I1019" s="46">
        <f>IF(INPUT!P1014="","",INPUT!P1014)</f>
        <v>79.8</v>
      </c>
      <c r="J1019" s="46">
        <f>IF(INPUT!Q1014="","",INPUT!Q1014)</f>
        <v>79.7</v>
      </c>
      <c r="K1019" s="46">
        <f>IFERROR(IF(OR(INPUT!P1014="",INPUT!Q1014=""),"",INPUT!P1014-INPUT!Q1014),"")</f>
        <v>9.9999999999994316E-2</v>
      </c>
      <c r="L1019" s="48">
        <f>IFERROR(IF(OR(INPUT!P1014="",INPUT!Q1014="",INPUT!P1014=0),"",(INPUT!P1014-INPUT!Q1014)/INPUT!P1014),"")</f>
        <v>1.2531328320801293E-3</v>
      </c>
    </row>
    <row r="1020" spans="1:12" ht="18" hidden="1" customHeight="1" x14ac:dyDescent="0.2">
      <c r="A1020" s="11">
        <f>IF(INPUT!M1015="","",INPUT!M1015)</f>
        <v>45953</v>
      </c>
      <c r="B1020" s="11">
        <f>IF(INPUT!M1015="","",INPUT!M1015-WEEKDAY(INPUT!M1015,2)+1)</f>
        <v>45950</v>
      </c>
      <c r="C1020" s="20">
        <f>IFERROR(_xlfn.ISOWEEKNUM(INPUT!M1015),"")</f>
        <v>43</v>
      </c>
      <c r="D1020" s="20">
        <f>IFERROR(YEAR(INPUT!M1015),"")</f>
        <v>2025</v>
      </c>
      <c r="E1020" t="str">
        <f>IF(INPUT!O1015="","",INPUT!O1015)</f>
        <v>OSCAR</v>
      </c>
      <c r="F1020" t="str">
        <f>IF(INPUT!N1015="","",INPUT!N1015)</f>
        <v>M</v>
      </c>
      <c r="G1020" t="str" cm="1">
        <f t="array" ref="G1020">IFERROR(VLOOKUP(INPUT!M1015&amp;INPUT!N1015,CHOOSE({1,2},INPUT!$A$3:$A$5000&amp;INPUT!$C$3:$C$5000,INPUT!$F$3:$F$5000),2,FALSE),"")</f>
        <v>PRE-TEMPORADA</v>
      </c>
      <c r="H1020" t="str" cm="1">
        <f t="array" ref="H1020">IFERROR(VLOOKUP(INPUT!M1015&amp;INPUT!N1015,CHOOSE({1,2},INPUT!$A$3:$A$5000&amp;INPUT!$C$3:$C$5000,INPUT!$D$3:$D$5000),2,FALSE),"")</f>
        <v>TEC-TAC</v>
      </c>
      <c r="I1020" s="46">
        <f>IF(INPUT!P1015="","",INPUT!P1015)</f>
        <v>86.8</v>
      </c>
      <c r="J1020" s="46">
        <f>IF(INPUT!Q1015="","",INPUT!Q1015)</f>
        <v>86</v>
      </c>
      <c r="K1020" s="46">
        <f>IFERROR(IF(OR(INPUT!P1015="",INPUT!Q1015=""),"",INPUT!P1015-INPUT!Q1015),"")</f>
        <v>0.79999999999999716</v>
      </c>
      <c r="L1020" s="48">
        <f>IFERROR(IF(OR(INPUT!P1015="",INPUT!Q1015="",INPUT!P1015=0),"",(INPUT!P1015-INPUT!Q1015)/INPUT!P1015),"")</f>
        <v>9.2165898617511191E-3</v>
      </c>
    </row>
    <row r="1021" spans="1:12" ht="18" hidden="1" customHeight="1" x14ac:dyDescent="0.2">
      <c r="A1021" s="11">
        <f>IF(INPUT!M1016="","",INPUT!M1016)</f>
        <v>45953</v>
      </c>
      <c r="B1021" s="11">
        <f>IF(INPUT!M1016="","",INPUT!M1016-WEEKDAY(INPUT!M1016,2)+1)</f>
        <v>45950</v>
      </c>
      <c r="C1021" s="20">
        <f>IFERROR(_xlfn.ISOWEEKNUM(INPUT!M1016),"")</f>
        <v>43</v>
      </c>
      <c r="D1021" s="20">
        <f>IFERROR(YEAR(INPUT!M1016),"")</f>
        <v>2025</v>
      </c>
      <c r="E1021" t="str">
        <f>IF(INPUT!O1016="","",INPUT!O1016)</f>
        <v>CECILIO</v>
      </c>
      <c r="F1021" t="str">
        <f>IF(INPUT!N1016="","",INPUT!N1016)</f>
        <v>M</v>
      </c>
      <c r="G1021" t="str" cm="1">
        <f t="array" ref="G1021">IFERROR(VLOOKUP(INPUT!M1016&amp;INPUT!N1016,CHOOSE({1,2},INPUT!$A$3:$A$5000&amp;INPUT!$C$3:$C$5000,INPUT!$F$3:$F$5000),2,FALSE),"")</f>
        <v>PRE-TEMPORADA</v>
      </c>
      <c r="H1021" t="str" cm="1">
        <f t="array" ref="H1021">IFERROR(VLOOKUP(INPUT!M1016&amp;INPUT!N1016,CHOOSE({1,2},INPUT!$A$3:$A$5000&amp;INPUT!$C$3:$C$5000,INPUT!$D$3:$D$5000),2,FALSE),"")</f>
        <v>TEC-TAC</v>
      </c>
      <c r="I1021" s="46">
        <f>IF(INPUT!P1016="","",INPUT!P1016)</f>
        <v>67.2</v>
      </c>
      <c r="J1021" s="46">
        <f>IF(INPUT!Q1016="","",INPUT!Q1016)</f>
        <v>66.599999999999994</v>
      </c>
      <c r="K1021" s="46">
        <f>IFERROR(IF(OR(INPUT!P1016="",INPUT!Q1016=""),"",INPUT!P1016-INPUT!Q1016),"")</f>
        <v>0.60000000000000853</v>
      </c>
      <c r="L1021" s="48">
        <f>IFERROR(IF(OR(INPUT!P1016="",INPUT!Q1016="",INPUT!P1016=0),"",(INPUT!P1016-INPUT!Q1016)/INPUT!P1016),"")</f>
        <v>8.9285714285715547E-3</v>
      </c>
    </row>
    <row r="1022" spans="1:12" ht="18" hidden="1" customHeight="1" x14ac:dyDescent="0.2">
      <c r="A1022" s="11">
        <f>IF(INPUT!M1017="","",INPUT!M1017)</f>
        <v>45953</v>
      </c>
      <c r="B1022" s="11">
        <f>IF(INPUT!M1017="","",INPUT!M1017-WEEKDAY(INPUT!M1017,2)+1)</f>
        <v>45950</v>
      </c>
      <c r="C1022" s="20">
        <f>IFERROR(_xlfn.ISOWEEKNUM(INPUT!M1017),"")</f>
        <v>43</v>
      </c>
      <c r="D1022" s="20">
        <f>IFERROR(YEAR(INPUT!M1017),"")</f>
        <v>2025</v>
      </c>
      <c r="E1022" t="str">
        <f>IF(INPUT!O1017="","",INPUT!O1017)</f>
        <v>CHAGUINHA</v>
      </c>
      <c r="F1022" t="str">
        <f>IF(INPUT!N1017="","",INPUT!N1017)</f>
        <v>M</v>
      </c>
      <c r="G1022" t="str" cm="1">
        <f t="array" ref="G1022">IFERROR(VLOOKUP(INPUT!M1017&amp;INPUT!N1017,CHOOSE({1,2},INPUT!$A$3:$A$5000&amp;INPUT!$C$3:$C$5000,INPUT!$F$3:$F$5000),2,FALSE),"")</f>
        <v>PRE-TEMPORADA</v>
      </c>
      <c r="H1022" t="str" cm="1">
        <f t="array" ref="H1022">IFERROR(VLOOKUP(INPUT!M1017&amp;INPUT!N1017,CHOOSE({1,2},INPUT!$A$3:$A$5000&amp;INPUT!$C$3:$C$5000,INPUT!$D$3:$D$5000),2,FALSE),"")</f>
        <v>TEC-TAC</v>
      </c>
      <c r="I1022" s="46">
        <f>IF(INPUT!P1017="","",INPUT!P1017)</f>
        <v>69.099999999999994</v>
      </c>
      <c r="J1022" s="46">
        <f>IF(INPUT!Q1017="","",INPUT!Q1017)</f>
        <v>68.5</v>
      </c>
      <c r="K1022" s="46">
        <f>IFERROR(IF(OR(INPUT!P1017="",INPUT!Q1017=""),"",INPUT!P1017-INPUT!Q1017),"")</f>
        <v>0.59999999999999432</v>
      </c>
      <c r="L1022" s="48">
        <f>IFERROR(IF(OR(INPUT!P1017="",INPUT!Q1017="",INPUT!P1017=0),"",(INPUT!P1017-INPUT!Q1017)/INPUT!P1017),"")</f>
        <v>8.6830680173660552E-3</v>
      </c>
    </row>
    <row r="1023" spans="1:12" ht="18" hidden="1" customHeight="1" x14ac:dyDescent="0.2">
      <c r="A1023" s="11">
        <f>IF(INPUT!M1018="","",INPUT!M1018)</f>
        <v>45953</v>
      </c>
      <c r="B1023" s="11">
        <f>IF(INPUT!M1018="","",INPUT!M1018-WEEKDAY(INPUT!M1018,2)+1)</f>
        <v>45950</v>
      </c>
      <c r="C1023" s="20">
        <f>IFERROR(_xlfn.ISOWEEKNUM(INPUT!M1018),"")</f>
        <v>43</v>
      </c>
      <c r="D1023" s="20">
        <f>IFERROR(YEAR(INPUT!M1018),"")</f>
        <v>2025</v>
      </c>
      <c r="E1023" t="str">
        <f>IF(INPUT!O1018="","",INPUT!O1018)</f>
        <v>RAUL</v>
      </c>
      <c r="F1023" t="str">
        <f>IF(INPUT!N1018="","",INPUT!N1018)</f>
        <v>M</v>
      </c>
      <c r="G1023" t="str" cm="1">
        <f t="array" ref="G1023">IFERROR(VLOOKUP(INPUT!M1018&amp;INPUT!N1018,CHOOSE({1,2},INPUT!$A$3:$A$5000&amp;INPUT!$C$3:$C$5000,INPUT!$F$3:$F$5000),2,FALSE),"")</f>
        <v>PRE-TEMPORADA</v>
      </c>
      <c r="H1023" t="str" cm="1">
        <f t="array" ref="H1023">IFERROR(VLOOKUP(INPUT!M1018&amp;INPUT!N1018,CHOOSE({1,2},INPUT!$A$3:$A$5000&amp;INPUT!$C$3:$C$5000,INPUT!$D$3:$D$5000),2,FALSE),"")</f>
        <v>TEC-TAC</v>
      </c>
      <c r="I1023" s="46">
        <f>IF(INPUT!P1018="","",INPUT!P1018)</f>
        <v>80.099999999999994</v>
      </c>
      <c r="J1023" s="46">
        <f>IF(INPUT!Q1018="","",INPUT!Q1018)</f>
        <v>8.4</v>
      </c>
      <c r="K1023" s="46">
        <f>IFERROR(IF(OR(INPUT!P1018="",INPUT!Q1018=""),"",INPUT!P1018-INPUT!Q1018),"")</f>
        <v>71.699999999999989</v>
      </c>
      <c r="L1023" s="48">
        <f>IFERROR(IF(OR(INPUT!P1018="",INPUT!Q1018="",INPUT!P1018=0),"",(INPUT!P1018-INPUT!Q1018)/INPUT!P1018),"")</f>
        <v>0.89513108614232206</v>
      </c>
    </row>
    <row r="1024" spans="1:12" ht="18" hidden="1" customHeight="1" x14ac:dyDescent="0.2">
      <c r="A1024" s="11">
        <f>IF(INPUT!M1019="","",INPUT!M1019)</f>
        <v>45953</v>
      </c>
      <c r="B1024" s="11">
        <f>IF(INPUT!M1019="","",INPUT!M1019-WEEKDAY(INPUT!M1019,2)+1)</f>
        <v>45950</v>
      </c>
      <c r="C1024" s="20">
        <f>IFERROR(_xlfn.ISOWEEKNUM(INPUT!M1019),"")</f>
        <v>43</v>
      </c>
      <c r="D1024" s="20">
        <f>IFERROR(YEAR(INPUT!M1019),"")</f>
        <v>2025</v>
      </c>
      <c r="E1024" t="str">
        <f>IF(INPUT!O1019="","",INPUT!O1019)</f>
        <v>HARRISON</v>
      </c>
      <c r="F1024" t="str">
        <f>IF(INPUT!N1019="","",INPUT!N1019)</f>
        <v>M</v>
      </c>
      <c r="G1024" t="str" cm="1">
        <f t="array" ref="G1024">IFERROR(VLOOKUP(INPUT!M1019&amp;INPUT!N1019,CHOOSE({1,2},INPUT!$A$3:$A$5000&amp;INPUT!$C$3:$C$5000,INPUT!$F$3:$F$5000),2,FALSE),"")</f>
        <v>PRE-TEMPORADA</v>
      </c>
      <c r="H1024" t="str" cm="1">
        <f t="array" ref="H1024">IFERROR(VLOOKUP(INPUT!M1019&amp;INPUT!N1019,CHOOSE({1,2},INPUT!$A$3:$A$5000&amp;INPUT!$C$3:$C$5000,INPUT!$D$3:$D$5000),2,FALSE),"")</f>
        <v>TEC-TAC</v>
      </c>
      <c r="I1024" s="46">
        <f>IF(INPUT!P1019="","",INPUT!P1019)</f>
        <v>71.8</v>
      </c>
      <c r="J1024" s="46">
        <f>IF(INPUT!Q1019="","",INPUT!Q1019)</f>
        <v>72</v>
      </c>
      <c r="K1024" s="46">
        <f>IFERROR(IF(OR(INPUT!P1019="",INPUT!Q1019=""),"",INPUT!P1019-INPUT!Q1019),"")</f>
        <v>-0.20000000000000284</v>
      </c>
      <c r="L1024" s="48">
        <f>IFERROR(IF(OR(INPUT!P1019="",INPUT!Q1019="",INPUT!P1019=0),"",(INPUT!P1019-INPUT!Q1019)/INPUT!P1019),"")</f>
        <v>-2.7855153203343017E-3</v>
      </c>
    </row>
    <row r="1025" spans="1:12" ht="18" hidden="1" customHeight="1" x14ac:dyDescent="0.2">
      <c r="A1025" s="11">
        <f>IF(INPUT!M1020="","",INPUT!M1020)</f>
        <v>45953</v>
      </c>
      <c r="B1025" s="11">
        <f>IF(INPUT!M1020="","",INPUT!M1020-WEEKDAY(INPUT!M1020,2)+1)</f>
        <v>45950</v>
      </c>
      <c r="C1025" s="20">
        <f>IFERROR(_xlfn.ISOWEEKNUM(INPUT!M1020),"")</f>
        <v>43</v>
      </c>
      <c r="D1025" s="20">
        <f>IFERROR(YEAR(INPUT!M1020),"")</f>
        <v>2025</v>
      </c>
      <c r="E1025" t="str">
        <f>IF(INPUT!O1020="","",INPUT!O1020)</f>
        <v>RAYA</v>
      </c>
      <c r="F1025" t="str">
        <f>IF(INPUT!N1020="","",INPUT!N1020)</f>
        <v>M</v>
      </c>
      <c r="G1025" t="str" cm="1">
        <f t="array" ref="G1025">IFERROR(VLOOKUP(INPUT!M1020&amp;INPUT!N1020,CHOOSE({1,2},INPUT!$A$3:$A$5000&amp;INPUT!$C$3:$C$5000,INPUT!$F$3:$F$5000),2,FALSE),"")</f>
        <v>PRE-TEMPORADA</v>
      </c>
      <c r="H1025" t="str" cm="1">
        <f t="array" ref="H1025">IFERROR(VLOOKUP(INPUT!M1020&amp;INPUT!N1020,CHOOSE({1,2},INPUT!$A$3:$A$5000&amp;INPUT!$C$3:$C$5000,INPUT!$D$3:$D$5000),2,FALSE),"")</f>
        <v>TEC-TAC</v>
      </c>
      <c r="I1025" s="46">
        <f>IF(INPUT!P1020="","",INPUT!P1020)</f>
        <v>82.5</v>
      </c>
      <c r="J1025" s="46">
        <f>IF(INPUT!Q1020="","",INPUT!Q1020)</f>
        <v>81.3</v>
      </c>
      <c r="K1025" s="46">
        <f>IFERROR(IF(OR(INPUT!P1020="",INPUT!Q1020=""),"",INPUT!P1020-INPUT!Q1020),"")</f>
        <v>1.2000000000000028</v>
      </c>
      <c r="L1025" s="48">
        <f>IFERROR(IF(OR(INPUT!P1020="",INPUT!Q1020="",INPUT!P1020=0),"",(INPUT!P1020-INPUT!Q1020)/INPUT!P1020),"")</f>
        <v>1.454545454545458E-2</v>
      </c>
    </row>
    <row r="1026" spans="1:12" ht="18" hidden="1" customHeight="1" x14ac:dyDescent="0.2">
      <c r="A1026" s="11">
        <f>IF(INPUT!M1021="","",INPUT!M1021)</f>
        <v>45953</v>
      </c>
      <c r="B1026" s="11">
        <f>IF(INPUT!M1021="","",INPUT!M1021-WEEKDAY(INPUT!M1021,2)+1)</f>
        <v>45950</v>
      </c>
      <c r="C1026" s="20">
        <f>IFERROR(_xlfn.ISOWEEKNUM(INPUT!M1021),"")</f>
        <v>43</v>
      </c>
      <c r="D1026" s="20">
        <f>IFERROR(YEAR(INPUT!M1021),"")</f>
        <v>2025</v>
      </c>
      <c r="E1026" t="str">
        <f>IF(INPUT!O1021="","",INPUT!O1021)</f>
        <v>JAVI</v>
      </c>
      <c r="F1026" t="str">
        <f>IF(INPUT!N1021="","",INPUT!N1021)</f>
        <v>M</v>
      </c>
      <c r="G1026" t="str" cm="1">
        <f t="array" ref="G1026">IFERROR(VLOOKUP(INPUT!M1021&amp;INPUT!N1021,CHOOSE({1,2},INPUT!$A$3:$A$5000&amp;INPUT!$C$3:$C$5000,INPUT!$F$3:$F$5000),2,FALSE),"")</f>
        <v>PRE-TEMPORADA</v>
      </c>
      <c r="H1026" t="str" cm="1">
        <f t="array" ref="H1026">IFERROR(VLOOKUP(INPUT!M1021&amp;INPUT!N1021,CHOOSE({1,2},INPUT!$A$3:$A$5000&amp;INPUT!$C$3:$C$5000,INPUT!$D$3:$D$5000),2,FALSE),"")</f>
        <v>TEC-TAC</v>
      </c>
      <c r="I1026" s="46">
        <f>IF(INPUT!P1021="","",INPUT!P1021)</f>
        <v>79</v>
      </c>
      <c r="J1026" s="46">
        <f>IF(INPUT!Q1021="","",INPUT!Q1021)</f>
        <v>79.2</v>
      </c>
      <c r="K1026" s="46">
        <f>IFERROR(IF(OR(INPUT!P1021="",INPUT!Q1021=""),"",INPUT!P1021-INPUT!Q1021),"")</f>
        <v>-0.20000000000000284</v>
      </c>
      <c r="L1026" s="48">
        <f>IFERROR(IF(OR(INPUT!P1021="",INPUT!Q1021="",INPUT!P1021=0),"",(INPUT!P1021-INPUT!Q1021)/INPUT!P1021),"")</f>
        <v>-2.5316455696202892E-3</v>
      </c>
    </row>
    <row r="1027" spans="1:12" ht="18" hidden="1" customHeight="1" x14ac:dyDescent="0.2">
      <c r="A1027" s="11">
        <f>IF(INPUT!M1022="","",INPUT!M1022)</f>
        <v>45953</v>
      </c>
      <c r="B1027" s="11">
        <f>IF(INPUT!M1022="","",INPUT!M1022-WEEKDAY(INPUT!M1022,2)+1)</f>
        <v>45950</v>
      </c>
      <c r="C1027" s="20">
        <f>IFERROR(_xlfn.ISOWEEKNUM(INPUT!M1022),"")</f>
        <v>43</v>
      </c>
      <c r="D1027" s="20">
        <f>IFERROR(YEAR(INPUT!M1022),"")</f>
        <v>2025</v>
      </c>
      <c r="E1027" t="str">
        <f>IF(INPUT!O1022="","",INPUT!O1022)</f>
        <v>PANI</v>
      </c>
      <c r="F1027" t="str">
        <f>IF(INPUT!N1022="","",INPUT!N1022)</f>
        <v>M</v>
      </c>
      <c r="G1027" t="str" cm="1">
        <f t="array" ref="G1027">IFERROR(VLOOKUP(INPUT!M1022&amp;INPUT!N1022,CHOOSE({1,2},INPUT!$A$3:$A$5000&amp;INPUT!$C$3:$C$5000,INPUT!$F$3:$F$5000),2,FALSE),"")</f>
        <v>PRE-TEMPORADA</v>
      </c>
      <c r="H1027" t="str" cm="1">
        <f t="array" ref="H1027">IFERROR(VLOOKUP(INPUT!M1022&amp;INPUT!N1022,CHOOSE({1,2},INPUT!$A$3:$A$5000&amp;INPUT!$C$3:$C$5000,INPUT!$D$3:$D$5000),2,FALSE),"")</f>
        <v>TEC-TAC</v>
      </c>
      <c r="I1027" s="46">
        <f>IF(INPUT!P1022="","",INPUT!P1022)</f>
        <v>69.400000000000006</v>
      </c>
      <c r="J1027" s="46">
        <f>IF(INPUT!Q1022="","",INPUT!Q1022)</f>
        <v>68.900000000000006</v>
      </c>
      <c r="K1027" s="46">
        <f>IFERROR(IF(OR(INPUT!P1022="",INPUT!Q1022=""),"",INPUT!P1022-INPUT!Q1022),"")</f>
        <v>0.5</v>
      </c>
      <c r="L1027" s="48">
        <f>IFERROR(IF(OR(INPUT!P1022="",INPUT!Q1022="",INPUT!P1022=0),"",(INPUT!P1022-INPUT!Q1022)/INPUT!P1022),"")</f>
        <v>7.2046109510086453E-3</v>
      </c>
    </row>
    <row r="1028" spans="1:12" ht="18" hidden="1" customHeight="1" x14ac:dyDescent="0.2">
      <c r="A1028" s="11">
        <f>IF(INPUT!M1023="","",INPUT!M1023)</f>
        <v>45953</v>
      </c>
      <c r="B1028" s="11">
        <f>IF(INPUT!M1023="","",INPUT!M1023-WEEKDAY(INPUT!M1023,2)+1)</f>
        <v>45950</v>
      </c>
      <c r="C1028" s="20">
        <f>IFERROR(_xlfn.ISOWEEKNUM(INPUT!M1023),"")</f>
        <v>43</v>
      </c>
      <c r="D1028" s="20">
        <f>IFERROR(YEAR(INPUT!M1023),"")</f>
        <v>2025</v>
      </c>
      <c r="E1028" t="str">
        <f>IF(INPUT!O1023="","",INPUT!O1023)</f>
        <v>PIRATA</v>
      </c>
      <c r="F1028" t="str">
        <f>IF(INPUT!N1023="","",INPUT!N1023)</f>
        <v>M</v>
      </c>
      <c r="G1028" t="str" cm="1">
        <f t="array" ref="G1028">IFERROR(VLOOKUP(INPUT!M1023&amp;INPUT!N1023,CHOOSE({1,2},INPUT!$A$3:$A$5000&amp;INPUT!$C$3:$C$5000,INPUT!$F$3:$F$5000),2,FALSE),"")</f>
        <v>PRE-TEMPORADA</v>
      </c>
      <c r="H1028" t="str" cm="1">
        <f t="array" ref="H1028">IFERROR(VLOOKUP(INPUT!M1023&amp;INPUT!N1023,CHOOSE({1,2},INPUT!$A$3:$A$5000&amp;INPUT!$C$3:$C$5000,INPUT!$D$3:$D$5000),2,FALSE),"")</f>
        <v>TEC-TAC</v>
      </c>
      <c r="I1028" s="46">
        <f>IF(INPUT!P1023="","",INPUT!P1023)</f>
        <v>75.8</v>
      </c>
      <c r="J1028" s="46">
        <f>IF(INPUT!Q1023="","",INPUT!Q1023)</f>
        <v>75.5</v>
      </c>
      <c r="K1028" s="46">
        <f>IFERROR(IF(OR(INPUT!P1023="",INPUT!Q1023=""),"",INPUT!P1023-INPUT!Q1023),"")</f>
        <v>0.29999999999999716</v>
      </c>
      <c r="L1028" s="48">
        <f>IFERROR(IF(OR(INPUT!P1023="",INPUT!Q1023="",INPUT!P1023=0),"",(INPUT!P1023-INPUT!Q1023)/INPUT!P1023),"")</f>
        <v>3.9577836411609129E-3</v>
      </c>
    </row>
    <row r="1029" spans="1:12" ht="18" customHeight="1" x14ac:dyDescent="0.2">
      <c r="A1029" s="11">
        <f>IF(INPUT!M1024="","",INPUT!M1024)</f>
        <v>45953</v>
      </c>
      <c r="B1029" s="11">
        <f>IF(INPUT!M1024="","",INPUT!M1024-WEEKDAY(INPUT!M1024,2)+1)</f>
        <v>45950</v>
      </c>
      <c r="C1029" s="20">
        <f>IFERROR(_xlfn.ISOWEEKNUM(INPUT!M1024),"")</f>
        <v>43</v>
      </c>
      <c r="D1029" s="20">
        <f>IFERROR(YEAR(INPUT!M1024),"")</f>
        <v>2025</v>
      </c>
      <c r="E1029" t="str">
        <f>IF(INPUT!O1024="","",INPUT!O1024)</f>
        <v>BARONA</v>
      </c>
      <c r="F1029" t="str">
        <f>IF(INPUT!N1024="","",INPUT!N1024)</f>
        <v>M</v>
      </c>
      <c r="G1029" t="str" cm="1">
        <f t="array" ref="G1029">IFERROR(VLOOKUP(INPUT!M1024&amp;INPUT!N1024,CHOOSE({1,2},INPUT!$A$3:$A$5000&amp;INPUT!$C$3:$C$5000,INPUT!$F$3:$F$5000),2,FALSE),"")</f>
        <v>PRE-TEMPORADA</v>
      </c>
      <c r="H1029" t="str" cm="1">
        <f t="array" ref="H1029">IFERROR(VLOOKUP(INPUT!M1024&amp;INPUT!N1024,CHOOSE({1,2},INPUT!$A$3:$A$5000&amp;INPUT!$C$3:$C$5000,INPUT!$D$3:$D$5000),2,FALSE),"")</f>
        <v>TEC-TAC</v>
      </c>
      <c r="I1029" s="46">
        <f>IF(INPUT!P1024="","",INPUT!P1024)</f>
        <v>71.8</v>
      </c>
      <c r="J1029" s="46">
        <f>IF(INPUT!Q1024="","",INPUT!Q1024)</f>
        <v>71.5</v>
      </c>
      <c r="K1029" s="46">
        <f>IFERROR(IF(OR(INPUT!P1024="",INPUT!Q1024=""),"",INPUT!P1024-INPUT!Q1024),"")</f>
        <v>0.29999999999999716</v>
      </c>
      <c r="L1029" s="48">
        <f>IFERROR(IF(OR(INPUT!P1024="",INPUT!Q1024="",INPUT!P1024=0),"",(INPUT!P1024-INPUT!Q1024)/INPUT!P1024),"")</f>
        <v>4.1782729805013531E-3</v>
      </c>
    </row>
    <row r="1030" spans="1:12" ht="18" customHeight="1" x14ac:dyDescent="0.2">
      <c r="A1030" s="11">
        <f>IF(INPUT!M1025="","",INPUT!M1025)</f>
        <v>45953</v>
      </c>
      <c r="B1030" s="11">
        <f>IF(INPUT!M1025="","",INPUT!M1025-WEEKDAY(INPUT!M1025,2)+1)</f>
        <v>45950</v>
      </c>
      <c r="C1030" s="20">
        <f>IFERROR(_xlfn.ISOWEEKNUM(INPUT!M1025),"")</f>
        <v>43</v>
      </c>
      <c r="D1030" s="20">
        <f>IFERROR(YEAR(INPUT!M1025),"")</f>
        <v>2025</v>
      </c>
      <c r="E1030" t="str">
        <f>IF(INPUT!O1025="","",INPUT!O1025)</f>
        <v>CARLOS</v>
      </c>
      <c r="F1030" t="str">
        <f>IF(INPUT!N1025="","",INPUT!N1025)</f>
        <v>M</v>
      </c>
      <c r="G1030" t="str" cm="1">
        <f t="array" ref="G1030">IFERROR(VLOOKUP(INPUT!M1025&amp;INPUT!N1025,CHOOSE({1,2},INPUT!$A$3:$A$5000&amp;INPUT!$C$3:$C$5000,INPUT!$F$3:$F$5000),2,FALSE),"")</f>
        <v>PRE-TEMPORADA</v>
      </c>
      <c r="H1030" t="str" cm="1">
        <f t="array" ref="H1030">IFERROR(VLOOKUP(INPUT!M1025&amp;INPUT!N1025,CHOOSE({1,2},INPUT!$A$3:$A$5000&amp;INPUT!$C$3:$C$5000,INPUT!$D$3:$D$5000),2,FALSE),"")</f>
        <v>TEC-TAC</v>
      </c>
      <c r="I1030" s="46">
        <f>IF(INPUT!P1025="","",INPUT!P1025)</f>
        <v>67.400000000000006</v>
      </c>
      <c r="J1030" s="46">
        <f>IF(INPUT!Q1025="","",INPUT!Q1025)</f>
        <v>66.8</v>
      </c>
      <c r="K1030" s="46">
        <f>IFERROR(IF(OR(INPUT!P1025="",INPUT!Q1025=""),"",INPUT!P1025-INPUT!Q1025),"")</f>
        <v>0.60000000000000853</v>
      </c>
      <c r="L1030" s="48">
        <f>IFERROR(IF(OR(INPUT!P1025="",INPUT!Q1025="",INPUT!P1025=0),"",(INPUT!P1025-INPUT!Q1025)/INPUT!P1025),"")</f>
        <v>8.9020771513354368E-3</v>
      </c>
    </row>
    <row r="1031" spans="1:12" ht="18" customHeight="1" x14ac:dyDescent="0.2">
      <c r="A1031" s="11">
        <f>IF(INPUT!M1026="","",INPUT!M1026)</f>
        <v>45953</v>
      </c>
      <c r="B1031" s="11">
        <f>IF(INPUT!M1026="","",INPUT!M1026-WEEKDAY(INPUT!M1026,2)+1)</f>
        <v>45950</v>
      </c>
      <c r="C1031" s="20">
        <f>IFERROR(_xlfn.ISOWEEKNUM(INPUT!M1026),"")</f>
        <v>43</v>
      </c>
      <c r="D1031" s="20">
        <f>IFERROR(YEAR(INPUT!M1026),"")</f>
        <v>2025</v>
      </c>
      <c r="E1031" t="str">
        <f>IF(INPUT!O1026="","",INPUT!O1026)</f>
        <v>SEGO</v>
      </c>
      <c r="F1031" t="str">
        <f>IF(INPUT!N1026="","",INPUT!N1026)</f>
        <v>M</v>
      </c>
      <c r="G1031" t="str" cm="1">
        <f t="array" ref="G1031">IFERROR(VLOOKUP(INPUT!M1026&amp;INPUT!N1026,CHOOSE({1,2},INPUT!$A$3:$A$5000&amp;INPUT!$C$3:$C$5000,INPUT!$F$3:$F$5000),2,FALSE),"")</f>
        <v>PRE-TEMPORADA</v>
      </c>
      <c r="H1031" t="str" cm="1">
        <f t="array" ref="H1031">IFERROR(VLOOKUP(INPUT!M1026&amp;INPUT!N1026,CHOOSE({1,2},INPUT!$A$3:$A$5000&amp;INPUT!$C$3:$C$5000,INPUT!$D$3:$D$5000),2,FALSE),"")</f>
        <v>TEC-TAC</v>
      </c>
      <c r="I1031" s="46">
        <f>IF(INPUT!P1026="","",INPUT!P1026)</f>
        <v>76.099999999999994</v>
      </c>
      <c r="J1031" s="46">
        <f>IF(INPUT!Q1026="","",INPUT!Q1026)</f>
        <v>76</v>
      </c>
      <c r="K1031" s="46">
        <f>IFERROR(IF(OR(INPUT!P1026="",INPUT!Q1026=""),"",INPUT!P1026-INPUT!Q1026),"")</f>
        <v>9.9999999999994316E-2</v>
      </c>
      <c r="L1031" s="48">
        <f>IFERROR(IF(OR(INPUT!P1026="",INPUT!Q1026="",INPUT!P1026=0),"",(INPUT!P1026-INPUT!Q1026)/INPUT!P1026),"")</f>
        <v>1.3140604467804773E-3</v>
      </c>
    </row>
    <row r="1032" spans="1:12" ht="18" customHeight="1" x14ac:dyDescent="0.2">
      <c r="A1032" s="11">
        <f>IF(INPUT!M1027="","",INPUT!M1027)</f>
        <v>45953</v>
      </c>
      <c r="B1032" s="11">
        <f>IF(INPUT!M1027="","",INPUT!M1027-WEEKDAY(INPUT!M1027,2)+1)</f>
        <v>45950</v>
      </c>
      <c r="C1032" s="20">
        <f>IFERROR(_xlfn.ISOWEEKNUM(INPUT!M1027),"")</f>
        <v>43</v>
      </c>
      <c r="D1032" s="20">
        <f>IFERROR(YEAR(INPUT!M1027),"")</f>
        <v>2025</v>
      </c>
      <c r="E1032" t="str">
        <f>IF(INPUT!O1027="","",INPUT!O1027)</f>
        <v>DANI</v>
      </c>
      <c r="F1032" t="str">
        <f>IF(INPUT!N1027="","",INPUT!N1027)</f>
        <v>M</v>
      </c>
      <c r="G1032" t="str" cm="1">
        <f t="array" ref="G1032">IFERROR(VLOOKUP(INPUT!M1027&amp;INPUT!N1027,CHOOSE({1,2},INPUT!$A$3:$A$5000&amp;INPUT!$C$3:$C$5000,INPUT!$F$3:$F$5000),2,FALSE),"")</f>
        <v>PRE-TEMPORADA</v>
      </c>
      <c r="H1032" t="str" cm="1">
        <f t="array" ref="H1032">IFERROR(VLOOKUP(INPUT!M1027&amp;INPUT!N1027,CHOOSE({1,2},INPUT!$A$3:$A$5000&amp;INPUT!$C$3:$C$5000,INPUT!$D$3:$D$5000),2,FALSE),"")</f>
        <v>TEC-TAC</v>
      </c>
      <c r="I1032" s="46">
        <f>IF(INPUT!P1027="","",INPUT!P1027)</f>
        <v>93.5</v>
      </c>
      <c r="J1032" s="46">
        <f>IF(INPUT!Q1027="","",INPUT!Q1027)</f>
        <v>93.3</v>
      </c>
      <c r="K1032" s="46">
        <f>IFERROR(IF(OR(INPUT!P1027="",INPUT!Q1027=""),"",INPUT!P1027-INPUT!Q1027),"")</f>
        <v>0.20000000000000284</v>
      </c>
      <c r="L1032" s="48">
        <f>IFERROR(IF(OR(INPUT!P1027="",INPUT!Q1027="",INPUT!P1027=0),"",(INPUT!P1027-INPUT!Q1027)/INPUT!P1027),"")</f>
        <v>2.1390374331551106E-3</v>
      </c>
    </row>
    <row r="1033" spans="1:12" ht="18" customHeight="1" x14ac:dyDescent="0.2">
      <c r="A1033" s="11">
        <f>IF(INPUT!M1028="","",INPUT!M1028)</f>
        <v>45953</v>
      </c>
      <c r="B1033" s="11">
        <f>IF(INPUT!M1028="","",INPUT!M1028-WEEKDAY(INPUT!M1028,2)+1)</f>
        <v>45950</v>
      </c>
      <c r="C1033" s="20">
        <f>IFERROR(_xlfn.ISOWEEKNUM(INPUT!M1028),"")</f>
        <v>43</v>
      </c>
      <c r="D1033" s="20">
        <f>IFERROR(YEAR(INPUT!M1028),"")</f>
        <v>2025</v>
      </c>
      <c r="E1033" t="str">
        <f>IF(INPUT!O1028="","",INPUT!O1028)</f>
        <v>JAIME</v>
      </c>
      <c r="F1033" t="str">
        <f>IF(INPUT!N1028="","",INPUT!N1028)</f>
        <v>M</v>
      </c>
      <c r="G1033" t="str" cm="1">
        <f t="array" ref="G1033">IFERROR(VLOOKUP(INPUT!M1028&amp;INPUT!N1028,CHOOSE({1,2},INPUT!$A$3:$A$5000&amp;INPUT!$C$3:$C$5000,INPUT!$F$3:$F$5000),2,FALSE),"")</f>
        <v>PRE-TEMPORADA</v>
      </c>
      <c r="H1033" t="str" cm="1">
        <f t="array" ref="H1033">IFERROR(VLOOKUP(INPUT!M1028&amp;INPUT!N1028,CHOOSE({1,2},INPUT!$A$3:$A$5000&amp;INPUT!$C$3:$C$5000,INPUT!$D$3:$D$5000),2,FALSE),"")</f>
        <v>TEC-TAC</v>
      </c>
      <c r="I1033" s="46">
        <f>IF(INPUT!P1028="","",INPUT!P1028)</f>
        <v>76.599999999999994</v>
      </c>
      <c r="J1033" s="46">
        <f>IF(INPUT!Q1028="","",INPUT!Q1028)</f>
        <v>76.3</v>
      </c>
      <c r="K1033" s="46">
        <f>IFERROR(IF(OR(INPUT!P1028="",INPUT!Q1028=""),"",INPUT!P1028-INPUT!Q1028),"")</f>
        <v>0.29999999999999716</v>
      </c>
      <c r="L1033" s="48">
        <f>IFERROR(IF(OR(INPUT!P1028="",INPUT!Q1028="",INPUT!P1028=0),"",(INPUT!P1028-INPUT!Q1028)/INPUT!P1028),"")</f>
        <v>3.9164490861618431E-3</v>
      </c>
    </row>
    <row r="1034" spans="1:12" ht="18" hidden="1" customHeight="1" x14ac:dyDescent="0.2">
      <c r="A1034" s="11">
        <f>IF(INPUT!M1029="","",INPUT!M1029)</f>
        <v>45958</v>
      </c>
      <c r="B1034" s="11">
        <f>IF(INPUT!M1029="","",INPUT!M1029-WEEKDAY(INPUT!M1029,2)+1)</f>
        <v>45957</v>
      </c>
      <c r="C1034" s="20">
        <f>IFERROR(_xlfn.ISOWEEKNUM(INPUT!M1029),"")</f>
        <v>44</v>
      </c>
      <c r="D1034" s="20">
        <f>IFERROR(YEAR(INPUT!M1029),"")</f>
        <v>2025</v>
      </c>
      <c r="E1034" t="str">
        <f>IF(INPUT!O1029="","",INPUT!O1029)</f>
        <v>HERRERO</v>
      </c>
      <c r="F1034" t="str">
        <f>IF(INPUT!N1029="","",INPUT!N1029)</f>
        <v>M</v>
      </c>
      <c r="G1034" t="str" cm="1">
        <f t="array" ref="G1034">IFERROR(VLOOKUP(INPUT!M1029&amp;INPUT!N1029,CHOOSE({1,2},INPUT!$A$3:$A$5000&amp;INPUT!$C$3:$C$5000,INPUT!$F$3:$F$5000),2,FALSE),"")</f>
        <v>PRE-TEMPORADA</v>
      </c>
      <c r="H1034" t="str" cm="1">
        <f t="array" ref="H1034">IFERROR(VLOOKUP(INPUT!M1029&amp;INPUT!N1029,CHOOSE({1,2},INPUT!$A$3:$A$5000&amp;INPUT!$C$3:$C$5000,INPUT!$D$3:$D$5000),2,FALSE),"")</f>
        <v>GYM+TEC-TAC</v>
      </c>
      <c r="I1034" s="46">
        <f>IF(INPUT!P1029="","",INPUT!P1029)</f>
        <v>77</v>
      </c>
      <c r="J1034" s="46">
        <f>IF(INPUT!Q1029="","",INPUT!Q1029)</f>
        <v>76.2</v>
      </c>
      <c r="K1034" s="46">
        <f>IFERROR(IF(OR(INPUT!P1029="",INPUT!Q1029=""),"",INPUT!P1029-INPUT!Q1029),"")</f>
        <v>0.79999999999999716</v>
      </c>
      <c r="L1034" s="48">
        <f>IFERROR(IF(OR(INPUT!P1029="",INPUT!Q1029="",INPUT!P1029=0),"",(INPUT!P1029-INPUT!Q1029)/INPUT!P1029),"")</f>
        <v>1.0389610389610353E-2</v>
      </c>
    </row>
    <row r="1035" spans="1:12" ht="18" hidden="1" customHeight="1" x14ac:dyDescent="0.2">
      <c r="A1035" s="11">
        <f>IF(INPUT!M1030="","",INPUT!M1030)</f>
        <v>45958</v>
      </c>
      <c r="B1035" s="11">
        <f>IF(INPUT!M1030="","",INPUT!M1030-WEEKDAY(INPUT!M1030,2)+1)</f>
        <v>45957</v>
      </c>
      <c r="C1035" s="20">
        <f>IFERROR(_xlfn.ISOWEEKNUM(INPUT!M1030),"")</f>
        <v>44</v>
      </c>
      <c r="D1035" s="20">
        <f>IFERROR(YEAR(INPUT!M1030),"")</f>
        <v>2025</v>
      </c>
      <c r="E1035" t="str">
        <f>IF(INPUT!O1030="","",INPUT!O1030)</f>
        <v>GARCIA</v>
      </c>
      <c r="F1035" t="str">
        <f>IF(INPUT!N1030="","",INPUT!N1030)</f>
        <v>M</v>
      </c>
      <c r="G1035" t="str" cm="1">
        <f t="array" ref="G1035">IFERROR(VLOOKUP(INPUT!M1030&amp;INPUT!N1030,CHOOSE({1,2},INPUT!$A$3:$A$5000&amp;INPUT!$C$3:$C$5000,INPUT!$F$3:$F$5000),2,FALSE),"")</f>
        <v>PRE-TEMPORADA</v>
      </c>
      <c r="H1035" t="str" cm="1">
        <f t="array" ref="H1035">IFERROR(VLOOKUP(INPUT!M1030&amp;INPUT!N1030,CHOOSE({1,2},INPUT!$A$3:$A$5000&amp;INPUT!$C$3:$C$5000,INPUT!$D$3:$D$5000),2,FALSE),"")</f>
        <v>GYM+TEC-TAC</v>
      </c>
      <c r="I1035" s="46">
        <f>IF(INPUT!P1030="","",INPUT!P1030)</f>
        <v>97.8</v>
      </c>
      <c r="J1035" s="46">
        <f>IF(INPUT!Q1030="","",INPUT!Q1030)</f>
        <v>79.7</v>
      </c>
      <c r="K1035" s="46">
        <f>IFERROR(IF(OR(INPUT!P1030="",INPUT!Q1030=""),"",INPUT!P1030-INPUT!Q1030),"")</f>
        <v>18.099999999999994</v>
      </c>
      <c r="L1035" s="48">
        <f>IFERROR(IF(OR(INPUT!P1030="",INPUT!Q1030="",INPUT!P1030=0),"",(INPUT!P1030-INPUT!Q1030)/INPUT!P1030),"")</f>
        <v>0.18507157464212673</v>
      </c>
    </row>
    <row r="1036" spans="1:12" ht="18" hidden="1" customHeight="1" x14ac:dyDescent="0.2">
      <c r="A1036" s="11">
        <f>IF(INPUT!M1031="","",INPUT!M1031)</f>
        <v>45958</v>
      </c>
      <c r="B1036" s="11">
        <f>IF(INPUT!M1031="","",INPUT!M1031-WEEKDAY(INPUT!M1031,2)+1)</f>
        <v>45957</v>
      </c>
      <c r="C1036" s="20">
        <f>IFERROR(_xlfn.ISOWEEKNUM(INPUT!M1031),"")</f>
        <v>44</v>
      </c>
      <c r="D1036" s="20">
        <f>IFERROR(YEAR(INPUT!M1031),"")</f>
        <v>2025</v>
      </c>
      <c r="E1036" t="str">
        <f>IF(INPUT!O1031="","",INPUT!O1031)</f>
        <v>OSCAR</v>
      </c>
      <c r="F1036" t="str">
        <f>IF(INPUT!N1031="","",INPUT!N1031)</f>
        <v>M</v>
      </c>
      <c r="G1036" t="str" cm="1">
        <f t="array" ref="G1036">IFERROR(VLOOKUP(INPUT!M1031&amp;INPUT!N1031,CHOOSE({1,2},INPUT!$A$3:$A$5000&amp;INPUT!$C$3:$C$5000,INPUT!$F$3:$F$5000),2,FALSE),"")</f>
        <v>PRE-TEMPORADA</v>
      </c>
      <c r="H1036" t="str" cm="1">
        <f t="array" ref="H1036">IFERROR(VLOOKUP(INPUT!M1031&amp;INPUT!N1031,CHOOSE({1,2},INPUT!$A$3:$A$5000&amp;INPUT!$C$3:$C$5000,INPUT!$D$3:$D$5000),2,FALSE),"")</f>
        <v>GYM+TEC-TAC</v>
      </c>
      <c r="I1036" s="46">
        <f>IF(INPUT!P1031="","",INPUT!P1031)</f>
        <v>87.5</v>
      </c>
      <c r="J1036" s="46">
        <f>IF(INPUT!Q1031="","",INPUT!Q1031)</f>
        <v>87.2</v>
      </c>
      <c r="K1036" s="46">
        <f>IFERROR(IF(OR(INPUT!P1031="",INPUT!Q1031=""),"",INPUT!P1031-INPUT!Q1031),"")</f>
        <v>0.29999999999999716</v>
      </c>
      <c r="L1036" s="48">
        <f>IFERROR(IF(OR(INPUT!P1031="",INPUT!Q1031="",INPUT!P1031=0),"",(INPUT!P1031-INPUT!Q1031)/INPUT!P1031),"")</f>
        <v>3.4285714285713963E-3</v>
      </c>
    </row>
    <row r="1037" spans="1:12" ht="18" hidden="1" customHeight="1" x14ac:dyDescent="0.2">
      <c r="A1037" s="11">
        <f>IF(INPUT!M1032="","",INPUT!M1032)</f>
        <v>45958</v>
      </c>
      <c r="B1037" s="11">
        <f>IF(INPUT!M1032="","",INPUT!M1032-WEEKDAY(INPUT!M1032,2)+1)</f>
        <v>45957</v>
      </c>
      <c r="C1037" s="20">
        <f>IFERROR(_xlfn.ISOWEEKNUM(INPUT!M1032),"")</f>
        <v>44</v>
      </c>
      <c r="D1037" s="20">
        <f>IFERROR(YEAR(INPUT!M1032),"")</f>
        <v>2025</v>
      </c>
      <c r="E1037" t="str">
        <f>IF(INPUT!O1032="","",INPUT!O1032)</f>
        <v>CECILIO</v>
      </c>
      <c r="F1037" t="str">
        <f>IF(INPUT!N1032="","",INPUT!N1032)</f>
        <v>M</v>
      </c>
      <c r="G1037" t="str" cm="1">
        <f t="array" ref="G1037">IFERROR(VLOOKUP(INPUT!M1032&amp;INPUT!N1032,CHOOSE({1,2},INPUT!$A$3:$A$5000&amp;INPUT!$C$3:$C$5000,INPUT!$F$3:$F$5000),2,FALSE),"")</f>
        <v>PRE-TEMPORADA</v>
      </c>
      <c r="H1037" t="str" cm="1">
        <f t="array" ref="H1037">IFERROR(VLOOKUP(INPUT!M1032&amp;INPUT!N1032,CHOOSE({1,2},INPUT!$A$3:$A$5000&amp;INPUT!$C$3:$C$5000,INPUT!$D$3:$D$5000),2,FALSE),"")</f>
        <v>GYM+TEC-TAC</v>
      </c>
      <c r="I1037" s="46">
        <f>IF(INPUT!P1032="","",INPUT!P1032)</f>
        <v>66.5</v>
      </c>
      <c r="J1037" s="46">
        <f>IF(INPUT!Q1032="","",INPUT!Q1032)</f>
        <v>65.3</v>
      </c>
      <c r="K1037" s="46">
        <f>IFERROR(IF(OR(INPUT!P1032="",INPUT!Q1032=""),"",INPUT!P1032-INPUT!Q1032),"")</f>
        <v>1.2000000000000028</v>
      </c>
      <c r="L1037" s="48">
        <f>IFERROR(IF(OR(INPUT!P1032="",INPUT!Q1032="",INPUT!P1032=0),"",(INPUT!P1032-INPUT!Q1032)/INPUT!P1032),"")</f>
        <v>1.804511278195493E-2</v>
      </c>
    </row>
    <row r="1038" spans="1:12" ht="18" hidden="1" customHeight="1" x14ac:dyDescent="0.2">
      <c r="A1038" s="11">
        <f>IF(INPUT!M1033="","",INPUT!M1033)</f>
        <v>45958</v>
      </c>
      <c r="B1038" s="11">
        <f>IF(INPUT!M1033="","",INPUT!M1033-WEEKDAY(INPUT!M1033,2)+1)</f>
        <v>45957</v>
      </c>
      <c r="C1038" s="20">
        <f>IFERROR(_xlfn.ISOWEEKNUM(INPUT!M1033),"")</f>
        <v>44</v>
      </c>
      <c r="D1038" s="20">
        <f>IFERROR(YEAR(INPUT!M1033),"")</f>
        <v>2025</v>
      </c>
      <c r="E1038" t="str">
        <f>IF(INPUT!O1033="","",INPUT!O1033)</f>
        <v>CHAGUINHA</v>
      </c>
      <c r="F1038" t="str">
        <f>IF(INPUT!N1033="","",INPUT!N1033)</f>
        <v>M</v>
      </c>
      <c r="G1038" t="str" cm="1">
        <f t="array" ref="G1038">IFERROR(VLOOKUP(INPUT!M1033&amp;INPUT!N1033,CHOOSE({1,2},INPUT!$A$3:$A$5000&amp;INPUT!$C$3:$C$5000,INPUT!$F$3:$F$5000),2,FALSE),"")</f>
        <v>PRE-TEMPORADA</v>
      </c>
      <c r="H1038" t="str" cm="1">
        <f t="array" ref="H1038">IFERROR(VLOOKUP(INPUT!M1033&amp;INPUT!N1033,CHOOSE({1,2},INPUT!$A$3:$A$5000&amp;INPUT!$C$3:$C$5000,INPUT!$D$3:$D$5000),2,FALSE),"")</f>
        <v>GYM+TEC-TAC</v>
      </c>
      <c r="I1038" s="46">
        <f>IF(INPUT!P1033="","",INPUT!P1033)</f>
        <v>69</v>
      </c>
      <c r="J1038" s="46">
        <f>IF(INPUT!Q1033="","",INPUT!Q1033)</f>
        <v>68.599999999999994</v>
      </c>
      <c r="K1038" s="46">
        <f>IFERROR(IF(OR(INPUT!P1033="",INPUT!Q1033=""),"",INPUT!P1033-INPUT!Q1033),"")</f>
        <v>0.40000000000000568</v>
      </c>
      <c r="L1038" s="48">
        <f>IFERROR(IF(OR(INPUT!P1033="",INPUT!Q1033="",INPUT!P1033=0),"",(INPUT!P1033-INPUT!Q1033)/INPUT!P1033),"")</f>
        <v>5.7971014492754448E-3</v>
      </c>
    </row>
    <row r="1039" spans="1:12" ht="18" hidden="1" customHeight="1" x14ac:dyDescent="0.2">
      <c r="A1039" s="11">
        <f>IF(INPUT!M1034="","",INPUT!M1034)</f>
        <v>45958</v>
      </c>
      <c r="B1039" s="11">
        <f>IF(INPUT!M1034="","",INPUT!M1034-WEEKDAY(INPUT!M1034,2)+1)</f>
        <v>45957</v>
      </c>
      <c r="C1039" s="20">
        <f>IFERROR(_xlfn.ISOWEEKNUM(INPUT!M1034),"")</f>
        <v>44</v>
      </c>
      <c r="D1039" s="20">
        <f>IFERROR(YEAR(INPUT!M1034),"")</f>
        <v>2025</v>
      </c>
      <c r="E1039" t="str">
        <f>IF(INPUT!O1034="","",INPUT!O1034)</f>
        <v>RAUL</v>
      </c>
      <c r="F1039" t="str">
        <f>IF(INPUT!N1034="","",INPUT!N1034)</f>
        <v>M</v>
      </c>
      <c r="G1039" t="str" cm="1">
        <f t="array" ref="G1039">IFERROR(VLOOKUP(INPUT!M1034&amp;INPUT!N1034,CHOOSE({1,2},INPUT!$A$3:$A$5000&amp;INPUT!$C$3:$C$5000,INPUT!$F$3:$F$5000),2,FALSE),"")</f>
        <v>PRE-TEMPORADA</v>
      </c>
      <c r="H1039" t="str" cm="1">
        <f t="array" ref="H1039">IFERROR(VLOOKUP(INPUT!M1034&amp;INPUT!N1034,CHOOSE({1,2},INPUT!$A$3:$A$5000&amp;INPUT!$C$3:$C$5000,INPUT!$D$3:$D$5000),2,FALSE),"")</f>
        <v>GYM+TEC-TAC</v>
      </c>
      <c r="I1039" s="46">
        <f>IF(INPUT!P1034="","",INPUT!P1034)</f>
        <v>81.599999999999994</v>
      </c>
      <c r="J1039" s="46">
        <f>IF(INPUT!Q1034="","",INPUT!Q1034)</f>
        <v>82</v>
      </c>
      <c r="K1039" s="46">
        <f>IFERROR(IF(OR(INPUT!P1034="",INPUT!Q1034=""),"",INPUT!P1034-INPUT!Q1034),"")</f>
        <v>-0.40000000000000568</v>
      </c>
      <c r="L1039" s="48">
        <f>IFERROR(IF(OR(INPUT!P1034="",INPUT!Q1034="",INPUT!P1034=0),"",(INPUT!P1034-INPUT!Q1034)/INPUT!P1034),"")</f>
        <v>-4.9019607843137957E-3</v>
      </c>
    </row>
    <row r="1040" spans="1:12" ht="18" hidden="1" customHeight="1" x14ac:dyDescent="0.2">
      <c r="A1040" s="11">
        <f>IF(INPUT!M1035="","",INPUT!M1035)</f>
        <v>45958</v>
      </c>
      <c r="B1040" s="11">
        <f>IF(INPUT!M1035="","",INPUT!M1035-WEEKDAY(INPUT!M1035,2)+1)</f>
        <v>45957</v>
      </c>
      <c r="C1040" s="20">
        <f>IFERROR(_xlfn.ISOWEEKNUM(INPUT!M1035),"")</f>
        <v>44</v>
      </c>
      <c r="D1040" s="20">
        <f>IFERROR(YEAR(INPUT!M1035),"")</f>
        <v>2025</v>
      </c>
      <c r="E1040" t="str">
        <f>IF(INPUT!O1035="","",INPUT!O1035)</f>
        <v>HARRISON</v>
      </c>
      <c r="F1040" t="str">
        <f>IF(INPUT!N1035="","",INPUT!N1035)</f>
        <v>M</v>
      </c>
      <c r="G1040" t="str" cm="1">
        <f t="array" ref="G1040">IFERROR(VLOOKUP(INPUT!M1035&amp;INPUT!N1035,CHOOSE({1,2},INPUT!$A$3:$A$5000&amp;INPUT!$C$3:$C$5000,INPUT!$F$3:$F$5000),2,FALSE),"")</f>
        <v>PRE-TEMPORADA</v>
      </c>
      <c r="H1040" t="str" cm="1">
        <f t="array" ref="H1040">IFERROR(VLOOKUP(INPUT!M1035&amp;INPUT!N1035,CHOOSE({1,2},INPUT!$A$3:$A$5000&amp;INPUT!$C$3:$C$5000,INPUT!$D$3:$D$5000),2,FALSE),"")</f>
        <v>GYM+TEC-TAC</v>
      </c>
      <c r="I1040" s="46">
        <f>IF(INPUT!P1035="","",INPUT!P1035)</f>
        <v>71.3</v>
      </c>
      <c r="J1040" s="46">
        <f>IF(INPUT!Q1035="","",INPUT!Q1035)</f>
        <v>71</v>
      </c>
      <c r="K1040" s="46">
        <f>IFERROR(IF(OR(INPUT!P1035="",INPUT!Q1035=""),"",INPUT!P1035-INPUT!Q1035),"")</f>
        <v>0.29999999999999716</v>
      </c>
      <c r="L1040" s="48">
        <f>IFERROR(IF(OR(INPUT!P1035="",INPUT!Q1035="",INPUT!P1035=0),"",(INPUT!P1035-INPUT!Q1035)/INPUT!P1035),"")</f>
        <v>4.2075736325385294E-3</v>
      </c>
    </row>
    <row r="1041" spans="1:12" ht="18" hidden="1" customHeight="1" x14ac:dyDescent="0.2">
      <c r="A1041" s="11">
        <f>IF(INPUT!M1036="","",INPUT!M1036)</f>
        <v>45958</v>
      </c>
      <c r="B1041" s="11">
        <f>IF(INPUT!M1036="","",INPUT!M1036-WEEKDAY(INPUT!M1036,2)+1)</f>
        <v>45957</v>
      </c>
      <c r="C1041" s="20">
        <f>IFERROR(_xlfn.ISOWEEKNUM(INPUT!M1036),"")</f>
        <v>44</v>
      </c>
      <c r="D1041" s="20">
        <f>IFERROR(YEAR(INPUT!M1036),"")</f>
        <v>2025</v>
      </c>
      <c r="E1041" t="str">
        <f>IF(INPUT!O1036="","",INPUT!O1036)</f>
        <v>RAYA</v>
      </c>
      <c r="F1041" t="str">
        <f>IF(INPUT!N1036="","",INPUT!N1036)</f>
        <v>M</v>
      </c>
      <c r="G1041" t="str" cm="1">
        <f t="array" ref="G1041">IFERROR(VLOOKUP(INPUT!M1036&amp;INPUT!N1036,CHOOSE({1,2},INPUT!$A$3:$A$5000&amp;INPUT!$C$3:$C$5000,INPUT!$F$3:$F$5000),2,FALSE),"")</f>
        <v>PRE-TEMPORADA</v>
      </c>
      <c r="H1041" t="str" cm="1">
        <f t="array" ref="H1041">IFERROR(VLOOKUP(INPUT!M1036&amp;INPUT!N1036,CHOOSE({1,2},INPUT!$A$3:$A$5000&amp;INPUT!$C$3:$C$5000,INPUT!$D$3:$D$5000),2,FALSE),"")</f>
        <v>GYM+TEC-TAC</v>
      </c>
      <c r="I1041" s="46">
        <f>IF(INPUT!P1036="","",INPUT!P1036)</f>
        <v>80.8</v>
      </c>
      <c r="J1041" s="46">
        <f>IF(INPUT!Q1036="","",INPUT!Q1036)</f>
        <v>80</v>
      </c>
      <c r="K1041" s="46">
        <f>IFERROR(IF(OR(INPUT!P1036="",INPUT!Q1036=""),"",INPUT!P1036-INPUT!Q1036),"")</f>
        <v>0.79999999999999716</v>
      </c>
      <c r="L1041" s="48">
        <f>IFERROR(IF(OR(INPUT!P1036="",INPUT!Q1036="",INPUT!P1036=0),"",(INPUT!P1036-INPUT!Q1036)/INPUT!P1036),"")</f>
        <v>9.9009900990098664E-3</v>
      </c>
    </row>
    <row r="1042" spans="1:12" ht="18" hidden="1" customHeight="1" x14ac:dyDescent="0.2">
      <c r="A1042" s="11">
        <f>IF(INPUT!M1037="","",INPUT!M1037)</f>
        <v>45958</v>
      </c>
      <c r="B1042" s="11">
        <f>IF(INPUT!M1037="","",INPUT!M1037-WEEKDAY(INPUT!M1037,2)+1)</f>
        <v>45957</v>
      </c>
      <c r="C1042" s="20">
        <f>IFERROR(_xlfn.ISOWEEKNUM(INPUT!M1037),"")</f>
        <v>44</v>
      </c>
      <c r="D1042" s="20">
        <f>IFERROR(YEAR(INPUT!M1037),"")</f>
        <v>2025</v>
      </c>
      <c r="E1042" t="str">
        <f>IF(INPUT!O1037="","",INPUT!O1037)</f>
        <v>JAVI</v>
      </c>
      <c r="F1042" t="str">
        <f>IF(INPUT!N1037="","",INPUT!N1037)</f>
        <v>M</v>
      </c>
      <c r="G1042" t="str" cm="1">
        <f t="array" ref="G1042">IFERROR(VLOOKUP(INPUT!M1037&amp;INPUT!N1037,CHOOSE({1,2},INPUT!$A$3:$A$5000&amp;INPUT!$C$3:$C$5000,INPUT!$F$3:$F$5000),2,FALSE),"")</f>
        <v>PRE-TEMPORADA</v>
      </c>
      <c r="H1042" t="str" cm="1">
        <f t="array" ref="H1042">IFERROR(VLOOKUP(INPUT!M1037&amp;INPUT!N1037,CHOOSE({1,2},INPUT!$A$3:$A$5000&amp;INPUT!$C$3:$C$5000,INPUT!$D$3:$D$5000),2,FALSE),"")</f>
        <v>GYM+TEC-TAC</v>
      </c>
      <c r="I1042" s="46">
        <f>IF(INPUT!P1037="","",INPUT!P1037)</f>
        <v>78.900000000000006</v>
      </c>
      <c r="J1042" s="46">
        <f>IF(INPUT!Q1037="","",INPUT!Q1037)</f>
        <v>78.3</v>
      </c>
      <c r="K1042" s="46">
        <f>IFERROR(IF(OR(INPUT!P1037="",INPUT!Q1037=""),"",INPUT!P1037-INPUT!Q1037),"")</f>
        <v>0.60000000000000853</v>
      </c>
      <c r="L1042" s="48">
        <f>IFERROR(IF(OR(INPUT!P1037="",INPUT!Q1037="",INPUT!P1037=0),"",(INPUT!P1037-INPUT!Q1037)/INPUT!P1037),"")</f>
        <v>7.6045627376426931E-3</v>
      </c>
    </row>
    <row r="1043" spans="1:12" ht="18" hidden="1" customHeight="1" x14ac:dyDescent="0.2">
      <c r="A1043" s="11">
        <f>IF(INPUT!M1038="","",INPUT!M1038)</f>
        <v>45958</v>
      </c>
      <c r="B1043" s="11">
        <f>IF(INPUT!M1038="","",INPUT!M1038-WEEKDAY(INPUT!M1038,2)+1)</f>
        <v>45957</v>
      </c>
      <c r="C1043" s="20">
        <f>IFERROR(_xlfn.ISOWEEKNUM(INPUT!M1038),"")</f>
        <v>44</v>
      </c>
      <c r="D1043" s="20">
        <f>IFERROR(YEAR(INPUT!M1038),"")</f>
        <v>2025</v>
      </c>
      <c r="E1043" t="str">
        <f>IF(INPUT!O1038="","",INPUT!O1038)</f>
        <v>PANI</v>
      </c>
      <c r="F1043" t="str">
        <f>IF(INPUT!N1038="","",INPUT!N1038)</f>
        <v>M</v>
      </c>
      <c r="G1043" t="str" cm="1">
        <f t="array" ref="G1043">IFERROR(VLOOKUP(INPUT!M1038&amp;INPUT!N1038,CHOOSE({1,2},INPUT!$A$3:$A$5000&amp;INPUT!$C$3:$C$5000,INPUT!$F$3:$F$5000),2,FALSE),"")</f>
        <v>PRE-TEMPORADA</v>
      </c>
      <c r="H1043" t="str" cm="1">
        <f t="array" ref="H1043">IFERROR(VLOOKUP(INPUT!M1038&amp;INPUT!N1038,CHOOSE({1,2},INPUT!$A$3:$A$5000&amp;INPUT!$C$3:$C$5000,INPUT!$D$3:$D$5000),2,FALSE),"")</f>
        <v>GYM+TEC-TAC</v>
      </c>
      <c r="I1043" s="46">
        <f>IF(INPUT!P1038="","",INPUT!P1038)</f>
        <v>69.5</v>
      </c>
      <c r="J1043" s="46">
        <f>IF(INPUT!Q1038="","",INPUT!Q1038)</f>
        <v>68.599999999999994</v>
      </c>
      <c r="K1043" s="46">
        <f>IFERROR(IF(OR(INPUT!P1038="",INPUT!Q1038=""),"",INPUT!P1038-INPUT!Q1038),"")</f>
        <v>0.90000000000000568</v>
      </c>
      <c r="L1043" s="48">
        <f>IFERROR(IF(OR(INPUT!P1038="",INPUT!Q1038="",INPUT!P1038=0),"",(INPUT!P1038-INPUT!Q1038)/INPUT!P1038),"")</f>
        <v>1.2949640287769865E-2</v>
      </c>
    </row>
    <row r="1044" spans="1:12" ht="18" hidden="1" customHeight="1" x14ac:dyDescent="0.2">
      <c r="A1044" s="11">
        <f>IF(INPUT!M1039="","",INPUT!M1039)</f>
        <v>45958</v>
      </c>
      <c r="B1044" s="11">
        <f>IF(INPUT!M1039="","",INPUT!M1039-WEEKDAY(INPUT!M1039,2)+1)</f>
        <v>45957</v>
      </c>
      <c r="C1044" s="20">
        <f>IFERROR(_xlfn.ISOWEEKNUM(INPUT!M1039),"")</f>
        <v>44</v>
      </c>
      <c r="D1044" s="20">
        <f>IFERROR(YEAR(INPUT!M1039),"")</f>
        <v>2025</v>
      </c>
      <c r="E1044" t="str">
        <f>IF(INPUT!O1039="","",INPUT!O1039)</f>
        <v>PIRATA</v>
      </c>
      <c r="F1044" t="str">
        <f>IF(INPUT!N1039="","",INPUT!N1039)</f>
        <v>M</v>
      </c>
      <c r="G1044" t="str" cm="1">
        <f t="array" ref="G1044">IFERROR(VLOOKUP(INPUT!M1039&amp;INPUT!N1039,CHOOSE({1,2},INPUT!$A$3:$A$5000&amp;INPUT!$C$3:$C$5000,INPUT!$F$3:$F$5000),2,FALSE),"")</f>
        <v>PRE-TEMPORADA</v>
      </c>
      <c r="H1044" t="str" cm="1">
        <f t="array" ref="H1044">IFERROR(VLOOKUP(INPUT!M1039&amp;INPUT!N1039,CHOOSE({1,2},INPUT!$A$3:$A$5000&amp;INPUT!$C$3:$C$5000,INPUT!$D$3:$D$5000),2,FALSE),"")</f>
        <v>GYM+TEC-TAC</v>
      </c>
      <c r="I1044" s="46">
        <f>IF(INPUT!P1039="","",INPUT!P1039)</f>
        <v>75.5</v>
      </c>
      <c r="J1044" s="46">
        <f>IF(INPUT!Q1039="","",INPUT!Q1039)</f>
        <v>75.099999999999994</v>
      </c>
      <c r="K1044" s="46">
        <f>IFERROR(IF(OR(INPUT!P1039="",INPUT!Q1039=""),"",INPUT!P1039-INPUT!Q1039),"")</f>
        <v>0.40000000000000568</v>
      </c>
      <c r="L1044" s="48">
        <f>IFERROR(IF(OR(INPUT!P1039="",INPUT!Q1039="",INPUT!P1039=0),"",(INPUT!P1039-INPUT!Q1039)/INPUT!P1039),"")</f>
        <v>5.298013245033188E-3</v>
      </c>
    </row>
    <row r="1045" spans="1:12" ht="18" hidden="1" customHeight="1" x14ac:dyDescent="0.2">
      <c r="A1045" s="11">
        <f>IF(INPUT!M1040="","",INPUT!M1040)</f>
        <v>45958</v>
      </c>
      <c r="B1045" s="11">
        <f>IF(INPUT!M1040="","",INPUT!M1040-WEEKDAY(INPUT!M1040,2)+1)</f>
        <v>45957</v>
      </c>
      <c r="C1045" s="20">
        <f>IFERROR(_xlfn.ISOWEEKNUM(INPUT!M1040),"")</f>
        <v>44</v>
      </c>
      <c r="D1045" s="20">
        <f>IFERROR(YEAR(INPUT!M1040),"")</f>
        <v>2025</v>
      </c>
      <c r="E1045" t="str">
        <f>IF(INPUT!O1040="","",INPUT!O1040)</f>
        <v>BARONA</v>
      </c>
      <c r="F1045" t="str">
        <f>IF(INPUT!N1040="","",INPUT!N1040)</f>
        <v>M</v>
      </c>
      <c r="G1045" t="str" cm="1">
        <f t="array" ref="G1045">IFERROR(VLOOKUP(INPUT!M1040&amp;INPUT!N1040,CHOOSE({1,2},INPUT!$A$3:$A$5000&amp;INPUT!$C$3:$C$5000,INPUT!$F$3:$F$5000),2,FALSE),"")</f>
        <v>PRE-TEMPORADA</v>
      </c>
      <c r="H1045" t="str" cm="1">
        <f t="array" ref="H1045">IFERROR(VLOOKUP(INPUT!M1040&amp;INPUT!N1040,CHOOSE({1,2},INPUT!$A$3:$A$5000&amp;INPUT!$C$3:$C$5000,INPUT!$D$3:$D$5000),2,FALSE),"")</f>
        <v>GYM+TEC-TAC</v>
      </c>
      <c r="I1045" s="46">
        <f>IF(INPUT!P1040="","",INPUT!P1040)</f>
        <v>71.099999999999994</v>
      </c>
      <c r="J1045" s="46">
        <f>IF(INPUT!Q1040="","",INPUT!Q1040)</f>
        <v>71.099999999999994</v>
      </c>
      <c r="K1045" s="46">
        <f>IFERROR(IF(OR(INPUT!P1040="",INPUT!Q1040=""),"",INPUT!P1040-INPUT!Q1040),"")</f>
        <v>0</v>
      </c>
      <c r="L1045" s="48">
        <f>IFERROR(IF(OR(INPUT!P1040="",INPUT!Q1040="",INPUT!P1040=0),"",(INPUT!P1040-INPUT!Q1040)/INPUT!P1040),"")</f>
        <v>0</v>
      </c>
    </row>
    <row r="1046" spans="1:12" ht="18" hidden="1" customHeight="1" x14ac:dyDescent="0.2">
      <c r="A1046" s="11">
        <f>IF(INPUT!M1041="","",INPUT!M1041)</f>
        <v>45958</v>
      </c>
      <c r="B1046" s="11">
        <f>IF(INPUT!M1041="","",INPUT!M1041-WEEKDAY(INPUT!M1041,2)+1)</f>
        <v>45957</v>
      </c>
      <c r="C1046" s="20">
        <f>IFERROR(_xlfn.ISOWEEKNUM(INPUT!M1041),"")</f>
        <v>44</v>
      </c>
      <c r="D1046" s="20">
        <f>IFERROR(YEAR(INPUT!M1041),"")</f>
        <v>2025</v>
      </c>
      <c r="E1046" t="str">
        <f>IF(INPUT!O1041="","",INPUT!O1041)</f>
        <v>CARLOS</v>
      </c>
      <c r="F1046" t="str">
        <f>IF(INPUT!N1041="","",INPUT!N1041)</f>
        <v>M</v>
      </c>
      <c r="G1046" t="str" cm="1">
        <f t="array" ref="G1046">IFERROR(VLOOKUP(INPUT!M1041&amp;INPUT!N1041,CHOOSE({1,2},INPUT!$A$3:$A$5000&amp;INPUT!$C$3:$C$5000,INPUT!$F$3:$F$5000),2,FALSE),"")</f>
        <v>PRE-TEMPORADA</v>
      </c>
      <c r="H1046" t="str" cm="1">
        <f t="array" ref="H1046">IFERROR(VLOOKUP(INPUT!M1041&amp;INPUT!N1041,CHOOSE({1,2},INPUT!$A$3:$A$5000&amp;INPUT!$C$3:$C$5000,INPUT!$D$3:$D$5000),2,FALSE),"")</f>
        <v>GYM+TEC-TAC</v>
      </c>
      <c r="I1046" s="46">
        <f>IF(INPUT!P1041="","",INPUT!P1041)</f>
        <v>67</v>
      </c>
      <c r="J1046" s="46">
        <f>IF(INPUT!Q1041="","",INPUT!Q1041)</f>
        <v>66.7</v>
      </c>
      <c r="K1046" s="46">
        <f>IFERROR(IF(OR(INPUT!P1041="",INPUT!Q1041=""),"",INPUT!P1041-INPUT!Q1041),"")</f>
        <v>0.29999999999999716</v>
      </c>
      <c r="L1046" s="48">
        <f>IFERROR(IF(OR(INPUT!P1041="",INPUT!Q1041="",INPUT!P1041=0),"",(INPUT!P1041-INPUT!Q1041)/INPUT!P1041),"")</f>
        <v>4.4776119402984652E-3</v>
      </c>
    </row>
    <row r="1047" spans="1:12" ht="18" hidden="1" customHeight="1" x14ac:dyDescent="0.2">
      <c r="A1047" s="11">
        <f>IF(INPUT!M1042="","",INPUT!M1042)</f>
        <v>45958</v>
      </c>
      <c r="B1047" s="11">
        <f>IF(INPUT!M1042="","",INPUT!M1042-WEEKDAY(INPUT!M1042,2)+1)</f>
        <v>45957</v>
      </c>
      <c r="C1047" s="20">
        <f>IFERROR(_xlfn.ISOWEEKNUM(INPUT!M1042),"")</f>
        <v>44</v>
      </c>
      <c r="D1047" s="20">
        <f>IFERROR(YEAR(INPUT!M1042),"")</f>
        <v>2025</v>
      </c>
      <c r="E1047" t="str">
        <f>IF(INPUT!O1042="","",INPUT!O1042)</f>
        <v>GONZALO</v>
      </c>
      <c r="F1047" t="str">
        <f>IF(INPUT!N1042="","",INPUT!N1042)</f>
        <v>M</v>
      </c>
      <c r="G1047" t="str" cm="1">
        <f t="array" ref="G1047">IFERROR(VLOOKUP(INPUT!M1042&amp;INPUT!N1042,CHOOSE({1,2},INPUT!$A$3:$A$5000&amp;INPUT!$C$3:$C$5000,INPUT!$F$3:$F$5000),2,FALSE),"")</f>
        <v>PRE-TEMPORADA</v>
      </c>
      <c r="H1047" t="str" cm="1">
        <f t="array" ref="H1047">IFERROR(VLOOKUP(INPUT!M1042&amp;INPUT!N1042,CHOOSE({1,2},INPUT!$A$3:$A$5000&amp;INPUT!$C$3:$C$5000,INPUT!$D$3:$D$5000),2,FALSE),"")</f>
        <v>GYM+TEC-TAC</v>
      </c>
      <c r="I1047" s="46">
        <f>IF(INPUT!P1042="","",INPUT!P1042)</f>
        <v>82.9</v>
      </c>
      <c r="J1047" s="46">
        <f>IF(INPUT!Q1042="","",INPUT!Q1042)</f>
        <v>83.2</v>
      </c>
      <c r="K1047" s="46">
        <f>IFERROR(IF(OR(INPUT!P1042="",INPUT!Q1042=""),"",INPUT!P1042-INPUT!Q1042),"")</f>
        <v>-0.29999999999999716</v>
      </c>
      <c r="L1047" s="48">
        <f>IFERROR(IF(OR(INPUT!P1042="",INPUT!Q1042="",INPUT!P1042=0),"",(INPUT!P1042-INPUT!Q1042)/INPUT!P1042),"")</f>
        <v>-3.6188178528347059E-3</v>
      </c>
    </row>
    <row r="1048" spans="1:12" ht="18" hidden="1" customHeight="1" x14ac:dyDescent="0.2">
      <c r="A1048" s="11">
        <f>IF(INPUT!M1043="","",INPUT!M1043)</f>
        <v>45958</v>
      </c>
      <c r="B1048" s="11">
        <f>IF(INPUT!M1043="","",INPUT!M1043-WEEKDAY(INPUT!M1043,2)+1)</f>
        <v>45957</v>
      </c>
      <c r="C1048" s="20">
        <f>IFERROR(_xlfn.ISOWEEKNUM(INPUT!M1043),"")</f>
        <v>44</v>
      </c>
      <c r="D1048" s="20">
        <f>IFERROR(YEAR(INPUT!M1043),"")</f>
        <v>2025</v>
      </c>
      <c r="E1048" t="str">
        <f>IF(INPUT!O1043="","",INPUT!O1043)</f>
        <v>SEGO</v>
      </c>
      <c r="F1048" t="str">
        <f>IF(INPUT!N1043="","",INPUT!N1043)</f>
        <v>M</v>
      </c>
      <c r="G1048" t="str" cm="1">
        <f t="array" ref="G1048">IFERROR(VLOOKUP(INPUT!M1043&amp;INPUT!N1043,CHOOSE({1,2},INPUT!$A$3:$A$5000&amp;INPUT!$C$3:$C$5000,INPUT!$F$3:$F$5000),2,FALSE),"")</f>
        <v>PRE-TEMPORADA</v>
      </c>
      <c r="H1048" t="str" cm="1">
        <f t="array" ref="H1048">IFERROR(VLOOKUP(INPUT!M1043&amp;INPUT!N1043,CHOOSE({1,2},INPUT!$A$3:$A$5000&amp;INPUT!$C$3:$C$5000,INPUT!$D$3:$D$5000),2,FALSE),"")</f>
        <v>GYM+TEC-TAC</v>
      </c>
      <c r="I1048" s="46">
        <f>IF(INPUT!P1043="","",INPUT!P1043)</f>
        <v>75.3</v>
      </c>
      <c r="J1048" s="46">
        <f>IF(INPUT!Q1043="","",INPUT!Q1043)</f>
        <v>73.8</v>
      </c>
      <c r="K1048" s="46">
        <f>IFERROR(IF(OR(INPUT!P1043="",INPUT!Q1043=""),"",INPUT!P1043-INPUT!Q1043),"")</f>
        <v>1.5</v>
      </c>
      <c r="L1048" s="48">
        <f>IFERROR(IF(OR(INPUT!P1043="",INPUT!Q1043="",INPUT!P1043=0),"",(INPUT!P1043-INPUT!Q1043)/INPUT!P1043),"")</f>
        <v>1.9920318725099601E-2</v>
      </c>
    </row>
    <row r="1049" spans="1:12" ht="18" hidden="1" customHeight="1" x14ac:dyDescent="0.2">
      <c r="A1049" s="11">
        <f>IF(INPUT!M1044="","",INPUT!M1044)</f>
        <v>45958</v>
      </c>
      <c r="B1049" s="11">
        <f>IF(INPUT!M1044="","",INPUT!M1044-WEEKDAY(INPUT!M1044,2)+1)</f>
        <v>45957</v>
      </c>
      <c r="C1049" s="20">
        <f>IFERROR(_xlfn.ISOWEEKNUM(INPUT!M1044),"")</f>
        <v>44</v>
      </c>
      <c r="D1049" s="20">
        <f>IFERROR(YEAR(INPUT!M1044),"")</f>
        <v>2025</v>
      </c>
      <c r="E1049" t="str">
        <f>IF(INPUT!O1044="","",INPUT!O1044)</f>
        <v>DANI</v>
      </c>
      <c r="F1049" t="str">
        <f>IF(INPUT!N1044="","",INPUT!N1044)</f>
        <v>M</v>
      </c>
      <c r="G1049" t="str" cm="1">
        <f t="array" ref="G1049">IFERROR(VLOOKUP(INPUT!M1044&amp;INPUT!N1044,CHOOSE({1,2},INPUT!$A$3:$A$5000&amp;INPUT!$C$3:$C$5000,INPUT!$F$3:$F$5000),2,FALSE),"")</f>
        <v>PRE-TEMPORADA</v>
      </c>
      <c r="H1049" t="str" cm="1">
        <f t="array" ref="H1049">IFERROR(VLOOKUP(INPUT!M1044&amp;INPUT!N1044,CHOOSE({1,2},INPUT!$A$3:$A$5000&amp;INPUT!$C$3:$C$5000,INPUT!$D$3:$D$5000),2,FALSE),"")</f>
        <v>GYM+TEC-TAC</v>
      </c>
      <c r="I1049" s="46">
        <f>IF(INPUT!P1044="","",INPUT!P1044)</f>
        <v>93.5</v>
      </c>
      <c r="J1049" s="46">
        <f>IF(INPUT!Q1044="","",INPUT!Q1044)</f>
        <v>95.1</v>
      </c>
      <c r="K1049" s="46">
        <f>IFERROR(IF(OR(INPUT!P1044="",INPUT!Q1044=""),"",INPUT!P1044-INPUT!Q1044),"")</f>
        <v>-1.5999999999999943</v>
      </c>
      <c r="L1049" s="48">
        <f>IFERROR(IF(OR(INPUT!P1044="",INPUT!Q1044="",INPUT!P1044=0),"",(INPUT!P1044-INPUT!Q1044)/INPUT!P1044),"")</f>
        <v>-1.711229946524058E-2</v>
      </c>
    </row>
    <row r="1050" spans="1:12" ht="18" hidden="1" customHeight="1" x14ac:dyDescent="0.2">
      <c r="A1050" s="11">
        <f>IF(INPUT!M1045="","",INPUT!M1045)</f>
        <v>45959</v>
      </c>
      <c r="B1050" s="11">
        <f>IF(INPUT!M1045="","",INPUT!M1045-WEEKDAY(INPUT!M1045,2)+1)</f>
        <v>45957</v>
      </c>
      <c r="C1050" s="20">
        <f>IFERROR(_xlfn.ISOWEEKNUM(INPUT!M1045),"")</f>
        <v>44</v>
      </c>
      <c r="D1050" s="20">
        <f>IFERROR(YEAR(INPUT!M1045),"")</f>
        <v>2025</v>
      </c>
      <c r="E1050" t="str">
        <f>IF(INPUT!O1045="","",INPUT!O1045)</f>
        <v>HERRERO</v>
      </c>
      <c r="F1050" t="str">
        <f>IF(INPUT!N1045="","",INPUT!N1045)</f>
        <v>M</v>
      </c>
      <c r="G1050" t="str" cm="1">
        <f t="array" ref="G1050">IFERROR(VLOOKUP(INPUT!M1045&amp;INPUT!N1045,CHOOSE({1,2},INPUT!$A$3:$A$5000&amp;INPUT!$C$3:$C$5000,INPUT!$F$3:$F$5000),2,FALSE),"")</f>
        <v>PRE-TEMPORADA</v>
      </c>
      <c r="H1050" t="str" cm="1">
        <f t="array" ref="H1050">IFERROR(VLOOKUP(INPUT!M1045&amp;INPUT!N1045,CHOOSE({1,2},INPUT!$A$3:$A$5000&amp;INPUT!$C$3:$C$5000,INPUT!$D$3:$D$5000),2,FALSE),"")</f>
        <v>TEC-TAC</v>
      </c>
      <c r="I1050" s="46">
        <f>IF(INPUT!P1045="","",INPUT!P1045)</f>
        <v>77</v>
      </c>
      <c r="J1050" s="46">
        <f>IF(INPUT!Q1045="","",INPUT!Q1045)</f>
        <v>67.2</v>
      </c>
      <c r="K1050" s="46">
        <f>IFERROR(IF(OR(INPUT!P1045="",INPUT!Q1045=""),"",INPUT!P1045-INPUT!Q1045),"")</f>
        <v>9.7999999999999972</v>
      </c>
      <c r="L1050" s="48">
        <f>IFERROR(IF(OR(INPUT!P1045="",INPUT!Q1045="",INPUT!P1045=0),"",(INPUT!P1045-INPUT!Q1045)/INPUT!P1045),"")</f>
        <v>0.12727272727272723</v>
      </c>
    </row>
    <row r="1051" spans="1:12" ht="18" hidden="1" customHeight="1" x14ac:dyDescent="0.2">
      <c r="A1051" s="11">
        <f>IF(INPUT!M1046="","",INPUT!M1046)</f>
        <v>45959</v>
      </c>
      <c r="B1051" s="11">
        <f>IF(INPUT!M1046="","",INPUT!M1046-WEEKDAY(INPUT!M1046,2)+1)</f>
        <v>45957</v>
      </c>
      <c r="C1051" s="20">
        <f>IFERROR(_xlfn.ISOWEEKNUM(INPUT!M1046),"")</f>
        <v>44</v>
      </c>
      <c r="D1051" s="20">
        <f>IFERROR(YEAR(INPUT!M1046),"")</f>
        <v>2025</v>
      </c>
      <c r="E1051" t="str">
        <f>IF(INPUT!O1046="","",INPUT!O1046)</f>
        <v>GARCIA</v>
      </c>
      <c r="F1051" t="str">
        <f>IF(INPUT!N1046="","",INPUT!N1046)</f>
        <v>M</v>
      </c>
      <c r="G1051" t="str" cm="1">
        <f t="array" ref="G1051">IFERROR(VLOOKUP(INPUT!M1046&amp;INPUT!N1046,CHOOSE({1,2},INPUT!$A$3:$A$5000&amp;INPUT!$C$3:$C$5000,INPUT!$F$3:$F$5000),2,FALSE),"")</f>
        <v>PRE-TEMPORADA</v>
      </c>
      <c r="H1051" t="str" cm="1">
        <f t="array" ref="H1051">IFERROR(VLOOKUP(INPUT!M1046&amp;INPUT!N1046,CHOOSE({1,2},INPUT!$A$3:$A$5000&amp;INPUT!$C$3:$C$5000,INPUT!$D$3:$D$5000),2,FALSE),"")</f>
        <v>TEC-TAC</v>
      </c>
      <c r="I1051" s="46">
        <f>IF(INPUT!P1046="","",INPUT!P1046)</f>
        <v>79.400000000000006</v>
      </c>
      <c r="J1051" s="46">
        <f>IF(INPUT!Q1046="","",INPUT!Q1046)</f>
        <v>79.8</v>
      </c>
      <c r="K1051" s="46">
        <f>IFERROR(IF(OR(INPUT!P1046="",INPUT!Q1046=""),"",INPUT!P1046-INPUT!Q1046),"")</f>
        <v>-0.39999999999999147</v>
      </c>
      <c r="L1051" s="48">
        <f>IFERROR(IF(OR(INPUT!P1046="",INPUT!Q1046="",INPUT!P1046=0),"",(INPUT!P1046-INPUT!Q1046)/INPUT!P1046),"")</f>
        <v>-5.0377833753147538E-3</v>
      </c>
    </row>
    <row r="1052" spans="1:12" ht="18" hidden="1" customHeight="1" x14ac:dyDescent="0.2">
      <c r="A1052" s="11">
        <f>IF(INPUT!M1047="","",INPUT!M1047)</f>
        <v>45959</v>
      </c>
      <c r="B1052" s="11">
        <f>IF(INPUT!M1047="","",INPUT!M1047-WEEKDAY(INPUT!M1047,2)+1)</f>
        <v>45957</v>
      </c>
      <c r="C1052" s="20">
        <f>IFERROR(_xlfn.ISOWEEKNUM(INPUT!M1047),"")</f>
        <v>44</v>
      </c>
      <c r="D1052" s="20">
        <f>IFERROR(YEAR(INPUT!M1047),"")</f>
        <v>2025</v>
      </c>
      <c r="E1052" t="str">
        <f>IF(INPUT!O1047="","",INPUT!O1047)</f>
        <v>CECILIO</v>
      </c>
      <c r="F1052" t="str">
        <f>IF(INPUT!N1047="","",INPUT!N1047)</f>
        <v>M</v>
      </c>
      <c r="G1052" t="str" cm="1">
        <f t="array" ref="G1052">IFERROR(VLOOKUP(INPUT!M1047&amp;INPUT!N1047,CHOOSE({1,2},INPUT!$A$3:$A$5000&amp;INPUT!$C$3:$C$5000,INPUT!$F$3:$F$5000),2,FALSE),"")</f>
        <v>PRE-TEMPORADA</v>
      </c>
      <c r="H1052" t="str" cm="1">
        <f t="array" ref="H1052">IFERROR(VLOOKUP(INPUT!M1047&amp;INPUT!N1047,CHOOSE({1,2},INPUT!$A$3:$A$5000&amp;INPUT!$C$3:$C$5000,INPUT!$D$3:$D$5000),2,FALSE),"")</f>
        <v>TEC-TAC</v>
      </c>
      <c r="I1052" s="46">
        <f>IF(INPUT!P1047="","",INPUT!P1047)</f>
        <v>67</v>
      </c>
      <c r="J1052" s="46">
        <f>IF(INPUT!Q1047="","",INPUT!Q1047)</f>
        <v>66</v>
      </c>
      <c r="K1052" s="46">
        <f>IFERROR(IF(OR(INPUT!P1047="",INPUT!Q1047=""),"",INPUT!P1047-INPUT!Q1047),"")</f>
        <v>1</v>
      </c>
      <c r="L1052" s="48">
        <f>IFERROR(IF(OR(INPUT!P1047="",INPUT!Q1047="",INPUT!P1047=0),"",(INPUT!P1047-INPUT!Q1047)/INPUT!P1047),"")</f>
        <v>1.4925373134328358E-2</v>
      </c>
    </row>
    <row r="1053" spans="1:12" ht="18" hidden="1" customHeight="1" x14ac:dyDescent="0.2">
      <c r="A1053" s="11">
        <f>IF(INPUT!M1048="","",INPUT!M1048)</f>
        <v>45959</v>
      </c>
      <c r="B1053" s="11">
        <f>IF(INPUT!M1048="","",INPUT!M1048-WEEKDAY(INPUT!M1048,2)+1)</f>
        <v>45957</v>
      </c>
      <c r="C1053" s="20">
        <f>IFERROR(_xlfn.ISOWEEKNUM(INPUT!M1048),"")</f>
        <v>44</v>
      </c>
      <c r="D1053" s="20">
        <f>IFERROR(YEAR(INPUT!M1048),"")</f>
        <v>2025</v>
      </c>
      <c r="E1053" t="str">
        <f>IF(INPUT!O1048="","",INPUT!O1048)</f>
        <v>CHAGUINHA</v>
      </c>
      <c r="F1053" t="str">
        <f>IF(INPUT!N1048="","",INPUT!N1048)</f>
        <v>M</v>
      </c>
      <c r="G1053" t="str" cm="1">
        <f t="array" ref="G1053">IFERROR(VLOOKUP(INPUT!M1048&amp;INPUT!N1048,CHOOSE({1,2},INPUT!$A$3:$A$5000&amp;INPUT!$C$3:$C$5000,INPUT!$F$3:$F$5000),2,FALSE),"")</f>
        <v>PRE-TEMPORADA</v>
      </c>
      <c r="H1053" t="str" cm="1">
        <f t="array" ref="H1053">IFERROR(VLOOKUP(INPUT!M1048&amp;INPUT!N1048,CHOOSE({1,2},INPUT!$A$3:$A$5000&amp;INPUT!$C$3:$C$5000,INPUT!$D$3:$D$5000),2,FALSE),"")</f>
        <v>TEC-TAC</v>
      </c>
      <c r="I1053" s="46">
        <f>IF(INPUT!P1048="","",INPUT!P1048)</f>
        <v>69</v>
      </c>
      <c r="J1053" s="46">
        <f>IF(INPUT!Q1048="","",INPUT!Q1048)</f>
        <v>68.3</v>
      </c>
      <c r="K1053" s="46">
        <f>IFERROR(IF(OR(INPUT!P1048="",INPUT!Q1048=""),"",INPUT!P1048-INPUT!Q1048),"")</f>
        <v>0.70000000000000284</v>
      </c>
      <c r="L1053" s="48">
        <f>IFERROR(IF(OR(INPUT!P1048="",INPUT!Q1048="",INPUT!P1048=0),"",(INPUT!P1048-INPUT!Q1048)/INPUT!P1048),"")</f>
        <v>1.0144927536231925E-2</v>
      </c>
    </row>
    <row r="1054" spans="1:12" ht="18" hidden="1" customHeight="1" x14ac:dyDescent="0.2">
      <c r="A1054" s="11">
        <f>IF(INPUT!M1049="","",INPUT!M1049)</f>
        <v>45959</v>
      </c>
      <c r="B1054" s="11">
        <f>IF(INPUT!M1049="","",INPUT!M1049-WEEKDAY(INPUT!M1049,2)+1)</f>
        <v>45957</v>
      </c>
      <c r="C1054" s="20">
        <f>IFERROR(_xlfn.ISOWEEKNUM(INPUT!M1049),"")</f>
        <v>44</v>
      </c>
      <c r="D1054" s="20">
        <f>IFERROR(YEAR(INPUT!M1049),"")</f>
        <v>2025</v>
      </c>
      <c r="E1054" t="str">
        <f>IF(INPUT!O1049="","",INPUT!O1049)</f>
        <v>RAUL</v>
      </c>
      <c r="F1054" t="str">
        <f>IF(INPUT!N1049="","",INPUT!N1049)</f>
        <v>M</v>
      </c>
      <c r="G1054" t="str" cm="1">
        <f t="array" ref="G1054">IFERROR(VLOOKUP(INPUT!M1049&amp;INPUT!N1049,CHOOSE({1,2},INPUT!$A$3:$A$5000&amp;INPUT!$C$3:$C$5000,INPUT!$F$3:$F$5000),2,FALSE),"")</f>
        <v>PRE-TEMPORADA</v>
      </c>
      <c r="H1054" t="str" cm="1">
        <f t="array" ref="H1054">IFERROR(VLOOKUP(INPUT!M1049&amp;INPUT!N1049,CHOOSE({1,2},INPUT!$A$3:$A$5000&amp;INPUT!$C$3:$C$5000,INPUT!$D$3:$D$5000),2,FALSE),"")</f>
        <v>TEC-TAC</v>
      </c>
      <c r="I1054" s="46">
        <f>IF(INPUT!P1049="","",INPUT!P1049)</f>
        <v>81.3</v>
      </c>
      <c r="J1054" s="46">
        <f>IF(INPUT!Q1049="","",INPUT!Q1049)</f>
        <v>81.8</v>
      </c>
      <c r="K1054" s="46">
        <f>IFERROR(IF(OR(INPUT!P1049="",INPUT!Q1049=""),"",INPUT!P1049-INPUT!Q1049),"")</f>
        <v>-0.5</v>
      </c>
      <c r="L1054" s="48">
        <f>IFERROR(IF(OR(INPUT!P1049="",INPUT!Q1049="",INPUT!P1049=0),"",(INPUT!P1049-INPUT!Q1049)/INPUT!P1049),"")</f>
        <v>-6.1500615006150061E-3</v>
      </c>
    </row>
    <row r="1055" spans="1:12" ht="18" customHeight="1" x14ac:dyDescent="0.2">
      <c r="A1055" s="11">
        <f>IF(INPUT!M1050="","",INPUT!M1050)</f>
        <v>45959</v>
      </c>
      <c r="B1055" s="11">
        <f>IF(INPUT!M1050="","",INPUT!M1050-WEEKDAY(INPUT!M1050,2)+1)</f>
        <v>45957</v>
      </c>
      <c r="C1055" s="20">
        <f>IFERROR(_xlfn.ISOWEEKNUM(INPUT!M1050),"")</f>
        <v>44</v>
      </c>
      <c r="D1055" s="20">
        <f>IFERROR(YEAR(INPUT!M1050),"")</f>
        <v>2025</v>
      </c>
      <c r="E1055" t="str">
        <f>IF(INPUT!O1050="","",INPUT!O1050)</f>
        <v>HARRISON</v>
      </c>
      <c r="F1055" t="str">
        <f>IF(INPUT!N1050="","",INPUT!N1050)</f>
        <v>M</v>
      </c>
      <c r="G1055" t="str" cm="1">
        <f t="array" ref="G1055">IFERROR(VLOOKUP(INPUT!M1050&amp;INPUT!N1050,CHOOSE({1,2},INPUT!$A$3:$A$5000&amp;INPUT!$C$3:$C$5000,INPUT!$F$3:$F$5000),2,FALSE),"")</f>
        <v>PRE-TEMPORADA</v>
      </c>
      <c r="H1055" t="str" cm="1">
        <f t="array" ref="H1055">IFERROR(VLOOKUP(INPUT!M1050&amp;INPUT!N1050,CHOOSE({1,2},INPUT!$A$3:$A$5000&amp;INPUT!$C$3:$C$5000,INPUT!$D$3:$D$5000),2,FALSE),"")</f>
        <v>TEC-TAC</v>
      </c>
      <c r="I1055" s="46">
        <f>IF(INPUT!P1050="","",INPUT!P1050)</f>
        <v>71.3</v>
      </c>
      <c r="J1055" s="46">
        <f>IF(INPUT!Q1050="","",INPUT!Q1050)</f>
        <v>71.400000000000006</v>
      </c>
      <c r="K1055" s="46">
        <f>IFERROR(IF(OR(INPUT!P1050="",INPUT!Q1050=""),"",INPUT!P1050-INPUT!Q1050),"")</f>
        <v>-0.10000000000000853</v>
      </c>
      <c r="L1055" s="48">
        <f>IFERROR(IF(OR(INPUT!P1050="",INPUT!Q1050="",INPUT!P1050=0),"",(INPUT!P1050-INPUT!Q1050)/INPUT!P1050),"")</f>
        <v>-1.4025245441796428E-3</v>
      </c>
    </row>
    <row r="1056" spans="1:12" ht="18" customHeight="1" x14ac:dyDescent="0.2">
      <c r="A1056" s="11">
        <f>IF(INPUT!M1051="","",INPUT!M1051)</f>
        <v>45959</v>
      </c>
      <c r="B1056" s="11">
        <f>IF(INPUT!M1051="","",INPUT!M1051-WEEKDAY(INPUT!M1051,2)+1)</f>
        <v>45957</v>
      </c>
      <c r="C1056" s="20">
        <f>IFERROR(_xlfn.ISOWEEKNUM(INPUT!M1051),"")</f>
        <v>44</v>
      </c>
      <c r="D1056" s="20">
        <f>IFERROR(YEAR(INPUT!M1051),"")</f>
        <v>2025</v>
      </c>
      <c r="E1056" t="str">
        <f>IF(INPUT!O1051="","",INPUT!O1051)</f>
        <v>RAYA</v>
      </c>
      <c r="F1056" t="str">
        <f>IF(INPUT!N1051="","",INPUT!N1051)</f>
        <v>M</v>
      </c>
      <c r="G1056" t="str" cm="1">
        <f t="array" ref="G1056">IFERROR(VLOOKUP(INPUT!M1051&amp;INPUT!N1051,CHOOSE({1,2},INPUT!$A$3:$A$5000&amp;INPUT!$C$3:$C$5000,INPUT!$F$3:$F$5000),2,FALSE),"")</f>
        <v>PRE-TEMPORADA</v>
      </c>
      <c r="H1056" t="str" cm="1">
        <f t="array" ref="H1056">IFERROR(VLOOKUP(INPUT!M1051&amp;INPUT!N1051,CHOOSE({1,2},INPUT!$A$3:$A$5000&amp;INPUT!$C$3:$C$5000,INPUT!$D$3:$D$5000),2,FALSE),"")</f>
        <v>TEC-TAC</v>
      </c>
      <c r="I1056" s="46">
        <f>IF(INPUT!P1051="","",INPUT!P1051)</f>
        <v>80.900000000000006</v>
      </c>
      <c r="J1056" s="46">
        <f>IF(INPUT!Q1051="","",INPUT!Q1051)</f>
        <v>79.7</v>
      </c>
      <c r="K1056" s="46">
        <f>IFERROR(IF(OR(INPUT!P1051="",INPUT!Q1051=""),"",INPUT!P1051-INPUT!Q1051),"")</f>
        <v>1.2000000000000028</v>
      </c>
      <c r="L1056" s="48">
        <f>IFERROR(IF(OR(INPUT!P1051="",INPUT!Q1051="",INPUT!P1051=0),"",(INPUT!P1051-INPUT!Q1051)/INPUT!P1051),"")</f>
        <v>1.4833127317676177E-2</v>
      </c>
    </row>
    <row r="1057" spans="1:12" ht="18" customHeight="1" x14ac:dyDescent="0.2">
      <c r="A1057" s="11">
        <f>IF(INPUT!M1052="","",INPUT!M1052)</f>
        <v>45959</v>
      </c>
      <c r="B1057" s="11">
        <f>IF(INPUT!M1052="","",INPUT!M1052-WEEKDAY(INPUT!M1052,2)+1)</f>
        <v>45957</v>
      </c>
      <c r="C1057" s="20">
        <f>IFERROR(_xlfn.ISOWEEKNUM(INPUT!M1052),"")</f>
        <v>44</v>
      </c>
      <c r="D1057" s="20">
        <f>IFERROR(YEAR(INPUT!M1052),"")</f>
        <v>2025</v>
      </c>
      <c r="E1057" t="str">
        <f>IF(INPUT!O1052="","",INPUT!O1052)</f>
        <v>JAVI</v>
      </c>
      <c r="F1057" t="str">
        <f>IF(INPUT!N1052="","",INPUT!N1052)</f>
        <v>M</v>
      </c>
      <c r="G1057" t="str" cm="1">
        <f t="array" ref="G1057">IFERROR(VLOOKUP(INPUT!M1052&amp;INPUT!N1052,CHOOSE({1,2},INPUT!$A$3:$A$5000&amp;INPUT!$C$3:$C$5000,INPUT!$F$3:$F$5000),2,FALSE),"")</f>
        <v>PRE-TEMPORADA</v>
      </c>
      <c r="H1057" t="str" cm="1">
        <f t="array" ref="H1057">IFERROR(VLOOKUP(INPUT!M1052&amp;INPUT!N1052,CHOOSE({1,2},INPUT!$A$3:$A$5000&amp;INPUT!$C$3:$C$5000,INPUT!$D$3:$D$5000),2,FALSE),"")</f>
        <v>TEC-TAC</v>
      </c>
      <c r="I1057" s="46">
        <f>IF(INPUT!P1052="","",INPUT!P1052)</f>
        <v>78.7</v>
      </c>
      <c r="J1057" s="46">
        <f>IF(INPUT!Q1052="","",INPUT!Q1052)</f>
        <v>78.7</v>
      </c>
      <c r="K1057" s="46">
        <f>IFERROR(IF(OR(INPUT!P1052="",INPUT!Q1052=""),"",INPUT!P1052-INPUT!Q1052),"")</f>
        <v>0</v>
      </c>
      <c r="L1057" s="48">
        <f>IFERROR(IF(OR(INPUT!P1052="",INPUT!Q1052="",INPUT!P1052=0),"",(INPUT!P1052-INPUT!Q1052)/INPUT!P1052),"")</f>
        <v>0</v>
      </c>
    </row>
    <row r="1058" spans="1:12" ht="18" customHeight="1" x14ac:dyDescent="0.2">
      <c r="A1058" s="11">
        <f>IF(INPUT!M1053="","",INPUT!M1053)</f>
        <v>45959</v>
      </c>
      <c r="B1058" s="11">
        <f>IF(INPUT!M1053="","",INPUT!M1053-WEEKDAY(INPUT!M1053,2)+1)</f>
        <v>45957</v>
      </c>
      <c r="C1058" s="20">
        <f>IFERROR(_xlfn.ISOWEEKNUM(INPUT!M1053),"")</f>
        <v>44</v>
      </c>
      <c r="D1058" s="20">
        <f>IFERROR(YEAR(INPUT!M1053),"")</f>
        <v>2025</v>
      </c>
      <c r="E1058" t="str">
        <f>IF(INPUT!O1053="","",INPUT!O1053)</f>
        <v>PANI</v>
      </c>
      <c r="F1058" t="str">
        <f>IF(INPUT!N1053="","",INPUT!N1053)</f>
        <v>M</v>
      </c>
      <c r="G1058" t="str" cm="1">
        <f t="array" ref="G1058">IFERROR(VLOOKUP(INPUT!M1053&amp;INPUT!N1053,CHOOSE({1,2},INPUT!$A$3:$A$5000&amp;INPUT!$C$3:$C$5000,INPUT!$F$3:$F$5000),2,FALSE),"")</f>
        <v>PRE-TEMPORADA</v>
      </c>
      <c r="H1058" t="str" cm="1">
        <f t="array" ref="H1058">IFERROR(VLOOKUP(INPUT!M1053&amp;INPUT!N1053,CHOOSE({1,2},INPUT!$A$3:$A$5000&amp;INPUT!$C$3:$C$5000,INPUT!$D$3:$D$5000),2,FALSE),"")</f>
        <v>TEC-TAC</v>
      </c>
      <c r="I1058" s="46">
        <f>IF(INPUT!P1053="","",INPUT!P1053)</f>
        <v>68.900000000000006</v>
      </c>
      <c r="J1058" s="46">
        <f>IF(INPUT!Q1053="","",INPUT!Q1053)</f>
        <v>67.900000000000006</v>
      </c>
      <c r="K1058" s="46">
        <f>IFERROR(IF(OR(INPUT!P1053="",INPUT!Q1053=""),"",INPUT!P1053-INPUT!Q1053),"")</f>
        <v>1</v>
      </c>
      <c r="L1058" s="48">
        <f>IFERROR(IF(OR(INPUT!P1053="",INPUT!Q1053="",INPUT!P1053=0),"",(INPUT!P1053-INPUT!Q1053)/INPUT!P1053),"")</f>
        <v>1.4513788098693758E-2</v>
      </c>
    </row>
    <row r="1059" spans="1:12" ht="18" hidden="1" customHeight="1" x14ac:dyDescent="0.2">
      <c r="A1059" s="11">
        <f>IF(INPUT!M1054="","",INPUT!M1054)</f>
        <v>45959</v>
      </c>
      <c r="B1059" s="11">
        <f>IF(INPUT!M1054="","",INPUT!M1054-WEEKDAY(INPUT!M1054,2)+1)</f>
        <v>45957</v>
      </c>
      <c r="C1059" s="20">
        <f>IFERROR(_xlfn.ISOWEEKNUM(INPUT!M1054),"")</f>
        <v>44</v>
      </c>
      <c r="D1059" s="20">
        <f>IFERROR(YEAR(INPUT!M1054),"")</f>
        <v>2025</v>
      </c>
      <c r="E1059" t="str">
        <f>IF(INPUT!O1054="","",INPUT!O1054)</f>
        <v>PIRATA</v>
      </c>
      <c r="F1059" t="str">
        <f>IF(INPUT!N1054="","",INPUT!N1054)</f>
        <v>M</v>
      </c>
      <c r="G1059" t="str" cm="1">
        <f t="array" ref="G1059">IFERROR(VLOOKUP(INPUT!M1054&amp;INPUT!N1054,CHOOSE({1,2},INPUT!$A$3:$A$5000&amp;INPUT!$C$3:$C$5000,INPUT!$F$3:$F$5000),2,FALSE),"")</f>
        <v>PRE-TEMPORADA</v>
      </c>
      <c r="H1059" t="str" cm="1">
        <f t="array" ref="H1059">IFERROR(VLOOKUP(INPUT!M1054&amp;INPUT!N1054,CHOOSE({1,2},INPUT!$A$3:$A$5000&amp;INPUT!$C$3:$C$5000,INPUT!$D$3:$D$5000),2,FALSE),"")</f>
        <v>TEC-TAC</v>
      </c>
      <c r="I1059" s="46">
        <f>IF(INPUT!P1054="","",INPUT!P1054)</f>
        <v>75.8</v>
      </c>
      <c r="J1059" s="46">
        <f>IF(INPUT!Q1054="","",INPUT!Q1054)</f>
        <v>75.599999999999994</v>
      </c>
      <c r="K1059" s="46">
        <f>IFERROR(IF(OR(INPUT!P1054="",INPUT!Q1054=""),"",INPUT!P1054-INPUT!Q1054),"")</f>
        <v>0.20000000000000284</v>
      </c>
      <c r="L1059" s="48">
        <f>IFERROR(IF(OR(INPUT!P1054="",INPUT!Q1054="",INPUT!P1054=0),"",(INPUT!P1054-INPUT!Q1054)/INPUT!P1054),"")</f>
        <v>2.6385224274406709E-3</v>
      </c>
    </row>
    <row r="1060" spans="1:12" ht="18" hidden="1" customHeight="1" x14ac:dyDescent="0.2">
      <c r="A1060" s="11">
        <f>IF(INPUT!M1055="","",INPUT!M1055)</f>
        <v>45959</v>
      </c>
      <c r="B1060" s="11">
        <f>IF(INPUT!M1055="","",INPUT!M1055-WEEKDAY(INPUT!M1055,2)+1)</f>
        <v>45957</v>
      </c>
      <c r="C1060" s="20">
        <f>IFERROR(_xlfn.ISOWEEKNUM(INPUT!M1055),"")</f>
        <v>44</v>
      </c>
      <c r="D1060" s="20">
        <f>IFERROR(YEAR(INPUT!M1055),"")</f>
        <v>2025</v>
      </c>
      <c r="E1060" t="str">
        <f>IF(INPUT!O1055="","",INPUT!O1055)</f>
        <v>BARONA</v>
      </c>
      <c r="F1060" t="str">
        <f>IF(INPUT!N1055="","",INPUT!N1055)</f>
        <v>M</v>
      </c>
      <c r="G1060" t="str" cm="1">
        <f t="array" ref="G1060">IFERROR(VLOOKUP(INPUT!M1055&amp;INPUT!N1055,CHOOSE({1,2},INPUT!$A$3:$A$5000&amp;INPUT!$C$3:$C$5000,INPUT!$F$3:$F$5000),2,FALSE),"")</f>
        <v>PRE-TEMPORADA</v>
      </c>
      <c r="H1060" t="str" cm="1">
        <f t="array" ref="H1060">IFERROR(VLOOKUP(INPUT!M1055&amp;INPUT!N1055,CHOOSE({1,2},INPUT!$A$3:$A$5000&amp;INPUT!$C$3:$C$5000,INPUT!$D$3:$D$5000),2,FALSE),"")</f>
        <v>TEC-TAC</v>
      </c>
      <c r="I1060" s="46">
        <f>IF(INPUT!P1055="","",INPUT!P1055)</f>
        <v>71.2</v>
      </c>
      <c r="J1060" s="46">
        <f>IF(INPUT!Q1055="","",INPUT!Q1055)</f>
        <v>70.8</v>
      </c>
      <c r="K1060" s="46">
        <f>IFERROR(IF(OR(INPUT!P1055="",INPUT!Q1055=""),"",INPUT!P1055-INPUT!Q1055),"")</f>
        <v>0.40000000000000568</v>
      </c>
      <c r="L1060" s="48">
        <f>IFERROR(IF(OR(INPUT!P1055="",INPUT!Q1055="",INPUT!P1055=0),"",(INPUT!P1055-INPUT!Q1055)/INPUT!P1055),"")</f>
        <v>5.6179775280899673E-3</v>
      </c>
    </row>
    <row r="1061" spans="1:12" ht="18" hidden="1" customHeight="1" x14ac:dyDescent="0.2">
      <c r="A1061" s="11">
        <f>IF(INPUT!M1056="","",INPUT!M1056)</f>
        <v>45959</v>
      </c>
      <c r="B1061" s="11">
        <f>IF(INPUT!M1056="","",INPUT!M1056-WEEKDAY(INPUT!M1056,2)+1)</f>
        <v>45957</v>
      </c>
      <c r="C1061" s="20">
        <f>IFERROR(_xlfn.ISOWEEKNUM(INPUT!M1056),"")</f>
        <v>44</v>
      </c>
      <c r="D1061" s="20">
        <f>IFERROR(YEAR(INPUT!M1056),"")</f>
        <v>2025</v>
      </c>
      <c r="E1061" t="str">
        <f>IF(INPUT!O1056="","",INPUT!O1056)</f>
        <v>CARLOS</v>
      </c>
      <c r="F1061" t="str">
        <f>IF(INPUT!N1056="","",INPUT!N1056)</f>
        <v>M</v>
      </c>
      <c r="G1061" t="str" cm="1">
        <f t="array" ref="G1061">IFERROR(VLOOKUP(INPUT!M1056&amp;INPUT!N1056,CHOOSE({1,2},INPUT!$A$3:$A$5000&amp;INPUT!$C$3:$C$5000,INPUT!$F$3:$F$5000),2,FALSE),"")</f>
        <v>PRE-TEMPORADA</v>
      </c>
      <c r="H1061" t="str" cm="1">
        <f t="array" ref="H1061">IFERROR(VLOOKUP(INPUT!M1056&amp;INPUT!N1056,CHOOSE({1,2},INPUT!$A$3:$A$5000&amp;INPUT!$C$3:$C$5000,INPUT!$D$3:$D$5000),2,FALSE),"")</f>
        <v>TEC-TAC</v>
      </c>
      <c r="I1061" s="46">
        <f>IF(INPUT!P1056="","",INPUT!P1056)</f>
        <v>66.8</v>
      </c>
      <c r="J1061" s="46">
        <f>IF(INPUT!Q1056="","",INPUT!Q1056)</f>
        <v>66.400000000000006</v>
      </c>
      <c r="K1061" s="46">
        <f>IFERROR(IF(OR(INPUT!P1056="",INPUT!Q1056=""),"",INPUT!P1056-INPUT!Q1056),"")</f>
        <v>0.39999999999999147</v>
      </c>
      <c r="L1061" s="48">
        <f>IFERROR(IF(OR(INPUT!P1056="",INPUT!Q1056="",INPUT!P1056=0),"",(INPUT!P1056-INPUT!Q1056)/INPUT!P1056),"")</f>
        <v>5.9880239520956812E-3</v>
      </c>
    </row>
    <row r="1062" spans="1:12" ht="18" hidden="1" customHeight="1" x14ac:dyDescent="0.2">
      <c r="A1062" s="11">
        <f>IF(INPUT!M1057="","",INPUT!M1057)</f>
        <v>45959</v>
      </c>
      <c r="B1062" s="11">
        <f>IF(INPUT!M1057="","",INPUT!M1057-WEEKDAY(INPUT!M1057,2)+1)</f>
        <v>45957</v>
      </c>
      <c r="C1062" s="20">
        <f>IFERROR(_xlfn.ISOWEEKNUM(INPUT!M1057),"")</f>
        <v>44</v>
      </c>
      <c r="D1062" s="20">
        <f>IFERROR(YEAR(INPUT!M1057),"")</f>
        <v>2025</v>
      </c>
      <c r="E1062" t="str">
        <f>IF(INPUT!O1057="","",INPUT!O1057)</f>
        <v>SEGO</v>
      </c>
      <c r="F1062" t="str">
        <f>IF(INPUT!N1057="","",INPUT!N1057)</f>
        <v>M</v>
      </c>
      <c r="G1062" t="str" cm="1">
        <f t="array" ref="G1062">IFERROR(VLOOKUP(INPUT!M1057&amp;INPUT!N1057,CHOOSE({1,2},INPUT!$A$3:$A$5000&amp;INPUT!$C$3:$C$5000,INPUT!$F$3:$F$5000),2,FALSE),"")</f>
        <v>PRE-TEMPORADA</v>
      </c>
      <c r="H1062" t="str" cm="1">
        <f t="array" ref="H1062">IFERROR(VLOOKUP(INPUT!M1057&amp;INPUT!N1057,CHOOSE({1,2},INPUT!$A$3:$A$5000&amp;INPUT!$C$3:$C$5000,INPUT!$D$3:$D$5000),2,FALSE),"")</f>
        <v>TEC-TAC</v>
      </c>
      <c r="I1062" s="46">
        <f>IF(INPUT!P1057="","",INPUT!P1057)</f>
        <v>74.3</v>
      </c>
      <c r="J1062" s="46">
        <f>IF(INPUT!Q1057="","",INPUT!Q1057)</f>
        <v>73.900000000000006</v>
      </c>
      <c r="K1062" s="46">
        <f>IFERROR(IF(OR(INPUT!P1057="",INPUT!Q1057=""),"",INPUT!P1057-INPUT!Q1057),"")</f>
        <v>0.39999999999999147</v>
      </c>
      <c r="L1062" s="48">
        <f>IFERROR(IF(OR(INPUT!P1057="",INPUT!Q1057="",INPUT!P1057=0),"",(INPUT!P1057-INPUT!Q1057)/INPUT!P1057),"")</f>
        <v>5.3835800807535868E-3</v>
      </c>
    </row>
    <row r="1063" spans="1:12" ht="18" hidden="1" customHeight="1" x14ac:dyDescent="0.2">
      <c r="A1063" s="11">
        <f>IF(INPUT!M1058="","",INPUT!M1058)</f>
        <v>45959</v>
      </c>
      <c r="B1063" s="11">
        <f>IF(INPUT!M1058="","",INPUT!M1058-WEEKDAY(INPUT!M1058,2)+1)</f>
        <v>45957</v>
      </c>
      <c r="C1063" s="20">
        <f>IFERROR(_xlfn.ISOWEEKNUM(INPUT!M1058),"")</f>
        <v>44</v>
      </c>
      <c r="D1063" s="20">
        <f>IFERROR(YEAR(INPUT!M1058),"")</f>
        <v>2025</v>
      </c>
      <c r="E1063" t="str">
        <f>IF(INPUT!O1058="","",INPUT!O1058)</f>
        <v>DANI</v>
      </c>
      <c r="F1063" t="str">
        <f>IF(INPUT!N1058="","",INPUT!N1058)</f>
        <v>M</v>
      </c>
      <c r="G1063" t="str" cm="1">
        <f t="array" ref="G1063">IFERROR(VLOOKUP(INPUT!M1058&amp;INPUT!N1058,CHOOSE({1,2},INPUT!$A$3:$A$5000&amp;INPUT!$C$3:$C$5000,INPUT!$F$3:$F$5000),2,FALSE),"")</f>
        <v>PRE-TEMPORADA</v>
      </c>
      <c r="H1063" t="str" cm="1">
        <f t="array" ref="H1063">IFERROR(VLOOKUP(INPUT!M1058&amp;INPUT!N1058,CHOOSE({1,2},INPUT!$A$3:$A$5000&amp;INPUT!$C$3:$C$5000,INPUT!$D$3:$D$5000),2,FALSE),"")</f>
        <v>TEC-TAC</v>
      </c>
      <c r="I1063" s="46">
        <f>IF(INPUT!P1058="","",INPUT!P1058)</f>
        <v>74.3</v>
      </c>
      <c r="J1063" s="46">
        <f>IF(INPUT!Q1058="","",INPUT!Q1058)</f>
        <v>73.900000000000006</v>
      </c>
      <c r="K1063" s="46">
        <f>IFERROR(IF(OR(INPUT!P1058="",INPUT!Q1058=""),"",INPUT!P1058-INPUT!Q1058),"")</f>
        <v>0.39999999999999147</v>
      </c>
      <c r="L1063" s="48">
        <f>IFERROR(IF(OR(INPUT!P1058="",INPUT!Q1058="",INPUT!P1058=0),"",(INPUT!P1058-INPUT!Q1058)/INPUT!P1058),"")</f>
        <v>5.3835800807535868E-3</v>
      </c>
    </row>
    <row r="1064" spans="1:12" ht="18" hidden="1" customHeight="1" x14ac:dyDescent="0.2">
      <c r="A1064" s="11">
        <f>IF(INPUT!M1059="","",INPUT!M1059)</f>
        <v>45960</v>
      </c>
      <c r="B1064" s="11">
        <f>IF(INPUT!M1059="","",INPUT!M1059-WEEKDAY(INPUT!M1059,2)+1)</f>
        <v>45957</v>
      </c>
      <c r="C1064" s="20">
        <f>IFERROR(_xlfn.ISOWEEKNUM(INPUT!M1059),"")</f>
        <v>44</v>
      </c>
      <c r="D1064" s="20">
        <f>IFERROR(YEAR(INPUT!M1059),"")</f>
        <v>2025</v>
      </c>
      <c r="E1064" t="str">
        <f>IF(INPUT!O1059="","",INPUT!O1059)</f>
        <v>HERRERO</v>
      </c>
      <c r="F1064" t="str">
        <f>IF(INPUT!N1059="","",INPUT!N1059)</f>
        <v>M</v>
      </c>
      <c r="G1064" t="str" cm="1">
        <f t="array" ref="G1064">IFERROR(VLOOKUP(INPUT!M1059&amp;INPUT!N1059,CHOOSE({1,2},INPUT!$A$3:$A$5000&amp;INPUT!$C$3:$C$5000,INPUT!$F$3:$F$5000),2,FALSE),"")</f>
        <v>PRE-TEMPORADA</v>
      </c>
      <c r="H1064" t="str" cm="1">
        <f t="array" ref="H1064">IFERROR(VLOOKUP(INPUT!M1059&amp;INPUT!N1059,CHOOSE({1,2},INPUT!$A$3:$A$5000&amp;INPUT!$C$3:$C$5000,INPUT!$D$3:$D$5000),2,FALSE),"")</f>
        <v>TEC-TAC</v>
      </c>
      <c r="I1064" s="46">
        <f>IF(INPUT!P1059="","",INPUT!P1059)</f>
        <v>77</v>
      </c>
      <c r="J1064" s="46">
        <f>IF(INPUT!Q1059="","",INPUT!Q1059)</f>
        <v>76</v>
      </c>
      <c r="K1064" s="46">
        <f>IFERROR(IF(OR(INPUT!P1059="",INPUT!Q1059=""),"",INPUT!P1059-INPUT!Q1059),"")</f>
        <v>1</v>
      </c>
      <c r="L1064" s="48">
        <f>IFERROR(IF(OR(INPUT!P1059="",INPUT!Q1059="",INPUT!P1059=0),"",(INPUT!P1059-INPUT!Q1059)/INPUT!P1059),"")</f>
        <v>1.2987012987012988E-2</v>
      </c>
    </row>
    <row r="1065" spans="1:12" ht="18" hidden="1" customHeight="1" x14ac:dyDescent="0.2">
      <c r="A1065" s="11">
        <f>IF(INPUT!M1060="","",INPUT!M1060)</f>
        <v>45960</v>
      </c>
      <c r="B1065" s="11">
        <f>IF(INPUT!M1060="","",INPUT!M1060-WEEKDAY(INPUT!M1060,2)+1)</f>
        <v>45957</v>
      </c>
      <c r="C1065" s="20">
        <f>IFERROR(_xlfn.ISOWEEKNUM(INPUT!M1060),"")</f>
        <v>44</v>
      </c>
      <c r="D1065" s="20">
        <f>IFERROR(YEAR(INPUT!M1060),"")</f>
        <v>2025</v>
      </c>
      <c r="E1065" t="str">
        <f>IF(INPUT!O1060="","",INPUT!O1060)</f>
        <v>GARCIA</v>
      </c>
      <c r="F1065" t="str">
        <f>IF(INPUT!N1060="","",INPUT!N1060)</f>
        <v>M</v>
      </c>
      <c r="G1065" t="str" cm="1">
        <f t="array" ref="G1065">IFERROR(VLOOKUP(INPUT!M1060&amp;INPUT!N1060,CHOOSE({1,2},INPUT!$A$3:$A$5000&amp;INPUT!$C$3:$C$5000,INPUT!$F$3:$F$5000),2,FALSE),"")</f>
        <v>PRE-TEMPORADA</v>
      </c>
      <c r="H1065" t="str" cm="1">
        <f t="array" ref="H1065">IFERROR(VLOOKUP(INPUT!M1060&amp;INPUT!N1060,CHOOSE({1,2},INPUT!$A$3:$A$5000&amp;INPUT!$C$3:$C$5000,INPUT!$D$3:$D$5000),2,FALSE),"")</f>
        <v>TEC-TAC</v>
      </c>
      <c r="I1065" s="46">
        <f>IF(INPUT!P1060="","",INPUT!P1060)</f>
        <v>79.8</v>
      </c>
      <c r="J1065" s="46">
        <f>IF(INPUT!Q1060="","",INPUT!Q1060)</f>
        <v>79.7</v>
      </c>
      <c r="K1065" s="46">
        <f>IFERROR(IF(OR(INPUT!P1060="",INPUT!Q1060=""),"",INPUT!P1060-INPUT!Q1060),"")</f>
        <v>9.9999999999994316E-2</v>
      </c>
      <c r="L1065" s="48">
        <f>IFERROR(IF(OR(INPUT!P1060="",INPUT!Q1060="",INPUT!P1060=0),"",(INPUT!P1060-INPUT!Q1060)/INPUT!P1060),"")</f>
        <v>1.2531328320801293E-3</v>
      </c>
    </row>
    <row r="1066" spans="1:12" ht="18" hidden="1" customHeight="1" x14ac:dyDescent="0.2">
      <c r="A1066" s="11">
        <f>IF(INPUT!M1061="","",INPUT!M1061)</f>
        <v>45960</v>
      </c>
      <c r="B1066" s="11">
        <f>IF(INPUT!M1061="","",INPUT!M1061-WEEKDAY(INPUT!M1061,2)+1)</f>
        <v>45957</v>
      </c>
      <c r="C1066" s="20">
        <f>IFERROR(_xlfn.ISOWEEKNUM(INPUT!M1061),"")</f>
        <v>44</v>
      </c>
      <c r="D1066" s="20">
        <f>IFERROR(YEAR(INPUT!M1061),"")</f>
        <v>2025</v>
      </c>
      <c r="E1066" t="str">
        <f>IF(INPUT!O1061="","",INPUT!O1061)</f>
        <v>CECILIO</v>
      </c>
      <c r="F1066" t="str">
        <f>IF(INPUT!N1061="","",INPUT!N1061)</f>
        <v>M</v>
      </c>
      <c r="G1066" t="str" cm="1">
        <f t="array" ref="G1066">IFERROR(VLOOKUP(INPUT!M1061&amp;INPUT!N1061,CHOOSE({1,2},INPUT!$A$3:$A$5000&amp;INPUT!$C$3:$C$5000,INPUT!$F$3:$F$5000),2,FALSE),"")</f>
        <v>PRE-TEMPORADA</v>
      </c>
      <c r="H1066" t="str" cm="1">
        <f t="array" ref="H1066">IFERROR(VLOOKUP(INPUT!M1061&amp;INPUT!N1061,CHOOSE({1,2},INPUT!$A$3:$A$5000&amp;INPUT!$C$3:$C$5000,INPUT!$D$3:$D$5000),2,FALSE),"")</f>
        <v>TEC-TAC</v>
      </c>
      <c r="I1066" s="46">
        <f>IF(INPUT!P1061="","",INPUT!P1061)</f>
        <v>67</v>
      </c>
      <c r="J1066" s="46">
        <f>IF(INPUT!Q1061="","",INPUT!Q1061)</f>
        <v>66.599999999999994</v>
      </c>
      <c r="K1066" s="46">
        <f>IFERROR(IF(OR(INPUT!P1061="",INPUT!Q1061=""),"",INPUT!P1061-INPUT!Q1061),"")</f>
        <v>0.40000000000000568</v>
      </c>
      <c r="L1066" s="48">
        <f>IFERROR(IF(OR(INPUT!P1061="",INPUT!Q1061="",INPUT!P1061=0),"",(INPUT!P1061-INPUT!Q1061)/INPUT!P1061),"")</f>
        <v>5.9701492537314283E-3</v>
      </c>
    </row>
    <row r="1067" spans="1:12" ht="18" hidden="1" customHeight="1" x14ac:dyDescent="0.2">
      <c r="A1067" s="11">
        <f>IF(INPUT!M1062="","",INPUT!M1062)</f>
        <v>45960</v>
      </c>
      <c r="B1067" s="11">
        <f>IF(INPUT!M1062="","",INPUT!M1062-WEEKDAY(INPUT!M1062,2)+1)</f>
        <v>45957</v>
      </c>
      <c r="C1067" s="20">
        <f>IFERROR(_xlfn.ISOWEEKNUM(INPUT!M1062),"")</f>
        <v>44</v>
      </c>
      <c r="D1067" s="20">
        <f>IFERROR(YEAR(INPUT!M1062),"")</f>
        <v>2025</v>
      </c>
      <c r="E1067" t="str">
        <f>IF(INPUT!O1062="","",INPUT!O1062)</f>
        <v>CHAGUINHA</v>
      </c>
      <c r="F1067" t="str">
        <f>IF(INPUT!N1062="","",INPUT!N1062)</f>
        <v>M</v>
      </c>
      <c r="G1067" t="str" cm="1">
        <f t="array" ref="G1067">IFERROR(VLOOKUP(INPUT!M1062&amp;INPUT!N1062,CHOOSE({1,2},INPUT!$A$3:$A$5000&amp;INPUT!$C$3:$C$5000,INPUT!$F$3:$F$5000),2,FALSE),"")</f>
        <v>PRE-TEMPORADA</v>
      </c>
      <c r="H1067" t="str" cm="1">
        <f t="array" ref="H1067">IFERROR(VLOOKUP(INPUT!M1062&amp;INPUT!N1062,CHOOSE({1,2},INPUT!$A$3:$A$5000&amp;INPUT!$C$3:$C$5000,INPUT!$D$3:$D$5000),2,FALSE),"")</f>
        <v>TEC-TAC</v>
      </c>
      <c r="I1067" s="46">
        <f>IF(INPUT!P1062="","",INPUT!P1062)</f>
        <v>69.400000000000006</v>
      </c>
      <c r="J1067" s="46">
        <f>IF(INPUT!Q1062="","",INPUT!Q1062)</f>
        <v>68.599999999999994</v>
      </c>
      <c r="K1067" s="46">
        <f>IFERROR(IF(OR(INPUT!P1062="",INPUT!Q1062=""),"",INPUT!P1062-INPUT!Q1062),"")</f>
        <v>0.80000000000001137</v>
      </c>
      <c r="L1067" s="48">
        <f>IFERROR(IF(OR(INPUT!P1062="",INPUT!Q1062="",INPUT!P1062=0),"",(INPUT!P1062-INPUT!Q1062)/INPUT!P1062),"")</f>
        <v>1.1527377521613995E-2</v>
      </c>
    </row>
    <row r="1068" spans="1:12" ht="18" hidden="1" customHeight="1" x14ac:dyDescent="0.2">
      <c r="A1068" s="11">
        <f>IF(INPUT!M1063="","",INPUT!M1063)</f>
        <v>45960</v>
      </c>
      <c r="B1068" s="11">
        <f>IF(INPUT!M1063="","",INPUT!M1063-WEEKDAY(INPUT!M1063,2)+1)</f>
        <v>45957</v>
      </c>
      <c r="C1068" s="20">
        <f>IFERROR(_xlfn.ISOWEEKNUM(INPUT!M1063),"")</f>
        <v>44</v>
      </c>
      <c r="D1068" s="20">
        <f>IFERROR(YEAR(INPUT!M1063),"")</f>
        <v>2025</v>
      </c>
      <c r="E1068" t="str">
        <f>IF(INPUT!O1063="","",INPUT!O1063)</f>
        <v>RAUL</v>
      </c>
      <c r="F1068" t="str">
        <f>IF(INPUT!N1063="","",INPUT!N1063)</f>
        <v>M</v>
      </c>
      <c r="G1068" t="str" cm="1">
        <f t="array" ref="G1068">IFERROR(VLOOKUP(INPUT!M1063&amp;INPUT!N1063,CHOOSE({1,2},INPUT!$A$3:$A$5000&amp;INPUT!$C$3:$C$5000,INPUT!$F$3:$F$5000),2,FALSE),"")</f>
        <v>PRE-TEMPORADA</v>
      </c>
      <c r="H1068" t="str" cm="1">
        <f t="array" ref="H1068">IFERROR(VLOOKUP(INPUT!M1063&amp;INPUT!N1063,CHOOSE({1,2},INPUT!$A$3:$A$5000&amp;INPUT!$C$3:$C$5000,INPUT!$D$3:$D$5000),2,FALSE),"")</f>
        <v>TEC-TAC</v>
      </c>
      <c r="I1068" s="46">
        <f>IF(INPUT!P1063="","",INPUT!P1063)</f>
        <v>81.599999999999994</v>
      </c>
      <c r="J1068" s="46">
        <f>IF(INPUT!Q1063="","",INPUT!Q1063)</f>
        <v>81.8</v>
      </c>
      <c r="K1068" s="46">
        <f>IFERROR(IF(OR(INPUT!P1063="",INPUT!Q1063=""),"",INPUT!P1063-INPUT!Q1063),"")</f>
        <v>-0.20000000000000284</v>
      </c>
      <c r="L1068" s="48">
        <f>IFERROR(IF(OR(INPUT!P1063="",INPUT!Q1063="",INPUT!P1063=0),"",(INPUT!P1063-INPUT!Q1063)/INPUT!P1063),"")</f>
        <v>-2.4509803921568978E-3</v>
      </c>
    </row>
    <row r="1069" spans="1:12" ht="18" hidden="1" customHeight="1" x14ac:dyDescent="0.2">
      <c r="A1069" s="11">
        <f>IF(INPUT!M1064="","",INPUT!M1064)</f>
        <v>45960</v>
      </c>
      <c r="B1069" s="11">
        <f>IF(INPUT!M1064="","",INPUT!M1064-WEEKDAY(INPUT!M1064,2)+1)</f>
        <v>45957</v>
      </c>
      <c r="C1069" s="20">
        <f>IFERROR(_xlfn.ISOWEEKNUM(INPUT!M1064),"")</f>
        <v>44</v>
      </c>
      <c r="D1069" s="20">
        <f>IFERROR(YEAR(INPUT!M1064),"")</f>
        <v>2025</v>
      </c>
      <c r="E1069" t="str">
        <f>IF(INPUT!O1064="","",INPUT!O1064)</f>
        <v>HARRISON</v>
      </c>
      <c r="F1069" t="str">
        <f>IF(INPUT!N1064="","",INPUT!N1064)</f>
        <v>M</v>
      </c>
      <c r="G1069" t="str" cm="1">
        <f t="array" ref="G1069">IFERROR(VLOOKUP(INPUT!M1064&amp;INPUT!N1064,CHOOSE({1,2},INPUT!$A$3:$A$5000&amp;INPUT!$C$3:$C$5000,INPUT!$F$3:$F$5000),2,FALSE),"")</f>
        <v>PRE-TEMPORADA</v>
      </c>
      <c r="H1069" t="str" cm="1">
        <f t="array" ref="H1069">IFERROR(VLOOKUP(INPUT!M1064&amp;INPUT!N1064,CHOOSE({1,2},INPUT!$A$3:$A$5000&amp;INPUT!$C$3:$C$5000,INPUT!$D$3:$D$5000),2,FALSE),"")</f>
        <v>TEC-TAC</v>
      </c>
      <c r="I1069" s="46">
        <f>IF(INPUT!P1064="","",INPUT!P1064)</f>
        <v>71.3</v>
      </c>
      <c r="J1069" s="46">
        <f>IF(INPUT!Q1064="","",INPUT!Q1064)</f>
        <v>71.2</v>
      </c>
      <c r="K1069" s="46">
        <f>IFERROR(IF(OR(INPUT!P1064="",INPUT!Q1064=""),"",INPUT!P1064-INPUT!Q1064),"")</f>
        <v>9.9999999999994316E-2</v>
      </c>
      <c r="L1069" s="48">
        <f>IFERROR(IF(OR(INPUT!P1064="",INPUT!Q1064="",INPUT!P1064=0),"",(INPUT!P1064-INPUT!Q1064)/INPUT!P1064),"")</f>
        <v>1.4025245441794435E-3</v>
      </c>
    </row>
    <row r="1070" spans="1:12" ht="18" hidden="1" customHeight="1" x14ac:dyDescent="0.2">
      <c r="A1070" s="11">
        <f>IF(INPUT!M1065="","",INPUT!M1065)</f>
        <v>45960</v>
      </c>
      <c r="B1070" s="11">
        <f>IF(INPUT!M1065="","",INPUT!M1065-WEEKDAY(INPUT!M1065,2)+1)</f>
        <v>45957</v>
      </c>
      <c r="C1070" s="20">
        <f>IFERROR(_xlfn.ISOWEEKNUM(INPUT!M1065),"")</f>
        <v>44</v>
      </c>
      <c r="D1070" s="20">
        <f>IFERROR(YEAR(INPUT!M1065),"")</f>
        <v>2025</v>
      </c>
      <c r="E1070" t="str">
        <f>IF(INPUT!O1065="","",INPUT!O1065)</f>
        <v>RAYA</v>
      </c>
      <c r="F1070" t="str">
        <f>IF(INPUT!N1065="","",INPUT!N1065)</f>
        <v>M</v>
      </c>
      <c r="G1070" t="str" cm="1">
        <f t="array" ref="G1070">IFERROR(VLOOKUP(INPUT!M1065&amp;INPUT!N1065,CHOOSE({1,2},INPUT!$A$3:$A$5000&amp;INPUT!$C$3:$C$5000,INPUT!$F$3:$F$5000),2,FALSE),"")</f>
        <v>PRE-TEMPORADA</v>
      </c>
      <c r="H1070" t="str" cm="1">
        <f t="array" ref="H1070">IFERROR(VLOOKUP(INPUT!M1065&amp;INPUT!N1065,CHOOSE({1,2},INPUT!$A$3:$A$5000&amp;INPUT!$C$3:$C$5000,INPUT!$D$3:$D$5000),2,FALSE),"")</f>
        <v>TEC-TAC</v>
      </c>
      <c r="I1070" s="46">
        <f>IF(INPUT!P1065="","",INPUT!P1065)</f>
        <v>81</v>
      </c>
      <c r="J1070" s="46">
        <f>IF(INPUT!Q1065="","",INPUT!Q1065)</f>
        <v>79.599999999999994</v>
      </c>
      <c r="K1070" s="46">
        <f>IFERROR(IF(OR(INPUT!P1065="",INPUT!Q1065=""),"",INPUT!P1065-INPUT!Q1065),"")</f>
        <v>1.4000000000000057</v>
      </c>
      <c r="L1070" s="48">
        <f>IFERROR(IF(OR(INPUT!P1065="",INPUT!Q1065="",INPUT!P1065=0),"",(INPUT!P1065-INPUT!Q1065)/INPUT!P1065),"")</f>
        <v>1.7283950617284022E-2</v>
      </c>
    </row>
    <row r="1071" spans="1:12" ht="18" customHeight="1" x14ac:dyDescent="0.2">
      <c r="A1071" s="11">
        <f>IF(INPUT!M1066="","",INPUT!M1066)</f>
        <v>45960</v>
      </c>
      <c r="B1071" s="11">
        <f>IF(INPUT!M1066="","",INPUT!M1066-WEEKDAY(INPUT!M1066,2)+1)</f>
        <v>45957</v>
      </c>
      <c r="C1071" s="20">
        <f>IFERROR(_xlfn.ISOWEEKNUM(INPUT!M1066),"")</f>
        <v>44</v>
      </c>
      <c r="D1071" s="20">
        <f>IFERROR(YEAR(INPUT!M1066),"")</f>
        <v>2025</v>
      </c>
      <c r="E1071" t="str">
        <f>IF(INPUT!O1066="","",INPUT!O1066)</f>
        <v>JAVI</v>
      </c>
      <c r="F1071" t="str">
        <f>IF(INPUT!N1066="","",INPUT!N1066)</f>
        <v>M</v>
      </c>
      <c r="G1071" t="str" cm="1">
        <f t="array" ref="G1071">IFERROR(VLOOKUP(INPUT!M1066&amp;INPUT!N1066,CHOOSE({1,2},INPUT!$A$3:$A$5000&amp;INPUT!$C$3:$C$5000,INPUT!$F$3:$F$5000),2,FALSE),"")</f>
        <v>PRE-TEMPORADA</v>
      </c>
      <c r="H1071" t="str" cm="1">
        <f t="array" ref="H1071">IFERROR(VLOOKUP(INPUT!M1066&amp;INPUT!N1066,CHOOSE({1,2},INPUT!$A$3:$A$5000&amp;INPUT!$C$3:$C$5000,INPUT!$D$3:$D$5000),2,FALSE),"")</f>
        <v>TEC-TAC</v>
      </c>
      <c r="I1071" s="46">
        <f>IF(INPUT!P1066="","",INPUT!P1066)</f>
        <v>78.599999999999994</v>
      </c>
      <c r="J1071" s="46">
        <f>IF(INPUT!Q1066="","",INPUT!Q1066)</f>
        <v>78.599999999999994</v>
      </c>
      <c r="K1071" s="46">
        <f>IFERROR(IF(OR(INPUT!P1066="",INPUT!Q1066=""),"",INPUT!P1066-INPUT!Q1066),"")</f>
        <v>0</v>
      </c>
      <c r="L1071" s="48">
        <f>IFERROR(IF(OR(INPUT!P1066="",INPUT!Q1066="",INPUT!P1066=0),"",(INPUT!P1066-INPUT!Q1066)/INPUT!P1066),"")</f>
        <v>0</v>
      </c>
    </row>
    <row r="1072" spans="1:12" ht="18" customHeight="1" x14ac:dyDescent="0.2">
      <c r="A1072" s="11">
        <f>IF(INPUT!M1067="","",INPUT!M1067)</f>
        <v>45960</v>
      </c>
      <c r="B1072" s="11">
        <f>IF(INPUT!M1067="","",INPUT!M1067-WEEKDAY(INPUT!M1067,2)+1)</f>
        <v>45957</v>
      </c>
      <c r="C1072" s="20">
        <f>IFERROR(_xlfn.ISOWEEKNUM(INPUT!M1067),"")</f>
        <v>44</v>
      </c>
      <c r="D1072" s="20">
        <f>IFERROR(YEAR(INPUT!M1067),"")</f>
        <v>2025</v>
      </c>
      <c r="E1072" t="str">
        <f>IF(INPUT!O1067="","",INPUT!O1067)</f>
        <v>PANI</v>
      </c>
      <c r="F1072" t="str">
        <f>IF(INPUT!N1067="","",INPUT!N1067)</f>
        <v>M</v>
      </c>
      <c r="G1072" t="str" cm="1">
        <f t="array" ref="G1072">IFERROR(VLOOKUP(INPUT!M1067&amp;INPUT!N1067,CHOOSE({1,2},INPUT!$A$3:$A$5000&amp;INPUT!$C$3:$C$5000,INPUT!$F$3:$F$5000),2,FALSE),"")</f>
        <v>PRE-TEMPORADA</v>
      </c>
      <c r="H1072" t="str" cm="1">
        <f t="array" ref="H1072">IFERROR(VLOOKUP(INPUT!M1067&amp;INPUT!N1067,CHOOSE({1,2},INPUT!$A$3:$A$5000&amp;INPUT!$C$3:$C$5000,INPUT!$D$3:$D$5000),2,FALSE),"")</f>
        <v>TEC-TAC</v>
      </c>
      <c r="I1072" s="46">
        <f>IF(INPUT!P1067="","",INPUT!P1067)</f>
        <v>68.400000000000006</v>
      </c>
      <c r="J1072" s="46">
        <f>IF(INPUT!Q1067="","",INPUT!Q1067)</f>
        <v>68.099999999999994</v>
      </c>
      <c r="K1072" s="46">
        <f>IFERROR(IF(OR(INPUT!P1067="",INPUT!Q1067=""),"",INPUT!P1067-INPUT!Q1067),"")</f>
        <v>0.30000000000001137</v>
      </c>
      <c r="L1072" s="48">
        <f>IFERROR(IF(OR(INPUT!P1067="",INPUT!Q1067="",INPUT!P1067=0),"",(INPUT!P1067-INPUT!Q1067)/INPUT!P1067),"")</f>
        <v>4.3859649122808672E-3</v>
      </c>
    </row>
    <row r="1073" spans="1:12" ht="18" customHeight="1" x14ac:dyDescent="0.2">
      <c r="A1073" s="11">
        <f>IF(INPUT!M1068="","",INPUT!M1068)</f>
        <v>45960</v>
      </c>
      <c r="B1073" s="11">
        <f>IF(INPUT!M1068="","",INPUT!M1068-WEEKDAY(INPUT!M1068,2)+1)</f>
        <v>45957</v>
      </c>
      <c r="C1073" s="20">
        <f>IFERROR(_xlfn.ISOWEEKNUM(INPUT!M1068),"")</f>
        <v>44</v>
      </c>
      <c r="D1073" s="20">
        <f>IFERROR(YEAR(INPUT!M1068),"")</f>
        <v>2025</v>
      </c>
      <c r="E1073" t="str">
        <f>IF(INPUT!O1068="","",INPUT!O1068)</f>
        <v>PIRATA</v>
      </c>
      <c r="F1073" t="str">
        <f>IF(INPUT!N1068="","",INPUT!N1068)</f>
        <v>M</v>
      </c>
      <c r="G1073" t="str" cm="1">
        <f t="array" ref="G1073">IFERROR(VLOOKUP(INPUT!M1068&amp;INPUT!N1068,CHOOSE({1,2},INPUT!$A$3:$A$5000&amp;INPUT!$C$3:$C$5000,INPUT!$F$3:$F$5000),2,FALSE),"")</f>
        <v>PRE-TEMPORADA</v>
      </c>
      <c r="H1073" t="str" cm="1">
        <f t="array" ref="H1073">IFERROR(VLOOKUP(INPUT!M1068&amp;INPUT!N1068,CHOOSE({1,2},INPUT!$A$3:$A$5000&amp;INPUT!$C$3:$C$5000,INPUT!$D$3:$D$5000),2,FALSE),"")</f>
        <v>TEC-TAC</v>
      </c>
      <c r="I1073" s="46">
        <f>IF(INPUT!P1068="","",INPUT!P1068)</f>
        <v>75.3</v>
      </c>
      <c r="J1073" s="46">
        <f>IF(INPUT!Q1068="","",INPUT!Q1068)</f>
        <v>75.400000000000006</v>
      </c>
      <c r="K1073" s="46">
        <f>IFERROR(IF(OR(INPUT!P1068="",INPUT!Q1068=""),"",INPUT!P1068-INPUT!Q1068),"")</f>
        <v>-0.10000000000000853</v>
      </c>
      <c r="L1073" s="48">
        <f>IFERROR(IF(OR(INPUT!P1068="",INPUT!Q1068="",INPUT!P1068=0),"",(INPUT!P1068-INPUT!Q1068)/INPUT!P1068),"")</f>
        <v>-1.3280212483400868E-3</v>
      </c>
    </row>
    <row r="1074" spans="1:12" ht="18" customHeight="1" x14ac:dyDescent="0.2">
      <c r="A1074" s="11">
        <f>IF(INPUT!M1069="","",INPUT!M1069)</f>
        <v>45960</v>
      </c>
      <c r="B1074" s="11">
        <f>IF(INPUT!M1069="","",INPUT!M1069-WEEKDAY(INPUT!M1069,2)+1)</f>
        <v>45957</v>
      </c>
      <c r="C1074" s="20">
        <f>IFERROR(_xlfn.ISOWEEKNUM(INPUT!M1069),"")</f>
        <v>44</v>
      </c>
      <c r="D1074" s="20">
        <f>IFERROR(YEAR(INPUT!M1069),"")</f>
        <v>2025</v>
      </c>
      <c r="E1074" t="str">
        <f>IF(INPUT!O1069="","",INPUT!O1069)</f>
        <v>BARONA</v>
      </c>
      <c r="F1074" t="str">
        <f>IF(INPUT!N1069="","",INPUT!N1069)</f>
        <v>M</v>
      </c>
      <c r="G1074" t="str" cm="1">
        <f t="array" ref="G1074">IFERROR(VLOOKUP(INPUT!M1069&amp;INPUT!N1069,CHOOSE({1,2},INPUT!$A$3:$A$5000&amp;INPUT!$C$3:$C$5000,INPUT!$F$3:$F$5000),2,FALSE),"")</f>
        <v>PRE-TEMPORADA</v>
      </c>
      <c r="H1074" t="str" cm="1">
        <f t="array" ref="H1074">IFERROR(VLOOKUP(INPUT!M1069&amp;INPUT!N1069,CHOOSE({1,2},INPUT!$A$3:$A$5000&amp;INPUT!$C$3:$C$5000,INPUT!$D$3:$D$5000),2,FALSE),"")</f>
        <v>TEC-TAC</v>
      </c>
      <c r="I1074" s="46">
        <f>IF(INPUT!P1069="","",INPUT!P1069)</f>
        <v>72</v>
      </c>
      <c r="J1074" s="46">
        <f>IF(INPUT!Q1069="","",INPUT!Q1069)</f>
        <v>71.7</v>
      </c>
      <c r="K1074" s="46">
        <f>IFERROR(IF(OR(INPUT!P1069="",INPUT!Q1069=""),"",INPUT!P1069-INPUT!Q1069),"")</f>
        <v>0.29999999999999716</v>
      </c>
      <c r="L1074" s="48">
        <f>IFERROR(IF(OR(INPUT!P1069="",INPUT!Q1069="",INPUT!P1069=0),"",(INPUT!P1069-INPUT!Q1069)/INPUT!P1069),"")</f>
        <v>4.1666666666666276E-3</v>
      </c>
    </row>
    <row r="1075" spans="1:12" ht="18" hidden="1" customHeight="1" x14ac:dyDescent="0.2">
      <c r="A1075" s="11">
        <f>IF(INPUT!M1070="","",INPUT!M1070)</f>
        <v>45960</v>
      </c>
      <c r="B1075" s="11">
        <f>IF(INPUT!M1070="","",INPUT!M1070-WEEKDAY(INPUT!M1070,2)+1)</f>
        <v>45957</v>
      </c>
      <c r="C1075" s="20">
        <f>IFERROR(_xlfn.ISOWEEKNUM(INPUT!M1070),"")</f>
        <v>44</v>
      </c>
      <c r="D1075" s="20">
        <f>IFERROR(YEAR(INPUT!M1070),"")</f>
        <v>2025</v>
      </c>
      <c r="E1075" t="str">
        <f>IF(INPUT!O1070="","",INPUT!O1070)</f>
        <v>CARLOS</v>
      </c>
      <c r="F1075" t="str">
        <f>IF(INPUT!N1070="","",INPUT!N1070)</f>
        <v>M</v>
      </c>
      <c r="G1075" t="str" cm="1">
        <f t="array" ref="G1075">IFERROR(VLOOKUP(INPUT!M1070&amp;INPUT!N1070,CHOOSE({1,2},INPUT!$A$3:$A$5000&amp;INPUT!$C$3:$C$5000,INPUT!$F$3:$F$5000),2,FALSE),"")</f>
        <v>PRE-TEMPORADA</v>
      </c>
      <c r="H1075" t="str" cm="1">
        <f t="array" ref="H1075">IFERROR(VLOOKUP(INPUT!M1070&amp;INPUT!N1070,CHOOSE({1,2},INPUT!$A$3:$A$5000&amp;INPUT!$C$3:$C$5000,INPUT!$D$3:$D$5000),2,FALSE),"")</f>
        <v>TEC-TAC</v>
      </c>
      <c r="I1075" s="46">
        <f>IF(INPUT!P1070="","",INPUT!P1070)</f>
        <v>66.599999999999994</v>
      </c>
      <c r="J1075" s="46">
        <f>IF(INPUT!Q1070="","",INPUT!Q1070)</f>
        <v>65.900000000000006</v>
      </c>
      <c r="K1075" s="46">
        <f>IFERROR(IF(OR(INPUT!P1070="",INPUT!Q1070=""),"",INPUT!P1070-INPUT!Q1070),"")</f>
        <v>0.69999999999998863</v>
      </c>
      <c r="L1075" s="48">
        <f>IFERROR(IF(OR(INPUT!P1070="",INPUT!Q1070="",INPUT!P1070=0),"",(INPUT!P1070-INPUT!Q1070)/INPUT!P1070),"")</f>
        <v>1.0510510510510341E-2</v>
      </c>
    </row>
    <row r="1076" spans="1:12" ht="18" hidden="1" customHeight="1" x14ac:dyDescent="0.2">
      <c r="A1076" s="11">
        <f>IF(INPUT!M1071="","",INPUT!M1071)</f>
        <v>45960</v>
      </c>
      <c r="B1076" s="11">
        <f>IF(INPUT!M1071="","",INPUT!M1071-WEEKDAY(INPUT!M1071,2)+1)</f>
        <v>45957</v>
      </c>
      <c r="C1076" s="20">
        <f>IFERROR(_xlfn.ISOWEEKNUM(INPUT!M1071),"")</f>
        <v>44</v>
      </c>
      <c r="D1076" s="20">
        <f>IFERROR(YEAR(INPUT!M1071),"")</f>
        <v>2025</v>
      </c>
      <c r="E1076" t="str">
        <f>IF(INPUT!O1071="","",INPUT!O1071)</f>
        <v>SEGO</v>
      </c>
      <c r="F1076" t="str">
        <f>IF(INPUT!N1071="","",INPUT!N1071)</f>
        <v>M</v>
      </c>
      <c r="G1076" t="str" cm="1">
        <f t="array" ref="G1076">IFERROR(VLOOKUP(INPUT!M1071&amp;INPUT!N1071,CHOOSE({1,2},INPUT!$A$3:$A$5000&amp;INPUT!$C$3:$C$5000,INPUT!$F$3:$F$5000),2,FALSE),"")</f>
        <v>PRE-TEMPORADA</v>
      </c>
      <c r="H1076" t="str" cm="1">
        <f t="array" ref="H1076">IFERROR(VLOOKUP(INPUT!M1071&amp;INPUT!N1071,CHOOSE({1,2},INPUT!$A$3:$A$5000&amp;INPUT!$C$3:$C$5000,INPUT!$D$3:$D$5000),2,FALSE),"")</f>
        <v>TEC-TAC</v>
      </c>
      <c r="I1076" s="46">
        <f>IF(INPUT!P1071="","",INPUT!P1071)</f>
        <v>74.900000000000006</v>
      </c>
      <c r="J1076" s="46">
        <f>IF(INPUT!Q1071="","",INPUT!Q1071)</f>
        <v>74.599999999999994</v>
      </c>
      <c r="K1076" s="46">
        <f>IFERROR(IF(OR(INPUT!P1071="",INPUT!Q1071=""),"",INPUT!P1071-INPUT!Q1071),"")</f>
        <v>0.30000000000001137</v>
      </c>
      <c r="L1076" s="48">
        <f>IFERROR(IF(OR(INPUT!P1071="",INPUT!Q1071="",INPUT!P1071=0),"",(INPUT!P1071-INPUT!Q1071)/INPUT!P1071),"")</f>
        <v>4.005340453938736E-3</v>
      </c>
    </row>
    <row r="1077" spans="1:12" ht="18" hidden="1" customHeight="1" x14ac:dyDescent="0.2">
      <c r="A1077" s="11">
        <f>IF(INPUT!M1072="","",INPUT!M1072)</f>
        <v>45960</v>
      </c>
      <c r="B1077" s="11">
        <f>IF(INPUT!M1072="","",INPUT!M1072-WEEKDAY(INPUT!M1072,2)+1)</f>
        <v>45957</v>
      </c>
      <c r="C1077" s="20">
        <f>IFERROR(_xlfn.ISOWEEKNUM(INPUT!M1072),"")</f>
        <v>44</v>
      </c>
      <c r="D1077" s="20">
        <f>IFERROR(YEAR(INPUT!M1072),"")</f>
        <v>2025</v>
      </c>
      <c r="E1077" t="str">
        <f>IF(INPUT!O1072="","",INPUT!O1072)</f>
        <v>RUBIO</v>
      </c>
      <c r="F1077" t="str">
        <f>IF(INPUT!N1072="","",INPUT!N1072)</f>
        <v>M</v>
      </c>
      <c r="G1077" t="str" cm="1">
        <f t="array" ref="G1077">IFERROR(VLOOKUP(INPUT!M1072&amp;INPUT!N1072,CHOOSE({1,2},INPUT!$A$3:$A$5000&amp;INPUT!$C$3:$C$5000,INPUT!$F$3:$F$5000),2,FALSE),"")</f>
        <v>PRE-TEMPORADA</v>
      </c>
      <c r="H1077" t="str" cm="1">
        <f t="array" ref="H1077">IFERROR(VLOOKUP(INPUT!M1072&amp;INPUT!N1072,CHOOSE({1,2},INPUT!$A$3:$A$5000&amp;INPUT!$C$3:$C$5000,INPUT!$D$3:$D$5000),2,FALSE),"")</f>
        <v>TEC-TAC</v>
      </c>
      <c r="I1077" s="46">
        <f>IF(INPUT!P1072="","",INPUT!P1072)</f>
        <v>74.900000000000006</v>
      </c>
      <c r="J1077" s="46">
        <f>IF(INPUT!Q1072="","",INPUT!Q1072)</f>
        <v>75.099999999999994</v>
      </c>
      <c r="K1077" s="46">
        <f>IFERROR(IF(OR(INPUT!P1072="",INPUT!Q1072=""),"",INPUT!P1072-INPUT!Q1072),"")</f>
        <v>-0.19999999999998863</v>
      </c>
      <c r="L1077" s="48">
        <f>IFERROR(IF(OR(INPUT!P1072="",INPUT!Q1072="",INPUT!P1072=0),"",(INPUT!P1072-INPUT!Q1072)/INPUT!P1072),"")</f>
        <v>-2.670226969292238E-3</v>
      </c>
    </row>
    <row r="1078" spans="1:12" ht="18" hidden="1" customHeight="1" x14ac:dyDescent="0.2">
      <c r="A1078" s="11">
        <f>IF(INPUT!M1073="","",INPUT!M1073)</f>
        <v>45960</v>
      </c>
      <c r="B1078" s="11">
        <f>IF(INPUT!M1073="","",INPUT!M1073-WEEKDAY(INPUT!M1073,2)+1)</f>
        <v>45957</v>
      </c>
      <c r="C1078" s="20">
        <f>IFERROR(_xlfn.ISOWEEKNUM(INPUT!M1073),"")</f>
        <v>44</v>
      </c>
      <c r="D1078" s="20">
        <f>IFERROR(YEAR(INPUT!M1073),"")</f>
        <v>2025</v>
      </c>
      <c r="E1078" t="str">
        <f>IF(INPUT!O1073="","",INPUT!O1073)</f>
        <v>DANI</v>
      </c>
      <c r="F1078" t="str">
        <f>IF(INPUT!N1073="","",INPUT!N1073)</f>
        <v>M</v>
      </c>
      <c r="G1078" t="str" cm="1">
        <f t="array" ref="G1078">IFERROR(VLOOKUP(INPUT!M1073&amp;INPUT!N1073,CHOOSE({1,2},INPUT!$A$3:$A$5000&amp;INPUT!$C$3:$C$5000,INPUT!$F$3:$F$5000),2,FALSE),"")</f>
        <v>PRE-TEMPORADA</v>
      </c>
      <c r="H1078" t="str" cm="1">
        <f t="array" ref="H1078">IFERROR(VLOOKUP(INPUT!M1073&amp;INPUT!N1073,CHOOSE({1,2},INPUT!$A$3:$A$5000&amp;INPUT!$C$3:$C$5000,INPUT!$D$3:$D$5000),2,FALSE),"")</f>
        <v>TEC-TAC</v>
      </c>
      <c r="I1078" s="46">
        <f>IF(INPUT!P1073="","",INPUT!P1073)</f>
        <v>93.3</v>
      </c>
      <c r="J1078" s="46">
        <f>IF(INPUT!Q1073="","",INPUT!Q1073)</f>
        <v>93</v>
      </c>
      <c r="K1078" s="46">
        <f>IFERROR(IF(OR(INPUT!P1073="",INPUT!Q1073=""),"",INPUT!P1073-INPUT!Q1073),"")</f>
        <v>0.29999999999999716</v>
      </c>
      <c r="L1078" s="48">
        <f>IFERROR(IF(OR(INPUT!P1073="",INPUT!Q1073="",INPUT!P1073=0),"",(INPUT!P1073-INPUT!Q1073)/INPUT!P1073),"")</f>
        <v>3.2154340836012558E-3</v>
      </c>
    </row>
    <row r="1079" spans="1:12" ht="18" hidden="1" customHeight="1" x14ac:dyDescent="0.2">
      <c r="A1079" s="11">
        <f>IF(INPUT!M1074="","",INPUT!M1074)</f>
        <v>45960</v>
      </c>
      <c r="B1079" s="11">
        <f>IF(INPUT!M1074="","",INPUT!M1074-WEEKDAY(INPUT!M1074,2)+1)</f>
        <v>45957</v>
      </c>
      <c r="C1079" s="20">
        <f>IFERROR(_xlfn.ISOWEEKNUM(INPUT!M1074),"")</f>
        <v>44</v>
      </c>
      <c r="D1079" s="20">
        <f>IFERROR(YEAR(INPUT!M1074),"")</f>
        <v>2025</v>
      </c>
      <c r="E1079" t="str">
        <f>IF(INPUT!O1074="","",INPUT!O1074)</f>
        <v>JAIME</v>
      </c>
      <c r="F1079" t="str">
        <f>IF(INPUT!N1074="","",INPUT!N1074)</f>
        <v>M</v>
      </c>
      <c r="G1079" t="str" cm="1">
        <f t="array" ref="G1079">IFERROR(VLOOKUP(INPUT!M1074&amp;INPUT!N1074,CHOOSE({1,2},INPUT!$A$3:$A$5000&amp;INPUT!$C$3:$C$5000,INPUT!$F$3:$F$5000),2,FALSE),"")</f>
        <v>PRE-TEMPORADA</v>
      </c>
      <c r="H1079" t="str" cm="1">
        <f t="array" ref="H1079">IFERROR(VLOOKUP(INPUT!M1074&amp;INPUT!N1074,CHOOSE({1,2},INPUT!$A$3:$A$5000&amp;INPUT!$C$3:$C$5000,INPUT!$D$3:$D$5000),2,FALSE),"")</f>
        <v>TEC-TAC</v>
      </c>
      <c r="I1079" s="46">
        <f>IF(INPUT!P1074="","",INPUT!P1074)</f>
        <v>76.7</v>
      </c>
      <c r="J1079" s="46">
        <f>IF(INPUT!Q1074="","",INPUT!Q1074)</f>
        <v>76.400000000000006</v>
      </c>
      <c r="K1079" s="46">
        <f>IFERROR(IF(OR(INPUT!P1074="",INPUT!Q1074=""),"",INPUT!P1074-INPUT!Q1074),"")</f>
        <v>0.29999999999999716</v>
      </c>
      <c r="L1079" s="48">
        <f>IFERROR(IF(OR(INPUT!P1074="",INPUT!Q1074="",INPUT!P1074=0),"",(INPUT!P1074-INPUT!Q1074)/INPUT!P1074),"")</f>
        <v>3.9113428943937049E-3</v>
      </c>
    </row>
    <row r="1080" spans="1:12" ht="18" hidden="1" customHeight="1" x14ac:dyDescent="0.2">
      <c r="A1080" s="11">
        <f>IF(INPUT!M1075="","",INPUT!M1075)</f>
        <v>45961</v>
      </c>
      <c r="B1080" s="11">
        <f>IF(INPUT!M1075="","",INPUT!M1075-WEEKDAY(INPUT!M1075,2)+1)</f>
        <v>45957</v>
      </c>
      <c r="C1080" s="20">
        <f>IFERROR(_xlfn.ISOWEEKNUM(INPUT!M1075),"")</f>
        <v>44</v>
      </c>
      <c r="D1080" s="20">
        <f>IFERROR(YEAR(INPUT!M1075),"")</f>
        <v>2025</v>
      </c>
      <c r="E1080" t="str">
        <f>IF(INPUT!O1075="","",INPUT!O1075)</f>
        <v>HERRERO</v>
      </c>
      <c r="F1080" t="str">
        <f>IF(INPUT!N1075="","",INPUT!N1075)</f>
        <v>M</v>
      </c>
      <c r="G1080" t="str" cm="1">
        <f t="array" ref="G1080">IFERROR(VLOOKUP(INPUT!M1075&amp;INPUT!N1075,CHOOSE({1,2},INPUT!$A$3:$A$5000&amp;INPUT!$C$3:$C$5000,INPUT!$F$3:$F$5000),2,FALSE),"")</f>
        <v>PRE-TEMPORADA</v>
      </c>
      <c r="H1080" t="str" cm="1">
        <f t="array" ref="H1080">IFERROR(VLOOKUP(INPUT!M1075&amp;INPUT!N1075,CHOOSE({1,2},INPUT!$A$3:$A$5000&amp;INPUT!$C$3:$C$5000,INPUT!$D$3:$D$5000),2,FALSE),"")</f>
        <v>GYM+TEC-TAC</v>
      </c>
      <c r="I1080" s="46">
        <f>IF(INPUT!P1075="","",INPUT!P1075)</f>
        <v>77</v>
      </c>
      <c r="J1080" s="46">
        <f>IF(INPUT!Q1075="","",INPUT!Q1075)</f>
        <v>76</v>
      </c>
      <c r="K1080" s="46">
        <f>IFERROR(IF(OR(INPUT!P1075="",INPUT!Q1075=""),"",INPUT!P1075-INPUT!Q1075),"")</f>
        <v>1</v>
      </c>
      <c r="L1080" s="48">
        <f>IFERROR(IF(OR(INPUT!P1075="",INPUT!Q1075="",INPUT!P1075=0),"",(INPUT!P1075-INPUT!Q1075)/INPUT!P1075),"")</f>
        <v>1.2987012987012988E-2</v>
      </c>
    </row>
    <row r="1081" spans="1:12" ht="18" hidden="1" customHeight="1" x14ac:dyDescent="0.2">
      <c r="A1081" s="11">
        <f>IF(INPUT!M1076="","",INPUT!M1076)</f>
        <v>45961</v>
      </c>
      <c r="B1081" s="11">
        <f>IF(INPUT!M1076="","",INPUT!M1076-WEEKDAY(INPUT!M1076,2)+1)</f>
        <v>45957</v>
      </c>
      <c r="C1081" s="20">
        <f>IFERROR(_xlfn.ISOWEEKNUM(INPUT!M1076),"")</f>
        <v>44</v>
      </c>
      <c r="D1081" s="20">
        <f>IFERROR(YEAR(INPUT!M1076),"")</f>
        <v>2025</v>
      </c>
      <c r="E1081" t="str">
        <f>IF(INPUT!O1076="","",INPUT!O1076)</f>
        <v>GARCIA</v>
      </c>
      <c r="F1081" t="str">
        <f>IF(INPUT!N1076="","",INPUT!N1076)</f>
        <v>M</v>
      </c>
      <c r="G1081" t="str" cm="1">
        <f t="array" ref="G1081">IFERROR(VLOOKUP(INPUT!M1076&amp;INPUT!N1076,CHOOSE({1,2},INPUT!$A$3:$A$5000&amp;INPUT!$C$3:$C$5000,INPUT!$F$3:$F$5000),2,FALSE),"")</f>
        <v>PRE-TEMPORADA</v>
      </c>
      <c r="H1081" t="str" cm="1">
        <f t="array" ref="H1081">IFERROR(VLOOKUP(INPUT!M1076&amp;INPUT!N1076,CHOOSE({1,2},INPUT!$A$3:$A$5000&amp;INPUT!$C$3:$C$5000,INPUT!$D$3:$D$5000),2,FALSE),"")</f>
        <v>GYM+TEC-TAC</v>
      </c>
      <c r="I1081" s="46">
        <f>IF(INPUT!P1076="","",INPUT!P1076)</f>
        <v>79.900000000000006</v>
      </c>
      <c r="J1081" s="46">
        <f>IF(INPUT!Q1076="","",INPUT!Q1076)</f>
        <v>79.7</v>
      </c>
      <c r="K1081" s="46">
        <f>IFERROR(IF(OR(INPUT!P1076="",INPUT!Q1076=""),"",INPUT!P1076-INPUT!Q1076),"")</f>
        <v>0.20000000000000284</v>
      </c>
      <c r="L1081" s="48">
        <f>IFERROR(IF(OR(INPUT!P1076="",INPUT!Q1076="",INPUT!P1076=0),"",(INPUT!P1076-INPUT!Q1076)/INPUT!P1076),"")</f>
        <v>2.5031289111389588E-3</v>
      </c>
    </row>
    <row r="1082" spans="1:12" ht="18" hidden="1" customHeight="1" x14ac:dyDescent="0.2">
      <c r="A1082" s="11">
        <f>IF(INPUT!M1077="","",INPUT!M1077)</f>
        <v>45961</v>
      </c>
      <c r="B1082" s="11">
        <f>IF(INPUT!M1077="","",INPUT!M1077-WEEKDAY(INPUT!M1077,2)+1)</f>
        <v>45957</v>
      </c>
      <c r="C1082" s="20">
        <f>IFERROR(_xlfn.ISOWEEKNUM(INPUT!M1077),"")</f>
        <v>44</v>
      </c>
      <c r="D1082" s="20">
        <f>IFERROR(YEAR(INPUT!M1077),"")</f>
        <v>2025</v>
      </c>
      <c r="E1082" t="str">
        <f>IF(INPUT!O1077="","",INPUT!O1077)</f>
        <v>CECILIO</v>
      </c>
      <c r="F1082" t="str">
        <f>IF(INPUT!N1077="","",INPUT!N1077)</f>
        <v>M</v>
      </c>
      <c r="G1082" t="str" cm="1">
        <f t="array" ref="G1082">IFERROR(VLOOKUP(INPUT!M1077&amp;INPUT!N1077,CHOOSE({1,2},INPUT!$A$3:$A$5000&amp;INPUT!$C$3:$C$5000,INPUT!$F$3:$F$5000),2,FALSE),"")</f>
        <v>PRE-TEMPORADA</v>
      </c>
      <c r="H1082" t="str" cm="1">
        <f t="array" ref="H1082">IFERROR(VLOOKUP(INPUT!M1077&amp;INPUT!N1077,CHOOSE({1,2},INPUT!$A$3:$A$5000&amp;INPUT!$C$3:$C$5000,INPUT!$D$3:$D$5000),2,FALSE),"")</f>
        <v>GYM+TEC-TAC</v>
      </c>
      <c r="I1082" s="46">
        <f>IF(INPUT!P1077="","",INPUT!P1077)</f>
        <v>67.5</v>
      </c>
      <c r="J1082" s="46">
        <f>IF(INPUT!Q1077="","",INPUT!Q1077)</f>
        <v>66.599999999999994</v>
      </c>
      <c r="K1082" s="46">
        <f>IFERROR(IF(OR(INPUT!P1077="",INPUT!Q1077=""),"",INPUT!P1077-INPUT!Q1077),"")</f>
        <v>0.90000000000000568</v>
      </c>
      <c r="L1082" s="48">
        <f>IFERROR(IF(OR(INPUT!P1077="",INPUT!Q1077="",INPUT!P1077=0),"",(INPUT!P1077-INPUT!Q1077)/INPUT!P1077),"")</f>
        <v>1.3333333333333417E-2</v>
      </c>
    </row>
    <row r="1083" spans="1:12" ht="18" hidden="1" customHeight="1" x14ac:dyDescent="0.2">
      <c r="A1083" s="11">
        <f>IF(INPUT!M1078="","",INPUT!M1078)</f>
        <v>45961</v>
      </c>
      <c r="B1083" s="11">
        <f>IF(INPUT!M1078="","",INPUT!M1078-WEEKDAY(INPUT!M1078,2)+1)</f>
        <v>45957</v>
      </c>
      <c r="C1083" s="20">
        <f>IFERROR(_xlfn.ISOWEEKNUM(INPUT!M1078),"")</f>
        <v>44</v>
      </c>
      <c r="D1083" s="20">
        <f>IFERROR(YEAR(INPUT!M1078),"")</f>
        <v>2025</v>
      </c>
      <c r="E1083" t="str">
        <f>IF(INPUT!O1078="","",INPUT!O1078)</f>
        <v>CHAGUINHA</v>
      </c>
      <c r="F1083" t="str">
        <f>IF(INPUT!N1078="","",INPUT!N1078)</f>
        <v>M</v>
      </c>
      <c r="G1083" t="str" cm="1">
        <f t="array" ref="G1083">IFERROR(VLOOKUP(INPUT!M1078&amp;INPUT!N1078,CHOOSE({1,2},INPUT!$A$3:$A$5000&amp;INPUT!$C$3:$C$5000,INPUT!$F$3:$F$5000),2,FALSE),"")</f>
        <v>PRE-TEMPORADA</v>
      </c>
      <c r="H1083" t="str" cm="1">
        <f t="array" ref="H1083">IFERROR(VLOOKUP(INPUT!M1078&amp;INPUT!N1078,CHOOSE({1,2},INPUT!$A$3:$A$5000&amp;INPUT!$C$3:$C$5000,INPUT!$D$3:$D$5000),2,FALSE),"")</f>
        <v>GYM+TEC-TAC</v>
      </c>
      <c r="I1083" s="46">
        <f>IF(INPUT!P1078="","",INPUT!P1078)</f>
        <v>69</v>
      </c>
      <c r="J1083" s="46">
        <f>IF(INPUT!Q1078="","",INPUT!Q1078)</f>
        <v>68.7</v>
      </c>
      <c r="K1083" s="46">
        <f>IFERROR(IF(OR(INPUT!P1078="",INPUT!Q1078=""),"",INPUT!P1078-INPUT!Q1078),"")</f>
        <v>0.29999999999999716</v>
      </c>
      <c r="L1083" s="48">
        <f>IFERROR(IF(OR(INPUT!P1078="",INPUT!Q1078="",INPUT!P1078=0),"",(INPUT!P1078-INPUT!Q1078)/INPUT!P1078),"")</f>
        <v>4.3478260869564802E-3</v>
      </c>
    </row>
    <row r="1084" spans="1:12" ht="18" hidden="1" customHeight="1" x14ac:dyDescent="0.2">
      <c r="A1084" s="11">
        <f>IF(INPUT!M1079="","",INPUT!M1079)</f>
        <v>45961</v>
      </c>
      <c r="B1084" s="11">
        <f>IF(INPUT!M1079="","",INPUT!M1079-WEEKDAY(INPUT!M1079,2)+1)</f>
        <v>45957</v>
      </c>
      <c r="C1084" s="20">
        <f>IFERROR(_xlfn.ISOWEEKNUM(INPUT!M1079),"")</f>
        <v>44</v>
      </c>
      <c r="D1084" s="20">
        <f>IFERROR(YEAR(INPUT!M1079),"")</f>
        <v>2025</v>
      </c>
      <c r="E1084" t="str">
        <f>IF(INPUT!O1079="","",INPUT!O1079)</f>
        <v>RAUL</v>
      </c>
      <c r="F1084" t="str">
        <f>IF(INPUT!N1079="","",INPUT!N1079)</f>
        <v>M</v>
      </c>
      <c r="G1084" t="str" cm="1">
        <f t="array" ref="G1084">IFERROR(VLOOKUP(INPUT!M1079&amp;INPUT!N1079,CHOOSE({1,2},INPUT!$A$3:$A$5000&amp;INPUT!$C$3:$C$5000,INPUT!$F$3:$F$5000),2,FALSE),"")</f>
        <v>PRE-TEMPORADA</v>
      </c>
      <c r="H1084" t="str" cm="1">
        <f t="array" ref="H1084">IFERROR(VLOOKUP(INPUT!M1079&amp;INPUT!N1079,CHOOSE({1,2},INPUT!$A$3:$A$5000&amp;INPUT!$C$3:$C$5000,INPUT!$D$3:$D$5000),2,FALSE),"")</f>
        <v>GYM+TEC-TAC</v>
      </c>
      <c r="I1084" s="46">
        <f>IF(INPUT!P1079="","",INPUT!P1079)</f>
        <v>80.8</v>
      </c>
      <c r="J1084" s="46">
        <f>IF(INPUT!Q1079="","",INPUT!Q1079)</f>
        <v>81.2</v>
      </c>
      <c r="K1084" s="46">
        <f>IFERROR(IF(OR(INPUT!P1079="",INPUT!Q1079=""),"",INPUT!P1079-INPUT!Q1079),"")</f>
        <v>-0.40000000000000568</v>
      </c>
      <c r="L1084" s="48">
        <f>IFERROR(IF(OR(INPUT!P1079="",INPUT!Q1079="",INPUT!P1079=0),"",(INPUT!P1079-INPUT!Q1079)/INPUT!P1079),"")</f>
        <v>-4.9504950495050208E-3</v>
      </c>
    </row>
    <row r="1085" spans="1:12" ht="18" hidden="1" customHeight="1" x14ac:dyDescent="0.2">
      <c r="A1085" s="11">
        <f>IF(INPUT!M1080="","",INPUT!M1080)</f>
        <v>45961</v>
      </c>
      <c r="B1085" s="11">
        <f>IF(INPUT!M1080="","",INPUT!M1080-WEEKDAY(INPUT!M1080,2)+1)</f>
        <v>45957</v>
      </c>
      <c r="C1085" s="20">
        <f>IFERROR(_xlfn.ISOWEEKNUM(INPUT!M1080),"")</f>
        <v>44</v>
      </c>
      <c r="D1085" s="20">
        <f>IFERROR(YEAR(INPUT!M1080),"")</f>
        <v>2025</v>
      </c>
      <c r="E1085" t="str">
        <f>IF(INPUT!O1080="","",INPUT!O1080)</f>
        <v>HARRISON</v>
      </c>
      <c r="F1085" t="str">
        <f>IF(INPUT!N1080="","",INPUT!N1080)</f>
        <v>M</v>
      </c>
      <c r="G1085" t="str" cm="1">
        <f t="array" ref="G1085">IFERROR(VLOOKUP(INPUT!M1080&amp;INPUT!N1080,CHOOSE({1,2},INPUT!$A$3:$A$5000&amp;INPUT!$C$3:$C$5000,INPUT!$F$3:$F$5000),2,FALSE),"")</f>
        <v>PRE-TEMPORADA</v>
      </c>
      <c r="H1085" t="str" cm="1">
        <f t="array" ref="H1085">IFERROR(VLOOKUP(INPUT!M1080&amp;INPUT!N1080,CHOOSE({1,2},INPUT!$A$3:$A$5000&amp;INPUT!$C$3:$C$5000,INPUT!$D$3:$D$5000),2,FALSE),"")</f>
        <v>GYM+TEC-TAC</v>
      </c>
      <c r="I1085" s="46">
        <f>IF(INPUT!P1080="","",INPUT!P1080)</f>
        <v>72</v>
      </c>
      <c r="J1085" s="46">
        <f>IF(INPUT!Q1080="","",INPUT!Q1080)</f>
        <v>71.7</v>
      </c>
      <c r="K1085" s="46">
        <f>IFERROR(IF(OR(INPUT!P1080="",INPUT!Q1080=""),"",INPUT!P1080-INPUT!Q1080),"")</f>
        <v>0.29999999999999716</v>
      </c>
      <c r="L1085" s="48">
        <f>IFERROR(IF(OR(INPUT!P1080="",INPUT!Q1080="",INPUT!P1080=0),"",(INPUT!P1080-INPUT!Q1080)/INPUT!P1080),"")</f>
        <v>4.1666666666666276E-3</v>
      </c>
    </row>
    <row r="1086" spans="1:12" ht="18" hidden="1" customHeight="1" x14ac:dyDescent="0.2">
      <c r="A1086" s="11">
        <f>IF(INPUT!M1081="","",INPUT!M1081)</f>
        <v>45961</v>
      </c>
      <c r="B1086" s="11">
        <f>IF(INPUT!M1081="","",INPUT!M1081-WEEKDAY(INPUT!M1081,2)+1)</f>
        <v>45957</v>
      </c>
      <c r="C1086" s="20">
        <f>IFERROR(_xlfn.ISOWEEKNUM(INPUT!M1081),"")</f>
        <v>44</v>
      </c>
      <c r="D1086" s="20">
        <f>IFERROR(YEAR(INPUT!M1081),"")</f>
        <v>2025</v>
      </c>
      <c r="E1086" t="str">
        <f>IF(INPUT!O1081="","",INPUT!O1081)</f>
        <v>RAYA</v>
      </c>
      <c r="F1086" t="str">
        <f>IF(INPUT!N1081="","",INPUT!N1081)</f>
        <v>M</v>
      </c>
      <c r="G1086" t="str" cm="1">
        <f t="array" ref="G1086">IFERROR(VLOOKUP(INPUT!M1081&amp;INPUT!N1081,CHOOSE({1,2},INPUT!$A$3:$A$5000&amp;INPUT!$C$3:$C$5000,INPUT!$F$3:$F$5000),2,FALSE),"")</f>
        <v>PRE-TEMPORADA</v>
      </c>
      <c r="H1086" t="str" cm="1">
        <f t="array" ref="H1086">IFERROR(VLOOKUP(INPUT!M1081&amp;INPUT!N1081,CHOOSE({1,2},INPUT!$A$3:$A$5000&amp;INPUT!$C$3:$C$5000,INPUT!$D$3:$D$5000),2,FALSE),"")</f>
        <v>GYM+TEC-TAC</v>
      </c>
      <c r="I1086" s="46">
        <f>IF(INPUT!P1081="","",INPUT!P1081)</f>
        <v>82</v>
      </c>
      <c r="J1086" s="46">
        <f>IF(INPUT!Q1081="","",INPUT!Q1081)</f>
        <v>80.400000000000006</v>
      </c>
      <c r="K1086" s="46">
        <f>IFERROR(IF(OR(INPUT!P1081="",INPUT!Q1081=""),"",INPUT!P1081-INPUT!Q1081),"")</f>
        <v>1.5999999999999943</v>
      </c>
      <c r="L1086" s="48">
        <f>IFERROR(IF(OR(INPUT!P1081="",INPUT!Q1081="",INPUT!P1081=0),"",(INPUT!P1081-INPUT!Q1081)/INPUT!P1081),"")</f>
        <v>1.951219512195115E-2</v>
      </c>
    </row>
    <row r="1087" spans="1:12" ht="18" hidden="1" customHeight="1" x14ac:dyDescent="0.2">
      <c r="A1087" s="11">
        <f>IF(INPUT!M1082="","",INPUT!M1082)</f>
        <v>45961</v>
      </c>
      <c r="B1087" s="11">
        <f>IF(INPUT!M1082="","",INPUT!M1082-WEEKDAY(INPUT!M1082,2)+1)</f>
        <v>45957</v>
      </c>
      <c r="C1087" s="20">
        <f>IFERROR(_xlfn.ISOWEEKNUM(INPUT!M1082),"")</f>
        <v>44</v>
      </c>
      <c r="D1087" s="20">
        <f>IFERROR(YEAR(INPUT!M1082),"")</f>
        <v>2025</v>
      </c>
      <c r="E1087" t="str">
        <f>IF(INPUT!O1082="","",INPUT!O1082)</f>
        <v>JAVI</v>
      </c>
      <c r="F1087" t="str">
        <f>IF(INPUT!N1082="","",INPUT!N1082)</f>
        <v>M</v>
      </c>
      <c r="G1087" t="str" cm="1">
        <f t="array" ref="G1087">IFERROR(VLOOKUP(INPUT!M1082&amp;INPUT!N1082,CHOOSE({1,2},INPUT!$A$3:$A$5000&amp;INPUT!$C$3:$C$5000,INPUT!$F$3:$F$5000),2,FALSE),"")</f>
        <v>PRE-TEMPORADA</v>
      </c>
      <c r="H1087" t="str" cm="1">
        <f t="array" ref="H1087">IFERROR(VLOOKUP(INPUT!M1082&amp;INPUT!N1082,CHOOSE({1,2},INPUT!$A$3:$A$5000&amp;INPUT!$C$3:$C$5000,INPUT!$D$3:$D$5000),2,FALSE),"")</f>
        <v>GYM+TEC-TAC</v>
      </c>
      <c r="I1087" s="46">
        <f>IF(INPUT!P1082="","",INPUT!P1082)</f>
        <v>79.099999999999994</v>
      </c>
      <c r="J1087" s="46">
        <f>IF(INPUT!Q1082="","",INPUT!Q1082)</f>
        <v>78.7</v>
      </c>
      <c r="K1087" s="46">
        <f>IFERROR(IF(OR(INPUT!P1082="",INPUT!Q1082=""),"",INPUT!P1082-INPUT!Q1082),"")</f>
        <v>0.39999999999999147</v>
      </c>
      <c r="L1087" s="48">
        <f>IFERROR(IF(OR(INPUT!P1082="",INPUT!Q1082="",INPUT!P1082=0),"",(INPUT!P1082-INPUT!Q1082)/INPUT!P1082),"")</f>
        <v>5.0568900126421179E-3</v>
      </c>
    </row>
    <row r="1088" spans="1:12" ht="18" hidden="1" customHeight="1" x14ac:dyDescent="0.2">
      <c r="A1088" s="11">
        <f>IF(INPUT!M1083="","",INPUT!M1083)</f>
        <v>45961</v>
      </c>
      <c r="B1088" s="11">
        <f>IF(INPUT!M1083="","",INPUT!M1083-WEEKDAY(INPUT!M1083,2)+1)</f>
        <v>45957</v>
      </c>
      <c r="C1088" s="20">
        <f>IFERROR(_xlfn.ISOWEEKNUM(INPUT!M1083),"")</f>
        <v>44</v>
      </c>
      <c r="D1088" s="20">
        <f>IFERROR(YEAR(INPUT!M1083),"")</f>
        <v>2025</v>
      </c>
      <c r="E1088" t="str">
        <f>IF(INPUT!O1083="","",INPUT!O1083)</f>
        <v>PANI</v>
      </c>
      <c r="F1088" t="str">
        <f>IF(INPUT!N1083="","",INPUT!N1083)</f>
        <v>M</v>
      </c>
      <c r="G1088" t="str" cm="1">
        <f t="array" ref="G1088">IFERROR(VLOOKUP(INPUT!M1083&amp;INPUT!N1083,CHOOSE({1,2},INPUT!$A$3:$A$5000&amp;INPUT!$C$3:$C$5000,INPUT!$F$3:$F$5000),2,FALSE),"")</f>
        <v>PRE-TEMPORADA</v>
      </c>
      <c r="H1088" t="str" cm="1">
        <f t="array" ref="H1088">IFERROR(VLOOKUP(INPUT!M1083&amp;INPUT!N1083,CHOOSE({1,2},INPUT!$A$3:$A$5000&amp;INPUT!$C$3:$C$5000,INPUT!$D$3:$D$5000),2,FALSE),"")</f>
        <v>GYM+TEC-TAC</v>
      </c>
      <c r="I1088" s="46">
        <f>IF(INPUT!P1083="","",INPUT!P1083)</f>
        <v>68.599999999999994</v>
      </c>
      <c r="J1088" s="46">
        <f>IF(INPUT!Q1083="","",INPUT!Q1083)</f>
        <v>68.8</v>
      </c>
      <c r="K1088" s="46">
        <f>IFERROR(IF(OR(INPUT!P1083="",INPUT!Q1083=""),"",INPUT!P1083-INPUT!Q1083),"")</f>
        <v>-0.20000000000000284</v>
      </c>
      <c r="L1088" s="48">
        <f>IFERROR(IF(OR(INPUT!P1083="",INPUT!Q1083="",INPUT!P1083=0),"",(INPUT!P1083-INPUT!Q1083)/INPUT!P1083),"")</f>
        <v>-2.9154518950437734E-3</v>
      </c>
    </row>
    <row r="1089" spans="1:12" ht="18" hidden="1" customHeight="1" x14ac:dyDescent="0.2">
      <c r="A1089" s="11">
        <f>IF(INPUT!M1084="","",INPUT!M1084)</f>
        <v>45961</v>
      </c>
      <c r="B1089" s="11">
        <f>IF(INPUT!M1084="","",INPUT!M1084-WEEKDAY(INPUT!M1084,2)+1)</f>
        <v>45957</v>
      </c>
      <c r="C1089" s="20">
        <f>IFERROR(_xlfn.ISOWEEKNUM(INPUT!M1084),"")</f>
        <v>44</v>
      </c>
      <c r="D1089" s="20">
        <f>IFERROR(YEAR(INPUT!M1084),"")</f>
        <v>2025</v>
      </c>
      <c r="E1089" t="str">
        <f>IF(INPUT!O1084="","",INPUT!O1084)</f>
        <v>PIRATA</v>
      </c>
      <c r="F1089" t="str">
        <f>IF(INPUT!N1084="","",INPUT!N1084)</f>
        <v>M</v>
      </c>
      <c r="G1089" t="str" cm="1">
        <f t="array" ref="G1089">IFERROR(VLOOKUP(INPUT!M1084&amp;INPUT!N1084,CHOOSE({1,2},INPUT!$A$3:$A$5000&amp;INPUT!$C$3:$C$5000,INPUT!$F$3:$F$5000),2,FALSE),"")</f>
        <v>PRE-TEMPORADA</v>
      </c>
      <c r="H1089" t="str" cm="1">
        <f t="array" ref="H1089">IFERROR(VLOOKUP(INPUT!M1084&amp;INPUT!N1084,CHOOSE({1,2},INPUT!$A$3:$A$5000&amp;INPUT!$C$3:$C$5000,INPUT!$D$3:$D$5000),2,FALSE),"")</f>
        <v>GYM+TEC-TAC</v>
      </c>
      <c r="I1089" s="46">
        <f>IF(INPUT!P1084="","",INPUT!P1084)</f>
        <v>75.3</v>
      </c>
      <c r="J1089" s="46">
        <f>IF(INPUT!Q1084="","",INPUT!Q1084)</f>
        <v>75.5</v>
      </c>
      <c r="K1089" s="46">
        <f>IFERROR(IF(OR(INPUT!P1084="",INPUT!Q1084=""),"",INPUT!P1084-INPUT!Q1084),"")</f>
        <v>-0.20000000000000284</v>
      </c>
      <c r="L1089" s="48">
        <f>IFERROR(IF(OR(INPUT!P1084="",INPUT!Q1084="",INPUT!P1084=0),"",(INPUT!P1084-INPUT!Q1084)/INPUT!P1084),"")</f>
        <v>-2.6560424966799849E-3</v>
      </c>
    </row>
    <row r="1090" spans="1:12" ht="18" hidden="1" customHeight="1" x14ac:dyDescent="0.2">
      <c r="A1090" s="11">
        <f>IF(INPUT!M1085="","",INPUT!M1085)</f>
        <v>45961</v>
      </c>
      <c r="B1090" s="11">
        <f>IF(INPUT!M1085="","",INPUT!M1085-WEEKDAY(INPUT!M1085,2)+1)</f>
        <v>45957</v>
      </c>
      <c r="C1090" s="20">
        <f>IFERROR(_xlfn.ISOWEEKNUM(INPUT!M1085),"")</f>
        <v>44</v>
      </c>
      <c r="D1090" s="20">
        <f>IFERROR(YEAR(INPUT!M1085),"")</f>
        <v>2025</v>
      </c>
      <c r="E1090" t="str">
        <f>IF(INPUT!O1085="","",INPUT!O1085)</f>
        <v>BARONA</v>
      </c>
      <c r="F1090" t="str">
        <f>IF(INPUT!N1085="","",INPUT!N1085)</f>
        <v>M</v>
      </c>
      <c r="G1090" t="str" cm="1">
        <f t="array" ref="G1090">IFERROR(VLOOKUP(INPUT!M1085&amp;INPUT!N1085,CHOOSE({1,2},INPUT!$A$3:$A$5000&amp;INPUT!$C$3:$C$5000,INPUT!$F$3:$F$5000),2,FALSE),"")</f>
        <v>PRE-TEMPORADA</v>
      </c>
      <c r="H1090" t="str" cm="1">
        <f t="array" ref="H1090">IFERROR(VLOOKUP(INPUT!M1085&amp;INPUT!N1085,CHOOSE({1,2},INPUT!$A$3:$A$5000&amp;INPUT!$C$3:$C$5000,INPUT!$D$3:$D$5000),2,FALSE),"")</f>
        <v>GYM+TEC-TAC</v>
      </c>
      <c r="I1090" s="46">
        <f>IF(INPUT!P1085="","",INPUT!P1085)</f>
        <v>71.900000000000006</v>
      </c>
      <c r="J1090" s="46">
        <f>IF(INPUT!Q1085="","",INPUT!Q1085)</f>
        <v>71.3</v>
      </c>
      <c r="K1090" s="46">
        <f>IFERROR(IF(OR(INPUT!P1085="",INPUT!Q1085=""),"",INPUT!P1085-INPUT!Q1085),"")</f>
        <v>0.60000000000000853</v>
      </c>
      <c r="L1090" s="48">
        <f>IFERROR(IF(OR(INPUT!P1085="",INPUT!Q1085="",INPUT!P1085=0),"",(INPUT!P1085-INPUT!Q1085)/INPUT!P1085),"")</f>
        <v>8.34492350486799E-3</v>
      </c>
    </row>
    <row r="1091" spans="1:12" ht="18" hidden="1" customHeight="1" x14ac:dyDescent="0.2">
      <c r="A1091" s="11">
        <f>IF(INPUT!M1086="","",INPUT!M1086)</f>
        <v>45961</v>
      </c>
      <c r="B1091" s="11">
        <f>IF(INPUT!M1086="","",INPUT!M1086-WEEKDAY(INPUT!M1086,2)+1)</f>
        <v>45957</v>
      </c>
      <c r="C1091" s="20">
        <f>IFERROR(_xlfn.ISOWEEKNUM(INPUT!M1086),"")</f>
        <v>44</v>
      </c>
      <c r="D1091" s="20">
        <f>IFERROR(YEAR(INPUT!M1086),"")</f>
        <v>2025</v>
      </c>
      <c r="E1091" t="str">
        <f>IF(INPUT!O1086="","",INPUT!O1086)</f>
        <v>CARLOS</v>
      </c>
      <c r="F1091" t="str">
        <f>IF(INPUT!N1086="","",INPUT!N1086)</f>
        <v>M</v>
      </c>
      <c r="G1091" t="str" cm="1">
        <f t="array" ref="G1091">IFERROR(VLOOKUP(INPUT!M1086&amp;INPUT!N1086,CHOOSE({1,2},INPUT!$A$3:$A$5000&amp;INPUT!$C$3:$C$5000,INPUT!$F$3:$F$5000),2,FALSE),"")</f>
        <v>PRE-TEMPORADA</v>
      </c>
      <c r="H1091" t="str" cm="1">
        <f t="array" ref="H1091">IFERROR(VLOOKUP(INPUT!M1086&amp;INPUT!N1086,CHOOSE({1,2},INPUT!$A$3:$A$5000&amp;INPUT!$C$3:$C$5000,INPUT!$D$3:$D$5000),2,FALSE),"")</f>
        <v>GYM+TEC-TAC</v>
      </c>
      <c r="I1091" s="46">
        <f>IF(INPUT!P1086="","",INPUT!P1086)</f>
        <v>66.5</v>
      </c>
      <c r="J1091" s="46">
        <f>IF(INPUT!Q1086="","",INPUT!Q1086)</f>
        <v>65.8</v>
      </c>
      <c r="K1091" s="46">
        <f>IFERROR(IF(OR(INPUT!P1086="",INPUT!Q1086=""),"",INPUT!P1086-INPUT!Q1086),"")</f>
        <v>0.70000000000000284</v>
      </c>
      <c r="L1091" s="48">
        <f>IFERROR(IF(OR(INPUT!P1086="",INPUT!Q1086="",INPUT!P1086=0),"",(INPUT!P1086-INPUT!Q1086)/INPUT!P1086),"")</f>
        <v>1.0526315789473727E-2</v>
      </c>
    </row>
    <row r="1092" spans="1:12" ht="18" hidden="1" customHeight="1" x14ac:dyDescent="0.2">
      <c r="A1092" s="11">
        <f>IF(INPUT!M1087="","",INPUT!M1087)</f>
        <v>45961</v>
      </c>
      <c r="B1092" s="11">
        <f>IF(INPUT!M1087="","",INPUT!M1087-WEEKDAY(INPUT!M1087,2)+1)</f>
        <v>45957</v>
      </c>
      <c r="C1092" s="20">
        <f>IFERROR(_xlfn.ISOWEEKNUM(INPUT!M1087),"")</f>
        <v>44</v>
      </c>
      <c r="D1092" s="20">
        <f>IFERROR(YEAR(INPUT!M1087),"")</f>
        <v>2025</v>
      </c>
      <c r="E1092" t="str">
        <f>IF(INPUT!O1087="","",INPUT!O1087)</f>
        <v>SEGO</v>
      </c>
      <c r="F1092" t="str">
        <f>IF(INPUT!N1087="","",INPUT!N1087)</f>
        <v>M</v>
      </c>
      <c r="G1092" t="str" cm="1">
        <f t="array" ref="G1092">IFERROR(VLOOKUP(INPUT!M1087&amp;INPUT!N1087,CHOOSE({1,2},INPUT!$A$3:$A$5000&amp;INPUT!$C$3:$C$5000,INPUT!$F$3:$F$5000),2,FALSE),"")</f>
        <v>PRE-TEMPORADA</v>
      </c>
      <c r="H1092" t="str" cm="1">
        <f t="array" ref="H1092">IFERROR(VLOOKUP(INPUT!M1087&amp;INPUT!N1087,CHOOSE({1,2},INPUT!$A$3:$A$5000&amp;INPUT!$C$3:$C$5000,INPUT!$D$3:$D$5000),2,FALSE),"")</f>
        <v>GYM+TEC-TAC</v>
      </c>
      <c r="I1092" s="46">
        <f>IF(INPUT!P1087="","",INPUT!P1087)</f>
        <v>74.8</v>
      </c>
      <c r="J1092" s="46">
        <f>IF(INPUT!Q1087="","",INPUT!Q1087)</f>
        <v>73.599999999999994</v>
      </c>
      <c r="K1092" s="46">
        <f>IFERROR(IF(OR(INPUT!P1087="",INPUT!Q1087=""),"",INPUT!P1087-INPUT!Q1087),"")</f>
        <v>1.2000000000000028</v>
      </c>
      <c r="L1092" s="48">
        <f>IFERROR(IF(OR(INPUT!P1087="",INPUT!Q1087="",INPUT!P1087=0),"",(INPUT!P1087-INPUT!Q1087)/INPUT!P1087),"")</f>
        <v>1.6042780748663141E-2</v>
      </c>
    </row>
    <row r="1093" spans="1:12" ht="18" hidden="1" customHeight="1" x14ac:dyDescent="0.2">
      <c r="A1093" s="11">
        <f>IF(INPUT!M1088="","",INPUT!M1088)</f>
        <v>45961</v>
      </c>
      <c r="B1093" s="11">
        <f>IF(INPUT!M1088="","",INPUT!M1088-WEEKDAY(INPUT!M1088,2)+1)</f>
        <v>45957</v>
      </c>
      <c r="C1093" s="20">
        <f>IFERROR(_xlfn.ISOWEEKNUM(INPUT!M1088),"")</f>
        <v>44</v>
      </c>
      <c r="D1093" s="20">
        <f>IFERROR(YEAR(INPUT!M1088),"")</f>
        <v>2025</v>
      </c>
      <c r="E1093" t="str">
        <f>IF(INPUT!O1088="","",INPUT!O1088)</f>
        <v>RUBIO</v>
      </c>
      <c r="F1093" t="str">
        <f>IF(INPUT!N1088="","",INPUT!N1088)</f>
        <v>M</v>
      </c>
      <c r="G1093" t="str" cm="1">
        <f t="array" ref="G1093">IFERROR(VLOOKUP(INPUT!M1088&amp;INPUT!N1088,CHOOSE({1,2},INPUT!$A$3:$A$5000&amp;INPUT!$C$3:$C$5000,INPUT!$F$3:$F$5000),2,FALSE),"")</f>
        <v>PRE-TEMPORADA</v>
      </c>
      <c r="H1093" t="str" cm="1">
        <f t="array" ref="H1093">IFERROR(VLOOKUP(INPUT!M1088&amp;INPUT!N1088,CHOOSE({1,2},INPUT!$A$3:$A$5000&amp;INPUT!$C$3:$C$5000,INPUT!$D$3:$D$5000),2,FALSE),"")</f>
        <v>GYM+TEC-TAC</v>
      </c>
      <c r="I1093" s="46">
        <f>IF(INPUT!P1088="","",INPUT!P1088)</f>
        <v>75</v>
      </c>
      <c r="J1093" s="46">
        <f>IF(INPUT!Q1088="","",INPUT!Q1088)</f>
        <v>75</v>
      </c>
      <c r="K1093" s="46">
        <f>IFERROR(IF(OR(INPUT!P1088="",INPUT!Q1088=""),"",INPUT!P1088-INPUT!Q1088),"")</f>
        <v>0</v>
      </c>
      <c r="L1093" s="48">
        <f>IFERROR(IF(OR(INPUT!P1088="",INPUT!Q1088="",INPUT!P1088=0),"",(INPUT!P1088-INPUT!Q1088)/INPUT!P1088),"")</f>
        <v>0</v>
      </c>
    </row>
    <row r="1094" spans="1:12" ht="18" customHeight="1" x14ac:dyDescent="0.2">
      <c r="A1094" s="11">
        <f>IF(INPUT!M1089="","",INPUT!M1089)</f>
        <v>45961</v>
      </c>
      <c r="B1094" s="11">
        <f>IF(INPUT!M1089="","",INPUT!M1089-WEEKDAY(INPUT!M1089,2)+1)</f>
        <v>45957</v>
      </c>
      <c r="C1094" s="20">
        <f>IFERROR(_xlfn.ISOWEEKNUM(INPUT!M1089),"")</f>
        <v>44</v>
      </c>
      <c r="D1094" s="20">
        <f>IFERROR(YEAR(INPUT!M1089),"")</f>
        <v>2025</v>
      </c>
      <c r="E1094" t="str">
        <f>IF(INPUT!O1089="","",INPUT!O1089)</f>
        <v>DANI</v>
      </c>
      <c r="F1094" t="str">
        <f>IF(INPUT!N1089="","",INPUT!N1089)</f>
        <v>M</v>
      </c>
      <c r="G1094" t="str" cm="1">
        <f t="array" ref="G1094">IFERROR(VLOOKUP(INPUT!M1089&amp;INPUT!N1089,CHOOSE({1,2},INPUT!$A$3:$A$5000&amp;INPUT!$C$3:$C$5000,INPUT!$F$3:$F$5000),2,FALSE),"")</f>
        <v>PRE-TEMPORADA</v>
      </c>
      <c r="H1094" t="str" cm="1">
        <f t="array" ref="H1094">IFERROR(VLOOKUP(INPUT!M1089&amp;INPUT!N1089,CHOOSE({1,2},INPUT!$A$3:$A$5000&amp;INPUT!$C$3:$C$5000,INPUT!$D$3:$D$5000),2,FALSE),"")</f>
        <v>GYM+TEC-TAC</v>
      </c>
      <c r="I1094" s="46">
        <f>IF(INPUT!P1089="","",INPUT!P1089)</f>
        <v>94</v>
      </c>
      <c r="J1094" s="46">
        <f>IF(INPUT!Q1089="","",INPUT!Q1089)</f>
        <v>93</v>
      </c>
      <c r="K1094" s="46">
        <f>IFERROR(IF(OR(INPUT!P1089="",INPUT!Q1089=""),"",INPUT!P1089-INPUT!Q1089),"")</f>
        <v>1</v>
      </c>
      <c r="L1094" s="48">
        <f>IFERROR(IF(OR(INPUT!P1089="",INPUT!Q1089="",INPUT!P1089=0),"",(INPUT!P1089-INPUT!Q1089)/INPUT!P1089),"")</f>
        <v>1.0638297872340425E-2</v>
      </c>
    </row>
    <row r="1095" spans="1:12" ht="18" hidden="1" customHeight="1" x14ac:dyDescent="0.2">
      <c r="A1095" s="11">
        <f>IF(INPUT!M1090="","",INPUT!M1090)</f>
        <v>45964</v>
      </c>
      <c r="B1095" s="11">
        <f>IF(INPUT!M1090="","",INPUT!M1090-WEEKDAY(INPUT!M1090,2)+1)</f>
        <v>45964</v>
      </c>
      <c r="C1095" s="20">
        <f>IFERROR(_xlfn.ISOWEEKNUM(INPUT!M1090),"")</f>
        <v>45</v>
      </c>
      <c r="D1095" s="20">
        <f>IFERROR(YEAR(INPUT!M1090),"")</f>
        <v>2025</v>
      </c>
      <c r="E1095" t="str">
        <f>IF(INPUT!O1090="","",INPUT!O1090)</f>
        <v>HERRERO</v>
      </c>
      <c r="F1095" t="str">
        <f>IF(INPUT!N1090="","",INPUT!N1090)</f>
        <v>M</v>
      </c>
      <c r="G1095" t="str" cm="1">
        <f t="array" ref="G1095">IFERROR(VLOOKUP(INPUT!M1090&amp;INPUT!N1090,CHOOSE({1,2},INPUT!$A$3:$A$5000&amp;INPUT!$C$3:$C$5000,INPUT!$F$3:$F$5000),2,FALSE),"")</f>
        <v>PRE-TEMPORADA</v>
      </c>
      <c r="H1095" t="str" cm="1">
        <f t="array" ref="H1095">IFERROR(VLOOKUP(INPUT!M1090&amp;INPUT!N1090,CHOOSE({1,2},INPUT!$A$3:$A$5000&amp;INPUT!$C$3:$C$5000,INPUT!$D$3:$D$5000),2,FALSE),"")</f>
        <v>TEC-TAC</v>
      </c>
      <c r="I1095" s="46">
        <f>IF(INPUT!P1090="","",INPUT!P1090)</f>
        <v>77</v>
      </c>
      <c r="J1095" s="46">
        <f>IF(INPUT!Q1090="","",INPUT!Q1090)</f>
        <v>76.099999999999994</v>
      </c>
      <c r="K1095" s="46">
        <f>IFERROR(IF(OR(INPUT!P1090="",INPUT!Q1090=""),"",INPUT!P1090-INPUT!Q1090),"")</f>
        <v>0.90000000000000568</v>
      </c>
      <c r="L1095" s="48">
        <f>IFERROR(IF(OR(INPUT!P1090="",INPUT!Q1090="",INPUT!P1090=0),"",(INPUT!P1090-INPUT!Q1090)/INPUT!P1090),"")</f>
        <v>1.1688311688311762E-2</v>
      </c>
    </row>
    <row r="1096" spans="1:12" ht="18" hidden="1" customHeight="1" x14ac:dyDescent="0.2">
      <c r="A1096" s="11">
        <f>IF(INPUT!M1091="","",INPUT!M1091)</f>
        <v>45964</v>
      </c>
      <c r="B1096" s="11">
        <f>IF(INPUT!M1091="","",INPUT!M1091-WEEKDAY(INPUT!M1091,2)+1)</f>
        <v>45964</v>
      </c>
      <c r="C1096" s="20">
        <f>IFERROR(_xlfn.ISOWEEKNUM(INPUT!M1091),"")</f>
        <v>45</v>
      </c>
      <c r="D1096" s="20">
        <f>IFERROR(YEAR(INPUT!M1091),"")</f>
        <v>2025</v>
      </c>
      <c r="E1096" t="str">
        <f>IF(INPUT!O1091="","",INPUT!O1091)</f>
        <v>GARCIA</v>
      </c>
      <c r="F1096" t="str">
        <f>IF(INPUT!N1091="","",INPUT!N1091)</f>
        <v>M</v>
      </c>
      <c r="G1096" t="str" cm="1">
        <f t="array" ref="G1096">IFERROR(VLOOKUP(INPUT!M1091&amp;INPUT!N1091,CHOOSE({1,2},INPUT!$A$3:$A$5000&amp;INPUT!$C$3:$C$5000,INPUT!$F$3:$F$5000),2,FALSE),"")</f>
        <v>PRE-TEMPORADA</v>
      </c>
      <c r="H1096" t="str" cm="1">
        <f t="array" ref="H1096">IFERROR(VLOOKUP(INPUT!M1091&amp;INPUT!N1091,CHOOSE({1,2},INPUT!$A$3:$A$5000&amp;INPUT!$C$3:$C$5000,INPUT!$D$3:$D$5000),2,FALSE),"")</f>
        <v>TEC-TAC</v>
      </c>
      <c r="I1096" s="46">
        <f>IF(INPUT!P1091="","",INPUT!P1091)</f>
        <v>79.8</v>
      </c>
      <c r="J1096" s="46">
        <f>IF(INPUT!Q1091="","",INPUT!Q1091)</f>
        <v>79.599999999999994</v>
      </c>
      <c r="K1096" s="46">
        <f>IFERROR(IF(OR(INPUT!P1091="",INPUT!Q1091=""),"",INPUT!P1091-INPUT!Q1091),"")</f>
        <v>0.20000000000000284</v>
      </c>
      <c r="L1096" s="48">
        <f>IFERROR(IF(OR(INPUT!P1091="",INPUT!Q1091="",INPUT!P1091=0),"",(INPUT!P1091-INPUT!Q1091)/INPUT!P1091),"")</f>
        <v>2.5062656641604369E-3</v>
      </c>
    </row>
    <row r="1097" spans="1:12" ht="18" hidden="1" customHeight="1" x14ac:dyDescent="0.2">
      <c r="A1097" s="11">
        <f>IF(INPUT!M1092="","",INPUT!M1092)</f>
        <v>45964</v>
      </c>
      <c r="B1097" s="11">
        <f>IF(INPUT!M1092="","",INPUT!M1092-WEEKDAY(INPUT!M1092,2)+1)</f>
        <v>45964</v>
      </c>
      <c r="C1097" s="20">
        <f>IFERROR(_xlfn.ISOWEEKNUM(INPUT!M1092),"")</f>
        <v>45</v>
      </c>
      <c r="D1097" s="20">
        <f>IFERROR(YEAR(INPUT!M1092),"")</f>
        <v>2025</v>
      </c>
      <c r="E1097" t="str">
        <f>IF(INPUT!O1092="","",INPUT!O1092)</f>
        <v>CECILIO</v>
      </c>
      <c r="F1097" t="str">
        <f>IF(INPUT!N1092="","",INPUT!N1092)</f>
        <v>M</v>
      </c>
      <c r="G1097" t="str" cm="1">
        <f t="array" ref="G1097">IFERROR(VLOOKUP(INPUT!M1092&amp;INPUT!N1092,CHOOSE({1,2},INPUT!$A$3:$A$5000&amp;INPUT!$C$3:$C$5000,INPUT!$F$3:$F$5000),2,FALSE),"")</f>
        <v>PRE-TEMPORADA</v>
      </c>
      <c r="H1097" t="str" cm="1">
        <f t="array" ref="H1097">IFERROR(VLOOKUP(INPUT!M1092&amp;INPUT!N1092,CHOOSE({1,2},INPUT!$A$3:$A$5000&amp;INPUT!$C$3:$C$5000,INPUT!$D$3:$D$5000),2,FALSE),"")</f>
        <v>TEC-TAC</v>
      </c>
      <c r="I1097" s="46">
        <f>IF(INPUT!P1092="","",INPUT!P1092)</f>
        <v>67.5</v>
      </c>
      <c r="J1097" s="46">
        <f>IF(INPUT!Q1092="","",INPUT!Q1092)</f>
        <v>67.099999999999994</v>
      </c>
      <c r="K1097" s="46">
        <f>IFERROR(IF(OR(INPUT!P1092="",INPUT!Q1092=""),"",INPUT!P1092-INPUT!Q1092),"")</f>
        <v>0.40000000000000568</v>
      </c>
      <c r="L1097" s="48">
        <f>IFERROR(IF(OR(INPUT!P1092="",INPUT!Q1092="",INPUT!P1092=0),"",(INPUT!P1092-INPUT!Q1092)/INPUT!P1092),"")</f>
        <v>5.9259259259260098E-3</v>
      </c>
    </row>
    <row r="1098" spans="1:12" ht="18" hidden="1" customHeight="1" x14ac:dyDescent="0.2">
      <c r="A1098" s="11">
        <f>IF(INPUT!M1093="","",INPUT!M1093)</f>
        <v>45964</v>
      </c>
      <c r="B1098" s="11">
        <f>IF(INPUT!M1093="","",INPUT!M1093-WEEKDAY(INPUT!M1093,2)+1)</f>
        <v>45964</v>
      </c>
      <c r="C1098" s="20">
        <f>IFERROR(_xlfn.ISOWEEKNUM(INPUT!M1093),"")</f>
        <v>45</v>
      </c>
      <c r="D1098" s="20">
        <f>IFERROR(YEAR(INPUT!M1093),"")</f>
        <v>2025</v>
      </c>
      <c r="E1098" t="str">
        <f>IF(INPUT!O1093="","",INPUT!O1093)</f>
        <v>CHAGUINHA</v>
      </c>
      <c r="F1098" t="str">
        <f>IF(INPUT!N1093="","",INPUT!N1093)</f>
        <v>M</v>
      </c>
      <c r="G1098" t="str" cm="1">
        <f t="array" ref="G1098">IFERROR(VLOOKUP(INPUT!M1093&amp;INPUT!N1093,CHOOSE({1,2},INPUT!$A$3:$A$5000&amp;INPUT!$C$3:$C$5000,INPUT!$F$3:$F$5000),2,FALSE),"")</f>
        <v>PRE-TEMPORADA</v>
      </c>
      <c r="H1098" t="str" cm="1">
        <f t="array" ref="H1098">IFERROR(VLOOKUP(INPUT!M1093&amp;INPUT!N1093,CHOOSE({1,2},INPUT!$A$3:$A$5000&amp;INPUT!$C$3:$C$5000,INPUT!$D$3:$D$5000),2,FALSE),"")</f>
        <v>TEC-TAC</v>
      </c>
      <c r="I1098" s="46">
        <f>IF(INPUT!P1093="","",INPUT!P1093)</f>
        <v>69</v>
      </c>
      <c r="J1098" s="46">
        <f>IF(INPUT!Q1093="","",INPUT!Q1093)</f>
        <v>68.5</v>
      </c>
      <c r="K1098" s="46">
        <f>IFERROR(IF(OR(INPUT!P1093="",INPUT!Q1093=""),"",INPUT!P1093-INPUT!Q1093),"")</f>
        <v>0.5</v>
      </c>
      <c r="L1098" s="48">
        <f>IFERROR(IF(OR(INPUT!P1093="",INPUT!Q1093="",INPUT!P1093=0),"",(INPUT!P1093-INPUT!Q1093)/INPUT!P1093),"")</f>
        <v>7.246376811594203E-3</v>
      </c>
    </row>
    <row r="1099" spans="1:12" ht="18" hidden="1" customHeight="1" x14ac:dyDescent="0.2">
      <c r="A1099" s="11">
        <f>IF(INPUT!M1094="","",INPUT!M1094)</f>
        <v>45964</v>
      </c>
      <c r="B1099" s="11">
        <f>IF(INPUT!M1094="","",INPUT!M1094-WEEKDAY(INPUT!M1094,2)+1)</f>
        <v>45964</v>
      </c>
      <c r="C1099" s="20">
        <f>IFERROR(_xlfn.ISOWEEKNUM(INPUT!M1094),"")</f>
        <v>45</v>
      </c>
      <c r="D1099" s="20">
        <f>IFERROR(YEAR(INPUT!M1094),"")</f>
        <v>2025</v>
      </c>
      <c r="E1099" t="str">
        <f>IF(INPUT!O1094="","",INPUT!O1094)</f>
        <v>RAUL</v>
      </c>
      <c r="F1099" t="str">
        <f>IF(INPUT!N1094="","",INPUT!N1094)</f>
        <v>M</v>
      </c>
      <c r="G1099" t="str" cm="1">
        <f t="array" ref="G1099">IFERROR(VLOOKUP(INPUT!M1094&amp;INPUT!N1094,CHOOSE({1,2},INPUT!$A$3:$A$5000&amp;INPUT!$C$3:$C$5000,INPUT!$F$3:$F$5000),2,FALSE),"")</f>
        <v>PRE-TEMPORADA</v>
      </c>
      <c r="H1099" t="str" cm="1">
        <f t="array" ref="H1099">IFERROR(VLOOKUP(INPUT!M1094&amp;INPUT!N1094,CHOOSE({1,2},INPUT!$A$3:$A$5000&amp;INPUT!$C$3:$C$5000,INPUT!$D$3:$D$5000),2,FALSE),"")</f>
        <v>TEC-TAC</v>
      </c>
      <c r="I1099" s="46">
        <f>IF(INPUT!P1094="","",INPUT!P1094)</f>
        <v>80.3</v>
      </c>
      <c r="J1099" s="46">
        <f>IF(INPUT!Q1094="","",INPUT!Q1094)</f>
        <v>81</v>
      </c>
      <c r="K1099" s="46">
        <f>IFERROR(IF(OR(INPUT!P1094="",INPUT!Q1094=""),"",INPUT!P1094-INPUT!Q1094),"")</f>
        <v>-0.70000000000000284</v>
      </c>
      <c r="L1099" s="48">
        <f>IFERROR(IF(OR(INPUT!P1094="",INPUT!Q1094="",INPUT!P1094=0),"",(INPUT!P1094-INPUT!Q1094)/INPUT!P1094),"")</f>
        <v>-8.7173100871731357E-3</v>
      </c>
    </row>
    <row r="1100" spans="1:12" ht="18" hidden="1" customHeight="1" x14ac:dyDescent="0.2">
      <c r="A1100" s="11">
        <f>IF(INPUT!M1095="","",INPUT!M1095)</f>
        <v>45964</v>
      </c>
      <c r="B1100" s="11">
        <f>IF(INPUT!M1095="","",INPUT!M1095-WEEKDAY(INPUT!M1095,2)+1)</f>
        <v>45964</v>
      </c>
      <c r="C1100" s="20">
        <f>IFERROR(_xlfn.ISOWEEKNUM(INPUT!M1095),"")</f>
        <v>45</v>
      </c>
      <c r="D1100" s="20">
        <f>IFERROR(YEAR(INPUT!M1095),"")</f>
        <v>2025</v>
      </c>
      <c r="E1100" t="str">
        <f>IF(INPUT!O1095="","",INPUT!O1095)</f>
        <v>HARRISON</v>
      </c>
      <c r="F1100" t="str">
        <f>IF(INPUT!N1095="","",INPUT!N1095)</f>
        <v>M</v>
      </c>
      <c r="G1100" t="str" cm="1">
        <f t="array" ref="G1100">IFERROR(VLOOKUP(INPUT!M1095&amp;INPUT!N1095,CHOOSE({1,2},INPUT!$A$3:$A$5000&amp;INPUT!$C$3:$C$5000,INPUT!$F$3:$F$5000),2,FALSE),"")</f>
        <v>PRE-TEMPORADA</v>
      </c>
      <c r="H1100" t="str" cm="1">
        <f t="array" ref="H1100">IFERROR(VLOOKUP(INPUT!M1095&amp;INPUT!N1095,CHOOSE({1,2},INPUT!$A$3:$A$5000&amp;INPUT!$C$3:$C$5000,INPUT!$D$3:$D$5000),2,FALSE),"")</f>
        <v>TEC-TAC</v>
      </c>
      <c r="I1100" s="46">
        <f>IF(INPUT!P1095="","",INPUT!P1095)</f>
        <v>71.7</v>
      </c>
      <c r="J1100" s="46">
        <f>IF(INPUT!Q1095="","",INPUT!Q1095)</f>
        <v>71</v>
      </c>
      <c r="K1100" s="46">
        <f>IFERROR(IF(OR(INPUT!P1095="",INPUT!Q1095=""),"",INPUT!P1095-INPUT!Q1095),"")</f>
        <v>0.70000000000000284</v>
      </c>
      <c r="L1100" s="48">
        <f>IFERROR(IF(OR(INPUT!P1095="",INPUT!Q1095="",INPUT!P1095=0),"",(INPUT!P1095-INPUT!Q1095)/INPUT!P1095),"")</f>
        <v>9.762900976290137E-3</v>
      </c>
    </row>
    <row r="1101" spans="1:12" ht="18" hidden="1" customHeight="1" x14ac:dyDescent="0.2">
      <c r="A1101" s="11">
        <f>IF(INPUT!M1096="","",INPUT!M1096)</f>
        <v>45964</v>
      </c>
      <c r="B1101" s="11">
        <f>IF(INPUT!M1096="","",INPUT!M1096-WEEKDAY(INPUT!M1096,2)+1)</f>
        <v>45964</v>
      </c>
      <c r="C1101" s="20">
        <f>IFERROR(_xlfn.ISOWEEKNUM(INPUT!M1096),"")</f>
        <v>45</v>
      </c>
      <c r="D1101" s="20">
        <f>IFERROR(YEAR(INPUT!M1096),"")</f>
        <v>2025</v>
      </c>
      <c r="E1101" t="str">
        <f>IF(INPUT!O1096="","",INPUT!O1096)</f>
        <v>RAYA</v>
      </c>
      <c r="F1101" t="str">
        <f>IF(INPUT!N1096="","",INPUT!N1096)</f>
        <v>M</v>
      </c>
      <c r="G1101" t="str" cm="1">
        <f t="array" ref="G1101">IFERROR(VLOOKUP(INPUT!M1096&amp;INPUT!N1096,CHOOSE({1,2},INPUT!$A$3:$A$5000&amp;INPUT!$C$3:$C$5000,INPUT!$F$3:$F$5000),2,FALSE),"")</f>
        <v>PRE-TEMPORADA</v>
      </c>
      <c r="H1101" t="str" cm="1">
        <f t="array" ref="H1101">IFERROR(VLOOKUP(INPUT!M1096&amp;INPUT!N1096,CHOOSE({1,2},INPUT!$A$3:$A$5000&amp;INPUT!$C$3:$C$5000,INPUT!$D$3:$D$5000),2,FALSE),"")</f>
        <v>TEC-TAC</v>
      </c>
      <c r="I1101" s="46">
        <f>IF(INPUT!P1096="","",INPUT!P1096)</f>
        <v>82.5</v>
      </c>
      <c r="J1101" s="46">
        <f>IF(INPUT!Q1096="","",INPUT!Q1096)</f>
        <v>81.5</v>
      </c>
      <c r="K1101" s="46">
        <f>IFERROR(IF(OR(INPUT!P1096="",INPUT!Q1096=""),"",INPUT!P1096-INPUT!Q1096),"")</f>
        <v>1</v>
      </c>
      <c r="L1101" s="48">
        <f>IFERROR(IF(OR(INPUT!P1096="",INPUT!Q1096="",INPUT!P1096=0),"",(INPUT!P1096-INPUT!Q1096)/INPUT!P1096),"")</f>
        <v>1.2121212121212121E-2</v>
      </c>
    </row>
    <row r="1102" spans="1:12" ht="18" hidden="1" customHeight="1" x14ac:dyDescent="0.2">
      <c r="A1102" s="11">
        <f>IF(INPUT!M1097="","",INPUT!M1097)</f>
        <v>45964</v>
      </c>
      <c r="B1102" s="11">
        <f>IF(INPUT!M1097="","",INPUT!M1097-WEEKDAY(INPUT!M1097,2)+1)</f>
        <v>45964</v>
      </c>
      <c r="C1102" s="20">
        <f>IFERROR(_xlfn.ISOWEEKNUM(INPUT!M1097),"")</f>
        <v>45</v>
      </c>
      <c r="D1102" s="20">
        <f>IFERROR(YEAR(INPUT!M1097),"")</f>
        <v>2025</v>
      </c>
      <c r="E1102" t="str">
        <f>IF(INPUT!O1097="","",INPUT!O1097)</f>
        <v>JAVI</v>
      </c>
      <c r="F1102" t="str">
        <f>IF(INPUT!N1097="","",INPUT!N1097)</f>
        <v>M</v>
      </c>
      <c r="G1102" t="str" cm="1">
        <f t="array" ref="G1102">IFERROR(VLOOKUP(INPUT!M1097&amp;INPUT!N1097,CHOOSE({1,2},INPUT!$A$3:$A$5000&amp;INPUT!$C$3:$C$5000,INPUT!$F$3:$F$5000),2,FALSE),"")</f>
        <v>PRE-TEMPORADA</v>
      </c>
      <c r="H1102" t="str" cm="1">
        <f t="array" ref="H1102">IFERROR(VLOOKUP(INPUT!M1097&amp;INPUT!N1097,CHOOSE({1,2},INPUT!$A$3:$A$5000&amp;INPUT!$C$3:$C$5000,INPUT!$D$3:$D$5000),2,FALSE),"")</f>
        <v>TEC-TAC</v>
      </c>
      <c r="I1102" s="46">
        <f>IF(INPUT!P1097="","",INPUT!P1097)</f>
        <v>77.7</v>
      </c>
      <c r="J1102" s="46">
        <f>IF(INPUT!Q1097="","",INPUT!Q1097)</f>
        <v>77.7</v>
      </c>
      <c r="K1102" s="46">
        <f>IFERROR(IF(OR(INPUT!P1097="",INPUT!Q1097=""),"",INPUT!P1097-INPUT!Q1097),"")</f>
        <v>0</v>
      </c>
      <c r="L1102" s="48">
        <f>IFERROR(IF(OR(INPUT!P1097="",INPUT!Q1097="",INPUT!P1097=0),"",(INPUT!P1097-INPUT!Q1097)/INPUT!P1097),"")</f>
        <v>0</v>
      </c>
    </row>
    <row r="1103" spans="1:12" ht="18" hidden="1" customHeight="1" x14ac:dyDescent="0.2">
      <c r="A1103" s="11">
        <f>IF(INPUT!M1098="","",INPUT!M1098)</f>
        <v>45964</v>
      </c>
      <c r="B1103" s="11">
        <f>IF(INPUT!M1098="","",INPUT!M1098-WEEKDAY(INPUT!M1098,2)+1)</f>
        <v>45964</v>
      </c>
      <c r="C1103" s="20">
        <f>IFERROR(_xlfn.ISOWEEKNUM(INPUT!M1098),"")</f>
        <v>45</v>
      </c>
      <c r="D1103" s="20">
        <f>IFERROR(YEAR(INPUT!M1098),"")</f>
        <v>2025</v>
      </c>
      <c r="E1103" t="str">
        <f>IF(INPUT!O1098="","",INPUT!O1098)</f>
        <v>PANI</v>
      </c>
      <c r="F1103" t="str">
        <f>IF(INPUT!N1098="","",INPUT!N1098)</f>
        <v>M</v>
      </c>
      <c r="G1103" t="str" cm="1">
        <f t="array" ref="G1103">IFERROR(VLOOKUP(INPUT!M1098&amp;INPUT!N1098,CHOOSE({1,2},INPUT!$A$3:$A$5000&amp;INPUT!$C$3:$C$5000,INPUT!$F$3:$F$5000),2,FALSE),"")</f>
        <v>PRE-TEMPORADA</v>
      </c>
      <c r="H1103" t="str" cm="1">
        <f t="array" ref="H1103">IFERROR(VLOOKUP(INPUT!M1098&amp;INPUT!N1098,CHOOSE({1,2},INPUT!$A$3:$A$5000&amp;INPUT!$C$3:$C$5000,INPUT!$D$3:$D$5000),2,FALSE),"")</f>
        <v>TEC-TAC</v>
      </c>
      <c r="I1103" s="46">
        <f>IF(INPUT!P1098="","",INPUT!P1098)</f>
        <v>68.8</v>
      </c>
      <c r="J1103" s="46">
        <f>IF(INPUT!Q1098="","",INPUT!Q1098)</f>
        <v>68.2</v>
      </c>
      <c r="K1103" s="46">
        <f>IFERROR(IF(OR(INPUT!P1098="",INPUT!Q1098=""),"",INPUT!P1098-INPUT!Q1098),"")</f>
        <v>0.59999999999999432</v>
      </c>
      <c r="L1103" s="48">
        <f>IFERROR(IF(OR(INPUT!P1098="",INPUT!Q1098="",INPUT!P1098=0),"",(INPUT!P1098-INPUT!Q1098)/INPUT!P1098),"")</f>
        <v>8.7209302325580579E-3</v>
      </c>
    </row>
    <row r="1104" spans="1:12" ht="18" hidden="1" customHeight="1" x14ac:dyDescent="0.2">
      <c r="A1104" s="11">
        <f>IF(INPUT!M1099="","",INPUT!M1099)</f>
        <v>45964</v>
      </c>
      <c r="B1104" s="11">
        <f>IF(INPUT!M1099="","",INPUT!M1099-WEEKDAY(INPUT!M1099,2)+1)</f>
        <v>45964</v>
      </c>
      <c r="C1104" s="20">
        <f>IFERROR(_xlfn.ISOWEEKNUM(INPUT!M1099),"")</f>
        <v>45</v>
      </c>
      <c r="D1104" s="20">
        <f>IFERROR(YEAR(INPUT!M1099),"")</f>
        <v>2025</v>
      </c>
      <c r="E1104" t="str">
        <f>IF(INPUT!O1099="","",INPUT!O1099)</f>
        <v>PIRATA</v>
      </c>
      <c r="F1104" t="str">
        <f>IF(INPUT!N1099="","",INPUT!N1099)</f>
        <v>M</v>
      </c>
      <c r="G1104" t="str" cm="1">
        <f t="array" ref="G1104">IFERROR(VLOOKUP(INPUT!M1099&amp;INPUT!N1099,CHOOSE({1,2},INPUT!$A$3:$A$5000&amp;INPUT!$C$3:$C$5000,INPUT!$F$3:$F$5000),2,FALSE),"")</f>
        <v>PRE-TEMPORADA</v>
      </c>
      <c r="H1104" t="str" cm="1">
        <f t="array" ref="H1104">IFERROR(VLOOKUP(INPUT!M1099&amp;INPUT!N1099,CHOOSE({1,2},INPUT!$A$3:$A$5000&amp;INPUT!$C$3:$C$5000,INPUT!$D$3:$D$5000),2,FALSE),"")</f>
        <v>TEC-TAC</v>
      </c>
      <c r="I1104" s="46">
        <f>IF(INPUT!P1099="","",INPUT!P1099)</f>
        <v>75.8</v>
      </c>
      <c r="J1104" s="46">
        <f>IF(INPUT!Q1099="","",INPUT!Q1099)</f>
        <v>75.7</v>
      </c>
      <c r="K1104" s="46">
        <f>IFERROR(IF(OR(INPUT!P1099="",INPUT!Q1099=""),"",INPUT!P1099-INPUT!Q1099),"")</f>
        <v>9.9999999999994316E-2</v>
      </c>
      <c r="L1104" s="48">
        <f>IFERROR(IF(OR(INPUT!P1099="",INPUT!Q1099="",INPUT!P1099=0),"",(INPUT!P1099-INPUT!Q1099)/INPUT!P1099),"")</f>
        <v>1.3192612137202418E-3</v>
      </c>
    </row>
    <row r="1105" spans="1:12" ht="18" hidden="1" customHeight="1" x14ac:dyDescent="0.2">
      <c r="A1105" s="11">
        <f>IF(INPUT!M1100="","",INPUT!M1100)</f>
        <v>45964</v>
      </c>
      <c r="B1105" s="11">
        <f>IF(INPUT!M1100="","",INPUT!M1100-WEEKDAY(INPUT!M1100,2)+1)</f>
        <v>45964</v>
      </c>
      <c r="C1105" s="20">
        <f>IFERROR(_xlfn.ISOWEEKNUM(INPUT!M1100),"")</f>
        <v>45</v>
      </c>
      <c r="D1105" s="20">
        <f>IFERROR(YEAR(INPUT!M1100),"")</f>
        <v>2025</v>
      </c>
      <c r="E1105" t="str">
        <f>IF(INPUT!O1100="","",INPUT!O1100)</f>
        <v>BARONA</v>
      </c>
      <c r="F1105" t="str">
        <f>IF(INPUT!N1100="","",INPUT!N1100)</f>
        <v>M</v>
      </c>
      <c r="G1105" t="str" cm="1">
        <f t="array" ref="G1105">IFERROR(VLOOKUP(INPUT!M1100&amp;INPUT!N1100,CHOOSE({1,2},INPUT!$A$3:$A$5000&amp;INPUT!$C$3:$C$5000,INPUT!$F$3:$F$5000),2,FALSE),"")</f>
        <v>PRE-TEMPORADA</v>
      </c>
      <c r="H1105" t="str" cm="1">
        <f t="array" ref="H1105">IFERROR(VLOOKUP(INPUT!M1100&amp;INPUT!N1100,CHOOSE({1,2},INPUT!$A$3:$A$5000&amp;INPUT!$C$3:$C$5000,INPUT!$D$3:$D$5000),2,FALSE),"")</f>
        <v>TEC-TAC</v>
      </c>
      <c r="I1105" s="46">
        <f>IF(INPUT!P1100="","",INPUT!P1100)</f>
        <v>71.5</v>
      </c>
      <c r="J1105" s="46">
        <f>IF(INPUT!Q1100="","",INPUT!Q1100)</f>
        <v>71.5</v>
      </c>
      <c r="K1105" s="46">
        <f>IFERROR(IF(OR(INPUT!P1100="",INPUT!Q1100=""),"",INPUT!P1100-INPUT!Q1100),"")</f>
        <v>0</v>
      </c>
      <c r="L1105" s="48">
        <f>IFERROR(IF(OR(INPUT!P1100="",INPUT!Q1100="",INPUT!P1100=0),"",(INPUT!P1100-INPUT!Q1100)/INPUT!P1100),"")</f>
        <v>0</v>
      </c>
    </row>
    <row r="1106" spans="1:12" ht="18" hidden="1" customHeight="1" x14ac:dyDescent="0.2">
      <c r="A1106" s="11">
        <f>IF(INPUT!M1101="","",INPUT!M1101)</f>
        <v>45964</v>
      </c>
      <c r="B1106" s="11">
        <f>IF(INPUT!M1101="","",INPUT!M1101-WEEKDAY(INPUT!M1101,2)+1)</f>
        <v>45964</v>
      </c>
      <c r="C1106" s="20">
        <f>IFERROR(_xlfn.ISOWEEKNUM(INPUT!M1101),"")</f>
        <v>45</v>
      </c>
      <c r="D1106" s="20">
        <f>IFERROR(YEAR(INPUT!M1101),"")</f>
        <v>2025</v>
      </c>
      <c r="E1106" t="str">
        <f>IF(INPUT!O1101="","",INPUT!O1101)</f>
        <v>CARLOS</v>
      </c>
      <c r="F1106" t="str">
        <f>IF(INPUT!N1101="","",INPUT!N1101)</f>
        <v>M</v>
      </c>
      <c r="G1106" t="str" cm="1">
        <f t="array" ref="G1106">IFERROR(VLOOKUP(INPUT!M1101&amp;INPUT!N1101,CHOOSE({1,2},INPUT!$A$3:$A$5000&amp;INPUT!$C$3:$C$5000,INPUT!$F$3:$F$5000),2,FALSE),"")</f>
        <v>PRE-TEMPORADA</v>
      </c>
      <c r="H1106" t="str" cm="1">
        <f t="array" ref="H1106">IFERROR(VLOOKUP(INPUT!M1101&amp;INPUT!N1101,CHOOSE({1,2},INPUT!$A$3:$A$5000&amp;INPUT!$C$3:$C$5000,INPUT!$D$3:$D$5000),2,FALSE),"")</f>
        <v>TEC-TAC</v>
      </c>
      <c r="I1106" s="46">
        <f>IF(INPUT!P1101="","",INPUT!P1101)</f>
        <v>66.900000000000006</v>
      </c>
      <c r="J1106" s="46">
        <f>IF(INPUT!Q1101="","",INPUT!Q1101)</f>
        <v>66.3</v>
      </c>
      <c r="K1106" s="46">
        <f>IFERROR(IF(OR(INPUT!P1101="",INPUT!Q1101=""),"",INPUT!P1101-INPUT!Q1101),"")</f>
        <v>0.60000000000000853</v>
      </c>
      <c r="L1106" s="48">
        <f>IFERROR(IF(OR(INPUT!P1101="",INPUT!Q1101="",INPUT!P1101=0),"",(INPUT!P1101-INPUT!Q1101)/INPUT!P1101),"")</f>
        <v>8.9686098654709785E-3</v>
      </c>
    </row>
    <row r="1107" spans="1:12" ht="18" hidden="1" customHeight="1" x14ac:dyDescent="0.2">
      <c r="A1107" s="11">
        <f>IF(INPUT!M1102="","",INPUT!M1102)</f>
        <v>45964</v>
      </c>
      <c r="B1107" s="11">
        <f>IF(INPUT!M1102="","",INPUT!M1102-WEEKDAY(INPUT!M1102,2)+1)</f>
        <v>45964</v>
      </c>
      <c r="C1107" s="20">
        <f>IFERROR(_xlfn.ISOWEEKNUM(INPUT!M1102),"")</f>
        <v>45</v>
      </c>
      <c r="D1107" s="20">
        <f>IFERROR(YEAR(INPUT!M1102),"")</f>
        <v>2025</v>
      </c>
      <c r="E1107" t="str">
        <f>IF(INPUT!O1102="","",INPUT!O1102)</f>
        <v>GONZALO</v>
      </c>
      <c r="F1107" t="str">
        <f>IF(INPUT!N1102="","",INPUT!N1102)</f>
        <v>M</v>
      </c>
      <c r="G1107" t="str" cm="1">
        <f t="array" ref="G1107">IFERROR(VLOOKUP(INPUT!M1102&amp;INPUT!N1102,CHOOSE({1,2},INPUT!$A$3:$A$5000&amp;INPUT!$C$3:$C$5000,INPUT!$F$3:$F$5000),2,FALSE),"")</f>
        <v>PRE-TEMPORADA</v>
      </c>
      <c r="H1107" t="str" cm="1">
        <f t="array" ref="H1107">IFERROR(VLOOKUP(INPUT!M1102&amp;INPUT!N1102,CHOOSE({1,2},INPUT!$A$3:$A$5000&amp;INPUT!$C$3:$C$5000,INPUT!$D$3:$D$5000),2,FALSE),"")</f>
        <v>TEC-TAC</v>
      </c>
      <c r="I1107" s="46">
        <f>IF(INPUT!P1102="","",INPUT!P1102)</f>
        <v>82.8</v>
      </c>
      <c r="J1107" s="46">
        <f>IF(INPUT!Q1102="","",INPUT!Q1102)</f>
        <v>82.9</v>
      </c>
      <c r="K1107" s="46">
        <f>IFERROR(IF(OR(INPUT!P1102="",INPUT!Q1102=""),"",INPUT!P1102-INPUT!Q1102),"")</f>
        <v>-0.10000000000000853</v>
      </c>
      <c r="L1107" s="48">
        <f>IFERROR(IF(OR(INPUT!P1102="",INPUT!Q1102="",INPUT!P1102=0),"",(INPUT!P1102-INPUT!Q1102)/INPUT!P1102),"")</f>
        <v>-1.2077294685991368E-3</v>
      </c>
    </row>
    <row r="1108" spans="1:12" ht="18" hidden="1" customHeight="1" x14ac:dyDescent="0.2">
      <c r="A1108" s="11">
        <f>IF(INPUT!M1103="","",INPUT!M1103)</f>
        <v>45964</v>
      </c>
      <c r="B1108" s="11">
        <f>IF(INPUT!M1103="","",INPUT!M1103-WEEKDAY(INPUT!M1103,2)+1)</f>
        <v>45964</v>
      </c>
      <c r="C1108" s="20">
        <f>IFERROR(_xlfn.ISOWEEKNUM(INPUT!M1103),"")</f>
        <v>45</v>
      </c>
      <c r="D1108" s="20">
        <f>IFERROR(YEAR(INPUT!M1103),"")</f>
        <v>2025</v>
      </c>
      <c r="E1108" t="str">
        <f>IF(INPUT!O1103="","",INPUT!O1103)</f>
        <v>SEGO</v>
      </c>
      <c r="F1108" t="str">
        <f>IF(INPUT!N1103="","",INPUT!N1103)</f>
        <v>M</v>
      </c>
      <c r="G1108" t="str" cm="1">
        <f t="array" ref="G1108">IFERROR(VLOOKUP(INPUT!M1103&amp;INPUT!N1103,CHOOSE({1,2},INPUT!$A$3:$A$5000&amp;INPUT!$C$3:$C$5000,INPUT!$F$3:$F$5000),2,FALSE),"")</f>
        <v>PRE-TEMPORADA</v>
      </c>
      <c r="H1108" t="str" cm="1">
        <f t="array" ref="H1108">IFERROR(VLOOKUP(INPUT!M1103&amp;INPUT!N1103,CHOOSE({1,2},INPUT!$A$3:$A$5000&amp;INPUT!$C$3:$C$5000,INPUT!$D$3:$D$5000),2,FALSE),"")</f>
        <v>TEC-TAC</v>
      </c>
      <c r="I1108" s="46">
        <f>IF(INPUT!P1103="","",INPUT!P1103)</f>
        <v>75.400000000000006</v>
      </c>
      <c r="J1108" s="46">
        <f>IF(INPUT!Q1103="","",INPUT!Q1103)</f>
        <v>74.400000000000006</v>
      </c>
      <c r="K1108" s="46">
        <f>IFERROR(IF(OR(INPUT!P1103="",INPUT!Q1103=""),"",INPUT!P1103-INPUT!Q1103),"")</f>
        <v>1</v>
      </c>
      <c r="L1108" s="48">
        <f>IFERROR(IF(OR(INPUT!P1103="",INPUT!Q1103="",INPUT!P1103=0),"",(INPUT!P1103-INPUT!Q1103)/INPUT!P1103),"")</f>
        <v>1.326259946949602E-2</v>
      </c>
    </row>
    <row r="1109" spans="1:12" ht="18" customHeight="1" x14ac:dyDescent="0.2">
      <c r="A1109" s="11">
        <f>IF(INPUT!M1104="","",INPUT!M1104)</f>
        <v>45964</v>
      </c>
      <c r="B1109" s="11">
        <f>IF(INPUT!M1104="","",INPUT!M1104-WEEKDAY(INPUT!M1104,2)+1)</f>
        <v>45964</v>
      </c>
      <c r="C1109" s="20">
        <f>IFERROR(_xlfn.ISOWEEKNUM(INPUT!M1104),"")</f>
        <v>45</v>
      </c>
      <c r="D1109" s="20">
        <f>IFERROR(YEAR(INPUT!M1104),"")</f>
        <v>2025</v>
      </c>
      <c r="E1109" t="str">
        <f>IF(INPUT!O1104="","",INPUT!O1104)</f>
        <v>RUBIO</v>
      </c>
      <c r="F1109" t="str">
        <f>IF(INPUT!N1104="","",INPUT!N1104)</f>
        <v>M</v>
      </c>
      <c r="G1109" t="str" cm="1">
        <f t="array" ref="G1109">IFERROR(VLOOKUP(INPUT!M1104&amp;INPUT!N1104,CHOOSE({1,2},INPUT!$A$3:$A$5000&amp;INPUT!$C$3:$C$5000,INPUT!$F$3:$F$5000),2,FALSE),"")</f>
        <v>PRE-TEMPORADA</v>
      </c>
      <c r="H1109" t="str" cm="1">
        <f t="array" ref="H1109">IFERROR(VLOOKUP(INPUT!M1104&amp;INPUT!N1104,CHOOSE({1,2},INPUT!$A$3:$A$5000&amp;INPUT!$C$3:$C$5000,INPUT!$D$3:$D$5000),2,FALSE),"")</f>
        <v>TEC-TAC</v>
      </c>
      <c r="I1109" s="46">
        <f>IF(INPUT!P1104="","",INPUT!P1104)</f>
        <v>75.099999999999994</v>
      </c>
      <c r="J1109" s="46">
        <f>IF(INPUT!Q1104="","",INPUT!Q1104)</f>
        <v>75.2</v>
      </c>
      <c r="K1109" s="46">
        <f>IFERROR(IF(OR(INPUT!P1104="",INPUT!Q1104=""),"",INPUT!P1104-INPUT!Q1104),"")</f>
        <v>-0.10000000000000853</v>
      </c>
      <c r="L1109" s="48">
        <f>IFERROR(IF(OR(INPUT!P1104="",INPUT!Q1104="",INPUT!P1104=0),"",(INPUT!P1104-INPUT!Q1104)/INPUT!P1104),"")</f>
        <v>-1.3315579227697542E-3</v>
      </c>
    </row>
    <row r="1110" spans="1:12" ht="18" customHeight="1" x14ac:dyDescent="0.2">
      <c r="A1110" s="11">
        <f>IF(INPUT!M1105="","",INPUT!M1105)</f>
        <v>45964</v>
      </c>
      <c r="B1110" s="11">
        <f>IF(INPUT!M1105="","",INPUT!M1105-WEEKDAY(INPUT!M1105,2)+1)</f>
        <v>45964</v>
      </c>
      <c r="C1110" s="20">
        <f>IFERROR(_xlfn.ISOWEEKNUM(INPUT!M1105),"")</f>
        <v>45</v>
      </c>
      <c r="D1110" s="20">
        <f>IFERROR(YEAR(INPUT!M1105),"")</f>
        <v>2025</v>
      </c>
      <c r="E1110" t="str">
        <f>IF(INPUT!O1105="","",INPUT!O1105)</f>
        <v>DANI</v>
      </c>
      <c r="F1110" t="str">
        <f>IF(INPUT!N1105="","",INPUT!N1105)</f>
        <v>M</v>
      </c>
      <c r="G1110" t="str" cm="1">
        <f t="array" ref="G1110">IFERROR(VLOOKUP(INPUT!M1105&amp;INPUT!N1105,CHOOSE({1,2},INPUT!$A$3:$A$5000&amp;INPUT!$C$3:$C$5000,INPUT!$F$3:$F$5000),2,FALSE),"")</f>
        <v>PRE-TEMPORADA</v>
      </c>
      <c r="H1110" t="str" cm="1">
        <f t="array" ref="H1110">IFERROR(VLOOKUP(INPUT!M1105&amp;INPUT!N1105,CHOOSE({1,2},INPUT!$A$3:$A$5000&amp;INPUT!$C$3:$C$5000,INPUT!$D$3:$D$5000),2,FALSE),"")</f>
        <v>TEC-TAC</v>
      </c>
      <c r="I1110" s="46">
        <f>IF(INPUT!P1105="","",INPUT!P1105)</f>
        <v>93.9</v>
      </c>
      <c r="J1110" s="46">
        <f>IF(INPUT!Q1105="","",INPUT!Q1105)</f>
        <v>93.5</v>
      </c>
      <c r="K1110" s="46">
        <f>IFERROR(IF(OR(INPUT!P1105="",INPUT!Q1105=""),"",INPUT!P1105-INPUT!Q1105),"")</f>
        <v>0.40000000000000568</v>
      </c>
      <c r="L1110" s="48">
        <f>IFERROR(IF(OR(INPUT!P1105="",INPUT!Q1105="",INPUT!P1105=0),"",(INPUT!P1105-INPUT!Q1105)/INPUT!P1105),"")</f>
        <v>4.2598509052183776E-3</v>
      </c>
    </row>
    <row r="1111" spans="1:12" ht="18" customHeight="1" x14ac:dyDescent="0.2">
      <c r="A1111" s="11">
        <f>IF(INPUT!M1106="","",INPUT!M1106)</f>
        <v>45965</v>
      </c>
      <c r="B1111" s="11">
        <f>IF(INPUT!M1106="","",INPUT!M1106-WEEKDAY(INPUT!M1106,2)+1)</f>
        <v>45964</v>
      </c>
      <c r="C1111" s="20">
        <f>IFERROR(_xlfn.ISOWEEKNUM(INPUT!M1106),"")</f>
        <v>45</v>
      </c>
      <c r="D1111" s="20">
        <f>IFERROR(YEAR(INPUT!M1106),"")</f>
        <v>2025</v>
      </c>
      <c r="E1111" t="str">
        <f>IF(INPUT!O1106="","",INPUT!O1106)</f>
        <v>HERRERO</v>
      </c>
      <c r="F1111" t="str">
        <f>IF(INPUT!N1106="","",INPUT!N1106)</f>
        <v>M</v>
      </c>
      <c r="G1111" t="str" cm="1">
        <f t="array" ref="G1111">IFERROR(VLOOKUP(INPUT!M1106&amp;INPUT!N1106,CHOOSE({1,2},INPUT!$A$3:$A$5000&amp;INPUT!$C$3:$C$5000,INPUT!$F$3:$F$5000),2,FALSE),"")</f>
        <v>PRE-TEMPORADA</v>
      </c>
      <c r="H1111" t="str" cm="1">
        <f t="array" ref="H1111">IFERROR(VLOOKUP(INPUT!M1106&amp;INPUT!N1106,CHOOSE({1,2},INPUT!$A$3:$A$5000&amp;INPUT!$C$3:$C$5000,INPUT!$D$3:$D$5000),2,FALSE),"")</f>
        <v>MATINAL</v>
      </c>
      <c r="I1111" s="46">
        <f>IF(INPUT!P1106="","",INPUT!P1106)</f>
        <v>77</v>
      </c>
      <c r="J1111" s="46">
        <f>IF(INPUT!Q1106="","",INPUT!Q1106)</f>
        <v>77.099999999999994</v>
      </c>
      <c r="K1111" s="46">
        <f>IFERROR(IF(OR(INPUT!P1106="",INPUT!Q1106=""),"",INPUT!P1106-INPUT!Q1106),"")</f>
        <v>-9.9999999999994316E-2</v>
      </c>
      <c r="L1111" s="48">
        <f>IFERROR(IF(OR(INPUT!P1106="",INPUT!Q1106="",INPUT!P1106=0),"",(INPUT!P1106-INPUT!Q1106)/INPUT!P1106),"")</f>
        <v>-1.298701298701225E-3</v>
      </c>
    </row>
    <row r="1112" spans="1:12" ht="18" hidden="1" customHeight="1" x14ac:dyDescent="0.2">
      <c r="A1112" s="11">
        <f>IF(INPUT!M1107="","",INPUT!M1107)</f>
        <v>45965</v>
      </c>
      <c r="B1112" s="11">
        <f>IF(INPUT!M1107="","",INPUT!M1107-WEEKDAY(INPUT!M1107,2)+1)</f>
        <v>45964</v>
      </c>
      <c r="C1112" s="20">
        <f>IFERROR(_xlfn.ISOWEEKNUM(INPUT!M1107),"")</f>
        <v>45</v>
      </c>
      <c r="D1112" s="20">
        <f>IFERROR(YEAR(INPUT!M1107),"")</f>
        <v>2025</v>
      </c>
      <c r="E1112" t="str">
        <f>IF(INPUT!O1107="","",INPUT!O1107)</f>
        <v>CECILIO</v>
      </c>
      <c r="F1112" t="str">
        <f>IF(INPUT!N1107="","",INPUT!N1107)</f>
        <v>M</v>
      </c>
      <c r="G1112" t="str" cm="1">
        <f t="array" ref="G1112">IFERROR(VLOOKUP(INPUT!M1107&amp;INPUT!N1107,CHOOSE({1,2},INPUT!$A$3:$A$5000&amp;INPUT!$C$3:$C$5000,INPUT!$F$3:$F$5000),2,FALSE),"")</f>
        <v>PRE-TEMPORADA</v>
      </c>
      <c r="H1112" t="str" cm="1">
        <f t="array" ref="H1112">IFERROR(VLOOKUP(INPUT!M1107&amp;INPUT!N1107,CHOOSE({1,2},INPUT!$A$3:$A$5000&amp;INPUT!$C$3:$C$5000,INPUT!$D$3:$D$5000),2,FALSE),"")</f>
        <v>MATINAL</v>
      </c>
      <c r="I1112" s="46">
        <f>IF(INPUT!P1107="","",INPUT!P1107)</f>
        <v>67.5</v>
      </c>
      <c r="J1112" s="46">
        <f>IF(INPUT!Q1107="","",INPUT!Q1107)</f>
        <v>67.400000000000006</v>
      </c>
      <c r="K1112" s="46">
        <f>IFERROR(IF(OR(INPUT!P1107="",INPUT!Q1107=""),"",INPUT!P1107-INPUT!Q1107),"")</f>
        <v>9.9999999999994316E-2</v>
      </c>
      <c r="L1112" s="48">
        <f>IFERROR(IF(OR(INPUT!P1107="",INPUT!Q1107="",INPUT!P1107=0),"",(INPUT!P1107-INPUT!Q1107)/INPUT!P1107),"")</f>
        <v>1.4814814814813973E-3</v>
      </c>
    </row>
    <row r="1113" spans="1:12" ht="18" hidden="1" customHeight="1" x14ac:dyDescent="0.2">
      <c r="A1113" s="11">
        <f>IF(INPUT!M1108="","",INPUT!M1108)</f>
        <v>45965</v>
      </c>
      <c r="B1113" s="11">
        <f>IF(INPUT!M1108="","",INPUT!M1108-WEEKDAY(INPUT!M1108,2)+1)</f>
        <v>45964</v>
      </c>
      <c r="C1113" s="20">
        <f>IFERROR(_xlfn.ISOWEEKNUM(INPUT!M1108),"")</f>
        <v>45</v>
      </c>
      <c r="D1113" s="20">
        <f>IFERROR(YEAR(INPUT!M1108),"")</f>
        <v>2025</v>
      </c>
      <c r="E1113" t="str">
        <f>IF(INPUT!O1108="","",INPUT!O1108)</f>
        <v>CHAGUINHA</v>
      </c>
      <c r="F1113" t="str">
        <f>IF(INPUT!N1108="","",INPUT!N1108)</f>
        <v>M</v>
      </c>
      <c r="G1113" t="str" cm="1">
        <f t="array" ref="G1113">IFERROR(VLOOKUP(INPUT!M1108&amp;INPUT!N1108,CHOOSE({1,2},INPUT!$A$3:$A$5000&amp;INPUT!$C$3:$C$5000,INPUT!$F$3:$F$5000),2,FALSE),"")</f>
        <v>PRE-TEMPORADA</v>
      </c>
      <c r="H1113" t="str" cm="1">
        <f t="array" ref="H1113">IFERROR(VLOOKUP(INPUT!M1108&amp;INPUT!N1108,CHOOSE({1,2},INPUT!$A$3:$A$5000&amp;INPUT!$C$3:$C$5000,INPUT!$D$3:$D$5000),2,FALSE),"")</f>
        <v>MATINAL</v>
      </c>
      <c r="I1113" s="46">
        <f>IF(INPUT!P1108="","",INPUT!P1108)</f>
        <v>69</v>
      </c>
      <c r="J1113" s="46">
        <f>IF(INPUT!Q1108="","",INPUT!Q1108)</f>
        <v>68.5</v>
      </c>
      <c r="K1113" s="46">
        <f>IFERROR(IF(OR(INPUT!P1108="",INPUT!Q1108=""),"",INPUT!P1108-INPUT!Q1108),"")</f>
        <v>0.5</v>
      </c>
      <c r="L1113" s="48">
        <f>IFERROR(IF(OR(INPUT!P1108="",INPUT!Q1108="",INPUT!P1108=0),"",(INPUT!P1108-INPUT!Q1108)/INPUT!P1108),"")</f>
        <v>7.246376811594203E-3</v>
      </c>
    </row>
    <row r="1114" spans="1:12" ht="18" hidden="1" customHeight="1" x14ac:dyDescent="0.2">
      <c r="A1114" s="11">
        <f>IF(INPUT!M1109="","",INPUT!M1109)</f>
        <v>45965</v>
      </c>
      <c r="B1114" s="11">
        <f>IF(INPUT!M1109="","",INPUT!M1109-WEEKDAY(INPUT!M1109,2)+1)</f>
        <v>45964</v>
      </c>
      <c r="C1114" s="20">
        <f>IFERROR(_xlfn.ISOWEEKNUM(INPUT!M1109),"")</f>
        <v>45</v>
      </c>
      <c r="D1114" s="20">
        <f>IFERROR(YEAR(INPUT!M1109),"")</f>
        <v>2025</v>
      </c>
      <c r="E1114" t="str">
        <f>IF(INPUT!O1109="","",INPUT!O1109)</f>
        <v>RAUL</v>
      </c>
      <c r="F1114" t="str">
        <f>IF(INPUT!N1109="","",INPUT!N1109)</f>
        <v>M</v>
      </c>
      <c r="G1114" t="str" cm="1">
        <f t="array" ref="G1114">IFERROR(VLOOKUP(INPUT!M1109&amp;INPUT!N1109,CHOOSE({1,2},INPUT!$A$3:$A$5000&amp;INPUT!$C$3:$C$5000,INPUT!$F$3:$F$5000),2,FALSE),"")</f>
        <v>PRE-TEMPORADA</v>
      </c>
      <c r="H1114" t="str" cm="1">
        <f t="array" ref="H1114">IFERROR(VLOOKUP(INPUT!M1109&amp;INPUT!N1109,CHOOSE({1,2},INPUT!$A$3:$A$5000&amp;INPUT!$C$3:$C$5000,INPUT!$D$3:$D$5000),2,FALSE),"")</f>
        <v>MATINAL</v>
      </c>
      <c r="I1114" s="46">
        <f>IF(INPUT!P1109="","",INPUT!P1109)</f>
        <v>80.900000000000006</v>
      </c>
      <c r="J1114" s="46">
        <f>IF(INPUT!Q1109="","",INPUT!Q1109)</f>
        <v>80.5</v>
      </c>
      <c r="K1114" s="46">
        <f>IFERROR(IF(OR(INPUT!P1109="",INPUT!Q1109=""),"",INPUT!P1109-INPUT!Q1109),"")</f>
        <v>0.40000000000000568</v>
      </c>
      <c r="L1114" s="48">
        <f>IFERROR(IF(OR(INPUT!P1109="",INPUT!Q1109="",INPUT!P1109=0),"",(INPUT!P1109-INPUT!Q1109)/INPUT!P1109),"")</f>
        <v>4.9443757725587843E-3</v>
      </c>
    </row>
    <row r="1115" spans="1:12" ht="18" hidden="1" customHeight="1" x14ac:dyDescent="0.2">
      <c r="A1115" s="11">
        <f>IF(INPUT!M1110="","",INPUT!M1110)</f>
        <v>45965</v>
      </c>
      <c r="B1115" s="11">
        <f>IF(INPUT!M1110="","",INPUT!M1110-WEEKDAY(INPUT!M1110,2)+1)</f>
        <v>45964</v>
      </c>
      <c r="C1115" s="20">
        <f>IFERROR(_xlfn.ISOWEEKNUM(INPUT!M1110),"")</f>
        <v>45</v>
      </c>
      <c r="D1115" s="20">
        <f>IFERROR(YEAR(INPUT!M1110),"")</f>
        <v>2025</v>
      </c>
      <c r="E1115" t="str">
        <f>IF(INPUT!O1110="","",INPUT!O1110)</f>
        <v>HARRISON</v>
      </c>
      <c r="F1115" t="str">
        <f>IF(INPUT!N1110="","",INPUT!N1110)</f>
        <v>M</v>
      </c>
      <c r="G1115" t="str" cm="1">
        <f t="array" ref="G1115">IFERROR(VLOOKUP(INPUT!M1110&amp;INPUT!N1110,CHOOSE({1,2},INPUT!$A$3:$A$5000&amp;INPUT!$C$3:$C$5000,INPUT!$F$3:$F$5000),2,FALSE),"")</f>
        <v>PRE-TEMPORADA</v>
      </c>
      <c r="H1115" t="str" cm="1">
        <f t="array" ref="H1115">IFERROR(VLOOKUP(INPUT!M1110&amp;INPUT!N1110,CHOOSE({1,2},INPUT!$A$3:$A$5000&amp;INPUT!$C$3:$C$5000,INPUT!$D$3:$D$5000),2,FALSE),"")</f>
        <v>MATINAL</v>
      </c>
      <c r="I1115" s="46">
        <f>IF(INPUT!P1110="","",INPUT!P1110)</f>
        <v>72</v>
      </c>
      <c r="J1115" s="46">
        <f>IF(INPUT!Q1110="","",INPUT!Q1110)</f>
        <v>71.7</v>
      </c>
      <c r="K1115" s="46">
        <f>IFERROR(IF(OR(INPUT!P1110="",INPUT!Q1110=""),"",INPUT!P1110-INPUT!Q1110),"")</f>
        <v>0.29999999999999716</v>
      </c>
      <c r="L1115" s="48">
        <f>IFERROR(IF(OR(INPUT!P1110="",INPUT!Q1110="",INPUT!P1110=0),"",(INPUT!P1110-INPUT!Q1110)/INPUT!P1110),"")</f>
        <v>4.1666666666666276E-3</v>
      </c>
    </row>
    <row r="1116" spans="1:12" ht="18" hidden="1" customHeight="1" x14ac:dyDescent="0.2">
      <c r="A1116" s="11">
        <f>IF(INPUT!M1111="","",INPUT!M1111)</f>
        <v>45965</v>
      </c>
      <c r="B1116" s="11">
        <f>IF(INPUT!M1111="","",INPUT!M1111-WEEKDAY(INPUT!M1111,2)+1)</f>
        <v>45964</v>
      </c>
      <c r="C1116" s="20">
        <f>IFERROR(_xlfn.ISOWEEKNUM(INPUT!M1111),"")</f>
        <v>45</v>
      </c>
      <c r="D1116" s="20">
        <f>IFERROR(YEAR(INPUT!M1111),"")</f>
        <v>2025</v>
      </c>
      <c r="E1116" t="str">
        <f>IF(INPUT!O1111="","",INPUT!O1111)</f>
        <v>RAYA</v>
      </c>
      <c r="F1116" t="str">
        <f>IF(INPUT!N1111="","",INPUT!N1111)</f>
        <v>M</v>
      </c>
      <c r="G1116" t="str" cm="1">
        <f t="array" ref="G1116">IFERROR(VLOOKUP(INPUT!M1111&amp;INPUT!N1111,CHOOSE({1,2},INPUT!$A$3:$A$5000&amp;INPUT!$C$3:$C$5000,INPUT!$F$3:$F$5000),2,FALSE),"")</f>
        <v>PRE-TEMPORADA</v>
      </c>
      <c r="H1116" t="str" cm="1">
        <f t="array" ref="H1116">IFERROR(VLOOKUP(INPUT!M1111&amp;INPUT!N1111,CHOOSE({1,2},INPUT!$A$3:$A$5000&amp;INPUT!$C$3:$C$5000,INPUT!$D$3:$D$5000),2,FALSE),"")</f>
        <v>MATINAL</v>
      </c>
      <c r="I1116" s="46">
        <f>IF(INPUT!P1111="","",INPUT!P1111)</f>
        <v>82.7</v>
      </c>
      <c r="J1116" s="46">
        <f>IF(INPUT!Q1111="","",INPUT!Q1111)</f>
        <v>81.900000000000006</v>
      </c>
      <c r="K1116" s="46">
        <f>IFERROR(IF(OR(INPUT!P1111="",INPUT!Q1111=""),"",INPUT!P1111-INPUT!Q1111),"")</f>
        <v>0.79999999999999716</v>
      </c>
      <c r="L1116" s="48">
        <f>IFERROR(IF(OR(INPUT!P1111="",INPUT!Q1111="",INPUT!P1111=0),"",(INPUT!P1111-INPUT!Q1111)/INPUT!P1111),"")</f>
        <v>9.6735187424425283E-3</v>
      </c>
    </row>
    <row r="1117" spans="1:12" ht="18" hidden="1" customHeight="1" x14ac:dyDescent="0.2">
      <c r="A1117" s="11">
        <f>IF(INPUT!M1112="","",INPUT!M1112)</f>
        <v>45965</v>
      </c>
      <c r="B1117" s="11">
        <f>IF(INPUT!M1112="","",INPUT!M1112-WEEKDAY(INPUT!M1112,2)+1)</f>
        <v>45964</v>
      </c>
      <c r="C1117" s="20">
        <f>IFERROR(_xlfn.ISOWEEKNUM(INPUT!M1112),"")</f>
        <v>45</v>
      </c>
      <c r="D1117" s="20">
        <f>IFERROR(YEAR(INPUT!M1112),"")</f>
        <v>2025</v>
      </c>
      <c r="E1117" t="str">
        <f>IF(INPUT!O1112="","",INPUT!O1112)</f>
        <v>JAVI</v>
      </c>
      <c r="F1117" t="str">
        <f>IF(INPUT!N1112="","",INPUT!N1112)</f>
        <v>M</v>
      </c>
      <c r="G1117" t="str" cm="1">
        <f t="array" ref="G1117">IFERROR(VLOOKUP(INPUT!M1112&amp;INPUT!N1112,CHOOSE({1,2},INPUT!$A$3:$A$5000&amp;INPUT!$C$3:$C$5000,INPUT!$F$3:$F$5000),2,FALSE),"")</f>
        <v>PRE-TEMPORADA</v>
      </c>
      <c r="H1117" t="str" cm="1">
        <f t="array" ref="H1117">IFERROR(VLOOKUP(INPUT!M1112&amp;INPUT!N1112,CHOOSE({1,2},INPUT!$A$3:$A$5000&amp;INPUT!$C$3:$C$5000,INPUT!$D$3:$D$5000),2,FALSE),"")</f>
        <v>MATINAL</v>
      </c>
      <c r="I1117" s="46">
        <f>IF(INPUT!P1112="","",INPUT!P1112)</f>
        <v>77.7</v>
      </c>
      <c r="J1117" s="46">
        <f>IF(INPUT!Q1112="","",INPUT!Q1112)</f>
        <v>77.7</v>
      </c>
      <c r="K1117" s="46">
        <f>IFERROR(IF(OR(INPUT!P1112="",INPUT!Q1112=""),"",INPUT!P1112-INPUT!Q1112),"")</f>
        <v>0</v>
      </c>
      <c r="L1117" s="48">
        <f>IFERROR(IF(OR(INPUT!P1112="",INPUT!Q1112="",INPUT!P1112=0),"",(INPUT!P1112-INPUT!Q1112)/INPUT!P1112),"")</f>
        <v>0</v>
      </c>
    </row>
    <row r="1118" spans="1:12" ht="18" hidden="1" customHeight="1" x14ac:dyDescent="0.2">
      <c r="A1118" s="11">
        <f>IF(INPUT!M1113="","",INPUT!M1113)</f>
        <v>45965</v>
      </c>
      <c r="B1118" s="11">
        <f>IF(INPUT!M1113="","",INPUT!M1113-WEEKDAY(INPUT!M1113,2)+1)</f>
        <v>45964</v>
      </c>
      <c r="C1118" s="20">
        <f>IFERROR(_xlfn.ISOWEEKNUM(INPUT!M1113),"")</f>
        <v>45</v>
      </c>
      <c r="D1118" s="20">
        <f>IFERROR(YEAR(INPUT!M1113),"")</f>
        <v>2025</v>
      </c>
      <c r="E1118" t="str">
        <f>IF(INPUT!O1113="","",INPUT!O1113)</f>
        <v>PANI</v>
      </c>
      <c r="F1118" t="str">
        <f>IF(INPUT!N1113="","",INPUT!N1113)</f>
        <v>M</v>
      </c>
      <c r="G1118" t="str" cm="1">
        <f t="array" ref="G1118">IFERROR(VLOOKUP(INPUT!M1113&amp;INPUT!N1113,CHOOSE({1,2},INPUT!$A$3:$A$5000&amp;INPUT!$C$3:$C$5000,INPUT!$F$3:$F$5000),2,FALSE),"")</f>
        <v>PRE-TEMPORADA</v>
      </c>
      <c r="H1118" t="str" cm="1">
        <f t="array" ref="H1118">IFERROR(VLOOKUP(INPUT!M1113&amp;INPUT!N1113,CHOOSE({1,2},INPUT!$A$3:$A$5000&amp;INPUT!$C$3:$C$5000,INPUT!$D$3:$D$5000),2,FALSE),"")</f>
        <v>MATINAL</v>
      </c>
      <c r="I1118" s="46">
        <f>IF(INPUT!P1113="","",INPUT!P1113)</f>
        <v>69.3</v>
      </c>
      <c r="J1118" s="46">
        <f>IF(INPUT!Q1113="","",INPUT!Q1113)</f>
        <v>68.7</v>
      </c>
      <c r="K1118" s="46">
        <f>IFERROR(IF(OR(INPUT!P1113="",INPUT!Q1113=""),"",INPUT!P1113-INPUT!Q1113),"")</f>
        <v>0.59999999999999432</v>
      </c>
      <c r="L1118" s="48">
        <f>IFERROR(IF(OR(INPUT!P1113="",INPUT!Q1113="",INPUT!P1113=0),"",(INPUT!P1113-INPUT!Q1113)/INPUT!P1113),"")</f>
        <v>8.6580086580085765E-3</v>
      </c>
    </row>
    <row r="1119" spans="1:12" ht="18" hidden="1" customHeight="1" x14ac:dyDescent="0.2">
      <c r="A1119" s="11">
        <f>IF(INPUT!M1114="","",INPUT!M1114)</f>
        <v>45965</v>
      </c>
      <c r="B1119" s="11">
        <f>IF(INPUT!M1114="","",INPUT!M1114-WEEKDAY(INPUT!M1114,2)+1)</f>
        <v>45964</v>
      </c>
      <c r="C1119" s="20">
        <f>IFERROR(_xlfn.ISOWEEKNUM(INPUT!M1114),"")</f>
        <v>45</v>
      </c>
      <c r="D1119" s="20">
        <f>IFERROR(YEAR(INPUT!M1114),"")</f>
        <v>2025</v>
      </c>
      <c r="E1119" t="str">
        <f>IF(INPUT!O1114="","",INPUT!O1114)</f>
        <v>PIRATA</v>
      </c>
      <c r="F1119" t="str">
        <f>IF(INPUT!N1114="","",INPUT!N1114)</f>
        <v>M</v>
      </c>
      <c r="G1119" t="str" cm="1">
        <f t="array" ref="G1119">IFERROR(VLOOKUP(INPUT!M1114&amp;INPUT!N1114,CHOOSE({1,2},INPUT!$A$3:$A$5000&amp;INPUT!$C$3:$C$5000,INPUT!$F$3:$F$5000),2,FALSE),"")</f>
        <v>PRE-TEMPORADA</v>
      </c>
      <c r="H1119" t="str" cm="1">
        <f t="array" ref="H1119">IFERROR(VLOOKUP(INPUT!M1114&amp;INPUT!N1114,CHOOSE({1,2},INPUT!$A$3:$A$5000&amp;INPUT!$C$3:$C$5000,INPUT!$D$3:$D$5000),2,FALSE),"")</f>
        <v>MATINAL</v>
      </c>
      <c r="I1119" s="46">
        <f>IF(INPUT!P1114="","",INPUT!P1114)</f>
        <v>75.599999999999994</v>
      </c>
      <c r="J1119" s="46">
        <f>IF(INPUT!Q1114="","",INPUT!Q1114)</f>
        <v>75.7</v>
      </c>
      <c r="K1119" s="46">
        <f>IFERROR(IF(OR(INPUT!P1114="",INPUT!Q1114=""),"",INPUT!P1114-INPUT!Q1114),"")</f>
        <v>-0.10000000000000853</v>
      </c>
      <c r="L1119" s="48">
        <f>IFERROR(IF(OR(INPUT!P1114="",INPUT!Q1114="",INPUT!P1114=0),"",(INPUT!P1114-INPUT!Q1114)/INPUT!P1114),"")</f>
        <v>-1.3227513227514357E-3</v>
      </c>
    </row>
    <row r="1120" spans="1:12" ht="18" hidden="1" customHeight="1" x14ac:dyDescent="0.2">
      <c r="A1120" s="11">
        <f>IF(INPUT!M1115="","",INPUT!M1115)</f>
        <v>45965</v>
      </c>
      <c r="B1120" s="11">
        <f>IF(INPUT!M1115="","",INPUT!M1115-WEEKDAY(INPUT!M1115,2)+1)</f>
        <v>45964</v>
      </c>
      <c r="C1120" s="20">
        <f>IFERROR(_xlfn.ISOWEEKNUM(INPUT!M1115),"")</f>
        <v>45</v>
      </c>
      <c r="D1120" s="20">
        <f>IFERROR(YEAR(INPUT!M1115),"")</f>
        <v>2025</v>
      </c>
      <c r="E1120" t="str">
        <f>IF(INPUT!O1115="","",INPUT!O1115)</f>
        <v>BARONA</v>
      </c>
      <c r="F1120" t="str">
        <f>IF(INPUT!N1115="","",INPUT!N1115)</f>
        <v>M</v>
      </c>
      <c r="G1120" t="str" cm="1">
        <f t="array" ref="G1120">IFERROR(VLOOKUP(INPUT!M1115&amp;INPUT!N1115,CHOOSE({1,2},INPUT!$A$3:$A$5000&amp;INPUT!$C$3:$C$5000,INPUT!$F$3:$F$5000),2,FALSE),"")</f>
        <v>PRE-TEMPORADA</v>
      </c>
      <c r="H1120" t="str" cm="1">
        <f t="array" ref="H1120">IFERROR(VLOOKUP(INPUT!M1115&amp;INPUT!N1115,CHOOSE({1,2},INPUT!$A$3:$A$5000&amp;INPUT!$C$3:$C$5000,INPUT!$D$3:$D$5000),2,FALSE),"")</f>
        <v>MATINAL</v>
      </c>
      <c r="I1120" s="46">
        <f>IF(INPUT!P1115="","",INPUT!P1115)</f>
        <v>72</v>
      </c>
      <c r="J1120" s="46">
        <f>IF(INPUT!Q1115="","",INPUT!Q1115)</f>
        <v>71.3</v>
      </c>
      <c r="K1120" s="46">
        <f>IFERROR(IF(OR(INPUT!P1115="",INPUT!Q1115=""),"",INPUT!P1115-INPUT!Q1115),"")</f>
        <v>0.70000000000000284</v>
      </c>
      <c r="L1120" s="48">
        <f>IFERROR(IF(OR(INPUT!P1115="",INPUT!Q1115="",INPUT!P1115=0),"",(INPUT!P1115-INPUT!Q1115)/INPUT!P1115),"")</f>
        <v>9.7222222222222623E-3</v>
      </c>
    </row>
    <row r="1121" spans="1:12" ht="18" customHeight="1" x14ac:dyDescent="0.2">
      <c r="A1121" s="11">
        <f>IF(INPUT!M1116="","",INPUT!M1116)</f>
        <v>45965</v>
      </c>
      <c r="B1121" s="11">
        <f>IF(INPUT!M1116="","",INPUT!M1116-WEEKDAY(INPUT!M1116,2)+1)</f>
        <v>45964</v>
      </c>
      <c r="C1121" s="20">
        <f>IFERROR(_xlfn.ISOWEEKNUM(INPUT!M1116),"")</f>
        <v>45</v>
      </c>
      <c r="D1121" s="20">
        <f>IFERROR(YEAR(INPUT!M1116),"")</f>
        <v>2025</v>
      </c>
      <c r="E1121" t="str">
        <f>IF(INPUT!O1116="","",INPUT!O1116)</f>
        <v>CARLOS</v>
      </c>
      <c r="F1121" t="str">
        <f>IF(INPUT!N1116="","",INPUT!N1116)</f>
        <v>M</v>
      </c>
      <c r="G1121" t="str" cm="1">
        <f t="array" ref="G1121">IFERROR(VLOOKUP(INPUT!M1116&amp;INPUT!N1116,CHOOSE({1,2},INPUT!$A$3:$A$5000&amp;INPUT!$C$3:$C$5000,INPUT!$F$3:$F$5000),2,FALSE),"")</f>
        <v>PRE-TEMPORADA</v>
      </c>
      <c r="H1121" t="str" cm="1">
        <f t="array" ref="H1121">IFERROR(VLOOKUP(INPUT!M1116&amp;INPUT!N1116,CHOOSE({1,2},INPUT!$A$3:$A$5000&amp;INPUT!$C$3:$C$5000,INPUT!$D$3:$D$5000),2,FALSE),"")</f>
        <v>MATINAL</v>
      </c>
      <c r="I1121" s="46">
        <f>IF(INPUT!P1116="","",INPUT!P1116)</f>
        <v>66.8</v>
      </c>
      <c r="J1121" s="46">
        <f>IF(INPUT!Q1116="","",INPUT!Q1116)</f>
        <v>66.5</v>
      </c>
      <c r="K1121" s="46">
        <f>IFERROR(IF(OR(INPUT!P1116="",INPUT!Q1116=""),"",INPUT!P1116-INPUT!Q1116),"")</f>
        <v>0.29999999999999716</v>
      </c>
      <c r="L1121" s="48">
        <f>IFERROR(IF(OR(INPUT!P1116="",INPUT!Q1116="",INPUT!P1116=0),"",(INPUT!P1116-INPUT!Q1116)/INPUT!P1116),"")</f>
        <v>4.4910179640718136E-3</v>
      </c>
    </row>
    <row r="1122" spans="1:12" ht="18" customHeight="1" x14ac:dyDescent="0.2">
      <c r="A1122" s="11">
        <f>IF(INPUT!M1117="","",INPUT!M1117)</f>
        <v>45965</v>
      </c>
      <c r="B1122" s="11">
        <f>IF(INPUT!M1117="","",INPUT!M1117-WEEKDAY(INPUT!M1117,2)+1)</f>
        <v>45964</v>
      </c>
      <c r="C1122" s="20">
        <f>IFERROR(_xlfn.ISOWEEKNUM(INPUT!M1117),"")</f>
        <v>45</v>
      </c>
      <c r="D1122" s="20">
        <f>IFERROR(YEAR(INPUT!M1117),"")</f>
        <v>2025</v>
      </c>
      <c r="E1122" t="str">
        <f>IF(INPUT!O1117="","",INPUT!O1117)</f>
        <v>RUBIO</v>
      </c>
      <c r="F1122" t="str">
        <f>IF(INPUT!N1117="","",INPUT!N1117)</f>
        <v>M</v>
      </c>
      <c r="G1122" t="str" cm="1">
        <f t="array" ref="G1122">IFERROR(VLOOKUP(INPUT!M1117&amp;INPUT!N1117,CHOOSE({1,2},INPUT!$A$3:$A$5000&amp;INPUT!$C$3:$C$5000,INPUT!$F$3:$F$5000),2,FALSE),"")</f>
        <v>PRE-TEMPORADA</v>
      </c>
      <c r="H1122" t="str" cm="1">
        <f t="array" ref="H1122">IFERROR(VLOOKUP(INPUT!M1117&amp;INPUT!N1117,CHOOSE({1,2},INPUT!$A$3:$A$5000&amp;INPUT!$C$3:$C$5000,INPUT!$D$3:$D$5000),2,FALSE),"")</f>
        <v>MATINAL</v>
      </c>
      <c r="I1122" s="46">
        <f>IF(INPUT!P1117="","",INPUT!P1117)</f>
        <v>74.8</v>
      </c>
      <c r="J1122" s="46">
        <f>IF(INPUT!Q1117="","",INPUT!Q1117)</f>
        <v>74.7</v>
      </c>
      <c r="K1122" s="46">
        <f>IFERROR(IF(OR(INPUT!P1117="",INPUT!Q1117=""),"",INPUT!P1117-INPUT!Q1117),"")</f>
        <v>9.9999999999994316E-2</v>
      </c>
      <c r="L1122" s="48">
        <f>IFERROR(IF(OR(INPUT!P1117="",INPUT!Q1117="",INPUT!P1117=0),"",(INPUT!P1117-INPUT!Q1117)/INPUT!P1117),"")</f>
        <v>1.3368983957218492E-3</v>
      </c>
    </row>
    <row r="1123" spans="1:12" ht="18" customHeight="1" x14ac:dyDescent="0.2">
      <c r="A1123" s="11">
        <f>IF(INPUT!M1118="","",INPUT!M1118)</f>
        <v>45965</v>
      </c>
      <c r="B1123" s="11">
        <f>IF(INPUT!M1118="","",INPUT!M1118-WEEKDAY(INPUT!M1118,2)+1)</f>
        <v>45964</v>
      </c>
      <c r="C1123" s="20">
        <f>IFERROR(_xlfn.ISOWEEKNUM(INPUT!M1118),"")</f>
        <v>45</v>
      </c>
      <c r="D1123" s="20">
        <f>IFERROR(YEAR(INPUT!M1118),"")</f>
        <v>2025</v>
      </c>
      <c r="E1123" t="str">
        <f>IF(INPUT!O1118="","",INPUT!O1118)</f>
        <v>DANI</v>
      </c>
      <c r="F1123" t="str">
        <f>IF(INPUT!N1118="","",INPUT!N1118)</f>
        <v>M</v>
      </c>
      <c r="G1123" t="str" cm="1">
        <f t="array" ref="G1123">IFERROR(VLOOKUP(INPUT!M1118&amp;INPUT!N1118,CHOOSE({1,2},INPUT!$A$3:$A$5000&amp;INPUT!$C$3:$C$5000,INPUT!$F$3:$F$5000),2,FALSE),"")</f>
        <v>PRE-TEMPORADA</v>
      </c>
      <c r="H1123" t="str" cm="1">
        <f t="array" ref="H1123">IFERROR(VLOOKUP(INPUT!M1118&amp;INPUT!N1118,CHOOSE({1,2},INPUT!$A$3:$A$5000&amp;INPUT!$C$3:$C$5000,INPUT!$D$3:$D$5000),2,FALSE),"")</f>
        <v>MATINAL</v>
      </c>
      <c r="I1123" s="46">
        <f>IF(INPUT!P1118="","",INPUT!P1118)</f>
        <v>93.3</v>
      </c>
      <c r="J1123" s="46">
        <f>IF(INPUT!Q1118="","",INPUT!Q1118)</f>
        <v>93.8</v>
      </c>
      <c r="K1123" s="46">
        <f>IFERROR(IF(OR(INPUT!P1118="",INPUT!Q1118=""),"",INPUT!P1118-INPUT!Q1118),"")</f>
        <v>-0.5</v>
      </c>
      <c r="L1123" s="48">
        <f>IFERROR(IF(OR(INPUT!P1118="",INPUT!Q1118="",INPUT!P1118=0),"",(INPUT!P1118-INPUT!Q1118)/INPUT!P1118),"")</f>
        <v>-5.3590568060021436E-3</v>
      </c>
    </row>
    <row r="1124" spans="1:12" ht="18" hidden="1" customHeight="1" x14ac:dyDescent="0.2">
      <c r="A1124" s="11">
        <f>IF(INPUT!M1119="","",INPUT!M1119)</f>
        <v>45965</v>
      </c>
      <c r="B1124" s="11">
        <f>IF(INPUT!M1119="","",INPUT!M1119-WEEKDAY(INPUT!M1119,2)+1)</f>
        <v>45964</v>
      </c>
      <c r="C1124" s="20">
        <f>IFERROR(_xlfn.ISOWEEKNUM(INPUT!M1119),"")</f>
        <v>45</v>
      </c>
      <c r="D1124" s="20">
        <f>IFERROR(YEAR(INPUT!M1119),"")</f>
        <v>2025</v>
      </c>
      <c r="E1124" t="str">
        <f>IF(INPUT!O1119="","",INPUT!O1119)</f>
        <v>JAIME</v>
      </c>
      <c r="F1124" t="str">
        <f>IF(INPUT!N1119="","",INPUT!N1119)</f>
        <v>M</v>
      </c>
      <c r="G1124" t="str" cm="1">
        <f t="array" ref="G1124">IFERROR(VLOOKUP(INPUT!M1119&amp;INPUT!N1119,CHOOSE({1,2},INPUT!$A$3:$A$5000&amp;INPUT!$C$3:$C$5000,INPUT!$F$3:$F$5000),2,FALSE),"")</f>
        <v>PRE-TEMPORADA</v>
      </c>
      <c r="H1124" t="str" cm="1">
        <f t="array" ref="H1124">IFERROR(VLOOKUP(INPUT!M1119&amp;INPUT!N1119,CHOOSE({1,2},INPUT!$A$3:$A$5000&amp;INPUT!$C$3:$C$5000,INPUT!$D$3:$D$5000),2,FALSE),"")</f>
        <v>MATINAL</v>
      </c>
      <c r="I1124" s="46">
        <f>IF(INPUT!P1119="","",INPUT!P1119)</f>
        <v>76.2</v>
      </c>
      <c r="J1124" s="46">
        <f>IF(INPUT!Q1119="","",INPUT!Q1119)</f>
        <v>76</v>
      </c>
      <c r="K1124" s="46">
        <f>IFERROR(IF(OR(INPUT!P1119="",INPUT!Q1119=""),"",INPUT!P1119-INPUT!Q1119),"")</f>
        <v>0.20000000000000284</v>
      </c>
      <c r="L1124" s="48">
        <f>IFERROR(IF(OR(INPUT!P1119="",INPUT!Q1119="",INPUT!P1119=0),"",(INPUT!P1119-INPUT!Q1119)/INPUT!P1119),"")</f>
        <v>2.6246719160105359E-3</v>
      </c>
    </row>
    <row r="1125" spans="1:12" ht="18" hidden="1" customHeight="1" x14ac:dyDescent="0.2">
      <c r="A1125" s="11">
        <f>IF(INPUT!M1120="","",INPUT!M1120)</f>
        <v>45968</v>
      </c>
      <c r="B1125" s="11">
        <f>IF(INPUT!M1120="","",INPUT!M1120-WEEKDAY(INPUT!M1120,2)+1)</f>
        <v>45964</v>
      </c>
      <c r="C1125" s="20">
        <f>IFERROR(_xlfn.ISOWEEKNUM(INPUT!M1120),"")</f>
        <v>45</v>
      </c>
      <c r="D1125" s="20">
        <f>IFERROR(YEAR(INPUT!M1120),"")</f>
        <v>2025</v>
      </c>
      <c r="E1125" t="str">
        <f>IF(INPUT!O1120="","",INPUT!O1120)</f>
        <v>HERRERO</v>
      </c>
      <c r="F1125" t="str">
        <f>IF(INPUT!N1120="","",INPUT!N1120)</f>
        <v>T</v>
      </c>
      <c r="G1125" t="str" cm="1">
        <f t="array" ref="G1125">IFERROR(VLOOKUP(INPUT!M1120&amp;INPUT!N1120,CHOOSE({1,2},INPUT!$A$3:$A$5000&amp;INPUT!$C$3:$C$5000,INPUT!$F$3:$F$5000),2,FALSE),"")</f>
        <v>PRE-TEMPORADA</v>
      </c>
      <c r="H1125" t="str" cm="1">
        <f t="array" ref="H1125">IFERROR(VLOOKUP(INPUT!M1120&amp;INPUT!N1120,CHOOSE({1,2},INPUT!$A$3:$A$5000&amp;INPUT!$C$3:$C$5000,INPUT!$D$3:$D$5000),2,FALSE),"")</f>
        <v>PARTIDO</v>
      </c>
      <c r="I1125" s="46">
        <f>IF(INPUT!P1120="","",INPUT!P1120)</f>
        <v>77</v>
      </c>
      <c r="J1125" s="46">
        <f>IF(INPUT!Q1120="","",INPUT!Q1120)</f>
        <v>75.8</v>
      </c>
      <c r="K1125" s="46">
        <f>IFERROR(IF(OR(INPUT!P1120="",INPUT!Q1120=""),"",INPUT!P1120-INPUT!Q1120),"")</f>
        <v>1.2000000000000028</v>
      </c>
      <c r="L1125" s="48">
        <f>IFERROR(IF(OR(INPUT!P1120="",INPUT!Q1120="",INPUT!P1120=0),"",(INPUT!P1120-INPUT!Q1120)/INPUT!P1120),"")</f>
        <v>1.5584415584415621E-2</v>
      </c>
    </row>
    <row r="1126" spans="1:12" ht="18" hidden="1" customHeight="1" x14ac:dyDescent="0.2">
      <c r="A1126" s="11">
        <f>IF(INPUT!M1121="","",INPUT!M1121)</f>
        <v>45968</v>
      </c>
      <c r="B1126" s="11">
        <f>IF(INPUT!M1121="","",INPUT!M1121-WEEKDAY(INPUT!M1121,2)+1)</f>
        <v>45964</v>
      </c>
      <c r="C1126" s="20">
        <f>IFERROR(_xlfn.ISOWEEKNUM(INPUT!M1121),"")</f>
        <v>45</v>
      </c>
      <c r="D1126" s="20">
        <f>IFERROR(YEAR(INPUT!M1121),"")</f>
        <v>2025</v>
      </c>
      <c r="E1126" t="str">
        <f>IF(INPUT!O1121="","",INPUT!O1121)</f>
        <v>GARCIA</v>
      </c>
      <c r="F1126" t="str">
        <f>IF(INPUT!N1121="","",INPUT!N1121)</f>
        <v>T</v>
      </c>
      <c r="G1126" t="str" cm="1">
        <f t="array" ref="G1126">IFERROR(VLOOKUP(INPUT!M1121&amp;INPUT!N1121,CHOOSE({1,2},INPUT!$A$3:$A$5000&amp;INPUT!$C$3:$C$5000,INPUT!$F$3:$F$5000),2,FALSE),"")</f>
        <v>PRE-TEMPORADA</v>
      </c>
      <c r="H1126" t="str" cm="1">
        <f t="array" ref="H1126">IFERROR(VLOOKUP(INPUT!M1121&amp;INPUT!N1121,CHOOSE({1,2},INPUT!$A$3:$A$5000&amp;INPUT!$C$3:$C$5000,INPUT!$D$3:$D$5000),2,FALSE),"")</f>
        <v>PARTIDO</v>
      </c>
      <c r="I1126" s="46">
        <f>IF(INPUT!P1121="","",INPUT!P1121)</f>
        <v>79.5</v>
      </c>
      <c r="J1126" s="46">
        <f>IF(INPUT!Q1121="","",INPUT!Q1121)</f>
        <v>79.400000000000006</v>
      </c>
      <c r="K1126" s="46">
        <f>IFERROR(IF(OR(INPUT!P1121="",INPUT!Q1121=""),"",INPUT!P1121-INPUT!Q1121),"")</f>
        <v>9.9999999999994316E-2</v>
      </c>
      <c r="L1126" s="48">
        <f>IFERROR(IF(OR(INPUT!P1121="",INPUT!Q1121="",INPUT!P1121=0),"",(INPUT!P1121-INPUT!Q1121)/INPUT!P1121),"")</f>
        <v>1.2578616352200544E-3</v>
      </c>
    </row>
    <row r="1127" spans="1:12" ht="18" hidden="1" customHeight="1" x14ac:dyDescent="0.2">
      <c r="A1127" s="11">
        <f>IF(INPUT!M1122="","",INPUT!M1122)</f>
        <v>45968</v>
      </c>
      <c r="B1127" s="11">
        <f>IF(INPUT!M1122="","",INPUT!M1122-WEEKDAY(INPUT!M1122,2)+1)</f>
        <v>45964</v>
      </c>
      <c r="C1127" s="20">
        <f>IFERROR(_xlfn.ISOWEEKNUM(INPUT!M1122),"")</f>
        <v>45</v>
      </c>
      <c r="D1127" s="20">
        <f>IFERROR(YEAR(INPUT!M1122),"")</f>
        <v>2025</v>
      </c>
      <c r="E1127" t="str">
        <f>IF(INPUT!O1122="","",INPUT!O1122)</f>
        <v>CECILIO</v>
      </c>
      <c r="F1127" t="str">
        <f>IF(INPUT!N1122="","",INPUT!N1122)</f>
        <v>T</v>
      </c>
      <c r="G1127" t="str" cm="1">
        <f t="array" ref="G1127">IFERROR(VLOOKUP(INPUT!M1122&amp;INPUT!N1122,CHOOSE({1,2},INPUT!$A$3:$A$5000&amp;INPUT!$C$3:$C$5000,INPUT!$F$3:$F$5000),2,FALSE),"")</f>
        <v>PRE-TEMPORADA</v>
      </c>
      <c r="H1127" t="str" cm="1">
        <f t="array" ref="H1127">IFERROR(VLOOKUP(INPUT!M1122&amp;INPUT!N1122,CHOOSE({1,2},INPUT!$A$3:$A$5000&amp;INPUT!$C$3:$C$5000,INPUT!$D$3:$D$5000),2,FALSE),"")</f>
        <v>PARTIDO</v>
      </c>
      <c r="I1127" s="46">
        <f>IF(INPUT!P1122="","",INPUT!P1122)</f>
        <v>68</v>
      </c>
      <c r="J1127" s="46">
        <f>IF(INPUT!Q1122="","",INPUT!Q1122)</f>
        <v>67.5</v>
      </c>
      <c r="K1127" s="46">
        <f>IFERROR(IF(OR(INPUT!P1122="",INPUT!Q1122=""),"",INPUT!P1122-INPUT!Q1122),"")</f>
        <v>0.5</v>
      </c>
      <c r="L1127" s="48">
        <f>IFERROR(IF(OR(INPUT!P1122="",INPUT!Q1122="",INPUT!P1122=0),"",(INPUT!P1122-INPUT!Q1122)/INPUT!P1122),"")</f>
        <v>7.3529411764705881E-3</v>
      </c>
    </row>
    <row r="1128" spans="1:12" ht="18" hidden="1" customHeight="1" x14ac:dyDescent="0.2">
      <c r="A1128" s="11">
        <f>IF(INPUT!M1123="","",INPUT!M1123)</f>
        <v>45968</v>
      </c>
      <c r="B1128" s="11">
        <f>IF(INPUT!M1123="","",INPUT!M1123-WEEKDAY(INPUT!M1123,2)+1)</f>
        <v>45964</v>
      </c>
      <c r="C1128" s="20">
        <f>IFERROR(_xlfn.ISOWEEKNUM(INPUT!M1123),"")</f>
        <v>45</v>
      </c>
      <c r="D1128" s="20">
        <f>IFERROR(YEAR(INPUT!M1123),"")</f>
        <v>2025</v>
      </c>
      <c r="E1128" t="str">
        <f>IF(INPUT!O1123="","",INPUT!O1123)</f>
        <v>CHAGUINHA</v>
      </c>
      <c r="F1128" t="str">
        <f>IF(INPUT!N1123="","",INPUT!N1123)</f>
        <v>T</v>
      </c>
      <c r="G1128" t="str" cm="1">
        <f t="array" ref="G1128">IFERROR(VLOOKUP(INPUT!M1123&amp;INPUT!N1123,CHOOSE({1,2},INPUT!$A$3:$A$5000&amp;INPUT!$C$3:$C$5000,INPUT!$F$3:$F$5000),2,FALSE),"")</f>
        <v>PRE-TEMPORADA</v>
      </c>
      <c r="H1128" t="str" cm="1">
        <f t="array" ref="H1128">IFERROR(VLOOKUP(INPUT!M1123&amp;INPUT!N1123,CHOOSE({1,2},INPUT!$A$3:$A$5000&amp;INPUT!$C$3:$C$5000,INPUT!$D$3:$D$5000),2,FALSE),"")</f>
        <v>PARTIDO</v>
      </c>
      <c r="I1128" s="46">
        <f>IF(INPUT!P1123="","",INPUT!P1123)</f>
        <v>68.7</v>
      </c>
      <c r="J1128" s="46">
        <f>IF(INPUT!Q1123="","",INPUT!Q1123)</f>
        <v>67.900000000000006</v>
      </c>
      <c r="K1128" s="46">
        <f>IFERROR(IF(OR(INPUT!P1123="",INPUT!Q1123=""),"",INPUT!P1123-INPUT!Q1123),"")</f>
        <v>0.79999999999999716</v>
      </c>
      <c r="L1128" s="48">
        <f>IFERROR(IF(OR(INPUT!P1123="",INPUT!Q1123="",INPUT!P1123=0),"",(INPUT!P1123-INPUT!Q1123)/INPUT!P1123),"")</f>
        <v>1.1644832605531254E-2</v>
      </c>
    </row>
    <row r="1129" spans="1:12" ht="18" hidden="1" customHeight="1" x14ac:dyDescent="0.2">
      <c r="A1129" s="11">
        <f>IF(INPUT!M1124="","",INPUT!M1124)</f>
        <v>45968</v>
      </c>
      <c r="B1129" s="11">
        <f>IF(INPUT!M1124="","",INPUT!M1124-WEEKDAY(INPUT!M1124,2)+1)</f>
        <v>45964</v>
      </c>
      <c r="C1129" s="20">
        <f>IFERROR(_xlfn.ISOWEEKNUM(INPUT!M1124),"")</f>
        <v>45</v>
      </c>
      <c r="D1129" s="20">
        <f>IFERROR(YEAR(INPUT!M1124),"")</f>
        <v>2025</v>
      </c>
      <c r="E1129" t="str">
        <f>IF(INPUT!O1124="","",INPUT!O1124)</f>
        <v>RAUL</v>
      </c>
      <c r="F1129" t="str">
        <f>IF(INPUT!N1124="","",INPUT!N1124)</f>
        <v>T</v>
      </c>
      <c r="G1129" t="str" cm="1">
        <f t="array" ref="G1129">IFERROR(VLOOKUP(INPUT!M1124&amp;INPUT!N1124,CHOOSE({1,2},INPUT!$A$3:$A$5000&amp;INPUT!$C$3:$C$5000,INPUT!$F$3:$F$5000),2,FALSE),"")</f>
        <v>PRE-TEMPORADA</v>
      </c>
      <c r="H1129" t="str" cm="1">
        <f t="array" ref="H1129">IFERROR(VLOOKUP(INPUT!M1124&amp;INPUT!N1124,CHOOSE({1,2},INPUT!$A$3:$A$5000&amp;INPUT!$C$3:$C$5000,INPUT!$D$3:$D$5000),2,FALSE),"")</f>
        <v>PARTIDO</v>
      </c>
      <c r="I1129" s="46">
        <f>IF(INPUT!P1124="","",INPUT!P1124)</f>
        <v>81.900000000000006</v>
      </c>
      <c r="J1129" s="46">
        <f>IF(INPUT!Q1124="","",INPUT!Q1124)</f>
        <v>80.5</v>
      </c>
      <c r="K1129" s="46">
        <f>IFERROR(IF(OR(INPUT!P1124="",INPUT!Q1124=""),"",INPUT!P1124-INPUT!Q1124),"")</f>
        <v>1.4000000000000057</v>
      </c>
      <c r="L1129" s="48">
        <f>IFERROR(IF(OR(INPUT!P1124="",INPUT!Q1124="",INPUT!P1124=0),"",(INPUT!P1124-INPUT!Q1124)/INPUT!P1124),"")</f>
        <v>1.7094017094017162E-2</v>
      </c>
    </row>
    <row r="1130" spans="1:12" ht="18" hidden="1" customHeight="1" x14ac:dyDescent="0.2">
      <c r="A1130" s="11">
        <f>IF(INPUT!M1125="","",INPUT!M1125)</f>
        <v>45968</v>
      </c>
      <c r="B1130" s="11">
        <f>IF(INPUT!M1125="","",INPUT!M1125-WEEKDAY(INPUT!M1125,2)+1)</f>
        <v>45964</v>
      </c>
      <c r="C1130" s="20">
        <f>IFERROR(_xlfn.ISOWEEKNUM(INPUT!M1125),"")</f>
        <v>45</v>
      </c>
      <c r="D1130" s="20">
        <f>IFERROR(YEAR(INPUT!M1125),"")</f>
        <v>2025</v>
      </c>
      <c r="E1130" t="str">
        <f>IF(INPUT!O1125="","",INPUT!O1125)</f>
        <v>HARRISON</v>
      </c>
      <c r="F1130" t="str">
        <f>IF(INPUT!N1125="","",INPUT!N1125)</f>
        <v>T</v>
      </c>
      <c r="G1130" t="str" cm="1">
        <f t="array" ref="G1130">IFERROR(VLOOKUP(INPUT!M1125&amp;INPUT!N1125,CHOOSE({1,2},INPUT!$A$3:$A$5000&amp;INPUT!$C$3:$C$5000,INPUT!$F$3:$F$5000),2,FALSE),"")</f>
        <v>PRE-TEMPORADA</v>
      </c>
      <c r="H1130" t="str" cm="1">
        <f t="array" ref="H1130">IFERROR(VLOOKUP(INPUT!M1125&amp;INPUT!N1125,CHOOSE({1,2},INPUT!$A$3:$A$5000&amp;INPUT!$C$3:$C$5000,INPUT!$D$3:$D$5000),2,FALSE),"")</f>
        <v>PARTIDO</v>
      </c>
      <c r="I1130" s="46">
        <f>IF(INPUT!P1125="","",INPUT!P1125)</f>
        <v>72</v>
      </c>
      <c r="J1130" s="46">
        <f>IF(INPUT!Q1125="","",INPUT!Q1125)</f>
        <v>71.7</v>
      </c>
      <c r="K1130" s="46">
        <f>IFERROR(IF(OR(INPUT!P1125="",INPUT!Q1125=""),"",INPUT!P1125-INPUT!Q1125),"")</f>
        <v>0.29999999999999716</v>
      </c>
      <c r="L1130" s="48">
        <f>IFERROR(IF(OR(INPUT!P1125="",INPUT!Q1125="",INPUT!P1125=0),"",(INPUT!P1125-INPUT!Q1125)/INPUT!P1125),"")</f>
        <v>4.1666666666666276E-3</v>
      </c>
    </row>
    <row r="1131" spans="1:12" ht="18" hidden="1" customHeight="1" x14ac:dyDescent="0.2">
      <c r="A1131" s="11">
        <f>IF(INPUT!M1126="","",INPUT!M1126)</f>
        <v>45968</v>
      </c>
      <c r="B1131" s="11">
        <f>IF(INPUT!M1126="","",INPUT!M1126-WEEKDAY(INPUT!M1126,2)+1)</f>
        <v>45964</v>
      </c>
      <c r="C1131" s="20">
        <f>IFERROR(_xlfn.ISOWEEKNUM(INPUT!M1126),"")</f>
        <v>45</v>
      </c>
      <c r="D1131" s="20">
        <f>IFERROR(YEAR(INPUT!M1126),"")</f>
        <v>2025</v>
      </c>
      <c r="E1131" t="str">
        <f>IF(INPUT!O1126="","",INPUT!O1126)</f>
        <v>RAYA</v>
      </c>
      <c r="F1131" t="str">
        <f>IF(INPUT!N1126="","",INPUT!N1126)</f>
        <v>T</v>
      </c>
      <c r="G1131" t="str" cm="1">
        <f t="array" ref="G1131">IFERROR(VLOOKUP(INPUT!M1126&amp;INPUT!N1126,CHOOSE({1,2},INPUT!$A$3:$A$5000&amp;INPUT!$C$3:$C$5000,INPUT!$F$3:$F$5000),2,FALSE),"")</f>
        <v>PRE-TEMPORADA</v>
      </c>
      <c r="H1131" t="str" cm="1">
        <f t="array" ref="H1131">IFERROR(VLOOKUP(INPUT!M1126&amp;INPUT!N1126,CHOOSE({1,2},INPUT!$A$3:$A$5000&amp;INPUT!$C$3:$C$5000,INPUT!$D$3:$D$5000),2,FALSE),"")</f>
        <v>PARTIDO</v>
      </c>
      <c r="I1131" s="46">
        <f>IF(INPUT!P1126="","",INPUT!P1126)</f>
        <v>82.5</v>
      </c>
      <c r="J1131" s="46">
        <f>IF(INPUT!Q1126="","",INPUT!Q1126)</f>
        <v>80.5</v>
      </c>
      <c r="K1131" s="46">
        <f>IFERROR(IF(OR(INPUT!P1126="",INPUT!Q1126=""),"",INPUT!P1126-INPUT!Q1126),"")</f>
        <v>2</v>
      </c>
      <c r="L1131" s="48">
        <f>IFERROR(IF(OR(INPUT!P1126="",INPUT!Q1126="",INPUT!P1126=0),"",(INPUT!P1126-INPUT!Q1126)/INPUT!P1126),"")</f>
        <v>2.4242424242424242E-2</v>
      </c>
    </row>
    <row r="1132" spans="1:12" ht="18" hidden="1" customHeight="1" x14ac:dyDescent="0.2">
      <c r="A1132" s="11">
        <f>IF(INPUT!M1127="","",INPUT!M1127)</f>
        <v>45968</v>
      </c>
      <c r="B1132" s="11">
        <f>IF(INPUT!M1127="","",INPUT!M1127-WEEKDAY(INPUT!M1127,2)+1)</f>
        <v>45964</v>
      </c>
      <c r="C1132" s="20">
        <f>IFERROR(_xlfn.ISOWEEKNUM(INPUT!M1127),"")</f>
        <v>45</v>
      </c>
      <c r="D1132" s="20">
        <f>IFERROR(YEAR(INPUT!M1127),"")</f>
        <v>2025</v>
      </c>
      <c r="E1132" t="str">
        <f>IF(INPUT!O1127="","",INPUT!O1127)</f>
        <v>JAVI</v>
      </c>
      <c r="F1132" t="str">
        <f>IF(INPUT!N1127="","",INPUT!N1127)</f>
        <v>T</v>
      </c>
      <c r="G1132" t="str" cm="1">
        <f t="array" ref="G1132">IFERROR(VLOOKUP(INPUT!M1127&amp;INPUT!N1127,CHOOSE({1,2},INPUT!$A$3:$A$5000&amp;INPUT!$C$3:$C$5000,INPUT!$F$3:$F$5000),2,FALSE),"")</f>
        <v>PRE-TEMPORADA</v>
      </c>
      <c r="H1132" t="str" cm="1">
        <f t="array" ref="H1132">IFERROR(VLOOKUP(INPUT!M1127&amp;INPUT!N1127,CHOOSE({1,2},INPUT!$A$3:$A$5000&amp;INPUT!$C$3:$C$5000,INPUT!$D$3:$D$5000),2,FALSE),"")</f>
        <v>PARTIDO</v>
      </c>
      <c r="I1132" s="46">
        <f>IF(INPUT!P1127="","",INPUT!P1127)</f>
        <v>77.7</v>
      </c>
      <c r="J1132" s="46">
        <f>IF(INPUT!Q1127="","",INPUT!Q1127)</f>
        <v>77.7</v>
      </c>
      <c r="K1132" s="46">
        <f>IFERROR(IF(OR(INPUT!P1127="",INPUT!Q1127=""),"",INPUT!P1127-INPUT!Q1127),"")</f>
        <v>0</v>
      </c>
      <c r="L1132" s="48">
        <f>IFERROR(IF(OR(INPUT!P1127="",INPUT!Q1127="",INPUT!P1127=0),"",(INPUT!P1127-INPUT!Q1127)/INPUT!P1127),"")</f>
        <v>0</v>
      </c>
    </row>
    <row r="1133" spans="1:12" ht="18" hidden="1" customHeight="1" x14ac:dyDescent="0.2">
      <c r="A1133" s="11">
        <f>IF(INPUT!M1128="","",INPUT!M1128)</f>
        <v>45968</v>
      </c>
      <c r="B1133" s="11">
        <f>IF(INPUT!M1128="","",INPUT!M1128-WEEKDAY(INPUT!M1128,2)+1)</f>
        <v>45964</v>
      </c>
      <c r="C1133" s="20">
        <f>IFERROR(_xlfn.ISOWEEKNUM(INPUT!M1128),"")</f>
        <v>45</v>
      </c>
      <c r="D1133" s="20">
        <f>IFERROR(YEAR(INPUT!M1128),"")</f>
        <v>2025</v>
      </c>
      <c r="E1133" t="str">
        <f>IF(INPUT!O1128="","",INPUT!O1128)</f>
        <v>PANI</v>
      </c>
      <c r="F1133" t="str">
        <f>IF(INPUT!N1128="","",INPUT!N1128)</f>
        <v>T</v>
      </c>
      <c r="G1133" t="str" cm="1">
        <f t="array" ref="G1133">IFERROR(VLOOKUP(INPUT!M1128&amp;INPUT!N1128,CHOOSE({1,2},INPUT!$A$3:$A$5000&amp;INPUT!$C$3:$C$5000,INPUT!$F$3:$F$5000),2,FALSE),"")</f>
        <v>PRE-TEMPORADA</v>
      </c>
      <c r="H1133" t="str" cm="1">
        <f t="array" ref="H1133">IFERROR(VLOOKUP(INPUT!M1128&amp;INPUT!N1128,CHOOSE({1,2},INPUT!$A$3:$A$5000&amp;INPUT!$C$3:$C$5000,INPUT!$D$3:$D$5000),2,FALSE),"")</f>
        <v>PARTIDO</v>
      </c>
      <c r="I1133" s="46">
        <f>IF(INPUT!P1128="","",INPUT!P1128)</f>
        <v>68.900000000000006</v>
      </c>
      <c r="J1133" s="46">
        <f>IF(INPUT!Q1128="","",INPUT!Q1128)</f>
        <v>68.8</v>
      </c>
      <c r="K1133" s="46">
        <f>IFERROR(IF(OR(INPUT!P1128="",INPUT!Q1128=""),"",INPUT!P1128-INPUT!Q1128),"")</f>
        <v>0.10000000000000853</v>
      </c>
      <c r="L1133" s="48">
        <f>IFERROR(IF(OR(INPUT!P1128="",INPUT!Q1128="",INPUT!P1128=0),"",(INPUT!P1128-INPUT!Q1128)/INPUT!P1128),"")</f>
        <v>1.4513788098694995E-3</v>
      </c>
    </row>
    <row r="1134" spans="1:12" ht="18" hidden="1" customHeight="1" x14ac:dyDescent="0.2">
      <c r="A1134" s="11">
        <f>IF(INPUT!M1129="","",INPUT!M1129)</f>
        <v>45968</v>
      </c>
      <c r="B1134" s="11">
        <f>IF(INPUT!M1129="","",INPUT!M1129-WEEKDAY(INPUT!M1129,2)+1)</f>
        <v>45964</v>
      </c>
      <c r="C1134" s="20">
        <f>IFERROR(_xlfn.ISOWEEKNUM(INPUT!M1129),"")</f>
        <v>45</v>
      </c>
      <c r="D1134" s="20">
        <f>IFERROR(YEAR(INPUT!M1129),"")</f>
        <v>2025</v>
      </c>
      <c r="E1134" t="str">
        <f>IF(INPUT!O1129="","",INPUT!O1129)</f>
        <v>PIRATA</v>
      </c>
      <c r="F1134" t="str">
        <f>IF(INPUT!N1129="","",INPUT!N1129)</f>
        <v>T</v>
      </c>
      <c r="G1134" t="str" cm="1">
        <f t="array" ref="G1134">IFERROR(VLOOKUP(INPUT!M1129&amp;INPUT!N1129,CHOOSE({1,2},INPUT!$A$3:$A$5000&amp;INPUT!$C$3:$C$5000,INPUT!$F$3:$F$5000),2,FALSE),"")</f>
        <v>PRE-TEMPORADA</v>
      </c>
      <c r="H1134" t="str" cm="1">
        <f t="array" ref="H1134">IFERROR(VLOOKUP(INPUT!M1129&amp;INPUT!N1129,CHOOSE({1,2},INPUT!$A$3:$A$5000&amp;INPUT!$C$3:$C$5000,INPUT!$D$3:$D$5000),2,FALSE),"")</f>
        <v>PARTIDO</v>
      </c>
      <c r="I1134" s="46">
        <f>IF(INPUT!P1129="","",INPUT!P1129)</f>
        <v>75.900000000000006</v>
      </c>
      <c r="J1134" s="46">
        <f>IF(INPUT!Q1129="","",INPUT!Q1129)</f>
        <v>75.5</v>
      </c>
      <c r="K1134" s="46">
        <f>IFERROR(IF(OR(INPUT!P1129="",INPUT!Q1129=""),"",INPUT!P1129-INPUT!Q1129),"")</f>
        <v>0.40000000000000568</v>
      </c>
      <c r="L1134" s="48">
        <f>IFERROR(IF(OR(INPUT!P1129="",INPUT!Q1129="",INPUT!P1129=0),"",(INPUT!P1129-INPUT!Q1129)/INPUT!P1129),"")</f>
        <v>5.2700922266140406E-3</v>
      </c>
    </row>
    <row r="1135" spans="1:12" ht="18" hidden="1" customHeight="1" x14ac:dyDescent="0.2">
      <c r="A1135" s="11">
        <f>IF(INPUT!M1130="","",INPUT!M1130)</f>
        <v>45968</v>
      </c>
      <c r="B1135" s="11">
        <f>IF(INPUT!M1130="","",INPUT!M1130-WEEKDAY(INPUT!M1130,2)+1)</f>
        <v>45964</v>
      </c>
      <c r="C1135" s="20">
        <f>IFERROR(_xlfn.ISOWEEKNUM(INPUT!M1130),"")</f>
        <v>45</v>
      </c>
      <c r="D1135" s="20">
        <f>IFERROR(YEAR(INPUT!M1130),"")</f>
        <v>2025</v>
      </c>
      <c r="E1135" t="str">
        <f>IF(INPUT!O1130="","",INPUT!O1130)</f>
        <v>BARONA</v>
      </c>
      <c r="F1135" t="str">
        <f>IF(INPUT!N1130="","",INPUT!N1130)</f>
        <v>T</v>
      </c>
      <c r="G1135" t="str" cm="1">
        <f t="array" ref="G1135">IFERROR(VLOOKUP(INPUT!M1130&amp;INPUT!N1130,CHOOSE({1,2},INPUT!$A$3:$A$5000&amp;INPUT!$C$3:$C$5000,INPUT!$F$3:$F$5000),2,FALSE),"")</f>
        <v>PRE-TEMPORADA</v>
      </c>
      <c r="H1135" t="str" cm="1">
        <f t="array" ref="H1135">IFERROR(VLOOKUP(INPUT!M1130&amp;INPUT!N1130,CHOOSE({1,2},INPUT!$A$3:$A$5000&amp;INPUT!$C$3:$C$5000,INPUT!$D$3:$D$5000),2,FALSE),"")</f>
        <v>PARTIDO</v>
      </c>
      <c r="I1135" s="46">
        <f>IF(INPUT!P1130="","",INPUT!P1130)</f>
        <v>71.599999999999994</v>
      </c>
      <c r="J1135" s="46">
        <f>IF(INPUT!Q1130="","",INPUT!Q1130)</f>
        <v>71</v>
      </c>
      <c r="K1135" s="46">
        <f>IFERROR(IF(OR(INPUT!P1130="",INPUT!Q1130=""),"",INPUT!P1130-INPUT!Q1130),"")</f>
        <v>0.59999999999999432</v>
      </c>
      <c r="L1135" s="48">
        <f>IFERROR(IF(OR(INPUT!P1130="",INPUT!Q1130="",INPUT!P1130=0),"",(INPUT!P1130-INPUT!Q1130)/INPUT!P1130),"")</f>
        <v>8.3798882681563464E-3</v>
      </c>
    </row>
    <row r="1136" spans="1:12" ht="18" hidden="1" customHeight="1" x14ac:dyDescent="0.2">
      <c r="A1136" s="11">
        <f>IF(INPUT!M1131="","",INPUT!M1131)</f>
        <v>45968</v>
      </c>
      <c r="B1136" s="11">
        <f>IF(INPUT!M1131="","",INPUT!M1131-WEEKDAY(INPUT!M1131,2)+1)</f>
        <v>45964</v>
      </c>
      <c r="C1136" s="20">
        <f>IFERROR(_xlfn.ISOWEEKNUM(INPUT!M1131),"")</f>
        <v>45</v>
      </c>
      <c r="D1136" s="20">
        <f>IFERROR(YEAR(INPUT!M1131),"")</f>
        <v>2025</v>
      </c>
      <c r="E1136" t="str">
        <f>IF(INPUT!O1131="","",INPUT!O1131)</f>
        <v>CARLOS</v>
      </c>
      <c r="F1136" t="str">
        <f>IF(INPUT!N1131="","",INPUT!N1131)</f>
        <v>T</v>
      </c>
      <c r="G1136" t="str" cm="1">
        <f t="array" ref="G1136">IFERROR(VLOOKUP(INPUT!M1131&amp;INPUT!N1131,CHOOSE({1,2},INPUT!$A$3:$A$5000&amp;INPUT!$C$3:$C$5000,INPUT!$F$3:$F$5000),2,FALSE),"")</f>
        <v>PRE-TEMPORADA</v>
      </c>
      <c r="H1136" t="str" cm="1">
        <f t="array" ref="H1136">IFERROR(VLOOKUP(INPUT!M1131&amp;INPUT!N1131,CHOOSE({1,2},INPUT!$A$3:$A$5000&amp;INPUT!$C$3:$C$5000,INPUT!$D$3:$D$5000),2,FALSE),"")</f>
        <v>PARTIDO</v>
      </c>
      <c r="I1136" s="46">
        <f>IF(INPUT!P1131="","",INPUT!P1131)</f>
        <v>67.8</v>
      </c>
      <c r="J1136" s="46">
        <f>IF(INPUT!Q1131="","",INPUT!Q1131)</f>
        <v>67.599999999999994</v>
      </c>
      <c r="K1136" s="46">
        <f>IFERROR(IF(OR(INPUT!P1131="",INPUT!Q1131=""),"",INPUT!P1131-INPUT!Q1131),"")</f>
        <v>0.20000000000000284</v>
      </c>
      <c r="L1136" s="48">
        <f>IFERROR(IF(OR(INPUT!P1131="",INPUT!Q1131="",INPUT!P1131=0),"",(INPUT!P1131-INPUT!Q1131)/INPUT!P1131),"")</f>
        <v>2.9498525073746733E-3</v>
      </c>
    </row>
    <row r="1137" spans="1:12" ht="18" hidden="1" customHeight="1" x14ac:dyDescent="0.2">
      <c r="A1137" s="11">
        <f>IF(INPUT!M1132="","",INPUT!M1132)</f>
        <v>45968</v>
      </c>
      <c r="B1137" s="11">
        <f>IF(INPUT!M1132="","",INPUT!M1132-WEEKDAY(INPUT!M1132,2)+1)</f>
        <v>45964</v>
      </c>
      <c r="C1137" s="20">
        <f>IFERROR(_xlfn.ISOWEEKNUM(INPUT!M1132),"")</f>
        <v>45</v>
      </c>
      <c r="D1137" s="20">
        <f>IFERROR(YEAR(INPUT!M1132),"")</f>
        <v>2025</v>
      </c>
      <c r="E1137" t="str">
        <f>IF(INPUT!O1132="","",INPUT!O1132)</f>
        <v>SEGO</v>
      </c>
      <c r="F1137" t="str">
        <f>IF(INPUT!N1132="","",INPUT!N1132)</f>
        <v>T</v>
      </c>
      <c r="G1137" t="str" cm="1">
        <f t="array" ref="G1137">IFERROR(VLOOKUP(INPUT!M1132&amp;INPUT!N1132,CHOOSE({1,2},INPUT!$A$3:$A$5000&amp;INPUT!$C$3:$C$5000,INPUT!$F$3:$F$5000),2,FALSE),"")</f>
        <v>PRE-TEMPORADA</v>
      </c>
      <c r="H1137" t="str" cm="1">
        <f t="array" ref="H1137">IFERROR(VLOOKUP(INPUT!M1132&amp;INPUT!N1132,CHOOSE({1,2},INPUT!$A$3:$A$5000&amp;INPUT!$C$3:$C$5000,INPUT!$D$3:$D$5000),2,FALSE),"")</f>
        <v>PARTIDO</v>
      </c>
      <c r="I1137" s="46">
        <f>IF(INPUT!P1132="","",INPUT!P1132)</f>
        <v>75.599999999999994</v>
      </c>
      <c r="J1137" s="46">
        <f>IF(INPUT!Q1132="","",INPUT!Q1132)</f>
        <v>75</v>
      </c>
      <c r="K1137" s="46">
        <f>IFERROR(IF(OR(INPUT!P1132="",INPUT!Q1132=""),"",INPUT!P1132-INPUT!Q1132),"")</f>
        <v>0.59999999999999432</v>
      </c>
      <c r="L1137" s="48">
        <f>IFERROR(IF(OR(INPUT!P1132="",INPUT!Q1132="",INPUT!P1132=0),"",(INPUT!P1132-INPUT!Q1132)/INPUT!P1132),"")</f>
        <v>7.9365079365078615E-3</v>
      </c>
    </row>
    <row r="1138" spans="1:12" ht="18" hidden="1" customHeight="1" x14ac:dyDescent="0.2">
      <c r="A1138" s="11">
        <f>IF(INPUT!M1133="","",INPUT!M1133)</f>
        <v>45968</v>
      </c>
      <c r="B1138" s="11">
        <f>IF(INPUT!M1133="","",INPUT!M1133-WEEKDAY(INPUT!M1133,2)+1)</f>
        <v>45964</v>
      </c>
      <c r="C1138" s="20">
        <f>IFERROR(_xlfn.ISOWEEKNUM(INPUT!M1133),"")</f>
        <v>45</v>
      </c>
      <c r="D1138" s="20">
        <f>IFERROR(YEAR(INPUT!M1133),"")</f>
        <v>2025</v>
      </c>
      <c r="E1138" t="str">
        <f>IF(INPUT!O1133="","",INPUT!O1133)</f>
        <v>RUBIO</v>
      </c>
      <c r="F1138" t="str">
        <f>IF(INPUT!N1133="","",INPUT!N1133)</f>
        <v>T</v>
      </c>
      <c r="G1138" t="str" cm="1">
        <f t="array" ref="G1138">IFERROR(VLOOKUP(INPUT!M1133&amp;INPUT!N1133,CHOOSE({1,2},INPUT!$A$3:$A$5000&amp;INPUT!$C$3:$C$5000,INPUT!$F$3:$F$5000),2,FALSE),"")</f>
        <v>PRE-TEMPORADA</v>
      </c>
      <c r="H1138" t="str" cm="1">
        <f t="array" ref="H1138">IFERROR(VLOOKUP(INPUT!M1133&amp;INPUT!N1133,CHOOSE({1,2},INPUT!$A$3:$A$5000&amp;INPUT!$C$3:$C$5000,INPUT!$D$3:$D$5000),2,FALSE),"")</f>
        <v>PARTIDO</v>
      </c>
      <c r="I1138" s="46">
        <f>IF(INPUT!P1133="","",INPUT!P1133)</f>
        <v>75.3</v>
      </c>
      <c r="J1138" s="46">
        <f>IF(INPUT!Q1133="","",INPUT!Q1133)</f>
        <v>75</v>
      </c>
      <c r="K1138" s="46">
        <f>IFERROR(IF(OR(INPUT!P1133="",INPUT!Q1133=""),"",INPUT!P1133-INPUT!Q1133),"")</f>
        <v>0.29999999999999716</v>
      </c>
      <c r="L1138" s="48">
        <f>IFERROR(IF(OR(INPUT!P1133="",INPUT!Q1133="",INPUT!P1133=0),"",(INPUT!P1133-INPUT!Q1133)/INPUT!P1133),"")</f>
        <v>3.984063745019883E-3</v>
      </c>
    </row>
    <row r="1139" spans="1:12" ht="18" customHeight="1" x14ac:dyDescent="0.2">
      <c r="A1139" s="11">
        <f>IF(INPUT!M1134="","",INPUT!M1134)</f>
        <v>45968</v>
      </c>
      <c r="B1139" s="11">
        <f>IF(INPUT!M1134="","",INPUT!M1134-WEEKDAY(INPUT!M1134,2)+1)</f>
        <v>45964</v>
      </c>
      <c r="C1139" s="20">
        <f>IFERROR(_xlfn.ISOWEEKNUM(INPUT!M1134),"")</f>
        <v>45</v>
      </c>
      <c r="D1139" s="20">
        <f>IFERROR(YEAR(INPUT!M1134),"")</f>
        <v>2025</v>
      </c>
      <c r="E1139" t="str">
        <f>IF(INPUT!O1134="","",INPUT!O1134)</f>
        <v>DANI</v>
      </c>
      <c r="F1139" t="str">
        <f>IF(INPUT!N1134="","",INPUT!N1134)</f>
        <v>T</v>
      </c>
      <c r="G1139" t="str" cm="1">
        <f t="array" ref="G1139">IFERROR(VLOOKUP(INPUT!M1134&amp;INPUT!N1134,CHOOSE({1,2},INPUT!$A$3:$A$5000&amp;INPUT!$C$3:$C$5000,INPUT!$F$3:$F$5000),2,FALSE),"")</f>
        <v>PRE-TEMPORADA</v>
      </c>
      <c r="H1139" t="str" cm="1">
        <f t="array" ref="H1139">IFERROR(VLOOKUP(INPUT!M1134&amp;INPUT!N1134,CHOOSE({1,2},INPUT!$A$3:$A$5000&amp;INPUT!$C$3:$C$5000,INPUT!$D$3:$D$5000),2,FALSE),"")</f>
        <v>PARTIDO</v>
      </c>
      <c r="I1139" s="46">
        <f>IF(INPUT!P1134="","",INPUT!P1134)</f>
        <v>93.9</v>
      </c>
      <c r="J1139" s="46">
        <f>IF(INPUT!Q1134="","",INPUT!Q1134)</f>
        <v>93.6</v>
      </c>
      <c r="K1139" s="46">
        <f>IFERROR(IF(OR(INPUT!P1134="",INPUT!Q1134=""),"",INPUT!P1134-INPUT!Q1134),"")</f>
        <v>0.30000000000001137</v>
      </c>
      <c r="L1139" s="48">
        <f>IFERROR(IF(OR(INPUT!P1134="",INPUT!Q1134="",INPUT!P1134=0),"",(INPUT!P1134-INPUT!Q1134)/INPUT!P1134),"")</f>
        <v>3.1948881789138589E-3</v>
      </c>
    </row>
    <row r="1140" spans="1:12" ht="18" customHeight="1" x14ac:dyDescent="0.2">
      <c r="A1140" s="11">
        <f>IF(INPUT!M1135="","",INPUT!M1135)</f>
        <v>45968</v>
      </c>
      <c r="B1140" s="11">
        <f>IF(INPUT!M1135="","",INPUT!M1135-WEEKDAY(INPUT!M1135,2)+1)</f>
        <v>45964</v>
      </c>
      <c r="C1140" s="20">
        <f>IFERROR(_xlfn.ISOWEEKNUM(INPUT!M1135),"")</f>
        <v>45</v>
      </c>
      <c r="D1140" s="20">
        <f>IFERROR(YEAR(INPUT!M1135),"")</f>
        <v>2025</v>
      </c>
      <c r="E1140" t="str">
        <f>IF(INPUT!O1135="","",INPUT!O1135)</f>
        <v>JAIME</v>
      </c>
      <c r="F1140" t="str">
        <f>IF(INPUT!N1135="","",INPUT!N1135)</f>
        <v>T</v>
      </c>
      <c r="G1140" t="str" cm="1">
        <f t="array" ref="G1140">IFERROR(VLOOKUP(INPUT!M1135&amp;INPUT!N1135,CHOOSE({1,2},INPUT!$A$3:$A$5000&amp;INPUT!$C$3:$C$5000,INPUT!$F$3:$F$5000),2,FALSE),"")</f>
        <v>PRE-TEMPORADA</v>
      </c>
      <c r="H1140" t="str" cm="1">
        <f t="array" ref="H1140">IFERROR(VLOOKUP(INPUT!M1135&amp;INPUT!N1135,CHOOSE({1,2},INPUT!$A$3:$A$5000&amp;INPUT!$C$3:$C$5000,INPUT!$D$3:$D$5000),2,FALSE),"")</f>
        <v>PARTIDO</v>
      </c>
      <c r="I1140" s="46">
        <f>IF(INPUT!P1135="","",INPUT!P1135)</f>
        <v>75.400000000000006</v>
      </c>
      <c r="J1140" s="46">
        <f>IF(INPUT!Q1135="","",INPUT!Q1135)</f>
        <v>75.3</v>
      </c>
      <c r="K1140" s="46">
        <f>IFERROR(IF(OR(INPUT!P1135="",INPUT!Q1135=""),"",INPUT!P1135-INPUT!Q1135),"")</f>
        <v>0.10000000000000853</v>
      </c>
      <c r="L1140" s="48">
        <f>IFERROR(IF(OR(INPUT!P1135="",INPUT!Q1135="",INPUT!P1135=0),"",(INPUT!P1135-INPUT!Q1135)/INPUT!P1135),"")</f>
        <v>1.326259946949715E-3</v>
      </c>
    </row>
    <row r="1141" spans="1:12" ht="18" hidden="1" customHeight="1" x14ac:dyDescent="0.2">
      <c r="A1141" s="11">
        <f>IF(INPUT!M1136="","",INPUT!M1136)</f>
        <v>45971</v>
      </c>
      <c r="B1141" s="11">
        <f>IF(INPUT!M1136="","",INPUT!M1136-WEEKDAY(INPUT!M1136,2)+1)</f>
        <v>45971</v>
      </c>
      <c r="C1141" s="20">
        <f>IFERROR(_xlfn.ISOWEEKNUM(INPUT!M1136),"")</f>
        <v>46</v>
      </c>
      <c r="D1141" s="20">
        <f>IFERROR(YEAR(INPUT!M1136),"")</f>
        <v>2025</v>
      </c>
      <c r="E1141" t="str">
        <f>IF(INPUT!O1136="","",INPUT!O1136)</f>
        <v>GARCIA</v>
      </c>
      <c r="F1141" t="str">
        <f>IF(INPUT!N1136="","",INPUT!N1136)</f>
        <v>M</v>
      </c>
      <c r="G1141" t="str" cm="1">
        <f t="array" ref="G1141">IFERROR(VLOOKUP(INPUT!M1136&amp;INPUT!N1136,CHOOSE({1,2},INPUT!$A$3:$A$5000&amp;INPUT!$C$3:$C$5000,INPUT!$F$3:$F$5000),2,FALSE),"")</f>
        <v>PRE-TEMPORADA</v>
      </c>
      <c r="H1141" t="str" cm="1">
        <f t="array" ref="H1141">IFERROR(VLOOKUP(INPUT!M1136&amp;INPUT!N1136,CHOOSE({1,2},INPUT!$A$3:$A$5000&amp;INPUT!$C$3:$C$5000,INPUT!$D$3:$D$5000),2,FALSE),"")</f>
        <v>GYM+TEC-TAC</v>
      </c>
      <c r="I1141" s="46">
        <f>IF(INPUT!P1136="","",INPUT!P1136)</f>
        <v>79.400000000000006</v>
      </c>
      <c r="J1141" s="46">
        <f>IF(INPUT!Q1136="","",INPUT!Q1136)</f>
        <v>79.099999999999994</v>
      </c>
      <c r="K1141" s="46">
        <f>IFERROR(IF(OR(INPUT!P1136="",INPUT!Q1136=""),"",INPUT!P1136-INPUT!Q1136),"")</f>
        <v>0.30000000000001137</v>
      </c>
      <c r="L1141" s="48">
        <f>IFERROR(IF(OR(INPUT!P1136="",INPUT!Q1136="",INPUT!P1136=0),"",(INPUT!P1136-INPUT!Q1136)/INPUT!P1136),"")</f>
        <v>3.7783375314862891E-3</v>
      </c>
    </row>
    <row r="1142" spans="1:12" ht="18" hidden="1" customHeight="1" x14ac:dyDescent="0.2">
      <c r="A1142" s="11">
        <f>IF(INPUT!M1137="","",INPUT!M1137)</f>
        <v>45971</v>
      </c>
      <c r="B1142" s="11">
        <f>IF(INPUT!M1137="","",INPUT!M1137-WEEKDAY(INPUT!M1137,2)+1)</f>
        <v>45971</v>
      </c>
      <c r="C1142" s="20">
        <f>IFERROR(_xlfn.ISOWEEKNUM(INPUT!M1137),"")</f>
        <v>46</v>
      </c>
      <c r="D1142" s="20">
        <f>IFERROR(YEAR(INPUT!M1137),"")</f>
        <v>2025</v>
      </c>
      <c r="E1142" t="str">
        <f>IF(INPUT!O1137="","",INPUT!O1137)</f>
        <v>GARCIA</v>
      </c>
      <c r="F1142" t="str">
        <f>IF(INPUT!N1137="","",INPUT!N1137)</f>
        <v>T</v>
      </c>
      <c r="G1142" t="str" cm="1">
        <f t="array" ref="G1142">IFERROR(VLOOKUP(INPUT!M1137&amp;INPUT!N1137,CHOOSE({1,2},INPUT!$A$3:$A$5000&amp;INPUT!$C$3:$C$5000,INPUT!$F$3:$F$5000),2,FALSE),"")</f>
        <v>PRE-TEMPORADA</v>
      </c>
      <c r="H1142" t="str" cm="1">
        <f t="array" ref="H1142">IFERROR(VLOOKUP(INPUT!M1137&amp;INPUT!N1137,CHOOSE({1,2},INPUT!$A$3:$A$5000&amp;INPUT!$C$3:$C$5000,INPUT!$D$3:$D$5000),2,FALSE),"")</f>
        <v>TEC-TAC</v>
      </c>
      <c r="I1142" s="46">
        <f>IF(INPUT!P1137="","",INPUT!P1137)</f>
        <v>79.5</v>
      </c>
      <c r="J1142" s="46">
        <f>IF(INPUT!Q1137="","",INPUT!Q1137)</f>
        <v>79</v>
      </c>
      <c r="K1142" s="46">
        <f>IFERROR(IF(OR(INPUT!P1137="",INPUT!Q1137=""),"",INPUT!P1137-INPUT!Q1137),"")</f>
        <v>0.5</v>
      </c>
      <c r="L1142" s="48">
        <f>IFERROR(IF(OR(INPUT!P1137="",INPUT!Q1137="",INPUT!P1137=0),"",(INPUT!P1137-INPUT!Q1137)/INPUT!P1137),"")</f>
        <v>6.2893081761006293E-3</v>
      </c>
    </row>
    <row r="1143" spans="1:12" ht="18" hidden="1" customHeight="1" x14ac:dyDescent="0.2">
      <c r="A1143" s="11">
        <f>IF(INPUT!M1138="","",INPUT!M1138)</f>
        <v>45971</v>
      </c>
      <c r="B1143" s="11">
        <f>IF(INPUT!M1138="","",INPUT!M1138-WEEKDAY(INPUT!M1138,2)+1)</f>
        <v>45971</v>
      </c>
      <c r="C1143" s="20">
        <f>IFERROR(_xlfn.ISOWEEKNUM(INPUT!M1138),"")</f>
        <v>46</v>
      </c>
      <c r="D1143" s="20">
        <f>IFERROR(YEAR(INPUT!M1138),"")</f>
        <v>2025</v>
      </c>
      <c r="E1143" t="str">
        <f>IF(INPUT!O1138="","",INPUT!O1138)</f>
        <v>OSCAR</v>
      </c>
      <c r="F1143" t="str">
        <f>IF(INPUT!N1138="","",INPUT!N1138)</f>
        <v>M</v>
      </c>
      <c r="G1143" t="str" cm="1">
        <f t="array" ref="G1143">IFERROR(VLOOKUP(INPUT!M1138&amp;INPUT!N1138,CHOOSE({1,2},INPUT!$A$3:$A$5000&amp;INPUT!$C$3:$C$5000,INPUT!$F$3:$F$5000),2,FALSE),"")</f>
        <v>PRE-TEMPORADA</v>
      </c>
      <c r="H1143" t="str" cm="1">
        <f t="array" ref="H1143">IFERROR(VLOOKUP(INPUT!M1138&amp;INPUT!N1138,CHOOSE({1,2},INPUT!$A$3:$A$5000&amp;INPUT!$C$3:$C$5000,INPUT!$D$3:$D$5000),2,FALSE),"")</f>
        <v>GYM+TEC-TAC</v>
      </c>
      <c r="I1143" s="46">
        <f>IF(INPUT!P1138="","",INPUT!P1138)</f>
        <v>89.5</v>
      </c>
      <c r="J1143" s="46">
        <f>IF(INPUT!Q1138="","",INPUT!Q1138)</f>
        <v>89</v>
      </c>
      <c r="K1143" s="46">
        <f>IFERROR(IF(OR(INPUT!P1138="",INPUT!Q1138=""),"",INPUT!P1138-INPUT!Q1138),"")</f>
        <v>0.5</v>
      </c>
      <c r="L1143" s="48">
        <f>IFERROR(IF(OR(INPUT!P1138="",INPUT!Q1138="",INPUT!P1138=0),"",(INPUT!P1138-INPUT!Q1138)/INPUT!P1138),"")</f>
        <v>5.5865921787709499E-3</v>
      </c>
    </row>
    <row r="1144" spans="1:12" ht="18" hidden="1" customHeight="1" x14ac:dyDescent="0.2">
      <c r="A1144" s="11">
        <f>IF(INPUT!M1139="","",INPUT!M1139)</f>
        <v>45971</v>
      </c>
      <c r="B1144" s="11">
        <f>IF(INPUT!M1139="","",INPUT!M1139-WEEKDAY(INPUT!M1139,2)+1)</f>
        <v>45971</v>
      </c>
      <c r="C1144" s="20">
        <f>IFERROR(_xlfn.ISOWEEKNUM(INPUT!M1139),"")</f>
        <v>46</v>
      </c>
      <c r="D1144" s="20">
        <f>IFERROR(YEAR(INPUT!M1139),"")</f>
        <v>2025</v>
      </c>
      <c r="E1144" t="str">
        <f>IF(INPUT!O1139="","",INPUT!O1139)</f>
        <v>OSCAR</v>
      </c>
      <c r="F1144" t="str">
        <f>IF(INPUT!N1139="","",INPUT!N1139)</f>
        <v>T</v>
      </c>
      <c r="G1144" t="str" cm="1">
        <f t="array" ref="G1144">IFERROR(VLOOKUP(INPUT!M1139&amp;INPUT!N1139,CHOOSE({1,2},INPUT!$A$3:$A$5000&amp;INPUT!$C$3:$C$5000,INPUT!$F$3:$F$5000),2,FALSE),"")</f>
        <v>PRE-TEMPORADA</v>
      </c>
      <c r="H1144" t="str" cm="1">
        <f t="array" ref="H1144">IFERROR(VLOOKUP(INPUT!M1139&amp;INPUT!N1139,CHOOSE({1,2},INPUT!$A$3:$A$5000&amp;INPUT!$C$3:$C$5000,INPUT!$D$3:$D$5000),2,FALSE),"")</f>
        <v>TEC-TAC</v>
      </c>
      <c r="I1144" s="46">
        <f>IF(INPUT!P1139="","",INPUT!P1139)</f>
        <v>89.5</v>
      </c>
      <c r="J1144" s="46">
        <f>IF(INPUT!Q1139="","",INPUT!Q1139)</f>
        <v>88.6</v>
      </c>
      <c r="K1144" s="46">
        <f>IFERROR(IF(OR(INPUT!P1139="",INPUT!Q1139=""),"",INPUT!P1139-INPUT!Q1139),"")</f>
        <v>0.90000000000000568</v>
      </c>
      <c r="L1144" s="48">
        <f>IFERROR(IF(OR(INPUT!P1139="",INPUT!Q1139="",INPUT!P1139=0),"",(INPUT!P1139-INPUT!Q1139)/INPUT!P1139),"")</f>
        <v>1.0055865921787773E-2</v>
      </c>
    </row>
    <row r="1145" spans="1:12" ht="18" hidden="1" customHeight="1" x14ac:dyDescent="0.2">
      <c r="A1145" s="11">
        <f>IF(INPUT!M1140="","",INPUT!M1140)</f>
        <v>45971</v>
      </c>
      <c r="B1145" s="11">
        <f>IF(INPUT!M1140="","",INPUT!M1140-WEEKDAY(INPUT!M1140,2)+1)</f>
        <v>45971</v>
      </c>
      <c r="C1145" s="20">
        <f>IFERROR(_xlfn.ISOWEEKNUM(INPUT!M1140),"")</f>
        <v>46</v>
      </c>
      <c r="D1145" s="20">
        <f>IFERROR(YEAR(INPUT!M1140),"")</f>
        <v>2025</v>
      </c>
      <c r="E1145" t="str">
        <f>IF(INPUT!O1140="","",INPUT!O1140)</f>
        <v>CHAGUINHA</v>
      </c>
      <c r="F1145" t="str">
        <f>IF(INPUT!N1140="","",INPUT!N1140)</f>
        <v>M</v>
      </c>
      <c r="G1145" t="str" cm="1">
        <f t="array" ref="G1145">IFERROR(VLOOKUP(INPUT!M1140&amp;INPUT!N1140,CHOOSE({1,2},INPUT!$A$3:$A$5000&amp;INPUT!$C$3:$C$5000,INPUT!$F$3:$F$5000),2,FALSE),"")</f>
        <v>PRE-TEMPORADA</v>
      </c>
      <c r="H1145" t="str" cm="1">
        <f t="array" ref="H1145">IFERROR(VLOOKUP(INPUT!M1140&amp;INPUT!N1140,CHOOSE({1,2},INPUT!$A$3:$A$5000&amp;INPUT!$C$3:$C$5000,INPUT!$D$3:$D$5000),2,FALSE),"")</f>
        <v>GYM+TEC-TAC</v>
      </c>
      <c r="I1145" s="46">
        <f>IF(INPUT!P1140="","",INPUT!P1140)</f>
        <v>69.3</v>
      </c>
      <c r="J1145" s="46">
        <f>IF(INPUT!Q1140="","",INPUT!Q1140)</f>
        <v>69</v>
      </c>
      <c r="K1145" s="46">
        <f>IFERROR(IF(OR(INPUT!P1140="",INPUT!Q1140=""),"",INPUT!P1140-INPUT!Q1140),"")</f>
        <v>0.29999999999999716</v>
      </c>
      <c r="L1145" s="48">
        <f>IFERROR(IF(OR(INPUT!P1140="",INPUT!Q1140="",INPUT!P1140=0),"",(INPUT!P1140-INPUT!Q1140)/INPUT!P1140),"")</f>
        <v>4.3290043290042882E-3</v>
      </c>
    </row>
    <row r="1146" spans="1:12" ht="18" hidden="1" customHeight="1" x14ac:dyDescent="0.2">
      <c r="A1146" s="11">
        <f>IF(INPUT!M1141="","",INPUT!M1141)</f>
        <v>45971</v>
      </c>
      <c r="B1146" s="11">
        <f>IF(INPUT!M1141="","",INPUT!M1141-WEEKDAY(INPUT!M1141,2)+1)</f>
        <v>45971</v>
      </c>
      <c r="C1146" s="20">
        <f>IFERROR(_xlfn.ISOWEEKNUM(INPUT!M1141),"")</f>
        <v>46</v>
      </c>
      <c r="D1146" s="20">
        <f>IFERROR(YEAR(INPUT!M1141),"")</f>
        <v>2025</v>
      </c>
      <c r="E1146" t="str">
        <f>IF(INPUT!O1141="","",INPUT!O1141)</f>
        <v>CHAGUINHA</v>
      </c>
      <c r="F1146" t="str">
        <f>IF(INPUT!N1141="","",INPUT!N1141)</f>
        <v>T</v>
      </c>
      <c r="G1146" t="str" cm="1">
        <f t="array" ref="G1146">IFERROR(VLOOKUP(INPUT!M1141&amp;INPUT!N1141,CHOOSE({1,2},INPUT!$A$3:$A$5000&amp;INPUT!$C$3:$C$5000,INPUT!$F$3:$F$5000),2,FALSE),"")</f>
        <v>PRE-TEMPORADA</v>
      </c>
      <c r="H1146" t="str" cm="1">
        <f t="array" ref="H1146">IFERROR(VLOOKUP(INPUT!M1141&amp;INPUT!N1141,CHOOSE({1,2},INPUT!$A$3:$A$5000&amp;INPUT!$C$3:$C$5000,INPUT!$D$3:$D$5000),2,FALSE),"")</f>
        <v>TEC-TAC</v>
      </c>
      <c r="I1146" s="46">
        <f>IF(INPUT!P1141="","",INPUT!P1141)</f>
        <v>68.7</v>
      </c>
      <c r="J1146" s="46">
        <f>IF(INPUT!Q1141="","",INPUT!Q1141)</f>
        <v>68.5</v>
      </c>
      <c r="K1146" s="46">
        <f>IFERROR(IF(OR(INPUT!P1141="",INPUT!Q1141=""),"",INPUT!P1141-INPUT!Q1141),"")</f>
        <v>0.20000000000000284</v>
      </c>
      <c r="L1146" s="48">
        <f>IFERROR(IF(OR(INPUT!P1141="",INPUT!Q1141="",INPUT!P1141=0),"",(INPUT!P1141-INPUT!Q1141)/INPUT!P1141),"")</f>
        <v>2.9112081513828652E-3</v>
      </c>
    </row>
    <row r="1147" spans="1:12" ht="18" hidden="1" customHeight="1" x14ac:dyDescent="0.2">
      <c r="A1147" s="11">
        <f>IF(INPUT!M1142="","",INPUT!M1142)</f>
        <v>45971</v>
      </c>
      <c r="B1147" s="11">
        <f>IF(INPUT!M1142="","",INPUT!M1142-WEEKDAY(INPUT!M1142,2)+1)</f>
        <v>45971</v>
      </c>
      <c r="C1147" s="20">
        <f>IFERROR(_xlfn.ISOWEEKNUM(INPUT!M1142),"")</f>
        <v>46</v>
      </c>
      <c r="D1147" s="20">
        <f>IFERROR(YEAR(INPUT!M1142),"")</f>
        <v>2025</v>
      </c>
      <c r="E1147" t="str">
        <f>IF(INPUT!O1142="","",INPUT!O1142)</f>
        <v>RAUL</v>
      </c>
      <c r="F1147" t="str">
        <f>IF(INPUT!N1142="","",INPUT!N1142)</f>
        <v>M</v>
      </c>
      <c r="G1147" t="str" cm="1">
        <f t="array" ref="G1147">IFERROR(VLOOKUP(INPUT!M1142&amp;INPUT!N1142,CHOOSE({1,2},INPUT!$A$3:$A$5000&amp;INPUT!$C$3:$C$5000,INPUT!$F$3:$F$5000),2,FALSE),"")</f>
        <v>PRE-TEMPORADA</v>
      </c>
      <c r="H1147" t="str" cm="1">
        <f t="array" ref="H1147">IFERROR(VLOOKUP(INPUT!M1142&amp;INPUT!N1142,CHOOSE({1,2},INPUT!$A$3:$A$5000&amp;INPUT!$C$3:$C$5000,INPUT!$D$3:$D$5000),2,FALSE),"")</f>
        <v>GYM+TEC-TAC</v>
      </c>
      <c r="I1147" s="46">
        <f>IF(INPUT!P1142="","",INPUT!P1142)</f>
        <v>81.400000000000006</v>
      </c>
      <c r="J1147" s="46">
        <f>IF(INPUT!Q1142="","",INPUT!Q1142)</f>
        <v>80.900000000000006</v>
      </c>
      <c r="K1147" s="46">
        <f>IFERROR(IF(OR(INPUT!P1142="",INPUT!Q1142=""),"",INPUT!P1142-INPUT!Q1142),"")</f>
        <v>0.5</v>
      </c>
      <c r="L1147" s="48">
        <f>IFERROR(IF(OR(INPUT!P1142="",INPUT!Q1142="",INPUT!P1142=0),"",(INPUT!P1142-INPUT!Q1142)/INPUT!P1142),"")</f>
        <v>6.1425061425061421E-3</v>
      </c>
    </row>
    <row r="1148" spans="1:12" ht="18" hidden="1" customHeight="1" x14ac:dyDescent="0.2">
      <c r="A1148" s="11">
        <f>IF(INPUT!M1143="","",INPUT!M1143)</f>
        <v>45971</v>
      </c>
      <c r="B1148" s="11">
        <f>IF(INPUT!M1143="","",INPUT!M1143-WEEKDAY(INPUT!M1143,2)+1)</f>
        <v>45971</v>
      </c>
      <c r="C1148" s="20">
        <f>IFERROR(_xlfn.ISOWEEKNUM(INPUT!M1143),"")</f>
        <v>46</v>
      </c>
      <c r="D1148" s="20">
        <f>IFERROR(YEAR(INPUT!M1143),"")</f>
        <v>2025</v>
      </c>
      <c r="E1148" t="str">
        <f>IF(INPUT!O1143="","",INPUT!O1143)</f>
        <v>RAUL</v>
      </c>
      <c r="F1148" t="str">
        <f>IF(INPUT!N1143="","",INPUT!N1143)</f>
        <v>T</v>
      </c>
      <c r="G1148" t="str" cm="1">
        <f t="array" ref="G1148">IFERROR(VLOOKUP(INPUT!M1143&amp;INPUT!N1143,CHOOSE({1,2},INPUT!$A$3:$A$5000&amp;INPUT!$C$3:$C$5000,INPUT!$F$3:$F$5000),2,FALSE),"")</f>
        <v>PRE-TEMPORADA</v>
      </c>
      <c r="H1148" t="str" cm="1">
        <f t="array" ref="H1148">IFERROR(VLOOKUP(INPUT!M1143&amp;INPUT!N1143,CHOOSE({1,2},INPUT!$A$3:$A$5000&amp;INPUT!$C$3:$C$5000,INPUT!$D$3:$D$5000),2,FALSE),"")</f>
        <v>TEC-TAC</v>
      </c>
      <c r="I1148" s="46">
        <f>IF(INPUT!P1143="","",INPUT!P1143)</f>
        <v>81.5</v>
      </c>
      <c r="J1148" s="46">
        <f>IF(INPUT!Q1143="","",INPUT!Q1143)</f>
        <v>81.7</v>
      </c>
      <c r="K1148" s="46">
        <f>IFERROR(IF(OR(INPUT!P1143="",INPUT!Q1143=""),"",INPUT!P1143-INPUT!Q1143),"")</f>
        <v>-0.20000000000000284</v>
      </c>
      <c r="L1148" s="48">
        <f>IFERROR(IF(OR(INPUT!P1143="",INPUT!Q1143="",INPUT!P1143=0),"",(INPUT!P1143-INPUT!Q1143)/INPUT!P1143),"")</f>
        <v>-2.4539877300613845E-3</v>
      </c>
    </row>
    <row r="1149" spans="1:12" ht="18" hidden="1" customHeight="1" x14ac:dyDescent="0.2">
      <c r="A1149" s="11">
        <f>IF(INPUT!M1144="","",INPUT!M1144)</f>
        <v>45971</v>
      </c>
      <c r="B1149" s="11">
        <f>IF(INPUT!M1144="","",INPUT!M1144-WEEKDAY(INPUT!M1144,2)+1)</f>
        <v>45971</v>
      </c>
      <c r="C1149" s="20">
        <f>IFERROR(_xlfn.ISOWEEKNUM(INPUT!M1144),"")</f>
        <v>46</v>
      </c>
      <c r="D1149" s="20">
        <f>IFERROR(YEAR(INPUT!M1144),"")</f>
        <v>2025</v>
      </c>
      <c r="E1149" t="str">
        <f>IF(INPUT!O1144="","",INPUT!O1144)</f>
        <v>HARRISON</v>
      </c>
      <c r="F1149" t="str">
        <f>IF(INPUT!N1144="","",INPUT!N1144)</f>
        <v>M</v>
      </c>
      <c r="G1149" t="str" cm="1">
        <f t="array" ref="G1149">IFERROR(VLOOKUP(INPUT!M1144&amp;INPUT!N1144,CHOOSE({1,2},INPUT!$A$3:$A$5000&amp;INPUT!$C$3:$C$5000,INPUT!$F$3:$F$5000),2,FALSE),"")</f>
        <v>PRE-TEMPORADA</v>
      </c>
      <c r="H1149" t="str" cm="1">
        <f t="array" ref="H1149">IFERROR(VLOOKUP(INPUT!M1144&amp;INPUT!N1144,CHOOSE({1,2},INPUT!$A$3:$A$5000&amp;INPUT!$C$3:$C$5000,INPUT!$D$3:$D$5000),2,FALSE),"")</f>
        <v>GYM+TEC-TAC</v>
      </c>
      <c r="I1149" s="46">
        <f>IF(INPUT!P1144="","",INPUT!P1144)</f>
        <v>71.7</v>
      </c>
      <c r="J1149" s="46">
        <f>IF(INPUT!Q1144="","",INPUT!Q1144)</f>
        <v>71.5</v>
      </c>
      <c r="K1149" s="46">
        <f>IFERROR(IF(OR(INPUT!P1144="",INPUT!Q1144=""),"",INPUT!P1144-INPUT!Q1144),"")</f>
        <v>0.20000000000000284</v>
      </c>
      <c r="L1149" s="48">
        <f>IFERROR(IF(OR(INPUT!P1144="",INPUT!Q1144="",INPUT!P1144=0),"",(INPUT!P1144-INPUT!Q1144)/INPUT!P1144),"")</f>
        <v>2.7894002789400673E-3</v>
      </c>
    </row>
    <row r="1150" spans="1:12" ht="18" hidden="1" customHeight="1" x14ac:dyDescent="0.2">
      <c r="A1150" s="11">
        <f>IF(INPUT!M1145="","",INPUT!M1145)</f>
        <v>45971</v>
      </c>
      <c r="B1150" s="11">
        <f>IF(INPUT!M1145="","",INPUT!M1145-WEEKDAY(INPUT!M1145,2)+1)</f>
        <v>45971</v>
      </c>
      <c r="C1150" s="20">
        <f>IFERROR(_xlfn.ISOWEEKNUM(INPUT!M1145),"")</f>
        <v>46</v>
      </c>
      <c r="D1150" s="20">
        <f>IFERROR(YEAR(INPUT!M1145),"")</f>
        <v>2025</v>
      </c>
      <c r="E1150" t="str">
        <f>IF(INPUT!O1145="","",INPUT!O1145)</f>
        <v>HARRISON</v>
      </c>
      <c r="F1150" t="str">
        <f>IF(INPUT!N1145="","",INPUT!N1145)</f>
        <v>T</v>
      </c>
      <c r="G1150" t="str" cm="1">
        <f t="array" ref="G1150">IFERROR(VLOOKUP(INPUT!M1145&amp;INPUT!N1145,CHOOSE({1,2},INPUT!$A$3:$A$5000&amp;INPUT!$C$3:$C$5000,INPUT!$F$3:$F$5000),2,FALSE),"")</f>
        <v>PRE-TEMPORADA</v>
      </c>
      <c r="H1150" t="str" cm="1">
        <f t="array" ref="H1150">IFERROR(VLOOKUP(INPUT!M1145&amp;INPUT!N1145,CHOOSE({1,2},INPUT!$A$3:$A$5000&amp;INPUT!$C$3:$C$5000,INPUT!$D$3:$D$5000),2,FALSE),"")</f>
        <v>TEC-TAC</v>
      </c>
      <c r="I1150" s="46">
        <f>IF(INPUT!P1145="","",INPUT!P1145)</f>
        <v>72</v>
      </c>
      <c r="J1150" s="46">
        <f>IF(INPUT!Q1145="","",INPUT!Q1145)</f>
        <v>72.5</v>
      </c>
      <c r="K1150" s="46">
        <f>IFERROR(IF(OR(INPUT!P1145="",INPUT!Q1145=""),"",INPUT!P1145-INPUT!Q1145),"")</f>
        <v>-0.5</v>
      </c>
      <c r="L1150" s="48">
        <f>IFERROR(IF(OR(INPUT!P1145="",INPUT!Q1145="",INPUT!P1145=0),"",(INPUT!P1145-INPUT!Q1145)/INPUT!P1145),"")</f>
        <v>-6.9444444444444441E-3</v>
      </c>
    </row>
    <row r="1151" spans="1:12" ht="18" hidden="1" customHeight="1" x14ac:dyDescent="0.2">
      <c r="A1151" s="11">
        <f>IF(INPUT!M1146="","",INPUT!M1146)</f>
        <v>45971</v>
      </c>
      <c r="B1151" s="11">
        <f>IF(INPUT!M1146="","",INPUT!M1146-WEEKDAY(INPUT!M1146,2)+1)</f>
        <v>45971</v>
      </c>
      <c r="C1151" s="20">
        <f>IFERROR(_xlfn.ISOWEEKNUM(INPUT!M1146),"")</f>
        <v>46</v>
      </c>
      <c r="D1151" s="20">
        <f>IFERROR(YEAR(INPUT!M1146),"")</f>
        <v>2025</v>
      </c>
      <c r="E1151" t="str">
        <f>IF(INPUT!O1146="","",INPUT!O1146)</f>
        <v>JAVI</v>
      </c>
      <c r="F1151" t="str">
        <f>IF(INPUT!N1146="","",INPUT!N1146)</f>
        <v>M</v>
      </c>
      <c r="G1151" t="str" cm="1">
        <f t="array" ref="G1151">IFERROR(VLOOKUP(INPUT!M1146&amp;INPUT!N1146,CHOOSE({1,2},INPUT!$A$3:$A$5000&amp;INPUT!$C$3:$C$5000,INPUT!$F$3:$F$5000),2,FALSE),"")</f>
        <v>PRE-TEMPORADA</v>
      </c>
      <c r="H1151" t="str" cm="1">
        <f t="array" ref="H1151">IFERROR(VLOOKUP(INPUT!M1146&amp;INPUT!N1146,CHOOSE({1,2},INPUT!$A$3:$A$5000&amp;INPUT!$C$3:$C$5000,INPUT!$D$3:$D$5000),2,FALSE),"")</f>
        <v>GYM+TEC-TAC</v>
      </c>
      <c r="I1151" s="46">
        <f>IF(INPUT!P1146="","",INPUT!P1146)</f>
        <v>77.099999999999994</v>
      </c>
      <c r="J1151" s="46">
        <f>IF(INPUT!Q1146="","",INPUT!Q1146)</f>
        <v>77.3</v>
      </c>
      <c r="K1151" s="46">
        <f>IFERROR(IF(OR(INPUT!P1146="",INPUT!Q1146=""),"",INPUT!P1146-INPUT!Q1146),"")</f>
        <v>-0.20000000000000284</v>
      </c>
      <c r="L1151" s="48">
        <f>IFERROR(IF(OR(INPUT!P1146="",INPUT!Q1146="",INPUT!P1146=0),"",(INPUT!P1146-INPUT!Q1146)/INPUT!P1146),"")</f>
        <v>-2.5940337224384289E-3</v>
      </c>
    </row>
    <row r="1152" spans="1:12" ht="18" hidden="1" customHeight="1" x14ac:dyDescent="0.2">
      <c r="A1152" s="11">
        <f>IF(INPUT!M1147="","",INPUT!M1147)</f>
        <v>45971</v>
      </c>
      <c r="B1152" s="11">
        <f>IF(INPUT!M1147="","",INPUT!M1147-WEEKDAY(INPUT!M1147,2)+1)</f>
        <v>45971</v>
      </c>
      <c r="C1152" s="20">
        <f>IFERROR(_xlfn.ISOWEEKNUM(INPUT!M1147),"")</f>
        <v>46</v>
      </c>
      <c r="D1152" s="20">
        <f>IFERROR(YEAR(INPUT!M1147),"")</f>
        <v>2025</v>
      </c>
      <c r="E1152" t="str">
        <f>IF(INPUT!O1147="","",INPUT!O1147)</f>
        <v>JAVI</v>
      </c>
      <c r="F1152" t="str">
        <f>IF(INPUT!N1147="","",INPUT!N1147)</f>
        <v>T</v>
      </c>
      <c r="G1152" t="str" cm="1">
        <f t="array" ref="G1152">IFERROR(VLOOKUP(INPUT!M1147&amp;INPUT!N1147,CHOOSE({1,2},INPUT!$A$3:$A$5000&amp;INPUT!$C$3:$C$5000,INPUT!$F$3:$F$5000),2,FALSE),"")</f>
        <v>PRE-TEMPORADA</v>
      </c>
      <c r="H1152" t="str" cm="1">
        <f t="array" ref="H1152">IFERROR(VLOOKUP(INPUT!M1147&amp;INPUT!N1147,CHOOSE({1,2},INPUT!$A$3:$A$5000&amp;INPUT!$C$3:$C$5000,INPUT!$D$3:$D$5000),2,FALSE),"")</f>
        <v>TEC-TAC</v>
      </c>
      <c r="I1152" s="46">
        <f>IF(INPUT!P1147="","",INPUT!P1147)</f>
        <v>77.599999999999994</v>
      </c>
      <c r="J1152" s="46">
        <f>IF(INPUT!Q1147="","",INPUT!Q1147)</f>
        <v>77.599999999999994</v>
      </c>
      <c r="K1152" s="46">
        <f>IFERROR(IF(OR(INPUT!P1147="",INPUT!Q1147=""),"",INPUT!P1147-INPUT!Q1147),"")</f>
        <v>0</v>
      </c>
      <c r="L1152" s="48">
        <f>IFERROR(IF(OR(INPUT!P1147="",INPUT!Q1147="",INPUT!P1147=0),"",(INPUT!P1147-INPUT!Q1147)/INPUT!P1147),"")</f>
        <v>0</v>
      </c>
    </row>
    <row r="1153" spans="1:12" ht="18" hidden="1" customHeight="1" x14ac:dyDescent="0.2">
      <c r="A1153" s="11">
        <f>IF(INPUT!M1148="","",INPUT!M1148)</f>
        <v>45971</v>
      </c>
      <c r="B1153" s="11">
        <f>IF(INPUT!M1148="","",INPUT!M1148-WEEKDAY(INPUT!M1148,2)+1)</f>
        <v>45971</v>
      </c>
      <c r="C1153" s="20">
        <f>IFERROR(_xlfn.ISOWEEKNUM(INPUT!M1148),"")</f>
        <v>46</v>
      </c>
      <c r="D1153" s="20">
        <f>IFERROR(YEAR(INPUT!M1148),"")</f>
        <v>2025</v>
      </c>
      <c r="E1153" t="str">
        <f>IF(INPUT!O1148="","",INPUT!O1148)</f>
        <v>PANI</v>
      </c>
      <c r="F1153" t="str">
        <f>IF(INPUT!N1148="","",INPUT!N1148)</f>
        <v>M</v>
      </c>
      <c r="G1153" t="str" cm="1">
        <f t="array" ref="G1153">IFERROR(VLOOKUP(INPUT!M1148&amp;INPUT!N1148,CHOOSE({1,2},INPUT!$A$3:$A$5000&amp;INPUT!$C$3:$C$5000,INPUT!$F$3:$F$5000),2,FALSE),"")</f>
        <v>PRE-TEMPORADA</v>
      </c>
      <c r="H1153" t="str" cm="1">
        <f t="array" ref="H1153">IFERROR(VLOOKUP(INPUT!M1148&amp;INPUT!N1148,CHOOSE({1,2},INPUT!$A$3:$A$5000&amp;INPUT!$C$3:$C$5000,INPUT!$D$3:$D$5000),2,FALSE),"")</f>
        <v>GYM+TEC-TAC</v>
      </c>
      <c r="I1153" s="46">
        <f>IF(INPUT!P1148="","",INPUT!P1148)</f>
        <v>67.599999999999994</v>
      </c>
      <c r="J1153" s="46">
        <f>IF(INPUT!Q1148="","",INPUT!Q1148)</f>
        <v>67.400000000000006</v>
      </c>
      <c r="K1153" s="46">
        <f>IFERROR(IF(OR(INPUT!P1148="",INPUT!Q1148=""),"",INPUT!P1148-INPUT!Q1148),"")</f>
        <v>0.19999999999998863</v>
      </c>
      <c r="L1153" s="48">
        <f>IFERROR(IF(OR(INPUT!P1148="",INPUT!Q1148="",INPUT!P1148=0),"",(INPUT!P1148-INPUT!Q1148)/INPUT!P1148),"")</f>
        <v>2.9585798816566368E-3</v>
      </c>
    </row>
    <row r="1154" spans="1:12" ht="18" hidden="1" customHeight="1" x14ac:dyDescent="0.2">
      <c r="A1154" s="11">
        <f>IF(INPUT!M1149="","",INPUT!M1149)</f>
        <v>45971</v>
      </c>
      <c r="B1154" s="11">
        <f>IF(INPUT!M1149="","",INPUT!M1149-WEEKDAY(INPUT!M1149,2)+1)</f>
        <v>45971</v>
      </c>
      <c r="C1154" s="20">
        <f>IFERROR(_xlfn.ISOWEEKNUM(INPUT!M1149),"")</f>
        <v>46</v>
      </c>
      <c r="D1154" s="20">
        <f>IFERROR(YEAR(INPUT!M1149),"")</f>
        <v>2025</v>
      </c>
      <c r="E1154" t="str">
        <f>IF(INPUT!O1149="","",INPUT!O1149)</f>
        <v>PANI</v>
      </c>
      <c r="F1154" t="str">
        <f>IF(INPUT!N1149="","",INPUT!N1149)</f>
        <v>T</v>
      </c>
      <c r="G1154" t="str" cm="1">
        <f t="array" ref="G1154">IFERROR(VLOOKUP(INPUT!M1149&amp;INPUT!N1149,CHOOSE({1,2},INPUT!$A$3:$A$5000&amp;INPUT!$C$3:$C$5000,INPUT!$F$3:$F$5000),2,FALSE),"")</f>
        <v>PRE-TEMPORADA</v>
      </c>
      <c r="H1154" t="str" cm="1">
        <f t="array" ref="H1154">IFERROR(VLOOKUP(INPUT!M1149&amp;INPUT!N1149,CHOOSE({1,2},INPUT!$A$3:$A$5000&amp;INPUT!$C$3:$C$5000,INPUT!$D$3:$D$5000),2,FALSE),"")</f>
        <v>TEC-TAC</v>
      </c>
      <c r="I1154" s="46">
        <f>IF(INPUT!P1149="","",INPUT!P1149)</f>
        <v>68.099999999999994</v>
      </c>
      <c r="J1154" s="46">
        <f>IF(INPUT!Q1149="","",INPUT!Q1149)</f>
        <v>67.599999999999994</v>
      </c>
      <c r="K1154" s="46">
        <f>IFERROR(IF(OR(INPUT!P1149="",INPUT!Q1149=""),"",INPUT!P1149-INPUT!Q1149),"")</f>
        <v>0.5</v>
      </c>
      <c r="L1154" s="48">
        <f>IFERROR(IF(OR(INPUT!P1149="",INPUT!Q1149="",INPUT!P1149=0),"",(INPUT!P1149-INPUT!Q1149)/INPUT!P1149),"")</f>
        <v>7.3421439060205587E-3</v>
      </c>
    </row>
    <row r="1155" spans="1:12" ht="18" hidden="1" customHeight="1" x14ac:dyDescent="0.2">
      <c r="A1155" s="11">
        <f>IF(INPUT!M1150="","",INPUT!M1150)</f>
        <v>45971</v>
      </c>
      <c r="B1155" s="11">
        <f>IF(INPUT!M1150="","",INPUT!M1150-WEEKDAY(INPUT!M1150,2)+1)</f>
        <v>45971</v>
      </c>
      <c r="C1155" s="20">
        <f>IFERROR(_xlfn.ISOWEEKNUM(INPUT!M1150),"")</f>
        <v>46</v>
      </c>
      <c r="D1155" s="20">
        <f>IFERROR(YEAR(INPUT!M1150),"")</f>
        <v>2025</v>
      </c>
      <c r="E1155" t="str">
        <f>IF(INPUT!O1150="","",INPUT!O1150)</f>
        <v>PIRATA</v>
      </c>
      <c r="F1155" t="str">
        <f>IF(INPUT!N1150="","",INPUT!N1150)</f>
        <v>M</v>
      </c>
      <c r="G1155" t="str" cm="1">
        <f t="array" ref="G1155">IFERROR(VLOOKUP(INPUT!M1150&amp;INPUT!N1150,CHOOSE({1,2},INPUT!$A$3:$A$5000&amp;INPUT!$C$3:$C$5000,INPUT!$F$3:$F$5000),2,FALSE),"")</f>
        <v>PRE-TEMPORADA</v>
      </c>
      <c r="H1155" t="str" cm="1">
        <f t="array" ref="H1155">IFERROR(VLOOKUP(INPUT!M1150&amp;INPUT!N1150,CHOOSE({1,2},INPUT!$A$3:$A$5000&amp;INPUT!$C$3:$C$5000,INPUT!$D$3:$D$5000),2,FALSE),"")</f>
        <v>GYM+TEC-TAC</v>
      </c>
      <c r="I1155" s="46">
        <f>IF(INPUT!P1150="","",INPUT!P1150)</f>
        <v>75.8</v>
      </c>
      <c r="J1155" s="46">
        <f>IF(INPUT!Q1150="","",INPUT!Q1150)</f>
        <v>75.7</v>
      </c>
      <c r="K1155" s="46">
        <f>IFERROR(IF(OR(INPUT!P1150="",INPUT!Q1150=""),"",INPUT!P1150-INPUT!Q1150),"")</f>
        <v>9.9999999999994316E-2</v>
      </c>
      <c r="L1155" s="48">
        <f>IFERROR(IF(OR(INPUT!P1150="",INPUT!Q1150="",INPUT!P1150=0),"",(INPUT!P1150-INPUT!Q1150)/INPUT!P1150),"")</f>
        <v>1.3192612137202418E-3</v>
      </c>
    </row>
    <row r="1156" spans="1:12" ht="18" hidden="1" customHeight="1" x14ac:dyDescent="0.2">
      <c r="A1156" s="11">
        <f>IF(INPUT!M1151="","",INPUT!M1151)</f>
        <v>45971</v>
      </c>
      <c r="B1156" s="11">
        <f>IF(INPUT!M1151="","",INPUT!M1151-WEEKDAY(INPUT!M1151,2)+1)</f>
        <v>45971</v>
      </c>
      <c r="C1156" s="20">
        <f>IFERROR(_xlfn.ISOWEEKNUM(INPUT!M1151),"")</f>
        <v>46</v>
      </c>
      <c r="D1156" s="20">
        <f>IFERROR(YEAR(INPUT!M1151),"")</f>
        <v>2025</v>
      </c>
      <c r="E1156" t="str">
        <f>IF(INPUT!O1151="","",INPUT!O1151)</f>
        <v>PIRATA</v>
      </c>
      <c r="F1156" t="str">
        <f>IF(INPUT!N1151="","",INPUT!N1151)</f>
        <v>T</v>
      </c>
      <c r="G1156" t="str" cm="1">
        <f t="array" ref="G1156">IFERROR(VLOOKUP(INPUT!M1151&amp;INPUT!N1151,CHOOSE({1,2},INPUT!$A$3:$A$5000&amp;INPUT!$C$3:$C$5000,INPUT!$F$3:$F$5000),2,FALSE),"")</f>
        <v>PRE-TEMPORADA</v>
      </c>
      <c r="H1156" t="str" cm="1">
        <f t="array" ref="H1156">IFERROR(VLOOKUP(INPUT!M1151&amp;INPUT!N1151,CHOOSE({1,2},INPUT!$A$3:$A$5000&amp;INPUT!$C$3:$C$5000,INPUT!$D$3:$D$5000),2,FALSE),"")</f>
        <v>TEC-TAC</v>
      </c>
      <c r="I1156" s="46">
        <f>IF(INPUT!P1151="","",INPUT!P1151)</f>
        <v>76.2</v>
      </c>
      <c r="J1156" s="46">
        <f>IF(INPUT!Q1151="","",INPUT!Q1151)</f>
        <v>76.2</v>
      </c>
      <c r="K1156" s="46">
        <f>IFERROR(IF(OR(INPUT!P1151="",INPUT!Q1151=""),"",INPUT!P1151-INPUT!Q1151),"")</f>
        <v>0</v>
      </c>
      <c r="L1156" s="48">
        <f>IFERROR(IF(OR(INPUT!P1151="",INPUT!Q1151="",INPUT!P1151=0),"",(INPUT!P1151-INPUT!Q1151)/INPUT!P1151),"")</f>
        <v>0</v>
      </c>
    </row>
    <row r="1157" spans="1:12" ht="18" hidden="1" customHeight="1" x14ac:dyDescent="0.2">
      <c r="A1157" s="11">
        <f>IF(INPUT!M1152="","",INPUT!M1152)</f>
        <v>45971</v>
      </c>
      <c r="B1157" s="11">
        <f>IF(INPUT!M1152="","",INPUT!M1152-WEEKDAY(INPUT!M1152,2)+1)</f>
        <v>45971</v>
      </c>
      <c r="C1157" s="20">
        <f>IFERROR(_xlfn.ISOWEEKNUM(INPUT!M1152),"")</f>
        <v>46</v>
      </c>
      <c r="D1157" s="20">
        <f>IFERROR(YEAR(INPUT!M1152),"")</f>
        <v>2025</v>
      </c>
      <c r="E1157" t="str">
        <f>IF(INPUT!O1152="","",INPUT!O1152)</f>
        <v>BARONA</v>
      </c>
      <c r="F1157" t="str">
        <f>IF(INPUT!N1152="","",INPUT!N1152)</f>
        <v>M</v>
      </c>
      <c r="G1157" t="str" cm="1">
        <f t="array" ref="G1157">IFERROR(VLOOKUP(INPUT!M1152&amp;INPUT!N1152,CHOOSE({1,2},INPUT!$A$3:$A$5000&amp;INPUT!$C$3:$C$5000,INPUT!$F$3:$F$5000),2,FALSE),"")</f>
        <v>PRE-TEMPORADA</v>
      </c>
      <c r="H1157" t="str" cm="1">
        <f t="array" ref="H1157">IFERROR(VLOOKUP(INPUT!M1152&amp;INPUT!N1152,CHOOSE({1,2},INPUT!$A$3:$A$5000&amp;INPUT!$C$3:$C$5000,INPUT!$D$3:$D$5000),2,FALSE),"")</f>
        <v>GYM+TEC-TAC</v>
      </c>
      <c r="I1157" s="46">
        <f>IF(INPUT!P1152="","",INPUT!P1152)</f>
        <v>71.5</v>
      </c>
      <c r="J1157" s="46">
        <f>IF(INPUT!Q1152="","",INPUT!Q1152)</f>
        <v>71.400000000000006</v>
      </c>
      <c r="K1157" s="46">
        <f>IFERROR(IF(OR(INPUT!P1152="",INPUT!Q1152=""),"",INPUT!P1152-INPUT!Q1152),"")</f>
        <v>9.9999999999994316E-2</v>
      </c>
      <c r="L1157" s="48">
        <f>IFERROR(IF(OR(INPUT!P1152="",INPUT!Q1152="",INPUT!P1152=0),"",(INPUT!P1152-INPUT!Q1152)/INPUT!P1152),"")</f>
        <v>1.398601398601319E-3</v>
      </c>
    </row>
    <row r="1158" spans="1:12" ht="18" hidden="1" customHeight="1" x14ac:dyDescent="0.2">
      <c r="A1158" s="11">
        <f>IF(INPUT!M1153="","",INPUT!M1153)</f>
        <v>45971</v>
      </c>
      <c r="B1158" s="11">
        <f>IF(INPUT!M1153="","",INPUT!M1153-WEEKDAY(INPUT!M1153,2)+1)</f>
        <v>45971</v>
      </c>
      <c r="C1158" s="20">
        <f>IFERROR(_xlfn.ISOWEEKNUM(INPUT!M1153),"")</f>
        <v>46</v>
      </c>
      <c r="D1158" s="20">
        <f>IFERROR(YEAR(INPUT!M1153),"")</f>
        <v>2025</v>
      </c>
      <c r="E1158" t="str">
        <f>IF(INPUT!O1153="","",INPUT!O1153)</f>
        <v>BARONA</v>
      </c>
      <c r="F1158" t="str">
        <f>IF(INPUT!N1153="","",INPUT!N1153)</f>
        <v>T</v>
      </c>
      <c r="G1158" t="str" cm="1">
        <f t="array" ref="G1158">IFERROR(VLOOKUP(INPUT!M1153&amp;INPUT!N1153,CHOOSE({1,2},INPUT!$A$3:$A$5000&amp;INPUT!$C$3:$C$5000,INPUT!$F$3:$F$5000),2,FALSE),"")</f>
        <v>PRE-TEMPORADA</v>
      </c>
      <c r="H1158" t="str" cm="1">
        <f t="array" ref="H1158">IFERROR(VLOOKUP(INPUT!M1153&amp;INPUT!N1153,CHOOSE({1,2},INPUT!$A$3:$A$5000&amp;INPUT!$C$3:$C$5000,INPUT!$D$3:$D$5000),2,FALSE),"")</f>
        <v>TEC-TAC</v>
      </c>
      <c r="I1158" s="46">
        <f>IF(INPUT!P1153="","",INPUT!P1153)</f>
        <v>71.3</v>
      </c>
      <c r="J1158" s="46">
        <f>IF(INPUT!Q1153="","",INPUT!Q1153)</f>
        <v>71.400000000000006</v>
      </c>
      <c r="K1158" s="46">
        <f>IFERROR(IF(OR(INPUT!P1153="",INPUT!Q1153=""),"",INPUT!P1153-INPUT!Q1153),"")</f>
        <v>-0.10000000000000853</v>
      </c>
      <c r="L1158" s="48">
        <f>IFERROR(IF(OR(INPUT!P1153="",INPUT!Q1153="",INPUT!P1153=0),"",(INPUT!P1153-INPUT!Q1153)/INPUT!P1153),"")</f>
        <v>-1.4025245441796428E-3</v>
      </c>
    </row>
    <row r="1159" spans="1:12" ht="18" hidden="1" customHeight="1" x14ac:dyDescent="0.2">
      <c r="A1159" s="11">
        <f>IF(INPUT!M1154="","",INPUT!M1154)</f>
        <v>45971</v>
      </c>
      <c r="B1159" s="11">
        <f>IF(INPUT!M1154="","",INPUT!M1154-WEEKDAY(INPUT!M1154,2)+1)</f>
        <v>45971</v>
      </c>
      <c r="C1159" s="20">
        <f>IFERROR(_xlfn.ISOWEEKNUM(INPUT!M1154),"")</f>
        <v>46</v>
      </c>
      <c r="D1159" s="20">
        <f>IFERROR(YEAR(INPUT!M1154),"")</f>
        <v>2025</v>
      </c>
      <c r="E1159" t="str">
        <f>IF(INPUT!O1154="","",INPUT!O1154)</f>
        <v>CARLOS</v>
      </c>
      <c r="F1159" t="str">
        <f>IF(INPUT!N1154="","",INPUT!N1154)</f>
        <v>M</v>
      </c>
      <c r="G1159" t="str" cm="1">
        <f t="array" ref="G1159">IFERROR(VLOOKUP(INPUT!M1154&amp;INPUT!N1154,CHOOSE({1,2},INPUT!$A$3:$A$5000&amp;INPUT!$C$3:$C$5000,INPUT!$F$3:$F$5000),2,FALSE),"")</f>
        <v>PRE-TEMPORADA</v>
      </c>
      <c r="H1159" t="str" cm="1">
        <f t="array" ref="H1159">IFERROR(VLOOKUP(INPUT!M1154&amp;INPUT!N1154,CHOOSE({1,2},INPUT!$A$3:$A$5000&amp;INPUT!$C$3:$C$5000,INPUT!$D$3:$D$5000),2,FALSE),"")</f>
        <v>GYM+TEC-TAC</v>
      </c>
      <c r="I1159" s="46">
        <f>IF(INPUT!P1154="","",INPUT!P1154)</f>
        <v>67</v>
      </c>
      <c r="J1159" s="46">
        <f>IF(INPUT!Q1154="","",INPUT!Q1154)</f>
        <v>66.7</v>
      </c>
      <c r="K1159" s="46">
        <f>IFERROR(IF(OR(INPUT!P1154="",INPUT!Q1154=""),"",INPUT!P1154-INPUT!Q1154),"")</f>
        <v>0.29999999999999716</v>
      </c>
      <c r="L1159" s="48">
        <f>IFERROR(IF(OR(INPUT!P1154="",INPUT!Q1154="",INPUT!P1154=0),"",(INPUT!P1154-INPUT!Q1154)/INPUT!P1154),"")</f>
        <v>4.4776119402984652E-3</v>
      </c>
    </row>
    <row r="1160" spans="1:12" ht="18" hidden="1" customHeight="1" x14ac:dyDescent="0.2">
      <c r="A1160" s="11">
        <f>IF(INPUT!M1155="","",INPUT!M1155)</f>
        <v>45971</v>
      </c>
      <c r="B1160" s="11">
        <f>IF(INPUT!M1155="","",INPUT!M1155-WEEKDAY(INPUT!M1155,2)+1)</f>
        <v>45971</v>
      </c>
      <c r="C1160" s="20">
        <f>IFERROR(_xlfn.ISOWEEKNUM(INPUT!M1155),"")</f>
        <v>46</v>
      </c>
      <c r="D1160" s="20">
        <f>IFERROR(YEAR(INPUT!M1155),"")</f>
        <v>2025</v>
      </c>
      <c r="E1160" t="str">
        <f>IF(INPUT!O1155="","",INPUT!O1155)</f>
        <v>CARLOS</v>
      </c>
      <c r="F1160" t="str">
        <f>IF(INPUT!N1155="","",INPUT!N1155)</f>
        <v>T</v>
      </c>
      <c r="G1160" t="str" cm="1">
        <f t="array" ref="G1160">IFERROR(VLOOKUP(INPUT!M1155&amp;INPUT!N1155,CHOOSE({1,2},INPUT!$A$3:$A$5000&amp;INPUT!$C$3:$C$5000,INPUT!$F$3:$F$5000),2,FALSE),"")</f>
        <v>PRE-TEMPORADA</v>
      </c>
      <c r="H1160" t="str" cm="1">
        <f t="array" ref="H1160">IFERROR(VLOOKUP(INPUT!M1155&amp;INPUT!N1155,CHOOSE({1,2},INPUT!$A$3:$A$5000&amp;INPUT!$C$3:$C$5000,INPUT!$D$3:$D$5000),2,FALSE),"")</f>
        <v>TEC-TAC</v>
      </c>
      <c r="I1160" s="46">
        <f>IF(INPUT!P1155="","",INPUT!P1155)</f>
        <v>67.3</v>
      </c>
      <c r="J1160" s="46">
        <f>IF(INPUT!Q1155="","",INPUT!Q1155)</f>
        <v>66.900000000000006</v>
      </c>
      <c r="K1160" s="46">
        <f>IFERROR(IF(OR(INPUT!P1155="",INPUT!Q1155=""),"",INPUT!P1155-INPUT!Q1155),"")</f>
        <v>0.39999999999999147</v>
      </c>
      <c r="L1160" s="48">
        <f>IFERROR(IF(OR(INPUT!P1155="",INPUT!Q1155="",INPUT!P1155=0),"",(INPUT!P1155-INPUT!Q1155)/INPUT!P1155),"")</f>
        <v>5.9435364041603494E-3</v>
      </c>
    </row>
    <row r="1161" spans="1:12" ht="18" hidden="1" customHeight="1" x14ac:dyDescent="0.2">
      <c r="A1161" s="11">
        <f>IF(INPUT!M1156="","",INPUT!M1156)</f>
        <v>45971</v>
      </c>
      <c r="B1161" s="11">
        <f>IF(INPUT!M1156="","",INPUT!M1156-WEEKDAY(INPUT!M1156,2)+1)</f>
        <v>45971</v>
      </c>
      <c r="C1161" s="20">
        <f>IFERROR(_xlfn.ISOWEEKNUM(INPUT!M1156),"")</f>
        <v>46</v>
      </c>
      <c r="D1161" s="20">
        <f>IFERROR(YEAR(INPUT!M1156),"")</f>
        <v>2025</v>
      </c>
      <c r="E1161" t="str">
        <f>IF(INPUT!O1156="","",INPUT!O1156)</f>
        <v>SEGO</v>
      </c>
      <c r="F1161" t="str">
        <f>IF(INPUT!N1156="","",INPUT!N1156)</f>
        <v>M</v>
      </c>
      <c r="G1161" t="str" cm="1">
        <f t="array" ref="G1161">IFERROR(VLOOKUP(INPUT!M1156&amp;INPUT!N1156,CHOOSE({1,2},INPUT!$A$3:$A$5000&amp;INPUT!$C$3:$C$5000,INPUT!$F$3:$F$5000),2,FALSE),"")</f>
        <v>PRE-TEMPORADA</v>
      </c>
      <c r="H1161" t="str" cm="1">
        <f t="array" ref="H1161">IFERROR(VLOOKUP(INPUT!M1156&amp;INPUT!N1156,CHOOSE({1,2},INPUT!$A$3:$A$5000&amp;INPUT!$C$3:$C$5000,INPUT!$D$3:$D$5000),2,FALSE),"")</f>
        <v>GYM+TEC-TAC</v>
      </c>
      <c r="I1161" s="46">
        <f>IF(INPUT!P1156="","",INPUT!P1156)</f>
        <v>75.2</v>
      </c>
      <c r="J1161" s="46">
        <f>IF(INPUT!Q1156="","",INPUT!Q1156)</f>
        <v>74.8</v>
      </c>
      <c r="K1161" s="46">
        <f>IFERROR(IF(OR(INPUT!P1156="",INPUT!Q1156=""),"",INPUT!P1156-INPUT!Q1156),"")</f>
        <v>0.40000000000000568</v>
      </c>
      <c r="L1161" s="48">
        <f>IFERROR(IF(OR(INPUT!P1156="",INPUT!Q1156="",INPUT!P1156=0),"",(INPUT!P1156-INPUT!Q1156)/INPUT!P1156),"")</f>
        <v>5.3191489361702881E-3</v>
      </c>
    </row>
    <row r="1162" spans="1:12" ht="18" customHeight="1" x14ac:dyDescent="0.2">
      <c r="A1162" s="11">
        <f>IF(INPUT!M1157="","",INPUT!M1157)</f>
        <v>45971</v>
      </c>
      <c r="B1162" s="11">
        <f>IF(INPUT!M1157="","",INPUT!M1157-WEEKDAY(INPUT!M1157,2)+1)</f>
        <v>45971</v>
      </c>
      <c r="C1162" s="20">
        <f>IFERROR(_xlfn.ISOWEEKNUM(INPUT!M1157),"")</f>
        <v>46</v>
      </c>
      <c r="D1162" s="20">
        <f>IFERROR(YEAR(INPUT!M1157),"")</f>
        <v>2025</v>
      </c>
      <c r="E1162" t="str">
        <f>IF(INPUT!O1157="","",INPUT!O1157)</f>
        <v>SEGO</v>
      </c>
      <c r="F1162" t="str">
        <f>IF(INPUT!N1157="","",INPUT!N1157)</f>
        <v>T</v>
      </c>
      <c r="G1162" t="str" cm="1">
        <f t="array" ref="G1162">IFERROR(VLOOKUP(INPUT!M1157&amp;INPUT!N1157,CHOOSE({1,2},INPUT!$A$3:$A$5000&amp;INPUT!$C$3:$C$5000,INPUT!$F$3:$F$5000),2,FALSE),"")</f>
        <v>PRE-TEMPORADA</v>
      </c>
      <c r="H1162" t="str" cm="1">
        <f t="array" ref="H1162">IFERROR(VLOOKUP(INPUT!M1157&amp;INPUT!N1157,CHOOSE({1,2},INPUT!$A$3:$A$5000&amp;INPUT!$C$3:$C$5000,INPUT!$D$3:$D$5000),2,FALSE),"")</f>
        <v>TEC-TAC</v>
      </c>
      <c r="I1162" s="46">
        <f>IF(INPUT!P1157="","",INPUT!P1157)</f>
        <v>75.3</v>
      </c>
      <c r="J1162" s="46">
        <f>IF(INPUT!Q1157="","",INPUT!Q1157)</f>
        <v>75.099999999999994</v>
      </c>
      <c r="K1162" s="46">
        <f>IFERROR(IF(OR(INPUT!P1157="",INPUT!Q1157=""),"",INPUT!P1157-INPUT!Q1157),"")</f>
        <v>0.20000000000000284</v>
      </c>
      <c r="L1162" s="48">
        <f>IFERROR(IF(OR(INPUT!P1157="",INPUT!Q1157="",INPUT!P1157=0),"",(INPUT!P1157-INPUT!Q1157)/INPUT!P1157),"")</f>
        <v>2.6560424966799849E-3</v>
      </c>
    </row>
    <row r="1163" spans="1:12" ht="18" customHeight="1" x14ac:dyDescent="0.2">
      <c r="A1163" s="11">
        <f>IF(INPUT!M1158="","",INPUT!M1158)</f>
        <v>45971</v>
      </c>
      <c r="B1163" s="11">
        <f>IF(INPUT!M1158="","",INPUT!M1158-WEEKDAY(INPUT!M1158,2)+1)</f>
        <v>45971</v>
      </c>
      <c r="C1163" s="20">
        <f>IFERROR(_xlfn.ISOWEEKNUM(INPUT!M1158),"")</f>
        <v>46</v>
      </c>
      <c r="D1163" s="20">
        <f>IFERROR(YEAR(INPUT!M1158),"")</f>
        <v>2025</v>
      </c>
      <c r="E1163" t="str">
        <f>IF(INPUT!O1158="","",INPUT!O1158)</f>
        <v>RUBIO</v>
      </c>
      <c r="F1163" t="str">
        <f>IF(INPUT!N1158="","",INPUT!N1158)</f>
        <v>M</v>
      </c>
      <c r="G1163" t="str" cm="1">
        <f t="array" ref="G1163">IFERROR(VLOOKUP(INPUT!M1158&amp;INPUT!N1158,CHOOSE({1,2},INPUT!$A$3:$A$5000&amp;INPUT!$C$3:$C$5000,INPUT!$F$3:$F$5000),2,FALSE),"")</f>
        <v>PRE-TEMPORADA</v>
      </c>
      <c r="H1163" t="str" cm="1">
        <f t="array" ref="H1163">IFERROR(VLOOKUP(INPUT!M1158&amp;INPUT!N1158,CHOOSE({1,2},INPUT!$A$3:$A$5000&amp;INPUT!$C$3:$C$5000,INPUT!$D$3:$D$5000),2,FALSE),"")</f>
        <v>GYM+TEC-TAC</v>
      </c>
      <c r="I1163" s="46">
        <f>IF(INPUT!P1158="","",INPUT!P1158)</f>
        <v>74.599999999999994</v>
      </c>
      <c r="J1163" s="46">
        <f>IF(INPUT!Q1158="","",INPUT!Q1158)</f>
        <v>74.599999999999994</v>
      </c>
      <c r="K1163" s="46">
        <f>IFERROR(IF(OR(INPUT!P1158="",INPUT!Q1158=""),"",INPUT!P1158-INPUT!Q1158),"")</f>
        <v>0</v>
      </c>
      <c r="L1163" s="48">
        <f>IFERROR(IF(OR(INPUT!P1158="",INPUT!Q1158="",INPUT!P1158=0),"",(INPUT!P1158-INPUT!Q1158)/INPUT!P1158),"")</f>
        <v>0</v>
      </c>
    </row>
    <row r="1164" spans="1:12" ht="18" customHeight="1" x14ac:dyDescent="0.2">
      <c r="A1164" s="11">
        <f>IF(INPUT!M1159="","",INPUT!M1159)</f>
        <v>45971</v>
      </c>
      <c r="B1164" s="11">
        <f>IF(INPUT!M1159="","",INPUT!M1159-WEEKDAY(INPUT!M1159,2)+1)</f>
        <v>45971</v>
      </c>
      <c r="C1164" s="20">
        <f>IFERROR(_xlfn.ISOWEEKNUM(INPUT!M1159),"")</f>
        <v>46</v>
      </c>
      <c r="D1164" s="20">
        <f>IFERROR(YEAR(INPUT!M1159),"")</f>
        <v>2025</v>
      </c>
      <c r="E1164" t="str">
        <f>IF(INPUT!O1159="","",INPUT!O1159)</f>
        <v>RUBIO</v>
      </c>
      <c r="F1164" t="str">
        <f>IF(INPUT!N1159="","",INPUT!N1159)</f>
        <v>T</v>
      </c>
      <c r="G1164" t="str" cm="1">
        <f t="array" ref="G1164">IFERROR(VLOOKUP(INPUT!M1159&amp;INPUT!N1159,CHOOSE({1,2},INPUT!$A$3:$A$5000&amp;INPUT!$C$3:$C$5000,INPUT!$F$3:$F$5000),2,FALSE),"")</f>
        <v>PRE-TEMPORADA</v>
      </c>
      <c r="H1164" t="str" cm="1">
        <f t="array" ref="H1164">IFERROR(VLOOKUP(INPUT!M1159&amp;INPUT!N1159,CHOOSE({1,2},INPUT!$A$3:$A$5000&amp;INPUT!$C$3:$C$5000,INPUT!$D$3:$D$5000),2,FALSE),"")</f>
        <v>TEC-TAC</v>
      </c>
      <c r="I1164" s="46">
        <f>IF(INPUT!P1159="","",INPUT!P1159)</f>
        <v>74.7</v>
      </c>
      <c r="J1164" s="46">
        <f>IF(INPUT!Q1159="","",INPUT!Q1159)</f>
        <v>74.7</v>
      </c>
      <c r="K1164" s="46">
        <f>IFERROR(IF(OR(INPUT!P1159="",INPUT!Q1159=""),"",INPUT!P1159-INPUT!Q1159),"")</f>
        <v>0</v>
      </c>
      <c r="L1164" s="48">
        <f>IFERROR(IF(OR(INPUT!P1159="",INPUT!Q1159="",INPUT!P1159=0),"",(INPUT!P1159-INPUT!Q1159)/INPUT!P1159),"")</f>
        <v>0</v>
      </c>
    </row>
    <row r="1165" spans="1:12" ht="18" customHeight="1" x14ac:dyDescent="0.2">
      <c r="A1165" s="11">
        <f>IF(INPUT!M1160="","",INPUT!M1160)</f>
        <v>45971</v>
      </c>
      <c r="B1165" s="11">
        <f>IF(INPUT!M1160="","",INPUT!M1160-WEEKDAY(INPUT!M1160,2)+1)</f>
        <v>45971</v>
      </c>
      <c r="C1165" s="20">
        <f>IFERROR(_xlfn.ISOWEEKNUM(INPUT!M1160),"")</f>
        <v>46</v>
      </c>
      <c r="D1165" s="20">
        <f>IFERROR(YEAR(INPUT!M1160),"")</f>
        <v>2025</v>
      </c>
      <c r="E1165" t="str">
        <f>IF(INPUT!O1160="","",INPUT!O1160)</f>
        <v>DANI</v>
      </c>
      <c r="F1165" t="str">
        <f>IF(INPUT!N1160="","",INPUT!N1160)</f>
        <v>M</v>
      </c>
      <c r="G1165" t="str" cm="1">
        <f t="array" ref="G1165">IFERROR(VLOOKUP(INPUT!M1160&amp;INPUT!N1160,CHOOSE({1,2},INPUT!$A$3:$A$5000&amp;INPUT!$C$3:$C$5000,INPUT!$F$3:$F$5000),2,FALSE),"")</f>
        <v>PRE-TEMPORADA</v>
      </c>
      <c r="H1165" t="str" cm="1">
        <f t="array" ref="H1165">IFERROR(VLOOKUP(INPUT!M1160&amp;INPUT!N1160,CHOOSE({1,2},INPUT!$A$3:$A$5000&amp;INPUT!$C$3:$C$5000,INPUT!$D$3:$D$5000),2,FALSE),"")</f>
        <v>GYM+TEC-TAC</v>
      </c>
      <c r="I1165" s="46">
        <f>IF(INPUT!P1160="","",INPUT!P1160)</f>
        <v>93.6</v>
      </c>
      <c r="J1165" s="46">
        <f>IF(INPUT!Q1160="","",INPUT!Q1160)</f>
        <v>93.3</v>
      </c>
      <c r="K1165" s="46">
        <f>IFERROR(IF(OR(INPUT!P1160="",INPUT!Q1160=""),"",INPUT!P1160-INPUT!Q1160),"")</f>
        <v>0.29999999999999716</v>
      </c>
      <c r="L1165" s="48">
        <f>IFERROR(IF(OR(INPUT!P1160="",INPUT!Q1160="",INPUT!P1160=0),"",(INPUT!P1160-INPUT!Q1160)/INPUT!P1160),"")</f>
        <v>3.2051282051281751E-3</v>
      </c>
    </row>
    <row r="1166" spans="1:12" ht="18" customHeight="1" x14ac:dyDescent="0.2">
      <c r="A1166" s="11">
        <f>IF(INPUT!M1161="","",INPUT!M1161)</f>
        <v>45971</v>
      </c>
      <c r="B1166" s="11">
        <f>IF(INPUT!M1161="","",INPUT!M1161-WEEKDAY(INPUT!M1161,2)+1)</f>
        <v>45971</v>
      </c>
      <c r="C1166" s="20">
        <f>IFERROR(_xlfn.ISOWEEKNUM(INPUT!M1161),"")</f>
        <v>46</v>
      </c>
      <c r="D1166" s="20">
        <f>IFERROR(YEAR(INPUT!M1161),"")</f>
        <v>2025</v>
      </c>
      <c r="E1166" t="str">
        <f>IF(INPUT!O1161="","",INPUT!O1161)</f>
        <v>DANI</v>
      </c>
      <c r="F1166" t="str">
        <f>IF(INPUT!N1161="","",INPUT!N1161)</f>
        <v>T</v>
      </c>
      <c r="G1166" t="str" cm="1">
        <f t="array" ref="G1166">IFERROR(VLOOKUP(INPUT!M1161&amp;INPUT!N1161,CHOOSE({1,2},INPUT!$A$3:$A$5000&amp;INPUT!$C$3:$C$5000,INPUT!$F$3:$F$5000),2,FALSE),"")</f>
        <v>PRE-TEMPORADA</v>
      </c>
      <c r="H1166" t="str" cm="1">
        <f t="array" ref="H1166">IFERROR(VLOOKUP(INPUT!M1161&amp;INPUT!N1161,CHOOSE({1,2},INPUT!$A$3:$A$5000&amp;INPUT!$C$3:$C$5000,INPUT!$D$3:$D$5000),2,FALSE),"")</f>
        <v>TEC-TAC</v>
      </c>
      <c r="I1166" s="46">
        <f>IF(INPUT!P1161="","",INPUT!P1161)</f>
        <v>93.3</v>
      </c>
      <c r="J1166" s="46">
        <f>IF(INPUT!Q1161="","",INPUT!Q1161)</f>
        <v>93.1</v>
      </c>
      <c r="K1166" s="46">
        <f>IFERROR(IF(OR(INPUT!P1161="",INPUT!Q1161=""),"",INPUT!P1161-INPUT!Q1161),"")</f>
        <v>0.20000000000000284</v>
      </c>
      <c r="L1166" s="48">
        <f>IFERROR(IF(OR(INPUT!P1161="",INPUT!Q1161="",INPUT!P1161=0),"",(INPUT!P1161-INPUT!Q1161)/INPUT!P1161),"")</f>
        <v>2.1436227224008878E-3</v>
      </c>
    </row>
    <row r="1167" spans="1:12" ht="18" hidden="1" customHeight="1" x14ac:dyDescent="0.2">
      <c r="A1167" s="11">
        <f>IF(INPUT!M1162="","",INPUT!M1162)</f>
        <v>45971</v>
      </c>
      <c r="B1167" s="11">
        <f>IF(INPUT!M1162="","",INPUT!M1162-WEEKDAY(INPUT!M1162,2)+1)</f>
        <v>45971</v>
      </c>
      <c r="C1167" s="20">
        <f>IFERROR(_xlfn.ISOWEEKNUM(INPUT!M1162),"")</f>
        <v>46</v>
      </c>
      <c r="D1167" s="20">
        <f>IFERROR(YEAR(INPUT!M1162),"")</f>
        <v>2025</v>
      </c>
      <c r="E1167" t="str">
        <f>IF(INPUT!O1162="","",INPUT!O1162)</f>
        <v>JAIME</v>
      </c>
      <c r="F1167" t="str">
        <f>IF(INPUT!N1162="","",INPUT!N1162)</f>
        <v>M</v>
      </c>
      <c r="G1167" t="str" cm="1">
        <f t="array" ref="G1167">IFERROR(VLOOKUP(INPUT!M1162&amp;INPUT!N1162,CHOOSE({1,2},INPUT!$A$3:$A$5000&amp;INPUT!$C$3:$C$5000,INPUT!$F$3:$F$5000),2,FALSE),"")</f>
        <v>PRE-TEMPORADA</v>
      </c>
      <c r="H1167" t="str" cm="1">
        <f t="array" ref="H1167">IFERROR(VLOOKUP(INPUT!M1162&amp;INPUT!N1162,CHOOSE({1,2},INPUT!$A$3:$A$5000&amp;INPUT!$C$3:$C$5000,INPUT!$D$3:$D$5000),2,FALSE),"")</f>
        <v>GYM+TEC-TAC</v>
      </c>
      <c r="I1167" s="46">
        <f>IF(INPUT!P1162="","",INPUT!P1162)</f>
        <v>76.2</v>
      </c>
      <c r="J1167" s="46">
        <f>IF(INPUT!Q1162="","",INPUT!Q1162)</f>
        <v>76.099999999999994</v>
      </c>
      <c r="K1167" s="46">
        <f>IFERROR(IF(OR(INPUT!P1162="",INPUT!Q1162=""),"",INPUT!P1162-INPUT!Q1162),"")</f>
        <v>0.10000000000000853</v>
      </c>
      <c r="L1167" s="48">
        <f>IFERROR(IF(OR(INPUT!P1162="",INPUT!Q1162="",INPUT!P1162=0),"",(INPUT!P1162-INPUT!Q1162)/INPUT!P1162),"")</f>
        <v>1.3123359580053612E-3</v>
      </c>
    </row>
    <row r="1168" spans="1:12" ht="18" hidden="1" customHeight="1" x14ac:dyDescent="0.2">
      <c r="A1168" s="11">
        <f>IF(INPUT!M1163="","",INPUT!M1163)</f>
        <v>45971</v>
      </c>
      <c r="B1168" s="11">
        <f>IF(INPUT!M1163="","",INPUT!M1163-WEEKDAY(INPUT!M1163,2)+1)</f>
        <v>45971</v>
      </c>
      <c r="C1168" s="20">
        <f>IFERROR(_xlfn.ISOWEEKNUM(INPUT!M1163),"")</f>
        <v>46</v>
      </c>
      <c r="D1168" s="20">
        <f>IFERROR(YEAR(INPUT!M1163),"")</f>
        <v>2025</v>
      </c>
      <c r="E1168" t="str">
        <f>IF(INPUT!O1163="","",INPUT!O1163)</f>
        <v>JAIME</v>
      </c>
      <c r="F1168" t="str">
        <f>IF(INPUT!N1163="","",INPUT!N1163)</f>
        <v>T</v>
      </c>
      <c r="G1168" t="str" cm="1">
        <f t="array" ref="G1168">IFERROR(VLOOKUP(INPUT!M1163&amp;INPUT!N1163,CHOOSE({1,2},INPUT!$A$3:$A$5000&amp;INPUT!$C$3:$C$5000,INPUT!$F$3:$F$5000),2,FALSE),"")</f>
        <v>PRE-TEMPORADA</v>
      </c>
      <c r="H1168" t="str" cm="1">
        <f t="array" ref="H1168">IFERROR(VLOOKUP(INPUT!M1163&amp;INPUT!N1163,CHOOSE({1,2},INPUT!$A$3:$A$5000&amp;INPUT!$C$3:$C$5000,INPUT!$D$3:$D$5000),2,FALSE),"")</f>
        <v>TEC-TAC</v>
      </c>
      <c r="I1168" s="46">
        <f>IF(INPUT!P1163="","",INPUT!P1163)</f>
        <v>76</v>
      </c>
      <c r="J1168" s="46">
        <f>IF(INPUT!Q1163="","",INPUT!Q1163)</f>
        <v>76.2</v>
      </c>
      <c r="K1168" s="46">
        <f>IFERROR(IF(OR(INPUT!P1163="",INPUT!Q1163=""),"",INPUT!P1163-INPUT!Q1163),"")</f>
        <v>-0.20000000000000284</v>
      </c>
      <c r="L1168" s="48">
        <f>IFERROR(IF(OR(INPUT!P1163="",INPUT!Q1163="",INPUT!P1163=0),"",(INPUT!P1163-INPUT!Q1163)/INPUT!P1163),"")</f>
        <v>-2.6315789473684583E-3</v>
      </c>
    </row>
    <row r="1169" spans="1:12" ht="18" hidden="1" customHeight="1" x14ac:dyDescent="0.2">
      <c r="A1169" s="11">
        <f>IF(INPUT!M1164="","",INPUT!M1164)</f>
        <v>45972</v>
      </c>
      <c r="B1169" s="11">
        <f>IF(INPUT!M1164="","",INPUT!M1164-WEEKDAY(INPUT!M1164,2)+1)</f>
        <v>45971</v>
      </c>
      <c r="C1169" s="20">
        <f>IFERROR(_xlfn.ISOWEEKNUM(INPUT!M1164),"")</f>
        <v>46</v>
      </c>
      <c r="D1169" s="20">
        <f>IFERROR(YEAR(INPUT!M1164),"")</f>
        <v>2025</v>
      </c>
      <c r="E1169" t="str">
        <f>IF(INPUT!O1164="","",INPUT!O1164)</f>
        <v>GARCIA</v>
      </c>
      <c r="F1169" t="str">
        <f>IF(INPUT!N1164="","",INPUT!N1164)</f>
        <v>M</v>
      </c>
      <c r="G1169" t="str" cm="1">
        <f t="array" ref="G1169">IFERROR(VLOOKUP(INPUT!M1164&amp;INPUT!N1164,CHOOSE({1,2},INPUT!$A$3:$A$5000&amp;INPUT!$C$3:$C$5000,INPUT!$F$3:$F$5000),2,FALSE),"")</f>
        <v>PRE-TEMPORADA</v>
      </c>
      <c r="H1169" t="str" cm="1">
        <f t="array" ref="H1169">IFERROR(VLOOKUP(INPUT!M1164&amp;INPUT!N1164,CHOOSE({1,2},INPUT!$A$3:$A$5000&amp;INPUT!$C$3:$C$5000,INPUT!$D$3:$D$5000),2,FALSE),"")</f>
        <v>TEC-TAC</v>
      </c>
      <c r="I1169" s="46">
        <f>IF(INPUT!P1164="","",INPUT!P1164)</f>
        <v>79.5</v>
      </c>
      <c r="J1169" s="46">
        <f>IF(INPUT!Q1164="","",INPUT!Q1164)</f>
        <v>79.400000000000006</v>
      </c>
      <c r="K1169" s="46">
        <f>IFERROR(IF(OR(INPUT!P1164="",INPUT!Q1164=""),"",INPUT!P1164-INPUT!Q1164),"")</f>
        <v>9.9999999999994316E-2</v>
      </c>
      <c r="L1169" s="48">
        <f>IFERROR(IF(OR(INPUT!P1164="",INPUT!Q1164="",INPUT!P1164=0),"",(INPUT!P1164-INPUT!Q1164)/INPUT!P1164),"")</f>
        <v>1.2578616352200544E-3</v>
      </c>
    </row>
    <row r="1170" spans="1:12" ht="18" hidden="1" customHeight="1" x14ac:dyDescent="0.2">
      <c r="A1170" s="11">
        <f>IF(INPUT!M1165="","",INPUT!M1165)</f>
        <v>45972</v>
      </c>
      <c r="B1170" s="11">
        <f>IF(INPUT!M1165="","",INPUT!M1165-WEEKDAY(INPUT!M1165,2)+1)</f>
        <v>45971</v>
      </c>
      <c r="C1170" s="20">
        <f>IFERROR(_xlfn.ISOWEEKNUM(INPUT!M1165),"")</f>
        <v>46</v>
      </c>
      <c r="D1170" s="20">
        <f>IFERROR(YEAR(INPUT!M1165),"")</f>
        <v>2025</v>
      </c>
      <c r="E1170" t="str">
        <f>IF(INPUT!O1165="","",INPUT!O1165)</f>
        <v>OSCAR</v>
      </c>
      <c r="F1170" t="str">
        <f>IF(INPUT!N1165="","",INPUT!N1165)</f>
        <v>M</v>
      </c>
      <c r="G1170" t="str" cm="1">
        <f t="array" ref="G1170">IFERROR(VLOOKUP(INPUT!M1165&amp;INPUT!N1165,CHOOSE({1,2},INPUT!$A$3:$A$5000&amp;INPUT!$C$3:$C$5000,INPUT!$F$3:$F$5000),2,FALSE),"")</f>
        <v>PRE-TEMPORADA</v>
      </c>
      <c r="H1170" t="str" cm="1">
        <f t="array" ref="H1170">IFERROR(VLOOKUP(INPUT!M1165&amp;INPUT!N1165,CHOOSE({1,2},INPUT!$A$3:$A$5000&amp;INPUT!$C$3:$C$5000,INPUT!$D$3:$D$5000),2,FALSE),"")</f>
        <v>TEC-TAC</v>
      </c>
      <c r="I1170" s="46">
        <f>IF(INPUT!P1165="","",INPUT!P1165)</f>
        <v>87.5</v>
      </c>
      <c r="J1170" s="46">
        <f>IF(INPUT!Q1165="","",INPUT!Q1165)</f>
        <v>86.6</v>
      </c>
      <c r="K1170" s="46">
        <f>IFERROR(IF(OR(INPUT!P1165="",INPUT!Q1165=""),"",INPUT!P1165-INPUT!Q1165),"")</f>
        <v>0.90000000000000568</v>
      </c>
      <c r="L1170" s="48">
        <f>IFERROR(IF(OR(INPUT!P1165="",INPUT!Q1165="",INPUT!P1165=0),"",(INPUT!P1165-INPUT!Q1165)/INPUT!P1165),"")</f>
        <v>1.0285714285714351E-2</v>
      </c>
    </row>
    <row r="1171" spans="1:12" ht="18" hidden="1" customHeight="1" x14ac:dyDescent="0.2">
      <c r="A1171" s="11">
        <f>IF(INPUT!M1166="","",INPUT!M1166)</f>
        <v>45972</v>
      </c>
      <c r="B1171" s="11">
        <f>IF(INPUT!M1166="","",INPUT!M1166-WEEKDAY(INPUT!M1166,2)+1)</f>
        <v>45971</v>
      </c>
      <c r="C1171" s="20">
        <f>IFERROR(_xlfn.ISOWEEKNUM(INPUT!M1166),"")</f>
        <v>46</v>
      </c>
      <c r="D1171" s="20">
        <f>IFERROR(YEAR(INPUT!M1166),"")</f>
        <v>2025</v>
      </c>
      <c r="E1171" t="str">
        <f>IF(INPUT!O1166="","",INPUT!O1166)</f>
        <v>CHAGUINHA</v>
      </c>
      <c r="F1171" t="str">
        <f>IF(INPUT!N1166="","",INPUT!N1166)</f>
        <v>M</v>
      </c>
      <c r="G1171" t="str" cm="1">
        <f t="array" ref="G1171">IFERROR(VLOOKUP(INPUT!M1166&amp;INPUT!N1166,CHOOSE({1,2},INPUT!$A$3:$A$5000&amp;INPUT!$C$3:$C$5000,INPUT!$F$3:$F$5000),2,FALSE),"")</f>
        <v>PRE-TEMPORADA</v>
      </c>
      <c r="H1171" t="str" cm="1">
        <f t="array" ref="H1171">IFERROR(VLOOKUP(INPUT!M1166&amp;INPUT!N1166,CHOOSE({1,2},INPUT!$A$3:$A$5000&amp;INPUT!$C$3:$C$5000,INPUT!$D$3:$D$5000),2,FALSE),"")</f>
        <v>TEC-TAC</v>
      </c>
      <c r="I1171" s="46">
        <f>IF(INPUT!P1166="","",INPUT!P1166)</f>
        <v>69.3</v>
      </c>
      <c r="J1171" s="46">
        <f>IF(INPUT!Q1166="","",INPUT!Q1166)</f>
        <v>68.7</v>
      </c>
      <c r="K1171" s="46">
        <f>IFERROR(IF(OR(INPUT!P1166="",INPUT!Q1166=""),"",INPUT!P1166-INPUT!Q1166),"")</f>
        <v>0.59999999999999432</v>
      </c>
      <c r="L1171" s="48">
        <f>IFERROR(IF(OR(INPUT!P1166="",INPUT!Q1166="",INPUT!P1166=0),"",(INPUT!P1166-INPUT!Q1166)/INPUT!P1166),"")</f>
        <v>8.6580086580085765E-3</v>
      </c>
    </row>
    <row r="1172" spans="1:12" ht="18" hidden="1" customHeight="1" x14ac:dyDescent="0.2">
      <c r="A1172" s="11">
        <f>IF(INPUT!M1167="","",INPUT!M1167)</f>
        <v>45972</v>
      </c>
      <c r="B1172" s="11">
        <f>IF(INPUT!M1167="","",INPUT!M1167-WEEKDAY(INPUT!M1167,2)+1)</f>
        <v>45971</v>
      </c>
      <c r="C1172" s="20">
        <f>IFERROR(_xlfn.ISOWEEKNUM(INPUT!M1167),"")</f>
        <v>46</v>
      </c>
      <c r="D1172" s="20">
        <f>IFERROR(YEAR(INPUT!M1167),"")</f>
        <v>2025</v>
      </c>
      <c r="E1172" t="str">
        <f>IF(INPUT!O1167="","",INPUT!O1167)</f>
        <v>RAUL</v>
      </c>
      <c r="F1172" t="str">
        <f>IF(INPUT!N1167="","",INPUT!N1167)</f>
        <v>M</v>
      </c>
      <c r="G1172" t="str" cm="1">
        <f t="array" ref="G1172">IFERROR(VLOOKUP(INPUT!M1167&amp;INPUT!N1167,CHOOSE({1,2},INPUT!$A$3:$A$5000&amp;INPUT!$C$3:$C$5000,INPUT!$F$3:$F$5000),2,FALSE),"")</f>
        <v>PRE-TEMPORADA</v>
      </c>
      <c r="H1172" t="str" cm="1">
        <f t="array" ref="H1172">IFERROR(VLOOKUP(INPUT!M1167&amp;INPUT!N1167,CHOOSE({1,2},INPUT!$A$3:$A$5000&amp;INPUT!$C$3:$C$5000,INPUT!$D$3:$D$5000),2,FALSE),"")</f>
        <v>TEC-TAC</v>
      </c>
      <c r="I1172" s="46">
        <f>IF(INPUT!P1167="","",INPUT!P1167)</f>
        <v>81.5</v>
      </c>
      <c r="J1172" s="46">
        <f>IF(INPUT!Q1167="","",INPUT!Q1167)</f>
        <v>81.599999999999994</v>
      </c>
      <c r="K1172" s="46">
        <f>IFERROR(IF(OR(INPUT!P1167="",INPUT!Q1167=""),"",INPUT!P1167-INPUT!Q1167),"")</f>
        <v>-9.9999999999994316E-2</v>
      </c>
      <c r="L1172" s="48">
        <f>IFERROR(IF(OR(INPUT!P1167="",INPUT!Q1167="",INPUT!P1167=0),"",(INPUT!P1167-INPUT!Q1167)/INPUT!P1167),"")</f>
        <v>-1.2269938650306051E-3</v>
      </c>
    </row>
    <row r="1173" spans="1:12" ht="18" hidden="1" customHeight="1" x14ac:dyDescent="0.2">
      <c r="A1173" s="11">
        <f>IF(INPUT!M1168="","",INPUT!M1168)</f>
        <v>45972</v>
      </c>
      <c r="B1173" s="11">
        <f>IF(INPUT!M1168="","",INPUT!M1168-WEEKDAY(INPUT!M1168,2)+1)</f>
        <v>45971</v>
      </c>
      <c r="C1173" s="20">
        <f>IFERROR(_xlfn.ISOWEEKNUM(INPUT!M1168),"")</f>
        <v>46</v>
      </c>
      <c r="D1173" s="20">
        <f>IFERROR(YEAR(INPUT!M1168),"")</f>
        <v>2025</v>
      </c>
      <c r="E1173" t="str">
        <f>IF(INPUT!O1168="","",INPUT!O1168)</f>
        <v>HARRISON</v>
      </c>
      <c r="F1173" t="str">
        <f>IF(INPUT!N1168="","",INPUT!N1168)</f>
        <v>M</v>
      </c>
      <c r="G1173" t="str" cm="1">
        <f t="array" ref="G1173">IFERROR(VLOOKUP(INPUT!M1168&amp;INPUT!N1168,CHOOSE({1,2},INPUT!$A$3:$A$5000&amp;INPUT!$C$3:$C$5000,INPUT!$F$3:$F$5000),2,FALSE),"")</f>
        <v>PRE-TEMPORADA</v>
      </c>
      <c r="H1173" t="str" cm="1">
        <f t="array" ref="H1173">IFERROR(VLOOKUP(INPUT!M1168&amp;INPUT!N1168,CHOOSE({1,2},INPUT!$A$3:$A$5000&amp;INPUT!$C$3:$C$5000,INPUT!$D$3:$D$5000),2,FALSE),"")</f>
        <v>TEC-TAC</v>
      </c>
      <c r="I1173" s="46">
        <f>IF(INPUT!P1168="","",INPUT!P1168)</f>
        <v>72.099999999999994</v>
      </c>
      <c r="J1173" s="46">
        <f>IF(INPUT!Q1168="","",INPUT!Q1168)</f>
        <v>72.400000000000006</v>
      </c>
      <c r="K1173" s="46">
        <f>IFERROR(IF(OR(INPUT!P1168="",INPUT!Q1168=""),"",INPUT!P1168-INPUT!Q1168),"")</f>
        <v>-0.30000000000001137</v>
      </c>
      <c r="L1173" s="48">
        <f>IFERROR(IF(OR(INPUT!P1168="",INPUT!Q1168="",INPUT!P1168=0),"",(INPUT!P1168-INPUT!Q1168)/INPUT!P1168),"")</f>
        <v>-4.1608876560334448E-3</v>
      </c>
    </row>
    <row r="1174" spans="1:12" ht="18" hidden="1" customHeight="1" x14ac:dyDescent="0.2">
      <c r="A1174" s="11">
        <f>IF(INPUT!M1169="","",INPUT!M1169)</f>
        <v>45972</v>
      </c>
      <c r="B1174" s="11">
        <f>IF(INPUT!M1169="","",INPUT!M1169-WEEKDAY(INPUT!M1169,2)+1)</f>
        <v>45971</v>
      </c>
      <c r="C1174" s="20">
        <f>IFERROR(_xlfn.ISOWEEKNUM(INPUT!M1169),"")</f>
        <v>46</v>
      </c>
      <c r="D1174" s="20">
        <f>IFERROR(YEAR(INPUT!M1169),"")</f>
        <v>2025</v>
      </c>
      <c r="E1174" t="str">
        <f>IF(INPUT!O1169="","",INPUT!O1169)</f>
        <v>JAVI</v>
      </c>
      <c r="F1174" t="str">
        <f>IF(INPUT!N1169="","",INPUT!N1169)</f>
        <v>M</v>
      </c>
      <c r="G1174" t="str" cm="1">
        <f t="array" ref="G1174">IFERROR(VLOOKUP(INPUT!M1169&amp;INPUT!N1169,CHOOSE({1,2},INPUT!$A$3:$A$5000&amp;INPUT!$C$3:$C$5000,INPUT!$F$3:$F$5000),2,FALSE),"")</f>
        <v>PRE-TEMPORADA</v>
      </c>
      <c r="H1174" t="str" cm="1">
        <f t="array" ref="H1174">IFERROR(VLOOKUP(INPUT!M1169&amp;INPUT!N1169,CHOOSE({1,2},INPUT!$A$3:$A$5000&amp;INPUT!$C$3:$C$5000,INPUT!$D$3:$D$5000),2,FALSE),"")</f>
        <v>TEC-TAC</v>
      </c>
      <c r="I1174" s="46">
        <f>IF(INPUT!P1169="","",INPUT!P1169)</f>
        <v>77.599999999999994</v>
      </c>
      <c r="J1174" s="46">
        <f>IF(INPUT!Q1169="","",INPUT!Q1169)</f>
        <v>77.5</v>
      </c>
      <c r="K1174" s="46">
        <f>IFERROR(IF(OR(INPUT!P1169="",INPUT!Q1169=""),"",INPUT!P1169-INPUT!Q1169),"")</f>
        <v>9.9999999999994316E-2</v>
      </c>
      <c r="L1174" s="48">
        <f>IFERROR(IF(OR(INPUT!P1169="",INPUT!Q1169="",INPUT!P1169=0),"",(INPUT!P1169-INPUT!Q1169)/INPUT!P1169),"")</f>
        <v>1.2886597938143599E-3</v>
      </c>
    </row>
    <row r="1175" spans="1:12" ht="18" hidden="1" customHeight="1" x14ac:dyDescent="0.2">
      <c r="A1175" s="11">
        <f>IF(INPUT!M1170="","",INPUT!M1170)</f>
        <v>45972</v>
      </c>
      <c r="B1175" s="11">
        <f>IF(INPUT!M1170="","",INPUT!M1170-WEEKDAY(INPUT!M1170,2)+1)</f>
        <v>45971</v>
      </c>
      <c r="C1175" s="20">
        <f>IFERROR(_xlfn.ISOWEEKNUM(INPUT!M1170),"")</f>
        <v>46</v>
      </c>
      <c r="D1175" s="20">
        <f>IFERROR(YEAR(INPUT!M1170),"")</f>
        <v>2025</v>
      </c>
      <c r="E1175" t="str">
        <f>IF(INPUT!O1170="","",INPUT!O1170)</f>
        <v>PANI</v>
      </c>
      <c r="F1175" t="str">
        <f>IF(INPUT!N1170="","",INPUT!N1170)</f>
        <v>M</v>
      </c>
      <c r="G1175" t="str" cm="1">
        <f t="array" ref="G1175">IFERROR(VLOOKUP(INPUT!M1170&amp;INPUT!N1170,CHOOSE({1,2},INPUT!$A$3:$A$5000&amp;INPUT!$C$3:$C$5000,INPUT!$F$3:$F$5000),2,FALSE),"")</f>
        <v>PRE-TEMPORADA</v>
      </c>
      <c r="H1175" t="str" cm="1">
        <f t="array" ref="H1175">IFERROR(VLOOKUP(INPUT!M1170&amp;INPUT!N1170,CHOOSE({1,2},INPUT!$A$3:$A$5000&amp;INPUT!$C$3:$C$5000,INPUT!$D$3:$D$5000),2,FALSE),"")</f>
        <v>TEC-TAC</v>
      </c>
      <c r="I1175" s="46">
        <f>IF(INPUT!P1170="","",INPUT!P1170)</f>
        <v>68.2</v>
      </c>
      <c r="J1175" s="46">
        <f>IF(INPUT!Q1170="","",INPUT!Q1170)</f>
        <v>67.599999999999994</v>
      </c>
      <c r="K1175" s="46">
        <f>IFERROR(IF(OR(INPUT!P1170="",INPUT!Q1170=""),"",INPUT!P1170-INPUT!Q1170),"")</f>
        <v>0.60000000000000853</v>
      </c>
      <c r="L1175" s="48">
        <f>IFERROR(IF(OR(INPUT!P1170="",INPUT!Q1170="",INPUT!P1170=0),"",(INPUT!P1170-INPUT!Q1170)/INPUT!P1170),"")</f>
        <v>8.7976539589444056E-3</v>
      </c>
    </row>
    <row r="1176" spans="1:12" ht="18" hidden="1" customHeight="1" x14ac:dyDescent="0.2">
      <c r="A1176" s="11">
        <f>IF(INPUT!M1171="","",INPUT!M1171)</f>
        <v>45972</v>
      </c>
      <c r="B1176" s="11">
        <f>IF(INPUT!M1171="","",INPUT!M1171-WEEKDAY(INPUT!M1171,2)+1)</f>
        <v>45971</v>
      </c>
      <c r="C1176" s="20">
        <f>IFERROR(_xlfn.ISOWEEKNUM(INPUT!M1171),"")</f>
        <v>46</v>
      </c>
      <c r="D1176" s="20">
        <f>IFERROR(YEAR(INPUT!M1171),"")</f>
        <v>2025</v>
      </c>
      <c r="E1176" t="str">
        <f>IF(INPUT!O1171="","",INPUT!O1171)</f>
        <v>PIRATA</v>
      </c>
      <c r="F1176" t="str">
        <f>IF(INPUT!N1171="","",INPUT!N1171)</f>
        <v>M</v>
      </c>
      <c r="G1176" t="str" cm="1">
        <f t="array" ref="G1176">IFERROR(VLOOKUP(INPUT!M1171&amp;INPUT!N1171,CHOOSE({1,2},INPUT!$A$3:$A$5000&amp;INPUT!$C$3:$C$5000,INPUT!$F$3:$F$5000),2,FALSE),"")</f>
        <v>PRE-TEMPORADA</v>
      </c>
      <c r="H1176" t="str" cm="1">
        <f t="array" ref="H1176">IFERROR(VLOOKUP(INPUT!M1171&amp;INPUT!N1171,CHOOSE({1,2},INPUT!$A$3:$A$5000&amp;INPUT!$C$3:$C$5000,INPUT!$D$3:$D$5000),2,FALSE),"")</f>
        <v>TEC-TAC</v>
      </c>
      <c r="I1176" s="46">
        <f>IF(INPUT!P1171="","",INPUT!P1171)</f>
        <v>76.099999999999994</v>
      </c>
      <c r="J1176" s="46">
        <f>IF(INPUT!Q1171="","",INPUT!Q1171)</f>
        <v>76.2</v>
      </c>
      <c r="K1176" s="46">
        <f>IFERROR(IF(OR(INPUT!P1171="",INPUT!Q1171=""),"",INPUT!P1171-INPUT!Q1171),"")</f>
        <v>-0.10000000000000853</v>
      </c>
      <c r="L1176" s="48">
        <f>IFERROR(IF(OR(INPUT!P1171="",INPUT!Q1171="",INPUT!P1171=0),"",(INPUT!P1171-INPUT!Q1171)/INPUT!P1171),"")</f>
        <v>-1.314060446780664E-3</v>
      </c>
    </row>
    <row r="1177" spans="1:12" ht="18" hidden="1" customHeight="1" x14ac:dyDescent="0.2">
      <c r="A1177" s="11">
        <f>IF(INPUT!M1172="","",INPUT!M1172)</f>
        <v>45972</v>
      </c>
      <c r="B1177" s="11">
        <f>IF(INPUT!M1172="","",INPUT!M1172-WEEKDAY(INPUT!M1172,2)+1)</f>
        <v>45971</v>
      </c>
      <c r="C1177" s="20">
        <f>IFERROR(_xlfn.ISOWEEKNUM(INPUT!M1172),"")</f>
        <v>46</v>
      </c>
      <c r="D1177" s="20">
        <f>IFERROR(YEAR(INPUT!M1172),"")</f>
        <v>2025</v>
      </c>
      <c r="E1177" t="str">
        <f>IF(INPUT!O1172="","",INPUT!O1172)</f>
        <v>BARONA</v>
      </c>
      <c r="F1177" t="str">
        <f>IF(INPUT!N1172="","",INPUT!N1172)</f>
        <v>M</v>
      </c>
      <c r="G1177" t="str" cm="1">
        <f t="array" ref="G1177">IFERROR(VLOOKUP(INPUT!M1172&amp;INPUT!N1172,CHOOSE({1,2},INPUT!$A$3:$A$5000&amp;INPUT!$C$3:$C$5000,INPUT!$F$3:$F$5000),2,FALSE),"")</f>
        <v>PRE-TEMPORADA</v>
      </c>
      <c r="H1177" t="str" cm="1">
        <f t="array" ref="H1177">IFERROR(VLOOKUP(INPUT!M1172&amp;INPUT!N1172,CHOOSE({1,2},INPUT!$A$3:$A$5000&amp;INPUT!$C$3:$C$5000,INPUT!$D$3:$D$5000),2,FALSE),"")</f>
        <v>TEC-TAC</v>
      </c>
      <c r="I1177" s="46">
        <f>IF(INPUT!P1172="","",INPUT!P1172)</f>
        <v>71.7</v>
      </c>
      <c r="J1177" s="46">
        <f>IF(INPUT!Q1172="","",INPUT!Q1172)</f>
        <v>71.5</v>
      </c>
      <c r="K1177" s="46">
        <f>IFERROR(IF(OR(INPUT!P1172="",INPUT!Q1172=""),"",INPUT!P1172-INPUT!Q1172),"")</f>
        <v>0.20000000000000284</v>
      </c>
      <c r="L1177" s="48">
        <f>IFERROR(IF(OR(INPUT!P1172="",INPUT!Q1172="",INPUT!P1172=0),"",(INPUT!P1172-INPUT!Q1172)/INPUT!P1172),"")</f>
        <v>2.7894002789400673E-3</v>
      </c>
    </row>
    <row r="1178" spans="1:12" ht="18" hidden="1" customHeight="1" x14ac:dyDescent="0.2">
      <c r="A1178" s="11">
        <f>IF(INPUT!M1173="","",INPUT!M1173)</f>
        <v>45972</v>
      </c>
      <c r="B1178" s="11">
        <f>IF(INPUT!M1173="","",INPUT!M1173-WEEKDAY(INPUT!M1173,2)+1)</f>
        <v>45971</v>
      </c>
      <c r="C1178" s="20">
        <f>IFERROR(_xlfn.ISOWEEKNUM(INPUT!M1173),"")</f>
        <v>46</v>
      </c>
      <c r="D1178" s="20">
        <f>IFERROR(YEAR(INPUT!M1173),"")</f>
        <v>2025</v>
      </c>
      <c r="E1178" t="str">
        <f>IF(INPUT!O1173="","",INPUT!O1173)</f>
        <v>CARLOS</v>
      </c>
      <c r="F1178" t="str">
        <f>IF(INPUT!N1173="","",INPUT!N1173)</f>
        <v>M</v>
      </c>
      <c r="G1178" t="str" cm="1">
        <f t="array" ref="G1178">IFERROR(VLOOKUP(INPUT!M1173&amp;INPUT!N1173,CHOOSE({1,2},INPUT!$A$3:$A$5000&amp;INPUT!$C$3:$C$5000,INPUT!$F$3:$F$5000),2,FALSE),"")</f>
        <v>PRE-TEMPORADA</v>
      </c>
      <c r="H1178" t="str" cm="1">
        <f t="array" ref="H1178">IFERROR(VLOOKUP(INPUT!M1173&amp;INPUT!N1173,CHOOSE({1,2},INPUT!$A$3:$A$5000&amp;INPUT!$C$3:$C$5000,INPUT!$D$3:$D$5000),2,FALSE),"")</f>
        <v>TEC-TAC</v>
      </c>
      <c r="I1178" s="46">
        <f>IF(INPUT!P1173="","",INPUT!P1173)</f>
        <v>67.3</v>
      </c>
      <c r="J1178" s="46">
        <f>IF(INPUT!Q1173="","",INPUT!Q1173)</f>
        <v>67</v>
      </c>
      <c r="K1178" s="46">
        <f>IFERROR(IF(OR(INPUT!P1173="",INPUT!Q1173=""),"",INPUT!P1173-INPUT!Q1173),"")</f>
        <v>0.29999999999999716</v>
      </c>
      <c r="L1178" s="48">
        <f>IFERROR(IF(OR(INPUT!P1173="",INPUT!Q1173="",INPUT!P1173=0),"",(INPUT!P1173-INPUT!Q1173)/INPUT!P1173),"")</f>
        <v>4.4576523031203148E-3</v>
      </c>
    </row>
    <row r="1179" spans="1:12" ht="18" customHeight="1" x14ac:dyDescent="0.2">
      <c r="A1179" s="11">
        <f>IF(INPUT!M1174="","",INPUT!M1174)</f>
        <v>45972</v>
      </c>
      <c r="B1179" s="11">
        <f>IF(INPUT!M1174="","",INPUT!M1174-WEEKDAY(INPUT!M1174,2)+1)</f>
        <v>45971</v>
      </c>
      <c r="C1179" s="20">
        <f>IFERROR(_xlfn.ISOWEEKNUM(INPUT!M1174),"")</f>
        <v>46</v>
      </c>
      <c r="D1179" s="20">
        <f>IFERROR(YEAR(INPUT!M1174),"")</f>
        <v>2025</v>
      </c>
      <c r="E1179" t="str">
        <f>IF(INPUT!O1174="","",INPUT!O1174)</f>
        <v>SEGO</v>
      </c>
      <c r="F1179" t="str">
        <f>IF(INPUT!N1174="","",INPUT!N1174)</f>
        <v>M</v>
      </c>
      <c r="G1179" t="str" cm="1">
        <f t="array" ref="G1179">IFERROR(VLOOKUP(INPUT!M1174&amp;INPUT!N1174,CHOOSE({1,2},INPUT!$A$3:$A$5000&amp;INPUT!$C$3:$C$5000,INPUT!$F$3:$F$5000),2,FALSE),"")</f>
        <v>PRE-TEMPORADA</v>
      </c>
      <c r="H1179" t="str" cm="1">
        <f t="array" ref="H1179">IFERROR(VLOOKUP(INPUT!M1174&amp;INPUT!N1174,CHOOSE({1,2},INPUT!$A$3:$A$5000&amp;INPUT!$C$3:$C$5000,INPUT!$D$3:$D$5000),2,FALSE),"")</f>
        <v>TEC-TAC</v>
      </c>
      <c r="I1179" s="46">
        <f>IF(INPUT!P1174="","",INPUT!P1174)</f>
        <v>75.5</v>
      </c>
      <c r="J1179" s="46">
        <f>IF(INPUT!Q1174="","",INPUT!Q1174)</f>
        <v>74.599999999999994</v>
      </c>
      <c r="K1179" s="46">
        <f>IFERROR(IF(OR(INPUT!P1174="",INPUT!Q1174=""),"",INPUT!P1174-INPUT!Q1174),"")</f>
        <v>0.90000000000000568</v>
      </c>
      <c r="L1179" s="48">
        <f>IFERROR(IF(OR(INPUT!P1174="",INPUT!Q1174="",INPUT!P1174=0),"",(INPUT!P1174-INPUT!Q1174)/INPUT!P1174),"")</f>
        <v>1.1920529801324579E-2</v>
      </c>
    </row>
    <row r="1180" spans="1:12" ht="18" customHeight="1" x14ac:dyDescent="0.2">
      <c r="A1180" s="11">
        <f>IF(INPUT!M1175="","",INPUT!M1175)</f>
        <v>45972</v>
      </c>
      <c r="B1180" s="11">
        <f>IF(INPUT!M1175="","",INPUT!M1175-WEEKDAY(INPUT!M1175,2)+1)</f>
        <v>45971</v>
      </c>
      <c r="C1180" s="20">
        <f>IFERROR(_xlfn.ISOWEEKNUM(INPUT!M1175),"")</f>
        <v>46</v>
      </c>
      <c r="D1180" s="20">
        <f>IFERROR(YEAR(INPUT!M1175),"")</f>
        <v>2025</v>
      </c>
      <c r="E1180" t="str">
        <f>IF(INPUT!O1175="","",INPUT!O1175)</f>
        <v>RUBIO</v>
      </c>
      <c r="F1180" t="str">
        <f>IF(INPUT!N1175="","",INPUT!N1175)</f>
        <v>M</v>
      </c>
      <c r="G1180" t="str" cm="1">
        <f t="array" ref="G1180">IFERROR(VLOOKUP(INPUT!M1175&amp;INPUT!N1175,CHOOSE({1,2},INPUT!$A$3:$A$5000&amp;INPUT!$C$3:$C$5000,INPUT!$F$3:$F$5000),2,FALSE),"")</f>
        <v>PRE-TEMPORADA</v>
      </c>
      <c r="H1180" t="str" cm="1">
        <f t="array" ref="H1180">IFERROR(VLOOKUP(INPUT!M1175&amp;INPUT!N1175,CHOOSE({1,2},INPUT!$A$3:$A$5000&amp;INPUT!$C$3:$C$5000,INPUT!$D$3:$D$5000),2,FALSE),"")</f>
        <v>TEC-TAC</v>
      </c>
      <c r="I1180" s="46">
        <f>IF(INPUT!P1175="","",INPUT!P1175)</f>
        <v>74.7</v>
      </c>
      <c r="J1180" s="46">
        <f>IF(INPUT!Q1175="","",INPUT!Q1175)</f>
        <v>74.599999999999994</v>
      </c>
      <c r="K1180" s="46">
        <f>IFERROR(IF(OR(INPUT!P1175="",INPUT!Q1175=""),"",INPUT!P1175-INPUT!Q1175),"")</f>
        <v>0.10000000000000853</v>
      </c>
      <c r="L1180" s="48">
        <f>IFERROR(IF(OR(INPUT!P1175="",INPUT!Q1175="",INPUT!P1175=0),"",(INPUT!P1175-INPUT!Q1175)/INPUT!P1175),"")</f>
        <v>1.3386880856761515E-3</v>
      </c>
    </row>
    <row r="1181" spans="1:12" ht="18" customHeight="1" x14ac:dyDescent="0.2">
      <c r="A1181" s="11">
        <f>IF(INPUT!M1176="","",INPUT!M1176)</f>
        <v>45972</v>
      </c>
      <c r="B1181" s="11">
        <f>IF(INPUT!M1176="","",INPUT!M1176-WEEKDAY(INPUT!M1176,2)+1)</f>
        <v>45971</v>
      </c>
      <c r="C1181" s="20">
        <f>IFERROR(_xlfn.ISOWEEKNUM(INPUT!M1176),"")</f>
        <v>46</v>
      </c>
      <c r="D1181" s="20">
        <f>IFERROR(YEAR(INPUT!M1176),"")</f>
        <v>2025</v>
      </c>
      <c r="E1181" t="str">
        <f>IF(INPUT!O1176="","",INPUT!O1176)</f>
        <v>DANI</v>
      </c>
      <c r="F1181" t="str">
        <f>IF(INPUT!N1176="","",INPUT!N1176)</f>
        <v>M</v>
      </c>
      <c r="G1181" t="str" cm="1">
        <f t="array" ref="G1181">IFERROR(VLOOKUP(INPUT!M1176&amp;INPUT!N1176,CHOOSE({1,2},INPUT!$A$3:$A$5000&amp;INPUT!$C$3:$C$5000,INPUT!$F$3:$F$5000),2,FALSE),"")</f>
        <v>PRE-TEMPORADA</v>
      </c>
      <c r="H1181" t="str" cm="1">
        <f t="array" ref="H1181">IFERROR(VLOOKUP(INPUT!M1176&amp;INPUT!N1176,CHOOSE({1,2},INPUT!$A$3:$A$5000&amp;INPUT!$C$3:$C$5000,INPUT!$D$3:$D$5000),2,FALSE),"")</f>
        <v>TEC-TAC</v>
      </c>
      <c r="I1181" s="46">
        <f>IF(INPUT!P1176="","",INPUT!P1176)</f>
        <v>93.5</v>
      </c>
      <c r="J1181" s="46">
        <f>IF(INPUT!Q1176="","",INPUT!Q1176)</f>
        <v>92.2</v>
      </c>
      <c r="K1181" s="46">
        <f>IFERROR(IF(OR(INPUT!P1176="",INPUT!Q1176=""),"",INPUT!P1176-INPUT!Q1176),"")</f>
        <v>1.2999999999999972</v>
      </c>
      <c r="L1181" s="48">
        <f>IFERROR(IF(OR(INPUT!P1176="",INPUT!Q1176="",INPUT!P1176=0),"",(INPUT!P1176-INPUT!Q1176)/INPUT!P1176),"")</f>
        <v>1.3903743315507991E-2</v>
      </c>
    </row>
    <row r="1182" spans="1:12" ht="18" customHeight="1" x14ac:dyDescent="0.2">
      <c r="A1182" s="11">
        <f>IF(INPUT!M1177="","",INPUT!M1177)</f>
        <v>45972</v>
      </c>
      <c r="B1182" s="11">
        <f>IF(INPUT!M1177="","",INPUT!M1177-WEEKDAY(INPUT!M1177,2)+1)</f>
        <v>45971</v>
      </c>
      <c r="C1182" s="20">
        <f>IFERROR(_xlfn.ISOWEEKNUM(INPUT!M1177),"")</f>
        <v>46</v>
      </c>
      <c r="D1182" s="20">
        <f>IFERROR(YEAR(INPUT!M1177),"")</f>
        <v>2025</v>
      </c>
      <c r="E1182" t="str">
        <f>IF(INPUT!O1177="","",INPUT!O1177)</f>
        <v>JAIME</v>
      </c>
      <c r="F1182" t="str">
        <f>IF(INPUT!N1177="","",INPUT!N1177)</f>
        <v>M</v>
      </c>
      <c r="G1182" t="str" cm="1">
        <f t="array" ref="G1182">IFERROR(VLOOKUP(INPUT!M1177&amp;INPUT!N1177,CHOOSE({1,2},INPUT!$A$3:$A$5000&amp;INPUT!$C$3:$C$5000,INPUT!$F$3:$F$5000),2,FALSE),"")</f>
        <v>PRE-TEMPORADA</v>
      </c>
      <c r="H1182" t="str" cm="1">
        <f t="array" ref="H1182">IFERROR(VLOOKUP(INPUT!M1177&amp;INPUT!N1177,CHOOSE({1,2},INPUT!$A$3:$A$5000&amp;INPUT!$C$3:$C$5000,INPUT!$D$3:$D$5000),2,FALSE),"")</f>
        <v>TEC-TAC</v>
      </c>
      <c r="I1182" s="46">
        <f>IF(INPUT!P1177="","",INPUT!P1177)</f>
        <v>75.900000000000006</v>
      </c>
      <c r="J1182" s="46">
        <f>IF(INPUT!Q1177="","",INPUT!Q1177)</f>
        <v>76</v>
      </c>
      <c r="K1182" s="46">
        <f>IFERROR(IF(OR(INPUT!P1177="",INPUT!Q1177=""),"",INPUT!P1177-INPUT!Q1177),"")</f>
        <v>-9.9999999999994316E-2</v>
      </c>
      <c r="L1182" s="48">
        <f>IFERROR(IF(OR(INPUT!P1177="",INPUT!Q1177="",INPUT!P1177=0),"",(INPUT!P1177-INPUT!Q1177)/INPUT!P1177),"")</f>
        <v>-1.3175230566534165E-3</v>
      </c>
    </row>
    <row r="1183" spans="1:12" ht="18" customHeight="1" x14ac:dyDescent="0.2">
      <c r="A1183" s="11">
        <f>IF(INPUT!M1178="","",INPUT!M1178)</f>
        <v>45973</v>
      </c>
      <c r="B1183" s="11">
        <f>IF(INPUT!M1178="","",INPUT!M1178-WEEKDAY(INPUT!M1178,2)+1)</f>
        <v>45971</v>
      </c>
      <c r="C1183" s="20">
        <f>IFERROR(_xlfn.ISOWEEKNUM(INPUT!M1178),"")</f>
        <v>46</v>
      </c>
      <c r="D1183" s="20">
        <f>IFERROR(YEAR(INPUT!M1178),"")</f>
        <v>2025</v>
      </c>
      <c r="E1183" t="str">
        <f>IF(INPUT!O1178="","",INPUT!O1178)</f>
        <v>GARCIA</v>
      </c>
      <c r="F1183" t="str">
        <f>IF(INPUT!N1178="","",INPUT!N1178)</f>
        <v>M</v>
      </c>
      <c r="G1183" t="str" cm="1">
        <f t="array" ref="G1183">IFERROR(VLOOKUP(INPUT!M1178&amp;INPUT!N1178,CHOOSE({1,2},INPUT!$A$3:$A$5000&amp;INPUT!$C$3:$C$5000,INPUT!$F$3:$F$5000),2,FALSE),"")</f>
        <v>PRE-TEMPORADA</v>
      </c>
      <c r="H1183" t="str" cm="1">
        <f t="array" ref="H1183">IFERROR(VLOOKUP(INPUT!M1178&amp;INPUT!N1178,CHOOSE({1,2},INPUT!$A$3:$A$5000&amp;INPUT!$C$3:$C$5000,INPUT!$D$3:$D$5000),2,FALSE),"")</f>
        <v>GYM+TEC-TAC</v>
      </c>
      <c r="I1183" s="46">
        <f>IF(INPUT!P1178="","",INPUT!P1178)</f>
        <v>79.400000000000006</v>
      </c>
      <c r="J1183" s="46">
        <f>IF(INPUT!Q1178="","",INPUT!Q1178)</f>
        <v>78.7</v>
      </c>
      <c r="K1183" s="46">
        <f>IFERROR(IF(OR(INPUT!P1178="",INPUT!Q1178=""),"",INPUT!P1178-INPUT!Q1178),"")</f>
        <v>0.70000000000000284</v>
      </c>
      <c r="L1183" s="48">
        <f>IFERROR(IF(OR(INPUT!P1178="",INPUT!Q1178="",INPUT!P1178=0),"",(INPUT!P1178-INPUT!Q1178)/INPUT!P1178),"")</f>
        <v>8.8161209068010424E-3</v>
      </c>
    </row>
    <row r="1184" spans="1:12" ht="18" hidden="1" customHeight="1" x14ac:dyDescent="0.2">
      <c r="A1184" s="11">
        <f>IF(INPUT!M1179="","",INPUT!M1179)</f>
        <v>45973</v>
      </c>
      <c r="B1184" s="11">
        <f>IF(INPUT!M1179="","",INPUT!M1179-WEEKDAY(INPUT!M1179,2)+1)</f>
        <v>45971</v>
      </c>
      <c r="C1184" s="20">
        <f>IFERROR(_xlfn.ISOWEEKNUM(INPUT!M1179),"")</f>
        <v>46</v>
      </c>
      <c r="D1184" s="20">
        <f>IFERROR(YEAR(INPUT!M1179),"")</f>
        <v>2025</v>
      </c>
      <c r="E1184" t="str">
        <f>IF(INPUT!O1179="","",INPUT!O1179)</f>
        <v>OSCAR</v>
      </c>
      <c r="F1184" t="str">
        <f>IF(INPUT!N1179="","",INPUT!N1179)</f>
        <v>M</v>
      </c>
      <c r="G1184" t="str" cm="1">
        <f t="array" ref="G1184">IFERROR(VLOOKUP(INPUT!M1179&amp;INPUT!N1179,CHOOSE({1,2},INPUT!$A$3:$A$5000&amp;INPUT!$C$3:$C$5000,INPUT!$F$3:$F$5000),2,FALSE),"")</f>
        <v>PRE-TEMPORADA</v>
      </c>
      <c r="H1184" t="str" cm="1">
        <f t="array" ref="H1184">IFERROR(VLOOKUP(INPUT!M1179&amp;INPUT!N1179,CHOOSE({1,2},INPUT!$A$3:$A$5000&amp;INPUT!$C$3:$C$5000,INPUT!$D$3:$D$5000),2,FALSE),"")</f>
        <v>GYM+TEC-TAC</v>
      </c>
      <c r="I1184" s="46">
        <f>IF(INPUT!P1179="","",INPUT!P1179)</f>
        <v>69.099999999999994</v>
      </c>
      <c r="J1184" s="46">
        <f>IF(INPUT!Q1179="","",INPUT!Q1179)</f>
        <v>68.5</v>
      </c>
      <c r="K1184" s="46">
        <f>IFERROR(IF(OR(INPUT!P1179="",INPUT!Q1179=""),"",INPUT!P1179-INPUT!Q1179),"")</f>
        <v>0.59999999999999432</v>
      </c>
      <c r="L1184" s="48">
        <f>IFERROR(IF(OR(INPUT!P1179="",INPUT!Q1179="",INPUT!P1179=0),"",(INPUT!P1179-INPUT!Q1179)/INPUT!P1179),"")</f>
        <v>8.6830680173660552E-3</v>
      </c>
    </row>
    <row r="1185" spans="1:12" ht="18" hidden="1" customHeight="1" x14ac:dyDescent="0.2">
      <c r="A1185" s="11">
        <f>IF(INPUT!M1180="","",INPUT!M1180)</f>
        <v>45973</v>
      </c>
      <c r="B1185" s="11">
        <f>IF(INPUT!M1180="","",INPUT!M1180-WEEKDAY(INPUT!M1180,2)+1)</f>
        <v>45971</v>
      </c>
      <c r="C1185" s="20">
        <f>IFERROR(_xlfn.ISOWEEKNUM(INPUT!M1180),"")</f>
        <v>46</v>
      </c>
      <c r="D1185" s="20">
        <f>IFERROR(YEAR(INPUT!M1180),"")</f>
        <v>2025</v>
      </c>
      <c r="E1185" t="str">
        <f>IF(INPUT!O1180="","",INPUT!O1180)</f>
        <v>CECILIO</v>
      </c>
      <c r="F1185" t="str">
        <f>IF(INPUT!N1180="","",INPUT!N1180)</f>
        <v>M</v>
      </c>
      <c r="G1185" t="str" cm="1">
        <f t="array" ref="G1185">IFERROR(VLOOKUP(INPUT!M1180&amp;INPUT!N1180,CHOOSE({1,2},INPUT!$A$3:$A$5000&amp;INPUT!$C$3:$C$5000,INPUT!$F$3:$F$5000),2,FALSE),"")</f>
        <v>PRE-TEMPORADA</v>
      </c>
      <c r="H1185" t="str" cm="1">
        <f t="array" ref="H1185">IFERROR(VLOOKUP(INPUT!M1180&amp;INPUT!N1180,CHOOSE({1,2},INPUT!$A$3:$A$5000&amp;INPUT!$C$3:$C$5000,INPUT!$D$3:$D$5000),2,FALSE),"")</f>
        <v>GYM+TEC-TAC</v>
      </c>
      <c r="I1185" s="46">
        <f>IF(INPUT!P1180="","",INPUT!P1180)</f>
        <v>81.599999999999994</v>
      </c>
      <c r="J1185" s="46">
        <f>IF(INPUT!Q1180="","",INPUT!Q1180)</f>
        <v>81.2</v>
      </c>
      <c r="K1185" s="46">
        <f>IFERROR(IF(OR(INPUT!P1180="",INPUT!Q1180=""),"",INPUT!P1180-INPUT!Q1180),"")</f>
        <v>0.39999999999999147</v>
      </c>
      <c r="L1185" s="48">
        <f>IFERROR(IF(OR(INPUT!P1180="",INPUT!Q1180="",INPUT!P1180=0),"",(INPUT!P1180-INPUT!Q1180)/INPUT!P1180),"")</f>
        <v>4.9019607843136213E-3</v>
      </c>
    </row>
    <row r="1186" spans="1:12" ht="18" hidden="1" customHeight="1" x14ac:dyDescent="0.2">
      <c r="A1186" s="11">
        <f>IF(INPUT!M1181="","",INPUT!M1181)</f>
        <v>45973</v>
      </c>
      <c r="B1186" s="11">
        <f>IF(INPUT!M1181="","",INPUT!M1181-WEEKDAY(INPUT!M1181,2)+1)</f>
        <v>45971</v>
      </c>
      <c r="C1186" s="20">
        <f>IFERROR(_xlfn.ISOWEEKNUM(INPUT!M1181),"")</f>
        <v>46</v>
      </c>
      <c r="D1186" s="20">
        <f>IFERROR(YEAR(INPUT!M1181),"")</f>
        <v>2025</v>
      </c>
      <c r="E1186" t="str">
        <f>IF(INPUT!O1181="","",INPUT!O1181)</f>
        <v>CHAGUINHA</v>
      </c>
      <c r="F1186" t="str">
        <f>IF(INPUT!N1181="","",INPUT!N1181)</f>
        <v>M</v>
      </c>
      <c r="G1186" t="str" cm="1">
        <f t="array" ref="G1186">IFERROR(VLOOKUP(INPUT!M1181&amp;INPUT!N1181,CHOOSE({1,2},INPUT!$A$3:$A$5000&amp;INPUT!$C$3:$C$5000,INPUT!$F$3:$F$5000),2,FALSE),"")</f>
        <v>PRE-TEMPORADA</v>
      </c>
      <c r="H1186" t="str" cm="1">
        <f t="array" ref="H1186">IFERROR(VLOOKUP(INPUT!M1181&amp;INPUT!N1181,CHOOSE({1,2},INPUT!$A$3:$A$5000&amp;INPUT!$C$3:$C$5000,INPUT!$D$3:$D$5000),2,FALSE),"")</f>
        <v>GYM+TEC-TAC</v>
      </c>
      <c r="I1186" s="46">
        <f>IF(INPUT!P1181="","",INPUT!P1181)</f>
        <v>71.599999999999994</v>
      </c>
      <c r="J1186" s="46">
        <f>IF(INPUT!Q1181="","",INPUT!Q1181)</f>
        <v>71.3</v>
      </c>
      <c r="K1186" s="46">
        <f>IFERROR(IF(OR(INPUT!P1181="",INPUT!Q1181=""),"",INPUT!P1181-INPUT!Q1181),"")</f>
        <v>0.29999999999999716</v>
      </c>
      <c r="L1186" s="48">
        <f>IFERROR(IF(OR(INPUT!P1181="",INPUT!Q1181="",INPUT!P1181=0),"",(INPUT!P1181-INPUT!Q1181)/INPUT!P1181),"")</f>
        <v>4.1899441340781732E-3</v>
      </c>
    </row>
    <row r="1187" spans="1:12" ht="18" hidden="1" customHeight="1" x14ac:dyDescent="0.2">
      <c r="A1187" s="11">
        <f>IF(INPUT!M1182="","",INPUT!M1182)</f>
        <v>45973</v>
      </c>
      <c r="B1187" s="11">
        <f>IF(INPUT!M1182="","",INPUT!M1182-WEEKDAY(INPUT!M1182,2)+1)</f>
        <v>45971</v>
      </c>
      <c r="C1187" s="20">
        <f>IFERROR(_xlfn.ISOWEEKNUM(INPUT!M1182),"")</f>
        <v>46</v>
      </c>
      <c r="D1187" s="20">
        <f>IFERROR(YEAR(INPUT!M1182),"")</f>
        <v>2025</v>
      </c>
      <c r="E1187" t="str">
        <f>IF(INPUT!O1182="","",INPUT!O1182)</f>
        <v>HARRISON</v>
      </c>
      <c r="F1187" t="str">
        <f>IF(INPUT!N1182="","",INPUT!N1182)</f>
        <v>M</v>
      </c>
      <c r="G1187" t="str" cm="1">
        <f t="array" ref="G1187">IFERROR(VLOOKUP(INPUT!M1182&amp;INPUT!N1182,CHOOSE({1,2},INPUT!$A$3:$A$5000&amp;INPUT!$C$3:$C$5000,INPUT!$F$3:$F$5000),2,FALSE),"")</f>
        <v>PRE-TEMPORADA</v>
      </c>
      <c r="H1187" t="str" cm="1">
        <f t="array" ref="H1187">IFERROR(VLOOKUP(INPUT!M1182&amp;INPUT!N1182,CHOOSE({1,2},INPUT!$A$3:$A$5000&amp;INPUT!$C$3:$C$5000,INPUT!$D$3:$D$5000),2,FALSE),"")</f>
        <v>GYM+TEC-TAC</v>
      </c>
      <c r="I1187" s="46">
        <f>IF(INPUT!P1182="","",INPUT!P1182)</f>
        <v>76.7</v>
      </c>
      <c r="J1187" s="46">
        <f>IF(INPUT!Q1182="","",INPUT!Q1182)</f>
        <v>76.7</v>
      </c>
      <c r="K1187" s="46">
        <f>IFERROR(IF(OR(INPUT!P1182="",INPUT!Q1182=""),"",INPUT!P1182-INPUT!Q1182),"")</f>
        <v>0</v>
      </c>
      <c r="L1187" s="48">
        <f>IFERROR(IF(OR(INPUT!P1182="",INPUT!Q1182="",INPUT!P1182=0),"",(INPUT!P1182-INPUT!Q1182)/INPUT!P1182),"")</f>
        <v>0</v>
      </c>
    </row>
    <row r="1188" spans="1:12" ht="18" hidden="1" customHeight="1" x14ac:dyDescent="0.2">
      <c r="A1188" s="11">
        <f>IF(INPUT!M1183="","",INPUT!M1183)</f>
        <v>45973</v>
      </c>
      <c r="B1188" s="11">
        <f>IF(INPUT!M1183="","",INPUT!M1183-WEEKDAY(INPUT!M1183,2)+1)</f>
        <v>45971</v>
      </c>
      <c r="C1188" s="20">
        <f>IFERROR(_xlfn.ISOWEEKNUM(INPUT!M1183),"")</f>
        <v>46</v>
      </c>
      <c r="D1188" s="20">
        <f>IFERROR(YEAR(INPUT!M1183),"")</f>
        <v>2025</v>
      </c>
      <c r="E1188" t="str">
        <f>IF(INPUT!O1183="","",INPUT!O1183)</f>
        <v>RAYA</v>
      </c>
      <c r="F1188" t="str">
        <f>IF(INPUT!N1183="","",INPUT!N1183)</f>
        <v>M</v>
      </c>
      <c r="G1188" t="str" cm="1">
        <f t="array" ref="G1188">IFERROR(VLOOKUP(INPUT!M1183&amp;INPUT!N1183,CHOOSE({1,2},INPUT!$A$3:$A$5000&amp;INPUT!$C$3:$C$5000,INPUT!$F$3:$F$5000),2,FALSE),"")</f>
        <v>PRE-TEMPORADA</v>
      </c>
      <c r="H1188" t="str" cm="1">
        <f t="array" ref="H1188">IFERROR(VLOOKUP(INPUT!M1183&amp;INPUT!N1183,CHOOSE({1,2},INPUT!$A$3:$A$5000&amp;INPUT!$C$3:$C$5000,INPUT!$D$3:$D$5000),2,FALSE),"")</f>
        <v>GYM+TEC-TAC</v>
      </c>
      <c r="I1188" s="46">
        <f>IF(INPUT!P1183="","",INPUT!P1183)</f>
        <v>68.3</v>
      </c>
      <c r="J1188" s="46">
        <f>IF(INPUT!Q1183="","",INPUT!Q1183)</f>
        <v>67.900000000000006</v>
      </c>
      <c r="K1188" s="46">
        <f>IFERROR(IF(OR(INPUT!P1183="",INPUT!Q1183=""),"",INPUT!P1183-INPUT!Q1183),"")</f>
        <v>0.39999999999999147</v>
      </c>
      <c r="L1188" s="48">
        <f>IFERROR(IF(OR(INPUT!P1183="",INPUT!Q1183="",INPUT!P1183=0),"",(INPUT!P1183-INPUT!Q1183)/INPUT!P1183),"")</f>
        <v>5.8565153733527303E-3</v>
      </c>
    </row>
    <row r="1189" spans="1:12" ht="18" hidden="1" customHeight="1" x14ac:dyDescent="0.2">
      <c r="A1189" s="11">
        <f>IF(INPUT!M1184="","",INPUT!M1184)</f>
        <v>45973</v>
      </c>
      <c r="B1189" s="11">
        <f>IF(INPUT!M1184="","",INPUT!M1184-WEEKDAY(INPUT!M1184,2)+1)</f>
        <v>45971</v>
      </c>
      <c r="C1189" s="20">
        <f>IFERROR(_xlfn.ISOWEEKNUM(INPUT!M1184),"")</f>
        <v>46</v>
      </c>
      <c r="D1189" s="20">
        <f>IFERROR(YEAR(INPUT!M1184),"")</f>
        <v>2025</v>
      </c>
      <c r="E1189" t="str">
        <f>IF(INPUT!O1184="","",INPUT!O1184)</f>
        <v>JAVI</v>
      </c>
      <c r="F1189" t="str">
        <f>IF(INPUT!N1184="","",INPUT!N1184)</f>
        <v>M</v>
      </c>
      <c r="G1189" t="str" cm="1">
        <f t="array" ref="G1189">IFERROR(VLOOKUP(INPUT!M1184&amp;INPUT!N1184,CHOOSE({1,2},INPUT!$A$3:$A$5000&amp;INPUT!$C$3:$C$5000,INPUT!$F$3:$F$5000),2,FALSE),"")</f>
        <v>PRE-TEMPORADA</v>
      </c>
      <c r="H1189" t="str" cm="1">
        <f t="array" ref="H1189">IFERROR(VLOOKUP(INPUT!M1184&amp;INPUT!N1184,CHOOSE({1,2},INPUT!$A$3:$A$5000&amp;INPUT!$C$3:$C$5000,INPUT!$D$3:$D$5000),2,FALSE),"")</f>
        <v>GYM+TEC-TAC</v>
      </c>
      <c r="I1189" s="46">
        <f>IF(INPUT!P1184="","",INPUT!P1184)</f>
        <v>75.8</v>
      </c>
      <c r="J1189" s="46">
        <f>IF(INPUT!Q1184="","",INPUT!Q1184)</f>
        <v>75.900000000000006</v>
      </c>
      <c r="K1189" s="46">
        <f>IFERROR(IF(OR(INPUT!P1184="",INPUT!Q1184=""),"",INPUT!P1184-INPUT!Q1184),"")</f>
        <v>-0.10000000000000853</v>
      </c>
      <c r="L1189" s="48">
        <f>IFERROR(IF(OR(INPUT!P1184="",INPUT!Q1184="",INPUT!P1184=0),"",(INPUT!P1184-INPUT!Q1184)/INPUT!P1184),"")</f>
        <v>-1.3192612137204291E-3</v>
      </c>
    </row>
    <row r="1190" spans="1:12" ht="18" hidden="1" customHeight="1" x14ac:dyDescent="0.2">
      <c r="A1190" s="11">
        <f>IF(INPUT!M1185="","",INPUT!M1185)</f>
        <v>45973</v>
      </c>
      <c r="B1190" s="11">
        <f>IF(INPUT!M1185="","",INPUT!M1185-WEEKDAY(INPUT!M1185,2)+1)</f>
        <v>45971</v>
      </c>
      <c r="C1190" s="20">
        <f>IFERROR(_xlfn.ISOWEEKNUM(INPUT!M1185),"")</f>
        <v>46</v>
      </c>
      <c r="D1190" s="20">
        <f>IFERROR(YEAR(INPUT!M1185),"")</f>
        <v>2025</v>
      </c>
      <c r="E1190" t="str">
        <f>IF(INPUT!O1185="","",INPUT!O1185)</f>
        <v>PANI</v>
      </c>
      <c r="F1190" t="str">
        <f>IF(INPUT!N1185="","",INPUT!N1185)</f>
        <v>M</v>
      </c>
      <c r="G1190" t="str" cm="1">
        <f t="array" ref="G1190">IFERROR(VLOOKUP(INPUT!M1185&amp;INPUT!N1185,CHOOSE({1,2},INPUT!$A$3:$A$5000&amp;INPUT!$C$3:$C$5000,INPUT!$F$3:$F$5000),2,FALSE),"")</f>
        <v>PRE-TEMPORADA</v>
      </c>
      <c r="H1190" t="str" cm="1">
        <f t="array" ref="H1190">IFERROR(VLOOKUP(INPUT!M1185&amp;INPUT!N1185,CHOOSE({1,2},INPUT!$A$3:$A$5000&amp;INPUT!$C$3:$C$5000,INPUT!$D$3:$D$5000),2,FALSE),"")</f>
        <v>GYM+TEC-TAC</v>
      </c>
      <c r="I1190" s="46">
        <f>IF(INPUT!P1185="","",INPUT!P1185)</f>
        <v>70.5</v>
      </c>
      <c r="J1190" s="46">
        <f>IF(INPUT!Q1185="","",INPUT!Q1185)</f>
        <v>70.7</v>
      </c>
      <c r="K1190" s="46">
        <f>IFERROR(IF(OR(INPUT!P1185="",INPUT!Q1185=""),"",INPUT!P1185-INPUT!Q1185),"")</f>
        <v>-0.20000000000000284</v>
      </c>
      <c r="L1190" s="48">
        <f>IFERROR(IF(OR(INPUT!P1185="",INPUT!Q1185="",INPUT!P1185=0),"",(INPUT!P1185-INPUT!Q1185)/INPUT!P1185),"")</f>
        <v>-2.836879432624154E-3</v>
      </c>
    </row>
    <row r="1191" spans="1:12" ht="18" hidden="1" customHeight="1" x14ac:dyDescent="0.2">
      <c r="A1191" s="11">
        <f>IF(INPUT!M1186="","",INPUT!M1186)</f>
        <v>45973</v>
      </c>
      <c r="B1191" s="11">
        <f>IF(INPUT!M1186="","",INPUT!M1186-WEEKDAY(INPUT!M1186,2)+1)</f>
        <v>45971</v>
      </c>
      <c r="C1191" s="20">
        <f>IFERROR(_xlfn.ISOWEEKNUM(INPUT!M1186),"")</f>
        <v>46</v>
      </c>
      <c r="D1191" s="20">
        <f>IFERROR(YEAR(INPUT!M1186),"")</f>
        <v>2025</v>
      </c>
      <c r="E1191" t="str">
        <f>IF(INPUT!O1186="","",INPUT!O1186)</f>
        <v>PIRATA</v>
      </c>
      <c r="F1191" t="str">
        <f>IF(INPUT!N1186="","",INPUT!N1186)</f>
        <v>M</v>
      </c>
      <c r="G1191" t="str" cm="1">
        <f t="array" ref="G1191">IFERROR(VLOOKUP(INPUT!M1186&amp;INPUT!N1186,CHOOSE({1,2},INPUT!$A$3:$A$5000&amp;INPUT!$C$3:$C$5000,INPUT!$F$3:$F$5000),2,FALSE),"")</f>
        <v>PRE-TEMPORADA</v>
      </c>
      <c r="H1191" t="str" cm="1">
        <f t="array" ref="H1191">IFERROR(VLOOKUP(INPUT!M1186&amp;INPUT!N1186,CHOOSE({1,2},INPUT!$A$3:$A$5000&amp;INPUT!$C$3:$C$5000,INPUT!$D$3:$D$5000),2,FALSE),"")</f>
        <v>GYM+TEC-TAC</v>
      </c>
      <c r="I1191" s="46">
        <f>IF(INPUT!P1186="","",INPUT!P1186)</f>
        <v>75.8</v>
      </c>
      <c r="J1191" s="46">
        <f>IF(INPUT!Q1186="","",INPUT!Q1186)</f>
        <v>75.8</v>
      </c>
      <c r="K1191" s="46">
        <f>IFERROR(IF(OR(INPUT!P1186="",INPUT!Q1186=""),"",INPUT!P1186-INPUT!Q1186),"")</f>
        <v>0</v>
      </c>
      <c r="L1191" s="48">
        <f>IFERROR(IF(OR(INPUT!P1186="",INPUT!Q1186="",INPUT!P1186=0),"",(INPUT!P1186-INPUT!Q1186)/INPUT!P1186),"")</f>
        <v>0</v>
      </c>
    </row>
    <row r="1192" spans="1:12" ht="18" hidden="1" customHeight="1" x14ac:dyDescent="0.2">
      <c r="A1192" s="11">
        <f>IF(INPUT!M1187="","",INPUT!M1187)</f>
        <v>45973</v>
      </c>
      <c r="B1192" s="11">
        <f>IF(INPUT!M1187="","",INPUT!M1187-WEEKDAY(INPUT!M1187,2)+1)</f>
        <v>45971</v>
      </c>
      <c r="C1192" s="20">
        <f>IFERROR(_xlfn.ISOWEEKNUM(INPUT!M1187),"")</f>
        <v>46</v>
      </c>
      <c r="D1192" s="20">
        <f>IFERROR(YEAR(INPUT!M1187),"")</f>
        <v>2025</v>
      </c>
      <c r="E1192" t="str">
        <f>IF(INPUT!O1187="","",INPUT!O1187)</f>
        <v>BARONA</v>
      </c>
      <c r="F1192" t="str">
        <f>IF(INPUT!N1187="","",INPUT!N1187)</f>
        <v>M</v>
      </c>
      <c r="G1192" t="str" cm="1">
        <f t="array" ref="G1192">IFERROR(VLOOKUP(INPUT!M1187&amp;INPUT!N1187,CHOOSE({1,2},INPUT!$A$3:$A$5000&amp;INPUT!$C$3:$C$5000,INPUT!$F$3:$F$5000),2,FALSE),"")</f>
        <v>PRE-TEMPORADA</v>
      </c>
      <c r="H1192" t="str" cm="1">
        <f t="array" ref="H1192">IFERROR(VLOOKUP(INPUT!M1187&amp;INPUT!N1187,CHOOSE({1,2},INPUT!$A$3:$A$5000&amp;INPUT!$C$3:$C$5000,INPUT!$D$3:$D$5000),2,FALSE),"")</f>
        <v>GYM+TEC-TAC</v>
      </c>
      <c r="I1192" s="46">
        <f>IF(INPUT!P1187="","",INPUT!P1187)</f>
        <v>70.5</v>
      </c>
      <c r="J1192" s="46">
        <f>IF(INPUT!Q1187="","",INPUT!Q1187)</f>
        <v>70.7</v>
      </c>
      <c r="K1192" s="46">
        <f>IFERROR(IF(OR(INPUT!P1187="",INPUT!Q1187=""),"",INPUT!P1187-INPUT!Q1187),"")</f>
        <v>-0.20000000000000284</v>
      </c>
      <c r="L1192" s="48">
        <f>IFERROR(IF(OR(INPUT!P1187="",INPUT!Q1187="",INPUT!P1187=0),"",(INPUT!P1187-INPUT!Q1187)/INPUT!P1187),"")</f>
        <v>-2.836879432624154E-3</v>
      </c>
    </row>
    <row r="1193" spans="1:12" ht="18" hidden="1" customHeight="1" x14ac:dyDescent="0.2">
      <c r="A1193" s="11">
        <f>IF(INPUT!M1188="","",INPUT!M1188)</f>
        <v>45973</v>
      </c>
      <c r="B1193" s="11">
        <f>IF(INPUT!M1188="","",INPUT!M1188-WEEKDAY(INPUT!M1188,2)+1)</f>
        <v>45971</v>
      </c>
      <c r="C1193" s="20">
        <f>IFERROR(_xlfn.ISOWEEKNUM(INPUT!M1188),"")</f>
        <v>46</v>
      </c>
      <c r="D1193" s="20">
        <f>IFERROR(YEAR(INPUT!M1188),"")</f>
        <v>2025</v>
      </c>
      <c r="E1193" t="str">
        <f>IF(INPUT!O1188="","",INPUT!O1188)</f>
        <v>CARLOS</v>
      </c>
      <c r="F1193" t="str">
        <f>IF(INPUT!N1188="","",INPUT!N1188)</f>
        <v>M</v>
      </c>
      <c r="G1193" t="str" cm="1">
        <f t="array" ref="G1193">IFERROR(VLOOKUP(INPUT!M1188&amp;INPUT!N1188,CHOOSE({1,2},INPUT!$A$3:$A$5000&amp;INPUT!$C$3:$C$5000,INPUT!$F$3:$F$5000),2,FALSE),"")</f>
        <v>PRE-TEMPORADA</v>
      </c>
      <c r="H1193" t="str" cm="1">
        <f t="array" ref="H1193">IFERROR(VLOOKUP(INPUT!M1188&amp;INPUT!N1188,CHOOSE({1,2},INPUT!$A$3:$A$5000&amp;INPUT!$C$3:$C$5000,INPUT!$D$3:$D$5000),2,FALSE),"")</f>
        <v>GYM+TEC-TAC</v>
      </c>
      <c r="I1193" s="46">
        <f>IF(INPUT!P1188="","",INPUT!P1188)</f>
        <v>68</v>
      </c>
      <c r="J1193" s="46">
        <f>IF(INPUT!Q1188="","",INPUT!Q1188)</f>
        <v>67</v>
      </c>
      <c r="K1193" s="46">
        <f>IFERROR(IF(OR(INPUT!P1188="",INPUT!Q1188=""),"",INPUT!P1188-INPUT!Q1188),"")</f>
        <v>1</v>
      </c>
      <c r="L1193" s="48">
        <f>IFERROR(IF(OR(INPUT!P1188="",INPUT!Q1188="",INPUT!P1188=0),"",(INPUT!P1188-INPUT!Q1188)/INPUT!P1188),"")</f>
        <v>1.4705882352941176E-2</v>
      </c>
    </row>
    <row r="1194" spans="1:12" ht="18" hidden="1" customHeight="1" x14ac:dyDescent="0.2">
      <c r="A1194" s="11">
        <f>IF(INPUT!M1189="","",INPUT!M1189)</f>
        <v>45973</v>
      </c>
      <c r="B1194" s="11">
        <f>IF(INPUT!M1189="","",INPUT!M1189-WEEKDAY(INPUT!M1189,2)+1)</f>
        <v>45971</v>
      </c>
      <c r="C1194" s="20">
        <f>IFERROR(_xlfn.ISOWEEKNUM(INPUT!M1189),"")</f>
        <v>46</v>
      </c>
      <c r="D1194" s="20">
        <f>IFERROR(YEAR(INPUT!M1189),"")</f>
        <v>2025</v>
      </c>
      <c r="E1194" t="str">
        <f>IF(INPUT!O1189="","",INPUT!O1189)</f>
        <v>SEGO</v>
      </c>
      <c r="F1194" t="str">
        <f>IF(INPUT!N1189="","",INPUT!N1189)</f>
        <v>M</v>
      </c>
      <c r="G1194" t="str" cm="1">
        <f t="array" ref="G1194">IFERROR(VLOOKUP(INPUT!M1189&amp;INPUT!N1189,CHOOSE({1,2},INPUT!$A$3:$A$5000&amp;INPUT!$C$3:$C$5000,INPUT!$F$3:$F$5000),2,FALSE),"")</f>
        <v>PRE-TEMPORADA</v>
      </c>
      <c r="H1194" t="str" cm="1">
        <f t="array" ref="H1194">IFERROR(VLOOKUP(INPUT!M1189&amp;INPUT!N1189,CHOOSE({1,2},INPUT!$A$3:$A$5000&amp;INPUT!$C$3:$C$5000,INPUT!$D$3:$D$5000),2,FALSE),"")</f>
        <v>GYM+TEC-TAC</v>
      </c>
      <c r="I1194" s="46">
        <f>IF(INPUT!P1189="","",INPUT!P1189)</f>
        <v>75.599999999999994</v>
      </c>
      <c r="J1194" s="46">
        <f>IF(INPUT!Q1189="","",INPUT!Q1189)</f>
        <v>74.7</v>
      </c>
      <c r="K1194" s="46">
        <f>IFERROR(IF(OR(INPUT!P1189="",INPUT!Q1189=""),"",INPUT!P1189-INPUT!Q1189),"")</f>
        <v>0.89999999999999147</v>
      </c>
      <c r="L1194" s="48">
        <f>IFERROR(IF(OR(INPUT!P1189="",INPUT!Q1189="",INPUT!P1189=0),"",(INPUT!P1189-INPUT!Q1189)/INPUT!P1189),"")</f>
        <v>1.1904761904761793E-2</v>
      </c>
    </row>
    <row r="1195" spans="1:12" ht="18" hidden="1" customHeight="1" x14ac:dyDescent="0.2">
      <c r="A1195" s="11">
        <f>IF(INPUT!M1190="","",INPUT!M1190)</f>
        <v>45973</v>
      </c>
      <c r="B1195" s="11">
        <f>IF(INPUT!M1190="","",INPUT!M1190-WEEKDAY(INPUT!M1190,2)+1)</f>
        <v>45971</v>
      </c>
      <c r="C1195" s="20">
        <f>IFERROR(_xlfn.ISOWEEKNUM(INPUT!M1190),"")</f>
        <v>46</v>
      </c>
      <c r="D1195" s="20">
        <f>IFERROR(YEAR(INPUT!M1190),"")</f>
        <v>2025</v>
      </c>
      <c r="E1195" t="str">
        <f>IF(INPUT!O1190="","",INPUT!O1190)</f>
        <v>DANI</v>
      </c>
      <c r="F1195" t="str">
        <f>IF(INPUT!N1190="","",INPUT!N1190)</f>
        <v>M</v>
      </c>
      <c r="G1195" t="str" cm="1">
        <f t="array" ref="G1195">IFERROR(VLOOKUP(INPUT!M1190&amp;INPUT!N1190,CHOOSE({1,2},INPUT!$A$3:$A$5000&amp;INPUT!$C$3:$C$5000,INPUT!$F$3:$F$5000),2,FALSE),"")</f>
        <v>PRE-TEMPORADA</v>
      </c>
      <c r="H1195" t="str" cm="1">
        <f t="array" ref="H1195">IFERROR(VLOOKUP(INPUT!M1190&amp;INPUT!N1190,CHOOSE({1,2},INPUT!$A$3:$A$5000&amp;INPUT!$C$3:$C$5000,INPUT!$D$3:$D$5000),2,FALSE),"")</f>
        <v>GYM+TEC-TAC</v>
      </c>
      <c r="I1195" s="46">
        <f>IF(INPUT!P1190="","",INPUT!P1190)</f>
        <v>93.3</v>
      </c>
      <c r="J1195" s="46">
        <f>IF(INPUT!Q1190="","",INPUT!Q1190)</f>
        <v>91.6</v>
      </c>
      <c r="K1195" s="46">
        <f>IFERROR(IF(OR(INPUT!P1190="",INPUT!Q1190=""),"",INPUT!P1190-INPUT!Q1190),"")</f>
        <v>1.7000000000000028</v>
      </c>
      <c r="L1195" s="48">
        <f>IFERROR(IF(OR(INPUT!P1190="",INPUT!Q1190="",INPUT!P1190=0),"",(INPUT!P1190-INPUT!Q1190)/INPUT!P1190),"")</f>
        <v>1.822079314040732E-2</v>
      </c>
    </row>
    <row r="1196" spans="1:12" ht="18" hidden="1" customHeight="1" x14ac:dyDescent="0.2">
      <c r="A1196" s="11">
        <f>IF(INPUT!M1191="","",INPUT!M1191)</f>
        <v>45973</v>
      </c>
      <c r="B1196" s="11">
        <f>IF(INPUT!M1191="","",INPUT!M1191-WEEKDAY(INPUT!M1191,2)+1)</f>
        <v>45971</v>
      </c>
      <c r="C1196" s="20">
        <f>IFERROR(_xlfn.ISOWEEKNUM(INPUT!M1191),"")</f>
        <v>46</v>
      </c>
      <c r="D1196" s="20">
        <f>IFERROR(YEAR(INPUT!M1191),"")</f>
        <v>2025</v>
      </c>
      <c r="E1196" t="str">
        <f>IF(INPUT!O1191="","",INPUT!O1191)</f>
        <v>JAIME</v>
      </c>
      <c r="F1196" t="str">
        <f>IF(INPUT!N1191="","",INPUT!N1191)</f>
        <v>M</v>
      </c>
      <c r="G1196" t="str" cm="1">
        <f t="array" ref="G1196">IFERROR(VLOOKUP(INPUT!M1191&amp;INPUT!N1191,CHOOSE({1,2},INPUT!$A$3:$A$5000&amp;INPUT!$C$3:$C$5000,INPUT!$F$3:$F$5000),2,FALSE),"")</f>
        <v>PRE-TEMPORADA</v>
      </c>
      <c r="H1196" t="str" cm="1">
        <f t="array" ref="H1196">IFERROR(VLOOKUP(INPUT!M1191&amp;INPUT!N1191,CHOOSE({1,2},INPUT!$A$3:$A$5000&amp;INPUT!$C$3:$C$5000,INPUT!$D$3:$D$5000),2,FALSE),"")</f>
        <v>GYM+TEC-TAC</v>
      </c>
      <c r="I1196" s="46">
        <f>IF(INPUT!P1191="","",INPUT!P1191)</f>
        <v>70.2</v>
      </c>
      <c r="J1196" s="46">
        <f>IF(INPUT!Q1191="","",INPUT!Q1191)</f>
        <v>76.099999999999994</v>
      </c>
      <c r="K1196" s="46">
        <f>IFERROR(IF(OR(INPUT!P1191="",INPUT!Q1191=""),"",INPUT!P1191-INPUT!Q1191),"")</f>
        <v>-5.8999999999999915</v>
      </c>
      <c r="L1196" s="48">
        <f>IFERROR(IF(OR(INPUT!P1191="",INPUT!Q1191="",INPUT!P1191=0),"",(INPUT!P1191-INPUT!Q1191)/INPUT!P1191),"")</f>
        <v>-8.4045584045583918E-2</v>
      </c>
    </row>
    <row r="1197" spans="1:12" ht="18" hidden="1" customHeight="1" x14ac:dyDescent="0.2">
      <c r="A1197" s="11">
        <f>IF(INPUT!M1192="","",INPUT!M1192)</f>
        <v>45974</v>
      </c>
      <c r="B1197" s="11">
        <f>IF(INPUT!M1192="","",INPUT!M1192-WEEKDAY(INPUT!M1192,2)+1)</f>
        <v>45971</v>
      </c>
      <c r="C1197" s="20">
        <f>IFERROR(_xlfn.ISOWEEKNUM(INPUT!M1192),"")</f>
        <v>46</v>
      </c>
      <c r="D1197" s="20">
        <f>IFERROR(YEAR(INPUT!M1192),"")</f>
        <v>2025</v>
      </c>
      <c r="E1197" t="str">
        <f>IF(INPUT!O1192="","",INPUT!O1192)</f>
        <v>HERRERO</v>
      </c>
      <c r="F1197" t="str">
        <f>IF(INPUT!N1192="","",INPUT!N1192)</f>
        <v>M</v>
      </c>
      <c r="G1197" t="str" cm="1">
        <f t="array" ref="G1197">IFERROR(VLOOKUP(INPUT!M1192&amp;INPUT!N1192,CHOOSE({1,2},INPUT!$A$3:$A$5000&amp;INPUT!$C$3:$C$5000,INPUT!$F$3:$F$5000),2,FALSE),"")</f>
        <v>PRE-TEMPORADA</v>
      </c>
      <c r="H1197" t="str" cm="1">
        <f t="array" ref="H1197">IFERROR(VLOOKUP(INPUT!M1192&amp;INPUT!N1192,CHOOSE({1,2},INPUT!$A$3:$A$5000&amp;INPUT!$C$3:$C$5000,INPUT!$D$3:$D$5000),2,FALSE),"")</f>
        <v>TEC-TAC</v>
      </c>
      <c r="I1197" s="46">
        <f>IF(INPUT!P1192="","",INPUT!P1192)</f>
        <v>77</v>
      </c>
      <c r="J1197" s="46">
        <f>IF(INPUT!Q1192="","",INPUT!Q1192)</f>
        <v>76.8</v>
      </c>
      <c r="K1197" s="46">
        <f>IFERROR(IF(OR(INPUT!P1192="",INPUT!Q1192=""),"",INPUT!P1192-INPUT!Q1192),"")</f>
        <v>0.20000000000000284</v>
      </c>
      <c r="L1197" s="48">
        <f>IFERROR(IF(OR(INPUT!P1192="",INPUT!Q1192="",INPUT!P1192=0),"",(INPUT!P1192-INPUT!Q1192)/INPUT!P1192),"")</f>
        <v>2.5974025974026343E-3</v>
      </c>
    </row>
    <row r="1198" spans="1:12" ht="18" hidden="1" customHeight="1" x14ac:dyDescent="0.2">
      <c r="A1198" s="11">
        <f>IF(INPUT!M1193="","",INPUT!M1193)</f>
        <v>45974</v>
      </c>
      <c r="B1198" s="11">
        <f>IF(INPUT!M1193="","",INPUT!M1193-WEEKDAY(INPUT!M1193,2)+1)</f>
        <v>45971</v>
      </c>
      <c r="C1198" s="20">
        <f>IFERROR(_xlfn.ISOWEEKNUM(INPUT!M1193),"")</f>
        <v>46</v>
      </c>
      <c r="D1198" s="20">
        <f>IFERROR(YEAR(INPUT!M1193),"")</f>
        <v>2025</v>
      </c>
      <c r="E1198" t="str">
        <f>IF(INPUT!O1193="","",INPUT!O1193)</f>
        <v>GARCIA</v>
      </c>
      <c r="F1198" t="str">
        <f>IF(INPUT!N1193="","",INPUT!N1193)</f>
        <v>M</v>
      </c>
      <c r="G1198" t="str" cm="1">
        <f t="array" ref="G1198">IFERROR(VLOOKUP(INPUT!M1193&amp;INPUT!N1193,CHOOSE({1,2},INPUT!$A$3:$A$5000&amp;INPUT!$C$3:$C$5000,INPUT!$F$3:$F$5000),2,FALSE),"")</f>
        <v>PRE-TEMPORADA</v>
      </c>
      <c r="H1198" t="str" cm="1">
        <f t="array" ref="H1198">IFERROR(VLOOKUP(INPUT!M1193&amp;INPUT!N1193,CHOOSE({1,2},INPUT!$A$3:$A$5000&amp;INPUT!$C$3:$C$5000,INPUT!$D$3:$D$5000),2,FALSE),"")</f>
        <v>TEC-TAC</v>
      </c>
      <c r="I1198" s="46">
        <f>IF(INPUT!P1193="","",INPUT!P1193)</f>
        <v>79.599999999999994</v>
      </c>
      <c r="J1198" s="46">
        <f>IF(INPUT!Q1193="","",INPUT!Q1193)</f>
        <v>78.8</v>
      </c>
      <c r="K1198" s="46">
        <f>IFERROR(IF(OR(INPUT!P1193="",INPUT!Q1193=""),"",INPUT!P1193-INPUT!Q1193),"")</f>
        <v>0.79999999999999716</v>
      </c>
      <c r="L1198" s="48">
        <f>IFERROR(IF(OR(INPUT!P1193="",INPUT!Q1193="",INPUT!P1193=0),"",(INPUT!P1193-INPUT!Q1193)/INPUT!P1193),"")</f>
        <v>1.0050251256281372E-2</v>
      </c>
    </row>
    <row r="1199" spans="1:12" ht="18" hidden="1" customHeight="1" x14ac:dyDescent="0.2">
      <c r="A1199" s="11">
        <f>IF(INPUT!M1194="","",INPUT!M1194)</f>
        <v>45974</v>
      </c>
      <c r="B1199" s="11">
        <f>IF(INPUT!M1194="","",INPUT!M1194-WEEKDAY(INPUT!M1194,2)+1)</f>
        <v>45971</v>
      </c>
      <c r="C1199" s="20">
        <f>IFERROR(_xlfn.ISOWEEKNUM(INPUT!M1194),"")</f>
        <v>46</v>
      </c>
      <c r="D1199" s="20">
        <f>IFERROR(YEAR(INPUT!M1194),"")</f>
        <v>2025</v>
      </c>
      <c r="E1199" t="str">
        <f>IF(INPUT!O1194="","",INPUT!O1194)</f>
        <v>CECILIO</v>
      </c>
      <c r="F1199" t="str">
        <f>IF(INPUT!N1194="","",INPUT!N1194)</f>
        <v>M</v>
      </c>
      <c r="G1199" t="str" cm="1">
        <f t="array" ref="G1199">IFERROR(VLOOKUP(INPUT!M1194&amp;INPUT!N1194,CHOOSE({1,2},INPUT!$A$3:$A$5000&amp;INPUT!$C$3:$C$5000,INPUT!$F$3:$F$5000),2,FALSE),"")</f>
        <v>PRE-TEMPORADA</v>
      </c>
      <c r="H1199" t="str" cm="1">
        <f t="array" ref="H1199">IFERROR(VLOOKUP(INPUT!M1194&amp;INPUT!N1194,CHOOSE({1,2},INPUT!$A$3:$A$5000&amp;INPUT!$C$3:$C$5000,INPUT!$D$3:$D$5000),2,FALSE),"")</f>
        <v>TEC-TAC</v>
      </c>
      <c r="I1199" s="46">
        <f>IF(INPUT!P1194="","",INPUT!P1194)</f>
        <v>68.099999999999994</v>
      </c>
      <c r="J1199" s="46">
        <f>IF(INPUT!Q1194="","",INPUT!Q1194)</f>
        <v>67.900000000000006</v>
      </c>
      <c r="K1199" s="46">
        <f>IFERROR(IF(OR(INPUT!P1194="",INPUT!Q1194=""),"",INPUT!P1194-INPUT!Q1194),"")</f>
        <v>0.19999999999998863</v>
      </c>
      <c r="L1199" s="48">
        <f>IFERROR(IF(OR(INPUT!P1194="",INPUT!Q1194="",INPUT!P1194=0),"",(INPUT!P1194-INPUT!Q1194)/INPUT!P1194),"")</f>
        <v>2.9368575624080565E-3</v>
      </c>
    </row>
    <row r="1200" spans="1:12" ht="18" hidden="1" customHeight="1" x14ac:dyDescent="0.2">
      <c r="A1200" s="11">
        <f>IF(INPUT!M1195="","",INPUT!M1195)</f>
        <v>45974</v>
      </c>
      <c r="B1200" s="11">
        <f>IF(INPUT!M1195="","",INPUT!M1195-WEEKDAY(INPUT!M1195,2)+1)</f>
        <v>45971</v>
      </c>
      <c r="C1200" s="20">
        <f>IFERROR(_xlfn.ISOWEEKNUM(INPUT!M1195),"")</f>
        <v>46</v>
      </c>
      <c r="D1200" s="20">
        <f>IFERROR(YEAR(INPUT!M1195),"")</f>
        <v>2025</v>
      </c>
      <c r="E1200" t="str">
        <f>IF(INPUT!O1195="","",INPUT!O1195)</f>
        <v>CHAGUINHA</v>
      </c>
      <c r="F1200" t="str">
        <f>IF(INPUT!N1195="","",INPUT!N1195)</f>
        <v>M</v>
      </c>
      <c r="G1200" t="str" cm="1">
        <f t="array" ref="G1200">IFERROR(VLOOKUP(INPUT!M1195&amp;INPUT!N1195,CHOOSE({1,2},INPUT!$A$3:$A$5000&amp;INPUT!$C$3:$C$5000,INPUT!$F$3:$F$5000),2,FALSE),"")</f>
        <v>PRE-TEMPORADA</v>
      </c>
      <c r="H1200" t="str" cm="1">
        <f t="array" ref="H1200">IFERROR(VLOOKUP(INPUT!M1195&amp;INPUT!N1195,CHOOSE({1,2},INPUT!$A$3:$A$5000&amp;INPUT!$C$3:$C$5000,INPUT!$D$3:$D$5000),2,FALSE),"")</f>
        <v>TEC-TAC</v>
      </c>
      <c r="I1200" s="46">
        <f>IF(INPUT!P1195="","",INPUT!P1195)</f>
        <v>68.599999999999994</v>
      </c>
      <c r="J1200" s="46">
        <f>IF(INPUT!Q1195="","",INPUT!Q1195)</f>
        <v>68.3</v>
      </c>
      <c r="K1200" s="46">
        <f>IFERROR(IF(OR(INPUT!P1195="",INPUT!Q1195=""),"",INPUT!P1195-INPUT!Q1195),"")</f>
        <v>0.29999999999999716</v>
      </c>
      <c r="L1200" s="48">
        <f>IFERROR(IF(OR(INPUT!P1195="",INPUT!Q1195="",INPUT!P1195=0),"",(INPUT!P1195-INPUT!Q1195)/INPUT!P1195),"")</f>
        <v>4.3731778425655562E-3</v>
      </c>
    </row>
    <row r="1201" spans="1:12" ht="18" hidden="1" customHeight="1" x14ac:dyDescent="0.2">
      <c r="A1201" s="11">
        <f>IF(INPUT!M1196="","",INPUT!M1196)</f>
        <v>45974</v>
      </c>
      <c r="B1201" s="11">
        <f>IF(INPUT!M1196="","",INPUT!M1196-WEEKDAY(INPUT!M1196,2)+1)</f>
        <v>45971</v>
      </c>
      <c r="C1201" s="20">
        <f>IFERROR(_xlfn.ISOWEEKNUM(INPUT!M1196),"")</f>
        <v>46</v>
      </c>
      <c r="D1201" s="20">
        <f>IFERROR(YEAR(INPUT!M1196),"")</f>
        <v>2025</v>
      </c>
      <c r="E1201" t="str">
        <f>IF(INPUT!O1196="","",INPUT!O1196)</f>
        <v>RAUL</v>
      </c>
      <c r="F1201" t="str">
        <f>IF(INPUT!N1196="","",INPUT!N1196)</f>
        <v>M</v>
      </c>
      <c r="G1201" t="str" cm="1">
        <f t="array" ref="G1201">IFERROR(VLOOKUP(INPUT!M1196&amp;INPUT!N1196,CHOOSE({1,2},INPUT!$A$3:$A$5000&amp;INPUT!$C$3:$C$5000,INPUT!$F$3:$F$5000),2,FALSE),"")</f>
        <v>PRE-TEMPORADA</v>
      </c>
      <c r="H1201" t="str" cm="1">
        <f t="array" ref="H1201">IFERROR(VLOOKUP(INPUT!M1196&amp;INPUT!N1196,CHOOSE({1,2},INPUT!$A$3:$A$5000&amp;INPUT!$C$3:$C$5000,INPUT!$D$3:$D$5000),2,FALSE),"")</f>
        <v>TEC-TAC</v>
      </c>
      <c r="I1201" s="46">
        <f>IF(INPUT!P1196="","",INPUT!P1196)</f>
        <v>81.5</v>
      </c>
      <c r="J1201" s="46">
        <f>IF(INPUT!Q1196="","",INPUT!Q1196)</f>
        <v>81.5</v>
      </c>
      <c r="K1201" s="46">
        <f>IFERROR(IF(OR(INPUT!P1196="",INPUT!Q1196=""),"",INPUT!P1196-INPUT!Q1196),"")</f>
        <v>0</v>
      </c>
      <c r="L1201" s="48">
        <f>IFERROR(IF(OR(INPUT!P1196="",INPUT!Q1196="",INPUT!P1196=0),"",(INPUT!P1196-INPUT!Q1196)/INPUT!P1196),"")</f>
        <v>0</v>
      </c>
    </row>
    <row r="1202" spans="1:12" ht="18" hidden="1" customHeight="1" x14ac:dyDescent="0.2">
      <c r="A1202" s="11">
        <f>IF(INPUT!M1197="","",INPUT!M1197)</f>
        <v>45974</v>
      </c>
      <c r="B1202" s="11">
        <f>IF(INPUT!M1197="","",INPUT!M1197-WEEKDAY(INPUT!M1197,2)+1)</f>
        <v>45971</v>
      </c>
      <c r="C1202" s="20">
        <f>IFERROR(_xlfn.ISOWEEKNUM(INPUT!M1197),"")</f>
        <v>46</v>
      </c>
      <c r="D1202" s="20">
        <f>IFERROR(YEAR(INPUT!M1197),"")</f>
        <v>2025</v>
      </c>
      <c r="E1202" t="str">
        <f>IF(INPUT!O1197="","",INPUT!O1197)</f>
        <v>HARRISON</v>
      </c>
      <c r="F1202" t="str">
        <f>IF(INPUT!N1197="","",INPUT!N1197)</f>
        <v>M</v>
      </c>
      <c r="G1202" t="str" cm="1">
        <f t="array" ref="G1202">IFERROR(VLOOKUP(INPUT!M1197&amp;INPUT!N1197,CHOOSE({1,2},INPUT!$A$3:$A$5000&amp;INPUT!$C$3:$C$5000,INPUT!$F$3:$F$5000),2,FALSE),"")</f>
        <v>PRE-TEMPORADA</v>
      </c>
      <c r="H1202" t="str" cm="1">
        <f t="array" ref="H1202">IFERROR(VLOOKUP(INPUT!M1197&amp;INPUT!N1197,CHOOSE({1,2},INPUT!$A$3:$A$5000&amp;INPUT!$C$3:$C$5000,INPUT!$D$3:$D$5000),2,FALSE),"")</f>
        <v>TEC-TAC</v>
      </c>
      <c r="I1202" s="46">
        <f>IF(INPUT!P1197="","",INPUT!P1197)</f>
        <v>71.7</v>
      </c>
      <c r="J1202" s="46">
        <f>IF(INPUT!Q1197="","",INPUT!Q1197)</f>
        <v>71</v>
      </c>
      <c r="K1202" s="46">
        <f>IFERROR(IF(OR(INPUT!P1197="",INPUT!Q1197=""),"",INPUT!P1197-INPUT!Q1197),"")</f>
        <v>0.70000000000000284</v>
      </c>
      <c r="L1202" s="48">
        <f>IFERROR(IF(OR(INPUT!P1197="",INPUT!Q1197="",INPUT!P1197=0),"",(INPUT!P1197-INPUT!Q1197)/INPUT!P1197),"")</f>
        <v>9.762900976290137E-3</v>
      </c>
    </row>
    <row r="1203" spans="1:12" ht="18" hidden="1" customHeight="1" x14ac:dyDescent="0.2">
      <c r="A1203" s="11">
        <f>IF(INPUT!M1198="","",INPUT!M1198)</f>
        <v>45974</v>
      </c>
      <c r="B1203" s="11">
        <f>IF(INPUT!M1198="","",INPUT!M1198-WEEKDAY(INPUT!M1198,2)+1)</f>
        <v>45971</v>
      </c>
      <c r="C1203" s="20">
        <f>IFERROR(_xlfn.ISOWEEKNUM(INPUT!M1198),"")</f>
        <v>46</v>
      </c>
      <c r="D1203" s="20">
        <f>IFERROR(YEAR(INPUT!M1198),"")</f>
        <v>2025</v>
      </c>
      <c r="E1203" t="str">
        <f>IF(INPUT!O1198="","",INPUT!O1198)</f>
        <v>RAYA</v>
      </c>
      <c r="F1203" t="str">
        <f>IF(INPUT!N1198="","",INPUT!N1198)</f>
        <v>M</v>
      </c>
      <c r="G1203" t="str" cm="1">
        <f t="array" ref="G1203">IFERROR(VLOOKUP(INPUT!M1198&amp;INPUT!N1198,CHOOSE({1,2},INPUT!$A$3:$A$5000&amp;INPUT!$C$3:$C$5000,INPUT!$F$3:$F$5000),2,FALSE),"")</f>
        <v>PRE-TEMPORADA</v>
      </c>
      <c r="H1203" t="str" cm="1">
        <f t="array" ref="H1203">IFERROR(VLOOKUP(INPUT!M1198&amp;INPUT!N1198,CHOOSE({1,2},INPUT!$A$3:$A$5000&amp;INPUT!$C$3:$C$5000,INPUT!$D$3:$D$5000),2,FALSE),"")</f>
        <v>TEC-TAC</v>
      </c>
      <c r="I1203" s="46">
        <f>IF(INPUT!P1198="","",INPUT!P1198)</f>
        <v>81.8</v>
      </c>
      <c r="J1203" s="46">
        <f>IF(INPUT!Q1198="","",INPUT!Q1198)</f>
        <v>80.5</v>
      </c>
      <c r="K1203" s="46">
        <f>IFERROR(IF(OR(INPUT!P1198="",INPUT!Q1198=""),"",INPUT!P1198-INPUT!Q1198),"")</f>
        <v>1.2999999999999972</v>
      </c>
      <c r="L1203" s="48">
        <f>IFERROR(IF(OR(INPUT!P1198="",INPUT!Q1198="",INPUT!P1198=0),"",(INPUT!P1198-INPUT!Q1198)/INPUT!P1198),"")</f>
        <v>1.5892420537897276E-2</v>
      </c>
    </row>
    <row r="1204" spans="1:12" ht="18" hidden="1" customHeight="1" x14ac:dyDescent="0.2">
      <c r="A1204" s="11">
        <f>IF(INPUT!M1199="","",INPUT!M1199)</f>
        <v>45974</v>
      </c>
      <c r="B1204" s="11">
        <f>IF(INPUT!M1199="","",INPUT!M1199-WEEKDAY(INPUT!M1199,2)+1)</f>
        <v>45971</v>
      </c>
      <c r="C1204" s="20">
        <f>IFERROR(_xlfn.ISOWEEKNUM(INPUT!M1199),"")</f>
        <v>46</v>
      </c>
      <c r="D1204" s="20">
        <f>IFERROR(YEAR(INPUT!M1199),"")</f>
        <v>2025</v>
      </c>
      <c r="E1204" t="str">
        <f>IF(INPUT!O1199="","",INPUT!O1199)</f>
        <v>JAVI</v>
      </c>
      <c r="F1204" t="str">
        <f>IF(INPUT!N1199="","",INPUT!N1199)</f>
        <v>M</v>
      </c>
      <c r="G1204" t="str" cm="1">
        <f t="array" ref="G1204">IFERROR(VLOOKUP(INPUT!M1199&amp;INPUT!N1199,CHOOSE({1,2},INPUT!$A$3:$A$5000&amp;INPUT!$C$3:$C$5000,INPUT!$F$3:$F$5000),2,FALSE),"")</f>
        <v>PRE-TEMPORADA</v>
      </c>
      <c r="H1204" t="str" cm="1">
        <f t="array" ref="H1204">IFERROR(VLOOKUP(INPUT!M1199&amp;INPUT!N1199,CHOOSE({1,2},INPUT!$A$3:$A$5000&amp;INPUT!$C$3:$C$5000,INPUT!$D$3:$D$5000),2,FALSE),"")</f>
        <v>TEC-TAC</v>
      </c>
      <c r="I1204" s="46">
        <f>IF(INPUT!P1199="","",INPUT!P1199)</f>
        <v>77.3</v>
      </c>
      <c r="J1204" s="46">
        <f>IF(INPUT!Q1199="","",INPUT!Q1199)</f>
        <v>77.3</v>
      </c>
      <c r="K1204" s="46">
        <f>IFERROR(IF(OR(INPUT!P1199="",INPUT!Q1199=""),"",INPUT!P1199-INPUT!Q1199),"")</f>
        <v>0</v>
      </c>
      <c r="L1204" s="48">
        <f>IFERROR(IF(OR(INPUT!P1199="",INPUT!Q1199="",INPUT!P1199=0),"",(INPUT!P1199-INPUT!Q1199)/INPUT!P1199),"")</f>
        <v>0</v>
      </c>
    </row>
    <row r="1205" spans="1:12" ht="18" hidden="1" customHeight="1" x14ac:dyDescent="0.2">
      <c r="A1205" s="11">
        <f>IF(INPUT!M1200="","",INPUT!M1200)</f>
        <v>45974</v>
      </c>
      <c r="B1205" s="11">
        <f>IF(INPUT!M1200="","",INPUT!M1200-WEEKDAY(INPUT!M1200,2)+1)</f>
        <v>45971</v>
      </c>
      <c r="C1205" s="20">
        <f>IFERROR(_xlfn.ISOWEEKNUM(INPUT!M1200),"")</f>
        <v>46</v>
      </c>
      <c r="D1205" s="20">
        <f>IFERROR(YEAR(INPUT!M1200),"")</f>
        <v>2025</v>
      </c>
      <c r="E1205" t="str">
        <f>IF(INPUT!O1200="","",INPUT!O1200)</f>
        <v>PANI</v>
      </c>
      <c r="F1205" t="str">
        <f>IF(INPUT!N1200="","",INPUT!N1200)</f>
        <v>M</v>
      </c>
      <c r="G1205" t="str" cm="1">
        <f t="array" ref="G1205">IFERROR(VLOOKUP(INPUT!M1200&amp;INPUT!N1200,CHOOSE({1,2},INPUT!$A$3:$A$5000&amp;INPUT!$C$3:$C$5000,INPUT!$F$3:$F$5000),2,FALSE),"")</f>
        <v>PRE-TEMPORADA</v>
      </c>
      <c r="H1205" t="str" cm="1">
        <f t="array" ref="H1205">IFERROR(VLOOKUP(INPUT!M1200&amp;INPUT!N1200,CHOOSE({1,2},INPUT!$A$3:$A$5000&amp;INPUT!$C$3:$C$5000,INPUT!$D$3:$D$5000),2,FALSE),"")</f>
        <v>TEC-TAC</v>
      </c>
      <c r="I1205" s="46">
        <f>IF(INPUT!P1200="","",INPUT!P1200)</f>
        <v>68.3</v>
      </c>
      <c r="J1205" s="46">
        <f>IF(INPUT!Q1200="","",INPUT!Q1200)</f>
        <v>68.2</v>
      </c>
      <c r="K1205" s="46">
        <f>IFERROR(IF(OR(INPUT!P1200="",INPUT!Q1200=""),"",INPUT!P1200-INPUT!Q1200),"")</f>
        <v>9.9999999999994316E-2</v>
      </c>
      <c r="L1205" s="48">
        <f>IFERROR(IF(OR(INPUT!P1200="",INPUT!Q1200="",INPUT!P1200=0),"",(INPUT!P1200-INPUT!Q1200)/INPUT!P1200),"")</f>
        <v>1.4641288433381305E-3</v>
      </c>
    </row>
    <row r="1206" spans="1:12" ht="18" hidden="1" customHeight="1" x14ac:dyDescent="0.2">
      <c r="A1206" s="11">
        <f>IF(INPUT!M1201="","",INPUT!M1201)</f>
        <v>45974</v>
      </c>
      <c r="B1206" s="11">
        <f>IF(INPUT!M1201="","",INPUT!M1201-WEEKDAY(INPUT!M1201,2)+1)</f>
        <v>45971</v>
      </c>
      <c r="C1206" s="20">
        <f>IFERROR(_xlfn.ISOWEEKNUM(INPUT!M1201),"")</f>
        <v>46</v>
      </c>
      <c r="D1206" s="20">
        <f>IFERROR(YEAR(INPUT!M1201),"")</f>
        <v>2025</v>
      </c>
      <c r="E1206" t="str">
        <f>IF(INPUT!O1201="","",INPUT!O1201)</f>
        <v>PIRATA</v>
      </c>
      <c r="F1206" t="str">
        <f>IF(INPUT!N1201="","",INPUT!N1201)</f>
        <v>M</v>
      </c>
      <c r="G1206" t="str" cm="1">
        <f t="array" ref="G1206">IFERROR(VLOOKUP(INPUT!M1201&amp;INPUT!N1201,CHOOSE({1,2},INPUT!$A$3:$A$5000&amp;INPUT!$C$3:$C$5000,INPUT!$F$3:$F$5000),2,FALSE),"")</f>
        <v>PRE-TEMPORADA</v>
      </c>
      <c r="H1206" t="str" cm="1">
        <f t="array" ref="H1206">IFERROR(VLOOKUP(INPUT!M1201&amp;INPUT!N1201,CHOOSE({1,2},INPUT!$A$3:$A$5000&amp;INPUT!$C$3:$C$5000,INPUT!$D$3:$D$5000),2,FALSE),"")</f>
        <v>TEC-TAC</v>
      </c>
      <c r="I1206" s="46">
        <f>IF(INPUT!P1201="","",INPUT!P1201)</f>
        <v>75.8</v>
      </c>
      <c r="J1206" s="46">
        <f>IF(INPUT!Q1201="","",INPUT!Q1201)</f>
        <v>75.7</v>
      </c>
      <c r="K1206" s="46">
        <f>IFERROR(IF(OR(INPUT!P1201="",INPUT!Q1201=""),"",INPUT!P1201-INPUT!Q1201),"")</f>
        <v>9.9999999999994316E-2</v>
      </c>
      <c r="L1206" s="48">
        <f>IFERROR(IF(OR(INPUT!P1201="",INPUT!Q1201="",INPUT!P1201=0),"",(INPUT!P1201-INPUT!Q1201)/INPUT!P1201),"")</f>
        <v>1.3192612137202418E-3</v>
      </c>
    </row>
    <row r="1207" spans="1:12" ht="18" customHeight="1" x14ac:dyDescent="0.2">
      <c r="A1207" s="11">
        <f>IF(INPUT!M1202="","",INPUT!M1202)</f>
        <v>45974</v>
      </c>
      <c r="B1207" s="11">
        <f>IF(INPUT!M1202="","",INPUT!M1202-WEEKDAY(INPUT!M1202,2)+1)</f>
        <v>45971</v>
      </c>
      <c r="C1207" s="20">
        <f>IFERROR(_xlfn.ISOWEEKNUM(INPUT!M1202),"")</f>
        <v>46</v>
      </c>
      <c r="D1207" s="20">
        <f>IFERROR(YEAR(INPUT!M1202),"")</f>
        <v>2025</v>
      </c>
      <c r="E1207" t="str">
        <f>IF(INPUT!O1202="","",INPUT!O1202)</f>
        <v>BARONA</v>
      </c>
      <c r="F1207" t="str">
        <f>IF(INPUT!N1202="","",INPUT!N1202)</f>
        <v>M</v>
      </c>
      <c r="G1207" t="str" cm="1">
        <f t="array" ref="G1207">IFERROR(VLOOKUP(INPUT!M1202&amp;INPUT!N1202,CHOOSE({1,2},INPUT!$A$3:$A$5000&amp;INPUT!$C$3:$C$5000,INPUT!$F$3:$F$5000),2,FALSE),"")</f>
        <v>PRE-TEMPORADA</v>
      </c>
      <c r="H1207" t="str" cm="1">
        <f t="array" ref="H1207">IFERROR(VLOOKUP(INPUT!M1202&amp;INPUT!N1202,CHOOSE({1,2},INPUT!$A$3:$A$5000&amp;INPUT!$C$3:$C$5000,INPUT!$D$3:$D$5000),2,FALSE),"")</f>
        <v>TEC-TAC</v>
      </c>
      <c r="I1207" s="46">
        <f>IF(INPUT!P1202="","",INPUT!P1202)</f>
        <v>71.5</v>
      </c>
      <c r="J1207" s="46">
        <f>IF(INPUT!Q1202="","",INPUT!Q1202)</f>
        <v>70.5</v>
      </c>
      <c r="K1207" s="46">
        <f>IFERROR(IF(OR(INPUT!P1202="",INPUT!Q1202=""),"",INPUT!P1202-INPUT!Q1202),"")</f>
        <v>1</v>
      </c>
      <c r="L1207" s="48">
        <f>IFERROR(IF(OR(INPUT!P1202="",INPUT!Q1202="",INPUT!P1202=0),"",(INPUT!P1202-INPUT!Q1202)/INPUT!P1202),"")</f>
        <v>1.3986013986013986E-2</v>
      </c>
    </row>
    <row r="1208" spans="1:12" ht="18" customHeight="1" x14ac:dyDescent="0.2">
      <c r="A1208" s="11">
        <f>IF(INPUT!M1203="","",INPUT!M1203)</f>
        <v>45974</v>
      </c>
      <c r="B1208" s="11">
        <f>IF(INPUT!M1203="","",INPUT!M1203-WEEKDAY(INPUT!M1203,2)+1)</f>
        <v>45971</v>
      </c>
      <c r="C1208" s="20">
        <f>IFERROR(_xlfn.ISOWEEKNUM(INPUT!M1203),"")</f>
        <v>46</v>
      </c>
      <c r="D1208" s="20">
        <f>IFERROR(YEAR(INPUT!M1203),"")</f>
        <v>2025</v>
      </c>
      <c r="E1208" t="str">
        <f>IF(INPUT!O1203="","",INPUT!O1203)</f>
        <v>CARLOS</v>
      </c>
      <c r="F1208" t="str">
        <f>IF(INPUT!N1203="","",INPUT!N1203)</f>
        <v>M</v>
      </c>
      <c r="G1208" t="str" cm="1">
        <f t="array" ref="G1208">IFERROR(VLOOKUP(INPUT!M1203&amp;INPUT!N1203,CHOOSE({1,2},INPUT!$A$3:$A$5000&amp;INPUT!$C$3:$C$5000,INPUT!$F$3:$F$5000),2,FALSE),"")</f>
        <v>PRE-TEMPORADA</v>
      </c>
      <c r="H1208" t="str" cm="1">
        <f t="array" ref="H1208">IFERROR(VLOOKUP(INPUT!M1203&amp;INPUT!N1203,CHOOSE({1,2},INPUT!$A$3:$A$5000&amp;INPUT!$C$3:$C$5000,INPUT!$D$3:$D$5000),2,FALSE),"")</f>
        <v>TEC-TAC</v>
      </c>
      <c r="I1208" s="46">
        <f>IF(INPUT!P1203="","",INPUT!P1203)</f>
        <v>67.5</v>
      </c>
      <c r="J1208" s="46">
        <f>IF(INPUT!Q1203="","",INPUT!Q1203)</f>
        <v>67.3</v>
      </c>
      <c r="K1208" s="46">
        <f>IFERROR(IF(OR(INPUT!P1203="",INPUT!Q1203=""),"",INPUT!P1203-INPUT!Q1203),"")</f>
        <v>0.20000000000000284</v>
      </c>
      <c r="L1208" s="48">
        <f>IFERROR(IF(OR(INPUT!P1203="",INPUT!Q1203="",INPUT!P1203=0),"",(INPUT!P1203-INPUT!Q1203)/INPUT!P1203),"")</f>
        <v>2.9629629629630049E-3</v>
      </c>
    </row>
    <row r="1209" spans="1:12" ht="18" customHeight="1" x14ac:dyDescent="0.2">
      <c r="A1209" s="11">
        <f>IF(INPUT!M1204="","",INPUT!M1204)</f>
        <v>45974</v>
      </c>
      <c r="B1209" s="11">
        <f>IF(INPUT!M1204="","",INPUT!M1204-WEEKDAY(INPUT!M1204,2)+1)</f>
        <v>45971</v>
      </c>
      <c r="C1209" s="20">
        <f>IFERROR(_xlfn.ISOWEEKNUM(INPUT!M1204),"")</f>
        <v>46</v>
      </c>
      <c r="D1209" s="20">
        <f>IFERROR(YEAR(INPUT!M1204),"")</f>
        <v>2025</v>
      </c>
      <c r="E1209" t="str">
        <f>IF(INPUT!O1204="","",INPUT!O1204)</f>
        <v>RUBIO</v>
      </c>
      <c r="F1209" t="str">
        <f>IF(INPUT!N1204="","",INPUT!N1204)</f>
        <v>M</v>
      </c>
      <c r="G1209" t="str" cm="1">
        <f t="array" ref="G1209">IFERROR(VLOOKUP(INPUT!M1204&amp;INPUT!N1204,CHOOSE({1,2},INPUT!$A$3:$A$5000&amp;INPUT!$C$3:$C$5000,INPUT!$F$3:$F$5000),2,FALSE),"")</f>
        <v>PRE-TEMPORADA</v>
      </c>
      <c r="H1209" t="str" cm="1">
        <f t="array" ref="H1209">IFERROR(VLOOKUP(INPUT!M1204&amp;INPUT!N1204,CHOOSE({1,2},INPUT!$A$3:$A$5000&amp;INPUT!$C$3:$C$5000,INPUT!$D$3:$D$5000),2,FALSE),"")</f>
        <v>TEC-TAC</v>
      </c>
      <c r="I1209" s="46">
        <f>IF(INPUT!P1204="","",INPUT!P1204)</f>
        <v>75.599999999999994</v>
      </c>
      <c r="J1209" s="46">
        <f>IF(INPUT!Q1204="","",INPUT!Q1204)</f>
        <v>74.8</v>
      </c>
      <c r="K1209" s="46">
        <f>IFERROR(IF(OR(INPUT!P1204="",INPUT!Q1204=""),"",INPUT!P1204-INPUT!Q1204),"")</f>
        <v>0.79999999999999716</v>
      </c>
      <c r="L1209" s="48">
        <f>IFERROR(IF(OR(INPUT!P1204="",INPUT!Q1204="",INPUT!P1204=0),"",(INPUT!P1204-INPUT!Q1204)/INPUT!P1204),"")</f>
        <v>1.0582010582010545E-2</v>
      </c>
    </row>
    <row r="1210" spans="1:12" ht="18" customHeight="1" x14ac:dyDescent="0.2">
      <c r="A1210" s="11">
        <f>IF(INPUT!M1205="","",INPUT!M1205)</f>
        <v>45974</v>
      </c>
      <c r="B1210" s="11">
        <f>IF(INPUT!M1205="","",INPUT!M1205-WEEKDAY(INPUT!M1205,2)+1)</f>
        <v>45971</v>
      </c>
      <c r="C1210" s="20">
        <f>IFERROR(_xlfn.ISOWEEKNUM(INPUT!M1205),"")</f>
        <v>46</v>
      </c>
      <c r="D1210" s="20">
        <f>IFERROR(YEAR(INPUT!M1205),"")</f>
        <v>2025</v>
      </c>
      <c r="E1210" t="str">
        <f>IF(INPUT!O1205="","",INPUT!O1205)</f>
        <v>DANI</v>
      </c>
      <c r="F1210" t="str">
        <f>IF(INPUT!N1205="","",INPUT!N1205)</f>
        <v>M</v>
      </c>
      <c r="G1210" t="str" cm="1">
        <f t="array" ref="G1210">IFERROR(VLOOKUP(INPUT!M1205&amp;INPUT!N1205,CHOOSE({1,2},INPUT!$A$3:$A$5000&amp;INPUT!$C$3:$C$5000,INPUT!$F$3:$F$5000),2,FALSE),"")</f>
        <v>PRE-TEMPORADA</v>
      </c>
      <c r="H1210" t="str" cm="1">
        <f t="array" ref="H1210">IFERROR(VLOOKUP(INPUT!M1205&amp;INPUT!N1205,CHOOSE({1,2},INPUT!$A$3:$A$5000&amp;INPUT!$C$3:$C$5000,INPUT!$D$3:$D$5000),2,FALSE),"")</f>
        <v>TEC-TAC</v>
      </c>
      <c r="I1210" s="46">
        <f>IF(INPUT!P1205="","",INPUT!P1205)</f>
        <v>93.3</v>
      </c>
      <c r="J1210" s="46">
        <f>IF(INPUT!Q1205="","",INPUT!Q1205)</f>
        <v>92.9</v>
      </c>
      <c r="K1210" s="46">
        <f>IFERROR(IF(OR(INPUT!P1205="",INPUT!Q1205=""),"",INPUT!P1205-INPUT!Q1205),"")</f>
        <v>0.39999999999999147</v>
      </c>
      <c r="L1210" s="48">
        <f>IFERROR(IF(OR(INPUT!P1205="",INPUT!Q1205="",INPUT!P1205=0),"",(INPUT!P1205-INPUT!Q1205)/INPUT!P1205),"")</f>
        <v>4.2872454448016238E-3</v>
      </c>
    </row>
    <row r="1211" spans="1:12" ht="18" customHeight="1" x14ac:dyDescent="0.2">
      <c r="A1211" s="11">
        <f>IF(INPUT!M1206="","",INPUT!M1206)</f>
        <v>45974</v>
      </c>
      <c r="B1211" s="11">
        <f>IF(INPUT!M1206="","",INPUT!M1206-WEEKDAY(INPUT!M1206,2)+1)</f>
        <v>45971</v>
      </c>
      <c r="C1211" s="20">
        <f>IFERROR(_xlfn.ISOWEEKNUM(INPUT!M1206),"")</f>
        <v>46</v>
      </c>
      <c r="D1211" s="20">
        <f>IFERROR(YEAR(INPUT!M1206),"")</f>
        <v>2025</v>
      </c>
      <c r="E1211" t="str">
        <f>IF(INPUT!O1206="","",INPUT!O1206)</f>
        <v>JAIME</v>
      </c>
      <c r="F1211" t="str">
        <f>IF(INPUT!N1206="","",INPUT!N1206)</f>
        <v>M</v>
      </c>
      <c r="G1211" t="str" cm="1">
        <f t="array" ref="G1211">IFERROR(VLOOKUP(INPUT!M1206&amp;INPUT!N1206,CHOOSE({1,2},INPUT!$A$3:$A$5000&amp;INPUT!$C$3:$C$5000,INPUT!$F$3:$F$5000),2,FALSE),"")</f>
        <v>PRE-TEMPORADA</v>
      </c>
      <c r="H1211" t="str" cm="1">
        <f t="array" ref="H1211">IFERROR(VLOOKUP(INPUT!M1206&amp;INPUT!N1206,CHOOSE({1,2},INPUT!$A$3:$A$5000&amp;INPUT!$C$3:$C$5000,INPUT!$D$3:$D$5000),2,FALSE),"")</f>
        <v>TEC-TAC</v>
      </c>
      <c r="I1211" s="46">
        <f>IF(INPUT!P1206="","",INPUT!P1206)</f>
        <v>76.3</v>
      </c>
      <c r="J1211" s="46">
        <f>IF(INPUT!Q1206="","",INPUT!Q1206)</f>
        <v>76.099999999999994</v>
      </c>
      <c r="K1211" s="46">
        <f>IFERROR(IF(OR(INPUT!P1206="",INPUT!Q1206=""),"",INPUT!P1206-INPUT!Q1206),"")</f>
        <v>0.20000000000000284</v>
      </c>
      <c r="L1211" s="48">
        <f>IFERROR(IF(OR(INPUT!P1206="",INPUT!Q1206="",INPUT!P1206=0),"",(INPUT!P1206-INPUT!Q1206)/INPUT!P1206),"")</f>
        <v>2.6212319790301815E-3</v>
      </c>
    </row>
    <row r="1212" spans="1:12" ht="18" hidden="1" customHeight="1" x14ac:dyDescent="0.2">
      <c r="A1212" s="11">
        <f>IF(INPUT!M1207="","",INPUT!M1207)</f>
        <v>45978</v>
      </c>
      <c r="B1212" s="11">
        <f>IF(INPUT!M1207="","",INPUT!M1207-WEEKDAY(INPUT!M1207,2)+1)</f>
        <v>45978</v>
      </c>
      <c r="C1212" s="20">
        <f>IFERROR(_xlfn.ISOWEEKNUM(INPUT!M1207),"")</f>
        <v>47</v>
      </c>
      <c r="D1212" s="20">
        <f>IFERROR(YEAR(INPUT!M1207),"")</f>
        <v>2025</v>
      </c>
      <c r="E1212" t="str">
        <f>IF(INPUT!O1207="","",INPUT!O1207)</f>
        <v>HERRERO</v>
      </c>
      <c r="F1212" t="str">
        <f>IF(INPUT!N1207="","",INPUT!N1207)</f>
        <v>M</v>
      </c>
      <c r="G1212" t="str" cm="1">
        <f t="array" ref="G1212">IFERROR(VLOOKUP(INPUT!M1207&amp;INPUT!N1207,CHOOSE({1,2},INPUT!$A$3:$A$5000&amp;INPUT!$C$3:$C$5000,INPUT!$F$3:$F$5000),2,FALSE),"")</f>
        <v>PRE-TEMPORADA</v>
      </c>
      <c r="H1212" t="str" cm="1">
        <f t="array" ref="H1212">IFERROR(VLOOKUP(INPUT!M1207&amp;INPUT!N1207,CHOOSE({1,2},INPUT!$A$3:$A$5000&amp;INPUT!$C$3:$C$5000,INPUT!$D$3:$D$5000),2,FALSE),"")</f>
        <v>TEC-TAC</v>
      </c>
      <c r="I1212" s="46">
        <f>IF(INPUT!P1207="","",INPUT!P1207)</f>
        <v>77</v>
      </c>
      <c r="J1212" s="46">
        <f>IF(INPUT!Q1207="","",INPUT!Q1207)</f>
        <v>76.2</v>
      </c>
      <c r="K1212" s="46">
        <f>IFERROR(IF(OR(INPUT!P1207="",INPUT!Q1207=""),"",INPUT!P1207-INPUT!Q1207),"")</f>
        <v>0.79999999999999716</v>
      </c>
      <c r="L1212" s="48">
        <f>IFERROR(IF(OR(INPUT!P1207="",INPUT!Q1207="",INPUT!P1207=0),"",(INPUT!P1207-INPUT!Q1207)/INPUT!P1207),"")</f>
        <v>1.0389610389610353E-2</v>
      </c>
    </row>
    <row r="1213" spans="1:12" ht="18" hidden="1" customHeight="1" x14ac:dyDescent="0.2">
      <c r="A1213" s="11">
        <f>IF(INPUT!M1208="","",INPUT!M1208)</f>
        <v>45978</v>
      </c>
      <c r="B1213" s="11">
        <f>IF(INPUT!M1208="","",INPUT!M1208-WEEKDAY(INPUT!M1208,2)+1)</f>
        <v>45978</v>
      </c>
      <c r="C1213" s="20">
        <f>IFERROR(_xlfn.ISOWEEKNUM(INPUT!M1208),"")</f>
        <v>47</v>
      </c>
      <c r="D1213" s="20">
        <f>IFERROR(YEAR(INPUT!M1208),"")</f>
        <v>2025</v>
      </c>
      <c r="E1213" t="str">
        <f>IF(INPUT!O1208="","",INPUT!O1208)</f>
        <v>GARCIA</v>
      </c>
      <c r="F1213" t="str">
        <f>IF(INPUT!N1208="","",INPUT!N1208)</f>
        <v>M</v>
      </c>
      <c r="G1213" t="str" cm="1">
        <f t="array" ref="G1213">IFERROR(VLOOKUP(INPUT!M1208&amp;INPUT!N1208,CHOOSE({1,2},INPUT!$A$3:$A$5000&amp;INPUT!$C$3:$C$5000,INPUT!$F$3:$F$5000),2,FALSE),"")</f>
        <v>PRE-TEMPORADA</v>
      </c>
      <c r="H1213" t="str" cm="1">
        <f t="array" ref="H1213">IFERROR(VLOOKUP(INPUT!M1208&amp;INPUT!N1208,CHOOSE({1,2},INPUT!$A$3:$A$5000&amp;INPUT!$C$3:$C$5000,INPUT!$D$3:$D$5000),2,FALSE),"")</f>
        <v>TEC-TAC</v>
      </c>
      <c r="I1213" s="46">
        <f>IF(INPUT!P1208="","",INPUT!P1208)</f>
        <v>79</v>
      </c>
      <c r="J1213" s="46">
        <f>IF(INPUT!Q1208="","",INPUT!Q1208)</f>
        <v>78.8</v>
      </c>
      <c r="K1213" s="46">
        <f>IFERROR(IF(OR(INPUT!P1208="",INPUT!Q1208=""),"",INPUT!P1208-INPUT!Q1208),"")</f>
        <v>0.20000000000000284</v>
      </c>
      <c r="L1213" s="48">
        <f>IFERROR(IF(OR(INPUT!P1208="",INPUT!Q1208="",INPUT!P1208=0),"",(INPUT!P1208-INPUT!Q1208)/INPUT!P1208),"")</f>
        <v>2.5316455696202892E-3</v>
      </c>
    </row>
    <row r="1214" spans="1:12" ht="18" hidden="1" customHeight="1" x14ac:dyDescent="0.2">
      <c r="A1214" s="11">
        <f>IF(INPUT!M1209="","",INPUT!M1209)</f>
        <v>45978</v>
      </c>
      <c r="B1214" s="11">
        <f>IF(INPUT!M1209="","",INPUT!M1209-WEEKDAY(INPUT!M1209,2)+1)</f>
        <v>45978</v>
      </c>
      <c r="C1214" s="20">
        <f>IFERROR(_xlfn.ISOWEEKNUM(INPUT!M1209),"")</f>
        <v>47</v>
      </c>
      <c r="D1214" s="20">
        <f>IFERROR(YEAR(INPUT!M1209),"")</f>
        <v>2025</v>
      </c>
      <c r="E1214" t="str">
        <f>IF(INPUT!O1209="","",INPUT!O1209)</f>
        <v>CECILIO</v>
      </c>
      <c r="F1214" t="str">
        <f>IF(INPUT!N1209="","",INPUT!N1209)</f>
        <v>M</v>
      </c>
      <c r="G1214" t="str" cm="1">
        <f t="array" ref="G1214">IFERROR(VLOOKUP(INPUT!M1209&amp;INPUT!N1209,CHOOSE({1,2},INPUT!$A$3:$A$5000&amp;INPUT!$C$3:$C$5000,INPUT!$F$3:$F$5000),2,FALSE),"")</f>
        <v>PRE-TEMPORADA</v>
      </c>
      <c r="H1214" t="str" cm="1">
        <f t="array" ref="H1214">IFERROR(VLOOKUP(INPUT!M1209&amp;INPUT!N1209,CHOOSE({1,2},INPUT!$A$3:$A$5000&amp;INPUT!$C$3:$C$5000,INPUT!$D$3:$D$5000),2,FALSE),"")</f>
        <v>TEC-TAC</v>
      </c>
      <c r="I1214" s="46">
        <f>IF(INPUT!P1209="","",INPUT!P1209)</f>
        <v>67.5</v>
      </c>
      <c r="J1214" s="46">
        <f>IF(INPUT!Q1209="","",INPUT!Q1209)</f>
        <v>67.400000000000006</v>
      </c>
      <c r="K1214" s="46">
        <f>IFERROR(IF(OR(INPUT!P1209="",INPUT!Q1209=""),"",INPUT!P1209-INPUT!Q1209),"")</f>
        <v>9.9999999999994316E-2</v>
      </c>
      <c r="L1214" s="48">
        <f>IFERROR(IF(OR(INPUT!P1209="",INPUT!Q1209="",INPUT!P1209=0),"",(INPUT!P1209-INPUT!Q1209)/INPUT!P1209),"")</f>
        <v>1.4814814814813973E-3</v>
      </c>
    </row>
    <row r="1215" spans="1:12" ht="18" hidden="1" customHeight="1" x14ac:dyDescent="0.2">
      <c r="A1215" s="11">
        <f>IF(INPUT!M1210="","",INPUT!M1210)</f>
        <v>45978</v>
      </c>
      <c r="B1215" s="11">
        <f>IF(INPUT!M1210="","",INPUT!M1210-WEEKDAY(INPUT!M1210,2)+1)</f>
        <v>45978</v>
      </c>
      <c r="C1215" s="20">
        <f>IFERROR(_xlfn.ISOWEEKNUM(INPUT!M1210),"")</f>
        <v>47</v>
      </c>
      <c r="D1215" s="20">
        <f>IFERROR(YEAR(INPUT!M1210),"")</f>
        <v>2025</v>
      </c>
      <c r="E1215" t="str">
        <f>IF(INPUT!O1210="","",INPUT!O1210)</f>
        <v>CHAGUINHA</v>
      </c>
      <c r="F1215" t="str">
        <f>IF(INPUT!N1210="","",INPUT!N1210)</f>
        <v>M</v>
      </c>
      <c r="G1215" t="str" cm="1">
        <f t="array" ref="G1215">IFERROR(VLOOKUP(INPUT!M1210&amp;INPUT!N1210,CHOOSE({1,2},INPUT!$A$3:$A$5000&amp;INPUT!$C$3:$C$5000,INPUT!$F$3:$F$5000),2,FALSE),"")</f>
        <v>PRE-TEMPORADA</v>
      </c>
      <c r="H1215" t="str" cm="1">
        <f t="array" ref="H1215">IFERROR(VLOOKUP(INPUT!M1210&amp;INPUT!N1210,CHOOSE({1,2},INPUT!$A$3:$A$5000&amp;INPUT!$C$3:$C$5000,INPUT!$D$3:$D$5000),2,FALSE),"")</f>
        <v>TEC-TAC</v>
      </c>
      <c r="I1215" s="46">
        <f>IF(INPUT!P1210="","",INPUT!P1210)</f>
        <v>69.599999999999994</v>
      </c>
      <c r="J1215" s="46">
        <f>IF(INPUT!Q1210="","",INPUT!Q1210)</f>
        <v>68.900000000000006</v>
      </c>
      <c r="K1215" s="46">
        <f>IFERROR(IF(OR(INPUT!P1210="",INPUT!Q1210=""),"",INPUT!P1210-INPUT!Q1210),"")</f>
        <v>0.69999999999998863</v>
      </c>
      <c r="L1215" s="48">
        <f>IFERROR(IF(OR(INPUT!P1210="",INPUT!Q1210="",INPUT!P1210=0),"",(INPUT!P1210-INPUT!Q1210)/INPUT!P1210),"")</f>
        <v>1.0057471264367653E-2</v>
      </c>
    </row>
    <row r="1216" spans="1:12" ht="18" hidden="1" customHeight="1" x14ac:dyDescent="0.2">
      <c r="A1216" s="11">
        <f>IF(INPUT!M1211="","",INPUT!M1211)</f>
        <v>45978</v>
      </c>
      <c r="B1216" s="11">
        <f>IF(INPUT!M1211="","",INPUT!M1211-WEEKDAY(INPUT!M1211,2)+1)</f>
        <v>45978</v>
      </c>
      <c r="C1216" s="20">
        <f>IFERROR(_xlfn.ISOWEEKNUM(INPUT!M1211),"")</f>
        <v>47</v>
      </c>
      <c r="D1216" s="20">
        <f>IFERROR(YEAR(INPUT!M1211),"")</f>
        <v>2025</v>
      </c>
      <c r="E1216" t="str">
        <f>IF(INPUT!O1211="","",INPUT!O1211)</f>
        <v>RAUL</v>
      </c>
      <c r="F1216" t="str">
        <f>IF(INPUT!N1211="","",INPUT!N1211)</f>
        <v>M</v>
      </c>
      <c r="G1216" t="str" cm="1">
        <f t="array" ref="G1216">IFERROR(VLOOKUP(INPUT!M1211&amp;INPUT!N1211,CHOOSE({1,2},INPUT!$A$3:$A$5000&amp;INPUT!$C$3:$C$5000,INPUT!$F$3:$F$5000),2,FALSE),"")</f>
        <v>PRE-TEMPORADA</v>
      </c>
      <c r="H1216" t="str" cm="1">
        <f t="array" ref="H1216">IFERROR(VLOOKUP(INPUT!M1211&amp;INPUT!N1211,CHOOSE({1,2},INPUT!$A$3:$A$5000&amp;INPUT!$C$3:$C$5000,INPUT!$D$3:$D$5000),2,FALSE),"")</f>
        <v>TEC-TAC</v>
      </c>
      <c r="I1216" s="46">
        <f>IF(INPUT!P1211="","",INPUT!P1211)</f>
        <v>81</v>
      </c>
      <c r="J1216" s="46">
        <f>IF(INPUT!Q1211="","",INPUT!Q1211)</f>
        <v>80.5</v>
      </c>
      <c r="K1216" s="46">
        <f>IFERROR(IF(OR(INPUT!P1211="",INPUT!Q1211=""),"",INPUT!P1211-INPUT!Q1211),"")</f>
        <v>0.5</v>
      </c>
      <c r="L1216" s="48">
        <f>IFERROR(IF(OR(INPUT!P1211="",INPUT!Q1211="",INPUT!P1211=0),"",(INPUT!P1211-INPUT!Q1211)/INPUT!P1211),"")</f>
        <v>6.1728395061728392E-3</v>
      </c>
    </row>
    <row r="1217" spans="1:12" ht="18" hidden="1" customHeight="1" x14ac:dyDescent="0.2">
      <c r="A1217" s="11">
        <f>IF(INPUT!M1212="","",INPUT!M1212)</f>
        <v>45978</v>
      </c>
      <c r="B1217" s="11">
        <f>IF(INPUT!M1212="","",INPUT!M1212-WEEKDAY(INPUT!M1212,2)+1)</f>
        <v>45978</v>
      </c>
      <c r="C1217" s="20">
        <f>IFERROR(_xlfn.ISOWEEKNUM(INPUT!M1212),"")</f>
        <v>47</v>
      </c>
      <c r="D1217" s="20">
        <f>IFERROR(YEAR(INPUT!M1212),"")</f>
        <v>2025</v>
      </c>
      <c r="E1217" t="str">
        <f>IF(INPUT!O1212="","",INPUT!O1212)</f>
        <v>RAYA</v>
      </c>
      <c r="F1217" t="str">
        <f>IF(INPUT!N1212="","",INPUT!N1212)</f>
        <v>M</v>
      </c>
      <c r="G1217" t="str" cm="1">
        <f t="array" ref="G1217">IFERROR(VLOOKUP(INPUT!M1212&amp;INPUT!N1212,CHOOSE({1,2},INPUT!$A$3:$A$5000&amp;INPUT!$C$3:$C$5000,INPUT!$F$3:$F$5000),2,FALSE),"")</f>
        <v>PRE-TEMPORADA</v>
      </c>
      <c r="H1217" t="str" cm="1">
        <f t="array" ref="H1217">IFERROR(VLOOKUP(INPUT!M1212&amp;INPUT!N1212,CHOOSE({1,2},INPUT!$A$3:$A$5000&amp;INPUT!$C$3:$C$5000,INPUT!$D$3:$D$5000),2,FALSE),"")</f>
        <v>TEC-TAC</v>
      </c>
      <c r="I1217" s="46">
        <f>IF(INPUT!P1212="","",INPUT!P1212)</f>
        <v>81.5</v>
      </c>
      <c r="J1217" s="46">
        <f>IF(INPUT!Q1212="","",INPUT!Q1212)</f>
        <v>80.400000000000006</v>
      </c>
      <c r="K1217" s="46">
        <f>IFERROR(IF(OR(INPUT!P1212="",INPUT!Q1212=""),"",INPUT!P1212-INPUT!Q1212),"")</f>
        <v>1.0999999999999943</v>
      </c>
      <c r="L1217" s="48">
        <f>IFERROR(IF(OR(INPUT!P1212="",INPUT!Q1212="",INPUT!P1212=0),"",(INPUT!P1212-INPUT!Q1212)/INPUT!P1212),"")</f>
        <v>1.3496932515337354E-2</v>
      </c>
    </row>
    <row r="1218" spans="1:12" ht="18" hidden="1" customHeight="1" x14ac:dyDescent="0.2">
      <c r="A1218" s="11">
        <f>IF(INPUT!M1213="","",INPUT!M1213)</f>
        <v>45978</v>
      </c>
      <c r="B1218" s="11">
        <f>IF(INPUT!M1213="","",INPUT!M1213-WEEKDAY(INPUT!M1213,2)+1)</f>
        <v>45978</v>
      </c>
      <c r="C1218" s="20">
        <f>IFERROR(_xlfn.ISOWEEKNUM(INPUT!M1213),"")</f>
        <v>47</v>
      </c>
      <c r="D1218" s="20">
        <f>IFERROR(YEAR(INPUT!M1213),"")</f>
        <v>2025</v>
      </c>
      <c r="E1218" t="str">
        <f>IF(INPUT!O1213="","",INPUT!O1213)</f>
        <v>JAVI</v>
      </c>
      <c r="F1218" t="str">
        <f>IF(INPUT!N1213="","",INPUT!N1213)</f>
        <v>M</v>
      </c>
      <c r="G1218" t="str" cm="1">
        <f t="array" ref="G1218">IFERROR(VLOOKUP(INPUT!M1213&amp;INPUT!N1213,CHOOSE({1,2},INPUT!$A$3:$A$5000&amp;INPUT!$C$3:$C$5000,INPUT!$F$3:$F$5000),2,FALSE),"")</f>
        <v>PRE-TEMPORADA</v>
      </c>
      <c r="H1218" t="str" cm="1">
        <f t="array" ref="H1218">IFERROR(VLOOKUP(INPUT!M1213&amp;INPUT!N1213,CHOOSE({1,2},INPUT!$A$3:$A$5000&amp;INPUT!$C$3:$C$5000,INPUT!$D$3:$D$5000),2,FALSE),"")</f>
        <v>TEC-TAC</v>
      </c>
      <c r="I1218" s="46">
        <f>IF(INPUT!P1213="","",INPUT!P1213)</f>
        <v>77.8</v>
      </c>
      <c r="J1218" s="46">
        <f>IF(INPUT!Q1213="","",INPUT!Q1213)</f>
        <v>77.5</v>
      </c>
      <c r="K1218" s="46">
        <f>IFERROR(IF(OR(INPUT!P1213="",INPUT!Q1213=""),"",INPUT!P1213-INPUT!Q1213),"")</f>
        <v>0.29999999999999716</v>
      </c>
      <c r="L1218" s="48">
        <f>IFERROR(IF(OR(INPUT!P1213="",INPUT!Q1213="",INPUT!P1213=0),"",(INPUT!P1213-INPUT!Q1213)/INPUT!P1213),"")</f>
        <v>3.856041131105362E-3</v>
      </c>
    </row>
    <row r="1219" spans="1:12" ht="18" hidden="1" customHeight="1" x14ac:dyDescent="0.2">
      <c r="A1219" s="11">
        <f>IF(INPUT!M1214="","",INPUT!M1214)</f>
        <v>45978</v>
      </c>
      <c r="B1219" s="11">
        <f>IF(INPUT!M1214="","",INPUT!M1214-WEEKDAY(INPUT!M1214,2)+1)</f>
        <v>45978</v>
      </c>
      <c r="C1219" s="20">
        <f>IFERROR(_xlfn.ISOWEEKNUM(INPUT!M1214),"")</f>
        <v>47</v>
      </c>
      <c r="D1219" s="20">
        <f>IFERROR(YEAR(INPUT!M1214),"")</f>
        <v>2025</v>
      </c>
      <c r="E1219" t="str">
        <f>IF(INPUT!O1214="","",INPUT!O1214)</f>
        <v>BARONA</v>
      </c>
      <c r="F1219" t="str">
        <f>IF(INPUT!N1214="","",INPUT!N1214)</f>
        <v>M</v>
      </c>
      <c r="G1219" t="str" cm="1">
        <f t="array" ref="G1219">IFERROR(VLOOKUP(INPUT!M1214&amp;INPUT!N1214,CHOOSE({1,2},INPUT!$A$3:$A$5000&amp;INPUT!$C$3:$C$5000,INPUT!$F$3:$F$5000),2,FALSE),"")</f>
        <v>PRE-TEMPORADA</v>
      </c>
      <c r="H1219" t="str" cm="1">
        <f t="array" ref="H1219">IFERROR(VLOOKUP(INPUT!M1214&amp;INPUT!N1214,CHOOSE({1,2},INPUT!$A$3:$A$5000&amp;INPUT!$C$3:$C$5000,INPUT!$D$3:$D$5000),2,FALSE),"")</f>
        <v>TEC-TAC</v>
      </c>
      <c r="I1219" s="46">
        <f>IF(INPUT!P1214="","",INPUT!P1214)</f>
        <v>71.3</v>
      </c>
      <c r="J1219" s="46">
        <f>IF(INPUT!Q1214="","",INPUT!Q1214)</f>
        <v>71.3</v>
      </c>
      <c r="K1219" s="46">
        <f>IFERROR(IF(OR(INPUT!P1214="",INPUT!Q1214=""),"",INPUT!P1214-INPUT!Q1214),"")</f>
        <v>0</v>
      </c>
      <c r="L1219" s="48">
        <f>IFERROR(IF(OR(INPUT!P1214="",INPUT!Q1214="",INPUT!P1214=0),"",(INPUT!P1214-INPUT!Q1214)/INPUT!P1214),"")</f>
        <v>0</v>
      </c>
    </row>
    <row r="1220" spans="1:12" ht="18" hidden="1" customHeight="1" x14ac:dyDescent="0.2">
      <c r="A1220" s="11">
        <f>IF(INPUT!M1215="","",INPUT!M1215)</f>
        <v>45978</v>
      </c>
      <c r="B1220" s="11">
        <f>IF(INPUT!M1215="","",INPUT!M1215-WEEKDAY(INPUT!M1215,2)+1)</f>
        <v>45978</v>
      </c>
      <c r="C1220" s="20">
        <f>IFERROR(_xlfn.ISOWEEKNUM(INPUT!M1215),"")</f>
        <v>47</v>
      </c>
      <c r="D1220" s="20">
        <f>IFERROR(YEAR(INPUT!M1215),"")</f>
        <v>2025</v>
      </c>
      <c r="E1220" t="str">
        <f>IF(INPUT!O1215="","",INPUT!O1215)</f>
        <v>CARLOS</v>
      </c>
      <c r="F1220" t="str">
        <f>IF(INPUT!N1215="","",INPUT!N1215)</f>
        <v>M</v>
      </c>
      <c r="G1220" t="str" cm="1">
        <f t="array" ref="G1220">IFERROR(VLOOKUP(INPUT!M1215&amp;INPUT!N1215,CHOOSE({1,2},INPUT!$A$3:$A$5000&amp;INPUT!$C$3:$C$5000,INPUT!$F$3:$F$5000),2,FALSE),"")</f>
        <v>PRE-TEMPORADA</v>
      </c>
      <c r="H1220" t="str" cm="1">
        <f t="array" ref="H1220">IFERROR(VLOOKUP(INPUT!M1215&amp;INPUT!N1215,CHOOSE({1,2},INPUT!$A$3:$A$5000&amp;INPUT!$C$3:$C$5000,INPUT!$D$3:$D$5000),2,FALSE),"")</f>
        <v>TEC-TAC</v>
      </c>
      <c r="I1220" s="46">
        <f>IF(INPUT!P1215="","",INPUT!P1215)</f>
        <v>67.599999999999994</v>
      </c>
      <c r="J1220" s="46">
        <f>IF(INPUT!Q1215="","",INPUT!Q1215)</f>
        <v>67.5</v>
      </c>
      <c r="K1220" s="46">
        <f>IFERROR(IF(OR(INPUT!P1215="",INPUT!Q1215=""),"",INPUT!P1215-INPUT!Q1215),"")</f>
        <v>9.9999999999994316E-2</v>
      </c>
      <c r="L1220" s="48">
        <f>IFERROR(IF(OR(INPUT!P1215="",INPUT!Q1215="",INPUT!P1215=0),"",(INPUT!P1215-INPUT!Q1215)/INPUT!P1215),"")</f>
        <v>1.4792899408283184E-3</v>
      </c>
    </row>
    <row r="1221" spans="1:12" ht="18" hidden="1" customHeight="1" x14ac:dyDescent="0.2">
      <c r="A1221" s="11">
        <f>IF(INPUT!M1216="","",INPUT!M1216)</f>
        <v>45978</v>
      </c>
      <c r="B1221" s="11">
        <f>IF(INPUT!M1216="","",INPUT!M1216-WEEKDAY(INPUT!M1216,2)+1)</f>
        <v>45978</v>
      </c>
      <c r="C1221" s="20">
        <f>IFERROR(_xlfn.ISOWEEKNUM(INPUT!M1216),"")</f>
        <v>47</v>
      </c>
      <c r="D1221" s="20">
        <f>IFERROR(YEAR(INPUT!M1216),"")</f>
        <v>2025</v>
      </c>
      <c r="E1221" t="str">
        <f>IF(INPUT!O1216="","",INPUT!O1216)</f>
        <v>RUBIO</v>
      </c>
      <c r="F1221" t="str">
        <f>IF(INPUT!N1216="","",INPUT!N1216)</f>
        <v>M</v>
      </c>
      <c r="G1221" t="str" cm="1">
        <f t="array" ref="G1221">IFERROR(VLOOKUP(INPUT!M1216&amp;INPUT!N1216,CHOOSE({1,2},INPUT!$A$3:$A$5000&amp;INPUT!$C$3:$C$5000,INPUT!$F$3:$F$5000),2,FALSE),"")</f>
        <v>PRE-TEMPORADA</v>
      </c>
      <c r="H1221" t="str" cm="1">
        <f t="array" ref="H1221">IFERROR(VLOOKUP(INPUT!M1216&amp;INPUT!N1216,CHOOSE({1,2},INPUT!$A$3:$A$5000&amp;INPUT!$C$3:$C$5000,INPUT!$D$3:$D$5000),2,FALSE),"")</f>
        <v>TEC-TAC</v>
      </c>
      <c r="I1221" s="46">
        <f>IF(INPUT!P1216="","",INPUT!P1216)</f>
        <v>74.5</v>
      </c>
      <c r="J1221" s="46">
        <f>IF(INPUT!Q1216="","",INPUT!Q1216)</f>
        <v>74.7</v>
      </c>
      <c r="K1221" s="46">
        <f>IFERROR(IF(OR(INPUT!P1216="",INPUT!Q1216=""),"",INPUT!P1216-INPUT!Q1216),"")</f>
        <v>-0.20000000000000284</v>
      </c>
      <c r="L1221" s="48">
        <f>IFERROR(IF(OR(INPUT!P1216="",INPUT!Q1216="",INPUT!P1216=0),"",(INPUT!P1216-INPUT!Q1216)/INPUT!P1216),"")</f>
        <v>-2.6845637583892998E-3</v>
      </c>
    </row>
    <row r="1222" spans="1:12" ht="18" hidden="1" customHeight="1" x14ac:dyDescent="0.2">
      <c r="A1222" s="11">
        <f>IF(INPUT!M1217="","",INPUT!M1217)</f>
        <v>45978</v>
      </c>
      <c r="B1222" s="11">
        <f>IF(INPUT!M1217="","",INPUT!M1217-WEEKDAY(INPUT!M1217,2)+1)</f>
        <v>45978</v>
      </c>
      <c r="C1222" s="20">
        <f>IFERROR(_xlfn.ISOWEEKNUM(INPUT!M1217),"")</f>
        <v>47</v>
      </c>
      <c r="D1222" s="20">
        <f>IFERROR(YEAR(INPUT!M1217),"")</f>
        <v>2025</v>
      </c>
      <c r="E1222" t="str">
        <f>IF(INPUT!O1217="","",INPUT!O1217)</f>
        <v>DANI</v>
      </c>
      <c r="F1222" t="str">
        <f>IF(INPUT!N1217="","",INPUT!N1217)</f>
        <v>M</v>
      </c>
      <c r="G1222" t="str" cm="1">
        <f t="array" ref="G1222">IFERROR(VLOOKUP(INPUT!M1217&amp;INPUT!N1217,CHOOSE({1,2},INPUT!$A$3:$A$5000&amp;INPUT!$C$3:$C$5000,INPUT!$F$3:$F$5000),2,FALSE),"")</f>
        <v>PRE-TEMPORADA</v>
      </c>
      <c r="H1222" t="str" cm="1">
        <f t="array" ref="H1222">IFERROR(VLOOKUP(INPUT!M1217&amp;INPUT!N1217,CHOOSE({1,2},INPUT!$A$3:$A$5000&amp;INPUT!$C$3:$C$5000,INPUT!$D$3:$D$5000),2,FALSE),"")</f>
        <v>TEC-TAC</v>
      </c>
      <c r="I1222" s="46">
        <f>IF(INPUT!P1217="","",INPUT!P1217)</f>
        <v>93.9</v>
      </c>
      <c r="J1222" s="46">
        <f>IF(INPUT!Q1217="","",INPUT!Q1217)</f>
        <v>92.8</v>
      </c>
      <c r="K1222" s="46">
        <f>IFERROR(IF(OR(INPUT!P1217="",INPUT!Q1217=""),"",INPUT!P1217-INPUT!Q1217),"")</f>
        <v>1.1000000000000085</v>
      </c>
      <c r="L1222" s="48">
        <f>IFERROR(IF(OR(INPUT!P1217="",INPUT!Q1217="",INPUT!P1217=0),"",(INPUT!P1217-INPUT!Q1217)/INPUT!P1217),"")</f>
        <v>1.1714589989350464E-2</v>
      </c>
    </row>
    <row r="1223" spans="1:12" ht="18" hidden="1" customHeight="1" x14ac:dyDescent="0.2">
      <c r="A1223" s="11">
        <f>IF(INPUT!M1218="","",INPUT!M1218)</f>
        <v>45978</v>
      </c>
      <c r="B1223" s="11">
        <f>IF(INPUT!M1218="","",INPUT!M1218-WEEKDAY(INPUT!M1218,2)+1)</f>
        <v>45978</v>
      </c>
      <c r="C1223" s="20">
        <f>IFERROR(_xlfn.ISOWEEKNUM(INPUT!M1218),"")</f>
        <v>47</v>
      </c>
      <c r="D1223" s="20">
        <f>IFERROR(YEAR(INPUT!M1218),"")</f>
        <v>2025</v>
      </c>
      <c r="E1223" t="str">
        <f>IF(INPUT!O1218="","",INPUT!O1218)</f>
        <v>JAIME</v>
      </c>
      <c r="F1223" t="str">
        <f>IF(INPUT!N1218="","",INPUT!N1218)</f>
        <v>M</v>
      </c>
      <c r="G1223" t="str" cm="1">
        <f t="array" ref="G1223">IFERROR(VLOOKUP(INPUT!M1218&amp;INPUT!N1218,CHOOSE({1,2},INPUT!$A$3:$A$5000&amp;INPUT!$C$3:$C$5000,INPUT!$F$3:$F$5000),2,FALSE),"")</f>
        <v>PRE-TEMPORADA</v>
      </c>
      <c r="H1223" t="str" cm="1">
        <f t="array" ref="H1223">IFERROR(VLOOKUP(INPUT!M1218&amp;INPUT!N1218,CHOOSE({1,2},INPUT!$A$3:$A$5000&amp;INPUT!$C$3:$C$5000,INPUT!$D$3:$D$5000),2,FALSE),"")</f>
        <v>TEC-TAC</v>
      </c>
      <c r="I1223" s="46">
        <f>IF(INPUT!P1218="","",INPUT!P1218)</f>
        <v>76.400000000000006</v>
      </c>
      <c r="J1223" s="46">
        <f>IF(INPUT!Q1218="","",INPUT!Q1218)</f>
        <v>76.2</v>
      </c>
      <c r="K1223" s="46">
        <f>IFERROR(IF(OR(INPUT!P1218="",INPUT!Q1218=""),"",INPUT!P1218-INPUT!Q1218),"")</f>
        <v>0.20000000000000284</v>
      </c>
      <c r="L1223" s="48">
        <f>IFERROR(IF(OR(INPUT!P1218="",INPUT!Q1218="",INPUT!P1218=0),"",(INPUT!P1218-INPUT!Q1218)/INPUT!P1218),"")</f>
        <v>2.6178010471204559E-3</v>
      </c>
    </row>
    <row r="1224" spans="1:12" ht="18" hidden="1" customHeight="1" x14ac:dyDescent="0.2">
      <c r="A1224" s="11">
        <f>IF(INPUT!M1219="","",INPUT!M1219)</f>
        <v>45982</v>
      </c>
      <c r="B1224" s="11">
        <f>IF(INPUT!M1219="","",INPUT!M1219-WEEKDAY(INPUT!M1219,2)+1)</f>
        <v>45978</v>
      </c>
      <c r="C1224" s="20">
        <f>IFERROR(_xlfn.ISOWEEKNUM(INPUT!M1219),"")</f>
        <v>47</v>
      </c>
      <c r="D1224" s="20">
        <f>IFERROR(YEAR(INPUT!M1219),"")</f>
        <v>2025</v>
      </c>
      <c r="E1224" t="str">
        <f>IF(INPUT!O1219="","",INPUT!O1219)</f>
        <v>HERRERO</v>
      </c>
      <c r="F1224" t="str">
        <f>IF(INPUT!N1219="","",INPUT!N1219)</f>
        <v>M</v>
      </c>
      <c r="G1224" t="str" cm="1">
        <f t="array" ref="G1224">IFERROR(VLOOKUP(INPUT!M1219&amp;INPUT!N1219,CHOOSE({1,2},INPUT!$A$3:$A$5000&amp;INPUT!$C$3:$C$5000,INPUT!$F$3:$F$5000),2,FALSE),"")</f>
        <v>PRE-TEMPORADA</v>
      </c>
      <c r="H1224" t="str" cm="1">
        <f t="array" ref="H1224">IFERROR(VLOOKUP(INPUT!M1219&amp;INPUT!N1219,CHOOSE({1,2},INPUT!$A$3:$A$5000&amp;INPUT!$C$3:$C$5000,INPUT!$D$3:$D$5000),2,FALSE),"")</f>
        <v>TEC-TAC</v>
      </c>
      <c r="I1224" s="46">
        <f>IF(INPUT!P1219="","",INPUT!P1219)</f>
        <v>77</v>
      </c>
      <c r="J1224" s="46">
        <f>IF(INPUT!Q1219="","",INPUT!Q1219)</f>
        <v>77</v>
      </c>
      <c r="K1224" s="46">
        <f>IFERROR(IF(OR(INPUT!P1219="",INPUT!Q1219=""),"",INPUT!P1219-INPUT!Q1219),"")</f>
        <v>0</v>
      </c>
      <c r="L1224" s="48">
        <f>IFERROR(IF(OR(INPUT!P1219="",INPUT!Q1219="",INPUT!P1219=0),"",(INPUT!P1219-INPUT!Q1219)/INPUT!P1219),"")</f>
        <v>0</v>
      </c>
    </row>
    <row r="1225" spans="1:12" ht="18" hidden="1" customHeight="1" x14ac:dyDescent="0.2">
      <c r="A1225" s="11">
        <f>IF(INPUT!M1220="","",INPUT!M1220)</f>
        <v>45982</v>
      </c>
      <c r="B1225" s="11">
        <f>IF(INPUT!M1220="","",INPUT!M1220-WEEKDAY(INPUT!M1220,2)+1)</f>
        <v>45978</v>
      </c>
      <c r="C1225" s="20">
        <f>IFERROR(_xlfn.ISOWEEKNUM(INPUT!M1220),"")</f>
        <v>47</v>
      </c>
      <c r="D1225" s="20">
        <f>IFERROR(YEAR(INPUT!M1220),"")</f>
        <v>2025</v>
      </c>
      <c r="E1225" t="str">
        <f>IF(INPUT!O1220="","",INPUT!O1220)</f>
        <v>GARCIA</v>
      </c>
      <c r="F1225" t="str">
        <f>IF(INPUT!N1220="","",INPUT!N1220)</f>
        <v>M</v>
      </c>
      <c r="G1225" t="str" cm="1">
        <f t="array" ref="G1225">IFERROR(VLOOKUP(INPUT!M1220&amp;INPUT!N1220,CHOOSE({1,2},INPUT!$A$3:$A$5000&amp;INPUT!$C$3:$C$5000,INPUT!$F$3:$F$5000),2,FALSE),"")</f>
        <v>PRE-TEMPORADA</v>
      </c>
      <c r="H1225" t="str" cm="1">
        <f t="array" ref="H1225">IFERROR(VLOOKUP(INPUT!M1220&amp;INPUT!N1220,CHOOSE({1,2},INPUT!$A$3:$A$5000&amp;INPUT!$C$3:$C$5000,INPUT!$D$3:$D$5000),2,FALSE),"")</f>
        <v>TEC-TAC</v>
      </c>
      <c r="I1225" s="46">
        <f>IF(INPUT!P1220="","",INPUT!P1220)</f>
        <v>79</v>
      </c>
      <c r="J1225" s="46">
        <f>IF(INPUT!Q1220="","",INPUT!Q1220)</f>
        <v>78.8</v>
      </c>
      <c r="K1225" s="46">
        <f>IFERROR(IF(OR(INPUT!P1220="",INPUT!Q1220=""),"",INPUT!P1220-INPUT!Q1220),"")</f>
        <v>0.20000000000000284</v>
      </c>
      <c r="L1225" s="48">
        <f>IFERROR(IF(OR(INPUT!P1220="",INPUT!Q1220="",INPUT!P1220=0),"",(INPUT!P1220-INPUT!Q1220)/INPUT!P1220),"")</f>
        <v>2.5316455696202892E-3</v>
      </c>
    </row>
    <row r="1226" spans="1:12" ht="18" hidden="1" customHeight="1" x14ac:dyDescent="0.2">
      <c r="A1226" s="11">
        <f>IF(INPUT!M1221="","",INPUT!M1221)</f>
        <v>45982</v>
      </c>
      <c r="B1226" s="11">
        <f>IF(INPUT!M1221="","",INPUT!M1221-WEEKDAY(INPUT!M1221,2)+1)</f>
        <v>45978</v>
      </c>
      <c r="C1226" s="20">
        <f>IFERROR(_xlfn.ISOWEEKNUM(INPUT!M1221),"")</f>
        <v>47</v>
      </c>
      <c r="D1226" s="20">
        <f>IFERROR(YEAR(INPUT!M1221),"")</f>
        <v>2025</v>
      </c>
      <c r="E1226" t="str">
        <f>IF(INPUT!O1221="","",INPUT!O1221)</f>
        <v>CECILIO</v>
      </c>
      <c r="F1226" t="str">
        <f>IF(INPUT!N1221="","",INPUT!N1221)</f>
        <v>M</v>
      </c>
      <c r="G1226" t="str" cm="1">
        <f t="array" ref="G1226">IFERROR(VLOOKUP(INPUT!M1221&amp;INPUT!N1221,CHOOSE({1,2},INPUT!$A$3:$A$5000&amp;INPUT!$C$3:$C$5000,INPUT!$F$3:$F$5000),2,FALSE),"")</f>
        <v>PRE-TEMPORADA</v>
      </c>
      <c r="H1226" t="str" cm="1">
        <f t="array" ref="H1226">IFERROR(VLOOKUP(INPUT!M1221&amp;INPUT!N1221,CHOOSE({1,2},INPUT!$A$3:$A$5000&amp;INPUT!$C$3:$C$5000,INPUT!$D$3:$D$5000),2,FALSE),"")</f>
        <v>TEC-TAC</v>
      </c>
      <c r="I1226" s="46">
        <f>IF(INPUT!P1221="","",INPUT!P1221)</f>
        <v>66.900000000000006</v>
      </c>
      <c r="J1226" s="46">
        <f>IF(INPUT!Q1221="","",INPUT!Q1221)</f>
        <v>66.900000000000006</v>
      </c>
      <c r="K1226" s="46">
        <f>IFERROR(IF(OR(INPUT!P1221="",INPUT!Q1221=""),"",INPUT!P1221-INPUT!Q1221),"")</f>
        <v>0</v>
      </c>
      <c r="L1226" s="48">
        <f>IFERROR(IF(OR(INPUT!P1221="",INPUT!Q1221="",INPUT!P1221=0),"",(INPUT!P1221-INPUT!Q1221)/INPUT!P1221),"")</f>
        <v>0</v>
      </c>
    </row>
    <row r="1227" spans="1:12" ht="18" hidden="1" customHeight="1" x14ac:dyDescent="0.2">
      <c r="A1227" s="11">
        <f>IF(INPUT!M1222="","",INPUT!M1222)</f>
        <v>45982</v>
      </c>
      <c r="B1227" s="11">
        <f>IF(INPUT!M1222="","",INPUT!M1222-WEEKDAY(INPUT!M1222,2)+1)</f>
        <v>45978</v>
      </c>
      <c r="C1227" s="20">
        <f>IFERROR(_xlfn.ISOWEEKNUM(INPUT!M1222),"")</f>
        <v>47</v>
      </c>
      <c r="D1227" s="20">
        <f>IFERROR(YEAR(INPUT!M1222),"")</f>
        <v>2025</v>
      </c>
      <c r="E1227" t="str">
        <f>IF(INPUT!O1222="","",INPUT!O1222)</f>
        <v>CHAGUINHA</v>
      </c>
      <c r="F1227" t="str">
        <f>IF(INPUT!N1222="","",INPUT!N1222)</f>
        <v>M</v>
      </c>
      <c r="G1227" t="str" cm="1">
        <f t="array" ref="G1227">IFERROR(VLOOKUP(INPUT!M1222&amp;INPUT!N1222,CHOOSE({1,2},INPUT!$A$3:$A$5000&amp;INPUT!$C$3:$C$5000,INPUT!$F$3:$F$5000),2,FALSE),"")</f>
        <v>PRE-TEMPORADA</v>
      </c>
      <c r="H1227" t="str" cm="1">
        <f t="array" ref="H1227">IFERROR(VLOOKUP(INPUT!M1222&amp;INPUT!N1222,CHOOSE({1,2},INPUT!$A$3:$A$5000&amp;INPUT!$C$3:$C$5000,INPUT!$D$3:$D$5000),2,FALSE),"")</f>
        <v>TEC-TAC</v>
      </c>
      <c r="I1227" s="46">
        <f>IF(INPUT!P1222="","",INPUT!P1222)</f>
        <v>69.900000000000006</v>
      </c>
      <c r="J1227" s="46">
        <f>IF(INPUT!Q1222="","",INPUT!Q1222)</f>
        <v>68.599999999999994</v>
      </c>
      <c r="K1227" s="46">
        <f>IFERROR(IF(OR(INPUT!P1222="",INPUT!Q1222=""),"",INPUT!P1222-INPUT!Q1222),"")</f>
        <v>1.3000000000000114</v>
      </c>
      <c r="L1227" s="48">
        <f>IFERROR(IF(OR(INPUT!P1222="",INPUT!Q1222="",INPUT!P1222=0),"",(INPUT!P1222-INPUT!Q1222)/INPUT!P1222),"")</f>
        <v>1.859799713876983E-2</v>
      </c>
    </row>
    <row r="1228" spans="1:12" ht="18" hidden="1" customHeight="1" x14ac:dyDescent="0.2">
      <c r="A1228" s="11">
        <f>IF(INPUT!M1223="","",INPUT!M1223)</f>
        <v>45982</v>
      </c>
      <c r="B1228" s="11">
        <f>IF(INPUT!M1223="","",INPUT!M1223-WEEKDAY(INPUT!M1223,2)+1)</f>
        <v>45978</v>
      </c>
      <c r="C1228" s="20">
        <f>IFERROR(_xlfn.ISOWEEKNUM(INPUT!M1223),"")</f>
        <v>47</v>
      </c>
      <c r="D1228" s="20">
        <f>IFERROR(YEAR(INPUT!M1223),"")</f>
        <v>2025</v>
      </c>
      <c r="E1228" t="str">
        <f>IF(INPUT!O1223="","",INPUT!O1223)</f>
        <v>RAUL</v>
      </c>
      <c r="F1228" t="str">
        <f>IF(INPUT!N1223="","",INPUT!N1223)</f>
        <v>M</v>
      </c>
      <c r="G1228" t="str" cm="1">
        <f t="array" ref="G1228">IFERROR(VLOOKUP(INPUT!M1223&amp;INPUT!N1223,CHOOSE({1,2},INPUT!$A$3:$A$5000&amp;INPUT!$C$3:$C$5000,INPUT!$F$3:$F$5000),2,FALSE),"")</f>
        <v>PRE-TEMPORADA</v>
      </c>
      <c r="H1228" t="str" cm="1">
        <f t="array" ref="H1228">IFERROR(VLOOKUP(INPUT!M1223&amp;INPUT!N1223,CHOOSE({1,2},INPUT!$A$3:$A$5000&amp;INPUT!$C$3:$C$5000,INPUT!$D$3:$D$5000),2,FALSE),"")</f>
        <v>TEC-TAC</v>
      </c>
      <c r="I1228" s="46">
        <f>IF(INPUT!P1223="","",INPUT!P1223)</f>
        <v>81.2</v>
      </c>
      <c r="J1228" s="46">
        <f>IF(INPUT!Q1223="","",INPUT!Q1223)</f>
        <v>81</v>
      </c>
      <c r="K1228" s="46">
        <f>IFERROR(IF(OR(INPUT!P1223="",INPUT!Q1223=""),"",INPUT!P1223-INPUT!Q1223),"")</f>
        <v>0.20000000000000284</v>
      </c>
      <c r="L1228" s="48">
        <f>IFERROR(IF(OR(INPUT!P1223="",INPUT!Q1223="",INPUT!P1223=0),"",(INPUT!P1223-INPUT!Q1223)/INPUT!P1223),"")</f>
        <v>2.4630541871921529E-3</v>
      </c>
    </row>
    <row r="1229" spans="1:12" ht="18" hidden="1" customHeight="1" x14ac:dyDescent="0.2">
      <c r="A1229" s="11">
        <f>IF(INPUT!M1224="","",INPUT!M1224)</f>
        <v>45982</v>
      </c>
      <c r="B1229" s="11">
        <f>IF(INPUT!M1224="","",INPUT!M1224-WEEKDAY(INPUT!M1224,2)+1)</f>
        <v>45978</v>
      </c>
      <c r="C1229" s="20">
        <f>IFERROR(_xlfn.ISOWEEKNUM(INPUT!M1224),"")</f>
        <v>47</v>
      </c>
      <c r="D1229" s="20">
        <f>IFERROR(YEAR(INPUT!M1224),"")</f>
        <v>2025</v>
      </c>
      <c r="E1229" t="str">
        <f>IF(INPUT!O1224="","",INPUT!O1224)</f>
        <v>HARRISON</v>
      </c>
      <c r="F1229" t="str">
        <f>IF(INPUT!N1224="","",INPUT!N1224)</f>
        <v>M</v>
      </c>
      <c r="G1229" t="str" cm="1">
        <f t="array" ref="G1229">IFERROR(VLOOKUP(INPUT!M1224&amp;INPUT!N1224,CHOOSE({1,2},INPUT!$A$3:$A$5000&amp;INPUT!$C$3:$C$5000,INPUT!$F$3:$F$5000),2,FALSE),"")</f>
        <v>PRE-TEMPORADA</v>
      </c>
      <c r="H1229" t="str" cm="1">
        <f t="array" ref="H1229">IFERROR(VLOOKUP(INPUT!M1224&amp;INPUT!N1224,CHOOSE({1,2},INPUT!$A$3:$A$5000&amp;INPUT!$C$3:$C$5000,INPUT!$D$3:$D$5000),2,FALSE),"")</f>
        <v>TEC-TAC</v>
      </c>
      <c r="I1229" s="46">
        <f>IF(INPUT!P1224="","",INPUT!P1224)</f>
        <v>70</v>
      </c>
      <c r="J1229" s="46">
        <f>IF(INPUT!Q1224="","",INPUT!Q1224)</f>
        <v>70.3</v>
      </c>
      <c r="K1229" s="46">
        <f>IFERROR(IF(OR(INPUT!P1224="",INPUT!Q1224=""),"",INPUT!P1224-INPUT!Q1224),"")</f>
        <v>-0.29999999999999716</v>
      </c>
      <c r="L1229" s="48">
        <f>IFERROR(IF(OR(INPUT!P1224="",INPUT!Q1224="",INPUT!P1224=0),"",(INPUT!P1224-INPUT!Q1224)/INPUT!P1224),"")</f>
        <v>-4.2857142857142452E-3</v>
      </c>
    </row>
    <row r="1230" spans="1:12" ht="18" hidden="1" customHeight="1" x14ac:dyDescent="0.2">
      <c r="A1230" s="11">
        <f>IF(INPUT!M1225="","",INPUT!M1225)</f>
        <v>45982</v>
      </c>
      <c r="B1230" s="11">
        <f>IF(INPUT!M1225="","",INPUT!M1225-WEEKDAY(INPUT!M1225,2)+1)</f>
        <v>45978</v>
      </c>
      <c r="C1230" s="20">
        <f>IFERROR(_xlfn.ISOWEEKNUM(INPUT!M1225),"")</f>
        <v>47</v>
      </c>
      <c r="D1230" s="20">
        <f>IFERROR(YEAR(INPUT!M1225),"")</f>
        <v>2025</v>
      </c>
      <c r="E1230" t="str">
        <f>IF(INPUT!O1225="","",INPUT!O1225)</f>
        <v>RAYA</v>
      </c>
      <c r="F1230" t="str">
        <f>IF(INPUT!N1225="","",INPUT!N1225)</f>
        <v>M</v>
      </c>
      <c r="G1230" t="str" cm="1">
        <f t="array" ref="G1230">IFERROR(VLOOKUP(INPUT!M1225&amp;INPUT!N1225,CHOOSE({1,2},INPUT!$A$3:$A$5000&amp;INPUT!$C$3:$C$5000,INPUT!$F$3:$F$5000),2,FALSE),"")</f>
        <v>PRE-TEMPORADA</v>
      </c>
      <c r="H1230" t="str" cm="1">
        <f t="array" ref="H1230">IFERROR(VLOOKUP(INPUT!M1225&amp;INPUT!N1225,CHOOSE({1,2},INPUT!$A$3:$A$5000&amp;INPUT!$C$3:$C$5000,INPUT!$D$3:$D$5000),2,FALSE),"")</f>
        <v>TEC-TAC</v>
      </c>
      <c r="I1230" s="46">
        <f>IF(INPUT!P1225="","",INPUT!P1225)</f>
        <v>82.1</v>
      </c>
      <c r="J1230" s="46">
        <f>IF(INPUT!Q1225="","",INPUT!Q1225)</f>
        <v>80.900000000000006</v>
      </c>
      <c r="K1230" s="46">
        <f>IFERROR(IF(OR(INPUT!P1225="",INPUT!Q1225=""),"",INPUT!P1225-INPUT!Q1225),"")</f>
        <v>1.1999999999999886</v>
      </c>
      <c r="L1230" s="48">
        <f>IFERROR(IF(OR(INPUT!P1225="",INPUT!Q1225="",INPUT!P1225=0),"",(INPUT!P1225-INPUT!Q1225)/INPUT!P1225),"")</f>
        <v>1.4616321559074162E-2</v>
      </c>
    </row>
    <row r="1231" spans="1:12" ht="18" customHeight="1" x14ac:dyDescent="0.2">
      <c r="A1231" s="11">
        <f>IF(INPUT!M1226="","",INPUT!M1226)</f>
        <v>45982</v>
      </c>
      <c r="B1231" s="11">
        <f>IF(INPUT!M1226="","",INPUT!M1226-WEEKDAY(INPUT!M1226,2)+1)</f>
        <v>45978</v>
      </c>
      <c r="C1231" s="20">
        <f>IFERROR(_xlfn.ISOWEEKNUM(INPUT!M1226),"")</f>
        <v>47</v>
      </c>
      <c r="D1231" s="20">
        <f>IFERROR(YEAR(INPUT!M1226),"")</f>
        <v>2025</v>
      </c>
      <c r="E1231" t="str">
        <f>IF(INPUT!O1226="","",INPUT!O1226)</f>
        <v>JAVI</v>
      </c>
      <c r="F1231" t="str">
        <f>IF(INPUT!N1226="","",INPUT!N1226)</f>
        <v>M</v>
      </c>
      <c r="G1231" t="str" cm="1">
        <f t="array" ref="G1231">IFERROR(VLOOKUP(INPUT!M1226&amp;INPUT!N1226,CHOOSE({1,2},INPUT!$A$3:$A$5000&amp;INPUT!$C$3:$C$5000,INPUT!$F$3:$F$5000),2,FALSE),"")</f>
        <v>PRE-TEMPORADA</v>
      </c>
      <c r="H1231" t="str" cm="1">
        <f t="array" ref="H1231">IFERROR(VLOOKUP(INPUT!M1226&amp;INPUT!N1226,CHOOSE({1,2},INPUT!$A$3:$A$5000&amp;INPUT!$C$3:$C$5000,INPUT!$D$3:$D$5000),2,FALSE),"")</f>
        <v>TEC-TAC</v>
      </c>
      <c r="I1231" s="46">
        <f>IF(INPUT!P1226="","",INPUT!P1226)</f>
        <v>77.8</v>
      </c>
      <c r="J1231" s="46">
        <f>IF(INPUT!Q1226="","",INPUT!Q1226)</f>
        <v>77.599999999999994</v>
      </c>
      <c r="K1231" s="46">
        <f>IFERROR(IF(OR(INPUT!P1226="",INPUT!Q1226=""),"",INPUT!P1226-INPUT!Q1226),"")</f>
        <v>0.20000000000000284</v>
      </c>
      <c r="L1231" s="48">
        <f>IFERROR(IF(OR(INPUT!P1226="",INPUT!Q1226="",INPUT!P1226=0),"",(INPUT!P1226-INPUT!Q1226)/INPUT!P1226),"")</f>
        <v>2.5706940874036356E-3</v>
      </c>
    </row>
    <row r="1232" spans="1:12" ht="18" customHeight="1" x14ac:dyDescent="0.2">
      <c r="A1232" s="11">
        <f>IF(INPUT!M1227="","",INPUT!M1227)</f>
        <v>45982</v>
      </c>
      <c r="B1232" s="11">
        <f>IF(INPUT!M1227="","",INPUT!M1227-WEEKDAY(INPUT!M1227,2)+1)</f>
        <v>45978</v>
      </c>
      <c r="C1232" s="20">
        <f>IFERROR(_xlfn.ISOWEEKNUM(INPUT!M1227),"")</f>
        <v>47</v>
      </c>
      <c r="D1232" s="20">
        <f>IFERROR(YEAR(INPUT!M1227),"")</f>
        <v>2025</v>
      </c>
      <c r="E1232" t="str">
        <f>IF(INPUT!O1227="","",INPUT!O1227)</f>
        <v>PANI</v>
      </c>
      <c r="F1232" t="str">
        <f>IF(INPUT!N1227="","",INPUT!N1227)</f>
        <v>M</v>
      </c>
      <c r="G1232" t="str" cm="1">
        <f t="array" ref="G1232">IFERROR(VLOOKUP(INPUT!M1227&amp;INPUT!N1227,CHOOSE({1,2},INPUT!$A$3:$A$5000&amp;INPUT!$C$3:$C$5000,INPUT!$F$3:$F$5000),2,FALSE),"")</f>
        <v>PRE-TEMPORADA</v>
      </c>
      <c r="H1232" t="str" cm="1">
        <f t="array" ref="H1232">IFERROR(VLOOKUP(INPUT!M1227&amp;INPUT!N1227,CHOOSE({1,2},INPUT!$A$3:$A$5000&amp;INPUT!$C$3:$C$5000,INPUT!$D$3:$D$5000),2,FALSE),"")</f>
        <v>TEC-TAC</v>
      </c>
      <c r="I1232" s="46">
        <f>IF(INPUT!P1227="","",INPUT!P1227)</f>
        <v>67.3</v>
      </c>
      <c r="J1232" s="46">
        <f>IF(INPUT!Q1227="","",INPUT!Q1227)</f>
        <v>66.3</v>
      </c>
      <c r="K1232" s="46">
        <f>IFERROR(IF(OR(INPUT!P1227="",INPUT!Q1227=""),"",INPUT!P1227-INPUT!Q1227),"")</f>
        <v>1</v>
      </c>
      <c r="L1232" s="48">
        <f>IFERROR(IF(OR(INPUT!P1227="",INPUT!Q1227="",INPUT!P1227=0),"",(INPUT!P1227-INPUT!Q1227)/INPUT!P1227),"")</f>
        <v>1.485884101040119E-2</v>
      </c>
    </row>
    <row r="1233" spans="1:12" ht="18" customHeight="1" x14ac:dyDescent="0.2">
      <c r="A1233" s="11">
        <f>IF(INPUT!M1228="","",INPUT!M1228)</f>
        <v>45982</v>
      </c>
      <c r="B1233" s="11">
        <f>IF(INPUT!M1228="","",INPUT!M1228-WEEKDAY(INPUT!M1228,2)+1)</f>
        <v>45978</v>
      </c>
      <c r="C1233" s="20">
        <f>IFERROR(_xlfn.ISOWEEKNUM(INPUT!M1228),"")</f>
        <v>47</v>
      </c>
      <c r="D1233" s="20">
        <f>IFERROR(YEAR(INPUT!M1228),"")</f>
        <v>2025</v>
      </c>
      <c r="E1233" t="str">
        <f>IF(INPUT!O1228="","",INPUT!O1228)</f>
        <v>PIRATA</v>
      </c>
      <c r="F1233" t="str">
        <f>IF(INPUT!N1228="","",INPUT!N1228)</f>
        <v>M</v>
      </c>
      <c r="G1233" t="str" cm="1">
        <f t="array" ref="G1233">IFERROR(VLOOKUP(INPUT!M1228&amp;INPUT!N1228,CHOOSE({1,2},INPUT!$A$3:$A$5000&amp;INPUT!$C$3:$C$5000,INPUT!$F$3:$F$5000),2,FALSE),"")</f>
        <v>PRE-TEMPORADA</v>
      </c>
      <c r="H1233" t="str" cm="1">
        <f t="array" ref="H1233">IFERROR(VLOOKUP(INPUT!M1228&amp;INPUT!N1228,CHOOSE({1,2},INPUT!$A$3:$A$5000&amp;INPUT!$C$3:$C$5000,INPUT!$D$3:$D$5000),2,FALSE),"")</f>
        <v>TEC-TAC</v>
      </c>
      <c r="I1233" s="46">
        <f>IF(INPUT!P1228="","",INPUT!P1228)</f>
        <v>73.7</v>
      </c>
      <c r="J1233" s="46">
        <f>IF(INPUT!Q1228="","",INPUT!Q1228)</f>
        <v>74.099999999999994</v>
      </c>
      <c r="K1233" s="46">
        <f>IFERROR(IF(OR(INPUT!P1228="",INPUT!Q1228=""),"",INPUT!P1228-INPUT!Q1228),"")</f>
        <v>-0.39999999999999147</v>
      </c>
      <c r="L1233" s="48">
        <f>IFERROR(IF(OR(INPUT!P1228="",INPUT!Q1228="",INPUT!P1228=0),"",(INPUT!P1228-INPUT!Q1228)/INPUT!P1228),"")</f>
        <v>-5.4274084124829236E-3</v>
      </c>
    </row>
    <row r="1234" spans="1:12" ht="18" hidden="1" customHeight="1" x14ac:dyDescent="0.2">
      <c r="A1234" s="11">
        <f>IF(INPUT!M1229="","",INPUT!M1229)</f>
        <v>45982</v>
      </c>
      <c r="B1234" s="11">
        <f>IF(INPUT!M1229="","",INPUT!M1229-WEEKDAY(INPUT!M1229,2)+1)</f>
        <v>45978</v>
      </c>
      <c r="C1234" s="20">
        <f>IFERROR(_xlfn.ISOWEEKNUM(INPUT!M1229),"")</f>
        <v>47</v>
      </c>
      <c r="D1234" s="20">
        <f>IFERROR(YEAR(INPUT!M1229),"")</f>
        <v>2025</v>
      </c>
      <c r="E1234" t="str">
        <f>IF(INPUT!O1229="","",INPUT!O1229)</f>
        <v>BARONA</v>
      </c>
      <c r="F1234" t="str">
        <f>IF(INPUT!N1229="","",INPUT!N1229)</f>
        <v>M</v>
      </c>
      <c r="G1234" t="str" cm="1">
        <f t="array" ref="G1234">IFERROR(VLOOKUP(INPUT!M1229&amp;INPUT!N1229,CHOOSE({1,2},INPUT!$A$3:$A$5000&amp;INPUT!$C$3:$C$5000,INPUT!$F$3:$F$5000),2,FALSE),"")</f>
        <v>PRE-TEMPORADA</v>
      </c>
      <c r="H1234" t="str" cm="1">
        <f t="array" ref="H1234">IFERROR(VLOOKUP(INPUT!M1229&amp;INPUT!N1229,CHOOSE({1,2},INPUT!$A$3:$A$5000&amp;INPUT!$C$3:$C$5000,INPUT!$D$3:$D$5000),2,FALSE),"")</f>
        <v>TEC-TAC</v>
      </c>
      <c r="I1234" s="46">
        <f>IF(INPUT!P1229="","",INPUT!P1229)</f>
        <v>71</v>
      </c>
      <c r="J1234" s="46">
        <f>IF(INPUT!Q1229="","",INPUT!Q1229)</f>
        <v>70.5</v>
      </c>
      <c r="K1234" s="46">
        <f>IFERROR(IF(OR(INPUT!P1229="",INPUT!Q1229=""),"",INPUT!P1229-INPUT!Q1229),"")</f>
        <v>0.5</v>
      </c>
      <c r="L1234" s="48">
        <f>IFERROR(IF(OR(INPUT!P1229="",INPUT!Q1229="",INPUT!P1229=0),"",(INPUT!P1229-INPUT!Q1229)/INPUT!P1229),"")</f>
        <v>7.0422535211267607E-3</v>
      </c>
    </row>
    <row r="1235" spans="1:12" ht="18" hidden="1" customHeight="1" x14ac:dyDescent="0.2">
      <c r="A1235" s="11">
        <f>IF(INPUT!M1230="","",INPUT!M1230)</f>
        <v>45982</v>
      </c>
      <c r="B1235" s="11">
        <f>IF(INPUT!M1230="","",INPUT!M1230-WEEKDAY(INPUT!M1230,2)+1)</f>
        <v>45978</v>
      </c>
      <c r="C1235" s="20">
        <f>IFERROR(_xlfn.ISOWEEKNUM(INPUT!M1230),"")</f>
        <v>47</v>
      </c>
      <c r="D1235" s="20">
        <f>IFERROR(YEAR(INPUT!M1230),"")</f>
        <v>2025</v>
      </c>
      <c r="E1235" t="str">
        <f>IF(INPUT!O1230="","",INPUT!O1230)</f>
        <v>CARLOS</v>
      </c>
      <c r="F1235" t="str">
        <f>IF(INPUT!N1230="","",INPUT!N1230)</f>
        <v>M</v>
      </c>
      <c r="G1235" t="str" cm="1">
        <f t="array" ref="G1235">IFERROR(VLOOKUP(INPUT!M1230&amp;INPUT!N1230,CHOOSE({1,2},INPUT!$A$3:$A$5000&amp;INPUT!$C$3:$C$5000,INPUT!$F$3:$F$5000),2,FALSE),"")</f>
        <v>PRE-TEMPORADA</v>
      </c>
      <c r="H1235" t="str" cm="1">
        <f t="array" ref="H1235">IFERROR(VLOOKUP(INPUT!M1230&amp;INPUT!N1230,CHOOSE({1,2},INPUT!$A$3:$A$5000&amp;INPUT!$C$3:$C$5000,INPUT!$D$3:$D$5000),2,FALSE),"")</f>
        <v>TEC-TAC</v>
      </c>
      <c r="I1235" s="46">
        <f>IF(INPUT!P1230="","",INPUT!P1230)</f>
        <v>68</v>
      </c>
      <c r="J1235" s="46">
        <f>IF(INPUT!Q1230="","",INPUT!Q1230)</f>
        <v>67.3</v>
      </c>
      <c r="K1235" s="46">
        <f>IFERROR(IF(OR(INPUT!P1230="",INPUT!Q1230=""),"",INPUT!P1230-INPUT!Q1230),"")</f>
        <v>0.70000000000000284</v>
      </c>
      <c r="L1235" s="48">
        <f>IFERROR(IF(OR(INPUT!P1230="",INPUT!Q1230="",INPUT!P1230=0),"",(INPUT!P1230-INPUT!Q1230)/INPUT!P1230),"")</f>
        <v>1.0294117647058865E-2</v>
      </c>
    </row>
    <row r="1236" spans="1:12" ht="18" hidden="1" customHeight="1" x14ac:dyDescent="0.2">
      <c r="A1236" s="11">
        <f>IF(INPUT!M1231="","",INPUT!M1231)</f>
        <v>45982</v>
      </c>
      <c r="B1236" s="11">
        <f>IF(INPUT!M1231="","",INPUT!M1231-WEEKDAY(INPUT!M1231,2)+1)</f>
        <v>45978</v>
      </c>
      <c r="C1236" s="20">
        <f>IFERROR(_xlfn.ISOWEEKNUM(INPUT!M1231),"")</f>
        <v>47</v>
      </c>
      <c r="D1236" s="20">
        <f>IFERROR(YEAR(INPUT!M1231),"")</f>
        <v>2025</v>
      </c>
      <c r="E1236" t="str">
        <f>IF(INPUT!O1231="","",INPUT!O1231)</f>
        <v>RUBIO</v>
      </c>
      <c r="F1236" t="str">
        <f>IF(INPUT!N1231="","",INPUT!N1231)</f>
        <v>M</v>
      </c>
      <c r="G1236" t="str" cm="1">
        <f t="array" ref="G1236">IFERROR(VLOOKUP(INPUT!M1231&amp;INPUT!N1231,CHOOSE({1,2},INPUT!$A$3:$A$5000&amp;INPUT!$C$3:$C$5000,INPUT!$F$3:$F$5000),2,FALSE),"")</f>
        <v>PRE-TEMPORADA</v>
      </c>
      <c r="H1236" t="str" cm="1">
        <f t="array" ref="H1236">IFERROR(VLOOKUP(INPUT!M1231&amp;INPUT!N1231,CHOOSE({1,2},INPUT!$A$3:$A$5000&amp;INPUT!$C$3:$C$5000,INPUT!$D$3:$D$5000),2,FALSE),"")</f>
        <v>TEC-TAC</v>
      </c>
      <c r="I1236" s="46">
        <f>IF(INPUT!P1231="","",INPUT!P1231)</f>
        <v>74.7</v>
      </c>
      <c r="J1236" s="46">
        <f>IF(INPUT!Q1231="","",INPUT!Q1231)</f>
        <v>74.8</v>
      </c>
      <c r="K1236" s="46">
        <f>IFERROR(IF(OR(INPUT!P1231="",INPUT!Q1231=""),"",INPUT!P1231-INPUT!Q1231),"")</f>
        <v>-9.9999999999994316E-2</v>
      </c>
      <c r="L1236" s="48">
        <f>IFERROR(IF(OR(INPUT!P1231="",INPUT!Q1231="",INPUT!P1231=0),"",(INPUT!P1231-INPUT!Q1231)/INPUT!P1231),"")</f>
        <v>-1.3386880856759613E-3</v>
      </c>
    </row>
    <row r="1237" spans="1:12" ht="18" hidden="1" customHeight="1" x14ac:dyDescent="0.2">
      <c r="A1237" s="11">
        <f>IF(INPUT!M1232="","",INPUT!M1232)</f>
        <v>45982</v>
      </c>
      <c r="B1237" s="11">
        <f>IF(INPUT!M1232="","",INPUT!M1232-WEEKDAY(INPUT!M1232,2)+1)</f>
        <v>45978</v>
      </c>
      <c r="C1237" s="20">
        <f>IFERROR(_xlfn.ISOWEEKNUM(INPUT!M1232),"")</f>
        <v>47</v>
      </c>
      <c r="D1237" s="20">
        <f>IFERROR(YEAR(INPUT!M1232),"")</f>
        <v>2025</v>
      </c>
      <c r="E1237" t="str">
        <f>IF(INPUT!O1232="","",INPUT!O1232)</f>
        <v>DANI</v>
      </c>
      <c r="F1237" t="str">
        <f>IF(INPUT!N1232="","",INPUT!N1232)</f>
        <v>M</v>
      </c>
      <c r="G1237" t="str" cm="1">
        <f t="array" ref="G1237">IFERROR(VLOOKUP(INPUT!M1232&amp;INPUT!N1232,CHOOSE({1,2},INPUT!$A$3:$A$5000&amp;INPUT!$C$3:$C$5000,INPUT!$F$3:$F$5000),2,FALSE),"")</f>
        <v>PRE-TEMPORADA</v>
      </c>
      <c r="H1237" t="str" cm="1">
        <f t="array" ref="H1237">IFERROR(VLOOKUP(INPUT!M1232&amp;INPUT!N1232,CHOOSE({1,2},INPUT!$A$3:$A$5000&amp;INPUT!$C$3:$C$5000,INPUT!$D$3:$D$5000),2,FALSE),"")</f>
        <v>TEC-TAC</v>
      </c>
      <c r="I1237" s="46">
        <f>IF(INPUT!P1232="","",INPUT!P1232)</f>
        <v>93.2</v>
      </c>
      <c r="J1237" s="46">
        <f>IF(INPUT!Q1232="","",INPUT!Q1232)</f>
        <v>93.2</v>
      </c>
      <c r="K1237" s="46">
        <f>IFERROR(IF(OR(INPUT!P1232="",INPUT!Q1232=""),"",INPUT!P1232-INPUT!Q1232),"")</f>
        <v>0</v>
      </c>
      <c r="L1237" s="48">
        <f>IFERROR(IF(OR(INPUT!P1232="",INPUT!Q1232="",INPUT!P1232=0),"",(INPUT!P1232-INPUT!Q1232)/INPUT!P1232),"")</f>
        <v>0</v>
      </c>
    </row>
    <row r="1238" spans="1:12" ht="18" hidden="1" customHeight="1" x14ac:dyDescent="0.2">
      <c r="A1238" s="11">
        <f>IF(INPUT!M1233="","",INPUT!M1233)</f>
        <v>45982</v>
      </c>
      <c r="B1238" s="11">
        <f>IF(INPUT!M1233="","",INPUT!M1233-WEEKDAY(INPUT!M1233,2)+1)</f>
        <v>45978</v>
      </c>
      <c r="C1238" s="20">
        <f>IFERROR(_xlfn.ISOWEEKNUM(INPUT!M1233),"")</f>
        <v>47</v>
      </c>
      <c r="D1238" s="20">
        <f>IFERROR(YEAR(INPUT!M1233),"")</f>
        <v>2025</v>
      </c>
      <c r="E1238" t="str">
        <f>IF(INPUT!O1233="","",INPUT!O1233)</f>
        <v>JAIME</v>
      </c>
      <c r="F1238" t="str">
        <f>IF(INPUT!N1233="","",INPUT!N1233)</f>
        <v>M</v>
      </c>
      <c r="G1238" t="str" cm="1">
        <f t="array" ref="G1238">IFERROR(VLOOKUP(INPUT!M1233&amp;INPUT!N1233,CHOOSE({1,2},INPUT!$A$3:$A$5000&amp;INPUT!$C$3:$C$5000,INPUT!$F$3:$F$5000),2,FALSE),"")</f>
        <v>PRE-TEMPORADA</v>
      </c>
      <c r="H1238" t="str" cm="1">
        <f t="array" ref="H1238">IFERROR(VLOOKUP(INPUT!M1233&amp;INPUT!N1233,CHOOSE({1,2},INPUT!$A$3:$A$5000&amp;INPUT!$C$3:$C$5000,INPUT!$D$3:$D$5000),2,FALSE),"")</f>
        <v>TEC-TAC</v>
      </c>
      <c r="I1238" s="46">
        <f>IF(INPUT!P1233="","",INPUT!P1233)</f>
        <v>76.099999999999994</v>
      </c>
      <c r="J1238" s="46">
        <f>IF(INPUT!Q1233="","",INPUT!Q1233)</f>
        <v>76</v>
      </c>
      <c r="K1238" s="46">
        <f>IFERROR(IF(OR(INPUT!P1233="",INPUT!Q1233=""),"",INPUT!P1233-INPUT!Q1233),"")</f>
        <v>9.9999999999994316E-2</v>
      </c>
      <c r="L1238" s="48">
        <f>IFERROR(IF(OR(INPUT!P1233="",INPUT!Q1233="",INPUT!P1233=0),"",(INPUT!P1233-INPUT!Q1233)/INPUT!P1233),"")</f>
        <v>1.3140604467804773E-3</v>
      </c>
    </row>
    <row r="1239" spans="1:12" ht="18" hidden="1" customHeight="1" x14ac:dyDescent="0.2">
      <c r="A1239" s="11">
        <f>IF(INPUT!M1234="","",INPUT!M1234)</f>
        <v>45983</v>
      </c>
      <c r="B1239" s="11">
        <f>IF(INPUT!M1234="","",INPUT!M1234-WEEKDAY(INPUT!M1234,2)+1)</f>
        <v>45978</v>
      </c>
      <c r="C1239" s="20">
        <f>IFERROR(_xlfn.ISOWEEKNUM(INPUT!M1234),"")</f>
        <v>47</v>
      </c>
      <c r="D1239" s="20">
        <f>IFERROR(YEAR(INPUT!M1234),"")</f>
        <v>2025</v>
      </c>
      <c r="E1239" t="str">
        <f>IF(INPUT!O1234="","",INPUT!O1234)</f>
        <v>HERRERO</v>
      </c>
      <c r="F1239" t="str">
        <f>IF(INPUT!N1234="","",INPUT!N1234)</f>
        <v>M</v>
      </c>
      <c r="G1239" t="str" cm="1">
        <f t="array" ref="G1239">IFERROR(VLOOKUP(INPUT!M1234&amp;INPUT!N1234,CHOOSE({1,2},INPUT!$A$3:$A$5000&amp;INPUT!$C$3:$C$5000,INPUT!$F$3:$F$5000),2,FALSE),"")</f>
        <v>PRE-TEMPORADA</v>
      </c>
      <c r="H1239" t="str" cm="1">
        <f t="array" ref="H1239">IFERROR(VLOOKUP(INPUT!M1234&amp;INPUT!N1234,CHOOSE({1,2},INPUT!$A$3:$A$5000&amp;INPUT!$C$3:$C$5000,INPUT!$D$3:$D$5000),2,FALSE),"")</f>
        <v>MATINAL</v>
      </c>
      <c r="I1239" s="46">
        <f>IF(INPUT!P1234="","",INPUT!P1234)</f>
        <v>77</v>
      </c>
      <c r="J1239" s="46">
        <f>IF(INPUT!Q1234="","",INPUT!Q1234)</f>
        <v>76.8</v>
      </c>
      <c r="K1239" s="46">
        <f>IFERROR(IF(OR(INPUT!P1234="",INPUT!Q1234=""),"",INPUT!P1234-INPUT!Q1234),"")</f>
        <v>0.20000000000000284</v>
      </c>
      <c r="L1239" s="48">
        <f>IFERROR(IF(OR(INPUT!P1234="",INPUT!Q1234="",INPUT!P1234=0),"",(INPUT!P1234-INPUT!Q1234)/INPUT!P1234),"")</f>
        <v>2.5974025974026343E-3</v>
      </c>
    </row>
    <row r="1240" spans="1:12" ht="18" hidden="1" customHeight="1" x14ac:dyDescent="0.2">
      <c r="A1240" s="11">
        <f>IF(INPUT!M1235="","",INPUT!M1235)</f>
        <v>45983</v>
      </c>
      <c r="B1240" s="11">
        <f>IF(INPUT!M1235="","",INPUT!M1235-WEEKDAY(INPUT!M1235,2)+1)</f>
        <v>45978</v>
      </c>
      <c r="C1240" s="20">
        <f>IFERROR(_xlfn.ISOWEEKNUM(INPUT!M1235),"")</f>
        <v>47</v>
      </c>
      <c r="D1240" s="20">
        <f>IFERROR(YEAR(INPUT!M1235),"")</f>
        <v>2025</v>
      </c>
      <c r="E1240" t="str">
        <f>IF(INPUT!O1235="","",INPUT!O1235)</f>
        <v>HERRERO</v>
      </c>
      <c r="F1240" t="str">
        <f>IF(INPUT!N1235="","",INPUT!N1235)</f>
        <v>T</v>
      </c>
      <c r="G1240" t="str" cm="1">
        <f t="array" ref="G1240">IFERROR(VLOOKUP(INPUT!M1235&amp;INPUT!N1235,CHOOSE({1,2},INPUT!$A$3:$A$5000&amp;INPUT!$C$3:$C$5000,INPUT!$F$3:$F$5000),2,FALSE),"")</f>
        <v>PRE-TEMPORADA</v>
      </c>
      <c r="H1240" t="str" cm="1">
        <f t="array" ref="H1240">IFERROR(VLOOKUP(INPUT!M1235&amp;INPUT!N1235,CHOOSE({1,2},INPUT!$A$3:$A$5000&amp;INPUT!$C$3:$C$5000,INPUT!$D$3:$D$5000),2,FALSE),"")</f>
        <v>PARTIDO</v>
      </c>
      <c r="I1240" s="46">
        <f>IF(INPUT!P1235="","",INPUT!P1235)</f>
        <v>77</v>
      </c>
      <c r="J1240" s="46">
        <f>IF(INPUT!Q1235="","",INPUT!Q1235)</f>
        <v>76.5</v>
      </c>
      <c r="K1240" s="46">
        <f>IFERROR(IF(OR(INPUT!P1235="",INPUT!Q1235=""),"",INPUT!P1235-INPUT!Q1235),"")</f>
        <v>0.5</v>
      </c>
      <c r="L1240" s="48">
        <f>IFERROR(IF(OR(INPUT!P1235="",INPUT!Q1235="",INPUT!P1235=0),"",(INPUT!P1235-INPUT!Q1235)/INPUT!P1235),"")</f>
        <v>6.4935064935064939E-3</v>
      </c>
    </row>
    <row r="1241" spans="1:12" ht="18" hidden="1" customHeight="1" x14ac:dyDescent="0.2">
      <c r="A1241" s="11">
        <f>IF(INPUT!M1236="","",INPUT!M1236)</f>
        <v>45983</v>
      </c>
      <c r="B1241" s="11">
        <f>IF(INPUT!M1236="","",INPUT!M1236-WEEKDAY(INPUT!M1236,2)+1)</f>
        <v>45978</v>
      </c>
      <c r="C1241" s="20">
        <f>IFERROR(_xlfn.ISOWEEKNUM(INPUT!M1236),"")</f>
        <v>47</v>
      </c>
      <c r="D1241" s="20">
        <f>IFERROR(YEAR(INPUT!M1236),"")</f>
        <v>2025</v>
      </c>
      <c r="E1241" t="str">
        <f>IF(INPUT!O1236="","",INPUT!O1236)</f>
        <v>GARCIA</v>
      </c>
      <c r="F1241" t="str">
        <f>IF(INPUT!N1236="","",INPUT!N1236)</f>
        <v>M</v>
      </c>
      <c r="G1241" t="str" cm="1">
        <f t="array" ref="G1241">IFERROR(VLOOKUP(INPUT!M1236&amp;INPUT!N1236,CHOOSE({1,2},INPUT!$A$3:$A$5000&amp;INPUT!$C$3:$C$5000,INPUT!$F$3:$F$5000),2,FALSE),"")</f>
        <v>PRE-TEMPORADA</v>
      </c>
      <c r="H1241" t="str" cm="1">
        <f t="array" ref="H1241">IFERROR(VLOOKUP(INPUT!M1236&amp;INPUT!N1236,CHOOSE({1,2},INPUT!$A$3:$A$5000&amp;INPUT!$C$3:$C$5000,INPUT!$D$3:$D$5000),2,FALSE),"")</f>
        <v>MATINAL</v>
      </c>
      <c r="I1241" s="46">
        <f>IF(INPUT!P1236="","",INPUT!P1236)</f>
        <v>79</v>
      </c>
      <c r="J1241" s="46">
        <f>IF(INPUT!Q1236="","",INPUT!Q1236)</f>
        <v>78.8</v>
      </c>
      <c r="K1241" s="46">
        <f>IFERROR(IF(OR(INPUT!P1236="",INPUT!Q1236=""),"",INPUT!P1236-INPUT!Q1236),"")</f>
        <v>0.20000000000000284</v>
      </c>
      <c r="L1241" s="48">
        <f>IFERROR(IF(OR(INPUT!P1236="",INPUT!Q1236="",INPUT!P1236=0),"",(INPUT!P1236-INPUT!Q1236)/INPUT!P1236),"")</f>
        <v>2.5316455696202892E-3</v>
      </c>
    </row>
    <row r="1242" spans="1:12" ht="18" hidden="1" customHeight="1" x14ac:dyDescent="0.2">
      <c r="A1242" s="11">
        <f>IF(INPUT!M1237="","",INPUT!M1237)</f>
        <v>45983</v>
      </c>
      <c r="B1242" s="11">
        <f>IF(INPUT!M1237="","",INPUT!M1237-WEEKDAY(INPUT!M1237,2)+1)</f>
        <v>45978</v>
      </c>
      <c r="C1242" s="20">
        <f>IFERROR(_xlfn.ISOWEEKNUM(INPUT!M1237),"")</f>
        <v>47</v>
      </c>
      <c r="D1242" s="20">
        <f>IFERROR(YEAR(INPUT!M1237),"")</f>
        <v>2025</v>
      </c>
      <c r="E1242" t="str">
        <f>IF(INPUT!O1237="","",INPUT!O1237)</f>
        <v>GARCIA</v>
      </c>
      <c r="F1242" t="str">
        <f>IF(INPUT!N1237="","",INPUT!N1237)</f>
        <v>T</v>
      </c>
      <c r="G1242" t="str" cm="1">
        <f t="array" ref="G1242">IFERROR(VLOOKUP(INPUT!M1237&amp;INPUT!N1237,CHOOSE({1,2},INPUT!$A$3:$A$5000&amp;INPUT!$C$3:$C$5000,INPUT!$F$3:$F$5000),2,FALSE),"")</f>
        <v>PRE-TEMPORADA</v>
      </c>
      <c r="H1242" t="str" cm="1">
        <f t="array" ref="H1242">IFERROR(VLOOKUP(INPUT!M1237&amp;INPUT!N1237,CHOOSE({1,2},INPUT!$A$3:$A$5000&amp;INPUT!$C$3:$C$5000,INPUT!$D$3:$D$5000),2,FALSE),"")</f>
        <v>PARTIDO</v>
      </c>
      <c r="I1242" s="46">
        <f>IF(INPUT!P1237="","",INPUT!P1237)</f>
        <v>79.099999999999994</v>
      </c>
      <c r="J1242" s="46">
        <f>IF(INPUT!Q1237="","",INPUT!Q1237)</f>
        <v>78.599999999999994</v>
      </c>
      <c r="K1242" s="46">
        <f>IFERROR(IF(OR(INPUT!P1237="",INPUT!Q1237=""),"",INPUT!P1237-INPUT!Q1237),"")</f>
        <v>0.5</v>
      </c>
      <c r="L1242" s="48">
        <f>IFERROR(IF(OR(INPUT!P1237="",INPUT!Q1237="",INPUT!P1237=0),"",(INPUT!P1237-INPUT!Q1237)/INPUT!P1237),"")</f>
        <v>6.3211125158027818E-3</v>
      </c>
    </row>
    <row r="1243" spans="1:12" ht="18" hidden="1" customHeight="1" x14ac:dyDescent="0.2">
      <c r="A1243" s="11">
        <f>IF(INPUT!M1238="","",INPUT!M1238)</f>
        <v>45983</v>
      </c>
      <c r="B1243" s="11">
        <f>IF(INPUT!M1238="","",INPUT!M1238-WEEKDAY(INPUT!M1238,2)+1)</f>
        <v>45978</v>
      </c>
      <c r="C1243" s="20">
        <f>IFERROR(_xlfn.ISOWEEKNUM(INPUT!M1238),"")</f>
        <v>47</v>
      </c>
      <c r="D1243" s="20">
        <f>IFERROR(YEAR(INPUT!M1238),"")</f>
        <v>2025</v>
      </c>
      <c r="E1243" t="str">
        <f>IF(INPUT!O1238="","",INPUT!O1238)</f>
        <v>CECILIO</v>
      </c>
      <c r="F1243" t="str">
        <f>IF(INPUT!N1238="","",INPUT!N1238)</f>
        <v>M</v>
      </c>
      <c r="G1243" t="str" cm="1">
        <f t="array" ref="G1243">IFERROR(VLOOKUP(INPUT!M1238&amp;INPUT!N1238,CHOOSE({1,2},INPUT!$A$3:$A$5000&amp;INPUT!$C$3:$C$5000,INPUT!$F$3:$F$5000),2,FALSE),"")</f>
        <v>PRE-TEMPORADA</v>
      </c>
      <c r="H1243" t="str" cm="1">
        <f t="array" ref="H1243">IFERROR(VLOOKUP(INPUT!M1238&amp;INPUT!N1238,CHOOSE({1,2},INPUT!$A$3:$A$5000&amp;INPUT!$C$3:$C$5000,INPUT!$D$3:$D$5000),2,FALSE),"")</f>
        <v>MATINAL</v>
      </c>
      <c r="I1243" s="46">
        <f>IF(INPUT!P1238="","",INPUT!P1238)</f>
        <v>67</v>
      </c>
      <c r="J1243" s="46">
        <f>IF(INPUT!Q1238="","",INPUT!Q1238)</f>
        <v>67.3</v>
      </c>
      <c r="K1243" s="46">
        <f>IFERROR(IF(OR(INPUT!P1238="",INPUT!Q1238=""),"",INPUT!P1238-INPUT!Q1238),"")</f>
        <v>-0.29999999999999716</v>
      </c>
      <c r="L1243" s="48">
        <f>IFERROR(IF(OR(INPUT!P1238="",INPUT!Q1238="",INPUT!P1238=0),"",(INPUT!P1238-INPUT!Q1238)/INPUT!P1238),"")</f>
        <v>-4.4776119402984652E-3</v>
      </c>
    </row>
    <row r="1244" spans="1:12" ht="18" hidden="1" customHeight="1" x14ac:dyDescent="0.2">
      <c r="A1244" s="11">
        <f>IF(INPUT!M1239="","",INPUT!M1239)</f>
        <v>45983</v>
      </c>
      <c r="B1244" s="11">
        <f>IF(INPUT!M1239="","",INPUT!M1239-WEEKDAY(INPUT!M1239,2)+1)</f>
        <v>45978</v>
      </c>
      <c r="C1244" s="20">
        <f>IFERROR(_xlfn.ISOWEEKNUM(INPUT!M1239),"")</f>
        <v>47</v>
      </c>
      <c r="D1244" s="20">
        <f>IFERROR(YEAR(INPUT!M1239),"")</f>
        <v>2025</v>
      </c>
      <c r="E1244" t="str">
        <f>IF(INPUT!O1239="","",INPUT!O1239)</f>
        <v>CHAGUINHA</v>
      </c>
      <c r="F1244" t="str">
        <f>IF(INPUT!N1239="","",INPUT!N1239)</f>
        <v>M</v>
      </c>
      <c r="G1244" t="str" cm="1">
        <f t="array" ref="G1244">IFERROR(VLOOKUP(INPUT!M1239&amp;INPUT!N1239,CHOOSE({1,2},INPUT!$A$3:$A$5000&amp;INPUT!$C$3:$C$5000,INPUT!$F$3:$F$5000),2,FALSE),"")</f>
        <v>PRE-TEMPORADA</v>
      </c>
      <c r="H1244" t="str" cm="1">
        <f t="array" ref="H1244">IFERROR(VLOOKUP(INPUT!M1239&amp;INPUT!N1239,CHOOSE({1,2},INPUT!$A$3:$A$5000&amp;INPUT!$C$3:$C$5000,INPUT!$D$3:$D$5000),2,FALSE),"")</f>
        <v>MATINAL</v>
      </c>
      <c r="I1244" s="46">
        <f>IF(INPUT!P1239="","",INPUT!P1239)</f>
        <v>68.7</v>
      </c>
      <c r="J1244" s="46">
        <f>IF(INPUT!Q1239="","",INPUT!Q1239)</f>
        <v>68.5</v>
      </c>
      <c r="K1244" s="46">
        <f>IFERROR(IF(OR(INPUT!P1239="",INPUT!Q1239=""),"",INPUT!P1239-INPUT!Q1239),"")</f>
        <v>0.20000000000000284</v>
      </c>
      <c r="L1244" s="48">
        <f>IFERROR(IF(OR(INPUT!P1239="",INPUT!Q1239="",INPUT!P1239=0),"",(INPUT!P1239-INPUT!Q1239)/INPUT!P1239),"")</f>
        <v>2.9112081513828652E-3</v>
      </c>
    </row>
    <row r="1245" spans="1:12" ht="18" customHeight="1" x14ac:dyDescent="0.2">
      <c r="A1245" s="11">
        <f>IF(INPUT!M1240="","",INPUT!M1240)</f>
        <v>45983</v>
      </c>
      <c r="B1245" s="11">
        <f>IF(INPUT!M1240="","",INPUT!M1240-WEEKDAY(INPUT!M1240,2)+1)</f>
        <v>45978</v>
      </c>
      <c r="C1245" s="20">
        <f>IFERROR(_xlfn.ISOWEEKNUM(INPUT!M1240),"")</f>
        <v>47</v>
      </c>
      <c r="D1245" s="20">
        <f>IFERROR(YEAR(INPUT!M1240),"")</f>
        <v>2025</v>
      </c>
      <c r="E1245" t="str">
        <f>IF(INPUT!O1240="","",INPUT!O1240)</f>
        <v>CHAGUINHA</v>
      </c>
      <c r="F1245" t="str">
        <f>IF(INPUT!N1240="","",INPUT!N1240)</f>
        <v>T</v>
      </c>
      <c r="G1245" t="str" cm="1">
        <f t="array" ref="G1245">IFERROR(VLOOKUP(INPUT!M1240&amp;INPUT!N1240,CHOOSE({1,2},INPUT!$A$3:$A$5000&amp;INPUT!$C$3:$C$5000,INPUT!$F$3:$F$5000),2,FALSE),"")</f>
        <v>PRE-TEMPORADA</v>
      </c>
      <c r="H1245" t="str" cm="1">
        <f t="array" ref="H1245">IFERROR(VLOOKUP(INPUT!M1240&amp;INPUT!N1240,CHOOSE({1,2},INPUT!$A$3:$A$5000&amp;INPUT!$C$3:$C$5000,INPUT!$D$3:$D$5000),2,FALSE),"")</f>
        <v>PARTIDO</v>
      </c>
      <c r="I1245" s="46">
        <f>IF(INPUT!P1240="","",INPUT!P1240)</f>
        <v>69.2</v>
      </c>
      <c r="J1245" s="46">
        <f>IF(INPUT!Q1240="","",INPUT!Q1240)</f>
        <v>68.7</v>
      </c>
      <c r="K1245" s="46">
        <f>IFERROR(IF(OR(INPUT!P1240="",INPUT!Q1240=""),"",INPUT!P1240-INPUT!Q1240),"")</f>
        <v>0.5</v>
      </c>
      <c r="L1245" s="48">
        <f>IFERROR(IF(OR(INPUT!P1240="",INPUT!Q1240="",INPUT!P1240=0),"",(INPUT!P1240-INPUT!Q1240)/INPUT!P1240),"")</f>
        <v>7.2254335260115606E-3</v>
      </c>
    </row>
    <row r="1246" spans="1:12" ht="18" customHeight="1" x14ac:dyDescent="0.2">
      <c r="A1246" s="11">
        <f>IF(INPUT!M1241="","",INPUT!M1241)</f>
        <v>45983</v>
      </c>
      <c r="B1246" s="11">
        <f>IF(INPUT!M1241="","",INPUT!M1241-WEEKDAY(INPUT!M1241,2)+1)</f>
        <v>45978</v>
      </c>
      <c r="C1246" s="20">
        <f>IFERROR(_xlfn.ISOWEEKNUM(INPUT!M1241),"")</f>
        <v>47</v>
      </c>
      <c r="D1246" s="20">
        <f>IFERROR(YEAR(INPUT!M1241),"")</f>
        <v>2025</v>
      </c>
      <c r="E1246" t="str">
        <f>IF(INPUT!O1241="","",INPUT!O1241)</f>
        <v>RAUL</v>
      </c>
      <c r="F1246" t="str">
        <f>IF(INPUT!N1241="","",INPUT!N1241)</f>
        <v>M</v>
      </c>
      <c r="G1246" t="str" cm="1">
        <f t="array" ref="G1246">IFERROR(VLOOKUP(INPUT!M1241&amp;INPUT!N1241,CHOOSE({1,2},INPUT!$A$3:$A$5000&amp;INPUT!$C$3:$C$5000,INPUT!$F$3:$F$5000),2,FALSE),"")</f>
        <v>PRE-TEMPORADA</v>
      </c>
      <c r="H1246" t="str" cm="1">
        <f t="array" ref="H1246">IFERROR(VLOOKUP(INPUT!M1241&amp;INPUT!N1241,CHOOSE({1,2},INPUT!$A$3:$A$5000&amp;INPUT!$C$3:$C$5000,INPUT!$D$3:$D$5000),2,FALSE),"")</f>
        <v>MATINAL</v>
      </c>
      <c r="I1246" s="46">
        <f>IF(INPUT!P1241="","",INPUT!P1241)</f>
        <v>81</v>
      </c>
      <c r="J1246" s="46">
        <f>IF(INPUT!Q1241="","",INPUT!Q1241)</f>
        <v>80</v>
      </c>
      <c r="K1246" s="46">
        <f>IFERROR(IF(OR(INPUT!P1241="",INPUT!Q1241=""),"",INPUT!P1241-INPUT!Q1241),"")</f>
        <v>1</v>
      </c>
      <c r="L1246" s="48">
        <f>IFERROR(IF(OR(INPUT!P1241="",INPUT!Q1241="",INPUT!P1241=0),"",(INPUT!P1241-INPUT!Q1241)/INPUT!P1241),"")</f>
        <v>1.2345679012345678E-2</v>
      </c>
    </row>
    <row r="1247" spans="1:12" ht="18" customHeight="1" x14ac:dyDescent="0.2">
      <c r="A1247" s="11">
        <f>IF(INPUT!M1242="","",INPUT!M1242)</f>
        <v>45983</v>
      </c>
      <c r="B1247" s="11">
        <f>IF(INPUT!M1242="","",INPUT!M1242-WEEKDAY(INPUT!M1242,2)+1)</f>
        <v>45978</v>
      </c>
      <c r="C1247" s="20">
        <f>IFERROR(_xlfn.ISOWEEKNUM(INPUT!M1242),"")</f>
        <v>47</v>
      </c>
      <c r="D1247" s="20">
        <f>IFERROR(YEAR(INPUT!M1242),"")</f>
        <v>2025</v>
      </c>
      <c r="E1247" t="str">
        <f>IF(INPUT!O1242="","",INPUT!O1242)</f>
        <v>RAUL</v>
      </c>
      <c r="F1247" t="str">
        <f>IF(INPUT!N1242="","",INPUT!N1242)</f>
        <v>T</v>
      </c>
      <c r="G1247" t="str" cm="1">
        <f t="array" ref="G1247">IFERROR(VLOOKUP(INPUT!M1242&amp;INPUT!N1242,CHOOSE({1,2},INPUT!$A$3:$A$5000&amp;INPUT!$C$3:$C$5000,INPUT!$F$3:$F$5000),2,FALSE),"")</f>
        <v>PRE-TEMPORADA</v>
      </c>
      <c r="H1247" t="str" cm="1">
        <f t="array" ref="H1247">IFERROR(VLOOKUP(INPUT!M1242&amp;INPUT!N1242,CHOOSE({1,2},INPUT!$A$3:$A$5000&amp;INPUT!$C$3:$C$5000,INPUT!$D$3:$D$5000),2,FALSE),"")</f>
        <v>PARTIDO</v>
      </c>
      <c r="I1247" s="46">
        <f>IF(INPUT!P1242="","",INPUT!P1242)</f>
        <v>80.400000000000006</v>
      </c>
      <c r="J1247" s="46">
        <f>IF(INPUT!Q1242="","",INPUT!Q1242)</f>
        <v>80.3</v>
      </c>
      <c r="K1247" s="46">
        <f>IFERROR(IF(OR(INPUT!P1242="",INPUT!Q1242=""),"",INPUT!P1242-INPUT!Q1242),"")</f>
        <v>0.10000000000000853</v>
      </c>
      <c r="L1247" s="48">
        <f>IFERROR(IF(OR(INPUT!P1242="",INPUT!Q1242="",INPUT!P1242=0),"",(INPUT!P1242-INPUT!Q1242)/INPUT!P1242),"")</f>
        <v>1.2437810945274692E-3</v>
      </c>
    </row>
    <row r="1248" spans="1:12" ht="18" hidden="1" customHeight="1" x14ac:dyDescent="0.2">
      <c r="A1248" s="11">
        <f>IF(INPUT!M1243="","",INPUT!M1243)</f>
        <v>45983</v>
      </c>
      <c r="B1248" s="11">
        <f>IF(INPUT!M1243="","",INPUT!M1243-WEEKDAY(INPUT!M1243,2)+1)</f>
        <v>45978</v>
      </c>
      <c r="C1248" s="20">
        <f>IFERROR(_xlfn.ISOWEEKNUM(INPUT!M1243),"")</f>
        <v>47</v>
      </c>
      <c r="D1248" s="20">
        <f>IFERROR(YEAR(INPUT!M1243),"")</f>
        <v>2025</v>
      </c>
      <c r="E1248" t="str">
        <f>IF(INPUT!O1243="","",INPUT!O1243)</f>
        <v>HARRISON</v>
      </c>
      <c r="F1248" t="str">
        <f>IF(INPUT!N1243="","",INPUT!N1243)</f>
        <v>M</v>
      </c>
      <c r="G1248" t="str" cm="1">
        <f t="array" ref="G1248">IFERROR(VLOOKUP(INPUT!M1243&amp;INPUT!N1243,CHOOSE({1,2},INPUT!$A$3:$A$5000&amp;INPUT!$C$3:$C$5000,INPUT!$F$3:$F$5000),2,FALSE),"")</f>
        <v>PRE-TEMPORADA</v>
      </c>
      <c r="H1248" t="str" cm="1">
        <f t="array" ref="H1248">IFERROR(VLOOKUP(INPUT!M1243&amp;INPUT!N1243,CHOOSE({1,2},INPUT!$A$3:$A$5000&amp;INPUT!$C$3:$C$5000,INPUT!$D$3:$D$5000),2,FALSE),"")</f>
        <v>MATINAL</v>
      </c>
      <c r="I1248" s="46">
        <f>IF(INPUT!P1243="","",INPUT!P1243)</f>
        <v>70</v>
      </c>
      <c r="J1248" s="46">
        <f>IF(INPUT!Q1243="","",INPUT!Q1243)</f>
        <v>70</v>
      </c>
      <c r="K1248" s="46">
        <f>IFERROR(IF(OR(INPUT!P1243="",INPUT!Q1243=""),"",INPUT!P1243-INPUT!Q1243),"")</f>
        <v>0</v>
      </c>
      <c r="L1248" s="48">
        <f>IFERROR(IF(OR(INPUT!P1243="",INPUT!Q1243="",INPUT!P1243=0),"",(INPUT!P1243-INPUT!Q1243)/INPUT!P1243),"")</f>
        <v>0</v>
      </c>
    </row>
    <row r="1249" spans="1:12" ht="18" hidden="1" customHeight="1" x14ac:dyDescent="0.2">
      <c r="A1249" s="11">
        <f>IF(INPUT!M1244="","",INPUT!M1244)</f>
        <v>45983</v>
      </c>
      <c r="B1249" s="11">
        <f>IF(INPUT!M1244="","",INPUT!M1244-WEEKDAY(INPUT!M1244,2)+1)</f>
        <v>45978</v>
      </c>
      <c r="C1249" s="20">
        <f>IFERROR(_xlfn.ISOWEEKNUM(INPUT!M1244),"")</f>
        <v>47</v>
      </c>
      <c r="D1249" s="20">
        <f>IFERROR(YEAR(INPUT!M1244),"")</f>
        <v>2025</v>
      </c>
      <c r="E1249" t="str">
        <f>IF(INPUT!O1244="","",INPUT!O1244)</f>
        <v>HARRISON</v>
      </c>
      <c r="F1249" t="str">
        <f>IF(INPUT!N1244="","",INPUT!N1244)</f>
        <v>T</v>
      </c>
      <c r="G1249" t="str" cm="1">
        <f t="array" ref="G1249">IFERROR(VLOOKUP(INPUT!M1244&amp;INPUT!N1244,CHOOSE({1,2},INPUT!$A$3:$A$5000&amp;INPUT!$C$3:$C$5000,INPUT!$F$3:$F$5000),2,FALSE),"")</f>
        <v>PRE-TEMPORADA</v>
      </c>
      <c r="H1249" t="str" cm="1">
        <f t="array" ref="H1249">IFERROR(VLOOKUP(INPUT!M1244&amp;INPUT!N1244,CHOOSE({1,2},INPUT!$A$3:$A$5000&amp;INPUT!$C$3:$C$5000,INPUT!$D$3:$D$5000),2,FALSE),"")</f>
        <v>PARTIDO</v>
      </c>
      <c r="I1249" s="46">
        <f>IF(INPUT!P1244="","",INPUT!P1244)</f>
        <v>70</v>
      </c>
      <c r="J1249" s="46">
        <f>IF(INPUT!Q1244="","",INPUT!Q1244)</f>
        <v>70.2</v>
      </c>
      <c r="K1249" s="46">
        <f>IFERROR(IF(OR(INPUT!P1244="",INPUT!Q1244=""),"",INPUT!P1244-INPUT!Q1244),"")</f>
        <v>-0.20000000000000284</v>
      </c>
      <c r="L1249" s="48">
        <f>IFERROR(IF(OR(INPUT!P1244="",INPUT!Q1244="",INPUT!P1244=0),"",(INPUT!P1244-INPUT!Q1244)/INPUT!P1244),"")</f>
        <v>-2.8571428571428979E-3</v>
      </c>
    </row>
    <row r="1250" spans="1:12" ht="18" hidden="1" customHeight="1" x14ac:dyDescent="0.2">
      <c r="A1250" s="11">
        <f>IF(INPUT!M1245="","",INPUT!M1245)</f>
        <v>45983</v>
      </c>
      <c r="B1250" s="11">
        <f>IF(INPUT!M1245="","",INPUT!M1245-WEEKDAY(INPUT!M1245,2)+1)</f>
        <v>45978</v>
      </c>
      <c r="C1250" s="20">
        <f>IFERROR(_xlfn.ISOWEEKNUM(INPUT!M1245),"")</f>
        <v>47</v>
      </c>
      <c r="D1250" s="20">
        <f>IFERROR(YEAR(INPUT!M1245),"")</f>
        <v>2025</v>
      </c>
      <c r="E1250" t="str">
        <f>IF(INPUT!O1245="","",INPUT!O1245)</f>
        <v>RAYA</v>
      </c>
      <c r="F1250" t="str">
        <f>IF(INPUT!N1245="","",INPUT!N1245)</f>
        <v>M</v>
      </c>
      <c r="G1250" t="str" cm="1">
        <f t="array" ref="G1250">IFERROR(VLOOKUP(INPUT!M1245&amp;INPUT!N1245,CHOOSE({1,2},INPUT!$A$3:$A$5000&amp;INPUT!$C$3:$C$5000,INPUT!$F$3:$F$5000),2,FALSE),"")</f>
        <v>PRE-TEMPORADA</v>
      </c>
      <c r="H1250" t="str" cm="1">
        <f t="array" ref="H1250">IFERROR(VLOOKUP(INPUT!M1245&amp;INPUT!N1245,CHOOSE({1,2},INPUT!$A$3:$A$5000&amp;INPUT!$C$3:$C$5000,INPUT!$D$3:$D$5000),2,FALSE),"")</f>
        <v>MATINAL</v>
      </c>
      <c r="I1250" s="46">
        <f>IF(INPUT!P1245="","",INPUT!P1245)</f>
        <v>81.8</v>
      </c>
      <c r="J1250" s="46">
        <f>IF(INPUT!Q1245="","",INPUT!Q1245)</f>
        <v>81.5</v>
      </c>
      <c r="K1250" s="46">
        <f>IFERROR(IF(OR(INPUT!P1245="",INPUT!Q1245=""),"",INPUT!P1245-INPUT!Q1245),"")</f>
        <v>0.29999999999999716</v>
      </c>
      <c r="L1250" s="48">
        <f>IFERROR(IF(OR(INPUT!P1245="",INPUT!Q1245="",INPUT!P1245=0),"",(INPUT!P1245-INPUT!Q1245)/INPUT!P1245),"")</f>
        <v>3.6674816625916523E-3</v>
      </c>
    </row>
    <row r="1251" spans="1:12" ht="18" hidden="1" customHeight="1" x14ac:dyDescent="0.2">
      <c r="A1251" s="11">
        <f>IF(INPUT!M1246="","",INPUT!M1246)</f>
        <v>45983</v>
      </c>
      <c r="B1251" s="11">
        <f>IF(INPUT!M1246="","",INPUT!M1246-WEEKDAY(INPUT!M1246,2)+1)</f>
        <v>45978</v>
      </c>
      <c r="C1251" s="20">
        <f>IFERROR(_xlfn.ISOWEEKNUM(INPUT!M1246),"")</f>
        <v>47</v>
      </c>
      <c r="D1251" s="20">
        <f>IFERROR(YEAR(INPUT!M1246),"")</f>
        <v>2025</v>
      </c>
      <c r="E1251" t="str">
        <f>IF(INPUT!O1246="","",INPUT!O1246)</f>
        <v>RAYA</v>
      </c>
      <c r="F1251" t="str">
        <f>IF(INPUT!N1246="","",INPUT!N1246)</f>
        <v>T</v>
      </c>
      <c r="G1251" t="str" cm="1">
        <f t="array" ref="G1251">IFERROR(VLOOKUP(INPUT!M1246&amp;INPUT!N1246,CHOOSE({1,2},INPUT!$A$3:$A$5000&amp;INPUT!$C$3:$C$5000,INPUT!$F$3:$F$5000),2,FALSE),"")</f>
        <v>PRE-TEMPORADA</v>
      </c>
      <c r="H1251" t="str" cm="1">
        <f t="array" ref="H1251">IFERROR(VLOOKUP(INPUT!M1246&amp;INPUT!N1246,CHOOSE({1,2},INPUT!$A$3:$A$5000&amp;INPUT!$C$3:$C$5000,INPUT!$D$3:$D$5000),2,FALSE),"")</f>
        <v>PARTIDO</v>
      </c>
      <c r="I1251" s="46">
        <f>IF(INPUT!P1246="","",INPUT!P1246)</f>
        <v>82</v>
      </c>
      <c r="J1251" s="46">
        <f>IF(INPUT!Q1246="","",INPUT!Q1246)</f>
        <v>80.7</v>
      </c>
      <c r="K1251" s="46">
        <f>IFERROR(IF(OR(INPUT!P1246="",INPUT!Q1246=""),"",INPUT!P1246-INPUT!Q1246),"")</f>
        <v>1.2999999999999972</v>
      </c>
      <c r="L1251" s="48">
        <f>IFERROR(IF(OR(INPUT!P1246="",INPUT!Q1246="",INPUT!P1246=0),"",(INPUT!P1246-INPUT!Q1246)/INPUT!P1246),"")</f>
        <v>1.5853658536585331E-2</v>
      </c>
    </row>
    <row r="1252" spans="1:12" ht="18" hidden="1" customHeight="1" x14ac:dyDescent="0.2">
      <c r="A1252" s="11">
        <f>IF(INPUT!M1247="","",INPUT!M1247)</f>
        <v>45983</v>
      </c>
      <c r="B1252" s="11">
        <f>IF(INPUT!M1247="","",INPUT!M1247-WEEKDAY(INPUT!M1247,2)+1)</f>
        <v>45978</v>
      </c>
      <c r="C1252" s="20">
        <f>IFERROR(_xlfn.ISOWEEKNUM(INPUT!M1247),"")</f>
        <v>47</v>
      </c>
      <c r="D1252" s="20">
        <f>IFERROR(YEAR(INPUT!M1247),"")</f>
        <v>2025</v>
      </c>
      <c r="E1252" t="str">
        <f>IF(INPUT!O1247="","",INPUT!O1247)</f>
        <v>JAVI</v>
      </c>
      <c r="F1252" t="str">
        <f>IF(INPUT!N1247="","",INPUT!N1247)</f>
        <v>M</v>
      </c>
      <c r="G1252" t="str" cm="1">
        <f t="array" ref="G1252">IFERROR(VLOOKUP(INPUT!M1247&amp;INPUT!N1247,CHOOSE({1,2},INPUT!$A$3:$A$5000&amp;INPUT!$C$3:$C$5000,INPUT!$F$3:$F$5000),2,FALSE),"")</f>
        <v>PRE-TEMPORADA</v>
      </c>
      <c r="H1252" t="str" cm="1">
        <f t="array" ref="H1252">IFERROR(VLOOKUP(INPUT!M1247&amp;INPUT!N1247,CHOOSE({1,2},INPUT!$A$3:$A$5000&amp;INPUT!$C$3:$C$5000,INPUT!$D$3:$D$5000),2,FALSE),"")</f>
        <v>MATINAL</v>
      </c>
      <c r="I1252" s="46">
        <f>IF(INPUT!P1247="","",INPUT!P1247)</f>
        <v>78.099999999999994</v>
      </c>
      <c r="J1252" s="46">
        <f>IF(INPUT!Q1247="","",INPUT!Q1247)</f>
        <v>78</v>
      </c>
      <c r="K1252" s="46">
        <f>IFERROR(IF(OR(INPUT!P1247="",INPUT!Q1247=""),"",INPUT!P1247-INPUT!Q1247),"")</f>
        <v>9.9999999999994316E-2</v>
      </c>
      <c r="L1252" s="48">
        <f>IFERROR(IF(OR(INPUT!P1247="",INPUT!Q1247="",INPUT!P1247=0),"",(INPUT!P1247-INPUT!Q1247)/INPUT!P1247),"")</f>
        <v>1.2804097311138838E-3</v>
      </c>
    </row>
    <row r="1253" spans="1:12" ht="18" hidden="1" customHeight="1" x14ac:dyDescent="0.2">
      <c r="A1253" s="11">
        <f>IF(INPUT!M1248="","",INPUT!M1248)</f>
        <v>45983</v>
      </c>
      <c r="B1253" s="11">
        <f>IF(INPUT!M1248="","",INPUT!M1248-WEEKDAY(INPUT!M1248,2)+1)</f>
        <v>45978</v>
      </c>
      <c r="C1253" s="20">
        <f>IFERROR(_xlfn.ISOWEEKNUM(INPUT!M1248),"")</f>
        <v>47</v>
      </c>
      <c r="D1253" s="20">
        <f>IFERROR(YEAR(INPUT!M1248),"")</f>
        <v>2025</v>
      </c>
      <c r="E1253" t="str">
        <f>IF(INPUT!O1248="","",INPUT!O1248)</f>
        <v>JAVI</v>
      </c>
      <c r="F1253" t="str">
        <f>IF(INPUT!N1248="","",INPUT!N1248)</f>
        <v>T</v>
      </c>
      <c r="G1253" t="str" cm="1">
        <f t="array" ref="G1253">IFERROR(VLOOKUP(INPUT!M1248&amp;INPUT!N1248,CHOOSE({1,2},INPUT!$A$3:$A$5000&amp;INPUT!$C$3:$C$5000,INPUT!$F$3:$F$5000),2,FALSE),"")</f>
        <v>PRE-TEMPORADA</v>
      </c>
      <c r="H1253" t="str" cm="1">
        <f t="array" ref="H1253">IFERROR(VLOOKUP(INPUT!M1248&amp;INPUT!N1248,CHOOSE({1,2},INPUT!$A$3:$A$5000&amp;INPUT!$C$3:$C$5000,INPUT!$D$3:$D$5000),2,FALSE),"")</f>
        <v>PARTIDO</v>
      </c>
      <c r="I1253" s="46">
        <f>IF(INPUT!P1248="","",INPUT!P1248)</f>
        <v>77.7</v>
      </c>
      <c r="J1253" s="46">
        <f>IF(INPUT!Q1248="","",INPUT!Q1248)</f>
        <v>77.8</v>
      </c>
      <c r="K1253" s="46">
        <f>IFERROR(IF(OR(INPUT!P1248="",INPUT!Q1248=""),"",INPUT!P1248-INPUT!Q1248),"")</f>
        <v>-9.9999999999994316E-2</v>
      </c>
      <c r="L1253" s="48">
        <f>IFERROR(IF(OR(INPUT!P1248="",INPUT!Q1248="",INPUT!P1248=0),"",(INPUT!P1248-INPUT!Q1248)/INPUT!P1248),"")</f>
        <v>-1.2870012870012139E-3</v>
      </c>
    </row>
    <row r="1254" spans="1:12" ht="18" hidden="1" customHeight="1" x14ac:dyDescent="0.2">
      <c r="A1254" s="11">
        <f>IF(INPUT!M1249="","",INPUT!M1249)</f>
        <v>45983</v>
      </c>
      <c r="B1254" s="11">
        <f>IF(INPUT!M1249="","",INPUT!M1249-WEEKDAY(INPUT!M1249,2)+1)</f>
        <v>45978</v>
      </c>
      <c r="C1254" s="20">
        <f>IFERROR(_xlfn.ISOWEEKNUM(INPUT!M1249),"")</f>
        <v>47</v>
      </c>
      <c r="D1254" s="20">
        <f>IFERROR(YEAR(INPUT!M1249),"")</f>
        <v>2025</v>
      </c>
      <c r="E1254" t="str">
        <f>IF(INPUT!O1249="","",INPUT!O1249)</f>
        <v>PANI</v>
      </c>
      <c r="F1254" t="str">
        <f>IF(INPUT!N1249="","",INPUT!N1249)</f>
        <v>M</v>
      </c>
      <c r="G1254" t="str" cm="1">
        <f t="array" ref="G1254">IFERROR(VLOOKUP(INPUT!M1249&amp;INPUT!N1249,CHOOSE({1,2},INPUT!$A$3:$A$5000&amp;INPUT!$C$3:$C$5000,INPUT!$F$3:$F$5000),2,FALSE),"")</f>
        <v>PRE-TEMPORADA</v>
      </c>
      <c r="H1254" t="str" cm="1">
        <f t="array" ref="H1254">IFERROR(VLOOKUP(INPUT!M1249&amp;INPUT!N1249,CHOOSE({1,2},INPUT!$A$3:$A$5000&amp;INPUT!$C$3:$C$5000,INPUT!$D$3:$D$5000),2,FALSE),"")</f>
        <v>MATINAL</v>
      </c>
      <c r="I1254" s="46">
        <f>IF(INPUT!P1249="","",INPUT!P1249)</f>
        <v>67.3</v>
      </c>
      <c r="J1254" s="46">
        <f>IF(INPUT!Q1249="","",INPUT!Q1249)</f>
        <v>67.400000000000006</v>
      </c>
      <c r="K1254" s="46">
        <f>IFERROR(IF(OR(INPUT!P1249="",INPUT!Q1249=""),"",INPUT!P1249-INPUT!Q1249),"")</f>
        <v>-0.10000000000000853</v>
      </c>
      <c r="L1254" s="48">
        <f>IFERROR(IF(OR(INPUT!P1249="",INPUT!Q1249="",INPUT!P1249=0),"",(INPUT!P1249-INPUT!Q1249)/INPUT!P1249),"")</f>
        <v>-1.4858841010402456E-3</v>
      </c>
    </row>
    <row r="1255" spans="1:12" ht="18" hidden="1" customHeight="1" x14ac:dyDescent="0.2">
      <c r="A1255" s="11">
        <f>IF(INPUT!M1250="","",INPUT!M1250)</f>
        <v>45983</v>
      </c>
      <c r="B1255" s="11">
        <f>IF(INPUT!M1250="","",INPUT!M1250-WEEKDAY(INPUT!M1250,2)+1)</f>
        <v>45978</v>
      </c>
      <c r="C1255" s="20">
        <f>IFERROR(_xlfn.ISOWEEKNUM(INPUT!M1250),"")</f>
        <v>47</v>
      </c>
      <c r="D1255" s="20">
        <f>IFERROR(YEAR(INPUT!M1250),"")</f>
        <v>2025</v>
      </c>
      <c r="E1255" t="str">
        <f>IF(INPUT!O1250="","",INPUT!O1250)</f>
        <v>PANI</v>
      </c>
      <c r="F1255" t="str">
        <f>IF(INPUT!N1250="","",INPUT!N1250)</f>
        <v>T</v>
      </c>
      <c r="G1255" t="str" cm="1">
        <f t="array" ref="G1255">IFERROR(VLOOKUP(INPUT!M1250&amp;INPUT!N1250,CHOOSE({1,2},INPUT!$A$3:$A$5000&amp;INPUT!$C$3:$C$5000,INPUT!$F$3:$F$5000),2,FALSE),"")</f>
        <v>PRE-TEMPORADA</v>
      </c>
      <c r="H1255" t="str" cm="1">
        <f t="array" ref="H1255">IFERROR(VLOOKUP(INPUT!M1250&amp;INPUT!N1250,CHOOSE({1,2},INPUT!$A$3:$A$5000&amp;INPUT!$C$3:$C$5000,INPUT!$D$3:$D$5000),2,FALSE),"")</f>
        <v>PARTIDO</v>
      </c>
      <c r="I1255" s="46">
        <f>IF(INPUT!P1250="","",INPUT!P1250)</f>
        <v>67.8</v>
      </c>
      <c r="J1255" s="46">
        <f>IF(INPUT!Q1250="","",INPUT!Q1250)</f>
        <v>67</v>
      </c>
      <c r="K1255" s="46">
        <f>IFERROR(IF(OR(INPUT!P1250="",INPUT!Q1250=""),"",INPUT!P1250-INPUT!Q1250),"")</f>
        <v>0.79999999999999716</v>
      </c>
      <c r="L1255" s="48">
        <f>IFERROR(IF(OR(INPUT!P1250="",INPUT!Q1250="",INPUT!P1250=0),"",(INPUT!P1250-INPUT!Q1250)/INPUT!P1250),"")</f>
        <v>1.1799410029498483E-2</v>
      </c>
    </row>
    <row r="1256" spans="1:12" ht="18" hidden="1" customHeight="1" x14ac:dyDescent="0.2">
      <c r="A1256" s="11">
        <f>IF(INPUT!M1251="","",INPUT!M1251)</f>
        <v>45983</v>
      </c>
      <c r="B1256" s="11">
        <f>IF(INPUT!M1251="","",INPUT!M1251-WEEKDAY(INPUT!M1251,2)+1)</f>
        <v>45978</v>
      </c>
      <c r="C1256" s="20">
        <f>IFERROR(_xlfn.ISOWEEKNUM(INPUT!M1251),"")</f>
        <v>47</v>
      </c>
      <c r="D1256" s="20">
        <f>IFERROR(YEAR(INPUT!M1251),"")</f>
        <v>2025</v>
      </c>
      <c r="E1256" t="str">
        <f>IF(INPUT!O1251="","",INPUT!O1251)</f>
        <v>PIRATA</v>
      </c>
      <c r="F1256" t="str">
        <f>IF(INPUT!N1251="","",INPUT!N1251)</f>
        <v>M</v>
      </c>
      <c r="G1256" t="str" cm="1">
        <f t="array" ref="G1256">IFERROR(VLOOKUP(INPUT!M1251&amp;INPUT!N1251,CHOOSE({1,2},INPUT!$A$3:$A$5000&amp;INPUT!$C$3:$C$5000,INPUT!$F$3:$F$5000),2,FALSE),"")</f>
        <v>PRE-TEMPORADA</v>
      </c>
      <c r="H1256" t="str" cm="1">
        <f t="array" ref="H1256">IFERROR(VLOOKUP(INPUT!M1251&amp;INPUT!N1251,CHOOSE({1,2},INPUT!$A$3:$A$5000&amp;INPUT!$C$3:$C$5000,INPUT!$D$3:$D$5000),2,FALSE),"")</f>
        <v>MATINAL</v>
      </c>
      <c r="I1256" s="46">
        <f>IF(INPUT!P1251="","",INPUT!P1251)</f>
        <v>74.2</v>
      </c>
      <c r="J1256" s="46">
        <f>IF(INPUT!Q1251="","",INPUT!Q1251)</f>
        <v>74.099999999999994</v>
      </c>
      <c r="K1256" s="46">
        <f>IFERROR(IF(OR(INPUT!P1251="",INPUT!Q1251=""),"",INPUT!P1251-INPUT!Q1251),"")</f>
        <v>0.10000000000000853</v>
      </c>
      <c r="L1256" s="48">
        <f>IFERROR(IF(OR(INPUT!P1251="",INPUT!Q1251="",INPUT!P1251=0),"",(INPUT!P1251-INPUT!Q1251)/INPUT!P1251),"")</f>
        <v>1.347708894878821E-3</v>
      </c>
    </row>
    <row r="1257" spans="1:12" ht="18" hidden="1" customHeight="1" x14ac:dyDescent="0.2">
      <c r="A1257" s="11">
        <f>IF(INPUT!M1252="","",INPUT!M1252)</f>
        <v>45983</v>
      </c>
      <c r="B1257" s="11">
        <f>IF(INPUT!M1252="","",INPUT!M1252-WEEKDAY(INPUT!M1252,2)+1)</f>
        <v>45978</v>
      </c>
      <c r="C1257" s="20">
        <f>IFERROR(_xlfn.ISOWEEKNUM(INPUT!M1252),"")</f>
        <v>47</v>
      </c>
      <c r="D1257" s="20">
        <f>IFERROR(YEAR(INPUT!M1252),"")</f>
        <v>2025</v>
      </c>
      <c r="E1257" t="str">
        <f>IF(INPUT!O1252="","",INPUT!O1252)</f>
        <v>PIRATA</v>
      </c>
      <c r="F1257" t="str">
        <f>IF(INPUT!N1252="","",INPUT!N1252)</f>
        <v>T</v>
      </c>
      <c r="G1257" t="str" cm="1">
        <f t="array" ref="G1257">IFERROR(VLOOKUP(INPUT!M1252&amp;INPUT!N1252,CHOOSE({1,2},INPUT!$A$3:$A$5000&amp;INPUT!$C$3:$C$5000,INPUT!$F$3:$F$5000),2,FALSE),"")</f>
        <v>PRE-TEMPORADA</v>
      </c>
      <c r="H1257" t="str" cm="1">
        <f t="array" ref="H1257">IFERROR(VLOOKUP(INPUT!M1252&amp;INPUT!N1252,CHOOSE({1,2},INPUT!$A$3:$A$5000&amp;INPUT!$C$3:$C$5000,INPUT!$D$3:$D$5000),2,FALSE),"")</f>
        <v>PARTIDO</v>
      </c>
      <c r="I1257" s="46">
        <f>IF(INPUT!P1252="","",INPUT!P1252)</f>
        <v>74.099999999999994</v>
      </c>
      <c r="J1257" s="46">
        <f>IF(INPUT!Q1252="","",INPUT!Q1252)</f>
        <v>74</v>
      </c>
      <c r="K1257" s="46">
        <f>IFERROR(IF(OR(INPUT!P1252="",INPUT!Q1252=""),"",INPUT!P1252-INPUT!Q1252),"")</f>
        <v>9.9999999999994316E-2</v>
      </c>
      <c r="L1257" s="48">
        <f>IFERROR(IF(OR(INPUT!P1252="",INPUT!Q1252="",INPUT!P1252=0),"",(INPUT!P1252-INPUT!Q1252)/INPUT!P1252),"")</f>
        <v>1.3495276653170624E-3</v>
      </c>
    </row>
    <row r="1258" spans="1:12" ht="18" hidden="1" customHeight="1" x14ac:dyDescent="0.2">
      <c r="A1258" s="11">
        <f>IF(INPUT!M1253="","",INPUT!M1253)</f>
        <v>45983</v>
      </c>
      <c r="B1258" s="11">
        <f>IF(INPUT!M1253="","",INPUT!M1253-WEEKDAY(INPUT!M1253,2)+1)</f>
        <v>45978</v>
      </c>
      <c r="C1258" s="20">
        <f>IFERROR(_xlfn.ISOWEEKNUM(INPUT!M1253),"")</f>
        <v>47</v>
      </c>
      <c r="D1258" s="20">
        <f>IFERROR(YEAR(INPUT!M1253),"")</f>
        <v>2025</v>
      </c>
      <c r="E1258" t="str">
        <f>IF(INPUT!O1253="","",INPUT!O1253)</f>
        <v>BARONA</v>
      </c>
      <c r="F1258" t="str">
        <f>IF(INPUT!N1253="","",INPUT!N1253)</f>
        <v>T</v>
      </c>
      <c r="G1258" t="str" cm="1">
        <f t="array" ref="G1258">IFERROR(VLOOKUP(INPUT!M1253&amp;INPUT!N1253,CHOOSE({1,2},INPUT!$A$3:$A$5000&amp;INPUT!$C$3:$C$5000,INPUT!$F$3:$F$5000),2,FALSE),"")</f>
        <v>PRE-TEMPORADA</v>
      </c>
      <c r="H1258" t="str" cm="1">
        <f t="array" ref="H1258">IFERROR(VLOOKUP(INPUT!M1253&amp;INPUT!N1253,CHOOSE({1,2},INPUT!$A$3:$A$5000&amp;INPUT!$C$3:$C$5000,INPUT!$D$3:$D$5000),2,FALSE),"")</f>
        <v>PARTIDO</v>
      </c>
      <c r="I1258" s="46">
        <f>IF(INPUT!P1253="","",INPUT!P1253)</f>
        <v>71</v>
      </c>
      <c r="J1258" s="46">
        <f>IF(INPUT!Q1253="","",INPUT!Q1253)</f>
        <v>71</v>
      </c>
      <c r="K1258" s="46">
        <f>IFERROR(IF(OR(INPUT!P1253="",INPUT!Q1253=""),"",INPUT!P1253-INPUT!Q1253),"")</f>
        <v>0</v>
      </c>
      <c r="L1258" s="48">
        <f>IFERROR(IF(OR(INPUT!P1253="",INPUT!Q1253="",INPUT!P1253=0),"",(INPUT!P1253-INPUT!Q1253)/INPUT!P1253),"")</f>
        <v>0</v>
      </c>
    </row>
    <row r="1259" spans="1:12" ht="18" hidden="1" customHeight="1" x14ac:dyDescent="0.2">
      <c r="A1259" s="11">
        <f>IF(INPUT!M1254="","",INPUT!M1254)</f>
        <v>45983</v>
      </c>
      <c r="B1259" s="11">
        <f>IF(INPUT!M1254="","",INPUT!M1254-WEEKDAY(INPUT!M1254,2)+1)</f>
        <v>45978</v>
      </c>
      <c r="C1259" s="20">
        <f>IFERROR(_xlfn.ISOWEEKNUM(INPUT!M1254),"")</f>
        <v>47</v>
      </c>
      <c r="D1259" s="20">
        <f>IFERROR(YEAR(INPUT!M1254),"")</f>
        <v>2025</v>
      </c>
      <c r="E1259" t="str">
        <f>IF(INPUT!O1254="","",INPUT!O1254)</f>
        <v>CARLOS</v>
      </c>
      <c r="F1259" t="str">
        <f>IF(INPUT!N1254="","",INPUT!N1254)</f>
        <v>M</v>
      </c>
      <c r="G1259" t="str" cm="1">
        <f t="array" ref="G1259">IFERROR(VLOOKUP(INPUT!M1254&amp;INPUT!N1254,CHOOSE({1,2},INPUT!$A$3:$A$5000&amp;INPUT!$C$3:$C$5000,INPUT!$F$3:$F$5000),2,FALSE),"")</f>
        <v>PRE-TEMPORADA</v>
      </c>
      <c r="H1259" t="str" cm="1">
        <f t="array" ref="H1259">IFERROR(VLOOKUP(INPUT!M1254&amp;INPUT!N1254,CHOOSE({1,2},INPUT!$A$3:$A$5000&amp;INPUT!$C$3:$C$5000,INPUT!$D$3:$D$5000),2,FALSE),"")</f>
        <v>MATINAL</v>
      </c>
      <c r="I1259" s="46">
        <f>IF(INPUT!P1254="","",INPUT!P1254)</f>
        <v>67.7</v>
      </c>
      <c r="J1259" s="46">
        <f>IF(INPUT!Q1254="","",INPUT!Q1254)</f>
        <v>67</v>
      </c>
      <c r="K1259" s="46">
        <f>IFERROR(IF(OR(INPUT!P1254="",INPUT!Q1254=""),"",INPUT!P1254-INPUT!Q1254),"")</f>
        <v>0.70000000000000284</v>
      </c>
      <c r="L1259" s="48">
        <f>IFERROR(IF(OR(INPUT!P1254="",INPUT!Q1254="",INPUT!P1254=0),"",(INPUT!P1254-INPUT!Q1254)/INPUT!P1254),"")</f>
        <v>1.0339734121122641E-2</v>
      </c>
    </row>
    <row r="1260" spans="1:12" ht="18" hidden="1" customHeight="1" x14ac:dyDescent="0.2">
      <c r="A1260" s="11">
        <f>IF(INPUT!M1255="","",INPUT!M1255)</f>
        <v>45983</v>
      </c>
      <c r="B1260" s="11">
        <f>IF(INPUT!M1255="","",INPUT!M1255-WEEKDAY(INPUT!M1255,2)+1)</f>
        <v>45978</v>
      </c>
      <c r="C1260" s="20">
        <f>IFERROR(_xlfn.ISOWEEKNUM(INPUT!M1255),"")</f>
        <v>47</v>
      </c>
      <c r="D1260" s="20">
        <f>IFERROR(YEAR(INPUT!M1255),"")</f>
        <v>2025</v>
      </c>
      <c r="E1260" t="str">
        <f>IF(INPUT!O1255="","",INPUT!O1255)</f>
        <v>CARLOS</v>
      </c>
      <c r="F1260" t="str">
        <f>IF(INPUT!N1255="","",INPUT!N1255)</f>
        <v>T</v>
      </c>
      <c r="G1260" t="str" cm="1">
        <f t="array" ref="G1260">IFERROR(VLOOKUP(INPUT!M1255&amp;INPUT!N1255,CHOOSE({1,2},INPUT!$A$3:$A$5000&amp;INPUT!$C$3:$C$5000,INPUT!$F$3:$F$5000),2,FALSE),"")</f>
        <v>PRE-TEMPORADA</v>
      </c>
      <c r="H1260" t="str" cm="1">
        <f t="array" ref="H1260">IFERROR(VLOOKUP(INPUT!M1255&amp;INPUT!N1255,CHOOSE({1,2},INPUT!$A$3:$A$5000&amp;INPUT!$C$3:$C$5000,INPUT!$D$3:$D$5000),2,FALSE),"")</f>
        <v>PARTIDO</v>
      </c>
      <c r="I1260" s="46">
        <f>IF(INPUT!P1255="","",INPUT!P1255)</f>
        <v>67.7</v>
      </c>
      <c r="J1260" s="46">
        <f>IF(INPUT!Q1255="","",INPUT!Q1255)</f>
        <v>67</v>
      </c>
      <c r="K1260" s="46">
        <f>IFERROR(IF(OR(INPUT!P1255="",INPUT!Q1255=""),"",INPUT!P1255-INPUT!Q1255),"")</f>
        <v>0.70000000000000284</v>
      </c>
      <c r="L1260" s="48">
        <f>IFERROR(IF(OR(INPUT!P1255="",INPUT!Q1255="",INPUT!P1255=0),"",(INPUT!P1255-INPUT!Q1255)/INPUT!P1255),"")</f>
        <v>1.0339734121122641E-2</v>
      </c>
    </row>
    <row r="1261" spans="1:12" ht="18" hidden="1" customHeight="1" x14ac:dyDescent="0.2">
      <c r="A1261" s="11">
        <f>IF(INPUT!M1256="","",INPUT!M1256)</f>
        <v>45983</v>
      </c>
      <c r="B1261" s="11">
        <f>IF(INPUT!M1256="","",INPUT!M1256-WEEKDAY(INPUT!M1256,2)+1)</f>
        <v>45978</v>
      </c>
      <c r="C1261" s="20">
        <f>IFERROR(_xlfn.ISOWEEKNUM(INPUT!M1256),"")</f>
        <v>47</v>
      </c>
      <c r="D1261" s="20">
        <f>IFERROR(YEAR(INPUT!M1256),"")</f>
        <v>2025</v>
      </c>
      <c r="E1261" t="str">
        <f>IF(INPUT!O1256="","",INPUT!O1256)</f>
        <v>RUBIO</v>
      </c>
      <c r="F1261" t="str">
        <f>IF(INPUT!N1256="","",INPUT!N1256)</f>
        <v>M</v>
      </c>
      <c r="G1261" t="str" cm="1">
        <f t="array" ref="G1261">IFERROR(VLOOKUP(INPUT!M1256&amp;INPUT!N1256,CHOOSE({1,2},INPUT!$A$3:$A$5000&amp;INPUT!$C$3:$C$5000,INPUT!$F$3:$F$5000),2,FALSE),"")</f>
        <v>PRE-TEMPORADA</v>
      </c>
      <c r="H1261" t="str" cm="1">
        <f t="array" ref="H1261">IFERROR(VLOOKUP(INPUT!M1256&amp;INPUT!N1256,CHOOSE({1,2},INPUT!$A$3:$A$5000&amp;INPUT!$C$3:$C$5000,INPUT!$D$3:$D$5000),2,FALSE),"")</f>
        <v>MATINAL</v>
      </c>
      <c r="I1261" s="46">
        <f>IF(INPUT!P1256="","",INPUT!P1256)</f>
        <v>74.8</v>
      </c>
      <c r="J1261" s="46">
        <f>IF(INPUT!Q1256="","",INPUT!Q1256)</f>
        <v>74.8</v>
      </c>
      <c r="K1261" s="46">
        <f>IFERROR(IF(OR(INPUT!P1256="",INPUT!Q1256=""),"",INPUT!P1256-INPUT!Q1256),"")</f>
        <v>0</v>
      </c>
      <c r="L1261" s="48">
        <f>IFERROR(IF(OR(INPUT!P1256="",INPUT!Q1256="",INPUT!P1256=0),"",(INPUT!P1256-INPUT!Q1256)/INPUT!P1256),"")</f>
        <v>0</v>
      </c>
    </row>
    <row r="1262" spans="1:12" ht="18" hidden="1" customHeight="1" x14ac:dyDescent="0.2">
      <c r="A1262" s="11">
        <f>IF(INPUT!M1257="","",INPUT!M1257)</f>
        <v>45983</v>
      </c>
      <c r="B1262" s="11">
        <f>IF(INPUT!M1257="","",INPUT!M1257-WEEKDAY(INPUT!M1257,2)+1)</f>
        <v>45978</v>
      </c>
      <c r="C1262" s="20">
        <f>IFERROR(_xlfn.ISOWEEKNUM(INPUT!M1257),"")</f>
        <v>47</v>
      </c>
      <c r="D1262" s="20">
        <f>IFERROR(YEAR(INPUT!M1257),"")</f>
        <v>2025</v>
      </c>
      <c r="E1262" t="str">
        <f>IF(INPUT!O1257="","",INPUT!O1257)</f>
        <v>RUBIO</v>
      </c>
      <c r="F1262" t="str">
        <f>IF(INPUT!N1257="","",INPUT!N1257)</f>
        <v>T</v>
      </c>
      <c r="G1262" t="str" cm="1">
        <f t="array" ref="G1262">IFERROR(VLOOKUP(INPUT!M1257&amp;INPUT!N1257,CHOOSE({1,2},INPUT!$A$3:$A$5000&amp;INPUT!$C$3:$C$5000,INPUT!$F$3:$F$5000),2,FALSE),"")</f>
        <v>PRE-TEMPORADA</v>
      </c>
      <c r="H1262" t="str" cm="1">
        <f t="array" ref="H1262">IFERROR(VLOOKUP(INPUT!M1257&amp;INPUT!N1257,CHOOSE({1,2},INPUT!$A$3:$A$5000&amp;INPUT!$C$3:$C$5000,INPUT!$D$3:$D$5000),2,FALSE),"")</f>
        <v>PARTIDO</v>
      </c>
      <c r="I1262" s="46">
        <f>IF(INPUT!P1257="","",INPUT!P1257)</f>
        <v>74.599999999999994</v>
      </c>
      <c r="J1262" s="46">
        <f>IF(INPUT!Q1257="","",INPUT!Q1257)</f>
        <v>74</v>
      </c>
      <c r="K1262" s="46">
        <f>IFERROR(IF(OR(INPUT!P1257="",INPUT!Q1257=""),"",INPUT!P1257-INPUT!Q1257),"")</f>
        <v>0.59999999999999432</v>
      </c>
      <c r="L1262" s="48">
        <f>IFERROR(IF(OR(INPUT!P1257="",INPUT!Q1257="",INPUT!P1257=0),"",(INPUT!P1257-INPUT!Q1257)/INPUT!P1257),"")</f>
        <v>8.0428954423591732E-3</v>
      </c>
    </row>
    <row r="1263" spans="1:12" ht="18" customHeight="1" x14ac:dyDescent="0.2">
      <c r="A1263" s="11">
        <f>IF(INPUT!M1258="","",INPUT!M1258)</f>
        <v>45983</v>
      </c>
      <c r="B1263" s="11">
        <f>IF(INPUT!M1258="","",INPUT!M1258-WEEKDAY(INPUT!M1258,2)+1)</f>
        <v>45978</v>
      </c>
      <c r="C1263" s="20">
        <f>IFERROR(_xlfn.ISOWEEKNUM(INPUT!M1258),"")</f>
        <v>47</v>
      </c>
      <c r="D1263" s="20">
        <f>IFERROR(YEAR(INPUT!M1258),"")</f>
        <v>2025</v>
      </c>
      <c r="E1263" t="str">
        <f>IF(INPUT!O1258="","",INPUT!O1258)</f>
        <v>DANI</v>
      </c>
      <c r="F1263" t="str">
        <f>IF(INPUT!N1258="","",INPUT!N1258)</f>
        <v>M</v>
      </c>
      <c r="G1263" t="str" cm="1">
        <f t="array" ref="G1263">IFERROR(VLOOKUP(INPUT!M1258&amp;INPUT!N1258,CHOOSE({1,2},INPUT!$A$3:$A$5000&amp;INPUT!$C$3:$C$5000,INPUT!$F$3:$F$5000),2,FALSE),"")</f>
        <v>PRE-TEMPORADA</v>
      </c>
      <c r="H1263" t="str" cm="1">
        <f t="array" ref="H1263">IFERROR(VLOOKUP(INPUT!M1258&amp;INPUT!N1258,CHOOSE({1,2},INPUT!$A$3:$A$5000&amp;INPUT!$C$3:$C$5000,INPUT!$D$3:$D$5000),2,FALSE),"")</f>
        <v>MATINAL</v>
      </c>
      <c r="I1263" s="46">
        <f>IF(INPUT!P1258="","",INPUT!P1258)</f>
        <v>93.8</v>
      </c>
      <c r="J1263" s="46">
        <f>IF(INPUT!Q1258="","",INPUT!Q1258)</f>
        <v>93.5</v>
      </c>
      <c r="K1263" s="46">
        <f>IFERROR(IF(OR(INPUT!P1258="",INPUT!Q1258=""),"",INPUT!P1258-INPUT!Q1258),"")</f>
        <v>0.29999999999999716</v>
      </c>
      <c r="L1263" s="48">
        <f>IFERROR(IF(OR(INPUT!P1258="",INPUT!Q1258="",INPUT!P1258=0),"",(INPUT!P1258-INPUT!Q1258)/INPUT!P1258),"")</f>
        <v>3.1982942430703321E-3</v>
      </c>
    </row>
    <row r="1264" spans="1:12" ht="18" customHeight="1" x14ac:dyDescent="0.2">
      <c r="A1264" s="11">
        <f>IF(INPUT!M1259="","",INPUT!M1259)</f>
        <v>45983</v>
      </c>
      <c r="B1264" s="11">
        <f>IF(INPUT!M1259="","",INPUT!M1259-WEEKDAY(INPUT!M1259,2)+1)</f>
        <v>45978</v>
      </c>
      <c r="C1264" s="20">
        <f>IFERROR(_xlfn.ISOWEEKNUM(INPUT!M1259),"")</f>
        <v>47</v>
      </c>
      <c r="D1264" s="20">
        <f>IFERROR(YEAR(INPUT!M1259),"")</f>
        <v>2025</v>
      </c>
      <c r="E1264" t="str">
        <f>IF(INPUT!O1259="","",INPUT!O1259)</f>
        <v>DANI</v>
      </c>
      <c r="F1264" t="str">
        <f>IF(INPUT!N1259="","",INPUT!N1259)</f>
        <v>T</v>
      </c>
      <c r="G1264" t="str" cm="1">
        <f t="array" ref="G1264">IFERROR(VLOOKUP(INPUT!M1259&amp;INPUT!N1259,CHOOSE({1,2},INPUT!$A$3:$A$5000&amp;INPUT!$C$3:$C$5000,INPUT!$F$3:$F$5000),2,FALSE),"")</f>
        <v>PRE-TEMPORADA</v>
      </c>
      <c r="H1264" t="str" cm="1">
        <f t="array" ref="H1264">IFERROR(VLOOKUP(INPUT!M1259&amp;INPUT!N1259,CHOOSE({1,2},INPUT!$A$3:$A$5000&amp;INPUT!$C$3:$C$5000,INPUT!$D$3:$D$5000),2,FALSE),"")</f>
        <v>PARTIDO</v>
      </c>
      <c r="I1264" s="46">
        <f>IF(INPUT!P1259="","",INPUT!P1259)</f>
        <v>93.5</v>
      </c>
      <c r="J1264" s="46">
        <f>IF(INPUT!Q1259="","",INPUT!Q1259)</f>
        <v>93.2</v>
      </c>
      <c r="K1264" s="46">
        <f>IFERROR(IF(OR(INPUT!P1259="",INPUT!Q1259=""),"",INPUT!P1259-INPUT!Q1259),"")</f>
        <v>0.29999999999999716</v>
      </c>
      <c r="L1264" s="48">
        <f>IFERROR(IF(OR(INPUT!P1259="",INPUT!Q1259="",INPUT!P1259=0),"",(INPUT!P1259-INPUT!Q1259)/INPUT!P1259),"")</f>
        <v>3.20855614973259E-3</v>
      </c>
    </row>
    <row r="1265" spans="1:12" ht="18" customHeight="1" x14ac:dyDescent="0.2">
      <c r="A1265" s="11">
        <f>IF(INPUT!M1260="","",INPUT!M1260)</f>
        <v>45983</v>
      </c>
      <c r="B1265" s="11">
        <f>IF(INPUT!M1260="","",INPUT!M1260-WEEKDAY(INPUT!M1260,2)+1)</f>
        <v>45978</v>
      </c>
      <c r="C1265" s="20">
        <f>IFERROR(_xlfn.ISOWEEKNUM(INPUT!M1260),"")</f>
        <v>47</v>
      </c>
      <c r="D1265" s="20">
        <f>IFERROR(YEAR(INPUT!M1260),"")</f>
        <v>2025</v>
      </c>
      <c r="E1265" t="str">
        <f>IF(INPUT!O1260="","",INPUT!O1260)</f>
        <v>JAIME</v>
      </c>
      <c r="F1265" t="str">
        <f>IF(INPUT!N1260="","",INPUT!N1260)</f>
        <v>M</v>
      </c>
      <c r="G1265" t="str" cm="1">
        <f t="array" ref="G1265">IFERROR(VLOOKUP(INPUT!M1260&amp;INPUT!N1260,CHOOSE({1,2},INPUT!$A$3:$A$5000&amp;INPUT!$C$3:$C$5000,INPUT!$F$3:$F$5000),2,FALSE),"")</f>
        <v>PRE-TEMPORADA</v>
      </c>
      <c r="H1265" t="str" cm="1">
        <f t="array" ref="H1265">IFERROR(VLOOKUP(INPUT!M1260&amp;INPUT!N1260,CHOOSE({1,2},INPUT!$A$3:$A$5000&amp;INPUT!$C$3:$C$5000,INPUT!$D$3:$D$5000),2,FALSE),"")</f>
        <v>MATINAL</v>
      </c>
      <c r="I1265" s="46">
        <f>IF(INPUT!P1260="","",INPUT!P1260)</f>
        <v>75.599999999999994</v>
      </c>
      <c r="J1265" s="46">
        <f>IF(INPUT!Q1260="","",INPUT!Q1260)</f>
        <v>75.599999999999994</v>
      </c>
      <c r="K1265" s="46">
        <f>IFERROR(IF(OR(INPUT!P1260="",INPUT!Q1260=""),"",INPUT!P1260-INPUT!Q1260),"")</f>
        <v>0</v>
      </c>
      <c r="L1265" s="48">
        <f>IFERROR(IF(OR(INPUT!P1260="",INPUT!Q1260="",INPUT!P1260=0),"",(INPUT!P1260-INPUT!Q1260)/INPUT!P1260),"")</f>
        <v>0</v>
      </c>
    </row>
    <row r="1266" spans="1:12" ht="18" customHeight="1" x14ac:dyDescent="0.2">
      <c r="A1266" s="11">
        <f>IF(INPUT!M1261="","",INPUT!M1261)</f>
        <v>45983</v>
      </c>
      <c r="B1266" s="11">
        <f>IF(INPUT!M1261="","",INPUT!M1261-WEEKDAY(INPUT!M1261,2)+1)</f>
        <v>45978</v>
      </c>
      <c r="C1266" s="20">
        <f>IFERROR(_xlfn.ISOWEEKNUM(INPUT!M1261),"")</f>
        <v>47</v>
      </c>
      <c r="D1266" s="20">
        <f>IFERROR(YEAR(INPUT!M1261),"")</f>
        <v>2025</v>
      </c>
      <c r="E1266" t="str">
        <f>IF(INPUT!O1261="","",INPUT!O1261)</f>
        <v>JAIME</v>
      </c>
      <c r="F1266" t="str">
        <f>IF(INPUT!N1261="","",INPUT!N1261)</f>
        <v>T</v>
      </c>
      <c r="G1266" t="str" cm="1">
        <f t="array" ref="G1266">IFERROR(VLOOKUP(INPUT!M1261&amp;INPUT!N1261,CHOOSE({1,2},INPUT!$A$3:$A$5000&amp;INPUT!$C$3:$C$5000,INPUT!$F$3:$F$5000),2,FALSE),"")</f>
        <v>PRE-TEMPORADA</v>
      </c>
      <c r="H1266" t="str" cm="1">
        <f t="array" ref="H1266">IFERROR(VLOOKUP(INPUT!M1261&amp;INPUT!N1261,CHOOSE({1,2},INPUT!$A$3:$A$5000&amp;INPUT!$C$3:$C$5000,INPUT!$D$3:$D$5000),2,FALSE),"")</f>
        <v>PARTIDO</v>
      </c>
      <c r="I1266" s="46">
        <f>IF(INPUT!P1261="","",INPUT!P1261)</f>
        <v>75.7</v>
      </c>
      <c r="J1266" s="46">
        <f>IF(INPUT!Q1261="","",INPUT!Q1261)</f>
        <v>75.400000000000006</v>
      </c>
      <c r="K1266" s="46">
        <f>IFERROR(IF(OR(INPUT!P1261="",INPUT!Q1261=""),"",INPUT!P1261-INPUT!Q1261),"")</f>
        <v>0.29999999999999716</v>
      </c>
      <c r="L1266" s="48">
        <f>IFERROR(IF(OR(INPUT!P1261="",INPUT!Q1261="",INPUT!P1261=0),"",(INPUT!P1261-INPUT!Q1261)/INPUT!P1261),"")</f>
        <v>3.9630118890356296E-3</v>
      </c>
    </row>
    <row r="1267" spans="1:12" ht="18" hidden="1" customHeight="1" x14ac:dyDescent="0.2">
      <c r="A1267" s="11">
        <f>IF(INPUT!M1262="","",INPUT!M1262)</f>
        <v>45985</v>
      </c>
      <c r="B1267" s="11">
        <f>IF(INPUT!M1262="","",INPUT!M1262-WEEKDAY(INPUT!M1262,2)+1)</f>
        <v>45985</v>
      </c>
      <c r="C1267" s="20">
        <f>IFERROR(_xlfn.ISOWEEKNUM(INPUT!M1262),"")</f>
        <v>48</v>
      </c>
      <c r="D1267" s="20">
        <f>IFERROR(YEAR(INPUT!M1262),"")</f>
        <v>2025</v>
      </c>
      <c r="E1267" t="str">
        <f>IF(INPUT!O1262="","",INPUT!O1262)</f>
        <v>HERRERO</v>
      </c>
      <c r="F1267" t="str">
        <f>IF(INPUT!N1262="","",INPUT!N1262)</f>
        <v>M</v>
      </c>
      <c r="G1267" t="str" cm="1">
        <f t="array" ref="G1267">IFERROR(VLOOKUP(INPUT!M1262&amp;INPUT!N1262,CHOOSE({1,2},INPUT!$A$3:$A$5000&amp;INPUT!$C$3:$C$5000,INPUT!$F$3:$F$5000),2,FALSE),"")</f>
        <v>PRE-TEMPORADA</v>
      </c>
      <c r="H1267" t="str" cm="1">
        <f t="array" ref="H1267">IFERROR(VLOOKUP(INPUT!M1262&amp;INPUT!N1262,CHOOSE({1,2},INPUT!$A$3:$A$5000&amp;INPUT!$C$3:$C$5000,INPUT!$D$3:$D$5000),2,FALSE),"")</f>
        <v>TEC-TAC</v>
      </c>
      <c r="I1267" s="46">
        <f>IF(INPUT!P1262="","",INPUT!P1262)</f>
        <v>77</v>
      </c>
      <c r="J1267" s="46">
        <f>IF(INPUT!Q1262="","",INPUT!Q1262)</f>
        <v>76.8</v>
      </c>
      <c r="K1267" s="46">
        <f>IFERROR(IF(OR(INPUT!P1262="",INPUT!Q1262=""),"",INPUT!P1262-INPUT!Q1262),"")</f>
        <v>0.20000000000000284</v>
      </c>
      <c r="L1267" s="48">
        <f>IFERROR(IF(OR(INPUT!P1262="",INPUT!Q1262="",INPUT!P1262=0),"",(INPUT!P1262-INPUT!Q1262)/INPUT!P1262),"")</f>
        <v>2.5974025974026343E-3</v>
      </c>
    </row>
    <row r="1268" spans="1:12" ht="18" hidden="1" customHeight="1" x14ac:dyDescent="0.2">
      <c r="A1268" s="11">
        <f>IF(INPUT!M1263="","",INPUT!M1263)</f>
        <v>45985</v>
      </c>
      <c r="B1268" s="11">
        <f>IF(INPUT!M1263="","",INPUT!M1263-WEEKDAY(INPUT!M1263,2)+1)</f>
        <v>45985</v>
      </c>
      <c r="C1268" s="20">
        <f>IFERROR(_xlfn.ISOWEEKNUM(INPUT!M1263),"")</f>
        <v>48</v>
      </c>
      <c r="D1268" s="20">
        <f>IFERROR(YEAR(INPUT!M1263),"")</f>
        <v>2025</v>
      </c>
      <c r="E1268" t="str">
        <f>IF(INPUT!O1263="","",INPUT!O1263)</f>
        <v>GARCIA</v>
      </c>
      <c r="F1268" t="str">
        <f>IF(INPUT!N1263="","",INPUT!N1263)</f>
        <v>M</v>
      </c>
      <c r="G1268" t="str" cm="1">
        <f t="array" ref="G1268">IFERROR(VLOOKUP(INPUT!M1263&amp;INPUT!N1263,CHOOSE({1,2},INPUT!$A$3:$A$5000&amp;INPUT!$C$3:$C$5000,INPUT!$F$3:$F$5000),2,FALSE),"")</f>
        <v>PRE-TEMPORADA</v>
      </c>
      <c r="H1268" t="str" cm="1">
        <f t="array" ref="H1268">IFERROR(VLOOKUP(INPUT!M1263&amp;INPUT!N1263,CHOOSE({1,2},INPUT!$A$3:$A$5000&amp;INPUT!$C$3:$C$5000,INPUT!$D$3:$D$5000),2,FALSE),"")</f>
        <v>TEC-TAC</v>
      </c>
      <c r="I1268" s="46">
        <f>IF(INPUT!P1263="","",INPUT!P1263)</f>
        <v>78.900000000000006</v>
      </c>
      <c r="J1268" s="46">
        <f>IF(INPUT!Q1263="","",INPUT!Q1263)</f>
        <v>78.400000000000006</v>
      </c>
      <c r="K1268" s="46">
        <f>IFERROR(IF(OR(INPUT!P1263="",INPUT!Q1263=""),"",INPUT!P1263-INPUT!Q1263),"")</f>
        <v>0.5</v>
      </c>
      <c r="L1268" s="48">
        <f>IFERROR(IF(OR(INPUT!P1263="",INPUT!Q1263="",INPUT!P1263=0),"",(INPUT!P1263-INPUT!Q1263)/INPUT!P1263),"")</f>
        <v>6.3371356147021544E-3</v>
      </c>
    </row>
    <row r="1269" spans="1:12" ht="18" hidden="1" customHeight="1" x14ac:dyDescent="0.2">
      <c r="A1269" s="11">
        <f>IF(INPUT!M1264="","",INPUT!M1264)</f>
        <v>45985</v>
      </c>
      <c r="B1269" s="11">
        <f>IF(INPUT!M1264="","",INPUT!M1264-WEEKDAY(INPUT!M1264,2)+1)</f>
        <v>45985</v>
      </c>
      <c r="C1269" s="20">
        <f>IFERROR(_xlfn.ISOWEEKNUM(INPUT!M1264),"")</f>
        <v>48</v>
      </c>
      <c r="D1269" s="20">
        <f>IFERROR(YEAR(INPUT!M1264),"")</f>
        <v>2025</v>
      </c>
      <c r="E1269" t="str">
        <f>IF(INPUT!O1264="","",INPUT!O1264)</f>
        <v>CECILIO</v>
      </c>
      <c r="F1269" t="str">
        <f>IF(INPUT!N1264="","",INPUT!N1264)</f>
        <v>M</v>
      </c>
      <c r="G1269" t="str" cm="1">
        <f t="array" ref="G1269">IFERROR(VLOOKUP(INPUT!M1264&amp;INPUT!N1264,CHOOSE({1,2},INPUT!$A$3:$A$5000&amp;INPUT!$C$3:$C$5000,INPUT!$F$3:$F$5000),2,FALSE),"")</f>
        <v>PRE-TEMPORADA</v>
      </c>
      <c r="H1269" t="str" cm="1">
        <f t="array" ref="H1269">IFERROR(VLOOKUP(INPUT!M1264&amp;INPUT!N1264,CHOOSE({1,2},INPUT!$A$3:$A$5000&amp;INPUT!$C$3:$C$5000,INPUT!$D$3:$D$5000),2,FALSE),"")</f>
        <v>TEC-TAC</v>
      </c>
      <c r="I1269" s="46">
        <f>IF(INPUT!P1264="","",INPUT!P1264)</f>
        <v>67</v>
      </c>
      <c r="J1269" s="46">
        <f>IF(INPUT!Q1264="","",INPUT!Q1264)</f>
        <v>67</v>
      </c>
      <c r="K1269" s="46">
        <f>IFERROR(IF(OR(INPUT!P1264="",INPUT!Q1264=""),"",INPUT!P1264-INPUT!Q1264),"")</f>
        <v>0</v>
      </c>
      <c r="L1269" s="48">
        <f>IFERROR(IF(OR(INPUT!P1264="",INPUT!Q1264="",INPUT!P1264=0),"",(INPUT!P1264-INPUT!Q1264)/INPUT!P1264),"")</f>
        <v>0</v>
      </c>
    </row>
    <row r="1270" spans="1:12" ht="18" hidden="1" customHeight="1" x14ac:dyDescent="0.2">
      <c r="A1270" s="11">
        <f>IF(INPUT!M1265="","",INPUT!M1265)</f>
        <v>45985</v>
      </c>
      <c r="B1270" s="11">
        <f>IF(INPUT!M1265="","",INPUT!M1265-WEEKDAY(INPUT!M1265,2)+1)</f>
        <v>45985</v>
      </c>
      <c r="C1270" s="20">
        <f>IFERROR(_xlfn.ISOWEEKNUM(INPUT!M1265),"")</f>
        <v>48</v>
      </c>
      <c r="D1270" s="20">
        <f>IFERROR(YEAR(INPUT!M1265),"")</f>
        <v>2025</v>
      </c>
      <c r="E1270" t="str">
        <f>IF(INPUT!O1265="","",INPUT!O1265)</f>
        <v>CHAGUINHA</v>
      </c>
      <c r="F1270" t="str">
        <f>IF(INPUT!N1265="","",INPUT!N1265)</f>
        <v>M</v>
      </c>
      <c r="G1270" t="str" cm="1">
        <f t="array" ref="G1270">IFERROR(VLOOKUP(INPUT!M1265&amp;INPUT!N1265,CHOOSE({1,2},INPUT!$A$3:$A$5000&amp;INPUT!$C$3:$C$5000,INPUT!$F$3:$F$5000),2,FALSE),"")</f>
        <v>PRE-TEMPORADA</v>
      </c>
      <c r="H1270" t="str" cm="1">
        <f t="array" ref="H1270">IFERROR(VLOOKUP(INPUT!M1265&amp;INPUT!N1265,CHOOSE({1,2},INPUT!$A$3:$A$5000&amp;INPUT!$C$3:$C$5000,INPUT!$D$3:$D$5000),2,FALSE),"")</f>
        <v>TEC-TAC</v>
      </c>
      <c r="I1270" s="46">
        <f>IF(INPUT!P1265="","",INPUT!P1265)</f>
        <v>69.5</v>
      </c>
      <c r="J1270" s="46">
        <f>IF(INPUT!Q1265="","",INPUT!Q1265)</f>
        <v>69</v>
      </c>
      <c r="K1270" s="46">
        <f>IFERROR(IF(OR(INPUT!P1265="",INPUT!Q1265=""),"",INPUT!P1265-INPUT!Q1265),"")</f>
        <v>0.5</v>
      </c>
      <c r="L1270" s="48">
        <f>IFERROR(IF(OR(INPUT!P1265="",INPUT!Q1265="",INPUT!P1265=0),"",(INPUT!P1265-INPUT!Q1265)/INPUT!P1265),"")</f>
        <v>7.1942446043165471E-3</v>
      </c>
    </row>
    <row r="1271" spans="1:12" ht="18" hidden="1" customHeight="1" x14ac:dyDescent="0.2">
      <c r="A1271" s="11">
        <f>IF(INPUT!M1266="","",INPUT!M1266)</f>
        <v>45985</v>
      </c>
      <c r="B1271" s="11">
        <f>IF(INPUT!M1266="","",INPUT!M1266-WEEKDAY(INPUT!M1266,2)+1)</f>
        <v>45985</v>
      </c>
      <c r="C1271" s="20">
        <f>IFERROR(_xlfn.ISOWEEKNUM(INPUT!M1266),"")</f>
        <v>48</v>
      </c>
      <c r="D1271" s="20">
        <f>IFERROR(YEAR(INPUT!M1266),"")</f>
        <v>2025</v>
      </c>
      <c r="E1271" t="str">
        <f>IF(INPUT!O1266="","",INPUT!O1266)</f>
        <v>RAUL</v>
      </c>
      <c r="F1271" t="str">
        <f>IF(INPUT!N1266="","",INPUT!N1266)</f>
        <v>M</v>
      </c>
      <c r="G1271" t="str" cm="1">
        <f t="array" ref="G1271">IFERROR(VLOOKUP(INPUT!M1266&amp;INPUT!N1266,CHOOSE({1,2},INPUT!$A$3:$A$5000&amp;INPUT!$C$3:$C$5000,INPUT!$F$3:$F$5000),2,FALSE),"")</f>
        <v>PRE-TEMPORADA</v>
      </c>
      <c r="H1271" t="str" cm="1">
        <f t="array" ref="H1271">IFERROR(VLOOKUP(INPUT!M1266&amp;INPUT!N1266,CHOOSE({1,2},INPUT!$A$3:$A$5000&amp;INPUT!$C$3:$C$5000,INPUT!$D$3:$D$5000),2,FALSE),"")</f>
        <v>TEC-TAC</v>
      </c>
      <c r="I1271" s="46">
        <f>IF(INPUT!P1266="","",INPUT!P1266)</f>
        <v>80</v>
      </c>
      <c r="J1271" s="46">
        <f>IF(INPUT!Q1266="","",INPUT!Q1266)</f>
        <v>80.5</v>
      </c>
      <c r="K1271" s="46">
        <f>IFERROR(IF(OR(INPUT!P1266="",INPUT!Q1266=""),"",INPUT!P1266-INPUT!Q1266),"")</f>
        <v>-0.5</v>
      </c>
      <c r="L1271" s="48">
        <f>IFERROR(IF(OR(INPUT!P1266="",INPUT!Q1266="",INPUT!P1266=0),"",(INPUT!P1266-INPUT!Q1266)/INPUT!P1266),"")</f>
        <v>-6.2500000000000003E-3</v>
      </c>
    </row>
    <row r="1272" spans="1:12" ht="18" hidden="1" customHeight="1" x14ac:dyDescent="0.2">
      <c r="A1272" s="11">
        <f>IF(INPUT!M1267="","",INPUT!M1267)</f>
        <v>45985</v>
      </c>
      <c r="B1272" s="11">
        <f>IF(INPUT!M1267="","",INPUT!M1267-WEEKDAY(INPUT!M1267,2)+1)</f>
        <v>45985</v>
      </c>
      <c r="C1272" s="20">
        <f>IFERROR(_xlfn.ISOWEEKNUM(INPUT!M1267),"")</f>
        <v>48</v>
      </c>
      <c r="D1272" s="20">
        <f>IFERROR(YEAR(INPUT!M1267),"")</f>
        <v>2025</v>
      </c>
      <c r="E1272" t="str">
        <f>IF(INPUT!O1267="","",INPUT!O1267)</f>
        <v>HARRISON</v>
      </c>
      <c r="F1272" t="str">
        <f>IF(INPUT!N1267="","",INPUT!N1267)</f>
        <v>M</v>
      </c>
      <c r="G1272" t="str" cm="1">
        <f t="array" ref="G1272">IFERROR(VLOOKUP(INPUT!M1267&amp;INPUT!N1267,CHOOSE({1,2},INPUT!$A$3:$A$5000&amp;INPUT!$C$3:$C$5000,INPUT!$F$3:$F$5000),2,FALSE),"")</f>
        <v>PRE-TEMPORADA</v>
      </c>
      <c r="H1272" t="str" cm="1">
        <f t="array" ref="H1272">IFERROR(VLOOKUP(INPUT!M1267&amp;INPUT!N1267,CHOOSE({1,2},INPUT!$A$3:$A$5000&amp;INPUT!$C$3:$C$5000,INPUT!$D$3:$D$5000),2,FALSE),"")</f>
        <v>TEC-TAC</v>
      </c>
      <c r="I1272" s="46">
        <f>IF(INPUT!P1267="","",INPUT!P1267)</f>
        <v>69.7</v>
      </c>
      <c r="J1272" s="46">
        <f>IF(INPUT!Q1267="","",INPUT!Q1267)</f>
        <v>69.5</v>
      </c>
      <c r="K1272" s="46">
        <f>IFERROR(IF(OR(INPUT!P1267="",INPUT!Q1267=""),"",INPUT!P1267-INPUT!Q1267),"")</f>
        <v>0.20000000000000284</v>
      </c>
      <c r="L1272" s="48">
        <f>IFERROR(IF(OR(INPUT!P1267="",INPUT!Q1267="",INPUT!P1267=0),"",(INPUT!P1267-INPUT!Q1267)/INPUT!P1267),"")</f>
        <v>2.8694404591105139E-3</v>
      </c>
    </row>
    <row r="1273" spans="1:12" ht="18" hidden="1" customHeight="1" x14ac:dyDescent="0.2">
      <c r="A1273" s="11">
        <f>IF(INPUT!M1268="","",INPUT!M1268)</f>
        <v>45985</v>
      </c>
      <c r="B1273" s="11">
        <f>IF(INPUT!M1268="","",INPUT!M1268-WEEKDAY(INPUT!M1268,2)+1)</f>
        <v>45985</v>
      </c>
      <c r="C1273" s="20">
        <f>IFERROR(_xlfn.ISOWEEKNUM(INPUT!M1268),"")</f>
        <v>48</v>
      </c>
      <c r="D1273" s="20">
        <f>IFERROR(YEAR(INPUT!M1268),"")</f>
        <v>2025</v>
      </c>
      <c r="E1273" t="str">
        <f>IF(INPUT!O1268="","",INPUT!O1268)</f>
        <v>RAYA</v>
      </c>
      <c r="F1273" t="str">
        <f>IF(INPUT!N1268="","",INPUT!N1268)</f>
        <v>M</v>
      </c>
      <c r="G1273" t="str" cm="1">
        <f t="array" ref="G1273">IFERROR(VLOOKUP(INPUT!M1268&amp;INPUT!N1268,CHOOSE({1,2},INPUT!$A$3:$A$5000&amp;INPUT!$C$3:$C$5000,INPUT!$F$3:$F$5000),2,FALSE),"")</f>
        <v>PRE-TEMPORADA</v>
      </c>
      <c r="H1273" t="str" cm="1">
        <f t="array" ref="H1273">IFERROR(VLOOKUP(INPUT!M1268&amp;INPUT!N1268,CHOOSE({1,2},INPUT!$A$3:$A$5000&amp;INPUT!$C$3:$C$5000,INPUT!$D$3:$D$5000),2,FALSE),"")</f>
        <v>TEC-TAC</v>
      </c>
      <c r="I1273" s="46">
        <f>IF(INPUT!P1268="","",INPUT!P1268)</f>
        <v>82</v>
      </c>
      <c r="J1273" s="46">
        <f>IF(INPUT!Q1268="","",INPUT!Q1268)</f>
        <v>80.5</v>
      </c>
      <c r="K1273" s="46">
        <f>IFERROR(IF(OR(INPUT!P1268="",INPUT!Q1268=""),"",INPUT!P1268-INPUT!Q1268),"")</f>
        <v>1.5</v>
      </c>
      <c r="L1273" s="48">
        <f>IFERROR(IF(OR(INPUT!P1268="",INPUT!Q1268="",INPUT!P1268=0),"",(INPUT!P1268-INPUT!Q1268)/INPUT!P1268),"")</f>
        <v>1.8292682926829267E-2</v>
      </c>
    </row>
    <row r="1274" spans="1:12" ht="18" hidden="1" customHeight="1" x14ac:dyDescent="0.2">
      <c r="A1274" s="11">
        <f>IF(INPUT!M1269="","",INPUT!M1269)</f>
        <v>45985</v>
      </c>
      <c r="B1274" s="11">
        <f>IF(INPUT!M1269="","",INPUT!M1269-WEEKDAY(INPUT!M1269,2)+1)</f>
        <v>45985</v>
      </c>
      <c r="C1274" s="20">
        <f>IFERROR(_xlfn.ISOWEEKNUM(INPUT!M1269),"")</f>
        <v>48</v>
      </c>
      <c r="D1274" s="20">
        <f>IFERROR(YEAR(INPUT!M1269),"")</f>
        <v>2025</v>
      </c>
      <c r="E1274" t="str">
        <f>IF(INPUT!O1269="","",INPUT!O1269)</f>
        <v>JAVI</v>
      </c>
      <c r="F1274" t="str">
        <f>IF(INPUT!N1269="","",INPUT!N1269)</f>
        <v>M</v>
      </c>
      <c r="G1274" t="str" cm="1">
        <f t="array" ref="G1274">IFERROR(VLOOKUP(INPUT!M1269&amp;INPUT!N1269,CHOOSE({1,2},INPUT!$A$3:$A$5000&amp;INPUT!$C$3:$C$5000,INPUT!$F$3:$F$5000),2,FALSE),"")</f>
        <v>PRE-TEMPORADA</v>
      </c>
      <c r="H1274" t="str" cm="1">
        <f t="array" ref="H1274">IFERROR(VLOOKUP(INPUT!M1269&amp;INPUT!N1269,CHOOSE({1,2},INPUT!$A$3:$A$5000&amp;INPUT!$C$3:$C$5000,INPUT!$D$3:$D$5000),2,FALSE),"")</f>
        <v>TEC-TAC</v>
      </c>
      <c r="I1274" s="46">
        <f>IF(INPUT!P1269="","",INPUT!P1269)</f>
        <v>78</v>
      </c>
      <c r="J1274" s="46">
        <f>IF(INPUT!Q1269="","",INPUT!Q1269)</f>
        <v>78</v>
      </c>
      <c r="K1274" s="46">
        <f>IFERROR(IF(OR(INPUT!P1269="",INPUT!Q1269=""),"",INPUT!P1269-INPUT!Q1269),"")</f>
        <v>0</v>
      </c>
      <c r="L1274" s="48">
        <f>IFERROR(IF(OR(INPUT!P1269="",INPUT!Q1269="",INPUT!P1269=0),"",(INPUT!P1269-INPUT!Q1269)/INPUT!P1269),"")</f>
        <v>0</v>
      </c>
    </row>
    <row r="1275" spans="1:12" ht="18" hidden="1" customHeight="1" x14ac:dyDescent="0.2">
      <c r="A1275" s="11">
        <f>IF(INPUT!M1270="","",INPUT!M1270)</f>
        <v>45985</v>
      </c>
      <c r="B1275" s="11">
        <f>IF(INPUT!M1270="","",INPUT!M1270-WEEKDAY(INPUT!M1270,2)+1)</f>
        <v>45985</v>
      </c>
      <c r="C1275" s="20">
        <f>IFERROR(_xlfn.ISOWEEKNUM(INPUT!M1270),"")</f>
        <v>48</v>
      </c>
      <c r="D1275" s="20">
        <f>IFERROR(YEAR(INPUT!M1270),"")</f>
        <v>2025</v>
      </c>
      <c r="E1275" t="str">
        <f>IF(INPUT!O1270="","",INPUT!O1270)</f>
        <v>PANI</v>
      </c>
      <c r="F1275" t="str">
        <f>IF(INPUT!N1270="","",INPUT!N1270)</f>
        <v>M</v>
      </c>
      <c r="G1275" t="str" cm="1">
        <f t="array" ref="G1275">IFERROR(VLOOKUP(INPUT!M1270&amp;INPUT!N1270,CHOOSE({1,2},INPUT!$A$3:$A$5000&amp;INPUT!$C$3:$C$5000,INPUT!$F$3:$F$5000),2,FALSE),"")</f>
        <v>PRE-TEMPORADA</v>
      </c>
      <c r="H1275" t="str" cm="1">
        <f t="array" ref="H1275">IFERROR(VLOOKUP(INPUT!M1270&amp;INPUT!N1270,CHOOSE({1,2},INPUT!$A$3:$A$5000&amp;INPUT!$C$3:$C$5000,INPUT!$D$3:$D$5000),2,FALSE),"")</f>
        <v>TEC-TAC</v>
      </c>
      <c r="I1275" s="46">
        <f>IF(INPUT!P1270="","",INPUT!P1270)</f>
        <v>67.7</v>
      </c>
      <c r="J1275" s="46">
        <f>IF(INPUT!Q1270="","",INPUT!Q1270)</f>
        <v>67.7</v>
      </c>
      <c r="K1275" s="46">
        <f>IFERROR(IF(OR(INPUT!P1270="",INPUT!Q1270=""),"",INPUT!P1270-INPUT!Q1270),"")</f>
        <v>0</v>
      </c>
      <c r="L1275" s="48">
        <f>IFERROR(IF(OR(INPUT!P1270="",INPUT!Q1270="",INPUT!P1270=0),"",(INPUT!P1270-INPUT!Q1270)/INPUT!P1270),"")</f>
        <v>0</v>
      </c>
    </row>
    <row r="1276" spans="1:12" ht="18" hidden="1" customHeight="1" x14ac:dyDescent="0.2">
      <c r="A1276" s="11">
        <f>IF(INPUT!M1271="","",INPUT!M1271)</f>
        <v>45985</v>
      </c>
      <c r="B1276" s="11">
        <f>IF(INPUT!M1271="","",INPUT!M1271-WEEKDAY(INPUT!M1271,2)+1)</f>
        <v>45985</v>
      </c>
      <c r="C1276" s="20">
        <f>IFERROR(_xlfn.ISOWEEKNUM(INPUT!M1271),"")</f>
        <v>48</v>
      </c>
      <c r="D1276" s="20">
        <f>IFERROR(YEAR(INPUT!M1271),"")</f>
        <v>2025</v>
      </c>
      <c r="E1276" t="str">
        <f>IF(INPUT!O1271="","",INPUT!O1271)</f>
        <v>PIRATA</v>
      </c>
      <c r="F1276" t="str">
        <f>IF(INPUT!N1271="","",INPUT!N1271)</f>
        <v>M</v>
      </c>
      <c r="G1276" t="str" cm="1">
        <f t="array" ref="G1276">IFERROR(VLOOKUP(INPUT!M1271&amp;INPUT!N1271,CHOOSE({1,2},INPUT!$A$3:$A$5000&amp;INPUT!$C$3:$C$5000,INPUT!$F$3:$F$5000),2,FALSE),"")</f>
        <v>PRE-TEMPORADA</v>
      </c>
      <c r="H1276" t="str" cm="1">
        <f t="array" ref="H1276">IFERROR(VLOOKUP(INPUT!M1271&amp;INPUT!N1271,CHOOSE({1,2},INPUT!$A$3:$A$5000&amp;INPUT!$C$3:$C$5000,INPUT!$D$3:$D$5000),2,FALSE),"")</f>
        <v>TEC-TAC</v>
      </c>
      <c r="I1276" s="46">
        <f>IF(INPUT!P1271="","",INPUT!P1271)</f>
        <v>74.5</v>
      </c>
      <c r="J1276" s="46">
        <f>IF(INPUT!Q1271="","",INPUT!Q1271)</f>
        <v>74.3</v>
      </c>
      <c r="K1276" s="46">
        <f>IFERROR(IF(OR(INPUT!P1271="",INPUT!Q1271=""),"",INPUT!P1271-INPUT!Q1271),"")</f>
        <v>0.20000000000000284</v>
      </c>
      <c r="L1276" s="48">
        <f>IFERROR(IF(OR(INPUT!P1271="",INPUT!Q1271="",INPUT!P1271=0),"",(INPUT!P1271-INPUT!Q1271)/INPUT!P1271),"")</f>
        <v>2.6845637583892998E-3</v>
      </c>
    </row>
    <row r="1277" spans="1:12" ht="18" hidden="1" customHeight="1" x14ac:dyDescent="0.2">
      <c r="A1277" s="11">
        <f>IF(INPUT!M1272="","",INPUT!M1272)</f>
        <v>45985</v>
      </c>
      <c r="B1277" s="11">
        <f>IF(INPUT!M1272="","",INPUT!M1272-WEEKDAY(INPUT!M1272,2)+1)</f>
        <v>45985</v>
      </c>
      <c r="C1277" s="20">
        <f>IFERROR(_xlfn.ISOWEEKNUM(INPUT!M1272),"")</f>
        <v>48</v>
      </c>
      <c r="D1277" s="20">
        <f>IFERROR(YEAR(INPUT!M1272),"")</f>
        <v>2025</v>
      </c>
      <c r="E1277" t="str">
        <f>IF(INPUT!O1272="","",INPUT!O1272)</f>
        <v>BARONA</v>
      </c>
      <c r="F1277" t="str">
        <f>IF(INPUT!N1272="","",INPUT!N1272)</f>
        <v>M</v>
      </c>
      <c r="G1277" t="str" cm="1">
        <f t="array" ref="G1277">IFERROR(VLOOKUP(INPUT!M1272&amp;INPUT!N1272,CHOOSE({1,2},INPUT!$A$3:$A$5000&amp;INPUT!$C$3:$C$5000,INPUT!$F$3:$F$5000),2,FALSE),"")</f>
        <v>PRE-TEMPORADA</v>
      </c>
      <c r="H1277" t="str" cm="1">
        <f t="array" ref="H1277">IFERROR(VLOOKUP(INPUT!M1272&amp;INPUT!N1272,CHOOSE({1,2},INPUT!$A$3:$A$5000&amp;INPUT!$C$3:$C$5000,INPUT!$D$3:$D$5000),2,FALSE),"")</f>
        <v>TEC-TAC</v>
      </c>
      <c r="I1277" s="46">
        <f>IF(INPUT!P1272="","",INPUT!P1272)</f>
        <v>71.2</v>
      </c>
      <c r="J1277" s="46">
        <f>IF(INPUT!Q1272="","",INPUT!Q1272)</f>
        <v>71.099999999999994</v>
      </c>
      <c r="K1277" s="46">
        <f>IFERROR(IF(OR(INPUT!P1272="",INPUT!Q1272=""),"",INPUT!P1272-INPUT!Q1272),"")</f>
        <v>0.10000000000000853</v>
      </c>
      <c r="L1277" s="48">
        <f>IFERROR(IF(OR(INPUT!P1272="",INPUT!Q1272="",INPUT!P1272=0),"",(INPUT!P1272-INPUT!Q1272)/INPUT!P1272),"")</f>
        <v>1.4044943820225916E-3</v>
      </c>
    </row>
    <row r="1278" spans="1:12" ht="18" hidden="1" customHeight="1" x14ac:dyDescent="0.2">
      <c r="A1278" s="11">
        <f>IF(INPUT!M1273="","",INPUT!M1273)</f>
        <v>45985</v>
      </c>
      <c r="B1278" s="11">
        <f>IF(INPUT!M1273="","",INPUT!M1273-WEEKDAY(INPUT!M1273,2)+1)</f>
        <v>45985</v>
      </c>
      <c r="C1278" s="20">
        <f>IFERROR(_xlfn.ISOWEEKNUM(INPUT!M1273),"")</f>
        <v>48</v>
      </c>
      <c r="D1278" s="20">
        <f>IFERROR(YEAR(INPUT!M1273),"")</f>
        <v>2025</v>
      </c>
      <c r="E1278" t="str">
        <f>IF(INPUT!O1273="","",INPUT!O1273)</f>
        <v>CARLOS</v>
      </c>
      <c r="F1278" t="str">
        <f>IF(INPUT!N1273="","",INPUT!N1273)</f>
        <v>M</v>
      </c>
      <c r="G1278" t="str" cm="1">
        <f t="array" ref="G1278">IFERROR(VLOOKUP(INPUT!M1273&amp;INPUT!N1273,CHOOSE({1,2},INPUT!$A$3:$A$5000&amp;INPUT!$C$3:$C$5000,INPUT!$F$3:$F$5000),2,FALSE),"")</f>
        <v>PRE-TEMPORADA</v>
      </c>
      <c r="H1278" t="str" cm="1">
        <f t="array" ref="H1278">IFERROR(VLOOKUP(INPUT!M1273&amp;INPUT!N1273,CHOOSE({1,2},INPUT!$A$3:$A$5000&amp;INPUT!$C$3:$C$5000,INPUT!$D$3:$D$5000),2,FALSE),"")</f>
        <v>TEC-TAC</v>
      </c>
      <c r="I1278" s="46">
        <f>IF(INPUT!P1273="","",INPUT!P1273)</f>
        <v>68</v>
      </c>
      <c r="J1278" s="46">
        <f>IF(INPUT!Q1273="","",INPUT!Q1273)</f>
        <v>67.7</v>
      </c>
      <c r="K1278" s="46">
        <f>IFERROR(IF(OR(INPUT!P1273="",INPUT!Q1273=""),"",INPUT!P1273-INPUT!Q1273),"")</f>
        <v>0.29999999999999716</v>
      </c>
      <c r="L1278" s="48">
        <f>IFERROR(IF(OR(INPUT!P1273="",INPUT!Q1273="",INPUT!P1273=0),"",(INPUT!P1273-INPUT!Q1273)/INPUT!P1273),"")</f>
        <v>4.4117647058823112E-3</v>
      </c>
    </row>
    <row r="1279" spans="1:12" ht="18" hidden="1" customHeight="1" x14ac:dyDescent="0.2">
      <c r="A1279" s="11">
        <f>IF(INPUT!M1274="","",INPUT!M1274)</f>
        <v>45985</v>
      </c>
      <c r="B1279" s="11">
        <f>IF(INPUT!M1274="","",INPUT!M1274-WEEKDAY(INPUT!M1274,2)+1)</f>
        <v>45985</v>
      </c>
      <c r="C1279" s="20">
        <f>IFERROR(_xlfn.ISOWEEKNUM(INPUT!M1274),"")</f>
        <v>48</v>
      </c>
      <c r="D1279" s="20">
        <f>IFERROR(YEAR(INPUT!M1274),"")</f>
        <v>2025</v>
      </c>
      <c r="E1279" t="str">
        <f>IF(INPUT!O1274="","",INPUT!O1274)</f>
        <v>RUBIO</v>
      </c>
      <c r="F1279" t="str">
        <f>IF(INPUT!N1274="","",INPUT!N1274)</f>
        <v>M</v>
      </c>
      <c r="G1279" t="str" cm="1">
        <f t="array" ref="G1279">IFERROR(VLOOKUP(INPUT!M1274&amp;INPUT!N1274,CHOOSE({1,2},INPUT!$A$3:$A$5000&amp;INPUT!$C$3:$C$5000,INPUT!$F$3:$F$5000),2,FALSE),"")</f>
        <v>PRE-TEMPORADA</v>
      </c>
      <c r="H1279" t="str" cm="1">
        <f t="array" ref="H1279">IFERROR(VLOOKUP(INPUT!M1274&amp;INPUT!N1274,CHOOSE({1,2},INPUT!$A$3:$A$5000&amp;INPUT!$C$3:$C$5000,INPUT!$D$3:$D$5000),2,FALSE),"")</f>
        <v>TEC-TAC</v>
      </c>
      <c r="I1279" s="46">
        <f>IF(INPUT!P1274="","",INPUT!P1274)</f>
        <v>76</v>
      </c>
      <c r="J1279" s="46">
        <f>IF(INPUT!Q1274="","",INPUT!Q1274)</f>
        <v>75.8</v>
      </c>
      <c r="K1279" s="46">
        <f>IFERROR(IF(OR(INPUT!P1274="",INPUT!Q1274=""),"",INPUT!P1274-INPUT!Q1274),"")</f>
        <v>0.20000000000000284</v>
      </c>
      <c r="L1279" s="48">
        <f>IFERROR(IF(OR(INPUT!P1274="",INPUT!Q1274="",INPUT!P1274=0),"",(INPUT!P1274-INPUT!Q1274)/INPUT!P1274),"")</f>
        <v>2.6315789473684583E-3</v>
      </c>
    </row>
    <row r="1280" spans="1:12" ht="18" hidden="1" customHeight="1" x14ac:dyDescent="0.2">
      <c r="A1280" s="11">
        <f>IF(INPUT!M1275="","",INPUT!M1275)</f>
        <v>45985</v>
      </c>
      <c r="B1280" s="11">
        <f>IF(INPUT!M1275="","",INPUT!M1275-WEEKDAY(INPUT!M1275,2)+1)</f>
        <v>45985</v>
      </c>
      <c r="C1280" s="20">
        <f>IFERROR(_xlfn.ISOWEEKNUM(INPUT!M1275),"")</f>
        <v>48</v>
      </c>
      <c r="D1280" s="20">
        <f>IFERROR(YEAR(INPUT!M1275),"")</f>
        <v>2025</v>
      </c>
      <c r="E1280" t="str">
        <f>IF(INPUT!O1275="","",INPUT!O1275)</f>
        <v>DANI</v>
      </c>
      <c r="F1280" t="str">
        <f>IF(INPUT!N1275="","",INPUT!N1275)</f>
        <v>M</v>
      </c>
      <c r="G1280" t="str" cm="1">
        <f t="array" ref="G1280">IFERROR(VLOOKUP(INPUT!M1275&amp;INPUT!N1275,CHOOSE({1,2},INPUT!$A$3:$A$5000&amp;INPUT!$C$3:$C$5000,INPUT!$F$3:$F$5000),2,FALSE),"")</f>
        <v>PRE-TEMPORADA</v>
      </c>
      <c r="H1280" t="str" cm="1">
        <f t="array" ref="H1280">IFERROR(VLOOKUP(INPUT!M1275&amp;INPUT!N1275,CHOOSE({1,2},INPUT!$A$3:$A$5000&amp;INPUT!$C$3:$C$5000,INPUT!$D$3:$D$5000),2,FALSE),"")</f>
        <v>TEC-TAC</v>
      </c>
      <c r="I1280" s="46">
        <f>IF(INPUT!P1275="","",INPUT!P1275)</f>
        <v>93.4</v>
      </c>
      <c r="J1280" s="46">
        <f>IF(INPUT!Q1275="","",INPUT!Q1275)</f>
        <v>93.1</v>
      </c>
      <c r="K1280" s="46">
        <f>IFERROR(IF(OR(INPUT!P1275="",INPUT!Q1275=""),"",INPUT!P1275-INPUT!Q1275),"")</f>
        <v>0.30000000000001137</v>
      </c>
      <c r="L1280" s="48">
        <f>IFERROR(IF(OR(INPUT!P1275="",INPUT!Q1275="",INPUT!P1275=0),"",(INPUT!P1275-INPUT!Q1275)/INPUT!P1275),"")</f>
        <v>3.2119914346896289E-3</v>
      </c>
    </row>
    <row r="1281" spans="1:12" ht="18" hidden="1" customHeight="1" x14ac:dyDescent="0.2">
      <c r="A1281" s="11">
        <f>IF(INPUT!M1276="","",INPUT!M1276)</f>
        <v>45985</v>
      </c>
      <c r="B1281" s="11">
        <f>IF(INPUT!M1276="","",INPUT!M1276-WEEKDAY(INPUT!M1276,2)+1)</f>
        <v>45985</v>
      </c>
      <c r="C1281" s="20">
        <f>IFERROR(_xlfn.ISOWEEKNUM(INPUT!M1276),"")</f>
        <v>48</v>
      </c>
      <c r="D1281" s="20">
        <f>IFERROR(YEAR(INPUT!M1276),"")</f>
        <v>2025</v>
      </c>
      <c r="E1281" t="str">
        <f>IF(INPUT!O1276="","",INPUT!O1276)</f>
        <v>JAIME</v>
      </c>
      <c r="F1281" t="str">
        <f>IF(INPUT!N1276="","",INPUT!N1276)</f>
        <v>M</v>
      </c>
      <c r="G1281" t="str" cm="1">
        <f t="array" ref="G1281">IFERROR(VLOOKUP(INPUT!M1276&amp;INPUT!N1276,CHOOSE({1,2},INPUT!$A$3:$A$5000&amp;INPUT!$C$3:$C$5000,INPUT!$F$3:$F$5000),2,FALSE),"")</f>
        <v>PRE-TEMPORADA</v>
      </c>
      <c r="H1281" t="str" cm="1">
        <f t="array" ref="H1281">IFERROR(VLOOKUP(INPUT!M1276&amp;INPUT!N1276,CHOOSE({1,2},INPUT!$A$3:$A$5000&amp;INPUT!$C$3:$C$5000,INPUT!$D$3:$D$5000),2,FALSE),"")</f>
        <v>TEC-TAC</v>
      </c>
      <c r="I1281" s="46">
        <f>IF(INPUT!P1276="","",INPUT!P1276)</f>
        <v>76</v>
      </c>
      <c r="J1281" s="46">
        <f>IF(INPUT!Q1276="","",INPUT!Q1276)</f>
        <v>76</v>
      </c>
      <c r="K1281" s="46">
        <f>IFERROR(IF(OR(INPUT!P1276="",INPUT!Q1276=""),"",INPUT!P1276-INPUT!Q1276),"")</f>
        <v>0</v>
      </c>
      <c r="L1281" s="48">
        <f>IFERROR(IF(OR(INPUT!P1276="",INPUT!Q1276="",INPUT!P1276=0),"",(INPUT!P1276-INPUT!Q1276)/INPUT!P1276),"")</f>
        <v>0</v>
      </c>
    </row>
    <row r="1282" spans="1:12" ht="18" customHeight="1" x14ac:dyDescent="0.2">
      <c r="A1282" s="11">
        <f>IF(INPUT!M1277="","",INPUT!M1277)</f>
        <v>45986</v>
      </c>
      <c r="B1282" s="11">
        <f>IF(INPUT!M1277="","",INPUT!M1277-WEEKDAY(INPUT!M1277,2)+1)</f>
        <v>45985</v>
      </c>
      <c r="C1282" s="20">
        <f>IFERROR(_xlfn.ISOWEEKNUM(INPUT!M1277),"")</f>
        <v>48</v>
      </c>
      <c r="D1282" s="20">
        <f>IFERROR(YEAR(INPUT!M1277),"")</f>
        <v>2025</v>
      </c>
      <c r="E1282" t="str">
        <f>IF(INPUT!O1277="","",INPUT!O1277)</f>
        <v>HERRERO</v>
      </c>
      <c r="F1282" t="str">
        <f>IF(INPUT!N1277="","",INPUT!N1277)</f>
        <v>M</v>
      </c>
      <c r="G1282" t="str" cm="1">
        <f t="array" ref="G1282">IFERROR(VLOOKUP(INPUT!M1277&amp;INPUT!N1277,CHOOSE({1,2},INPUT!$A$3:$A$5000&amp;INPUT!$C$3:$C$5000,INPUT!$F$3:$F$5000),2,FALSE),"")</f>
        <v>PRE-TEMPORADA</v>
      </c>
      <c r="H1282" t="str" cm="1">
        <f t="array" ref="H1282">IFERROR(VLOOKUP(INPUT!M1277&amp;INPUT!N1277,CHOOSE({1,2},INPUT!$A$3:$A$5000&amp;INPUT!$C$3:$C$5000,INPUT!$D$3:$D$5000),2,FALSE),"")</f>
        <v>MATINAL</v>
      </c>
      <c r="I1282" s="46">
        <f>IF(INPUT!P1277="","",INPUT!P1277)</f>
        <v>76.8</v>
      </c>
      <c r="J1282" s="46">
        <f>IF(INPUT!Q1277="","",INPUT!Q1277)</f>
        <v>76.599999999999994</v>
      </c>
      <c r="K1282" s="46">
        <f>IFERROR(IF(OR(INPUT!P1277="",INPUT!Q1277=""),"",INPUT!P1277-INPUT!Q1277),"")</f>
        <v>0.20000000000000284</v>
      </c>
      <c r="L1282" s="48">
        <f>IFERROR(IF(OR(INPUT!P1277="",INPUT!Q1277="",INPUT!P1277=0),"",(INPUT!P1277-INPUT!Q1277)/INPUT!P1277),"")</f>
        <v>2.6041666666667038E-3</v>
      </c>
    </row>
    <row r="1283" spans="1:12" ht="18" customHeight="1" x14ac:dyDescent="0.2">
      <c r="A1283" s="11">
        <f>IF(INPUT!M1278="","",INPUT!M1278)</f>
        <v>45986</v>
      </c>
      <c r="B1283" s="11">
        <f>IF(INPUT!M1278="","",INPUT!M1278-WEEKDAY(INPUT!M1278,2)+1)</f>
        <v>45985</v>
      </c>
      <c r="C1283" s="20">
        <f>IFERROR(_xlfn.ISOWEEKNUM(INPUT!M1278),"")</f>
        <v>48</v>
      </c>
      <c r="D1283" s="20">
        <f>IFERROR(YEAR(INPUT!M1278),"")</f>
        <v>2025</v>
      </c>
      <c r="E1283" t="str">
        <f>IF(INPUT!O1278="","",INPUT!O1278)</f>
        <v>GARCIA</v>
      </c>
      <c r="F1283" t="str">
        <f>IF(INPUT!N1278="","",INPUT!N1278)</f>
        <v>M</v>
      </c>
      <c r="G1283" t="str" cm="1">
        <f t="array" ref="G1283">IFERROR(VLOOKUP(INPUT!M1278&amp;INPUT!N1278,CHOOSE({1,2},INPUT!$A$3:$A$5000&amp;INPUT!$C$3:$C$5000,INPUT!$F$3:$F$5000),2,FALSE),"")</f>
        <v>PRE-TEMPORADA</v>
      </c>
      <c r="H1283" t="str" cm="1">
        <f t="array" ref="H1283">IFERROR(VLOOKUP(INPUT!M1278&amp;INPUT!N1278,CHOOSE({1,2},INPUT!$A$3:$A$5000&amp;INPUT!$C$3:$C$5000,INPUT!$D$3:$D$5000),2,FALSE),"")</f>
        <v>MATINAL</v>
      </c>
      <c r="I1283" s="46">
        <f>IF(INPUT!P1278="","",INPUT!P1278)</f>
        <v>79</v>
      </c>
      <c r="J1283" s="46">
        <f>IF(INPUT!Q1278="","",INPUT!Q1278)</f>
        <v>79</v>
      </c>
      <c r="K1283" s="46">
        <f>IFERROR(IF(OR(INPUT!P1278="",INPUT!Q1278=""),"",INPUT!P1278-INPUT!Q1278),"")</f>
        <v>0</v>
      </c>
      <c r="L1283" s="48">
        <f>IFERROR(IF(OR(INPUT!P1278="",INPUT!Q1278="",INPUT!P1278=0),"",(INPUT!P1278-INPUT!Q1278)/INPUT!P1278),"")</f>
        <v>0</v>
      </c>
    </row>
    <row r="1284" spans="1:12" ht="18" customHeight="1" x14ac:dyDescent="0.2">
      <c r="A1284" s="11">
        <f>IF(INPUT!M1279="","",INPUT!M1279)</f>
        <v>45986</v>
      </c>
      <c r="B1284" s="11">
        <f>IF(INPUT!M1279="","",INPUT!M1279-WEEKDAY(INPUT!M1279,2)+1)</f>
        <v>45985</v>
      </c>
      <c r="C1284" s="20">
        <f>IFERROR(_xlfn.ISOWEEKNUM(INPUT!M1279),"")</f>
        <v>48</v>
      </c>
      <c r="D1284" s="20">
        <f>IFERROR(YEAR(INPUT!M1279),"")</f>
        <v>2025</v>
      </c>
      <c r="E1284" t="str">
        <f>IF(INPUT!O1279="","",INPUT!O1279)</f>
        <v>CECILIO</v>
      </c>
      <c r="F1284" t="str">
        <f>IF(INPUT!N1279="","",INPUT!N1279)</f>
        <v>M</v>
      </c>
      <c r="G1284" t="str" cm="1">
        <f t="array" ref="G1284">IFERROR(VLOOKUP(INPUT!M1279&amp;INPUT!N1279,CHOOSE({1,2},INPUT!$A$3:$A$5000&amp;INPUT!$C$3:$C$5000,INPUT!$F$3:$F$5000),2,FALSE),"")</f>
        <v>PRE-TEMPORADA</v>
      </c>
      <c r="H1284" t="str" cm="1">
        <f t="array" ref="H1284">IFERROR(VLOOKUP(INPUT!M1279&amp;INPUT!N1279,CHOOSE({1,2},INPUT!$A$3:$A$5000&amp;INPUT!$C$3:$C$5000,INPUT!$D$3:$D$5000),2,FALSE),"")</f>
        <v>MATINAL</v>
      </c>
      <c r="I1284" s="46">
        <f>IF(INPUT!P1279="","",INPUT!P1279)</f>
        <v>67.5</v>
      </c>
      <c r="J1284" s="46">
        <f>IF(INPUT!Q1279="","",INPUT!Q1279)</f>
        <v>67</v>
      </c>
      <c r="K1284" s="46">
        <f>IFERROR(IF(OR(INPUT!P1279="",INPUT!Q1279=""),"",INPUT!P1279-INPUT!Q1279),"")</f>
        <v>0.5</v>
      </c>
      <c r="L1284" s="48">
        <f>IFERROR(IF(OR(INPUT!P1279="",INPUT!Q1279="",INPUT!P1279=0),"",(INPUT!P1279-INPUT!Q1279)/INPUT!P1279),"")</f>
        <v>7.4074074074074077E-3</v>
      </c>
    </row>
    <row r="1285" spans="1:12" ht="18" hidden="1" customHeight="1" x14ac:dyDescent="0.2">
      <c r="A1285" s="11">
        <f>IF(INPUT!M1280="","",INPUT!M1280)</f>
        <v>45986</v>
      </c>
      <c r="B1285" s="11">
        <f>IF(INPUT!M1280="","",INPUT!M1280-WEEKDAY(INPUT!M1280,2)+1)</f>
        <v>45985</v>
      </c>
      <c r="C1285" s="20">
        <f>IFERROR(_xlfn.ISOWEEKNUM(INPUT!M1280),"")</f>
        <v>48</v>
      </c>
      <c r="D1285" s="20">
        <f>IFERROR(YEAR(INPUT!M1280),"")</f>
        <v>2025</v>
      </c>
      <c r="E1285" t="str">
        <f>IF(INPUT!O1280="","",INPUT!O1280)</f>
        <v>CHAGUINHA</v>
      </c>
      <c r="F1285" t="str">
        <f>IF(INPUT!N1280="","",INPUT!N1280)</f>
        <v>M</v>
      </c>
      <c r="G1285" t="str" cm="1">
        <f t="array" ref="G1285">IFERROR(VLOOKUP(INPUT!M1280&amp;INPUT!N1280,CHOOSE({1,2},INPUT!$A$3:$A$5000&amp;INPUT!$C$3:$C$5000,INPUT!$F$3:$F$5000),2,FALSE),"")</f>
        <v>PRE-TEMPORADA</v>
      </c>
      <c r="H1285" t="str" cm="1">
        <f t="array" ref="H1285">IFERROR(VLOOKUP(INPUT!M1280&amp;INPUT!N1280,CHOOSE({1,2},INPUT!$A$3:$A$5000&amp;INPUT!$C$3:$C$5000,INPUT!$D$3:$D$5000),2,FALSE),"")</f>
        <v>MATINAL</v>
      </c>
      <c r="I1285" s="46">
        <f>IF(INPUT!P1280="","",INPUT!P1280)</f>
        <v>69</v>
      </c>
      <c r="J1285" s="46">
        <f>IF(INPUT!Q1280="","",INPUT!Q1280)</f>
        <v>68.7</v>
      </c>
      <c r="K1285" s="46">
        <f>IFERROR(IF(OR(INPUT!P1280="",INPUT!Q1280=""),"",INPUT!P1280-INPUT!Q1280),"")</f>
        <v>0.29999999999999716</v>
      </c>
      <c r="L1285" s="48">
        <f>IFERROR(IF(OR(INPUT!P1280="",INPUT!Q1280="",INPUT!P1280=0),"",(INPUT!P1280-INPUT!Q1280)/INPUT!P1280),"")</f>
        <v>4.3478260869564802E-3</v>
      </c>
    </row>
    <row r="1286" spans="1:12" ht="18" hidden="1" customHeight="1" x14ac:dyDescent="0.2">
      <c r="A1286" s="11">
        <f>IF(INPUT!M1281="","",INPUT!M1281)</f>
        <v>45986</v>
      </c>
      <c r="B1286" s="11">
        <f>IF(INPUT!M1281="","",INPUT!M1281-WEEKDAY(INPUT!M1281,2)+1)</f>
        <v>45985</v>
      </c>
      <c r="C1286" s="20">
        <f>IFERROR(_xlfn.ISOWEEKNUM(INPUT!M1281),"")</f>
        <v>48</v>
      </c>
      <c r="D1286" s="20">
        <f>IFERROR(YEAR(INPUT!M1281),"")</f>
        <v>2025</v>
      </c>
      <c r="E1286" t="str">
        <f>IF(INPUT!O1281="","",INPUT!O1281)</f>
        <v>RAUL</v>
      </c>
      <c r="F1286" t="str">
        <f>IF(INPUT!N1281="","",INPUT!N1281)</f>
        <v>M</v>
      </c>
      <c r="G1286" t="str" cm="1">
        <f t="array" ref="G1286">IFERROR(VLOOKUP(INPUT!M1281&amp;INPUT!N1281,CHOOSE({1,2},INPUT!$A$3:$A$5000&amp;INPUT!$C$3:$C$5000,INPUT!$F$3:$F$5000),2,FALSE),"")</f>
        <v>PRE-TEMPORADA</v>
      </c>
      <c r="H1286" t="str" cm="1">
        <f t="array" ref="H1286">IFERROR(VLOOKUP(INPUT!M1281&amp;INPUT!N1281,CHOOSE({1,2},INPUT!$A$3:$A$5000&amp;INPUT!$C$3:$C$5000,INPUT!$D$3:$D$5000),2,FALSE),"")</f>
        <v>MATINAL</v>
      </c>
      <c r="I1286" s="46">
        <f>IF(INPUT!P1281="","",INPUT!P1281)</f>
        <v>80.5</v>
      </c>
      <c r="J1286" s="46">
        <f>IF(INPUT!Q1281="","",INPUT!Q1281)</f>
        <v>80.2</v>
      </c>
      <c r="K1286" s="46">
        <f>IFERROR(IF(OR(INPUT!P1281="",INPUT!Q1281=""),"",INPUT!P1281-INPUT!Q1281),"")</f>
        <v>0.29999999999999716</v>
      </c>
      <c r="L1286" s="48">
        <f>IFERROR(IF(OR(INPUT!P1281="",INPUT!Q1281="",INPUT!P1281=0),"",(INPUT!P1281-INPUT!Q1281)/INPUT!P1281),"")</f>
        <v>3.7267080745341263E-3</v>
      </c>
    </row>
    <row r="1287" spans="1:12" ht="18" hidden="1" customHeight="1" x14ac:dyDescent="0.2">
      <c r="A1287" s="11">
        <f>IF(INPUT!M1282="","",INPUT!M1282)</f>
        <v>45986</v>
      </c>
      <c r="B1287" s="11">
        <f>IF(INPUT!M1282="","",INPUT!M1282-WEEKDAY(INPUT!M1282,2)+1)</f>
        <v>45985</v>
      </c>
      <c r="C1287" s="20">
        <f>IFERROR(_xlfn.ISOWEEKNUM(INPUT!M1282),"")</f>
        <v>48</v>
      </c>
      <c r="D1287" s="20">
        <f>IFERROR(YEAR(INPUT!M1282),"")</f>
        <v>2025</v>
      </c>
      <c r="E1287" t="str">
        <f>IF(INPUT!O1282="","",INPUT!O1282)</f>
        <v>HARRISON</v>
      </c>
      <c r="F1287" t="str">
        <f>IF(INPUT!N1282="","",INPUT!N1282)</f>
        <v>M</v>
      </c>
      <c r="G1287" t="str" cm="1">
        <f t="array" ref="G1287">IFERROR(VLOOKUP(INPUT!M1282&amp;INPUT!N1282,CHOOSE({1,2},INPUT!$A$3:$A$5000&amp;INPUT!$C$3:$C$5000,INPUT!$F$3:$F$5000),2,FALSE),"")</f>
        <v>PRE-TEMPORADA</v>
      </c>
      <c r="H1287" t="str" cm="1">
        <f t="array" ref="H1287">IFERROR(VLOOKUP(INPUT!M1282&amp;INPUT!N1282,CHOOSE({1,2},INPUT!$A$3:$A$5000&amp;INPUT!$C$3:$C$5000,INPUT!$D$3:$D$5000),2,FALSE),"")</f>
        <v>MATINAL</v>
      </c>
      <c r="I1287" s="46">
        <f>IF(INPUT!P1282="","",INPUT!P1282)</f>
        <v>69.400000000000006</v>
      </c>
      <c r="J1287" s="46">
        <f>IF(INPUT!Q1282="","",INPUT!Q1282)</f>
        <v>69.099999999999994</v>
      </c>
      <c r="K1287" s="46">
        <f>IFERROR(IF(OR(INPUT!P1282="",INPUT!Q1282=""),"",INPUT!P1282-INPUT!Q1282),"")</f>
        <v>0.30000000000001137</v>
      </c>
      <c r="L1287" s="48">
        <f>IFERROR(IF(OR(INPUT!P1282="",INPUT!Q1282="",INPUT!P1282=0),"",(INPUT!P1282-INPUT!Q1282)/INPUT!P1282),"")</f>
        <v>4.3227665706053508E-3</v>
      </c>
    </row>
    <row r="1288" spans="1:12" ht="18" hidden="1" customHeight="1" x14ac:dyDescent="0.2">
      <c r="A1288" s="11">
        <f>IF(INPUT!M1283="","",INPUT!M1283)</f>
        <v>45986</v>
      </c>
      <c r="B1288" s="11">
        <f>IF(INPUT!M1283="","",INPUT!M1283-WEEKDAY(INPUT!M1283,2)+1)</f>
        <v>45985</v>
      </c>
      <c r="C1288" s="20">
        <f>IFERROR(_xlfn.ISOWEEKNUM(INPUT!M1283),"")</f>
        <v>48</v>
      </c>
      <c r="D1288" s="20">
        <f>IFERROR(YEAR(INPUT!M1283),"")</f>
        <v>2025</v>
      </c>
      <c r="E1288" t="str">
        <f>IF(INPUT!O1283="","",INPUT!O1283)</f>
        <v>RAYA</v>
      </c>
      <c r="F1288" t="str">
        <f>IF(INPUT!N1283="","",INPUT!N1283)</f>
        <v>M</v>
      </c>
      <c r="G1288" t="str" cm="1">
        <f t="array" ref="G1288">IFERROR(VLOOKUP(INPUT!M1283&amp;INPUT!N1283,CHOOSE({1,2},INPUT!$A$3:$A$5000&amp;INPUT!$C$3:$C$5000,INPUT!$F$3:$F$5000),2,FALSE),"")</f>
        <v>PRE-TEMPORADA</v>
      </c>
      <c r="H1288" t="str" cm="1">
        <f t="array" ref="H1288">IFERROR(VLOOKUP(INPUT!M1283&amp;INPUT!N1283,CHOOSE({1,2},INPUT!$A$3:$A$5000&amp;INPUT!$C$3:$C$5000,INPUT!$D$3:$D$5000),2,FALSE),"")</f>
        <v>MATINAL</v>
      </c>
      <c r="I1288" s="46">
        <f>IF(INPUT!P1283="","",INPUT!P1283)</f>
        <v>81.8</v>
      </c>
      <c r="J1288" s="46">
        <f>IF(INPUT!Q1283="","",INPUT!Q1283)</f>
        <v>81.3</v>
      </c>
      <c r="K1288" s="46">
        <f>IFERROR(IF(OR(INPUT!P1283="",INPUT!Q1283=""),"",INPUT!P1283-INPUT!Q1283),"")</f>
        <v>0.5</v>
      </c>
      <c r="L1288" s="48">
        <f>IFERROR(IF(OR(INPUT!P1283="",INPUT!Q1283="",INPUT!P1283=0),"",(INPUT!P1283-INPUT!Q1283)/INPUT!P1283),"")</f>
        <v>6.1124694376528121E-3</v>
      </c>
    </row>
    <row r="1289" spans="1:12" ht="18" hidden="1" customHeight="1" x14ac:dyDescent="0.2">
      <c r="A1289" s="11">
        <f>IF(INPUT!M1284="","",INPUT!M1284)</f>
        <v>45986</v>
      </c>
      <c r="B1289" s="11">
        <f>IF(INPUT!M1284="","",INPUT!M1284-WEEKDAY(INPUT!M1284,2)+1)</f>
        <v>45985</v>
      </c>
      <c r="C1289" s="20">
        <f>IFERROR(_xlfn.ISOWEEKNUM(INPUT!M1284),"")</f>
        <v>48</v>
      </c>
      <c r="D1289" s="20">
        <f>IFERROR(YEAR(INPUT!M1284),"")</f>
        <v>2025</v>
      </c>
      <c r="E1289" t="str">
        <f>IF(INPUT!O1284="","",INPUT!O1284)</f>
        <v>JAVI</v>
      </c>
      <c r="F1289" t="str">
        <f>IF(INPUT!N1284="","",INPUT!N1284)</f>
        <v>M</v>
      </c>
      <c r="G1289" t="str" cm="1">
        <f t="array" ref="G1289">IFERROR(VLOOKUP(INPUT!M1284&amp;INPUT!N1284,CHOOSE({1,2},INPUT!$A$3:$A$5000&amp;INPUT!$C$3:$C$5000,INPUT!$F$3:$F$5000),2,FALSE),"")</f>
        <v>PRE-TEMPORADA</v>
      </c>
      <c r="H1289" t="str" cm="1">
        <f t="array" ref="H1289">IFERROR(VLOOKUP(INPUT!M1284&amp;INPUT!N1284,CHOOSE({1,2},INPUT!$A$3:$A$5000&amp;INPUT!$C$3:$C$5000,INPUT!$D$3:$D$5000),2,FALSE),"")</f>
        <v>MATINAL</v>
      </c>
      <c r="I1289" s="46">
        <f>IF(INPUT!P1284="","",INPUT!P1284)</f>
        <v>76.5</v>
      </c>
      <c r="J1289" s="46">
        <f>IF(INPUT!Q1284="","",INPUT!Q1284)</f>
        <v>76.7</v>
      </c>
      <c r="K1289" s="46">
        <f>IFERROR(IF(OR(INPUT!P1284="",INPUT!Q1284=""),"",INPUT!P1284-INPUT!Q1284),"")</f>
        <v>-0.20000000000000284</v>
      </c>
      <c r="L1289" s="48">
        <f>IFERROR(IF(OR(INPUT!P1284="",INPUT!Q1284="",INPUT!P1284=0),"",(INPUT!P1284-INPUT!Q1284)/INPUT!P1284),"")</f>
        <v>-2.6143790849673574E-3</v>
      </c>
    </row>
    <row r="1290" spans="1:12" ht="18" hidden="1" customHeight="1" x14ac:dyDescent="0.2">
      <c r="A1290" s="11">
        <f>IF(INPUT!M1285="","",INPUT!M1285)</f>
        <v>45986</v>
      </c>
      <c r="B1290" s="11">
        <f>IF(INPUT!M1285="","",INPUT!M1285-WEEKDAY(INPUT!M1285,2)+1)</f>
        <v>45985</v>
      </c>
      <c r="C1290" s="20">
        <f>IFERROR(_xlfn.ISOWEEKNUM(INPUT!M1285),"")</f>
        <v>48</v>
      </c>
      <c r="D1290" s="20">
        <f>IFERROR(YEAR(INPUT!M1285),"")</f>
        <v>2025</v>
      </c>
      <c r="E1290" t="str">
        <f>IF(INPUT!O1285="","",INPUT!O1285)</f>
        <v>PANI</v>
      </c>
      <c r="F1290" t="str">
        <f>IF(INPUT!N1285="","",INPUT!N1285)</f>
        <v>M</v>
      </c>
      <c r="G1290" t="str" cm="1">
        <f t="array" ref="G1290">IFERROR(VLOOKUP(INPUT!M1285&amp;INPUT!N1285,CHOOSE({1,2},INPUT!$A$3:$A$5000&amp;INPUT!$C$3:$C$5000,INPUT!$F$3:$F$5000),2,FALSE),"")</f>
        <v>PRE-TEMPORADA</v>
      </c>
      <c r="H1290" t="str" cm="1">
        <f t="array" ref="H1290">IFERROR(VLOOKUP(INPUT!M1285&amp;INPUT!N1285,CHOOSE({1,2},INPUT!$A$3:$A$5000&amp;INPUT!$C$3:$C$5000,INPUT!$D$3:$D$5000),2,FALSE),"")</f>
        <v>MATINAL</v>
      </c>
      <c r="I1290" s="46">
        <f>IF(INPUT!P1285="","",INPUT!P1285)</f>
        <v>66.400000000000006</v>
      </c>
      <c r="J1290" s="46">
        <f>IF(INPUT!Q1285="","",INPUT!Q1285)</f>
        <v>66.2</v>
      </c>
      <c r="K1290" s="46">
        <f>IFERROR(IF(OR(INPUT!P1285="",INPUT!Q1285=""),"",INPUT!P1285-INPUT!Q1285),"")</f>
        <v>0.20000000000000284</v>
      </c>
      <c r="L1290" s="48">
        <f>IFERROR(IF(OR(INPUT!P1285="",INPUT!Q1285="",INPUT!P1285=0),"",(INPUT!P1285-INPUT!Q1285)/INPUT!P1285),"")</f>
        <v>3.012048192771127E-3</v>
      </c>
    </row>
    <row r="1291" spans="1:12" ht="18" hidden="1" customHeight="1" x14ac:dyDescent="0.2">
      <c r="A1291" s="11">
        <f>IF(INPUT!M1286="","",INPUT!M1286)</f>
        <v>45986</v>
      </c>
      <c r="B1291" s="11">
        <f>IF(INPUT!M1286="","",INPUT!M1286-WEEKDAY(INPUT!M1286,2)+1)</f>
        <v>45985</v>
      </c>
      <c r="C1291" s="20">
        <f>IFERROR(_xlfn.ISOWEEKNUM(INPUT!M1286),"")</f>
        <v>48</v>
      </c>
      <c r="D1291" s="20">
        <f>IFERROR(YEAR(INPUT!M1286),"")</f>
        <v>2025</v>
      </c>
      <c r="E1291" t="str">
        <f>IF(INPUT!O1286="","",INPUT!O1286)</f>
        <v>PIRATA</v>
      </c>
      <c r="F1291" t="str">
        <f>IF(INPUT!N1286="","",INPUT!N1286)</f>
        <v>M</v>
      </c>
      <c r="G1291" t="str" cm="1">
        <f t="array" ref="G1291">IFERROR(VLOOKUP(INPUT!M1286&amp;INPUT!N1286,CHOOSE({1,2},INPUT!$A$3:$A$5000&amp;INPUT!$C$3:$C$5000,INPUT!$F$3:$F$5000),2,FALSE),"")</f>
        <v>PRE-TEMPORADA</v>
      </c>
      <c r="H1291" t="str" cm="1">
        <f t="array" ref="H1291">IFERROR(VLOOKUP(INPUT!M1286&amp;INPUT!N1286,CHOOSE({1,2},INPUT!$A$3:$A$5000&amp;INPUT!$C$3:$C$5000,INPUT!$D$3:$D$5000),2,FALSE),"")</f>
        <v>MATINAL</v>
      </c>
      <c r="I1291" s="46">
        <f>IF(INPUT!P1286="","",INPUT!P1286)</f>
        <v>74.7</v>
      </c>
      <c r="J1291" s="46">
        <f>IF(INPUT!Q1286="","",INPUT!Q1286)</f>
        <v>74.400000000000006</v>
      </c>
      <c r="K1291" s="46">
        <f>IFERROR(IF(OR(INPUT!P1286="",INPUT!Q1286=""),"",INPUT!P1286-INPUT!Q1286),"")</f>
        <v>0.29999999999999716</v>
      </c>
      <c r="L1291" s="48">
        <f>IFERROR(IF(OR(INPUT!P1286="",INPUT!Q1286="",INPUT!P1286=0),"",(INPUT!P1286-INPUT!Q1286)/INPUT!P1286),"")</f>
        <v>4.0160642570280739E-3</v>
      </c>
    </row>
    <row r="1292" spans="1:12" ht="18" hidden="1" customHeight="1" x14ac:dyDescent="0.2">
      <c r="A1292" s="11">
        <f>IF(INPUT!M1287="","",INPUT!M1287)</f>
        <v>45986</v>
      </c>
      <c r="B1292" s="11">
        <f>IF(INPUT!M1287="","",INPUT!M1287-WEEKDAY(INPUT!M1287,2)+1)</f>
        <v>45985</v>
      </c>
      <c r="C1292" s="20">
        <f>IFERROR(_xlfn.ISOWEEKNUM(INPUT!M1287),"")</f>
        <v>48</v>
      </c>
      <c r="D1292" s="20">
        <f>IFERROR(YEAR(INPUT!M1287),"")</f>
        <v>2025</v>
      </c>
      <c r="E1292" t="str">
        <f>IF(INPUT!O1287="","",INPUT!O1287)</f>
        <v>BARONA</v>
      </c>
      <c r="F1292" t="str">
        <f>IF(INPUT!N1287="","",INPUT!N1287)</f>
        <v>M</v>
      </c>
      <c r="G1292" t="str" cm="1">
        <f t="array" ref="G1292">IFERROR(VLOOKUP(INPUT!M1287&amp;INPUT!N1287,CHOOSE({1,2},INPUT!$A$3:$A$5000&amp;INPUT!$C$3:$C$5000,INPUT!$F$3:$F$5000),2,FALSE),"")</f>
        <v>PRE-TEMPORADA</v>
      </c>
      <c r="H1292" t="str" cm="1">
        <f t="array" ref="H1292">IFERROR(VLOOKUP(INPUT!M1287&amp;INPUT!N1287,CHOOSE({1,2},INPUT!$A$3:$A$5000&amp;INPUT!$C$3:$C$5000,INPUT!$D$3:$D$5000),2,FALSE),"")</f>
        <v>MATINAL</v>
      </c>
      <c r="I1292" s="46">
        <f>IF(INPUT!P1287="","",INPUT!P1287)</f>
        <v>71.2</v>
      </c>
      <c r="J1292" s="46">
        <f>IF(INPUT!Q1287="","",INPUT!Q1287)</f>
        <v>71</v>
      </c>
      <c r="K1292" s="46">
        <f>IFERROR(IF(OR(INPUT!P1287="",INPUT!Q1287=""),"",INPUT!P1287-INPUT!Q1287),"")</f>
        <v>0.20000000000000284</v>
      </c>
      <c r="L1292" s="48">
        <f>IFERROR(IF(OR(INPUT!P1287="",INPUT!Q1287="",INPUT!P1287=0),"",(INPUT!P1287-INPUT!Q1287)/INPUT!P1287),"")</f>
        <v>2.8089887640449836E-3</v>
      </c>
    </row>
    <row r="1293" spans="1:12" ht="18" hidden="1" customHeight="1" x14ac:dyDescent="0.2">
      <c r="A1293" s="11">
        <f>IF(INPUT!M1288="","",INPUT!M1288)</f>
        <v>45986</v>
      </c>
      <c r="B1293" s="11">
        <f>IF(INPUT!M1288="","",INPUT!M1288-WEEKDAY(INPUT!M1288,2)+1)</f>
        <v>45985</v>
      </c>
      <c r="C1293" s="20">
        <f>IFERROR(_xlfn.ISOWEEKNUM(INPUT!M1288),"")</f>
        <v>48</v>
      </c>
      <c r="D1293" s="20">
        <f>IFERROR(YEAR(INPUT!M1288),"")</f>
        <v>2025</v>
      </c>
      <c r="E1293" t="str">
        <f>IF(INPUT!O1288="","",INPUT!O1288)</f>
        <v>CARLOS</v>
      </c>
      <c r="F1293" t="str">
        <f>IF(INPUT!N1288="","",INPUT!N1288)</f>
        <v>M</v>
      </c>
      <c r="G1293" t="str" cm="1">
        <f t="array" ref="G1293">IFERROR(VLOOKUP(INPUT!M1288&amp;INPUT!N1288,CHOOSE({1,2},INPUT!$A$3:$A$5000&amp;INPUT!$C$3:$C$5000,INPUT!$F$3:$F$5000),2,FALSE),"")</f>
        <v>PRE-TEMPORADA</v>
      </c>
      <c r="H1293" t="str" cm="1">
        <f t="array" ref="H1293">IFERROR(VLOOKUP(INPUT!M1288&amp;INPUT!N1288,CHOOSE({1,2},INPUT!$A$3:$A$5000&amp;INPUT!$C$3:$C$5000,INPUT!$D$3:$D$5000),2,FALSE),"")</f>
        <v>MATINAL</v>
      </c>
      <c r="I1293" s="46">
        <f>IF(INPUT!P1288="","",INPUT!P1288)</f>
        <v>68</v>
      </c>
      <c r="J1293" s="46">
        <f>IF(INPUT!Q1288="","",INPUT!Q1288)</f>
        <v>68</v>
      </c>
      <c r="K1293" s="46">
        <f>IFERROR(IF(OR(INPUT!P1288="",INPUT!Q1288=""),"",INPUT!P1288-INPUT!Q1288),"")</f>
        <v>0</v>
      </c>
      <c r="L1293" s="48">
        <f>IFERROR(IF(OR(INPUT!P1288="",INPUT!Q1288="",INPUT!P1288=0),"",(INPUT!P1288-INPUT!Q1288)/INPUT!P1288),"")</f>
        <v>0</v>
      </c>
    </row>
    <row r="1294" spans="1:12" ht="18" customHeight="1" x14ac:dyDescent="0.2">
      <c r="A1294" s="11">
        <f>IF(INPUT!M1289="","",INPUT!M1289)</f>
        <v>45986</v>
      </c>
      <c r="B1294" s="11">
        <f>IF(INPUT!M1289="","",INPUT!M1289-WEEKDAY(INPUT!M1289,2)+1)</f>
        <v>45985</v>
      </c>
      <c r="C1294" s="20">
        <f>IFERROR(_xlfn.ISOWEEKNUM(INPUT!M1289),"")</f>
        <v>48</v>
      </c>
      <c r="D1294" s="20">
        <f>IFERROR(YEAR(INPUT!M1289),"")</f>
        <v>2025</v>
      </c>
      <c r="E1294" t="str">
        <f>IF(INPUT!O1289="","",INPUT!O1289)</f>
        <v>RUBIO</v>
      </c>
      <c r="F1294" t="str">
        <f>IF(INPUT!N1289="","",INPUT!N1289)</f>
        <v>M</v>
      </c>
      <c r="G1294" t="str" cm="1">
        <f t="array" ref="G1294">IFERROR(VLOOKUP(INPUT!M1289&amp;INPUT!N1289,CHOOSE({1,2},INPUT!$A$3:$A$5000&amp;INPUT!$C$3:$C$5000,INPUT!$F$3:$F$5000),2,FALSE),"")</f>
        <v>PRE-TEMPORADA</v>
      </c>
      <c r="H1294" t="str" cm="1">
        <f t="array" ref="H1294">IFERROR(VLOOKUP(INPUT!M1289&amp;INPUT!N1289,CHOOSE({1,2},INPUT!$A$3:$A$5000&amp;INPUT!$C$3:$C$5000,INPUT!$D$3:$D$5000),2,FALSE),"")</f>
        <v>MATINAL</v>
      </c>
      <c r="I1294" s="46">
        <f>IF(INPUT!P1289="","",INPUT!P1289)</f>
        <v>75.7</v>
      </c>
      <c r="J1294" s="46">
        <f>IF(INPUT!Q1289="","",INPUT!Q1289)</f>
        <v>75.7</v>
      </c>
      <c r="K1294" s="46">
        <f>IFERROR(IF(OR(INPUT!P1289="",INPUT!Q1289=""),"",INPUT!P1289-INPUT!Q1289),"")</f>
        <v>0</v>
      </c>
      <c r="L1294" s="48">
        <f>IFERROR(IF(OR(INPUT!P1289="",INPUT!Q1289="",INPUT!P1289=0),"",(INPUT!P1289-INPUT!Q1289)/INPUT!P1289),"")</f>
        <v>0</v>
      </c>
    </row>
    <row r="1295" spans="1:12" ht="18" customHeight="1" x14ac:dyDescent="0.2">
      <c r="A1295" s="11">
        <f>IF(INPUT!M1290="","",INPUT!M1290)</f>
        <v>45986</v>
      </c>
      <c r="B1295" s="11">
        <f>IF(INPUT!M1290="","",INPUT!M1290-WEEKDAY(INPUT!M1290,2)+1)</f>
        <v>45985</v>
      </c>
      <c r="C1295" s="20">
        <f>IFERROR(_xlfn.ISOWEEKNUM(INPUT!M1290),"")</f>
        <v>48</v>
      </c>
      <c r="D1295" s="20">
        <f>IFERROR(YEAR(INPUT!M1290),"")</f>
        <v>2025</v>
      </c>
      <c r="E1295" t="str">
        <f>IF(INPUT!O1290="","",INPUT!O1290)</f>
        <v>DANI</v>
      </c>
      <c r="F1295" t="str">
        <f>IF(INPUT!N1290="","",INPUT!N1290)</f>
        <v>M</v>
      </c>
      <c r="G1295" t="str" cm="1">
        <f t="array" ref="G1295">IFERROR(VLOOKUP(INPUT!M1290&amp;INPUT!N1290,CHOOSE({1,2},INPUT!$A$3:$A$5000&amp;INPUT!$C$3:$C$5000,INPUT!$F$3:$F$5000),2,FALSE),"")</f>
        <v>PRE-TEMPORADA</v>
      </c>
      <c r="H1295" t="str" cm="1">
        <f t="array" ref="H1295">IFERROR(VLOOKUP(INPUT!M1290&amp;INPUT!N1290,CHOOSE({1,2},INPUT!$A$3:$A$5000&amp;INPUT!$C$3:$C$5000,INPUT!$D$3:$D$5000),2,FALSE),"")</f>
        <v>MATINAL</v>
      </c>
      <c r="I1295" s="46">
        <f>IF(INPUT!P1290="","",INPUT!P1290)</f>
        <v>93.9</v>
      </c>
      <c r="J1295" s="46">
        <f>IF(INPUT!Q1290="","",INPUT!Q1290)</f>
        <v>93.5</v>
      </c>
      <c r="K1295" s="46">
        <f>IFERROR(IF(OR(INPUT!P1290="",INPUT!Q1290=""),"",INPUT!P1290-INPUT!Q1290),"")</f>
        <v>0.40000000000000568</v>
      </c>
      <c r="L1295" s="48">
        <f>IFERROR(IF(OR(INPUT!P1290="",INPUT!Q1290="",INPUT!P1290=0),"",(INPUT!P1290-INPUT!Q1290)/INPUT!P1290),"")</f>
        <v>4.2598509052183776E-3</v>
      </c>
    </row>
    <row r="1296" spans="1:12" ht="18" customHeight="1" x14ac:dyDescent="0.2">
      <c r="A1296" s="11">
        <f>IF(INPUT!M1291="","",INPUT!M1291)</f>
        <v>45986</v>
      </c>
      <c r="B1296" s="11">
        <f>IF(INPUT!M1291="","",INPUT!M1291-WEEKDAY(INPUT!M1291,2)+1)</f>
        <v>45985</v>
      </c>
      <c r="C1296" s="20">
        <f>IFERROR(_xlfn.ISOWEEKNUM(INPUT!M1291),"")</f>
        <v>48</v>
      </c>
      <c r="D1296" s="20">
        <f>IFERROR(YEAR(INPUT!M1291),"")</f>
        <v>2025</v>
      </c>
      <c r="E1296" t="str">
        <f>IF(INPUT!O1291="","",INPUT!O1291)</f>
        <v>JAIME</v>
      </c>
      <c r="F1296" t="str">
        <f>IF(INPUT!N1291="","",INPUT!N1291)</f>
        <v>M</v>
      </c>
      <c r="G1296" t="str" cm="1">
        <f t="array" ref="G1296">IFERROR(VLOOKUP(INPUT!M1291&amp;INPUT!N1291,CHOOSE({1,2},INPUT!$A$3:$A$5000&amp;INPUT!$C$3:$C$5000,INPUT!$F$3:$F$5000),2,FALSE),"")</f>
        <v>PRE-TEMPORADA</v>
      </c>
      <c r="H1296" t="str" cm="1">
        <f t="array" ref="H1296">IFERROR(VLOOKUP(INPUT!M1291&amp;INPUT!N1291,CHOOSE({1,2},INPUT!$A$3:$A$5000&amp;INPUT!$C$3:$C$5000,INPUT!$D$3:$D$5000),2,FALSE),"")</f>
        <v>MATINAL</v>
      </c>
      <c r="I1296" s="46">
        <f>IF(INPUT!P1291="","",INPUT!P1291)</f>
        <v>75.3</v>
      </c>
      <c r="J1296" s="46">
        <f>IF(INPUT!Q1291="","",INPUT!Q1291)</f>
        <v>75.3</v>
      </c>
      <c r="K1296" s="46">
        <f>IFERROR(IF(OR(INPUT!P1291="",INPUT!Q1291=""),"",INPUT!P1291-INPUT!Q1291),"")</f>
        <v>0</v>
      </c>
      <c r="L1296" s="48">
        <f>IFERROR(IF(OR(INPUT!P1291="",INPUT!Q1291="",INPUT!P1291=0),"",(INPUT!P1291-INPUT!Q1291)/INPUT!P1291),"")</f>
        <v>0</v>
      </c>
    </row>
    <row r="1297" spans="1:12" ht="18" hidden="1" customHeight="1" x14ac:dyDescent="0.2">
      <c r="A1297" s="11">
        <f>IF(INPUT!M1292="","",INPUT!M1292)</f>
        <v>45988</v>
      </c>
      <c r="B1297" s="11">
        <f>IF(INPUT!M1292="","",INPUT!M1292-WEEKDAY(INPUT!M1292,2)+1)</f>
        <v>45985</v>
      </c>
      <c r="C1297" s="20">
        <f>IFERROR(_xlfn.ISOWEEKNUM(INPUT!M1292),"")</f>
        <v>48</v>
      </c>
      <c r="D1297" s="20">
        <f>IFERROR(YEAR(INPUT!M1292),"")</f>
        <v>2025</v>
      </c>
      <c r="E1297" t="str">
        <f>IF(INPUT!O1292="","",INPUT!O1292)</f>
        <v>HERRERO</v>
      </c>
      <c r="F1297" t="str">
        <f>IF(INPUT!N1292="","",INPUT!N1292)</f>
        <v>M</v>
      </c>
      <c r="G1297" t="str" cm="1">
        <f t="array" ref="G1297">IFERROR(VLOOKUP(INPUT!M1292&amp;INPUT!N1292,CHOOSE({1,2},INPUT!$A$3:$A$5000&amp;INPUT!$C$3:$C$5000,INPUT!$F$3:$F$5000),2,FALSE),"")</f>
        <v>PRE-TEMPORADA</v>
      </c>
      <c r="H1297" t="str" cm="1">
        <f t="array" ref="H1297">IFERROR(VLOOKUP(INPUT!M1292&amp;INPUT!N1292,CHOOSE({1,2},INPUT!$A$3:$A$5000&amp;INPUT!$C$3:$C$5000,INPUT!$D$3:$D$5000),2,FALSE),"")</f>
        <v>TEC-TAC</v>
      </c>
      <c r="I1297" s="46">
        <f>IF(INPUT!P1292="","",INPUT!P1292)</f>
        <v>77</v>
      </c>
      <c r="J1297" s="46">
        <f>IF(INPUT!Q1292="","",INPUT!Q1292)</f>
        <v>76.8</v>
      </c>
      <c r="K1297" s="46">
        <f>IFERROR(IF(OR(INPUT!P1292="",INPUT!Q1292=""),"",INPUT!P1292-INPUT!Q1292),"")</f>
        <v>0.20000000000000284</v>
      </c>
      <c r="L1297" s="48">
        <f>IFERROR(IF(OR(INPUT!P1292="",INPUT!Q1292="",INPUT!P1292=0),"",(INPUT!P1292-INPUT!Q1292)/INPUT!P1292),"")</f>
        <v>2.5974025974026343E-3</v>
      </c>
    </row>
    <row r="1298" spans="1:12" ht="18" hidden="1" customHeight="1" x14ac:dyDescent="0.2">
      <c r="A1298" s="11">
        <f>IF(INPUT!M1293="","",INPUT!M1293)</f>
        <v>45988</v>
      </c>
      <c r="B1298" s="11">
        <f>IF(INPUT!M1293="","",INPUT!M1293-WEEKDAY(INPUT!M1293,2)+1)</f>
        <v>45985</v>
      </c>
      <c r="C1298" s="20">
        <f>IFERROR(_xlfn.ISOWEEKNUM(INPUT!M1293),"")</f>
        <v>48</v>
      </c>
      <c r="D1298" s="20">
        <f>IFERROR(YEAR(INPUT!M1293),"")</f>
        <v>2025</v>
      </c>
      <c r="E1298" t="str">
        <f>IF(INPUT!O1293="","",INPUT!O1293)</f>
        <v>GARCIA</v>
      </c>
      <c r="F1298" t="str">
        <f>IF(INPUT!N1293="","",INPUT!N1293)</f>
        <v>M</v>
      </c>
      <c r="G1298" t="str" cm="1">
        <f t="array" ref="G1298">IFERROR(VLOOKUP(INPUT!M1293&amp;INPUT!N1293,CHOOSE({1,2},INPUT!$A$3:$A$5000&amp;INPUT!$C$3:$C$5000,INPUT!$F$3:$F$5000),2,FALSE),"")</f>
        <v>PRE-TEMPORADA</v>
      </c>
      <c r="H1298" t="str" cm="1">
        <f t="array" ref="H1298">IFERROR(VLOOKUP(INPUT!M1293&amp;INPUT!N1293,CHOOSE({1,2},INPUT!$A$3:$A$5000&amp;INPUT!$C$3:$C$5000,INPUT!$D$3:$D$5000),2,FALSE),"")</f>
        <v>TEC-TAC</v>
      </c>
      <c r="I1298" s="46">
        <f>IF(INPUT!P1293="","",INPUT!P1293)</f>
        <v>79</v>
      </c>
      <c r="J1298" s="46">
        <f>IF(INPUT!Q1293="","",INPUT!Q1293)</f>
        <v>79</v>
      </c>
      <c r="K1298" s="46">
        <f>IFERROR(IF(OR(INPUT!P1293="",INPUT!Q1293=""),"",INPUT!P1293-INPUT!Q1293),"")</f>
        <v>0</v>
      </c>
      <c r="L1298" s="48">
        <f>IFERROR(IF(OR(INPUT!P1293="",INPUT!Q1293="",INPUT!P1293=0),"",(INPUT!P1293-INPUT!Q1293)/INPUT!P1293),"")</f>
        <v>0</v>
      </c>
    </row>
    <row r="1299" spans="1:12" ht="18" hidden="1" customHeight="1" x14ac:dyDescent="0.2">
      <c r="A1299" s="11">
        <f>IF(INPUT!M1294="","",INPUT!M1294)</f>
        <v>45988</v>
      </c>
      <c r="B1299" s="11">
        <f>IF(INPUT!M1294="","",INPUT!M1294-WEEKDAY(INPUT!M1294,2)+1)</f>
        <v>45985</v>
      </c>
      <c r="C1299" s="20">
        <f>IFERROR(_xlfn.ISOWEEKNUM(INPUT!M1294),"")</f>
        <v>48</v>
      </c>
      <c r="D1299" s="20">
        <f>IFERROR(YEAR(INPUT!M1294),"")</f>
        <v>2025</v>
      </c>
      <c r="E1299" t="str">
        <f>IF(INPUT!O1294="","",INPUT!O1294)</f>
        <v>CECILIO</v>
      </c>
      <c r="F1299" t="str">
        <f>IF(INPUT!N1294="","",INPUT!N1294)</f>
        <v>M</v>
      </c>
      <c r="G1299" t="str" cm="1">
        <f t="array" ref="G1299">IFERROR(VLOOKUP(INPUT!M1294&amp;INPUT!N1294,CHOOSE({1,2},INPUT!$A$3:$A$5000&amp;INPUT!$C$3:$C$5000,INPUT!$F$3:$F$5000),2,FALSE),"")</f>
        <v>PRE-TEMPORADA</v>
      </c>
      <c r="H1299" t="str" cm="1">
        <f t="array" ref="H1299">IFERROR(VLOOKUP(INPUT!M1294&amp;INPUT!N1294,CHOOSE({1,2},INPUT!$A$3:$A$5000&amp;INPUT!$C$3:$C$5000,INPUT!$D$3:$D$5000),2,FALSE),"")</f>
        <v>TEC-TAC</v>
      </c>
      <c r="I1299" s="46">
        <f>IF(INPUT!P1294="","",INPUT!P1294)</f>
        <v>67.400000000000006</v>
      </c>
      <c r="J1299" s="46">
        <f>IF(INPUT!Q1294="","",INPUT!Q1294)</f>
        <v>66.8</v>
      </c>
      <c r="K1299" s="46">
        <f>IFERROR(IF(OR(INPUT!P1294="",INPUT!Q1294=""),"",INPUT!P1294-INPUT!Q1294),"")</f>
        <v>0.60000000000000853</v>
      </c>
      <c r="L1299" s="48">
        <f>IFERROR(IF(OR(INPUT!P1294="",INPUT!Q1294="",INPUT!P1294=0),"",(INPUT!P1294-INPUT!Q1294)/INPUT!P1294),"")</f>
        <v>8.9020771513354368E-3</v>
      </c>
    </row>
    <row r="1300" spans="1:12" ht="18" hidden="1" customHeight="1" x14ac:dyDescent="0.2">
      <c r="A1300" s="11">
        <f>IF(INPUT!M1295="","",INPUT!M1295)</f>
        <v>45988</v>
      </c>
      <c r="B1300" s="11">
        <f>IF(INPUT!M1295="","",INPUT!M1295-WEEKDAY(INPUT!M1295,2)+1)</f>
        <v>45985</v>
      </c>
      <c r="C1300" s="20">
        <f>IFERROR(_xlfn.ISOWEEKNUM(INPUT!M1295),"")</f>
        <v>48</v>
      </c>
      <c r="D1300" s="20">
        <f>IFERROR(YEAR(INPUT!M1295),"")</f>
        <v>2025</v>
      </c>
      <c r="E1300" t="str">
        <f>IF(INPUT!O1295="","",INPUT!O1295)</f>
        <v>CHAGUINHA</v>
      </c>
      <c r="F1300" t="str">
        <f>IF(INPUT!N1295="","",INPUT!N1295)</f>
        <v>M</v>
      </c>
      <c r="G1300" t="str" cm="1">
        <f t="array" ref="G1300">IFERROR(VLOOKUP(INPUT!M1295&amp;INPUT!N1295,CHOOSE({1,2},INPUT!$A$3:$A$5000&amp;INPUT!$C$3:$C$5000,INPUT!$F$3:$F$5000),2,FALSE),"")</f>
        <v>PRE-TEMPORADA</v>
      </c>
      <c r="H1300" t="str" cm="1">
        <f t="array" ref="H1300">IFERROR(VLOOKUP(INPUT!M1295&amp;INPUT!N1295,CHOOSE({1,2},INPUT!$A$3:$A$5000&amp;INPUT!$C$3:$C$5000,INPUT!$D$3:$D$5000),2,FALSE),"")</f>
        <v>TEC-TAC</v>
      </c>
      <c r="I1300" s="46">
        <f>IF(INPUT!P1295="","",INPUT!P1295)</f>
        <v>67.2</v>
      </c>
      <c r="J1300" s="46">
        <f>IF(INPUT!Q1295="","",INPUT!Q1295)</f>
        <v>68.7</v>
      </c>
      <c r="K1300" s="46">
        <f>IFERROR(IF(OR(INPUT!P1295="",INPUT!Q1295=""),"",INPUT!P1295-INPUT!Q1295),"")</f>
        <v>-1.5</v>
      </c>
      <c r="L1300" s="48">
        <f>IFERROR(IF(OR(INPUT!P1295="",INPUT!Q1295="",INPUT!P1295=0),"",(INPUT!P1295-INPUT!Q1295)/INPUT!P1295),"")</f>
        <v>-2.2321428571428572E-2</v>
      </c>
    </row>
    <row r="1301" spans="1:12" ht="18" hidden="1" customHeight="1" x14ac:dyDescent="0.2">
      <c r="A1301" s="11">
        <f>IF(INPUT!M1296="","",INPUT!M1296)</f>
        <v>45988</v>
      </c>
      <c r="B1301" s="11">
        <f>IF(INPUT!M1296="","",INPUT!M1296-WEEKDAY(INPUT!M1296,2)+1)</f>
        <v>45985</v>
      </c>
      <c r="C1301" s="20">
        <f>IFERROR(_xlfn.ISOWEEKNUM(INPUT!M1296),"")</f>
        <v>48</v>
      </c>
      <c r="D1301" s="20">
        <f>IFERROR(YEAR(INPUT!M1296),"")</f>
        <v>2025</v>
      </c>
      <c r="E1301" t="str">
        <f>IF(INPUT!O1296="","",INPUT!O1296)</f>
        <v>RAUL</v>
      </c>
      <c r="F1301" t="str">
        <f>IF(INPUT!N1296="","",INPUT!N1296)</f>
        <v>M</v>
      </c>
      <c r="G1301" t="str" cm="1">
        <f t="array" ref="G1301">IFERROR(VLOOKUP(INPUT!M1296&amp;INPUT!N1296,CHOOSE({1,2},INPUT!$A$3:$A$5000&amp;INPUT!$C$3:$C$5000,INPUT!$F$3:$F$5000),2,FALSE),"")</f>
        <v>PRE-TEMPORADA</v>
      </c>
      <c r="H1301" t="str" cm="1">
        <f t="array" ref="H1301">IFERROR(VLOOKUP(INPUT!M1296&amp;INPUT!N1296,CHOOSE({1,2},INPUT!$A$3:$A$5000&amp;INPUT!$C$3:$C$5000,INPUT!$D$3:$D$5000),2,FALSE),"")</f>
        <v>TEC-TAC</v>
      </c>
      <c r="I1301" s="46">
        <f>IF(INPUT!P1296="","",INPUT!P1296)</f>
        <v>81</v>
      </c>
      <c r="J1301" s="46">
        <f>IF(INPUT!Q1296="","",INPUT!Q1296)</f>
        <v>80.5</v>
      </c>
      <c r="K1301" s="46">
        <f>IFERROR(IF(OR(INPUT!P1296="",INPUT!Q1296=""),"",INPUT!P1296-INPUT!Q1296),"")</f>
        <v>0.5</v>
      </c>
      <c r="L1301" s="48">
        <f>IFERROR(IF(OR(INPUT!P1296="",INPUT!Q1296="",INPUT!P1296=0),"",(INPUT!P1296-INPUT!Q1296)/INPUT!P1296),"")</f>
        <v>6.1728395061728392E-3</v>
      </c>
    </row>
    <row r="1302" spans="1:12" ht="18" hidden="1" customHeight="1" x14ac:dyDescent="0.2">
      <c r="A1302" s="11">
        <f>IF(INPUT!M1297="","",INPUT!M1297)</f>
        <v>45988</v>
      </c>
      <c r="B1302" s="11">
        <f>IF(INPUT!M1297="","",INPUT!M1297-WEEKDAY(INPUT!M1297,2)+1)</f>
        <v>45985</v>
      </c>
      <c r="C1302" s="20">
        <f>IFERROR(_xlfn.ISOWEEKNUM(INPUT!M1297),"")</f>
        <v>48</v>
      </c>
      <c r="D1302" s="20">
        <f>IFERROR(YEAR(INPUT!M1297),"")</f>
        <v>2025</v>
      </c>
      <c r="E1302" t="str">
        <f>IF(INPUT!O1297="","",INPUT!O1297)</f>
        <v>HARRISON</v>
      </c>
      <c r="F1302" t="str">
        <f>IF(INPUT!N1297="","",INPUT!N1297)</f>
        <v>M</v>
      </c>
      <c r="G1302" t="str" cm="1">
        <f t="array" ref="G1302">IFERROR(VLOOKUP(INPUT!M1297&amp;INPUT!N1297,CHOOSE({1,2},INPUT!$A$3:$A$5000&amp;INPUT!$C$3:$C$5000,INPUT!$F$3:$F$5000),2,FALSE),"")</f>
        <v>PRE-TEMPORADA</v>
      </c>
      <c r="H1302" t="str" cm="1">
        <f t="array" ref="H1302">IFERROR(VLOOKUP(INPUT!M1297&amp;INPUT!N1297,CHOOSE({1,2},INPUT!$A$3:$A$5000&amp;INPUT!$C$3:$C$5000,INPUT!$D$3:$D$5000),2,FALSE),"")</f>
        <v>TEC-TAC</v>
      </c>
      <c r="I1302" s="46">
        <f>IF(INPUT!P1297="","",INPUT!P1297)</f>
        <v>69.5</v>
      </c>
      <c r="J1302" s="46">
        <f>IF(INPUT!Q1297="","",INPUT!Q1297)</f>
        <v>70</v>
      </c>
      <c r="K1302" s="46">
        <f>IFERROR(IF(OR(INPUT!P1297="",INPUT!Q1297=""),"",INPUT!P1297-INPUT!Q1297),"")</f>
        <v>-0.5</v>
      </c>
      <c r="L1302" s="48">
        <f>IFERROR(IF(OR(INPUT!P1297="",INPUT!Q1297="",INPUT!P1297=0),"",(INPUT!P1297-INPUT!Q1297)/INPUT!P1297),"")</f>
        <v>-7.1942446043165471E-3</v>
      </c>
    </row>
    <row r="1303" spans="1:12" ht="18" hidden="1" customHeight="1" x14ac:dyDescent="0.2">
      <c r="A1303" s="11">
        <f>IF(INPUT!M1298="","",INPUT!M1298)</f>
        <v>45988</v>
      </c>
      <c r="B1303" s="11">
        <f>IF(INPUT!M1298="","",INPUT!M1298-WEEKDAY(INPUT!M1298,2)+1)</f>
        <v>45985</v>
      </c>
      <c r="C1303" s="20">
        <f>IFERROR(_xlfn.ISOWEEKNUM(INPUT!M1298),"")</f>
        <v>48</v>
      </c>
      <c r="D1303" s="20">
        <f>IFERROR(YEAR(INPUT!M1298),"")</f>
        <v>2025</v>
      </c>
      <c r="E1303" t="str">
        <f>IF(INPUT!O1298="","",INPUT!O1298)</f>
        <v>RAYA</v>
      </c>
      <c r="F1303" t="str">
        <f>IF(INPUT!N1298="","",INPUT!N1298)</f>
        <v>M</v>
      </c>
      <c r="G1303" t="str" cm="1">
        <f t="array" ref="G1303">IFERROR(VLOOKUP(INPUT!M1298&amp;INPUT!N1298,CHOOSE({1,2},INPUT!$A$3:$A$5000&amp;INPUT!$C$3:$C$5000,INPUT!$F$3:$F$5000),2,FALSE),"")</f>
        <v>PRE-TEMPORADA</v>
      </c>
      <c r="H1303" t="str" cm="1">
        <f t="array" ref="H1303">IFERROR(VLOOKUP(INPUT!M1298&amp;INPUT!N1298,CHOOSE({1,2},INPUT!$A$3:$A$5000&amp;INPUT!$C$3:$C$5000,INPUT!$D$3:$D$5000),2,FALSE),"")</f>
        <v>TEC-TAC</v>
      </c>
      <c r="I1303" s="46">
        <f>IF(INPUT!P1298="","",INPUT!P1298)</f>
        <v>82</v>
      </c>
      <c r="J1303" s="46">
        <f>IF(INPUT!Q1298="","",INPUT!Q1298)</f>
        <v>80.5</v>
      </c>
      <c r="K1303" s="46">
        <f>IFERROR(IF(OR(INPUT!P1298="",INPUT!Q1298=""),"",INPUT!P1298-INPUT!Q1298),"")</f>
        <v>1.5</v>
      </c>
      <c r="L1303" s="48">
        <f>IFERROR(IF(OR(INPUT!P1298="",INPUT!Q1298="",INPUT!P1298=0),"",(INPUT!P1298-INPUT!Q1298)/INPUT!P1298),"")</f>
        <v>1.8292682926829267E-2</v>
      </c>
    </row>
    <row r="1304" spans="1:12" ht="18" hidden="1" customHeight="1" x14ac:dyDescent="0.2">
      <c r="A1304" s="11">
        <f>IF(INPUT!M1299="","",INPUT!M1299)</f>
        <v>45988</v>
      </c>
      <c r="B1304" s="11">
        <f>IF(INPUT!M1299="","",INPUT!M1299-WEEKDAY(INPUT!M1299,2)+1)</f>
        <v>45985</v>
      </c>
      <c r="C1304" s="20">
        <f>IFERROR(_xlfn.ISOWEEKNUM(INPUT!M1299),"")</f>
        <v>48</v>
      </c>
      <c r="D1304" s="20">
        <f>IFERROR(YEAR(INPUT!M1299),"")</f>
        <v>2025</v>
      </c>
      <c r="E1304" t="str">
        <f>IF(INPUT!O1299="","",INPUT!O1299)</f>
        <v>JAVI</v>
      </c>
      <c r="F1304" t="str">
        <f>IF(INPUT!N1299="","",INPUT!N1299)</f>
        <v>M</v>
      </c>
      <c r="G1304" t="str" cm="1">
        <f t="array" ref="G1304">IFERROR(VLOOKUP(INPUT!M1299&amp;INPUT!N1299,CHOOSE({1,2},INPUT!$A$3:$A$5000&amp;INPUT!$C$3:$C$5000,INPUT!$F$3:$F$5000),2,FALSE),"")</f>
        <v>PRE-TEMPORADA</v>
      </c>
      <c r="H1304" t="str" cm="1">
        <f t="array" ref="H1304">IFERROR(VLOOKUP(INPUT!M1299&amp;INPUT!N1299,CHOOSE({1,2},INPUT!$A$3:$A$5000&amp;INPUT!$C$3:$C$5000,INPUT!$D$3:$D$5000),2,FALSE),"")</f>
        <v>TEC-TAC</v>
      </c>
      <c r="I1304" s="46">
        <f>IF(INPUT!P1299="","",INPUT!P1299)</f>
        <v>77.400000000000006</v>
      </c>
      <c r="J1304" s="46">
        <f>IF(INPUT!Q1299="","",INPUT!Q1299)</f>
        <v>76.599999999999994</v>
      </c>
      <c r="K1304" s="46">
        <f>IFERROR(IF(OR(INPUT!P1299="",INPUT!Q1299=""),"",INPUT!P1299-INPUT!Q1299),"")</f>
        <v>0.80000000000001137</v>
      </c>
      <c r="L1304" s="48">
        <f>IFERROR(IF(OR(INPUT!P1299="",INPUT!Q1299="",INPUT!P1299=0),"",(INPUT!P1299-INPUT!Q1299)/INPUT!P1299),"")</f>
        <v>1.0335917312661645E-2</v>
      </c>
    </row>
    <row r="1305" spans="1:12" ht="18" hidden="1" customHeight="1" x14ac:dyDescent="0.2">
      <c r="A1305" s="11">
        <f>IF(INPUT!M1300="","",INPUT!M1300)</f>
        <v>45988</v>
      </c>
      <c r="B1305" s="11">
        <f>IF(INPUT!M1300="","",INPUT!M1300-WEEKDAY(INPUT!M1300,2)+1)</f>
        <v>45985</v>
      </c>
      <c r="C1305" s="20">
        <f>IFERROR(_xlfn.ISOWEEKNUM(INPUT!M1300),"")</f>
        <v>48</v>
      </c>
      <c r="D1305" s="20">
        <f>IFERROR(YEAR(INPUT!M1300),"")</f>
        <v>2025</v>
      </c>
      <c r="E1305" t="str">
        <f>IF(INPUT!O1300="","",INPUT!O1300)</f>
        <v>PANI</v>
      </c>
      <c r="F1305" t="str">
        <f>IF(INPUT!N1300="","",INPUT!N1300)</f>
        <v>M</v>
      </c>
      <c r="G1305" t="str" cm="1">
        <f t="array" ref="G1305">IFERROR(VLOOKUP(INPUT!M1300&amp;INPUT!N1300,CHOOSE({1,2},INPUT!$A$3:$A$5000&amp;INPUT!$C$3:$C$5000,INPUT!$F$3:$F$5000),2,FALSE),"")</f>
        <v>PRE-TEMPORADA</v>
      </c>
      <c r="H1305" t="str" cm="1">
        <f t="array" ref="H1305">IFERROR(VLOOKUP(INPUT!M1300&amp;INPUT!N1300,CHOOSE({1,2},INPUT!$A$3:$A$5000&amp;INPUT!$C$3:$C$5000,INPUT!$D$3:$D$5000),2,FALSE),"")</f>
        <v>TEC-TAC</v>
      </c>
      <c r="I1305" s="46">
        <f>IF(INPUT!P1300="","",INPUT!P1300)</f>
        <v>67.3</v>
      </c>
      <c r="J1305" s="46">
        <f>IF(INPUT!Q1300="","",INPUT!Q1300)</f>
        <v>66.900000000000006</v>
      </c>
      <c r="K1305" s="46">
        <f>IFERROR(IF(OR(INPUT!P1300="",INPUT!Q1300=""),"",INPUT!P1300-INPUT!Q1300),"")</f>
        <v>0.39999999999999147</v>
      </c>
      <c r="L1305" s="48">
        <f>IFERROR(IF(OR(INPUT!P1300="",INPUT!Q1300="",INPUT!P1300=0),"",(INPUT!P1300-INPUT!Q1300)/INPUT!P1300),"")</f>
        <v>5.9435364041603494E-3</v>
      </c>
    </row>
    <row r="1306" spans="1:12" ht="18" hidden="1" customHeight="1" x14ac:dyDescent="0.2">
      <c r="A1306" s="11">
        <f>IF(INPUT!M1301="","",INPUT!M1301)</f>
        <v>45988</v>
      </c>
      <c r="B1306" s="11">
        <f>IF(INPUT!M1301="","",INPUT!M1301-WEEKDAY(INPUT!M1301,2)+1)</f>
        <v>45985</v>
      </c>
      <c r="C1306" s="20">
        <f>IFERROR(_xlfn.ISOWEEKNUM(INPUT!M1301),"")</f>
        <v>48</v>
      </c>
      <c r="D1306" s="20">
        <f>IFERROR(YEAR(INPUT!M1301),"")</f>
        <v>2025</v>
      </c>
      <c r="E1306" t="str">
        <f>IF(INPUT!O1301="","",INPUT!O1301)</f>
        <v>PIRATA</v>
      </c>
      <c r="F1306" t="str">
        <f>IF(INPUT!N1301="","",INPUT!N1301)</f>
        <v>M</v>
      </c>
      <c r="G1306" t="str" cm="1">
        <f t="array" ref="G1306">IFERROR(VLOOKUP(INPUT!M1301&amp;INPUT!N1301,CHOOSE({1,2},INPUT!$A$3:$A$5000&amp;INPUT!$C$3:$C$5000,INPUT!$F$3:$F$5000),2,FALSE),"")</f>
        <v>PRE-TEMPORADA</v>
      </c>
      <c r="H1306" t="str" cm="1">
        <f t="array" ref="H1306">IFERROR(VLOOKUP(INPUT!M1301&amp;INPUT!N1301,CHOOSE({1,2},INPUT!$A$3:$A$5000&amp;INPUT!$C$3:$C$5000,INPUT!$D$3:$D$5000),2,FALSE),"")</f>
        <v>TEC-TAC</v>
      </c>
      <c r="I1306" s="46">
        <f>IF(INPUT!P1301="","",INPUT!P1301)</f>
        <v>74.7</v>
      </c>
      <c r="J1306" s="46">
        <f>IF(INPUT!Q1301="","",INPUT!Q1301)</f>
        <v>74.599999999999994</v>
      </c>
      <c r="K1306" s="46">
        <f>IFERROR(IF(OR(INPUT!P1301="",INPUT!Q1301=""),"",INPUT!P1301-INPUT!Q1301),"")</f>
        <v>0.10000000000000853</v>
      </c>
      <c r="L1306" s="48">
        <f>IFERROR(IF(OR(INPUT!P1301="",INPUT!Q1301="",INPUT!P1301=0),"",(INPUT!P1301-INPUT!Q1301)/INPUT!P1301),"")</f>
        <v>1.3386880856761515E-3</v>
      </c>
    </row>
    <row r="1307" spans="1:12" ht="18" hidden="1" customHeight="1" x14ac:dyDescent="0.2">
      <c r="A1307" s="11">
        <f>IF(INPUT!M1302="","",INPUT!M1302)</f>
        <v>45988</v>
      </c>
      <c r="B1307" s="11">
        <f>IF(INPUT!M1302="","",INPUT!M1302-WEEKDAY(INPUT!M1302,2)+1)</f>
        <v>45985</v>
      </c>
      <c r="C1307" s="20">
        <f>IFERROR(_xlfn.ISOWEEKNUM(INPUT!M1302),"")</f>
        <v>48</v>
      </c>
      <c r="D1307" s="20">
        <f>IFERROR(YEAR(INPUT!M1302),"")</f>
        <v>2025</v>
      </c>
      <c r="E1307" t="str">
        <f>IF(INPUT!O1302="","",INPUT!O1302)</f>
        <v>BARONA</v>
      </c>
      <c r="F1307" t="str">
        <f>IF(INPUT!N1302="","",INPUT!N1302)</f>
        <v>M</v>
      </c>
      <c r="G1307" t="str" cm="1">
        <f t="array" ref="G1307">IFERROR(VLOOKUP(INPUT!M1302&amp;INPUT!N1302,CHOOSE({1,2},INPUT!$A$3:$A$5000&amp;INPUT!$C$3:$C$5000,INPUT!$F$3:$F$5000),2,FALSE),"")</f>
        <v>PRE-TEMPORADA</v>
      </c>
      <c r="H1307" t="str" cm="1">
        <f t="array" ref="H1307">IFERROR(VLOOKUP(INPUT!M1302&amp;INPUT!N1302,CHOOSE({1,2},INPUT!$A$3:$A$5000&amp;INPUT!$C$3:$C$5000,INPUT!$D$3:$D$5000),2,FALSE),"")</f>
        <v>TEC-TAC</v>
      </c>
      <c r="I1307" s="46">
        <f>IF(INPUT!P1302="","",INPUT!P1302)</f>
        <v>71.8</v>
      </c>
      <c r="J1307" s="46">
        <f>IF(INPUT!Q1302="","",INPUT!Q1302)</f>
        <v>71.2</v>
      </c>
      <c r="K1307" s="46">
        <f>IFERROR(IF(OR(INPUT!P1302="",INPUT!Q1302=""),"",INPUT!P1302-INPUT!Q1302),"")</f>
        <v>0.59999999999999432</v>
      </c>
      <c r="L1307" s="48">
        <f>IFERROR(IF(OR(INPUT!P1302="",INPUT!Q1302="",INPUT!P1302=0),"",(INPUT!P1302-INPUT!Q1302)/INPUT!P1302),"")</f>
        <v>8.3565459610027062E-3</v>
      </c>
    </row>
    <row r="1308" spans="1:12" ht="18" hidden="1" customHeight="1" x14ac:dyDescent="0.2">
      <c r="A1308" s="11">
        <f>IF(INPUT!M1303="","",INPUT!M1303)</f>
        <v>45988</v>
      </c>
      <c r="B1308" s="11">
        <f>IF(INPUT!M1303="","",INPUT!M1303-WEEKDAY(INPUT!M1303,2)+1)</f>
        <v>45985</v>
      </c>
      <c r="C1308" s="20">
        <f>IFERROR(_xlfn.ISOWEEKNUM(INPUT!M1303),"")</f>
        <v>48</v>
      </c>
      <c r="D1308" s="20">
        <f>IFERROR(YEAR(INPUT!M1303),"")</f>
        <v>2025</v>
      </c>
      <c r="E1308" t="str">
        <f>IF(INPUT!O1303="","",INPUT!O1303)</f>
        <v>CARLOS</v>
      </c>
      <c r="F1308" t="str">
        <f>IF(INPUT!N1303="","",INPUT!N1303)</f>
        <v>M</v>
      </c>
      <c r="G1308" t="str" cm="1">
        <f t="array" ref="G1308">IFERROR(VLOOKUP(INPUT!M1303&amp;INPUT!N1303,CHOOSE({1,2},INPUT!$A$3:$A$5000&amp;INPUT!$C$3:$C$5000,INPUT!$F$3:$F$5000),2,FALSE),"")</f>
        <v>PRE-TEMPORADA</v>
      </c>
      <c r="H1308" t="str" cm="1">
        <f t="array" ref="H1308">IFERROR(VLOOKUP(INPUT!M1303&amp;INPUT!N1303,CHOOSE({1,2},INPUT!$A$3:$A$5000&amp;INPUT!$C$3:$C$5000,INPUT!$D$3:$D$5000),2,FALSE),"")</f>
        <v>TEC-TAC</v>
      </c>
      <c r="I1308" s="46">
        <f>IF(INPUT!P1303="","",INPUT!P1303)</f>
        <v>67.5</v>
      </c>
      <c r="J1308" s="46">
        <f>IF(INPUT!Q1303="","",INPUT!Q1303)</f>
        <v>67.2</v>
      </c>
      <c r="K1308" s="46">
        <f>IFERROR(IF(OR(INPUT!P1303="",INPUT!Q1303=""),"",INPUT!P1303-INPUT!Q1303),"")</f>
        <v>0.29999999999999716</v>
      </c>
      <c r="L1308" s="48">
        <f>IFERROR(IF(OR(INPUT!P1303="",INPUT!Q1303="",INPUT!P1303=0),"",(INPUT!P1303-INPUT!Q1303)/INPUT!P1303),"")</f>
        <v>4.4444444444444019E-3</v>
      </c>
    </row>
    <row r="1309" spans="1:12" ht="18" customHeight="1" x14ac:dyDescent="0.2">
      <c r="A1309" s="11">
        <f>IF(INPUT!M1304="","",INPUT!M1304)</f>
        <v>45988</v>
      </c>
      <c r="B1309" s="11">
        <f>IF(INPUT!M1304="","",INPUT!M1304-WEEKDAY(INPUT!M1304,2)+1)</f>
        <v>45985</v>
      </c>
      <c r="C1309" s="20">
        <f>IFERROR(_xlfn.ISOWEEKNUM(INPUT!M1304),"")</f>
        <v>48</v>
      </c>
      <c r="D1309" s="20">
        <f>IFERROR(YEAR(INPUT!M1304),"")</f>
        <v>2025</v>
      </c>
      <c r="E1309" t="str">
        <f>IF(INPUT!O1304="","",INPUT!O1304)</f>
        <v>RUBIO</v>
      </c>
      <c r="F1309" t="str">
        <f>IF(INPUT!N1304="","",INPUT!N1304)</f>
        <v>M</v>
      </c>
      <c r="G1309" t="str" cm="1">
        <f t="array" ref="G1309">IFERROR(VLOOKUP(INPUT!M1304&amp;INPUT!N1304,CHOOSE({1,2},INPUT!$A$3:$A$5000&amp;INPUT!$C$3:$C$5000,INPUT!$F$3:$F$5000),2,FALSE),"")</f>
        <v>PRE-TEMPORADA</v>
      </c>
      <c r="H1309" t="str" cm="1">
        <f t="array" ref="H1309">IFERROR(VLOOKUP(INPUT!M1304&amp;INPUT!N1304,CHOOSE({1,2},INPUT!$A$3:$A$5000&amp;INPUT!$C$3:$C$5000,INPUT!$D$3:$D$5000),2,FALSE),"")</f>
        <v>TEC-TAC</v>
      </c>
      <c r="I1309" s="46">
        <f>IF(INPUT!P1304="","",INPUT!P1304)</f>
        <v>75.7</v>
      </c>
      <c r="J1309" s="46">
        <f>IF(INPUT!Q1304="","",INPUT!Q1304)</f>
        <v>75.7</v>
      </c>
      <c r="K1309" s="46">
        <f>IFERROR(IF(OR(INPUT!P1304="",INPUT!Q1304=""),"",INPUT!P1304-INPUT!Q1304),"")</f>
        <v>0</v>
      </c>
      <c r="L1309" s="48">
        <f>IFERROR(IF(OR(INPUT!P1304="",INPUT!Q1304="",INPUT!P1304=0),"",(INPUT!P1304-INPUT!Q1304)/INPUT!P1304),"")</f>
        <v>0</v>
      </c>
    </row>
    <row r="1310" spans="1:12" ht="18" customHeight="1" x14ac:dyDescent="0.2">
      <c r="A1310" s="11">
        <f>IF(INPUT!M1305="","",INPUT!M1305)</f>
        <v>45988</v>
      </c>
      <c r="B1310" s="11">
        <f>IF(INPUT!M1305="","",INPUT!M1305-WEEKDAY(INPUT!M1305,2)+1)</f>
        <v>45985</v>
      </c>
      <c r="C1310" s="20">
        <f>IFERROR(_xlfn.ISOWEEKNUM(INPUT!M1305),"")</f>
        <v>48</v>
      </c>
      <c r="D1310" s="20">
        <f>IFERROR(YEAR(INPUT!M1305),"")</f>
        <v>2025</v>
      </c>
      <c r="E1310" t="str">
        <f>IF(INPUT!O1305="","",INPUT!O1305)</f>
        <v>DANI</v>
      </c>
      <c r="F1310" t="str">
        <f>IF(INPUT!N1305="","",INPUT!N1305)</f>
        <v>M</v>
      </c>
      <c r="G1310" t="str" cm="1">
        <f t="array" ref="G1310">IFERROR(VLOOKUP(INPUT!M1305&amp;INPUT!N1305,CHOOSE({1,2},INPUT!$A$3:$A$5000&amp;INPUT!$C$3:$C$5000,INPUT!$F$3:$F$5000),2,FALSE),"")</f>
        <v>PRE-TEMPORADA</v>
      </c>
      <c r="H1310" t="str" cm="1">
        <f t="array" ref="H1310">IFERROR(VLOOKUP(INPUT!M1305&amp;INPUT!N1305,CHOOSE({1,2},INPUT!$A$3:$A$5000&amp;INPUT!$C$3:$C$5000,INPUT!$D$3:$D$5000),2,FALSE),"")</f>
        <v>TEC-TAC</v>
      </c>
      <c r="I1310" s="46">
        <f>IF(INPUT!P1305="","",INPUT!P1305)</f>
        <v>93.6</v>
      </c>
      <c r="J1310" s="46">
        <f>IF(INPUT!Q1305="","",INPUT!Q1305)</f>
        <v>93.3</v>
      </c>
      <c r="K1310" s="46">
        <f>IFERROR(IF(OR(INPUT!P1305="",INPUT!Q1305=""),"",INPUT!P1305-INPUT!Q1305),"")</f>
        <v>0.29999999999999716</v>
      </c>
      <c r="L1310" s="48">
        <f>IFERROR(IF(OR(INPUT!P1305="",INPUT!Q1305="",INPUT!P1305=0),"",(INPUT!P1305-INPUT!Q1305)/INPUT!P1305),"")</f>
        <v>3.2051282051281751E-3</v>
      </c>
    </row>
    <row r="1311" spans="1:12" ht="18" customHeight="1" x14ac:dyDescent="0.2">
      <c r="A1311" s="11">
        <f>IF(INPUT!M1306="","",INPUT!M1306)</f>
        <v>45988</v>
      </c>
      <c r="B1311" s="11">
        <f>IF(INPUT!M1306="","",INPUT!M1306-WEEKDAY(INPUT!M1306,2)+1)</f>
        <v>45985</v>
      </c>
      <c r="C1311" s="20">
        <f>IFERROR(_xlfn.ISOWEEKNUM(INPUT!M1306),"")</f>
        <v>48</v>
      </c>
      <c r="D1311" s="20">
        <f>IFERROR(YEAR(INPUT!M1306),"")</f>
        <v>2025</v>
      </c>
      <c r="E1311" t="str">
        <f>IF(INPUT!O1306="","",INPUT!O1306)</f>
        <v>JAIME</v>
      </c>
      <c r="F1311" t="str">
        <f>IF(INPUT!N1306="","",INPUT!N1306)</f>
        <v>M</v>
      </c>
      <c r="G1311" t="str" cm="1">
        <f t="array" ref="G1311">IFERROR(VLOOKUP(INPUT!M1306&amp;INPUT!N1306,CHOOSE({1,2},INPUT!$A$3:$A$5000&amp;INPUT!$C$3:$C$5000,INPUT!$F$3:$F$5000),2,FALSE),"")</f>
        <v>PRE-TEMPORADA</v>
      </c>
      <c r="H1311" t="str" cm="1">
        <f t="array" ref="H1311">IFERROR(VLOOKUP(INPUT!M1306&amp;INPUT!N1306,CHOOSE({1,2},INPUT!$A$3:$A$5000&amp;INPUT!$C$3:$C$5000,INPUT!$D$3:$D$5000),2,FALSE),"")</f>
        <v>TEC-TAC</v>
      </c>
      <c r="I1311" s="46">
        <f>IF(INPUT!P1306="","",INPUT!P1306)</f>
        <v>75.2</v>
      </c>
      <c r="J1311" s="46">
        <f>IF(INPUT!Q1306="","",INPUT!Q1306)</f>
        <v>75.3</v>
      </c>
      <c r="K1311" s="46">
        <f>IFERROR(IF(OR(INPUT!P1306="",INPUT!Q1306=""),"",INPUT!P1306-INPUT!Q1306),"")</f>
        <v>-9.9999999999994316E-2</v>
      </c>
      <c r="L1311" s="48">
        <f>IFERROR(IF(OR(INPUT!P1306="",INPUT!Q1306="",INPUT!P1306=0),"",(INPUT!P1306-INPUT!Q1306)/INPUT!P1306),"")</f>
        <v>-1.3297872340424775E-3</v>
      </c>
    </row>
    <row r="1312" spans="1:12" ht="18" hidden="1" customHeight="1" x14ac:dyDescent="0.2">
      <c r="A1312" s="11">
        <f>IF(INPUT!M1307="","",INPUT!M1307)</f>
        <v>45992</v>
      </c>
      <c r="B1312" s="11">
        <f>IF(INPUT!M1307="","",INPUT!M1307-WEEKDAY(INPUT!M1307,2)+1)</f>
        <v>45992</v>
      </c>
      <c r="C1312" s="20">
        <f>IFERROR(_xlfn.ISOWEEKNUM(INPUT!M1307),"")</f>
        <v>49</v>
      </c>
      <c r="D1312" s="20">
        <f>IFERROR(YEAR(INPUT!M1307),"")</f>
        <v>2025</v>
      </c>
      <c r="E1312" t="str">
        <f>IF(INPUT!O1307="","",INPUT!O1307)</f>
        <v>HERRERO</v>
      </c>
      <c r="F1312" t="str">
        <f>IF(INPUT!N1307="","",INPUT!N1307)</f>
        <v>M</v>
      </c>
      <c r="G1312" t="str" cm="1">
        <f t="array" ref="G1312">IFERROR(VLOOKUP(INPUT!M1307&amp;INPUT!N1307,CHOOSE({1,2},INPUT!$A$3:$A$5000&amp;INPUT!$C$3:$C$5000,INPUT!$F$3:$F$5000),2,FALSE),"")</f>
        <v>PRE-TEMPORADA</v>
      </c>
      <c r="H1312" t="str" cm="1">
        <f t="array" ref="H1312">IFERROR(VLOOKUP(INPUT!M1307&amp;INPUT!N1307,CHOOSE({1,2},INPUT!$A$3:$A$5000&amp;INPUT!$C$3:$C$5000,INPUT!$D$3:$D$5000),2,FALSE),"")</f>
        <v>GYM</v>
      </c>
      <c r="I1312" s="46">
        <f>IF(INPUT!P1307="","",INPUT!P1307)</f>
        <v>77</v>
      </c>
      <c r="J1312" s="46">
        <f>IF(INPUT!Q1307="","",INPUT!Q1307)</f>
        <v>76.2</v>
      </c>
      <c r="K1312" s="46">
        <f>IFERROR(IF(OR(INPUT!P1307="",INPUT!Q1307=""),"",INPUT!P1307-INPUT!Q1307),"")</f>
        <v>0.79999999999999716</v>
      </c>
      <c r="L1312" s="48">
        <f>IFERROR(IF(OR(INPUT!P1307="",INPUT!Q1307="",INPUT!P1307=0),"",(INPUT!P1307-INPUT!Q1307)/INPUT!P1307),"")</f>
        <v>1.0389610389610353E-2</v>
      </c>
    </row>
    <row r="1313" spans="1:12" ht="18" hidden="1" customHeight="1" x14ac:dyDescent="0.2">
      <c r="A1313" s="11">
        <f>IF(INPUT!M1308="","",INPUT!M1308)</f>
        <v>45992</v>
      </c>
      <c r="B1313" s="11">
        <f>IF(INPUT!M1308="","",INPUT!M1308-WEEKDAY(INPUT!M1308,2)+1)</f>
        <v>45992</v>
      </c>
      <c r="C1313" s="20">
        <f>IFERROR(_xlfn.ISOWEEKNUM(INPUT!M1308),"")</f>
        <v>49</v>
      </c>
      <c r="D1313" s="20">
        <f>IFERROR(YEAR(INPUT!M1308),"")</f>
        <v>2025</v>
      </c>
      <c r="E1313" t="str">
        <f>IF(INPUT!O1308="","",INPUT!O1308)</f>
        <v>HERRERO</v>
      </c>
      <c r="F1313" t="str">
        <f>IF(INPUT!N1308="","",INPUT!N1308)</f>
        <v>T</v>
      </c>
      <c r="G1313" t="str" cm="1">
        <f t="array" ref="G1313">IFERROR(VLOOKUP(INPUT!M1308&amp;INPUT!N1308,CHOOSE({1,2},INPUT!$A$3:$A$5000&amp;INPUT!$C$3:$C$5000,INPUT!$F$3:$F$5000),2,FALSE),"")</f>
        <v>PRE-TEMPORADA</v>
      </c>
      <c r="H1313" t="str" cm="1">
        <f t="array" ref="H1313">IFERROR(VLOOKUP(INPUT!M1308&amp;INPUT!N1308,CHOOSE({1,2},INPUT!$A$3:$A$5000&amp;INPUT!$C$3:$C$5000,INPUT!$D$3:$D$5000),2,FALSE),"")</f>
        <v>TEC-TAC</v>
      </c>
      <c r="I1313" s="46">
        <f>IF(INPUT!P1308="","",INPUT!P1308)</f>
        <v>77.099999999999994</v>
      </c>
      <c r="J1313" s="46">
        <f>IF(INPUT!Q1308="","",INPUT!Q1308)</f>
        <v>76.7</v>
      </c>
      <c r="K1313" s="46">
        <f>IFERROR(IF(OR(INPUT!P1308="",INPUT!Q1308=""),"",INPUT!P1308-INPUT!Q1308),"")</f>
        <v>0.39999999999999147</v>
      </c>
      <c r="L1313" s="48">
        <f>IFERROR(IF(OR(INPUT!P1308="",INPUT!Q1308="",INPUT!P1308=0),"",(INPUT!P1308-INPUT!Q1308)/INPUT!P1308),"")</f>
        <v>5.188067444876673E-3</v>
      </c>
    </row>
    <row r="1314" spans="1:12" ht="18" hidden="1" customHeight="1" x14ac:dyDescent="0.2">
      <c r="A1314" s="11">
        <f>IF(INPUT!M1309="","",INPUT!M1309)</f>
        <v>45992</v>
      </c>
      <c r="B1314" s="11">
        <f>IF(INPUT!M1309="","",INPUT!M1309-WEEKDAY(INPUT!M1309,2)+1)</f>
        <v>45992</v>
      </c>
      <c r="C1314" s="20">
        <f>IFERROR(_xlfn.ISOWEEKNUM(INPUT!M1309),"")</f>
        <v>49</v>
      </c>
      <c r="D1314" s="20">
        <f>IFERROR(YEAR(INPUT!M1309),"")</f>
        <v>2025</v>
      </c>
      <c r="E1314" t="str">
        <f>IF(INPUT!O1309="","",INPUT!O1309)</f>
        <v>GARCIA</v>
      </c>
      <c r="F1314" t="str">
        <f>IF(INPUT!N1309="","",INPUT!N1309)</f>
        <v>M</v>
      </c>
      <c r="G1314" t="str" cm="1">
        <f t="array" ref="G1314">IFERROR(VLOOKUP(INPUT!M1309&amp;INPUT!N1309,CHOOSE({1,2},INPUT!$A$3:$A$5000&amp;INPUT!$C$3:$C$5000,INPUT!$F$3:$F$5000),2,FALSE),"")</f>
        <v>PRE-TEMPORADA</v>
      </c>
      <c r="H1314" t="str" cm="1">
        <f t="array" ref="H1314">IFERROR(VLOOKUP(INPUT!M1309&amp;INPUT!N1309,CHOOSE({1,2},INPUT!$A$3:$A$5000&amp;INPUT!$C$3:$C$5000,INPUT!$D$3:$D$5000),2,FALSE),"")</f>
        <v>GYM</v>
      </c>
      <c r="I1314" s="46">
        <f>IF(INPUT!P1309="","",INPUT!P1309)</f>
        <v>78.7</v>
      </c>
      <c r="J1314" s="46">
        <f>IF(INPUT!Q1309="","",INPUT!Q1309)</f>
        <v>78.8</v>
      </c>
      <c r="K1314" s="46">
        <f>IFERROR(IF(OR(INPUT!P1309="",INPUT!Q1309=""),"",INPUT!P1309-INPUT!Q1309),"")</f>
        <v>-9.9999999999994316E-2</v>
      </c>
      <c r="L1314" s="48">
        <f>IFERROR(IF(OR(INPUT!P1309="",INPUT!Q1309="",INPUT!P1309=0),"",(INPUT!P1309-INPUT!Q1309)/INPUT!P1309),"")</f>
        <v>-1.2706480304954804E-3</v>
      </c>
    </row>
    <row r="1315" spans="1:12" ht="18" hidden="1" customHeight="1" x14ac:dyDescent="0.2">
      <c r="A1315" s="11">
        <f>IF(INPUT!M1310="","",INPUT!M1310)</f>
        <v>45992</v>
      </c>
      <c r="B1315" s="11">
        <f>IF(INPUT!M1310="","",INPUT!M1310-WEEKDAY(INPUT!M1310,2)+1)</f>
        <v>45992</v>
      </c>
      <c r="C1315" s="20">
        <f>IFERROR(_xlfn.ISOWEEKNUM(INPUT!M1310),"")</f>
        <v>49</v>
      </c>
      <c r="D1315" s="20">
        <f>IFERROR(YEAR(INPUT!M1310),"")</f>
        <v>2025</v>
      </c>
      <c r="E1315" t="str">
        <f>IF(INPUT!O1310="","",INPUT!O1310)</f>
        <v>GARCIA</v>
      </c>
      <c r="F1315" t="str">
        <f>IF(INPUT!N1310="","",INPUT!N1310)</f>
        <v>T</v>
      </c>
      <c r="G1315" t="str" cm="1">
        <f t="array" ref="G1315">IFERROR(VLOOKUP(INPUT!M1310&amp;INPUT!N1310,CHOOSE({1,2},INPUT!$A$3:$A$5000&amp;INPUT!$C$3:$C$5000,INPUT!$F$3:$F$5000),2,FALSE),"")</f>
        <v>PRE-TEMPORADA</v>
      </c>
      <c r="H1315" t="str" cm="1">
        <f t="array" ref="H1315">IFERROR(VLOOKUP(INPUT!M1310&amp;INPUT!N1310,CHOOSE({1,2},INPUT!$A$3:$A$5000&amp;INPUT!$C$3:$C$5000,INPUT!$D$3:$D$5000),2,FALSE),"")</f>
        <v>TEC-TAC</v>
      </c>
      <c r="I1315" s="46">
        <f>IF(INPUT!P1310="","",INPUT!P1310)</f>
        <v>79</v>
      </c>
      <c r="J1315" s="46">
        <f>IF(INPUT!Q1310="","",INPUT!Q1310)</f>
        <v>78.8</v>
      </c>
      <c r="K1315" s="46">
        <f>IFERROR(IF(OR(INPUT!P1310="",INPUT!Q1310=""),"",INPUT!P1310-INPUT!Q1310),"")</f>
        <v>0.20000000000000284</v>
      </c>
      <c r="L1315" s="48">
        <f>IFERROR(IF(OR(INPUT!P1310="",INPUT!Q1310="",INPUT!P1310=0),"",(INPUT!P1310-INPUT!Q1310)/INPUT!P1310),"")</f>
        <v>2.5316455696202892E-3</v>
      </c>
    </row>
    <row r="1316" spans="1:12" ht="18" hidden="1" customHeight="1" x14ac:dyDescent="0.2">
      <c r="A1316" s="11">
        <f>IF(INPUT!M1311="","",INPUT!M1311)</f>
        <v>45992</v>
      </c>
      <c r="B1316" s="11">
        <f>IF(INPUT!M1311="","",INPUT!M1311-WEEKDAY(INPUT!M1311,2)+1)</f>
        <v>45992</v>
      </c>
      <c r="C1316" s="20">
        <f>IFERROR(_xlfn.ISOWEEKNUM(INPUT!M1311),"")</f>
        <v>49</v>
      </c>
      <c r="D1316" s="20">
        <f>IFERROR(YEAR(INPUT!M1311),"")</f>
        <v>2025</v>
      </c>
      <c r="E1316" t="str">
        <f>IF(INPUT!O1311="","",INPUT!O1311)</f>
        <v>CECILIO</v>
      </c>
      <c r="F1316" t="str">
        <f>IF(INPUT!N1311="","",INPUT!N1311)</f>
        <v>M</v>
      </c>
      <c r="G1316" t="str" cm="1">
        <f t="array" ref="G1316">IFERROR(VLOOKUP(INPUT!M1311&amp;INPUT!N1311,CHOOSE({1,2},INPUT!$A$3:$A$5000&amp;INPUT!$C$3:$C$5000,INPUT!$F$3:$F$5000),2,FALSE),"")</f>
        <v>PRE-TEMPORADA</v>
      </c>
      <c r="H1316" t="str" cm="1">
        <f t="array" ref="H1316">IFERROR(VLOOKUP(INPUT!M1311&amp;INPUT!N1311,CHOOSE({1,2},INPUT!$A$3:$A$5000&amp;INPUT!$C$3:$C$5000,INPUT!$D$3:$D$5000),2,FALSE),"")</f>
        <v>GYM</v>
      </c>
      <c r="I1316" s="46">
        <f>IF(INPUT!P1311="","",INPUT!P1311)</f>
        <v>67.3</v>
      </c>
      <c r="J1316" s="46">
        <f>IF(INPUT!Q1311="","",INPUT!Q1311)</f>
        <v>67</v>
      </c>
      <c r="K1316" s="46">
        <f>IFERROR(IF(OR(INPUT!P1311="",INPUT!Q1311=""),"",INPUT!P1311-INPUT!Q1311),"")</f>
        <v>0.29999999999999716</v>
      </c>
      <c r="L1316" s="48">
        <f>IFERROR(IF(OR(INPUT!P1311="",INPUT!Q1311="",INPUT!P1311=0),"",(INPUT!P1311-INPUT!Q1311)/INPUT!P1311),"")</f>
        <v>4.4576523031203148E-3</v>
      </c>
    </row>
    <row r="1317" spans="1:12" ht="18" hidden="1" customHeight="1" x14ac:dyDescent="0.2">
      <c r="A1317" s="11">
        <f>IF(INPUT!M1312="","",INPUT!M1312)</f>
        <v>45992</v>
      </c>
      <c r="B1317" s="11">
        <f>IF(INPUT!M1312="","",INPUT!M1312-WEEKDAY(INPUT!M1312,2)+1)</f>
        <v>45992</v>
      </c>
      <c r="C1317" s="20">
        <f>IFERROR(_xlfn.ISOWEEKNUM(INPUT!M1312),"")</f>
        <v>49</v>
      </c>
      <c r="D1317" s="20">
        <f>IFERROR(YEAR(INPUT!M1312),"")</f>
        <v>2025</v>
      </c>
      <c r="E1317" t="str">
        <f>IF(INPUT!O1312="","",INPUT!O1312)</f>
        <v>CECILIO</v>
      </c>
      <c r="F1317" t="str">
        <f>IF(INPUT!N1312="","",INPUT!N1312)</f>
        <v>T</v>
      </c>
      <c r="G1317" t="str" cm="1">
        <f t="array" ref="G1317">IFERROR(VLOOKUP(INPUT!M1312&amp;INPUT!N1312,CHOOSE({1,2},INPUT!$A$3:$A$5000&amp;INPUT!$C$3:$C$5000,INPUT!$F$3:$F$5000),2,FALSE),"")</f>
        <v>PRE-TEMPORADA</v>
      </c>
      <c r="H1317" t="str" cm="1">
        <f t="array" ref="H1317">IFERROR(VLOOKUP(INPUT!M1312&amp;INPUT!N1312,CHOOSE({1,2},INPUT!$A$3:$A$5000&amp;INPUT!$C$3:$C$5000,INPUT!$D$3:$D$5000),2,FALSE),"")</f>
        <v>TEC-TAC</v>
      </c>
      <c r="I1317" s="46">
        <f>IF(INPUT!P1312="","",INPUT!P1312)</f>
        <v>67.5</v>
      </c>
      <c r="J1317" s="46">
        <f>IF(INPUT!Q1312="","",INPUT!Q1312)</f>
        <v>67.2</v>
      </c>
      <c r="K1317" s="46">
        <f>IFERROR(IF(OR(INPUT!P1312="",INPUT!Q1312=""),"",INPUT!P1312-INPUT!Q1312),"")</f>
        <v>0.29999999999999716</v>
      </c>
      <c r="L1317" s="48">
        <f>IFERROR(IF(OR(INPUT!P1312="",INPUT!Q1312="",INPUT!P1312=0),"",(INPUT!P1312-INPUT!Q1312)/INPUT!P1312),"")</f>
        <v>4.4444444444444019E-3</v>
      </c>
    </row>
    <row r="1318" spans="1:12" ht="18" hidden="1" customHeight="1" x14ac:dyDescent="0.2">
      <c r="A1318" s="11">
        <f>IF(INPUT!M1313="","",INPUT!M1313)</f>
        <v>45992</v>
      </c>
      <c r="B1318" s="11">
        <f>IF(INPUT!M1313="","",INPUT!M1313-WEEKDAY(INPUT!M1313,2)+1)</f>
        <v>45992</v>
      </c>
      <c r="C1318" s="20">
        <f>IFERROR(_xlfn.ISOWEEKNUM(INPUT!M1313),"")</f>
        <v>49</v>
      </c>
      <c r="D1318" s="20">
        <f>IFERROR(YEAR(INPUT!M1313),"")</f>
        <v>2025</v>
      </c>
      <c r="E1318" t="str">
        <f>IF(INPUT!O1313="","",INPUT!O1313)</f>
        <v>CHAGUINHA</v>
      </c>
      <c r="F1318" t="str">
        <f>IF(INPUT!N1313="","",INPUT!N1313)</f>
        <v>M</v>
      </c>
      <c r="G1318" t="str" cm="1">
        <f t="array" ref="G1318">IFERROR(VLOOKUP(INPUT!M1313&amp;INPUT!N1313,CHOOSE({1,2},INPUT!$A$3:$A$5000&amp;INPUT!$C$3:$C$5000,INPUT!$F$3:$F$5000),2,FALSE),"")</f>
        <v>PRE-TEMPORADA</v>
      </c>
      <c r="H1318" t="str" cm="1">
        <f t="array" ref="H1318">IFERROR(VLOOKUP(INPUT!M1313&amp;INPUT!N1313,CHOOSE({1,2},INPUT!$A$3:$A$5000&amp;INPUT!$C$3:$C$5000,INPUT!$D$3:$D$5000),2,FALSE),"")</f>
        <v>GYM</v>
      </c>
      <c r="I1318" s="46">
        <f>IF(INPUT!P1313="","",INPUT!P1313)</f>
        <v>69.599999999999994</v>
      </c>
      <c r="J1318" s="46">
        <f>IF(INPUT!Q1313="","",INPUT!Q1313)</f>
        <v>69</v>
      </c>
      <c r="K1318" s="46">
        <f>IFERROR(IF(OR(INPUT!P1313="",INPUT!Q1313=""),"",INPUT!P1313-INPUT!Q1313),"")</f>
        <v>0.59999999999999432</v>
      </c>
      <c r="L1318" s="48">
        <f>IFERROR(IF(OR(INPUT!P1313="",INPUT!Q1313="",INPUT!P1313=0),"",(INPUT!P1313-INPUT!Q1313)/INPUT!P1313),"")</f>
        <v>8.6206896551723321E-3</v>
      </c>
    </row>
    <row r="1319" spans="1:12" ht="18" hidden="1" customHeight="1" x14ac:dyDescent="0.2">
      <c r="A1319" s="11">
        <f>IF(INPUT!M1314="","",INPUT!M1314)</f>
        <v>45992</v>
      </c>
      <c r="B1319" s="11">
        <f>IF(INPUT!M1314="","",INPUT!M1314-WEEKDAY(INPUT!M1314,2)+1)</f>
        <v>45992</v>
      </c>
      <c r="C1319" s="20">
        <f>IFERROR(_xlfn.ISOWEEKNUM(INPUT!M1314),"")</f>
        <v>49</v>
      </c>
      <c r="D1319" s="20">
        <f>IFERROR(YEAR(INPUT!M1314),"")</f>
        <v>2025</v>
      </c>
      <c r="E1319" t="str">
        <f>IF(INPUT!O1314="","",INPUT!O1314)</f>
        <v>CHAGUINHA</v>
      </c>
      <c r="F1319" t="str">
        <f>IF(INPUT!N1314="","",INPUT!N1314)</f>
        <v>T</v>
      </c>
      <c r="G1319" t="str" cm="1">
        <f t="array" ref="G1319">IFERROR(VLOOKUP(INPUT!M1314&amp;INPUT!N1314,CHOOSE({1,2},INPUT!$A$3:$A$5000&amp;INPUT!$C$3:$C$5000,INPUT!$F$3:$F$5000),2,FALSE),"")</f>
        <v>PRE-TEMPORADA</v>
      </c>
      <c r="H1319" t="str" cm="1">
        <f t="array" ref="H1319">IFERROR(VLOOKUP(INPUT!M1314&amp;INPUT!N1314,CHOOSE({1,2},INPUT!$A$3:$A$5000&amp;INPUT!$C$3:$C$5000,INPUT!$D$3:$D$5000),2,FALSE),"")</f>
        <v>TEC-TAC</v>
      </c>
      <c r="I1319" s="46">
        <f>IF(INPUT!P1314="","",INPUT!P1314)</f>
        <v>69.7</v>
      </c>
      <c r="J1319" s="46">
        <f>IF(INPUT!Q1314="","",INPUT!Q1314)</f>
        <v>69</v>
      </c>
      <c r="K1319" s="46">
        <f>IFERROR(IF(OR(INPUT!P1314="",INPUT!Q1314=""),"",INPUT!P1314-INPUT!Q1314),"")</f>
        <v>0.70000000000000284</v>
      </c>
      <c r="L1319" s="48">
        <f>IFERROR(IF(OR(INPUT!P1314="",INPUT!Q1314="",INPUT!P1314=0),"",(INPUT!P1314-INPUT!Q1314)/INPUT!P1314),"")</f>
        <v>1.0043041606886698E-2</v>
      </c>
    </row>
    <row r="1320" spans="1:12" ht="18" hidden="1" customHeight="1" x14ac:dyDescent="0.2">
      <c r="A1320" s="11">
        <f>IF(INPUT!M1315="","",INPUT!M1315)</f>
        <v>45992</v>
      </c>
      <c r="B1320" s="11">
        <f>IF(INPUT!M1315="","",INPUT!M1315-WEEKDAY(INPUT!M1315,2)+1)</f>
        <v>45992</v>
      </c>
      <c r="C1320" s="20">
        <f>IFERROR(_xlfn.ISOWEEKNUM(INPUT!M1315),"")</f>
        <v>49</v>
      </c>
      <c r="D1320" s="20">
        <f>IFERROR(YEAR(INPUT!M1315),"")</f>
        <v>2025</v>
      </c>
      <c r="E1320" t="str">
        <f>IF(INPUT!O1315="","",INPUT!O1315)</f>
        <v>RAUL</v>
      </c>
      <c r="F1320" t="str">
        <f>IF(INPUT!N1315="","",INPUT!N1315)</f>
        <v>M</v>
      </c>
      <c r="G1320" t="str" cm="1">
        <f t="array" ref="G1320">IFERROR(VLOOKUP(INPUT!M1315&amp;INPUT!N1315,CHOOSE({1,2},INPUT!$A$3:$A$5000&amp;INPUT!$C$3:$C$5000,INPUT!$F$3:$F$5000),2,FALSE),"")</f>
        <v>PRE-TEMPORADA</v>
      </c>
      <c r="H1320" t="str" cm="1">
        <f t="array" ref="H1320">IFERROR(VLOOKUP(INPUT!M1315&amp;INPUT!N1315,CHOOSE({1,2},INPUT!$A$3:$A$5000&amp;INPUT!$C$3:$C$5000,INPUT!$D$3:$D$5000),2,FALSE),"")</f>
        <v>GYM</v>
      </c>
      <c r="I1320" s="46">
        <f>IF(INPUT!P1315="","",INPUT!P1315)</f>
        <v>80.5</v>
      </c>
      <c r="J1320" s="46">
        <f>IF(INPUT!Q1315="","",INPUT!Q1315)</f>
        <v>80.599999999999994</v>
      </c>
      <c r="K1320" s="46">
        <f>IFERROR(IF(OR(INPUT!P1315="",INPUT!Q1315=""),"",INPUT!P1315-INPUT!Q1315),"")</f>
        <v>-9.9999999999994316E-2</v>
      </c>
      <c r="L1320" s="48">
        <f>IFERROR(IF(OR(INPUT!P1315="",INPUT!Q1315="",INPUT!P1315=0),"",(INPUT!P1315-INPUT!Q1315)/INPUT!P1315),"")</f>
        <v>-1.2422360248446499E-3</v>
      </c>
    </row>
    <row r="1321" spans="1:12" ht="18" hidden="1" customHeight="1" x14ac:dyDescent="0.2">
      <c r="A1321" s="11">
        <f>IF(INPUT!M1316="","",INPUT!M1316)</f>
        <v>45992</v>
      </c>
      <c r="B1321" s="11">
        <f>IF(INPUT!M1316="","",INPUT!M1316-WEEKDAY(INPUT!M1316,2)+1)</f>
        <v>45992</v>
      </c>
      <c r="C1321" s="20">
        <f>IFERROR(_xlfn.ISOWEEKNUM(INPUT!M1316),"")</f>
        <v>49</v>
      </c>
      <c r="D1321" s="20">
        <f>IFERROR(YEAR(INPUT!M1316),"")</f>
        <v>2025</v>
      </c>
      <c r="E1321" t="str">
        <f>IF(INPUT!O1316="","",INPUT!O1316)</f>
        <v>RAUL</v>
      </c>
      <c r="F1321" t="str">
        <f>IF(INPUT!N1316="","",INPUT!N1316)</f>
        <v>T</v>
      </c>
      <c r="G1321" t="str" cm="1">
        <f t="array" ref="G1321">IFERROR(VLOOKUP(INPUT!M1316&amp;INPUT!N1316,CHOOSE({1,2},INPUT!$A$3:$A$5000&amp;INPUT!$C$3:$C$5000,INPUT!$F$3:$F$5000),2,FALSE),"")</f>
        <v>PRE-TEMPORADA</v>
      </c>
      <c r="H1321" t="str" cm="1">
        <f t="array" ref="H1321">IFERROR(VLOOKUP(INPUT!M1316&amp;INPUT!N1316,CHOOSE({1,2},INPUT!$A$3:$A$5000&amp;INPUT!$C$3:$C$5000,INPUT!$D$3:$D$5000),2,FALSE),"")</f>
        <v>TEC-TAC</v>
      </c>
      <c r="I1321" s="46">
        <f>IF(INPUT!P1316="","",INPUT!P1316)</f>
        <v>80.8</v>
      </c>
      <c r="J1321" s="46">
        <f>IF(INPUT!Q1316="","",INPUT!Q1316)</f>
        <v>81</v>
      </c>
      <c r="K1321" s="46">
        <f>IFERROR(IF(OR(INPUT!P1316="",INPUT!Q1316=""),"",INPUT!P1316-INPUT!Q1316),"")</f>
        <v>-0.20000000000000284</v>
      </c>
      <c r="L1321" s="48">
        <f>IFERROR(IF(OR(INPUT!P1316="",INPUT!Q1316="",INPUT!P1316=0),"",(INPUT!P1316-INPUT!Q1316)/INPUT!P1316),"")</f>
        <v>-2.4752475247525104E-3</v>
      </c>
    </row>
    <row r="1322" spans="1:12" ht="18" hidden="1" customHeight="1" x14ac:dyDescent="0.2">
      <c r="A1322" s="11">
        <f>IF(INPUT!M1317="","",INPUT!M1317)</f>
        <v>45992</v>
      </c>
      <c r="B1322" s="11">
        <f>IF(INPUT!M1317="","",INPUT!M1317-WEEKDAY(INPUT!M1317,2)+1)</f>
        <v>45992</v>
      </c>
      <c r="C1322" s="20">
        <f>IFERROR(_xlfn.ISOWEEKNUM(INPUT!M1317),"")</f>
        <v>49</v>
      </c>
      <c r="D1322" s="20">
        <f>IFERROR(YEAR(INPUT!M1317),"")</f>
        <v>2025</v>
      </c>
      <c r="E1322" t="str">
        <f>IF(INPUT!O1317="","",INPUT!O1317)</f>
        <v>HARRISON</v>
      </c>
      <c r="F1322" t="str">
        <f>IF(INPUT!N1317="","",INPUT!N1317)</f>
        <v>M</v>
      </c>
      <c r="G1322" t="str" cm="1">
        <f t="array" ref="G1322">IFERROR(VLOOKUP(INPUT!M1317&amp;INPUT!N1317,CHOOSE({1,2},INPUT!$A$3:$A$5000&amp;INPUT!$C$3:$C$5000,INPUT!$F$3:$F$5000),2,FALSE),"")</f>
        <v>PRE-TEMPORADA</v>
      </c>
      <c r="H1322" t="str" cm="1">
        <f t="array" ref="H1322">IFERROR(VLOOKUP(INPUT!M1317&amp;INPUT!N1317,CHOOSE({1,2},INPUT!$A$3:$A$5000&amp;INPUT!$C$3:$C$5000,INPUT!$D$3:$D$5000),2,FALSE),"")</f>
        <v>GYM</v>
      </c>
      <c r="I1322" s="46">
        <f>IF(INPUT!P1317="","",INPUT!P1317)</f>
        <v>70</v>
      </c>
      <c r="J1322" s="46">
        <f>IF(INPUT!Q1317="","",INPUT!Q1317)</f>
        <v>70</v>
      </c>
      <c r="K1322" s="46">
        <f>IFERROR(IF(OR(INPUT!P1317="",INPUT!Q1317=""),"",INPUT!P1317-INPUT!Q1317),"")</f>
        <v>0</v>
      </c>
      <c r="L1322" s="48">
        <f>IFERROR(IF(OR(INPUT!P1317="",INPUT!Q1317="",INPUT!P1317=0),"",(INPUT!P1317-INPUT!Q1317)/INPUT!P1317),"")</f>
        <v>0</v>
      </c>
    </row>
    <row r="1323" spans="1:12" ht="18" hidden="1" customHeight="1" x14ac:dyDescent="0.2">
      <c r="A1323" s="11">
        <f>IF(INPUT!M1318="","",INPUT!M1318)</f>
        <v>45992</v>
      </c>
      <c r="B1323" s="11">
        <f>IF(INPUT!M1318="","",INPUT!M1318-WEEKDAY(INPUT!M1318,2)+1)</f>
        <v>45992</v>
      </c>
      <c r="C1323" s="20">
        <f>IFERROR(_xlfn.ISOWEEKNUM(INPUT!M1318),"")</f>
        <v>49</v>
      </c>
      <c r="D1323" s="20">
        <f>IFERROR(YEAR(INPUT!M1318),"")</f>
        <v>2025</v>
      </c>
      <c r="E1323" t="str">
        <f>IF(INPUT!O1318="","",INPUT!O1318)</f>
        <v>HARRISON</v>
      </c>
      <c r="F1323" t="str">
        <f>IF(INPUT!N1318="","",INPUT!N1318)</f>
        <v>T</v>
      </c>
      <c r="G1323" t="str" cm="1">
        <f t="array" ref="G1323">IFERROR(VLOOKUP(INPUT!M1318&amp;INPUT!N1318,CHOOSE({1,2},INPUT!$A$3:$A$5000&amp;INPUT!$C$3:$C$5000,INPUT!$F$3:$F$5000),2,FALSE),"")</f>
        <v>PRE-TEMPORADA</v>
      </c>
      <c r="H1323" t="str" cm="1">
        <f t="array" ref="H1323">IFERROR(VLOOKUP(INPUT!M1318&amp;INPUT!N1318,CHOOSE({1,2},INPUT!$A$3:$A$5000&amp;INPUT!$C$3:$C$5000,INPUT!$D$3:$D$5000),2,FALSE),"")</f>
        <v>TEC-TAC</v>
      </c>
      <c r="I1323" s="46">
        <f>IF(INPUT!P1318="","",INPUT!P1318)</f>
        <v>70.3</v>
      </c>
      <c r="J1323" s="46">
        <f>IF(INPUT!Q1318="","",INPUT!Q1318)</f>
        <v>70</v>
      </c>
      <c r="K1323" s="46">
        <f>IFERROR(IF(OR(INPUT!P1318="",INPUT!Q1318=""),"",INPUT!P1318-INPUT!Q1318),"")</f>
        <v>0.29999999999999716</v>
      </c>
      <c r="L1323" s="48">
        <f>IFERROR(IF(OR(INPUT!P1318="",INPUT!Q1318="",INPUT!P1318=0),"",(INPUT!P1318-INPUT!Q1318)/INPUT!P1318),"")</f>
        <v>4.2674253200568587E-3</v>
      </c>
    </row>
    <row r="1324" spans="1:12" ht="18" hidden="1" customHeight="1" x14ac:dyDescent="0.2">
      <c r="A1324" s="11">
        <f>IF(INPUT!M1319="","",INPUT!M1319)</f>
        <v>45992</v>
      </c>
      <c r="B1324" s="11">
        <f>IF(INPUT!M1319="","",INPUT!M1319-WEEKDAY(INPUT!M1319,2)+1)</f>
        <v>45992</v>
      </c>
      <c r="C1324" s="20">
        <f>IFERROR(_xlfn.ISOWEEKNUM(INPUT!M1319),"")</f>
        <v>49</v>
      </c>
      <c r="D1324" s="20">
        <f>IFERROR(YEAR(INPUT!M1319),"")</f>
        <v>2025</v>
      </c>
      <c r="E1324" t="str">
        <f>IF(INPUT!O1319="","",INPUT!O1319)</f>
        <v>RAYA</v>
      </c>
      <c r="F1324" t="str">
        <f>IF(INPUT!N1319="","",INPUT!N1319)</f>
        <v>M</v>
      </c>
      <c r="G1324" t="str" cm="1">
        <f t="array" ref="G1324">IFERROR(VLOOKUP(INPUT!M1319&amp;INPUT!N1319,CHOOSE({1,2},INPUT!$A$3:$A$5000&amp;INPUT!$C$3:$C$5000,INPUT!$F$3:$F$5000),2,FALSE),"")</f>
        <v>PRE-TEMPORADA</v>
      </c>
      <c r="H1324" t="str" cm="1">
        <f t="array" ref="H1324">IFERROR(VLOOKUP(INPUT!M1319&amp;INPUT!N1319,CHOOSE({1,2},INPUT!$A$3:$A$5000&amp;INPUT!$C$3:$C$5000,INPUT!$D$3:$D$5000),2,FALSE),"")</f>
        <v>GYM</v>
      </c>
      <c r="I1324" s="46">
        <f>IF(INPUT!P1319="","",INPUT!P1319)</f>
        <v>82.4</v>
      </c>
      <c r="J1324" s="46">
        <f>IF(INPUT!Q1319="","",INPUT!Q1319)</f>
        <v>81.900000000000006</v>
      </c>
      <c r="K1324" s="46">
        <f>IFERROR(IF(OR(INPUT!P1319="",INPUT!Q1319=""),"",INPUT!P1319-INPUT!Q1319),"")</f>
        <v>0.5</v>
      </c>
      <c r="L1324" s="48">
        <f>IFERROR(IF(OR(INPUT!P1319="",INPUT!Q1319="",INPUT!P1319=0),"",(INPUT!P1319-INPUT!Q1319)/INPUT!P1319),"")</f>
        <v>6.0679611650485436E-3</v>
      </c>
    </row>
    <row r="1325" spans="1:12" ht="18" hidden="1" customHeight="1" x14ac:dyDescent="0.2">
      <c r="A1325" s="11">
        <f>IF(INPUT!M1320="","",INPUT!M1320)</f>
        <v>45992</v>
      </c>
      <c r="B1325" s="11">
        <f>IF(INPUT!M1320="","",INPUT!M1320-WEEKDAY(INPUT!M1320,2)+1)</f>
        <v>45992</v>
      </c>
      <c r="C1325" s="20">
        <f>IFERROR(_xlfn.ISOWEEKNUM(INPUT!M1320),"")</f>
        <v>49</v>
      </c>
      <c r="D1325" s="20">
        <f>IFERROR(YEAR(INPUT!M1320),"")</f>
        <v>2025</v>
      </c>
      <c r="E1325" t="str">
        <f>IF(INPUT!O1320="","",INPUT!O1320)</f>
        <v>RAYA</v>
      </c>
      <c r="F1325" t="str">
        <f>IF(INPUT!N1320="","",INPUT!N1320)</f>
        <v>T</v>
      </c>
      <c r="G1325" t="str" cm="1">
        <f t="array" ref="G1325">IFERROR(VLOOKUP(INPUT!M1320&amp;INPUT!N1320,CHOOSE({1,2},INPUT!$A$3:$A$5000&amp;INPUT!$C$3:$C$5000,INPUT!$F$3:$F$5000),2,FALSE),"")</f>
        <v>PRE-TEMPORADA</v>
      </c>
      <c r="H1325" t="str" cm="1">
        <f t="array" ref="H1325">IFERROR(VLOOKUP(INPUT!M1320&amp;INPUT!N1320,CHOOSE({1,2},INPUT!$A$3:$A$5000&amp;INPUT!$C$3:$C$5000,INPUT!$D$3:$D$5000),2,FALSE),"")</f>
        <v>TEC-TAC</v>
      </c>
      <c r="I1325" s="46">
        <f>IF(INPUT!P1320="","",INPUT!P1320)</f>
        <v>81.900000000000006</v>
      </c>
      <c r="J1325" s="46">
        <f>IF(INPUT!Q1320="","",INPUT!Q1320)</f>
        <v>80.5</v>
      </c>
      <c r="K1325" s="46">
        <f>IFERROR(IF(OR(INPUT!P1320="",INPUT!Q1320=""),"",INPUT!P1320-INPUT!Q1320),"")</f>
        <v>1.4000000000000057</v>
      </c>
      <c r="L1325" s="48">
        <f>IFERROR(IF(OR(INPUT!P1320="",INPUT!Q1320="",INPUT!P1320=0),"",(INPUT!P1320-INPUT!Q1320)/INPUT!P1320),"")</f>
        <v>1.7094017094017162E-2</v>
      </c>
    </row>
    <row r="1326" spans="1:12" ht="18" hidden="1" customHeight="1" x14ac:dyDescent="0.2">
      <c r="A1326" s="11">
        <f>IF(INPUT!M1321="","",INPUT!M1321)</f>
        <v>45992</v>
      </c>
      <c r="B1326" s="11">
        <f>IF(INPUT!M1321="","",INPUT!M1321-WEEKDAY(INPUT!M1321,2)+1)</f>
        <v>45992</v>
      </c>
      <c r="C1326" s="20">
        <f>IFERROR(_xlfn.ISOWEEKNUM(INPUT!M1321),"")</f>
        <v>49</v>
      </c>
      <c r="D1326" s="20">
        <f>IFERROR(YEAR(INPUT!M1321),"")</f>
        <v>2025</v>
      </c>
      <c r="E1326" t="str">
        <f>IF(INPUT!O1321="","",INPUT!O1321)</f>
        <v>JAVI</v>
      </c>
      <c r="F1326" t="str">
        <f>IF(INPUT!N1321="","",INPUT!N1321)</f>
        <v>M</v>
      </c>
      <c r="G1326" t="str" cm="1">
        <f t="array" ref="G1326">IFERROR(VLOOKUP(INPUT!M1321&amp;INPUT!N1321,CHOOSE({1,2},INPUT!$A$3:$A$5000&amp;INPUT!$C$3:$C$5000,INPUT!$F$3:$F$5000),2,FALSE),"")</f>
        <v>PRE-TEMPORADA</v>
      </c>
      <c r="H1326" t="str" cm="1">
        <f t="array" ref="H1326">IFERROR(VLOOKUP(INPUT!M1321&amp;INPUT!N1321,CHOOSE({1,2},INPUT!$A$3:$A$5000&amp;INPUT!$C$3:$C$5000,INPUT!$D$3:$D$5000),2,FALSE),"")</f>
        <v>GYM</v>
      </c>
      <c r="I1326" s="46">
        <f>IF(INPUT!P1321="","",INPUT!P1321)</f>
        <v>78.5</v>
      </c>
      <c r="J1326" s="46">
        <f>IF(INPUT!Q1321="","",INPUT!Q1321)</f>
        <v>77.599999999999994</v>
      </c>
      <c r="K1326" s="46">
        <f>IFERROR(IF(OR(INPUT!P1321="",INPUT!Q1321=""),"",INPUT!P1321-INPUT!Q1321),"")</f>
        <v>0.90000000000000568</v>
      </c>
      <c r="L1326" s="48">
        <f>IFERROR(IF(OR(INPUT!P1321="",INPUT!Q1321="",INPUT!P1321=0),"",(INPUT!P1321-INPUT!Q1321)/INPUT!P1321),"")</f>
        <v>1.1464968152866314E-2</v>
      </c>
    </row>
    <row r="1327" spans="1:12" ht="18" hidden="1" customHeight="1" x14ac:dyDescent="0.2">
      <c r="A1327" s="11">
        <f>IF(INPUT!M1322="","",INPUT!M1322)</f>
        <v>45992</v>
      </c>
      <c r="B1327" s="11">
        <f>IF(INPUT!M1322="","",INPUT!M1322-WEEKDAY(INPUT!M1322,2)+1)</f>
        <v>45992</v>
      </c>
      <c r="C1327" s="20">
        <f>IFERROR(_xlfn.ISOWEEKNUM(INPUT!M1322),"")</f>
        <v>49</v>
      </c>
      <c r="D1327" s="20">
        <f>IFERROR(YEAR(INPUT!M1322),"")</f>
        <v>2025</v>
      </c>
      <c r="E1327" t="str">
        <f>IF(INPUT!O1322="","",INPUT!O1322)</f>
        <v>JAVI</v>
      </c>
      <c r="F1327" t="str">
        <f>IF(INPUT!N1322="","",INPUT!N1322)</f>
        <v>T</v>
      </c>
      <c r="G1327" t="str" cm="1">
        <f t="array" ref="G1327">IFERROR(VLOOKUP(INPUT!M1322&amp;INPUT!N1322,CHOOSE({1,2},INPUT!$A$3:$A$5000&amp;INPUT!$C$3:$C$5000,INPUT!$F$3:$F$5000),2,FALSE),"")</f>
        <v>PRE-TEMPORADA</v>
      </c>
      <c r="H1327" t="str" cm="1">
        <f t="array" ref="H1327">IFERROR(VLOOKUP(INPUT!M1322&amp;INPUT!N1322,CHOOSE({1,2},INPUT!$A$3:$A$5000&amp;INPUT!$C$3:$C$5000,INPUT!$D$3:$D$5000),2,FALSE),"")</f>
        <v>TEC-TAC</v>
      </c>
      <c r="I1327" s="46">
        <f>IF(INPUT!P1322="","",INPUT!P1322)</f>
        <v>77.7</v>
      </c>
      <c r="J1327" s="46">
        <f>IF(INPUT!Q1322="","",INPUT!Q1322)</f>
        <v>77.7</v>
      </c>
      <c r="K1327" s="46">
        <f>IFERROR(IF(OR(INPUT!P1322="",INPUT!Q1322=""),"",INPUT!P1322-INPUT!Q1322),"")</f>
        <v>0</v>
      </c>
      <c r="L1327" s="48">
        <f>IFERROR(IF(OR(INPUT!P1322="",INPUT!Q1322="",INPUT!P1322=0),"",(INPUT!P1322-INPUT!Q1322)/INPUT!P1322),"")</f>
        <v>0</v>
      </c>
    </row>
    <row r="1328" spans="1:12" ht="18" hidden="1" customHeight="1" x14ac:dyDescent="0.2">
      <c r="A1328" s="11">
        <f>IF(INPUT!M1323="","",INPUT!M1323)</f>
        <v>45992</v>
      </c>
      <c r="B1328" s="11">
        <f>IF(INPUT!M1323="","",INPUT!M1323-WEEKDAY(INPUT!M1323,2)+1)</f>
        <v>45992</v>
      </c>
      <c r="C1328" s="20">
        <f>IFERROR(_xlfn.ISOWEEKNUM(INPUT!M1323),"")</f>
        <v>49</v>
      </c>
      <c r="D1328" s="20">
        <f>IFERROR(YEAR(INPUT!M1323),"")</f>
        <v>2025</v>
      </c>
      <c r="E1328" t="str">
        <f>IF(INPUT!O1323="","",INPUT!O1323)</f>
        <v>PANI</v>
      </c>
      <c r="F1328" t="str">
        <f>IF(INPUT!N1323="","",INPUT!N1323)</f>
        <v>M</v>
      </c>
      <c r="G1328" t="str" cm="1">
        <f t="array" ref="G1328">IFERROR(VLOOKUP(INPUT!M1323&amp;INPUT!N1323,CHOOSE({1,2},INPUT!$A$3:$A$5000&amp;INPUT!$C$3:$C$5000,INPUT!$F$3:$F$5000),2,FALSE),"")</f>
        <v>PRE-TEMPORADA</v>
      </c>
      <c r="H1328" t="str" cm="1">
        <f t="array" ref="H1328">IFERROR(VLOOKUP(INPUT!M1323&amp;INPUT!N1323,CHOOSE({1,2},INPUT!$A$3:$A$5000&amp;INPUT!$C$3:$C$5000,INPUT!$D$3:$D$5000),2,FALSE),"")</f>
        <v>GYM</v>
      </c>
      <c r="I1328" s="46">
        <f>IF(INPUT!P1323="","",INPUT!P1323)</f>
        <v>66.900000000000006</v>
      </c>
      <c r="J1328" s="46">
        <f>IF(INPUT!Q1323="","",INPUT!Q1323)</f>
        <v>66.599999999999994</v>
      </c>
      <c r="K1328" s="46">
        <f>IFERROR(IF(OR(INPUT!P1323="",INPUT!Q1323=""),"",INPUT!P1323-INPUT!Q1323),"")</f>
        <v>0.30000000000001137</v>
      </c>
      <c r="L1328" s="48">
        <f>IFERROR(IF(OR(INPUT!P1323="",INPUT!Q1323="",INPUT!P1323=0),"",(INPUT!P1323-INPUT!Q1323)/INPUT!P1323),"")</f>
        <v>4.4843049327355959E-3</v>
      </c>
    </row>
    <row r="1329" spans="1:12" ht="18" hidden="1" customHeight="1" x14ac:dyDescent="0.2">
      <c r="A1329" s="11">
        <f>IF(INPUT!M1324="","",INPUT!M1324)</f>
        <v>45992</v>
      </c>
      <c r="B1329" s="11">
        <f>IF(INPUT!M1324="","",INPUT!M1324-WEEKDAY(INPUT!M1324,2)+1)</f>
        <v>45992</v>
      </c>
      <c r="C1329" s="20">
        <f>IFERROR(_xlfn.ISOWEEKNUM(INPUT!M1324),"")</f>
        <v>49</v>
      </c>
      <c r="D1329" s="20">
        <f>IFERROR(YEAR(INPUT!M1324),"")</f>
        <v>2025</v>
      </c>
      <c r="E1329" t="str">
        <f>IF(INPUT!O1324="","",INPUT!O1324)</f>
        <v>PANI</v>
      </c>
      <c r="F1329" t="str">
        <f>IF(INPUT!N1324="","",INPUT!N1324)</f>
        <v>T</v>
      </c>
      <c r="G1329" t="str" cm="1">
        <f t="array" ref="G1329">IFERROR(VLOOKUP(INPUT!M1324&amp;INPUT!N1324,CHOOSE({1,2},INPUT!$A$3:$A$5000&amp;INPUT!$C$3:$C$5000,INPUT!$F$3:$F$5000),2,FALSE),"")</f>
        <v>PRE-TEMPORADA</v>
      </c>
      <c r="H1329" t="str" cm="1">
        <f t="array" ref="H1329">IFERROR(VLOOKUP(INPUT!M1324&amp;INPUT!N1324,CHOOSE({1,2},INPUT!$A$3:$A$5000&amp;INPUT!$C$3:$C$5000,INPUT!$D$3:$D$5000),2,FALSE),"")</f>
        <v>TEC-TAC</v>
      </c>
      <c r="I1329" s="46">
        <f>IF(INPUT!P1324="","",INPUT!P1324)</f>
        <v>67.2</v>
      </c>
      <c r="J1329" s="46">
        <f>IF(INPUT!Q1324="","",INPUT!Q1324)</f>
        <v>66.8</v>
      </c>
      <c r="K1329" s="46">
        <f>IFERROR(IF(OR(INPUT!P1324="",INPUT!Q1324=""),"",INPUT!P1324-INPUT!Q1324),"")</f>
        <v>0.40000000000000568</v>
      </c>
      <c r="L1329" s="48">
        <f>IFERROR(IF(OR(INPUT!P1324="",INPUT!Q1324="",INPUT!P1324=0),"",(INPUT!P1324-INPUT!Q1324)/INPUT!P1324),"")</f>
        <v>5.9523809523810371E-3</v>
      </c>
    </row>
    <row r="1330" spans="1:12" ht="18" hidden="1" customHeight="1" x14ac:dyDescent="0.2">
      <c r="A1330" s="11">
        <f>IF(INPUT!M1325="","",INPUT!M1325)</f>
        <v>45992</v>
      </c>
      <c r="B1330" s="11">
        <f>IF(INPUT!M1325="","",INPUT!M1325-WEEKDAY(INPUT!M1325,2)+1)</f>
        <v>45992</v>
      </c>
      <c r="C1330" s="20">
        <f>IFERROR(_xlfn.ISOWEEKNUM(INPUT!M1325),"")</f>
        <v>49</v>
      </c>
      <c r="D1330" s="20">
        <f>IFERROR(YEAR(INPUT!M1325),"")</f>
        <v>2025</v>
      </c>
      <c r="E1330" t="str">
        <f>IF(INPUT!O1325="","",INPUT!O1325)</f>
        <v>PIRATA</v>
      </c>
      <c r="F1330" t="str">
        <f>IF(INPUT!N1325="","",INPUT!N1325)</f>
        <v>M</v>
      </c>
      <c r="G1330" t="str" cm="1">
        <f t="array" ref="G1330">IFERROR(VLOOKUP(INPUT!M1325&amp;INPUT!N1325,CHOOSE({1,2},INPUT!$A$3:$A$5000&amp;INPUT!$C$3:$C$5000,INPUT!$F$3:$F$5000),2,FALSE),"")</f>
        <v>PRE-TEMPORADA</v>
      </c>
      <c r="H1330" t="str" cm="1">
        <f t="array" ref="H1330">IFERROR(VLOOKUP(INPUT!M1325&amp;INPUT!N1325,CHOOSE({1,2},INPUT!$A$3:$A$5000&amp;INPUT!$C$3:$C$5000,INPUT!$D$3:$D$5000),2,FALSE),"")</f>
        <v>GYM</v>
      </c>
      <c r="I1330" s="46">
        <f>IF(INPUT!P1325="","",INPUT!P1325)</f>
        <v>74.5</v>
      </c>
      <c r="J1330" s="46">
        <f>IF(INPUT!Q1325="","",INPUT!Q1325)</f>
        <v>74.5</v>
      </c>
      <c r="K1330" s="46">
        <f>IFERROR(IF(OR(INPUT!P1325="",INPUT!Q1325=""),"",INPUT!P1325-INPUT!Q1325),"")</f>
        <v>0</v>
      </c>
      <c r="L1330" s="48">
        <f>IFERROR(IF(OR(INPUT!P1325="",INPUT!Q1325="",INPUT!P1325=0),"",(INPUT!P1325-INPUT!Q1325)/INPUT!P1325),"")</f>
        <v>0</v>
      </c>
    </row>
    <row r="1331" spans="1:12" ht="18" hidden="1" customHeight="1" x14ac:dyDescent="0.2">
      <c r="A1331" s="11">
        <f>IF(INPUT!M1326="","",INPUT!M1326)</f>
        <v>45992</v>
      </c>
      <c r="B1331" s="11">
        <f>IF(INPUT!M1326="","",INPUT!M1326-WEEKDAY(INPUT!M1326,2)+1)</f>
        <v>45992</v>
      </c>
      <c r="C1331" s="20">
        <f>IFERROR(_xlfn.ISOWEEKNUM(INPUT!M1326),"")</f>
        <v>49</v>
      </c>
      <c r="D1331" s="20">
        <f>IFERROR(YEAR(INPUT!M1326),"")</f>
        <v>2025</v>
      </c>
      <c r="E1331" t="str">
        <f>IF(INPUT!O1326="","",INPUT!O1326)</f>
        <v>PIRATA</v>
      </c>
      <c r="F1331" t="str">
        <f>IF(INPUT!N1326="","",INPUT!N1326)</f>
        <v>T</v>
      </c>
      <c r="G1331" t="str" cm="1">
        <f t="array" ref="G1331">IFERROR(VLOOKUP(INPUT!M1326&amp;INPUT!N1326,CHOOSE({1,2},INPUT!$A$3:$A$5000&amp;INPUT!$C$3:$C$5000,INPUT!$F$3:$F$5000),2,FALSE),"")</f>
        <v>PRE-TEMPORADA</v>
      </c>
      <c r="H1331" t="str" cm="1">
        <f t="array" ref="H1331">IFERROR(VLOOKUP(INPUT!M1326&amp;INPUT!N1326,CHOOSE({1,2},INPUT!$A$3:$A$5000&amp;INPUT!$C$3:$C$5000,INPUT!$D$3:$D$5000),2,FALSE),"")</f>
        <v>TEC-TAC</v>
      </c>
      <c r="I1331" s="46">
        <f>IF(INPUT!P1326="","",INPUT!P1326)</f>
        <v>74.5</v>
      </c>
      <c r="J1331" s="46">
        <f>IF(INPUT!Q1326="","",INPUT!Q1326)</f>
        <v>74.599999999999994</v>
      </c>
      <c r="K1331" s="46">
        <f>IFERROR(IF(OR(INPUT!P1326="",INPUT!Q1326=""),"",INPUT!P1326-INPUT!Q1326),"")</f>
        <v>-9.9999999999994316E-2</v>
      </c>
      <c r="L1331" s="48">
        <f>IFERROR(IF(OR(INPUT!P1326="",INPUT!Q1326="",INPUT!P1326=0),"",(INPUT!P1326-INPUT!Q1326)/INPUT!P1326),"")</f>
        <v>-1.3422818791945545E-3</v>
      </c>
    </row>
    <row r="1332" spans="1:12" ht="18" hidden="1" customHeight="1" x14ac:dyDescent="0.2">
      <c r="A1332" s="11">
        <f>IF(INPUT!M1327="","",INPUT!M1327)</f>
        <v>45992</v>
      </c>
      <c r="B1332" s="11">
        <f>IF(INPUT!M1327="","",INPUT!M1327-WEEKDAY(INPUT!M1327,2)+1)</f>
        <v>45992</v>
      </c>
      <c r="C1332" s="20">
        <f>IFERROR(_xlfn.ISOWEEKNUM(INPUT!M1327),"")</f>
        <v>49</v>
      </c>
      <c r="D1332" s="20">
        <f>IFERROR(YEAR(INPUT!M1327),"")</f>
        <v>2025</v>
      </c>
      <c r="E1332" t="str">
        <f>IF(INPUT!O1327="","",INPUT!O1327)</f>
        <v>BARONA</v>
      </c>
      <c r="F1332" t="str">
        <f>IF(INPUT!N1327="","",INPUT!N1327)</f>
        <v>M</v>
      </c>
      <c r="G1332" t="str" cm="1">
        <f t="array" ref="G1332">IFERROR(VLOOKUP(INPUT!M1327&amp;INPUT!N1327,CHOOSE({1,2},INPUT!$A$3:$A$5000&amp;INPUT!$C$3:$C$5000,INPUT!$F$3:$F$5000),2,FALSE),"")</f>
        <v>PRE-TEMPORADA</v>
      </c>
      <c r="H1332" t="str" cm="1">
        <f t="array" ref="H1332">IFERROR(VLOOKUP(INPUT!M1327&amp;INPUT!N1327,CHOOSE({1,2},INPUT!$A$3:$A$5000&amp;INPUT!$C$3:$C$5000,INPUT!$D$3:$D$5000),2,FALSE),"")</f>
        <v>GYM</v>
      </c>
      <c r="I1332" s="46">
        <f>IF(INPUT!P1327="","",INPUT!P1327)</f>
        <v>70.8</v>
      </c>
      <c r="J1332" s="46">
        <f>IF(INPUT!Q1327="","",INPUT!Q1327)</f>
        <v>70.8</v>
      </c>
      <c r="K1332" s="46">
        <f>IFERROR(IF(OR(INPUT!P1327="",INPUT!Q1327=""),"",INPUT!P1327-INPUT!Q1327),"")</f>
        <v>0</v>
      </c>
      <c r="L1332" s="48">
        <f>IFERROR(IF(OR(INPUT!P1327="",INPUT!Q1327="",INPUT!P1327=0),"",(INPUT!P1327-INPUT!Q1327)/INPUT!P1327),"")</f>
        <v>0</v>
      </c>
    </row>
    <row r="1333" spans="1:12" ht="18" hidden="1" customHeight="1" x14ac:dyDescent="0.2">
      <c r="A1333" s="11">
        <f>IF(INPUT!M1328="","",INPUT!M1328)</f>
        <v>45992</v>
      </c>
      <c r="B1333" s="11">
        <f>IF(INPUT!M1328="","",INPUT!M1328-WEEKDAY(INPUT!M1328,2)+1)</f>
        <v>45992</v>
      </c>
      <c r="C1333" s="20">
        <f>IFERROR(_xlfn.ISOWEEKNUM(INPUT!M1328),"")</f>
        <v>49</v>
      </c>
      <c r="D1333" s="20">
        <f>IFERROR(YEAR(INPUT!M1328),"")</f>
        <v>2025</v>
      </c>
      <c r="E1333" t="str">
        <f>IF(INPUT!O1328="","",INPUT!O1328)</f>
        <v>BARONA</v>
      </c>
      <c r="F1333" t="str">
        <f>IF(INPUT!N1328="","",INPUT!N1328)</f>
        <v>T</v>
      </c>
      <c r="G1333" t="str" cm="1">
        <f t="array" ref="G1333">IFERROR(VLOOKUP(INPUT!M1328&amp;INPUT!N1328,CHOOSE({1,2},INPUT!$A$3:$A$5000&amp;INPUT!$C$3:$C$5000,INPUT!$F$3:$F$5000),2,FALSE),"")</f>
        <v>PRE-TEMPORADA</v>
      </c>
      <c r="H1333" t="str" cm="1">
        <f t="array" ref="H1333">IFERROR(VLOOKUP(INPUT!M1328&amp;INPUT!N1328,CHOOSE({1,2},INPUT!$A$3:$A$5000&amp;INPUT!$C$3:$C$5000,INPUT!$D$3:$D$5000),2,FALSE),"")</f>
        <v>TEC-TAC</v>
      </c>
      <c r="I1333" s="46">
        <f>IF(INPUT!P1328="","",INPUT!P1328)</f>
        <v>71.3</v>
      </c>
      <c r="J1333" s="46">
        <f>IF(INPUT!Q1328="","",INPUT!Q1328)</f>
        <v>71.2</v>
      </c>
      <c r="K1333" s="46">
        <f>IFERROR(IF(OR(INPUT!P1328="",INPUT!Q1328=""),"",INPUT!P1328-INPUT!Q1328),"")</f>
        <v>9.9999999999994316E-2</v>
      </c>
      <c r="L1333" s="48">
        <f>IFERROR(IF(OR(INPUT!P1328="",INPUT!Q1328="",INPUT!P1328=0),"",(INPUT!P1328-INPUT!Q1328)/INPUT!P1328),"")</f>
        <v>1.4025245441794435E-3</v>
      </c>
    </row>
    <row r="1334" spans="1:12" ht="18" hidden="1" customHeight="1" x14ac:dyDescent="0.2">
      <c r="A1334" s="11">
        <f>IF(INPUT!M1329="","",INPUT!M1329)</f>
        <v>45992</v>
      </c>
      <c r="B1334" s="11">
        <f>IF(INPUT!M1329="","",INPUT!M1329-WEEKDAY(INPUT!M1329,2)+1)</f>
        <v>45992</v>
      </c>
      <c r="C1334" s="20">
        <f>IFERROR(_xlfn.ISOWEEKNUM(INPUT!M1329),"")</f>
        <v>49</v>
      </c>
      <c r="D1334" s="20">
        <f>IFERROR(YEAR(INPUT!M1329),"")</f>
        <v>2025</v>
      </c>
      <c r="E1334" t="str">
        <f>IF(INPUT!O1329="","",INPUT!O1329)</f>
        <v>CARLOS</v>
      </c>
      <c r="F1334" t="str">
        <f>IF(INPUT!N1329="","",INPUT!N1329)</f>
        <v>M</v>
      </c>
      <c r="G1334" t="str" cm="1">
        <f t="array" ref="G1334">IFERROR(VLOOKUP(INPUT!M1329&amp;INPUT!N1329,CHOOSE({1,2},INPUT!$A$3:$A$5000&amp;INPUT!$C$3:$C$5000,INPUT!$F$3:$F$5000),2,FALSE),"")</f>
        <v>PRE-TEMPORADA</v>
      </c>
      <c r="H1334" t="str" cm="1">
        <f t="array" ref="H1334">IFERROR(VLOOKUP(INPUT!M1329&amp;INPUT!N1329,CHOOSE({1,2},INPUT!$A$3:$A$5000&amp;INPUT!$C$3:$C$5000,INPUT!$D$3:$D$5000),2,FALSE),"")</f>
        <v>GYM</v>
      </c>
      <c r="I1334" s="46">
        <f>IF(INPUT!P1329="","",INPUT!P1329)</f>
        <v>67.2</v>
      </c>
      <c r="J1334" s="46">
        <f>IF(INPUT!Q1329="","",INPUT!Q1329)</f>
        <v>67</v>
      </c>
      <c r="K1334" s="46">
        <f>IFERROR(IF(OR(INPUT!P1329="",INPUT!Q1329=""),"",INPUT!P1329-INPUT!Q1329),"")</f>
        <v>0.20000000000000284</v>
      </c>
      <c r="L1334" s="48">
        <f>IFERROR(IF(OR(INPUT!P1329="",INPUT!Q1329="",INPUT!P1329=0),"",(INPUT!P1329-INPUT!Q1329)/INPUT!P1329),"")</f>
        <v>2.9761904761905185E-3</v>
      </c>
    </row>
    <row r="1335" spans="1:12" ht="18" hidden="1" customHeight="1" x14ac:dyDescent="0.2">
      <c r="A1335" s="11">
        <f>IF(INPUT!M1330="","",INPUT!M1330)</f>
        <v>45992</v>
      </c>
      <c r="B1335" s="11">
        <f>IF(INPUT!M1330="","",INPUT!M1330-WEEKDAY(INPUT!M1330,2)+1)</f>
        <v>45992</v>
      </c>
      <c r="C1335" s="20">
        <f>IFERROR(_xlfn.ISOWEEKNUM(INPUT!M1330),"")</f>
        <v>49</v>
      </c>
      <c r="D1335" s="20">
        <f>IFERROR(YEAR(INPUT!M1330),"")</f>
        <v>2025</v>
      </c>
      <c r="E1335" t="str">
        <f>IF(INPUT!O1330="","",INPUT!O1330)</f>
        <v>CARLOS</v>
      </c>
      <c r="F1335" t="str">
        <f>IF(INPUT!N1330="","",INPUT!N1330)</f>
        <v>T</v>
      </c>
      <c r="G1335" t="str" cm="1">
        <f t="array" ref="G1335">IFERROR(VLOOKUP(INPUT!M1330&amp;INPUT!N1330,CHOOSE({1,2},INPUT!$A$3:$A$5000&amp;INPUT!$C$3:$C$5000,INPUT!$F$3:$F$5000),2,FALSE),"")</f>
        <v>PRE-TEMPORADA</v>
      </c>
      <c r="H1335" t="str" cm="1">
        <f t="array" ref="H1335">IFERROR(VLOOKUP(INPUT!M1330&amp;INPUT!N1330,CHOOSE({1,2},INPUT!$A$3:$A$5000&amp;INPUT!$C$3:$C$5000,INPUT!$D$3:$D$5000),2,FALSE),"")</f>
        <v>TEC-TAC</v>
      </c>
      <c r="I1335" s="46">
        <f>IF(INPUT!P1330="","",INPUT!P1330)</f>
        <v>67</v>
      </c>
      <c r="J1335" s="46">
        <f>IF(INPUT!Q1330="","",INPUT!Q1330)</f>
        <v>66.7</v>
      </c>
      <c r="K1335" s="46">
        <f>IFERROR(IF(OR(INPUT!P1330="",INPUT!Q1330=""),"",INPUT!P1330-INPUT!Q1330),"")</f>
        <v>0.29999999999999716</v>
      </c>
      <c r="L1335" s="48">
        <f>IFERROR(IF(OR(INPUT!P1330="",INPUT!Q1330="",INPUT!P1330=0),"",(INPUT!P1330-INPUT!Q1330)/INPUT!P1330),"")</f>
        <v>4.4776119402984652E-3</v>
      </c>
    </row>
    <row r="1336" spans="1:12" ht="18" hidden="1" customHeight="1" x14ac:dyDescent="0.2">
      <c r="A1336" s="11">
        <f>IF(INPUT!M1331="","",INPUT!M1331)</f>
        <v>45992</v>
      </c>
      <c r="B1336" s="11">
        <f>IF(INPUT!M1331="","",INPUT!M1331-WEEKDAY(INPUT!M1331,2)+1)</f>
        <v>45992</v>
      </c>
      <c r="C1336" s="20">
        <f>IFERROR(_xlfn.ISOWEEKNUM(INPUT!M1331),"")</f>
        <v>49</v>
      </c>
      <c r="D1336" s="20">
        <f>IFERROR(YEAR(INPUT!M1331),"")</f>
        <v>2025</v>
      </c>
      <c r="E1336" t="str">
        <f>IF(INPUT!O1331="","",INPUT!O1331)</f>
        <v>RUBIO</v>
      </c>
      <c r="F1336" t="str">
        <f>IF(INPUT!N1331="","",INPUT!N1331)</f>
        <v>M</v>
      </c>
      <c r="G1336" t="str" cm="1">
        <f t="array" ref="G1336">IFERROR(VLOOKUP(INPUT!M1331&amp;INPUT!N1331,CHOOSE({1,2},INPUT!$A$3:$A$5000&amp;INPUT!$C$3:$C$5000,INPUT!$F$3:$F$5000),2,FALSE),"")</f>
        <v>PRE-TEMPORADA</v>
      </c>
      <c r="H1336" t="str" cm="1">
        <f t="array" ref="H1336">IFERROR(VLOOKUP(INPUT!M1331&amp;INPUT!N1331,CHOOSE({1,2},INPUT!$A$3:$A$5000&amp;INPUT!$C$3:$C$5000,INPUT!$D$3:$D$5000),2,FALSE),"")</f>
        <v>GYM</v>
      </c>
      <c r="I1336" s="46">
        <f>IF(INPUT!P1331="","",INPUT!P1331)</f>
        <v>74.599999999999994</v>
      </c>
      <c r="J1336" s="46">
        <f>IF(INPUT!Q1331="","",INPUT!Q1331)</f>
        <v>74.8</v>
      </c>
      <c r="K1336" s="46">
        <f>IFERROR(IF(OR(INPUT!P1331="",INPUT!Q1331=""),"",INPUT!P1331-INPUT!Q1331),"")</f>
        <v>-0.20000000000000284</v>
      </c>
      <c r="L1336" s="48">
        <f>IFERROR(IF(OR(INPUT!P1331="",INPUT!Q1331="",INPUT!P1331=0),"",(INPUT!P1331-INPUT!Q1331)/INPUT!P1331),"")</f>
        <v>-2.6809651474531213E-3</v>
      </c>
    </row>
    <row r="1337" spans="1:12" ht="18" hidden="1" customHeight="1" x14ac:dyDescent="0.2">
      <c r="A1337" s="11">
        <f>IF(INPUT!M1332="","",INPUT!M1332)</f>
        <v>45992</v>
      </c>
      <c r="B1337" s="11">
        <f>IF(INPUT!M1332="","",INPUT!M1332-WEEKDAY(INPUT!M1332,2)+1)</f>
        <v>45992</v>
      </c>
      <c r="C1337" s="20">
        <f>IFERROR(_xlfn.ISOWEEKNUM(INPUT!M1332),"")</f>
        <v>49</v>
      </c>
      <c r="D1337" s="20">
        <f>IFERROR(YEAR(INPUT!M1332),"")</f>
        <v>2025</v>
      </c>
      <c r="E1337" t="str">
        <f>IF(INPUT!O1332="","",INPUT!O1332)</f>
        <v>RUBIO</v>
      </c>
      <c r="F1337" t="str">
        <f>IF(INPUT!N1332="","",INPUT!N1332)</f>
        <v>T</v>
      </c>
      <c r="G1337" t="str" cm="1">
        <f t="array" ref="G1337">IFERROR(VLOOKUP(INPUT!M1332&amp;INPUT!N1332,CHOOSE({1,2},INPUT!$A$3:$A$5000&amp;INPUT!$C$3:$C$5000,INPUT!$F$3:$F$5000),2,FALSE),"")</f>
        <v>PRE-TEMPORADA</v>
      </c>
      <c r="H1337" t="str" cm="1">
        <f t="array" ref="H1337">IFERROR(VLOOKUP(INPUT!M1332&amp;INPUT!N1332,CHOOSE({1,2},INPUT!$A$3:$A$5000&amp;INPUT!$C$3:$C$5000,INPUT!$D$3:$D$5000),2,FALSE),"")</f>
        <v>TEC-TAC</v>
      </c>
      <c r="I1337" s="46">
        <f>IF(INPUT!P1332="","",INPUT!P1332)</f>
        <v>74.8</v>
      </c>
      <c r="J1337" s="46">
        <f>IF(INPUT!Q1332="","",INPUT!Q1332)</f>
        <v>74.8</v>
      </c>
      <c r="K1337" s="46">
        <f>IFERROR(IF(OR(INPUT!P1332="",INPUT!Q1332=""),"",INPUT!P1332-INPUT!Q1332),"")</f>
        <v>0</v>
      </c>
      <c r="L1337" s="48">
        <f>IFERROR(IF(OR(INPUT!P1332="",INPUT!Q1332="",INPUT!P1332=0),"",(INPUT!P1332-INPUT!Q1332)/INPUT!P1332),"")</f>
        <v>0</v>
      </c>
    </row>
    <row r="1338" spans="1:12" ht="18" hidden="1" customHeight="1" x14ac:dyDescent="0.2">
      <c r="A1338" s="11">
        <f>IF(INPUT!M1333="","",INPUT!M1333)</f>
        <v>45992</v>
      </c>
      <c r="B1338" s="11">
        <f>IF(INPUT!M1333="","",INPUT!M1333-WEEKDAY(INPUT!M1333,2)+1)</f>
        <v>45992</v>
      </c>
      <c r="C1338" s="20">
        <f>IFERROR(_xlfn.ISOWEEKNUM(INPUT!M1333),"")</f>
        <v>49</v>
      </c>
      <c r="D1338" s="20">
        <f>IFERROR(YEAR(INPUT!M1333),"")</f>
        <v>2025</v>
      </c>
      <c r="E1338" t="str">
        <f>IF(INPUT!O1333="","",INPUT!O1333)</f>
        <v>DANI</v>
      </c>
      <c r="F1338" t="str">
        <f>IF(INPUT!N1333="","",INPUT!N1333)</f>
        <v>M</v>
      </c>
      <c r="G1338" t="str" cm="1">
        <f t="array" ref="G1338">IFERROR(VLOOKUP(INPUT!M1333&amp;INPUT!N1333,CHOOSE({1,2},INPUT!$A$3:$A$5000&amp;INPUT!$C$3:$C$5000,INPUT!$F$3:$F$5000),2,FALSE),"")</f>
        <v>PRE-TEMPORADA</v>
      </c>
      <c r="H1338" t="str" cm="1">
        <f t="array" ref="H1338">IFERROR(VLOOKUP(INPUT!M1333&amp;INPUT!N1333,CHOOSE({1,2},INPUT!$A$3:$A$5000&amp;INPUT!$C$3:$C$5000,INPUT!$D$3:$D$5000),2,FALSE),"")</f>
        <v>GYM</v>
      </c>
      <c r="I1338" s="46">
        <f>IF(INPUT!P1333="","",INPUT!P1333)</f>
        <v>93.7</v>
      </c>
      <c r="J1338" s="46">
        <f>IF(INPUT!Q1333="","",INPUT!Q1333)</f>
        <v>93.2</v>
      </c>
      <c r="K1338" s="46">
        <f>IFERROR(IF(OR(INPUT!P1333="",INPUT!Q1333=""),"",INPUT!P1333-INPUT!Q1333),"")</f>
        <v>0.5</v>
      </c>
      <c r="L1338" s="48">
        <f>IFERROR(IF(OR(INPUT!P1333="",INPUT!Q1333="",INPUT!P1333=0),"",(INPUT!P1333-INPUT!Q1333)/INPUT!P1333),"")</f>
        <v>5.3361792956243331E-3</v>
      </c>
    </row>
    <row r="1339" spans="1:12" ht="18" hidden="1" customHeight="1" x14ac:dyDescent="0.2">
      <c r="A1339" s="11">
        <f>IF(INPUT!M1334="","",INPUT!M1334)</f>
        <v>45992</v>
      </c>
      <c r="B1339" s="11">
        <f>IF(INPUT!M1334="","",INPUT!M1334-WEEKDAY(INPUT!M1334,2)+1)</f>
        <v>45992</v>
      </c>
      <c r="C1339" s="20">
        <f>IFERROR(_xlfn.ISOWEEKNUM(INPUT!M1334),"")</f>
        <v>49</v>
      </c>
      <c r="D1339" s="20">
        <f>IFERROR(YEAR(INPUT!M1334),"")</f>
        <v>2025</v>
      </c>
      <c r="E1339" t="str">
        <f>IF(INPUT!O1334="","",INPUT!O1334)</f>
        <v>DANI</v>
      </c>
      <c r="F1339" t="str">
        <f>IF(INPUT!N1334="","",INPUT!N1334)</f>
        <v>T</v>
      </c>
      <c r="G1339" t="str" cm="1">
        <f t="array" ref="G1339">IFERROR(VLOOKUP(INPUT!M1334&amp;INPUT!N1334,CHOOSE({1,2},INPUT!$A$3:$A$5000&amp;INPUT!$C$3:$C$5000,INPUT!$F$3:$F$5000),2,FALSE),"")</f>
        <v>PRE-TEMPORADA</v>
      </c>
      <c r="H1339" t="str" cm="1">
        <f t="array" ref="H1339">IFERROR(VLOOKUP(INPUT!M1334&amp;INPUT!N1334,CHOOSE({1,2},INPUT!$A$3:$A$5000&amp;INPUT!$C$3:$C$5000,INPUT!$D$3:$D$5000),2,FALSE),"")</f>
        <v>TEC-TAC</v>
      </c>
      <c r="I1339" s="46">
        <f>IF(INPUT!P1334="","",INPUT!P1334)</f>
        <v>92.7</v>
      </c>
      <c r="J1339" s="46">
        <f>IF(INPUT!Q1334="","",INPUT!Q1334)</f>
        <v>92.4</v>
      </c>
      <c r="K1339" s="46">
        <f>IFERROR(IF(OR(INPUT!P1334="",INPUT!Q1334=""),"",INPUT!P1334-INPUT!Q1334),"")</f>
        <v>0.29999999999999716</v>
      </c>
      <c r="L1339" s="48">
        <f>IFERROR(IF(OR(INPUT!P1334="",INPUT!Q1334="",INPUT!P1334=0),"",(INPUT!P1334-INPUT!Q1334)/INPUT!P1334),"")</f>
        <v>3.236245954692526E-3</v>
      </c>
    </row>
    <row r="1340" spans="1:12" ht="18" hidden="1" customHeight="1" x14ac:dyDescent="0.2">
      <c r="A1340" s="11">
        <f>IF(INPUT!M1335="","",INPUT!M1335)</f>
        <v>45993</v>
      </c>
      <c r="B1340" s="11">
        <f>IF(INPUT!M1335="","",INPUT!M1335-WEEKDAY(INPUT!M1335,2)+1)</f>
        <v>45992</v>
      </c>
      <c r="C1340" s="20">
        <f>IFERROR(_xlfn.ISOWEEKNUM(INPUT!M1335),"")</f>
        <v>49</v>
      </c>
      <c r="D1340" s="20">
        <f>IFERROR(YEAR(INPUT!M1335),"")</f>
        <v>2025</v>
      </c>
      <c r="E1340" t="str">
        <f>IF(INPUT!O1335="","",INPUT!O1335)</f>
        <v>HERRERO</v>
      </c>
      <c r="F1340" t="str">
        <f>IF(INPUT!N1335="","",INPUT!N1335)</f>
        <v>M</v>
      </c>
      <c r="G1340" t="str" cm="1">
        <f t="array" ref="G1340">IFERROR(VLOOKUP(INPUT!M1335&amp;INPUT!N1335,CHOOSE({1,2},INPUT!$A$3:$A$5000&amp;INPUT!$C$3:$C$5000,INPUT!$F$3:$F$5000),2,FALSE),"")</f>
        <v>PRE-TEMPORADA</v>
      </c>
      <c r="H1340" t="str" cm="1">
        <f t="array" ref="H1340">IFERROR(VLOOKUP(INPUT!M1335&amp;INPUT!N1335,CHOOSE({1,2},INPUT!$A$3:$A$5000&amp;INPUT!$C$3:$C$5000,INPUT!$D$3:$D$5000),2,FALSE),"")</f>
        <v>TEC-TAC</v>
      </c>
      <c r="I1340" s="46">
        <f>IF(INPUT!P1335="","",INPUT!P1335)</f>
        <v>76.8</v>
      </c>
      <c r="J1340" s="46">
        <f>IF(INPUT!Q1335="","",INPUT!Q1335)</f>
        <v>76.099999999999994</v>
      </c>
      <c r="K1340" s="46">
        <f>IFERROR(IF(OR(INPUT!P1335="",INPUT!Q1335=""),"",INPUT!P1335-INPUT!Q1335),"")</f>
        <v>0.70000000000000284</v>
      </c>
      <c r="L1340" s="48">
        <f>IFERROR(IF(OR(INPUT!P1335="",INPUT!Q1335="",INPUT!P1335=0),"",(INPUT!P1335-INPUT!Q1335)/INPUT!P1335),"")</f>
        <v>9.1145833333333703E-3</v>
      </c>
    </row>
    <row r="1341" spans="1:12" ht="18" hidden="1" customHeight="1" x14ac:dyDescent="0.2">
      <c r="A1341" s="11">
        <f>IF(INPUT!M1336="","",INPUT!M1336)</f>
        <v>45993</v>
      </c>
      <c r="B1341" s="11">
        <f>IF(INPUT!M1336="","",INPUT!M1336-WEEKDAY(INPUT!M1336,2)+1)</f>
        <v>45992</v>
      </c>
      <c r="C1341" s="20">
        <f>IFERROR(_xlfn.ISOWEEKNUM(INPUT!M1336),"")</f>
        <v>49</v>
      </c>
      <c r="D1341" s="20">
        <f>IFERROR(YEAR(INPUT!M1336),"")</f>
        <v>2025</v>
      </c>
      <c r="E1341" t="str">
        <f>IF(INPUT!O1336="","",INPUT!O1336)</f>
        <v>GARCIA</v>
      </c>
      <c r="F1341" t="str">
        <f>IF(INPUT!N1336="","",INPUT!N1336)</f>
        <v>M</v>
      </c>
      <c r="G1341" t="str" cm="1">
        <f t="array" ref="G1341">IFERROR(VLOOKUP(INPUT!M1336&amp;INPUT!N1336,CHOOSE({1,2},INPUT!$A$3:$A$5000&amp;INPUT!$C$3:$C$5000,INPUT!$F$3:$F$5000),2,FALSE),"")</f>
        <v>PRE-TEMPORADA</v>
      </c>
      <c r="H1341" t="str" cm="1">
        <f t="array" ref="H1341">IFERROR(VLOOKUP(INPUT!M1336&amp;INPUT!N1336,CHOOSE({1,2},INPUT!$A$3:$A$5000&amp;INPUT!$C$3:$C$5000,INPUT!$D$3:$D$5000),2,FALSE),"")</f>
        <v>TEC-TAC</v>
      </c>
      <c r="I1341" s="46">
        <f>IF(INPUT!P1336="","",INPUT!P1336)</f>
        <v>79</v>
      </c>
      <c r="J1341" s="46">
        <f>IF(INPUT!Q1336="","",INPUT!Q1336)</f>
        <v>78.900000000000006</v>
      </c>
      <c r="K1341" s="46">
        <f>IFERROR(IF(OR(INPUT!P1336="",INPUT!Q1336=""),"",INPUT!P1336-INPUT!Q1336),"")</f>
        <v>9.9999999999994316E-2</v>
      </c>
      <c r="L1341" s="48">
        <f>IFERROR(IF(OR(INPUT!P1336="",INPUT!Q1336="",INPUT!P1336=0),"",(INPUT!P1336-INPUT!Q1336)/INPUT!P1336),"")</f>
        <v>1.2658227848100546E-3</v>
      </c>
    </row>
    <row r="1342" spans="1:12" ht="18" hidden="1" customHeight="1" x14ac:dyDescent="0.2">
      <c r="A1342" s="11">
        <f>IF(INPUT!M1337="","",INPUT!M1337)</f>
        <v>45993</v>
      </c>
      <c r="B1342" s="11">
        <f>IF(INPUT!M1337="","",INPUT!M1337-WEEKDAY(INPUT!M1337,2)+1)</f>
        <v>45992</v>
      </c>
      <c r="C1342" s="20">
        <f>IFERROR(_xlfn.ISOWEEKNUM(INPUT!M1337),"")</f>
        <v>49</v>
      </c>
      <c r="D1342" s="20">
        <f>IFERROR(YEAR(INPUT!M1337),"")</f>
        <v>2025</v>
      </c>
      <c r="E1342" t="str">
        <f>IF(INPUT!O1337="","",INPUT!O1337)</f>
        <v>CECILIO</v>
      </c>
      <c r="F1342" t="str">
        <f>IF(INPUT!N1337="","",INPUT!N1337)</f>
        <v>M</v>
      </c>
      <c r="G1342" t="str" cm="1">
        <f t="array" ref="G1342">IFERROR(VLOOKUP(INPUT!M1337&amp;INPUT!N1337,CHOOSE({1,2},INPUT!$A$3:$A$5000&amp;INPUT!$C$3:$C$5000,INPUT!$F$3:$F$5000),2,FALSE),"")</f>
        <v>PRE-TEMPORADA</v>
      </c>
      <c r="H1342" t="str" cm="1">
        <f t="array" ref="H1342">IFERROR(VLOOKUP(INPUT!M1337&amp;INPUT!N1337,CHOOSE({1,2},INPUT!$A$3:$A$5000&amp;INPUT!$C$3:$C$5000,INPUT!$D$3:$D$5000),2,FALSE),"")</f>
        <v>TEC-TAC</v>
      </c>
      <c r="I1342" s="46">
        <f>IF(INPUT!P1337="","",INPUT!P1337)</f>
        <v>67.5</v>
      </c>
      <c r="J1342" s="46">
        <f>IF(INPUT!Q1337="","",INPUT!Q1337)</f>
        <v>67.099999999999994</v>
      </c>
      <c r="K1342" s="46">
        <f>IFERROR(IF(OR(INPUT!P1337="",INPUT!Q1337=""),"",INPUT!P1337-INPUT!Q1337),"")</f>
        <v>0.40000000000000568</v>
      </c>
      <c r="L1342" s="48">
        <f>IFERROR(IF(OR(INPUT!P1337="",INPUT!Q1337="",INPUT!P1337=0),"",(INPUT!P1337-INPUT!Q1337)/INPUT!P1337),"")</f>
        <v>5.9259259259260098E-3</v>
      </c>
    </row>
    <row r="1343" spans="1:12" ht="18" hidden="1" customHeight="1" x14ac:dyDescent="0.2">
      <c r="A1343" s="11">
        <f>IF(INPUT!M1338="","",INPUT!M1338)</f>
        <v>45993</v>
      </c>
      <c r="B1343" s="11">
        <f>IF(INPUT!M1338="","",INPUT!M1338-WEEKDAY(INPUT!M1338,2)+1)</f>
        <v>45992</v>
      </c>
      <c r="C1343" s="20">
        <f>IFERROR(_xlfn.ISOWEEKNUM(INPUT!M1338),"")</f>
        <v>49</v>
      </c>
      <c r="D1343" s="20">
        <f>IFERROR(YEAR(INPUT!M1338),"")</f>
        <v>2025</v>
      </c>
      <c r="E1343" t="str">
        <f>IF(INPUT!O1338="","",INPUT!O1338)</f>
        <v>CHAGUINHA</v>
      </c>
      <c r="F1343" t="str">
        <f>IF(INPUT!N1338="","",INPUT!N1338)</f>
        <v>M</v>
      </c>
      <c r="G1343" t="str" cm="1">
        <f t="array" ref="G1343">IFERROR(VLOOKUP(INPUT!M1338&amp;INPUT!N1338,CHOOSE({1,2},INPUT!$A$3:$A$5000&amp;INPUT!$C$3:$C$5000,INPUT!$F$3:$F$5000),2,FALSE),"")</f>
        <v>PRE-TEMPORADA</v>
      </c>
      <c r="H1343" t="str" cm="1">
        <f t="array" ref="H1343">IFERROR(VLOOKUP(INPUT!M1338&amp;INPUT!N1338,CHOOSE({1,2},INPUT!$A$3:$A$5000&amp;INPUT!$C$3:$C$5000,INPUT!$D$3:$D$5000),2,FALSE),"")</f>
        <v>TEC-TAC</v>
      </c>
      <c r="I1343" s="46">
        <f>IF(INPUT!P1338="","",INPUT!P1338)</f>
        <v>69.400000000000006</v>
      </c>
      <c r="J1343" s="46">
        <f>IF(INPUT!Q1338="","",INPUT!Q1338)</f>
        <v>68.7</v>
      </c>
      <c r="K1343" s="46">
        <f>IFERROR(IF(OR(INPUT!P1338="",INPUT!Q1338=""),"",INPUT!P1338-INPUT!Q1338),"")</f>
        <v>0.70000000000000284</v>
      </c>
      <c r="L1343" s="48">
        <f>IFERROR(IF(OR(INPUT!P1338="",INPUT!Q1338="",INPUT!P1338=0),"",(INPUT!P1338-INPUT!Q1338)/INPUT!P1338),"")</f>
        <v>1.0086455331412144E-2</v>
      </c>
    </row>
    <row r="1344" spans="1:12" ht="18" hidden="1" customHeight="1" x14ac:dyDescent="0.2">
      <c r="A1344" s="11">
        <f>IF(INPUT!M1339="","",INPUT!M1339)</f>
        <v>45993</v>
      </c>
      <c r="B1344" s="11">
        <f>IF(INPUT!M1339="","",INPUT!M1339-WEEKDAY(INPUT!M1339,2)+1)</f>
        <v>45992</v>
      </c>
      <c r="C1344" s="20">
        <f>IFERROR(_xlfn.ISOWEEKNUM(INPUT!M1339),"")</f>
        <v>49</v>
      </c>
      <c r="D1344" s="20">
        <f>IFERROR(YEAR(INPUT!M1339),"")</f>
        <v>2025</v>
      </c>
      <c r="E1344" t="str">
        <f>IF(INPUT!O1339="","",INPUT!O1339)</f>
        <v>RAUL</v>
      </c>
      <c r="F1344" t="str">
        <f>IF(INPUT!N1339="","",INPUT!N1339)</f>
        <v>M</v>
      </c>
      <c r="G1344" t="str" cm="1">
        <f t="array" ref="G1344">IFERROR(VLOOKUP(INPUT!M1339&amp;INPUT!N1339,CHOOSE({1,2},INPUT!$A$3:$A$5000&amp;INPUT!$C$3:$C$5000,INPUT!$F$3:$F$5000),2,FALSE),"")</f>
        <v>PRE-TEMPORADA</v>
      </c>
      <c r="H1344" t="str" cm="1">
        <f t="array" ref="H1344">IFERROR(VLOOKUP(INPUT!M1339&amp;INPUT!N1339,CHOOSE({1,2},INPUT!$A$3:$A$5000&amp;INPUT!$C$3:$C$5000,INPUT!$D$3:$D$5000),2,FALSE),"")</f>
        <v>TEC-TAC</v>
      </c>
      <c r="I1344" s="46">
        <f>IF(INPUT!P1339="","",INPUT!P1339)</f>
        <v>80.599999999999994</v>
      </c>
      <c r="J1344" s="46">
        <f>IF(INPUT!Q1339="","",INPUT!Q1339)</f>
        <v>81</v>
      </c>
      <c r="K1344" s="46">
        <f>IFERROR(IF(OR(INPUT!P1339="",INPUT!Q1339=""),"",INPUT!P1339-INPUT!Q1339),"")</f>
        <v>-0.40000000000000568</v>
      </c>
      <c r="L1344" s="48">
        <f>IFERROR(IF(OR(INPUT!P1339="",INPUT!Q1339="",INPUT!P1339=0),"",(INPUT!P1339-INPUT!Q1339)/INPUT!P1339),"")</f>
        <v>-4.9627791563276145E-3</v>
      </c>
    </row>
    <row r="1345" spans="1:12" ht="18" hidden="1" customHeight="1" x14ac:dyDescent="0.2">
      <c r="A1345" s="11">
        <f>IF(INPUT!M1340="","",INPUT!M1340)</f>
        <v>45993</v>
      </c>
      <c r="B1345" s="11">
        <f>IF(INPUT!M1340="","",INPUT!M1340-WEEKDAY(INPUT!M1340,2)+1)</f>
        <v>45992</v>
      </c>
      <c r="C1345" s="20">
        <f>IFERROR(_xlfn.ISOWEEKNUM(INPUT!M1340),"")</f>
        <v>49</v>
      </c>
      <c r="D1345" s="20">
        <f>IFERROR(YEAR(INPUT!M1340),"")</f>
        <v>2025</v>
      </c>
      <c r="E1345" t="str">
        <f>IF(INPUT!O1340="","",INPUT!O1340)</f>
        <v>HARRISON</v>
      </c>
      <c r="F1345" t="str">
        <f>IF(INPUT!N1340="","",INPUT!N1340)</f>
        <v>M</v>
      </c>
      <c r="G1345" t="str" cm="1">
        <f t="array" ref="G1345">IFERROR(VLOOKUP(INPUT!M1340&amp;INPUT!N1340,CHOOSE({1,2},INPUT!$A$3:$A$5000&amp;INPUT!$C$3:$C$5000,INPUT!$F$3:$F$5000),2,FALSE),"")</f>
        <v>PRE-TEMPORADA</v>
      </c>
      <c r="H1345" t="str" cm="1">
        <f t="array" ref="H1345">IFERROR(VLOOKUP(INPUT!M1340&amp;INPUT!N1340,CHOOSE({1,2},INPUT!$A$3:$A$5000&amp;INPUT!$C$3:$C$5000,INPUT!$D$3:$D$5000),2,FALSE),"")</f>
        <v>TEC-TAC</v>
      </c>
      <c r="I1345" s="46">
        <f>IF(INPUT!P1340="","",INPUT!P1340)</f>
        <v>70.5</v>
      </c>
      <c r="J1345" s="46">
        <f>IF(INPUT!Q1340="","",INPUT!Q1340)</f>
        <v>70.5</v>
      </c>
      <c r="K1345" s="46">
        <f>IFERROR(IF(OR(INPUT!P1340="",INPUT!Q1340=""),"",INPUT!P1340-INPUT!Q1340),"")</f>
        <v>0</v>
      </c>
      <c r="L1345" s="48">
        <f>IFERROR(IF(OR(INPUT!P1340="",INPUT!Q1340="",INPUT!P1340=0),"",(INPUT!P1340-INPUT!Q1340)/INPUT!P1340),"")</f>
        <v>0</v>
      </c>
    </row>
    <row r="1346" spans="1:12" ht="18" hidden="1" customHeight="1" x14ac:dyDescent="0.2">
      <c r="A1346" s="11">
        <f>IF(INPUT!M1341="","",INPUT!M1341)</f>
        <v>45993</v>
      </c>
      <c r="B1346" s="11">
        <f>IF(INPUT!M1341="","",INPUT!M1341-WEEKDAY(INPUT!M1341,2)+1)</f>
        <v>45992</v>
      </c>
      <c r="C1346" s="20">
        <f>IFERROR(_xlfn.ISOWEEKNUM(INPUT!M1341),"")</f>
        <v>49</v>
      </c>
      <c r="D1346" s="20">
        <f>IFERROR(YEAR(INPUT!M1341),"")</f>
        <v>2025</v>
      </c>
      <c r="E1346" t="str">
        <f>IF(INPUT!O1341="","",INPUT!O1341)</f>
        <v>RAYA</v>
      </c>
      <c r="F1346" t="str">
        <f>IF(INPUT!N1341="","",INPUT!N1341)</f>
        <v>M</v>
      </c>
      <c r="G1346" t="str" cm="1">
        <f t="array" ref="G1346">IFERROR(VLOOKUP(INPUT!M1341&amp;INPUT!N1341,CHOOSE({1,2},INPUT!$A$3:$A$5000&amp;INPUT!$C$3:$C$5000,INPUT!$F$3:$F$5000),2,FALSE),"")</f>
        <v>PRE-TEMPORADA</v>
      </c>
      <c r="H1346" t="str" cm="1">
        <f t="array" ref="H1346">IFERROR(VLOOKUP(INPUT!M1341&amp;INPUT!N1341,CHOOSE({1,2},INPUT!$A$3:$A$5000&amp;INPUT!$C$3:$C$5000,INPUT!$D$3:$D$5000),2,FALSE),"")</f>
        <v>TEC-TAC</v>
      </c>
      <c r="I1346" s="46">
        <f>IF(INPUT!P1341="","",INPUT!P1341)</f>
        <v>81.3</v>
      </c>
      <c r="J1346" s="46">
        <f>IF(INPUT!Q1341="","",INPUT!Q1341)</f>
        <v>79.8</v>
      </c>
      <c r="K1346" s="46">
        <f>IFERROR(IF(OR(INPUT!P1341="",INPUT!Q1341=""),"",INPUT!P1341-INPUT!Q1341),"")</f>
        <v>1.5</v>
      </c>
      <c r="L1346" s="48">
        <f>IFERROR(IF(OR(INPUT!P1341="",INPUT!Q1341="",INPUT!P1341=0),"",(INPUT!P1341-INPUT!Q1341)/INPUT!P1341),"")</f>
        <v>1.8450184501845018E-2</v>
      </c>
    </row>
    <row r="1347" spans="1:12" ht="18" customHeight="1" x14ac:dyDescent="0.2">
      <c r="A1347" s="11">
        <f>IF(INPUT!M1342="","",INPUT!M1342)</f>
        <v>45993</v>
      </c>
      <c r="B1347" s="11">
        <f>IF(INPUT!M1342="","",INPUT!M1342-WEEKDAY(INPUT!M1342,2)+1)</f>
        <v>45992</v>
      </c>
      <c r="C1347" s="20">
        <f>IFERROR(_xlfn.ISOWEEKNUM(INPUT!M1342),"")</f>
        <v>49</v>
      </c>
      <c r="D1347" s="20">
        <f>IFERROR(YEAR(INPUT!M1342),"")</f>
        <v>2025</v>
      </c>
      <c r="E1347" t="str">
        <f>IF(INPUT!O1342="","",INPUT!O1342)</f>
        <v>JAVI</v>
      </c>
      <c r="F1347" t="str">
        <f>IF(INPUT!N1342="","",INPUT!N1342)</f>
        <v>M</v>
      </c>
      <c r="G1347" t="str" cm="1">
        <f t="array" ref="G1347">IFERROR(VLOOKUP(INPUT!M1342&amp;INPUT!N1342,CHOOSE({1,2},INPUT!$A$3:$A$5000&amp;INPUT!$C$3:$C$5000,INPUT!$F$3:$F$5000),2,FALSE),"")</f>
        <v>PRE-TEMPORADA</v>
      </c>
      <c r="H1347" t="str" cm="1">
        <f t="array" ref="H1347">IFERROR(VLOOKUP(INPUT!M1342&amp;INPUT!N1342,CHOOSE({1,2},INPUT!$A$3:$A$5000&amp;INPUT!$C$3:$C$5000,INPUT!$D$3:$D$5000),2,FALSE),"")</f>
        <v>TEC-TAC</v>
      </c>
      <c r="I1347" s="46">
        <f>IF(INPUT!P1342="","",INPUT!P1342)</f>
        <v>78</v>
      </c>
      <c r="J1347" s="46">
        <f>IF(INPUT!Q1342="","",INPUT!Q1342)</f>
        <v>78</v>
      </c>
      <c r="K1347" s="46">
        <f>IFERROR(IF(OR(INPUT!P1342="",INPUT!Q1342=""),"",INPUT!P1342-INPUT!Q1342),"")</f>
        <v>0</v>
      </c>
      <c r="L1347" s="48">
        <f>IFERROR(IF(OR(INPUT!P1342="",INPUT!Q1342="",INPUT!P1342=0),"",(INPUT!P1342-INPUT!Q1342)/INPUT!P1342),"")</f>
        <v>0</v>
      </c>
    </row>
    <row r="1348" spans="1:12" ht="18" customHeight="1" x14ac:dyDescent="0.2">
      <c r="A1348" s="11">
        <f>IF(INPUT!M1343="","",INPUT!M1343)</f>
        <v>45993</v>
      </c>
      <c r="B1348" s="11">
        <f>IF(INPUT!M1343="","",INPUT!M1343-WEEKDAY(INPUT!M1343,2)+1)</f>
        <v>45992</v>
      </c>
      <c r="C1348" s="20">
        <f>IFERROR(_xlfn.ISOWEEKNUM(INPUT!M1343),"")</f>
        <v>49</v>
      </c>
      <c r="D1348" s="20">
        <f>IFERROR(YEAR(INPUT!M1343),"")</f>
        <v>2025</v>
      </c>
      <c r="E1348" t="str">
        <f>IF(INPUT!O1343="","",INPUT!O1343)</f>
        <v>PANI</v>
      </c>
      <c r="F1348" t="str">
        <f>IF(INPUT!N1343="","",INPUT!N1343)</f>
        <v>M</v>
      </c>
      <c r="G1348" t="str" cm="1">
        <f t="array" ref="G1348">IFERROR(VLOOKUP(INPUT!M1343&amp;INPUT!N1343,CHOOSE({1,2},INPUT!$A$3:$A$5000&amp;INPUT!$C$3:$C$5000,INPUT!$F$3:$F$5000),2,FALSE),"")</f>
        <v>PRE-TEMPORADA</v>
      </c>
      <c r="H1348" t="str" cm="1">
        <f t="array" ref="H1348">IFERROR(VLOOKUP(INPUT!M1343&amp;INPUT!N1343,CHOOSE({1,2},INPUT!$A$3:$A$5000&amp;INPUT!$C$3:$C$5000,INPUT!$D$3:$D$5000),2,FALSE),"")</f>
        <v>TEC-TAC</v>
      </c>
      <c r="I1348" s="46">
        <f>IF(INPUT!P1343="","",INPUT!P1343)</f>
        <v>66.599999999999994</v>
      </c>
      <c r="J1348" s="46">
        <f>IF(INPUT!Q1343="","",INPUT!Q1343)</f>
        <v>66.099999999999994</v>
      </c>
      <c r="K1348" s="46">
        <f>IFERROR(IF(OR(INPUT!P1343="",INPUT!Q1343=""),"",INPUT!P1343-INPUT!Q1343),"")</f>
        <v>0.5</v>
      </c>
      <c r="L1348" s="48">
        <f>IFERROR(IF(OR(INPUT!P1343="",INPUT!Q1343="",INPUT!P1343=0),"",(INPUT!P1343-INPUT!Q1343)/INPUT!P1343),"")</f>
        <v>7.5075075075075083E-3</v>
      </c>
    </row>
    <row r="1349" spans="1:12" ht="18" customHeight="1" x14ac:dyDescent="0.2">
      <c r="A1349" s="11">
        <f>IF(INPUT!M1344="","",INPUT!M1344)</f>
        <v>45993</v>
      </c>
      <c r="B1349" s="11">
        <f>IF(INPUT!M1344="","",INPUT!M1344-WEEKDAY(INPUT!M1344,2)+1)</f>
        <v>45992</v>
      </c>
      <c r="C1349" s="20">
        <f>IFERROR(_xlfn.ISOWEEKNUM(INPUT!M1344),"")</f>
        <v>49</v>
      </c>
      <c r="D1349" s="20">
        <f>IFERROR(YEAR(INPUT!M1344),"")</f>
        <v>2025</v>
      </c>
      <c r="E1349" t="str">
        <f>IF(INPUT!O1344="","",INPUT!O1344)</f>
        <v>PIRATA</v>
      </c>
      <c r="F1349" t="str">
        <f>IF(INPUT!N1344="","",INPUT!N1344)</f>
        <v>M</v>
      </c>
      <c r="G1349" t="str" cm="1">
        <f t="array" ref="G1349">IFERROR(VLOOKUP(INPUT!M1344&amp;INPUT!N1344,CHOOSE({1,2},INPUT!$A$3:$A$5000&amp;INPUT!$C$3:$C$5000,INPUT!$F$3:$F$5000),2,FALSE),"")</f>
        <v>PRE-TEMPORADA</v>
      </c>
      <c r="H1349" t="str" cm="1">
        <f t="array" ref="H1349">IFERROR(VLOOKUP(INPUT!M1344&amp;INPUT!N1344,CHOOSE({1,2},INPUT!$A$3:$A$5000&amp;INPUT!$C$3:$C$5000,INPUT!$D$3:$D$5000),2,FALSE),"")</f>
        <v>TEC-TAC</v>
      </c>
      <c r="I1349" s="46">
        <f>IF(INPUT!P1344="","",INPUT!P1344)</f>
        <v>74.7</v>
      </c>
      <c r="J1349" s="46">
        <f>IF(INPUT!Q1344="","",INPUT!Q1344)</f>
        <v>74.7</v>
      </c>
      <c r="K1349" s="46">
        <f>IFERROR(IF(OR(INPUT!P1344="",INPUT!Q1344=""),"",INPUT!P1344-INPUT!Q1344),"")</f>
        <v>0</v>
      </c>
      <c r="L1349" s="48">
        <f>IFERROR(IF(OR(INPUT!P1344="",INPUT!Q1344="",INPUT!P1344=0),"",(INPUT!P1344-INPUT!Q1344)/INPUT!P1344),"")</f>
        <v>0</v>
      </c>
    </row>
    <row r="1350" spans="1:12" ht="18" customHeight="1" x14ac:dyDescent="0.2">
      <c r="A1350" s="11">
        <f>IF(INPUT!M1345="","",INPUT!M1345)</f>
        <v>45993</v>
      </c>
      <c r="B1350" s="11">
        <f>IF(INPUT!M1345="","",INPUT!M1345-WEEKDAY(INPUT!M1345,2)+1)</f>
        <v>45992</v>
      </c>
      <c r="C1350" s="20">
        <f>IFERROR(_xlfn.ISOWEEKNUM(INPUT!M1345),"")</f>
        <v>49</v>
      </c>
      <c r="D1350" s="20">
        <f>IFERROR(YEAR(INPUT!M1345),"")</f>
        <v>2025</v>
      </c>
      <c r="E1350" t="str">
        <f>IF(INPUT!O1345="","",INPUT!O1345)</f>
        <v>BARONA</v>
      </c>
      <c r="F1350" t="str">
        <f>IF(INPUT!N1345="","",INPUT!N1345)</f>
        <v>M</v>
      </c>
      <c r="G1350" t="str" cm="1">
        <f t="array" ref="G1350">IFERROR(VLOOKUP(INPUT!M1345&amp;INPUT!N1345,CHOOSE({1,2},INPUT!$A$3:$A$5000&amp;INPUT!$C$3:$C$5000,INPUT!$F$3:$F$5000),2,FALSE),"")</f>
        <v>PRE-TEMPORADA</v>
      </c>
      <c r="H1350" t="str" cm="1">
        <f t="array" ref="H1350">IFERROR(VLOOKUP(INPUT!M1345&amp;INPUT!N1345,CHOOSE({1,2},INPUT!$A$3:$A$5000&amp;INPUT!$C$3:$C$5000,INPUT!$D$3:$D$5000),2,FALSE),"")</f>
        <v>TEC-TAC</v>
      </c>
      <c r="I1350" s="46">
        <f>IF(INPUT!P1345="","",INPUT!P1345)</f>
        <v>71</v>
      </c>
      <c r="J1350" s="46">
        <f>IF(INPUT!Q1345="","",INPUT!Q1345)</f>
        <v>70.5</v>
      </c>
      <c r="K1350" s="46">
        <f>IFERROR(IF(OR(INPUT!P1345="",INPUT!Q1345=""),"",INPUT!P1345-INPUT!Q1345),"")</f>
        <v>0.5</v>
      </c>
      <c r="L1350" s="48">
        <f>IFERROR(IF(OR(INPUT!P1345="",INPUT!Q1345="",INPUT!P1345=0),"",(INPUT!P1345-INPUT!Q1345)/INPUT!P1345),"")</f>
        <v>7.0422535211267607E-3</v>
      </c>
    </row>
    <row r="1351" spans="1:12" ht="18" customHeight="1" x14ac:dyDescent="0.2">
      <c r="A1351" s="11">
        <f>IF(INPUT!M1346="","",INPUT!M1346)</f>
        <v>45993</v>
      </c>
      <c r="B1351" s="11">
        <f>IF(INPUT!M1346="","",INPUT!M1346-WEEKDAY(INPUT!M1346,2)+1)</f>
        <v>45992</v>
      </c>
      <c r="C1351" s="20">
        <f>IFERROR(_xlfn.ISOWEEKNUM(INPUT!M1346),"")</f>
        <v>49</v>
      </c>
      <c r="D1351" s="20">
        <f>IFERROR(YEAR(INPUT!M1346),"")</f>
        <v>2025</v>
      </c>
      <c r="E1351" t="str">
        <f>IF(INPUT!O1346="","",INPUT!O1346)</f>
        <v>CARLOS</v>
      </c>
      <c r="F1351" t="str">
        <f>IF(INPUT!N1346="","",INPUT!N1346)</f>
        <v>M</v>
      </c>
      <c r="G1351" t="str" cm="1">
        <f t="array" ref="G1351">IFERROR(VLOOKUP(INPUT!M1346&amp;INPUT!N1346,CHOOSE({1,2},INPUT!$A$3:$A$5000&amp;INPUT!$C$3:$C$5000,INPUT!$F$3:$F$5000),2,FALSE),"")</f>
        <v>PRE-TEMPORADA</v>
      </c>
      <c r="H1351" t="str" cm="1">
        <f t="array" ref="H1351">IFERROR(VLOOKUP(INPUT!M1346&amp;INPUT!N1346,CHOOSE({1,2},INPUT!$A$3:$A$5000&amp;INPUT!$C$3:$C$5000,INPUT!$D$3:$D$5000),2,FALSE),"")</f>
        <v>TEC-TAC</v>
      </c>
      <c r="I1351" s="46">
        <f>IF(INPUT!P1346="","",INPUT!P1346)</f>
        <v>67.400000000000006</v>
      </c>
      <c r="J1351" s="46">
        <f>IF(INPUT!Q1346="","",INPUT!Q1346)</f>
        <v>67</v>
      </c>
      <c r="K1351" s="46">
        <f>IFERROR(IF(OR(INPUT!P1346="",INPUT!Q1346=""),"",INPUT!P1346-INPUT!Q1346),"")</f>
        <v>0.40000000000000568</v>
      </c>
      <c r="L1351" s="48">
        <f>IFERROR(IF(OR(INPUT!P1346="",INPUT!Q1346="",INPUT!P1346=0),"",(INPUT!P1346-INPUT!Q1346)/INPUT!P1346),"")</f>
        <v>5.9347181008902912E-3</v>
      </c>
    </row>
    <row r="1352" spans="1:12" ht="18" customHeight="1" x14ac:dyDescent="0.2">
      <c r="A1352" s="11">
        <f>IF(INPUT!M1347="","",INPUT!M1347)</f>
        <v>45993</v>
      </c>
      <c r="B1352" s="11">
        <f>IF(INPUT!M1347="","",INPUT!M1347-WEEKDAY(INPUT!M1347,2)+1)</f>
        <v>45992</v>
      </c>
      <c r="C1352" s="20">
        <f>IFERROR(_xlfn.ISOWEEKNUM(INPUT!M1347),"")</f>
        <v>49</v>
      </c>
      <c r="D1352" s="20">
        <f>IFERROR(YEAR(INPUT!M1347),"")</f>
        <v>2025</v>
      </c>
      <c r="E1352" t="str">
        <f>IF(INPUT!O1347="","",INPUT!O1347)</f>
        <v>RUBIO</v>
      </c>
      <c r="F1352" t="str">
        <f>IF(INPUT!N1347="","",INPUT!N1347)</f>
        <v>M</v>
      </c>
      <c r="G1352" t="str" cm="1">
        <f t="array" ref="G1352">IFERROR(VLOOKUP(INPUT!M1347&amp;INPUT!N1347,CHOOSE({1,2},INPUT!$A$3:$A$5000&amp;INPUT!$C$3:$C$5000,INPUT!$F$3:$F$5000),2,FALSE),"")</f>
        <v>PRE-TEMPORADA</v>
      </c>
      <c r="H1352" t="str" cm="1">
        <f t="array" ref="H1352">IFERROR(VLOOKUP(INPUT!M1347&amp;INPUT!N1347,CHOOSE({1,2},INPUT!$A$3:$A$5000&amp;INPUT!$C$3:$C$5000,INPUT!$D$3:$D$5000),2,FALSE),"")</f>
        <v>TEC-TAC</v>
      </c>
      <c r="I1352" s="46">
        <f>IF(INPUT!P1347="","",INPUT!P1347)</f>
        <v>75.2</v>
      </c>
      <c r="J1352" s="46">
        <f>IF(INPUT!Q1347="","",INPUT!Q1347)</f>
        <v>75.2</v>
      </c>
      <c r="K1352" s="46">
        <f>IFERROR(IF(OR(INPUT!P1347="",INPUT!Q1347=""),"",INPUT!P1347-INPUT!Q1347),"")</f>
        <v>0</v>
      </c>
      <c r="L1352" s="48">
        <f>IFERROR(IF(OR(INPUT!P1347="",INPUT!Q1347="",INPUT!P1347=0),"",(INPUT!P1347-INPUT!Q1347)/INPUT!P1347),"")</f>
        <v>0</v>
      </c>
    </row>
    <row r="1353" spans="1:12" ht="18" customHeight="1" x14ac:dyDescent="0.2">
      <c r="A1353" s="11">
        <f>IF(INPUT!M1348="","",INPUT!M1348)</f>
        <v>45993</v>
      </c>
      <c r="B1353" s="11">
        <f>IF(INPUT!M1348="","",INPUT!M1348-WEEKDAY(INPUT!M1348,2)+1)</f>
        <v>45992</v>
      </c>
      <c r="C1353" s="20">
        <f>IFERROR(_xlfn.ISOWEEKNUM(INPUT!M1348),"")</f>
        <v>49</v>
      </c>
      <c r="D1353" s="20">
        <f>IFERROR(YEAR(INPUT!M1348),"")</f>
        <v>2025</v>
      </c>
      <c r="E1353" t="str">
        <f>IF(INPUT!O1348="","",INPUT!O1348)</f>
        <v>DANI</v>
      </c>
      <c r="F1353" t="str">
        <f>IF(INPUT!N1348="","",INPUT!N1348)</f>
        <v>M</v>
      </c>
      <c r="G1353" t="str" cm="1">
        <f t="array" ref="G1353">IFERROR(VLOOKUP(INPUT!M1348&amp;INPUT!N1348,CHOOSE({1,2},INPUT!$A$3:$A$5000&amp;INPUT!$C$3:$C$5000,INPUT!$F$3:$F$5000),2,FALSE),"")</f>
        <v>PRE-TEMPORADA</v>
      </c>
      <c r="H1353" t="str" cm="1">
        <f t="array" ref="H1353">IFERROR(VLOOKUP(INPUT!M1348&amp;INPUT!N1348,CHOOSE({1,2},INPUT!$A$3:$A$5000&amp;INPUT!$C$3:$C$5000,INPUT!$D$3:$D$5000),2,FALSE),"")</f>
        <v>TEC-TAC</v>
      </c>
      <c r="I1353" s="46">
        <f>IF(INPUT!P1348="","",INPUT!P1348)</f>
        <v>93.2</v>
      </c>
      <c r="J1353" s="46">
        <f>IF(INPUT!Q1348="","",INPUT!Q1348)</f>
        <v>92.6</v>
      </c>
      <c r="K1353" s="46">
        <f>IFERROR(IF(OR(INPUT!P1348="",INPUT!Q1348=""),"",INPUT!P1348-INPUT!Q1348),"")</f>
        <v>0.60000000000000853</v>
      </c>
      <c r="L1353" s="48">
        <f>IFERROR(IF(OR(INPUT!P1348="",INPUT!Q1348="",INPUT!P1348=0),"",(INPUT!P1348-INPUT!Q1348)/INPUT!P1348),"")</f>
        <v>6.4377682403434387E-3</v>
      </c>
    </row>
    <row r="1354" spans="1:12" ht="18" hidden="1" customHeight="1" x14ac:dyDescent="0.2">
      <c r="A1354" s="11">
        <f>IF(INPUT!M1349="","",INPUT!M1349)</f>
        <v>45993</v>
      </c>
      <c r="B1354" s="11">
        <f>IF(INPUT!M1349="","",INPUT!M1349-WEEKDAY(INPUT!M1349,2)+1)</f>
        <v>45992</v>
      </c>
      <c r="C1354" s="20">
        <f>IFERROR(_xlfn.ISOWEEKNUM(INPUT!M1349),"")</f>
        <v>49</v>
      </c>
      <c r="D1354" s="20">
        <f>IFERROR(YEAR(INPUT!M1349),"")</f>
        <v>2025</v>
      </c>
      <c r="E1354" t="str">
        <f>IF(INPUT!O1349="","",INPUT!O1349)</f>
        <v>JAIME</v>
      </c>
      <c r="F1354" t="str">
        <f>IF(INPUT!N1349="","",INPUT!N1349)</f>
        <v>M</v>
      </c>
      <c r="G1354" t="str" cm="1">
        <f t="array" ref="G1354">IFERROR(VLOOKUP(INPUT!M1349&amp;INPUT!N1349,CHOOSE({1,2},INPUT!$A$3:$A$5000&amp;INPUT!$C$3:$C$5000,INPUT!$F$3:$F$5000),2,FALSE),"")</f>
        <v>PRE-TEMPORADA</v>
      </c>
      <c r="H1354" t="str" cm="1">
        <f t="array" ref="H1354">IFERROR(VLOOKUP(INPUT!M1349&amp;INPUT!N1349,CHOOSE({1,2},INPUT!$A$3:$A$5000&amp;INPUT!$C$3:$C$5000,INPUT!$D$3:$D$5000),2,FALSE),"")</f>
        <v>TEC-TAC</v>
      </c>
      <c r="I1354" s="46">
        <f>IF(INPUT!P1349="","",INPUT!P1349)</f>
        <v>75.599999999999994</v>
      </c>
      <c r="J1354" s="46">
        <f>IF(INPUT!Q1349="","",INPUT!Q1349)</f>
        <v>75.599999999999994</v>
      </c>
      <c r="K1354" s="46">
        <f>IFERROR(IF(OR(INPUT!P1349="",INPUT!Q1349=""),"",INPUT!P1349-INPUT!Q1349),"")</f>
        <v>0</v>
      </c>
      <c r="L1354" s="48">
        <f>IFERROR(IF(OR(INPUT!P1349="",INPUT!Q1349="",INPUT!P1349=0),"",(INPUT!P1349-INPUT!Q1349)/INPUT!P1349),"")</f>
        <v>0</v>
      </c>
    </row>
    <row r="1355" spans="1:12" ht="18" hidden="1" customHeight="1" x14ac:dyDescent="0.2">
      <c r="A1355" s="11">
        <f>IF(INPUT!M1350="","",INPUT!M1350)</f>
        <v>45994</v>
      </c>
      <c r="B1355" s="11">
        <f>IF(INPUT!M1350="","",INPUT!M1350-WEEKDAY(INPUT!M1350,2)+1)</f>
        <v>45992</v>
      </c>
      <c r="C1355" s="20">
        <f>IFERROR(_xlfn.ISOWEEKNUM(INPUT!M1350),"")</f>
        <v>49</v>
      </c>
      <c r="D1355" s="20">
        <f>IFERROR(YEAR(INPUT!M1350),"")</f>
        <v>2025</v>
      </c>
      <c r="E1355" t="str">
        <f>IF(INPUT!O1350="","",INPUT!O1350)</f>
        <v>HERRERO</v>
      </c>
      <c r="F1355" t="str">
        <f>IF(INPUT!N1350="","",INPUT!N1350)</f>
        <v>M</v>
      </c>
      <c r="G1355" t="str" cm="1">
        <f t="array" ref="G1355">IFERROR(VLOOKUP(INPUT!M1350&amp;INPUT!N1350,CHOOSE({1,2},INPUT!$A$3:$A$5000&amp;INPUT!$C$3:$C$5000,INPUT!$F$3:$F$5000),2,FALSE),"")</f>
        <v>PRE-TEMPORADA</v>
      </c>
      <c r="H1355" t="str" cm="1">
        <f t="array" ref="H1355">IFERROR(VLOOKUP(INPUT!M1350&amp;INPUT!N1350,CHOOSE({1,2},INPUT!$A$3:$A$5000&amp;INPUT!$C$3:$C$5000,INPUT!$D$3:$D$5000),2,FALSE),"")</f>
        <v>GYM+TEC-TAC</v>
      </c>
      <c r="I1355" s="46">
        <f>IF(INPUT!P1350="","",INPUT!P1350)</f>
        <v>77</v>
      </c>
      <c r="J1355" s="46">
        <f>IF(INPUT!Q1350="","",INPUT!Q1350)</f>
        <v>76.400000000000006</v>
      </c>
      <c r="K1355" s="46">
        <f>IFERROR(IF(OR(INPUT!P1350="",INPUT!Q1350=""),"",INPUT!P1350-INPUT!Q1350),"")</f>
        <v>0.59999999999999432</v>
      </c>
      <c r="L1355" s="48">
        <f>IFERROR(IF(OR(INPUT!P1350="",INPUT!Q1350="",INPUT!P1350=0),"",(INPUT!P1350-INPUT!Q1350)/INPUT!P1350),"")</f>
        <v>7.7922077922077185E-3</v>
      </c>
    </row>
    <row r="1356" spans="1:12" ht="18" hidden="1" customHeight="1" x14ac:dyDescent="0.2">
      <c r="A1356" s="11">
        <f>IF(INPUT!M1351="","",INPUT!M1351)</f>
        <v>45994</v>
      </c>
      <c r="B1356" s="11">
        <f>IF(INPUT!M1351="","",INPUT!M1351-WEEKDAY(INPUT!M1351,2)+1)</f>
        <v>45992</v>
      </c>
      <c r="C1356" s="20">
        <f>IFERROR(_xlfn.ISOWEEKNUM(INPUT!M1351),"")</f>
        <v>49</v>
      </c>
      <c r="D1356" s="20">
        <f>IFERROR(YEAR(INPUT!M1351),"")</f>
        <v>2025</v>
      </c>
      <c r="E1356" t="str">
        <f>IF(INPUT!O1351="","",INPUT!O1351)</f>
        <v>GARCIA</v>
      </c>
      <c r="F1356" t="str">
        <f>IF(INPUT!N1351="","",INPUT!N1351)</f>
        <v>M</v>
      </c>
      <c r="G1356" t="str" cm="1">
        <f t="array" ref="G1356">IFERROR(VLOOKUP(INPUT!M1351&amp;INPUT!N1351,CHOOSE({1,2},INPUT!$A$3:$A$5000&amp;INPUT!$C$3:$C$5000,INPUT!$F$3:$F$5000),2,FALSE),"")</f>
        <v>PRE-TEMPORADA</v>
      </c>
      <c r="H1356" t="str" cm="1">
        <f t="array" ref="H1356">IFERROR(VLOOKUP(INPUT!M1351&amp;INPUT!N1351,CHOOSE({1,2},INPUT!$A$3:$A$5000&amp;INPUT!$C$3:$C$5000,INPUT!$D$3:$D$5000),2,FALSE),"")</f>
        <v>GYM+TEC-TAC</v>
      </c>
      <c r="I1356" s="46">
        <f>IF(INPUT!P1351="","",INPUT!P1351)</f>
        <v>79</v>
      </c>
      <c r="J1356" s="46">
        <f>IF(INPUT!Q1351="","",INPUT!Q1351)</f>
        <v>79</v>
      </c>
      <c r="K1356" s="46">
        <f>IFERROR(IF(OR(INPUT!P1351="",INPUT!Q1351=""),"",INPUT!P1351-INPUT!Q1351),"")</f>
        <v>0</v>
      </c>
      <c r="L1356" s="48">
        <f>IFERROR(IF(OR(INPUT!P1351="",INPUT!Q1351="",INPUT!P1351=0),"",(INPUT!P1351-INPUT!Q1351)/INPUT!P1351),"")</f>
        <v>0</v>
      </c>
    </row>
    <row r="1357" spans="1:12" ht="18" hidden="1" customHeight="1" x14ac:dyDescent="0.2">
      <c r="A1357" s="11">
        <f>IF(INPUT!M1352="","",INPUT!M1352)</f>
        <v>45994</v>
      </c>
      <c r="B1357" s="11">
        <f>IF(INPUT!M1352="","",INPUT!M1352-WEEKDAY(INPUT!M1352,2)+1)</f>
        <v>45992</v>
      </c>
      <c r="C1357" s="20">
        <f>IFERROR(_xlfn.ISOWEEKNUM(INPUT!M1352),"")</f>
        <v>49</v>
      </c>
      <c r="D1357" s="20">
        <f>IFERROR(YEAR(INPUT!M1352),"")</f>
        <v>2025</v>
      </c>
      <c r="E1357" t="str">
        <f>IF(INPUT!O1352="","",INPUT!O1352)</f>
        <v>CECILIO</v>
      </c>
      <c r="F1357" t="str">
        <f>IF(INPUT!N1352="","",INPUT!N1352)</f>
        <v>M</v>
      </c>
      <c r="G1357" t="str" cm="1">
        <f t="array" ref="G1357">IFERROR(VLOOKUP(INPUT!M1352&amp;INPUT!N1352,CHOOSE({1,2},INPUT!$A$3:$A$5000&amp;INPUT!$C$3:$C$5000,INPUT!$F$3:$F$5000),2,FALSE),"")</f>
        <v>PRE-TEMPORADA</v>
      </c>
      <c r="H1357" t="str" cm="1">
        <f t="array" ref="H1357">IFERROR(VLOOKUP(INPUT!M1352&amp;INPUT!N1352,CHOOSE({1,2},INPUT!$A$3:$A$5000&amp;INPUT!$C$3:$C$5000,INPUT!$D$3:$D$5000),2,FALSE),"")</f>
        <v>GYM+TEC-TAC</v>
      </c>
      <c r="I1357" s="46">
        <f>IF(INPUT!P1352="","",INPUT!P1352)</f>
        <v>67.400000000000006</v>
      </c>
      <c r="J1357" s="46">
        <f>IF(INPUT!Q1352="","",INPUT!Q1352)</f>
        <v>67.2</v>
      </c>
      <c r="K1357" s="46">
        <f>IFERROR(IF(OR(INPUT!P1352="",INPUT!Q1352=""),"",INPUT!P1352-INPUT!Q1352),"")</f>
        <v>0.20000000000000284</v>
      </c>
      <c r="L1357" s="48">
        <f>IFERROR(IF(OR(INPUT!P1352="",INPUT!Q1352="",INPUT!P1352=0),"",(INPUT!P1352-INPUT!Q1352)/INPUT!P1352),"")</f>
        <v>2.9673590504451456E-3</v>
      </c>
    </row>
    <row r="1358" spans="1:12" ht="18" hidden="1" customHeight="1" x14ac:dyDescent="0.2">
      <c r="A1358" s="11">
        <f>IF(INPUT!M1353="","",INPUT!M1353)</f>
        <v>45994</v>
      </c>
      <c r="B1358" s="11">
        <f>IF(INPUT!M1353="","",INPUT!M1353-WEEKDAY(INPUT!M1353,2)+1)</f>
        <v>45992</v>
      </c>
      <c r="C1358" s="20">
        <f>IFERROR(_xlfn.ISOWEEKNUM(INPUT!M1353),"")</f>
        <v>49</v>
      </c>
      <c r="D1358" s="20">
        <f>IFERROR(YEAR(INPUT!M1353),"")</f>
        <v>2025</v>
      </c>
      <c r="E1358" t="str">
        <f>IF(INPUT!O1353="","",INPUT!O1353)</f>
        <v>CHAGUINHA</v>
      </c>
      <c r="F1358" t="str">
        <f>IF(INPUT!N1353="","",INPUT!N1353)</f>
        <v>M</v>
      </c>
      <c r="G1358" t="str" cm="1">
        <f t="array" ref="G1358">IFERROR(VLOOKUP(INPUT!M1353&amp;INPUT!N1353,CHOOSE({1,2},INPUT!$A$3:$A$5000&amp;INPUT!$C$3:$C$5000,INPUT!$F$3:$F$5000),2,FALSE),"")</f>
        <v>PRE-TEMPORADA</v>
      </c>
      <c r="H1358" t="str" cm="1">
        <f t="array" ref="H1358">IFERROR(VLOOKUP(INPUT!M1353&amp;INPUT!N1353,CHOOSE({1,2},INPUT!$A$3:$A$5000&amp;INPUT!$C$3:$C$5000,INPUT!$D$3:$D$5000),2,FALSE),"")</f>
        <v>GYM+TEC-TAC</v>
      </c>
      <c r="I1358" s="46">
        <f>IF(INPUT!P1353="","",INPUT!P1353)</f>
        <v>69</v>
      </c>
      <c r="J1358" s="46">
        <f>IF(INPUT!Q1353="","",INPUT!Q1353)</f>
        <v>68.599999999999994</v>
      </c>
      <c r="K1358" s="46">
        <f>IFERROR(IF(OR(INPUT!P1353="",INPUT!Q1353=""),"",INPUT!P1353-INPUT!Q1353),"")</f>
        <v>0.40000000000000568</v>
      </c>
      <c r="L1358" s="48">
        <f>IFERROR(IF(OR(INPUT!P1353="",INPUT!Q1353="",INPUT!P1353=0),"",(INPUT!P1353-INPUT!Q1353)/INPUT!P1353),"")</f>
        <v>5.7971014492754448E-3</v>
      </c>
    </row>
    <row r="1359" spans="1:12" ht="18" hidden="1" customHeight="1" x14ac:dyDescent="0.2">
      <c r="A1359" s="11">
        <f>IF(INPUT!M1354="","",INPUT!M1354)</f>
        <v>45994</v>
      </c>
      <c r="B1359" s="11">
        <f>IF(INPUT!M1354="","",INPUT!M1354-WEEKDAY(INPUT!M1354,2)+1)</f>
        <v>45992</v>
      </c>
      <c r="C1359" s="20">
        <f>IFERROR(_xlfn.ISOWEEKNUM(INPUT!M1354),"")</f>
        <v>49</v>
      </c>
      <c r="D1359" s="20">
        <f>IFERROR(YEAR(INPUT!M1354),"")</f>
        <v>2025</v>
      </c>
      <c r="E1359" t="str">
        <f>IF(INPUT!O1354="","",INPUT!O1354)</f>
        <v>RAUL</v>
      </c>
      <c r="F1359" t="str">
        <f>IF(INPUT!N1354="","",INPUT!N1354)</f>
        <v>M</v>
      </c>
      <c r="G1359" t="str" cm="1">
        <f t="array" ref="G1359">IFERROR(VLOOKUP(INPUT!M1354&amp;INPUT!N1354,CHOOSE({1,2},INPUT!$A$3:$A$5000&amp;INPUT!$C$3:$C$5000,INPUT!$F$3:$F$5000),2,FALSE),"")</f>
        <v>PRE-TEMPORADA</v>
      </c>
      <c r="H1359" t="str" cm="1">
        <f t="array" ref="H1359">IFERROR(VLOOKUP(INPUT!M1354&amp;INPUT!N1354,CHOOSE({1,2},INPUT!$A$3:$A$5000&amp;INPUT!$C$3:$C$5000,INPUT!$D$3:$D$5000),2,FALSE),"")</f>
        <v>GYM+TEC-TAC</v>
      </c>
      <c r="I1359" s="46">
        <f>IF(INPUT!P1354="","",INPUT!P1354)</f>
        <v>81</v>
      </c>
      <c r="J1359" s="46">
        <f>IF(INPUT!Q1354="","",INPUT!Q1354)</f>
        <v>80.5</v>
      </c>
      <c r="K1359" s="46">
        <f>IFERROR(IF(OR(INPUT!P1354="",INPUT!Q1354=""),"",INPUT!P1354-INPUT!Q1354),"")</f>
        <v>0.5</v>
      </c>
      <c r="L1359" s="48">
        <f>IFERROR(IF(OR(INPUT!P1354="",INPUT!Q1354="",INPUT!P1354=0),"",(INPUT!P1354-INPUT!Q1354)/INPUT!P1354),"")</f>
        <v>6.1728395061728392E-3</v>
      </c>
    </row>
    <row r="1360" spans="1:12" ht="18" hidden="1" customHeight="1" x14ac:dyDescent="0.2">
      <c r="A1360" s="11">
        <f>IF(INPUT!M1355="","",INPUT!M1355)</f>
        <v>45994</v>
      </c>
      <c r="B1360" s="11">
        <f>IF(INPUT!M1355="","",INPUT!M1355-WEEKDAY(INPUT!M1355,2)+1)</f>
        <v>45992</v>
      </c>
      <c r="C1360" s="20">
        <f>IFERROR(_xlfn.ISOWEEKNUM(INPUT!M1355),"")</f>
        <v>49</v>
      </c>
      <c r="D1360" s="20">
        <f>IFERROR(YEAR(INPUT!M1355),"")</f>
        <v>2025</v>
      </c>
      <c r="E1360" t="str">
        <f>IF(INPUT!O1355="","",INPUT!O1355)</f>
        <v>HARRISON</v>
      </c>
      <c r="F1360" t="str">
        <f>IF(INPUT!N1355="","",INPUT!N1355)</f>
        <v>M</v>
      </c>
      <c r="G1360" t="str" cm="1">
        <f t="array" ref="G1360">IFERROR(VLOOKUP(INPUT!M1355&amp;INPUT!N1355,CHOOSE({1,2},INPUT!$A$3:$A$5000&amp;INPUT!$C$3:$C$5000,INPUT!$F$3:$F$5000),2,FALSE),"")</f>
        <v>PRE-TEMPORADA</v>
      </c>
      <c r="H1360" t="str" cm="1">
        <f t="array" ref="H1360">IFERROR(VLOOKUP(INPUT!M1355&amp;INPUT!N1355,CHOOSE({1,2},INPUT!$A$3:$A$5000&amp;INPUT!$C$3:$C$5000,INPUT!$D$3:$D$5000),2,FALSE),"")</f>
        <v>GYM+TEC-TAC</v>
      </c>
      <c r="I1360" s="46">
        <f>IF(INPUT!P1355="","",INPUT!P1355)</f>
        <v>71</v>
      </c>
      <c r="J1360" s="46">
        <f>IF(INPUT!Q1355="","",INPUT!Q1355)</f>
        <v>71</v>
      </c>
      <c r="K1360" s="46">
        <f>IFERROR(IF(OR(INPUT!P1355="",INPUT!Q1355=""),"",INPUT!P1355-INPUT!Q1355),"")</f>
        <v>0</v>
      </c>
      <c r="L1360" s="48">
        <f>IFERROR(IF(OR(INPUT!P1355="",INPUT!Q1355="",INPUT!P1355=0),"",(INPUT!P1355-INPUT!Q1355)/INPUT!P1355),"")</f>
        <v>0</v>
      </c>
    </row>
    <row r="1361" spans="1:12" ht="18" hidden="1" customHeight="1" x14ac:dyDescent="0.2">
      <c r="A1361" s="11">
        <f>IF(INPUT!M1356="","",INPUT!M1356)</f>
        <v>45994</v>
      </c>
      <c r="B1361" s="11">
        <f>IF(INPUT!M1356="","",INPUT!M1356-WEEKDAY(INPUT!M1356,2)+1)</f>
        <v>45992</v>
      </c>
      <c r="C1361" s="20">
        <f>IFERROR(_xlfn.ISOWEEKNUM(INPUT!M1356),"")</f>
        <v>49</v>
      </c>
      <c r="D1361" s="20">
        <f>IFERROR(YEAR(INPUT!M1356),"")</f>
        <v>2025</v>
      </c>
      <c r="E1361" t="str">
        <f>IF(INPUT!O1356="","",INPUT!O1356)</f>
        <v>RAYA</v>
      </c>
      <c r="F1361" t="str">
        <f>IF(INPUT!N1356="","",INPUT!N1356)</f>
        <v>M</v>
      </c>
      <c r="G1361" t="str" cm="1">
        <f t="array" ref="G1361">IFERROR(VLOOKUP(INPUT!M1356&amp;INPUT!N1356,CHOOSE({1,2},INPUT!$A$3:$A$5000&amp;INPUT!$C$3:$C$5000,INPUT!$F$3:$F$5000),2,FALSE),"")</f>
        <v>PRE-TEMPORADA</v>
      </c>
      <c r="H1361" t="str" cm="1">
        <f t="array" ref="H1361">IFERROR(VLOOKUP(INPUT!M1356&amp;INPUT!N1356,CHOOSE({1,2},INPUT!$A$3:$A$5000&amp;INPUT!$C$3:$C$5000,INPUT!$D$3:$D$5000),2,FALSE),"")</f>
        <v>GYM+TEC-TAC</v>
      </c>
      <c r="I1361" s="46">
        <f>IF(INPUT!P1356="","",INPUT!P1356)</f>
        <v>81.599999999999994</v>
      </c>
      <c r="J1361" s="46">
        <f>IF(INPUT!Q1356="","",INPUT!Q1356)</f>
        <v>80.2</v>
      </c>
      <c r="K1361" s="46">
        <f>IFERROR(IF(OR(INPUT!P1356="",INPUT!Q1356=""),"",INPUT!P1356-INPUT!Q1356),"")</f>
        <v>1.3999999999999915</v>
      </c>
      <c r="L1361" s="48">
        <f>IFERROR(IF(OR(INPUT!P1356="",INPUT!Q1356="",INPUT!P1356=0),"",(INPUT!P1356-INPUT!Q1356)/INPUT!P1356),"")</f>
        <v>1.7156862745097937E-2</v>
      </c>
    </row>
    <row r="1362" spans="1:12" ht="18" hidden="1" customHeight="1" x14ac:dyDescent="0.2">
      <c r="A1362" s="11">
        <f>IF(INPUT!M1357="","",INPUT!M1357)</f>
        <v>45994</v>
      </c>
      <c r="B1362" s="11">
        <f>IF(INPUT!M1357="","",INPUT!M1357-WEEKDAY(INPUT!M1357,2)+1)</f>
        <v>45992</v>
      </c>
      <c r="C1362" s="20">
        <f>IFERROR(_xlfn.ISOWEEKNUM(INPUT!M1357),"")</f>
        <v>49</v>
      </c>
      <c r="D1362" s="20">
        <f>IFERROR(YEAR(INPUT!M1357),"")</f>
        <v>2025</v>
      </c>
      <c r="E1362" t="str">
        <f>IF(INPUT!O1357="","",INPUT!O1357)</f>
        <v>JAVI</v>
      </c>
      <c r="F1362" t="str">
        <f>IF(INPUT!N1357="","",INPUT!N1357)</f>
        <v>M</v>
      </c>
      <c r="G1362" t="str" cm="1">
        <f t="array" ref="G1362">IFERROR(VLOOKUP(INPUT!M1357&amp;INPUT!N1357,CHOOSE({1,2},INPUT!$A$3:$A$5000&amp;INPUT!$C$3:$C$5000,INPUT!$F$3:$F$5000),2,FALSE),"")</f>
        <v>PRE-TEMPORADA</v>
      </c>
      <c r="H1362" t="str" cm="1">
        <f t="array" ref="H1362">IFERROR(VLOOKUP(INPUT!M1357&amp;INPUT!N1357,CHOOSE({1,2},INPUT!$A$3:$A$5000&amp;INPUT!$C$3:$C$5000,INPUT!$D$3:$D$5000),2,FALSE),"")</f>
        <v>GYM+TEC-TAC</v>
      </c>
      <c r="I1362" s="46">
        <f>IF(INPUT!P1357="","",INPUT!P1357)</f>
        <v>77.5</v>
      </c>
      <c r="J1362" s="46">
        <f>IF(INPUT!Q1357="","",INPUT!Q1357)</f>
        <v>77.5</v>
      </c>
      <c r="K1362" s="46">
        <f>IFERROR(IF(OR(INPUT!P1357="",INPUT!Q1357=""),"",INPUT!P1357-INPUT!Q1357),"")</f>
        <v>0</v>
      </c>
      <c r="L1362" s="48">
        <f>IFERROR(IF(OR(INPUT!P1357="",INPUT!Q1357="",INPUT!P1357=0),"",(INPUT!P1357-INPUT!Q1357)/INPUT!P1357),"")</f>
        <v>0</v>
      </c>
    </row>
    <row r="1363" spans="1:12" ht="18" hidden="1" customHeight="1" x14ac:dyDescent="0.2">
      <c r="A1363" s="11">
        <f>IF(INPUT!M1358="","",INPUT!M1358)</f>
        <v>45994</v>
      </c>
      <c r="B1363" s="11">
        <f>IF(INPUT!M1358="","",INPUT!M1358-WEEKDAY(INPUT!M1358,2)+1)</f>
        <v>45992</v>
      </c>
      <c r="C1363" s="20">
        <f>IFERROR(_xlfn.ISOWEEKNUM(INPUT!M1358),"")</f>
        <v>49</v>
      </c>
      <c r="D1363" s="20">
        <f>IFERROR(YEAR(INPUT!M1358),"")</f>
        <v>2025</v>
      </c>
      <c r="E1363" t="str">
        <f>IF(INPUT!O1358="","",INPUT!O1358)</f>
        <v>PANI</v>
      </c>
      <c r="F1363" t="str">
        <f>IF(INPUT!N1358="","",INPUT!N1358)</f>
        <v>M</v>
      </c>
      <c r="G1363" t="str" cm="1">
        <f t="array" ref="G1363">IFERROR(VLOOKUP(INPUT!M1358&amp;INPUT!N1358,CHOOSE({1,2},INPUT!$A$3:$A$5000&amp;INPUT!$C$3:$C$5000,INPUT!$F$3:$F$5000),2,FALSE),"")</f>
        <v>PRE-TEMPORADA</v>
      </c>
      <c r="H1363" t="str" cm="1">
        <f t="array" ref="H1363">IFERROR(VLOOKUP(INPUT!M1358&amp;INPUT!N1358,CHOOSE({1,2},INPUT!$A$3:$A$5000&amp;INPUT!$C$3:$C$5000,INPUT!$D$3:$D$5000),2,FALSE),"")</f>
        <v>GYM+TEC-TAC</v>
      </c>
      <c r="I1363" s="46">
        <f>IF(INPUT!P1358="","",INPUT!P1358)</f>
        <v>67</v>
      </c>
      <c r="J1363" s="46">
        <f>IF(INPUT!Q1358="","",INPUT!Q1358)</f>
        <v>67.099999999999994</v>
      </c>
      <c r="K1363" s="46">
        <f>IFERROR(IF(OR(INPUT!P1358="",INPUT!Q1358=""),"",INPUT!P1358-INPUT!Q1358),"")</f>
        <v>-9.9999999999994316E-2</v>
      </c>
      <c r="L1363" s="48">
        <f>IFERROR(IF(OR(INPUT!P1358="",INPUT!Q1358="",INPUT!P1358=0),"",(INPUT!P1358-INPUT!Q1358)/INPUT!P1358),"")</f>
        <v>-1.4925373134327511E-3</v>
      </c>
    </row>
    <row r="1364" spans="1:12" ht="18" hidden="1" customHeight="1" x14ac:dyDescent="0.2">
      <c r="A1364" s="11">
        <f>IF(INPUT!M1359="","",INPUT!M1359)</f>
        <v>45994</v>
      </c>
      <c r="B1364" s="11">
        <f>IF(INPUT!M1359="","",INPUT!M1359-WEEKDAY(INPUT!M1359,2)+1)</f>
        <v>45992</v>
      </c>
      <c r="C1364" s="20">
        <f>IFERROR(_xlfn.ISOWEEKNUM(INPUT!M1359),"")</f>
        <v>49</v>
      </c>
      <c r="D1364" s="20">
        <f>IFERROR(YEAR(INPUT!M1359),"")</f>
        <v>2025</v>
      </c>
      <c r="E1364" t="str">
        <f>IF(INPUT!O1359="","",INPUT!O1359)</f>
        <v>PIRATA</v>
      </c>
      <c r="F1364" t="str">
        <f>IF(INPUT!N1359="","",INPUT!N1359)</f>
        <v>M</v>
      </c>
      <c r="G1364" t="str" cm="1">
        <f t="array" ref="G1364">IFERROR(VLOOKUP(INPUT!M1359&amp;INPUT!N1359,CHOOSE({1,2},INPUT!$A$3:$A$5000&amp;INPUT!$C$3:$C$5000,INPUT!$F$3:$F$5000),2,FALSE),"")</f>
        <v>PRE-TEMPORADA</v>
      </c>
      <c r="H1364" t="str" cm="1">
        <f t="array" ref="H1364">IFERROR(VLOOKUP(INPUT!M1359&amp;INPUT!N1359,CHOOSE({1,2},INPUT!$A$3:$A$5000&amp;INPUT!$C$3:$C$5000,INPUT!$D$3:$D$5000),2,FALSE),"")</f>
        <v>GYM+TEC-TAC</v>
      </c>
      <c r="I1364" s="46">
        <f>IF(INPUT!P1359="","",INPUT!P1359)</f>
        <v>74.8</v>
      </c>
      <c r="J1364" s="46">
        <f>IF(INPUT!Q1359="","",INPUT!Q1359)</f>
        <v>74.400000000000006</v>
      </c>
      <c r="K1364" s="46">
        <f>IFERROR(IF(OR(INPUT!P1359="",INPUT!Q1359=""),"",INPUT!P1359-INPUT!Q1359),"")</f>
        <v>0.39999999999999147</v>
      </c>
      <c r="L1364" s="48">
        <f>IFERROR(IF(OR(INPUT!P1359="",INPUT!Q1359="",INPUT!P1359=0),"",(INPUT!P1359-INPUT!Q1359)/INPUT!P1359),"")</f>
        <v>5.3475935828875866E-3</v>
      </c>
    </row>
    <row r="1365" spans="1:12" ht="18" hidden="1" customHeight="1" x14ac:dyDescent="0.2">
      <c r="A1365" s="11">
        <f>IF(INPUT!M1360="","",INPUT!M1360)</f>
        <v>45994</v>
      </c>
      <c r="B1365" s="11">
        <f>IF(INPUT!M1360="","",INPUT!M1360-WEEKDAY(INPUT!M1360,2)+1)</f>
        <v>45992</v>
      </c>
      <c r="C1365" s="20">
        <f>IFERROR(_xlfn.ISOWEEKNUM(INPUT!M1360),"")</f>
        <v>49</v>
      </c>
      <c r="D1365" s="20">
        <f>IFERROR(YEAR(INPUT!M1360),"")</f>
        <v>2025</v>
      </c>
      <c r="E1365" t="str">
        <f>IF(INPUT!O1360="","",INPUT!O1360)</f>
        <v>BARONA</v>
      </c>
      <c r="F1365" t="str">
        <f>IF(INPUT!N1360="","",INPUT!N1360)</f>
        <v>M</v>
      </c>
      <c r="G1365" t="str" cm="1">
        <f t="array" ref="G1365">IFERROR(VLOOKUP(INPUT!M1360&amp;INPUT!N1360,CHOOSE({1,2},INPUT!$A$3:$A$5000&amp;INPUT!$C$3:$C$5000,INPUT!$F$3:$F$5000),2,FALSE),"")</f>
        <v>PRE-TEMPORADA</v>
      </c>
      <c r="H1365" t="str" cm="1">
        <f t="array" ref="H1365">IFERROR(VLOOKUP(INPUT!M1360&amp;INPUT!N1360,CHOOSE({1,2},INPUT!$A$3:$A$5000&amp;INPUT!$C$3:$C$5000,INPUT!$D$3:$D$5000),2,FALSE),"")</f>
        <v>GYM+TEC-TAC</v>
      </c>
      <c r="I1365" s="46">
        <f>IF(INPUT!P1360="","",INPUT!P1360)</f>
        <v>71.099999999999994</v>
      </c>
      <c r="J1365" s="46">
        <f>IF(INPUT!Q1360="","",INPUT!Q1360)</f>
        <v>70.5</v>
      </c>
      <c r="K1365" s="46">
        <f>IFERROR(IF(OR(INPUT!P1360="",INPUT!Q1360=""),"",INPUT!P1360-INPUT!Q1360),"")</f>
        <v>0.59999999999999432</v>
      </c>
      <c r="L1365" s="48">
        <f>IFERROR(IF(OR(INPUT!P1360="",INPUT!Q1360="",INPUT!P1360=0),"",(INPUT!P1360-INPUT!Q1360)/INPUT!P1360),"")</f>
        <v>8.4388185654007651E-3</v>
      </c>
    </row>
    <row r="1366" spans="1:12" ht="18" hidden="1" customHeight="1" x14ac:dyDescent="0.2">
      <c r="A1366" s="11">
        <f>IF(INPUT!M1361="","",INPUT!M1361)</f>
        <v>45994</v>
      </c>
      <c r="B1366" s="11">
        <f>IF(INPUT!M1361="","",INPUT!M1361-WEEKDAY(INPUT!M1361,2)+1)</f>
        <v>45992</v>
      </c>
      <c r="C1366" s="20">
        <f>IFERROR(_xlfn.ISOWEEKNUM(INPUT!M1361),"")</f>
        <v>49</v>
      </c>
      <c r="D1366" s="20">
        <f>IFERROR(YEAR(INPUT!M1361),"")</f>
        <v>2025</v>
      </c>
      <c r="E1366" t="str">
        <f>IF(INPUT!O1361="","",INPUT!O1361)</f>
        <v>CARLOS</v>
      </c>
      <c r="F1366" t="str">
        <f>IF(INPUT!N1361="","",INPUT!N1361)</f>
        <v>M</v>
      </c>
      <c r="G1366" t="str" cm="1">
        <f t="array" ref="G1366">IFERROR(VLOOKUP(INPUT!M1361&amp;INPUT!N1361,CHOOSE({1,2},INPUT!$A$3:$A$5000&amp;INPUT!$C$3:$C$5000,INPUT!$F$3:$F$5000),2,FALSE),"")</f>
        <v>PRE-TEMPORADA</v>
      </c>
      <c r="H1366" t="str" cm="1">
        <f t="array" ref="H1366">IFERROR(VLOOKUP(INPUT!M1361&amp;INPUT!N1361,CHOOSE({1,2},INPUT!$A$3:$A$5000&amp;INPUT!$C$3:$C$5000,INPUT!$D$3:$D$5000),2,FALSE),"")</f>
        <v>GYM+TEC-TAC</v>
      </c>
      <c r="I1366" s="46">
        <f>IF(INPUT!P1361="","",INPUT!P1361)</f>
        <v>68</v>
      </c>
      <c r="J1366" s="46">
        <f>IF(INPUT!Q1361="","",INPUT!Q1361)</f>
        <v>67</v>
      </c>
      <c r="K1366" s="46">
        <f>IFERROR(IF(OR(INPUT!P1361="",INPUT!Q1361=""),"",INPUT!P1361-INPUT!Q1361),"")</f>
        <v>1</v>
      </c>
      <c r="L1366" s="48">
        <f>IFERROR(IF(OR(INPUT!P1361="",INPUT!Q1361="",INPUT!P1361=0),"",(INPUT!P1361-INPUT!Q1361)/INPUT!P1361),"")</f>
        <v>1.4705882352941176E-2</v>
      </c>
    </row>
    <row r="1367" spans="1:12" ht="18" hidden="1" customHeight="1" x14ac:dyDescent="0.2">
      <c r="A1367" s="11">
        <f>IF(INPUT!M1362="","",INPUT!M1362)</f>
        <v>45994</v>
      </c>
      <c r="B1367" s="11">
        <f>IF(INPUT!M1362="","",INPUT!M1362-WEEKDAY(INPUT!M1362,2)+1)</f>
        <v>45992</v>
      </c>
      <c r="C1367" s="20">
        <f>IFERROR(_xlfn.ISOWEEKNUM(INPUT!M1362),"")</f>
        <v>49</v>
      </c>
      <c r="D1367" s="20">
        <f>IFERROR(YEAR(INPUT!M1362),"")</f>
        <v>2025</v>
      </c>
      <c r="E1367" t="str">
        <f>IF(INPUT!O1362="","",INPUT!O1362)</f>
        <v>RUBIO</v>
      </c>
      <c r="F1367" t="str">
        <f>IF(INPUT!N1362="","",INPUT!N1362)</f>
        <v>M</v>
      </c>
      <c r="G1367" t="str" cm="1">
        <f t="array" ref="G1367">IFERROR(VLOOKUP(INPUT!M1362&amp;INPUT!N1362,CHOOSE({1,2},INPUT!$A$3:$A$5000&amp;INPUT!$C$3:$C$5000,INPUT!$F$3:$F$5000),2,FALSE),"")</f>
        <v>PRE-TEMPORADA</v>
      </c>
      <c r="H1367" t="str" cm="1">
        <f t="array" ref="H1367">IFERROR(VLOOKUP(INPUT!M1362&amp;INPUT!N1362,CHOOSE({1,2},INPUT!$A$3:$A$5000&amp;INPUT!$C$3:$C$5000,INPUT!$D$3:$D$5000),2,FALSE),"")</f>
        <v>GYM+TEC-TAC</v>
      </c>
      <c r="I1367" s="46">
        <f>IF(INPUT!P1362="","",INPUT!P1362)</f>
        <v>75</v>
      </c>
      <c r="J1367" s="46">
        <f>IF(INPUT!Q1362="","",INPUT!Q1362)</f>
        <v>75.2</v>
      </c>
      <c r="K1367" s="46">
        <f>IFERROR(IF(OR(INPUT!P1362="",INPUT!Q1362=""),"",INPUT!P1362-INPUT!Q1362),"")</f>
        <v>-0.20000000000000284</v>
      </c>
      <c r="L1367" s="48">
        <f>IFERROR(IF(OR(INPUT!P1362="",INPUT!Q1362="",INPUT!P1362=0),"",(INPUT!P1362-INPUT!Q1362)/INPUT!P1362),"")</f>
        <v>-2.6666666666667047E-3</v>
      </c>
    </row>
    <row r="1368" spans="1:12" ht="18" hidden="1" customHeight="1" x14ac:dyDescent="0.2">
      <c r="A1368" s="11">
        <f>IF(INPUT!M1363="","",INPUT!M1363)</f>
        <v>45994</v>
      </c>
      <c r="B1368" s="11">
        <f>IF(INPUT!M1363="","",INPUT!M1363-WEEKDAY(INPUT!M1363,2)+1)</f>
        <v>45992</v>
      </c>
      <c r="C1368" s="20">
        <f>IFERROR(_xlfn.ISOWEEKNUM(INPUT!M1363),"")</f>
        <v>49</v>
      </c>
      <c r="D1368" s="20">
        <f>IFERROR(YEAR(INPUT!M1363),"")</f>
        <v>2025</v>
      </c>
      <c r="E1368" t="str">
        <f>IF(INPUT!O1363="","",INPUT!O1363)</f>
        <v>DANI</v>
      </c>
      <c r="F1368" t="str">
        <f>IF(INPUT!N1363="","",INPUT!N1363)</f>
        <v>M</v>
      </c>
      <c r="G1368" t="str" cm="1">
        <f t="array" ref="G1368">IFERROR(VLOOKUP(INPUT!M1363&amp;INPUT!N1363,CHOOSE({1,2},INPUT!$A$3:$A$5000&amp;INPUT!$C$3:$C$5000,INPUT!$F$3:$F$5000),2,FALSE),"")</f>
        <v>PRE-TEMPORADA</v>
      </c>
      <c r="H1368" t="str" cm="1">
        <f t="array" ref="H1368">IFERROR(VLOOKUP(INPUT!M1363&amp;INPUT!N1363,CHOOSE({1,2},INPUT!$A$3:$A$5000&amp;INPUT!$C$3:$C$5000,INPUT!$D$3:$D$5000),2,FALSE),"")</f>
        <v>GYM+TEC-TAC</v>
      </c>
      <c r="I1368" s="46">
        <f>IF(INPUT!P1363="","",INPUT!P1363)</f>
        <v>93.3</v>
      </c>
      <c r="J1368" s="46">
        <f>IF(INPUT!Q1363="","",INPUT!Q1363)</f>
        <v>91.8</v>
      </c>
      <c r="K1368" s="46">
        <f>IFERROR(IF(OR(INPUT!P1363="",INPUT!Q1363=""),"",INPUT!P1363-INPUT!Q1363),"")</f>
        <v>1.5</v>
      </c>
      <c r="L1368" s="48">
        <f>IFERROR(IF(OR(INPUT!P1363="",INPUT!Q1363="",INPUT!P1363=0),"",(INPUT!P1363-INPUT!Q1363)/INPUT!P1363),"")</f>
        <v>1.607717041800643E-2</v>
      </c>
    </row>
    <row r="1369" spans="1:12" ht="18" hidden="1" customHeight="1" x14ac:dyDescent="0.2">
      <c r="A1369" s="11">
        <f>IF(INPUT!M1364="","",INPUT!M1364)</f>
        <v>45994</v>
      </c>
      <c r="B1369" s="11">
        <f>IF(INPUT!M1364="","",INPUT!M1364-WEEKDAY(INPUT!M1364,2)+1)</f>
        <v>45992</v>
      </c>
      <c r="C1369" s="20">
        <f>IFERROR(_xlfn.ISOWEEKNUM(INPUT!M1364),"")</f>
        <v>49</v>
      </c>
      <c r="D1369" s="20">
        <f>IFERROR(YEAR(INPUT!M1364),"")</f>
        <v>2025</v>
      </c>
      <c r="E1369" t="str">
        <f>IF(INPUT!O1364="","",INPUT!O1364)</f>
        <v>JAIME</v>
      </c>
      <c r="F1369" t="str">
        <f>IF(INPUT!N1364="","",INPUT!N1364)</f>
        <v>M</v>
      </c>
      <c r="G1369" t="str" cm="1">
        <f t="array" ref="G1369">IFERROR(VLOOKUP(INPUT!M1364&amp;INPUT!N1364,CHOOSE({1,2},INPUT!$A$3:$A$5000&amp;INPUT!$C$3:$C$5000,INPUT!$F$3:$F$5000),2,FALSE),"")</f>
        <v>PRE-TEMPORADA</v>
      </c>
      <c r="H1369" t="str" cm="1">
        <f t="array" ref="H1369">IFERROR(VLOOKUP(INPUT!M1364&amp;INPUT!N1364,CHOOSE({1,2},INPUT!$A$3:$A$5000&amp;INPUT!$C$3:$C$5000,INPUT!$D$3:$D$5000),2,FALSE),"")</f>
        <v>GYM+TEC-TAC</v>
      </c>
      <c r="I1369" s="46">
        <f>IF(INPUT!P1364="","",INPUT!P1364)</f>
        <v>75.7</v>
      </c>
      <c r="J1369" s="46">
        <f>IF(INPUT!Q1364="","",INPUT!Q1364)</f>
        <v>75.400000000000006</v>
      </c>
      <c r="K1369" s="46">
        <f>IFERROR(IF(OR(INPUT!P1364="",INPUT!Q1364=""),"",INPUT!P1364-INPUT!Q1364),"")</f>
        <v>0.29999999999999716</v>
      </c>
      <c r="L1369" s="48">
        <f>IFERROR(IF(OR(INPUT!P1364="",INPUT!Q1364="",INPUT!P1364=0),"",(INPUT!P1364-INPUT!Q1364)/INPUT!P1364),"")</f>
        <v>3.9630118890356296E-3</v>
      </c>
    </row>
    <row r="1370" spans="1:12" ht="18" hidden="1" customHeight="1" x14ac:dyDescent="0.2">
      <c r="A1370" s="11">
        <f>IF(INPUT!M1365="","",INPUT!M1365)</f>
        <v>45995</v>
      </c>
      <c r="B1370" s="11">
        <f>IF(INPUT!M1365="","",INPUT!M1365-WEEKDAY(INPUT!M1365,2)+1)</f>
        <v>45992</v>
      </c>
      <c r="C1370" s="20">
        <f>IFERROR(_xlfn.ISOWEEKNUM(INPUT!M1365),"")</f>
        <v>49</v>
      </c>
      <c r="D1370" s="20">
        <f>IFERROR(YEAR(INPUT!M1365),"")</f>
        <v>2025</v>
      </c>
      <c r="E1370" t="str">
        <f>IF(INPUT!O1365="","",INPUT!O1365)</f>
        <v>HERRERO</v>
      </c>
      <c r="F1370" t="str">
        <f>IF(INPUT!N1365="","",INPUT!N1365)</f>
        <v>M</v>
      </c>
      <c r="G1370" t="str" cm="1">
        <f t="array" ref="G1370">IFERROR(VLOOKUP(INPUT!M1365&amp;INPUT!N1365,CHOOSE({1,2},INPUT!$A$3:$A$5000&amp;INPUT!$C$3:$C$5000,INPUT!$F$3:$F$5000),2,FALSE),"")</f>
        <v>PRE-TEMPORADA</v>
      </c>
      <c r="H1370" t="str" cm="1">
        <f t="array" ref="H1370">IFERROR(VLOOKUP(INPUT!M1365&amp;INPUT!N1365,CHOOSE({1,2},INPUT!$A$3:$A$5000&amp;INPUT!$C$3:$C$5000,INPUT!$D$3:$D$5000),2,FALSE),"")</f>
        <v>TEC-TAC</v>
      </c>
      <c r="I1370" s="46">
        <f>IF(INPUT!P1365="","",INPUT!P1365)</f>
        <v>76.8</v>
      </c>
      <c r="J1370" s="46">
        <f>IF(INPUT!Q1365="","",INPUT!Q1365)</f>
        <v>76.099999999999994</v>
      </c>
      <c r="K1370" s="46">
        <f>IFERROR(IF(OR(INPUT!P1365="",INPUT!Q1365=""),"",INPUT!P1365-INPUT!Q1365),"")</f>
        <v>0.70000000000000284</v>
      </c>
      <c r="L1370" s="48">
        <f>IFERROR(IF(OR(INPUT!P1365="",INPUT!Q1365="",INPUT!P1365=0),"",(INPUT!P1365-INPUT!Q1365)/INPUT!P1365),"")</f>
        <v>9.1145833333333703E-3</v>
      </c>
    </row>
    <row r="1371" spans="1:12" ht="18" hidden="1" customHeight="1" x14ac:dyDescent="0.2">
      <c r="A1371" s="11">
        <f>IF(INPUT!M1366="","",INPUT!M1366)</f>
        <v>45995</v>
      </c>
      <c r="B1371" s="11">
        <f>IF(INPUT!M1366="","",INPUT!M1366-WEEKDAY(INPUT!M1366,2)+1)</f>
        <v>45992</v>
      </c>
      <c r="C1371" s="20">
        <f>IFERROR(_xlfn.ISOWEEKNUM(INPUT!M1366),"")</f>
        <v>49</v>
      </c>
      <c r="D1371" s="20">
        <f>IFERROR(YEAR(INPUT!M1366),"")</f>
        <v>2025</v>
      </c>
      <c r="E1371" t="str">
        <f>IF(INPUT!O1366="","",INPUT!O1366)</f>
        <v>GARCIA</v>
      </c>
      <c r="F1371" t="str">
        <f>IF(INPUT!N1366="","",INPUT!N1366)</f>
        <v>M</v>
      </c>
      <c r="G1371" t="str" cm="1">
        <f t="array" ref="G1371">IFERROR(VLOOKUP(INPUT!M1366&amp;INPUT!N1366,CHOOSE({1,2},INPUT!$A$3:$A$5000&amp;INPUT!$C$3:$C$5000,INPUT!$F$3:$F$5000),2,FALSE),"")</f>
        <v>PRE-TEMPORADA</v>
      </c>
      <c r="H1371" t="str" cm="1">
        <f t="array" ref="H1371">IFERROR(VLOOKUP(INPUT!M1366&amp;INPUT!N1366,CHOOSE({1,2},INPUT!$A$3:$A$5000&amp;INPUT!$C$3:$C$5000,INPUT!$D$3:$D$5000),2,FALSE),"")</f>
        <v>TEC-TAC</v>
      </c>
      <c r="I1371" s="46">
        <f>IF(INPUT!P1366="","",INPUT!P1366)</f>
        <v>78.7</v>
      </c>
      <c r="J1371" s="46">
        <f>IF(INPUT!Q1366="","",INPUT!Q1366)</f>
        <v>78.900000000000006</v>
      </c>
      <c r="K1371" s="46">
        <f>IFERROR(IF(OR(INPUT!P1366="",INPUT!Q1366=""),"",INPUT!P1366-INPUT!Q1366),"")</f>
        <v>-0.20000000000000284</v>
      </c>
      <c r="L1371" s="48">
        <f>IFERROR(IF(OR(INPUT!P1366="",INPUT!Q1366="",INPUT!P1366=0),"",(INPUT!P1366-INPUT!Q1366)/INPUT!P1366),"")</f>
        <v>-2.5412960609911416E-3</v>
      </c>
    </row>
    <row r="1372" spans="1:12" ht="18" hidden="1" customHeight="1" x14ac:dyDescent="0.2">
      <c r="A1372" s="11">
        <f>IF(INPUT!M1367="","",INPUT!M1367)</f>
        <v>45995</v>
      </c>
      <c r="B1372" s="11">
        <f>IF(INPUT!M1367="","",INPUT!M1367-WEEKDAY(INPUT!M1367,2)+1)</f>
        <v>45992</v>
      </c>
      <c r="C1372" s="20">
        <f>IFERROR(_xlfn.ISOWEEKNUM(INPUT!M1367),"")</f>
        <v>49</v>
      </c>
      <c r="D1372" s="20">
        <f>IFERROR(YEAR(INPUT!M1367),"")</f>
        <v>2025</v>
      </c>
      <c r="E1372" t="str">
        <f>IF(INPUT!O1367="","",INPUT!O1367)</f>
        <v>CECILIO</v>
      </c>
      <c r="F1372" t="str">
        <f>IF(INPUT!N1367="","",INPUT!N1367)</f>
        <v>M</v>
      </c>
      <c r="G1372" t="str" cm="1">
        <f t="array" ref="G1372">IFERROR(VLOOKUP(INPUT!M1367&amp;INPUT!N1367,CHOOSE({1,2},INPUT!$A$3:$A$5000&amp;INPUT!$C$3:$C$5000,INPUT!$F$3:$F$5000),2,FALSE),"")</f>
        <v>PRE-TEMPORADA</v>
      </c>
      <c r="H1372" t="str" cm="1">
        <f t="array" ref="H1372">IFERROR(VLOOKUP(INPUT!M1367&amp;INPUT!N1367,CHOOSE({1,2},INPUT!$A$3:$A$5000&amp;INPUT!$C$3:$C$5000,INPUT!$D$3:$D$5000),2,FALSE),"")</f>
        <v>TEC-TAC</v>
      </c>
      <c r="I1372" s="46">
        <f>IF(INPUT!P1367="","",INPUT!P1367)</f>
        <v>67.2</v>
      </c>
      <c r="J1372" s="46">
        <f>IF(INPUT!Q1367="","",INPUT!Q1367)</f>
        <v>67.099999999999994</v>
      </c>
      <c r="K1372" s="46">
        <f>IFERROR(IF(OR(INPUT!P1367="",INPUT!Q1367=""),"",INPUT!P1367-INPUT!Q1367),"")</f>
        <v>0.10000000000000853</v>
      </c>
      <c r="L1372" s="48">
        <f>IFERROR(IF(OR(INPUT!P1367="",INPUT!Q1367="",INPUT!P1367=0),"",(INPUT!P1367-INPUT!Q1367)/INPUT!P1367),"")</f>
        <v>1.4880952380953649E-3</v>
      </c>
    </row>
    <row r="1373" spans="1:12" ht="18" hidden="1" customHeight="1" x14ac:dyDescent="0.2">
      <c r="A1373" s="11">
        <f>IF(INPUT!M1368="","",INPUT!M1368)</f>
        <v>45995</v>
      </c>
      <c r="B1373" s="11">
        <f>IF(INPUT!M1368="","",INPUT!M1368-WEEKDAY(INPUT!M1368,2)+1)</f>
        <v>45992</v>
      </c>
      <c r="C1373" s="20">
        <f>IFERROR(_xlfn.ISOWEEKNUM(INPUT!M1368),"")</f>
        <v>49</v>
      </c>
      <c r="D1373" s="20">
        <f>IFERROR(YEAR(INPUT!M1368),"")</f>
        <v>2025</v>
      </c>
      <c r="E1373" t="str">
        <f>IF(INPUT!O1368="","",INPUT!O1368)</f>
        <v>CHAGUINHA</v>
      </c>
      <c r="F1373" t="str">
        <f>IF(INPUT!N1368="","",INPUT!N1368)</f>
        <v>M</v>
      </c>
      <c r="G1373" t="str" cm="1">
        <f t="array" ref="G1373">IFERROR(VLOOKUP(INPUT!M1368&amp;INPUT!N1368,CHOOSE({1,2},INPUT!$A$3:$A$5000&amp;INPUT!$C$3:$C$5000,INPUT!$F$3:$F$5000),2,FALSE),"")</f>
        <v>PRE-TEMPORADA</v>
      </c>
      <c r="H1373" t="str" cm="1">
        <f t="array" ref="H1373">IFERROR(VLOOKUP(INPUT!M1368&amp;INPUT!N1368,CHOOSE({1,2},INPUT!$A$3:$A$5000&amp;INPUT!$C$3:$C$5000,INPUT!$D$3:$D$5000),2,FALSE),"")</f>
        <v>TEC-TAC</v>
      </c>
      <c r="I1373" s="46">
        <f>IF(INPUT!P1368="","",INPUT!P1368)</f>
        <v>68.7</v>
      </c>
      <c r="J1373" s="46">
        <f>IF(INPUT!Q1368="","",INPUT!Q1368)</f>
        <v>68.3</v>
      </c>
      <c r="K1373" s="46">
        <f>IFERROR(IF(OR(INPUT!P1368="",INPUT!Q1368=""),"",INPUT!P1368-INPUT!Q1368),"")</f>
        <v>0.40000000000000568</v>
      </c>
      <c r="L1373" s="48">
        <f>IFERROR(IF(OR(INPUT!P1368="",INPUT!Q1368="",INPUT!P1368=0),"",(INPUT!P1368-INPUT!Q1368)/INPUT!P1368),"")</f>
        <v>5.8224163027657304E-3</v>
      </c>
    </row>
    <row r="1374" spans="1:12" ht="18" hidden="1" customHeight="1" x14ac:dyDescent="0.2">
      <c r="A1374" s="11">
        <f>IF(INPUT!M1369="","",INPUT!M1369)</f>
        <v>45995</v>
      </c>
      <c r="B1374" s="11">
        <f>IF(INPUT!M1369="","",INPUT!M1369-WEEKDAY(INPUT!M1369,2)+1)</f>
        <v>45992</v>
      </c>
      <c r="C1374" s="20">
        <f>IFERROR(_xlfn.ISOWEEKNUM(INPUT!M1369),"")</f>
        <v>49</v>
      </c>
      <c r="D1374" s="20">
        <f>IFERROR(YEAR(INPUT!M1369),"")</f>
        <v>2025</v>
      </c>
      <c r="E1374" t="str">
        <f>IF(INPUT!O1369="","",INPUT!O1369)</f>
        <v>RAUL</v>
      </c>
      <c r="F1374" t="str">
        <f>IF(INPUT!N1369="","",INPUT!N1369)</f>
        <v>M</v>
      </c>
      <c r="G1374" t="str" cm="1">
        <f t="array" ref="G1374">IFERROR(VLOOKUP(INPUT!M1369&amp;INPUT!N1369,CHOOSE({1,2},INPUT!$A$3:$A$5000&amp;INPUT!$C$3:$C$5000,INPUT!$F$3:$F$5000),2,FALSE),"")</f>
        <v>PRE-TEMPORADA</v>
      </c>
      <c r="H1374" t="str" cm="1">
        <f t="array" ref="H1374">IFERROR(VLOOKUP(INPUT!M1369&amp;INPUT!N1369,CHOOSE({1,2},INPUT!$A$3:$A$5000&amp;INPUT!$C$3:$C$5000,INPUT!$D$3:$D$5000),2,FALSE),"")</f>
        <v>TEC-TAC</v>
      </c>
      <c r="I1374" s="46">
        <f>IF(INPUT!P1369="","",INPUT!P1369)</f>
        <v>80.5</v>
      </c>
      <c r="J1374" s="46">
        <f>IF(INPUT!Q1369="","",INPUT!Q1369)</f>
        <v>80.5</v>
      </c>
      <c r="K1374" s="46">
        <f>IFERROR(IF(OR(INPUT!P1369="",INPUT!Q1369=""),"",INPUT!P1369-INPUT!Q1369),"")</f>
        <v>0</v>
      </c>
      <c r="L1374" s="48">
        <f>IFERROR(IF(OR(INPUT!P1369="",INPUT!Q1369="",INPUT!P1369=0),"",(INPUT!P1369-INPUT!Q1369)/INPUT!P1369),"")</f>
        <v>0</v>
      </c>
    </row>
    <row r="1375" spans="1:12" ht="18" customHeight="1" x14ac:dyDescent="0.2">
      <c r="A1375" s="11">
        <f>IF(INPUT!M1370="","",INPUT!M1370)</f>
        <v>45995</v>
      </c>
      <c r="B1375" s="11">
        <f>IF(INPUT!M1370="","",INPUT!M1370-WEEKDAY(INPUT!M1370,2)+1)</f>
        <v>45992</v>
      </c>
      <c r="C1375" s="20">
        <f>IFERROR(_xlfn.ISOWEEKNUM(INPUT!M1370),"")</f>
        <v>49</v>
      </c>
      <c r="D1375" s="20">
        <f>IFERROR(YEAR(INPUT!M1370),"")</f>
        <v>2025</v>
      </c>
      <c r="E1375" t="str">
        <f>IF(INPUT!O1370="","",INPUT!O1370)</f>
        <v>HARRISON</v>
      </c>
      <c r="F1375" t="str">
        <f>IF(INPUT!N1370="","",INPUT!N1370)</f>
        <v>M</v>
      </c>
      <c r="G1375" t="str" cm="1">
        <f t="array" ref="G1375">IFERROR(VLOOKUP(INPUT!M1370&amp;INPUT!N1370,CHOOSE({1,2},INPUT!$A$3:$A$5000&amp;INPUT!$C$3:$C$5000,INPUT!$F$3:$F$5000),2,FALSE),"")</f>
        <v>PRE-TEMPORADA</v>
      </c>
      <c r="H1375" t="str" cm="1">
        <f t="array" ref="H1375">IFERROR(VLOOKUP(INPUT!M1370&amp;INPUT!N1370,CHOOSE({1,2},INPUT!$A$3:$A$5000&amp;INPUT!$C$3:$C$5000,INPUT!$D$3:$D$5000),2,FALSE),"")</f>
        <v>TEC-TAC</v>
      </c>
      <c r="I1375" s="46">
        <f>IF(INPUT!P1370="","",INPUT!P1370)</f>
        <v>71</v>
      </c>
      <c r="J1375" s="46">
        <f>IF(INPUT!Q1370="","",INPUT!Q1370)</f>
        <v>71.5</v>
      </c>
      <c r="K1375" s="46">
        <f>IFERROR(IF(OR(INPUT!P1370="",INPUT!Q1370=""),"",INPUT!P1370-INPUT!Q1370),"")</f>
        <v>-0.5</v>
      </c>
      <c r="L1375" s="48">
        <f>IFERROR(IF(OR(INPUT!P1370="",INPUT!Q1370="",INPUT!P1370=0),"",(INPUT!P1370-INPUT!Q1370)/INPUT!P1370),"")</f>
        <v>-7.0422535211267607E-3</v>
      </c>
    </row>
    <row r="1376" spans="1:12" ht="18" customHeight="1" x14ac:dyDescent="0.2">
      <c r="A1376" s="11">
        <f>IF(INPUT!M1371="","",INPUT!M1371)</f>
        <v>45995</v>
      </c>
      <c r="B1376" s="11">
        <f>IF(INPUT!M1371="","",INPUT!M1371-WEEKDAY(INPUT!M1371,2)+1)</f>
        <v>45992</v>
      </c>
      <c r="C1376" s="20">
        <f>IFERROR(_xlfn.ISOWEEKNUM(INPUT!M1371),"")</f>
        <v>49</v>
      </c>
      <c r="D1376" s="20">
        <f>IFERROR(YEAR(INPUT!M1371),"")</f>
        <v>2025</v>
      </c>
      <c r="E1376" t="str">
        <f>IF(INPUT!O1371="","",INPUT!O1371)</f>
        <v>RAYA</v>
      </c>
      <c r="F1376" t="str">
        <f>IF(INPUT!N1371="","",INPUT!N1371)</f>
        <v>M</v>
      </c>
      <c r="G1376" t="str" cm="1">
        <f t="array" ref="G1376">IFERROR(VLOOKUP(INPUT!M1371&amp;INPUT!N1371,CHOOSE({1,2},INPUT!$A$3:$A$5000&amp;INPUT!$C$3:$C$5000,INPUT!$F$3:$F$5000),2,FALSE),"")</f>
        <v>PRE-TEMPORADA</v>
      </c>
      <c r="H1376" t="str" cm="1">
        <f t="array" ref="H1376">IFERROR(VLOOKUP(INPUT!M1371&amp;INPUT!N1371,CHOOSE({1,2},INPUT!$A$3:$A$5000&amp;INPUT!$C$3:$C$5000,INPUT!$D$3:$D$5000),2,FALSE),"")</f>
        <v>TEC-TAC</v>
      </c>
      <c r="I1376" s="46">
        <f>IF(INPUT!P1371="","",INPUT!P1371)</f>
        <v>81.599999999999994</v>
      </c>
      <c r="J1376" s="46">
        <f>IF(INPUT!Q1371="","",INPUT!Q1371)</f>
        <v>81</v>
      </c>
      <c r="K1376" s="46">
        <f>IFERROR(IF(OR(INPUT!P1371="",INPUT!Q1371=""),"",INPUT!P1371-INPUT!Q1371),"")</f>
        <v>0.59999999999999432</v>
      </c>
      <c r="L1376" s="48">
        <f>IFERROR(IF(OR(INPUT!P1371="",INPUT!Q1371="",INPUT!P1371=0),"",(INPUT!P1371-INPUT!Q1371)/INPUT!P1371),"")</f>
        <v>7.3529411764705187E-3</v>
      </c>
    </row>
    <row r="1377" spans="1:12" ht="18" customHeight="1" x14ac:dyDescent="0.2">
      <c r="A1377" s="11">
        <f>IF(INPUT!M1372="","",INPUT!M1372)</f>
        <v>45995</v>
      </c>
      <c r="B1377" s="11">
        <f>IF(INPUT!M1372="","",INPUT!M1372-WEEKDAY(INPUT!M1372,2)+1)</f>
        <v>45992</v>
      </c>
      <c r="C1377" s="20">
        <f>IFERROR(_xlfn.ISOWEEKNUM(INPUT!M1372),"")</f>
        <v>49</v>
      </c>
      <c r="D1377" s="20">
        <f>IFERROR(YEAR(INPUT!M1372),"")</f>
        <v>2025</v>
      </c>
      <c r="E1377" t="str">
        <f>IF(INPUT!O1372="","",INPUT!O1372)</f>
        <v>JAVI</v>
      </c>
      <c r="F1377" t="str">
        <f>IF(INPUT!N1372="","",INPUT!N1372)</f>
        <v>M</v>
      </c>
      <c r="G1377" t="str" cm="1">
        <f t="array" ref="G1377">IFERROR(VLOOKUP(INPUT!M1372&amp;INPUT!N1372,CHOOSE({1,2},INPUT!$A$3:$A$5000&amp;INPUT!$C$3:$C$5000,INPUT!$F$3:$F$5000),2,FALSE),"")</f>
        <v>PRE-TEMPORADA</v>
      </c>
      <c r="H1377" t="str" cm="1">
        <f t="array" ref="H1377">IFERROR(VLOOKUP(INPUT!M1372&amp;INPUT!N1372,CHOOSE({1,2},INPUT!$A$3:$A$5000&amp;INPUT!$C$3:$C$5000,INPUT!$D$3:$D$5000),2,FALSE),"")</f>
        <v>TEC-TAC</v>
      </c>
      <c r="I1377" s="46">
        <f>IF(INPUT!P1372="","",INPUT!P1372)</f>
        <v>77.2</v>
      </c>
      <c r="J1377" s="46">
        <f>IF(INPUT!Q1372="","",INPUT!Q1372)</f>
        <v>77.2</v>
      </c>
      <c r="K1377" s="46">
        <f>IFERROR(IF(OR(INPUT!P1372="",INPUT!Q1372=""),"",INPUT!P1372-INPUT!Q1372),"")</f>
        <v>0</v>
      </c>
      <c r="L1377" s="48">
        <f>IFERROR(IF(OR(INPUT!P1372="",INPUT!Q1372="",INPUT!P1372=0),"",(INPUT!P1372-INPUT!Q1372)/INPUT!P1372),"")</f>
        <v>0</v>
      </c>
    </row>
    <row r="1378" spans="1:12" ht="18" customHeight="1" x14ac:dyDescent="0.2">
      <c r="A1378" s="11">
        <f>IF(INPUT!M1373="","",INPUT!M1373)</f>
        <v>45995</v>
      </c>
      <c r="B1378" s="11">
        <f>IF(INPUT!M1373="","",INPUT!M1373-WEEKDAY(INPUT!M1373,2)+1)</f>
        <v>45992</v>
      </c>
      <c r="C1378" s="20">
        <f>IFERROR(_xlfn.ISOWEEKNUM(INPUT!M1373),"")</f>
        <v>49</v>
      </c>
      <c r="D1378" s="20">
        <f>IFERROR(YEAR(INPUT!M1373),"")</f>
        <v>2025</v>
      </c>
      <c r="E1378" t="str">
        <f>IF(INPUT!O1373="","",INPUT!O1373)</f>
        <v>PANI</v>
      </c>
      <c r="F1378" t="str">
        <f>IF(INPUT!N1373="","",INPUT!N1373)</f>
        <v>M</v>
      </c>
      <c r="G1378" t="str" cm="1">
        <f t="array" ref="G1378">IFERROR(VLOOKUP(INPUT!M1373&amp;INPUT!N1373,CHOOSE({1,2},INPUT!$A$3:$A$5000&amp;INPUT!$C$3:$C$5000,INPUT!$F$3:$F$5000),2,FALSE),"")</f>
        <v>PRE-TEMPORADA</v>
      </c>
      <c r="H1378" t="str" cm="1">
        <f t="array" ref="H1378">IFERROR(VLOOKUP(INPUT!M1373&amp;INPUT!N1373,CHOOSE({1,2},INPUT!$A$3:$A$5000&amp;INPUT!$C$3:$C$5000,INPUT!$D$3:$D$5000),2,FALSE),"")</f>
        <v>TEC-TAC</v>
      </c>
      <c r="I1378" s="46">
        <f>IF(INPUT!P1373="","",INPUT!P1373)</f>
        <v>67.3</v>
      </c>
      <c r="J1378" s="46">
        <f>IF(INPUT!Q1373="","",INPUT!Q1373)</f>
        <v>66.900000000000006</v>
      </c>
      <c r="K1378" s="46">
        <f>IFERROR(IF(OR(INPUT!P1373="",INPUT!Q1373=""),"",INPUT!P1373-INPUT!Q1373),"")</f>
        <v>0.39999999999999147</v>
      </c>
      <c r="L1378" s="48">
        <f>IFERROR(IF(OR(INPUT!P1373="",INPUT!Q1373="",INPUT!P1373=0),"",(INPUT!P1373-INPUT!Q1373)/INPUT!P1373),"")</f>
        <v>5.9435364041603494E-3</v>
      </c>
    </row>
    <row r="1379" spans="1:12" ht="18" customHeight="1" x14ac:dyDescent="0.2">
      <c r="A1379" s="11">
        <f>IF(INPUT!M1374="","",INPUT!M1374)</f>
        <v>45995</v>
      </c>
      <c r="B1379" s="11">
        <f>IF(INPUT!M1374="","",INPUT!M1374-WEEKDAY(INPUT!M1374,2)+1)</f>
        <v>45992</v>
      </c>
      <c r="C1379" s="20">
        <f>IFERROR(_xlfn.ISOWEEKNUM(INPUT!M1374),"")</f>
        <v>49</v>
      </c>
      <c r="D1379" s="20">
        <f>IFERROR(YEAR(INPUT!M1374),"")</f>
        <v>2025</v>
      </c>
      <c r="E1379" t="str">
        <f>IF(INPUT!O1374="","",INPUT!O1374)</f>
        <v>PIRATA</v>
      </c>
      <c r="F1379" t="str">
        <f>IF(INPUT!N1374="","",INPUT!N1374)</f>
        <v>M</v>
      </c>
      <c r="G1379" t="str" cm="1">
        <f t="array" ref="G1379">IFERROR(VLOOKUP(INPUT!M1374&amp;INPUT!N1374,CHOOSE({1,2},INPUT!$A$3:$A$5000&amp;INPUT!$C$3:$C$5000,INPUT!$F$3:$F$5000),2,FALSE),"")</f>
        <v>PRE-TEMPORADA</v>
      </c>
      <c r="H1379" t="str" cm="1">
        <f t="array" ref="H1379">IFERROR(VLOOKUP(INPUT!M1374&amp;INPUT!N1374,CHOOSE({1,2},INPUT!$A$3:$A$5000&amp;INPUT!$C$3:$C$5000,INPUT!$D$3:$D$5000),2,FALSE),"")</f>
        <v>TEC-TAC</v>
      </c>
      <c r="I1379" s="46">
        <f>IF(INPUT!P1374="","",INPUT!P1374)</f>
        <v>74.3</v>
      </c>
      <c r="J1379" s="46">
        <f>IF(INPUT!Q1374="","",INPUT!Q1374)</f>
        <v>74.400000000000006</v>
      </c>
      <c r="K1379" s="46">
        <f>IFERROR(IF(OR(INPUT!P1374="",INPUT!Q1374=""),"",INPUT!P1374-INPUT!Q1374),"")</f>
        <v>-0.10000000000000853</v>
      </c>
      <c r="L1379" s="48">
        <f>IFERROR(IF(OR(INPUT!P1374="",INPUT!Q1374="",INPUT!P1374=0),"",(INPUT!P1374-INPUT!Q1374)/INPUT!P1374),"")</f>
        <v>-1.34589502018854E-3</v>
      </c>
    </row>
    <row r="1380" spans="1:12" ht="18" customHeight="1" x14ac:dyDescent="0.2">
      <c r="A1380" s="11">
        <f>IF(INPUT!M1375="","",INPUT!M1375)</f>
        <v>45995</v>
      </c>
      <c r="B1380" s="11">
        <f>IF(INPUT!M1375="","",INPUT!M1375-WEEKDAY(INPUT!M1375,2)+1)</f>
        <v>45992</v>
      </c>
      <c r="C1380" s="20">
        <f>IFERROR(_xlfn.ISOWEEKNUM(INPUT!M1375),"")</f>
        <v>49</v>
      </c>
      <c r="D1380" s="20">
        <f>IFERROR(YEAR(INPUT!M1375),"")</f>
        <v>2025</v>
      </c>
      <c r="E1380" t="str">
        <f>IF(INPUT!O1375="","",INPUT!O1375)</f>
        <v>BARONA</v>
      </c>
      <c r="F1380" t="str">
        <f>IF(INPUT!N1375="","",INPUT!N1375)</f>
        <v>M</v>
      </c>
      <c r="G1380" t="str" cm="1">
        <f t="array" ref="G1380">IFERROR(VLOOKUP(INPUT!M1375&amp;INPUT!N1375,CHOOSE({1,2},INPUT!$A$3:$A$5000&amp;INPUT!$C$3:$C$5000,INPUT!$F$3:$F$5000),2,FALSE),"")</f>
        <v>PRE-TEMPORADA</v>
      </c>
      <c r="H1380" t="str" cm="1">
        <f t="array" ref="H1380">IFERROR(VLOOKUP(INPUT!M1375&amp;INPUT!N1375,CHOOSE({1,2},INPUT!$A$3:$A$5000&amp;INPUT!$C$3:$C$5000,INPUT!$D$3:$D$5000),2,FALSE),"")</f>
        <v>TEC-TAC</v>
      </c>
      <c r="I1380" s="46">
        <f>IF(INPUT!P1375="","",INPUT!P1375)</f>
        <v>71.5</v>
      </c>
      <c r="J1380" s="46">
        <f>IF(INPUT!Q1375="","",INPUT!Q1375)</f>
        <v>71.5</v>
      </c>
      <c r="K1380" s="46">
        <f>IFERROR(IF(OR(INPUT!P1375="",INPUT!Q1375=""),"",INPUT!P1375-INPUT!Q1375),"")</f>
        <v>0</v>
      </c>
      <c r="L1380" s="48">
        <f>IFERROR(IF(OR(INPUT!P1375="",INPUT!Q1375="",INPUT!P1375=0),"",(INPUT!P1375-INPUT!Q1375)/INPUT!P1375),"")</f>
        <v>0</v>
      </c>
    </row>
    <row r="1381" spans="1:12" ht="18" customHeight="1" x14ac:dyDescent="0.2">
      <c r="A1381" s="11">
        <f>IF(INPUT!M1376="","",INPUT!M1376)</f>
        <v>45995</v>
      </c>
      <c r="B1381" s="11">
        <f>IF(INPUT!M1376="","",INPUT!M1376-WEEKDAY(INPUT!M1376,2)+1)</f>
        <v>45992</v>
      </c>
      <c r="C1381" s="20">
        <f>IFERROR(_xlfn.ISOWEEKNUM(INPUT!M1376),"")</f>
        <v>49</v>
      </c>
      <c r="D1381" s="20">
        <f>IFERROR(YEAR(INPUT!M1376),"")</f>
        <v>2025</v>
      </c>
      <c r="E1381" t="str">
        <f>IF(INPUT!O1376="","",INPUT!O1376)</f>
        <v>CARLOS</v>
      </c>
      <c r="F1381" t="str">
        <f>IF(INPUT!N1376="","",INPUT!N1376)</f>
        <v>M</v>
      </c>
      <c r="G1381" t="str" cm="1">
        <f t="array" ref="G1381">IFERROR(VLOOKUP(INPUT!M1376&amp;INPUT!N1376,CHOOSE({1,2},INPUT!$A$3:$A$5000&amp;INPUT!$C$3:$C$5000,INPUT!$F$3:$F$5000),2,FALSE),"")</f>
        <v>PRE-TEMPORADA</v>
      </c>
      <c r="H1381" t="str" cm="1">
        <f t="array" ref="H1381">IFERROR(VLOOKUP(INPUT!M1376&amp;INPUT!N1376,CHOOSE({1,2},INPUT!$A$3:$A$5000&amp;INPUT!$C$3:$C$5000,INPUT!$D$3:$D$5000),2,FALSE),"")</f>
        <v>TEC-TAC</v>
      </c>
      <c r="I1381" s="46">
        <f>IF(INPUT!P1376="","",INPUT!P1376)</f>
        <v>66.7</v>
      </c>
      <c r="J1381" s="46">
        <f>IF(INPUT!Q1376="","",INPUT!Q1376)</f>
        <v>66.400000000000006</v>
      </c>
      <c r="K1381" s="46">
        <f>IFERROR(IF(OR(INPUT!P1376="",INPUT!Q1376=""),"",INPUT!P1376-INPUT!Q1376),"")</f>
        <v>0.29999999999999716</v>
      </c>
      <c r="L1381" s="48">
        <f>IFERROR(IF(OR(INPUT!P1376="",INPUT!Q1376="",INPUT!P1376=0),"",(INPUT!P1376-INPUT!Q1376)/INPUT!P1376),"")</f>
        <v>4.4977511244377382E-3</v>
      </c>
    </row>
    <row r="1382" spans="1:12" ht="18" hidden="1" customHeight="1" x14ac:dyDescent="0.2">
      <c r="A1382" s="11">
        <f>IF(INPUT!M1377="","",INPUT!M1377)</f>
        <v>45995</v>
      </c>
      <c r="B1382" s="11">
        <f>IF(INPUT!M1377="","",INPUT!M1377-WEEKDAY(INPUT!M1377,2)+1)</f>
        <v>45992</v>
      </c>
      <c r="C1382" s="20">
        <f>IFERROR(_xlfn.ISOWEEKNUM(INPUT!M1377),"")</f>
        <v>49</v>
      </c>
      <c r="D1382" s="20">
        <f>IFERROR(YEAR(INPUT!M1377),"")</f>
        <v>2025</v>
      </c>
      <c r="E1382" t="str">
        <f>IF(INPUT!O1377="","",INPUT!O1377)</f>
        <v>RUBIO</v>
      </c>
      <c r="F1382" t="str">
        <f>IF(INPUT!N1377="","",INPUT!N1377)</f>
        <v>M</v>
      </c>
      <c r="G1382" t="str" cm="1">
        <f t="array" ref="G1382">IFERROR(VLOOKUP(INPUT!M1377&amp;INPUT!N1377,CHOOSE({1,2},INPUT!$A$3:$A$5000&amp;INPUT!$C$3:$C$5000,INPUT!$F$3:$F$5000),2,FALSE),"")</f>
        <v>PRE-TEMPORADA</v>
      </c>
      <c r="H1382" t="str" cm="1">
        <f t="array" ref="H1382">IFERROR(VLOOKUP(INPUT!M1377&amp;INPUT!N1377,CHOOSE({1,2},INPUT!$A$3:$A$5000&amp;INPUT!$C$3:$C$5000,INPUT!$D$3:$D$5000),2,FALSE),"")</f>
        <v>TEC-TAC</v>
      </c>
      <c r="I1382" s="46">
        <f>IF(INPUT!P1377="","",INPUT!P1377)</f>
        <v>75.599999999999994</v>
      </c>
      <c r="J1382" s="46">
        <f>IF(INPUT!Q1377="","",INPUT!Q1377)</f>
        <v>75.599999999999994</v>
      </c>
      <c r="K1382" s="46">
        <f>IFERROR(IF(OR(INPUT!P1377="",INPUT!Q1377=""),"",INPUT!P1377-INPUT!Q1377),"")</f>
        <v>0</v>
      </c>
      <c r="L1382" s="48">
        <f>IFERROR(IF(OR(INPUT!P1377="",INPUT!Q1377="",INPUT!P1377=0),"",(INPUT!P1377-INPUT!Q1377)/INPUT!P1377),"")</f>
        <v>0</v>
      </c>
    </row>
    <row r="1383" spans="1:12" ht="18" hidden="1" customHeight="1" x14ac:dyDescent="0.2">
      <c r="A1383" s="11">
        <f>IF(INPUT!M1378="","",INPUT!M1378)</f>
        <v>45995</v>
      </c>
      <c r="B1383" s="11">
        <f>IF(INPUT!M1378="","",INPUT!M1378-WEEKDAY(INPUT!M1378,2)+1)</f>
        <v>45992</v>
      </c>
      <c r="C1383" s="20">
        <f>IFERROR(_xlfn.ISOWEEKNUM(INPUT!M1378),"")</f>
        <v>49</v>
      </c>
      <c r="D1383" s="20">
        <f>IFERROR(YEAR(INPUT!M1378),"")</f>
        <v>2025</v>
      </c>
      <c r="E1383" t="str">
        <f>IF(INPUT!O1378="","",INPUT!O1378)</f>
        <v>DANI</v>
      </c>
      <c r="F1383" t="str">
        <f>IF(INPUT!N1378="","",INPUT!N1378)</f>
        <v>M</v>
      </c>
      <c r="G1383" t="str" cm="1">
        <f t="array" ref="G1383">IFERROR(VLOOKUP(INPUT!M1378&amp;INPUT!N1378,CHOOSE({1,2},INPUT!$A$3:$A$5000&amp;INPUT!$C$3:$C$5000,INPUT!$F$3:$F$5000),2,FALSE),"")</f>
        <v>PRE-TEMPORADA</v>
      </c>
      <c r="H1383" t="str" cm="1">
        <f t="array" ref="H1383">IFERROR(VLOOKUP(INPUT!M1378&amp;INPUT!N1378,CHOOSE({1,2},INPUT!$A$3:$A$5000&amp;INPUT!$C$3:$C$5000,INPUT!$D$3:$D$5000),2,FALSE),"")</f>
        <v>TEC-TAC</v>
      </c>
      <c r="I1383" s="46">
        <f>IF(INPUT!P1378="","",INPUT!P1378)</f>
        <v>92</v>
      </c>
      <c r="J1383" s="46">
        <f>IF(INPUT!Q1378="","",INPUT!Q1378)</f>
        <v>91.3</v>
      </c>
      <c r="K1383" s="46">
        <f>IFERROR(IF(OR(INPUT!P1378="",INPUT!Q1378=""),"",INPUT!P1378-INPUT!Q1378),"")</f>
        <v>0.70000000000000284</v>
      </c>
      <c r="L1383" s="48">
        <f>IFERROR(IF(OR(INPUT!P1378="",INPUT!Q1378="",INPUT!P1378=0),"",(INPUT!P1378-INPUT!Q1378)/INPUT!P1378),"")</f>
        <v>7.6086956521739437E-3</v>
      </c>
    </row>
    <row r="1384" spans="1:12" ht="18" hidden="1" customHeight="1" x14ac:dyDescent="0.2">
      <c r="A1384" s="11">
        <f>IF(INPUT!M1379="","",INPUT!M1379)</f>
        <v>45996</v>
      </c>
      <c r="B1384" s="11">
        <f>IF(INPUT!M1379="","",INPUT!M1379-WEEKDAY(INPUT!M1379,2)+1)</f>
        <v>45992</v>
      </c>
      <c r="C1384" s="20">
        <f>IFERROR(_xlfn.ISOWEEKNUM(INPUT!M1379),"")</f>
        <v>49</v>
      </c>
      <c r="D1384" s="20">
        <f>IFERROR(YEAR(INPUT!M1379),"")</f>
        <v>2025</v>
      </c>
      <c r="E1384" t="str">
        <f>IF(INPUT!O1379="","",INPUT!O1379)</f>
        <v>HERRERO</v>
      </c>
      <c r="F1384" t="str">
        <f>IF(INPUT!N1379="","",INPUT!N1379)</f>
        <v>M</v>
      </c>
      <c r="G1384" t="str" cm="1">
        <f t="array" ref="G1384">IFERROR(VLOOKUP(INPUT!M1379&amp;INPUT!N1379,CHOOSE({1,2},INPUT!$A$3:$A$5000&amp;INPUT!$C$3:$C$5000,INPUT!$F$3:$F$5000),2,FALSE),"")</f>
        <v>PRE-TEMPORADA</v>
      </c>
      <c r="H1384" t="str" cm="1">
        <f t="array" ref="H1384">IFERROR(VLOOKUP(INPUT!M1379&amp;INPUT!N1379,CHOOSE({1,2},INPUT!$A$3:$A$5000&amp;INPUT!$C$3:$C$5000,INPUT!$D$3:$D$5000),2,FALSE),"")</f>
        <v>TEC-TAC</v>
      </c>
      <c r="I1384" s="46">
        <f>IF(INPUT!P1379="","",INPUT!P1379)</f>
        <v>77</v>
      </c>
      <c r="J1384" s="46">
        <f>IF(INPUT!Q1379="","",INPUT!Q1379)</f>
        <v>76.8</v>
      </c>
      <c r="K1384" s="46">
        <f>IFERROR(IF(OR(INPUT!P1379="",INPUT!Q1379=""),"",INPUT!P1379-INPUT!Q1379),"")</f>
        <v>0.20000000000000284</v>
      </c>
      <c r="L1384" s="48">
        <f>IFERROR(IF(OR(INPUT!P1379="",INPUT!Q1379="",INPUT!P1379=0),"",(INPUT!P1379-INPUT!Q1379)/INPUT!P1379),"")</f>
        <v>2.5974025974026343E-3</v>
      </c>
    </row>
    <row r="1385" spans="1:12" ht="18" hidden="1" customHeight="1" x14ac:dyDescent="0.2">
      <c r="A1385" s="11">
        <f>IF(INPUT!M1380="","",INPUT!M1380)</f>
        <v>45996</v>
      </c>
      <c r="B1385" s="11">
        <f>IF(INPUT!M1380="","",INPUT!M1380-WEEKDAY(INPUT!M1380,2)+1)</f>
        <v>45992</v>
      </c>
      <c r="C1385" s="20">
        <f>IFERROR(_xlfn.ISOWEEKNUM(INPUT!M1380),"")</f>
        <v>49</v>
      </c>
      <c r="D1385" s="20">
        <f>IFERROR(YEAR(INPUT!M1380),"")</f>
        <v>2025</v>
      </c>
      <c r="E1385" t="str">
        <f>IF(INPUT!O1380="","",INPUT!O1380)</f>
        <v>GARCIA</v>
      </c>
      <c r="F1385" t="str">
        <f>IF(INPUT!N1380="","",INPUT!N1380)</f>
        <v>M</v>
      </c>
      <c r="G1385" t="str" cm="1">
        <f t="array" ref="G1385">IFERROR(VLOOKUP(INPUT!M1380&amp;INPUT!N1380,CHOOSE({1,2},INPUT!$A$3:$A$5000&amp;INPUT!$C$3:$C$5000,INPUT!$F$3:$F$5000),2,FALSE),"")</f>
        <v>PRE-TEMPORADA</v>
      </c>
      <c r="H1385" t="str" cm="1">
        <f t="array" ref="H1385">IFERROR(VLOOKUP(INPUT!M1380&amp;INPUT!N1380,CHOOSE({1,2},INPUT!$A$3:$A$5000&amp;INPUT!$C$3:$C$5000,INPUT!$D$3:$D$5000),2,FALSE),"")</f>
        <v>TEC-TAC</v>
      </c>
      <c r="I1385" s="46">
        <f>IF(INPUT!P1380="","",INPUT!P1380)</f>
        <v>78.900000000000006</v>
      </c>
      <c r="J1385" s="46">
        <f>IF(INPUT!Q1380="","",INPUT!Q1380)</f>
        <v>79</v>
      </c>
      <c r="K1385" s="46">
        <f>IFERROR(IF(OR(INPUT!P1380="",INPUT!Q1380=""),"",INPUT!P1380-INPUT!Q1380),"")</f>
        <v>-9.9999999999994316E-2</v>
      </c>
      <c r="L1385" s="48">
        <f>IFERROR(IF(OR(INPUT!P1380="",INPUT!Q1380="",INPUT!P1380=0),"",(INPUT!P1380-INPUT!Q1380)/INPUT!P1380),"")</f>
        <v>-1.2674271229403589E-3</v>
      </c>
    </row>
    <row r="1386" spans="1:12" ht="18" hidden="1" customHeight="1" x14ac:dyDescent="0.2">
      <c r="A1386" s="11">
        <f>IF(INPUT!M1381="","",INPUT!M1381)</f>
        <v>45996</v>
      </c>
      <c r="B1386" s="11">
        <f>IF(INPUT!M1381="","",INPUT!M1381-WEEKDAY(INPUT!M1381,2)+1)</f>
        <v>45992</v>
      </c>
      <c r="C1386" s="20">
        <f>IFERROR(_xlfn.ISOWEEKNUM(INPUT!M1381),"")</f>
        <v>49</v>
      </c>
      <c r="D1386" s="20">
        <f>IFERROR(YEAR(INPUT!M1381),"")</f>
        <v>2025</v>
      </c>
      <c r="E1386" t="str">
        <f>IF(INPUT!O1381="","",INPUT!O1381)</f>
        <v>CECILIO</v>
      </c>
      <c r="F1386" t="str">
        <f>IF(INPUT!N1381="","",INPUT!N1381)</f>
        <v>M</v>
      </c>
      <c r="G1386" t="str" cm="1">
        <f t="array" ref="G1386">IFERROR(VLOOKUP(INPUT!M1381&amp;INPUT!N1381,CHOOSE({1,2},INPUT!$A$3:$A$5000&amp;INPUT!$C$3:$C$5000,INPUT!$F$3:$F$5000),2,FALSE),"")</f>
        <v>PRE-TEMPORADA</v>
      </c>
      <c r="H1386" t="str" cm="1">
        <f t="array" ref="H1386">IFERROR(VLOOKUP(INPUT!M1381&amp;INPUT!N1381,CHOOSE({1,2},INPUT!$A$3:$A$5000&amp;INPUT!$C$3:$C$5000,INPUT!$D$3:$D$5000),2,FALSE),"")</f>
        <v>TEC-TAC</v>
      </c>
      <c r="I1386" s="46">
        <f>IF(INPUT!P1381="","",INPUT!P1381)</f>
        <v>67.5</v>
      </c>
      <c r="J1386" s="46">
        <f>IF(INPUT!Q1381="","",INPUT!Q1381)</f>
        <v>67.3</v>
      </c>
      <c r="K1386" s="46">
        <f>IFERROR(IF(OR(INPUT!P1381="",INPUT!Q1381=""),"",INPUT!P1381-INPUT!Q1381),"")</f>
        <v>0.20000000000000284</v>
      </c>
      <c r="L1386" s="48">
        <f>IFERROR(IF(OR(INPUT!P1381="",INPUT!Q1381="",INPUT!P1381=0),"",(INPUT!P1381-INPUT!Q1381)/INPUT!P1381),"")</f>
        <v>2.9629629629630049E-3</v>
      </c>
    </row>
    <row r="1387" spans="1:12" ht="18" hidden="1" customHeight="1" x14ac:dyDescent="0.2">
      <c r="A1387" s="11">
        <f>IF(INPUT!M1382="","",INPUT!M1382)</f>
        <v>45996</v>
      </c>
      <c r="B1387" s="11">
        <f>IF(INPUT!M1382="","",INPUT!M1382-WEEKDAY(INPUT!M1382,2)+1)</f>
        <v>45992</v>
      </c>
      <c r="C1387" s="20">
        <f>IFERROR(_xlfn.ISOWEEKNUM(INPUT!M1382),"")</f>
        <v>49</v>
      </c>
      <c r="D1387" s="20">
        <f>IFERROR(YEAR(INPUT!M1382),"")</f>
        <v>2025</v>
      </c>
      <c r="E1387" t="str">
        <f>IF(INPUT!O1382="","",INPUT!O1382)</f>
        <v>CHAGUINHA</v>
      </c>
      <c r="F1387" t="str">
        <f>IF(INPUT!N1382="","",INPUT!N1382)</f>
        <v>M</v>
      </c>
      <c r="G1387" t="str" cm="1">
        <f t="array" ref="G1387">IFERROR(VLOOKUP(INPUT!M1382&amp;INPUT!N1382,CHOOSE({1,2},INPUT!$A$3:$A$5000&amp;INPUT!$C$3:$C$5000,INPUT!$F$3:$F$5000),2,FALSE),"")</f>
        <v>PRE-TEMPORADA</v>
      </c>
      <c r="H1387" t="str" cm="1">
        <f t="array" ref="H1387">IFERROR(VLOOKUP(INPUT!M1382&amp;INPUT!N1382,CHOOSE({1,2},INPUT!$A$3:$A$5000&amp;INPUT!$C$3:$C$5000,INPUT!$D$3:$D$5000),2,FALSE),"")</f>
        <v>TEC-TAC</v>
      </c>
      <c r="I1387" s="46">
        <f>IF(INPUT!P1382="","",INPUT!P1382)</f>
        <v>69</v>
      </c>
      <c r="J1387" s="46">
        <f>IF(INPUT!Q1382="","",INPUT!Q1382)</f>
        <v>68.5</v>
      </c>
      <c r="K1387" s="46">
        <f>IFERROR(IF(OR(INPUT!P1382="",INPUT!Q1382=""),"",INPUT!P1382-INPUT!Q1382),"")</f>
        <v>0.5</v>
      </c>
      <c r="L1387" s="48">
        <f>IFERROR(IF(OR(INPUT!P1382="",INPUT!Q1382="",INPUT!P1382=0),"",(INPUT!P1382-INPUT!Q1382)/INPUT!P1382),"")</f>
        <v>7.246376811594203E-3</v>
      </c>
    </row>
    <row r="1388" spans="1:12" ht="18" hidden="1" customHeight="1" x14ac:dyDescent="0.2">
      <c r="A1388" s="11">
        <f>IF(INPUT!M1383="","",INPUT!M1383)</f>
        <v>45996</v>
      </c>
      <c r="B1388" s="11">
        <f>IF(INPUT!M1383="","",INPUT!M1383-WEEKDAY(INPUT!M1383,2)+1)</f>
        <v>45992</v>
      </c>
      <c r="C1388" s="20">
        <f>IFERROR(_xlfn.ISOWEEKNUM(INPUT!M1383),"")</f>
        <v>49</v>
      </c>
      <c r="D1388" s="20">
        <f>IFERROR(YEAR(INPUT!M1383),"")</f>
        <v>2025</v>
      </c>
      <c r="E1388" t="str">
        <f>IF(INPUT!O1383="","",INPUT!O1383)</f>
        <v>RAUL</v>
      </c>
      <c r="F1388" t="str">
        <f>IF(INPUT!N1383="","",INPUT!N1383)</f>
        <v>M</v>
      </c>
      <c r="G1388" t="str" cm="1">
        <f t="array" ref="G1388">IFERROR(VLOOKUP(INPUT!M1383&amp;INPUT!N1383,CHOOSE({1,2},INPUT!$A$3:$A$5000&amp;INPUT!$C$3:$C$5000,INPUT!$F$3:$F$5000),2,FALSE),"")</f>
        <v>PRE-TEMPORADA</v>
      </c>
      <c r="H1388" t="str" cm="1">
        <f t="array" ref="H1388">IFERROR(VLOOKUP(INPUT!M1383&amp;INPUT!N1383,CHOOSE({1,2},INPUT!$A$3:$A$5000&amp;INPUT!$C$3:$C$5000,INPUT!$D$3:$D$5000),2,FALSE),"")</f>
        <v>TEC-TAC</v>
      </c>
      <c r="I1388" s="46">
        <f>IF(INPUT!P1383="","",INPUT!P1383)</f>
        <v>80.2</v>
      </c>
      <c r="J1388" s="46">
        <f>IF(INPUT!Q1383="","",INPUT!Q1383)</f>
        <v>80.900000000000006</v>
      </c>
      <c r="K1388" s="46">
        <f>IFERROR(IF(OR(INPUT!P1383="",INPUT!Q1383=""),"",INPUT!P1383-INPUT!Q1383),"")</f>
        <v>-0.70000000000000284</v>
      </c>
      <c r="L1388" s="48">
        <f>IFERROR(IF(OR(INPUT!P1383="",INPUT!Q1383="",INPUT!P1383=0),"",(INPUT!P1383-INPUT!Q1383)/INPUT!P1383),"")</f>
        <v>-8.7281795511222303E-3</v>
      </c>
    </row>
    <row r="1389" spans="1:12" ht="18" hidden="1" customHeight="1" x14ac:dyDescent="0.2">
      <c r="A1389" s="11">
        <f>IF(INPUT!M1384="","",INPUT!M1384)</f>
        <v>45996</v>
      </c>
      <c r="B1389" s="11">
        <f>IF(INPUT!M1384="","",INPUT!M1384-WEEKDAY(INPUT!M1384,2)+1)</f>
        <v>45992</v>
      </c>
      <c r="C1389" s="20">
        <f>IFERROR(_xlfn.ISOWEEKNUM(INPUT!M1384),"")</f>
        <v>49</v>
      </c>
      <c r="D1389" s="20">
        <f>IFERROR(YEAR(INPUT!M1384),"")</f>
        <v>2025</v>
      </c>
      <c r="E1389" t="str">
        <f>IF(INPUT!O1384="","",INPUT!O1384)</f>
        <v>HARRISON</v>
      </c>
      <c r="F1389" t="str">
        <f>IF(INPUT!N1384="","",INPUT!N1384)</f>
        <v>M</v>
      </c>
      <c r="G1389" t="str" cm="1">
        <f t="array" ref="G1389">IFERROR(VLOOKUP(INPUT!M1384&amp;INPUT!N1384,CHOOSE({1,2},INPUT!$A$3:$A$5000&amp;INPUT!$C$3:$C$5000,INPUT!$F$3:$F$5000),2,FALSE),"")</f>
        <v>PRE-TEMPORADA</v>
      </c>
      <c r="H1389" t="str" cm="1">
        <f t="array" ref="H1389">IFERROR(VLOOKUP(INPUT!M1384&amp;INPUT!N1384,CHOOSE({1,2},INPUT!$A$3:$A$5000&amp;INPUT!$C$3:$C$5000,INPUT!$D$3:$D$5000),2,FALSE),"")</f>
        <v>TEC-TAC</v>
      </c>
      <c r="I1389" s="46">
        <f>IF(INPUT!P1384="","",INPUT!P1384)</f>
        <v>70.7</v>
      </c>
      <c r="J1389" s="46">
        <f>IF(INPUT!Q1384="","",INPUT!Q1384)</f>
        <v>71</v>
      </c>
      <c r="K1389" s="46">
        <f>IFERROR(IF(OR(INPUT!P1384="",INPUT!Q1384=""),"",INPUT!P1384-INPUT!Q1384),"")</f>
        <v>-0.29999999999999716</v>
      </c>
      <c r="L1389" s="48">
        <f>IFERROR(IF(OR(INPUT!P1384="",INPUT!Q1384="",INPUT!P1384=0),"",(INPUT!P1384-INPUT!Q1384)/INPUT!P1384),"")</f>
        <v>-4.2432814710042033E-3</v>
      </c>
    </row>
    <row r="1390" spans="1:12" ht="18" hidden="1" customHeight="1" x14ac:dyDescent="0.2">
      <c r="A1390" s="11">
        <f>IF(INPUT!M1385="","",INPUT!M1385)</f>
        <v>45996</v>
      </c>
      <c r="B1390" s="11">
        <f>IF(INPUT!M1385="","",INPUT!M1385-WEEKDAY(INPUT!M1385,2)+1)</f>
        <v>45992</v>
      </c>
      <c r="C1390" s="20">
        <f>IFERROR(_xlfn.ISOWEEKNUM(INPUT!M1385),"")</f>
        <v>49</v>
      </c>
      <c r="D1390" s="20">
        <f>IFERROR(YEAR(INPUT!M1385),"")</f>
        <v>2025</v>
      </c>
      <c r="E1390" t="str">
        <f>IF(INPUT!O1385="","",INPUT!O1385)</f>
        <v>RAYA</v>
      </c>
      <c r="F1390" t="str">
        <f>IF(INPUT!N1385="","",INPUT!N1385)</f>
        <v>M</v>
      </c>
      <c r="G1390" t="str" cm="1">
        <f t="array" ref="G1390">IFERROR(VLOOKUP(INPUT!M1385&amp;INPUT!N1385,CHOOSE({1,2},INPUT!$A$3:$A$5000&amp;INPUT!$C$3:$C$5000,INPUT!$F$3:$F$5000),2,FALSE),"")</f>
        <v>PRE-TEMPORADA</v>
      </c>
      <c r="H1390" t="str" cm="1">
        <f t="array" ref="H1390">IFERROR(VLOOKUP(INPUT!M1385&amp;INPUT!N1385,CHOOSE({1,2},INPUT!$A$3:$A$5000&amp;INPUT!$C$3:$C$5000,INPUT!$D$3:$D$5000),2,FALSE),"")</f>
        <v>TEC-TAC</v>
      </c>
      <c r="I1390" s="46">
        <f>IF(INPUT!P1385="","",INPUT!P1385)</f>
        <v>82</v>
      </c>
      <c r="J1390" s="46">
        <f>IF(INPUT!Q1385="","",INPUT!Q1385)</f>
        <v>82</v>
      </c>
      <c r="K1390" s="46">
        <f>IFERROR(IF(OR(INPUT!P1385="",INPUT!Q1385=""),"",INPUT!P1385-INPUT!Q1385),"")</f>
        <v>0</v>
      </c>
      <c r="L1390" s="48">
        <f>IFERROR(IF(OR(INPUT!P1385="",INPUT!Q1385="",INPUT!P1385=0),"",(INPUT!P1385-INPUT!Q1385)/INPUT!P1385),"")</f>
        <v>0</v>
      </c>
    </row>
    <row r="1391" spans="1:12" ht="18" hidden="1" customHeight="1" x14ac:dyDescent="0.2">
      <c r="A1391" s="11">
        <f>IF(INPUT!M1386="","",INPUT!M1386)</f>
        <v>45996</v>
      </c>
      <c r="B1391" s="11">
        <f>IF(INPUT!M1386="","",INPUT!M1386-WEEKDAY(INPUT!M1386,2)+1)</f>
        <v>45992</v>
      </c>
      <c r="C1391" s="20">
        <f>IFERROR(_xlfn.ISOWEEKNUM(INPUT!M1386),"")</f>
        <v>49</v>
      </c>
      <c r="D1391" s="20">
        <f>IFERROR(YEAR(INPUT!M1386),"")</f>
        <v>2025</v>
      </c>
      <c r="E1391" t="str">
        <f>IF(INPUT!O1386="","",INPUT!O1386)</f>
        <v>JAVI</v>
      </c>
      <c r="F1391" t="str">
        <f>IF(INPUT!N1386="","",INPUT!N1386)</f>
        <v>M</v>
      </c>
      <c r="G1391" t="str" cm="1">
        <f t="array" ref="G1391">IFERROR(VLOOKUP(INPUT!M1386&amp;INPUT!N1386,CHOOSE({1,2},INPUT!$A$3:$A$5000&amp;INPUT!$C$3:$C$5000,INPUT!$F$3:$F$5000),2,FALSE),"")</f>
        <v>PRE-TEMPORADA</v>
      </c>
      <c r="H1391" t="str" cm="1">
        <f t="array" ref="H1391">IFERROR(VLOOKUP(INPUT!M1386&amp;INPUT!N1386,CHOOSE({1,2},INPUT!$A$3:$A$5000&amp;INPUT!$C$3:$C$5000,INPUT!$D$3:$D$5000),2,FALSE),"")</f>
        <v>TEC-TAC</v>
      </c>
      <c r="I1391" s="46">
        <f>IF(INPUT!P1386="","",INPUT!P1386)</f>
        <v>77.5</v>
      </c>
      <c r="J1391" s="46">
        <f>IF(INPUT!Q1386="","",INPUT!Q1386)</f>
        <v>77.099999999999994</v>
      </c>
      <c r="K1391" s="46">
        <f>IFERROR(IF(OR(INPUT!P1386="",INPUT!Q1386=""),"",INPUT!P1386-INPUT!Q1386),"")</f>
        <v>0.40000000000000568</v>
      </c>
      <c r="L1391" s="48">
        <f>IFERROR(IF(OR(INPUT!P1386="",INPUT!Q1386="",INPUT!P1386=0),"",(INPUT!P1386-INPUT!Q1386)/INPUT!P1386),"")</f>
        <v>5.1612903225807189E-3</v>
      </c>
    </row>
    <row r="1392" spans="1:12" ht="18" hidden="1" customHeight="1" x14ac:dyDescent="0.2">
      <c r="A1392" s="11">
        <f>IF(INPUT!M1387="","",INPUT!M1387)</f>
        <v>45996</v>
      </c>
      <c r="B1392" s="11">
        <f>IF(INPUT!M1387="","",INPUT!M1387-WEEKDAY(INPUT!M1387,2)+1)</f>
        <v>45992</v>
      </c>
      <c r="C1392" s="20">
        <f>IFERROR(_xlfn.ISOWEEKNUM(INPUT!M1387),"")</f>
        <v>49</v>
      </c>
      <c r="D1392" s="20">
        <f>IFERROR(YEAR(INPUT!M1387),"")</f>
        <v>2025</v>
      </c>
      <c r="E1392" t="str">
        <f>IF(INPUT!O1387="","",INPUT!O1387)</f>
        <v>PANI</v>
      </c>
      <c r="F1392" t="str">
        <f>IF(INPUT!N1387="","",INPUT!N1387)</f>
        <v>M</v>
      </c>
      <c r="G1392" t="str" cm="1">
        <f t="array" ref="G1392">IFERROR(VLOOKUP(INPUT!M1387&amp;INPUT!N1387,CHOOSE({1,2},INPUT!$A$3:$A$5000&amp;INPUT!$C$3:$C$5000,INPUT!$F$3:$F$5000),2,FALSE),"")</f>
        <v>PRE-TEMPORADA</v>
      </c>
      <c r="H1392" t="str" cm="1">
        <f t="array" ref="H1392">IFERROR(VLOOKUP(INPUT!M1387&amp;INPUT!N1387,CHOOSE({1,2},INPUT!$A$3:$A$5000&amp;INPUT!$C$3:$C$5000,INPUT!$D$3:$D$5000),2,FALSE),"")</f>
        <v>TEC-TAC</v>
      </c>
      <c r="I1392" s="46">
        <f>IF(INPUT!P1387="","",INPUT!P1387)</f>
        <v>67.7</v>
      </c>
      <c r="J1392" s="46">
        <f>IF(INPUT!Q1387="","",INPUT!Q1387)</f>
        <v>67.3</v>
      </c>
      <c r="K1392" s="46">
        <f>IFERROR(IF(OR(INPUT!P1387="",INPUT!Q1387=""),"",INPUT!P1387-INPUT!Q1387),"")</f>
        <v>0.40000000000000568</v>
      </c>
      <c r="L1392" s="48">
        <f>IFERROR(IF(OR(INPUT!P1387="",INPUT!Q1387="",INPUT!P1387=0),"",(INPUT!P1387-INPUT!Q1387)/INPUT!P1387),"")</f>
        <v>5.9084194977844263E-3</v>
      </c>
    </row>
    <row r="1393" spans="1:12" ht="18" hidden="1" customHeight="1" x14ac:dyDescent="0.2">
      <c r="A1393" s="11">
        <f>IF(INPUT!M1388="","",INPUT!M1388)</f>
        <v>45996</v>
      </c>
      <c r="B1393" s="11">
        <f>IF(INPUT!M1388="","",INPUT!M1388-WEEKDAY(INPUT!M1388,2)+1)</f>
        <v>45992</v>
      </c>
      <c r="C1393" s="20">
        <f>IFERROR(_xlfn.ISOWEEKNUM(INPUT!M1388),"")</f>
        <v>49</v>
      </c>
      <c r="D1393" s="20">
        <f>IFERROR(YEAR(INPUT!M1388),"")</f>
        <v>2025</v>
      </c>
      <c r="E1393" t="str">
        <f>IF(INPUT!O1388="","",INPUT!O1388)</f>
        <v>PIRATA</v>
      </c>
      <c r="F1393" t="str">
        <f>IF(INPUT!N1388="","",INPUT!N1388)</f>
        <v>M</v>
      </c>
      <c r="G1393" t="str" cm="1">
        <f t="array" ref="G1393">IFERROR(VLOOKUP(INPUT!M1388&amp;INPUT!N1388,CHOOSE({1,2},INPUT!$A$3:$A$5000&amp;INPUT!$C$3:$C$5000,INPUT!$F$3:$F$5000),2,FALSE),"")</f>
        <v>PRE-TEMPORADA</v>
      </c>
      <c r="H1393" t="str" cm="1">
        <f t="array" ref="H1393">IFERROR(VLOOKUP(INPUT!M1388&amp;INPUT!N1388,CHOOSE({1,2},INPUT!$A$3:$A$5000&amp;INPUT!$C$3:$C$5000,INPUT!$D$3:$D$5000),2,FALSE),"")</f>
        <v>TEC-TAC</v>
      </c>
      <c r="I1393" s="46">
        <f>IF(INPUT!P1388="","",INPUT!P1388)</f>
        <v>74.3</v>
      </c>
      <c r="J1393" s="46">
        <f>IF(INPUT!Q1388="","",INPUT!Q1388)</f>
        <v>74.7</v>
      </c>
      <c r="K1393" s="46">
        <f>IFERROR(IF(OR(INPUT!P1388="",INPUT!Q1388=""),"",INPUT!P1388-INPUT!Q1388),"")</f>
        <v>-0.40000000000000568</v>
      </c>
      <c r="L1393" s="48">
        <f>IFERROR(IF(OR(INPUT!P1388="",INPUT!Q1388="",INPUT!P1388=0),"",(INPUT!P1388-INPUT!Q1388)/INPUT!P1388),"")</f>
        <v>-5.3835800807537776E-3</v>
      </c>
    </row>
    <row r="1394" spans="1:12" ht="18" hidden="1" customHeight="1" x14ac:dyDescent="0.2">
      <c r="A1394" s="11">
        <f>IF(INPUT!M1389="","",INPUT!M1389)</f>
        <v>45996</v>
      </c>
      <c r="B1394" s="11">
        <f>IF(INPUT!M1389="","",INPUT!M1389-WEEKDAY(INPUT!M1389,2)+1)</f>
        <v>45992</v>
      </c>
      <c r="C1394" s="20">
        <f>IFERROR(_xlfn.ISOWEEKNUM(INPUT!M1389),"")</f>
        <v>49</v>
      </c>
      <c r="D1394" s="20">
        <f>IFERROR(YEAR(INPUT!M1389),"")</f>
        <v>2025</v>
      </c>
      <c r="E1394" t="str">
        <f>IF(INPUT!O1389="","",INPUT!O1389)</f>
        <v>BARONA</v>
      </c>
      <c r="F1394" t="str">
        <f>IF(INPUT!N1389="","",INPUT!N1389)</f>
        <v>M</v>
      </c>
      <c r="G1394" t="str" cm="1">
        <f t="array" ref="G1394">IFERROR(VLOOKUP(INPUT!M1389&amp;INPUT!N1389,CHOOSE({1,2},INPUT!$A$3:$A$5000&amp;INPUT!$C$3:$C$5000,INPUT!$F$3:$F$5000),2,FALSE),"")</f>
        <v>PRE-TEMPORADA</v>
      </c>
      <c r="H1394" t="str" cm="1">
        <f t="array" ref="H1394">IFERROR(VLOOKUP(INPUT!M1389&amp;INPUT!N1389,CHOOSE({1,2},INPUT!$A$3:$A$5000&amp;INPUT!$C$3:$C$5000,INPUT!$D$3:$D$5000),2,FALSE),"")</f>
        <v>TEC-TAC</v>
      </c>
      <c r="I1394" s="46">
        <f>IF(INPUT!P1389="","",INPUT!P1389)</f>
        <v>71.2</v>
      </c>
      <c r="J1394" s="46">
        <f>IF(INPUT!Q1389="","",INPUT!Q1389)</f>
        <v>70.599999999999994</v>
      </c>
      <c r="K1394" s="46">
        <f>IFERROR(IF(OR(INPUT!P1389="",INPUT!Q1389=""),"",INPUT!P1389-INPUT!Q1389),"")</f>
        <v>0.60000000000000853</v>
      </c>
      <c r="L1394" s="48">
        <f>IFERROR(IF(OR(INPUT!P1389="",INPUT!Q1389="",INPUT!P1389=0),"",(INPUT!P1389-INPUT!Q1389)/INPUT!P1389),"")</f>
        <v>8.4269662921349509E-3</v>
      </c>
    </row>
    <row r="1395" spans="1:12" ht="18" hidden="1" customHeight="1" x14ac:dyDescent="0.2">
      <c r="A1395" s="11">
        <f>IF(INPUT!M1390="","",INPUT!M1390)</f>
        <v>45996</v>
      </c>
      <c r="B1395" s="11">
        <f>IF(INPUT!M1390="","",INPUT!M1390-WEEKDAY(INPUT!M1390,2)+1)</f>
        <v>45992</v>
      </c>
      <c r="C1395" s="20">
        <f>IFERROR(_xlfn.ISOWEEKNUM(INPUT!M1390),"")</f>
        <v>49</v>
      </c>
      <c r="D1395" s="20">
        <f>IFERROR(YEAR(INPUT!M1390),"")</f>
        <v>2025</v>
      </c>
      <c r="E1395" t="str">
        <f>IF(INPUT!O1390="","",INPUT!O1390)</f>
        <v>CARLOS</v>
      </c>
      <c r="F1395" t="str">
        <f>IF(INPUT!N1390="","",INPUT!N1390)</f>
        <v>M</v>
      </c>
      <c r="G1395" t="str" cm="1">
        <f t="array" ref="G1395">IFERROR(VLOOKUP(INPUT!M1390&amp;INPUT!N1390,CHOOSE({1,2},INPUT!$A$3:$A$5000&amp;INPUT!$C$3:$C$5000,INPUT!$F$3:$F$5000),2,FALSE),"")</f>
        <v>PRE-TEMPORADA</v>
      </c>
      <c r="H1395" t="str" cm="1">
        <f t="array" ref="H1395">IFERROR(VLOOKUP(INPUT!M1390&amp;INPUT!N1390,CHOOSE({1,2},INPUT!$A$3:$A$5000&amp;INPUT!$C$3:$C$5000,INPUT!$D$3:$D$5000),2,FALSE),"")</f>
        <v>TEC-TAC</v>
      </c>
      <c r="I1395" s="46">
        <f>IF(INPUT!P1390="","",INPUT!P1390)</f>
        <v>67.3</v>
      </c>
      <c r="J1395" s="46">
        <f>IF(INPUT!Q1390="","",INPUT!Q1390)</f>
        <v>66.400000000000006</v>
      </c>
      <c r="K1395" s="46">
        <f>IFERROR(IF(OR(INPUT!P1390="",INPUT!Q1390=""),"",INPUT!P1390-INPUT!Q1390),"")</f>
        <v>0.89999999999999147</v>
      </c>
      <c r="L1395" s="48">
        <f>IFERROR(IF(OR(INPUT!P1390="",INPUT!Q1390="",INPUT!P1390=0),"",(INPUT!P1390-INPUT!Q1390)/INPUT!P1390),"")</f>
        <v>1.3372956909360944E-2</v>
      </c>
    </row>
    <row r="1396" spans="1:12" ht="18" hidden="1" customHeight="1" x14ac:dyDescent="0.2">
      <c r="A1396" s="11">
        <f>IF(INPUT!M1391="","",INPUT!M1391)</f>
        <v>45996</v>
      </c>
      <c r="B1396" s="11">
        <f>IF(INPUT!M1391="","",INPUT!M1391-WEEKDAY(INPUT!M1391,2)+1)</f>
        <v>45992</v>
      </c>
      <c r="C1396" s="20">
        <f>IFERROR(_xlfn.ISOWEEKNUM(INPUT!M1391),"")</f>
        <v>49</v>
      </c>
      <c r="D1396" s="20">
        <f>IFERROR(YEAR(INPUT!M1391),"")</f>
        <v>2025</v>
      </c>
      <c r="E1396" t="str">
        <f>IF(INPUT!O1391="","",INPUT!O1391)</f>
        <v>RUBIO</v>
      </c>
      <c r="F1396" t="str">
        <f>IF(INPUT!N1391="","",INPUT!N1391)</f>
        <v>M</v>
      </c>
      <c r="G1396" t="str" cm="1">
        <f t="array" ref="G1396">IFERROR(VLOOKUP(INPUT!M1391&amp;INPUT!N1391,CHOOSE({1,2},INPUT!$A$3:$A$5000&amp;INPUT!$C$3:$C$5000,INPUT!$F$3:$F$5000),2,FALSE),"")</f>
        <v>PRE-TEMPORADA</v>
      </c>
      <c r="H1396" t="str" cm="1">
        <f t="array" ref="H1396">IFERROR(VLOOKUP(INPUT!M1391&amp;INPUT!N1391,CHOOSE({1,2},INPUT!$A$3:$A$5000&amp;INPUT!$C$3:$C$5000,INPUT!$D$3:$D$5000),2,FALSE),"")</f>
        <v>TEC-TAC</v>
      </c>
      <c r="I1396" s="46">
        <f>IF(INPUT!P1391="","",INPUT!P1391)</f>
        <v>75.5</v>
      </c>
      <c r="J1396" s="46">
        <f>IF(INPUT!Q1391="","",INPUT!Q1391)</f>
        <v>75.5</v>
      </c>
      <c r="K1396" s="46">
        <f>IFERROR(IF(OR(INPUT!P1391="",INPUT!Q1391=""),"",INPUT!P1391-INPUT!Q1391),"")</f>
        <v>0</v>
      </c>
      <c r="L1396" s="48">
        <f>IFERROR(IF(OR(INPUT!P1391="",INPUT!Q1391="",INPUT!P1391=0),"",(INPUT!P1391-INPUT!Q1391)/INPUT!P1391),"")</f>
        <v>0</v>
      </c>
    </row>
    <row r="1397" spans="1:12" ht="18" hidden="1" customHeight="1" x14ac:dyDescent="0.2">
      <c r="A1397" s="11">
        <f>IF(INPUT!M1392="","",INPUT!M1392)</f>
        <v>45996</v>
      </c>
      <c r="B1397" s="11">
        <f>IF(INPUT!M1392="","",INPUT!M1392-WEEKDAY(INPUT!M1392,2)+1)</f>
        <v>45992</v>
      </c>
      <c r="C1397" s="20">
        <f>IFERROR(_xlfn.ISOWEEKNUM(INPUT!M1392),"")</f>
        <v>49</v>
      </c>
      <c r="D1397" s="20">
        <f>IFERROR(YEAR(INPUT!M1392),"")</f>
        <v>2025</v>
      </c>
      <c r="E1397" t="str">
        <f>IF(INPUT!O1392="","",INPUT!O1392)</f>
        <v>DANI</v>
      </c>
      <c r="F1397" t="str">
        <f>IF(INPUT!N1392="","",INPUT!N1392)</f>
        <v>M</v>
      </c>
      <c r="G1397" t="str" cm="1">
        <f t="array" ref="G1397">IFERROR(VLOOKUP(INPUT!M1392&amp;INPUT!N1392,CHOOSE({1,2},INPUT!$A$3:$A$5000&amp;INPUT!$C$3:$C$5000,INPUT!$F$3:$F$5000),2,FALSE),"")</f>
        <v>PRE-TEMPORADA</v>
      </c>
      <c r="H1397" t="str" cm="1">
        <f t="array" ref="H1397">IFERROR(VLOOKUP(INPUT!M1392&amp;INPUT!N1392,CHOOSE({1,2},INPUT!$A$3:$A$5000&amp;INPUT!$C$3:$C$5000,INPUT!$D$3:$D$5000),2,FALSE),"")</f>
        <v>TEC-TAC</v>
      </c>
      <c r="I1397" s="46">
        <f>IF(INPUT!P1392="","",INPUT!P1392)</f>
        <v>93.6</v>
      </c>
      <c r="J1397" s="46">
        <f>IF(INPUT!Q1392="","",INPUT!Q1392)</f>
        <v>92.8</v>
      </c>
      <c r="K1397" s="46">
        <f>IFERROR(IF(OR(INPUT!P1392="",INPUT!Q1392=""),"",INPUT!P1392-INPUT!Q1392),"")</f>
        <v>0.79999999999999716</v>
      </c>
      <c r="L1397" s="48">
        <f>IFERROR(IF(OR(INPUT!P1392="",INPUT!Q1392="",INPUT!P1392=0),"",(INPUT!P1392-INPUT!Q1392)/INPUT!P1392),"")</f>
        <v>8.5470085470085166E-3</v>
      </c>
    </row>
    <row r="1398" spans="1:12" ht="18" hidden="1" customHeight="1" x14ac:dyDescent="0.2">
      <c r="A1398" s="11">
        <f>IF(INPUT!M1393="","",INPUT!M1393)</f>
        <v>45996</v>
      </c>
      <c r="B1398" s="11">
        <f>IF(INPUT!M1393="","",INPUT!M1393-WEEKDAY(INPUT!M1393,2)+1)</f>
        <v>45992</v>
      </c>
      <c r="C1398" s="20">
        <f>IFERROR(_xlfn.ISOWEEKNUM(INPUT!M1393),"")</f>
        <v>49</v>
      </c>
      <c r="D1398" s="20">
        <f>IFERROR(YEAR(INPUT!M1393),"")</f>
        <v>2025</v>
      </c>
      <c r="E1398" t="str">
        <f>IF(INPUT!O1393="","",INPUT!O1393)</f>
        <v>JAIME</v>
      </c>
      <c r="F1398" t="str">
        <f>IF(INPUT!N1393="","",INPUT!N1393)</f>
        <v>M</v>
      </c>
      <c r="G1398" t="str" cm="1">
        <f t="array" ref="G1398">IFERROR(VLOOKUP(INPUT!M1393&amp;INPUT!N1393,CHOOSE({1,2},INPUT!$A$3:$A$5000&amp;INPUT!$C$3:$C$5000,INPUT!$F$3:$F$5000),2,FALSE),"")</f>
        <v>PRE-TEMPORADA</v>
      </c>
      <c r="H1398" t="str" cm="1">
        <f t="array" ref="H1398">IFERROR(VLOOKUP(INPUT!M1393&amp;INPUT!N1393,CHOOSE({1,2},INPUT!$A$3:$A$5000&amp;INPUT!$C$3:$C$5000,INPUT!$D$3:$D$5000),2,FALSE),"")</f>
        <v>TEC-TAC</v>
      </c>
      <c r="I1398" s="46">
        <f>IF(INPUT!P1393="","",INPUT!P1393)</f>
        <v>75.900000000000006</v>
      </c>
      <c r="J1398" s="46">
        <f>IF(INPUT!Q1393="","",INPUT!Q1393)</f>
        <v>75.8</v>
      </c>
      <c r="K1398" s="46">
        <f>IFERROR(IF(OR(INPUT!P1393="",INPUT!Q1393=""),"",INPUT!P1393-INPUT!Q1393),"")</f>
        <v>0.10000000000000853</v>
      </c>
      <c r="L1398" s="48">
        <f>IFERROR(IF(OR(INPUT!P1393="",INPUT!Q1393="",INPUT!P1393=0),"",(INPUT!P1393-INPUT!Q1393)/INPUT!P1393),"")</f>
        <v>1.3175230566536036E-3</v>
      </c>
    </row>
    <row r="1399" spans="1:12" ht="18" hidden="1" customHeight="1" x14ac:dyDescent="0.2">
      <c r="A1399" s="11">
        <f>IF(INPUT!M1394="","",INPUT!M1394)</f>
        <v>45997</v>
      </c>
      <c r="B1399" s="11">
        <f>IF(INPUT!M1394="","",INPUT!M1394-WEEKDAY(INPUT!M1394,2)+1)</f>
        <v>45992</v>
      </c>
      <c r="C1399" s="20">
        <f>IFERROR(_xlfn.ISOWEEKNUM(INPUT!M1394),"")</f>
        <v>49</v>
      </c>
      <c r="D1399" s="20">
        <f>IFERROR(YEAR(INPUT!M1394),"")</f>
        <v>2025</v>
      </c>
      <c r="E1399" t="str">
        <f>IF(INPUT!O1394="","",INPUT!O1394)</f>
        <v>HERRERO</v>
      </c>
      <c r="F1399" t="str">
        <f>IF(INPUT!N1394="","",INPUT!N1394)</f>
        <v>M</v>
      </c>
      <c r="G1399" t="str" cm="1">
        <f t="array" ref="G1399">IFERROR(VLOOKUP(INPUT!M1394&amp;INPUT!N1394,CHOOSE({1,2},INPUT!$A$3:$A$5000&amp;INPUT!$C$3:$C$5000,INPUT!$F$3:$F$5000),2,FALSE),"")</f>
        <v>PRE-TEMPORADA</v>
      </c>
      <c r="H1399" t="str" cm="1">
        <f t="array" ref="H1399">IFERROR(VLOOKUP(INPUT!M1394&amp;INPUT!N1394,CHOOSE({1,2},INPUT!$A$3:$A$5000&amp;INPUT!$C$3:$C$5000,INPUT!$D$3:$D$5000),2,FALSE),"")</f>
        <v>PARTIDO</v>
      </c>
      <c r="I1399" s="46">
        <f>IF(INPUT!P1394="","",INPUT!P1394)</f>
        <v>76.400000000000006</v>
      </c>
      <c r="J1399" s="46">
        <f>IF(INPUT!Q1394="","",INPUT!Q1394)</f>
        <v>76</v>
      </c>
      <c r="K1399" s="46">
        <f>IFERROR(IF(OR(INPUT!P1394="",INPUT!Q1394=""),"",INPUT!P1394-INPUT!Q1394),"")</f>
        <v>0.40000000000000568</v>
      </c>
      <c r="L1399" s="48">
        <f>IFERROR(IF(OR(INPUT!P1394="",INPUT!Q1394="",INPUT!P1394=0),"",(INPUT!P1394-INPUT!Q1394)/INPUT!P1394),"")</f>
        <v>5.2356020942409117E-3</v>
      </c>
    </row>
    <row r="1400" spans="1:12" ht="18" hidden="1" customHeight="1" x14ac:dyDescent="0.2">
      <c r="A1400" s="11">
        <f>IF(INPUT!M1395="","",INPUT!M1395)</f>
        <v>45997</v>
      </c>
      <c r="B1400" s="11">
        <f>IF(INPUT!M1395="","",INPUT!M1395-WEEKDAY(INPUT!M1395,2)+1)</f>
        <v>45992</v>
      </c>
      <c r="C1400" s="20">
        <f>IFERROR(_xlfn.ISOWEEKNUM(INPUT!M1395),"")</f>
        <v>49</v>
      </c>
      <c r="D1400" s="20">
        <f>IFERROR(YEAR(INPUT!M1395),"")</f>
        <v>2025</v>
      </c>
      <c r="E1400" t="str">
        <f>IF(INPUT!O1395="","",INPUT!O1395)</f>
        <v>GARCIA</v>
      </c>
      <c r="F1400" t="str">
        <f>IF(INPUT!N1395="","",INPUT!N1395)</f>
        <v>M</v>
      </c>
      <c r="G1400" t="str" cm="1">
        <f t="array" ref="G1400">IFERROR(VLOOKUP(INPUT!M1395&amp;INPUT!N1395,CHOOSE({1,2},INPUT!$A$3:$A$5000&amp;INPUT!$C$3:$C$5000,INPUT!$F$3:$F$5000),2,FALSE),"")</f>
        <v>PRE-TEMPORADA</v>
      </c>
      <c r="H1400" t="str" cm="1">
        <f t="array" ref="H1400">IFERROR(VLOOKUP(INPUT!M1395&amp;INPUT!N1395,CHOOSE({1,2},INPUT!$A$3:$A$5000&amp;INPUT!$C$3:$C$5000,INPUT!$D$3:$D$5000),2,FALSE),"")</f>
        <v>PARTIDO</v>
      </c>
      <c r="I1400" s="46">
        <f>IF(INPUT!P1395="","",INPUT!P1395)</f>
        <v>9.1999999999999993</v>
      </c>
      <c r="J1400" s="46">
        <f>IF(INPUT!Q1395="","",INPUT!Q1395)</f>
        <v>79</v>
      </c>
      <c r="K1400" s="46">
        <f>IFERROR(IF(OR(INPUT!P1395="",INPUT!Q1395=""),"",INPUT!P1395-INPUT!Q1395),"")</f>
        <v>-69.8</v>
      </c>
      <c r="L1400" s="48">
        <f>IFERROR(IF(OR(INPUT!P1395="",INPUT!Q1395="",INPUT!P1395=0),"",(INPUT!P1395-INPUT!Q1395)/INPUT!P1395),"")</f>
        <v>-7.5869565217391308</v>
      </c>
    </row>
    <row r="1401" spans="1:12" ht="18" hidden="1" customHeight="1" x14ac:dyDescent="0.2">
      <c r="A1401" s="11">
        <f>IF(INPUT!M1396="","",INPUT!M1396)</f>
        <v>45997</v>
      </c>
      <c r="B1401" s="11">
        <f>IF(INPUT!M1396="","",INPUT!M1396-WEEKDAY(INPUT!M1396,2)+1)</f>
        <v>45992</v>
      </c>
      <c r="C1401" s="20">
        <f>IFERROR(_xlfn.ISOWEEKNUM(INPUT!M1396),"")</f>
        <v>49</v>
      </c>
      <c r="D1401" s="20">
        <f>IFERROR(YEAR(INPUT!M1396),"")</f>
        <v>2025</v>
      </c>
      <c r="E1401" t="str">
        <f>IF(INPUT!O1396="","",INPUT!O1396)</f>
        <v>CECILIO</v>
      </c>
      <c r="F1401" t="str">
        <f>IF(INPUT!N1396="","",INPUT!N1396)</f>
        <v>M</v>
      </c>
      <c r="G1401" t="str" cm="1">
        <f t="array" ref="G1401">IFERROR(VLOOKUP(INPUT!M1396&amp;INPUT!N1396,CHOOSE({1,2},INPUT!$A$3:$A$5000&amp;INPUT!$C$3:$C$5000,INPUT!$F$3:$F$5000),2,FALSE),"")</f>
        <v>PRE-TEMPORADA</v>
      </c>
      <c r="H1401" t="str" cm="1">
        <f t="array" ref="H1401">IFERROR(VLOOKUP(INPUT!M1396&amp;INPUT!N1396,CHOOSE({1,2},INPUT!$A$3:$A$5000&amp;INPUT!$C$3:$C$5000,INPUT!$D$3:$D$5000),2,FALSE),"")</f>
        <v>PARTIDO</v>
      </c>
      <c r="I1401" s="46">
        <f>IF(INPUT!P1396="","",INPUT!P1396)</f>
        <v>67</v>
      </c>
      <c r="J1401" s="46">
        <f>IF(INPUT!Q1396="","",INPUT!Q1396)</f>
        <v>67</v>
      </c>
      <c r="K1401" s="46">
        <f>IFERROR(IF(OR(INPUT!P1396="",INPUT!Q1396=""),"",INPUT!P1396-INPUT!Q1396),"")</f>
        <v>0</v>
      </c>
      <c r="L1401" s="48">
        <f>IFERROR(IF(OR(INPUT!P1396="",INPUT!Q1396="",INPUT!P1396=0),"",(INPUT!P1396-INPUT!Q1396)/INPUT!P1396),"")</f>
        <v>0</v>
      </c>
    </row>
    <row r="1402" spans="1:12" ht="18" hidden="1" customHeight="1" x14ac:dyDescent="0.2">
      <c r="A1402" s="11">
        <f>IF(INPUT!M1397="","",INPUT!M1397)</f>
        <v>45997</v>
      </c>
      <c r="B1402" s="11">
        <f>IF(INPUT!M1397="","",INPUT!M1397-WEEKDAY(INPUT!M1397,2)+1)</f>
        <v>45992</v>
      </c>
      <c r="C1402" s="20">
        <f>IFERROR(_xlfn.ISOWEEKNUM(INPUT!M1397),"")</f>
        <v>49</v>
      </c>
      <c r="D1402" s="20">
        <f>IFERROR(YEAR(INPUT!M1397),"")</f>
        <v>2025</v>
      </c>
      <c r="E1402" t="str">
        <f>IF(INPUT!O1397="","",INPUT!O1397)</f>
        <v>CHAGUINHA</v>
      </c>
      <c r="F1402" t="str">
        <f>IF(INPUT!N1397="","",INPUT!N1397)</f>
        <v>M</v>
      </c>
      <c r="G1402" t="str" cm="1">
        <f t="array" ref="G1402">IFERROR(VLOOKUP(INPUT!M1397&amp;INPUT!N1397,CHOOSE({1,2},INPUT!$A$3:$A$5000&amp;INPUT!$C$3:$C$5000,INPUT!$F$3:$F$5000),2,FALSE),"")</f>
        <v>PRE-TEMPORADA</v>
      </c>
      <c r="H1402" t="str" cm="1">
        <f t="array" ref="H1402">IFERROR(VLOOKUP(INPUT!M1397&amp;INPUT!N1397,CHOOSE({1,2},INPUT!$A$3:$A$5000&amp;INPUT!$C$3:$C$5000,INPUT!$D$3:$D$5000),2,FALSE),"")</f>
        <v>PARTIDO</v>
      </c>
      <c r="I1402" s="46">
        <f>IF(INPUT!P1397="","",INPUT!P1397)</f>
        <v>69</v>
      </c>
      <c r="J1402" s="46">
        <f>IF(INPUT!Q1397="","",INPUT!Q1397)</f>
        <v>68</v>
      </c>
      <c r="K1402" s="46">
        <f>IFERROR(IF(OR(INPUT!P1397="",INPUT!Q1397=""),"",INPUT!P1397-INPUT!Q1397),"")</f>
        <v>1</v>
      </c>
      <c r="L1402" s="48">
        <f>IFERROR(IF(OR(INPUT!P1397="",INPUT!Q1397="",INPUT!P1397=0),"",(INPUT!P1397-INPUT!Q1397)/INPUT!P1397),"")</f>
        <v>1.4492753623188406E-2</v>
      </c>
    </row>
    <row r="1403" spans="1:12" ht="18" hidden="1" customHeight="1" x14ac:dyDescent="0.2">
      <c r="A1403" s="11">
        <f>IF(INPUT!M1398="","",INPUT!M1398)</f>
        <v>45997</v>
      </c>
      <c r="B1403" s="11">
        <f>IF(INPUT!M1398="","",INPUT!M1398-WEEKDAY(INPUT!M1398,2)+1)</f>
        <v>45992</v>
      </c>
      <c r="C1403" s="20">
        <f>IFERROR(_xlfn.ISOWEEKNUM(INPUT!M1398),"")</f>
        <v>49</v>
      </c>
      <c r="D1403" s="20">
        <f>IFERROR(YEAR(INPUT!M1398),"")</f>
        <v>2025</v>
      </c>
      <c r="E1403" t="str">
        <f>IF(INPUT!O1398="","",INPUT!O1398)</f>
        <v>RAUL</v>
      </c>
      <c r="F1403" t="str">
        <f>IF(INPUT!N1398="","",INPUT!N1398)</f>
        <v>M</v>
      </c>
      <c r="G1403" t="str" cm="1">
        <f t="array" ref="G1403">IFERROR(VLOOKUP(INPUT!M1398&amp;INPUT!N1398,CHOOSE({1,2},INPUT!$A$3:$A$5000&amp;INPUT!$C$3:$C$5000,INPUT!$F$3:$F$5000),2,FALSE),"")</f>
        <v>PRE-TEMPORADA</v>
      </c>
      <c r="H1403" t="str" cm="1">
        <f t="array" ref="H1403">IFERROR(VLOOKUP(INPUT!M1398&amp;INPUT!N1398,CHOOSE({1,2},INPUT!$A$3:$A$5000&amp;INPUT!$C$3:$C$5000,INPUT!$D$3:$D$5000),2,FALSE),"")</f>
        <v>PARTIDO</v>
      </c>
      <c r="I1403" s="46">
        <f>IF(INPUT!P1398="","",INPUT!P1398)</f>
        <v>80.900000000000006</v>
      </c>
      <c r="J1403" s="46">
        <f>IF(INPUT!Q1398="","",INPUT!Q1398)</f>
        <v>82.5</v>
      </c>
      <c r="K1403" s="46">
        <f>IFERROR(IF(OR(INPUT!P1398="",INPUT!Q1398=""),"",INPUT!P1398-INPUT!Q1398),"")</f>
        <v>-1.5999999999999943</v>
      </c>
      <c r="L1403" s="48">
        <f>IFERROR(IF(OR(INPUT!P1398="",INPUT!Q1398="",INPUT!P1398=0),"",(INPUT!P1398-INPUT!Q1398)/INPUT!P1398),"")</f>
        <v>-1.9777503090234787E-2</v>
      </c>
    </row>
    <row r="1404" spans="1:12" ht="18" hidden="1" customHeight="1" x14ac:dyDescent="0.2">
      <c r="A1404" s="11">
        <f>IF(INPUT!M1399="","",INPUT!M1399)</f>
        <v>45997</v>
      </c>
      <c r="B1404" s="11">
        <f>IF(INPUT!M1399="","",INPUT!M1399-WEEKDAY(INPUT!M1399,2)+1)</f>
        <v>45992</v>
      </c>
      <c r="C1404" s="20">
        <f>IFERROR(_xlfn.ISOWEEKNUM(INPUT!M1399),"")</f>
        <v>49</v>
      </c>
      <c r="D1404" s="20">
        <f>IFERROR(YEAR(INPUT!M1399),"")</f>
        <v>2025</v>
      </c>
      <c r="E1404" t="str">
        <f>IF(INPUT!O1399="","",INPUT!O1399)</f>
        <v>HARRISON</v>
      </c>
      <c r="F1404" t="str">
        <f>IF(INPUT!N1399="","",INPUT!N1399)</f>
        <v>M</v>
      </c>
      <c r="G1404" t="str" cm="1">
        <f t="array" ref="G1404">IFERROR(VLOOKUP(INPUT!M1399&amp;INPUT!N1399,CHOOSE({1,2},INPUT!$A$3:$A$5000&amp;INPUT!$C$3:$C$5000,INPUT!$F$3:$F$5000),2,FALSE),"")</f>
        <v>PRE-TEMPORADA</v>
      </c>
      <c r="H1404" t="str" cm="1">
        <f t="array" ref="H1404">IFERROR(VLOOKUP(INPUT!M1399&amp;INPUT!N1399,CHOOSE({1,2},INPUT!$A$3:$A$5000&amp;INPUT!$C$3:$C$5000,INPUT!$D$3:$D$5000),2,FALSE),"")</f>
        <v>PARTIDO</v>
      </c>
      <c r="I1404" s="46">
        <f>IF(INPUT!P1399="","",INPUT!P1399)</f>
        <v>71.400000000000006</v>
      </c>
      <c r="J1404" s="46">
        <f>IF(INPUT!Q1399="","",INPUT!Q1399)</f>
        <v>71</v>
      </c>
      <c r="K1404" s="46">
        <f>IFERROR(IF(OR(INPUT!P1399="",INPUT!Q1399=""),"",INPUT!P1399-INPUT!Q1399),"")</f>
        <v>0.40000000000000568</v>
      </c>
      <c r="L1404" s="48">
        <f>IFERROR(IF(OR(INPUT!P1399="",INPUT!Q1399="",INPUT!P1399=0),"",(INPUT!P1399-INPUT!Q1399)/INPUT!P1399),"")</f>
        <v>5.6022408963586224E-3</v>
      </c>
    </row>
    <row r="1405" spans="1:12" ht="18" hidden="1" customHeight="1" x14ac:dyDescent="0.2">
      <c r="A1405" s="11">
        <f>IF(INPUT!M1400="","",INPUT!M1400)</f>
        <v>45997</v>
      </c>
      <c r="B1405" s="11">
        <f>IF(INPUT!M1400="","",INPUT!M1400-WEEKDAY(INPUT!M1400,2)+1)</f>
        <v>45992</v>
      </c>
      <c r="C1405" s="20">
        <f>IFERROR(_xlfn.ISOWEEKNUM(INPUT!M1400),"")</f>
        <v>49</v>
      </c>
      <c r="D1405" s="20">
        <f>IFERROR(YEAR(INPUT!M1400),"")</f>
        <v>2025</v>
      </c>
      <c r="E1405" t="str">
        <f>IF(INPUT!O1400="","",INPUT!O1400)</f>
        <v>RAYA</v>
      </c>
      <c r="F1405" t="str">
        <f>IF(INPUT!N1400="","",INPUT!N1400)</f>
        <v>M</v>
      </c>
      <c r="G1405" t="str" cm="1">
        <f t="array" ref="G1405">IFERROR(VLOOKUP(INPUT!M1400&amp;INPUT!N1400,CHOOSE({1,2},INPUT!$A$3:$A$5000&amp;INPUT!$C$3:$C$5000,INPUT!$F$3:$F$5000),2,FALSE),"")</f>
        <v>PRE-TEMPORADA</v>
      </c>
      <c r="H1405" t="str" cm="1">
        <f t="array" ref="H1405">IFERROR(VLOOKUP(INPUT!M1400&amp;INPUT!N1400,CHOOSE({1,2},INPUT!$A$3:$A$5000&amp;INPUT!$C$3:$C$5000,INPUT!$D$3:$D$5000),2,FALSE),"")</f>
        <v>PARTIDO</v>
      </c>
      <c r="I1405" s="46">
        <f>IF(INPUT!P1400="","",INPUT!P1400)</f>
        <v>81.099999999999994</v>
      </c>
      <c r="J1405" s="46">
        <f>IF(INPUT!Q1400="","",INPUT!Q1400)</f>
        <v>80</v>
      </c>
      <c r="K1405" s="46">
        <f>IFERROR(IF(OR(INPUT!P1400="",INPUT!Q1400=""),"",INPUT!P1400-INPUT!Q1400),"")</f>
        <v>1.0999999999999943</v>
      </c>
      <c r="L1405" s="48">
        <f>IFERROR(IF(OR(INPUT!P1400="",INPUT!Q1400="",INPUT!P1400=0),"",(INPUT!P1400-INPUT!Q1400)/INPUT!P1400),"")</f>
        <v>1.3563501849568366E-2</v>
      </c>
    </row>
    <row r="1406" spans="1:12" ht="18" hidden="1" customHeight="1" x14ac:dyDescent="0.2">
      <c r="A1406" s="11">
        <f>IF(INPUT!M1401="","",INPUT!M1401)</f>
        <v>45997</v>
      </c>
      <c r="B1406" s="11">
        <f>IF(INPUT!M1401="","",INPUT!M1401-WEEKDAY(INPUT!M1401,2)+1)</f>
        <v>45992</v>
      </c>
      <c r="C1406" s="20">
        <f>IFERROR(_xlfn.ISOWEEKNUM(INPUT!M1401),"")</f>
        <v>49</v>
      </c>
      <c r="D1406" s="20">
        <f>IFERROR(YEAR(INPUT!M1401),"")</f>
        <v>2025</v>
      </c>
      <c r="E1406" t="str">
        <f>IF(INPUT!O1401="","",INPUT!O1401)</f>
        <v>JAVI</v>
      </c>
      <c r="F1406" t="str">
        <f>IF(INPUT!N1401="","",INPUT!N1401)</f>
        <v>M</v>
      </c>
      <c r="G1406" t="str" cm="1">
        <f t="array" ref="G1406">IFERROR(VLOOKUP(INPUT!M1401&amp;INPUT!N1401,CHOOSE({1,2},INPUT!$A$3:$A$5000&amp;INPUT!$C$3:$C$5000,INPUT!$F$3:$F$5000),2,FALSE),"")</f>
        <v>PRE-TEMPORADA</v>
      </c>
      <c r="H1406" t="str" cm="1">
        <f t="array" ref="H1406">IFERROR(VLOOKUP(INPUT!M1401&amp;INPUT!N1401,CHOOSE({1,2},INPUT!$A$3:$A$5000&amp;INPUT!$C$3:$C$5000,INPUT!$D$3:$D$5000),2,FALSE),"")</f>
        <v>PARTIDO</v>
      </c>
      <c r="I1406" s="46">
        <f>IF(INPUT!P1401="","",INPUT!P1401)</f>
        <v>77.8</v>
      </c>
      <c r="J1406" s="46">
        <f>IF(INPUT!Q1401="","",INPUT!Q1401)</f>
        <v>77.5</v>
      </c>
      <c r="K1406" s="46">
        <f>IFERROR(IF(OR(INPUT!P1401="",INPUT!Q1401=""),"",INPUT!P1401-INPUT!Q1401),"")</f>
        <v>0.29999999999999716</v>
      </c>
      <c r="L1406" s="48">
        <f>IFERROR(IF(OR(INPUT!P1401="",INPUT!Q1401="",INPUT!P1401=0),"",(INPUT!P1401-INPUT!Q1401)/INPUT!P1401),"")</f>
        <v>3.856041131105362E-3</v>
      </c>
    </row>
    <row r="1407" spans="1:12" ht="18" hidden="1" customHeight="1" x14ac:dyDescent="0.2">
      <c r="A1407" s="11">
        <f>IF(INPUT!M1402="","",INPUT!M1402)</f>
        <v>45997</v>
      </c>
      <c r="B1407" s="11">
        <f>IF(INPUT!M1402="","",INPUT!M1402-WEEKDAY(INPUT!M1402,2)+1)</f>
        <v>45992</v>
      </c>
      <c r="C1407" s="20">
        <f>IFERROR(_xlfn.ISOWEEKNUM(INPUT!M1402),"")</f>
        <v>49</v>
      </c>
      <c r="D1407" s="20">
        <f>IFERROR(YEAR(INPUT!M1402),"")</f>
        <v>2025</v>
      </c>
      <c r="E1407" t="str">
        <f>IF(INPUT!O1402="","",INPUT!O1402)</f>
        <v>PANI</v>
      </c>
      <c r="F1407" t="str">
        <f>IF(INPUT!N1402="","",INPUT!N1402)</f>
        <v>M</v>
      </c>
      <c r="G1407" t="str" cm="1">
        <f t="array" ref="G1407">IFERROR(VLOOKUP(INPUT!M1402&amp;INPUT!N1402,CHOOSE({1,2},INPUT!$A$3:$A$5000&amp;INPUT!$C$3:$C$5000,INPUT!$F$3:$F$5000),2,FALSE),"")</f>
        <v>PRE-TEMPORADA</v>
      </c>
      <c r="H1407" t="str" cm="1">
        <f t="array" ref="H1407">IFERROR(VLOOKUP(INPUT!M1402&amp;INPUT!N1402,CHOOSE({1,2},INPUT!$A$3:$A$5000&amp;INPUT!$C$3:$C$5000,INPUT!$D$3:$D$5000),2,FALSE),"")</f>
        <v>PARTIDO</v>
      </c>
      <c r="I1407" s="46">
        <f>IF(INPUT!P1402="","",INPUT!P1402)</f>
        <v>66.599999999999994</v>
      </c>
      <c r="J1407" s="46">
        <f>IF(INPUT!Q1402="","",INPUT!Q1402)</f>
        <v>66.3</v>
      </c>
      <c r="K1407" s="46">
        <f>IFERROR(IF(OR(INPUT!P1402="",INPUT!Q1402=""),"",INPUT!P1402-INPUT!Q1402),"")</f>
        <v>0.29999999999999716</v>
      </c>
      <c r="L1407" s="48">
        <f>IFERROR(IF(OR(INPUT!P1402="",INPUT!Q1402="",INPUT!P1402=0),"",(INPUT!P1402-INPUT!Q1402)/INPUT!P1402),"")</f>
        <v>4.504504504504462E-3</v>
      </c>
    </row>
    <row r="1408" spans="1:12" ht="18" hidden="1" customHeight="1" x14ac:dyDescent="0.2">
      <c r="A1408" s="11">
        <f>IF(INPUT!M1403="","",INPUT!M1403)</f>
        <v>45997</v>
      </c>
      <c r="B1408" s="11">
        <f>IF(INPUT!M1403="","",INPUT!M1403-WEEKDAY(INPUT!M1403,2)+1)</f>
        <v>45992</v>
      </c>
      <c r="C1408" s="20">
        <f>IFERROR(_xlfn.ISOWEEKNUM(INPUT!M1403),"")</f>
        <v>49</v>
      </c>
      <c r="D1408" s="20">
        <f>IFERROR(YEAR(INPUT!M1403),"")</f>
        <v>2025</v>
      </c>
      <c r="E1408" t="str">
        <f>IF(INPUT!O1403="","",INPUT!O1403)</f>
        <v>PIRATA</v>
      </c>
      <c r="F1408" t="str">
        <f>IF(INPUT!N1403="","",INPUT!N1403)</f>
        <v>M</v>
      </c>
      <c r="G1408" t="str" cm="1">
        <f t="array" ref="G1408">IFERROR(VLOOKUP(INPUT!M1403&amp;INPUT!N1403,CHOOSE({1,2},INPUT!$A$3:$A$5000&amp;INPUT!$C$3:$C$5000,INPUT!$F$3:$F$5000),2,FALSE),"")</f>
        <v>PRE-TEMPORADA</v>
      </c>
      <c r="H1408" t="str" cm="1">
        <f t="array" ref="H1408">IFERROR(VLOOKUP(INPUT!M1403&amp;INPUT!N1403,CHOOSE({1,2},INPUT!$A$3:$A$5000&amp;INPUT!$C$3:$C$5000,INPUT!$D$3:$D$5000),2,FALSE),"")</f>
        <v>PARTIDO</v>
      </c>
      <c r="I1408" s="46">
        <f>IF(INPUT!P1403="","",INPUT!P1403)</f>
        <v>74.5</v>
      </c>
      <c r="J1408" s="46">
        <f>IF(INPUT!Q1403="","",INPUT!Q1403)</f>
        <v>74.7</v>
      </c>
      <c r="K1408" s="46">
        <f>IFERROR(IF(OR(INPUT!P1403="",INPUT!Q1403=""),"",INPUT!P1403-INPUT!Q1403),"")</f>
        <v>-0.20000000000000284</v>
      </c>
      <c r="L1408" s="48">
        <f>IFERROR(IF(OR(INPUT!P1403="",INPUT!Q1403="",INPUT!P1403=0),"",(INPUT!P1403-INPUT!Q1403)/INPUT!P1403),"")</f>
        <v>-2.6845637583892998E-3</v>
      </c>
    </row>
    <row r="1409" spans="1:12" ht="18" hidden="1" customHeight="1" x14ac:dyDescent="0.2">
      <c r="A1409" s="11">
        <f>IF(INPUT!M1404="","",INPUT!M1404)</f>
        <v>45997</v>
      </c>
      <c r="B1409" s="11">
        <f>IF(INPUT!M1404="","",INPUT!M1404-WEEKDAY(INPUT!M1404,2)+1)</f>
        <v>45992</v>
      </c>
      <c r="C1409" s="20">
        <f>IFERROR(_xlfn.ISOWEEKNUM(INPUT!M1404),"")</f>
        <v>49</v>
      </c>
      <c r="D1409" s="20">
        <f>IFERROR(YEAR(INPUT!M1404),"")</f>
        <v>2025</v>
      </c>
      <c r="E1409" t="str">
        <f>IF(INPUT!O1404="","",INPUT!O1404)</f>
        <v>BARONA</v>
      </c>
      <c r="F1409" t="str">
        <f>IF(INPUT!N1404="","",INPUT!N1404)</f>
        <v>M</v>
      </c>
      <c r="G1409" t="str" cm="1">
        <f t="array" ref="G1409">IFERROR(VLOOKUP(INPUT!M1404&amp;INPUT!N1404,CHOOSE({1,2},INPUT!$A$3:$A$5000&amp;INPUT!$C$3:$C$5000,INPUT!$F$3:$F$5000),2,FALSE),"")</f>
        <v>PRE-TEMPORADA</v>
      </c>
      <c r="H1409" t="str" cm="1">
        <f t="array" ref="H1409">IFERROR(VLOOKUP(INPUT!M1404&amp;INPUT!N1404,CHOOSE({1,2},INPUT!$A$3:$A$5000&amp;INPUT!$C$3:$C$5000,INPUT!$D$3:$D$5000),2,FALSE),"")</f>
        <v>PARTIDO</v>
      </c>
      <c r="I1409" s="46">
        <f>IF(INPUT!P1404="","",INPUT!P1404)</f>
        <v>71.2</v>
      </c>
      <c r="J1409" s="46">
        <f>IF(INPUT!Q1404="","",INPUT!Q1404)</f>
        <v>71</v>
      </c>
      <c r="K1409" s="46">
        <f>IFERROR(IF(OR(INPUT!P1404="",INPUT!Q1404=""),"",INPUT!P1404-INPUT!Q1404),"")</f>
        <v>0.20000000000000284</v>
      </c>
      <c r="L1409" s="48">
        <f>IFERROR(IF(OR(INPUT!P1404="",INPUT!Q1404="",INPUT!P1404=0),"",(INPUT!P1404-INPUT!Q1404)/INPUT!P1404),"")</f>
        <v>2.8089887640449836E-3</v>
      </c>
    </row>
    <row r="1410" spans="1:12" ht="18" customHeight="1" x14ac:dyDescent="0.2">
      <c r="A1410" s="11">
        <f>IF(INPUT!M1405="","",INPUT!M1405)</f>
        <v>45997</v>
      </c>
      <c r="B1410" s="11">
        <f>IF(INPUT!M1405="","",INPUT!M1405-WEEKDAY(INPUT!M1405,2)+1)</f>
        <v>45992</v>
      </c>
      <c r="C1410" s="20">
        <f>IFERROR(_xlfn.ISOWEEKNUM(INPUT!M1405),"")</f>
        <v>49</v>
      </c>
      <c r="D1410" s="20">
        <f>IFERROR(YEAR(INPUT!M1405),"")</f>
        <v>2025</v>
      </c>
      <c r="E1410" t="str">
        <f>IF(INPUT!O1405="","",INPUT!O1405)</f>
        <v>CARLOS</v>
      </c>
      <c r="F1410" t="str">
        <f>IF(INPUT!N1405="","",INPUT!N1405)</f>
        <v>M</v>
      </c>
      <c r="G1410" t="str" cm="1">
        <f t="array" ref="G1410">IFERROR(VLOOKUP(INPUT!M1405&amp;INPUT!N1405,CHOOSE({1,2},INPUT!$A$3:$A$5000&amp;INPUT!$C$3:$C$5000,INPUT!$F$3:$F$5000),2,FALSE),"")</f>
        <v>PRE-TEMPORADA</v>
      </c>
      <c r="H1410" t="str" cm="1">
        <f t="array" ref="H1410">IFERROR(VLOOKUP(INPUT!M1405&amp;INPUT!N1405,CHOOSE({1,2},INPUT!$A$3:$A$5000&amp;INPUT!$C$3:$C$5000,INPUT!$D$3:$D$5000),2,FALSE),"")</f>
        <v>PARTIDO</v>
      </c>
      <c r="I1410" s="46">
        <f>IF(INPUT!P1405="","",INPUT!P1405)</f>
        <v>67</v>
      </c>
      <c r="J1410" s="46">
        <f>IF(INPUT!Q1405="","",INPUT!Q1405)</f>
        <v>66.400000000000006</v>
      </c>
      <c r="K1410" s="46">
        <f>IFERROR(IF(OR(INPUT!P1405="",INPUT!Q1405=""),"",INPUT!P1405-INPUT!Q1405),"")</f>
        <v>0.59999999999999432</v>
      </c>
      <c r="L1410" s="48">
        <f>IFERROR(IF(OR(INPUT!P1405="",INPUT!Q1405="",INPUT!P1405=0),"",(INPUT!P1405-INPUT!Q1405)/INPUT!P1405),"")</f>
        <v>8.9552238805969304E-3</v>
      </c>
    </row>
    <row r="1411" spans="1:12" ht="18" customHeight="1" x14ac:dyDescent="0.2">
      <c r="A1411" s="11">
        <f>IF(INPUT!M1406="","",INPUT!M1406)</f>
        <v>45997</v>
      </c>
      <c r="B1411" s="11">
        <f>IF(INPUT!M1406="","",INPUT!M1406-WEEKDAY(INPUT!M1406,2)+1)</f>
        <v>45992</v>
      </c>
      <c r="C1411" s="20">
        <f>IFERROR(_xlfn.ISOWEEKNUM(INPUT!M1406),"")</f>
        <v>49</v>
      </c>
      <c r="D1411" s="20">
        <f>IFERROR(YEAR(INPUT!M1406),"")</f>
        <v>2025</v>
      </c>
      <c r="E1411" t="str">
        <f>IF(INPUT!O1406="","",INPUT!O1406)</f>
        <v>RUBIO</v>
      </c>
      <c r="F1411" t="str">
        <f>IF(INPUT!N1406="","",INPUT!N1406)</f>
        <v>M</v>
      </c>
      <c r="G1411" t="str" cm="1">
        <f t="array" ref="G1411">IFERROR(VLOOKUP(INPUT!M1406&amp;INPUT!N1406,CHOOSE({1,2},INPUT!$A$3:$A$5000&amp;INPUT!$C$3:$C$5000,INPUT!$F$3:$F$5000),2,FALSE),"")</f>
        <v>PRE-TEMPORADA</v>
      </c>
      <c r="H1411" t="str" cm="1">
        <f t="array" ref="H1411">IFERROR(VLOOKUP(INPUT!M1406&amp;INPUT!N1406,CHOOSE({1,2},INPUT!$A$3:$A$5000&amp;INPUT!$C$3:$C$5000,INPUT!$D$3:$D$5000),2,FALSE),"")</f>
        <v>PARTIDO</v>
      </c>
      <c r="I1411" s="46">
        <f>IF(INPUT!P1406="","",INPUT!P1406)</f>
        <v>75.7</v>
      </c>
      <c r="J1411" s="46">
        <f>IF(INPUT!Q1406="","",INPUT!Q1406)</f>
        <v>75.7</v>
      </c>
      <c r="K1411" s="46">
        <f>IFERROR(IF(OR(INPUT!P1406="",INPUT!Q1406=""),"",INPUT!P1406-INPUT!Q1406),"")</f>
        <v>0</v>
      </c>
      <c r="L1411" s="48">
        <f>IFERROR(IF(OR(INPUT!P1406="",INPUT!Q1406="",INPUT!P1406=0),"",(INPUT!P1406-INPUT!Q1406)/INPUT!P1406),"")</f>
        <v>0</v>
      </c>
    </row>
    <row r="1412" spans="1:12" ht="18" customHeight="1" x14ac:dyDescent="0.2">
      <c r="A1412" s="11">
        <f>IF(INPUT!M1407="","",INPUT!M1407)</f>
        <v>45997</v>
      </c>
      <c r="B1412" s="11">
        <f>IF(INPUT!M1407="","",INPUT!M1407-WEEKDAY(INPUT!M1407,2)+1)</f>
        <v>45992</v>
      </c>
      <c r="C1412" s="20">
        <f>IFERROR(_xlfn.ISOWEEKNUM(INPUT!M1407),"")</f>
        <v>49</v>
      </c>
      <c r="D1412" s="20">
        <f>IFERROR(YEAR(INPUT!M1407),"")</f>
        <v>2025</v>
      </c>
      <c r="E1412" t="str">
        <f>IF(INPUT!O1407="","",INPUT!O1407)</f>
        <v>DANI</v>
      </c>
      <c r="F1412" t="str">
        <f>IF(INPUT!N1407="","",INPUT!N1407)</f>
        <v>M</v>
      </c>
      <c r="G1412" t="str" cm="1">
        <f t="array" ref="G1412">IFERROR(VLOOKUP(INPUT!M1407&amp;INPUT!N1407,CHOOSE({1,2},INPUT!$A$3:$A$5000&amp;INPUT!$C$3:$C$5000,INPUT!$F$3:$F$5000),2,FALSE),"")</f>
        <v>PRE-TEMPORADA</v>
      </c>
      <c r="H1412" t="str" cm="1">
        <f t="array" ref="H1412">IFERROR(VLOOKUP(INPUT!M1407&amp;INPUT!N1407,CHOOSE({1,2},INPUT!$A$3:$A$5000&amp;INPUT!$C$3:$C$5000,INPUT!$D$3:$D$5000),2,FALSE),"")</f>
        <v>PARTIDO</v>
      </c>
      <c r="I1412" s="46">
        <f>IF(INPUT!P1407="","",INPUT!P1407)</f>
        <v>93</v>
      </c>
      <c r="J1412" s="46">
        <f>IF(INPUT!Q1407="","",INPUT!Q1407)</f>
        <v>93</v>
      </c>
      <c r="K1412" s="46">
        <f>IFERROR(IF(OR(INPUT!P1407="",INPUT!Q1407=""),"",INPUT!P1407-INPUT!Q1407),"")</f>
        <v>0</v>
      </c>
      <c r="L1412" s="48">
        <f>IFERROR(IF(OR(INPUT!P1407="",INPUT!Q1407="",INPUT!P1407=0),"",(INPUT!P1407-INPUT!Q1407)/INPUT!P1407),"")</f>
        <v>0</v>
      </c>
    </row>
    <row r="1413" spans="1:12" ht="18" hidden="1" customHeight="1" x14ac:dyDescent="0.2">
      <c r="A1413" s="11">
        <f>IF(INPUT!M1408="","",INPUT!M1408)</f>
        <v>45999</v>
      </c>
      <c r="B1413" s="11">
        <f>IF(INPUT!M1408="","",INPUT!M1408-WEEKDAY(INPUT!M1408,2)+1)</f>
        <v>45999</v>
      </c>
      <c r="C1413" s="20">
        <f>IFERROR(_xlfn.ISOWEEKNUM(INPUT!M1408),"")</f>
        <v>50</v>
      </c>
      <c r="D1413" s="20">
        <f>IFERROR(YEAR(INPUT!M1408),"")</f>
        <v>2025</v>
      </c>
      <c r="E1413" t="str">
        <f>IF(INPUT!O1408="","",INPUT!O1408)</f>
        <v>HERRERO</v>
      </c>
      <c r="F1413" t="str">
        <f>IF(INPUT!N1408="","",INPUT!N1408)</f>
        <v>M</v>
      </c>
      <c r="G1413" t="str" cm="1">
        <f t="array" ref="G1413">IFERROR(VLOOKUP(INPUT!M1408&amp;INPUT!N1408,CHOOSE({1,2},INPUT!$A$3:$A$5000&amp;INPUT!$C$3:$C$5000,INPUT!$F$3:$F$5000),2,FALSE),"")</f>
        <v>PRE-TEMPORADA</v>
      </c>
      <c r="H1413" t="str" cm="1">
        <f t="array" ref="H1413">IFERROR(VLOOKUP(INPUT!M1408&amp;INPUT!N1408,CHOOSE({1,2},INPUT!$A$3:$A$5000&amp;INPUT!$C$3:$C$5000,INPUT!$D$3:$D$5000),2,FALSE),"")</f>
        <v>TEC-TAC</v>
      </c>
      <c r="I1413" s="46">
        <f>IF(INPUT!P1408="","",INPUT!P1408)</f>
        <v>77</v>
      </c>
      <c r="J1413" s="46">
        <f>IF(INPUT!Q1408="","",INPUT!Q1408)</f>
        <v>77</v>
      </c>
      <c r="K1413" s="46">
        <f>IFERROR(IF(OR(INPUT!P1408="",INPUT!Q1408=""),"",INPUT!P1408-INPUT!Q1408),"")</f>
        <v>0</v>
      </c>
      <c r="L1413" s="48">
        <f>IFERROR(IF(OR(INPUT!P1408="",INPUT!Q1408="",INPUT!P1408=0),"",(INPUT!P1408-INPUT!Q1408)/INPUT!P1408),"")</f>
        <v>0</v>
      </c>
    </row>
    <row r="1414" spans="1:12" ht="18" hidden="1" customHeight="1" x14ac:dyDescent="0.2">
      <c r="A1414" s="11">
        <f>IF(INPUT!M1409="","",INPUT!M1409)</f>
        <v>45999</v>
      </c>
      <c r="B1414" s="11">
        <f>IF(INPUT!M1409="","",INPUT!M1409-WEEKDAY(INPUT!M1409,2)+1)</f>
        <v>45999</v>
      </c>
      <c r="C1414" s="20">
        <f>IFERROR(_xlfn.ISOWEEKNUM(INPUT!M1409),"")</f>
        <v>50</v>
      </c>
      <c r="D1414" s="20">
        <f>IFERROR(YEAR(INPUT!M1409),"")</f>
        <v>2025</v>
      </c>
      <c r="E1414" t="str">
        <f>IF(INPUT!O1409="","",INPUT!O1409)</f>
        <v>GARCIA</v>
      </c>
      <c r="F1414" t="str">
        <f>IF(INPUT!N1409="","",INPUT!N1409)</f>
        <v>M</v>
      </c>
      <c r="G1414" t="str" cm="1">
        <f t="array" ref="G1414">IFERROR(VLOOKUP(INPUT!M1409&amp;INPUT!N1409,CHOOSE({1,2},INPUT!$A$3:$A$5000&amp;INPUT!$C$3:$C$5000,INPUT!$F$3:$F$5000),2,FALSE),"")</f>
        <v>PRE-TEMPORADA</v>
      </c>
      <c r="H1414" t="str" cm="1">
        <f t="array" ref="H1414">IFERROR(VLOOKUP(INPUT!M1409&amp;INPUT!N1409,CHOOSE({1,2},INPUT!$A$3:$A$5000&amp;INPUT!$C$3:$C$5000,INPUT!$D$3:$D$5000),2,FALSE),"")</f>
        <v>TEC-TAC</v>
      </c>
      <c r="I1414" s="46">
        <f>IF(INPUT!P1409="","",INPUT!P1409)</f>
        <v>79</v>
      </c>
      <c r="J1414" s="46">
        <f>IF(INPUT!Q1409="","",INPUT!Q1409)</f>
        <v>79.3</v>
      </c>
      <c r="K1414" s="46">
        <f>IFERROR(IF(OR(INPUT!P1409="",INPUT!Q1409=""),"",INPUT!P1409-INPUT!Q1409),"")</f>
        <v>-0.29999999999999716</v>
      </c>
      <c r="L1414" s="48">
        <f>IFERROR(IF(OR(INPUT!P1409="",INPUT!Q1409="",INPUT!P1409=0),"",(INPUT!P1409-INPUT!Q1409)/INPUT!P1409),"")</f>
        <v>-3.7974683544303436E-3</v>
      </c>
    </row>
    <row r="1415" spans="1:12" ht="18" hidden="1" customHeight="1" x14ac:dyDescent="0.2">
      <c r="A1415" s="11">
        <f>IF(INPUT!M1410="","",INPUT!M1410)</f>
        <v>45999</v>
      </c>
      <c r="B1415" s="11">
        <f>IF(INPUT!M1410="","",INPUT!M1410-WEEKDAY(INPUT!M1410,2)+1)</f>
        <v>45999</v>
      </c>
      <c r="C1415" s="20">
        <f>IFERROR(_xlfn.ISOWEEKNUM(INPUT!M1410),"")</f>
        <v>50</v>
      </c>
      <c r="D1415" s="20">
        <f>IFERROR(YEAR(INPUT!M1410),"")</f>
        <v>2025</v>
      </c>
      <c r="E1415" t="str">
        <f>IF(INPUT!O1410="","",INPUT!O1410)</f>
        <v>CECILIO</v>
      </c>
      <c r="F1415" t="str">
        <f>IF(INPUT!N1410="","",INPUT!N1410)</f>
        <v>M</v>
      </c>
      <c r="G1415" t="str" cm="1">
        <f t="array" ref="G1415">IFERROR(VLOOKUP(INPUT!M1410&amp;INPUT!N1410,CHOOSE({1,2},INPUT!$A$3:$A$5000&amp;INPUT!$C$3:$C$5000,INPUT!$F$3:$F$5000),2,FALSE),"")</f>
        <v>PRE-TEMPORADA</v>
      </c>
      <c r="H1415" t="str" cm="1">
        <f t="array" ref="H1415">IFERROR(VLOOKUP(INPUT!M1410&amp;INPUT!N1410,CHOOSE({1,2},INPUT!$A$3:$A$5000&amp;INPUT!$C$3:$C$5000,INPUT!$D$3:$D$5000),2,FALSE),"")</f>
        <v>TEC-TAC</v>
      </c>
      <c r="I1415" s="46">
        <f>IF(INPUT!P1410="","",INPUT!P1410)</f>
        <v>67.8</v>
      </c>
      <c r="J1415" s="46">
        <f>IF(INPUT!Q1410="","",INPUT!Q1410)</f>
        <v>67.7</v>
      </c>
      <c r="K1415" s="46">
        <f>IFERROR(IF(OR(INPUT!P1410="",INPUT!Q1410=""),"",INPUT!P1410-INPUT!Q1410),"")</f>
        <v>9.9999999999994316E-2</v>
      </c>
      <c r="L1415" s="48">
        <f>IFERROR(IF(OR(INPUT!P1410="",INPUT!Q1410="",INPUT!P1410=0),"",(INPUT!P1410-INPUT!Q1410)/INPUT!P1410),"")</f>
        <v>1.4749262536872319E-3</v>
      </c>
    </row>
    <row r="1416" spans="1:12" ht="18" hidden="1" customHeight="1" x14ac:dyDescent="0.2">
      <c r="A1416" s="11">
        <f>IF(INPUT!M1411="","",INPUT!M1411)</f>
        <v>45999</v>
      </c>
      <c r="B1416" s="11">
        <f>IF(INPUT!M1411="","",INPUT!M1411-WEEKDAY(INPUT!M1411,2)+1)</f>
        <v>45999</v>
      </c>
      <c r="C1416" s="20">
        <f>IFERROR(_xlfn.ISOWEEKNUM(INPUT!M1411),"")</f>
        <v>50</v>
      </c>
      <c r="D1416" s="20">
        <f>IFERROR(YEAR(INPUT!M1411),"")</f>
        <v>2025</v>
      </c>
      <c r="E1416" t="str">
        <f>IF(INPUT!O1411="","",INPUT!O1411)</f>
        <v>CHAGUINHA</v>
      </c>
      <c r="F1416" t="str">
        <f>IF(INPUT!N1411="","",INPUT!N1411)</f>
        <v>M</v>
      </c>
      <c r="G1416" t="str" cm="1">
        <f t="array" ref="G1416">IFERROR(VLOOKUP(INPUT!M1411&amp;INPUT!N1411,CHOOSE({1,2},INPUT!$A$3:$A$5000&amp;INPUT!$C$3:$C$5000,INPUT!$F$3:$F$5000),2,FALSE),"")</f>
        <v>PRE-TEMPORADA</v>
      </c>
      <c r="H1416" t="str" cm="1">
        <f t="array" ref="H1416">IFERROR(VLOOKUP(INPUT!M1411&amp;INPUT!N1411,CHOOSE({1,2},INPUT!$A$3:$A$5000&amp;INPUT!$C$3:$C$5000,INPUT!$D$3:$D$5000),2,FALSE),"")</f>
        <v>TEC-TAC</v>
      </c>
      <c r="I1416" s="46">
        <f>IF(INPUT!P1411="","",INPUT!P1411)</f>
        <v>69</v>
      </c>
      <c r="J1416" s="46">
        <f>IF(INPUT!Q1411="","",INPUT!Q1411)</f>
        <v>69</v>
      </c>
      <c r="K1416" s="46">
        <f>IFERROR(IF(OR(INPUT!P1411="",INPUT!Q1411=""),"",INPUT!P1411-INPUT!Q1411),"")</f>
        <v>0</v>
      </c>
      <c r="L1416" s="48">
        <f>IFERROR(IF(OR(INPUT!P1411="",INPUT!Q1411="",INPUT!P1411=0),"",(INPUT!P1411-INPUT!Q1411)/INPUT!P1411),"")</f>
        <v>0</v>
      </c>
    </row>
    <row r="1417" spans="1:12" ht="18" hidden="1" customHeight="1" x14ac:dyDescent="0.2">
      <c r="A1417" s="11">
        <f>IF(INPUT!M1412="","",INPUT!M1412)</f>
        <v>45999</v>
      </c>
      <c r="B1417" s="11">
        <f>IF(INPUT!M1412="","",INPUT!M1412-WEEKDAY(INPUT!M1412,2)+1)</f>
        <v>45999</v>
      </c>
      <c r="C1417" s="20">
        <f>IFERROR(_xlfn.ISOWEEKNUM(INPUT!M1412),"")</f>
        <v>50</v>
      </c>
      <c r="D1417" s="20">
        <f>IFERROR(YEAR(INPUT!M1412),"")</f>
        <v>2025</v>
      </c>
      <c r="E1417" t="str">
        <f>IF(INPUT!O1412="","",INPUT!O1412)</f>
        <v>RAUL</v>
      </c>
      <c r="F1417" t="str">
        <f>IF(INPUT!N1412="","",INPUT!N1412)</f>
        <v>M</v>
      </c>
      <c r="G1417" t="str" cm="1">
        <f t="array" ref="G1417">IFERROR(VLOOKUP(INPUT!M1412&amp;INPUT!N1412,CHOOSE({1,2},INPUT!$A$3:$A$5000&amp;INPUT!$C$3:$C$5000,INPUT!$F$3:$F$5000),2,FALSE),"")</f>
        <v>PRE-TEMPORADA</v>
      </c>
      <c r="H1417" t="str" cm="1">
        <f t="array" ref="H1417">IFERROR(VLOOKUP(INPUT!M1412&amp;INPUT!N1412,CHOOSE({1,2},INPUT!$A$3:$A$5000&amp;INPUT!$C$3:$C$5000,INPUT!$D$3:$D$5000),2,FALSE),"")</f>
        <v>TEC-TAC</v>
      </c>
      <c r="I1417" s="46">
        <f>IF(INPUT!P1412="","",INPUT!P1412)</f>
        <v>80.5</v>
      </c>
      <c r="J1417" s="46">
        <f>IF(INPUT!Q1412="","",INPUT!Q1412)</f>
        <v>81.5</v>
      </c>
      <c r="K1417" s="46">
        <f>IFERROR(IF(OR(INPUT!P1412="",INPUT!Q1412=""),"",INPUT!P1412-INPUT!Q1412),"")</f>
        <v>-1</v>
      </c>
      <c r="L1417" s="48">
        <f>IFERROR(IF(OR(INPUT!P1412="",INPUT!Q1412="",INPUT!P1412=0),"",(INPUT!P1412-INPUT!Q1412)/INPUT!P1412),"")</f>
        <v>-1.2422360248447204E-2</v>
      </c>
    </row>
    <row r="1418" spans="1:12" ht="18" hidden="1" customHeight="1" x14ac:dyDescent="0.2">
      <c r="A1418" s="11">
        <f>IF(INPUT!M1413="","",INPUT!M1413)</f>
        <v>45999</v>
      </c>
      <c r="B1418" s="11">
        <f>IF(INPUT!M1413="","",INPUT!M1413-WEEKDAY(INPUT!M1413,2)+1)</f>
        <v>45999</v>
      </c>
      <c r="C1418" s="20">
        <f>IFERROR(_xlfn.ISOWEEKNUM(INPUT!M1413),"")</f>
        <v>50</v>
      </c>
      <c r="D1418" s="20">
        <f>IFERROR(YEAR(INPUT!M1413),"")</f>
        <v>2025</v>
      </c>
      <c r="E1418" t="str">
        <f>IF(INPUT!O1413="","",INPUT!O1413)</f>
        <v>HARRISON</v>
      </c>
      <c r="F1418" t="str">
        <f>IF(INPUT!N1413="","",INPUT!N1413)</f>
        <v>M</v>
      </c>
      <c r="G1418" t="str" cm="1">
        <f t="array" ref="G1418">IFERROR(VLOOKUP(INPUT!M1413&amp;INPUT!N1413,CHOOSE({1,2},INPUT!$A$3:$A$5000&amp;INPUT!$C$3:$C$5000,INPUT!$F$3:$F$5000),2,FALSE),"")</f>
        <v>PRE-TEMPORADA</v>
      </c>
      <c r="H1418" t="str" cm="1">
        <f t="array" ref="H1418">IFERROR(VLOOKUP(INPUT!M1413&amp;INPUT!N1413,CHOOSE({1,2},INPUT!$A$3:$A$5000&amp;INPUT!$C$3:$C$5000,INPUT!$D$3:$D$5000),2,FALSE),"")</f>
        <v>TEC-TAC</v>
      </c>
      <c r="I1418" s="46">
        <f>IF(INPUT!P1413="","",INPUT!P1413)</f>
        <v>71.3</v>
      </c>
      <c r="J1418" s="46">
        <f>IF(INPUT!Q1413="","",INPUT!Q1413)</f>
        <v>71.5</v>
      </c>
      <c r="K1418" s="46">
        <f>IFERROR(IF(OR(INPUT!P1413="",INPUT!Q1413=""),"",INPUT!P1413-INPUT!Q1413),"")</f>
        <v>-0.20000000000000284</v>
      </c>
      <c r="L1418" s="48">
        <f>IFERROR(IF(OR(INPUT!P1413="",INPUT!Q1413="",INPUT!P1413=0),"",(INPUT!P1413-INPUT!Q1413)/INPUT!P1413),"")</f>
        <v>-2.8050490883590861E-3</v>
      </c>
    </row>
    <row r="1419" spans="1:12" ht="18" hidden="1" customHeight="1" x14ac:dyDescent="0.2">
      <c r="A1419" s="11">
        <f>IF(INPUT!M1414="","",INPUT!M1414)</f>
        <v>45999</v>
      </c>
      <c r="B1419" s="11">
        <f>IF(INPUT!M1414="","",INPUT!M1414-WEEKDAY(INPUT!M1414,2)+1)</f>
        <v>45999</v>
      </c>
      <c r="C1419" s="20">
        <f>IFERROR(_xlfn.ISOWEEKNUM(INPUT!M1414),"")</f>
        <v>50</v>
      </c>
      <c r="D1419" s="20">
        <f>IFERROR(YEAR(INPUT!M1414),"")</f>
        <v>2025</v>
      </c>
      <c r="E1419" t="str">
        <f>IF(INPUT!O1414="","",INPUT!O1414)</f>
        <v>RAYA</v>
      </c>
      <c r="F1419" t="str">
        <f>IF(INPUT!N1414="","",INPUT!N1414)</f>
        <v>M</v>
      </c>
      <c r="G1419" t="str" cm="1">
        <f t="array" ref="G1419">IFERROR(VLOOKUP(INPUT!M1414&amp;INPUT!N1414,CHOOSE({1,2},INPUT!$A$3:$A$5000&amp;INPUT!$C$3:$C$5000,INPUT!$F$3:$F$5000),2,FALSE),"")</f>
        <v>PRE-TEMPORADA</v>
      </c>
      <c r="H1419" t="str" cm="1">
        <f t="array" ref="H1419">IFERROR(VLOOKUP(INPUT!M1414&amp;INPUT!N1414,CHOOSE({1,2},INPUT!$A$3:$A$5000&amp;INPUT!$C$3:$C$5000,INPUT!$D$3:$D$5000),2,FALSE),"")</f>
        <v>TEC-TAC</v>
      </c>
      <c r="I1419" s="46">
        <f>IF(INPUT!P1414="","",INPUT!P1414)</f>
        <v>82.2</v>
      </c>
      <c r="J1419" s="46">
        <f>IF(INPUT!Q1414="","",INPUT!Q1414)</f>
        <v>80.599999999999994</v>
      </c>
      <c r="K1419" s="46">
        <f>IFERROR(IF(OR(INPUT!P1414="",INPUT!Q1414=""),"",INPUT!P1414-INPUT!Q1414),"")</f>
        <v>1.6000000000000085</v>
      </c>
      <c r="L1419" s="48">
        <f>IFERROR(IF(OR(INPUT!P1414="",INPUT!Q1414="",INPUT!P1414=0),"",(INPUT!P1414-INPUT!Q1414)/INPUT!P1414),"")</f>
        <v>1.9464720194647307E-2</v>
      </c>
    </row>
    <row r="1420" spans="1:12" ht="18" hidden="1" customHeight="1" x14ac:dyDescent="0.2">
      <c r="A1420" s="11">
        <f>IF(INPUT!M1415="","",INPUT!M1415)</f>
        <v>45999</v>
      </c>
      <c r="B1420" s="11">
        <f>IF(INPUT!M1415="","",INPUT!M1415-WEEKDAY(INPUT!M1415,2)+1)</f>
        <v>45999</v>
      </c>
      <c r="C1420" s="20">
        <f>IFERROR(_xlfn.ISOWEEKNUM(INPUT!M1415),"")</f>
        <v>50</v>
      </c>
      <c r="D1420" s="20">
        <f>IFERROR(YEAR(INPUT!M1415),"")</f>
        <v>2025</v>
      </c>
      <c r="E1420" t="str">
        <f>IF(INPUT!O1415="","",INPUT!O1415)</f>
        <v>JAVI</v>
      </c>
      <c r="F1420" t="str">
        <f>IF(INPUT!N1415="","",INPUT!N1415)</f>
        <v>M</v>
      </c>
      <c r="G1420" t="str" cm="1">
        <f t="array" ref="G1420">IFERROR(VLOOKUP(INPUT!M1415&amp;INPUT!N1415,CHOOSE({1,2},INPUT!$A$3:$A$5000&amp;INPUT!$C$3:$C$5000,INPUT!$F$3:$F$5000),2,FALSE),"")</f>
        <v>PRE-TEMPORADA</v>
      </c>
      <c r="H1420" t="str" cm="1">
        <f t="array" ref="H1420">IFERROR(VLOOKUP(INPUT!M1415&amp;INPUT!N1415,CHOOSE({1,2},INPUT!$A$3:$A$5000&amp;INPUT!$C$3:$C$5000,INPUT!$D$3:$D$5000),2,FALSE),"")</f>
        <v>TEC-TAC</v>
      </c>
      <c r="I1420" s="46">
        <f>IF(INPUT!P1415="","",INPUT!P1415)</f>
        <v>77.7</v>
      </c>
      <c r="J1420" s="46">
        <f>IF(INPUT!Q1415="","",INPUT!Q1415)</f>
        <v>77.7</v>
      </c>
      <c r="K1420" s="46">
        <f>IFERROR(IF(OR(INPUT!P1415="",INPUT!Q1415=""),"",INPUT!P1415-INPUT!Q1415),"")</f>
        <v>0</v>
      </c>
      <c r="L1420" s="48">
        <f>IFERROR(IF(OR(INPUT!P1415="",INPUT!Q1415="",INPUT!P1415=0),"",(INPUT!P1415-INPUT!Q1415)/INPUT!P1415),"")</f>
        <v>0</v>
      </c>
    </row>
    <row r="1421" spans="1:12" ht="18" hidden="1" customHeight="1" x14ac:dyDescent="0.2">
      <c r="A1421" s="11">
        <f>IF(INPUT!M1416="","",INPUT!M1416)</f>
        <v>45999</v>
      </c>
      <c r="B1421" s="11">
        <f>IF(INPUT!M1416="","",INPUT!M1416-WEEKDAY(INPUT!M1416,2)+1)</f>
        <v>45999</v>
      </c>
      <c r="C1421" s="20">
        <f>IFERROR(_xlfn.ISOWEEKNUM(INPUT!M1416),"")</f>
        <v>50</v>
      </c>
      <c r="D1421" s="20">
        <f>IFERROR(YEAR(INPUT!M1416),"")</f>
        <v>2025</v>
      </c>
      <c r="E1421" t="str">
        <f>IF(INPUT!O1416="","",INPUT!O1416)</f>
        <v>PANI</v>
      </c>
      <c r="F1421" t="str">
        <f>IF(INPUT!N1416="","",INPUT!N1416)</f>
        <v>M</v>
      </c>
      <c r="G1421" t="str" cm="1">
        <f t="array" ref="G1421">IFERROR(VLOOKUP(INPUT!M1416&amp;INPUT!N1416,CHOOSE({1,2},INPUT!$A$3:$A$5000&amp;INPUT!$C$3:$C$5000,INPUT!$F$3:$F$5000),2,FALSE),"")</f>
        <v>PRE-TEMPORADA</v>
      </c>
      <c r="H1421" t="str" cm="1">
        <f t="array" ref="H1421">IFERROR(VLOOKUP(INPUT!M1416&amp;INPUT!N1416,CHOOSE({1,2},INPUT!$A$3:$A$5000&amp;INPUT!$C$3:$C$5000,INPUT!$D$3:$D$5000),2,FALSE),"")</f>
        <v>TEC-TAC</v>
      </c>
      <c r="I1421" s="46">
        <f>IF(INPUT!P1416="","",INPUT!P1416)</f>
        <v>67.8</v>
      </c>
      <c r="J1421" s="46">
        <f>IF(INPUT!Q1416="","",INPUT!Q1416)</f>
        <v>67.7</v>
      </c>
      <c r="K1421" s="46">
        <f>IFERROR(IF(OR(INPUT!P1416="",INPUT!Q1416=""),"",INPUT!P1416-INPUT!Q1416),"")</f>
        <v>9.9999999999994316E-2</v>
      </c>
      <c r="L1421" s="48">
        <f>IFERROR(IF(OR(INPUT!P1416="",INPUT!Q1416="",INPUT!P1416=0),"",(INPUT!P1416-INPUT!Q1416)/INPUT!P1416),"")</f>
        <v>1.4749262536872319E-3</v>
      </c>
    </row>
    <row r="1422" spans="1:12" ht="18" hidden="1" customHeight="1" x14ac:dyDescent="0.2">
      <c r="A1422" s="11">
        <f>IF(INPUT!M1417="","",INPUT!M1417)</f>
        <v>45999</v>
      </c>
      <c r="B1422" s="11">
        <f>IF(INPUT!M1417="","",INPUT!M1417-WEEKDAY(INPUT!M1417,2)+1)</f>
        <v>45999</v>
      </c>
      <c r="C1422" s="20">
        <f>IFERROR(_xlfn.ISOWEEKNUM(INPUT!M1417),"")</f>
        <v>50</v>
      </c>
      <c r="D1422" s="20">
        <f>IFERROR(YEAR(INPUT!M1417),"")</f>
        <v>2025</v>
      </c>
      <c r="E1422" t="str">
        <f>IF(INPUT!O1417="","",INPUT!O1417)</f>
        <v>PIRATA</v>
      </c>
      <c r="F1422" t="str">
        <f>IF(INPUT!N1417="","",INPUT!N1417)</f>
        <v>M</v>
      </c>
      <c r="G1422" t="str" cm="1">
        <f t="array" ref="G1422">IFERROR(VLOOKUP(INPUT!M1417&amp;INPUT!N1417,CHOOSE({1,2},INPUT!$A$3:$A$5000&amp;INPUT!$C$3:$C$5000,INPUT!$F$3:$F$5000),2,FALSE),"")</f>
        <v>PRE-TEMPORADA</v>
      </c>
      <c r="H1422" t="str" cm="1">
        <f t="array" ref="H1422">IFERROR(VLOOKUP(INPUT!M1417&amp;INPUT!N1417,CHOOSE({1,2},INPUT!$A$3:$A$5000&amp;INPUT!$C$3:$C$5000,INPUT!$D$3:$D$5000),2,FALSE),"")</f>
        <v>TEC-TAC</v>
      </c>
      <c r="I1422" s="46">
        <f>IF(INPUT!P1417="","",INPUT!P1417)</f>
        <v>75.599999999999994</v>
      </c>
      <c r="J1422" s="46">
        <f>IF(INPUT!Q1417="","",INPUT!Q1417)</f>
        <v>75.7</v>
      </c>
      <c r="K1422" s="46">
        <f>IFERROR(IF(OR(INPUT!P1417="",INPUT!Q1417=""),"",INPUT!P1417-INPUT!Q1417),"")</f>
        <v>-0.10000000000000853</v>
      </c>
      <c r="L1422" s="48">
        <f>IFERROR(IF(OR(INPUT!P1417="",INPUT!Q1417="",INPUT!P1417=0),"",(INPUT!P1417-INPUT!Q1417)/INPUT!P1417),"")</f>
        <v>-1.3227513227514357E-3</v>
      </c>
    </row>
    <row r="1423" spans="1:12" ht="18" hidden="1" customHeight="1" x14ac:dyDescent="0.2">
      <c r="A1423" s="11">
        <f>IF(INPUT!M1418="","",INPUT!M1418)</f>
        <v>45999</v>
      </c>
      <c r="B1423" s="11">
        <f>IF(INPUT!M1418="","",INPUT!M1418-WEEKDAY(INPUT!M1418,2)+1)</f>
        <v>45999</v>
      </c>
      <c r="C1423" s="20">
        <f>IFERROR(_xlfn.ISOWEEKNUM(INPUT!M1418),"")</f>
        <v>50</v>
      </c>
      <c r="D1423" s="20">
        <f>IFERROR(YEAR(INPUT!M1418),"")</f>
        <v>2025</v>
      </c>
      <c r="E1423" t="str">
        <f>IF(INPUT!O1418="","",INPUT!O1418)</f>
        <v>BARONA</v>
      </c>
      <c r="F1423" t="str">
        <f>IF(INPUT!N1418="","",INPUT!N1418)</f>
        <v>M</v>
      </c>
      <c r="G1423" t="str" cm="1">
        <f t="array" ref="G1423">IFERROR(VLOOKUP(INPUT!M1418&amp;INPUT!N1418,CHOOSE({1,2},INPUT!$A$3:$A$5000&amp;INPUT!$C$3:$C$5000,INPUT!$F$3:$F$5000),2,FALSE),"")</f>
        <v>PRE-TEMPORADA</v>
      </c>
      <c r="H1423" t="str" cm="1">
        <f t="array" ref="H1423">IFERROR(VLOOKUP(INPUT!M1418&amp;INPUT!N1418,CHOOSE({1,2},INPUT!$A$3:$A$5000&amp;INPUT!$C$3:$C$5000,INPUT!$D$3:$D$5000),2,FALSE),"")</f>
        <v>TEC-TAC</v>
      </c>
      <c r="I1423" s="46">
        <f>IF(INPUT!P1418="","",INPUT!P1418)</f>
        <v>71.8</v>
      </c>
      <c r="J1423" s="46">
        <f>IF(INPUT!Q1418="","",INPUT!Q1418)</f>
        <v>70.8</v>
      </c>
      <c r="K1423" s="46">
        <f>IFERROR(IF(OR(INPUT!P1418="",INPUT!Q1418=""),"",INPUT!P1418-INPUT!Q1418),"")</f>
        <v>1</v>
      </c>
      <c r="L1423" s="48">
        <f>IFERROR(IF(OR(INPUT!P1418="",INPUT!Q1418="",INPUT!P1418=0),"",(INPUT!P1418-INPUT!Q1418)/INPUT!P1418),"")</f>
        <v>1.3927576601671311E-2</v>
      </c>
    </row>
    <row r="1424" spans="1:12" ht="18" hidden="1" customHeight="1" x14ac:dyDescent="0.2">
      <c r="A1424" s="11">
        <f>IF(INPUT!M1419="","",INPUT!M1419)</f>
        <v>45999</v>
      </c>
      <c r="B1424" s="11">
        <f>IF(INPUT!M1419="","",INPUT!M1419-WEEKDAY(INPUT!M1419,2)+1)</f>
        <v>45999</v>
      </c>
      <c r="C1424" s="20">
        <f>IFERROR(_xlfn.ISOWEEKNUM(INPUT!M1419),"")</f>
        <v>50</v>
      </c>
      <c r="D1424" s="20">
        <f>IFERROR(YEAR(INPUT!M1419),"")</f>
        <v>2025</v>
      </c>
      <c r="E1424" t="str">
        <f>IF(INPUT!O1419="","",INPUT!O1419)</f>
        <v>CARLOS</v>
      </c>
      <c r="F1424" t="str">
        <f>IF(INPUT!N1419="","",INPUT!N1419)</f>
        <v>M</v>
      </c>
      <c r="G1424" t="str" cm="1">
        <f t="array" ref="G1424">IFERROR(VLOOKUP(INPUT!M1419&amp;INPUT!N1419,CHOOSE({1,2},INPUT!$A$3:$A$5000&amp;INPUT!$C$3:$C$5000,INPUT!$F$3:$F$5000),2,FALSE),"")</f>
        <v>PRE-TEMPORADA</v>
      </c>
      <c r="H1424" t="str" cm="1">
        <f t="array" ref="H1424">IFERROR(VLOOKUP(INPUT!M1419&amp;INPUT!N1419,CHOOSE({1,2},INPUT!$A$3:$A$5000&amp;INPUT!$C$3:$C$5000,INPUT!$D$3:$D$5000),2,FALSE),"")</f>
        <v>TEC-TAC</v>
      </c>
      <c r="I1424" s="46">
        <f>IF(INPUT!P1419="","",INPUT!P1419)</f>
        <v>68.7</v>
      </c>
      <c r="J1424" s="46">
        <f>IF(INPUT!Q1419="","",INPUT!Q1419)</f>
        <v>68</v>
      </c>
      <c r="K1424" s="46">
        <f>IFERROR(IF(OR(INPUT!P1419="",INPUT!Q1419=""),"",INPUT!P1419-INPUT!Q1419),"")</f>
        <v>0.70000000000000284</v>
      </c>
      <c r="L1424" s="48">
        <f>IFERROR(IF(OR(INPUT!P1419="",INPUT!Q1419="",INPUT!P1419=0),"",(INPUT!P1419-INPUT!Q1419)/INPUT!P1419),"")</f>
        <v>1.0189228529839925E-2</v>
      </c>
    </row>
    <row r="1425" spans="1:12" ht="18" hidden="1" customHeight="1" x14ac:dyDescent="0.2">
      <c r="A1425" s="11">
        <f>IF(INPUT!M1420="","",INPUT!M1420)</f>
        <v>45999</v>
      </c>
      <c r="B1425" s="11">
        <f>IF(INPUT!M1420="","",INPUT!M1420-WEEKDAY(INPUT!M1420,2)+1)</f>
        <v>45999</v>
      </c>
      <c r="C1425" s="20">
        <f>IFERROR(_xlfn.ISOWEEKNUM(INPUT!M1420),"")</f>
        <v>50</v>
      </c>
      <c r="D1425" s="20">
        <f>IFERROR(YEAR(INPUT!M1420),"")</f>
        <v>2025</v>
      </c>
      <c r="E1425" t="str">
        <f>IF(INPUT!O1420="","",INPUT!O1420)</f>
        <v>RUBIO</v>
      </c>
      <c r="F1425" t="str">
        <f>IF(INPUT!N1420="","",INPUT!N1420)</f>
        <v>M</v>
      </c>
      <c r="G1425" t="str" cm="1">
        <f t="array" ref="G1425">IFERROR(VLOOKUP(INPUT!M1420&amp;INPUT!N1420,CHOOSE({1,2},INPUT!$A$3:$A$5000&amp;INPUT!$C$3:$C$5000,INPUT!$F$3:$F$5000),2,FALSE),"")</f>
        <v>PRE-TEMPORADA</v>
      </c>
      <c r="H1425" t="str" cm="1">
        <f t="array" ref="H1425">IFERROR(VLOOKUP(INPUT!M1420&amp;INPUT!N1420,CHOOSE({1,2},INPUT!$A$3:$A$5000&amp;INPUT!$C$3:$C$5000,INPUT!$D$3:$D$5000),2,FALSE),"")</f>
        <v>TEC-TAC</v>
      </c>
      <c r="I1425" s="46">
        <f>IF(INPUT!P1420="","",INPUT!P1420)</f>
        <v>75.2</v>
      </c>
      <c r="J1425" s="46">
        <f>IF(INPUT!Q1420="","",INPUT!Q1420)</f>
        <v>75.2</v>
      </c>
      <c r="K1425" s="46">
        <f>IFERROR(IF(OR(INPUT!P1420="",INPUT!Q1420=""),"",INPUT!P1420-INPUT!Q1420),"")</f>
        <v>0</v>
      </c>
      <c r="L1425" s="48">
        <f>IFERROR(IF(OR(INPUT!P1420="",INPUT!Q1420="",INPUT!P1420=0),"",(INPUT!P1420-INPUT!Q1420)/INPUT!P1420),"")</f>
        <v>0</v>
      </c>
    </row>
    <row r="1426" spans="1:12" ht="18" hidden="1" customHeight="1" x14ac:dyDescent="0.2">
      <c r="A1426" s="11">
        <f>IF(INPUT!M1421="","",INPUT!M1421)</f>
        <v>45999</v>
      </c>
      <c r="B1426" s="11">
        <f>IF(INPUT!M1421="","",INPUT!M1421-WEEKDAY(INPUT!M1421,2)+1)</f>
        <v>45999</v>
      </c>
      <c r="C1426" s="20">
        <f>IFERROR(_xlfn.ISOWEEKNUM(INPUT!M1421),"")</f>
        <v>50</v>
      </c>
      <c r="D1426" s="20">
        <f>IFERROR(YEAR(INPUT!M1421),"")</f>
        <v>2025</v>
      </c>
      <c r="E1426" t="str">
        <f>IF(INPUT!O1421="","",INPUT!O1421)</f>
        <v>DANI</v>
      </c>
      <c r="F1426" t="str">
        <f>IF(INPUT!N1421="","",INPUT!N1421)</f>
        <v>M</v>
      </c>
      <c r="G1426" t="str" cm="1">
        <f t="array" ref="G1426">IFERROR(VLOOKUP(INPUT!M1421&amp;INPUT!N1421,CHOOSE({1,2},INPUT!$A$3:$A$5000&amp;INPUT!$C$3:$C$5000,INPUT!$F$3:$F$5000),2,FALSE),"")</f>
        <v>PRE-TEMPORADA</v>
      </c>
      <c r="H1426" t="str" cm="1">
        <f t="array" ref="H1426">IFERROR(VLOOKUP(INPUT!M1421&amp;INPUT!N1421,CHOOSE({1,2},INPUT!$A$3:$A$5000&amp;INPUT!$C$3:$C$5000,INPUT!$D$3:$D$5000),2,FALSE),"")</f>
        <v>TEC-TAC</v>
      </c>
      <c r="I1426" s="46">
        <f>IF(INPUT!P1421="","",INPUT!P1421)</f>
        <v>93.5</v>
      </c>
      <c r="J1426" s="46">
        <f>IF(INPUT!Q1421="","",INPUT!Q1421)</f>
        <v>93.3</v>
      </c>
      <c r="K1426" s="46">
        <f>IFERROR(IF(OR(INPUT!P1421="",INPUT!Q1421=""),"",INPUT!P1421-INPUT!Q1421),"")</f>
        <v>0.20000000000000284</v>
      </c>
      <c r="L1426" s="48">
        <f>IFERROR(IF(OR(INPUT!P1421="",INPUT!Q1421="",INPUT!P1421=0),"",(INPUT!P1421-INPUT!Q1421)/INPUT!P1421),"")</f>
        <v>2.1390374331551106E-3</v>
      </c>
    </row>
    <row r="1427" spans="1:12" ht="18" hidden="1" customHeight="1" x14ac:dyDescent="0.2">
      <c r="A1427" s="11">
        <f>IF(INPUT!M1422="","",INPUT!M1422)</f>
        <v>45999</v>
      </c>
      <c r="B1427" s="11">
        <f>IF(INPUT!M1422="","",INPUT!M1422-WEEKDAY(INPUT!M1422,2)+1)</f>
        <v>45999</v>
      </c>
      <c r="C1427" s="20">
        <f>IFERROR(_xlfn.ISOWEEKNUM(INPUT!M1422),"")</f>
        <v>50</v>
      </c>
      <c r="D1427" s="20">
        <f>IFERROR(YEAR(INPUT!M1422),"")</f>
        <v>2025</v>
      </c>
      <c r="E1427" t="str">
        <f>IF(INPUT!O1422="","",INPUT!O1422)</f>
        <v>JAIME</v>
      </c>
      <c r="F1427" t="str">
        <f>IF(INPUT!N1422="","",INPUT!N1422)</f>
        <v>M</v>
      </c>
      <c r="G1427" t="str" cm="1">
        <f t="array" ref="G1427">IFERROR(VLOOKUP(INPUT!M1422&amp;INPUT!N1422,CHOOSE({1,2},INPUT!$A$3:$A$5000&amp;INPUT!$C$3:$C$5000,INPUT!$F$3:$F$5000),2,FALSE),"")</f>
        <v>PRE-TEMPORADA</v>
      </c>
      <c r="H1427" t="str" cm="1">
        <f t="array" ref="H1427">IFERROR(VLOOKUP(INPUT!M1422&amp;INPUT!N1422,CHOOSE({1,2},INPUT!$A$3:$A$5000&amp;INPUT!$C$3:$C$5000,INPUT!$D$3:$D$5000),2,FALSE),"")</f>
        <v>TEC-TAC</v>
      </c>
      <c r="I1427" s="46">
        <f>IF(INPUT!P1422="","",INPUT!P1422)</f>
        <v>75.400000000000006</v>
      </c>
      <c r="J1427" s="46">
        <f>IF(INPUT!Q1422="","",INPUT!Q1422)</f>
        <v>75.599999999999994</v>
      </c>
      <c r="K1427" s="46">
        <f>IFERROR(IF(OR(INPUT!P1422="",INPUT!Q1422=""),"",INPUT!P1422-INPUT!Q1422),"")</f>
        <v>-0.19999999999998863</v>
      </c>
      <c r="L1427" s="48">
        <f>IFERROR(IF(OR(INPUT!P1422="",INPUT!Q1422="",INPUT!P1422=0),"",(INPUT!P1422-INPUT!Q1422)/INPUT!P1422),"")</f>
        <v>-2.6525198938990532E-3</v>
      </c>
    </row>
    <row r="1428" spans="1:12" ht="18" hidden="1" customHeight="1" x14ac:dyDescent="0.2">
      <c r="A1428" s="11">
        <f>IF(INPUT!M1423="","",INPUT!M1423)</f>
        <v>46000</v>
      </c>
      <c r="B1428" s="11">
        <f>IF(INPUT!M1423="","",INPUT!M1423-WEEKDAY(INPUT!M1423,2)+1)</f>
        <v>45999</v>
      </c>
      <c r="C1428" s="20">
        <f>IFERROR(_xlfn.ISOWEEKNUM(INPUT!M1423),"")</f>
        <v>50</v>
      </c>
      <c r="D1428" s="20">
        <f>IFERROR(YEAR(INPUT!M1423),"")</f>
        <v>2025</v>
      </c>
      <c r="E1428" t="str">
        <f>IF(INPUT!O1423="","",INPUT!O1423)</f>
        <v>HERRERO</v>
      </c>
      <c r="F1428" t="str">
        <f>IF(INPUT!N1423="","",INPUT!N1423)</f>
        <v>T</v>
      </c>
      <c r="G1428" t="str" cm="1">
        <f t="array" ref="G1428">IFERROR(VLOOKUP(INPUT!M1423&amp;INPUT!N1423,CHOOSE({1,2},INPUT!$A$3:$A$5000&amp;INPUT!$C$3:$C$5000,INPUT!$F$3:$F$5000),2,FALSE),"")</f>
        <v>PRE-TEMPORADA</v>
      </c>
      <c r="H1428" t="str" cm="1">
        <f t="array" ref="H1428">IFERROR(VLOOKUP(INPUT!M1423&amp;INPUT!N1423,CHOOSE({1,2},INPUT!$A$3:$A$5000&amp;INPUT!$C$3:$C$5000,INPUT!$D$3:$D$5000),2,FALSE),"")</f>
        <v>PARTIDO</v>
      </c>
      <c r="I1428" s="46">
        <f>IF(INPUT!P1423="","",INPUT!P1423)</f>
        <v>77</v>
      </c>
      <c r="J1428" s="46">
        <f>IF(INPUT!Q1423="","",INPUT!Q1423)</f>
        <v>77</v>
      </c>
      <c r="K1428" s="46">
        <f>IFERROR(IF(OR(INPUT!P1423="",INPUT!Q1423=""),"",INPUT!P1423-INPUT!Q1423),"")</f>
        <v>0</v>
      </c>
      <c r="L1428" s="48">
        <f>IFERROR(IF(OR(INPUT!P1423="",INPUT!Q1423="",INPUT!P1423=0),"",(INPUT!P1423-INPUT!Q1423)/INPUT!P1423),"")</f>
        <v>0</v>
      </c>
    </row>
    <row r="1429" spans="1:12" ht="18" hidden="1" customHeight="1" x14ac:dyDescent="0.2">
      <c r="A1429" s="11">
        <f>IF(INPUT!M1424="","",INPUT!M1424)</f>
        <v>46000</v>
      </c>
      <c r="B1429" s="11">
        <f>IF(INPUT!M1424="","",INPUT!M1424-WEEKDAY(INPUT!M1424,2)+1)</f>
        <v>45999</v>
      </c>
      <c r="C1429" s="20">
        <f>IFERROR(_xlfn.ISOWEEKNUM(INPUT!M1424),"")</f>
        <v>50</v>
      </c>
      <c r="D1429" s="20">
        <f>IFERROR(YEAR(INPUT!M1424),"")</f>
        <v>2025</v>
      </c>
      <c r="E1429" t="str">
        <f>IF(INPUT!O1424="","",INPUT!O1424)</f>
        <v>GARCIA</v>
      </c>
      <c r="F1429" t="str">
        <f>IF(INPUT!N1424="","",INPUT!N1424)</f>
        <v>T</v>
      </c>
      <c r="G1429" t="str" cm="1">
        <f t="array" ref="G1429">IFERROR(VLOOKUP(INPUT!M1424&amp;INPUT!N1424,CHOOSE({1,2},INPUT!$A$3:$A$5000&amp;INPUT!$C$3:$C$5000,INPUT!$F$3:$F$5000),2,FALSE),"")</f>
        <v>PRE-TEMPORADA</v>
      </c>
      <c r="H1429" t="str" cm="1">
        <f t="array" ref="H1429">IFERROR(VLOOKUP(INPUT!M1424&amp;INPUT!N1424,CHOOSE({1,2},INPUT!$A$3:$A$5000&amp;INPUT!$C$3:$C$5000,INPUT!$D$3:$D$5000),2,FALSE),"")</f>
        <v>PARTIDO</v>
      </c>
      <c r="I1429" s="46">
        <f>IF(INPUT!P1424="","",INPUT!P1424)</f>
        <v>79.2</v>
      </c>
      <c r="J1429" s="46">
        <f>IF(INPUT!Q1424="","",INPUT!Q1424)</f>
        <v>79</v>
      </c>
      <c r="K1429" s="46">
        <f>IFERROR(IF(OR(INPUT!P1424="",INPUT!Q1424=""),"",INPUT!P1424-INPUT!Q1424),"")</f>
        <v>0.20000000000000284</v>
      </c>
      <c r="L1429" s="48">
        <f>IFERROR(IF(OR(INPUT!P1424="",INPUT!Q1424="",INPUT!P1424=0),"",(INPUT!P1424-INPUT!Q1424)/INPUT!P1424),"")</f>
        <v>2.525252525252561E-3</v>
      </c>
    </row>
    <row r="1430" spans="1:12" ht="18" hidden="1" customHeight="1" x14ac:dyDescent="0.2">
      <c r="A1430" s="11">
        <f>IF(INPUT!M1425="","",INPUT!M1425)</f>
        <v>46000</v>
      </c>
      <c r="B1430" s="11">
        <f>IF(INPUT!M1425="","",INPUT!M1425-WEEKDAY(INPUT!M1425,2)+1)</f>
        <v>45999</v>
      </c>
      <c r="C1430" s="20">
        <f>IFERROR(_xlfn.ISOWEEKNUM(INPUT!M1425),"")</f>
        <v>50</v>
      </c>
      <c r="D1430" s="20">
        <f>IFERROR(YEAR(INPUT!M1425),"")</f>
        <v>2025</v>
      </c>
      <c r="E1430" t="str">
        <f>IF(INPUT!O1425="","",INPUT!O1425)</f>
        <v>CECILIO</v>
      </c>
      <c r="F1430" t="str">
        <f>IF(INPUT!N1425="","",INPUT!N1425)</f>
        <v>T</v>
      </c>
      <c r="G1430" t="str" cm="1">
        <f t="array" ref="G1430">IFERROR(VLOOKUP(INPUT!M1425&amp;INPUT!N1425,CHOOSE({1,2},INPUT!$A$3:$A$5000&amp;INPUT!$C$3:$C$5000,INPUT!$F$3:$F$5000),2,FALSE),"")</f>
        <v>PRE-TEMPORADA</v>
      </c>
      <c r="H1430" t="str" cm="1">
        <f t="array" ref="H1430">IFERROR(VLOOKUP(INPUT!M1425&amp;INPUT!N1425,CHOOSE({1,2},INPUT!$A$3:$A$5000&amp;INPUT!$C$3:$C$5000,INPUT!$D$3:$D$5000),2,FALSE),"")</f>
        <v>PARTIDO</v>
      </c>
      <c r="I1430" s="46">
        <f>IF(INPUT!P1425="","",INPUT!P1425)</f>
        <v>67.8</v>
      </c>
      <c r="J1430" s="46">
        <f>IF(INPUT!Q1425="","",INPUT!Q1425)</f>
        <v>67.2</v>
      </c>
      <c r="K1430" s="46">
        <f>IFERROR(IF(OR(INPUT!P1425="",INPUT!Q1425=""),"",INPUT!P1425-INPUT!Q1425),"")</f>
        <v>0.59999999999999432</v>
      </c>
      <c r="L1430" s="48">
        <f>IFERROR(IF(OR(INPUT!P1425="",INPUT!Q1425="",INPUT!P1425=0),"",(INPUT!P1425-INPUT!Q1425)/INPUT!P1425),"")</f>
        <v>8.8495575221238104E-3</v>
      </c>
    </row>
    <row r="1431" spans="1:12" ht="18" hidden="1" customHeight="1" x14ac:dyDescent="0.2">
      <c r="A1431" s="11">
        <f>IF(INPUT!M1426="","",INPUT!M1426)</f>
        <v>46000</v>
      </c>
      <c r="B1431" s="11">
        <f>IF(INPUT!M1426="","",INPUT!M1426-WEEKDAY(INPUT!M1426,2)+1)</f>
        <v>45999</v>
      </c>
      <c r="C1431" s="20">
        <f>IFERROR(_xlfn.ISOWEEKNUM(INPUT!M1426),"")</f>
        <v>50</v>
      </c>
      <c r="D1431" s="20">
        <f>IFERROR(YEAR(INPUT!M1426),"")</f>
        <v>2025</v>
      </c>
      <c r="E1431" t="str">
        <f>IF(INPUT!O1426="","",INPUT!O1426)</f>
        <v>CHAGUINHA</v>
      </c>
      <c r="F1431" t="str">
        <f>IF(INPUT!N1426="","",INPUT!N1426)</f>
        <v>T</v>
      </c>
      <c r="G1431" t="str" cm="1">
        <f t="array" ref="G1431">IFERROR(VLOOKUP(INPUT!M1426&amp;INPUT!N1426,CHOOSE({1,2},INPUT!$A$3:$A$5000&amp;INPUT!$C$3:$C$5000,INPUT!$F$3:$F$5000),2,FALSE),"")</f>
        <v>PRE-TEMPORADA</v>
      </c>
      <c r="H1431" t="str" cm="1">
        <f t="array" ref="H1431">IFERROR(VLOOKUP(INPUT!M1426&amp;INPUT!N1426,CHOOSE({1,2},INPUT!$A$3:$A$5000&amp;INPUT!$C$3:$C$5000,INPUT!$D$3:$D$5000),2,FALSE),"")</f>
        <v>PARTIDO</v>
      </c>
      <c r="I1431" s="46">
        <f>IF(INPUT!P1426="","",INPUT!P1426)</f>
        <v>69</v>
      </c>
      <c r="J1431" s="46">
        <f>IF(INPUT!Q1426="","",INPUT!Q1426)</f>
        <v>68.5</v>
      </c>
      <c r="K1431" s="46">
        <f>IFERROR(IF(OR(INPUT!P1426="",INPUT!Q1426=""),"",INPUT!P1426-INPUT!Q1426),"")</f>
        <v>0.5</v>
      </c>
      <c r="L1431" s="48">
        <f>IFERROR(IF(OR(INPUT!P1426="",INPUT!Q1426="",INPUT!P1426=0),"",(INPUT!P1426-INPUT!Q1426)/INPUT!P1426),"")</f>
        <v>7.246376811594203E-3</v>
      </c>
    </row>
    <row r="1432" spans="1:12" ht="18" customHeight="1" x14ac:dyDescent="0.2">
      <c r="A1432" s="11">
        <f>IF(INPUT!M1427="","",INPUT!M1427)</f>
        <v>46000</v>
      </c>
      <c r="B1432" s="11">
        <f>IF(INPUT!M1427="","",INPUT!M1427-WEEKDAY(INPUT!M1427,2)+1)</f>
        <v>45999</v>
      </c>
      <c r="C1432" s="20">
        <f>IFERROR(_xlfn.ISOWEEKNUM(INPUT!M1427),"")</f>
        <v>50</v>
      </c>
      <c r="D1432" s="20">
        <f>IFERROR(YEAR(INPUT!M1427),"")</f>
        <v>2025</v>
      </c>
      <c r="E1432" t="str">
        <f>IF(INPUT!O1427="","",INPUT!O1427)</f>
        <v>RAUL</v>
      </c>
      <c r="F1432" t="str">
        <f>IF(INPUT!N1427="","",INPUT!N1427)</f>
        <v>T</v>
      </c>
      <c r="G1432" t="str" cm="1">
        <f t="array" ref="G1432">IFERROR(VLOOKUP(INPUT!M1427&amp;INPUT!N1427,CHOOSE({1,2},INPUT!$A$3:$A$5000&amp;INPUT!$C$3:$C$5000,INPUT!$F$3:$F$5000),2,FALSE),"")</f>
        <v>PRE-TEMPORADA</v>
      </c>
      <c r="H1432" t="str" cm="1">
        <f t="array" ref="H1432">IFERROR(VLOOKUP(INPUT!M1427&amp;INPUT!N1427,CHOOSE({1,2},INPUT!$A$3:$A$5000&amp;INPUT!$C$3:$C$5000,INPUT!$D$3:$D$5000),2,FALSE),"")</f>
        <v>PARTIDO</v>
      </c>
      <c r="I1432" s="46">
        <f>IF(INPUT!P1427="","",INPUT!P1427)</f>
        <v>81.2</v>
      </c>
      <c r="J1432" s="46">
        <f>IF(INPUT!Q1427="","",INPUT!Q1427)</f>
        <v>80</v>
      </c>
      <c r="K1432" s="46">
        <f>IFERROR(IF(OR(INPUT!P1427="",INPUT!Q1427=""),"",INPUT!P1427-INPUT!Q1427),"")</f>
        <v>1.2000000000000028</v>
      </c>
      <c r="L1432" s="48">
        <f>IFERROR(IF(OR(INPUT!P1427="",INPUT!Q1427="",INPUT!P1427=0),"",(INPUT!P1427-INPUT!Q1427)/INPUT!P1427),"")</f>
        <v>1.4778325123152743E-2</v>
      </c>
    </row>
    <row r="1433" spans="1:12" ht="18" customHeight="1" x14ac:dyDescent="0.2">
      <c r="A1433" s="11">
        <f>IF(INPUT!M1428="","",INPUT!M1428)</f>
        <v>46000</v>
      </c>
      <c r="B1433" s="11">
        <f>IF(INPUT!M1428="","",INPUT!M1428-WEEKDAY(INPUT!M1428,2)+1)</f>
        <v>45999</v>
      </c>
      <c r="C1433" s="20">
        <f>IFERROR(_xlfn.ISOWEEKNUM(INPUT!M1428),"")</f>
        <v>50</v>
      </c>
      <c r="D1433" s="20">
        <f>IFERROR(YEAR(INPUT!M1428),"")</f>
        <v>2025</v>
      </c>
      <c r="E1433" t="str">
        <f>IF(INPUT!O1428="","",INPUT!O1428)</f>
        <v>HARRISON</v>
      </c>
      <c r="F1433" t="str">
        <f>IF(INPUT!N1428="","",INPUT!N1428)</f>
        <v>T</v>
      </c>
      <c r="G1433" t="str" cm="1">
        <f t="array" ref="G1433">IFERROR(VLOOKUP(INPUT!M1428&amp;INPUT!N1428,CHOOSE({1,2},INPUT!$A$3:$A$5000&amp;INPUT!$C$3:$C$5000,INPUT!$F$3:$F$5000),2,FALSE),"")</f>
        <v>PRE-TEMPORADA</v>
      </c>
      <c r="H1433" t="str" cm="1">
        <f t="array" ref="H1433">IFERROR(VLOOKUP(INPUT!M1428&amp;INPUT!N1428,CHOOSE({1,2},INPUT!$A$3:$A$5000&amp;INPUT!$C$3:$C$5000,INPUT!$D$3:$D$5000),2,FALSE),"")</f>
        <v>PARTIDO</v>
      </c>
      <c r="I1433" s="46">
        <f>IF(INPUT!P1428="","",INPUT!P1428)</f>
        <v>71.5</v>
      </c>
      <c r="J1433" s="46">
        <f>IF(INPUT!Q1428="","",INPUT!Q1428)</f>
        <v>71.5</v>
      </c>
      <c r="K1433" s="46">
        <f>IFERROR(IF(OR(INPUT!P1428="",INPUT!Q1428=""),"",INPUT!P1428-INPUT!Q1428),"")</f>
        <v>0</v>
      </c>
      <c r="L1433" s="48">
        <f>IFERROR(IF(OR(INPUT!P1428="",INPUT!Q1428="",INPUT!P1428=0),"",(INPUT!P1428-INPUT!Q1428)/INPUT!P1428),"")</f>
        <v>0</v>
      </c>
    </row>
    <row r="1434" spans="1:12" ht="18" customHeight="1" x14ac:dyDescent="0.2">
      <c r="A1434" s="11">
        <f>IF(INPUT!M1429="","",INPUT!M1429)</f>
        <v>46000</v>
      </c>
      <c r="B1434" s="11">
        <f>IF(INPUT!M1429="","",INPUT!M1429-WEEKDAY(INPUT!M1429,2)+1)</f>
        <v>45999</v>
      </c>
      <c r="C1434" s="20">
        <f>IFERROR(_xlfn.ISOWEEKNUM(INPUT!M1429),"")</f>
        <v>50</v>
      </c>
      <c r="D1434" s="20">
        <f>IFERROR(YEAR(INPUT!M1429),"")</f>
        <v>2025</v>
      </c>
      <c r="E1434" t="str">
        <f>IF(INPUT!O1429="","",INPUT!O1429)</f>
        <v>RAYA</v>
      </c>
      <c r="F1434" t="str">
        <f>IF(INPUT!N1429="","",INPUT!N1429)</f>
        <v>T</v>
      </c>
      <c r="G1434" t="str" cm="1">
        <f t="array" ref="G1434">IFERROR(VLOOKUP(INPUT!M1429&amp;INPUT!N1429,CHOOSE({1,2},INPUT!$A$3:$A$5000&amp;INPUT!$C$3:$C$5000,INPUT!$F$3:$F$5000),2,FALSE),"")</f>
        <v>PRE-TEMPORADA</v>
      </c>
      <c r="H1434" t="str" cm="1">
        <f t="array" ref="H1434">IFERROR(VLOOKUP(INPUT!M1429&amp;INPUT!N1429,CHOOSE({1,2},INPUT!$A$3:$A$5000&amp;INPUT!$C$3:$C$5000,INPUT!$D$3:$D$5000),2,FALSE),"")</f>
        <v>PARTIDO</v>
      </c>
      <c r="I1434" s="46">
        <f>IF(INPUT!P1429="","",INPUT!P1429)</f>
        <v>81.900000000000006</v>
      </c>
      <c r="J1434" s="46">
        <f>IF(INPUT!Q1429="","",INPUT!Q1429)</f>
        <v>81</v>
      </c>
      <c r="K1434" s="46">
        <f>IFERROR(IF(OR(INPUT!P1429="",INPUT!Q1429=""),"",INPUT!P1429-INPUT!Q1429),"")</f>
        <v>0.90000000000000568</v>
      </c>
      <c r="L1434" s="48">
        <f>IFERROR(IF(OR(INPUT!P1429="",INPUT!Q1429="",INPUT!P1429=0),"",(INPUT!P1429-INPUT!Q1429)/INPUT!P1429),"")</f>
        <v>1.0989010989011058E-2</v>
      </c>
    </row>
    <row r="1435" spans="1:12" ht="18" customHeight="1" x14ac:dyDescent="0.2">
      <c r="A1435" s="11">
        <f>IF(INPUT!M1430="","",INPUT!M1430)</f>
        <v>46000</v>
      </c>
      <c r="B1435" s="11">
        <f>IF(INPUT!M1430="","",INPUT!M1430-WEEKDAY(INPUT!M1430,2)+1)</f>
        <v>45999</v>
      </c>
      <c r="C1435" s="20">
        <f>IFERROR(_xlfn.ISOWEEKNUM(INPUT!M1430),"")</f>
        <v>50</v>
      </c>
      <c r="D1435" s="20">
        <f>IFERROR(YEAR(INPUT!M1430),"")</f>
        <v>2025</v>
      </c>
      <c r="E1435" t="str">
        <f>IF(INPUT!O1430="","",INPUT!O1430)</f>
        <v>JAVI</v>
      </c>
      <c r="F1435" t="str">
        <f>IF(INPUT!N1430="","",INPUT!N1430)</f>
        <v>T</v>
      </c>
      <c r="G1435" t="str" cm="1">
        <f t="array" ref="G1435">IFERROR(VLOOKUP(INPUT!M1430&amp;INPUT!N1430,CHOOSE({1,2},INPUT!$A$3:$A$5000&amp;INPUT!$C$3:$C$5000,INPUT!$F$3:$F$5000),2,FALSE),"")</f>
        <v>PRE-TEMPORADA</v>
      </c>
      <c r="H1435" t="str" cm="1">
        <f t="array" ref="H1435">IFERROR(VLOOKUP(INPUT!M1430&amp;INPUT!N1430,CHOOSE({1,2},INPUT!$A$3:$A$5000&amp;INPUT!$C$3:$C$5000,INPUT!$D$3:$D$5000),2,FALSE),"")</f>
        <v>PARTIDO</v>
      </c>
      <c r="I1435" s="46">
        <f>IF(INPUT!P1430="","",INPUT!P1430)</f>
        <v>78</v>
      </c>
      <c r="J1435" s="46">
        <f>IF(INPUT!Q1430="","",INPUT!Q1430)</f>
        <v>78</v>
      </c>
      <c r="K1435" s="46">
        <f>IFERROR(IF(OR(INPUT!P1430="",INPUT!Q1430=""),"",INPUT!P1430-INPUT!Q1430),"")</f>
        <v>0</v>
      </c>
      <c r="L1435" s="48">
        <f>IFERROR(IF(OR(INPUT!P1430="",INPUT!Q1430="",INPUT!P1430=0),"",(INPUT!P1430-INPUT!Q1430)/INPUT!P1430),"")</f>
        <v>0</v>
      </c>
    </row>
    <row r="1436" spans="1:12" ht="18" hidden="1" customHeight="1" x14ac:dyDescent="0.2">
      <c r="A1436" s="11">
        <f>IF(INPUT!M1431="","",INPUT!M1431)</f>
        <v>46000</v>
      </c>
      <c r="B1436" s="11">
        <f>IF(INPUT!M1431="","",INPUT!M1431-WEEKDAY(INPUT!M1431,2)+1)</f>
        <v>45999</v>
      </c>
      <c r="C1436" s="20">
        <f>IFERROR(_xlfn.ISOWEEKNUM(INPUT!M1431),"")</f>
        <v>50</v>
      </c>
      <c r="D1436" s="20">
        <f>IFERROR(YEAR(INPUT!M1431),"")</f>
        <v>2025</v>
      </c>
      <c r="E1436" t="str">
        <f>IF(INPUT!O1431="","",INPUT!O1431)</f>
        <v>PANI</v>
      </c>
      <c r="F1436" t="str">
        <f>IF(INPUT!N1431="","",INPUT!N1431)</f>
        <v>T</v>
      </c>
      <c r="G1436" t="str" cm="1">
        <f t="array" ref="G1436">IFERROR(VLOOKUP(INPUT!M1431&amp;INPUT!N1431,CHOOSE({1,2},INPUT!$A$3:$A$5000&amp;INPUT!$C$3:$C$5000,INPUT!$F$3:$F$5000),2,FALSE),"")</f>
        <v>PRE-TEMPORADA</v>
      </c>
      <c r="H1436" t="str" cm="1">
        <f t="array" ref="H1436">IFERROR(VLOOKUP(INPUT!M1431&amp;INPUT!N1431,CHOOSE({1,2},INPUT!$A$3:$A$5000&amp;INPUT!$C$3:$C$5000,INPUT!$D$3:$D$5000),2,FALSE),"")</f>
        <v>PARTIDO</v>
      </c>
      <c r="I1436" s="46">
        <f>IF(INPUT!P1431="","",INPUT!P1431)</f>
        <v>68.3</v>
      </c>
      <c r="J1436" s="46">
        <f>IF(INPUT!Q1431="","",INPUT!Q1431)</f>
        <v>67.400000000000006</v>
      </c>
      <c r="K1436" s="46">
        <f>IFERROR(IF(OR(INPUT!P1431="",INPUT!Q1431=""),"",INPUT!P1431-INPUT!Q1431),"")</f>
        <v>0.89999999999999147</v>
      </c>
      <c r="L1436" s="48">
        <f>IFERROR(IF(OR(INPUT!P1431="",INPUT!Q1431="",INPUT!P1431=0),"",(INPUT!P1431-INPUT!Q1431)/INPUT!P1431),"")</f>
        <v>1.3177159590043799E-2</v>
      </c>
    </row>
    <row r="1437" spans="1:12" ht="18" hidden="1" customHeight="1" x14ac:dyDescent="0.2">
      <c r="A1437" s="11">
        <f>IF(INPUT!M1432="","",INPUT!M1432)</f>
        <v>46000</v>
      </c>
      <c r="B1437" s="11">
        <f>IF(INPUT!M1432="","",INPUT!M1432-WEEKDAY(INPUT!M1432,2)+1)</f>
        <v>45999</v>
      </c>
      <c r="C1437" s="20">
        <f>IFERROR(_xlfn.ISOWEEKNUM(INPUT!M1432),"")</f>
        <v>50</v>
      </c>
      <c r="D1437" s="20">
        <f>IFERROR(YEAR(INPUT!M1432),"")</f>
        <v>2025</v>
      </c>
      <c r="E1437" t="str">
        <f>IF(INPUT!O1432="","",INPUT!O1432)</f>
        <v>PIRATA</v>
      </c>
      <c r="F1437" t="str">
        <f>IF(INPUT!N1432="","",INPUT!N1432)</f>
        <v>T</v>
      </c>
      <c r="G1437" t="str" cm="1">
        <f t="array" ref="G1437">IFERROR(VLOOKUP(INPUT!M1432&amp;INPUT!N1432,CHOOSE({1,2},INPUT!$A$3:$A$5000&amp;INPUT!$C$3:$C$5000,INPUT!$F$3:$F$5000),2,FALSE),"")</f>
        <v>PRE-TEMPORADA</v>
      </c>
      <c r="H1437" t="str" cm="1">
        <f t="array" ref="H1437">IFERROR(VLOOKUP(INPUT!M1432&amp;INPUT!N1432,CHOOSE({1,2},INPUT!$A$3:$A$5000&amp;INPUT!$C$3:$C$5000,INPUT!$D$3:$D$5000),2,FALSE),"")</f>
        <v>PARTIDO</v>
      </c>
      <c r="I1437" s="46">
        <f>IF(INPUT!P1432="","",INPUT!P1432)</f>
        <v>75</v>
      </c>
      <c r="J1437" s="46">
        <f>IF(INPUT!Q1432="","",INPUT!Q1432)</f>
        <v>75</v>
      </c>
      <c r="K1437" s="46">
        <f>IFERROR(IF(OR(INPUT!P1432="",INPUT!Q1432=""),"",INPUT!P1432-INPUT!Q1432),"")</f>
        <v>0</v>
      </c>
      <c r="L1437" s="48">
        <f>IFERROR(IF(OR(INPUT!P1432="",INPUT!Q1432="",INPUT!P1432=0),"",(INPUT!P1432-INPUT!Q1432)/INPUT!P1432),"")</f>
        <v>0</v>
      </c>
    </row>
    <row r="1438" spans="1:12" ht="18" hidden="1" customHeight="1" x14ac:dyDescent="0.2">
      <c r="A1438" s="11">
        <f>IF(INPUT!M1433="","",INPUT!M1433)</f>
        <v>46000</v>
      </c>
      <c r="B1438" s="11">
        <f>IF(INPUT!M1433="","",INPUT!M1433-WEEKDAY(INPUT!M1433,2)+1)</f>
        <v>45999</v>
      </c>
      <c r="C1438" s="20">
        <f>IFERROR(_xlfn.ISOWEEKNUM(INPUT!M1433),"")</f>
        <v>50</v>
      </c>
      <c r="D1438" s="20">
        <f>IFERROR(YEAR(INPUT!M1433),"")</f>
        <v>2025</v>
      </c>
      <c r="E1438" t="str">
        <f>IF(INPUT!O1433="","",INPUT!O1433)</f>
        <v>BARONA</v>
      </c>
      <c r="F1438" t="str">
        <f>IF(INPUT!N1433="","",INPUT!N1433)</f>
        <v>T</v>
      </c>
      <c r="G1438" t="str" cm="1">
        <f t="array" ref="G1438">IFERROR(VLOOKUP(INPUT!M1433&amp;INPUT!N1433,CHOOSE({1,2},INPUT!$A$3:$A$5000&amp;INPUT!$C$3:$C$5000,INPUT!$F$3:$F$5000),2,FALSE),"")</f>
        <v>PRE-TEMPORADA</v>
      </c>
      <c r="H1438" t="str" cm="1">
        <f t="array" ref="H1438">IFERROR(VLOOKUP(INPUT!M1433&amp;INPUT!N1433,CHOOSE({1,2},INPUT!$A$3:$A$5000&amp;INPUT!$C$3:$C$5000,INPUT!$D$3:$D$5000),2,FALSE),"")</f>
        <v>PARTIDO</v>
      </c>
      <c r="I1438" s="46">
        <f>IF(INPUT!P1433="","",INPUT!P1433)</f>
        <v>72</v>
      </c>
      <c r="J1438" s="46">
        <f>IF(INPUT!Q1433="","",INPUT!Q1433)</f>
        <v>72</v>
      </c>
      <c r="K1438" s="46">
        <f>IFERROR(IF(OR(INPUT!P1433="",INPUT!Q1433=""),"",INPUT!P1433-INPUT!Q1433),"")</f>
        <v>0</v>
      </c>
      <c r="L1438" s="48">
        <f>IFERROR(IF(OR(INPUT!P1433="",INPUT!Q1433="",INPUT!P1433=0),"",(INPUT!P1433-INPUT!Q1433)/INPUT!P1433),"")</f>
        <v>0</v>
      </c>
    </row>
    <row r="1439" spans="1:12" ht="18" hidden="1" customHeight="1" x14ac:dyDescent="0.2">
      <c r="A1439" s="11">
        <f>IF(INPUT!M1434="","",INPUT!M1434)</f>
        <v>46000</v>
      </c>
      <c r="B1439" s="11">
        <f>IF(INPUT!M1434="","",INPUT!M1434-WEEKDAY(INPUT!M1434,2)+1)</f>
        <v>45999</v>
      </c>
      <c r="C1439" s="20">
        <f>IFERROR(_xlfn.ISOWEEKNUM(INPUT!M1434),"")</f>
        <v>50</v>
      </c>
      <c r="D1439" s="20">
        <f>IFERROR(YEAR(INPUT!M1434),"")</f>
        <v>2025</v>
      </c>
      <c r="E1439" t="str">
        <f>IF(INPUT!O1434="","",INPUT!O1434)</f>
        <v>CARLOS</v>
      </c>
      <c r="F1439" t="str">
        <f>IF(INPUT!N1434="","",INPUT!N1434)</f>
        <v>T</v>
      </c>
      <c r="G1439" t="str" cm="1">
        <f t="array" ref="G1439">IFERROR(VLOOKUP(INPUT!M1434&amp;INPUT!N1434,CHOOSE({1,2},INPUT!$A$3:$A$5000&amp;INPUT!$C$3:$C$5000,INPUT!$F$3:$F$5000),2,FALSE),"")</f>
        <v>PRE-TEMPORADA</v>
      </c>
      <c r="H1439" t="str" cm="1">
        <f t="array" ref="H1439">IFERROR(VLOOKUP(INPUT!M1434&amp;INPUT!N1434,CHOOSE({1,2},INPUT!$A$3:$A$5000&amp;INPUT!$C$3:$C$5000,INPUT!$D$3:$D$5000),2,FALSE),"")</f>
        <v>PARTIDO</v>
      </c>
      <c r="I1439" s="46">
        <f>IF(INPUT!P1434="","",INPUT!P1434)</f>
        <v>67</v>
      </c>
      <c r="J1439" s="46">
        <f>IF(INPUT!Q1434="","",INPUT!Q1434)</f>
        <v>66.599999999999994</v>
      </c>
      <c r="K1439" s="46">
        <f>IFERROR(IF(OR(INPUT!P1434="",INPUT!Q1434=""),"",INPUT!P1434-INPUT!Q1434),"")</f>
        <v>0.40000000000000568</v>
      </c>
      <c r="L1439" s="48">
        <f>IFERROR(IF(OR(INPUT!P1434="",INPUT!Q1434="",INPUT!P1434=0),"",(INPUT!P1434-INPUT!Q1434)/INPUT!P1434),"")</f>
        <v>5.9701492537314283E-3</v>
      </c>
    </row>
    <row r="1440" spans="1:12" ht="18" hidden="1" customHeight="1" x14ac:dyDescent="0.2">
      <c r="A1440" s="11">
        <f>IF(INPUT!M1435="","",INPUT!M1435)</f>
        <v>46000</v>
      </c>
      <c r="B1440" s="11">
        <f>IF(INPUT!M1435="","",INPUT!M1435-WEEKDAY(INPUT!M1435,2)+1)</f>
        <v>45999</v>
      </c>
      <c r="C1440" s="20">
        <f>IFERROR(_xlfn.ISOWEEKNUM(INPUT!M1435),"")</f>
        <v>50</v>
      </c>
      <c r="D1440" s="20">
        <f>IFERROR(YEAR(INPUT!M1435),"")</f>
        <v>2025</v>
      </c>
      <c r="E1440" t="str">
        <f>IF(INPUT!O1435="","",INPUT!O1435)</f>
        <v>RUBIO</v>
      </c>
      <c r="F1440" t="str">
        <f>IF(INPUT!N1435="","",INPUT!N1435)</f>
        <v>T</v>
      </c>
      <c r="G1440" t="str" cm="1">
        <f t="array" ref="G1440">IFERROR(VLOOKUP(INPUT!M1435&amp;INPUT!N1435,CHOOSE({1,2},INPUT!$A$3:$A$5000&amp;INPUT!$C$3:$C$5000,INPUT!$F$3:$F$5000),2,FALSE),"")</f>
        <v>PRE-TEMPORADA</v>
      </c>
      <c r="H1440" t="str" cm="1">
        <f t="array" ref="H1440">IFERROR(VLOOKUP(INPUT!M1435&amp;INPUT!N1435,CHOOSE({1,2},INPUT!$A$3:$A$5000&amp;INPUT!$C$3:$C$5000,INPUT!$D$3:$D$5000),2,FALSE),"")</f>
        <v>PARTIDO</v>
      </c>
      <c r="I1440" s="46">
        <f>IF(INPUT!P1435="","",INPUT!P1435)</f>
        <v>75</v>
      </c>
      <c r="J1440" s="46">
        <f>IF(INPUT!Q1435="","",INPUT!Q1435)</f>
        <v>75</v>
      </c>
      <c r="K1440" s="46">
        <f>IFERROR(IF(OR(INPUT!P1435="",INPUT!Q1435=""),"",INPUT!P1435-INPUT!Q1435),"")</f>
        <v>0</v>
      </c>
      <c r="L1440" s="48">
        <f>IFERROR(IF(OR(INPUT!P1435="",INPUT!Q1435="",INPUT!P1435=0),"",(INPUT!P1435-INPUT!Q1435)/INPUT!P1435),"")</f>
        <v>0</v>
      </c>
    </row>
    <row r="1441" spans="1:12" ht="18" hidden="1" customHeight="1" x14ac:dyDescent="0.2">
      <c r="A1441" s="11">
        <f>IF(INPUT!M1436="","",INPUT!M1436)</f>
        <v>46000</v>
      </c>
      <c r="B1441" s="11">
        <f>IF(INPUT!M1436="","",INPUT!M1436-WEEKDAY(INPUT!M1436,2)+1)</f>
        <v>45999</v>
      </c>
      <c r="C1441" s="20">
        <f>IFERROR(_xlfn.ISOWEEKNUM(INPUT!M1436),"")</f>
        <v>50</v>
      </c>
      <c r="D1441" s="20">
        <f>IFERROR(YEAR(INPUT!M1436),"")</f>
        <v>2025</v>
      </c>
      <c r="E1441" t="str">
        <f>IF(INPUT!O1436="","",INPUT!O1436)</f>
        <v>JAIME</v>
      </c>
      <c r="F1441" t="str">
        <f>IF(INPUT!N1436="","",INPUT!N1436)</f>
        <v>T</v>
      </c>
      <c r="G1441" t="str" cm="1">
        <f t="array" ref="G1441">IFERROR(VLOOKUP(INPUT!M1436&amp;INPUT!N1436,CHOOSE({1,2},INPUT!$A$3:$A$5000&amp;INPUT!$C$3:$C$5000,INPUT!$F$3:$F$5000),2,FALSE),"")</f>
        <v>PRE-TEMPORADA</v>
      </c>
      <c r="H1441" t="str" cm="1">
        <f t="array" ref="H1441">IFERROR(VLOOKUP(INPUT!M1436&amp;INPUT!N1436,CHOOSE({1,2},INPUT!$A$3:$A$5000&amp;INPUT!$C$3:$C$5000,INPUT!$D$3:$D$5000),2,FALSE),"")</f>
        <v>PARTIDO</v>
      </c>
      <c r="I1441" s="46">
        <f>IF(INPUT!P1436="","",INPUT!P1436)</f>
        <v>75</v>
      </c>
      <c r="J1441" s="46">
        <f>IF(INPUT!Q1436="","",INPUT!Q1436)</f>
        <v>75</v>
      </c>
      <c r="K1441" s="46">
        <f>IFERROR(IF(OR(INPUT!P1436="",INPUT!Q1436=""),"",INPUT!P1436-INPUT!Q1436),"")</f>
        <v>0</v>
      </c>
      <c r="L1441" s="48">
        <f>IFERROR(IF(OR(INPUT!P1436="",INPUT!Q1436="",INPUT!P1436=0),"",(INPUT!P1436-INPUT!Q1436)/INPUT!P1436),"")</f>
        <v>0</v>
      </c>
    </row>
    <row r="1442" spans="1:12" ht="18" hidden="1" customHeight="1" x14ac:dyDescent="0.2">
      <c r="A1442" s="11">
        <f>IF(INPUT!M1437="","",INPUT!M1437)</f>
        <v>46002</v>
      </c>
      <c r="B1442" s="11">
        <f>IF(INPUT!M1437="","",INPUT!M1437-WEEKDAY(INPUT!M1437,2)+1)</f>
        <v>45999</v>
      </c>
      <c r="C1442" s="20">
        <f>IFERROR(_xlfn.ISOWEEKNUM(INPUT!M1437),"")</f>
        <v>50</v>
      </c>
      <c r="D1442" s="20">
        <f>IFERROR(YEAR(INPUT!M1437),"")</f>
        <v>2025</v>
      </c>
      <c r="E1442" t="str">
        <f>IF(INPUT!O1437="","",INPUT!O1437)</f>
        <v>HERRERO</v>
      </c>
      <c r="F1442" t="str">
        <f>IF(INPUT!N1437="","",INPUT!N1437)</f>
        <v>M</v>
      </c>
      <c r="G1442" t="str" cm="1">
        <f t="array" ref="G1442">IFERROR(VLOOKUP(INPUT!M1437&amp;INPUT!N1437,CHOOSE({1,2},INPUT!$A$3:$A$5000&amp;INPUT!$C$3:$C$5000,INPUT!$F$3:$F$5000),2,FALSE),"")</f>
        <v>PRE-TEMPORADA</v>
      </c>
      <c r="H1442" t="str" cm="1">
        <f t="array" ref="H1442">IFERROR(VLOOKUP(INPUT!M1437&amp;INPUT!N1437,CHOOSE({1,2},INPUT!$A$3:$A$5000&amp;INPUT!$C$3:$C$5000,INPUT!$D$3:$D$5000),2,FALSE),"")</f>
        <v>TEC-TAC</v>
      </c>
      <c r="I1442" s="46">
        <f>IF(INPUT!P1437="","",INPUT!P1437)</f>
        <v>77</v>
      </c>
      <c r="J1442" s="46">
        <f>IF(INPUT!Q1437="","",INPUT!Q1437)</f>
        <v>76</v>
      </c>
      <c r="K1442" s="46">
        <f>IFERROR(IF(OR(INPUT!P1437="",INPUT!Q1437=""),"",INPUT!P1437-INPUT!Q1437),"")</f>
        <v>1</v>
      </c>
      <c r="L1442" s="48">
        <f>IFERROR(IF(OR(INPUT!P1437="",INPUT!Q1437="",INPUT!P1437=0),"",(INPUT!P1437-INPUT!Q1437)/INPUT!P1437),"")</f>
        <v>1.2987012987012988E-2</v>
      </c>
    </row>
    <row r="1443" spans="1:12" ht="18" hidden="1" customHeight="1" x14ac:dyDescent="0.2">
      <c r="A1443" s="11">
        <f>IF(INPUT!M1438="","",INPUT!M1438)</f>
        <v>46002</v>
      </c>
      <c r="B1443" s="11">
        <f>IF(INPUT!M1438="","",INPUT!M1438-WEEKDAY(INPUT!M1438,2)+1)</f>
        <v>45999</v>
      </c>
      <c r="C1443" s="20">
        <f>IFERROR(_xlfn.ISOWEEKNUM(INPUT!M1438),"")</f>
        <v>50</v>
      </c>
      <c r="D1443" s="20">
        <f>IFERROR(YEAR(INPUT!M1438),"")</f>
        <v>2025</v>
      </c>
      <c r="E1443" t="str">
        <f>IF(INPUT!O1438="","",INPUT!O1438)</f>
        <v>GARCIA</v>
      </c>
      <c r="F1443" t="str">
        <f>IF(INPUT!N1438="","",INPUT!N1438)</f>
        <v>M</v>
      </c>
      <c r="G1443" t="str" cm="1">
        <f t="array" ref="G1443">IFERROR(VLOOKUP(INPUT!M1438&amp;INPUT!N1438,CHOOSE({1,2},INPUT!$A$3:$A$5000&amp;INPUT!$C$3:$C$5000,INPUT!$F$3:$F$5000),2,FALSE),"")</f>
        <v>PRE-TEMPORADA</v>
      </c>
      <c r="H1443" t="str" cm="1">
        <f t="array" ref="H1443">IFERROR(VLOOKUP(INPUT!M1438&amp;INPUT!N1438,CHOOSE({1,2},INPUT!$A$3:$A$5000&amp;INPUT!$C$3:$C$5000,INPUT!$D$3:$D$5000),2,FALSE),"")</f>
        <v>TEC-TAC</v>
      </c>
      <c r="I1443" s="46">
        <f>IF(INPUT!P1438="","",INPUT!P1438)</f>
        <v>79.400000000000006</v>
      </c>
      <c r="J1443" s="46">
        <f>IF(INPUT!Q1438="","",INPUT!Q1438)</f>
        <v>79</v>
      </c>
      <c r="K1443" s="46">
        <f>IFERROR(IF(OR(INPUT!P1438="",INPUT!Q1438=""),"",INPUT!P1438-INPUT!Q1438),"")</f>
        <v>0.40000000000000568</v>
      </c>
      <c r="L1443" s="48">
        <f>IFERROR(IF(OR(INPUT!P1438="",INPUT!Q1438="",INPUT!P1438=0),"",(INPUT!P1438-INPUT!Q1438)/INPUT!P1438),"")</f>
        <v>5.0377833753149324E-3</v>
      </c>
    </row>
    <row r="1444" spans="1:12" ht="18" hidden="1" customHeight="1" x14ac:dyDescent="0.2">
      <c r="A1444" s="11">
        <f>IF(INPUT!M1439="","",INPUT!M1439)</f>
        <v>46002</v>
      </c>
      <c r="B1444" s="11">
        <f>IF(INPUT!M1439="","",INPUT!M1439-WEEKDAY(INPUT!M1439,2)+1)</f>
        <v>45999</v>
      </c>
      <c r="C1444" s="20">
        <f>IFERROR(_xlfn.ISOWEEKNUM(INPUT!M1439),"")</f>
        <v>50</v>
      </c>
      <c r="D1444" s="20">
        <f>IFERROR(YEAR(INPUT!M1439),"")</f>
        <v>2025</v>
      </c>
      <c r="E1444" t="str">
        <f>IF(INPUT!O1439="","",INPUT!O1439)</f>
        <v>CECILIO</v>
      </c>
      <c r="F1444" t="str">
        <f>IF(INPUT!N1439="","",INPUT!N1439)</f>
        <v>M</v>
      </c>
      <c r="G1444" t="str" cm="1">
        <f t="array" ref="G1444">IFERROR(VLOOKUP(INPUT!M1439&amp;INPUT!N1439,CHOOSE({1,2},INPUT!$A$3:$A$5000&amp;INPUT!$C$3:$C$5000,INPUT!$F$3:$F$5000),2,FALSE),"")</f>
        <v>PRE-TEMPORADA</v>
      </c>
      <c r="H1444" t="str" cm="1">
        <f t="array" ref="H1444">IFERROR(VLOOKUP(INPUT!M1439&amp;INPUT!N1439,CHOOSE({1,2},INPUT!$A$3:$A$5000&amp;INPUT!$C$3:$C$5000,INPUT!$D$3:$D$5000),2,FALSE),"")</f>
        <v>TEC-TAC</v>
      </c>
      <c r="I1444" s="46">
        <f>IF(INPUT!P1439="","",INPUT!P1439)</f>
        <v>67.900000000000006</v>
      </c>
      <c r="J1444" s="46">
        <f>IF(INPUT!Q1439="","",INPUT!Q1439)</f>
        <v>67.5</v>
      </c>
      <c r="K1444" s="46">
        <f>IFERROR(IF(OR(INPUT!P1439="",INPUT!Q1439=""),"",INPUT!P1439-INPUT!Q1439),"")</f>
        <v>0.40000000000000568</v>
      </c>
      <c r="L1444" s="48">
        <f>IFERROR(IF(OR(INPUT!P1439="",INPUT!Q1439="",INPUT!P1439=0),"",(INPUT!P1439-INPUT!Q1439)/INPUT!P1439),"")</f>
        <v>5.891016200294634E-3</v>
      </c>
    </row>
    <row r="1445" spans="1:12" ht="18" hidden="1" customHeight="1" x14ac:dyDescent="0.2">
      <c r="A1445" s="11">
        <f>IF(INPUT!M1440="","",INPUT!M1440)</f>
        <v>46002</v>
      </c>
      <c r="B1445" s="11">
        <f>IF(INPUT!M1440="","",INPUT!M1440-WEEKDAY(INPUT!M1440,2)+1)</f>
        <v>45999</v>
      </c>
      <c r="C1445" s="20">
        <f>IFERROR(_xlfn.ISOWEEKNUM(INPUT!M1440),"")</f>
        <v>50</v>
      </c>
      <c r="D1445" s="20">
        <f>IFERROR(YEAR(INPUT!M1440),"")</f>
        <v>2025</v>
      </c>
      <c r="E1445" t="str">
        <f>IF(INPUT!O1440="","",INPUT!O1440)</f>
        <v>CHAGUINHA</v>
      </c>
      <c r="F1445" t="str">
        <f>IF(INPUT!N1440="","",INPUT!N1440)</f>
        <v>M</v>
      </c>
      <c r="G1445" t="str" cm="1">
        <f t="array" ref="G1445">IFERROR(VLOOKUP(INPUT!M1440&amp;INPUT!N1440,CHOOSE({1,2},INPUT!$A$3:$A$5000&amp;INPUT!$C$3:$C$5000,INPUT!$F$3:$F$5000),2,FALSE),"")</f>
        <v>PRE-TEMPORADA</v>
      </c>
      <c r="H1445" t="str" cm="1">
        <f t="array" ref="H1445">IFERROR(VLOOKUP(INPUT!M1440&amp;INPUT!N1440,CHOOSE({1,2},INPUT!$A$3:$A$5000&amp;INPUT!$C$3:$C$5000,INPUT!$D$3:$D$5000),2,FALSE),"")</f>
        <v>TEC-TAC</v>
      </c>
      <c r="I1445" s="46">
        <f>IF(INPUT!P1440="","",INPUT!P1440)</f>
        <v>69</v>
      </c>
      <c r="J1445" s="46">
        <f>IF(INPUT!Q1440="","",INPUT!Q1440)</f>
        <v>68.5</v>
      </c>
      <c r="K1445" s="46">
        <f>IFERROR(IF(OR(INPUT!P1440="",INPUT!Q1440=""),"",INPUT!P1440-INPUT!Q1440),"")</f>
        <v>0.5</v>
      </c>
      <c r="L1445" s="48">
        <f>IFERROR(IF(OR(INPUT!P1440="",INPUT!Q1440="",INPUT!P1440=0),"",(INPUT!P1440-INPUT!Q1440)/INPUT!P1440),"")</f>
        <v>7.246376811594203E-3</v>
      </c>
    </row>
    <row r="1446" spans="1:12" ht="18" hidden="1" customHeight="1" x14ac:dyDescent="0.2">
      <c r="A1446" s="11">
        <f>IF(INPUT!M1441="","",INPUT!M1441)</f>
        <v>46002</v>
      </c>
      <c r="B1446" s="11">
        <f>IF(INPUT!M1441="","",INPUT!M1441-WEEKDAY(INPUT!M1441,2)+1)</f>
        <v>45999</v>
      </c>
      <c r="C1446" s="20">
        <f>IFERROR(_xlfn.ISOWEEKNUM(INPUT!M1441),"")</f>
        <v>50</v>
      </c>
      <c r="D1446" s="20">
        <f>IFERROR(YEAR(INPUT!M1441),"")</f>
        <v>2025</v>
      </c>
      <c r="E1446" t="str">
        <f>IF(INPUT!O1441="","",INPUT!O1441)</f>
        <v>RAUL</v>
      </c>
      <c r="F1446" t="str">
        <f>IF(INPUT!N1441="","",INPUT!N1441)</f>
        <v>M</v>
      </c>
      <c r="G1446" t="str" cm="1">
        <f t="array" ref="G1446">IFERROR(VLOOKUP(INPUT!M1441&amp;INPUT!N1441,CHOOSE({1,2},INPUT!$A$3:$A$5000&amp;INPUT!$C$3:$C$5000,INPUT!$F$3:$F$5000),2,FALSE),"")</f>
        <v>PRE-TEMPORADA</v>
      </c>
      <c r="H1446" t="str" cm="1">
        <f t="array" ref="H1446">IFERROR(VLOOKUP(INPUT!M1441&amp;INPUT!N1441,CHOOSE({1,2},INPUT!$A$3:$A$5000&amp;INPUT!$C$3:$C$5000,INPUT!$D$3:$D$5000),2,FALSE),"")</f>
        <v>TEC-TAC</v>
      </c>
      <c r="I1446" s="46">
        <f>IF(INPUT!P1441="","",INPUT!P1441)</f>
        <v>80.5</v>
      </c>
      <c r="J1446" s="46">
        <f>IF(INPUT!Q1441="","",INPUT!Q1441)</f>
        <v>81</v>
      </c>
      <c r="K1446" s="46">
        <f>IFERROR(IF(OR(INPUT!P1441="",INPUT!Q1441=""),"",INPUT!P1441-INPUT!Q1441),"")</f>
        <v>-0.5</v>
      </c>
      <c r="L1446" s="48">
        <f>IFERROR(IF(OR(INPUT!P1441="",INPUT!Q1441="",INPUT!P1441=0),"",(INPUT!P1441-INPUT!Q1441)/INPUT!P1441),"")</f>
        <v>-6.2111801242236021E-3</v>
      </c>
    </row>
    <row r="1447" spans="1:12" ht="18" customHeight="1" x14ac:dyDescent="0.2">
      <c r="A1447" s="11">
        <f>IF(INPUT!M1442="","",INPUT!M1442)</f>
        <v>46002</v>
      </c>
      <c r="B1447" s="11">
        <f>IF(INPUT!M1442="","",INPUT!M1442-WEEKDAY(INPUT!M1442,2)+1)</f>
        <v>45999</v>
      </c>
      <c r="C1447" s="20">
        <f>IFERROR(_xlfn.ISOWEEKNUM(INPUT!M1442),"")</f>
        <v>50</v>
      </c>
      <c r="D1447" s="20">
        <f>IFERROR(YEAR(INPUT!M1442),"")</f>
        <v>2025</v>
      </c>
      <c r="E1447" t="str">
        <f>IF(INPUT!O1442="","",INPUT!O1442)</f>
        <v>HARRISON</v>
      </c>
      <c r="F1447" t="str">
        <f>IF(INPUT!N1442="","",INPUT!N1442)</f>
        <v>M</v>
      </c>
      <c r="G1447" t="str" cm="1">
        <f t="array" ref="G1447">IFERROR(VLOOKUP(INPUT!M1442&amp;INPUT!N1442,CHOOSE({1,2},INPUT!$A$3:$A$5000&amp;INPUT!$C$3:$C$5000,INPUT!$F$3:$F$5000),2,FALSE),"")</f>
        <v>PRE-TEMPORADA</v>
      </c>
      <c r="H1447" t="str" cm="1">
        <f t="array" ref="H1447">IFERROR(VLOOKUP(INPUT!M1442&amp;INPUT!N1442,CHOOSE({1,2},INPUT!$A$3:$A$5000&amp;INPUT!$C$3:$C$5000,INPUT!$D$3:$D$5000),2,FALSE),"")</f>
        <v>TEC-TAC</v>
      </c>
      <c r="I1447" s="46">
        <f>IF(INPUT!P1442="","",INPUT!P1442)</f>
        <v>71</v>
      </c>
      <c r="J1447" s="46">
        <f>IF(INPUT!Q1442="","",INPUT!Q1442)</f>
        <v>71.5</v>
      </c>
      <c r="K1447" s="46">
        <f>IFERROR(IF(OR(INPUT!P1442="",INPUT!Q1442=""),"",INPUT!P1442-INPUT!Q1442),"")</f>
        <v>-0.5</v>
      </c>
      <c r="L1447" s="48">
        <f>IFERROR(IF(OR(INPUT!P1442="",INPUT!Q1442="",INPUT!P1442=0),"",(INPUT!P1442-INPUT!Q1442)/INPUT!P1442),"")</f>
        <v>-7.0422535211267607E-3</v>
      </c>
    </row>
    <row r="1448" spans="1:12" ht="18" customHeight="1" x14ac:dyDescent="0.2">
      <c r="A1448" s="11">
        <f>IF(INPUT!M1443="","",INPUT!M1443)</f>
        <v>46002</v>
      </c>
      <c r="B1448" s="11">
        <f>IF(INPUT!M1443="","",INPUT!M1443-WEEKDAY(INPUT!M1443,2)+1)</f>
        <v>45999</v>
      </c>
      <c r="C1448" s="20">
        <f>IFERROR(_xlfn.ISOWEEKNUM(INPUT!M1443),"")</f>
        <v>50</v>
      </c>
      <c r="D1448" s="20">
        <f>IFERROR(YEAR(INPUT!M1443),"")</f>
        <v>2025</v>
      </c>
      <c r="E1448" t="str">
        <f>IF(INPUT!O1443="","",INPUT!O1443)</f>
        <v>RAYA</v>
      </c>
      <c r="F1448" t="str">
        <f>IF(INPUT!N1443="","",INPUT!N1443)</f>
        <v>M</v>
      </c>
      <c r="G1448" t="str" cm="1">
        <f t="array" ref="G1448">IFERROR(VLOOKUP(INPUT!M1443&amp;INPUT!N1443,CHOOSE({1,2},INPUT!$A$3:$A$5000&amp;INPUT!$C$3:$C$5000,INPUT!$F$3:$F$5000),2,FALSE),"")</f>
        <v>PRE-TEMPORADA</v>
      </c>
      <c r="H1448" t="str" cm="1">
        <f t="array" ref="H1448">IFERROR(VLOOKUP(INPUT!M1443&amp;INPUT!N1443,CHOOSE({1,2},INPUT!$A$3:$A$5000&amp;INPUT!$C$3:$C$5000,INPUT!$D$3:$D$5000),2,FALSE),"")</f>
        <v>TEC-TAC</v>
      </c>
      <c r="I1448" s="46">
        <f>IF(INPUT!P1443="","",INPUT!P1443)</f>
        <v>81.5</v>
      </c>
      <c r="J1448" s="46">
        <f>IF(INPUT!Q1443="","",INPUT!Q1443)</f>
        <v>80.5</v>
      </c>
      <c r="K1448" s="46">
        <f>IFERROR(IF(OR(INPUT!P1443="",INPUT!Q1443=""),"",INPUT!P1443-INPUT!Q1443),"")</f>
        <v>1</v>
      </c>
      <c r="L1448" s="48">
        <f>IFERROR(IF(OR(INPUT!P1443="",INPUT!Q1443="",INPUT!P1443=0),"",(INPUT!P1443-INPUT!Q1443)/INPUT!P1443),"")</f>
        <v>1.2269938650306749E-2</v>
      </c>
    </row>
    <row r="1449" spans="1:12" ht="18" customHeight="1" x14ac:dyDescent="0.2">
      <c r="A1449" s="11">
        <f>IF(INPUT!M1444="","",INPUT!M1444)</f>
        <v>46002</v>
      </c>
      <c r="B1449" s="11">
        <f>IF(INPUT!M1444="","",INPUT!M1444-WEEKDAY(INPUT!M1444,2)+1)</f>
        <v>45999</v>
      </c>
      <c r="C1449" s="20">
        <f>IFERROR(_xlfn.ISOWEEKNUM(INPUT!M1444),"")</f>
        <v>50</v>
      </c>
      <c r="D1449" s="20">
        <f>IFERROR(YEAR(INPUT!M1444),"")</f>
        <v>2025</v>
      </c>
      <c r="E1449" t="str">
        <f>IF(INPUT!O1444="","",INPUT!O1444)</f>
        <v>JAVI</v>
      </c>
      <c r="F1449" t="str">
        <f>IF(INPUT!N1444="","",INPUT!N1444)</f>
        <v>M</v>
      </c>
      <c r="G1449" t="str" cm="1">
        <f t="array" ref="G1449">IFERROR(VLOOKUP(INPUT!M1444&amp;INPUT!N1444,CHOOSE({1,2},INPUT!$A$3:$A$5000&amp;INPUT!$C$3:$C$5000,INPUT!$F$3:$F$5000),2,FALSE),"")</f>
        <v>PRE-TEMPORADA</v>
      </c>
      <c r="H1449" t="str" cm="1">
        <f t="array" ref="H1449">IFERROR(VLOOKUP(INPUT!M1444&amp;INPUT!N1444,CHOOSE({1,2},INPUT!$A$3:$A$5000&amp;INPUT!$C$3:$C$5000,INPUT!$D$3:$D$5000),2,FALSE),"")</f>
        <v>TEC-TAC</v>
      </c>
      <c r="I1449" s="46">
        <f>IF(INPUT!P1444="","",INPUT!P1444)</f>
        <v>78.7</v>
      </c>
      <c r="J1449" s="46">
        <f>IF(INPUT!Q1444="","",INPUT!Q1444)</f>
        <v>78.7</v>
      </c>
      <c r="K1449" s="46">
        <f>IFERROR(IF(OR(INPUT!P1444="",INPUT!Q1444=""),"",INPUT!P1444-INPUT!Q1444),"")</f>
        <v>0</v>
      </c>
      <c r="L1449" s="48">
        <f>IFERROR(IF(OR(INPUT!P1444="",INPUT!Q1444="",INPUT!P1444=0),"",(INPUT!P1444-INPUT!Q1444)/INPUT!P1444),"")</f>
        <v>0</v>
      </c>
    </row>
    <row r="1450" spans="1:12" ht="18" customHeight="1" x14ac:dyDescent="0.2">
      <c r="A1450" s="11">
        <f>IF(INPUT!M1445="","",INPUT!M1445)</f>
        <v>46002</v>
      </c>
      <c r="B1450" s="11">
        <f>IF(INPUT!M1445="","",INPUT!M1445-WEEKDAY(INPUT!M1445,2)+1)</f>
        <v>45999</v>
      </c>
      <c r="C1450" s="20">
        <f>IFERROR(_xlfn.ISOWEEKNUM(INPUT!M1445),"")</f>
        <v>50</v>
      </c>
      <c r="D1450" s="20">
        <f>IFERROR(YEAR(INPUT!M1445),"")</f>
        <v>2025</v>
      </c>
      <c r="E1450" t="str">
        <f>IF(INPUT!O1445="","",INPUT!O1445)</f>
        <v>PIRATA</v>
      </c>
      <c r="F1450" t="str">
        <f>IF(INPUT!N1445="","",INPUT!N1445)</f>
        <v>M</v>
      </c>
      <c r="G1450" t="str" cm="1">
        <f t="array" ref="G1450">IFERROR(VLOOKUP(INPUT!M1445&amp;INPUT!N1445,CHOOSE({1,2},INPUT!$A$3:$A$5000&amp;INPUT!$C$3:$C$5000,INPUT!$F$3:$F$5000),2,FALSE),"")</f>
        <v>PRE-TEMPORADA</v>
      </c>
      <c r="H1450" t="str" cm="1">
        <f t="array" ref="H1450">IFERROR(VLOOKUP(INPUT!M1445&amp;INPUT!N1445,CHOOSE({1,2},INPUT!$A$3:$A$5000&amp;INPUT!$C$3:$C$5000,INPUT!$D$3:$D$5000),2,FALSE),"")</f>
        <v>TEC-TAC</v>
      </c>
      <c r="I1450" s="46">
        <f>IF(INPUT!P1445="","",INPUT!P1445)</f>
        <v>74.3</v>
      </c>
      <c r="J1450" s="46">
        <f>IF(INPUT!Q1445="","",INPUT!Q1445)</f>
        <v>74.5</v>
      </c>
      <c r="K1450" s="46">
        <f>IFERROR(IF(OR(INPUT!P1445="",INPUT!Q1445=""),"",INPUT!P1445-INPUT!Q1445),"")</f>
        <v>-0.20000000000000284</v>
      </c>
      <c r="L1450" s="48">
        <f>IFERROR(IF(OR(INPUT!P1445="",INPUT!Q1445="",INPUT!P1445=0),"",(INPUT!P1445-INPUT!Q1445)/INPUT!P1445),"")</f>
        <v>-2.6917900403768888E-3</v>
      </c>
    </row>
    <row r="1451" spans="1:12" ht="18" hidden="1" customHeight="1" x14ac:dyDescent="0.2">
      <c r="A1451" s="11">
        <f>IF(INPUT!M1446="","",INPUT!M1446)</f>
        <v>46002</v>
      </c>
      <c r="B1451" s="11">
        <f>IF(INPUT!M1446="","",INPUT!M1446-WEEKDAY(INPUT!M1446,2)+1)</f>
        <v>45999</v>
      </c>
      <c r="C1451" s="20">
        <f>IFERROR(_xlfn.ISOWEEKNUM(INPUT!M1446),"")</f>
        <v>50</v>
      </c>
      <c r="D1451" s="20">
        <f>IFERROR(YEAR(INPUT!M1446),"")</f>
        <v>2025</v>
      </c>
      <c r="E1451" t="str">
        <f>IF(INPUT!O1446="","",INPUT!O1446)</f>
        <v>BARONA</v>
      </c>
      <c r="F1451" t="str">
        <f>IF(INPUT!N1446="","",INPUT!N1446)</f>
        <v>M</v>
      </c>
      <c r="G1451" t="str" cm="1">
        <f t="array" ref="G1451">IFERROR(VLOOKUP(INPUT!M1446&amp;INPUT!N1446,CHOOSE({1,2},INPUT!$A$3:$A$5000&amp;INPUT!$C$3:$C$5000,INPUT!$F$3:$F$5000),2,FALSE),"")</f>
        <v>PRE-TEMPORADA</v>
      </c>
      <c r="H1451" t="str" cm="1">
        <f t="array" ref="H1451">IFERROR(VLOOKUP(INPUT!M1446&amp;INPUT!N1446,CHOOSE({1,2},INPUT!$A$3:$A$5000&amp;INPUT!$C$3:$C$5000,INPUT!$D$3:$D$5000),2,FALSE),"")</f>
        <v>TEC-TAC</v>
      </c>
      <c r="I1451" s="46">
        <f>IF(INPUT!P1446="","",INPUT!P1446)</f>
        <v>71.8</v>
      </c>
      <c r="J1451" s="46">
        <f>IF(INPUT!Q1446="","",INPUT!Q1446)</f>
        <v>71.2</v>
      </c>
      <c r="K1451" s="46">
        <f>IFERROR(IF(OR(INPUT!P1446="",INPUT!Q1446=""),"",INPUT!P1446-INPUT!Q1446),"")</f>
        <v>0.59999999999999432</v>
      </c>
      <c r="L1451" s="48">
        <f>IFERROR(IF(OR(INPUT!P1446="",INPUT!Q1446="",INPUT!P1446=0),"",(INPUT!P1446-INPUT!Q1446)/INPUT!P1446),"")</f>
        <v>8.3565459610027062E-3</v>
      </c>
    </row>
    <row r="1452" spans="1:12" ht="18" hidden="1" customHeight="1" x14ac:dyDescent="0.2">
      <c r="A1452" s="11">
        <f>IF(INPUT!M1447="","",INPUT!M1447)</f>
        <v>46002</v>
      </c>
      <c r="B1452" s="11">
        <f>IF(INPUT!M1447="","",INPUT!M1447-WEEKDAY(INPUT!M1447,2)+1)</f>
        <v>45999</v>
      </c>
      <c r="C1452" s="20">
        <f>IFERROR(_xlfn.ISOWEEKNUM(INPUT!M1447),"")</f>
        <v>50</v>
      </c>
      <c r="D1452" s="20">
        <f>IFERROR(YEAR(INPUT!M1447),"")</f>
        <v>2025</v>
      </c>
      <c r="E1452" t="str">
        <f>IF(INPUT!O1447="","",INPUT!O1447)</f>
        <v>CARLOS</v>
      </c>
      <c r="F1452" t="str">
        <f>IF(INPUT!N1447="","",INPUT!N1447)</f>
        <v>M</v>
      </c>
      <c r="G1452" t="str" cm="1">
        <f t="array" ref="G1452">IFERROR(VLOOKUP(INPUT!M1447&amp;INPUT!N1447,CHOOSE({1,2},INPUT!$A$3:$A$5000&amp;INPUT!$C$3:$C$5000,INPUT!$F$3:$F$5000),2,FALSE),"")</f>
        <v>PRE-TEMPORADA</v>
      </c>
      <c r="H1452" t="str" cm="1">
        <f t="array" ref="H1452">IFERROR(VLOOKUP(INPUT!M1447&amp;INPUT!N1447,CHOOSE({1,2},INPUT!$A$3:$A$5000&amp;INPUT!$C$3:$C$5000,INPUT!$D$3:$D$5000),2,FALSE),"")</f>
        <v>TEC-TAC</v>
      </c>
      <c r="I1452" s="46">
        <f>IF(INPUT!P1447="","",INPUT!P1447)</f>
        <v>67.5</v>
      </c>
      <c r="J1452" s="46">
        <f>IF(INPUT!Q1447="","",INPUT!Q1447)</f>
        <v>67.099999999999994</v>
      </c>
      <c r="K1452" s="46">
        <f>IFERROR(IF(OR(INPUT!P1447="",INPUT!Q1447=""),"",INPUT!P1447-INPUT!Q1447),"")</f>
        <v>0.40000000000000568</v>
      </c>
      <c r="L1452" s="48">
        <f>IFERROR(IF(OR(INPUT!P1447="",INPUT!Q1447="",INPUT!P1447=0),"",(INPUT!P1447-INPUT!Q1447)/INPUT!P1447),"")</f>
        <v>5.9259259259260098E-3</v>
      </c>
    </row>
    <row r="1453" spans="1:12" ht="18" hidden="1" customHeight="1" x14ac:dyDescent="0.2">
      <c r="A1453" s="11">
        <f>IF(INPUT!M1448="","",INPUT!M1448)</f>
        <v>46002</v>
      </c>
      <c r="B1453" s="11">
        <f>IF(INPUT!M1448="","",INPUT!M1448-WEEKDAY(INPUT!M1448,2)+1)</f>
        <v>45999</v>
      </c>
      <c r="C1453" s="20">
        <f>IFERROR(_xlfn.ISOWEEKNUM(INPUT!M1448),"")</f>
        <v>50</v>
      </c>
      <c r="D1453" s="20">
        <f>IFERROR(YEAR(INPUT!M1448),"")</f>
        <v>2025</v>
      </c>
      <c r="E1453" t="str">
        <f>IF(INPUT!O1448="","",INPUT!O1448)</f>
        <v>DANI</v>
      </c>
      <c r="F1453" t="str">
        <f>IF(INPUT!N1448="","",INPUT!N1448)</f>
        <v>M</v>
      </c>
      <c r="G1453" t="str" cm="1">
        <f t="array" ref="G1453">IFERROR(VLOOKUP(INPUT!M1448&amp;INPUT!N1448,CHOOSE({1,2},INPUT!$A$3:$A$5000&amp;INPUT!$C$3:$C$5000,INPUT!$F$3:$F$5000),2,FALSE),"")</f>
        <v>PRE-TEMPORADA</v>
      </c>
      <c r="H1453" t="str" cm="1">
        <f t="array" ref="H1453">IFERROR(VLOOKUP(INPUT!M1448&amp;INPUT!N1448,CHOOSE({1,2},INPUT!$A$3:$A$5000&amp;INPUT!$C$3:$C$5000,INPUT!$D$3:$D$5000),2,FALSE),"")</f>
        <v>TEC-TAC</v>
      </c>
      <c r="I1453" s="46">
        <f>IF(INPUT!P1448="","",INPUT!P1448)</f>
        <v>91.7</v>
      </c>
      <c r="J1453" s="46">
        <f>IF(INPUT!Q1448="","",INPUT!Q1448)</f>
        <v>91.2</v>
      </c>
      <c r="K1453" s="46">
        <f>IFERROR(IF(OR(INPUT!P1448="",INPUT!Q1448=""),"",INPUT!P1448-INPUT!Q1448),"")</f>
        <v>0.5</v>
      </c>
      <c r="L1453" s="48">
        <f>IFERROR(IF(OR(INPUT!P1448="",INPUT!Q1448="",INPUT!P1448=0),"",(INPUT!P1448-INPUT!Q1448)/INPUT!P1448),"")</f>
        <v>5.4525627044711015E-3</v>
      </c>
    </row>
    <row r="1454" spans="1:12" ht="18" hidden="1" customHeight="1" x14ac:dyDescent="0.2">
      <c r="A1454" s="11">
        <f>IF(INPUT!M1449="","",INPUT!M1449)</f>
        <v>46002</v>
      </c>
      <c r="B1454" s="11">
        <f>IF(INPUT!M1449="","",INPUT!M1449-WEEKDAY(INPUT!M1449,2)+1)</f>
        <v>45999</v>
      </c>
      <c r="C1454" s="20">
        <f>IFERROR(_xlfn.ISOWEEKNUM(INPUT!M1449),"")</f>
        <v>50</v>
      </c>
      <c r="D1454" s="20">
        <f>IFERROR(YEAR(INPUT!M1449),"")</f>
        <v>2025</v>
      </c>
      <c r="E1454" t="str">
        <f>IF(INPUT!O1449="","",INPUT!O1449)</f>
        <v>JAIME</v>
      </c>
      <c r="F1454" t="str">
        <f>IF(INPUT!N1449="","",INPUT!N1449)</f>
        <v>M</v>
      </c>
      <c r="G1454" t="str" cm="1">
        <f t="array" ref="G1454">IFERROR(VLOOKUP(INPUT!M1449&amp;INPUT!N1449,CHOOSE({1,2},INPUT!$A$3:$A$5000&amp;INPUT!$C$3:$C$5000,INPUT!$F$3:$F$5000),2,FALSE),"")</f>
        <v>PRE-TEMPORADA</v>
      </c>
      <c r="H1454" t="str" cm="1">
        <f t="array" ref="H1454">IFERROR(VLOOKUP(INPUT!M1449&amp;INPUT!N1449,CHOOSE({1,2},INPUT!$A$3:$A$5000&amp;INPUT!$C$3:$C$5000,INPUT!$D$3:$D$5000),2,FALSE),"")</f>
        <v>TEC-TAC</v>
      </c>
      <c r="I1454" s="46">
        <f>IF(INPUT!P1449="","",INPUT!P1449)</f>
        <v>75.2</v>
      </c>
      <c r="J1454" s="46">
        <f>IF(INPUT!Q1449="","",INPUT!Q1449)</f>
        <v>75.099999999999994</v>
      </c>
      <c r="K1454" s="46">
        <f>IFERROR(IF(OR(INPUT!P1449="",INPUT!Q1449=""),"",INPUT!P1449-INPUT!Q1449),"")</f>
        <v>0.10000000000000853</v>
      </c>
      <c r="L1454" s="48">
        <f>IFERROR(IF(OR(INPUT!P1449="",INPUT!Q1449="",INPUT!P1449=0),"",(INPUT!P1449-INPUT!Q1449)/INPUT!P1449),"")</f>
        <v>1.3297872340426666E-3</v>
      </c>
    </row>
    <row r="1455" spans="1:12" ht="18" hidden="1" customHeight="1" x14ac:dyDescent="0.2">
      <c r="A1455" s="11">
        <f>IF(INPUT!M1450="","",INPUT!M1450)</f>
        <v>46003</v>
      </c>
      <c r="B1455" s="11">
        <f>IF(INPUT!M1450="","",INPUT!M1450-WEEKDAY(INPUT!M1450,2)+1)</f>
        <v>45999</v>
      </c>
      <c r="C1455" s="20">
        <f>IFERROR(_xlfn.ISOWEEKNUM(INPUT!M1450),"")</f>
        <v>50</v>
      </c>
      <c r="D1455" s="20">
        <f>IFERROR(YEAR(INPUT!M1450),"")</f>
        <v>2025</v>
      </c>
      <c r="E1455" t="str">
        <f>IF(INPUT!O1450="","",INPUT!O1450)</f>
        <v>HERRERO</v>
      </c>
      <c r="F1455" t="str">
        <f>IF(INPUT!N1450="","",INPUT!N1450)</f>
        <v>T</v>
      </c>
      <c r="G1455" t="str" cm="1">
        <f t="array" ref="G1455">IFERROR(VLOOKUP(INPUT!M1450&amp;INPUT!N1450,CHOOSE({1,2},INPUT!$A$3:$A$5000&amp;INPUT!$C$3:$C$5000,INPUT!$F$3:$F$5000),2,FALSE),"")</f>
        <v>PRE-TEMPORADA</v>
      </c>
      <c r="H1455" t="str" cm="1">
        <f t="array" ref="H1455">IFERROR(VLOOKUP(INPUT!M1450&amp;INPUT!N1450,CHOOSE({1,2},INPUT!$A$3:$A$5000&amp;INPUT!$C$3:$C$5000,INPUT!$D$3:$D$5000),2,FALSE),"")</f>
        <v>TEC-TAC</v>
      </c>
      <c r="I1455" s="46">
        <f>IF(INPUT!P1450="","",INPUT!P1450)</f>
        <v>77</v>
      </c>
      <c r="J1455" s="46">
        <f>IF(INPUT!Q1450="","",INPUT!Q1450)</f>
        <v>76.8</v>
      </c>
      <c r="K1455" s="46">
        <f>IFERROR(IF(OR(INPUT!P1450="",INPUT!Q1450=""),"",INPUT!P1450-INPUT!Q1450),"")</f>
        <v>0.20000000000000284</v>
      </c>
      <c r="L1455" s="48">
        <f>IFERROR(IF(OR(INPUT!P1450="",INPUT!Q1450="",INPUT!P1450=0),"",(INPUT!P1450-INPUT!Q1450)/INPUT!P1450),"")</f>
        <v>2.5974025974026343E-3</v>
      </c>
    </row>
    <row r="1456" spans="1:12" ht="18" hidden="1" customHeight="1" x14ac:dyDescent="0.2">
      <c r="A1456" s="11">
        <f>IF(INPUT!M1451="","",INPUT!M1451)</f>
        <v>46003</v>
      </c>
      <c r="B1456" s="11">
        <f>IF(INPUT!M1451="","",INPUT!M1451-WEEKDAY(INPUT!M1451,2)+1)</f>
        <v>45999</v>
      </c>
      <c r="C1456" s="20">
        <f>IFERROR(_xlfn.ISOWEEKNUM(INPUT!M1451),"")</f>
        <v>50</v>
      </c>
      <c r="D1456" s="20">
        <f>IFERROR(YEAR(INPUT!M1451),"")</f>
        <v>2025</v>
      </c>
      <c r="E1456" t="str">
        <f>IF(INPUT!O1451="","",INPUT!O1451)</f>
        <v>GARCIA</v>
      </c>
      <c r="F1456" t="str">
        <f>IF(INPUT!N1451="","",INPUT!N1451)</f>
        <v>T</v>
      </c>
      <c r="G1456" t="str" cm="1">
        <f t="array" ref="G1456">IFERROR(VLOOKUP(INPUT!M1451&amp;INPUT!N1451,CHOOSE({1,2},INPUT!$A$3:$A$5000&amp;INPUT!$C$3:$C$5000,INPUT!$F$3:$F$5000),2,FALSE),"")</f>
        <v>PRE-TEMPORADA</v>
      </c>
      <c r="H1456" t="str" cm="1">
        <f t="array" ref="H1456">IFERROR(VLOOKUP(INPUT!M1451&amp;INPUT!N1451,CHOOSE({1,2},INPUT!$A$3:$A$5000&amp;INPUT!$C$3:$C$5000,INPUT!$D$3:$D$5000),2,FALSE),"")</f>
        <v>TEC-TAC</v>
      </c>
      <c r="I1456" s="46">
        <f>IF(INPUT!P1451="","",INPUT!P1451)</f>
        <v>79.2</v>
      </c>
      <c r="J1456" s="46">
        <f>IF(INPUT!Q1451="","",INPUT!Q1451)</f>
        <v>79</v>
      </c>
      <c r="K1456" s="46">
        <f>IFERROR(IF(OR(INPUT!P1451="",INPUT!Q1451=""),"",INPUT!P1451-INPUT!Q1451),"")</f>
        <v>0.20000000000000284</v>
      </c>
      <c r="L1456" s="48">
        <f>IFERROR(IF(OR(INPUT!P1451="",INPUT!Q1451="",INPUT!P1451=0),"",(INPUT!P1451-INPUT!Q1451)/INPUT!P1451),"")</f>
        <v>2.525252525252561E-3</v>
      </c>
    </row>
    <row r="1457" spans="1:12" ht="18" hidden="1" customHeight="1" x14ac:dyDescent="0.2">
      <c r="A1457" s="11">
        <f>IF(INPUT!M1452="","",INPUT!M1452)</f>
        <v>46003</v>
      </c>
      <c r="B1457" s="11">
        <f>IF(INPUT!M1452="","",INPUT!M1452-WEEKDAY(INPUT!M1452,2)+1)</f>
        <v>45999</v>
      </c>
      <c r="C1457" s="20">
        <f>IFERROR(_xlfn.ISOWEEKNUM(INPUT!M1452),"")</f>
        <v>50</v>
      </c>
      <c r="D1457" s="20">
        <f>IFERROR(YEAR(INPUT!M1452),"")</f>
        <v>2025</v>
      </c>
      <c r="E1457" t="str">
        <f>IF(INPUT!O1452="","",INPUT!O1452)</f>
        <v>CECILIO</v>
      </c>
      <c r="F1457" t="str">
        <f>IF(INPUT!N1452="","",INPUT!N1452)</f>
        <v>T</v>
      </c>
      <c r="G1457" t="str" cm="1">
        <f t="array" ref="G1457">IFERROR(VLOOKUP(INPUT!M1452&amp;INPUT!N1452,CHOOSE({1,2},INPUT!$A$3:$A$5000&amp;INPUT!$C$3:$C$5000,INPUT!$F$3:$F$5000),2,FALSE),"")</f>
        <v>PRE-TEMPORADA</v>
      </c>
      <c r="H1457" t="str" cm="1">
        <f t="array" ref="H1457">IFERROR(VLOOKUP(INPUT!M1452&amp;INPUT!N1452,CHOOSE({1,2},INPUT!$A$3:$A$5000&amp;INPUT!$C$3:$C$5000,INPUT!$D$3:$D$5000),2,FALSE),"")</f>
        <v>TEC-TAC</v>
      </c>
      <c r="I1457" s="46">
        <f>IF(INPUT!P1452="","",INPUT!P1452)</f>
        <v>68</v>
      </c>
      <c r="J1457" s="46">
        <f>IF(INPUT!Q1452="","",INPUT!Q1452)</f>
        <v>67.5</v>
      </c>
      <c r="K1457" s="46">
        <f>IFERROR(IF(OR(INPUT!P1452="",INPUT!Q1452=""),"",INPUT!P1452-INPUT!Q1452),"")</f>
        <v>0.5</v>
      </c>
      <c r="L1457" s="48">
        <f>IFERROR(IF(OR(INPUT!P1452="",INPUT!Q1452="",INPUT!P1452=0),"",(INPUT!P1452-INPUT!Q1452)/INPUT!P1452),"")</f>
        <v>7.3529411764705881E-3</v>
      </c>
    </row>
    <row r="1458" spans="1:12" ht="18" hidden="1" customHeight="1" x14ac:dyDescent="0.2">
      <c r="A1458" s="11">
        <f>IF(INPUT!M1453="","",INPUT!M1453)</f>
        <v>46003</v>
      </c>
      <c r="B1458" s="11">
        <f>IF(INPUT!M1453="","",INPUT!M1453-WEEKDAY(INPUT!M1453,2)+1)</f>
        <v>45999</v>
      </c>
      <c r="C1458" s="20">
        <f>IFERROR(_xlfn.ISOWEEKNUM(INPUT!M1453),"")</f>
        <v>50</v>
      </c>
      <c r="D1458" s="20">
        <f>IFERROR(YEAR(INPUT!M1453),"")</f>
        <v>2025</v>
      </c>
      <c r="E1458" t="str">
        <f>IF(INPUT!O1453="","",INPUT!O1453)</f>
        <v>CHAGUINHA</v>
      </c>
      <c r="F1458" t="str">
        <f>IF(INPUT!N1453="","",INPUT!N1453)</f>
        <v>T</v>
      </c>
      <c r="G1458" t="str" cm="1">
        <f t="array" ref="G1458">IFERROR(VLOOKUP(INPUT!M1453&amp;INPUT!N1453,CHOOSE({1,2},INPUT!$A$3:$A$5000&amp;INPUT!$C$3:$C$5000,INPUT!$F$3:$F$5000),2,FALSE),"")</f>
        <v>PRE-TEMPORADA</v>
      </c>
      <c r="H1458" t="str" cm="1">
        <f t="array" ref="H1458">IFERROR(VLOOKUP(INPUT!M1453&amp;INPUT!N1453,CHOOSE({1,2},INPUT!$A$3:$A$5000&amp;INPUT!$C$3:$C$5000,INPUT!$D$3:$D$5000),2,FALSE),"")</f>
        <v>TEC-TAC</v>
      </c>
      <c r="I1458" s="46">
        <f>IF(INPUT!P1453="","",INPUT!P1453)</f>
        <v>69</v>
      </c>
      <c r="J1458" s="46">
        <f>IF(INPUT!Q1453="","",INPUT!Q1453)</f>
        <v>68.5</v>
      </c>
      <c r="K1458" s="46">
        <f>IFERROR(IF(OR(INPUT!P1453="",INPUT!Q1453=""),"",INPUT!P1453-INPUT!Q1453),"")</f>
        <v>0.5</v>
      </c>
      <c r="L1458" s="48">
        <f>IFERROR(IF(OR(INPUT!P1453="",INPUT!Q1453="",INPUT!P1453=0),"",(INPUT!P1453-INPUT!Q1453)/INPUT!P1453),"")</f>
        <v>7.246376811594203E-3</v>
      </c>
    </row>
    <row r="1459" spans="1:12" ht="18" hidden="1" customHeight="1" x14ac:dyDescent="0.2">
      <c r="A1459" s="11">
        <f>IF(INPUT!M1454="","",INPUT!M1454)</f>
        <v>46003</v>
      </c>
      <c r="B1459" s="11">
        <f>IF(INPUT!M1454="","",INPUT!M1454-WEEKDAY(INPUT!M1454,2)+1)</f>
        <v>45999</v>
      </c>
      <c r="C1459" s="20">
        <f>IFERROR(_xlfn.ISOWEEKNUM(INPUT!M1454),"")</f>
        <v>50</v>
      </c>
      <c r="D1459" s="20">
        <f>IFERROR(YEAR(INPUT!M1454),"")</f>
        <v>2025</v>
      </c>
      <c r="E1459" t="str">
        <f>IF(INPUT!O1454="","",INPUT!O1454)</f>
        <v>HARRISON</v>
      </c>
      <c r="F1459" t="str">
        <f>IF(INPUT!N1454="","",INPUT!N1454)</f>
        <v>T</v>
      </c>
      <c r="G1459" t="str" cm="1">
        <f t="array" ref="G1459">IFERROR(VLOOKUP(INPUT!M1454&amp;INPUT!N1454,CHOOSE({1,2},INPUT!$A$3:$A$5000&amp;INPUT!$C$3:$C$5000,INPUT!$F$3:$F$5000),2,FALSE),"")</f>
        <v>PRE-TEMPORADA</v>
      </c>
      <c r="H1459" t="str" cm="1">
        <f t="array" ref="H1459">IFERROR(VLOOKUP(INPUT!M1454&amp;INPUT!N1454,CHOOSE({1,2},INPUT!$A$3:$A$5000&amp;INPUT!$C$3:$C$5000,INPUT!$D$3:$D$5000),2,FALSE),"")</f>
        <v>TEC-TAC</v>
      </c>
      <c r="I1459" s="46">
        <f>IF(INPUT!P1454="","",INPUT!P1454)</f>
        <v>71</v>
      </c>
      <c r="J1459" s="46">
        <f>IF(INPUT!Q1454="","",INPUT!Q1454)</f>
        <v>71</v>
      </c>
      <c r="K1459" s="46">
        <f>IFERROR(IF(OR(INPUT!P1454="",INPUT!Q1454=""),"",INPUT!P1454-INPUT!Q1454),"")</f>
        <v>0</v>
      </c>
      <c r="L1459" s="48">
        <f>IFERROR(IF(OR(INPUT!P1454="",INPUT!Q1454="",INPUT!P1454=0),"",(INPUT!P1454-INPUT!Q1454)/INPUT!P1454),"")</f>
        <v>0</v>
      </c>
    </row>
    <row r="1460" spans="1:12" ht="18" hidden="1" customHeight="1" x14ac:dyDescent="0.2">
      <c r="A1460" s="11">
        <f>IF(INPUT!M1455="","",INPUT!M1455)</f>
        <v>46003</v>
      </c>
      <c r="B1460" s="11">
        <f>IF(INPUT!M1455="","",INPUT!M1455-WEEKDAY(INPUT!M1455,2)+1)</f>
        <v>45999</v>
      </c>
      <c r="C1460" s="20">
        <f>IFERROR(_xlfn.ISOWEEKNUM(INPUT!M1455),"")</f>
        <v>50</v>
      </c>
      <c r="D1460" s="20">
        <f>IFERROR(YEAR(INPUT!M1455),"")</f>
        <v>2025</v>
      </c>
      <c r="E1460" t="str">
        <f>IF(INPUT!O1455="","",INPUT!O1455)</f>
        <v>RAYA</v>
      </c>
      <c r="F1460" t="str">
        <f>IF(INPUT!N1455="","",INPUT!N1455)</f>
        <v>T</v>
      </c>
      <c r="G1460" t="str" cm="1">
        <f t="array" ref="G1460">IFERROR(VLOOKUP(INPUT!M1455&amp;INPUT!N1455,CHOOSE({1,2},INPUT!$A$3:$A$5000&amp;INPUT!$C$3:$C$5000,INPUT!$F$3:$F$5000),2,FALSE),"")</f>
        <v>PRE-TEMPORADA</v>
      </c>
      <c r="H1460" t="str" cm="1">
        <f t="array" ref="H1460">IFERROR(VLOOKUP(INPUT!M1455&amp;INPUT!N1455,CHOOSE({1,2},INPUT!$A$3:$A$5000&amp;INPUT!$C$3:$C$5000,INPUT!$D$3:$D$5000),2,FALSE),"")</f>
        <v>TEC-TAC</v>
      </c>
      <c r="I1460" s="46">
        <f>IF(INPUT!P1455="","",INPUT!P1455)</f>
        <v>81.900000000000006</v>
      </c>
      <c r="J1460" s="46">
        <f>IF(INPUT!Q1455="","",INPUT!Q1455)</f>
        <v>80.7</v>
      </c>
      <c r="K1460" s="46">
        <f>IFERROR(IF(OR(INPUT!P1455="",INPUT!Q1455=""),"",INPUT!P1455-INPUT!Q1455),"")</f>
        <v>1.2000000000000028</v>
      </c>
      <c r="L1460" s="48">
        <f>IFERROR(IF(OR(INPUT!P1455="",INPUT!Q1455="",INPUT!P1455=0),"",(INPUT!P1455-INPUT!Q1455)/INPUT!P1455),"")</f>
        <v>1.4652014652014685E-2</v>
      </c>
    </row>
    <row r="1461" spans="1:12" ht="18" hidden="1" customHeight="1" x14ac:dyDescent="0.2">
      <c r="A1461" s="11">
        <f>IF(INPUT!M1456="","",INPUT!M1456)</f>
        <v>46003</v>
      </c>
      <c r="B1461" s="11">
        <f>IF(INPUT!M1456="","",INPUT!M1456-WEEKDAY(INPUT!M1456,2)+1)</f>
        <v>45999</v>
      </c>
      <c r="C1461" s="20">
        <f>IFERROR(_xlfn.ISOWEEKNUM(INPUT!M1456),"")</f>
        <v>50</v>
      </c>
      <c r="D1461" s="20">
        <f>IFERROR(YEAR(INPUT!M1456),"")</f>
        <v>2025</v>
      </c>
      <c r="E1461" t="str">
        <f>IF(INPUT!O1456="","",INPUT!O1456)</f>
        <v>JAVI</v>
      </c>
      <c r="F1461" t="str">
        <f>IF(INPUT!N1456="","",INPUT!N1456)</f>
        <v>T</v>
      </c>
      <c r="G1461" t="str" cm="1">
        <f t="array" ref="G1461">IFERROR(VLOOKUP(INPUT!M1456&amp;INPUT!N1456,CHOOSE({1,2},INPUT!$A$3:$A$5000&amp;INPUT!$C$3:$C$5000,INPUT!$F$3:$F$5000),2,FALSE),"")</f>
        <v>PRE-TEMPORADA</v>
      </c>
      <c r="H1461" t="str" cm="1">
        <f t="array" ref="H1461">IFERROR(VLOOKUP(INPUT!M1456&amp;INPUT!N1456,CHOOSE({1,2},INPUT!$A$3:$A$5000&amp;INPUT!$C$3:$C$5000,INPUT!$D$3:$D$5000),2,FALSE),"")</f>
        <v>TEC-TAC</v>
      </c>
      <c r="I1461" s="46">
        <f>IF(INPUT!P1456="","",INPUT!P1456)</f>
        <v>78.099999999999994</v>
      </c>
      <c r="J1461" s="46">
        <f>IF(INPUT!Q1456="","",INPUT!Q1456)</f>
        <v>78.400000000000006</v>
      </c>
      <c r="K1461" s="46">
        <f>IFERROR(IF(OR(INPUT!P1456="",INPUT!Q1456=""),"",INPUT!P1456-INPUT!Q1456),"")</f>
        <v>-0.30000000000001137</v>
      </c>
      <c r="L1461" s="48">
        <f>IFERROR(IF(OR(INPUT!P1456="",INPUT!Q1456="",INPUT!P1456=0),"",(INPUT!P1456-INPUT!Q1456)/INPUT!P1456),"")</f>
        <v>-3.8412291933420154E-3</v>
      </c>
    </row>
    <row r="1462" spans="1:12" ht="18" hidden="1" customHeight="1" x14ac:dyDescent="0.2">
      <c r="A1462" s="11">
        <f>IF(INPUT!M1457="","",INPUT!M1457)</f>
        <v>46003</v>
      </c>
      <c r="B1462" s="11">
        <f>IF(INPUT!M1457="","",INPUT!M1457-WEEKDAY(INPUT!M1457,2)+1)</f>
        <v>45999</v>
      </c>
      <c r="C1462" s="20">
        <f>IFERROR(_xlfn.ISOWEEKNUM(INPUT!M1457),"")</f>
        <v>50</v>
      </c>
      <c r="D1462" s="20">
        <f>IFERROR(YEAR(INPUT!M1457),"")</f>
        <v>2025</v>
      </c>
      <c r="E1462" t="str">
        <f>IF(INPUT!O1457="","",INPUT!O1457)</f>
        <v>PANI</v>
      </c>
      <c r="F1462" t="str">
        <f>IF(INPUT!N1457="","",INPUT!N1457)</f>
        <v>T</v>
      </c>
      <c r="G1462" t="str" cm="1">
        <f t="array" ref="G1462">IFERROR(VLOOKUP(INPUT!M1457&amp;INPUT!N1457,CHOOSE({1,2},INPUT!$A$3:$A$5000&amp;INPUT!$C$3:$C$5000,INPUT!$F$3:$F$5000),2,FALSE),"")</f>
        <v>PRE-TEMPORADA</v>
      </c>
      <c r="H1462" t="str" cm="1">
        <f t="array" ref="H1462">IFERROR(VLOOKUP(INPUT!M1457&amp;INPUT!N1457,CHOOSE({1,2},INPUT!$A$3:$A$5000&amp;INPUT!$C$3:$C$5000,INPUT!$D$3:$D$5000),2,FALSE),"")</f>
        <v>TEC-TAC</v>
      </c>
      <c r="I1462" s="46">
        <f>IF(INPUT!P1457="","",INPUT!P1457)</f>
        <v>67</v>
      </c>
      <c r="J1462" s="46">
        <f>IF(INPUT!Q1457="","",INPUT!Q1457)</f>
        <v>66.7</v>
      </c>
      <c r="K1462" s="46">
        <f>IFERROR(IF(OR(INPUT!P1457="",INPUT!Q1457=""),"",INPUT!P1457-INPUT!Q1457),"")</f>
        <v>0.29999999999999716</v>
      </c>
      <c r="L1462" s="48">
        <f>IFERROR(IF(OR(INPUT!P1457="",INPUT!Q1457="",INPUT!P1457=0),"",(INPUT!P1457-INPUT!Q1457)/INPUT!P1457),"")</f>
        <v>4.4776119402984652E-3</v>
      </c>
    </row>
    <row r="1463" spans="1:12" ht="18" hidden="1" customHeight="1" x14ac:dyDescent="0.2">
      <c r="A1463" s="11">
        <f>IF(INPUT!M1458="","",INPUT!M1458)</f>
        <v>46003</v>
      </c>
      <c r="B1463" s="11">
        <f>IF(INPUT!M1458="","",INPUT!M1458-WEEKDAY(INPUT!M1458,2)+1)</f>
        <v>45999</v>
      </c>
      <c r="C1463" s="20">
        <f>IFERROR(_xlfn.ISOWEEKNUM(INPUT!M1458),"")</f>
        <v>50</v>
      </c>
      <c r="D1463" s="20">
        <f>IFERROR(YEAR(INPUT!M1458),"")</f>
        <v>2025</v>
      </c>
      <c r="E1463" t="str">
        <f>IF(INPUT!O1458="","",INPUT!O1458)</f>
        <v>PIRATA</v>
      </c>
      <c r="F1463" t="str">
        <f>IF(INPUT!N1458="","",INPUT!N1458)</f>
        <v>T</v>
      </c>
      <c r="G1463" t="str" cm="1">
        <f t="array" ref="G1463">IFERROR(VLOOKUP(INPUT!M1458&amp;INPUT!N1458,CHOOSE({1,2},INPUT!$A$3:$A$5000&amp;INPUT!$C$3:$C$5000,INPUT!$F$3:$F$5000),2,FALSE),"")</f>
        <v>PRE-TEMPORADA</v>
      </c>
      <c r="H1463" t="str" cm="1">
        <f t="array" ref="H1463">IFERROR(VLOOKUP(INPUT!M1458&amp;INPUT!N1458,CHOOSE({1,2},INPUT!$A$3:$A$5000&amp;INPUT!$C$3:$C$5000,INPUT!$D$3:$D$5000),2,FALSE),"")</f>
        <v>TEC-TAC</v>
      </c>
      <c r="I1463" s="46">
        <f>IF(INPUT!P1458="","",INPUT!P1458)</f>
        <v>75</v>
      </c>
      <c r="J1463" s="46">
        <f>IF(INPUT!Q1458="","",INPUT!Q1458)</f>
        <v>75.099999999999994</v>
      </c>
      <c r="K1463" s="46">
        <f>IFERROR(IF(OR(INPUT!P1458="",INPUT!Q1458=""),"",INPUT!P1458-INPUT!Q1458),"")</f>
        <v>-9.9999999999994316E-2</v>
      </c>
      <c r="L1463" s="48">
        <f>IFERROR(IF(OR(INPUT!P1458="",INPUT!Q1458="",INPUT!P1458=0),"",(INPUT!P1458-INPUT!Q1458)/INPUT!P1458),"")</f>
        <v>-1.3333333333332576E-3</v>
      </c>
    </row>
    <row r="1464" spans="1:12" ht="18" hidden="1" customHeight="1" x14ac:dyDescent="0.2">
      <c r="A1464" s="11">
        <f>IF(INPUT!M1459="","",INPUT!M1459)</f>
        <v>46003</v>
      </c>
      <c r="B1464" s="11">
        <f>IF(INPUT!M1459="","",INPUT!M1459-WEEKDAY(INPUT!M1459,2)+1)</f>
        <v>45999</v>
      </c>
      <c r="C1464" s="20">
        <f>IFERROR(_xlfn.ISOWEEKNUM(INPUT!M1459),"")</f>
        <v>50</v>
      </c>
      <c r="D1464" s="20">
        <f>IFERROR(YEAR(INPUT!M1459),"")</f>
        <v>2025</v>
      </c>
      <c r="E1464" t="str">
        <f>IF(INPUT!O1459="","",INPUT!O1459)</f>
        <v>BARONA</v>
      </c>
      <c r="F1464" t="str">
        <f>IF(INPUT!N1459="","",INPUT!N1459)</f>
        <v>T</v>
      </c>
      <c r="G1464" t="str" cm="1">
        <f t="array" ref="G1464">IFERROR(VLOOKUP(INPUT!M1459&amp;INPUT!N1459,CHOOSE({1,2},INPUT!$A$3:$A$5000&amp;INPUT!$C$3:$C$5000,INPUT!$F$3:$F$5000),2,FALSE),"")</f>
        <v>PRE-TEMPORADA</v>
      </c>
      <c r="H1464" t="str" cm="1">
        <f t="array" ref="H1464">IFERROR(VLOOKUP(INPUT!M1459&amp;INPUT!N1459,CHOOSE({1,2},INPUT!$A$3:$A$5000&amp;INPUT!$C$3:$C$5000,INPUT!$D$3:$D$5000),2,FALSE),"")</f>
        <v>TEC-TAC</v>
      </c>
      <c r="I1464" s="46">
        <f>IF(INPUT!P1459="","",INPUT!P1459)</f>
        <v>71.2</v>
      </c>
      <c r="J1464" s="46">
        <f>IF(INPUT!Q1459="","",INPUT!Q1459)</f>
        <v>71</v>
      </c>
      <c r="K1464" s="46">
        <f>IFERROR(IF(OR(INPUT!P1459="",INPUT!Q1459=""),"",INPUT!P1459-INPUT!Q1459),"")</f>
        <v>0.20000000000000284</v>
      </c>
      <c r="L1464" s="48">
        <f>IFERROR(IF(OR(INPUT!P1459="",INPUT!Q1459="",INPUT!P1459=0),"",(INPUT!P1459-INPUT!Q1459)/INPUT!P1459),"")</f>
        <v>2.8089887640449836E-3</v>
      </c>
    </row>
    <row r="1465" spans="1:12" ht="18" customHeight="1" x14ac:dyDescent="0.2">
      <c r="A1465" s="11">
        <f>IF(INPUT!M1460="","",INPUT!M1460)</f>
        <v>46003</v>
      </c>
      <c r="B1465" s="11">
        <f>IF(INPUT!M1460="","",INPUT!M1460-WEEKDAY(INPUT!M1460,2)+1)</f>
        <v>45999</v>
      </c>
      <c r="C1465" s="20">
        <f>IFERROR(_xlfn.ISOWEEKNUM(INPUT!M1460),"")</f>
        <v>50</v>
      </c>
      <c r="D1465" s="20">
        <f>IFERROR(YEAR(INPUT!M1460),"")</f>
        <v>2025</v>
      </c>
      <c r="E1465" t="str">
        <f>IF(INPUT!O1460="","",INPUT!O1460)</f>
        <v>CARLOS</v>
      </c>
      <c r="F1465" t="str">
        <f>IF(INPUT!N1460="","",INPUT!N1460)</f>
        <v>T</v>
      </c>
      <c r="G1465" t="str" cm="1">
        <f t="array" ref="G1465">IFERROR(VLOOKUP(INPUT!M1460&amp;INPUT!N1460,CHOOSE({1,2},INPUT!$A$3:$A$5000&amp;INPUT!$C$3:$C$5000,INPUT!$F$3:$F$5000),2,FALSE),"")</f>
        <v>PRE-TEMPORADA</v>
      </c>
      <c r="H1465" t="str" cm="1">
        <f t="array" ref="H1465">IFERROR(VLOOKUP(INPUT!M1460&amp;INPUT!N1460,CHOOSE({1,2},INPUT!$A$3:$A$5000&amp;INPUT!$C$3:$C$5000,INPUT!$D$3:$D$5000),2,FALSE),"")</f>
        <v>TEC-TAC</v>
      </c>
      <c r="I1465" s="46">
        <f>IF(INPUT!P1460="","",INPUT!P1460)</f>
        <v>67</v>
      </c>
      <c r="J1465" s="46">
        <f>IF(INPUT!Q1460="","",INPUT!Q1460)</f>
        <v>67.2</v>
      </c>
      <c r="K1465" s="46">
        <f>IFERROR(IF(OR(INPUT!P1460="",INPUT!Q1460=""),"",INPUT!P1460-INPUT!Q1460),"")</f>
        <v>-0.20000000000000284</v>
      </c>
      <c r="L1465" s="48">
        <f>IFERROR(IF(OR(INPUT!P1460="",INPUT!Q1460="",INPUT!P1460=0),"",(INPUT!P1460-INPUT!Q1460)/INPUT!P1460),"")</f>
        <v>-2.9850746268657142E-3</v>
      </c>
    </row>
    <row r="1466" spans="1:12" ht="18" customHeight="1" x14ac:dyDescent="0.2">
      <c r="A1466" s="11">
        <f>IF(INPUT!M1461="","",INPUT!M1461)</f>
        <v>46003</v>
      </c>
      <c r="B1466" s="11">
        <f>IF(INPUT!M1461="","",INPUT!M1461-WEEKDAY(INPUT!M1461,2)+1)</f>
        <v>45999</v>
      </c>
      <c r="C1466" s="20">
        <f>IFERROR(_xlfn.ISOWEEKNUM(INPUT!M1461),"")</f>
        <v>50</v>
      </c>
      <c r="D1466" s="20">
        <f>IFERROR(YEAR(INPUT!M1461),"")</f>
        <v>2025</v>
      </c>
      <c r="E1466" t="str">
        <f>IF(INPUT!O1461="","",INPUT!O1461)</f>
        <v>RUBIO</v>
      </c>
      <c r="F1466" t="str">
        <f>IF(INPUT!N1461="","",INPUT!N1461)</f>
        <v>T</v>
      </c>
      <c r="G1466" t="str" cm="1">
        <f t="array" ref="G1466">IFERROR(VLOOKUP(INPUT!M1461&amp;INPUT!N1461,CHOOSE({1,2},INPUT!$A$3:$A$5000&amp;INPUT!$C$3:$C$5000,INPUT!$F$3:$F$5000),2,FALSE),"")</f>
        <v>PRE-TEMPORADA</v>
      </c>
      <c r="H1466" t="str" cm="1">
        <f t="array" ref="H1466">IFERROR(VLOOKUP(INPUT!M1461&amp;INPUT!N1461,CHOOSE({1,2},INPUT!$A$3:$A$5000&amp;INPUT!$C$3:$C$5000,INPUT!$D$3:$D$5000),2,FALSE),"")</f>
        <v>TEC-TAC</v>
      </c>
      <c r="I1466" s="46">
        <f>IF(INPUT!P1461="","",INPUT!P1461)</f>
        <v>75.400000000000006</v>
      </c>
      <c r="J1466" s="46">
        <f>IF(INPUT!Q1461="","",INPUT!Q1461)</f>
        <v>75.400000000000006</v>
      </c>
      <c r="K1466" s="46">
        <f>IFERROR(IF(OR(INPUT!P1461="",INPUT!Q1461=""),"",INPUT!P1461-INPUT!Q1461),"")</f>
        <v>0</v>
      </c>
      <c r="L1466" s="48">
        <f>IFERROR(IF(OR(INPUT!P1461="",INPUT!Q1461="",INPUT!P1461=0),"",(INPUT!P1461-INPUT!Q1461)/INPUT!P1461),"")</f>
        <v>0</v>
      </c>
    </row>
    <row r="1467" spans="1:12" ht="18" customHeight="1" x14ac:dyDescent="0.2">
      <c r="A1467" s="11">
        <f>IF(INPUT!M1462="","",INPUT!M1462)</f>
        <v>46003</v>
      </c>
      <c r="B1467" s="11">
        <f>IF(INPUT!M1462="","",INPUT!M1462-WEEKDAY(INPUT!M1462,2)+1)</f>
        <v>45999</v>
      </c>
      <c r="C1467" s="20">
        <f>IFERROR(_xlfn.ISOWEEKNUM(INPUT!M1462),"")</f>
        <v>50</v>
      </c>
      <c r="D1467" s="20">
        <f>IFERROR(YEAR(INPUT!M1462),"")</f>
        <v>2025</v>
      </c>
      <c r="E1467" t="str">
        <f>IF(INPUT!O1462="","",INPUT!O1462)</f>
        <v>DANI</v>
      </c>
      <c r="F1467" t="str">
        <f>IF(INPUT!N1462="","",INPUT!N1462)</f>
        <v>T</v>
      </c>
      <c r="G1467" t="str" cm="1">
        <f t="array" ref="G1467">IFERROR(VLOOKUP(INPUT!M1462&amp;INPUT!N1462,CHOOSE({1,2},INPUT!$A$3:$A$5000&amp;INPUT!$C$3:$C$5000,INPUT!$F$3:$F$5000),2,FALSE),"")</f>
        <v>PRE-TEMPORADA</v>
      </c>
      <c r="H1467" t="str" cm="1">
        <f t="array" ref="H1467">IFERROR(VLOOKUP(INPUT!M1462&amp;INPUT!N1462,CHOOSE({1,2},INPUT!$A$3:$A$5000&amp;INPUT!$C$3:$C$5000,INPUT!$D$3:$D$5000),2,FALSE),"")</f>
        <v>TEC-TAC</v>
      </c>
      <c r="I1467" s="46">
        <f>IF(INPUT!P1462="","",INPUT!P1462)</f>
        <v>93.9</v>
      </c>
      <c r="J1467" s="46">
        <f>IF(INPUT!Q1462="","",INPUT!Q1462)</f>
        <v>94</v>
      </c>
      <c r="K1467" s="46">
        <f>IFERROR(IF(OR(INPUT!P1462="",INPUT!Q1462=""),"",INPUT!P1462-INPUT!Q1462),"")</f>
        <v>-9.9999999999994316E-2</v>
      </c>
      <c r="L1467" s="48">
        <f>IFERROR(IF(OR(INPUT!P1462="",INPUT!Q1462="",INPUT!P1462=0),"",(INPUT!P1462-INPUT!Q1462)/INPUT!P1462),"")</f>
        <v>-1.0649627263045187E-3</v>
      </c>
    </row>
    <row r="1468" spans="1:12" ht="18" customHeight="1" x14ac:dyDescent="0.2">
      <c r="A1468" s="11">
        <f>IF(INPUT!M1463="","",INPUT!M1463)</f>
        <v>46003</v>
      </c>
      <c r="B1468" s="11">
        <f>IF(INPUT!M1463="","",INPUT!M1463-WEEKDAY(INPUT!M1463,2)+1)</f>
        <v>45999</v>
      </c>
      <c r="C1468" s="20">
        <f>IFERROR(_xlfn.ISOWEEKNUM(INPUT!M1463),"")</f>
        <v>50</v>
      </c>
      <c r="D1468" s="20">
        <f>IFERROR(YEAR(INPUT!M1463),"")</f>
        <v>2025</v>
      </c>
      <c r="E1468" t="str">
        <f>IF(INPUT!O1463="","",INPUT!O1463)</f>
        <v>JAIME</v>
      </c>
      <c r="F1468" t="str">
        <f>IF(INPUT!N1463="","",INPUT!N1463)</f>
        <v>T</v>
      </c>
      <c r="G1468" t="str" cm="1">
        <f t="array" ref="G1468">IFERROR(VLOOKUP(INPUT!M1463&amp;INPUT!N1463,CHOOSE({1,2},INPUT!$A$3:$A$5000&amp;INPUT!$C$3:$C$5000,INPUT!$F$3:$F$5000),2,FALSE),"")</f>
        <v>PRE-TEMPORADA</v>
      </c>
      <c r="H1468" t="str" cm="1">
        <f t="array" ref="H1468">IFERROR(VLOOKUP(INPUT!M1463&amp;INPUT!N1463,CHOOSE({1,2},INPUT!$A$3:$A$5000&amp;INPUT!$C$3:$C$5000,INPUT!$D$3:$D$5000),2,FALSE),"")</f>
        <v>TEC-TAC</v>
      </c>
      <c r="I1468" s="46">
        <f>IF(INPUT!P1463="","",INPUT!P1463)</f>
        <v>75.599999999999994</v>
      </c>
      <c r="J1468" s="46">
        <f>IF(INPUT!Q1463="","",INPUT!Q1463)</f>
        <v>75.400000000000006</v>
      </c>
      <c r="K1468" s="46">
        <f>IFERROR(IF(OR(INPUT!P1463="",INPUT!Q1463=""),"",INPUT!P1463-INPUT!Q1463),"")</f>
        <v>0.19999999999998863</v>
      </c>
      <c r="L1468" s="48">
        <f>IFERROR(IF(OR(INPUT!P1463="",INPUT!Q1463="",INPUT!P1463=0),"",(INPUT!P1463-INPUT!Q1463)/INPUT!P1463),"")</f>
        <v>2.6455026455024953E-3</v>
      </c>
    </row>
    <row r="1469" spans="1:12" ht="18" hidden="1" customHeight="1" x14ac:dyDescent="0.2">
      <c r="A1469" s="11">
        <f>IF(INPUT!M1464="","",INPUT!M1464)</f>
        <v>46007</v>
      </c>
      <c r="B1469" s="11">
        <f>IF(INPUT!M1464="","",INPUT!M1464-WEEKDAY(INPUT!M1464,2)+1)</f>
        <v>46006</v>
      </c>
      <c r="C1469" s="20">
        <f>IFERROR(_xlfn.ISOWEEKNUM(INPUT!M1464),"")</f>
        <v>51</v>
      </c>
      <c r="D1469" s="20">
        <f>IFERROR(YEAR(INPUT!M1464),"")</f>
        <v>2025</v>
      </c>
      <c r="E1469" t="str">
        <f>IF(INPUT!O1464="","",INPUT!O1464)</f>
        <v>HERRERO</v>
      </c>
      <c r="F1469" t="str">
        <f>IF(INPUT!N1464="","",INPUT!N1464)</f>
        <v>T</v>
      </c>
      <c r="G1469" t="str" cm="1">
        <f t="array" ref="G1469">IFERROR(VLOOKUP(INPUT!M1464&amp;INPUT!N1464,CHOOSE({1,2},INPUT!$A$3:$A$5000&amp;INPUT!$C$3:$C$5000,INPUT!$F$3:$F$5000),2,FALSE),"")</f>
        <v>PRE-TEMPORADA</v>
      </c>
      <c r="H1469" t="str" cm="1">
        <f t="array" ref="H1469">IFERROR(VLOOKUP(INPUT!M1464&amp;INPUT!N1464,CHOOSE({1,2},INPUT!$A$3:$A$5000&amp;INPUT!$C$3:$C$5000,INPUT!$D$3:$D$5000),2,FALSE),"")</f>
        <v>GYM+TEC-TAC</v>
      </c>
      <c r="I1469" s="46">
        <f>IF(INPUT!P1464="","",INPUT!P1464)</f>
        <v>77</v>
      </c>
      <c r="J1469" s="46">
        <f>IF(INPUT!Q1464="","",INPUT!Q1464)</f>
        <v>77</v>
      </c>
      <c r="K1469" s="46">
        <f>IFERROR(IF(OR(INPUT!P1464="",INPUT!Q1464=""),"",INPUT!P1464-INPUT!Q1464),"")</f>
        <v>0</v>
      </c>
      <c r="L1469" s="48">
        <f>IFERROR(IF(OR(INPUT!P1464="",INPUT!Q1464="",INPUT!P1464=0),"",(INPUT!P1464-INPUT!Q1464)/INPUT!P1464),"")</f>
        <v>0</v>
      </c>
    </row>
    <row r="1470" spans="1:12" ht="18" hidden="1" customHeight="1" x14ac:dyDescent="0.2">
      <c r="A1470" s="11">
        <f>IF(INPUT!M1465="","",INPUT!M1465)</f>
        <v>46007</v>
      </c>
      <c r="B1470" s="11">
        <f>IF(INPUT!M1465="","",INPUT!M1465-WEEKDAY(INPUT!M1465,2)+1)</f>
        <v>46006</v>
      </c>
      <c r="C1470" s="20">
        <f>IFERROR(_xlfn.ISOWEEKNUM(INPUT!M1465),"")</f>
        <v>51</v>
      </c>
      <c r="D1470" s="20">
        <f>IFERROR(YEAR(INPUT!M1465),"")</f>
        <v>2025</v>
      </c>
      <c r="E1470" t="str">
        <f>IF(INPUT!O1465="","",INPUT!O1465)</f>
        <v>GARCIA</v>
      </c>
      <c r="F1470" t="str">
        <f>IF(INPUT!N1465="","",INPUT!N1465)</f>
        <v>T</v>
      </c>
      <c r="G1470" t="str" cm="1">
        <f t="array" ref="G1470">IFERROR(VLOOKUP(INPUT!M1465&amp;INPUT!N1465,CHOOSE({1,2},INPUT!$A$3:$A$5000&amp;INPUT!$C$3:$C$5000,INPUT!$F$3:$F$5000),2,FALSE),"")</f>
        <v>PRE-TEMPORADA</v>
      </c>
      <c r="H1470" t="str" cm="1">
        <f t="array" ref="H1470">IFERROR(VLOOKUP(INPUT!M1465&amp;INPUT!N1465,CHOOSE({1,2},INPUT!$A$3:$A$5000&amp;INPUT!$C$3:$C$5000,INPUT!$D$3:$D$5000),2,FALSE),"")</f>
        <v>GYM+TEC-TAC</v>
      </c>
      <c r="I1470" s="46">
        <f>IF(INPUT!P1465="","",INPUT!P1465)</f>
        <v>70</v>
      </c>
      <c r="J1470" s="46">
        <f>IF(INPUT!Q1465="","",INPUT!Q1465)</f>
        <v>78.8</v>
      </c>
      <c r="K1470" s="46">
        <f>IFERROR(IF(OR(INPUT!P1465="",INPUT!Q1465=""),"",INPUT!P1465-INPUT!Q1465),"")</f>
        <v>-8.7999999999999972</v>
      </c>
      <c r="L1470" s="48">
        <f>IFERROR(IF(OR(INPUT!P1465="",INPUT!Q1465="",INPUT!P1465=0),"",(INPUT!P1465-INPUT!Q1465)/INPUT!P1465),"")</f>
        <v>-0.12571428571428567</v>
      </c>
    </row>
    <row r="1471" spans="1:12" ht="18" hidden="1" customHeight="1" x14ac:dyDescent="0.2">
      <c r="A1471" s="11">
        <f>IF(INPUT!M1466="","",INPUT!M1466)</f>
        <v>46007</v>
      </c>
      <c r="B1471" s="11">
        <f>IF(INPUT!M1466="","",INPUT!M1466-WEEKDAY(INPUT!M1466,2)+1)</f>
        <v>46006</v>
      </c>
      <c r="C1471" s="20">
        <f>IFERROR(_xlfn.ISOWEEKNUM(INPUT!M1466),"")</f>
        <v>51</v>
      </c>
      <c r="D1471" s="20">
        <f>IFERROR(YEAR(INPUT!M1466),"")</f>
        <v>2025</v>
      </c>
      <c r="E1471" t="str">
        <f>IF(INPUT!O1466="","",INPUT!O1466)</f>
        <v>CHAGUINHA</v>
      </c>
      <c r="F1471" t="str">
        <f>IF(INPUT!N1466="","",INPUT!N1466)</f>
        <v>T</v>
      </c>
      <c r="G1471" t="str" cm="1">
        <f t="array" ref="G1471">IFERROR(VLOOKUP(INPUT!M1466&amp;INPUT!N1466,CHOOSE({1,2},INPUT!$A$3:$A$5000&amp;INPUT!$C$3:$C$5000,INPUT!$F$3:$F$5000),2,FALSE),"")</f>
        <v>PRE-TEMPORADA</v>
      </c>
      <c r="H1471" t="str" cm="1">
        <f t="array" ref="H1471">IFERROR(VLOOKUP(INPUT!M1466&amp;INPUT!N1466,CHOOSE({1,2},INPUT!$A$3:$A$5000&amp;INPUT!$C$3:$C$5000,INPUT!$D$3:$D$5000),2,FALSE),"")</f>
        <v>GYM+TEC-TAC</v>
      </c>
      <c r="I1471" s="46">
        <f>IF(INPUT!P1466="","",INPUT!P1466)</f>
        <v>69.5</v>
      </c>
      <c r="J1471" s="46">
        <f>IF(INPUT!Q1466="","",INPUT!Q1466)</f>
        <v>68.8</v>
      </c>
      <c r="K1471" s="46">
        <f>IFERROR(IF(OR(INPUT!P1466="",INPUT!Q1466=""),"",INPUT!P1466-INPUT!Q1466),"")</f>
        <v>0.70000000000000284</v>
      </c>
      <c r="L1471" s="48">
        <f>IFERROR(IF(OR(INPUT!P1466="",INPUT!Q1466="",INPUT!P1466=0),"",(INPUT!P1466-INPUT!Q1466)/INPUT!P1466),"")</f>
        <v>1.0071942446043206E-2</v>
      </c>
    </row>
    <row r="1472" spans="1:12" ht="18" hidden="1" customHeight="1" x14ac:dyDescent="0.2">
      <c r="A1472" s="11">
        <f>IF(INPUT!M1467="","",INPUT!M1467)</f>
        <v>46007</v>
      </c>
      <c r="B1472" s="11">
        <f>IF(INPUT!M1467="","",INPUT!M1467-WEEKDAY(INPUT!M1467,2)+1)</f>
        <v>46006</v>
      </c>
      <c r="C1472" s="20">
        <f>IFERROR(_xlfn.ISOWEEKNUM(INPUT!M1467),"")</f>
        <v>51</v>
      </c>
      <c r="D1472" s="20">
        <f>IFERROR(YEAR(INPUT!M1467),"")</f>
        <v>2025</v>
      </c>
      <c r="E1472" t="str">
        <f>IF(INPUT!O1467="","",INPUT!O1467)</f>
        <v>RAUL</v>
      </c>
      <c r="F1472" t="str">
        <f>IF(INPUT!N1467="","",INPUT!N1467)</f>
        <v>T</v>
      </c>
      <c r="G1472" t="str" cm="1">
        <f t="array" ref="G1472">IFERROR(VLOOKUP(INPUT!M1467&amp;INPUT!N1467,CHOOSE({1,2},INPUT!$A$3:$A$5000&amp;INPUT!$C$3:$C$5000,INPUT!$F$3:$F$5000),2,FALSE),"")</f>
        <v>PRE-TEMPORADA</v>
      </c>
      <c r="H1472" t="str" cm="1">
        <f t="array" ref="H1472">IFERROR(VLOOKUP(INPUT!M1467&amp;INPUT!N1467,CHOOSE({1,2},INPUT!$A$3:$A$5000&amp;INPUT!$C$3:$C$5000,INPUT!$D$3:$D$5000),2,FALSE),"")</f>
        <v>GYM+TEC-TAC</v>
      </c>
      <c r="I1472" s="46">
        <f>IF(INPUT!P1467="","",INPUT!P1467)</f>
        <v>81</v>
      </c>
      <c r="J1472" s="46">
        <f>IF(INPUT!Q1467="","",INPUT!Q1467)</f>
        <v>80.5</v>
      </c>
      <c r="K1472" s="46">
        <f>IFERROR(IF(OR(INPUT!P1467="",INPUT!Q1467=""),"",INPUT!P1467-INPUT!Q1467),"")</f>
        <v>0.5</v>
      </c>
      <c r="L1472" s="48">
        <f>IFERROR(IF(OR(INPUT!P1467="",INPUT!Q1467="",INPUT!P1467=0),"",(INPUT!P1467-INPUT!Q1467)/INPUT!P1467),"")</f>
        <v>6.1728395061728392E-3</v>
      </c>
    </row>
    <row r="1473" spans="1:12" ht="18" hidden="1" customHeight="1" x14ac:dyDescent="0.2">
      <c r="A1473" s="11">
        <f>IF(INPUT!M1468="","",INPUT!M1468)</f>
        <v>46007</v>
      </c>
      <c r="B1473" s="11">
        <f>IF(INPUT!M1468="","",INPUT!M1468-WEEKDAY(INPUT!M1468,2)+1)</f>
        <v>46006</v>
      </c>
      <c r="C1473" s="20">
        <f>IFERROR(_xlfn.ISOWEEKNUM(INPUT!M1468),"")</f>
        <v>51</v>
      </c>
      <c r="D1473" s="20">
        <f>IFERROR(YEAR(INPUT!M1468),"")</f>
        <v>2025</v>
      </c>
      <c r="E1473" t="str">
        <f>IF(INPUT!O1468="","",INPUT!O1468)</f>
        <v>PANI</v>
      </c>
      <c r="F1473" t="str">
        <f>IF(INPUT!N1468="","",INPUT!N1468)</f>
        <v>T</v>
      </c>
      <c r="G1473" t="str" cm="1">
        <f t="array" ref="G1473">IFERROR(VLOOKUP(INPUT!M1468&amp;INPUT!N1468,CHOOSE({1,2},INPUT!$A$3:$A$5000&amp;INPUT!$C$3:$C$5000,INPUT!$F$3:$F$5000),2,FALSE),"")</f>
        <v>PRE-TEMPORADA</v>
      </c>
      <c r="H1473" t="str" cm="1">
        <f t="array" ref="H1473">IFERROR(VLOOKUP(INPUT!M1468&amp;INPUT!N1468,CHOOSE({1,2},INPUT!$A$3:$A$5000&amp;INPUT!$C$3:$C$5000,INPUT!$D$3:$D$5000),2,FALSE),"")</f>
        <v>GYM+TEC-TAC</v>
      </c>
      <c r="I1473" s="46">
        <f>IF(INPUT!P1468="","",INPUT!P1468)</f>
        <v>67.7</v>
      </c>
      <c r="J1473" s="46">
        <f>IF(INPUT!Q1468="","",INPUT!Q1468)</f>
        <v>66.599999999999994</v>
      </c>
      <c r="K1473" s="46">
        <f>IFERROR(IF(OR(INPUT!P1468="",INPUT!Q1468=""),"",INPUT!P1468-INPUT!Q1468),"")</f>
        <v>1.1000000000000085</v>
      </c>
      <c r="L1473" s="48">
        <f>IFERROR(IF(OR(INPUT!P1468="",INPUT!Q1468="",INPUT!P1468=0),"",(INPUT!P1468-INPUT!Q1468)/INPUT!P1468),"")</f>
        <v>1.6248153618907069E-2</v>
      </c>
    </row>
    <row r="1474" spans="1:12" ht="18" hidden="1" customHeight="1" x14ac:dyDescent="0.2">
      <c r="A1474" s="11">
        <f>IF(INPUT!M1469="","",INPUT!M1469)</f>
        <v>46007</v>
      </c>
      <c r="B1474" s="11">
        <f>IF(INPUT!M1469="","",INPUT!M1469-WEEKDAY(INPUT!M1469,2)+1)</f>
        <v>46006</v>
      </c>
      <c r="C1474" s="20">
        <f>IFERROR(_xlfn.ISOWEEKNUM(INPUT!M1469),"")</f>
        <v>51</v>
      </c>
      <c r="D1474" s="20">
        <f>IFERROR(YEAR(INPUT!M1469),"")</f>
        <v>2025</v>
      </c>
      <c r="E1474" t="str">
        <f>IF(INPUT!O1469="","",INPUT!O1469)</f>
        <v>PIRATA</v>
      </c>
      <c r="F1474" t="str">
        <f>IF(INPUT!N1469="","",INPUT!N1469)</f>
        <v>T</v>
      </c>
      <c r="G1474" t="str" cm="1">
        <f t="array" ref="G1474">IFERROR(VLOOKUP(INPUT!M1469&amp;INPUT!N1469,CHOOSE({1,2},INPUT!$A$3:$A$5000&amp;INPUT!$C$3:$C$5000,INPUT!$F$3:$F$5000),2,FALSE),"")</f>
        <v>PRE-TEMPORADA</v>
      </c>
      <c r="H1474" t="str" cm="1">
        <f t="array" ref="H1474">IFERROR(VLOOKUP(INPUT!M1469&amp;INPUT!N1469,CHOOSE({1,2},INPUT!$A$3:$A$5000&amp;INPUT!$C$3:$C$5000,INPUT!$D$3:$D$5000),2,FALSE),"")</f>
        <v>GYM+TEC-TAC</v>
      </c>
      <c r="I1474" s="46">
        <f>IF(INPUT!P1469="","",INPUT!P1469)</f>
        <v>75.2</v>
      </c>
      <c r="J1474" s="46">
        <f>IF(INPUT!Q1469="","",INPUT!Q1469)</f>
        <v>75.099999999999994</v>
      </c>
      <c r="K1474" s="46">
        <f>IFERROR(IF(OR(INPUT!P1469="",INPUT!Q1469=""),"",INPUT!P1469-INPUT!Q1469),"")</f>
        <v>0.10000000000000853</v>
      </c>
      <c r="L1474" s="48">
        <f>IFERROR(IF(OR(INPUT!P1469="",INPUT!Q1469="",INPUT!P1469=0),"",(INPUT!P1469-INPUT!Q1469)/INPUT!P1469),"")</f>
        <v>1.3297872340426666E-3</v>
      </c>
    </row>
    <row r="1475" spans="1:12" ht="18" hidden="1" customHeight="1" x14ac:dyDescent="0.2">
      <c r="A1475" s="11">
        <f>IF(INPUT!M1470="","",INPUT!M1470)</f>
        <v>46007</v>
      </c>
      <c r="B1475" s="11">
        <f>IF(INPUT!M1470="","",INPUT!M1470-WEEKDAY(INPUT!M1470,2)+1)</f>
        <v>46006</v>
      </c>
      <c r="C1475" s="20">
        <f>IFERROR(_xlfn.ISOWEEKNUM(INPUT!M1470),"")</f>
        <v>51</v>
      </c>
      <c r="D1475" s="20">
        <f>IFERROR(YEAR(INPUT!M1470),"")</f>
        <v>2025</v>
      </c>
      <c r="E1475" t="str">
        <f>IF(INPUT!O1470="","",INPUT!O1470)</f>
        <v>BARONA</v>
      </c>
      <c r="F1475" t="str">
        <f>IF(INPUT!N1470="","",INPUT!N1470)</f>
        <v>T</v>
      </c>
      <c r="G1475" t="str" cm="1">
        <f t="array" ref="G1475">IFERROR(VLOOKUP(INPUT!M1470&amp;INPUT!N1470,CHOOSE({1,2},INPUT!$A$3:$A$5000&amp;INPUT!$C$3:$C$5000,INPUT!$F$3:$F$5000),2,FALSE),"")</f>
        <v>PRE-TEMPORADA</v>
      </c>
      <c r="H1475" t="str" cm="1">
        <f t="array" ref="H1475">IFERROR(VLOOKUP(INPUT!M1470&amp;INPUT!N1470,CHOOSE({1,2},INPUT!$A$3:$A$5000&amp;INPUT!$C$3:$C$5000,INPUT!$D$3:$D$5000),2,FALSE),"")</f>
        <v>GYM+TEC-TAC</v>
      </c>
      <c r="I1475" s="46">
        <f>IF(INPUT!P1470="","",INPUT!P1470)</f>
        <v>71.2</v>
      </c>
      <c r="J1475" s="46">
        <f>IF(INPUT!Q1470="","",INPUT!Q1470)</f>
        <v>71.2</v>
      </c>
      <c r="K1475" s="46">
        <f>IFERROR(IF(OR(INPUT!P1470="",INPUT!Q1470=""),"",INPUT!P1470-INPUT!Q1470),"")</f>
        <v>0</v>
      </c>
      <c r="L1475" s="48">
        <f>IFERROR(IF(OR(INPUT!P1470="",INPUT!Q1470="",INPUT!P1470=0),"",(INPUT!P1470-INPUT!Q1470)/INPUT!P1470),"")</f>
        <v>0</v>
      </c>
    </row>
    <row r="1476" spans="1:12" ht="18" hidden="1" customHeight="1" x14ac:dyDescent="0.2">
      <c r="A1476" s="11">
        <f>IF(INPUT!M1471="","",INPUT!M1471)</f>
        <v>46007</v>
      </c>
      <c r="B1476" s="11">
        <f>IF(INPUT!M1471="","",INPUT!M1471-WEEKDAY(INPUT!M1471,2)+1)</f>
        <v>46006</v>
      </c>
      <c r="C1476" s="20">
        <f>IFERROR(_xlfn.ISOWEEKNUM(INPUT!M1471),"")</f>
        <v>51</v>
      </c>
      <c r="D1476" s="20">
        <f>IFERROR(YEAR(INPUT!M1471),"")</f>
        <v>2025</v>
      </c>
      <c r="E1476" t="str">
        <f>IF(INPUT!O1471="","",INPUT!O1471)</f>
        <v>CARLOS</v>
      </c>
      <c r="F1476" t="str">
        <f>IF(INPUT!N1471="","",INPUT!N1471)</f>
        <v>T</v>
      </c>
      <c r="G1476" t="str" cm="1">
        <f t="array" ref="G1476">IFERROR(VLOOKUP(INPUT!M1471&amp;INPUT!N1471,CHOOSE({1,2},INPUT!$A$3:$A$5000&amp;INPUT!$C$3:$C$5000,INPUT!$F$3:$F$5000),2,FALSE),"")</f>
        <v>PRE-TEMPORADA</v>
      </c>
      <c r="H1476" t="str" cm="1">
        <f t="array" ref="H1476">IFERROR(VLOOKUP(INPUT!M1471&amp;INPUT!N1471,CHOOSE({1,2},INPUT!$A$3:$A$5000&amp;INPUT!$C$3:$C$5000,INPUT!$D$3:$D$5000),2,FALSE),"")</f>
        <v>GYM+TEC-TAC</v>
      </c>
      <c r="I1476" s="46">
        <f>IF(INPUT!P1471="","",INPUT!P1471)</f>
        <v>67.099999999999994</v>
      </c>
      <c r="J1476" s="46">
        <f>IF(INPUT!Q1471="","",INPUT!Q1471)</f>
        <v>66.599999999999994</v>
      </c>
      <c r="K1476" s="46">
        <f>IFERROR(IF(OR(INPUT!P1471="",INPUT!Q1471=""),"",INPUT!P1471-INPUT!Q1471),"")</f>
        <v>0.5</v>
      </c>
      <c r="L1476" s="48">
        <f>IFERROR(IF(OR(INPUT!P1471="",INPUT!Q1471="",INPUT!P1471=0),"",(INPUT!P1471-INPUT!Q1471)/INPUT!P1471),"")</f>
        <v>7.4515648286140098E-3</v>
      </c>
    </row>
    <row r="1477" spans="1:12" ht="18" hidden="1" customHeight="1" x14ac:dyDescent="0.2">
      <c r="A1477" s="11">
        <f>IF(INPUT!M1472="","",INPUT!M1472)</f>
        <v>46007</v>
      </c>
      <c r="B1477" s="11">
        <f>IF(INPUT!M1472="","",INPUT!M1472-WEEKDAY(INPUT!M1472,2)+1)</f>
        <v>46006</v>
      </c>
      <c r="C1477" s="20">
        <f>IFERROR(_xlfn.ISOWEEKNUM(INPUT!M1472),"")</f>
        <v>51</v>
      </c>
      <c r="D1477" s="20">
        <f>IFERROR(YEAR(INPUT!M1472),"")</f>
        <v>2025</v>
      </c>
      <c r="E1477" t="str">
        <f>IF(INPUT!O1472="","",INPUT!O1472)</f>
        <v>DANI</v>
      </c>
      <c r="F1477" t="str">
        <f>IF(INPUT!N1472="","",INPUT!N1472)</f>
        <v>T</v>
      </c>
      <c r="G1477" t="str" cm="1">
        <f t="array" ref="G1477">IFERROR(VLOOKUP(INPUT!M1472&amp;INPUT!N1472,CHOOSE({1,2},INPUT!$A$3:$A$5000&amp;INPUT!$C$3:$C$5000,INPUT!$F$3:$F$5000),2,FALSE),"")</f>
        <v>PRE-TEMPORADA</v>
      </c>
      <c r="H1477" t="str" cm="1">
        <f t="array" ref="H1477">IFERROR(VLOOKUP(INPUT!M1472&amp;INPUT!N1472,CHOOSE({1,2},INPUT!$A$3:$A$5000&amp;INPUT!$C$3:$C$5000,INPUT!$D$3:$D$5000),2,FALSE),"")</f>
        <v>GYM+TEC-TAC</v>
      </c>
      <c r="I1477" s="46">
        <f>IF(INPUT!P1472="","",INPUT!P1472)</f>
        <v>75.2</v>
      </c>
      <c r="J1477" s="46">
        <f>IF(INPUT!Q1472="","",INPUT!Q1472)</f>
        <v>75.2</v>
      </c>
      <c r="K1477" s="46">
        <f>IFERROR(IF(OR(INPUT!P1472="",INPUT!Q1472=""),"",INPUT!P1472-INPUT!Q1472),"")</f>
        <v>0</v>
      </c>
      <c r="L1477" s="48">
        <f>IFERROR(IF(OR(INPUT!P1472="",INPUT!Q1472="",INPUT!P1472=0),"",(INPUT!P1472-INPUT!Q1472)/INPUT!P1472),"")</f>
        <v>0</v>
      </c>
    </row>
    <row r="1478" spans="1:12" ht="18" hidden="1" customHeight="1" x14ac:dyDescent="0.2">
      <c r="A1478" s="11">
        <f>IF(INPUT!M1473="","",INPUT!M1473)</f>
        <v>46008</v>
      </c>
      <c r="B1478" s="11">
        <f>IF(INPUT!M1473="","",INPUT!M1473-WEEKDAY(INPUT!M1473,2)+1)</f>
        <v>46006</v>
      </c>
      <c r="C1478" s="20">
        <f>IFERROR(_xlfn.ISOWEEKNUM(INPUT!M1473),"")</f>
        <v>51</v>
      </c>
      <c r="D1478" s="20">
        <f>IFERROR(YEAR(INPUT!M1473),"")</f>
        <v>2025</v>
      </c>
      <c r="E1478" t="str">
        <f>IF(INPUT!O1473="","",INPUT!O1473)</f>
        <v>HERRERO</v>
      </c>
      <c r="F1478" t="str">
        <f>IF(INPUT!N1473="","",INPUT!N1473)</f>
        <v>T</v>
      </c>
      <c r="G1478" t="str" cm="1">
        <f t="array" ref="G1478">IFERROR(VLOOKUP(INPUT!M1473&amp;INPUT!N1473,CHOOSE({1,2},INPUT!$A$3:$A$5000&amp;INPUT!$C$3:$C$5000,INPUT!$F$3:$F$5000),2,FALSE),"")</f>
        <v>PRE-TEMPORADA</v>
      </c>
      <c r="H1478" t="str" cm="1">
        <f t="array" ref="H1478">IFERROR(VLOOKUP(INPUT!M1473&amp;INPUT!N1473,CHOOSE({1,2},INPUT!$A$3:$A$5000&amp;INPUT!$C$3:$C$5000,INPUT!$D$3:$D$5000),2,FALSE),"")</f>
        <v>TEC-TAC</v>
      </c>
      <c r="I1478" s="46">
        <f>IF(INPUT!P1473="","",INPUT!P1473)</f>
        <v>77</v>
      </c>
      <c r="J1478" s="46">
        <f>IF(INPUT!Q1473="","",INPUT!Q1473)</f>
        <v>76.099999999999994</v>
      </c>
      <c r="K1478" s="46">
        <f>IFERROR(IF(OR(INPUT!P1473="",INPUT!Q1473=""),"",INPUT!P1473-INPUT!Q1473),"")</f>
        <v>0.90000000000000568</v>
      </c>
      <c r="L1478" s="48">
        <f>IFERROR(IF(OR(INPUT!P1473="",INPUT!Q1473="",INPUT!P1473=0),"",(INPUT!P1473-INPUT!Q1473)/INPUT!P1473),"")</f>
        <v>1.1688311688311762E-2</v>
      </c>
    </row>
    <row r="1479" spans="1:12" ht="18" hidden="1" customHeight="1" x14ac:dyDescent="0.2">
      <c r="A1479" s="11">
        <f>IF(INPUT!M1474="","",INPUT!M1474)</f>
        <v>46008</v>
      </c>
      <c r="B1479" s="11">
        <f>IF(INPUT!M1474="","",INPUT!M1474-WEEKDAY(INPUT!M1474,2)+1)</f>
        <v>46006</v>
      </c>
      <c r="C1479" s="20">
        <f>IFERROR(_xlfn.ISOWEEKNUM(INPUT!M1474),"")</f>
        <v>51</v>
      </c>
      <c r="D1479" s="20">
        <f>IFERROR(YEAR(INPUT!M1474),"")</f>
        <v>2025</v>
      </c>
      <c r="E1479" t="str">
        <f>IF(INPUT!O1474="","",INPUT!O1474)</f>
        <v>GARCIA</v>
      </c>
      <c r="F1479" t="str">
        <f>IF(INPUT!N1474="","",INPUT!N1474)</f>
        <v>T</v>
      </c>
      <c r="G1479" t="str" cm="1">
        <f t="array" ref="G1479">IFERROR(VLOOKUP(INPUT!M1474&amp;INPUT!N1474,CHOOSE({1,2},INPUT!$A$3:$A$5000&amp;INPUT!$C$3:$C$5000,INPUT!$F$3:$F$5000),2,FALSE),"")</f>
        <v>PRE-TEMPORADA</v>
      </c>
      <c r="H1479" t="str" cm="1">
        <f t="array" ref="H1479">IFERROR(VLOOKUP(INPUT!M1474&amp;INPUT!N1474,CHOOSE({1,2},INPUT!$A$3:$A$5000&amp;INPUT!$C$3:$C$5000,INPUT!$D$3:$D$5000),2,FALSE),"")</f>
        <v>TEC-TAC</v>
      </c>
      <c r="I1479" s="46">
        <f>IF(INPUT!P1474="","",INPUT!P1474)</f>
        <v>79.2</v>
      </c>
      <c r="J1479" s="46">
        <f>IF(INPUT!Q1474="","",INPUT!Q1474)</f>
        <v>78.8</v>
      </c>
      <c r="K1479" s="46">
        <f>IFERROR(IF(OR(INPUT!P1474="",INPUT!Q1474=""),"",INPUT!P1474-INPUT!Q1474),"")</f>
        <v>0.40000000000000568</v>
      </c>
      <c r="L1479" s="48">
        <f>IFERROR(IF(OR(INPUT!P1474="",INPUT!Q1474="",INPUT!P1474=0),"",(INPUT!P1474-INPUT!Q1474)/INPUT!P1474),"")</f>
        <v>5.0505050505051221E-3</v>
      </c>
    </row>
    <row r="1480" spans="1:12" ht="18" hidden="1" customHeight="1" x14ac:dyDescent="0.2">
      <c r="A1480" s="11">
        <f>IF(INPUT!M1475="","",INPUT!M1475)</f>
        <v>46008</v>
      </c>
      <c r="B1480" s="11">
        <f>IF(INPUT!M1475="","",INPUT!M1475-WEEKDAY(INPUT!M1475,2)+1)</f>
        <v>46006</v>
      </c>
      <c r="C1480" s="20">
        <f>IFERROR(_xlfn.ISOWEEKNUM(INPUT!M1475),"")</f>
        <v>51</v>
      </c>
      <c r="D1480" s="20">
        <f>IFERROR(YEAR(INPUT!M1475),"")</f>
        <v>2025</v>
      </c>
      <c r="E1480" t="str">
        <f>IF(INPUT!O1475="","",INPUT!O1475)</f>
        <v>CHAGUINHA</v>
      </c>
      <c r="F1480" t="str">
        <f>IF(INPUT!N1475="","",INPUT!N1475)</f>
        <v>T</v>
      </c>
      <c r="G1480" t="str" cm="1">
        <f t="array" ref="G1480">IFERROR(VLOOKUP(INPUT!M1475&amp;INPUT!N1475,CHOOSE({1,2},INPUT!$A$3:$A$5000&amp;INPUT!$C$3:$C$5000,INPUT!$F$3:$F$5000),2,FALSE),"")</f>
        <v>PRE-TEMPORADA</v>
      </c>
      <c r="H1480" t="str" cm="1">
        <f t="array" ref="H1480">IFERROR(VLOOKUP(INPUT!M1475&amp;INPUT!N1475,CHOOSE({1,2},INPUT!$A$3:$A$5000&amp;INPUT!$C$3:$C$5000,INPUT!$D$3:$D$5000),2,FALSE),"")</f>
        <v>TEC-TAC</v>
      </c>
      <c r="I1480" s="46">
        <f>IF(INPUT!P1475="","",INPUT!P1475)</f>
        <v>69</v>
      </c>
      <c r="J1480" s="46">
        <f>IF(INPUT!Q1475="","",INPUT!Q1475)</f>
        <v>68.5</v>
      </c>
      <c r="K1480" s="46">
        <f>IFERROR(IF(OR(INPUT!P1475="",INPUT!Q1475=""),"",INPUT!P1475-INPUT!Q1475),"")</f>
        <v>0.5</v>
      </c>
      <c r="L1480" s="48">
        <f>IFERROR(IF(OR(INPUT!P1475="",INPUT!Q1475="",INPUT!P1475=0),"",(INPUT!P1475-INPUT!Q1475)/INPUT!P1475),"")</f>
        <v>7.246376811594203E-3</v>
      </c>
    </row>
    <row r="1481" spans="1:12" ht="18" hidden="1" customHeight="1" x14ac:dyDescent="0.2">
      <c r="A1481" s="11">
        <f>IF(INPUT!M1476="","",INPUT!M1476)</f>
        <v>46008</v>
      </c>
      <c r="B1481" s="11">
        <f>IF(INPUT!M1476="","",INPUT!M1476-WEEKDAY(INPUT!M1476,2)+1)</f>
        <v>46006</v>
      </c>
      <c r="C1481" s="20">
        <f>IFERROR(_xlfn.ISOWEEKNUM(INPUT!M1476),"")</f>
        <v>51</v>
      </c>
      <c r="D1481" s="20">
        <f>IFERROR(YEAR(INPUT!M1476),"")</f>
        <v>2025</v>
      </c>
      <c r="E1481" t="str">
        <f>IF(INPUT!O1476="","",INPUT!O1476)</f>
        <v>RAUL</v>
      </c>
      <c r="F1481" t="str">
        <f>IF(INPUT!N1476="","",INPUT!N1476)</f>
        <v>T</v>
      </c>
      <c r="G1481" t="str" cm="1">
        <f t="array" ref="G1481">IFERROR(VLOOKUP(INPUT!M1476&amp;INPUT!N1476,CHOOSE({1,2},INPUT!$A$3:$A$5000&amp;INPUT!$C$3:$C$5000,INPUT!$F$3:$F$5000),2,FALSE),"")</f>
        <v>PRE-TEMPORADA</v>
      </c>
      <c r="H1481" t="str" cm="1">
        <f t="array" ref="H1481">IFERROR(VLOOKUP(INPUT!M1476&amp;INPUT!N1476,CHOOSE({1,2},INPUT!$A$3:$A$5000&amp;INPUT!$C$3:$C$5000,INPUT!$D$3:$D$5000),2,FALSE),"")</f>
        <v>TEC-TAC</v>
      </c>
      <c r="I1481" s="46">
        <f>IF(INPUT!P1476="","",INPUT!P1476)</f>
        <v>81</v>
      </c>
      <c r="J1481" s="46">
        <f>IF(INPUT!Q1476="","",INPUT!Q1476)</f>
        <v>81.5</v>
      </c>
      <c r="K1481" s="46">
        <f>IFERROR(IF(OR(INPUT!P1476="",INPUT!Q1476=""),"",INPUT!P1476-INPUT!Q1476),"")</f>
        <v>-0.5</v>
      </c>
      <c r="L1481" s="48">
        <f>IFERROR(IF(OR(INPUT!P1476="",INPUT!Q1476="",INPUT!P1476=0),"",(INPUT!P1476-INPUT!Q1476)/INPUT!P1476),"")</f>
        <v>-6.1728395061728392E-3</v>
      </c>
    </row>
    <row r="1482" spans="1:12" ht="18" hidden="1" customHeight="1" x14ac:dyDescent="0.2">
      <c r="A1482" s="11">
        <f>IF(INPUT!M1477="","",INPUT!M1477)</f>
        <v>46008</v>
      </c>
      <c r="B1482" s="11">
        <f>IF(INPUT!M1477="","",INPUT!M1477-WEEKDAY(INPUT!M1477,2)+1)</f>
        <v>46006</v>
      </c>
      <c r="C1482" s="20">
        <f>IFERROR(_xlfn.ISOWEEKNUM(INPUT!M1477),"")</f>
        <v>51</v>
      </c>
      <c r="D1482" s="20">
        <f>IFERROR(YEAR(INPUT!M1477),"")</f>
        <v>2025</v>
      </c>
      <c r="E1482" t="str">
        <f>IF(INPUT!O1477="","",INPUT!O1477)</f>
        <v>PANI</v>
      </c>
      <c r="F1482" t="str">
        <f>IF(INPUT!N1477="","",INPUT!N1477)</f>
        <v>T</v>
      </c>
      <c r="G1482" t="str" cm="1">
        <f t="array" ref="G1482">IFERROR(VLOOKUP(INPUT!M1477&amp;INPUT!N1477,CHOOSE({1,2},INPUT!$A$3:$A$5000&amp;INPUT!$C$3:$C$5000,INPUT!$F$3:$F$5000),2,FALSE),"")</f>
        <v>PRE-TEMPORADA</v>
      </c>
      <c r="H1482" t="str" cm="1">
        <f t="array" ref="H1482">IFERROR(VLOOKUP(INPUT!M1477&amp;INPUT!N1477,CHOOSE({1,2},INPUT!$A$3:$A$5000&amp;INPUT!$C$3:$C$5000,INPUT!$D$3:$D$5000),2,FALSE),"")</f>
        <v>TEC-TAC</v>
      </c>
      <c r="I1482" s="46">
        <f>IF(INPUT!P1477="","",INPUT!P1477)</f>
        <v>67.599999999999994</v>
      </c>
      <c r="J1482" s="46">
        <f>IF(INPUT!Q1477="","",INPUT!Q1477)</f>
        <v>66.8</v>
      </c>
      <c r="K1482" s="46">
        <f>IFERROR(IF(OR(INPUT!P1477="",INPUT!Q1477=""),"",INPUT!P1477-INPUT!Q1477),"")</f>
        <v>0.79999999999999716</v>
      </c>
      <c r="L1482" s="48">
        <f>IFERROR(IF(OR(INPUT!P1477="",INPUT!Q1477="",INPUT!P1477=0),"",(INPUT!P1477-INPUT!Q1477)/INPUT!P1477),"")</f>
        <v>1.1834319526627177E-2</v>
      </c>
    </row>
    <row r="1483" spans="1:12" ht="18" hidden="1" customHeight="1" x14ac:dyDescent="0.2">
      <c r="A1483" s="11">
        <f>IF(INPUT!M1478="","",INPUT!M1478)</f>
        <v>46008</v>
      </c>
      <c r="B1483" s="11">
        <f>IF(INPUT!M1478="","",INPUT!M1478-WEEKDAY(INPUT!M1478,2)+1)</f>
        <v>46006</v>
      </c>
      <c r="C1483" s="20">
        <f>IFERROR(_xlfn.ISOWEEKNUM(INPUT!M1478),"")</f>
        <v>51</v>
      </c>
      <c r="D1483" s="20">
        <f>IFERROR(YEAR(INPUT!M1478),"")</f>
        <v>2025</v>
      </c>
      <c r="E1483" t="str">
        <f>IF(INPUT!O1478="","",INPUT!O1478)</f>
        <v>PIRATA</v>
      </c>
      <c r="F1483" t="str">
        <f>IF(INPUT!N1478="","",INPUT!N1478)</f>
        <v>T</v>
      </c>
      <c r="G1483" t="str" cm="1">
        <f t="array" ref="G1483">IFERROR(VLOOKUP(INPUT!M1478&amp;INPUT!N1478,CHOOSE({1,2},INPUT!$A$3:$A$5000&amp;INPUT!$C$3:$C$5000,INPUT!$F$3:$F$5000),2,FALSE),"")</f>
        <v>PRE-TEMPORADA</v>
      </c>
      <c r="H1483" t="str" cm="1">
        <f t="array" ref="H1483">IFERROR(VLOOKUP(INPUT!M1478&amp;INPUT!N1478,CHOOSE({1,2},INPUT!$A$3:$A$5000&amp;INPUT!$C$3:$C$5000,INPUT!$D$3:$D$5000),2,FALSE),"")</f>
        <v>TEC-TAC</v>
      </c>
      <c r="I1483" s="46">
        <f>IF(INPUT!P1478="","",INPUT!P1478)</f>
        <v>74.8</v>
      </c>
      <c r="J1483" s="46">
        <f>IF(INPUT!Q1478="","",INPUT!Q1478)</f>
        <v>75</v>
      </c>
      <c r="K1483" s="46">
        <f>IFERROR(IF(OR(INPUT!P1478="",INPUT!Q1478=""),"",INPUT!P1478-INPUT!Q1478),"")</f>
        <v>-0.20000000000000284</v>
      </c>
      <c r="L1483" s="48">
        <f>IFERROR(IF(OR(INPUT!P1478="",INPUT!Q1478="",INPUT!P1478=0),"",(INPUT!P1478-INPUT!Q1478)/INPUT!P1478),"")</f>
        <v>-2.6737967914438883E-3</v>
      </c>
    </row>
    <row r="1484" spans="1:12" ht="18" hidden="1" customHeight="1" x14ac:dyDescent="0.2">
      <c r="A1484" s="11">
        <f>IF(INPUT!M1479="","",INPUT!M1479)</f>
        <v>46008</v>
      </c>
      <c r="B1484" s="11">
        <f>IF(INPUT!M1479="","",INPUT!M1479-WEEKDAY(INPUT!M1479,2)+1)</f>
        <v>46006</v>
      </c>
      <c r="C1484" s="20">
        <f>IFERROR(_xlfn.ISOWEEKNUM(INPUT!M1479),"")</f>
        <v>51</v>
      </c>
      <c r="D1484" s="20">
        <f>IFERROR(YEAR(INPUT!M1479),"")</f>
        <v>2025</v>
      </c>
      <c r="E1484" t="str">
        <f>IF(INPUT!O1479="","",INPUT!O1479)</f>
        <v>BARONA</v>
      </c>
      <c r="F1484" t="str">
        <f>IF(INPUT!N1479="","",INPUT!N1479)</f>
        <v>T</v>
      </c>
      <c r="G1484" t="str" cm="1">
        <f t="array" ref="G1484">IFERROR(VLOOKUP(INPUT!M1479&amp;INPUT!N1479,CHOOSE({1,2},INPUT!$A$3:$A$5000&amp;INPUT!$C$3:$C$5000,INPUT!$F$3:$F$5000),2,FALSE),"")</f>
        <v>PRE-TEMPORADA</v>
      </c>
      <c r="H1484" t="str" cm="1">
        <f t="array" ref="H1484">IFERROR(VLOOKUP(INPUT!M1479&amp;INPUT!N1479,CHOOSE({1,2},INPUT!$A$3:$A$5000&amp;INPUT!$C$3:$C$5000,INPUT!$D$3:$D$5000),2,FALSE),"")</f>
        <v>TEC-TAC</v>
      </c>
      <c r="I1484" s="46">
        <f>IF(INPUT!P1479="","",INPUT!P1479)</f>
        <v>71</v>
      </c>
      <c r="J1484" s="46">
        <f>IF(INPUT!Q1479="","",INPUT!Q1479)</f>
        <v>71</v>
      </c>
      <c r="K1484" s="46">
        <f>IFERROR(IF(OR(INPUT!P1479="",INPUT!Q1479=""),"",INPUT!P1479-INPUT!Q1479),"")</f>
        <v>0</v>
      </c>
      <c r="L1484" s="48">
        <f>IFERROR(IF(OR(INPUT!P1479="",INPUT!Q1479="",INPUT!P1479=0),"",(INPUT!P1479-INPUT!Q1479)/INPUT!P1479),"")</f>
        <v>0</v>
      </c>
    </row>
    <row r="1485" spans="1:12" ht="18" hidden="1" customHeight="1" x14ac:dyDescent="0.2">
      <c r="A1485" s="11">
        <f>IF(INPUT!M1480="","",INPUT!M1480)</f>
        <v>46008</v>
      </c>
      <c r="B1485" s="11">
        <f>IF(INPUT!M1480="","",INPUT!M1480-WEEKDAY(INPUT!M1480,2)+1)</f>
        <v>46006</v>
      </c>
      <c r="C1485" s="20">
        <f>IFERROR(_xlfn.ISOWEEKNUM(INPUT!M1480),"")</f>
        <v>51</v>
      </c>
      <c r="D1485" s="20">
        <f>IFERROR(YEAR(INPUT!M1480),"")</f>
        <v>2025</v>
      </c>
      <c r="E1485" t="str">
        <f>IF(INPUT!O1480="","",INPUT!O1480)</f>
        <v>CARLOS</v>
      </c>
      <c r="F1485" t="str">
        <f>IF(INPUT!N1480="","",INPUT!N1480)</f>
        <v>T</v>
      </c>
      <c r="G1485" t="str" cm="1">
        <f t="array" ref="G1485">IFERROR(VLOOKUP(INPUT!M1480&amp;INPUT!N1480,CHOOSE({1,2},INPUT!$A$3:$A$5000&amp;INPUT!$C$3:$C$5000,INPUT!$F$3:$F$5000),2,FALSE),"")</f>
        <v>PRE-TEMPORADA</v>
      </c>
      <c r="H1485" t="str" cm="1">
        <f t="array" ref="H1485">IFERROR(VLOOKUP(INPUT!M1480&amp;INPUT!N1480,CHOOSE({1,2},INPUT!$A$3:$A$5000&amp;INPUT!$C$3:$C$5000,INPUT!$D$3:$D$5000),2,FALSE),"")</f>
        <v>TEC-TAC</v>
      </c>
      <c r="I1485" s="46">
        <f>IF(INPUT!P1480="","",INPUT!P1480)</f>
        <v>68</v>
      </c>
      <c r="J1485" s="46">
        <f>IF(INPUT!Q1480="","",INPUT!Q1480)</f>
        <v>66.7</v>
      </c>
      <c r="K1485" s="46">
        <f>IFERROR(IF(OR(INPUT!P1480="",INPUT!Q1480=""),"",INPUT!P1480-INPUT!Q1480),"")</f>
        <v>1.2999999999999972</v>
      </c>
      <c r="L1485" s="48">
        <f>IFERROR(IF(OR(INPUT!P1480="",INPUT!Q1480="",INPUT!P1480=0),"",(INPUT!P1480-INPUT!Q1480)/INPUT!P1480),"")</f>
        <v>1.9117647058823489E-2</v>
      </c>
    </row>
    <row r="1486" spans="1:12" ht="18" hidden="1" customHeight="1" x14ac:dyDescent="0.2">
      <c r="A1486" s="11">
        <f>IF(INPUT!M1481="","",INPUT!M1481)</f>
        <v>46008</v>
      </c>
      <c r="B1486" s="11">
        <f>IF(INPUT!M1481="","",INPUT!M1481-WEEKDAY(INPUT!M1481,2)+1)</f>
        <v>46006</v>
      </c>
      <c r="C1486" s="20">
        <f>IFERROR(_xlfn.ISOWEEKNUM(INPUT!M1481),"")</f>
        <v>51</v>
      </c>
      <c r="D1486" s="20">
        <f>IFERROR(YEAR(INPUT!M1481),"")</f>
        <v>2025</v>
      </c>
      <c r="E1486" t="str">
        <f>IF(INPUT!O1481="","",INPUT!O1481)</f>
        <v>GONZALO</v>
      </c>
      <c r="F1486" t="str">
        <f>IF(INPUT!N1481="","",INPUT!N1481)</f>
        <v>T</v>
      </c>
      <c r="G1486" t="str" cm="1">
        <f t="array" ref="G1486">IFERROR(VLOOKUP(INPUT!M1481&amp;INPUT!N1481,CHOOSE({1,2},INPUT!$A$3:$A$5000&amp;INPUT!$C$3:$C$5000,INPUT!$F$3:$F$5000),2,FALSE),"")</f>
        <v>PRE-TEMPORADA</v>
      </c>
      <c r="H1486" t="str" cm="1">
        <f t="array" ref="H1486">IFERROR(VLOOKUP(INPUT!M1481&amp;INPUT!N1481,CHOOSE({1,2},INPUT!$A$3:$A$5000&amp;INPUT!$C$3:$C$5000,INPUT!$D$3:$D$5000),2,FALSE),"")</f>
        <v>TEC-TAC</v>
      </c>
      <c r="I1486" s="46">
        <f>IF(INPUT!P1481="","",INPUT!P1481)</f>
        <v>83.1</v>
      </c>
      <c r="J1486" s="46">
        <f>IF(INPUT!Q1481="","",INPUT!Q1481)</f>
        <v>83.2</v>
      </c>
      <c r="K1486" s="46">
        <f>IFERROR(IF(OR(INPUT!P1481="",INPUT!Q1481=""),"",INPUT!P1481-INPUT!Q1481),"")</f>
        <v>-0.10000000000000853</v>
      </c>
      <c r="L1486" s="48">
        <f>IFERROR(IF(OR(INPUT!P1481="",INPUT!Q1481="",INPUT!P1481=0),"",(INPUT!P1481-INPUT!Q1481)/INPUT!P1481),"")</f>
        <v>-1.2033694344164684E-3</v>
      </c>
    </row>
    <row r="1487" spans="1:12" ht="18" hidden="1" customHeight="1" x14ac:dyDescent="0.2">
      <c r="A1487" s="11">
        <f>IF(INPUT!M1482="","",INPUT!M1482)</f>
        <v>46009</v>
      </c>
      <c r="B1487" s="11">
        <f>IF(INPUT!M1482="","",INPUT!M1482-WEEKDAY(INPUT!M1482,2)+1)</f>
        <v>46006</v>
      </c>
      <c r="C1487" s="20">
        <f>IFERROR(_xlfn.ISOWEEKNUM(INPUT!M1482),"")</f>
        <v>51</v>
      </c>
      <c r="D1487" s="20">
        <f>IFERROR(YEAR(INPUT!M1482),"")</f>
        <v>2025</v>
      </c>
      <c r="E1487" t="str">
        <f>IF(INPUT!O1482="","",INPUT!O1482)</f>
        <v>HERRERO</v>
      </c>
      <c r="F1487" t="str">
        <f>IF(INPUT!N1482="","",INPUT!N1482)</f>
        <v>M</v>
      </c>
      <c r="G1487" t="str" cm="1">
        <f t="array" ref="G1487">IFERROR(VLOOKUP(INPUT!M1482&amp;INPUT!N1482,CHOOSE({1,2},INPUT!$A$3:$A$5000&amp;INPUT!$C$3:$C$5000,INPUT!$F$3:$F$5000),2,FALSE),"")</f>
        <v>PRE-TEMPORADA</v>
      </c>
      <c r="H1487" t="str" cm="1">
        <f t="array" ref="H1487">IFERROR(VLOOKUP(INPUT!M1482&amp;INPUT!N1482,CHOOSE({1,2},INPUT!$A$3:$A$5000&amp;INPUT!$C$3:$C$5000,INPUT!$D$3:$D$5000),2,FALSE),"")</f>
        <v>TEC-TAC</v>
      </c>
      <c r="I1487" s="46">
        <f>IF(INPUT!P1482="","",INPUT!P1482)</f>
        <v>76.8</v>
      </c>
      <c r="J1487" s="46">
        <f>IF(INPUT!Q1482="","",INPUT!Q1482)</f>
        <v>76.099999999999994</v>
      </c>
      <c r="K1487" s="46">
        <f>IFERROR(IF(OR(INPUT!P1482="",INPUT!Q1482=""),"",INPUT!P1482-INPUT!Q1482),"")</f>
        <v>0.70000000000000284</v>
      </c>
      <c r="L1487" s="48">
        <f>IFERROR(IF(OR(INPUT!P1482="",INPUT!Q1482="",INPUT!P1482=0),"",(INPUT!P1482-INPUT!Q1482)/INPUT!P1482),"")</f>
        <v>9.1145833333333703E-3</v>
      </c>
    </row>
    <row r="1488" spans="1:12" ht="18" hidden="1" customHeight="1" x14ac:dyDescent="0.2">
      <c r="A1488" s="11">
        <f>IF(INPUT!M1483="","",INPUT!M1483)</f>
        <v>46009</v>
      </c>
      <c r="B1488" s="11">
        <f>IF(INPUT!M1483="","",INPUT!M1483-WEEKDAY(INPUT!M1483,2)+1)</f>
        <v>46006</v>
      </c>
      <c r="C1488" s="20">
        <f>IFERROR(_xlfn.ISOWEEKNUM(INPUT!M1483),"")</f>
        <v>51</v>
      </c>
      <c r="D1488" s="20">
        <f>IFERROR(YEAR(INPUT!M1483),"")</f>
        <v>2025</v>
      </c>
      <c r="E1488" t="str">
        <f>IF(INPUT!O1483="","",INPUT!O1483)</f>
        <v>GARCIA</v>
      </c>
      <c r="F1488" t="str">
        <f>IF(INPUT!N1483="","",INPUT!N1483)</f>
        <v>M</v>
      </c>
      <c r="G1488" t="str" cm="1">
        <f t="array" ref="G1488">IFERROR(VLOOKUP(INPUT!M1483&amp;INPUT!N1483,CHOOSE({1,2},INPUT!$A$3:$A$5000&amp;INPUT!$C$3:$C$5000,INPUT!$F$3:$F$5000),2,FALSE),"")</f>
        <v>PRE-TEMPORADA</v>
      </c>
      <c r="H1488" t="str" cm="1">
        <f t="array" ref="H1488">IFERROR(VLOOKUP(INPUT!M1483&amp;INPUT!N1483,CHOOSE({1,2},INPUT!$A$3:$A$5000&amp;INPUT!$C$3:$C$5000,INPUT!$D$3:$D$5000),2,FALSE),"")</f>
        <v>TEC-TAC</v>
      </c>
      <c r="I1488" s="46">
        <f>IF(INPUT!P1483="","",INPUT!P1483)</f>
        <v>79.3</v>
      </c>
      <c r="J1488" s="46">
        <f>IF(INPUT!Q1483="","",INPUT!Q1483)</f>
        <v>79</v>
      </c>
      <c r="K1488" s="46">
        <f>IFERROR(IF(OR(INPUT!P1483="",INPUT!Q1483=""),"",INPUT!P1483-INPUT!Q1483),"")</f>
        <v>0.29999999999999716</v>
      </c>
      <c r="L1488" s="48">
        <f>IFERROR(IF(OR(INPUT!P1483="",INPUT!Q1483="",INPUT!P1483=0),"",(INPUT!P1483-INPUT!Q1483)/INPUT!P1483),"")</f>
        <v>3.7831021437578459E-3</v>
      </c>
    </row>
    <row r="1489" spans="1:12" ht="18" customHeight="1" x14ac:dyDescent="0.2">
      <c r="A1489" s="11">
        <f>IF(INPUT!M1484="","",INPUT!M1484)</f>
        <v>46009</v>
      </c>
      <c r="B1489" s="11">
        <f>IF(INPUT!M1484="","",INPUT!M1484-WEEKDAY(INPUT!M1484,2)+1)</f>
        <v>46006</v>
      </c>
      <c r="C1489" s="20">
        <f>IFERROR(_xlfn.ISOWEEKNUM(INPUT!M1484),"")</f>
        <v>51</v>
      </c>
      <c r="D1489" s="20">
        <f>IFERROR(YEAR(INPUT!M1484),"")</f>
        <v>2025</v>
      </c>
      <c r="E1489" t="str">
        <f>IF(INPUT!O1484="","",INPUT!O1484)</f>
        <v>CHAGUINHA</v>
      </c>
      <c r="F1489" t="str">
        <f>IF(INPUT!N1484="","",INPUT!N1484)</f>
        <v>M</v>
      </c>
      <c r="G1489" t="str" cm="1">
        <f t="array" ref="G1489">IFERROR(VLOOKUP(INPUT!M1484&amp;INPUT!N1484,CHOOSE({1,2},INPUT!$A$3:$A$5000&amp;INPUT!$C$3:$C$5000,INPUT!$F$3:$F$5000),2,FALSE),"")</f>
        <v>PRE-TEMPORADA</v>
      </c>
      <c r="H1489" t="str" cm="1">
        <f t="array" ref="H1489">IFERROR(VLOOKUP(INPUT!M1484&amp;INPUT!N1484,CHOOSE({1,2},INPUT!$A$3:$A$5000&amp;INPUT!$C$3:$C$5000,INPUT!$D$3:$D$5000),2,FALSE),"")</f>
        <v>TEC-TAC</v>
      </c>
      <c r="I1489" s="46">
        <f>IF(INPUT!P1484="","",INPUT!P1484)</f>
        <v>69</v>
      </c>
      <c r="J1489" s="46">
        <f>IF(INPUT!Q1484="","",INPUT!Q1484)</f>
        <v>68.5</v>
      </c>
      <c r="K1489" s="46">
        <f>IFERROR(IF(OR(INPUT!P1484="",INPUT!Q1484=""),"",INPUT!P1484-INPUT!Q1484),"")</f>
        <v>0.5</v>
      </c>
      <c r="L1489" s="48">
        <f>IFERROR(IF(OR(INPUT!P1484="",INPUT!Q1484="",INPUT!P1484=0),"",(INPUT!P1484-INPUT!Q1484)/INPUT!P1484),"")</f>
        <v>7.246376811594203E-3</v>
      </c>
    </row>
    <row r="1490" spans="1:12" ht="18" customHeight="1" x14ac:dyDescent="0.2">
      <c r="A1490" s="11">
        <f>IF(INPUT!M1485="","",INPUT!M1485)</f>
        <v>46009</v>
      </c>
      <c r="B1490" s="11">
        <f>IF(INPUT!M1485="","",INPUT!M1485-WEEKDAY(INPUT!M1485,2)+1)</f>
        <v>46006</v>
      </c>
      <c r="C1490" s="20">
        <f>IFERROR(_xlfn.ISOWEEKNUM(INPUT!M1485),"")</f>
        <v>51</v>
      </c>
      <c r="D1490" s="20">
        <f>IFERROR(YEAR(INPUT!M1485),"")</f>
        <v>2025</v>
      </c>
      <c r="E1490" t="str">
        <f>IF(INPUT!O1485="","",INPUT!O1485)</f>
        <v>RAUL</v>
      </c>
      <c r="F1490" t="str">
        <f>IF(INPUT!N1485="","",INPUT!N1485)</f>
        <v>M</v>
      </c>
      <c r="G1490" t="str" cm="1">
        <f t="array" ref="G1490">IFERROR(VLOOKUP(INPUT!M1485&amp;INPUT!N1485,CHOOSE({1,2},INPUT!$A$3:$A$5000&amp;INPUT!$C$3:$C$5000,INPUT!$F$3:$F$5000),2,FALSE),"")</f>
        <v>PRE-TEMPORADA</v>
      </c>
      <c r="H1490" t="str" cm="1">
        <f t="array" ref="H1490">IFERROR(VLOOKUP(INPUT!M1485&amp;INPUT!N1485,CHOOSE({1,2},INPUT!$A$3:$A$5000&amp;INPUT!$C$3:$C$5000,INPUT!$D$3:$D$5000),2,FALSE),"")</f>
        <v>TEC-TAC</v>
      </c>
      <c r="I1490" s="46">
        <f>IF(INPUT!P1485="","",INPUT!P1485)</f>
        <v>79.8</v>
      </c>
      <c r="J1490" s="46">
        <f>IF(INPUT!Q1485="","",INPUT!Q1485)</f>
        <v>80</v>
      </c>
      <c r="K1490" s="46">
        <f>IFERROR(IF(OR(INPUT!P1485="",INPUT!Q1485=""),"",INPUT!P1485-INPUT!Q1485),"")</f>
        <v>-0.20000000000000284</v>
      </c>
      <c r="L1490" s="48">
        <f>IFERROR(IF(OR(INPUT!P1485="",INPUT!Q1485="",INPUT!P1485=0),"",(INPUT!P1485-INPUT!Q1485)/INPUT!P1485),"")</f>
        <v>-2.5062656641604369E-3</v>
      </c>
    </row>
    <row r="1491" spans="1:12" ht="18" customHeight="1" x14ac:dyDescent="0.2">
      <c r="A1491" s="11">
        <f>IF(INPUT!M1486="","",INPUT!M1486)</f>
        <v>46009</v>
      </c>
      <c r="B1491" s="11">
        <f>IF(INPUT!M1486="","",INPUT!M1486-WEEKDAY(INPUT!M1486,2)+1)</f>
        <v>46006</v>
      </c>
      <c r="C1491" s="20">
        <f>IFERROR(_xlfn.ISOWEEKNUM(INPUT!M1486),"")</f>
        <v>51</v>
      </c>
      <c r="D1491" s="20">
        <f>IFERROR(YEAR(INPUT!M1486),"")</f>
        <v>2025</v>
      </c>
      <c r="E1491" t="str">
        <f>IF(INPUT!O1486="","",INPUT!O1486)</f>
        <v>PANI</v>
      </c>
      <c r="F1491" t="str">
        <f>IF(INPUT!N1486="","",INPUT!N1486)</f>
        <v>M</v>
      </c>
      <c r="G1491" t="str" cm="1">
        <f t="array" ref="G1491">IFERROR(VLOOKUP(INPUT!M1486&amp;INPUT!N1486,CHOOSE({1,2},INPUT!$A$3:$A$5000&amp;INPUT!$C$3:$C$5000,INPUT!$F$3:$F$5000),2,FALSE),"")</f>
        <v>PRE-TEMPORADA</v>
      </c>
      <c r="H1491" t="str" cm="1">
        <f t="array" ref="H1491">IFERROR(VLOOKUP(INPUT!M1486&amp;INPUT!N1486,CHOOSE({1,2},INPUT!$A$3:$A$5000&amp;INPUT!$C$3:$C$5000,INPUT!$D$3:$D$5000),2,FALSE),"")</f>
        <v>TEC-TAC</v>
      </c>
      <c r="I1491" s="46">
        <f>IF(INPUT!P1486="","",INPUT!P1486)</f>
        <v>66.3</v>
      </c>
      <c r="J1491" s="46">
        <f>IF(INPUT!Q1486="","",INPUT!Q1486)</f>
        <v>66</v>
      </c>
      <c r="K1491" s="46">
        <f>IFERROR(IF(OR(INPUT!P1486="",INPUT!Q1486=""),"",INPUT!P1486-INPUT!Q1486),"")</f>
        <v>0.29999999999999716</v>
      </c>
      <c r="L1491" s="48">
        <f>IFERROR(IF(OR(INPUT!P1486="",INPUT!Q1486="",INPUT!P1486=0),"",(INPUT!P1486-INPUT!Q1486)/INPUT!P1486),"")</f>
        <v>4.5248868778280113E-3</v>
      </c>
    </row>
    <row r="1492" spans="1:12" ht="18" customHeight="1" x14ac:dyDescent="0.2">
      <c r="A1492" s="11">
        <f>IF(INPUT!M1487="","",INPUT!M1487)</f>
        <v>46009</v>
      </c>
      <c r="B1492" s="11">
        <f>IF(INPUT!M1487="","",INPUT!M1487-WEEKDAY(INPUT!M1487,2)+1)</f>
        <v>46006</v>
      </c>
      <c r="C1492" s="20">
        <f>IFERROR(_xlfn.ISOWEEKNUM(INPUT!M1487),"")</f>
        <v>51</v>
      </c>
      <c r="D1492" s="20">
        <f>IFERROR(YEAR(INPUT!M1487),"")</f>
        <v>2025</v>
      </c>
      <c r="E1492" t="str">
        <f>IF(INPUT!O1487="","",INPUT!O1487)</f>
        <v>PIRATA</v>
      </c>
      <c r="F1492" t="str">
        <f>IF(INPUT!N1487="","",INPUT!N1487)</f>
        <v>M</v>
      </c>
      <c r="G1492" t="str" cm="1">
        <f t="array" ref="G1492">IFERROR(VLOOKUP(INPUT!M1487&amp;INPUT!N1487,CHOOSE({1,2},INPUT!$A$3:$A$5000&amp;INPUT!$C$3:$C$5000,INPUT!$F$3:$F$5000),2,FALSE),"")</f>
        <v>PRE-TEMPORADA</v>
      </c>
      <c r="H1492" t="str" cm="1">
        <f t="array" ref="H1492">IFERROR(VLOOKUP(INPUT!M1487&amp;INPUT!N1487,CHOOSE({1,2},INPUT!$A$3:$A$5000&amp;INPUT!$C$3:$C$5000,INPUT!$D$3:$D$5000),2,FALSE),"")</f>
        <v>TEC-TAC</v>
      </c>
      <c r="I1492" s="46">
        <f>IF(INPUT!P1487="","",INPUT!P1487)</f>
        <v>74.900000000000006</v>
      </c>
      <c r="J1492" s="46">
        <f>IF(INPUT!Q1487="","",INPUT!Q1487)</f>
        <v>74.900000000000006</v>
      </c>
      <c r="K1492" s="46">
        <f>IFERROR(IF(OR(INPUT!P1487="",INPUT!Q1487=""),"",INPUT!P1487-INPUT!Q1487),"")</f>
        <v>0</v>
      </c>
      <c r="L1492" s="48">
        <f>IFERROR(IF(OR(INPUT!P1487="",INPUT!Q1487="",INPUT!P1487=0),"",(INPUT!P1487-INPUT!Q1487)/INPUT!P1487),"")</f>
        <v>0</v>
      </c>
    </row>
    <row r="1493" spans="1:12" ht="18" hidden="1" customHeight="1" x14ac:dyDescent="0.2">
      <c r="A1493" s="11">
        <f>IF(INPUT!M1488="","",INPUT!M1488)</f>
        <v>46009</v>
      </c>
      <c r="B1493" s="11">
        <f>IF(INPUT!M1488="","",INPUT!M1488-WEEKDAY(INPUT!M1488,2)+1)</f>
        <v>46006</v>
      </c>
      <c r="C1493" s="20">
        <f>IFERROR(_xlfn.ISOWEEKNUM(INPUT!M1488),"")</f>
        <v>51</v>
      </c>
      <c r="D1493" s="20">
        <f>IFERROR(YEAR(INPUT!M1488),"")</f>
        <v>2025</v>
      </c>
      <c r="E1493" t="str">
        <f>IF(INPUT!O1488="","",INPUT!O1488)</f>
        <v>BARONA</v>
      </c>
      <c r="F1493" t="str">
        <f>IF(INPUT!N1488="","",INPUT!N1488)</f>
        <v>M</v>
      </c>
      <c r="G1493" t="str" cm="1">
        <f t="array" ref="G1493">IFERROR(VLOOKUP(INPUT!M1488&amp;INPUT!N1488,CHOOSE({1,2},INPUT!$A$3:$A$5000&amp;INPUT!$C$3:$C$5000,INPUT!$F$3:$F$5000),2,FALSE),"")</f>
        <v>PRE-TEMPORADA</v>
      </c>
      <c r="H1493" t="str" cm="1">
        <f t="array" ref="H1493">IFERROR(VLOOKUP(INPUT!M1488&amp;INPUT!N1488,CHOOSE({1,2},INPUT!$A$3:$A$5000&amp;INPUT!$C$3:$C$5000,INPUT!$D$3:$D$5000),2,FALSE),"")</f>
        <v>TEC-TAC</v>
      </c>
      <c r="I1493" s="46">
        <f>IF(INPUT!P1488="","",INPUT!P1488)</f>
        <v>71.5</v>
      </c>
      <c r="J1493" s="46">
        <f>IF(INPUT!Q1488="","",INPUT!Q1488)</f>
        <v>71.3</v>
      </c>
      <c r="K1493" s="46">
        <f>IFERROR(IF(OR(INPUT!P1488="",INPUT!Q1488=""),"",INPUT!P1488-INPUT!Q1488),"")</f>
        <v>0.20000000000000284</v>
      </c>
      <c r="L1493" s="48">
        <f>IFERROR(IF(OR(INPUT!P1488="",INPUT!Q1488="",INPUT!P1488=0),"",(INPUT!P1488-INPUT!Q1488)/INPUT!P1488),"")</f>
        <v>2.7972027972028371E-3</v>
      </c>
    </row>
    <row r="1494" spans="1:12" ht="18" hidden="1" customHeight="1" x14ac:dyDescent="0.2">
      <c r="A1494" s="11">
        <f>IF(INPUT!M1489="","",INPUT!M1489)</f>
        <v>46009</v>
      </c>
      <c r="B1494" s="11">
        <f>IF(INPUT!M1489="","",INPUT!M1489-WEEKDAY(INPUT!M1489,2)+1)</f>
        <v>46006</v>
      </c>
      <c r="C1494" s="20">
        <f>IFERROR(_xlfn.ISOWEEKNUM(INPUT!M1489),"")</f>
        <v>51</v>
      </c>
      <c r="D1494" s="20">
        <f>IFERROR(YEAR(INPUT!M1489),"")</f>
        <v>2025</v>
      </c>
      <c r="E1494" t="str">
        <f>IF(INPUT!O1489="","",INPUT!O1489)</f>
        <v>CARLOS</v>
      </c>
      <c r="F1494" t="str">
        <f>IF(INPUT!N1489="","",INPUT!N1489)</f>
        <v>M</v>
      </c>
      <c r="G1494" t="str" cm="1">
        <f t="array" ref="G1494">IFERROR(VLOOKUP(INPUT!M1489&amp;INPUT!N1489,CHOOSE({1,2},INPUT!$A$3:$A$5000&amp;INPUT!$C$3:$C$5000,INPUT!$F$3:$F$5000),2,FALSE),"")</f>
        <v>PRE-TEMPORADA</v>
      </c>
      <c r="H1494" t="str" cm="1">
        <f t="array" ref="H1494">IFERROR(VLOOKUP(INPUT!M1489&amp;INPUT!N1489,CHOOSE({1,2},INPUT!$A$3:$A$5000&amp;INPUT!$C$3:$C$5000,INPUT!$D$3:$D$5000),2,FALSE),"")</f>
        <v>TEC-TAC</v>
      </c>
      <c r="I1494" s="46">
        <f>IF(INPUT!P1489="","",INPUT!P1489)</f>
        <v>67.099999999999994</v>
      </c>
      <c r="J1494" s="46">
        <f>IF(INPUT!Q1489="","",INPUT!Q1489)</f>
        <v>66.5</v>
      </c>
      <c r="K1494" s="46">
        <f>IFERROR(IF(OR(INPUT!P1489="",INPUT!Q1489=""),"",INPUT!P1489-INPUT!Q1489),"")</f>
        <v>0.59999999999999432</v>
      </c>
      <c r="L1494" s="48">
        <f>IFERROR(IF(OR(INPUT!P1489="",INPUT!Q1489="",INPUT!P1489=0),"",(INPUT!P1489-INPUT!Q1489)/INPUT!P1489),"")</f>
        <v>8.9418777943367275E-3</v>
      </c>
    </row>
    <row r="1495" spans="1:12" ht="18" hidden="1" customHeight="1" x14ac:dyDescent="0.2">
      <c r="A1495" s="11">
        <f>IF(INPUT!M1490="","",INPUT!M1490)</f>
        <v>46009</v>
      </c>
      <c r="B1495" s="11">
        <f>IF(INPUT!M1490="","",INPUT!M1490-WEEKDAY(INPUT!M1490,2)+1)</f>
        <v>46006</v>
      </c>
      <c r="C1495" s="20">
        <f>IFERROR(_xlfn.ISOWEEKNUM(INPUT!M1490),"")</f>
        <v>51</v>
      </c>
      <c r="D1495" s="20">
        <f>IFERROR(YEAR(INPUT!M1490),"")</f>
        <v>2025</v>
      </c>
      <c r="E1495" t="str">
        <f>IF(INPUT!O1490="","",INPUT!O1490)</f>
        <v>GONZALO</v>
      </c>
      <c r="F1495" t="str">
        <f>IF(INPUT!N1490="","",INPUT!N1490)</f>
        <v>M</v>
      </c>
      <c r="G1495" t="str" cm="1">
        <f t="array" ref="G1495">IFERROR(VLOOKUP(INPUT!M1490&amp;INPUT!N1490,CHOOSE({1,2},INPUT!$A$3:$A$5000&amp;INPUT!$C$3:$C$5000,INPUT!$F$3:$F$5000),2,FALSE),"")</f>
        <v>PRE-TEMPORADA</v>
      </c>
      <c r="H1495" t="str" cm="1">
        <f t="array" ref="H1495">IFERROR(VLOOKUP(INPUT!M1490&amp;INPUT!N1490,CHOOSE({1,2},INPUT!$A$3:$A$5000&amp;INPUT!$C$3:$C$5000,INPUT!$D$3:$D$5000),2,FALSE),"")</f>
        <v>TEC-TAC</v>
      </c>
      <c r="I1495" s="46">
        <f>IF(INPUT!P1490="","",INPUT!P1490)</f>
        <v>83.2</v>
      </c>
      <c r="J1495" s="46">
        <f>IF(INPUT!Q1490="","",INPUT!Q1490)</f>
        <v>82.9</v>
      </c>
      <c r="K1495" s="46">
        <f>IFERROR(IF(OR(INPUT!P1490="",INPUT!Q1490=""),"",INPUT!P1490-INPUT!Q1490),"")</f>
        <v>0.29999999999999716</v>
      </c>
      <c r="L1495" s="48">
        <f>IFERROR(IF(OR(INPUT!P1490="",INPUT!Q1490="",INPUT!P1490=0),"",(INPUT!P1490-INPUT!Q1490)/INPUT!P1490),"")</f>
        <v>3.6057692307691963E-3</v>
      </c>
    </row>
    <row r="1496" spans="1:12" ht="18" hidden="1" customHeight="1" x14ac:dyDescent="0.2">
      <c r="A1496" s="11">
        <f>IF(INPUT!M1491="","",INPUT!M1491)</f>
        <v>46009</v>
      </c>
      <c r="B1496" s="11">
        <f>IF(INPUT!M1491="","",INPUT!M1491-WEEKDAY(INPUT!M1491,2)+1)</f>
        <v>46006</v>
      </c>
      <c r="C1496" s="20">
        <f>IFERROR(_xlfn.ISOWEEKNUM(INPUT!M1491),"")</f>
        <v>51</v>
      </c>
      <c r="D1496" s="20">
        <f>IFERROR(YEAR(INPUT!M1491),"")</f>
        <v>2025</v>
      </c>
      <c r="E1496" t="str">
        <f>IF(INPUT!O1491="","",INPUT!O1491)</f>
        <v>DANI</v>
      </c>
      <c r="F1496" t="str">
        <f>IF(INPUT!N1491="","",INPUT!N1491)</f>
        <v>M</v>
      </c>
      <c r="G1496" t="str" cm="1">
        <f t="array" ref="G1496">IFERROR(VLOOKUP(INPUT!M1491&amp;INPUT!N1491,CHOOSE({1,2},INPUT!$A$3:$A$5000&amp;INPUT!$C$3:$C$5000,INPUT!$F$3:$F$5000),2,FALSE),"")</f>
        <v>PRE-TEMPORADA</v>
      </c>
      <c r="H1496" t="str" cm="1">
        <f t="array" ref="H1496">IFERROR(VLOOKUP(INPUT!M1491&amp;INPUT!N1491,CHOOSE({1,2},INPUT!$A$3:$A$5000&amp;INPUT!$C$3:$C$5000,INPUT!$D$3:$D$5000),2,FALSE),"")</f>
        <v>TEC-TAC</v>
      </c>
      <c r="I1496" s="46">
        <f>IF(INPUT!P1491="","",INPUT!P1491)</f>
        <v>92</v>
      </c>
      <c r="J1496" s="46">
        <f>IF(INPUT!Q1491="","",INPUT!Q1491)</f>
        <v>90.8</v>
      </c>
      <c r="K1496" s="46">
        <f>IFERROR(IF(OR(INPUT!P1491="",INPUT!Q1491=""),"",INPUT!P1491-INPUT!Q1491),"")</f>
        <v>1.2000000000000028</v>
      </c>
      <c r="L1496" s="48">
        <f>IFERROR(IF(OR(INPUT!P1491="",INPUT!Q1491="",INPUT!P1491=0),"",(INPUT!P1491-INPUT!Q1491)/INPUT!P1491),"")</f>
        <v>1.3043478260869596E-2</v>
      </c>
    </row>
    <row r="1497" spans="1:12" ht="18" hidden="1" customHeight="1" x14ac:dyDescent="0.2">
      <c r="A1497" s="11">
        <f>IF(INPUT!M1492="","",INPUT!M1492)</f>
        <v>46010</v>
      </c>
      <c r="B1497" s="11">
        <f>IF(INPUT!M1492="","",INPUT!M1492-WEEKDAY(INPUT!M1492,2)+1)</f>
        <v>46006</v>
      </c>
      <c r="C1497" s="20">
        <f>IFERROR(_xlfn.ISOWEEKNUM(INPUT!M1492),"")</f>
        <v>51</v>
      </c>
      <c r="D1497" s="20">
        <f>IFERROR(YEAR(INPUT!M1492),"")</f>
        <v>2025</v>
      </c>
      <c r="E1497" t="str">
        <f>IF(INPUT!O1492="","",INPUT!O1492)</f>
        <v>HERRERO</v>
      </c>
      <c r="F1497" t="str">
        <f>IF(INPUT!N1492="","",INPUT!N1492)</f>
        <v>M</v>
      </c>
      <c r="G1497" t="str" cm="1">
        <f t="array" ref="G1497">IFERROR(VLOOKUP(INPUT!M1492&amp;INPUT!N1492,CHOOSE({1,2},INPUT!$A$3:$A$5000&amp;INPUT!$C$3:$C$5000,INPUT!$F$3:$F$5000),2,FALSE),"")</f>
        <v>PRE-TEMPORADA</v>
      </c>
      <c r="H1497" t="str" cm="1">
        <f t="array" ref="H1497">IFERROR(VLOOKUP(INPUT!M1492&amp;INPUT!N1492,CHOOSE({1,2},INPUT!$A$3:$A$5000&amp;INPUT!$C$3:$C$5000,INPUT!$D$3:$D$5000),2,FALSE),"")</f>
        <v>TEC-TAC</v>
      </c>
      <c r="I1497" s="46">
        <f>IF(INPUT!P1492="","",INPUT!P1492)</f>
        <v>77</v>
      </c>
      <c r="J1497" s="46">
        <f>IF(INPUT!Q1492="","",INPUT!Q1492)</f>
        <v>77</v>
      </c>
      <c r="K1497" s="46">
        <f>IFERROR(IF(OR(INPUT!P1492="",INPUT!Q1492=""),"",INPUT!P1492-INPUT!Q1492),"")</f>
        <v>0</v>
      </c>
      <c r="L1497" s="48">
        <f>IFERROR(IF(OR(INPUT!P1492="",INPUT!Q1492="",INPUT!P1492=0),"",(INPUT!P1492-INPUT!Q1492)/INPUT!P1492),"")</f>
        <v>0</v>
      </c>
    </row>
    <row r="1498" spans="1:12" ht="18" hidden="1" customHeight="1" x14ac:dyDescent="0.2">
      <c r="A1498" s="11">
        <f>IF(INPUT!M1493="","",INPUT!M1493)</f>
        <v>46010</v>
      </c>
      <c r="B1498" s="11">
        <f>IF(INPUT!M1493="","",INPUT!M1493-WEEKDAY(INPUT!M1493,2)+1)</f>
        <v>46006</v>
      </c>
      <c r="C1498" s="20">
        <f>IFERROR(_xlfn.ISOWEEKNUM(INPUT!M1493),"")</f>
        <v>51</v>
      </c>
      <c r="D1498" s="20">
        <f>IFERROR(YEAR(INPUT!M1493),"")</f>
        <v>2025</v>
      </c>
      <c r="E1498" t="str">
        <f>IF(INPUT!O1493="","",INPUT!O1493)</f>
        <v>GARCIA</v>
      </c>
      <c r="F1498" t="str">
        <f>IF(INPUT!N1493="","",INPUT!N1493)</f>
        <v>M</v>
      </c>
      <c r="G1498" t="str" cm="1">
        <f t="array" ref="G1498">IFERROR(VLOOKUP(INPUT!M1493&amp;INPUT!N1493,CHOOSE({1,2},INPUT!$A$3:$A$5000&amp;INPUT!$C$3:$C$5000,INPUT!$F$3:$F$5000),2,FALSE),"")</f>
        <v>PRE-TEMPORADA</v>
      </c>
      <c r="H1498" t="str" cm="1">
        <f t="array" ref="H1498">IFERROR(VLOOKUP(INPUT!M1493&amp;INPUT!N1493,CHOOSE({1,2},INPUT!$A$3:$A$5000&amp;INPUT!$C$3:$C$5000,INPUT!$D$3:$D$5000),2,FALSE),"")</f>
        <v>TEC-TAC</v>
      </c>
      <c r="I1498" s="46">
        <f>IF(INPUT!P1493="","",INPUT!P1493)</f>
        <v>79</v>
      </c>
      <c r="J1498" s="46">
        <f>IF(INPUT!Q1493="","",INPUT!Q1493)</f>
        <v>78.8</v>
      </c>
      <c r="K1498" s="46">
        <f>IFERROR(IF(OR(INPUT!P1493="",INPUT!Q1493=""),"",INPUT!P1493-INPUT!Q1493),"")</f>
        <v>0.20000000000000284</v>
      </c>
      <c r="L1498" s="48">
        <f>IFERROR(IF(OR(INPUT!P1493="",INPUT!Q1493="",INPUT!P1493=0),"",(INPUT!P1493-INPUT!Q1493)/INPUT!P1493),"")</f>
        <v>2.5316455696202892E-3</v>
      </c>
    </row>
    <row r="1499" spans="1:12" ht="18" hidden="1" customHeight="1" x14ac:dyDescent="0.2">
      <c r="A1499" s="11">
        <f>IF(INPUT!M1494="","",INPUT!M1494)</f>
        <v>46010</v>
      </c>
      <c r="B1499" s="11">
        <f>IF(INPUT!M1494="","",INPUT!M1494-WEEKDAY(INPUT!M1494,2)+1)</f>
        <v>46006</v>
      </c>
      <c r="C1499" s="20">
        <f>IFERROR(_xlfn.ISOWEEKNUM(INPUT!M1494),"")</f>
        <v>51</v>
      </c>
      <c r="D1499" s="20">
        <f>IFERROR(YEAR(INPUT!M1494),"")</f>
        <v>2025</v>
      </c>
      <c r="E1499" t="str">
        <f>IF(INPUT!O1494="","",INPUT!O1494)</f>
        <v>CHAGUINHA</v>
      </c>
      <c r="F1499" t="str">
        <f>IF(INPUT!N1494="","",INPUT!N1494)</f>
        <v>M</v>
      </c>
      <c r="G1499" t="str" cm="1">
        <f t="array" ref="G1499">IFERROR(VLOOKUP(INPUT!M1494&amp;INPUT!N1494,CHOOSE({1,2},INPUT!$A$3:$A$5000&amp;INPUT!$C$3:$C$5000,INPUT!$F$3:$F$5000),2,FALSE),"")</f>
        <v>PRE-TEMPORADA</v>
      </c>
      <c r="H1499" t="str" cm="1">
        <f t="array" ref="H1499">IFERROR(VLOOKUP(INPUT!M1494&amp;INPUT!N1494,CHOOSE({1,2},INPUT!$A$3:$A$5000&amp;INPUT!$C$3:$C$5000,INPUT!$D$3:$D$5000),2,FALSE),"")</f>
        <v>TEC-TAC</v>
      </c>
      <c r="I1499" s="46">
        <f>IF(INPUT!P1494="","",INPUT!P1494)</f>
        <v>69</v>
      </c>
      <c r="J1499" s="46">
        <f>IF(INPUT!Q1494="","",INPUT!Q1494)</f>
        <v>68.7</v>
      </c>
      <c r="K1499" s="46">
        <f>IFERROR(IF(OR(INPUT!P1494="",INPUT!Q1494=""),"",INPUT!P1494-INPUT!Q1494),"")</f>
        <v>0.29999999999999716</v>
      </c>
      <c r="L1499" s="48">
        <f>IFERROR(IF(OR(INPUT!P1494="",INPUT!Q1494="",INPUT!P1494=0),"",(INPUT!P1494-INPUT!Q1494)/INPUT!P1494),"")</f>
        <v>4.3478260869564802E-3</v>
      </c>
    </row>
    <row r="1500" spans="1:12" ht="18" hidden="1" customHeight="1" x14ac:dyDescent="0.2">
      <c r="A1500" s="11">
        <f>IF(INPUT!M1495="","",INPUT!M1495)</f>
        <v>46010</v>
      </c>
      <c r="B1500" s="11">
        <f>IF(INPUT!M1495="","",INPUT!M1495-WEEKDAY(INPUT!M1495,2)+1)</f>
        <v>46006</v>
      </c>
      <c r="C1500" s="20">
        <f>IFERROR(_xlfn.ISOWEEKNUM(INPUT!M1495),"")</f>
        <v>51</v>
      </c>
      <c r="D1500" s="20">
        <f>IFERROR(YEAR(INPUT!M1495),"")</f>
        <v>2025</v>
      </c>
      <c r="E1500" t="str">
        <f>IF(INPUT!O1495="","",INPUT!O1495)</f>
        <v>RAUL</v>
      </c>
      <c r="F1500" t="str">
        <f>IF(INPUT!N1495="","",INPUT!N1495)</f>
        <v>M</v>
      </c>
      <c r="G1500" t="str" cm="1">
        <f t="array" ref="G1500">IFERROR(VLOOKUP(INPUT!M1495&amp;INPUT!N1495,CHOOSE({1,2},INPUT!$A$3:$A$5000&amp;INPUT!$C$3:$C$5000,INPUT!$F$3:$F$5000),2,FALSE),"")</f>
        <v>PRE-TEMPORADA</v>
      </c>
      <c r="H1500" t="str" cm="1">
        <f t="array" ref="H1500">IFERROR(VLOOKUP(INPUT!M1495&amp;INPUT!N1495,CHOOSE({1,2},INPUT!$A$3:$A$5000&amp;INPUT!$C$3:$C$5000,INPUT!$D$3:$D$5000),2,FALSE),"")</f>
        <v>TEC-TAC</v>
      </c>
      <c r="I1500" s="46">
        <f>IF(INPUT!P1495="","",INPUT!P1495)</f>
        <v>80.5</v>
      </c>
      <c r="J1500" s="46">
        <f>IF(INPUT!Q1495="","",INPUT!Q1495)</f>
        <v>80.400000000000006</v>
      </c>
      <c r="K1500" s="46">
        <f>IFERROR(IF(OR(INPUT!P1495="",INPUT!Q1495=""),"",INPUT!P1495-INPUT!Q1495),"")</f>
        <v>9.9999999999994316E-2</v>
      </c>
      <c r="L1500" s="48">
        <f>IFERROR(IF(OR(INPUT!P1495="",INPUT!Q1495="",INPUT!P1495=0),"",(INPUT!P1495-INPUT!Q1495)/INPUT!P1495),"")</f>
        <v>1.2422360248446499E-3</v>
      </c>
    </row>
    <row r="1501" spans="1:12" ht="18" hidden="1" customHeight="1" x14ac:dyDescent="0.2">
      <c r="A1501" s="11">
        <f>IF(INPUT!M1496="","",INPUT!M1496)</f>
        <v>46010</v>
      </c>
      <c r="B1501" s="11">
        <f>IF(INPUT!M1496="","",INPUT!M1496-WEEKDAY(INPUT!M1496,2)+1)</f>
        <v>46006</v>
      </c>
      <c r="C1501" s="20">
        <f>IFERROR(_xlfn.ISOWEEKNUM(INPUT!M1496),"")</f>
        <v>51</v>
      </c>
      <c r="D1501" s="20">
        <f>IFERROR(YEAR(INPUT!M1496),"")</f>
        <v>2025</v>
      </c>
      <c r="E1501" t="str">
        <f>IF(INPUT!O1496="","",INPUT!O1496)</f>
        <v>PANI</v>
      </c>
      <c r="F1501" t="str">
        <f>IF(INPUT!N1496="","",INPUT!N1496)</f>
        <v>M</v>
      </c>
      <c r="G1501" t="str" cm="1">
        <f t="array" ref="G1501">IFERROR(VLOOKUP(INPUT!M1496&amp;INPUT!N1496,CHOOSE({1,2},INPUT!$A$3:$A$5000&amp;INPUT!$C$3:$C$5000,INPUT!$F$3:$F$5000),2,FALSE),"")</f>
        <v>PRE-TEMPORADA</v>
      </c>
      <c r="H1501" t="str" cm="1">
        <f t="array" ref="H1501">IFERROR(VLOOKUP(INPUT!M1496&amp;INPUT!N1496,CHOOSE({1,2},INPUT!$A$3:$A$5000&amp;INPUT!$C$3:$C$5000,INPUT!$D$3:$D$5000),2,FALSE),"")</f>
        <v>TEC-TAC</v>
      </c>
      <c r="I1501" s="46">
        <f>IF(INPUT!P1496="","",INPUT!P1496)</f>
        <v>65.8</v>
      </c>
      <c r="J1501" s="46">
        <f>IF(INPUT!Q1496="","",INPUT!Q1496)</f>
        <v>65.3</v>
      </c>
      <c r="K1501" s="46">
        <f>IFERROR(IF(OR(INPUT!P1496="",INPUT!Q1496=""),"",INPUT!P1496-INPUT!Q1496),"")</f>
        <v>0.5</v>
      </c>
      <c r="L1501" s="48">
        <f>IFERROR(IF(OR(INPUT!P1496="",INPUT!Q1496="",INPUT!P1496=0),"",(INPUT!P1496-INPUT!Q1496)/INPUT!P1496),"")</f>
        <v>7.5987841945288756E-3</v>
      </c>
    </row>
    <row r="1502" spans="1:12" ht="18" hidden="1" customHeight="1" x14ac:dyDescent="0.2">
      <c r="A1502" s="11">
        <f>IF(INPUT!M1497="","",INPUT!M1497)</f>
        <v>46010</v>
      </c>
      <c r="B1502" s="11">
        <f>IF(INPUT!M1497="","",INPUT!M1497-WEEKDAY(INPUT!M1497,2)+1)</f>
        <v>46006</v>
      </c>
      <c r="C1502" s="20">
        <f>IFERROR(_xlfn.ISOWEEKNUM(INPUT!M1497),"")</f>
        <v>51</v>
      </c>
      <c r="D1502" s="20">
        <f>IFERROR(YEAR(INPUT!M1497),"")</f>
        <v>2025</v>
      </c>
      <c r="E1502" t="str">
        <f>IF(INPUT!O1497="","",INPUT!O1497)</f>
        <v>PIRATA</v>
      </c>
      <c r="F1502" t="str">
        <f>IF(INPUT!N1497="","",INPUT!N1497)</f>
        <v>M</v>
      </c>
      <c r="G1502" t="str" cm="1">
        <f t="array" ref="G1502">IFERROR(VLOOKUP(INPUT!M1497&amp;INPUT!N1497,CHOOSE({1,2},INPUT!$A$3:$A$5000&amp;INPUT!$C$3:$C$5000,INPUT!$F$3:$F$5000),2,FALSE),"")</f>
        <v>PRE-TEMPORADA</v>
      </c>
      <c r="H1502" t="str" cm="1">
        <f t="array" ref="H1502">IFERROR(VLOOKUP(INPUT!M1497&amp;INPUT!N1497,CHOOSE({1,2},INPUT!$A$3:$A$5000&amp;INPUT!$C$3:$C$5000,INPUT!$D$3:$D$5000),2,FALSE),"")</f>
        <v>TEC-TAC</v>
      </c>
      <c r="I1502" s="46">
        <f>IF(INPUT!P1497="","",INPUT!P1497)</f>
        <v>75.099999999999994</v>
      </c>
      <c r="J1502" s="46">
        <f>IF(INPUT!Q1497="","",INPUT!Q1497)</f>
        <v>75.2</v>
      </c>
      <c r="K1502" s="46">
        <f>IFERROR(IF(OR(INPUT!P1497="",INPUT!Q1497=""),"",INPUT!P1497-INPUT!Q1497),"")</f>
        <v>-0.10000000000000853</v>
      </c>
      <c r="L1502" s="48">
        <f>IFERROR(IF(OR(INPUT!P1497="",INPUT!Q1497="",INPUT!P1497=0),"",(INPUT!P1497-INPUT!Q1497)/INPUT!P1497),"")</f>
        <v>-1.3315579227697542E-3</v>
      </c>
    </row>
    <row r="1503" spans="1:12" ht="18" hidden="1" customHeight="1" x14ac:dyDescent="0.2">
      <c r="A1503" s="11">
        <f>IF(INPUT!M1498="","",INPUT!M1498)</f>
        <v>46010</v>
      </c>
      <c r="B1503" s="11">
        <f>IF(INPUT!M1498="","",INPUT!M1498-WEEKDAY(INPUT!M1498,2)+1)</f>
        <v>46006</v>
      </c>
      <c r="C1503" s="20">
        <f>IFERROR(_xlfn.ISOWEEKNUM(INPUT!M1498),"")</f>
        <v>51</v>
      </c>
      <c r="D1503" s="20">
        <f>IFERROR(YEAR(INPUT!M1498),"")</f>
        <v>2025</v>
      </c>
      <c r="E1503" t="str">
        <f>IF(INPUT!O1498="","",INPUT!O1498)</f>
        <v>BARONA</v>
      </c>
      <c r="F1503" t="str">
        <f>IF(INPUT!N1498="","",INPUT!N1498)</f>
        <v>M</v>
      </c>
      <c r="G1503" t="str" cm="1">
        <f t="array" ref="G1503">IFERROR(VLOOKUP(INPUT!M1498&amp;INPUT!N1498,CHOOSE({1,2},INPUT!$A$3:$A$5000&amp;INPUT!$C$3:$C$5000,INPUT!$F$3:$F$5000),2,FALSE),"")</f>
        <v>PRE-TEMPORADA</v>
      </c>
      <c r="H1503" t="str" cm="1">
        <f t="array" ref="H1503">IFERROR(VLOOKUP(INPUT!M1498&amp;INPUT!N1498,CHOOSE({1,2},INPUT!$A$3:$A$5000&amp;INPUT!$C$3:$C$5000,INPUT!$D$3:$D$5000),2,FALSE),"")</f>
        <v>TEC-TAC</v>
      </c>
      <c r="I1503" s="46">
        <f>IF(INPUT!P1498="","",INPUT!P1498)</f>
        <v>71.400000000000006</v>
      </c>
      <c r="J1503" s="46">
        <f>IF(INPUT!Q1498="","",INPUT!Q1498)</f>
        <v>71.3</v>
      </c>
      <c r="K1503" s="46">
        <f>IFERROR(IF(OR(INPUT!P1498="",INPUT!Q1498=""),"",INPUT!P1498-INPUT!Q1498),"")</f>
        <v>0.10000000000000853</v>
      </c>
      <c r="L1503" s="48">
        <f>IFERROR(IF(OR(INPUT!P1498="",INPUT!Q1498="",INPUT!P1498=0),"",(INPUT!P1498-INPUT!Q1498)/INPUT!P1498),"")</f>
        <v>1.4005602240897551E-3</v>
      </c>
    </row>
    <row r="1504" spans="1:12" ht="18" hidden="1" customHeight="1" x14ac:dyDescent="0.2">
      <c r="A1504" s="11">
        <f>IF(INPUT!M1499="","",INPUT!M1499)</f>
        <v>46010</v>
      </c>
      <c r="B1504" s="11">
        <f>IF(INPUT!M1499="","",INPUT!M1499-WEEKDAY(INPUT!M1499,2)+1)</f>
        <v>46006</v>
      </c>
      <c r="C1504" s="20">
        <f>IFERROR(_xlfn.ISOWEEKNUM(INPUT!M1499),"")</f>
        <v>51</v>
      </c>
      <c r="D1504" s="20">
        <f>IFERROR(YEAR(INPUT!M1499),"")</f>
        <v>2025</v>
      </c>
      <c r="E1504" t="str">
        <f>IF(INPUT!O1499="","",INPUT!O1499)</f>
        <v>CARLOS</v>
      </c>
      <c r="F1504" t="str">
        <f>IF(INPUT!N1499="","",INPUT!N1499)</f>
        <v>M</v>
      </c>
      <c r="G1504" t="str" cm="1">
        <f t="array" ref="G1504">IFERROR(VLOOKUP(INPUT!M1499&amp;INPUT!N1499,CHOOSE({1,2},INPUT!$A$3:$A$5000&amp;INPUT!$C$3:$C$5000,INPUT!$F$3:$F$5000),2,FALSE),"")</f>
        <v>PRE-TEMPORADA</v>
      </c>
      <c r="H1504" t="str" cm="1">
        <f t="array" ref="H1504">IFERROR(VLOOKUP(INPUT!M1499&amp;INPUT!N1499,CHOOSE({1,2},INPUT!$A$3:$A$5000&amp;INPUT!$C$3:$C$5000,INPUT!$D$3:$D$5000),2,FALSE),"")</f>
        <v>TEC-TAC</v>
      </c>
      <c r="I1504" s="46">
        <f>IF(INPUT!P1499="","",INPUT!P1499)</f>
        <v>66.599999999999994</v>
      </c>
      <c r="J1504" s="46">
        <f>IF(INPUT!Q1499="","",INPUT!Q1499)</f>
        <v>66</v>
      </c>
      <c r="K1504" s="46">
        <f>IFERROR(IF(OR(INPUT!P1499="",INPUT!Q1499=""),"",INPUT!P1499-INPUT!Q1499),"")</f>
        <v>0.59999999999999432</v>
      </c>
      <c r="L1504" s="48">
        <f>IFERROR(IF(OR(INPUT!P1499="",INPUT!Q1499="",INPUT!P1499=0),"",(INPUT!P1499-INPUT!Q1499)/INPUT!P1499),"")</f>
        <v>9.0090090090089239E-3</v>
      </c>
    </row>
    <row r="1505" spans="1:12" ht="18" hidden="1" customHeight="1" x14ac:dyDescent="0.2">
      <c r="A1505" s="11">
        <f>IF(INPUT!M1500="","",INPUT!M1500)</f>
        <v>46010</v>
      </c>
      <c r="B1505" s="11">
        <f>IF(INPUT!M1500="","",INPUT!M1500-WEEKDAY(INPUT!M1500,2)+1)</f>
        <v>46006</v>
      </c>
      <c r="C1505" s="20">
        <f>IFERROR(_xlfn.ISOWEEKNUM(INPUT!M1500),"")</f>
        <v>51</v>
      </c>
      <c r="D1505" s="20">
        <f>IFERROR(YEAR(INPUT!M1500),"")</f>
        <v>2025</v>
      </c>
      <c r="E1505" t="str">
        <f>IF(INPUT!O1500="","",INPUT!O1500)</f>
        <v>DANI</v>
      </c>
      <c r="F1505" t="str">
        <f>IF(INPUT!N1500="","",INPUT!N1500)</f>
        <v>M</v>
      </c>
      <c r="G1505" t="str" cm="1">
        <f t="array" ref="G1505">IFERROR(VLOOKUP(INPUT!M1500&amp;INPUT!N1500,CHOOSE({1,2},INPUT!$A$3:$A$5000&amp;INPUT!$C$3:$C$5000,INPUT!$F$3:$F$5000),2,FALSE),"")</f>
        <v>PRE-TEMPORADA</v>
      </c>
      <c r="H1505" t="str" cm="1">
        <f t="array" ref="H1505">IFERROR(VLOOKUP(INPUT!M1500&amp;INPUT!N1500,CHOOSE({1,2},INPUT!$A$3:$A$5000&amp;INPUT!$C$3:$C$5000,INPUT!$D$3:$D$5000),2,FALSE),"")</f>
        <v>TEC-TAC</v>
      </c>
      <c r="I1505" s="46">
        <f>IF(INPUT!P1500="","",INPUT!P1500)</f>
        <v>90.9</v>
      </c>
      <c r="J1505" s="46">
        <f>IF(INPUT!Q1500="","",INPUT!Q1500)</f>
        <v>89.7</v>
      </c>
      <c r="K1505" s="46">
        <f>IFERROR(IF(OR(INPUT!P1500="",INPUT!Q1500=""),"",INPUT!P1500-INPUT!Q1500),"")</f>
        <v>1.2000000000000028</v>
      </c>
      <c r="L1505" s="48">
        <f>IFERROR(IF(OR(INPUT!P1500="",INPUT!Q1500="",INPUT!P1500=0),"",(INPUT!P1500-INPUT!Q1500)/INPUT!P1500),"")</f>
        <v>1.3201320132013231E-2</v>
      </c>
    </row>
    <row r="1506" spans="1:12" ht="18" customHeight="1" x14ac:dyDescent="0.2">
      <c r="A1506" s="11">
        <f>IF(INPUT!M1501="","",INPUT!M1501)</f>
        <v>46010</v>
      </c>
      <c r="B1506" s="11">
        <f>IF(INPUT!M1501="","",INPUT!M1501-WEEKDAY(INPUT!M1501,2)+1)</f>
        <v>46006</v>
      </c>
      <c r="C1506" s="20">
        <f>IFERROR(_xlfn.ISOWEEKNUM(INPUT!M1501),"")</f>
        <v>51</v>
      </c>
      <c r="D1506" s="20">
        <f>IFERROR(YEAR(INPUT!M1501),"")</f>
        <v>2025</v>
      </c>
      <c r="E1506" t="str">
        <f>IF(INPUT!O1501="","",INPUT!O1501)</f>
        <v>JAIME</v>
      </c>
      <c r="F1506" t="str">
        <f>IF(INPUT!N1501="","",INPUT!N1501)</f>
        <v>M</v>
      </c>
      <c r="G1506" t="str" cm="1">
        <f t="array" ref="G1506">IFERROR(VLOOKUP(INPUT!M1501&amp;INPUT!N1501,CHOOSE({1,2},INPUT!$A$3:$A$5000&amp;INPUT!$C$3:$C$5000,INPUT!$F$3:$F$5000),2,FALSE),"")</f>
        <v>PRE-TEMPORADA</v>
      </c>
      <c r="H1506" t="str" cm="1">
        <f t="array" ref="H1506">IFERROR(VLOOKUP(INPUT!M1501&amp;INPUT!N1501,CHOOSE({1,2},INPUT!$A$3:$A$5000&amp;INPUT!$C$3:$C$5000,INPUT!$D$3:$D$5000),2,FALSE),"")</f>
        <v>TEC-TAC</v>
      </c>
      <c r="I1506" s="46">
        <f>IF(INPUT!P1501="","",INPUT!P1501)</f>
        <v>74</v>
      </c>
      <c r="J1506" s="46">
        <f>IF(INPUT!Q1501="","",INPUT!Q1501)</f>
        <v>74.2</v>
      </c>
      <c r="K1506" s="46">
        <f>IFERROR(IF(OR(INPUT!P1501="",INPUT!Q1501=""),"",INPUT!P1501-INPUT!Q1501),"")</f>
        <v>-0.20000000000000284</v>
      </c>
      <c r="L1506" s="48">
        <f>IFERROR(IF(OR(INPUT!P1501="",INPUT!Q1501="",INPUT!P1501=0),"",(INPUT!P1501-INPUT!Q1501)/INPUT!P1501),"")</f>
        <v>-2.702702702702741E-3</v>
      </c>
    </row>
    <row r="1507" spans="1:12" ht="18" hidden="1" customHeight="1" x14ac:dyDescent="0.2">
      <c r="A1507" s="11">
        <f>IF(INPUT!M1502="","",INPUT!M1502)</f>
        <v>46013</v>
      </c>
      <c r="B1507" s="11">
        <f>IF(INPUT!M1502="","",INPUT!M1502-WEEKDAY(INPUT!M1502,2)+1)</f>
        <v>46013</v>
      </c>
      <c r="C1507" s="20">
        <f>IFERROR(_xlfn.ISOWEEKNUM(INPUT!M1502),"")</f>
        <v>52</v>
      </c>
      <c r="D1507" s="20">
        <f>IFERROR(YEAR(INPUT!M1502),"")</f>
        <v>2025</v>
      </c>
      <c r="E1507" t="str">
        <f>IF(INPUT!O1502="","",INPUT!O1502)</f>
        <v>HERRERO</v>
      </c>
      <c r="F1507" t="str">
        <f>IF(INPUT!N1502="","",INPUT!N1502)</f>
        <v>M</v>
      </c>
      <c r="G1507" t="str" cm="1">
        <f t="array" ref="G1507">IFERROR(VLOOKUP(INPUT!M1502&amp;INPUT!N1502,CHOOSE({1,2},INPUT!$A$3:$A$5000&amp;INPUT!$C$3:$C$5000,INPUT!$F$3:$F$5000),2,FALSE),"")</f>
        <v>PRE-TEMPORADA</v>
      </c>
      <c r="H1507" t="str" cm="1">
        <f t="array" ref="H1507">IFERROR(VLOOKUP(INPUT!M1502&amp;INPUT!N1502,CHOOSE({1,2},INPUT!$A$3:$A$5000&amp;INPUT!$C$3:$C$5000,INPUT!$D$3:$D$5000),2,FALSE),"")</f>
        <v>GYM+TEC-TAC</v>
      </c>
      <c r="I1507" s="46">
        <f>IF(INPUT!P1502="","",INPUT!P1502)</f>
        <v>76.7</v>
      </c>
      <c r="J1507" s="46">
        <f>IF(INPUT!Q1502="","",INPUT!Q1502)</f>
        <v>76.099999999999994</v>
      </c>
      <c r="K1507" s="46">
        <f>IFERROR(IF(OR(INPUT!P1502="",INPUT!Q1502=""),"",INPUT!P1502-INPUT!Q1502),"")</f>
        <v>0.60000000000000853</v>
      </c>
      <c r="L1507" s="48">
        <f>IFERROR(IF(OR(INPUT!P1502="",INPUT!Q1502="",INPUT!P1502=0),"",(INPUT!P1502-INPUT!Q1502)/INPUT!P1502),"")</f>
        <v>7.8226857887875954E-3</v>
      </c>
    </row>
    <row r="1508" spans="1:12" ht="18" hidden="1" customHeight="1" x14ac:dyDescent="0.2">
      <c r="A1508" s="11">
        <f>IF(INPUT!M1503="","",INPUT!M1503)</f>
        <v>46013</v>
      </c>
      <c r="B1508" s="11">
        <f>IF(INPUT!M1503="","",INPUT!M1503-WEEKDAY(INPUT!M1503,2)+1)</f>
        <v>46013</v>
      </c>
      <c r="C1508" s="20">
        <f>IFERROR(_xlfn.ISOWEEKNUM(INPUT!M1503),"")</f>
        <v>52</v>
      </c>
      <c r="D1508" s="20">
        <f>IFERROR(YEAR(INPUT!M1503),"")</f>
        <v>2025</v>
      </c>
      <c r="E1508" t="str">
        <f>IF(INPUT!O1503="","",INPUT!O1503)</f>
        <v>GARCIA</v>
      </c>
      <c r="F1508" t="str">
        <f>IF(INPUT!N1503="","",INPUT!N1503)</f>
        <v>M</v>
      </c>
      <c r="G1508" t="str" cm="1">
        <f t="array" ref="G1508">IFERROR(VLOOKUP(INPUT!M1503&amp;INPUT!N1503,CHOOSE({1,2},INPUT!$A$3:$A$5000&amp;INPUT!$C$3:$C$5000,INPUT!$F$3:$F$5000),2,FALSE),"")</f>
        <v>PRE-TEMPORADA</v>
      </c>
      <c r="H1508" t="str" cm="1">
        <f t="array" ref="H1508">IFERROR(VLOOKUP(INPUT!M1503&amp;INPUT!N1503,CHOOSE({1,2},INPUT!$A$3:$A$5000&amp;INPUT!$C$3:$C$5000,INPUT!$D$3:$D$5000),2,FALSE),"")</f>
        <v>GYM+TEC-TAC</v>
      </c>
      <c r="I1508" s="46">
        <f>IF(INPUT!P1503="","",INPUT!P1503)</f>
        <v>79.400000000000006</v>
      </c>
      <c r="J1508" s="46">
        <f>IF(INPUT!Q1503="","",INPUT!Q1503)</f>
        <v>79</v>
      </c>
      <c r="K1508" s="46">
        <f>IFERROR(IF(OR(INPUT!P1503="",INPUT!Q1503=""),"",INPUT!P1503-INPUT!Q1503),"")</f>
        <v>0.40000000000000568</v>
      </c>
      <c r="L1508" s="48">
        <f>IFERROR(IF(OR(INPUT!P1503="",INPUT!Q1503="",INPUT!P1503=0),"",(INPUT!P1503-INPUT!Q1503)/INPUT!P1503),"")</f>
        <v>5.0377833753149324E-3</v>
      </c>
    </row>
    <row r="1509" spans="1:12" ht="18" hidden="1" customHeight="1" x14ac:dyDescent="0.2">
      <c r="A1509" s="11">
        <f>IF(INPUT!M1504="","",INPUT!M1504)</f>
        <v>46013</v>
      </c>
      <c r="B1509" s="11">
        <f>IF(INPUT!M1504="","",INPUT!M1504-WEEKDAY(INPUT!M1504,2)+1)</f>
        <v>46013</v>
      </c>
      <c r="C1509" s="20">
        <f>IFERROR(_xlfn.ISOWEEKNUM(INPUT!M1504),"")</f>
        <v>52</v>
      </c>
      <c r="D1509" s="20">
        <f>IFERROR(YEAR(INPUT!M1504),"")</f>
        <v>2025</v>
      </c>
      <c r="E1509" t="str">
        <f>IF(INPUT!O1504="","",INPUT!O1504)</f>
        <v>CHAGUINHA</v>
      </c>
      <c r="F1509" t="str">
        <f>IF(INPUT!N1504="","",INPUT!N1504)</f>
        <v>M</v>
      </c>
      <c r="G1509" t="str" cm="1">
        <f t="array" ref="G1509">IFERROR(VLOOKUP(INPUT!M1504&amp;INPUT!N1504,CHOOSE({1,2},INPUT!$A$3:$A$5000&amp;INPUT!$C$3:$C$5000,INPUT!$F$3:$F$5000),2,FALSE),"")</f>
        <v>PRE-TEMPORADA</v>
      </c>
      <c r="H1509" t="str" cm="1">
        <f t="array" ref="H1509">IFERROR(VLOOKUP(INPUT!M1504&amp;INPUT!N1504,CHOOSE({1,2},INPUT!$A$3:$A$5000&amp;INPUT!$C$3:$C$5000,INPUT!$D$3:$D$5000),2,FALSE),"")</f>
        <v>GYM+TEC-TAC</v>
      </c>
      <c r="I1509" s="46">
        <f>IF(INPUT!P1504="","",INPUT!P1504)</f>
        <v>69.2</v>
      </c>
      <c r="J1509" s="46">
        <f>IF(INPUT!Q1504="","",INPUT!Q1504)</f>
        <v>68.7</v>
      </c>
      <c r="K1509" s="46">
        <f>IFERROR(IF(OR(INPUT!P1504="",INPUT!Q1504=""),"",INPUT!P1504-INPUT!Q1504),"")</f>
        <v>0.5</v>
      </c>
      <c r="L1509" s="48">
        <f>IFERROR(IF(OR(INPUT!P1504="",INPUT!Q1504="",INPUT!P1504=0),"",(INPUT!P1504-INPUT!Q1504)/INPUT!P1504),"")</f>
        <v>7.2254335260115606E-3</v>
      </c>
    </row>
    <row r="1510" spans="1:12" ht="18" hidden="1" customHeight="1" x14ac:dyDescent="0.2">
      <c r="A1510" s="11">
        <f>IF(INPUT!M1505="","",INPUT!M1505)</f>
        <v>46013</v>
      </c>
      <c r="B1510" s="11">
        <f>IF(INPUT!M1505="","",INPUT!M1505-WEEKDAY(INPUT!M1505,2)+1)</f>
        <v>46013</v>
      </c>
      <c r="C1510" s="20">
        <f>IFERROR(_xlfn.ISOWEEKNUM(INPUT!M1505),"")</f>
        <v>52</v>
      </c>
      <c r="D1510" s="20">
        <f>IFERROR(YEAR(INPUT!M1505),"")</f>
        <v>2025</v>
      </c>
      <c r="E1510" t="str">
        <f>IF(INPUT!O1505="","",INPUT!O1505)</f>
        <v>RAUL</v>
      </c>
      <c r="F1510" t="str">
        <f>IF(INPUT!N1505="","",INPUT!N1505)</f>
        <v>M</v>
      </c>
      <c r="G1510" t="str" cm="1">
        <f t="array" ref="G1510">IFERROR(VLOOKUP(INPUT!M1505&amp;INPUT!N1505,CHOOSE({1,2},INPUT!$A$3:$A$5000&amp;INPUT!$C$3:$C$5000,INPUT!$F$3:$F$5000),2,FALSE),"")</f>
        <v>PRE-TEMPORADA</v>
      </c>
      <c r="H1510" t="str" cm="1">
        <f t="array" ref="H1510">IFERROR(VLOOKUP(INPUT!M1505&amp;INPUT!N1505,CHOOSE({1,2},INPUT!$A$3:$A$5000&amp;INPUT!$C$3:$C$5000,INPUT!$D$3:$D$5000),2,FALSE),"")</f>
        <v>GYM+TEC-TAC</v>
      </c>
      <c r="I1510" s="46">
        <f>IF(INPUT!P1505="","",INPUT!P1505)</f>
        <v>79.3</v>
      </c>
      <c r="J1510" s="46">
        <f>IF(INPUT!Q1505="","",INPUT!Q1505)</f>
        <v>79</v>
      </c>
      <c r="K1510" s="46">
        <f>IFERROR(IF(OR(INPUT!P1505="",INPUT!Q1505=""),"",INPUT!P1505-INPUT!Q1505),"")</f>
        <v>0.29999999999999716</v>
      </c>
      <c r="L1510" s="48">
        <f>IFERROR(IF(OR(INPUT!P1505="",INPUT!Q1505="",INPUT!P1505=0),"",(INPUT!P1505-INPUT!Q1505)/INPUT!P1505),"")</f>
        <v>3.7831021437578459E-3</v>
      </c>
    </row>
    <row r="1511" spans="1:12" ht="18" hidden="1" customHeight="1" x14ac:dyDescent="0.2">
      <c r="A1511" s="11">
        <f>IF(INPUT!M1506="","",INPUT!M1506)</f>
        <v>46013</v>
      </c>
      <c r="B1511" s="11">
        <f>IF(INPUT!M1506="","",INPUT!M1506-WEEKDAY(INPUT!M1506,2)+1)</f>
        <v>46013</v>
      </c>
      <c r="C1511" s="20">
        <f>IFERROR(_xlfn.ISOWEEKNUM(INPUT!M1506),"")</f>
        <v>52</v>
      </c>
      <c r="D1511" s="20">
        <f>IFERROR(YEAR(INPUT!M1506),"")</f>
        <v>2025</v>
      </c>
      <c r="E1511" t="str">
        <f>IF(INPUT!O1506="","",INPUT!O1506)</f>
        <v>RAYA</v>
      </c>
      <c r="F1511" t="str">
        <f>IF(INPUT!N1506="","",INPUT!N1506)</f>
        <v>M</v>
      </c>
      <c r="G1511" t="str" cm="1">
        <f t="array" ref="G1511">IFERROR(VLOOKUP(INPUT!M1506&amp;INPUT!N1506,CHOOSE({1,2},INPUT!$A$3:$A$5000&amp;INPUT!$C$3:$C$5000,INPUT!$F$3:$F$5000),2,FALSE),"")</f>
        <v>PRE-TEMPORADA</v>
      </c>
      <c r="H1511" t="str" cm="1">
        <f t="array" ref="H1511">IFERROR(VLOOKUP(INPUT!M1506&amp;INPUT!N1506,CHOOSE({1,2},INPUT!$A$3:$A$5000&amp;INPUT!$C$3:$C$5000,INPUT!$D$3:$D$5000),2,FALSE),"")</f>
        <v>GYM+TEC-TAC</v>
      </c>
      <c r="I1511" s="46">
        <f>IF(INPUT!P1506="","",INPUT!P1506)</f>
        <v>81.599999999999994</v>
      </c>
      <c r="J1511" s="46">
        <f>IF(INPUT!Q1506="","",INPUT!Q1506)</f>
        <v>80.5</v>
      </c>
      <c r="K1511" s="46">
        <f>IFERROR(IF(OR(INPUT!P1506="",INPUT!Q1506=""),"",INPUT!P1506-INPUT!Q1506),"")</f>
        <v>1.0999999999999943</v>
      </c>
      <c r="L1511" s="48">
        <f>IFERROR(IF(OR(INPUT!P1506="",INPUT!Q1506="",INPUT!P1506=0),"",(INPUT!P1506-INPUT!Q1506)/INPUT!P1506),"")</f>
        <v>1.3480392156862676E-2</v>
      </c>
    </row>
    <row r="1512" spans="1:12" ht="18" hidden="1" customHeight="1" x14ac:dyDescent="0.2">
      <c r="A1512" s="11">
        <f>IF(INPUT!M1507="","",INPUT!M1507)</f>
        <v>46013</v>
      </c>
      <c r="B1512" s="11">
        <f>IF(INPUT!M1507="","",INPUT!M1507-WEEKDAY(INPUT!M1507,2)+1)</f>
        <v>46013</v>
      </c>
      <c r="C1512" s="20">
        <f>IFERROR(_xlfn.ISOWEEKNUM(INPUT!M1507),"")</f>
        <v>52</v>
      </c>
      <c r="D1512" s="20">
        <f>IFERROR(YEAR(INPUT!M1507),"")</f>
        <v>2025</v>
      </c>
      <c r="E1512" t="str">
        <f>IF(INPUT!O1507="","",INPUT!O1507)</f>
        <v>PANI</v>
      </c>
      <c r="F1512" t="str">
        <f>IF(INPUT!N1507="","",INPUT!N1507)</f>
        <v>M</v>
      </c>
      <c r="G1512" t="str" cm="1">
        <f t="array" ref="G1512">IFERROR(VLOOKUP(INPUT!M1507&amp;INPUT!N1507,CHOOSE({1,2},INPUT!$A$3:$A$5000&amp;INPUT!$C$3:$C$5000,INPUT!$F$3:$F$5000),2,FALSE),"")</f>
        <v>PRE-TEMPORADA</v>
      </c>
      <c r="H1512" t="str" cm="1">
        <f t="array" ref="H1512">IFERROR(VLOOKUP(INPUT!M1507&amp;INPUT!N1507,CHOOSE({1,2},INPUT!$A$3:$A$5000&amp;INPUT!$C$3:$C$5000,INPUT!$D$3:$D$5000),2,FALSE),"")</f>
        <v>GYM+TEC-TAC</v>
      </c>
      <c r="I1512" s="46">
        <f>IF(INPUT!P1507="","",INPUT!P1507)</f>
        <v>67.400000000000006</v>
      </c>
      <c r="J1512" s="46">
        <f>IF(INPUT!Q1507="","",INPUT!Q1507)</f>
        <v>66.5</v>
      </c>
      <c r="K1512" s="46">
        <f>IFERROR(IF(OR(INPUT!P1507="",INPUT!Q1507=""),"",INPUT!P1507-INPUT!Q1507),"")</f>
        <v>0.90000000000000568</v>
      </c>
      <c r="L1512" s="48">
        <f>IFERROR(IF(OR(INPUT!P1507="",INPUT!Q1507="",INPUT!P1507=0),"",(INPUT!P1507-INPUT!Q1507)/INPUT!P1507),"")</f>
        <v>1.335311572700305E-2</v>
      </c>
    </row>
    <row r="1513" spans="1:12" ht="18" hidden="1" customHeight="1" x14ac:dyDescent="0.2">
      <c r="A1513" s="11">
        <f>IF(INPUT!M1508="","",INPUT!M1508)</f>
        <v>46013</v>
      </c>
      <c r="B1513" s="11">
        <f>IF(INPUT!M1508="","",INPUT!M1508-WEEKDAY(INPUT!M1508,2)+1)</f>
        <v>46013</v>
      </c>
      <c r="C1513" s="20">
        <f>IFERROR(_xlfn.ISOWEEKNUM(INPUT!M1508),"")</f>
        <v>52</v>
      </c>
      <c r="D1513" s="20">
        <f>IFERROR(YEAR(INPUT!M1508),"")</f>
        <v>2025</v>
      </c>
      <c r="E1513" t="str">
        <f>IF(INPUT!O1508="","",INPUT!O1508)</f>
        <v>PIRATA</v>
      </c>
      <c r="F1513" t="str">
        <f>IF(INPUT!N1508="","",INPUT!N1508)</f>
        <v>M</v>
      </c>
      <c r="G1513" t="str" cm="1">
        <f t="array" ref="G1513">IFERROR(VLOOKUP(INPUT!M1508&amp;INPUT!N1508,CHOOSE({1,2},INPUT!$A$3:$A$5000&amp;INPUT!$C$3:$C$5000,INPUT!$F$3:$F$5000),2,FALSE),"")</f>
        <v>PRE-TEMPORADA</v>
      </c>
      <c r="H1513" t="str" cm="1">
        <f t="array" ref="H1513">IFERROR(VLOOKUP(INPUT!M1508&amp;INPUT!N1508,CHOOSE({1,2},INPUT!$A$3:$A$5000&amp;INPUT!$C$3:$C$5000,INPUT!$D$3:$D$5000),2,FALSE),"")</f>
        <v>GYM+TEC-TAC</v>
      </c>
      <c r="I1513" s="46">
        <f>IF(INPUT!P1508="","",INPUT!P1508)</f>
        <v>74.900000000000006</v>
      </c>
      <c r="J1513" s="46">
        <f>IF(INPUT!Q1508="","",INPUT!Q1508)</f>
        <v>74.5</v>
      </c>
      <c r="K1513" s="46">
        <f>IFERROR(IF(OR(INPUT!P1508="",INPUT!Q1508=""),"",INPUT!P1508-INPUT!Q1508),"")</f>
        <v>0.40000000000000568</v>
      </c>
      <c r="L1513" s="48">
        <f>IFERROR(IF(OR(INPUT!P1508="",INPUT!Q1508="",INPUT!P1508=0),"",(INPUT!P1508-INPUT!Q1508)/INPUT!P1508),"")</f>
        <v>5.340453938584855E-3</v>
      </c>
    </row>
    <row r="1514" spans="1:12" ht="18" hidden="1" customHeight="1" x14ac:dyDescent="0.2">
      <c r="A1514" s="11">
        <f>IF(INPUT!M1509="","",INPUT!M1509)</f>
        <v>46013</v>
      </c>
      <c r="B1514" s="11">
        <f>IF(INPUT!M1509="","",INPUT!M1509-WEEKDAY(INPUT!M1509,2)+1)</f>
        <v>46013</v>
      </c>
      <c r="C1514" s="20">
        <f>IFERROR(_xlfn.ISOWEEKNUM(INPUT!M1509),"")</f>
        <v>52</v>
      </c>
      <c r="D1514" s="20">
        <f>IFERROR(YEAR(INPUT!M1509),"")</f>
        <v>2025</v>
      </c>
      <c r="E1514" t="str">
        <f>IF(INPUT!O1509="","",INPUT!O1509)</f>
        <v>BARONA</v>
      </c>
      <c r="F1514" t="str">
        <f>IF(INPUT!N1509="","",INPUT!N1509)</f>
        <v>M</v>
      </c>
      <c r="G1514" t="str" cm="1">
        <f t="array" ref="G1514">IFERROR(VLOOKUP(INPUT!M1509&amp;INPUT!N1509,CHOOSE({1,2},INPUT!$A$3:$A$5000&amp;INPUT!$C$3:$C$5000,INPUT!$F$3:$F$5000),2,FALSE),"")</f>
        <v>PRE-TEMPORADA</v>
      </c>
      <c r="H1514" t="str" cm="1">
        <f t="array" ref="H1514">IFERROR(VLOOKUP(INPUT!M1509&amp;INPUT!N1509,CHOOSE({1,2},INPUT!$A$3:$A$5000&amp;INPUT!$C$3:$C$5000,INPUT!$D$3:$D$5000),2,FALSE),"")</f>
        <v>GYM+TEC-TAC</v>
      </c>
      <c r="I1514" s="46">
        <f>IF(INPUT!P1509="","",INPUT!P1509)</f>
        <v>71</v>
      </c>
      <c r="J1514" s="46">
        <f>IF(INPUT!Q1509="","",INPUT!Q1509)</f>
        <v>71</v>
      </c>
      <c r="K1514" s="46">
        <f>IFERROR(IF(OR(INPUT!P1509="",INPUT!Q1509=""),"",INPUT!P1509-INPUT!Q1509),"")</f>
        <v>0</v>
      </c>
      <c r="L1514" s="48">
        <f>IFERROR(IF(OR(INPUT!P1509="",INPUT!Q1509="",INPUT!P1509=0),"",(INPUT!P1509-INPUT!Q1509)/INPUT!P1509),"")</f>
        <v>0</v>
      </c>
    </row>
    <row r="1515" spans="1:12" ht="18" hidden="1" customHeight="1" x14ac:dyDescent="0.2">
      <c r="A1515" s="11">
        <f>IF(INPUT!M1510="","",INPUT!M1510)</f>
        <v>46013</v>
      </c>
      <c r="B1515" s="11">
        <f>IF(INPUT!M1510="","",INPUT!M1510-WEEKDAY(INPUT!M1510,2)+1)</f>
        <v>46013</v>
      </c>
      <c r="C1515" s="20">
        <f>IFERROR(_xlfn.ISOWEEKNUM(INPUT!M1510),"")</f>
        <v>52</v>
      </c>
      <c r="D1515" s="20">
        <f>IFERROR(YEAR(INPUT!M1510),"")</f>
        <v>2025</v>
      </c>
      <c r="E1515" t="str">
        <f>IF(INPUT!O1510="","",INPUT!O1510)</f>
        <v>CARLOS</v>
      </c>
      <c r="F1515" t="str">
        <f>IF(INPUT!N1510="","",INPUT!N1510)</f>
        <v>M</v>
      </c>
      <c r="G1515" t="str" cm="1">
        <f t="array" ref="G1515">IFERROR(VLOOKUP(INPUT!M1510&amp;INPUT!N1510,CHOOSE({1,2},INPUT!$A$3:$A$5000&amp;INPUT!$C$3:$C$5000,INPUT!$F$3:$F$5000),2,FALSE),"")</f>
        <v>PRE-TEMPORADA</v>
      </c>
      <c r="H1515" t="str" cm="1">
        <f t="array" ref="H1515">IFERROR(VLOOKUP(INPUT!M1510&amp;INPUT!N1510,CHOOSE({1,2},INPUT!$A$3:$A$5000&amp;INPUT!$C$3:$C$5000,INPUT!$D$3:$D$5000),2,FALSE),"")</f>
        <v>GYM+TEC-TAC</v>
      </c>
      <c r="I1515" s="46">
        <f>IF(INPUT!P1510="","",INPUT!P1510)</f>
        <v>67.5</v>
      </c>
      <c r="J1515" s="46">
        <f>IF(INPUT!Q1510="","",INPUT!Q1510)</f>
        <v>66.900000000000006</v>
      </c>
      <c r="K1515" s="46">
        <f>IFERROR(IF(OR(INPUT!P1510="",INPUT!Q1510=""),"",INPUT!P1510-INPUT!Q1510),"")</f>
        <v>0.59999999999999432</v>
      </c>
      <c r="L1515" s="48">
        <f>IFERROR(IF(OR(INPUT!P1510="",INPUT!Q1510="",INPUT!P1510=0),"",(INPUT!P1510-INPUT!Q1510)/INPUT!P1510),"")</f>
        <v>8.8888888888888039E-3</v>
      </c>
    </row>
    <row r="1516" spans="1:12" ht="18" hidden="1" customHeight="1" x14ac:dyDescent="0.2">
      <c r="A1516" s="11">
        <f>IF(INPUT!M1511="","",INPUT!M1511)</f>
        <v>46013</v>
      </c>
      <c r="B1516" s="11">
        <f>IF(INPUT!M1511="","",INPUT!M1511-WEEKDAY(INPUT!M1511,2)+1)</f>
        <v>46013</v>
      </c>
      <c r="C1516" s="20">
        <f>IFERROR(_xlfn.ISOWEEKNUM(INPUT!M1511),"")</f>
        <v>52</v>
      </c>
      <c r="D1516" s="20">
        <f>IFERROR(YEAR(INPUT!M1511),"")</f>
        <v>2025</v>
      </c>
      <c r="E1516" t="str">
        <f>IF(INPUT!O1511="","",INPUT!O1511)</f>
        <v>GONZALO</v>
      </c>
      <c r="F1516" t="str">
        <f>IF(INPUT!N1511="","",INPUT!N1511)</f>
        <v>M</v>
      </c>
      <c r="G1516" t="str" cm="1">
        <f t="array" ref="G1516">IFERROR(VLOOKUP(INPUT!M1511&amp;INPUT!N1511,CHOOSE({1,2},INPUT!$A$3:$A$5000&amp;INPUT!$C$3:$C$5000,INPUT!$F$3:$F$5000),2,FALSE),"")</f>
        <v>PRE-TEMPORADA</v>
      </c>
      <c r="H1516" t="str" cm="1">
        <f t="array" ref="H1516">IFERROR(VLOOKUP(INPUT!M1511&amp;INPUT!N1511,CHOOSE({1,2},INPUT!$A$3:$A$5000&amp;INPUT!$C$3:$C$5000,INPUT!$D$3:$D$5000),2,FALSE),"")</f>
        <v>GYM+TEC-TAC</v>
      </c>
      <c r="I1516" s="46">
        <f>IF(INPUT!P1511="","",INPUT!P1511)</f>
        <v>83.3</v>
      </c>
      <c r="J1516" s="46">
        <f>IF(INPUT!Q1511="","",INPUT!Q1511)</f>
        <v>83.4</v>
      </c>
      <c r="K1516" s="46">
        <f>IFERROR(IF(OR(INPUT!P1511="",INPUT!Q1511=""),"",INPUT!P1511-INPUT!Q1511),"")</f>
        <v>-0.10000000000000853</v>
      </c>
      <c r="L1516" s="48">
        <f>IFERROR(IF(OR(INPUT!P1511="",INPUT!Q1511="",INPUT!P1511=0),"",(INPUT!P1511-INPUT!Q1511)/INPUT!P1511),"")</f>
        <v>-1.2004801920769332E-3</v>
      </c>
    </row>
    <row r="1517" spans="1:12" ht="18" hidden="1" customHeight="1" x14ac:dyDescent="0.2">
      <c r="A1517" s="11">
        <f>IF(INPUT!M1512="","",INPUT!M1512)</f>
        <v>46013</v>
      </c>
      <c r="B1517" s="11">
        <f>IF(INPUT!M1512="","",INPUT!M1512-WEEKDAY(INPUT!M1512,2)+1)</f>
        <v>46013</v>
      </c>
      <c r="C1517" s="20">
        <f>IFERROR(_xlfn.ISOWEEKNUM(INPUT!M1512),"")</f>
        <v>52</v>
      </c>
      <c r="D1517" s="20">
        <f>IFERROR(YEAR(INPUT!M1512),"")</f>
        <v>2025</v>
      </c>
      <c r="E1517" t="str">
        <f>IF(INPUT!O1512="","",INPUT!O1512)</f>
        <v>RUBIO</v>
      </c>
      <c r="F1517" t="str">
        <f>IF(INPUT!N1512="","",INPUT!N1512)</f>
        <v>M</v>
      </c>
      <c r="G1517" t="str" cm="1">
        <f t="array" ref="G1517">IFERROR(VLOOKUP(INPUT!M1512&amp;INPUT!N1512,CHOOSE({1,2},INPUT!$A$3:$A$5000&amp;INPUT!$C$3:$C$5000,INPUT!$F$3:$F$5000),2,FALSE),"")</f>
        <v>PRE-TEMPORADA</v>
      </c>
      <c r="H1517" t="str" cm="1">
        <f t="array" ref="H1517">IFERROR(VLOOKUP(INPUT!M1512&amp;INPUT!N1512,CHOOSE({1,2},INPUT!$A$3:$A$5000&amp;INPUT!$C$3:$C$5000,INPUT!$D$3:$D$5000),2,FALSE),"")</f>
        <v>GYM+TEC-TAC</v>
      </c>
      <c r="I1517" s="46">
        <f>IF(INPUT!P1512="","",INPUT!P1512)</f>
        <v>75.2</v>
      </c>
      <c r="J1517" s="46">
        <f>IF(INPUT!Q1512="","",INPUT!Q1512)</f>
        <v>75</v>
      </c>
      <c r="K1517" s="46">
        <f>IFERROR(IF(OR(INPUT!P1512="",INPUT!Q1512=""),"",INPUT!P1512-INPUT!Q1512),"")</f>
        <v>0.20000000000000284</v>
      </c>
      <c r="L1517" s="48">
        <f>IFERROR(IF(OR(INPUT!P1512="",INPUT!Q1512="",INPUT!P1512=0),"",(INPUT!P1512-INPUT!Q1512)/INPUT!P1512),"")</f>
        <v>2.659574468085144E-3</v>
      </c>
    </row>
    <row r="1518" spans="1:12" ht="18" hidden="1" customHeight="1" x14ac:dyDescent="0.2">
      <c r="A1518" s="11">
        <f>IF(INPUT!M1513="","",INPUT!M1513)</f>
        <v>46013</v>
      </c>
      <c r="B1518" s="11">
        <f>IF(INPUT!M1513="","",INPUT!M1513-WEEKDAY(INPUT!M1513,2)+1)</f>
        <v>46013</v>
      </c>
      <c r="C1518" s="20">
        <f>IFERROR(_xlfn.ISOWEEKNUM(INPUT!M1513),"")</f>
        <v>52</v>
      </c>
      <c r="D1518" s="20">
        <f>IFERROR(YEAR(INPUT!M1513),"")</f>
        <v>2025</v>
      </c>
      <c r="E1518" t="str">
        <f>IF(INPUT!O1513="","",INPUT!O1513)</f>
        <v>DANI</v>
      </c>
      <c r="F1518" t="str">
        <f>IF(INPUT!N1513="","",INPUT!N1513)</f>
        <v>M</v>
      </c>
      <c r="G1518" t="str" cm="1">
        <f t="array" ref="G1518">IFERROR(VLOOKUP(INPUT!M1513&amp;INPUT!N1513,CHOOSE({1,2},INPUT!$A$3:$A$5000&amp;INPUT!$C$3:$C$5000,INPUT!$F$3:$F$5000),2,FALSE),"")</f>
        <v>PRE-TEMPORADA</v>
      </c>
      <c r="H1518" t="str" cm="1">
        <f t="array" ref="H1518">IFERROR(VLOOKUP(INPUT!M1513&amp;INPUT!N1513,CHOOSE({1,2},INPUT!$A$3:$A$5000&amp;INPUT!$C$3:$C$5000,INPUT!$D$3:$D$5000),2,FALSE),"")</f>
        <v>GYM+TEC-TAC</v>
      </c>
      <c r="I1518" s="46">
        <f>IF(INPUT!P1513="","",INPUT!P1513)</f>
        <v>91</v>
      </c>
      <c r="J1518" s="46">
        <f>IF(INPUT!Q1513="","",INPUT!Q1513)</f>
        <v>89.9</v>
      </c>
      <c r="K1518" s="46">
        <f>IFERROR(IF(OR(INPUT!P1513="",INPUT!Q1513=""),"",INPUT!P1513-INPUT!Q1513),"")</f>
        <v>1.0999999999999943</v>
      </c>
      <c r="L1518" s="48">
        <f>IFERROR(IF(OR(INPUT!P1513="",INPUT!Q1513="",INPUT!P1513=0),"",(INPUT!P1513-INPUT!Q1513)/INPUT!P1513),"")</f>
        <v>1.2087912087912026E-2</v>
      </c>
    </row>
    <row r="1519" spans="1:12" ht="18" hidden="1" customHeight="1" x14ac:dyDescent="0.2">
      <c r="A1519" s="11">
        <f>IF(INPUT!M1514="","",INPUT!M1514)</f>
        <v>46013</v>
      </c>
      <c r="B1519" s="11">
        <f>IF(INPUT!M1514="","",INPUT!M1514-WEEKDAY(INPUT!M1514,2)+1)</f>
        <v>46013</v>
      </c>
      <c r="C1519" s="20">
        <f>IFERROR(_xlfn.ISOWEEKNUM(INPUT!M1514),"")</f>
        <v>52</v>
      </c>
      <c r="D1519" s="20">
        <f>IFERROR(YEAR(INPUT!M1514),"")</f>
        <v>2025</v>
      </c>
      <c r="E1519" t="str">
        <f>IF(INPUT!O1514="","",INPUT!O1514)</f>
        <v>JAIME</v>
      </c>
      <c r="F1519" t="str">
        <f>IF(INPUT!N1514="","",INPUT!N1514)</f>
        <v>M</v>
      </c>
      <c r="G1519" t="str" cm="1">
        <f t="array" ref="G1519">IFERROR(VLOOKUP(INPUT!M1514&amp;INPUT!N1514,CHOOSE({1,2},INPUT!$A$3:$A$5000&amp;INPUT!$C$3:$C$5000,INPUT!$F$3:$F$5000),2,FALSE),"")</f>
        <v>PRE-TEMPORADA</v>
      </c>
      <c r="H1519" t="str" cm="1">
        <f t="array" ref="H1519">IFERROR(VLOOKUP(INPUT!M1514&amp;INPUT!N1514,CHOOSE({1,2},INPUT!$A$3:$A$5000&amp;INPUT!$C$3:$C$5000,INPUT!$D$3:$D$5000),2,FALSE),"")</f>
        <v>GYM+TEC-TAC</v>
      </c>
      <c r="I1519" s="46">
        <f>IF(INPUT!P1514="","",INPUT!P1514)</f>
        <v>74.8</v>
      </c>
      <c r="J1519" s="46">
        <f>IF(INPUT!Q1514="","",INPUT!Q1514)</f>
        <v>75</v>
      </c>
      <c r="K1519" s="46">
        <f>IFERROR(IF(OR(INPUT!P1514="",INPUT!Q1514=""),"",INPUT!P1514-INPUT!Q1514),"")</f>
        <v>-0.20000000000000284</v>
      </c>
      <c r="L1519" s="48">
        <f>IFERROR(IF(OR(INPUT!P1514="",INPUT!Q1514="",INPUT!P1514=0),"",(INPUT!P1514-INPUT!Q1514)/INPUT!P1514),"")</f>
        <v>-2.6737967914438883E-3</v>
      </c>
    </row>
    <row r="1520" spans="1:12" ht="18" hidden="1" customHeight="1" x14ac:dyDescent="0.2">
      <c r="A1520" s="11">
        <f>IF(INPUT!M1515="","",INPUT!M1515)</f>
        <v>46014</v>
      </c>
      <c r="B1520" s="11">
        <f>IF(INPUT!M1515="","",INPUT!M1515-WEEKDAY(INPUT!M1515,2)+1)</f>
        <v>46013</v>
      </c>
      <c r="C1520" s="20">
        <f>IFERROR(_xlfn.ISOWEEKNUM(INPUT!M1515),"")</f>
        <v>52</v>
      </c>
      <c r="D1520" s="20">
        <f>IFERROR(YEAR(INPUT!M1515),"")</f>
        <v>2025</v>
      </c>
      <c r="E1520" t="str">
        <f>IF(INPUT!O1515="","",INPUT!O1515)</f>
        <v>HERRERO</v>
      </c>
      <c r="F1520" t="str">
        <f>IF(INPUT!N1515="","",INPUT!N1515)</f>
        <v>M</v>
      </c>
      <c r="G1520" t="str" cm="1">
        <f t="array" ref="G1520">IFERROR(VLOOKUP(INPUT!M1515&amp;INPUT!N1515,CHOOSE({1,2},INPUT!$A$3:$A$5000&amp;INPUT!$C$3:$C$5000,INPUT!$F$3:$F$5000),2,FALSE),"")</f>
        <v>PRE-TEMPORADA</v>
      </c>
      <c r="H1520" t="str" cm="1">
        <f t="array" ref="H1520">IFERROR(VLOOKUP(INPUT!M1515&amp;INPUT!N1515,CHOOSE({1,2},INPUT!$A$3:$A$5000&amp;INPUT!$C$3:$C$5000,INPUT!$D$3:$D$5000),2,FALSE),"")</f>
        <v>TEC-TAC</v>
      </c>
      <c r="I1520" s="46">
        <f>IF(INPUT!P1515="","",INPUT!P1515)</f>
        <v>77</v>
      </c>
      <c r="J1520" s="46">
        <f>IF(INPUT!Q1515="","",INPUT!Q1515)</f>
        <v>76.400000000000006</v>
      </c>
      <c r="K1520" s="46">
        <f>IFERROR(IF(OR(INPUT!P1515="",INPUT!Q1515=""),"",INPUT!P1515-INPUT!Q1515),"")</f>
        <v>0.59999999999999432</v>
      </c>
      <c r="L1520" s="48">
        <f>IFERROR(IF(OR(INPUT!P1515="",INPUT!Q1515="",INPUT!P1515=0),"",(INPUT!P1515-INPUT!Q1515)/INPUT!P1515),"")</f>
        <v>7.7922077922077185E-3</v>
      </c>
    </row>
    <row r="1521" spans="1:12" ht="18" hidden="1" customHeight="1" x14ac:dyDescent="0.2">
      <c r="A1521" s="11">
        <f>IF(INPUT!M1516="","",INPUT!M1516)</f>
        <v>46014</v>
      </c>
      <c r="B1521" s="11">
        <f>IF(INPUT!M1516="","",INPUT!M1516-WEEKDAY(INPUT!M1516,2)+1)</f>
        <v>46013</v>
      </c>
      <c r="C1521" s="20">
        <f>IFERROR(_xlfn.ISOWEEKNUM(INPUT!M1516),"")</f>
        <v>52</v>
      </c>
      <c r="D1521" s="20">
        <f>IFERROR(YEAR(INPUT!M1516),"")</f>
        <v>2025</v>
      </c>
      <c r="E1521" t="str">
        <f>IF(INPUT!O1516="","",INPUT!O1516)</f>
        <v>HERRERO</v>
      </c>
      <c r="F1521" t="str">
        <f>IF(INPUT!N1516="","",INPUT!N1516)</f>
        <v>T</v>
      </c>
      <c r="G1521" t="str" cm="1">
        <f t="array" ref="G1521">IFERROR(VLOOKUP(INPUT!M1516&amp;INPUT!N1516,CHOOSE({1,2},INPUT!$A$3:$A$5000&amp;INPUT!$C$3:$C$5000,INPUT!$F$3:$F$5000),2,FALSE),"")</f>
        <v>PRE-TEMPORADA</v>
      </c>
      <c r="H1521" t="str" cm="1">
        <f t="array" ref="H1521">IFERROR(VLOOKUP(INPUT!M1516&amp;INPUT!N1516,CHOOSE({1,2},INPUT!$A$3:$A$5000&amp;INPUT!$C$3:$C$5000,INPUT!$D$3:$D$5000),2,FALSE),"")</f>
        <v>TEC-TAC</v>
      </c>
      <c r="I1521" s="46">
        <f>IF(INPUT!P1516="","",INPUT!P1516)</f>
        <v>77.7</v>
      </c>
      <c r="J1521" s="46">
        <f>IF(INPUT!Q1516="","",INPUT!Q1516)</f>
        <v>77</v>
      </c>
      <c r="K1521" s="46">
        <f>IFERROR(IF(OR(INPUT!P1516="",INPUT!Q1516=""),"",INPUT!P1516-INPUT!Q1516),"")</f>
        <v>0.70000000000000284</v>
      </c>
      <c r="L1521" s="48">
        <f>IFERROR(IF(OR(INPUT!P1516="",INPUT!Q1516="",INPUT!P1516=0),"",(INPUT!P1516-INPUT!Q1516)/INPUT!P1516),"")</f>
        <v>9.0090090090090454E-3</v>
      </c>
    </row>
    <row r="1522" spans="1:12" ht="18" hidden="1" customHeight="1" x14ac:dyDescent="0.2">
      <c r="A1522" s="11">
        <f>IF(INPUT!M1517="","",INPUT!M1517)</f>
        <v>46014</v>
      </c>
      <c r="B1522" s="11">
        <f>IF(INPUT!M1517="","",INPUT!M1517-WEEKDAY(INPUT!M1517,2)+1)</f>
        <v>46013</v>
      </c>
      <c r="C1522" s="20">
        <f>IFERROR(_xlfn.ISOWEEKNUM(INPUT!M1517),"")</f>
        <v>52</v>
      </c>
      <c r="D1522" s="20">
        <f>IFERROR(YEAR(INPUT!M1517),"")</f>
        <v>2025</v>
      </c>
      <c r="E1522" t="str">
        <f>IF(INPUT!O1517="","",INPUT!O1517)</f>
        <v>GARCIA</v>
      </c>
      <c r="F1522" t="str">
        <f>IF(INPUT!N1517="","",INPUT!N1517)</f>
        <v>M</v>
      </c>
      <c r="G1522" t="str" cm="1">
        <f t="array" ref="G1522">IFERROR(VLOOKUP(INPUT!M1517&amp;INPUT!N1517,CHOOSE({1,2},INPUT!$A$3:$A$5000&amp;INPUT!$C$3:$C$5000,INPUT!$F$3:$F$5000),2,FALSE),"")</f>
        <v>PRE-TEMPORADA</v>
      </c>
      <c r="H1522" t="str" cm="1">
        <f t="array" ref="H1522">IFERROR(VLOOKUP(INPUT!M1517&amp;INPUT!N1517,CHOOSE({1,2},INPUT!$A$3:$A$5000&amp;INPUT!$C$3:$C$5000,INPUT!$D$3:$D$5000),2,FALSE),"")</f>
        <v>TEC-TAC</v>
      </c>
      <c r="I1522" s="46">
        <f>IF(INPUT!P1517="","",INPUT!P1517)</f>
        <v>79.400000000000006</v>
      </c>
      <c r="J1522" s="46">
        <f>IF(INPUT!Q1517="","",INPUT!Q1517)</f>
        <v>79.2</v>
      </c>
      <c r="K1522" s="46">
        <f>IFERROR(IF(OR(INPUT!P1517="",INPUT!Q1517=""),"",INPUT!P1517-INPUT!Q1517),"")</f>
        <v>0.20000000000000284</v>
      </c>
      <c r="L1522" s="48">
        <f>IFERROR(IF(OR(INPUT!P1517="",INPUT!Q1517="",INPUT!P1517=0),"",(INPUT!P1517-INPUT!Q1517)/INPUT!P1517),"")</f>
        <v>2.5188916876574662E-3</v>
      </c>
    </row>
    <row r="1523" spans="1:12" ht="18" hidden="1" customHeight="1" x14ac:dyDescent="0.2">
      <c r="A1523" s="11">
        <f>IF(INPUT!M1518="","",INPUT!M1518)</f>
        <v>46014</v>
      </c>
      <c r="B1523" s="11">
        <f>IF(INPUT!M1518="","",INPUT!M1518-WEEKDAY(INPUT!M1518,2)+1)</f>
        <v>46013</v>
      </c>
      <c r="C1523" s="20">
        <f>IFERROR(_xlfn.ISOWEEKNUM(INPUT!M1518),"")</f>
        <v>52</v>
      </c>
      <c r="D1523" s="20">
        <f>IFERROR(YEAR(INPUT!M1518),"")</f>
        <v>2025</v>
      </c>
      <c r="E1523" t="str">
        <f>IF(INPUT!O1518="","",INPUT!O1518)</f>
        <v>GARCIA</v>
      </c>
      <c r="F1523" t="str">
        <f>IF(INPUT!N1518="","",INPUT!N1518)</f>
        <v>T</v>
      </c>
      <c r="G1523" t="str" cm="1">
        <f t="array" ref="G1523">IFERROR(VLOOKUP(INPUT!M1518&amp;INPUT!N1518,CHOOSE({1,2},INPUT!$A$3:$A$5000&amp;INPUT!$C$3:$C$5000,INPUT!$F$3:$F$5000),2,FALSE),"")</f>
        <v>PRE-TEMPORADA</v>
      </c>
      <c r="H1523" t="str" cm="1">
        <f t="array" ref="H1523">IFERROR(VLOOKUP(INPUT!M1518&amp;INPUT!N1518,CHOOSE({1,2},INPUT!$A$3:$A$5000&amp;INPUT!$C$3:$C$5000,INPUT!$D$3:$D$5000),2,FALSE),"")</f>
        <v>TEC-TAC</v>
      </c>
      <c r="I1523" s="46">
        <f>IF(INPUT!P1518="","",INPUT!P1518)</f>
        <v>79</v>
      </c>
      <c r="J1523" s="46">
        <f>IF(INPUT!Q1518="","",INPUT!Q1518)</f>
        <v>79</v>
      </c>
      <c r="K1523" s="46">
        <f>IFERROR(IF(OR(INPUT!P1518="",INPUT!Q1518=""),"",INPUT!P1518-INPUT!Q1518),"")</f>
        <v>0</v>
      </c>
      <c r="L1523" s="48">
        <f>IFERROR(IF(OR(INPUT!P1518="",INPUT!Q1518="",INPUT!P1518=0),"",(INPUT!P1518-INPUT!Q1518)/INPUT!P1518),"")</f>
        <v>0</v>
      </c>
    </row>
    <row r="1524" spans="1:12" ht="18" hidden="1" customHeight="1" x14ac:dyDescent="0.2">
      <c r="A1524" s="11">
        <f>IF(INPUT!M1519="","",INPUT!M1519)</f>
        <v>46014</v>
      </c>
      <c r="B1524" s="11">
        <f>IF(INPUT!M1519="","",INPUT!M1519-WEEKDAY(INPUT!M1519,2)+1)</f>
        <v>46013</v>
      </c>
      <c r="C1524" s="20">
        <f>IFERROR(_xlfn.ISOWEEKNUM(INPUT!M1519),"")</f>
        <v>52</v>
      </c>
      <c r="D1524" s="20">
        <f>IFERROR(YEAR(INPUT!M1519),"")</f>
        <v>2025</v>
      </c>
      <c r="E1524" t="str">
        <f>IF(INPUT!O1519="","",INPUT!O1519)</f>
        <v>CHAGUINHA</v>
      </c>
      <c r="F1524" t="str">
        <f>IF(INPUT!N1519="","",INPUT!N1519)</f>
        <v>M</v>
      </c>
      <c r="G1524" t="str" cm="1">
        <f t="array" ref="G1524">IFERROR(VLOOKUP(INPUT!M1519&amp;INPUT!N1519,CHOOSE({1,2},INPUT!$A$3:$A$5000&amp;INPUT!$C$3:$C$5000,INPUT!$F$3:$F$5000),2,FALSE),"")</f>
        <v>PRE-TEMPORADA</v>
      </c>
      <c r="H1524" t="str" cm="1">
        <f t="array" ref="H1524">IFERROR(VLOOKUP(INPUT!M1519&amp;INPUT!N1519,CHOOSE({1,2},INPUT!$A$3:$A$5000&amp;INPUT!$C$3:$C$5000,INPUT!$D$3:$D$5000),2,FALSE),"")</f>
        <v>TEC-TAC</v>
      </c>
      <c r="I1524" s="46">
        <f>IF(INPUT!P1519="","",INPUT!P1519)</f>
        <v>69</v>
      </c>
      <c r="J1524" s="46">
        <f>IF(INPUT!Q1519="","",INPUT!Q1519)</f>
        <v>68.5</v>
      </c>
      <c r="K1524" s="46">
        <f>IFERROR(IF(OR(INPUT!P1519="",INPUT!Q1519=""),"",INPUT!P1519-INPUT!Q1519),"")</f>
        <v>0.5</v>
      </c>
      <c r="L1524" s="48">
        <f>IFERROR(IF(OR(INPUT!P1519="",INPUT!Q1519="",INPUT!P1519=0),"",(INPUT!P1519-INPUT!Q1519)/INPUT!P1519),"")</f>
        <v>7.246376811594203E-3</v>
      </c>
    </row>
    <row r="1525" spans="1:12" ht="18" hidden="1" customHeight="1" x14ac:dyDescent="0.2">
      <c r="A1525" s="11">
        <f>IF(INPUT!M1520="","",INPUT!M1520)</f>
        <v>46014</v>
      </c>
      <c r="B1525" s="11">
        <f>IF(INPUT!M1520="","",INPUT!M1520-WEEKDAY(INPUT!M1520,2)+1)</f>
        <v>46013</v>
      </c>
      <c r="C1525" s="20">
        <f>IFERROR(_xlfn.ISOWEEKNUM(INPUT!M1520),"")</f>
        <v>52</v>
      </c>
      <c r="D1525" s="20">
        <f>IFERROR(YEAR(INPUT!M1520),"")</f>
        <v>2025</v>
      </c>
      <c r="E1525" t="str">
        <f>IF(INPUT!O1520="","",INPUT!O1520)</f>
        <v>CHAGUINHA</v>
      </c>
      <c r="F1525" t="str">
        <f>IF(INPUT!N1520="","",INPUT!N1520)</f>
        <v>T</v>
      </c>
      <c r="G1525" t="str" cm="1">
        <f t="array" ref="G1525">IFERROR(VLOOKUP(INPUT!M1520&amp;INPUT!N1520,CHOOSE({1,2},INPUT!$A$3:$A$5000&amp;INPUT!$C$3:$C$5000,INPUT!$F$3:$F$5000),2,FALSE),"")</f>
        <v>PRE-TEMPORADA</v>
      </c>
      <c r="H1525" t="str" cm="1">
        <f t="array" ref="H1525">IFERROR(VLOOKUP(INPUT!M1520&amp;INPUT!N1520,CHOOSE({1,2},INPUT!$A$3:$A$5000&amp;INPUT!$C$3:$C$5000,INPUT!$D$3:$D$5000),2,FALSE),"")</f>
        <v>TEC-TAC</v>
      </c>
      <c r="I1525" s="46">
        <f>IF(INPUT!P1520="","",INPUT!P1520)</f>
        <v>69.3</v>
      </c>
      <c r="J1525" s="46">
        <f>IF(INPUT!Q1520="","",INPUT!Q1520)</f>
        <v>68.7</v>
      </c>
      <c r="K1525" s="46">
        <f>IFERROR(IF(OR(INPUT!P1520="",INPUT!Q1520=""),"",INPUT!P1520-INPUT!Q1520),"")</f>
        <v>0.59999999999999432</v>
      </c>
      <c r="L1525" s="48">
        <f>IFERROR(IF(OR(INPUT!P1520="",INPUT!Q1520="",INPUT!P1520=0),"",(INPUT!P1520-INPUT!Q1520)/INPUT!P1520),"")</f>
        <v>8.6580086580085765E-3</v>
      </c>
    </row>
    <row r="1526" spans="1:12" ht="18" hidden="1" customHeight="1" x14ac:dyDescent="0.2">
      <c r="A1526" s="11">
        <f>IF(INPUT!M1521="","",INPUT!M1521)</f>
        <v>46014</v>
      </c>
      <c r="B1526" s="11">
        <f>IF(INPUT!M1521="","",INPUT!M1521-WEEKDAY(INPUT!M1521,2)+1)</f>
        <v>46013</v>
      </c>
      <c r="C1526" s="20">
        <f>IFERROR(_xlfn.ISOWEEKNUM(INPUT!M1521),"")</f>
        <v>52</v>
      </c>
      <c r="D1526" s="20">
        <f>IFERROR(YEAR(INPUT!M1521),"")</f>
        <v>2025</v>
      </c>
      <c r="E1526" t="str">
        <f>IF(INPUT!O1521="","",INPUT!O1521)</f>
        <v>RAUL</v>
      </c>
      <c r="F1526" t="str">
        <f>IF(INPUT!N1521="","",INPUT!N1521)</f>
        <v>M</v>
      </c>
      <c r="G1526" t="str" cm="1">
        <f t="array" ref="G1526">IFERROR(VLOOKUP(INPUT!M1521&amp;INPUT!N1521,CHOOSE({1,2},INPUT!$A$3:$A$5000&amp;INPUT!$C$3:$C$5000,INPUT!$F$3:$F$5000),2,FALSE),"")</f>
        <v>PRE-TEMPORADA</v>
      </c>
      <c r="H1526" t="str" cm="1">
        <f t="array" ref="H1526">IFERROR(VLOOKUP(INPUT!M1521&amp;INPUT!N1521,CHOOSE({1,2},INPUT!$A$3:$A$5000&amp;INPUT!$C$3:$C$5000,INPUT!$D$3:$D$5000),2,FALSE),"")</f>
        <v>TEC-TAC</v>
      </c>
      <c r="I1526" s="46">
        <f>IF(INPUT!P1521="","",INPUT!P1521)</f>
        <v>79.5</v>
      </c>
      <c r="J1526" s="46">
        <f>IF(INPUT!Q1521="","",INPUT!Q1521)</f>
        <v>79</v>
      </c>
      <c r="K1526" s="46">
        <f>IFERROR(IF(OR(INPUT!P1521="",INPUT!Q1521=""),"",INPUT!P1521-INPUT!Q1521),"")</f>
        <v>0.5</v>
      </c>
      <c r="L1526" s="48">
        <f>IFERROR(IF(OR(INPUT!P1521="",INPUT!Q1521="",INPUT!P1521=0),"",(INPUT!P1521-INPUT!Q1521)/INPUT!P1521),"")</f>
        <v>6.2893081761006293E-3</v>
      </c>
    </row>
    <row r="1527" spans="1:12" ht="18" hidden="1" customHeight="1" x14ac:dyDescent="0.2">
      <c r="A1527" s="11">
        <f>IF(INPUT!M1522="","",INPUT!M1522)</f>
        <v>46014</v>
      </c>
      <c r="B1527" s="11">
        <f>IF(INPUT!M1522="","",INPUT!M1522-WEEKDAY(INPUT!M1522,2)+1)</f>
        <v>46013</v>
      </c>
      <c r="C1527" s="20">
        <f>IFERROR(_xlfn.ISOWEEKNUM(INPUT!M1522),"")</f>
        <v>52</v>
      </c>
      <c r="D1527" s="20">
        <f>IFERROR(YEAR(INPUT!M1522),"")</f>
        <v>2025</v>
      </c>
      <c r="E1527" t="str">
        <f>IF(INPUT!O1522="","",INPUT!O1522)</f>
        <v>RAUL</v>
      </c>
      <c r="F1527" t="str">
        <f>IF(INPUT!N1522="","",INPUT!N1522)</f>
        <v>T</v>
      </c>
      <c r="G1527" t="str" cm="1">
        <f t="array" ref="G1527">IFERROR(VLOOKUP(INPUT!M1522&amp;INPUT!N1522,CHOOSE({1,2},INPUT!$A$3:$A$5000&amp;INPUT!$C$3:$C$5000,INPUT!$F$3:$F$5000),2,FALSE),"")</f>
        <v>PRE-TEMPORADA</v>
      </c>
      <c r="H1527" t="str" cm="1">
        <f t="array" ref="H1527">IFERROR(VLOOKUP(INPUT!M1522&amp;INPUT!N1522,CHOOSE({1,2},INPUT!$A$3:$A$5000&amp;INPUT!$C$3:$C$5000,INPUT!$D$3:$D$5000),2,FALSE),"")</f>
        <v>TEC-TAC</v>
      </c>
      <c r="I1527" s="46">
        <f>IF(INPUT!P1522="","",INPUT!P1522)</f>
        <v>80</v>
      </c>
      <c r="J1527" s="46">
        <f>IF(INPUT!Q1522="","",INPUT!Q1522)</f>
        <v>80</v>
      </c>
      <c r="K1527" s="46">
        <f>IFERROR(IF(OR(INPUT!P1522="",INPUT!Q1522=""),"",INPUT!P1522-INPUT!Q1522),"")</f>
        <v>0</v>
      </c>
      <c r="L1527" s="48">
        <f>IFERROR(IF(OR(INPUT!P1522="",INPUT!Q1522="",INPUT!P1522=0),"",(INPUT!P1522-INPUT!Q1522)/INPUT!P1522),"")</f>
        <v>0</v>
      </c>
    </row>
    <row r="1528" spans="1:12" ht="18" hidden="1" customHeight="1" x14ac:dyDescent="0.2">
      <c r="A1528" s="11">
        <f>IF(INPUT!M1523="","",INPUT!M1523)</f>
        <v>46014</v>
      </c>
      <c r="B1528" s="11">
        <f>IF(INPUT!M1523="","",INPUT!M1523-WEEKDAY(INPUT!M1523,2)+1)</f>
        <v>46013</v>
      </c>
      <c r="C1528" s="20">
        <f>IFERROR(_xlfn.ISOWEEKNUM(INPUT!M1523),"")</f>
        <v>52</v>
      </c>
      <c r="D1528" s="20">
        <f>IFERROR(YEAR(INPUT!M1523),"")</f>
        <v>2025</v>
      </c>
      <c r="E1528" t="str">
        <f>IF(INPUT!O1523="","",INPUT!O1523)</f>
        <v>HARRISON</v>
      </c>
      <c r="F1528" t="str">
        <f>IF(INPUT!N1523="","",INPUT!N1523)</f>
        <v>M</v>
      </c>
      <c r="G1528" t="str" cm="1">
        <f t="array" ref="G1528">IFERROR(VLOOKUP(INPUT!M1523&amp;INPUT!N1523,CHOOSE({1,2},INPUT!$A$3:$A$5000&amp;INPUT!$C$3:$C$5000,INPUT!$F$3:$F$5000),2,FALSE),"")</f>
        <v>PRE-TEMPORADA</v>
      </c>
      <c r="H1528" t="str" cm="1">
        <f t="array" ref="H1528">IFERROR(VLOOKUP(INPUT!M1523&amp;INPUT!N1523,CHOOSE({1,2},INPUT!$A$3:$A$5000&amp;INPUT!$C$3:$C$5000,INPUT!$D$3:$D$5000),2,FALSE),"")</f>
        <v>TEC-TAC</v>
      </c>
      <c r="I1528" s="46">
        <f>IF(INPUT!P1523="","",INPUT!P1523)</f>
        <v>71</v>
      </c>
      <c r="J1528" s="46">
        <f>IF(INPUT!Q1523="","",INPUT!Q1523)</f>
        <v>71.5</v>
      </c>
      <c r="K1528" s="46">
        <f>IFERROR(IF(OR(INPUT!P1523="",INPUT!Q1523=""),"",INPUT!P1523-INPUT!Q1523),"")</f>
        <v>-0.5</v>
      </c>
      <c r="L1528" s="48">
        <f>IFERROR(IF(OR(INPUT!P1523="",INPUT!Q1523="",INPUT!P1523=0),"",(INPUT!P1523-INPUT!Q1523)/INPUT!P1523),"")</f>
        <v>-7.0422535211267607E-3</v>
      </c>
    </row>
    <row r="1529" spans="1:12" ht="18" hidden="1" customHeight="1" x14ac:dyDescent="0.2">
      <c r="A1529" s="11">
        <f>IF(INPUT!M1524="","",INPUT!M1524)</f>
        <v>46014</v>
      </c>
      <c r="B1529" s="11">
        <f>IF(INPUT!M1524="","",INPUT!M1524-WEEKDAY(INPUT!M1524,2)+1)</f>
        <v>46013</v>
      </c>
      <c r="C1529" s="20">
        <f>IFERROR(_xlfn.ISOWEEKNUM(INPUT!M1524),"")</f>
        <v>52</v>
      </c>
      <c r="D1529" s="20">
        <f>IFERROR(YEAR(INPUT!M1524),"")</f>
        <v>2025</v>
      </c>
      <c r="E1529" t="str">
        <f>IF(INPUT!O1524="","",INPUT!O1524)</f>
        <v>HARRISON</v>
      </c>
      <c r="F1529" t="str">
        <f>IF(INPUT!N1524="","",INPUT!N1524)</f>
        <v>T</v>
      </c>
      <c r="G1529" t="str" cm="1">
        <f t="array" ref="G1529">IFERROR(VLOOKUP(INPUT!M1524&amp;INPUT!N1524,CHOOSE({1,2},INPUT!$A$3:$A$5000&amp;INPUT!$C$3:$C$5000,INPUT!$F$3:$F$5000),2,FALSE),"")</f>
        <v>PRE-TEMPORADA</v>
      </c>
      <c r="H1529" t="str" cm="1">
        <f t="array" ref="H1529">IFERROR(VLOOKUP(INPUT!M1524&amp;INPUT!N1524,CHOOSE({1,2},INPUT!$A$3:$A$5000&amp;INPUT!$C$3:$C$5000,INPUT!$D$3:$D$5000),2,FALSE),"")</f>
        <v>TEC-TAC</v>
      </c>
      <c r="I1529" s="46">
        <f>IF(INPUT!P1524="","",INPUT!P1524)</f>
        <v>71</v>
      </c>
      <c r="J1529" s="46">
        <f>IF(INPUT!Q1524="","",INPUT!Q1524)</f>
        <v>71</v>
      </c>
      <c r="K1529" s="46">
        <f>IFERROR(IF(OR(INPUT!P1524="",INPUT!Q1524=""),"",INPUT!P1524-INPUT!Q1524),"")</f>
        <v>0</v>
      </c>
      <c r="L1529" s="48">
        <f>IFERROR(IF(OR(INPUT!P1524="",INPUT!Q1524="",INPUT!P1524=0),"",(INPUT!P1524-INPUT!Q1524)/INPUT!P1524),"")</f>
        <v>0</v>
      </c>
    </row>
    <row r="1530" spans="1:12" ht="18" hidden="1" customHeight="1" x14ac:dyDescent="0.2">
      <c r="A1530" s="11">
        <f>IF(INPUT!M1525="","",INPUT!M1525)</f>
        <v>46014</v>
      </c>
      <c r="B1530" s="11">
        <f>IF(INPUT!M1525="","",INPUT!M1525-WEEKDAY(INPUT!M1525,2)+1)</f>
        <v>46013</v>
      </c>
      <c r="C1530" s="20">
        <f>IFERROR(_xlfn.ISOWEEKNUM(INPUT!M1525),"")</f>
        <v>52</v>
      </c>
      <c r="D1530" s="20">
        <f>IFERROR(YEAR(INPUT!M1525),"")</f>
        <v>2025</v>
      </c>
      <c r="E1530" t="str">
        <f>IF(INPUT!O1525="","",INPUT!O1525)</f>
        <v>RAYA</v>
      </c>
      <c r="F1530" t="str">
        <f>IF(INPUT!N1525="","",INPUT!N1525)</f>
        <v>M</v>
      </c>
      <c r="G1530" t="str" cm="1">
        <f t="array" ref="G1530">IFERROR(VLOOKUP(INPUT!M1525&amp;INPUT!N1525,CHOOSE({1,2},INPUT!$A$3:$A$5000&amp;INPUT!$C$3:$C$5000,INPUT!$F$3:$F$5000),2,FALSE),"")</f>
        <v>PRE-TEMPORADA</v>
      </c>
      <c r="H1530" t="str" cm="1">
        <f t="array" ref="H1530">IFERROR(VLOOKUP(INPUT!M1525&amp;INPUT!N1525,CHOOSE({1,2},INPUT!$A$3:$A$5000&amp;INPUT!$C$3:$C$5000,INPUT!$D$3:$D$5000),2,FALSE),"")</f>
        <v>TEC-TAC</v>
      </c>
      <c r="I1530" s="46">
        <f>IF(INPUT!P1525="","",INPUT!P1525)</f>
        <v>81.3</v>
      </c>
      <c r="J1530" s="46">
        <f>IF(INPUT!Q1525="","",INPUT!Q1525)</f>
        <v>80.2</v>
      </c>
      <c r="K1530" s="46">
        <f>IFERROR(IF(OR(INPUT!P1525="",INPUT!Q1525=""),"",INPUT!P1525-INPUT!Q1525),"")</f>
        <v>1.0999999999999943</v>
      </c>
      <c r="L1530" s="48">
        <f>IFERROR(IF(OR(INPUT!P1525="",INPUT!Q1525="",INPUT!P1525=0),"",(INPUT!P1525-INPUT!Q1525)/INPUT!P1525),"")</f>
        <v>1.3530135301352945E-2</v>
      </c>
    </row>
    <row r="1531" spans="1:12" ht="18" hidden="1" customHeight="1" x14ac:dyDescent="0.2">
      <c r="A1531" s="11">
        <f>IF(INPUT!M1526="","",INPUT!M1526)</f>
        <v>46014</v>
      </c>
      <c r="B1531" s="11">
        <f>IF(INPUT!M1526="","",INPUT!M1526-WEEKDAY(INPUT!M1526,2)+1)</f>
        <v>46013</v>
      </c>
      <c r="C1531" s="20">
        <f>IFERROR(_xlfn.ISOWEEKNUM(INPUT!M1526),"")</f>
        <v>52</v>
      </c>
      <c r="D1531" s="20">
        <f>IFERROR(YEAR(INPUT!M1526),"")</f>
        <v>2025</v>
      </c>
      <c r="E1531" t="str">
        <f>IF(INPUT!O1526="","",INPUT!O1526)</f>
        <v>PANI</v>
      </c>
      <c r="F1531" t="str">
        <f>IF(INPUT!N1526="","",INPUT!N1526)</f>
        <v>M</v>
      </c>
      <c r="G1531" t="str" cm="1">
        <f t="array" ref="G1531">IFERROR(VLOOKUP(INPUT!M1526&amp;INPUT!N1526,CHOOSE({1,2},INPUT!$A$3:$A$5000&amp;INPUT!$C$3:$C$5000,INPUT!$F$3:$F$5000),2,FALSE),"")</f>
        <v>PRE-TEMPORADA</v>
      </c>
      <c r="H1531" t="str" cm="1">
        <f t="array" ref="H1531">IFERROR(VLOOKUP(INPUT!M1526&amp;INPUT!N1526,CHOOSE({1,2},INPUT!$A$3:$A$5000&amp;INPUT!$C$3:$C$5000,INPUT!$D$3:$D$5000),2,FALSE),"")</f>
        <v>TEC-TAC</v>
      </c>
      <c r="I1531" s="46">
        <f>IF(INPUT!P1526="","",INPUT!P1526)</f>
        <v>67.7</v>
      </c>
      <c r="J1531" s="46">
        <f>IF(INPUT!Q1526="","",INPUT!Q1526)</f>
        <v>66.5</v>
      </c>
      <c r="K1531" s="46">
        <f>IFERROR(IF(OR(INPUT!P1526="",INPUT!Q1526=""),"",INPUT!P1526-INPUT!Q1526),"")</f>
        <v>1.2000000000000028</v>
      </c>
      <c r="L1531" s="48">
        <f>IFERROR(IF(OR(INPUT!P1526="",INPUT!Q1526="",INPUT!P1526=0),"",(INPUT!P1526-INPUT!Q1526)/INPUT!P1526),"")</f>
        <v>1.7725258493353071E-2</v>
      </c>
    </row>
    <row r="1532" spans="1:12" ht="18" hidden="1" customHeight="1" x14ac:dyDescent="0.2">
      <c r="A1532" s="11">
        <f>IF(INPUT!M1527="","",INPUT!M1527)</f>
        <v>46014</v>
      </c>
      <c r="B1532" s="11">
        <f>IF(INPUT!M1527="","",INPUT!M1527-WEEKDAY(INPUT!M1527,2)+1)</f>
        <v>46013</v>
      </c>
      <c r="C1532" s="20">
        <f>IFERROR(_xlfn.ISOWEEKNUM(INPUT!M1527),"")</f>
        <v>52</v>
      </c>
      <c r="D1532" s="20">
        <f>IFERROR(YEAR(INPUT!M1527),"")</f>
        <v>2025</v>
      </c>
      <c r="E1532" t="str">
        <f>IF(INPUT!O1527="","",INPUT!O1527)</f>
        <v>PANI</v>
      </c>
      <c r="F1532" t="str">
        <f>IF(INPUT!N1527="","",INPUT!N1527)</f>
        <v>T</v>
      </c>
      <c r="G1532" t="str" cm="1">
        <f t="array" ref="G1532">IFERROR(VLOOKUP(INPUT!M1527&amp;INPUT!N1527,CHOOSE({1,2},INPUT!$A$3:$A$5000&amp;INPUT!$C$3:$C$5000,INPUT!$F$3:$F$5000),2,FALSE),"")</f>
        <v>PRE-TEMPORADA</v>
      </c>
      <c r="H1532" t="str" cm="1">
        <f t="array" ref="H1532">IFERROR(VLOOKUP(INPUT!M1527&amp;INPUT!N1527,CHOOSE({1,2},INPUT!$A$3:$A$5000&amp;INPUT!$C$3:$C$5000,INPUT!$D$3:$D$5000),2,FALSE),"")</f>
        <v>TEC-TAC</v>
      </c>
      <c r="I1532" s="46">
        <f>IF(INPUT!P1527="","",INPUT!P1527)</f>
        <v>67.2</v>
      </c>
      <c r="J1532" s="46">
        <f>IF(INPUT!Q1527="","",INPUT!Q1527)</f>
        <v>66.7</v>
      </c>
      <c r="K1532" s="46">
        <f>IFERROR(IF(OR(INPUT!P1527="",INPUT!Q1527=""),"",INPUT!P1527-INPUT!Q1527),"")</f>
        <v>0.5</v>
      </c>
      <c r="L1532" s="48">
        <f>IFERROR(IF(OR(INPUT!P1527="",INPUT!Q1527="",INPUT!P1527=0),"",(INPUT!P1527-INPUT!Q1527)/INPUT!P1527),"")</f>
        <v>7.4404761904761901E-3</v>
      </c>
    </row>
    <row r="1533" spans="1:12" ht="18" hidden="1" customHeight="1" x14ac:dyDescent="0.2">
      <c r="A1533" s="11">
        <f>IF(INPUT!M1528="","",INPUT!M1528)</f>
        <v>46014</v>
      </c>
      <c r="B1533" s="11">
        <f>IF(INPUT!M1528="","",INPUT!M1528-WEEKDAY(INPUT!M1528,2)+1)</f>
        <v>46013</v>
      </c>
      <c r="C1533" s="20">
        <f>IFERROR(_xlfn.ISOWEEKNUM(INPUT!M1528),"")</f>
        <v>52</v>
      </c>
      <c r="D1533" s="20">
        <f>IFERROR(YEAR(INPUT!M1528),"")</f>
        <v>2025</v>
      </c>
      <c r="E1533" t="str">
        <f>IF(INPUT!O1528="","",INPUT!O1528)</f>
        <v>PIRATA</v>
      </c>
      <c r="F1533" t="str">
        <f>IF(INPUT!N1528="","",INPUT!N1528)</f>
        <v>M</v>
      </c>
      <c r="G1533" t="str" cm="1">
        <f t="array" ref="G1533">IFERROR(VLOOKUP(INPUT!M1528&amp;INPUT!N1528,CHOOSE({1,2},INPUT!$A$3:$A$5000&amp;INPUT!$C$3:$C$5000,INPUT!$F$3:$F$5000),2,FALSE),"")</f>
        <v>PRE-TEMPORADA</v>
      </c>
      <c r="H1533" t="str" cm="1">
        <f t="array" ref="H1533">IFERROR(VLOOKUP(INPUT!M1528&amp;INPUT!N1528,CHOOSE({1,2},INPUT!$A$3:$A$5000&amp;INPUT!$C$3:$C$5000,INPUT!$D$3:$D$5000),2,FALSE),"")</f>
        <v>TEC-TAC</v>
      </c>
      <c r="I1533" s="46">
        <f>IF(INPUT!P1528="","",INPUT!P1528)</f>
        <v>74.900000000000006</v>
      </c>
      <c r="J1533" s="46">
        <f>IF(INPUT!Q1528="","",INPUT!Q1528)</f>
        <v>75</v>
      </c>
      <c r="K1533" s="46">
        <f>IFERROR(IF(OR(INPUT!P1528="",INPUT!Q1528=""),"",INPUT!P1528-INPUT!Q1528),"")</f>
        <v>-9.9999999999994316E-2</v>
      </c>
      <c r="L1533" s="48">
        <f>IFERROR(IF(OR(INPUT!P1528="",INPUT!Q1528="",INPUT!P1528=0),"",(INPUT!P1528-INPUT!Q1528)/INPUT!P1528),"")</f>
        <v>-1.335113484646119E-3</v>
      </c>
    </row>
    <row r="1534" spans="1:12" ht="18" customHeight="1" x14ac:dyDescent="0.2">
      <c r="A1534" s="11">
        <f>IF(INPUT!M1529="","",INPUT!M1529)</f>
        <v>46014</v>
      </c>
      <c r="B1534" s="11">
        <f>IF(INPUT!M1529="","",INPUT!M1529-WEEKDAY(INPUT!M1529,2)+1)</f>
        <v>46013</v>
      </c>
      <c r="C1534" s="20">
        <f>IFERROR(_xlfn.ISOWEEKNUM(INPUT!M1529),"")</f>
        <v>52</v>
      </c>
      <c r="D1534" s="20">
        <f>IFERROR(YEAR(INPUT!M1529),"")</f>
        <v>2025</v>
      </c>
      <c r="E1534" t="str">
        <f>IF(INPUT!O1529="","",INPUT!O1529)</f>
        <v>PIRATA</v>
      </c>
      <c r="F1534" t="str">
        <f>IF(INPUT!N1529="","",INPUT!N1529)</f>
        <v>T</v>
      </c>
      <c r="G1534" t="str" cm="1">
        <f t="array" ref="G1534">IFERROR(VLOOKUP(INPUT!M1529&amp;INPUT!N1529,CHOOSE({1,2},INPUT!$A$3:$A$5000&amp;INPUT!$C$3:$C$5000,INPUT!$F$3:$F$5000),2,FALSE),"")</f>
        <v>PRE-TEMPORADA</v>
      </c>
      <c r="H1534" t="str" cm="1">
        <f t="array" ref="H1534">IFERROR(VLOOKUP(INPUT!M1529&amp;INPUT!N1529,CHOOSE({1,2},INPUT!$A$3:$A$5000&amp;INPUT!$C$3:$C$5000,INPUT!$D$3:$D$5000),2,FALSE),"")</f>
        <v>TEC-TAC</v>
      </c>
      <c r="I1534" s="46">
        <f>IF(INPUT!P1529="","",INPUT!P1529)</f>
        <v>75</v>
      </c>
      <c r="J1534" s="46">
        <f>IF(INPUT!Q1529="","",INPUT!Q1529)</f>
        <v>75.099999999999994</v>
      </c>
      <c r="K1534" s="46">
        <f>IFERROR(IF(OR(INPUT!P1529="",INPUT!Q1529=""),"",INPUT!P1529-INPUT!Q1529),"")</f>
        <v>-9.9999999999994316E-2</v>
      </c>
      <c r="L1534" s="48">
        <f>IFERROR(IF(OR(INPUT!P1529="",INPUT!Q1529="",INPUT!P1529=0),"",(INPUT!P1529-INPUT!Q1529)/INPUT!P1529),"")</f>
        <v>-1.3333333333332576E-3</v>
      </c>
    </row>
    <row r="1535" spans="1:12" ht="18" customHeight="1" x14ac:dyDescent="0.2">
      <c r="A1535" s="11">
        <f>IF(INPUT!M1530="","",INPUT!M1530)</f>
        <v>46014</v>
      </c>
      <c r="B1535" s="11">
        <f>IF(INPUT!M1530="","",INPUT!M1530-WEEKDAY(INPUT!M1530,2)+1)</f>
        <v>46013</v>
      </c>
      <c r="C1535" s="20">
        <f>IFERROR(_xlfn.ISOWEEKNUM(INPUT!M1530),"")</f>
        <v>52</v>
      </c>
      <c r="D1535" s="20">
        <f>IFERROR(YEAR(INPUT!M1530),"")</f>
        <v>2025</v>
      </c>
      <c r="E1535" t="str">
        <f>IF(INPUT!O1530="","",INPUT!O1530)</f>
        <v>BARONA</v>
      </c>
      <c r="F1535" t="str">
        <f>IF(INPUT!N1530="","",INPUT!N1530)</f>
        <v>M</v>
      </c>
      <c r="G1535" t="str" cm="1">
        <f t="array" ref="G1535">IFERROR(VLOOKUP(INPUT!M1530&amp;INPUT!N1530,CHOOSE({1,2},INPUT!$A$3:$A$5000&amp;INPUT!$C$3:$C$5000,INPUT!$F$3:$F$5000),2,FALSE),"")</f>
        <v>PRE-TEMPORADA</v>
      </c>
      <c r="H1535" t="str" cm="1">
        <f t="array" ref="H1535">IFERROR(VLOOKUP(INPUT!M1530&amp;INPUT!N1530,CHOOSE({1,2},INPUT!$A$3:$A$5000&amp;INPUT!$C$3:$C$5000,INPUT!$D$3:$D$5000),2,FALSE),"")</f>
        <v>TEC-TAC</v>
      </c>
      <c r="I1535" s="46">
        <f>IF(INPUT!P1530="","",INPUT!P1530)</f>
        <v>72</v>
      </c>
      <c r="J1535" s="46">
        <f>IF(INPUT!Q1530="","",INPUT!Q1530)</f>
        <v>71.3</v>
      </c>
      <c r="K1535" s="46">
        <f>IFERROR(IF(OR(INPUT!P1530="",INPUT!Q1530=""),"",INPUT!P1530-INPUT!Q1530),"")</f>
        <v>0.70000000000000284</v>
      </c>
      <c r="L1535" s="48">
        <f>IFERROR(IF(OR(INPUT!P1530="",INPUT!Q1530="",INPUT!P1530=0),"",(INPUT!P1530-INPUT!Q1530)/INPUT!P1530),"")</f>
        <v>9.7222222222222623E-3</v>
      </c>
    </row>
    <row r="1536" spans="1:12" ht="18" customHeight="1" x14ac:dyDescent="0.2">
      <c r="A1536" s="11">
        <f>IF(INPUT!M1531="","",INPUT!M1531)</f>
        <v>46014</v>
      </c>
      <c r="B1536" s="11">
        <f>IF(INPUT!M1531="","",INPUT!M1531-WEEKDAY(INPUT!M1531,2)+1)</f>
        <v>46013</v>
      </c>
      <c r="C1536" s="20">
        <f>IFERROR(_xlfn.ISOWEEKNUM(INPUT!M1531),"")</f>
        <v>52</v>
      </c>
      <c r="D1536" s="20">
        <f>IFERROR(YEAR(INPUT!M1531),"")</f>
        <v>2025</v>
      </c>
      <c r="E1536" t="str">
        <f>IF(INPUT!O1531="","",INPUT!O1531)</f>
        <v>BARONA</v>
      </c>
      <c r="F1536" t="str">
        <f>IF(INPUT!N1531="","",INPUT!N1531)</f>
        <v>T</v>
      </c>
      <c r="G1536" t="str" cm="1">
        <f t="array" ref="G1536">IFERROR(VLOOKUP(INPUT!M1531&amp;INPUT!N1531,CHOOSE({1,2},INPUT!$A$3:$A$5000&amp;INPUT!$C$3:$C$5000,INPUT!$F$3:$F$5000),2,FALSE),"")</f>
        <v>PRE-TEMPORADA</v>
      </c>
      <c r="H1536" t="str" cm="1">
        <f t="array" ref="H1536">IFERROR(VLOOKUP(INPUT!M1531&amp;INPUT!N1531,CHOOSE({1,2},INPUT!$A$3:$A$5000&amp;INPUT!$C$3:$C$5000,INPUT!$D$3:$D$5000),2,FALSE),"")</f>
        <v>TEC-TAC</v>
      </c>
      <c r="I1536" s="46">
        <f>IF(INPUT!P1531="","",INPUT!P1531)</f>
        <v>71.5</v>
      </c>
      <c r="J1536" s="46">
        <f>IF(INPUT!Q1531="","",INPUT!Q1531)</f>
        <v>71.5</v>
      </c>
      <c r="K1536" s="46">
        <f>IFERROR(IF(OR(INPUT!P1531="",INPUT!Q1531=""),"",INPUT!P1531-INPUT!Q1531),"")</f>
        <v>0</v>
      </c>
      <c r="L1536" s="48">
        <f>IFERROR(IF(OR(INPUT!P1531="",INPUT!Q1531="",INPUT!P1531=0),"",(INPUT!P1531-INPUT!Q1531)/INPUT!P1531),"")</f>
        <v>0</v>
      </c>
    </row>
    <row r="1537" spans="1:12" ht="18" customHeight="1" x14ac:dyDescent="0.2">
      <c r="A1537" s="11">
        <f>IF(INPUT!M1532="","",INPUT!M1532)</f>
        <v>46014</v>
      </c>
      <c r="B1537" s="11">
        <f>IF(INPUT!M1532="","",INPUT!M1532-WEEKDAY(INPUT!M1532,2)+1)</f>
        <v>46013</v>
      </c>
      <c r="C1537" s="20">
        <f>IFERROR(_xlfn.ISOWEEKNUM(INPUT!M1532),"")</f>
        <v>52</v>
      </c>
      <c r="D1537" s="20">
        <f>IFERROR(YEAR(INPUT!M1532),"")</f>
        <v>2025</v>
      </c>
      <c r="E1537" t="str">
        <f>IF(INPUT!O1532="","",INPUT!O1532)</f>
        <v>CARLOS</v>
      </c>
      <c r="F1537" t="str">
        <f>IF(INPUT!N1532="","",INPUT!N1532)</f>
        <v>M</v>
      </c>
      <c r="G1537" t="str" cm="1">
        <f t="array" ref="G1537">IFERROR(VLOOKUP(INPUT!M1532&amp;INPUT!N1532,CHOOSE({1,2},INPUT!$A$3:$A$5000&amp;INPUT!$C$3:$C$5000,INPUT!$F$3:$F$5000),2,FALSE),"")</f>
        <v>PRE-TEMPORADA</v>
      </c>
      <c r="H1537" t="str" cm="1">
        <f t="array" ref="H1537">IFERROR(VLOOKUP(INPUT!M1532&amp;INPUT!N1532,CHOOSE({1,2},INPUT!$A$3:$A$5000&amp;INPUT!$C$3:$C$5000,INPUT!$D$3:$D$5000),2,FALSE),"")</f>
        <v>TEC-TAC</v>
      </c>
      <c r="I1537" s="46">
        <f>IF(INPUT!P1532="","",INPUT!P1532)</f>
        <v>67.7</v>
      </c>
      <c r="J1537" s="46">
        <f>IF(INPUT!Q1532="","",INPUT!Q1532)</f>
        <v>67.5</v>
      </c>
      <c r="K1537" s="46">
        <f>IFERROR(IF(OR(INPUT!P1532="",INPUT!Q1532=""),"",INPUT!P1532-INPUT!Q1532),"")</f>
        <v>0.20000000000000284</v>
      </c>
      <c r="L1537" s="48">
        <f>IFERROR(IF(OR(INPUT!P1532="",INPUT!Q1532="",INPUT!P1532=0),"",(INPUT!P1532-INPUT!Q1532)/INPUT!P1532),"")</f>
        <v>2.9542097488922132E-3</v>
      </c>
    </row>
    <row r="1538" spans="1:12" ht="18" customHeight="1" x14ac:dyDescent="0.2">
      <c r="A1538" s="11">
        <f>IF(INPUT!M1533="","",INPUT!M1533)</f>
        <v>46014</v>
      </c>
      <c r="B1538" s="11">
        <f>IF(INPUT!M1533="","",INPUT!M1533-WEEKDAY(INPUT!M1533,2)+1)</f>
        <v>46013</v>
      </c>
      <c r="C1538" s="20">
        <f>IFERROR(_xlfn.ISOWEEKNUM(INPUT!M1533),"")</f>
        <v>52</v>
      </c>
      <c r="D1538" s="20">
        <f>IFERROR(YEAR(INPUT!M1533),"")</f>
        <v>2025</v>
      </c>
      <c r="E1538" t="str">
        <f>IF(INPUT!O1533="","",INPUT!O1533)</f>
        <v>CARLOS</v>
      </c>
      <c r="F1538" t="str">
        <f>IF(INPUT!N1533="","",INPUT!N1533)</f>
        <v>T</v>
      </c>
      <c r="G1538" t="str" cm="1">
        <f t="array" ref="G1538">IFERROR(VLOOKUP(INPUT!M1533&amp;INPUT!N1533,CHOOSE({1,2},INPUT!$A$3:$A$5000&amp;INPUT!$C$3:$C$5000,INPUT!$F$3:$F$5000),2,FALSE),"")</f>
        <v>PRE-TEMPORADA</v>
      </c>
      <c r="H1538" t="str" cm="1">
        <f t="array" ref="H1538">IFERROR(VLOOKUP(INPUT!M1533&amp;INPUT!N1533,CHOOSE({1,2},INPUT!$A$3:$A$5000&amp;INPUT!$C$3:$C$5000,INPUT!$D$3:$D$5000),2,FALSE),"")</f>
        <v>TEC-TAC</v>
      </c>
      <c r="I1538" s="46">
        <f>IF(INPUT!P1533="","",INPUT!P1533)</f>
        <v>68</v>
      </c>
      <c r="J1538" s="46">
        <f>IF(INPUT!Q1533="","",INPUT!Q1533)</f>
        <v>67.5</v>
      </c>
      <c r="K1538" s="46">
        <f>IFERROR(IF(OR(INPUT!P1533="",INPUT!Q1533=""),"",INPUT!P1533-INPUT!Q1533),"")</f>
        <v>0.5</v>
      </c>
      <c r="L1538" s="48">
        <f>IFERROR(IF(OR(INPUT!P1533="",INPUT!Q1533="",INPUT!P1533=0),"",(INPUT!P1533-INPUT!Q1533)/INPUT!P1533),"")</f>
        <v>7.3529411764705881E-3</v>
      </c>
    </row>
    <row r="1539" spans="1:12" ht="18" hidden="1" customHeight="1" x14ac:dyDescent="0.2">
      <c r="A1539" s="11">
        <f>IF(INPUT!M1534="","",INPUT!M1534)</f>
        <v>46014</v>
      </c>
      <c r="B1539" s="11">
        <f>IF(INPUT!M1534="","",INPUT!M1534-WEEKDAY(INPUT!M1534,2)+1)</f>
        <v>46013</v>
      </c>
      <c r="C1539" s="20">
        <f>IFERROR(_xlfn.ISOWEEKNUM(INPUT!M1534),"")</f>
        <v>52</v>
      </c>
      <c r="D1539" s="20">
        <f>IFERROR(YEAR(INPUT!M1534),"")</f>
        <v>2025</v>
      </c>
      <c r="E1539" t="str">
        <f>IF(INPUT!O1534="","",INPUT!O1534)</f>
        <v>GONZALO</v>
      </c>
      <c r="F1539" t="str">
        <f>IF(INPUT!N1534="","",INPUT!N1534)</f>
        <v>M</v>
      </c>
      <c r="G1539" t="str" cm="1">
        <f t="array" ref="G1539">IFERROR(VLOOKUP(INPUT!M1534&amp;INPUT!N1534,CHOOSE({1,2},INPUT!$A$3:$A$5000&amp;INPUT!$C$3:$C$5000,INPUT!$F$3:$F$5000),2,FALSE),"")</f>
        <v>PRE-TEMPORADA</v>
      </c>
      <c r="H1539" t="str" cm="1">
        <f t="array" ref="H1539">IFERROR(VLOOKUP(INPUT!M1534&amp;INPUT!N1534,CHOOSE({1,2},INPUT!$A$3:$A$5000&amp;INPUT!$C$3:$C$5000,INPUT!$D$3:$D$5000),2,FALSE),"")</f>
        <v>TEC-TAC</v>
      </c>
      <c r="I1539" s="46">
        <f>IF(INPUT!P1534="","",INPUT!P1534)</f>
        <v>83.4</v>
      </c>
      <c r="J1539" s="46">
        <f>IF(INPUT!Q1534="","",INPUT!Q1534)</f>
        <v>83.5</v>
      </c>
      <c r="K1539" s="46">
        <f>IFERROR(IF(OR(INPUT!P1534="",INPUT!Q1534=""),"",INPUT!P1534-INPUT!Q1534),"")</f>
        <v>-9.9999999999994316E-2</v>
      </c>
      <c r="L1539" s="48">
        <f>IFERROR(IF(OR(INPUT!P1534="",INPUT!Q1534="",INPUT!P1534=0),"",(INPUT!P1534-INPUT!Q1534)/INPUT!P1534),"")</f>
        <v>-1.199040767386023E-3</v>
      </c>
    </row>
    <row r="1540" spans="1:12" ht="18" hidden="1" customHeight="1" x14ac:dyDescent="0.2">
      <c r="A1540" s="11">
        <f>IF(INPUT!M1535="","",INPUT!M1535)</f>
        <v>46014</v>
      </c>
      <c r="B1540" s="11">
        <f>IF(INPUT!M1535="","",INPUT!M1535-WEEKDAY(INPUT!M1535,2)+1)</f>
        <v>46013</v>
      </c>
      <c r="C1540" s="20">
        <f>IFERROR(_xlfn.ISOWEEKNUM(INPUT!M1535),"")</f>
        <v>52</v>
      </c>
      <c r="D1540" s="20">
        <f>IFERROR(YEAR(INPUT!M1535),"")</f>
        <v>2025</v>
      </c>
      <c r="E1540" t="str">
        <f>IF(INPUT!O1535="","",INPUT!O1535)</f>
        <v>RUBIO</v>
      </c>
      <c r="F1540" t="str">
        <f>IF(INPUT!N1535="","",INPUT!N1535)</f>
        <v>T</v>
      </c>
      <c r="G1540" t="str" cm="1">
        <f t="array" ref="G1540">IFERROR(VLOOKUP(INPUT!M1535&amp;INPUT!N1535,CHOOSE({1,2},INPUT!$A$3:$A$5000&amp;INPUT!$C$3:$C$5000,INPUT!$F$3:$F$5000),2,FALSE),"")</f>
        <v>PRE-TEMPORADA</v>
      </c>
      <c r="H1540" t="str" cm="1">
        <f t="array" ref="H1540">IFERROR(VLOOKUP(INPUT!M1535&amp;INPUT!N1535,CHOOSE({1,2},INPUT!$A$3:$A$5000&amp;INPUT!$C$3:$C$5000,INPUT!$D$3:$D$5000),2,FALSE),"")</f>
        <v>TEC-TAC</v>
      </c>
      <c r="I1540" s="46">
        <f>IF(INPUT!P1535="","",INPUT!P1535)</f>
        <v>75</v>
      </c>
      <c r="J1540" s="46">
        <f>IF(INPUT!Q1535="","",INPUT!Q1535)</f>
        <v>75</v>
      </c>
      <c r="K1540" s="46">
        <f>IFERROR(IF(OR(INPUT!P1535="",INPUT!Q1535=""),"",INPUT!P1535-INPUT!Q1535),"")</f>
        <v>0</v>
      </c>
      <c r="L1540" s="48">
        <f>IFERROR(IF(OR(INPUT!P1535="",INPUT!Q1535="",INPUT!P1535=0),"",(INPUT!P1535-INPUT!Q1535)/INPUT!P1535),"")</f>
        <v>0</v>
      </c>
    </row>
    <row r="1541" spans="1:12" ht="18" hidden="1" customHeight="1" x14ac:dyDescent="0.2">
      <c r="A1541" s="11">
        <f>IF(INPUT!M1536="","",INPUT!M1536)</f>
        <v>46014</v>
      </c>
      <c r="B1541" s="11">
        <f>IF(INPUT!M1536="","",INPUT!M1536-WEEKDAY(INPUT!M1536,2)+1)</f>
        <v>46013</v>
      </c>
      <c r="C1541" s="20">
        <f>IFERROR(_xlfn.ISOWEEKNUM(INPUT!M1536),"")</f>
        <v>52</v>
      </c>
      <c r="D1541" s="20">
        <f>IFERROR(YEAR(INPUT!M1536),"")</f>
        <v>2025</v>
      </c>
      <c r="E1541" t="str">
        <f>IF(INPUT!O1536="","",INPUT!O1536)</f>
        <v>DANI</v>
      </c>
      <c r="F1541" t="str">
        <f>IF(INPUT!N1536="","",INPUT!N1536)</f>
        <v>M</v>
      </c>
      <c r="G1541" t="str" cm="1">
        <f t="array" ref="G1541">IFERROR(VLOOKUP(INPUT!M1536&amp;INPUT!N1536,CHOOSE({1,2},INPUT!$A$3:$A$5000&amp;INPUT!$C$3:$C$5000,INPUT!$F$3:$F$5000),2,FALSE),"")</f>
        <v>PRE-TEMPORADA</v>
      </c>
      <c r="H1541" t="str" cm="1">
        <f t="array" ref="H1541">IFERROR(VLOOKUP(INPUT!M1536&amp;INPUT!N1536,CHOOSE({1,2},INPUT!$A$3:$A$5000&amp;INPUT!$C$3:$C$5000,INPUT!$D$3:$D$5000),2,FALSE),"")</f>
        <v>TEC-TAC</v>
      </c>
      <c r="I1541" s="46">
        <f>IF(INPUT!P1536="","",INPUT!P1536)</f>
        <v>91</v>
      </c>
      <c r="J1541" s="46">
        <f>IF(INPUT!Q1536="","",INPUT!Q1536)</f>
        <v>90.4</v>
      </c>
      <c r="K1541" s="46">
        <f>IFERROR(IF(OR(INPUT!P1536="",INPUT!Q1536=""),"",INPUT!P1536-INPUT!Q1536),"")</f>
        <v>0.59999999999999432</v>
      </c>
      <c r="L1541" s="48">
        <f>IFERROR(IF(OR(INPUT!P1536="",INPUT!Q1536="",INPUT!P1536=0),"",(INPUT!P1536-INPUT!Q1536)/INPUT!P1536),"")</f>
        <v>6.593406593406531E-3</v>
      </c>
    </row>
    <row r="1542" spans="1:12" ht="18" hidden="1" customHeight="1" x14ac:dyDescent="0.2">
      <c r="A1542" s="11">
        <f>IF(INPUT!M1537="","",INPUT!M1537)</f>
        <v>46014</v>
      </c>
      <c r="B1542" s="11">
        <f>IF(INPUT!M1537="","",INPUT!M1537-WEEKDAY(INPUT!M1537,2)+1)</f>
        <v>46013</v>
      </c>
      <c r="C1542" s="20">
        <f>IFERROR(_xlfn.ISOWEEKNUM(INPUT!M1537),"")</f>
        <v>52</v>
      </c>
      <c r="D1542" s="20">
        <f>IFERROR(YEAR(INPUT!M1537),"")</f>
        <v>2025</v>
      </c>
      <c r="E1542" t="str">
        <f>IF(INPUT!O1537="","",INPUT!O1537)</f>
        <v>DANI</v>
      </c>
      <c r="F1542" t="str">
        <f>IF(INPUT!N1537="","",INPUT!N1537)</f>
        <v>T</v>
      </c>
      <c r="G1542" t="str" cm="1">
        <f t="array" ref="G1542">IFERROR(VLOOKUP(INPUT!M1537&amp;INPUT!N1537,CHOOSE({1,2},INPUT!$A$3:$A$5000&amp;INPUT!$C$3:$C$5000,INPUT!$F$3:$F$5000),2,FALSE),"")</f>
        <v>PRE-TEMPORADA</v>
      </c>
      <c r="H1542" t="str" cm="1">
        <f t="array" ref="H1542">IFERROR(VLOOKUP(INPUT!M1537&amp;INPUT!N1537,CHOOSE({1,2},INPUT!$A$3:$A$5000&amp;INPUT!$C$3:$C$5000,INPUT!$D$3:$D$5000),2,FALSE),"")</f>
        <v>TEC-TAC</v>
      </c>
      <c r="I1542" s="46">
        <f>IF(INPUT!P1537="","",INPUT!P1537)</f>
        <v>91.3</v>
      </c>
      <c r="J1542" s="46">
        <f>IF(INPUT!Q1537="","",INPUT!Q1537)</f>
        <v>90.6</v>
      </c>
      <c r="K1542" s="46">
        <f>IFERROR(IF(OR(INPUT!P1537="",INPUT!Q1537=""),"",INPUT!P1537-INPUT!Q1537),"")</f>
        <v>0.70000000000000284</v>
      </c>
      <c r="L1542" s="48">
        <f>IFERROR(IF(OR(INPUT!P1537="",INPUT!Q1537="",INPUT!P1537=0),"",(INPUT!P1537-INPUT!Q1537)/INPUT!P1537),"")</f>
        <v>7.6670317634173367E-3</v>
      </c>
    </row>
    <row r="1543" spans="1:12" ht="18" hidden="1" customHeight="1" x14ac:dyDescent="0.2">
      <c r="A1543" s="11">
        <f>IF(INPUT!M1538="","",INPUT!M1538)</f>
        <v>46014</v>
      </c>
      <c r="B1543" s="11">
        <f>IF(INPUT!M1538="","",INPUT!M1538-WEEKDAY(INPUT!M1538,2)+1)</f>
        <v>46013</v>
      </c>
      <c r="C1543" s="20">
        <f>IFERROR(_xlfn.ISOWEEKNUM(INPUT!M1538),"")</f>
        <v>52</v>
      </c>
      <c r="D1543" s="20">
        <f>IFERROR(YEAR(INPUT!M1538),"")</f>
        <v>2025</v>
      </c>
      <c r="E1543" t="str">
        <f>IF(INPUT!O1538="","",INPUT!O1538)</f>
        <v>JAIME</v>
      </c>
      <c r="F1543" t="str">
        <f>IF(INPUT!N1538="","",INPUT!N1538)</f>
        <v>M</v>
      </c>
      <c r="G1543" t="str" cm="1">
        <f t="array" ref="G1543">IFERROR(VLOOKUP(INPUT!M1538&amp;INPUT!N1538,CHOOSE({1,2},INPUT!$A$3:$A$5000&amp;INPUT!$C$3:$C$5000,INPUT!$F$3:$F$5000),2,FALSE),"")</f>
        <v>PRE-TEMPORADA</v>
      </c>
      <c r="H1543" t="str" cm="1">
        <f t="array" ref="H1543">IFERROR(VLOOKUP(INPUT!M1538&amp;INPUT!N1538,CHOOSE({1,2},INPUT!$A$3:$A$5000&amp;INPUT!$C$3:$C$5000,INPUT!$D$3:$D$5000),2,FALSE),"")</f>
        <v>TEC-TAC</v>
      </c>
      <c r="I1543" s="46">
        <f>IF(INPUT!P1538="","",INPUT!P1538)</f>
        <v>75.400000000000006</v>
      </c>
      <c r="J1543" s="46">
        <f>IF(INPUT!Q1538="","",INPUT!Q1538)</f>
        <v>75.2</v>
      </c>
      <c r="K1543" s="46">
        <f>IFERROR(IF(OR(INPUT!P1538="",INPUT!Q1538=""),"",INPUT!P1538-INPUT!Q1538),"")</f>
        <v>0.20000000000000284</v>
      </c>
      <c r="L1543" s="48">
        <f>IFERROR(IF(OR(INPUT!P1538="",INPUT!Q1538="",INPUT!P1538=0),"",(INPUT!P1538-INPUT!Q1538)/INPUT!P1538),"")</f>
        <v>2.6525198938992418E-3</v>
      </c>
    </row>
    <row r="1544" spans="1:12" ht="18" hidden="1" customHeight="1" x14ac:dyDescent="0.2">
      <c r="A1544" s="11">
        <f>IF(INPUT!M1539="","",INPUT!M1539)</f>
        <v>46014</v>
      </c>
      <c r="B1544" s="11">
        <f>IF(INPUT!M1539="","",INPUT!M1539-WEEKDAY(INPUT!M1539,2)+1)</f>
        <v>46013</v>
      </c>
      <c r="C1544" s="20">
        <f>IFERROR(_xlfn.ISOWEEKNUM(INPUT!M1539),"")</f>
        <v>52</v>
      </c>
      <c r="D1544" s="20">
        <f>IFERROR(YEAR(INPUT!M1539),"")</f>
        <v>2025</v>
      </c>
      <c r="E1544" t="str">
        <f>IF(INPUT!O1539="","",INPUT!O1539)</f>
        <v>JAIME</v>
      </c>
      <c r="F1544" t="str">
        <f>IF(INPUT!N1539="","",INPUT!N1539)</f>
        <v>T</v>
      </c>
      <c r="G1544" t="str" cm="1">
        <f t="array" ref="G1544">IFERROR(VLOOKUP(INPUT!M1539&amp;INPUT!N1539,CHOOSE({1,2},INPUT!$A$3:$A$5000&amp;INPUT!$C$3:$C$5000,INPUT!$F$3:$F$5000),2,FALSE),"")</f>
        <v>PRE-TEMPORADA</v>
      </c>
      <c r="H1544" t="str" cm="1">
        <f t="array" ref="H1544">IFERROR(VLOOKUP(INPUT!M1539&amp;INPUT!N1539,CHOOSE({1,2},INPUT!$A$3:$A$5000&amp;INPUT!$C$3:$C$5000,INPUT!$D$3:$D$5000),2,FALSE),"")</f>
        <v>TEC-TAC</v>
      </c>
      <c r="I1544" s="46">
        <f>IF(INPUT!P1539="","",INPUT!P1539)</f>
        <v>75.8</v>
      </c>
      <c r="J1544" s="46">
        <f>IF(INPUT!Q1539="","",INPUT!Q1539)</f>
        <v>75.5</v>
      </c>
      <c r="K1544" s="46">
        <f>IFERROR(IF(OR(INPUT!P1539="",INPUT!Q1539=""),"",INPUT!P1539-INPUT!Q1539),"")</f>
        <v>0.29999999999999716</v>
      </c>
      <c r="L1544" s="48">
        <f>IFERROR(IF(OR(INPUT!P1539="",INPUT!Q1539="",INPUT!P1539=0),"",(INPUT!P1539-INPUT!Q1539)/INPUT!P1539),"")</f>
        <v>3.9577836411609129E-3</v>
      </c>
    </row>
    <row r="1545" spans="1:12" ht="18" hidden="1" customHeight="1" x14ac:dyDescent="0.2">
      <c r="A1545" s="11">
        <f>IF(INPUT!M1540="","",INPUT!M1540)</f>
        <v>46017</v>
      </c>
      <c r="B1545" s="11">
        <f>IF(INPUT!M1540="","",INPUT!M1540-WEEKDAY(INPUT!M1540,2)+1)</f>
        <v>46013</v>
      </c>
      <c r="C1545" s="20">
        <f>IFERROR(_xlfn.ISOWEEKNUM(INPUT!M1540),"")</f>
        <v>52</v>
      </c>
      <c r="D1545" s="20">
        <f>IFERROR(YEAR(INPUT!M1540),"")</f>
        <v>2025</v>
      </c>
      <c r="E1545" t="str">
        <f>IF(INPUT!O1540="","",INPUT!O1540)</f>
        <v>HERRERO</v>
      </c>
      <c r="F1545" t="str">
        <f>IF(INPUT!N1540="","",INPUT!N1540)</f>
        <v>M</v>
      </c>
      <c r="G1545" t="str" cm="1">
        <f t="array" ref="G1545">IFERROR(VLOOKUP(INPUT!M1540&amp;INPUT!N1540,CHOOSE({1,2},INPUT!$A$3:$A$5000&amp;INPUT!$C$3:$C$5000,INPUT!$F$3:$F$5000),2,FALSE),"")</f>
        <v>PRE-TEMPORADA</v>
      </c>
      <c r="H1545" t="str" cm="1">
        <f t="array" ref="H1545">IFERROR(VLOOKUP(INPUT!M1540&amp;INPUT!N1540,CHOOSE({1,2},INPUT!$A$3:$A$5000&amp;INPUT!$C$3:$C$5000,INPUT!$D$3:$D$5000),2,FALSE),"")</f>
        <v>TEC-TAC</v>
      </c>
      <c r="I1545" s="46">
        <f>IF(INPUT!P1540="","",INPUT!P1540)</f>
        <v>77</v>
      </c>
      <c r="J1545" s="46">
        <f>IF(INPUT!Q1540="","",INPUT!Q1540)</f>
        <v>76.7</v>
      </c>
      <c r="K1545" s="46">
        <f>IFERROR(IF(OR(INPUT!P1540="",INPUT!Q1540=""),"",INPUT!P1540-INPUT!Q1540),"")</f>
        <v>0.29999999999999716</v>
      </c>
      <c r="L1545" s="48">
        <f>IFERROR(IF(OR(INPUT!P1540="",INPUT!Q1540="",INPUT!P1540=0),"",(INPUT!P1540-INPUT!Q1540)/INPUT!P1540),"")</f>
        <v>3.8961038961038592E-3</v>
      </c>
    </row>
    <row r="1546" spans="1:12" ht="18" hidden="1" customHeight="1" x14ac:dyDescent="0.2">
      <c r="A1546" s="11">
        <f>IF(INPUT!M1541="","",INPUT!M1541)</f>
        <v>46017</v>
      </c>
      <c r="B1546" s="11">
        <f>IF(INPUT!M1541="","",INPUT!M1541-WEEKDAY(INPUT!M1541,2)+1)</f>
        <v>46013</v>
      </c>
      <c r="C1546" s="20">
        <f>IFERROR(_xlfn.ISOWEEKNUM(INPUT!M1541),"")</f>
        <v>52</v>
      </c>
      <c r="D1546" s="20">
        <f>IFERROR(YEAR(INPUT!M1541),"")</f>
        <v>2025</v>
      </c>
      <c r="E1546" t="str">
        <f>IF(INPUT!O1541="","",INPUT!O1541)</f>
        <v>GARCIA</v>
      </c>
      <c r="F1546" t="str">
        <f>IF(INPUT!N1541="","",INPUT!N1541)</f>
        <v>M</v>
      </c>
      <c r="G1546" t="str" cm="1">
        <f t="array" ref="G1546">IFERROR(VLOOKUP(INPUT!M1541&amp;INPUT!N1541,CHOOSE({1,2},INPUT!$A$3:$A$5000&amp;INPUT!$C$3:$C$5000,INPUT!$F$3:$F$5000),2,FALSE),"")</f>
        <v>PRE-TEMPORADA</v>
      </c>
      <c r="H1546" t="str" cm="1">
        <f t="array" ref="H1546">IFERROR(VLOOKUP(INPUT!M1541&amp;INPUT!N1541,CHOOSE({1,2},INPUT!$A$3:$A$5000&amp;INPUT!$C$3:$C$5000,INPUT!$D$3:$D$5000),2,FALSE),"")</f>
        <v>TEC-TAC</v>
      </c>
      <c r="I1546" s="46">
        <f>IF(INPUT!P1541="","",INPUT!P1541)</f>
        <v>79.2</v>
      </c>
      <c r="J1546" s="46">
        <f>IF(INPUT!Q1541="","",INPUT!Q1541)</f>
        <v>79</v>
      </c>
      <c r="K1546" s="46">
        <f>IFERROR(IF(OR(INPUT!P1541="",INPUT!Q1541=""),"",INPUT!P1541-INPUT!Q1541),"")</f>
        <v>0.20000000000000284</v>
      </c>
      <c r="L1546" s="48">
        <f>IFERROR(IF(OR(INPUT!P1541="",INPUT!Q1541="",INPUT!P1541=0),"",(INPUT!P1541-INPUT!Q1541)/INPUT!P1541),"")</f>
        <v>2.525252525252561E-3</v>
      </c>
    </row>
    <row r="1547" spans="1:12" ht="18" hidden="1" customHeight="1" x14ac:dyDescent="0.2">
      <c r="A1547" s="11">
        <f>IF(INPUT!M1542="","",INPUT!M1542)</f>
        <v>46017</v>
      </c>
      <c r="B1547" s="11">
        <f>IF(INPUT!M1542="","",INPUT!M1542-WEEKDAY(INPUT!M1542,2)+1)</f>
        <v>46013</v>
      </c>
      <c r="C1547" s="20">
        <f>IFERROR(_xlfn.ISOWEEKNUM(INPUT!M1542),"")</f>
        <v>52</v>
      </c>
      <c r="D1547" s="20">
        <f>IFERROR(YEAR(INPUT!M1542),"")</f>
        <v>2025</v>
      </c>
      <c r="E1547" t="str">
        <f>IF(INPUT!O1542="","",INPUT!O1542)</f>
        <v>CECILIO</v>
      </c>
      <c r="F1547" t="str">
        <f>IF(INPUT!N1542="","",INPUT!N1542)</f>
        <v>M</v>
      </c>
      <c r="G1547" t="str" cm="1">
        <f t="array" ref="G1547">IFERROR(VLOOKUP(INPUT!M1542&amp;INPUT!N1542,CHOOSE({1,2},INPUT!$A$3:$A$5000&amp;INPUT!$C$3:$C$5000,INPUT!$F$3:$F$5000),2,FALSE),"")</f>
        <v>PRE-TEMPORADA</v>
      </c>
      <c r="H1547" t="str" cm="1">
        <f t="array" ref="H1547">IFERROR(VLOOKUP(INPUT!M1542&amp;INPUT!N1542,CHOOSE({1,2},INPUT!$A$3:$A$5000&amp;INPUT!$C$3:$C$5000,INPUT!$D$3:$D$5000),2,FALSE),"")</f>
        <v>TEC-TAC</v>
      </c>
      <c r="I1547" s="46">
        <f>IF(INPUT!P1542="","",INPUT!P1542)</f>
        <v>68</v>
      </c>
      <c r="J1547" s="46">
        <f>IF(INPUT!Q1542="","",INPUT!Q1542)</f>
        <v>67.5</v>
      </c>
      <c r="K1547" s="46">
        <f>IFERROR(IF(OR(INPUT!P1542="",INPUT!Q1542=""),"",INPUT!P1542-INPUT!Q1542),"")</f>
        <v>0.5</v>
      </c>
      <c r="L1547" s="48">
        <f>IFERROR(IF(OR(INPUT!P1542="",INPUT!Q1542="",INPUT!P1542=0),"",(INPUT!P1542-INPUT!Q1542)/INPUT!P1542),"")</f>
        <v>7.3529411764705881E-3</v>
      </c>
    </row>
    <row r="1548" spans="1:12" ht="18" hidden="1" customHeight="1" x14ac:dyDescent="0.2">
      <c r="A1548" s="11">
        <f>IF(INPUT!M1543="","",INPUT!M1543)</f>
        <v>46017</v>
      </c>
      <c r="B1548" s="11">
        <f>IF(INPUT!M1543="","",INPUT!M1543-WEEKDAY(INPUT!M1543,2)+1)</f>
        <v>46013</v>
      </c>
      <c r="C1548" s="20">
        <f>IFERROR(_xlfn.ISOWEEKNUM(INPUT!M1543),"")</f>
        <v>52</v>
      </c>
      <c r="D1548" s="20">
        <f>IFERROR(YEAR(INPUT!M1543),"")</f>
        <v>2025</v>
      </c>
      <c r="E1548" t="str">
        <f>IF(INPUT!O1543="","",INPUT!O1543)</f>
        <v>CHAGUINHA</v>
      </c>
      <c r="F1548" t="str">
        <f>IF(INPUT!N1543="","",INPUT!N1543)</f>
        <v>M</v>
      </c>
      <c r="G1548" t="str" cm="1">
        <f t="array" ref="G1548">IFERROR(VLOOKUP(INPUT!M1543&amp;INPUT!N1543,CHOOSE({1,2},INPUT!$A$3:$A$5000&amp;INPUT!$C$3:$C$5000,INPUT!$F$3:$F$5000),2,FALSE),"")</f>
        <v>PRE-TEMPORADA</v>
      </c>
      <c r="H1548" t="str" cm="1">
        <f t="array" ref="H1548">IFERROR(VLOOKUP(INPUT!M1543&amp;INPUT!N1543,CHOOSE({1,2},INPUT!$A$3:$A$5000&amp;INPUT!$C$3:$C$5000,INPUT!$D$3:$D$5000),2,FALSE),"")</f>
        <v>TEC-TAC</v>
      </c>
      <c r="I1548" s="46">
        <f>IF(INPUT!P1543="","",INPUT!P1543)</f>
        <v>69</v>
      </c>
      <c r="J1548" s="46">
        <f>IF(INPUT!Q1543="","",INPUT!Q1543)</f>
        <v>68.5</v>
      </c>
      <c r="K1548" s="46">
        <f>IFERROR(IF(OR(INPUT!P1543="",INPUT!Q1543=""),"",INPUT!P1543-INPUT!Q1543),"")</f>
        <v>0.5</v>
      </c>
      <c r="L1548" s="48">
        <f>IFERROR(IF(OR(INPUT!P1543="",INPUT!Q1543="",INPUT!P1543=0),"",(INPUT!P1543-INPUT!Q1543)/INPUT!P1543),"")</f>
        <v>7.246376811594203E-3</v>
      </c>
    </row>
    <row r="1549" spans="1:12" ht="18" hidden="1" customHeight="1" x14ac:dyDescent="0.2">
      <c r="A1549" s="11">
        <f>IF(INPUT!M1544="","",INPUT!M1544)</f>
        <v>46017</v>
      </c>
      <c r="B1549" s="11">
        <f>IF(INPUT!M1544="","",INPUT!M1544-WEEKDAY(INPUT!M1544,2)+1)</f>
        <v>46013</v>
      </c>
      <c r="C1549" s="20">
        <f>IFERROR(_xlfn.ISOWEEKNUM(INPUT!M1544),"")</f>
        <v>52</v>
      </c>
      <c r="D1549" s="20">
        <f>IFERROR(YEAR(INPUT!M1544),"")</f>
        <v>2025</v>
      </c>
      <c r="E1549" t="str">
        <f>IF(INPUT!O1544="","",INPUT!O1544)</f>
        <v>RAUL</v>
      </c>
      <c r="F1549" t="str">
        <f>IF(INPUT!N1544="","",INPUT!N1544)</f>
        <v>M</v>
      </c>
      <c r="G1549" t="str" cm="1">
        <f t="array" ref="G1549">IFERROR(VLOOKUP(INPUT!M1544&amp;INPUT!N1544,CHOOSE({1,2},INPUT!$A$3:$A$5000&amp;INPUT!$C$3:$C$5000,INPUT!$F$3:$F$5000),2,FALSE),"")</f>
        <v>PRE-TEMPORADA</v>
      </c>
      <c r="H1549" t="str" cm="1">
        <f t="array" ref="H1549">IFERROR(VLOOKUP(INPUT!M1544&amp;INPUT!N1544,CHOOSE({1,2},INPUT!$A$3:$A$5000&amp;INPUT!$C$3:$C$5000,INPUT!$D$3:$D$5000),2,FALSE),"")</f>
        <v>TEC-TAC</v>
      </c>
      <c r="I1549" s="46">
        <f>IF(INPUT!P1544="","",INPUT!P1544)</f>
        <v>79.8</v>
      </c>
      <c r="J1549" s="46">
        <f>IF(INPUT!Q1544="","",INPUT!Q1544)</f>
        <v>80</v>
      </c>
      <c r="K1549" s="46">
        <f>IFERROR(IF(OR(INPUT!P1544="",INPUT!Q1544=""),"",INPUT!P1544-INPUT!Q1544),"")</f>
        <v>-0.20000000000000284</v>
      </c>
      <c r="L1549" s="48">
        <f>IFERROR(IF(OR(INPUT!P1544="",INPUT!Q1544="",INPUT!P1544=0),"",(INPUT!P1544-INPUT!Q1544)/INPUT!P1544),"")</f>
        <v>-2.5062656641604369E-3</v>
      </c>
    </row>
    <row r="1550" spans="1:12" ht="18" hidden="1" customHeight="1" x14ac:dyDescent="0.2">
      <c r="A1550" s="11">
        <f>IF(INPUT!M1545="","",INPUT!M1545)</f>
        <v>46017</v>
      </c>
      <c r="B1550" s="11">
        <f>IF(INPUT!M1545="","",INPUT!M1545-WEEKDAY(INPUT!M1545,2)+1)</f>
        <v>46013</v>
      </c>
      <c r="C1550" s="20">
        <f>IFERROR(_xlfn.ISOWEEKNUM(INPUT!M1545),"")</f>
        <v>52</v>
      </c>
      <c r="D1550" s="20">
        <f>IFERROR(YEAR(INPUT!M1545),"")</f>
        <v>2025</v>
      </c>
      <c r="E1550" t="str">
        <f>IF(INPUT!O1545="","",INPUT!O1545)</f>
        <v>HARRISON</v>
      </c>
      <c r="F1550" t="str">
        <f>IF(INPUT!N1545="","",INPUT!N1545)</f>
        <v>M</v>
      </c>
      <c r="G1550" t="str" cm="1">
        <f t="array" ref="G1550">IFERROR(VLOOKUP(INPUT!M1545&amp;INPUT!N1545,CHOOSE({1,2},INPUT!$A$3:$A$5000&amp;INPUT!$C$3:$C$5000,INPUT!$F$3:$F$5000),2,FALSE),"")</f>
        <v>PRE-TEMPORADA</v>
      </c>
      <c r="H1550" t="str" cm="1">
        <f t="array" ref="H1550">IFERROR(VLOOKUP(INPUT!M1545&amp;INPUT!N1545,CHOOSE({1,2},INPUT!$A$3:$A$5000&amp;INPUT!$C$3:$C$5000,INPUT!$D$3:$D$5000),2,FALSE),"")</f>
        <v>TEC-TAC</v>
      </c>
      <c r="I1550" s="46">
        <f>IF(INPUT!P1545="","",INPUT!P1545)</f>
        <v>71</v>
      </c>
      <c r="J1550" s="46">
        <f>IF(INPUT!Q1545="","",INPUT!Q1545)</f>
        <v>71</v>
      </c>
      <c r="K1550" s="46">
        <f>IFERROR(IF(OR(INPUT!P1545="",INPUT!Q1545=""),"",INPUT!P1545-INPUT!Q1545),"")</f>
        <v>0</v>
      </c>
      <c r="L1550" s="48">
        <f>IFERROR(IF(OR(INPUT!P1545="",INPUT!Q1545="",INPUT!P1545=0),"",(INPUT!P1545-INPUT!Q1545)/INPUT!P1545),"")</f>
        <v>0</v>
      </c>
    </row>
    <row r="1551" spans="1:12" ht="18" hidden="1" customHeight="1" x14ac:dyDescent="0.2">
      <c r="A1551" s="11">
        <f>IF(INPUT!M1546="","",INPUT!M1546)</f>
        <v>46017</v>
      </c>
      <c r="B1551" s="11">
        <f>IF(INPUT!M1546="","",INPUT!M1546-WEEKDAY(INPUT!M1546,2)+1)</f>
        <v>46013</v>
      </c>
      <c r="C1551" s="20">
        <f>IFERROR(_xlfn.ISOWEEKNUM(INPUT!M1546),"")</f>
        <v>52</v>
      </c>
      <c r="D1551" s="20">
        <f>IFERROR(YEAR(INPUT!M1546),"")</f>
        <v>2025</v>
      </c>
      <c r="E1551" t="str">
        <f>IF(INPUT!O1546="","",INPUT!O1546)</f>
        <v>RAYA</v>
      </c>
      <c r="F1551" t="str">
        <f>IF(INPUT!N1546="","",INPUT!N1546)</f>
        <v>M</v>
      </c>
      <c r="G1551" t="str" cm="1">
        <f t="array" ref="G1551">IFERROR(VLOOKUP(INPUT!M1546&amp;INPUT!N1546,CHOOSE({1,2},INPUT!$A$3:$A$5000&amp;INPUT!$C$3:$C$5000,INPUT!$F$3:$F$5000),2,FALSE),"")</f>
        <v>PRE-TEMPORADA</v>
      </c>
      <c r="H1551" t="str" cm="1">
        <f t="array" ref="H1551">IFERROR(VLOOKUP(INPUT!M1546&amp;INPUT!N1546,CHOOSE({1,2},INPUT!$A$3:$A$5000&amp;INPUT!$C$3:$C$5000,INPUT!$D$3:$D$5000),2,FALSE),"")</f>
        <v>TEC-TAC</v>
      </c>
      <c r="I1551" s="46">
        <f>IF(INPUT!P1546="","",INPUT!P1546)</f>
        <v>81.8</v>
      </c>
      <c r="J1551" s="46">
        <f>IF(INPUT!Q1546="","",INPUT!Q1546)</f>
        <v>80.7</v>
      </c>
      <c r="K1551" s="46">
        <f>IFERROR(IF(OR(INPUT!P1546="",INPUT!Q1546=""),"",INPUT!P1546-INPUT!Q1546),"")</f>
        <v>1.0999999999999943</v>
      </c>
      <c r="L1551" s="48">
        <f>IFERROR(IF(OR(INPUT!P1546="",INPUT!Q1546="",INPUT!P1546=0),"",(INPUT!P1546-INPUT!Q1546)/INPUT!P1546),"")</f>
        <v>1.3447432762836116E-2</v>
      </c>
    </row>
    <row r="1552" spans="1:12" ht="18" customHeight="1" x14ac:dyDescent="0.2">
      <c r="A1552" s="11">
        <f>IF(INPUT!M1547="","",INPUT!M1547)</f>
        <v>46017</v>
      </c>
      <c r="B1552" s="11">
        <f>IF(INPUT!M1547="","",INPUT!M1547-WEEKDAY(INPUT!M1547,2)+1)</f>
        <v>46013</v>
      </c>
      <c r="C1552" s="20">
        <f>IFERROR(_xlfn.ISOWEEKNUM(INPUT!M1547),"")</f>
        <v>52</v>
      </c>
      <c r="D1552" s="20">
        <f>IFERROR(YEAR(INPUT!M1547),"")</f>
        <v>2025</v>
      </c>
      <c r="E1552" t="str">
        <f>IF(INPUT!O1547="","",INPUT!O1547)</f>
        <v>JAVI</v>
      </c>
      <c r="F1552" t="str">
        <f>IF(INPUT!N1547="","",INPUT!N1547)</f>
        <v>M</v>
      </c>
      <c r="G1552" t="str" cm="1">
        <f t="array" ref="G1552">IFERROR(VLOOKUP(INPUT!M1547&amp;INPUT!N1547,CHOOSE({1,2},INPUT!$A$3:$A$5000&amp;INPUT!$C$3:$C$5000,INPUT!$F$3:$F$5000),2,FALSE),"")</f>
        <v>PRE-TEMPORADA</v>
      </c>
      <c r="H1552" t="str" cm="1">
        <f t="array" ref="H1552">IFERROR(VLOOKUP(INPUT!M1547&amp;INPUT!N1547,CHOOSE({1,2},INPUT!$A$3:$A$5000&amp;INPUT!$C$3:$C$5000,INPUT!$D$3:$D$5000),2,FALSE),"")</f>
        <v>TEC-TAC</v>
      </c>
      <c r="I1552" s="46">
        <f>IF(INPUT!P1547="","",INPUT!P1547)</f>
        <v>79.900000000000006</v>
      </c>
      <c r="J1552" s="46">
        <f>IF(INPUT!Q1547="","",INPUT!Q1547)</f>
        <v>79.5</v>
      </c>
      <c r="K1552" s="46">
        <f>IFERROR(IF(OR(INPUT!P1547="",INPUT!Q1547=""),"",INPUT!P1547-INPUT!Q1547),"")</f>
        <v>0.40000000000000568</v>
      </c>
      <c r="L1552" s="48">
        <f>IFERROR(IF(OR(INPUT!P1547="",INPUT!Q1547="",INPUT!P1547=0),"",(INPUT!P1547-INPUT!Q1547)/INPUT!P1547),"")</f>
        <v>5.0062578222779177E-3</v>
      </c>
    </row>
    <row r="1553" spans="1:12" ht="18" customHeight="1" x14ac:dyDescent="0.2">
      <c r="A1553" s="11">
        <f>IF(INPUT!M1548="","",INPUT!M1548)</f>
        <v>46017</v>
      </c>
      <c r="B1553" s="11">
        <f>IF(INPUT!M1548="","",INPUT!M1548-WEEKDAY(INPUT!M1548,2)+1)</f>
        <v>46013</v>
      </c>
      <c r="C1553" s="20">
        <f>IFERROR(_xlfn.ISOWEEKNUM(INPUT!M1548),"")</f>
        <v>52</v>
      </c>
      <c r="D1553" s="20">
        <f>IFERROR(YEAR(INPUT!M1548),"")</f>
        <v>2025</v>
      </c>
      <c r="E1553" t="str">
        <f>IF(INPUT!O1548="","",INPUT!O1548)</f>
        <v>PANI</v>
      </c>
      <c r="F1553" t="str">
        <f>IF(INPUT!N1548="","",INPUT!N1548)</f>
        <v>M</v>
      </c>
      <c r="G1553" t="str" cm="1">
        <f t="array" ref="G1553">IFERROR(VLOOKUP(INPUT!M1548&amp;INPUT!N1548,CHOOSE({1,2},INPUT!$A$3:$A$5000&amp;INPUT!$C$3:$C$5000,INPUT!$F$3:$F$5000),2,FALSE),"")</f>
        <v>PRE-TEMPORADA</v>
      </c>
      <c r="H1553" t="str" cm="1">
        <f t="array" ref="H1553">IFERROR(VLOOKUP(INPUT!M1548&amp;INPUT!N1548,CHOOSE({1,2},INPUT!$A$3:$A$5000&amp;INPUT!$C$3:$C$5000,INPUT!$D$3:$D$5000),2,FALSE),"")</f>
        <v>TEC-TAC</v>
      </c>
      <c r="I1553" s="46">
        <f>IF(INPUT!P1548="","",INPUT!P1548)</f>
        <v>67.900000000000006</v>
      </c>
      <c r="J1553" s="46">
        <f>IF(INPUT!Q1548="","",INPUT!Q1548)</f>
        <v>67.400000000000006</v>
      </c>
      <c r="K1553" s="46">
        <f>IFERROR(IF(OR(INPUT!P1548="",INPUT!Q1548=""),"",INPUT!P1548-INPUT!Q1548),"")</f>
        <v>0.5</v>
      </c>
      <c r="L1553" s="48">
        <f>IFERROR(IF(OR(INPUT!P1548="",INPUT!Q1548="",INPUT!P1548=0),"",(INPUT!P1548-INPUT!Q1548)/INPUT!P1548),"")</f>
        <v>7.3637702503681875E-3</v>
      </c>
    </row>
    <row r="1554" spans="1:12" ht="18" customHeight="1" x14ac:dyDescent="0.2">
      <c r="A1554" s="11">
        <f>IF(INPUT!M1549="","",INPUT!M1549)</f>
        <v>46017</v>
      </c>
      <c r="B1554" s="11">
        <f>IF(INPUT!M1549="","",INPUT!M1549-WEEKDAY(INPUT!M1549,2)+1)</f>
        <v>46013</v>
      </c>
      <c r="C1554" s="20">
        <f>IFERROR(_xlfn.ISOWEEKNUM(INPUT!M1549),"")</f>
        <v>52</v>
      </c>
      <c r="D1554" s="20">
        <f>IFERROR(YEAR(INPUT!M1549),"")</f>
        <v>2025</v>
      </c>
      <c r="E1554" t="str">
        <f>IF(INPUT!O1549="","",INPUT!O1549)</f>
        <v>PIRATA</v>
      </c>
      <c r="F1554" t="str">
        <f>IF(INPUT!N1549="","",INPUT!N1549)</f>
        <v>M</v>
      </c>
      <c r="G1554" t="str" cm="1">
        <f t="array" ref="G1554">IFERROR(VLOOKUP(INPUT!M1549&amp;INPUT!N1549,CHOOSE({1,2},INPUT!$A$3:$A$5000&amp;INPUT!$C$3:$C$5000,INPUT!$F$3:$F$5000),2,FALSE),"")</f>
        <v>PRE-TEMPORADA</v>
      </c>
      <c r="H1554" t="str" cm="1">
        <f t="array" ref="H1554">IFERROR(VLOOKUP(INPUT!M1549&amp;INPUT!N1549,CHOOSE({1,2},INPUT!$A$3:$A$5000&amp;INPUT!$C$3:$C$5000,INPUT!$D$3:$D$5000),2,FALSE),"")</f>
        <v>TEC-TAC</v>
      </c>
      <c r="I1554" s="46">
        <f>IF(INPUT!P1549="","",INPUT!P1549)</f>
        <v>75.3</v>
      </c>
      <c r="J1554" s="46">
        <f>IF(INPUT!Q1549="","",INPUT!Q1549)</f>
        <v>75.2</v>
      </c>
      <c r="K1554" s="46">
        <f>IFERROR(IF(OR(INPUT!P1549="",INPUT!Q1549=""),"",INPUT!P1549-INPUT!Q1549),"")</f>
        <v>9.9999999999994316E-2</v>
      </c>
      <c r="L1554" s="48">
        <f>IFERROR(IF(OR(INPUT!P1549="",INPUT!Q1549="",INPUT!P1549=0),"",(INPUT!P1549-INPUT!Q1549)/INPUT!P1549),"")</f>
        <v>1.3280212483398981E-3</v>
      </c>
    </row>
    <row r="1555" spans="1:12" ht="18" customHeight="1" x14ac:dyDescent="0.2">
      <c r="A1555" s="11">
        <f>IF(INPUT!M1550="","",INPUT!M1550)</f>
        <v>46017</v>
      </c>
      <c r="B1555" s="11">
        <f>IF(INPUT!M1550="","",INPUT!M1550-WEEKDAY(INPUT!M1550,2)+1)</f>
        <v>46013</v>
      </c>
      <c r="C1555" s="20">
        <f>IFERROR(_xlfn.ISOWEEKNUM(INPUT!M1550),"")</f>
        <v>52</v>
      </c>
      <c r="D1555" s="20">
        <f>IFERROR(YEAR(INPUT!M1550),"")</f>
        <v>2025</v>
      </c>
      <c r="E1555" t="str">
        <f>IF(INPUT!O1550="","",INPUT!O1550)</f>
        <v>BARONA</v>
      </c>
      <c r="F1555" t="str">
        <f>IF(INPUT!N1550="","",INPUT!N1550)</f>
        <v>M</v>
      </c>
      <c r="G1555" t="str" cm="1">
        <f t="array" ref="G1555">IFERROR(VLOOKUP(INPUT!M1550&amp;INPUT!N1550,CHOOSE({1,2},INPUT!$A$3:$A$5000&amp;INPUT!$C$3:$C$5000,INPUT!$F$3:$F$5000),2,FALSE),"")</f>
        <v>PRE-TEMPORADA</v>
      </c>
      <c r="H1555" t="str" cm="1">
        <f t="array" ref="H1555">IFERROR(VLOOKUP(INPUT!M1550&amp;INPUT!N1550,CHOOSE({1,2},INPUT!$A$3:$A$5000&amp;INPUT!$C$3:$C$5000,INPUT!$D$3:$D$5000),2,FALSE),"")</f>
        <v>TEC-TAC</v>
      </c>
      <c r="I1555" s="46">
        <f>IF(INPUT!P1550="","",INPUT!P1550)</f>
        <v>71.5</v>
      </c>
      <c r="J1555" s="46">
        <f>IF(INPUT!Q1550="","",INPUT!Q1550)</f>
        <v>71</v>
      </c>
      <c r="K1555" s="46">
        <f>IFERROR(IF(OR(INPUT!P1550="",INPUT!Q1550=""),"",INPUT!P1550-INPUT!Q1550),"")</f>
        <v>0.5</v>
      </c>
      <c r="L1555" s="48">
        <f>IFERROR(IF(OR(INPUT!P1550="",INPUT!Q1550="",INPUT!P1550=0),"",(INPUT!P1550-INPUT!Q1550)/INPUT!P1550),"")</f>
        <v>6.993006993006993E-3</v>
      </c>
    </row>
    <row r="1556" spans="1:12" ht="18" customHeight="1" x14ac:dyDescent="0.2">
      <c r="A1556" s="11">
        <f>IF(INPUT!M1551="","",INPUT!M1551)</f>
        <v>46017</v>
      </c>
      <c r="B1556" s="11">
        <f>IF(INPUT!M1551="","",INPUT!M1551-WEEKDAY(INPUT!M1551,2)+1)</f>
        <v>46013</v>
      </c>
      <c r="C1556" s="20">
        <f>IFERROR(_xlfn.ISOWEEKNUM(INPUT!M1551),"")</f>
        <v>52</v>
      </c>
      <c r="D1556" s="20">
        <f>IFERROR(YEAR(INPUT!M1551),"")</f>
        <v>2025</v>
      </c>
      <c r="E1556" t="str">
        <f>IF(INPUT!O1551="","",INPUT!O1551)</f>
        <v>CARLOS</v>
      </c>
      <c r="F1556" t="str">
        <f>IF(INPUT!N1551="","",INPUT!N1551)</f>
        <v>M</v>
      </c>
      <c r="G1556" t="str" cm="1">
        <f t="array" ref="G1556">IFERROR(VLOOKUP(INPUT!M1551&amp;INPUT!N1551,CHOOSE({1,2},INPUT!$A$3:$A$5000&amp;INPUT!$C$3:$C$5000,INPUT!$F$3:$F$5000),2,FALSE),"")</f>
        <v>PRE-TEMPORADA</v>
      </c>
      <c r="H1556" t="str" cm="1">
        <f t="array" ref="H1556">IFERROR(VLOOKUP(INPUT!M1551&amp;INPUT!N1551,CHOOSE({1,2},INPUT!$A$3:$A$5000&amp;INPUT!$C$3:$C$5000,INPUT!$D$3:$D$5000),2,FALSE),"")</f>
        <v>TEC-TAC</v>
      </c>
      <c r="I1556" s="46">
        <f>IF(INPUT!P1551="","",INPUT!P1551)</f>
        <v>68</v>
      </c>
      <c r="J1556" s="46">
        <f>IF(INPUT!Q1551="","",INPUT!Q1551)</f>
        <v>67</v>
      </c>
      <c r="K1556" s="46">
        <f>IFERROR(IF(OR(INPUT!P1551="",INPUT!Q1551=""),"",INPUT!P1551-INPUT!Q1551),"")</f>
        <v>1</v>
      </c>
      <c r="L1556" s="48">
        <f>IFERROR(IF(OR(INPUT!P1551="",INPUT!Q1551="",INPUT!P1551=0),"",(INPUT!P1551-INPUT!Q1551)/INPUT!P1551),"")</f>
        <v>1.4705882352941176E-2</v>
      </c>
    </row>
    <row r="1557" spans="1:12" ht="18" customHeight="1" x14ac:dyDescent="0.2">
      <c r="A1557" s="11">
        <f>IF(INPUT!M1552="","",INPUT!M1552)</f>
        <v>46017</v>
      </c>
      <c r="B1557" s="11">
        <f>IF(INPUT!M1552="","",INPUT!M1552-WEEKDAY(INPUT!M1552,2)+1)</f>
        <v>46013</v>
      </c>
      <c r="C1557" s="20">
        <f>IFERROR(_xlfn.ISOWEEKNUM(INPUT!M1552),"")</f>
        <v>52</v>
      </c>
      <c r="D1557" s="20">
        <f>IFERROR(YEAR(INPUT!M1552),"")</f>
        <v>2025</v>
      </c>
      <c r="E1557" t="str">
        <f>IF(INPUT!O1552="","",INPUT!O1552)</f>
        <v>GONZALO</v>
      </c>
      <c r="F1557" t="str">
        <f>IF(INPUT!N1552="","",INPUT!N1552)</f>
        <v>M</v>
      </c>
      <c r="G1557" t="str" cm="1">
        <f t="array" ref="G1557">IFERROR(VLOOKUP(INPUT!M1552&amp;INPUT!N1552,CHOOSE({1,2},INPUT!$A$3:$A$5000&amp;INPUT!$C$3:$C$5000,INPUT!$F$3:$F$5000),2,FALSE),"")</f>
        <v>PRE-TEMPORADA</v>
      </c>
      <c r="H1557" t="str" cm="1">
        <f t="array" ref="H1557">IFERROR(VLOOKUP(INPUT!M1552&amp;INPUT!N1552,CHOOSE({1,2},INPUT!$A$3:$A$5000&amp;INPUT!$C$3:$C$5000,INPUT!$D$3:$D$5000),2,FALSE),"")</f>
        <v>TEC-TAC</v>
      </c>
      <c r="I1557" s="46">
        <f>IF(INPUT!P1552="","",INPUT!P1552)</f>
        <v>83.4</v>
      </c>
      <c r="J1557" s="46">
        <f>IF(INPUT!Q1552="","",INPUT!Q1552)</f>
        <v>83.4</v>
      </c>
      <c r="K1557" s="46">
        <f>IFERROR(IF(OR(INPUT!P1552="",INPUT!Q1552=""),"",INPUT!P1552-INPUT!Q1552),"")</f>
        <v>0</v>
      </c>
      <c r="L1557" s="48">
        <f>IFERROR(IF(OR(INPUT!P1552="",INPUT!Q1552="",INPUT!P1552=0),"",(INPUT!P1552-INPUT!Q1552)/INPUT!P1552),"")</f>
        <v>0</v>
      </c>
    </row>
    <row r="1558" spans="1:12" ht="18" hidden="1" customHeight="1" x14ac:dyDescent="0.2">
      <c r="A1558" s="11">
        <f>IF(INPUT!M1553="","",INPUT!M1553)</f>
        <v>46017</v>
      </c>
      <c r="B1558" s="11">
        <f>IF(INPUT!M1553="","",INPUT!M1553-WEEKDAY(INPUT!M1553,2)+1)</f>
        <v>46013</v>
      </c>
      <c r="C1558" s="20">
        <f>IFERROR(_xlfn.ISOWEEKNUM(INPUT!M1553),"")</f>
        <v>52</v>
      </c>
      <c r="D1558" s="20">
        <f>IFERROR(YEAR(INPUT!M1553),"")</f>
        <v>2025</v>
      </c>
      <c r="E1558" t="str">
        <f>IF(INPUT!O1553="","",INPUT!O1553)</f>
        <v>RUBIO</v>
      </c>
      <c r="F1558" t="str">
        <f>IF(INPUT!N1553="","",INPUT!N1553)</f>
        <v>M</v>
      </c>
      <c r="G1558" t="str" cm="1">
        <f t="array" ref="G1558">IFERROR(VLOOKUP(INPUT!M1553&amp;INPUT!N1553,CHOOSE({1,2},INPUT!$A$3:$A$5000&amp;INPUT!$C$3:$C$5000,INPUT!$F$3:$F$5000),2,FALSE),"")</f>
        <v>PRE-TEMPORADA</v>
      </c>
      <c r="H1558" t="str" cm="1">
        <f t="array" ref="H1558">IFERROR(VLOOKUP(INPUT!M1553&amp;INPUT!N1553,CHOOSE({1,2},INPUT!$A$3:$A$5000&amp;INPUT!$C$3:$C$5000,INPUT!$D$3:$D$5000),2,FALSE),"")</f>
        <v>TEC-TAC</v>
      </c>
      <c r="I1558" s="46">
        <f>IF(INPUT!P1553="","",INPUT!P1553)</f>
        <v>75.7</v>
      </c>
      <c r="J1558" s="46">
        <f>IF(INPUT!Q1553="","",INPUT!Q1553)</f>
        <v>75.8</v>
      </c>
      <c r="K1558" s="46">
        <f>IFERROR(IF(OR(INPUT!P1553="",INPUT!Q1553=""),"",INPUT!P1553-INPUT!Q1553),"")</f>
        <v>-9.9999999999994316E-2</v>
      </c>
      <c r="L1558" s="48">
        <f>IFERROR(IF(OR(INPUT!P1553="",INPUT!Q1553="",INPUT!P1553=0),"",(INPUT!P1553-INPUT!Q1553)/INPUT!P1553),"")</f>
        <v>-1.3210039630118138E-3</v>
      </c>
    </row>
    <row r="1559" spans="1:12" ht="18" hidden="1" customHeight="1" x14ac:dyDescent="0.2">
      <c r="A1559" s="11">
        <f>IF(INPUT!M1554="","",INPUT!M1554)</f>
        <v>46017</v>
      </c>
      <c r="B1559" s="11">
        <f>IF(INPUT!M1554="","",INPUT!M1554-WEEKDAY(INPUT!M1554,2)+1)</f>
        <v>46013</v>
      </c>
      <c r="C1559" s="20">
        <f>IFERROR(_xlfn.ISOWEEKNUM(INPUT!M1554),"")</f>
        <v>52</v>
      </c>
      <c r="D1559" s="20">
        <f>IFERROR(YEAR(INPUT!M1554),"")</f>
        <v>2025</v>
      </c>
      <c r="E1559" t="str">
        <f>IF(INPUT!O1554="","",INPUT!O1554)</f>
        <v>DANI</v>
      </c>
      <c r="F1559" t="str">
        <f>IF(INPUT!N1554="","",INPUT!N1554)</f>
        <v>M</v>
      </c>
      <c r="G1559" t="str" cm="1">
        <f t="array" ref="G1559">IFERROR(VLOOKUP(INPUT!M1554&amp;INPUT!N1554,CHOOSE({1,2},INPUT!$A$3:$A$5000&amp;INPUT!$C$3:$C$5000,INPUT!$F$3:$F$5000),2,FALSE),"")</f>
        <v>PRE-TEMPORADA</v>
      </c>
      <c r="H1559" t="str" cm="1">
        <f t="array" ref="H1559">IFERROR(VLOOKUP(INPUT!M1554&amp;INPUT!N1554,CHOOSE({1,2},INPUT!$A$3:$A$5000&amp;INPUT!$C$3:$C$5000,INPUT!$D$3:$D$5000),2,FALSE),"")</f>
        <v>TEC-TAC</v>
      </c>
      <c r="I1559" s="46">
        <f>IF(INPUT!P1554="","",INPUT!P1554)</f>
        <v>91.1</v>
      </c>
      <c r="J1559" s="46">
        <f>IF(INPUT!Q1554="","",INPUT!Q1554)</f>
        <v>90.3</v>
      </c>
      <c r="K1559" s="46">
        <f>IFERROR(IF(OR(INPUT!P1554="",INPUT!Q1554=""),"",INPUT!P1554-INPUT!Q1554),"")</f>
        <v>0.79999999999999716</v>
      </c>
      <c r="L1559" s="48">
        <f>IFERROR(IF(OR(INPUT!P1554="",INPUT!Q1554="",INPUT!P1554=0),"",(INPUT!P1554-INPUT!Q1554)/INPUT!P1554),"")</f>
        <v>8.7815587266739537E-3</v>
      </c>
    </row>
    <row r="1560" spans="1:12" ht="18" hidden="1" customHeight="1" x14ac:dyDescent="0.2">
      <c r="A1560" s="11">
        <f>IF(INPUT!M1555="","",INPUT!M1555)</f>
        <v>46017</v>
      </c>
      <c r="B1560" s="11">
        <f>IF(INPUT!M1555="","",INPUT!M1555-WEEKDAY(INPUT!M1555,2)+1)</f>
        <v>46013</v>
      </c>
      <c r="C1560" s="20">
        <f>IFERROR(_xlfn.ISOWEEKNUM(INPUT!M1555),"")</f>
        <v>52</v>
      </c>
      <c r="D1560" s="20">
        <f>IFERROR(YEAR(INPUT!M1555),"")</f>
        <v>2025</v>
      </c>
      <c r="E1560" t="str">
        <f>IF(INPUT!O1555="","",INPUT!O1555)</f>
        <v>JAIME</v>
      </c>
      <c r="F1560" t="str">
        <f>IF(INPUT!N1555="","",INPUT!N1555)</f>
        <v>M</v>
      </c>
      <c r="G1560" t="str" cm="1">
        <f t="array" ref="G1560">IFERROR(VLOOKUP(INPUT!M1555&amp;INPUT!N1555,CHOOSE({1,2},INPUT!$A$3:$A$5000&amp;INPUT!$C$3:$C$5000,INPUT!$F$3:$F$5000),2,FALSE),"")</f>
        <v>PRE-TEMPORADA</v>
      </c>
      <c r="H1560" t="str" cm="1">
        <f t="array" ref="H1560">IFERROR(VLOOKUP(INPUT!M1555&amp;INPUT!N1555,CHOOSE({1,2},INPUT!$A$3:$A$5000&amp;INPUT!$C$3:$C$5000,INPUT!$D$3:$D$5000),2,FALSE),"")</f>
        <v>TEC-TAC</v>
      </c>
      <c r="I1560" s="46">
        <f>IF(INPUT!P1555="","",INPUT!P1555)</f>
        <v>75.3</v>
      </c>
      <c r="J1560" s="46">
        <f>IF(INPUT!Q1555="","",INPUT!Q1555)</f>
        <v>75.2</v>
      </c>
      <c r="K1560" s="46">
        <f>IFERROR(IF(OR(INPUT!P1555="",INPUT!Q1555=""),"",INPUT!P1555-INPUT!Q1555),"")</f>
        <v>9.9999999999994316E-2</v>
      </c>
      <c r="L1560" s="48">
        <f>IFERROR(IF(OR(INPUT!P1555="",INPUT!Q1555="",INPUT!P1555=0),"",(INPUT!P1555-INPUT!Q1555)/INPUT!P1555),"")</f>
        <v>1.3280212483398981E-3</v>
      </c>
    </row>
    <row r="1561" spans="1:12" ht="18" hidden="1" customHeight="1" x14ac:dyDescent="0.2">
      <c r="A1561" s="11">
        <f>IF(INPUT!M1556="","",INPUT!M1556)</f>
        <v>46018</v>
      </c>
      <c r="B1561" s="11">
        <f>IF(INPUT!M1556="","",INPUT!M1556-WEEKDAY(INPUT!M1556,2)+1)</f>
        <v>46013</v>
      </c>
      <c r="C1561" s="20">
        <f>IFERROR(_xlfn.ISOWEEKNUM(INPUT!M1556),"")</f>
        <v>52</v>
      </c>
      <c r="D1561" s="20">
        <f>IFERROR(YEAR(INPUT!M1556),"")</f>
        <v>2025</v>
      </c>
      <c r="E1561" t="str">
        <f>IF(INPUT!O1556="","",INPUT!O1556)</f>
        <v>HERRERO</v>
      </c>
      <c r="F1561" t="str">
        <f>IF(INPUT!N1556="","",INPUT!N1556)</f>
        <v>M</v>
      </c>
      <c r="G1561" t="str" cm="1">
        <f t="array" ref="G1561">IFERROR(VLOOKUP(INPUT!M1556&amp;INPUT!N1556,CHOOSE({1,2},INPUT!$A$3:$A$5000&amp;INPUT!$C$3:$C$5000,INPUT!$F$3:$F$5000),2,FALSE),"")</f>
        <v>PRE-TEMPORADA</v>
      </c>
      <c r="H1561" t="str" cm="1">
        <f t="array" ref="H1561">IFERROR(VLOOKUP(INPUT!M1556&amp;INPUT!N1556,CHOOSE({1,2},INPUT!$A$3:$A$5000&amp;INPUT!$C$3:$C$5000,INPUT!$D$3:$D$5000),2,FALSE),"")</f>
        <v>MATINAL</v>
      </c>
      <c r="I1561" s="46">
        <f>IF(INPUT!P1556="","",INPUT!P1556)</f>
        <v>77</v>
      </c>
      <c r="J1561" s="46">
        <f>IF(INPUT!Q1556="","",INPUT!Q1556)</f>
        <v>76</v>
      </c>
      <c r="K1561" s="46">
        <f>IFERROR(IF(OR(INPUT!P1556="",INPUT!Q1556=""),"",INPUT!P1556-INPUT!Q1556),"")</f>
        <v>1</v>
      </c>
      <c r="L1561" s="48">
        <f>IFERROR(IF(OR(INPUT!P1556="",INPUT!Q1556="",INPUT!P1556=0),"",(INPUT!P1556-INPUT!Q1556)/INPUT!P1556),"")</f>
        <v>1.2987012987012988E-2</v>
      </c>
    </row>
    <row r="1562" spans="1:12" ht="18" hidden="1" customHeight="1" x14ac:dyDescent="0.2">
      <c r="A1562" s="11">
        <f>IF(INPUT!M1557="","",INPUT!M1557)</f>
        <v>46018</v>
      </c>
      <c r="B1562" s="11">
        <f>IF(INPUT!M1557="","",INPUT!M1557-WEEKDAY(INPUT!M1557,2)+1)</f>
        <v>46013</v>
      </c>
      <c r="C1562" s="20">
        <f>IFERROR(_xlfn.ISOWEEKNUM(INPUT!M1557),"")</f>
        <v>52</v>
      </c>
      <c r="D1562" s="20">
        <f>IFERROR(YEAR(INPUT!M1557),"")</f>
        <v>2025</v>
      </c>
      <c r="E1562" t="str">
        <f>IF(INPUT!O1557="","",INPUT!O1557)</f>
        <v>HERRERO</v>
      </c>
      <c r="F1562" t="str">
        <f>IF(INPUT!N1557="","",INPUT!N1557)</f>
        <v>T</v>
      </c>
      <c r="G1562" t="str" cm="1">
        <f t="array" ref="G1562">IFERROR(VLOOKUP(INPUT!M1557&amp;INPUT!N1557,CHOOSE({1,2},INPUT!$A$3:$A$5000&amp;INPUT!$C$3:$C$5000,INPUT!$F$3:$F$5000),2,FALSE),"")</f>
        <v>PRE-TEMPORADA</v>
      </c>
      <c r="H1562" t="str" cm="1">
        <f t="array" ref="H1562">IFERROR(VLOOKUP(INPUT!M1557&amp;INPUT!N1557,CHOOSE({1,2},INPUT!$A$3:$A$5000&amp;INPUT!$C$3:$C$5000,INPUT!$D$3:$D$5000),2,FALSE),"")</f>
        <v>PARTIDO</v>
      </c>
      <c r="I1562" s="46">
        <f>IF(INPUT!P1557="","",INPUT!P1557)</f>
        <v>77</v>
      </c>
      <c r="J1562" s="46">
        <f>IF(INPUT!Q1557="","",INPUT!Q1557)</f>
        <v>76.900000000000006</v>
      </c>
      <c r="K1562" s="46">
        <f>IFERROR(IF(OR(INPUT!P1557="",INPUT!Q1557=""),"",INPUT!P1557-INPUT!Q1557),"")</f>
        <v>9.9999999999994316E-2</v>
      </c>
      <c r="L1562" s="48">
        <f>IFERROR(IF(OR(INPUT!P1557="",INPUT!Q1557="",INPUT!P1557=0),"",(INPUT!P1557-INPUT!Q1557)/INPUT!P1557),"")</f>
        <v>1.298701298701225E-3</v>
      </c>
    </row>
    <row r="1563" spans="1:12" ht="18" hidden="1" customHeight="1" x14ac:dyDescent="0.2">
      <c r="A1563" s="11">
        <f>IF(INPUT!M1558="","",INPUT!M1558)</f>
        <v>46018</v>
      </c>
      <c r="B1563" s="11">
        <f>IF(INPUT!M1558="","",INPUT!M1558-WEEKDAY(INPUT!M1558,2)+1)</f>
        <v>46013</v>
      </c>
      <c r="C1563" s="20">
        <f>IFERROR(_xlfn.ISOWEEKNUM(INPUT!M1558),"")</f>
        <v>52</v>
      </c>
      <c r="D1563" s="20">
        <f>IFERROR(YEAR(INPUT!M1558),"")</f>
        <v>2025</v>
      </c>
      <c r="E1563" t="str">
        <f>IF(INPUT!O1558="","",INPUT!O1558)</f>
        <v>GARCIA</v>
      </c>
      <c r="F1563" t="str">
        <f>IF(INPUT!N1558="","",INPUT!N1558)</f>
        <v>M</v>
      </c>
      <c r="G1563" t="str" cm="1">
        <f t="array" ref="G1563">IFERROR(VLOOKUP(INPUT!M1558&amp;INPUT!N1558,CHOOSE({1,2},INPUT!$A$3:$A$5000&amp;INPUT!$C$3:$C$5000,INPUT!$F$3:$F$5000),2,FALSE),"")</f>
        <v>PRE-TEMPORADA</v>
      </c>
      <c r="H1563" t="str" cm="1">
        <f t="array" ref="H1563">IFERROR(VLOOKUP(INPUT!M1558&amp;INPUT!N1558,CHOOSE({1,2},INPUT!$A$3:$A$5000&amp;INPUT!$C$3:$C$5000,INPUT!$D$3:$D$5000),2,FALSE),"")</f>
        <v>MATINAL</v>
      </c>
      <c r="I1563" s="46">
        <f>IF(INPUT!P1558="","",INPUT!P1558)</f>
        <v>79.2</v>
      </c>
      <c r="J1563" s="46">
        <f>IF(INPUT!Q1558="","",INPUT!Q1558)</f>
        <v>79</v>
      </c>
      <c r="K1563" s="46">
        <f>IFERROR(IF(OR(INPUT!P1558="",INPUT!Q1558=""),"",INPUT!P1558-INPUT!Q1558),"")</f>
        <v>0.20000000000000284</v>
      </c>
      <c r="L1563" s="48">
        <f>IFERROR(IF(OR(INPUT!P1558="",INPUT!Q1558="",INPUT!P1558=0),"",(INPUT!P1558-INPUT!Q1558)/INPUT!P1558),"")</f>
        <v>2.525252525252561E-3</v>
      </c>
    </row>
    <row r="1564" spans="1:12" ht="18" hidden="1" customHeight="1" x14ac:dyDescent="0.2">
      <c r="A1564" s="11">
        <f>IF(INPUT!M1559="","",INPUT!M1559)</f>
        <v>46018</v>
      </c>
      <c r="B1564" s="11">
        <f>IF(INPUT!M1559="","",INPUT!M1559-WEEKDAY(INPUT!M1559,2)+1)</f>
        <v>46013</v>
      </c>
      <c r="C1564" s="20">
        <f>IFERROR(_xlfn.ISOWEEKNUM(INPUT!M1559),"")</f>
        <v>52</v>
      </c>
      <c r="D1564" s="20">
        <f>IFERROR(YEAR(INPUT!M1559),"")</f>
        <v>2025</v>
      </c>
      <c r="E1564" t="str">
        <f>IF(INPUT!O1559="","",INPUT!O1559)</f>
        <v>GARCIA</v>
      </c>
      <c r="F1564" t="str">
        <f>IF(INPUT!N1559="","",INPUT!N1559)</f>
        <v>T</v>
      </c>
      <c r="G1564" t="str" cm="1">
        <f t="array" ref="G1564">IFERROR(VLOOKUP(INPUT!M1559&amp;INPUT!N1559,CHOOSE({1,2},INPUT!$A$3:$A$5000&amp;INPUT!$C$3:$C$5000,INPUT!$F$3:$F$5000),2,FALSE),"")</f>
        <v>PRE-TEMPORADA</v>
      </c>
      <c r="H1564" t="str" cm="1">
        <f t="array" ref="H1564">IFERROR(VLOOKUP(INPUT!M1559&amp;INPUT!N1559,CHOOSE({1,2},INPUT!$A$3:$A$5000&amp;INPUT!$C$3:$C$5000,INPUT!$D$3:$D$5000),2,FALSE),"")</f>
        <v>PARTIDO</v>
      </c>
      <c r="I1564" s="46">
        <f>IF(INPUT!P1559="","",INPUT!P1559)</f>
        <v>79.2</v>
      </c>
      <c r="J1564" s="46">
        <f>IF(INPUT!Q1559="","",INPUT!Q1559)</f>
        <v>78.8</v>
      </c>
      <c r="K1564" s="46">
        <f>IFERROR(IF(OR(INPUT!P1559="",INPUT!Q1559=""),"",INPUT!P1559-INPUT!Q1559),"")</f>
        <v>0.40000000000000568</v>
      </c>
      <c r="L1564" s="48">
        <f>IFERROR(IF(OR(INPUT!P1559="",INPUT!Q1559="",INPUT!P1559=0),"",(INPUT!P1559-INPUT!Q1559)/INPUT!P1559),"")</f>
        <v>5.0505050505051221E-3</v>
      </c>
    </row>
    <row r="1565" spans="1:12" ht="18" hidden="1" customHeight="1" x14ac:dyDescent="0.2">
      <c r="A1565" s="11">
        <f>IF(INPUT!M1560="","",INPUT!M1560)</f>
        <v>46018</v>
      </c>
      <c r="B1565" s="11">
        <f>IF(INPUT!M1560="","",INPUT!M1560-WEEKDAY(INPUT!M1560,2)+1)</f>
        <v>46013</v>
      </c>
      <c r="C1565" s="20">
        <f>IFERROR(_xlfn.ISOWEEKNUM(INPUT!M1560),"")</f>
        <v>52</v>
      </c>
      <c r="D1565" s="20">
        <f>IFERROR(YEAR(INPUT!M1560),"")</f>
        <v>2025</v>
      </c>
      <c r="E1565" t="str">
        <f>IF(INPUT!O1560="","",INPUT!O1560)</f>
        <v>CECILIO</v>
      </c>
      <c r="F1565" t="str">
        <f>IF(INPUT!N1560="","",INPUT!N1560)</f>
        <v>M</v>
      </c>
      <c r="G1565" t="str" cm="1">
        <f t="array" ref="G1565">IFERROR(VLOOKUP(INPUT!M1560&amp;INPUT!N1560,CHOOSE({1,2},INPUT!$A$3:$A$5000&amp;INPUT!$C$3:$C$5000,INPUT!$F$3:$F$5000),2,FALSE),"")</f>
        <v>PRE-TEMPORADA</v>
      </c>
      <c r="H1565" t="str" cm="1">
        <f t="array" ref="H1565">IFERROR(VLOOKUP(INPUT!M1560&amp;INPUT!N1560,CHOOSE({1,2},INPUT!$A$3:$A$5000&amp;INPUT!$C$3:$C$5000,INPUT!$D$3:$D$5000),2,FALSE),"")</f>
        <v>MATINAL</v>
      </c>
      <c r="I1565" s="46">
        <f>IF(INPUT!P1560="","",INPUT!P1560)</f>
        <v>67.5</v>
      </c>
      <c r="J1565" s="46">
        <f>IF(INPUT!Q1560="","",INPUT!Q1560)</f>
        <v>67.400000000000006</v>
      </c>
      <c r="K1565" s="46">
        <f>IFERROR(IF(OR(INPUT!P1560="",INPUT!Q1560=""),"",INPUT!P1560-INPUT!Q1560),"")</f>
        <v>9.9999999999994316E-2</v>
      </c>
      <c r="L1565" s="48">
        <f>IFERROR(IF(OR(INPUT!P1560="",INPUT!Q1560="",INPUT!P1560=0),"",(INPUT!P1560-INPUT!Q1560)/INPUT!P1560),"")</f>
        <v>1.4814814814813973E-3</v>
      </c>
    </row>
    <row r="1566" spans="1:12" ht="18" hidden="1" customHeight="1" x14ac:dyDescent="0.2">
      <c r="A1566" s="11">
        <f>IF(INPUT!M1561="","",INPUT!M1561)</f>
        <v>46018</v>
      </c>
      <c r="B1566" s="11">
        <f>IF(INPUT!M1561="","",INPUT!M1561-WEEKDAY(INPUT!M1561,2)+1)</f>
        <v>46013</v>
      </c>
      <c r="C1566" s="20">
        <f>IFERROR(_xlfn.ISOWEEKNUM(INPUT!M1561),"")</f>
        <v>52</v>
      </c>
      <c r="D1566" s="20">
        <f>IFERROR(YEAR(INPUT!M1561),"")</f>
        <v>2025</v>
      </c>
      <c r="E1566" t="str">
        <f>IF(INPUT!O1561="","",INPUT!O1561)</f>
        <v>CECILIO</v>
      </c>
      <c r="F1566" t="str">
        <f>IF(INPUT!N1561="","",INPUT!N1561)</f>
        <v>T</v>
      </c>
      <c r="G1566" t="str" cm="1">
        <f t="array" ref="G1566">IFERROR(VLOOKUP(INPUT!M1561&amp;INPUT!N1561,CHOOSE({1,2},INPUT!$A$3:$A$5000&amp;INPUT!$C$3:$C$5000,INPUT!$F$3:$F$5000),2,FALSE),"")</f>
        <v>PRE-TEMPORADA</v>
      </c>
      <c r="H1566" t="str" cm="1">
        <f t="array" ref="H1566">IFERROR(VLOOKUP(INPUT!M1561&amp;INPUT!N1561,CHOOSE({1,2},INPUT!$A$3:$A$5000&amp;INPUT!$C$3:$C$5000,INPUT!$D$3:$D$5000),2,FALSE),"")</f>
        <v>PARTIDO</v>
      </c>
      <c r="I1566" s="46">
        <f>IF(INPUT!P1561="","",INPUT!P1561)</f>
        <v>68</v>
      </c>
      <c r="J1566" s="46">
        <f>IF(INPUT!Q1561="","",INPUT!Q1561)</f>
        <v>68</v>
      </c>
      <c r="K1566" s="46">
        <f>IFERROR(IF(OR(INPUT!P1561="",INPUT!Q1561=""),"",INPUT!P1561-INPUT!Q1561),"")</f>
        <v>0</v>
      </c>
      <c r="L1566" s="48">
        <f>IFERROR(IF(OR(INPUT!P1561="",INPUT!Q1561="",INPUT!P1561=0),"",(INPUT!P1561-INPUT!Q1561)/INPUT!P1561),"")</f>
        <v>0</v>
      </c>
    </row>
    <row r="1567" spans="1:12" ht="18" hidden="1" customHeight="1" x14ac:dyDescent="0.2">
      <c r="A1567" s="11">
        <f>IF(INPUT!M1562="","",INPUT!M1562)</f>
        <v>46018</v>
      </c>
      <c r="B1567" s="11">
        <f>IF(INPUT!M1562="","",INPUT!M1562-WEEKDAY(INPUT!M1562,2)+1)</f>
        <v>46013</v>
      </c>
      <c r="C1567" s="20">
        <f>IFERROR(_xlfn.ISOWEEKNUM(INPUT!M1562),"")</f>
        <v>52</v>
      </c>
      <c r="D1567" s="20">
        <f>IFERROR(YEAR(INPUT!M1562),"")</f>
        <v>2025</v>
      </c>
      <c r="E1567" t="str">
        <f>IF(INPUT!O1562="","",INPUT!O1562)</f>
        <v>CHAGUINHA</v>
      </c>
      <c r="F1567" t="str">
        <f>IF(INPUT!N1562="","",INPUT!N1562)</f>
        <v>M</v>
      </c>
      <c r="G1567" t="str" cm="1">
        <f t="array" ref="G1567">IFERROR(VLOOKUP(INPUT!M1562&amp;INPUT!N1562,CHOOSE({1,2},INPUT!$A$3:$A$5000&amp;INPUT!$C$3:$C$5000,INPUT!$F$3:$F$5000),2,FALSE),"")</f>
        <v>PRE-TEMPORADA</v>
      </c>
      <c r="H1567" t="str" cm="1">
        <f t="array" ref="H1567">IFERROR(VLOOKUP(INPUT!M1562&amp;INPUT!N1562,CHOOSE({1,2},INPUT!$A$3:$A$5000&amp;INPUT!$C$3:$C$5000,INPUT!$D$3:$D$5000),2,FALSE),"")</f>
        <v>MATINAL</v>
      </c>
      <c r="I1567" s="46">
        <f>IF(INPUT!P1562="","",INPUT!P1562)</f>
        <v>69</v>
      </c>
      <c r="J1567" s="46">
        <f>IF(INPUT!Q1562="","",INPUT!Q1562)</f>
        <v>68.400000000000006</v>
      </c>
      <c r="K1567" s="46">
        <f>IFERROR(IF(OR(INPUT!P1562="",INPUT!Q1562=""),"",INPUT!P1562-INPUT!Q1562),"")</f>
        <v>0.59999999999999432</v>
      </c>
      <c r="L1567" s="48">
        <f>IFERROR(IF(OR(INPUT!P1562="",INPUT!Q1562="",INPUT!P1562=0),"",(INPUT!P1562-INPUT!Q1562)/INPUT!P1562),"")</f>
        <v>8.6956521739129603E-3</v>
      </c>
    </row>
    <row r="1568" spans="1:12" ht="18" hidden="1" customHeight="1" x14ac:dyDescent="0.2">
      <c r="A1568" s="11">
        <f>IF(INPUT!M1563="","",INPUT!M1563)</f>
        <v>46018</v>
      </c>
      <c r="B1568" s="11">
        <f>IF(INPUT!M1563="","",INPUT!M1563-WEEKDAY(INPUT!M1563,2)+1)</f>
        <v>46013</v>
      </c>
      <c r="C1568" s="20">
        <f>IFERROR(_xlfn.ISOWEEKNUM(INPUT!M1563),"")</f>
        <v>52</v>
      </c>
      <c r="D1568" s="20">
        <f>IFERROR(YEAR(INPUT!M1563),"")</f>
        <v>2025</v>
      </c>
      <c r="E1568" t="str">
        <f>IF(INPUT!O1563="","",INPUT!O1563)</f>
        <v>CHAGUINHA</v>
      </c>
      <c r="F1568" t="str">
        <f>IF(INPUT!N1563="","",INPUT!N1563)</f>
        <v>T</v>
      </c>
      <c r="G1568" t="str" cm="1">
        <f t="array" ref="G1568">IFERROR(VLOOKUP(INPUT!M1563&amp;INPUT!N1563,CHOOSE({1,2},INPUT!$A$3:$A$5000&amp;INPUT!$C$3:$C$5000,INPUT!$F$3:$F$5000),2,FALSE),"")</f>
        <v>PRE-TEMPORADA</v>
      </c>
      <c r="H1568" t="str" cm="1">
        <f t="array" ref="H1568">IFERROR(VLOOKUP(INPUT!M1563&amp;INPUT!N1563,CHOOSE({1,2},INPUT!$A$3:$A$5000&amp;INPUT!$C$3:$C$5000,INPUT!$D$3:$D$5000),2,FALSE),"")</f>
        <v>PARTIDO</v>
      </c>
      <c r="I1568" s="46">
        <f>IF(INPUT!P1563="","",INPUT!P1563)</f>
        <v>68.7</v>
      </c>
      <c r="J1568" s="46">
        <f>IF(INPUT!Q1563="","",INPUT!Q1563)</f>
        <v>68.5</v>
      </c>
      <c r="K1568" s="46">
        <f>IFERROR(IF(OR(INPUT!P1563="",INPUT!Q1563=""),"",INPUT!P1563-INPUT!Q1563),"")</f>
        <v>0.20000000000000284</v>
      </c>
      <c r="L1568" s="48">
        <f>IFERROR(IF(OR(INPUT!P1563="",INPUT!Q1563="",INPUT!P1563=0),"",(INPUT!P1563-INPUT!Q1563)/INPUT!P1563),"")</f>
        <v>2.9112081513828652E-3</v>
      </c>
    </row>
    <row r="1569" spans="1:12" ht="18" hidden="1" customHeight="1" x14ac:dyDescent="0.2">
      <c r="A1569" s="11">
        <f>IF(INPUT!M1564="","",INPUT!M1564)</f>
        <v>46018</v>
      </c>
      <c r="B1569" s="11">
        <f>IF(INPUT!M1564="","",INPUT!M1564-WEEKDAY(INPUT!M1564,2)+1)</f>
        <v>46013</v>
      </c>
      <c r="C1569" s="20">
        <f>IFERROR(_xlfn.ISOWEEKNUM(INPUT!M1564),"")</f>
        <v>52</v>
      </c>
      <c r="D1569" s="20">
        <f>IFERROR(YEAR(INPUT!M1564),"")</f>
        <v>2025</v>
      </c>
      <c r="E1569" t="str">
        <f>IF(INPUT!O1564="","",INPUT!O1564)</f>
        <v>RAUL</v>
      </c>
      <c r="F1569" t="str">
        <f>IF(INPUT!N1564="","",INPUT!N1564)</f>
        <v>M</v>
      </c>
      <c r="G1569" t="str" cm="1">
        <f t="array" ref="G1569">IFERROR(VLOOKUP(INPUT!M1564&amp;INPUT!N1564,CHOOSE({1,2},INPUT!$A$3:$A$5000&amp;INPUT!$C$3:$C$5000,INPUT!$F$3:$F$5000),2,FALSE),"")</f>
        <v>PRE-TEMPORADA</v>
      </c>
      <c r="H1569" t="str" cm="1">
        <f t="array" ref="H1569">IFERROR(VLOOKUP(INPUT!M1564&amp;INPUT!N1564,CHOOSE({1,2},INPUT!$A$3:$A$5000&amp;INPUT!$C$3:$C$5000,INPUT!$D$3:$D$5000),2,FALSE),"")</f>
        <v>MATINAL</v>
      </c>
      <c r="I1569" s="46">
        <f>IF(INPUT!P1564="","",INPUT!P1564)</f>
        <v>80</v>
      </c>
      <c r="J1569" s="46">
        <f>IF(INPUT!Q1564="","",INPUT!Q1564)</f>
        <v>80.099999999999994</v>
      </c>
      <c r="K1569" s="46">
        <f>IFERROR(IF(OR(INPUT!P1564="",INPUT!Q1564=""),"",INPUT!P1564-INPUT!Q1564),"")</f>
        <v>-9.9999999999994316E-2</v>
      </c>
      <c r="L1569" s="48">
        <f>IFERROR(IF(OR(INPUT!P1564="",INPUT!Q1564="",INPUT!P1564=0),"",(INPUT!P1564-INPUT!Q1564)/INPUT!P1564),"")</f>
        <v>-1.2499999999999289E-3</v>
      </c>
    </row>
    <row r="1570" spans="1:12" ht="18" hidden="1" customHeight="1" x14ac:dyDescent="0.2">
      <c r="A1570" s="11">
        <f>IF(INPUT!M1565="","",INPUT!M1565)</f>
        <v>46018</v>
      </c>
      <c r="B1570" s="11">
        <f>IF(INPUT!M1565="","",INPUT!M1565-WEEKDAY(INPUT!M1565,2)+1)</f>
        <v>46013</v>
      </c>
      <c r="C1570" s="20">
        <f>IFERROR(_xlfn.ISOWEEKNUM(INPUT!M1565),"")</f>
        <v>52</v>
      </c>
      <c r="D1570" s="20">
        <f>IFERROR(YEAR(INPUT!M1565),"")</f>
        <v>2025</v>
      </c>
      <c r="E1570" t="str">
        <f>IF(INPUT!O1565="","",INPUT!O1565)</f>
        <v>RAUL</v>
      </c>
      <c r="F1570" t="str">
        <f>IF(INPUT!N1565="","",INPUT!N1565)</f>
        <v>T</v>
      </c>
      <c r="G1570" t="str" cm="1">
        <f t="array" ref="G1570">IFERROR(VLOOKUP(INPUT!M1565&amp;INPUT!N1565,CHOOSE({1,2},INPUT!$A$3:$A$5000&amp;INPUT!$C$3:$C$5000,INPUT!$F$3:$F$5000),2,FALSE),"")</f>
        <v>PRE-TEMPORADA</v>
      </c>
      <c r="H1570" t="str" cm="1">
        <f t="array" ref="H1570">IFERROR(VLOOKUP(INPUT!M1565&amp;INPUT!N1565,CHOOSE({1,2},INPUT!$A$3:$A$5000&amp;INPUT!$C$3:$C$5000,INPUT!$D$3:$D$5000),2,FALSE),"")</f>
        <v>PARTIDO</v>
      </c>
      <c r="I1570" s="46">
        <f>IF(INPUT!P1565="","",INPUT!P1565)</f>
        <v>80.3</v>
      </c>
      <c r="J1570" s="46">
        <f>IF(INPUT!Q1565="","",INPUT!Q1565)</f>
        <v>80.5</v>
      </c>
      <c r="K1570" s="46">
        <f>IFERROR(IF(OR(INPUT!P1565="",INPUT!Q1565=""),"",INPUT!P1565-INPUT!Q1565),"")</f>
        <v>-0.20000000000000284</v>
      </c>
      <c r="L1570" s="48">
        <f>IFERROR(IF(OR(INPUT!P1565="",INPUT!Q1565="",INPUT!P1565=0),"",(INPUT!P1565-INPUT!Q1565)/INPUT!P1565),"")</f>
        <v>-2.4906600249066358E-3</v>
      </c>
    </row>
    <row r="1571" spans="1:12" ht="18" hidden="1" customHeight="1" x14ac:dyDescent="0.2">
      <c r="A1571" s="11">
        <f>IF(INPUT!M1566="","",INPUT!M1566)</f>
        <v>46018</v>
      </c>
      <c r="B1571" s="11">
        <f>IF(INPUT!M1566="","",INPUT!M1566-WEEKDAY(INPUT!M1566,2)+1)</f>
        <v>46013</v>
      </c>
      <c r="C1571" s="20">
        <f>IFERROR(_xlfn.ISOWEEKNUM(INPUT!M1566),"")</f>
        <v>52</v>
      </c>
      <c r="D1571" s="20">
        <f>IFERROR(YEAR(INPUT!M1566),"")</f>
        <v>2025</v>
      </c>
      <c r="E1571" t="str">
        <f>IF(INPUT!O1566="","",INPUT!O1566)</f>
        <v>HARRISON</v>
      </c>
      <c r="F1571" t="str">
        <f>IF(INPUT!N1566="","",INPUT!N1566)</f>
        <v>M</v>
      </c>
      <c r="G1571" t="str" cm="1">
        <f t="array" ref="G1571">IFERROR(VLOOKUP(INPUT!M1566&amp;INPUT!N1566,CHOOSE({1,2},INPUT!$A$3:$A$5000&amp;INPUT!$C$3:$C$5000,INPUT!$F$3:$F$5000),2,FALSE),"")</f>
        <v>PRE-TEMPORADA</v>
      </c>
      <c r="H1571" t="str" cm="1">
        <f t="array" ref="H1571">IFERROR(VLOOKUP(INPUT!M1566&amp;INPUT!N1566,CHOOSE({1,2},INPUT!$A$3:$A$5000&amp;INPUT!$C$3:$C$5000,INPUT!$D$3:$D$5000),2,FALSE),"")</f>
        <v>MATINAL</v>
      </c>
      <c r="I1571" s="46">
        <f>IF(INPUT!P1566="","",INPUT!P1566)</f>
        <v>71.5</v>
      </c>
      <c r="J1571" s="46">
        <f>IF(INPUT!Q1566="","",INPUT!Q1566)</f>
        <v>71</v>
      </c>
      <c r="K1571" s="46">
        <f>IFERROR(IF(OR(INPUT!P1566="",INPUT!Q1566=""),"",INPUT!P1566-INPUT!Q1566),"")</f>
        <v>0.5</v>
      </c>
      <c r="L1571" s="48">
        <f>IFERROR(IF(OR(INPUT!P1566="",INPUT!Q1566="",INPUT!P1566=0),"",(INPUT!P1566-INPUT!Q1566)/INPUT!P1566),"")</f>
        <v>6.993006993006993E-3</v>
      </c>
    </row>
    <row r="1572" spans="1:12" ht="18" hidden="1" customHeight="1" x14ac:dyDescent="0.2">
      <c r="A1572" s="11">
        <f>IF(INPUT!M1567="","",INPUT!M1567)</f>
        <v>46018</v>
      </c>
      <c r="B1572" s="11">
        <f>IF(INPUT!M1567="","",INPUT!M1567-WEEKDAY(INPUT!M1567,2)+1)</f>
        <v>46013</v>
      </c>
      <c r="C1572" s="20">
        <f>IFERROR(_xlfn.ISOWEEKNUM(INPUT!M1567),"")</f>
        <v>52</v>
      </c>
      <c r="D1572" s="20">
        <f>IFERROR(YEAR(INPUT!M1567),"")</f>
        <v>2025</v>
      </c>
      <c r="E1572" t="str">
        <f>IF(INPUT!O1567="","",INPUT!O1567)</f>
        <v>HARRISON</v>
      </c>
      <c r="F1572" t="str">
        <f>IF(INPUT!N1567="","",INPUT!N1567)</f>
        <v>T</v>
      </c>
      <c r="G1572" t="str" cm="1">
        <f t="array" ref="G1572">IFERROR(VLOOKUP(INPUT!M1567&amp;INPUT!N1567,CHOOSE({1,2},INPUT!$A$3:$A$5000&amp;INPUT!$C$3:$C$5000,INPUT!$F$3:$F$5000),2,FALSE),"")</f>
        <v>PRE-TEMPORADA</v>
      </c>
      <c r="H1572" t="str" cm="1">
        <f t="array" ref="H1572">IFERROR(VLOOKUP(INPUT!M1567&amp;INPUT!N1567,CHOOSE({1,2},INPUT!$A$3:$A$5000&amp;INPUT!$C$3:$C$5000,INPUT!$D$3:$D$5000),2,FALSE),"")</f>
        <v>PARTIDO</v>
      </c>
      <c r="I1572" s="46">
        <f>IF(INPUT!P1567="","",INPUT!P1567)</f>
        <v>71.5</v>
      </c>
      <c r="J1572" s="46">
        <f>IF(INPUT!Q1567="","",INPUT!Q1567)</f>
        <v>71</v>
      </c>
      <c r="K1572" s="46">
        <f>IFERROR(IF(OR(INPUT!P1567="",INPUT!Q1567=""),"",INPUT!P1567-INPUT!Q1567),"")</f>
        <v>0.5</v>
      </c>
      <c r="L1572" s="48">
        <f>IFERROR(IF(OR(INPUT!P1567="",INPUT!Q1567="",INPUT!P1567=0),"",(INPUT!P1567-INPUT!Q1567)/INPUT!P1567),"")</f>
        <v>6.993006993006993E-3</v>
      </c>
    </row>
    <row r="1573" spans="1:12" ht="18" hidden="1" customHeight="1" x14ac:dyDescent="0.2">
      <c r="A1573" s="11">
        <f>IF(INPUT!M1568="","",INPUT!M1568)</f>
        <v>46018</v>
      </c>
      <c r="B1573" s="11">
        <f>IF(INPUT!M1568="","",INPUT!M1568-WEEKDAY(INPUT!M1568,2)+1)</f>
        <v>46013</v>
      </c>
      <c r="C1573" s="20">
        <f>IFERROR(_xlfn.ISOWEEKNUM(INPUT!M1568),"")</f>
        <v>52</v>
      </c>
      <c r="D1573" s="20">
        <f>IFERROR(YEAR(INPUT!M1568),"")</f>
        <v>2025</v>
      </c>
      <c r="E1573" t="str">
        <f>IF(INPUT!O1568="","",INPUT!O1568)</f>
        <v>RAYA</v>
      </c>
      <c r="F1573" t="str">
        <f>IF(INPUT!N1568="","",INPUT!N1568)</f>
        <v>M</v>
      </c>
      <c r="G1573" t="str" cm="1">
        <f t="array" ref="G1573">IFERROR(VLOOKUP(INPUT!M1568&amp;INPUT!N1568,CHOOSE({1,2},INPUT!$A$3:$A$5000&amp;INPUT!$C$3:$C$5000,INPUT!$F$3:$F$5000),2,FALSE),"")</f>
        <v>PRE-TEMPORADA</v>
      </c>
      <c r="H1573" t="str" cm="1">
        <f t="array" ref="H1573">IFERROR(VLOOKUP(INPUT!M1568&amp;INPUT!N1568,CHOOSE({1,2},INPUT!$A$3:$A$5000&amp;INPUT!$C$3:$C$5000,INPUT!$D$3:$D$5000),2,FALSE),"")</f>
        <v>MATINAL</v>
      </c>
      <c r="I1573" s="46">
        <f>IF(INPUT!P1568="","",INPUT!P1568)</f>
        <v>80.400000000000006</v>
      </c>
      <c r="J1573" s="46">
        <f>IF(INPUT!Q1568="","",INPUT!Q1568)</f>
        <v>80.3</v>
      </c>
      <c r="K1573" s="46">
        <f>IFERROR(IF(OR(INPUT!P1568="",INPUT!Q1568=""),"",INPUT!P1568-INPUT!Q1568),"")</f>
        <v>0.10000000000000853</v>
      </c>
      <c r="L1573" s="48">
        <f>IFERROR(IF(OR(INPUT!P1568="",INPUT!Q1568="",INPUT!P1568=0),"",(INPUT!P1568-INPUT!Q1568)/INPUT!P1568),"")</f>
        <v>1.2437810945274692E-3</v>
      </c>
    </row>
    <row r="1574" spans="1:12" ht="18" hidden="1" customHeight="1" x14ac:dyDescent="0.2">
      <c r="A1574" s="11">
        <f>IF(INPUT!M1569="","",INPUT!M1569)</f>
        <v>46018</v>
      </c>
      <c r="B1574" s="11">
        <f>IF(INPUT!M1569="","",INPUT!M1569-WEEKDAY(INPUT!M1569,2)+1)</f>
        <v>46013</v>
      </c>
      <c r="C1574" s="20">
        <f>IFERROR(_xlfn.ISOWEEKNUM(INPUT!M1569),"")</f>
        <v>52</v>
      </c>
      <c r="D1574" s="20">
        <f>IFERROR(YEAR(INPUT!M1569),"")</f>
        <v>2025</v>
      </c>
      <c r="E1574" t="str">
        <f>IF(INPUT!O1569="","",INPUT!O1569)</f>
        <v>JAVI</v>
      </c>
      <c r="F1574" t="str">
        <f>IF(INPUT!N1569="","",INPUT!N1569)</f>
        <v>M</v>
      </c>
      <c r="G1574" t="str" cm="1">
        <f t="array" ref="G1574">IFERROR(VLOOKUP(INPUT!M1569&amp;INPUT!N1569,CHOOSE({1,2},INPUT!$A$3:$A$5000&amp;INPUT!$C$3:$C$5000,INPUT!$F$3:$F$5000),2,FALSE),"")</f>
        <v>PRE-TEMPORADA</v>
      </c>
      <c r="H1574" t="str" cm="1">
        <f t="array" ref="H1574">IFERROR(VLOOKUP(INPUT!M1569&amp;INPUT!N1569,CHOOSE({1,2},INPUT!$A$3:$A$5000&amp;INPUT!$C$3:$C$5000,INPUT!$D$3:$D$5000),2,FALSE),"")</f>
        <v>MATINAL</v>
      </c>
      <c r="I1574" s="46">
        <f>IF(INPUT!P1569="","",INPUT!P1569)</f>
        <v>78.7</v>
      </c>
      <c r="J1574" s="46">
        <f>IF(INPUT!Q1569="","",INPUT!Q1569)</f>
        <v>78.5</v>
      </c>
      <c r="K1574" s="46">
        <f>IFERROR(IF(OR(INPUT!P1569="",INPUT!Q1569=""),"",INPUT!P1569-INPUT!Q1569),"")</f>
        <v>0.20000000000000284</v>
      </c>
      <c r="L1574" s="48">
        <f>IFERROR(IF(OR(INPUT!P1569="",INPUT!Q1569="",INPUT!P1569=0),"",(INPUT!P1569-INPUT!Q1569)/INPUT!P1569),"")</f>
        <v>2.5412960609911416E-3</v>
      </c>
    </row>
    <row r="1575" spans="1:12" ht="18" hidden="1" customHeight="1" x14ac:dyDescent="0.2">
      <c r="A1575" s="11">
        <f>IF(INPUT!M1570="","",INPUT!M1570)</f>
        <v>46018</v>
      </c>
      <c r="B1575" s="11">
        <f>IF(INPUT!M1570="","",INPUT!M1570-WEEKDAY(INPUT!M1570,2)+1)</f>
        <v>46013</v>
      </c>
      <c r="C1575" s="20">
        <f>IFERROR(_xlfn.ISOWEEKNUM(INPUT!M1570),"")</f>
        <v>52</v>
      </c>
      <c r="D1575" s="20">
        <f>IFERROR(YEAR(INPUT!M1570),"")</f>
        <v>2025</v>
      </c>
      <c r="E1575" t="str">
        <f>IF(INPUT!O1570="","",INPUT!O1570)</f>
        <v>JAVI</v>
      </c>
      <c r="F1575" t="str">
        <f>IF(INPUT!N1570="","",INPUT!N1570)</f>
        <v>T</v>
      </c>
      <c r="G1575" t="str" cm="1">
        <f t="array" ref="G1575">IFERROR(VLOOKUP(INPUT!M1570&amp;INPUT!N1570,CHOOSE({1,2},INPUT!$A$3:$A$5000&amp;INPUT!$C$3:$C$5000,INPUT!$F$3:$F$5000),2,FALSE),"")</f>
        <v>PRE-TEMPORADA</v>
      </c>
      <c r="H1575" t="str" cm="1">
        <f t="array" ref="H1575">IFERROR(VLOOKUP(INPUT!M1570&amp;INPUT!N1570,CHOOSE({1,2},INPUT!$A$3:$A$5000&amp;INPUT!$C$3:$C$5000,INPUT!$D$3:$D$5000),2,FALSE),"")</f>
        <v>PARTIDO</v>
      </c>
      <c r="I1575" s="46">
        <f>IF(INPUT!P1570="","",INPUT!P1570)</f>
        <v>78.7</v>
      </c>
      <c r="J1575" s="46">
        <f>IF(INPUT!Q1570="","",INPUT!Q1570)</f>
        <v>78.099999999999994</v>
      </c>
      <c r="K1575" s="46">
        <f>IFERROR(IF(OR(INPUT!P1570="",INPUT!Q1570=""),"",INPUT!P1570-INPUT!Q1570),"")</f>
        <v>0.60000000000000853</v>
      </c>
      <c r="L1575" s="48">
        <f>IFERROR(IF(OR(INPUT!P1570="",INPUT!Q1570="",INPUT!P1570=0),"",(INPUT!P1570-INPUT!Q1570)/INPUT!P1570),"")</f>
        <v>7.6238881829734243E-3</v>
      </c>
    </row>
    <row r="1576" spans="1:12" ht="18" hidden="1" customHeight="1" x14ac:dyDescent="0.2">
      <c r="A1576" s="11">
        <f>IF(INPUT!M1571="","",INPUT!M1571)</f>
        <v>46018</v>
      </c>
      <c r="B1576" s="11">
        <f>IF(INPUT!M1571="","",INPUT!M1571-WEEKDAY(INPUT!M1571,2)+1)</f>
        <v>46013</v>
      </c>
      <c r="C1576" s="20">
        <f>IFERROR(_xlfn.ISOWEEKNUM(INPUT!M1571),"")</f>
        <v>52</v>
      </c>
      <c r="D1576" s="20">
        <f>IFERROR(YEAR(INPUT!M1571),"")</f>
        <v>2025</v>
      </c>
      <c r="E1576" t="str">
        <f>IF(INPUT!O1571="","",INPUT!O1571)</f>
        <v>PANI</v>
      </c>
      <c r="F1576" t="str">
        <f>IF(INPUT!N1571="","",INPUT!N1571)</f>
        <v>M</v>
      </c>
      <c r="G1576" t="str" cm="1">
        <f t="array" ref="G1576">IFERROR(VLOOKUP(INPUT!M1571&amp;INPUT!N1571,CHOOSE({1,2},INPUT!$A$3:$A$5000&amp;INPUT!$C$3:$C$5000,INPUT!$F$3:$F$5000),2,FALSE),"")</f>
        <v>PRE-TEMPORADA</v>
      </c>
      <c r="H1576" t="str" cm="1">
        <f t="array" ref="H1576">IFERROR(VLOOKUP(INPUT!M1571&amp;INPUT!N1571,CHOOSE({1,2},INPUT!$A$3:$A$5000&amp;INPUT!$C$3:$C$5000,INPUT!$D$3:$D$5000),2,FALSE),"")</f>
        <v>MATINAL</v>
      </c>
      <c r="I1576" s="46">
        <f>IF(INPUT!P1571="","",INPUT!P1571)</f>
        <v>67.5</v>
      </c>
      <c r="J1576" s="46">
        <f>IF(INPUT!Q1571="","",INPUT!Q1571)</f>
        <v>67.2</v>
      </c>
      <c r="K1576" s="46">
        <f>IFERROR(IF(OR(INPUT!P1571="",INPUT!Q1571=""),"",INPUT!P1571-INPUT!Q1571),"")</f>
        <v>0.29999999999999716</v>
      </c>
      <c r="L1576" s="48">
        <f>IFERROR(IF(OR(INPUT!P1571="",INPUT!Q1571="",INPUT!P1571=0),"",(INPUT!P1571-INPUT!Q1571)/INPUT!P1571),"")</f>
        <v>4.4444444444444019E-3</v>
      </c>
    </row>
    <row r="1577" spans="1:12" ht="18" hidden="1" customHeight="1" x14ac:dyDescent="0.2">
      <c r="A1577" s="11">
        <f>IF(INPUT!M1572="","",INPUT!M1572)</f>
        <v>46018</v>
      </c>
      <c r="B1577" s="11">
        <f>IF(INPUT!M1572="","",INPUT!M1572-WEEKDAY(INPUT!M1572,2)+1)</f>
        <v>46013</v>
      </c>
      <c r="C1577" s="20">
        <f>IFERROR(_xlfn.ISOWEEKNUM(INPUT!M1572),"")</f>
        <v>52</v>
      </c>
      <c r="D1577" s="20">
        <f>IFERROR(YEAR(INPUT!M1572),"")</f>
        <v>2025</v>
      </c>
      <c r="E1577" t="str">
        <f>IF(INPUT!O1572="","",INPUT!O1572)</f>
        <v>PANI</v>
      </c>
      <c r="F1577" t="str">
        <f>IF(INPUT!N1572="","",INPUT!N1572)</f>
        <v>T</v>
      </c>
      <c r="G1577" t="str" cm="1">
        <f t="array" ref="G1577">IFERROR(VLOOKUP(INPUT!M1572&amp;INPUT!N1572,CHOOSE({1,2},INPUT!$A$3:$A$5000&amp;INPUT!$C$3:$C$5000,INPUT!$F$3:$F$5000),2,FALSE),"")</f>
        <v>PRE-TEMPORADA</v>
      </c>
      <c r="H1577" t="str" cm="1">
        <f t="array" ref="H1577">IFERROR(VLOOKUP(INPUT!M1572&amp;INPUT!N1572,CHOOSE({1,2},INPUT!$A$3:$A$5000&amp;INPUT!$C$3:$C$5000,INPUT!$D$3:$D$5000),2,FALSE),"")</f>
        <v>PARTIDO</v>
      </c>
      <c r="I1577" s="46">
        <f>IF(INPUT!P1572="","",INPUT!P1572)</f>
        <v>67.599999999999994</v>
      </c>
      <c r="J1577" s="46">
        <f>IF(INPUT!Q1572="","",INPUT!Q1572)</f>
        <v>67</v>
      </c>
      <c r="K1577" s="46">
        <f>IFERROR(IF(OR(INPUT!P1572="",INPUT!Q1572=""),"",INPUT!P1572-INPUT!Q1572),"")</f>
        <v>0.59999999999999432</v>
      </c>
      <c r="L1577" s="48">
        <f>IFERROR(IF(OR(INPUT!P1572="",INPUT!Q1572="",INPUT!P1572=0),"",(INPUT!P1572-INPUT!Q1572)/INPUT!P1572),"")</f>
        <v>8.8757396449703312E-3</v>
      </c>
    </row>
    <row r="1578" spans="1:12" ht="18" hidden="1" customHeight="1" x14ac:dyDescent="0.2">
      <c r="A1578" s="11">
        <f>IF(INPUT!M1573="","",INPUT!M1573)</f>
        <v>46018</v>
      </c>
      <c r="B1578" s="11">
        <f>IF(INPUT!M1573="","",INPUT!M1573-WEEKDAY(INPUT!M1573,2)+1)</f>
        <v>46013</v>
      </c>
      <c r="C1578" s="20">
        <f>IFERROR(_xlfn.ISOWEEKNUM(INPUT!M1573),"")</f>
        <v>52</v>
      </c>
      <c r="D1578" s="20">
        <f>IFERROR(YEAR(INPUT!M1573),"")</f>
        <v>2025</v>
      </c>
      <c r="E1578" t="str">
        <f>IF(INPUT!O1573="","",INPUT!O1573)</f>
        <v>PIRATA</v>
      </c>
      <c r="F1578" t="str">
        <f>IF(INPUT!N1573="","",INPUT!N1573)</f>
        <v>M</v>
      </c>
      <c r="G1578" t="str" cm="1">
        <f t="array" ref="G1578">IFERROR(VLOOKUP(INPUT!M1573&amp;INPUT!N1573,CHOOSE({1,2},INPUT!$A$3:$A$5000&amp;INPUT!$C$3:$C$5000,INPUT!$F$3:$F$5000),2,FALSE),"")</f>
        <v>PRE-TEMPORADA</v>
      </c>
      <c r="H1578" t="str" cm="1">
        <f t="array" ref="H1578">IFERROR(VLOOKUP(INPUT!M1573&amp;INPUT!N1573,CHOOSE({1,2},INPUT!$A$3:$A$5000&amp;INPUT!$C$3:$C$5000,INPUT!$D$3:$D$5000),2,FALSE),"")</f>
        <v>MATINAL</v>
      </c>
      <c r="I1578" s="46">
        <f>IF(INPUT!P1573="","",INPUT!P1573)</f>
        <v>75</v>
      </c>
      <c r="J1578" s="46">
        <f>IF(INPUT!Q1573="","",INPUT!Q1573)</f>
        <v>75.099999999999994</v>
      </c>
      <c r="K1578" s="46">
        <f>IFERROR(IF(OR(INPUT!P1573="",INPUT!Q1573=""),"",INPUT!P1573-INPUT!Q1573),"")</f>
        <v>-9.9999999999994316E-2</v>
      </c>
      <c r="L1578" s="48">
        <f>IFERROR(IF(OR(INPUT!P1573="",INPUT!Q1573="",INPUT!P1573=0),"",(INPUT!P1573-INPUT!Q1573)/INPUT!P1573),"")</f>
        <v>-1.3333333333332576E-3</v>
      </c>
    </row>
    <row r="1579" spans="1:12" ht="18" hidden="1" customHeight="1" x14ac:dyDescent="0.2">
      <c r="A1579" s="11">
        <f>IF(INPUT!M1574="","",INPUT!M1574)</f>
        <v>46018</v>
      </c>
      <c r="B1579" s="11">
        <f>IF(INPUT!M1574="","",INPUT!M1574-WEEKDAY(INPUT!M1574,2)+1)</f>
        <v>46013</v>
      </c>
      <c r="C1579" s="20">
        <f>IFERROR(_xlfn.ISOWEEKNUM(INPUT!M1574),"")</f>
        <v>52</v>
      </c>
      <c r="D1579" s="20">
        <f>IFERROR(YEAR(INPUT!M1574),"")</f>
        <v>2025</v>
      </c>
      <c r="E1579" t="str">
        <f>IF(INPUT!O1574="","",INPUT!O1574)</f>
        <v>PIRATA</v>
      </c>
      <c r="F1579" t="str">
        <f>IF(INPUT!N1574="","",INPUT!N1574)</f>
        <v>T</v>
      </c>
      <c r="G1579" t="str" cm="1">
        <f t="array" ref="G1579">IFERROR(VLOOKUP(INPUT!M1574&amp;INPUT!N1574,CHOOSE({1,2},INPUT!$A$3:$A$5000&amp;INPUT!$C$3:$C$5000,INPUT!$F$3:$F$5000),2,FALSE),"")</f>
        <v>PRE-TEMPORADA</v>
      </c>
      <c r="H1579" t="str" cm="1">
        <f t="array" ref="H1579">IFERROR(VLOOKUP(INPUT!M1574&amp;INPUT!N1574,CHOOSE({1,2},INPUT!$A$3:$A$5000&amp;INPUT!$C$3:$C$5000,INPUT!$D$3:$D$5000),2,FALSE),"")</f>
        <v>PARTIDO</v>
      </c>
      <c r="I1579" s="46">
        <f>IF(INPUT!P1574="","",INPUT!P1574)</f>
        <v>75</v>
      </c>
      <c r="J1579" s="46">
        <f>IF(INPUT!Q1574="","",INPUT!Q1574)</f>
        <v>74.5</v>
      </c>
      <c r="K1579" s="46">
        <f>IFERROR(IF(OR(INPUT!P1574="",INPUT!Q1574=""),"",INPUT!P1574-INPUT!Q1574),"")</f>
        <v>0.5</v>
      </c>
      <c r="L1579" s="48">
        <f>IFERROR(IF(OR(INPUT!P1574="",INPUT!Q1574="",INPUT!P1574=0),"",(INPUT!P1574-INPUT!Q1574)/INPUT!P1574),"")</f>
        <v>6.6666666666666671E-3</v>
      </c>
    </row>
    <row r="1580" spans="1:12" ht="18" hidden="1" customHeight="1" x14ac:dyDescent="0.2">
      <c r="A1580" s="11">
        <f>IF(INPUT!M1575="","",INPUT!M1575)</f>
        <v>46018</v>
      </c>
      <c r="B1580" s="11">
        <f>IF(INPUT!M1575="","",INPUT!M1575-WEEKDAY(INPUT!M1575,2)+1)</f>
        <v>46013</v>
      </c>
      <c r="C1580" s="20">
        <f>IFERROR(_xlfn.ISOWEEKNUM(INPUT!M1575),"")</f>
        <v>52</v>
      </c>
      <c r="D1580" s="20">
        <f>IFERROR(YEAR(INPUT!M1575),"")</f>
        <v>2025</v>
      </c>
      <c r="E1580" t="str">
        <f>IF(INPUT!O1575="","",INPUT!O1575)</f>
        <v>BARONA</v>
      </c>
      <c r="F1580" t="str">
        <f>IF(INPUT!N1575="","",INPUT!N1575)</f>
        <v>M</v>
      </c>
      <c r="G1580" t="str" cm="1">
        <f t="array" ref="G1580">IFERROR(VLOOKUP(INPUT!M1575&amp;INPUT!N1575,CHOOSE({1,2},INPUT!$A$3:$A$5000&amp;INPUT!$C$3:$C$5000,INPUT!$F$3:$F$5000),2,FALSE),"")</f>
        <v>PRE-TEMPORADA</v>
      </c>
      <c r="H1580" t="str" cm="1">
        <f t="array" ref="H1580">IFERROR(VLOOKUP(INPUT!M1575&amp;INPUT!N1575,CHOOSE({1,2},INPUT!$A$3:$A$5000&amp;INPUT!$C$3:$C$5000,INPUT!$D$3:$D$5000),2,FALSE),"")</f>
        <v>MATINAL</v>
      </c>
      <c r="I1580" s="46">
        <f>IF(INPUT!P1575="","",INPUT!P1575)</f>
        <v>71</v>
      </c>
      <c r="J1580" s="46">
        <f>IF(INPUT!Q1575="","",INPUT!Q1575)</f>
        <v>71</v>
      </c>
      <c r="K1580" s="46">
        <f>IFERROR(IF(OR(INPUT!P1575="",INPUT!Q1575=""),"",INPUT!P1575-INPUT!Q1575),"")</f>
        <v>0</v>
      </c>
      <c r="L1580" s="48">
        <f>IFERROR(IF(OR(INPUT!P1575="",INPUT!Q1575="",INPUT!P1575=0),"",(INPUT!P1575-INPUT!Q1575)/INPUT!P1575),"")</f>
        <v>0</v>
      </c>
    </row>
    <row r="1581" spans="1:12" ht="18" hidden="1" customHeight="1" x14ac:dyDescent="0.2">
      <c r="A1581" s="11">
        <f>IF(INPUT!M1576="","",INPUT!M1576)</f>
        <v>46018</v>
      </c>
      <c r="B1581" s="11">
        <f>IF(INPUT!M1576="","",INPUT!M1576-WEEKDAY(INPUT!M1576,2)+1)</f>
        <v>46013</v>
      </c>
      <c r="C1581" s="20">
        <f>IFERROR(_xlfn.ISOWEEKNUM(INPUT!M1576),"")</f>
        <v>52</v>
      </c>
      <c r="D1581" s="20">
        <f>IFERROR(YEAR(INPUT!M1576),"")</f>
        <v>2025</v>
      </c>
      <c r="E1581" t="str">
        <f>IF(INPUT!O1576="","",INPUT!O1576)</f>
        <v>CARLOS</v>
      </c>
      <c r="F1581" t="str">
        <f>IF(INPUT!N1576="","",INPUT!N1576)</f>
        <v>M</v>
      </c>
      <c r="G1581" t="str" cm="1">
        <f t="array" ref="G1581">IFERROR(VLOOKUP(INPUT!M1576&amp;INPUT!N1576,CHOOSE({1,2},INPUT!$A$3:$A$5000&amp;INPUT!$C$3:$C$5000,INPUT!$F$3:$F$5000),2,FALSE),"")</f>
        <v>PRE-TEMPORADA</v>
      </c>
      <c r="H1581" t="str" cm="1">
        <f t="array" ref="H1581">IFERROR(VLOOKUP(INPUT!M1576&amp;INPUT!N1576,CHOOSE({1,2},INPUT!$A$3:$A$5000&amp;INPUT!$C$3:$C$5000,INPUT!$D$3:$D$5000),2,FALSE),"")</f>
        <v>MATINAL</v>
      </c>
      <c r="I1581" s="46">
        <f>IF(INPUT!P1576="","",INPUT!P1576)</f>
        <v>68</v>
      </c>
      <c r="J1581" s="46">
        <f>IF(INPUT!Q1576="","",INPUT!Q1576)</f>
        <v>67.5</v>
      </c>
      <c r="K1581" s="46">
        <f>IFERROR(IF(OR(INPUT!P1576="",INPUT!Q1576=""),"",INPUT!P1576-INPUT!Q1576),"")</f>
        <v>0.5</v>
      </c>
      <c r="L1581" s="48">
        <f>IFERROR(IF(OR(INPUT!P1576="",INPUT!Q1576="",INPUT!P1576=0),"",(INPUT!P1576-INPUT!Q1576)/INPUT!P1576),"")</f>
        <v>7.3529411764705881E-3</v>
      </c>
    </row>
    <row r="1582" spans="1:12" ht="18" customHeight="1" x14ac:dyDescent="0.2">
      <c r="A1582" s="11">
        <f>IF(INPUT!M1577="","",INPUT!M1577)</f>
        <v>46018</v>
      </c>
      <c r="B1582" s="11">
        <f>IF(INPUT!M1577="","",INPUT!M1577-WEEKDAY(INPUT!M1577,2)+1)</f>
        <v>46013</v>
      </c>
      <c r="C1582" s="20">
        <f>IFERROR(_xlfn.ISOWEEKNUM(INPUT!M1577),"")</f>
        <v>52</v>
      </c>
      <c r="D1582" s="20">
        <f>IFERROR(YEAR(INPUT!M1577),"")</f>
        <v>2025</v>
      </c>
      <c r="E1582" t="str">
        <f>IF(INPUT!O1577="","",INPUT!O1577)</f>
        <v>CARLOS</v>
      </c>
      <c r="F1582" t="str">
        <f>IF(INPUT!N1577="","",INPUT!N1577)</f>
        <v>T</v>
      </c>
      <c r="G1582" t="str" cm="1">
        <f t="array" ref="G1582">IFERROR(VLOOKUP(INPUT!M1577&amp;INPUT!N1577,CHOOSE({1,2},INPUT!$A$3:$A$5000&amp;INPUT!$C$3:$C$5000,INPUT!$F$3:$F$5000),2,FALSE),"")</f>
        <v>PRE-TEMPORADA</v>
      </c>
      <c r="H1582" t="str" cm="1">
        <f t="array" ref="H1582">IFERROR(VLOOKUP(INPUT!M1577&amp;INPUT!N1577,CHOOSE({1,2},INPUT!$A$3:$A$5000&amp;INPUT!$C$3:$C$5000,INPUT!$D$3:$D$5000),2,FALSE),"")</f>
        <v>PARTIDO</v>
      </c>
      <c r="I1582" s="46">
        <f>IF(INPUT!P1577="","",INPUT!P1577)</f>
        <v>68</v>
      </c>
      <c r="J1582" s="46">
        <f>IF(INPUT!Q1577="","",INPUT!Q1577)</f>
        <v>67.400000000000006</v>
      </c>
      <c r="K1582" s="46">
        <f>IFERROR(IF(OR(INPUT!P1577="",INPUT!Q1577=""),"",INPUT!P1577-INPUT!Q1577),"")</f>
        <v>0.59999999999999432</v>
      </c>
      <c r="L1582" s="48">
        <f>IFERROR(IF(OR(INPUT!P1577="",INPUT!Q1577="",INPUT!P1577=0),"",(INPUT!P1577-INPUT!Q1577)/INPUT!P1577),"")</f>
        <v>8.8235294117646225E-3</v>
      </c>
    </row>
    <row r="1583" spans="1:12" ht="18" customHeight="1" x14ac:dyDescent="0.2">
      <c r="A1583" s="11">
        <f>IF(INPUT!M1578="","",INPUT!M1578)</f>
        <v>46018</v>
      </c>
      <c r="B1583" s="11">
        <f>IF(INPUT!M1578="","",INPUT!M1578-WEEKDAY(INPUT!M1578,2)+1)</f>
        <v>46013</v>
      </c>
      <c r="C1583" s="20">
        <f>IFERROR(_xlfn.ISOWEEKNUM(INPUT!M1578),"")</f>
        <v>52</v>
      </c>
      <c r="D1583" s="20">
        <f>IFERROR(YEAR(INPUT!M1578),"")</f>
        <v>2025</v>
      </c>
      <c r="E1583" t="str">
        <f>IF(INPUT!O1578="","",INPUT!O1578)</f>
        <v>RUBIO</v>
      </c>
      <c r="F1583" t="str">
        <f>IF(INPUT!N1578="","",INPUT!N1578)</f>
        <v>M</v>
      </c>
      <c r="G1583" t="str" cm="1">
        <f t="array" ref="G1583">IFERROR(VLOOKUP(INPUT!M1578&amp;INPUT!N1578,CHOOSE({1,2},INPUT!$A$3:$A$5000&amp;INPUT!$C$3:$C$5000,INPUT!$F$3:$F$5000),2,FALSE),"")</f>
        <v>PRE-TEMPORADA</v>
      </c>
      <c r="H1583" t="str" cm="1">
        <f t="array" ref="H1583">IFERROR(VLOOKUP(INPUT!M1578&amp;INPUT!N1578,CHOOSE({1,2},INPUT!$A$3:$A$5000&amp;INPUT!$C$3:$C$5000,INPUT!$D$3:$D$5000),2,FALSE),"")</f>
        <v>MATINAL</v>
      </c>
      <c r="I1583" s="46">
        <f>IF(INPUT!P1578="","",INPUT!P1578)</f>
        <v>75.8</v>
      </c>
      <c r="J1583" s="46">
        <f>IF(INPUT!Q1578="","",INPUT!Q1578)</f>
        <v>75.8</v>
      </c>
      <c r="K1583" s="46">
        <f>IFERROR(IF(OR(INPUT!P1578="",INPUT!Q1578=""),"",INPUT!P1578-INPUT!Q1578),"")</f>
        <v>0</v>
      </c>
      <c r="L1583" s="48">
        <f>IFERROR(IF(OR(INPUT!P1578="",INPUT!Q1578="",INPUT!P1578=0),"",(INPUT!P1578-INPUT!Q1578)/INPUT!P1578),"")</f>
        <v>0</v>
      </c>
    </row>
    <row r="1584" spans="1:12" ht="18" customHeight="1" x14ac:dyDescent="0.2">
      <c r="A1584" s="11">
        <f>IF(INPUT!M1579="","",INPUT!M1579)</f>
        <v>46018</v>
      </c>
      <c r="B1584" s="11">
        <f>IF(INPUT!M1579="","",INPUT!M1579-WEEKDAY(INPUT!M1579,2)+1)</f>
        <v>46013</v>
      </c>
      <c r="C1584" s="20">
        <f>IFERROR(_xlfn.ISOWEEKNUM(INPUT!M1579),"")</f>
        <v>52</v>
      </c>
      <c r="D1584" s="20">
        <f>IFERROR(YEAR(INPUT!M1579),"")</f>
        <v>2025</v>
      </c>
      <c r="E1584" t="str">
        <f>IF(INPUT!O1579="","",INPUT!O1579)</f>
        <v>DANI</v>
      </c>
      <c r="F1584" t="str">
        <f>IF(INPUT!N1579="","",INPUT!N1579)</f>
        <v>M</v>
      </c>
      <c r="G1584" t="str" cm="1">
        <f t="array" ref="G1584">IFERROR(VLOOKUP(INPUT!M1579&amp;INPUT!N1579,CHOOSE({1,2},INPUT!$A$3:$A$5000&amp;INPUT!$C$3:$C$5000,INPUT!$F$3:$F$5000),2,FALSE),"")</f>
        <v>PRE-TEMPORADA</v>
      </c>
      <c r="H1584" t="str" cm="1">
        <f t="array" ref="H1584">IFERROR(VLOOKUP(INPUT!M1579&amp;INPUT!N1579,CHOOSE({1,2},INPUT!$A$3:$A$5000&amp;INPUT!$C$3:$C$5000,INPUT!$D$3:$D$5000),2,FALSE),"")</f>
        <v>MATINAL</v>
      </c>
      <c r="I1584" s="46">
        <f>IF(INPUT!P1579="","",INPUT!P1579)</f>
        <v>91.1</v>
      </c>
      <c r="J1584" s="46">
        <f>IF(INPUT!Q1579="","",INPUT!Q1579)</f>
        <v>90.5</v>
      </c>
      <c r="K1584" s="46">
        <f>IFERROR(IF(OR(INPUT!P1579="",INPUT!Q1579=""),"",INPUT!P1579-INPUT!Q1579),"")</f>
        <v>0.59999999999999432</v>
      </c>
      <c r="L1584" s="48">
        <f>IFERROR(IF(OR(INPUT!P1579="",INPUT!Q1579="",INPUT!P1579=0),"",(INPUT!P1579-INPUT!Q1579)/INPUT!P1579),"")</f>
        <v>6.5861690450054267E-3</v>
      </c>
    </row>
    <row r="1585" spans="1:12" ht="18" customHeight="1" x14ac:dyDescent="0.2">
      <c r="A1585" s="11">
        <f>IF(INPUT!M1580="","",INPUT!M1580)</f>
        <v>46018</v>
      </c>
      <c r="B1585" s="11">
        <f>IF(INPUT!M1580="","",INPUT!M1580-WEEKDAY(INPUT!M1580,2)+1)</f>
        <v>46013</v>
      </c>
      <c r="C1585" s="20">
        <f>IFERROR(_xlfn.ISOWEEKNUM(INPUT!M1580),"")</f>
        <v>52</v>
      </c>
      <c r="D1585" s="20">
        <f>IFERROR(YEAR(INPUT!M1580),"")</f>
        <v>2025</v>
      </c>
      <c r="E1585" t="str">
        <f>IF(INPUT!O1580="","",INPUT!O1580)</f>
        <v>DANI</v>
      </c>
      <c r="F1585" t="str">
        <f>IF(INPUT!N1580="","",INPUT!N1580)</f>
        <v>T</v>
      </c>
      <c r="G1585" t="str" cm="1">
        <f t="array" ref="G1585">IFERROR(VLOOKUP(INPUT!M1580&amp;INPUT!N1580,CHOOSE({1,2},INPUT!$A$3:$A$5000&amp;INPUT!$C$3:$C$5000,INPUT!$F$3:$F$5000),2,FALSE),"")</f>
        <v>PRE-TEMPORADA</v>
      </c>
      <c r="H1585" t="str" cm="1">
        <f t="array" ref="H1585">IFERROR(VLOOKUP(INPUT!M1580&amp;INPUT!N1580,CHOOSE({1,2},INPUT!$A$3:$A$5000&amp;INPUT!$C$3:$C$5000,INPUT!$D$3:$D$5000),2,FALSE),"")</f>
        <v>PARTIDO</v>
      </c>
      <c r="I1585" s="46">
        <f>IF(INPUT!P1580="","",INPUT!P1580)</f>
        <v>91.6</v>
      </c>
      <c r="J1585" s="46">
        <f>IF(INPUT!Q1580="","",INPUT!Q1580)</f>
        <v>91</v>
      </c>
      <c r="K1585" s="46">
        <f>IFERROR(IF(OR(INPUT!P1580="",INPUT!Q1580=""),"",INPUT!P1580-INPUT!Q1580),"")</f>
        <v>0.59999999999999432</v>
      </c>
      <c r="L1585" s="48">
        <f>IFERROR(IF(OR(INPUT!P1580="",INPUT!Q1580="",INPUT!P1580=0),"",(INPUT!P1580-INPUT!Q1580)/INPUT!P1580),"")</f>
        <v>6.5502183406112918E-3</v>
      </c>
    </row>
    <row r="1586" spans="1:12" ht="18" customHeight="1" x14ac:dyDescent="0.2">
      <c r="A1586" s="11">
        <f>IF(INPUT!M1581="","",INPUT!M1581)</f>
        <v>46018</v>
      </c>
      <c r="B1586" s="11">
        <f>IF(INPUT!M1581="","",INPUT!M1581-WEEKDAY(INPUT!M1581,2)+1)</f>
        <v>46013</v>
      </c>
      <c r="C1586" s="20">
        <f>IFERROR(_xlfn.ISOWEEKNUM(INPUT!M1581),"")</f>
        <v>52</v>
      </c>
      <c r="D1586" s="20">
        <f>IFERROR(YEAR(INPUT!M1581),"")</f>
        <v>2025</v>
      </c>
      <c r="E1586" t="str">
        <f>IF(INPUT!O1581="","",INPUT!O1581)</f>
        <v>JAIME</v>
      </c>
      <c r="F1586" t="str">
        <f>IF(INPUT!N1581="","",INPUT!N1581)</f>
        <v>M</v>
      </c>
      <c r="G1586" t="str" cm="1">
        <f t="array" ref="G1586">IFERROR(VLOOKUP(INPUT!M1581&amp;INPUT!N1581,CHOOSE({1,2},INPUT!$A$3:$A$5000&amp;INPUT!$C$3:$C$5000,INPUT!$F$3:$F$5000),2,FALSE),"")</f>
        <v>PRE-TEMPORADA</v>
      </c>
      <c r="H1586" t="str" cm="1">
        <f t="array" ref="H1586">IFERROR(VLOOKUP(INPUT!M1581&amp;INPUT!N1581,CHOOSE({1,2},INPUT!$A$3:$A$5000&amp;INPUT!$C$3:$C$5000,INPUT!$D$3:$D$5000),2,FALSE),"")</f>
        <v>MATINAL</v>
      </c>
      <c r="I1586" s="46">
        <f>IF(INPUT!P1581="","",INPUT!P1581)</f>
        <v>75.2</v>
      </c>
      <c r="J1586" s="46">
        <f>IF(INPUT!Q1581="","",INPUT!Q1581)</f>
        <v>75.3</v>
      </c>
      <c r="K1586" s="46">
        <f>IFERROR(IF(OR(INPUT!P1581="",INPUT!Q1581=""),"",INPUT!P1581-INPUT!Q1581),"")</f>
        <v>-9.9999999999994316E-2</v>
      </c>
      <c r="L1586" s="48">
        <f>IFERROR(IF(OR(INPUT!P1581="",INPUT!Q1581="",INPUT!P1581=0),"",(INPUT!P1581-INPUT!Q1581)/INPUT!P1581),"")</f>
        <v>-1.3297872340424775E-3</v>
      </c>
    </row>
    <row r="1587" spans="1:12" ht="18" customHeight="1" x14ac:dyDescent="0.2">
      <c r="A1587" s="11">
        <f>IF(INPUT!M1582="","",INPUT!M1582)</f>
        <v>46018</v>
      </c>
      <c r="B1587" s="11">
        <f>IF(INPUT!M1582="","",INPUT!M1582-WEEKDAY(INPUT!M1582,2)+1)</f>
        <v>46013</v>
      </c>
      <c r="C1587" s="20">
        <f>IFERROR(_xlfn.ISOWEEKNUM(INPUT!M1582),"")</f>
        <v>52</v>
      </c>
      <c r="D1587" s="20">
        <f>IFERROR(YEAR(INPUT!M1582),"")</f>
        <v>2025</v>
      </c>
      <c r="E1587" t="str">
        <f>IF(INPUT!O1582="","",INPUT!O1582)</f>
        <v>JAIME</v>
      </c>
      <c r="F1587" t="str">
        <f>IF(INPUT!N1582="","",INPUT!N1582)</f>
        <v>T</v>
      </c>
      <c r="G1587" t="str" cm="1">
        <f t="array" ref="G1587">IFERROR(VLOOKUP(INPUT!M1582&amp;INPUT!N1582,CHOOSE({1,2},INPUT!$A$3:$A$5000&amp;INPUT!$C$3:$C$5000,INPUT!$F$3:$F$5000),2,FALSE),"")</f>
        <v>PRE-TEMPORADA</v>
      </c>
      <c r="H1587" t="str" cm="1">
        <f t="array" ref="H1587">IFERROR(VLOOKUP(INPUT!M1582&amp;INPUT!N1582,CHOOSE({1,2},INPUT!$A$3:$A$5000&amp;INPUT!$C$3:$C$5000,INPUT!$D$3:$D$5000),2,FALSE),"")</f>
        <v>PARTIDO</v>
      </c>
      <c r="I1587" s="46">
        <f>IF(INPUT!P1582="","",INPUT!P1582)</f>
        <v>75.7</v>
      </c>
      <c r="J1587" s="46">
        <f>IF(INPUT!Q1582="","",INPUT!Q1582)</f>
        <v>75.8</v>
      </c>
      <c r="K1587" s="46">
        <f>IFERROR(IF(OR(INPUT!P1582="",INPUT!Q1582=""),"",INPUT!P1582-INPUT!Q1582),"")</f>
        <v>-9.9999999999994316E-2</v>
      </c>
      <c r="L1587" s="48">
        <f>IFERROR(IF(OR(INPUT!P1582="",INPUT!Q1582="",INPUT!P1582=0),"",(INPUT!P1582-INPUT!Q1582)/INPUT!P1582),"")</f>
        <v>-1.3210039630118138E-3</v>
      </c>
    </row>
    <row r="1588" spans="1:12" ht="18" hidden="1" customHeight="1" x14ac:dyDescent="0.2">
      <c r="A1588" s="11">
        <f>IF(INPUT!M1583="","",INPUT!M1583)</f>
        <v>46020</v>
      </c>
      <c r="B1588" s="11">
        <f>IF(INPUT!M1583="","",INPUT!M1583-WEEKDAY(INPUT!M1583,2)+1)</f>
        <v>46020</v>
      </c>
      <c r="C1588" s="20">
        <f>IFERROR(_xlfn.ISOWEEKNUM(INPUT!M1583),"")</f>
        <v>1</v>
      </c>
      <c r="D1588" s="20">
        <f>IFERROR(YEAR(INPUT!M1583),"")</f>
        <v>2025</v>
      </c>
      <c r="E1588" t="str">
        <f>IF(INPUT!O1583="","",INPUT!O1583)</f>
        <v>HERRERO</v>
      </c>
      <c r="F1588" t="str">
        <f>IF(INPUT!N1583="","",INPUT!N1583)</f>
        <v>M</v>
      </c>
      <c r="G1588" t="str" cm="1">
        <f t="array" ref="G1588">IFERROR(VLOOKUP(INPUT!M1583&amp;INPUT!N1583,CHOOSE({1,2},INPUT!$A$3:$A$5000&amp;INPUT!$C$3:$C$5000,INPUT!$F$3:$F$5000),2,FALSE),"")</f>
        <v>PRE-TEMPORADA</v>
      </c>
      <c r="H1588" t="str" cm="1">
        <f t="array" ref="H1588">IFERROR(VLOOKUP(INPUT!M1583&amp;INPUT!N1583,CHOOSE({1,2},INPUT!$A$3:$A$5000&amp;INPUT!$C$3:$C$5000,INPUT!$D$3:$D$5000),2,FALSE),"")</f>
        <v>GYM+TEC-TAC</v>
      </c>
      <c r="I1588" s="46">
        <f>IF(INPUT!P1583="","",INPUT!P1583)</f>
        <v>76.900000000000006</v>
      </c>
      <c r="J1588" s="46">
        <f>IF(INPUT!Q1583="","",INPUT!Q1583)</f>
        <v>76.099999999999994</v>
      </c>
      <c r="K1588" s="46">
        <f>IFERROR(IF(OR(INPUT!P1583="",INPUT!Q1583=""),"",INPUT!P1583-INPUT!Q1583),"")</f>
        <v>0.80000000000001137</v>
      </c>
      <c r="L1588" s="48">
        <f>IFERROR(IF(OR(INPUT!P1583="",INPUT!Q1583="",INPUT!P1583=0),"",(INPUT!P1583-INPUT!Q1583)/INPUT!P1583),"")</f>
        <v>1.0403120936281032E-2</v>
      </c>
    </row>
    <row r="1589" spans="1:12" ht="18" hidden="1" customHeight="1" x14ac:dyDescent="0.2">
      <c r="A1589" s="11">
        <f>IF(INPUT!M1584="","",INPUT!M1584)</f>
        <v>46020</v>
      </c>
      <c r="B1589" s="11">
        <f>IF(INPUT!M1584="","",INPUT!M1584-WEEKDAY(INPUT!M1584,2)+1)</f>
        <v>46020</v>
      </c>
      <c r="C1589" s="20">
        <f>IFERROR(_xlfn.ISOWEEKNUM(INPUT!M1584),"")</f>
        <v>1</v>
      </c>
      <c r="D1589" s="20">
        <f>IFERROR(YEAR(INPUT!M1584),"")</f>
        <v>2025</v>
      </c>
      <c r="E1589" t="str">
        <f>IF(INPUT!O1584="","",INPUT!O1584)</f>
        <v>GARCIA</v>
      </c>
      <c r="F1589" t="str">
        <f>IF(INPUT!N1584="","",INPUT!N1584)</f>
        <v>M</v>
      </c>
      <c r="G1589" t="str" cm="1">
        <f t="array" ref="G1589">IFERROR(VLOOKUP(INPUT!M1584&amp;INPUT!N1584,CHOOSE({1,2},INPUT!$A$3:$A$5000&amp;INPUT!$C$3:$C$5000,INPUT!$F$3:$F$5000),2,FALSE),"")</f>
        <v>PRE-TEMPORADA</v>
      </c>
      <c r="H1589" t="str" cm="1">
        <f t="array" ref="H1589">IFERROR(VLOOKUP(INPUT!M1584&amp;INPUT!N1584,CHOOSE({1,2},INPUT!$A$3:$A$5000&amp;INPUT!$C$3:$C$5000,INPUT!$D$3:$D$5000),2,FALSE),"")</f>
        <v>GYM+TEC-TAC</v>
      </c>
      <c r="I1589" s="46">
        <f>IF(INPUT!P1584="","",INPUT!P1584)</f>
        <v>79.2</v>
      </c>
      <c r="J1589" s="46">
        <f>IF(INPUT!Q1584="","",INPUT!Q1584)</f>
        <v>79</v>
      </c>
      <c r="K1589" s="46">
        <f>IFERROR(IF(OR(INPUT!P1584="",INPUT!Q1584=""),"",INPUT!P1584-INPUT!Q1584),"")</f>
        <v>0.20000000000000284</v>
      </c>
      <c r="L1589" s="48">
        <f>IFERROR(IF(OR(INPUT!P1584="",INPUT!Q1584="",INPUT!P1584=0),"",(INPUT!P1584-INPUT!Q1584)/INPUT!P1584),"")</f>
        <v>2.525252525252561E-3</v>
      </c>
    </row>
    <row r="1590" spans="1:12" ht="18" hidden="1" customHeight="1" x14ac:dyDescent="0.2">
      <c r="A1590" s="11">
        <f>IF(INPUT!M1585="","",INPUT!M1585)</f>
        <v>46020</v>
      </c>
      <c r="B1590" s="11">
        <f>IF(INPUT!M1585="","",INPUT!M1585-WEEKDAY(INPUT!M1585,2)+1)</f>
        <v>46020</v>
      </c>
      <c r="C1590" s="20">
        <f>IFERROR(_xlfn.ISOWEEKNUM(INPUT!M1585),"")</f>
        <v>1</v>
      </c>
      <c r="D1590" s="20">
        <f>IFERROR(YEAR(INPUT!M1585),"")</f>
        <v>2025</v>
      </c>
      <c r="E1590" t="str">
        <f>IF(INPUT!O1585="","",INPUT!O1585)</f>
        <v>CECILIO</v>
      </c>
      <c r="F1590" t="str">
        <f>IF(INPUT!N1585="","",INPUT!N1585)</f>
        <v>M</v>
      </c>
      <c r="G1590" t="str" cm="1">
        <f t="array" ref="G1590">IFERROR(VLOOKUP(INPUT!M1585&amp;INPUT!N1585,CHOOSE({1,2},INPUT!$A$3:$A$5000&amp;INPUT!$C$3:$C$5000,INPUT!$F$3:$F$5000),2,FALSE),"")</f>
        <v>PRE-TEMPORADA</v>
      </c>
      <c r="H1590" t="str" cm="1">
        <f t="array" ref="H1590">IFERROR(VLOOKUP(INPUT!M1585&amp;INPUT!N1585,CHOOSE({1,2},INPUT!$A$3:$A$5000&amp;INPUT!$C$3:$C$5000,INPUT!$D$3:$D$5000),2,FALSE),"")</f>
        <v>GYM+TEC-TAC</v>
      </c>
      <c r="I1590" s="46">
        <f>IF(INPUT!P1585="","",INPUT!P1585)</f>
        <v>67.8</v>
      </c>
      <c r="J1590" s="46">
        <f>IF(INPUT!Q1585="","",INPUT!Q1585)</f>
        <v>66.8</v>
      </c>
      <c r="K1590" s="46">
        <f>IFERROR(IF(OR(INPUT!P1585="",INPUT!Q1585=""),"",INPUT!P1585-INPUT!Q1585),"")</f>
        <v>1</v>
      </c>
      <c r="L1590" s="48">
        <f>IFERROR(IF(OR(INPUT!P1585="",INPUT!Q1585="",INPUT!P1585=0),"",(INPUT!P1585-INPUT!Q1585)/INPUT!P1585),"")</f>
        <v>1.4749262536873156E-2</v>
      </c>
    </row>
    <row r="1591" spans="1:12" ht="18" hidden="1" customHeight="1" x14ac:dyDescent="0.2">
      <c r="A1591" s="11">
        <f>IF(INPUT!M1586="","",INPUT!M1586)</f>
        <v>46020</v>
      </c>
      <c r="B1591" s="11">
        <f>IF(INPUT!M1586="","",INPUT!M1586-WEEKDAY(INPUT!M1586,2)+1)</f>
        <v>46020</v>
      </c>
      <c r="C1591" s="20">
        <f>IFERROR(_xlfn.ISOWEEKNUM(INPUT!M1586),"")</f>
        <v>1</v>
      </c>
      <c r="D1591" s="20">
        <f>IFERROR(YEAR(INPUT!M1586),"")</f>
        <v>2025</v>
      </c>
      <c r="E1591" t="str">
        <f>IF(INPUT!O1586="","",INPUT!O1586)</f>
        <v>CHAGUINHA</v>
      </c>
      <c r="F1591" t="str">
        <f>IF(INPUT!N1586="","",INPUT!N1586)</f>
        <v>M</v>
      </c>
      <c r="G1591" t="str" cm="1">
        <f t="array" ref="G1591">IFERROR(VLOOKUP(INPUT!M1586&amp;INPUT!N1586,CHOOSE({1,2},INPUT!$A$3:$A$5000&amp;INPUT!$C$3:$C$5000,INPUT!$F$3:$F$5000),2,FALSE),"")</f>
        <v>PRE-TEMPORADA</v>
      </c>
      <c r="H1591" t="str" cm="1">
        <f t="array" ref="H1591">IFERROR(VLOOKUP(INPUT!M1586&amp;INPUT!N1586,CHOOSE({1,2},INPUT!$A$3:$A$5000&amp;INPUT!$C$3:$C$5000,INPUT!$D$3:$D$5000),2,FALSE),"")</f>
        <v>GYM+TEC-TAC</v>
      </c>
      <c r="I1591" s="46">
        <f>IF(INPUT!P1586="","",INPUT!P1586)</f>
        <v>69</v>
      </c>
      <c r="J1591" s="46">
        <f>IF(INPUT!Q1586="","",INPUT!Q1586)</f>
        <v>68.5</v>
      </c>
      <c r="K1591" s="46">
        <f>IFERROR(IF(OR(INPUT!P1586="",INPUT!Q1586=""),"",INPUT!P1586-INPUT!Q1586),"")</f>
        <v>0.5</v>
      </c>
      <c r="L1591" s="48">
        <f>IFERROR(IF(OR(INPUT!P1586="",INPUT!Q1586="",INPUT!P1586=0),"",(INPUT!P1586-INPUT!Q1586)/INPUT!P1586),"")</f>
        <v>7.246376811594203E-3</v>
      </c>
    </row>
    <row r="1592" spans="1:12" ht="18" hidden="1" customHeight="1" x14ac:dyDescent="0.2">
      <c r="A1592" s="11">
        <f>IF(INPUT!M1587="","",INPUT!M1587)</f>
        <v>46020</v>
      </c>
      <c r="B1592" s="11">
        <f>IF(INPUT!M1587="","",INPUT!M1587-WEEKDAY(INPUT!M1587,2)+1)</f>
        <v>46020</v>
      </c>
      <c r="C1592" s="20">
        <f>IFERROR(_xlfn.ISOWEEKNUM(INPUT!M1587),"")</f>
        <v>1</v>
      </c>
      <c r="D1592" s="20">
        <f>IFERROR(YEAR(INPUT!M1587),"")</f>
        <v>2025</v>
      </c>
      <c r="E1592" t="str">
        <f>IF(INPUT!O1587="","",INPUT!O1587)</f>
        <v>RAUL</v>
      </c>
      <c r="F1592" t="str">
        <f>IF(INPUT!N1587="","",INPUT!N1587)</f>
        <v>M</v>
      </c>
      <c r="G1592" t="str" cm="1">
        <f t="array" ref="G1592">IFERROR(VLOOKUP(INPUT!M1587&amp;INPUT!N1587,CHOOSE({1,2},INPUT!$A$3:$A$5000&amp;INPUT!$C$3:$C$5000,INPUT!$F$3:$F$5000),2,FALSE),"")</f>
        <v>PRE-TEMPORADA</v>
      </c>
      <c r="H1592" t="str" cm="1">
        <f t="array" ref="H1592">IFERROR(VLOOKUP(INPUT!M1587&amp;INPUT!N1587,CHOOSE({1,2},INPUT!$A$3:$A$5000&amp;INPUT!$C$3:$C$5000,INPUT!$D$3:$D$5000),2,FALSE),"")</f>
        <v>GYM+TEC-TAC</v>
      </c>
      <c r="I1592" s="46">
        <f>IF(INPUT!P1587="","",INPUT!P1587)</f>
        <v>79.900000000000006</v>
      </c>
      <c r="J1592" s="46">
        <f>IF(INPUT!Q1587="","",INPUT!Q1587)</f>
        <v>80.8</v>
      </c>
      <c r="K1592" s="46">
        <f>IFERROR(IF(OR(INPUT!P1587="",INPUT!Q1587=""),"",INPUT!P1587-INPUT!Q1587),"")</f>
        <v>-0.89999999999999147</v>
      </c>
      <c r="L1592" s="48">
        <f>IFERROR(IF(OR(INPUT!P1587="",INPUT!Q1587="",INPUT!P1587=0),"",(INPUT!P1587-INPUT!Q1587)/INPUT!P1587),"")</f>
        <v>-1.1264080100125048E-2</v>
      </c>
    </row>
    <row r="1593" spans="1:12" ht="18" hidden="1" customHeight="1" x14ac:dyDescent="0.2">
      <c r="A1593" s="11">
        <f>IF(INPUT!M1588="","",INPUT!M1588)</f>
        <v>46020</v>
      </c>
      <c r="B1593" s="11">
        <f>IF(INPUT!M1588="","",INPUT!M1588-WEEKDAY(INPUT!M1588,2)+1)</f>
        <v>46020</v>
      </c>
      <c r="C1593" s="20">
        <f>IFERROR(_xlfn.ISOWEEKNUM(INPUT!M1588),"")</f>
        <v>1</v>
      </c>
      <c r="D1593" s="20">
        <f>IFERROR(YEAR(INPUT!M1588),"")</f>
        <v>2025</v>
      </c>
      <c r="E1593" t="str">
        <f>IF(INPUT!O1588="","",INPUT!O1588)</f>
        <v>HARRISON</v>
      </c>
      <c r="F1593" t="str">
        <f>IF(INPUT!N1588="","",INPUT!N1588)</f>
        <v>M</v>
      </c>
      <c r="G1593" t="str" cm="1">
        <f t="array" ref="G1593">IFERROR(VLOOKUP(INPUT!M1588&amp;INPUT!N1588,CHOOSE({1,2},INPUT!$A$3:$A$5000&amp;INPUT!$C$3:$C$5000,INPUT!$F$3:$F$5000),2,FALSE),"")</f>
        <v>PRE-TEMPORADA</v>
      </c>
      <c r="H1593" t="str" cm="1">
        <f t="array" ref="H1593">IFERROR(VLOOKUP(INPUT!M1588&amp;INPUT!N1588,CHOOSE({1,2},INPUT!$A$3:$A$5000&amp;INPUT!$C$3:$C$5000,INPUT!$D$3:$D$5000),2,FALSE),"")</f>
        <v>GYM+TEC-TAC</v>
      </c>
      <c r="I1593" s="46">
        <f>IF(INPUT!P1588="","",INPUT!P1588)</f>
        <v>81.599999999999994</v>
      </c>
      <c r="J1593" s="46">
        <f>IF(INPUT!Q1588="","",INPUT!Q1588)</f>
        <v>80.5</v>
      </c>
      <c r="K1593" s="46">
        <f>IFERROR(IF(OR(INPUT!P1588="",INPUT!Q1588=""),"",INPUT!P1588-INPUT!Q1588),"")</f>
        <v>1.0999999999999943</v>
      </c>
      <c r="L1593" s="48">
        <f>IFERROR(IF(OR(INPUT!P1588="",INPUT!Q1588="",INPUT!P1588=0),"",(INPUT!P1588-INPUT!Q1588)/INPUT!P1588),"")</f>
        <v>1.3480392156862676E-2</v>
      </c>
    </row>
    <row r="1594" spans="1:12" ht="18" hidden="1" customHeight="1" x14ac:dyDescent="0.2">
      <c r="A1594" s="11">
        <f>IF(INPUT!M1589="","",INPUT!M1589)</f>
        <v>46020</v>
      </c>
      <c r="B1594" s="11">
        <f>IF(INPUT!M1589="","",INPUT!M1589-WEEKDAY(INPUT!M1589,2)+1)</f>
        <v>46020</v>
      </c>
      <c r="C1594" s="20">
        <f>IFERROR(_xlfn.ISOWEEKNUM(INPUT!M1589),"")</f>
        <v>1</v>
      </c>
      <c r="D1594" s="20">
        <f>IFERROR(YEAR(INPUT!M1589),"")</f>
        <v>2025</v>
      </c>
      <c r="E1594" t="str">
        <f>IF(INPUT!O1589="","",INPUT!O1589)</f>
        <v>RAYA</v>
      </c>
      <c r="F1594" t="str">
        <f>IF(INPUT!N1589="","",INPUT!N1589)</f>
        <v>M</v>
      </c>
      <c r="G1594" t="str" cm="1">
        <f t="array" ref="G1594">IFERROR(VLOOKUP(INPUT!M1589&amp;INPUT!N1589,CHOOSE({1,2},INPUT!$A$3:$A$5000&amp;INPUT!$C$3:$C$5000,INPUT!$F$3:$F$5000),2,FALSE),"")</f>
        <v>PRE-TEMPORADA</v>
      </c>
      <c r="H1594" t="str" cm="1">
        <f t="array" ref="H1594">IFERROR(VLOOKUP(INPUT!M1589&amp;INPUT!N1589,CHOOSE({1,2},INPUT!$A$3:$A$5000&amp;INPUT!$C$3:$C$5000,INPUT!$D$3:$D$5000),2,FALSE),"")</f>
        <v>GYM+TEC-TAC</v>
      </c>
      <c r="I1594" s="46">
        <f>IF(INPUT!P1589="","",INPUT!P1589)</f>
        <v>79.5</v>
      </c>
      <c r="J1594" s="46">
        <f>IF(INPUT!Q1589="","",INPUT!Q1589)</f>
        <v>79.599999999999994</v>
      </c>
      <c r="K1594" s="46">
        <f>IFERROR(IF(OR(INPUT!P1589="",INPUT!Q1589=""),"",INPUT!P1589-INPUT!Q1589),"")</f>
        <v>-9.9999999999994316E-2</v>
      </c>
      <c r="L1594" s="48">
        <f>IFERROR(IF(OR(INPUT!P1589="",INPUT!Q1589="",INPUT!P1589=0),"",(INPUT!P1589-INPUT!Q1589)/INPUT!P1589),"")</f>
        <v>-1.2578616352200544E-3</v>
      </c>
    </row>
    <row r="1595" spans="1:12" ht="18" hidden="1" customHeight="1" x14ac:dyDescent="0.2">
      <c r="A1595" s="11">
        <f>IF(INPUT!M1590="","",INPUT!M1590)</f>
        <v>46020</v>
      </c>
      <c r="B1595" s="11">
        <f>IF(INPUT!M1590="","",INPUT!M1590-WEEKDAY(INPUT!M1590,2)+1)</f>
        <v>46020</v>
      </c>
      <c r="C1595" s="20">
        <f>IFERROR(_xlfn.ISOWEEKNUM(INPUT!M1590),"")</f>
        <v>1</v>
      </c>
      <c r="D1595" s="20">
        <f>IFERROR(YEAR(INPUT!M1590),"")</f>
        <v>2025</v>
      </c>
      <c r="E1595" t="str">
        <f>IF(INPUT!O1590="","",INPUT!O1590)</f>
        <v>JAVI</v>
      </c>
      <c r="F1595" t="str">
        <f>IF(INPUT!N1590="","",INPUT!N1590)</f>
        <v>M</v>
      </c>
      <c r="G1595" t="str" cm="1">
        <f t="array" ref="G1595">IFERROR(VLOOKUP(INPUT!M1590&amp;INPUT!N1590,CHOOSE({1,2},INPUT!$A$3:$A$5000&amp;INPUT!$C$3:$C$5000,INPUT!$F$3:$F$5000),2,FALSE),"")</f>
        <v>PRE-TEMPORADA</v>
      </c>
      <c r="H1595" t="str" cm="1">
        <f t="array" ref="H1595">IFERROR(VLOOKUP(INPUT!M1590&amp;INPUT!N1590,CHOOSE({1,2},INPUT!$A$3:$A$5000&amp;INPUT!$C$3:$C$5000,INPUT!$D$3:$D$5000),2,FALSE),"")</f>
        <v>GYM+TEC-TAC</v>
      </c>
      <c r="I1595" s="46">
        <f>IF(INPUT!P1590="","",INPUT!P1590)</f>
        <v>79.5</v>
      </c>
      <c r="J1595" s="46">
        <f>IF(INPUT!Q1590="","",INPUT!Q1590)</f>
        <v>79.599999999999994</v>
      </c>
      <c r="K1595" s="46">
        <f>IFERROR(IF(OR(INPUT!P1590="",INPUT!Q1590=""),"",INPUT!P1590-INPUT!Q1590),"")</f>
        <v>-9.9999999999994316E-2</v>
      </c>
      <c r="L1595" s="48">
        <f>IFERROR(IF(OR(INPUT!P1590="",INPUT!Q1590="",INPUT!P1590=0),"",(INPUT!P1590-INPUT!Q1590)/INPUT!P1590),"")</f>
        <v>-1.2578616352200544E-3</v>
      </c>
    </row>
    <row r="1596" spans="1:12" ht="18" hidden="1" customHeight="1" x14ac:dyDescent="0.2">
      <c r="A1596" s="11">
        <f>IF(INPUT!M1591="","",INPUT!M1591)</f>
        <v>46020</v>
      </c>
      <c r="B1596" s="11">
        <f>IF(INPUT!M1591="","",INPUT!M1591-WEEKDAY(INPUT!M1591,2)+1)</f>
        <v>46020</v>
      </c>
      <c r="C1596" s="20">
        <f>IFERROR(_xlfn.ISOWEEKNUM(INPUT!M1591),"")</f>
        <v>1</v>
      </c>
      <c r="D1596" s="20">
        <f>IFERROR(YEAR(INPUT!M1591),"")</f>
        <v>2025</v>
      </c>
      <c r="E1596" t="str">
        <f>IF(INPUT!O1591="","",INPUT!O1591)</f>
        <v>PANI</v>
      </c>
      <c r="F1596" t="str">
        <f>IF(INPUT!N1591="","",INPUT!N1591)</f>
        <v>M</v>
      </c>
      <c r="G1596" t="str" cm="1">
        <f t="array" ref="G1596">IFERROR(VLOOKUP(INPUT!M1591&amp;INPUT!N1591,CHOOSE({1,2},INPUT!$A$3:$A$5000&amp;INPUT!$C$3:$C$5000,INPUT!$F$3:$F$5000),2,FALSE),"")</f>
        <v>PRE-TEMPORADA</v>
      </c>
      <c r="H1596" t="str" cm="1">
        <f t="array" ref="H1596">IFERROR(VLOOKUP(INPUT!M1591&amp;INPUT!N1591,CHOOSE({1,2},INPUT!$A$3:$A$5000&amp;INPUT!$C$3:$C$5000,INPUT!$D$3:$D$5000),2,FALSE),"")</f>
        <v>GYM+TEC-TAC</v>
      </c>
      <c r="I1596" s="46">
        <f>IF(INPUT!P1591="","",INPUT!P1591)</f>
        <v>67.400000000000006</v>
      </c>
      <c r="J1596" s="46">
        <f>IF(INPUT!Q1591="","",INPUT!Q1591)</f>
        <v>69.099999999999994</v>
      </c>
      <c r="K1596" s="46">
        <f>IFERROR(IF(OR(INPUT!P1591="",INPUT!Q1591=""),"",INPUT!P1591-INPUT!Q1591),"")</f>
        <v>-1.6999999999999886</v>
      </c>
      <c r="L1596" s="48">
        <f>IFERROR(IF(OR(INPUT!P1591="",INPUT!Q1591="",INPUT!P1591=0),"",(INPUT!P1591-INPUT!Q1591)/INPUT!P1591),"")</f>
        <v>-2.5222551928783213E-2</v>
      </c>
    </row>
    <row r="1597" spans="1:12" ht="18" hidden="1" customHeight="1" x14ac:dyDescent="0.2">
      <c r="A1597" s="11">
        <f>IF(INPUT!M1592="","",INPUT!M1592)</f>
        <v>46020</v>
      </c>
      <c r="B1597" s="11">
        <f>IF(INPUT!M1592="","",INPUT!M1592-WEEKDAY(INPUT!M1592,2)+1)</f>
        <v>46020</v>
      </c>
      <c r="C1597" s="20">
        <f>IFERROR(_xlfn.ISOWEEKNUM(INPUT!M1592),"")</f>
        <v>1</v>
      </c>
      <c r="D1597" s="20">
        <f>IFERROR(YEAR(INPUT!M1592),"")</f>
        <v>2025</v>
      </c>
      <c r="E1597" t="str">
        <f>IF(INPUT!O1592="","",INPUT!O1592)</f>
        <v>PIRATA</v>
      </c>
      <c r="F1597" t="str">
        <f>IF(INPUT!N1592="","",INPUT!N1592)</f>
        <v>M</v>
      </c>
      <c r="G1597" t="str" cm="1">
        <f t="array" ref="G1597">IFERROR(VLOOKUP(INPUT!M1592&amp;INPUT!N1592,CHOOSE({1,2},INPUT!$A$3:$A$5000&amp;INPUT!$C$3:$C$5000,INPUT!$F$3:$F$5000),2,FALSE),"")</f>
        <v>PRE-TEMPORADA</v>
      </c>
      <c r="H1597" t="str" cm="1">
        <f t="array" ref="H1597">IFERROR(VLOOKUP(INPUT!M1592&amp;INPUT!N1592,CHOOSE({1,2},INPUT!$A$3:$A$5000&amp;INPUT!$C$3:$C$5000,INPUT!$D$3:$D$5000),2,FALSE),"")</f>
        <v>GYM+TEC-TAC</v>
      </c>
      <c r="I1597" s="46">
        <f>IF(INPUT!P1592="","",INPUT!P1592)</f>
        <v>75</v>
      </c>
      <c r="J1597" s="46">
        <f>IF(INPUT!Q1592="","",INPUT!Q1592)</f>
        <v>75.099999999999994</v>
      </c>
      <c r="K1597" s="46">
        <f>IFERROR(IF(OR(INPUT!P1592="",INPUT!Q1592=""),"",INPUT!P1592-INPUT!Q1592),"")</f>
        <v>-9.9999999999994316E-2</v>
      </c>
      <c r="L1597" s="48">
        <f>IFERROR(IF(OR(INPUT!P1592="",INPUT!Q1592="",INPUT!P1592=0),"",(INPUT!P1592-INPUT!Q1592)/INPUT!P1592),"")</f>
        <v>-1.3333333333332576E-3</v>
      </c>
    </row>
    <row r="1598" spans="1:12" ht="18" hidden="1" customHeight="1" x14ac:dyDescent="0.2">
      <c r="A1598" s="11">
        <f>IF(INPUT!M1593="","",INPUT!M1593)</f>
        <v>46020</v>
      </c>
      <c r="B1598" s="11">
        <f>IF(INPUT!M1593="","",INPUT!M1593-WEEKDAY(INPUT!M1593,2)+1)</f>
        <v>46020</v>
      </c>
      <c r="C1598" s="20">
        <f>IFERROR(_xlfn.ISOWEEKNUM(INPUT!M1593),"")</f>
        <v>1</v>
      </c>
      <c r="D1598" s="20">
        <f>IFERROR(YEAR(INPUT!M1593),"")</f>
        <v>2025</v>
      </c>
      <c r="E1598" t="str">
        <f>IF(INPUT!O1593="","",INPUT!O1593)</f>
        <v>BARONA</v>
      </c>
      <c r="F1598" t="str">
        <f>IF(INPUT!N1593="","",INPUT!N1593)</f>
        <v>M</v>
      </c>
      <c r="G1598" t="str" cm="1">
        <f t="array" ref="G1598">IFERROR(VLOOKUP(INPUT!M1593&amp;INPUT!N1593,CHOOSE({1,2},INPUT!$A$3:$A$5000&amp;INPUT!$C$3:$C$5000,INPUT!$F$3:$F$5000),2,FALSE),"")</f>
        <v>PRE-TEMPORADA</v>
      </c>
      <c r="H1598" t="str" cm="1">
        <f t="array" ref="H1598">IFERROR(VLOOKUP(INPUT!M1593&amp;INPUT!N1593,CHOOSE({1,2},INPUT!$A$3:$A$5000&amp;INPUT!$C$3:$C$5000,INPUT!$D$3:$D$5000),2,FALSE),"")</f>
        <v>GYM+TEC-TAC</v>
      </c>
      <c r="I1598" s="46">
        <f>IF(INPUT!P1593="","",INPUT!P1593)</f>
        <v>70.900000000000006</v>
      </c>
      <c r="J1598" s="46">
        <f>IF(INPUT!Q1593="","",INPUT!Q1593)</f>
        <v>70.2</v>
      </c>
      <c r="K1598" s="46">
        <f>IFERROR(IF(OR(INPUT!P1593="",INPUT!Q1593=""),"",INPUT!P1593-INPUT!Q1593),"")</f>
        <v>0.70000000000000284</v>
      </c>
      <c r="L1598" s="48">
        <f>IFERROR(IF(OR(INPUT!P1593="",INPUT!Q1593="",INPUT!P1593=0),"",(INPUT!P1593-INPUT!Q1593)/INPUT!P1593),"")</f>
        <v>9.8730606488011668E-3</v>
      </c>
    </row>
    <row r="1599" spans="1:12" ht="18" hidden="1" customHeight="1" x14ac:dyDescent="0.2">
      <c r="A1599" s="11">
        <f>IF(INPUT!M1594="","",INPUT!M1594)</f>
        <v>46020</v>
      </c>
      <c r="B1599" s="11">
        <f>IF(INPUT!M1594="","",INPUT!M1594-WEEKDAY(INPUT!M1594,2)+1)</f>
        <v>46020</v>
      </c>
      <c r="C1599" s="20">
        <f>IFERROR(_xlfn.ISOWEEKNUM(INPUT!M1594),"")</f>
        <v>1</v>
      </c>
      <c r="D1599" s="20">
        <f>IFERROR(YEAR(INPUT!M1594),"")</f>
        <v>2025</v>
      </c>
      <c r="E1599" t="str">
        <f>IF(INPUT!O1594="","",INPUT!O1594)</f>
        <v>CARLOS</v>
      </c>
      <c r="F1599" t="str">
        <f>IF(INPUT!N1594="","",INPUT!N1594)</f>
        <v>M</v>
      </c>
      <c r="G1599" t="str" cm="1">
        <f t="array" ref="G1599">IFERROR(VLOOKUP(INPUT!M1594&amp;INPUT!N1594,CHOOSE({1,2},INPUT!$A$3:$A$5000&amp;INPUT!$C$3:$C$5000,INPUT!$F$3:$F$5000),2,FALSE),"")</f>
        <v>PRE-TEMPORADA</v>
      </c>
      <c r="H1599" t="str" cm="1">
        <f t="array" ref="H1599">IFERROR(VLOOKUP(INPUT!M1594&amp;INPUT!N1594,CHOOSE({1,2},INPUT!$A$3:$A$5000&amp;INPUT!$C$3:$C$5000,INPUT!$D$3:$D$5000),2,FALSE),"")</f>
        <v>GYM+TEC-TAC</v>
      </c>
      <c r="I1599" s="46">
        <f>IF(INPUT!P1594="","",INPUT!P1594)</f>
        <v>67.2</v>
      </c>
      <c r="J1599" s="46">
        <f>IF(INPUT!Q1594="","",INPUT!Q1594)</f>
        <v>66.599999999999994</v>
      </c>
      <c r="K1599" s="46">
        <f>IFERROR(IF(OR(INPUT!P1594="",INPUT!Q1594=""),"",INPUT!P1594-INPUT!Q1594),"")</f>
        <v>0.60000000000000853</v>
      </c>
      <c r="L1599" s="48">
        <f>IFERROR(IF(OR(INPUT!P1594="",INPUT!Q1594="",INPUT!P1594=0),"",(INPUT!P1594-INPUT!Q1594)/INPUT!P1594),"")</f>
        <v>8.9285714285715547E-3</v>
      </c>
    </row>
    <row r="1600" spans="1:12" ht="18" hidden="1" customHeight="1" x14ac:dyDescent="0.2">
      <c r="A1600" s="11">
        <f>IF(INPUT!M1595="","",INPUT!M1595)</f>
        <v>46020</v>
      </c>
      <c r="B1600" s="11">
        <f>IF(INPUT!M1595="","",INPUT!M1595-WEEKDAY(INPUT!M1595,2)+1)</f>
        <v>46020</v>
      </c>
      <c r="C1600" s="20">
        <f>IFERROR(_xlfn.ISOWEEKNUM(INPUT!M1595),"")</f>
        <v>1</v>
      </c>
      <c r="D1600" s="20">
        <f>IFERROR(YEAR(INPUT!M1595),"")</f>
        <v>2025</v>
      </c>
      <c r="E1600" t="str">
        <f>IF(INPUT!O1595="","",INPUT!O1595)</f>
        <v>DANI</v>
      </c>
      <c r="F1600" t="str">
        <f>IF(INPUT!N1595="","",INPUT!N1595)</f>
        <v>M</v>
      </c>
      <c r="G1600" t="str" cm="1">
        <f t="array" ref="G1600">IFERROR(VLOOKUP(INPUT!M1595&amp;INPUT!N1595,CHOOSE({1,2},INPUT!$A$3:$A$5000&amp;INPUT!$C$3:$C$5000,INPUT!$F$3:$F$5000),2,FALSE),"")</f>
        <v>PRE-TEMPORADA</v>
      </c>
      <c r="H1600" t="str" cm="1">
        <f t="array" ref="H1600">IFERROR(VLOOKUP(INPUT!M1595&amp;INPUT!N1595,CHOOSE({1,2},INPUT!$A$3:$A$5000&amp;INPUT!$C$3:$C$5000,INPUT!$D$3:$D$5000),2,FALSE),"")</f>
        <v>GYM+TEC-TAC</v>
      </c>
      <c r="I1600" s="46">
        <f>IF(INPUT!P1595="","",INPUT!P1595)</f>
        <v>90.9</v>
      </c>
      <c r="J1600" s="46">
        <f>IF(INPUT!Q1595="","",INPUT!Q1595)</f>
        <v>90.4</v>
      </c>
      <c r="K1600" s="46">
        <f>IFERROR(IF(OR(INPUT!P1595="",INPUT!Q1595=""),"",INPUT!P1595-INPUT!Q1595),"")</f>
        <v>0.5</v>
      </c>
      <c r="L1600" s="48">
        <f>IFERROR(IF(OR(INPUT!P1595="",INPUT!Q1595="",INPUT!P1595=0),"",(INPUT!P1595-INPUT!Q1595)/INPUT!P1595),"")</f>
        <v>5.5005500550055E-3</v>
      </c>
    </row>
    <row r="1601" spans="1:12" ht="18" hidden="1" customHeight="1" x14ac:dyDescent="0.2">
      <c r="A1601" s="11">
        <f>IF(INPUT!M1596="","",INPUT!M1596)</f>
        <v>46020</v>
      </c>
      <c r="B1601" s="11">
        <f>IF(INPUT!M1596="","",INPUT!M1596-WEEKDAY(INPUT!M1596,2)+1)</f>
        <v>46020</v>
      </c>
      <c r="C1601" s="20">
        <f>IFERROR(_xlfn.ISOWEEKNUM(INPUT!M1596),"")</f>
        <v>1</v>
      </c>
      <c r="D1601" s="20">
        <f>IFERROR(YEAR(INPUT!M1596),"")</f>
        <v>2025</v>
      </c>
      <c r="E1601" t="str">
        <f>IF(INPUT!O1596="","",INPUT!O1596)</f>
        <v>JAIME</v>
      </c>
      <c r="F1601" t="str">
        <f>IF(INPUT!N1596="","",INPUT!N1596)</f>
        <v>M</v>
      </c>
      <c r="G1601" t="str" cm="1">
        <f t="array" ref="G1601">IFERROR(VLOOKUP(INPUT!M1596&amp;INPUT!N1596,CHOOSE({1,2},INPUT!$A$3:$A$5000&amp;INPUT!$C$3:$C$5000,INPUT!$F$3:$F$5000),2,FALSE),"")</f>
        <v>PRE-TEMPORADA</v>
      </c>
      <c r="H1601" t="str" cm="1">
        <f t="array" ref="H1601">IFERROR(VLOOKUP(INPUT!M1596&amp;INPUT!N1596,CHOOSE({1,2},INPUT!$A$3:$A$5000&amp;INPUT!$C$3:$C$5000,INPUT!$D$3:$D$5000),2,FALSE),"")</f>
        <v>GYM+TEC-TAC</v>
      </c>
      <c r="I1601" s="46">
        <f>IF(INPUT!P1596="","",INPUT!P1596)</f>
        <v>74.7</v>
      </c>
      <c r="J1601" s="46">
        <f>IF(INPUT!Q1596="","",INPUT!Q1596)</f>
        <v>74.7</v>
      </c>
      <c r="K1601" s="46">
        <f>IFERROR(IF(OR(INPUT!P1596="",INPUT!Q1596=""),"",INPUT!P1596-INPUT!Q1596),"")</f>
        <v>0</v>
      </c>
      <c r="L1601" s="48">
        <f>IFERROR(IF(OR(INPUT!P1596="",INPUT!Q1596="",INPUT!P1596=0),"",(INPUT!P1596-INPUT!Q1596)/INPUT!P1596),"")</f>
        <v>0</v>
      </c>
    </row>
    <row r="1602" spans="1:12" ht="18" hidden="1" customHeight="1" x14ac:dyDescent="0.2">
      <c r="A1602" s="11">
        <f>IF(INPUT!M1597="","",INPUT!M1597)</f>
        <v>46021</v>
      </c>
      <c r="B1602" s="11">
        <f>IF(INPUT!M1597="","",INPUT!M1597-WEEKDAY(INPUT!M1597,2)+1)</f>
        <v>46020</v>
      </c>
      <c r="C1602" s="20">
        <f>IFERROR(_xlfn.ISOWEEKNUM(INPUT!M1597),"")</f>
        <v>1</v>
      </c>
      <c r="D1602" s="20">
        <f>IFERROR(YEAR(INPUT!M1597),"")</f>
        <v>2025</v>
      </c>
      <c r="E1602" t="str">
        <f>IF(INPUT!O1597="","",INPUT!O1597)</f>
        <v>HERRERO</v>
      </c>
      <c r="F1602" t="str">
        <f>IF(INPUT!N1597="","",INPUT!N1597)</f>
        <v>M</v>
      </c>
      <c r="G1602" t="str" cm="1">
        <f t="array" ref="G1602">IFERROR(VLOOKUP(INPUT!M1597&amp;INPUT!N1597,CHOOSE({1,2},INPUT!$A$3:$A$5000&amp;INPUT!$C$3:$C$5000,INPUT!$F$3:$F$5000),2,FALSE),"")</f>
        <v>PRE-TEMPORADA</v>
      </c>
      <c r="H1602" t="str" cm="1">
        <f t="array" ref="H1602">IFERROR(VLOOKUP(INPUT!M1597&amp;INPUT!N1597,CHOOSE({1,2},INPUT!$A$3:$A$5000&amp;INPUT!$C$3:$C$5000,INPUT!$D$3:$D$5000),2,FALSE),"")</f>
        <v>TEC-TAC</v>
      </c>
      <c r="I1602" s="46">
        <f>IF(INPUT!P1597="","",INPUT!P1597)</f>
        <v>77</v>
      </c>
      <c r="J1602" s="46">
        <f>IF(INPUT!Q1597="","",INPUT!Q1597)</f>
        <v>77</v>
      </c>
      <c r="K1602" s="46">
        <f>IFERROR(IF(OR(INPUT!P1597="",INPUT!Q1597=""),"",INPUT!P1597-INPUT!Q1597),"")</f>
        <v>0</v>
      </c>
      <c r="L1602" s="48">
        <f>IFERROR(IF(OR(INPUT!P1597="",INPUT!Q1597="",INPUT!P1597=0),"",(INPUT!P1597-INPUT!Q1597)/INPUT!P1597),"")</f>
        <v>0</v>
      </c>
    </row>
    <row r="1603" spans="1:12" ht="18" customHeight="1" x14ac:dyDescent="0.2">
      <c r="A1603" s="11">
        <f>IF(INPUT!M1598="","",INPUT!M1598)</f>
        <v>46021</v>
      </c>
      <c r="B1603" s="11">
        <f>IF(INPUT!M1598="","",INPUT!M1598-WEEKDAY(INPUT!M1598,2)+1)</f>
        <v>46020</v>
      </c>
      <c r="C1603" s="20">
        <f>IFERROR(_xlfn.ISOWEEKNUM(INPUT!M1598),"")</f>
        <v>1</v>
      </c>
      <c r="D1603" s="20">
        <f>IFERROR(YEAR(INPUT!M1598),"")</f>
        <v>2025</v>
      </c>
      <c r="E1603" t="str">
        <f>IF(INPUT!O1598="","",INPUT!O1598)</f>
        <v>GARCIA</v>
      </c>
      <c r="F1603" t="str">
        <f>IF(INPUT!N1598="","",INPUT!N1598)</f>
        <v>M</v>
      </c>
      <c r="G1603" t="str" cm="1">
        <f t="array" ref="G1603">IFERROR(VLOOKUP(INPUT!M1598&amp;INPUT!N1598,CHOOSE({1,2},INPUT!$A$3:$A$5000&amp;INPUT!$C$3:$C$5000,INPUT!$F$3:$F$5000),2,FALSE),"")</f>
        <v>PRE-TEMPORADA</v>
      </c>
      <c r="H1603" t="str" cm="1">
        <f t="array" ref="H1603">IFERROR(VLOOKUP(INPUT!M1598&amp;INPUT!N1598,CHOOSE({1,2},INPUT!$A$3:$A$5000&amp;INPUT!$C$3:$C$5000,INPUT!$D$3:$D$5000),2,FALSE),"")</f>
        <v>TEC-TAC</v>
      </c>
      <c r="I1603" s="46">
        <f>IF(INPUT!P1598="","",INPUT!P1598)</f>
        <v>79.2</v>
      </c>
      <c r="J1603" s="46">
        <f>IF(INPUT!Q1598="","",INPUT!Q1598)</f>
        <v>79</v>
      </c>
      <c r="K1603" s="46">
        <f>IFERROR(IF(OR(INPUT!P1598="",INPUT!Q1598=""),"",INPUT!P1598-INPUT!Q1598),"")</f>
        <v>0.20000000000000284</v>
      </c>
      <c r="L1603" s="48">
        <f>IFERROR(IF(OR(INPUT!P1598="",INPUT!Q1598="",INPUT!P1598=0),"",(INPUT!P1598-INPUT!Q1598)/INPUT!P1598),"")</f>
        <v>2.525252525252561E-3</v>
      </c>
    </row>
    <row r="1604" spans="1:12" ht="18" customHeight="1" x14ac:dyDescent="0.2">
      <c r="A1604" s="11">
        <f>IF(INPUT!M1599="","",INPUT!M1599)</f>
        <v>46021</v>
      </c>
      <c r="B1604" s="11">
        <f>IF(INPUT!M1599="","",INPUT!M1599-WEEKDAY(INPUT!M1599,2)+1)</f>
        <v>46020</v>
      </c>
      <c r="C1604" s="20">
        <f>IFERROR(_xlfn.ISOWEEKNUM(INPUT!M1599),"")</f>
        <v>1</v>
      </c>
      <c r="D1604" s="20">
        <f>IFERROR(YEAR(INPUT!M1599),"")</f>
        <v>2025</v>
      </c>
      <c r="E1604" t="str">
        <f>IF(INPUT!O1599="","",INPUT!O1599)</f>
        <v>CECILIO</v>
      </c>
      <c r="F1604" t="str">
        <f>IF(INPUT!N1599="","",INPUT!N1599)</f>
        <v>M</v>
      </c>
      <c r="G1604" t="str" cm="1">
        <f t="array" ref="G1604">IFERROR(VLOOKUP(INPUT!M1599&amp;INPUT!N1599,CHOOSE({1,2},INPUT!$A$3:$A$5000&amp;INPUT!$C$3:$C$5000,INPUT!$F$3:$F$5000),2,FALSE),"")</f>
        <v>PRE-TEMPORADA</v>
      </c>
      <c r="H1604" t="str" cm="1">
        <f t="array" ref="H1604">IFERROR(VLOOKUP(INPUT!M1599&amp;INPUT!N1599,CHOOSE({1,2},INPUT!$A$3:$A$5000&amp;INPUT!$C$3:$C$5000,INPUT!$D$3:$D$5000),2,FALSE),"")</f>
        <v>TEC-TAC</v>
      </c>
      <c r="I1604" s="46">
        <f>IF(INPUT!P1599="","",INPUT!P1599)</f>
        <v>66.5</v>
      </c>
      <c r="J1604" s="46">
        <f>IF(INPUT!Q1599="","",INPUT!Q1599)</f>
        <v>67.2</v>
      </c>
      <c r="K1604" s="46">
        <f>IFERROR(IF(OR(INPUT!P1599="",INPUT!Q1599=""),"",INPUT!P1599-INPUT!Q1599),"")</f>
        <v>-0.70000000000000284</v>
      </c>
      <c r="L1604" s="48">
        <f>IFERROR(IF(OR(INPUT!P1599="",INPUT!Q1599="",INPUT!P1599=0),"",(INPUT!P1599-INPUT!Q1599)/INPUT!P1599),"")</f>
        <v>-1.0526315789473727E-2</v>
      </c>
    </row>
    <row r="1605" spans="1:12" ht="18" customHeight="1" x14ac:dyDescent="0.2">
      <c r="A1605" s="11">
        <f>IF(INPUT!M1600="","",INPUT!M1600)</f>
        <v>46021</v>
      </c>
      <c r="B1605" s="11">
        <f>IF(INPUT!M1600="","",INPUT!M1600-WEEKDAY(INPUT!M1600,2)+1)</f>
        <v>46020</v>
      </c>
      <c r="C1605" s="20">
        <f>IFERROR(_xlfn.ISOWEEKNUM(INPUT!M1600),"")</f>
        <v>1</v>
      </c>
      <c r="D1605" s="20">
        <f>IFERROR(YEAR(INPUT!M1600),"")</f>
        <v>2025</v>
      </c>
      <c r="E1605" t="str">
        <f>IF(INPUT!O1600="","",INPUT!O1600)</f>
        <v>CHAGUINHA</v>
      </c>
      <c r="F1605" t="str">
        <f>IF(INPUT!N1600="","",INPUT!N1600)</f>
        <v>M</v>
      </c>
      <c r="G1605" t="str" cm="1">
        <f t="array" ref="G1605">IFERROR(VLOOKUP(INPUT!M1600&amp;INPUT!N1600,CHOOSE({1,2},INPUT!$A$3:$A$5000&amp;INPUT!$C$3:$C$5000,INPUT!$F$3:$F$5000),2,FALSE),"")</f>
        <v>PRE-TEMPORADA</v>
      </c>
      <c r="H1605" t="str" cm="1">
        <f t="array" ref="H1605">IFERROR(VLOOKUP(INPUT!M1600&amp;INPUT!N1600,CHOOSE({1,2},INPUT!$A$3:$A$5000&amp;INPUT!$C$3:$C$5000,INPUT!$D$3:$D$5000),2,FALSE),"")</f>
        <v>TEC-TAC</v>
      </c>
      <c r="I1605" s="46">
        <f>IF(INPUT!P1600="","",INPUT!P1600)</f>
        <v>69</v>
      </c>
      <c r="J1605" s="46">
        <f>IF(INPUT!Q1600="","",INPUT!Q1600)</f>
        <v>68.3</v>
      </c>
      <c r="K1605" s="46">
        <f>IFERROR(IF(OR(INPUT!P1600="",INPUT!Q1600=""),"",INPUT!P1600-INPUT!Q1600),"")</f>
        <v>0.70000000000000284</v>
      </c>
      <c r="L1605" s="48">
        <f>IFERROR(IF(OR(INPUT!P1600="",INPUT!Q1600="",INPUT!P1600=0),"",(INPUT!P1600-INPUT!Q1600)/INPUT!P1600),"")</f>
        <v>1.0144927536231925E-2</v>
      </c>
    </row>
    <row r="1606" spans="1:12" ht="18" hidden="1" customHeight="1" x14ac:dyDescent="0.2">
      <c r="A1606" s="11">
        <f>IF(INPUT!M1601="","",INPUT!M1601)</f>
        <v>46021</v>
      </c>
      <c r="B1606" s="11">
        <f>IF(INPUT!M1601="","",INPUT!M1601-WEEKDAY(INPUT!M1601,2)+1)</f>
        <v>46020</v>
      </c>
      <c r="C1606" s="20">
        <f>IFERROR(_xlfn.ISOWEEKNUM(INPUT!M1601),"")</f>
        <v>1</v>
      </c>
      <c r="D1606" s="20">
        <f>IFERROR(YEAR(INPUT!M1601),"")</f>
        <v>2025</v>
      </c>
      <c r="E1606" t="str">
        <f>IF(INPUT!O1601="","",INPUT!O1601)</f>
        <v>RAUL</v>
      </c>
      <c r="F1606" t="str">
        <f>IF(INPUT!N1601="","",INPUT!N1601)</f>
        <v>M</v>
      </c>
      <c r="G1606" t="str" cm="1">
        <f t="array" ref="G1606">IFERROR(VLOOKUP(INPUT!M1601&amp;INPUT!N1601,CHOOSE({1,2},INPUT!$A$3:$A$5000&amp;INPUT!$C$3:$C$5000,INPUT!$F$3:$F$5000),2,FALSE),"")</f>
        <v>PRE-TEMPORADA</v>
      </c>
      <c r="H1606" t="str" cm="1">
        <f t="array" ref="H1606">IFERROR(VLOOKUP(INPUT!M1601&amp;INPUT!N1601,CHOOSE({1,2},INPUT!$A$3:$A$5000&amp;INPUT!$C$3:$C$5000,INPUT!$D$3:$D$5000),2,FALSE),"")</f>
        <v>TEC-TAC</v>
      </c>
      <c r="I1606" s="46">
        <f>IF(INPUT!P1601="","",INPUT!P1601)</f>
        <v>80</v>
      </c>
      <c r="J1606" s="46">
        <f>IF(INPUT!Q1601="","",INPUT!Q1601)</f>
        <v>81</v>
      </c>
      <c r="K1606" s="46">
        <f>IFERROR(IF(OR(INPUT!P1601="",INPUT!Q1601=""),"",INPUT!P1601-INPUT!Q1601),"")</f>
        <v>-1</v>
      </c>
      <c r="L1606" s="48">
        <f>IFERROR(IF(OR(INPUT!P1601="",INPUT!Q1601="",INPUT!P1601=0),"",(INPUT!P1601-INPUT!Q1601)/INPUT!P1601),"")</f>
        <v>-1.2500000000000001E-2</v>
      </c>
    </row>
    <row r="1607" spans="1:12" ht="18" hidden="1" customHeight="1" x14ac:dyDescent="0.2">
      <c r="A1607" s="11">
        <f>IF(INPUT!M1602="","",INPUT!M1602)</f>
        <v>46021</v>
      </c>
      <c r="B1607" s="11">
        <f>IF(INPUT!M1602="","",INPUT!M1602-WEEKDAY(INPUT!M1602,2)+1)</f>
        <v>46020</v>
      </c>
      <c r="C1607" s="20">
        <f>IFERROR(_xlfn.ISOWEEKNUM(INPUT!M1602),"")</f>
        <v>1</v>
      </c>
      <c r="D1607" s="20">
        <f>IFERROR(YEAR(INPUT!M1602),"")</f>
        <v>2025</v>
      </c>
      <c r="E1607" t="str">
        <f>IF(INPUT!O1602="","",INPUT!O1602)</f>
        <v>HARRISON</v>
      </c>
      <c r="F1607" t="str">
        <f>IF(INPUT!N1602="","",INPUT!N1602)</f>
        <v>M</v>
      </c>
      <c r="G1607" t="str" cm="1">
        <f t="array" ref="G1607">IFERROR(VLOOKUP(INPUT!M1602&amp;INPUT!N1602,CHOOSE({1,2},INPUT!$A$3:$A$5000&amp;INPUT!$C$3:$C$5000,INPUT!$F$3:$F$5000),2,FALSE),"")</f>
        <v>PRE-TEMPORADA</v>
      </c>
      <c r="H1607" t="str" cm="1">
        <f t="array" ref="H1607">IFERROR(VLOOKUP(INPUT!M1602&amp;INPUT!N1602,CHOOSE({1,2},INPUT!$A$3:$A$5000&amp;INPUT!$C$3:$C$5000,INPUT!$D$3:$D$5000),2,FALSE),"")</f>
        <v>TEC-TAC</v>
      </c>
      <c r="I1607" s="46">
        <f>IF(INPUT!P1602="","",INPUT!P1602)</f>
        <v>72</v>
      </c>
      <c r="J1607" s="46">
        <f>IF(INPUT!Q1602="","",INPUT!Q1602)</f>
        <v>71.5</v>
      </c>
      <c r="K1607" s="46">
        <f>IFERROR(IF(OR(INPUT!P1602="",INPUT!Q1602=""),"",INPUT!P1602-INPUT!Q1602),"")</f>
        <v>0.5</v>
      </c>
      <c r="L1607" s="48">
        <f>IFERROR(IF(OR(INPUT!P1602="",INPUT!Q1602="",INPUT!P1602=0),"",(INPUT!P1602-INPUT!Q1602)/INPUT!P1602),"")</f>
        <v>6.9444444444444441E-3</v>
      </c>
    </row>
    <row r="1608" spans="1:12" ht="18" hidden="1" customHeight="1" x14ac:dyDescent="0.2">
      <c r="A1608" s="11">
        <f>IF(INPUT!M1603="","",INPUT!M1603)</f>
        <v>46021</v>
      </c>
      <c r="B1608" s="11">
        <f>IF(INPUT!M1603="","",INPUT!M1603-WEEKDAY(INPUT!M1603,2)+1)</f>
        <v>46020</v>
      </c>
      <c r="C1608" s="20">
        <f>IFERROR(_xlfn.ISOWEEKNUM(INPUT!M1603),"")</f>
        <v>1</v>
      </c>
      <c r="D1608" s="20">
        <f>IFERROR(YEAR(INPUT!M1603),"")</f>
        <v>2025</v>
      </c>
      <c r="E1608" t="str">
        <f>IF(INPUT!O1603="","",INPUT!O1603)</f>
        <v>JAVI</v>
      </c>
      <c r="F1608" t="str">
        <f>IF(INPUT!N1603="","",INPUT!N1603)</f>
        <v>M</v>
      </c>
      <c r="G1608" t="str" cm="1">
        <f t="array" ref="G1608">IFERROR(VLOOKUP(INPUT!M1603&amp;INPUT!N1603,CHOOSE({1,2},INPUT!$A$3:$A$5000&amp;INPUT!$C$3:$C$5000,INPUT!$F$3:$F$5000),2,FALSE),"")</f>
        <v>PRE-TEMPORADA</v>
      </c>
      <c r="H1608" t="str" cm="1">
        <f t="array" ref="H1608">IFERROR(VLOOKUP(INPUT!M1603&amp;INPUT!N1603,CHOOSE({1,2},INPUT!$A$3:$A$5000&amp;INPUT!$C$3:$C$5000,INPUT!$D$3:$D$5000),2,FALSE),"")</f>
        <v>TEC-TAC</v>
      </c>
      <c r="I1608" s="46">
        <f>IF(INPUT!P1603="","",INPUT!P1603)</f>
        <v>78.8</v>
      </c>
      <c r="J1608" s="46">
        <f>IF(INPUT!Q1603="","",INPUT!Q1603)</f>
        <v>78.7</v>
      </c>
      <c r="K1608" s="46">
        <f>IFERROR(IF(OR(INPUT!P1603="",INPUT!Q1603=""),"",INPUT!P1603-INPUT!Q1603),"")</f>
        <v>9.9999999999994316E-2</v>
      </c>
      <c r="L1608" s="48">
        <f>IFERROR(IF(OR(INPUT!P1603="",INPUT!Q1603="",INPUT!P1603=0),"",(INPUT!P1603-INPUT!Q1603)/INPUT!P1603),"")</f>
        <v>1.2690355329948518E-3</v>
      </c>
    </row>
    <row r="1609" spans="1:12" ht="18" hidden="1" customHeight="1" x14ac:dyDescent="0.2">
      <c r="A1609" s="11">
        <f>IF(INPUT!M1604="","",INPUT!M1604)</f>
        <v>46021</v>
      </c>
      <c r="B1609" s="11">
        <f>IF(INPUT!M1604="","",INPUT!M1604-WEEKDAY(INPUT!M1604,2)+1)</f>
        <v>46020</v>
      </c>
      <c r="C1609" s="20">
        <f>IFERROR(_xlfn.ISOWEEKNUM(INPUT!M1604),"")</f>
        <v>1</v>
      </c>
      <c r="D1609" s="20">
        <f>IFERROR(YEAR(INPUT!M1604),"")</f>
        <v>2025</v>
      </c>
      <c r="E1609" t="str">
        <f>IF(INPUT!O1604="","",INPUT!O1604)</f>
        <v>PANI</v>
      </c>
      <c r="F1609" t="str">
        <f>IF(INPUT!N1604="","",INPUT!N1604)</f>
        <v>M</v>
      </c>
      <c r="G1609" t="str" cm="1">
        <f t="array" ref="G1609">IFERROR(VLOOKUP(INPUT!M1604&amp;INPUT!N1604,CHOOSE({1,2},INPUT!$A$3:$A$5000&amp;INPUT!$C$3:$C$5000,INPUT!$F$3:$F$5000),2,FALSE),"")</f>
        <v>PRE-TEMPORADA</v>
      </c>
      <c r="H1609" t="str" cm="1">
        <f t="array" ref="H1609">IFERROR(VLOOKUP(INPUT!M1604&amp;INPUT!N1604,CHOOSE({1,2},INPUT!$A$3:$A$5000&amp;INPUT!$C$3:$C$5000,INPUT!$D$3:$D$5000),2,FALSE),"")</f>
        <v>TEC-TAC</v>
      </c>
      <c r="I1609" s="46">
        <f>IF(INPUT!P1604="","",INPUT!P1604)</f>
        <v>65.900000000000006</v>
      </c>
      <c r="J1609" s="46">
        <f>IF(INPUT!Q1604="","",INPUT!Q1604)</f>
        <v>65.400000000000006</v>
      </c>
      <c r="K1609" s="46">
        <f>IFERROR(IF(OR(INPUT!P1604="",INPUT!Q1604=""),"",INPUT!P1604-INPUT!Q1604),"")</f>
        <v>0.5</v>
      </c>
      <c r="L1609" s="48">
        <f>IFERROR(IF(OR(INPUT!P1604="",INPUT!Q1604="",INPUT!P1604=0),"",(INPUT!P1604-INPUT!Q1604)/INPUT!P1604),"")</f>
        <v>7.5872534142640358E-3</v>
      </c>
    </row>
    <row r="1610" spans="1:12" ht="18" hidden="1" customHeight="1" x14ac:dyDescent="0.2">
      <c r="A1610" s="11">
        <f>IF(INPUT!M1605="","",INPUT!M1605)</f>
        <v>46021</v>
      </c>
      <c r="B1610" s="11">
        <f>IF(INPUT!M1605="","",INPUT!M1605-WEEKDAY(INPUT!M1605,2)+1)</f>
        <v>46020</v>
      </c>
      <c r="C1610" s="20">
        <f>IFERROR(_xlfn.ISOWEEKNUM(INPUT!M1605),"")</f>
        <v>1</v>
      </c>
      <c r="D1610" s="20">
        <f>IFERROR(YEAR(INPUT!M1605),"")</f>
        <v>2025</v>
      </c>
      <c r="E1610" t="str">
        <f>IF(INPUT!O1605="","",INPUT!O1605)</f>
        <v>PIRATA</v>
      </c>
      <c r="F1610" t="str">
        <f>IF(INPUT!N1605="","",INPUT!N1605)</f>
        <v>M</v>
      </c>
      <c r="G1610" t="str" cm="1">
        <f t="array" ref="G1610">IFERROR(VLOOKUP(INPUT!M1605&amp;INPUT!N1605,CHOOSE({1,2},INPUT!$A$3:$A$5000&amp;INPUT!$C$3:$C$5000,INPUT!$F$3:$F$5000),2,FALSE),"")</f>
        <v>PRE-TEMPORADA</v>
      </c>
      <c r="H1610" t="str" cm="1">
        <f t="array" ref="H1610">IFERROR(VLOOKUP(INPUT!M1605&amp;INPUT!N1605,CHOOSE({1,2},INPUT!$A$3:$A$5000&amp;INPUT!$C$3:$C$5000,INPUT!$D$3:$D$5000),2,FALSE),"")</f>
        <v>TEC-TAC</v>
      </c>
      <c r="I1610" s="46">
        <f>IF(INPUT!P1605="","",INPUT!P1605)</f>
        <v>75.400000000000006</v>
      </c>
      <c r="J1610" s="46">
        <f>IF(INPUT!Q1605="","",INPUT!Q1605)</f>
        <v>75.3</v>
      </c>
      <c r="K1610" s="46">
        <f>IFERROR(IF(OR(INPUT!P1605="",INPUT!Q1605=""),"",INPUT!P1605-INPUT!Q1605),"")</f>
        <v>0.10000000000000853</v>
      </c>
      <c r="L1610" s="48">
        <f>IFERROR(IF(OR(INPUT!P1605="",INPUT!Q1605="",INPUT!P1605=0),"",(INPUT!P1605-INPUT!Q1605)/INPUT!P1605),"")</f>
        <v>1.326259946949715E-3</v>
      </c>
    </row>
    <row r="1611" spans="1:12" ht="18" hidden="1" customHeight="1" x14ac:dyDescent="0.2">
      <c r="A1611" s="11">
        <f>IF(INPUT!M1606="","",INPUT!M1606)</f>
        <v>46021</v>
      </c>
      <c r="B1611" s="11">
        <f>IF(INPUT!M1606="","",INPUT!M1606-WEEKDAY(INPUT!M1606,2)+1)</f>
        <v>46020</v>
      </c>
      <c r="C1611" s="20">
        <f>IFERROR(_xlfn.ISOWEEKNUM(INPUT!M1606),"")</f>
        <v>1</v>
      </c>
      <c r="D1611" s="20">
        <f>IFERROR(YEAR(INPUT!M1606),"")</f>
        <v>2025</v>
      </c>
      <c r="E1611" t="str">
        <f>IF(INPUT!O1606="","",INPUT!O1606)</f>
        <v>BARONA</v>
      </c>
      <c r="F1611" t="str">
        <f>IF(INPUT!N1606="","",INPUT!N1606)</f>
        <v>M</v>
      </c>
      <c r="G1611" t="str" cm="1">
        <f t="array" ref="G1611">IFERROR(VLOOKUP(INPUT!M1606&amp;INPUT!N1606,CHOOSE({1,2},INPUT!$A$3:$A$5000&amp;INPUT!$C$3:$C$5000,INPUT!$F$3:$F$5000),2,FALSE),"")</f>
        <v>PRE-TEMPORADA</v>
      </c>
      <c r="H1611" t="str" cm="1">
        <f t="array" ref="H1611">IFERROR(VLOOKUP(INPUT!M1606&amp;INPUT!N1606,CHOOSE({1,2},INPUT!$A$3:$A$5000&amp;INPUT!$C$3:$C$5000,INPUT!$D$3:$D$5000),2,FALSE),"")</f>
        <v>TEC-TAC</v>
      </c>
      <c r="I1611" s="46">
        <f>IF(INPUT!P1606="","",INPUT!P1606)</f>
        <v>71.599999999999994</v>
      </c>
      <c r="J1611" s="46">
        <f>IF(INPUT!Q1606="","",INPUT!Q1606)</f>
        <v>71.400000000000006</v>
      </c>
      <c r="K1611" s="46">
        <f>IFERROR(IF(OR(INPUT!P1606="",INPUT!Q1606=""),"",INPUT!P1606-INPUT!Q1606),"")</f>
        <v>0.19999999999998863</v>
      </c>
      <c r="L1611" s="48">
        <f>IFERROR(IF(OR(INPUT!P1606="",INPUT!Q1606="",INPUT!P1606=0),"",(INPUT!P1606-INPUT!Q1606)/INPUT!P1606),"")</f>
        <v>2.7932960893853162E-3</v>
      </c>
    </row>
    <row r="1612" spans="1:12" ht="18" hidden="1" customHeight="1" x14ac:dyDescent="0.2">
      <c r="A1612" s="11">
        <f>IF(INPUT!M1607="","",INPUT!M1607)</f>
        <v>46021</v>
      </c>
      <c r="B1612" s="11">
        <f>IF(INPUT!M1607="","",INPUT!M1607-WEEKDAY(INPUT!M1607,2)+1)</f>
        <v>46020</v>
      </c>
      <c r="C1612" s="20">
        <f>IFERROR(_xlfn.ISOWEEKNUM(INPUT!M1607),"")</f>
        <v>1</v>
      </c>
      <c r="D1612" s="20">
        <f>IFERROR(YEAR(INPUT!M1607),"")</f>
        <v>2025</v>
      </c>
      <c r="E1612" t="str">
        <f>IF(INPUT!O1607="","",INPUT!O1607)</f>
        <v>CARLOS</v>
      </c>
      <c r="F1612" t="str">
        <f>IF(INPUT!N1607="","",INPUT!N1607)</f>
        <v>M</v>
      </c>
      <c r="G1612" t="str" cm="1">
        <f t="array" ref="G1612">IFERROR(VLOOKUP(INPUT!M1607&amp;INPUT!N1607,CHOOSE({1,2},INPUT!$A$3:$A$5000&amp;INPUT!$C$3:$C$5000,INPUT!$F$3:$F$5000),2,FALSE),"")</f>
        <v>PRE-TEMPORADA</v>
      </c>
      <c r="H1612" t="str" cm="1">
        <f t="array" ref="H1612">IFERROR(VLOOKUP(INPUT!M1607&amp;INPUT!N1607,CHOOSE({1,2},INPUT!$A$3:$A$5000&amp;INPUT!$C$3:$C$5000,INPUT!$D$3:$D$5000),2,FALSE),"")</f>
        <v>TEC-TAC</v>
      </c>
      <c r="I1612" s="46">
        <f>IF(INPUT!P1607="","",INPUT!P1607)</f>
        <v>67.5</v>
      </c>
      <c r="J1612" s="46">
        <f>IF(INPUT!Q1607="","",INPUT!Q1607)</f>
        <v>66.8</v>
      </c>
      <c r="K1612" s="46">
        <f>IFERROR(IF(OR(INPUT!P1607="",INPUT!Q1607=""),"",INPUT!P1607-INPUT!Q1607),"")</f>
        <v>0.70000000000000284</v>
      </c>
      <c r="L1612" s="48">
        <f>IFERROR(IF(OR(INPUT!P1607="",INPUT!Q1607="",INPUT!P1607=0),"",(INPUT!P1607-INPUT!Q1607)/INPUT!P1607),"")</f>
        <v>1.0370370370370412E-2</v>
      </c>
    </row>
    <row r="1613" spans="1:12" ht="18" hidden="1" customHeight="1" x14ac:dyDescent="0.2">
      <c r="A1613" s="11">
        <f>IF(INPUT!M1608="","",INPUT!M1608)</f>
        <v>46021</v>
      </c>
      <c r="B1613" s="11">
        <f>IF(INPUT!M1608="","",INPUT!M1608-WEEKDAY(INPUT!M1608,2)+1)</f>
        <v>46020</v>
      </c>
      <c r="C1613" s="20">
        <f>IFERROR(_xlfn.ISOWEEKNUM(INPUT!M1608),"")</f>
        <v>1</v>
      </c>
      <c r="D1613" s="20">
        <f>IFERROR(YEAR(INPUT!M1608),"")</f>
        <v>2025</v>
      </c>
      <c r="E1613" t="str">
        <f>IF(INPUT!O1608="","",INPUT!O1608)</f>
        <v>DANI</v>
      </c>
      <c r="F1613" t="str">
        <f>IF(INPUT!N1608="","",INPUT!N1608)</f>
        <v>M</v>
      </c>
      <c r="G1613" t="str" cm="1">
        <f t="array" ref="G1613">IFERROR(VLOOKUP(INPUT!M1608&amp;INPUT!N1608,CHOOSE({1,2},INPUT!$A$3:$A$5000&amp;INPUT!$C$3:$C$5000,INPUT!$F$3:$F$5000),2,FALSE),"")</f>
        <v>PRE-TEMPORADA</v>
      </c>
      <c r="H1613" t="str" cm="1">
        <f t="array" ref="H1613">IFERROR(VLOOKUP(INPUT!M1608&amp;INPUT!N1608,CHOOSE({1,2},INPUT!$A$3:$A$5000&amp;INPUT!$C$3:$C$5000,INPUT!$D$3:$D$5000),2,FALSE),"")</f>
        <v>TEC-TAC</v>
      </c>
      <c r="I1613" s="46">
        <f>IF(INPUT!P1608="","",INPUT!P1608)</f>
        <v>91.4</v>
      </c>
      <c r="J1613" s="46">
        <f>IF(INPUT!Q1608="","",INPUT!Q1608)</f>
        <v>90.2</v>
      </c>
      <c r="K1613" s="46">
        <f>IFERROR(IF(OR(INPUT!P1608="",INPUT!Q1608=""),"",INPUT!P1608-INPUT!Q1608),"")</f>
        <v>1.2000000000000028</v>
      </c>
      <c r="L1613" s="48">
        <f>IFERROR(IF(OR(INPUT!P1608="",INPUT!Q1608="",INPUT!P1608=0),"",(INPUT!P1608-INPUT!Q1608)/INPUT!P1608),"")</f>
        <v>1.312910284463898E-2</v>
      </c>
    </row>
    <row r="1614" spans="1:12" ht="18" customHeight="1" x14ac:dyDescent="0.2">
      <c r="A1614" s="11">
        <f>IF(INPUT!M1609="","",INPUT!M1609)</f>
        <v>46021</v>
      </c>
      <c r="B1614" s="11">
        <f>IF(INPUT!M1609="","",INPUT!M1609-WEEKDAY(INPUT!M1609,2)+1)</f>
        <v>46020</v>
      </c>
      <c r="C1614" s="20">
        <f>IFERROR(_xlfn.ISOWEEKNUM(INPUT!M1609),"")</f>
        <v>1</v>
      </c>
      <c r="D1614" s="20">
        <f>IFERROR(YEAR(INPUT!M1609),"")</f>
        <v>2025</v>
      </c>
      <c r="E1614" t="str">
        <f>IF(INPUT!O1609="","",INPUT!O1609)</f>
        <v>JAIME</v>
      </c>
      <c r="F1614" t="str">
        <f>IF(INPUT!N1609="","",INPUT!N1609)</f>
        <v>M</v>
      </c>
      <c r="G1614" t="str" cm="1">
        <f t="array" ref="G1614">IFERROR(VLOOKUP(INPUT!M1609&amp;INPUT!N1609,CHOOSE({1,2},INPUT!$A$3:$A$5000&amp;INPUT!$C$3:$C$5000,INPUT!$F$3:$F$5000),2,FALSE),"")</f>
        <v>PRE-TEMPORADA</v>
      </c>
      <c r="H1614" t="str" cm="1">
        <f t="array" ref="H1614">IFERROR(VLOOKUP(INPUT!M1609&amp;INPUT!N1609,CHOOSE({1,2},INPUT!$A$3:$A$5000&amp;INPUT!$C$3:$C$5000,INPUT!$D$3:$D$5000),2,FALSE),"")</f>
        <v>TEC-TAC</v>
      </c>
      <c r="I1614" s="46">
        <f>IF(INPUT!P1609="","",INPUT!P1609)</f>
        <v>74.900000000000006</v>
      </c>
      <c r="J1614" s="46">
        <f>IF(INPUT!Q1609="","",INPUT!Q1609)</f>
        <v>74.7</v>
      </c>
      <c r="K1614" s="46">
        <f>IFERROR(IF(OR(INPUT!P1609="",INPUT!Q1609=""),"",INPUT!P1609-INPUT!Q1609),"")</f>
        <v>0.20000000000000284</v>
      </c>
      <c r="L1614" s="48">
        <f>IFERROR(IF(OR(INPUT!P1609="",INPUT!Q1609="",INPUT!P1609=0),"",(INPUT!P1609-INPUT!Q1609)/INPUT!P1609),"")</f>
        <v>2.6702269692924275E-3</v>
      </c>
    </row>
    <row r="1615" spans="1:12" ht="18" customHeight="1" x14ac:dyDescent="0.2">
      <c r="A1615" s="11">
        <f>IF(INPUT!M1610="","",INPUT!M1610)</f>
        <v>46022</v>
      </c>
      <c r="B1615" s="11">
        <f>IF(INPUT!M1610="","",INPUT!M1610-WEEKDAY(INPUT!M1610,2)+1)</f>
        <v>46020</v>
      </c>
      <c r="C1615" s="20">
        <f>IFERROR(_xlfn.ISOWEEKNUM(INPUT!M1610),"")</f>
        <v>1</v>
      </c>
      <c r="D1615" s="20">
        <f>IFERROR(YEAR(INPUT!M1610),"")</f>
        <v>2025</v>
      </c>
      <c r="E1615" t="str">
        <f>IF(INPUT!O1610="","",INPUT!O1610)</f>
        <v>HERRERO</v>
      </c>
      <c r="F1615" t="str">
        <f>IF(INPUT!N1610="","",INPUT!N1610)</f>
        <v>M</v>
      </c>
      <c r="G1615" t="str" cm="1">
        <f t="array" ref="G1615">IFERROR(VLOOKUP(INPUT!M1610&amp;INPUT!N1610,CHOOSE({1,2},INPUT!$A$3:$A$5000&amp;INPUT!$C$3:$C$5000,INPUT!$F$3:$F$5000),2,FALSE),"")</f>
        <v>PRE-TEMPORADA</v>
      </c>
      <c r="H1615" t="str" cm="1">
        <f t="array" ref="H1615">IFERROR(VLOOKUP(INPUT!M1610&amp;INPUT!N1610,CHOOSE({1,2},INPUT!$A$3:$A$5000&amp;INPUT!$C$3:$C$5000,INPUT!$D$3:$D$5000),2,FALSE),"")</f>
        <v>TEC-TAC</v>
      </c>
      <c r="I1615" s="46">
        <f>IF(INPUT!P1610="","",INPUT!P1610)</f>
        <v>76.8</v>
      </c>
      <c r="J1615" s="46">
        <f>IF(INPUT!Q1610="","",INPUT!Q1610)</f>
        <v>76.7</v>
      </c>
      <c r="K1615" s="46">
        <f>IFERROR(IF(OR(INPUT!P1610="",INPUT!Q1610=""),"",INPUT!P1610-INPUT!Q1610),"")</f>
        <v>9.9999999999994316E-2</v>
      </c>
      <c r="L1615" s="48">
        <f>IFERROR(IF(OR(INPUT!P1610="",INPUT!Q1610="",INPUT!P1610=0),"",(INPUT!P1610-INPUT!Q1610)/INPUT!P1610),"")</f>
        <v>1.3020833333332593E-3</v>
      </c>
    </row>
    <row r="1616" spans="1:12" ht="18" customHeight="1" x14ac:dyDescent="0.2">
      <c r="A1616" s="11">
        <f>IF(INPUT!M1611="","",INPUT!M1611)</f>
        <v>46022</v>
      </c>
      <c r="B1616" s="11">
        <f>IF(INPUT!M1611="","",INPUT!M1611-WEEKDAY(INPUT!M1611,2)+1)</f>
        <v>46020</v>
      </c>
      <c r="C1616" s="20">
        <f>IFERROR(_xlfn.ISOWEEKNUM(INPUT!M1611),"")</f>
        <v>1</v>
      </c>
      <c r="D1616" s="20">
        <f>IFERROR(YEAR(INPUT!M1611),"")</f>
        <v>2025</v>
      </c>
      <c r="E1616" t="str">
        <f>IF(INPUT!O1611="","",INPUT!O1611)</f>
        <v>GARCIA</v>
      </c>
      <c r="F1616" t="str">
        <f>IF(INPUT!N1611="","",INPUT!N1611)</f>
        <v>M</v>
      </c>
      <c r="G1616" t="str" cm="1">
        <f t="array" ref="G1616">IFERROR(VLOOKUP(INPUT!M1611&amp;INPUT!N1611,CHOOSE({1,2},INPUT!$A$3:$A$5000&amp;INPUT!$C$3:$C$5000,INPUT!$F$3:$F$5000),2,FALSE),"")</f>
        <v>PRE-TEMPORADA</v>
      </c>
      <c r="H1616" t="str" cm="1">
        <f t="array" ref="H1616">IFERROR(VLOOKUP(INPUT!M1611&amp;INPUT!N1611,CHOOSE({1,2},INPUT!$A$3:$A$5000&amp;INPUT!$C$3:$C$5000,INPUT!$D$3:$D$5000),2,FALSE),"")</f>
        <v>TEC-TAC</v>
      </c>
      <c r="I1616" s="46">
        <f>IF(INPUT!P1611="","",INPUT!P1611)</f>
        <v>79</v>
      </c>
      <c r="J1616" s="46">
        <f>IF(INPUT!Q1611="","",INPUT!Q1611)</f>
        <v>79.2</v>
      </c>
      <c r="K1616" s="46">
        <f>IFERROR(IF(OR(INPUT!P1611="",INPUT!Q1611=""),"",INPUT!P1611-INPUT!Q1611),"")</f>
        <v>-0.20000000000000284</v>
      </c>
      <c r="L1616" s="48">
        <f>IFERROR(IF(OR(INPUT!P1611="",INPUT!Q1611="",INPUT!P1611=0),"",(INPUT!P1611-INPUT!Q1611)/INPUT!P1611),"")</f>
        <v>-2.5316455696202892E-3</v>
      </c>
    </row>
    <row r="1617" spans="1:12" ht="18" hidden="1" customHeight="1" x14ac:dyDescent="0.2">
      <c r="A1617" s="11">
        <f>IF(INPUT!M1612="","",INPUT!M1612)</f>
        <v>46022</v>
      </c>
      <c r="B1617" s="11">
        <f>IF(INPUT!M1612="","",INPUT!M1612-WEEKDAY(INPUT!M1612,2)+1)</f>
        <v>46020</v>
      </c>
      <c r="C1617" s="20">
        <f>IFERROR(_xlfn.ISOWEEKNUM(INPUT!M1612),"")</f>
        <v>1</v>
      </c>
      <c r="D1617" s="20">
        <f>IFERROR(YEAR(INPUT!M1612),"")</f>
        <v>2025</v>
      </c>
      <c r="E1617" t="str">
        <f>IF(INPUT!O1612="","",INPUT!O1612)</f>
        <v>CECILIO</v>
      </c>
      <c r="F1617" t="str">
        <f>IF(INPUT!N1612="","",INPUT!N1612)</f>
        <v>M</v>
      </c>
      <c r="G1617" t="str" cm="1">
        <f t="array" ref="G1617">IFERROR(VLOOKUP(INPUT!M1612&amp;INPUT!N1612,CHOOSE({1,2},INPUT!$A$3:$A$5000&amp;INPUT!$C$3:$C$5000,INPUT!$F$3:$F$5000),2,FALSE),"")</f>
        <v>PRE-TEMPORADA</v>
      </c>
      <c r="H1617" t="str" cm="1">
        <f t="array" ref="H1617">IFERROR(VLOOKUP(INPUT!M1612&amp;INPUT!N1612,CHOOSE({1,2},INPUT!$A$3:$A$5000&amp;INPUT!$C$3:$C$5000,INPUT!$D$3:$D$5000),2,FALSE),"")</f>
        <v>TEC-TAC</v>
      </c>
      <c r="I1617" s="46">
        <f>IF(INPUT!P1612="","",INPUT!P1612)</f>
        <v>67.7</v>
      </c>
      <c r="J1617" s="46">
        <f>IF(INPUT!Q1612="","",INPUT!Q1612)</f>
        <v>67.5</v>
      </c>
      <c r="K1617" s="46">
        <f>IFERROR(IF(OR(INPUT!P1612="",INPUT!Q1612=""),"",INPUT!P1612-INPUT!Q1612),"")</f>
        <v>0.20000000000000284</v>
      </c>
      <c r="L1617" s="48">
        <f>IFERROR(IF(OR(INPUT!P1612="",INPUT!Q1612="",INPUT!P1612=0),"",(INPUT!P1612-INPUT!Q1612)/INPUT!P1612),"")</f>
        <v>2.9542097488922132E-3</v>
      </c>
    </row>
    <row r="1618" spans="1:12" ht="18" hidden="1" customHeight="1" x14ac:dyDescent="0.2">
      <c r="A1618" s="11">
        <f>IF(INPUT!M1613="","",INPUT!M1613)</f>
        <v>46022</v>
      </c>
      <c r="B1618" s="11">
        <f>IF(INPUT!M1613="","",INPUT!M1613-WEEKDAY(INPUT!M1613,2)+1)</f>
        <v>46020</v>
      </c>
      <c r="C1618" s="20">
        <f>IFERROR(_xlfn.ISOWEEKNUM(INPUT!M1613),"")</f>
        <v>1</v>
      </c>
      <c r="D1618" s="20">
        <f>IFERROR(YEAR(INPUT!M1613),"")</f>
        <v>2025</v>
      </c>
      <c r="E1618" t="str">
        <f>IF(INPUT!O1613="","",INPUT!O1613)</f>
        <v>CHAGUINHA</v>
      </c>
      <c r="F1618" t="str">
        <f>IF(INPUT!N1613="","",INPUT!N1613)</f>
        <v>M</v>
      </c>
      <c r="G1618" t="str" cm="1">
        <f t="array" ref="G1618">IFERROR(VLOOKUP(INPUT!M1613&amp;INPUT!N1613,CHOOSE({1,2},INPUT!$A$3:$A$5000&amp;INPUT!$C$3:$C$5000,INPUT!$F$3:$F$5000),2,FALSE),"")</f>
        <v>PRE-TEMPORADA</v>
      </c>
      <c r="H1618" t="str" cm="1">
        <f t="array" ref="H1618">IFERROR(VLOOKUP(INPUT!M1613&amp;INPUT!N1613,CHOOSE({1,2},INPUT!$A$3:$A$5000&amp;INPUT!$C$3:$C$5000,INPUT!$D$3:$D$5000),2,FALSE),"")</f>
        <v>TEC-TAC</v>
      </c>
      <c r="I1618" s="46">
        <f>IF(INPUT!P1613="","",INPUT!P1613)</f>
        <v>69</v>
      </c>
      <c r="J1618" s="46">
        <f>IF(INPUT!Q1613="","",INPUT!Q1613)</f>
        <v>69</v>
      </c>
      <c r="K1618" s="46">
        <f>IFERROR(IF(OR(INPUT!P1613="",INPUT!Q1613=""),"",INPUT!P1613-INPUT!Q1613),"")</f>
        <v>0</v>
      </c>
      <c r="L1618" s="48">
        <f>IFERROR(IF(OR(INPUT!P1613="",INPUT!Q1613="",INPUT!P1613=0),"",(INPUT!P1613-INPUT!Q1613)/INPUT!P1613),"")</f>
        <v>0</v>
      </c>
    </row>
    <row r="1619" spans="1:12" ht="18" hidden="1" customHeight="1" x14ac:dyDescent="0.2">
      <c r="A1619" s="11">
        <f>IF(INPUT!M1614="","",INPUT!M1614)</f>
        <v>46022</v>
      </c>
      <c r="B1619" s="11">
        <f>IF(INPUT!M1614="","",INPUT!M1614-WEEKDAY(INPUT!M1614,2)+1)</f>
        <v>46020</v>
      </c>
      <c r="C1619" s="20">
        <f>IFERROR(_xlfn.ISOWEEKNUM(INPUT!M1614),"")</f>
        <v>1</v>
      </c>
      <c r="D1619" s="20">
        <f>IFERROR(YEAR(INPUT!M1614),"")</f>
        <v>2025</v>
      </c>
      <c r="E1619" t="str">
        <f>IF(INPUT!O1614="","",INPUT!O1614)</f>
        <v>RAUL</v>
      </c>
      <c r="F1619" t="str">
        <f>IF(INPUT!N1614="","",INPUT!N1614)</f>
        <v>M</v>
      </c>
      <c r="G1619" t="str" cm="1">
        <f t="array" ref="G1619">IFERROR(VLOOKUP(INPUT!M1614&amp;INPUT!N1614,CHOOSE({1,2},INPUT!$A$3:$A$5000&amp;INPUT!$C$3:$C$5000,INPUT!$F$3:$F$5000),2,FALSE),"")</f>
        <v>PRE-TEMPORADA</v>
      </c>
      <c r="H1619" t="str" cm="1">
        <f t="array" ref="H1619">IFERROR(VLOOKUP(INPUT!M1614&amp;INPUT!N1614,CHOOSE({1,2},INPUT!$A$3:$A$5000&amp;INPUT!$C$3:$C$5000,INPUT!$D$3:$D$5000),2,FALSE),"")</f>
        <v>TEC-TAC</v>
      </c>
      <c r="I1619" s="46">
        <f>IF(INPUT!P1614="","",INPUT!P1614)</f>
        <v>80</v>
      </c>
      <c r="J1619" s="46">
        <f>IF(INPUT!Q1614="","",INPUT!Q1614)</f>
        <v>80.3</v>
      </c>
      <c r="K1619" s="46">
        <f>IFERROR(IF(OR(INPUT!P1614="",INPUT!Q1614=""),"",INPUT!P1614-INPUT!Q1614),"")</f>
        <v>-0.29999999999999716</v>
      </c>
      <c r="L1619" s="48">
        <f>IFERROR(IF(OR(INPUT!P1614="",INPUT!Q1614="",INPUT!P1614=0),"",(INPUT!P1614-INPUT!Q1614)/INPUT!P1614),"")</f>
        <v>-3.7499999999999643E-3</v>
      </c>
    </row>
    <row r="1620" spans="1:12" ht="18" hidden="1" customHeight="1" x14ac:dyDescent="0.2">
      <c r="A1620" s="11">
        <f>IF(INPUT!M1615="","",INPUT!M1615)</f>
        <v>46022</v>
      </c>
      <c r="B1620" s="11">
        <f>IF(INPUT!M1615="","",INPUT!M1615-WEEKDAY(INPUT!M1615,2)+1)</f>
        <v>46020</v>
      </c>
      <c r="C1620" s="20">
        <f>IFERROR(_xlfn.ISOWEEKNUM(INPUT!M1615),"")</f>
        <v>1</v>
      </c>
      <c r="D1620" s="20">
        <f>IFERROR(YEAR(INPUT!M1615),"")</f>
        <v>2025</v>
      </c>
      <c r="E1620" t="str">
        <f>IF(INPUT!O1615="","",INPUT!O1615)</f>
        <v>HARRISON</v>
      </c>
      <c r="F1620" t="str">
        <f>IF(INPUT!N1615="","",INPUT!N1615)</f>
        <v>M</v>
      </c>
      <c r="G1620" t="str" cm="1">
        <f t="array" ref="G1620">IFERROR(VLOOKUP(INPUT!M1615&amp;INPUT!N1615,CHOOSE({1,2},INPUT!$A$3:$A$5000&amp;INPUT!$C$3:$C$5000,INPUT!$F$3:$F$5000),2,FALSE),"")</f>
        <v>PRE-TEMPORADA</v>
      </c>
      <c r="H1620" t="str" cm="1">
        <f t="array" ref="H1620">IFERROR(VLOOKUP(INPUT!M1615&amp;INPUT!N1615,CHOOSE({1,2},INPUT!$A$3:$A$5000&amp;INPUT!$C$3:$C$5000,INPUT!$D$3:$D$5000),2,FALSE),"")</f>
        <v>TEC-TAC</v>
      </c>
      <c r="I1620" s="46">
        <f>IF(INPUT!P1615="","",INPUT!P1615)</f>
        <v>71.599999999999994</v>
      </c>
      <c r="J1620" s="46">
        <f>IF(INPUT!Q1615="","",INPUT!Q1615)</f>
        <v>71</v>
      </c>
      <c r="K1620" s="46">
        <f>IFERROR(IF(OR(INPUT!P1615="",INPUT!Q1615=""),"",INPUT!P1615-INPUT!Q1615),"")</f>
        <v>0.59999999999999432</v>
      </c>
      <c r="L1620" s="48">
        <f>IFERROR(IF(OR(INPUT!P1615="",INPUT!Q1615="",INPUT!P1615=0),"",(INPUT!P1615-INPUT!Q1615)/INPUT!P1615),"")</f>
        <v>8.3798882681563464E-3</v>
      </c>
    </row>
    <row r="1621" spans="1:12" ht="18" hidden="1" customHeight="1" x14ac:dyDescent="0.2">
      <c r="A1621" s="11">
        <f>IF(INPUT!M1616="","",INPUT!M1616)</f>
        <v>46022</v>
      </c>
      <c r="B1621" s="11">
        <f>IF(INPUT!M1616="","",INPUT!M1616-WEEKDAY(INPUT!M1616,2)+1)</f>
        <v>46020</v>
      </c>
      <c r="C1621" s="20">
        <f>IFERROR(_xlfn.ISOWEEKNUM(INPUT!M1616),"")</f>
        <v>1</v>
      </c>
      <c r="D1621" s="20">
        <f>IFERROR(YEAR(INPUT!M1616),"")</f>
        <v>2025</v>
      </c>
      <c r="E1621" t="str">
        <f>IF(INPUT!O1616="","",INPUT!O1616)</f>
        <v>RAYA</v>
      </c>
      <c r="F1621" t="str">
        <f>IF(INPUT!N1616="","",INPUT!N1616)</f>
        <v>M</v>
      </c>
      <c r="G1621" t="str" cm="1">
        <f t="array" ref="G1621">IFERROR(VLOOKUP(INPUT!M1616&amp;INPUT!N1616,CHOOSE({1,2},INPUT!$A$3:$A$5000&amp;INPUT!$C$3:$C$5000,INPUT!$F$3:$F$5000),2,FALSE),"")</f>
        <v>PRE-TEMPORADA</v>
      </c>
      <c r="H1621" t="str" cm="1">
        <f t="array" ref="H1621">IFERROR(VLOOKUP(INPUT!M1616&amp;INPUT!N1616,CHOOSE({1,2},INPUT!$A$3:$A$5000&amp;INPUT!$C$3:$C$5000,INPUT!$D$3:$D$5000),2,FALSE),"")</f>
        <v>TEC-TAC</v>
      </c>
      <c r="I1621" s="46">
        <f>IF(INPUT!P1616="","",INPUT!P1616)</f>
        <v>80.900000000000006</v>
      </c>
      <c r="J1621" s="46">
        <f>IF(INPUT!Q1616="","",INPUT!Q1616)</f>
        <v>80.099999999999994</v>
      </c>
      <c r="K1621" s="46">
        <f>IFERROR(IF(OR(INPUT!P1616="",INPUT!Q1616=""),"",INPUT!P1616-INPUT!Q1616),"")</f>
        <v>0.80000000000001137</v>
      </c>
      <c r="L1621" s="48">
        <f>IFERROR(IF(OR(INPUT!P1616="",INPUT!Q1616="",INPUT!P1616=0),"",(INPUT!P1616-INPUT!Q1616)/INPUT!P1616),"")</f>
        <v>9.8887515451175686E-3</v>
      </c>
    </row>
    <row r="1622" spans="1:12" ht="18" hidden="1" customHeight="1" x14ac:dyDescent="0.2">
      <c r="A1622" s="11">
        <f>IF(INPUT!M1617="","",INPUT!M1617)</f>
        <v>46022</v>
      </c>
      <c r="B1622" s="11">
        <f>IF(INPUT!M1617="","",INPUT!M1617-WEEKDAY(INPUT!M1617,2)+1)</f>
        <v>46020</v>
      </c>
      <c r="C1622" s="20">
        <f>IFERROR(_xlfn.ISOWEEKNUM(INPUT!M1617),"")</f>
        <v>1</v>
      </c>
      <c r="D1622" s="20">
        <f>IFERROR(YEAR(INPUT!M1617),"")</f>
        <v>2025</v>
      </c>
      <c r="E1622" t="str">
        <f>IF(INPUT!O1617="","",INPUT!O1617)</f>
        <v>JAVI</v>
      </c>
      <c r="F1622" t="str">
        <f>IF(INPUT!N1617="","",INPUT!N1617)</f>
        <v>M</v>
      </c>
      <c r="G1622" t="str" cm="1">
        <f t="array" ref="G1622">IFERROR(VLOOKUP(INPUT!M1617&amp;INPUT!N1617,CHOOSE({1,2},INPUT!$A$3:$A$5000&amp;INPUT!$C$3:$C$5000,INPUT!$F$3:$F$5000),2,FALSE),"")</f>
        <v>PRE-TEMPORADA</v>
      </c>
      <c r="H1622" t="str" cm="1">
        <f t="array" ref="H1622">IFERROR(VLOOKUP(INPUT!M1617&amp;INPUT!N1617,CHOOSE({1,2},INPUT!$A$3:$A$5000&amp;INPUT!$C$3:$C$5000,INPUT!$D$3:$D$5000),2,FALSE),"")</f>
        <v>TEC-TAC</v>
      </c>
      <c r="I1622" s="46">
        <f>IF(INPUT!P1617="","",INPUT!P1617)</f>
        <v>78.2</v>
      </c>
      <c r="J1622" s="46">
        <f>IF(INPUT!Q1617="","",INPUT!Q1617)</f>
        <v>78.599999999999994</v>
      </c>
      <c r="K1622" s="46">
        <f>IFERROR(IF(OR(INPUT!P1617="",INPUT!Q1617=""),"",INPUT!P1617-INPUT!Q1617),"")</f>
        <v>-0.39999999999999147</v>
      </c>
      <c r="L1622" s="48">
        <f>IFERROR(IF(OR(INPUT!P1617="",INPUT!Q1617="",INPUT!P1617=0),"",(INPUT!P1617-INPUT!Q1617)/INPUT!P1617),"")</f>
        <v>-5.1150895140663873E-3</v>
      </c>
    </row>
    <row r="1623" spans="1:12" ht="18" hidden="1" customHeight="1" x14ac:dyDescent="0.2">
      <c r="A1623" s="11">
        <f>IF(INPUT!M1618="","",INPUT!M1618)</f>
        <v>46022</v>
      </c>
      <c r="B1623" s="11">
        <f>IF(INPUT!M1618="","",INPUT!M1618-WEEKDAY(INPUT!M1618,2)+1)</f>
        <v>46020</v>
      </c>
      <c r="C1623" s="20">
        <f>IFERROR(_xlfn.ISOWEEKNUM(INPUT!M1618),"")</f>
        <v>1</v>
      </c>
      <c r="D1623" s="20">
        <f>IFERROR(YEAR(INPUT!M1618),"")</f>
        <v>2025</v>
      </c>
      <c r="E1623" t="str">
        <f>IF(INPUT!O1618="","",INPUT!O1618)</f>
        <v>PANI</v>
      </c>
      <c r="F1623" t="str">
        <f>IF(INPUT!N1618="","",INPUT!N1618)</f>
        <v>M</v>
      </c>
      <c r="G1623" t="str" cm="1">
        <f t="array" ref="G1623">IFERROR(VLOOKUP(INPUT!M1618&amp;INPUT!N1618,CHOOSE({1,2},INPUT!$A$3:$A$5000&amp;INPUT!$C$3:$C$5000,INPUT!$F$3:$F$5000),2,FALSE),"")</f>
        <v>PRE-TEMPORADA</v>
      </c>
      <c r="H1623" t="str" cm="1">
        <f t="array" ref="H1623">IFERROR(VLOOKUP(INPUT!M1618&amp;INPUT!N1618,CHOOSE({1,2},INPUT!$A$3:$A$5000&amp;INPUT!$C$3:$C$5000,INPUT!$D$3:$D$5000),2,FALSE),"")</f>
        <v>TEC-TAC</v>
      </c>
      <c r="I1623" s="46">
        <f>IF(INPUT!P1618="","",INPUT!P1618)</f>
        <v>65.400000000000006</v>
      </c>
      <c r="J1623" s="46">
        <f>IF(INPUT!Q1618="","",INPUT!Q1618)</f>
        <v>65.099999999999994</v>
      </c>
      <c r="K1623" s="46">
        <f>IFERROR(IF(OR(INPUT!P1618="",INPUT!Q1618=""),"",INPUT!P1618-INPUT!Q1618),"")</f>
        <v>0.30000000000001137</v>
      </c>
      <c r="L1623" s="48">
        <f>IFERROR(IF(OR(INPUT!P1618="",INPUT!Q1618="",INPUT!P1618=0),"",(INPUT!P1618-INPUT!Q1618)/INPUT!P1618),"")</f>
        <v>4.587155963302926E-3</v>
      </c>
    </row>
    <row r="1624" spans="1:12" ht="18" hidden="1" customHeight="1" x14ac:dyDescent="0.2">
      <c r="A1624" s="11">
        <f>IF(INPUT!M1619="","",INPUT!M1619)</f>
        <v>46022</v>
      </c>
      <c r="B1624" s="11">
        <f>IF(INPUT!M1619="","",INPUT!M1619-WEEKDAY(INPUT!M1619,2)+1)</f>
        <v>46020</v>
      </c>
      <c r="C1624" s="20">
        <f>IFERROR(_xlfn.ISOWEEKNUM(INPUT!M1619),"")</f>
        <v>1</v>
      </c>
      <c r="D1624" s="20">
        <f>IFERROR(YEAR(INPUT!M1619),"")</f>
        <v>2025</v>
      </c>
      <c r="E1624" t="str">
        <f>IF(INPUT!O1619="","",INPUT!O1619)</f>
        <v>PIRATA</v>
      </c>
      <c r="F1624" t="str">
        <f>IF(INPUT!N1619="","",INPUT!N1619)</f>
        <v>M</v>
      </c>
      <c r="G1624" t="str" cm="1">
        <f t="array" ref="G1624">IFERROR(VLOOKUP(INPUT!M1619&amp;INPUT!N1619,CHOOSE({1,2},INPUT!$A$3:$A$5000&amp;INPUT!$C$3:$C$5000,INPUT!$F$3:$F$5000),2,FALSE),"")</f>
        <v>PRE-TEMPORADA</v>
      </c>
      <c r="H1624" t="str" cm="1">
        <f t="array" ref="H1624">IFERROR(VLOOKUP(INPUT!M1619&amp;INPUT!N1619,CHOOSE({1,2},INPUT!$A$3:$A$5000&amp;INPUT!$C$3:$C$5000,INPUT!$D$3:$D$5000),2,FALSE),"")</f>
        <v>TEC-TAC</v>
      </c>
      <c r="I1624" s="46">
        <f>IF(INPUT!P1619="","",INPUT!P1619)</f>
        <v>75.099999999999994</v>
      </c>
      <c r="J1624" s="46">
        <f>IF(INPUT!Q1619="","",INPUT!Q1619)</f>
        <v>75.2</v>
      </c>
      <c r="K1624" s="46">
        <f>IFERROR(IF(OR(INPUT!P1619="",INPUT!Q1619=""),"",INPUT!P1619-INPUT!Q1619),"")</f>
        <v>-0.10000000000000853</v>
      </c>
      <c r="L1624" s="48">
        <f>IFERROR(IF(OR(INPUT!P1619="",INPUT!Q1619="",INPUT!P1619=0),"",(INPUT!P1619-INPUT!Q1619)/INPUT!P1619),"")</f>
        <v>-1.3315579227697542E-3</v>
      </c>
    </row>
    <row r="1625" spans="1:12" ht="18" hidden="1" customHeight="1" x14ac:dyDescent="0.2">
      <c r="A1625" s="11">
        <f>IF(INPUT!M1620="","",INPUT!M1620)</f>
        <v>46022</v>
      </c>
      <c r="B1625" s="11">
        <f>IF(INPUT!M1620="","",INPUT!M1620-WEEKDAY(INPUT!M1620,2)+1)</f>
        <v>46020</v>
      </c>
      <c r="C1625" s="20">
        <f>IFERROR(_xlfn.ISOWEEKNUM(INPUT!M1620),"")</f>
        <v>1</v>
      </c>
      <c r="D1625" s="20">
        <f>IFERROR(YEAR(INPUT!M1620),"")</f>
        <v>2025</v>
      </c>
      <c r="E1625" t="str">
        <f>IF(INPUT!O1620="","",INPUT!O1620)</f>
        <v>BARONA</v>
      </c>
      <c r="F1625" t="str">
        <f>IF(INPUT!N1620="","",INPUT!N1620)</f>
        <v>M</v>
      </c>
      <c r="G1625" t="str" cm="1">
        <f t="array" ref="G1625">IFERROR(VLOOKUP(INPUT!M1620&amp;INPUT!N1620,CHOOSE({1,2},INPUT!$A$3:$A$5000&amp;INPUT!$C$3:$C$5000,INPUT!$F$3:$F$5000),2,FALSE),"")</f>
        <v>PRE-TEMPORADA</v>
      </c>
      <c r="H1625" t="str" cm="1">
        <f t="array" ref="H1625">IFERROR(VLOOKUP(INPUT!M1620&amp;INPUT!N1620,CHOOSE({1,2},INPUT!$A$3:$A$5000&amp;INPUT!$C$3:$C$5000,INPUT!$D$3:$D$5000),2,FALSE),"")</f>
        <v>TEC-TAC</v>
      </c>
      <c r="I1625" s="46">
        <f>IF(INPUT!P1620="","",INPUT!P1620)</f>
        <v>71.7</v>
      </c>
      <c r="J1625" s="46">
        <f>IF(INPUT!Q1620="","",INPUT!Q1620)</f>
        <v>71.3</v>
      </c>
      <c r="K1625" s="46">
        <f>IFERROR(IF(OR(INPUT!P1620="",INPUT!Q1620=""),"",INPUT!P1620-INPUT!Q1620),"")</f>
        <v>0.40000000000000568</v>
      </c>
      <c r="L1625" s="48">
        <f>IFERROR(IF(OR(INPUT!P1620="",INPUT!Q1620="",INPUT!P1620=0),"",(INPUT!P1620-INPUT!Q1620)/INPUT!P1620),"")</f>
        <v>5.5788005578801345E-3</v>
      </c>
    </row>
    <row r="1626" spans="1:12" ht="18" hidden="1" customHeight="1" x14ac:dyDescent="0.2">
      <c r="A1626" s="11">
        <f>IF(INPUT!M1621="","",INPUT!M1621)</f>
        <v>46022</v>
      </c>
      <c r="B1626" s="11">
        <f>IF(INPUT!M1621="","",INPUT!M1621-WEEKDAY(INPUT!M1621,2)+1)</f>
        <v>46020</v>
      </c>
      <c r="C1626" s="20">
        <f>IFERROR(_xlfn.ISOWEEKNUM(INPUT!M1621),"")</f>
        <v>1</v>
      </c>
      <c r="D1626" s="20">
        <f>IFERROR(YEAR(INPUT!M1621),"")</f>
        <v>2025</v>
      </c>
      <c r="E1626" t="str">
        <f>IF(INPUT!O1621="","",INPUT!O1621)</f>
        <v>CARLOS</v>
      </c>
      <c r="F1626" t="str">
        <f>IF(INPUT!N1621="","",INPUT!N1621)</f>
        <v>M</v>
      </c>
      <c r="G1626" t="str" cm="1">
        <f t="array" ref="G1626">IFERROR(VLOOKUP(INPUT!M1621&amp;INPUT!N1621,CHOOSE({1,2},INPUT!$A$3:$A$5000&amp;INPUT!$C$3:$C$5000,INPUT!$F$3:$F$5000),2,FALSE),"")</f>
        <v>PRE-TEMPORADA</v>
      </c>
      <c r="H1626" t="str" cm="1">
        <f t="array" ref="H1626">IFERROR(VLOOKUP(INPUT!M1621&amp;INPUT!N1621,CHOOSE({1,2},INPUT!$A$3:$A$5000&amp;INPUT!$C$3:$C$5000,INPUT!$D$3:$D$5000),2,FALSE),"")</f>
        <v>TEC-TAC</v>
      </c>
      <c r="I1626" s="46">
        <f>IF(INPUT!P1621="","",INPUT!P1621)</f>
        <v>66.599999999999994</v>
      </c>
      <c r="J1626" s="46">
        <f>IF(INPUT!Q1621="","",INPUT!Q1621)</f>
        <v>66.3</v>
      </c>
      <c r="K1626" s="46">
        <f>IFERROR(IF(OR(INPUT!P1621="",INPUT!Q1621=""),"",INPUT!P1621-INPUT!Q1621),"")</f>
        <v>0.29999999999999716</v>
      </c>
      <c r="L1626" s="48">
        <f>IFERROR(IF(OR(INPUT!P1621="",INPUT!Q1621="",INPUT!P1621=0),"",(INPUT!P1621-INPUT!Q1621)/INPUT!P1621),"")</f>
        <v>4.504504504504462E-3</v>
      </c>
    </row>
    <row r="1627" spans="1:12" ht="18" customHeight="1" x14ac:dyDescent="0.2">
      <c r="A1627" s="11">
        <f>IF(INPUT!M1622="","",INPUT!M1622)</f>
        <v>46022</v>
      </c>
      <c r="B1627" s="11">
        <f>IF(INPUT!M1622="","",INPUT!M1622-WEEKDAY(INPUT!M1622,2)+1)</f>
        <v>46020</v>
      </c>
      <c r="C1627" s="20">
        <f>IFERROR(_xlfn.ISOWEEKNUM(INPUT!M1622),"")</f>
        <v>1</v>
      </c>
      <c r="D1627" s="20">
        <f>IFERROR(YEAR(INPUT!M1622),"")</f>
        <v>2025</v>
      </c>
      <c r="E1627" t="str">
        <f>IF(INPUT!O1622="","",INPUT!O1622)</f>
        <v>RUBIO</v>
      </c>
      <c r="F1627" t="str">
        <f>IF(INPUT!N1622="","",INPUT!N1622)</f>
        <v>M</v>
      </c>
      <c r="G1627" t="str" cm="1">
        <f t="array" ref="G1627">IFERROR(VLOOKUP(INPUT!M1622&amp;INPUT!N1622,CHOOSE({1,2},INPUT!$A$3:$A$5000&amp;INPUT!$C$3:$C$5000,INPUT!$F$3:$F$5000),2,FALSE),"")</f>
        <v>PRE-TEMPORADA</v>
      </c>
      <c r="H1627" t="str" cm="1">
        <f t="array" ref="H1627">IFERROR(VLOOKUP(INPUT!M1622&amp;INPUT!N1622,CHOOSE({1,2},INPUT!$A$3:$A$5000&amp;INPUT!$C$3:$C$5000,INPUT!$D$3:$D$5000),2,FALSE),"")</f>
        <v>TEC-TAC</v>
      </c>
      <c r="I1627" s="46">
        <f>IF(INPUT!P1622="","",INPUT!P1622)</f>
        <v>74.5</v>
      </c>
      <c r="J1627" s="46">
        <f>IF(INPUT!Q1622="","",INPUT!Q1622)</f>
        <v>74.5</v>
      </c>
      <c r="K1627" s="46">
        <f>IFERROR(IF(OR(INPUT!P1622="",INPUT!Q1622=""),"",INPUT!P1622-INPUT!Q1622),"")</f>
        <v>0</v>
      </c>
      <c r="L1627" s="48">
        <f>IFERROR(IF(OR(INPUT!P1622="",INPUT!Q1622="",INPUT!P1622=0),"",(INPUT!P1622-INPUT!Q1622)/INPUT!P1622),"")</f>
        <v>0</v>
      </c>
    </row>
    <row r="1628" spans="1:12" ht="18" customHeight="1" x14ac:dyDescent="0.2">
      <c r="A1628" s="11">
        <f>IF(INPUT!M1623="","",INPUT!M1623)</f>
        <v>46022</v>
      </c>
      <c r="B1628" s="11">
        <f>IF(INPUT!M1623="","",INPUT!M1623-WEEKDAY(INPUT!M1623,2)+1)</f>
        <v>46020</v>
      </c>
      <c r="C1628" s="20">
        <f>IFERROR(_xlfn.ISOWEEKNUM(INPUT!M1623),"")</f>
        <v>1</v>
      </c>
      <c r="D1628" s="20">
        <f>IFERROR(YEAR(INPUT!M1623),"")</f>
        <v>2025</v>
      </c>
      <c r="E1628" t="str">
        <f>IF(INPUT!O1623="","",INPUT!O1623)</f>
        <v>DANI</v>
      </c>
      <c r="F1628" t="str">
        <f>IF(INPUT!N1623="","",INPUT!N1623)</f>
        <v>M</v>
      </c>
      <c r="G1628" t="str" cm="1">
        <f t="array" ref="G1628">IFERROR(VLOOKUP(INPUT!M1623&amp;INPUT!N1623,CHOOSE({1,2},INPUT!$A$3:$A$5000&amp;INPUT!$C$3:$C$5000,INPUT!$F$3:$F$5000),2,FALSE),"")</f>
        <v>PRE-TEMPORADA</v>
      </c>
      <c r="H1628" t="str" cm="1">
        <f t="array" ref="H1628">IFERROR(VLOOKUP(INPUT!M1623&amp;INPUT!N1623,CHOOSE({1,2},INPUT!$A$3:$A$5000&amp;INPUT!$C$3:$C$5000,INPUT!$D$3:$D$5000),2,FALSE),"")</f>
        <v>TEC-TAC</v>
      </c>
      <c r="I1628" s="46">
        <f>IF(INPUT!P1623="","",INPUT!P1623)</f>
        <v>89.9</v>
      </c>
      <c r="J1628" s="46">
        <f>IF(INPUT!Q1623="","",INPUT!Q1623)</f>
        <v>89.5</v>
      </c>
      <c r="K1628" s="46">
        <f>IFERROR(IF(OR(INPUT!P1623="",INPUT!Q1623=""),"",INPUT!P1623-INPUT!Q1623),"")</f>
        <v>0.40000000000000568</v>
      </c>
      <c r="L1628" s="48">
        <f>IFERROR(IF(OR(INPUT!P1623="",INPUT!Q1623="",INPUT!P1623=0),"",(INPUT!P1623-INPUT!Q1623)/INPUT!P1623),"")</f>
        <v>4.4493882091213091E-3</v>
      </c>
    </row>
    <row r="1629" spans="1:12" ht="18" customHeight="1" x14ac:dyDescent="0.2">
      <c r="A1629" s="11">
        <f>IF(INPUT!M1624="","",INPUT!M1624)</f>
        <v>46022</v>
      </c>
      <c r="B1629" s="11">
        <f>IF(INPUT!M1624="","",INPUT!M1624-WEEKDAY(INPUT!M1624,2)+1)</f>
        <v>46020</v>
      </c>
      <c r="C1629" s="20">
        <f>IFERROR(_xlfn.ISOWEEKNUM(INPUT!M1624),"")</f>
        <v>1</v>
      </c>
      <c r="D1629" s="20">
        <f>IFERROR(YEAR(INPUT!M1624),"")</f>
        <v>2025</v>
      </c>
      <c r="E1629" t="str">
        <f>IF(INPUT!O1624="","",INPUT!O1624)</f>
        <v>JAIME</v>
      </c>
      <c r="F1629" t="str">
        <f>IF(INPUT!N1624="","",INPUT!N1624)</f>
        <v>M</v>
      </c>
      <c r="G1629" t="str" cm="1">
        <f t="array" ref="G1629">IFERROR(VLOOKUP(INPUT!M1624&amp;INPUT!N1624,CHOOSE({1,2},INPUT!$A$3:$A$5000&amp;INPUT!$C$3:$C$5000,INPUT!$F$3:$F$5000),2,FALSE),"")</f>
        <v>PRE-TEMPORADA</v>
      </c>
      <c r="H1629" t="str" cm="1">
        <f t="array" ref="H1629">IFERROR(VLOOKUP(INPUT!M1624&amp;INPUT!N1624,CHOOSE({1,2},INPUT!$A$3:$A$5000&amp;INPUT!$C$3:$C$5000,INPUT!$D$3:$D$5000),2,FALSE),"")</f>
        <v>TEC-TAC</v>
      </c>
      <c r="I1629" s="46">
        <f>IF(INPUT!P1624="","",INPUT!P1624)</f>
        <v>75.7</v>
      </c>
      <c r="J1629" s="46">
        <f>IF(INPUT!Q1624="","",INPUT!Q1624)</f>
        <v>75.400000000000006</v>
      </c>
      <c r="K1629" s="46">
        <f>IFERROR(IF(OR(INPUT!P1624="",INPUT!Q1624=""),"",INPUT!P1624-INPUT!Q1624),"")</f>
        <v>0.29999999999999716</v>
      </c>
      <c r="L1629" s="48">
        <f>IFERROR(IF(OR(INPUT!P1624="",INPUT!Q1624="",INPUT!P1624=0),"",(INPUT!P1624-INPUT!Q1624)/INPUT!P1624),"")</f>
        <v>3.9630118890356296E-3</v>
      </c>
    </row>
    <row r="1630" spans="1:12" ht="18" hidden="1" customHeight="1" x14ac:dyDescent="0.2">
      <c r="A1630" s="11">
        <f>IF(INPUT!M1625="","",INPUT!M1625)</f>
        <v>46027</v>
      </c>
      <c r="B1630" s="11">
        <f>IF(INPUT!M1625="","",INPUT!M1625-WEEKDAY(INPUT!M1625,2)+1)</f>
        <v>46027</v>
      </c>
      <c r="C1630" s="20">
        <f>IFERROR(_xlfn.ISOWEEKNUM(INPUT!M1625),"")</f>
        <v>2</v>
      </c>
      <c r="D1630" s="20">
        <f>IFERROR(YEAR(INPUT!M1625),"")</f>
        <v>2026</v>
      </c>
      <c r="E1630" t="str">
        <f>IF(INPUT!O1625="","",INPUT!O1625)</f>
        <v>HERRERO</v>
      </c>
      <c r="F1630" t="str">
        <f>IF(INPUT!N1625="","",INPUT!N1625)</f>
        <v>M</v>
      </c>
      <c r="G1630" t="str" cm="1">
        <f t="array" ref="G1630">IFERROR(VLOOKUP(INPUT!M1625&amp;INPUT!N1625,CHOOSE({1,2},INPUT!$A$3:$A$5000&amp;INPUT!$C$3:$C$5000,INPUT!$F$3:$F$5000),2,FALSE),"")</f>
        <v>PRE-TEMPORADA</v>
      </c>
      <c r="H1630" t="str" cm="1">
        <f t="array" ref="H1630">IFERROR(VLOOKUP(INPUT!M1625&amp;INPUT!N1625,CHOOSE({1,2},INPUT!$A$3:$A$5000&amp;INPUT!$C$3:$C$5000,INPUT!$D$3:$D$5000),2,FALSE),"")</f>
        <v>TEC-TAC</v>
      </c>
      <c r="I1630" s="46">
        <f>IF(INPUT!P1625="","",INPUT!P1625)</f>
        <v>77</v>
      </c>
      <c r="J1630" s="46">
        <f>IF(INPUT!Q1625="","",INPUT!Q1625)</f>
        <v>76.8</v>
      </c>
      <c r="K1630" s="46">
        <f>IFERROR(IF(OR(INPUT!P1625="",INPUT!Q1625=""),"",INPUT!P1625-INPUT!Q1625),"")</f>
        <v>0.20000000000000284</v>
      </c>
      <c r="L1630" s="48">
        <f>IFERROR(IF(OR(INPUT!P1625="",INPUT!Q1625="",INPUT!P1625=0),"",(INPUT!P1625-INPUT!Q1625)/INPUT!P1625),"")</f>
        <v>2.5974025974026343E-3</v>
      </c>
    </row>
    <row r="1631" spans="1:12" ht="18" hidden="1" customHeight="1" x14ac:dyDescent="0.2">
      <c r="A1631" s="11">
        <f>IF(INPUT!M1626="","",INPUT!M1626)</f>
        <v>46027</v>
      </c>
      <c r="B1631" s="11">
        <f>IF(INPUT!M1626="","",INPUT!M1626-WEEKDAY(INPUT!M1626,2)+1)</f>
        <v>46027</v>
      </c>
      <c r="C1631" s="20">
        <f>IFERROR(_xlfn.ISOWEEKNUM(INPUT!M1626),"")</f>
        <v>2</v>
      </c>
      <c r="D1631" s="20">
        <f>IFERROR(YEAR(INPUT!M1626),"")</f>
        <v>2026</v>
      </c>
      <c r="E1631" t="str">
        <f>IF(INPUT!O1626="","",INPUT!O1626)</f>
        <v>GARCIA</v>
      </c>
      <c r="F1631" t="str">
        <f>IF(INPUT!N1626="","",INPUT!N1626)</f>
        <v>M</v>
      </c>
      <c r="G1631" t="str" cm="1">
        <f t="array" ref="G1631">IFERROR(VLOOKUP(INPUT!M1626&amp;INPUT!N1626,CHOOSE({1,2},INPUT!$A$3:$A$5000&amp;INPUT!$C$3:$C$5000,INPUT!$F$3:$F$5000),2,FALSE),"")</f>
        <v>PRE-TEMPORADA</v>
      </c>
      <c r="H1631" t="str" cm="1">
        <f t="array" ref="H1631">IFERROR(VLOOKUP(INPUT!M1626&amp;INPUT!N1626,CHOOSE({1,2},INPUT!$A$3:$A$5000&amp;INPUT!$C$3:$C$5000,INPUT!$D$3:$D$5000),2,FALSE),"")</f>
        <v>TEC-TAC</v>
      </c>
      <c r="I1631" s="46">
        <f>IF(INPUT!P1626="","",INPUT!P1626)</f>
        <v>79.2</v>
      </c>
      <c r="J1631" s="46">
        <f>IF(INPUT!Q1626="","",INPUT!Q1626)</f>
        <v>79</v>
      </c>
      <c r="K1631" s="46">
        <f>IFERROR(IF(OR(INPUT!P1626="",INPUT!Q1626=""),"",INPUT!P1626-INPUT!Q1626),"")</f>
        <v>0.20000000000000284</v>
      </c>
      <c r="L1631" s="48">
        <f>IFERROR(IF(OR(INPUT!P1626="",INPUT!Q1626="",INPUT!P1626=0),"",(INPUT!P1626-INPUT!Q1626)/INPUT!P1626),"")</f>
        <v>2.525252525252561E-3</v>
      </c>
    </row>
    <row r="1632" spans="1:12" ht="18" hidden="1" customHeight="1" x14ac:dyDescent="0.2">
      <c r="A1632" s="11">
        <f>IF(INPUT!M1627="","",INPUT!M1627)</f>
        <v>46027</v>
      </c>
      <c r="B1632" s="11">
        <f>IF(INPUT!M1627="","",INPUT!M1627-WEEKDAY(INPUT!M1627,2)+1)</f>
        <v>46027</v>
      </c>
      <c r="C1632" s="20">
        <f>IFERROR(_xlfn.ISOWEEKNUM(INPUT!M1627),"")</f>
        <v>2</v>
      </c>
      <c r="D1632" s="20">
        <f>IFERROR(YEAR(INPUT!M1627),"")</f>
        <v>2026</v>
      </c>
      <c r="E1632" t="str">
        <f>IF(INPUT!O1627="","",INPUT!O1627)</f>
        <v>CECILIO</v>
      </c>
      <c r="F1632" t="str">
        <f>IF(INPUT!N1627="","",INPUT!N1627)</f>
        <v>M</v>
      </c>
      <c r="G1632" t="str" cm="1">
        <f t="array" ref="G1632">IFERROR(VLOOKUP(INPUT!M1627&amp;INPUT!N1627,CHOOSE({1,2},INPUT!$A$3:$A$5000&amp;INPUT!$C$3:$C$5000,INPUT!$F$3:$F$5000),2,FALSE),"")</f>
        <v>PRE-TEMPORADA</v>
      </c>
      <c r="H1632" t="str" cm="1">
        <f t="array" ref="H1632">IFERROR(VLOOKUP(INPUT!M1627&amp;INPUT!N1627,CHOOSE({1,2},INPUT!$A$3:$A$5000&amp;INPUT!$C$3:$C$5000,INPUT!$D$3:$D$5000),2,FALSE),"")</f>
        <v>TEC-TAC</v>
      </c>
      <c r="I1632" s="46">
        <f>IF(INPUT!P1627="","",INPUT!P1627)</f>
        <v>67.900000000000006</v>
      </c>
      <c r="J1632" s="46">
        <f>IF(INPUT!Q1627="","",INPUT!Q1627)</f>
        <v>67.8</v>
      </c>
      <c r="K1632" s="46">
        <f>IFERROR(IF(OR(INPUT!P1627="",INPUT!Q1627=""),"",INPUT!P1627-INPUT!Q1627),"")</f>
        <v>0.10000000000000853</v>
      </c>
      <c r="L1632" s="48">
        <f>IFERROR(IF(OR(INPUT!P1627="",INPUT!Q1627="",INPUT!P1627=0),"",(INPUT!P1627-INPUT!Q1627)/INPUT!P1627),"")</f>
        <v>1.4727540500737632E-3</v>
      </c>
    </row>
    <row r="1633" spans="1:12" ht="18" hidden="1" customHeight="1" x14ac:dyDescent="0.2">
      <c r="A1633" s="11">
        <f>IF(INPUT!M1628="","",INPUT!M1628)</f>
        <v>46027</v>
      </c>
      <c r="B1633" s="11">
        <f>IF(INPUT!M1628="","",INPUT!M1628-WEEKDAY(INPUT!M1628,2)+1)</f>
        <v>46027</v>
      </c>
      <c r="C1633" s="20">
        <f>IFERROR(_xlfn.ISOWEEKNUM(INPUT!M1628),"")</f>
        <v>2</v>
      </c>
      <c r="D1633" s="20">
        <f>IFERROR(YEAR(INPUT!M1628),"")</f>
        <v>2026</v>
      </c>
      <c r="E1633" t="str">
        <f>IF(INPUT!O1628="","",INPUT!O1628)</f>
        <v>CHAGUINHA</v>
      </c>
      <c r="F1633" t="str">
        <f>IF(INPUT!N1628="","",INPUT!N1628)</f>
        <v>M</v>
      </c>
      <c r="G1633" t="str" cm="1">
        <f t="array" ref="G1633">IFERROR(VLOOKUP(INPUT!M1628&amp;INPUT!N1628,CHOOSE({1,2},INPUT!$A$3:$A$5000&amp;INPUT!$C$3:$C$5000,INPUT!$F$3:$F$5000),2,FALSE),"")</f>
        <v>PRE-TEMPORADA</v>
      </c>
      <c r="H1633" t="str" cm="1">
        <f t="array" ref="H1633">IFERROR(VLOOKUP(INPUT!M1628&amp;INPUT!N1628,CHOOSE({1,2},INPUT!$A$3:$A$5000&amp;INPUT!$C$3:$C$5000,INPUT!$D$3:$D$5000),2,FALSE),"")</f>
        <v>TEC-TAC</v>
      </c>
      <c r="I1633" s="46">
        <f>IF(INPUT!P1628="","",INPUT!P1628)</f>
        <v>69</v>
      </c>
      <c r="J1633" s="46">
        <f>IF(INPUT!Q1628="","",INPUT!Q1628)</f>
        <v>69</v>
      </c>
      <c r="K1633" s="46">
        <f>IFERROR(IF(OR(INPUT!P1628="",INPUT!Q1628=""),"",INPUT!P1628-INPUT!Q1628),"")</f>
        <v>0</v>
      </c>
      <c r="L1633" s="48">
        <f>IFERROR(IF(OR(INPUT!P1628="",INPUT!Q1628="",INPUT!P1628=0),"",(INPUT!P1628-INPUT!Q1628)/INPUT!P1628),"")</f>
        <v>0</v>
      </c>
    </row>
    <row r="1634" spans="1:12" ht="18" hidden="1" customHeight="1" x14ac:dyDescent="0.2">
      <c r="A1634" s="11">
        <f>IF(INPUT!M1629="","",INPUT!M1629)</f>
        <v>46027</v>
      </c>
      <c r="B1634" s="11">
        <f>IF(INPUT!M1629="","",INPUT!M1629-WEEKDAY(INPUT!M1629,2)+1)</f>
        <v>46027</v>
      </c>
      <c r="C1634" s="20">
        <f>IFERROR(_xlfn.ISOWEEKNUM(INPUT!M1629),"")</f>
        <v>2</v>
      </c>
      <c r="D1634" s="20">
        <f>IFERROR(YEAR(INPUT!M1629),"")</f>
        <v>2026</v>
      </c>
      <c r="E1634" t="str">
        <f>IF(INPUT!O1629="","",INPUT!O1629)</f>
        <v>RAUL</v>
      </c>
      <c r="F1634" t="str">
        <f>IF(INPUT!N1629="","",INPUT!N1629)</f>
        <v>M</v>
      </c>
      <c r="G1634" t="str" cm="1">
        <f t="array" ref="G1634">IFERROR(VLOOKUP(INPUT!M1629&amp;INPUT!N1629,CHOOSE({1,2},INPUT!$A$3:$A$5000&amp;INPUT!$C$3:$C$5000,INPUT!$F$3:$F$5000),2,FALSE),"")</f>
        <v>PRE-TEMPORADA</v>
      </c>
      <c r="H1634" t="str" cm="1">
        <f t="array" ref="H1634">IFERROR(VLOOKUP(INPUT!M1629&amp;INPUT!N1629,CHOOSE({1,2},INPUT!$A$3:$A$5000&amp;INPUT!$C$3:$C$5000,INPUT!$D$3:$D$5000),2,FALSE),"")</f>
        <v>TEC-TAC</v>
      </c>
      <c r="I1634" s="46">
        <f>IF(INPUT!P1629="","",INPUT!P1629)</f>
        <v>80.2</v>
      </c>
      <c r="J1634" s="46">
        <f>IF(INPUT!Q1629="","",INPUT!Q1629)</f>
        <v>81.2</v>
      </c>
      <c r="K1634" s="46">
        <f>IFERROR(IF(OR(INPUT!P1629="",INPUT!Q1629=""),"",INPUT!P1629-INPUT!Q1629),"")</f>
        <v>-1</v>
      </c>
      <c r="L1634" s="48">
        <f>IFERROR(IF(OR(INPUT!P1629="",INPUT!Q1629="",INPUT!P1629=0),"",(INPUT!P1629-INPUT!Q1629)/INPUT!P1629),"")</f>
        <v>-1.2468827930174562E-2</v>
      </c>
    </row>
    <row r="1635" spans="1:12" ht="18" hidden="1" customHeight="1" x14ac:dyDescent="0.2">
      <c r="A1635" s="11">
        <f>IF(INPUT!M1630="","",INPUT!M1630)</f>
        <v>46027</v>
      </c>
      <c r="B1635" s="11">
        <f>IF(INPUT!M1630="","",INPUT!M1630-WEEKDAY(INPUT!M1630,2)+1)</f>
        <v>46027</v>
      </c>
      <c r="C1635" s="20">
        <f>IFERROR(_xlfn.ISOWEEKNUM(INPUT!M1630),"")</f>
        <v>2</v>
      </c>
      <c r="D1635" s="20">
        <f>IFERROR(YEAR(INPUT!M1630),"")</f>
        <v>2026</v>
      </c>
      <c r="E1635" t="str">
        <f>IF(INPUT!O1630="","",INPUT!O1630)</f>
        <v>HARRISON</v>
      </c>
      <c r="F1635" t="str">
        <f>IF(INPUT!N1630="","",INPUT!N1630)</f>
        <v>M</v>
      </c>
      <c r="G1635" t="str" cm="1">
        <f t="array" ref="G1635">IFERROR(VLOOKUP(INPUT!M1630&amp;INPUT!N1630,CHOOSE({1,2},INPUT!$A$3:$A$5000&amp;INPUT!$C$3:$C$5000,INPUT!$F$3:$F$5000),2,FALSE),"")</f>
        <v>PRE-TEMPORADA</v>
      </c>
      <c r="H1635" t="str" cm="1">
        <f t="array" ref="H1635">IFERROR(VLOOKUP(INPUT!M1630&amp;INPUT!N1630,CHOOSE({1,2},INPUT!$A$3:$A$5000&amp;INPUT!$C$3:$C$5000,INPUT!$D$3:$D$5000),2,FALSE),"")</f>
        <v>TEC-TAC</v>
      </c>
      <c r="I1635" s="46">
        <f>IF(INPUT!P1630="","",INPUT!P1630)</f>
        <v>72</v>
      </c>
      <c r="J1635" s="46">
        <f>IF(INPUT!Q1630="","",INPUT!Q1630)</f>
        <v>71.3</v>
      </c>
      <c r="K1635" s="46">
        <f>IFERROR(IF(OR(INPUT!P1630="",INPUT!Q1630=""),"",INPUT!P1630-INPUT!Q1630),"")</f>
        <v>0.70000000000000284</v>
      </c>
      <c r="L1635" s="48">
        <f>IFERROR(IF(OR(INPUT!P1630="",INPUT!Q1630="",INPUT!P1630=0),"",(INPUT!P1630-INPUT!Q1630)/INPUT!P1630),"")</f>
        <v>9.7222222222222623E-3</v>
      </c>
    </row>
    <row r="1636" spans="1:12" ht="18" hidden="1" customHeight="1" x14ac:dyDescent="0.2">
      <c r="A1636" s="11">
        <f>IF(INPUT!M1631="","",INPUT!M1631)</f>
        <v>46027</v>
      </c>
      <c r="B1636" s="11">
        <f>IF(INPUT!M1631="","",INPUT!M1631-WEEKDAY(INPUT!M1631,2)+1)</f>
        <v>46027</v>
      </c>
      <c r="C1636" s="20">
        <f>IFERROR(_xlfn.ISOWEEKNUM(INPUT!M1631),"")</f>
        <v>2</v>
      </c>
      <c r="D1636" s="20">
        <f>IFERROR(YEAR(INPUT!M1631),"")</f>
        <v>2026</v>
      </c>
      <c r="E1636" t="str">
        <f>IF(INPUT!O1631="","",INPUT!O1631)</f>
        <v>RAYA</v>
      </c>
      <c r="F1636" t="str">
        <f>IF(INPUT!N1631="","",INPUT!N1631)</f>
        <v>M</v>
      </c>
      <c r="G1636" t="str" cm="1">
        <f t="array" ref="G1636">IFERROR(VLOOKUP(INPUT!M1631&amp;INPUT!N1631,CHOOSE({1,2},INPUT!$A$3:$A$5000&amp;INPUT!$C$3:$C$5000,INPUT!$F$3:$F$5000),2,FALSE),"")</f>
        <v>PRE-TEMPORADA</v>
      </c>
      <c r="H1636" t="str" cm="1">
        <f t="array" ref="H1636">IFERROR(VLOOKUP(INPUT!M1631&amp;INPUT!N1631,CHOOSE({1,2},INPUT!$A$3:$A$5000&amp;INPUT!$C$3:$C$5000,INPUT!$D$3:$D$5000),2,FALSE),"")</f>
        <v>TEC-TAC</v>
      </c>
      <c r="I1636" s="46">
        <f>IF(INPUT!P1631="","",INPUT!P1631)</f>
        <v>81.2</v>
      </c>
      <c r="J1636" s="46">
        <f>IF(INPUT!Q1631="","",INPUT!Q1631)</f>
        <v>79.8</v>
      </c>
      <c r="K1636" s="46">
        <f>IFERROR(IF(OR(INPUT!P1631="",INPUT!Q1631=""),"",INPUT!P1631-INPUT!Q1631),"")</f>
        <v>1.4000000000000057</v>
      </c>
      <c r="L1636" s="48">
        <f>IFERROR(IF(OR(INPUT!P1631="",INPUT!Q1631="",INPUT!P1631=0),"",(INPUT!P1631-INPUT!Q1631)/INPUT!P1631),"")</f>
        <v>1.7241379310344897E-2</v>
      </c>
    </row>
    <row r="1637" spans="1:12" ht="18" hidden="1" customHeight="1" x14ac:dyDescent="0.2">
      <c r="A1637" s="11">
        <f>IF(INPUT!M1632="","",INPUT!M1632)</f>
        <v>46027</v>
      </c>
      <c r="B1637" s="11">
        <f>IF(INPUT!M1632="","",INPUT!M1632-WEEKDAY(INPUT!M1632,2)+1)</f>
        <v>46027</v>
      </c>
      <c r="C1637" s="20">
        <f>IFERROR(_xlfn.ISOWEEKNUM(INPUT!M1632),"")</f>
        <v>2</v>
      </c>
      <c r="D1637" s="20">
        <f>IFERROR(YEAR(INPUT!M1632),"")</f>
        <v>2026</v>
      </c>
      <c r="E1637" t="str">
        <f>IF(INPUT!O1632="","",INPUT!O1632)</f>
        <v>JAVI</v>
      </c>
      <c r="F1637" t="str">
        <f>IF(INPUT!N1632="","",INPUT!N1632)</f>
        <v>M</v>
      </c>
      <c r="G1637" t="str" cm="1">
        <f t="array" ref="G1637">IFERROR(VLOOKUP(INPUT!M1632&amp;INPUT!N1632,CHOOSE({1,2},INPUT!$A$3:$A$5000&amp;INPUT!$C$3:$C$5000,INPUT!$F$3:$F$5000),2,FALSE),"")</f>
        <v>PRE-TEMPORADA</v>
      </c>
      <c r="H1637" t="str" cm="1">
        <f t="array" ref="H1637">IFERROR(VLOOKUP(INPUT!M1632&amp;INPUT!N1632,CHOOSE({1,2},INPUT!$A$3:$A$5000&amp;INPUT!$C$3:$C$5000,INPUT!$D$3:$D$5000),2,FALSE),"")</f>
        <v>TEC-TAC</v>
      </c>
      <c r="I1637" s="46">
        <f>IF(INPUT!P1632="","",INPUT!P1632)</f>
        <v>77.7</v>
      </c>
      <c r="J1637" s="46">
        <f>IF(INPUT!Q1632="","",INPUT!Q1632)</f>
        <v>77.8</v>
      </c>
      <c r="K1637" s="46">
        <f>IFERROR(IF(OR(INPUT!P1632="",INPUT!Q1632=""),"",INPUT!P1632-INPUT!Q1632),"")</f>
        <v>-9.9999999999994316E-2</v>
      </c>
      <c r="L1637" s="48">
        <f>IFERROR(IF(OR(INPUT!P1632="",INPUT!Q1632="",INPUT!P1632=0),"",(INPUT!P1632-INPUT!Q1632)/INPUT!P1632),"")</f>
        <v>-1.2870012870012139E-3</v>
      </c>
    </row>
    <row r="1638" spans="1:12" ht="18" hidden="1" customHeight="1" x14ac:dyDescent="0.2">
      <c r="A1638" s="11">
        <f>IF(INPUT!M1633="","",INPUT!M1633)</f>
        <v>46027</v>
      </c>
      <c r="B1638" s="11">
        <f>IF(INPUT!M1633="","",INPUT!M1633-WEEKDAY(INPUT!M1633,2)+1)</f>
        <v>46027</v>
      </c>
      <c r="C1638" s="20">
        <f>IFERROR(_xlfn.ISOWEEKNUM(INPUT!M1633),"")</f>
        <v>2</v>
      </c>
      <c r="D1638" s="20">
        <f>IFERROR(YEAR(INPUT!M1633),"")</f>
        <v>2026</v>
      </c>
      <c r="E1638" t="str">
        <f>IF(INPUT!O1633="","",INPUT!O1633)</f>
        <v>PANI</v>
      </c>
      <c r="F1638" t="str">
        <f>IF(INPUT!N1633="","",INPUT!N1633)</f>
        <v>M</v>
      </c>
      <c r="G1638" t="str" cm="1">
        <f t="array" ref="G1638">IFERROR(VLOOKUP(INPUT!M1633&amp;INPUT!N1633,CHOOSE({1,2},INPUT!$A$3:$A$5000&amp;INPUT!$C$3:$C$5000,INPUT!$F$3:$F$5000),2,FALSE),"")</f>
        <v>PRE-TEMPORADA</v>
      </c>
      <c r="H1638" t="str" cm="1">
        <f t="array" ref="H1638">IFERROR(VLOOKUP(INPUT!M1633&amp;INPUT!N1633,CHOOSE({1,2},INPUT!$A$3:$A$5000&amp;INPUT!$C$3:$C$5000,INPUT!$D$3:$D$5000),2,FALSE),"")</f>
        <v>TEC-TAC</v>
      </c>
      <c r="I1638" s="46">
        <f>IF(INPUT!P1633="","",INPUT!P1633)</f>
        <v>66.7</v>
      </c>
      <c r="J1638" s="46">
        <f>IF(INPUT!Q1633="","",INPUT!Q1633)</f>
        <v>66.400000000000006</v>
      </c>
      <c r="K1638" s="46">
        <f>IFERROR(IF(OR(INPUT!P1633="",INPUT!Q1633=""),"",INPUT!P1633-INPUT!Q1633),"")</f>
        <v>0.29999999999999716</v>
      </c>
      <c r="L1638" s="48">
        <f>IFERROR(IF(OR(INPUT!P1633="",INPUT!Q1633="",INPUT!P1633=0),"",(INPUT!P1633-INPUT!Q1633)/INPUT!P1633),"")</f>
        <v>4.4977511244377382E-3</v>
      </c>
    </row>
    <row r="1639" spans="1:12" ht="18" hidden="1" customHeight="1" x14ac:dyDescent="0.2">
      <c r="A1639" s="11">
        <f>IF(INPUT!M1634="","",INPUT!M1634)</f>
        <v>46027</v>
      </c>
      <c r="B1639" s="11">
        <f>IF(INPUT!M1634="","",INPUT!M1634-WEEKDAY(INPUT!M1634,2)+1)</f>
        <v>46027</v>
      </c>
      <c r="C1639" s="20">
        <f>IFERROR(_xlfn.ISOWEEKNUM(INPUT!M1634),"")</f>
        <v>2</v>
      </c>
      <c r="D1639" s="20">
        <f>IFERROR(YEAR(INPUT!M1634),"")</f>
        <v>2026</v>
      </c>
      <c r="E1639" t="str">
        <f>IF(INPUT!O1634="","",INPUT!O1634)</f>
        <v>PIRATA</v>
      </c>
      <c r="F1639" t="str">
        <f>IF(INPUT!N1634="","",INPUT!N1634)</f>
        <v>M</v>
      </c>
      <c r="G1639" t="str" cm="1">
        <f t="array" ref="G1639">IFERROR(VLOOKUP(INPUT!M1634&amp;INPUT!N1634,CHOOSE({1,2},INPUT!$A$3:$A$5000&amp;INPUT!$C$3:$C$5000,INPUT!$F$3:$F$5000),2,FALSE),"")</f>
        <v>PRE-TEMPORADA</v>
      </c>
      <c r="H1639" t="str" cm="1">
        <f t="array" ref="H1639">IFERROR(VLOOKUP(INPUT!M1634&amp;INPUT!N1634,CHOOSE({1,2},INPUT!$A$3:$A$5000&amp;INPUT!$C$3:$C$5000,INPUT!$D$3:$D$5000),2,FALSE),"")</f>
        <v>TEC-TAC</v>
      </c>
      <c r="I1639" s="46">
        <f>IF(INPUT!P1634="","",INPUT!P1634)</f>
        <v>75.099999999999994</v>
      </c>
      <c r="J1639" s="46">
        <f>IF(INPUT!Q1634="","",INPUT!Q1634)</f>
        <v>75.2</v>
      </c>
      <c r="K1639" s="46">
        <f>IFERROR(IF(OR(INPUT!P1634="",INPUT!Q1634=""),"",INPUT!P1634-INPUT!Q1634),"")</f>
        <v>-0.10000000000000853</v>
      </c>
      <c r="L1639" s="48">
        <f>IFERROR(IF(OR(INPUT!P1634="",INPUT!Q1634="",INPUT!P1634=0),"",(INPUT!P1634-INPUT!Q1634)/INPUT!P1634),"")</f>
        <v>-1.3315579227697542E-3</v>
      </c>
    </row>
    <row r="1640" spans="1:12" ht="18" hidden="1" customHeight="1" x14ac:dyDescent="0.2">
      <c r="A1640" s="11">
        <f>IF(INPUT!M1635="","",INPUT!M1635)</f>
        <v>46027</v>
      </c>
      <c r="B1640" s="11">
        <f>IF(INPUT!M1635="","",INPUT!M1635-WEEKDAY(INPUT!M1635,2)+1)</f>
        <v>46027</v>
      </c>
      <c r="C1640" s="20">
        <f>IFERROR(_xlfn.ISOWEEKNUM(INPUT!M1635),"")</f>
        <v>2</v>
      </c>
      <c r="D1640" s="20">
        <f>IFERROR(YEAR(INPUT!M1635),"")</f>
        <v>2026</v>
      </c>
      <c r="E1640" t="str">
        <f>IF(INPUT!O1635="","",INPUT!O1635)</f>
        <v>BARONA</v>
      </c>
      <c r="F1640" t="str">
        <f>IF(INPUT!N1635="","",INPUT!N1635)</f>
        <v>M</v>
      </c>
      <c r="G1640" t="str" cm="1">
        <f t="array" ref="G1640">IFERROR(VLOOKUP(INPUT!M1635&amp;INPUT!N1635,CHOOSE({1,2},INPUT!$A$3:$A$5000&amp;INPUT!$C$3:$C$5000,INPUT!$F$3:$F$5000),2,FALSE),"")</f>
        <v>PRE-TEMPORADA</v>
      </c>
      <c r="H1640" t="str" cm="1">
        <f t="array" ref="H1640">IFERROR(VLOOKUP(INPUT!M1635&amp;INPUT!N1635,CHOOSE({1,2},INPUT!$A$3:$A$5000&amp;INPUT!$C$3:$C$5000,INPUT!$D$3:$D$5000),2,FALSE),"")</f>
        <v>TEC-TAC</v>
      </c>
      <c r="I1640" s="46">
        <f>IF(INPUT!P1635="","",INPUT!P1635)</f>
        <v>71</v>
      </c>
      <c r="J1640" s="46">
        <f>IF(INPUT!Q1635="","",INPUT!Q1635)</f>
        <v>71</v>
      </c>
      <c r="K1640" s="46">
        <f>IFERROR(IF(OR(INPUT!P1635="",INPUT!Q1635=""),"",INPUT!P1635-INPUT!Q1635),"")</f>
        <v>0</v>
      </c>
      <c r="L1640" s="48">
        <f>IFERROR(IF(OR(INPUT!P1635="",INPUT!Q1635="",INPUT!P1635=0),"",(INPUT!P1635-INPUT!Q1635)/INPUT!P1635),"")</f>
        <v>0</v>
      </c>
    </row>
    <row r="1641" spans="1:12" ht="18" hidden="1" customHeight="1" x14ac:dyDescent="0.2">
      <c r="A1641" s="11">
        <f>IF(INPUT!M1636="","",INPUT!M1636)</f>
        <v>46027</v>
      </c>
      <c r="B1641" s="11">
        <f>IF(INPUT!M1636="","",INPUT!M1636-WEEKDAY(INPUT!M1636,2)+1)</f>
        <v>46027</v>
      </c>
      <c r="C1641" s="20">
        <f>IFERROR(_xlfn.ISOWEEKNUM(INPUT!M1636),"")</f>
        <v>2</v>
      </c>
      <c r="D1641" s="20">
        <f>IFERROR(YEAR(INPUT!M1636),"")</f>
        <v>2026</v>
      </c>
      <c r="E1641" t="str">
        <f>IF(INPUT!O1636="","",INPUT!O1636)</f>
        <v>CARLOS</v>
      </c>
      <c r="F1641" t="str">
        <f>IF(INPUT!N1636="","",INPUT!N1636)</f>
        <v>M</v>
      </c>
      <c r="G1641" t="str" cm="1">
        <f t="array" ref="G1641">IFERROR(VLOOKUP(INPUT!M1636&amp;INPUT!N1636,CHOOSE({1,2},INPUT!$A$3:$A$5000&amp;INPUT!$C$3:$C$5000,INPUT!$F$3:$F$5000),2,FALSE),"")</f>
        <v>PRE-TEMPORADA</v>
      </c>
      <c r="H1641" t="str" cm="1">
        <f t="array" ref="H1641">IFERROR(VLOOKUP(INPUT!M1636&amp;INPUT!N1636,CHOOSE({1,2},INPUT!$A$3:$A$5000&amp;INPUT!$C$3:$C$5000,INPUT!$D$3:$D$5000),2,FALSE),"")</f>
        <v>TEC-TAC</v>
      </c>
      <c r="I1641" s="46">
        <f>IF(INPUT!P1636="","",INPUT!P1636)</f>
        <v>68.2</v>
      </c>
      <c r="J1641" s="46">
        <f>IF(INPUT!Q1636="","",INPUT!Q1636)</f>
        <v>67.599999999999994</v>
      </c>
      <c r="K1641" s="46">
        <f>IFERROR(IF(OR(INPUT!P1636="",INPUT!Q1636=""),"",INPUT!P1636-INPUT!Q1636),"")</f>
        <v>0.60000000000000853</v>
      </c>
      <c r="L1641" s="48">
        <f>IFERROR(IF(OR(INPUT!P1636="",INPUT!Q1636="",INPUT!P1636=0),"",(INPUT!P1636-INPUT!Q1636)/INPUT!P1636),"")</f>
        <v>8.7976539589444056E-3</v>
      </c>
    </row>
    <row r="1642" spans="1:12" ht="18" hidden="1" customHeight="1" x14ac:dyDescent="0.2">
      <c r="A1642" s="11">
        <f>IF(INPUT!M1637="","",INPUT!M1637)</f>
        <v>46027</v>
      </c>
      <c r="B1642" s="11">
        <f>IF(INPUT!M1637="","",INPUT!M1637-WEEKDAY(INPUT!M1637,2)+1)</f>
        <v>46027</v>
      </c>
      <c r="C1642" s="20">
        <f>IFERROR(_xlfn.ISOWEEKNUM(INPUT!M1637),"")</f>
        <v>2</v>
      </c>
      <c r="D1642" s="20">
        <f>IFERROR(YEAR(INPUT!M1637),"")</f>
        <v>2026</v>
      </c>
      <c r="E1642" t="str">
        <f>IF(INPUT!O1637="","",INPUT!O1637)</f>
        <v>RUBIO</v>
      </c>
      <c r="F1642" t="str">
        <f>IF(INPUT!N1637="","",INPUT!N1637)</f>
        <v>M</v>
      </c>
      <c r="G1642" t="str" cm="1">
        <f t="array" ref="G1642">IFERROR(VLOOKUP(INPUT!M1637&amp;INPUT!N1637,CHOOSE({1,2},INPUT!$A$3:$A$5000&amp;INPUT!$C$3:$C$5000,INPUT!$F$3:$F$5000),2,FALSE),"")</f>
        <v>PRE-TEMPORADA</v>
      </c>
      <c r="H1642" t="str" cm="1">
        <f t="array" ref="H1642">IFERROR(VLOOKUP(INPUT!M1637&amp;INPUT!N1637,CHOOSE({1,2},INPUT!$A$3:$A$5000&amp;INPUT!$C$3:$C$5000,INPUT!$D$3:$D$5000),2,FALSE),"")</f>
        <v>TEC-TAC</v>
      </c>
      <c r="I1642" s="46">
        <f>IF(INPUT!P1637="","",INPUT!P1637)</f>
        <v>75.400000000000006</v>
      </c>
      <c r="J1642" s="46">
        <f>IF(INPUT!Q1637="","",INPUT!Q1637)</f>
        <v>75.5</v>
      </c>
      <c r="K1642" s="46">
        <f>IFERROR(IF(OR(INPUT!P1637="",INPUT!Q1637=""),"",INPUT!P1637-INPUT!Q1637),"")</f>
        <v>-9.9999999999994316E-2</v>
      </c>
      <c r="L1642" s="48">
        <f>IFERROR(IF(OR(INPUT!P1637="",INPUT!Q1637="",INPUT!P1637=0),"",(INPUT!P1637-INPUT!Q1637)/INPUT!P1637),"")</f>
        <v>-1.3262599469495266E-3</v>
      </c>
    </row>
    <row r="1643" spans="1:12" ht="18" hidden="1" customHeight="1" x14ac:dyDescent="0.2">
      <c r="A1643" s="11">
        <f>IF(INPUT!M1638="","",INPUT!M1638)</f>
        <v>46027</v>
      </c>
      <c r="B1643" s="11">
        <f>IF(INPUT!M1638="","",INPUT!M1638-WEEKDAY(INPUT!M1638,2)+1)</f>
        <v>46027</v>
      </c>
      <c r="C1643" s="20">
        <f>IFERROR(_xlfn.ISOWEEKNUM(INPUT!M1638),"")</f>
        <v>2</v>
      </c>
      <c r="D1643" s="20">
        <f>IFERROR(YEAR(INPUT!M1638),"")</f>
        <v>2026</v>
      </c>
      <c r="E1643" t="str">
        <f>IF(INPUT!O1638="","",INPUT!O1638)</f>
        <v>DANI</v>
      </c>
      <c r="F1643" t="str">
        <f>IF(INPUT!N1638="","",INPUT!N1638)</f>
        <v>M</v>
      </c>
      <c r="G1643" t="str" cm="1">
        <f t="array" ref="G1643">IFERROR(VLOOKUP(INPUT!M1638&amp;INPUT!N1638,CHOOSE({1,2},INPUT!$A$3:$A$5000&amp;INPUT!$C$3:$C$5000,INPUT!$F$3:$F$5000),2,FALSE),"")</f>
        <v>PRE-TEMPORADA</v>
      </c>
      <c r="H1643" t="str" cm="1">
        <f t="array" ref="H1643">IFERROR(VLOOKUP(INPUT!M1638&amp;INPUT!N1638,CHOOSE({1,2},INPUT!$A$3:$A$5000&amp;INPUT!$C$3:$C$5000,INPUT!$D$3:$D$5000),2,FALSE),"")</f>
        <v>TEC-TAC</v>
      </c>
      <c r="I1643" s="46">
        <f>IF(INPUT!P1638="","",INPUT!P1638)</f>
        <v>90.2</v>
      </c>
      <c r="J1643" s="46">
        <f>IF(INPUT!Q1638="","",INPUT!Q1638)</f>
        <v>89.3</v>
      </c>
      <c r="K1643" s="46">
        <f>IFERROR(IF(OR(INPUT!P1638="",INPUT!Q1638=""),"",INPUT!P1638-INPUT!Q1638),"")</f>
        <v>0.90000000000000568</v>
      </c>
      <c r="L1643" s="48">
        <f>IFERROR(IF(OR(INPUT!P1638="",INPUT!Q1638="",INPUT!P1638=0),"",(INPUT!P1638-INPUT!Q1638)/INPUT!P1638),"")</f>
        <v>9.9778270509978447E-3</v>
      </c>
    </row>
    <row r="1644" spans="1:12" ht="18" hidden="1" customHeight="1" x14ac:dyDescent="0.2">
      <c r="A1644" s="11">
        <f>IF(INPUT!M1639="","",INPUT!M1639)</f>
        <v>46027</v>
      </c>
      <c r="B1644" s="11">
        <f>IF(INPUT!M1639="","",INPUT!M1639-WEEKDAY(INPUT!M1639,2)+1)</f>
        <v>46027</v>
      </c>
      <c r="C1644" s="20">
        <f>IFERROR(_xlfn.ISOWEEKNUM(INPUT!M1639),"")</f>
        <v>2</v>
      </c>
      <c r="D1644" s="20">
        <f>IFERROR(YEAR(INPUT!M1639),"")</f>
        <v>2026</v>
      </c>
      <c r="E1644" t="str">
        <f>IF(INPUT!O1639="","",INPUT!O1639)</f>
        <v>JAIME</v>
      </c>
      <c r="F1644" t="str">
        <f>IF(INPUT!N1639="","",INPUT!N1639)</f>
        <v>M</v>
      </c>
      <c r="G1644" t="str" cm="1">
        <f t="array" ref="G1644">IFERROR(VLOOKUP(INPUT!M1639&amp;INPUT!N1639,CHOOSE({1,2},INPUT!$A$3:$A$5000&amp;INPUT!$C$3:$C$5000,INPUT!$F$3:$F$5000),2,FALSE),"")</f>
        <v>PRE-TEMPORADA</v>
      </c>
      <c r="H1644" t="str" cm="1">
        <f t="array" ref="H1644">IFERROR(VLOOKUP(INPUT!M1639&amp;INPUT!N1639,CHOOSE({1,2},INPUT!$A$3:$A$5000&amp;INPUT!$C$3:$C$5000,INPUT!$D$3:$D$5000),2,FALSE),"")</f>
        <v>TEC-TAC</v>
      </c>
      <c r="I1644" s="46">
        <f>IF(INPUT!P1639="","",INPUT!P1639)</f>
        <v>74.2</v>
      </c>
      <c r="J1644" s="46">
        <f>IF(INPUT!Q1639="","",INPUT!Q1639)</f>
        <v>74.099999999999994</v>
      </c>
      <c r="K1644" s="46">
        <f>IFERROR(IF(OR(INPUT!P1639="",INPUT!Q1639=""),"",INPUT!P1639-INPUT!Q1639),"")</f>
        <v>0.10000000000000853</v>
      </c>
      <c r="L1644" s="48">
        <f>IFERROR(IF(OR(INPUT!P1639="",INPUT!Q1639="",INPUT!P1639=0),"",(INPUT!P1639-INPUT!Q1639)/INPUT!P1639),"")</f>
        <v>1.347708894878821E-3</v>
      </c>
    </row>
    <row r="1645" spans="1:12" ht="18" hidden="1" customHeight="1" x14ac:dyDescent="0.2">
      <c r="A1645" s="11">
        <f>IF(INPUT!M1640="","",INPUT!M1640)</f>
        <v>46028</v>
      </c>
      <c r="B1645" s="11">
        <f>IF(INPUT!M1640="","",INPUT!M1640-WEEKDAY(INPUT!M1640,2)+1)</f>
        <v>46027</v>
      </c>
      <c r="C1645" s="20">
        <f>IFERROR(_xlfn.ISOWEEKNUM(INPUT!M1640),"")</f>
        <v>2</v>
      </c>
      <c r="D1645" s="20">
        <f>IFERROR(YEAR(INPUT!M1640),"")</f>
        <v>2026</v>
      </c>
      <c r="E1645" t="str">
        <f>IF(INPUT!O1640="","",INPUT!O1640)</f>
        <v>HERRERO</v>
      </c>
      <c r="F1645" t="str">
        <f>IF(INPUT!N1640="","",INPUT!N1640)</f>
        <v>T</v>
      </c>
      <c r="G1645" t="str" cm="1">
        <f t="array" ref="G1645">IFERROR(VLOOKUP(INPUT!M1640&amp;INPUT!N1640,CHOOSE({1,2},INPUT!$A$3:$A$5000&amp;INPUT!$C$3:$C$5000,INPUT!$F$3:$F$5000),2,FALSE),"")</f>
        <v>PRE-TEMPORADA</v>
      </c>
      <c r="H1645" t="str" cm="1">
        <f t="array" ref="H1645">IFERROR(VLOOKUP(INPUT!M1640&amp;INPUT!N1640,CHOOSE({1,2},INPUT!$A$3:$A$5000&amp;INPUT!$C$3:$C$5000,INPUT!$D$3:$D$5000),2,FALSE),"")</f>
        <v>TEC-TAC</v>
      </c>
      <c r="I1645" s="46">
        <f>IF(INPUT!P1640="","",INPUT!P1640)</f>
        <v>77</v>
      </c>
      <c r="J1645" s="46">
        <f>IF(INPUT!Q1640="","",INPUT!Q1640)</f>
        <v>77.8</v>
      </c>
      <c r="K1645" s="46">
        <f>IFERROR(IF(OR(INPUT!P1640="",INPUT!Q1640=""),"",INPUT!P1640-INPUT!Q1640),"")</f>
        <v>-0.79999999999999716</v>
      </c>
      <c r="L1645" s="48">
        <f>IFERROR(IF(OR(INPUT!P1640="",INPUT!Q1640="",INPUT!P1640=0),"",(INPUT!P1640-INPUT!Q1640)/INPUT!P1640),"")</f>
        <v>-1.0389610389610353E-2</v>
      </c>
    </row>
    <row r="1646" spans="1:12" ht="18" hidden="1" customHeight="1" x14ac:dyDescent="0.2">
      <c r="A1646" s="11">
        <f>IF(INPUT!M1641="","",INPUT!M1641)</f>
        <v>46028</v>
      </c>
      <c r="B1646" s="11">
        <f>IF(INPUT!M1641="","",INPUT!M1641-WEEKDAY(INPUT!M1641,2)+1)</f>
        <v>46027</v>
      </c>
      <c r="C1646" s="20">
        <f>IFERROR(_xlfn.ISOWEEKNUM(INPUT!M1641),"")</f>
        <v>2</v>
      </c>
      <c r="D1646" s="20">
        <f>IFERROR(YEAR(INPUT!M1641),"")</f>
        <v>2026</v>
      </c>
      <c r="E1646" t="str">
        <f>IF(INPUT!O1641="","",INPUT!O1641)</f>
        <v>GARCIA</v>
      </c>
      <c r="F1646" t="str">
        <f>IF(INPUT!N1641="","",INPUT!N1641)</f>
        <v>T</v>
      </c>
      <c r="G1646" t="str" cm="1">
        <f t="array" ref="G1646">IFERROR(VLOOKUP(INPUT!M1641&amp;INPUT!N1641,CHOOSE({1,2},INPUT!$A$3:$A$5000&amp;INPUT!$C$3:$C$5000,INPUT!$F$3:$F$5000),2,FALSE),"")</f>
        <v>PRE-TEMPORADA</v>
      </c>
      <c r="H1646" t="str" cm="1">
        <f t="array" ref="H1646">IFERROR(VLOOKUP(INPUT!M1641&amp;INPUT!N1641,CHOOSE({1,2},INPUT!$A$3:$A$5000&amp;INPUT!$C$3:$C$5000,INPUT!$D$3:$D$5000),2,FALSE),"")</f>
        <v>TEC-TAC</v>
      </c>
      <c r="I1646" s="46">
        <f>IF(INPUT!P1641="","",INPUT!P1641)</f>
        <v>79.900000000000006</v>
      </c>
      <c r="J1646" s="46">
        <f>IF(INPUT!Q1641="","",INPUT!Q1641)</f>
        <v>79.2</v>
      </c>
      <c r="K1646" s="46">
        <f>IFERROR(IF(OR(INPUT!P1641="",INPUT!Q1641=""),"",INPUT!P1641-INPUT!Q1641),"")</f>
        <v>0.70000000000000284</v>
      </c>
      <c r="L1646" s="48">
        <f>IFERROR(IF(OR(INPUT!P1641="",INPUT!Q1641="",INPUT!P1641=0),"",(INPUT!P1641-INPUT!Q1641)/INPUT!P1641),"")</f>
        <v>8.7609511889862671E-3</v>
      </c>
    </row>
    <row r="1647" spans="1:12" ht="18" hidden="1" customHeight="1" x14ac:dyDescent="0.2">
      <c r="A1647" s="11">
        <f>IF(INPUT!M1642="","",INPUT!M1642)</f>
        <v>46028</v>
      </c>
      <c r="B1647" s="11">
        <f>IF(INPUT!M1642="","",INPUT!M1642-WEEKDAY(INPUT!M1642,2)+1)</f>
        <v>46027</v>
      </c>
      <c r="C1647" s="20">
        <f>IFERROR(_xlfn.ISOWEEKNUM(INPUT!M1642),"")</f>
        <v>2</v>
      </c>
      <c r="D1647" s="20">
        <f>IFERROR(YEAR(INPUT!M1642),"")</f>
        <v>2026</v>
      </c>
      <c r="E1647" t="str">
        <f>IF(INPUT!O1642="","",INPUT!O1642)</f>
        <v>CECILIO</v>
      </c>
      <c r="F1647" t="str">
        <f>IF(INPUT!N1642="","",INPUT!N1642)</f>
        <v>T</v>
      </c>
      <c r="G1647" t="str" cm="1">
        <f t="array" ref="G1647">IFERROR(VLOOKUP(INPUT!M1642&amp;INPUT!N1642,CHOOSE({1,2},INPUT!$A$3:$A$5000&amp;INPUT!$C$3:$C$5000,INPUT!$F$3:$F$5000),2,FALSE),"")</f>
        <v>PRE-TEMPORADA</v>
      </c>
      <c r="H1647" t="str" cm="1">
        <f t="array" ref="H1647">IFERROR(VLOOKUP(INPUT!M1642&amp;INPUT!N1642,CHOOSE({1,2},INPUT!$A$3:$A$5000&amp;INPUT!$C$3:$C$5000,INPUT!$D$3:$D$5000),2,FALSE),"")</f>
        <v>TEC-TAC</v>
      </c>
      <c r="I1647" s="46">
        <f>IF(INPUT!P1642="","",INPUT!P1642)</f>
        <v>67.8</v>
      </c>
      <c r="J1647" s="46">
        <f>IF(INPUT!Q1642="","",INPUT!Q1642)</f>
        <v>68</v>
      </c>
      <c r="K1647" s="46">
        <f>IFERROR(IF(OR(INPUT!P1642="",INPUT!Q1642=""),"",INPUT!P1642-INPUT!Q1642),"")</f>
        <v>-0.20000000000000284</v>
      </c>
      <c r="L1647" s="48">
        <f>IFERROR(IF(OR(INPUT!P1642="",INPUT!Q1642="",INPUT!P1642=0),"",(INPUT!P1642-INPUT!Q1642)/INPUT!P1642),"")</f>
        <v>-2.9498525073746733E-3</v>
      </c>
    </row>
    <row r="1648" spans="1:12" ht="18" hidden="1" customHeight="1" x14ac:dyDescent="0.2">
      <c r="A1648" s="11">
        <f>IF(INPUT!M1643="","",INPUT!M1643)</f>
        <v>46028</v>
      </c>
      <c r="B1648" s="11">
        <f>IF(INPUT!M1643="","",INPUT!M1643-WEEKDAY(INPUT!M1643,2)+1)</f>
        <v>46027</v>
      </c>
      <c r="C1648" s="20">
        <f>IFERROR(_xlfn.ISOWEEKNUM(INPUT!M1643),"")</f>
        <v>2</v>
      </c>
      <c r="D1648" s="20">
        <f>IFERROR(YEAR(INPUT!M1643),"")</f>
        <v>2026</v>
      </c>
      <c r="E1648" t="str">
        <f>IF(INPUT!O1643="","",INPUT!O1643)</f>
        <v>CHAGUINHA</v>
      </c>
      <c r="F1648" t="str">
        <f>IF(INPUT!N1643="","",INPUT!N1643)</f>
        <v>T</v>
      </c>
      <c r="G1648" t="str" cm="1">
        <f t="array" ref="G1648">IFERROR(VLOOKUP(INPUT!M1643&amp;INPUT!N1643,CHOOSE({1,2},INPUT!$A$3:$A$5000&amp;INPUT!$C$3:$C$5000,INPUT!$F$3:$F$5000),2,FALSE),"")</f>
        <v>PRE-TEMPORADA</v>
      </c>
      <c r="H1648" t="str" cm="1">
        <f t="array" ref="H1648">IFERROR(VLOOKUP(INPUT!M1643&amp;INPUT!N1643,CHOOSE({1,2},INPUT!$A$3:$A$5000&amp;INPUT!$C$3:$C$5000,INPUT!$D$3:$D$5000),2,FALSE),"")</f>
        <v>TEC-TAC</v>
      </c>
      <c r="I1648" s="46">
        <f>IF(INPUT!P1643="","",INPUT!P1643)</f>
        <v>69</v>
      </c>
      <c r="J1648" s="46">
        <f>IF(INPUT!Q1643="","",INPUT!Q1643)</f>
        <v>68</v>
      </c>
      <c r="K1648" s="46">
        <f>IFERROR(IF(OR(INPUT!P1643="",INPUT!Q1643=""),"",INPUT!P1643-INPUT!Q1643),"")</f>
        <v>1</v>
      </c>
      <c r="L1648" s="48">
        <f>IFERROR(IF(OR(INPUT!P1643="",INPUT!Q1643="",INPUT!P1643=0),"",(INPUT!P1643-INPUT!Q1643)/INPUT!P1643),"")</f>
        <v>1.4492753623188406E-2</v>
      </c>
    </row>
    <row r="1649" spans="1:12" ht="18" hidden="1" customHeight="1" x14ac:dyDescent="0.2">
      <c r="A1649" s="11">
        <f>IF(INPUT!M1644="","",INPUT!M1644)</f>
        <v>46028</v>
      </c>
      <c r="B1649" s="11">
        <f>IF(INPUT!M1644="","",INPUT!M1644-WEEKDAY(INPUT!M1644,2)+1)</f>
        <v>46027</v>
      </c>
      <c r="C1649" s="20">
        <f>IFERROR(_xlfn.ISOWEEKNUM(INPUT!M1644),"")</f>
        <v>2</v>
      </c>
      <c r="D1649" s="20">
        <f>IFERROR(YEAR(INPUT!M1644),"")</f>
        <v>2026</v>
      </c>
      <c r="E1649" t="str">
        <f>IF(INPUT!O1644="","",INPUT!O1644)</f>
        <v>RAUL</v>
      </c>
      <c r="F1649" t="str">
        <f>IF(INPUT!N1644="","",INPUT!N1644)</f>
        <v>T</v>
      </c>
      <c r="G1649" t="str" cm="1">
        <f t="array" ref="G1649">IFERROR(VLOOKUP(INPUT!M1644&amp;INPUT!N1644,CHOOSE({1,2},INPUT!$A$3:$A$5000&amp;INPUT!$C$3:$C$5000,INPUT!$F$3:$F$5000),2,FALSE),"")</f>
        <v>PRE-TEMPORADA</v>
      </c>
      <c r="H1649" t="str" cm="1">
        <f t="array" ref="H1649">IFERROR(VLOOKUP(INPUT!M1644&amp;INPUT!N1644,CHOOSE({1,2},INPUT!$A$3:$A$5000&amp;INPUT!$C$3:$C$5000,INPUT!$D$3:$D$5000),2,FALSE),"")</f>
        <v>TEC-TAC</v>
      </c>
      <c r="I1649" s="46">
        <f>IF(INPUT!P1644="","",INPUT!P1644)</f>
        <v>81.400000000000006</v>
      </c>
      <c r="J1649" s="46">
        <f>IF(INPUT!Q1644="","",INPUT!Q1644)</f>
        <v>81</v>
      </c>
      <c r="K1649" s="46">
        <f>IFERROR(IF(OR(INPUT!P1644="",INPUT!Q1644=""),"",INPUT!P1644-INPUT!Q1644),"")</f>
        <v>0.40000000000000568</v>
      </c>
      <c r="L1649" s="48">
        <f>IFERROR(IF(OR(INPUT!P1644="",INPUT!Q1644="",INPUT!P1644=0),"",(INPUT!P1644-INPUT!Q1644)/INPUT!P1644),"")</f>
        <v>4.9140049140049833E-3</v>
      </c>
    </row>
    <row r="1650" spans="1:12" ht="18" customHeight="1" x14ac:dyDescent="0.2">
      <c r="A1650" s="11">
        <f>IF(INPUT!M1645="","",INPUT!M1645)</f>
        <v>46028</v>
      </c>
      <c r="B1650" s="11">
        <f>IF(INPUT!M1645="","",INPUT!M1645-WEEKDAY(INPUT!M1645,2)+1)</f>
        <v>46027</v>
      </c>
      <c r="C1650" s="20">
        <f>IFERROR(_xlfn.ISOWEEKNUM(INPUT!M1645),"")</f>
        <v>2</v>
      </c>
      <c r="D1650" s="20">
        <f>IFERROR(YEAR(INPUT!M1645),"")</f>
        <v>2026</v>
      </c>
      <c r="E1650" t="str">
        <f>IF(INPUT!O1645="","",INPUT!O1645)</f>
        <v>HARRISON</v>
      </c>
      <c r="F1650" t="str">
        <f>IF(INPUT!N1645="","",INPUT!N1645)</f>
        <v>T</v>
      </c>
      <c r="G1650" t="str" cm="1">
        <f t="array" ref="G1650">IFERROR(VLOOKUP(INPUT!M1645&amp;INPUT!N1645,CHOOSE({1,2},INPUT!$A$3:$A$5000&amp;INPUT!$C$3:$C$5000,INPUT!$F$3:$F$5000),2,FALSE),"")</f>
        <v>PRE-TEMPORADA</v>
      </c>
      <c r="H1650" t="str" cm="1">
        <f t="array" ref="H1650">IFERROR(VLOOKUP(INPUT!M1645&amp;INPUT!N1645,CHOOSE({1,2},INPUT!$A$3:$A$5000&amp;INPUT!$C$3:$C$5000,INPUT!$D$3:$D$5000),2,FALSE),"")</f>
        <v>TEC-TAC</v>
      </c>
      <c r="I1650" s="46">
        <f>IF(INPUT!P1645="","",INPUT!P1645)</f>
        <v>71.5</v>
      </c>
      <c r="J1650" s="46">
        <f>IF(INPUT!Q1645="","",INPUT!Q1645)</f>
        <v>71</v>
      </c>
      <c r="K1650" s="46">
        <f>IFERROR(IF(OR(INPUT!P1645="",INPUT!Q1645=""),"",INPUT!P1645-INPUT!Q1645),"")</f>
        <v>0.5</v>
      </c>
      <c r="L1650" s="48">
        <f>IFERROR(IF(OR(INPUT!P1645="",INPUT!Q1645="",INPUT!P1645=0),"",(INPUT!P1645-INPUT!Q1645)/INPUT!P1645),"")</f>
        <v>6.993006993006993E-3</v>
      </c>
    </row>
    <row r="1651" spans="1:12" ht="18" customHeight="1" x14ac:dyDescent="0.2">
      <c r="A1651" s="11">
        <f>IF(INPUT!M1646="","",INPUT!M1646)</f>
        <v>46028</v>
      </c>
      <c r="B1651" s="11">
        <f>IF(INPUT!M1646="","",INPUT!M1646-WEEKDAY(INPUT!M1646,2)+1)</f>
        <v>46027</v>
      </c>
      <c r="C1651" s="20">
        <f>IFERROR(_xlfn.ISOWEEKNUM(INPUT!M1646),"")</f>
        <v>2</v>
      </c>
      <c r="D1651" s="20">
        <f>IFERROR(YEAR(INPUT!M1646),"")</f>
        <v>2026</v>
      </c>
      <c r="E1651" t="str">
        <f>IF(INPUT!O1646="","",INPUT!O1646)</f>
        <v>RAYA</v>
      </c>
      <c r="F1651" t="str">
        <f>IF(INPUT!N1646="","",INPUT!N1646)</f>
        <v>T</v>
      </c>
      <c r="G1651" t="str" cm="1">
        <f t="array" ref="G1651">IFERROR(VLOOKUP(INPUT!M1646&amp;INPUT!N1646,CHOOSE({1,2},INPUT!$A$3:$A$5000&amp;INPUT!$C$3:$C$5000,INPUT!$F$3:$F$5000),2,FALSE),"")</f>
        <v>PRE-TEMPORADA</v>
      </c>
      <c r="H1651" t="str" cm="1">
        <f t="array" ref="H1651">IFERROR(VLOOKUP(INPUT!M1646&amp;INPUT!N1646,CHOOSE({1,2},INPUT!$A$3:$A$5000&amp;INPUT!$C$3:$C$5000,INPUT!$D$3:$D$5000),2,FALSE),"")</f>
        <v>TEC-TAC</v>
      </c>
      <c r="I1651" s="46">
        <f>IF(INPUT!P1646="","",INPUT!P1646)</f>
        <v>80.900000000000006</v>
      </c>
      <c r="J1651" s="46">
        <f>IF(INPUT!Q1646="","",INPUT!Q1646)</f>
        <v>79.8</v>
      </c>
      <c r="K1651" s="46">
        <f>IFERROR(IF(OR(INPUT!P1646="",INPUT!Q1646=""),"",INPUT!P1646-INPUT!Q1646),"")</f>
        <v>1.1000000000000085</v>
      </c>
      <c r="L1651" s="48">
        <f>IFERROR(IF(OR(INPUT!P1646="",INPUT!Q1646="",INPUT!P1646=0),"",(INPUT!P1646-INPUT!Q1646)/INPUT!P1646),"")</f>
        <v>1.359703337453657E-2</v>
      </c>
    </row>
    <row r="1652" spans="1:12" ht="18" customHeight="1" x14ac:dyDescent="0.2">
      <c r="A1652" s="11">
        <f>IF(INPUT!M1647="","",INPUT!M1647)</f>
        <v>46028</v>
      </c>
      <c r="B1652" s="11">
        <f>IF(INPUT!M1647="","",INPUT!M1647-WEEKDAY(INPUT!M1647,2)+1)</f>
        <v>46027</v>
      </c>
      <c r="C1652" s="20">
        <f>IFERROR(_xlfn.ISOWEEKNUM(INPUT!M1647),"")</f>
        <v>2</v>
      </c>
      <c r="D1652" s="20">
        <f>IFERROR(YEAR(INPUT!M1647),"")</f>
        <v>2026</v>
      </c>
      <c r="E1652" t="str">
        <f>IF(INPUT!O1647="","",INPUT!O1647)</f>
        <v>JAVI</v>
      </c>
      <c r="F1652" t="str">
        <f>IF(INPUT!N1647="","",INPUT!N1647)</f>
        <v>T</v>
      </c>
      <c r="G1652" t="str" cm="1">
        <f t="array" ref="G1652">IFERROR(VLOOKUP(INPUT!M1647&amp;INPUT!N1647,CHOOSE({1,2},INPUT!$A$3:$A$5000&amp;INPUT!$C$3:$C$5000,INPUT!$F$3:$F$5000),2,FALSE),"")</f>
        <v>PRE-TEMPORADA</v>
      </c>
      <c r="H1652" t="str" cm="1">
        <f t="array" ref="H1652">IFERROR(VLOOKUP(INPUT!M1647&amp;INPUT!N1647,CHOOSE({1,2},INPUT!$A$3:$A$5000&amp;INPUT!$C$3:$C$5000,INPUT!$D$3:$D$5000),2,FALSE),"")</f>
        <v>TEC-TAC</v>
      </c>
      <c r="I1652" s="46">
        <f>IF(INPUT!P1647="","",INPUT!P1647)</f>
        <v>77.7</v>
      </c>
      <c r="J1652" s="46">
        <f>IF(INPUT!Q1647="","",INPUT!Q1647)</f>
        <v>77.8</v>
      </c>
      <c r="K1652" s="46">
        <f>IFERROR(IF(OR(INPUT!P1647="",INPUT!Q1647=""),"",INPUT!P1647-INPUT!Q1647),"")</f>
        <v>-9.9999999999994316E-2</v>
      </c>
      <c r="L1652" s="48">
        <f>IFERROR(IF(OR(INPUT!P1647="",INPUT!Q1647="",INPUT!P1647=0),"",(INPUT!P1647-INPUT!Q1647)/INPUT!P1647),"")</f>
        <v>-1.2870012870012139E-3</v>
      </c>
    </row>
    <row r="1653" spans="1:12" ht="18" customHeight="1" x14ac:dyDescent="0.2">
      <c r="A1653" s="11">
        <f>IF(INPUT!M1648="","",INPUT!M1648)</f>
        <v>46028</v>
      </c>
      <c r="B1653" s="11">
        <f>IF(INPUT!M1648="","",INPUT!M1648-WEEKDAY(INPUT!M1648,2)+1)</f>
        <v>46027</v>
      </c>
      <c r="C1653" s="20">
        <f>IFERROR(_xlfn.ISOWEEKNUM(INPUT!M1648),"")</f>
        <v>2</v>
      </c>
      <c r="D1653" s="20">
        <f>IFERROR(YEAR(INPUT!M1648),"")</f>
        <v>2026</v>
      </c>
      <c r="E1653" t="str">
        <f>IF(INPUT!O1648="","",INPUT!O1648)</f>
        <v>PANI</v>
      </c>
      <c r="F1653" t="str">
        <f>IF(INPUT!N1648="","",INPUT!N1648)</f>
        <v>T</v>
      </c>
      <c r="G1653" t="str" cm="1">
        <f t="array" ref="G1653">IFERROR(VLOOKUP(INPUT!M1648&amp;INPUT!N1648,CHOOSE({1,2},INPUT!$A$3:$A$5000&amp;INPUT!$C$3:$C$5000,INPUT!$F$3:$F$5000),2,FALSE),"")</f>
        <v>PRE-TEMPORADA</v>
      </c>
      <c r="H1653" t="str" cm="1">
        <f t="array" ref="H1653">IFERROR(VLOOKUP(INPUT!M1648&amp;INPUT!N1648,CHOOSE({1,2},INPUT!$A$3:$A$5000&amp;INPUT!$C$3:$C$5000,INPUT!$D$3:$D$5000),2,FALSE),"")</f>
        <v>TEC-TAC</v>
      </c>
      <c r="I1653" s="46">
        <f>IF(INPUT!P1648="","",INPUT!P1648)</f>
        <v>66.3</v>
      </c>
      <c r="J1653" s="46">
        <f>IF(INPUT!Q1648="","",INPUT!Q1648)</f>
        <v>65.599999999999994</v>
      </c>
      <c r="K1653" s="46">
        <f>IFERROR(IF(OR(INPUT!P1648="",INPUT!Q1648=""),"",INPUT!P1648-INPUT!Q1648),"")</f>
        <v>0.70000000000000284</v>
      </c>
      <c r="L1653" s="48">
        <f>IFERROR(IF(OR(INPUT!P1648="",INPUT!Q1648="",INPUT!P1648=0),"",(INPUT!P1648-INPUT!Q1648)/INPUT!P1648),"")</f>
        <v>1.0558069381598837E-2</v>
      </c>
    </row>
    <row r="1654" spans="1:12" ht="18" hidden="1" customHeight="1" x14ac:dyDescent="0.2">
      <c r="A1654" s="11">
        <f>IF(INPUT!M1649="","",INPUT!M1649)</f>
        <v>46028</v>
      </c>
      <c r="B1654" s="11">
        <f>IF(INPUT!M1649="","",INPUT!M1649-WEEKDAY(INPUT!M1649,2)+1)</f>
        <v>46027</v>
      </c>
      <c r="C1654" s="20">
        <f>IFERROR(_xlfn.ISOWEEKNUM(INPUT!M1649),"")</f>
        <v>2</v>
      </c>
      <c r="D1654" s="20">
        <f>IFERROR(YEAR(INPUT!M1649),"")</f>
        <v>2026</v>
      </c>
      <c r="E1654" t="str">
        <f>IF(INPUT!O1649="","",INPUT!O1649)</f>
        <v>PIRATA</v>
      </c>
      <c r="F1654" t="str">
        <f>IF(INPUT!N1649="","",INPUT!N1649)</f>
        <v>T</v>
      </c>
      <c r="G1654" t="str" cm="1">
        <f t="array" ref="G1654">IFERROR(VLOOKUP(INPUT!M1649&amp;INPUT!N1649,CHOOSE({1,2},INPUT!$A$3:$A$5000&amp;INPUT!$C$3:$C$5000,INPUT!$F$3:$F$5000),2,FALSE),"")</f>
        <v>PRE-TEMPORADA</v>
      </c>
      <c r="H1654" t="str" cm="1">
        <f t="array" ref="H1654">IFERROR(VLOOKUP(INPUT!M1649&amp;INPUT!N1649,CHOOSE({1,2},INPUT!$A$3:$A$5000&amp;INPUT!$C$3:$C$5000,INPUT!$D$3:$D$5000),2,FALSE),"")</f>
        <v>TEC-TAC</v>
      </c>
      <c r="I1654" s="46">
        <f>IF(INPUT!P1649="","",INPUT!P1649)</f>
        <v>75.400000000000006</v>
      </c>
      <c r="J1654" s="46">
        <f>IF(INPUT!Q1649="","",INPUT!Q1649)</f>
        <v>75.8</v>
      </c>
      <c r="K1654" s="46">
        <f>IFERROR(IF(OR(INPUT!P1649="",INPUT!Q1649=""),"",INPUT!P1649-INPUT!Q1649),"")</f>
        <v>-0.39999999999999147</v>
      </c>
      <c r="L1654" s="48">
        <f>IFERROR(IF(OR(INPUT!P1649="",INPUT!Q1649="",INPUT!P1649=0),"",(INPUT!P1649-INPUT!Q1649)/INPUT!P1649),"")</f>
        <v>-5.3050397877982946E-3</v>
      </c>
    </row>
    <row r="1655" spans="1:12" ht="18" hidden="1" customHeight="1" x14ac:dyDescent="0.2">
      <c r="A1655" s="11">
        <f>IF(INPUT!M1650="","",INPUT!M1650)</f>
        <v>46028</v>
      </c>
      <c r="B1655" s="11">
        <f>IF(INPUT!M1650="","",INPUT!M1650-WEEKDAY(INPUT!M1650,2)+1)</f>
        <v>46027</v>
      </c>
      <c r="C1655" s="20">
        <f>IFERROR(_xlfn.ISOWEEKNUM(INPUT!M1650),"")</f>
        <v>2</v>
      </c>
      <c r="D1655" s="20">
        <f>IFERROR(YEAR(INPUT!M1650),"")</f>
        <v>2026</v>
      </c>
      <c r="E1655" t="str">
        <f>IF(INPUT!O1650="","",INPUT!O1650)</f>
        <v>BARONA</v>
      </c>
      <c r="F1655" t="str">
        <f>IF(INPUT!N1650="","",INPUT!N1650)</f>
        <v>T</v>
      </c>
      <c r="G1655" t="str" cm="1">
        <f t="array" ref="G1655">IFERROR(VLOOKUP(INPUT!M1650&amp;INPUT!N1650,CHOOSE({1,2},INPUT!$A$3:$A$5000&amp;INPUT!$C$3:$C$5000,INPUT!$F$3:$F$5000),2,FALSE),"")</f>
        <v>PRE-TEMPORADA</v>
      </c>
      <c r="H1655" t="str" cm="1">
        <f t="array" ref="H1655">IFERROR(VLOOKUP(INPUT!M1650&amp;INPUT!N1650,CHOOSE({1,2},INPUT!$A$3:$A$5000&amp;INPUT!$C$3:$C$5000,INPUT!$D$3:$D$5000),2,FALSE),"")</f>
        <v>TEC-TAC</v>
      </c>
      <c r="I1655" s="46">
        <f>IF(INPUT!P1650="","",INPUT!P1650)</f>
        <v>72</v>
      </c>
      <c r="J1655" s="46">
        <f>IF(INPUT!Q1650="","",INPUT!Q1650)</f>
        <v>71</v>
      </c>
      <c r="K1655" s="46">
        <f>IFERROR(IF(OR(INPUT!P1650="",INPUT!Q1650=""),"",INPUT!P1650-INPUT!Q1650),"")</f>
        <v>1</v>
      </c>
      <c r="L1655" s="48">
        <f>IFERROR(IF(OR(INPUT!P1650="",INPUT!Q1650="",INPUT!P1650=0),"",(INPUT!P1650-INPUT!Q1650)/INPUT!P1650),"")</f>
        <v>1.3888888888888888E-2</v>
      </c>
    </row>
    <row r="1656" spans="1:12" ht="18" hidden="1" customHeight="1" x14ac:dyDescent="0.2">
      <c r="A1656" s="11">
        <f>IF(INPUT!M1651="","",INPUT!M1651)</f>
        <v>46028</v>
      </c>
      <c r="B1656" s="11">
        <f>IF(INPUT!M1651="","",INPUT!M1651-WEEKDAY(INPUT!M1651,2)+1)</f>
        <v>46027</v>
      </c>
      <c r="C1656" s="20">
        <f>IFERROR(_xlfn.ISOWEEKNUM(INPUT!M1651),"")</f>
        <v>2</v>
      </c>
      <c r="D1656" s="20">
        <f>IFERROR(YEAR(INPUT!M1651),"")</f>
        <v>2026</v>
      </c>
      <c r="E1656" t="str">
        <f>IF(INPUT!O1651="","",INPUT!O1651)</f>
        <v>CARLOS</v>
      </c>
      <c r="F1656" t="str">
        <f>IF(INPUT!N1651="","",INPUT!N1651)</f>
        <v>T</v>
      </c>
      <c r="G1656" t="str" cm="1">
        <f t="array" ref="G1656">IFERROR(VLOOKUP(INPUT!M1651&amp;INPUT!N1651,CHOOSE({1,2},INPUT!$A$3:$A$5000&amp;INPUT!$C$3:$C$5000,INPUT!$F$3:$F$5000),2,FALSE),"")</f>
        <v>PRE-TEMPORADA</v>
      </c>
      <c r="H1656" t="str" cm="1">
        <f t="array" ref="H1656">IFERROR(VLOOKUP(INPUT!M1651&amp;INPUT!N1651,CHOOSE({1,2},INPUT!$A$3:$A$5000&amp;INPUT!$C$3:$C$5000,INPUT!$D$3:$D$5000),2,FALSE),"")</f>
        <v>TEC-TAC</v>
      </c>
      <c r="I1656" s="46">
        <f>IF(INPUT!P1651="","",INPUT!P1651)</f>
        <v>68.2</v>
      </c>
      <c r="J1656" s="46">
        <f>IF(INPUT!Q1651="","",INPUT!Q1651)</f>
        <v>68.099999999999994</v>
      </c>
      <c r="K1656" s="46">
        <f>IFERROR(IF(OR(INPUT!P1651="",INPUT!Q1651=""),"",INPUT!P1651-INPUT!Q1651),"")</f>
        <v>0.10000000000000853</v>
      </c>
      <c r="L1656" s="48">
        <f>IFERROR(IF(OR(INPUT!P1651="",INPUT!Q1651="",INPUT!P1651=0),"",(INPUT!P1651-INPUT!Q1651)/INPUT!P1651),"")</f>
        <v>1.4662756598241718E-3</v>
      </c>
    </row>
    <row r="1657" spans="1:12" ht="18" hidden="1" customHeight="1" x14ac:dyDescent="0.2">
      <c r="A1657" s="11">
        <f>IF(INPUT!M1652="","",INPUT!M1652)</f>
        <v>46028</v>
      </c>
      <c r="B1657" s="11">
        <f>IF(INPUT!M1652="","",INPUT!M1652-WEEKDAY(INPUT!M1652,2)+1)</f>
        <v>46027</v>
      </c>
      <c r="C1657" s="20">
        <f>IFERROR(_xlfn.ISOWEEKNUM(INPUT!M1652),"")</f>
        <v>2</v>
      </c>
      <c r="D1657" s="20">
        <f>IFERROR(YEAR(INPUT!M1652),"")</f>
        <v>2026</v>
      </c>
      <c r="E1657" t="str">
        <f>IF(INPUT!O1652="","",INPUT!O1652)</f>
        <v>RUBIO</v>
      </c>
      <c r="F1657" t="str">
        <f>IF(INPUT!N1652="","",INPUT!N1652)</f>
        <v>T</v>
      </c>
      <c r="G1657" t="str" cm="1">
        <f t="array" ref="G1657">IFERROR(VLOOKUP(INPUT!M1652&amp;INPUT!N1652,CHOOSE({1,2},INPUT!$A$3:$A$5000&amp;INPUT!$C$3:$C$5000,INPUT!$F$3:$F$5000),2,FALSE),"")</f>
        <v>PRE-TEMPORADA</v>
      </c>
      <c r="H1657" t="str" cm="1">
        <f t="array" ref="H1657">IFERROR(VLOOKUP(INPUT!M1652&amp;INPUT!N1652,CHOOSE({1,2},INPUT!$A$3:$A$5000&amp;INPUT!$C$3:$C$5000,INPUT!$D$3:$D$5000),2,FALSE),"")</f>
        <v>TEC-TAC</v>
      </c>
      <c r="I1657" s="46">
        <f>IF(INPUT!P1652="","",INPUT!P1652)</f>
        <v>76</v>
      </c>
      <c r="J1657" s="46">
        <f>IF(INPUT!Q1652="","",INPUT!Q1652)</f>
        <v>76</v>
      </c>
      <c r="K1657" s="46">
        <f>IFERROR(IF(OR(INPUT!P1652="",INPUT!Q1652=""),"",INPUT!P1652-INPUT!Q1652),"")</f>
        <v>0</v>
      </c>
      <c r="L1657" s="48">
        <f>IFERROR(IF(OR(INPUT!P1652="",INPUT!Q1652="",INPUT!P1652=0),"",(INPUT!P1652-INPUT!Q1652)/INPUT!P1652),"")</f>
        <v>0</v>
      </c>
    </row>
    <row r="1658" spans="1:12" ht="18" hidden="1" customHeight="1" x14ac:dyDescent="0.2">
      <c r="A1658" s="11">
        <f>IF(INPUT!M1653="","",INPUT!M1653)</f>
        <v>46028</v>
      </c>
      <c r="B1658" s="11">
        <f>IF(INPUT!M1653="","",INPUT!M1653-WEEKDAY(INPUT!M1653,2)+1)</f>
        <v>46027</v>
      </c>
      <c r="C1658" s="20">
        <f>IFERROR(_xlfn.ISOWEEKNUM(INPUT!M1653),"")</f>
        <v>2</v>
      </c>
      <c r="D1658" s="20">
        <f>IFERROR(YEAR(INPUT!M1653),"")</f>
        <v>2026</v>
      </c>
      <c r="E1658" t="str">
        <f>IF(INPUT!O1653="","",INPUT!O1653)</f>
        <v>DANI</v>
      </c>
      <c r="F1658" t="str">
        <f>IF(INPUT!N1653="","",INPUT!N1653)</f>
        <v>T</v>
      </c>
      <c r="G1658" t="str" cm="1">
        <f t="array" ref="G1658">IFERROR(VLOOKUP(INPUT!M1653&amp;INPUT!N1653,CHOOSE({1,2},INPUT!$A$3:$A$5000&amp;INPUT!$C$3:$C$5000,INPUT!$F$3:$F$5000),2,FALSE),"")</f>
        <v>PRE-TEMPORADA</v>
      </c>
      <c r="H1658" t="str" cm="1">
        <f t="array" ref="H1658">IFERROR(VLOOKUP(INPUT!M1653&amp;INPUT!N1653,CHOOSE({1,2},INPUT!$A$3:$A$5000&amp;INPUT!$C$3:$C$5000,INPUT!$D$3:$D$5000),2,FALSE),"")</f>
        <v>TEC-TAC</v>
      </c>
      <c r="I1658" s="46">
        <f>IF(INPUT!P1653="","",INPUT!P1653)</f>
        <v>90.5</v>
      </c>
      <c r="J1658" s="46">
        <f>IF(INPUT!Q1653="","",INPUT!Q1653)</f>
        <v>90.1</v>
      </c>
      <c r="K1658" s="46">
        <f>IFERROR(IF(OR(INPUT!P1653="",INPUT!Q1653=""),"",INPUT!P1653-INPUT!Q1653),"")</f>
        <v>0.40000000000000568</v>
      </c>
      <c r="L1658" s="48">
        <f>IFERROR(IF(OR(INPUT!P1653="",INPUT!Q1653="",INPUT!P1653=0),"",(INPUT!P1653-INPUT!Q1653)/INPUT!P1653),"")</f>
        <v>4.4198895027624937E-3</v>
      </c>
    </row>
    <row r="1659" spans="1:12" ht="18" hidden="1" customHeight="1" x14ac:dyDescent="0.2">
      <c r="A1659" s="11">
        <f>IF(INPUT!M1654="","",INPUT!M1654)</f>
        <v>46028</v>
      </c>
      <c r="B1659" s="11">
        <f>IF(INPUT!M1654="","",INPUT!M1654-WEEKDAY(INPUT!M1654,2)+1)</f>
        <v>46027</v>
      </c>
      <c r="C1659" s="20">
        <f>IFERROR(_xlfn.ISOWEEKNUM(INPUT!M1654),"")</f>
        <v>2</v>
      </c>
      <c r="D1659" s="20">
        <f>IFERROR(YEAR(INPUT!M1654),"")</f>
        <v>2026</v>
      </c>
      <c r="E1659" t="str">
        <f>IF(INPUT!O1654="","",INPUT!O1654)</f>
        <v>JAIME</v>
      </c>
      <c r="F1659" t="str">
        <f>IF(INPUT!N1654="","",INPUT!N1654)</f>
        <v>T</v>
      </c>
      <c r="G1659" t="str" cm="1">
        <f t="array" ref="G1659">IFERROR(VLOOKUP(INPUT!M1654&amp;INPUT!N1654,CHOOSE({1,2},INPUT!$A$3:$A$5000&amp;INPUT!$C$3:$C$5000,INPUT!$F$3:$F$5000),2,FALSE),"")</f>
        <v>PRE-TEMPORADA</v>
      </c>
      <c r="H1659" t="str" cm="1">
        <f t="array" ref="H1659">IFERROR(VLOOKUP(INPUT!M1654&amp;INPUT!N1654,CHOOSE({1,2},INPUT!$A$3:$A$5000&amp;INPUT!$C$3:$C$5000,INPUT!$D$3:$D$5000),2,FALSE),"")</f>
        <v>TEC-TAC</v>
      </c>
      <c r="I1659" s="46">
        <f>IF(INPUT!P1654="","",INPUT!P1654)</f>
        <v>75.3</v>
      </c>
      <c r="J1659" s="46">
        <f>IF(INPUT!Q1654="","",INPUT!Q1654)</f>
        <v>75.2</v>
      </c>
      <c r="K1659" s="46">
        <f>IFERROR(IF(OR(INPUT!P1654="",INPUT!Q1654=""),"",INPUT!P1654-INPUT!Q1654),"")</f>
        <v>9.9999999999994316E-2</v>
      </c>
      <c r="L1659" s="48">
        <f>IFERROR(IF(OR(INPUT!P1654="",INPUT!Q1654="",INPUT!P1654=0),"",(INPUT!P1654-INPUT!Q1654)/INPUT!P1654),"")</f>
        <v>1.3280212483398981E-3</v>
      </c>
    </row>
    <row r="1660" spans="1:12" ht="18" hidden="1" customHeight="1" x14ac:dyDescent="0.2">
      <c r="A1660" s="11">
        <f>IF(INPUT!M1655="","",INPUT!M1655)</f>
        <v>46030</v>
      </c>
      <c r="B1660" s="11">
        <f>IF(INPUT!M1655="","",INPUT!M1655-WEEKDAY(INPUT!M1655,2)+1)</f>
        <v>46027</v>
      </c>
      <c r="C1660" s="20">
        <f>IFERROR(_xlfn.ISOWEEKNUM(INPUT!M1655),"")</f>
        <v>2</v>
      </c>
      <c r="D1660" s="20">
        <f>IFERROR(YEAR(INPUT!M1655),"")</f>
        <v>2026</v>
      </c>
      <c r="E1660" t="str">
        <f>IF(INPUT!O1655="","",INPUT!O1655)</f>
        <v>HERRERO</v>
      </c>
      <c r="F1660" t="str">
        <f>IF(INPUT!N1655="","",INPUT!N1655)</f>
        <v>M</v>
      </c>
      <c r="G1660" t="str" cm="1">
        <f t="array" ref="G1660">IFERROR(VLOOKUP(INPUT!M1655&amp;INPUT!N1655,CHOOSE({1,2},INPUT!$A$3:$A$5000&amp;INPUT!$C$3:$C$5000,INPUT!$F$3:$F$5000),2,FALSE),"")</f>
        <v>PRE-TEMPORADA</v>
      </c>
      <c r="H1660" t="str" cm="1">
        <f t="array" ref="H1660">IFERROR(VLOOKUP(INPUT!M1655&amp;INPUT!N1655,CHOOSE({1,2},INPUT!$A$3:$A$5000&amp;INPUT!$C$3:$C$5000,INPUT!$D$3:$D$5000),2,FALSE),"")</f>
        <v>RECUPERACIÓN</v>
      </c>
      <c r="I1660" s="46">
        <f>IF(INPUT!P1655="","",INPUT!P1655)</f>
        <v>77</v>
      </c>
      <c r="J1660" s="46">
        <f>IF(INPUT!Q1655="","",INPUT!Q1655)</f>
        <v>77</v>
      </c>
      <c r="K1660" s="46">
        <f>IFERROR(IF(OR(INPUT!P1655="",INPUT!Q1655=""),"",INPUT!P1655-INPUT!Q1655),"")</f>
        <v>0</v>
      </c>
      <c r="L1660" s="48">
        <f>IFERROR(IF(OR(INPUT!P1655="",INPUT!Q1655="",INPUT!P1655=0),"",(INPUT!P1655-INPUT!Q1655)/INPUT!P1655),"")</f>
        <v>0</v>
      </c>
    </row>
    <row r="1661" spans="1:12" ht="18" hidden="1" customHeight="1" x14ac:dyDescent="0.2">
      <c r="A1661" s="11">
        <f>IF(INPUT!M1656="","",INPUT!M1656)</f>
        <v>46030</v>
      </c>
      <c r="B1661" s="11">
        <f>IF(INPUT!M1656="","",INPUT!M1656-WEEKDAY(INPUT!M1656,2)+1)</f>
        <v>46027</v>
      </c>
      <c r="C1661" s="20">
        <f>IFERROR(_xlfn.ISOWEEKNUM(INPUT!M1656),"")</f>
        <v>2</v>
      </c>
      <c r="D1661" s="20">
        <f>IFERROR(YEAR(INPUT!M1656),"")</f>
        <v>2026</v>
      </c>
      <c r="E1661" t="str">
        <f>IF(INPUT!O1656="","",INPUT!O1656)</f>
        <v>GARCIA</v>
      </c>
      <c r="F1661" t="str">
        <f>IF(INPUT!N1656="","",INPUT!N1656)</f>
        <v>M</v>
      </c>
      <c r="G1661" t="str" cm="1">
        <f t="array" ref="G1661">IFERROR(VLOOKUP(INPUT!M1656&amp;INPUT!N1656,CHOOSE({1,2},INPUT!$A$3:$A$5000&amp;INPUT!$C$3:$C$5000,INPUT!$F$3:$F$5000),2,FALSE),"")</f>
        <v>PRE-TEMPORADA</v>
      </c>
      <c r="H1661" t="str" cm="1">
        <f t="array" ref="H1661">IFERROR(VLOOKUP(INPUT!M1656&amp;INPUT!N1656,CHOOSE({1,2},INPUT!$A$3:$A$5000&amp;INPUT!$C$3:$C$5000,INPUT!$D$3:$D$5000),2,FALSE),"")</f>
        <v>RECUPERACIÓN</v>
      </c>
      <c r="I1661" s="46">
        <f>IF(INPUT!P1656="","",INPUT!P1656)</f>
        <v>79.400000000000006</v>
      </c>
      <c r="J1661" s="46">
        <f>IF(INPUT!Q1656="","",INPUT!Q1656)</f>
        <v>78.8</v>
      </c>
      <c r="K1661" s="46">
        <f>IFERROR(IF(OR(INPUT!P1656="",INPUT!Q1656=""),"",INPUT!P1656-INPUT!Q1656),"")</f>
        <v>0.60000000000000853</v>
      </c>
      <c r="L1661" s="48">
        <f>IFERROR(IF(OR(INPUT!P1656="",INPUT!Q1656="",INPUT!P1656=0),"",(INPUT!P1656-INPUT!Q1656)/INPUT!P1656),"")</f>
        <v>7.5566750629723987E-3</v>
      </c>
    </row>
    <row r="1662" spans="1:12" ht="18" hidden="1" customHeight="1" x14ac:dyDescent="0.2">
      <c r="A1662" s="11">
        <f>IF(INPUT!M1657="","",INPUT!M1657)</f>
        <v>46030</v>
      </c>
      <c r="B1662" s="11">
        <f>IF(INPUT!M1657="","",INPUT!M1657-WEEKDAY(INPUT!M1657,2)+1)</f>
        <v>46027</v>
      </c>
      <c r="C1662" s="20">
        <f>IFERROR(_xlfn.ISOWEEKNUM(INPUT!M1657),"")</f>
        <v>2</v>
      </c>
      <c r="D1662" s="20">
        <f>IFERROR(YEAR(INPUT!M1657),"")</f>
        <v>2026</v>
      </c>
      <c r="E1662" t="str">
        <f>IF(INPUT!O1657="","",INPUT!O1657)</f>
        <v>CECILIO</v>
      </c>
      <c r="F1662" t="str">
        <f>IF(INPUT!N1657="","",INPUT!N1657)</f>
        <v>M</v>
      </c>
      <c r="G1662" t="str" cm="1">
        <f t="array" ref="G1662">IFERROR(VLOOKUP(INPUT!M1657&amp;INPUT!N1657,CHOOSE({1,2},INPUT!$A$3:$A$5000&amp;INPUT!$C$3:$C$5000,INPUT!$F$3:$F$5000),2,FALSE),"")</f>
        <v>PRE-TEMPORADA</v>
      </c>
      <c r="H1662" t="str" cm="1">
        <f t="array" ref="H1662">IFERROR(VLOOKUP(INPUT!M1657&amp;INPUT!N1657,CHOOSE({1,2},INPUT!$A$3:$A$5000&amp;INPUT!$C$3:$C$5000,INPUT!$D$3:$D$5000),2,FALSE),"")</f>
        <v>RECUPERACIÓN</v>
      </c>
      <c r="I1662" s="46">
        <f>IF(INPUT!P1657="","",INPUT!P1657)</f>
        <v>67.8</v>
      </c>
      <c r="J1662" s="46">
        <f>IF(INPUT!Q1657="","",INPUT!Q1657)</f>
        <v>67.599999999999994</v>
      </c>
      <c r="K1662" s="46">
        <f>IFERROR(IF(OR(INPUT!P1657="",INPUT!Q1657=""),"",INPUT!P1657-INPUT!Q1657),"")</f>
        <v>0.20000000000000284</v>
      </c>
      <c r="L1662" s="48">
        <f>IFERROR(IF(OR(INPUT!P1657="",INPUT!Q1657="",INPUT!P1657=0),"",(INPUT!P1657-INPUT!Q1657)/INPUT!P1657),"")</f>
        <v>2.9498525073746733E-3</v>
      </c>
    </row>
    <row r="1663" spans="1:12" ht="18" hidden="1" customHeight="1" x14ac:dyDescent="0.2">
      <c r="A1663" s="11">
        <f>IF(INPUT!M1658="","",INPUT!M1658)</f>
        <v>46030</v>
      </c>
      <c r="B1663" s="11">
        <f>IF(INPUT!M1658="","",INPUT!M1658-WEEKDAY(INPUT!M1658,2)+1)</f>
        <v>46027</v>
      </c>
      <c r="C1663" s="20">
        <f>IFERROR(_xlfn.ISOWEEKNUM(INPUT!M1658),"")</f>
        <v>2</v>
      </c>
      <c r="D1663" s="20">
        <f>IFERROR(YEAR(INPUT!M1658),"")</f>
        <v>2026</v>
      </c>
      <c r="E1663" t="str">
        <f>IF(INPUT!O1658="","",INPUT!O1658)</f>
        <v>CHAGUINHA</v>
      </c>
      <c r="F1663" t="str">
        <f>IF(INPUT!N1658="","",INPUT!N1658)</f>
        <v>M</v>
      </c>
      <c r="G1663" t="str" cm="1">
        <f t="array" ref="G1663">IFERROR(VLOOKUP(INPUT!M1658&amp;INPUT!N1658,CHOOSE({1,2},INPUT!$A$3:$A$5000&amp;INPUT!$C$3:$C$5000,INPUT!$F$3:$F$5000),2,FALSE),"")</f>
        <v>PRE-TEMPORADA</v>
      </c>
      <c r="H1663" t="str" cm="1">
        <f t="array" ref="H1663">IFERROR(VLOOKUP(INPUT!M1658&amp;INPUT!N1658,CHOOSE({1,2},INPUT!$A$3:$A$5000&amp;INPUT!$C$3:$C$5000,INPUT!$D$3:$D$5000),2,FALSE),"")</f>
        <v>RECUPERACIÓN</v>
      </c>
      <c r="I1663" s="46">
        <f>IF(INPUT!P1658="","",INPUT!P1658)</f>
        <v>69.3</v>
      </c>
      <c r="J1663" s="46">
        <f>IF(INPUT!Q1658="","",INPUT!Q1658)</f>
        <v>69</v>
      </c>
      <c r="K1663" s="46">
        <f>IFERROR(IF(OR(INPUT!P1658="",INPUT!Q1658=""),"",INPUT!P1658-INPUT!Q1658),"")</f>
        <v>0.29999999999999716</v>
      </c>
      <c r="L1663" s="48">
        <f>IFERROR(IF(OR(INPUT!P1658="",INPUT!Q1658="",INPUT!P1658=0),"",(INPUT!P1658-INPUT!Q1658)/INPUT!P1658),"")</f>
        <v>4.3290043290042882E-3</v>
      </c>
    </row>
    <row r="1664" spans="1:12" ht="18" hidden="1" customHeight="1" x14ac:dyDescent="0.2">
      <c r="A1664" s="11">
        <f>IF(INPUT!M1659="","",INPUT!M1659)</f>
        <v>46030</v>
      </c>
      <c r="B1664" s="11">
        <f>IF(INPUT!M1659="","",INPUT!M1659-WEEKDAY(INPUT!M1659,2)+1)</f>
        <v>46027</v>
      </c>
      <c r="C1664" s="20">
        <f>IFERROR(_xlfn.ISOWEEKNUM(INPUT!M1659),"")</f>
        <v>2</v>
      </c>
      <c r="D1664" s="20">
        <f>IFERROR(YEAR(INPUT!M1659),"")</f>
        <v>2026</v>
      </c>
      <c r="E1664" t="str">
        <f>IF(INPUT!O1659="","",INPUT!O1659)</f>
        <v>RAUL</v>
      </c>
      <c r="F1664" t="str">
        <f>IF(INPUT!N1659="","",INPUT!N1659)</f>
        <v>M</v>
      </c>
      <c r="G1664" t="str" cm="1">
        <f t="array" ref="G1664">IFERROR(VLOOKUP(INPUT!M1659&amp;INPUT!N1659,CHOOSE({1,2},INPUT!$A$3:$A$5000&amp;INPUT!$C$3:$C$5000,INPUT!$F$3:$F$5000),2,FALSE),"")</f>
        <v>PRE-TEMPORADA</v>
      </c>
      <c r="H1664" t="str" cm="1">
        <f t="array" ref="H1664">IFERROR(VLOOKUP(INPUT!M1659&amp;INPUT!N1659,CHOOSE({1,2},INPUT!$A$3:$A$5000&amp;INPUT!$C$3:$C$5000,INPUT!$D$3:$D$5000),2,FALSE),"")</f>
        <v>RECUPERACIÓN</v>
      </c>
      <c r="I1664" s="46">
        <f>IF(INPUT!P1659="","",INPUT!P1659)</f>
        <v>80.599999999999994</v>
      </c>
      <c r="J1664" s="46">
        <f>IF(INPUT!Q1659="","",INPUT!Q1659)</f>
        <v>80</v>
      </c>
      <c r="K1664" s="46">
        <f>IFERROR(IF(OR(INPUT!P1659="",INPUT!Q1659=""),"",INPUT!P1659-INPUT!Q1659),"")</f>
        <v>0.59999999999999432</v>
      </c>
      <c r="L1664" s="48">
        <f>IFERROR(IF(OR(INPUT!P1659="",INPUT!Q1659="",INPUT!P1659=0),"",(INPUT!P1659-INPUT!Q1659)/INPUT!P1659),"")</f>
        <v>7.4441687344912449E-3</v>
      </c>
    </row>
    <row r="1665" spans="1:12" ht="18" hidden="1" customHeight="1" x14ac:dyDescent="0.2">
      <c r="A1665" s="11">
        <f>IF(INPUT!M1660="","",INPUT!M1660)</f>
        <v>46030</v>
      </c>
      <c r="B1665" s="11">
        <f>IF(INPUT!M1660="","",INPUT!M1660-WEEKDAY(INPUT!M1660,2)+1)</f>
        <v>46027</v>
      </c>
      <c r="C1665" s="20">
        <f>IFERROR(_xlfn.ISOWEEKNUM(INPUT!M1660),"")</f>
        <v>2</v>
      </c>
      <c r="D1665" s="20">
        <f>IFERROR(YEAR(INPUT!M1660),"")</f>
        <v>2026</v>
      </c>
      <c r="E1665" t="str">
        <f>IF(INPUT!O1660="","",INPUT!O1660)</f>
        <v>HARRISON</v>
      </c>
      <c r="F1665" t="str">
        <f>IF(INPUT!N1660="","",INPUT!N1660)</f>
        <v>M</v>
      </c>
      <c r="G1665" t="str" cm="1">
        <f t="array" ref="G1665">IFERROR(VLOOKUP(INPUT!M1660&amp;INPUT!N1660,CHOOSE({1,2},INPUT!$A$3:$A$5000&amp;INPUT!$C$3:$C$5000,INPUT!$F$3:$F$5000),2,FALSE),"")</f>
        <v>PRE-TEMPORADA</v>
      </c>
      <c r="H1665" t="str" cm="1">
        <f t="array" ref="H1665">IFERROR(VLOOKUP(INPUT!M1660&amp;INPUT!N1660,CHOOSE({1,2},INPUT!$A$3:$A$5000&amp;INPUT!$C$3:$C$5000,INPUT!$D$3:$D$5000),2,FALSE),"")</f>
        <v>RECUPERACIÓN</v>
      </c>
      <c r="I1665" s="46">
        <f>IF(INPUT!P1660="","",INPUT!P1660)</f>
        <v>72</v>
      </c>
      <c r="J1665" s="46">
        <f>IF(INPUT!Q1660="","",INPUT!Q1660)</f>
        <v>72</v>
      </c>
      <c r="K1665" s="46">
        <f>IFERROR(IF(OR(INPUT!P1660="",INPUT!Q1660=""),"",INPUT!P1660-INPUT!Q1660),"")</f>
        <v>0</v>
      </c>
      <c r="L1665" s="48">
        <f>IFERROR(IF(OR(INPUT!P1660="",INPUT!Q1660="",INPUT!P1660=0),"",(INPUT!P1660-INPUT!Q1660)/INPUT!P1660),"")</f>
        <v>0</v>
      </c>
    </row>
    <row r="1666" spans="1:12" ht="18" customHeight="1" x14ac:dyDescent="0.2">
      <c r="A1666" s="11">
        <f>IF(INPUT!M1661="","",INPUT!M1661)</f>
        <v>46030</v>
      </c>
      <c r="B1666" s="11">
        <f>IF(INPUT!M1661="","",INPUT!M1661-WEEKDAY(INPUT!M1661,2)+1)</f>
        <v>46027</v>
      </c>
      <c r="C1666" s="20">
        <f>IFERROR(_xlfn.ISOWEEKNUM(INPUT!M1661),"")</f>
        <v>2</v>
      </c>
      <c r="D1666" s="20">
        <f>IFERROR(YEAR(INPUT!M1661),"")</f>
        <v>2026</v>
      </c>
      <c r="E1666" t="str">
        <f>IF(INPUT!O1661="","",INPUT!O1661)</f>
        <v>RAYA</v>
      </c>
      <c r="F1666" t="str">
        <f>IF(INPUT!N1661="","",INPUT!N1661)</f>
        <v>M</v>
      </c>
      <c r="G1666" t="str" cm="1">
        <f t="array" ref="G1666">IFERROR(VLOOKUP(INPUT!M1661&amp;INPUT!N1661,CHOOSE({1,2},INPUT!$A$3:$A$5000&amp;INPUT!$C$3:$C$5000,INPUT!$F$3:$F$5000),2,FALSE),"")</f>
        <v>PRE-TEMPORADA</v>
      </c>
      <c r="H1666" t="str" cm="1">
        <f t="array" ref="H1666">IFERROR(VLOOKUP(INPUT!M1661&amp;INPUT!N1661,CHOOSE({1,2},INPUT!$A$3:$A$5000&amp;INPUT!$C$3:$C$5000,INPUT!$D$3:$D$5000),2,FALSE),"")</f>
        <v>RECUPERACIÓN</v>
      </c>
      <c r="I1666" s="46">
        <f>IF(INPUT!P1661="","",INPUT!P1661)</f>
        <v>80.599999999999994</v>
      </c>
      <c r="J1666" s="46">
        <f>IF(INPUT!Q1661="","",INPUT!Q1661)</f>
        <v>80.099999999999994</v>
      </c>
      <c r="K1666" s="46">
        <f>IFERROR(IF(OR(INPUT!P1661="",INPUT!Q1661=""),"",INPUT!P1661-INPUT!Q1661),"")</f>
        <v>0.5</v>
      </c>
      <c r="L1666" s="48">
        <f>IFERROR(IF(OR(INPUT!P1661="",INPUT!Q1661="",INPUT!P1661=0),"",(INPUT!P1661-INPUT!Q1661)/INPUT!P1661),"")</f>
        <v>6.2034739454094297E-3</v>
      </c>
    </row>
    <row r="1667" spans="1:12" ht="18" customHeight="1" x14ac:dyDescent="0.2">
      <c r="A1667" s="11">
        <f>IF(INPUT!M1662="","",INPUT!M1662)</f>
        <v>46030</v>
      </c>
      <c r="B1667" s="11">
        <f>IF(INPUT!M1662="","",INPUT!M1662-WEEKDAY(INPUT!M1662,2)+1)</f>
        <v>46027</v>
      </c>
      <c r="C1667" s="20">
        <f>IFERROR(_xlfn.ISOWEEKNUM(INPUT!M1662),"")</f>
        <v>2</v>
      </c>
      <c r="D1667" s="20">
        <f>IFERROR(YEAR(INPUT!M1662),"")</f>
        <v>2026</v>
      </c>
      <c r="E1667" t="str">
        <f>IF(INPUT!O1662="","",INPUT!O1662)</f>
        <v>JAVI</v>
      </c>
      <c r="F1667" t="str">
        <f>IF(INPUT!N1662="","",INPUT!N1662)</f>
        <v>M</v>
      </c>
      <c r="G1667" t="str" cm="1">
        <f t="array" ref="G1667">IFERROR(VLOOKUP(INPUT!M1662&amp;INPUT!N1662,CHOOSE({1,2},INPUT!$A$3:$A$5000&amp;INPUT!$C$3:$C$5000,INPUT!$F$3:$F$5000),2,FALSE),"")</f>
        <v>PRE-TEMPORADA</v>
      </c>
      <c r="H1667" t="str" cm="1">
        <f t="array" ref="H1667">IFERROR(VLOOKUP(INPUT!M1662&amp;INPUT!N1662,CHOOSE({1,2},INPUT!$A$3:$A$5000&amp;INPUT!$C$3:$C$5000,INPUT!$D$3:$D$5000),2,FALSE),"")</f>
        <v>RECUPERACIÓN</v>
      </c>
      <c r="I1667" s="46">
        <f>IF(INPUT!P1662="","",INPUT!P1662)</f>
        <v>77.400000000000006</v>
      </c>
      <c r="J1667" s="46">
        <f>IF(INPUT!Q1662="","",INPUT!Q1662)</f>
        <v>77</v>
      </c>
      <c r="K1667" s="46">
        <f>IFERROR(IF(OR(INPUT!P1662="",INPUT!Q1662=""),"",INPUT!P1662-INPUT!Q1662),"")</f>
        <v>0.40000000000000568</v>
      </c>
      <c r="L1667" s="48">
        <f>IFERROR(IF(OR(INPUT!P1662="",INPUT!Q1662="",INPUT!P1662=0),"",(INPUT!P1662-INPUT!Q1662)/INPUT!P1662),"")</f>
        <v>5.1679586563308224E-3</v>
      </c>
    </row>
    <row r="1668" spans="1:12" ht="18" customHeight="1" x14ac:dyDescent="0.2">
      <c r="A1668" s="11">
        <f>IF(INPUT!M1663="","",INPUT!M1663)</f>
        <v>46030</v>
      </c>
      <c r="B1668" s="11">
        <f>IF(INPUT!M1663="","",INPUT!M1663-WEEKDAY(INPUT!M1663,2)+1)</f>
        <v>46027</v>
      </c>
      <c r="C1668" s="20">
        <f>IFERROR(_xlfn.ISOWEEKNUM(INPUT!M1663),"")</f>
        <v>2</v>
      </c>
      <c r="D1668" s="20">
        <f>IFERROR(YEAR(INPUT!M1663),"")</f>
        <v>2026</v>
      </c>
      <c r="E1668" t="str">
        <f>IF(INPUT!O1663="","",INPUT!O1663)</f>
        <v>PANI</v>
      </c>
      <c r="F1668" t="str">
        <f>IF(INPUT!N1663="","",INPUT!N1663)</f>
        <v>M</v>
      </c>
      <c r="G1668" t="str" cm="1">
        <f t="array" ref="G1668">IFERROR(VLOOKUP(INPUT!M1663&amp;INPUT!N1663,CHOOSE({1,2},INPUT!$A$3:$A$5000&amp;INPUT!$C$3:$C$5000,INPUT!$F$3:$F$5000),2,FALSE),"")</f>
        <v>PRE-TEMPORADA</v>
      </c>
      <c r="H1668" t="str" cm="1">
        <f t="array" ref="H1668">IFERROR(VLOOKUP(INPUT!M1663&amp;INPUT!N1663,CHOOSE({1,2},INPUT!$A$3:$A$5000&amp;INPUT!$C$3:$C$5000,INPUT!$D$3:$D$5000),2,FALSE),"")</f>
        <v>RECUPERACIÓN</v>
      </c>
      <c r="I1668" s="46">
        <f>IF(INPUT!P1663="","",INPUT!P1663)</f>
        <v>66.3</v>
      </c>
      <c r="J1668" s="46">
        <f>IF(INPUT!Q1663="","",INPUT!Q1663)</f>
        <v>65.8</v>
      </c>
      <c r="K1668" s="46">
        <f>IFERROR(IF(OR(INPUT!P1663="",INPUT!Q1663=""),"",INPUT!P1663-INPUT!Q1663),"")</f>
        <v>0.5</v>
      </c>
      <c r="L1668" s="48">
        <f>IFERROR(IF(OR(INPUT!P1663="",INPUT!Q1663="",INPUT!P1663=0),"",(INPUT!P1663-INPUT!Q1663)/INPUT!P1663),"")</f>
        <v>7.5414781297134239E-3</v>
      </c>
    </row>
    <row r="1669" spans="1:12" ht="18" customHeight="1" x14ac:dyDescent="0.2">
      <c r="A1669" s="11">
        <f>IF(INPUT!M1664="","",INPUT!M1664)</f>
        <v>46030</v>
      </c>
      <c r="B1669" s="11">
        <f>IF(INPUT!M1664="","",INPUT!M1664-WEEKDAY(INPUT!M1664,2)+1)</f>
        <v>46027</v>
      </c>
      <c r="C1669" s="20">
        <f>IFERROR(_xlfn.ISOWEEKNUM(INPUT!M1664),"")</f>
        <v>2</v>
      </c>
      <c r="D1669" s="20">
        <f>IFERROR(YEAR(INPUT!M1664),"")</f>
        <v>2026</v>
      </c>
      <c r="E1669" t="str">
        <f>IF(INPUT!O1664="","",INPUT!O1664)</f>
        <v>PIRATA</v>
      </c>
      <c r="F1669" t="str">
        <f>IF(INPUT!N1664="","",INPUT!N1664)</f>
        <v>M</v>
      </c>
      <c r="G1669" t="str" cm="1">
        <f t="array" ref="G1669">IFERROR(VLOOKUP(INPUT!M1664&amp;INPUT!N1664,CHOOSE({1,2},INPUT!$A$3:$A$5000&amp;INPUT!$C$3:$C$5000,INPUT!$F$3:$F$5000),2,FALSE),"")</f>
        <v>PRE-TEMPORADA</v>
      </c>
      <c r="H1669" t="str" cm="1">
        <f t="array" ref="H1669">IFERROR(VLOOKUP(INPUT!M1664&amp;INPUT!N1664,CHOOSE({1,2},INPUT!$A$3:$A$5000&amp;INPUT!$C$3:$C$5000,INPUT!$D$3:$D$5000),2,FALSE),"")</f>
        <v>RECUPERACIÓN</v>
      </c>
      <c r="I1669" s="46">
        <f>IF(INPUT!P1664="","",INPUT!P1664)</f>
        <v>75.400000000000006</v>
      </c>
      <c r="J1669" s="46">
        <f>IF(INPUT!Q1664="","",INPUT!Q1664)</f>
        <v>75.3</v>
      </c>
      <c r="K1669" s="46">
        <f>IFERROR(IF(OR(INPUT!P1664="",INPUT!Q1664=""),"",INPUT!P1664-INPUT!Q1664),"")</f>
        <v>0.10000000000000853</v>
      </c>
      <c r="L1669" s="48">
        <f>IFERROR(IF(OR(INPUT!P1664="",INPUT!Q1664="",INPUT!P1664=0),"",(INPUT!P1664-INPUT!Q1664)/INPUT!P1664),"")</f>
        <v>1.326259946949715E-3</v>
      </c>
    </row>
    <row r="1670" spans="1:12" ht="18" hidden="1" customHeight="1" x14ac:dyDescent="0.2">
      <c r="A1670" s="11">
        <f>IF(INPUT!M1665="","",INPUT!M1665)</f>
        <v>46030</v>
      </c>
      <c r="B1670" s="11">
        <f>IF(INPUT!M1665="","",INPUT!M1665-WEEKDAY(INPUT!M1665,2)+1)</f>
        <v>46027</v>
      </c>
      <c r="C1670" s="20">
        <f>IFERROR(_xlfn.ISOWEEKNUM(INPUT!M1665),"")</f>
        <v>2</v>
      </c>
      <c r="D1670" s="20">
        <f>IFERROR(YEAR(INPUT!M1665),"")</f>
        <v>2026</v>
      </c>
      <c r="E1670" t="str">
        <f>IF(INPUT!O1665="","",INPUT!O1665)</f>
        <v>BARONA</v>
      </c>
      <c r="F1670" t="str">
        <f>IF(INPUT!N1665="","",INPUT!N1665)</f>
        <v>M</v>
      </c>
      <c r="G1670" t="str" cm="1">
        <f t="array" ref="G1670">IFERROR(VLOOKUP(INPUT!M1665&amp;INPUT!N1665,CHOOSE({1,2},INPUT!$A$3:$A$5000&amp;INPUT!$C$3:$C$5000,INPUT!$F$3:$F$5000),2,FALSE),"")</f>
        <v>PRE-TEMPORADA</v>
      </c>
      <c r="H1670" t="str" cm="1">
        <f t="array" ref="H1670">IFERROR(VLOOKUP(INPUT!M1665&amp;INPUT!N1665,CHOOSE({1,2},INPUT!$A$3:$A$5000&amp;INPUT!$C$3:$C$5000,INPUT!$D$3:$D$5000),2,FALSE),"")</f>
        <v>RECUPERACIÓN</v>
      </c>
      <c r="I1670" s="46">
        <f>IF(INPUT!P1665="","",INPUT!P1665)</f>
        <v>71</v>
      </c>
      <c r="J1670" s="46">
        <f>IF(INPUT!Q1665="","",INPUT!Q1665)</f>
        <v>70.5</v>
      </c>
      <c r="K1670" s="46">
        <f>IFERROR(IF(OR(INPUT!P1665="",INPUT!Q1665=""),"",INPUT!P1665-INPUT!Q1665),"")</f>
        <v>0.5</v>
      </c>
      <c r="L1670" s="48">
        <f>IFERROR(IF(OR(INPUT!P1665="",INPUT!Q1665="",INPUT!P1665=0),"",(INPUT!P1665-INPUT!Q1665)/INPUT!P1665),"")</f>
        <v>7.0422535211267607E-3</v>
      </c>
    </row>
    <row r="1671" spans="1:12" ht="18" hidden="1" customHeight="1" x14ac:dyDescent="0.2">
      <c r="A1671" s="11">
        <f>IF(INPUT!M1666="","",INPUT!M1666)</f>
        <v>46030</v>
      </c>
      <c r="B1671" s="11">
        <f>IF(INPUT!M1666="","",INPUT!M1666-WEEKDAY(INPUT!M1666,2)+1)</f>
        <v>46027</v>
      </c>
      <c r="C1671" s="20">
        <f>IFERROR(_xlfn.ISOWEEKNUM(INPUT!M1666),"")</f>
        <v>2</v>
      </c>
      <c r="D1671" s="20">
        <f>IFERROR(YEAR(INPUT!M1666),"")</f>
        <v>2026</v>
      </c>
      <c r="E1671" t="str">
        <f>IF(INPUT!O1666="","",INPUT!O1666)</f>
        <v>CARLOS</v>
      </c>
      <c r="F1671" t="str">
        <f>IF(INPUT!N1666="","",INPUT!N1666)</f>
        <v>M</v>
      </c>
      <c r="G1671" t="str" cm="1">
        <f t="array" ref="G1671">IFERROR(VLOOKUP(INPUT!M1666&amp;INPUT!N1666,CHOOSE({1,2},INPUT!$A$3:$A$5000&amp;INPUT!$C$3:$C$5000,INPUT!$F$3:$F$5000),2,FALSE),"")</f>
        <v>PRE-TEMPORADA</v>
      </c>
      <c r="H1671" t="str" cm="1">
        <f t="array" ref="H1671">IFERROR(VLOOKUP(INPUT!M1666&amp;INPUT!N1666,CHOOSE({1,2},INPUT!$A$3:$A$5000&amp;INPUT!$C$3:$C$5000,INPUT!$D$3:$D$5000),2,FALSE),"")</f>
        <v>RECUPERACIÓN</v>
      </c>
      <c r="I1671" s="46">
        <f>IF(INPUT!P1666="","",INPUT!P1666)</f>
        <v>69</v>
      </c>
      <c r="J1671" s="46">
        <f>IF(INPUT!Q1666="","",INPUT!Q1666)</f>
        <v>68.5</v>
      </c>
      <c r="K1671" s="46">
        <f>IFERROR(IF(OR(INPUT!P1666="",INPUT!Q1666=""),"",INPUT!P1666-INPUT!Q1666),"")</f>
        <v>0.5</v>
      </c>
      <c r="L1671" s="48">
        <f>IFERROR(IF(OR(INPUT!P1666="",INPUT!Q1666="",INPUT!P1666=0),"",(INPUT!P1666-INPUT!Q1666)/INPUT!P1666),"")</f>
        <v>7.246376811594203E-3</v>
      </c>
    </row>
    <row r="1672" spans="1:12" ht="18" hidden="1" customHeight="1" x14ac:dyDescent="0.2">
      <c r="A1672" s="11">
        <f>IF(INPUT!M1667="","",INPUT!M1667)</f>
        <v>46030</v>
      </c>
      <c r="B1672" s="11">
        <f>IF(INPUT!M1667="","",INPUT!M1667-WEEKDAY(INPUT!M1667,2)+1)</f>
        <v>46027</v>
      </c>
      <c r="C1672" s="20">
        <f>IFERROR(_xlfn.ISOWEEKNUM(INPUT!M1667),"")</f>
        <v>2</v>
      </c>
      <c r="D1672" s="20">
        <f>IFERROR(YEAR(INPUT!M1667),"")</f>
        <v>2026</v>
      </c>
      <c r="E1672" t="str">
        <f>IF(INPUT!O1667="","",INPUT!O1667)</f>
        <v>DANI</v>
      </c>
      <c r="F1672" t="str">
        <f>IF(INPUT!N1667="","",INPUT!N1667)</f>
        <v>M</v>
      </c>
      <c r="G1672" t="str" cm="1">
        <f t="array" ref="G1672">IFERROR(VLOOKUP(INPUT!M1667&amp;INPUT!N1667,CHOOSE({1,2},INPUT!$A$3:$A$5000&amp;INPUT!$C$3:$C$5000,INPUT!$F$3:$F$5000),2,FALSE),"")</f>
        <v>PRE-TEMPORADA</v>
      </c>
      <c r="H1672" t="str" cm="1">
        <f t="array" ref="H1672">IFERROR(VLOOKUP(INPUT!M1667&amp;INPUT!N1667,CHOOSE({1,2},INPUT!$A$3:$A$5000&amp;INPUT!$C$3:$C$5000,INPUT!$D$3:$D$5000),2,FALSE),"")</f>
        <v>RECUPERACIÓN</v>
      </c>
      <c r="I1672" s="46">
        <f>IF(INPUT!P1667="","",INPUT!P1667)</f>
        <v>90.3</v>
      </c>
      <c r="J1672" s="46">
        <f>IF(INPUT!Q1667="","",INPUT!Q1667)</f>
        <v>90</v>
      </c>
      <c r="K1672" s="46">
        <f>IFERROR(IF(OR(INPUT!P1667="",INPUT!Q1667=""),"",INPUT!P1667-INPUT!Q1667),"")</f>
        <v>0.29999999999999716</v>
      </c>
      <c r="L1672" s="48">
        <f>IFERROR(IF(OR(INPUT!P1667="",INPUT!Q1667="",INPUT!P1667=0),"",(INPUT!P1667-INPUT!Q1667)/INPUT!P1667),"")</f>
        <v>3.322259136212593E-3</v>
      </c>
    </row>
    <row r="1673" spans="1:12" ht="18" hidden="1" customHeight="1" x14ac:dyDescent="0.2">
      <c r="A1673" s="11">
        <f>IF(INPUT!M1668="","",INPUT!M1668)</f>
        <v>46031</v>
      </c>
      <c r="B1673" s="11">
        <f>IF(INPUT!M1668="","",INPUT!M1668-WEEKDAY(INPUT!M1668,2)+1)</f>
        <v>46027</v>
      </c>
      <c r="C1673" s="20">
        <f>IFERROR(_xlfn.ISOWEEKNUM(INPUT!M1668),"")</f>
        <v>2</v>
      </c>
      <c r="D1673" s="20">
        <f>IFERROR(YEAR(INPUT!M1668),"")</f>
        <v>2026</v>
      </c>
      <c r="E1673" t="str">
        <f>IF(INPUT!O1668="","",INPUT!O1668)</f>
        <v>HERRERO</v>
      </c>
      <c r="F1673" t="str">
        <f>IF(INPUT!N1668="","",INPUT!N1668)</f>
        <v>M</v>
      </c>
      <c r="G1673" t="str" cm="1">
        <f t="array" ref="G1673">IFERROR(VLOOKUP(INPUT!M1668&amp;INPUT!N1668,CHOOSE({1,2},INPUT!$A$3:$A$5000&amp;INPUT!$C$3:$C$5000,INPUT!$F$3:$F$5000),2,FALSE),"")</f>
        <v>PRE-TEMPORADA</v>
      </c>
      <c r="H1673" t="str" cm="1">
        <f t="array" ref="H1673">IFERROR(VLOOKUP(INPUT!M1668&amp;INPUT!N1668,CHOOSE({1,2},INPUT!$A$3:$A$5000&amp;INPUT!$C$3:$C$5000,INPUT!$D$3:$D$5000),2,FALSE),"")</f>
        <v>TEC-TAC</v>
      </c>
      <c r="I1673" s="46">
        <f>IF(INPUT!P1668="","",INPUT!P1668)</f>
        <v>76.8</v>
      </c>
      <c r="J1673" s="46">
        <f>IF(INPUT!Q1668="","",INPUT!Q1668)</f>
        <v>76.599999999999994</v>
      </c>
      <c r="K1673" s="46">
        <f>IFERROR(IF(OR(INPUT!P1668="",INPUT!Q1668=""),"",INPUT!P1668-INPUT!Q1668),"")</f>
        <v>0.20000000000000284</v>
      </c>
      <c r="L1673" s="48">
        <f>IFERROR(IF(OR(INPUT!P1668="",INPUT!Q1668="",INPUT!P1668=0),"",(INPUT!P1668-INPUT!Q1668)/INPUT!P1668),"")</f>
        <v>2.6041666666667038E-3</v>
      </c>
    </row>
    <row r="1674" spans="1:12" ht="18" hidden="1" customHeight="1" x14ac:dyDescent="0.2">
      <c r="A1674" s="11">
        <f>IF(INPUT!M1669="","",INPUT!M1669)</f>
        <v>46031</v>
      </c>
      <c r="B1674" s="11">
        <f>IF(INPUT!M1669="","",INPUT!M1669-WEEKDAY(INPUT!M1669,2)+1)</f>
        <v>46027</v>
      </c>
      <c r="C1674" s="20">
        <f>IFERROR(_xlfn.ISOWEEKNUM(INPUT!M1669),"")</f>
        <v>2</v>
      </c>
      <c r="D1674" s="20">
        <f>IFERROR(YEAR(INPUT!M1669),"")</f>
        <v>2026</v>
      </c>
      <c r="E1674" t="str">
        <f>IF(INPUT!O1669="","",INPUT!O1669)</f>
        <v>GARCIA</v>
      </c>
      <c r="F1674" t="str">
        <f>IF(INPUT!N1669="","",INPUT!N1669)</f>
        <v>M</v>
      </c>
      <c r="G1674" t="str" cm="1">
        <f t="array" ref="G1674">IFERROR(VLOOKUP(INPUT!M1669&amp;INPUT!N1669,CHOOSE({1,2},INPUT!$A$3:$A$5000&amp;INPUT!$C$3:$C$5000,INPUT!$F$3:$F$5000),2,FALSE),"")</f>
        <v>PRE-TEMPORADA</v>
      </c>
      <c r="H1674" t="str" cm="1">
        <f t="array" ref="H1674">IFERROR(VLOOKUP(INPUT!M1669&amp;INPUT!N1669,CHOOSE({1,2},INPUT!$A$3:$A$5000&amp;INPUT!$C$3:$C$5000,INPUT!$D$3:$D$5000),2,FALSE),"")</f>
        <v>TEC-TAC</v>
      </c>
      <c r="I1674" s="46">
        <f>IF(INPUT!P1669="","",INPUT!P1669)</f>
        <v>79.2</v>
      </c>
      <c r="J1674" s="46">
        <f>IF(INPUT!Q1669="","",INPUT!Q1669)</f>
        <v>79.099999999999994</v>
      </c>
      <c r="K1674" s="46">
        <f>IFERROR(IF(OR(INPUT!P1669="",INPUT!Q1669=""),"",INPUT!P1669-INPUT!Q1669),"")</f>
        <v>0.10000000000000853</v>
      </c>
      <c r="L1674" s="48">
        <f>IFERROR(IF(OR(INPUT!P1669="",INPUT!Q1669="",INPUT!P1669=0),"",(INPUT!P1669-INPUT!Q1669)/INPUT!P1669),"")</f>
        <v>1.2626262626263703E-3</v>
      </c>
    </row>
    <row r="1675" spans="1:12" ht="18" hidden="1" customHeight="1" x14ac:dyDescent="0.2">
      <c r="A1675" s="11">
        <f>IF(INPUT!M1670="","",INPUT!M1670)</f>
        <v>46031</v>
      </c>
      <c r="B1675" s="11">
        <f>IF(INPUT!M1670="","",INPUT!M1670-WEEKDAY(INPUT!M1670,2)+1)</f>
        <v>46027</v>
      </c>
      <c r="C1675" s="20">
        <f>IFERROR(_xlfn.ISOWEEKNUM(INPUT!M1670),"")</f>
        <v>2</v>
      </c>
      <c r="D1675" s="20">
        <f>IFERROR(YEAR(INPUT!M1670),"")</f>
        <v>2026</v>
      </c>
      <c r="E1675" t="str">
        <f>IF(INPUT!O1670="","",INPUT!O1670)</f>
        <v>CECILIO</v>
      </c>
      <c r="F1675" t="str">
        <f>IF(INPUT!N1670="","",INPUT!N1670)</f>
        <v>M</v>
      </c>
      <c r="G1675" t="str" cm="1">
        <f t="array" ref="G1675">IFERROR(VLOOKUP(INPUT!M1670&amp;INPUT!N1670,CHOOSE({1,2},INPUT!$A$3:$A$5000&amp;INPUT!$C$3:$C$5000,INPUT!$F$3:$F$5000),2,FALSE),"")</f>
        <v>PRE-TEMPORADA</v>
      </c>
      <c r="H1675" t="str" cm="1">
        <f t="array" ref="H1675">IFERROR(VLOOKUP(INPUT!M1670&amp;INPUT!N1670,CHOOSE({1,2},INPUT!$A$3:$A$5000&amp;INPUT!$C$3:$C$5000,INPUT!$D$3:$D$5000),2,FALSE),"")</f>
        <v>TEC-TAC</v>
      </c>
      <c r="I1675" s="46">
        <f>IF(INPUT!P1670="","",INPUT!P1670)</f>
        <v>67.5</v>
      </c>
      <c r="J1675" s="46">
        <f>IF(INPUT!Q1670="","",INPUT!Q1670)</f>
        <v>67.5</v>
      </c>
      <c r="K1675" s="46">
        <f>IFERROR(IF(OR(INPUT!P1670="",INPUT!Q1670=""),"",INPUT!P1670-INPUT!Q1670),"")</f>
        <v>0</v>
      </c>
      <c r="L1675" s="48">
        <f>IFERROR(IF(OR(INPUT!P1670="",INPUT!Q1670="",INPUT!P1670=0),"",(INPUT!P1670-INPUT!Q1670)/INPUT!P1670),"")</f>
        <v>0</v>
      </c>
    </row>
    <row r="1676" spans="1:12" ht="18" hidden="1" customHeight="1" x14ac:dyDescent="0.2">
      <c r="A1676" s="11">
        <f>IF(INPUT!M1671="","",INPUT!M1671)</f>
        <v>46031</v>
      </c>
      <c r="B1676" s="11">
        <f>IF(INPUT!M1671="","",INPUT!M1671-WEEKDAY(INPUT!M1671,2)+1)</f>
        <v>46027</v>
      </c>
      <c r="C1676" s="20">
        <f>IFERROR(_xlfn.ISOWEEKNUM(INPUT!M1671),"")</f>
        <v>2</v>
      </c>
      <c r="D1676" s="20">
        <f>IFERROR(YEAR(INPUT!M1671),"")</f>
        <v>2026</v>
      </c>
      <c r="E1676" t="str">
        <f>IF(INPUT!O1671="","",INPUT!O1671)</f>
        <v>CHAGUINHA</v>
      </c>
      <c r="F1676" t="str">
        <f>IF(INPUT!N1671="","",INPUT!N1671)</f>
        <v>M</v>
      </c>
      <c r="G1676" t="str" cm="1">
        <f t="array" ref="G1676">IFERROR(VLOOKUP(INPUT!M1671&amp;INPUT!N1671,CHOOSE({1,2},INPUT!$A$3:$A$5000&amp;INPUT!$C$3:$C$5000,INPUT!$F$3:$F$5000),2,FALSE),"")</f>
        <v>PRE-TEMPORADA</v>
      </c>
      <c r="H1676" t="str" cm="1">
        <f t="array" ref="H1676">IFERROR(VLOOKUP(INPUT!M1671&amp;INPUT!N1671,CHOOSE({1,2},INPUT!$A$3:$A$5000&amp;INPUT!$C$3:$C$5000,INPUT!$D$3:$D$5000),2,FALSE),"")</f>
        <v>TEC-TAC</v>
      </c>
      <c r="I1676" s="46">
        <f>IF(INPUT!P1671="","",INPUT!P1671)</f>
        <v>68.2</v>
      </c>
      <c r="J1676" s="46">
        <f>IF(INPUT!Q1671="","",INPUT!Q1671)</f>
        <v>68.7</v>
      </c>
      <c r="K1676" s="46">
        <f>IFERROR(IF(OR(INPUT!P1671="",INPUT!Q1671=""),"",INPUT!P1671-INPUT!Q1671),"")</f>
        <v>-0.5</v>
      </c>
      <c r="L1676" s="48">
        <f>IFERROR(IF(OR(INPUT!P1671="",INPUT!Q1671="",INPUT!P1671=0),"",(INPUT!P1671-INPUT!Q1671)/INPUT!P1671),"")</f>
        <v>-7.3313782991202342E-3</v>
      </c>
    </row>
    <row r="1677" spans="1:12" ht="18" hidden="1" customHeight="1" x14ac:dyDescent="0.2">
      <c r="A1677" s="11">
        <f>IF(INPUT!M1672="","",INPUT!M1672)</f>
        <v>46031</v>
      </c>
      <c r="B1677" s="11">
        <f>IF(INPUT!M1672="","",INPUT!M1672-WEEKDAY(INPUT!M1672,2)+1)</f>
        <v>46027</v>
      </c>
      <c r="C1677" s="20">
        <f>IFERROR(_xlfn.ISOWEEKNUM(INPUT!M1672),"")</f>
        <v>2</v>
      </c>
      <c r="D1677" s="20">
        <f>IFERROR(YEAR(INPUT!M1672),"")</f>
        <v>2026</v>
      </c>
      <c r="E1677" t="str">
        <f>IF(INPUT!O1672="","",INPUT!O1672)</f>
        <v>RAUL</v>
      </c>
      <c r="F1677" t="str">
        <f>IF(INPUT!N1672="","",INPUT!N1672)</f>
        <v>M</v>
      </c>
      <c r="G1677" t="str" cm="1">
        <f t="array" ref="G1677">IFERROR(VLOOKUP(INPUT!M1672&amp;INPUT!N1672,CHOOSE({1,2},INPUT!$A$3:$A$5000&amp;INPUT!$C$3:$C$5000,INPUT!$F$3:$F$5000),2,FALSE),"")</f>
        <v>PRE-TEMPORADA</v>
      </c>
      <c r="H1677" t="str" cm="1">
        <f t="array" ref="H1677">IFERROR(VLOOKUP(INPUT!M1672&amp;INPUT!N1672,CHOOSE({1,2},INPUT!$A$3:$A$5000&amp;INPUT!$C$3:$C$5000,INPUT!$D$3:$D$5000),2,FALSE),"")</f>
        <v>TEC-TAC</v>
      </c>
      <c r="I1677" s="46">
        <f>IF(INPUT!P1672="","",INPUT!P1672)</f>
        <v>80.7</v>
      </c>
      <c r="J1677" s="46">
        <f>IF(INPUT!Q1672="","",INPUT!Q1672)</f>
        <v>81</v>
      </c>
      <c r="K1677" s="46">
        <f>IFERROR(IF(OR(INPUT!P1672="",INPUT!Q1672=""),"",INPUT!P1672-INPUT!Q1672),"")</f>
        <v>-0.29999999999999716</v>
      </c>
      <c r="L1677" s="48">
        <f>IFERROR(IF(OR(INPUT!P1672="",INPUT!Q1672="",INPUT!P1672=0),"",(INPUT!P1672-INPUT!Q1672)/INPUT!P1672),"")</f>
        <v>-3.7174721189590725E-3</v>
      </c>
    </row>
    <row r="1678" spans="1:12" ht="18" hidden="1" customHeight="1" x14ac:dyDescent="0.2">
      <c r="A1678" s="11">
        <f>IF(INPUT!M1673="","",INPUT!M1673)</f>
        <v>46031</v>
      </c>
      <c r="B1678" s="11">
        <f>IF(INPUT!M1673="","",INPUT!M1673-WEEKDAY(INPUT!M1673,2)+1)</f>
        <v>46027</v>
      </c>
      <c r="C1678" s="20">
        <f>IFERROR(_xlfn.ISOWEEKNUM(INPUT!M1673),"")</f>
        <v>2</v>
      </c>
      <c r="D1678" s="20">
        <f>IFERROR(YEAR(INPUT!M1673),"")</f>
        <v>2026</v>
      </c>
      <c r="E1678" t="str">
        <f>IF(INPUT!O1673="","",INPUT!O1673)</f>
        <v>HARRISON</v>
      </c>
      <c r="F1678" t="str">
        <f>IF(INPUT!N1673="","",INPUT!N1673)</f>
        <v>M</v>
      </c>
      <c r="G1678" t="str" cm="1">
        <f t="array" ref="G1678">IFERROR(VLOOKUP(INPUT!M1673&amp;INPUT!N1673,CHOOSE({1,2},INPUT!$A$3:$A$5000&amp;INPUT!$C$3:$C$5000,INPUT!$F$3:$F$5000),2,FALSE),"")</f>
        <v>PRE-TEMPORADA</v>
      </c>
      <c r="H1678" t="str" cm="1">
        <f t="array" ref="H1678">IFERROR(VLOOKUP(INPUT!M1673&amp;INPUT!N1673,CHOOSE({1,2},INPUT!$A$3:$A$5000&amp;INPUT!$C$3:$C$5000,INPUT!$D$3:$D$5000),2,FALSE),"")</f>
        <v>TEC-TAC</v>
      </c>
      <c r="I1678" s="46">
        <f>IF(INPUT!P1673="","",INPUT!P1673)</f>
        <v>71.900000000000006</v>
      </c>
      <c r="J1678" s="46">
        <f>IF(INPUT!Q1673="","",INPUT!Q1673)</f>
        <v>72</v>
      </c>
      <c r="K1678" s="46">
        <f>IFERROR(IF(OR(INPUT!P1673="",INPUT!Q1673=""),"",INPUT!P1673-INPUT!Q1673),"")</f>
        <v>-9.9999999999994316E-2</v>
      </c>
      <c r="L1678" s="48">
        <f>IFERROR(IF(OR(INPUT!P1673="",INPUT!Q1673="",INPUT!P1673=0),"",(INPUT!P1673-INPUT!Q1673)/INPUT!P1673),"")</f>
        <v>-1.3908205841445661E-3</v>
      </c>
    </row>
    <row r="1679" spans="1:12" ht="18" hidden="1" customHeight="1" x14ac:dyDescent="0.2">
      <c r="A1679" s="11">
        <f>IF(INPUT!M1674="","",INPUT!M1674)</f>
        <v>46031</v>
      </c>
      <c r="B1679" s="11">
        <f>IF(INPUT!M1674="","",INPUT!M1674-WEEKDAY(INPUT!M1674,2)+1)</f>
        <v>46027</v>
      </c>
      <c r="C1679" s="20">
        <f>IFERROR(_xlfn.ISOWEEKNUM(INPUT!M1674),"")</f>
        <v>2</v>
      </c>
      <c r="D1679" s="20">
        <f>IFERROR(YEAR(INPUT!M1674),"")</f>
        <v>2026</v>
      </c>
      <c r="E1679" t="str">
        <f>IF(INPUT!O1674="","",INPUT!O1674)</f>
        <v>RAYA</v>
      </c>
      <c r="F1679" t="str">
        <f>IF(INPUT!N1674="","",INPUT!N1674)</f>
        <v>M</v>
      </c>
      <c r="G1679" t="str" cm="1">
        <f t="array" ref="G1679">IFERROR(VLOOKUP(INPUT!M1674&amp;INPUT!N1674,CHOOSE({1,2},INPUT!$A$3:$A$5000&amp;INPUT!$C$3:$C$5000,INPUT!$F$3:$F$5000),2,FALSE),"")</f>
        <v>PRE-TEMPORADA</v>
      </c>
      <c r="H1679" t="str" cm="1">
        <f t="array" ref="H1679">IFERROR(VLOOKUP(INPUT!M1674&amp;INPUT!N1674,CHOOSE({1,2},INPUT!$A$3:$A$5000&amp;INPUT!$C$3:$C$5000,INPUT!$D$3:$D$5000),2,FALSE),"")</f>
        <v>TEC-TAC</v>
      </c>
      <c r="I1679" s="46">
        <f>IF(INPUT!P1674="","",INPUT!P1674)</f>
        <v>81.2</v>
      </c>
      <c r="J1679" s="46">
        <f>IF(INPUT!Q1674="","",INPUT!Q1674)</f>
        <v>81</v>
      </c>
      <c r="K1679" s="46">
        <f>IFERROR(IF(OR(INPUT!P1674="",INPUT!Q1674=""),"",INPUT!P1674-INPUT!Q1674),"")</f>
        <v>0.20000000000000284</v>
      </c>
      <c r="L1679" s="48">
        <f>IFERROR(IF(OR(INPUT!P1674="",INPUT!Q1674="",INPUT!P1674=0),"",(INPUT!P1674-INPUT!Q1674)/INPUT!P1674),"")</f>
        <v>2.4630541871921529E-3</v>
      </c>
    </row>
    <row r="1680" spans="1:12" ht="18" hidden="1" customHeight="1" x14ac:dyDescent="0.2">
      <c r="A1680" s="11">
        <f>IF(INPUT!M1675="","",INPUT!M1675)</f>
        <v>46031</v>
      </c>
      <c r="B1680" s="11">
        <f>IF(INPUT!M1675="","",INPUT!M1675-WEEKDAY(INPUT!M1675,2)+1)</f>
        <v>46027</v>
      </c>
      <c r="C1680" s="20">
        <f>IFERROR(_xlfn.ISOWEEKNUM(INPUT!M1675),"")</f>
        <v>2</v>
      </c>
      <c r="D1680" s="20">
        <f>IFERROR(YEAR(INPUT!M1675),"")</f>
        <v>2026</v>
      </c>
      <c r="E1680" t="str">
        <f>IF(INPUT!O1675="","",INPUT!O1675)</f>
        <v>JAVI</v>
      </c>
      <c r="F1680" t="str">
        <f>IF(INPUT!N1675="","",INPUT!N1675)</f>
        <v>M</v>
      </c>
      <c r="G1680" t="str" cm="1">
        <f t="array" ref="G1680">IFERROR(VLOOKUP(INPUT!M1675&amp;INPUT!N1675,CHOOSE({1,2},INPUT!$A$3:$A$5000&amp;INPUT!$C$3:$C$5000,INPUT!$F$3:$F$5000),2,FALSE),"")</f>
        <v>PRE-TEMPORADA</v>
      </c>
      <c r="H1680" t="str" cm="1">
        <f t="array" ref="H1680">IFERROR(VLOOKUP(INPUT!M1675&amp;INPUT!N1675,CHOOSE({1,2},INPUT!$A$3:$A$5000&amp;INPUT!$C$3:$C$5000,INPUT!$D$3:$D$5000),2,FALSE),"")</f>
        <v>TEC-TAC</v>
      </c>
      <c r="I1680" s="46">
        <f>IF(INPUT!P1675="","",INPUT!P1675)</f>
        <v>77.7</v>
      </c>
      <c r="J1680" s="46">
        <f>IF(INPUT!Q1675="","",INPUT!Q1675)</f>
        <v>77.7</v>
      </c>
      <c r="K1680" s="46">
        <f>IFERROR(IF(OR(INPUT!P1675="",INPUT!Q1675=""),"",INPUT!P1675-INPUT!Q1675),"")</f>
        <v>0</v>
      </c>
      <c r="L1680" s="48">
        <f>IFERROR(IF(OR(INPUT!P1675="",INPUT!Q1675="",INPUT!P1675=0),"",(INPUT!P1675-INPUT!Q1675)/INPUT!P1675),"")</f>
        <v>0</v>
      </c>
    </row>
    <row r="1681" spans="1:12" ht="18" hidden="1" customHeight="1" x14ac:dyDescent="0.2">
      <c r="A1681" s="11">
        <f>IF(INPUT!M1676="","",INPUT!M1676)</f>
        <v>46031</v>
      </c>
      <c r="B1681" s="11">
        <f>IF(INPUT!M1676="","",INPUT!M1676-WEEKDAY(INPUT!M1676,2)+1)</f>
        <v>46027</v>
      </c>
      <c r="C1681" s="20">
        <f>IFERROR(_xlfn.ISOWEEKNUM(INPUT!M1676),"")</f>
        <v>2</v>
      </c>
      <c r="D1681" s="20">
        <f>IFERROR(YEAR(INPUT!M1676),"")</f>
        <v>2026</v>
      </c>
      <c r="E1681" t="str">
        <f>IF(INPUT!O1676="","",INPUT!O1676)</f>
        <v>PANI</v>
      </c>
      <c r="F1681" t="str">
        <f>IF(INPUT!N1676="","",INPUT!N1676)</f>
        <v>M</v>
      </c>
      <c r="G1681" t="str" cm="1">
        <f t="array" ref="G1681">IFERROR(VLOOKUP(INPUT!M1676&amp;INPUT!N1676,CHOOSE({1,2},INPUT!$A$3:$A$5000&amp;INPUT!$C$3:$C$5000,INPUT!$F$3:$F$5000),2,FALSE),"")</f>
        <v>PRE-TEMPORADA</v>
      </c>
      <c r="H1681" t="str" cm="1">
        <f t="array" ref="H1681">IFERROR(VLOOKUP(INPUT!M1676&amp;INPUT!N1676,CHOOSE({1,2},INPUT!$A$3:$A$5000&amp;INPUT!$C$3:$C$5000,INPUT!$D$3:$D$5000),2,FALSE),"")</f>
        <v>TEC-TAC</v>
      </c>
      <c r="I1681" s="46">
        <f>IF(INPUT!P1676="","",INPUT!P1676)</f>
        <v>66.400000000000006</v>
      </c>
      <c r="J1681" s="46">
        <f>IF(INPUT!Q1676="","",INPUT!Q1676)</f>
        <v>66</v>
      </c>
      <c r="K1681" s="46">
        <f>IFERROR(IF(OR(INPUT!P1676="",INPUT!Q1676=""),"",INPUT!P1676-INPUT!Q1676),"")</f>
        <v>0.40000000000000568</v>
      </c>
      <c r="L1681" s="48">
        <f>IFERROR(IF(OR(INPUT!P1676="",INPUT!Q1676="",INPUT!P1676=0),"",(INPUT!P1676-INPUT!Q1676)/INPUT!P1676),"")</f>
        <v>6.024096385542254E-3</v>
      </c>
    </row>
    <row r="1682" spans="1:12" ht="18" hidden="1" customHeight="1" x14ac:dyDescent="0.2">
      <c r="A1682" s="11">
        <f>IF(INPUT!M1677="","",INPUT!M1677)</f>
        <v>46031</v>
      </c>
      <c r="B1682" s="11">
        <f>IF(INPUT!M1677="","",INPUT!M1677-WEEKDAY(INPUT!M1677,2)+1)</f>
        <v>46027</v>
      </c>
      <c r="C1682" s="20">
        <f>IFERROR(_xlfn.ISOWEEKNUM(INPUT!M1677),"")</f>
        <v>2</v>
      </c>
      <c r="D1682" s="20">
        <f>IFERROR(YEAR(INPUT!M1677),"")</f>
        <v>2026</v>
      </c>
      <c r="E1682" t="str">
        <f>IF(INPUT!O1677="","",INPUT!O1677)</f>
        <v>PIRATA</v>
      </c>
      <c r="F1682" t="str">
        <f>IF(INPUT!N1677="","",INPUT!N1677)</f>
        <v>M</v>
      </c>
      <c r="G1682" t="str" cm="1">
        <f t="array" ref="G1682">IFERROR(VLOOKUP(INPUT!M1677&amp;INPUT!N1677,CHOOSE({1,2},INPUT!$A$3:$A$5000&amp;INPUT!$C$3:$C$5000,INPUT!$F$3:$F$5000),2,FALSE),"")</f>
        <v>PRE-TEMPORADA</v>
      </c>
      <c r="H1682" t="str" cm="1">
        <f t="array" ref="H1682">IFERROR(VLOOKUP(INPUT!M1677&amp;INPUT!N1677,CHOOSE({1,2},INPUT!$A$3:$A$5000&amp;INPUT!$C$3:$C$5000,INPUT!$D$3:$D$5000),2,FALSE),"")</f>
        <v>TEC-TAC</v>
      </c>
      <c r="I1682" s="46">
        <f>IF(INPUT!P1677="","",INPUT!P1677)</f>
        <v>75.3</v>
      </c>
      <c r="J1682" s="46">
        <f>IF(INPUT!Q1677="","",INPUT!Q1677)</f>
        <v>75.099999999999994</v>
      </c>
      <c r="K1682" s="46">
        <f>IFERROR(IF(OR(INPUT!P1677="",INPUT!Q1677=""),"",INPUT!P1677-INPUT!Q1677),"")</f>
        <v>0.20000000000000284</v>
      </c>
      <c r="L1682" s="48">
        <f>IFERROR(IF(OR(INPUT!P1677="",INPUT!Q1677="",INPUT!P1677=0),"",(INPUT!P1677-INPUT!Q1677)/INPUT!P1677),"")</f>
        <v>2.6560424966799849E-3</v>
      </c>
    </row>
    <row r="1683" spans="1:12" ht="18" hidden="1" customHeight="1" x14ac:dyDescent="0.2">
      <c r="A1683" s="11">
        <f>IF(INPUT!M1678="","",INPUT!M1678)</f>
        <v>46031</v>
      </c>
      <c r="B1683" s="11">
        <f>IF(INPUT!M1678="","",INPUT!M1678-WEEKDAY(INPUT!M1678,2)+1)</f>
        <v>46027</v>
      </c>
      <c r="C1683" s="20">
        <f>IFERROR(_xlfn.ISOWEEKNUM(INPUT!M1678),"")</f>
        <v>2</v>
      </c>
      <c r="D1683" s="20">
        <f>IFERROR(YEAR(INPUT!M1678),"")</f>
        <v>2026</v>
      </c>
      <c r="E1683" t="str">
        <f>IF(INPUT!O1678="","",INPUT!O1678)</f>
        <v>BARONA</v>
      </c>
      <c r="F1683" t="str">
        <f>IF(INPUT!N1678="","",INPUT!N1678)</f>
        <v>M</v>
      </c>
      <c r="G1683" t="str" cm="1">
        <f t="array" ref="G1683">IFERROR(VLOOKUP(INPUT!M1678&amp;INPUT!N1678,CHOOSE({1,2},INPUT!$A$3:$A$5000&amp;INPUT!$C$3:$C$5000,INPUT!$F$3:$F$5000),2,FALSE),"")</f>
        <v>PRE-TEMPORADA</v>
      </c>
      <c r="H1683" t="str" cm="1">
        <f t="array" ref="H1683">IFERROR(VLOOKUP(INPUT!M1678&amp;INPUT!N1678,CHOOSE({1,2},INPUT!$A$3:$A$5000&amp;INPUT!$C$3:$C$5000,INPUT!$D$3:$D$5000),2,FALSE),"")</f>
        <v>TEC-TAC</v>
      </c>
      <c r="I1683" s="46">
        <f>IF(INPUT!P1678="","",INPUT!P1678)</f>
        <v>71.900000000000006</v>
      </c>
      <c r="J1683" s="46">
        <f>IF(INPUT!Q1678="","",INPUT!Q1678)</f>
        <v>71.099999999999994</v>
      </c>
      <c r="K1683" s="46">
        <f>IFERROR(IF(OR(INPUT!P1678="",INPUT!Q1678=""),"",INPUT!P1678-INPUT!Q1678),"")</f>
        <v>0.80000000000001137</v>
      </c>
      <c r="L1683" s="48">
        <f>IFERROR(IF(OR(INPUT!P1678="",INPUT!Q1678="",INPUT!P1678=0),"",(INPUT!P1678-INPUT!Q1678)/INPUT!P1678),"")</f>
        <v>1.112656467315732E-2</v>
      </c>
    </row>
    <row r="1684" spans="1:12" ht="18" hidden="1" customHeight="1" x14ac:dyDescent="0.2">
      <c r="A1684" s="11">
        <f>IF(INPUT!M1679="","",INPUT!M1679)</f>
        <v>46031</v>
      </c>
      <c r="B1684" s="11">
        <f>IF(INPUT!M1679="","",INPUT!M1679-WEEKDAY(INPUT!M1679,2)+1)</f>
        <v>46027</v>
      </c>
      <c r="C1684" s="20">
        <f>IFERROR(_xlfn.ISOWEEKNUM(INPUT!M1679),"")</f>
        <v>2</v>
      </c>
      <c r="D1684" s="20">
        <f>IFERROR(YEAR(INPUT!M1679),"")</f>
        <v>2026</v>
      </c>
      <c r="E1684" t="str">
        <f>IF(INPUT!O1679="","",INPUT!O1679)</f>
        <v>CARLOS</v>
      </c>
      <c r="F1684" t="str">
        <f>IF(INPUT!N1679="","",INPUT!N1679)</f>
        <v>M</v>
      </c>
      <c r="G1684" t="str" cm="1">
        <f t="array" ref="G1684">IFERROR(VLOOKUP(INPUT!M1679&amp;INPUT!N1679,CHOOSE({1,2},INPUT!$A$3:$A$5000&amp;INPUT!$C$3:$C$5000,INPUT!$F$3:$F$5000),2,FALSE),"")</f>
        <v>PRE-TEMPORADA</v>
      </c>
      <c r="H1684" t="str" cm="1">
        <f t="array" ref="H1684">IFERROR(VLOOKUP(INPUT!M1679&amp;INPUT!N1679,CHOOSE({1,2},INPUT!$A$3:$A$5000&amp;INPUT!$C$3:$C$5000,INPUT!$D$3:$D$5000),2,FALSE),"")</f>
        <v>TEC-TAC</v>
      </c>
      <c r="I1684" s="46">
        <f>IF(INPUT!P1679="","",INPUT!P1679)</f>
        <v>68</v>
      </c>
      <c r="J1684" s="46">
        <f>IF(INPUT!Q1679="","",INPUT!Q1679)</f>
        <v>67.7</v>
      </c>
      <c r="K1684" s="46">
        <f>IFERROR(IF(OR(INPUT!P1679="",INPUT!Q1679=""),"",INPUT!P1679-INPUT!Q1679),"")</f>
        <v>0.29999999999999716</v>
      </c>
      <c r="L1684" s="48">
        <f>IFERROR(IF(OR(INPUT!P1679="",INPUT!Q1679="",INPUT!P1679=0),"",(INPUT!P1679-INPUT!Q1679)/INPUT!P1679),"")</f>
        <v>4.4117647058823112E-3</v>
      </c>
    </row>
    <row r="1685" spans="1:12" ht="18" customHeight="1" x14ac:dyDescent="0.2">
      <c r="A1685" s="11">
        <f>IF(INPUT!M1680="","",INPUT!M1680)</f>
        <v>46031</v>
      </c>
      <c r="B1685" s="11">
        <f>IF(INPUT!M1680="","",INPUT!M1680-WEEKDAY(INPUT!M1680,2)+1)</f>
        <v>46027</v>
      </c>
      <c r="C1685" s="20">
        <f>IFERROR(_xlfn.ISOWEEKNUM(INPUT!M1680),"")</f>
        <v>2</v>
      </c>
      <c r="D1685" s="20">
        <f>IFERROR(YEAR(INPUT!M1680),"")</f>
        <v>2026</v>
      </c>
      <c r="E1685" t="str">
        <f>IF(INPUT!O1680="","",INPUT!O1680)</f>
        <v>RUBIO</v>
      </c>
      <c r="F1685" t="str">
        <f>IF(INPUT!N1680="","",INPUT!N1680)</f>
        <v>M</v>
      </c>
      <c r="G1685" t="str" cm="1">
        <f t="array" ref="G1685">IFERROR(VLOOKUP(INPUT!M1680&amp;INPUT!N1680,CHOOSE({1,2},INPUT!$A$3:$A$5000&amp;INPUT!$C$3:$C$5000,INPUT!$F$3:$F$5000),2,FALSE),"")</f>
        <v>PRE-TEMPORADA</v>
      </c>
      <c r="H1685" t="str" cm="1">
        <f t="array" ref="H1685">IFERROR(VLOOKUP(INPUT!M1680&amp;INPUT!N1680,CHOOSE({1,2},INPUT!$A$3:$A$5000&amp;INPUT!$C$3:$C$5000,INPUT!$D$3:$D$5000),2,FALSE),"")</f>
        <v>TEC-TAC</v>
      </c>
      <c r="I1685" s="46">
        <f>IF(INPUT!P1680="","",INPUT!P1680)</f>
        <v>75.2</v>
      </c>
      <c r="J1685" s="46">
        <f>IF(INPUT!Q1680="","",INPUT!Q1680)</f>
        <v>75.099999999999994</v>
      </c>
      <c r="K1685" s="46">
        <f>IFERROR(IF(OR(INPUT!P1680="",INPUT!Q1680=""),"",INPUT!P1680-INPUT!Q1680),"")</f>
        <v>0.10000000000000853</v>
      </c>
      <c r="L1685" s="48">
        <f>IFERROR(IF(OR(INPUT!P1680="",INPUT!Q1680="",INPUT!P1680=0),"",(INPUT!P1680-INPUT!Q1680)/INPUT!P1680),"")</f>
        <v>1.3297872340426666E-3</v>
      </c>
    </row>
    <row r="1686" spans="1:12" ht="18" customHeight="1" x14ac:dyDescent="0.2">
      <c r="A1686" s="11">
        <f>IF(INPUT!M1681="","",INPUT!M1681)</f>
        <v>46031</v>
      </c>
      <c r="B1686" s="11">
        <f>IF(INPUT!M1681="","",INPUT!M1681-WEEKDAY(INPUT!M1681,2)+1)</f>
        <v>46027</v>
      </c>
      <c r="C1686" s="20">
        <f>IFERROR(_xlfn.ISOWEEKNUM(INPUT!M1681),"")</f>
        <v>2</v>
      </c>
      <c r="D1686" s="20">
        <f>IFERROR(YEAR(INPUT!M1681),"")</f>
        <v>2026</v>
      </c>
      <c r="E1686" t="str">
        <f>IF(INPUT!O1681="","",INPUT!O1681)</f>
        <v>DANI</v>
      </c>
      <c r="F1686" t="str">
        <f>IF(INPUT!N1681="","",INPUT!N1681)</f>
        <v>M</v>
      </c>
      <c r="G1686" t="str" cm="1">
        <f t="array" ref="G1686">IFERROR(VLOOKUP(INPUT!M1681&amp;INPUT!N1681,CHOOSE({1,2},INPUT!$A$3:$A$5000&amp;INPUT!$C$3:$C$5000,INPUT!$F$3:$F$5000),2,FALSE),"")</f>
        <v>PRE-TEMPORADA</v>
      </c>
      <c r="H1686" t="str" cm="1">
        <f t="array" ref="H1686">IFERROR(VLOOKUP(INPUT!M1681&amp;INPUT!N1681,CHOOSE({1,2},INPUT!$A$3:$A$5000&amp;INPUT!$C$3:$C$5000,INPUT!$D$3:$D$5000),2,FALSE),"")</f>
        <v>TEC-TAC</v>
      </c>
      <c r="I1686" s="46">
        <f>IF(INPUT!P1681="","",INPUT!P1681)</f>
        <v>90.9</v>
      </c>
      <c r="J1686" s="46">
        <f>IF(INPUT!Q1681="","",INPUT!Q1681)</f>
        <v>90.8</v>
      </c>
      <c r="K1686" s="46">
        <f>IFERROR(IF(OR(INPUT!P1681="",INPUT!Q1681=""),"",INPUT!P1681-INPUT!Q1681),"")</f>
        <v>0.10000000000000853</v>
      </c>
      <c r="L1686" s="48">
        <f>IFERROR(IF(OR(INPUT!P1681="",INPUT!Q1681="",INPUT!P1681=0),"",(INPUT!P1681-INPUT!Q1681)/INPUT!P1681),"")</f>
        <v>1.1001100110011939E-3</v>
      </c>
    </row>
    <row r="1687" spans="1:12" ht="18" customHeight="1" x14ac:dyDescent="0.2">
      <c r="A1687" s="11">
        <f>IF(INPUT!M1682="","",INPUT!M1682)</f>
        <v>46031</v>
      </c>
      <c r="B1687" s="11">
        <f>IF(INPUT!M1682="","",INPUT!M1682-WEEKDAY(INPUT!M1682,2)+1)</f>
        <v>46027</v>
      </c>
      <c r="C1687" s="20">
        <f>IFERROR(_xlfn.ISOWEEKNUM(INPUT!M1682),"")</f>
        <v>2</v>
      </c>
      <c r="D1687" s="20">
        <f>IFERROR(YEAR(INPUT!M1682),"")</f>
        <v>2026</v>
      </c>
      <c r="E1687" t="str">
        <f>IF(INPUT!O1682="","",INPUT!O1682)</f>
        <v>JAIME</v>
      </c>
      <c r="F1687" t="str">
        <f>IF(INPUT!N1682="","",INPUT!N1682)</f>
        <v>M</v>
      </c>
      <c r="G1687" t="str" cm="1">
        <f t="array" ref="G1687">IFERROR(VLOOKUP(INPUT!M1682&amp;INPUT!N1682,CHOOSE({1,2},INPUT!$A$3:$A$5000&amp;INPUT!$C$3:$C$5000,INPUT!$F$3:$F$5000),2,FALSE),"")</f>
        <v>PRE-TEMPORADA</v>
      </c>
      <c r="H1687" t="str" cm="1">
        <f t="array" ref="H1687">IFERROR(VLOOKUP(INPUT!M1682&amp;INPUT!N1682,CHOOSE({1,2},INPUT!$A$3:$A$5000&amp;INPUT!$C$3:$C$5000,INPUT!$D$3:$D$5000),2,FALSE),"")</f>
        <v>TEC-TAC</v>
      </c>
      <c r="I1687" s="46">
        <f>IF(INPUT!P1682="","",INPUT!P1682)</f>
        <v>75.3</v>
      </c>
      <c r="J1687" s="46">
        <f>IF(INPUT!Q1682="","",INPUT!Q1682)</f>
        <v>75.3</v>
      </c>
      <c r="K1687" s="46">
        <f>IFERROR(IF(OR(INPUT!P1682="",INPUT!Q1682=""),"",INPUT!P1682-INPUT!Q1682),"")</f>
        <v>0</v>
      </c>
      <c r="L1687" s="48">
        <f>IFERROR(IF(OR(INPUT!P1682="",INPUT!Q1682="",INPUT!P1682=0),"",(INPUT!P1682-INPUT!Q1682)/INPUT!P1682),"")</f>
        <v>0</v>
      </c>
    </row>
    <row r="1688" spans="1:12" ht="18" hidden="1" customHeight="1" x14ac:dyDescent="0.2">
      <c r="A1688" s="11">
        <f>IF(INPUT!M1683="","",INPUT!M1683)</f>
        <v>46041</v>
      </c>
      <c r="B1688" s="11">
        <f>IF(INPUT!M1683="","",INPUT!M1683-WEEKDAY(INPUT!M1683,2)+1)</f>
        <v>46041</v>
      </c>
      <c r="C1688" s="20">
        <f>IFERROR(_xlfn.ISOWEEKNUM(INPUT!M1683),"")</f>
        <v>4</v>
      </c>
      <c r="D1688" s="20">
        <f>IFERROR(YEAR(INPUT!M1683),"")</f>
        <v>2026</v>
      </c>
      <c r="E1688" t="str">
        <f>IF(INPUT!O1683="","",INPUT!O1683)</f>
        <v>HERRERO</v>
      </c>
      <c r="F1688" t="str">
        <f>IF(INPUT!N1683="","",INPUT!N1683)</f>
        <v>M</v>
      </c>
      <c r="G1688" t="str" cm="1">
        <f t="array" ref="G1688">IFERROR(VLOOKUP(INPUT!M1683&amp;INPUT!N1683,CHOOSE({1,2},INPUT!$A$3:$A$5000&amp;INPUT!$C$3:$C$5000,INPUT!$F$3:$F$5000),2,FALSE),"")</f>
        <v>PRE-TEMPORADA</v>
      </c>
      <c r="H1688" t="str" cm="1">
        <f t="array" ref="H1688">IFERROR(VLOOKUP(INPUT!M1683&amp;INPUT!N1683,CHOOSE({1,2},INPUT!$A$3:$A$5000&amp;INPUT!$C$3:$C$5000,INPUT!$D$3:$D$5000),2,FALSE),"")</f>
        <v>TEC-TAC</v>
      </c>
      <c r="I1688" s="46">
        <f>IF(INPUT!P1683="","",INPUT!P1683)</f>
        <v>77</v>
      </c>
      <c r="J1688" s="46">
        <f>IF(INPUT!Q1683="","",INPUT!Q1683)</f>
        <v>77</v>
      </c>
      <c r="K1688" s="46">
        <f>IFERROR(IF(OR(INPUT!P1683="",INPUT!Q1683=""),"",INPUT!P1683-INPUT!Q1683),"")</f>
        <v>0</v>
      </c>
      <c r="L1688" s="48">
        <f>IFERROR(IF(OR(INPUT!P1683="",INPUT!Q1683="",INPUT!P1683=0),"",(INPUT!P1683-INPUT!Q1683)/INPUT!P1683),"")</f>
        <v>0</v>
      </c>
    </row>
    <row r="1689" spans="1:12" ht="18" hidden="1" customHeight="1" x14ac:dyDescent="0.2">
      <c r="A1689" s="11">
        <f>IF(INPUT!M1684="","",INPUT!M1684)</f>
        <v>46041</v>
      </c>
      <c r="B1689" s="11">
        <f>IF(INPUT!M1684="","",INPUT!M1684-WEEKDAY(INPUT!M1684,2)+1)</f>
        <v>46041</v>
      </c>
      <c r="C1689" s="20">
        <f>IFERROR(_xlfn.ISOWEEKNUM(INPUT!M1684),"")</f>
        <v>4</v>
      </c>
      <c r="D1689" s="20">
        <f>IFERROR(YEAR(INPUT!M1684),"")</f>
        <v>2026</v>
      </c>
      <c r="E1689" t="str">
        <f>IF(INPUT!O1684="","",INPUT!O1684)</f>
        <v>HERRERO</v>
      </c>
      <c r="F1689" t="str">
        <f>IF(INPUT!N1684="","",INPUT!N1684)</f>
        <v>T</v>
      </c>
      <c r="G1689" t="str" cm="1">
        <f t="array" ref="G1689">IFERROR(VLOOKUP(INPUT!M1684&amp;INPUT!N1684,CHOOSE({1,2},INPUT!$A$3:$A$5000&amp;INPUT!$C$3:$C$5000,INPUT!$F$3:$F$5000),2,FALSE),"")</f>
        <v>PRE-TEMPORADA</v>
      </c>
      <c r="H1689" t="str" cm="1">
        <f t="array" ref="H1689">IFERROR(VLOOKUP(INPUT!M1684&amp;INPUT!N1684,CHOOSE({1,2},INPUT!$A$3:$A$5000&amp;INPUT!$C$3:$C$5000,INPUT!$D$3:$D$5000),2,FALSE),"")</f>
        <v>GYM+FISICO</v>
      </c>
      <c r="I1689" s="46">
        <f>IF(INPUT!P1684="","",INPUT!P1684)</f>
        <v>77</v>
      </c>
      <c r="J1689" s="46">
        <f>IF(INPUT!Q1684="","",INPUT!Q1684)</f>
        <v>77</v>
      </c>
      <c r="K1689" s="46">
        <f>IFERROR(IF(OR(INPUT!P1684="",INPUT!Q1684=""),"",INPUT!P1684-INPUT!Q1684),"")</f>
        <v>0</v>
      </c>
      <c r="L1689" s="48">
        <f>IFERROR(IF(OR(INPUT!P1684="",INPUT!Q1684="",INPUT!P1684=0),"",(INPUT!P1684-INPUT!Q1684)/INPUT!P1684),"")</f>
        <v>0</v>
      </c>
    </row>
    <row r="1690" spans="1:12" ht="18" hidden="1" customHeight="1" x14ac:dyDescent="0.2">
      <c r="A1690" s="11">
        <f>IF(INPUT!M1685="","",INPUT!M1685)</f>
        <v>46041</v>
      </c>
      <c r="B1690" s="11">
        <f>IF(INPUT!M1685="","",INPUT!M1685-WEEKDAY(INPUT!M1685,2)+1)</f>
        <v>46041</v>
      </c>
      <c r="C1690" s="20">
        <f>IFERROR(_xlfn.ISOWEEKNUM(INPUT!M1685),"")</f>
        <v>4</v>
      </c>
      <c r="D1690" s="20">
        <f>IFERROR(YEAR(INPUT!M1685),"")</f>
        <v>2026</v>
      </c>
      <c r="E1690" t="str">
        <f>IF(INPUT!O1685="","",INPUT!O1685)</f>
        <v>GARCIA</v>
      </c>
      <c r="F1690" t="str">
        <f>IF(INPUT!N1685="","",INPUT!N1685)</f>
        <v>M</v>
      </c>
      <c r="G1690" t="str" cm="1">
        <f t="array" ref="G1690">IFERROR(VLOOKUP(INPUT!M1685&amp;INPUT!N1685,CHOOSE({1,2},INPUT!$A$3:$A$5000&amp;INPUT!$C$3:$C$5000,INPUT!$F$3:$F$5000),2,FALSE),"")</f>
        <v>PRE-TEMPORADA</v>
      </c>
      <c r="H1690" t="str" cm="1">
        <f t="array" ref="H1690">IFERROR(VLOOKUP(INPUT!M1685&amp;INPUT!N1685,CHOOSE({1,2},INPUT!$A$3:$A$5000&amp;INPUT!$C$3:$C$5000,INPUT!$D$3:$D$5000),2,FALSE),"")</f>
        <v>TEC-TAC</v>
      </c>
      <c r="I1690" s="46">
        <f>IF(INPUT!P1685="","",INPUT!P1685)</f>
        <v>79.3</v>
      </c>
      <c r="J1690" s="46">
        <f>IF(INPUT!Q1685="","",INPUT!Q1685)</f>
        <v>79.2</v>
      </c>
      <c r="K1690" s="46">
        <f>IFERROR(IF(OR(INPUT!P1685="",INPUT!Q1685=""),"",INPUT!P1685-INPUT!Q1685),"")</f>
        <v>9.9999999999994316E-2</v>
      </c>
      <c r="L1690" s="48">
        <f>IFERROR(IF(OR(INPUT!P1685="",INPUT!Q1685="",INPUT!P1685=0),"",(INPUT!P1685-INPUT!Q1685)/INPUT!P1685),"")</f>
        <v>1.2610340479192223E-3</v>
      </c>
    </row>
    <row r="1691" spans="1:12" ht="18" hidden="1" customHeight="1" x14ac:dyDescent="0.2">
      <c r="A1691" s="11">
        <f>IF(INPUT!M1686="","",INPUT!M1686)</f>
        <v>46041</v>
      </c>
      <c r="B1691" s="11">
        <f>IF(INPUT!M1686="","",INPUT!M1686-WEEKDAY(INPUT!M1686,2)+1)</f>
        <v>46041</v>
      </c>
      <c r="C1691" s="20">
        <f>IFERROR(_xlfn.ISOWEEKNUM(INPUT!M1686),"")</f>
        <v>4</v>
      </c>
      <c r="D1691" s="20">
        <f>IFERROR(YEAR(INPUT!M1686),"")</f>
        <v>2026</v>
      </c>
      <c r="E1691" t="str">
        <f>IF(INPUT!O1686="","",INPUT!O1686)</f>
        <v>GARCIA</v>
      </c>
      <c r="F1691" t="str">
        <f>IF(INPUT!N1686="","",INPUT!N1686)</f>
        <v>T</v>
      </c>
      <c r="G1691" t="str" cm="1">
        <f t="array" ref="G1691">IFERROR(VLOOKUP(INPUT!M1686&amp;INPUT!N1686,CHOOSE({1,2},INPUT!$A$3:$A$5000&amp;INPUT!$C$3:$C$5000,INPUT!$F$3:$F$5000),2,FALSE),"")</f>
        <v>PRE-TEMPORADA</v>
      </c>
      <c r="H1691" t="str" cm="1">
        <f t="array" ref="H1691">IFERROR(VLOOKUP(INPUT!M1686&amp;INPUT!N1686,CHOOSE({1,2},INPUT!$A$3:$A$5000&amp;INPUT!$C$3:$C$5000,INPUT!$D$3:$D$5000),2,FALSE),"")</f>
        <v>GYM+FISICO</v>
      </c>
      <c r="I1691" s="46">
        <f>IF(INPUT!P1686="","",INPUT!P1686)</f>
        <v>79.400000000000006</v>
      </c>
      <c r="J1691" s="46">
        <f>IF(INPUT!Q1686="","",INPUT!Q1686)</f>
        <v>79.099999999999994</v>
      </c>
      <c r="K1691" s="46">
        <f>IFERROR(IF(OR(INPUT!P1686="",INPUT!Q1686=""),"",INPUT!P1686-INPUT!Q1686),"")</f>
        <v>0.30000000000001137</v>
      </c>
      <c r="L1691" s="48">
        <f>IFERROR(IF(OR(INPUT!P1686="",INPUT!Q1686="",INPUT!P1686=0),"",(INPUT!P1686-INPUT!Q1686)/INPUT!P1686),"")</f>
        <v>3.7783375314862891E-3</v>
      </c>
    </row>
    <row r="1692" spans="1:12" ht="18" hidden="1" customHeight="1" x14ac:dyDescent="0.2">
      <c r="A1692" s="11">
        <f>IF(INPUT!M1687="","",INPUT!M1687)</f>
        <v>46041</v>
      </c>
      <c r="B1692" s="11">
        <f>IF(INPUT!M1687="","",INPUT!M1687-WEEKDAY(INPUT!M1687,2)+1)</f>
        <v>46041</v>
      </c>
      <c r="C1692" s="20">
        <f>IFERROR(_xlfn.ISOWEEKNUM(INPUT!M1687),"")</f>
        <v>4</v>
      </c>
      <c r="D1692" s="20">
        <f>IFERROR(YEAR(INPUT!M1687),"")</f>
        <v>2026</v>
      </c>
      <c r="E1692" t="str">
        <f>IF(INPUT!O1687="","",INPUT!O1687)</f>
        <v>CHAGUINHA</v>
      </c>
      <c r="F1692" t="str">
        <f>IF(INPUT!N1687="","",INPUT!N1687)</f>
        <v>M</v>
      </c>
      <c r="G1692" t="str" cm="1">
        <f t="array" ref="G1692">IFERROR(VLOOKUP(INPUT!M1687&amp;INPUT!N1687,CHOOSE({1,2},INPUT!$A$3:$A$5000&amp;INPUT!$C$3:$C$5000,INPUT!$F$3:$F$5000),2,FALSE),"")</f>
        <v>PRE-TEMPORADA</v>
      </c>
      <c r="H1692" t="str" cm="1">
        <f t="array" ref="H1692">IFERROR(VLOOKUP(INPUT!M1687&amp;INPUT!N1687,CHOOSE({1,2},INPUT!$A$3:$A$5000&amp;INPUT!$C$3:$C$5000,INPUT!$D$3:$D$5000),2,FALSE),"")</f>
        <v>TEC-TAC</v>
      </c>
      <c r="I1692" s="46">
        <f>IF(INPUT!P1687="","",INPUT!P1687)</f>
        <v>69.400000000000006</v>
      </c>
      <c r="J1692" s="46">
        <f>IF(INPUT!Q1687="","",INPUT!Q1687)</f>
        <v>69</v>
      </c>
      <c r="K1692" s="46">
        <f>IFERROR(IF(OR(INPUT!P1687="",INPUT!Q1687=""),"",INPUT!P1687-INPUT!Q1687),"")</f>
        <v>0.40000000000000568</v>
      </c>
      <c r="L1692" s="48">
        <f>IFERROR(IF(OR(INPUT!P1687="",INPUT!Q1687="",INPUT!P1687=0),"",(INPUT!P1687-INPUT!Q1687)/INPUT!P1687),"")</f>
        <v>5.7636887608069976E-3</v>
      </c>
    </row>
    <row r="1693" spans="1:12" ht="18" hidden="1" customHeight="1" x14ac:dyDescent="0.2">
      <c r="A1693" s="11">
        <f>IF(INPUT!M1688="","",INPUT!M1688)</f>
        <v>46041</v>
      </c>
      <c r="B1693" s="11">
        <f>IF(INPUT!M1688="","",INPUT!M1688-WEEKDAY(INPUT!M1688,2)+1)</f>
        <v>46041</v>
      </c>
      <c r="C1693" s="20">
        <f>IFERROR(_xlfn.ISOWEEKNUM(INPUT!M1688),"")</f>
        <v>4</v>
      </c>
      <c r="D1693" s="20">
        <f>IFERROR(YEAR(INPUT!M1688),"")</f>
        <v>2026</v>
      </c>
      <c r="E1693" t="str">
        <f>IF(INPUT!O1688="","",INPUT!O1688)</f>
        <v>CHAGUINHA</v>
      </c>
      <c r="F1693" t="str">
        <f>IF(INPUT!N1688="","",INPUT!N1688)</f>
        <v>T</v>
      </c>
      <c r="G1693" t="str" cm="1">
        <f t="array" ref="G1693">IFERROR(VLOOKUP(INPUT!M1688&amp;INPUT!N1688,CHOOSE({1,2},INPUT!$A$3:$A$5000&amp;INPUT!$C$3:$C$5000,INPUT!$F$3:$F$5000),2,FALSE),"")</f>
        <v>PRE-TEMPORADA</v>
      </c>
      <c r="H1693" t="str" cm="1">
        <f t="array" ref="H1693">IFERROR(VLOOKUP(INPUT!M1688&amp;INPUT!N1688,CHOOSE({1,2},INPUT!$A$3:$A$5000&amp;INPUT!$C$3:$C$5000,INPUT!$D$3:$D$5000),2,FALSE),"")</f>
        <v>GYM+FISICO</v>
      </c>
      <c r="I1693" s="46">
        <f>IF(INPUT!P1688="","",INPUT!P1688)</f>
        <v>69.2</v>
      </c>
      <c r="J1693" s="46">
        <f>IF(INPUT!Q1688="","",INPUT!Q1688)</f>
        <v>68.7</v>
      </c>
      <c r="K1693" s="46">
        <f>IFERROR(IF(OR(INPUT!P1688="",INPUT!Q1688=""),"",INPUT!P1688-INPUT!Q1688),"")</f>
        <v>0.5</v>
      </c>
      <c r="L1693" s="48">
        <f>IFERROR(IF(OR(INPUT!P1688="",INPUT!Q1688="",INPUT!P1688=0),"",(INPUT!P1688-INPUT!Q1688)/INPUT!P1688),"")</f>
        <v>7.2254335260115606E-3</v>
      </c>
    </row>
    <row r="1694" spans="1:12" ht="18" hidden="1" customHeight="1" x14ac:dyDescent="0.2">
      <c r="A1694" s="11">
        <f>IF(INPUT!M1689="","",INPUT!M1689)</f>
        <v>46041</v>
      </c>
      <c r="B1694" s="11">
        <f>IF(INPUT!M1689="","",INPUT!M1689-WEEKDAY(INPUT!M1689,2)+1)</f>
        <v>46041</v>
      </c>
      <c r="C1694" s="20">
        <f>IFERROR(_xlfn.ISOWEEKNUM(INPUT!M1689),"")</f>
        <v>4</v>
      </c>
      <c r="D1694" s="20">
        <f>IFERROR(YEAR(INPUT!M1689),"")</f>
        <v>2026</v>
      </c>
      <c r="E1694" t="str">
        <f>IF(INPUT!O1689="","",INPUT!O1689)</f>
        <v>RAUL</v>
      </c>
      <c r="F1694" t="str">
        <f>IF(INPUT!N1689="","",INPUT!N1689)</f>
        <v>M</v>
      </c>
      <c r="G1694" t="str" cm="1">
        <f t="array" ref="G1694">IFERROR(VLOOKUP(INPUT!M1689&amp;INPUT!N1689,CHOOSE({1,2},INPUT!$A$3:$A$5000&amp;INPUT!$C$3:$C$5000,INPUT!$F$3:$F$5000),2,FALSE),"")</f>
        <v>PRE-TEMPORADA</v>
      </c>
      <c r="H1694" t="str" cm="1">
        <f t="array" ref="H1694">IFERROR(VLOOKUP(INPUT!M1689&amp;INPUT!N1689,CHOOSE({1,2},INPUT!$A$3:$A$5000&amp;INPUT!$C$3:$C$5000,INPUT!$D$3:$D$5000),2,FALSE),"")</f>
        <v>TEC-TAC</v>
      </c>
      <c r="I1694" s="46">
        <f>IF(INPUT!P1689="","",INPUT!P1689)</f>
        <v>80.599999999999994</v>
      </c>
      <c r="J1694" s="46">
        <f>IF(INPUT!Q1689="","",INPUT!Q1689)</f>
        <v>80.599999999999994</v>
      </c>
      <c r="K1694" s="46">
        <f>IFERROR(IF(OR(INPUT!P1689="",INPUT!Q1689=""),"",INPUT!P1689-INPUT!Q1689),"")</f>
        <v>0</v>
      </c>
      <c r="L1694" s="48">
        <f>IFERROR(IF(OR(INPUT!P1689="",INPUT!Q1689="",INPUT!P1689=0),"",(INPUT!P1689-INPUT!Q1689)/INPUT!P1689),"")</f>
        <v>0</v>
      </c>
    </row>
    <row r="1695" spans="1:12" ht="18" hidden="1" customHeight="1" x14ac:dyDescent="0.2">
      <c r="A1695" s="11">
        <f>IF(INPUT!M1690="","",INPUT!M1690)</f>
        <v>46041</v>
      </c>
      <c r="B1695" s="11">
        <f>IF(INPUT!M1690="","",INPUT!M1690-WEEKDAY(INPUT!M1690,2)+1)</f>
        <v>46041</v>
      </c>
      <c r="C1695" s="20">
        <f>IFERROR(_xlfn.ISOWEEKNUM(INPUT!M1690),"")</f>
        <v>4</v>
      </c>
      <c r="D1695" s="20">
        <f>IFERROR(YEAR(INPUT!M1690),"")</f>
        <v>2026</v>
      </c>
      <c r="E1695" t="str">
        <f>IF(INPUT!O1690="","",INPUT!O1690)</f>
        <v>RAUL</v>
      </c>
      <c r="F1695" t="str">
        <f>IF(INPUT!N1690="","",INPUT!N1690)</f>
        <v>T</v>
      </c>
      <c r="G1695" t="str" cm="1">
        <f t="array" ref="G1695">IFERROR(VLOOKUP(INPUT!M1690&amp;INPUT!N1690,CHOOSE({1,2},INPUT!$A$3:$A$5000&amp;INPUT!$C$3:$C$5000,INPUT!$F$3:$F$5000),2,FALSE),"")</f>
        <v>PRE-TEMPORADA</v>
      </c>
      <c r="H1695" t="str" cm="1">
        <f t="array" ref="H1695">IFERROR(VLOOKUP(INPUT!M1690&amp;INPUT!N1690,CHOOSE({1,2},INPUT!$A$3:$A$5000&amp;INPUT!$C$3:$C$5000,INPUT!$D$3:$D$5000),2,FALSE),"")</f>
        <v>GYM+FISICO</v>
      </c>
      <c r="I1695" s="46">
        <f>IF(INPUT!P1690="","",INPUT!P1690)</f>
        <v>81</v>
      </c>
      <c r="J1695" s="46">
        <f>IF(INPUT!Q1690="","",INPUT!Q1690)</f>
        <v>81.400000000000006</v>
      </c>
      <c r="K1695" s="46">
        <f>IFERROR(IF(OR(INPUT!P1690="",INPUT!Q1690=""),"",INPUT!P1690-INPUT!Q1690),"")</f>
        <v>-0.40000000000000568</v>
      </c>
      <c r="L1695" s="48">
        <f>IFERROR(IF(OR(INPUT!P1690="",INPUT!Q1690="",INPUT!P1690=0),"",(INPUT!P1690-INPUT!Q1690)/INPUT!P1690),"")</f>
        <v>-4.9382716049383418E-3</v>
      </c>
    </row>
    <row r="1696" spans="1:12" ht="18" hidden="1" customHeight="1" x14ac:dyDescent="0.2">
      <c r="A1696" s="11">
        <f>IF(INPUT!M1691="","",INPUT!M1691)</f>
        <v>46041</v>
      </c>
      <c r="B1696" s="11">
        <f>IF(INPUT!M1691="","",INPUT!M1691-WEEKDAY(INPUT!M1691,2)+1)</f>
        <v>46041</v>
      </c>
      <c r="C1696" s="20">
        <f>IFERROR(_xlfn.ISOWEEKNUM(INPUT!M1691),"")</f>
        <v>4</v>
      </c>
      <c r="D1696" s="20">
        <f>IFERROR(YEAR(INPUT!M1691),"")</f>
        <v>2026</v>
      </c>
      <c r="E1696" t="str">
        <f>IF(INPUT!O1691="","",INPUT!O1691)</f>
        <v>JAVI</v>
      </c>
      <c r="F1696" t="str">
        <f>IF(INPUT!N1691="","",INPUT!N1691)</f>
        <v>M</v>
      </c>
      <c r="G1696" t="str" cm="1">
        <f t="array" ref="G1696">IFERROR(VLOOKUP(INPUT!M1691&amp;INPUT!N1691,CHOOSE({1,2},INPUT!$A$3:$A$5000&amp;INPUT!$C$3:$C$5000,INPUT!$F$3:$F$5000),2,FALSE),"")</f>
        <v>PRE-TEMPORADA</v>
      </c>
      <c r="H1696" t="str" cm="1">
        <f t="array" ref="H1696">IFERROR(VLOOKUP(INPUT!M1691&amp;INPUT!N1691,CHOOSE({1,2},INPUT!$A$3:$A$5000&amp;INPUT!$C$3:$C$5000,INPUT!$D$3:$D$5000),2,FALSE),"")</f>
        <v>TEC-TAC</v>
      </c>
      <c r="I1696" s="46">
        <f>IF(INPUT!P1691="","",INPUT!P1691)</f>
        <v>79.3</v>
      </c>
      <c r="J1696" s="46">
        <f>IF(INPUT!Q1691="","",INPUT!Q1691)</f>
        <v>79.099999999999994</v>
      </c>
      <c r="K1696" s="46">
        <f>IFERROR(IF(OR(INPUT!P1691="",INPUT!Q1691=""),"",INPUT!P1691-INPUT!Q1691),"")</f>
        <v>0.20000000000000284</v>
      </c>
      <c r="L1696" s="48">
        <f>IFERROR(IF(OR(INPUT!P1691="",INPUT!Q1691="",INPUT!P1691=0),"",(INPUT!P1691-INPUT!Q1691)/INPUT!P1691),"")</f>
        <v>2.5220680958386236E-3</v>
      </c>
    </row>
    <row r="1697" spans="1:12" ht="18" hidden="1" customHeight="1" x14ac:dyDescent="0.2">
      <c r="A1697" s="11">
        <f>IF(INPUT!M1692="","",INPUT!M1692)</f>
        <v>46041</v>
      </c>
      <c r="B1697" s="11">
        <f>IF(INPUT!M1692="","",INPUT!M1692-WEEKDAY(INPUT!M1692,2)+1)</f>
        <v>46041</v>
      </c>
      <c r="C1697" s="20">
        <f>IFERROR(_xlfn.ISOWEEKNUM(INPUT!M1692),"")</f>
        <v>4</v>
      </c>
      <c r="D1697" s="20">
        <f>IFERROR(YEAR(INPUT!M1692),"")</f>
        <v>2026</v>
      </c>
      <c r="E1697" t="str">
        <f>IF(INPUT!O1692="","",INPUT!O1692)</f>
        <v>JAVI</v>
      </c>
      <c r="F1697" t="str">
        <f>IF(INPUT!N1692="","",INPUT!N1692)</f>
        <v>T</v>
      </c>
      <c r="G1697" t="str" cm="1">
        <f t="array" ref="G1697">IFERROR(VLOOKUP(INPUT!M1692&amp;INPUT!N1692,CHOOSE({1,2},INPUT!$A$3:$A$5000&amp;INPUT!$C$3:$C$5000,INPUT!$F$3:$F$5000),2,FALSE),"")</f>
        <v>PRE-TEMPORADA</v>
      </c>
      <c r="H1697" t="str" cm="1">
        <f t="array" ref="H1697">IFERROR(VLOOKUP(INPUT!M1692&amp;INPUT!N1692,CHOOSE({1,2},INPUT!$A$3:$A$5000&amp;INPUT!$C$3:$C$5000,INPUT!$D$3:$D$5000),2,FALSE),"")</f>
        <v>GYM+FISICO</v>
      </c>
      <c r="I1697" s="46">
        <f>IF(INPUT!P1692="","",INPUT!P1692)</f>
        <v>79.599999999999994</v>
      </c>
      <c r="J1697" s="46">
        <f>IF(INPUT!Q1692="","",INPUT!Q1692)</f>
        <v>79.3</v>
      </c>
      <c r="K1697" s="46">
        <f>IFERROR(IF(OR(INPUT!P1692="",INPUT!Q1692=""),"",INPUT!P1692-INPUT!Q1692),"")</f>
        <v>0.29999999999999716</v>
      </c>
      <c r="L1697" s="48">
        <f>IFERROR(IF(OR(INPUT!P1692="",INPUT!Q1692="",INPUT!P1692=0),"",(INPUT!P1692-INPUT!Q1692)/INPUT!P1692),"")</f>
        <v>3.7688442211054923E-3</v>
      </c>
    </row>
    <row r="1698" spans="1:12" ht="18" hidden="1" customHeight="1" x14ac:dyDescent="0.2">
      <c r="A1698" s="11">
        <f>IF(INPUT!M1693="","",INPUT!M1693)</f>
        <v>46041</v>
      </c>
      <c r="B1698" s="11">
        <f>IF(INPUT!M1693="","",INPUT!M1693-WEEKDAY(INPUT!M1693,2)+1)</f>
        <v>46041</v>
      </c>
      <c r="C1698" s="20">
        <f>IFERROR(_xlfn.ISOWEEKNUM(INPUT!M1693),"")</f>
        <v>4</v>
      </c>
      <c r="D1698" s="20">
        <f>IFERROR(YEAR(INPUT!M1693),"")</f>
        <v>2026</v>
      </c>
      <c r="E1698" t="str">
        <f>IF(INPUT!O1693="","",INPUT!O1693)</f>
        <v>PANI</v>
      </c>
      <c r="F1698" t="str">
        <f>IF(INPUT!N1693="","",INPUT!N1693)</f>
        <v>M</v>
      </c>
      <c r="G1698" t="str" cm="1">
        <f t="array" ref="G1698">IFERROR(VLOOKUP(INPUT!M1693&amp;INPUT!N1693,CHOOSE({1,2},INPUT!$A$3:$A$5000&amp;INPUT!$C$3:$C$5000,INPUT!$F$3:$F$5000),2,FALSE),"")</f>
        <v>PRE-TEMPORADA</v>
      </c>
      <c r="H1698" t="str" cm="1">
        <f t="array" ref="H1698">IFERROR(VLOOKUP(INPUT!M1693&amp;INPUT!N1693,CHOOSE({1,2},INPUT!$A$3:$A$5000&amp;INPUT!$C$3:$C$5000,INPUT!$D$3:$D$5000),2,FALSE),"")</f>
        <v>TEC-TAC</v>
      </c>
      <c r="I1698" s="46">
        <f>IF(INPUT!P1693="","",INPUT!P1693)</f>
        <v>66.8</v>
      </c>
      <c r="J1698" s="46">
        <f>IF(INPUT!Q1693="","",INPUT!Q1693)</f>
        <v>66.3</v>
      </c>
      <c r="K1698" s="46">
        <f>IFERROR(IF(OR(INPUT!P1693="",INPUT!Q1693=""),"",INPUT!P1693-INPUT!Q1693),"")</f>
        <v>0.5</v>
      </c>
      <c r="L1698" s="48">
        <f>IFERROR(IF(OR(INPUT!P1693="",INPUT!Q1693="",INPUT!P1693=0),"",(INPUT!P1693-INPUT!Q1693)/INPUT!P1693),"")</f>
        <v>7.4850299401197605E-3</v>
      </c>
    </row>
    <row r="1699" spans="1:12" ht="18" hidden="1" customHeight="1" x14ac:dyDescent="0.2">
      <c r="A1699" s="11">
        <f>IF(INPUT!M1694="","",INPUT!M1694)</f>
        <v>46041</v>
      </c>
      <c r="B1699" s="11">
        <f>IF(INPUT!M1694="","",INPUT!M1694-WEEKDAY(INPUT!M1694,2)+1)</f>
        <v>46041</v>
      </c>
      <c r="C1699" s="20">
        <f>IFERROR(_xlfn.ISOWEEKNUM(INPUT!M1694),"")</f>
        <v>4</v>
      </c>
      <c r="D1699" s="20">
        <f>IFERROR(YEAR(INPUT!M1694),"")</f>
        <v>2026</v>
      </c>
      <c r="E1699" t="str">
        <f>IF(INPUT!O1694="","",INPUT!O1694)</f>
        <v>PANI</v>
      </c>
      <c r="F1699" t="str">
        <f>IF(INPUT!N1694="","",INPUT!N1694)</f>
        <v>T</v>
      </c>
      <c r="G1699" t="str" cm="1">
        <f t="array" ref="G1699">IFERROR(VLOOKUP(INPUT!M1694&amp;INPUT!N1694,CHOOSE({1,2},INPUT!$A$3:$A$5000&amp;INPUT!$C$3:$C$5000,INPUT!$F$3:$F$5000),2,FALSE),"")</f>
        <v>PRE-TEMPORADA</v>
      </c>
      <c r="H1699" t="str" cm="1">
        <f t="array" ref="H1699">IFERROR(VLOOKUP(INPUT!M1694&amp;INPUT!N1694,CHOOSE({1,2},INPUT!$A$3:$A$5000&amp;INPUT!$C$3:$C$5000,INPUT!$D$3:$D$5000),2,FALSE),"")</f>
        <v>GYM+FISICO</v>
      </c>
      <c r="I1699" s="46">
        <f>IF(INPUT!P1694="","",INPUT!P1694)</f>
        <v>67</v>
      </c>
      <c r="J1699" s="46">
        <f>IF(INPUT!Q1694="","",INPUT!Q1694)</f>
        <v>66.099999999999994</v>
      </c>
      <c r="K1699" s="46">
        <f>IFERROR(IF(OR(INPUT!P1694="",INPUT!Q1694=""),"",INPUT!P1694-INPUT!Q1694),"")</f>
        <v>0.90000000000000568</v>
      </c>
      <c r="L1699" s="48">
        <f>IFERROR(IF(OR(INPUT!P1694="",INPUT!Q1694="",INPUT!P1694=0),"",(INPUT!P1694-INPUT!Q1694)/INPUT!P1694),"")</f>
        <v>1.3432835820895607E-2</v>
      </c>
    </row>
    <row r="1700" spans="1:12" ht="18" hidden="1" customHeight="1" x14ac:dyDescent="0.2">
      <c r="A1700" s="11">
        <f>IF(INPUT!M1695="","",INPUT!M1695)</f>
        <v>46041</v>
      </c>
      <c r="B1700" s="11">
        <f>IF(INPUT!M1695="","",INPUT!M1695-WEEKDAY(INPUT!M1695,2)+1)</f>
        <v>46041</v>
      </c>
      <c r="C1700" s="20">
        <f>IFERROR(_xlfn.ISOWEEKNUM(INPUT!M1695),"")</f>
        <v>4</v>
      </c>
      <c r="D1700" s="20">
        <f>IFERROR(YEAR(INPUT!M1695),"")</f>
        <v>2026</v>
      </c>
      <c r="E1700" t="str">
        <f>IF(INPUT!O1695="","",INPUT!O1695)</f>
        <v>PIRATA</v>
      </c>
      <c r="F1700" t="str">
        <f>IF(INPUT!N1695="","",INPUT!N1695)</f>
        <v>M</v>
      </c>
      <c r="G1700" t="str" cm="1">
        <f t="array" ref="G1700">IFERROR(VLOOKUP(INPUT!M1695&amp;INPUT!N1695,CHOOSE({1,2},INPUT!$A$3:$A$5000&amp;INPUT!$C$3:$C$5000,INPUT!$F$3:$F$5000),2,FALSE),"")</f>
        <v>PRE-TEMPORADA</v>
      </c>
      <c r="H1700" t="str" cm="1">
        <f t="array" ref="H1700">IFERROR(VLOOKUP(INPUT!M1695&amp;INPUT!N1695,CHOOSE({1,2},INPUT!$A$3:$A$5000&amp;INPUT!$C$3:$C$5000,INPUT!$D$3:$D$5000),2,FALSE),"")</f>
        <v>TEC-TAC</v>
      </c>
      <c r="I1700" s="46">
        <f>IF(INPUT!P1695="","",INPUT!P1695)</f>
        <v>75.900000000000006</v>
      </c>
      <c r="J1700" s="46">
        <f>IF(INPUT!Q1695="","",INPUT!Q1695)</f>
        <v>75.7</v>
      </c>
      <c r="K1700" s="46">
        <f>IFERROR(IF(OR(INPUT!P1695="",INPUT!Q1695=""),"",INPUT!P1695-INPUT!Q1695),"")</f>
        <v>0.20000000000000284</v>
      </c>
      <c r="L1700" s="48">
        <f>IFERROR(IF(OR(INPUT!P1695="",INPUT!Q1695="",INPUT!P1695=0),"",(INPUT!P1695-INPUT!Q1695)/INPUT!P1695),"")</f>
        <v>2.6350461133070203E-3</v>
      </c>
    </row>
    <row r="1701" spans="1:12" ht="18" hidden="1" customHeight="1" x14ac:dyDescent="0.2">
      <c r="A1701" s="11">
        <f>IF(INPUT!M1696="","",INPUT!M1696)</f>
        <v>46041</v>
      </c>
      <c r="B1701" s="11">
        <f>IF(INPUT!M1696="","",INPUT!M1696-WEEKDAY(INPUT!M1696,2)+1)</f>
        <v>46041</v>
      </c>
      <c r="C1701" s="20">
        <f>IFERROR(_xlfn.ISOWEEKNUM(INPUT!M1696),"")</f>
        <v>4</v>
      </c>
      <c r="D1701" s="20">
        <f>IFERROR(YEAR(INPUT!M1696),"")</f>
        <v>2026</v>
      </c>
      <c r="E1701" t="str">
        <f>IF(INPUT!O1696="","",INPUT!O1696)</f>
        <v>PIRATA</v>
      </c>
      <c r="F1701" t="str">
        <f>IF(INPUT!N1696="","",INPUT!N1696)</f>
        <v>T</v>
      </c>
      <c r="G1701" t="str" cm="1">
        <f t="array" ref="G1701">IFERROR(VLOOKUP(INPUT!M1696&amp;INPUT!N1696,CHOOSE({1,2},INPUT!$A$3:$A$5000&amp;INPUT!$C$3:$C$5000,INPUT!$F$3:$F$5000),2,FALSE),"")</f>
        <v>PRE-TEMPORADA</v>
      </c>
      <c r="H1701" t="str" cm="1">
        <f t="array" ref="H1701">IFERROR(VLOOKUP(INPUT!M1696&amp;INPUT!N1696,CHOOSE({1,2},INPUT!$A$3:$A$5000&amp;INPUT!$C$3:$C$5000,INPUT!$D$3:$D$5000),2,FALSE),"")</f>
        <v>GYM+FISICO</v>
      </c>
      <c r="I1701" s="46">
        <f>IF(INPUT!P1696="","",INPUT!P1696)</f>
        <v>75.5</v>
      </c>
      <c r="J1701" s="46">
        <f>IF(INPUT!Q1696="","",INPUT!Q1696)</f>
        <v>75.099999999999994</v>
      </c>
      <c r="K1701" s="46">
        <f>IFERROR(IF(OR(INPUT!P1696="",INPUT!Q1696=""),"",INPUT!P1696-INPUT!Q1696),"")</f>
        <v>0.40000000000000568</v>
      </c>
      <c r="L1701" s="48">
        <f>IFERROR(IF(OR(INPUT!P1696="",INPUT!Q1696="",INPUT!P1696=0),"",(INPUT!P1696-INPUT!Q1696)/INPUT!P1696),"")</f>
        <v>5.298013245033188E-3</v>
      </c>
    </row>
    <row r="1702" spans="1:12" ht="18" hidden="1" customHeight="1" x14ac:dyDescent="0.2">
      <c r="A1702" s="11">
        <f>IF(INPUT!M1697="","",INPUT!M1697)</f>
        <v>46041</v>
      </c>
      <c r="B1702" s="11">
        <f>IF(INPUT!M1697="","",INPUT!M1697-WEEKDAY(INPUT!M1697,2)+1)</f>
        <v>46041</v>
      </c>
      <c r="C1702" s="20">
        <f>IFERROR(_xlfn.ISOWEEKNUM(INPUT!M1697),"")</f>
        <v>4</v>
      </c>
      <c r="D1702" s="20">
        <f>IFERROR(YEAR(INPUT!M1697),"")</f>
        <v>2026</v>
      </c>
      <c r="E1702" t="str">
        <f>IF(INPUT!O1697="","",INPUT!O1697)</f>
        <v>BARONA</v>
      </c>
      <c r="F1702" t="str">
        <f>IF(INPUT!N1697="","",INPUT!N1697)</f>
        <v>M</v>
      </c>
      <c r="G1702" t="str" cm="1">
        <f t="array" ref="G1702">IFERROR(VLOOKUP(INPUT!M1697&amp;INPUT!N1697,CHOOSE({1,2},INPUT!$A$3:$A$5000&amp;INPUT!$C$3:$C$5000,INPUT!$F$3:$F$5000),2,FALSE),"")</f>
        <v>PRE-TEMPORADA</v>
      </c>
      <c r="H1702" t="str" cm="1">
        <f t="array" ref="H1702">IFERROR(VLOOKUP(INPUT!M1697&amp;INPUT!N1697,CHOOSE({1,2},INPUT!$A$3:$A$5000&amp;INPUT!$C$3:$C$5000,INPUT!$D$3:$D$5000),2,FALSE),"")</f>
        <v>TEC-TAC</v>
      </c>
      <c r="I1702" s="46">
        <f>IF(INPUT!P1697="","",INPUT!P1697)</f>
        <v>71</v>
      </c>
      <c r="J1702" s="46">
        <f>IF(INPUT!Q1697="","",INPUT!Q1697)</f>
        <v>70.7</v>
      </c>
      <c r="K1702" s="46">
        <f>IFERROR(IF(OR(INPUT!P1697="",INPUT!Q1697=""),"",INPUT!P1697-INPUT!Q1697),"")</f>
        <v>0.29999999999999716</v>
      </c>
      <c r="L1702" s="48">
        <f>IFERROR(IF(OR(INPUT!P1697="",INPUT!Q1697="",INPUT!P1697=0),"",(INPUT!P1697-INPUT!Q1697)/INPUT!P1697),"")</f>
        <v>4.225352112676016E-3</v>
      </c>
    </row>
    <row r="1703" spans="1:12" ht="18" hidden="1" customHeight="1" x14ac:dyDescent="0.2">
      <c r="A1703" s="11">
        <f>IF(INPUT!M1698="","",INPUT!M1698)</f>
        <v>46041</v>
      </c>
      <c r="B1703" s="11">
        <f>IF(INPUT!M1698="","",INPUT!M1698-WEEKDAY(INPUT!M1698,2)+1)</f>
        <v>46041</v>
      </c>
      <c r="C1703" s="20">
        <f>IFERROR(_xlfn.ISOWEEKNUM(INPUT!M1698),"")</f>
        <v>4</v>
      </c>
      <c r="D1703" s="20">
        <f>IFERROR(YEAR(INPUT!M1698),"")</f>
        <v>2026</v>
      </c>
      <c r="E1703" t="str">
        <f>IF(INPUT!O1698="","",INPUT!O1698)</f>
        <v>BARONA</v>
      </c>
      <c r="F1703" t="str">
        <f>IF(INPUT!N1698="","",INPUT!N1698)</f>
        <v>T</v>
      </c>
      <c r="G1703" t="str" cm="1">
        <f t="array" ref="G1703">IFERROR(VLOOKUP(INPUT!M1698&amp;INPUT!N1698,CHOOSE({1,2},INPUT!$A$3:$A$5000&amp;INPUT!$C$3:$C$5000,INPUT!$F$3:$F$5000),2,FALSE),"")</f>
        <v>PRE-TEMPORADA</v>
      </c>
      <c r="H1703" t="str" cm="1">
        <f t="array" ref="H1703">IFERROR(VLOOKUP(INPUT!M1698&amp;INPUT!N1698,CHOOSE({1,2},INPUT!$A$3:$A$5000&amp;INPUT!$C$3:$C$5000,INPUT!$D$3:$D$5000),2,FALSE),"")</f>
        <v>GYM+FISICO</v>
      </c>
      <c r="I1703" s="46">
        <f>IF(INPUT!P1698="","",INPUT!P1698)</f>
        <v>71.5</v>
      </c>
      <c r="J1703" s="46">
        <f>IF(INPUT!Q1698="","",INPUT!Q1698)</f>
        <v>71.5</v>
      </c>
      <c r="K1703" s="46">
        <f>IFERROR(IF(OR(INPUT!P1698="",INPUT!Q1698=""),"",INPUT!P1698-INPUT!Q1698),"")</f>
        <v>0</v>
      </c>
      <c r="L1703" s="48">
        <f>IFERROR(IF(OR(INPUT!P1698="",INPUT!Q1698="",INPUT!P1698=0),"",(INPUT!P1698-INPUT!Q1698)/INPUT!P1698),"")</f>
        <v>0</v>
      </c>
    </row>
    <row r="1704" spans="1:12" ht="18" hidden="1" customHeight="1" x14ac:dyDescent="0.2">
      <c r="A1704" s="11">
        <f>IF(INPUT!M1699="","",INPUT!M1699)</f>
        <v>46041</v>
      </c>
      <c r="B1704" s="11">
        <f>IF(INPUT!M1699="","",INPUT!M1699-WEEKDAY(INPUT!M1699,2)+1)</f>
        <v>46041</v>
      </c>
      <c r="C1704" s="20">
        <f>IFERROR(_xlfn.ISOWEEKNUM(INPUT!M1699),"")</f>
        <v>4</v>
      </c>
      <c r="D1704" s="20">
        <f>IFERROR(YEAR(INPUT!M1699),"")</f>
        <v>2026</v>
      </c>
      <c r="E1704" t="str">
        <f>IF(INPUT!O1699="","",INPUT!O1699)</f>
        <v>CARLOS</v>
      </c>
      <c r="F1704" t="str">
        <f>IF(INPUT!N1699="","",INPUT!N1699)</f>
        <v>M</v>
      </c>
      <c r="G1704" t="str" cm="1">
        <f t="array" ref="G1704">IFERROR(VLOOKUP(INPUT!M1699&amp;INPUT!N1699,CHOOSE({1,2},INPUT!$A$3:$A$5000&amp;INPUT!$C$3:$C$5000,INPUT!$F$3:$F$5000),2,FALSE),"")</f>
        <v>PRE-TEMPORADA</v>
      </c>
      <c r="H1704" t="str" cm="1">
        <f t="array" ref="H1704">IFERROR(VLOOKUP(INPUT!M1699&amp;INPUT!N1699,CHOOSE({1,2},INPUT!$A$3:$A$5000&amp;INPUT!$C$3:$C$5000,INPUT!$D$3:$D$5000),2,FALSE),"")</f>
        <v>TEC-TAC</v>
      </c>
      <c r="I1704" s="46">
        <f>IF(INPUT!P1699="","",INPUT!P1699)</f>
        <v>68</v>
      </c>
      <c r="J1704" s="46">
        <f>IF(INPUT!Q1699="","",INPUT!Q1699)</f>
        <v>67.5</v>
      </c>
      <c r="K1704" s="46">
        <f>IFERROR(IF(OR(INPUT!P1699="",INPUT!Q1699=""),"",INPUT!P1699-INPUT!Q1699),"")</f>
        <v>0.5</v>
      </c>
      <c r="L1704" s="48">
        <f>IFERROR(IF(OR(INPUT!P1699="",INPUT!Q1699="",INPUT!P1699=0),"",(INPUT!P1699-INPUT!Q1699)/INPUT!P1699),"")</f>
        <v>7.3529411764705881E-3</v>
      </c>
    </row>
    <row r="1705" spans="1:12" ht="18" hidden="1" customHeight="1" x14ac:dyDescent="0.2">
      <c r="A1705" s="11">
        <f>IF(INPUT!M1700="","",INPUT!M1700)</f>
        <v>46041</v>
      </c>
      <c r="B1705" s="11">
        <f>IF(INPUT!M1700="","",INPUT!M1700-WEEKDAY(INPUT!M1700,2)+1)</f>
        <v>46041</v>
      </c>
      <c r="C1705" s="20">
        <f>IFERROR(_xlfn.ISOWEEKNUM(INPUT!M1700),"")</f>
        <v>4</v>
      </c>
      <c r="D1705" s="20">
        <f>IFERROR(YEAR(INPUT!M1700),"")</f>
        <v>2026</v>
      </c>
      <c r="E1705" t="str">
        <f>IF(INPUT!O1700="","",INPUT!O1700)</f>
        <v>CARLOS</v>
      </c>
      <c r="F1705" t="str">
        <f>IF(INPUT!N1700="","",INPUT!N1700)</f>
        <v>T</v>
      </c>
      <c r="G1705" t="str" cm="1">
        <f t="array" ref="G1705">IFERROR(VLOOKUP(INPUT!M1700&amp;INPUT!N1700,CHOOSE({1,2},INPUT!$A$3:$A$5000&amp;INPUT!$C$3:$C$5000,INPUT!$F$3:$F$5000),2,FALSE),"")</f>
        <v>PRE-TEMPORADA</v>
      </c>
      <c r="H1705" t="str" cm="1">
        <f t="array" ref="H1705">IFERROR(VLOOKUP(INPUT!M1700&amp;INPUT!N1700,CHOOSE({1,2},INPUT!$A$3:$A$5000&amp;INPUT!$C$3:$C$5000,INPUT!$D$3:$D$5000),2,FALSE),"")</f>
        <v>GYM+FISICO</v>
      </c>
      <c r="I1705" s="46">
        <f>IF(INPUT!P1700="","",INPUT!P1700)</f>
        <v>67.7</v>
      </c>
      <c r="J1705" s="46">
        <f>IF(INPUT!Q1700="","",INPUT!Q1700)</f>
        <v>67.5</v>
      </c>
      <c r="K1705" s="46">
        <f>IFERROR(IF(OR(INPUT!P1700="",INPUT!Q1700=""),"",INPUT!P1700-INPUT!Q1700),"")</f>
        <v>0.20000000000000284</v>
      </c>
      <c r="L1705" s="48">
        <f>IFERROR(IF(OR(INPUT!P1700="",INPUT!Q1700="",INPUT!P1700=0),"",(INPUT!P1700-INPUT!Q1700)/INPUT!P1700),"")</f>
        <v>2.9542097488922132E-3</v>
      </c>
    </row>
    <row r="1706" spans="1:12" ht="18" hidden="1" customHeight="1" x14ac:dyDescent="0.2">
      <c r="A1706" s="11">
        <f>IF(INPUT!M1701="","",INPUT!M1701)</f>
        <v>46041</v>
      </c>
      <c r="B1706" s="11">
        <f>IF(INPUT!M1701="","",INPUT!M1701-WEEKDAY(INPUT!M1701,2)+1)</f>
        <v>46041</v>
      </c>
      <c r="C1706" s="20">
        <f>IFERROR(_xlfn.ISOWEEKNUM(INPUT!M1701),"")</f>
        <v>4</v>
      </c>
      <c r="D1706" s="20">
        <f>IFERROR(YEAR(INPUT!M1701),"")</f>
        <v>2026</v>
      </c>
      <c r="E1706" t="str">
        <f>IF(INPUT!O1701="","",INPUT!O1701)</f>
        <v>GONZALO</v>
      </c>
      <c r="F1706" t="str">
        <f>IF(INPUT!N1701="","",INPUT!N1701)</f>
        <v>T</v>
      </c>
      <c r="G1706" t="str" cm="1">
        <f t="array" ref="G1706">IFERROR(VLOOKUP(INPUT!M1701&amp;INPUT!N1701,CHOOSE({1,2},INPUT!$A$3:$A$5000&amp;INPUT!$C$3:$C$5000,INPUT!$F$3:$F$5000),2,FALSE),"")</f>
        <v>PRE-TEMPORADA</v>
      </c>
      <c r="H1706" t="str" cm="1">
        <f t="array" ref="H1706">IFERROR(VLOOKUP(INPUT!M1701&amp;INPUT!N1701,CHOOSE({1,2},INPUT!$A$3:$A$5000&amp;INPUT!$C$3:$C$5000,INPUT!$D$3:$D$5000),2,FALSE),"")</f>
        <v>GYM+FISICO</v>
      </c>
      <c r="I1706" s="46">
        <f>IF(INPUT!P1701="","",INPUT!P1701)</f>
        <v>83.4</v>
      </c>
      <c r="J1706" s="46">
        <f>IF(INPUT!Q1701="","",INPUT!Q1701)</f>
        <v>83</v>
      </c>
      <c r="K1706" s="46">
        <f>IFERROR(IF(OR(INPUT!P1701="",INPUT!Q1701=""),"",INPUT!P1701-INPUT!Q1701),"")</f>
        <v>0.40000000000000568</v>
      </c>
      <c r="L1706" s="48">
        <f>IFERROR(IF(OR(INPUT!P1701="",INPUT!Q1701="",INPUT!P1701=0),"",(INPUT!P1701-INPUT!Q1701)/INPUT!P1701),"")</f>
        <v>4.7961630695444327E-3</v>
      </c>
    </row>
    <row r="1707" spans="1:12" ht="18" hidden="1" customHeight="1" x14ac:dyDescent="0.2">
      <c r="A1707" s="11">
        <f>IF(INPUT!M1702="","",INPUT!M1702)</f>
        <v>46041</v>
      </c>
      <c r="B1707" s="11">
        <f>IF(INPUT!M1702="","",INPUT!M1702-WEEKDAY(INPUT!M1702,2)+1)</f>
        <v>46041</v>
      </c>
      <c r="C1707" s="20">
        <f>IFERROR(_xlfn.ISOWEEKNUM(INPUT!M1702),"")</f>
        <v>4</v>
      </c>
      <c r="D1707" s="20">
        <f>IFERROR(YEAR(INPUT!M1702),"")</f>
        <v>2026</v>
      </c>
      <c r="E1707" t="str">
        <f>IF(INPUT!O1702="","",INPUT!O1702)</f>
        <v>RUBIO</v>
      </c>
      <c r="F1707" t="str">
        <f>IF(INPUT!N1702="","",INPUT!N1702)</f>
        <v>M</v>
      </c>
      <c r="G1707" t="str" cm="1">
        <f t="array" ref="G1707">IFERROR(VLOOKUP(INPUT!M1702&amp;INPUT!N1702,CHOOSE({1,2},INPUT!$A$3:$A$5000&amp;INPUT!$C$3:$C$5000,INPUT!$F$3:$F$5000),2,FALSE),"")</f>
        <v>PRE-TEMPORADA</v>
      </c>
      <c r="H1707" t="str" cm="1">
        <f t="array" ref="H1707">IFERROR(VLOOKUP(INPUT!M1702&amp;INPUT!N1702,CHOOSE({1,2},INPUT!$A$3:$A$5000&amp;INPUT!$C$3:$C$5000,INPUT!$D$3:$D$5000),2,FALSE),"")</f>
        <v>TEC-TAC</v>
      </c>
      <c r="I1707" s="46">
        <f>IF(INPUT!P1702="","",INPUT!P1702)</f>
        <v>75.7</v>
      </c>
      <c r="J1707" s="46">
        <f>IF(INPUT!Q1702="","",INPUT!Q1702)</f>
        <v>75.400000000000006</v>
      </c>
      <c r="K1707" s="46">
        <f>IFERROR(IF(OR(INPUT!P1702="",INPUT!Q1702=""),"",INPUT!P1702-INPUT!Q1702),"")</f>
        <v>0.29999999999999716</v>
      </c>
      <c r="L1707" s="48">
        <f>IFERROR(IF(OR(INPUT!P1702="",INPUT!Q1702="",INPUT!P1702=0),"",(INPUT!P1702-INPUT!Q1702)/INPUT!P1702),"")</f>
        <v>3.9630118890356296E-3</v>
      </c>
    </row>
    <row r="1708" spans="1:12" ht="18" hidden="1" customHeight="1" x14ac:dyDescent="0.2">
      <c r="A1708" s="11">
        <f>IF(INPUT!M1703="","",INPUT!M1703)</f>
        <v>46041</v>
      </c>
      <c r="B1708" s="11">
        <f>IF(INPUT!M1703="","",INPUT!M1703-WEEKDAY(INPUT!M1703,2)+1)</f>
        <v>46041</v>
      </c>
      <c r="C1708" s="20">
        <f>IFERROR(_xlfn.ISOWEEKNUM(INPUT!M1703),"")</f>
        <v>4</v>
      </c>
      <c r="D1708" s="20">
        <f>IFERROR(YEAR(INPUT!M1703),"")</f>
        <v>2026</v>
      </c>
      <c r="E1708" t="str">
        <f>IF(INPUT!O1703="","",INPUT!O1703)</f>
        <v>RUBIO</v>
      </c>
      <c r="F1708" t="str">
        <f>IF(INPUT!N1703="","",INPUT!N1703)</f>
        <v>T</v>
      </c>
      <c r="G1708" t="str" cm="1">
        <f t="array" ref="G1708">IFERROR(VLOOKUP(INPUT!M1703&amp;INPUT!N1703,CHOOSE({1,2},INPUT!$A$3:$A$5000&amp;INPUT!$C$3:$C$5000,INPUT!$F$3:$F$5000),2,FALSE),"")</f>
        <v>PRE-TEMPORADA</v>
      </c>
      <c r="H1708" t="str" cm="1">
        <f t="array" ref="H1708">IFERROR(VLOOKUP(INPUT!M1703&amp;INPUT!N1703,CHOOSE({1,2},INPUT!$A$3:$A$5000&amp;INPUT!$C$3:$C$5000,INPUT!$D$3:$D$5000),2,FALSE),"")</f>
        <v>GYM+FISICO</v>
      </c>
      <c r="I1708" s="46">
        <f>IF(INPUT!P1703="","",INPUT!P1703)</f>
        <v>75.7</v>
      </c>
      <c r="J1708" s="46">
        <f>IF(INPUT!Q1703="","",INPUT!Q1703)</f>
        <v>75.5</v>
      </c>
      <c r="K1708" s="46">
        <f>IFERROR(IF(OR(INPUT!P1703="",INPUT!Q1703=""),"",INPUT!P1703-INPUT!Q1703),"")</f>
        <v>0.20000000000000284</v>
      </c>
      <c r="L1708" s="48">
        <f>IFERROR(IF(OR(INPUT!P1703="",INPUT!Q1703="",INPUT!P1703=0),"",(INPUT!P1703-INPUT!Q1703)/INPUT!P1703),"")</f>
        <v>2.6420079260238154E-3</v>
      </c>
    </row>
    <row r="1709" spans="1:12" ht="18" hidden="1" customHeight="1" x14ac:dyDescent="0.2">
      <c r="A1709" s="11">
        <f>IF(INPUT!M1704="","",INPUT!M1704)</f>
        <v>46041</v>
      </c>
      <c r="B1709" s="11">
        <f>IF(INPUT!M1704="","",INPUT!M1704-WEEKDAY(INPUT!M1704,2)+1)</f>
        <v>46041</v>
      </c>
      <c r="C1709" s="20">
        <f>IFERROR(_xlfn.ISOWEEKNUM(INPUT!M1704),"")</f>
        <v>4</v>
      </c>
      <c r="D1709" s="20">
        <f>IFERROR(YEAR(INPUT!M1704),"")</f>
        <v>2026</v>
      </c>
      <c r="E1709" t="str">
        <f>IF(INPUT!O1704="","",INPUT!O1704)</f>
        <v>DANI</v>
      </c>
      <c r="F1709" t="str">
        <f>IF(INPUT!N1704="","",INPUT!N1704)</f>
        <v>M</v>
      </c>
      <c r="G1709" t="str" cm="1">
        <f t="array" ref="G1709">IFERROR(VLOOKUP(INPUT!M1704&amp;INPUT!N1704,CHOOSE({1,2},INPUT!$A$3:$A$5000&amp;INPUT!$C$3:$C$5000,INPUT!$F$3:$F$5000),2,FALSE),"")</f>
        <v>PRE-TEMPORADA</v>
      </c>
      <c r="H1709" t="str" cm="1">
        <f t="array" ref="H1709">IFERROR(VLOOKUP(INPUT!M1704&amp;INPUT!N1704,CHOOSE({1,2},INPUT!$A$3:$A$5000&amp;INPUT!$C$3:$C$5000,INPUT!$D$3:$D$5000),2,FALSE),"")</f>
        <v>TEC-TAC</v>
      </c>
      <c r="I1709" s="46">
        <f>IF(INPUT!P1704="","",INPUT!P1704)</f>
        <v>92</v>
      </c>
      <c r="J1709" s="46">
        <f>IF(INPUT!Q1704="","",INPUT!Q1704)</f>
        <v>91.7</v>
      </c>
      <c r="K1709" s="46">
        <f>IFERROR(IF(OR(INPUT!P1704="",INPUT!Q1704=""),"",INPUT!P1704-INPUT!Q1704),"")</f>
        <v>0.29999999999999716</v>
      </c>
      <c r="L1709" s="48">
        <f>IFERROR(IF(OR(INPUT!P1704="",INPUT!Q1704="",INPUT!P1704=0),"",(INPUT!P1704-INPUT!Q1704)/INPUT!P1704),"")</f>
        <v>3.2608695652173603E-3</v>
      </c>
    </row>
    <row r="1710" spans="1:12" ht="18" hidden="1" customHeight="1" x14ac:dyDescent="0.2">
      <c r="A1710" s="11">
        <f>IF(INPUT!M1705="","",INPUT!M1705)</f>
        <v>46041</v>
      </c>
      <c r="B1710" s="11">
        <f>IF(INPUT!M1705="","",INPUT!M1705-WEEKDAY(INPUT!M1705,2)+1)</f>
        <v>46041</v>
      </c>
      <c r="C1710" s="20">
        <f>IFERROR(_xlfn.ISOWEEKNUM(INPUT!M1705),"")</f>
        <v>4</v>
      </c>
      <c r="D1710" s="20">
        <f>IFERROR(YEAR(INPUT!M1705),"")</f>
        <v>2026</v>
      </c>
      <c r="E1710" t="str">
        <f>IF(INPUT!O1705="","",INPUT!O1705)</f>
        <v>DANI</v>
      </c>
      <c r="F1710" t="str">
        <f>IF(INPUT!N1705="","",INPUT!N1705)</f>
        <v>T</v>
      </c>
      <c r="G1710" t="str" cm="1">
        <f t="array" ref="G1710">IFERROR(VLOOKUP(INPUT!M1705&amp;INPUT!N1705,CHOOSE({1,2},INPUT!$A$3:$A$5000&amp;INPUT!$C$3:$C$5000,INPUT!$F$3:$F$5000),2,FALSE),"")</f>
        <v>PRE-TEMPORADA</v>
      </c>
      <c r="H1710" t="str" cm="1">
        <f t="array" ref="H1710">IFERROR(VLOOKUP(INPUT!M1705&amp;INPUT!N1705,CHOOSE({1,2},INPUT!$A$3:$A$5000&amp;INPUT!$C$3:$C$5000,INPUT!$D$3:$D$5000),2,FALSE),"")</f>
        <v>GYM+FISICO</v>
      </c>
      <c r="I1710" s="46">
        <f>IF(INPUT!P1705="","",INPUT!P1705)</f>
        <v>91.9</v>
      </c>
      <c r="J1710" s="46">
        <f>IF(INPUT!Q1705="","",INPUT!Q1705)</f>
        <v>91.7</v>
      </c>
      <c r="K1710" s="46">
        <f>IFERROR(IF(OR(INPUT!P1705="",INPUT!Q1705=""),"",INPUT!P1705-INPUT!Q1705),"")</f>
        <v>0.20000000000000284</v>
      </c>
      <c r="L1710" s="48">
        <f>IFERROR(IF(OR(INPUT!P1705="",INPUT!Q1705="",INPUT!P1705=0),"",(INPUT!P1705-INPUT!Q1705)/INPUT!P1705),"")</f>
        <v>2.1762785636561788E-3</v>
      </c>
    </row>
    <row r="1711" spans="1:12" ht="18" hidden="1" customHeight="1" x14ac:dyDescent="0.2">
      <c r="A1711" s="11">
        <f>IF(INPUT!M1706="","",INPUT!M1706)</f>
        <v>46041</v>
      </c>
      <c r="B1711" s="11">
        <f>IF(INPUT!M1706="","",INPUT!M1706-WEEKDAY(INPUT!M1706,2)+1)</f>
        <v>46041</v>
      </c>
      <c r="C1711" s="20">
        <f>IFERROR(_xlfn.ISOWEEKNUM(INPUT!M1706),"")</f>
        <v>4</v>
      </c>
      <c r="D1711" s="20">
        <f>IFERROR(YEAR(INPUT!M1706),"")</f>
        <v>2026</v>
      </c>
      <c r="E1711" t="str">
        <f>IF(INPUT!O1706="","",INPUT!O1706)</f>
        <v>JAIME</v>
      </c>
      <c r="F1711" t="str">
        <f>IF(INPUT!N1706="","",INPUT!N1706)</f>
        <v>M</v>
      </c>
      <c r="G1711" t="str" cm="1">
        <f t="array" ref="G1711">IFERROR(VLOOKUP(INPUT!M1706&amp;INPUT!N1706,CHOOSE({1,2},INPUT!$A$3:$A$5000&amp;INPUT!$C$3:$C$5000,INPUT!$F$3:$F$5000),2,FALSE),"")</f>
        <v>PRE-TEMPORADA</v>
      </c>
      <c r="H1711" t="str" cm="1">
        <f t="array" ref="H1711">IFERROR(VLOOKUP(INPUT!M1706&amp;INPUT!N1706,CHOOSE({1,2},INPUT!$A$3:$A$5000&amp;INPUT!$C$3:$C$5000,INPUT!$D$3:$D$5000),2,FALSE),"")</f>
        <v>TEC-TAC</v>
      </c>
      <c r="I1711" s="46">
        <f>IF(INPUT!P1706="","",INPUT!P1706)</f>
        <v>75.7</v>
      </c>
      <c r="J1711" s="46">
        <f>IF(INPUT!Q1706="","",INPUT!Q1706)</f>
        <v>75.8</v>
      </c>
      <c r="K1711" s="46">
        <f>IFERROR(IF(OR(INPUT!P1706="",INPUT!Q1706=""),"",INPUT!P1706-INPUT!Q1706),"")</f>
        <v>-9.9999999999994316E-2</v>
      </c>
      <c r="L1711" s="48">
        <f>IFERROR(IF(OR(INPUT!P1706="",INPUT!Q1706="",INPUT!P1706=0),"",(INPUT!P1706-INPUT!Q1706)/INPUT!P1706),"")</f>
        <v>-1.3210039630118138E-3</v>
      </c>
    </row>
    <row r="1712" spans="1:12" ht="18" hidden="1" customHeight="1" x14ac:dyDescent="0.2">
      <c r="A1712" s="11">
        <f>IF(INPUT!M1707="","",INPUT!M1707)</f>
        <v>46042</v>
      </c>
      <c r="B1712" s="11">
        <f>IF(INPUT!M1707="","",INPUT!M1707-WEEKDAY(INPUT!M1707,2)+1)</f>
        <v>46041</v>
      </c>
      <c r="C1712" s="20">
        <f>IFERROR(_xlfn.ISOWEEKNUM(INPUT!M1707),"")</f>
        <v>4</v>
      </c>
      <c r="D1712" s="20">
        <f>IFERROR(YEAR(INPUT!M1707),"")</f>
        <v>2026</v>
      </c>
      <c r="E1712" t="str">
        <f>IF(INPUT!O1707="","",INPUT!O1707)</f>
        <v>HERRERO</v>
      </c>
      <c r="F1712" t="str">
        <f>IF(INPUT!N1707="","",INPUT!N1707)</f>
        <v>T</v>
      </c>
      <c r="G1712" t="str" cm="1">
        <f t="array" ref="G1712">IFERROR(VLOOKUP(INPUT!M1707&amp;INPUT!N1707,CHOOSE({1,2},INPUT!$A$3:$A$5000&amp;INPUT!$C$3:$C$5000,INPUT!$F$3:$F$5000),2,FALSE),"")</f>
        <v>PRE-TEMPORADA</v>
      </c>
      <c r="H1712" t="str" cm="1">
        <f t="array" ref="H1712">IFERROR(VLOOKUP(INPUT!M1707&amp;INPUT!N1707,CHOOSE({1,2},INPUT!$A$3:$A$5000&amp;INPUT!$C$3:$C$5000,INPUT!$D$3:$D$5000),2,FALSE),"")</f>
        <v>TEC-TAC</v>
      </c>
      <c r="I1712" s="46">
        <f>IF(INPUT!P1707="","",INPUT!P1707)</f>
        <v>76.900000000000006</v>
      </c>
      <c r="J1712" s="46">
        <f>IF(INPUT!Q1707="","",INPUT!Q1707)</f>
        <v>76.099999999999994</v>
      </c>
      <c r="K1712" s="46">
        <f>IFERROR(IF(OR(INPUT!P1707="",INPUT!Q1707=""),"",INPUT!P1707-INPUT!Q1707),"")</f>
        <v>0.80000000000001137</v>
      </c>
      <c r="L1712" s="48">
        <f>IFERROR(IF(OR(INPUT!P1707="",INPUT!Q1707="",INPUT!P1707=0),"",(INPUT!P1707-INPUT!Q1707)/INPUT!P1707),"")</f>
        <v>1.0403120936281032E-2</v>
      </c>
    </row>
    <row r="1713" spans="1:12" ht="18" hidden="1" customHeight="1" x14ac:dyDescent="0.2">
      <c r="A1713" s="11">
        <f>IF(INPUT!M1708="","",INPUT!M1708)</f>
        <v>46042</v>
      </c>
      <c r="B1713" s="11">
        <f>IF(INPUT!M1708="","",INPUT!M1708-WEEKDAY(INPUT!M1708,2)+1)</f>
        <v>46041</v>
      </c>
      <c r="C1713" s="20">
        <f>IFERROR(_xlfn.ISOWEEKNUM(INPUT!M1708),"")</f>
        <v>4</v>
      </c>
      <c r="D1713" s="20">
        <f>IFERROR(YEAR(INPUT!M1708),"")</f>
        <v>2026</v>
      </c>
      <c r="E1713" t="str">
        <f>IF(INPUT!O1708="","",INPUT!O1708)</f>
        <v>GARCIA</v>
      </c>
      <c r="F1713" t="str">
        <f>IF(INPUT!N1708="","",INPUT!N1708)</f>
        <v>T</v>
      </c>
      <c r="G1713" t="str" cm="1">
        <f t="array" ref="G1713">IFERROR(VLOOKUP(INPUT!M1708&amp;INPUT!N1708,CHOOSE({1,2},INPUT!$A$3:$A$5000&amp;INPUT!$C$3:$C$5000,INPUT!$F$3:$F$5000),2,FALSE),"")</f>
        <v>PRE-TEMPORADA</v>
      </c>
      <c r="H1713" t="str" cm="1">
        <f t="array" ref="H1713">IFERROR(VLOOKUP(INPUT!M1708&amp;INPUT!N1708,CHOOSE({1,2},INPUT!$A$3:$A$5000&amp;INPUT!$C$3:$C$5000,INPUT!$D$3:$D$5000),2,FALSE),"")</f>
        <v>TEC-TAC</v>
      </c>
      <c r="I1713" s="46">
        <f>IF(INPUT!P1708="","",INPUT!P1708)</f>
        <v>79.3</v>
      </c>
      <c r="J1713" s="46">
        <f>IF(INPUT!Q1708="","",INPUT!Q1708)</f>
        <v>79</v>
      </c>
      <c r="K1713" s="46">
        <f>IFERROR(IF(OR(INPUT!P1708="",INPUT!Q1708=""),"",INPUT!P1708-INPUT!Q1708),"")</f>
        <v>0.29999999999999716</v>
      </c>
      <c r="L1713" s="48">
        <f>IFERROR(IF(OR(INPUT!P1708="",INPUT!Q1708="",INPUT!P1708=0),"",(INPUT!P1708-INPUT!Q1708)/INPUT!P1708),"")</f>
        <v>3.7831021437578459E-3</v>
      </c>
    </row>
    <row r="1714" spans="1:12" ht="18" hidden="1" customHeight="1" x14ac:dyDescent="0.2">
      <c r="A1714" s="11">
        <f>IF(INPUT!M1709="","",INPUT!M1709)</f>
        <v>46042</v>
      </c>
      <c r="B1714" s="11">
        <f>IF(INPUT!M1709="","",INPUT!M1709-WEEKDAY(INPUT!M1709,2)+1)</f>
        <v>46041</v>
      </c>
      <c r="C1714" s="20">
        <f>IFERROR(_xlfn.ISOWEEKNUM(INPUT!M1709),"")</f>
        <v>4</v>
      </c>
      <c r="D1714" s="20">
        <f>IFERROR(YEAR(INPUT!M1709),"")</f>
        <v>2026</v>
      </c>
      <c r="E1714" t="str">
        <f>IF(INPUT!O1709="","",INPUT!O1709)</f>
        <v>CHAGUINHA</v>
      </c>
      <c r="F1714" t="str">
        <f>IF(INPUT!N1709="","",INPUT!N1709)</f>
        <v>T</v>
      </c>
      <c r="G1714" t="str" cm="1">
        <f t="array" ref="G1714">IFERROR(VLOOKUP(INPUT!M1709&amp;INPUT!N1709,CHOOSE({1,2},INPUT!$A$3:$A$5000&amp;INPUT!$C$3:$C$5000,INPUT!$F$3:$F$5000),2,FALSE),"")</f>
        <v>PRE-TEMPORADA</v>
      </c>
      <c r="H1714" t="str" cm="1">
        <f t="array" ref="H1714">IFERROR(VLOOKUP(INPUT!M1709&amp;INPUT!N1709,CHOOSE({1,2},INPUT!$A$3:$A$5000&amp;INPUT!$C$3:$C$5000,INPUT!$D$3:$D$5000),2,FALSE),"")</f>
        <v>TEC-TAC</v>
      </c>
      <c r="I1714" s="46">
        <f>IF(INPUT!P1709="","",INPUT!P1709)</f>
        <v>69.5</v>
      </c>
      <c r="J1714" s="46">
        <f>IF(INPUT!Q1709="","",INPUT!Q1709)</f>
        <v>69</v>
      </c>
      <c r="K1714" s="46">
        <f>IFERROR(IF(OR(INPUT!P1709="",INPUT!Q1709=""),"",INPUT!P1709-INPUT!Q1709),"")</f>
        <v>0.5</v>
      </c>
      <c r="L1714" s="48">
        <f>IFERROR(IF(OR(INPUT!P1709="",INPUT!Q1709="",INPUT!P1709=0),"",(INPUT!P1709-INPUT!Q1709)/INPUT!P1709),"")</f>
        <v>7.1942446043165471E-3</v>
      </c>
    </row>
    <row r="1715" spans="1:12" ht="18" hidden="1" customHeight="1" x14ac:dyDescent="0.2">
      <c r="A1715" s="11">
        <f>IF(INPUT!M1710="","",INPUT!M1710)</f>
        <v>46042</v>
      </c>
      <c r="B1715" s="11">
        <f>IF(INPUT!M1710="","",INPUT!M1710-WEEKDAY(INPUT!M1710,2)+1)</f>
        <v>46041</v>
      </c>
      <c r="C1715" s="20">
        <f>IFERROR(_xlfn.ISOWEEKNUM(INPUT!M1710),"")</f>
        <v>4</v>
      </c>
      <c r="D1715" s="20">
        <f>IFERROR(YEAR(INPUT!M1710),"")</f>
        <v>2026</v>
      </c>
      <c r="E1715" t="str">
        <f>IF(INPUT!O1710="","",INPUT!O1710)</f>
        <v>RAUL</v>
      </c>
      <c r="F1715" t="str">
        <f>IF(INPUT!N1710="","",INPUT!N1710)</f>
        <v>T</v>
      </c>
      <c r="G1715" t="str" cm="1">
        <f t="array" ref="G1715">IFERROR(VLOOKUP(INPUT!M1710&amp;INPUT!N1710,CHOOSE({1,2},INPUT!$A$3:$A$5000&amp;INPUT!$C$3:$C$5000,INPUT!$F$3:$F$5000),2,FALSE),"")</f>
        <v>PRE-TEMPORADA</v>
      </c>
      <c r="H1715" t="str" cm="1">
        <f t="array" ref="H1715">IFERROR(VLOOKUP(INPUT!M1710&amp;INPUT!N1710,CHOOSE({1,2},INPUT!$A$3:$A$5000&amp;INPUT!$C$3:$C$5000,INPUT!$D$3:$D$5000),2,FALSE),"")</f>
        <v>TEC-TAC</v>
      </c>
      <c r="I1715" s="46">
        <f>IF(INPUT!P1710="","",INPUT!P1710)</f>
        <v>81.5</v>
      </c>
      <c r="J1715" s="46">
        <f>IF(INPUT!Q1710="","",INPUT!Q1710)</f>
        <v>81.599999999999994</v>
      </c>
      <c r="K1715" s="46">
        <f>IFERROR(IF(OR(INPUT!P1710="",INPUT!Q1710=""),"",INPUT!P1710-INPUT!Q1710),"")</f>
        <v>-9.9999999999994316E-2</v>
      </c>
      <c r="L1715" s="48">
        <f>IFERROR(IF(OR(INPUT!P1710="",INPUT!Q1710="",INPUT!P1710=0),"",(INPUT!P1710-INPUT!Q1710)/INPUT!P1710),"")</f>
        <v>-1.2269938650306051E-3</v>
      </c>
    </row>
    <row r="1716" spans="1:12" ht="18" hidden="1" customHeight="1" x14ac:dyDescent="0.2">
      <c r="A1716" s="11">
        <f>IF(INPUT!M1711="","",INPUT!M1711)</f>
        <v>46042</v>
      </c>
      <c r="B1716" s="11">
        <f>IF(INPUT!M1711="","",INPUT!M1711-WEEKDAY(INPUT!M1711,2)+1)</f>
        <v>46041</v>
      </c>
      <c r="C1716" s="20">
        <f>IFERROR(_xlfn.ISOWEEKNUM(INPUT!M1711),"")</f>
        <v>4</v>
      </c>
      <c r="D1716" s="20">
        <f>IFERROR(YEAR(INPUT!M1711),"")</f>
        <v>2026</v>
      </c>
      <c r="E1716" t="str">
        <f>IF(INPUT!O1711="","",INPUT!O1711)</f>
        <v>JAVI</v>
      </c>
      <c r="F1716" t="str">
        <f>IF(INPUT!N1711="","",INPUT!N1711)</f>
        <v>T</v>
      </c>
      <c r="G1716" t="str" cm="1">
        <f t="array" ref="G1716">IFERROR(VLOOKUP(INPUT!M1711&amp;INPUT!N1711,CHOOSE({1,2},INPUT!$A$3:$A$5000&amp;INPUT!$C$3:$C$5000,INPUT!$F$3:$F$5000),2,FALSE),"")</f>
        <v>PRE-TEMPORADA</v>
      </c>
      <c r="H1716" t="str" cm="1">
        <f t="array" ref="H1716">IFERROR(VLOOKUP(INPUT!M1711&amp;INPUT!N1711,CHOOSE({1,2},INPUT!$A$3:$A$5000&amp;INPUT!$C$3:$C$5000,INPUT!$D$3:$D$5000),2,FALSE),"")</f>
        <v>TEC-TAC</v>
      </c>
      <c r="I1716" s="46">
        <f>IF(INPUT!P1711="","",INPUT!P1711)</f>
        <v>78.599999999999994</v>
      </c>
      <c r="J1716" s="46">
        <f>IF(INPUT!Q1711="","",INPUT!Q1711)</f>
        <v>78.599999999999994</v>
      </c>
      <c r="K1716" s="46">
        <f>IFERROR(IF(OR(INPUT!P1711="",INPUT!Q1711=""),"",INPUT!P1711-INPUT!Q1711),"")</f>
        <v>0</v>
      </c>
      <c r="L1716" s="48">
        <f>IFERROR(IF(OR(INPUT!P1711="",INPUT!Q1711="",INPUT!P1711=0),"",(INPUT!P1711-INPUT!Q1711)/INPUT!P1711),"")</f>
        <v>0</v>
      </c>
    </row>
    <row r="1717" spans="1:12" ht="18" hidden="1" customHeight="1" x14ac:dyDescent="0.2">
      <c r="A1717" s="11">
        <f>IF(INPUT!M1712="","",INPUT!M1712)</f>
        <v>46042</v>
      </c>
      <c r="B1717" s="11">
        <f>IF(INPUT!M1712="","",INPUT!M1712-WEEKDAY(INPUT!M1712,2)+1)</f>
        <v>46041</v>
      </c>
      <c r="C1717" s="20">
        <f>IFERROR(_xlfn.ISOWEEKNUM(INPUT!M1712),"")</f>
        <v>4</v>
      </c>
      <c r="D1717" s="20">
        <f>IFERROR(YEAR(INPUT!M1712),"")</f>
        <v>2026</v>
      </c>
      <c r="E1717" t="str">
        <f>IF(INPUT!O1712="","",INPUT!O1712)</f>
        <v>PANI</v>
      </c>
      <c r="F1717" t="str">
        <f>IF(INPUT!N1712="","",INPUT!N1712)</f>
        <v>T</v>
      </c>
      <c r="G1717" t="str" cm="1">
        <f t="array" ref="G1717">IFERROR(VLOOKUP(INPUT!M1712&amp;INPUT!N1712,CHOOSE({1,2},INPUT!$A$3:$A$5000&amp;INPUT!$C$3:$C$5000,INPUT!$F$3:$F$5000),2,FALSE),"")</f>
        <v>PRE-TEMPORADA</v>
      </c>
      <c r="H1717" t="str" cm="1">
        <f t="array" ref="H1717">IFERROR(VLOOKUP(INPUT!M1712&amp;INPUT!N1712,CHOOSE({1,2},INPUT!$A$3:$A$5000&amp;INPUT!$C$3:$C$5000,INPUT!$D$3:$D$5000),2,FALSE),"")</f>
        <v>TEC-TAC</v>
      </c>
      <c r="I1717" s="46">
        <f>IF(INPUT!P1712="","",INPUT!P1712)</f>
        <v>67.599999999999994</v>
      </c>
      <c r="J1717" s="46">
        <f>IF(INPUT!Q1712="","",INPUT!Q1712)</f>
        <v>66.7</v>
      </c>
      <c r="K1717" s="46">
        <f>IFERROR(IF(OR(INPUT!P1712="",INPUT!Q1712=""),"",INPUT!P1712-INPUT!Q1712),"")</f>
        <v>0.89999999999999147</v>
      </c>
      <c r="L1717" s="48">
        <f>IFERROR(IF(OR(INPUT!P1712="",INPUT!Q1712="",INPUT!P1712=0),"",(INPUT!P1712-INPUT!Q1712)/INPUT!P1712),"")</f>
        <v>1.3313609467455497E-2</v>
      </c>
    </row>
    <row r="1718" spans="1:12" ht="18" hidden="1" customHeight="1" x14ac:dyDescent="0.2">
      <c r="A1718" s="11">
        <f>IF(INPUT!M1713="","",INPUT!M1713)</f>
        <v>46042</v>
      </c>
      <c r="B1718" s="11">
        <f>IF(INPUT!M1713="","",INPUT!M1713-WEEKDAY(INPUT!M1713,2)+1)</f>
        <v>46041</v>
      </c>
      <c r="C1718" s="20">
        <f>IFERROR(_xlfn.ISOWEEKNUM(INPUT!M1713),"")</f>
        <v>4</v>
      </c>
      <c r="D1718" s="20">
        <f>IFERROR(YEAR(INPUT!M1713),"")</f>
        <v>2026</v>
      </c>
      <c r="E1718" t="str">
        <f>IF(INPUT!O1713="","",INPUT!O1713)</f>
        <v>PIRATA</v>
      </c>
      <c r="F1718" t="str">
        <f>IF(INPUT!N1713="","",INPUT!N1713)</f>
        <v>T</v>
      </c>
      <c r="G1718" t="str" cm="1">
        <f t="array" ref="G1718">IFERROR(VLOOKUP(INPUT!M1713&amp;INPUT!N1713,CHOOSE({1,2},INPUT!$A$3:$A$5000&amp;INPUT!$C$3:$C$5000,INPUT!$F$3:$F$5000),2,FALSE),"")</f>
        <v>PRE-TEMPORADA</v>
      </c>
      <c r="H1718" t="str" cm="1">
        <f t="array" ref="H1718">IFERROR(VLOOKUP(INPUT!M1713&amp;INPUT!N1713,CHOOSE({1,2},INPUT!$A$3:$A$5000&amp;INPUT!$C$3:$C$5000,INPUT!$D$3:$D$5000),2,FALSE),"")</f>
        <v>TEC-TAC</v>
      </c>
      <c r="I1718" s="46">
        <f>IF(INPUT!P1713="","",INPUT!P1713)</f>
        <v>75.3</v>
      </c>
      <c r="J1718" s="46">
        <f>IF(INPUT!Q1713="","",INPUT!Q1713)</f>
        <v>74.8</v>
      </c>
      <c r="K1718" s="46">
        <f>IFERROR(IF(OR(INPUT!P1713="",INPUT!Q1713=""),"",INPUT!P1713-INPUT!Q1713),"")</f>
        <v>0.5</v>
      </c>
      <c r="L1718" s="48">
        <f>IFERROR(IF(OR(INPUT!P1713="",INPUT!Q1713="",INPUT!P1713=0),"",(INPUT!P1713-INPUT!Q1713)/INPUT!P1713),"")</f>
        <v>6.6401062416998674E-3</v>
      </c>
    </row>
    <row r="1719" spans="1:12" ht="18" hidden="1" customHeight="1" x14ac:dyDescent="0.2">
      <c r="A1719" s="11">
        <f>IF(INPUT!M1714="","",INPUT!M1714)</f>
        <v>46042</v>
      </c>
      <c r="B1719" s="11">
        <f>IF(INPUT!M1714="","",INPUT!M1714-WEEKDAY(INPUT!M1714,2)+1)</f>
        <v>46041</v>
      </c>
      <c r="C1719" s="20">
        <f>IFERROR(_xlfn.ISOWEEKNUM(INPUT!M1714),"")</f>
        <v>4</v>
      </c>
      <c r="D1719" s="20">
        <f>IFERROR(YEAR(INPUT!M1714),"")</f>
        <v>2026</v>
      </c>
      <c r="E1719" t="str">
        <f>IF(INPUT!O1714="","",INPUT!O1714)</f>
        <v>BARONA</v>
      </c>
      <c r="F1719" t="str">
        <f>IF(INPUT!N1714="","",INPUT!N1714)</f>
        <v>T</v>
      </c>
      <c r="G1719" t="str" cm="1">
        <f t="array" ref="G1719">IFERROR(VLOOKUP(INPUT!M1714&amp;INPUT!N1714,CHOOSE({1,2},INPUT!$A$3:$A$5000&amp;INPUT!$C$3:$C$5000,INPUT!$F$3:$F$5000),2,FALSE),"")</f>
        <v>PRE-TEMPORADA</v>
      </c>
      <c r="H1719" t="str" cm="1">
        <f t="array" ref="H1719">IFERROR(VLOOKUP(INPUT!M1714&amp;INPUT!N1714,CHOOSE({1,2},INPUT!$A$3:$A$5000&amp;INPUT!$C$3:$C$5000,INPUT!$D$3:$D$5000),2,FALSE),"")</f>
        <v>TEC-TAC</v>
      </c>
      <c r="I1719" s="46">
        <f>IF(INPUT!P1714="","",INPUT!P1714)</f>
        <v>70.8</v>
      </c>
      <c r="J1719" s="46">
        <f>IF(INPUT!Q1714="","",INPUT!Q1714)</f>
        <v>70.7</v>
      </c>
      <c r="K1719" s="46">
        <f>IFERROR(IF(OR(INPUT!P1714="",INPUT!Q1714=""),"",INPUT!P1714-INPUT!Q1714),"")</f>
        <v>9.9999999999994316E-2</v>
      </c>
      <c r="L1719" s="48">
        <f>IFERROR(IF(OR(INPUT!P1714="",INPUT!Q1714="",INPUT!P1714=0),"",(INPUT!P1714-INPUT!Q1714)/INPUT!P1714),"")</f>
        <v>1.4124293785309932E-3</v>
      </c>
    </row>
    <row r="1720" spans="1:12" ht="18" hidden="1" customHeight="1" x14ac:dyDescent="0.2">
      <c r="A1720" s="11">
        <f>IF(INPUT!M1715="","",INPUT!M1715)</f>
        <v>46042</v>
      </c>
      <c r="B1720" s="11">
        <f>IF(INPUT!M1715="","",INPUT!M1715-WEEKDAY(INPUT!M1715,2)+1)</f>
        <v>46041</v>
      </c>
      <c r="C1720" s="20">
        <f>IFERROR(_xlfn.ISOWEEKNUM(INPUT!M1715),"")</f>
        <v>4</v>
      </c>
      <c r="D1720" s="20">
        <f>IFERROR(YEAR(INPUT!M1715),"")</f>
        <v>2026</v>
      </c>
      <c r="E1720" t="str">
        <f>IF(INPUT!O1715="","",INPUT!O1715)</f>
        <v>CARLOS</v>
      </c>
      <c r="F1720" t="str">
        <f>IF(INPUT!N1715="","",INPUT!N1715)</f>
        <v>T</v>
      </c>
      <c r="G1720" t="str" cm="1">
        <f t="array" ref="G1720">IFERROR(VLOOKUP(INPUT!M1715&amp;INPUT!N1715,CHOOSE({1,2},INPUT!$A$3:$A$5000&amp;INPUT!$C$3:$C$5000,INPUT!$F$3:$F$5000),2,FALSE),"")</f>
        <v>PRE-TEMPORADA</v>
      </c>
      <c r="H1720" t="str" cm="1">
        <f t="array" ref="H1720">IFERROR(VLOOKUP(INPUT!M1715&amp;INPUT!N1715,CHOOSE({1,2},INPUT!$A$3:$A$5000&amp;INPUT!$C$3:$C$5000,INPUT!$D$3:$D$5000),2,FALSE),"")</f>
        <v>TEC-TAC</v>
      </c>
      <c r="I1720" s="46">
        <f>IF(INPUT!P1715="","",INPUT!P1715)</f>
        <v>68.5</v>
      </c>
      <c r="J1720" s="46">
        <f>IF(INPUT!Q1715="","",INPUT!Q1715)</f>
        <v>68.5</v>
      </c>
      <c r="K1720" s="46">
        <f>IFERROR(IF(OR(INPUT!P1715="",INPUT!Q1715=""),"",INPUT!P1715-INPUT!Q1715),"")</f>
        <v>0</v>
      </c>
      <c r="L1720" s="48">
        <f>IFERROR(IF(OR(INPUT!P1715="",INPUT!Q1715="",INPUT!P1715=0),"",(INPUT!P1715-INPUT!Q1715)/INPUT!P1715),"")</f>
        <v>0</v>
      </c>
    </row>
    <row r="1721" spans="1:12" ht="18" hidden="1" customHeight="1" x14ac:dyDescent="0.2">
      <c r="A1721" s="11">
        <f>IF(INPUT!M1716="","",INPUT!M1716)</f>
        <v>46042</v>
      </c>
      <c r="B1721" s="11">
        <f>IF(INPUT!M1716="","",INPUT!M1716-WEEKDAY(INPUT!M1716,2)+1)</f>
        <v>46041</v>
      </c>
      <c r="C1721" s="20">
        <f>IFERROR(_xlfn.ISOWEEKNUM(INPUT!M1716),"")</f>
        <v>4</v>
      </c>
      <c r="D1721" s="20">
        <f>IFERROR(YEAR(INPUT!M1716),"")</f>
        <v>2026</v>
      </c>
      <c r="E1721" t="str">
        <f>IF(INPUT!O1716="","",INPUT!O1716)</f>
        <v>GONZALO</v>
      </c>
      <c r="F1721" t="str">
        <f>IF(INPUT!N1716="","",INPUT!N1716)</f>
        <v>T</v>
      </c>
      <c r="G1721" t="str" cm="1">
        <f t="array" ref="G1721">IFERROR(VLOOKUP(INPUT!M1716&amp;INPUT!N1716,CHOOSE({1,2},INPUT!$A$3:$A$5000&amp;INPUT!$C$3:$C$5000,INPUT!$F$3:$F$5000),2,FALSE),"")</f>
        <v>PRE-TEMPORADA</v>
      </c>
      <c r="H1721" t="str" cm="1">
        <f t="array" ref="H1721">IFERROR(VLOOKUP(INPUT!M1716&amp;INPUT!N1716,CHOOSE({1,2},INPUT!$A$3:$A$5000&amp;INPUT!$C$3:$C$5000,INPUT!$D$3:$D$5000),2,FALSE),"")</f>
        <v>TEC-TAC</v>
      </c>
      <c r="I1721" s="46">
        <f>IF(INPUT!P1716="","",INPUT!P1716)</f>
        <v>83.5</v>
      </c>
      <c r="J1721" s="46">
        <f>IF(INPUT!Q1716="","",INPUT!Q1716)</f>
        <v>83.3</v>
      </c>
      <c r="K1721" s="46">
        <f>IFERROR(IF(OR(INPUT!P1716="",INPUT!Q1716=""),"",INPUT!P1716-INPUT!Q1716),"")</f>
        <v>0.20000000000000284</v>
      </c>
      <c r="L1721" s="48">
        <f>IFERROR(IF(OR(INPUT!P1716="",INPUT!Q1716="",INPUT!P1716=0),"",(INPUT!P1716-INPUT!Q1716)/INPUT!P1716),"")</f>
        <v>2.3952095808383576E-3</v>
      </c>
    </row>
    <row r="1722" spans="1:12" ht="18" hidden="1" customHeight="1" x14ac:dyDescent="0.2">
      <c r="A1722" s="11">
        <f>IF(INPUT!M1717="","",INPUT!M1717)</f>
        <v>46042</v>
      </c>
      <c r="B1722" s="11">
        <f>IF(INPUT!M1717="","",INPUT!M1717-WEEKDAY(INPUT!M1717,2)+1)</f>
        <v>46041</v>
      </c>
      <c r="C1722" s="20">
        <f>IFERROR(_xlfn.ISOWEEKNUM(INPUT!M1717),"")</f>
        <v>4</v>
      </c>
      <c r="D1722" s="20">
        <f>IFERROR(YEAR(INPUT!M1717),"")</f>
        <v>2026</v>
      </c>
      <c r="E1722" t="str">
        <f>IF(INPUT!O1717="","",INPUT!O1717)</f>
        <v>RUBIO</v>
      </c>
      <c r="F1722" t="str">
        <f>IF(INPUT!N1717="","",INPUT!N1717)</f>
        <v>T</v>
      </c>
      <c r="G1722" t="str" cm="1">
        <f t="array" ref="G1722">IFERROR(VLOOKUP(INPUT!M1717&amp;INPUT!N1717,CHOOSE({1,2},INPUT!$A$3:$A$5000&amp;INPUT!$C$3:$C$5000,INPUT!$F$3:$F$5000),2,FALSE),"")</f>
        <v>PRE-TEMPORADA</v>
      </c>
      <c r="H1722" t="str" cm="1">
        <f t="array" ref="H1722">IFERROR(VLOOKUP(INPUT!M1717&amp;INPUT!N1717,CHOOSE({1,2},INPUT!$A$3:$A$5000&amp;INPUT!$C$3:$C$5000,INPUT!$D$3:$D$5000),2,FALSE),"")</f>
        <v>TEC-TAC</v>
      </c>
      <c r="I1722" s="46">
        <f>IF(INPUT!P1717="","",INPUT!P1717)</f>
        <v>75.599999999999994</v>
      </c>
      <c r="J1722" s="46">
        <f>IF(INPUT!Q1717="","",INPUT!Q1717)</f>
        <v>75.5</v>
      </c>
      <c r="K1722" s="46">
        <f>IFERROR(IF(OR(INPUT!P1717="",INPUT!Q1717=""),"",INPUT!P1717-INPUT!Q1717),"")</f>
        <v>9.9999999999994316E-2</v>
      </c>
      <c r="L1722" s="48">
        <f>IFERROR(IF(OR(INPUT!P1717="",INPUT!Q1717="",INPUT!P1717=0),"",(INPUT!P1717-INPUT!Q1717)/INPUT!P1717),"")</f>
        <v>1.3227513227512477E-3</v>
      </c>
    </row>
    <row r="1723" spans="1:12" ht="18" hidden="1" customHeight="1" x14ac:dyDescent="0.2">
      <c r="A1723" s="11">
        <f>IF(INPUT!M1718="","",INPUT!M1718)</f>
        <v>46042</v>
      </c>
      <c r="B1723" s="11">
        <f>IF(INPUT!M1718="","",INPUT!M1718-WEEKDAY(INPUT!M1718,2)+1)</f>
        <v>46041</v>
      </c>
      <c r="C1723" s="20">
        <f>IFERROR(_xlfn.ISOWEEKNUM(INPUT!M1718),"")</f>
        <v>4</v>
      </c>
      <c r="D1723" s="20">
        <f>IFERROR(YEAR(INPUT!M1718),"")</f>
        <v>2026</v>
      </c>
      <c r="E1723" t="str">
        <f>IF(INPUT!O1718="","",INPUT!O1718)</f>
        <v>DANI</v>
      </c>
      <c r="F1723" t="str">
        <f>IF(INPUT!N1718="","",INPUT!N1718)</f>
        <v>T</v>
      </c>
      <c r="G1723" t="str" cm="1">
        <f t="array" ref="G1723">IFERROR(VLOOKUP(INPUT!M1718&amp;INPUT!N1718,CHOOSE({1,2},INPUT!$A$3:$A$5000&amp;INPUT!$C$3:$C$5000,INPUT!$F$3:$F$5000),2,FALSE),"")</f>
        <v>PRE-TEMPORADA</v>
      </c>
      <c r="H1723" t="str" cm="1">
        <f t="array" ref="H1723">IFERROR(VLOOKUP(INPUT!M1718&amp;INPUT!N1718,CHOOSE({1,2},INPUT!$A$3:$A$5000&amp;INPUT!$C$3:$C$5000,INPUT!$D$3:$D$5000),2,FALSE),"")</f>
        <v>TEC-TAC</v>
      </c>
      <c r="I1723" s="46">
        <f>IF(INPUT!P1718="","",INPUT!P1718)</f>
        <v>91.8</v>
      </c>
      <c r="J1723" s="46">
        <f>IF(INPUT!Q1718="","",INPUT!Q1718)</f>
        <v>92.1</v>
      </c>
      <c r="K1723" s="46">
        <f>IFERROR(IF(OR(INPUT!P1718="",INPUT!Q1718=""),"",INPUT!P1718-INPUT!Q1718),"")</f>
        <v>-0.29999999999999716</v>
      </c>
      <c r="L1723" s="48">
        <f>IFERROR(IF(OR(INPUT!P1718="",INPUT!Q1718="",INPUT!P1718=0),"",(INPUT!P1718-INPUT!Q1718)/INPUT!P1718),"")</f>
        <v>-3.2679738562091196E-3</v>
      </c>
    </row>
    <row r="1724" spans="1:12" ht="18" hidden="1" customHeight="1" x14ac:dyDescent="0.2">
      <c r="A1724" s="11">
        <f>IF(INPUT!M1719="","",INPUT!M1719)</f>
        <v>46042</v>
      </c>
      <c r="B1724" s="11">
        <f>IF(INPUT!M1719="","",INPUT!M1719-WEEKDAY(INPUT!M1719,2)+1)</f>
        <v>46041</v>
      </c>
      <c r="C1724" s="20">
        <f>IFERROR(_xlfn.ISOWEEKNUM(INPUT!M1719),"")</f>
        <v>4</v>
      </c>
      <c r="D1724" s="20">
        <f>IFERROR(YEAR(INPUT!M1719),"")</f>
        <v>2026</v>
      </c>
      <c r="E1724" t="str">
        <f>IF(INPUT!O1719="","",INPUT!O1719)</f>
        <v>JAIME</v>
      </c>
      <c r="F1724" t="str">
        <f>IF(INPUT!N1719="","",INPUT!N1719)</f>
        <v>T</v>
      </c>
      <c r="G1724" t="str" cm="1">
        <f t="array" ref="G1724">IFERROR(VLOOKUP(INPUT!M1719&amp;INPUT!N1719,CHOOSE({1,2},INPUT!$A$3:$A$5000&amp;INPUT!$C$3:$C$5000,INPUT!$F$3:$F$5000),2,FALSE),"")</f>
        <v>PRE-TEMPORADA</v>
      </c>
      <c r="H1724" t="str" cm="1">
        <f t="array" ref="H1724">IFERROR(VLOOKUP(INPUT!M1719&amp;INPUT!N1719,CHOOSE({1,2},INPUT!$A$3:$A$5000&amp;INPUT!$C$3:$C$5000,INPUT!$D$3:$D$5000),2,FALSE),"")</f>
        <v>TEC-TAC</v>
      </c>
      <c r="I1724" s="46">
        <f>IF(INPUT!P1719="","",INPUT!P1719)</f>
        <v>75.3</v>
      </c>
      <c r="J1724" s="46">
        <f>IF(INPUT!Q1719="","",INPUT!Q1719)</f>
        <v>75.2</v>
      </c>
      <c r="K1724" s="46">
        <f>IFERROR(IF(OR(INPUT!P1719="",INPUT!Q1719=""),"",INPUT!P1719-INPUT!Q1719),"")</f>
        <v>9.9999999999994316E-2</v>
      </c>
      <c r="L1724" s="48">
        <f>IFERROR(IF(OR(INPUT!P1719="",INPUT!Q1719="",INPUT!P1719=0),"",(INPUT!P1719-INPUT!Q1719)/INPUT!P1719),"")</f>
        <v>1.3280212483398981E-3</v>
      </c>
    </row>
    <row r="1725" spans="1:12" ht="18" hidden="1" customHeight="1" x14ac:dyDescent="0.2">
      <c r="A1725" s="11">
        <f>IF(INPUT!M1720="","",INPUT!M1720)</f>
        <v>46043</v>
      </c>
      <c r="B1725" s="11">
        <f>IF(INPUT!M1720="","",INPUT!M1720-WEEKDAY(INPUT!M1720,2)+1)</f>
        <v>46041</v>
      </c>
      <c r="C1725" s="20">
        <f>IFERROR(_xlfn.ISOWEEKNUM(INPUT!M1720),"")</f>
        <v>4</v>
      </c>
      <c r="D1725" s="20">
        <f>IFERROR(YEAR(INPUT!M1720),"")</f>
        <v>2026</v>
      </c>
      <c r="E1725" t="str">
        <f>IF(INPUT!O1720="","",INPUT!O1720)</f>
        <v>HERRERO</v>
      </c>
      <c r="F1725" t="str">
        <f>IF(INPUT!N1720="","",INPUT!N1720)</f>
        <v>M</v>
      </c>
      <c r="G1725" t="str" cm="1">
        <f t="array" ref="G1725">IFERROR(VLOOKUP(INPUT!M1720&amp;INPUT!N1720,CHOOSE({1,2},INPUT!$A$3:$A$5000&amp;INPUT!$C$3:$C$5000,INPUT!$F$3:$F$5000),2,FALSE),"")</f>
        <v>PRE-TEMPORADA</v>
      </c>
      <c r="H1725" t="str" cm="1">
        <f t="array" ref="H1725">IFERROR(VLOOKUP(INPUT!M1720&amp;INPUT!N1720,CHOOSE({1,2},INPUT!$A$3:$A$5000&amp;INPUT!$C$3:$C$5000,INPUT!$D$3:$D$5000),2,FALSE),"")</f>
        <v>TEC-TAC</v>
      </c>
      <c r="I1725" s="46">
        <f>IF(INPUT!P1720="","",INPUT!P1720)</f>
        <v>77</v>
      </c>
      <c r="J1725" s="46">
        <f>IF(INPUT!Q1720="","",INPUT!Q1720)</f>
        <v>77</v>
      </c>
      <c r="K1725" s="46">
        <f>IFERROR(IF(OR(INPUT!P1720="",INPUT!Q1720=""),"",INPUT!P1720-INPUT!Q1720),"")</f>
        <v>0</v>
      </c>
      <c r="L1725" s="48">
        <f>IFERROR(IF(OR(INPUT!P1720="",INPUT!Q1720="",INPUT!P1720=0),"",(INPUT!P1720-INPUT!Q1720)/INPUT!P1720),"")</f>
        <v>0</v>
      </c>
    </row>
    <row r="1726" spans="1:12" ht="18" hidden="1" customHeight="1" x14ac:dyDescent="0.2">
      <c r="A1726" s="11">
        <f>IF(INPUT!M1721="","",INPUT!M1721)</f>
        <v>46043</v>
      </c>
      <c r="B1726" s="11">
        <f>IF(INPUT!M1721="","",INPUT!M1721-WEEKDAY(INPUT!M1721,2)+1)</f>
        <v>46041</v>
      </c>
      <c r="C1726" s="20">
        <f>IFERROR(_xlfn.ISOWEEKNUM(INPUT!M1721),"")</f>
        <v>4</v>
      </c>
      <c r="D1726" s="20">
        <f>IFERROR(YEAR(INPUT!M1721),"")</f>
        <v>2026</v>
      </c>
      <c r="E1726" t="str">
        <f>IF(INPUT!O1721="","",INPUT!O1721)</f>
        <v>HERRERO</v>
      </c>
      <c r="F1726" t="str">
        <f>IF(INPUT!N1721="","",INPUT!N1721)</f>
        <v>T</v>
      </c>
      <c r="G1726" t="str" cm="1">
        <f t="array" ref="G1726">IFERROR(VLOOKUP(INPUT!M1721&amp;INPUT!N1721,CHOOSE({1,2},INPUT!$A$3:$A$5000&amp;INPUT!$C$3:$C$5000,INPUT!$F$3:$F$5000),2,FALSE),"")</f>
        <v>PRE-TEMPORADA</v>
      </c>
      <c r="H1726" t="str" cm="1">
        <f t="array" ref="H1726">IFERROR(VLOOKUP(INPUT!M1721&amp;INPUT!N1721,CHOOSE({1,2},INPUT!$A$3:$A$5000&amp;INPUT!$C$3:$C$5000,INPUT!$D$3:$D$5000),2,FALSE),"")</f>
        <v>TEC-TAC</v>
      </c>
      <c r="I1726" s="46">
        <f>IF(INPUT!P1721="","",INPUT!P1721)</f>
        <v>77</v>
      </c>
      <c r="J1726" s="46">
        <f>IF(INPUT!Q1721="","",INPUT!Q1721)</f>
        <v>76.099999999999994</v>
      </c>
      <c r="K1726" s="46">
        <f>IFERROR(IF(OR(INPUT!P1721="",INPUT!Q1721=""),"",INPUT!P1721-INPUT!Q1721),"")</f>
        <v>0.90000000000000568</v>
      </c>
      <c r="L1726" s="48">
        <f>IFERROR(IF(OR(INPUT!P1721="",INPUT!Q1721="",INPUT!P1721=0),"",(INPUT!P1721-INPUT!Q1721)/INPUT!P1721),"")</f>
        <v>1.1688311688311762E-2</v>
      </c>
    </row>
    <row r="1727" spans="1:12" ht="18" hidden="1" customHeight="1" x14ac:dyDescent="0.2">
      <c r="A1727" s="11">
        <f>IF(INPUT!M1722="","",INPUT!M1722)</f>
        <v>46043</v>
      </c>
      <c r="B1727" s="11">
        <f>IF(INPUT!M1722="","",INPUT!M1722-WEEKDAY(INPUT!M1722,2)+1)</f>
        <v>46041</v>
      </c>
      <c r="C1727" s="20">
        <f>IFERROR(_xlfn.ISOWEEKNUM(INPUT!M1722),"")</f>
        <v>4</v>
      </c>
      <c r="D1727" s="20">
        <f>IFERROR(YEAR(INPUT!M1722),"")</f>
        <v>2026</v>
      </c>
      <c r="E1727" t="str">
        <f>IF(INPUT!O1722="","",INPUT!O1722)</f>
        <v>GARCIA</v>
      </c>
      <c r="F1727" t="str">
        <f>IF(INPUT!N1722="","",INPUT!N1722)</f>
        <v>M</v>
      </c>
      <c r="G1727" t="str" cm="1">
        <f t="array" ref="G1727">IFERROR(VLOOKUP(INPUT!M1722&amp;INPUT!N1722,CHOOSE({1,2},INPUT!$A$3:$A$5000&amp;INPUT!$C$3:$C$5000,INPUT!$F$3:$F$5000),2,FALSE),"")</f>
        <v>PRE-TEMPORADA</v>
      </c>
      <c r="H1727" t="str" cm="1">
        <f t="array" ref="H1727">IFERROR(VLOOKUP(INPUT!M1722&amp;INPUT!N1722,CHOOSE({1,2},INPUT!$A$3:$A$5000&amp;INPUT!$C$3:$C$5000,INPUT!$D$3:$D$5000),2,FALSE),"")</f>
        <v>TEC-TAC</v>
      </c>
      <c r="I1727" s="46">
        <f>IF(INPUT!P1722="","",INPUT!P1722)</f>
        <v>79.400000000000006</v>
      </c>
      <c r="J1727" s="46">
        <f>IF(INPUT!Q1722="","",INPUT!Q1722)</f>
        <v>79</v>
      </c>
      <c r="K1727" s="46">
        <f>IFERROR(IF(OR(INPUT!P1722="",INPUT!Q1722=""),"",INPUT!P1722-INPUT!Q1722),"")</f>
        <v>0.40000000000000568</v>
      </c>
      <c r="L1727" s="48">
        <f>IFERROR(IF(OR(INPUT!P1722="",INPUT!Q1722="",INPUT!P1722=0),"",(INPUT!P1722-INPUT!Q1722)/INPUT!P1722),"")</f>
        <v>5.0377833753149324E-3</v>
      </c>
    </row>
    <row r="1728" spans="1:12" ht="18" hidden="1" customHeight="1" x14ac:dyDescent="0.2">
      <c r="A1728" s="11">
        <f>IF(INPUT!M1723="","",INPUT!M1723)</f>
        <v>46043</v>
      </c>
      <c r="B1728" s="11">
        <f>IF(INPUT!M1723="","",INPUT!M1723-WEEKDAY(INPUT!M1723,2)+1)</f>
        <v>46041</v>
      </c>
      <c r="C1728" s="20">
        <f>IFERROR(_xlfn.ISOWEEKNUM(INPUT!M1723),"")</f>
        <v>4</v>
      </c>
      <c r="D1728" s="20">
        <f>IFERROR(YEAR(INPUT!M1723),"")</f>
        <v>2026</v>
      </c>
      <c r="E1728" t="str">
        <f>IF(INPUT!O1723="","",INPUT!O1723)</f>
        <v>GARCIA</v>
      </c>
      <c r="F1728" t="str">
        <f>IF(INPUT!N1723="","",INPUT!N1723)</f>
        <v>T</v>
      </c>
      <c r="G1728" t="str" cm="1">
        <f t="array" ref="G1728">IFERROR(VLOOKUP(INPUT!M1723&amp;INPUT!N1723,CHOOSE({1,2},INPUT!$A$3:$A$5000&amp;INPUT!$C$3:$C$5000,INPUT!$F$3:$F$5000),2,FALSE),"")</f>
        <v>PRE-TEMPORADA</v>
      </c>
      <c r="H1728" t="str" cm="1">
        <f t="array" ref="H1728">IFERROR(VLOOKUP(INPUT!M1723&amp;INPUT!N1723,CHOOSE({1,2},INPUT!$A$3:$A$5000&amp;INPUT!$C$3:$C$5000,INPUT!$D$3:$D$5000),2,FALSE),"")</f>
        <v>TEC-TAC</v>
      </c>
      <c r="I1728" s="46">
        <f>IF(INPUT!P1723="","",INPUT!P1723)</f>
        <v>79.3</v>
      </c>
      <c r="J1728" s="46">
        <f>IF(INPUT!Q1723="","",INPUT!Q1723)</f>
        <v>79</v>
      </c>
      <c r="K1728" s="46">
        <f>IFERROR(IF(OR(INPUT!P1723="",INPUT!Q1723=""),"",INPUT!P1723-INPUT!Q1723),"")</f>
        <v>0.29999999999999716</v>
      </c>
      <c r="L1728" s="48">
        <f>IFERROR(IF(OR(INPUT!P1723="",INPUT!Q1723="",INPUT!P1723=0),"",(INPUT!P1723-INPUT!Q1723)/INPUT!P1723),"")</f>
        <v>3.7831021437578459E-3</v>
      </c>
    </row>
    <row r="1729" spans="1:12" ht="18" hidden="1" customHeight="1" x14ac:dyDescent="0.2">
      <c r="A1729" s="11">
        <f>IF(INPUT!M1724="","",INPUT!M1724)</f>
        <v>46043</v>
      </c>
      <c r="B1729" s="11">
        <f>IF(INPUT!M1724="","",INPUT!M1724-WEEKDAY(INPUT!M1724,2)+1)</f>
        <v>46041</v>
      </c>
      <c r="C1729" s="20">
        <f>IFERROR(_xlfn.ISOWEEKNUM(INPUT!M1724),"")</f>
        <v>4</v>
      </c>
      <c r="D1729" s="20">
        <f>IFERROR(YEAR(INPUT!M1724),"")</f>
        <v>2026</v>
      </c>
      <c r="E1729" t="str">
        <f>IF(INPUT!O1724="","",INPUT!O1724)</f>
        <v>CHAGUINHA</v>
      </c>
      <c r="F1729" t="str">
        <f>IF(INPUT!N1724="","",INPUT!N1724)</f>
        <v>M</v>
      </c>
      <c r="G1729" t="str" cm="1">
        <f t="array" ref="G1729">IFERROR(VLOOKUP(INPUT!M1724&amp;INPUT!N1724,CHOOSE({1,2},INPUT!$A$3:$A$5000&amp;INPUT!$C$3:$C$5000,INPUT!$F$3:$F$5000),2,FALSE),"")</f>
        <v>PRE-TEMPORADA</v>
      </c>
      <c r="H1729" t="str" cm="1">
        <f t="array" ref="H1729">IFERROR(VLOOKUP(INPUT!M1724&amp;INPUT!N1724,CHOOSE({1,2},INPUT!$A$3:$A$5000&amp;INPUT!$C$3:$C$5000,INPUT!$D$3:$D$5000),2,FALSE),"")</f>
        <v>TEC-TAC</v>
      </c>
      <c r="I1729" s="46">
        <f>IF(INPUT!P1724="","",INPUT!P1724)</f>
        <v>69.5</v>
      </c>
      <c r="J1729" s="46">
        <f>IF(INPUT!Q1724="","",INPUT!Q1724)</f>
        <v>68.5</v>
      </c>
      <c r="K1729" s="46">
        <f>IFERROR(IF(OR(INPUT!P1724="",INPUT!Q1724=""),"",INPUT!P1724-INPUT!Q1724),"")</f>
        <v>1</v>
      </c>
      <c r="L1729" s="48">
        <f>IFERROR(IF(OR(INPUT!P1724="",INPUT!Q1724="",INPUT!P1724=0),"",(INPUT!P1724-INPUT!Q1724)/INPUT!P1724),"")</f>
        <v>1.4388489208633094E-2</v>
      </c>
    </row>
    <row r="1730" spans="1:12" ht="18" hidden="1" customHeight="1" x14ac:dyDescent="0.2">
      <c r="A1730" s="11">
        <f>IF(INPUT!M1725="","",INPUT!M1725)</f>
        <v>46043</v>
      </c>
      <c r="B1730" s="11">
        <f>IF(INPUT!M1725="","",INPUT!M1725-WEEKDAY(INPUT!M1725,2)+1)</f>
        <v>46041</v>
      </c>
      <c r="C1730" s="20">
        <f>IFERROR(_xlfn.ISOWEEKNUM(INPUT!M1725),"")</f>
        <v>4</v>
      </c>
      <c r="D1730" s="20">
        <f>IFERROR(YEAR(INPUT!M1725),"")</f>
        <v>2026</v>
      </c>
      <c r="E1730" t="str">
        <f>IF(INPUT!O1725="","",INPUT!O1725)</f>
        <v>CHAGUINHA</v>
      </c>
      <c r="F1730" t="str">
        <f>IF(INPUT!N1725="","",INPUT!N1725)</f>
        <v>T</v>
      </c>
      <c r="G1730" t="str" cm="1">
        <f t="array" ref="G1730">IFERROR(VLOOKUP(INPUT!M1725&amp;INPUT!N1725,CHOOSE({1,2},INPUT!$A$3:$A$5000&amp;INPUT!$C$3:$C$5000,INPUT!$F$3:$F$5000),2,FALSE),"")</f>
        <v>PRE-TEMPORADA</v>
      </c>
      <c r="H1730" t="str" cm="1">
        <f t="array" ref="H1730">IFERROR(VLOOKUP(INPUT!M1725&amp;INPUT!N1725,CHOOSE({1,2},INPUT!$A$3:$A$5000&amp;INPUT!$C$3:$C$5000,INPUT!$D$3:$D$5000),2,FALSE),"")</f>
        <v>TEC-TAC</v>
      </c>
      <c r="I1730" s="46">
        <f>IF(INPUT!P1725="","",INPUT!P1725)</f>
        <v>69</v>
      </c>
      <c r="J1730" s="46">
        <f>IF(INPUT!Q1725="","",INPUT!Q1725)</f>
        <v>68.099999999999994</v>
      </c>
      <c r="K1730" s="46">
        <f>IFERROR(IF(OR(INPUT!P1725="",INPUT!Q1725=""),"",INPUT!P1725-INPUT!Q1725),"")</f>
        <v>0.90000000000000568</v>
      </c>
      <c r="L1730" s="48">
        <f>IFERROR(IF(OR(INPUT!P1725="",INPUT!Q1725="",INPUT!P1725=0),"",(INPUT!P1725-INPUT!Q1725)/INPUT!P1725),"")</f>
        <v>1.3043478260869648E-2</v>
      </c>
    </row>
    <row r="1731" spans="1:12" ht="18" hidden="1" customHeight="1" x14ac:dyDescent="0.2">
      <c r="A1731" s="11">
        <f>IF(INPUT!M1726="","",INPUT!M1726)</f>
        <v>46043</v>
      </c>
      <c r="B1731" s="11">
        <f>IF(INPUT!M1726="","",INPUT!M1726-WEEKDAY(INPUT!M1726,2)+1)</f>
        <v>46041</v>
      </c>
      <c r="C1731" s="20">
        <f>IFERROR(_xlfn.ISOWEEKNUM(INPUT!M1726),"")</f>
        <v>4</v>
      </c>
      <c r="D1731" s="20">
        <f>IFERROR(YEAR(INPUT!M1726),"")</f>
        <v>2026</v>
      </c>
      <c r="E1731" t="str">
        <f>IF(INPUT!O1726="","",INPUT!O1726)</f>
        <v>RAUL</v>
      </c>
      <c r="F1731" t="str">
        <f>IF(INPUT!N1726="","",INPUT!N1726)</f>
        <v>M</v>
      </c>
      <c r="G1731" t="str" cm="1">
        <f t="array" ref="G1731">IFERROR(VLOOKUP(INPUT!M1726&amp;INPUT!N1726,CHOOSE({1,2},INPUT!$A$3:$A$5000&amp;INPUT!$C$3:$C$5000,INPUT!$F$3:$F$5000),2,FALSE),"")</f>
        <v>PRE-TEMPORADA</v>
      </c>
      <c r="H1731" t="str" cm="1">
        <f t="array" ref="H1731">IFERROR(VLOOKUP(INPUT!M1726&amp;INPUT!N1726,CHOOSE({1,2},INPUT!$A$3:$A$5000&amp;INPUT!$C$3:$C$5000,INPUT!$D$3:$D$5000),2,FALSE),"")</f>
        <v>TEC-TAC</v>
      </c>
      <c r="I1731" s="46">
        <f>IF(INPUT!P1726="","",INPUT!P1726)</f>
        <v>81</v>
      </c>
      <c r="J1731" s="46">
        <f>IF(INPUT!Q1726="","",INPUT!Q1726)</f>
        <v>81.099999999999994</v>
      </c>
      <c r="K1731" s="46">
        <f>IFERROR(IF(OR(INPUT!P1726="",INPUT!Q1726=""),"",INPUT!P1726-INPUT!Q1726),"")</f>
        <v>-9.9999999999994316E-2</v>
      </c>
      <c r="L1731" s="48">
        <f>IFERROR(IF(OR(INPUT!P1726="",INPUT!Q1726="",INPUT!P1726=0),"",(INPUT!P1726-INPUT!Q1726)/INPUT!P1726),"")</f>
        <v>-1.2345679012344976E-3</v>
      </c>
    </row>
    <row r="1732" spans="1:12" ht="18" hidden="1" customHeight="1" x14ac:dyDescent="0.2">
      <c r="A1732" s="11">
        <f>IF(INPUT!M1727="","",INPUT!M1727)</f>
        <v>46043</v>
      </c>
      <c r="B1732" s="11">
        <f>IF(INPUT!M1727="","",INPUT!M1727-WEEKDAY(INPUT!M1727,2)+1)</f>
        <v>46041</v>
      </c>
      <c r="C1732" s="20">
        <f>IFERROR(_xlfn.ISOWEEKNUM(INPUT!M1727),"")</f>
        <v>4</v>
      </c>
      <c r="D1732" s="20">
        <f>IFERROR(YEAR(INPUT!M1727),"")</f>
        <v>2026</v>
      </c>
      <c r="E1732" t="str">
        <f>IF(INPUT!O1727="","",INPUT!O1727)</f>
        <v>RAUL</v>
      </c>
      <c r="F1732" t="str">
        <f>IF(INPUT!N1727="","",INPUT!N1727)</f>
        <v>T</v>
      </c>
      <c r="G1732" t="str" cm="1">
        <f t="array" ref="G1732">IFERROR(VLOOKUP(INPUT!M1727&amp;INPUT!N1727,CHOOSE({1,2},INPUT!$A$3:$A$5000&amp;INPUT!$C$3:$C$5000,INPUT!$F$3:$F$5000),2,FALSE),"")</f>
        <v>PRE-TEMPORADA</v>
      </c>
      <c r="H1732" t="str" cm="1">
        <f t="array" ref="H1732">IFERROR(VLOOKUP(INPUT!M1727&amp;INPUT!N1727,CHOOSE({1,2},INPUT!$A$3:$A$5000&amp;INPUT!$C$3:$C$5000,INPUT!$D$3:$D$5000),2,FALSE),"")</f>
        <v>TEC-TAC</v>
      </c>
      <c r="I1732" s="46">
        <f>IF(INPUT!P1727="","",INPUT!P1727)</f>
        <v>81</v>
      </c>
      <c r="J1732" s="46">
        <f>IF(INPUT!Q1727="","",INPUT!Q1727)</f>
        <v>81.5</v>
      </c>
      <c r="K1732" s="46">
        <f>IFERROR(IF(OR(INPUT!P1727="",INPUT!Q1727=""),"",INPUT!P1727-INPUT!Q1727),"")</f>
        <v>-0.5</v>
      </c>
      <c r="L1732" s="48">
        <f>IFERROR(IF(OR(INPUT!P1727="",INPUT!Q1727="",INPUT!P1727=0),"",(INPUT!P1727-INPUT!Q1727)/INPUT!P1727),"")</f>
        <v>-6.1728395061728392E-3</v>
      </c>
    </row>
    <row r="1733" spans="1:12" ht="18" hidden="1" customHeight="1" x14ac:dyDescent="0.2">
      <c r="A1733" s="11">
        <f>IF(INPUT!M1728="","",INPUT!M1728)</f>
        <v>46043</v>
      </c>
      <c r="B1733" s="11">
        <f>IF(INPUT!M1728="","",INPUT!M1728-WEEKDAY(INPUT!M1728,2)+1)</f>
        <v>46041</v>
      </c>
      <c r="C1733" s="20">
        <f>IFERROR(_xlfn.ISOWEEKNUM(INPUT!M1728),"")</f>
        <v>4</v>
      </c>
      <c r="D1733" s="20">
        <f>IFERROR(YEAR(INPUT!M1728),"")</f>
        <v>2026</v>
      </c>
      <c r="E1733" t="str">
        <f>IF(INPUT!O1728="","",INPUT!O1728)</f>
        <v>JAVI</v>
      </c>
      <c r="F1733" t="str">
        <f>IF(INPUT!N1728="","",INPUT!N1728)</f>
        <v>M</v>
      </c>
      <c r="G1733" t="str" cm="1">
        <f t="array" ref="G1733">IFERROR(VLOOKUP(INPUT!M1728&amp;INPUT!N1728,CHOOSE({1,2},INPUT!$A$3:$A$5000&amp;INPUT!$C$3:$C$5000,INPUT!$F$3:$F$5000),2,FALSE),"")</f>
        <v>PRE-TEMPORADA</v>
      </c>
      <c r="H1733" t="str" cm="1">
        <f t="array" ref="H1733">IFERROR(VLOOKUP(INPUT!M1728&amp;INPUT!N1728,CHOOSE({1,2},INPUT!$A$3:$A$5000&amp;INPUT!$C$3:$C$5000,INPUT!$D$3:$D$5000),2,FALSE),"")</f>
        <v>TEC-TAC</v>
      </c>
      <c r="I1733" s="46">
        <f>IF(INPUT!P1728="","",INPUT!P1728)</f>
        <v>78.8</v>
      </c>
      <c r="J1733" s="46">
        <f>IF(INPUT!Q1728="","",INPUT!Q1728)</f>
        <v>78.8</v>
      </c>
      <c r="K1733" s="46">
        <f>IFERROR(IF(OR(INPUT!P1728="",INPUT!Q1728=""),"",INPUT!P1728-INPUT!Q1728),"")</f>
        <v>0</v>
      </c>
      <c r="L1733" s="48">
        <f>IFERROR(IF(OR(INPUT!P1728="",INPUT!Q1728="",INPUT!P1728=0),"",(INPUT!P1728-INPUT!Q1728)/INPUT!P1728),"")</f>
        <v>0</v>
      </c>
    </row>
    <row r="1734" spans="1:12" ht="18" hidden="1" customHeight="1" x14ac:dyDescent="0.2">
      <c r="A1734" s="11">
        <f>IF(INPUT!M1729="","",INPUT!M1729)</f>
        <v>46043</v>
      </c>
      <c r="B1734" s="11">
        <f>IF(INPUT!M1729="","",INPUT!M1729-WEEKDAY(INPUT!M1729,2)+1)</f>
        <v>46041</v>
      </c>
      <c r="C1734" s="20">
        <f>IFERROR(_xlfn.ISOWEEKNUM(INPUT!M1729),"")</f>
        <v>4</v>
      </c>
      <c r="D1734" s="20">
        <f>IFERROR(YEAR(INPUT!M1729),"")</f>
        <v>2026</v>
      </c>
      <c r="E1734" t="str">
        <f>IF(INPUT!O1729="","",INPUT!O1729)</f>
        <v>JAVI</v>
      </c>
      <c r="F1734" t="str">
        <f>IF(INPUT!N1729="","",INPUT!N1729)</f>
        <v>T</v>
      </c>
      <c r="G1734" t="str" cm="1">
        <f t="array" ref="G1734">IFERROR(VLOOKUP(INPUT!M1729&amp;INPUT!N1729,CHOOSE({1,2},INPUT!$A$3:$A$5000&amp;INPUT!$C$3:$C$5000,INPUT!$F$3:$F$5000),2,FALSE),"")</f>
        <v>PRE-TEMPORADA</v>
      </c>
      <c r="H1734" t="str" cm="1">
        <f t="array" ref="H1734">IFERROR(VLOOKUP(INPUT!M1729&amp;INPUT!N1729,CHOOSE({1,2},INPUT!$A$3:$A$5000&amp;INPUT!$C$3:$C$5000,INPUT!$D$3:$D$5000),2,FALSE),"")</f>
        <v>TEC-TAC</v>
      </c>
      <c r="I1734" s="46">
        <f>IF(INPUT!P1729="","",INPUT!P1729)</f>
        <v>78.7</v>
      </c>
      <c r="J1734" s="46">
        <f>IF(INPUT!Q1729="","",INPUT!Q1729)</f>
        <v>78.400000000000006</v>
      </c>
      <c r="K1734" s="46">
        <f>IFERROR(IF(OR(INPUT!P1729="",INPUT!Q1729=""),"",INPUT!P1729-INPUT!Q1729),"")</f>
        <v>0.29999999999999716</v>
      </c>
      <c r="L1734" s="48">
        <f>IFERROR(IF(OR(INPUT!P1729="",INPUT!Q1729="",INPUT!P1729=0),"",(INPUT!P1729-INPUT!Q1729)/INPUT!P1729),"")</f>
        <v>3.8119440914866219E-3</v>
      </c>
    </row>
    <row r="1735" spans="1:12" ht="18" hidden="1" customHeight="1" x14ac:dyDescent="0.2">
      <c r="A1735" s="11">
        <f>IF(INPUT!M1730="","",INPUT!M1730)</f>
        <v>46043</v>
      </c>
      <c r="B1735" s="11">
        <f>IF(INPUT!M1730="","",INPUT!M1730-WEEKDAY(INPUT!M1730,2)+1)</f>
        <v>46041</v>
      </c>
      <c r="C1735" s="20">
        <f>IFERROR(_xlfn.ISOWEEKNUM(INPUT!M1730),"")</f>
        <v>4</v>
      </c>
      <c r="D1735" s="20">
        <f>IFERROR(YEAR(INPUT!M1730),"")</f>
        <v>2026</v>
      </c>
      <c r="E1735" t="str">
        <f>IF(INPUT!O1730="","",INPUT!O1730)</f>
        <v>PANI</v>
      </c>
      <c r="F1735" t="str">
        <f>IF(INPUT!N1730="","",INPUT!N1730)</f>
        <v>M</v>
      </c>
      <c r="G1735" t="str" cm="1">
        <f t="array" ref="G1735">IFERROR(VLOOKUP(INPUT!M1730&amp;INPUT!N1730,CHOOSE({1,2},INPUT!$A$3:$A$5000&amp;INPUT!$C$3:$C$5000,INPUT!$F$3:$F$5000),2,FALSE),"")</f>
        <v>PRE-TEMPORADA</v>
      </c>
      <c r="H1735" t="str" cm="1">
        <f t="array" ref="H1735">IFERROR(VLOOKUP(INPUT!M1730&amp;INPUT!N1730,CHOOSE({1,2},INPUT!$A$3:$A$5000&amp;INPUT!$C$3:$C$5000,INPUT!$D$3:$D$5000),2,FALSE),"")</f>
        <v>TEC-TAC</v>
      </c>
      <c r="I1735" s="46">
        <f>IF(INPUT!P1730="","",INPUT!P1730)</f>
        <v>67.7</v>
      </c>
      <c r="J1735" s="46">
        <f>IF(INPUT!Q1730="","",INPUT!Q1730)</f>
        <v>66.900000000000006</v>
      </c>
      <c r="K1735" s="46">
        <f>IFERROR(IF(OR(INPUT!P1730="",INPUT!Q1730=""),"",INPUT!P1730-INPUT!Q1730),"")</f>
        <v>0.79999999999999716</v>
      </c>
      <c r="L1735" s="48">
        <f>IFERROR(IF(OR(INPUT!P1730="",INPUT!Q1730="",INPUT!P1730=0),"",(INPUT!P1730-INPUT!Q1730)/INPUT!P1730),"")</f>
        <v>1.1816838995568643E-2</v>
      </c>
    </row>
    <row r="1736" spans="1:12" ht="18" customHeight="1" x14ac:dyDescent="0.2">
      <c r="A1736" s="11">
        <f>IF(INPUT!M1731="","",INPUT!M1731)</f>
        <v>46043</v>
      </c>
      <c r="B1736" s="11">
        <f>IF(INPUT!M1731="","",INPUT!M1731-WEEKDAY(INPUT!M1731,2)+1)</f>
        <v>46041</v>
      </c>
      <c r="C1736" s="20">
        <f>IFERROR(_xlfn.ISOWEEKNUM(INPUT!M1731),"")</f>
        <v>4</v>
      </c>
      <c r="D1736" s="20">
        <f>IFERROR(YEAR(INPUT!M1731),"")</f>
        <v>2026</v>
      </c>
      <c r="E1736" t="str">
        <f>IF(INPUT!O1731="","",INPUT!O1731)</f>
        <v>PANI</v>
      </c>
      <c r="F1736" t="str">
        <f>IF(INPUT!N1731="","",INPUT!N1731)</f>
        <v>T</v>
      </c>
      <c r="G1736" t="str" cm="1">
        <f t="array" ref="G1736">IFERROR(VLOOKUP(INPUT!M1731&amp;INPUT!N1731,CHOOSE({1,2},INPUT!$A$3:$A$5000&amp;INPUT!$C$3:$C$5000,INPUT!$F$3:$F$5000),2,FALSE),"")</f>
        <v>PRE-TEMPORADA</v>
      </c>
      <c r="H1736" t="str" cm="1">
        <f t="array" ref="H1736">IFERROR(VLOOKUP(INPUT!M1731&amp;INPUT!N1731,CHOOSE({1,2},INPUT!$A$3:$A$5000&amp;INPUT!$C$3:$C$5000,INPUT!$D$3:$D$5000),2,FALSE),"")</f>
        <v>TEC-TAC</v>
      </c>
      <c r="I1736" s="46">
        <f>IF(INPUT!P1731="","",INPUT!P1731)</f>
        <v>68</v>
      </c>
      <c r="J1736" s="46">
        <f>IF(INPUT!Q1731="","",INPUT!Q1731)</f>
        <v>67</v>
      </c>
      <c r="K1736" s="46">
        <f>IFERROR(IF(OR(INPUT!P1731="",INPUT!Q1731=""),"",INPUT!P1731-INPUT!Q1731),"")</f>
        <v>1</v>
      </c>
      <c r="L1736" s="48">
        <f>IFERROR(IF(OR(INPUT!P1731="",INPUT!Q1731="",INPUT!P1731=0),"",(INPUT!P1731-INPUT!Q1731)/INPUT!P1731),"")</f>
        <v>1.4705882352941176E-2</v>
      </c>
    </row>
    <row r="1737" spans="1:12" ht="18" customHeight="1" x14ac:dyDescent="0.2">
      <c r="A1737" s="11">
        <f>IF(INPUT!M1732="","",INPUT!M1732)</f>
        <v>46043</v>
      </c>
      <c r="B1737" s="11">
        <f>IF(INPUT!M1732="","",INPUT!M1732-WEEKDAY(INPUT!M1732,2)+1)</f>
        <v>46041</v>
      </c>
      <c r="C1737" s="20">
        <f>IFERROR(_xlfn.ISOWEEKNUM(INPUT!M1732),"")</f>
        <v>4</v>
      </c>
      <c r="D1737" s="20">
        <f>IFERROR(YEAR(INPUT!M1732),"")</f>
        <v>2026</v>
      </c>
      <c r="E1737" t="str">
        <f>IF(INPUT!O1732="","",INPUT!O1732)</f>
        <v>PIRATA</v>
      </c>
      <c r="F1737" t="str">
        <f>IF(INPUT!N1732="","",INPUT!N1732)</f>
        <v>M</v>
      </c>
      <c r="G1737" t="str" cm="1">
        <f t="array" ref="G1737">IFERROR(VLOOKUP(INPUT!M1732&amp;INPUT!N1732,CHOOSE({1,2},INPUT!$A$3:$A$5000&amp;INPUT!$C$3:$C$5000,INPUT!$F$3:$F$5000),2,FALSE),"")</f>
        <v>PRE-TEMPORADA</v>
      </c>
      <c r="H1737" t="str" cm="1">
        <f t="array" ref="H1737">IFERROR(VLOOKUP(INPUT!M1732&amp;INPUT!N1732,CHOOSE({1,2},INPUT!$A$3:$A$5000&amp;INPUT!$C$3:$C$5000,INPUT!$D$3:$D$5000),2,FALSE),"")</f>
        <v>TEC-TAC</v>
      </c>
      <c r="I1737" s="46">
        <f>IF(INPUT!P1732="","",INPUT!P1732)</f>
        <v>75</v>
      </c>
      <c r="J1737" s="46">
        <f>IF(INPUT!Q1732="","",INPUT!Q1732)</f>
        <v>74.400000000000006</v>
      </c>
      <c r="K1737" s="46">
        <f>IFERROR(IF(OR(INPUT!P1732="",INPUT!Q1732=""),"",INPUT!P1732-INPUT!Q1732),"")</f>
        <v>0.59999999999999432</v>
      </c>
      <c r="L1737" s="48">
        <f>IFERROR(IF(OR(INPUT!P1732="",INPUT!Q1732="",INPUT!P1732=0),"",(INPUT!P1732-INPUT!Q1732)/INPUT!P1732),"")</f>
        <v>7.9999999999999238E-3</v>
      </c>
    </row>
    <row r="1738" spans="1:12" ht="18" customHeight="1" x14ac:dyDescent="0.2">
      <c r="A1738" s="11">
        <f>IF(INPUT!M1733="","",INPUT!M1733)</f>
        <v>46043</v>
      </c>
      <c r="B1738" s="11">
        <f>IF(INPUT!M1733="","",INPUT!M1733-WEEKDAY(INPUT!M1733,2)+1)</f>
        <v>46041</v>
      </c>
      <c r="C1738" s="20">
        <f>IFERROR(_xlfn.ISOWEEKNUM(INPUT!M1733),"")</f>
        <v>4</v>
      </c>
      <c r="D1738" s="20">
        <f>IFERROR(YEAR(INPUT!M1733),"")</f>
        <v>2026</v>
      </c>
      <c r="E1738" t="str">
        <f>IF(INPUT!O1733="","",INPUT!O1733)</f>
        <v>PIRATA</v>
      </c>
      <c r="F1738" t="str">
        <f>IF(INPUT!N1733="","",INPUT!N1733)</f>
        <v>T</v>
      </c>
      <c r="G1738" t="str" cm="1">
        <f t="array" ref="G1738">IFERROR(VLOOKUP(INPUT!M1733&amp;INPUT!N1733,CHOOSE({1,2},INPUT!$A$3:$A$5000&amp;INPUT!$C$3:$C$5000,INPUT!$F$3:$F$5000),2,FALSE),"")</f>
        <v>PRE-TEMPORADA</v>
      </c>
      <c r="H1738" t="str" cm="1">
        <f t="array" ref="H1738">IFERROR(VLOOKUP(INPUT!M1733&amp;INPUT!N1733,CHOOSE({1,2},INPUT!$A$3:$A$5000&amp;INPUT!$C$3:$C$5000,INPUT!$D$3:$D$5000),2,FALSE),"")</f>
        <v>TEC-TAC</v>
      </c>
      <c r="I1738" s="46">
        <f>IF(INPUT!P1733="","",INPUT!P1733)</f>
        <v>75.3</v>
      </c>
      <c r="J1738" s="46">
        <f>IF(INPUT!Q1733="","",INPUT!Q1733)</f>
        <v>75.400000000000006</v>
      </c>
      <c r="K1738" s="46">
        <f>IFERROR(IF(OR(INPUT!P1733="",INPUT!Q1733=""),"",INPUT!P1733-INPUT!Q1733),"")</f>
        <v>-0.10000000000000853</v>
      </c>
      <c r="L1738" s="48">
        <f>IFERROR(IF(OR(INPUT!P1733="",INPUT!Q1733="",INPUT!P1733=0),"",(INPUT!P1733-INPUT!Q1733)/INPUT!P1733),"")</f>
        <v>-1.3280212483400868E-3</v>
      </c>
    </row>
    <row r="1739" spans="1:12" ht="18" customHeight="1" x14ac:dyDescent="0.2">
      <c r="A1739" s="11">
        <f>IF(INPUT!M1734="","",INPUT!M1734)</f>
        <v>46043</v>
      </c>
      <c r="B1739" s="11">
        <f>IF(INPUT!M1734="","",INPUT!M1734-WEEKDAY(INPUT!M1734,2)+1)</f>
        <v>46041</v>
      </c>
      <c r="C1739" s="20">
        <f>IFERROR(_xlfn.ISOWEEKNUM(INPUT!M1734),"")</f>
        <v>4</v>
      </c>
      <c r="D1739" s="20">
        <f>IFERROR(YEAR(INPUT!M1734),"")</f>
        <v>2026</v>
      </c>
      <c r="E1739" t="str">
        <f>IF(INPUT!O1734="","",INPUT!O1734)</f>
        <v>BARONA</v>
      </c>
      <c r="F1739" t="str">
        <f>IF(INPUT!N1734="","",INPUT!N1734)</f>
        <v>M</v>
      </c>
      <c r="G1739" t="str" cm="1">
        <f t="array" ref="G1739">IFERROR(VLOOKUP(INPUT!M1734&amp;INPUT!N1734,CHOOSE({1,2},INPUT!$A$3:$A$5000&amp;INPUT!$C$3:$C$5000,INPUT!$F$3:$F$5000),2,FALSE),"")</f>
        <v>PRE-TEMPORADA</v>
      </c>
      <c r="H1739" t="str" cm="1">
        <f t="array" ref="H1739">IFERROR(VLOOKUP(INPUT!M1734&amp;INPUT!N1734,CHOOSE({1,2},INPUT!$A$3:$A$5000&amp;INPUT!$C$3:$C$5000,INPUT!$D$3:$D$5000),2,FALSE),"")</f>
        <v>TEC-TAC</v>
      </c>
      <c r="I1739" s="46">
        <f>IF(INPUT!P1734="","",INPUT!P1734)</f>
        <v>71</v>
      </c>
      <c r="J1739" s="46">
        <f>IF(INPUT!Q1734="","",INPUT!Q1734)</f>
        <v>71</v>
      </c>
      <c r="K1739" s="46">
        <f>IFERROR(IF(OR(INPUT!P1734="",INPUT!Q1734=""),"",INPUT!P1734-INPUT!Q1734),"")</f>
        <v>0</v>
      </c>
      <c r="L1739" s="48">
        <f>IFERROR(IF(OR(INPUT!P1734="",INPUT!Q1734="",INPUT!P1734=0),"",(INPUT!P1734-INPUT!Q1734)/INPUT!P1734),"")</f>
        <v>0</v>
      </c>
    </row>
    <row r="1740" spans="1:12" ht="18" customHeight="1" x14ac:dyDescent="0.2">
      <c r="A1740" s="11">
        <f>IF(INPUT!M1735="","",INPUT!M1735)</f>
        <v>46043</v>
      </c>
      <c r="B1740" s="11">
        <f>IF(INPUT!M1735="","",INPUT!M1735-WEEKDAY(INPUT!M1735,2)+1)</f>
        <v>46041</v>
      </c>
      <c r="C1740" s="20">
        <f>IFERROR(_xlfn.ISOWEEKNUM(INPUT!M1735),"")</f>
        <v>4</v>
      </c>
      <c r="D1740" s="20">
        <f>IFERROR(YEAR(INPUT!M1735),"")</f>
        <v>2026</v>
      </c>
      <c r="E1740" t="str">
        <f>IF(INPUT!O1735="","",INPUT!O1735)</f>
        <v>BARONA</v>
      </c>
      <c r="F1740" t="str">
        <f>IF(INPUT!N1735="","",INPUT!N1735)</f>
        <v>T</v>
      </c>
      <c r="G1740" t="str" cm="1">
        <f t="array" ref="G1740">IFERROR(VLOOKUP(INPUT!M1735&amp;INPUT!N1735,CHOOSE({1,2},INPUT!$A$3:$A$5000&amp;INPUT!$C$3:$C$5000,INPUT!$F$3:$F$5000),2,FALSE),"")</f>
        <v>PRE-TEMPORADA</v>
      </c>
      <c r="H1740" t="str" cm="1">
        <f t="array" ref="H1740">IFERROR(VLOOKUP(INPUT!M1735&amp;INPUT!N1735,CHOOSE({1,2},INPUT!$A$3:$A$5000&amp;INPUT!$C$3:$C$5000,INPUT!$D$3:$D$5000),2,FALSE),"")</f>
        <v>TEC-TAC</v>
      </c>
      <c r="I1740" s="46">
        <f>IF(INPUT!P1735="","",INPUT!P1735)</f>
        <v>71</v>
      </c>
      <c r="J1740" s="46">
        <f>IF(INPUT!Q1735="","",INPUT!Q1735)</f>
        <v>71.099999999999994</v>
      </c>
      <c r="K1740" s="46">
        <f>IFERROR(IF(OR(INPUT!P1735="",INPUT!Q1735=""),"",INPUT!P1735-INPUT!Q1735),"")</f>
        <v>-9.9999999999994316E-2</v>
      </c>
      <c r="L1740" s="48">
        <f>IFERROR(IF(OR(INPUT!P1735="",INPUT!Q1735="",INPUT!P1735=0),"",(INPUT!P1735-INPUT!Q1735)/INPUT!P1735),"")</f>
        <v>-1.408450704225272E-3</v>
      </c>
    </row>
    <row r="1741" spans="1:12" ht="18" customHeight="1" x14ac:dyDescent="0.2">
      <c r="A1741" s="11">
        <f>IF(INPUT!M1736="","",INPUT!M1736)</f>
        <v>46043</v>
      </c>
      <c r="B1741" s="11">
        <f>IF(INPUT!M1736="","",INPUT!M1736-WEEKDAY(INPUT!M1736,2)+1)</f>
        <v>46041</v>
      </c>
      <c r="C1741" s="20">
        <f>IFERROR(_xlfn.ISOWEEKNUM(INPUT!M1736),"")</f>
        <v>4</v>
      </c>
      <c r="D1741" s="20">
        <f>IFERROR(YEAR(INPUT!M1736),"")</f>
        <v>2026</v>
      </c>
      <c r="E1741" t="str">
        <f>IF(INPUT!O1736="","",INPUT!O1736)</f>
        <v>CARLOS</v>
      </c>
      <c r="F1741" t="str">
        <f>IF(INPUT!N1736="","",INPUT!N1736)</f>
        <v>M</v>
      </c>
      <c r="G1741" t="str" cm="1">
        <f t="array" ref="G1741">IFERROR(VLOOKUP(INPUT!M1736&amp;INPUT!N1736,CHOOSE({1,2},INPUT!$A$3:$A$5000&amp;INPUT!$C$3:$C$5000,INPUT!$F$3:$F$5000),2,FALSE),"")</f>
        <v>PRE-TEMPORADA</v>
      </c>
      <c r="H1741" t="str" cm="1">
        <f t="array" ref="H1741">IFERROR(VLOOKUP(INPUT!M1736&amp;INPUT!N1736,CHOOSE({1,2},INPUT!$A$3:$A$5000&amp;INPUT!$C$3:$C$5000,INPUT!$D$3:$D$5000),2,FALSE),"")</f>
        <v>TEC-TAC</v>
      </c>
      <c r="I1741" s="46">
        <f>IF(INPUT!P1736="","",INPUT!P1736)</f>
        <v>68</v>
      </c>
      <c r="J1741" s="46">
        <f>IF(INPUT!Q1736="","",INPUT!Q1736)</f>
        <v>67.3</v>
      </c>
      <c r="K1741" s="46">
        <f>IFERROR(IF(OR(INPUT!P1736="",INPUT!Q1736=""),"",INPUT!P1736-INPUT!Q1736),"")</f>
        <v>0.70000000000000284</v>
      </c>
      <c r="L1741" s="48">
        <f>IFERROR(IF(OR(INPUT!P1736="",INPUT!Q1736="",INPUT!P1736=0),"",(INPUT!P1736-INPUT!Q1736)/INPUT!P1736),"")</f>
        <v>1.0294117647058865E-2</v>
      </c>
    </row>
    <row r="1742" spans="1:12" ht="18" customHeight="1" x14ac:dyDescent="0.2">
      <c r="A1742" s="11">
        <f>IF(INPUT!M1737="","",INPUT!M1737)</f>
        <v>46043</v>
      </c>
      <c r="B1742" s="11">
        <f>IF(INPUT!M1737="","",INPUT!M1737-WEEKDAY(INPUT!M1737,2)+1)</f>
        <v>46041</v>
      </c>
      <c r="C1742" s="20">
        <f>IFERROR(_xlfn.ISOWEEKNUM(INPUT!M1737),"")</f>
        <v>4</v>
      </c>
      <c r="D1742" s="20">
        <f>IFERROR(YEAR(INPUT!M1737),"")</f>
        <v>2026</v>
      </c>
      <c r="E1742" t="str">
        <f>IF(INPUT!O1737="","",INPUT!O1737)</f>
        <v>CARLOS</v>
      </c>
      <c r="F1742" t="str">
        <f>IF(INPUT!N1737="","",INPUT!N1737)</f>
        <v>T</v>
      </c>
      <c r="G1742" t="str" cm="1">
        <f t="array" ref="G1742">IFERROR(VLOOKUP(INPUT!M1737&amp;INPUT!N1737,CHOOSE({1,2},INPUT!$A$3:$A$5000&amp;INPUT!$C$3:$C$5000,INPUT!$F$3:$F$5000),2,FALSE),"")</f>
        <v>PRE-TEMPORADA</v>
      </c>
      <c r="H1742" t="str" cm="1">
        <f t="array" ref="H1742">IFERROR(VLOOKUP(INPUT!M1737&amp;INPUT!N1737,CHOOSE({1,2},INPUT!$A$3:$A$5000&amp;INPUT!$C$3:$C$5000,INPUT!$D$3:$D$5000),2,FALSE),"")</f>
        <v>TEC-TAC</v>
      </c>
      <c r="I1742" s="46">
        <f>IF(INPUT!P1737="","",INPUT!P1737)</f>
        <v>68.400000000000006</v>
      </c>
      <c r="J1742" s="46">
        <f>IF(INPUT!Q1737="","",INPUT!Q1737)</f>
        <v>67.2</v>
      </c>
      <c r="K1742" s="46">
        <f>IFERROR(IF(OR(INPUT!P1737="",INPUT!Q1737=""),"",INPUT!P1737-INPUT!Q1737),"")</f>
        <v>1.2000000000000028</v>
      </c>
      <c r="L1742" s="48">
        <f>IFERROR(IF(OR(INPUT!P1737="",INPUT!Q1737="",INPUT!P1737=0),"",(INPUT!P1737-INPUT!Q1737)/INPUT!P1737),"")</f>
        <v>1.7543859649122848E-2</v>
      </c>
    </row>
    <row r="1743" spans="1:12" ht="18" customHeight="1" x14ac:dyDescent="0.2">
      <c r="A1743" s="11">
        <f>IF(INPUT!M1738="","",INPUT!M1738)</f>
        <v>46043</v>
      </c>
      <c r="B1743" s="11">
        <f>IF(INPUT!M1738="","",INPUT!M1738-WEEKDAY(INPUT!M1738,2)+1)</f>
        <v>46041</v>
      </c>
      <c r="C1743" s="20">
        <f>IFERROR(_xlfn.ISOWEEKNUM(INPUT!M1738),"")</f>
        <v>4</v>
      </c>
      <c r="D1743" s="20">
        <f>IFERROR(YEAR(INPUT!M1738),"")</f>
        <v>2026</v>
      </c>
      <c r="E1743" t="str">
        <f>IF(INPUT!O1738="","",INPUT!O1738)</f>
        <v>RUBIO</v>
      </c>
      <c r="F1743" t="str">
        <f>IF(INPUT!N1738="","",INPUT!N1738)</f>
        <v>M</v>
      </c>
      <c r="G1743" t="str" cm="1">
        <f t="array" ref="G1743">IFERROR(VLOOKUP(INPUT!M1738&amp;INPUT!N1738,CHOOSE({1,2},INPUT!$A$3:$A$5000&amp;INPUT!$C$3:$C$5000,INPUT!$F$3:$F$5000),2,FALSE),"")</f>
        <v>PRE-TEMPORADA</v>
      </c>
      <c r="H1743" t="str" cm="1">
        <f t="array" ref="H1743">IFERROR(VLOOKUP(INPUT!M1738&amp;INPUT!N1738,CHOOSE({1,2},INPUT!$A$3:$A$5000&amp;INPUT!$C$3:$C$5000,INPUT!$D$3:$D$5000),2,FALSE),"")</f>
        <v>TEC-TAC</v>
      </c>
      <c r="I1743" s="46">
        <f>IF(INPUT!P1738="","",INPUT!P1738)</f>
        <v>74.599999999999994</v>
      </c>
      <c r="J1743" s="46">
        <f>IF(INPUT!Q1738="","",INPUT!Q1738)</f>
        <v>74.5</v>
      </c>
      <c r="K1743" s="46">
        <f>IFERROR(IF(OR(INPUT!P1738="",INPUT!Q1738=""),"",INPUT!P1738-INPUT!Q1738),"")</f>
        <v>9.9999999999994316E-2</v>
      </c>
      <c r="L1743" s="48">
        <f>IFERROR(IF(OR(INPUT!P1738="",INPUT!Q1738="",INPUT!P1738=0),"",(INPUT!P1738-INPUT!Q1738)/INPUT!P1738),"")</f>
        <v>1.3404825737264655E-3</v>
      </c>
    </row>
    <row r="1744" spans="1:12" ht="18" hidden="1" customHeight="1" x14ac:dyDescent="0.2">
      <c r="A1744" s="11">
        <f>IF(INPUT!M1739="","",INPUT!M1739)</f>
        <v>46043</v>
      </c>
      <c r="B1744" s="11">
        <f>IF(INPUT!M1739="","",INPUT!M1739-WEEKDAY(INPUT!M1739,2)+1)</f>
        <v>46041</v>
      </c>
      <c r="C1744" s="20">
        <f>IFERROR(_xlfn.ISOWEEKNUM(INPUT!M1739),"")</f>
        <v>4</v>
      </c>
      <c r="D1744" s="20">
        <f>IFERROR(YEAR(INPUT!M1739),"")</f>
        <v>2026</v>
      </c>
      <c r="E1744" t="str">
        <f>IF(INPUT!O1739="","",INPUT!O1739)</f>
        <v>RUBIO</v>
      </c>
      <c r="F1744" t="str">
        <f>IF(INPUT!N1739="","",INPUT!N1739)</f>
        <v>T</v>
      </c>
      <c r="G1744" t="str" cm="1">
        <f t="array" ref="G1744">IFERROR(VLOOKUP(INPUT!M1739&amp;INPUT!N1739,CHOOSE({1,2},INPUT!$A$3:$A$5000&amp;INPUT!$C$3:$C$5000,INPUT!$F$3:$F$5000),2,FALSE),"")</f>
        <v>PRE-TEMPORADA</v>
      </c>
      <c r="H1744" t="str" cm="1">
        <f t="array" ref="H1744">IFERROR(VLOOKUP(INPUT!M1739&amp;INPUT!N1739,CHOOSE({1,2},INPUT!$A$3:$A$5000&amp;INPUT!$C$3:$C$5000,INPUT!$D$3:$D$5000),2,FALSE),"")</f>
        <v>TEC-TAC</v>
      </c>
      <c r="I1744" s="46">
        <f>IF(INPUT!P1739="","",INPUT!P1739)</f>
        <v>74.599999999999994</v>
      </c>
      <c r="J1744" s="46">
        <f>IF(INPUT!Q1739="","",INPUT!Q1739)</f>
        <v>74.599999999999994</v>
      </c>
      <c r="K1744" s="46">
        <f>IFERROR(IF(OR(INPUT!P1739="",INPUT!Q1739=""),"",INPUT!P1739-INPUT!Q1739),"")</f>
        <v>0</v>
      </c>
      <c r="L1744" s="48">
        <f>IFERROR(IF(OR(INPUT!P1739="",INPUT!Q1739="",INPUT!P1739=0),"",(INPUT!P1739-INPUT!Q1739)/INPUT!P1739),"")</f>
        <v>0</v>
      </c>
    </row>
    <row r="1745" spans="1:12" ht="18" hidden="1" customHeight="1" x14ac:dyDescent="0.2">
      <c r="A1745" s="11">
        <f>IF(INPUT!M1740="","",INPUT!M1740)</f>
        <v>46043</v>
      </c>
      <c r="B1745" s="11">
        <f>IF(INPUT!M1740="","",INPUT!M1740-WEEKDAY(INPUT!M1740,2)+1)</f>
        <v>46041</v>
      </c>
      <c r="C1745" s="20">
        <f>IFERROR(_xlfn.ISOWEEKNUM(INPUT!M1740),"")</f>
        <v>4</v>
      </c>
      <c r="D1745" s="20">
        <f>IFERROR(YEAR(INPUT!M1740),"")</f>
        <v>2026</v>
      </c>
      <c r="E1745" t="str">
        <f>IF(INPUT!O1740="","",INPUT!O1740)</f>
        <v>DANI</v>
      </c>
      <c r="F1745" t="str">
        <f>IF(INPUT!N1740="","",INPUT!N1740)</f>
        <v>M</v>
      </c>
      <c r="G1745" t="str" cm="1">
        <f t="array" ref="G1745">IFERROR(VLOOKUP(INPUT!M1740&amp;INPUT!N1740,CHOOSE({1,2},INPUT!$A$3:$A$5000&amp;INPUT!$C$3:$C$5000,INPUT!$F$3:$F$5000),2,FALSE),"")</f>
        <v>PRE-TEMPORADA</v>
      </c>
      <c r="H1745" t="str" cm="1">
        <f t="array" ref="H1745">IFERROR(VLOOKUP(INPUT!M1740&amp;INPUT!N1740,CHOOSE({1,2},INPUT!$A$3:$A$5000&amp;INPUT!$C$3:$C$5000,INPUT!$D$3:$D$5000),2,FALSE),"")</f>
        <v>TEC-TAC</v>
      </c>
      <c r="I1745" s="46">
        <f>IF(INPUT!P1740="","",INPUT!P1740)</f>
        <v>91.6</v>
      </c>
      <c r="J1745" s="46">
        <f>IF(INPUT!Q1740="","",INPUT!Q1740)</f>
        <v>91.6</v>
      </c>
      <c r="K1745" s="46">
        <f>IFERROR(IF(OR(INPUT!P1740="",INPUT!Q1740=""),"",INPUT!P1740-INPUT!Q1740),"")</f>
        <v>0</v>
      </c>
      <c r="L1745" s="48">
        <f>IFERROR(IF(OR(INPUT!P1740="",INPUT!Q1740="",INPUT!P1740=0),"",(INPUT!P1740-INPUT!Q1740)/INPUT!P1740),"")</f>
        <v>0</v>
      </c>
    </row>
    <row r="1746" spans="1:12" ht="18" hidden="1" customHeight="1" x14ac:dyDescent="0.2">
      <c r="A1746" s="11">
        <f>IF(INPUT!M1741="","",INPUT!M1741)</f>
        <v>46043</v>
      </c>
      <c r="B1746" s="11">
        <f>IF(INPUT!M1741="","",INPUT!M1741-WEEKDAY(INPUT!M1741,2)+1)</f>
        <v>46041</v>
      </c>
      <c r="C1746" s="20">
        <f>IFERROR(_xlfn.ISOWEEKNUM(INPUT!M1741),"")</f>
        <v>4</v>
      </c>
      <c r="D1746" s="20">
        <f>IFERROR(YEAR(INPUT!M1741),"")</f>
        <v>2026</v>
      </c>
      <c r="E1746" t="str">
        <f>IF(INPUT!O1741="","",INPUT!O1741)</f>
        <v>JAIME</v>
      </c>
      <c r="F1746" t="str">
        <f>IF(INPUT!N1741="","",INPUT!N1741)</f>
        <v>M</v>
      </c>
      <c r="G1746" t="str" cm="1">
        <f t="array" ref="G1746">IFERROR(VLOOKUP(INPUT!M1741&amp;INPUT!N1741,CHOOSE({1,2},INPUT!$A$3:$A$5000&amp;INPUT!$C$3:$C$5000,INPUT!$F$3:$F$5000),2,FALSE),"")</f>
        <v>PRE-TEMPORADA</v>
      </c>
      <c r="H1746" t="str" cm="1">
        <f t="array" ref="H1746">IFERROR(VLOOKUP(INPUT!M1741&amp;INPUT!N1741,CHOOSE({1,2},INPUT!$A$3:$A$5000&amp;INPUT!$C$3:$C$5000,INPUT!$D$3:$D$5000),2,FALSE),"")</f>
        <v>TEC-TAC</v>
      </c>
      <c r="I1746" s="46">
        <f>IF(INPUT!P1741="","",INPUT!P1741)</f>
        <v>75.2</v>
      </c>
      <c r="J1746" s="46">
        <f>IF(INPUT!Q1741="","",INPUT!Q1741)</f>
        <v>75.2</v>
      </c>
      <c r="K1746" s="46">
        <f>IFERROR(IF(OR(INPUT!P1741="",INPUT!Q1741=""),"",INPUT!P1741-INPUT!Q1741),"")</f>
        <v>0</v>
      </c>
      <c r="L1746" s="48">
        <f>IFERROR(IF(OR(INPUT!P1741="",INPUT!Q1741="",INPUT!P1741=0),"",(INPUT!P1741-INPUT!Q1741)/INPUT!P1741),"")</f>
        <v>0</v>
      </c>
    </row>
    <row r="1747" spans="1:12" ht="18" hidden="1" customHeight="1" x14ac:dyDescent="0.2">
      <c r="A1747" s="11">
        <f>IF(INPUT!M1742="","",INPUT!M1742)</f>
        <v>46044</v>
      </c>
      <c r="B1747" s="11">
        <f>IF(INPUT!M1742="","",INPUT!M1742-WEEKDAY(INPUT!M1742,2)+1)</f>
        <v>46041</v>
      </c>
      <c r="C1747" s="20">
        <f>IFERROR(_xlfn.ISOWEEKNUM(INPUT!M1742),"")</f>
        <v>4</v>
      </c>
      <c r="D1747" s="20">
        <f>IFERROR(YEAR(INPUT!M1742),"")</f>
        <v>2026</v>
      </c>
      <c r="E1747" t="str">
        <f>IF(INPUT!O1742="","",INPUT!O1742)</f>
        <v>HERRERO</v>
      </c>
      <c r="F1747" t="str">
        <f>IF(INPUT!N1742="","",INPUT!N1742)</f>
        <v>M</v>
      </c>
      <c r="G1747" t="str" cm="1">
        <f t="array" ref="G1747">IFERROR(VLOOKUP(INPUT!M1742&amp;INPUT!N1742,CHOOSE({1,2},INPUT!$A$3:$A$5000&amp;INPUT!$C$3:$C$5000,INPUT!$F$3:$F$5000),2,FALSE),"")</f>
        <v>PRE-TEMPORADA</v>
      </c>
      <c r="H1747" t="str" cm="1">
        <f t="array" ref="H1747">IFERROR(VLOOKUP(INPUT!M1742&amp;INPUT!N1742,CHOOSE({1,2},INPUT!$A$3:$A$5000&amp;INPUT!$C$3:$C$5000,INPUT!$D$3:$D$5000),2,FALSE),"")</f>
        <v>TEC-TAC</v>
      </c>
      <c r="I1747" s="46">
        <f>IF(INPUT!P1742="","",INPUT!P1742)</f>
        <v>76.900000000000006</v>
      </c>
      <c r="J1747" s="46">
        <f>IF(INPUT!Q1742="","",INPUT!Q1742)</f>
        <v>76.5</v>
      </c>
      <c r="K1747" s="46">
        <f>IFERROR(IF(OR(INPUT!P1742="",INPUT!Q1742=""),"",INPUT!P1742-INPUT!Q1742),"")</f>
        <v>0.40000000000000568</v>
      </c>
      <c r="L1747" s="48">
        <f>IFERROR(IF(OR(INPUT!P1742="",INPUT!Q1742="",INPUT!P1742=0),"",(INPUT!P1742-INPUT!Q1742)/INPUT!P1742),"")</f>
        <v>5.201560468140516E-3</v>
      </c>
    </row>
    <row r="1748" spans="1:12" ht="18" hidden="1" customHeight="1" x14ac:dyDescent="0.2">
      <c r="A1748" s="11">
        <f>IF(INPUT!M1743="","",INPUT!M1743)</f>
        <v>46044</v>
      </c>
      <c r="B1748" s="11">
        <f>IF(INPUT!M1743="","",INPUT!M1743-WEEKDAY(INPUT!M1743,2)+1)</f>
        <v>46041</v>
      </c>
      <c r="C1748" s="20">
        <f>IFERROR(_xlfn.ISOWEEKNUM(INPUT!M1743),"")</f>
        <v>4</v>
      </c>
      <c r="D1748" s="20">
        <f>IFERROR(YEAR(INPUT!M1743),"")</f>
        <v>2026</v>
      </c>
      <c r="E1748" t="str">
        <f>IF(INPUT!O1743="","",INPUT!O1743)</f>
        <v>HERRERO</v>
      </c>
      <c r="F1748" t="str">
        <f>IF(INPUT!N1743="","",INPUT!N1743)</f>
        <v>T</v>
      </c>
      <c r="G1748" t="str" cm="1">
        <f t="array" ref="G1748">IFERROR(VLOOKUP(INPUT!M1743&amp;INPUT!N1743,CHOOSE({1,2},INPUT!$A$3:$A$5000&amp;INPUT!$C$3:$C$5000,INPUT!$F$3:$F$5000),2,FALSE),"")</f>
        <v>PRE-TEMPORADA</v>
      </c>
      <c r="H1748" t="str" cm="1">
        <f t="array" ref="H1748">IFERROR(VLOOKUP(INPUT!M1743&amp;INPUT!N1743,CHOOSE({1,2},INPUT!$A$3:$A$5000&amp;INPUT!$C$3:$C$5000,INPUT!$D$3:$D$5000),2,FALSE),"")</f>
        <v>GYM+FISICO</v>
      </c>
      <c r="I1748" s="46">
        <f>IF(INPUT!P1743="","",INPUT!P1743)</f>
        <v>77</v>
      </c>
      <c r="J1748" s="46">
        <f>IF(INPUT!Q1743="","",INPUT!Q1743)</f>
        <v>76</v>
      </c>
      <c r="K1748" s="46">
        <f>IFERROR(IF(OR(INPUT!P1743="",INPUT!Q1743=""),"",INPUT!P1743-INPUT!Q1743),"")</f>
        <v>1</v>
      </c>
      <c r="L1748" s="48">
        <f>IFERROR(IF(OR(INPUT!P1743="",INPUT!Q1743="",INPUT!P1743=0),"",(INPUT!P1743-INPUT!Q1743)/INPUT!P1743),"")</f>
        <v>1.2987012987012988E-2</v>
      </c>
    </row>
    <row r="1749" spans="1:12" ht="18" hidden="1" customHeight="1" x14ac:dyDescent="0.2">
      <c r="A1749" s="11">
        <f>IF(INPUT!M1744="","",INPUT!M1744)</f>
        <v>46044</v>
      </c>
      <c r="B1749" s="11">
        <f>IF(INPUT!M1744="","",INPUT!M1744-WEEKDAY(INPUT!M1744,2)+1)</f>
        <v>46041</v>
      </c>
      <c r="C1749" s="20">
        <f>IFERROR(_xlfn.ISOWEEKNUM(INPUT!M1744),"")</f>
        <v>4</v>
      </c>
      <c r="D1749" s="20">
        <f>IFERROR(YEAR(INPUT!M1744),"")</f>
        <v>2026</v>
      </c>
      <c r="E1749" t="str">
        <f>IF(INPUT!O1744="","",INPUT!O1744)</f>
        <v>GARCIA</v>
      </c>
      <c r="F1749" t="str">
        <f>IF(INPUT!N1744="","",INPUT!N1744)</f>
        <v>M</v>
      </c>
      <c r="G1749" t="str" cm="1">
        <f t="array" ref="G1749">IFERROR(VLOOKUP(INPUT!M1744&amp;INPUT!N1744,CHOOSE({1,2},INPUT!$A$3:$A$5000&amp;INPUT!$C$3:$C$5000,INPUT!$F$3:$F$5000),2,FALSE),"")</f>
        <v>PRE-TEMPORADA</v>
      </c>
      <c r="H1749" t="str" cm="1">
        <f t="array" ref="H1749">IFERROR(VLOOKUP(INPUT!M1744&amp;INPUT!N1744,CHOOSE({1,2},INPUT!$A$3:$A$5000&amp;INPUT!$C$3:$C$5000,INPUT!$D$3:$D$5000),2,FALSE),"")</f>
        <v>TEC-TAC</v>
      </c>
      <c r="I1749" s="46">
        <f>IF(INPUT!P1744="","",INPUT!P1744)</f>
        <v>79.5</v>
      </c>
      <c r="J1749" s="46">
        <f>IF(INPUT!Q1744="","",INPUT!Q1744)</f>
        <v>79</v>
      </c>
      <c r="K1749" s="46">
        <f>IFERROR(IF(OR(INPUT!P1744="",INPUT!Q1744=""),"",INPUT!P1744-INPUT!Q1744),"")</f>
        <v>0.5</v>
      </c>
      <c r="L1749" s="48">
        <f>IFERROR(IF(OR(INPUT!P1744="",INPUT!Q1744="",INPUT!P1744=0),"",(INPUT!P1744-INPUT!Q1744)/INPUT!P1744),"")</f>
        <v>6.2893081761006293E-3</v>
      </c>
    </row>
    <row r="1750" spans="1:12" ht="18" hidden="1" customHeight="1" x14ac:dyDescent="0.2">
      <c r="A1750" s="11">
        <f>IF(INPUT!M1745="","",INPUT!M1745)</f>
        <v>46044</v>
      </c>
      <c r="B1750" s="11">
        <f>IF(INPUT!M1745="","",INPUT!M1745-WEEKDAY(INPUT!M1745,2)+1)</f>
        <v>46041</v>
      </c>
      <c r="C1750" s="20">
        <f>IFERROR(_xlfn.ISOWEEKNUM(INPUT!M1745),"")</f>
        <v>4</v>
      </c>
      <c r="D1750" s="20">
        <f>IFERROR(YEAR(INPUT!M1745),"")</f>
        <v>2026</v>
      </c>
      <c r="E1750" t="str">
        <f>IF(INPUT!O1745="","",INPUT!O1745)</f>
        <v>GARCIA</v>
      </c>
      <c r="F1750" t="str">
        <f>IF(INPUT!N1745="","",INPUT!N1745)</f>
        <v>T</v>
      </c>
      <c r="G1750" t="str" cm="1">
        <f t="array" ref="G1750">IFERROR(VLOOKUP(INPUT!M1745&amp;INPUT!N1745,CHOOSE({1,2},INPUT!$A$3:$A$5000&amp;INPUT!$C$3:$C$5000,INPUT!$F$3:$F$5000),2,FALSE),"")</f>
        <v>PRE-TEMPORADA</v>
      </c>
      <c r="H1750" t="str" cm="1">
        <f t="array" ref="H1750">IFERROR(VLOOKUP(INPUT!M1745&amp;INPUT!N1745,CHOOSE({1,2},INPUT!$A$3:$A$5000&amp;INPUT!$C$3:$C$5000,INPUT!$D$3:$D$5000),2,FALSE),"")</f>
        <v>GYM+FISICO</v>
      </c>
      <c r="I1750" s="46">
        <f>IF(INPUT!P1745="","",INPUT!P1745)</f>
        <v>79.400000000000006</v>
      </c>
      <c r="J1750" s="46">
        <f>IF(INPUT!Q1745="","",INPUT!Q1745)</f>
        <v>79.2</v>
      </c>
      <c r="K1750" s="46">
        <f>IFERROR(IF(OR(INPUT!P1745="",INPUT!Q1745=""),"",INPUT!P1745-INPUT!Q1745),"")</f>
        <v>0.20000000000000284</v>
      </c>
      <c r="L1750" s="48">
        <f>IFERROR(IF(OR(INPUT!P1745="",INPUT!Q1745="",INPUT!P1745=0),"",(INPUT!P1745-INPUT!Q1745)/INPUT!P1745),"")</f>
        <v>2.5188916876574662E-3</v>
      </c>
    </row>
    <row r="1751" spans="1:12" ht="18" hidden="1" customHeight="1" x14ac:dyDescent="0.2">
      <c r="A1751" s="11">
        <f>IF(INPUT!M1746="","",INPUT!M1746)</f>
        <v>46044</v>
      </c>
      <c r="B1751" s="11">
        <f>IF(INPUT!M1746="","",INPUT!M1746-WEEKDAY(INPUT!M1746,2)+1)</f>
        <v>46041</v>
      </c>
      <c r="C1751" s="20">
        <f>IFERROR(_xlfn.ISOWEEKNUM(INPUT!M1746),"")</f>
        <v>4</v>
      </c>
      <c r="D1751" s="20">
        <f>IFERROR(YEAR(INPUT!M1746),"")</f>
        <v>2026</v>
      </c>
      <c r="E1751" t="str">
        <f>IF(INPUT!O1746="","",INPUT!O1746)</f>
        <v>CHAGUINHA</v>
      </c>
      <c r="F1751" t="str">
        <f>IF(INPUT!N1746="","",INPUT!N1746)</f>
        <v>M</v>
      </c>
      <c r="G1751" t="str" cm="1">
        <f t="array" ref="G1751">IFERROR(VLOOKUP(INPUT!M1746&amp;INPUT!N1746,CHOOSE({1,2},INPUT!$A$3:$A$5000&amp;INPUT!$C$3:$C$5000,INPUT!$F$3:$F$5000),2,FALSE),"")</f>
        <v>PRE-TEMPORADA</v>
      </c>
      <c r="H1751" t="str" cm="1">
        <f t="array" ref="H1751">IFERROR(VLOOKUP(INPUT!M1746&amp;INPUT!N1746,CHOOSE({1,2},INPUT!$A$3:$A$5000&amp;INPUT!$C$3:$C$5000,INPUT!$D$3:$D$5000),2,FALSE),"")</f>
        <v>TEC-TAC</v>
      </c>
      <c r="I1751" s="46">
        <f>IF(INPUT!P1746="","",INPUT!P1746)</f>
        <v>69.5</v>
      </c>
      <c r="J1751" s="46">
        <f>IF(INPUT!Q1746="","",INPUT!Q1746)</f>
        <v>69</v>
      </c>
      <c r="K1751" s="46">
        <f>IFERROR(IF(OR(INPUT!P1746="",INPUT!Q1746=""),"",INPUT!P1746-INPUT!Q1746),"")</f>
        <v>0.5</v>
      </c>
      <c r="L1751" s="48">
        <f>IFERROR(IF(OR(INPUT!P1746="",INPUT!Q1746="",INPUT!P1746=0),"",(INPUT!P1746-INPUT!Q1746)/INPUT!P1746),"")</f>
        <v>7.1942446043165471E-3</v>
      </c>
    </row>
    <row r="1752" spans="1:12" ht="18" hidden="1" customHeight="1" x14ac:dyDescent="0.2">
      <c r="A1752" s="11">
        <f>IF(INPUT!M1747="","",INPUT!M1747)</f>
        <v>46044</v>
      </c>
      <c r="B1752" s="11">
        <f>IF(INPUT!M1747="","",INPUT!M1747-WEEKDAY(INPUT!M1747,2)+1)</f>
        <v>46041</v>
      </c>
      <c r="C1752" s="20">
        <f>IFERROR(_xlfn.ISOWEEKNUM(INPUT!M1747),"")</f>
        <v>4</v>
      </c>
      <c r="D1752" s="20">
        <f>IFERROR(YEAR(INPUT!M1747),"")</f>
        <v>2026</v>
      </c>
      <c r="E1752" t="str">
        <f>IF(INPUT!O1747="","",INPUT!O1747)</f>
        <v>CHAGUINHA</v>
      </c>
      <c r="F1752" t="str">
        <f>IF(INPUT!N1747="","",INPUT!N1747)</f>
        <v>T</v>
      </c>
      <c r="G1752" t="str" cm="1">
        <f t="array" ref="G1752">IFERROR(VLOOKUP(INPUT!M1747&amp;INPUT!N1747,CHOOSE({1,2},INPUT!$A$3:$A$5000&amp;INPUT!$C$3:$C$5000,INPUT!$F$3:$F$5000),2,FALSE),"")</f>
        <v>PRE-TEMPORADA</v>
      </c>
      <c r="H1752" t="str" cm="1">
        <f t="array" ref="H1752">IFERROR(VLOOKUP(INPUT!M1747&amp;INPUT!N1747,CHOOSE({1,2},INPUT!$A$3:$A$5000&amp;INPUT!$C$3:$C$5000,INPUT!$D$3:$D$5000),2,FALSE),"")</f>
        <v>GYM+FISICO</v>
      </c>
      <c r="I1752" s="46">
        <f>IF(INPUT!P1747="","",INPUT!P1747)</f>
        <v>69.599999999999994</v>
      </c>
      <c r="J1752" s="46">
        <f>IF(INPUT!Q1747="","",INPUT!Q1747)</f>
        <v>69</v>
      </c>
      <c r="K1752" s="46">
        <f>IFERROR(IF(OR(INPUT!P1747="",INPUT!Q1747=""),"",INPUT!P1747-INPUT!Q1747),"")</f>
        <v>0.59999999999999432</v>
      </c>
      <c r="L1752" s="48">
        <f>IFERROR(IF(OR(INPUT!P1747="",INPUT!Q1747="",INPUT!P1747=0),"",(INPUT!P1747-INPUT!Q1747)/INPUT!P1747),"")</f>
        <v>8.6206896551723321E-3</v>
      </c>
    </row>
    <row r="1753" spans="1:12" ht="18" hidden="1" customHeight="1" x14ac:dyDescent="0.2">
      <c r="A1753" s="11">
        <f>IF(INPUT!M1748="","",INPUT!M1748)</f>
        <v>46044</v>
      </c>
      <c r="B1753" s="11">
        <f>IF(INPUT!M1748="","",INPUT!M1748-WEEKDAY(INPUT!M1748,2)+1)</f>
        <v>46041</v>
      </c>
      <c r="C1753" s="20">
        <f>IFERROR(_xlfn.ISOWEEKNUM(INPUT!M1748),"")</f>
        <v>4</v>
      </c>
      <c r="D1753" s="20">
        <f>IFERROR(YEAR(INPUT!M1748),"")</f>
        <v>2026</v>
      </c>
      <c r="E1753" t="str">
        <f>IF(INPUT!O1748="","",INPUT!O1748)</f>
        <v>RAUL</v>
      </c>
      <c r="F1753" t="str">
        <f>IF(INPUT!N1748="","",INPUT!N1748)</f>
        <v>M</v>
      </c>
      <c r="G1753" t="str" cm="1">
        <f t="array" ref="G1753">IFERROR(VLOOKUP(INPUT!M1748&amp;INPUT!N1748,CHOOSE({1,2},INPUT!$A$3:$A$5000&amp;INPUT!$C$3:$C$5000,INPUT!$F$3:$F$5000),2,FALSE),"")</f>
        <v>PRE-TEMPORADA</v>
      </c>
      <c r="H1753" t="str" cm="1">
        <f t="array" ref="H1753">IFERROR(VLOOKUP(INPUT!M1748&amp;INPUT!N1748,CHOOSE({1,2},INPUT!$A$3:$A$5000&amp;INPUT!$C$3:$C$5000,INPUT!$D$3:$D$5000),2,FALSE),"")</f>
        <v>TEC-TAC</v>
      </c>
      <c r="I1753" s="46">
        <f>IF(INPUT!P1748="","",INPUT!P1748)</f>
        <v>80.5</v>
      </c>
      <c r="J1753" s="46">
        <f>IF(INPUT!Q1748="","",INPUT!Q1748)</f>
        <v>80</v>
      </c>
      <c r="K1753" s="46">
        <f>IFERROR(IF(OR(INPUT!P1748="",INPUT!Q1748=""),"",INPUT!P1748-INPUT!Q1748),"")</f>
        <v>0.5</v>
      </c>
      <c r="L1753" s="48">
        <f>IFERROR(IF(OR(INPUT!P1748="",INPUT!Q1748="",INPUT!P1748=0),"",(INPUT!P1748-INPUT!Q1748)/INPUT!P1748),"")</f>
        <v>6.2111801242236021E-3</v>
      </c>
    </row>
    <row r="1754" spans="1:12" ht="18" hidden="1" customHeight="1" x14ac:dyDescent="0.2">
      <c r="A1754" s="11">
        <f>IF(INPUT!M1749="","",INPUT!M1749)</f>
        <v>46044</v>
      </c>
      <c r="B1754" s="11">
        <f>IF(INPUT!M1749="","",INPUT!M1749-WEEKDAY(INPUT!M1749,2)+1)</f>
        <v>46041</v>
      </c>
      <c r="C1754" s="20">
        <f>IFERROR(_xlfn.ISOWEEKNUM(INPUT!M1749),"")</f>
        <v>4</v>
      </c>
      <c r="D1754" s="20">
        <f>IFERROR(YEAR(INPUT!M1749),"")</f>
        <v>2026</v>
      </c>
      <c r="E1754" t="str">
        <f>IF(INPUT!O1749="","",INPUT!O1749)</f>
        <v>RAUL</v>
      </c>
      <c r="F1754" t="str">
        <f>IF(INPUT!N1749="","",INPUT!N1749)</f>
        <v>T</v>
      </c>
      <c r="G1754" t="str" cm="1">
        <f t="array" ref="G1754">IFERROR(VLOOKUP(INPUT!M1749&amp;INPUT!N1749,CHOOSE({1,2},INPUT!$A$3:$A$5000&amp;INPUT!$C$3:$C$5000,INPUT!$F$3:$F$5000),2,FALSE),"")</f>
        <v>PRE-TEMPORADA</v>
      </c>
      <c r="H1754" t="str" cm="1">
        <f t="array" ref="H1754">IFERROR(VLOOKUP(INPUT!M1749&amp;INPUT!N1749,CHOOSE({1,2},INPUT!$A$3:$A$5000&amp;INPUT!$C$3:$C$5000,INPUT!$D$3:$D$5000),2,FALSE),"")</f>
        <v>GYM+FISICO</v>
      </c>
      <c r="I1754" s="46">
        <f>IF(INPUT!P1749="","",INPUT!P1749)</f>
        <v>81</v>
      </c>
      <c r="J1754" s="46">
        <f>IF(INPUT!Q1749="","",INPUT!Q1749)</f>
        <v>81.099999999999994</v>
      </c>
      <c r="K1754" s="46">
        <f>IFERROR(IF(OR(INPUT!P1749="",INPUT!Q1749=""),"",INPUT!P1749-INPUT!Q1749),"")</f>
        <v>-9.9999999999994316E-2</v>
      </c>
      <c r="L1754" s="48">
        <f>IFERROR(IF(OR(INPUT!P1749="",INPUT!Q1749="",INPUT!P1749=0),"",(INPUT!P1749-INPUT!Q1749)/INPUT!P1749),"")</f>
        <v>-1.2345679012344976E-3</v>
      </c>
    </row>
    <row r="1755" spans="1:12" ht="18" hidden="1" customHeight="1" x14ac:dyDescent="0.2">
      <c r="A1755" s="11">
        <f>IF(INPUT!M1750="","",INPUT!M1750)</f>
        <v>46044</v>
      </c>
      <c r="B1755" s="11">
        <f>IF(INPUT!M1750="","",INPUT!M1750-WEEKDAY(INPUT!M1750,2)+1)</f>
        <v>46041</v>
      </c>
      <c r="C1755" s="20">
        <f>IFERROR(_xlfn.ISOWEEKNUM(INPUT!M1750),"")</f>
        <v>4</v>
      </c>
      <c r="D1755" s="20">
        <f>IFERROR(YEAR(INPUT!M1750),"")</f>
        <v>2026</v>
      </c>
      <c r="E1755" t="str">
        <f>IF(INPUT!O1750="","",INPUT!O1750)</f>
        <v>JAVI</v>
      </c>
      <c r="F1755" t="str">
        <f>IF(INPUT!N1750="","",INPUT!N1750)</f>
        <v>M</v>
      </c>
      <c r="G1755" t="str" cm="1">
        <f t="array" ref="G1755">IFERROR(VLOOKUP(INPUT!M1750&amp;INPUT!N1750,CHOOSE({1,2},INPUT!$A$3:$A$5000&amp;INPUT!$C$3:$C$5000,INPUT!$F$3:$F$5000),2,FALSE),"")</f>
        <v>PRE-TEMPORADA</v>
      </c>
      <c r="H1755" t="str" cm="1">
        <f t="array" ref="H1755">IFERROR(VLOOKUP(INPUT!M1750&amp;INPUT!N1750,CHOOSE({1,2},INPUT!$A$3:$A$5000&amp;INPUT!$C$3:$C$5000,INPUT!$D$3:$D$5000),2,FALSE),"")</f>
        <v>TEC-TAC</v>
      </c>
      <c r="I1755" s="46">
        <f>IF(INPUT!P1750="","",INPUT!P1750)</f>
        <v>78.900000000000006</v>
      </c>
      <c r="J1755" s="46">
        <f>IF(INPUT!Q1750="","",INPUT!Q1750)</f>
        <v>78.900000000000006</v>
      </c>
      <c r="K1755" s="46">
        <f>IFERROR(IF(OR(INPUT!P1750="",INPUT!Q1750=""),"",INPUT!P1750-INPUT!Q1750),"")</f>
        <v>0</v>
      </c>
      <c r="L1755" s="48">
        <f>IFERROR(IF(OR(INPUT!P1750="",INPUT!Q1750="",INPUT!P1750=0),"",(INPUT!P1750-INPUT!Q1750)/INPUT!P1750),"")</f>
        <v>0</v>
      </c>
    </row>
    <row r="1756" spans="1:12" ht="18" hidden="1" customHeight="1" x14ac:dyDescent="0.2">
      <c r="A1756" s="11">
        <f>IF(INPUT!M1751="","",INPUT!M1751)</f>
        <v>46044</v>
      </c>
      <c r="B1756" s="11">
        <f>IF(INPUT!M1751="","",INPUT!M1751-WEEKDAY(INPUT!M1751,2)+1)</f>
        <v>46041</v>
      </c>
      <c r="C1756" s="20">
        <f>IFERROR(_xlfn.ISOWEEKNUM(INPUT!M1751),"")</f>
        <v>4</v>
      </c>
      <c r="D1756" s="20">
        <f>IFERROR(YEAR(INPUT!M1751),"")</f>
        <v>2026</v>
      </c>
      <c r="E1756" t="str">
        <f>IF(INPUT!O1751="","",INPUT!O1751)</f>
        <v>JAVI</v>
      </c>
      <c r="F1756" t="str">
        <f>IF(INPUT!N1751="","",INPUT!N1751)</f>
        <v>T</v>
      </c>
      <c r="G1756" t="str" cm="1">
        <f t="array" ref="G1756">IFERROR(VLOOKUP(INPUT!M1751&amp;INPUT!N1751,CHOOSE({1,2},INPUT!$A$3:$A$5000&amp;INPUT!$C$3:$C$5000,INPUT!$F$3:$F$5000),2,FALSE),"")</f>
        <v>PRE-TEMPORADA</v>
      </c>
      <c r="H1756" t="str" cm="1">
        <f t="array" ref="H1756">IFERROR(VLOOKUP(INPUT!M1751&amp;INPUT!N1751,CHOOSE({1,2},INPUT!$A$3:$A$5000&amp;INPUT!$C$3:$C$5000,INPUT!$D$3:$D$5000),2,FALSE),"")</f>
        <v>GYM+FISICO</v>
      </c>
      <c r="I1756" s="46">
        <f>IF(INPUT!P1751="","",INPUT!P1751)</f>
        <v>79.599999999999994</v>
      </c>
      <c r="J1756" s="46">
        <f>IF(INPUT!Q1751="","",INPUT!Q1751)</f>
        <v>79.099999999999994</v>
      </c>
      <c r="K1756" s="46">
        <f>IFERROR(IF(OR(INPUT!P1751="",INPUT!Q1751=""),"",INPUT!P1751-INPUT!Q1751),"")</f>
        <v>0.5</v>
      </c>
      <c r="L1756" s="48">
        <f>IFERROR(IF(OR(INPUT!P1751="",INPUT!Q1751="",INPUT!P1751=0),"",(INPUT!P1751-INPUT!Q1751)/INPUT!P1751),"")</f>
        <v>6.2814070351758797E-3</v>
      </c>
    </row>
    <row r="1757" spans="1:12" ht="18" hidden="1" customHeight="1" x14ac:dyDescent="0.2">
      <c r="A1757" s="11">
        <f>IF(INPUT!M1752="","",INPUT!M1752)</f>
        <v>46044</v>
      </c>
      <c r="B1757" s="11">
        <f>IF(INPUT!M1752="","",INPUT!M1752-WEEKDAY(INPUT!M1752,2)+1)</f>
        <v>46041</v>
      </c>
      <c r="C1757" s="20">
        <f>IFERROR(_xlfn.ISOWEEKNUM(INPUT!M1752),"")</f>
        <v>4</v>
      </c>
      <c r="D1757" s="20">
        <f>IFERROR(YEAR(INPUT!M1752),"")</f>
        <v>2026</v>
      </c>
      <c r="E1757" t="str">
        <f>IF(INPUT!O1752="","",INPUT!O1752)</f>
        <v>PANI</v>
      </c>
      <c r="F1757" t="str">
        <f>IF(INPUT!N1752="","",INPUT!N1752)</f>
        <v>M</v>
      </c>
      <c r="G1757" t="str" cm="1">
        <f t="array" ref="G1757">IFERROR(VLOOKUP(INPUT!M1752&amp;INPUT!N1752,CHOOSE({1,2},INPUT!$A$3:$A$5000&amp;INPUT!$C$3:$C$5000,INPUT!$F$3:$F$5000),2,FALSE),"")</f>
        <v>PRE-TEMPORADA</v>
      </c>
      <c r="H1757" t="str" cm="1">
        <f t="array" ref="H1757">IFERROR(VLOOKUP(INPUT!M1752&amp;INPUT!N1752,CHOOSE({1,2},INPUT!$A$3:$A$5000&amp;INPUT!$C$3:$C$5000,INPUT!$D$3:$D$5000),2,FALSE),"")</f>
        <v>TEC-TAC</v>
      </c>
      <c r="I1757" s="46">
        <f>IF(INPUT!P1752="","",INPUT!P1752)</f>
        <v>66.900000000000006</v>
      </c>
      <c r="J1757" s="46">
        <f>IF(INPUT!Q1752="","",INPUT!Q1752)</f>
        <v>66.5</v>
      </c>
      <c r="K1757" s="46">
        <f>IFERROR(IF(OR(INPUT!P1752="",INPUT!Q1752=""),"",INPUT!P1752-INPUT!Q1752),"")</f>
        <v>0.40000000000000568</v>
      </c>
      <c r="L1757" s="48">
        <f>IFERROR(IF(OR(INPUT!P1752="",INPUT!Q1752="",INPUT!P1752=0),"",(INPUT!P1752-INPUT!Q1752)/INPUT!P1752),"")</f>
        <v>5.979073243647319E-3</v>
      </c>
    </row>
    <row r="1758" spans="1:12" ht="18" hidden="1" customHeight="1" x14ac:dyDescent="0.2">
      <c r="A1758" s="11">
        <f>IF(INPUT!M1753="","",INPUT!M1753)</f>
        <v>46044</v>
      </c>
      <c r="B1758" s="11">
        <f>IF(INPUT!M1753="","",INPUT!M1753-WEEKDAY(INPUT!M1753,2)+1)</f>
        <v>46041</v>
      </c>
      <c r="C1758" s="20">
        <f>IFERROR(_xlfn.ISOWEEKNUM(INPUT!M1753),"")</f>
        <v>4</v>
      </c>
      <c r="D1758" s="20">
        <f>IFERROR(YEAR(INPUT!M1753),"")</f>
        <v>2026</v>
      </c>
      <c r="E1758" t="str">
        <f>IF(INPUT!O1753="","",INPUT!O1753)</f>
        <v>PANI</v>
      </c>
      <c r="F1758" t="str">
        <f>IF(INPUT!N1753="","",INPUT!N1753)</f>
        <v>T</v>
      </c>
      <c r="G1758" t="str" cm="1">
        <f t="array" ref="G1758">IFERROR(VLOOKUP(INPUT!M1753&amp;INPUT!N1753,CHOOSE({1,2},INPUT!$A$3:$A$5000&amp;INPUT!$C$3:$C$5000,INPUT!$F$3:$F$5000),2,FALSE),"")</f>
        <v>PRE-TEMPORADA</v>
      </c>
      <c r="H1758" t="str" cm="1">
        <f t="array" ref="H1758">IFERROR(VLOOKUP(INPUT!M1753&amp;INPUT!N1753,CHOOSE({1,2},INPUT!$A$3:$A$5000&amp;INPUT!$C$3:$C$5000,INPUT!$D$3:$D$5000),2,FALSE),"")</f>
        <v>GYM+FISICO</v>
      </c>
      <c r="I1758" s="46">
        <f>IF(INPUT!P1753="","",INPUT!P1753)</f>
        <v>67.099999999999994</v>
      </c>
      <c r="J1758" s="46">
        <f>IF(INPUT!Q1753="","",INPUT!Q1753)</f>
        <v>66</v>
      </c>
      <c r="K1758" s="46">
        <f>IFERROR(IF(OR(INPUT!P1753="",INPUT!Q1753=""),"",INPUT!P1753-INPUT!Q1753),"")</f>
        <v>1.0999999999999943</v>
      </c>
      <c r="L1758" s="48">
        <f>IFERROR(IF(OR(INPUT!P1753="",INPUT!Q1753="",INPUT!P1753=0),"",(INPUT!P1753-INPUT!Q1753)/INPUT!P1753),"")</f>
        <v>1.6393442622950737E-2</v>
      </c>
    </row>
    <row r="1759" spans="1:12" ht="18" hidden="1" customHeight="1" x14ac:dyDescent="0.2">
      <c r="A1759" s="11">
        <f>IF(INPUT!M1754="","",INPUT!M1754)</f>
        <v>46044</v>
      </c>
      <c r="B1759" s="11">
        <f>IF(INPUT!M1754="","",INPUT!M1754-WEEKDAY(INPUT!M1754,2)+1)</f>
        <v>46041</v>
      </c>
      <c r="C1759" s="20">
        <f>IFERROR(_xlfn.ISOWEEKNUM(INPUT!M1754),"")</f>
        <v>4</v>
      </c>
      <c r="D1759" s="20">
        <f>IFERROR(YEAR(INPUT!M1754),"")</f>
        <v>2026</v>
      </c>
      <c r="E1759" t="str">
        <f>IF(INPUT!O1754="","",INPUT!O1754)</f>
        <v>PIRATA</v>
      </c>
      <c r="F1759" t="str">
        <f>IF(INPUT!N1754="","",INPUT!N1754)</f>
        <v>M</v>
      </c>
      <c r="G1759" t="str" cm="1">
        <f t="array" ref="G1759">IFERROR(VLOOKUP(INPUT!M1754&amp;INPUT!N1754,CHOOSE({1,2},INPUT!$A$3:$A$5000&amp;INPUT!$C$3:$C$5000,INPUT!$F$3:$F$5000),2,FALSE),"")</f>
        <v>PRE-TEMPORADA</v>
      </c>
      <c r="H1759" t="str" cm="1">
        <f t="array" ref="H1759">IFERROR(VLOOKUP(INPUT!M1754&amp;INPUT!N1754,CHOOSE({1,2},INPUT!$A$3:$A$5000&amp;INPUT!$C$3:$C$5000,INPUT!$D$3:$D$5000),2,FALSE),"")</f>
        <v>TEC-TAC</v>
      </c>
      <c r="I1759" s="46">
        <f>IF(INPUT!P1754="","",INPUT!P1754)</f>
        <v>75.599999999999994</v>
      </c>
      <c r="J1759" s="46">
        <f>IF(INPUT!Q1754="","",INPUT!Q1754)</f>
        <v>75</v>
      </c>
      <c r="K1759" s="46">
        <f>IFERROR(IF(OR(INPUT!P1754="",INPUT!Q1754=""),"",INPUT!P1754-INPUT!Q1754),"")</f>
        <v>0.59999999999999432</v>
      </c>
      <c r="L1759" s="48">
        <f>IFERROR(IF(OR(INPUT!P1754="",INPUT!Q1754="",INPUT!P1754=0),"",(INPUT!P1754-INPUT!Q1754)/INPUT!P1754),"")</f>
        <v>7.9365079365078615E-3</v>
      </c>
    </row>
    <row r="1760" spans="1:12" ht="18" hidden="1" customHeight="1" x14ac:dyDescent="0.2">
      <c r="A1760" s="11">
        <f>IF(INPUT!M1755="","",INPUT!M1755)</f>
        <v>46044</v>
      </c>
      <c r="B1760" s="11">
        <f>IF(INPUT!M1755="","",INPUT!M1755-WEEKDAY(INPUT!M1755,2)+1)</f>
        <v>46041</v>
      </c>
      <c r="C1760" s="20">
        <f>IFERROR(_xlfn.ISOWEEKNUM(INPUT!M1755),"")</f>
        <v>4</v>
      </c>
      <c r="D1760" s="20">
        <f>IFERROR(YEAR(INPUT!M1755),"")</f>
        <v>2026</v>
      </c>
      <c r="E1760" t="str">
        <f>IF(INPUT!O1755="","",INPUT!O1755)</f>
        <v>PIRATA</v>
      </c>
      <c r="F1760" t="str">
        <f>IF(INPUT!N1755="","",INPUT!N1755)</f>
        <v>T</v>
      </c>
      <c r="G1760" t="str" cm="1">
        <f t="array" ref="G1760">IFERROR(VLOOKUP(INPUT!M1755&amp;INPUT!N1755,CHOOSE({1,2},INPUT!$A$3:$A$5000&amp;INPUT!$C$3:$C$5000,INPUT!$F$3:$F$5000),2,FALSE),"")</f>
        <v>PRE-TEMPORADA</v>
      </c>
      <c r="H1760" t="str" cm="1">
        <f t="array" ref="H1760">IFERROR(VLOOKUP(INPUT!M1755&amp;INPUT!N1755,CHOOSE({1,2},INPUT!$A$3:$A$5000&amp;INPUT!$C$3:$C$5000,INPUT!$D$3:$D$5000),2,FALSE),"")</f>
        <v>GYM+FISICO</v>
      </c>
      <c r="I1760" s="46">
        <f>IF(INPUT!P1755="","",INPUT!P1755)</f>
        <v>75.400000000000006</v>
      </c>
      <c r="J1760" s="46">
        <f>IF(INPUT!Q1755="","",INPUT!Q1755)</f>
        <v>75.2</v>
      </c>
      <c r="K1760" s="46">
        <f>IFERROR(IF(OR(INPUT!P1755="",INPUT!Q1755=""),"",INPUT!P1755-INPUT!Q1755),"")</f>
        <v>0.20000000000000284</v>
      </c>
      <c r="L1760" s="48">
        <f>IFERROR(IF(OR(INPUT!P1755="",INPUT!Q1755="",INPUT!P1755=0),"",(INPUT!P1755-INPUT!Q1755)/INPUT!P1755),"")</f>
        <v>2.6525198938992418E-3</v>
      </c>
    </row>
    <row r="1761" spans="1:12" ht="18" hidden="1" customHeight="1" x14ac:dyDescent="0.2">
      <c r="A1761" s="11">
        <f>IF(INPUT!M1756="","",INPUT!M1756)</f>
        <v>46044</v>
      </c>
      <c r="B1761" s="11">
        <f>IF(INPUT!M1756="","",INPUT!M1756-WEEKDAY(INPUT!M1756,2)+1)</f>
        <v>46041</v>
      </c>
      <c r="C1761" s="20">
        <f>IFERROR(_xlfn.ISOWEEKNUM(INPUT!M1756),"")</f>
        <v>4</v>
      </c>
      <c r="D1761" s="20">
        <f>IFERROR(YEAR(INPUT!M1756),"")</f>
        <v>2026</v>
      </c>
      <c r="E1761" t="str">
        <f>IF(INPUT!O1756="","",INPUT!O1756)</f>
        <v>BARONA</v>
      </c>
      <c r="F1761" t="str">
        <f>IF(INPUT!N1756="","",INPUT!N1756)</f>
        <v>M</v>
      </c>
      <c r="G1761" t="str" cm="1">
        <f t="array" ref="G1761">IFERROR(VLOOKUP(INPUT!M1756&amp;INPUT!N1756,CHOOSE({1,2},INPUT!$A$3:$A$5000&amp;INPUT!$C$3:$C$5000,INPUT!$F$3:$F$5000),2,FALSE),"")</f>
        <v>PRE-TEMPORADA</v>
      </c>
      <c r="H1761" t="str" cm="1">
        <f t="array" ref="H1761">IFERROR(VLOOKUP(INPUT!M1756&amp;INPUT!N1756,CHOOSE({1,2},INPUT!$A$3:$A$5000&amp;INPUT!$C$3:$C$5000,INPUT!$D$3:$D$5000),2,FALSE),"")</f>
        <v>TEC-TAC</v>
      </c>
      <c r="I1761" s="46">
        <f>IF(INPUT!P1756="","",INPUT!P1756)</f>
        <v>71</v>
      </c>
      <c r="J1761" s="46">
        <f>IF(INPUT!Q1756="","",INPUT!Q1756)</f>
        <v>71</v>
      </c>
      <c r="K1761" s="46">
        <f>IFERROR(IF(OR(INPUT!P1756="",INPUT!Q1756=""),"",INPUT!P1756-INPUT!Q1756),"")</f>
        <v>0</v>
      </c>
      <c r="L1761" s="48">
        <f>IFERROR(IF(OR(INPUT!P1756="",INPUT!Q1756="",INPUT!P1756=0),"",(INPUT!P1756-INPUT!Q1756)/INPUT!P1756),"")</f>
        <v>0</v>
      </c>
    </row>
    <row r="1762" spans="1:12" ht="18" hidden="1" customHeight="1" x14ac:dyDescent="0.2">
      <c r="A1762" s="11">
        <f>IF(INPUT!M1757="","",INPUT!M1757)</f>
        <v>46044</v>
      </c>
      <c r="B1762" s="11">
        <f>IF(INPUT!M1757="","",INPUT!M1757-WEEKDAY(INPUT!M1757,2)+1)</f>
        <v>46041</v>
      </c>
      <c r="C1762" s="20">
        <f>IFERROR(_xlfn.ISOWEEKNUM(INPUT!M1757),"")</f>
        <v>4</v>
      </c>
      <c r="D1762" s="20">
        <f>IFERROR(YEAR(INPUT!M1757),"")</f>
        <v>2026</v>
      </c>
      <c r="E1762" t="str">
        <f>IF(INPUT!O1757="","",INPUT!O1757)</f>
        <v>BARONA</v>
      </c>
      <c r="F1762" t="str">
        <f>IF(INPUT!N1757="","",INPUT!N1757)</f>
        <v>T</v>
      </c>
      <c r="G1762" t="str" cm="1">
        <f t="array" ref="G1762">IFERROR(VLOOKUP(INPUT!M1757&amp;INPUT!N1757,CHOOSE({1,2},INPUT!$A$3:$A$5000&amp;INPUT!$C$3:$C$5000,INPUT!$F$3:$F$5000),2,FALSE),"")</f>
        <v>PRE-TEMPORADA</v>
      </c>
      <c r="H1762" t="str" cm="1">
        <f t="array" ref="H1762">IFERROR(VLOOKUP(INPUT!M1757&amp;INPUT!N1757,CHOOSE({1,2},INPUT!$A$3:$A$5000&amp;INPUT!$C$3:$C$5000,INPUT!$D$3:$D$5000),2,FALSE),"")</f>
        <v>GYM+FISICO</v>
      </c>
      <c r="I1762" s="46">
        <f>IF(INPUT!P1757="","",INPUT!P1757)</f>
        <v>71</v>
      </c>
      <c r="J1762" s="46">
        <f>IF(INPUT!Q1757="","",INPUT!Q1757)</f>
        <v>70.3</v>
      </c>
      <c r="K1762" s="46">
        <f>IFERROR(IF(OR(INPUT!P1757="",INPUT!Q1757=""),"",INPUT!P1757-INPUT!Q1757),"")</f>
        <v>0.70000000000000284</v>
      </c>
      <c r="L1762" s="48">
        <f>IFERROR(IF(OR(INPUT!P1757="",INPUT!Q1757="",INPUT!P1757=0),"",(INPUT!P1757-INPUT!Q1757)/INPUT!P1757),"")</f>
        <v>9.8591549295775054E-3</v>
      </c>
    </row>
    <row r="1763" spans="1:12" ht="18" hidden="1" customHeight="1" x14ac:dyDescent="0.2">
      <c r="A1763" s="11">
        <f>IF(INPUT!M1758="","",INPUT!M1758)</f>
        <v>46044</v>
      </c>
      <c r="B1763" s="11">
        <f>IF(INPUT!M1758="","",INPUT!M1758-WEEKDAY(INPUT!M1758,2)+1)</f>
        <v>46041</v>
      </c>
      <c r="C1763" s="20">
        <f>IFERROR(_xlfn.ISOWEEKNUM(INPUT!M1758),"")</f>
        <v>4</v>
      </c>
      <c r="D1763" s="20">
        <f>IFERROR(YEAR(INPUT!M1758),"")</f>
        <v>2026</v>
      </c>
      <c r="E1763" t="str">
        <f>IF(INPUT!O1758="","",INPUT!O1758)</f>
        <v>CARLOS</v>
      </c>
      <c r="F1763" t="str">
        <f>IF(INPUT!N1758="","",INPUT!N1758)</f>
        <v>M</v>
      </c>
      <c r="G1763" t="str" cm="1">
        <f t="array" ref="G1763">IFERROR(VLOOKUP(INPUT!M1758&amp;INPUT!N1758,CHOOSE({1,2},INPUT!$A$3:$A$5000&amp;INPUT!$C$3:$C$5000,INPUT!$F$3:$F$5000),2,FALSE),"")</f>
        <v>PRE-TEMPORADA</v>
      </c>
      <c r="H1763" t="str" cm="1">
        <f t="array" ref="H1763">IFERROR(VLOOKUP(INPUT!M1758&amp;INPUT!N1758,CHOOSE({1,2},INPUT!$A$3:$A$5000&amp;INPUT!$C$3:$C$5000,INPUT!$D$3:$D$5000),2,FALSE),"")</f>
        <v>TEC-TAC</v>
      </c>
      <c r="I1763" s="46">
        <f>IF(INPUT!P1758="","",INPUT!P1758)</f>
        <v>68</v>
      </c>
      <c r="J1763" s="46">
        <f>IF(INPUT!Q1758="","",INPUT!Q1758)</f>
        <v>67</v>
      </c>
      <c r="K1763" s="46">
        <f>IFERROR(IF(OR(INPUT!P1758="",INPUT!Q1758=""),"",INPUT!P1758-INPUT!Q1758),"")</f>
        <v>1</v>
      </c>
      <c r="L1763" s="48">
        <f>IFERROR(IF(OR(INPUT!P1758="",INPUT!Q1758="",INPUT!P1758=0),"",(INPUT!P1758-INPUT!Q1758)/INPUT!P1758),"")</f>
        <v>1.4705882352941176E-2</v>
      </c>
    </row>
    <row r="1764" spans="1:12" ht="18" hidden="1" customHeight="1" x14ac:dyDescent="0.2">
      <c r="A1764" s="11">
        <f>IF(INPUT!M1759="","",INPUT!M1759)</f>
        <v>46044</v>
      </c>
      <c r="B1764" s="11">
        <f>IF(INPUT!M1759="","",INPUT!M1759-WEEKDAY(INPUT!M1759,2)+1)</f>
        <v>46041</v>
      </c>
      <c r="C1764" s="20">
        <f>IFERROR(_xlfn.ISOWEEKNUM(INPUT!M1759),"")</f>
        <v>4</v>
      </c>
      <c r="D1764" s="20">
        <f>IFERROR(YEAR(INPUT!M1759),"")</f>
        <v>2026</v>
      </c>
      <c r="E1764" t="str">
        <f>IF(INPUT!O1759="","",INPUT!O1759)</f>
        <v>CARLOS</v>
      </c>
      <c r="F1764" t="str">
        <f>IF(INPUT!N1759="","",INPUT!N1759)</f>
        <v>T</v>
      </c>
      <c r="G1764" t="str" cm="1">
        <f t="array" ref="G1764">IFERROR(VLOOKUP(INPUT!M1759&amp;INPUT!N1759,CHOOSE({1,2},INPUT!$A$3:$A$5000&amp;INPUT!$C$3:$C$5000,INPUT!$F$3:$F$5000),2,FALSE),"")</f>
        <v>PRE-TEMPORADA</v>
      </c>
      <c r="H1764" t="str" cm="1">
        <f t="array" ref="H1764">IFERROR(VLOOKUP(INPUT!M1759&amp;INPUT!N1759,CHOOSE({1,2},INPUT!$A$3:$A$5000&amp;INPUT!$C$3:$C$5000,INPUT!$D$3:$D$5000),2,FALSE),"")</f>
        <v>GYM+FISICO</v>
      </c>
      <c r="I1764" s="46">
        <f>IF(INPUT!P1759="","",INPUT!P1759)</f>
        <v>68.099999999999994</v>
      </c>
      <c r="J1764" s="46">
        <f>IF(INPUT!Q1759="","",INPUT!Q1759)</f>
        <v>67.3</v>
      </c>
      <c r="K1764" s="46">
        <f>IFERROR(IF(OR(INPUT!P1759="",INPUT!Q1759=""),"",INPUT!P1759-INPUT!Q1759),"")</f>
        <v>0.79999999999999716</v>
      </c>
      <c r="L1764" s="48">
        <f>IFERROR(IF(OR(INPUT!P1759="",INPUT!Q1759="",INPUT!P1759=0),"",(INPUT!P1759-INPUT!Q1759)/INPUT!P1759),"")</f>
        <v>1.1747430249632852E-2</v>
      </c>
    </row>
    <row r="1765" spans="1:12" ht="18" hidden="1" customHeight="1" x14ac:dyDescent="0.2">
      <c r="A1765" s="11">
        <f>IF(INPUT!M1760="","",INPUT!M1760)</f>
        <v>46044</v>
      </c>
      <c r="B1765" s="11">
        <f>IF(INPUT!M1760="","",INPUT!M1760-WEEKDAY(INPUT!M1760,2)+1)</f>
        <v>46041</v>
      </c>
      <c r="C1765" s="20">
        <f>IFERROR(_xlfn.ISOWEEKNUM(INPUT!M1760),"")</f>
        <v>4</v>
      </c>
      <c r="D1765" s="20">
        <f>IFERROR(YEAR(INPUT!M1760),"")</f>
        <v>2026</v>
      </c>
      <c r="E1765" t="str">
        <f>IF(INPUT!O1760="","",INPUT!O1760)</f>
        <v>GONZALO</v>
      </c>
      <c r="F1765" t="str">
        <f>IF(INPUT!N1760="","",INPUT!N1760)</f>
        <v>M</v>
      </c>
      <c r="G1765" t="str" cm="1">
        <f t="array" ref="G1765">IFERROR(VLOOKUP(INPUT!M1760&amp;INPUT!N1760,CHOOSE({1,2},INPUT!$A$3:$A$5000&amp;INPUT!$C$3:$C$5000,INPUT!$F$3:$F$5000),2,FALSE),"")</f>
        <v>PRE-TEMPORADA</v>
      </c>
      <c r="H1765" t="str" cm="1">
        <f t="array" ref="H1765">IFERROR(VLOOKUP(INPUT!M1760&amp;INPUT!N1760,CHOOSE({1,2},INPUT!$A$3:$A$5000&amp;INPUT!$C$3:$C$5000,INPUT!$D$3:$D$5000),2,FALSE),"")</f>
        <v>TEC-TAC</v>
      </c>
      <c r="I1765" s="46">
        <f>IF(INPUT!P1760="","",INPUT!P1760)</f>
        <v>84.2</v>
      </c>
      <c r="J1765" s="46">
        <f>IF(INPUT!Q1760="","",INPUT!Q1760)</f>
        <v>84.3</v>
      </c>
      <c r="K1765" s="46">
        <f>IFERROR(IF(OR(INPUT!P1760="",INPUT!Q1760=""),"",INPUT!P1760-INPUT!Q1760),"")</f>
        <v>-9.9999999999994316E-2</v>
      </c>
      <c r="L1765" s="48">
        <f>IFERROR(IF(OR(INPUT!P1760="",INPUT!Q1760="",INPUT!P1760=0),"",(INPUT!P1760-INPUT!Q1760)/INPUT!P1760),"")</f>
        <v>-1.1876484560569395E-3</v>
      </c>
    </row>
    <row r="1766" spans="1:12" ht="18" hidden="1" customHeight="1" x14ac:dyDescent="0.2">
      <c r="A1766" s="11">
        <f>IF(INPUT!M1761="","",INPUT!M1761)</f>
        <v>46044</v>
      </c>
      <c r="B1766" s="11">
        <f>IF(INPUT!M1761="","",INPUT!M1761-WEEKDAY(INPUT!M1761,2)+1)</f>
        <v>46041</v>
      </c>
      <c r="C1766" s="20">
        <f>IFERROR(_xlfn.ISOWEEKNUM(INPUT!M1761),"")</f>
        <v>4</v>
      </c>
      <c r="D1766" s="20">
        <f>IFERROR(YEAR(INPUT!M1761),"")</f>
        <v>2026</v>
      </c>
      <c r="E1766" t="str">
        <f>IF(INPUT!O1761="","",INPUT!O1761)</f>
        <v>GONZALO</v>
      </c>
      <c r="F1766" t="str">
        <f>IF(INPUT!N1761="","",INPUT!N1761)</f>
        <v>T</v>
      </c>
      <c r="G1766" t="str" cm="1">
        <f t="array" ref="G1766">IFERROR(VLOOKUP(INPUT!M1761&amp;INPUT!N1761,CHOOSE({1,2},INPUT!$A$3:$A$5000&amp;INPUT!$C$3:$C$5000,INPUT!$F$3:$F$5000),2,FALSE),"")</f>
        <v>PRE-TEMPORADA</v>
      </c>
      <c r="H1766" t="str" cm="1">
        <f t="array" ref="H1766">IFERROR(VLOOKUP(INPUT!M1761&amp;INPUT!N1761,CHOOSE({1,2},INPUT!$A$3:$A$5000&amp;INPUT!$C$3:$C$5000,INPUT!$D$3:$D$5000),2,FALSE),"")</f>
        <v>GYM+FISICO</v>
      </c>
      <c r="I1766" s="46">
        <f>IF(INPUT!P1761="","",INPUT!P1761)</f>
        <v>84.3</v>
      </c>
      <c r="J1766" s="46">
        <f>IF(INPUT!Q1761="","",INPUT!Q1761)</f>
        <v>84.2</v>
      </c>
      <c r="K1766" s="46">
        <f>IFERROR(IF(OR(INPUT!P1761="",INPUT!Q1761=""),"",INPUT!P1761-INPUT!Q1761),"")</f>
        <v>9.9999999999994316E-2</v>
      </c>
      <c r="L1766" s="48">
        <f>IFERROR(IF(OR(INPUT!P1761="",INPUT!Q1761="",INPUT!P1761=0),"",(INPUT!P1761-INPUT!Q1761)/INPUT!P1761),"")</f>
        <v>1.1862396204032541E-3</v>
      </c>
    </row>
    <row r="1767" spans="1:12" ht="18" hidden="1" customHeight="1" x14ac:dyDescent="0.2">
      <c r="A1767" s="11">
        <f>IF(INPUT!M1762="","",INPUT!M1762)</f>
        <v>46044</v>
      </c>
      <c r="B1767" s="11">
        <f>IF(INPUT!M1762="","",INPUT!M1762-WEEKDAY(INPUT!M1762,2)+1)</f>
        <v>46041</v>
      </c>
      <c r="C1767" s="20">
        <f>IFERROR(_xlfn.ISOWEEKNUM(INPUT!M1762),"")</f>
        <v>4</v>
      </c>
      <c r="D1767" s="20">
        <f>IFERROR(YEAR(INPUT!M1762),"")</f>
        <v>2026</v>
      </c>
      <c r="E1767" t="str">
        <f>IF(INPUT!O1762="","",INPUT!O1762)</f>
        <v>RUBIO</v>
      </c>
      <c r="F1767" t="str">
        <f>IF(INPUT!N1762="","",INPUT!N1762)</f>
        <v>M</v>
      </c>
      <c r="G1767" t="str" cm="1">
        <f t="array" ref="G1767">IFERROR(VLOOKUP(INPUT!M1762&amp;INPUT!N1762,CHOOSE({1,2},INPUT!$A$3:$A$5000&amp;INPUT!$C$3:$C$5000,INPUT!$F$3:$F$5000),2,FALSE),"")</f>
        <v>PRE-TEMPORADA</v>
      </c>
      <c r="H1767" t="str" cm="1">
        <f t="array" ref="H1767">IFERROR(VLOOKUP(INPUT!M1762&amp;INPUT!N1762,CHOOSE({1,2},INPUT!$A$3:$A$5000&amp;INPUT!$C$3:$C$5000,INPUT!$D$3:$D$5000),2,FALSE),"")</f>
        <v>TEC-TAC</v>
      </c>
      <c r="I1767" s="46">
        <f>IF(INPUT!P1762="","",INPUT!P1762)</f>
        <v>74.8</v>
      </c>
      <c r="J1767" s="46">
        <f>IF(INPUT!Q1762="","",INPUT!Q1762)</f>
        <v>74</v>
      </c>
      <c r="K1767" s="46">
        <f>IFERROR(IF(OR(INPUT!P1762="",INPUT!Q1762=""),"",INPUT!P1762-INPUT!Q1762),"")</f>
        <v>0.79999999999999716</v>
      </c>
      <c r="L1767" s="48">
        <f>IFERROR(IF(OR(INPUT!P1762="",INPUT!Q1762="",INPUT!P1762=0),"",(INPUT!P1762-INPUT!Q1762)/INPUT!P1762),"")</f>
        <v>1.0695187165775364E-2</v>
      </c>
    </row>
    <row r="1768" spans="1:12" ht="18" hidden="1" customHeight="1" x14ac:dyDescent="0.2">
      <c r="A1768" s="11">
        <f>IF(INPUT!M1763="","",INPUT!M1763)</f>
        <v>46044</v>
      </c>
      <c r="B1768" s="11">
        <f>IF(INPUT!M1763="","",INPUT!M1763-WEEKDAY(INPUT!M1763,2)+1)</f>
        <v>46041</v>
      </c>
      <c r="C1768" s="20">
        <f>IFERROR(_xlfn.ISOWEEKNUM(INPUT!M1763),"")</f>
        <v>4</v>
      </c>
      <c r="D1768" s="20">
        <f>IFERROR(YEAR(INPUT!M1763),"")</f>
        <v>2026</v>
      </c>
      <c r="E1768" t="str">
        <f>IF(INPUT!O1763="","",INPUT!O1763)</f>
        <v>RUBIO</v>
      </c>
      <c r="F1768" t="str">
        <f>IF(INPUT!N1763="","",INPUT!N1763)</f>
        <v>T</v>
      </c>
      <c r="G1768" t="str" cm="1">
        <f t="array" ref="G1768">IFERROR(VLOOKUP(INPUT!M1763&amp;INPUT!N1763,CHOOSE({1,2},INPUT!$A$3:$A$5000&amp;INPUT!$C$3:$C$5000,INPUT!$F$3:$F$5000),2,FALSE),"")</f>
        <v>PRE-TEMPORADA</v>
      </c>
      <c r="H1768" t="str" cm="1">
        <f t="array" ref="H1768">IFERROR(VLOOKUP(INPUT!M1763&amp;INPUT!N1763,CHOOSE({1,2},INPUT!$A$3:$A$5000&amp;INPUT!$C$3:$C$5000,INPUT!$D$3:$D$5000),2,FALSE),"")</f>
        <v>GYM+FISICO</v>
      </c>
      <c r="I1768" s="46">
        <f>IF(INPUT!P1763="","",INPUT!P1763)</f>
        <v>74.7</v>
      </c>
      <c r="J1768" s="46">
        <f>IF(INPUT!Q1763="","",INPUT!Q1763)</f>
        <v>74.7</v>
      </c>
      <c r="K1768" s="46">
        <f>IFERROR(IF(OR(INPUT!P1763="",INPUT!Q1763=""),"",INPUT!P1763-INPUT!Q1763),"")</f>
        <v>0</v>
      </c>
      <c r="L1768" s="48">
        <f>IFERROR(IF(OR(INPUT!P1763="",INPUT!Q1763="",INPUT!P1763=0),"",(INPUT!P1763-INPUT!Q1763)/INPUT!P1763),"")</f>
        <v>0</v>
      </c>
    </row>
    <row r="1769" spans="1:12" ht="18" hidden="1" customHeight="1" x14ac:dyDescent="0.2">
      <c r="A1769" s="11">
        <f>IF(INPUT!M1764="","",INPUT!M1764)</f>
        <v>46044</v>
      </c>
      <c r="B1769" s="11">
        <f>IF(INPUT!M1764="","",INPUT!M1764-WEEKDAY(INPUT!M1764,2)+1)</f>
        <v>46041</v>
      </c>
      <c r="C1769" s="20">
        <f>IFERROR(_xlfn.ISOWEEKNUM(INPUT!M1764),"")</f>
        <v>4</v>
      </c>
      <c r="D1769" s="20">
        <f>IFERROR(YEAR(INPUT!M1764),"")</f>
        <v>2026</v>
      </c>
      <c r="E1769" t="str">
        <f>IF(INPUT!O1764="","",INPUT!O1764)</f>
        <v>DANI</v>
      </c>
      <c r="F1769" t="str">
        <f>IF(INPUT!N1764="","",INPUT!N1764)</f>
        <v>M</v>
      </c>
      <c r="G1769" t="str" cm="1">
        <f t="array" ref="G1769">IFERROR(VLOOKUP(INPUT!M1764&amp;INPUT!N1764,CHOOSE({1,2},INPUT!$A$3:$A$5000&amp;INPUT!$C$3:$C$5000,INPUT!$F$3:$F$5000),2,FALSE),"")</f>
        <v>PRE-TEMPORADA</v>
      </c>
      <c r="H1769" t="str" cm="1">
        <f t="array" ref="H1769">IFERROR(VLOOKUP(INPUT!M1764&amp;INPUT!N1764,CHOOSE({1,2},INPUT!$A$3:$A$5000&amp;INPUT!$C$3:$C$5000,INPUT!$D$3:$D$5000),2,FALSE),"")</f>
        <v>TEC-TAC</v>
      </c>
      <c r="I1769" s="46">
        <f>IF(INPUT!P1764="","",INPUT!P1764)</f>
        <v>91.7</v>
      </c>
      <c r="J1769" s="46">
        <f>IF(INPUT!Q1764="","",INPUT!Q1764)</f>
        <v>91.2</v>
      </c>
      <c r="K1769" s="46">
        <f>IFERROR(IF(OR(INPUT!P1764="",INPUT!Q1764=""),"",INPUT!P1764-INPUT!Q1764),"")</f>
        <v>0.5</v>
      </c>
      <c r="L1769" s="48">
        <f>IFERROR(IF(OR(INPUT!P1764="",INPUT!Q1764="",INPUT!P1764=0),"",(INPUT!P1764-INPUT!Q1764)/INPUT!P1764),"")</f>
        <v>5.4525627044711015E-3</v>
      </c>
    </row>
    <row r="1770" spans="1:12" ht="18" hidden="1" customHeight="1" x14ac:dyDescent="0.2">
      <c r="A1770" s="11">
        <f>IF(INPUT!M1765="","",INPUT!M1765)</f>
        <v>46044</v>
      </c>
      <c r="B1770" s="11">
        <f>IF(INPUT!M1765="","",INPUT!M1765-WEEKDAY(INPUT!M1765,2)+1)</f>
        <v>46041</v>
      </c>
      <c r="C1770" s="20">
        <f>IFERROR(_xlfn.ISOWEEKNUM(INPUT!M1765),"")</f>
        <v>4</v>
      </c>
      <c r="D1770" s="20">
        <f>IFERROR(YEAR(INPUT!M1765),"")</f>
        <v>2026</v>
      </c>
      <c r="E1770" t="str">
        <f>IF(INPUT!O1765="","",INPUT!O1765)</f>
        <v>DANI</v>
      </c>
      <c r="F1770" t="str">
        <f>IF(INPUT!N1765="","",INPUT!N1765)</f>
        <v>T</v>
      </c>
      <c r="G1770" t="str" cm="1">
        <f t="array" ref="G1770">IFERROR(VLOOKUP(INPUT!M1765&amp;INPUT!N1765,CHOOSE({1,2},INPUT!$A$3:$A$5000&amp;INPUT!$C$3:$C$5000,INPUT!$F$3:$F$5000),2,FALSE),"")</f>
        <v>PRE-TEMPORADA</v>
      </c>
      <c r="H1770" t="str" cm="1">
        <f t="array" ref="H1770">IFERROR(VLOOKUP(INPUT!M1765&amp;INPUT!N1765,CHOOSE({1,2},INPUT!$A$3:$A$5000&amp;INPUT!$C$3:$C$5000,INPUT!$D$3:$D$5000),2,FALSE),"")</f>
        <v>GYM+FISICO</v>
      </c>
      <c r="I1770" s="46">
        <f>IF(INPUT!P1765="","",INPUT!P1765)</f>
        <v>92</v>
      </c>
      <c r="J1770" s="46">
        <f>IF(INPUT!Q1765="","",INPUT!Q1765)</f>
        <v>91.5</v>
      </c>
      <c r="K1770" s="46">
        <f>IFERROR(IF(OR(INPUT!P1765="",INPUT!Q1765=""),"",INPUT!P1765-INPUT!Q1765),"")</f>
        <v>0.5</v>
      </c>
      <c r="L1770" s="48">
        <f>IFERROR(IF(OR(INPUT!P1765="",INPUT!Q1765="",INPUT!P1765=0),"",(INPUT!P1765-INPUT!Q1765)/INPUT!P1765),"")</f>
        <v>5.434782608695652E-3</v>
      </c>
    </row>
    <row r="1771" spans="1:12" ht="18" hidden="1" customHeight="1" x14ac:dyDescent="0.2">
      <c r="A1771" s="11">
        <f>IF(INPUT!M1766="","",INPUT!M1766)</f>
        <v>46044</v>
      </c>
      <c r="B1771" s="11">
        <f>IF(INPUT!M1766="","",INPUT!M1766-WEEKDAY(INPUT!M1766,2)+1)</f>
        <v>46041</v>
      </c>
      <c r="C1771" s="20">
        <f>IFERROR(_xlfn.ISOWEEKNUM(INPUT!M1766),"")</f>
        <v>4</v>
      </c>
      <c r="D1771" s="20">
        <f>IFERROR(YEAR(INPUT!M1766),"")</f>
        <v>2026</v>
      </c>
      <c r="E1771" t="str">
        <f>IF(INPUT!O1766="","",INPUT!O1766)</f>
        <v>JAIME</v>
      </c>
      <c r="F1771" t="str">
        <f>IF(INPUT!N1766="","",INPUT!N1766)</f>
        <v>M</v>
      </c>
      <c r="G1771" t="str" cm="1">
        <f t="array" ref="G1771">IFERROR(VLOOKUP(INPUT!M1766&amp;INPUT!N1766,CHOOSE({1,2},INPUT!$A$3:$A$5000&amp;INPUT!$C$3:$C$5000,INPUT!$F$3:$F$5000),2,FALSE),"")</f>
        <v>PRE-TEMPORADA</v>
      </c>
      <c r="H1771" t="str" cm="1">
        <f t="array" ref="H1771">IFERROR(VLOOKUP(INPUT!M1766&amp;INPUT!N1766,CHOOSE({1,2},INPUT!$A$3:$A$5000&amp;INPUT!$C$3:$C$5000,INPUT!$D$3:$D$5000),2,FALSE),"")</f>
        <v>TEC-TAC</v>
      </c>
      <c r="I1771" s="46">
        <f>IF(INPUT!P1766="","",INPUT!P1766)</f>
        <v>75.7</v>
      </c>
      <c r="J1771" s="46">
        <f>IF(INPUT!Q1766="","",INPUT!Q1766)</f>
        <v>75.599999999999994</v>
      </c>
      <c r="K1771" s="46">
        <f>IFERROR(IF(OR(INPUT!P1766="",INPUT!Q1766=""),"",INPUT!P1766-INPUT!Q1766),"")</f>
        <v>0.10000000000000853</v>
      </c>
      <c r="L1771" s="48">
        <f>IFERROR(IF(OR(INPUT!P1766="",INPUT!Q1766="",INPUT!P1766=0),"",(INPUT!P1766-INPUT!Q1766)/INPUT!P1766),"")</f>
        <v>1.3210039630120016E-3</v>
      </c>
    </row>
    <row r="1772" spans="1:12" ht="18" hidden="1" customHeight="1" x14ac:dyDescent="0.2">
      <c r="A1772" s="11">
        <f>IF(INPUT!M1767="","",INPUT!M1767)</f>
        <v>46045</v>
      </c>
      <c r="B1772" s="11">
        <f>IF(INPUT!M1767="","",INPUT!M1767-WEEKDAY(INPUT!M1767,2)+1)</f>
        <v>46041</v>
      </c>
      <c r="C1772" s="20">
        <f>IFERROR(_xlfn.ISOWEEKNUM(INPUT!M1767),"")</f>
        <v>4</v>
      </c>
      <c r="D1772" s="20">
        <f>IFERROR(YEAR(INPUT!M1767),"")</f>
        <v>2026</v>
      </c>
      <c r="E1772" t="str">
        <f>IF(INPUT!O1767="","",INPUT!O1767)</f>
        <v>HERRERO</v>
      </c>
      <c r="F1772" t="str">
        <f>IF(INPUT!N1767="","",INPUT!N1767)</f>
        <v>M</v>
      </c>
      <c r="G1772" t="str" cm="1">
        <f t="array" ref="G1772">IFERROR(VLOOKUP(INPUT!M1767&amp;INPUT!N1767,CHOOSE({1,2},INPUT!$A$3:$A$5000&amp;INPUT!$C$3:$C$5000,INPUT!$F$3:$F$5000),2,FALSE),"")</f>
        <v>PRE-TEMPORADA</v>
      </c>
      <c r="H1772" t="str" cm="1">
        <f t="array" ref="H1772">IFERROR(VLOOKUP(INPUT!M1767&amp;INPUT!N1767,CHOOSE({1,2},INPUT!$A$3:$A$5000&amp;INPUT!$C$3:$C$5000,INPUT!$D$3:$D$5000),2,FALSE),"")</f>
        <v>TEC-TAC</v>
      </c>
      <c r="I1772" s="46">
        <f>IF(INPUT!P1767="","",INPUT!P1767)</f>
        <v>77</v>
      </c>
      <c r="J1772" s="46">
        <f>IF(INPUT!Q1767="","",INPUT!Q1767)</f>
        <v>76.099999999999994</v>
      </c>
      <c r="K1772" s="46">
        <f>IFERROR(IF(OR(INPUT!P1767="",INPUT!Q1767=""),"",INPUT!P1767-INPUT!Q1767),"")</f>
        <v>0.90000000000000568</v>
      </c>
      <c r="L1772" s="48">
        <f>IFERROR(IF(OR(INPUT!P1767="",INPUT!Q1767="",INPUT!P1767=0),"",(INPUT!P1767-INPUT!Q1767)/INPUT!P1767),"")</f>
        <v>1.1688311688311762E-2</v>
      </c>
    </row>
    <row r="1773" spans="1:12" ht="18" hidden="1" customHeight="1" x14ac:dyDescent="0.2">
      <c r="A1773" s="11">
        <f>IF(INPUT!M1768="","",INPUT!M1768)</f>
        <v>46045</v>
      </c>
      <c r="B1773" s="11">
        <f>IF(INPUT!M1768="","",INPUT!M1768-WEEKDAY(INPUT!M1768,2)+1)</f>
        <v>46041</v>
      </c>
      <c r="C1773" s="20">
        <f>IFERROR(_xlfn.ISOWEEKNUM(INPUT!M1768),"")</f>
        <v>4</v>
      </c>
      <c r="D1773" s="20">
        <f>IFERROR(YEAR(INPUT!M1768),"")</f>
        <v>2026</v>
      </c>
      <c r="E1773" t="str">
        <f>IF(INPUT!O1768="","",INPUT!O1768)</f>
        <v>GARCIA</v>
      </c>
      <c r="F1773" t="str">
        <f>IF(INPUT!N1768="","",INPUT!N1768)</f>
        <v>M</v>
      </c>
      <c r="G1773" t="str" cm="1">
        <f t="array" ref="G1773">IFERROR(VLOOKUP(INPUT!M1768&amp;INPUT!N1768,CHOOSE({1,2},INPUT!$A$3:$A$5000&amp;INPUT!$C$3:$C$5000,INPUT!$F$3:$F$5000),2,FALSE),"")</f>
        <v>PRE-TEMPORADA</v>
      </c>
      <c r="H1773" t="str" cm="1">
        <f t="array" ref="H1773">IFERROR(VLOOKUP(INPUT!M1768&amp;INPUT!N1768,CHOOSE({1,2},INPUT!$A$3:$A$5000&amp;INPUT!$C$3:$C$5000,INPUT!$D$3:$D$5000),2,FALSE),"")</f>
        <v>TEC-TAC</v>
      </c>
      <c r="I1773" s="46">
        <f>IF(INPUT!P1768="","",INPUT!P1768)</f>
        <v>79.2</v>
      </c>
      <c r="J1773" s="46">
        <f>IF(INPUT!Q1768="","",INPUT!Q1768)</f>
        <v>79</v>
      </c>
      <c r="K1773" s="46">
        <f>IFERROR(IF(OR(INPUT!P1768="",INPUT!Q1768=""),"",INPUT!P1768-INPUT!Q1768),"")</f>
        <v>0.20000000000000284</v>
      </c>
      <c r="L1773" s="48">
        <f>IFERROR(IF(OR(INPUT!P1768="",INPUT!Q1768="",INPUT!P1768=0),"",(INPUT!P1768-INPUT!Q1768)/INPUT!P1768),"")</f>
        <v>2.525252525252561E-3</v>
      </c>
    </row>
    <row r="1774" spans="1:12" ht="18" hidden="1" customHeight="1" x14ac:dyDescent="0.2">
      <c r="A1774" s="11">
        <f>IF(INPUT!M1769="","",INPUT!M1769)</f>
        <v>46045</v>
      </c>
      <c r="B1774" s="11">
        <f>IF(INPUT!M1769="","",INPUT!M1769-WEEKDAY(INPUT!M1769,2)+1)</f>
        <v>46041</v>
      </c>
      <c r="C1774" s="20">
        <f>IFERROR(_xlfn.ISOWEEKNUM(INPUT!M1769),"")</f>
        <v>4</v>
      </c>
      <c r="D1774" s="20">
        <f>IFERROR(YEAR(INPUT!M1769),"")</f>
        <v>2026</v>
      </c>
      <c r="E1774" t="str">
        <f>IF(INPUT!O1769="","",INPUT!O1769)</f>
        <v>CHAGUINHA</v>
      </c>
      <c r="F1774" t="str">
        <f>IF(INPUT!N1769="","",INPUT!N1769)</f>
        <v>M</v>
      </c>
      <c r="G1774" t="str" cm="1">
        <f t="array" ref="G1774">IFERROR(VLOOKUP(INPUT!M1769&amp;INPUT!N1769,CHOOSE({1,2},INPUT!$A$3:$A$5000&amp;INPUT!$C$3:$C$5000,INPUT!$F$3:$F$5000),2,FALSE),"")</f>
        <v>PRE-TEMPORADA</v>
      </c>
      <c r="H1774" t="str" cm="1">
        <f t="array" ref="H1774">IFERROR(VLOOKUP(INPUT!M1769&amp;INPUT!N1769,CHOOSE({1,2},INPUT!$A$3:$A$5000&amp;INPUT!$C$3:$C$5000,INPUT!$D$3:$D$5000),2,FALSE),"")</f>
        <v>TEC-TAC</v>
      </c>
      <c r="I1774" s="46">
        <f>IF(INPUT!P1769="","",INPUT!P1769)</f>
        <v>69.5</v>
      </c>
      <c r="J1774" s="46">
        <f>IF(INPUT!Q1769="","",INPUT!Q1769)</f>
        <v>69</v>
      </c>
      <c r="K1774" s="46">
        <f>IFERROR(IF(OR(INPUT!P1769="",INPUT!Q1769=""),"",INPUT!P1769-INPUT!Q1769),"")</f>
        <v>0.5</v>
      </c>
      <c r="L1774" s="48">
        <f>IFERROR(IF(OR(INPUT!P1769="",INPUT!Q1769="",INPUT!P1769=0),"",(INPUT!P1769-INPUT!Q1769)/INPUT!P1769),"")</f>
        <v>7.1942446043165471E-3</v>
      </c>
    </row>
    <row r="1775" spans="1:12" ht="18" hidden="1" customHeight="1" x14ac:dyDescent="0.2">
      <c r="A1775" s="11">
        <f>IF(INPUT!M1770="","",INPUT!M1770)</f>
        <v>46045</v>
      </c>
      <c r="B1775" s="11">
        <f>IF(INPUT!M1770="","",INPUT!M1770-WEEKDAY(INPUT!M1770,2)+1)</f>
        <v>46041</v>
      </c>
      <c r="C1775" s="20">
        <f>IFERROR(_xlfn.ISOWEEKNUM(INPUT!M1770),"")</f>
        <v>4</v>
      </c>
      <c r="D1775" s="20">
        <f>IFERROR(YEAR(INPUT!M1770),"")</f>
        <v>2026</v>
      </c>
      <c r="E1775" t="str">
        <f>IF(INPUT!O1770="","",INPUT!O1770)</f>
        <v>RAUL</v>
      </c>
      <c r="F1775" t="str">
        <f>IF(INPUT!N1770="","",INPUT!N1770)</f>
        <v>M</v>
      </c>
      <c r="G1775" t="str" cm="1">
        <f t="array" ref="G1775">IFERROR(VLOOKUP(INPUT!M1770&amp;INPUT!N1770,CHOOSE({1,2},INPUT!$A$3:$A$5000&amp;INPUT!$C$3:$C$5000,INPUT!$F$3:$F$5000),2,FALSE),"")</f>
        <v>PRE-TEMPORADA</v>
      </c>
      <c r="H1775" t="str" cm="1">
        <f t="array" ref="H1775">IFERROR(VLOOKUP(INPUT!M1770&amp;INPUT!N1770,CHOOSE({1,2},INPUT!$A$3:$A$5000&amp;INPUT!$C$3:$C$5000,INPUT!$D$3:$D$5000),2,FALSE),"")</f>
        <v>TEC-TAC</v>
      </c>
      <c r="I1775" s="46">
        <f>IF(INPUT!P1770="","",INPUT!P1770)</f>
        <v>80.400000000000006</v>
      </c>
      <c r="J1775" s="46">
        <f>IF(INPUT!Q1770="","",INPUT!Q1770)</f>
        <v>80</v>
      </c>
      <c r="K1775" s="46">
        <f>IFERROR(IF(OR(INPUT!P1770="",INPUT!Q1770=""),"",INPUT!P1770-INPUT!Q1770),"")</f>
        <v>0.40000000000000568</v>
      </c>
      <c r="L1775" s="48">
        <f>IFERROR(IF(OR(INPUT!P1770="",INPUT!Q1770="",INPUT!P1770=0),"",(INPUT!P1770-INPUT!Q1770)/INPUT!P1770),"")</f>
        <v>4.9751243781095229E-3</v>
      </c>
    </row>
    <row r="1776" spans="1:12" ht="18" hidden="1" customHeight="1" x14ac:dyDescent="0.2">
      <c r="A1776" s="11">
        <f>IF(INPUT!M1771="","",INPUT!M1771)</f>
        <v>46045</v>
      </c>
      <c r="B1776" s="11">
        <f>IF(INPUT!M1771="","",INPUT!M1771-WEEKDAY(INPUT!M1771,2)+1)</f>
        <v>46041</v>
      </c>
      <c r="C1776" s="20">
        <f>IFERROR(_xlfn.ISOWEEKNUM(INPUT!M1771),"")</f>
        <v>4</v>
      </c>
      <c r="D1776" s="20">
        <f>IFERROR(YEAR(INPUT!M1771),"")</f>
        <v>2026</v>
      </c>
      <c r="E1776" t="str">
        <f>IF(INPUT!O1771="","",INPUT!O1771)</f>
        <v>JAVI</v>
      </c>
      <c r="F1776" t="str">
        <f>IF(INPUT!N1771="","",INPUT!N1771)</f>
        <v>M</v>
      </c>
      <c r="G1776" t="str" cm="1">
        <f t="array" ref="G1776">IFERROR(VLOOKUP(INPUT!M1771&amp;INPUT!N1771,CHOOSE({1,2},INPUT!$A$3:$A$5000&amp;INPUT!$C$3:$C$5000,INPUT!$F$3:$F$5000),2,FALSE),"")</f>
        <v>PRE-TEMPORADA</v>
      </c>
      <c r="H1776" t="str" cm="1">
        <f t="array" ref="H1776">IFERROR(VLOOKUP(INPUT!M1771&amp;INPUT!N1771,CHOOSE({1,2},INPUT!$A$3:$A$5000&amp;INPUT!$C$3:$C$5000,INPUT!$D$3:$D$5000),2,FALSE),"")</f>
        <v>TEC-TAC</v>
      </c>
      <c r="I1776" s="46">
        <f>IF(INPUT!P1771="","",INPUT!P1771)</f>
        <v>78.5</v>
      </c>
      <c r="J1776" s="46">
        <f>IF(INPUT!Q1771="","",INPUT!Q1771)</f>
        <v>78.400000000000006</v>
      </c>
      <c r="K1776" s="46">
        <f>IFERROR(IF(OR(INPUT!P1771="",INPUT!Q1771=""),"",INPUT!P1771-INPUT!Q1771),"")</f>
        <v>9.9999999999994316E-2</v>
      </c>
      <c r="L1776" s="48">
        <f>IFERROR(IF(OR(INPUT!P1771="",INPUT!Q1771="",INPUT!P1771=0),"",(INPUT!P1771-INPUT!Q1771)/INPUT!P1771),"")</f>
        <v>1.2738853503183988E-3</v>
      </c>
    </row>
    <row r="1777" spans="1:12" ht="18" hidden="1" customHeight="1" x14ac:dyDescent="0.2">
      <c r="A1777" s="11">
        <f>IF(INPUT!M1772="","",INPUT!M1772)</f>
        <v>46045</v>
      </c>
      <c r="B1777" s="11">
        <f>IF(INPUT!M1772="","",INPUT!M1772-WEEKDAY(INPUT!M1772,2)+1)</f>
        <v>46041</v>
      </c>
      <c r="C1777" s="20">
        <f>IFERROR(_xlfn.ISOWEEKNUM(INPUT!M1772),"")</f>
        <v>4</v>
      </c>
      <c r="D1777" s="20">
        <f>IFERROR(YEAR(INPUT!M1772),"")</f>
        <v>2026</v>
      </c>
      <c r="E1777" t="str">
        <f>IF(INPUT!O1772="","",INPUT!O1772)</f>
        <v>PANI</v>
      </c>
      <c r="F1777" t="str">
        <f>IF(INPUT!N1772="","",INPUT!N1772)</f>
        <v>M</v>
      </c>
      <c r="G1777" t="str" cm="1">
        <f t="array" ref="G1777">IFERROR(VLOOKUP(INPUT!M1772&amp;INPUT!N1772,CHOOSE({1,2},INPUT!$A$3:$A$5000&amp;INPUT!$C$3:$C$5000,INPUT!$F$3:$F$5000),2,FALSE),"")</f>
        <v>PRE-TEMPORADA</v>
      </c>
      <c r="H1777" t="str" cm="1">
        <f t="array" ref="H1777">IFERROR(VLOOKUP(INPUT!M1772&amp;INPUT!N1772,CHOOSE({1,2},INPUT!$A$3:$A$5000&amp;INPUT!$C$3:$C$5000,INPUT!$D$3:$D$5000),2,FALSE),"")</f>
        <v>TEC-TAC</v>
      </c>
      <c r="I1777" s="46">
        <f>IF(INPUT!P1772="","",INPUT!P1772)</f>
        <v>66.2</v>
      </c>
      <c r="J1777" s="46">
        <f>IF(INPUT!Q1772="","",INPUT!Q1772)</f>
        <v>65.2</v>
      </c>
      <c r="K1777" s="46">
        <f>IFERROR(IF(OR(INPUT!P1772="",INPUT!Q1772=""),"",INPUT!P1772-INPUT!Q1772),"")</f>
        <v>1</v>
      </c>
      <c r="L1777" s="48">
        <f>IFERROR(IF(OR(INPUT!P1772="",INPUT!Q1772="",INPUT!P1772=0),"",(INPUT!P1772-INPUT!Q1772)/INPUT!P1772),"")</f>
        <v>1.5105740181268881E-2</v>
      </c>
    </row>
    <row r="1778" spans="1:12" ht="18" hidden="1" customHeight="1" x14ac:dyDescent="0.2">
      <c r="A1778" s="11">
        <f>IF(INPUT!M1773="","",INPUT!M1773)</f>
        <v>46045</v>
      </c>
      <c r="B1778" s="11">
        <f>IF(INPUT!M1773="","",INPUT!M1773-WEEKDAY(INPUT!M1773,2)+1)</f>
        <v>46041</v>
      </c>
      <c r="C1778" s="20">
        <f>IFERROR(_xlfn.ISOWEEKNUM(INPUT!M1773),"")</f>
        <v>4</v>
      </c>
      <c r="D1778" s="20">
        <f>IFERROR(YEAR(INPUT!M1773),"")</f>
        <v>2026</v>
      </c>
      <c r="E1778" t="str">
        <f>IF(INPUT!O1773="","",INPUT!O1773)</f>
        <v>PIRATA</v>
      </c>
      <c r="F1778" t="str">
        <f>IF(INPUT!N1773="","",INPUT!N1773)</f>
        <v>M</v>
      </c>
      <c r="G1778" t="str" cm="1">
        <f t="array" ref="G1778">IFERROR(VLOOKUP(INPUT!M1773&amp;INPUT!N1773,CHOOSE({1,2},INPUT!$A$3:$A$5000&amp;INPUT!$C$3:$C$5000,INPUT!$F$3:$F$5000),2,FALSE),"")</f>
        <v>PRE-TEMPORADA</v>
      </c>
      <c r="H1778" t="str" cm="1">
        <f t="array" ref="H1778">IFERROR(VLOOKUP(INPUT!M1773&amp;INPUT!N1773,CHOOSE({1,2},INPUT!$A$3:$A$5000&amp;INPUT!$C$3:$C$5000,INPUT!$D$3:$D$5000),2,FALSE),"")</f>
        <v>TEC-TAC</v>
      </c>
      <c r="I1778" s="46">
        <f>IF(INPUT!P1773="","",INPUT!P1773)</f>
        <v>74.7</v>
      </c>
      <c r="J1778" s="46">
        <f>IF(INPUT!Q1773="","",INPUT!Q1773)</f>
        <v>74.599999999999994</v>
      </c>
      <c r="K1778" s="46">
        <f>IFERROR(IF(OR(INPUT!P1773="",INPUT!Q1773=""),"",INPUT!P1773-INPUT!Q1773),"")</f>
        <v>0.10000000000000853</v>
      </c>
      <c r="L1778" s="48">
        <f>IFERROR(IF(OR(INPUT!P1773="",INPUT!Q1773="",INPUT!P1773=0),"",(INPUT!P1773-INPUT!Q1773)/INPUT!P1773),"")</f>
        <v>1.3386880856761515E-3</v>
      </c>
    </row>
    <row r="1779" spans="1:12" ht="18" hidden="1" customHeight="1" x14ac:dyDescent="0.2">
      <c r="A1779" s="11">
        <f>IF(INPUT!M1774="","",INPUT!M1774)</f>
        <v>46045</v>
      </c>
      <c r="B1779" s="11">
        <f>IF(INPUT!M1774="","",INPUT!M1774-WEEKDAY(INPUT!M1774,2)+1)</f>
        <v>46041</v>
      </c>
      <c r="C1779" s="20">
        <f>IFERROR(_xlfn.ISOWEEKNUM(INPUT!M1774),"")</f>
        <v>4</v>
      </c>
      <c r="D1779" s="20">
        <f>IFERROR(YEAR(INPUT!M1774),"")</f>
        <v>2026</v>
      </c>
      <c r="E1779" t="str">
        <f>IF(INPUT!O1774="","",INPUT!O1774)</f>
        <v>BARONA</v>
      </c>
      <c r="F1779" t="str">
        <f>IF(INPUT!N1774="","",INPUT!N1774)</f>
        <v>M</v>
      </c>
      <c r="G1779" t="str" cm="1">
        <f t="array" ref="G1779">IFERROR(VLOOKUP(INPUT!M1774&amp;INPUT!N1774,CHOOSE({1,2},INPUT!$A$3:$A$5000&amp;INPUT!$C$3:$C$5000,INPUT!$F$3:$F$5000),2,FALSE),"")</f>
        <v>PRE-TEMPORADA</v>
      </c>
      <c r="H1779" t="str" cm="1">
        <f t="array" ref="H1779">IFERROR(VLOOKUP(INPUT!M1774&amp;INPUT!N1774,CHOOSE({1,2},INPUT!$A$3:$A$5000&amp;INPUT!$C$3:$C$5000,INPUT!$D$3:$D$5000),2,FALSE),"")</f>
        <v>TEC-TAC</v>
      </c>
      <c r="I1779" s="46">
        <f>IF(INPUT!P1774="","",INPUT!P1774)</f>
        <v>70</v>
      </c>
      <c r="J1779" s="46">
        <f>IF(INPUT!Q1774="","",INPUT!Q1774)</f>
        <v>70</v>
      </c>
      <c r="K1779" s="46">
        <f>IFERROR(IF(OR(INPUT!P1774="",INPUT!Q1774=""),"",INPUT!P1774-INPUT!Q1774),"")</f>
        <v>0</v>
      </c>
      <c r="L1779" s="48">
        <f>IFERROR(IF(OR(INPUT!P1774="",INPUT!Q1774="",INPUT!P1774=0),"",(INPUT!P1774-INPUT!Q1774)/INPUT!P1774),"")</f>
        <v>0</v>
      </c>
    </row>
    <row r="1780" spans="1:12" ht="18" customHeight="1" x14ac:dyDescent="0.2">
      <c r="A1780" s="11">
        <f>IF(INPUT!M1775="","",INPUT!M1775)</f>
        <v>46045</v>
      </c>
      <c r="B1780" s="11">
        <f>IF(INPUT!M1775="","",INPUT!M1775-WEEKDAY(INPUT!M1775,2)+1)</f>
        <v>46041</v>
      </c>
      <c r="C1780" s="20">
        <f>IFERROR(_xlfn.ISOWEEKNUM(INPUT!M1775),"")</f>
        <v>4</v>
      </c>
      <c r="D1780" s="20">
        <f>IFERROR(YEAR(INPUT!M1775),"")</f>
        <v>2026</v>
      </c>
      <c r="E1780" t="str">
        <f>IF(INPUT!O1775="","",INPUT!O1775)</f>
        <v>CARLOS</v>
      </c>
      <c r="F1780" t="str">
        <f>IF(INPUT!N1775="","",INPUT!N1775)</f>
        <v>M</v>
      </c>
      <c r="G1780" t="str" cm="1">
        <f t="array" ref="G1780">IFERROR(VLOOKUP(INPUT!M1775&amp;INPUT!N1775,CHOOSE({1,2},INPUT!$A$3:$A$5000&amp;INPUT!$C$3:$C$5000,INPUT!$F$3:$F$5000),2,FALSE),"")</f>
        <v>PRE-TEMPORADA</v>
      </c>
      <c r="H1780" t="str" cm="1">
        <f t="array" ref="H1780">IFERROR(VLOOKUP(INPUT!M1775&amp;INPUT!N1775,CHOOSE({1,2},INPUT!$A$3:$A$5000&amp;INPUT!$C$3:$C$5000,INPUT!$D$3:$D$5000),2,FALSE),"")</f>
        <v>TEC-TAC</v>
      </c>
      <c r="I1780" s="46">
        <f>IF(INPUT!P1775="","",INPUT!P1775)</f>
        <v>68</v>
      </c>
      <c r="J1780" s="46">
        <f>IF(INPUT!Q1775="","",INPUT!Q1775)</f>
        <v>67.2</v>
      </c>
      <c r="K1780" s="46">
        <f>IFERROR(IF(OR(INPUT!P1775="",INPUT!Q1775=""),"",INPUT!P1775-INPUT!Q1775),"")</f>
        <v>0.79999999999999716</v>
      </c>
      <c r="L1780" s="48">
        <f>IFERROR(IF(OR(INPUT!P1775="",INPUT!Q1775="",INPUT!P1775=0),"",(INPUT!P1775-INPUT!Q1775)/INPUT!P1775),"")</f>
        <v>1.1764705882352899E-2</v>
      </c>
    </row>
    <row r="1781" spans="1:12" ht="18" customHeight="1" x14ac:dyDescent="0.2">
      <c r="A1781" s="11">
        <f>IF(INPUT!M1776="","",INPUT!M1776)</f>
        <v>46045</v>
      </c>
      <c r="B1781" s="11">
        <f>IF(INPUT!M1776="","",INPUT!M1776-WEEKDAY(INPUT!M1776,2)+1)</f>
        <v>46041</v>
      </c>
      <c r="C1781" s="20">
        <f>IFERROR(_xlfn.ISOWEEKNUM(INPUT!M1776),"")</f>
        <v>4</v>
      </c>
      <c r="D1781" s="20">
        <f>IFERROR(YEAR(INPUT!M1776),"")</f>
        <v>2026</v>
      </c>
      <c r="E1781" t="str">
        <f>IF(INPUT!O1776="","",INPUT!O1776)</f>
        <v>GONZALO</v>
      </c>
      <c r="F1781" t="str">
        <f>IF(INPUT!N1776="","",INPUT!N1776)</f>
        <v>M</v>
      </c>
      <c r="G1781" t="str" cm="1">
        <f t="array" ref="G1781">IFERROR(VLOOKUP(INPUT!M1776&amp;INPUT!N1776,CHOOSE({1,2},INPUT!$A$3:$A$5000&amp;INPUT!$C$3:$C$5000,INPUT!$F$3:$F$5000),2,FALSE),"")</f>
        <v>PRE-TEMPORADA</v>
      </c>
      <c r="H1781" t="str" cm="1">
        <f t="array" ref="H1781">IFERROR(VLOOKUP(INPUT!M1776&amp;INPUT!N1776,CHOOSE({1,2},INPUT!$A$3:$A$5000&amp;INPUT!$C$3:$C$5000,INPUT!$D$3:$D$5000),2,FALSE),"")</f>
        <v>TEC-TAC</v>
      </c>
      <c r="I1781" s="46">
        <f>IF(INPUT!P1776="","",INPUT!P1776)</f>
        <v>83.6</v>
      </c>
      <c r="J1781" s="46">
        <f>IF(INPUT!Q1776="","",INPUT!Q1776)</f>
        <v>83.4</v>
      </c>
      <c r="K1781" s="46">
        <f>IFERROR(IF(OR(INPUT!P1776="",INPUT!Q1776=""),"",INPUT!P1776-INPUT!Q1776),"")</f>
        <v>0.19999999999998863</v>
      </c>
      <c r="L1781" s="48">
        <f>IFERROR(IF(OR(INPUT!P1776="",INPUT!Q1776="",INPUT!P1776=0),"",(INPUT!P1776-INPUT!Q1776)/INPUT!P1776),"")</f>
        <v>2.3923444976075197E-3</v>
      </c>
    </row>
    <row r="1782" spans="1:12" ht="18" customHeight="1" x14ac:dyDescent="0.2">
      <c r="A1782" s="11">
        <f>IF(INPUT!M1777="","",INPUT!M1777)</f>
        <v>46045</v>
      </c>
      <c r="B1782" s="11">
        <f>IF(INPUT!M1777="","",INPUT!M1777-WEEKDAY(INPUT!M1777,2)+1)</f>
        <v>46041</v>
      </c>
      <c r="C1782" s="20">
        <f>IFERROR(_xlfn.ISOWEEKNUM(INPUT!M1777),"")</f>
        <v>4</v>
      </c>
      <c r="D1782" s="20">
        <f>IFERROR(YEAR(INPUT!M1777),"")</f>
        <v>2026</v>
      </c>
      <c r="E1782" t="str">
        <f>IF(INPUT!O1777="","",INPUT!O1777)</f>
        <v>RUBIO</v>
      </c>
      <c r="F1782" t="str">
        <f>IF(INPUT!N1777="","",INPUT!N1777)</f>
        <v>M</v>
      </c>
      <c r="G1782" t="str" cm="1">
        <f t="array" ref="G1782">IFERROR(VLOOKUP(INPUT!M1777&amp;INPUT!N1777,CHOOSE({1,2},INPUT!$A$3:$A$5000&amp;INPUT!$C$3:$C$5000,INPUT!$F$3:$F$5000),2,FALSE),"")</f>
        <v>PRE-TEMPORADA</v>
      </c>
      <c r="H1782" t="str" cm="1">
        <f t="array" ref="H1782">IFERROR(VLOOKUP(INPUT!M1777&amp;INPUT!N1777,CHOOSE({1,2},INPUT!$A$3:$A$5000&amp;INPUT!$C$3:$C$5000,INPUT!$D$3:$D$5000),2,FALSE),"")</f>
        <v>TEC-TAC</v>
      </c>
      <c r="I1782" s="46">
        <f>IF(INPUT!P1777="","",INPUT!P1777)</f>
        <v>75.099999999999994</v>
      </c>
      <c r="J1782" s="46">
        <f>IF(INPUT!Q1777="","",INPUT!Q1777)</f>
        <v>75</v>
      </c>
      <c r="K1782" s="46">
        <f>IFERROR(IF(OR(INPUT!P1777="",INPUT!Q1777=""),"",INPUT!P1777-INPUT!Q1777),"")</f>
        <v>9.9999999999994316E-2</v>
      </c>
      <c r="L1782" s="48">
        <f>IFERROR(IF(OR(INPUT!P1777="",INPUT!Q1777="",INPUT!P1777=0),"",(INPUT!P1777-INPUT!Q1777)/INPUT!P1777),"")</f>
        <v>1.3315579227695649E-3</v>
      </c>
    </row>
    <row r="1783" spans="1:12" ht="18" customHeight="1" x14ac:dyDescent="0.2">
      <c r="A1783" s="11">
        <f>IF(INPUT!M1778="","",INPUT!M1778)</f>
        <v>46045</v>
      </c>
      <c r="B1783" s="11">
        <f>IF(INPUT!M1778="","",INPUT!M1778-WEEKDAY(INPUT!M1778,2)+1)</f>
        <v>46041</v>
      </c>
      <c r="C1783" s="20">
        <f>IFERROR(_xlfn.ISOWEEKNUM(INPUT!M1778),"")</f>
        <v>4</v>
      </c>
      <c r="D1783" s="20">
        <f>IFERROR(YEAR(INPUT!M1778),"")</f>
        <v>2026</v>
      </c>
      <c r="E1783" t="str">
        <f>IF(INPUT!O1778="","",INPUT!O1778)</f>
        <v>DANI</v>
      </c>
      <c r="F1783" t="str">
        <f>IF(INPUT!N1778="","",INPUT!N1778)</f>
        <v>M</v>
      </c>
      <c r="G1783" t="str" cm="1">
        <f t="array" ref="G1783">IFERROR(VLOOKUP(INPUT!M1778&amp;INPUT!N1778,CHOOSE({1,2},INPUT!$A$3:$A$5000&amp;INPUT!$C$3:$C$5000,INPUT!$F$3:$F$5000),2,FALSE),"")</f>
        <v>PRE-TEMPORADA</v>
      </c>
      <c r="H1783" t="str" cm="1">
        <f t="array" ref="H1783">IFERROR(VLOOKUP(INPUT!M1778&amp;INPUT!N1778,CHOOSE({1,2},INPUT!$A$3:$A$5000&amp;INPUT!$C$3:$C$5000,INPUT!$D$3:$D$5000),2,FALSE),"")</f>
        <v>TEC-TAC</v>
      </c>
      <c r="I1783" s="46">
        <f>IF(INPUT!P1778="","",INPUT!P1778)</f>
        <v>91.9</v>
      </c>
      <c r="J1783" s="46">
        <f>IF(INPUT!Q1778="","",INPUT!Q1778)</f>
        <v>91.4</v>
      </c>
      <c r="K1783" s="46">
        <f>IFERROR(IF(OR(INPUT!P1778="",INPUT!Q1778=""),"",INPUT!P1778-INPUT!Q1778),"")</f>
        <v>0.5</v>
      </c>
      <c r="L1783" s="48">
        <f>IFERROR(IF(OR(INPUT!P1778="",INPUT!Q1778="",INPUT!P1778=0),"",(INPUT!P1778-INPUT!Q1778)/INPUT!P1778),"")</f>
        <v>5.4406964091403692E-3</v>
      </c>
    </row>
    <row r="1784" spans="1:12" ht="18" customHeight="1" x14ac:dyDescent="0.2">
      <c r="A1784" s="11">
        <f>IF(INPUT!M1779="","",INPUT!M1779)</f>
        <v>46045</v>
      </c>
      <c r="B1784" s="11">
        <f>IF(INPUT!M1779="","",INPUT!M1779-WEEKDAY(INPUT!M1779,2)+1)</f>
        <v>46041</v>
      </c>
      <c r="C1784" s="20">
        <f>IFERROR(_xlfn.ISOWEEKNUM(INPUT!M1779),"")</f>
        <v>4</v>
      </c>
      <c r="D1784" s="20">
        <f>IFERROR(YEAR(INPUT!M1779),"")</f>
        <v>2026</v>
      </c>
      <c r="E1784" t="str">
        <f>IF(INPUT!O1779="","",INPUT!O1779)</f>
        <v>JAIME</v>
      </c>
      <c r="F1784" t="str">
        <f>IF(INPUT!N1779="","",INPUT!N1779)</f>
        <v>M</v>
      </c>
      <c r="G1784" t="str" cm="1">
        <f t="array" ref="G1784">IFERROR(VLOOKUP(INPUT!M1779&amp;INPUT!N1779,CHOOSE({1,2},INPUT!$A$3:$A$5000&amp;INPUT!$C$3:$C$5000,INPUT!$F$3:$F$5000),2,FALSE),"")</f>
        <v>PRE-TEMPORADA</v>
      </c>
      <c r="H1784" t="str" cm="1">
        <f t="array" ref="H1784">IFERROR(VLOOKUP(INPUT!M1779&amp;INPUT!N1779,CHOOSE({1,2},INPUT!$A$3:$A$5000&amp;INPUT!$C$3:$C$5000,INPUT!$D$3:$D$5000),2,FALSE),"")</f>
        <v>TEC-TAC</v>
      </c>
      <c r="I1784" s="46">
        <f>IF(INPUT!P1779="","",INPUT!P1779)</f>
        <v>74.900000000000006</v>
      </c>
      <c r="J1784" s="46">
        <f>IF(INPUT!Q1779="","",INPUT!Q1779)</f>
        <v>74.8</v>
      </c>
      <c r="K1784" s="46">
        <f>IFERROR(IF(OR(INPUT!P1779="",INPUT!Q1779=""),"",INPUT!P1779-INPUT!Q1779),"")</f>
        <v>0.10000000000000853</v>
      </c>
      <c r="L1784" s="48">
        <f>IFERROR(IF(OR(INPUT!P1779="",INPUT!Q1779="",INPUT!P1779=0),"",(INPUT!P1779-INPUT!Q1779)/INPUT!P1779),"")</f>
        <v>1.3351134846463087E-3</v>
      </c>
    </row>
    <row r="1785" spans="1:12" ht="18" hidden="1" customHeight="1" x14ac:dyDescent="0.2">
      <c r="A1785" s="11">
        <f>IF(INPUT!M1780="","",INPUT!M1780)</f>
        <v>46048</v>
      </c>
      <c r="B1785" s="11">
        <f>IF(INPUT!M1780="","",INPUT!M1780-WEEKDAY(INPUT!M1780,2)+1)</f>
        <v>46048</v>
      </c>
      <c r="C1785" s="20">
        <f>IFERROR(_xlfn.ISOWEEKNUM(INPUT!M1780),"")</f>
        <v>5</v>
      </c>
      <c r="D1785" s="20">
        <f>IFERROR(YEAR(INPUT!M1780),"")</f>
        <v>2026</v>
      </c>
      <c r="E1785" t="str">
        <f>IF(INPUT!O1780="","",INPUT!O1780)</f>
        <v>HERRERO</v>
      </c>
      <c r="F1785" t="str">
        <f>IF(INPUT!N1780="","",INPUT!N1780)</f>
        <v>T</v>
      </c>
      <c r="G1785" t="str" cm="1">
        <f t="array" ref="G1785">IFERROR(VLOOKUP(INPUT!M1780&amp;INPUT!N1780,CHOOSE({1,2},INPUT!$A$3:$A$5000&amp;INPUT!$C$3:$C$5000,INPUT!$F$3:$F$5000),2,FALSE),"")</f>
        <v>PRE-TEMPORADA</v>
      </c>
      <c r="H1785" t="str" cm="1">
        <f t="array" ref="H1785">IFERROR(VLOOKUP(INPUT!M1780&amp;INPUT!N1780,CHOOSE({1,2},INPUT!$A$3:$A$5000&amp;INPUT!$C$3:$C$5000,INPUT!$D$3:$D$5000),2,FALSE),"")</f>
        <v>TEC-TAC</v>
      </c>
      <c r="I1785" s="46">
        <f>IF(INPUT!P1780="","",INPUT!P1780)</f>
        <v>77</v>
      </c>
      <c r="J1785" s="46">
        <f>IF(INPUT!Q1780="","",INPUT!Q1780)</f>
        <v>76.400000000000006</v>
      </c>
      <c r="K1785" s="46">
        <f>IFERROR(IF(OR(INPUT!P1780="",INPUT!Q1780=""),"",INPUT!P1780-INPUT!Q1780),"")</f>
        <v>0.59999999999999432</v>
      </c>
      <c r="L1785" s="48">
        <f>IFERROR(IF(OR(INPUT!P1780="",INPUT!Q1780="",INPUT!P1780=0),"",(INPUT!P1780-INPUT!Q1780)/INPUT!P1780),"")</f>
        <v>7.7922077922077185E-3</v>
      </c>
    </row>
    <row r="1786" spans="1:12" ht="18" hidden="1" customHeight="1" x14ac:dyDescent="0.2">
      <c r="A1786" s="11">
        <f>IF(INPUT!M1781="","",INPUT!M1781)</f>
        <v>46048</v>
      </c>
      <c r="B1786" s="11">
        <f>IF(INPUT!M1781="","",INPUT!M1781-WEEKDAY(INPUT!M1781,2)+1)</f>
        <v>46048</v>
      </c>
      <c r="C1786" s="20">
        <f>IFERROR(_xlfn.ISOWEEKNUM(INPUT!M1781),"")</f>
        <v>5</v>
      </c>
      <c r="D1786" s="20">
        <f>IFERROR(YEAR(INPUT!M1781),"")</f>
        <v>2026</v>
      </c>
      <c r="E1786" t="str">
        <f>IF(INPUT!O1781="","",INPUT!O1781)</f>
        <v>GARCIA</v>
      </c>
      <c r="F1786" t="str">
        <f>IF(INPUT!N1781="","",INPUT!N1781)</f>
        <v>T</v>
      </c>
      <c r="G1786" t="str" cm="1">
        <f t="array" ref="G1786">IFERROR(VLOOKUP(INPUT!M1781&amp;INPUT!N1781,CHOOSE({1,2},INPUT!$A$3:$A$5000&amp;INPUT!$C$3:$C$5000,INPUT!$F$3:$F$5000),2,FALSE),"")</f>
        <v>PRE-TEMPORADA</v>
      </c>
      <c r="H1786" t="str" cm="1">
        <f t="array" ref="H1786">IFERROR(VLOOKUP(INPUT!M1781&amp;INPUT!N1781,CHOOSE({1,2},INPUT!$A$3:$A$5000&amp;INPUT!$C$3:$C$5000,INPUT!$D$3:$D$5000),2,FALSE),"")</f>
        <v>TEC-TAC</v>
      </c>
      <c r="I1786" s="46">
        <f>IF(INPUT!P1781="","",INPUT!P1781)</f>
        <v>79.2</v>
      </c>
      <c r="J1786" s="46">
        <f>IF(INPUT!Q1781="","",INPUT!Q1781)</f>
        <v>79</v>
      </c>
      <c r="K1786" s="46">
        <f>IFERROR(IF(OR(INPUT!P1781="",INPUT!Q1781=""),"",INPUT!P1781-INPUT!Q1781),"")</f>
        <v>0.20000000000000284</v>
      </c>
      <c r="L1786" s="48">
        <f>IFERROR(IF(OR(INPUT!P1781="",INPUT!Q1781="",INPUT!P1781=0),"",(INPUT!P1781-INPUT!Q1781)/INPUT!P1781),"")</f>
        <v>2.525252525252561E-3</v>
      </c>
    </row>
    <row r="1787" spans="1:12" ht="18" hidden="1" customHeight="1" x14ac:dyDescent="0.2">
      <c r="A1787" s="11">
        <f>IF(INPUT!M1782="","",INPUT!M1782)</f>
        <v>46048</v>
      </c>
      <c r="B1787" s="11">
        <f>IF(INPUT!M1782="","",INPUT!M1782-WEEKDAY(INPUT!M1782,2)+1)</f>
        <v>46048</v>
      </c>
      <c r="C1787" s="20">
        <f>IFERROR(_xlfn.ISOWEEKNUM(INPUT!M1782),"")</f>
        <v>5</v>
      </c>
      <c r="D1787" s="20">
        <f>IFERROR(YEAR(INPUT!M1782),"")</f>
        <v>2026</v>
      </c>
      <c r="E1787" t="str">
        <f>IF(INPUT!O1782="","",INPUT!O1782)</f>
        <v>CHAGUINHA</v>
      </c>
      <c r="F1787" t="str">
        <f>IF(INPUT!N1782="","",INPUT!N1782)</f>
        <v>T</v>
      </c>
      <c r="G1787" t="str" cm="1">
        <f t="array" ref="G1787">IFERROR(VLOOKUP(INPUT!M1782&amp;INPUT!N1782,CHOOSE({1,2},INPUT!$A$3:$A$5000&amp;INPUT!$C$3:$C$5000,INPUT!$F$3:$F$5000),2,FALSE),"")</f>
        <v>PRE-TEMPORADA</v>
      </c>
      <c r="H1787" t="str" cm="1">
        <f t="array" ref="H1787">IFERROR(VLOOKUP(INPUT!M1782&amp;INPUT!N1782,CHOOSE({1,2},INPUT!$A$3:$A$5000&amp;INPUT!$C$3:$C$5000,INPUT!$D$3:$D$5000),2,FALSE),"")</f>
        <v>TEC-TAC</v>
      </c>
      <c r="I1787" s="46">
        <f>IF(INPUT!P1782="","",INPUT!P1782)</f>
        <v>69.400000000000006</v>
      </c>
      <c r="J1787" s="46">
        <f>IF(INPUT!Q1782="","",INPUT!Q1782)</f>
        <v>78.5</v>
      </c>
      <c r="K1787" s="46">
        <f>IFERROR(IF(OR(INPUT!P1782="",INPUT!Q1782=""),"",INPUT!P1782-INPUT!Q1782),"")</f>
        <v>-9.0999999999999943</v>
      </c>
      <c r="L1787" s="48">
        <f>IFERROR(IF(OR(INPUT!P1782="",INPUT!Q1782="",INPUT!P1782=0),"",(INPUT!P1782-INPUT!Q1782)/INPUT!P1782),"")</f>
        <v>-0.13112391930835726</v>
      </c>
    </row>
    <row r="1788" spans="1:12" ht="18" hidden="1" customHeight="1" x14ac:dyDescent="0.2">
      <c r="A1788" s="11">
        <f>IF(INPUT!M1783="","",INPUT!M1783)</f>
        <v>46048</v>
      </c>
      <c r="B1788" s="11">
        <f>IF(INPUT!M1783="","",INPUT!M1783-WEEKDAY(INPUT!M1783,2)+1)</f>
        <v>46048</v>
      </c>
      <c r="C1788" s="20">
        <f>IFERROR(_xlfn.ISOWEEKNUM(INPUT!M1783),"")</f>
        <v>5</v>
      </c>
      <c r="D1788" s="20">
        <f>IFERROR(YEAR(INPUT!M1783),"")</f>
        <v>2026</v>
      </c>
      <c r="E1788" t="str">
        <f>IF(INPUT!O1783="","",INPUT!O1783)</f>
        <v>RAUL</v>
      </c>
      <c r="F1788" t="str">
        <f>IF(INPUT!N1783="","",INPUT!N1783)</f>
        <v>T</v>
      </c>
      <c r="G1788" t="str" cm="1">
        <f t="array" ref="G1788">IFERROR(VLOOKUP(INPUT!M1783&amp;INPUT!N1783,CHOOSE({1,2},INPUT!$A$3:$A$5000&amp;INPUT!$C$3:$C$5000,INPUT!$F$3:$F$5000),2,FALSE),"")</f>
        <v>PRE-TEMPORADA</v>
      </c>
      <c r="H1788" t="str" cm="1">
        <f t="array" ref="H1788">IFERROR(VLOOKUP(INPUT!M1783&amp;INPUT!N1783,CHOOSE({1,2},INPUT!$A$3:$A$5000&amp;INPUT!$C$3:$C$5000,INPUT!$D$3:$D$5000),2,FALSE),"")</f>
        <v>TEC-TAC</v>
      </c>
      <c r="I1788" s="46">
        <f>IF(INPUT!P1783="","",INPUT!P1783)</f>
        <v>82.4</v>
      </c>
      <c r="J1788" s="46">
        <f>IF(INPUT!Q1783="","",INPUT!Q1783)</f>
        <v>81.8</v>
      </c>
      <c r="K1788" s="46">
        <f>IFERROR(IF(OR(INPUT!P1783="",INPUT!Q1783=""),"",INPUT!P1783-INPUT!Q1783),"")</f>
        <v>0.60000000000000853</v>
      </c>
      <c r="L1788" s="48">
        <f>IFERROR(IF(OR(INPUT!P1783="",INPUT!Q1783="",INPUT!P1783=0),"",(INPUT!P1783-INPUT!Q1783)/INPUT!P1783),"")</f>
        <v>7.281553398058355E-3</v>
      </c>
    </row>
    <row r="1789" spans="1:12" ht="18" hidden="1" customHeight="1" x14ac:dyDescent="0.2">
      <c r="A1789" s="11">
        <f>IF(INPUT!M1784="","",INPUT!M1784)</f>
        <v>46048</v>
      </c>
      <c r="B1789" s="11">
        <f>IF(INPUT!M1784="","",INPUT!M1784-WEEKDAY(INPUT!M1784,2)+1)</f>
        <v>46048</v>
      </c>
      <c r="C1789" s="20">
        <f>IFERROR(_xlfn.ISOWEEKNUM(INPUT!M1784),"")</f>
        <v>5</v>
      </c>
      <c r="D1789" s="20">
        <f>IFERROR(YEAR(INPUT!M1784),"")</f>
        <v>2026</v>
      </c>
      <c r="E1789" t="str">
        <f>IF(INPUT!O1784="","",INPUT!O1784)</f>
        <v>JAVI</v>
      </c>
      <c r="F1789" t="str">
        <f>IF(INPUT!N1784="","",INPUT!N1784)</f>
        <v>T</v>
      </c>
      <c r="G1789" t="str" cm="1">
        <f t="array" ref="G1789">IFERROR(VLOOKUP(INPUT!M1784&amp;INPUT!N1784,CHOOSE({1,2},INPUT!$A$3:$A$5000&amp;INPUT!$C$3:$C$5000,INPUT!$F$3:$F$5000),2,FALSE),"")</f>
        <v>PRE-TEMPORADA</v>
      </c>
      <c r="H1789" t="str" cm="1">
        <f t="array" ref="H1789">IFERROR(VLOOKUP(INPUT!M1784&amp;INPUT!N1784,CHOOSE({1,2},INPUT!$A$3:$A$5000&amp;INPUT!$C$3:$C$5000,INPUT!$D$3:$D$5000),2,FALSE),"")</f>
        <v>TEC-TAC</v>
      </c>
      <c r="I1789" s="46">
        <f>IF(INPUT!P1784="","",INPUT!P1784)</f>
        <v>79.2</v>
      </c>
      <c r="J1789" s="46">
        <f>IF(INPUT!Q1784="","",INPUT!Q1784)</f>
        <v>79</v>
      </c>
      <c r="K1789" s="46">
        <f>IFERROR(IF(OR(INPUT!P1784="",INPUT!Q1784=""),"",INPUT!P1784-INPUT!Q1784),"")</f>
        <v>0.20000000000000284</v>
      </c>
      <c r="L1789" s="48">
        <f>IFERROR(IF(OR(INPUT!P1784="",INPUT!Q1784="",INPUT!P1784=0),"",(INPUT!P1784-INPUT!Q1784)/INPUT!P1784),"")</f>
        <v>2.525252525252561E-3</v>
      </c>
    </row>
    <row r="1790" spans="1:12" ht="18" hidden="1" customHeight="1" x14ac:dyDescent="0.2">
      <c r="A1790" s="11">
        <f>IF(INPUT!M1785="","",INPUT!M1785)</f>
        <v>46048</v>
      </c>
      <c r="B1790" s="11">
        <f>IF(INPUT!M1785="","",INPUT!M1785-WEEKDAY(INPUT!M1785,2)+1)</f>
        <v>46048</v>
      </c>
      <c r="C1790" s="20">
        <f>IFERROR(_xlfn.ISOWEEKNUM(INPUT!M1785),"")</f>
        <v>5</v>
      </c>
      <c r="D1790" s="20">
        <f>IFERROR(YEAR(INPUT!M1785),"")</f>
        <v>2026</v>
      </c>
      <c r="E1790" t="str">
        <f>IF(INPUT!O1785="","",INPUT!O1785)</f>
        <v>PANI</v>
      </c>
      <c r="F1790" t="str">
        <f>IF(INPUT!N1785="","",INPUT!N1785)</f>
        <v>T</v>
      </c>
      <c r="G1790" t="str" cm="1">
        <f t="array" ref="G1790">IFERROR(VLOOKUP(INPUT!M1785&amp;INPUT!N1785,CHOOSE({1,2},INPUT!$A$3:$A$5000&amp;INPUT!$C$3:$C$5000,INPUT!$F$3:$F$5000),2,FALSE),"")</f>
        <v>PRE-TEMPORADA</v>
      </c>
      <c r="H1790" t="str" cm="1">
        <f t="array" ref="H1790">IFERROR(VLOOKUP(INPUT!M1785&amp;INPUT!N1785,CHOOSE({1,2},INPUT!$A$3:$A$5000&amp;INPUT!$C$3:$C$5000,INPUT!$D$3:$D$5000),2,FALSE),"")</f>
        <v>TEC-TAC</v>
      </c>
      <c r="I1790" s="46">
        <f>IF(INPUT!P1785="","",INPUT!P1785)</f>
        <v>67.3</v>
      </c>
      <c r="J1790" s="46">
        <f>IF(INPUT!Q1785="","",INPUT!Q1785)</f>
        <v>66</v>
      </c>
      <c r="K1790" s="46">
        <f>IFERROR(IF(OR(INPUT!P1785="",INPUT!Q1785=""),"",INPUT!P1785-INPUT!Q1785),"")</f>
        <v>1.2999999999999972</v>
      </c>
      <c r="L1790" s="48">
        <f>IFERROR(IF(OR(INPUT!P1785="",INPUT!Q1785="",INPUT!P1785=0),"",(INPUT!P1785-INPUT!Q1785)/INPUT!P1785),"")</f>
        <v>1.9316493313521504E-2</v>
      </c>
    </row>
    <row r="1791" spans="1:12" ht="18" hidden="1" customHeight="1" x14ac:dyDescent="0.2">
      <c r="A1791" s="11">
        <f>IF(INPUT!M1786="","",INPUT!M1786)</f>
        <v>46048</v>
      </c>
      <c r="B1791" s="11">
        <f>IF(INPUT!M1786="","",INPUT!M1786-WEEKDAY(INPUT!M1786,2)+1)</f>
        <v>46048</v>
      </c>
      <c r="C1791" s="20">
        <f>IFERROR(_xlfn.ISOWEEKNUM(INPUT!M1786),"")</f>
        <v>5</v>
      </c>
      <c r="D1791" s="20">
        <f>IFERROR(YEAR(INPUT!M1786),"")</f>
        <v>2026</v>
      </c>
      <c r="E1791" t="str">
        <f>IF(INPUT!O1786="","",INPUT!O1786)</f>
        <v>PIRATA</v>
      </c>
      <c r="F1791" t="str">
        <f>IF(INPUT!N1786="","",INPUT!N1786)</f>
        <v>T</v>
      </c>
      <c r="G1791" t="str" cm="1">
        <f t="array" ref="G1791">IFERROR(VLOOKUP(INPUT!M1786&amp;INPUT!N1786,CHOOSE({1,2},INPUT!$A$3:$A$5000&amp;INPUT!$C$3:$C$5000,INPUT!$F$3:$F$5000),2,FALSE),"")</f>
        <v>PRE-TEMPORADA</v>
      </c>
      <c r="H1791" t="str" cm="1">
        <f t="array" ref="H1791">IFERROR(VLOOKUP(INPUT!M1786&amp;INPUT!N1786,CHOOSE({1,2},INPUT!$A$3:$A$5000&amp;INPUT!$C$3:$C$5000,INPUT!$D$3:$D$5000),2,FALSE),"")</f>
        <v>TEC-TAC</v>
      </c>
      <c r="I1791" s="46">
        <f>IF(INPUT!P1786="","",INPUT!P1786)</f>
        <v>75.599999999999994</v>
      </c>
      <c r="J1791" s="46">
        <f>IF(INPUT!Q1786="","",INPUT!Q1786)</f>
        <v>75.5</v>
      </c>
      <c r="K1791" s="46">
        <f>IFERROR(IF(OR(INPUT!P1786="",INPUT!Q1786=""),"",INPUT!P1786-INPUT!Q1786),"")</f>
        <v>9.9999999999994316E-2</v>
      </c>
      <c r="L1791" s="48">
        <f>IFERROR(IF(OR(INPUT!P1786="",INPUT!Q1786="",INPUT!P1786=0),"",(INPUT!P1786-INPUT!Q1786)/INPUT!P1786),"")</f>
        <v>1.3227513227512477E-3</v>
      </c>
    </row>
    <row r="1792" spans="1:12" ht="18" hidden="1" customHeight="1" x14ac:dyDescent="0.2">
      <c r="A1792" s="11">
        <f>IF(INPUT!M1787="","",INPUT!M1787)</f>
        <v>46048</v>
      </c>
      <c r="B1792" s="11">
        <f>IF(INPUT!M1787="","",INPUT!M1787-WEEKDAY(INPUT!M1787,2)+1)</f>
        <v>46048</v>
      </c>
      <c r="C1792" s="20">
        <f>IFERROR(_xlfn.ISOWEEKNUM(INPUT!M1787),"")</f>
        <v>5</v>
      </c>
      <c r="D1792" s="20">
        <f>IFERROR(YEAR(INPUT!M1787),"")</f>
        <v>2026</v>
      </c>
      <c r="E1792" t="str">
        <f>IF(INPUT!O1787="","",INPUT!O1787)</f>
        <v>BARONA</v>
      </c>
      <c r="F1792" t="str">
        <f>IF(INPUT!N1787="","",INPUT!N1787)</f>
        <v>T</v>
      </c>
      <c r="G1792" t="str" cm="1">
        <f t="array" ref="G1792">IFERROR(VLOOKUP(INPUT!M1787&amp;INPUT!N1787,CHOOSE({1,2},INPUT!$A$3:$A$5000&amp;INPUT!$C$3:$C$5000,INPUT!$F$3:$F$5000),2,FALSE),"")</f>
        <v>PRE-TEMPORADA</v>
      </c>
      <c r="H1792" t="str" cm="1">
        <f t="array" ref="H1792">IFERROR(VLOOKUP(INPUT!M1787&amp;INPUT!N1787,CHOOSE({1,2},INPUT!$A$3:$A$5000&amp;INPUT!$C$3:$C$5000,INPUT!$D$3:$D$5000),2,FALSE),"")</f>
        <v>TEC-TAC</v>
      </c>
      <c r="I1792" s="46">
        <f>IF(INPUT!P1787="","",INPUT!P1787)</f>
        <v>71.900000000000006</v>
      </c>
      <c r="J1792" s="46">
        <f>IF(INPUT!Q1787="","",INPUT!Q1787)</f>
        <v>71.5</v>
      </c>
      <c r="K1792" s="46">
        <f>IFERROR(IF(OR(INPUT!P1787="",INPUT!Q1787=""),"",INPUT!P1787-INPUT!Q1787),"")</f>
        <v>0.40000000000000568</v>
      </c>
      <c r="L1792" s="48">
        <f>IFERROR(IF(OR(INPUT!P1787="",INPUT!Q1787="",INPUT!P1787=0),"",(INPUT!P1787-INPUT!Q1787)/INPUT!P1787),"")</f>
        <v>5.56328233657866E-3</v>
      </c>
    </row>
    <row r="1793" spans="1:12" ht="18" hidden="1" customHeight="1" x14ac:dyDescent="0.2">
      <c r="A1793" s="11">
        <f>IF(INPUT!M1788="","",INPUT!M1788)</f>
        <v>46048</v>
      </c>
      <c r="B1793" s="11">
        <f>IF(INPUT!M1788="","",INPUT!M1788-WEEKDAY(INPUT!M1788,2)+1)</f>
        <v>46048</v>
      </c>
      <c r="C1793" s="20">
        <f>IFERROR(_xlfn.ISOWEEKNUM(INPUT!M1788),"")</f>
        <v>5</v>
      </c>
      <c r="D1793" s="20">
        <f>IFERROR(YEAR(INPUT!M1788),"")</f>
        <v>2026</v>
      </c>
      <c r="E1793" t="str">
        <f>IF(INPUT!O1788="","",INPUT!O1788)</f>
        <v>CARLOS</v>
      </c>
      <c r="F1793" t="str">
        <f>IF(INPUT!N1788="","",INPUT!N1788)</f>
        <v>T</v>
      </c>
      <c r="G1793" t="str" cm="1">
        <f t="array" ref="G1793">IFERROR(VLOOKUP(INPUT!M1788&amp;INPUT!N1788,CHOOSE({1,2},INPUT!$A$3:$A$5000&amp;INPUT!$C$3:$C$5000,INPUT!$F$3:$F$5000),2,FALSE),"")</f>
        <v>PRE-TEMPORADA</v>
      </c>
      <c r="H1793" t="str" cm="1">
        <f t="array" ref="H1793">IFERROR(VLOOKUP(INPUT!M1788&amp;INPUT!N1788,CHOOSE({1,2},INPUT!$A$3:$A$5000&amp;INPUT!$C$3:$C$5000,INPUT!$D$3:$D$5000),2,FALSE),"")</f>
        <v>TEC-TAC</v>
      </c>
      <c r="I1793" s="46">
        <f>IF(INPUT!P1788="","",INPUT!P1788)</f>
        <v>68</v>
      </c>
      <c r="J1793" s="46">
        <f>IF(INPUT!Q1788="","",INPUT!Q1788)</f>
        <v>68.2</v>
      </c>
      <c r="K1793" s="46">
        <f>IFERROR(IF(OR(INPUT!P1788="",INPUT!Q1788=""),"",INPUT!P1788-INPUT!Q1788),"")</f>
        <v>-0.20000000000000284</v>
      </c>
      <c r="L1793" s="48">
        <f>IFERROR(IF(OR(INPUT!P1788="",INPUT!Q1788="",INPUT!P1788=0),"",(INPUT!P1788-INPUT!Q1788)/INPUT!P1788),"")</f>
        <v>-2.9411764705882769E-3</v>
      </c>
    </row>
    <row r="1794" spans="1:12" ht="18" hidden="1" customHeight="1" x14ac:dyDescent="0.2">
      <c r="A1794" s="11">
        <f>IF(INPUT!M1789="","",INPUT!M1789)</f>
        <v>46048</v>
      </c>
      <c r="B1794" s="11">
        <f>IF(INPUT!M1789="","",INPUT!M1789-WEEKDAY(INPUT!M1789,2)+1)</f>
        <v>46048</v>
      </c>
      <c r="C1794" s="20">
        <f>IFERROR(_xlfn.ISOWEEKNUM(INPUT!M1789),"")</f>
        <v>5</v>
      </c>
      <c r="D1794" s="20">
        <f>IFERROR(YEAR(INPUT!M1789),"")</f>
        <v>2026</v>
      </c>
      <c r="E1794" t="str">
        <f>IF(INPUT!O1789="","",INPUT!O1789)</f>
        <v>GONZALO</v>
      </c>
      <c r="F1794" t="str">
        <f>IF(INPUT!N1789="","",INPUT!N1789)</f>
        <v>T</v>
      </c>
      <c r="G1794" t="str" cm="1">
        <f t="array" ref="G1794">IFERROR(VLOOKUP(INPUT!M1789&amp;INPUT!N1789,CHOOSE({1,2},INPUT!$A$3:$A$5000&amp;INPUT!$C$3:$C$5000,INPUT!$F$3:$F$5000),2,FALSE),"")</f>
        <v>PRE-TEMPORADA</v>
      </c>
      <c r="H1794" t="str" cm="1">
        <f t="array" ref="H1794">IFERROR(VLOOKUP(INPUT!M1789&amp;INPUT!N1789,CHOOSE({1,2},INPUT!$A$3:$A$5000&amp;INPUT!$C$3:$C$5000,INPUT!$D$3:$D$5000),2,FALSE),"")</f>
        <v>TEC-TAC</v>
      </c>
      <c r="I1794" s="46">
        <f>IF(INPUT!P1789="","",INPUT!P1789)</f>
        <v>83.6</v>
      </c>
      <c r="J1794" s="46">
        <f>IF(INPUT!Q1789="","",INPUT!Q1789)</f>
        <v>83.4</v>
      </c>
      <c r="K1794" s="46">
        <f>IFERROR(IF(OR(INPUT!P1789="",INPUT!Q1789=""),"",INPUT!P1789-INPUT!Q1789),"")</f>
        <v>0.19999999999998863</v>
      </c>
      <c r="L1794" s="48">
        <f>IFERROR(IF(OR(INPUT!P1789="",INPUT!Q1789="",INPUT!P1789=0),"",(INPUT!P1789-INPUT!Q1789)/INPUT!P1789),"")</f>
        <v>2.3923444976075197E-3</v>
      </c>
    </row>
    <row r="1795" spans="1:12" ht="18" hidden="1" customHeight="1" x14ac:dyDescent="0.2">
      <c r="A1795" s="11">
        <f>IF(INPUT!M1790="","",INPUT!M1790)</f>
        <v>46048</v>
      </c>
      <c r="B1795" s="11">
        <f>IF(INPUT!M1790="","",INPUT!M1790-WEEKDAY(INPUT!M1790,2)+1)</f>
        <v>46048</v>
      </c>
      <c r="C1795" s="20">
        <f>IFERROR(_xlfn.ISOWEEKNUM(INPUT!M1790),"")</f>
        <v>5</v>
      </c>
      <c r="D1795" s="20">
        <f>IFERROR(YEAR(INPUT!M1790),"")</f>
        <v>2026</v>
      </c>
      <c r="E1795" t="str">
        <f>IF(INPUT!O1790="","",INPUT!O1790)</f>
        <v>DANI</v>
      </c>
      <c r="F1795" t="str">
        <f>IF(INPUT!N1790="","",INPUT!N1790)</f>
        <v>T</v>
      </c>
      <c r="G1795" t="str" cm="1">
        <f t="array" ref="G1795">IFERROR(VLOOKUP(INPUT!M1790&amp;INPUT!N1790,CHOOSE({1,2},INPUT!$A$3:$A$5000&amp;INPUT!$C$3:$C$5000,INPUT!$F$3:$F$5000),2,FALSE),"")</f>
        <v>PRE-TEMPORADA</v>
      </c>
      <c r="H1795" t="str" cm="1">
        <f t="array" ref="H1795">IFERROR(VLOOKUP(INPUT!M1790&amp;INPUT!N1790,CHOOSE({1,2},INPUT!$A$3:$A$5000&amp;INPUT!$C$3:$C$5000,INPUT!$D$3:$D$5000),2,FALSE),"")</f>
        <v>TEC-TAC</v>
      </c>
      <c r="I1795" s="46">
        <f>IF(INPUT!P1790="","",INPUT!P1790)</f>
        <v>91.9</v>
      </c>
      <c r="J1795" s="46">
        <f>IF(INPUT!Q1790="","",INPUT!Q1790)</f>
        <v>91.2</v>
      </c>
      <c r="K1795" s="46">
        <f>IFERROR(IF(OR(INPUT!P1790="",INPUT!Q1790=""),"",INPUT!P1790-INPUT!Q1790),"")</f>
        <v>0.70000000000000284</v>
      </c>
      <c r="L1795" s="48">
        <f>IFERROR(IF(OR(INPUT!P1790="",INPUT!Q1790="",INPUT!P1790=0),"",(INPUT!P1790-INPUT!Q1790)/INPUT!P1790),"")</f>
        <v>7.6169749727965485E-3</v>
      </c>
    </row>
    <row r="1796" spans="1:12" ht="18" hidden="1" customHeight="1" x14ac:dyDescent="0.2">
      <c r="A1796" s="11">
        <f>IF(INPUT!M1791="","",INPUT!M1791)</f>
        <v>46048</v>
      </c>
      <c r="B1796" s="11">
        <f>IF(INPUT!M1791="","",INPUT!M1791-WEEKDAY(INPUT!M1791,2)+1)</f>
        <v>46048</v>
      </c>
      <c r="C1796" s="20">
        <f>IFERROR(_xlfn.ISOWEEKNUM(INPUT!M1791),"")</f>
        <v>5</v>
      </c>
      <c r="D1796" s="20">
        <f>IFERROR(YEAR(INPUT!M1791),"")</f>
        <v>2026</v>
      </c>
      <c r="E1796" t="str">
        <f>IF(INPUT!O1791="","",INPUT!O1791)</f>
        <v>JAIME</v>
      </c>
      <c r="F1796" t="str">
        <f>IF(INPUT!N1791="","",INPUT!N1791)</f>
        <v>T</v>
      </c>
      <c r="G1796" t="str" cm="1">
        <f t="array" ref="G1796">IFERROR(VLOOKUP(INPUT!M1791&amp;INPUT!N1791,CHOOSE({1,2},INPUT!$A$3:$A$5000&amp;INPUT!$C$3:$C$5000,INPUT!$F$3:$F$5000),2,FALSE),"")</f>
        <v>PRE-TEMPORADA</v>
      </c>
      <c r="H1796" t="str" cm="1">
        <f t="array" ref="H1796">IFERROR(VLOOKUP(INPUT!M1791&amp;INPUT!N1791,CHOOSE({1,2},INPUT!$A$3:$A$5000&amp;INPUT!$C$3:$C$5000,INPUT!$D$3:$D$5000),2,FALSE),"")</f>
        <v>TEC-TAC</v>
      </c>
      <c r="I1796" s="46">
        <f>IF(INPUT!P1791="","",INPUT!P1791)</f>
        <v>75.3</v>
      </c>
      <c r="J1796" s="46">
        <f>IF(INPUT!Q1791="","",INPUT!Q1791)</f>
        <v>76.3</v>
      </c>
      <c r="K1796" s="46">
        <f>IFERROR(IF(OR(INPUT!P1791="",INPUT!Q1791=""),"",INPUT!P1791-INPUT!Q1791),"")</f>
        <v>-1</v>
      </c>
      <c r="L1796" s="48">
        <f>IFERROR(IF(OR(INPUT!P1791="",INPUT!Q1791="",INPUT!P1791=0),"",(INPUT!P1791-INPUT!Q1791)/INPUT!P1791),"")</f>
        <v>-1.3280212483399735E-2</v>
      </c>
    </row>
    <row r="1797" spans="1:12" ht="18" hidden="1" customHeight="1" x14ac:dyDescent="0.2">
      <c r="A1797" s="11">
        <f>IF(INPUT!M1792="","",INPUT!M1792)</f>
        <v>46049</v>
      </c>
      <c r="B1797" s="11">
        <f>IF(INPUT!M1792="","",INPUT!M1792-WEEKDAY(INPUT!M1792,2)+1)</f>
        <v>46048</v>
      </c>
      <c r="C1797" s="20">
        <f>IFERROR(_xlfn.ISOWEEKNUM(INPUT!M1792),"")</f>
        <v>5</v>
      </c>
      <c r="D1797" s="20">
        <f>IFERROR(YEAR(INPUT!M1792),"")</f>
        <v>2026</v>
      </c>
      <c r="E1797" t="str">
        <f>IF(INPUT!O1792="","",INPUT!O1792)</f>
        <v>HERRERO</v>
      </c>
      <c r="F1797" t="str">
        <f>IF(INPUT!N1792="","",INPUT!N1792)</f>
        <v>M</v>
      </c>
      <c r="G1797" t="str" cm="1">
        <f t="array" ref="G1797">IFERROR(VLOOKUP(INPUT!M1792&amp;INPUT!N1792,CHOOSE({1,2},INPUT!$A$3:$A$5000&amp;INPUT!$C$3:$C$5000,INPUT!$F$3:$F$5000),2,FALSE),"")</f>
        <v>PRE-TEMPORADA</v>
      </c>
      <c r="H1797" t="str" cm="1">
        <f t="array" ref="H1797">IFERROR(VLOOKUP(INPUT!M1792&amp;INPUT!N1792,CHOOSE({1,2},INPUT!$A$3:$A$5000&amp;INPUT!$C$3:$C$5000,INPUT!$D$3:$D$5000),2,FALSE),"")</f>
        <v>GYM+FISICO</v>
      </c>
      <c r="I1797" s="46">
        <f>IF(INPUT!P1792="","",INPUT!P1792)</f>
        <v>77</v>
      </c>
      <c r="J1797" s="46">
        <f>IF(INPUT!Q1792="","",INPUT!Q1792)</f>
        <v>76.8</v>
      </c>
      <c r="K1797" s="46">
        <f>IFERROR(IF(OR(INPUT!P1792="",INPUT!Q1792=""),"",INPUT!P1792-INPUT!Q1792),"")</f>
        <v>0.20000000000000284</v>
      </c>
      <c r="L1797" s="48">
        <f>IFERROR(IF(OR(INPUT!P1792="",INPUT!Q1792="",INPUT!P1792=0),"",(INPUT!P1792-INPUT!Q1792)/INPUT!P1792),"")</f>
        <v>2.5974025974026343E-3</v>
      </c>
    </row>
    <row r="1798" spans="1:12" ht="18" hidden="1" customHeight="1" x14ac:dyDescent="0.2">
      <c r="A1798" s="11">
        <f>IF(INPUT!M1793="","",INPUT!M1793)</f>
        <v>46049</v>
      </c>
      <c r="B1798" s="11">
        <f>IF(INPUT!M1793="","",INPUT!M1793-WEEKDAY(INPUT!M1793,2)+1)</f>
        <v>46048</v>
      </c>
      <c r="C1798" s="20">
        <f>IFERROR(_xlfn.ISOWEEKNUM(INPUT!M1793),"")</f>
        <v>5</v>
      </c>
      <c r="D1798" s="20">
        <f>IFERROR(YEAR(INPUT!M1793),"")</f>
        <v>2026</v>
      </c>
      <c r="E1798" t="str">
        <f>IF(INPUT!O1793="","",INPUT!O1793)</f>
        <v>HERRERO</v>
      </c>
      <c r="F1798" t="str">
        <f>IF(INPUT!N1793="","",INPUT!N1793)</f>
        <v>T</v>
      </c>
      <c r="G1798" t="str" cm="1">
        <f t="array" ref="G1798">IFERROR(VLOOKUP(INPUT!M1793&amp;INPUT!N1793,CHOOSE({1,2},INPUT!$A$3:$A$5000&amp;INPUT!$C$3:$C$5000,INPUT!$F$3:$F$5000),2,FALSE),"")</f>
        <v>PRE-TEMPORADA</v>
      </c>
      <c r="H1798" t="str" cm="1">
        <f t="array" ref="H1798">IFERROR(VLOOKUP(INPUT!M1793&amp;INPUT!N1793,CHOOSE({1,2},INPUT!$A$3:$A$5000&amp;INPUT!$C$3:$C$5000,INPUT!$D$3:$D$5000),2,FALSE),"")</f>
        <v>TEC-TAC</v>
      </c>
      <c r="I1798" s="46">
        <f>IF(INPUT!P1793="","",INPUT!P1793)</f>
        <v>77</v>
      </c>
      <c r="J1798" s="46">
        <f>IF(INPUT!Q1793="","",INPUT!Q1793)</f>
        <v>76.2</v>
      </c>
      <c r="K1798" s="46">
        <f>IFERROR(IF(OR(INPUT!P1793="",INPUT!Q1793=""),"",INPUT!P1793-INPUT!Q1793),"")</f>
        <v>0.79999999999999716</v>
      </c>
      <c r="L1798" s="48">
        <f>IFERROR(IF(OR(INPUT!P1793="",INPUT!Q1793="",INPUT!P1793=0),"",(INPUT!P1793-INPUT!Q1793)/INPUT!P1793),"")</f>
        <v>1.0389610389610353E-2</v>
      </c>
    </row>
    <row r="1799" spans="1:12" ht="18" hidden="1" customHeight="1" x14ac:dyDescent="0.2">
      <c r="A1799" s="11">
        <f>IF(INPUT!M1794="","",INPUT!M1794)</f>
        <v>46049</v>
      </c>
      <c r="B1799" s="11">
        <f>IF(INPUT!M1794="","",INPUT!M1794-WEEKDAY(INPUT!M1794,2)+1)</f>
        <v>46048</v>
      </c>
      <c r="C1799" s="20">
        <f>IFERROR(_xlfn.ISOWEEKNUM(INPUT!M1794),"")</f>
        <v>5</v>
      </c>
      <c r="D1799" s="20">
        <f>IFERROR(YEAR(INPUT!M1794),"")</f>
        <v>2026</v>
      </c>
      <c r="E1799" t="str">
        <f>IF(INPUT!O1794="","",INPUT!O1794)</f>
        <v>GARCIA</v>
      </c>
      <c r="F1799" t="str">
        <f>IF(INPUT!N1794="","",INPUT!N1794)</f>
        <v>M</v>
      </c>
      <c r="G1799" t="str" cm="1">
        <f t="array" ref="G1799">IFERROR(VLOOKUP(INPUT!M1794&amp;INPUT!N1794,CHOOSE({1,2},INPUT!$A$3:$A$5000&amp;INPUT!$C$3:$C$5000,INPUT!$F$3:$F$5000),2,FALSE),"")</f>
        <v>PRE-TEMPORADA</v>
      </c>
      <c r="H1799" t="str" cm="1">
        <f t="array" ref="H1799">IFERROR(VLOOKUP(INPUT!M1794&amp;INPUT!N1794,CHOOSE({1,2},INPUT!$A$3:$A$5000&amp;INPUT!$C$3:$C$5000,INPUT!$D$3:$D$5000),2,FALSE),"")</f>
        <v>GYM+FISICO</v>
      </c>
      <c r="I1799" s="46">
        <f>IF(INPUT!P1794="","",INPUT!P1794)</f>
        <v>79.3</v>
      </c>
      <c r="J1799" s="46">
        <f>IF(INPUT!Q1794="","",INPUT!Q1794)</f>
        <v>79.2</v>
      </c>
      <c r="K1799" s="46">
        <f>IFERROR(IF(OR(INPUT!P1794="",INPUT!Q1794=""),"",INPUT!P1794-INPUT!Q1794),"")</f>
        <v>9.9999999999994316E-2</v>
      </c>
      <c r="L1799" s="48">
        <f>IFERROR(IF(OR(INPUT!P1794="",INPUT!Q1794="",INPUT!P1794=0),"",(INPUT!P1794-INPUT!Q1794)/INPUT!P1794),"")</f>
        <v>1.2610340479192223E-3</v>
      </c>
    </row>
    <row r="1800" spans="1:12" ht="18" hidden="1" customHeight="1" x14ac:dyDescent="0.2">
      <c r="A1800" s="11">
        <f>IF(INPUT!M1795="","",INPUT!M1795)</f>
        <v>46049</v>
      </c>
      <c r="B1800" s="11">
        <f>IF(INPUT!M1795="","",INPUT!M1795-WEEKDAY(INPUT!M1795,2)+1)</f>
        <v>46048</v>
      </c>
      <c r="C1800" s="20">
        <f>IFERROR(_xlfn.ISOWEEKNUM(INPUT!M1795),"")</f>
        <v>5</v>
      </c>
      <c r="D1800" s="20">
        <f>IFERROR(YEAR(INPUT!M1795),"")</f>
        <v>2026</v>
      </c>
      <c r="E1800" t="str">
        <f>IF(INPUT!O1795="","",INPUT!O1795)</f>
        <v>GARCIA</v>
      </c>
      <c r="F1800" t="str">
        <f>IF(INPUT!N1795="","",INPUT!N1795)</f>
        <v>T</v>
      </c>
      <c r="G1800" t="str" cm="1">
        <f t="array" ref="G1800">IFERROR(VLOOKUP(INPUT!M1795&amp;INPUT!N1795,CHOOSE({1,2},INPUT!$A$3:$A$5000&amp;INPUT!$C$3:$C$5000,INPUT!$F$3:$F$5000),2,FALSE),"")</f>
        <v>PRE-TEMPORADA</v>
      </c>
      <c r="H1800" t="str" cm="1">
        <f t="array" ref="H1800">IFERROR(VLOOKUP(INPUT!M1795&amp;INPUT!N1795,CHOOSE({1,2},INPUT!$A$3:$A$5000&amp;INPUT!$C$3:$C$5000,INPUT!$D$3:$D$5000),2,FALSE),"")</f>
        <v>TEC-TAC</v>
      </c>
      <c r="I1800" s="46">
        <f>IF(INPUT!P1795="","",INPUT!P1795)</f>
        <v>79.599999999999994</v>
      </c>
      <c r="J1800" s="46">
        <f>IF(INPUT!Q1795="","",INPUT!Q1795)</f>
        <v>79.3</v>
      </c>
      <c r="K1800" s="46">
        <f>IFERROR(IF(OR(INPUT!P1795="",INPUT!Q1795=""),"",INPUT!P1795-INPUT!Q1795),"")</f>
        <v>0.29999999999999716</v>
      </c>
      <c r="L1800" s="48">
        <f>IFERROR(IF(OR(INPUT!P1795="",INPUT!Q1795="",INPUT!P1795=0),"",(INPUT!P1795-INPUT!Q1795)/INPUT!P1795),"")</f>
        <v>3.7688442211054923E-3</v>
      </c>
    </row>
    <row r="1801" spans="1:12" ht="18" hidden="1" customHeight="1" x14ac:dyDescent="0.2">
      <c r="A1801" s="11">
        <f>IF(INPUT!M1796="","",INPUT!M1796)</f>
        <v>46049</v>
      </c>
      <c r="B1801" s="11">
        <f>IF(INPUT!M1796="","",INPUT!M1796-WEEKDAY(INPUT!M1796,2)+1)</f>
        <v>46048</v>
      </c>
      <c r="C1801" s="20">
        <f>IFERROR(_xlfn.ISOWEEKNUM(INPUT!M1796),"")</f>
        <v>5</v>
      </c>
      <c r="D1801" s="20">
        <f>IFERROR(YEAR(INPUT!M1796),"")</f>
        <v>2026</v>
      </c>
      <c r="E1801" t="str">
        <f>IF(INPUT!O1796="","",INPUT!O1796)</f>
        <v>CHAGUINHA</v>
      </c>
      <c r="F1801" t="str">
        <f>IF(INPUT!N1796="","",INPUT!N1796)</f>
        <v>M</v>
      </c>
      <c r="G1801" t="str" cm="1">
        <f t="array" ref="G1801">IFERROR(VLOOKUP(INPUT!M1796&amp;INPUT!N1796,CHOOSE({1,2},INPUT!$A$3:$A$5000&amp;INPUT!$C$3:$C$5000,INPUT!$F$3:$F$5000),2,FALSE),"")</f>
        <v>PRE-TEMPORADA</v>
      </c>
      <c r="H1801" t="str" cm="1">
        <f t="array" ref="H1801">IFERROR(VLOOKUP(INPUT!M1796&amp;INPUT!N1796,CHOOSE({1,2},INPUT!$A$3:$A$5000&amp;INPUT!$C$3:$C$5000,INPUT!$D$3:$D$5000),2,FALSE),"")</f>
        <v>GYM+FISICO</v>
      </c>
      <c r="I1801" s="46">
        <f>IF(INPUT!P1796="","",INPUT!P1796)</f>
        <v>69</v>
      </c>
      <c r="J1801" s="46">
        <f>IF(INPUT!Q1796="","",INPUT!Q1796)</f>
        <v>68</v>
      </c>
      <c r="K1801" s="46">
        <f>IFERROR(IF(OR(INPUT!P1796="",INPUT!Q1796=""),"",INPUT!P1796-INPUT!Q1796),"")</f>
        <v>1</v>
      </c>
      <c r="L1801" s="48">
        <f>IFERROR(IF(OR(INPUT!P1796="",INPUT!Q1796="",INPUT!P1796=0),"",(INPUT!P1796-INPUT!Q1796)/INPUT!P1796),"")</f>
        <v>1.4492753623188406E-2</v>
      </c>
    </row>
    <row r="1802" spans="1:12" ht="18" hidden="1" customHeight="1" x14ac:dyDescent="0.2">
      <c r="A1802" s="11">
        <f>IF(INPUT!M1797="","",INPUT!M1797)</f>
        <v>46049</v>
      </c>
      <c r="B1802" s="11">
        <f>IF(INPUT!M1797="","",INPUT!M1797-WEEKDAY(INPUT!M1797,2)+1)</f>
        <v>46048</v>
      </c>
      <c r="C1802" s="20">
        <f>IFERROR(_xlfn.ISOWEEKNUM(INPUT!M1797),"")</f>
        <v>5</v>
      </c>
      <c r="D1802" s="20">
        <f>IFERROR(YEAR(INPUT!M1797),"")</f>
        <v>2026</v>
      </c>
      <c r="E1802" t="str">
        <f>IF(INPUT!O1797="","",INPUT!O1797)</f>
        <v>CHAGUINHA</v>
      </c>
      <c r="F1802" t="str">
        <f>IF(INPUT!N1797="","",INPUT!N1797)</f>
        <v>T</v>
      </c>
      <c r="G1802" t="str" cm="1">
        <f t="array" ref="G1802">IFERROR(VLOOKUP(INPUT!M1797&amp;INPUT!N1797,CHOOSE({1,2},INPUT!$A$3:$A$5000&amp;INPUT!$C$3:$C$5000,INPUT!$F$3:$F$5000),2,FALSE),"")</f>
        <v>PRE-TEMPORADA</v>
      </c>
      <c r="H1802" t="str" cm="1">
        <f t="array" ref="H1802">IFERROR(VLOOKUP(INPUT!M1797&amp;INPUT!N1797,CHOOSE({1,2},INPUT!$A$3:$A$5000&amp;INPUT!$C$3:$C$5000,INPUT!$D$3:$D$5000),2,FALSE),"")</f>
        <v>TEC-TAC</v>
      </c>
      <c r="I1802" s="46">
        <f>IF(INPUT!P1797="","",INPUT!P1797)</f>
        <v>69.400000000000006</v>
      </c>
      <c r="J1802" s="46">
        <f>IF(INPUT!Q1797="","",INPUT!Q1797)</f>
        <v>68.5</v>
      </c>
      <c r="K1802" s="46">
        <f>IFERROR(IF(OR(INPUT!P1797="",INPUT!Q1797=""),"",INPUT!P1797-INPUT!Q1797),"")</f>
        <v>0.90000000000000568</v>
      </c>
      <c r="L1802" s="48">
        <f>IFERROR(IF(OR(INPUT!P1797="",INPUT!Q1797="",INPUT!P1797=0),"",(INPUT!P1797-INPUT!Q1797)/INPUT!P1797),"")</f>
        <v>1.2968299711815642E-2</v>
      </c>
    </row>
    <row r="1803" spans="1:12" ht="18" hidden="1" customHeight="1" x14ac:dyDescent="0.2">
      <c r="A1803" s="11">
        <f>IF(INPUT!M1798="","",INPUT!M1798)</f>
        <v>46049</v>
      </c>
      <c r="B1803" s="11">
        <f>IF(INPUT!M1798="","",INPUT!M1798-WEEKDAY(INPUT!M1798,2)+1)</f>
        <v>46048</v>
      </c>
      <c r="C1803" s="20">
        <f>IFERROR(_xlfn.ISOWEEKNUM(INPUT!M1798),"")</f>
        <v>5</v>
      </c>
      <c r="D1803" s="20">
        <f>IFERROR(YEAR(INPUT!M1798),"")</f>
        <v>2026</v>
      </c>
      <c r="E1803" t="str">
        <f>IF(INPUT!O1798="","",INPUT!O1798)</f>
        <v>RAUL</v>
      </c>
      <c r="F1803" t="str">
        <f>IF(INPUT!N1798="","",INPUT!N1798)</f>
        <v>M</v>
      </c>
      <c r="G1803" t="str" cm="1">
        <f t="array" ref="G1803">IFERROR(VLOOKUP(INPUT!M1798&amp;INPUT!N1798,CHOOSE({1,2},INPUT!$A$3:$A$5000&amp;INPUT!$C$3:$C$5000,INPUT!$F$3:$F$5000),2,FALSE),"")</f>
        <v>PRE-TEMPORADA</v>
      </c>
      <c r="H1803" t="str" cm="1">
        <f t="array" ref="H1803">IFERROR(VLOOKUP(INPUT!M1798&amp;INPUT!N1798,CHOOSE({1,2},INPUT!$A$3:$A$5000&amp;INPUT!$C$3:$C$5000,INPUT!$D$3:$D$5000),2,FALSE),"")</f>
        <v>GYM+FISICO</v>
      </c>
      <c r="I1803" s="46">
        <f>IF(INPUT!P1798="","",INPUT!P1798)</f>
        <v>81.8</v>
      </c>
      <c r="J1803" s="46">
        <f>IF(INPUT!Q1798="","",INPUT!Q1798)</f>
        <v>82</v>
      </c>
      <c r="K1803" s="46">
        <f>IFERROR(IF(OR(INPUT!P1798="",INPUT!Q1798=""),"",INPUT!P1798-INPUT!Q1798),"")</f>
        <v>-0.20000000000000284</v>
      </c>
      <c r="L1803" s="48">
        <f>IFERROR(IF(OR(INPUT!P1798="",INPUT!Q1798="",INPUT!P1798=0),"",(INPUT!P1798-INPUT!Q1798)/INPUT!P1798),"")</f>
        <v>-2.4449877750611594E-3</v>
      </c>
    </row>
    <row r="1804" spans="1:12" ht="18" hidden="1" customHeight="1" x14ac:dyDescent="0.2">
      <c r="A1804" s="11">
        <f>IF(INPUT!M1799="","",INPUT!M1799)</f>
        <v>46049</v>
      </c>
      <c r="B1804" s="11">
        <f>IF(INPUT!M1799="","",INPUT!M1799-WEEKDAY(INPUT!M1799,2)+1)</f>
        <v>46048</v>
      </c>
      <c r="C1804" s="20">
        <f>IFERROR(_xlfn.ISOWEEKNUM(INPUT!M1799),"")</f>
        <v>5</v>
      </c>
      <c r="D1804" s="20">
        <f>IFERROR(YEAR(INPUT!M1799),"")</f>
        <v>2026</v>
      </c>
      <c r="E1804" t="str">
        <f>IF(INPUT!O1799="","",INPUT!O1799)</f>
        <v>RAUL</v>
      </c>
      <c r="F1804" t="str">
        <f>IF(INPUT!N1799="","",INPUT!N1799)</f>
        <v>T</v>
      </c>
      <c r="G1804" t="str" cm="1">
        <f t="array" ref="G1804">IFERROR(VLOOKUP(INPUT!M1799&amp;INPUT!N1799,CHOOSE({1,2},INPUT!$A$3:$A$5000&amp;INPUT!$C$3:$C$5000,INPUT!$F$3:$F$5000),2,FALSE),"")</f>
        <v>PRE-TEMPORADA</v>
      </c>
      <c r="H1804" t="str" cm="1">
        <f t="array" ref="H1804">IFERROR(VLOOKUP(INPUT!M1799&amp;INPUT!N1799,CHOOSE({1,2},INPUT!$A$3:$A$5000&amp;INPUT!$C$3:$C$5000,INPUT!$D$3:$D$5000),2,FALSE),"")</f>
        <v>TEC-TAC</v>
      </c>
      <c r="I1804" s="46">
        <f>IF(INPUT!P1799="","",INPUT!P1799)</f>
        <v>81.900000000000006</v>
      </c>
      <c r="J1804" s="46">
        <f>IF(INPUT!Q1799="","",INPUT!Q1799)</f>
        <v>81.400000000000006</v>
      </c>
      <c r="K1804" s="46">
        <f>IFERROR(IF(OR(INPUT!P1799="",INPUT!Q1799=""),"",INPUT!P1799-INPUT!Q1799),"")</f>
        <v>0.5</v>
      </c>
      <c r="L1804" s="48">
        <f>IFERROR(IF(OR(INPUT!P1799="",INPUT!Q1799="",INPUT!P1799=0),"",(INPUT!P1799-INPUT!Q1799)/INPUT!P1799),"")</f>
        <v>6.105006105006105E-3</v>
      </c>
    </row>
    <row r="1805" spans="1:12" ht="18" hidden="1" customHeight="1" x14ac:dyDescent="0.2">
      <c r="A1805" s="11">
        <f>IF(INPUT!M1800="","",INPUT!M1800)</f>
        <v>46049</v>
      </c>
      <c r="B1805" s="11">
        <f>IF(INPUT!M1800="","",INPUT!M1800-WEEKDAY(INPUT!M1800,2)+1)</f>
        <v>46048</v>
      </c>
      <c r="C1805" s="20">
        <f>IFERROR(_xlfn.ISOWEEKNUM(INPUT!M1800),"")</f>
        <v>5</v>
      </c>
      <c r="D1805" s="20">
        <f>IFERROR(YEAR(INPUT!M1800),"")</f>
        <v>2026</v>
      </c>
      <c r="E1805" t="str">
        <f>IF(INPUT!O1800="","",INPUT!O1800)</f>
        <v>JAVI</v>
      </c>
      <c r="F1805" t="str">
        <f>IF(INPUT!N1800="","",INPUT!N1800)</f>
        <v>M</v>
      </c>
      <c r="G1805" t="str" cm="1">
        <f t="array" ref="G1805">IFERROR(VLOOKUP(INPUT!M1800&amp;INPUT!N1800,CHOOSE({1,2},INPUT!$A$3:$A$5000&amp;INPUT!$C$3:$C$5000,INPUT!$F$3:$F$5000),2,FALSE),"")</f>
        <v>PRE-TEMPORADA</v>
      </c>
      <c r="H1805" t="str" cm="1">
        <f t="array" ref="H1805">IFERROR(VLOOKUP(INPUT!M1800&amp;INPUT!N1800,CHOOSE({1,2},INPUT!$A$3:$A$5000&amp;INPUT!$C$3:$C$5000,INPUT!$D$3:$D$5000),2,FALSE),"")</f>
        <v>GYM+FISICO</v>
      </c>
      <c r="I1805" s="46">
        <f>IF(INPUT!P1800="","",INPUT!P1800)</f>
        <v>79.099999999999994</v>
      </c>
      <c r="J1805" s="46">
        <f>IF(INPUT!Q1800="","",INPUT!Q1800)</f>
        <v>79.2</v>
      </c>
      <c r="K1805" s="46">
        <f>IFERROR(IF(OR(INPUT!P1800="",INPUT!Q1800=""),"",INPUT!P1800-INPUT!Q1800),"")</f>
        <v>-0.10000000000000853</v>
      </c>
      <c r="L1805" s="48">
        <f>IFERROR(IF(OR(INPUT!P1800="",INPUT!Q1800="",INPUT!P1800=0),"",(INPUT!P1800-INPUT!Q1800)/INPUT!P1800),"")</f>
        <v>-1.2642225031606641E-3</v>
      </c>
    </row>
    <row r="1806" spans="1:12" ht="18" hidden="1" customHeight="1" x14ac:dyDescent="0.2">
      <c r="A1806" s="11">
        <f>IF(INPUT!M1801="","",INPUT!M1801)</f>
        <v>46049</v>
      </c>
      <c r="B1806" s="11">
        <f>IF(INPUT!M1801="","",INPUT!M1801-WEEKDAY(INPUT!M1801,2)+1)</f>
        <v>46048</v>
      </c>
      <c r="C1806" s="20">
        <f>IFERROR(_xlfn.ISOWEEKNUM(INPUT!M1801),"")</f>
        <v>5</v>
      </c>
      <c r="D1806" s="20">
        <f>IFERROR(YEAR(INPUT!M1801),"")</f>
        <v>2026</v>
      </c>
      <c r="E1806" t="str">
        <f>IF(INPUT!O1801="","",INPUT!O1801)</f>
        <v>JAVI</v>
      </c>
      <c r="F1806" t="str">
        <f>IF(INPUT!N1801="","",INPUT!N1801)</f>
        <v>T</v>
      </c>
      <c r="G1806" t="str" cm="1">
        <f t="array" ref="G1806">IFERROR(VLOOKUP(INPUT!M1801&amp;INPUT!N1801,CHOOSE({1,2},INPUT!$A$3:$A$5000&amp;INPUT!$C$3:$C$5000,INPUT!$F$3:$F$5000),2,FALSE),"")</f>
        <v>PRE-TEMPORADA</v>
      </c>
      <c r="H1806" t="str" cm="1">
        <f t="array" ref="H1806">IFERROR(VLOOKUP(INPUT!M1801&amp;INPUT!N1801,CHOOSE({1,2},INPUT!$A$3:$A$5000&amp;INPUT!$C$3:$C$5000,INPUT!$D$3:$D$5000),2,FALSE),"")</f>
        <v>TEC-TAC</v>
      </c>
      <c r="I1806" s="46">
        <f>IF(INPUT!P1801="","",INPUT!P1801)</f>
        <v>79.400000000000006</v>
      </c>
      <c r="J1806" s="46">
        <f>IF(INPUT!Q1801="","",INPUT!Q1801)</f>
        <v>79.7</v>
      </c>
      <c r="K1806" s="46">
        <f>IFERROR(IF(OR(INPUT!P1801="",INPUT!Q1801=""),"",INPUT!P1801-INPUT!Q1801),"")</f>
        <v>-0.29999999999999716</v>
      </c>
      <c r="L1806" s="48">
        <f>IFERROR(IF(OR(INPUT!P1801="",INPUT!Q1801="",INPUT!P1801=0),"",(INPUT!P1801-INPUT!Q1801)/INPUT!P1801),"")</f>
        <v>-3.77833753148611E-3</v>
      </c>
    </row>
    <row r="1807" spans="1:12" ht="18" hidden="1" customHeight="1" x14ac:dyDescent="0.2">
      <c r="A1807" s="11">
        <f>IF(INPUT!M1802="","",INPUT!M1802)</f>
        <v>46049</v>
      </c>
      <c r="B1807" s="11">
        <f>IF(INPUT!M1802="","",INPUT!M1802-WEEKDAY(INPUT!M1802,2)+1)</f>
        <v>46048</v>
      </c>
      <c r="C1807" s="20">
        <f>IFERROR(_xlfn.ISOWEEKNUM(INPUT!M1802),"")</f>
        <v>5</v>
      </c>
      <c r="D1807" s="20">
        <f>IFERROR(YEAR(INPUT!M1802),"")</f>
        <v>2026</v>
      </c>
      <c r="E1807" t="str">
        <f>IF(INPUT!O1802="","",INPUT!O1802)</f>
        <v>PANI</v>
      </c>
      <c r="F1807" t="str">
        <f>IF(INPUT!N1802="","",INPUT!N1802)</f>
        <v>M</v>
      </c>
      <c r="G1807" t="str" cm="1">
        <f t="array" ref="G1807">IFERROR(VLOOKUP(INPUT!M1802&amp;INPUT!N1802,CHOOSE({1,2},INPUT!$A$3:$A$5000&amp;INPUT!$C$3:$C$5000,INPUT!$F$3:$F$5000),2,FALSE),"")</f>
        <v>PRE-TEMPORADA</v>
      </c>
      <c r="H1807" t="str" cm="1">
        <f t="array" ref="H1807">IFERROR(VLOOKUP(INPUT!M1802&amp;INPUT!N1802,CHOOSE({1,2},INPUT!$A$3:$A$5000&amp;INPUT!$C$3:$C$5000,INPUT!$D$3:$D$5000),2,FALSE),"")</f>
        <v>GYM+FISICO</v>
      </c>
      <c r="I1807" s="46">
        <f>IF(INPUT!P1802="","",INPUT!P1802)</f>
        <v>67</v>
      </c>
      <c r="J1807" s="46">
        <f>IF(INPUT!Q1802="","",INPUT!Q1802)</f>
        <v>66.5</v>
      </c>
      <c r="K1807" s="46">
        <f>IFERROR(IF(OR(INPUT!P1802="",INPUT!Q1802=""),"",INPUT!P1802-INPUT!Q1802),"")</f>
        <v>0.5</v>
      </c>
      <c r="L1807" s="48">
        <f>IFERROR(IF(OR(INPUT!P1802="",INPUT!Q1802="",INPUT!P1802=0),"",(INPUT!P1802-INPUT!Q1802)/INPUT!P1802),"")</f>
        <v>7.462686567164179E-3</v>
      </c>
    </row>
    <row r="1808" spans="1:12" ht="18" hidden="1" customHeight="1" x14ac:dyDescent="0.2">
      <c r="A1808" s="11">
        <f>IF(INPUT!M1803="","",INPUT!M1803)</f>
        <v>46049</v>
      </c>
      <c r="B1808" s="11">
        <f>IF(INPUT!M1803="","",INPUT!M1803-WEEKDAY(INPUT!M1803,2)+1)</f>
        <v>46048</v>
      </c>
      <c r="C1808" s="20">
        <f>IFERROR(_xlfn.ISOWEEKNUM(INPUT!M1803),"")</f>
        <v>5</v>
      </c>
      <c r="D1808" s="20">
        <f>IFERROR(YEAR(INPUT!M1803),"")</f>
        <v>2026</v>
      </c>
      <c r="E1808" t="str">
        <f>IF(INPUT!O1803="","",INPUT!O1803)</f>
        <v>PANI</v>
      </c>
      <c r="F1808" t="str">
        <f>IF(INPUT!N1803="","",INPUT!N1803)</f>
        <v>T</v>
      </c>
      <c r="G1808" t="str" cm="1">
        <f t="array" ref="G1808">IFERROR(VLOOKUP(INPUT!M1803&amp;INPUT!N1803,CHOOSE({1,2},INPUT!$A$3:$A$5000&amp;INPUT!$C$3:$C$5000,INPUT!$F$3:$F$5000),2,FALSE),"")</f>
        <v>PRE-TEMPORADA</v>
      </c>
      <c r="H1808" t="str" cm="1">
        <f t="array" ref="H1808">IFERROR(VLOOKUP(INPUT!M1803&amp;INPUT!N1803,CHOOSE({1,2},INPUT!$A$3:$A$5000&amp;INPUT!$C$3:$C$5000,INPUT!$D$3:$D$5000),2,FALSE),"")</f>
        <v>TEC-TAC</v>
      </c>
      <c r="I1808" s="46">
        <f>IF(INPUT!P1803="","",INPUT!P1803)</f>
        <v>67.5</v>
      </c>
      <c r="J1808" s="46">
        <f>IF(INPUT!Q1803="","",INPUT!Q1803)</f>
        <v>66.8</v>
      </c>
      <c r="K1808" s="46">
        <f>IFERROR(IF(OR(INPUT!P1803="",INPUT!Q1803=""),"",INPUT!P1803-INPUT!Q1803),"")</f>
        <v>0.70000000000000284</v>
      </c>
      <c r="L1808" s="48">
        <f>IFERROR(IF(OR(INPUT!P1803="",INPUT!Q1803="",INPUT!P1803=0),"",(INPUT!P1803-INPUT!Q1803)/INPUT!P1803),"")</f>
        <v>1.0370370370370412E-2</v>
      </c>
    </row>
    <row r="1809" spans="1:12" ht="18" hidden="1" customHeight="1" x14ac:dyDescent="0.2">
      <c r="A1809" s="11">
        <f>IF(INPUT!M1804="","",INPUT!M1804)</f>
        <v>46049</v>
      </c>
      <c r="B1809" s="11">
        <f>IF(INPUT!M1804="","",INPUT!M1804-WEEKDAY(INPUT!M1804,2)+1)</f>
        <v>46048</v>
      </c>
      <c r="C1809" s="20">
        <f>IFERROR(_xlfn.ISOWEEKNUM(INPUT!M1804),"")</f>
        <v>5</v>
      </c>
      <c r="D1809" s="20">
        <f>IFERROR(YEAR(INPUT!M1804),"")</f>
        <v>2026</v>
      </c>
      <c r="E1809" t="str">
        <f>IF(INPUT!O1804="","",INPUT!O1804)</f>
        <v>PIRATA</v>
      </c>
      <c r="F1809" t="str">
        <f>IF(INPUT!N1804="","",INPUT!N1804)</f>
        <v>M</v>
      </c>
      <c r="G1809" t="str" cm="1">
        <f t="array" ref="G1809">IFERROR(VLOOKUP(INPUT!M1804&amp;INPUT!N1804,CHOOSE({1,2},INPUT!$A$3:$A$5000&amp;INPUT!$C$3:$C$5000,INPUT!$F$3:$F$5000),2,FALSE),"")</f>
        <v>PRE-TEMPORADA</v>
      </c>
      <c r="H1809" t="str" cm="1">
        <f t="array" ref="H1809">IFERROR(VLOOKUP(INPUT!M1804&amp;INPUT!N1804,CHOOSE({1,2},INPUT!$A$3:$A$5000&amp;INPUT!$C$3:$C$5000,INPUT!$D$3:$D$5000),2,FALSE),"")</f>
        <v>GYM+FISICO</v>
      </c>
      <c r="I1809" s="46">
        <f>IF(INPUT!P1804="","",INPUT!P1804)</f>
        <v>75.099999999999994</v>
      </c>
      <c r="J1809" s="46">
        <f>IF(INPUT!Q1804="","",INPUT!Q1804)</f>
        <v>75</v>
      </c>
      <c r="K1809" s="46">
        <f>IFERROR(IF(OR(INPUT!P1804="",INPUT!Q1804=""),"",INPUT!P1804-INPUT!Q1804),"")</f>
        <v>9.9999999999994316E-2</v>
      </c>
      <c r="L1809" s="48">
        <f>IFERROR(IF(OR(INPUT!P1804="",INPUT!Q1804="",INPUT!P1804=0),"",(INPUT!P1804-INPUT!Q1804)/INPUT!P1804),"")</f>
        <v>1.3315579227695649E-3</v>
      </c>
    </row>
    <row r="1810" spans="1:12" ht="18" hidden="1" customHeight="1" x14ac:dyDescent="0.2">
      <c r="A1810" s="11">
        <f>IF(INPUT!M1805="","",INPUT!M1805)</f>
        <v>46049</v>
      </c>
      <c r="B1810" s="11">
        <f>IF(INPUT!M1805="","",INPUT!M1805-WEEKDAY(INPUT!M1805,2)+1)</f>
        <v>46048</v>
      </c>
      <c r="C1810" s="20">
        <f>IFERROR(_xlfn.ISOWEEKNUM(INPUT!M1805),"")</f>
        <v>5</v>
      </c>
      <c r="D1810" s="20">
        <f>IFERROR(YEAR(INPUT!M1805),"")</f>
        <v>2026</v>
      </c>
      <c r="E1810" t="str">
        <f>IF(INPUT!O1805="","",INPUT!O1805)</f>
        <v>PIRATA</v>
      </c>
      <c r="F1810" t="str">
        <f>IF(INPUT!N1805="","",INPUT!N1805)</f>
        <v>T</v>
      </c>
      <c r="G1810" t="str" cm="1">
        <f t="array" ref="G1810">IFERROR(VLOOKUP(INPUT!M1805&amp;INPUT!N1805,CHOOSE({1,2},INPUT!$A$3:$A$5000&amp;INPUT!$C$3:$C$5000,INPUT!$F$3:$F$5000),2,FALSE),"")</f>
        <v>PRE-TEMPORADA</v>
      </c>
      <c r="H1810" t="str" cm="1">
        <f t="array" ref="H1810">IFERROR(VLOOKUP(INPUT!M1805&amp;INPUT!N1805,CHOOSE({1,2},INPUT!$A$3:$A$5000&amp;INPUT!$C$3:$C$5000,INPUT!$D$3:$D$5000),2,FALSE),"")</f>
        <v>TEC-TAC</v>
      </c>
      <c r="I1810" s="46">
        <f>IF(INPUT!P1805="","",INPUT!P1805)</f>
        <v>74.8</v>
      </c>
      <c r="J1810" s="46">
        <f>IF(INPUT!Q1805="","",INPUT!Q1805)</f>
        <v>75.099999999999994</v>
      </c>
      <c r="K1810" s="46">
        <f>IFERROR(IF(OR(INPUT!P1805="",INPUT!Q1805=""),"",INPUT!P1805-INPUT!Q1805),"")</f>
        <v>-0.29999999999999716</v>
      </c>
      <c r="L1810" s="48">
        <f>IFERROR(IF(OR(INPUT!P1805="",INPUT!Q1805="",INPUT!P1805=0),"",(INPUT!P1805-INPUT!Q1805)/INPUT!P1805),"")</f>
        <v>-4.0106951871657377E-3</v>
      </c>
    </row>
    <row r="1811" spans="1:12" ht="18" hidden="1" customHeight="1" x14ac:dyDescent="0.2">
      <c r="A1811" s="11">
        <f>IF(INPUT!M1806="","",INPUT!M1806)</f>
        <v>46049</v>
      </c>
      <c r="B1811" s="11">
        <f>IF(INPUT!M1806="","",INPUT!M1806-WEEKDAY(INPUT!M1806,2)+1)</f>
        <v>46048</v>
      </c>
      <c r="C1811" s="20">
        <f>IFERROR(_xlfn.ISOWEEKNUM(INPUT!M1806),"")</f>
        <v>5</v>
      </c>
      <c r="D1811" s="20">
        <f>IFERROR(YEAR(INPUT!M1806),"")</f>
        <v>2026</v>
      </c>
      <c r="E1811" t="str">
        <f>IF(INPUT!O1806="","",INPUT!O1806)</f>
        <v>BARONA</v>
      </c>
      <c r="F1811" t="str">
        <f>IF(INPUT!N1806="","",INPUT!N1806)</f>
        <v>M</v>
      </c>
      <c r="G1811" t="str" cm="1">
        <f t="array" ref="G1811">IFERROR(VLOOKUP(INPUT!M1806&amp;INPUT!N1806,CHOOSE({1,2},INPUT!$A$3:$A$5000&amp;INPUT!$C$3:$C$5000,INPUT!$F$3:$F$5000),2,FALSE),"")</f>
        <v>PRE-TEMPORADA</v>
      </c>
      <c r="H1811" t="str" cm="1">
        <f t="array" ref="H1811">IFERROR(VLOOKUP(INPUT!M1806&amp;INPUT!N1806,CHOOSE({1,2},INPUT!$A$3:$A$5000&amp;INPUT!$C$3:$C$5000,INPUT!$D$3:$D$5000),2,FALSE),"")</f>
        <v>GYM+FISICO</v>
      </c>
      <c r="I1811" s="46">
        <f>IF(INPUT!P1806="","",INPUT!P1806)</f>
        <v>71.5</v>
      </c>
      <c r="J1811" s="46">
        <f>IF(INPUT!Q1806="","",INPUT!Q1806)</f>
        <v>70.599999999999994</v>
      </c>
      <c r="K1811" s="46">
        <f>IFERROR(IF(OR(INPUT!P1806="",INPUT!Q1806=""),"",INPUT!P1806-INPUT!Q1806),"")</f>
        <v>0.90000000000000568</v>
      </c>
      <c r="L1811" s="48">
        <f>IFERROR(IF(OR(INPUT!P1806="",INPUT!Q1806="",INPUT!P1806=0),"",(INPUT!P1806-INPUT!Q1806)/INPUT!P1806),"")</f>
        <v>1.2587412587412666E-2</v>
      </c>
    </row>
    <row r="1812" spans="1:12" ht="18" hidden="1" customHeight="1" x14ac:dyDescent="0.2">
      <c r="A1812" s="11">
        <f>IF(INPUT!M1807="","",INPUT!M1807)</f>
        <v>46049</v>
      </c>
      <c r="B1812" s="11">
        <f>IF(INPUT!M1807="","",INPUT!M1807-WEEKDAY(INPUT!M1807,2)+1)</f>
        <v>46048</v>
      </c>
      <c r="C1812" s="20">
        <f>IFERROR(_xlfn.ISOWEEKNUM(INPUT!M1807),"")</f>
        <v>5</v>
      </c>
      <c r="D1812" s="20">
        <f>IFERROR(YEAR(INPUT!M1807),"")</f>
        <v>2026</v>
      </c>
      <c r="E1812" t="str">
        <f>IF(INPUT!O1807="","",INPUT!O1807)</f>
        <v>BARONA</v>
      </c>
      <c r="F1812" t="str">
        <f>IF(INPUT!N1807="","",INPUT!N1807)</f>
        <v>T</v>
      </c>
      <c r="G1812" t="str" cm="1">
        <f t="array" ref="G1812">IFERROR(VLOOKUP(INPUT!M1807&amp;INPUT!N1807,CHOOSE({1,2},INPUT!$A$3:$A$5000&amp;INPUT!$C$3:$C$5000,INPUT!$F$3:$F$5000),2,FALSE),"")</f>
        <v>PRE-TEMPORADA</v>
      </c>
      <c r="H1812" t="str" cm="1">
        <f t="array" ref="H1812">IFERROR(VLOOKUP(INPUT!M1807&amp;INPUT!N1807,CHOOSE({1,2},INPUT!$A$3:$A$5000&amp;INPUT!$C$3:$C$5000,INPUT!$D$3:$D$5000),2,FALSE),"")</f>
        <v>TEC-TAC</v>
      </c>
      <c r="I1812" s="46">
        <f>IF(INPUT!P1807="","",INPUT!P1807)</f>
        <v>71.099999999999994</v>
      </c>
      <c r="J1812" s="46">
        <f>IF(INPUT!Q1807="","",INPUT!Q1807)</f>
        <v>70.400000000000006</v>
      </c>
      <c r="K1812" s="46">
        <f>IFERROR(IF(OR(INPUT!P1807="",INPUT!Q1807=""),"",INPUT!P1807-INPUT!Q1807),"")</f>
        <v>0.69999999999998863</v>
      </c>
      <c r="L1812" s="48">
        <f>IFERROR(IF(OR(INPUT!P1807="",INPUT!Q1807="",INPUT!P1807=0),"",(INPUT!P1807-INPUT!Q1807)/INPUT!P1807),"")</f>
        <v>9.8452883263008256E-3</v>
      </c>
    </row>
    <row r="1813" spans="1:12" ht="18" hidden="1" customHeight="1" x14ac:dyDescent="0.2">
      <c r="A1813" s="11">
        <f>IF(INPUT!M1808="","",INPUT!M1808)</f>
        <v>46049</v>
      </c>
      <c r="B1813" s="11">
        <f>IF(INPUT!M1808="","",INPUT!M1808-WEEKDAY(INPUT!M1808,2)+1)</f>
        <v>46048</v>
      </c>
      <c r="C1813" s="20">
        <f>IFERROR(_xlfn.ISOWEEKNUM(INPUT!M1808),"")</f>
        <v>5</v>
      </c>
      <c r="D1813" s="20">
        <f>IFERROR(YEAR(INPUT!M1808),"")</f>
        <v>2026</v>
      </c>
      <c r="E1813" t="str">
        <f>IF(INPUT!O1808="","",INPUT!O1808)</f>
        <v>CARLOS</v>
      </c>
      <c r="F1813" t="str">
        <f>IF(INPUT!N1808="","",INPUT!N1808)</f>
        <v>M</v>
      </c>
      <c r="G1813" t="str" cm="1">
        <f t="array" ref="G1813">IFERROR(VLOOKUP(INPUT!M1808&amp;INPUT!N1808,CHOOSE({1,2},INPUT!$A$3:$A$5000&amp;INPUT!$C$3:$C$5000,INPUT!$F$3:$F$5000),2,FALSE),"")</f>
        <v>PRE-TEMPORADA</v>
      </c>
      <c r="H1813" t="str" cm="1">
        <f t="array" ref="H1813">IFERROR(VLOOKUP(INPUT!M1808&amp;INPUT!N1808,CHOOSE({1,2},INPUT!$A$3:$A$5000&amp;INPUT!$C$3:$C$5000,INPUT!$D$3:$D$5000),2,FALSE),"")</f>
        <v>GYM+FISICO</v>
      </c>
      <c r="I1813" s="46">
        <f>IF(INPUT!P1808="","",INPUT!P1808)</f>
        <v>68</v>
      </c>
      <c r="J1813" s="46">
        <f>IF(INPUT!Q1808="","",INPUT!Q1808)</f>
        <v>67.3</v>
      </c>
      <c r="K1813" s="46">
        <f>IFERROR(IF(OR(INPUT!P1808="",INPUT!Q1808=""),"",INPUT!P1808-INPUT!Q1808),"")</f>
        <v>0.70000000000000284</v>
      </c>
      <c r="L1813" s="48">
        <f>IFERROR(IF(OR(INPUT!P1808="",INPUT!Q1808="",INPUT!P1808=0),"",(INPUT!P1808-INPUT!Q1808)/INPUT!P1808),"")</f>
        <v>1.0294117647058865E-2</v>
      </c>
    </row>
    <row r="1814" spans="1:12" ht="18" hidden="1" customHeight="1" x14ac:dyDescent="0.2">
      <c r="A1814" s="11">
        <f>IF(INPUT!M1809="","",INPUT!M1809)</f>
        <v>46049</v>
      </c>
      <c r="B1814" s="11">
        <f>IF(INPUT!M1809="","",INPUT!M1809-WEEKDAY(INPUT!M1809,2)+1)</f>
        <v>46048</v>
      </c>
      <c r="C1814" s="20">
        <f>IFERROR(_xlfn.ISOWEEKNUM(INPUT!M1809),"")</f>
        <v>5</v>
      </c>
      <c r="D1814" s="20">
        <f>IFERROR(YEAR(INPUT!M1809),"")</f>
        <v>2026</v>
      </c>
      <c r="E1814" t="str">
        <f>IF(INPUT!O1809="","",INPUT!O1809)</f>
        <v>CARLOS</v>
      </c>
      <c r="F1814" t="str">
        <f>IF(INPUT!N1809="","",INPUT!N1809)</f>
        <v>T</v>
      </c>
      <c r="G1814" t="str" cm="1">
        <f t="array" ref="G1814">IFERROR(VLOOKUP(INPUT!M1809&amp;INPUT!N1809,CHOOSE({1,2},INPUT!$A$3:$A$5000&amp;INPUT!$C$3:$C$5000,INPUT!$F$3:$F$5000),2,FALSE),"")</f>
        <v>PRE-TEMPORADA</v>
      </c>
      <c r="H1814" t="str" cm="1">
        <f t="array" ref="H1814">IFERROR(VLOOKUP(INPUT!M1809&amp;INPUT!N1809,CHOOSE({1,2},INPUT!$A$3:$A$5000&amp;INPUT!$C$3:$C$5000,INPUT!$D$3:$D$5000),2,FALSE),"")</f>
        <v>TEC-TAC</v>
      </c>
      <c r="I1814" s="46">
        <f>IF(INPUT!P1809="","",INPUT!P1809)</f>
        <v>68.400000000000006</v>
      </c>
      <c r="J1814" s="46">
        <f>IF(INPUT!Q1809="","",INPUT!Q1809)</f>
        <v>68</v>
      </c>
      <c r="K1814" s="46">
        <f>IFERROR(IF(OR(INPUT!P1809="",INPUT!Q1809=""),"",INPUT!P1809-INPUT!Q1809),"")</f>
        <v>0.40000000000000568</v>
      </c>
      <c r="L1814" s="48">
        <f>IFERROR(IF(OR(INPUT!P1809="",INPUT!Q1809="",INPUT!P1809=0),"",(INPUT!P1809-INPUT!Q1809)/INPUT!P1809),"")</f>
        <v>5.8479532163743519E-3</v>
      </c>
    </row>
    <row r="1815" spans="1:12" ht="18" hidden="1" customHeight="1" x14ac:dyDescent="0.2">
      <c r="A1815" s="11">
        <f>IF(INPUT!M1810="","",INPUT!M1810)</f>
        <v>46049</v>
      </c>
      <c r="B1815" s="11">
        <f>IF(INPUT!M1810="","",INPUT!M1810-WEEKDAY(INPUT!M1810,2)+1)</f>
        <v>46048</v>
      </c>
      <c r="C1815" s="20">
        <f>IFERROR(_xlfn.ISOWEEKNUM(INPUT!M1810),"")</f>
        <v>5</v>
      </c>
      <c r="D1815" s="20">
        <f>IFERROR(YEAR(INPUT!M1810),"")</f>
        <v>2026</v>
      </c>
      <c r="E1815" t="str">
        <f>IF(INPUT!O1810="","",INPUT!O1810)</f>
        <v>GONZALO</v>
      </c>
      <c r="F1815" t="str">
        <f>IF(INPUT!N1810="","",INPUT!N1810)</f>
        <v>M</v>
      </c>
      <c r="G1815" t="str" cm="1">
        <f t="array" ref="G1815">IFERROR(VLOOKUP(INPUT!M1810&amp;INPUT!N1810,CHOOSE({1,2},INPUT!$A$3:$A$5000&amp;INPUT!$C$3:$C$5000,INPUT!$F$3:$F$5000),2,FALSE),"")</f>
        <v>PRE-TEMPORADA</v>
      </c>
      <c r="H1815" t="str" cm="1">
        <f t="array" ref="H1815">IFERROR(VLOOKUP(INPUT!M1810&amp;INPUT!N1810,CHOOSE({1,2},INPUT!$A$3:$A$5000&amp;INPUT!$C$3:$C$5000,INPUT!$D$3:$D$5000),2,FALSE),"")</f>
        <v>GYM+FISICO</v>
      </c>
      <c r="I1815" s="46">
        <f>IF(INPUT!P1810="","",INPUT!P1810)</f>
        <v>83.4</v>
      </c>
      <c r="J1815" s="46">
        <f>IF(INPUT!Q1810="","",INPUT!Q1810)</f>
        <v>83</v>
      </c>
      <c r="K1815" s="46">
        <f>IFERROR(IF(OR(INPUT!P1810="",INPUT!Q1810=""),"",INPUT!P1810-INPUT!Q1810),"")</f>
        <v>0.40000000000000568</v>
      </c>
      <c r="L1815" s="48">
        <f>IFERROR(IF(OR(INPUT!P1810="",INPUT!Q1810="",INPUT!P1810=0),"",(INPUT!P1810-INPUT!Q1810)/INPUT!P1810),"")</f>
        <v>4.7961630695444327E-3</v>
      </c>
    </row>
    <row r="1816" spans="1:12" ht="18" hidden="1" customHeight="1" x14ac:dyDescent="0.2">
      <c r="A1816" s="11">
        <f>IF(INPUT!M1811="","",INPUT!M1811)</f>
        <v>46049</v>
      </c>
      <c r="B1816" s="11">
        <f>IF(INPUT!M1811="","",INPUT!M1811-WEEKDAY(INPUT!M1811,2)+1)</f>
        <v>46048</v>
      </c>
      <c r="C1816" s="20">
        <f>IFERROR(_xlfn.ISOWEEKNUM(INPUT!M1811),"")</f>
        <v>5</v>
      </c>
      <c r="D1816" s="20">
        <f>IFERROR(YEAR(INPUT!M1811),"")</f>
        <v>2026</v>
      </c>
      <c r="E1816" t="str">
        <f>IF(INPUT!O1811="","",INPUT!O1811)</f>
        <v>GONZALO</v>
      </c>
      <c r="F1816" t="str">
        <f>IF(INPUT!N1811="","",INPUT!N1811)</f>
        <v>T</v>
      </c>
      <c r="G1816" t="str" cm="1">
        <f t="array" ref="G1816">IFERROR(VLOOKUP(INPUT!M1811&amp;INPUT!N1811,CHOOSE({1,2},INPUT!$A$3:$A$5000&amp;INPUT!$C$3:$C$5000,INPUT!$F$3:$F$5000),2,FALSE),"")</f>
        <v>PRE-TEMPORADA</v>
      </c>
      <c r="H1816" t="str" cm="1">
        <f t="array" ref="H1816">IFERROR(VLOOKUP(INPUT!M1811&amp;INPUT!N1811,CHOOSE({1,2},INPUT!$A$3:$A$5000&amp;INPUT!$C$3:$C$5000,INPUT!$D$3:$D$5000),2,FALSE),"")</f>
        <v>TEC-TAC</v>
      </c>
      <c r="I1816" s="46">
        <f>IF(INPUT!P1811="","",INPUT!P1811)</f>
        <v>83.5</v>
      </c>
      <c r="J1816" s="46">
        <f>IF(INPUT!Q1811="","",INPUT!Q1811)</f>
        <v>83.5</v>
      </c>
      <c r="K1816" s="46">
        <f>IFERROR(IF(OR(INPUT!P1811="",INPUT!Q1811=""),"",INPUT!P1811-INPUT!Q1811),"")</f>
        <v>0</v>
      </c>
      <c r="L1816" s="48">
        <f>IFERROR(IF(OR(INPUT!P1811="",INPUT!Q1811="",INPUT!P1811=0),"",(INPUT!P1811-INPUT!Q1811)/INPUT!P1811),"")</f>
        <v>0</v>
      </c>
    </row>
    <row r="1817" spans="1:12" ht="18" hidden="1" customHeight="1" x14ac:dyDescent="0.2">
      <c r="A1817" s="11">
        <f>IF(INPUT!M1812="","",INPUT!M1812)</f>
        <v>46049</v>
      </c>
      <c r="B1817" s="11">
        <f>IF(INPUT!M1812="","",INPUT!M1812-WEEKDAY(INPUT!M1812,2)+1)</f>
        <v>46048</v>
      </c>
      <c r="C1817" s="20">
        <f>IFERROR(_xlfn.ISOWEEKNUM(INPUT!M1812),"")</f>
        <v>5</v>
      </c>
      <c r="D1817" s="20">
        <f>IFERROR(YEAR(INPUT!M1812),"")</f>
        <v>2026</v>
      </c>
      <c r="E1817" t="str">
        <f>IF(INPUT!O1812="","",INPUT!O1812)</f>
        <v>DANI</v>
      </c>
      <c r="F1817" t="str">
        <f>IF(INPUT!N1812="","",INPUT!N1812)</f>
        <v>M</v>
      </c>
      <c r="G1817" t="str" cm="1">
        <f t="array" ref="G1817">IFERROR(VLOOKUP(INPUT!M1812&amp;INPUT!N1812,CHOOSE({1,2},INPUT!$A$3:$A$5000&amp;INPUT!$C$3:$C$5000,INPUT!$F$3:$F$5000),2,FALSE),"")</f>
        <v>PRE-TEMPORADA</v>
      </c>
      <c r="H1817" t="str" cm="1">
        <f t="array" ref="H1817">IFERROR(VLOOKUP(INPUT!M1812&amp;INPUT!N1812,CHOOSE({1,2},INPUT!$A$3:$A$5000&amp;INPUT!$C$3:$C$5000,INPUT!$D$3:$D$5000),2,FALSE),"")</f>
        <v>GYM+FISICO</v>
      </c>
      <c r="I1817" s="46">
        <f>IF(INPUT!P1812="","",INPUT!P1812)</f>
        <v>92</v>
      </c>
      <c r="J1817" s="46">
        <f>IF(INPUT!Q1812="","",INPUT!Q1812)</f>
        <v>91.3</v>
      </c>
      <c r="K1817" s="46">
        <f>IFERROR(IF(OR(INPUT!P1812="",INPUT!Q1812=""),"",INPUT!P1812-INPUT!Q1812),"")</f>
        <v>0.70000000000000284</v>
      </c>
      <c r="L1817" s="48">
        <f>IFERROR(IF(OR(INPUT!P1812="",INPUT!Q1812="",INPUT!P1812=0),"",(INPUT!P1812-INPUT!Q1812)/INPUT!P1812),"")</f>
        <v>7.6086956521739437E-3</v>
      </c>
    </row>
    <row r="1818" spans="1:12" ht="18" hidden="1" customHeight="1" x14ac:dyDescent="0.2">
      <c r="A1818" s="11">
        <f>IF(INPUT!M1813="","",INPUT!M1813)</f>
        <v>46049</v>
      </c>
      <c r="B1818" s="11">
        <f>IF(INPUT!M1813="","",INPUT!M1813-WEEKDAY(INPUT!M1813,2)+1)</f>
        <v>46048</v>
      </c>
      <c r="C1818" s="20">
        <f>IFERROR(_xlfn.ISOWEEKNUM(INPUT!M1813),"")</f>
        <v>5</v>
      </c>
      <c r="D1818" s="20">
        <f>IFERROR(YEAR(INPUT!M1813),"")</f>
        <v>2026</v>
      </c>
      <c r="E1818" t="str">
        <f>IF(INPUT!O1813="","",INPUT!O1813)</f>
        <v>DANI</v>
      </c>
      <c r="F1818" t="str">
        <f>IF(INPUT!N1813="","",INPUT!N1813)</f>
        <v>T</v>
      </c>
      <c r="G1818" t="str" cm="1">
        <f t="array" ref="G1818">IFERROR(VLOOKUP(INPUT!M1813&amp;INPUT!N1813,CHOOSE({1,2},INPUT!$A$3:$A$5000&amp;INPUT!$C$3:$C$5000,INPUT!$F$3:$F$5000),2,FALSE),"")</f>
        <v>PRE-TEMPORADA</v>
      </c>
      <c r="H1818" t="str" cm="1">
        <f t="array" ref="H1818">IFERROR(VLOOKUP(INPUT!M1813&amp;INPUT!N1813,CHOOSE({1,2},INPUT!$A$3:$A$5000&amp;INPUT!$C$3:$C$5000,INPUT!$D$3:$D$5000),2,FALSE),"")</f>
        <v>TEC-TAC</v>
      </c>
      <c r="I1818" s="46">
        <f>IF(INPUT!P1813="","",INPUT!P1813)</f>
        <v>92.4</v>
      </c>
      <c r="J1818" s="46">
        <f>IF(INPUT!Q1813="","",INPUT!Q1813)</f>
        <v>91.3</v>
      </c>
      <c r="K1818" s="46">
        <f>IFERROR(IF(OR(INPUT!P1813="",INPUT!Q1813=""),"",INPUT!P1813-INPUT!Q1813),"")</f>
        <v>1.1000000000000085</v>
      </c>
      <c r="L1818" s="48">
        <f>IFERROR(IF(OR(INPUT!P1813="",INPUT!Q1813="",INPUT!P1813=0),"",(INPUT!P1813-INPUT!Q1813)/INPUT!P1813),"")</f>
        <v>1.1904761904761996E-2</v>
      </c>
    </row>
    <row r="1819" spans="1:12" ht="18" hidden="1" customHeight="1" x14ac:dyDescent="0.2">
      <c r="A1819" s="11">
        <f>IF(INPUT!M1814="","",INPUT!M1814)</f>
        <v>46049</v>
      </c>
      <c r="B1819" s="11">
        <f>IF(INPUT!M1814="","",INPUT!M1814-WEEKDAY(INPUT!M1814,2)+1)</f>
        <v>46048</v>
      </c>
      <c r="C1819" s="20">
        <f>IFERROR(_xlfn.ISOWEEKNUM(INPUT!M1814),"")</f>
        <v>5</v>
      </c>
      <c r="D1819" s="20">
        <f>IFERROR(YEAR(INPUT!M1814),"")</f>
        <v>2026</v>
      </c>
      <c r="E1819" t="str">
        <f>IF(INPUT!O1814="","",INPUT!O1814)</f>
        <v>JAIME</v>
      </c>
      <c r="F1819" t="str">
        <f>IF(INPUT!N1814="","",INPUT!N1814)</f>
        <v>M</v>
      </c>
      <c r="G1819" t="str" cm="1">
        <f t="array" ref="G1819">IFERROR(VLOOKUP(INPUT!M1814&amp;INPUT!N1814,CHOOSE({1,2},INPUT!$A$3:$A$5000&amp;INPUT!$C$3:$C$5000,INPUT!$F$3:$F$5000),2,FALSE),"")</f>
        <v>PRE-TEMPORADA</v>
      </c>
      <c r="H1819" t="str" cm="1">
        <f t="array" ref="H1819">IFERROR(VLOOKUP(INPUT!M1814&amp;INPUT!N1814,CHOOSE({1,2},INPUT!$A$3:$A$5000&amp;INPUT!$C$3:$C$5000,INPUT!$D$3:$D$5000),2,FALSE),"")</f>
        <v>GYM+FISICO</v>
      </c>
      <c r="I1819" s="46">
        <f>IF(INPUT!P1814="","",INPUT!P1814)</f>
        <v>75.7</v>
      </c>
      <c r="J1819" s="46">
        <f>IF(INPUT!Q1814="","",INPUT!Q1814)</f>
        <v>75.7</v>
      </c>
      <c r="K1819" s="46">
        <f>IFERROR(IF(OR(INPUT!P1814="",INPUT!Q1814=""),"",INPUT!P1814-INPUT!Q1814),"")</f>
        <v>0</v>
      </c>
      <c r="L1819" s="48">
        <f>IFERROR(IF(OR(INPUT!P1814="",INPUT!Q1814="",INPUT!P1814=0),"",(INPUT!P1814-INPUT!Q1814)/INPUT!P1814),"")</f>
        <v>0</v>
      </c>
    </row>
    <row r="1820" spans="1:12" ht="18" customHeight="1" x14ac:dyDescent="0.2">
      <c r="A1820" s="11">
        <f>IF(INPUT!M1815="","",INPUT!M1815)</f>
        <v>46049</v>
      </c>
      <c r="B1820" s="11">
        <f>IF(INPUT!M1815="","",INPUT!M1815-WEEKDAY(INPUT!M1815,2)+1)</f>
        <v>46048</v>
      </c>
      <c r="C1820" s="20">
        <f>IFERROR(_xlfn.ISOWEEKNUM(INPUT!M1815),"")</f>
        <v>5</v>
      </c>
      <c r="D1820" s="20">
        <f>IFERROR(YEAR(INPUT!M1815),"")</f>
        <v>2026</v>
      </c>
      <c r="E1820" t="str">
        <f>IF(INPUT!O1815="","",INPUT!O1815)</f>
        <v>JAIME</v>
      </c>
      <c r="F1820" t="str">
        <f>IF(INPUT!N1815="","",INPUT!N1815)</f>
        <v>T</v>
      </c>
      <c r="G1820" t="str" cm="1">
        <f t="array" ref="G1820">IFERROR(VLOOKUP(INPUT!M1815&amp;INPUT!N1815,CHOOSE({1,2},INPUT!$A$3:$A$5000&amp;INPUT!$C$3:$C$5000,INPUT!$F$3:$F$5000),2,FALSE),"")</f>
        <v>PRE-TEMPORADA</v>
      </c>
      <c r="H1820" t="str" cm="1">
        <f t="array" ref="H1820">IFERROR(VLOOKUP(INPUT!M1815&amp;INPUT!N1815,CHOOSE({1,2},INPUT!$A$3:$A$5000&amp;INPUT!$C$3:$C$5000,INPUT!$D$3:$D$5000),2,FALSE),"")</f>
        <v>TEC-TAC</v>
      </c>
      <c r="I1820" s="46">
        <f>IF(INPUT!P1815="","",INPUT!P1815)</f>
        <v>75.8</v>
      </c>
      <c r="J1820" s="46">
        <f>IF(INPUT!Q1815="","",INPUT!Q1815)</f>
        <v>75.400000000000006</v>
      </c>
      <c r="K1820" s="46">
        <f>IFERROR(IF(OR(INPUT!P1815="",INPUT!Q1815=""),"",INPUT!P1815-INPUT!Q1815),"")</f>
        <v>0.39999999999999147</v>
      </c>
      <c r="L1820" s="48">
        <f>IFERROR(IF(OR(INPUT!P1815="",INPUT!Q1815="",INPUT!P1815=0),"",(INPUT!P1815-INPUT!Q1815)/INPUT!P1815),"")</f>
        <v>5.2770448548811544E-3</v>
      </c>
    </row>
    <row r="1821" spans="1:12" ht="18" customHeight="1" x14ac:dyDescent="0.2">
      <c r="A1821" s="11">
        <f>IF(INPUT!M1816="","",INPUT!M1816)</f>
        <v>46050</v>
      </c>
      <c r="B1821" s="11">
        <f>IF(INPUT!M1816="","",INPUT!M1816-WEEKDAY(INPUT!M1816,2)+1)</f>
        <v>46048</v>
      </c>
      <c r="C1821" s="20">
        <f>IFERROR(_xlfn.ISOWEEKNUM(INPUT!M1816),"")</f>
        <v>5</v>
      </c>
      <c r="D1821" s="20">
        <f>IFERROR(YEAR(INPUT!M1816),"")</f>
        <v>2026</v>
      </c>
      <c r="E1821" t="str">
        <f>IF(INPUT!O1816="","",INPUT!O1816)</f>
        <v>HERRERO</v>
      </c>
      <c r="F1821" t="str">
        <f>IF(INPUT!N1816="","",INPUT!N1816)</f>
        <v>M</v>
      </c>
      <c r="G1821" t="str" cm="1">
        <f t="array" ref="G1821">IFERROR(VLOOKUP(INPUT!M1816&amp;INPUT!N1816,CHOOSE({1,2},INPUT!$A$3:$A$5000&amp;INPUT!$C$3:$C$5000,INPUT!$F$3:$F$5000),2,FALSE),"")</f>
        <v>PRE-TEMPORADA</v>
      </c>
      <c r="H1821" t="str" cm="1">
        <f t="array" ref="H1821">IFERROR(VLOOKUP(INPUT!M1816&amp;INPUT!N1816,CHOOSE({1,2},INPUT!$A$3:$A$5000&amp;INPUT!$C$3:$C$5000,INPUT!$D$3:$D$5000),2,FALSE),"")</f>
        <v>TEC-TAC</v>
      </c>
      <c r="I1821" s="46">
        <f>IF(INPUT!P1816="","",INPUT!P1816)</f>
        <v>76.8</v>
      </c>
      <c r="J1821" s="46">
        <f>IF(INPUT!Q1816="","",INPUT!Q1816)</f>
        <v>76.099999999999994</v>
      </c>
      <c r="K1821" s="46">
        <f>IFERROR(IF(OR(INPUT!P1816="",INPUT!Q1816=""),"",INPUT!P1816-INPUT!Q1816),"")</f>
        <v>0.70000000000000284</v>
      </c>
      <c r="L1821" s="48">
        <f>IFERROR(IF(OR(INPUT!P1816="",INPUT!Q1816="",INPUT!P1816=0),"",(INPUT!P1816-INPUT!Q1816)/INPUT!P1816),"")</f>
        <v>9.1145833333333703E-3</v>
      </c>
    </row>
    <row r="1822" spans="1:12" ht="18" customHeight="1" x14ac:dyDescent="0.2">
      <c r="A1822" s="11">
        <f>IF(INPUT!M1817="","",INPUT!M1817)</f>
        <v>46050</v>
      </c>
      <c r="B1822" s="11">
        <f>IF(INPUT!M1817="","",INPUT!M1817-WEEKDAY(INPUT!M1817,2)+1)</f>
        <v>46048</v>
      </c>
      <c r="C1822" s="20">
        <f>IFERROR(_xlfn.ISOWEEKNUM(INPUT!M1817),"")</f>
        <v>5</v>
      </c>
      <c r="D1822" s="20">
        <f>IFERROR(YEAR(INPUT!M1817),"")</f>
        <v>2026</v>
      </c>
      <c r="E1822" t="str">
        <f>IF(INPUT!O1817="","",INPUT!O1817)</f>
        <v>CHAGUINHA</v>
      </c>
      <c r="F1822" t="str">
        <f>IF(INPUT!N1817="","",INPUT!N1817)</f>
        <v>M</v>
      </c>
      <c r="G1822" t="str" cm="1">
        <f t="array" ref="G1822">IFERROR(VLOOKUP(INPUT!M1817&amp;INPUT!N1817,CHOOSE({1,2},INPUT!$A$3:$A$5000&amp;INPUT!$C$3:$C$5000,INPUT!$F$3:$F$5000),2,FALSE),"")</f>
        <v>PRE-TEMPORADA</v>
      </c>
      <c r="H1822" t="str" cm="1">
        <f t="array" ref="H1822">IFERROR(VLOOKUP(INPUT!M1817&amp;INPUT!N1817,CHOOSE({1,2},INPUT!$A$3:$A$5000&amp;INPUT!$C$3:$C$5000,INPUT!$D$3:$D$5000),2,FALSE),"")</f>
        <v>TEC-TAC</v>
      </c>
      <c r="I1822" s="46">
        <f>IF(INPUT!P1817="","",INPUT!P1817)</f>
        <v>68.900000000000006</v>
      </c>
      <c r="J1822" s="46">
        <f>IF(INPUT!Q1817="","",INPUT!Q1817)</f>
        <v>68.7</v>
      </c>
      <c r="K1822" s="46">
        <f>IFERROR(IF(OR(INPUT!P1817="",INPUT!Q1817=""),"",INPUT!P1817-INPUT!Q1817),"")</f>
        <v>0.20000000000000284</v>
      </c>
      <c r="L1822" s="48">
        <f>IFERROR(IF(OR(INPUT!P1817="",INPUT!Q1817="",INPUT!P1817=0),"",(INPUT!P1817-INPUT!Q1817)/INPUT!P1817),"")</f>
        <v>2.902757619738793E-3</v>
      </c>
    </row>
    <row r="1823" spans="1:12" ht="18" customHeight="1" x14ac:dyDescent="0.2">
      <c r="A1823" s="11">
        <f>IF(INPUT!M1818="","",INPUT!M1818)</f>
        <v>46050</v>
      </c>
      <c r="B1823" s="11">
        <f>IF(INPUT!M1818="","",INPUT!M1818-WEEKDAY(INPUT!M1818,2)+1)</f>
        <v>46048</v>
      </c>
      <c r="C1823" s="20">
        <f>IFERROR(_xlfn.ISOWEEKNUM(INPUT!M1818),"")</f>
        <v>5</v>
      </c>
      <c r="D1823" s="20">
        <f>IFERROR(YEAR(INPUT!M1818),"")</f>
        <v>2026</v>
      </c>
      <c r="E1823" t="str">
        <f>IF(INPUT!O1818="","",INPUT!O1818)</f>
        <v>RAUL</v>
      </c>
      <c r="F1823" t="str">
        <f>IF(INPUT!N1818="","",INPUT!N1818)</f>
        <v>M</v>
      </c>
      <c r="G1823" t="str" cm="1">
        <f t="array" ref="G1823">IFERROR(VLOOKUP(INPUT!M1818&amp;INPUT!N1818,CHOOSE({1,2},INPUT!$A$3:$A$5000&amp;INPUT!$C$3:$C$5000,INPUT!$F$3:$F$5000),2,FALSE),"")</f>
        <v>PRE-TEMPORADA</v>
      </c>
      <c r="H1823" t="str" cm="1">
        <f t="array" ref="H1823">IFERROR(VLOOKUP(INPUT!M1818&amp;INPUT!N1818,CHOOSE({1,2},INPUT!$A$3:$A$5000&amp;INPUT!$C$3:$C$5000,INPUT!$D$3:$D$5000),2,FALSE),"")</f>
        <v>TEC-TAC</v>
      </c>
      <c r="I1823" s="46">
        <f>IF(INPUT!P1818="","",INPUT!P1818)</f>
        <v>80.5</v>
      </c>
      <c r="J1823" s="46">
        <f>IF(INPUT!Q1818="","",INPUT!Q1818)</f>
        <v>80.5</v>
      </c>
      <c r="K1823" s="46">
        <f>IFERROR(IF(OR(INPUT!P1818="",INPUT!Q1818=""),"",INPUT!P1818-INPUT!Q1818),"")</f>
        <v>0</v>
      </c>
      <c r="L1823" s="48">
        <f>IFERROR(IF(OR(INPUT!P1818="",INPUT!Q1818="",INPUT!P1818=0),"",(INPUT!P1818-INPUT!Q1818)/INPUT!P1818),"")</f>
        <v>0</v>
      </c>
    </row>
    <row r="1824" spans="1:12" ht="18" customHeight="1" x14ac:dyDescent="0.2">
      <c r="A1824" s="11">
        <f>IF(INPUT!M1819="","",INPUT!M1819)</f>
        <v>46050</v>
      </c>
      <c r="B1824" s="11">
        <f>IF(INPUT!M1819="","",INPUT!M1819-WEEKDAY(INPUT!M1819,2)+1)</f>
        <v>46048</v>
      </c>
      <c r="C1824" s="20">
        <f>IFERROR(_xlfn.ISOWEEKNUM(INPUT!M1819),"")</f>
        <v>5</v>
      </c>
      <c r="D1824" s="20">
        <f>IFERROR(YEAR(INPUT!M1819),"")</f>
        <v>2026</v>
      </c>
      <c r="E1824" t="str">
        <f>IF(INPUT!O1819="","",INPUT!O1819)</f>
        <v>JAVI</v>
      </c>
      <c r="F1824" t="str">
        <f>IF(INPUT!N1819="","",INPUT!N1819)</f>
        <v>M</v>
      </c>
      <c r="G1824" t="str" cm="1">
        <f t="array" ref="G1824">IFERROR(VLOOKUP(INPUT!M1819&amp;INPUT!N1819,CHOOSE({1,2},INPUT!$A$3:$A$5000&amp;INPUT!$C$3:$C$5000,INPUT!$F$3:$F$5000),2,FALSE),"")</f>
        <v>PRE-TEMPORADA</v>
      </c>
      <c r="H1824" t="str" cm="1">
        <f t="array" ref="H1824">IFERROR(VLOOKUP(INPUT!M1819&amp;INPUT!N1819,CHOOSE({1,2},INPUT!$A$3:$A$5000&amp;INPUT!$C$3:$C$5000,INPUT!$D$3:$D$5000),2,FALSE),"")</f>
        <v>TEC-TAC</v>
      </c>
      <c r="I1824" s="46">
        <f>IF(INPUT!P1819="","",INPUT!P1819)</f>
        <v>79.2</v>
      </c>
      <c r="J1824" s="46">
        <f>IF(INPUT!Q1819="","",INPUT!Q1819)</f>
        <v>79.099999999999994</v>
      </c>
      <c r="K1824" s="46">
        <f>IFERROR(IF(OR(INPUT!P1819="",INPUT!Q1819=""),"",INPUT!P1819-INPUT!Q1819),"")</f>
        <v>0.10000000000000853</v>
      </c>
      <c r="L1824" s="48">
        <f>IFERROR(IF(OR(INPUT!P1819="",INPUT!Q1819="",INPUT!P1819=0),"",(INPUT!P1819-INPUT!Q1819)/INPUT!P1819),"")</f>
        <v>1.2626262626263703E-3</v>
      </c>
    </row>
    <row r="1825" spans="1:12" ht="18" customHeight="1" x14ac:dyDescent="0.2">
      <c r="A1825" s="11">
        <f>IF(INPUT!M1820="","",INPUT!M1820)</f>
        <v>46050</v>
      </c>
      <c r="B1825" s="11">
        <f>IF(INPUT!M1820="","",INPUT!M1820-WEEKDAY(INPUT!M1820,2)+1)</f>
        <v>46048</v>
      </c>
      <c r="C1825" s="20">
        <f>IFERROR(_xlfn.ISOWEEKNUM(INPUT!M1820),"")</f>
        <v>5</v>
      </c>
      <c r="D1825" s="20">
        <f>IFERROR(YEAR(INPUT!M1820),"")</f>
        <v>2026</v>
      </c>
      <c r="E1825" t="str">
        <f>IF(INPUT!O1820="","",INPUT!O1820)</f>
        <v>PANI</v>
      </c>
      <c r="F1825" t="str">
        <f>IF(INPUT!N1820="","",INPUT!N1820)</f>
        <v>M</v>
      </c>
      <c r="G1825" t="str" cm="1">
        <f t="array" ref="G1825">IFERROR(VLOOKUP(INPUT!M1820&amp;INPUT!N1820,CHOOSE({1,2},INPUT!$A$3:$A$5000&amp;INPUT!$C$3:$C$5000,INPUT!$F$3:$F$5000),2,FALSE),"")</f>
        <v>PRE-TEMPORADA</v>
      </c>
      <c r="H1825" t="str" cm="1">
        <f t="array" ref="H1825">IFERROR(VLOOKUP(INPUT!M1820&amp;INPUT!N1820,CHOOSE({1,2},INPUT!$A$3:$A$5000&amp;INPUT!$C$3:$C$5000,INPUT!$D$3:$D$5000),2,FALSE),"")</f>
        <v>TEC-TAC</v>
      </c>
      <c r="I1825" s="46">
        <f>IF(INPUT!P1820="","",INPUT!P1820)</f>
        <v>66.5</v>
      </c>
      <c r="J1825" s="46">
        <f>IF(INPUT!Q1820="","",INPUT!Q1820)</f>
        <v>66</v>
      </c>
      <c r="K1825" s="46">
        <f>IFERROR(IF(OR(INPUT!P1820="",INPUT!Q1820=""),"",INPUT!P1820-INPUT!Q1820),"")</f>
        <v>0.5</v>
      </c>
      <c r="L1825" s="48">
        <f>IFERROR(IF(OR(INPUT!P1820="",INPUT!Q1820="",INPUT!P1820=0),"",(INPUT!P1820-INPUT!Q1820)/INPUT!P1820),"")</f>
        <v>7.5187969924812026E-3</v>
      </c>
    </row>
    <row r="1826" spans="1:12" ht="18" hidden="1" customHeight="1" x14ac:dyDescent="0.2">
      <c r="A1826" s="11">
        <f>IF(INPUT!M1821="","",INPUT!M1821)</f>
        <v>46050</v>
      </c>
      <c r="B1826" s="11">
        <f>IF(INPUT!M1821="","",INPUT!M1821-WEEKDAY(INPUT!M1821,2)+1)</f>
        <v>46048</v>
      </c>
      <c r="C1826" s="20">
        <f>IFERROR(_xlfn.ISOWEEKNUM(INPUT!M1821),"")</f>
        <v>5</v>
      </c>
      <c r="D1826" s="20">
        <f>IFERROR(YEAR(INPUT!M1821),"")</f>
        <v>2026</v>
      </c>
      <c r="E1826" t="str">
        <f>IF(INPUT!O1821="","",INPUT!O1821)</f>
        <v>PIRATA</v>
      </c>
      <c r="F1826" t="str">
        <f>IF(INPUT!N1821="","",INPUT!N1821)</f>
        <v>M</v>
      </c>
      <c r="G1826" t="str" cm="1">
        <f t="array" ref="G1826">IFERROR(VLOOKUP(INPUT!M1821&amp;INPUT!N1821,CHOOSE({1,2},INPUT!$A$3:$A$5000&amp;INPUT!$C$3:$C$5000,INPUT!$F$3:$F$5000),2,FALSE),"")</f>
        <v>PRE-TEMPORADA</v>
      </c>
      <c r="H1826" t="str" cm="1">
        <f t="array" ref="H1826">IFERROR(VLOOKUP(INPUT!M1821&amp;INPUT!N1821,CHOOSE({1,2},INPUT!$A$3:$A$5000&amp;INPUT!$C$3:$C$5000,INPUT!$D$3:$D$5000),2,FALSE),"")</f>
        <v>TEC-TAC</v>
      </c>
      <c r="I1826" s="46">
        <f>IF(INPUT!P1821="","",INPUT!P1821)</f>
        <v>75.3</v>
      </c>
      <c r="J1826" s="46">
        <f>IF(INPUT!Q1821="","",INPUT!Q1821)</f>
        <v>75.2</v>
      </c>
      <c r="K1826" s="46">
        <f>IFERROR(IF(OR(INPUT!P1821="",INPUT!Q1821=""),"",INPUT!P1821-INPUT!Q1821),"")</f>
        <v>9.9999999999994316E-2</v>
      </c>
      <c r="L1826" s="48">
        <f>IFERROR(IF(OR(INPUT!P1821="",INPUT!Q1821="",INPUT!P1821=0),"",(INPUT!P1821-INPUT!Q1821)/INPUT!P1821),"")</f>
        <v>1.3280212483398981E-3</v>
      </c>
    </row>
    <row r="1827" spans="1:12" ht="18" hidden="1" customHeight="1" x14ac:dyDescent="0.2">
      <c r="A1827" s="11">
        <f>IF(INPUT!M1822="","",INPUT!M1822)</f>
        <v>46050</v>
      </c>
      <c r="B1827" s="11">
        <f>IF(INPUT!M1822="","",INPUT!M1822-WEEKDAY(INPUT!M1822,2)+1)</f>
        <v>46048</v>
      </c>
      <c r="C1827" s="20">
        <f>IFERROR(_xlfn.ISOWEEKNUM(INPUT!M1822),"")</f>
        <v>5</v>
      </c>
      <c r="D1827" s="20">
        <f>IFERROR(YEAR(INPUT!M1822),"")</f>
        <v>2026</v>
      </c>
      <c r="E1827" t="str">
        <f>IF(INPUT!O1822="","",INPUT!O1822)</f>
        <v>BARONA</v>
      </c>
      <c r="F1827" t="str">
        <f>IF(INPUT!N1822="","",INPUT!N1822)</f>
        <v>M</v>
      </c>
      <c r="G1827" t="str" cm="1">
        <f t="array" ref="G1827">IFERROR(VLOOKUP(INPUT!M1822&amp;INPUT!N1822,CHOOSE({1,2},INPUT!$A$3:$A$5000&amp;INPUT!$C$3:$C$5000,INPUT!$F$3:$F$5000),2,FALSE),"")</f>
        <v>PRE-TEMPORADA</v>
      </c>
      <c r="H1827" t="str" cm="1">
        <f t="array" ref="H1827">IFERROR(VLOOKUP(INPUT!M1822&amp;INPUT!N1822,CHOOSE({1,2},INPUT!$A$3:$A$5000&amp;INPUT!$C$3:$C$5000,INPUT!$D$3:$D$5000),2,FALSE),"")</f>
        <v>TEC-TAC</v>
      </c>
      <c r="I1827" s="46">
        <f>IF(INPUT!P1822="","",INPUT!P1822)</f>
        <v>71</v>
      </c>
      <c r="J1827" s="46">
        <f>IF(INPUT!Q1822="","",INPUT!Q1822)</f>
        <v>70.5</v>
      </c>
      <c r="K1827" s="46">
        <f>IFERROR(IF(OR(INPUT!P1822="",INPUT!Q1822=""),"",INPUT!P1822-INPUT!Q1822),"")</f>
        <v>0.5</v>
      </c>
      <c r="L1827" s="48">
        <f>IFERROR(IF(OR(INPUT!P1822="",INPUT!Q1822="",INPUT!P1822=0),"",(INPUT!P1822-INPUT!Q1822)/INPUT!P1822),"")</f>
        <v>7.0422535211267607E-3</v>
      </c>
    </row>
    <row r="1828" spans="1:12" ht="18" hidden="1" customHeight="1" x14ac:dyDescent="0.2">
      <c r="A1828" s="11">
        <f>IF(INPUT!M1823="","",INPUT!M1823)</f>
        <v>46050</v>
      </c>
      <c r="B1828" s="11">
        <f>IF(INPUT!M1823="","",INPUT!M1823-WEEKDAY(INPUT!M1823,2)+1)</f>
        <v>46048</v>
      </c>
      <c r="C1828" s="20">
        <f>IFERROR(_xlfn.ISOWEEKNUM(INPUT!M1823),"")</f>
        <v>5</v>
      </c>
      <c r="D1828" s="20">
        <f>IFERROR(YEAR(INPUT!M1823),"")</f>
        <v>2026</v>
      </c>
      <c r="E1828" t="str">
        <f>IF(INPUT!O1823="","",INPUT!O1823)</f>
        <v>CARLOS</v>
      </c>
      <c r="F1828" t="str">
        <f>IF(INPUT!N1823="","",INPUT!N1823)</f>
        <v>M</v>
      </c>
      <c r="G1828" t="str" cm="1">
        <f t="array" ref="G1828">IFERROR(VLOOKUP(INPUT!M1823&amp;INPUT!N1823,CHOOSE({1,2},INPUT!$A$3:$A$5000&amp;INPUT!$C$3:$C$5000,INPUT!$F$3:$F$5000),2,FALSE),"")</f>
        <v>PRE-TEMPORADA</v>
      </c>
      <c r="H1828" t="str" cm="1">
        <f t="array" ref="H1828">IFERROR(VLOOKUP(INPUT!M1823&amp;INPUT!N1823,CHOOSE({1,2},INPUT!$A$3:$A$5000&amp;INPUT!$C$3:$C$5000,INPUT!$D$3:$D$5000),2,FALSE),"")</f>
        <v>TEC-TAC</v>
      </c>
      <c r="I1828" s="46">
        <f>IF(INPUT!P1823="","",INPUT!P1823)</f>
        <v>68</v>
      </c>
      <c r="J1828" s="46">
        <f>IF(INPUT!Q1823="","",INPUT!Q1823)</f>
        <v>67.8</v>
      </c>
      <c r="K1828" s="46">
        <f>IFERROR(IF(OR(INPUT!P1823="",INPUT!Q1823=""),"",INPUT!P1823-INPUT!Q1823),"")</f>
        <v>0.20000000000000284</v>
      </c>
      <c r="L1828" s="48">
        <f>IFERROR(IF(OR(INPUT!P1823="",INPUT!Q1823="",INPUT!P1823=0),"",(INPUT!P1823-INPUT!Q1823)/INPUT!P1823),"")</f>
        <v>2.9411764705882769E-3</v>
      </c>
    </row>
    <row r="1829" spans="1:12" ht="18" hidden="1" customHeight="1" x14ac:dyDescent="0.2">
      <c r="A1829" s="11">
        <f>IF(INPUT!M1824="","",INPUT!M1824)</f>
        <v>46050</v>
      </c>
      <c r="B1829" s="11">
        <f>IF(INPUT!M1824="","",INPUT!M1824-WEEKDAY(INPUT!M1824,2)+1)</f>
        <v>46048</v>
      </c>
      <c r="C1829" s="20">
        <f>IFERROR(_xlfn.ISOWEEKNUM(INPUT!M1824),"")</f>
        <v>5</v>
      </c>
      <c r="D1829" s="20">
        <f>IFERROR(YEAR(INPUT!M1824),"")</f>
        <v>2026</v>
      </c>
      <c r="E1829" t="str">
        <f>IF(INPUT!O1824="","",INPUT!O1824)</f>
        <v>GONZALO</v>
      </c>
      <c r="F1829" t="str">
        <f>IF(INPUT!N1824="","",INPUT!N1824)</f>
        <v>M</v>
      </c>
      <c r="G1829" t="str" cm="1">
        <f t="array" ref="G1829">IFERROR(VLOOKUP(INPUT!M1824&amp;INPUT!N1824,CHOOSE({1,2},INPUT!$A$3:$A$5000&amp;INPUT!$C$3:$C$5000,INPUT!$F$3:$F$5000),2,FALSE),"")</f>
        <v>PRE-TEMPORADA</v>
      </c>
      <c r="H1829" t="str" cm="1">
        <f t="array" ref="H1829">IFERROR(VLOOKUP(INPUT!M1824&amp;INPUT!N1824,CHOOSE({1,2},INPUT!$A$3:$A$5000&amp;INPUT!$C$3:$C$5000,INPUT!$D$3:$D$5000),2,FALSE),"")</f>
        <v>TEC-TAC</v>
      </c>
      <c r="I1829" s="46">
        <f>IF(INPUT!P1824="","",INPUT!P1824)</f>
        <v>83.4</v>
      </c>
      <c r="J1829" s="46">
        <f>IF(INPUT!Q1824="","",INPUT!Q1824)</f>
        <v>83.2</v>
      </c>
      <c r="K1829" s="46">
        <f>IFERROR(IF(OR(INPUT!P1824="",INPUT!Q1824=""),"",INPUT!P1824-INPUT!Q1824),"")</f>
        <v>0.20000000000000284</v>
      </c>
      <c r="L1829" s="48">
        <f>IFERROR(IF(OR(INPUT!P1824="",INPUT!Q1824="",INPUT!P1824=0),"",(INPUT!P1824-INPUT!Q1824)/INPUT!P1824),"")</f>
        <v>2.3980815347722164E-3</v>
      </c>
    </row>
    <row r="1830" spans="1:12" ht="18" hidden="1" customHeight="1" x14ac:dyDescent="0.2">
      <c r="A1830" s="11">
        <f>IF(INPUT!M1825="","",INPUT!M1825)</f>
        <v>46050</v>
      </c>
      <c r="B1830" s="11">
        <f>IF(INPUT!M1825="","",INPUT!M1825-WEEKDAY(INPUT!M1825,2)+1)</f>
        <v>46048</v>
      </c>
      <c r="C1830" s="20">
        <f>IFERROR(_xlfn.ISOWEEKNUM(INPUT!M1825),"")</f>
        <v>5</v>
      </c>
      <c r="D1830" s="20">
        <f>IFERROR(YEAR(INPUT!M1825),"")</f>
        <v>2026</v>
      </c>
      <c r="E1830" t="str">
        <f>IF(INPUT!O1825="","",INPUT!O1825)</f>
        <v>DANI</v>
      </c>
      <c r="F1830" t="str">
        <f>IF(INPUT!N1825="","",INPUT!N1825)</f>
        <v>M</v>
      </c>
      <c r="G1830" t="str" cm="1">
        <f t="array" ref="G1830">IFERROR(VLOOKUP(INPUT!M1825&amp;INPUT!N1825,CHOOSE({1,2},INPUT!$A$3:$A$5000&amp;INPUT!$C$3:$C$5000,INPUT!$F$3:$F$5000),2,FALSE),"")</f>
        <v>PRE-TEMPORADA</v>
      </c>
      <c r="H1830" t="str" cm="1">
        <f t="array" ref="H1830">IFERROR(VLOOKUP(INPUT!M1825&amp;INPUT!N1825,CHOOSE({1,2},INPUT!$A$3:$A$5000&amp;INPUT!$C$3:$C$5000,INPUT!$D$3:$D$5000),2,FALSE),"")</f>
        <v>TEC-TAC</v>
      </c>
      <c r="I1830" s="46">
        <f>IF(INPUT!P1825="","",INPUT!P1825)</f>
        <v>91.6</v>
      </c>
      <c r="J1830" s="46">
        <f>IF(INPUT!Q1825="","",INPUT!Q1825)</f>
        <v>90.6</v>
      </c>
      <c r="K1830" s="46">
        <f>IFERROR(IF(OR(INPUT!P1825="",INPUT!Q1825=""),"",INPUT!P1825-INPUT!Q1825),"")</f>
        <v>1</v>
      </c>
      <c r="L1830" s="48">
        <f>IFERROR(IF(OR(INPUT!P1825="",INPUT!Q1825="",INPUT!P1825=0),"",(INPUT!P1825-INPUT!Q1825)/INPUT!P1825),"")</f>
        <v>1.0917030567685591E-2</v>
      </c>
    </row>
    <row r="1831" spans="1:12" ht="18" hidden="1" customHeight="1" x14ac:dyDescent="0.2">
      <c r="A1831" s="11">
        <f>IF(INPUT!M1826="","",INPUT!M1826)</f>
        <v>46050</v>
      </c>
      <c r="B1831" s="11">
        <f>IF(INPUT!M1826="","",INPUT!M1826-WEEKDAY(INPUT!M1826,2)+1)</f>
        <v>46048</v>
      </c>
      <c r="C1831" s="20">
        <f>IFERROR(_xlfn.ISOWEEKNUM(INPUT!M1826),"")</f>
        <v>5</v>
      </c>
      <c r="D1831" s="20">
        <f>IFERROR(YEAR(INPUT!M1826),"")</f>
        <v>2026</v>
      </c>
      <c r="E1831" t="str">
        <f>IF(INPUT!O1826="","",INPUT!O1826)</f>
        <v>JAIME</v>
      </c>
      <c r="F1831" t="str">
        <f>IF(INPUT!N1826="","",INPUT!N1826)</f>
        <v>M</v>
      </c>
      <c r="G1831" t="str" cm="1">
        <f t="array" ref="G1831">IFERROR(VLOOKUP(INPUT!M1826&amp;INPUT!N1826,CHOOSE({1,2},INPUT!$A$3:$A$5000&amp;INPUT!$C$3:$C$5000,INPUT!$F$3:$F$5000),2,FALSE),"")</f>
        <v>PRE-TEMPORADA</v>
      </c>
      <c r="H1831" t="str" cm="1">
        <f t="array" ref="H1831">IFERROR(VLOOKUP(INPUT!M1826&amp;INPUT!N1826,CHOOSE({1,2},INPUT!$A$3:$A$5000&amp;INPUT!$C$3:$C$5000,INPUT!$D$3:$D$5000),2,FALSE),"")</f>
        <v>TEC-TAC</v>
      </c>
      <c r="I1831" s="46">
        <f>IF(INPUT!P1826="","",INPUT!P1826)</f>
        <v>75.599999999999994</v>
      </c>
      <c r="J1831" s="46">
        <f>IF(INPUT!Q1826="","",INPUT!Q1826)</f>
        <v>75.400000000000006</v>
      </c>
      <c r="K1831" s="46">
        <f>IFERROR(IF(OR(INPUT!P1826="",INPUT!Q1826=""),"",INPUT!P1826-INPUT!Q1826),"")</f>
        <v>0.19999999999998863</v>
      </c>
      <c r="L1831" s="48">
        <f>IFERROR(IF(OR(INPUT!P1826="",INPUT!Q1826="",INPUT!P1826=0),"",(INPUT!P1826-INPUT!Q1826)/INPUT!P1826),"")</f>
        <v>2.6455026455024953E-3</v>
      </c>
    </row>
    <row r="1832" spans="1:12" ht="18" hidden="1" customHeight="1" x14ac:dyDescent="0.2">
      <c r="A1832" s="11">
        <f>IF(INPUT!M1827="","",INPUT!M1827)</f>
        <v>46051</v>
      </c>
      <c r="B1832" s="11">
        <f>IF(INPUT!M1827="","",INPUT!M1827-WEEKDAY(INPUT!M1827,2)+1)</f>
        <v>46048</v>
      </c>
      <c r="C1832" s="20">
        <f>IFERROR(_xlfn.ISOWEEKNUM(INPUT!M1827),"")</f>
        <v>5</v>
      </c>
      <c r="D1832" s="20">
        <f>IFERROR(YEAR(INPUT!M1827),"")</f>
        <v>2026</v>
      </c>
      <c r="E1832" t="str">
        <f>IF(INPUT!O1827="","",INPUT!O1827)</f>
        <v>HERRERO</v>
      </c>
      <c r="F1832" t="str">
        <f>IF(INPUT!N1827="","",INPUT!N1827)</f>
        <v>M</v>
      </c>
      <c r="G1832" t="str" cm="1">
        <f t="array" ref="G1832">IFERROR(VLOOKUP(INPUT!M1827&amp;INPUT!N1827,CHOOSE({1,2},INPUT!$A$3:$A$5000&amp;INPUT!$C$3:$C$5000,INPUT!$F$3:$F$5000),2,FALSE),"")</f>
        <v/>
      </c>
      <c r="H1832" t="str" cm="1">
        <f t="array" ref="H1832">IFERROR(VLOOKUP(INPUT!M1827&amp;INPUT!N1827,CHOOSE({1,2},INPUT!$A$3:$A$5000&amp;INPUT!$C$3:$C$5000,INPUT!$D$3:$D$5000),2,FALSE),"")</f>
        <v/>
      </c>
      <c r="I1832" s="46">
        <f>IF(INPUT!P1827="","",INPUT!P1827)</f>
        <v>77</v>
      </c>
      <c r="J1832" s="46">
        <f>IF(INPUT!Q1827="","",INPUT!Q1827)</f>
        <v>77</v>
      </c>
      <c r="K1832" s="46">
        <f>IFERROR(IF(OR(INPUT!P1827="",INPUT!Q1827=""),"",INPUT!P1827-INPUT!Q1827),"")</f>
        <v>0</v>
      </c>
      <c r="L1832" s="48">
        <f>IFERROR(IF(OR(INPUT!P1827="",INPUT!Q1827="",INPUT!P1827=0),"",(INPUT!P1827-INPUT!Q1827)/INPUT!P1827),"")</f>
        <v>0</v>
      </c>
    </row>
    <row r="1833" spans="1:12" ht="18" hidden="1" customHeight="1" x14ac:dyDescent="0.2">
      <c r="A1833" s="11">
        <f>IF(INPUT!M1828="","",INPUT!M1828)</f>
        <v>46051</v>
      </c>
      <c r="B1833" s="11">
        <f>IF(INPUT!M1828="","",INPUT!M1828-WEEKDAY(INPUT!M1828,2)+1)</f>
        <v>46048</v>
      </c>
      <c r="C1833" s="20">
        <f>IFERROR(_xlfn.ISOWEEKNUM(INPUT!M1828),"")</f>
        <v>5</v>
      </c>
      <c r="D1833" s="20">
        <f>IFERROR(YEAR(INPUT!M1828),"")</f>
        <v>2026</v>
      </c>
      <c r="E1833" t="str">
        <f>IF(INPUT!O1828="","",INPUT!O1828)</f>
        <v>GARCIA</v>
      </c>
      <c r="F1833" t="str">
        <f>IF(INPUT!N1828="","",INPUT!N1828)</f>
        <v>M</v>
      </c>
      <c r="G1833" t="str" cm="1">
        <f t="array" ref="G1833">IFERROR(VLOOKUP(INPUT!M1828&amp;INPUT!N1828,CHOOSE({1,2},INPUT!$A$3:$A$5000&amp;INPUT!$C$3:$C$5000,INPUT!$F$3:$F$5000),2,FALSE),"")</f>
        <v/>
      </c>
      <c r="H1833" t="str" cm="1">
        <f t="array" ref="H1833">IFERROR(VLOOKUP(INPUT!M1828&amp;INPUT!N1828,CHOOSE({1,2},INPUT!$A$3:$A$5000&amp;INPUT!$C$3:$C$5000,INPUT!$D$3:$D$5000),2,FALSE),"")</f>
        <v/>
      </c>
      <c r="I1833" s="46">
        <f>IF(INPUT!P1828="","",INPUT!P1828)</f>
        <v>79.3</v>
      </c>
      <c r="J1833" s="46">
        <f>IF(INPUT!Q1828="","",INPUT!Q1828)</f>
        <v>79.2</v>
      </c>
      <c r="K1833" s="46">
        <f>IFERROR(IF(OR(INPUT!P1828="",INPUT!Q1828=""),"",INPUT!P1828-INPUT!Q1828),"")</f>
        <v>9.9999999999994316E-2</v>
      </c>
      <c r="L1833" s="48">
        <f>IFERROR(IF(OR(INPUT!P1828="",INPUT!Q1828="",INPUT!P1828=0),"",(INPUT!P1828-INPUT!Q1828)/INPUT!P1828),"")</f>
        <v>1.2610340479192223E-3</v>
      </c>
    </row>
    <row r="1834" spans="1:12" ht="18" hidden="1" customHeight="1" x14ac:dyDescent="0.2">
      <c r="A1834" s="11">
        <f>IF(INPUT!M1829="","",INPUT!M1829)</f>
        <v>46051</v>
      </c>
      <c r="B1834" s="11">
        <f>IF(INPUT!M1829="","",INPUT!M1829-WEEKDAY(INPUT!M1829,2)+1)</f>
        <v>46048</v>
      </c>
      <c r="C1834" s="20">
        <f>IFERROR(_xlfn.ISOWEEKNUM(INPUT!M1829),"")</f>
        <v>5</v>
      </c>
      <c r="D1834" s="20">
        <f>IFERROR(YEAR(INPUT!M1829),"")</f>
        <v>2026</v>
      </c>
      <c r="E1834" t="str">
        <f>IF(INPUT!O1829="","",INPUT!O1829)</f>
        <v>CHAGUINHA</v>
      </c>
      <c r="F1834" t="str">
        <f>IF(INPUT!N1829="","",INPUT!N1829)</f>
        <v>M</v>
      </c>
      <c r="G1834" t="str" cm="1">
        <f t="array" ref="G1834">IFERROR(VLOOKUP(INPUT!M1829&amp;INPUT!N1829,CHOOSE({1,2},INPUT!$A$3:$A$5000&amp;INPUT!$C$3:$C$5000,INPUT!$F$3:$F$5000),2,FALSE),"")</f>
        <v/>
      </c>
      <c r="H1834" t="str" cm="1">
        <f t="array" ref="H1834">IFERROR(VLOOKUP(INPUT!M1829&amp;INPUT!N1829,CHOOSE({1,2},INPUT!$A$3:$A$5000&amp;INPUT!$C$3:$C$5000,INPUT!$D$3:$D$5000),2,FALSE),"")</f>
        <v/>
      </c>
      <c r="I1834" s="46">
        <f>IF(INPUT!P1829="","",INPUT!P1829)</f>
        <v>69</v>
      </c>
      <c r="J1834" s="46">
        <f>IF(INPUT!Q1829="","",INPUT!Q1829)</f>
        <v>69</v>
      </c>
      <c r="K1834" s="46">
        <f>IFERROR(IF(OR(INPUT!P1829="",INPUT!Q1829=""),"",INPUT!P1829-INPUT!Q1829),"")</f>
        <v>0</v>
      </c>
      <c r="L1834" s="48">
        <f>IFERROR(IF(OR(INPUT!P1829="",INPUT!Q1829="",INPUT!P1829=0),"",(INPUT!P1829-INPUT!Q1829)/INPUT!P1829),"")</f>
        <v>0</v>
      </c>
    </row>
    <row r="1835" spans="1:12" ht="18" hidden="1" customHeight="1" x14ac:dyDescent="0.2">
      <c r="A1835" s="11">
        <f>IF(INPUT!M1830="","",INPUT!M1830)</f>
        <v>46051</v>
      </c>
      <c r="B1835" s="11">
        <f>IF(INPUT!M1830="","",INPUT!M1830-WEEKDAY(INPUT!M1830,2)+1)</f>
        <v>46048</v>
      </c>
      <c r="C1835" s="20">
        <f>IFERROR(_xlfn.ISOWEEKNUM(INPUT!M1830),"")</f>
        <v>5</v>
      </c>
      <c r="D1835" s="20">
        <f>IFERROR(YEAR(INPUT!M1830),"")</f>
        <v>2026</v>
      </c>
      <c r="E1835" t="str">
        <f>IF(INPUT!O1830="","",INPUT!O1830)</f>
        <v>RAUL</v>
      </c>
      <c r="F1835" t="str">
        <f>IF(INPUT!N1830="","",INPUT!N1830)</f>
        <v>M</v>
      </c>
      <c r="G1835" t="str" cm="1">
        <f t="array" ref="G1835">IFERROR(VLOOKUP(INPUT!M1830&amp;INPUT!N1830,CHOOSE({1,2},INPUT!$A$3:$A$5000&amp;INPUT!$C$3:$C$5000,INPUT!$F$3:$F$5000),2,FALSE),"")</f>
        <v/>
      </c>
      <c r="H1835" t="str" cm="1">
        <f t="array" ref="H1835">IFERROR(VLOOKUP(INPUT!M1830&amp;INPUT!N1830,CHOOSE({1,2},INPUT!$A$3:$A$5000&amp;INPUT!$C$3:$C$5000,INPUT!$D$3:$D$5000),2,FALSE),"")</f>
        <v/>
      </c>
      <c r="I1835" s="46">
        <f>IF(INPUT!P1830="","",INPUT!P1830)</f>
        <v>81</v>
      </c>
      <c r="J1835" s="46">
        <f>IF(INPUT!Q1830="","",INPUT!Q1830)</f>
        <v>81</v>
      </c>
      <c r="K1835" s="46">
        <f>IFERROR(IF(OR(INPUT!P1830="",INPUT!Q1830=""),"",INPUT!P1830-INPUT!Q1830),"")</f>
        <v>0</v>
      </c>
      <c r="L1835" s="48">
        <f>IFERROR(IF(OR(INPUT!P1830="",INPUT!Q1830="",INPUT!P1830=0),"",(INPUT!P1830-INPUT!Q1830)/INPUT!P1830),"")</f>
        <v>0</v>
      </c>
    </row>
    <row r="1836" spans="1:12" ht="18" hidden="1" customHeight="1" x14ac:dyDescent="0.2">
      <c r="A1836" s="11">
        <f>IF(INPUT!M1831="","",INPUT!M1831)</f>
        <v>46051</v>
      </c>
      <c r="B1836" s="11">
        <f>IF(INPUT!M1831="","",INPUT!M1831-WEEKDAY(INPUT!M1831,2)+1)</f>
        <v>46048</v>
      </c>
      <c r="C1836" s="20">
        <f>IFERROR(_xlfn.ISOWEEKNUM(INPUT!M1831),"")</f>
        <v>5</v>
      </c>
      <c r="D1836" s="20">
        <f>IFERROR(YEAR(INPUT!M1831),"")</f>
        <v>2026</v>
      </c>
      <c r="E1836" t="str">
        <f>IF(INPUT!O1831="","",INPUT!O1831)</f>
        <v>JAVI</v>
      </c>
      <c r="F1836" t="str">
        <f>IF(INPUT!N1831="","",INPUT!N1831)</f>
        <v>M</v>
      </c>
      <c r="G1836" t="str" cm="1">
        <f t="array" ref="G1836">IFERROR(VLOOKUP(INPUT!M1831&amp;INPUT!N1831,CHOOSE({1,2},INPUT!$A$3:$A$5000&amp;INPUT!$C$3:$C$5000,INPUT!$F$3:$F$5000),2,FALSE),"")</f>
        <v/>
      </c>
      <c r="H1836" t="str" cm="1">
        <f t="array" ref="H1836">IFERROR(VLOOKUP(INPUT!M1831&amp;INPUT!N1831,CHOOSE({1,2},INPUT!$A$3:$A$5000&amp;INPUT!$C$3:$C$5000,INPUT!$D$3:$D$5000),2,FALSE),"")</f>
        <v/>
      </c>
      <c r="I1836" s="46">
        <f>IF(INPUT!P1831="","",INPUT!P1831)</f>
        <v>79.099999999999994</v>
      </c>
      <c r="J1836" s="46">
        <f>IF(INPUT!Q1831="","",INPUT!Q1831)</f>
        <v>79.099999999999994</v>
      </c>
      <c r="K1836" s="46">
        <f>IFERROR(IF(OR(INPUT!P1831="",INPUT!Q1831=""),"",INPUT!P1831-INPUT!Q1831),"")</f>
        <v>0</v>
      </c>
      <c r="L1836" s="48">
        <f>IFERROR(IF(OR(INPUT!P1831="",INPUT!Q1831="",INPUT!P1831=0),"",(INPUT!P1831-INPUT!Q1831)/INPUT!P1831),"")</f>
        <v>0</v>
      </c>
    </row>
    <row r="1837" spans="1:12" ht="18" hidden="1" customHeight="1" x14ac:dyDescent="0.2">
      <c r="A1837" s="11">
        <f>IF(INPUT!M1832="","",INPUT!M1832)</f>
        <v>46051</v>
      </c>
      <c r="B1837" s="11">
        <f>IF(INPUT!M1832="","",INPUT!M1832-WEEKDAY(INPUT!M1832,2)+1)</f>
        <v>46048</v>
      </c>
      <c r="C1837" s="20">
        <f>IFERROR(_xlfn.ISOWEEKNUM(INPUT!M1832),"")</f>
        <v>5</v>
      </c>
      <c r="D1837" s="20">
        <f>IFERROR(YEAR(INPUT!M1832),"")</f>
        <v>2026</v>
      </c>
      <c r="E1837" t="str">
        <f>IF(INPUT!O1832="","",INPUT!O1832)</f>
        <v>PANI</v>
      </c>
      <c r="F1837" t="str">
        <f>IF(INPUT!N1832="","",INPUT!N1832)</f>
        <v>M</v>
      </c>
      <c r="G1837" t="str" cm="1">
        <f t="array" ref="G1837">IFERROR(VLOOKUP(INPUT!M1832&amp;INPUT!N1832,CHOOSE({1,2},INPUT!$A$3:$A$5000&amp;INPUT!$C$3:$C$5000,INPUT!$F$3:$F$5000),2,FALSE),"")</f>
        <v/>
      </c>
      <c r="H1837" t="str" cm="1">
        <f t="array" ref="H1837">IFERROR(VLOOKUP(INPUT!M1832&amp;INPUT!N1832,CHOOSE({1,2},INPUT!$A$3:$A$5000&amp;INPUT!$C$3:$C$5000,INPUT!$D$3:$D$5000),2,FALSE),"")</f>
        <v/>
      </c>
      <c r="I1837" s="46">
        <f>IF(INPUT!P1832="","",INPUT!P1832)</f>
        <v>67.5</v>
      </c>
      <c r="J1837" s="46">
        <f>IF(INPUT!Q1832="","",INPUT!Q1832)</f>
        <v>66.5</v>
      </c>
      <c r="K1837" s="46">
        <f>IFERROR(IF(OR(INPUT!P1832="",INPUT!Q1832=""),"",INPUT!P1832-INPUT!Q1832),"")</f>
        <v>1</v>
      </c>
      <c r="L1837" s="48">
        <f>IFERROR(IF(OR(INPUT!P1832="",INPUT!Q1832="",INPUT!P1832=0),"",(INPUT!P1832-INPUT!Q1832)/INPUT!P1832),"")</f>
        <v>1.4814814814814815E-2</v>
      </c>
    </row>
    <row r="1838" spans="1:12" ht="18" hidden="1" customHeight="1" x14ac:dyDescent="0.2">
      <c r="A1838" s="11">
        <f>IF(INPUT!M1833="","",INPUT!M1833)</f>
        <v>46051</v>
      </c>
      <c r="B1838" s="11">
        <f>IF(INPUT!M1833="","",INPUT!M1833-WEEKDAY(INPUT!M1833,2)+1)</f>
        <v>46048</v>
      </c>
      <c r="C1838" s="20">
        <f>IFERROR(_xlfn.ISOWEEKNUM(INPUT!M1833),"")</f>
        <v>5</v>
      </c>
      <c r="D1838" s="20">
        <f>IFERROR(YEAR(INPUT!M1833),"")</f>
        <v>2026</v>
      </c>
      <c r="E1838" t="str">
        <f>IF(INPUT!O1833="","",INPUT!O1833)</f>
        <v>PIRATA</v>
      </c>
      <c r="F1838" t="str">
        <f>IF(INPUT!N1833="","",INPUT!N1833)</f>
        <v>M</v>
      </c>
      <c r="G1838" t="str" cm="1">
        <f t="array" ref="G1838">IFERROR(VLOOKUP(INPUT!M1833&amp;INPUT!N1833,CHOOSE({1,2},INPUT!$A$3:$A$5000&amp;INPUT!$C$3:$C$5000,INPUT!$F$3:$F$5000),2,FALSE),"")</f>
        <v/>
      </c>
      <c r="H1838" t="str" cm="1">
        <f t="array" ref="H1838">IFERROR(VLOOKUP(INPUT!M1833&amp;INPUT!N1833,CHOOSE({1,2},INPUT!$A$3:$A$5000&amp;INPUT!$C$3:$C$5000,INPUT!$D$3:$D$5000),2,FALSE),"")</f>
        <v/>
      </c>
      <c r="I1838" s="46">
        <f>IF(INPUT!P1833="","",INPUT!P1833)</f>
        <v>74.7</v>
      </c>
      <c r="J1838" s="46">
        <f>IF(INPUT!Q1833="","",INPUT!Q1833)</f>
        <v>74.5</v>
      </c>
      <c r="K1838" s="46">
        <f>IFERROR(IF(OR(INPUT!P1833="",INPUT!Q1833=""),"",INPUT!P1833-INPUT!Q1833),"")</f>
        <v>0.20000000000000284</v>
      </c>
      <c r="L1838" s="48">
        <f>IFERROR(IF(OR(INPUT!P1833="",INPUT!Q1833="",INPUT!P1833=0),"",(INPUT!P1833-INPUT!Q1833)/INPUT!P1833),"")</f>
        <v>2.677376171352113E-3</v>
      </c>
    </row>
    <row r="1839" spans="1:12" ht="18" hidden="1" customHeight="1" x14ac:dyDescent="0.2">
      <c r="A1839" s="11">
        <f>IF(INPUT!M1834="","",INPUT!M1834)</f>
        <v>46051</v>
      </c>
      <c r="B1839" s="11">
        <f>IF(INPUT!M1834="","",INPUT!M1834-WEEKDAY(INPUT!M1834,2)+1)</f>
        <v>46048</v>
      </c>
      <c r="C1839" s="20">
        <f>IFERROR(_xlfn.ISOWEEKNUM(INPUT!M1834),"")</f>
        <v>5</v>
      </c>
      <c r="D1839" s="20">
        <f>IFERROR(YEAR(INPUT!M1834),"")</f>
        <v>2026</v>
      </c>
      <c r="E1839" t="str">
        <f>IF(INPUT!O1834="","",INPUT!O1834)</f>
        <v>BARONA</v>
      </c>
      <c r="F1839" t="str">
        <f>IF(INPUT!N1834="","",INPUT!N1834)</f>
        <v>M</v>
      </c>
      <c r="G1839" t="str" cm="1">
        <f t="array" ref="G1839">IFERROR(VLOOKUP(INPUT!M1834&amp;INPUT!N1834,CHOOSE({1,2},INPUT!$A$3:$A$5000&amp;INPUT!$C$3:$C$5000,INPUT!$F$3:$F$5000),2,FALSE),"")</f>
        <v/>
      </c>
      <c r="H1839" t="str" cm="1">
        <f t="array" ref="H1839">IFERROR(VLOOKUP(INPUT!M1834&amp;INPUT!N1834,CHOOSE({1,2},INPUT!$A$3:$A$5000&amp;INPUT!$C$3:$C$5000,INPUT!$D$3:$D$5000),2,FALSE),"")</f>
        <v/>
      </c>
      <c r="I1839" s="46">
        <f>IF(INPUT!P1834="","",INPUT!P1834)</f>
        <v>72</v>
      </c>
      <c r="J1839" s="46">
        <f>IF(INPUT!Q1834="","",INPUT!Q1834)</f>
        <v>71.599999999999994</v>
      </c>
      <c r="K1839" s="46">
        <f>IFERROR(IF(OR(INPUT!P1834="",INPUT!Q1834=""),"",INPUT!P1834-INPUT!Q1834),"")</f>
        <v>0.40000000000000568</v>
      </c>
      <c r="L1839" s="48">
        <f>IFERROR(IF(OR(INPUT!P1834="",INPUT!Q1834="",INPUT!P1834=0),"",(INPUT!P1834-INPUT!Q1834)/INPUT!P1834),"")</f>
        <v>5.5555555555556347E-3</v>
      </c>
    </row>
    <row r="1840" spans="1:12" ht="18" hidden="1" customHeight="1" x14ac:dyDescent="0.2">
      <c r="A1840" s="11">
        <f>IF(INPUT!M1835="","",INPUT!M1835)</f>
        <v>46051</v>
      </c>
      <c r="B1840" s="11">
        <f>IF(INPUT!M1835="","",INPUT!M1835-WEEKDAY(INPUT!M1835,2)+1)</f>
        <v>46048</v>
      </c>
      <c r="C1840" s="20">
        <f>IFERROR(_xlfn.ISOWEEKNUM(INPUT!M1835),"")</f>
        <v>5</v>
      </c>
      <c r="D1840" s="20">
        <f>IFERROR(YEAR(INPUT!M1835),"")</f>
        <v>2026</v>
      </c>
      <c r="E1840" t="str">
        <f>IF(INPUT!O1835="","",INPUT!O1835)</f>
        <v>CARLOS</v>
      </c>
      <c r="F1840" t="str">
        <f>IF(INPUT!N1835="","",INPUT!N1835)</f>
        <v>M</v>
      </c>
      <c r="G1840" t="str" cm="1">
        <f t="array" ref="G1840">IFERROR(VLOOKUP(INPUT!M1835&amp;INPUT!N1835,CHOOSE({1,2},INPUT!$A$3:$A$5000&amp;INPUT!$C$3:$C$5000,INPUT!$F$3:$F$5000),2,FALSE),"")</f>
        <v/>
      </c>
      <c r="H1840" t="str" cm="1">
        <f t="array" ref="H1840">IFERROR(VLOOKUP(INPUT!M1835&amp;INPUT!N1835,CHOOSE({1,2},INPUT!$A$3:$A$5000&amp;INPUT!$C$3:$C$5000,INPUT!$D$3:$D$5000),2,FALSE),"")</f>
        <v/>
      </c>
      <c r="I1840" s="46">
        <f>IF(INPUT!P1835="","",INPUT!P1835)</f>
        <v>68.2</v>
      </c>
      <c r="J1840" s="46">
        <f>IF(INPUT!Q1835="","",INPUT!Q1835)</f>
        <v>67.5</v>
      </c>
      <c r="K1840" s="46">
        <f>IFERROR(IF(OR(INPUT!P1835="",INPUT!Q1835=""),"",INPUT!P1835-INPUT!Q1835),"")</f>
        <v>0.70000000000000284</v>
      </c>
      <c r="L1840" s="48">
        <f>IFERROR(IF(OR(INPUT!P1835="",INPUT!Q1835="",INPUT!P1835=0),"",(INPUT!P1835-INPUT!Q1835)/INPUT!P1835),"")</f>
        <v>1.026392961876837E-2</v>
      </c>
    </row>
    <row r="1841" spans="1:12" ht="18" hidden="1" customHeight="1" x14ac:dyDescent="0.2">
      <c r="A1841" s="11">
        <f>IF(INPUT!M1836="","",INPUT!M1836)</f>
        <v>46051</v>
      </c>
      <c r="B1841" s="11">
        <f>IF(INPUT!M1836="","",INPUT!M1836-WEEKDAY(INPUT!M1836,2)+1)</f>
        <v>46048</v>
      </c>
      <c r="C1841" s="20">
        <f>IFERROR(_xlfn.ISOWEEKNUM(INPUT!M1836),"")</f>
        <v>5</v>
      </c>
      <c r="D1841" s="20">
        <f>IFERROR(YEAR(INPUT!M1836),"")</f>
        <v>2026</v>
      </c>
      <c r="E1841" t="str">
        <f>IF(INPUT!O1836="","",INPUT!O1836)</f>
        <v>GONZALO</v>
      </c>
      <c r="F1841" t="str">
        <f>IF(INPUT!N1836="","",INPUT!N1836)</f>
        <v>M</v>
      </c>
      <c r="G1841" t="str" cm="1">
        <f t="array" ref="G1841">IFERROR(VLOOKUP(INPUT!M1836&amp;INPUT!N1836,CHOOSE({1,2},INPUT!$A$3:$A$5000&amp;INPUT!$C$3:$C$5000,INPUT!$F$3:$F$5000),2,FALSE),"")</f>
        <v/>
      </c>
      <c r="H1841" t="str" cm="1">
        <f t="array" ref="H1841">IFERROR(VLOOKUP(INPUT!M1836&amp;INPUT!N1836,CHOOSE({1,2},INPUT!$A$3:$A$5000&amp;INPUT!$C$3:$C$5000,INPUT!$D$3:$D$5000),2,FALSE),"")</f>
        <v/>
      </c>
      <c r="I1841" s="46">
        <f>IF(INPUT!P1836="","",INPUT!P1836)</f>
        <v>83.2</v>
      </c>
      <c r="J1841" s="46">
        <f>IF(INPUT!Q1836="","",INPUT!Q1836)</f>
        <v>83.2</v>
      </c>
      <c r="K1841" s="46">
        <f>IFERROR(IF(OR(INPUT!P1836="",INPUT!Q1836=""),"",INPUT!P1836-INPUT!Q1836),"")</f>
        <v>0</v>
      </c>
      <c r="L1841" s="48">
        <f>IFERROR(IF(OR(INPUT!P1836="",INPUT!Q1836="",INPUT!P1836=0),"",(INPUT!P1836-INPUT!Q1836)/INPUT!P1836),"")</f>
        <v>0</v>
      </c>
    </row>
    <row r="1842" spans="1:12" ht="18" hidden="1" customHeight="1" x14ac:dyDescent="0.2">
      <c r="A1842" s="11">
        <f>IF(INPUT!M1837="","",INPUT!M1837)</f>
        <v>46051</v>
      </c>
      <c r="B1842" s="11">
        <f>IF(INPUT!M1837="","",INPUT!M1837-WEEKDAY(INPUT!M1837,2)+1)</f>
        <v>46048</v>
      </c>
      <c r="C1842" s="20">
        <f>IFERROR(_xlfn.ISOWEEKNUM(INPUT!M1837),"")</f>
        <v>5</v>
      </c>
      <c r="D1842" s="20">
        <f>IFERROR(YEAR(INPUT!M1837),"")</f>
        <v>2026</v>
      </c>
      <c r="E1842" t="str">
        <f>IF(INPUT!O1837="","",INPUT!O1837)</f>
        <v>DANI</v>
      </c>
      <c r="F1842" t="str">
        <f>IF(INPUT!N1837="","",INPUT!N1837)</f>
        <v>M</v>
      </c>
      <c r="G1842" t="str" cm="1">
        <f t="array" ref="G1842">IFERROR(VLOOKUP(INPUT!M1837&amp;INPUT!N1837,CHOOSE({1,2},INPUT!$A$3:$A$5000&amp;INPUT!$C$3:$C$5000,INPUT!$F$3:$F$5000),2,FALSE),"")</f>
        <v/>
      </c>
      <c r="H1842" t="str" cm="1">
        <f t="array" ref="H1842">IFERROR(VLOOKUP(INPUT!M1837&amp;INPUT!N1837,CHOOSE({1,2},INPUT!$A$3:$A$5000&amp;INPUT!$C$3:$C$5000,INPUT!$D$3:$D$5000),2,FALSE),"")</f>
        <v/>
      </c>
      <c r="I1842" s="46">
        <f>IF(INPUT!P1837="","",INPUT!P1837)</f>
        <v>92</v>
      </c>
      <c r="J1842" s="46">
        <f>IF(INPUT!Q1837="","",INPUT!Q1837)</f>
        <v>91.2</v>
      </c>
      <c r="K1842" s="46">
        <f>IFERROR(IF(OR(INPUT!P1837="",INPUT!Q1837=""),"",INPUT!P1837-INPUT!Q1837),"")</f>
        <v>0.79999999999999716</v>
      </c>
      <c r="L1842" s="48">
        <f>IFERROR(IF(OR(INPUT!P1837="",INPUT!Q1837="",INPUT!P1837=0),"",(INPUT!P1837-INPUT!Q1837)/INPUT!P1837),"")</f>
        <v>8.6956521739130124E-3</v>
      </c>
    </row>
    <row r="1843" spans="1:12" ht="18" hidden="1" customHeight="1" x14ac:dyDescent="0.2">
      <c r="A1843" s="11">
        <f>IF(INPUT!M1838="","",INPUT!M1838)</f>
        <v>46051</v>
      </c>
      <c r="B1843" s="11">
        <f>IF(INPUT!M1838="","",INPUT!M1838-WEEKDAY(INPUT!M1838,2)+1)</f>
        <v>46048</v>
      </c>
      <c r="C1843" s="20">
        <f>IFERROR(_xlfn.ISOWEEKNUM(INPUT!M1838),"")</f>
        <v>5</v>
      </c>
      <c r="D1843" s="20">
        <f>IFERROR(YEAR(INPUT!M1838),"")</f>
        <v>2026</v>
      </c>
      <c r="E1843" t="str">
        <f>IF(INPUT!O1838="","",INPUT!O1838)</f>
        <v>JAIME</v>
      </c>
      <c r="F1843" t="str">
        <f>IF(INPUT!N1838="","",INPUT!N1838)</f>
        <v>M</v>
      </c>
      <c r="G1843" t="str" cm="1">
        <f t="array" ref="G1843">IFERROR(VLOOKUP(INPUT!M1838&amp;INPUT!N1838,CHOOSE({1,2},INPUT!$A$3:$A$5000&amp;INPUT!$C$3:$C$5000,INPUT!$F$3:$F$5000),2,FALSE),"")</f>
        <v/>
      </c>
      <c r="H1843" t="str" cm="1">
        <f t="array" ref="H1843">IFERROR(VLOOKUP(INPUT!M1838&amp;INPUT!N1838,CHOOSE({1,2},INPUT!$A$3:$A$5000&amp;INPUT!$C$3:$C$5000,INPUT!$D$3:$D$5000),2,FALSE),"")</f>
        <v/>
      </c>
      <c r="I1843" s="46">
        <f>IF(INPUT!P1838="","",INPUT!P1838)</f>
        <v>76.599999999999994</v>
      </c>
      <c r="J1843" s="46">
        <f>IF(INPUT!Q1838="","",INPUT!Q1838)</f>
        <v>76.599999999999994</v>
      </c>
      <c r="K1843" s="46">
        <f>IFERROR(IF(OR(INPUT!P1838="",INPUT!Q1838=""),"",INPUT!P1838-INPUT!Q1838),"")</f>
        <v>0</v>
      </c>
      <c r="L1843" s="48">
        <f>IFERROR(IF(OR(INPUT!P1838="",INPUT!Q1838="",INPUT!P1838=0),"",(INPUT!P1838-INPUT!Q1838)/INPUT!P1838),"")</f>
        <v>0</v>
      </c>
    </row>
    <row r="1844" spans="1:12" ht="18" hidden="1" customHeight="1" x14ac:dyDescent="0.2">
      <c r="A1844" s="11">
        <f>IF(INPUT!M1839="","",INPUT!M1839)</f>
        <v>46052</v>
      </c>
      <c r="B1844" s="11">
        <f>IF(INPUT!M1839="","",INPUT!M1839-WEEKDAY(INPUT!M1839,2)+1)</f>
        <v>46048</v>
      </c>
      <c r="C1844" s="20">
        <f>IFERROR(_xlfn.ISOWEEKNUM(INPUT!M1839),"")</f>
        <v>5</v>
      </c>
      <c r="D1844" s="20">
        <f>IFERROR(YEAR(INPUT!M1839),"")</f>
        <v>2026</v>
      </c>
      <c r="E1844" t="str">
        <f>IF(INPUT!O1839="","",INPUT!O1839)</f>
        <v>HERRERO</v>
      </c>
      <c r="F1844" t="str">
        <f>IF(INPUT!N1839="","",INPUT!N1839)</f>
        <v>T</v>
      </c>
      <c r="G1844" t="str" cm="1">
        <f t="array" ref="G1844">IFERROR(VLOOKUP(INPUT!M1839&amp;INPUT!N1839,CHOOSE({1,2},INPUT!$A$3:$A$5000&amp;INPUT!$C$3:$C$5000,INPUT!$F$3:$F$5000),2,FALSE),"")</f>
        <v>PRE-TEMPORADA</v>
      </c>
      <c r="H1844" t="str" cm="1">
        <f t="array" ref="H1844">IFERROR(VLOOKUP(INPUT!M1839&amp;INPUT!N1839,CHOOSE({1,2},INPUT!$A$3:$A$5000&amp;INPUT!$C$3:$C$5000,INPUT!$D$3:$D$5000),2,FALSE),"")</f>
        <v>PARTIDO</v>
      </c>
      <c r="I1844" s="46">
        <f>IF(INPUT!P1839="","",INPUT!P1839)</f>
        <v>77</v>
      </c>
      <c r="J1844" s="46">
        <f>IF(INPUT!Q1839="","",INPUT!Q1839)</f>
        <v>76.099999999999994</v>
      </c>
      <c r="K1844" s="46">
        <f>IFERROR(IF(OR(INPUT!P1839="",INPUT!Q1839=""),"",INPUT!P1839-INPUT!Q1839),"")</f>
        <v>0.90000000000000568</v>
      </c>
      <c r="L1844" s="48">
        <f>IFERROR(IF(OR(INPUT!P1839="",INPUT!Q1839="",INPUT!P1839=0),"",(INPUT!P1839-INPUT!Q1839)/INPUT!P1839),"")</f>
        <v>1.1688311688311762E-2</v>
      </c>
    </row>
    <row r="1845" spans="1:12" ht="18" hidden="1" customHeight="1" x14ac:dyDescent="0.2">
      <c r="A1845" s="11">
        <f>IF(INPUT!M1840="","",INPUT!M1840)</f>
        <v>46052</v>
      </c>
      <c r="B1845" s="11">
        <f>IF(INPUT!M1840="","",INPUT!M1840-WEEKDAY(INPUT!M1840,2)+1)</f>
        <v>46048</v>
      </c>
      <c r="C1845" s="20">
        <f>IFERROR(_xlfn.ISOWEEKNUM(INPUT!M1840),"")</f>
        <v>5</v>
      </c>
      <c r="D1845" s="20">
        <f>IFERROR(YEAR(INPUT!M1840),"")</f>
        <v>2026</v>
      </c>
      <c r="E1845" t="str">
        <f>IF(INPUT!O1840="","",INPUT!O1840)</f>
        <v>GARCIA</v>
      </c>
      <c r="F1845" t="str">
        <f>IF(INPUT!N1840="","",INPUT!N1840)</f>
        <v>T</v>
      </c>
      <c r="G1845" t="str" cm="1">
        <f t="array" ref="G1845">IFERROR(VLOOKUP(INPUT!M1840&amp;INPUT!N1840,CHOOSE({1,2},INPUT!$A$3:$A$5000&amp;INPUT!$C$3:$C$5000,INPUT!$F$3:$F$5000),2,FALSE),"")</f>
        <v>PRE-TEMPORADA</v>
      </c>
      <c r="H1845" t="str" cm="1">
        <f t="array" ref="H1845">IFERROR(VLOOKUP(INPUT!M1840&amp;INPUT!N1840,CHOOSE({1,2},INPUT!$A$3:$A$5000&amp;INPUT!$C$3:$C$5000,INPUT!$D$3:$D$5000),2,FALSE),"")</f>
        <v>PARTIDO</v>
      </c>
      <c r="I1845" s="46">
        <f>IF(INPUT!P1840="","",INPUT!P1840)</f>
        <v>79.2</v>
      </c>
      <c r="J1845" s="46">
        <f>IF(INPUT!Q1840="","",INPUT!Q1840)</f>
        <v>79.099999999999994</v>
      </c>
      <c r="K1845" s="46">
        <f>IFERROR(IF(OR(INPUT!P1840="",INPUT!Q1840=""),"",INPUT!P1840-INPUT!Q1840),"")</f>
        <v>0.10000000000000853</v>
      </c>
      <c r="L1845" s="48">
        <f>IFERROR(IF(OR(INPUT!P1840="",INPUT!Q1840="",INPUT!P1840=0),"",(INPUT!P1840-INPUT!Q1840)/INPUT!P1840),"")</f>
        <v>1.2626262626263703E-3</v>
      </c>
    </row>
    <row r="1846" spans="1:12" ht="18" hidden="1" customHeight="1" x14ac:dyDescent="0.2">
      <c r="A1846" s="11">
        <f>IF(INPUT!M1841="","",INPUT!M1841)</f>
        <v>46052</v>
      </c>
      <c r="B1846" s="11">
        <f>IF(INPUT!M1841="","",INPUT!M1841-WEEKDAY(INPUT!M1841,2)+1)</f>
        <v>46048</v>
      </c>
      <c r="C1846" s="20">
        <f>IFERROR(_xlfn.ISOWEEKNUM(INPUT!M1841),"")</f>
        <v>5</v>
      </c>
      <c r="D1846" s="20">
        <f>IFERROR(YEAR(INPUT!M1841),"")</f>
        <v>2026</v>
      </c>
      <c r="E1846" t="str">
        <f>IF(INPUT!O1841="","",INPUT!O1841)</f>
        <v>CHAGUINHA</v>
      </c>
      <c r="F1846" t="str">
        <f>IF(INPUT!N1841="","",INPUT!N1841)</f>
        <v>T</v>
      </c>
      <c r="G1846" t="str" cm="1">
        <f t="array" ref="G1846">IFERROR(VLOOKUP(INPUT!M1841&amp;INPUT!N1841,CHOOSE({1,2},INPUT!$A$3:$A$5000&amp;INPUT!$C$3:$C$5000,INPUT!$F$3:$F$5000),2,FALSE),"")</f>
        <v>PRE-TEMPORADA</v>
      </c>
      <c r="H1846" t="str" cm="1">
        <f t="array" ref="H1846">IFERROR(VLOOKUP(INPUT!M1841&amp;INPUT!N1841,CHOOSE({1,2},INPUT!$A$3:$A$5000&amp;INPUT!$C$3:$C$5000,INPUT!$D$3:$D$5000),2,FALSE),"")</f>
        <v>PARTIDO</v>
      </c>
      <c r="I1846" s="46">
        <f>IF(INPUT!P1841="","",INPUT!P1841)</f>
        <v>69</v>
      </c>
      <c r="J1846" s="46">
        <f>IF(INPUT!Q1841="","",INPUT!Q1841)</f>
        <v>69</v>
      </c>
      <c r="K1846" s="46">
        <f>IFERROR(IF(OR(INPUT!P1841="",INPUT!Q1841=""),"",INPUT!P1841-INPUT!Q1841),"")</f>
        <v>0</v>
      </c>
      <c r="L1846" s="48">
        <f>IFERROR(IF(OR(INPUT!P1841="",INPUT!Q1841="",INPUT!P1841=0),"",(INPUT!P1841-INPUT!Q1841)/INPUT!P1841),"")</f>
        <v>0</v>
      </c>
    </row>
    <row r="1847" spans="1:12" ht="18" hidden="1" customHeight="1" x14ac:dyDescent="0.2">
      <c r="A1847" s="11">
        <f>IF(INPUT!M1842="","",INPUT!M1842)</f>
        <v>46052</v>
      </c>
      <c r="B1847" s="11">
        <f>IF(INPUT!M1842="","",INPUT!M1842-WEEKDAY(INPUT!M1842,2)+1)</f>
        <v>46048</v>
      </c>
      <c r="C1847" s="20">
        <f>IFERROR(_xlfn.ISOWEEKNUM(INPUT!M1842),"")</f>
        <v>5</v>
      </c>
      <c r="D1847" s="20">
        <f>IFERROR(YEAR(INPUT!M1842),"")</f>
        <v>2026</v>
      </c>
      <c r="E1847" t="str">
        <f>IF(INPUT!O1842="","",INPUT!O1842)</f>
        <v>RAUL</v>
      </c>
      <c r="F1847" t="str">
        <f>IF(INPUT!N1842="","",INPUT!N1842)</f>
        <v>T</v>
      </c>
      <c r="G1847" t="str" cm="1">
        <f t="array" ref="G1847">IFERROR(VLOOKUP(INPUT!M1842&amp;INPUT!N1842,CHOOSE({1,2},INPUT!$A$3:$A$5000&amp;INPUT!$C$3:$C$5000,INPUT!$F$3:$F$5000),2,FALSE),"")</f>
        <v>PRE-TEMPORADA</v>
      </c>
      <c r="H1847" t="str" cm="1">
        <f t="array" ref="H1847">IFERROR(VLOOKUP(INPUT!M1842&amp;INPUT!N1842,CHOOSE({1,2},INPUT!$A$3:$A$5000&amp;INPUT!$C$3:$C$5000,INPUT!$D$3:$D$5000),2,FALSE),"")</f>
        <v>PARTIDO</v>
      </c>
      <c r="I1847" s="46">
        <f>IF(INPUT!P1842="","",INPUT!P1842)</f>
        <v>81.5</v>
      </c>
      <c r="J1847" s="46">
        <f>IF(INPUT!Q1842="","",INPUT!Q1842)</f>
        <v>81</v>
      </c>
      <c r="K1847" s="46">
        <f>IFERROR(IF(OR(INPUT!P1842="",INPUT!Q1842=""),"",INPUT!P1842-INPUT!Q1842),"")</f>
        <v>0.5</v>
      </c>
      <c r="L1847" s="48">
        <f>IFERROR(IF(OR(INPUT!P1842="",INPUT!Q1842="",INPUT!P1842=0),"",(INPUT!P1842-INPUT!Q1842)/INPUT!P1842),"")</f>
        <v>6.1349693251533744E-3</v>
      </c>
    </row>
    <row r="1848" spans="1:12" ht="18" hidden="1" customHeight="1" x14ac:dyDescent="0.2">
      <c r="A1848" s="11">
        <f>IF(INPUT!M1843="","",INPUT!M1843)</f>
        <v>46052</v>
      </c>
      <c r="B1848" s="11">
        <f>IF(INPUT!M1843="","",INPUT!M1843-WEEKDAY(INPUT!M1843,2)+1)</f>
        <v>46048</v>
      </c>
      <c r="C1848" s="20">
        <f>IFERROR(_xlfn.ISOWEEKNUM(INPUT!M1843),"")</f>
        <v>5</v>
      </c>
      <c r="D1848" s="20">
        <f>IFERROR(YEAR(INPUT!M1843),"")</f>
        <v>2026</v>
      </c>
      <c r="E1848" t="str">
        <f>IF(INPUT!O1843="","",INPUT!O1843)</f>
        <v>JAVI</v>
      </c>
      <c r="F1848" t="str">
        <f>IF(INPUT!N1843="","",INPUT!N1843)</f>
        <v>T</v>
      </c>
      <c r="G1848" t="str" cm="1">
        <f t="array" ref="G1848">IFERROR(VLOOKUP(INPUT!M1843&amp;INPUT!N1843,CHOOSE({1,2},INPUT!$A$3:$A$5000&amp;INPUT!$C$3:$C$5000,INPUT!$F$3:$F$5000),2,FALSE),"")</f>
        <v>PRE-TEMPORADA</v>
      </c>
      <c r="H1848" t="str" cm="1">
        <f t="array" ref="H1848">IFERROR(VLOOKUP(INPUT!M1843&amp;INPUT!N1843,CHOOSE({1,2},INPUT!$A$3:$A$5000&amp;INPUT!$C$3:$C$5000,INPUT!$D$3:$D$5000),2,FALSE),"")</f>
        <v>PARTIDO</v>
      </c>
      <c r="I1848" s="46">
        <f>IF(INPUT!P1843="","",INPUT!P1843)</f>
        <v>79.599999999999994</v>
      </c>
      <c r="J1848" s="46">
        <f>IF(INPUT!Q1843="","",INPUT!Q1843)</f>
        <v>79</v>
      </c>
      <c r="K1848" s="46">
        <f>IFERROR(IF(OR(INPUT!P1843="",INPUT!Q1843=""),"",INPUT!P1843-INPUT!Q1843),"")</f>
        <v>0.59999999999999432</v>
      </c>
      <c r="L1848" s="48">
        <f>IFERROR(IF(OR(INPUT!P1843="",INPUT!Q1843="",INPUT!P1843=0),"",(INPUT!P1843-INPUT!Q1843)/INPUT!P1843),"")</f>
        <v>7.5376884422109847E-3</v>
      </c>
    </row>
    <row r="1849" spans="1:12" ht="18" hidden="1" customHeight="1" x14ac:dyDescent="0.2">
      <c r="A1849" s="11">
        <f>IF(INPUT!M1844="","",INPUT!M1844)</f>
        <v>46052</v>
      </c>
      <c r="B1849" s="11">
        <f>IF(INPUT!M1844="","",INPUT!M1844-WEEKDAY(INPUT!M1844,2)+1)</f>
        <v>46048</v>
      </c>
      <c r="C1849" s="20">
        <f>IFERROR(_xlfn.ISOWEEKNUM(INPUT!M1844),"")</f>
        <v>5</v>
      </c>
      <c r="D1849" s="20">
        <f>IFERROR(YEAR(INPUT!M1844),"")</f>
        <v>2026</v>
      </c>
      <c r="E1849" t="str">
        <f>IF(INPUT!O1844="","",INPUT!O1844)</f>
        <v>PANI</v>
      </c>
      <c r="F1849" t="str">
        <f>IF(INPUT!N1844="","",INPUT!N1844)</f>
        <v>T</v>
      </c>
      <c r="G1849" t="str" cm="1">
        <f t="array" ref="G1849">IFERROR(VLOOKUP(INPUT!M1844&amp;INPUT!N1844,CHOOSE({1,2},INPUT!$A$3:$A$5000&amp;INPUT!$C$3:$C$5000,INPUT!$F$3:$F$5000),2,FALSE),"")</f>
        <v>PRE-TEMPORADA</v>
      </c>
      <c r="H1849" t="str" cm="1">
        <f t="array" ref="H1849">IFERROR(VLOOKUP(INPUT!M1844&amp;INPUT!N1844,CHOOSE({1,2},INPUT!$A$3:$A$5000&amp;INPUT!$C$3:$C$5000,INPUT!$D$3:$D$5000),2,FALSE),"")</f>
        <v>PARTIDO</v>
      </c>
      <c r="I1849" s="46">
        <f>IF(INPUT!P1844="","",INPUT!P1844)</f>
        <v>69.8</v>
      </c>
      <c r="J1849" s="46">
        <f>IF(INPUT!Q1844="","",INPUT!Q1844)</f>
        <v>66.5</v>
      </c>
      <c r="K1849" s="46">
        <f>IFERROR(IF(OR(INPUT!P1844="",INPUT!Q1844=""),"",INPUT!P1844-INPUT!Q1844),"")</f>
        <v>3.2999999999999972</v>
      </c>
      <c r="L1849" s="48">
        <f>IFERROR(IF(OR(INPUT!P1844="",INPUT!Q1844="",INPUT!P1844=0),"",(INPUT!P1844-INPUT!Q1844)/INPUT!P1844),"")</f>
        <v>4.7277936962750677E-2</v>
      </c>
    </row>
    <row r="1850" spans="1:12" ht="18" customHeight="1" x14ac:dyDescent="0.2">
      <c r="A1850" s="11">
        <f>IF(INPUT!M1845="","",INPUT!M1845)</f>
        <v>46052</v>
      </c>
      <c r="B1850" s="11">
        <f>IF(INPUT!M1845="","",INPUT!M1845-WEEKDAY(INPUT!M1845,2)+1)</f>
        <v>46048</v>
      </c>
      <c r="C1850" s="20">
        <f>IFERROR(_xlfn.ISOWEEKNUM(INPUT!M1845),"")</f>
        <v>5</v>
      </c>
      <c r="D1850" s="20">
        <f>IFERROR(YEAR(INPUT!M1845),"")</f>
        <v>2026</v>
      </c>
      <c r="E1850" t="str">
        <f>IF(INPUT!O1845="","",INPUT!O1845)</f>
        <v>PIRATA</v>
      </c>
      <c r="F1850" t="str">
        <f>IF(INPUT!N1845="","",INPUT!N1845)</f>
        <v>T</v>
      </c>
      <c r="G1850" t="str" cm="1">
        <f t="array" ref="G1850">IFERROR(VLOOKUP(INPUT!M1845&amp;INPUT!N1845,CHOOSE({1,2},INPUT!$A$3:$A$5000&amp;INPUT!$C$3:$C$5000,INPUT!$F$3:$F$5000),2,FALSE),"")</f>
        <v>PRE-TEMPORADA</v>
      </c>
      <c r="H1850" t="str" cm="1">
        <f t="array" ref="H1850">IFERROR(VLOOKUP(INPUT!M1845&amp;INPUT!N1845,CHOOSE({1,2},INPUT!$A$3:$A$5000&amp;INPUT!$C$3:$C$5000,INPUT!$D$3:$D$5000),2,FALSE),"")</f>
        <v>PARTIDO</v>
      </c>
      <c r="I1850" s="46">
        <f>IF(INPUT!P1845="","",INPUT!P1845)</f>
        <v>74.8</v>
      </c>
      <c r="J1850" s="46">
        <f>IF(INPUT!Q1845="","",INPUT!Q1845)</f>
        <v>74.8</v>
      </c>
      <c r="K1850" s="46">
        <f>IFERROR(IF(OR(INPUT!P1845="",INPUT!Q1845=""),"",INPUT!P1845-INPUT!Q1845),"")</f>
        <v>0</v>
      </c>
      <c r="L1850" s="48">
        <f>IFERROR(IF(OR(INPUT!P1845="",INPUT!Q1845="",INPUT!P1845=0),"",(INPUT!P1845-INPUT!Q1845)/INPUT!P1845),"")</f>
        <v>0</v>
      </c>
    </row>
    <row r="1851" spans="1:12" ht="18" customHeight="1" x14ac:dyDescent="0.2">
      <c r="A1851" s="11">
        <f>IF(INPUT!M1846="","",INPUT!M1846)</f>
        <v>46052</v>
      </c>
      <c r="B1851" s="11">
        <f>IF(INPUT!M1846="","",INPUT!M1846-WEEKDAY(INPUT!M1846,2)+1)</f>
        <v>46048</v>
      </c>
      <c r="C1851" s="20">
        <f>IFERROR(_xlfn.ISOWEEKNUM(INPUT!M1846),"")</f>
        <v>5</v>
      </c>
      <c r="D1851" s="20">
        <f>IFERROR(YEAR(INPUT!M1846),"")</f>
        <v>2026</v>
      </c>
      <c r="E1851" t="str">
        <f>IF(INPUT!O1846="","",INPUT!O1846)</f>
        <v>BARONA</v>
      </c>
      <c r="F1851" t="str">
        <f>IF(INPUT!N1846="","",INPUT!N1846)</f>
        <v>T</v>
      </c>
      <c r="G1851" t="str" cm="1">
        <f t="array" ref="G1851">IFERROR(VLOOKUP(INPUT!M1846&amp;INPUT!N1846,CHOOSE({1,2},INPUT!$A$3:$A$5000&amp;INPUT!$C$3:$C$5000,INPUT!$F$3:$F$5000),2,FALSE),"")</f>
        <v>PRE-TEMPORADA</v>
      </c>
      <c r="H1851" t="str" cm="1">
        <f t="array" ref="H1851">IFERROR(VLOOKUP(INPUT!M1846&amp;INPUT!N1846,CHOOSE({1,2},INPUT!$A$3:$A$5000&amp;INPUT!$C$3:$C$5000,INPUT!$D$3:$D$5000),2,FALSE),"")</f>
        <v>PARTIDO</v>
      </c>
      <c r="I1851" s="46">
        <f>IF(INPUT!P1846="","",INPUT!P1846)</f>
        <v>71.599999999999994</v>
      </c>
      <c r="J1851" s="46">
        <f>IF(INPUT!Q1846="","",INPUT!Q1846)</f>
        <v>71.099999999999994</v>
      </c>
      <c r="K1851" s="46">
        <f>IFERROR(IF(OR(INPUT!P1846="",INPUT!Q1846=""),"",INPUT!P1846-INPUT!Q1846),"")</f>
        <v>0.5</v>
      </c>
      <c r="L1851" s="48">
        <f>IFERROR(IF(OR(INPUT!P1846="",INPUT!Q1846="",INPUT!P1846=0),"",(INPUT!P1846-INPUT!Q1846)/INPUT!P1846),"")</f>
        <v>6.9832402234636876E-3</v>
      </c>
    </row>
    <row r="1852" spans="1:12" ht="18" customHeight="1" x14ac:dyDescent="0.2">
      <c r="A1852" s="11">
        <f>IF(INPUT!M1847="","",INPUT!M1847)</f>
        <v>46052</v>
      </c>
      <c r="B1852" s="11">
        <f>IF(INPUT!M1847="","",INPUT!M1847-WEEKDAY(INPUT!M1847,2)+1)</f>
        <v>46048</v>
      </c>
      <c r="C1852" s="20">
        <f>IFERROR(_xlfn.ISOWEEKNUM(INPUT!M1847),"")</f>
        <v>5</v>
      </c>
      <c r="D1852" s="20">
        <f>IFERROR(YEAR(INPUT!M1847),"")</f>
        <v>2026</v>
      </c>
      <c r="E1852" t="str">
        <f>IF(INPUT!O1847="","",INPUT!O1847)</f>
        <v>CARLOS</v>
      </c>
      <c r="F1852" t="str">
        <f>IF(INPUT!N1847="","",INPUT!N1847)</f>
        <v>T</v>
      </c>
      <c r="G1852" t="str" cm="1">
        <f t="array" ref="G1852">IFERROR(VLOOKUP(INPUT!M1847&amp;INPUT!N1847,CHOOSE({1,2},INPUT!$A$3:$A$5000&amp;INPUT!$C$3:$C$5000,INPUT!$F$3:$F$5000),2,FALSE),"")</f>
        <v>PRE-TEMPORADA</v>
      </c>
      <c r="H1852" t="str" cm="1">
        <f t="array" ref="H1852">IFERROR(VLOOKUP(INPUT!M1847&amp;INPUT!N1847,CHOOSE({1,2},INPUT!$A$3:$A$5000&amp;INPUT!$C$3:$C$5000,INPUT!$D$3:$D$5000),2,FALSE),"")</f>
        <v>PARTIDO</v>
      </c>
      <c r="I1852" s="46">
        <f>IF(INPUT!P1847="","",INPUT!P1847)</f>
        <v>67.7</v>
      </c>
      <c r="J1852" s="46">
        <f>IF(INPUT!Q1847="","",INPUT!Q1847)</f>
        <v>67.400000000000006</v>
      </c>
      <c r="K1852" s="46">
        <f>IFERROR(IF(OR(INPUT!P1847="",INPUT!Q1847=""),"",INPUT!P1847-INPUT!Q1847),"")</f>
        <v>0.29999999999999716</v>
      </c>
      <c r="L1852" s="48">
        <f>IFERROR(IF(OR(INPUT!P1847="",INPUT!Q1847="",INPUT!P1847=0),"",(INPUT!P1847-INPUT!Q1847)/INPUT!P1847),"")</f>
        <v>4.4313146233382148E-3</v>
      </c>
    </row>
    <row r="1853" spans="1:12" ht="18" customHeight="1" x14ac:dyDescent="0.2">
      <c r="A1853" s="11">
        <f>IF(INPUT!M1848="","",INPUT!M1848)</f>
        <v>46052</v>
      </c>
      <c r="B1853" s="11">
        <f>IF(INPUT!M1848="","",INPUT!M1848-WEEKDAY(INPUT!M1848,2)+1)</f>
        <v>46048</v>
      </c>
      <c r="C1853" s="20">
        <f>IFERROR(_xlfn.ISOWEEKNUM(INPUT!M1848),"")</f>
        <v>5</v>
      </c>
      <c r="D1853" s="20">
        <f>IFERROR(YEAR(INPUT!M1848),"")</f>
        <v>2026</v>
      </c>
      <c r="E1853" t="str">
        <f>IF(INPUT!O1848="","",INPUT!O1848)</f>
        <v>GONZALO</v>
      </c>
      <c r="F1853" t="str">
        <f>IF(INPUT!N1848="","",INPUT!N1848)</f>
        <v>T</v>
      </c>
      <c r="G1853" t="str" cm="1">
        <f t="array" ref="G1853">IFERROR(VLOOKUP(INPUT!M1848&amp;INPUT!N1848,CHOOSE({1,2},INPUT!$A$3:$A$5000&amp;INPUT!$C$3:$C$5000,INPUT!$F$3:$F$5000),2,FALSE),"")</f>
        <v>PRE-TEMPORADA</v>
      </c>
      <c r="H1853" t="str" cm="1">
        <f t="array" ref="H1853">IFERROR(VLOOKUP(INPUT!M1848&amp;INPUT!N1848,CHOOSE({1,2},INPUT!$A$3:$A$5000&amp;INPUT!$C$3:$C$5000,INPUT!$D$3:$D$5000),2,FALSE),"")</f>
        <v>PARTIDO</v>
      </c>
      <c r="I1853" s="46">
        <f>IF(INPUT!P1848="","",INPUT!P1848)</f>
        <v>83.3</v>
      </c>
      <c r="J1853" s="46">
        <f>IF(INPUT!Q1848="","",INPUT!Q1848)</f>
        <v>83.3</v>
      </c>
      <c r="K1853" s="46">
        <f>IFERROR(IF(OR(INPUT!P1848="",INPUT!Q1848=""),"",INPUT!P1848-INPUT!Q1848),"")</f>
        <v>0</v>
      </c>
      <c r="L1853" s="48">
        <f>IFERROR(IF(OR(INPUT!P1848="",INPUT!Q1848="",INPUT!P1848=0),"",(INPUT!P1848-INPUT!Q1848)/INPUT!P1848),"")</f>
        <v>0</v>
      </c>
    </row>
    <row r="1854" spans="1:12" ht="18" customHeight="1" x14ac:dyDescent="0.2">
      <c r="A1854" s="11">
        <f>IF(INPUT!M1849="","",INPUT!M1849)</f>
        <v>46052</v>
      </c>
      <c r="B1854" s="11">
        <f>IF(INPUT!M1849="","",INPUT!M1849-WEEKDAY(INPUT!M1849,2)+1)</f>
        <v>46048</v>
      </c>
      <c r="C1854" s="20">
        <f>IFERROR(_xlfn.ISOWEEKNUM(INPUT!M1849),"")</f>
        <v>5</v>
      </c>
      <c r="D1854" s="20">
        <f>IFERROR(YEAR(INPUT!M1849),"")</f>
        <v>2026</v>
      </c>
      <c r="E1854" t="str">
        <f>IF(INPUT!O1849="","",INPUT!O1849)</f>
        <v>DANI</v>
      </c>
      <c r="F1854" t="str">
        <f>IF(INPUT!N1849="","",INPUT!N1849)</f>
        <v>T</v>
      </c>
      <c r="G1854" t="str" cm="1">
        <f t="array" ref="G1854">IFERROR(VLOOKUP(INPUT!M1849&amp;INPUT!N1849,CHOOSE({1,2},INPUT!$A$3:$A$5000&amp;INPUT!$C$3:$C$5000,INPUT!$F$3:$F$5000),2,FALSE),"")</f>
        <v>PRE-TEMPORADA</v>
      </c>
      <c r="H1854" t="str" cm="1">
        <f t="array" ref="H1854">IFERROR(VLOOKUP(INPUT!M1849&amp;INPUT!N1849,CHOOSE({1,2},INPUT!$A$3:$A$5000&amp;INPUT!$C$3:$C$5000,INPUT!$D$3:$D$5000),2,FALSE),"")</f>
        <v>PARTIDO</v>
      </c>
      <c r="I1854" s="46">
        <f>IF(INPUT!P1849="","",INPUT!P1849)</f>
        <v>91.7</v>
      </c>
      <c r="J1854" s="46">
        <f>IF(INPUT!Q1849="","",INPUT!Q1849)</f>
        <v>91.3</v>
      </c>
      <c r="K1854" s="46">
        <f>IFERROR(IF(OR(INPUT!P1849="",INPUT!Q1849=""),"",INPUT!P1849-INPUT!Q1849),"")</f>
        <v>0.40000000000000568</v>
      </c>
      <c r="L1854" s="48">
        <f>IFERROR(IF(OR(INPUT!P1849="",INPUT!Q1849="",INPUT!P1849=0),"",(INPUT!P1849-INPUT!Q1849)/INPUT!P1849),"")</f>
        <v>4.3620501635769429E-3</v>
      </c>
    </row>
    <row r="1855" spans="1:12" ht="18" customHeight="1" x14ac:dyDescent="0.2">
      <c r="A1855" s="11">
        <f>IF(INPUT!M1850="","",INPUT!M1850)</f>
        <v>46052</v>
      </c>
      <c r="B1855" s="11">
        <f>IF(INPUT!M1850="","",INPUT!M1850-WEEKDAY(INPUT!M1850,2)+1)</f>
        <v>46048</v>
      </c>
      <c r="C1855" s="20">
        <f>IFERROR(_xlfn.ISOWEEKNUM(INPUT!M1850),"")</f>
        <v>5</v>
      </c>
      <c r="D1855" s="20">
        <f>IFERROR(YEAR(INPUT!M1850),"")</f>
        <v>2026</v>
      </c>
      <c r="E1855" t="str">
        <f>IF(INPUT!O1850="","",INPUT!O1850)</f>
        <v>JAIME</v>
      </c>
      <c r="F1855" t="str">
        <f>IF(INPUT!N1850="","",INPUT!N1850)</f>
        <v>T</v>
      </c>
      <c r="G1855" t="str" cm="1">
        <f t="array" ref="G1855">IFERROR(VLOOKUP(INPUT!M1850&amp;INPUT!N1850,CHOOSE({1,2},INPUT!$A$3:$A$5000&amp;INPUT!$C$3:$C$5000,INPUT!$F$3:$F$5000),2,FALSE),"")</f>
        <v>PRE-TEMPORADA</v>
      </c>
      <c r="H1855" t="str" cm="1">
        <f t="array" ref="H1855">IFERROR(VLOOKUP(INPUT!M1850&amp;INPUT!N1850,CHOOSE({1,2},INPUT!$A$3:$A$5000&amp;INPUT!$C$3:$C$5000,INPUT!$D$3:$D$5000),2,FALSE),"")</f>
        <v>PARTIDO</v>
      </c>
      <c r="I1855" s="46">
        <f>IF(INPUT!P1850="","",INPUT!P1850)</f>
        <v>75.7</v>
      </c>
      <c r="J1855" s="46">
        <f>IF(INPUT!Q1850="","",INPUT!Q1850)</f>
        <v>75.400000000000006</v>
      </c>
      <c r="K1855" s="46">
        <f>IFERROR(IF(OR(INPUT!P1850="",INPUT!Q1850=""),"",INPUT!P1850-INPUT!Q1850),"")</f>
        <v>0.29999999999999716</v>
      </c>
      <c r="L1855" s="48">
        <f>IFERROR(IF(OR(INPUT!P1850="",INPUT!Q1850="",INPUT!P1850=0),"",(INPUT!P1850-INPUT!Q1850)/INPUT!P1850),"")</f>
        <v>3.9630118890356296E-3</v>
      </c>
    </row>
    <row r="1856" spans="1:12" ht="18" hidden="1" customHeight="1" x14ac:dyDescent="0.2">
      <c r="A1856" s="11">
        <f>IF(INPUT!M1851="","",INPUT!M1851)</f>
        <v>46055</v>
      </c>
      <c r="B1856" s="11">
        <f>IF(INPUT!M1851="","",INPUT!M1851-WEEKDAY(INPUT!M1851,2)+1)</f>
        <v>46055</v>
      </c>
      <c r="C1856" s="20">
        <f>IFERROR(_xlfn.ISOWEEKNUM(INPUT!M1851),"")</f>
        <v>6</v>
      </c>
      <c r="D1856" s="20">
        <f>IFERROR(YEAR(INPUT!M1851),"")</f>
        <v>2026</v>
      </c>
      <c r="E1856" t="str">
        <f>IF(INPUT!O1851="","",INPUT!O1851)</f>
        <v>HERRERO</v>
      </c>
      <c r="F1856" t="str">
        <f>IF(INPUT!N1851="","",INPUT!N1851)</f>
        <v>M</v>
      </c>
      <c r="G1856" t="str" cm="1">
        <f t="array" ref="G1856">IFERROR(VLOOKUP(INPUT!M1851&amp;INPUT!N1851,CHOOSE({1,2},INPUT!$A$3:$A$5000&amp;INPUT!$C$3:$C$5000,INPUT!$F$3:$F$5000),2,FALSE),"")</f>
        <v>PRE-TEMPORADA</v>
      </c>
      <c r="H1856" t="str" cm="1">
        <f t="array" ref="H1856">IFERROR(VLOOKUP(INPUT!M1851&amp;INPUT!N1851,CHOOSE({1,2},INPUT!$A$3:$A$5000&amp;INPUT!$C$3:$C$5000,INPUT!$D$3:$D$5000),2,FALSE),"")</f>
        <v>GYM+FISICO</v>
      </c>
      <c r="I1856" s="46">
        <f>IF(INPUT!P1851="","",INPUT!P1851)</f>
        <v>77</v>
      </c>
      <c r="J1856" s="46">
        <f>IF(INPUT!Q1851="","",INPUT!Q1851)</f>
        <v>76.099999999999994</v>
      </c>
      <c r="K1856" s="46">
        <f>IFERROR(IF(OR(INPUT!P1851="",INPUT!Q1851=""),"",INPUT!P1851-INPUT!Q1851),"")</f>
        <v>0.90000000000000568</v>
      </c>
      <c r="L1856" s="48">
        <f>IFERROR(IF(OR(INPUT!P1851="",INPUT!Q1851="",INPUT!P1851=0),"",(INPUT!P1851-INPUT!Q1851)/INPUT!P1851),"")</f>
        <v>1.1688311688311762E-2</v>
      </c>
    </row>
    <row r="1857" spans="1:12" ht="18" hidden="1" customHeight="1" x14ac:dyDescent="0.2">
      <c r="A1857" s="11">
        <f>IF(INPUT!M1852="","",INPUT!M1852)</f>
        <v>46055</v>
      </c>
      <c r="B1857" s="11">
        <f>IF(INPUT!M1852="","",INPUT!M1852-WEEKDAY(INPUT!M1852,2)+1)</f>
        <v>46055</v>
      </c>
      <c r="C1857" s="20">
        <f>IFERROR(_xlfn.ISOWEEKNUM(INPUT!M1852),"")</f>
        <v>6</v>
      </c>
      <c r="D1857" s="20">
        <f>IFERROR(YEAR(INPUT!M1852),"")</f>
        <v>2026</v>
      </c>
      <c r="E1857" t="str">
        <f>IF(INPUT!O1852="","",INPUT!O1852)</f>
        <v>HERRERO</v>
      </c>
      <c r="F1857" t="str">
        <f>IF(INPUT!N1852="","",INPUT!N1852)</f>
        <v>T</v>
      </c>
      <c r="G1857" t="str" cm="1">
        <f t="array" ref="G1857">IFERROR(VLOOKUP(INPUT!M1852&amp;INPUT!N1852,CHOOSE({1,2},INPUT!$A$3:$A$5000&amp;INPUT!$C$3:$C$5000,INPUT!$F$3:$F$5000),2,FALSE),"")</f>
        <v>PRE-TEMPORADA</v>
      </c>
      <c r="H1857" t="str" cm="1">
        <f t="array" ref="H1857">IFERROR(VLOOKUP(INPUT!M1852&amp;INPUT!N1852,CHOOSE({1,2},INPUT!$A$3:$A$5000&amp;INPUT!$C$3:$C$5000,INPUT!$D$3:$D$5000),2,FALSE),"")</f>
        <v>TEC-TAC</v>
      </c>
      <c r="I1857" s="46">
        <f>IF(INPUT!P1852="","",INPUT!P1852)</f>
        <v>76.8</v>
      </c>
      <c r="J1857" s="46">
        <f>IF(INPUT!Q1852="","",INPUT!Q1852)</f>
        <v>76.099999999999994</v>
      </c>
      <c r="K1857" s="46">
        <f>IFERROR(IF(OR(INPUT!P1852="",INPUT!Q1852=""),"",INPUT!P1852-INPUT!Q1852),"")</f>
        <v>0.70000000000000284</v>
      </c>
      <c r="L1857" s="48">
        <f>IFERROR(IF(OR(INPUT!P1852="",INPUT!Q1852="",INPUT!P1852=0),"",(INPUT!P1852-INPUT!Q1852)/INPUT!P1852),"")</f>
        <v>9.1145833333333703E-3</v>
      </c>
    </row>
    <row r="1858" spans="1:12" ht="18" hidden="1" customHeight="1" x14ac:dyDescent="0.2">
      <c r="A1858" s="11">
        <f>IF(INPUT!M1853="","",INPUT!M1853)</f>
        <v>46055</v>
      </c>
      <c r="B1858" s="11">
        <f>IF(INPUT!M1853="","",INPUT!M1853-WEEKDAY(INPUT!M1853,2)+1)</f>
        <v>46055</v>
      </c>
      <c r="C1858" s="20">
        <f>IFERROR(_xlfn.ISOWEEKNUM(INPUT!M1853),"")</f>
        <v>6</v>
      </c>
      <c r="D1858" s="20">
        <f>IFERROR(YEAR(INPUT!M1853),"")</f>
        <v>2026</v>
      </c>
      <c r="E1858" t="str">
        <f>IF(INPUT!O1853="","",INPUT!O1853)</f>
        <v>GARCIA</v>
      </c>
      <c r="F1858" t="str">
        <f>IF(INPUT!N1853="","",INPUT!N1853)</f>
        <v>M</v>
      </c>
      <c r="G1858" t="str" cm="1">
        <f t="array" ref="G1858">IFERROR(VLOOKUP(INPUT!M1853&amp;INPUT!N1853,CHOOSE({1,2},INPUT!$A$3:$A$5000&amp;INPUT!$C$3:$C$5000,INPUT!$F$3:$F$5000),2,FALSE),"")</f>
        <v>PRE-TEMPORADA</v>
      </c>
      <c r="H1858" t="str" cm="1">
        <f t="array" ref="H1858">IFERROR(VLOOKUP(INPUT!M1853&amp;INPUT!N1853,CHOOSE({1,2},INPUT!$A$3:$A$5000&amp;INPUT!$C$3:$C$5000,INPUT!$D$3:$D$5000),2,FALSE),"")</f>
        <v>GYM+FISICO</v>
      </c>
      <c r="I1858" s="46">
        <f>IF(INPUT!P1853="","",INPUT!P1853)</f>
        <v>79.3</v>
      </c>
      <c r="J1858" s="46">
        <f>IF(INPUT!Q1853="","",INPUT!Q1853)</f>
        <v>79.3</v>
      </c>
      <c r="K1858" s="46">
        <f>IFERROR(IF(OR(INPUT!P1853="",INPUT!Q1853=""),"",INPUT!P1853-INPUT!Q1853),"")</f>
        <v>0</v>
      </c>
      <c r="L1858" s="48">
        <f>IFERROR(IF(OR(INPUT!P1853="",INPUT!Q1853="",INPUT!P1853=0),"",(INPUT!P1853-INPUT!Q1853)/INPUT!P1853),"")</f>
        <v>0</v>
      </c>
    </row>
    <row r="1859" spans="1:12" ht="18" hidden="1" customHeight="1" x14ac:dyDescent="0.2">
      <c r="A1859" s="11">
        <f>IF(INPUT!M1854="","",INPUT!M1854)</f>
        <v>46055</v>
      </c>
      <c r="B1859" s="11">
        <f>IF(INPUT!M1854="","",INPUT!M1854-WEEKDAY(INPUT!M1854,2)+1)</f>
        <v>46055</v>
      </c>
      <c r="C1859" s="20">
        <f>IFERROR(_xlfn.ISOWEEKNUM(INPUT!M1854),"")</f>
        <v>6</v>
      </c>
      <c r="D1859" s="20">
        <f>IFERROR(YEAR(INPUT!M1854),"")</f>
        <v>2026</v>
      </c>
      <c r="E1859" t="str">
        <f>IF(INPUT!O1854="","",INPUT!O1854)</f>
        <v>GARCIA</v>
      </c>
      <c r="F1859" t="str">
        <f>IF(INPUT!N1854="","",INPUT!N1854)</f>
        <v>T</v>
      </c>
      <c r="G1859" t="str" cm="1">
        <f t="array" ref="G1859">IFERROR(VLOOKUP(INPUT!M1854&amp;INPUT!N1854,CHOOSE({1,2},INPUT!$A$3:$A$5000&amp;INPUT!$C$3:$C$5000,INPUT!$F$3:$F$5000),2,FALSE),"")</f>
        <v>PRE-TEMPORADA</v>
      </c>
      <c r="H1859" t="str" cm="1">
        <f t="array" ref="H1859">IFERROR(VLOOKUP(INPUT!M1854&amp;INPUT!N1854,CHOOSE({1,2},INPUT!$A$3:$A$5000&amp;INPUT!$C$3:$C$5000,INPUT!$D$3:$D$5000),2,FALSE),"")</f>
        <v>TEC-TAC</v>
      </c>
      <c r="I1859" s="46">
        <f>IF(INPUT!P1854="","",INPUT!P1854)</f>
        <v>79.400000000000006</v>
      </c>
      <c r="J1859" s="46">
        <f>IF(INPUT!Q1854="","",INPUT!Q1854)</f>
        <v>79.2</v>
      </c>
      <c r="K1859" s="46">
        <f>IFERROR(IF(OR(INPUT!P1854="",INPUT!Q1854=""),"",INPUT!P1854-INPUT!Q1854),"")</f>
        <v>0.20000000000000284</v>
      </c>
      <c r="L1859" s="48">
        <f>IFERROR(IF(OR(INPUT!P1854="",INPUT!Q1854="",INPUT!P1854=0),"",(INPUT!P1854-INPUT!Q1854)/INPUT!P1854),"")</f>
        <v>2.5188916876574662E-3</v>
      </c>
    </row>
    <row r="1860" spans="1:12" ht="18" hidden="1" customHeight="1" x14ac:dyDescent="0.2">
      <c r="A1860" s="11">
        <f>IF(INPUT!M1855="","",INPUT!M1855)</f>
        <v>46055</v>
      </c>
      <c r="B1860" s="11">
        <f>IF(INPUT!M1855="","",INPUT!M1855-WEEKDAY(INPUT!M1855,2)+1)</f>
        <v>46055</v>
      </c>
      <c r="C1860" s="20">
        <f>IFERROR(_xlfn.ISOWEEKNUM(INPUT!M1855),"")</f>
        <v>6</v>
      </c>
      <c r="D1860" s="20">
        <f>IFERROR(YEAR(INPUT!M1855),"")</f>
        <v>2026</v>
      </c>
      <c r="E1860" t="str">
        <f>IF(INPUT!O1855="","",INPUT!O1855)</f>
        <v>CHAGUINHA</v>
      </c>
      <c r="F1860" t="str">
        <f>IF(INPUT!N1855="","",INPUT!N1855)</f>
        <v>M</v>
      </c>
      <c r="G1860" t="str" cm="1">
        <f t="array" ref="G1860">IFERROR(VLOOKUP(INPUT!M1855&amp;INPUT!N1855,CHOOSE({1,2},INPUT!$A$3:$A$5000&amp;INPUT!$C$3:$C$5000,INPUT!$F$3:$F$5000),2,FALSE),"")</f>
        <v>PRE-TEMPORADA</v>
      </c>
      <c r="H1860" t="str" cm="1">
        <f t="array" ref="H1860">IFERROR(VLOOKUP(INPUT!M1855&amp;INPUT!N1855,CHOOSE({1,2},INPUT!$A$3:$A$5000&amp;INPUT!$C$3:$C$5000,INPUT!$D$3:$D$5000),2,FALSE),"")</f>
        <v>GYM+FISICO</v>
      </c>
      <c r="I1860" s="46">
        <f>IF(INPUT!P1855="","",INPUT!P1855)</f>
        <v>69</v>
      </c>
      <c r="J1860" s="46">
        <f>IF(INPUT!Q1855="","",INPUT!Q1855)</f>
        <v>68.3</v>
      </c>
      <c r="K1860" s="46">
        <f>IFERROR(IF(OR(INPUT!P1855="",INPUT!Q1855=""),"",INPUT!P1855-INPUT!Q1855),"")</f>
        <v>0.70000000000000284</v>
      </c>
      <c r="L1860" s="48">
        <f>IFERROR(IF(OR(INPUT!P1855="",INPUT!Q1855="",INPUT!P1855=0),"",(INPUT!P1855-INPUT!Q1855)/INPUT!P1855),"")</f>
        <v>1.0144927536231925E-2</v>
      </c>
    </row>
    <row r="1861" spans="1:12" ht="18" hidden="1" customHeight="1" x14ac:dyDescent="0.2">
      <c r="A1861" s="11">
        <f>IF(INPUT!M1856="","",INPUT!M1856)</f>
        <v>46055</v>
      </c>
      <c r="B1861" s="11">
        <f>IF(INPUT!M1856="","",INPUT!M1856-WEEKDAY(INPUT!M1856,2)+1)</f>
        <v>46055</v>
      </c>
      <c r="C1861" s="20">
        <f>IFERROR(_xlfn.ISOWEEKNUM(INPUT!M1856),"")</f>
        <v>6</v>
      </c>
      <c r="D1861" s="20">
        <f>IFERROR(YEAR(INPUT!M1856),"")</f>
        <v>2026</v>
      </c>
      <c r="E1861" t="str">
        <f>IF(INPUT!O1856="","",INPUT!O1856)</f>
        <v>CHAGUINHA</v>
      </c>
      <c r="F1861" t="str">
        <f>IF(INPUT!N1856="","",INPUT!N1856)</f>
        <v>T</v>
      </c>
      <c r="G1861" t="str" cm="1">
        <f t="array" ref="G1861">IFERROR(VLOOKUP(INPUT!M1856&amp;INPUT!N1856,CHOOSE({1,2},INPUT!$A$3:$A$5000&amp;INPUT!$C$3:$C$5000,INPUT!$F$3:$F$5000),2,FALSE),"")</f>
        <v>PRE-TEMPORADA</v>
      </c>
      <c r="H1861" t="str" cm="1">
        <f t="array" ref="H1861">IFERROR(VLOOKUP(INPUT!M1856&amp;INPUT!N1856,CHOOSE({1,2},INPUT!$A$3:$A$5000&amp;INPUT!$C$3:$C$5000,INPUT!$D$3:$D$5000),2,FALSE),"")</f>
        <v>TEC-TAC</v>
      </c>
      <c r="I1861" s="46">
        <f>IF(INPUT!P1856="","",INPUT!P1856)</f>
        <v>69.400000000000006</v>
      </c>
      <c r="J1861" s="46">
        <f>IF(INPUT!Q1856="","",INPUT!Q1856)</f>
        <v>68.7</v>
      </c>
      <c r="K1861" s="46">
        <f>IFERROR(IF(OR(INPUT!P1856="",INPUT!Q1856=""),"",INPUT!P1856-INPUT!Q1856),"")</f>
        <v>0.70000000000000284</v>
      </c>
      <c r="L1861" s="48">
        <f>IFERROR(IF(OR(INPUT!P1856="",INPUT!Q1856="",INPUT!P1856=0),"",(INPUT!P1856-INPUT!Q1856)/INPUT!P1856),"")</f>
        <v>1.0086455331412144E-2</v>
      </c>
    </row>
    <row r="1862" spans="1:12" ht="18" hidden="1" customHeight="1" x14ac:dyDescent="0.2">
      <c r="A1862" s="11">
        <f>IF(INPUT!M1857="","",INPUT!M1857)</f>
        <v>46055</v>
      </c>
      <c r="B1862" s="11">
        <f>IF(INPUT!M1857="","",INPUT!M1857-WEEKDAY(INPUT!M1857,2)+1)</f>
        <v>46055</v>
      </c>
      <c r="C1862" s="20">
        <f>IFERROR(_xlfn.ISOWEEKNUM(INPUT!M1857),"")</f>
        <v>6</v>
      </c>
      <c r="D1862" s="20">
        <f>IFERROR(YEAR(INPUT!M1857),"")</f>
        <v>2026</v>
      </c>
      <c r="E1862" t="str">
        <f>IF(INPUT!O1857="","",INPUT!O1857)</f>
        <v>RAUL</v>
      </c>
      <c r="F1862" t="str">
        <f>IF(INPUT!N1857="","",INPUT!N1857)</f>
        <v>M</v>
      </c>
      <c r="G1862" t="str" cm="1">
        <f t="array" ref="G1862">IFERROR(VLOOKUP(INPUT!M1857&amp;INPUT!N1857,CHOOSE({1,2},INPUT!$A$3:$A$5000&amp;INPUT!$C$3:$C$5000,INPUT!$F$3:$F$5000),2,FALSE),"")</f>
        <v>PRE-TEMPORADA</v>
      </c>
      <c r="H1862" t="str" cm="1">
        <f t="array" ref="H1862">IFERROR(VLOOKUP(INPUT!M1857&amp;INPUT!N1857,CHOOSE({1,2},INPUT!$A$3:$A$5000&amp;INPUT!$C$3:$C$5000,INPUT!$D$3:$D$5000),2,FALSE),"")</f>
        <v>GYM+FISICO</v>
      </c>
      <c r="I1862" s="46">
        <f>IF(INPUT!P1857="","",INPUT!P1857)</f>
        <v>80.400000000000006</v>
      </c>
      <c r="J1862" s="46">
        <f>IF(INPUT!Q1857="","",INPUT!Q1857)</f>
        <v>80.3</v>
      </c>
      <c r="K1862" s="46">
        <f>IFERROR(IF(OR(INPUT!P1857="",INPUT!Q1857=""),"",INPUT!P1857-INPUT!Q1857),"")</f>
        <v>0.10000000000000853</v>
      </c>
      <c r="L1862" s="48">
        <f>IFERROR(IF(OR(INPUT!P1857="",INPUT!Q1857="",INPUT!P1857=0),"",(INPUT!P1857-INPUT!Q1857)/INPUT!P1857),"")</f>
        <v>1.2437810945274692E-3</v>
      </c>
    </row>
    <row r="1863" spans="1:12" ht="18" hidden="1" customHeight="1" x14ac:dyDescent="0.2">
      <c r="A1863" s="11">
        <f>IF(INPUT!M1858="","",INPUT!M1858)</f>
        <v>46055</v>
      </c>
      <c r="B1863" s="11">
        <f>IF(INPUT!M1858="","",INPUT!M1858-WEEKDAY(INPUT!M1858,2)+1)</f>
        <v>46055</v>
      </c>
      <c r="C1863" s="20">
        <f>IFERROR(_xlfn.ISOWEEKNUM(INPUT!M1858),"")</f>
        <v>6</v>
      </c>
      <c r="D1863" s="20">
        <f>IFERROR(YEAR(INPUT!M1858),"")</f>
        <v>2026</v>
      </c>
      <c r="E1863" t="str">
        <f>IF(INPUT!O1858="","",INPUT!O1858)</f>
        <v>RAUL</v>
      </c>
      <c r="F1863" t="str">
        <f>IF(INPUT!N1858="","",INPUT!N1858)</f>
        <v>T</v>
      </c>
      <c r="G1863" t="str" cm="1">
        <f t="array" ref="G1863">IFERROR(VLOOKUP(INPUT!M1858&amp;INPUT!N1858,CHOOSE({1,2},INPUT!$A$3:$A$5000&amp;INPUT!$C$3:$C$5000,INPUT!$F$3:$F$5000),2,FALSE),"")</f>
        <v>PRE-TEMPORADA</v>
      </c>
      <c r="H1863" t="str" cm="1">
        <f t="array" ref="H1863">IFERROR(VLOOKUP(INPUT!M1858&amp;INPUT!N1858,CHOOSE({1,2},INPUT!$A$3:$A$5000&amp;INPUT!$C$3:$C$5000,INPUT!$D$3:$D$5000),2,FALSE),"")</f>
        <v>TEC-TAC</v>
      </c>
      <c r="I1863" s="46">
        <f>IF(INPUT!P1858="","",INPUT!P1858)</f>
        <v>80.900000000000006</v>
      </c>
      <c r="J1863" s="46">
        <f>IF(INPUT!Q1858="","",INPUT!Q1858)</f>
        <v>81</v>
      </c>
      <c r="K1863" s="46">
        <f>IFERROR(IF(OR(INPUT!P1858="",INPUT!Q1858=""),"",INPUT!P1858-INPUT!Q1858),"")</f>
        <v>-9.9999999999994316E-2</v>
      </c>
      <c r="L1863" s="48">
        <f>IFERROR(IF(OR(INPUT!P1858="",INPUT!Q1858="",INPUT!P1858=0),"",(INPUT!P1858-INPUT!Q1858)/INPUT!P1858),"")</f>
        <v>-1.2360939431396083E-3</v>
      </c>
    </row>
    <row r="1864" spans="1:12" ht="18" hidden="1" customHeight="1" x14ac:dyDescent="0.2">
      <c r="A1864" s="11">
        <f>IF(INPUT!M1859="","",INPUT!M1859)</f>
        <v>46055</v>
      </c>
      <c r="B1864" s="11">
        <f>IF(INPUT!M1859="","",INPUT!M1859-WEEKDAY(INPUT!M1859,2)+1)</f>
        <v>46055</v>
      </c>
      <c r="C1864" s="20">
        <f>IFERROR(_xlfn.ISOWEEKNUM(INPUT!M1859),"")</f>
        <v>6</v>
      </c>
      <c r="D1864" s="20">
        <f>IFERROR(YEAR(INPUT!M1859),"")</f>
        <v>2026</v>
      </c>
      <c r="E1864" t="str">
        <f>IF(INPUT!O1859="","",INPUT!O1859)</f>
        <v>JAVI</v>
      </c>
      <c r="F1864" t="str">
        <f>IF(INPUT!N1859="","",INPUT!N1859)</f>
        <v>M</v>
      </c>
      <c r="G1864" t="str" cm="1">
        <f t="array" ref="G1864">IFERROR(VLOOKUP(INPUT!M1859&amp;INPUT!N1859,CHOOSE({1,2},INPUT!$A$3:$A$5000&amp;INPUT!$C$3:$C$5000,INPUT!$F$3:$F$5000),2,FALSE),"")</f>
        <v>PRE-TEMPORADA</v>
      </c>
      <c r="H1864" t="str" cm="1">
        <f t="array" ref="H1864">IFERROR(VLOOKUP(INPUT!M1859&amp;INPUT!N1859,CHOOSE({1,2},INPUT!$A$3:$A$5000&amp;INPUT!$C$3:$C$5000,INPUT!$D$3:$D$5000),2,FALSE),"")</f>
        <v>GYM+FISICO</v>
      </c>
      <c r="I1864" s="46">
        <f>IF(INPUT!P1859="","",INPUT!P1859)</f>
        <v>77.7</v>
      </c>
      <c r="J1864" s="46">
        <f>IF(INPUT!Q1859="","",INPUT!Q1859)</f>
        <v>77.7</v>
      </c>
      <c r="K1864" s="46">
        <f>IFERROR(IF(OR(INPUT!P1859="",INPUT!Q1859=""),"",INPUT!P1859-INPUT!Q1859),"")</f>
        <v>0</v>
      </c>
      <c r="L1864" s="48">
        <f>IFERROR(IF(OR(INPUT!P1859="",INPUT!Q1859="",INPUT!P1859=0),"",(INPUT!P1859-INPUT!Q1859)/INPUT!P1859),"")</f>
        <v>0</v>
      </c>
    </row>
    <row r="1865" spans="1:12" ht="18" hidden="1" customHeight="1" x14ac:dyDescent="0.2">
      <c r="A1865" s="11">
        <f>IF(INPUT!M1860="","",INPUT!M1860)</f>
        <v>46055</v>
      </c>
      <c r="B1865" s="11">
        <f>IF(INPUT!M1860="","",INPUT!M1860-WEEKDAY(INPUT!M1860,2)+1)</f>
        <v>46055</v>
      </c>
      <c r="C1865" s="20">
        <f>IFERROR(_xlfn.ISOWEEKNUM(INPUT!M1860),"")</f>
        <v>6</v>
      </c>
      <c r="D1865" s="20">
        <f>IFERROR(YEAR(INPUT!M1860),"")</f>
        <v>2026</v>
      </c>
      <c r="E1865" t="str">
        <f>IF(INPUT!O1860="","",INPUT!O1860)</f>
        <v>JAVI</v>
      </c>
      <c r="F1865" t="str">
        <f>IF(INPUT!N1860="","",INPUT!N1860)</f>
        <v>T</v>
      </c>
      <c r="G1865" t="str" cm="1">
        <f t="array" ref="G1865">IFERROR(VLOOKUP(INPUT!M1860&amp;INPUT!N1860,CHOOSE({1,2},INPUT!$A$3:$A$5000&amp;INPUT!$C$3:$C$5000,INPUT!$F$3:$F$5000),2,FALSE),"")</f>
        <v>PRE-TEMPORADA</v>
      </c>
      <c r="H1865" t="str" cm="1">
        <f t="array" ref="H1865">IFERROR(VLOOKUP(INPUT!M1860&amp;INPUT!N1860,CHOOSE({1,2},INPUT!$A$3:$A$5000&amp;INPUT!$C$3:$C$5000,INPUT!$D$3:$D$5000),2,FALSE),"")</f>
        <v>TEC-TAC</v>
      </c>
      <c r="I1865" s="46">
        <f>IF(INPUT!P1860="","",INPUT!P1860)</f>
        <v>78.400000000000006</v>
      </c>
      <c r="J1865" s="46">
        <f>IF(INPUT!Q1860="","",INPUT!Q1860)</f>
        <v>78</v>
      </c>
      <c r="K1865" s="46">
        <f>IFERROR(IF(OR(INPUT!P1860="",INPUT!Q1860=""),"",INPUT!P1860-INPUT!Q1860),"")</f>
        <v>0.40000000000000568</v>
      </c>
      <c r="L1865" s="48">
        <f>IFERROR(IF(OR(INPUT!P1860="",INPUT!Q1860="",INPUT!P1860=0),"",(INPUT!P1860-INPUT!Q1860)/INPUT!P1860),"")</f>
        <v>5.1020408163266031E-3</v>
      </c>
    </row>
    <row r="1866" spans="1:12" ht="18" hidden="1" customHeight="1" x14ac:dyDescent="0.2">
      <c r="A1866" s="11">
        <f>IF(INPUT!M1861="","",INPUT!M1861)</f>
        <v>46055</v>
      </c>
      <c r="B1866" s="11">
        <f>IF(INPUT!M1861="","",INPUT!M1861-WEEKDAY(INPUT!M1861,2)+1)</f>
        <v>46055</v>
      </c>
      <c r="C1866" s="20">
        <f>IFERROR(_xlfn.ISOWEEKNUM(INPUT!M1861),"")</f>
        <v>6</v>
      </c>
      <c r="D1866" s="20">
        <f>IFERROR(YEAR(INPUT!M1861),"")</f>
        <v>2026</v>
      </c>
      <c r="E1866" t="str">
        <f>IF(INPUT!O1861="","",INPUT!O1861)</f>
        <v>PANI</v>
      </c>
      <c r="F1866" t="str">
        <f>IF(INPUT!N1861="","",INPUT!N1861)</f>
        <v>M</v>
      </c>
      <c r="G1866" t="str" cm="1">
        <f t="array" ref="G1866">IFERROR(VLOOKUP(INPUT!M1861&amp;INPUT!N1861,CHOOSE({1,2},INPUT!$A$3:$A$5000&amp;INPUT!$C$3:$C$5000,INPUT!$F$3:$F$5000),2,FALSE),"")</f>
        <v>PRE-TEMPORADA</v>
      </c>
      <c r="H1866" t="str" cm="1">
        <f t="array" ref="H1866">IFERROR(VLOOKUP(INPUT!M1861&amp;INPUT!N1861,CHOOSE({1,2},INPUT!$A$3:$A$5000&amp;INPUT!$C$3:$C$5000,INPUT!$D$3:$D$5000),2,FALSE),"")</f>
        <v>GYM+FISICO</v>
      </c>
      <c r="I1866" s="46">
        <f>IF(INPUT!P1861="","",INPUT!P1861)</f>
        <v>66.8</v>
      </c>
      <c r="J1866" s="46">
        <f>IF(INPUT!Q1861="","",INPUT!Q1861)</f>
        <v>66.599999999999994</v>
      </c>
      <c r="K1866" s="46">
        <f>IFERROR(IF(OR(INPUT!P1861="",INPUT!Q1861=""),"",INPUT!P1861-INPUT!Q1861),"")</f>
        <v>0.20000000000000284</v>
      </c>
      <c r="L1866" s="48">
        <f>IFERROR(IF(OR(INPUT!P1861="",INPUT!Q1861="",INPUT!P1861=0),"",(INPUT!P1861-INPUT!Q1861)/INPUT!P1861),"")</f>
        <v>2.9940119760479469E-3</v>
      </c>
    </row>
    <row r="1867" spans="1:12" ht="18" hidden="1" customHeight="1" x14ac:dyDescent="0.2">
      <c r="A1867" s="11">
        <f>IF(INPUT!M1862="","",INPUT!M1862)</f>
        <v>46055</v>
      </c>
      <c r="B1867" s="11">
        <f>IF(INPUT!M1862="","",INPUT!M1862-WEEKDAY(INPUT!M1862,2)+1)</f>
        <v>46055</v>
      </c>
      <c r="C1867" s="20">
        <f>IFERROR(_xlfn.ISOWEEKNUM(INPUT!M1862),"")</f>
        <v>6</v>
      </c>
      <c r="D1867" s="20">
        <f>IFERROR(YEAR(INPUT!M1862),"")</f>
        <v>2026</v>
      </c>
      <c r="E1867" t="str">
        <f>IF(INPUT!O1862="","",INPUT!O1862)</f>
        <v>PANI</v>
      </c>
      <c r="F1867" t="str">
        <f>IF(INPUT!N1862="","",INPUT!N1862)</f>
        <v>T</v>
      </c>
      <c r="G1867" t="str" cm="1">
        <f t="array" ref="G1867">IFERROR(VLOOKUP(INPUT!M1862&amp;INPUT!N1862,CHOOSE({1,2},INPUT!$A$3:$A$5000&amp;INPUT!$C$3:$C$5000,INPUT!$F$3:$F$5000),2,FALSE),"")</f>
        <v>PRE-TEMPORADA</v>
      </c>
      <c r="H1867" t="str" cm="1">
        <f t="array" ref="H1867">IFERROR(VLOOKUP(INPUT!M1862&amp;INPUT!N1862,CHOOSE({1,2},INPUT!$A$3:$A$5000&amp;INPUT!$C$3:$C$5000,INPUT!$D$3:$D$5000),2,FALSE),"")</f>
        <v>TEC-TAC</v>
      </c>
      <c r="I1867" s="46">
        <f>IF(INPUT!P1862="","",INPUT!P1862)</f>
        <v>67.2</v>
      </c>
      <c r="J1867" s="46">
        <f>IF(INPUT!Q1862="","",INPUT!Q1862)</f>
        <v>66.3</v>
      </c>
      <c r="K1867" s="46">
        <f>IFERROR(IF(OR(INPUT!P1862="",INPUT!Q1862=""),"",INPUT!P1862-INPUT!Q1862),"")</f>
        <v>0.90000000000000568</v>
      </c>
      <c r="L1867" s="48">
        <f>IFERROR(IF(OR(INPUT!P1862="",INPUT!Q1862="",INPUT!P1862=0),"",(INPUT!P1862-INPUT!Q1862)/INPUT!P1862),"")</f>
        <v>1.3392857142857227E-2</v>
      </c>
    </row>
    <row r="1868" spans="1:12" ht="18" hidden="1" customHeight="1" x14ac:dyDescent="0.2">
      <c r="A1868" s="11">
        <f>IF(INPUT!M1863="","",INPUT!M1863)</f>
        <v>46055</v>
      </c>
      <c r="B1868" s="11">
        <f>IF(INPUT!M1863="","",INPUT!M1863-WEEKDAY(INPUT!M1863,2)+1)</f>
        <v>46055</v>
      </c>
      <c r="C1868" s="20">
        <f>IFERROR(_xlfn.ISOWEEKNUM(INPUT!M1863),"")</f>
        <v>6</v>
      </c>
      <c r="D1868" s="20">
        <f>IFERROR(YEAR(INPUT!M1863),"")</f>
        <v>2026</v>
      </c>
      <c r="E1868" t="str">
        <f>IF(INPUT!O1863="","",INPUT!O1863)</f>
        <v>PIRATA</v>
      </c>
      <c r="F1868" t="str">
        <f>IF(INPUT!N1863="","",INPUT!N1863)</f>
        <v>M</v>
      </c>
      <c r="G1868" t="str" cm="1">
        <f t="array" ref="G1868">IFERROR(VLOOKUP(INPUT!M1863&amp;INPUT!N1863,CHOOSE({1,2},INPUT!$A$3:$A$5000&amp;INPUT!$C$3:$C$5000,INPUT!$F$3:$F$5000),2,FALSE),"")</f>
        <v>PRE-TEMPORADA</v>
      </c>
      <c r="H1868" t="str" cm="1">
        <f t="array" ref="H1868">IFERROR(VLOOKUP(INPUT!M1863&amp;INPUT!N1863,CHOOSE({1,2},INPUT!$A$3:$A$5000&amp;INPUT!$C$3:$C$5000,INPUT!$D$3:$D$5000),2,FALSE),"")</f>
        <v>GYM+FISICO</v>
      </c>
      <c r="I1868" s="46">
        <f>IF(INPUT!P1863="","",INPUT!P1863)</f>
        <v>75</v>
      </c>
      <c r="J1868" s="46">
        <f>IF(INPUT!Q1863="","",INPUT!Q1863)</f>
        <v>75</v>
      </c>
      <c r="K1868" s="46">
        <f>IFERROR(IF(OR(INPUT!P1863="",INPUT!Q1863=""),"",INPUT!P1863-INPUT!Q1863),"")</f>
        <v>0</v>
      </c>
      <c r="L1868" s="48">
        <f>IFERROR(IF(OR(INPUT!P1863="",INPUT!Q1863="",INPUT!P1863=0),"",(INPUT!P1863-INPUT!Q1863)/INPUT!P1863),"")</f>
        <v>0</v>
      </c>
    </row>
    <row r="1869" spans="1:12" ht="18" hidden="1" customHeight="1" x14ac:dyDescent="0.2">
      <c r="A1869" s="11">
        <f>IF(INPUT!M1864="","",INPUT!M1864)</f>
        <v>46055</v>
      </c>
      <c r="B1869" s="11">
        <f>IF(INPUT!M1864="","",INPUT!M1864-WEEKDAY(INPUT!M1864,2)+1)</f>
        <v>46055</v>
      </c>
      <c r="C1869" s="20">
        <f>IFERROR(_xlfn.ISOWEEKNUM(INPUT!M1864),"")</f>
        <v>6</v>
      </c>
      <c r="D1869" s="20">
        <f>IFERROR(YEAR(INPUT!M1864),"")</f>
        <v>2026</v>
      </c>
      <c r="E1869" t="str">
        <f>IF(INPUT!O1864="","",INPUT!O1864)</f>
        <v>PIRATA</v>
      </c>
      <c r="F1869" t="str">
        <f>IF(INPUT!N1864="","",INPUT!N1864)</f>
        <v>T</v>
      </c>
      <c r="G1869" t="str" cm="1">
        <f t="array" ref="G1869">IFERROR(VLOOKUP(INPUT!M1864&amp;INPUT!N1864,CHOOSE({1,2},INPUT!$A$3:$A$5000&amp;INPUT!$C$3:$C$5000,INPUT!$F$3:$F$5000),2,FALSE),"")</f>
        <v>PRE-TEMPORADA</v>
      </c>
      <c r="H1869" t="str" cm="1">
        <f t="array" ref="H1869">IFERROR(VLOOKUP(INPUT!M1864&amp;INPUT!N1864,CHOOSE({1,2},INPUT!$A$3:$A$5000&amp;INPUT!$C$3:$C$5000,INPUT!$D$3:$D$5000),2,FALSE),"")</f>
        <v>TEC-TAC</v>
      </c>
      <c r="I1869" s="46">
        <f>IF(INPUT!P1864="","",INPUT!P1864)</f>
        <v>74.7</v>
      </c>
      <c r="J1869" s="46">
        <f>IF(INPUT!Q1864="","",INPUT!Q1864)</f>
        <v>74</v>
      </c>
      <c r="K1869" s="46">
        <f>IFERROR(IF(OR(INPUT!P1864="",INPUT!Q1864=""),"",INPUT!P1864-INPUT!Q1864),"")</f>
        <v>0.70000000000000284</v>
      </c>
      <c r="L1869" s="48">
        <f>IFERROR(IF(OR(INPUT!P1864="",INPUT!Q1864="",INPUT!P1864=0),"",(INPUT!P1864-INPUT!Q1864)/INPUT!P1864),"")</f>
        <v>9.3708165997323008E-3</v>
      </c>
    </row>
    <row r="1870" spans="1:12" ht="18" hidden="1" customHeight="1" x14ac:dyDescent="0.2">
      <c r="A1870" s="11">
        <f>IF(INPUT!M1865="","",INPUT!M1865)</f>
        <v>46055</v>
      </c>
      <c r="B1870" s="11">
        <f>IF(INPUT!M1865="","",INPUT!M1865-WEEKDAY(INPUT!M1865,2)+1)</f>
        <v>46055</v>
      </c>
      <c r="C1870" s="20">
        <f>IFERROR(_xlfn.ISOWEEKNUM(INPUT!M1865),"")</f>
        <v>6</v>
      </c>
      <c r="D1870" s="20">
        <f>IFERROR(YEAR(INPUT!M1865),"")</f>
        <v>2026</v>
      </c>
      <c r="E1870" t="str">
        <f>IF(INPUT!O1865="","",INPUT!O1865)</f>
        <v>BARONA</v>
      </c>
      <c r="F1870" t="str">
        <f>IF(INPUT!N1865="","",INPUT!N1865)</f>
        <v>M</v>
      </c>
      <c r="G1870" t="str" cm="1">
        <f t="array" ref="G1870">IFERROR(VLOOKUP(INPUT!M1865&amp;INPUT!N1865,CHOOSE({1,2},INPUT!$A$3:$A$5000&amp;INPUT!$C$3:$C$5000,INPUT!$F$3:$F$5000),2,FALSE),"")</f>
        <v>PRE-TEMPORADA</v>
      </c>
      <c r="H1870" t="str" cm="1">
        <f t="array" ref="H1870">IFERROR(VLOOKUP(INPUT!M1865&amp;INPUT!N1865,CHOOSE({1,2},INPUT!$A$3:$A$5000&amp;INPUT!$C$3:$C$5000,INPUT!$D$3:$D$5000),2,FALSE),"")</f>
        <v>GYM+FISICO</v>
      </c>
      <c r="I1870" s="46">
        <f>IF(INPUT!P1865="","",INPUT!P1865)</f>
        <v>71.8</v>
      </c>
      <c r="J1870" s="46">
        <f>IF(INPUT!Q1865="","",INPUT!Q1865)</f>
        <v>71.099999999999994</v>
      </c>
      <c r="K1870" s="46">
        <f>IFERROR(IF(OR(INPUT!P1865="",INPUT!Q1865=""),"",INPUT!P1865-INPUT!Q1865),"")</f>
        <v>0.70000000000000284</v>
      </c>
      <c r="L1870" s="48">
        <f>IFERROR(IF(OR(INPUT!P1865="",INPUT!Q1865="",INPUT!P1865=0),"",(INPUT!P1865-INPUT!Q1865)/INPUT!P1865),"")</f>
        <v>9.7493036211699566E-3</v>
      </c>
    </row>
    <row r="1871" spans="1:12" ht="18" hidden="1" customHeight="1" x14ac:dyDescent="0.2">
      <c r="A1871" s="11">
        <f>IF(INPUT!M1866="","",INPUT!M1866)</f>
        <v>46055</v>
      </c>
      <c r="B1871" s="11">
        <f>IF(INPUT!M1866="","",INPUT!M1866-WEEKDAY(INPUT!M1866,2)+1)</f>
        <v>46055</v>
      </c>
      <c r="C1871" s="20">
        <f>IFERROR(_xlfn.ISOWEEKNUM(INPUT!M1866),"")</f>
        <v>6</v>
      </c>
      <c r="D1871" s="20">
        <f>IFERROR(YEAR(INPUT!M1866),"")</f>
        <v>2026</v>
      </c>
      <c r="E1871" t="str">
        <f>IF(INPUT!O1866="","",INPUT!O1866)</f>
        <v>BARONA</v>
      </c>
      <c r="F1871" t="str">
        <f>IF(INPUT!N1866="","",INPUT!N1866)</f>
        <v>T</v>
      </c>
      <c r="G1871" t="str" cm="1">
        <f t="array" ref="G1871">IFERROR(VLOOKUP(INPUT!M1866&amp;INPUT!N1866,CHOOSE({1,2},INPUT!$A$3:$A$5000&amp;INPUT!$C$3:$C$5000,INPUT!$F$3:$F$5000),2,FALSE),"")</f>
        <v>PRE-TEMPORADA</v>
      </c>
      <c r="H1871" t="str" cm="1">
        <f t="array" ref="H1871">IFERROR(VLOOKUP(INPUT!M1866&amp;INPUT!N1866,CHOOSE({1,2},INPUT!$A$3:$A$5000&amp;INPUT!$C$3:$C$5000,INPUT!$D$3:$D$5000),2,FALSE),"")</f>
        <v>TEC-TAC</v>
      </c>
      <c r="I1871" s="46">
        <f>IF(INPUT!P1866="","",INPUT!P1866)</f>
        <v>71.8</v>
      </c>
      <c r="J1871" s="46">
        <f>IF(INPUT!Q1866="","",INPUT!Q1866)</f>
        <v>70.900000000000006</v>
      </c>
      <c r="K1871" s="46">
        <f>IFERROR(IF(OR(INPUT!P1866="",INPUT!Q1866=""),"",INPUT!P1866-INPUT!Q1866),"")</f>
        <v>0.89999999999999147</v>
      </c>
      <c r="L1871" s="48">
        <f>IFERROR(IF(OR(INPUT!P1866="",INPUT!Q1866="",INPUT!P1866=0),"",(INPUT!P1866-INPUT!Q1866)/INPUT!P1866),"")</f>
        <v>1.253481894150406E-2</v>
      </c>
    </row>
    <row r="1872" spans="1:12" ht="18" hidden="1" customHeight="1" x14ac:dyDescent="0.2">
      <c r="A1872" s="11">
        <f>IF(INPUT!M1867="","",INPUT!M1867)</f>
        <v>46055</v>
      </c>
      <c r="B1872" s="11">
        <f>IF(INPUT!M1867="","",INPUT!M1867-WEEKDAY(INPUT!M1867,2)+1)</f>
        <v>46055</v>
      </c>
      <c r="C1872" s="20">
        <f>IFERROR(_xlfn.ISOWEEKNUM(INPUT!M1867),"")</f>
        <v>6</v>
      </c>
      <c r="D1872" s="20">
        <f>IFERROR(YEAR(INPUT!M1867),"")</f>
        <v>2026</v>
      </c>
      <c r="E1872" t="str">
        <f>IF(INPUT!O1867="","",INPUT!O1867)</f>
        <v>CARLOS</v>
      </c>
      <c r="F1872" t="str">
        <f>IF(INPUT!N1867="","",INPUT!N1867)</f>
        <v>M</v>
      </c>
      <c r="G1872" t="str" cm="1">
        <f t="array" ref="G1872">IFERROR(VLOOKUP(INPUT!M1867&amp;INPUT!N1867,CHOOSE({1,2},INPUT!$A$3:$A$5000&amp;INPUT!$C$3:$C$5000,INPUT!$F$3:$F$5000),2,FALSE),"")</f>
        <v>PRE-TEMPORADA</v>
      </c>
      <c r="H1872" t="str" cm="1">
        <f t="array" ref="H1872">IFERROR(VLOOKUP(INPUT!M1867&amp;INPUT!N1867,CHOOSE({1,2},INPUT!$A$3:$A$5000&amp;INPUT!$C$3:$C$5000,INPUT!$D$3:$D$5000),2,FALSE),"")</f>
        <v>GYM+FISICO</v>
      </c>
      <c r="I1872" s="46">
        <f>IF(INPUT!P1867="","",INPUT!P1867)</f>
        <v>68.3</v>
      </c>
      <c r="J1872" s="46">
        <f>IF(INPUT!Q1867="","",INPUT!Q1867)</f>
        <v>68</v>
      </c>
      <c r="K1872" s="46">
        <f>IFERROR(IF(OR(INPUT!P1867="",INPUT!Q1867=""),"",INPUT!P1867-INPUT!Q1867),"")</f>
        <v>0.29999999999999716</v>
      </c>
      <c r="L1872" s="48">
        <f>IFERROR(IF(OR(INPUT!P1867="",INPUT!Q1867="",INPUT!P1867=0),"",(INPUT!P1867-INPUT!Q1867)/INPUT!P1867),"")</f>
        <v>4.3923865300145998E-3</v>
      </c>
    </row>
    <row r="1873" spans="1:12" ht="18" hidden="1" customHeight="1" x14ac:dyDescent="0.2">
      <c r="A1873" s="11">
        <f>IF(INPUT!M1868="","",INPUT!M1868)</f>
        <v>46055</v>
      </c>
      <c r="B1873" s="11">
        <f>IF(INPUT!M1868="","",INPUT!M1868-WEEKDAY(INPUT!M1868,2)+1)</f>
        <v>46055</v>
      </c>
      <c r="C1873" s="20">
        <f>IFERROR(_xlfn.ISOWEEKNUM(INPUT!M1868),"")</f>
        <v>6</v>
      </c>
      <c r="D1873" s="20">
        <f>IFERROR(YEAR(INPUT!M1868),"")</f>
        <v>2026</v>
      </c>
      <c r="E1873" t="str">
        <f>IF(INPUT!O1868="","",INPUT!O1868)</f>
        <v>CARLOS</v>
      </c>
      <c r="F1873" t="str">
        <f>IF(INPUT!N1868="","",INPUT!N1868)</f>
        <v>T</v>
      </c>
      <c r="G1873" t="str" cm="1">
        <f t="array" ref="G1873">IFERROR(VLOOKUP(INPUT!M1868&amp;INPUT!N1868,CHOOSE({1,2},INPUT!$A$3:$A$5000&amp;INPUT!$C$3:$C$5000,INPUT!$F$3:$F$5000),2,FALSE),"")</f>
        <v>PRE-TEMPORADA</v>
      </c>
      <c r="H1873" t="str" cm="1">
        <f t="array" ref="H1873">IFERROR(VLOOKUP(INPUT!M1868&amp;INPUT!N1868,CHOOSE({1,2},INPUT!$A$3:$A$5000&amp;INPUT!$C$3:$C$5000,INPUT!$D$3:$D$5000),2,FALSE),"")</f>
        <v>TEC-TAC</v>
      </c>
      <c r="I1873" s="46">
        <f>IF(INPUT!P1868="","",INPUT!P1868)</f>
        <v>68.5</v>
      </c>
      <c r="J1873" s="46">
        <f>IF(INPUT!Q1868="","",INPUT!Q1868)</f>
        <v>67.7</v>
      </c>
      <c r="K1873" s="46">
        <f>IFERROR(IF(OR(INPUT!P1868="",INPUT!Q1868=""),"",INPUT!P1868-INPUT!Q1868),"")</f>
        <v>0.79999999999999716</v>
      </c>
      <c r="L1873" s="48">
        <f>IFERROR(IF(OR(INPUT!P1868="",INPUT!Q1868="",INPUT!P1868=0),"",(INPUT!P1868-INPUT!Q1868)/INPUT!P1868),"")</f>
        <v>1.1678832116788281E-2</v>
      </c>
    </row>
    <row r="1874" spans="1:12" ht="18" hidden="1" customHeight="1" x14ac:dyDescent="0.2">
      <c r="A1874" s="11">
        <f>IF(INPUT!M1869="","",INPUT!M1869)</f>
        <v>46055</v>
      </c>
      <c r="B1874" s="11">
        <f>IF(INPUT!M1869="","",INPUT!M1869-WEEKDAY(INPUT!M1869,2)+1)</f>
        <v>46055</v>
      </c>
      <c r="C1874" s="20">
        <f>IFERROR(_xlfn.ISOWEEKNUM(INPUT!M1869),"")</f>
        <v>6</v>
      </c>
      <c r="D1874" s="20">
        <f>IFERROR(YEAR(INPUT!M1869),"")</f>
        <v>2026</v>
      </c>
      <c r="E1874" t="str">
        <f>IF(INPUT!O1869="","",INPUT!O1869)</f>
        <v>GONZALO</v>
      </c>
      <c r="F1874" t="str">
        <f>IF(INPUT!N1869="","",INPUT!N1869)</f>
        <v>M</v>
      </c>
      <c r="G1874" t="str" cm="1">
        <f t="array" ref="G1874">IFERROR(VLOOKUP(INPUT!M1869&amp;INPUT!N1869,CHOOSE({1,2},INPUT!$A$3:$A$5000&amp;INPUT!$C$3:$C$5000,INPUT!$F$3:$F$5000),2,FALSE),"")</f>
        <v>PRE-TEMPORADA</v>
      </c>
      <c r="H1874" t="str" cm="1">
        <f t="array" ref="H1874">IFERROR(VLOOKUP(INPUT!M1869&amp;INPUT!N1869,CHOOSE({1,2},INPUT!$A$3:$A$5000&amp;INPUT!$C$3:$C$5000,INPUT!$D$3:$D$5000),2,FALSE),"")</f>
        <v>GYM+FISICO</v>
      </c>
      <c r="I1874" s="46">
        <f>IF(INPUT!P1869="","",INPUT!P1869)</f>
        <v>83.2</v>
      </c>
      <c r="J1874" s="46">
        <f>IF(INPUT!Q1869="","",INPUT!Q1869)</f>
        <v>83</v>
      </c>
      <c r="K1874" s="46">
        <f>IFERROR(IF(OR(INPUT!P1869="",INPUT!Q1869=""),"",INPUT!P1869-INPUT!Q1869),"")</f>
        <v>0.20000000000000284</v>
      </c>
      <c r="L1874" s="48">
        <f>IFERROR(IF(OR(INPUT!P1869="",INPUT!Q1869="",INPUT!P1869=0),"",(INPUT!P1869-INPUT!Q1869)/INPUT!P1869),"")</f>
        <v>2.4038461538461878E-3</v>
      </c>
    </row>
    <row r="1875" spans="1:12" ht="18" hidden="1" customHeight="1" x14ac:dyDescent="0.2">
      <c r="A1875" s="11">
        <f>IF(INPUT!M1870="","",INPUT!M1870)</f>
        <v>46055</v>
      </c>
      <c r="B1875" s="11">
        <f>IF(INPUT!M1870="","",INPUT!M1870-WEEKDAY(INPUT!M1870,2)+1)</f>
        <v>46055</v>
      </c>
      <c r="C1875" s="20">
        <f>IFERROR(_xlfn.ISOWEEKNUM(INPUT!M1870),"")</f>
        <v>6</v>
      </c>
      <c r="D1875" s="20">
        <f>IFERROR(YEAR(INPUT!M1870),"")</f>
        <v>2026</v>
      </c>
      <c r="E1875" t="str">
        <f>IF(INPUT!O1870="","",INPUT!O1870)</f>
        <v>GONZALO</v>
      </c>
      <c r="F1875" t="str">
        <f>IF(INPUT!N1870="","",INPUT!N1870)</f>
        <v>T</v>
      </c>
      <c r="G1875" t="str" cm="1">
        <f t="array" ref="G1875">IFERROR(VLOOKUP(INPUT!M1870&amp;INPUT!N1870,CHOOSE({1,2},INPUT!$A$3:$A$5000&amp;INPUT!$C$3:$C$5000,INPUT!$F$3:$F$5000),2,FALSE),"")</f>
        <v>PRE-TEMPORADA</v>
      </c>
      <c r="H1875" t="str" cm="1">
        <f t="array" ref="H1875">IFERROR(VLOOKUP(INPUT!M1870&amp;INPUT!N1870,CHOOSE({1,2},INPUT!$A$3:$A$5000&amp;INPUT!$C$3:$C$5000,INPUT!$D$3:$D$5000),2,FALSE),"")</f>
        <v>TEC-TAC</v>
      </c>
      <c r="I1875" s="46">
        <f>IF(INPUT!P1870="","",INPUT!P1870)</f>
        <v>83.4</v>
      </c>
      <c r="J1875" s="46">
        <f>IF(INPUT!Q1870="","",INPUT!Q1870)</f>
        <v>83</v>
      </c>
      <c r="K1875" s="46">
        <f>IFERROR(IF(OR(INPUT!P1870="",INPUT!Q1870=""),"",INPUT!P1870-INPUT!Q1870),"")</f>
        <v>0.40000000000000568</v>
      </c>
      <c r="L1875" s="48">
        <f>IFERROR(IF(OR(INPUT!P1870="",INPUT!Q1870="",INPUT!P1870=0),"",(INPUT!P1870-INPUT!Q1870)/INPUT!P1870),"")</f>
        <v>4.7961630695444327E-3</v>
      </c>
    </row>
    <row r="1876" spans="1:12" ht="18" hidden="1" customHeight="1" x14ac:dyDescent="0.2">
      <c r="A1876" s="11">
        <f>IF(INPUT!M1871="","",INPUT!M1871)</f>
        <v>46055</v>
      </c>
      <c r="B1876" s="11">
        <f>IF(INPUT!M1871="","",INPUT!M1871-WEEKDAY(INPUT!M1871,2)+1)</f>
        <v>46055</v>
      </c>
      <c r="C1876" s="20">
        <f>IFERROR(_xlfn.ISOWEEKNUM(INPUT!M1871),"")</f>
        <v>6</v>
      </c>
      <c r="D1876" s="20">
        <f>IFERROR(YEAR(INPUT!M1871),"")</f>
        <v>2026</v>
      </c>
      <c r="E1876" t="str">
        <f>IF(INPUT!O1871="","",INPUT!O1871)</f>
        <v>RUBIO</v>
      </c>
      <c r="F1876" t="str">
        <f>IF(INPUT!N1871="","",INPUT!N1871)</f>
        <v>M</v>
      </c>
      <c r="G1876" t="str" cm="1">
        <f t="array" ref="G1876">IFERROR(VLOOKUP(INPUT!M1871&amp;INPUT!N1871,CHOOSE({1,2},INPUT!$A$3:$A$5000&amp;INPUT!$C$3:$C$5000,INPUT!$F$3:$F$5000),2,FALSE),"")</f>
        <v>PRE-TEMPORADA</v>
      </c>
      <c r="H1876" t="str" cm="1">
        <f t="array" ref="H1876">IFERROR(VLOOKUP(INPUT!M1871&amp;INPUT!N1871,CHOOSE({1,2},INPUT!$A$3:$A$5000&amp;INPUT!$C$3:$C$5000,INPUT!$D$3:$D$5000),2,FALSE),"")</f>
        <v>GYM+FISICO</v>
      </c>
      <c r="I1876" s="46">
        <f>IF(INPUT!P1871="","",INPUT!P1871)</f>
        <v>74.099999999999994</v>
      </c>
      <c r="J1876" s="46">
        <f>IF(INPUT!Q1871="","",INPUT!Q1871)</f>
        <v>74.3</v>
      </c>
      <c r="K1876" s="46">
        <f>IFERROR(IF(OR(INPUT!P1871="",INPUT!Q1871=""),"",INPUT!P1871-INPUT!Q1871),"")</f>
        <v>-0.20000000000000284</v>
      </c>
      <c r="L1876" s="48">
        <f>IFERROR(IF(OR(INPUT!P1871="",INPUT!Q1871="",INPUT!P1871=0),"",(INPUT!P1871-INPUT!Q1871)/INPUT!P1871),"")</f>
        <v>-2.6990553306343165E-3</v>
      </c>
    </row>
    <row r="1877" spans="1:12" ht="18" hidden="1" customHeight="1" x14ac:dyDescent="0.2">
      <c r="A1877" s="11">
        <f>IF(INPUT!M1872="","",INPUT!M1872)</f>
        <v>46055</v>
      </c>
      <c r="B1877" s="11">
        <f>IF(INPUT!M1872="","",INPUT!M1872-WEEKDAY(INPUT!M1872,2)+1)</f>
        <v>46055</v>
      </c>
      <c r="C1877" s="20">
        <f>IFERROR(_xlfn.ISOWEEKNUM(INPUT!M1872),"")</f>
        <v>6</v>
      </c>
      <c r="D1877" s="20">
        <f>IFERROR(YEAR(INPUT!M1872),"")</f>
        <v>2026</v>
      </c>
      <c r="E1877" t="str">
        <f>IF(INPUT!O1872="","",INPUT!O1872)</f>
        <v>RUBIO</v>
      </c>
      <c r="F1877" t="str">
        <f>IF(INPUT!N1872="","",INPUT!N1872)</f>
        <v>T</v>
      </c>
      <c r="G1877" t="str" cm="1">
        <f t="array" ref="G1877">IFERROR(VLOOKUP(INPUT!M1872&amp;INPUT!N1872,CHOOSE({1,2},INPUT!$A$3:$A$5000&amp;INPUT!$C$3:$C$5000,INPUT!$F$3:$F$5000),2,FALSE),"")</f>
        <v>PRE-TEMPORADA</v>
      </c>
      <c r="H1877" t="str" cm="1">
        <f t="array" ref="H1877">IFERROR(VLOOKUP(INPUT!M1872&amp;INPUT!N1872,CHOOSE({1,2},INPUT!$A$3:$A$5000&amp;INPUT!$C$3:$C$5000,INPUT!$D$3:$D$5000),2,FALSE),"")</f>
        <v>TEC-TAC</v>
      </c>
      <c r="I1877" s="46">
        <f>IF(INPUT!P1872="","",INPUT!P1872)</f>
        <v>74.5</v>
      </c>
      <c r="J1877" s="46">
        <f>IF(INPUT!Q1872="","",INPUT!Q1872)</f>
        <v>74</v>
      </c>
      <c r="K1877" s="46">
        <f>IFERROR(IF(OR(INPUT!P1872="",INPUT!Q1872=""),"",INPUT!P1872-INPUT!Q1872),"")</f>
        <v>0.5</v>
      </c>
      <c r="L1877" s="48">
        <f>IFERROR(IF(OR(INPUT!P1872="",INPUT!Q1872="",INPUT!P1872=0),"",(INPUT!P1872-INPUT!Q1872)/INPUT!P1872),"")</f>
        <v>6.7114093959731542E-3</v>
      </c>
    </row>
    <row r="1878" spans="1:12" ht="18" hidden="1" customHeight="1" x14ac:dyDescent="0.2">
      <c r="A1878" s="11">
        <f>IF(INPUT!M1873="","",INPUT!M1873)</f>
        <v>46055</v>
      </c>
      <c r="B1878" s="11">
        <f>IF(INPUT!M1873="","",INPUT!M1873-WEEKDAY(INPUT!M1873,2)+1)</f>
        <v>46055</v>
      </c>
      <c r="C1878" s="20">
        <f>IFERROR(_xlfn.ISOWEEKNUM(INPUT!M1873),"")</f>
        <v>6</v>
      </c>
      <c r="D1878" s="20">
        <f>IFERROR(YEAR(INPUT!M1873),"")</f>
        <v>2026</v>
      </c>
      <c r="E1878" t="str">
        <f>IF(INPUT!O1873="","",INPUT!O1873)</f>
        <v>DANI</v>
      </c>
      <c r="F1878" t="str">
        <f>IF(INPUT!N1873="","",INPUT!N1873)</f>
        <v>M</v>
      </c>
      <c r="G1878" t="str" cm="1">
        <f t="array" ref="G1878">IFERROR(VLOOKUP(INPUT!M1873&amp;INPUT!N1873,CHOOSE({1,2},INPUT!$A$3:$A$5000&amp;INPUT!$C$3:$C$5000,INPUT!$F$3:$F$5000),2,FALSE),"")</f>
        <v>PRE-TEMPORADA</v>
      </c>
      <c r="H1878" t="str" cm="1">
        <f t="array" ref="H1878">IFERROR(VLOOKUP(INPUT!M1873&amp;INPUT!N1873,CHOOSE({1,2},INPUT!$A$3:$A$5000&amp;INPUT!$C$3:$C$5000,INPUT!$D$3:$D$5000),2,FALSE),"")</f>
        <v>GYM+FISICO</v>
      </c>
      <c r="I1878" s="46">
        <f>IF(INPUT!P1873="","",INPUT!P1873)</f>
        <v>90.4</v>
      </c>
      <c r="J1878" s="46">
        <f>IF(INPUT!Q1873="","",INPUT!Q1873)</f>
        <v>90</v>
      </c>
      <c r="K1878" s="46">
        <f>IFERROR(IF(OR(INPUT!P1873="",INPUT!Q1873=""),"",INPUT!P1873-INPUT!Q1873),"")</f>
        <v>0.40000000000000568</v>
      </c>
      <c r="L1878" s="48">
        <f>IFERROR(IF(OR(INPUT!P1873="",INPUT!Q1873="",INPUT!P1873=0),"",(INPUT!P1873-INPUT!Q1873)/INPUT!P1873),"")</f>
        <v>4.4247787610620093E-3</v>
      </c>
    </row>
    <row r="1879" spans="1:12" ht="18" hidden="1" customHeight="1" x14ac:dyDescent="0.2">
      <c r="A1879" s="11">
        <f>IF(INPUT!M1874="","",INPUT!M1874)</f>
        <v>46055</v>
      </c>
      <c r="B1879" s="11">
        <f>IF(INPUT!M1874="","",INPUT!M1874-WEEKDAY(INPUT!M1874,2)+1)</f>
        <v>46055</v>
      </c>
      <c r="C1879" s="20">
        <f>IFERROR(_xlfn.ISOWEEKNUM(INPUT!M1874),"")</f>
        <v>6</v>
      </c>
      <c r="D1879" s="20">
        <f>IFERROR(YEAR(INPUT!M1874),"")</f>
        <v>2026</v>
      </c>
      <c r="E1879" t="str">
        <f>IF(INPUT!O1874="","",INPUT!O1874)</f>
        <v>DANI</v>
      </c>
      <c r="F1879" t="str">
        <f>IF(INPUT!N1874="","",INPUT!N1874)</f>
        <v>T</v>
      </c>
      <c r="G1879" t="str" cm="1">
        <f t="array" ref="G1879">IFERROR(VLOOKUP(INPUT!M1874&amp;INPUT!N1874,CHOOSE({1,2},INPUT!$A$3:$A$5000&amp;INPUT!$C$3:$C$5000,INPUT!$F$3:$F$5000),2,FALSE),"")</f>
        <v>PRE-TEMPORADA</v>
      </c>
      <c r="H1879" t="str" cm="1">
        <f t="array" ref="H1879">IFERROR(VLOOKUP(INPUT!M1874&amp;INPUT!N1874,CHOOSE({1,2},INPUT!$A$3:$A$5000&amp;INPUT!$C$3:$C$5000,INPUT!$D$3:$D$5000),2,FALSE),"")</f>
        <v>TEC-TAC</v>
      </c>
      <c r="I1879" s="46">
        <f>IF(INPUT!P1874="","",INPUT!P1874)</f>
        <v>91</v>
      </c>
      <c r="J1879" s="46">
        <f>IF(INPUT!Q1874="","",INPUT!Q1874)</f>
        <v>90.1</v>
      </c>
      <c r="K1879" s="46">
        <f>IFERROR(IF(OR(INPUT!P1874="",INPUT!Q1874=""),"",INPUT!P1874-INPUT!Q1874),"")</f>
        <v>0.90000000000000568</v>
      </c>
      <c r="L1879" s="48">
        <f>IFERROR(IF(OR(INPUT!P1874="",INPUT!Q1874="",INPUT!P1874=0),"",(INPUT!P1874-INPUT!Q1874)/INPUT!P1874),"")</f>
        <v>9.8901098901099521E-3</v>
      </c>
    </row>
    <row r="1880" spans="1:12" ht="18" hidden="1" customHeight="1" x14ac:dyDescent="0.2">
      <c r="A1880" s="11">
        <f>IF(INPUT!M1875="","",INPUT!M1875)</f>
        <v>46055</v>
      </c>
      <c r="B1880" s="11">
        <f>IF(INPUT!M1875="","",INPUT!M1875-WEEKDAY(INPUT!M1875,2)+1)</f>
        <v>46055</v>
      </c>
      <c r="C1880" s="20">
        <f>IFERROR(_xlfn.ISOWEEKNUM(INPUT!M1875),"")</f>
        <v>6</v>
      </c>
      <c r="D1880" s="20">
        <f>IFERROR(YEAR(INPUT!M1875),"")</f>
        <v>2026</v>
      </c>
      <c r="E1880" t="str">
        <f>IF(INPUT!O1875="","",INPUT!O1875)</f>
        <v>JAIME</v>
      </c>
      <c r="F1880" t="str">
        <f>IF(INPUT!N1875="","",INPUT!N1875)</f>
        <v>M</v>
      </c>
      <c r="G1880" t="str" cm="1">
        <f t="array" ref="G1880">IFERROR(VLOOKUP(INPUT!M1875&amp;INPUT!N1875,CHOOSE({1,2},INPUT!$A$3:$A$5000&amp;INPUT!$C$3:$C$5000,INPUT!$F$3:$F$5000),2,FALSE),"")</f>
        <v>PRE-TEMPORADA</v>
      </c>
      <c r="H1880" t="str" cm="1">
        <f t="array" ref="H1880">IFERROR(VLOOKUP(INPUT!M1875&amp;INPUT!N1875,CHOOSE({1,2},INPUT!$A$3:$A$5000&amp;INPUT!$C$3:$C$5000,INPUT!$D$3:$D$5000),2,FALSE),"")</f>
        <v>GYM+FISICO</v>
      </c>
      <c r="I1880" s="46">
        <f>IF(INPUT!P1875="","",INPUT!P1875)</f>
        <v>76.7</v>
      </c>
      <c r="J1880" s="46">
        <f>IF(INPUT!Q1875="","",INPUT!Q1875)</f>
        <v>76</v>
      </c>
      <c r="K1880" s="46">
        <f>IFERROR(IF(OR(INPUT!P1875="",INPUT!Q1875=""),"",INPUT!P1875-INPUT!Q1875),"")</f>
        <v>0.70000000000000284</v>
      </c>
      <c r="L1880" s="48">
        <f>IFERROR(IF(OR(INPUT!P1875="",INPUT!Q1875="",INPUT!P1875=0),"",(INPUT!P1875-INPUT!Q1875)/INPUT!P1875),"")</f>
        <v>9.1264667535854351E-3</v>
      </c>
    </row>
    <row r="1881" spans="1:12" ht="18" hidden="1" customHeight="1" x14ac:dyDescent="0.2">
      <c r="A1881" s="11">
        <f>IF(INPUT!M1876="","",INPUT!M1876)</f>
        <v>46055</v>
      </c>
      <c r="B1881" s="11">
        <f>IF(INPUT!M1876="","",INPUT!M1876-WEEKDAY(INPUT!M1876,2)+1)</f>
        <v>46055</v>
      </c>
      <c r="C1881" s="20">
        <f>IFERROR(_xlfn.ISOWEEKNUM(INPUT!M1876),"")</f>
        <v>6</v>
      </c>
      <c r="D1881" s="20">
        <f>IFERROR(YEAR(INPUT!M1876),"")</f>
        <v>2026</v>
      </c>
      <c r="E1881" t="str">
        <f>IF(INPUT!O1876="","",INPUT!O1876)</f>
        <v>JAIME</v>
      </c>
      <c r="F1881" t="str">
        <f>IF(INPUT!N1876="","",INPUT!N1876)</f>
        <v>T</v>
      </c>
      <c r="G1881" t="str" cm="1">
        <f t="array" ref="G1881">IFERROR(VLOOKUP(INPUT!M1876&amp;INPUT!N1876,CHOOSE({1,2},INPUT!$A$3:$A$5000&amp;INPUT!$C$3:$C$5000,INPUT!$F$3:$F$5000),2,FALSE),"")</f>
        <v>PRE-TEMPORADA</v>
      </c>
      <c r="H1881" t="str" cm="1">
        <f t="array" ref="H1881">IFERROR(VLOOKUP(INPUT!M1876&amp;INPUT!N1876,CHOOSE({1,2},INPUT!$A$3:$A$5000&amp;INPUT!$C$3:$C$5000,INPUT!$D$3:$D$5000),2,FALSE),"")</f>
        <v>TEC-TAC</v>
      </c>
      <c r="I1881" s="46">
        <f>IF(INPUT!P1876="","",INPUT!P1876)</f>
        <v>76</v>
      </c>
      <c r="J1881" s="46">
        <f>IF(INPUT!Q1876="","",INPUT!Q1876)</f>
        <v>76</v>
      </c>
      <c r="K1881" s="46">
        <f>IFERROR(IF(OR(INPUT!P1876="",INPUT!Q1876=""),"",INPUT!P1876-INPUT!Q1876),"")</f>
        <v>0</v>
      </c>
      <c r="L1881" s="48">
        <f>IFERROR(IF(OR(INPUT!P1876="",INPUT!Q1876="",INPUT!P1876=0),"",(INPUT!P1876-INPUT!Q1876)/INPUT!P1876),"")</f>
        <v>0</v>
      </c>
    </row>
    <row r="1882" spans="1:12" ht="18" hidden="1" customHeight="1" x14ac:dyDescent="0.2">
      <c r="A1882" s="11">
        <f>IF(INPUT!M1877="","",INPUT!M1877)</f>
        <v>46056</v>
      </c>
      <c r="B1882" s="11">
        <f>IF(INPUT!M1877="","",INPUT!M1877-WEEKDAY(INPUT!M1877,2)+1)</f>
        <v>46055</v>
      </c>
      <c r="C1882" s="20">
        <f>IFERROR(_xlfn.ISOWEEKNUM(INPUT!M1877),"")</f>
        <v>6</v>
      </c>
      <c r="D1882" s="20">
        <f>IFERROR(YEAR(INPUT!M1877),"")</f>
        <v>2026</v>
      </c>
      <c r="E1882" t="str">
        <f>IF(INPUT!O1877="","",INPUT!O1877)</f>
        <v>HERRERO</v>
      </c>
      <c r="F1882" t="str">
        <f>IF(INPUT!N1877="","",INPUT!N1877)</f>
        <v>T</v>
      </c>
      <c r="G1882" t="str" cm="1">
        <f t="array" ref="G1882">IFERROR(VLOOKUP(INPUT!M1877&amp;INPUT!N1877,CHOOSE({1,2},INPUT!$A$3:$A$5000&amp;INPUT!$C$3:$C$5000,INPUT!$F$3:$F$5000),2,FALSE),"")</f>
        <v>PRE-TEMPORADA</v>
      </c>
      <c r="H1882" t="str" cm="1">
        <f t="array" ref="H1882">IFERROR(VLOOKUP(INPUT!M1877&amp;INPUT!N1877,CHOOSE({1,2},INPUT!$A$3:$A$5000&amp;INPUT!$C$3:$C$5000,INPUT!$D$3:$D$5000),2,FALSE),"")</f>
        <v>TEC-TAC</v>
      </c>
      <c r="I1882" s="46">
        <f>IF(INPUT!P1877="","",INPUT!P1877)</f>
        <v>77</v>
      </c>
      <c r="J1882" s="46">
        <f>IF(INPUT!Q1877="","",INPUT!Q1877)</f>
        <v>76</v>
      </c>
      <c r="K1882" s="46">
        <f>IFERROR(IF(OR(INPUT!P1877="",INPUT!Q1877=""),"",INPUT!P1877-INPUT!Q1877),"")</f>
        <v>1</v>
      </c>
      <c r="L1882" s="48">
        <f>IFERROR(IF(OR(INPUT!P1877="",INPUT!Q1877="",INPUT!P1877=0),"",(INPUT!P1877-INPUT!Q1877)/INPUT!P1877),"")</f>
        <v>1.2987012987012988E-2</v>
      </c>
    </row>
    <row r="1883" spans="1:12" ht="18" hidden="1" customHeight="1" x14ac:dyDescent="0.2">
      <c r="A1883" s="11">
        <f>IF(INPUT!M1878="","",INPUT!M1878)</f>
        <v>46056</v>
      </c>
      <c r="B1883" s="11">
        <f>IF(INPUT!M1878="","",INPUT!M1878-WEEKDAY(INPUT!M1878,2)+1)</f>
        <v>46055</v>
      </c>
      <c r="C1883" s="20">
        <f>IFERROR(_xlfn.ISOWEEKNUM(INPUT!M1878),"")</f>
        <v>6</v>
      </c>
      <c r="D1883" s="20">
        <f>IFERROR(YEAR(INPUT!M1878),"")</f>
        <v>2026</v>
      </c>
      <c r="E1883" t="str">
        <f>IF(INPUT!O1878="","",INPUT!O1878)</f>
        <v>GARCIA</v>
      </c>
      <c r="F1883" t="str">
        <f>IF(INPUT!N1878="","",INPUT!N1878)</f>
        <v>T</v>
      </c>
      <c r="G1883" t="str" cm="1">
        <f t="array" ref="G1883">IFERROR(VLOOKUP(INPUT!M1878&amp;INPUT!N1878,CHOOSE({1,2},INPUT!$A$3:$A$5000&amp;INPUT!$C$3:$C$5000,INPUT!$F$3:$F$5000),2,FALSE),"")</f>
        <v>PRE-TEMPORADA</v>
      </c>
      <c r="H1883" t="str" cm="1">
        <f t="array" ref="H1883">IFERROR(VLOOKUP(INPUT!M1878&amp;INPUT!N1878,CHOOSE({1,2},INPUT!$A$3:$A$5000&amp;INPUT!$C$3:$C$5000,INPUT!$D$3:$D$5000),2,FALSE),"")</f>
        <v>TEC-TAC</v>
      </c>
      <c r="I1883" s="46">
        <f>IF(INPUT!P1878="","",INPUT!P1878)</f>
        <v>79.3</v>
      </c>
      <c r="J1883" s="46">
        <f>IF(INPUT!Q1878="","",INPUT!Q1878)</f>
        <v>79.3</v>
      </c>
      <c r="K1883" s="46">
        <f>IFERROR(IF(OR(INPUT!P1878="",INPUT!Q1878=""),"",INPUT!P1878-INPUT!Q1878),"")</f>
        <v>0</v>
      </c>
      <c r="L1883" s="48">
        <f>IFERROR(IF(OR(INPUT!P1878="",INPUT!Q1878="",INPUT!P1878=0),"",(INPUT!P1878-INPUT!Q1878)/INPUT!P1878),"")</f>
        <v>0</v>
      </c>
    </row>
    <row r="1884" spans="1:12" ht="18" hidden="1" customHeight="1" x14ac:dyDescent="0.2">
      <c r="A1884" s="11">
        <f>IF(INPUT!M1879="","",INPUT!M1879)</f>
        <v>46056</v>
      </c>
      <c r="B1884" s="11">
        <f>IF(INPUT!M1879="","",INPUT!M1879-WEEKDAY(INPUT!M1879,2)+1)</f>
        <v>46055</v>
      </c>
      <c r="C1884" s="20">
        <f>IFERROR(_xlfn.ISOWEEKNUM(INPUT!M1879),"")</f>
        <v>6</v>
      </c>
      <c r="D1884" s="20">
        <f>IFERROR(YEAR(INPUT!M1879),"")</f>
        <v>2026</v>
      </c>
      <c r="E1884" t="str">
        <f>IF(INPUT!O1879="","",INPUT!O1879)</f>
        <v>CHAGUINHA</v>
      </c>
      <c r="F1884" t="str">
        <f>IF(INPUT!N1879="","",INPUT!N1879)</f>
        <v>T</v>
      </c>
      <c r="G1884" t="str" cm="1">
        <f t="array" ref="G1884">IFERROR(VLOOKUP(INPUT!M1879&amp;INPUT!N1879,CHOOSE({1,2},INPUT!$A$3:$A$5000&amp;INPUT!$C$3:$C$5000,INPUT!$F$3:$F$5000),2,FALSE),"")</f>
        <v>PRE-TEMPORADA</v>
      </c>
      <c r="H1884" t="str" cm="1">
        <f t="array" ref="H1884">IFERROR(VLOOKUP(INPUT!M1879&amp;INPUT!N1879,CHOOSE({1,2},INPUT!$A$3:$A$5000&amp;INPUT!$C$3:$C$5000,INPUT!$D$3:$D$5000),2,FALSE),"")</f>
        <v>TEC-TAC</v>
      </c>
      <c r="I1884" s="46">
        <f>IF(INPUT!P1879="","",INPUT!P1879)</f>
        <v>69</v>
      </c>
      <c r="J1884" s="46">
        <f>IF(INPUT!Q1879="","",INPUT!Q1879)</f>
        <v>68.400000000000006</v>
      </c>
      <c r="K1884" s="46">
        <f>IFERROR(IF(OR(INPUT!P1879="",INPUT!Q1879=""),"",INPUT!P1879-INPUT!Q1879),"")</f>
        <v>0.59999999999999432</v>
      </c>
      <c r="L1884" s="48">
        <f>IFERROR(IF(OR(INPUT!P1879="",INPUT!Q1879="",INPUT!P1879=0),"",(INPUT!P1879-INPUT!Q1879)/INPUT!P1879),"")</f>
        <v>8.6956521739129603E-3</v>
      </c>
    </row>
    <row r="1885" spans="1:12" ht="18" hidden="1" customHeight="1" x14ac:dyDescent="0.2">
      <c r="A1885" s="11">
        <f>IF(INPUT!M1880="","",INPUT!M1880)</f>
        <v>46056</v>
      </c>
      <c r="B1885" s="11">
        <f>IF(INPUT!M1880="","",INPUT!M1880-WEEKDAY(INPUT!M1880,2)+1)</f>
        <v>46055</v>
      </c>
      <c r="C1885" s="20">
        <f>IFERROR(_xlfn.ISOWEEKNUM(INPUT!M1880),"")</f>
        <v>6</v>
      </c>
      <c r="D1885" s="20">
        <f>IFERROR(YEAR(INPUT!M1880),"")</f>
        <v>2026</v>
      </c>
      <c r="E1885" t="str">
        <f>IF(INPUT!O1880="","",INPUT!O1880)</f>
        <v>RAUL</v>
      </c>
      <c r="F1885" t="str">
        <f>IF(INPUT!N1880="","",INPUT!N1880)</f>
        <v>T</v>
      </c>
      <c r="G1885" t="str" cm="1">
        <f t="array" ref="G1885">IFERROR(VLOOKUP(INPUT!M1880&amp;INPUT!N1880,CHOOSE({1,2},INPUT!$A$3:$A$5000&amp;INPUT!$C$3:$C$5000,INPUT!$F$3:$F$5000),2,FALSE),"")</f>
        <v>PRE-TEMPORADA</v>
      </c>
      <c r="H1885" t="str" cm="1">
        <f t="array" ref="H1885">IFERROR(VLOOKUP(INPUT!M1880&amp;INPUT!N1880,CHOOSE({1,2},INPUT!$A$3:$A$5000&amp;INPUT!$C$3:$C$5000,INPUT!$D$3:$D$5000),2,FALSE),"")</f>
        <v>TEC-TAC</v>
      </c>
      <c r="I1885" s="46">
        <f>IF(INPUT!P1880="","",INPUT!P1880)</f>
        <v>81.3</v>
      </c>
      <c r="J1885" s="46">
        <f>IF(INPUT!Q1880="","",INPUT!Q1880)</f>
        <v>81.3</v>
      </c>
      <c r="K1885" s="46">
        <f>IFERROR(IF(OR(INPUT!P1880="",INPUT!Q1880=""),"",INPUT!P1880-INPUT!Q1880),"")</f>
        <v>0</v>
      </c>
      <c r="L1885" s="48">
        <f>IFERROR(IF(OR(INPUT!P1880="",INPUT!Q1880="",INPUT!P1880=0),"",(INPUT!P1880-INPUT!Q1880)/INPUT!P1880),"")</f>
        <v>0</v>
      </c>
    </row>
    <row r="1886" spans="1:12" ht="18" hidden="1" customHeight="1" x14ac:dyDescent="0.2">
      <c r="A1886" s="11">
        <f>IF(INPUT!M1881="","",INPUT!M1881)</f>
        <v>46056</v>
      </c>
      <c r="B1886" s="11">
        <f>IF(INPUT!M1881="","",INPUT!M1881-WEEKDAY(INPUT!M1881,2)+1)</f>
        <v>46055</v>
      </c>
      <c r="C1886" s="20">
        <f>IFERROR(_xlfn.ISOWEEKNUM(INPUT!M1881),"")</f>
        <v>6</v>
      </c>
      <c r="D1886" s="20">
        <f>IFERROR(YEAR(INPUT!M1881),"")</f>
        <v>2026</v>
      </c>
      <c r="E1886" t="str">
        <f>IF(INPUT!O1881="","",INPUT!O1881)</f>
        <v>JAVI</v>
      </c>
      <c r="F1886" t="str">
        <f>IF(INPUT!N1881="","",INPUT!N1881)</f>
        <v>T</v>
      </c>
      <c r="G1886" t="str" cm="1">
        <f t="array" ref="G1886">IFERROR(VLOOKUP(INPUT!M1881&amp;INPUT!N1881,CHOOSE({1,2},INPUT!$A$3:$A$5000&amp;INPUT!$C$3:$C$5000,INPUT!$F$3:$F$5000),2,FALSE),"")</f>
        <v>PRE-TEMPORADA</v>
      </c>
      <c r="H1886" t="str" cm="1">
        <f t="array" ref="H1886">IFERROR(VLOOKUP(INPUT!M1881&amp;INPUT!N1881,CHOOSE({1,2},INPUT!$A$3:$A$5000&amp;INPUT!$C$3:$C$5000,INPUT!$D$3:$D$5000),2,FALSE),"")</f>
        <v>TEC-TAC</v>
      </c>
      <c r="I1886" s="46">
        <f>IF(INPUT!P1881="","",INPUT!P1881)</f>
        <v>78.599999999999994</v>
      </c>
      <c r="J1886" s="46">
        <f>IF(INPUT!Q1881="","",INPUT!Q1881)</f>
        <v>78.5</v>
      </c>
      <c r="K1886" s="46">
        <f>IFERROR(IF(OR(INPUT!P1881="",INPUT!Q1881=""),"",INPUT!P1881-INPUT!Q1881),"")</f>
        <v>9.9999999999994316E-2</v>
      </c>
      <c r="L1886" s="48">
        <f>IFERROR(IF(OR(INPUT!P1881="",INPUT!Q1881="",INPUT!P1881=0),"",(INPUT!P1881-INPUT!Q1881)/INPUT!P1881),"")</f>
        <v>1.2722646310431847E-3</v>
      </c>
    </row>
    <row r="1887" spans="1:12" ht="18" hidden="1" customHeight="1" x14ac:dyDescent="0.2">
      <c r="A1887" s="11">
        <f>IF(INPUT!M1882="","",INPUT!M1882)</f>
        <v>46056</v>
      </c>
      <c r="B1887" s="11">
        <f>IF(INPUT!M1882="","",INPUT!M1882-WEEKDAY(INPUT!M1882,2)+1)</f>
        <v>46055</v>
      </c>
      <c r="C1887" s="20">
        <f>IFERROR(_xlfn.ISOWEEKNUM(INPUT!M1882),"")</f>
        <v>6</v>
      </c>
      <c r="D1887" s="20">
        <f>IFERROR(YEAR(INPUT!M1882),"")</f>
        <v>2026</v>
      </c>
      <c r="E1887" t="str">
        <f>IF(INPUT!O1882="","",INPUT!O1882)</f>
        <v>PANI</v>
      </c>
      <c r="F1887" t="str">
        <f>IF(INPUT!N1882="","",INPUT!N1882)</f>
        <v>T</v>
      </c>
      <c r="G1887" t="str" cm="1">
        <f t="array" ref="G1887">IFERROR(VLOOKUP(INPUT!M1882&amp;INPUT!N1882,CHOOSE({1,2},INPUT!$A$3:$A$5000&amp;INPUT!$C$3:$C$5000,INPUT!$F$3:$F$5000),2,FALSE),"")</f>
        <v>PRE-TEMPORADA</v>
      </c>
      <c r="H1887" t="str" cm="1">
        <f t="array" ref="H1887">IFERROR(VLOOKUP(INPUT!M1882&amp;INPUT!N1882,CHOOSE({1,2},INPUT!$A$3:$A$5000&amp;INPUT!$C$3:$C$5000,INPUT!$D$3:$D$5000),2,FALSE),"")</f>
        <v>TEC-TAC</v>
      </c>
      <c r="I1887" s="46">
        <f>IF(INPUT!P1882="","",INPUT!P1882)</f>
        <v>66.8</v>
      </c>
      <c r="J1887" s="46">
        <f>IF(INPUT!Q1882="","",INPUT!Q1882)</f>
        <v>65.900000000000006</v>
      </c>
      <c r="K1887" s="46">
        <f>IFERROR(IF(OR(INPUT!P1882="",INPUT!Q1882=""),"",INPUT!P1882-INPUT!Q1882),"")</f>
        <v>0.89999999999999147</v>
      </c>
      <c r="L1887" s="48">
        <f>IFERROR(IF(OR(INPUT!P1882="",INPUT!Q1882="",INPUT!P1882=0),"",(INPUT!P1882-INPUT!Q1882)/INPUT!P1882),"")</f>
        <v>1.3473053892215443E-2</v>
      </c>
    </row>
    <row r="1888" spans="1:12" ht="18" hidden="1" customHeight="1" x14ac:dyDescent="0.2">
      <c r="A1888" s="11">
        <f>IF(INPUT!M1883="","",INPUT!M1883)</f>
        <v>46056</v>
      </c>
      <c r="B1888" s="11">
        <f>IF(INPUT!M1883="","",INPUT!M1883-WEEKDAY(INPUT!M1883,2)+1)</f>
        <v>46055</v>
      </c>
      <c r="C1888" s="20">
        <f>IFERROR(_xlfn.ISOWEEKNUM(INPUT!M1883),"")</f>
        <v>6</v>
      </c>
      <c r="D1888" s="20">
        <f>IFERROR(YEAR(INPUT!M1883),"")</f>
        <v>2026</v>
      </c>
      <c r="E1888" t="str">
        <f>IF(INPUT!O1883="","",INPUT!O1883)</f>
        <v>PIRATA</v>
      </c>
      <c r="F1888" t="str">
        <f>IF(INPUT!N1883="","",INPUT!N1883)</f>
        <v>T</v>
      </c>
      <c r="G1888" t="str" cm="1">
        <f t="array" ref="G1888">IFERROR(VLOOKUP(INPUT!M1883&amp;INPUT!N1883,CHOOSE({1,2},INPUT!$A$3:$A$5000&amp;INPUT!$C$3:$C$5000,INPUT!$F$3:$F$5000),2,FALSE),"")</f>
        <v>PRE-TEMPORADA</v>
      </c>
      <c r="H1888" t="str" cm="1">
        <f t="array" ref="H1888">IFERROR(VLOOKUP(INPUT!M1883&amp;INPUT!N1883,CHOOSE({1,2},INPUT!$A$3:$A$5000&amp;INPUT!$C$3:$C$5000,INPUT!$D$3:$D$5000),2,FALSE),"")</f>
        <v>TEC-TAC</v>
      </c>
      <c r="I1888" s="46">
        <f>IF(INPUT!P1883="","",INPUT!P1883)</f>
        <v>74.7</v>
      </c>
      <c r="J1888" s="46">
        <f>IF(INPUT!Q1883="","",INPUT!Q1883)</f>
        <v>75</v>
      </c>
      <c r="K1888" s="46">
        <f>IFERROR(IF(OR(INPUT!P1883="",INPUT!Q1883=""),"",INPUT!P1883-INPUT!Q1883),"")</f>
        <v>-0.29999999999999716</v>
      </c>
      <c r="L1888" s="48">
        <f>IFERROR(IF(OR(INPUT!P1883="",INPUT!Q1883="",INPUT!P1883=0),"",(INPUT!P1883-INPUT!Q1883)/INPUT!P1883),"")</f>
        <v>-4.0160642570280739E-3</v>
      </c>
    </row>
    <row r="1889" spans="1:12" ht="18" hidden="1" customHeight="1" x14ac:dyDescent="0.2">
      <c r="A1889" s="11">
        <f>IF(INPUT!M1884="","",INPUT!M1884)</f>
        <v>46056</v>
      </c>
      <c r="B1889" s="11">
        <f>IF(INPUT!M1884="","",INPUT!M1884-WEEKDAY(INPUT!M1884,2)+1)</f>
        <v>46055</v>
      </c>
      <c r="C1889" s="20">
        <f>IFERROR(_xlfn.ISOWEEKNUM(INPUT!M1884),"")</f>
        <v>6</v>
      </c>
      <c r="D1889" s="20">
        <f>IFERROR(YEAR(INPUT!M1884),"")</f>
        <v>2026</v>
      </c>
      <c r="E1889" t="str">
        <f>IF(INPUT!O1884="","",INPUT!O1884)</f>
        <v>BARONA</v>
      </c>
      <c r="F1889" t="str">
        <f>IF(INPUT!N1884="","",INPUT!N1884)</f>
        <v>T</v>
      </c>
      <c r="G1889" t="str" cm="1">
        <f t="array" ref="G1889">IFERROR(VLOOKUP(INPUT!M1884&amp;INPUT!N1884,CHOOSE({1,2},INPUT!$A$3:$A$5000&amp;INPUT!$C$3:$C$5000,INPUT!$F$3:$F$5000),2,FALSE),"")</f>
        <v>PRE-TEMPORADA</v>
      </c>
      <c r="H1889" t="str" cm="1">
        <f t="array" ref="H1889">IFERROR(VLOOKUP(INPUT!M1884&amp;INPUT!N1884,CHOOSE({1,2},INPUT!$A$3:$A$5000&amp;INPUT!$C$3:$C$5000,INPUT!$D$3:$D$5000),2,FALSE),"")</f>
        <v>TEC-TAC</v>
      </c>
      <c r="I1889" s="46">
        <f>IF(INPUT!P1884="","",INPUT!P1884)</f>
        <v>71.5</v>
      </c>
      <c r="J1889" s="46">
        <f>IF(INPUT!Q1884="","",INPUT!Q1884)</f>
        <v>71.400000000000006</v>
      </c>
      <c r="K1889" s="46">
        <f>IFERROR(IF(OR(INPUT!P1884="",INPUT!Q1884=""),"",INPUT!P1884-INPUT!Q1884),"")</f>
        <v>9.9999999999994316E-2</v>
      </c>
      <c r="L1889" s="48">
        <f>IFERROR(IF(OR(INPUT!P1884="",INPUT!Q1884="",INPUT!P1884=0),"",(INPUT!P1884-INPUT!Q1884)/INPUT!P1884),"")</f>
        <v>1.398601398601319E-3</v>
      </c>
    </row>
    <row r="1890" spans="1:12" ht="18" hidden="1" customHeight="1" x14ac:dyDescent="0.2">
      <c r="A1890" s="11">
        <f>IF(INPUT!M1885="","",INPUT!M1885)</f>
        <v>46056</v>
      </c>
      <c r="B1890" s="11">
        <f>IF(INPUT!M1885="","",INPUT!M1885-WEEKDAY(INPUT!M1885,2)+1)</f>
        <v>46055</v>
      </c>
      <c r="C1890" s="20">
        <f>IFERROR(_xlfn.ISOWEEKNUM(INPUT!M1885),"")</f>
        <v>6</v>
      </c>
      <c r="D1890" s="20">
        <f>IFERROR(YEAR(INPUT!M1885),"")</f>
        <v>2026</v>
      </c>
      <c r="E1890" t="str">
        <f>IF(INPUT!O1885="","",INPUT!O1885)</f>
        <v>CARLOS</v>
      </c>
      <c r="F1890" t="str">
        <f>IF(INPUT!N1885="","",INPUT!N1885)</f>
        <v>T</v>
      </c>
      <c r="G1890" t="str" cm="1">
        <f t="array" ref="G1890">IFERROR(VLOOKUP(INPUT!M1885&amp;INPUT!N1885,CHOOSE({1,2},INPUT!$A$3:$A$5000&amp;INPUT!$C$3:$C$5000,INPUT!$F$3:$F$5000),2,FALSE),"")</f>
        <v>PRE-TEMPORADA</v>
      </c>
      <c r="H1890" t="str" cm="1">
        <f t="array" ref="H1890">IFERROR(VLOOKUP(INPUT!M1885&amp;INPUT!N1885,CHOOSE({1,2},INPUT!$A$3:$A$5000&amp;INPUT!$C$3:$C$5000,INPUT!$D$3:$D$5000),2,FALSE),"")</f>
        <v>TEC-TAC</v>
      </c>
      <c r="I1890" s="46">
        <f>IF(INPUT!P1885="","",INPUT!P1885)</f>
        <v>68.3</v>
      </c>
      <c r="J1890" s="46">
        <f>IF(INPUT!Q1885="","",INPUT!Q1885)</f>
        <v>67.7</v>
      </c>
      <c r="K1890" s="46">
        <f>IFERROR(IF(OR(INPUT!P1885="",INPUT!Q1885=""),"",INPUT!P1885-INPUT!Q1885),"")</f>
        <v>0.59999999999999432</v>
      </c>
      <c r="L1890" s="48">
        <f>IFERROR(IF(OR(INPUT!P1885="",INPUT!Q1885="",INPUT!P1885=0),"",(INPUT!P1885-INPUT!Q1885)/INPUT!P1885),"")</f>
        <v>8.7847730600291996E-3</v>
      </c>
    </row>
    <row r="1891" spans="1:12" ht="18" hidden="1" customHeight="1" x14ac:dyDescent="0.2">
      <c r="A1891" s="11">
        <f>IF(INPUT!M1886="","",INPUT!M1886)</f>
        <v>46056</v>
      </c>
      <c r="B1891" s="11">
        <f>IF(INPUT!M1886="","",INPUT!M1886-WEEKDAY(INPUT!M1886,2)+1)</f>
        <v>46055</v>
      </c>
      <c r="C1891" s="20">
        <f>IFERROR(_xlfn.ISOWEEKNUM(INPUT!M1886),"")</f>
        <v>6</v>
      </c>
      <c r="D1891" s="20">
        <f>IFERROR(YEAR(INPUT!M1886),"")</f>
        <v>2026</v>
      </c>
      <c r="E1891" t="str">
        <f>IF(INPUT!O1886="","",INPUT!O1886)</f>
        <v>GONZALO</v>
      </c>
      <c r="F1891" t="str">
        <f>IF(INPUT!N1886="","",INPUT!N1886)</f>
        <v>T</v>
      </c>
      <c r="G1891" t="str" cm="1">
        <f t="array" ref="G1891">IFERROR(VLOOKUP(INPUT!M1886&amp;INPUT!N1886,CHOOSE({1,2},INPUT!$A$3:$A$5000&amp;INPUT!$C$3:$C$5000,INPUT!$F$3:$F$5000),2,FALSE),"")</f>
        <v>PRE-TEMPORADA</v>
      </c>
      <c r="H1891" t="str" cm="1">
        <f t="array" ref="H1891">IFERROR(VLOOKUP(INPUT!M1886&amp;INPUT!N1886,CHOOSE({1,2},INPUT!$A$3:$A$5000&amp;INPUT!$C$3:$C$5000,INPUT!$D$3:$D$5000),2,FALSE),"")</f>
        <v>TEC-TAC</v>
      </c>
      <c r="I1891" s="46">
        <f>IF(INPUT!P1886="","",INPUT!P1886)</f>
        <v>83.1</v>
      </c>
      <c r="J1891" s="46">
        <f>IF(INPUT!Q1886="","",INPUT!Q1886)</f>
        <v>83.2</v>
      </c>
      <c r="K1891" s="46">
        <f>IFERROR(IF(OR(INPUT!P1886="",INPUT!Q1886=""),"",INPUT!P1886-INPUT!Q1886),"")</f>
        <v>-0.10000000000000853</v>
      </c>
      <c r="L1891" s="48">
        <f>IFERROR(IF(OR(INPUT!P1886="",INPUT!Q1886="",INPUT!P1886=0),"",(INPUT!P1886-INPUT!Q1886)/INPUT!P1886),"")</f>
        <v>-1.2033694344164684E-3</v>
      </c>
    </row>
    <row r="1892" spans="1:12" ht="18" customHeight="1" x14ac:dyDescent="0.2">
      <c r="A1892" s="11">
        <f>IF(INPUT!M1887="","",INPUT!M1887)</f>
        <v>46056</v>
      </c>
      <c r="B1892" s="11">
        <f>IF(INPUT!M1887="","",INPUT!M1887-WEEKDAY(INPUT!M1887,2)+1)</f>
        <v>46055</v>
      </c>
      <c r="C1892" s="20">
        <f>IFERROR(_xlfn.ISOWEEKNUM(INPUT!M1887),"")</f>
        <v>6</v>
      </c>
      <c r="D1892" s="20">
        <f>IFERROR(YEAR(INPUT!M1887),"")</f>
        <v>2026</v>
      </c>
      <c r="E1892" t="str">
        <f>IF(INPUT!O1887="","",INPUT!O1887)</f>
        <v>RUBIO</v>
      </c>
      <c r="F1892" t="str">
        <f>IF(INPUT!N1887="","",INPUT!N1887)</f>
        <v>T</v>
      </c>
      <c r="G1892" t="str" cm="1">
        <f t="array" ref="G1892">IFERROR(VLOOKUP(INPUT!M1887&amp;INPUT!N1887,CHOOSE({1,2},INPUT!$A$3:$A$5000&amp;INPUT!$C$3:$C$5000,INPUT!$F$3:$F$5000),2,FALSE),"")</f>
        <v>PRE-TEMPORADA</v>
      </c>
      <c r="H1892" t="str" cm="1">
        <f t="array" ref="H1892">IFERROR(VLOOKUP(INPUT!M1887&amp;INPUT!N1887,CHOOSE({1,2},INPUT!$A$3:$A$5000&amp;INPUT!$C$3:$C$5000,INPUT!$D$3:$D$5000),2,FALSE),"")</f>
        <v>TEC-TAC</v>
      </c>
      <c r="I1892" s="46">
        <f>IF(INPUT!P1887="","",INPUT!P1887)</f>
        <v>75.2</v>
      </c>
      <c r="J1892" s="46">
        <f>IF(INPUT!Q1887="","",INPUT!Q1887)</f>
        <v>75.3</v>
      </c>
      <c r="K1892" s="46">
        <f>IFERROR(IF(OR(INPUT!P1887="",INPUT!Q1887=""),"",INPUT!P1887-INPUT!Q1887),"")</f>
        <v>-9.9999999999994316E-2</v>
      </c>
      <c r="L1892" s="48">
        <f>IFERROR(IF(OR(INPUT!P1887="",INPUT!Q1887="",INPUT!P1887=0),"",(INPUT!P1887-INPUT!Q1887)/INPUT!P1887),"")</f>
        <v>-1.3297872340424775E-3</v>
      </c>
    </row>
    <row r="1893" spans="1:12" ht="18" customHeight="1" x14ac:dyDescent="0.2">
      <c r="A1893" s="11">
        <f>IF(INPUT!M1888="","",INPUT!M1888)</f>
        <v>46056</v>
      </c>
      <c r="B1893" s="11">
        <f>IF(INPUT!M1888="","",INPUT!M1888-WEEKDAY(INPUT!M1888,2)+1)</f>
        <v>46055</v>
      </c>
      <c r="C1893" s="20">
        <f>IFERROR(_xlfn.ISOWEEKNUM(INPUT!M1888),"")</f>
        <v>6</v>
      </c>
      <c r="D1893" s="20">
        <f>IFERROR(YEAR(INPUT!M1888),"")</f>
        <v>2026</v>
      </c>
      <c r="E1893" t="str">
        <f>IF(INPUT!O1888="","",INPUT!O1888)</f>
        <v>DANI</v>
      </c>
      <c r="F1893" t="str">
        <f>IF(INPUT!N1888="","",INPUT!N1888)</f>
        <v>T</v>
      </c>
      <c r="G1893" t="str" cm="1">
        <f t="array" ref="G1893">IFERROR(VLOOKUP(INPUT!M1888&amp;INPUT!N1888,CHOOSE({1,2},INPUT!$A$3:$A$5000&amp;INPUT!$C$3:$C$5000,INPUT!$F$3:$F$5000),2,FALSE),"")</f>
        <v>PRE-TEMPORADA</v>
      </c>
      <c r="H1893" t="str" cm="1">
        <f t="array" ref="H1893">IFERROR(VLOOKUP(INPUT!M1888&amp;INPUT!N1888,CHOOSE({1,2},INPUT!$A$3:$A$5000&amp;INPUT!$C$3:$C$5000,INPUT!$D$3:$D$5000),2,FALSE),"")</f>
        <v>TEC-TAC</v>
      </c>
      <c r="I1893" s="46">
        <f>IF(INPUT!P1888="","",INPUT!P1888)</f>
        <v>91.8</v>
      </c>
      <c r="J1893" s="46">
        <f>IF(INPUT!Q1888="","",INPUT!Q1888)</f>
        <v>90.7</v>
      </c>
      <c r="K1893" s="46">
        <f>IFERROR(IF(OR(INPUT!P1888="",INPUT!Q1888=""),"",INPUT!P1888-INPUT!Q1888),"")</f>
        <v>1.0999999999999943</v>
      </c>
      <c r="L1893" s="48">
        <f>IFERROR(IF(OR(INPUT!P1888="",INPUT!Q1888="",INPUT!P1888=0),"",(INPUT!P1888-INPUT!Q1888)/INPUT!P1888),"")</f>
        <v>1.1982570806100157E-2</v>
      </c>
    </row>
    <row r="1894" spans="1:12" ht="18" customHeight="1" x14ac:dyDescent="0.2">
      <c r="A1894" s="11">
        <f>IF(INPUT!M1889="","",INPUT!M1889)</f>
        <v>46056</v>
      </c>
      <c r="B1894" s="11">
        <f>IF(INPUT!M1889="","",INPUT!M1889-WEEKDAY(INPUT!M1889,2)+1)</f>
        <v>46055</v>
      </c>
      <c r="C1894" s="20">
        <f>IFERROR(_xlfn.ISOWEEKNUM(INPUT!M1889),"")</f>
        <v>6</v>
      </c>
      <c r="D1894" s="20">
        <f>IFERROR(YEAR(INPUT!M1889),"")</f>
        <v>2026</v>
      </c>
      <c r="E1894" t="str">
        <f>IF(INPUT!O1889="","",INPUT!O1889)</f>
        <v>JAIME</v>
      </c>
      <c r="F1894" t="str">
        <f>IF(INPUT!N1889="","",INPUT!N1889)</f>
        <v>T</v>
      </c>
      <c r="G1894" t="str" cm="1">
        <f t="array" ref="G1894">IFERROR(VLOOKUP(INPUT!M1889&amp;INPUT!N1889,CHOOSE({1,2},INPUT!$A$3:$A$5000&amp;INPUT!$C$3:$C$5000,INPUT!$F$3:$F$5000),2,FALSE),"")</f>
        <v>PRE-TEMPORADA</v>
      </c>
      <c r="H1894" t="str" cm="1">
        <f t="array" ref="H1894">IFERROR(VLOOKUP(INPUT!M1889&amp;INPUT!N1889,CHOOSE({1,2},INPUT!$A$3:$A$5000&amp;INPUT!$C$3:$C$5000,INPUT!$D$3:$D$5000),2,FALSE),"")</f>
        <v>TEC-TAC</v>
      </c>
      <c r="I1894" s="46">
        <f>IF(INPUT!P1889="","",INPUT!P1889)</f>
        <v>76.3</v>
      </c>
      <c r="J1894" s="46">
        <f>IF(INPUT!Q1889="","",INPUT!Q1889)</f>
        <v>76.099999999999994</v>
      </c>
      <c r="K1894" s="46">
        <f>IFERROR(IF(OR(INPUT!P1889="",INPUT!Q1889=""),"",INPUT!P1889-INPUT!Q1889),"")</f>
        <v>0.20000000000000284</v>
      </c>
      <c r="L1894" s="48">
        <f>IFERROR(IF(OR(INPUT!P1889="",INPUT!Q1889="",INPUT!P1889=0),"",(INPUT!P1889-INPUT!Q1889)/INPUT!P1889),"")</f>
        <v>2.6212319790301815E-3</v>
      </c>
    </row>
    <row r="1895" spans="1:12" ht="18" customHeight="1" x14ac:dyDescent="0.2">
      <c r="A1895" s="11">
        <f>IF(INPUT!M1890="","",INPUT!M1890)</f>
        <v>46057</v>
      </c>
      <c r="B1895" s="11">
        <f>IF(INPUT!M1890="","",INPUT!M1890-WEEKDAY(INPUT!M1890,2)+1)</f>
        <v>46055</v>
      </c>
      <c r="C1895" s="20">
        <f>IFERROR(_xlfn.ISOWEEKNUM(INPUT!M1890),"")</f>
        <v>6</v>
      </c>
      <c r="D1895" s="20">
        <f>IFERROR(YEAR(INPUT!M1890),"")</f>
        <v>2026</v>
      </c>
      <c r="E1895" t="str">
        <f>IF(INPUT!O1890="","",INPUT!O1890)</f>
        <v>HERRERO</v>
      </c>
      <c r="F1895" t="str">
        <f>IF(INPUT!N1890="","",INPUT!N1890)</f>
        <v>M</v>
      </c>
      <c r="G1895" t="str" cm="1">
        <f t="array" ref="G1895">IFERROR(VLOOKUP(INPUT!M1890&amp;INPUT!N1890,CHOOSE({1,2},INPUT!$A$3:$A$5000&amp;INPUT!$C$3:$C$5000,INPUT!$F$3:$F$5000),2,FALSE),"")</f>
        <v>PRE-TEMPORADA</v>
      </c>
      <c r="H1895" t="str" cm="1">
        <f t="array" ref="H1895">IFERROR(VLOOKUP(INPUT!M1890&amp;INPUT!N1890,CHOOSE({1,2},INPUT!$A$3:$A$5000&amp;INPUT!$C$3:$C$5000,INPUT!$D$3:$D$5000),2,FALSE),"")</f>
        <v>GYM+TEC-TAC</v>
      </c>
      <c r="I1895" s="46">
        <f>IF(INPUT!P1890="","",INPUT!P1890)</f>
        <v>77</v>
      </c>
      <c r="J1895" s="46">
        <f>IF(INPUT!Q1890="","",INPUT!Q1890)</f>
        <v>76.8</v>
      </c>
      <c r="K1895" s="46">
        <f>IFERROR(IF(OR(INPUT!P1890="",INPUT!Q1890=""),"",INPUT!P1890-INPUT!Q1890),"")</f>
        <v>0.20000000000000284</v>
      </c>
      <c r="L1895" s="48">
        <f>IFERROR(IF(OR(INPUT!P1890="",INPUT!Q1890="",INPUT!P1890=0),"",(INPUT!P1890-INPUT!Q1890)/INPUT!P1890),"")</f>
        <v>2.5974025974026343E-3</v>
      </c>
    </row>
    <row r="1896" spans="1:12" ht="18" customHeight="1" x14ac:dyDescent="0.2">
      <c r="A1896" s="11">
        <f>IF(INPUT!M1891="","",INPUT!M1891)</f>
        <v>46057</v>
      </c>
      <c r="B1896" s="11">
        <f>IF(INPUT!M1891="","",INPUT!M1891-WEEKDAY(INPUT!M1891,2)+1)</f>
        <v>46055</v>
      </c>
      <c r="C1896" s="20">
        <f>IFERROR(_xlfn.ISOWEEKNUM(INPUT!M1891),"")</f>
        <v>6</v>
      </c>
      <c r="D1896" s="20">
        <f>IFERROR(YEAR(INPUT!M1891),"")</f>
        <v>2026</v>
      </c>
      <c r="E1896" t="str">
        <f>IF(INPUT!O1891="","",INPUT!O1891)</f>
        <v>GARCIA</v>
      </c>
      <c r="F1896" t="str">
        <f>IF(INPUT!N1891="","",INPUT!N1891)</f>
        <v>M</v>
      </c>
      <c r="G1896" t="str" cm="1">
        <f t="array" ref="G1896">IFERROR(VLOOKUP(INPUT!M1891&amp;INPUT!N1891,CHOOSE({1,2},INPUT!$A$3:$A$5000&amp;INPUT!$C$3:$C$5000,INPUT!$F$3:$F$5000),2,FALSE),"")</f>
        <v>PRE-TEMPORADA</v>
      </c>
      <c r="H1896" t="str" cm="1">
        <f t="array" ref="H1896">IFERROR(VLOOKUP(INPUT!M1891&amp;INPUT!N1891,CHOOSE({1,2},INPUT!$A$3:$A$5000&amp;INPUT!$C$3:$C$5000,INPUT!$D$3:$D$5000),2,FALSE),"")</f>
        <v>GYM+TEC-TAC</v>
      </c>
      <c r="I1896" s="46">
        <f>IF(INPUT!P1891="","",INPUT!P1891)</f>
        <v>79.400000000000006</v>
      </c>
      <c r="J1896" s="46">
        <f>IF(INPUT!Q1891="","",INPUT!Q1891)</f>
        <v>79.2</v>
      </c>
      <c r="K1896" s="46">
        <f>IFERROR(IF(OR(INPUT!P1891="",INPUT!Q1891=""),"",INPUT!P1891-INPUT!Q1891),"")</f>
        <v>0.20000000000000284</v>
      </c>
      <c r="L1896" s="48">
        <f>IFERROR(IF(OR(INPUT!P1891="",INPUT!Q1891="",INPUT!P1891=0),"",(INPUT!P1891-INPUT!Q1891)/INPUT!P1891),"")</f>
        <v>2.5188916876574662E-3</v>
      </c>
    </row>
    <row r="1897" spans="1:12" ht="18" customHeight="1" x14ac:dyDescent="0.2">
      <c r="A1897" s="11">
        <f>IF(INPUT!M1892="","",INPUT!M1892)</f>
        <v>46057</v>
      </c>
      <c r="B1897" s="11">
        <f>IF(INPUT!M1892="","",INPUT!M1892-WEEKDAY(INPUT!M1892,2)+1)</f>
        <v>46055</v>
      </c>
      <c r="C1897" s="20">
        <f>IFERROR(_xlfn.ISOWEEKNUM(INPUT!M1892),"")</f>
        <v>6</v>
      </c>
      <c r="D1897" s="20">
        <f>IFERROR(YEAR(INPUT!M1892),"")</f>
        <v>2026</v>
      </c>
      <c r="E1897" t="str">
        <f>IF(INPUT!O1892="","",INPUT!O1892)</f>
        <v>CHAGUINHA</v>
      </c>
      <c r="F1897" t="str">
        <f>IF(INPUT!N1892="","",INPUT!N1892)</f>
        <v>M</v>
      </c>
      <c r="G1897" t="str" cm="1">
        <f t="array" ref="G1897">IFERROR(VLOOKUP(INPUT!M1892&amp;INPUT!N1892,CHOOSE({1,2},INPUT!$A$3:$A$5000&amp;INPUT!$C$3:$C$5000,INPUT!$F$3:$F$5000),2,FALSE),"")</f>
        <v>PRE-TEMPORADA</v>
      </c>
      <c r="H1897" t="str" cm="1">
        <f t="array" ref="H1897">IFERROR(VLOOKUP(INPUT!M1892&amp;INPUT!N1892,CHOOSE({1,2},INPUT!$A$3:$A$5000&amp;INPUT!$C$3:$C$5000,INPUT!$D$3:$D$5000),2,FALSE),"")</f>
        <v>GYM+TEC-TAC</v>
      </c>
      <c r="I1897" s="46">
        <f>IF(INPUT!P1892="","",INPUT!P1892)</f>
        <v>68.400000000000006</v>
      </c>
      <c r="J1897" s="46">
        <f>IF(INPUT!Q1892="","",INPUT!Q1892)</f>
        <v>68.5</v>
      </c>
      <c r="K1897" s="46">
        <f>IFERROR(IF(OR(INPUT!P1892="",INPUT!Q1892=""),"",INPUT!P1892-INPUT!Q1892),"")</f>
        <v>-9.9999999999994316E-2</v>
      </c>
      <c r="L1897" s="48">
        <f>IFERROR(IF(OR(INPUT!P1892="",INPUT!Q1892="",INPUT!P1892=0),"",(INPUT!P1892-INPUT!Q1892)/INPUT!P1892),"")</f>
        <v>-1.4619883040934841E-3</v>
      </c>
    </row>
    <row r="1898" spans="1:12" ht="18" hidden="1" customHeight="1" x14ac:dyDescent="0.2">
      <c r="A1898" s="11">
        <f>IF(INPUT!M1893="","",INPUT!M1893)</f>
        <v>46057</v>
      </c>
      <c r="B1898" s="11">
        <f>IF(INPUT!M1893="","",INPUT!M1893-WEEKDAY(INPUT!M1893,2)+1)</f>
        <v>46055</v>
      </c>
      <c r="C1898" s="20">
        <f>IFERROR(_xlfn.ISOWEEKNUM(INPUT!M1893),"")</f>
        <v>6</v>
      </c>
      <c r="D1898" s="20">
        <f>IFERROR(YEAR(INPUT!M1893),"")</f>
        <v>2026</v>
      </c>
      <c r="E1898" t="str">
        <f>IF(INPUT!O1893="","",INPUT!O1893)</f>
        <v>RAUL</v>
      </c>
      <c r="F1898" t="str">
        <f>IF(INPUT!N1893="","",INPUT!N1893)</f>
        <v>M</v>
      </c>
      <c r="G1898" t="str" cm="1">
        <f t="array" ref="G1898">IFERROR(VLOOKUP(INPUT!M1893&amp;INPUT!N1893,CHOOSE({1,2},INPUT!$A$3:$A$5000&amp;INPUT!$C$3:$C$5000,INPUT!$F$3:$F$5000),2,FALSE),"")</f>
        <v>PRE-TEMPORADA</v>
      </c>
      <c r="H1898" t="str" cm="1">
        <f t="array" ref="H1898">IFERROR(VLOOKUP(INPUT!M1893&amp;INPUT!N1893,CHOOSE({1,2},INPUT!$A$3:$A$5000&amp;INPUT!$C$3:$C$5000,INPUT!$D$3:$D$5000),2,FALSE),"")</f>
        <v>GYM+TEC-TAC</v>
      </c>
      <c r="I1898" s="46">
        <f>IF(INPUT!P1893="","",INPUT!P1893)</f>
        <v>80.400000000000006</v>
      </c>
      <c r="J1898" s="46">
        <f>IF(INPUT!Q1893="","",INPUT!Q1893)</f>
        <v>80.3</v>
      </c>
      <c r="K1898" s="46">
        <f>IFERROR(IF(OR(INPUT!P1893="",INPUT!Q1893=""),"",INPUT!P1893-INPUT!Q1893),"")</f>
        <v>0.10000000000000853</v>
      </c>
      <c r="L1898" s="48">
        <f>IFERROR(IF(OR(INPUT!P1893="",INPUT!Q1893="",INPUT!P1893=0),"",(INPUT!P1893-INPUT!Q1893)/INPUT!P1893),"")</f>
        <v>1.2437810945274692E-3</v>
      </c>
    </row>
    <row r="1899" spans="1:12" ht="18" hidden="1" customHeight="1" x14ac:dyDescent="0.2">
      <c r="A1899" s="11">
        <f>IF(INPUT!M1894="","",INPUT!M1894)</f>
        <v>46057</v>
      </c>
      <c r="B1899" s="11">
        <f>IF(INPUT!M1894="","",INPUT!M1894-WEEKDAY(INPUT!M1894,2)+1)</f>
        <v>46055</v>
      </c>
      <c r="C1899" s="20">
        <f>IFERROR(_xlfn.ISOWEEKNUM(INPUT!M1894),"")</f>
        <v>6</v>
      </c>
      <c r="D1899" s="20">
        <f>IFERROR(YEAR(INPUT!M1894),"")</f>
        <v>2026</v>
      </c>
      <c r="E1899" t="str">
        <f>IF(INPUT!O1894="","",INPUT!O1894)</f>
        <v>JAVI</v>
      </c>
      <c r="F1899" t="str">
        <f>IF(INPUT!N1894="","",INPUT!N1894)</f>
        <v>M</v>
      </c>
      <c r="G1899" t="str" cm="1">
        <f t="array" ref="G1899">IFERROR(VLOOKUP(INPUT!M1894&amp;INPUT!N1894,CHOOSE({1,2},INPUT!$A$3:$A$5000&amp;INPUT!$C$3:$C$5000,INPUT!$F$3:$F$5000),2,FALSE),"")</f>
        <v>PRE-TEMPORADA</v>
      </c>
      <c r="H1899" t="str" cm="1">
        <f t="array" ref="H1899">IFERROR(VLOOKUP(INPUT!M1894&amp;INPUT!N1894,CHOOSE({1,2},INPUT!$A$3:$A$5000&amp;INPUT!$C$3:$C$5000,INPUT!$D$3:$D$5000),2,FALSE),"")</f>
        <v>GYM+TEC-TAC</v>
      </c>
      <c r="I1899" s="46">
        <f>IF(INPUT!P1894="","",INPUT!P1894)</f>
        <v>78.2</v>
      </c>
      <c r="J1899" s="46">
        <f>IF(INPUT!Q1894="","",INPUT!Q1894)</f>
        <v>78.2</v>
      </c>
      <c r="K1899" s="46">
        <f>IFERROR(IF(OR(INPUT!P1894="",INPUT!Q1894=""),"",INPUT!P1894-INPUT!Q1894),"")</f>
        <v>0</v>
      </c>
      <c r="L1899" s="48">
        <f>IFERROR(IF(OR(INPUT!P1894="",INPUT!Q1894="",INPUT!P1894=0),"",(INPUT!P1894-INPUT!Q1894)/INPUT!P1894),"")</f>
        <v>0</v>
      </c>
    </row>
    <row r="1900" spans="1:12" ht="18" hidden="1" customHeight="1" x14ac:dyDescent="0.2">
      <c r="A1900" s="11">
        <f>IF(INPUT!M1895="","",INPUT!M1895)</f>
        <v>46057</v>
      </c>
      <c r="B1900" s="11">
        <f>IF(INPUT!M1895="","",INPUT!M1895-WEEKDAY(INPUT!M1895,2)+1)</f>
        <v>46055</v>
      </c>
      <c r="C1900" s="20">
        <f>IFERROR(_xlfn.ISOWEEKNUM(INPUT!M1895),"")</f>
        <v>6</v>
      </c>
      <c r="D1900" s="20">
        <f>IFERROR(YEAR(INPUT!M1895),"")</f>
        <v>2026</v>
      </c>
      <c r="E1900" t="str">
        <f>IF(INPUT!O1895="","",INPUT!O1895)</f>
        <v>PANI</v>
      </c>
      <c r="F1900" t="str">
        <f>IF(INPUT!N1895="","",INPUT!N1895)</f>
        <v>M</v>
      </c>
      <c r="G1900" t="str" cm="1">
        <f t="array" ref="G1900">IFERROR(VLOOKUP(INPUT!M1895&amp;INPUT!N1895,CHOOSE({1,2},INPUT!$A$3:$A$5000&amp;INPUT!$C$3:$C$5000,INPUT!$F$3:$F$5000),2,FALSE),"")</f>
        <v>PRE-TEMPORADA</v>
      </c>
      <c r="H1900" t="str" cm="1">
        <f t="array" ref="H1900">IFERROR(VLOOKUP(INPUT!M1895&amp;INPUT!N1895,CHOOSE({1,2},INPUT!$A$3:$A$5000&amp;INPUT!$C$3:$C$5000,INPUT!$D$3:$D$5000),2,FALSE),"")</f>
        <v>GYM+TEC-TAC</v>
      </c>
      <c r="I1900" s="46">
        <f>IF(INPUT!P1895="","",INPUT!P1895)</f>
        <v>65.900000000000006</v>
      </c>
      <c r="J1900" s="46">
        <f>IF(INPUT!Q1895="","",INPUT!Q1895)</f>
        <v>65.3</v>
      </c>
      <c r="K1900" s="46">
        <f>IFERROR(IF(OR(INPUT!P1895="",INPUT!Q1895=""),"",INPUT!P1895-INPUT!Q1895),"")</f>
        <v>0.60000000000000853</v>
      </c>
      <c r="L1900" s="48">
        <f>IFERROR(IF(OR(INPUT!P1895="",INPUT!Q1895="",INPUT!P1895=0),"",(INPUT!P1895-INPUT!Q1895)/INPUT!P1895),"")</f>
        <v>9.1047040971169724E-3</v>
      </c>
    </row>
    <row r="1901" spans="1:12" ht="18" hidden="1" customHeight="1" x14ac:dyDescent="0.2">
      <c r="A1901" s="11">
        <f>IF(INPUT!M1896="","",INPUT!M1896)</f>
        <v>46057</v>
      </c>
      <c r="B1901" s="11">
        <f>IF(INPUT!M1896="","",INPUT!M1896-WEEKDAY(INPUT!M1896,2)+1)</f>
        <v>46055</v>
      </c>
      <c r="C1901" s="20">
        <f>IFERROR(_xlfn.ISOWEEKNUM(INPUT!M1896),"")</f>
        <v>6</v>
      </c>
      <c r="D1901" s="20">
        <f>IFERROR(YEAR(INPUT!M1896),"")</f>
        <v>2026</v>
      </c>
      <c r="E1901" t="str">
        <f>IF(INPUT!O1896="","",INPUT!O1896)</f>
        <v>PIRATA</v>
      </c>
      <c r="F1901" t="str">
        <f>IF(INPUT!N1896="","",INPUT!N1896)</f>
        <v>M</v>
      </c>
      <c r="G1901" t="str" cm="1">
        <f t="array" ref="G1901">IFERROR(VLOOKUP(INPUT!M1896&amp;INPUT!N1896,CHOOSE({1,2},INPUT!$A$3:$A$5000&amp;INPUT!$C$3:$C$5000,INPUT!$F$3:$F$5000),2,FALSE),"")</f>
        <v>PRE-TEMPORADA</v>
      </c>
      <c r="H1901" t="str" cm="1">
        <f t="array" ref="H1901">IFERROR(VLOOKUP(INPUT!M1896&amp;INPUT!N1896,CHOOSE({1,2},INPUT!$A$3:$A$5000&amp;INPUT!$C$3:$C$5000,INPUT!$D$3:$D$5000),2,FALSE),"")</f>
        <v>GYM+TEC-TAC</v>
      </c>
      <c r="I1901" s="46">
        <f>IF(INPUT!P1896="","",INPUT!P1896)</f>
        <v>74.7</v>
      </c>
      <c r="J1901" s="46">
        <f>IF(INPUT!Q1896="","",INPUT!Q1896)</f>
        <v>74.8</v>
      </c>
      <c r="K1901" s="46">
        <f>IFERROR(IF(OR(INPUT!P1896="",INPUT!Q1896=""),"",INPUT!P1896-INPUT!Q1896),"")</f>
        <v>-9.9999999999994316E-2</v>
      </c>
      <c r="L1901" s="48">
        <f>IFERROR(IF(OR(INPUT!P1896="",INPUT!Q1896="",INPUT!P1896=0),"",(INPUT!P1896-INPUT!Q1896)/INPUT!P1896),"")</f>
        <v>-1.3386880856759613E-3</v>
      </c>
    </row>
    <row r="1902" spans="1:12" ht="18" hidden="1" customHeight="1" x14ac:dyDescent="0.2">
      <c r="A1902" s="11">
        <f>IF(INPUT!M1897="","",INPUT!M1897)</f>
        <v>46057</v>
      </c>
      <c r="B1902" s="11">
        <f>IF(INPUT!M1897="","",INPUT!M1897-WEEKDAY(INPUT!M1897,2)+1)</f>
        <v>46055</v>
      </c>
      <c r="C1902" s="20">
        <f>IFERROR(_xlfn.ISOWEEKNUM(INPUT!M1897),"")</f>
        <v>6</v>
      </c>
      <c r="D1902" s="20">
        <f>IFERROR(YEAR(INPUT!M1897),"")</f>
        <v>2026</v>
      </c>
      <c r="E1902" t="str">
        <f>IF(INPUT!O1897="","",INPUT!O1897)</f>
        <v>BARONA</v>
      </c>
      <c r="F1902" t="str">
        <f>IF(INPUT!N1897="","",INPUT!N1897)</f>
        <v>M</v>
      </c>
      <c r="G1902" t="str" cm="1">
        <f t="array" ref="G1902">IFERROR(VLOOKUP(INPUT!M1897&amp;INPUT!N1897,CHOOSE({1,2},INPUT!$A$3:$A$5000&amp;INPUT!$C$3:$C$5000,INPUT!$F$3:$F$5000),2,FALSE),"")</f>
        <v>PRE-TEMPORADA</v>
      </c>
      <c r="H1902" t="str" cm="1">
        <f t="array" ref="H1902">IFERROR(VLOOKUP(INPUT!M1897&amp;INPUT!N1897,CHOOSE({1,2},INPUT!$A$3:$A$5000&amp;INPUT!$C$3:$C$5000,INPUT!$D$3:$D$5000),2,FALSE),"")</f>
        <v>GYM+TEC-TAC</v>
      </c>
      <c r="I1902" s="46">
        <f>IF(INPUT!P1897="","",INPUT!P1897)</f>
        <v>71.400000000000006</v>
      </c>
      <c r="J1902" s="46">
        <f>IF(INPUT!Q1897="","",INPUT!Q1897)</f>
        <v>70.8</v>
      </c>
      <c r="K1902" s="46">
        <f>IFERROR(IF(OR(INPUT!P1897="",INPUT!Q1897=""),"",INPUT!P1897-INPUT!Q1897),"")</f>
        <v>0.60000000000000853</v>
      </c>
      <c r="L1902" s="48">
        <f>IFERROR(IF(OR(INPUT!P1897="",INPUT!Q1897="",INPUT!P1897=0),"",(INPUT!P1897-INPUT!Q1897)/INPUT!P1897),"")</f>
        <v>8.4033613445379345E-3</v>
      </c>
    </row>
    <row r="1903" spans="1:12" ht="18" hidden="1" customHeight="1" x14ac:dyDescent="0.2">
      <c r="A1903" s="11">
        <f>IF(INPUT!M1898="","",INPUT!M1898)</f>
        <v>46057</v>
      </c>
      <c r="B1903" s="11">
        <f>IF(INPUT!M1898="","",INPUT!M1898-WEEKDAY(INPUT!M1898,2)+1)</f>
        <v>46055</v>
      </c>
      <c r="C1903" s="20">
        <f>IFERROR(_xlfn.ISOWEEKNUM(INPUT!M1898),"")</f>
        <v>6</v>
      </c>
      <c r="D1903" s="20">
        <f>IFERROR(YEAR(INPUT!M1898),"")</f>
        <v>2026</v>
      </c>
      <c r="E1903" t="str">
        <f>IF(INPUT!O1898="","",INPUT!O1898)</f>
        <v>CARLOS</v>
      </c>
      <c r="F1903" t="str">
        <f>IF(INPUT!N1898="","",INPUT!N1898)</f>
        <v>M</v>
      </c>
      <c r="G1903" t="str" cm="1">
        <f t="array" ref="G1903">IFERROR(VLOOKUP(INPUT!M1898&amp;INPUT!N1898,CHOOSE({1,2},INPUT!$A$3:$A$5000&amp;INPUT!$C$3:$C$5000,INPUT!$F$3:$F$5000),2,FALSE),"")</f>
        <v>PRE-TEMPORADA</v>
      </c>
      <c r="H1903" t="str" cm="1">
        <f t="array" ref="H1903">IFERROR(VLOOKUP(INPUT!M1898&amp;INPUT!N1898,CHOOSE({1,2},INPUT!$A$3:$A$5000&amp;INPUT!$C$3:$C$5000,INPUT!$D$3:$D$5000),2,FALSE),"")</f>
        <v>GYM+TEC-TAC</v>
      </c>
      <c r="I1903" s="46">
        <f>IF(INPUT!P1898="","",INPUT!P1898)</f>
        <v>68</v>
      </c>
      <c r="J1903" s="46">
        <f>IF(INPUT!Q1898="","",INPUT!Q1898)</f>
        <v>67</v>
      </c>
      <c r="K1903" s="46">
        <f>IFERROR(IF(OR(INPUT!P1898="",INPUT!Q1898=""),"",INPUT!P1898-INPUT!Q1898),"")</f>
        <v>1</v>
      </c>
      <c r="L1903" s="48">
        <f>IFERROR(IF(OR(INPUT!P1898="",INPUT!Q1898="",INPUT!P1898=0),"",(INPUT!P1898-INPUT!Q1898)/INPUT!P1898),"")</f>
        <v>1.4705882352941176E-2</v>
      </c>
    </row>
    <row r="1904" spans="1:12" ht="18" hidden="1" customHeight="1" x14ac:dyDescent="0.2">
      <c r="A1904" s="11">
        <f>IF(INPUT!M1899="","",INPUT!M1899)</f>
        <v>46057</v>
      </c>
      <c r="B1904" s="11">
        <f>IF(INPUT!M1899="","",INPUT!M1899-WEEKDAY(INPUT!M1899,2)+1)</f>
        <v>46055</v>
      </c>
      <c r="C1904" s="20">
        <f>IFERROR(_xlfn.ISOWEEKNUM(INPUT!M1899),"")</f>
        <v>6</v>
      </c>
      <c r="D1904" s="20">
        <f>IFERROR(YEAR(INPUT!M1899),"")</f>
        <v>2026</v>
      </c>
      <c r="E1904" t="str">
        <f>IF(INPUT!O1899="","",INPUT!O1899)</f>
        <v>GONZALO</v>
      </c>
      <c r="F1904" t="str">
        <f>IF(INPUT!N1899="","",INPUT!N1899)</f>
        <v>M</v>
      </c>
      <c r="G1904" t="str" cm="1">
        <f t="array" ref="G1904">IFERROR(VLOOKUP(INPUT!M1899&amp;INPUT!N1899,CHOOSE({1,2},INPUT!$A$3:$A$5000&amp;INPUT!$C$3:$C$5000,INPUT!$F$3:$F$5000),2,FALSE),"")</f>
        <v>PRE-TEMPORADA</v>
      </c>
      <c r="H1904" t="str" cm="1">
        <f t="array" ref="H1904">IFERROR(VLOOKUP(INPUT!M1899&amp;INPUT!N1899,CHOOSE({1,2},INPUT!$A$3:$A$5000&amp;INPUT!$C$3:$C$5000,INPUT!$D$3:$D$5000),2,FALSE),"")</f>
        <v>GYM+TEC-TAC</v>
      </c>
      <c r="I1904" s="46">
        <f>IF(INPUT!P1899="","",INPUT!P1899)</f>
        <v>83.3</v>
      </c>
      <c r="J1904" s="46">
        <f>IF(INPUT!Q1899="","",INPUT!Q1899)</f>
        <v>83.4</v>
      </c>
      <c r="K1904" s="46">
        <f>IFERROR(IF(OR(INPUT!P1899="",INPUT!Q1899=""),"",INPUT!P1899-INPUT!Q1899),"")</f>
        <v>-0.10000000000000853</v>
      </c>
      <c r="L1904" s="48">
        <f>IFERROR(IF(OR(INPUT!P1899="",INPUT!Q1899="",INPUT!P1899=0),"",(INPUT!P1899-INPUT!Q1899)/INPUT!P1899),"")</f>
        <v>-1.2004801920769332E-3</v>
      </c>
    </row>
    <row r="1905" spans="1:12" ht="18" hidden="1" customHeight="1" x14ac:dyDescent="0.2">
      <c r="A1905" s="11">
        <f>IF(INPUT!M1900="","",INPUT!M1900)</f>
        <v>46057</v>
      </c>
      <c r="B1905" s="11">
        <f>IF(INPUT!M1900="","",INPUT!M1900-WEEKDAY(INPUT!M1900,2)+1)</f>
        <v>46055</v>
      </c>
      <c r="C1905" s="20">
        <f>IFERROR(_xlfn.ISOWEEKNUM(INPUT!M1900),"")</f>
        <v>6</v>
      </c>
      <c r="D1905" s="20">
        <f>IFERROR(YEAR(INPUT!M1900),"")</f>
        <v>2026</v>
      </c>
      <c r="E1905" t="str">
        <f>IF(INPUT!O1900="","",INPUT!O1900)</f>
        <v>RUBIO</v>
      </c>
      <c r="F1905" t="str">
        <f>IF(INPUT!N1900="","",INPUT!N1900)</f>
        <v>M</v>
      </c>
      <c r="G1905" t="str" cm="1">
        <f t="array" ref="G1905">IFERROR(VLOOKUP(INPUT!M1900&amp;INPUT!N1900,CHOOSE({1,2},INPUT!$A$3:$A$5000&amp;INPUT!$C$3:$C$5000,INPUT!$F$3:$F$5000),2,FALSE),"")</f>
        <v>PRE-TEMPORADA</v>
      </c>
      <c r="H1905" t="str" cm="1">
        <f t="array" ref="H1905">IFERROR(VLOOKUP(INPUT!M1900&amp;INPUT!N1900,CHOOSE({1,2},INPUT!$A$3:$A$5000&amp;INPUT!$C$3:$C$5000,INPUT!$D$3:$D$5000),2,FALSE),"")</f>
        <v>GYM+TEC-TAC</v>
      </c>
      <c r="I1905" s="46">
        <f>IF(INPUT!P1900="","",INPUT!P1900)</f>
        <v>75.2</v>
      </c>
      <c r="J1905" s="46">
        <f>IF(INPUT!Q1900="","",INPUT!Q1900)</f>
        <v>75.2</v>
      </c>
      <c r="K1905" s="46">
        <f>IFERROR(IF(OR(INPUT!P1900="",INPUT!Q1900=""),"",INPUT!P1900-INPUT!Q1900),"")</f>
        <v>0</v>
      </c>
      <c r="L1905" s="48">
        <f>IFERROR(IF(OR(INPUT!P1900="",INPUT!Q1900="",INPUT!P1900=0),"",(INPUT!P1900-INPUT!Q1900)/INPUT!P1900),"")</f>
        <v>0</v>
      </c>
    </row>
    <row r="1906" spans="1:12" ht="18" hidden="1" customHeight="1" x14ac:dyDescent="0.2">
      <c r="A1906" s="11">
        <f>IF(INPUT!M1901="","",INPUT!M1901)</f>
        <v>46057</v>
      </c>
      <c r="B1906" s="11">
        <f>IF(INPUT!M1901="","",INPUT!M1901-WEEKDAY(INPUT!M1901,2)+1)</f>
        <v>46055</v>
      </c>
      <c r="C1906" s="20">
        <f>IFERROR(_xlfn.ISOWEEKNUM(INPUT!M1901),"")</f>
        <v>6</v>
      </c>
      <c r="D1906" s="20">
        <f>IFERROR(YEAR(INPUT!M1901),"")</f>
        <v>2026</v>
      </c>
      <c r="E1906" t="str">
        <f>IF(INPUT!O1901="","",INPUT!O1901)</f>
        <v>DANI</v>
      </c>
      <c r="F1906" t="str">
        <f>IF(INPUT!N1901="","",INPUT!N1901)</f>
        <v>M</v>
      </c>
      <c r="G1906" t="str" cm="1">
        <f t="array" ref="G1906">IFERROR(VLOOKUP(INPUT!M1901&amp;INPUT!N1901,CHOOSE({1,2},INPUT!$A$3:$A$5000&amp;INPUT!$C$3:$C$5000,INPUT!$F$3:$F$5000),2,FALSE),"")</f>
        <v>PRE-TEMPORADA</v>
      </c>
      <c r="H1906" t="str" cm="1">
        <f t="array" ref="H1906">IFERROR(VLOOKUP(INPUT!M1901&amp;INPUT!N1901,CHOOSE({1,2},INPUT!$A$3:$A$5000&amp;INPUT!$C$3:$C$5000,INPUT!$D$3:$D$5000),2,FALSE),"")</f>
        <v>GYM+TEC-TAC</v>
      </c>
      <c r="I1906" s="46">
        <f>IF(INPUT!P1901="","",INPUT!P1901)</f>
        <v>91.7</v>
      </c>
      <c r="J1906" s="46">
        <f>IF(INPUT!Q1901="","",INPUT!Q1901)</f>
        <v>90.3</v>
      </c>
      <c r="K1906" s="46">
        <f>IFERROR(IF(OR(INPUT!P1901="",INPUT!Q1901=""),"",INPUT!P1901-INPUT!Q1901),"")</f>
        <v>1.4000000000000057</v>
      </c>
      <c r="L1906" s="48">
        <f>IFERROR(IF(OR(INPUT!P1901="",INPUT!Q1901="",INPUT!P1901=0),"",(INPUT!P1901-INPUT!Q1901)/INPUT!P1901),"")</f>
        <v>1.5267175572519146E-2</v>
      </c>
    </row>
    <row r="1907" spans="1:12" ht="18" hidden="1" customHeight="1" x14ac:dyDescent="0.2">
      <c r="A1907" s="11">
        <f>IF(INPUT!M1902="","",INPUT!M1902)</f>
        <v>46057</v>
      </c>
      <c r="B1907" s="11">
        <f>IF(INPUT!M1902="","",INPUT!M1902-WEEKDAY(INPUT!M1902,2)+1)</f>
        <v>46055</v>
      </c>
      <c r="C1907" s="20">
        <f>IFERROR(_xlfn.ISOWEEKNUM(INPUT!M1902),"")</f>
        <v>6</v>
      </c>
      <c r="D1907" s="20">
        <f>IFERROR(YEAR(INPUT!M1902),"")</f>
        <v>2026</v>
      </c>
      <c r="E1907" t="str">
        <f>IF(INPUT!O1902="","",INPUT!O1902)</f>
        <v>JAIME</v>
      </c>
      <c r="F1907" t="str">
        <f>IF(INPUT!N1902="","",INPUT!N1902)</f>
        <v>M</v>
      </c>
      <c r="G1907" t="str" cm="1">
        <f t="array" ref="G1907">IFERROR(VLOOKUP(INPUT!M1902&amp;INPUT!N1902,CHOOSE({1,2},INPUT!$A$3:$A$5000&amp;INPUT!$C$3:$C$5000,INPUT!$F$3:$F$5000),2,FALSE),"")</f>
        <v>PRE-TEMPORADA</v>
      </c>
      <c r="H1907" t="str" cm="1">
        <f t="array" ref="H1907">IFERROR(VLOOKUP(INPUT!M1902&amp;INPUT!N1902,CHOOSE({1,2},INPUT!$A$3:$A$5000&amp;INPUT!$C$3:$C$5000,INPUT!$D$3:$D$5000),2,FALSE),"")</f>
        <v>GYM+TEC-TAC</v>
      </c>
      <c r="I1907" s="46">
        <f>IF(INPUT!P1902="","",INPUT!P1902)</f>
        <v>75.599999999999994</v>
      </c>
      <c r="J1907" s="46">
        <f>IF(INPUT!Q1902="","",INPUT!Q1902)</f>
        <v>75.599999999999994</v>
      </c>
      <c r="K1907" s="46">
        <f>IFERROR(IF(OR(INPUT!P1902="",INPUT!Q1902=""),"",INPUT!P1902-INPUT!Q1902),"")</f>
        <v>0</v>
      </c>
      <c r="L1907" s="48">
        <f>IFERROR(IF(OR(INPUT!P1902="",INPUT!Q1902="",INPUT!P1902=0),"",(INPUT!P1902-INPUT!Q1902)/INPUT!P1902),"")</f>
        <v>0</v>
      </c>
    </row>
    <row r="1908" spans="1:12" ht="18" hidden="1" customHeight="1" x14ac:dyDescent="0.2">
      <c r="A1908" s="11">
        <f>IF(INPUT!M1903="","",INPUT!M1903)</f>
        <v>46058</v>
      </c>
      <c r="B1908" s="11">
        <f>IF(INPUT!M1903="","",INPUT!M1903-WEEKDAY(INPUT!M1903,2)+1)</f>
        <v>46055</v>
      </c>
      <c r="C1908" s="20">
        <f>IFERROR(_xlfn.ISOWEEKNUM(INPUT!M1903),"")</f>
        <v>6</v>
      </c>
      <c r="D1908" s="20">
        <f>IFERROR(YEAR(INPUT!M1903),"")</f>
        <v>2026</v>
      </c>
      <c r="E1908" t="str">
        <f>IF(INPUT!O1903="","",INPUT!O1903)</f>
        <v>HERRERO</v>
      </c>
      <c r="F1908" t="str">
        <f>IF(INPUT!N1903="","",INPUT!N1903)</f>
        <v>M</v>
      </c>
      <c r="G1908" t="str" cm="1">
        <f t="array" ref="G1908">IFERROR(VLOOKUP(INPUT!M1903&amp;INPUT!N1903,CHOOSE({1,2},INPUT!$A$3:$A$5000&amp;INPUT!$C$3:$C$5000,INPUT!$F$3:$F$5000),2,FALSE),"")</f>
        <v>PRE-TEMPORADA</v>
      </c>
      <c r="H1908" t="str" cm="1">
        <f t="array" ref="H1908">IFERROR(VLOOKUP(INPUT!M1903&amp;INPUT!N1903,CHOOSE({1,2},INPUT!$A$3:$A$5000&amp;INPUT!$C$3:$C$5000,INPUT!$D$3:$D$5000),2,FALSE),"")</f>
        <v>TEC-TAC</v>
      </c>
      <c r="I1908" s="46">
        <f>IF(INPUT!P1903="","",INPUT!P1903)</f>
        <v>77</v>
      </c>
      <c r="J1908" s="46">
        <f>IF(INPUT!Q1903="","",INPUT!Q1903)</f>
        <v>76.900000000000006</v>
      </c>
      <c r="K1908" s="46">
        <f>IFERROR(IF(OR(INPUT!P1903="",INPUT!Q1903=""),"",INPUT!P1903-INPUT!Q1903),"")</f>
        <v>9.9999999999994316E-2</v>
      </c>
      <c r="L1908" s="48">
        <f>IFERROR(IF(OR(INPUT!P1903="",INPUT!Q1903="",INPUT!P1903=0),"",(INPUT!P1903-INPUT!Q1903)/INPUT!P1903),"")</f>
        <v>1.298701298701225E-3</v>
      </c>
    </row>
    <row r="1909" spans="1:12" ht="18" hidden="1" customHeight="1" x14ac:dyDescent="0.2">
      <c r="A1909" s="11">
        <f>IF(INPUT!M1904="","",INPUT!M1904)</f>
        <v>46058</v>
      </c>
      <c r="B1909" s="11">
        <f>IF(INPUT!M1904="","",INPUT!M1904-WEEKDAY(INPUT!M1904,2)+1)</f>
        <v>46055</v>
      </c>
      <c r="C1909" s="20">
        <f>IFERROR(_xlfn.ISOWEEKNUM(INPUT!M1904),"")</f>
        <v>6</v>
      </c>
      <c r="D1909" s="20">
        <f>IFERROR(YEAR(INPUT!M1904),"")</f>
        <v>2026</v>
      </c>
      <c r="E1909" t="str">
        <f>IF(INPUT!O1904="","",INPUT!O1904)</f>
        <v>GARCIA</v>
      </c>
      <c r="F1909" t="str">
        <f>IF(INPUT!N1904="","",INPUT!N1904)</f>
        <v>M</v>
      </c>
      <c r="G1909" t="str" cm="1">
        <f t="array" ref="G1909">IFERROR(VLOOKUP(INPUT!M1904&amp;INPUT!N1904,CHOOSE({1,2},INPUT!$A$3:$A$5000&amp;INPUT!$C$3:$C$5000,INPUT!$F$3:$F$5000),2,FALSE),"")</f>
        <v>PRE-TEMPORADA</v>
      </c>
      <c r="H1909" t="str" cm="1">
        <f t="array" ref="H1909">IFERROR(VLOOKUP(INPUT!M1904&amp;INPUT!N1904,CHOOSE({1,2},INPUT!$A$3:$A$5000&amp;INPUT!$C$3:$C$5000,INPUT!$D$3:$D$5000),2,FALSE),"")</f>
        <v>TEC-TAC</v>
      </c>
      <c r="I1909" s="46">
        <f>IF(INPUT!P1904="","",INPUT!P1904)</f>
        <v>79.2</v>
      </c>
      <c r="J1909" s="46">
        <f>IF(INPUT!Q1904="","",INPUT!Q1904)</f>
        <v>79</v>
      </c>
      <c r="K1909" s="46">
        <f>IFERROR(IF(OR(INPUT!P1904="",INPUT!Q1904=""),"",INPUT!P1904-INPUT!Q1904),"")</f>
        <v>0.20000000000000284</v>
      </c>
      <c r="L1909" s="48">
        <f>IFERROR(IF(OR(INPUT!P1904="",INPUT!Q1904="",INPUT!P1904=0),"",(INPUT!P1904-INPUT!Q1904)/INPUT!P1904),"")</f>
        <v>2.525252525252561E-3</v>
      </c>
    </row>
    <row r="1910" spans="1:12" ht="18" hidden="1" customHeight="1" x14ac:dyDescent="0.2">
      <c r="A1910" s="11">
        <f>IF(INPUT!M1905="","",INPUT!M1905)</f>
        <v>46058</v>
      </c>
      <c r="B1910" s="11">
        <f>IF(INPUT!M1905="","",INPUT!M1905-WEEKDAY(INPUT!M1905,2)+1)</f>
        <v>46055</v>
      </c>
      <c r="C1910" s="20">
        <f>IFERROR(_xlfn.ISOWEEKNUM(INPUT!M1905),"")</f>
        <v>6</v>
      </c>
      <c r="D1910" s="20">
        <f>IFERROR(YEAR(INPUT!M1905),"")</f>
        <v>2026</v>
      </c>
      <c r="E1910" t="str">
        <f>IF(INPUT!O1905="","",INPUT!O1905)</f>
        <v>CHAGUINHA</v>
      </c>
      <c r="F1910" t="str">
        <f>IF(INPUT!N1905="","",INPUT!N1905)</f>
        <v>M</v>
      </c>
      <c r="G1910" t="str" cm="1">
        <f t="array" ref="G1910">IFERROR(VLOOKUP(INPUT!M1905&amp;INPUT!N1905,CHOOSE({1,2},INPUT!$A$3:$A$5000&amp;INPUT!$C$3:$C$5000,INPUT!$F$3:$F$5000),2,FALSE),"")</f>
        <v>PRE-TEMPORADA</v>
      </c>
      <c r="H1910" t="str" cm="1">
        <f t="array" ref="H1910">IFERROR(VLOOKUP(INPUT!M1905&amp;INPUT!N1905,CHOOSE({1,2},INPUT!$A$3:$A$5000&amp;INPUT!$C$3:$C$5000,INPUT!$D$3:$D$5000),2,FALSE),"")</f>
        <v>TEC-TAC</v>
      </c>
      <c r="I1910" s="46">
        <f>IF(INPUT!P1905="","",INPUT!P1905)</f>
        <v>68.900000000000006</v>
      </c>
      <c r="J1910" s="46">
        <f>IF(INPUT!Q1905="","",INPUT!Q1905)</f>
        <v>68</v>
      </c>
      <c r="K1910" s="46">
        <f>IFERROR(IF(OR(INPUT!P1905="",INPUT!Q1905=""),"",INPUT!P1905-INPUT!Q1905),"")</f>
        <v>0.90000000000000568</v>
      </c>
      <c r="L1910" s="48">
        <f>IFERROR(IF(OR(INPUT!P1905="",INPUT!Q1905="",INPUT!P1905=0),"",(INPUT!P1905-INPUT!Q1905)/INPUT!P1905),"")</f>
        <v>1.3062409288824465E-2</v>
      </c>
    </row>
    <row r="1911" spans="1:12" ht="18" hidden="1" customHeight="1" x14ac:dyDescent="0.2">
      <c r="A1911" s="11">
        <f>IF(INPUT!M1906="","",INPUT!M1906)</f>
        <v>46058</v>
      </c>
      <c r="B1911" s="11">
        <f>IF(INPUT!M1906="","",INPUT!M1906-WEEKDAY(INPUT!M1906,2)+1)</f>
        <v>46055</v>
      </c>
      <c r="C1911" s="20">
        <f>IFERROR(_xlfn.ISOWEEKNUM(INPUT!M1906),"")</f>
        <v>6</v>
      </c>
      <c r="D1911" s="20">
        <f>IFERROR(YEAR(INPUT!M1906),"")</f>
        <v>2026</v>
      </c>
      <c r="E1911" t="str">
        <f>IF(INPUT!O1906="","",INPUT!O1906)</f>
        <v>RAUL</v>
      </c>
      <c r="F1911" t="str">
        <f>IF(INPUT!N1906="","",INPUT!N1906)</f>
        <v>M</v>
      </c>
      <c r="G1911" t="str" cm="1">
        <f t="array" ref="G1911">IFERROR(VLOOKUP(INPUT!M1906&amp;INPUT!N1906,CHOOSE({1,2},INPUT!$A$3:$A$5000&amp;INPUT!$C$3:$C$5000,INPUT!$F$3:$F$5000),2,FALSE),"")</f>
        <v>PRE-TEMPORADA</v>
      </c>
      <c r="H1911" t="str" cm="1">
        <f t="array" ref="H1911">IFERROR(VLOOKUP(INPUT!M1906&amp;INPUT!N1906,CHOOSE({1,2},INPUT!$A$3:$A$5000&amp;INPUT!$C$3:$C$5000,INPUT!$D$3:$D$5000),2,FALSE),"")</f>
        <v>TEC-TAC</v>
      </c>
      <c r="I1911" s="46">
        <f>IF(INPUT!P1906="","",INPUT!P1906)</f>
        <v>81</v>
      </c>
      <c r="J1911" s="46">
        <f>IF(INPUT!Q1906="","",INPUT!Q1906)</f>
        <v>81</v>
      </c>
      <c r="K1911" s="46">
        <f>IFERROR(IF(OR(INPUT!P1906="",INPUT!Q1906=""),"",INPUT!P1906-INPUT!Q1906),"")</f>
        <v>0</v>
      </c>
      <c r="L1911" s="48">
        <f>IFERROR(IF(OR(INPUT!P1906="",INPUT!Q1906="",INPUT!P1906=0),"",(INPUT!P1906-INPUT!Q1906)/INPUT!P1906),"")</f>
        <v>0</v>
      </c>
    </row>
    <row r="1912" spans="1:12" ht="18" hidden="1" customHeight="1" x14ac:dyDescent="0.2">
      <c r="A1912" s="11">
        <f>IF(INPUT!M1907="","",INPUT!M1907)</f>
        <v>46058</v>
      </c>
      <c r="B1912" s="11">
        <f>IF(INPUT!M1907="","",INPUT!M1907-WEEKDAY(INPUT!M1907,2)+1)</f>
        <v>46055</v>
      </c>
      <c r="C1912" s="20">
        <f>IFERROR(_xlfn.ISOWEEKNUM(INPUT!M1907),"")</f>
        <v>6</v>
      </c>
      <c r="D1912" s="20">
        <f>IFERROR(YEAR(INPUT!M1907),"")</f>
        <v>2026</v>
      </c>
      <c r="E1912" t="str">
        <f>IF(INPUT!O1907="","",INPUT!O1907)</f>
        <v>JAVI</v>
      </c>
      <c r="F1912" t="str">
        <f>IF(INPUT!N1907="","",INPUT!N1907)</f>
        <v>M</v>
      </c>
      <c r="G1912" t="str" cm="1">
        <f t="array" ref="G1912">IFERROR(VLOOKUP(INPUT!M1907&amp;INPUT!N1907,CHOOSE({1,2},INPUT!$A$3:$A$5000&amp;INPUT!$C$3:$C$5000,INPUT!$F$3:$F$5000),2,FALSE),"")</f>
        <v>PRE-TEMPORADA</v>
      </c>
      <c r="H1912" t="str" cm="1">
        <f t="array" ref="H1912">IFERROR(VLOOKUP(INPUT!M1907&amp;INPUT!N1907,CHOOSE({1,2},INPUT!$A$3:$A$5000&amp;INPUT!$C$3:$C$5000,INPUT!$D$3:$D$5000),2,FALSE),"")</f>
        <v>TEC-TAC</v>
      </c>
      <c r="I1912" s="46">
        <f>IF(INPUT!P1907="","",INPUT!P1907)</f>
        <v>78.7</v>
      </c>
      <c r="J1912" s="46">
        <f>IF(INPUT!Q1907="","",INPUT!Q1907)</f>
        <v>78.900000000000006</v>
      </c>
      <c r="K1912" s="46">
        <f>IFERROR(IF(OR(INPUT!P1907="",INPUT!Q1907=""),"",INPUT!P1907-INPUT!Q1907),"")</f>
        <v>-0.20000000000000284</v>
      </c>
      <c r="L1912" s="48">
        <f>IFERROR(IF(OR(INPUT!P1907="",INPUT!Q1907="",INPUT!P1907=0),"",(INPUT!P1907-INPUT!Q1907)/INPUT!P1907),"")</f>
        <v>-2.5412960609911416E-3</v>
      </c>
    </row>
    <row r="1913" spans="1:12" ht="18" hidden="1" customHeight="1" x14ac:dyDescent="0.2">
      <c r="A1913" s="11">
        <f>IF(INPUT!M1908="","",INPUT!M1908)</f>
        <v>46058</v>
      </c>
      <c r="B1913" s="11">
        <f>IF(INPUT!M1908="","",INPUT!M1908-WEEKDAY(INPUT!M1908,2)+1)</f>
        <v>46055</v>
      </c>
      <c r="C1913" s="20">
        <f>IFERROR(_xlfn.ISOWEEKNUM(INPUT!M1908),"")</f>
        <v>6</v>
      </c>
      <c r="D1913" s="20">
        <f>IFERROR(YEAR(INPUT!M1908),"")</f>
        <v>2026</v>
      </c>
      <c r="E1913" t="str">
        <f>IF(INPUT!O1908="","",INPUT!O1908)</f>
        <v>PANI</v>
      </c>
      <c r="F1913" t="str">
        <f>IF(INPUT!N1908="","",INPUT!N1908)</f>
        <v>M</v>
      </c>
      <c r="G1913" t="str" cm="1">
        <f t="array" ref="G1913">IFERROR(VLOOKUP(INPUT!M1908&amp;INPUT!N1908,CHOOSE({1,2},INPUT!$A$3:$A$5000&amp;INPUT!$C$3:$C$5000,INPUT!$F$3:$F$5000),2,FALSE),"")</f>
        <v>PRE-TEMPORADA</v>
      </c>
      <c r="H1913" t="str" cm="1">
        <f t="array" ref="H1913">IFERROR(VLOOKUP(INPUT!M1908&amp;INPUT!N1908,CHOOSE({1,2},INPUT!$A$3:$A$5000&amp;INPUT!$C$3:$C$5000,INPUT!$D$3:$D$5000),2,FALSE),"")</f>
        <v>TEC-TAC</v>
      </c>
      <c r="I1913" s="46">
        <f>IF(INPUT!P1908="","",INPUT!P1908)</f>
        <v>66</v>
      </c>
      <c r="J1913" s="46">
        <f>IF(INPUT!Q1908="","",INPUT!Q1908)</f>
        <v>65.5</v>
      </c>
      <c r="K1913" s="46">
        <f>IFERROR(IF(OR(INPUT!P1908="",INPUT!Q1908=""),"",INPUT!P1908-INPUT!Q1908),"")</f>
        <v>0.5</v>
      </c>
      <c r="L1913" s="48">
        <f>IFERROR(IF(OR(INPUT!P1908="",INPUT!Q1908="",INPUT!P1908=0),"",(INPUT!P1908-INPUT!Q1908)/INPUT!P1908),"")</f>
        <v>7.575757575757576E-3</v>
      </c>
    </row>
    <row r="1914" spans="1:12" ht="18" hidden="1" customHeight="1" x14ac:dyDescent="0.2">
      <c r="A1914" s="11">
        <f>IF(INPUT!M1909="","",INPUT!M1909)</f>
        <v>46058</v>
      </c>
      <c r="B1914" s="11">
        <f>IF(INPUT!M1909="","",INPUT!M1909-WEEKDAY(INPUT!M1909,2)+1)</f>
        <v>46055</v>
      </c>
      <c r="C1914" s="20">
        <f>IFERROR(_xlfn.ISOWEEKNUM(INPUT!M1909),"")</f>
        <v>6</v>
      </c>
      <c r="D1914" s="20">
        <f>IFERROR(YEAR(INPUT!M1909),"")</f>
        <v>2026</v>
      </c>
      <c r="E1914" t="str">
        <f>IF(INPUT!O1909="","",INPUT!O1909)</f>
        <v>PIRATA</v>
      </c>
      <c r="F1914" t="str">
        <f>IF(INPUT!N1909="","",INPUT!N1909)</f>
        <v>M</v>
      </c>
      <c r="G1914" t="str" cm="1">
        <f t="array" ref="G1914">IFERROR(VLOOKUP(INPUT!M1909&amp;INPUT!N1909,CHOOSE({1,2},INPUT!$A$3:$A$5000&amp;INPUT!$C$3:$C$5000,INPUT!$F$3:$F$5000),2,FALSE),"")</f>
        <v>PRE-TEMPORADA</v>
      </c>
      <c r="H1914" t="str" cm="1">
        <f t="array" ref="H1914">IFERROR(VLOOKUP(INPUT!M1909&amp;INPUT!N1909,CHOOSE({1,2},INPUT!$A$3:$A$5000&amp;INPUT!$C$3:$C$5000,INPUT!$D$3:$D$5000),2,FALSE),"")</f>
        <v>TEC-TAC</v>
      </c>
      <c r="I1914" s="46">
        <f>IF(INPUT!P1909="","",INPUT!P1909)</f>
        <v>74.400000000000006</v>
      </c>
      <c r="J1914" s="46">
        <f>IF(INPUT!Q1909="","",INPUT!Q1909)</f>
        <v>75</v>
      </c>
      <c r="K1914" s="46">
        <f>IFERROR(IF(OR(INPUT!P1909="",INPUT!Q1909=""),"",INPUT!P1909-INPUT!Q1909),"")</f>
        <v>-0.59999999999999432</v>
      </c>
      <c r="L1914" s="48">
        <f>IFERROR(IF(OR(INPUT!P1909="",INPUT!Q1909="",INPUT!P1909=0),"",(INPUT!P1909-INPUT!Q1909)/INPUT!P1909),"")</f>
        <v>-8.0645161290321815E-3</v>
      </c>
    </row>
    <row r="1915" spans="1:12" ht="18" hidden="1" customHeight="1" x14ac:dyDescent="0.2">
      <c r="A1915" s="11">
        <f>IF(INPUT!M1910="","",INPUT!M1910)</f>
        <v>46058</v>
      </c>
      <c r="B1915" s="11">
        <f>IF(INPUT!M1910="","",INPUT!M1910-WEEKDAY(INPUT!M1910,2)+1)</f>
        <v>46055</v>
      </c>
      <c r="C1915" s="20">
        <f>IFERROR(_xlfn.ISOWEEKNUM(INPUT!M1910),"")</f>
        <v>6</v>
      </c>
      <c r="D1915" s="20">
        <f>IFERROR(YEAR(INPUT!M1910),"")</f>
        <v>2026</v>
      </c>
      <c r="E1915" t="str">
        <f>IF(INPUT!O1910="","",INPUT!O1910)</f>
        <v>BARONA</v>
      </c>
      <c r="F1915" t="str">
        <f>IF(INPUT!N1910="","",INPUT!N1910)</f>
        <v>M</v>
      </c>
      <c r="G1915" t="str" cm="1">
        <f t="array" ref="G1915">IFERROR(VLOOKUP(INPUT!M1910&amp;INPUT!N1910,CHOOSE({1,2},INPUT!$A$3:$A$5000&amp;INPUT!$C$3:$C$5000,INPUT!$F$3:$F$5000),2,FALSE),"")</f>
        <v>PRE-TEMPORADA</v>
      </c>
      <c r="H1915" t="str" cm="1">
        <f t="array" ref="H1915">IFERROR(VLOOKUP(INPUT!M1910&amp;INPUT!N1910,CHOOSE({1,2},INPUT!$A$3:$A$5000&amp;INPUT!$C$3:$C$5000,INPUT!$D$3:$D$5000),2,FALSE),"")</f>
        <v>TEC-TAC</v>
      </c>
      <c r="I1915" s="46">
        <f>IF(INPUT!P1910="","",INPUT!P1910)</f>
        <v>71</v>
      </c>
      <c r="J1915" s="46">
        <f>IF(INPUT!Q1910="","",INPUT!Q1910)</f>
        <v>71</v>
      </c>
      <c r="K1915" s="46">
        <f>IFERROR(IF(OR(INPUT!P1910="",INPUT!Q1910=""),"",INPUT!P1910-INPUT!Q1910),"")</f>
        <v>0</v>
      </c>
      <c r="L1915" s="48">
        <f>IFERROR(IF(OR(INPUT!P1910="",INPUT!Q1910="",INPUT!P1910=0),"",(INPUT!P1910-INPUT!Q1910)/INPUT!P1910),"")</f>
        <v>0</v>
      </c>
    </row>
    <row r="1916" spans="1:12" ht="18" hidden="1" customHeight="1" x14ac:dyDescent="0.2">
      <c r="A1916" s="11">
        <f>IF(INPUT!M1911="","",INPUT!M1911)</f>
        <v>46058</v>
      </c>
      <c r="B1916" s="11">
        <f>IF(INPUT!M1911="","",INPUT!M1911-WEEKDAY(INPUT!M1911,2)+1)</f>
        <v>46055</v>
      </c>
      <c r="C1916" s="20">
        <f>IFERROR(_xlfn.ISOWEEKNUM(INPUT!M1911),"")</f>
        <v>6</v>
      </c>
      <c r="D1916" s="20">
        <f>IFERROR(YEAR(INPUT!M1911),"")</f>
        <v>2026</v>
      </c>
      <c r="E1916" t="str">
        <f>IF(INPUT!O1911="","",INPUT!O1911)</f>
        <v>CARLOS</v>
      </c>
      <c r="F1916" t="str">
        <f>IF(INPUT!N1911="","",INPUT!N1911)</f>
        <v>M</v>
      </c>
      <c r="G1916" t="str" cm="1">
        <f t="array" ref="G1916">IFERROR(VLOOKUP(INPUT!M1911&amp;INPUT!N1911,CHOOSE({1,2},INPUT!$A$3:$A$5000&amp;INPUT!$C$3:$C$5000,INPUT!$F$3:$F$5000),2,FALSE),"")</f>
        <v>PRE-TEMPORADA</v>
      </c>
      <c r="H1916" t="str" cm="1">
        <f t="array" ref="H1916">IFERROR(VLOOKUP(INPUT!M1911&amp;INPUT!N1911,CHOOSE({1,2},INPUT!$A$3:$A$5000&amp;INPUT!$C$3:$C$5000,INPUT!$D$3:$D$5000),2,FALSE),"")</f>
        <v>TEC-TAC</v>
      </c>
      <c r="I1916" s="46">
        <f>IF(INPUT!P1911="","",INPUT!P1911)</f>
        <v>67</v>
      </c>
      <c r="J1916" s="46">
        <f>IF(INPUT!Q1911="","",INPUT!Q1911)</f>
        <v>67</v>
      </c>
      <c r="K1916" s="46">
        <f>IFERROR(IF(OR(INPUT!P1911="",INPUT!Q1911=""),"",INPUT!P1911-INPUT!Q1911),"")</f>
        <v>0</v>
      </c>
      <c r="L1916" s="48">
        <f>IFERROR(IF(OR(INPUT!P1911="",INPUT!Q1911="",INPUT!P1911=0),"",(INPUT!P1911-INPUT!Q1911)/INPUT!P1911),"")</f>
        <v>0</v>
      </c>
    </row>
    <row r="1917" spans="1:12" ht="18" hidden="1" customHeight="1" x14ac:dyDescent="0.2">
      <c r="A1917" s="11">
        <f>IF(INPUT!M1912="","",INPUT!M1912)</f>
        <v>46058</v>
      </c>
      <c r="B1917" s="11">
        <f>IF(INPUT!M1912="","",INPUT!M1912-WEEKDAY(INPUT!M1912,2)+1)</f>
        <v>46055</v>
      </c>
      <c r="C1917" s="20">
        <f>IFERROR(_xlfn.ISOWEEKNUM(INPUT!M1912),"")</f>
        <v>6</v>
      </c>
      <c r="D1917" s="20">
        <f>IFERROR(YEAR(INPUT!M1912),"")</f>
        <v>2026</v>
      </c>
      <c r="E1917" t="str">
        <f>IF(INPUT!O1912="","",INPUT!O1912)</f>
        <v>GONZALO</v>
      </c>
      <c r="F1917" t="str">
        <f>IF(INPUT!N1912="","",INPUT!N1912)</f>
        <v>M</v>
      </c>
      <c r="G1917" t="str" cm="1">
        <f t="array" ref="G1917">IFERROR(VLOOKUP(INPUT!M1912&amp;INPUT!N1912,CHOOSE({1,2},INPUT!$A$3:$A$5000&amp;INPUT!$C$3:$C$5000,INPUT!$F$3:$F$5000),2,FALSE),"")</f>
        <v>PRE-TEMPORADA</v>
      </c>
      <c r="H1917" t="str" cm="1">
        <f t="array" ref="H1917">IFERROR(VLOOKUP(INPUT!M1912&amp;INPUT!N1912,CHOOSE({1,2},INPUT!$A$3:$A$5000&amp;INPUT!$C$3:$C$5000,INPUT!$D$3:$D$5000),2,FALSE),"")</f>
        <v>TEC-TAC</v>
      </c>
      <c r="I1917" s="46">
        <f>IF(INPUT!P1912="","",INPUT!P1912)</f>
        <v>83.2</v>
      </c>
      <c r="J1917" s="46">
        <f>IF(INPUT!Q1912="","",INPUT!Q1912)</f>
        <v>83.2</v>
      </c>
      <c r="K1917" s="46">
        <f>IFERROR(IF(OR(INPUT!P1912="",INPUT!Q1912=""),"",INPUT!P1912-INPUT!Q1912),"")</f>
        <v>0</v>
      </c>
      <c r="L1917" s="48">
        <f>IFERROR(IF(OR(INPUT!P1912="",INPUT!Q1912="",INPUT!P1912=0),"",(INPUT!P1912-INPUT!Q1912)/INPUT!P1912),"")</f>
        <v>0</v>
      </c>
    </row>
    <row r="1918" spans="1:12" ht="18" hidden="1" customHeight="1" x14ac:dyDescent="0.2">
      <c r="A1918" s="11">
        <f>IF(INPUT!M1913="","",INPUT!M1913)</f>
        <v>46058</v>
      </c>
      <c r="B1918" s="11">
        <f>IF(INPUT!M1913="","",INPUT!M1913-WEEKDAY(INPUT!M1913,2)+1)</f>
        <v>46055</v>
      </c>
      <c r="C1918" s="20">
        <f>IFERROR(_xlfn.ISOWEEKNUM(INPUT!M1913),"")</f>
        <v>6</v>
      </c>
      <c r="D1918" s="20">
        <f>IFERROR(YEAR(INPUT!M1913),"")</f>
        <v>2026</v>
      </c>
      <c r="E1918" t="str">
        <f>IF(INPUT!O1913="","",INPUT!O1913)</f>
        <v>RUBIO</v>
      </c>
      <c r="F1918" t="str">
        <f>IF(INPUT!N1913="","",INPUT!N1913)</f>
        <v>M</v>
      </c>
      <c r="G1918" t="str" cm="1">
        <f t="array" ref="G1918">IFERROR(VLOOKUP(INPUT!M1913&amp;INPUT!N1913,CHOOSE({1,2},INPUT!$A$3:$A$5000&amp;INPUT!$C$3:$C$5000,INPUT!$F$3:$F$5000),2,FALSE),"")</f>
        <v>PRE-TEMPORADA</v>
      </c>
      <c r="H1918" t="str" cm="1">
        <f t="array" ref="H1918">IFERROR(VLOOKUP(INPUT!M1913&amp;INPUT!N1913,CHOOSE({1,2},INPUT!$A$3:$A$5000&amp;INPUT!$C$3:$C$5000,INPUT!$D$3:$D$5000),2,FALSE),"")</f>
        <v>TEC-TAC</v>
      </c>
      <c r="I1918" s="46">
        <f>IF(INPUT!P1913="","",INPUT!P1913)</f>
        <v>74.099999999999994</v>
      </c>
      <c r="J1918" s="46">
        <f>IF(INPUT!Q1913="","",INPUT!Q1913)</f>
        <v>74.099999999999994</v>
      </c>
      <c r="K1918" s="46">
        <f>IFERROR(IF(OR(INPUT!P1913="",INPUT!Q1913=""),"",INPUT!P1913-INPUT!Q1913),"")</f>
        <v>0</v>
      </c>
      <c r="L1918" s="48">
        <f>IFERROR(IF(OR(INPUT!P1913="",INPUT!Q1913="",INPUT!P1913=0),"",(INPUT!P1913-INPUT!Q1913)/INPUT!P1913),"")</f>
        <v>0</v>
      </c>
    </row>
    <row r="1919" spans="1:12" ht="18" hidden="1" customHeight="1" x14ac:dyDescent="0.2">
      <c r="A1919" s="11">
        <f>IF(INPUT!M1914="","",INPUT!M1914)</f>
        <v>46058</v>
      </c>
      <c r="B1919" s="11">
        <f>IF(INPUT!M1914="","",INPUT!M1914-WEEKDAY(INPUT!M1914,2)+1)</f>
        <v>46055</v>
      </c>
      <c r="C1919" s="20">
        <f>IFERROR(_xlfn.ISOWEEKNUM(INPUT!M1914),"")</f>
        <v>6</v>
      </c>
      <c r="D1919" s="20">
        <f>IFERROR(YEAR(INPUT!M1914),"")</f>
        <v>2026</v>
      </c>
      <c r="E1919" t="str">
        <f>IF(INPUT!O1914="","",INPUT!O1914)</f>
        <v>DANI</v>
      </c>
      <c r="F1919" t="str">
        <f>IF(INPUT!N1914="","",INPUT!N1914)</f>
        <v>M</v>
      </c>
      <c r="G1919" t="str" cm="1">
        <f t="array" ref="G1919">IFERROR(VLOOKUP(INPUT!M1914&amp;INPUT!N1914,CHOOSE({1,2},INPUT!$A$3:$A$5000&amp;INPUT!$C$3:$C$5000,INPUT!$F$3:$F$5000),2,FALSE),"")</f>
        <v>PRE-TEMPORADA</v>
      </c>
      <c r="H1919" t="str" cm="1">
        <f t="array" ref="H1919">IFERROR(VLOOKUP(INPUT!M1914&amp;INPUT!N1914,CHOOSE({1,2},INPUT!$A$3:$A$5000&amp;INPUT!$C$3:$C$5000,INPUT!$D$3:$D$5000),2,FALSE),"")</f>
        <v>TEC-TAC</v>
      </c>
      <c r="I1919" s="46">
        <f>IF(INPUT!P1914="","",INPUT!P1914)</f>
        <v>90.6</v>
      </c>
      <c r="J1919" s="46">
        <f>IF(INPUT!Q1914="","",INPUT!Q1914)</f>
        <v>90.3</v>
      </c>
      <c r="K1919" s="46">
        <f>IFERROR(IF(OR(INPUT!P1914="",INPUT!Q1914=""),"",INPUT!P1914-INPUT!Q1914),"")</f>
        <v>0.29999999999999716</v>
      </c>
      <c r="L1919" s="48">
        <f>IFERROR(IF(OR(INPUT!P1914="",INPUT!Q1914="",INPUT!P1914=0),"",(INPUT!P1914-INPUT!Q1914)/INPUT!P1914),"")</f>
        <v>3.3112582781456641E-3</v>
      </c>
    </row>
    <row r="1920" spans="1:12" ht="18" hidden="1" customHeight="1" x14ac:dyDescent="0.2">
      <c r="A1920" s="11">
        <f>IF(INPUT!M1915="","",INPUT!M1915)</f>
        <v>46059</v>
      </c>
      <c r="B1920" s="11">
        <f>IF(INPUT!M1915="","",INPUT!M1915-WEEKDAY(INPUT!M1915,2)+1)</f>
        <v>46055</v>
      </c>
      <c r="C1920" s="20">
        <f>IFERROR(_xlfn.ISOWEEKNUM(INPUT!M1915),"")</f>
        <v>6</v>
      </c>
      <c r="D1920" s="20">
        <f>IFERROR(YEAR(INPUT!M1915),"")</f>
        <v>2026</v>
      </c>
      <c r="E1920" t="str">
        <f>IF(INPUT!O1915="","",INPUT!O1915)</f>
        <v>HERRERO</v>
      </c>
      <c r="F1920" t="str">
        <f>IF(INPUT!N1915="","",INPUT!N1915)</f>
        <v>M</v>
      </c>
      <c r="G1920" t="str" cm="1">
        <f t="array" ref="G1920">IFERROR(VLOOKUP(INPUT!M1915&amp;INPUT!N1915,CHOOSE({1,2},INPUT!$A$3:$A$5000&amp;INPUT!$C$3:$C$5000,INPUT!$F$3:$F$5000),2,FALSE),"")</f>
        <v/>
      </c>
      <c r="H1920" t="str" cm="1">
        <f t="array" ref="H1920">IFERROR(VLOOKUP(INPUT!M1915&amp;INPUT!N1915,CHOOSE({1,2},INPUT!$A$3:$A$5000&amp;INPUT!$C$3:$C$5000,INPUT!$D$3:$D$5000),2,FALSE),"")</f>
        <v/>
      </c>
      <c r="I1920" s="46">
        <f>IF(INPUT!P1915="","",INPUT!P1915)</f>
        <v>77</v>
      </c>
      <c r="J1920" s="46">
        <f>IF(INPUT!Q1915="","",INPUT!Q1915)</f>
        <v>77</v>
      </c>
      <c r="K1920" s="46">
        <f>IFERROR(IF(OR(INPUT!P1915="",INPUT!Q1915=""),"",INPUT!P1915-INPUT!Q1915),"")</f>
        <v>0</v>
      </c>
      <c r="L1920" s="48">
        <f>IFERROR(IF(OR(INPUT!P1915="",INPUT!Q1915="",INPUT!P1915=0),"",(INPUT!P1915-INPUT!Q1915)/INPUT!P1915),"")</f>
        <v>0</v>
      </c>
    </row>
    <row r="1921" spans="1:12" ht="18" hidden="1" customHeight="1" x14ac:dyDescent="0.2">
      <c r="A1921" s="11">
        <f>IF(INPUT!M1916="","",INPUT!M1916)</f>
        <v>46059</v>
      </c>
      <c r="B1921" s="11">
        <f>IF(INPUT!M1916="","",INPUT!M1916-WEEKDAY(INPUT!M1916,2)+1)</f>
        <v>46055</v>
      </c>
      <c r="C1921" s="20">
        <f>IFERROR(_xlfn.ISOWEEKNUM(INPUT!M1916),"")</f>
        <v>6</v>
      </c>
      <c r="D1921" s="20">
        <f>IFERROR(YEAR(INPUT!M1916),"")</f>
        <v>2026</v>
      </c>
      <c r="E1921" t="str">
        <f>IF(INPUT!O1916="","",INPUT!O1916)</f>
        <v>GARCIA</v>
      </c>
      <c r="F1921" t="str">
        <f>IF(INPUT!N1916="","",INPUT!N1916)</f>
        <v>M</v>
      </c>
      <c r="G1921" t="str" cm="1">
        <f t="array" ref="G1921">IFERROR(VLOOKUP(INPUT!M1916&amp;INPUT!N1916,CHOOSE({1,2},INPUT!$A$3:$A$5000&amp;INPUT!$C$3:$C$5000,INPUT!$F$3:$F$5000),2,FALSE),"")</f>
        <v/>
      </c>
      <c r="H1921" t="str" cm="1">
        <f t="array" ref="H1921">IFERROR(VLOOKUP(INPUT!M1916&amp;INPUT!N1916,CHOOSE({1,2},INPUT!$A$3:$A$5000&amp;INPUT!$C$3:$C$5000,INPUT!$D$3:$D$5000),2,FALSE),"")</f>
        <v/>
      </c>
      <c r="I1921" s="46">
        <f>IF(INPUT!P1916="","",INPUT!P1916)</f>
        <v>79</v>
      </c>
      <c r="J1921" s="46">
        <f>IF(INPUT!Q1916="","",INPUT!Q1916)</f>
        <v>79</v>
      </c>
      <c r="K1921" s="46">
        <f>IFERROR(IF(OR(INPUT!P1916="",INPUT!Q1916=""),"",INPUT!P1916-INPUT!Q1916),"")</f>
        <v>0</v>
      </c>
      <c r="L1921" s="48">
        <f>IFERROR(IF(OR(INPUT!P1916="",INPUT!Q1916="",INPUT!P1916=0),"",(INPUT!P1916-INPUT!Q1916)/INPUT!P1916),"")</f>
        <v>0</v>
      </c>
    </row>
    <row r="1922" spans="1:12" ht="18" hidden="1" customHeight="1" x14ac:dyDescent="0.2">
      <c r="A1922" s="11">
        <f>IF(INPUT!M1917="","",INPUT!M1917)</f>
        <v>46059</v>
      </c>
      <c r="B1922" s="11">
        <f>IF(INPUT!M1917="","",INPUT!M1917-WEEKDAY(INPUT!M1917,2)+1)</f>
        <v>46055</v>
      </c>
      <c r="C1922" s="20">
        <f>IFERROR(_xlfn.ISOWEEKNUM(INPUT!M1917),"")</f>
        <v>6</v>
      </c>
      <c r="D1922" s="20">
        <f>IFERROR(YEAR(INPUT!M1917),"")</f>
        <v>2026</v>
      </c>
      <c r="E1922" t="str">
        <f>IF(INPUT!O1917="","",INPUT!O1917)</f>
        <v>CHAGUINHA</v>
      </c>
      <c r="F1922" t="str">
        <f>IF(INPUT!N1917="","",INPUT!N1917)</f>
        <v>M</v>
      </c>
      <c r="G1922" t="str" cm="1">
        <f t="array" ref="G1922">IFERROR(VLOOKUP(INPUT!M1917&amp;INPUT!N1917,CHOOSE({1,2},INPUT!$A$3:$A$5000&amp;INPUT!$C$3:$C$5000,INPUT!$F$3:$F$5000),2,FALSE),"")</f>
        <v/>
      </c>
      <c r="H1922" t="str" cm="1">
        <f t="array" ref="H1922">IFERROR(VLOOKUP(INPUT!M1917&amp;INPUT!N1917,CHOOSE({1,2},INPUT!$A$3:$A$5000&amp;INPUT!$C$3:$C$5000,INPUT!$D$3:$D$5000),2,FALSE),"")</f>
        <v/>
      </c>
      <c r="I1922" s="46">
        <f>IF(INPUT!P1917="","",INPUT!P1917)</f>
        <v>68.5</v>
      </c>
      <c r="J1922" s="46">
        <f>IF(INPUT!Q1917="","",INPUT!Q1917)</f>
        <v>68.5</v>
      </c>
      <c r="K1922" s="46">
        <f>IFERROR(IF(OR(INPUT!P1917="",INPUT!Q1917=""),"",INPUT!P1917-INPUT!Q1917),"")</f>
        <v>0</v>
      </c>
      <c r="L1922" s="48">
        <f>IFERROR(IF(OR(INPUT!P1917="",INPUT!Q1917="",INPUT!P1917=0),"",(INPUT!P1917-INPUT!Q1917)/INPUT!P1917),"")</f>
        <v>0</v>
      </c>
    </row>
    <row r="1923" spans="1:12" ht="18" hidden="1" customHeight="1" x14ac:dyDescent="0.2">
      <c r="A1923" s="11">
        <f>IF(INPUT!M1918="","",INPUT!M1918)</f>
        <v>46059</v>
      </c>
      <c r="B1923" s="11">
        <f>IF(INPUT!M1918="","",INPUT!M1918-WEEKDAY(INPUT!M1918,2)+1)</f>
        <v>46055</v>
      </c>
      <c r="C1923" s="20">
        <f>IFERROR(_xlfn.ISOWEEKNUM(INPUT!M1918),"")</f>
        <v>6</v>
      </c>
      <c r="D1923" s="20">
        <f>IFERROR(YEAR(INPUT!M1918),"")</f>
        <v>2026</v>
      </c>
      <c r="E1923" t="str">
        <f>IF(INPUT!O1918="","",INPUT!O1918)</f>
        <v>RAUL</v>
      </c>
      <c r="F1923" t="str">
        <f>IF(INPUT!N1918="","",INPUT!N1918)</f>
        <v>M</v>
      </c>
      <c r="G1923" t="str" cm="1">
        <f t="array" ref="G1923">IFERROR(VLOOKUP(INPUT!M1918&amp;INPUT!N1918,CHOOSE({1,2},INPUT!$A$3:$A$5000&amp;INPUT!$C$3:$C$5000,INPUT!$F$3:$F$5000),2,FALSE),"")</f>
        <v/>
      </c>
      <c r="H1923" t="str" cm="1">
        <f t="array" ref="H1923">IFERROR(VLOOKUP(INPUT!M1918&amp;INPUT!N1918,CHOOSE({1,2},INPUT!$A$3:$A$5000&amp;INPUT!$C$3:$C$5000,INPUT!$D$3:$D$5000),2,FALSE),"")</f>
        <v/>
      </c>
      <c r="I1923" s="46">
        <f>IF(INPUT!P1918="","",INPUT!P1918)</f>
        <v>81</v>
      </c>
      <c r="J1923" s="46">
        <f>IF(INPUT!Q1918="","",INPUT!Q1918)</f>
        <v>81</v>
      </c>
      <c r="K1923" s="46">
        <f>IFERROR(IF(OR(INPUT!P1918="",INPUT!Q1918=""),"",INPUT!P1918-INPUT!Q1918),"")</f>
        <v>0</v>
      </c>
      <c r="L1923" s="48">
        <f>IFERROR(IF(OR(INPUT!P1918="",INPUT!Q1918="",INPUT!P1918=0),"",(INPUT!P1918-INPUT!Q1918)/INPUT!P1918),"")</f>
        <v>0</v>
      </c>
    </row>
    <row r="1924" spans="1:12" ht="18" hidden="1" customHeight="1" x14ac:dyDescent="0.2">
      <c r="A1924" s="11">
        <f>IF(INPUT!M1919="","",INPUT!M1919)</f>
        <v>46059</v>
      </c>
      <c r="B1924" s="11">
        <f>IF(INPUT!M1919="","",INPUT!M1919-WEEKDAY(INPUT!M1919,2)+1)</f>
        <v>46055</v>
      </c>
      <c r="C1924" s="20">
        <f>IFERROR(_xlfn.ISOWEEKNUM(INPUT!M1919),"")</f>
        <v>6</v>
      </c>
      <c r="D1924" s="20">
        <f>IFERROR(YEAR(INPUT!M1919),"")</f>
        <v>2026</v>
      </c>
      <c r="E1924" t="str">
        <f>IF(INPUT!O1919="","",INPUT!O1919)</f>
        <v>JAVI</v>
      </c>
      <c r="F1924" t="str">
        <f>IF(INPUT!N1919="","",INPUT!N1919)</f>
        <v>M</v>
      </c>
      <c r="G1924" t="str" cm="1">
        <f t="array" ref="G1924">IFERROR(VLOOKUP(INPUT!M1919&amp;INPUT!N1919,CHOOSE({1,2},INPUT!$A$3:$A$5000&amp;INPUT!$C$3:$C$5000,INPUT!$F$3:$F$5000),2,FALSE),"")</f>
        <v/>
      </c>
      <c r="H1924" t="str" cm="1">
        <f t="array" ref="H1924">IFERROR(VLOOKUP(INPUT!M1919&amp;INPUT!N1919,CHOOSE({1,2},INPUT!$A$3:$A$5000&amp;INPUT!$C$3:$C$5000,INPUT!$D$3:$D$5000),2,FALSE),"")</f>
        <v/>
      </c>
      <c r="I1924" s="46">
        <f>IF(INPUT!P1919="","",INPUT!P1919)</f>
        <v>79</v>
      </c>
      <c r="J1924" s="46">
        <f>IF(INPUT!Q1919="","",INPUT!Q1919)</f>
        <v>79</v>
      </c>
      <c r="K1924" s="46">
        <f>IFERROR(IF(OR(INPUT!P1919="",INPUT!Q1919=""),"",INPUT!P1919-INPUT!Q1919),"")</f>
        <v>0</v>
      </c>
      <c r="L1924" s="48">
        <f>IFERROR(IF(OR(INPUT!P1919="",INPUT!Q1919="",INPUT!P1919=0),"",(INPUT!P1919-INPUT!Q1919)/INPUT!P1919),"")</f>
        <v>0</v>
      </c>
    </row>
    <row r="1925" spans="1:12" ht="18" hidden="1" customHeight="1" x14ac:dyDescent="0.2">
      <c r="A1925" s="11">
        <f>IF(INPUT!M1920="","",INPUT!M1920)</f>
        <v>46059</v>
      </c>
      <c r="B1925" s="11">
        <f>IF(INPUT!M1920="","",INPUT!M1920-WEEKDAY(INPUT!M1920,2)+1)</f>
        <v>46055</v>
      </c>
      <c r="C1925" s="20">
        <f>IFERROR(_xlfn.ISOWEEKNUM(INPUT!M1920),"")</f>
        <v>6</v>
      </c>
      <c r="D1925" s="20">
        <f>IFERROR(YEAR(INPUT!M1920),"")</f>
        <v>2026</v>
      </c>
      <c r="E1925" t="str">
        <f>IF(INPUT!O1920="","",INPUT!O1920)</f>
        <v>PANI</v>
      </c>
      <c r="F1925" t="str">
        <f>IF(INPUT!N1920="","",INPUT!N1920)</f>
        <v>M</v>
      </c>
      <c r="G1925" t="str" cm="1">
        <f t="array" ref="G1925">IFERROR(VLOOKUP(INPUT!M1920&amp;INPUT!N1920,CHOOSE({1,2},INPUT!$A$3:$A$5000&amp;INPUT!$C$3:$C$5000,INPUT!$F$3:$F$5000),2,FALSE),"")</f>
        <v/>
      </c>
      <c r="H1925" t="str" cm="1">
        <f t="array" ref="H1925">IFERROR(VLOOKUP(INPUT!M1920&amp;INPUT!N1920,CHOOSE({1,2},INPUT!$A$3:$A$5000&amp;INPUT!$C$3:$C$5000,INPUT!$D$3:$D$5000),2,FALSE),"")</f>
        <v/>
      </c>
      <c r="I1925" s="46">
        <f>IF(INPUT!P1920="","",INPUT!P1920)</f>
        <v>66.5</v>
      </c>
      <c r="J1925" s="46">
        <f>IF(INPUT!Q1920="","",INPUT!Q1920)</f>
        <v>66</v>
      </c>
      <c r="K1925" s="46">
        <f>IFERROR(IF(OR(INPUT!P1920="",INPUT!Q1920=""),"",INPUT!P1920-INPUT!Q1920),"")</f>
        <v>0.5</v>
      </c>
      <c r="L1925" s="48">
        <f>IFERROR(IF(OR(INPUT!P1920="",INPUT!Q1920="",INPUT!P1920=0),"",(INPUT!P1920-INPUT!Q1920)/INPUT!P1920),"")</f>
        <v>7.5187969924812026E-3</v>
      </c>
    </row>
    <row r="1926" spans="1:12" ht="18" hidden="1" customHeight="1" x14ac:dyDescent="0.2">
      <c r="A1926" s="11">
        <f>IF(INPUT!M1921="","",INPUT!M1921)</f>
        <v>46059</v>
      </c>
      <c r="B1926" s="11">
        <f>IF(INPUT!M1921="","",INPUT!M1921-WEEKDAY(INPUT!M1921,2)+1)</f>
        <v>46055</v>
      </c>
      <c r="C1926" s="20">
        <f>IFERROR(_xlfn.ISOWEEKNUM(INPUT!M1921),"")</f>
        <v>6</v>
      </c>
      <c r="D1926" s="20">
        <f>IFERROR(YEAR(INPUT!M1921),"")</f>
        <v>2026</v>
      </c>
      <c r="E1926" t="str">
        <f>IF(INPUT!O1921="","",INPUT!O1921)</f>
        <v>PIRATA</v>
      </c>
      <c r="F1926" t="str">
        <f>IF(INPUT!N1921="","",INPUT!N1921)</f>
        <v>M</v>
      </c>
      <c r="G1926" t="str" cm="1">
        <f t="array" ref="G1926">IFERROR(VLOOKUP(INPUT!M1921&amp;INPUT!N1921,CHOOSE({1,2},INPUT!$A$3:$A$5000&amp;INPUT!$C$3:$C$5000,INPUT!$F$3:$F$5000),2,FALSE),"")</f>
        <v/>
      </c>
      <c r="H1926" t="str" cm="1">
        <f t="array" ref="H1926">IFERROR(VLOOKUP(INPUT!M1921&amp;INPUT!N1921,CHOOSE({1,2},INPUT!$A$3:$A$5000&amp;INPUT!$C$3:$C$5000,INPUT!$D$3:$D$5000),2,FALSE),"")</f>
        <v/>
      </c>
      <c r="I1926" s="46">
        <f>IF(INPUT!P1921="","",INPUT!P1921)</f>
        <v>75</v>
      </c>
      <c r="J1926" s="46">
        <f>IF(INPUT!Q1921="","",INPUT!Q1921)</f>
        <v>75</v>
      </c>
      <c r="K1926" s="46">
        <f>IFERROR(IF(OR(INPUT!P1921="",INPUT!Q1921=""),"",INPUT!P1921-INPUT!Q1921),"")</f>
        <v>0</v>
      </c>
      <c r="L1926" s="48">
        <f>IFERROR(IF(OR(INPUT!P1921="",INPUT!Q1921="",INPUT!P1921=0),"",(INPUT!P1921-INPUT!Q1921)/INPUT!P1921),"")</f>
        <v>0</v>
      </c>
    </row>
    <row r="1927" spans="1:12" ht="18" hidden="1" customHeight="1" x14ac:dyDescent="0.2">
      <c r="A1927" s="11">
        <f>IF(INPUT!M1922="","",INPUT!M1922)</f>
        <v>46059</v>
      </c>
      <c r="B1927" s="11">
        <f>IF(INPUT!M1922="","",INPUT!M1922-WEEKDAY(INPUT!M1922,2)+1)</f>
        <v>46055</v>
      </c>
      <c r="C1927" s="20">
        <f>IFERROR(_xlfn.ISOWEEKNUM(INPUT!M1922),"")</f>
        <v>6</v>
      </c>
      <c r="D1927" s="20">
        <f>IFERROR(YEAR(INPUT!M1922),"")</f>
        <v>2026</v>
      </c>
      <c r="E1927" t="str">
        <f>IF(INPUT!O1922="","",INPUT!O1922)</f>
        <v>BARONA</v>
      </c>
      <c r="F1927" t="str">
        <f>IF(INPUT!N1922="","",INPUT!N1922)</f>
        <v>M</v>
      </c>
      <c r="G1927" t="str" cm="1">
        <f t="array" ref="G1927">IFERROR(VLOOKUP(INPUT!M1922&amp;INPUT!N1922,CHOOSE({1,2},INPUT!$A$3:$A$5000&amp;INPUT!$C$3:$C$5000,INPUT!$F$3:$F$5000),2,FALSE),"")</f>
        <v/>
      </c>
      <c r="H1927" t="str" cm="1">
        <f t="array" ref="H1927">IFERROR(VLOOKUP(INPUT!M1922&amp;INPUT!N1922,CHOOSE({1,2},INPUT!$A$3:$A$5000&amp;INPUT!$C$3:$C$5000,INPUT!$D$3:$D$5000),2,FALSE),"")</f>
        <v/>
      </c>
      <c r="I1927" s="46">
        <f>IF(INPUT!P1922="","",INPUT!P1922)</f>
        <v>71.400000000000006</v>
      </c>
      <c r="J1927" s="46">
        <f>IF(INPUT!Q1922="","",INPUT!Q1922)</f>
        <v>71</v>
      </c>
      <c r="K1927" s="46">
        <f>IFERROR(IF(OR(INPUT!P1922="",INPUT!Q1922=""),"",INPUT!P1922-INPUT!Q1922),"")</f>
        <v>0.40000000000000568</v>
      </c>
      <c r="L1927" s="48">
        <f>IFERROR(IF(OR(INPUT!P1922="",INPUT!Q1922="",INPUT!P1922=0),"",(INPUT!P1922-INPUT!Q1922)/INPUT!P1922),"")</f>
        <v>5.6022408963586224E-3</v>
      </c>
    </row>
    <row r="1928" spans="1:12" ht="18" customHeight="1" x14ac:dyDescent="0.2">
      <c r="A1928" s="11">
        <f>IF(INPUT!M1923="","",INPUT!M1923)</f>
        <v>46059</v>
      </c>
      <c r="B1928" s="11">
        <f>IF(INPUT!M1923="","",INPUT!M1923-WEEKDAY(INPUT!M1923,2)+1)</f>
        <v>46055</v>
      </c>
      <c r="C1928" s="20">
        <f>IFERROR(_xlfn.ISOWEEKNUM(INPUT!M1923),"")</f>
        <v>6</v>
      </c>
      <c r="D1928" s="20">
        <f>IFERROR(YEAR(INPUT!M1923),"")</f>
        <v>2026</v>
      </c>
      <c r="E1928" t="str">
        <f>IF(INPUT!O1923="","",INPUT!O1923)</f>
        <v>CARLOS</v>
      </c>
      <c r="F1928" t="str">
        <f>IF(INPUT!N1923="","",INPUT!N1923)</f>
        <v>M</v>
      </c>
      <c r="G1928" t="str" cm="1">
        <f t="array" ref="G1928">IFERROR(VLOOKUP(INPUT!M1923&amp;INPUT!N1923,CHOOSE({1,2},INPUT!$A$3:$A$5000&amp;INPUT!$C$3:$C$5000,INPUT!$F$3:$F$5000),2,FALSE),"")</f>
        <v/>
      </c>
      <c r="H1928" t="str" cm="1">
        <f t="array" ref="H1928">IFERROR(VLOOKUP(INPUT!M1923&amp;INPUT!N1923,CHOOSE({1,2},INPUT!$A$3:$A$5000&amp;INPUT!$C$3:$C$5000,INPUT!$D$3:$D$5000),2,FALSE),"")</f>
        <v/>
      </c>
      <c r="I1928" s="46">
        <f>IF(INPUT!P1923="","",INPUT!P1923)</f>
        <v>67.7</v>
      </c>
      <c r="J1928" s="46">
        <f>IF(INPUT!Q1923="","",INPUT!Q1923)</f>
        <v>67</v>
      </c>
      <c r="K1928" s="46">
        <f>IFERROR(IF(OR(INPUT!P1923="",INPUT!Q1923=""),"",INPUT!P1923-INPUT!Q1923),"")</f>
        <v>0.70000000000000284</v>
      </c>
      <c r="L1928" s="48">
        <f>IFERROR(IF(OR(INPUT!P1923="",INPUT!Q1923="",INPUT!P1923=0),"",(INPUT!P1923-INPUT!Q1923)/INPUT!P1923),"")</f>
        <v>1.0339734121122641E-2</v>
      </c>
    </row>
    <row r="1929" spans="1:12" ht="18" customHeight="1" x14ac:dyDescent="0.2">
      <c r="A1929" s="11">
        <f>IF(INPUT!M1924="","",INPUT!M1924)</f>
        <v>46059</v>
      </c>
      <c r="B1929" s="11">
        <f>IF(INPUT!M1924="","",INPUT!M1924-WEEKDAY(INPUT!M1924,2)+1)</f>
        <v>46055</v>
      </c>
      <c r="C1929" s="20">
        <f>IFERROR(_xlfn.ISOWEEKNUM(INPUT!M1924),"")</f>
        <v>6</v>
      </c>
      <c r="D1929" s="20">
        <f>IFERROR(YEAR(INPUT!M1924),"")</f>
        <v>2026</v>
      </c>
      <c r="E1929" t="str">
        <f>IF(INPUT!O1924="","",INPUT!O1924)</f>
        <v>GONZALO</v>
      </c>
      <c r="F1929" t="str">
        <f>IF(INPUT!N1924="","",INPUT!N1924)</f>
        <v>M</v>
      </c>
      <c r="G1929" t="str" cm="1">
        <f t="array" ref="G1929">IFERROR(VLOOKUP(INPUT!M1924&amp;INPUT!N1924,CHOOSE({1,2},INPUT!$A$3:$A$5000&amp;INPUT!$C$3:$C$5000,INPUT!$F$3:$F$5000),2,FALSE),"")</f>
        <v/>
      </c>
      <c r="H1929" t="str" cm="1">
        <f t="array" ref="H1929">IFERROR(VLOOKUP(INPUT!M1924&amp;INPUT!N1924,CHOOSE({1,2},INPUT!$A$3:$A$5000&amp;INPUT!$C$3:$C$5000,INPUT!$D$3:$D$5000),2,FALSE),"")</f>
        <v/>
      </c>
      <c r="I1929" s="46">
        <f>IF(INPUT!P1924="","",INPUT!P1924)</f>
        <v>83</v>
      </c>
      <c r="J1929" s="46">
        <f>IF(INPUT!Q1924="","",INPUT!Q1924)</f>
        <v>83</v>
      </c>
      <c r="K1929" s="46">
        <f>IFERROR(IF(OR(INPUT!P1924="",INPUT!Q1924=""),"",INPUT!P1924-INPUT!Q1924),"")</f>
        <v>0</v>
      </c>
      <c r="L1929" s="48">
        <f>IFERROR(IF(OR(INPUT!P1924="",INPUT!Q1924="",INPUT!P1924=0),"",(INPUT!P1924-INPUT!Q1924)/INPUT!P1924),"")</f>
        <v>0</v>
      </c>
    </row>
    <row r="1930" spans="1:12" ht="18" customHeight="1" x14ac:dyDescent="0.2">
      <c r="A1930" s="11">
        <f>IF(INPUT!M1925="","",INPUT!M1925)</f>
        <v>46059</v>
      </c>
      <c r="B1930" s="11">
        <f>IF(INPUT!M1925="","",INPUT!M1925-WEEKDAY(INPUT!M1925,2)+1)</f>
        <v>46055</v>
      </c>
      <c r="C1930" s="20">
        <f>IFERROR(_xlfn.ISOWEEKNUM(INPUT!M1925),"")</f>
        <v>6</v>
      </c>
      <c r="D1930" s="20">
        <f>IFERROR(YEAR(INPUT!M1925),"")</f>
        <v>2026</v>
      </c>
      <c r="E1930" t="str">
        <f>IF(INPUT!O1925="","",INPUT!O1925)</f>
        <v>RUBIO</v>
      </c>
      <c r="F1930" t="str">
        <f>IF(INPUT!N1925="","",INPUT!N1925)</f>
        <v>M</v>
      </c>
      <c r="G1930" t="str" cm="1">
        <f t="array" ref="G1930">IFERROR(VLOOKUP(INPUT!M1925&amp;INPUT!N1925,CHOOSE({1,2},INPUT!$A$3:$A$5000&amp;INPUT!$C$3:$C$5000,INPUT!$F$3:$F$5000),2,FALSE),"")</f>
        <v/>
      </c>
      <c r="H1930" t="str" cm="1">
        <f t="array" ref="H1930">IFERROR(VLOOKUP(INPUT!M1925&amp;INPUT!N1925,CHOOSE({1,2},INPUT!$A$3:$A$5000&amp;INPUT!$C$3:$C$5000,INPUT!$D$3:$D$5000),2,FALSE),"")</f>
        <v/>
      </c>
      <c r="I1930" s="46">
        <f>IF(INPUT!P1925="","",INPUT!P1925)</f>
        <v>74</v>
      </c>
      <c r="J1930" s="46">
        <f>IF(INPUT!Q1925="","",INPUT!Q1925)</f>
        <v>74</v>
      </c>
      <c r="K1930" s="46">
        <f>IFERROR(IF(OR(INPUT!P1925="",INPUT!Q1925=""),"",INPUT!P1925-INPUT!Q1925),"")</f>
        <v>0</v>
      </c>
      <c r="L1930" s="48">
        <f>IFERROR(IF(OR(INPUT!P1925="",INPUT!Q1925="",INPUT!P1925=0),"",(INPUT!P1925-INPUT!Q1925)/INPUT!P1925),"")</f>
        <v>0</v>
      </c>
    </row>
    <row r="1931" spans="1:12" ht="18" customHeight="1" x14ac:dyDescent="0.2">
      <c r="A1931" s="11">
        <f>IF(INPUT!M1926="","",INPUT!M1926)</f>
        <v>46059</v>
      </c>
      <c r="B1931" s="11">
        <f>IF(INPUT!M1926="","",INPUT!M1926-WEEKDAY(INPUT!M1926,2)+1)</f>
        <v>46055</v>
      </c>
      <c r="C1931" s="20">
        <f>IFERROR(_xlfn.ISOWEEKNUM(INPUT!M1926),"")</f>
        <v>6</v>
      </c>
      <c r="D1931" s="20">
        <f>IFERROR(YEAR(INPUT!M1926),"")</f>
        <v>2026</v>
      </c>
      <c r="E1931" t="str">
        <f>IF(INPUT!O1926="","",INPUT!O1926)</f>
        <v>DANI</v>
      </c>
      <c r="F1931" t="str">
        <f>IF(INPUT!N1926="","",INPUT!N1926)</f>
        <v>M</v>
      </c>
      <c r="G1931" t="str" cm="1">
        <f t="array" ref="G1931">IFERROR(VLOOKUP(INPUT!M1926&amp;INPUT!N1926,CHOOSE({1,2},INPUT!$A$3:$A$5000&amp;INPUT!$C$3:$C$5000,INPUT!$F$3:$F$5000),2,FALSE),"")</f>
        <v/>
      </c>
      <c r="H1931" t="str" cm="1">
        <f t="array" ref="H1931">IFERROR(VLOOKUP(INPUT!M1926&amp;INPUT!N1926,CHOOSE({1,2},INPUT!$A$3:$A$5000&amp;INPUT!$C$3:$C$5000,INPUT!$D$3:$D$5000),2,FALSE),"")</f>
        <v/>
      </c>
      <c r="I1931" s="46">
        <f>IF(INPUT!P1926="","",INPUT!P1926)</f>
        <v>92.1</v>
      </c>
      <c r="J1931" s="46">
        <f>IF(INPUT!Q1926="","",INPUT!Q1926)</f>
        <v>91</v>
      </c>
      <c r="K1931" s="46">
        <f>IFERROR(IF(OR(INPUT!P1926="",INPUT!Q1926=""),"",INPUT!P1926-INPUT!Q1926),"")</f>
        <v>1.0999999999999943</v>
      </c>
      <c r="L1931" s="48">
        <f>IFERROR(IF(OR(INPUT!P1926="",INPUT!Q1926="",INPUT!P1926=0),"",(INPUT!P1926-INPUT!Q1926)/INPUT!P1926),"")</f>
        <v>1.1943539630835987E-2</v>
      </c>
    </row>
    <row r="1932" spans="1:12" ht="18" customHeight="1" x14ac:dyDescent="0.2">
      <c r="A1932" s="11">
        <f>IF(INPUT!M1927="","",INPUT!M1927)</f>
        <v>46059</v>
      </c>
      <c r="B1932" s="11">
        <f>IF(INPUT!M1927="","",INPUT!M1927-WEEKDAY(INPUT!M1927,2)+1)</f>
        <v>46055</v>
      </c>
      <c r="C1932" s="20">
        <f>IFERROR(_xlfn.ISOWEEKNUM(INPUT!M1927),"")</f>
        <v>6</v>
      </c>
      <c r="D1932" s="20">
        <f>IFERROR(YEAR(INPUT!M1927),"")</f>
        <v>2026</v>
      </c>
      <c r="E1932" t="str">
        <f>IF(INPUT!O1927="","",INPUT!O1927)</f>
        <v>JAIME</v>
      </c>
      <c r="F1932" t="str">
        <f>IF(INPUT!N1927="","",INPUT!N1927)</f>
        <v>M</v>
      </c>
      <c r="G1932" t="str" cm="1">
        <f t="array" ref="G1932">IFERROR(VLOOKUP(INPUT!M1927&amp;INPUT!N1927,CHOOSE({1,2},INPUT!$A$3:$A$5000&amp;INPUT!$C$3:$C$5000,INPUT!$F$3:$F$5000),2,FALSE),"")</f>
        <v/>
      </c>
      <c r="H1932" t="str" cm="1">
        <f t="array" ref="H1932">IFERROR(VLOOKUP(INPUT!M1927&amp;INPUT!N1927,CHOOSE({1,2},INPUT!$A$3:$A$5000&amp;INPUT!$C$3:$C$5000,INPUT!$D$3:$D$5000),2,FALSE),"")</f>
        <v/>
      </c>
      <c r="I1932" s="46">
        <f>IF(INPUT!P1927="","",INPUT!P1927)</f>
        <v>76.5</v>
      </c>
      <c r="J1932" s="46">
        <f>IF(INPUT!Q1927="","",INPUT!Q1927)</f>
        <v>76</v>
      </c>
      <c r="K1932" s="46">
        <f>IFERROR(IF(OR(INPUT!P1927="",INPUT!Q1927=""),"",INPUT!P1927-INPUT!Q1927),"")</f>
        <v>0.5</v>
      </c>
      <c r="L1932" s="48">
        <f>IFERROR(IF(OR(INPUT!P1927="",INPUT!Q1927="",INPUT!P1927=0),"",(INPUT!P1927-INPUT!Q1927)/INPUT!P1927),"")</f>
        <v>6.5359477124183009E-3</v>
      </c>
    </row>
    <row r="1933" spans="1:12" ht="18" hidden="1" customHeight="1" x14ac:dyDescent="0.2">
      <c r="A1933" s="11">
        <f>IF(INPUT!M1928="","",INPUT!M1928)</f>
        <v>46062</v>
      </c>
      <c r="B1933" s="11">
        <f>IF(INPUT!M1928="","",INPUT!M1928-WEEKDAY(INPUT!M1928,2)+1)</f>
        <v>46062</v>
      </c>
      <c r="C1933" s="20">
        <f>IFERROR(_xlfn.ISOWEEKNUM(INPUT!M1928),"")</f>
        <v>7</v>
      </c>
      <c r="D1933" s="20">
        <f>IFERROR(YEAR(INPUT!M1928),"")</f>
        <v>2026</v>
      </c>
      <c r="E1933" t="str">
        <f>IF(INPUT!O1928="","",INPUT!O1928)</f>
        <v>HERRERO</v>
      </c>
      <c r="F1933" t="str">
        <f>IF(INPUT!N1928="","",INPUT!N1928)</f>
        <v>M</v>
      </c>
      <c r="G1933" t="str" cm="1">
        <f t="array" ref="G1933">IFERROR(VLOOKUP(INPUT!M1928&amp;INPUT!N1928,CHOOSE({1,2},INPUT!$A$3:$A$5000&amp;INPUT!$C$3:$C$5000,INPUT!$F$3:$F$5000),2,FALSE),"")</f>
        <v>PRE-TEMPORADA</v>
      </c>
      <c r="H1933" t="str" cm="1">
        <f t="array" ref="H1933">IFERROR(VLOOKUP(INPUT!M1928&amp;INPUT!N1928,CHOOSE({1,2},INPUT!$A$3:$A$5000&amp;INPUT!$C$3:$C$5000,INPUT!$D$3:$D$5000),2,FALSE),"")</f>
        <v>TEC-TAC</v>
      </c>
      <c r="I1933" s="46">
        <f>IF(INPUT!P1928="","",INPUT!P1928)</f>
        <v>77</v>
      </c>
      <c r="J1933" s="46">
        <f>IF(INPUT!Q1928="","",INPUT!Q1928)</f>
        <v>76.3</v>
      </c>
      <c r="K1933" s="46">
        <f>IFERROR(IF(OR(INPUT!P1928="",INPUT!Q1928=""),"",INPUT!P1928-INPUT!Q1928),"")</f>
        <v>0.70000000000000284</v>
      </c>
      <c r="L1933" s="48">
        <f>IFERROR(IF(OR(INPUT!P1928="",INPUT!Q1928="",INPUT!P1928=0),"",(INPUT!P1928-INPUT!Q1928)/INPUT!P1928),"")</f>
        <v>9.0909090909091286E-3</v>
      </c>
    </row>
    <row r="1934" spans="1:12" ht="18" hidden="1" customHeight="1" x14ac:dyDescent="0.2">
      <c r="A1934" s="11">
        <f>IF(INPUT!M1929="","",INPUT!M1929)</f>
        <v>46062</v>
      </c>
      <c r="B1934" s="11">
        <f>IF(INPUT!M1929="","",INPUT!M1929-WEEKDAY(INPUT!M1929,2)+1)</f>
        <v>46062</v>
      </c>
      <c r="C1934" s="20">
        <f>IFERROR(_xlfn.ISOWEEKNUM(INPUT!M1929),"")</f>
        <v>7</v>
      </c>
      <c r="D1934" s="20">
        <f>IFERROR(YEAR(INPUT!M1929),"")</f>
        <v>2026</v>
      </c>
      <c r="E1934" t="str">
        <f>IF(INPUT!O1929="","",INPUT!O1929)</f>
        <v>GARCIA</v>
      </c>
      <c r="F1934" t="str">
        <f>IF(INPUT!N1929="","",INPUT!N1929)</f>
        <v>M</v>
      </c>
      <c r="G1934" t="str" cm="1">
        <f t="array" ref="G1934">IFERROR(VLOOKUP(INPUT!M1929&amp;INPUT!N1929,CHOOSE({1,2},INPUT!$A$3:$A$5000&amp;INPUT!$C$3:$C$5000,INPUT!$F$3:$F$5000),2,FALSE),"")</f>
        <v>PRE-TEMPORADA</v>
      </c>
      <c r="H1934" t="str" cm="1">
        <f t="array" ref="H1934">IFERROR(VLOOKUP(INPUT!M1929&amp;INPUT!N1929,CHOOSE({1,2},INPUT!$A$3:$A$5000&amp;INPUT!$C$3:$C$5000,INPUT!$D$3:$D$5000),2,FALSE),"")</f>
        <v>TEC-TAC</v>
      </c>
      <c r="I1934" s="46">
        <f>IF(INPUT!P1929="","",INPUT!P1929)</f>
        <v>79.400000000000006</v>
      </c>
      <c r="J1934" s="46">
        <f>IF(INPUT!Q1929="","",INPUT!Q1929)</f>
        <v>79.2</v>
      </c>
      <c r="K1934" s="46">
        <f>IFERROR(IF(OR(INPUT!P1929="",INPUT!Q1929=""),"",INPUT!P1929-INPUT!Q1929),"")</f>
        <v>0.20000000000000284</v>
      </c>
      <c r="L1934" s="48">
        <f>IFERROR(IF(OR(INPUT!P1929="",INPUT!Q1929="",INPUT!P1929=0),"",(INPUT!P1929-INPUT!Q1929)/INPUT!P1929),"")</f>
        <v>2.5188916876574662E-3</v>
      </c>
    </row>
    <row r="1935" spans="1:12" ht="18" hidden="1" customHeight="1" x14ac:dyDescent="0.2">
      <c r="A1935" s="11">
        <f>IF(INPUT!M1930="","",INPUT!M1930)</f>
        <v>46062</v>
      </c>
      <c r="B1935" s="11">
        <f>IF(INPUT!M1930="","",INPUT!M1930-WEEKDAY(INPUT!M1930,2)+1)</f>
        <v>46062</v>
      </c>
      <c r="C1935" s="20">
        <f>IFERROR(_xlfn.ISOWEEKNUM(INPUT!M1930),"")</f>
        <v>7</v>
      </c>
      <c r="D1935" s="20">
        <f>IFERROR(YEAR(INPUT!M1930),"")</f>
        <v>2026</v>
      </c>
      <c r="E1935" t="str">
        <f>IF(INPUT!O1930="","",INPUT!O1930)</f>
        <v>CHAGUINHA</v>
      </c>
      <c r="F1935" t="str">
        <f>IF(INPUT!N1930="","",INPUT!N1930)</f>
        <v>M</v>
      </c>
      <c r="G1935" t="str" cm="1">
        <f t="array" ref="G1935">IFERROR(VLOOKUP(INPUT!M1930&amp;INPUT!N1930,CHOOSE({1,2},INPUT!$A$3:$A$5000&amp;INPUT!$C$3:$C$5000,INPUT!$F$3:$F$5000),2,FALSE),"")</f>
        <v>PRE-TEMPORADA</v>
      </c>
      <c r="H1935" t="str" cm="1">
        <f t="array" ref="H1935">IFERROR(VLOOKUP(INPUT!M1930&amp;INPUT!N1930,CHOOSE({1,2},INPUT!$A$3:$A$5000&amp;INPUT!$C$3:$C$5000,INPUT!$D$3:$D$5000),2,FALSE),"")</f>
        <v>TEC-TAC</v>
      </c>
      <c r="I1935" s="46">
        <f>IF(INPUT!P1930="","",INPUT!P1930)</f>
        <v>69</v>
      </c>
      <c r="J1935" s="46">
        <f>IF(INPUT!Q1930="","",INPUT!Q1930)</f>
        <v>68.3</v>
      </c>
      <c r="K1935" s="46">
        <f>IFERROR(IF(OR(INPUT!P1930="",INPUT!Q1930=""),"",INPUT!P1930-INPUT!Q1930),"")</f>
        <v>0.70000000000000284</v>
      </c>
      <c r="L1935" s="48">
        <f>IFERROR(IF(OR(INPUT!P1930="",INPUT!Q1930="",INPUT!P1930=0),"",(INPUT!P1930-INPUT!Q1930)/INPUT!P1930),"")</f>
        <v>1.0144927536231925E-2</v>
      </c>
    </row>
    <row r="1936" spans="1:12" ht="18" hidden="1" customHeight="1" x14ac:dyDescent="0.2">
      <c r="A1936" s="11">
        <f>IF(INPUT!M1931="","",INPUT!M1931)</f>
        <v>46062</v>
      </c>
      <c r="B1936" s="11">
        <f>IF(INPUT!M1931="","",INPUT!M1931-WEEKDAY(INPUT!M1931,2)+1)</f>
        <v>46062</v>
      </c>
      <c r="C1936" s="20">
        <f>IFERROR(_xlfn.ISOWEEKNUM(INPUT!M1931),"")</f>
        <v>7</v>
      </c>
      <c r="D1936" s="20">
        <f>IFERROR(YEAR(INPUT!M1931),"")</f>
        <v>2026</v>
      </c>
      <c r="E1936" t="str">
        <f>IF(INPUT!O1931="","",INPUT!O1931)</f>
        <v>RAUL</v>
      </c>
      <c r="F1936" t="str">
        <f>IF(INPUT!N1931="","",INPUT!N1931)</f>
        <v>M</v>
      </c>
      <c r="G1936" t="str" cm="1">
        <f t="array" ref="G1936">IFERROR(VLOOKUP(INPUT!M1931&amp;INPUT!N1931,CHOOSE({1,2},INPUT!$A$3:$A$5000&amp;INPUT!$C$3:$C$5000,INPUT!$F$3:$F$5000),2,FALSE),"")</f>
        <v>PRE-TEMPORADA</v>
      </c>
      <c r="H1936" t="str" cm="1">
        <f t="array" ref="H1936">IFERROR(VLOOKUP(INPUT!M1931&amp;INPUT!N1931,CHOOSE({1,2},INPUT!$A$3:$A$5000&amp;INPUT!$C$3:$C$5000,INPUT!$D$3:$D$5000),2,FALSE),"")</f>
        <v>TEC-TAC</v>
      </c>
      <c r="I1936" s="46">
        <f>IF(INPUT!P1931="","",INPUT!P1931)</f>
        <v>81</v>
      </c>
      <c r="J1936" s="46">
        <f>IF(INPUT!Q1931="","",INPUT!Q1931)</f>
        <v>81</v>
      </c>
      <c r="K1936" s="46">
        <f>IFERROR(IF(OR(INPUT!P1931="",INPUT!Q1931=""),"",INPUT!P1931-INPUT!Q1931),"")</f>
        <v>0</v>
      </c>
      <c r="L1936" s="48">
        <f>IFERROR(IF(OR(INPUT!P1931="",INPUT!Q1931="",INPUT!P1931=0),"",(INPUT!P1931-INPUT!Q1931)/INPUT!P1931),"")</f>
        <v>0</v>
      </c>
    </row>
    <row r="1937" spans="1:12" ht="18" hidden="1" customHeight="1" x14ac:dyDescent="0.2">
      <c r="A1937" s="11">
        <f>IF(INPUT!M1932="","",INPUT!M1932)</f>
        <v>46062</v>
      </c>
      <c r="B1937" s="11">
        <f>IF(INPUT!M1932="","",INPUT!M1932-WEEKDAY(INPUT!M1932,2)+1)</f>
        <v>46062</v>
      </c>
      <c r="C1937" s="20">
        <f>IFERROR(_xlfn.ISOWEEKNUM(INPUT!M1932),"")</f>
        <v>7</v>
      </c>
      <c r="D1937" s="20">
        <f>IFERROR(YEAR(INPUT!M1932),"")</f>
        <v>2026</v>
      </c>
      <c r="E1937" t="str">
        <f>IF(INPUT!O1932="","",INPUT!O1932)</f>
        <v>HARRISON</v>
      </c>
      <c r="F1937" t="str">
        <f>IF(INPUT!N1932="","",INPUT!N1932)</f>
        <v>M</v>
      </c>
      <c r="G1937" t="str" cm="1">
        <f t="array" ref="G1937">IFERROR(VLOOKUP(INPUT!M1932&amp;INPUT!N1932,CHOOSE({1,2},INPUT!$A$3:$A$5000&amp;INPUT!$C$3:$C$5000,INPUT!$F$3:$F$5000),2,FALSE),"")</f>
        <v>PRE-TEMPORADA</v>
      </c>
      <c r="H1937" t="str" cm="1">
        <f t="array" ref="H1937">IFERROR(VLOOKUP(INPUT!M1932&amp;INPUT!N1932,CHOOSE({1,2},INPUT!$A$3:$A$5000&amp;INPUT!$C$3:$C$5000,INPUT!$D$3:$D$5000),2,FALSE),"")</f>
        <v>TEC-TAC</v>
      </c>
      <c r="I1937" s="46">
        <f>IF(INPUT!P1932="","",INPUT!P1932)</f>
        <v>72</v>
      </c>
      <c r="J1937" s="46">
        <f>IF(INPUT!Q1932="","",INPUT!Q1932)</f>
        <v>72</v>
      </c>
      <c r="K1937" s="46">
        <f>IFERROR(IF(OR(INPUT!P1932="",INPUT!Q1932=""),"",INPUT!P1932-INPUT!Q1932),"")</f>
        <v>0</v>
      </c>
      <c r="L1937" s="48">
        <f>IFERROR(IF(OR(INPUT!P1932="",INPUT!Q1932="",INPUT!P1932=0),"",(INPUT!P1932-INPUT!Q1932)/INPUT!P1932),"")</f>
        <v>0</v>
      </c>
    </row>
    <row r="1938" spans="1:12" ht="18" hidden="1" customHeight="1" x14ac:dyDescent="0.2">
      <c r="A1938" s="11">
        <f>IF(INPUT!M1933="","",INPUT!M1933)</f>
        <v>46062</v>
      </c>
      <c r="B1938" s="11">
        <f>IF(INPUT!M1933="","",INPUT!M1933-WEEKDAY(INPUT!M1933,2)+1)</f>
        <v>46062</v>
      </c>
      <c r="C1938" s="20">
        <f>IFERROR(_xlfn.ISOWEEKNUM(INPUT!M1933),"")</f>
        <v>7</v>
      </c>
      <c r="D1938" s="20">
        <f>IFERROR(YEAR(INPUT!M1933),"")</f>
        <v>2026</v>
      </c>
      <c r="E1938" t="str">
        <f>IF(INPUT!O1933="","",INPUT!O1933)</f>
        <v>JAVI</v>
      </c>
      <c r="F1938" t="str">
        <f>IF(INPUT!N1933="","",INPUT!N1933)</f>
        <v>M</v>
      </c>
      <c r="G1938" t="str" cm="1">
        <f t="array" ref="G1938">IFERROR(VLOOKUP(INPUT!M1933&amp;INPUT!N1933,CHOOSE({1,2},INPUT!$A$3:$A$5000&amp;INPUT!$C$3:$C$5000,INPUT!$F$3:$F$5000),2,FALSE),"")</f>
        <v>PRE-TEMPORADA</v>
      </c>
      <c r="H1938" t="str" cm="1">
        <f t="array" ref="H1938">IFERROR(VLOOKUP(INPUT!M1933&amp;INPUT!N1933,CHOOSE({1,2},INPUT!$A$3:$A$5000&amp;INPUT!$C$3:$C$5000,INPUT!$D$3:$D$5000),2,FALSE),"")</f>
        <v>TEC-TAC</v>
      </c>
      <c r="I1938" s="46">
        <f>IF(INPUT!P1933="","",INPUT!P1933)</f>
        <v>78.7</v>
      </c>
      <c r="J1938" s="46">
        <f>IF(INPUT!Q1933="","",INPUT!Q1933)</f>
        <v>78.400000000000006</v>
      </c>
      <c r="K1938" s="46">
        <f>IFERROR(IF(OR(INPUT!P1933="",INPUT!Q1933=""),"",INPUT!P1933-INPUT!Q1933),"")</f>
        <v>0.29999999999999716</v>
      </c>
      <c r="L1938" s="48">
        <f>IFERROR(IF(OR(INPUT!P1933="",INPUT!Q1933="",INPUT!P1933=0),"",(INPUT!P1933-INPUT!Q1933)/INPUT!P1933),"")</f>
        <v>3.8119440914866219E-3</v>
      </c>
    </row>
    <row r="1939" spans="1:12" ht="18" hidden="1" customHeight="1" x14ac:dyDescent="0.2">
      <c r="A1939" s="11">
        <f>IF(INPUT!M1934="","",INPUT!M1934)</f>
        <v>46062</v>
      </c>
      <c r="B1939" s="11">
        <f>IF(INPUT!M1934="","",INPUT!M1934-WEEKDAY(INPUT!M1934,2)+1)</f>
        <v>46062</v>
      </c>
      <c r="C1939" s="20">
        <f>IFERROR(_xlfn.ISOWEEKNUM(INPUT!M1934),"")</f>
        <v>7</v>
      </c>
      <c r="D1939" s="20">
        <f>IFERROR(YEAR(INPUT!M1934),"")</f>
        <v>2026</v>
      </c>
      <c r="E1939" t="str">
        <f>IF(INPUT!O1934="","",INPUT!O1934)</f>
        <v>PANI</v>
      </c>
      <c r="F1939" t="str">
        <f>IF(INPUT!N1934="","",INPUT!N1934)</f>
        <v>M</v>
      </c>
      <c r="G1939" t="str" cm="1">
        <f t="array" ref="G1939">IFERROR(VLOOKUP(INPUT!M1934&amp;INPUT!N1934,CHOOSE({1,2},INPUT!$A$3:$A$5000&amp;INPUT!$C$3:$C$5000,INPUT!$F$3:$F$5000),2,FALSE),"")</f>
        <v>PRE-TEMPORADA</v>
      </c>
      <c r="H1939" t="str" cm="1">
        <f t="array" ref="H1939">IFERROR(VLOOKUP(INPUT!M1934&amp;INPUT!N1934,CHOOSE({1,2},INPUT!$A$3:$A$5000&amp;INPUT!$C$3:$C$5000,INPUT!$D$3:$D$5000),2,FALSE),"")</f>
        <v>TEC-TAC</v>
      </c>
      <c r="I1939" s="46">
        <f>IF(INPUT!P1934="","",INPUT!P1934)</f>
        <v>66.5</v>
      </c>
      <c r="J1939" s="46">
        <f>IF(INPUT!Q1934="","",INPUT!Q1934)</f>
        <v>65.8</v>
      </c>
      <c r="K1939" s="46">
        <f>IFERROR(IF(OR(INPUT!P1934="",INPUT!Q1934=""),"",INPUT!P1934-INPUT!Q1934),"")</f>
        <v>0.70000000000000284</v>
      </c>
      <c r="L1939" s="48">
        <f>IFERROR(IF(OR(INPUT!P1934="",INPUT!Q1934="",INPUT!P1934=0),"",(INPUT!P1934-INPUT!Q1934)/INPUT!P1934),"")</f>
        <v>1.0526315789473727E-2</v>
      </c>
    </row>
    <row r="1940" spans="1:12" ht="18" hidden="1" customHeight="1" x14ac:dyDescent="0.2">
      <c r="A1940" s="11">
        <f>IF(INPUT!M1935="","",INPUT!M1935)</f>
        <v>46062</v>
      </c>
      <c r="B1940" s="11">
        <f>IF(INPUT!M1935="","",INPUT!M1935-WEEKDAY(INPUT!M1935,2)+1)</f>
        <v>46062</v>
      </c>
      <c r="C1940" s="20">
        <f>IFERROR(_xlfn.ISOWEEKNUM(INPUT!M1935),"")</f>
        <v>7</v>
      </c>
      <c r="D1940" s="20">
        <f>IFERROR(YEAR(INPUT!M1935),"")</f>
        <v>2026</v>
      </c>
      <c r="E1940" t="str">
        <f>IF(INPUT!O1935="","",INPUT!O1935)</f>
        <v>PIRATA</v>
      </c>
      <c r="F1940" t="str">
        <f>IF(INPUT!N1935="","",INPUT!N1935)</f>
        <v>M</v>
      </c>
      <c r="G1940" t="str" cm="1">
        <f t="array" ref="G1940">IFERROR(VLOOKUP(INPUT!M1935&amp;INPUT!N1935,CHOOSE({1,2},INPUT!$A$3:$A$5000&amp;INPUT!$C$3:$C$5000,INPUT!$F$3:$F$5000),2,FALSE),"")</f>
        <v>PRE-TEMPORADA</v>
      </c>
      <c r="H1940" t="str" cm="1">
        <f t="array" ref="H1940">IFERROR(VLOOKUP(INPUT!M1935&amp;INPUT!N1935,CHOOSE({1,2},INPUT!$A$3:$A$5000&amp;INPUT!$C$3:$C$5000,INPUT!$D$3:$D$5000),2,FALSE),"")</f>
        <v>TEC-TAC</v>
      </c>
      <c r="I1940" s="46">
        <f>IF(INPUT!P1935="","",INPUT!P1935)</f>
        <v>75.3</v>
      </c>
      <c r="J1940" s="46">
        <f>IF(INPUT!Q1935="","",INPUT!Q1935)</f>
        <v>75.099999999999994</v>
      </c>
      <c r="K1940" s="46">
        <f>IFERROR(IF(OR(INPUT!P1935="",INPUT!Q1935=""),"",INPUT!P1935-INPUT!Q1935),"")</f>
        <v>0.20000000000000284</v>
      </c>
      <c r="L1940" s="48">
        <f>IFERROR(IF(OR(INPUT!P1935="",INPUT!Q1935="",INPUT!P1935=0),"",(INPUT!P1935-INPUT!Q1935)/INPUT!P1935),"")</f>
        <v>2.6560424966799849E-3</v>
      </c>
    </row>
    <row r="1941" spans="1:12" ht="18" hidden="1" customHeight="1" x14ac:dyDescent="0.2">
      <c r="A1941" s="11">
        <f>IF(INPUT!M1936="","",INPUT!M1936)</f>
        <v>46062</v>
      </c>
      <c r="B1941" s="11">
        <f>IF(INPUT!M1936="","",INPUT!M1936-WEEKDAY(INPUT!M1936,2)+1)</f>
        <v>46062</v>
      </c>
      <c r="C1941" s="20">
        <f>IFERROR(_xlfn.ISOWEEKNUM(INPUT!M1936),"")</f>
        <v>7</v>
      </c>
      <c r="D1941" s="20">
        <f>IFERROR(YEAR(INPUT!M1936),"")</f>
        <v>2026</v>
      </c>
      <c r="E1941" t="str">
        <f>IF(INPUT!O1936="","",INPUT!O1936)</f>
        <v>BARONA</v>
      </c>
      <c r="F1941" t="str">
        <f>IF(INPUT!N1936="","",INPUT!N1936)</f>
        <v>M</v>
      </c>
      <c r="G1941" t="str" cm="1">
        <f t="array" ref="G1941">IFERROR(VLOOKUP(INPUT!M1936&amp;INPUT!N1936,CHOOSE({1,2},INPUT!$A$3:$A$5000&amp;INPUT!$C$3:$C$5000,INPUT!$F$3:$F$5000),2,FALSE),"")</f>
        <v>PRE-TEMPORADA</v>
      </c>
      <c r="H1941" t="str" cm="1">
        <f t="array" ref="H1941">IFERROR(VLOOKUP(INPUT!M1936&amp;INPUT!N1936,CHOOSE({1,2},INPUT!$A$3:$A$5000&amp;INPUT!$C$3:$C$5000,INPUT!$D$3:$D$5000),2,FALSE),"")</f>
        <v>TEC-TAC</v>
      </c>
      <c r="I1941" s="46">
        <f>IF(INPUT!P1936="","",INPUT!P1936)</f>
        <v>72</v>
      </c>
      <c r="J1941" s="46">
        <f>IF(INPUT!Q1936="","",INPUT!Q1936)</f>
        <v>71</v>
      </c>
      <c r="K1941" s="46">
        <f>IFERROR(IF(OR(INPUT!P1936="",INPUT!Q1936=""),"",INPUT!P1936-INPUT!Q1936),"")</f>
        <v>1</v>
      </c>
      <c r="L1941" s="48">
        <f>IFERROR(IF(OR(INPUT!P1936="",INPUT!Q1936="",INPUT!P1936=0),"",(INPUT!P1936-INPUT!Q1936)/INPUT!P1936),"")</f>
        <v>1.3888888888888888E-2</v>
      </c>
    </row>
    <row r="1942" spans="1:12" ht="18" hidden="1" customHeight="1" x14ac:dyDescent="0.2">
      <c r="A1942" s="11">
        <f>IF(INPUT!M1937="","",INPUT!M1937)</f>
        <v>46062</v>
      </c>
      <c r="B1942" s="11">
        <f>IF(INPUT!M1937="","",INPUT!M1937-WEEKDAY(INPUT!M1937,2)+1)</f>
        <v>46062</v>
      </c>
      <c r="C1942" s="20">
        <f>IFERROR(_xlfn.ISOWEEKNUM(INPUT!M1937),"")</f>
        <v>7</v>
      </c>
      <c r="D1942" s="20">
        <f>IFERROR(YEAR(INPUT!M1937),"")</f>
        <v>2026</v>
      </c>
      <c r="E1942" t="str">
        <f>IF(INPUT!O1937="","",INPUT!O1937)</f>
        <v>CARLOS</v>
      </c>
      <c r="F1942" t="str">
        <f>IF(INPUT!N1937="","",INPUT!N1937)</f>
        <v>M</v>
      </c>
      <c r="G1942" t="str" cm="1">
        <f t="array" ref="G1942">IFERROR(VLOOKUP(INPUT!M1937&amp;INPUT!N1937,CHOOSE({1,2},INPUT!$A$3:$A$5000&amp;INPUT!$C$3:$C$5000,INPUT!$F$3:$F$5000),2,FALSE),"")</f>
        <v>PRE-TEMPORADA</v>
      </c>
      <c r="H1942" t="str" cm="1">
        <f t="array" ref="H1942">IFERROR(VLOOKUP(INPUT!M1937&amp;INPUT!N1937,CHOOSE({1,2},INPUT!$A$3:$A$5000&amp;INPUT!$C$3:$C$5000,INPUT!$D$3:$D$5000),2,FALSE),"")</f>
        <v>TEC-TAC</v>
      </c>
      <c r="I1942" s="46">
        <f>IF(INPUT!P1937="","",INPUT!P1937)</f>
        <v>67.900000000000006</v>
      </c>
      <c r="J1942" s="46">
        <f>IF(INPUT!Q1937="","",INPUT!Q1937)</f>
        <v>67.5</v>
      </c>
      <c r="K1942" s="46">
        <f>IFERROR(IF(OR(INPUT!P1937="",INPUT!Q1937=""),"",INPUT!P1937-INPUT!Q1937),"")</f>
        <v>0.40000000000000568</v>
      </c>
      <c r="L1942" s="48">
        <f>IFERROR(IF(OR(INPUT!P1937="",INPUT!Q1937="",INPUT!P1937=0),"",(INPUT!P1937-INPUT!Q1937)/INPUT!P1937),"")</f>
        <v>5.891016200294634E-3</v>
      </c>
    </row>
    <row r="1943" spans="1:12" ht="18" hidden="1" customHeight="1" x14ac:dyDescent="0.2">
      <c r="A1943" s="11">
        <f>IF(INPUT!M1938="","",INPUT!M1938)</f>
        <v>46062</v>
      </c>
      <c r="B1943" s="11">
        <f>IF(INPUT!M1938="","",INPUT!M1938-WEEKDAY(INPUT!M1938,2)+1)</f>
        <v>46062</v>
      </c>
      <c r="C1943" s="20">
        <f>IFERROR(_xlfn.ISOWEEKNUM(INPUT!M1938),"")</f>
        <v>7</v>
      </c>
      <c r="D1943" s="20">
        <f>IFERROR(YEAR(INPUT!M1938),"")</f>
        <v>2026</v>
      </c>
      <c r="E1943" t="str">
        <f>IF(INPUT!O1938="","",INPUT!O1938)</f>
        <v>GONZALO</v>
      </c>
      <c r="F1943" t="str">
        <f>IF(INPUT!N1938="","",INPUT!N1938)</f>
        <v>M</v>
      </c>
      <c r="G1943" t="str" cm="1">
        <f t="array" ref="G1943">IFERROR(VLOOKUP(INPUT!M1938&amp;INPUT!N1938,CHOOSE({1,2},INPUT!$A$3:$A$5000&amp;INPUT!$C$3:$C$5000,INPUT!$F$3:$F$5000),2,FALSE),"")</f>
        <v>PRE-TEMPORADA</v>
      </c>
      <c r="H1943" t="str" cm="1">
        <f t="array" ref="H1943">IFERROR(VLOOKUP(INPUT!M1938&amp;INPUT!N1938,CHOOSE({1,2},INPUT!$A$3:$A$5000&amp;INPUT!$C$3:$C$5000,INPUT!$D$3:$D$5000),2,FALSE),"")</f>
        <v>TEC-TAC</v>
      </c>
      <c r="I1943" s="46">
        <f>IF(INPUT!P1938="","",INPUT!P1938)</f>
        <v>83.2</v>
      </c>
      <c r="J1943" s="46">
        <f>IF(INPUT!Q1938="","",INPUT!Q1938)</f>
        <v>83.1</v>
      </c>
      <c r="K1943" s="46">
        <f>IFERROR(IF(OR(INPUT!P1938="",INPUT!Q1938=""),"",INPUT!P1938-INPUT!Q1938),"")</f>
        <v>0.10000000000000853</v>
      </c>
      <c r="L1943" s="48">
        <f>IFERROR(IF(OR(INPUT!P1938="",INPUT!Q1938="",INPUT!P1938=0),"",(INPUT!P1938-INPUT!Q1938)/INPUT!P1938),"")</f>
        <v>1.2019230769231793E-3</v>
      </c>
    </row>
    <row r="1944" spans="1:12" ht="18" hidden="1" customHeight="1" x14ac:dyDescent="0.2">
      <c r="A1944" s="11">
        <f>IF(INPUT!M1939="","",INPUT!M1939)</f>
        <v>46062</v>
      </c>
      <c r="B1944" s="11">
        <f>IF(INPUT!M1939="","",INPUT!M1939-WEEKDAY(INPUT!M1939,2)+1)</f>
        <v>46062</v>
      </c>
      <c r="C1944" s="20">
        <f>IFERROR(_xlfn.ISOWEEKNUM(INPUT!M1939),"")</f>
        <v>7</v>
      </c>
      <c r="D1944" s="20">
        <f>IFERROR(YEAR(INPUT!M1939),"")</f>
        <v>2026</v>
      </c>
      <c r="E1944" t="str">
        <f>IF(INPUT!O1939="","",INPUT!O1939)</f>
        <v>DANI</v>
      </c>
      <c r="F1944" t="str">
        <f>IF(INPUT!N1939="","",INPUT!N1939)</f>
        <v>M</v>
      </c>
      <c r="G1944" t="str" cm="1">
        <f t="array" ref="G1944">IFERROR(VLOOKUP(INPUT!M1939&amp;INPUT!N1939,CHOOSE({1,2},INPUT!$A$3:$A$5000&amp;INPUT!$C$3:$C$5000,INPUT!$F$3:$F$5000),2,FALSE),"")</f>
        <v>PRE-TEMPORADA</v>
      </c>
      <c r="H1944" t="str" cm="1">
        <f t="array" ref="H1944">IFERROR(VLOOKUP(INPUT!M1939&amp;INPUT!N1939,CHOOSE({1,2},INPUT!$A$3:$A$5000&amp;INPUT!$C$3:$C$5000,INPUT!$D$3:$D$5000),2,FALSE),"")</f>
        <v>TEC-TAC</v>
      </c>
      <c r="I1944" s="46">
        <f>IF(INPUT!P1939="","",INPUT!P1939)</f>
        <v>91.9</v>
      </c>
      <c r="J1944" s="46">
        <f>IF(INPUT!Q1939="","",INPUT!Q1939)</f>
        <v>91.3</v>
      </c>
      <c r="K1944" s="46">
        <f>IFERROR(IF(OR(INPUT!P1939="",INPUT!Q1939=""),"",INPUT!P1939-INPUT!Q1939),"")</f>
        <v>0.60000000000000853</v>
      </c>
      <c r="L1944" s="48">
        <f>IFERROR(IF(OR(INPUT!P1939="",INPUT!Q1939="",INPUT!P1939=0),"",(INPUT!P1939-INPUT!Q1939)/INPUT!P1939),"")</f>
        <v>6.5288356909685361E-3</v>
      </c>
    </row>
    <row r="1945" spans="1:12" ht="18" hidden="1" customHeight="1" x14ac:dyDescent="0.2">
      <c r="A1945" s="11">
        <f>IF(INPUT!M1940="","",INPUT!M1940)</f>
        <v>46062</v>
      </c>
      <c r="B1945" s="11">
        <f>IF(INPUT!M1940="","",INPUT!M1940-WEEKDAY(INPUT!M1940,2)+1)</f>
        <v>46062</v>
      </c>
      <c r="C1945" s="20">
        <f>IFERROR(_xlfn.ISOWEEKNUM(INPUT!M1940),"")</f>
        <v>7</v>
      </c>
      <c r="D1945" s="20">
        <f>IFERROR(YEAR(INPUT!M1940),"")</f>
        <v>2026</v>
      </c>
      <c r="E1945" t="str">
        <f>IF(INPUT!O1940="","",INPUT!O1940)</f>
        <v>JAIME</v>
      </c>
      <c r="F1945" t="str">
        <f>IF(INPUT!N1940="","",INPUT!N1940)</f>
        <v>M</v>
      </c>
      <c r="G1945" t="str" cm="1">
        <f t="array" ref="G1945">IFERROR(VLOOKUP(INPUT!M1940&amp;INPUT!N1940,CHOOSE({1,2},INPUT!$A$3:$A$5000&amp;INPUT!$C$3:$C$5000,INPUT!$F$3:$F$5000),2,FALSE),"")</f>
        <v>PRE-TEMPORADA</v>
      </c>
      <c r="H1945" t="str" cm="1">
        <f t="array" ref="H1945">IFERROR(VLOOKUP(INPUT!M1940&amp;INPUT!N1940,CHOOSE({1,2},INPUT!$A$3:$A$5000&amp;INPUT!$C$3:$C$5000,INPUT!$D$3:$D$5000),2,FALSE),"")</f>
        <v>TEC-TAC</v>
      </c>
      <c r="I1945" s="46">
        <f>IF(INPUT!P1940="","",INPUT!P1940)</f>
        <v>76.2</v>
      </c>
      <c r="J1945" s="46">
        <f>IF(INPUT!Q1940="","",INPUT!Q1940)</f>
        <v>76.400000000000006</v>
      </c>
      <c r="K1945" s="46">
        <f>IFERROR(IF(OR(INPUT!P1940="",INPUT!Q1940=""),"",INPUT!P1940-INPUT!Q1940),"")</f>
        <v>-0.20000000000000284</v>
      </c>
      <c r="L1945" s="48">
        <f>IFERROR(IF(OR(INPUT!P1940="",INPUT!Q1940="",INPUT!P1940=0),"",(INPUT!P1940-INPUT!Q1940)/INPUT!P1940),"")</f>
        <v>-2.6246719160105359E-3</v>
      </c>
    </row>
    <row r="1946" spans="1:12" ht="18" hidden="1" customHeight="1" x14ac:dyDescent="0.2">
      <c r="A1946" s="11">
        <f>IF(INPUT!M1941="","",INPUT!M1941)</f>
        <v>46063</v>
      </c>
      <c r="B1946" s="11">
        <f>IF(INPUT!M1941="","",INPUT!M1941-WEEKDAY(INPUT!M1941,2)+1)</f>
        <v>46062</v>
      </c>
      <c r="C1946" s="20">
        <f>IFERROR(_xlfn.ISOWEEKNUM(INPUT!M1941),"")</f>
        <v>7</v>
      </c>
      <c r="D1946" s="20">
        <f>IFERROR(YEAR(INPUT!M1941),"")</f>
        <v>2026</v>
      </c>
      <c r="E1946" t="str">
        <f>IF(INPUT!O1941="","",INPUT!O1941)</f>
        <v>HERRERO</v>
      </c>
      <c r="F1946" t="str">
        <f>IF(INPUT!N1941="","",INPUT!N1941)</f>
        <v>M</v>
      </c>
      <c r="G1946" t="str" cm="1">
        <f t="array" ref="G1946">IFERROR(VLOOKUP(INPUT!M1941&amp;INPUT!N1941,CHOOSE({1,2},INPUT!$A$3:$A$5000&amp;INPUT!$C$3:$C$5000,INPUT!$F$3:$F$5000),2,FALSE),"")</f>
        <v>PRE-TEMPORADA</v>
      </c>
      <c r="H1946" t="str" cm="1">
        <f t="array" ref="H1946">IFERROR(VLOOKUP(INPUT!M1941&amp;INPUT!N1941,CHOOSE({1,2},INPUT!$A$3:$A$5000&amp;INPUT!$C$3:$C$5000,INPUT!$D$3:$D$5000),2,FALSE),"")</f>
        <v>TEC-TAC</v>
      </c>
      <c r="I1946" s="46">
        <f>IF(INPUT!P1941="","",INPUT!P1941)</f>
        <v>77</v>
      </c>
      <c r="J1946" s="46">
        <f>IF(INPUT!Q1941="","",INPUT!Q1941)</f>
        <v>76.099999999999994</v>
      </c>
      <c r="K1946" s="46">
        <f>IFERROR(IF(OR(INPUT!P1941="",INPUT!Q1941=""),"",INPUT!P1941-INPUT!Q1941),"")</f>
        <v>0.90000000000000568</v>
      </c>
      <c r="L1946" s="48">
        <f>IFERROR(IF(OR(INPUT!P1941="",INPUT!Q1941="",INPUT!P1941=0),"",(INPUT!P1941-INPUT!Q1941)/INPUT!P1941),"")</f>
        <v>1.1688311688311762E-2</v>
      </c>
    </row>
    <row r="1947" spans="1:12" ht="18" hidden="1" customHeight="1" x14ac:dyDescent="0.2">
      <c r="A1947" s="11">
        <f>IF(INPUT!M1942="","",INPUT!M1942)</f>
        <v>46063</v>
      </c>
      <c r="B1947" s="11">
        <f>IF(INPUT!M1942="","",INPUT!M1942-WEEKDAY(INPUT!M1942,2)+1)</f>
        <v>46062</v>
      </c>
      <c r="C1947" s="20">
        <f>IFERROR(_xlfn.ISOWEEKNUM(INPUT!M1942),"")</f>
        <v>7</v>
      </c>
      <c r="D1947" s="20">
        <f>IFERROR(YEAR(INPUT!M1942),"")</f>
        <v>2026</v>
      </c>
      <c r="E1947" t="str">
        <f>IF(INPUT!O1942="","",INPUT!O1942)</f>
        <v>GARCIA</v>
      </c>
      <c r="F1947" t="str">
        <f>IF(INPUT!N1942="","",INPUT!N1942)</f>
        <v>M</v>
      </c>
      <c r="G1947" t="str" cm="1">
        <f t="array" ref="G1947">IFERROR(VLOOKUP(INPUT!M1942&amp;INPUT!N1942,CHOOSE({1,2},INPUT!$A$3:$A$5000&amp;INPUT!$C$3:$C$5000,INPUT!$F$3:$F$5000),2,FALSE),"")</f>
        <v>PRE-TEMPORADA</v>
      </c>
      <c r="H1947" t="str" cm="1">
        <f t="array" ref="H1947">IFERROR(VLOOKUP(INPUT!M1942&amp;INPUT!N1942,CHOOSE({1,2},INPUT!$A$3:$A$5000&amp;INPUT!$C$3:$C$5000,INPUT!$D$3:$D$5000),2,FALSE),"")</f>
        <v>TEC-TAC</v>
      </c>
      <c r="I1947" s="46">
        <f>IF(INPUT!P1942="","",INPUT!P1942)</f>
        <v>78.900000000000006</v>
      </c>
      <c r="J1947" s="46">
        <f>IF(INPUT!Q1942="","",INPUT!Q1942)</f>
        <v>79</v>
      </c>
      <c r="K1947" s="46">
        <f>IFERROR(IF(OR(INPUT!P1942="",INPUT!Q1942=""),"",INPUT!P1942-INPUT!Q1942),"")</f>
        <v>-9.9999999999994316E-2</v>
      </c>
      <c r="L1947" s="48">
        <f>IFERROR(IF(OR(INPUT!P1942="",INPUT!Q1942="",INPUT!P1942=0),"",(INPUT!P1942-INPUT!Q1942)/INPUT!P1942),"")</f>
        <v>-1.2674271229403589E-3</v>
      </c>
    </row>
    <row r="1948" spans="1:12" ht="18" hidden="1" customHeight="1" x14ac:dyDescent="0.2">
      <c r="A1948" s="11">
        <f>IF(INPUT!M1943="","",INPUT!M1943)</f>
        <v>46063</v>
      </c>
      <c r="B1948" s="11">
        <f>IF(INPUT!M1943="","",INPUT!M1943-WEEKDAY(INPUT!M1943,2)+1)</f>
        <v>46062</v>
      </c>
      <c r="C1948" s="20">
        <f>IFERROR(_xlfn.ISOWEEKNUM(INPUT!M1943),"")</f>
        <v>7</v>
      </c>
      <c r="D1948" s="20">
        <f>IFERROR(YEAR(INPUT!M1943),"")</f>
        <v>2026</v>
      </c>
      <c r="E1948" t="str">
        <f>IF(INPUT!O1943="","",INPUT!O1943)</f>
        <v>CECILIO</v>
      </c>
      <c r="F1948" t="str">
        <f>IF(INPUT!N1943="","",INPUT!N1943)</f>
        <v>M</v>
      </c>
      <c r="G1948" t="str" cm="1">
        <f t="array" ref="G1948">IFERROR(VLOOKUP(INPUT!M1943&amp;INPUT!N1943,CHOOSE({1,2},INPUT!$A$3:$A$5000&amp;INPUT!$C$3:$C$5000,INPUT!$F$3:$F$5000),2,FALSE),"")</f>
        <v>PRE-TEMPORADA</v>
      </c>
      <c r="H1948" t="str" cm="1">
        <f t="array" ref="H1948">IFERROR(VLOOKUP(INPUT!M1943&amp;INPUT!N1943,CHOOSE({1,2},INPUT!$A$3:$A$5000&amp;INPUT!$C$3:$C$5000,INPUT!$D$3:$D$5000),2,FALSE),"")</f>
        <v>TEC-TAC</v>
      </c>
      <c r="I1948" s="46">
        <f>IF(INPUT!P1943="","",INPUT!P1943)</f>
        <v>68.5</v>
      </c>
      <c r="J1948" s="46">
        <f>IF(INPUT!Q1943="","",INPUT!Q1943)</f>
        <v>68.599999999999994</v>
      </c>
      <c r="K1948" s="46">
        <f>IFERROR(IF(OR(INPUT!P1943="",INPUT!Q1943=""),"",INPUT!P1943-INPUT!Q1943),"")</f>
        <v>-9.9999999999994316E-2</v>
      </c>
      <c r="L1948" s="48">
        <f>IFERROR(IF(OR(INPUT!P1943="",INPUT!Q1943="",INPUT!P1943=0),"",(INPUT!P1943-INPUT!Q1943)/INPUT!P1943),"")</f>
        <v>-1.4598540145984572E-3</v>
      </c>
    </row>
    <row r="1949" spans="1:12" ht="18" hidden="1" customHeight="1" x14ac:dyDescent="0.2">
      <c r="A1949" s="11">
        <f>IF(INPUT!M1944="","",INPUT!M1944)</f>
        <v>46063</v>
      </c>
      <c r="B1949" s="11">
        <f>IF(INPUT!M1944="","",INPUT!M1944-WEEKDAY(INPUT!M1944,2)+1)</f>
        <v>46062</v>
      </c>
      <c r="C1949" s="20">
        <f>IFERROR(_xlfn.ISOWEEKNUM(INPUT!M1944),"")</f>
        <v>7</v>
      </c>
      <c r="D1949" s="20">
        <f>IFERROR(YEAR(INPUT!M1944),"")</f>
        <v>2026</v>
      </c>
      <c r="E1949" t="str">
        <f>IF(INPUT!O1944="","",INPUT!O1944)</f>
        <v>CHAGUINHA</v>
      </c>
      <c r="F1949" t="str">
        <f>IF(INPUT!N1944="","",INPUT!N1944)</f>
        <v>M</v>
      </c>
      <c r="G1949" t="str" cm="1">
        <f t="array" ref="G1949">IFERROR(VLOOKUP(INPUT!M1944&amp;INPUT!N1944,CHOOSE({1,2},INPUT!$A$3:$A$5000&amp;INPUT!$C$3:$C$5000,INPUT!$F$3:$F$5000),2,FALSE),"")</f>
        <v>PRE-TEMPORADA</v>
      </c>
      <c r="H1949" t="str" cm="1">
        <f t="array" ref="H1949">IFERROR(VLOOKUP(INPUT!M1944&amp;INPUT!N1944,CHOOSE({1,2},INPUT!$A$3:$A$5000&amp;INPUT!$C$3:$C$5000,INPUT!$D$3:$D$5000),2,FALSE),"")</f>
        <v>TEC-TAC</v>
      </c>
      <c r="I1949" s="46">
        <f>IF(INPUT!P1944="","",INPUT!P1944)</f>
        <v>69</v>
      </c>
      <c r="J1949" s="46">
        <f>IF(INPUT!Q1944="","",INPUT!Q1944)</f>
        <v>68.3</v>
      </c>
      <c r="K1949" s="46">
        <f>IFERROR(IF(OR(INPUT!P1944="",INPUT!Q1944=""),"",INPUT!P1944-INPUT!Q1944),"")</f>
        <v>0.70000000000000284</v>
      </c>
      <c r="L1949" s="48">
        <f>IFERROR(IF(OR(INPUT!P1944="",INPUT!Q1944="",INPUT!P1944=0),"",(INPUT!P1944-INPUT!Q1944)/INPUT!P1944),"")</f>
        <v>1.0144927536231925E-2</v>
      </c>
    </row>
    <row r="1950" spans="1:12" ht="18" hidden="1" customHeight="1" x14ac:dyDescent="0.2">
      <c r="A1950" s="11">
        <f>IF(INPUT!M1945="","",INPUT!M1945)</f>
        <v>46063</v>
      </c>
      <c r="B1950" s="11">
        <f>IF(INPUT!M1945="","",INPUT!M1945-WEEKDAY(INPUT!M1945,2)+1)</f>
        <v>46062</v>
      </c>
      <c r="C1950" s="20">
        <f>IFERROR(_xlfn.ISOWEEKNUM(INPUT!M1945),"")</f>
        <v>7</v>
      </c>
      <c r="D1950" s="20">
        <f>IFERROR(YEAR(INPUT!M1945),"")</f>
        <v>2026</v>
      </c>
      <c r="E1950" t="str">
        <f>IF(INPUT!O1945="","",INPUT!O1945)</f>
        <v>RAUL</v>
      </c>
      <c r="F1950" t="str">
        <f>IF(INPUT!N1945="","",INPUT!N1945)</f>
        <v>M</v>
      </c>
      <c r="G1950" t="str" cm="1">
        <f t="array" ref="G1950">IFERROR(VLOOKUP(INPUT!M1945&amp;INPUT!N1945,CHOOSE({1,2},INPUT!$A$3:$A$5000&amp;INPUT!$C$3:$C$5000,INPUT!$F$3:$F$5000),2,FALSE),"")</f>
        <v>PRE-TEMPORADA</v>
      </c>
      <c r="H1950" t="str" cm="1">
        <f t="array" ref="H1950">IFERROR(VLOOKUP(INPUT!M1945&amp;INPUT!N1945,CHOOSE({1,2},INPUT!$A$3:$A$5000&amp;INPUT!$C$3:$C$5000,INPUT!$D$3:$D$5000),2,FALSE),"")</f>
        <v>TEC-TAC</v>
      </c>
      <c r="I1950" s="46">
        <f>IF(INPUT!P1945="","",INPUT!P1945)</f>
        <v>80.7</v>
      </c>
      <c r="J1950" s="46">
        <f>IF(INPUT!Q1945="","",INPUT!Q1945)</f>
        <v>81.3</v>
      </c>
      <c r="K1950" s="46">
        <f>IFERROR(IF(OR(INPUT!P1945="",INPUT!Q1945=""),"",INPUT!P1945-INPUT!Q1945),"")</f>
        <v>-0.59999999999999432</v>
      </c>
      <c r="L1950" s="48">
        <f>IFERROR(IF(OR(INPUT!P1945="",INPUT!Q1945="",INPUT!P1945=0),"",(INPUT!P1945-INPUT!Q1945)/INPUT!P1945),"")</f>
        <v>-7.434944237918145E-3</v>
      </c>
    </row>
    <row r="1951" spans="1:12" ht="18" hidden="1" customHeight="1" x14ac:dyDescent="0.2">
      <c r="A1951" s="11">
        <f>IF(INPUT!M1946="","",INPUT!M1946)</f>
        <v>46063</v>
      </c>
      <c r="B1951" s="11">
        <f>IF(INPUT!M1946="","",INPUT!M1946-WEEKDAY(INPUT!M1946,2)+1)</f>
        <v>46062</v>
      </c>
      <c r="C1951" s="20">
        <f>IFERROR(_xlfn.ISOWEEKNUM(INPUT!M1946),"")</f>
        <v>7</v>
      </c>
      <c r="D1951" s="20">
        <f>IFERROR(YEAR(INPUT!M1946),"")</f>
        <v>2026</v>
      </c>
      <c r="E1951" t="str">
        <f>IF(INPUT!O1946="","",INPUT!O1946)</f>
        <v>HARRISON</v>
      </c>
      <c r="F1951" t="str">
        <f>IF(INPUT!N1946="","",INPUT!N1946)</f>
        <v>M</v>
      </c>
      <c r="G1951" t="str" cm="1">
        <f t="array" ref="G1951">IFERROR(VLOOKUP(INPUT!M1946&amp;INPUT!N1946,CHOOSE({1,2},INPUT!$A$3:$A$5000&amp;INPUT!$C$3:$C$5000,INPUT!$F$3:$F$5000),2,FALSE),"")</f>
        <v>PRE-TEMPORADA</v>
      </c>
      <c r="H1951" t="str" cm="1">
        <f t="array" ref="H1951">IFERROR(VLOOKUP(INPUT!M1946&amp;INPUT!N1946,CHOOSE({1,2},INPUT!$A$3:$A$5000&amp;INPUT!$C$3:$C$5000,INPUT!$D$3:$D$5000),2,FALSE),"")</f>
        <v>TEC-TAC</v>
      </c>
      <c r="I1951" s="46">
        <f>IF(INPUT!P1946="","",INPUT!P1946)</f>
        <v>71.7</v>
      </c>
      <c r="J1951" s="46">
        <f>IF(INPUT!Q1946="","",INPUT!Q1946)</f>
        <v>72</v>
      </c>
      <c r="K1951" s="46">
        <f>IFERROR(IF(OR(INPUT!P1946="",INPUT!Q1946=""),"",INPUT!P1946-INPUT!Q1946),"")</f>
        <v>-0.29999999999999716</v>
      </c>
      <c r="L1951" s="48">
        <f>IFERROR(IF(OR(INPUT!P1946="",INPUT!Q1946="",INPUT!P1946=0),"",(INPUT!P1946-INPUT!Q1946)/INPUT!P1946),"")</f>
        <v>-4.1841004184100025E-3</v>
      </c>
    </row>
    <row r="1952" spans="1:12" ht="18" hidden="1" customHeight="1" x14ac:dyDescent="0.2">
      <c r="A1952" s="11">
        <f>IF(INPUT!M1947="","",INPUT!M1947)</f>
        <v>46063</v>
      </c>
      <c r="B1952" s="11">
        <f>IF(INPUT!M1947="","",INPUT!M1947-WEEKDAY(INPUT!M1947,2)+1)</f>
        <v>46062</v>
      </c>
      <c r="C1952" s="20">
        <f>IFERROR(_xlfn.ISOWEEKNUM(INPUT!M1947),"")</f>
        <v>7</v>
      </c>
      <c r="D1952" s="20">
        <f>IFERROR(YEAR(INPUT!M1947),"")</f>
        <v>2026</v>
      </c>
      <c r="E1952" t="str">
        <f>IF(INPUT!O1947="","",INPUT!O1947)</f>
        <v>JAVI</v>
      </c>
      <c r="F1952" t="str">
        <f>IF(INPUT!N1947="","",INPUT!N1947)</f>
        <v>M</v>
      </c>
      <c r="G1952" t="str" cm="1">
        <f t="array" ref="G1952">IFERROR(VLOOKUP(INPUT!M1947&amp;INPUT!N1947,CHOOSE({1,2},INPUT!$A$3:$A$5000&amp;INPUT!$C$3:$C$5000,INPUT!$F$3:$F$5000),2,FALSE),"")</f>
        <v>PRE-TEMPORADA</v>
      </c>
      <c r="H1952" t="str" cm="1">
        <f t="array" ref="H1952">IFERROR(VLOOKUP(INPUT!M1947&amp;INPUT!N1947,CHOOSE({1,2},INPUT!$A$3:$A$5000&amp;INPUT!$C$3:$C$5000,INPUT!$D$3:$D$5000),2,FALSE),"")</f>
        <v>TEC-TAC</v>
      </c>
      <c r="I1952" s="46">
        <f>IF(INPUT!P1947="","",INPUT!P1947)</f>
        <v>78.3</v>
      </c>
      <c r="J1952" s="46">
        <f>IF(INPUT!Q1947="","",INPUT!Q1947)</f>
        <v>78.3</v>
      </c>
      <c r="K1952" s="46">
        <f>IFERROR(IF(OR(INPUT!P1947="",INPUT!Q1947=""),"",INPUT!P1947-INPUT!Q1947),"")</f>
        <v>0</v>
      </c>
      <c r="L1952" s="48">
        <f>IFERROR(IF(OR(INPUT!P1947="",INPUT!Q1947="",INPUT!P1947=0),"",(INPUT!P1947-INPUT!Q1947)/INPUT!P1947),"")</f>
        <v>0</v>
      </c>
    </row>
    <row r="1953" spans="1:12" ht="18" hidden="1" customHeight="1" x14ac:dyDescent="0.2">
      <c r="A1953" s="11">
        <f>IF(INPUT!M1948="","",INPUT!M1948)</f>
        <v>46063</v>
      </c>
      <c r="B1953" s="11">
        <f>IF(INPUT!M1948="","",INPUT!M1948-WEEKDAY(INPUT!M1948,2)+1)</f>
        <v>46062</v>
      </c>
      <c r="C1953" s="20">
        <f>IFERROR(_xlfn.ISOWEEKNUM(INPUT!M1948),"")</f>
        <v>7</v>
      </c>
      <c r="D1953" s="20">
        <f>IFERROR(YEAR(INPUT!M1948),"")</f>
        <v>2026</v>
      </c>
      <c r="E1953" t="str">
        <f>IF(INPUT!O1948="","",INPUT!O1948)</f>
        <v>PANI</v>
      </c>
      <c r="F1953" t="str">
        <f>IF(INPUT!N1948="","",INPUT!N1948)</f>
        <v>M</v>
      </c>
      <c r="G1953" t="str" cm="1">
        <f t="array" ref="G1953">IFERROR(VLOOKUP(INPUT!M1948&amp;INPUT!N1948,CHOOSE({1,2},INPUT!$A$3:$A$5000&amp;INPUT!$C$3:$C$5000,INPUT!$F$3:$F$5000),2,FALSE),"")</f>
        <v>PRE-TEMPORADA</v>
      </c>
      <c r="H1953" t="str" cm="1">
        <f t="array" ref="H1953">IFERROR(VLOOKUP(INPUT!M1948&amp;INPUT!N1948,CHOOSE({1,2},INPUT!$A$3:$A$5000&amp;INPUT!$C$3:$C$5000,INPUT!$D$3:$D$5000),2,FALSE),"")</f>
        <v>TEC-TAC</v>
      </c>
      <c r="I1953" s="46">
        <f>IF(INPUT!P1948="","",INPUT!P1948)</f>
        <v>66.5</v>
      </c>
      <c r="J1953" s="46">
        <f>IF(INPUT!Q1948="","",INPUT!Q1948)</f>
        <v>66.099999999999994</v>
      </c>
      <c r="K1953" s="46">
        <f>IFERROR(IF(OR(INPUT!P1948="",INPUT!Q1948=""),"",INPUT!P1948-INPUT!Q1948),"")</f>
        <v>0.40000000000000568</v>
      </c>
      <c r="L1953" s="48">
        <f>IFERROR(IF(OR(INPUT!P1948="",INPUT!Q1948="",INPUT!P1948=0),"",(INPUT!P1948-INPUT!Q1948)/INPUT!P1948),"")</f>
        <v>6.0150375939850478E-3</v>
      </c>
    </row>
    <row r="1954" spans="1:12" ht="18" hidden="1" customHeight="1" x14ac:dyDescent="0.2">
      <c r="A1954" s="11">
        <f>IF(INPUT!M1949="","",INPUT!M1949)</f>
        <v>46063</v>
      </c>
      <c r="B1954" s="11">
        <f>IF(INPUT!M1949="","",INPUT!M1949-WEEKDAY(INPUT!M1949,2)+1)</f>
        <v>46062</v>
      </c>
      <c r="C1954" s="20">
        <f>IFERROR(_xlfn.ISOWEEKNUM(INPUT!M1949),"")</f>
        <v>7</v>
      </c>
      <c r="D1954" s="20">
        <f>IFERROR(YEAR(INPUT!M1949),"")</f>
        <v>2026</v>
      </c>
      <c r="E1954" t="str">
        <f>IF(INPUT!O1949="","",INPUT!O1949)</f>
        <v>PIRATA</v>
      </c>
      <c r="F1954" t="str">
        <f>IF(INPUT!N1949="","",INPUT!N1949)</f>
        <v>M</v>
      </c>
      <c r="G1954" t="str" cm="1">
        <f t="array" ref="G1954">IFERROR(VLOOKUP(INPUT!M1949&amp;INPUT!N1949,CHOOSE({1,2},INPUT!$A$3:$A$5000&amp;INPUT!$C$3:$C$5000,INPUT!$F$3:$F$5000),2,FALSE),"")</f>
        <v>PRE-TEMPORADA</v>
      </c>
      <c r="H1954" t="str" cm="1">
        <f t="array" ref="H1954">IFERROR(VLOOKUP(INPUT!M1949&amp;INPUT!N1949,CHOOSE({1,2},INPUT!$A$3:$A$5000&amp;INPUT!$C$3:$C$5000,INPUT!$D$3:$D$5000),2,FALSE),"")</f>
        <v>TEC-TAC</v>
      </c>
      <c r="I1954" s="46">
        <f>IF(INPUT!P1949="","",INPUT!P1949)</f>
        <v>75.3</v>
      </c>
      <c r="J1954" s="46">
        <f>IF(INPUT!Q1949="","",INPUT!Q1949)</f>
        <v>75</v>
      </c>
      <c r="K1954" s="46">
        <f>IFERROR(IF(OR(INPUT!P1949="",INPUT!Q1949=""),"",INPUT!P1949-INPUT!Q1949),"")</f>
        <v>0.29999999999999716</v>
      </c>
      <c r="L1954" s="48">
        <f>IFERROR(IF(OR(INPUT!P1949="",INPUT!Q1949="",INPUT!P1949=0),"",(INPUT!P1949-INPUT!Q1949)/INPUT!P1949),"")</f>
        <v>3.984063745019883E-3</v>
      </c>
    </row>
    <row r="1955" spans="1:12" ht="18" hidden="1" customHeight="1" x14ac:dyDescent="0.2">
      <c r="A1955" s="11">
        <f>IF(INPUT!M1950="","",INPUT!M1950)</f>
        <v>46063</v>
      </c>
      <c r="B1955" s="11">
        <f>IF(INPUT!M1950="","",INPUT!M1950-WEEKDAY(INPUT!M1950,2)+1)</f>
        <v>46062</v>
      </c>
      <c r="C1955" s="20">
        <f>IFERROR(_xlfn.ISOWEEKNUM(INPUT!M1950),"")</f>
        <v>7</v>
      </c>
      <c r="D1955" s="20">
        <f>IFERROR(YEAR(INPUT!M1950),"")</f>
        <v>2026</v>
      </c>
      <c r="E1955" t="str">
        <f>IF(INPUT!O1950="","",INPUT!O1950)</f>
        <v>BARONA</v>
      </c>
      <c r="F1955" t="str">
        <f>IF(INPUT!N1950="","",INPUT!N1950)</f>
        <v>M</v>
      </c>
      <c r="G1955" t="str" cm="1">
        <f t="array" ref="G1955">IFERROR(VLOOKUP(INPUT!M1950&amp;INPUT!N1950,CHOOSE({1,2},INPUT!$A$3:$A$5000&amp;INPUT!$C$3:$C$5000,INPUT!$F$3:$F$5000),2,FALSE),"")</f>
        <v>PRE-TEMPORADA</v>
      </c>
      <c r="H1955" t="str" cm="1">
        <f t="array" ref="H1955">IFERROR(VLOOKUP(INPUT!M1950&amp;INPUT!N1950,CHOOSE({1,2},INPUT!$A$3:$A$5000&amp;INPUT!$C$3:$C$5000,INPUT!$D$3:$D$5000),2,FALSE),"")</f>
        <v>TEC-TAC</v>
      </c>
      <c r="I1955" s="46">
        <f>IF(INPUT!P1950="","",INPUT!P1950)</f>
        <v>71</v>
      </c>
      <c r="J1955" s="46">
        <f>IF(INPUT!Q1950="","",INPUT!Q1950)</f>
        <v>70.5</v>
      </c>
      <c r="K1955" s="46">
        <f>IFERROR(IF(OR(INPUT!P1950="",INPUT!Q1950=""),"",INPUT!P1950-INPUT!Q1950),"")</f>
        <v>0.5</v>
      </c>
      <c r="L1955" s="48">
        <f>IFERROR(IF(OR(INPUT!P1950="",INPUT!Q1950="",INPUT!P1950=0),"",(INPUT!P1950-INPUT!Q1950)/INPUT!P1950),"")</f>
        <v>7.0422535211267607E-3</v>
      </c>
    </row>
    <row r="1956" spans="1:12" ht="18" hidden="1" customHeight="1" x14ac:dyDescent="0.2">
      <c r="A1956" s="11">
        <f>IF(INPUT!M1951="","",INPUT!M1951)</f>
        <v>46063</v>
      </c>
      <c r="B1956" s="11">
        <f>IF(INPUT!M1951="","",INPUT!M1951-WEEKDAY(INPUT!M1951,2)+1)</f>
        <v>46062</v>
      </c>
      <c r="C1956" s="20">
        <f>IFERROR(_xlfn.ISOWEEKNUM(INPUT!M1951),"")</f>
        <v>7</v>
      </c>
      <c r="D1956" s="20">
        <f>IFERROR(YEAR(INPUT!M1951),"")</f>
        <v>2026</v>
      </c>
      <c r="E1956" t="str">
        <f>IF(INPUT!O1951="","",INPUT!O1951)</f>
        <v>CARLOS</v>
      </c>
      <c r="F1956" t="str">
        <f>IF(INPUT!N1951="","",INPUT!N1951)</f>
        <v>M</v>
      </c>
      <c r="G1956" t="str" cm="1">
        <f t="array" ref="G1956">IFERROR(VLOOKUP(INPUT!M1951&amp;INPUT!N1951,CHOOSE({1,2},INPUT!$A$3:$A$5000&amp;INPUT!$C$3:$C$5000,INPUT!$F$3:$F$5000),2,FALSE),"")</f>
        <v>PRE-TEMPORADA</v>
      </c>
      <c r="H1956" t="str" cm="1">
        <f t="array" ref="H1956">IFERROR(VLOOKUP(INPUT!M1951&amp;INPUT!N1951,CHOOSE({1,2},INPUT!$A$3:$A$5000&amp;INPUT!$C$3:$C$5000,INPUT!$D$3:$D$5000),2,FALSE),"")</f>
        <v>TEC-TAC</v>
      </c>
      <c r="I1956" s="46">
        <f>IF(INPUT!P1951="","",INPUT!P1951)</f>
        <v>68</v>
      </c>
      <c r="J1956" s="46">
        <f>IF(INPUT!Q1951="","",INPUT!Q1951)</f>
        <v>67.5</v>
      </c>
      <c r="K1956" s="46">
        <f>IFERROR(IF(OR(INPUT!P1951="",INPUT!Q1951=""),"",INPUT!P1951-INPUT!Q1951),"")</f>
        <v>0.5</v>
      </c>
      <c r="L1956" s="48">
        <f>IFERROR(IF(OR(INPUT!P1951="",INPUT!Q1951="",INPUT!P1951=0),"",(INPUT!P1951-INPUT!Q1951)/INPUT!P1951),"")</f>
        <v>7.3529411764705881E-3</v>
      </c>
    </row>
    <row r="1957" spans="1:12" ht="18" hidden="1" customHeight="1" x14ac:dyDescent="0.2">
      <c r="A1957" s="11">
        <f>IF(INPUT!M1952="","",INPUT!M1952)</f>
        <v>46063</v>
      </c>
      <c r="B1957" s="11">
        <f>IF(INPUT!M1952="","",INPUT!M1952-WEEKDAY(INPUT!M1952,2)+1)</f>
        <v>46062</v>
      </c>
      <c r="C1957" s="20">
        <f>IFERROR(_xlfn.ISOWEEKNUM(INPUT!M1952),"")</f>
        <v>7</v>
      </c>
      <c r="D1957" s="20">
        <f>IFERROR(YEAR(INPUT!M1952),"")</f>
        <v>2026</v>
      </c>
      <c r="E1957" t="str">
        <f>IF(INPUT!O1952="","",INPUT!O1952)</f>
        <v>GONZALO</v>
      </c>
      <c r="F1957" t="str">
        <f>IF(INPUT!N1952="","",INPUT!N1952)</f>
        <v>M</v>
      </c>
      <c r="G1957" t="str" cm="1">
        <f t="array" ref="G1957">IFERROR(VLOOKUP(INPUT!M1952&amp;INPUT!N1952,CHOOSE({1,2},INPUT!$A$3:$A$5000&amp;INPUT!$C$3:$C$5000,INPUT!$F$3:$F$5000),2,FALSE),"")</f>
        <v>PRE-TEMPORADA</v>
      </c>
      <c r="H1957" t="str" cm="1">
        <f t="array" ref="H1957">IFERROR(VLOOKUP(INPUT!M1952&amp;INPUT!N1952,CHOOSE({1,2},INPUT!$A$3:$A$5000&amp;INPUT!$C$3:$C$5000,INPUT!$D$3:$D$5000),2,FALSE),"")</f>
        <v>TEC-TAC</v>
      </c>
      <c r="I1957" s="46">
        <f>IF(INPUT!P1952="","",INPUT!P1952)</f>
        <v>83.3</v>
      </c>
      <c r="J1957" s="46">
        <f>IF(INPUT!Q1952="","",INPUT!Q1952)</f>
        <v>83.4</v>
      </c>
      <c r="K1957" s="46">
        <f>IFERROR(IF(OR(INPUT!P1952="",INPUT!Q1952=""),"",INPUT!P1952-INPUT!Q1952),"")</f>
        <v>-0.10000000000000853</v>
      </c>
      <c r="L1957" s="48">
        <f>IFERROR(IF(OR(INPUT!P1952="",INPUT!Q1952="",INPUT!P1952=0),"",(INPUT!P1952-INPUT!Q1952)/INPUT!P1952),"")</f>
        <v>-1.2004801920769332E-3</v>
      </c>
    </row>
    <row r="1958" spans="1:12" ht="18" hidden="1" customHeight="1" x14ac:dyDescent="0.2">
      <c r="A1958" s="11">
        <f>IF(INPUT!M1953="","",INPUT!M1953)</f>
        <v>46063</v>
      </c>
      <c r="B1958" s="11">
        <f>IF(INPUT!M1953="","",INPUT!M1953-WEEKDAY(INPUT!M1953,2)+1)</f>
        <v>46062</v>
      </c>
      <c r="C1958" s="20">
        <f>IFERROR(_xlfn.ISOWEEKNUM(INPUT!M1953),"")</f>
        <v>7</v>
      </c>
      <c r="D1958" s="20">
        <f>IFERROR(YEAR(INPUT!M1953),"")</f>
        <v>2026</v>
      </c>
      <c r="E1958" t="str">
        <f>IF(INPUT!O1953="","",INPUT!O1953)</f>
        <v>DANI</v>
      </c>
      <c r="F1958" t="str">
        <f>IF(INPUT!N1953="","",INPUT!N1953)</f>
        <v>M</v>
      </c>
      <c r="G1958" t="str" cm="1">
        <f t="array" ref="G1958">IFERROR(VLOOKUP(INPUT!M1953&amp;INPUT!N1953,CHOOSE({1,2},INPUT!$A$3:$A$5000&amp;INPUT!$C$3:$C$5000,INPUT!$F$3:$F$5000),2,FALSE),"")</f>
        <v>PRE-TEMPORADA</v>
      </c>
      <c r="H1958" t="str" cm="1">
        <f t="array" ref="H1958">IFERROR(VLOOKUP(INPUT!M1953&amp;INPUT!N1953,CHOOSE({1,2},INPUT!$A$3:$A$5000&amp;INPUT!$C$3:$C$5000,INPUT!$D$3:$D$5000),2,FALSE),"")</f>
        <v>TEC-TAC</v>
      </c>
      <c r="I1958" s="46">
        <f>IF(INPUT!P1953="","",INPUT!P1953)</f>
        <v>91.9</v>
      </c>
      <c r="J1958" s="46">
        <f>IF(INPUT!Q1953="","",INPUT!Q1953)</f>
        <v>92.1</v>
      </c>
      <c r="K1958" s="46">
        <f>IFERROR(IF(OR(INPUT!P1953="",INPUT!Q1953=""),"",INPUT!P1953-INPUT!Q1953),"")</f>
        <v>-0.19999999999998863</v>
      </c>
      <c r="L1958" s="48">
        <f>IFERROR(IF(OR(INPUT!P1953="",INPUT!Q1953="",INPUT!P1953=0),"",(INPUT!P1953-INPUT!Q1953)/INPUT!P1953),"")</f>
        <v>-2.176278563656024E-3</v>
      </c>
    </row>
    <row r="1959" spans="1:12" ht="18" hidden="1" customHeight="1" x14ac:dyDescent="0.2">
      <c r="A1959" s="11">
        <f>IF(INPUT!M1954="","",INPUT!M1954)</f>
        <v>46063</v>
      </c>
      <c r="B1959" s="11">
        <f>IF(INPUT!M1954="","",INPUT!M1954-WEEKDAY(INPUT!M1954,2)+1)</f>
        <v>46062</v>
      </c>
      <c r="C1959" s="20">
        <f>IFERROR(_xlfn.ISOWEEKNUM(INPUT!M1954),"")</f>
        <v>7</v>
      </c>
      <c r="D1959" s="20">
        <f>IFERROR(YEAR(INPUT!M1954),"")</f>
        <v>2026</v>
      </c>
      <c r="E1959" t="str">
        <f>IF(INPUT!O1954="","",INPUT!O1954)</f>
        <v>JAIME</v>
      </c>
      <c r="F1959" t="str">
        <f>IF(INPUT!N1954="","",INPUT!N1954)</f>
        <v>M</v>
      </c>
      <c r="G1959" t="str" cm="1">
        <f t="array" ref="G1959">IFERROR(VLOOKUP(INPUT!M1954&amp;INPUT!N1954,CHOOSE({1,2},INPUT!$A$3:$A$5000&amp;INPUT!$C$3:$C$5000,INPUT!$F$3:$F$5000),2,FALSE),"")</f>
        <v>PRE-TEMPORADA</v>
      </c>
      <c r="H1959" t="str" cm="1">
        <f t="array" ref="H1959">IFERROR(VLOOKUP(INPUT!M1954&amp;INPUT!N1954,CHOOSE({1,2},INPUT!$A$3:$A$5000&amp;INPUT!$C$3:$C$5000,INPUT!$D$3:$D$5000),2,FALSE),"")</f>
        <v>TEC-TAC</v>
      </c>
      <c r="I1959" s="46">
        <f>IF(INPUT!P1954="","",INPUT!P1954)</f>
        <v>76.400000000000006</v>
      </c>
      <c r="J1959" s="46">
        <f>IF(INPUT!Q1954="","",INPUT!Q1954)</f>
        <v>76.2</v>
      </c>
      <c r="K1959" s="46">
        <f>IFERROR(IF(OR(INPUT!P1954="",INPUT!Q1954=""),"",INPUT!P1954-INPUT!Q1954),"")</f>
        <v>0.20000000000000284</v>
      </c>
      <c r="L1959" s="48">
        <f>IFERROR(IF(OR(INPUT!P1954="",INPUT!Q1954="",INPUT!P1954=0),"",(INPUT!P1954-INPUT!Q1954)/INPUT!P1954),"")</f>
        <v>2.6178010471204559E-3</v>
      </c>
    </row>
    <row r="1960" spans="1:12" ht="18" hidden="1" customHeight="1" x14ac:dyDescent="0.2">
      <c r="A1960" s="11">
        <f>IF(INPUT!M1955="","",INPUT!M1955)</f>
        <v>46064</v>
      </c>
      <c r="B1960" s="11">
        <f>IF(INPUT!M1955="","",INPUT!M1955-WEEKDAY(INPUT!M1955,2)+1)</f>
        <v>46062</v>
      </c>
      <c r="C1960" s="20">
        <f>IFERROR(_xlfn.ISOWEEKNUM(INPUT!M1955),"")</f>
        <v>7</v>
      </c>
      <c r="D1960" s="20">
        <f>IFERROR(YEAR(INPUT!M1955),"")</f>
        <v>2026</v>
      </c>
      <c r="E1960" t="str">
        <f>IF(INPUT!O1955="","",INPUT!O1955)</f>
        <v>HERRERO</v>
      </c>
      <c r="F1960" t="str">
        <f>IF(INPUT!N1955="","",INPUT!N1955)</f>
        <v>M</v>
      </c>
      <c r="G1960" t="str" cm="1">
        <f t="array" ref="G1960">IFERROR(VLOOKUP(INPUT!M1955&amp;INPUT!N1955,CHOOSE({1,2},INPUT!$A$3:$A$5000&amp;INPUT!$C$3:$C$5000,INPUT!$F$3:$F$5000),2,FALSE),"")</f>
        <v>PRE-TEMPORADA</v>
      </c>
      <c r="H1960" t="str" cm="1">
        <f t="array" ref="H1960">IFERROR(VLOOKUP(INPUT!M1955&amp;INPUT!N1955,CHOOSE({1,2},INPUT!$A$3:$A$5000&amp;INPUT!$C$3:$C$5000,INPUT!$D$3:$D$5000),2,FALSE),"")</f>
        <v>MATINAL</v>
      </c>
      <c r="I1960" s="46">
        <f>IF(INPUT!P1955="","",INPUT!P1955)</f>
        <v>77</v>
      </c>
      <c r="J1960" s="46">
        <f>IF(INPUT!Q1955="","",INPUT!Q1955)</f>
        <v>77</v>
      </c>
      <c r="K1960" s="46">
        <f>IFERROR(IF(OR(INPUT!P1955="",INPUT!Q1955=""),"",INPUT!P1955-INPUT!Q1955),"")</f>
        <v>0</v>
      </c>
      <c r="L1960" s="48">
        <f>IFERROR(IF(OR(INPUT!P1955="",INPUT!Q1955="",INPUT!P1955=0),"",(INPUT!P1955-INPUT!Q1955)/INPUT!P1955),"")</f>
        <v>0</v>
      </c>
    </row>
    <row r="1961" spans="1:12" ht="18" hidden="1" customHeight="1" x14ac:dyDescent="0.2">
      <c r="A1961" s="11">
        <f>IF(INPUT!M1956="","",INPUT!M1956)</f>
        <v>46064</v>
      </c>
      <c r="B1961" s="11">
        <f>IF(INPUT!M1956="","",INPUT!M1956-WEEKDAY(INPUT!M1956,2)+1)</f>
        <v>46062</v>
      </c>
      <c r="C1961" s="20">
        <f>IFERROR(_xlfn.ISOWEEKNUM(INPUT!M1956),"")</f>
        <v>7</v>
      </c>
      <c r="D1961" s="20">
        <f>IFERROR(YEAR(INPUT!M1956),"")</f>
        <v>2026</v>
      </c>
      <c r="E1961" t="str">
        <f>IF(INPUT!O1956="","",INPUT!O1956)</f>
        <v>HERRERO</v>
      </c>
      <c r="F1961" t="str">
        <f>IF(INPUT!N1956="","",INPUT!N1956)</f>
        <v>T</v>
      </c>
      <c r="G1961" t="str" cm="1">
        <f t="array" ref="G1961">IFERROR(VLOOKUP(INPUT!M1956&amp;INPUT!N1956,CHOOSE({1,2},INPUT!$A$3:$A$5000&amp;INPUT!$C$3:$C$5000,INPUT!$F$3:$F$5000),2,FALSE),"")</f>
        <v>PRE-TEMPORADA</v>
      </c>
      <c r="H1961" t="str" cm="1">
        <f t="array" ref="H1961">IFERROR(VLOOKUP(INPUT!M1956&amp;INPUT!N1956,CHOOSE({1,2},INPUT!$A$3:$A$5000&amp;INPUT!$C$3:$C$5000,INPUT!$D$3:$D$5000),2,FALSE),"")</f>
        <v>PARTIDO</v>
      </c>
      <c r="I1961" s="46">
        <f>IF(INPUT!P1956="","",INPUT!P1956)</f>
        <v>77.099999999999994</v>
      </c>
      <c r="J1961" s="46">
        <f>IF(INPUT!Q1956="","",INPUT!Q1956)</f>
        <v>76</v>
      </c>
      <c r="K1961" s="46">
        <f>IFERROR(IF(OR(INPUT!P1956="",INPUT!Q1956=""),"",INPUT!P1956-INPUT!Q1956),"")</f>
        <v>1.0999999999999943</v>
      </c>
      <c r="L1961" s="48">
        <f>IFERROR(IF(OR(INPUT!P1956="",INPUT!Q1956="",INPUT!P1956=0),"",(INPUT!P1956-INPUT!Q1956)/INPUT!P1956),"")</f>
        <v>1.4267185473411081E-2</v>
      </c>
    </row>
    <row r="1962" spans="1:12" ht="18" customHeight="1" x14ac:dyDescent="0.2">
      <c r="A1962" s="11">
        <f>IF(INPUT!M1957="","",INPUT!M1957)</f>
        <v>46064</v>
      </c>
      <c r="B1962" s="11">
        <f>IF(INPUT!M1957="","",INPUT!M1957-WEEKDAY(INPUT!M1957,2)+1)</f>
        <v>46062</v>
      </c>
      <c r="C1962" s="20">
        <f>IFERROR(_xlfn.ISOWEEKNUM(INPUT!M1957),"")</f>
        <v>7</v>
      </c>
      <c r="D1962" s="20">
        <f>IFERROR(YEAR(INPUT!M1957),"")</f>
        <v>2026</v>
      </c>
      <c r="E1962" t="str">
        <f>IF(INPUT!O1957="","",INPUT!O1957)</f>
        <v>GARCIA</v>
      </c>
      <c r="F1962" t="str">
        <f>IF(INPUT!N1957="","",INPUT!N1957)</f>
        <v>M</v>
      </c>
      <c r="G1962" t="str" cm="1">
        <f t="array" ref="G1962">IFERROR(VLOOKUP(INPUT!M1957&amp;INPUT!N1957,CHOOSE({1,2},INPUT!$A$3:$A$5000&amp;INPUT!$C$3:$C$5000,INPUT!$F$3:$F$5000),2,FALSE),"")</f>
        <v>PRE-TEMPORADA</v>
      </c>
      <c r="H1962" t="str" cm="1">
        <f t="array" ref="H1962">IFERROR(VLOOKUP(INPUT!M1957&amp;INPUT!N1957,CHOOSE({1,2},INPUT!$A$3:$A$5000&amp;INPUT!$C$3:$C$5000,INPUT!$D$3:$D$5000),2,FALSE),"")</f>
        <v>MATINAL</v>
      </c>
      <c r="I1962" s="46">
        <f>IF(INPUT!P1957="","",INPUT!P1957)</f>
        <v>79.3</v>
      </c>
      <c r="J1962" s="46">
        <f>IF(INPUT!Q1957="","",INPUT!Q1957)</f>
        <v>79</v>
      </c>
      <c r="K1962" s="46">
        <f>IFERROR(IF(OR(INPUT!P1957="",INPUT!Q1957=""),"",INPUT!P1957-INPUT!Q1957),"")</f>
        <v>0.29999999999999716</v>
      </c>
      <c r="L1962" s="48">
        <f>IFERROR(IF(OR(INPUT!P1957="",INPUT!Q1957="",INPUT!P1957=0),"",(INPUT!P1957-INPUT!Q1957)/INPUT!P1957),"")</f>
        <v>3.7831021437578459E-3</v>
      </c>
    </row>
    <row r="1963" spans="1:12" ht="18" customHeight="1" x14ac:dyDescent="0.2">
      <c r="A1963" s="11">
        <f>IF(INPUT!M1958="","",INPUT!M1958)</f>
        <v>46064</v>
      </c>
      <c r="B1963" s="11">
        <f>IF(INPUT!M1958="","",INPUT!M1958-WEEKDAY(INPUT!M1958,2)+1)</f>
        <v>46062</v>
      </c>
      <c r="C1963" s="20">
        <f>IFERROR(_xlfn.ISOWEEKNUM(INPUT!M1958),"")</f>
        <v>7</v>
      </c>
      <c r="D1963" s="20">
        <f>IFERROR(YEAR(INPUT!M1958),"")</f>
        <v>2026</v>
      </c>
      <c r="E1963" t="str">
        <f>IF(INPUT!O1958="","",INPUT!O1958)</f>
        <v>GARCIA</v>
      </c>
      <c r="F1963" t="str">
        <f>IF(INPUT!N1958="","",INPUT!N1958)</f>
        <v>T</v>
      </c>
      <c r="G1963" t="str" cm="1">
        <f t="array" ref="G1963">IFERROR(VLOOKUP(INPUT!M1958&amp;INPUT!N1958,CHOOSE({1,2},INPUT!$A$3:$A$5000&amp;INPUT!$C$3:$C$5000,INPUT!$F$3:$F$5000),2,FALSE),"")</f>
        <v>PRE-TEMPORADA</v>
      </c>
      <c r="H1963" t="str" cm="1">
        <f t="array" ref="H1963">IFERROR(VLOOKUP(INPUT!M1958&amp;INPUT!N1958,CHOOSE({1,2},INPUT!$A$3:$A$5000&amp;INPUT!$C$3:$C$5000,INPUT!$D$3:$D$5000),2,FALSE),"")</f>
        <v>PARTIDO</v>
      </c>
      <c r="I1963" s="46">
        <f>IF(INPUT!P1958="","",INPUT!P1958)</f>
        <v>79</v>
      </c>
      <c r="J1963" s="46">
        <f>IF(INPUT!Q1958="","",INPUT!Q1958)</f>
        <v>79</v>
      </c>
      <c r="K1963" s="46">
        <f>IFERROR(IF(OR(INPUT!P1958="",INPUT!Q1958=""),"",INPUT!P1958-INPUT!Q1958),"")</f>
        <v>0</v>
      </c>
      <c r="L1963" s="48">
        <f>IFERROR(IF(OR(INPUT!P1958="",INPUT!Q1958="",INPUT!P1958=0),"",(INPUT!P1958-INPUT!Q1958)/INPUT!P1958),"")</f>
        <v>0</v>
      </c>
    </row>
    <row r="1964" spans="1:12" ht="18" customHeight="1" x14ac:dyDescent="0.2">
      <c r="A1964" s="11">
        <f>IF(INPUT!M1959="","",INPUT!M1959)</f>
        <v>46064</v>
      </c>
      <c r="B1964" s="11">
        <f>IF(INPUT!M1959="","",INPUT!M1959-WEEKDAY(INPUT!M1959,2)+1)</f>
        <v>46062</v>
      </c>
      <c r="C1964" s="20">
        <f>IFERROR(_xlfn.ISOWEEKNUM(INPUT!M1959),"")</f>
        <v>7</v>
      </c>
      <c r="D1964" s="20">
        <f>IFERROR(YEAR(INPUT!M1959),"")</f>
        <v>2026</v>
      </c>
      <c r="E1964" t="str">
        <f>IF(INPUT!O1959="","",INPUT!O1959)</f>
        <v>CECILIO</v>
      </c>
      <c r="F1964" t="str">
        <f>IF(INPUT!N1959="","",INPUT!N1959)</f>
        <v>M</v>
      </c>
      <c r="G1964" t="str" cm="1">
        <f t="array" ref="G1964">IFERROR(VLOOKUP(INPUT!M1959&amp;INPUT!N1959,CHOOSE({1,2},INPUT!$A$3:$A$5000&amp;INPUT!$C$3:$C$5000,INPUT!$F$3:$F$5000),2,FALSE),"")</f>
        <v>PRE-TEMPORADA</v>
      </c>
      <c r="H1964" t="str" cm="1">
        <f t="array" ref="H1964">IFERROR(VLOOKUP(INPUT!M1959&amp;INPUT!N1959,CHOOSE({1,2},INPUT!$A$3:$A$5000&amp;INPUT!$C$3:$C$5000,INPUT!$D$3:$D$5000),2,FALSE),"")</f>
        <v>MATINAL</v>
      </c>
      <c r="I1964" s="46">
        <f>IF(INPUT!P1959="","",INPUT!P1959)</f>
        <v>67.900000000000006</v>
      </c>
      <c r="J1964" s="46">
        <f>IF(INPUT!Q1959="","",INPUT!Q1959)</f>
        <v>67.8</v>
      </c>
      <c r="K1964" s="46">
        <f>IFERROR(IF(OR(INPUT!P1959="",INPUT!Q1959=""),"",INPUT!P1959-INPUT!Q1959),"")</f>
        <v>0.10000000000000853</v>
      </c>
      <c r="L1964" s="48">
        <f>IFERROR(IF(OR(INPUT!P1959="",INPUT!Q1959="",INPUT!P1959=0),"",(INPUT!P1959-INPUT!Q1959)/INPUT!P1959),"")</f>
        <v>1.4727540500737632E-3</v>
      </c>
    </row>
    <row r="1965" spans="1:12" ht="18" customHeight="1" x14ac:dyDescent="0.2">
      <c r="A1965" s="11">
        <f>IF(INPUT!M1960="","",INPUT!M1960)</f>
        <v>46064</v>
      </c>
      <c r="B1965" s="11">
        <f>IF(INPUT!M1960="","",INPUT!M1960-WEEKDAY(INPUT!M1960,2)+1)</f>
        <v>46062</v>
      </c>
      <c r="C1965" s="20">
        <f>IFERROR(_xlfn.ISOWEEKNUM(INPUT!M1960),"")</f>
        <v>7</v>
      </c>
      <c r="D1965" s="20">
        <f>IFERROR(YEAR(INPUT!M1960),"")</f>
        <v>2026</v>
      </c>
      <c r="E1965" t="str">
        <f>IF(INPUT!O1960="","",INPUT!O1960)</f>
        <v>CECILIO</v>
      </c>
      <c r="F1965" t="str">
        <f>IF(INPUT!N1960="","",INPUT!N1960)</f>
        <v>T</v>
      </c>
      <c r="G1965" t="str" cm="1">
        <f t="array" ref="G1965">IFERROR(VLOOKUP(INPUT!M1960&amp;INPUT!N1960,CHOOSE({1,2},INPUT!$A$3:$A$5000&amp;INPUT!$C$3:$C$5000,INPUT!$F$3:$F$5000),2,FALSE),"")</f>
        <v>PRE-TEMPORADA</v>
      </c>
      <c r="H1965" t="str" cm="1">
        <f t="array" ref="H1965">IFERROR(VLOOKUP(INPUT!M1960&amp;INPUT!N1960,CHOOSE({1,2},INPUT!$A$3:$A$5000&amp;INPUT!$C$3:$C$5000,INPUT!$D$3:$D$5000),2,FALSE),"")</f>
        <v>PARTIDO</v>
      </c>
      <c r="I1965" s="46">
        <f>IF(INPUT!P1960="","",INPUT!P1960)</f>
        <v>68.099999999999994</v>
      </c>
      <c r="J1965" s="46">
        <f>IF(INPUT!Q1960="","",INPUT!Q1960)</f>
        <v>68</v>
      </c>
      <c r="K1965" s="46">
        <f>IFERROR(IF(OR(INPUT!P1960="",INPUT!Q1960=""),"",INPUT!P1960-INPUT!Q1960),"")</f>
        <v>9.9999999999994316E-2</v>
      </c>
      <c r="L1965" s="48">
        <f>IFERROR(IF(OR(INPUT!P1960="",INPUT!Q1960="",INPUT!P1960=0),"",(INPUT!P1960-INPUT!Q1960)/INPUT!P1960),"")</f>
        <v>1.4684287812040283E-3</v>
      </c>
    </row>
    <row r="1966" spans="1:12" ht="18" customHeight="1" x14ac:dyDescent="0.2">
      <c r="A1966" s="11">
        <f>IF(INPUT!M1961="","",INPUT!M1961)</f>
        <v>46064</v>
      </c>
      <c r="B1966" s="11">
        <f>IF(INPUT!M1961="","",INPUT!M1961-WEEKDAY(INPUT!M1961,2)+1)</f>
        <v>46062</v>
      </c>
      <c r="C1966" s="20">
        <f>IFERROR(_xlfn.ISOWEEKNUM(INPUT!M1961),"")</f>
        <v>7</v>
      </c>
      <c r="D1966" s="20">
        <f>IFERROR(YEAR(INPUT!M1961),"")</f>
        <v>2026</v>
      </c>
      <c r="E1966" t="str">
        <f>IF(INPUT!O1961="","",INPUT!O1961)</f>
        <v>CHAGUINHA</v>
      </c>
      <c r="F1966" t="str">
        <f>IF(INPUT!N1961="","",INPUT!N1961)</f>
        <v>M</v>
      </c>
      <c r="G1966" t="str" cm="1">
        <f t="array" ref="G1966">IFERROR(VLOOKUP(INPUT!M1961&amp;INPUT!N1961,CHOOSE({1,2},INPUT!$A$3:$A$5000&amp;INPUT!$C$3:$C$5000,INPUT!$F$3:$F$5000),2,FALSE),"")</f>
        <v>PRE-TEMPORADA</v>
      </c>
      <c r="H1966" t="str" cm="1">
        <f t="array" ref="H1966">IFERROR(VLOOKUP(INPUT!M1961&amp;INPUT!N1961,CHOOSE({1,2},INPUT!$A$3:$A$5000&amp;INPUT!$C$3:$C$5000,INPUT!$D$3:$D$5000),2,FALSE),"")</f>
        <v>MATINAL</v>
      </c>
      <c r="I1966" s="46">
        <f>IF(INPUT!P1961="","",INPUT!P1961)</f>
        <v>69</v>
      </c>
      <c r="J1966" s="46">
        <f>IF(INPUT!Q1961="","",INPUT!Q1961)</f>
        <v>68.8</v>
      </c>
      <c r="K1966" s="46">
        <f>IFERROR(IF(OR(INPUT!P1961="",INPUT!Q1961=""),"",INPUT!P1961-INPUT!Q1961),"")</f>
        <v>0.20000000000000284</v>
      </c>
      <c r="L1966" s="48">
        <f>IFERROR(IF(OR(INPUT!P1961="",INPUT!Q1961="",INPUT!P1961=0),"",(INPUT!P1961-INPUT!Q1961)/INPUT!P1961),"")</f>
        <v>2.8985507246377224E-3</v>
      </c>
    </row>
    <row r="1967" spans="1:12" ht="18" hidden="1" customHeight="1" x14ac:dyDescent="0.2">
      <c r="A1967" s="11">
        <f>IF(INPUT!M1962="","",INPUT!M1962)</f>
        <v>46064</v>
      </c>
      <c r="B1967" s="11">
        <f>IF(INPUT!M1962="","",INPUT!M1962-WEEKDAY(INPUT!M1962,2)+1)</f>
        <v>46062</v>
      </c>
      <c r="C1967" s="20">
        <f>IFERROR(_xlfn.ISOWEEKNUM(INPUT!M1962),"")</f>
        <v>7</v>
      </c>
      <c r="D1967" s="20">
        <f>IFERROR(YEAR(INPUT!M1962),"")</f>
        <v>2026</v>
      </c>
      <c r="E1967" t="str">
        <f>IF(INPUT!O1962="","",INPUT!O1962)</f>
        <v>CHAGUINHA</v>
      </c>
      <c r="F1967" t="str">
        <f>IF(INPUT!N1962="","",INPUT!N1962)</f>
        <v>T</v>
      </c>
      <c r="G1967" t="str" cm="1">
        <f t="array" ref="G1967">IFERROR(VLOOKUP(INPUT!M1962&amp;INPUT!N1962,CHOOSE({1,2},INPUT!$A$3:$A$5000&amp;INPUT!$C$3:$C$5000,INPUT!$F$3:$F$5000),2,FALSE),"")</f>
        <v>PRE-TEMPORADA</v>
      </c>
      <c r="H1967" t="str" cm="1">
        <f t="array" ref="H1967">IFERROR(VLOOKUP(INPUT!M1962&amp;INPUT!N1962,CHOOSE({1,2},INPUT!$A$3:$A$5000&amp;INPUT!$C$3:$C$5000,INPUT!$D$3:$D$5000),2,FALSE),"")</f>
        <v>PARTIDO</v>
      </c>
      <c r="I1967" s="46">
        <f>IF(INPUT!P1962="","",INPUT!P1962)</f>
        <v>69</v>
      </c>
      <c r="J1967" s="46">
        <f>IF(INPUT!Q1962="","",INPUT!Q1962)</f>
        <v>69</v>
      </c>
      <c r="K1967" s="46">
        <f>IFERROR(IF(OR(INPUT!P1962="",INPUT!Q1962=""),"",INPUT!P1962-INPUT!Q1962),"")</f>
        <v>0</v>
      </c>
      <c r="L1967" s="48">
        <f>IFERROR(IF(OR(INPUT!P1962="",INPUT!Q1962="",INPUT!P1962=0),"",(INPUT!P1962-INPUT!Q1962)/INPUT!P1962),"")</f>
        <v>0</v>
      </c>
    </row>
    <row r="1968" spans="1:12" ht="18" hidden="1" customHeight="1" x14ac:dyDescent="0.2">
      <c r="A1968" s="11">
        <f>IF(INPUT!M1963="","",INPUT!M1963)</f>
        <v>46064</v>
      </c>
      <c r="B1968" s="11">
        <f>IF(INPUT!M1963="","",INPUT!M1963-WEEKDAY(INPUT!M1963,2)+1)</f>
        <v>46062</v>
      </c>
      <c r="C1968" s="20">
        <f>IFERROR(_xlfn.ISOWEEKNUM(INPUT!M1963),"")</f>
        <v>7</v>
      </c>
      <c r="D1968" s="20">
        <f>IFERROR(YEAR(INPUT!M1963),"")</f>
        <v>2026</v>
      </c>
      <c r="E1968" t="str">
        <f>IF(INPUT!O1963="","",INPUT!O1963)</f>
        <v>RAUL</v>
      </c>
      <c r="F1968" t="str">
        <f>IF(INPUT!N1963="","",INPUT!N1963)</f>
        <v>M</v>
      </c>
      <c r="G1968" t="str" cm="1">
        <f t="array" ref="G1968">IFERROR(VLOOKUP(INPUT!M1963&amp;INPUT!N1963,CHOOSE({1,2},INPUT!$A$3:$A$5000&amp;INPUT!$C$3:$C$5000,INPUT!$F$3:$F$5000),2,FALSE),"")</f>
        <v>PRE-TEMPORADA</v>
      </c>
      <c r="H1968" t="str" cm="1">
        <f t="array" ref="H1968">IFERROR(VLOOKUP(INPUT!M1963&amp;INPUT!N1963,CHOOSE({1,2},INPUT!$A$3:$A$5000&amp;INPUT!$C$3:$C$5000,INPUT!$D$3:$D$5000),2,FALSE),"")</f>
        <v>MATINAL</v>
      </c>
      <c r="I1968" s="46">
        <f>IF(INPUT!P1963="","",INPUT!P1963)</f>
        <v>80.5</v>
      </c>
      <c r="J1968" s="46">
        <f>IF(INPUT!Q1963="","",INPUT!Q1963)</f>
        <v>80.2</v>
      </c>
      <c r="K1968" s="46">
        <f>IFERROR(IF(OR(INPUT!P1963="",INPUT!Q1963=""),"",INPUT!P1963-INPUT!Q1963),"")</f>
        <v>0.29999999999999716</v>
      </c>
      <c r="L1968" s="48">
        <f>IFERROR(IF(OR(INPUT!P1963="",INPUT!Q1963="",INPUT!P1963=0),"",(INPUT!P1963-INPUT!Q1963)/INPUT!P1963),"")</f>
        <v>3.7267080745341263E-3</v>
      </c>
    </row>
    <row r="1969" spans="1:12" ht="18" hidden="1" customHeight="1" x14ac:dyDescent="0.2">
      <c r="A1969" s="11">
        <f>IF(INPUT!M1964="","",INPUT!M1964)</f>
        <v>46064</v>
      </c>
      <c r="B1969" s="11">
        <f>IF(INPUT!M1964="","",INPUT!M1964-WEEKDAY(INPUT!M1964,2)+1)</f>
        <v>46062</v>
      </c>
      <c r="C1969" s="20">
        <f>IFERROR(_xlfn.ISOWEEKNUM(INPUT!M1964),"")</f>
        <v>7</v>
      </c>
      <c r="D1969" s="20">
        <f>IFERROR(YEAR(INPUT!M1964),"")</f>
        <v>2026</v>
      </c>
      <c r="E1969" t="str">
        <f>IF(INPUT!O1964="","",INPUT!O1964)</f>
        <v>RAUL</v>
      </c>
      <c r="F1969" t="str">
        <f>IF(INPUT!N1964="","",INPUT!N1964)</f>
        <v>T</v>
      </c>
      <c r="G1969" t="str" cm="1">
        <f t="array" ref="G1969">IFERROR(VLOOKUP(INPUT!M1964&amp;INPUT!N1964,CHOOSE({1,2},INPUT!$A$3:$A$5000&amp;INPUT!$C$3:$C$5000,INPUT!$F$3:$F$5000),2,FALSE),"")</f>
        <v>PRE-TEMPORADA</v>
      </c>
      <c r="H1969" t="str" cm="1">
        <f t="array" ref="H1969">IFERROR(VLOOKUP(INPUT!M1964&amp;INPUT!N1964,CHOOSE({1,2},INPUT!$A$3:$A$5000&amp;INPUT!$C$3:$C$5000,INPUT!$D$3:$D$5000),2,FALSE),"")</f>
        <v>PARTIDO</v>
      </c>
      <c r="I1969" s="46">
        <f>IF(INPUT!P1964="","",INPUT!P1964)</f>
        <v>82</v>
      </c>
      <c r="J1969" s="46">
        <f>IF(INPUT!Q1964="","",INPUT!Q1964)</f>
        <v>80.7</v>
      </c>
      <c r="K1969" s="46">
        <f>IFERROR(IF(OR(INPUT!P1964="",INPUT!Q1964=""),"",INPUT!P1964-INPUT!Q1964),"")</f>
        <v>1.2999999999999972</v>
      </c>
      <c r="L1969" s="48">
        <f>IFERROR(IF(OR(INPUT!P1964="",INPUT!Q1964="",INPUT!P1964=0),"",(INPUT!P1964-INPUT!Q1964)/INPUT!P1964),"")</f>
        <v>1.5853658536585331E-2</v>
      </c>
    </row>
    <row r="1970" spans="1:12" ht="18" hidden="1" customHeight="1" x14ac:dyDescent="0.2">
      <c r="A1970" s="11">
        <f>IF(INPUT!M1965="","",INPUT!M1965)</f>
        <v>46064</v>
      </c>
      <c r="B1970" s="11">
        <f>IF(INPUT!M1965="","",INPUT!M1965-WEEKDAY(INPUT!M1965,2)+1)</f>
        <v>46062</v>
      </c>
      <c r="C1970" s="20">
        <f>IFERROR(_xlfn.ISOWEEKNUM(INPUT!M1965),"")</f>
        <v>7</v>
      </c>
      <c r="D1970" s="20">
        <f>IFERROR(YEAR(INPUT!M1965),"")</f>
        <v>2026</v>
      </c>
      <c r="E1970" t="str">
        <f>IF(INPUT!O1965="","",INPUT!O1965)</f>
        <v>HARRISON</v>
      </c>
      <c r="F1970" t="str">
        <f>IF(INPUT!N1965="","",INPUT!N1965)</f>
        <v>M</v>
      </c>
      <c r="G1970" t="str" cm="1">
        <f t="array" ref="G1970">IFERROR(VLOOKUP(INPUT!M1965&amp;INPUT!N1965,CHOOSE({1,2},INPUT!$A$3:$A$5000&amp;INPUT!$C$3:$C$5000,INPUT!$F$3:$F$5000),2,FALSE),"")</f>
        <v>PRE-TEMPORADA</v>
      </c>
      <c r="H1970" t="str" cm="1">
        <f t="array" ref="H1970">IFERROR(VLOOKUP(INPUT!M1965&amp;INPUT!N1965,CHOOSE({1,2},INPUT!$A$3:$A$5000&amp;INPUT!$C$3:$C$5000,INPUT!$D$3:$D$5000),2,FALSE),"")</f>
        <v>MATINAL</v>
      </c>
      <c r="I1970" s="46">
        <f>IF(INPUT!P1965="","",INPUT!P1965)</f>
        <v>72</v>
      </c>
      <c r="J1970" s="46">
        <f>IF(INPUT!Q1965="","",INPUT!Q1965)</f>
        <v>72</v>
      </c>
      <c r="K1970" s="46">
        <f>IFERROR(IF(OR(INPUT!P1965="",INPUT!Q1965=""),"",INPUT!P1965-INPUT!Q1965),"")</f>
        <v>0</v>
      </c>
      <c r="L1970" s="48">
        <f>IFERROR(IF(OR(INPUT!P1965="",INPUT!Q1965="",INPUT!P1965=0),"",(INPUT!P1965-INPUT!Q1965)/INPUT!P1965),"")</f>
        <v>0</v>
      </c>
    </row>
    <row r="1971" spans="1:12" ht="18" hidden="1" customHeight="1" x14ac:dyDescent="0.2">
      <c r="A1971" s="11">
        <f>IF(INPUT!M1966="","",INPUT!M1966)</f>
        <v>46064</v>
      </c>
      <c r="B1971" s="11">
        <f>IF(INPUT!M1966="","",INPUT!M1966-WEEKDAY(INPUT!M1966,2)+1)</f>
        <v>46062</v>
      </c>
      <c r="C1971" s="20">
        <f>IFERROR(_xlfn.ISOWEEKNUM(INPUT!M1966),"")</f>
        <v>7</v>
      </c>
      <c r="D1971" s="20">
        <f>IFERROR(YEAR(INPUT!M1966),"")</f>
        <v>2026</v>
      </c>
      <c r="E1971" t="str">
        <f>IF(INPUT!O1966="","",INPUT!O1966)</f>
        <v>RAYA</v>
      </c>
      <c r="F1971" t="str">
        <f>IF(INPUT!N1966="","",INPUT!N1966)</f>
        <v>M</v>
      </c>
      <c r="G1971" t="str" cm="1">
        <f t="array" ref="G1971">IFERROR(VLOOKUP(INPUT!M1966&amp;INPUT!N1966,CHOOSE({1,2},INPUT!$A$3:$A$5000&amp;INPUT!$C$3:$C$5000,INPUT!$F$3:$F$5000),2,FALSE),"")</f>
        <v>PRE-TEMPORADA</v>
      </c>
      <c r="H1971" t="str" cm="1">
        <f t="array" ref="H1971">IFERROR(VLOOKUP(INPUT!M1966&amp;INPUT!N1966,CHOOSE({1,2},INPUT!$A$3:$A$5000&amp;INPUT!$C$3:$C$5000,INPUT!$D$3:$D$5000),2,FALSE),"")</f>
        <v>MATINAL</v>
      </c>
      <c r="I1971" s="46">
        <f>IF(INPUT!P1966="","",INPUT!P1966)</f>
        <v>81.2</v>
      </c>
      <c r="J1971" s="46">
        <f>IF(INPUT!Q1966="","",INPUT!Q1966)</f>
        <v>81</v>
      </c>
      <c r="K1971" s="46">
        <f>IFERROR(IF(OR(INPUT!P1966="",INPUT!Q1966=""),"",INPUT!P1966-INPUT!Q1966),"")</f>
        <v>0.20000000000000284</v>
      </c>
      <c r="L1971" s="48">
        <f>IFERROR(IF(OR(INPUT!P1966="",INPUT!Q1966="",INPUT!P1966=0),"",(INPUT!P1966-INPUT!Q1966)/INPUT!P1966),"")</f>
        <v>2.4630541871921529E-3</v>
      </c>
    </row>
    <row r="1972" spans="1:12" ht="18" hidden="1" customHeight="1" x14ac:dyDescent="0.2">
      <c r="A1972" s="11">
        <f>IF(INPUT!M1967="","",INPUT!M1967)</f>
        <v>46064</v>
      </c>
      <c r="B1972" s="11">
        <f>IF(INPUT!M1967="","",INPUT!M1967-WEEKDAY(INPUT!M1967,2)+1)</f>
        <v>46062</v>
      </c>
      <c r="C1972" s="20">
        <f>IFERROR(_xlfn.ISOWEEKNUM(INPUT!M1967),"")</f>
        <v>7</v>
      </c>
      <c r="D1972" s="20">
        <f>IFERROR(YEAR(INPUT!M1967),"")</f>
        <v>2026</v>
      </c>
      <c r="E1972" t="str">
        <f>IF(INPUT!O1967="","",INPUT!O1967)</f>
        <v>RAYA</v>
      </c>
      <c r="F1972" t="str">
        <f>IF(INPUT!N1967="","",INPUT!N1967)</f>
        <v>T</v>
      </c>
      <c r="G1972" t="str" cm="1">
        <f t="array" ref="G1972">IFERROR(VLOOKUP(INPUT!M1967&amp;INPUT!N1967,CHOOSE({1,2},INPUT!$A$3:$A$5000&amp;INPUT!$C$3:$C$5000,INPUT!$F$3:$F$5000),2,FALSE),"")</f>
        <v>PRE-TEMPORADA</v>
      </c>
      <c r="H1972" t="str" cm="1">
        <f t="array" ref="H1972">IFERROR(VLOOKUP(INPUT!M1967&amp;INPUT!N1967,CHOOSE({1,2},INPUT!$A$3:$A$5000&amp;INPUT!$C$3:$C$5000,INPUT!$D$3:$D$5000),2,FALSE),"")</f>
        <v>PARTIDO</v>
      </c>
      <c r="I1972" s="46">
        <f>IF(INPUT!P1967="","",INPUT!P1967)</f>
        <v>81.400000000000006</v>
      </c>
      <c r="J1972" s="46">
        <f>IF(INPUT!Q1967="","",INPUT!Q1967)</f>
        <v>81</v>
      </c>
      <c r="K1972" s="46">
        <f>IFERROR(IF(OR(INPUT!P1967="",INPUT!Q1967=""),"",INPUT!P1967-INPUT!Q1967),"")</f>
        <v>0.40000000000000568</v>
      </c>
      <c r="L1972" s="48">
        <f>IFERROR(IF(OR(INPUT!P1967="",INPUT!Q1967="",INPUT!P1967=0),"",(INPUT!P1967-INPUT!Q1967)/INPUT!P1967),"")</f>
        <v>4.9140049140049833E-3</v>
      </c>
    </row>
    <row r="1973" spans="1:12" ht="18" hidden="1" customHeight="1" x14ac:dyDescent="0.2">
      <c r="A1973" s="11">
        <f>IF(INPUT!M1968="","",INPUT!M1968)</f>
        <v>46064</v>
      </c>
      <c r="B1973" s="11">
        <f>IF(INPUT!M1968="","",INPUT!M1968-WEEKDAY(INPUT!M1968,2)+1)</f>
        <v>46062</v>
      </c>
      <c r="C1973" s="20">
        <f>IFERROR(_xlfn.ISOWEEKNUM(INPUT!M1968),"")</f>
        <v>7</v>
      </c>
      <c r="D1973" s="20">
        <f>IFERROR(YEAR(INPUT!M1968),"")</f>
        <v>2026</v>
      </c>
      <c r="E1973" t="str">
        <f>IF(INPUT!O1968="","",INPUT!O1968)</f>
        <v>JAVI</v>
      </c>
      <c r="F1973" t="str">
        <f>IF(INPUT!N1968="","",INPUT!N1968)</f>
        <v>M</v>
      </c>
      <c r="G1973" t="str" cm="1">
        <f t="array" ref="G1973">IFERROR(VLOOKUP(INPUT!M1968&amp;INPUT!N1968,CHOOSE({1,2},INPUT!$A$3:$A$5000&amp;INPUT!$C$3:$C$5000,INPUT!$F$3:$F$5000),2,FALSE),"")</f>
        <v>PRE-TEMPORADA</v>
      </c>
      <c r="H1973" t="str" cm="1">
        <f t="array" ref="H1973">IFERROR(VLOOKUP(INPUT!M1968&amp;INPUT!N1968,CHOOSE({1,2},INPUT!$A$3:$A$5000&amp;INPUT!$C$3:$C$5000,INPUT!$D$3:$D$5000),2,FALSE),"")</f>
        <v>MATINAL</v>
      </c>
      <c r="I1973" s="46">
        <f>IF(INPUT!P1968="","",INPUT!P1968)</f>
        <v>79.099999999999994</v>
      </c>
      <c r="J1973" s="46">
        <f>IF(INPUT!Q1968="","",INPUT!Q1968)</f>
        <v>79</v>
      </c>
      <c r="K1973" s="46">
        <f>IFERROR(IF(OR(INPUT!P1968="",INPUT!Q1968=""),"",INPUT!P1968-INPUT!Q1968),"")</f>
        <v>9.9999999999994316E-2</v>
      </c>
      <c r="L1973" s="48">
        <f>IFERROR(IF(OR(INPUT!P1968="",INPUT!Q1968="",INPUT!P1968=0),"",(INPUT!P1968-INPUT!Q1968)/INPUT!P1968),"")</f>
        <v>1.2642225031604846E-3</v>
      </c>
    </row>
    <row r="1974" spans="1:12" ht="18" hidden="1" customHeight="1" x14ac:dyDescent="0.2">
      <c r="A1974" s="11">
        <f>IF(INPUT!M1969="","",INPUT!M1969)</f>
        <v>46064</v>
      </c>
      <c r="B1974" s="11">
        <f>IF(INPUT!M1969="","",INPUT!M1969-WEEKDAY(INPUT!M1969,2)+1)</f>
        <v>46062</v>
      </c>
      <c r="C1974" s="20">
        <f>IFERROR(_xlfn.ISOWEEKNUM(INPUT!M1969),"")</f>
        <v>7</v>
      </c>
      <c r="D1974" s="20">
        <f>IFERROR(YEAR(INPUT!M1969),"")</f>
        <v>2026</v>
      </c>
      <c r="E1974" t="str">
        <f>IF(INPUT!O1969="","",INPUT!O1969)</f>
        <v>JAVI</v>
      </c>
      <c r="F1974" t="str">
        <f>IF(INPUT!N1969="","",INPUT!N1969)</f>
        <v>T</v>
      </c>
      <c r="G1974" t="str" cm="1">
        <f t="array" ref="G1974">IFERROR(VLOOKUP(INPUT!M1969&amp;INPUT!N1969,CHOOSE({1,2},INPUT!$A$3:$A$5000&amp;INPUT!$C$3:$C$5000,INPUT!$F$3:$F$5000),2,FALSE),"")</f>
        <v>PRE-TEMPORADA</v>
      </c>
      <c r="H1974" t="str" cm="1">
        <f t="array" ref="H1974">IFERROR(VLOOKUP(INPUT!M1969&amp;INPUT!N1969,CHOOSE({1,2},INPUT!$A$3:$A$5000&amp;INPUT!$C$3:$C$5000,INPUT!$D$3:$D$5000),2,FALSE),"")</f>
        <v>PARTIDO</v>
      </c>
      <c r="I1974" s="46">
        <f>IF(INPUT!P1969="","",INPUT!P1969)</f>
        <v>78.400000000000006</v>
      </c>
      <c r="J1974" s="46">
        <f>IF(INPUT!Q1969="","",INPUT!Q1969)</f>
        <v>78.5</v>
      </c>
      <c r="K1974" s="46">
        <f>IFERROR(IF(OR(INPUT!P1969="",INPUT!Q1969=""),"",INPUT!P1969-INPUT!Q1969),"")</f>
        <v>-9.9999999999994316E-2</v>
      </c>
      <c r="L1974" s="48">
        <f>IFERROR(IF(OR(INPUT!P1969="",INPUT!Q1969="",INPUT!P1969=0),"",(INPUT!P1969-INPUT!Q1969)/INPUT!P1969),"")</f>
        <v>-1.2755102040815601E-3</v>
      </c>
    </row>
    <row r="1975" spans="1:12" ht="18" hidden="1" customHeight="1" x14ac:dyDescent="0.2">
      <c r="A1975" s="11">
        <f>IF(INPUT!M1970="","",INPUT!M1970)</f>
        <v>46064</v>
      </c>
      <c r="B1975" s="11">
        <f>IF(INPUT!M1970="","",INPUT!M1970-WEEKDAY(INPUT!M1970,2)+1)</f>
        <v>46062</v>
      </c>
      <c r="C1975" s="20">
        <f>IFERROR(_xlfn.ISOWEEKNUM(INPUT!M1970),"")</f>
        <v>7</v>
      </c>
      <c r="D1975" s="20">
        <f>IFERROR(YEAR(INPUT!M1970),"")</f>
        <v>2026</v>
      </c>
      <c r="E1975" t="str">
        <f>IF(INPUT!O1970="","",INPUT!O1970)</f>
        <v>PANI</v>
      </c>
      <c r="F1975" t="str">
        <f>IF(INPUT!N1970="","",INPUT!N1970)</f>
        <v>M</v>
      </c>
      <c r="G1975" t="str" cm="1">
        <f t="array" ref="G1975">IFERROR(VLOOKUP(INPUT!M1970&amp;INPUT!N1970,CHOOSE({1,2},INPUT!$A$3:$A$5000&amp;INPUT!$C$3:$C$5000,INPUT!$F$3:$F$5000),2,FALSE),"")</f>
        <v>PRE-TEMPORADA</v>
      </c>
      <c r="H1975" t="str" cm="1">
        <f t="array" ref="H1975">IFERROR(VLOOKUP(INPUT!M1970&amp;INPUT!N1970,CHOOSE({1,2},INPUT!$A$3:$A$5000&amp;INPUT!$C$3:$C$5000,INPUT!$D$3:$D$5000),2,FALSE),"")</f>
        <v>MATINAL</v>
      </c>
      <c r="I1975" s="46">
        <f>IF(INPUT!P1970="","",INPUT!P1970)</f>
        <v>66.2</v>
      </c>
      <c r="J1975" s="46">
        <f>IF(INPUT!Q1970="","",INPUT!Q1970)</f>
        <v>65.8</v>
      </c>
      <c r="K1975" s="46">
        <f>IFERROR(IF(OR(INPUT!P1970="",INPUT!Q1970=""),"",INPUT!P1970-INPUT!Q1970),"")</f>
        <v>0.40000000000000568</v>
      </c>
      <c r="L1975" s="48">
        <f>IFERROR(IF(OR(INPUT!P1970="",INPUT!Q1970="",INPUT!P1970=0),"",(INPUT!P1970-INPUT!Q1970)/INPUT!P1970),"")</f>
        <v>6.0422960725076387E-3</v>
      </c>
    </row>
    <row r="1976" spans="1:12" ht="18" hidden="1" customHeight="1" x14ac:dyDescent="0.2">
      <c r="A1976" s="11">
        <f>IF(INPUT!M1971="","",INPUT!M1971)</f>
        <v>46064</v>
      </c>
      <c r="B1976" s="11">
        <f>IF(INPUT!M1971="","",INPUT!M1971-WEEKDAY(INPUT!M1971,2)+1)</f>
        <v>46062</v>
      </c>
      <c r="C1976" s="20">
        <f>IFERROR(_xlfn.ISOWEEKNUM(INPUT!M1971),"")</f>
        <v>7</v>
      </c>
      <c r="D1976" s="20">
        <f>IFERROR(YEAR(INPUT!M1971),"")</f>
        <v>2026</v>
      </c>
      <c r="E1976" t="str">
        <f>IF(INPUT!O1971="","",INPUT!O1971)</f>
        <v>PANI</v>
      </c>
      <c r="F1976" t="str">
        <f>IF(INPUT!N1971="","",INPUT!N1971)</f>
        <v>T</v>
      </c>
      <c r="G1976" t="str" cm="1">
        <f t="array" ref="G1976">IFERROR(VLOOKUP(INPUT!M1971&amp;INPUT!N1971,CHOOSE({1,2},INPUT!$A$3:$A$5000&amp;INPUT!$C$3:$C$5000,INPUT!$F$3:$F$5000),2,FALSE),"")</f>
        <v>PRE-TEMPORADA</v>
      </c>
      <c r="H1976" t="str" cm="1">
        <f t="array" ref="H1976">IFERROR(VLOOKUP(INPUT!M1971&amp;INPUT!N1971,CHOOSE({1,2},INPUT!$A$3:$A$5000&amp;INPUT!$C$3:$C$5000,INPUT!$D$3:$D$5000),2,FALSE),"")</f>
        <v>PARTIDO</v>
      </c>
      <c r="I1976" s="46">
        <f>IF(INPUT!P1971="","",INPUT!P1971)</f>
        <v>66.8</v>
      </c>
      <c r="J1976" s="46">
        <f>IF(INPUT!Q1971="","",INPUT!Q1971)</f>
        <v>66.8</v>
      </c>
      <c r="K1976" s="46">
        <f>IFERROR(IF(OR(INPUT!P1971="",INPUT!Q1971=""),"",INPUT!P1971-INPUT!Q1971),"")</f>
        <v>0</v>
      </c>
      <c r="L1976" s="48">
        <f>IFERROR(IF(OR(INPUT!P1971="",INPUT!Q1971="",INPUT!P1971=0),"",(INPUT!P1971-INPUT!Q1971)/INPUT!P1971),"")</f>
        <v>0</v>
      </c>
    </row>
    <row r="1977" spans="1:12" ht="18" hidden="1" customHeight="1" x14ac:dyDescent="0.2">
      <c r="A1977" s="11">
        <f>IF(INPUT!M1972="","",INPUT!M1972)</f>
        <v>46064</v>
      </c>
      <c r="B1977" s="11">
        <f>IF(INPUT!M1972="","",INPUT!M1972-WEEKDAY(INPUT!M1972,2)+1)</f>
        <v>46062</v>
      </c>
      <c r="C1977" s="20">
        <f>IFERROR(_xlfn.ISOWEEKNUM(INPUT!M1972),"")</f>
        <v>7</v>
      </c>
      <c r="D1977" s="20">
        <f>IFERROR(YEAR(INPUT!M1972),"")</f>
        <v>2026</v>
      </c>
      <c r="E1977" t="str">
        <f>IF(INPUT!O1972="","",INPUT!O1972)</f>
        <v>PIRATA</v>
      </c>
      <c r="F1977" t="str">
        <f>IF(INPUT!N1972="","",INPUT!N1972)</f>
        <v>M</v>
      </c>
      <c r="G1977" t="str" cm="1">
        <f t="array" ref="G1977">IFERROR(VLOOKUP(INPUT!M1972&amp;INPUT!N1972,CHOOSE({1,2},INPUT!$A$3:$A$5000&amp;INPUT!$C$3:$C$5000,INPUT!$F$3:$F$5000),2,FALSE),"")</f>
        <v>PRE-TEMPORADA</v>
      </c>
      <c r="H1977" t="str" cm="1">
        <f t="array" ref="H1977">IFERROR(VLOOKUP(INPUT!M1972&amp;INPUT!N1972,CHOOSE({1,2},INPUT!$A$3:$A$5000&amp;INPUT!$C$3:$C$5000,INPUT!$D$3:$D$5000),2,FALSE),"")</f>
        <v>MATINAL</v>
      </c>
      <c r="I1977" s="46">
        <f>IF(INPUT!P1972="","",INPUT!P1972)</f>
        <v>75.3</v>
      </c>
      <c r="J1977" s="46">
        <f>IF(INPUT!Q1972="","",INPUT!Q1972)</f>
        <v>75.2</v>
      </c>
      <c r="K1977" s="46">
        <f>IFERROR(IF(OR(INPUT!P1972="",INPUT!Q1972=""),"",INPUT!P1972-INPUT!Q1972),"")</f>
        <v>9.9999999999994316E-2</v>
      </c>
      <c r="L1977" s="48">
        <f>IFERROR(IF(OR(INPUT!P1972="",INPUT!Q1972="",INPUT!P1972=0),"",(INPUT!P1972-INPUT!Q1972)/INPUT!P1972),"")</f>
        <v>1.3280212483398981E-3</v>
      </c>
    </row>
    <row r="1978" spans="1:12" ht="18" hidden="1" customHeight="1" x14ac:dyDescent="0.2">
      <c r="A1978" s="11">
        <f>IF(INPUT!M1973="","",INPUT!M1973)</f>
        <v>46064</v>
      </c>
      <c r="B1978" s="11">
        <f>IF(INPUT!M1973="","",INPUT!M1973-WEEKDAY(INPUT!M1973,2)+1)</f>
        <v>46062</v>
      </c>
      <c r="C1978" s="20">
        <f>IFERROR(_xlfn.ISOWEEKNUM(INPUT!M1973),"")</f>
        <v>7</v>
      </c>
      <c r="D1978" s="20">
        <f>IFERROR(YEAR(INPUT!M1973),"")</f>
        <v>2026</v>
      </c>
      <c r="E1978" t="str">
        <f>IF(INPUT!O1973="","",INPUT!O1973)</f>
        <v>PIRATA</v>
      </c>
      <c r="F1978" t="str">
        <f>IF(INPUT!N1973="","",INPUT!N1973)</f>
        <v>T</v>
      </c>
      <c r="G1978" t="str" cm="1">
        <f t="array" ref="G1978">IFERROR(VLOOKUP(INPUT!M1973&amp;INPUT!N1973,CHOOSE({1,2},INPUT!$A$3:$A$5000&amp;INPUT!$C$3:$C$5000,INPUT!$F$3:$F$5000),2,FALSE),"")</f>
        <v>PRE-TEMPORADA</v>
      </c>
      <c r="H1978" t="str" cm="1">
        <f t="array" ref="H1978">IFERROR(VLOOKUP(INPUT!M1973&amp;INPUT!N1973,CHOOSE({1,2},INPUT!$A$3:$A$5000&amp;INPUT!$C$3:$C$5000,INPUT!$D$3:$D$5000),2,FALSE),"")</f>
        <v>PARTIDO</v>
      </c>
      <c r="I1978" s="46">
        <f>IF(INPUT!P1973="","",INPUT!P1973)</f>
        <v>75</v>
      </c>
      <c r="J1978" s="46">
        <f>IF(INPUT!Q1973="","",INPUT!Q1973)</f>
        <v>75</v>
      </c>
      <c r="K1978" s="46">
        <f>IFERROR(IF(OR(INPUT!P1973="",INPUT!Q1973=""),"",INPUT!P1973-INPUT!Q1973),"")</f>
        <v>0</v>
      </c>
      <c r="L1978" s="48">
        <f>IFERROR(IF(OR(INPUT!P1973="",INPUT!Q1973="",INPUT!P1973=0),"",(INPUT!P1973-INPUT!Q1973)/INPUT!P1973),"")</f>
        <v>0</v>
      </c>
    </row>
    <row r="1979" spans="1:12" ht="18" hidden="1" customHeight="1" x14ac:dyDescent="0.2">
      <c r="A1979" s="11">
        <f>IF(INPUT!M1974="","",INPUT!M1974)</f>
        <v>46064</v>
      </c>
      <c r="B1979" s="11">
        <f>IF(INPUT!M1974="","",INPUT!M1974-WEEKDAY(INPUT!M1974,2)+1)</f>
        <v>46062</v>
      </c>
      <c r="C1979" s="20">
        <f>IFERROR(_xlfn.ISOWEEKNUM(INPUT!M1974),"")</f>
        <v>7</v>
      </c>
      <c r="D1979" s="20">
        <f>IFERROR(YEAR(INPUT!M1974),"")</f>
        <v>2026</v>
      </c>
      <c r="E1979" t="str">
        <f>IF(INPUT!O1974="","",INPUT!O1974)</f>
        <v>BARONA</v>
      </c>
      <c r="F1979" t="str">
        <f>IF(INPUT!N1974="","",INPUT!N1974)</f>
        <v>M</v>
      </c>
      <c r="G1979" t="str" cm="1">
        <f t="array" ref="G1979">IFERROR(VLOOKUP(INPUT!M1974&amp;INPUT!N1974,CHOOSE({1,2},INPUT!$A$3:$A$5000&amp;INPUT!$C$3:$C$5000,INPUT!$F$3:$F$5000),2,FALSE),"")</f>
        <v>PRE-TEMPORADA</v>
      </c>
      <c r="H1979" t="str" cm="1">
        <f t="array" ref="H1979">IFERROR(VLOOKUP(INPUT!M1974&amp;INPUT!N1974,CHOOSE({1,2},INPUT!$A$3:$A$5000&amp;INPUT!$C$3:$C$5000,INPUT!$D$3:$D$5000),2,FALSE),"")</f>
        <v>MATINAL</v>
      </c>
      <c r="I1979" s="46">
        <f>IF(INPUT!P1974="","",INPUT!P1974)</f>
        <v>70.7</v>
      </c>
      <c r="J1979" s="46">
        <f>IF(INPUT!Q1974="","",INPUT!Q1974)</f>
        <v>70.5</v>
      </c>
      <c r="K1979" s="46">
        <f>IFERROR(IF(OR(INPUT!P1974="",INPUT!Q1974=""),"",INPUT!P1974-INPUT!Q1974),"")</f>
        <v>0.20000000000000284</v>
      </c>
      <c r="L1979" s="48">
        <f>IFERROR(IF(OR(INPUT!P1974="",INPUT!Q1974="",INPUT!P1974=0),"",(INPUT!P1974-INPUT!Q1974)/INPUT!P1974),"")</f>
        <v>2.8288543140028688E-3</v>
      </c>
    </row>
    <row r="1980" spans="1:12" ht="18" hidden="1" customHeight="1" x14ac:dyDescent="0.2">
      <c r="A1980" s="11">
        <f>IF(INPUT!M1975="","",INPUT!M1975)</f>
        <v>46064</v>
      </c>
      <c r="B1980" s="11">
        <f>IF(INPUT!M1975="","",INPUT!M1975-WEEKDAY(INPUT!M1975,2)+1)</f>
        <v>46062</v>
      </c>
      <c r="C1980" s="20">
        <f>IFERROR(_xlfn.ISOWEEKNUM(INPUT!M1975),"")</f>
        <v>7</v>
      </c>
      <c r="D1980" s="20">
        <f>IFERROR(YEAR(INPUT!M1975),"")</f>
        <v>2026</v>
      </c>
      <c r="E1980" t="str">
        <f>IF(INPUT!O1975="","",INPUT!O1975)</f>
        <v>BARONA</v>
      </c>
      <c r="F1980" t="str">
        <f>IF(INPUT!N1975="","",INPUT!N1975)</f>
        <v>T</v>
      </c>
      <c r="G1980" t="str" cm="1">
        <f t="array" ref="G1980">IFERROR(VLOOKUP(INPUT!M1975&amp;INPUT!N1975,CHOOSE({1,2},INPUT!$A$3:$A$5000&amp;INPUT!$C$3:$C$5000,INPUT!$F$3:$F$5000),2,FALSE),"")</f>
        <v>PRE-TEMPORADA</v>
      </c>
      <c r="H1980" t="str" cm="1">
        <f t="array" ref="H1980">IFERROR(VLOOKUP(INPUT!M1975&amp;INPUT!N1975,CHOOSE({1,2},INPUT!$A$3:$A$5000&amp;INPUT!$C$3:$C$5000,INPUT!$D$3:$D$5000),2,FALSE),"")</f>
        <v>PARTIDO</v>
      </c>
      <c r="I1980" s="46">
        <f>IF(INPUT!P1975="","",INPUT!P1975)</f>
        <v>71.400000000000006</v>
      </c>
      <c r="J1980" s="46">
        <f>IF(INPUT!Q1975="","",INPUT!Q1975)</f>
        <v>70.900000000000006</v>
      </c>
      <c r="K1980" s="46">
        <f>IFERROR(IF(OR(INPUT!P1975="",INPUT!Q1975=""),"",INPUT!P1975-INPUT!Q1975),"")</f>
        <v>0.5</v>
      </c>
      <c r="L1980" s="48">
        <f>IFERROR(IF(OR(INPUT!P1975="",INPUT!Q1975="",INPUT!P1975=0),"",(INPUT!P1975-INPUT!Q1975)/INPUT!P1975),"")</f>
        <v>7.0028011204481787E-3</v>
      </c>
    </row>
    <row r="1981" spans="1:12" ht="18" hidden="1" customHeight="1" x14ac:dyDescent="0.2">
      <c r="A1981" s="11">
        <f>IF(INPUT!M1976="","",INPUT!M1976)</f>
        <v>46064</v>
      </c>
      <c r="B1981" s="11">
        <f>IF(INPUT!M1976="","",INPUT!M1976-WEEKDAY(INPUT!M1976,2)+1)</f>
        <v>46062</v>
      </c>
      <c r="C1981" s="20">
        <f>IFERROR(_xlfn.ISOWEEKNUM(INPUT!M1976),"")</f>
        <v>7</v>
      </c>
      <c r="D1981" s="20">
        <f>IFERROR(YEAR(INPUT!M1976),"")</f>
        <v>2026</v>
      </c>
      <c r="E1981" t="str">
        <f>IF(INPUT!O1976="","",INPUT!O1976)</f>
        <v>CARLOS</v>
      </c>
      <c r="F1981" t="str">
        <f>IF(INPUT!N1976="","",INPUT!N1976)</f>
        <v>M</v>
      </c>
      <c r="G1981" t="str" cm="1">
        <f t="array" ref="G1981">IFERROR(VLOOKUP(INPUT!M1976&amp;INPUT!N1976,CHOOSE({1,2},INPUT!$A$3:$A$5000&amp;INPUT!$C$3:$C$5000,INPUT!$F$3:$F$5000),2,FALSE),"")</f>
        <v>PRE-TEMPORADA</v>
      </c>
      <c r="H1981" t="str" cm="1">
        <f t="array" ref="H1981">IFERROR(VLOOKUP(INPUT!M1976&amp;INPUT!N1976,CHOOSE({1,2},INPUT!$A$3:$A$5000&amp;INPUT!$C$3:$C$5000,INPUT!$D$3:$D$5000),2,FALSE),"")</f>
        <v>MATINAL</v>
      </c>
      <c r="I1981" s="46">
        <f>IF(INPUT!P1976="","",INPUT!P1976)</f>
        <v>67.5</v>
      </c>
      <c r="J1981" s="46">
        <f>IF(INPUT!Q1976="","",INPUT!Q1976)</f>
        <v>67.3</v>
      </c>
      <c r="K1981" s="46">
        <f>IFERROR(IF(OR(INPUT!P1976="",INPUT!Q1976=""),"",INPUT!P1976-INPUT!Q1976),"")</f>
        <v>0.20000000000000284</v>
      </c>
      <c r="L1981" s="48">
        <f>IFERROR(IF(OR(INPUT!P1976="",INPUT!Q1976="",INPUT!P1976=0),"",(INPUT!P1976-INPUT!Q1976)/INPUT!P1976),"")</f>
        <v>2.9629629629630049E-3</v>
      </c>
    </row>
    <row r="1982" spans="1:12" ht="18" hidden="1" customHeight="1" x14ac:dyDescent="0.2">
      <c r="A1982" s="11">
        <f>IF(INPUT!M1977="","",INPUT!M1977)</f>
        <v>46064</v>
      </c>
      <c r="B1982" s="11">
        <f>IF(INPUT!M1977="","",INPUT!M1977-WEEKDAY(INPUT!M1977,2)+1)</f>
        <v>46062</v>
      </c>
      <c r="C1982" s="20">
        <f>IFERROR(_xlfn.ISOWEEKNUM(INPUT!M1977),"")</f>
        <v>7</v>
      </c>
      <c r="D1982" s="20">
        <f>IFERROR(YEAR(INPUT!M1977),"")</f>
        <v>2026</v>
      </c>
      <c r="E1982" t="str">
        <f>IF(INPUT!O1977="","",INPUT!O1977)</f>
        <v>CARLOS</v>
      </c>
      <c r="F1982" t="str">
        <f>IF(INPUT!N1977="","",INPUT!N1977)</f>
        <v>T</v>
      </c>
      <c r="G1982" t="str" cm="1">
        <f t="array" ref="G1982">IFERROR(VLOOKUP(INPUT!M1977&amp;INPUT!N1977,CHOOSE({1,2},INPUT!$A$3:$A$5000&amp;INPUT!$C$3:$C$5000,INPUT!$F$3:$F$5000),2,FALSE),"")</f>
        <v>PRE-TEMPORADA</v>
      </c>
      <c r="H1982" t="str" cm="1">
        <f t="array" ref="H1982">IFERROR(VLOOKUP(INPUT!M1977&amp;INPUT!N1977,CHOOSE({1,2},INPUT!$A$3:$A$5000&amp;INPUT!$C$3:$C$5000,INPUT!$D$3:$D$5000),2,FALSE),"")</f>
        <v>PARTIDO</v>
      </c>
      <c r="I1982" s="46">
        <f>IF(INPUT!P1977="","",INPUT!P1977)</f>
        <v>68.3</v>
      </c>
      <c r="J1982" s="46">
        <f>IF(INPUT!Q1977="","",INPUT!Q1977)</f>
        <v>67.599999999999994</v>
      </c>
      <c r="K1982" s="46">
        <f>IFERROR(IF(OR(INPUT!P1977="",INPUT!Q1977=""),"",INPUT!P1977-INPUT!Q1977),"")</f>
        <v>0.70000000000000284</v>
      </c>
      <c r="L1982" s="48">
        <f>IFERROR(IF(OR(INPUT!P1977="",INPUT!Q1977="",INPUT!P1977=0),"",(INPUT!P1977-INPUT!Q1977)/INPUT!P1977),"")</f>
        <v>1.0248901903367538E-2</v>
      </c>
    </row>
    <row r="1983" spans="1:12" ht="18" customHeight="1" x14ac:dyDescent="0.2">
      <c r="A1983" s="11">
        <f>IF(INPUT!M1978="","",INPUT!M1978)</f>
        <v>46064</v>
      </c>
      <c r="B1983" s="11">
        <f>IF(INPUT!M1978="","",INPUT!M1978-WEEKDAY(INPUT!M1978,2)+1)</f>
        <v>46062</v>
      </c>
      <c r="C1983" s="20">
        <f>IFERROR(_xlfn.ISOWEEKNUM(INPUT!M1978),"")</f>
        <v>7</v>
      </c>
      <c r="D1983" s="20">
        <f>IFERROR(YEAR(INPUT!M1978),"")</f>
        <v>2026</v>
      </c>
      <c r="E1983" t="str">
        <f>IF(INPUT!O1978="","",INPUT!O1978)</f>
        <v>GONZALO</v>
      </c>
      <c r="F1983" t="str">
        <f>IF(INPUT!N1978="","",INPUT!N1978)</f>
        <v>M</v>
      </c>
      <c r="G1983" t="str" cm="1">
        <f t="array" ref="G1983">IFERROR(VLOOKUP(INPUT!M1978&amp;INPUT!N1978,CHOOSE({1,2},INPUT!$A$3:$A$5000&amp;INPUT!$C$3:$C$5000,INPUT!$F$3:$F$5000),2,FALSE),"")</f>
        <v>PRE-TEMPORADA</v>
      </c>
      <c r="H1983" t="str" cm="1">
        <f t="array" ref="H1983">IFERROR(VLOOKUP(INPUT!M1978&amp;INPUT!N1978,CHOOSE({1,2},INPUT!$A$3:$A$5000&amp;INPUT!$C$3:$C$5000,INPUT!$D$3:$D$5000),2,FALSE),"")</f>
        <v>MATINAL</v>
      </c>
      <c r="I1983" s="46">
        <f>IF(INPUT!P1978="","",INPUT!P1978)</f>
        <v>83.4</v>
      </c>
      <c r="J1983" s="46">
        <f>IF(INPUT!Q1978="","",INPUT!Q1978)</f>
        <v>83.4</v>
      </c>
      <c r="K1983" s="46">
        <f>IFERROR(IF(OR(INPUT!P1978="",INPUT!Q1978=""),"",INPUT!P1978-INPUT!Q1978),"")</f>
        <v>0</v>
      </c>
      <c r="L1983" s="48">
        <f>IFERROR(IF(OR(INPUT!P1978="",INPUT!Q1978="",INPUT!P1978=0),"",(INPUT!P1978-INPUT!Q1978)/INPUT!P1978),"")</f>
        <v>0</v>
      </c>
    </row>
    <row r="1984" spans="1:12" ht="18" customHeight="1" x14ac:dyDescent="0.2">
      <c r="A1984" s="11">
        <f>IF(INPUT!M1979="","",INPUT!M1979)</f>
        <v>46064</v>
      </c>
      <c r="B1984" s="11">
        <f>IF(INPUT!M1979="","",INPUT!M1979-WEEKDAY(INPUT!M1979,2)+1)</f>
        <v>46062</v>
      </c>
      <c r="C1984" s="20">
        <f>IFERROR(_xlfn.ISOWEEKNUM(INPUT!M1979),"")</f>
        <v>7</v>
      </c>
      <c r="D1984" s="20">
        <f>IFERROR(YEAR(INPUT!M1979),"")</f>
        <v>2026</v>
      </c>
      <c r="E1984" t="str">
        <f>IF(INPUT!O1979="","",INPUT!O1979)</f>
        <v>GONZALO</v>
      </c>
      <c r="F1984" t="str">
        <f>IF(INPUT!N1979="","",INPUT!N1979)</f>
        <v>T</v>
      </c>
      <c r="G1984" t="str" cm="1">
        <f t="array" ref="G1984">IFERROR(VLOOKUP(INPUT!M1979&amp;INPUT!N1979,CHOOSE({1,2},INPUT!$A$3:$A$5000&amp;INPUT!$C$3:$C$5000,INPUT!$F$3:$F$5000),2,FALSE),"")</f>
        <v>PRE-TEMPORADA</v>
      </c>
      <c r="H1984" t="str" cm="1">
        <f t="array" ref="H1984">IFERROR(VLOOKUP(INPUT!M1979&amp;INPUT!N1979,CHOOSE({1,2},INPUT!$A$3:$A$5000&amp;INPUT!$C$3:$C$5000,INPUT!$D$3:$D$5000),2,FALSE),"")</f>
        <v>PARTIDO</v>
      </c>
      <c r="I1984" s="46">
        <f>IF(INPUT!P1979="","",INPUT!P1979)</f>
        <v>83.4</v>
      </c>
      <c r="J1984" s="46">
        <f>IF(INPUT!Q1979="","",INPUT!Q1979)</f>
        <v>83</v>
      </c>
      <c r="K1984" s="46">
        <f>IFERROR(IF(OR(INPUT!P1979="",INPUT!Q1979=""),"",INPUT!P1979-INPUT!Q1979),"")</f>
        <v>0.40000000000000568</v>
      </c>
      <c r="L1984" s="48">
        <f>IFERROR(IF(OR(INPUT!P1979="",INPUT!Q1979="",INPUT!P1979=0),"",(INPUT!P1979-INPUT!Q1979)/INPUT!P1979),"")</f>
        <v>4.7961630695444327E-3</v>
      </c>
    </row>
    <row r="1985" spans="1:12" ht="18" customHeight="1" x14ac:dyDescent="0.2">
      <c r="A1985" s="11">
        <f>IF(INPUT!M1980="","",INPUT!M1980)</f>
        <v>46064</v>
      </c>
      <c r="B1985" s="11">
        <f>IF(INPUT!M1980="","",INPUT!M1980-WEEKDAY(INPUT!M1980,2)+1)</f>
        <v>46062</v>
      </c>
      <c r="C1985" s="20">
        <f>IFERROR(_xlfn.ISOWEEKNUM(INPUT!M1980),"")</f>
        <v>7</v>
      </c>
      <c r="D1985" s="20">
        <f>IFERROR(YEAR(INPUT!M1980),"")</f>
        <v>2026</v>
      </c>
      <c r="E1985" t="str">
        <f>IF(INPUT!O1980="","",INPUT!O1980)</f>
        <v>DANI</v>
      </c>
      <c r="F1985" t="str">
        <f>IF(INPUT!N1980="","",INPUT!N1980)</f>
        <v>M</v>
      </c>
      <c r="G1985" t="str" cm="1">
        <f t="array" ref="G1985">IFERROR(VLOOKUP(INPUT!M1980&amp;INPUT!N1980,CHOOSE({1,2},INPUT!$A$3:$A$5000&amp;INPUT!$C$3:$C$5000,INPUT!$F$3:$F$5000),2,FALSE),"")</f>
        <v>PRE-TEMPORADA</v>
      </c>
      <c r="H1985" t="str" cm="1">
        <f t="array" ref="H1985">IFERROR(VLOOKUP(INPUT!M1980&amp;INPUT!N1980,CHOOSE({1,2},INPUT!$A$3:$A$5000&amp;INPUT!$C$3:$C$5000,INPUT!$D$3:$D$5000),2,FALSE),"")</f>
        <v>MATINAL</v>
      </c>
      <c r="I1985" s="46">
        <f>IF(INPUT!P1980="","",INPUT!P1980)</f>
        <v>92</v>
      </c>
      <c r="J1985" s="46">
        <f>IF(INPUT!Q1980="","",INPUT!Q1980)</f>
        <v>91.4</v>
      </c>
      <c r="K1985" s="46">
        <f>IFERROR(IF(OR(INPUT!P1980="",INPUT!Q1980=""),"",INPUT!P1980-INPUT!Q1980),"")</f>
        <v>0.59999999999999432</v>
      </c>
      <c r="L1985" s="48">
        <f>IFERROR(IF(OR(INPUT!P1980="",INPUT!Q1980="",INPUT!P1980=0),"",(INPUT!P1980-INPUT!Q1980)/INPUT!P1980),"")</f>
        <v>6.5217391304347207E-3</v>
      </c>
    </row>
    <row r="1986" spans="1:12" ht="18" customHeight="1" x14ac:dyDescent="0.2">
      <c r="A1986" s="11">
        <f>IF(INPUT!M1981="","",INPUT!M1981)</f>
        <v>46064</v>
      </c>
      <c r="B1986" s="11">
        <f>IF(INPUT!M1981="","",INPUT!M1981-WEEKDAY(INPUT!M1981,2)+1)</f>
        <v>46062</v>
      </c>
      <c r="C1986" s="20">
        <f>IFERROR(_xlfn.ISOWEEKNUM(INPUT!M1981),"")</f>
        <v>7</v>
      </c>
      <c r="D1986" s="20">
        <f>IFERROR(YEAR(INPUT!M1981),"")</f>
        <v>2026</v>
      </c>
      <c r="E1986" t="str">
        <f>IF(INPUT!O1981="","",INPUT!O1981)</f>
        <v>DANI</v>
      </c>
      <c r="F1986" t="str">
        <f>IF(INPUT!N1981="","",INPUT!N1981)</f>
        <v>T</v>
      </c>
      <c r="G1986" t="str" cm="1">
        <f t="array" ref="G1986">IFERROR(VLOOKUP(INPUT!M1981&amp;INPUT!N1981,CHOOSE({1,2},INPUT!$A$3:$A$5000&amp;INPUT!$C$3:$C$5000,INPUT!$F$3:$F$5000),2,FALSE),"")</f>
        <v>PRE-TEMPORADA</v>
      </c>
      <c r="H1986" t="str" cm="1">
        <f t="array" ref="H1986">IFERROR(VLOOKUP(INPUT!M1981&amp;INPUT!N1981,CHOOSE({1,2},INPUT!$A$3:$A$5000&amp;INPUT!$C$3:$C$5000,INPUT!$D$3:$D$5000),2,FALSE),"")</f>
        <v>PARTIDO</v>
      </c>
      <c r="I1986" s="46">
        <f>IF(INPUT!P1981="","",INPUT!P1981)</f>
        <v>92.1</v>
      </c>
      <c r="J1986" s="46">
        <f>IF(INPUT!Q1981="","",INPUT!Q1981)</f>
        <v>91.2</v>
      </c>
      <c r="K1986" s="46">
        <f>IFERROR(IF(OR(INPUT!P1981="",INPUT!Q1981=""),"",INPUT!P1981-INPUT!Q1981),"")</f>
        <v>0.89999999999999147</v>
      </c>
      <c r="L1986" s="48">
        <f>IFERROR(IF(OR(INPUT!P1981="",INPUT!Q1981="",INPUT!P1981=0),"",(INPUT!P1981-INPUT!Q1981)/INPUT!P1981),"")</f>
        <v>9.7719869706839463E-3</v>
      </c>
    </row>
    <row r="1987" spans="1:12" ht="18" customHeight="1" x14ac:dyDescent="0.2">
      <c r="A1987" s="11">
        <f>IF(INPUT!M1982="","",INPUT!M1982)</f>
        <v>46064</v>
      </c>
      <c r="B1987" s="11">
        <f>IF(INPUT!M1982="","",INPUT!M1982-WEEKDAY(INPUT!M1982,2)+1)</f>
        <v>46062</v>
      </c>
      <c r="C1987" s="20">
        <f>IFERROR(_xlfn.ISOWEEKNUM(INPUT!M1982),"")</f>
        <v>7</v>
      </c>
      <c r="D1987" s="20">
        <f>IFERROR(YEAR(INPUT!M1982),"")</f>
        <v>2026</v>
      </c>
      <c r="E1987" t="str">
        <f>IF(INPUT!O1982="","",INPUT!O1982)</f>
        <v>JAIME</v>
      </c>
      <c r="F1987" t="str">
        <f>IF(INPUT!N1982="","",INPUT!N1982)</f>
        <v>M</v>
      </c>
      <c r="G1987" t="str" cm="1">
        <f t="array" ref="G1987">IFERROR(VLOOKUP(INPUT!M1982&amp;INPUT!N1982,CHOOSE({1,2},INPUT!$A$3:$A$5000&amp;INPUT!$C$3:$C$5000,INPUT!$F$3:$F$5000),2,FALSE),"")</f>
        <v>PRE-TEMPORADA</v>
      </c>
      <c r="H1987" t="str" cm="1">
        <f t="array" ref="H1987">IFERROR(VLOOKUP(INPUT!M1982&amp;INPUT!N1982,CHOOSE({1,2},INPUT!$A$3:$A$5000&amp;INPUT!$C$3:$C$5000,INPUT!$D$3:$D$5000),2,FALSE),"")</f>
        <v>MATINAL</v>
      </c>
      <c r="I1987" s="46">
        <f>IF(INPUT!P1982="","",INPUT!P1982)</f>
        <v>75.8</v>
      </c>
      <c r="J1987" s="46">
        <f>IF(INPUT!Q1982="","",INPUT!Q1982)</f>
        <v>75.7</v>
      </c>
      <c r="K1987" s="46">
        <f>IFERROR(IF(OR(INPUT!P1982="",INPUT!Q1982=""),"",INPUT!P1982-INPUT!Q1982),"")</f>
        <v>9.9999999999994316E-2</v>
      </c>
      <c r="L1987" s="48">
        <f>IFERROR(IF(OR(INPUT!P1982="",INPUT!Q1982="",INPUT!P1982=0),"",(INPUT!P1982-INPUT!Q1982)/INPUT!P1982),"")</f>
        <v>1.3192612137202418E-3</v>
      </c>
    </row>
    <row r="1988" spans="1:12" ht="18" customHeight="1" x14ac:dyDescent="0.2">
      <c r="A1988" s="11">
        <f>IF(INPUT!M1983="","",INPUT!M1983)</f>
        <v>46064</v>
      </c>
      <c r="B1988" s="11">
        <f>IF(INPUT!M1983="","",INPUT!M1983-WEEKDAY(INPUT!M1983,2)+1)</f>
        <v>46062</v>
      </c>
      <c r="C1988" s="20">
        <f>IFERROR(_xlfn.ISOWEEKNUM(INPUT!M1983),"")</f>
        <v>7</v>
      </c>
      <c r="D1988" s="20">
        <f>IFERROR(YEAR(INPUT!M1983),"")</f>
        <v>2026</v>
      </c>
      <c r="E1988" t="str">
        <f>IF(INPUT!O1983="","",INPUT!O1983)</f>
        <v>JAIME</v>
      </c>
      <c r="F1988" t="str">
        <f>IF(INPUT!N1983="","",INPUT!N1983)</f>
        <v>T</v>
      </c>
      <c r="G1988" t="str" cm="1">
        <f t="array" ref="G1988">IFERROR(VLOOKUP(INPUT!M1983&amp;INPUT!N1983,CHOOSE({1,2},INPUT!$A$3:$A$5000&amp;INPUT!$C$3:$C$5000,INPUT!$F$3:$F$5000),2,FALSE),"")</f>
        <v>PRE-TEMPORADA</v>
      </c>
      <c r="H1988" t="str" cm="1">
        <f t="array" ref="H1988">IFERROR(VLOOKUP(INPUT!M1983&amp;INPUT!N1983,CHOOSE({1,2},INPUT!$A$3:$A$5000&amp;INPUT!$C$3:$C$5000,INPUT!$D$3:$D$5000),2,FALSE),"")</f>
        <v>PARTIDO</v>
      </c>
      <c r="I1988" s="46">
        <f>IF(INPUT!P1983="","",INPUT!P1983)</f>
        <v>76</v>
      </c>
      <c r="J1988" s="46">
        <f>IF(INPUT!Q1983="","",INPUT!Q1983)</f>
        <v>76</v>
      </c>
      <c r="K1988" s="46">
        <f>IFERROR(IF(OR(INPUT!P1983="",INPUT!Q1983=""),"",INPUT!P1983-INPUT!Q1983),"")</f>
        <v>0</v>
      </c>
      <c r="L1988" s="48">
        <f>IFERROR(IF(OR(INPUT!P1983="",INPUT!Q1983="",INPUT!P1983=0),"",(INPUT!P1983-INPUT!Q1983)/INPUT!P1983),"")</f>
        <v>0</v>
      </c>
    </row>
    <row r="1989" spans="1:12" ht="18" hidden="1" customHeight="1" x14ac:dyDescent="0.2">
      <c r="A1989" s="11">
        <f>IF(INPUT!M1984="","",INPUT!M1984)</f>
        <v>46065</v>
      </c>
      <c r="B1989" s="11">
        <f>IF(INPUT!M1984="","",INPUT!M1984-WEEKDAY(INPUT!M1984,2)+1)</f>
        <v>46062</v>
      </c>
      <c r="C1989" s="20">
        <f>IFERROR(_xlfn.ISOWEEKNUM(INPUT!M1984),"")</f>
        <v>7</v>
      </c>
      <c r="D1989" s="20">
        <f>IFERROR(YEAR(INPUT!M1984),"")</f>
        <v>2026</v>
      </c>
      <c r="E1989" t="str">
        <f>IF(INPUT!O1984="","",INPUT!O1984)</f>
        <v>HERRERO</v>
      </c>
      <c r="F1989" t="str">
        <f>IF(INPUT!N1984="","",INPUT!N1984)</f>
        <v>M</v>
      </c>
      <c r="G1989" t="str" cm="1">
        <f t="array" ref="G1989">IFERROR(VLOOKUP(INPUT!M1984&amp;INPUT!N1984,CHOOSE({1,2},INPUT!$A$3:$A$5000&amp;INPUT!$C$3:$C$5000,INPUT!$F$3:$F$5000),2,FALSE),"")</f>
        <v>PRE-TEMPORADA</v>
      </c>
      <c r="H1989" t="str" cm="1">
        <f t="array" ref="H1989">IFERROR(VLOOKUP(INPUT!M1984&amp;INPUT!N1984,CHOOSE({1,2},INPUT!$A$3:$A$5000&amp;INPUT!$C$3:$C$5000,INPUT!$D$3:$D$5000),2,FALSE),"")</f>
        <v>RECUPERACIÓN</v>
      </c>
      <c r="I1989" s="46">
        <f>IF(INPUT!P1984="","",INPUT!P1984)</f>
        <v>76.900000000000006</v>
      </c>
      <c r="J1989" s="46">
        <f>IF(INPUT!Q1984="","",INPUT!Q1984)</f>
        <v>76.900000000000006</v>
      </c>
      <c r="K1989" s="46">
        <f>IFERROR(IF(OR(INPUT!P1984="",INPUT!Q1984=""),"",INPUT!P1984-INPUT!Q1984),"")</f>
        <v>0</v>
      </c>
      <c r="L1989" s="48">
        <f>IFERROR(IF(OR(INPUT!P1984="",INPUT!Q1984="",INPUT!P1984=0),"",(INPUT!P1984-INPUT!Q1984)/INPUT!P1984),"")</f>
        <v>0</v>
      </c>
    </row>
    <row r="1990" spans="1:12" ht="18" hidden="1" customHeight="1" x14ac:dyDescent="0.2">
      <c r="A1990" s="11">
        <f>IF(INPUT!M1985="","",INPUT!M1985)</f>
        <v>46065</v>
      </c>
      <c r="B1990" s="11">
        <f>IF(INPUT!M1985="","",INPUT!M1985-WEEKDAY(INPUT!M1985,2)+1)</f>
        <v>46062</v>
      </c>
      <c r="C1990" s="20">
        <f>IFERROR(_xlfn.ISOWEEKNUM(INPUT!M1985),"")</f>
        <v>7</v>
      </c>
      <c r="D1990" s="20">
        <f>IFERROR(YEAR(INPUT!M1985),"")</f>
        <v>2026</v>
      </c>
      <c r="E1990" t="str">
        <f>IF(INPUT!O1985="","",INPUT!O1985)</f>
        <v>GARCIA</v>
      </c>
      <c r="F1990" t="str">
        <f>IF(INPUT!N1985="","",INPUT!N1985)</f>
        <v>M</v>
      </c>
      <c r="G1990" t="str" cm="1">
        <f t="array" ref="G1990">IFERROR(VLOOKUP(INPUT!M1985&amp;INPUT!N1985,CHOOSE({1,2},INPUT!$A$3:$A$5000&amp;INPUT!$C$3:$C$5000,INPUT!$F$3:$F$5000),2,FALSE),"")</f>
        <v>PRE-TEMPORADA</v>
      </c>
      <c r="H1990" t="str" cm="1">
        <f t="array" ref="H1990">IFERROR(VLOOKUP(INPUT!M1985&amp;INPUT!N1985,CHOOSE({1,2},INPUT!$A$3:$A$5000&amp;INPUT!$C$3:$C$5000,INPUT!$D$3:$D$5000),2,FALSE),"")</f>
        <v>RECUPERACIÓN</v>
      </c>
      <c r="I1990" s="46">
        <f>IF(INPUT!P1985="","",INPUT!P1985)</f>
        <v>79.3</v>
      </c>
      <c r="J1990" s="46">
        <f>IF(INPUT!Q1985="","",INPUT!Q1985)</f>
        <v>79.099999999999994</v>
      </c>
      <c r="K1990" s="46">
        <f>IFERROR(IF(OR(INPUT!P1985="",INPUT!Q1985=""),"",INPUT!P1985-INPUT!Q1985),"")</f>
        <v>0.20000000000000284</v>
      </c>
      <c r="L1990" s="48">
        <f>IFERROR(IF(OR(INPUT!P1985="",INPUT!Q1985="",INPUT!P1985=0),"",(INPUT!P1985-INPUT!Q1985)/INPUT!P1985),"")</f>
        <v>2.5220680958386236E-3</v>
      </c>
    </row>
    <row r="1991" spans="1:12" ht="18" hidden="1" customHeight="1" x14ac:dyDescent="0.2">
      <c r="A1991" s="11">
        <f>IF(INPUT!M1986="","",INPUT!M1986)</f>
        <v>46065</v>
      </c>
      <c r="B1991" s="11">
        <f>IF(INPUT!M1986="","",INPUT!M1986-WEEKDAY(INPUT!M1986,2)+1)</f>
        <v>46062</v>
      </c>
      <c r="C1991" s="20">
        <f>IFERROR(_xlfn.ISOWEEKNUM(INPUT!M1986),"")</f>
        <v>7</v>
      </c>
      <c r="D1991" s="20">
        <f>IFERROR(YEAR(INPUT!M1986),"")</f>
        <v>2026</v>
      </c>
      <c r="E1991" t="str">
        <f>IF(INPUT!O1986="","",INPUT!O1986)</f>
        <v>CECILIO</v>
      </c>
      <c r="F1991" t="str">
        <f>IF(INPUT!N1986="","",INPUT!N1986)</f>
        <v>M</v>
      </c>
      <c r="G1991" t="str" cm="1">
        <f t="array" ref="G1991">IFERROR(VLOOKUP(INPUT!M1986&amp;INPUT!N1986,CHOOSE({1,2},INPUT!$A$3:$A$5000&amp;INPUT!$C$3:$C$5000,INPUT!$F$3:$F$5000),2,FALSE),"")</f>
        <v>PRE-TEMPORADA</v>
      </c>
      <c r="H1991" t="str" cm="1">
        <f t="array" ref="H1991">IFERROR(VLOOKUP(INPUT!M1986&amp;INPUT!N1986,CHOOSE({1,2},INPUT!$A$3:$A$5000&amp;INPUT!$C$3:$C$5000,INPUT!$D$3:$D$5000),2,FALSE),"")</f>
        <v>RECUPERACIÓN</v>
      </c>
      <c r="I1991" s="46">
        <f>IF(INPUT!P1986="","",INPUT!P1986)</f>
        <v>67.900000000000006</v>
      </c>
      <c r="J1991" s="46">
        <f>IF(INPUT!Q1986="","",INPUT!Q1986)</f>
        <v>67.8</v>
      </c>
      <c r="K1991" s="46">
        <f>IFERROR(IF(OR(INPUT!P1986="",INPUT!Q1986=""),"",INPUT!P1986-INPUT!Q1986),"")</f>
        <v>0.10000000000000853</v>
      </c>
      <c r="L1991" s="48">
        <f>IFERROR(IF(OR(INPUT!P1986="",INPUT!Q1986="",INPUT!P1986=0),"",(INPUT!P1986-INPUT!Q1986)/INPUT!P1986),"")</f>
        <v>1.4727540500737632E-3</v>
      </c>
    </row>
    <row r="1992" spans="1:12" ht="18" hidden="1" customHeight="1" x14ac:dyDescent="0.2">
      <c r="A1992" s="11">
        <f>IF(INPUT!M1987="","",INPUT!M1987)</f>
        <v>46065</v>
      </c>
      <c r="B1992" s="11">
        <f>IF(INPUT!M1987="","",INPUT!M1987-WEEKDAY(INPUT!M1987,2)+1)</f>
        <v>46062</v>
      </c>
      <c r="C1992" s="20">
        <f>IFERROR(_xlfn.ISOWEEKNUM(INPUT!M1987),"")</f>
        <v>7</v>
      </c>
      <c r="D1992" s="20">
        <f>IFERROR(YEAR(INPUT!M1987),"")</f>
        <v>2026</v>
      </c>
      <c r="E1992" t="str">
        <f>IF(INPUT!O1987="","",INPUT!O1987)</f>
        <v>CHAGUINHA</v>
      </c>
      <c r="F1992" t="str">
        <f>IF(INPUT!N1987="","",INPUT!N1987)</f>
        <v>M</v>
      </c>
      <c r="G1992" t="str" cm="1">
        <f t="array" ref="G1992">IFERROR(VLOOKUP(INPUT!M1987&amp;INPUT!N1987,CHOOSE({1,2},INPUT!$A$3:$A$5000&amp;INPUT!$C$3:$C$5000,INPUT!$F$3:$F$5000),2,FALSE),"")</f>
        <v>PRE-TEMPORADA</v>
      </c>
      <c r="H1992" t="str" cm="1">
        <f t="array" ref="H1992">IFERROR(VLOOKUP(INPUT!M1987&amp;INPUT!N1987,CHOOSE({1,2},INPUT!$A$3:$A$5000&amp;INPUT!$C$3:$C$5000,INPUT!$D$3:$D$5000),2,FALSE),"")</f>
        <v>RECUPERACIÓN</v>
      </c>
      <c r="I1992" s="46">
        <f>IF(INPUT!P1987="","",INPUT!P1987)</f>
        <v>69</v>
      </c>
      <c r="J1992" s="46">
        <f>IF(INPUT!Q1987="","",INPUT!Q1987)</f>
        <v>69</v>
      </c>
      <c r="K1992" s="46">
        <f>IFERROR(IF(OR(INPUT!P1987="",INPUT!Q1987=""),"",INPUT!P1987-INPUT!Q1987),"")</f>
        <v>0</v>
      </c>
      <c r="L1992" s="48">
        <f>IFERROR(IF(OR(INPUT!P1987="",INPUT!Q1987="",INPUT!P1987=0),"",(INPUT!P1987-INPUT!Q1987)/INPUT!P1987),"")</f>
        <v>0</v>
      </c>
    </row>
    <row r="1993" spans="1:12" ht="18" hidden="1" customHeight="1" x14ac:dyDescent="0.2">
      <c r="A1993" s="11">
        <f>IF(INPUT!M1988="","",INPUT!M1988)</f>
        <v>46065</v>
      </c>
      <c r="B1993" s="11">
        <f>IF(INPUT!M1988="","",INPUT!M1988-WEEKDAY(INPUT!M1988,2)+1)</f>
        <v>46062</v>
      </c>
      <c r="C1993" s="20">
        <f>IFERROR(_xlfn.ISOWEEKNUM(INPUT!M1988),"")</f>
        <v>7</v>
      </c>
      <c r="D1993" s="20">
        <f>IFERROR(YEAR(INPUT!M1988),"")</f>
        <v>2026</v>
      </c>
      <c r="E1993" t="str">
        <f>IF(INPUT!O1988="","",INPUT!O1988)</f>
        <v>RAUL</v>
      </c>
      <c r="F1993" t="str">
        <f>IF(INPUT!N1988="","",INPUT!N1988)</f>
        <v>M</v>
      </c>
      <c r="G1993" t="str" cm="1">
        <f t="array" ref="G1993">IFERROR(VLOOKUP(INPUT!M1988&amp;INPUT!N1988,CHOOSE({1,2},INPUT!$A$3:$A$5000&amp;INPUT!$C$3:$C$5000,INPUT!$F$3:$F$5000),2,FALSE),"")</f>
        <v>PRE-TEMPORADA</v>
      </c>
      <c r="H1993" t="str" cm="1">
        <f t="array" ref="H1993">IFERROR(VLOOKUP(INPUT!M1988&amp;INPUT!N1988,CHOOSE({1,2},INPUT!$A$3:$A$5000&amp;INPUT!$C$3:$C$5000,INPUT!$D$3:$D$5000),2,FALSE),"")</f>
        <v>RECUPERACIÓN</v>
      </c>
      <c r="I1993" s="46">
        <f>IF(INPUT!P1988="","",INPUT!P1988)</f>
        <v>80.400000000000006</v>
      </c>
      <c r="J1993" s="46">
        <f>IF(INPUT!Q1988="","",INPUT!Q1988)</f>
        <v>80</v>
      </c>
      <c r="K1993" s="46">
        <f>IFERROR(IF(OR(INPUT!P1988="",INPUT!Q1988=""),"",INPUT!P1988-INPUT!Q1988),"")</f>
        <v>0.40000000000000568</v>
      </c>
      <c r="L1993" s="48">
        <f>IFERROR(IF(OR(INPUT!P1988="",INPUT!Q1988="",INPUT!P1988=0),"",(INPUT!P1988-INPUT!Q1988)/INPUT!P1988),"")</f>
        <v>4.9751243781095229E-3</v>
      </c>
    </row>
    <row r="1994" spans="1:12" ht="18" hidden="1" customHeight="1" x14ac:dyDescent="0.2">
      <c r="A1994" s="11">
        <f>IF(INPUT!M1989="","",INPUT!M1989)</f>
        <v>46065</v>
      </c>
      <c r="B1994" s="11">
        <f>IF(INPUT!M1989="","",INPUT!M1989-WEEKDAY(INPUT!M1989,2)+1)</f>
        <v>46062</v>
      </c>
      <c r="C1994" s="20">
        <f>IFERROR(_xlfn.ISOWEEKNUM(INPUT!M1989),"")</f>
        <v>7</v>
      </c>
      <c r="D1994" s="20">
        <f>IFERROR(YEAR(INPUT!M1989),"")</f>
        <v>2026</v>
      </c>
      <c r="E1994" t="str">
        <f>IF(INPUT!O1989="","",INPUT!O1989)</f>
        <v>HARRISON</v>
      </c>
      <c r="F1994" t="str">
        <f>IF(INPUT!N1989="","",INPUT!N1989)</f>
        <v>M</v>
      </c>
      <c r="G1994" t="str" cm="1">
        <f t="array" ref="G1994">IFERROR(VLOOKUP(INPUT!M1989&amp;INPUT!N1989,CHOOSE({1,2},INPUT!$A$3:$A$5000&amp;INPUT!$C$3:$C$5000,INPUT!$F$3:$F$5000),2,FALSE),"")</f>
        <v>PRE-TEMPORADA</v>
      </c>
      <c r="H1994" t="str" cm="1">
        <f t="array" ref="H1994">IFERROR(VLOOKUP(INPUT!M1989&amp;INPUT!N1989,CHOOSE({1,2},INPUT!$A$3:$A$5000&amp;INPUT!$C$3:$C$5000,INPUT!$D$3:$D$5000),2,FALSE),"")</f>
        <v>RECUPERACIÓN</v>
      </c>
      <c r="I1994" s="46">
        <f>IF(INPUT!P1989="","",INPUT!P1989)</f>
        <v>72</v>
      </c>
      <c r="J1994" s="46">
        <f>IF(INPUT!Q1989="","",INPUT!Q1989)</f>
        <v>72</v>
      </c>
      <c r="K1994" s="46">
        <f>IFERROR(IF(OR(INPUT!P1989="",INPUT!Q1989=""),"",INPUT!P1989-INPUT!Q1989),"")</f>
        <v>0</v>
      </c>
      <c r="L1994" s="48">
        <f>IFERROR(IF(OR(INPUT!P1989="",INPUT!Q1989="",INPUT!P1989=0),"",(INPUT!P1989-INPUT!Q1989)/INPUT!P1989),"")</f>
        <v>0</v>
      </c>
    </row>
    <row r="1995" spans="1:12" ht="18" hidden="1" customHeight="1" x14ac:dyDescent="0.2">
      <c r="A1995" s="11">
        <f>IF(INPUT!M1990="","",INPUT!M1990)</f>
        <v>46065</v>
      </c>
      <c r="B1995" s="11">
        <f>IF(INPUT!M1990="","",INPUT!M1990-WEEKDAY(INPUT!M1990,2)+1)</f>
        <v>46062</v>
      </c>
      <c r="C1995" s="20">
        <f>IFERROR(_xlfn.ISOWEEKNUM(INPUT!M1990),"")</f>
        <v>7</v>
      </c>
      <c r="D1995" s="20">
        <f>IFERROR(YEAR(INPUT!M1990),"")</f>
        <v>2026</v>
      </c>
      <c r="E1995" t="str">
        <f>IF(INPUT!O1990="","",INPUT!O1990)</f>
        <v>RAYA</v>
      </c>
      <c r="F1995" t="str">
        <f>IF(INPUT!N1990="","",INPUT!N1990)</f>
        <v>M</v>
      </c>
      <c r="G1995" t="str" cm="1">
        <f t="array" ref="G1995">IFERROR(VLOOKUP(INPUT!M1990&amp;INPUT!N1990,CHOOSE({1,2},INPUT!$A$3:$A$5000&amp;INPUT!$C$3:$C$5000,INPUT!$F$3:$F$5000),2,FALSE),"")</f>
        <v>PRE-TEMPORADA</v>
      </c>
      <c r="H1995" t="str" cm="1">
        <f t="array" ref="H1995">IFERROR(VLOOKUP(INPUT!M1990&amp;INPUT!N1990,CHOOSE({1,2},INPUT!$A$3:$A$5000&amp;INPUT!$C$3:$C$5000,INPUT!$D$3:$D$5000),2,FALSE),"")</f>
        <v>RECUPERACIÓN</v>
      </c>
      <c r="I1995" s="46">
        <f>IF(INPUT!P1990="","",INPUT!P1990)</f>
        <v>81.3</v>
      </c>
      <c r="J1995" s="46">
        <f>IF(INPUT!Q1990="","",INPUT!Q1990)</f>
        <v>81</v>
      </c>
      <c r="K1995" s="46">
        <f>IFERROR(IF(OR(INPUT!P1990="",INPUT!Q1990=""),"",INPUT!P1990-INPUT!Q1990),"")</f>
        <v>0.29999999999999716</v>
      </c>
      <c r="L1995" s="48">
        <f>IFERROR(IF(OR(INPUT!P1990="",INPUT!Q1990="",INPUT!P1990=0),"",(INPUT!P1990-INPUT!Q1990)/INPUT!P1990),"")</f>
        <v>3.6900369003689689E-3</v>
      </c>
    </row>
    <row r="1996" spans="1:12" ht="18" hidden="1" customHeight="1" x14ac:dyDescent="0.2">
      <c r="A1996" s="11">
        <f>IF(INPUT!M1991="","",INPUT!M1991)</f>
        <v>46065</v>
      </c>
      <c r="B1996" s="11">
        <f>IF(INPUT!M1991="","",INPUT!M1991-WEEKDAY(INPUT!M1991,2)+1)</f>
        <v>46062</v>
      </c>
      <c r="C1996" s="20">
        <f>IFERROR(_xlfn.ISOWEEKNUM(INPUT!M1991),"")</f>
        <v>7</v>
      </c>
      <c r="D1996" s="20">
        <f>IFERROR(YEAR(INPUT!M1991),"")</f>
        <v>2026</v>
      </c>
      <c r="E1996" t="str">
        <f>IF(INPUT!O1991="","",INPUT!O1991)</f>
        <v>JAVI</v>
      </c>
      <c r="F1996" t="str">
        <f>IF(INPUT!N1991="","",INPUT!N1991)</f>
        <v>M</v>
      </c>
      <c r="G1996" t="str" cm="1">
        <f t="array" ref="G1996">IFERROR(VLOOKUP(INPUT!M1991&amp;INPUT!N1991,CHOOSE({1,2},INPUT!$A$3:$A$5000&amp;INPUT!$C$3:$C$5000,INPUT!$F$3:$F$5000),2,FALSE),"")</f>
        <v>PRE-TEMPORADA</v>
      </c>
      <c r="H1996" t="str" cm="1">
        <f t="array" ref="H1996">IFERROR(VLOOKUP(INPUT!M1991&amp;INPUT!N1991,CHOOSE({1,2},INPUT!$A$3:$A$5000&amp;INPUT!$C$3:$C$5000,INPUT!$D$3:$D$5000),2,FALSE),"")</f>
        <v>RECUPERACIÓN</v>
      </c>
      <c r="I1996" s="46">
        <f>IF(INPUT!P1991="","",INPUT!P1991)</f>
        <v>78.400000000000006</v>
      </c>
      <c r="J1996" s="46">
        <f>IF(INPUT!Q1991="","",INPUT!Q1991)</f>
        <v>78.400000000000006</v>
      </c>
      <c r="K1996" s="46">
        <f>IFERROR(IF(OR(INPUT!P1991="",INPUT!Q1991=""),"",INPUT!P1991-INPUT!Q1991),"")</f>
        <v>0</v>
      </c>
      <c r="L1996" s="48">
        <f>IFERROR(IF(OR(INPUT!P1991="",INPUT!Q1991="",INPUT!P1991=0),"",(INPUT!P1991-INPUT!Q1991)/INPUT!P1991),"")</f>
        <v>0</v>
      </c>
    </row>
    <row r="1997" spans="1:12" ht="18" hidden="1" customHeight="1" x14ac:dyDescent="0.2">
      <c r="A1997" s="11">
        <f>IF(INPUT!M1992="","",INPUT!M1992)</f>
        <v>46065</v>
      </c>
      <c r="B1997" s="11">
        <f>IF(INPUT!M1992="","",INPUT!M1992-WEEKDAY(INPUT!M1992,2)+1)</f>
        <v>46062</v>
      </c>
      <c r="C1997" s="20">
        <f>IFERROR(_xlfn.ISOWEEKNUM(INPUT!M1992),"")</f>
        <v>7</v>
      </c>
      <c r="D1997" s="20">
        <f>IFERROR(YEAR(INPUT!M1992),"")</f>
        <v>2026</v>
      </c>
      <c r="E1997" t="str">
        <f>IF(INPUT!O1992="","",INPUT!O1992)</f>
        <v>PANI</v>
      </c>
      <c r="F1997" t="str">
        <f>IF(INPUT!N1992="","",INPUT!N1992)</f>
        <v>M</v>
      </c>
      <c r="G1997" t="str" cm="1">
        <f t="array" ref="G1997">IFERROR(VLOOKUP(INPUT!M1992&amp;INPUT!N1992,CHOOSE({1,2},INPUT!$A$3:$A$5000&amp;INPUT!$C$3:$C$5000,INPUT!$F$3:$F$5000),2,FALSE),"")</f>
        <v>PRE-TEMPORADA</v>
      </c>
      <c r="H1997" t="str" cm="1">
        <f t="array" ref="H1997">IFERROR(VLOOKUP(INPUT!M1992&amp;INPUT!N1992,CHOOSE({1,2},INPUT!$A$3:$A$5000&amp;INPUT!$C$3:$C$5000,INPUT!$D$3:$D$5000),2,FALSE),"")</f>
        <v>RECUPERACIÓN</v>
      </c>
      <c r="I1997" s="46">
        <f>IF(INPUT!P1992="","",INPUT!P1992)</f>
        <v>66.099999999999994</v>
      </c>
      <c r="J1997" s="46">
        <f>IF(INPUT!Q1992="","",INPUT!Q1992)</f>
        <v>66.2</v>
      </c>
      <c r="K1997" s="46">
        <f>IFERROR(IF(OR(INPUT!P1992="",INPUT!Q1992=""),"",INPUT!P1992-INPUT!Q1992),"")</f>
        <v>-0.10000000000000853</v>
      </c>
      <c r="L1997" s="48">
        <f>IFERROR(IF(OR(INPUT!P1992="",INPUT!Q1992="",INPUT!P1992=0),"",(INPUT!P1992-INPUT!Q1992)/INPUT!P1992),"")</f>
        <v>-1.5128593040848492E-3</v>
      </c>
    </row>
    <row r="1998" spans="1:12" ht="18" hidden="1" customHeight="1" x14ac:dyDescent="0.2">
      <c r="A1998" s="11">
        <f>IF(INPUT!M1993="","",INPUT!M1993)</f>
        <v>46065</v>
      </c>
      <c r="B1998" s="11">
        <f>IF(INPUT!M1993="","",INPUT!M1993-WEEKDAY(INPUT!M1993,2)+1)</f>
        <v>46062</v>
      </c>
      <c r="C1998" s="20">
        <f>IFERROR(_xlfn.ISOWEEKNUM(INPUT!M1993),"")</f>
        <v>7</v>
      </c>
      <c r="D1998" s="20">
        <f>IFERROR(YEAR(INPUT!M1993),"")</f>
        <v>2026</v>
      </c>
      <c r="E1998" t="str">
        <f>IF(INPUT!O1993="","",INPUT!O1993)</f>
        <v>PIRATA</v>
      </c>
      <c r="F1998" t="str">
        <f>IF(INPUT!N1993="","",INPUT!N1993)</f>
        <v>M</v>
      </c>
      <c r="G1998" t="str" cm="1">
        <f t="array" ref="G1998">IFERROR(VLOOKUP(INPUT!M1993&amp;INPUT!N1993,CHOOSE({1,2},INPUT!$A$3:$A$5000&amp;INPUT!$C$3:$C$5000,INPUT!$F$3:$F$5000),2,FALSE),"")</f>
        <v>PRE-TEMPORADA</v>
      </c>
      <c r="H1998" t="str" cm="1">
        <f t="array" ref="H1998">IFERROR(VLOOKUP(INPUT!M1993&amp;INPUT!N1993,CHOOSE({1,2},INPUT!$A$3:$A$5000&amp;INPUT!$C$3:$C$5000,INPUT!$D$3:$D$5000),2,FALSE),"")</f>
        <v>RECUPERACIÓN</v>
      </c>
      <c r="I1998" s="46">
        <f>IF(INPUT!P1993="","",INPUT!P1993)</f>
        <v>74.900000000000006</v>
      </c>
      <c r="J1998" s="46">
        <f>IF(INPUT!Q1993="","",INPUT!Q1993)</f>
        <v>75</v>
      </c>
      <c r="K1998" s="46">
        <f>IFERROR(IF(OR(INPUT!P1993="",INPUT!Q1993=""),"",INPUT!P1993-INPUT!Q1993),"")</f>
        <v>-9.9999999999994316E-2</v>
      </c>
      <c r="L1998" s="48">
        <f>IFERROR(IF(OR(INPUT!P1993="",INPUT!Q1993="",INPUT!P1993=0),"",(INPUT!P1993-INPUT!Q1993)/INPUT!P1993),"")</f>
        <v>-1.335113484646119E-3</v>
      </c>
    </row>
    <row r="1999" spans="1:12" ht="18" hidden="1" customHeight="1" x14ac:dyDescent="0.2">
      <c r="A1999" s="11">
        <f>IF(INPUT!M1994="","",INPUT!M1994)</f>
        <v>46065</v>
      </c>
      <c r="B1999" s="11">
        <f>IF(INPUT!M1994="","",INPUT!M1994-WEEKDAY(INPUT!M1994,2)+1)</f>
        <v>46062</v>
      </c>
      <c r="C1999" s="20">
        <f>IFERROR(_xlfn.ISOWEEKNUM(INPUT!M1994),"")</f>
        <v>7</v>
      </c>
      <c r="D1999" s="20">
        <f>IFERROR(YEAR(INPUT!M1994),"")</f>
        <v>2026</v>
      </c>
      <c r="E1999" t="str">
        <f>IF(INPUT!O1994="","",INPUT!O1994)</f>
        <v>BARONA</v>
      </c>
      <c r="F1999" t="str">
        <f>IF(INPUT!N1994="","",INPUT!N1994)</f>
        <v>M</v>
      </c>
      <c r="G1999" t="str" cm="1">
        <f t="array" ref="G1999">IFERROR(VLOOKUP(INPUT!M1994&amp;INPUT!N1994,CHOOSE({1,2},INPUT!$A$3:$A$5000&amp;INPUT!$C$3:$C$5000,INPUT!$F$3:$F$5000),2,FALSE),"")</f>
        <v>PRE-TEMPORADA</v>
      </c>
      <c r="H1999" t="str" cm="1">
        <f t="array" ref="H1999">IFERROR(VLOOKUP(INPUT!M1994&amp;INPUT!N1994,CHOOSE({1,2},INPUT!$A$3:$A$5000&amp;INPUT!$C$3:$C$5000,INPUT!$D$3:$D$5000),2,FALSE),"")</f>
        <v>RECUPERACIÓN</v>
      </c>
      <c r="I1999" s="46">
        <f>IF(INPUT!P1994="","",INPUT!P1994)</f>
        <v>71</v>
      </c>
      <c r="J1999" s="46">
        <f>IF(INPUT!Q1994="","",INPUT!Q1994)</f>
        <v>71</v>
      </c>
      <c r="K1999" s="46">
        <f>IFERROR(IF(OR(INPUT!P1994="",INPUT!Q1994=""),"",INPUT!P1994-INPUT!Q1994),"")</f>
        <v>0</v>
      </c>
      <c r="L1999" s="48">
        <f>IFERROR(IF(OR(INPUT!P1994="",INPUT!Q1994="",INPUT!P1994=0),"",(INPUT!P1994-INPUT!Q1994)/INPUT!P1994),"")</f>
        <v>0</v>
      </c>
    </row>
    <row r="2000" spans="1:12" ht="18" hidden="1" customHeight="1" x14ac:dyDescent="0.2">
      <c r="A2000" s="11">
        <f>IF(INPUT!M1995="","",INPUT!M1995)</f>
        <v>46065</v>
      </c>
      <c r="B2000" s="11">
        <f>IF(INPUT!M1995="","",INPUT!M1995-WEEKDAY(INPUT!M1995,2)+1)</f>
        <v>46062</v>
      </c>
      <c r="C2000" s="20">
        <f>IFERROR(_xlfn.ISOWEEKNUM(INPUT!M1995),"")</f>
        <v>7</v>
      </c>
      <c r="D2000" s="20">
        <f>IFERROR(YEAR(INPUT!M1995),"")</f>
        <v>2026</v>
      </c>
      <c r="E2000" t="str">
        <f>IF(INPUT!O1995="","",INPUT!O1995)</f>
        <v>CARLOS</v>
      </c>
      <c r="F2000" t="str">
        <f>IF(INPUT!N1995="","",INPUT!N1995)</f>
        <v>M</v>
      </c>
      <c r="G2000" t="str" cm="1">
        <f t="array" ref="G2000">IFERROR(VLOOKUP(INPUT!M1995&amp;INPUT!N1995,CHOOSE({1,2},INPUT!$A$3:$A$5000&amp;INPUT!$C$3:$C$5000,INPUT!$F$3:$F$5000),2,FALSE),"")</f>
        <v>PRE-TEMPORADA</v>
      </c>
      <c r="H2000" t="str" cm="1">
        <f t="array" ref="H2000">IFERROR(VLOOKUP(INPUT!M1995&amp;INPUT!N1995,CHOOSE({1,2},INPUT!$A$3:$A$5000&amp;INPUT!$C$3:$C$5000,INPUT!$D$3:$D$5000),2,FALSE),"")</f>
        <v>RECUPERACIÓN</v>
      </c>
      <c r="I2000" s="46">
        <f>IF(INPUT!P1995="","",INPUT!P1995)</f>
        <v>68</v>
      </c>
      <c r="J2000" s="46">
        <f>IF(INPUT!Q1995="","",INPUT!Q1995)</f>
        <v>67.8</v>
      </c>
      <c r="K2000" s="46">
        <f>IFERROR(IF(OR(INPUT!P1995="",INPUT!Q1995=""),"",INPUT!P1995-INPUT!Q1995),"")</f>
        <v>0.20000000000000284</v>
      </c>
      <c r="L2000" s="48">
        <f>IFERROR(IF(OR(INPUT!P1995="",INPUT!Q1995="",INPUT!P1995=0),"",(INPUT!P1995-INPUT!Q1995)/INPUT!P1995),"")</f>
        <v>2.9411764705882769E-3</v>
      </c>
    </row>
    <row r="2001" spans="1:12" ht="18" hidden="1" customHeight="1" x14ac:dyDescent="0.2">
      <c r="A2001" s="11">
        <f>IF(INPUT!M1996="","",INPUT!M1996)</f>
        <v>46066</v>
      </c>
      <c r="B2001" s="11">
        <f>IF(INPUT!M1996="","",INPUT!M1996-WEEKDAY(INPUT!M1996,2)+1)</f>
        <v>46062</v>
      </c>
      <c r="C2001" s="20">
        <f>IFERROR(_xlfn.ISOWEEKNUM(INPUT!M1996),"")</f>
        <v>7</v>
      </c>
      <c r="D2001" s="20">
        <f>IFERROR(YEAR(INPUT!M1996),"")</f>
        <v>2026</v>
      </c>
      <c r="E2001" t="str">
        <f>IF(INPUT!O1996="","",INPUT!O1996)</f>
        <v>HERRERO</v>
      </c>
      <c r="F2001" t="str">
        <f>IF(INPUT!N1996="","",INPUT!N1996)</f>
        <v>M</v>
      </c>
      <c r="G2001" t="str" cm="1">
        <f t="array" ref="G2001">IFERROR(VLOOKUP(INPUT!M1996&amp;INPUT!N1996,CHOOSE({1,2},INPUT!$A$3:$A$5000&amp;INPUT!$C$3:$C$5000,INPUT!$F$3:$F$5000),2,FALSE),"")</f>
        <v>PRE-TEMPORADA</v>
      </c>
      <c r="H2001" t="str" cm="1">
        <f t="array" ref="H2001">IFERROR(VLOOKUP(INPUT!M1996&amp;INPUT!N1996,CHOOSE({1,2},INPUT!$A$3:$A$5000&amp;INPUT!$C$3:$C$5000,INPUT!$D$3:$D$5000),2,FALSE),"")</f>
        <v>TEC-TAC</v>
      </c>
      <c r="I2001" s="46">
        <f>IF(INPUT!P1996="","",INPUT!P1996)</f>
        <v>77</v>
      </c>
      <c r="J2001" s="46">
        <f>IF(INPUT!Q1996="","",INPUT!Q1996)</f>
        <v>76.400000000000006</v>
      </c>
      <c r="K2001" s="46">
        <f>IFERROR(IF(OR(INPUT!P1996="",INPUT!Q1996=""),"",INPUT!P1996-INPUT!Q1996),"")</f>
        <v>0.59999999999999432</v>
      </c>
      <c r="L2001" s="48">
        <f>IFERROR(IF(OR(INPUT!P1996="",INPUT!Q1996="",INPUT!P1996=0),"",(INPUT!P1996-INPUT!Q1996)/INPUT!P1996),"")</f>
        <v>7.7922077922077185E-3</v>
      </c>
    </row>
    <row r="2002" spans="1:12" ht="18" hidden="1" customHeight="1" x14ac:dyDescent="0.2">
      <c r="A2002" s="11">
        <f>IF(INPUT!M1997="","",INPUT!M1997)</f>
        <v>46066</v>
      </c>
      <c r="B2002" s="11">
        <f>IF(INPUT!M1997="","",INPUT!M1997-WEEKDAY(INPUT!M1997,2)+1)</f>
        <v>46062</v>
      </c>
      <c r="C2002" s="20">
        <f>IFERROR(_xlfn.ISOWEEKNUM(INPUT!M1997),"")</f>
        <v>7</v>
      </c>
      <c r="D2002" s="20">
        <f>IFERROR(YEAR(INPUT!M1997),"")</f>
        <v>2026</v>
      </c>
      <c r="E2002" t="str">
        <f>IF(INPUT!O1997="","",INPUT!O1997)</f>
        <v>GARCIA</v>
      </c>
      <c r="F2002" t="str">
        <f>IF(INPUT!N1997="","",INPUT!N1997)</f>
        <v>M</v>
      </c>
      <c r="G2002" t="str" cm="1">
        <f t="array" ref="G2002">IFERROR(VLOOKUP(INPUT!M1997&amp;INPUT!N1997,CHOOSE({1,2},INPUT!$A$3:$A$5000&amp;INPUT!$C$3:$C$5000,INPUT!$F$3:$F$5000),2,FALSE),"")</f>
        <v>PRE-TEMPORADA</v>
      </c>
      <c r="H2002" t="str" cm="1">
        <f t="array" ref="H2002">IFERROR(VLOOKUP(INPUT!M1997&amp;INPUT!N1997,CHOOSE({1,2},INPUT!$A$3:$A$5000&amp;INPUT!$C$3:$C$5000,INPUT!$D$3:$D$5000),2,FALSE),"")</f>
        <v>TEC-TAC</v>
      </c>
      <c r="I2002" s="46">
        <f>IF(INPUT!P1997="","",INPUT!P1997)</f>
        <v>78.900000000000006</v>
      </c>
      <c r="J2002" s="46">
        <f>IF(INPUT!Q1997="","",INPUT!Q1997)</f>
        <v>78.8</v>
      </c>
      <c r="K2002" s="46">
        <f>IFERROR(IF(OR(INPUT!P1997="",INPUT!Q1997=""),"",INPUT!P1997-INPUT!Q1997),"")</f>
        <v>0.10000000000000853</v>
      </c>
      <c r="L2002" s="48">
        <f>IFERROR(IF(OR(INPUT!P1997="",INPUT!Q1997="",INPUT!P1997=0),"",(INPUT!P1997-INPUT!Q1997)/INPUT!P1997),"")</f>
        <v>1.2674271229405388E-3</v>
      </c>
    </row>
    <row r="2003" spans="1:12" ht="18" hidden="1" customHeight="1" x14ac:dyDescent="0.2">
      <c r="A2003" s="11">
        <f>IF(INPUT!M1998="","",INPUT!M1998)</f>
        <v>46066</v>
      </c>
      <c r="B2003" s="11">
        <f>IF(INPUT!M1998="","",INPUT!M1998-WEEKDAY(INPUT!M1998,2)+1)</f>
        <v>46062</v>
      </c>
      <c r="C2003" s="20">
        <f>IFERROR(_xlfn.ISOWEEKNUM(INPUT!M1998),"")</f>
        <v>7</v>
      </c>
      <c r="D2003" s="20">
        <f>IFERROR(YEAR(INPUT!M1998),"")</f>
        <v>2026</v>
      </c>
      <c r="E2003" t="str">
        <f>IF(INPUT!O1998="","",INPUT!O1998)</f>
        <v>CECILIO</v>
      </c>
      <c r="F2003" t="str">
        <f>IF(INPUT!N1998="","",INPUT!N1998)</f>
        <v>M</v>
      </c>
      <c r="G2003" t="str" cm="1">
        <f t="array" ref="G2003">IFERROR(VLOOKUP(INPUT!M1998&amp;INPUT!N1998,CHOOSE({1,2},INPUT!$A$3:$A$5000&amp;INPUT!$C$3:$C$5000,INPUT!$F$3:$F$5000),2,FALSE),"")</f>
        <v>PRE-TEMPORADA</v>
      </c>
      <c r="H2003" t="str" cm="1">
        <f t="array" ref="H2003">IFERROR(VLOOKUP(INPUT!M1998&amp;INPUT!N1998,CHOOSE({1,2},INPUT!$A$3:$A$5000&amp;INPUT!$C$3:$C$5000,INPUT!$D$3:$D$5000),2,FALSE),"")</f>
        <v>TEC-TAC</v>
      </c>
      <c r="I2003" s="46">
        <f>IF(INPUT!P1998="","",INPUT!P1998)</f>
        <v>68.3</v>
      </c>
      <c r="J2003" s="46">
        <f>IF(INPUT!Q1998="","",INPUT!Q1998)</f>
        <v>68.099999999999994</v>
      </c>
      <c r="K2003" s="46">
        <f>IFERROR(IF(OR(INPUT!P1998="",INPUT!Q1998=""),"",INPUT!P1998-INPUT!Q1998),"")</f>
        <v>0.20000000000000284</v>
      </c>
      <c r="L2003" s="48">
        <f>IFERROR(IF(OR(INPUT!P1998="",INPUT!Q1998="",INPUT!P1998=0),"",(INPUT!P1998-INPUT!Q1998)/INPUT!P1998),"")</f>
        <v>2.9282576866764692E-3</v>
      </c>
    </row>
    <row r="2004" spans="1:12" ht="18" hidden="1" customHeight="1" x14ac:dyDescent="0.2">
      <c r="A2004" s="11">
        <f>IF(INPUT!M1999="","",INPUT!M1999)</f>
        <v>46066</v>
      </c>
      <c r="B2004" s="11">
        <f>IF(INPUT!M1999="","",INPUT!M1999-WEEKDAY(INPUT!M1999,2)+1)</f>
        <v>46062</v>
      </c>
      <c r="C2004" s="20">
        <f>IFERROR(_xlfn.ISOWEEKNUM(INPUT!M1999),"")</f>
        <v>7</v>
      </c>
      <c r="D2004" s="20">
        <f>IFERROR(YEAR(INPUT!M1999),"")</f>
        <v>2026</v>
      </c>
      <c r="E2004" t="str">
        <f>IF(INPUT!O1999="","",INPUT!O1999)</f>
        <v>CHAGUINHA</v>
      </c>
      <c r="F2004" t="str">
        <f>IF(INPUT!N1999="","",INPUT!N1999)</f>
        <v>M</v>
      </c>
      <c r="G2004" t="str" cm="1">
        <f t="array" ref="G2004">IFERROR(VLOOKUP(INPUT!M1999&amp;INPUT!N1999,CHOOSE({1,2},INPUT!$A$3:$A$5000&amp;INPUT!$C$3:$C$5000,INPUT!$F$3:$F$5000),2,FALSE),"")</f>
        <v>PRE-TEMPORADA</v>
      </c>
      <c r="H2004" t="str" cm="1">
        <f t="array" ref="H2004">IFERROR(VLOOKUP(INPUT!M1999&amp;INPUT!N1999,CHOOSE({1,2},INPUT!$A$3:$A$5000&amp;INPUT!$C$3:$C$5000,INPUT!$D$3:$D$5000),2,FALSE),"")</f>
        <v>TEC-TAC</v>
      </c>
      <c r="I2004" s="46">
        <f>IF(INPUT!P1999="","",INPUT!P1999)</f>
        <v>69.3</v>
      </c>
      <c r="J2004" s="46">
        <f>IF(INPUT!Q1999="","",INPUT!Q1999)</f>
        <v>68.7</v>
      </c>
      <c r="K2004" s="46">
        <f>IFERROR(IF(OR(INPUT!P1999="",INPUT!Q1999=""),"",INPUT!P1999-INPUT!Q1999),"")</f>
        <v>0.59999999999999432</v>
      </c>
      <c r="L2004" s="48">
        <f>IFERROR(IF(OR(INPUT!P1999="",INPUT!Q1999="",INPUT!P1999=0),"",(INPUT!P1999-INPUT!Q1999)/INPUT!P1999),"")</f>
        <v>8.6580086580085765E-3</v>
      </c>
    </row>
    <row r="2005" spans="1:12" ht="18" hidden="1" customHeight="1" x14ac:dyDescent="0.2">
      <c r="A2005" s="11">
        <f>IF(INPUT!M2000="","",INPUT!M2000)</f>
        <v>46066</v>
      </c>
      <c r="B2005" s="11">
        <f>IF(INPUT!M2000="","",INPUT!M2000-WEEKDAY(INPUT!M2000,2)+1)</f>
        <v>46062</v>
      </c>
      <c r="C2005" s="20">
        <f>IFERROR(_xlfn.ISOWEEKNUM(INPUT!M2000),"")</f>
        <v>7</v>
      </c>
      <c r="D2005" s="20">
        <f>IFERROR(YEAR(INPUT!M2000),"")</f>
        <v>2026</v>
      </c>
      <c r="E2005" t="str">
        <f>IF(INPUT!O2000="","",INPUT!O2000)</f>
        <v>RAUL</v>
      </c>
      <c r="F2005" t="str">
        <f>IF(INPUT!N2000="","",INPUT!N2000)</f>
        <v>M</v>
      </c>
      <c r="G2005" t="str" cm="1">
        <f t="array" ref="G2005">IFERROR(VLOOKUP(INPUT!M2000&amp;INPUT!N2000,CHOOSE({1,2},INPUT!$A$3:$A$5000&amp;INPUT!$C$3:$C$5000,INPUT!$F$3:$F$5000),2,FALSE),"")</f>
        <v>PRE-TEMPORADA</v>
      </c>
      <c r="H2005" t="str" cm="1">
        <f t="array" ref="H2005">IFERROR(VLOOKUP(INPUT!M2000&amp;INPUT!N2000,CHOOSE({1,2},INPUT!$A$3:$A$5000&amp;INPUT!$C$3:$C$5000,INPUT!$D$3:$D$5000),2,FALSE),"")</f>
        <v>TEC-TAC</v>
      </c>
      <c r="I2005" s="46">
        <f>IF(INPUT!P2000="","",INPUT!P2000)</f>
        <v>81</v>
      </c>
      <c r="J2005" s="46">
        <f>IF(INPUT!Q2000="","",INPUT!Q2000)</f>
        <v>80.2</v>
      </c>
      <c r="K2005" s="46">
        <f>IFERROR(IF(OR(INPUT!P2000="",INPUT!Q2000=""),"",INPUT!P2000-INPUT!Q2000),"")</f>
        <v>0.79999999999999716</v>
      </c>
      <c r="L2005" s="48">
        <f>IFERROR(IF(OR(INPUT!P2000="",INPUT!Q2000="",INPUT!P2000=0),"",(INPUT!P2000-INPUT!Q2000)/INPUT!P2000),"")</f>
        <v>9.8765432098765083E-3</v>
      </c>
    </row>
    <row r="2006" spans="1:12" ht="18" hidden="1" customHeight="1" x14ac:dyDescent="0.2">
      <c r="A2006" s="11">
        <f>IF(INPUT!M2001="","",INPUT!M2001)</f>
        <v>46066</v>
      </c>
      <c r="B2006" s="11">
        <f>IF(INPUT!M2001="","",INPUT!M2001-WEEKDAY(INPUT!M2001,2)+1)</f>
        <v>46062</v>
      </c>
      <c r="C2006" s="20">
        <f>IFERROR(_xlfn.ISOWEEKNUM(INPUT!M2001),"")</f>
        <v>7</v>
      </c>
      <c r="D2006" s="20">
        <f>IFERROR(YEAR(INPUT!M2001),"")</f>
        <v>2026</v>
      </c>
      <c r="E2006" t="str">
        <f>IF(INPUT!O2001="","",INPUT!O2001)</f>
        <v>HARRISON</v>
      </c>
      <c r="F2006" t="str">
        <f>IF(INPUT!N2001="","",INPUT!N2001)</f>
        <v>M</v>
      </c>
      <c r="G2006" t="str" cm="1">
        <f t="array" ref="G2006">IFERROR(VLOOKUP(INPUT!M2001&amp;INPUT!N2001,CHOOSE({1,2},INPUT!$A$3:$A$5000&amp;INPUT!$C$3:$C$5000,INPUT!$F$3:$F$5000),2,FALSE),"")</f>
        <v>PRE-TEMPORADA</v>
      </c>
      <c r="H2006" t="str" cm="1">
        <f t="array" ref="H2006">IFERROR(VLOOKUP(INPUT!M2001&amp;INPUT!N2001,CHOOSE({1,2},INPUT!$A$3:$A$5000&amp;INPUT!$C$3:$C$5000,INPUT!$D$3:$D$5000),2,FALSE),"")</f>
        <v>TEC-TAC</v>
      </c>
      <c r="I2006" s="46">
        <f>IF(INPUT!P2001="","",INPUT!P2001)</f>
        <v>72</v>
      </c>
      <c r="J2006" s="46">
        <f>IF(INPUT!Q2001="","",INPUT!Q2001)</f>
        <v>71.7</v>
      </c>
      <c r="K2006" s="46">
        <f>IFERROR(IF(OR(INPUT!P2001="",INPUT!Q2001=""),"",INPUT!P2001-INPUT!Q2001),"")</f>
        <v>0.29999999999999716</v>
      </c>
      <c r="L2006" s="48">
        <f>IFERROR(IF(OR(INPUT!P2001="",INPUT!Q2001="",INPUT!P2001=0),"",(INPUT!P2001-INPUT!Q2001)/INPUT!P2001),"")</f>
        <v>4.1666666666666276E-3</v>
      </c>
    </row>
    <row r="2007" spans="1:12" ht="18" hidden="1" customHeight="1" x14ac:dyDescent="0.2">
      <c r="A2007" s="11">
        <f>IF(INPUT!M2002="","",INPUT!M2002)</f>
        <v>46066</v>
      </c>
      <c r="B2007" s="11">
        <f>IF(INPUT!M2002="","",INPUT!M2002-WEEKDAY(INPUT!M2002,2)+1)</f>
        <v>46062</v>
      </c>
      <c r="C2007" s="20">
        <f>IFERROR(_xlfn.ISOWEEKNUM(INPUT!M2002),"")</f>
        <v>7</v>
      </c>
      <c r="D2007" s="20">
        <f>IFERROR(YEAR(INPUT!M2002),"")</f>
        <v>2026</v>
      </c>
      <c r="E2007" t="str">
        <f>IF(INPUT!O2002="","",INPUT!O2002)</f>
        <v>RAYA</v>
      </c>
      <c r="F2007" t="str">
        <f>IF(INPUT!N2002="","",INPUT!N2002)</f>
        <v>M</v>
      </c>
      <c r="G2007" t="str" cm="1">
        <f t="array" ref="G2007">IFERROR(VLOOKUP(INPUT!M2002&amp;INPUT!N2002,CHOOSE({1,2},INPUT!$A$3:$A$5000&amp;INPUT!$C$3:$C$5000,INPUT!$F$3:$F$5000),2,FALSE),"")</f>
        <v>PRE-TEMPORADA</v>
      </c>
      <c r="H2007" t="str" cm="1">
        <f t="array" ref="H2007">IFERROR(VLOOKUP(INPUT!M2002&amp;INPUT!N2002,CHOOSE({1,2},INPUT!$A$3:$A$5000&amp;INPUT!$C$3:$C$5000,INPUT!$D$3:$D$5000),2,FALSE),"")</f>
        <v>TEC-TAC</v>
      </c>
      <c r="I2007" s="46">
        <f>IF(INPUT!P2002="","",INPUT!P2002)</f>
        <v>81.5</v>
      </c>
      <c r="J2007" s="46">
        <f>IF(INPUT!Q2002="","",INPUT!Q2002)</f>
        <v>81</v>
      </c>
      <c r="K2007" s="46">
        <f>IFERROR(IF(OR(INPUT!P2002="",INPUT!Q2002=""),"",INPUT!P2002-INPUT!Q2002),"")</f>
        <v>0.5</v>
      </c>
      <c r="L2007" s="48">
        <f>IFERROR(IF(OR(INPUT!P2002="",INPUT!Q2002="",INPUT!P2002=0),"",(INPUT!P2002-INPUT!Q2002)/INPUT!P2002),"")</f>
        <v>6.1349693251533744E-3</v>
      </c>
    </row>
    <row r="2008" spans="1:12" ht="18" hidden="1" customHeight="1" x14ac:dyDescent="0.2">
      <c r="A2008" s="11">
        <f>IF(INPUT!M2003="","",INPUT!M2003)</f>
        <v>46066</v>
      </c>
      <c r="B2008" s="11">
        <f>IF(INPUT!M2003="","",INPUT!M2003-WEEKDAY(INPUT!M2003,2)+1)</f>
        <v>46062</v>
      </c>
      <c r="C2008" s="20">
        <f>IFERROR(_xlfn.ISOWEEKNUM(INPUT!M2003),"")</f>
        <v>7</v>
      </c>
      <c r="D2008" s="20">
        <f>IFERROR(YEAR(INPUT!M2003),"")</f>
        <v>2026</v>
      </c>
      <c r="E2008" t="str">
        <f>IF(INPUT!O2003="","",INPUT!O2003)</f>
        <v>JAVI</v>
      </c>
      <c r="F2008" t="str">
        <f>IF(INPUT!N2003="","",INPUT!N2003)</f>
        <v>M</v>
      </c>
      <c r="G2008" t="str" cm="1">
        <f t="array" ref="G2008">IFERROR(VLOOKUP(INPUT!M2003&amp;INPUT!N2003,CHOOSE({1,2},INPUT!$A$3:$A$5000&amp;INPUT!$C$3:$C$5000,INPUT!$F$3:$F$5000),2,FALSE),"")</f>
        <v>PRE-TEMPORADA</v>
      </c>
      <c r="H2008" t="str" cm="1">
        <f t="array" ref="H2008">IFERROR(VLOOKUP(INPUT!M2003&amp;INPUT!N2003,CHOOSE({1,2},INPUT!$A$3:$A$5000&amp;INPUT!$C$3:$C$5000,INPUT!$D$3:$D$5000),2,FALSE),"")</f>
        <v>TEC-TAC</v>
      </c>
      <c r="I2008" s="46">
        <f>IF(INPUT!P2003="","",INPUT!P2003)</f>
        <v>78.2</v>
      </c>
      <c r="J2008" s="46">
        <f>IF(INPUT!Q2003="","",INPUT!Q2003)</f>
        <v>78.2</v>
      </c>
      <c r="K2008" s="46">
        <f>IFERROR(IF(OR(INPUT!P2003="",INPUT!Q2003=""),"",INPUT!P2003-INPUT!Q2003),"")</f>
        <v>0</v>
      </c>
      <c r="L2008" s="48">
        <f>IFERROR(IF(OR(INPUT!P2003="",INPUT!Q2003="",INPUT!P2003=0),"",(INPUT!P2003-INPUT!Q2003)/INPUT!P2003),"")</f>
        <v>0</v>
      </c>
    </row>
    <row r="2009" spans="1:12" ht="18" hidden="1" customHeight="1" x14ac:dyDescent="0.2">
      <c r="A2009" s="11">
        <f>IF(INPUT!M2004="","",INPUT!M2004)</f>
        <v>46066</v>
      </c>
      <c r="B2009" s="11">
        <f>IF(INPUT!M2004="","",INPUT!M2004-WEEKDAY(INPUT!M2004,2)+1)</f>
        <v>46062</v>
      </c>
      <c r="C2009" s="20">
        <f>IFERROR(_xlfn.ISOWEEKNUM(INPUT!M2004),"")</f>
        <v>7</v>
      </c>
      <c r="D2009" s="20">
        <f>IFERROR(YEAR(INPUT!M2004),"")</f>
        <v>2026</v>
      </c>
      <c r="E2009" t="str">
        <f>IF(INPUT!O2004="","",INPUT!O2004)</f>
        <v>PANI</v>
      </c>
      <c r="F2009" t="str">
        <f>IF(INPUT!N2004="","",INPUT!N2004)</f>
        <v>M</v>
      </c>
      <c r="G2009" t="str" cm="1">
        <f t="array" ref="G2009">IFERROR(VLOOKUP(INPUT!M2004&amp;INPUT!N2004,CHOOSE({1,2},INPUT!$A$3:$A$5000&amp;INPUT!$C$3:$C$5000,INPUT!$F$3:$F$5000),2,FALSE),"")</f>
        <v>PRE-TEMPORADA</v>
      </c>
      <c r="H2009" t="str" cm="1">
        <f t="array" ref="H2009">IFERROR(VLOOKUP(INPUT!M2004&amp;INPUT!N2004,CHOOSE({1,2},INPUT!$A$3:$A$5000&amp;INPUT!$C$3:$C$5000,INPUT!$D$3:$D$5000),2,FALSE),"")</f>
        <v>TEC-TAC</v>
      </c>
      <c r="I2009" s="46">
        <f>IF(INPUT!P2004="","",INPUT!P2004)</f>
        <v>66.400000000000006</v>
      </c>
      <c r="J2009" s="46">
        <f>IF(INPUT!Q2004="","",INPUT!Q2004)</f>
        <v>65.599999999999994</v>
      </c>
      <c r="K2009" s="46">
        <f>IFERROR(IF(OR(INPUT!P2004="",INPUT!Q2004=""),"",INPUT!P2004-INPUT!Q2004),"")</f>
        <v>0.80000000000001137</v>
      </c>
      <c r="L2009" s="48">
        <f>IFERROR(IF(OR(INPUT!P2004="",INPUT!Q2004="",INPUT!P2004=0),"",(INPUT!P2004-INPUT!Q2004)/INPUT!P2004),"")</f>
        <v>1.2048192771084508E-2</v>
      </c>
    </row>
    <row r="2010" spans="1:12" ht="18" customHeight="1" x14ac:dyDescent="0.2">
      <c r="A2010" s="11">
        <f>IF(INPUT!M2005="","",INPUT!M2005)</f>
        <v>46066</v>
      </c>
      <c r="B2010" s="11">
        <f>IF(INPUT!M2005="","",INPUT!M2005-WEEKDAY(INPUT!M2005,2)+1)</f>
        <v>46062</v>
      </c>
      <c r="C2010" s="20">
        <f>IFERROR(_xlfn.ISOWEEKNUM(INPUT!M2005),"")</f>
        <v>7</v>
      </c>
      <c r="D2010" s="20">
        <f>IFERROR(YEAR(INPUT!M2005),"")</f>
        <v>2026</v>
      </c>
      <c r="E2010" t="str">
        <f>IF(INPUT!O2005="","",INPUT!O2005)</f>
        <v>PIRATA</v>
      </c>
      <c r="F2010" t="str">
        <f>IF(INPUT!N2005="","",INPUT!N2005)</f>
        <v>M</v>
      </c>
      <c r="G2010" t="str" cm="1">
        <f t="array" ref="G2010">IFERROR(VLOOKUP(INPUT!M2005&amp;INPUT!N2005,CHOOSE({1,2},INPUT!$A$3:$A$5000&amp;INPUT!$C$3:$C$5000,INPUT!$F$3:$F$5000),2,FALSE),"")</f>
        <v>PRE-TEMPORADA</v>
      </c>
      <c r="H2010" t="str" cm="1">
        <f t="array" ref="H2010">IFERROR(VLOOKUP(INPUT!M2005&amp;INPUT!N2005,CHOOSE({1,2},INPUT!$A$3:$A$5000&amp;INPUT!$C$3:$C$5000,INPUT!$D$3:$D$5000),2,FALSE),"")</f>
        <v>TEC-TAC</v>
      </c>
      <c r="I2010" s="46">
        <f>IF(INPUT!P2005="","",INPUT!P2005)</f>
        <v>75.5</v>
      </c>
      <c r="J2010" s="46">
        <f>IF(INPUT!Q2005="","",INPUT!Q2005)</f>
        <v>75.400000000000006</v>
      </c>
      <c r="K2010" s="46">
        <f>IFERROR(IF(OR(INPUT!P2005="",INPUT!Q2005=""),"",INPUT!P2005-INPUT!Q2005),"")</f>
        <v>9.9999999999994316E-2</v>
      </c>
      <c r="L2010" s="48">
        <f>IFERROR(IF(OR(INPUT!P2005="",INPUT!Q2005="",INPUT!P2005=0),"",(INPUT!P2005-INPUT!Q2005)/INPUT!P2005),"")</f>
        <v>1.3245033112582029E-3</v>
      </c>
    </row>
    <row r="2011" spans="1:12" ht="18" customHeight="1" x14ac:dyDescent="0.2">
      <c r="A2011" s="11">
        <f>IF(INPUT!M2006="","",INPUT!M2006)</f>
        <v>46066</v>
      </c>
      <c r="B2011" s="11">
        <f>IF(INPUT!M2006="","",INPUT!M2006-WEEKDAY(INPUT!M2006,2)+1)</f>
        <v>46062</v>
      </c>
      <c r="C2011" s="20">
        <f>IFERROR(_xlfn.ISOWEEKNUM(INPUT!M2006),"")</f>
        <v>7</v>
      </c>
      <c r="D2011" s="20">
        <f>IFERROR(YEAR(INPUT!M2006),"")</f>
        <v>2026</v>
      </c>
      <c r="E2011" t="str">
        <f>IF(INPUT!O2006="","",INPUT!O2006)</f>
        <v>BARONA</v>
      </c>
      <c r="F2011" t="str">
        <f>IF(INPUT!N2006="","",INPUT!N2006)</f>
        <v>M</v>
      </c>
      <c r="G2011" t="str" cm="1">
        <f t="array" ref="G2011">IFERROR(VLOOKUP(INPUT!M2006&amp;INPUT!N2006,CHOOSE({1,2},INPUT!$A$3:$A$5000&amp;INPUT!$C$3:$C$5000,INPUT!$F$3:$F$5000),2,FALSE),"")</f>
        <v>PRE-TEMPORADA</v>
      </c>
      <c r="H2011" t="str" cm="1">
        <f t="array" ref="H2011">IFERROR(VLOOKUP(INPUT!M2006&amp;INPUT!N2006,CHOOSE({1,2},INPUT!$A$3:$A$5000&amp;INPUT!$C$3:$C$5000,INPUT!$D$3:$D$5000),2,FALSE),"")</f>
        <v>TEC-TAC</v>
      </c>
      <c r="I2011" s="46">
        <f>IF(INPUT!P2006="","",INPUT!P2006)</f>
        <v>71.2</v>
      </c>
      <c r="J2011" s="46">
        <f>IF(INPUT!Q2006="","",INPUT!Q2006)</f>
        <v>71.400000000000006</v>
      </c>
      <c r="K2011" s="46">
        <f>IFERROR(IF(OR(INPUT!P2006="",INPUT!Q2006=""),"",INPUT!P2006-INPUT!Q2006),"")</f>
        <v>-0.20000000000000284</v>
      </c>
      <c r="L2011" s="48">
        <f>IFERROR(IF(OR(INPUT!P2006="",INPUT!Q2006="",INPUT!P2006=0),"",(INPUT!P2006-INPUT!Q2006)/INPUT!P2006),"")</f>
        <v>-2.8089887640449836E-3</v>
      </c>
    </row>
    <row r="2012" spans="1:12" ht="18" customHeight="1" x14ac:dyDescent="0.2">
      <c r="A2012" s="11">
        <f>IF(INPUT!M2007="","",INPUT!M2007)</f>
        <v>46066</v>
      </c>
      <c r="B2012" s="11">
        <f>IF(INPUT!M2007="","",INPUT!M2007-WEEKDAY(INPUT!M2007,2)+1)</f>
        <v>46062</v>
      </c>
      <c r="C2012" s="20">
        <f>IFERROR(_xlfn.ISOWEEKNUM(INPUT!M2007),"")</f>
        <v>7</v>
      </c>
      <c r="D2012" s="20">
        <f>IFERROR(YEAR(INPUT!M2007),"")</f>
        <v>2026</v>
      </c>
      <c r="E2012" t="str">
        <f>IF(INPUT!O2007="","",INPUT!O2007)</f>
        <v>CARLOS</v>
      </c>
      <c r="F2012" t="str">
        <f>IF(INPUT!N2007="","",INPUT!N2007)</f>
        <v>M</v>
      </c>
      <c r="G2012" t="str" cm="1">
        <f t="array" ref="G2012">IFERROR(VLOOKUP(INPUT!M2007&amp;INPUT!N2007,CHOOSE({1,2},INPUT!$A$3:$A$5000&amp;INPUT!$C$3:$C$5000,INPUT!$F$3:$F$5000),2,FALSE),"")</f>
        <v>PRE-TEMPORADA</v>
      </c>
      <c r="H2012" t="str" cm="1">
        <f t="array" ref="H2012">IFERROR(VLOOKUP(INPUT!M2007&amp;INPUT!N2007,CHOOSE({1,2},INPUT!$A$3:$A$5000&amp;INPUT!$C$3:$C$5000,INPUT!$D$3:$D$5000),2,FALSE),"")</f>
        <v>TEC-TAC</v>
      </c>
      <c r="I2012" s="46">
        <f>IF(INPUT!P2007="","",INPUT!P2007)</f>
        <v>68.400000000000006</v>
      </c>
      <c r="J2012" s="46">
        <f>IF(INPUT!Q2007="","",INPUT!Q2007)</f>
        <v>68</v>
      </c>
      <c r="K2012" s="46">
        <f>IFERROR(IF(OR(INPUT!P2007="",INPUT!Q2007=""),"",INPUT!P2007-INPUT!Q2007),"")</f>
        <v>0.40000000000000568</v>
      </c>
      <c r="L2012" s="48">
        <f>IFERROR(IF(OR(INPUT!P2007="",INPUT!Q2007="",INPUT!P2007=0),"",(INPUT!P2007-INPUT!Q2007)/INPUT!P2007),"")</f>
        <v>5.8479532163743519E-3</v>
      </c>
    </row>
    <row r="2013" spans="1:12" ht="18" customHeight="1" x14ac:dyDescent="0.2">
      <c r="A2013" s="11">
        <f>IF(INPUT!M2008="","",INPUT!M2008)</f>
        <v>46066</v>
      </c>
      <c r="B2013" s="11">
        <f>IF(INPUT!M2008="","",INPUT!M2008-WEEKDAY(INPUT!M2008,2)+1)</f>
        <v>46062</v>
      </c>
      <c r="C2013" s="20">
        <f>IFERROR(_xlfn.ISOWEEKNUM(INPUT!M2008),"")</f>
        <v>7</v>
      </c>
      <c r="D2013" s="20">
        <f>IFERROR(YEAR(INPUT!M2008),"")</f>
        <v>2026</v>
      </c>
      <c r="E2013" t="str">
        <f>IF(INPUT!O2008="","",INPUT!O2008)</f>
        <v>DANI</v>
      </c>
      <c r="F2013" t="str">
        <f>IF(INPUT!N2008="","",INPUT!N2008)</f>
        <v>M</v>
      </c>
      <c r="G2013" t="str" cm="1">
        <f t="array" ref="G2013">IFERROR(VLOOKUP(INPUT!M2008&amp;INPUT!N2008,CHOOSE({1,2},INPUT!$A$3:$A$5000&amp;INPUT!$C$3:$C$5000,INPUT!$F$3:$F$5000),2,FALSE),"")</f>
        <v>PRE-TEMPORADA</v>
      </c>
      <c r="H2013" t="str" cm="1">
        <f t="array" ref="H2013">IFERROR(VLOOKUP(INPUT!M2008&amp;INPUT!N2008,CHOOSE({1,2},INPUT!$A$3:$A$5000&amp;INPUT!$C$3:$C$5000,INPUT!$D$3:$D$5000),2,FALSE),"")</f>
        <v>TEC-TAC</v>
      </c>
      <c r="I2013" s="46">
        <f>IF(INPUT!P2008="","",INPUT!P2008)</f>
        <v>91.5</v>
      </c>
      <c r="J2013" s="46">
        <f>IF(INPUT!Q2008="","",INPUT!Q2008)</f>
        <v>91.3</v>
      </c>
      <c r="K2013" s="46">
        <f>IFERROR(IF(OR(INPUT!P2008="",INPUT!Q2008=""),"",INPUT!P2008-INPUT!Q2008),"")</f>
        <v>0.20000000000000284</v>
      </c>
      <c r="L2013" s="48">
        <f>IFERROR(IF(OR(INPUT!P2008="",INPUT!Q2008="",INPUT!P2008=0),"",(INPUT!P2008-INPUT!Q2008)/INPUT!P2008),"")</f>
        <v>2.1857923497268072E-3</v>
      </c>
    </row>
    <row r="2014" spans="1:12" ht="18" customHeight="1" x14ac:dyDescent="0.2">
      <c r="A2014" s="11">
        <f>IF(INPUT!M2009="","",INPUT!M2009)</f>
        <v>46066</v>
      </c>
      <c r="B2014" s="11">
        <f>IF(INPUT!M2009="","",INPUT!M2009-WEEKDAY(INPUT!M2009,2)+1)</f>
        <v>46062</v>
      </c>
      <c r="C2014" s="20">
        <f>IFERROR(_xlfn.ISOWEEKNUM(INPUT!M2009),"")</f>
        <v>7</v>
      </c>
      <c r="D2014" s="20">
        <f>IFERROR(YEAR(INPUT!M2009),"")</f>
        <v>2026</v>
      </c>
      <c r="E2014" t="str">
        <f>IF(INPUT!O2009="","",INPUT!O2009)</f>
        <v>JAIME</v>
      </c>
      <c r="F2014" t="str">
        <f>IF(INPUT!N2009="","",INPUT!N2009)</f>
        <v>M</v>
      </c>
      <c r="G2014" t="str" cm="1">
        <f t="array" ref="G2014">IFERROR(VLOOKUP(INPUT!M2009&amp;INPUT!N2009,CHOOSE({1,2},INPUT!$A$3:$A$5000&amp;INPUT!$C$3:$C$5000,INPUT!$F$3:$F$5000),2,FALSE),"")</f>
        <v>PRE-TEMPORADA</v>
      </c>
      <c r="H2014" t="str" cm="1">
        <f t="array" ref="H2014">IFERROR(VLOOKUP(INPUT!M2009&amp;INPUT!N2009,CHOOSE({1,2},INPUT!$A$3:$A$5000&amp;INPUT!$C$3:$C$5000,INPUT!$D$3:$D$5000),2,FALSE),"")</f>
        <v>TEC-TAC</v>
      </c>
      <c r="I2014" s="46">
        <f>IF(INPUT!P2009="","",INPUT!P2009)</f>
        <v>75.8</v>
      </c>
      <c r="J2014" s="46">
        <f>IF(INPUT!Q2009="","",INPUT!Q2009)</f>
        <v>75.7</v>
      </c>
      <c r="K2014" s="46">
        <f>IFERROR(IF(OR(INPUT!P2009="",INPUT!Q2009=""),"",INPUT!P2009-INPUT!Q2009),"")</f>
        <v>9.9999999999994316E-2</v>
      </c>
      <c r="L2014" s="48">
        <f>IFERROR(IF(OR(INPUT!P2009="",INPUT!Q2009="",INPUT!P2009=0),"",(INPUT!P2009-INPUT!Q2009)/INPUT!P2009),"")</f>
        <v>1.3192612137202418E-3</v>
      </c>
    </row>
    <row r="2015" spans="1:12" ht="18" hidden="1" customHeight="1" x14ac:dyDescent="0.2">
      <c r="A2015" s="11">
        <f>IF(INPUT!M2010="","",INPUT!M2010)</f>
        <v>46069</v>
      </c>
      <c r="B2015" s="11">
        <f>IF(INPUT!M2010="","",INPUT!M2010-WEEKDAY(INPUT!M2010,2)+1)</f>
        <v>46069</v>
      </c>
      <c r="C2015" s="20">
        <f>IFERROR(_xlfn.ISOWEEKNUM(INPUT!M2010),"")</f>
        <v>8</v>
      </c>
      <c r="D2015" s="20">
        <f>IFERROR(YEAR(INPUT!M2010),"")</f>
        <v>2026</v>
      </c>
      <c r="E2015" t="str">
        <f>IF(INPUT!O2010="","",INPUT!O2010)</f>
        <v>HERRERO</v>
      </c>
      <c r="F2015" t="str">
        <f>IF(INPUT!N2010="","",INPUT!N2010)</f>
        <v>M</v>
      </c>
      <c r="G2015" t="str" cm="1">
        <f t="array" ref="G2015">IFERROR(VLOOKUP(INPUT!M2010&amp;INPUT!N2010,CHOOSE({1,2},INPUT!$A$3:$A$5000&amp;INPUT!$C$3:$C$5000,INPUT!$F$3:$F$5000),2,FALSE),"")</f>
        <v>PRE-TEMPORADA</v>
      </c>
      <c r="H2015" t="str" cm="1">
        <f t="array" ref="H2015">IFERROR(VLOOKUP(INPUT!M2010&amp;INPUT!N2010,CHOOSE({1,2},INPUT!$A$3:$A$5000&amp;INPUT!$C$3:$C$5000,INPUT!$D$3:$D$5000),2,FALSE),"")</f>
        <v>TEC-TAC</v>
      </c>
      <c r="I2015" s="46">
        <f>IF(INPUT!P2010="","",INPUT!P2010)</f>
        <v>77</v>
      </c>
      <c r="J2015" s="46">
        <f>IF(INPUT!Q2010="","",INPUT!Q2010)</f>
        <v>76.8</v>
      </c>
      <c r="K2015" s="46">
        <f>IFERROR(IF(OR(INPUT!P2010="",INPUT!Q2010=""),"",INPUT!P2010-INPUT!Q2010),"")</f>
        <v>0.20000000000000284</v>
      </c>
      <c r="L2015" s="48">
        <f>IFERROR(IF(OR(INPUT!P2010="",INPUT!Q2010="",INPUT!P2010=0),"",(INPUT!P2010-INPUT!Q2010)/INPUT!P2010),"")</f>
        <v>2.5974025974026343E-3</v>
      </c>
    </row>
    <row r="2016" spans="1:12" ht="18" hidden="1" customHeight="1" x14ac:dyDescent="0.2">
      <c r="A2016" s="11">
        <f>IF(INPUT!M2011="","",INPUT!M2011)</f>
        <v>46069</v>
      </c>
      <c r="B2016" s="11">
        <f>IF(INPUT!M2011="","",INPUT!M2011-WEEKDAY(INPUT!M2011,2)+1)</f>
        <v>46069</v>
      </c>
      <c r="C2016" s="20">
        <f>IFERROR(_xlfn.ISOWEEKNUM(INPUT!M2011),"")</f>
        <v>8</v>
      </c>
      <c r="D2016" s="20">
        <f>IFERROR(YEAR(INPUT!M2011),"")</f>
        <v>2026</v>
      </c>
      <c r="E2016" t="str">
        <f>IF(INPUT!O2011="","",INPUT!O2011)</f>
        <v>GARCIA</v>
      </c>
      <c r="F2016" t="str">
        <f>IF(INPUT!N2011="","",INPUT!N2011)</f>
        <v>M</v>
      </c>
      <c r="G2016" t="str" cm="1">
        <f t="array" ref="G2016">IFERROR(VLOOKUP(INPUT!M2011&amp;INPUT!N2011,CHOOSE({1,2},INPUT!$A$3:$A$5000&amp;INPUT!$C$3:$C$5000,INPUT!$F$3:$F$5000),2,FALSE),"")</f>
        <v>PRE-TEMPORADA</v>
      </c>
      <c r="H2016" t="str" cm="1">
        <f t="array" ref="H2016">IFERROR(VLOOKUP(INPUT!M2011&amp;INPUT!N2011,CHOOSE({1,2},INPUT!$A$3:$A$5000&amp;INPUT!$C$3:$C$5000,INPUT!$D$3:$D$5000),2,FALSE),"")</f>
        <v>TEC-TAC</v>
      </c>
      <c r="I2016" s="46">
        <f>IF(INPUT!P2011="","",INPUT!P2011)</f>
        <v>79.400000000000006</v>
      </c>
      <c r="J2016" s="46">
        <f>IF(INPUT!Q2011="","",INPUT!Q2011)</f>
        <v>79.2</v>
      </c>
      <c r="K2016" s="46">
        <f>IFERROR(IF(OR(INPUT!P2011="",INPUT!Q2011=""),"",INPUT!P2011-INPUT!Q2011),"")</f>
        <v>0.20000000000000284</v>
      </c>
      <c r="L2016" s="48">
        <f>IFERROR(IF(OR(INPUT!P2011="",INPUT!Q2011="",INPUT!P2011=0),"",(INPUT!P2011-INPUT!Q2011)/INPUT!P2011),"")</f>
        <v>2.5188916876574662E-3</v>
      </c>
    </row>
    <row r="2017" spans="1:12" ht="18" hidden="1" customHeight="1" x14ac:dyDescent="0.2">
      <c r="A2017" s="11">
        <f>IF(INPUT!M2012="","",INPUT!M2012)</f>
        <v>46069</v>
      </c>
      <c r="B2017" s="11">
        <f>IF(INPUT!M2012="","",INPUT!M2012-WEEKDAY(INPUT!M2012,2)+1)</f>
        <v>46069</v>
      </c>
      <c r="C2017" s="20">
        <f>IFERROR(_xlfn.ISOWEEKNUM(INPUT!M2012),"")</f>
        <v>8</v>
      </c>
      <c r="D2017" s="20">
        <f>IFERROR(YEAR(INPUT!M2012),"")</f>
        <v>2026</v>
      </c>
      <c r="E2017" t="str">
        <f>IF(INPUT!O2012="","",INPUT!O2012)</f>
        <v>CECILIO</v>
      </c>
      <c r="F2017" t="str">
        <f>IF(INPUT!N2012="","",INPUT!N2012)</f>
        <v>M</v>
      </c>
      <c r="G2017" t="str" cm="1">
        <f t="array" ref="G2017">IFERROR(VLOOKUP(INPUT!M2012&amp;INPUT!N2012,CHOOSE({1,2},INPUT!$A$3:$A$5000&amp;INPUT!$C$3:$C$5000,INPUT!$F$3:$F$5000),2,FALSE),"")</f>
        <v>PRE-TEMPORADA</v>
      </c>
      <c r="H2017" t="str" cm="1">
        <f t="array" ref="H2017">IFERROR(VLOOKUP(INPUT!M2012&amp;INPUT!N2012,CHOOSE({1,2},INPUT!$A$3:$A$5000&amp;INPUT!$C$3:$C$5000,INPUT!$D$3:$D$5000),2,FALSE),"")</f>
        <v>TEC-TAC</v>
      </c>
      <c r="I2017" s="46">
        <f>IF(INPUT!P2012="","",INPUT!P2012)</f>
        <v>69</v>
      </c>
      <c r="J2017" s="46">
        <f>IF(INPUT!Q2012="","",INPUT!Q2012)</f>
        <v>68.5</v>
      </c>
      <c r="K2017" s="46">
        <f>IFERROR(IF(OR(INPUT!P2012="",INPUT!Q2012=""),"",INPUT!P2012-INPUT!Q2012),"")</f>
        <v>0.5</v>
      </c>
      <c r="L2017" s="48">
        <f>IFERROR(IF(OR(INPUT!P2012="",INPUT!Q2012="",INPUT!P2012=0),"",(INPUT!P2012-INPUT!Q2012)/INPUT!P2012),"")</f>
        <v>7.246376811594203E-3</v>
      </c>
    </row>
    <row r="2018" spans="1:12" ht="18" hidden="1" customHeight="1" x14ac:dyDescent="0.2">
      <c r="A2018" s="11">
        <f>IF(INPUT!M2013="","",INPUT!M2013)</f>
        <v>46069</v>
      </c>
      <c r="B2018" s="11">
        <f>IF(INPUT!M2013="","",INPUT!M2013-WEEKDAY(INPUT!M2013,2)+1)</f>
        <v>46069</v>
      </c>
      <c r="C2018" s="20">
        <f>IFERROR(_xlfn.ISOWEEKNUM(INPUT!M2013),"")</f>
        <v>8</v>
      </c>
      <c r="D2018" s="20">
        <f>IFERROR(YEAR(INPUT!M2013),"")</f>
        <v>2026</v>
      </c>
      <c r="E2018" t="str">
        <f>IF(INPUT!O2013="","",INPUT!O2013)</f>
        <v>CHAGUINHA</v>
      </c>
      <c r="F2018" t="str">
        <f>IF(INPUT!N2013="","",INPUT!N2013)</f>
        <v>M</v>
      </c>
      <c r="G2018" t="str" cm="1">
        <f t="array" ref="G2018">IFERROR(VLOOKUP(INPUT!M2013&amp;INPUT!N2013,CHOOSE({1,2},INPUT!$A$3:$A$5000&amp;INPUT!$C$3:$C$5000,INPUT!$F$3:$F$5000),2,FALSE),"")</f>
        <v>PRE-TEMPORADA</v>
      </c>
      <c r="H2018" t="str" cm="1">
        <f t="array" ref="H2018">IFERROR(VLOOKUP(INPUT!M2013&amp;INPUT!N2013,CHOOSE({1,2},INPUT!$A$3:$A$5000&amp;INPUT!$C$3:$C$5000,INPUT!$D$3:$D$5000),2,FALSE),"")</f>
        <v>TEC-TAC</v>
      </c>
      <c r="I2018" s="46">
        <f>IF(INPUT!P2013="","",INPUT!P2013)</f>
        <v>69.3</v>
      </c>
      <c r="J2018" s="46">
        <f>IF(INPUT!Q2013="","",INPUT!Q2013)</f>
        <v>68.900000000000006</v>
      </c>
      <c r="K2018" s="46">
        <f>IFERROR(IF(OR(INPUT!P2013="",INPUT!Q2013=""),"",INPUT!P2013-INPUT!Q2013),"")</f>
        <v>0.39999999999999147</v>
      </c>
      <c r="L2018" s="48">
        <f>IFERROR(IF(OR(INPUT!P2013="",INPUT!Q2013="",INPUT!P2013=0),"",(INPUT!P2013-INPUT!Q2013)/INPUT!P2013),"")</f>
        <v>5.7720057720056488E-3</v>
      </c>
    </row>
    <row r="2019" spans="1:12" ht="18" hidden="1" customHeight="1" x14ac:dyDescent="0.2">
      <c r="A2019" s="11">
        <f>IF(INPUT!M2014="","",INPUT!M2014)</f>
        <v>46069</v>
      </c>
      <c r="B2019" s="11">
        <f>IF(INPUT!M2014="","",INPUT!M2014-WEEKDAY(INPUT!M2014,2)+1)</f>
        <v>46069</v>
      </c>
      <c r="C2019" s="20">
        <f>IFERROR(_xlfn.ISOWEEKNUM(INPUT!M2014),"")</f>
        <v>8</v>
      </c>
      <c r="D2019" s="20">
        <f>IFERROR(YEAR(INPUT!M2014),"")</f>
        <v>2026</v>
      </c>
      <c r="E2019" t="str">
        <f>IF(INPUT!O2014="","",INPUT!O2014)</f>
        <v>RAUL</v>
      </c>
      <c r="F2019" t="str">
        <f>IF(INPUT!N2014="","",INPUT!N2014)</f>
        <v>M</v>
      </c>
      <c r="G2019" t="str" cm="1">
        <f t="array" ref="G2019">IFERROR(VLOOKUP(INPUT!M2014&amp;INPUT!N2014,CHOOSE({1,2},INPUT!$A$3:$A$5000&amp;INPUT!$C$3:$C$5000,INPUT!$F$3:$F$5000),2,FALSE),"")</f>
        <v>PRE-TEMPORADA</v>
      </c>
      <c r="H2019" t="str" cm="1">
        <f t="array" ref="H2019">IFERROR(VLOOKUP(INPUT!M2014&amp;INPUT!N2014,CHOOSE({1,2},INPUT!$A$3:$A$5000&amp;INPUT!$C$3:$C$5000,INPUT!$D$3:$D$5000),2,FALSE),"")</f>
        <v>TEC-TAC</v>
      </c>
      <c r="I2019" s="46">
        <f>IF(INPUT!P2014="","",INPUT!P2014)</f>
        <v>81</v>
      </c>
      <c r="J2019" s="46">
        <f>IF(INPUT!Q2014="","",INPUT!Q2014)</f>
        <v>81.5</v>
      </c>
      <c r="K2019" s="46">
        <f>IFERROR(IF(OR(INPUT!P2014="",INPUT!Q2014=""),"",INPUT!P2014-INPUT!Q2014),"")</f>
        <v>-0.5</v>
      </c>
      <c r="L2019" s="48">
        <f>IFERROR(IF(OR(INPUT!P2014="",INPUT!Q2014="",INPUT!P2014=0),"",(INPUT!P2014-INPUT!Q2014)/INPUT!P2014),"")</f>
        <v>-6.1728395061728392E-3</v>
      </c>
    </row>
    <row r="2020" spans="1:12" ht="18" hidden="1" customHeight="1" x14ac:dyDescent="0.2">
      <c r="A2020" s="11">
        <f>IF(INPUT!M2015="","",INPUT!M2015)</f>
        <v>46069</v>
      </c>
      <c r="B2020" s="11">
        <f>IF(INPUT!M2015="","",INPUT!M2015-WEEKDAY(INPUT!M2015,2)+1)</f>
        <v>46069</v>
      </c>
      <c r="C2020" s="20">
        <f>IFERROR(_xlfn.ISOWEEKNUM(INPUT!M2015),"")</f>
        <v>8</v>
      </c>
      <c r="D2020" s="20">
        <f>IFERROR(YEAR(INPUT!M2015),"")</f>
        <v>2026</v>
      </c>
      <c r="E2020" t="str">
        <f>IF(INPUT!O2015="","",INPUT!O2015)</f>
        <v>HARRISON</v>
      </c>
      <c r="F2020" t="str">
        <f>IF(INPUT!N2015="","",INPUT!N2015)</f>
        <v>M</v>
      </c>
      <c r="G2020" t="str" cm="1">
        <f t="array" ref="G2020">IFERROR(VLOOKUP(INPUT!M2015&amp;INPUT!N2015,CHOOSE({1,2},INPUT!$A$3:$A$5000&amp;INPUT!$C$3:$C$5000,INPUT!$F$3:$F$5000),2,FALSE),"")</f>
        <v>PRE-TEMPORADA</v>
      </c>
      <c r="H2020" t="str" cm="1">
        <f t="array" ref="H2020">IFERROR(VLOOKUP(INPUT!M2015&amp;INPUT!N2015,CHOOSE({1,2},INPUT!$A$3:$A$5000&amp;INPUT!$C$3:$C$5000,INPUT!$D$3:$D$5000),2,FALSE),"")</f>
        <v>TEC-TAC</v>
      </c>
      <c r="I2020" s="46">
        <f>IF(INPUT!P2015="","",INPUT!P2015)</f>
        <v>72</v>
      </c>
      <c r="J2020" s="46">
        <f>IF(INPUT!Q2015="","",INPUT!Q2015)</f>
        <v>72</v>
      </c>
      <c r="K2020" s="46">
        <f>IFERROR(IF(OR(INPUT!P2015="",INPUT!Q2015=""),"",INPUT!P2015-INPUT!Q2015),"")</f>
        <v>0</v>
      </c>
      <c r="L2020" s="48">
        <f>IFERROR(IF(OR(INPUT!P2015="",INPUT!Q2015="",INPUT!P2015=0),"",(INPUT!P2015-INPUT!Q2015)/INPUT!P2015),"")</f>
        <v>0</v>
      </c>
    </row>
    <row r="2021" spans="1:12" ht="18" hidden="1" customHeight="1" x14ac:dyDescent="0.2">
      <c r="A2021" s="11">
        <f>IF(INPUT!M2016="","",INPUT!M2016)</f>
        <v>46069</v>
      </c>
      <c r="B2021" s="11">
        <f>IF(INPUT!M2016="","",INPUT!M2016-WEEKDAY(INPUT!M2016,2)+1)</f>
        <v>46069</v>
      </c>
      <c r="C2021" s="20">
        <f>IFERROR(_xlfn.ISOWEEKNUM(INPUT!M2016),"")</f>
        <v>8</v>
      </c>
      <c r="D2021" s="20">
        <f>IFERROR(YEAR(INPUT!M2016),"")</f>
        <v>2026</v>
      </c>
      <c r="E2021" t="str">
        <f>IF(INPUT!O2016="","",INPUT!O2016)</f>
        <v>RAYA</v>
      </c>
      <c r="F2021" t="str">
        <f>IF(INPUT!N2016="","",INPUT!N2016)</f>
        <v>M</v>
      </c>
      <c r="G2021" t="str" cm="1">
        <f t="array" ref="G2021">IFERROR(VLOOKUP(INPUT!M2016&amp;INPUT!N2016,CHOOSE({1,2},INPUT!$A$3:$A$5000&amp;INPUT!$C$3:$C$5000,INPUT!$F$3:$F$5000),2,FALSE),"")</f>
        <v>PRE-TEMPORADA</v>
      </c>
      <c r="H2021" t="str" cm="1">
        <f t="array" ref="H2021">IFERROR(VLOOKUP(INPUT!M2016&amp;INPUT!N2016,CHOOSE({1,2},INPUT!$A$3:$A$5000&amp;INPUT!$C$3:$C$5000,INPUT!$D$3:$D$5000),2,FALSE),"")</f>
        <v>TEC-TAC</v>
      </c>
      <c r="I2021" s="46">
        <f>IF(INPUT!P2016="","",INPUT!P2016)</f>
        <v>80.5</v>
      </c>
      <c r="J2021" s="46">
        <f>IF(INPUT!Q2016="","",INPUT!Q2016)</f>
        <v>79.8</v>
      </c>
      <c r="K2021" s="46">
        <f>IFERROR(IF(OR(INPUT!P2016="",INPUT!Q2016=""),"",INPUT!P2016-INPUT!Q2016),"")</f>
        <v>0.70000000000000284</v>
      </c>
      <c r="L2021" s="48">
        <f>IFERROR(IF(OR(INPUT!P2016="",INPUT!Q2016="",INPUT!P2016=0),"",(INPUT!P2016-INPUT!Q2016)/INPUT!P2016),"")</f>
        <v>8.6956521739130783E-3</v>
      </c>
    </row>
    <row r="2022" spans="1:12" ht="18" hidden="1" customHeight="1" x14ac:dyDescent="0.2">
      <c r="A2022" s="11">
        <f>IF(INPUT!M2017="","",INPUT!M2017)</f>
        <v>46069</v>
      </c>
      <c r="B2022" s="11">
        <f>IF(INPUT!M2017="","",INPUT!M2017-WEEKDAY(INPUT!M2017,2)+1)</f>
        <v>46069</v>
      </c>
      <c r="C2022" s="20">
        <f>IFERROR(_xlfn.ISOWEEKNUM(INPUT!M2017),"")</f>
        <v>8</v>
      </c>
      <c r="D2022" s="20">
        <f>IFERROR(YEAR(INPUT!M2017),"")</f>
        <v>2026</v>
      </c>
      <c r="E2022" t="str">
        <f>IF(INPUT!O2017="","",INPUT!O2017)</f>
        <v>JAVI</v>
      </c>
      <c r="F2022" t="str">
        <f>IF(INPUT!N2017="","",INPUT!N2017)</f>
        <v>M</v>
      </c>
      <c r="G2022" t="str" cm="1">
        <f t="array" ref="G2022">IFERROR(VLOOKUP(INPUT!M2017&amp;INPUT!N2017,CHOOSE({1,2},INPUT!$A$3:$A$5000&amp;INPUT!$C$3:$C$5000,INPUT!$F$3:$F$5000),2,FALSE),"")</f>
        <v>PRE-TEMPORADA</v>
      </c>
      <c r="H2022" t="str" cm="1">
        <f t="array" ref="H2022">IFERROR(VLOOKUP(INPUT!M2017&amp;INPUT!N2017,CHOOSE({1,2},INPUT!$A$3:$A$5000&amp;INPUT!$C$3:$C$5000,INPUT!$D$3:$D$5000),2,FALSE),"")</f>
        <v>TEC-TAC</v>
      </c>
      <c r="I2022" s="46">
        <f>IF(INPUT!P2017="","",INPUT!P2017)</f>
        <v>79</v>
      </c>
      <c r="J2022" s="46">
        <f>IF(INPUT!Q2017="","",INPUT!Q2017)</f>
        <v>79</v>
      </c>
      <c r="K2022" s="46">
        <f>IFERROR(IF(OR(INPUT!P2017="",INPUT!Q2017=""),"",INPUT!P2017-INPUT!Q2017),"")</f>
        <v>0</v>
      </c>
      <c r="L2022" s="48">
        <f>IFERROR(IF(OR(INPUT!P2017="",INPUT!Q2017="",INPUT!P2017=0),"",(INPUT!P2017-INPUT!Q2017)/INPUT!P2017),"")</f>
        <v>0</v>
      </c>
    </row>
    <row r="2023" spans="1:12" ht="18" hidden="1" customHeight="1" x14ac:dyDescent="0.2">
      <c r="A2023" s="11">
        <f>IF(INPUT!M2018="","",INPUT!M2018)</f>
        <v>46069</v>
      </c>
      <c r="B2023" s="11">
        <f>IF(INPUT!M2018="","",INPUT!M2018-WEEKDAY(INPUT!M2018,2)+1)</f>
        <v>46069</v>
      </c>
      <c r="C2023" s="20">
        <f>IFERROR(_xlfn.ISOWEEKNUM(INPUT!M2018),"")</f>
        <v>8</v>
      </c>
      <c r="D2023" s="20">
        <f>IFERROR(YEAR(INPUT!M2018),"")</f>
        <v>2026</v>
      </c>
      <c r="E2023" t="str">
        <f>IF(INPUT!O2018="","",INPUT!O2018)</f>
        <v>PANI</v>
      </c>
      <c r="F2023" t="str">
        <f>IF(INPUT!N2018="","",INPUT!N2018)</f>
        <v>M</v>
      </c>
      <c r="G2023" t="str" cm="1">
        <f t="array" ref="G2023">IFERROR(VLOOKUP(INPUT!M2018&amp;INPUT!N2018,CHOOSE({1,2},INPUT!$A$3:$A$5000&amp;INPUT!$C$3:$C$5000,INPUT!$F$3:$F$5000),2,FALSE),"")</f>
        <v>PRE-TEMPORADA</v>
      </c>
      <c r="H2023" t="str" cm="1">
        <f t="array" ref="H2023">IFERROR(VLOOKUP(INPUT!M2018&amp;INPUT!N2018,CHOOSE({1,2},INPUT!$A$3:$A$5000&amp;INPUT!$C$3:$C$5000,INPUT!$D$3:$D$5000),2,FALSE),"")</f>
        <v>TEC-TAC</v>
      </c>
      <c r="I2023" s="46">
        <f>IF(INPUT!P2018="","",INPUT!P2018)</f>
        <v>75.3</v>
      </c>
      <c r="J2023" s="46">
        <f>IF(INPUT!Q2018="","",INPUT!Q2018)</f>
        <v>75.099999999999994</v>
      </c>
      <c r="K2023" s="46">
        <f>IFERROR(IF(OR(INPUT!P2018="",INPUT!Q2018=""),"",INPUT!P2018-INPUT!Q2018),"")</f>
        <v>0.20000000000000284</v>
      </c>
      <c r="L2023" s="48">
        <f>IFERROR(IF(OR(INPUT!P2018="",INPUT!Q2018="",INPUT!P2018=0),"",(INPUT!P2018-INPUT!Q2018)/INPUT!P2018),"")</f>
        <v>2.6560424966799849E-3</v>
      </c>
    </row>
    <row r="2024" spans="1:12" ht="18" hidden="1" customHeight="1" x14ac:dyDescent="0.2">
      <c r="A2024" s="11">
        <f>IF(INPUT!M2019="","",INPUT!M2019)</f>
        <v>46069</v>
      </c>
      <c r="B2024" s="11">
        <f>IF(INPUT!M2019="","",INPUT!M2019-WEEKDAY(INPUT!M2019,2)+1)</f>
        <v>46069</v>
      </c>
      <c r="C2024" s="20">
        <f>IFERROR(_xlfn.ISOWEEKNUM(INPUT!M2019),"")</f>
        <v>8</v>
      </c>
      <c r="D2024" s="20">
        <f>IFERROR(YEAR(INPUT!M2019),"")</f>
        <v>2026</v>
      </c>
      <c r="E2024" t="str">
        <f>IF(INPUT!O2019="","",INPUT!O2019)</f>
        <v>PIRATA</v>
      </c>
      <c r="F2024" t="str">
        <f>IF(INPUT!N2019="","",INPUT!N2019)</f>
        <v>M</v>
      </c>
      <c r="G2024" t="str" cm="1">
        <f t="array" ref="G2024">IFERROR(VLOOKUP(INPUT!M2019&amp;INPUT!N2019,CHOOSE({1,2},INPUT!$A$3:$A$5000&amp;INPUT!$C$3:$C$5000,INPUT!$F$3:$F$5000),2,FALSE),"")</f>
        <v>PRE-TEMPORADA</v>
      </c>
      <c r="H2024" t="str" cm="1">
        <f t="array" ref="H2024">IFERROR(VLOOKUP(INPUT!M2019&amp;INPUT!N2019,CHOOSE({1,2},INPUT!$A$3:$A$5000&amp;INPUT!$C$3:$C$5000,INPUT!$D$3:$D$5000),2,FALSE),"")</f>
        <v>TEC-TAC</v>
      </c>
      <c r="I2024" s="46">
        <f>IF(INPUT!P2019="","",INPUT!P2019)</f>
        <v>72</v>
      </c>
      <c r="J2024" s="46">
        <f>IF(INPUT!Q2019="","",INPUT!Q2019)</f>
        <v>72</v>
      </c>
      <c r="K2024" s="46">
        <f>IFERROR(IF(OR(INPUT!P2019="",INPUT!Q2019=""),"",INPUT!P2019-INPUT!Q2019),"")</f>
        <v>0</v>
      </c>
      <c r="L2024" s="48">
        <f>IFERROR(IF(OR(INPUT!P2019="",INPUT!Q2019="",INPUT!P2019=0),"",(INPUT!P2019-INPUT!Q2019)/INPUT!P2019),"")</f>
        <v>0</v>
      </c>
    </row>
    <row r="2025" spans="1:12" ht="18" hidden="1" customHeight="1" x14ac:dyDescent="0.2">
      <c r="A2025" s="11">
        <f>IF(INPUT!M2020="","",INPUT!M2020)</f>
        <v>46069</v>
      </c>
      <c r="B2025" s="11">
        <f>IF(INPUT!M2020="","",INPUT!M2020-WEEKDAY(INPUT!M2020,2)+1)</f>
        <v>46069</v>
      </c>
      <c r="C2025" s="20">
        <f>IFERROR(_xlfn.ISOWEEKNUM(INPUT!M2020),"")</f>
        <v>8</v>
      </c>
      <c r="D2025" s="20">
        <f>IFERROR(YEAR(INPUT!M2020),"")</f>
        <v>2026</v>
      </c>
      <c r="E2025" t="str">
        <f>IF(INPUT!O2020="","",INPUT!O2020)</f>
        <v>BARONA</v>
      </c>
      <c r="F2025" t="str">
        <f>IF(INPUT!N2020="","",INPUT!N2020)</f>
        <v>M</v>
      </c>
      <c r="G2025" t="str" cm="1">
        <f t="array" ref="G2025">IFERROR(VLOOKUP(INPUT!M2020&amp;INPUT!N2020,CHOOSE({1,2},INPUT!$A$3:$A$5000&amp;INPUT!$C$3:$C$5000,INPUT!$F$3:$F$5000),2,FALSE),"")</f>
        <v>PRE-TEMPORADA</v>
      </c>
      <c r="H2025" t="str" cm="1">
        <f t="array" ref="H2025">IFERROR(VLOOKUP(INPUT!M2020&amp;INPUT!N2020,CHOOSE({1,2},INPUT!$A$3:$A$5000&amp;INPUT!$C$3:$C$5000,INPUT!$D$3:$D$5000),2,FALSE),"")</f>
        <v>TEC-TAC</v>
      </c>
      <c r="I2025" s="46">
        <f>IF(INPUT!P2020="","",INPUT!P2020)</f>
        <v>68</v>
      </c>
      <c r="J2025" s="46">
        <f>IF(INPUT!Q2020="","",INPUT!Q2020)</f>
        <v>67.8</v>
      </c>
      <c r="K2025" s="46">
        <f>IFERROR(IF(OR(INPUT!P2020="",INPUT!Q2020=""),"",INPUT!P2020-INPUT!Q2020),"")</f>
        <v>0.20000000000000284</v>
      </c>
      <c r="L2025" s="48">
        <f>IFERROR(IF(OR(INPUT!P2020="",INPUT!Q2020="",INPUT!P2020=0),"",(INPUT!P2020-INPUT!Q2020)/INPUT!P2020),"")</f>
        <v>2.9411764705882769E-3</v>
      </c>
    </row>
    <row r="2026" spans="1:12" ht="18" hidden="1" customHeight="1" x14ac:dyDescent="0.2">
      <c r="A2026" s="11">
        <f>IF(INPUT!M2021="","",INPUT!M2021)</f>
        <v>46069</v>
      </c>
      <c r="B2026" s="11">
        <f>IF(INPUT!M2021="","",INPUT!M2021-WEEKDAY(INPUT!M2021,2)+1)</f>
        <v>46069</v>
      </c>
      <c r="C2026" s="20">
        <f>IFERROR(_xlfn.ISOWEEKNUM(INPUT!M2021),"")</f>
        <v>8</v>
      </c>
      <c r="D2026" s="20">
        <f>IFERROR(YEAR(INPUT!M2021),"")</f>
        <v>2026</v>
      </c>
      <c r="E2026" t="str">
        <f>IF(INPUT!O2021="","",INPUT!O2021)</f>
        <v>CARLOS</v>
      </c>
      <c r="F2026" t="str">
        <f>IF(INPUT!N2021="","",INPUT!N2021)</f>
        <v>M</v>
      </c>
      <c r="G2026" t="str" cm="1">
        <f t="array" ref="G2026">IFERROR(VLOOKUP(INPUT!M2021&amp;INPUT!N2021,CHOOSE({1,2},INPUT!$A$3:$A$5000&amp;INPUT!$C$3:$C$5000,INPUT!$F$3:$F$5000),2,FALSE),"")</f>
        <v>PRE-TEMPORADA</v>
      </c>
      <c r="H2026" t="str" cm="1">
        <f t="array" ref="H2026">IFERROR(VLOOKUP(INPUT!M2021&amp;INPUT!N2021,CHOOSE({1,2},INPUT!$A$3:$A$5000&amp;INPUT!$C$3:$C$5000,INPUT!$D$3:$D$5000),2,FALSE),"")</f>
        <v>TEC-TAC</v>
      </c>
      <c r="I2026" s="46">
        <f>IF(INPUT!P2021="","",INPUT!P2021)</f>
        <v>68</v>
      </c>
      <c r="J2026" s="46">
        <f>IF(INPUT!Q2021="","",INPUT!Q2021)</f>
        <v>67.8</v>
      </c>
      <c r="K2026" s="46">
        <f>IFERROR(IF(OR(INPUT!P2021="",INPUT!Q2021=""),"",INPUT!P2021-INPUT!Q2021),"")</f>
        <v>0.20000000000000284</v>
      </c>
      <c r="L2026" s="48">
        <f>IFERROR(IF(OR(INPUT!P2021="",INPUT!Q2021="",INPUT!P2021=0),"",(INPUT!P2021-INPUT!Q2021)/INPUT!P2021),"")</f>
        <v>2.9411764705882769E-3</v>
      </c>
    </row>
    <row r="2027" spans="1:12" ht="18" hidden="1" customHeight="1" x14ac:dyDescent="0.2">
      <c r="A2027" s="11">
        <f>IF(INPUT!M2022="","",INPUT!M2022)</f>
        <v>46069</v>
      </c>
      <c r="B2027" s="11">
        <f>IF(INPUT!M2022="","",INPUT!M2022-WEEKDAY(INPUT!M2022,2)+1)</f>
        <v>46069</v>
      </c>
      <c r="C2027" s="20">
        <f>IFERROR(_xlfn.ISOWEEKNUM(INPUT!M2022),"")</f>
        <v>8</v>
      </c>
      <c r="D2027" s="20">
        <f>IFERROR(YEAR(INPUT!M2022),"")</f>
        <v>2026</v>
      </c>
      <c r="E2027" t="str">
        <f>IF(INPUT!O2022="","",INPUT!O2022)</f>
        <v>DANI</v>
      </c>
      <c r="F2027" t="str">
        <f>IF(INPUT!N2022="","",INPUT!N2022)</f>
        <v>M</v>
      </c>
      <c r="G2027" t="str" cm="1">
        <f t="array" ref="G2027">IFERROR(VLOOKUP(INPUT!M2022&amp;INPUT!N2022,CHOOSE({1,2},INPUT!$A$3:$A$5000&amp;INPUT!$C$3:$C$5000,INPUT!$F$3:$F$5000),2,FALSE),"")</f>
        <v>PRE-TEMPORADA</v>
      </c>
      <c r="H2027" t="str" cm="1">
        <f t="array" ref="H2027">IFERROR(VLOOKUP(INPUT!M2022&amp;INPUT!N2022,CHOOSE({1,2},INPUT!$A$3:$A$5000&amp;INPUT!$C$3:$C$5000,INPUT!$D$3:$D$5000),2,FALSE),"")</f>
        <v>TEC-TAC</v>
      </c>
      <c r="I2027" s="46">
        <f>IF(INPUT!P2022="","",INPUT!P2022)</f>
        <v>91.9</v>
      </c>
      <c r="J2027" s="46">
        <f>IF(INPUT!Q2022="","",INPUT!Q2022)</f>
        <v>81.3</v>
      </c>
      <c r="K2027" s="46">
        <f>IFERROR(IF(OR(INPUT!P2022="",INPUT!Q2022=""),"",INPUT!P2022-INPUT!Q2022),"")</f>
        <v>10.600000000000009</v>
      </c>
      <c r="L2027" s="48">
        <f>IFERROR(IF(OR(INPUT!P2022="",INPUT!Q2022="",INPUT!P2022=0),"",(INPUT!P2022-INPUT!Q2022)/INPUT!P2022),"")</f>
        <v>0.11534276387377593</v>
      </c>
    </row>
    <row r="2028" spans="1:12" ht="18" customHeight="1" x14ac:dyDescent="0.2">
      <c r="A2028" s="11">
        <f>IF(INPUT!M2023="","",INPUT!M2023)</f>
        <v>46069</v>
      </c>
      <c r="B2028" s="11">
        <f>IF(INPUT!M2023="","",INPUT!M2023-WEEKDAY(INPUT!M2023,2)+1)</f>
        <v>46069</v>
      </c>
      <c r="C2028" s="20">
        <f>IFERROR(_xlfn.ISOWEEKNUM(INPUT!M2023),"")</f>
        <v>8</v>
      </c>
      <c r="D2028" s="20">
        <f>IFERROR(YEAR(INPUT!M2023),"")</f>
        <v>2026</v>
      </c>
      <c r="E2028" t="str">
        <f>IF(INPUT!O2023="","",INPUT!O2023)</f>
        <v>JAIME</v>
      </c>
      <c r="F2028" t="str">
        <f>IF(INPUT!N2023="","",INPUT!N2023)</f>
        <v>M</v>
      </c>
      <c r="G2028" t="str" cm="1">
        <f t="array" ref="G2028">IFERROR(VLOOKUP(INPUT!M2023&amp;INPUT!N2023,CHOOSE({1,2},INPUT!$A$3:$A$5000&amp;INPUT!$C$3:$C$5000,INPUT!$F$3:$F$5000),2,FALSE),"")</f>
        <v>PRE-TEMPORADA</v>
      </c>
      <c r="H2028" t="str" cm="1">
        <f t="array" ref="H2028">IFERROR(VLOOKUP(INPUT!M2023&amp;INPUT!N2023,CHOOSE({1,2},INPUT!$A$3:$A$5000&amp;INPUT!$C$3:$C$5000,INPUT!$D$3:$D$5000),2,FALSE),"")</f>
        <v>TEC-TAC</v>
      </c>
      <c r="I2028" s="46">
        <f>IF(INPUT!P2023="","",INPUT!P2023)</f>
        <v>74.8</v>
      </c>
      <c r="J2028" s="46">
        <f>IF(INPUT!Q2023="","",INPUT!Q2023)</f>
        <v>75</v>
      </c>
      <c r="K2028" s="46">
        <f>IFERROR(IF(OR(INPUT!P2023="",INPUT!Q2023=""),"",INPUT!P2023-INPUT!Q2023),"")</f>
        <v>-0.20000000000000284</v>
      </c>
      <c r="L2028" s="48">
        <f>IFERROR(IF(OR(INPUT!P2023="",INPUT!Q2023="",INPUT!P2023=0),"",(INPUT!P2023-INPUT!Q2023)/INPUT!P2023),"")</f>
        <v>-2.6737967914438883E-3</v>
      </c>
    </row>
    <row r="2029" spans="1:12" ht="18" customHeight="1" x14ac:dyDescent="0.2">
      <c r="A2029" s="11">
        <f>IF(INPUT!M2024="","",INPUT!M2024)</f>
        <v>46072</v>
      </c>
      <c r="B2029" s="11">
        <f>IF(INPUT!M2024="","",INPUT!M2024-WEEKDAY(INPUT!M2024,2)+1)</f>
        <v>46069</v>
      </c>
      <c r="C2029" s="20">
        <f>IFERROR(_xlfn.ISOWEEKNUM(INPUT!M2024),"")</f>
        <v>8</v>
      </c>
      <c r="D2029" s="20">
        <f>IFERROR(YEAR(INPUT!M2024),"")</f>
        <v>2026</v>
      </c>
      <c r="E2029" t="str">
        <f>IF(INPUT!O2024="","",INPUT!O2024)</f>
        <v>HERRERO</v>
      </c>
      <c r="F2029" t="str">
        <f>IF(INPUT!N2024="","",INPUT!N2024)</f>
        <v>M</v>
      </c>
      <c r="G2029" t="str" cm="1">
        <f t="array" ref="G2029">IFERROR(VLOOKUP(INPUT!M2024&amp;INPUT!N2024,CHOOSE({1,2},INPUT!$A$3:$A$5000&amp;INPUT!$C$3:$C$5000,INPUT!$F$3:$F$5000),2,FALSE),"")</f>
        <v>PRE-TEMPORADA</v>
      </c>
      <c r="H2029" t="str" cm="1">
        <f t="array" ref="H2029">IFERROR(VLOOKUP(INPUT!M2024&amp;INPUT!N2024,CHOOSE({1,2},INPUT!$A$3:$A$5000&amp;INPUT!$C$3:$C$5000,INPUT!$D$3:$D$5000),2,FALSE),"")</f>
        <v>TEC-TAC</v>
      </c>
      <c r="I2029" s="46">
        <f>IF(INPUT!P2024="","",INPUT!P2024)</f>
        <v>77</v>
      </c>
      <c r="J2029" s="46">
        <f>IF(INPUT!Q2024="","",INPUT!Q2024)</f>
        <v>76.8</v>
      </c>
      <c r="K2029" s="46">
        <f>IFERROR(IF(OR(INPUT!P2024="",INPUT!Q2024=""),"",INPUT!P2024-INPUT!Q2024),"")</f>
        <v>0.20000000000000284</v>
      </c>
      <c r="L2029" s="48">
        <f>IFERROR(IF(OR(INPUT!P2024="",INPUT!Q2024="",INPUT!P2024=0),"",(INPUT!P2024-INPUT!Q2024)/INPUT!P2024),"")</f>
        <v>2.5974025974026343E-3</v>
      </c>
    </row>
    <row r="2030" spans="1:12" ht="18" customHeight="1" x14ac:dyDescent="0.2">
      <c r="A2030" s="11">
        <f>IF(INPUT!M2025="","",INPUT!M2025)</f>
        <v>46072</v>
      </c>
      <c r="B2030" s="11">
        <f>IF(INPUT!M2025="","",INPUT!M2025-WEEKDAY(INPUT!M2025,2)+1)</f>
        <v>46069</v>
      </c>
      <c r="C2030" s="20">
        <f>IFERROR(_xlfn.ISOWEEKNUM(INPUT!M2025),"")</f>
        <v>8</v>
      </c>
      <c r="D2030" s="20">
        <f>IFERROR(YEAR(INPUT!M2025),"")</f>
        <v>2026</v>
      </c>
      <c r="E2030" t="str">
        <f>IF(INPUT!O2025="","",INPUT!O2025)</f>
        <v>GARCIA</v>
      </c>
      <c r="F2030" t="str">
        <f>IF(INPUT!N2025="","",INPUT!N2025)</f>
        <v>M</v>
      </c>
      <c r="G2030" t="str" cm="1">
        <f t="array" ref="G2030">IFERROR(VLOOKUP(INPUT!M2025&amp;INPUT!N2025,CHOOSE({1,2},INPUT!$A$3:$A$5000&amp;INPUT!$C$3:$C$5000,INPUT!$F$3:$F$5000),2,FALSE),"")</f>
        <v>PRE-TEMPORADA</v>
      </c>
      <c r="H2030" t="str" cm="1">
        <f t="array" ref="H2030">IFERROR(VLOOKUP(INPUT!M2025&amp;INPUT!N2025,CHOOSE({1,2},INPUT!$A$3:$A$5000&amp;INPUT!$C$3:$C$5000,INPUT!$D$3:$D$5000),2,FALSE),"")</f>
        <v>TEC-TAC</v>
      </c>
      <c r="I2030" s="46">
        <f>IF(INPUT!P2025="","",INPUT!P2025)</f>
        <v>79.400000000000006</v>
      </c>
      <c r="J2030" s="46">
        <f>IF(INPUT!Q2025="","",INPUT!Q2025)</f>
        <v>79.099999999999994</v>
      </c>
      <c r="K2030" s="46">
        <f>IFERROR(IF(OR(INPUT!P2025="",INPUT!Q2025=""),"",INPUT!P2025-INPUT!Q2025),"")</f>
        <v>0.30000000000001137</v>
      </c>
      <c r="L2030" s="48">
        <f>IFERROR(IF(OR(INPUT!P2025="",INPUT!Q2025="",INPUT!P2025=0),"",(INPUT!P2025-INPUT!Q2025)/INPUT!P2025),"")</f>
        <v>3.7783375314862891E-3</v>
      </c>
    </row>
    <row r="2031" spans="1:12" ht="18" hidden="1" customHeight="1" x14ac:dyDescent="0.2">
      <c r="A2031" s="11">
        <f>IF(INPUT!M2026="","",INPUT!M2026)</f>
        <v>46072</v>
      </c>
      <c r="B2031" s="11">
        <f>IF(INPUT!M2026="","",INPUT!M2026-WEEKDAY(INPUT!M2026,2)+1)</f>
        <v>46069</v>
      </c>
      <c r="C2031" s="20">
        <f>IFERROR(_xlfn.ISOWEEKNUM(INPUT!M2026),"")</f>
        <v>8</v>
      </c>
      <c r="D2031" s="20">
        <f>IFERROR(YEAR(INPUT!M2026),"")</f>
        <v>2026</v>
      </c>
      <c r="E2031" t="str">
        <f>IF(INPUT!O2026="","",INPUT!O2026)</f>
        <v>CHAGUINHA</v>
      </c>
      <c r="F2031" t="str">
        <f>IF(INPUT!N2026="","",INPUT!N2026)</f>
        <v>M</v>
      </c>
      <c r="G2031" t="str" cm="1">
        <f t="array" ref="G2031">IFERROR(VLOOKUP(INPUT!M2026&amp;INPUT!N2026,CHOOSE({1,2},INPUT!$A$3:$A$5000&amp;INPUT!$C$3:$C$5000,INPUT!$F$3:$F$5000),2,FALSE),"")</f>
        <v>PRE-TEMPORADA</v>
      </c>
      <c r="H2031" t="str" cm="1">
        <f t="array" ref="H2031">IFERROR(VLOOKUP(INPUT!M2026&amp;INPUT!N2026,CHOOSE({1,2},INPUT!$A$3:$A$5000&amp;INPUT!$C$3:$C$5000,INPUT!$D$3:$D$5000),2,FALSE),"")</f>
        <v>TEC-TAC</v>
      </c>
      <c r="I2031" s="46">
        <f>IF(INPUT!P2026="","",INPUT!P2026)</f>
        <v>69</v>
      </c>
      <c r="J2031" s="46">
        <f>IF(INPUT!Q2026="","",INPUT!Q2026)</f>
        <v>68.7</v>
      </c>
      <c r="K2031" s="46">
        <f>IFERROR(IF(OR(INPUT!P2026="",INPUT!Q2026=""),"",INPUT!P2026-INPUT!Q2026),"")</f>
        <v>0.29999999999999716</v>
      </c>
      <c r="L2031" s="48">
        <f>IFERROR(IF(OR(INPUT!P2026="",INPUT!Q2026="",INPUT!P2026=0),"",(INPUT!P2026-INPUT!Q2026)/INPUT!P2026),"")</f>
        <v>4.3478260869564802E-3</v>
      </c>
    </row>
    <row r="2032" spans="1:12" ht="18" hidden="1" customHeight="1" x14ac:dyDescent="0.2">
      <c r="A2032" s="11">
        <f>IF(INPUT!M2027="","",INPUT!M2027)</f>
        <v>46072</v>
      </c>
      <c r="B2032" s="11">
        <f>IF(INPUT!M2027="","",INPUT!M2027-WEEKDAY(INPUT!M2027,2)+1)</f>
        <v>46069</v>
      </c>
      <c r="C2032" s="20">
        <f>IFERROR(_xlfn.ISOWEEKNUM(INPUT!M2027),"")</f>
        <v>8</v>
      </c>
      <c r="D2032" s="20">
        <f>IFERROR(YEAR(INPUT!M2027),"")</f>
        <v>2026</v>
      </c>
      <c r="E2032" t="str">
        <f>IF(INPUT!O2027="","",INPUT!O2027)</f>
        <v>RAUL</v>
      </c>
      <c r="F2032" t="str">
        <f>IF(INPUT!N2027="","",INPUT!N2027)</f>
        <v>M</v>
      </c>
      <c r="G2032" t="str" cm="1">
        <f t="array" ref="G2032">IFERROR(VLOOKUP(INPUT!M2027&amp;INPUT!N2027,CHOOSE({1,2},INPUT!$A$3:$A$5000&amp;INPUT!$C$3:$C$5000,INPUT!$F$3:$F$5000),2,FALSE),"")</f>
        <v>PRE-TEMPORADA</v>
      </c>
      <c r="H2032" t="str" cm="1">
        <f t="array" ref="H2032">IFERROR(VLOOKUP(INPUT!M2027&amp;INPUT!N2027,CHOOSE({1,2},INPUT!$A$3:$A$5000&amp;INPUT!$C$3:$C$5000,INPUT!$D$3:$D$5000),2,FALSE),"")</f>
        <v>TEC-TAC</v>
      </c>
      <c r="I2032" s="46">
        <f>IF(INPUT!P2027="","",INPUT!P2027)</f>
        <v>79.5</v>
      </c>
      <c r="J2032" s="46">
        <f>IF(INPUT!Q2027="","",INPUT!Q2027)</f>
        <v>81</v>
      </c>
      <c r="K2032" s="46">
        <f>IFERROR(IF(OR(INPUT!P2027="",INPUT!Q2027=""),"",INPUT!P2027-INPUT!Q2027),"")</f>
        <v>-1.5</v>
      </c>
      <c r="L2032" s="48">
        <f>IFERROR(IF(OR(INPUT!P2027="",INPUT!Q2027="",INPUT!P2027=0),"",(INPUT!P2027-INPUT!Q2027)/INPUT!P2027),"")</f>
        <v>-1.8867924528301886E-2</v>
      </c>
    </row>
    <row r="2033" spans="1:12" ht="18" hidden="1" customHeight="1" x14ac:dyDescent="0.2">
      <c r="A2033" s="11">
        <f>IF(INPUT!M2028="","",INPUT!M2028)</f>
        <v>46072</v>
      </c>
      <c r="B2033" s="11">
        <f>IF(INPUT!M2028="","",INPUT!M2028-WEEKDAY(INPUT!M2028,2)+1)</f>
        <v>46069</v>
      </c>
      <c r="C2033" s="20">
        <f>IFERROR(_xlfn.ISOWEEKNUM(INPUT!M2028),"")</f>
        <v>8</v>
      </c>
      <c r="D2033" s="20">
        <f>IFERROR(YEAR(INPUT!M2028),"")</f>
        <v>2026</v>
      </c>
      <c r="E2033" t="str">
        <f>IF(INPUT!O2028="","",INPUT!O2028)</f>
        <v>HARRISON</v>
      </c>
      <c r="F2033" t="str">
        <f>IF(INPUT!N2028="","",INPUT!N2028)</f>
        <v>M</v>
      </c>
      <c r="G2033" t="str" cm="1">
        <f t="array" ref="G2033">IFERROR(VLOOKUP(INPUT!M2028&amp;INPUT!N2028,CHOOSE({1,2},INPUT!$A$3:$A$5000&amp;INPUT!$C$3:$C$5000,INPUT!$F$3:$F$5000),2,FALSE),"")</f>
        <v>PRE-TEMPORADA</v>
      </c>
      <c r="H2033" t="str" cm="1">
        <f t="array" ref="H2033">IFERROR(VLOOKUP(INPUT!M2028&amp;INPUT!N2028,CHOOSE({1,2},INPUT!$A$3:$A$5000&amp;INPUT!$C$3:$C$5000,INPUT!$D$3:$D$5000),2,FALSE),"")</f>
        <v>TEC-TAC</v>
      </c>
      <c r="I2033" s="46">
        <f>IF(INPUT!P2028="","",INPUT!P2028)</f>
        <v>72.3</v>
      </c>
      <c r="J2033" s="46">
        <f>IF(INPUT!Q2028="","",INPUT!Q2028)</f>
        <v>72</v>
      </c>
      <c r="K2033" s="46">
        <f>IFERROR(IF(OR(INPUT!P2028="",INPUT!Q2028=""),"",INPUT!P2028-INPUT!Q2028),"")</f>
        <v>0.29999999999999716</v>
      </c>
      <c r="L2033" s="48">
        <f>IFERROR(IF(OR(INPUT!P2028="",INPUT!Q2028="",INPUT!P2028=0),"",(INPUT!P2028-INPUT!Q2028)/INPUT!P2028),"")</f>
        <v>4.1493775933609568E-3</v>
      </c>
    </row>
    <row r="2034" spans="1:12" ht="18" hidden="1" customHeight="1" x14ac:dyDescent="0.2">
      <c r="A2034" s="11">
        <f>IF(INPUT!M2029="","",INPUT!M2029)</f>
        <v>46072</v>
      </c>
      <c r="B2034" s="11">
        <f>IF(INPUT!M2029="","",INPUT!M2029-WEEKDAY(INPUT!M2029,2)+1)</f>
        <v>46069</v>
      </c>
      <c r="C2034" s="20">
        <f>IFERROR(_xlfn.ISOWEEKNUM(INPUT!M2029),"")</f>
        <v>8</v>
      </c>
      <c r="D2034" s="20">
        <f>IFERROR(YEAR(INPUT!M2029),"")</f>
        <v>2026</v>
      </c>
      <c r="E2034" t="str">
        <f>IF(INPUT!O2029="","",INPUT!O2029)</f>
        <v>JAVI</v>
      </c>
      <c r="F2034" t="str">
        <f>IF(INPUT!N2029="","",INPUT!N2029)</f>
        <v>M</v>
      </c>
      <c r="G2034" t="str" cm="1">
        <f t="array" ref="G2034">IFERROR(VLOOKUP(INPUT!M2029&amp;INPUT!N2029,CHOOSE({1,2},INPUT!$A$3:$A$5000&amp;INPUT!$C$3:$C$5000,INPUT!$F$3:$F$5000),2,FALSE),"")</f>
        <v>PRE-TEMPORADA</v>
      </c>
      <c r="H2034" t="str" cm="1">
        <f t="array" ref="H2034">IFERROR(VLOOKUP(INPUT!M2029&amp;INPUT!N2029,CHOOSE({1,2},INPUT!$A$3:$A$5000&amp;INPUT!$C$3:$C$5000,INPUT!$D$3:$D$5000),2,FALSE),"")</f>
        <v>TEC-TAC</v>
      </c>
      <c r="I2034" s="46">
        <f>IF(INPUT!P2029="","",INPUT!P2029)</f>
        <v>79.2</v>
      </c>
      <c r="J2034" s="46">
        <f>IF(INPUT!Q2029="","",INPUT!Q2029)</f>
        <v>79</v>
      </c>
      <c r="K2034" s="46">
        <f>IFERROR(IF(OR(INPUT!P2029="",INPUT!Q2029=""),"",INPUT!P2029-INPUT!Q2029),"")</f>
        <v>0.20000000000000284</v>
      </c>
      <c r="L2034" s="48">
        <f>IFERROR(IF(OR(INPUT!P2029="",INPUT!Q2029="",INPUT!P2029=0),"",(INPUT!P2029-INPUT!Q2029)/INPUT!P2029),"")</f>
        <v>2.525252525252561E-3</v>
      </c>
    </row>
    <row r="2035" spans="1:12" ht="18" hidden="1" customHeight="1" x14ac:dyDescent="0.2">
      <c r="A2035" s="11">
        <f>IF(INPUT!M2030="","",INPUT!M2030)</f>
        <v>46072</v>
      </c>
      <c r="B2035" s="11">
        <f>IF(INPUT!M2030="","",INPUT!M2030-WEEKDAY(INPUT!M2030,2)+1)</f>
        <v>46069</v>
      </c>
      <c r="C2035" s="20">
        <f>IFERROR(_xlfn.ISOWEEKNUM(INPUT!M2030),"")</f>
        <v>8</v>
      </c>
      <c r="D2035" s="20">
        <f>IFERROR(YEAR(INPUT!M2030),"")</f>
        <v>2026</v>
      </c>
      <c r="E2035" t="str">
        <f>IF(INPUT!O2030="","",INPUT!O2030)</f>
        <v>PANI</v>
      </c>
      <c r="F2035" t="str">
        <f>IF(INPUT!N2030="","",INPUT!N2030)</f>
        <v>M</v>
      </c>
      <c r="G2035" t="str" cm="1">
        <f t="array" ref="G2035">IFERROR(VLOOKUP(INPUT!M2030&amp;INPUT!N2030,CHOOSE({1,2},INPUT!$A$3:$A$5000&amp;INPUT!$C$3:$C$5000,INPUT!$F$3:$F$5000),2,FALSE),"")</f>
        <v>PRE-TEMPORADA</v>
      </c>
      <c r="H2035" t="str" cm="1">
        <f t="array" ref="H2035">IFERROR(VLOOKUP(INPUT!M2030&amp;INPUT!N2030,CHOOSE({1,2},INPUT!$A$3:$A$5000&amp;INPUT!$C$3:$C$5000,INPUT!$D$3:$D$5000),2,FALSE),"")</f>
        <v>TEC-TAC</v>
      </c>
      <c r="I2035" s="46">
        <f>IF(INPUT!P2030="","",INPUT!P2030)</f>
        <v>66.400000000000006</v>
      </c>
      <c r="J2035" s="46">
        <f>IF(INPUT!Q2030="","",INPUT!Q2030)</f>
        <v>65.5</v>
      </c>
      <c r="K2035" s="46">
        <f>IFERROR(IF(OR(INPUT!P2030="",INPUT!Q2030=""),"",INPUT!P2030-INPUT!Q2030),"")</f>
        <v>0.90000000000000568</v>
      </c>
      <c r="L2035" s="48">
        <f>IFERROR(IF(OR(INPUT!P2030="",INPUT!Q2030="",INPUT!P2030=0),"",(INPUT!P2030-INPUT!Q2030)/INPUT!P2030),"")</f>
        <v>1.3554216867469965E-2</v>
      </c>
    </row>
    <row r="2036" spans="1:12" ht="18" hidden="1" customHeight="1" x14ac:dyDescent="0.2">
      <c r="A2036" s="11">
        <f>IF(INPUT!M2031="","",INPUT!M2031)</f>
        <v>46072</v>
      </c>
      <c r="B2036" s="11">
        <f>IF(INPUT!M2031="","",INPUT!M2031-WEEKDAY(INPUT!M2031,2)+1)</f>
        <v>46069</v>
      </c>
      <c r="C2036" s="20">
        <f>IFERROR(_xlfn.ISOWEEKNUM(INPUT!M2031),"")</f>
        <v>8</v>
      </c>
      <c r="D2036" s="20">
        <f>IFERROR(YEAR(INPUT!M2031),"")</f>
        <v>2026</v>
      </c>
      <c r="E2036" t="str">
        <f>IF(INPUT!O2031="","",INPUT!O2031)</f>
        <v>PIRATA</v>
      </c>
      <c r="F2036" t="str">
        <f>IF(INPUT!N2031="","",INPUT!N2031)</f>
        <v>M</v>
      </c>
      <c r="G2036" t="str" cm="1">
        <f t="array" ref="G2036">IFERROR(VLOOKUP(INPUT!M2031&amp;INPUT!N2031,CHOOSE({1,2},INPUT!$A$3:$A$5000&amp;INPUT!$C$3:$C$5000,INPUT!$F$3:$F$5000),2,FALSE),"")</f>
        <v>PRE-TEMPORADA</v>
      </c>
      <c r="H2036" t="str" cm="1">
        <f t="array" ref="H2036">IFERROR(VLOOKUP(INPUT!M2031&amp;INPUT!N2031,CHOOSE({1,2},INPUT!$A$3:$A$5000&amp;INPUT!$C$3:$C$5000,INPUT!$D$3:$D$5000),2,FALSE),"")</f>
        <v>TEC-TAC</v>
      </c>
      <c r="I2036" s="46">
        <f>IF(INPUT!P2031="","",INPUT!P2031)</f>
        <v>75.099999999999994</v>
      </c>
      <c r="J2036" s="46">
        <f>IF(INPUT!Q2031="","",INPUT!Q2031)</f>
        <v>75.2</v>
      </c>
      <c r="K2036" s="46">
        <f>IFERROR(IF(OR(INPUT!P2031="",INPUT!Q2031=""),"",INPUT!P2031-INPUT!Q2031),"")</f>
        <v>-0.10000000000000853</v>
      </c>
      <c r="L2036" s="48">
        <f>IFERROR(IF(OR(INPUT!P2031="",INPUT!Q2031="",INPUT!P2031=0),"",(INPUT!P2031-INPUT!Q2031)/INPUT!P2031),"")</f>
        <v>-1.3315579227697542E-3</v>
      </c>
    </row>
    <row r="2037" spans="1:12" ht="18" hidden="1" customHeight="1" x14ac:dyDescent="0.2">
      <c r="A2037" s="11">
        <f>IF(INPUT!M2032="","",INPUT!M2032)</f>
        <v>46072</v>
      </c>
      <c r="B2037" s="11">
        <f>IF(INPUT!M2032="","",INPUT!M2032-WEEKDAY(INPUT!M2032,2)+1)</f>
        <v>46069</v>
      </c>
      <c r="C2037" s="20">
        <f>IFERROR(_xlfn.ISOWEEKNUM(INPUT!M2032),"")</f>
        <v>8</v>
      </c>
      <c r="D2037" s="20">
        <f>IFERROR(YEAR(INPUT!M2032),"")</f>
        <v>2026</v>
      </c>
      <c r="E2037" t="str">
        <f>IF(INPUT!O2032="","",INPUT!O2032)</f>
        <v>BARONA</v>
      </c>
      <c r="F2037" t="str">
        <f>IF(INPUT!N2032="","",INPUT!N2032)</f>
        <v>M</v>
      </c>
      <c r="G2037" t="str" cm="1">
        <f t="array" ref="G2037">IFERROR(VLOOKUP(INPUT!M2032&amp;INPUT!N2032,CHOOSE({1,2},INPUT!$A$3:$A$5000&amp;INPUT!$C$3:$C$5000,INPUT!$F$3:$F$5000),2,FALSE),"")</f>
        <v>PRE-TEMPORADA</v>
      </c>
      <c r="H2037" t="str" cm="1">
        <f t="array" ref="H2037">IFERROR(VLOOKUP(INPUT!M2032&amp;INPUT!N2032,CHOOSE({1,2},INPUT!$A$3:$A$5000&amp;INPUT!$C$3:$C$5000,INPUT!$D$3:$D$5000),2,FALSE),"")</f>
        <v>TEC-TAC</v>
      </c>
      <c r="I2037" s="46">
        <f>IF(INPUT!P2032="","",INPUT!P2032)</f>
        <v>71.8</v>
      </c>
      <c r="J2037" s="46">
        <f>IF(INPUT!Q2032="","",INPUT!Q2032)</f>
        <v>71.7</v>
      </c>
      <c r="K2037" s="46">
        <f>IFERROR(IF(OR(INPUT!P2032="",INPUT!Q2032=""),"",INPUT!P2032-INPUT!Q2032),"")</f>
        <v>9.9999999999994316E-2</v>
      </c>
      <c r="L2037" s="48">
        <f>IFERROR(IF(OR(INPUT!P2032="",INPUT!Q2032="",INPUT!P2032=0),"",(INPUT!P2032-INPUT!Q2032)/INPUT!P2032),"")</f>
        <v>1.3927576601670518E-3</v>
      </c>
    </row>
    <row r="2038" spans="1:12" ht="18" customHeight="1" x14ac:dyDescent="0.2">
      <c r="A2038" s="11">
        <f>IF(INPUT!M2033="","",INPUT!M2033)</f>
        <v>46072</v>
      </c>
      <c r="B2038" s="11">
        <f>IF(INPUT!M2033="","",INPUT!M2033-WEEKDAY(INPUT!M2033,2)+1)</f>
        <v>46069</v>
      </c>
      <c r="C2038" s="20">
        <f>IFERROR(_xlfn.ISOWEEKNUM(INPUT!M2033),"")</f>
        <v>8</v>
      </c>
      <c r="D2038" s="20">
        <f>IFERROR(YEAR(INPUT!M2033),"")</f>
        <v>2026</v>
      </c>
      <c r="E2038" t="str">
        <f>IF(INPUT!O2033="","",INPUT!O2033)</f>
        <v>CARLOS</v>
      </c>
      <c r="F2038" t="str">
        <f>IF(INPUT!N2033="","",INPUT!N2033)</f>
        <v>M</v>
      </c>
      <c r="G2038" t="str" cm="1">
        <f t="array" ref="G2038">IFERROR(VLOOKUP(INPUT!M2033&amp;INPUT!N2033,CHOOSE({1,2},INPUT!$A$3:$A$5000&amp;INPUT!$C$3:$C$5000,INPUT!$F$3:$F$5000),2,FALSE),"")</f>
        <v>PRE-TEMPORADA</v>
      </c>
      <c r="H2038" t="str" cm="1">
        <f t="array" ref="H2038">IFERROR(VLOOKUP(INPUT!M2033&amp;INPUT!N2033,CHOOSE({1,2},INPUT!$A$3:$A$5000&amp;INPUT!$C$3:$C$5000,INPUT!$D$3:$D$5000),2,FALSE),"")</f>
        <v>TEC-TAC</v>
      </c>
      <c r="I2038" s="46">
        <f>IF(INPUT!P2033="","",INPUT!P2033)</f>
        <v>68.400000000000006</v>
      </c>
      <c r="J2038" s="46">
        <f>IF(INPUT!Q2033="","",INPUT!Q2033)</f>
        <v>67.400000000000006</v>
      </c>
      <c r="K2038" s="46">
        <f>IFERROR(IF(OR(INPUT!P2033="",INPUT!Q2033=""),"",INPUT!P2033-INPUT!Q2033),"")</f>
        <v>1</v>
      </c>
      <c r="L2038" s="48">
        <f>IFERROR(IF(OR(INPUT!P2033="",INPUT!Q2033="",INPUT!P2033=0),"",(INPUT!P2033-INPUT!Q2033)/INPUT!P2033),"")</f>
        <v>1.4619883040935672E-2</v>
      </c>
    </row>
    <row r="2039" spans="1:12" ht="18" customHeight="1" x14ac:dyDescent="0.2">
      <c r="A2039" s="11">
        <f>IF(INPUT!M2034="","",INPUT!M2034)</f>
        <v>46072</v>
      </c>
      <c r="B2039" s="11">
        <f>IF(INPUT!M2034="","",INPUT!M2034-WEEKDAY(INPUT!M2034,2)+1)</f>
        <v>46069</v>
      </c>
      <c r="C2039" s="20">
        <f>IFERROR(_xlfn.ISOWEEKNUM(INPUT!M2034),"")</f>
        <v>8</v>
      </c>
      <c r="D2039" s="20">
        <f>IFERROR(YEAR(INPUT!M2034),"")</f>
        <v>2026</v>
      </c>
      <c r="E2039" t="str">
        <f>IF(INPUT!O2034="","",INPUT!O2034)</f>
        <v>GONZALO</v>
      </c>
      <c r="F2039" t="str">
        <f>IF(INPUT!N2034="","",INPUT!N2034)</f>
        <v>M</v>
      </c>
      <c r="G2039" t="str" cm="1">
        <f t="array" ref="G2039">IFERROR(VLOOKUP(INPUT!M2034&amp;INPUT!N2034,CHOOSE({1,2},INPUT!$A$3:$A$5000&amp;INPUT!$C$3:$C$5000,INPUT!$F$3:$F$5000),2,FALSE),"")</f>
        <v>PRE-TEMPORADA</v>
      </c>
      <c r="H2039" t="str" cm="1">
        <f t="array" ref="H2039">IFERROR(VLOOKUP(INPUT!M2034&amp;INPUT!N2034,CHOOSE({1,2},INPUT!$A$3:$A$5000&amp;INPUT!$C$3:$C$5000,INPUT!$D$3:$D$5000),2,FALSE),"")</f>
        <v>TEC-TAC</v>
      </c>
      <c r="I2039" s="46">
        <f>IF(INPUT!P2034="","",INPUT!P2034)</f>
        <v>83</v>
      </c>
      <c r="J2039" s="46">
        <f>IF(INPUT!Q2034="","",INPUT!Q2034)</f>
        <v>82.9</v>
      </c>
      <c r="K2039" s="46">
        <f>IFERROR(IF(OR(INPUT!P2034="",INPUT!Q2034=""),"",INPUT!P2034-INPUT!Q2034),"")</f>
        <v>9.9999999999994316E-2</v>
      </c>
      <c r="L2039" s="48">
        <f>IFERROR(IF(OR(INPUT!P2034="",INPUT!Q2034="",INPUT!P2034=0),"",(INPUT!P2034-INPUT!Q2034)/INPUT!P2034),"")</f>
        <v>1.2048192771083653E-3</v>
      </c>
    </row>
    <row r="2040" spans="1:12" ht="18" customHeight="1" x14ac:dyDescent="0.2">
      <c r="A2040" s="11">
        <f>IF(INPUT!M2035="","",INPUT!M2035)</f>
        <v>46072</v>
      </c>
      <c r="B2040" s="11">
        <f>IF(INPUT!M2035="","",INPUT!M2035-WEEKDAY(INPUT!M2035,2)+1)</f>
        <v>46069</v>
      </c>
      <c r="C2040" s="20">
        <f>IFERROR(_xlfn.ISOWEEKNUM(INPUT!M2035),"")</f>
        <v>8</v>
      </c>
      <c r="D2040" s="20">
        <f>IFERROR(YEAR(INPUT!M2035),"")</f>
        <v>2026</v>
      </c>
      <c r="E2040" t="str">
        <f>IF(INPUT!O2035="","",INPUT!O2035)</f>
        <v>DANI</v>
      </c>
      <c r="F2040" t="str">
        <f>IF(INPUT!N2035="","",INPUT!N2035)</f>
        <v>M</v>
      </c>
      <c r="G2040" t="str" cm="1">
        <f t="array" ref="G2040">IFERROR(VLOOKUP(INPUT!M2035&amp;INPUT!N2035,CHOOSE({1,2},INPUT!$A$3:$A$5000&amp;INPUT!$C$3:$C$5000,INPUT!$F$3:$F$5000),2,FALSE),"")</f>
        <v>PRE-TEMPORADA</v>
      </c>
      <c r="H2040" t="str" cm="1">
        <f t="array" ref="H2040">IFERROR(VLOOKUP(INPUT!M2035&amp;INPUT!N2035,CHOOSE({1,2},INPUT!$A$3:$A$5000&amp;INPUT!$C$3:$C$5000,INPUT!$D$3:$D$5000),2,FALSE),"")</f>
        <v>TEC-TAC</v>
      </c>
      <c r="I2040" s="46">
        <f>IF(INPUT!P2035="","",INPUT!P2035)</f>
        <v>90.7</v>
      </c>
      <c r="J2040" s="46">
        <f>IF(INPUT!Q2035="","",INPUT!Q2035)</f>
        <v>91</v>
      </c>
      <c r="K2040" s="46">
        <f>IFERROR(IF(OR(INPUT!P2035="",INPUT!Q2035=""),"",INPUT!P2035-INPUT!Q2035),"")</f>
        <v>-0.29999999999999716</v>
      </c>
      <c r="L2040" s="48">
        <f>IFERROR(IF(OR(INPUT!P2035="",INPUT!Q2035="",INPUT!P2035=0),"",(INPUT!P2035-INPUT!Q2035)/INPUT!P2035),"")</f>
        <v>-3.3076074972436288E-3</v>
      </c>
    </row>
    <row r="2041" spans="1:12" ht="18" hidden="1" customHeight="1" x14ac:dyDescent="0.2">
      <c r="A2041" s="11">
        <f>IF(INPUT!M2036="","",INPUT!M2036)</f>
        <v>46072</v>
      </c>
      <c r="B2041" s="11">
        <f>IF(INPUT!M2036="","",INPUT!M2036-WEEKDAY(INPUT!M2036,2)+1)</f>
        <v>46069</v>
      </c>
      <c r="C2041" s="20">
        <f>IFERROR(_xlfn.ISOWEEKNUM(INPUT!M2036),"")</f>
        <v>8</v>
      </c>
      <c r="D2041" s="20">
        <f>IFERROR(YEAR(INPUT!M2036),"")</f>
        <v>2026</v>
      </c>
      <c r="E2041" t="str">
        <f>IF(INPUT!O2036="","",INPUT!O2036)</f>
        <v>JAIME</v>
      </c>
      <c r="F2041" t="str">
        <f>IF(INPUT!N2036="","",INPUT!N2036)</f>
        <v>M</v>
      </c>
      <c r="G2041" t="str" cm="1">
        <f t="array" ref="G2041">IFERROR(VLOOKUP(INPUT!M2036&amp;INPUT!N2036,CHOOSE({1,2},INPUT!$A$3:$A$5000&amp;INPUT!$C$3:$C$5000,INPUT!$F$3:$F$5000),2,FALSE),"")</f>
        <v>PRE-TEMPORADA</v>
      </c>
      <c r="H2041" t="str" cm="1">
        <f t="array" ref="H2041">IFERROR(VLOOKUP(INPUT!M2036&amp;INPUT!N2036,CHOOSE({1,2},INPUT!$A$3:$A$5000&amp;INPUT!$C$3:$C$5000,INPUT!$D$3:$D$5000),2,FALSE),"")</f>
        <v>TEC-TAC</v>
      </c>
      <c r="I2041" s="46">
        <f>IF(INPUT!P2036="","",INPUT!P2036)</f>
        <v>75.400000000000006</v>
      </c>
      <c r="J2041" s="46">
        <f>IF(INPUT!Q2036="","",INPUT!Q2036)</f>
        <v>75.2</v>
      </c>
      <c r="K2041" s="46">
        <f>IFERROR(IF(OR(INPUT!P2036="",INPUT!Q2036=""),"",INPUT!P2036-INPUT!Q2036),"")</f>
        <v>0.20000000000000284</v>
      </c>
      <c r="L2041" s="48">
        <f>IFERROR(IF(OR(INPUT!P2036="",INPUT!Q2036="",INPUT!P2036=0),"",(INPUT!P2036-INPUT!Q2036)/INPUT!P2036),"")</f>
        <v>2.6525198938992418E-3</v>
      </c>
    </row>
    <row r="2042" spans="1:12" ht="18" hidden="1" customHeight="1" x14ac:dyDescent="0.2">
      <c r="A2042" s="11">
        <f>IF(INPUT!M2037="","",INPUT!M2037)</f>
        <v>46073</v>
      </c>
      <c r="B2042" s="11">
        <f>IF(INPUT!M2037="","",INPUT!M2037-WEEKDAY(INPUT!M2037,2)+1)</f>
        <v>46069</v>
      </c>
      <c r="C2042" s="20">
        <f>IFERROR(_xlfn.ISOWEEKNUM(INPUT!M2037),"")</f>
        <v>8</v>
      </c>
      <c r="D2042" s="20">
        <f>IFERROR(YEAR(INPUT!M2037),"")</f>
        <v>2026</v>
      </c>
      <c r="E2042" t="str">
        <f>IF(INPUT!O2037="","",INPUT!O2037)</f>
        <v>HERRERO</v>
      </c>
      <c r="F2042" t="str">
        <f>IF(INPUT!N2037="","",INPUT!N2037)</f>
        <v>M</v>
      </c>
      <c r="G2042" t="str" cm="1">
        <f t="array" ref="G2042">IFERROR(VLOOKUP(INPUT!M2037&amp;INPUT!N2037,CHOOSE({1,2},INPUT!$A$3:$A$5000&amp;INPUT!$C$3:$C$5000,INPUT!$F$3:$F$5000),2,FALSE),"")</f>
        <v>PRE-TEMPORADA</v>
      </c>
      <c r="H2042" t="str" cm="1">
        <f t="array" ref="H2042">IFERROR(VLOOKUP(INPUT!M2037&amp;INPUT!N2037,CHOOSE({1,2},INPUT!$A$3:$A$5000&amp;INPUT!$C$3:$C$5000,INPUT!$D$3:$D$5000),2,FALSE),"")</f>
        <v>TEC-TAC</v>
      </c>
      <c r="I2042" s="46">
        <f>IF(INPUT!P2037="","",INPUT!P2037)</f>
        <v>77</v>
      </c>
      <c r="J2042" s="46">
        <f>IF(INPUT!Q2037="","",INPUT!Q2037)</f>
        <v>76.5</v>
      </c>
      <c r="K2042" s="46">
        <f>IFERROR(IF(OR(INPUT!P2037="",INPUT!Q2037=""),"",INPUT!P2037-INPUT!Q2037),"")</f>
        <v>0.5</v>
      </c>
      <c r="L2042" s="48">
        <f>IFERROR(IF(OR(INPUT!P2037="",INPUT!Q2037="",INPUT!P2037=0),"",(INPUT!P2037-INPUT!Q2037)/INPUT!P2037),"")</f>
        <v>6.4935064935064939E-3</v>
      </c>
    </row>
    <row r="2043" spans="1:12" ht="18" hidden="1" customHeight="1" x14ac:dyDescent="0.2">
      <c r="A2043" s="11">
        <f>IF(INPUT!M2038="","",INPUT!M2038)</f>
        <v>46073</v>
      </c>
      <c r="B2043" s="11">
        <f>IF(INPUT!M2038="","",INPUT!M2038-WEEKDAY(INPUT!M2038,2)+1)</f>
        <v>46069</v>
      </c>
      <c r="C2043" s="20">
        <f>IFERROR(_xlfn.ISOWEEKNUM(INPUT!M2038),"")</f>
        <v>8</v>
      </c>
      <c r="D2043" s="20">
        <f>IFERROR(YEAR(INPUT!M2038),"")</f>
        <v>2026</v>
      </c>
      <c r="E2043" t="str">
        <f>IF(INPUT!O2038="","",INPUT!O2038)</f>
        <v>GARCIA</v>
      </c>
      <c r="F2043" t="str">
        <f>IF(INPUT!N2038="","",INPUT!N2038)</f>
        <v>M</v>
      </c>
      <c r="G2043" t="str" cm="1">
        <f t="array" ref="G2043">IFERROR(VLOOKUP(INPUT!M2038&amp;INPUT!N2038,CHOOSE({1,2},INPUT!$A$3:$A$5000&amp;INPUT!$C$3:$C$5000,INPUT!$F$3:$F$5000),2,FALSE),"")</f>
        <v>PRE-TEMPORADA</v>
      </c>
      <c r="H2043" t="str" cm="1">
        <f t="array" ref="H2043">IFERROR(VLOOKUP(INPUT!M2038&amp;INPUT!N2038,CHOOSE({1,2},INPUT!$A$3:$A$5000&amp;INPUT!$C$3:$C$5000,INPUT!$D$3:$D$5000),2,FALSE),"")</f>
        <v>TEC-TAC</v>
      </c>
      <c r="I2043" s="46">
        <f>IF(INPUT!P2038="","",INPUT!P2038)</f>
        <v>79.3</v>
      </c>
      <c r="J2043" s="46">
        <f>IF(INPUT!Q2038="","",INPUT!Q2038)</f>
        <v>78.8</v>
      </c>
      <c r="K2043" s="46">
        <f>IFERROR(IF(OR(INPUT!P2038="",INPUT!Q2038=""),"",INPUT!P2038-INPUT!Q2038),"")</f>
        <v>0.5</v>
      </c>
      <c r="L2043" s="48">
        <f>IFERROR(IF(OR(INPUT!P2038="",INPUT!Q2038="",INPUT!P2038=0),"",(INPUT!P2038-INPUT!Q2038)/INPUT!P2038),"")</f>
        <v>6.3051702395964691E-3</v>
      </c>
    </row>
    <row r="2044" spans="1:12" ht="18" hidden="1" customHeight="1" x14ac:dyDescent="0.2">
      <c r="A2044" s="11">
        <f>IF(INPUT!M2039="","",INPUT!M2039)</f>
        <v>46073</v>
      </c>
      <c r="B2044" s="11">
        <f>IF(INPUT!M2039="","",INPUT!M2039-WEEKDAY(INPUT!M2039,2)+1)</f>
        <v>46069</v>
      </c>
      <c r="C2044" s="20">
        <f>IFERROR(_xlfn.ISOWEEKNUM(INPUT!M2039),"")</f>
        <v>8</v>
      </c>
      <c r="D2044" s="20">
        <f>IFERROR(YEAR(INPUT!M2039),"")</f>
        <v>2026</v>
      </c>
      <c r="E2044" t="str">
        <f>IF(INPUT!O2039="","",INPUT!O2039)</f>
        <v>CHAGUINHA</v>
      </c>
      <c r="F2044" t="str">
        <f>IF(INPUT!N2039="","",INPUT!N2039)</f>
        <v>M</v>
      </c>
      <c r="G2044" t="str" cm="1">
        <f t="array" ref="G2044">IFERROR(VLOOKUP(INPUT!M2039&amp;INPUT!N2039,CHOOSE({1,2},INPUT!$A$3:$A$5000&amp;INPUT!$C$3:$C$5000,INPUT!$F$3:$F$5000),2,FALSE),"")</f>
        <v>PRE-TEMPORADA</v>
      </c>
      <c r="H2044" t="str" cm="1">
        <f t="array" ref="H2044">IFERROR(VLOOKUP(INPUT!M2039&amp;INPUT!N2039,CHOOSE({1,2},INPUT!$A$3:$A$5000&amp;INPUT!$C$3:$C$5000,INPUT!$D$3:$D$5000),2,FALSE),"")</f>
        <v>TEC-TAC</v>
      </c>
      <c r="I2044" s="46">
        <f>IF(INPUT!P2039="","",INPUT!P2039)</f>
        <v>68.7</v>
      </c>
      <c r="J2044" s="46">
        <f>IF(INPUT!Q2039="","",INPUT!Q2039)</f>
        <v>68.3</v>
      </c>
      <c r="K2044" s="46">
        <f>IFERROR(IF(OR(INPUT!P2039="",INPUT!Q2039=""),"",INPUT!P2039-INPUT!Q2039),"")</f>
        <v>0.40000000000000568</v>
      </c>
      <c r="L2044" s="48">
        <f>IFERROR(IF(OR(INPUT!P2039="",INPUT!Q2039="",INPUT!P2039=0),"",(INPUT!P2039-INPUT!Q2039)/INPUT!P2039),"")</f>
        <v>5.8224163027657304E-3</v>
      </c>
    </row>
    <row r="2045" spans="1:12" ht="18" hidden="1" customHeight="1" x14ac:dyDescent="0.2">
      <c r="A2045" s="11">
        <f>IF(INPUT!M2040="","",INPUT!M2040)</f>
        <v>46073</v>
      </c>
      <c r="B2045" s="11">
        <f>IF(INPUT!M2040="","",INPUT!M2040-WEEKDAY(INPUT!M2040,2)+1)</f>
        <v>46069</v>
      </c>
      <c r="C2045" s="20">
        <f>IFERROR(_xlfn.ISOWEEKNUM(INPUT!M2040),"")</f>
        <v>8</v>
      </c>
      <c r="D2045" s="20">
        <f>IFERROR(YEAR(INPUT!M2040),"")</f>
        <v>2026</v>
      </c>
      <c r="E2045" t="str">
        <f>IF(INPUT!O2040="","",INPUT!O2040)</f>
        <v>RAUL</v>
      </c>
      <c r="F2045" t="str">
        <f>IF(INPUT!N2040="","",INPUT!N2040)</f>
        <v>M</v>
      </c>
      <c r="G2045" t="str" cm="1">
        <f t="array" ref="G2045">IFERROR(VLOOKUP(INPUT!M2040&amp;INPUT!N2040,CHOOSE({1,2},INPUT!$A$3:$A$5000&amp;INPUT!$C$3:$C$5000,INPUT!$F$3:$F$5000),2,FALSE),"")</f>
        <v>PRE-TEMPORADA</v>
      </c>
      <c r="H2045" t="str" cm="1">
        <f t="array" ref="H2045">IFERROR(VLOOKUP(INPUT!M2040&amp;INPUT!N2040,CHOOSE({1,2},INPUT!$A$3:$A$5000&amp;INPUT!$C$3:$C$5000,INPUT!$D$3:$D$5000),2,FALSE),"")</f>
        <v>TEC-TAC</v>
      </c>
      <c r="I2045" s="46">
        <f>IF(INPUT!P2040="","",INPUT!P2040)</f>
        <v>81</v>
      </c>
      <c r="J2045" s="46">
        <f>IF(INPUT!Q2040="","",INPUT!Q2040)</f>
        <v>81</v>
      </c>
      <c r="K2045" s="46">
        <f>IFERROR(IF(OR(INPUT!P2040="",INPUT!Q2040=""),"",INPUT!P2040-INPUT!Q2040),"")</f>
        <v>0</v>
      </c>
      <c r="L2045" s="48">
        <f>IFERROR(IF(OR(INPUT!P2040="",INPUT!Q2040="",INPUT!P2040=0),"",(INPUT!P2040-INPUT!Q2040)/INPUT!P2040),"")</f>
        <v>0</v>
      </c>
    </row>
    <row r="2046" spans="1:12" ht="18" hidden="1" customHeight="1" x14ac:dyDescent="0.2">
      <c r="A2046" s="11">
        <f>IF(INPUT!M2041="","",INPUT!M2041)</f>
        <v>46073</v>
      </c>
      <c r="B2046" s="11">
        <f>IF(INPUT!M2041="","",INPUT!M2041-WEEKDAY(INPUT!M2041,2)+1)</f>
        <v>46069</v>
      </c>
      <c r="C2046" s="20">
        <f>IFERROR(_xlfn.ISOWEEKNUM(INPUT!M2041),"")</f>
        <v>8</v>
      </c>
      <c r="D2046" s="20">
        <f>IFERROR(YEAR(INPUT!M2041),"")</f>
        <v>2026</v>
      </c>
      <c r="E2046" t="str">
        <f>IF(INPUT!O2041="","",INPUT!O2041)</f>
        <v>HARRISON</v>
      </c>
      <c r="F2046" t="str">
        <f>IF(INPUT!N2041="","",INPUT!N2041)</f>
        <v>M</v>
      </c>
      <c r="G2046" t="str" cm="1">
        <f t="array" ref="G2046">IFERROR(VLOOKUP(INPUT!M2041&amp;INPUT!N2041,CHOOSE({1,2},INPUT!$A$3:$A$5000&amp;INPUT!$C$3:$C$5000,INPUT!$F$3:$F$5000),2,FALSE),"")</f>
        <v>PRE-TEMPORADA</v>
      </c>
      <c r="H2046" t="str" cm="1">
        <f t="array" ref="H2046">IFERROR(VLOOKUP(INPUT!M2041&amp;INPUT!N2041,CHOOSE({1,2},INPUT!$A$3:$A$5000&amp;INPUT!$C$3:$C$5000,INPUT!$D$3:$D$5000),2,FALSE),"")</f>
        <v>TEC-TAC</v>
      </c>
      <c r="I2046" s="46">
        <f>IF(INPUT!P2041="","",INPUT!P2041)</f>
        <v>72</v>
      </c>
      <c r="J2046" s="46">
        <f>IF(INPUT!Q2041="","",INPUT!Q2041)</f>
        <v>72</v>
      </c>
      <c r="K2046" s="46">
        <f>IFERROR(IF(OR(INPUT!P2041="",INPUT!Q2041=""),"",INPUT!P2041-INPUT!Q2041),"")</f>
        <v>0</v>
      </c>
      <c r="L2046" s="48">
        <f>IFERROR(IF(OR(INPUT!P2041="",INPUT!Q2041="",INPUT!P2041=0),"",(INPUT!P2041-INPUT!Q2041)/INPUT!P2041),"")</f>
        <v>0</v>
      </c>
    </row>
    <row r="2047" spans="1:12" ht="18" hidden="1" customHeight="1" x14ac:dyDescent="0.2">
      <c r="A2047" s="11">
        <f>IF(INPUT!M2042="","",INPUT!M2042)</f>
        <v>46073</v>
      </c>
      <c r="B2047" s="11">
        <f>IF(INPUT!M2042="","",INPUT!M2042-WEEKDAY(INPUT!M2042,2)+1)</f>
        <v>46069</v>
      </c>
      <c r="C2047" s="20">
        <f>IFERROR(_xlfn.ISOWEEKNUM(INPUT!M2042),"")</f>
        <v>8</v>
      </c>
      <c r="D2047" s="20">
        <f>IFERROR(YEAR(INPUT!M2042),"")</f>
        <v>2026</v>
      </c>
      <c r="E2047" t="str">
        <f>IF(INPUT!O2042="","",INPUT!O2042)</f>
        <v>JAVI</v>
      </c>
      <c r="F2047" t="str">
        <f>IF(INPUT!N2042="","",INPUT!N2042)</f>
        <v>M</v>
      </c>
      <c r="G2047" t="str" cm="1">
        <f t="array" ref="G2047">IFERROR(VLOOKUP(INPUT!M2042&amp;INPUT!N2042,CHOOSE({1,2},INPUT!$A$3:$A$5000&amp;INPUT!$C$3:$C$5000,INPUT!$F$3:$F$5000),2,FALSE),"")</f>
        <v>PRE-TEMPORADA</v>
      </c>
      <c r="H2047" t="str" cm="1">
        <f t="array" ref="H2047">IFERROR(VLOOKUP(INPUT!M2042&amp;INPUT!N2042,CHOOSE({1,2},INPUT!$A$3:$A$5000&amp;INPUT!$C$3:$C$5000,INPUT!$D$3:$D$5000),2,FALSE),"")</f>
        <v>TEC-TAC</v>
      </c>
      <c r="I2047" s="46">
        <f>IF(INPUT!P2042="","",INPUT!P2042)</f>
        <v>79</v>
      </c>
      <c r="J2047" s="46">
        <f>IF(INPUT!Q2042="","",INPUT!Q2042)</f>
        <v>79.2</v>
      </c>
      <c r="K2047" s="46">
        <f>IFERROR(IF(OR(INPUT!P2042="",INPUT!Q2042=""),"",INPUT!P2042-INPUT!Q2042),"")</f>
        <v>-0.20000000000000284</v>
      </c>
      <c r="L2047" s="48">
        <f>IFERROR(IF(OR(INPUT!P2042="",INPUT!Q2042="",INPUT!P2042=0),"",(INPUT!P2042-INPUT!Q2042)/INPUT!P2042),"")</f>
        <v>-2.5316455696202892E-3</v>
      </c>
    </row>
    <row r="2048" spans="1:12" ht="18" hidden="1" customHeight="1" x14ac:dyDescent="0.2">
      <c r="A2048" s="11">
        <f>IF(INPUT!M2043="","",INPUT!M2043)</f>
        <v>46073</v>
      </c>
      <c r="B2048" s="11">
        <f>IF(INPUT!M2043="","",INPUT!M2043-WEEKDAY(INPUT!M2043,2)+1)</f>
        <v>46069</v>
      </c>
      <c r="C2048" s="20">
        <f>IFERROR(_xlfn.ISOWEEKNUM(INPUT!M2043),"")</f>
        <v>8</v>
      </c>
      <c r="D2048" s="20">
        <f>IFERROR(YEAR(INPUT!M2043),"")</f>
        <v>2026</v>
      </c>
      <c r="E2048" t="str">
        <f>IF(INPUT!O2043="","",INPUT!O2043)</f>
        <v>PANI</v>
      </c>
      <c r="F2048" t="str">
        <f>IF(INPUT!N2043="","",INPUT!N2043)</f>
        <v>M</v>
      </c>
      <c r="G2048" t="str" cm="1">
        <f t="array" ref="G2048">IFERROR(VLOOKUP(INPUT!M2043&amp;INPUT!N2043,CHOOSE({1,2},INPUT!$A$3:$A$5000&amp;INPUT!$C$3:$C$5000,INPUT!$F$3:$F$5000),2,FALSE),"")</f>
        <v>PRE-TEMPORADA</v>
      </c>
      <c r="H2048" t="str" cm="1">
        <f t="array" ref="H2048">IFERROR(VLOOKUP(INPUT!M2043&amp;INPUT!N2043,CHOOSE({1,2},INPUT!$A$3:$A$5000&amp;INPUT!$C$3:$C$5000,INPUT!$D$3:$D$5000),2,FALSE),"")</f>
        <v>TEC-TAC</v>
      </c>
      <c r="I2048" s="46">
        <f>IF(INPUT!P2043="","",INPUT!P2043)</f>
        <v>66.400000000000006</v>
      </c>
      <c r="J2048" s="46">
        <f>IF(INPUT!Q2043="","",INPUT!Q2043)</f>
        <v>65.599999999999994</v>
      </c>
      <c r="K2048" s="46">
        <f>IFERROR(IF(OR(INPUT!P2043="",INPUT!Q2043=""),"",INPUT!P2043-INPUT!Q2043),"")</f>
        <v>0.80000000000001137</v>
      </c>
      <c r="L2048" s="48">
        <f>IFERROR(IF(OR(INPUT!P2043="",INPUT!Q2043="",INPUT!P2043=0),"",(INPUT!P2043-INPUT!Q2043)/INPUT!P2043),"")</f>
        <v>1.2048192771084508E-2</v>
      </c>
    </row>
    <row r="2049" spans="1:12" ht="18" hidden="1" customHeight="1" x14ac:dyDescent="0.2">
      <c r="A2049" s="11">
        <f>IF(INPUT!M2044="","",INPUT!M2044)</f>
        <v>46073</v>
      </c>
      <c r="B2049" s="11">
        <f>IF(INPUT!M2044="","",INPUT!M2044-WEEKDAY(INPUT!M2044,2)+1)</f>
        <v>46069</v>
      </c>
      <c r="C2049" s="20">
        <f>IFERROR(_xlfn.ISOWEEKNUM(INPUT!M2044),"")</f>
        <v>8</v>
      </c>
      <c r="D2049" s="20">
        <f>IFERROR(YEAR(INPUT!M2044),"")</f>
        <v>2026</v>
      </c>
      <c r="E2049" t="str">
        <f>IF(INPUT!O2044="","",INPUT!O2044)</f>
        <v>PIRATA</v>
      </c>
      <c r="F2049" t="str">
        <f>IF(INPUT!N2044="","",INPUT!N2044)</f>
        <v>M</v>
      </c>
      <c r="G2049" t="str" cm="1">
        <f t="array" ref="G2049">IFERROR(VLOOKUP(INPUT!M2044&amp;INPUT!N2044,CHOOSE({1,2},INPUT!$A$3:$A$5000&amp;INPUT!$C$3:$C$5000,INPUT!$F$3:$F$5000),2,FALSE),"")</f>
        <v>PRE-TEMPORADA</v>
      </c>
      <c r="H2049" t="str" cm="1">
        <f t="array" ref="H2049">IFERROR(VLOOKUP(INPUT!M2044&amp;INPUT!N2044,CHOOSE({1,2},INPUT!$A$3:$A$5000&amp;INPUT!$C$3:$C$5000,INPUT!$D$3:$D$5000),2,FALSE),"")</f>
        <v>TEC-TAC</v>
      </c>
      <c r="I2049" s="46">
        <f>IF(INPUT!P2044="","",INPUT!P2044)</f>
        <v>75.3</v>
      </c>
      <c r="J2049" s="46">
        <f>IF(INPUT!Q2044="","",INPUT!Q2044)</f>
        <v>75.2</v>
      </c>
      <c r="K2049" s="46">
        <f>IFERROR(IF(OR(INPUT!P2044="",INPUT!Q2044=""),"",INPUT!P2044-INPUT!Q2044),"")</f>
        <v>9.9999999999994316E-2</v>
      </c>
      <c r="L2049" s="48">
        <f>IFERROR(IF(OR(INPUT!P2044="",INPUT!Q2044="",INPUT!P2044=0),"",(INPUT!P2044-INPUT!Q2044)/INPUT!P2044),"")</f>
        <v>1.3280212483398981E-3</v>
      </c>
    </row>
    <row r="2050" spans="1:12" ht="18" hidden="1" customHeight="1" x14ac:dyDescent="0.2">
      <c r="A2050" s="11">
        <f>IF(INPUT!M2045="","",INPUT!M2045)</f>
        <v>46073</v>
      </c>
      <c r="B2050" s="11">
        <f>IF(INPUT!M2045="","",INPUT!M2045-WEEKDAY(INPUT!M2045,2)+1)</f>
        <v>46069</v>
      </c>
      <c r="C2050" s="20">
        <f>IFERROR(_xlfn.ISOWEEKNUM(INPUT!M2045),"")</f>
        <v>8</v>
      </c>
      <c r="D2050" s="20">
        <f>IFERROR(YEAR(INPUT!M2045),"")</f>
        <v>2026</v>
      </c>
      <c r="E2050" t="str">
        <f>IF(INPUT!O2045="","",INPUT!O2045)</f>
        <v>BARONA</v>
      </c>
      <c r="F2050" t="str">
        <f>IF(INPUT!N2045="","",INPUT!N2045)</f>
        <v>M</v>
      </c>
      <c r="G2050" t="str" cm="1">
        <f t="array" ref="G2050">IFERROR(VLOOKUP(INPUT!M2045&amp;INPUT!N2045,CHOOSE({1,2},INPUT!$A$3:$A$5000&amp;INPUT!$C$3:$C$5000,INPUT!$F$3:$F$5000),2,FALSE),"")</f>
        <v>PRE-TEMPORADA</v>
      </c>
      <c r="H2050" t="str" cm="1">
        <f t="array" ref="H2050">IFERROR(VLOOKUP(INPUT!M2045&amp;INPUT!N2045,CHOOSE({1,2},INPUT!$A$3:$A$5000&amp;INPUT!$C$3:$C$5000,INPUT!$D$3:$D$5000),2,FALSE),"")</f>
        <v>TEC-TAC</v>
      </c>
      <c r="I2050" s="46">
        <f>IF(INPUT!P2045="","",INPUT!P2045)</f>
        <v>71.400000000000006</v>
      </c>
      <c r="J2050" s="46">
        <f>IF(INPUT!Q2045="","",INPUT!Q2045)</f>
        <v>71.400000000000006</v>
      </c>
      <c r="K2050" s="46">
        <f>IFERROR(IF(OR(INPUT!P2045="",INPUT!Q2045=""),"",INPUT!P2045-INPUT!Q2045),"")</f>
        <v>0</v>
      </c>
      <c r="L2050" s="48">
        <f>IFERROR(IF(OR(INPUT!P2045="",INPUT!Q2045="",INPUT!P2045=0),"",(INPUT!P2045-INPUT!Q2045)/INPUT!P2045),"")</f>
        <v>0</v>
      </c>
    </row>
    <row r="2051" spans="1:12" ht="18" hidden="1" customHeight="1" x14ac:dyDescent="0.2">
      <c r="A2051" s="11">
        <f>IF(INPUT!M2046="","",INPUT!M2046)</f>
        <v>46073</v>
      </c>
      <c r="B2051" s="11">
        <f>IF(INPUT!M2046="","",INPUT!M2046-WEEKDAY(INPUT!M2046,2)+1)</f>
        <v>46069</v>
      </c>
      <c r="C2051" s="20">
        <f>IFERROR(_xlfn.ISOWEEKNUM(INPUT!M2046),"")</f>
        <v>8</v>
      </c>
      <c r="D2051" s="20">
        <f>IFERROR(YEAR(INPUT!M2046),"")</f>
        <v>2026</v>
      </c>
      <c r="E2051" t="str">
        <f>IF(INPUT!O2046="","",INPUT!O2046)</f>
        <v>CARLOS</v>
      </c>
      <c r="F2051" t="str">
        <f>IF(INPUT!N2046="","",INPUT!N2046)</f>
        <v>M</v>
      </c>
      <c r="G2051" t="str" cm="1">
        <f t="array" ref="G2051">IFERROR(VLOOKUP(INPUT!M2046&amp;INPUT!N2046,CHOOSE({1,2},INPUT!$A$3:$A$5000&amp;INPUT!$C$3:$C$5000,INPUT!$F$3:$F$5000),2,FALSE),"")</f>
        <v>PRE-TEMPORADA</v>
      </c>
      <c r="H2051" t="str" cm="1">
        <f t="array" ref="H2051">IFERROR(VLOOKUP(INPUT!M2046&amp;INPUT!N2046,CHOOSE({1,2},INPUT!$A$3:$A$5000&amp;INPUT!$C$3:$C$5000,INPUT!$D$3:$D$5000),2,FALSE),"")</f>
        <v>TEC-TAC</v>
      </c>
      <c r="I2051" s="46">
        <f>IF(INPUT!P2046="","",INPUT!P2046)</f>
        <v>68.5</v>
      </c>
      <c r="J2051" s="46">
        <f>IF(INPUT!Q2046="","",INPUT!Q2046)</f>
        <v>67.599999999999994</v>
      </c>
      <c r="K2051" s="46">
        <f>IFERROR(IF(OR(INPUT!P2046="",INPUT!Q2046=""),"",INPUT!P2046-INPUT!Q2046),"")</f>
        <v>0.90000000000000568</v>
      </c>
      <c r="L2051" s="48">
        <f>IFERROR(IF(OR(INPUT!P2046="",INPUT!Q2046="",INPUT!P2046=0),"",(INPUT!P2046-INPUT!Q2046)/INPUT!P2046),"")</f>
        <v>1.3138686131386945E-2</v>
      </c>
    </row>
    <row r="2052" spans="1:12" ht="18" customHeight="1" x14ac:dyDescent="0.2">
      <c r="A2052" s="11">
        <f>IF(INPUT!M2047="","",INPUT!M2047)</f>
        <v>46073</v>
      </c>
      <c r="B2052" s="11">
        <f>IF(INPUT!M2047="","",INPUT!M2047-WEEKDAY(INPUT!M2047,2)+1)</f>
        <v>46069</v>
      </c>
      <c r="C2052" s="20">
        <f>IFERROR(_xlfn.ISOWEEKNUM(INPUT!M2047),"")</f>
        <v>8</v>
      </c>
      <c r="D2052" s="20">
        <f>IFERROR(YEAR(INPUT!M2047),"")</f>
        <v>2026</v>
      </c>
      <c r="E2052" t="str">
        <f>IF(INPUT!O2047="","",INPUT!O2047)</f>
        <v>GONZALO</v>
      </c>
      <c r="F2052" t="str">
        <f>IF(INPUT!N2047="","",INPUT!N2047)</f>
        <v>M</v>
      </c>
      <c r="G2052" t="str" cm="1">
        <f t="array" ref="G2052">IFERROR(VLOOKUP(INPUT!M2047&amp;INPUT!N2047,CHOOSE({1,2},INPUT!$A$3:$A$5000&amp;INPUT!$C$3:$C$5000,INPUT!$F$3:$F$5000),2,FALSE),"")</f>
        <v>PRE-TEMPORADA</v>
      </c>
      <c r="H2052" t="str" cm="1">
        <f t="array" ref="H2052">IFERROR(VLOOKUP(INPUT!M2047&amp;INPUT!N2047,CHOOSE({1,2},INPUT!$A$3:$A$5000&amp;INPUT!$C$3:$C$5000,INPUT!$D$3:$D$5000),2,FALSE),"")</f>
        <v>TEC-TAC</v>
      </c>
      <c r="I2052" s="46">
        <f>IF(INPUT!P2047="","",INPUT!P2047)</f>
        <v>83</v>
      </c>
      <c r="J2052" s="46">
        <f>IF(INPUT!Q2047="","",INPUT!Q2047)</f>
        <v>83</v>
      </c>
      <c r="K2052" s="46">
        <f>IFERROR(IF(OR(INPUT!P2047="",INPUT!Q2047=""),"",INPUT!P2047-INPUT!Q2047),"")</f>
        <v>0</v>
      </c>
      <c r="L2052" s="48">
        <f>IFERROR(IF(OR(INPUT!P2047="",INPUT!Q2047="",INPUT!P2047=0),"",(INPUT!P2047-INPUT!Q2047)/INPUT!P2047),"")</f>
        <v>0</v>
      </c>
    </row>
    <row r="2053" spans="1:12" ht="18" customHeight="1" x14ac:dyDescent="0.2">
      <c r="A2053" s="11">
        <f>IF(INPUT!M2048="","",INPUT!M2048)</f>
        <v>46073</v>
      </c>
      <c r="B2053" s="11">
        <f>IF(INPUT!M2048="","",INPUT!M2048-WEEKDAY(INPUT!M2048,2)+1)</f>
        <v>46069</v>
      </c>
      <c r="C2053" s="20">
        <f>IFERROR(_xlfn.ISOWEEKNUM(INPUT!M2048),"")</f>
        <v>8</v>
      </c>
      <c r="D2053" s="20">
        <f>IFERROR(YEAR(INPUT!M2048),"")</f>
        <v>2026</v>
      </c>
      <c r="E2053" t="str">
        <f>IF(INPUT!O2048="","",INPUT!O2048)</f>
        <v>DANI</v>
      </c>
      <c r="F2053" t="str">
        <f>IF(INPUT!N2048="","",INPUT!N2048)</f>
        <v>M</v>
      </c>
      <c r="G2053" t="str" cm="1">
        <f t="array" ref="G2053">IFERROR(VLOOKUP(INPUT!M2048&amp;INPUT!N2048,CHOOSE({1,2},INPUT!$A$3:$A$5000&amp;INPUT!$C$3:$C$5000,INPUT!$F$3:$F$5000),2,FALSE),"")</f>
        <v>PRE-TEMPORADA</v>
      </c>
      <c r="H2053" t="str" cm="1">
        <f t="array" ref="H2053">IFERROR(VLOOKUP(INPUT!M2048&amp;INPUT!N2048,CHOOSE({1,2},INPUT!$A$3:$A$5000&amp;INPUT!$C$3:$C$5000,INPUT!$D$3:$D$5000),2,FALSE),"")</f>
        <v>TEC-TAC</v>
      </c>
      <c r="I2053" s="46">
        <f>IF(INPUT!P2048="","",INPUT!P2048)</f>
        <v>91.8</v>
      </c>
      <c r="J2053" s="46">
        <f>IF(INPUT!Q2048="","",INPUT!Q2048)</f>
        <v>91.3</v>
      </c>
      <c r="K2053" s="46">
        <f>IFERROR(IF(OR(INPUT!P2048="",INPUT!Q2048=""),"",INPUT!P2048-INPUT!Q2048),"")</f>
        <v>0.5</v>
      </c>
      <c r="L2053" s="48">
        <f>IFERROR(IF(OR(INPUT!P2048="",INPUT!Q2048="",INPUT!P2048=0),"",(INPUT!P2048-INPUT!Q2048)/INPUT!P2048),"")</f>
        <v>5.4466230936819175E-3</v>
      </c>
    </row>
    <row r="2054" spans="1:12" ht="18" customHeight="1" x14ac:dyDescent="0.2">
      <c r="A2054" s="11">
        <f>IF(INPUT!M2049="","",INPUT!M2049)</f>
        <v>46073</v>
      </c>
      <c r="B2054" s="11">
        <f>IF(INPUT!M2049="","",INPUT!M2049-WEEKDAY(INPUT!M2049,2)+1)</f>
        <v>46069</v>
      </c>
      <c r="C2054" s="20">
        <f>IFERROR(_xlfn.ISOWEEKNUM(INPUT!M2049),"")</f>
        <v>8</v>
      </c>
      <c r="D2054" s="20">
        <f>IFERROR(YEAR(INPUT!M2049),"")</f>
        <v>2026</v>
      </c>
      <c r="E2054" t="str">
        <f>IF(INPUT!O2049="","",INPUT!O2049)</f>
        <v>JAIME</v>
      </c>
      <c r="F2054" t="str">
        <f>IF(INPUT!N2049="","",INPUT!N2049)</f>
        <v>M</v>
      </c>
      <c r="G2054" t="str" cm="1">
        <f t="array" ref="G2054">IFERROR(VLOOKUP(INPUT!M2049&amp;INPUT!N2049,CHOOSE({1,2},INPUT!$A$3:$A$5000&amp;INPUT!$C$3:$C$5000,INPUT!$F$3:$F$5000),2,FALSE),"")</f>
        <v>PRE-TEMPORADA</v>
      </c>
      <c r="H2054" t="str" cm="1">
        <f t="array" ref="H2054">IFERROR(VLOOKUP(INPUT!M2049&amp;INPUT!N2049,CHOOSE({1,2},INPUT!$A$3:$A$5000&amp;INPUT!$C$3:$C$5000,INPUT!$D$3:$D$5000),2,FALSE),"")</f>
        <v>TEC-TAC</v>
      </c>
      <c r="I2054" s="46">
        <f>IF(INPUT!P2049="","",INPUT!P2049)</f>
        <v>75.400000000000006</v>
      </c>
      <c r="J2054" s="46">
        <f>IF(INPUT!Q2049="","",INPUT!Q2049)</f>
        <v>75.7</v>
      </c>
      <c r="K2054" s="46">
        <f>IFERROR(IF(OR(INPUT!P2049="",INPUT!Q2049=""),"",INPUT!P2049-INPUT!Q2049),"")</f>
        <v>-0.29999999999999716</v>
      </c>
      <c r="L2054" s="48">
        <f>IFERROR(IF(OR(INPUT!P2049="",INPUT!Q2049="",INPUT!P2049=0),"",(INPUT!P2049-INPUT!Q2049)/INPUT!P2049),"")</f>
        <v>-3.9787798408487682E-3</v>
      </c>
    </row>
    <row r="2055" spans="1:12" ht="18" hidden="1" customHeight="1" x14ac:dyDescent="0.2">
      <c r="A2055" s="11">
        <f>IF(INPUT!M2050="","",INPUT!M2050)</f>
        <v>46076</v>
      </c>
      <c r="B2055" s="11">
        <f>IF(INPUT!M2050="","",INPUT!M2050-WEEKDAY(INPUT!M2050,2)+1)</f>
        <v>46076</v>
      </c>
      <c r="C2055" s="20">
        <f>IFERROR(_xlfn.ISOWEEKNUM(INPUT!M2050),"")</f>
        <v>9</v>
      </c>
      <c r="D2055" s="20">
        <f>IFERROR(YEAR(INPUT!M2050),"")</f>
        <v>2026</v>
      </c>
      <c r="E2055" t="str">
        <f>IF(INPUT!O2050="","",INPUT!O2050)</f>
        <v>HERRERO</v>
      </c>
      <c r="F2055" t="str">
        <f>IF(INPUT!N2050="","",INPUT!N2050)</f>
        <v>M</v>
      </c>
      <c r="G2055" t="str" cm="1">
        <f t="array" ref="G2055">IFERROR(VLOOKUP(INPUT!M2050&amp;INPUT!N2050,CHOOSE({1,2},INPUT!$A$3:$A$5000&amp;INPUT!$C$3:$C$5000,INPUT!$F$3:$F$5000),2,FALSE),"")</f>
        <v>PRE-TEMPORADA</v>
      </c>
      <c r="H2055" t="str" cm="1">
        <f t="array" ref="H2055">IFERROR(VLOOKUP(INPUT!M2050&amp;INPUT!N2050,CHOOSE({1,2},INPUT!$A$3:$A$5000&amp;INPUT!$C$3:$C$5000,INPUT!$D$3:$D$5000),2,FALSE),"")</f>
        <v>TEC-TAC</v>
      </c>
      <c r="I2055" s="46">
        <f>IF(INPUT!P2050="","",INPUT!P2050)</f>
        <v>77</v>
      </c>
      <c r="J2055" s="46">
        <f>IF(INPUT!Q2050="","",INPUT!Q2050)</f>
        <v>76.400000000000006</v>
      </c>
      <c r="K2055" s="46">
        <f>IFERROR(IF(OR(INPUT!P2050="",INPUT!Q2050=""),"",INPUT!P2050-INPUT!Q2050),"")</f>
        <v>0.59999999999999432</v>
      </c>
      <c r="L2055" s="48">
        <f>IFERROR(IF(OR(INPUT!P2050="",INPUT!Q2050="",INPUT!P2050=0),"",(INPUT!P2050-INPUT!Q2050)/INPUT!P2050),"")</f>
        <v>7.7922077922077185E-3</v>
      </c>
    </row>
    <row r="2056" spans="1:12" ht="18" hidden="1" customHeight="1" x14ac:dyDescent="0.2">
      <c r="A2056" s="11">
        <f>IF(INPUT!M2051="","",INPUT!M2051)</f>
        <v>46076</v>
      </c>
      <c r="B2056" s="11">
        <f>IF(INPUT!M2051="","",INPUT!M2051-WEEKDAY(INPUT!M2051,2)+1)</f>
        <v>46076</v>
      </c>
      <c r="C2056" s="20">
        <f>IFERROR(_xlfn.ISOWEEKNUM(INPUT!M2051),"")</f>
        <v>9</v>
      </c>
      <c r="D2056" s="20">
        <f>IFERROR(YEAR(INPUT!M2051),"")</f>
        <v>2026</v>
      </c>
      <c r="E2056" t="str">
        <f>IF(INPUT!O2051="","",INPUT!O2051)</f>
        <v>HERRERO</v>
      </c>
      <c r="F2056" t="str">
        <f>IF(INPUT!N2051="","",INPUT!N2051)</f>
        <v>T</v>
      </c>
      <c r="G2056" t="str" cm="1">
        <f t="array" ref="G2056">IFERROR(VLOOKUP(INPUT!M2051&amp;INPUT!N2051,CHOOSE({1,2},INPUT!$A$3:$A$5000&amp;INPUT!$C$3:$C$5000,INPUT!$F$3:$F$5000),2,FALSE),"")</f>
        <v>PRE-TEMPORADA</v>
      </c>
      <c r="H2056" t="str" cm="1">
        <f t="array" ref="H2056">IFERROR(VLOOKUP(INPUT!M2051&amp;INPUT!N2051,CHOOSE({1,2},INPUT!$A$3:$A$5000&amp;INPUT!$C$3:$C$5000,INPUT!$D$3:$D$5000),2,FALSE),"")</f>
        <v>GYM+FISICO</v>
      </c>
      <c r="I2056" s="46">
        <f>IF(INPUT!P2051="","",INPUT!P2051)</f>
        <v>77</v>
      </c>
      <c r="J2056" s="46">
        <f>IF(INPUT!Q2051="","",INPUT!Q2051)</f>
        <v>76.5</v>
      </c>
      <c r="K2056" s="46">
        <f>IFERROR(IF(OR(INPUT!P2051="",INPUT!Q2051=""),"",INPUT!P2051-INPUT!Q2051),"")</f>
        <v>0.5</v>
      </c>
      <c r="L2056" s="48">
        <f>IFERROR(IF(OR(INPUT!P2051="",INPUT!Q2051="",INPUT!P2051=0),"",(INPUT!P2051-INPUT!Q2051)/INPUT!P2051),"")</f>
        <v>6.4935064935064939E-3</v>
      </c>
    </row>
    <row r="2057" spans="1:12" ht="18" hidden="1" customHeight="1" x14ac:dyDescent="0.2">
      <c r="A2057" s="11">
        <f>IF(INPUT!M2052="","",INPUT!M2052)</f>
        <v>46076</v>
      </c>
      <c r="B2057" s="11">
        <f>IF(INPUT!M2052="","",INPUT!M2052-WEEKDAY(INPUT!M2052,2)+1)</f>
        <v>46076</v>
      </c>
      <c r="C2057" s="20">
        <f>IFERROR(_xlfn.ISOWEEKNUM(INPUT!M2052),"")</f>
        <v>9</v>
      </c>
      <c r="D2057" s="20">
        <f>IFERROR(YEAR(INPUT!M2052),"")</f>
        <v>2026</v>
      </c>
      <c r="E2057" t="str">
        <f>IF(INPUT!O2052="","",INPUT!O2052)</f>
        <v>GARCIA</v>
      </c>
      <c r="F2057" t="str">
        <f>IF(INPUT!N2052="","",INPUT!N2052)</f>
        <v>M</v>
      </c>
      <c r="G2057" t="str" cm="1">
        <f t="array" ref="G2057">IFERROR(VLOOKUP(INPUT!M2052&amp;INPUT!N2052,CHOOSE({1,2},INPUT!$A$3:$A$5000&amp;INPUT!$C$3:$C$5000,INPUT!$F$3:$F$5000),2,FALSE),"")</f>
        <v>PRE-TEMPORADA</v>
      </c>
      <c r="H2057" t="str" cm="1">
        <f t="array" ref="H2057">IFERROR(VLOOKUP(INPUT!M2052&amp;INPUT!N2052,CHOOSE({1,2},INPUT!$A$3:$A$5000&amp;INPUT!$C$3:$C$5000,INPUT!$D$3:$D$5000),2,FALSE),"")</f>
        <v>TEC-TAC</v>
      </c>
      <c r="I2057" s="46">
        <f>IF(INPUT!P2052="","",INPUT!P2052)</f>
        <v>79.3</v>
      </c>
      <c r="J2057" s="46">
        <f>IF(INPUT!Q2052="","",INPUT!Q2052)</f>
        <v>79.7</v>
      </c>
      <c r="K2057" s="46">
        <f>IFERROR(IF(OR(INPUT!P2052="",INPUT!Q2052=""),"",INPUT!P2052-INPUT!Q2052),"")</f>
        <v>-0.40000000000000568</v>
      </c>
      <c r="L2057" s="48">
        <f>IFERROR(IF(OR(INPUT!P2052="",INPUT!Q2052="",INPUT!P2052=0),"",(INPUT!P2052-INPUT!Q2052)/INPUT!P2052),"")</f>
        <v>-5.0441361916772473E-3</v>
      </c>
    </row>
    <row r="2058" spans="1:12" ht="18" hidden="1" customHeight="1" x14ac:dyDescent="0.2">
      <c r="A2058" s="11">
        <f>IF(INPUT!M2053="","",INPUT!M2053)</f>
        <v>46076</v>
      </c>
      <c r="B2058" s="11">
        <f>IF(INPUT!M2053="","",INPUT!M2053-WEEKDAY(INPUT!M2053,2)+1)</f>
        <v>46076</v>
      </c>
      <c r="C2058" s="20">
        <f>IFERROR(_xlfn.ISOWEEKNUM(INPUT!M2053),"")</f>
        <v>9</v>
      </c>
      <c r="D2058" s="20">
        <f>IFERROR(YEAR(INPUT!M2053),"")</f>
        <v>2026</v>
      </c>
      <c r="E2058" t="str">
        <f>IF(INPUT!O2053="","",INPUT!O2053)</f>
        <v>GARCIA</v>
      </c>
      <c r="F2058" t="str">
        <f>IF(INPUT!N2053="","",INPUT!N2053)</f>
        <v>T</v>
      </c>
      <c r="G2058" t="str" cm="1">
        <f t="array" ref="G2058">IFERROR(VLOOKUP(INPUT!M2053&amp;INPUT!N2053,CHOOSE({1,2},INPUT!$A$3:$A$5000&amp;INPUT!$C$3:$C$5000,INPUT!$F$3:$F$5000),2,FALSE),"")</f>
        <v>PRE-TEMPORADA</v>
      </c>
      <c r="H2058" t="str" cm="1">
        <f t="array" ref="H2058">IFERROR(VLOOKUP(INPUT!M2053&amp;INPUT!N2053,CHOOSE({1,2},INPUT!$A$3:$A$5000&amp;INPUT!$C$3:$C$5000,INPUT!$D$3:$D$5000),2,FALSE),"")</f>
        <v>GYM+FISICO</v>
      </c>
      <c r="I2058" s="46">
        <f>IF(INPUT!P2053="","",INPUT!P2053)</f>
        <v>79.5</v>
      </c>
      <c r="J2058" s="46">
        <f>IF(INPUT!Q2053="","",INPUT!Q2053)</f>
        <v>79.099999999999994</v>
      </c>
      <c r="K2058" s="46">
        <f>IFERROR(IF(OR(INPUT!P2053="",INPUT!Q2053=""),"",INPUT!P2053-INPUT!Q2053),"")</f>
        <v>0.40000000000000568</v>
      </c>
      <c r="L2058" s="48">
        <f>IFERROR(IF(OR(INPUT!P2053="",INPUT!Q2053="",INPUT!P2053=0),"",(INPUT!P2053-INPUT!Q2053)/INPUT!P2053),"")</f>
        <v>5.0314465408805749E-3</v>
      </c>
    </row>
    <row r="2059" spans="1:12" ht="18" hidden="1" customHeight="1" x14ac:dyDescent="0.2">
      <c r="A2059" s="11">
        <f>IF(INPUT!M2054="","",INPUT!M2054)</f>
        <v>46076</v>
      </c>
      <c r="B2059" s="11">
        <f>IF(INPUT!M2054="","",INPUT!M2054-WEEKDAY(INPUT!M2054,2)+1)</f>
        <v>46076</v>
      </c>
      <c r="C2059" s="20">
        <f>IFERROR(_xlfn.ISOWEEKNUM(INPUT!M2054),"")</f>
        <v>9</v>
      </c>
      <c r="D2059" s="20">
        <f>IFERROR(YEAR(INPUT!M2054),"")</f>
        <v>2026</v>
      </c>
      <c r="E2059" t="str">
        <f>IF(INPUT!O2054="","",INPUT!O2054)</f>
        <v>CECILIO</v>
      </c>
      <c r="F2059" t="str">
        <f>IF(INPUT!N2054="","",INPUT!N2054)</f>
        <v>M</v>
      </c>
      <c r="G2059" t="str" cm="1">
        <f t="array" ref="G2059">IFERROR(VLOOKUP(INPUT!M2054&amp;INPUT!N2054,CHOOSE({1,2},INPUT!$A$3:$A$5000&amp;INPUT!$C$3:$C$5000,INPUT!$F$3:$F$5000),2,FALSE),"")</f>
        <v>PRE-TEMPORADA</v>
      </c>
      <c r="H2059" t="str" cm="1">
        <f t="array" ref="H2059">IFERROR(VLOOKUP(INPUT!M2054&amp;INPUT!N2054,CHOOSE({1,2},INPUT!$A$3:$A$5000&amp;INPUT!$C$3:$C$5000,INPUT!$D$3:$D$5000),2,FALSE),"")</f>
        <v>TEC-TAC</v>
      </c>
      <c r="I2059" s="46">
        <f>IF(INPUT!P2054="","",INPUT!P2054)</f>
        <v>67.900000000000006</v>
      </c>
      <c r="J2059" s="46">
        <f>IF(INPUT!Q2054="","",INPUT!Q2054)</f>
        <v>67.599999999999994</v>
      </c>
      <c r="K2059" s="46">
        <f>IFERROR(IF(OR(INPUT!P2054="",INPUT!Q2054=""),"",INPUT!P2054-INPUT!Q2054),"")</f>
        <v>0.30000000000001137</v>
      </c>
      <c r="L2059" s="48">
        <f>IFERROR(IF(OR(INPUT!P2054="",INPUT!Q2054="",INPUT!P2054=0),"",(INPUT!P2054-INPUT!Q2054)/INPUT!P2054),"")</f>
        <v>4.4182621502210804E-3</v>
      </c>
    </row>
    <row r="2060" spans="1:12" ht="18" hidden="1" customHeight="1" x14ac:dyDescent="0.2">
      <c r="A2060" s="11">
        <f>IF(INPUT!M2055="","",INPUT!M2055)</f>
        <v>46076</v>
      </c>
      <c r="B2060" s="11">
        <f>IF(INPUT!M2055="","",INPUT!M2055-WEEKDAY(INPUT!M2055,2)+1)</f>
        <v>46076</v>
      </c>
      <c r="C2060" s="20">
        <f>IFERROR(_xlfn.ISOWEEKNUM(INPUT!M2055),"")</f>
        <v>9</v>
      </c>
      <c r="D2060" s="20">
        <f>IFERROR(YEAR(INPUT!M2055),"")</f>
        <v>2026</v>
      </c>
      <c r="E2060" t="str">
        <f>IF(INPUT!O2055="","",INPUT!O2055)</f>
        <v>CHAGUINHA</v>
      </c>
      <c r="F2060" t="str">
        <f>IF(INPUT!N2055="","",INPUT!N2055)</f>
        <v>M</v>
      </c>
      <c r="G2060" t="str" cm="1">
        <f t="array" ref="G2060">IFERROR(VLOOKUP(INPUT!M2055&amp;INPUT!N2055,CHOOSE({1,2},INPUT!$A$3:$A$5000&amp;INPUT!$C$3:$C$5000,INPUT!$F$3:$F$5000),2,FALSE),"")</f>
        <v>PRE-TEMPORADA</v>
      </c>
      <c r="H2060" t="str" cm="1">
        <f t="array" ref="H2060">IFERROR(VLOOKUP(INPUT!M2055&amp;INPUT!N2055,CHOOSE({1,2},INPUT!$A$3:$A$5000&amp;INPUT!$C$3:$C$5000,INPUT!$D$3:$D$5000),2,FALSE),"")</f>
        <v>TEC-TAC</v>
      </c>
      <c r="I2060" s="46">
        <f>IF(INPUT!P2055="","",INPUT!P2055)</f>
        <v>69</v>
      </c>
      <c r="J2060" s="46">
        <f>IF(INPUT!Q2055="","",INPUT!Q2055)</f>
        <v>68.3</v>
      </c>
      <c r="K2060" s="46">
        <f>IFERROR(IF(OR(INPUT!P2055="",INPUT!Q2055=""),"",INPUT!P2055-INPUT!Q2055),"")</f>
        <v>0.70000000000000284</v>
      </c>
      <c r="L2060" s="48">
        <f>IFERROR(IF(OR(INPUT!P2055="",INPUT!Q2055="",INPUT!P2055=0),"",(INPUT!P2055-INPUT!Q2055)/INPUT!P2055),"")</f>
        <v>1.0144927536231925E-2</v>
      </c>
    </row>
    <row r="2061" spans="1:12" ht="18" hidden="1" customHeight="1" x14ac:dyDescent="0.2">
      <c r="A2061" s="11">
        <f>IF(INPUT!M2056="","",INPUT!M2056)</f>
        <v>46076</v>
      </c>
      <c r="B2061" s="11">
        <f>IF(INPUT!M2056="","",INPUT!M2056-WEEKDAY(INPUT!M2056,2)+1)</f>
        <v>46076</v>
      </c>
      <c r="C2061" s="20">
        <f>IFERROR(_xlfn.ISOWEEKNUM(INPUT!M2056),"")</f>
        <v>9</v>
      </c>
      <c r="D2061" s="20">
        <f>IFERROR(YEAR(INPUT!M2056),"")</f>
        <v>2026</v>
      </c>
      <c r="E2061" t="str">
        <f>IF(INPUT!O2056="","",INPUT!O2056)</f>
        <v>CHAGUINHA</v>
      </c>
      <c r="F2061" t="str">
        <f>IF(INPUT!N2056="","",INPUT!N2056)</f>
        <v>T</v>
      </c>
      <c r="G2061" t="str" cm="1">
        <f t="array" ref="G2061">IFERROR(VLOOKUP(INPUT!M2056&amp;INPUT!N2056,CHOOSE({1,2},INPUT!$A$3:$A$5000&amp;INPUT!$C$3:$C$5000,INPUT!$F$3:$F$5000),2,FALSE),"")</f>
        <v>PRE-TEMPORADA</v>
      </c>
      <c r="H2061" t="str" cm="1">
        <f t="array" ref="H2061">IFERROR(VLOOKUP(INPUT!M2056&amp;INPUT!N2056,CHOOSE({1,2},INPUT!$A$3:$A$5000&amp;INPUT!$C$3:$C$5000,INPUT!$D$3:$D$5000),2,FALSE),"")</f>
        <v>GYM+FISICO</v>
      </c>
      <c r="I2061" s="46">
        <f>IF(INPUT!P2056="","",INPUT!P2056)</f>
        <v>68.7</v>
      </c>
      <c r="J2061" s="46">
        <f>IF(INPUT!Q2056="","",INPUT!Q2056)</f>
        <v>68.5</v>
      </c>
      <c r="K2061" s="46">
        <f>IFERROR(IF(OR(INPUT!P2056="",INPUT!Q2056=""),"",INPUT!P2056-INPUT!Q2056),"")</f>
        <v>0.20000000000000284</v>
      </c>
      <c r="L2061" s="48">
        <f>IFERROR(IF(OR(INPUT!P2056="",INPUT!Q2056="",INPUT!P2056=0),"",(INPUT!P2056-INPUT!Q2056)/INPUT!P2056),"")</f>
        <v>2.9112081513828652E-3</v>
      </c>
    </row>
    <row r="2062" spans="1:12" ht="18" hidden="1" customHeight="1" x14ac:dyDescent="0.2">
      <c r="A2062" s="11">
        <f>IF(INPUT!M2057="","",INPUT!M2057)</f>
        <v>46076</v>
      </c>
      <c r="B2062" s="11">
        <f>IF(INPUT!M2057="","",INPUT!M2057-WEEKDAY(INPUT!M2057,2)+1)</f>
        <v>46076</v>
      </c>
      <c r="C2062" s="20">
        <f>IFERROR(_xlfn.ISOWEEKNUM(INPUT!M2057),"")</f>
        <v>9</v>
      </c>
      <c r="D2062" s="20">
        <f>IFERROR(YEAR(INPUT!M2057),"")</f>
        <v>2026</v>
      </c>
      <c r="E2062" t="str">
        <f>IF(INPUT!O2057="","",INPUT!O2057)</f>
        <v>RAUL</v>
      </c>
      <c r="F2062" t="str">
        <f>IF(INPUT!N2057="","",INPUT!N2057)</f>
        <v>M</v>
      </c>
      <c r="G2062" t="str" cm="1">
        <f t="array" ref="G2062">IFERROR(VLOOKUP(INPUT!M2057&amp;INPUT!N2057,CHOOSE({1,2},INPUT!$A$3:$A$5000&amp;INPUT!$C$3:$C$5000,INPUT!$F$3:$F$5000),2,FALSE),"")</f>
        <v>PRE-TEMPORADA</v>
      </c>
      <c r="H2062" t="str" cm="1">
        <f t="array" ref="H2062">IFERROR(VLOOKUP(INPUT!M2057&amp;INPUT!N2057,CHOOSE({1,2},INPUT!$A$3:$A$5000&amp;INPUT!$C$3:$C$5000,INPUT!$D$3:$D$5000),2,FALSE),"")</f>
        <v>TEC-TAC</v>
      </c>
      <c r="I2062" s="46">
        <f>IF(INPUT!P2057="","",INPUT!P2057)</f>
        <v>80.5</v>
      </c>
      <c r="J2062" s="46">
        <f>IF(INPUT!Q2057="","",INPUT!Q2057)</f>
        <v>81</v>
      </c>
      <c r="K2062" s="46">
        <f>IFERROR(IF(OR(INPUT!P2057="",INPUT!Q2057=""),"",INPUT!P2057-INPUT!Q2057),"")</f>
        <v>-0.5</v>
      </c>
      <c r="L2062" s="48">
        <f>IFERROR(IF(OR(INPUT!P2057="",INPUT!Q2057="",INPUT!P2057=0),"",(INPUT!P2057-INPUT!Q2057)/INPUT!P2057),"")</f>
        <v>-6.2111801242236021E-3</v>
      </c>
    </row>
    <row r="2063" spans="1:12" ht="18" hidden="1" customHeight="1" x14ac:dyDescent="0.2">
      <c r="A2063" s="11">
        <f>IF(INPUT!M2058="","",INPUT!M2058)</f>
        <v>46076</v>
      </c>
      <c r="B2063" s="11">
        <f>IF(INPUT!M2058="","",INPUT!M2058-WEEKDAY(INPUT!M2058,2)+1)</f>
        <v>46076</v>
      </c>
      <c r="C2063" s="20">
        <f>IFERROR(_xlfn.ISOWEEKNUM(INPUT!M2058),"")</f>
        <v>9</v>
      </c>
      <c r="D2063" s="20">
        <f>IFERROR(YEAR(INPUT!M2058),"")</f>
        <v>2026</v>
      </c>
      <c r="E2063" t="str">
        <f>IF(INPUT!O2058="","",INPUT!O2058)</f>
        <v>RAUL</v>
      </c>
      <c r="F2063" t="str">
        <f>IF(INPUT!N2058="","",INPUT!N2058)</f>
        <v>T</v>
      </c>
      <c r="G2063" t="str" cm="1">
        <f t="array" ref="G2063">IFERROR(VLOOKUP(INPUT!M2058&amp;INPUT!N2058,CHOOSE({1,2},INPUT!$A$3:$A$5000&amp;INPUT!$C$3:$C$5000,INPUT!$F$3:$F$5000),2,FALSE),"")</f>
        <v>PRE-TEMPORADA</v>
      </c>
      <c r="H2063" t="str" cm="1">
        <f t="array" ref="H2063">IFERROR(VLOOKUP(INPUT!M2058&amp;INPUT!N2058,CHOOSE({1,2},INPUT!$A$3:$A$5000&amp;INPUT!$C$3:$C$5000,INPUT!$D$3:$D$5000),2,FALSE),"")</f>
        <v>GYM+FISICO</v>
      </c>
      <c r="I2063" s="46">
        <f>IF(INPUT!P2058="","",INPUT!P2058)</f>
        <v>80.599999999999994</v>
      </c>
      <c r="J2063" s="46">
        <f>IF(INPUT!Q2058="","",INPUT!Q2058)</f>
        <v>80.8</v>
      </c>
      <c r="K2063" s="46">
        <f>IFERROR(IF(OR(INPUT!P2058="",INPUT!Q2058=""),"",INPUT!P2058-INPUT!Q2058),"")</f>
        <v>-0.20000000000000284</v>
      </c>
      <c r="L2063" s="48">
        <f>IFERROR(IF(OR(INPUT!P2058="",INPUT!Q2058="",INPUT!P2058=0),"",(INPUT!P2058-INPUT!Q2058)/INPUT!P2058),"")</f>
        <v>-2.4813895781638073E-3</v>
      </c>
    </row>
    <row r="2064" spans="1:12" ht="18" hidden="1" customHeight="1" x14ac:dyDescent="0.2">
      <c r="A2064" s="11">
        <f>IF(INPUT!M2059="","",INPUT!M2059)</f>
        <v>46076</v>
      </c>
      <c r="B2064" s="11">
        <f>IF(INPUT!M2059="","",INPUT!M2059-WEEKDAY(INPUT!M2059,2)+1)</f>
        <v>46076</v>
      </c>
      <c r="C2064" s="20">
        <f>IFERROR(_xlfn.ISOWEEKNUM(INPUT!M2059),"")</f>
        <v>9</v>
      </c>
      <c r="D2064" s="20">
        <f>IFERROR(YEAR(INPUT!M2059),"")</f>
        <v>2026</v>
      </c>
      <c r="E2064" t="str">
        <f>IF(INPUT!O2059="","",INPUT!O2059)</f>
        <v>HARRISON</v>
      </c>
      <c r="F2064" t="str">
        <f>IF(INPUT!N2059="","",INPUT!N2059)</f>
        <v>M</v>
      </c>
      <c r="G2064" t="str" cm="1">
        <f t="array" ref="G2064">IFERROR(VLOOKUP(INPUT!M2059&amp;INPUT!N2059,CHOOSE({1,2},INPUT!$A$3:$A$5000&amp;INPUT!$C$3:$C$5000,INPUT!$F$3:$F$5000),2,FALSE),"")</f>
        <v>PRE-TEMPORADA</v>
      </c>
      <c r="H2064" t="str" cm="1">
        <f t="array" ref="H2064">IFERROR(VLOOKUP(INPUT!M2059&amp;INPUT!N2059,CHOOSE({1,2},INPUT!$A$3:$A$5000&amp;INPUT!$C$3:$C$5000,INPUT!$D$3:$D$5000),2,FALSE),"")</f>
        <v>TEC-TAC</v>
      </c>
      <c r="I2064" s="46">
        <f>IF(INPUT!P2059="","",INPUT!P2059)</f>
        <v>72</v>
      </c>
      <c r="J2064" s="46">
        <f>IF(INPUT!Q2059="","",INPUT!Q2059)</f>
        <v>72</v>
      </c>
      <c r="K2064" s="46">
        <f>IFERROR(IF(OR(INPUT!P2059="",INPUT!Q2059=""),"",INPUT!P2059-INPUT!Q2059),"")</f>
        <v>0</v>
      </c>
      <c r="L2064" s="48">
        <f>IFERROR(IF(OR(INPUT!P2059="",INPUT!Q2059="",INPUT!P2059=0),"",(INPUT!P2059-INPUT!Q2059)/INPUT!P2059),"")</f>
        <v>0</v>
      </c>
    </row>
    <row r="2065" spans="1:12" ht="18" hidden="1" customHeight="1" x14ac:dyDescent="0.2">
      <c r="A2065" s="11">
        <f>IF(INPUT!M2060="","",INPUT!M2060)</f>
        <v>46076</v>
      </c>
      <c r="B2065" s="11">
        <f>IF(INPUT!M2060="","",INPUT!M2060-WEEKDAY(INPUT!M2060,2)+1)</f>
        <v>46076</v>
      </c>
      <c r="C2065" s="20">
        <f>IFERROR(_xlfn.ISOWEEKNUM(INPUT!M2060),"")</f>
        <v>9</v>
      </c>
      <c r="D2065" s="20">
        <f>IFERROR(YEAR(INPUT!M2060),"")</f>
        <v>2026</v>
      </c>
      <c r="E2065" t="str">
        <f>IF(INPUT!O2060="","",INPUT!O2060)</f>
        <v>HARRISON</v>
      </c>
      <c r="F2065" t="str">
        <f>IF(INPUT!N2060="","",INPUT!N2060)</f>
        <v>T</v>
      </c>
      <c r="G2065" t="str" cm="1">
        <f t="array" ref="G2065">IFERROR(VLOOKUP(INPUT!M2060&amp;INPUT!N2060,CHOOSE({1,2},INPUT!$A$3:$A$5000&amp;INPUT!$C$3:$C$5000,INPUT!$F$3:$F$5000),2,FALSE),"")</f>
        <v>PRE-TEMPORADA</v>
      </c>
      <c r="H2065" t="str" cm="1">
        <f t="array" ref="H2065">IFERROR(VLOOKUP(INPUT!M2060&amp;INPUT!N2060,CHOOSE({1,2},INPUT!$A$3:$A$5000&amp;INPUT!$C$3:$C$5000,INPUT!$D$3:$D$5000),2,FALSE),"")</f>
        <v>GYM+FISICO</v>
      </c>
      <c r="I2065" s="46">
        <f>IF(INPUT!P2060="","",INPUT!P2060)</f>
        <v>72</v>
      </c>
      <c r="J2065" s="46">
        <f>IF(INPUT!Q2060="","",INPUT!Q2060)</f>
        <v>71.8</v>
      </c>
      <c r="K2065" s="46">
        <f>IFERROR(IF(OR(INPUT!P2060="",INPUT!Q2060=""),"",INPUT!P2060-INPUT!Q2060),"")</f>
        <v>0.20000000000000284</v>
      </c>
      <c r="L2065" s="48">
        <f>IFERROR(IF(OR(INPUT!P2060="",INPUT!Q2060="",INPUT!P2060=0),"",(INPUT!P2060-INPUT!Q2060)/INPUT!P2060),"")</f>
        <v>2.7777777777778173E-3</v>
      </c>
    </row>
    <row r="2066" spans="1:12" ht="18" hidden="1" customHeight="1" x14ac:dyDescent="0.2">
      <c r="A2066" s="11">
        <f>IF(INPUT!M2061="","",INPUT!M2061)</f>
        <v>46076</v>
      </c>
      <c r="B2066" s="11">
        <f>IF(INPUT!M2061="","",INPUT!M2061-WEEKDAY(INPUT!M2061,2)+1)</f>
        <v>46076</v>
      </c>
      <c r="C2066" s="20">
        <f>IFERROR(_xlfn.ISOWEEKNUM(INPUT!M2061),"")</f>
        <v>9</v>
      </c>
      <c r="D2066" s="20">
        <f>IFERROR(YEAR(INPUT!M2061),"")</f>
        <v>2026</v>
      </c>
      <c r="E2066" t="str">
        <f>IF(INPUT!O2061="","",INPUT!O2061)</f>
        <v>RAYA</v>
      </c>
      <c r="F2066" t="str">
        <f>IF(INPUT!N2061="","",INPUT!N2061)</f>
        <v>M</v>
      </c>
      <c r="G2066" t="str" cm="1">
        <f t="array" ref="G2066">IFERROR(VLOOKUP(INPUT!M2061&amp;INPUT!N2061,CHOOSE({1,2},INPUT!$A$3:$A$5000&amp;INPUT!$C$3:$C$5000,INPUT!$F$3:$F$5000),2,FALSE),"")</f>
        <v>PRE-TEMPORADA</v>
      </c>
      <c r="H2066" t="str" cm="1">
        <f t="array" ref="H2066">IFERROR(VLOOKUP(INPUT!M2061&amp;INPUT!N2061,CHOOSE({1,2},INPUT!$A$3:$A$5000&amp;INPUT!$C$3:$C$5000,INPUT!$D$3:$D$5000),2,FALSE),"")</f>
        <v>TEC-TAC</v>
      </c>
      <c r="I2066" s="46">
        <f>IF(INPUT!P2061="","",INPUT!P2061)</f>
        <v>82.5</v>
      </c>
      <c r="J2066" s="46">
        <f>IF(INPUT!Q2061="","",INPUT!Q2061)</f>
        <v>81.5</v>
      </c>
      <c r="K2066" s="46">
        <f>IFERROR(IF(OR(INPUT!P2061="",INPUT!Q2061=""),"",INPUT!P2061-INPUT!Q2061),"")</f>
        <v>1</v>
      </c>
      <c r="L2066" s="48">
        <f>IFERROR(IF(OR(INPUT!P2061="",INPUT!Q2061="",INPUT!P2061=0),"",(INPUT!P2061-INPUT!Q2061)/INPUT!P2061),"")</f>
        <v>1.2121212121212121E-2</v>
      </c>
    </row>
    <row r="2067" spans="1:12" ht="18" hidden="1" customHeight="1" x14ac:dyDescent="0.2">
      <c r="A2067" s="11">
        <f>IF(INPUT!M2062="","",INPUT!M2062)</f>
        <v>46076</v>
      </c>
      <c r="B2067" s="11">
        <f>IF(INPUT!M2062="","",INPUT!M2062-WEEKDAY(INPUT!M2062,2)+1)</f>
        <v>46076</v>
      </c>
      <c r="C2067" s="20">
        <f>IFERROR(_xlfn.ISOWEEKNUM(INPUT!M2062),"")</f>
        <v>9</v>
      </c>
      <c r="D2067" s="20">
        <f>IFERROR(YEAR(INPUT!M2062),"")</f>
        <v>2026</v>
      </c>
      <c r="E2067" t="str">
        <f>IF(INPUT!O2062="","",INPUT!O2062)</f>
        <v>RAYA</v>
      </c>
      <c r="F2067" t="str">
        <f>IF(INPUT!N2062="","",INPUT!N2062)</f>
        <v>T</v>
      </c>
      <c r="G2067" t="str" cm="1">
        <f t="array" ref="G2067">IFERROR(VLOOKUP(INPUT!M2062&amp;INPUT!N2062,CHOOSE({1,2},INPUT!$A$3:$A$5000&amp;INPUT!$C$3:$C$5000,INPUT!$F$3:$F$5000),2,FALSE),"")</f>
        <v>PRE-TEMPORADA</v>
      </c>
      <c r="H2067" t="str" cm="1">
        <f t="array" ref="H2067">IFERROR(VLOOKUP(INPUT!M2062&amp;INPUT!N2062,CHOOSE({1,2},INPUT!$A$3:$A$5000&amp;INPUT!$C$3:$C$5000,INPUT!$D$3:$D$5000),2,FALSE),"")</f>
        <v>GYM+FISICO</v>
      </c>
      <c r="I2067" s="46">
        <f>IF(INPUT!P2062="","",INPUT!P2062)</f>
        <v>81.400000000000006</v>
      </c>
      <c r="J2067" s="46">
        <f>IF(INPUT!Q2062="","",INPUT!Q2062)</f>
        <v>81.400000000000006</v>
      </c>
      <c r="K2067" s="46">
        <f>IFERROR(IF(OR(INPUT!P2062="",INPUT!Q2062=""),"",INPUT!P2062-INPUT!Q2062),"")</f>
        <v>0</v>
      </c>
      <c r="L2067" s="48">
        <f>IFERROR(IF(OR(INPUT!P2062="",INPUT!Q2062="",INPUT!P2062=0),"",(INPUT!P2062-INPUT!Q2062)/INPUT!P2062),"")</f>
        <v>0</v>
      </c>
    </row>
    <row r="2068" spans="1:12" ht="18" hidden="1" customHeight="1" x14ac:dyDescent="0.2">
      <c r="A2068" s="11">
        <f>IF(INPUT!M2063="","",INPUT!M2063)</f>
        <v>46076</v>
      </c>
      <c r="B2068" s="11">
        <f>IF(INPUT!M2063="","",INPUT!M2063-WEEKDAY(INPUT!M2063,2)+1)</f>
        <v>46076</v>
      </c>
      <c r="C2068" s="20">
        <f>IFERROR(_xlfn.ISOWEEKNUM(INPUT!M2063),"")</f>
        <v>9</v>
      </c>
      <c r="D2068" s="20">
        <f>IFERROR(YEAR(INPUT!M2063),"")</f>
        <v>2026</v>
      </c>
      <c r="E2068" t="str">
        <f>IF(INPUT!O2063="","",INPUT!O2063)</f>
        <v>JAVI</v>
      </c>
      <c r="F2068" t="str">
        <f>IF(INPUT!N2063="","",INPUT!N2063)</f>
        <v>M</v>
      </c>
      <c r="G2068" t="str" cm="1">
        <f t="array" ref="G2068">IFERROR(VLOOKUP(INPUT!M2063&amp;INPUT!N2063,CHOOSE({1,2},INPUT!$A$3:$A$5000&amp;INPUT!$C$3:$C$5000,INPUT!$F$3:$F$5000),2,FALSE),"")</f>
        <v>PRE-TEMPORADA</v>
      </c>
      <c r="H2068" t="str" cm="1">
        <f t="array" ref="H2068">IFERROR(VLOOKUP(INPUT!M2063&amp;INPUT!N2063,CHOOSE({1,2},INPUT!$A$3:$A$5000&amp;INPUT!$C$3:$C$5000,INPUT!$D$3:$D$5000),2,FALSE),"")</f>
        <v>TEC-TAC</v>
      </c>
      <c r="I2068" s="46">
        <f>IF(INPUT!P2063="","",INPUT!P2063)</f>
        <v>80</v>
      </c>
      <c r="J2068" s="46">
        <f>IF(INPUT!Q2063="","",INPUT!Q2063)</f>
        <v>80</v>
      </c>
      <c r="K2068" s="46">
        <f>IFERROR(IF(OR(INPUT!P2063="",INPUT!Q2063=""),"",INPUT!P2063-INPUT!Q2063),"")</f>
        <v>0</v>
      </c>
      <c r="L2068" s="48">
        <f>IFERROR(IF(OR(INPUT!P2063="",INPUT!Q2063="",INPUT!P2063=0),"",(INPUT!P2063-INPUT!Q2063)/INPUT!P2063),"")</f>
        <v>0</v>
      </c>
    </row>
    <row r="2069" spans="1:12" ht="18" hidden="1" customHeight="1" x14ac:dyDescent="0.2">
      <c r="A2069" s="11">
        <f>IF(INPUT!M2064="","",INPUT!M2064)</f>
        <v>46076</v>
      </c>
      <c r="B2069" s="11">
        <f>IF(INPUT!M2064="","",INPUT!M2064-WEEKDAY(INPUT!M2064,2)+1)</f>
        <v>46076</v>
      </c>
      <c r="C2069" s="20">
        <f>IFERROR(_xlfn.ISOWEEKNUM(INPUT!M2064),"")</f>
        <v>9</v>
      </c>
      <c r="D2069" s="20">
        <f>IFERROR(YEAR(INPUT!M2064),"")</f>
        <v>2026</v>
      </c>
      <c r="E2069" t="str">
        <f>IF(INPUT!O2064="","",INPUT!O2064)</f>
        <v>JAVI</v>
      </c>
      <c r="F2069" t="str">
        <f>IF(INPUT!N2064="","",INPUT!N2064)</f>
        <v>T</v>
      </c>
      <c r="G2069" t="str" cm="1">
        <f t="array" ref="G2069">IFERROR(VLOOKUP(INPUT!M2064&amp;INPUT!N2064,CHOOSE({1,2},INPUT!$A$3:$A$5000&amp;INPUT!$C$3:$C$5000,INPUT!$F$3:$F$5000),2,FALSE),"")</f>
        <v>PRE-TEMPORADA</v>
      </c>
      <c r="H2069" t="str" cm="1">
        <f t="array" ref="H2069">IFERROR(VLOOKUP(INPUT!M2064&amp;INPUT!N2064,CHOOSE({1,2},INPUT!$A$3:$A$5000&amp;INPUT!$C$3:$C$5000,INPUT!$D$3:$D$5000),2,FALSE),"")</f>
        <v>GYM+FISICO</v>
      </c>
      <c r="I2069" s="46">
        <f>IF(INPUT!P2064="","",INPUT!P2064)</f>
        <v>79</v>
      </c>
      <c r="J2069" s="46">
        <f>IF(INPUT!Q2064="","",INPUT!Q2064)</f>
        <v>79</v>
      </c>
      <c r="K2069" s="46">
        <f>IFERROR(IF(OR(INPUT!P2064="",INPUT!Q2064=""),"",INPUT!P2064-INPUT!Q2064),"")</f>
        <v>0</v>
      </c>
      <c r="L2069" s="48">
        <f>IFERROR(IF(OR(INPUT!P2064="",INPUT!Q2064="",INPUT!P2064=0),"",(INPUT!P2064-INPUT!Q2064)/INPUT!P2064),"")</f>
        <v>0</v>
      </c>
    </row>
    <row r="2070" spans="1:12" ht="18" hidden="1" customHeight="1" x14ac:dyDescent="0.2">
      <c r="A2070" s="11">
        <f>IF(INPUT!M2065="","",INPUT!M2065)</f>
        <v>46076</v>
      </c>
      <c r="B2070" s="11">
        <f>IF(INPUT!M2065="","",INPUT!M2065-WEEKDAY(INPUT!M2065,2)+1)</f>
        <v>46076</v>
      </c>
      <c r="C2070" s="20">
        <f>IFERROR(_xlfn.ISOWEEKNUM(INPUT!M2065),"")</f>
        <v>9</v>
      </c>
      <c r="D2070" s="20">
        <f>IFERROR(YEAR(INPUT!M2065),"")</f>
        <v>2026</v>
      </c>
      <c r="E2070" t="str">
        <f>IF(INPUT!O2065="","",INPUT!O2065)</f>
        <v>PANI</v>
      </c>
      <c r="F2070" t="str">
        <f>IF(INPUT!N2065="","",INPUT!N2065)</f>
        <v>M</v>
      </c>
      <c r="G2070" t="str" cm="1">
        <f t="array" ref="G2070">IFERROR(VLOOKUP(INPUT!M2065&amp;INPUT!N2065,CHOOSE({1,2},INPUT!$A$3:$A$5000&amp;INPUT!$C$3:$C$5000,INPUT!$F$3:$F$5000),2,FALSE),"")</f>
        <v>PRE-TEMPORADA</v>
      </c>
      <c r="H2070" t="str" cm="1">
        <f t="array" ref="H2070">IFERROR(VLOOKUP(INPUT!M2065&amp;INPUT!N2065,CHOOSE({1,2},INPUT!$A$3:$A$5000&amp;INPUT!$C$3:$C$5000,INPUT!$D$3:$D$5000),2,FALSE),"")</f>
        <v>TEC-TAC</v>
      </c>
      <c r="I2070" s="46">
        <f>IF(INPUT!P2065="","",INPUT!P2065)</f>
        <v>67</v>
      </c>
      <c r="J2070" s="46">
        <f>IF(INPUT!Q2065="","",INPUT!Q2065)</f>
        <v>66</v>
      </c>
      <c r="K2070" s="46">
        <f>IFERROR(IF(OR(INPUT!P2065="",INPUT!Q2065=""),"",INPUT!P2065-INPUT!Q2065),"")</f>
        <v>1</v>
      </c>
      <c r="L2070" s="48">
        <f>IFERROR(IF(OR(INPUT!P2065="",INPUT!Q2065="",INPUT!P2065=0),"",(INPUT!P2065-INPUT!Q2065)/INPUT!P2065),"")</f>
        <v>1.4925373134328358E-2</v>
      </c>
    </row>
    <row r="2071" spans="1:12" ht="18" hidden="1" customHeight="1" x14ac:dyDescent="0.2">
      <c r="A2071" s="11">
        <f>IF(INPUT!M2066="","",INPUT!M2066)</f>
        <v>46076</v>
      </c>
      <c r="B2071" s="11">
        <f>IF(INPUT!M2066="","",INPUT!M2066-WEEKDAY(INPUT!M2066,2)+1)</f>
        <v>46076</v>
      </c>
      <c r="C2071" s="20">
        <f>IFERROR(_xlfn.ISOWEEKNUM(INPUT!M2066),"")</f>
        <v>9</v>
      </c>
      <c r="D2071" s="20">
        <f>IFERROR(YEAR(INPUT!M2066),"")</f>
        <v>2026</v>
      </c>
      <c r="E2071" t="str">
        <f>IF(INPUT!O2066="","",INPUT!O2066)</f>
        <v>PANI</v>
      </c>
      <c r="F2071" t="str">
        <f>IF(INPUT!N2066="","",INPUT!N2066)</f>
        <v>T</v>
      </c>
      <c r="G2071" t="str" cm="1">
        <f t="array" ref="G2071">IFERROR(VLOOKUP(INPUT!M2066&amp;INPUT!N2066,CHOOSE({1,2},INPUT!$A$3:$A$5000&amp;INPUT!$C$3:$C$5000,INPUT!$F$3:$F$5000),2,FALSE),"")</f>
        <v>PRE-TEMPORADA</v>
      </c>
      <c r="H2071" t="str" cm="1">
        <f t="array" ref="H2071">IFERROR(VLOOKUP(INPUT!M2066&amp;INPUT!N2066,CHOOSE({1,2},INPUT!$A$3:$A$5000&amp;INPUT!$C$3:$C$5000,INPUT!$D$3:$D$5000),2,FALSE),"")</f>
        <v>GYM+FISICO</v>
      </c>
      <c r="I2071" s="46">
        <f>IF(INPUT!P2066="","",INPUT!P2066)</f>
        <v>66.8</v>
      </c>
      <c r="J2071" s="46">
        <f>IF(INPUT!Q2066="","",INPUT!Q2066)</f>
        <v>66.099999999999994</v>
      </c>
      <c r="K2071" s="46">
        <f>IFERROR(IF(OR(INPUT!P2066="",INPUT!Q2066=""),"",INPUT!P2066-INPUT!Q2066),"")</f>
        <v>0.70000000000000284</v>
      </c>
      <c r="L2071" s="48">
        <f>IFERROR(IF(OR(INPUT!P2066="",INPUT!Q2066="",INPUT!P2066=0),"",(INPUT!P2066-INPUT!Q2066)/INPUT!P2066),"")</f>
        <v>1.0479041916167707E-2</v>
      </c>
    </row>
    <row r="2072" spans="1:12" ht="18" hidden="1" customHeight="1" x14ac:dyDescent="0.2">
      <c r="A2072" s="11">
        <f>IF(INPUT!M2067="","",INPUT!M2067)</f>
        <v>46076</v>
      </c>
      <c r="B2072" s="11">
        <f>IF(INPUT!M2067="","",INPUT!M2067-WEEKDAY(INPUT!M2067,2)+1)</f>
        <v>46076</v>
      </c>
      <c r="C2072" s="20">
        <f>IFERROR(_xlfn.ISOWEEKNUM(INPUT!M2067),"")</f>
        <v>9</v>
      </c>
      <c r="D2072" s="20">
        <f>IFERROR(YEAR(INPUT!M2067),"")</f>
        <v>2026</v>
      </c>
      <c r="E2072" t="str">
        <f>IF(INPUT!O2067="","",INPUT!O2067)</f>
        <v>PIRATA</v>
      </c>
      <c r="F2072" t="str">
        <f>IF(INPUT!N2067="","",INPUT!N2067)</f>
        <v>M</v>
      </c>
      <c r="G2072" t="str" cm="1">
        <f t="array" ref="G2072">IFERROR(VLOOKUP(INPUT!M2067&amp;INPUT!N2067,CHOOSE({1,2},INPUT!$A$3:$A$5000&amp;INPUT!$C$3:$C$5000,INPUT!$F$3:$F$5000),2,FALSE),"")</f>
        <v>PRE-TEMPORADA</v>
      </c>
      <c r="H2072" t="str" cm="1">
        <f t="array" ref="H2072">IFERROR(VLOOKUP(INPUT!M2067&amp;INPUT!N2067,CHOOSE({1,2},INPUT!$A$3:$A$5000&amp;INPUT!$C$3:$C$5000,INPUT!$D$3:$D$5000),2,FALSE),"")</f>
        <v>TEC-TAC</v>
      </c>
      <c r="I2072" s="46">
        <f>IF(INPUT!P2067="","",INPUT!P2067)</f>
        <v>75.400000000000006</v>
      </c>
      <c r="J2072" s="46">
        <f>IF(INPUT!Q2067="","",INPUT!Q2067)</f>
        <v>75.099999999999994</v>
      </c>
      <c r="K2072" s="46">
        <f>IFERROR(IF(OR(INPUT!P2067="",INPUT!Q2067=""),"",INPUT!P2067-INPUT!Q2067),"")</f>
        <v>0.30000000000001137</v>
      </c>
      <c r="L2072" s="48">
        <f>IFERROR(IF(OR(INPUT!P2067="",INPUT!Q2067="",INPUT!P2067=0),"",(INPUT!P2067-INPUT!Q2067)/INPUT!P2067),"")</f>
        <v>3.9787798408489564E-3</v>
      </c>
    </row>
    <row r="2073" spans="1:12" ht="18" hidden="1" customHeight="1" x14ac:dyDescent="0.2">
      <c r="A2073" s="11">
        <f>IF(INPUT!M2068="","",INPUT!M2068)</f>
        <v>46076</v>
      </c>
      <c r="B2073" s="11">
        <f>IF(INPUT!M2068="","",INPUT!M2068-WEEKDAY(INPUT!M2068,2)+1)</f>
        <v>46076</v>
      </c>
      <c r="C2073" s="20">
        <f>IFERROR(_xlfn.ISOWEEKNUM(INPUT!M2068),"")</f>
        <v>9</v>
      </c>
      <c r="D2073" s="20">
        <f>IFERROR(YEAR(INPUT!M2068),"")</f>
        <v>2026</v>
      </c>
      <c r="E2073" t="str">
        <f>IF(INPUT!O2068="","",INPUT!O2068)</f>
        <v>PIRATA</v>
      </c>
      <c r="F2073" t="str">
        <f>IF(INPUT!N2068="","",INPUT!N2068)</f>
        <v>T</v>
      </c>
      <c r="G2073" t="str" cm="1">
        <f t="array" ref="G2073">IFERROR(VLOOKUP(INPUT!M2068&amp;INPUT!N2068,CHOOSE({1,2},INPUT!$A$3:$A$5000&amp;INPUT!$C$3:$C$5000,INPUT!$F$3:$F$5000),2,FALSE),"")</f>
        <v>PRE-TEMPORADA</v>
      </c>
      <c r="H2073" t="str" cm="1">
        <f t="array" ref="H2073">IFERROR(VLOOKUP(INPUT!M2068&amp;INPUT!N2068,CHOOSE({1,2},INPUT!$A$3:$A$5000&amp;INPUT!$C$3:$C$5000,INPUT!$D$3:$D$5000),2,FALSE),"")</f>
        <v>GYM+FISICO</v>
      </c>
      <c r="I2073" s="46">
        <f>IF(INPUT!P2068="","",INPUT!P2068)</f>
        <v>75.2</v>
      </c>
      <c r="J2073" s="46">
        <f>IF(INPUT!Q2068="","",INPUT!Q2068)</f>
        <v>75.3</v>
      </c>
      <c r="K2073" s="46">
        <f>IFERROR(IF(OR(INPUT!P2068="",INPUT!Q2068=""),"",INPUT!P2068-INPUT!Q2068),"")</f>
        <v>-9.9999999999994316E-2</v>
      </c>
      <c r="L2073" s="48">
        <f>IFERROR(IF(OR(INPUT!P2068="",INPUT!Q2068="",INPUT!P2068=0),"",(INPUT!P2068-INPUT!Q2068)/INPUT!P2068),"")</f>
        <v>-1.3297872340424775E-3</v>
      </c>
    </row>
    <row r="2074" spans="1:12" ht="18" hidden="1" customHeight="1" x14ac:dyDescent="0.2">
      <c r="A2074" s="11">
        <f>IF(INPUT!M2069="","",INPUT!M2069)</f>
        <v>46076</v>
      </c>
      <c r="B2074" s="11">
        <f>IF(INPUT!M2069="","",INPUT!M2069-WEEKDAY(INPUT!M2069,2)+1)</f>
        <v>46076</v>
      </c>
      <c r="C2074" s="20">
        <f>IFERROR(_xlfn.ISOWEEKNUM(INPUT!M2069),"")</f>
        <v>9</v>
      </c>
      <c r="D2074" s="20">
        <f>IFERROR(YEAR(INPUT!M2069),"")</f>
        <v>2026</v>
      </c>
      <c r="E2074" t="str">
        <f>IF(INPUT!O2069="","",INPUT!O2069)</f>
        <v>BARONA</v>
      </c>
      <c r="F2074" t="str">
        <f>IF(INPUT!N2069="","",INPUT!N2069)</f>
        <v>M</v>
      </c>
      <c r="G2074" t="str" cm="1">
        <f t="array" ref="G2074">IFERROR(VLOOKUP(INPUT!M2069&amp;INPUT!N2069,CHOOSE({1,2},INPUT!$A$3:$A$5000&amp;INPUT!$C$3:$C$5000,INPUT!$F$3:$F$5000),2,FALSE),"")</f>
        <v>PRE-TEMPORADA</v>
      </c>
      <c r="H2074" t="str" cm="1">
        <f t="array" ref="H2074">IFERROR(VLOOKUP(INPUT!M2069&amp;INPUT!N2069,CHOOSE({1,2},INPUT!$A$3:$A$5000&amp;INPUT!$C$3:$C$5000,INPUT!$D$3:$D$5000),2,FALSE),"")</f>
        <v>TEC-TAC</v>
      </c>
      <c r="I2074" s="46">
        <f>IF(INPUT!P2069="","",INPUT!P2069)</f>
        <v>71</v>
      </c>
      <c r="J2074" s="46">
        <f>IF(INPUT!Q2069="","",INPUT!Q2069)</f>
        <v>70.8</v>
      </c>
      <c r="K2074" s="46">
        <f>IFERROR(IF(OR(INPUT!P2069="",INPUT!Q2069=""),"",INPUT!P2069-INPUT!Q2069),"")</f>
        <v>0.20000000000000284</v>
      </c>
      <c r="L2074" s="48">
        <f>IFERROR(IF(OR(INPUT!P2069="",INPUT!Q2069="",INPUT!P2069=0),"",(INPUT!P2069-INPUT!Q2069)/INPUT!P2069),"")</f>
        <v>2.8169014084507443E-3</v>
      </c>
    </row>
    <row r="2075" spans="1:12" ht="18" hidden="1" customHeight="1" x14ac:dyDescent="0.2">
      <c r="A2075" s="11">
        <f>IF(INPUT!M2070="","",INPUT!M2070)</f>
        <v>46076</v>
      </c>
      <c r="B2075" s="11">
        <f>IF(INPUT!M2070="","",INPUT!M2070-WEEKDAY(INPUT!M2070,2)+1)</f>
        <v>46076</v>
      </c>
      <c r="C2075" s="20">
        <f>IFERROR(_xlfn.ISOWEEKNUM(INPUT!M2070),"")</f>
        <v>9</v>
      </c>
      <c r="D2075" s="20">
        <f>IFERROR(YEAR(INPUT!M2070),"")</f>
        <v>2026</v>
      </c>
      <c r="E2075" t="str">
        <f>IF(INPUT!O2070="","",INPUT!O2070)</f>
        <v>BARONA</v>
      </c>
      <c r="F2075" t="str">
        <f>IF(INPUT!N2070="","",INPUT!N2070)</f>
        <v>T</v>
      </c>
      <c r="G2075" t="str" cm="1">
        <f t="array" ref="G2075">IFERROR(VLOOKUP(INPUT!M2070&amp;INPUT!N2070,CHOOSE({1,2},INPUT!$A$3:$A$5000&amp;INPUT!$C$3:$C$5000,INPUT!$F$3:$F$5000),2,FALSE),"")</f>
        <v>PRE-TEMPORADA</v>
      </c>
      <c r="H2075" t="str" cm="1">
        <f t="array" ref="H2075">IFERROR(VLOOKUP(INPUT!M2070&amp;INPUT!N2070,CHOOSE({1,2},INPUT!$A$3:$A$5000&amp;INPUT!$C$3:$C$5000,INPUT!$D$3:$D$5000),2,FALSE),"")</f>
        <v>GYM+FISICO</v>
      </c>
      <c r="I2075" s="46">
        <f>IF(INPUT!P2070="","",INPUT!P2070)</f>
        <v>70.5</v>
      </c>
      <c r="J2075" s="46">
        <f>IF(INPUT!Q2070="","",INPUT!Q2070)</f>
        <v>70.5</v>
      </c>
      <c r="K2075" s="46">
        <f>IFERROR(IF(OR(INPUT!P2070="",INPUT!Q2070=""),"",INPUT!P2070-INPUT!Q2070),"")</f>
        <v>0</v>
      </c>
      <c r="L2075" s="48">
        <f>IFERROR(IF(OR(INPUT!P2070="",INPUT!Q2070="",INPUT!P2070=0),"",(INPUT!P2070-INPUT!Q2070)/INPUT!P2070),"")</f>
        <v>0</v>
      </c>
    </row>
    <row r="2076" spans="1:12" ht="18" hidden="1" customHeight="1" x14ac:dyDescent="0.2">
      <c r="A2076" s="11">
        <f>IF(INPUT!M2071="","",INPUT!M2071)</f>
        <v>46076</v>
      </c>
      <c r="B2076" s="11">
        <f>IF(INPUT!M2071="","",INPUT!M2071-WEEKDAY(INPUT!M2071,2)+1)</f>
        <v>46076</v>
      </c>
      <c r="C2076" s="20">
        <f>IFERROR(_xlfn.ISOWEEKNUM(INPUT!M2071),"")</f>
        <v>9</v>
      </c>
      <c r="D2076" s="20">
        <f>IFERROR(YEAR(INPUT!M2071),"")</f>
        <v>2026</v>
      </c>
      <c r="E2076" t="str">
        <f>IF(INPUT!O2071="","",INPUT!O2071)</f>
        <v>CARLOS</v>
      </c>
      <c r="F2076" t="str">
        <f>IF(INPUT!N2071="","",INPUT!N2071)</f>
        <v>M</v>
      </c>
      <c r="G2076" t="str" cm="1">
        <f t="array" ref="G2076">IFERROR(VLOOKUP(INPUT!M2071&amp;INPUT!N2071,CHOOSE({1,2},INPUT!$A$3:$A$5000&amp;INPUT!$C$3:$C$5000,INPUT!$F$3:$F$5000),2,FALSE),"")</f>
        <v>PRE-TEMPORADA</v>
      </c>
      <c r="H2076" t="str" cm="1">
        <f t="array" ref="H2076">IFERROR(VLOOKUP(INPUT!M2071&amp;INPUT!N2071,CHOOSE({1,2},INPUT!$A$3:$A$5000&amp;INPUT!$C$3:$C$5000,INPUT!$D$3:$D$5000),2,FALSE),"")</f>
        <v>TEC-TAC</v>
      </c>
      <c r="I2076" s="46">
        <f>IF(INPUT!P2071="","",INPUT!P2071)</f>
        <v>68.400000000000006</v>
      </c>
      <c r="J2076" s="46">
        <f>IF(INPUT!Q2071="","",INPUT!Q2071)</f>
        <v>68.2</v>
      </c>
      <c r="K2076" s="46">
        <f>IFERROR(IF(OR(INPUT!P2071="",INPUT!Q2071=""),"",INPUT!P2071-INPUT!Q2071),"")</f>
        <v>0.20000000000000284</v>
      </c>
      <c r="L2076" s="48">
        <f>IFERROR(IF(OR(INPUT!P2071="",INPUT!Q2071="",INPUT!P2071=0),"",(INPUT!P2071-INPUT!Q2071)/INPUT!P2071),"")</f>
        <v>2.923976608187176E-3</v>
      </c>
    </row>
    <row r="2077" spans="1:12" ht="18" hidden="1" customHeight="1" x14ac:dyDescent="0.2">
      <c r="A2077" s="11">
        <f>IF(INPUT!M2072="","",INPUT!M2072)</f>
        <v>46076</v>
      </c>
      <c r="B2077" s="11">
        <f>IF(INPUT!M2072="","",INPUT!M2072-WEEKDAY(INPUT!M2072,2)+1)</f>
        <v>46076</v>
      </c>
      <c r="C2077" s="20">
        <f>IFERROR(_xlfn.ISOWEEKNUM(INPUT!M2072),"")</f>
        <v>9</v>
      </c>
      <c r="D2077" s="20">
        <f>IFERROR(YEAR(INPUT!M2072),"")</f>
        <v>2026</v>
      </c>
      <c r="E2077" t="str">
        <f>IF(INPUT!O2072="","",INPUT!O2072)</f>
        <v>CARLOS</v>
      </c>
      <c r="F2077" t="str">
        <f>IF(INPUT!N2072="","",INPUT!N2072)</f>
        <v>T</v>
      </c>
      <c r="G2077" t="str" cm="1">
        <f t="array" ref="G2077">IFERROR(VLOOKUP(INPUT!M2072&amp;INPUT!N2072,CHOOSE({1,2},INPUT!$A$3:$A$5000&amp;INPUT!$C$3:$C$5000,INPUT!$F$3:$F$5000),2,FALSE),"")</f>
        <v>PRE-TEMPORADA</v>
      </c>
      <c r="H2077" t="str" cm="1">
        <f t="array" ref="H2077">IFERROR(VLOOKUP(INPUT!M2072&amp;INPUT!N2072,CHOOSE({1,2},INPUT!$A$3:$A$5000&amp;INPUT!$C$3:$C$5000,INPUT!$D$3:$D$5000),2,FALSE),"")</f>
        <v>GYM+FISICO</v>
      </c>
      <c r="I2077" s="46">
        <f>IF(INPUT!P2072="","",INPUT!P2072)</f>
        <v>68.3</v>
      </c>
      <c r="J2077" s="46">
        <f>IF(INPUT!Q2072="","",INPUT!Q2072)</f>
        <v>67.8</v>
      </c>
      <c r="K2077" s="46">
        <f>IFERROR(IF(OR(INPUT!P2072="",INPUT!Q2072=""),"",INPUT!P2072-INPUT!Q2072),"")</f>
        <v>0.5</v>
      </c>
      <c r="L2077" s="48">
        <f>IFERROR(IF(OR(INPUT!P2072="",INPUT!Q2072="",INPUT!P2072=0),"",(INPUT!P2072-INPUT!Q2072)/INPUT!P2072),"")</f>
        <v>7.320644216691069E-3</v>
      </c>
    </row>
    <row r="2078" spans="1:12" ht="18" hidden="1" customHeight="1" x14ac:dyDescent="0.2">
      <c r="A2078" s="11">
        <f>IF(INPUT!M2073="","",INPUT!M2073)</f>
        <v>46076</v>
      </c>
      <c r="B2078" s="11">
        <f>IF(INPUT!M2073="","",INPUT!M2073-WEEKDAY(INPUT!M2073,2)+1)</f>
        <v>46076</v>
      </c>
      <c r="C2078" s="20">
        <f>IFERROR(_xlfn.ISOWEEKNUM(INPUT!M2073),"")</f>
        <v>9</v>
      </c>
      <c r="D2078" s="20">
        <f>IFERROR(YEAR(INPUT!M2073),"")</f>
        <v>2026</v>
      </c>
      <c r="E2078" t="str">
        <f>IF(INPUT!O2073="","",INPUT!O2073)</f>
        <v>DANI</v>
      </c>
      <c r="F2078" t="str">
        <f>IF(INPUT!N2073="","",INPUT!N2073)</f>
        <v>M</v>
      </c>
      <c r="G2078" t="str" cm="1">
        <f t="array" ref="G2078">IFERROR(VLOOKUP(INPUT!M2073&amp;INPUT!N2073,CHOOSE({1,2},INPUT!$A$3:$A$5000&amp;INPUT!$C$3:$C$5000,INPUT!$F$3:$F$5000),2,FALSE),"")</f>
        <v>PRE-TEMPORADA</v>
      </c>
      <c r="H2078" t="str" cm="1">
        <f t="array" ref="H2078">IFERROR(VLOOKUP(INPUT!M2073&amp;INPUT!N2073,CHOOSE({1,2},INPUT!$A$3:$A$5000&amp;INPUT!$C$3:$C$5000,INPUT!$D$3:$D$5000),2,FALSE),"")</f>
        <v>TEC-TAC</v>
      </c>
      <c r="I2078" s="46">
        <f>IF(INPUT!P2073="","",INPUT!P2073)</f>
        <v>92</v>
      </c>
      <c r="J2078" s="46">
        <f>IF(INPUT!Q2073="","",INPUT!Q2073)</f>
        <v>91.2</v>
      </c>
      <c r="K2078" s="46">
        <f>IFERROR(IF(OR(INPUT!P2073="",INPUT!Q2073=""),"",INPUT!P2073-INPUT!Q2073),"")</f>
        <v>0.79999999999999716</v>
      </c>
      <c r="L2078" s="48">
        <f>IFERROR(IF(OR(INPUT!P2073="",INPUT!Q2073="",INPUT!P2073=0),"",(INPUT!P2073-INPUT!Q2073)/INPUT!P2073),"")</f>
        <v>8.6956521739130124E-3</v>
      </c>
    </row>
    <row r="2079" spans="1:12" ht="18" hidden="1" customHeight="1" x14ac:dyDescent="0.2">
      <c r="A2079" s="11">
        <f>IF(INPUT!M2074="","",INPUT!M2074)</f>
        <v>46076</v>
      </c>
      <c r="B2079" s="11">
        <f>IF(INPUT!M2074="","",INPUT!M2074-WEEKDAY(INPUT!M2074,2)+1)</f>
        <v>46076</v>
      </c>
      <c r="C2079" s="20">
        <f>IFERROR(_xlfn.ISOWEEKNUM(INPUT!M2074),"")</f>
        <v>9</v>
      </c>
      <c r="D2079" s="20">
        <f>IFERROR(YEAR(INPUT!M2074),"")</f>
        <v>2026</v>
      </c>
      <c r="E2079" t="str">
        <f>IF(INPUT!O2074="","",INPUT!O2074)</f>
        <v>DANI</v>
      </c>
      <c r="F2079" t="str">
        <f>IF(INPUT!N2074="","",INPUT!N2074)</f>
        <v>T</v>
      </c>
      <c r="G2079" t="str" cm="1">
        <f t="array" ref="G2079">IFERROR(VLOOKUP(INPUT!M2074&amp;INPUT!N2074,CHOOSE({1,2},INPUT!$A$3:$A$5000&amp;INPUT!$C$3:$C$5000,INPUT!$F$3:$F$5000),2,FALSE),"")</f>
        <v>PRE-TEMPORADA</v>
      </c>
      <c r="H2079" t="str" cm="1">
        <f t="array" ref="H2079">IFERROR(VLOOKUP(INPUT!M2074&amp;INPUT!N2074,CHOOSE({1,2},INPUT!$A$3:$A$5000&amp;INPUT!$C$3:$C$5000,INPUT!$D$3:$D$5000),2,FALSE),"")</f>
        <v>GYM+FISICO</v>
      </c>
      <c r="I2079" s="46">
        <f>IF(INPUT!P2074="","",INPUT!P2074)</f>
        <v>91.4</v>
      </c>
      <c r="J2079" s="46">
        <f>IF(INPUT!Q2074="","",INPUT!Q2074)</f>
        <v>91</v>
      </c>
      <c r="K2079" s="46">
        <f>IFERROR(IF(OR(INPUT!P2074="",INPUT!Q2074=""),"",INPUT!P2074-INPUT!Q2074),"")</f>
        <v>0.40000000000000568</v>
      </c>
      <c r="L2079" s="48">
        <f>IFERROR(IF(OR(INPUT!P2074="",INPUT!Q2074="",INPUT!P2074=0),"",(INPUT!P2074-INPUT!Q2074)/INPUT!P2074),"")</f>
        <v>4.3763676148797122E-3</v>
      </c>
    </row>
    <row r="2080" spans="1:12" ht="18" hidden="1" customHeight="1" x14ac:dyDescent="0.2">
      <c r="A2080" s="11">
        <f>IF(INPUT!M2075="","",INPUT!M2075)</f>
        <v>46076</v>
      </c>
      <c r="B2080" s="11">
        <f>IF(INPUT!M2075="","",INPUT!M2075-WEEKDAY(INPUT!M2075,2)+1)</f>
        <v>46076</v>
      </c>
      <c r="C2080" s="20">
        <f>IFERROR(_xlfn.ISOWEEKNUM(INPUT!M2075),"")</f>
        <v>9</v>
      </c>
      <c r="D2080" s="20">
        <f>IFERROR(YEAR(INPUT!M2075),"")</f>
        <v>2026</v>
      </c>
      <c r="E2080" t="str">
        <f>IF(INPUT!O2075="","",INPUT!O2075)</f>
        <v>JAIME</v>
      </c>
      <c r="F2080" t="str">
        <f>IF(INPUT!N2075="","",INPUT!N2075)</f>
        <v>M</v>
      </c>
      <c r="G2080" t="str" cm="1">
        <f t="array" ref="G2080">IFERROR(VLOOKUP(INPUT!M2075&amp;INPUT!N2075,CHOOSE({1,2},INPUT!$A$3:$A$5000&amp;INPUT!$C$3:$C$5000,INPUT!$F$3:$F$5000),2,FALSE),"")</f>
        <v>PRE-TEMPORADA</v>
      </c>
      <c r="H2080" t="str" cm="1">
        <f t="array" ref="H2080">IFERROR(VLOOKUP(INPUT!M2075&amp;INPUT!N2075,CHOOSE({1,2},INPUT!$A$3:$A$5000&amp;INPUT!$C$3:$C$5000,INPUT!$D$3:$D$5000),2,FALSE),"")</f>
        <v>TEC-TAC</v>
      </c>
      <c r="I2080" s="46">
        <f>IF(INPUT!P2075="","",INPUT!P2075)</f>
        <v>75.400000000000006</v>
      </c>
      <c r="J2080" s="46">
        <f>IF(INPUT!Q2075="","",INPUT!Q2075)</f>
        <v>75.2</v>
      </c>
      <c r="K2080" s="46">
        <f>IFERROR(IF(OR(INPUT!P2075="",INPUT!Q2075=""),"",INPUT!P2075-INPUT!Q2075),"")</f>
        <v>0.20000000000000284</v>
      </c>
      <c r="L2080" s="48">
        <f>IFERROR(IF(OR(INPUT!P2075="",INPUT!Q2075="",INPUT!P2075=0),"",(INPUT!P2075-INPUT!Q2075)/INPUT!P2075),"")</f>
        <v>2.6525198938992418E-3</v>
      </c>
    </row>
    <row r="2081" spans="1:12" ht="18" hidden="1" customHeight="1" x14ac:dyDescent="0.2">
      <c r="A2081" s="11">
        <f>IF(INPUT!M2076="","",INPUT!M2076)</f>
        <v>46076</v>
      </c>
      <c r="B2081" s="11">
        <f>IF(INPUT!M2076="","",INPUT!M2076-WEEKDAY(INPUT!M2076,2)+1)</f>
        <v>46076</v>
      </c>
      <c r="C2081" s="20">
        <f>IFERROR(_xlfn.ISOWEEKNUM(INPUT!M2076),"")</f>
        <v>9</v>
      </c>
      <c r="D2081" s="20">
        <f>IFERROR(YEAR(INPUT!M2076),"")</f>
        <v>2026</v>
      </c>
      <c r="E2081" t="str">
        <f>IF(INPUT!O2076="","",INPUT!O2076)</f>
        <v>JAIME</v>
      </c>
      <c r="F2081" t="str">
        <f>IF(INPUT!N2076="","",INPUT!N2076)</f>
        <v>T</v>
      </c>
      <c r="G2081" t="str" cm="1">
        <f t="array" ref="G2081">IFERROR(VLOOKUP(INPUT!M2076&amp;INPUT!N2076,CHOOSE({1,2},INPUT!$A$3:$A$5000&amp;INPUT!$C$3:$C$5000,INPUT!$F$3:$F$5000),2,FALSE),"")</f>
        <v>PRE-TEMPORADA</v>
      </c>
      <c r="H2081" t="str" cm="1">
        <f t="array" ref="H2081">IFERROR(VLOOKUP(INPUT!M2076&amp;INPUT!N2076,CHOOSE({1,2},INPUT!$A$3:$A$5000&amp;INPUT!$C$3:$C$5000,INPUT!$D$3:$D$5000),2,FALSE),"")</f>
        <v>GYM+FISICO</v>
      </c>
      <c r="I2081" s="46">
        <f>IF(INPUT!P2076="","",INPUT!P2076)</f>
        <v>75.099999999999994</v>
      </c>
      <c r="J2081" s="46">
        <f>IF(INPUT!Q2076="","",INPUT!Q2076)</f>
        <v>75</v>
      </c>
      <c r="K2081" s="46">
        <f>IFERROR(IF(OR(INPUT!P2076="",INPUT!Q2076=""),"",INPUT!P2076-INPUT!Q2076),"")</f>
        <v>9.9999999999994316E-2</v>
      </c>
      <c r="L2081" s="48">
        <f>IFERROR(IF(OR(INPUT!P2076="",INPUT!Q2076="",INPUT!P2076=0),"",(INPUT!P2076-INPUT!Q2076)/INPUT!P2076),"")</f>
        <v>1.3315579227695649E-3</v>
      </c>
    </row>
    <row r="2082" spans="1:12" ht="18" hidden="1" customHeight="1" x14ac:dyDescent="0.2">
      <c r="A2082" s="11">
        <f>IF(INPUT!M2077="","",INPUT!M2077)</f>
        <v>46077</v>
      </c>
      <c r="B2082" s="11">
        <f>IF(INPUT!M2077="","",INPUT!M2077-WEEKDAY(INPUT!M2077,2)+1)</f>
        <v>46076</v>
      </c>
      <c r="C2082" s="20">
        <f>IFERROR(_xlfn.ISOWEEKNUM(INPUT!M2077),"")</f>
        <v>9</v>
      </c>
      <c r="D2082" s="20">
        <f>IFERROR(YEAR(INPUT!M2077),"")</f>
        <v>2026</v>
      </c>
      <c r="E2082" t="str">
        <f>IF(INPUT!O2077="","",INPUT!O2077)</f>
        <v>HERRERO</v>
      </c>
      <c r="F2082" t="str">
        <f>IF(INPUT!N2077="","",INPUT!N2077)</f>
        <v>M</v>
      </c>
      <c r="G2082" t="str" cm="1">
        <f t="array" ref="G2082">IFERROR(VLOOKUP(INPUT!M2077&amp;INPUT!N2077,CHOOSE({1,2},INPUT!$A$3:$A$5000&amp;INPUT!$C$3:$C$5000,INPUT!$F$3:$F$5000),2,FALSE),"")</f>
        <v>PRE-TEMPORADA</v>
      </c>
      <c r="H2082" t="str" cm="1">
        <f t="array" ref="H2082">IFERROR(VLOOKUP(INPUT!M2077&amp;INPUT!N2077,CHOOSE({1,2},INPUT!$A$3:$A$5000&amp;INPUT!$C$3:$C$5000,INPUT!$D$3:$D$5000),2,FALSE),"")</f>
        <v>TEC-TAC</v>
      </c>
      <c r="I2082" s="46">
        <f>IF(INPUT!P2077="","",INPUT!P2077)</f>
        <v>76.8</v>
      </c>
      <c r="J2082" s="46">
        <f>IF(INPUT!Q2077="","",INPUT!Q2077)</f>
        <v>76.400000000000006</v>
      </c>
      <c r="K2082" s="46">
        <f>IFERROR(IF(OR(INPUT!P2077="",INPUT!Q2077=""),"",INPUT!P2077-INPUT!Q2077),"")</f>
        <v>0.39999999999999147</v>
      </c>
      <c r="L2082" s="48">
        <f>IFERROR(IF(OR(INPUT!P2077="",INPUT!Q2077="",INPUT!P2077=0),"",(INPUT!P2077-INPUT!Q2077)/INPUT!P2077),"")</f>
        <v>5.2083333333332229E-3</v>
      </c>
    </row>
    <row r="2083" spans="1:12" ht="18" hidden="1" customHeight="1" x14ac:dyDescent="0.2">
      <c r="A2083" s="11">
        <f>IF(INPUT!M2078="","",INPUT!M2078)</f>
        <v>46077</v>
      </c>
      <c r="B2083" s="11">
        <f>IF(INPUT!M2078="","",INPUT!M2078-WEEKDAY(INPUT!M2078,2)+1)</f>
        <v>46076</v>
      </c>
      <c r="C2083" s="20">
        <f>IFERROR(_xlfn.ISOWEEKNUM(INPUT!M2078),"")</f>
        <v>9</v>
      </c>
      <c r="D2083" s="20">
        <f>IFERROR(YEAR(INPUT!M2078),"")</f>
        <v>2026</v>
      </c>
      <c r="E2083" t="str">
        <f>IF(INPUT!O2078="","",INPUT!O2078)</f>
        <v>GARCIA</v>
      </c>
      <c r="F2083" t="str">
        <f>IF(INPUT!N2078="","",INPUT!N2078)</f>
        <v>M</v>
      </c>
      <c r="G2083" t="str" cm="1">
        <f t="array" ref="G2083">IFERROR(VLOOKUP(INPUT!M2078&amp;INPUT!N2078,CHOOSE({1,2},INPUT!$A$3:$A$5000&amp;INPUT!$C$3:$C$5000,INPUT!$F$3:$F$5000),2,FALSE),"")</f>
        <v>PRE-TEMPORADA</v>
      </c>
      <c r="H2083" t="str" cm="1">
        <f t="array" ref="H2083">IFERROR(VLOOKUP(INPUT!M2078&amp;INPUT!N2078,CHOOSE({1,2},INPUT!$A$3:$A$5000&amp;INPUT!$C$3:$C$5000,INPUT!$D$3:$D$5000),2,FALSE),"")</f>
        <v>TEC-TAC</v>
      </c>
      <c r="I2083" s="46">
        <f>IF(INPUT!P2078="","",INPUT!P2078)</f>
        <v>79.400000000000006</v>
      </c>
      <c r="J2083" s="46">
        <f>IF(INPUT!Q2078="","",INPUT!Q2078)</f>
        <v>79.099999999999994</v>
      </c>
      <c r="K2083" s="46">
        <f>IFERROR(IF(OR(INPUT!P2078="",INPUT!Q2078=""),"",INPUT!P2078-INPUT!Q2078),"")</f>
        <v>0.30000000000001137</v>
      </c>
      <c r="L2083" s="48">
        <f>IFERROR(IF(OR(INPUT!P2078="",INPUT!Q2078="",INPUT!P2078=0),"",(INPUT!P2078-INPUT!Q2078)/INPUT!P2078),"")</f>
        <v>3.7783375314862891E-3</v>
      </c>
    </row>
    <row r="2084" spans="1:12" ht="18" customHeight="1" x14ac:dyDescent="0.2">
      <c r="A2084" s="11">
        <f>IF(INPUT!M2079="","",INPUT!M2079)</f>
        <v>46077</v>
      </c>
      <c r="B2084" s="11">
        <f>IF(INPUT!M2079="","",INPUT!M2079-WEEKDAY(INPUT!M2079,2)+1)</f>
        <v>46076</v>
      </c>
      <c r="C2084" s="20">
        <f>IFERROR(_xlfn.ISOWEEKNUM(INPUT!M2079),"")</f>
        <v>9</v>
      </c>
      <c r="D2084" s="20">
        <f>IFERROR(YEAR(INPUT!M2079),"")</f>
        <v>2026</v>
      </c>
      <c r="E2084" t="str">
        <f>IF(INPUT!O2079="","",INPUT!O2079)</f>
        <v>CECILIO</v>
      </c>
      <c r="F2084" t="str">
        <f>IF(INPUT!N2079="","",INPUT!N2079)</f>
        <v>M</v>
      </c>
      <c r="G2084" t="str" cm="1">
        <f t="array" ref="G2084">IFERROR(VLOOKUP(INPUT!M2079&amp;INPUT!N2079,CHOOSE({1,2},INPUT!$A$3:$A$5000&amp;INPUT!$C$3:$C$5000,INPUT!$F$3:$F$5000),2,FALSE),"")</f>
        <v>PRE-TEMPORADA</v>
      </c>
      <c r="H2084" t="str" cm="1">
        <f t="array" ref="H2084">IFERROR(VLOOKUP(INPUT!M2079&amp;INPUT!N2079,CHOOSE({1,2},INPUT!$A$3:$A$5000&amp;INPUT!$C$3:$C$5000,INPUT!$D$3:$D$5000),2,FALSE),"")</f>
        <v>TEC-TAC</v>
      </c>
      <c r="I2084" s="46">
        <f>IF(INPUT!P2079="","",INPUT!P2079)</f>
        <v>67.3</v>
      </c>
      <c r="J2084" s="46">
        <f>IF(INPUT!Q2079="","",INPUT!Q2079)</f>
        <v>67</v>
      </c>
      <c r="K2084" s="46">
        <f>IFERROR(IF(OR(INPUT!P2079="",INPUT!Q2079=""),"",INPUT!P2079-INPUT!Q2079),"")</f>
        <v>0.29999999999999716</v>
      </c>
      <c r="L2084" s="48">
        <f>IFERROR(IF(OR(INPUT!P2079="",INPUT!Q2079="",INPUT!P2079=0),"",(INPUT!P2079-INPUT!Q2079)/INPUT!P2079),"")</f>
        <v>4.4576523031203148E-3</v>
      </c>
    </row>
    <row r="2085" spans="1:12" ht="18" customHeight="1" x14ac:dyDescent="0.2">
      <c r="A2085" s="11">
        <f>IF(INPUT!M2080="","",INPUT!M2080)</f>
        <v>46077</v>
      </c>
      <c r="B2085" s="11">
        <f>IF(INPUT!M2080="","",INPUT!M2080-WEEKDAY(INPUT!M2080,2)+1)</f>
        <v>46076</v>
      </c>
      <c r="C2085" s="20">
        <f>IFERROR(_xlfn.ISOWEEKNUM(INPUT!M2080),"")</f>
        <v>9</v>
      </c>
      <c r="D2085" s="20">
        <f>IFERROR(YEAR(INPUT!M2080),"")</f>
        <v>2026</v>
      </c>
      <c r="E2085" t="str">
        <f>IF(INPUT!O2080="","",INPUT!O2080)</f>
        <v>CHAGUINHA</v>
      </c>
      <c r="F2085" t="str">
        <f>IF(INPUT!N2080="","",INPUT!N2080)</f>
        <v>M</v>
      </c>
      <c r="G2085" t="str" cm="1">
        <f t="array" ref="G2085">IFERROR(VLOOKUP(INPUT!M2080&amp;INPUT!N2080,CHOOSE({1,2},INPUT!$A$3:$A$5000&amp;INPUT!$C$3:$C$5000,INPUT!$F$3:$F$5000),2,FALSE),"")</f>
        <v>PRE-TEMPORADA</v>
      </c>
      <c r="H2085" t="str" cm="1">
        <f t="array" ref="H2085">IFERROR(VLOOKUP(INPUT!M2080&amp;INPUT!N2080,CHOOSE({1,2},INPUT!$A$3:$A$5000&amp;INPUT!$C$3:$C$5000,INPUT!$D$3:$D$5000),2,FALSE),"")</f>
        <v>TEC-TAC</v>
      </c>
      <c r="I2085" s="46">
        <f>IF(INPUT!P2080="","",INPUT!P2080)</f>
        <v>68.7</v>
      </c>
      <c r="J2085" s="46">
        <f>IF(INPUT!Q2080="","",INPUT!Q2080)</f>
        <v>68.3</v>
      </c>
      <c r="K2085" s="46">
        <f>IFERROR(IF(OR(INPUT!P2080="",INPUT!Q2080=""),"",INPUT!P2080-INPUT!Q2080),"")</f>
        <v>0.40000000000000568</v>
      </c>
      <c r="L2085" s="48">
        <f>IFERROR(IF(OR(INPUT!P2080="",INPUT!Q2080="",INPUT!P2080=0),"",(INPUT!P2080-INPUT!Q2080)/INPUT!P2080),"")</f>
        <v>5.8224163027657304E-3</v>
      </c>
    </row>
    <row r="2086" spans="1:12" ht="18" customHeight="1" x14ac:dyDescent="0.2">
      <c r="A2086" s="11">
        <f>IF(INPUT!M2081="","",INPUT!M2081)</f>
        <v>46077</v>
      </c>
      <c r="B2086" s="11">
        <f>IF(INPUT!M2081="","",INPUT!M2081-WEEKDAY(INPUT!M2081,2)+1)</f>
        <v>46076</v>
      </c>
      <c r="C2086" s="20">
        <f>IFERROR(_xlfn.ISOWEEKNUM(INPUT!M2081),"")</f>
        <v>9</v>
      </c>
      <c r="D2086" s="20">
        <f>IFERROR(YEAR(INPUT!M2081),"")</f>
        <v>2026</v>
      </c>
      <c r="E2086" t="str">
        <f>IF(INPUT!O2081="","",INPUT!O2081)</f>
        <v>RAUL</v>
      </c>
      <c r="F2086" t="str">
        <f>IF(INPUT!N2081="","",INPUT!N2081)</f>
        <v>M</v>
      </c>
      <c r="G2086" t="str" cm="1">
        <f t="array" ref="G2086">IFERROR(VLOOKUP(INPUT!M2081&amp;INPUT!N2081,CHOOSE({1,2},INPUT!$A$3:$A$5000&amp;INPUT!$C$3:$C$5000,INPUT!$F$3:$F$5000),2,FALSE),"")</f>
        <v>PRE-TEMPORADA</v>
      </c>
      <c r="H2086" t="str" cm="1">
        <f t="array" ref="H2086">IFERROR(VLOOKUP(INPUT!M2081&amp;INPUT!N2081,CHOOSE({1,2},INPUT!$A$3:$A$5000&amp;INPUT!$C$3:$C$5000,INPUT!$D$3:$D$5000),2,FALSE),"")</f>
        <v>TEC-TAC</v>
      </c>
      <c r="I2086" s="46">
        <f>IF(INPUT!P2081="","",INPUT!P2081)</f>
        <v>80.8</v>
      </c>
      <c r="J2086" s="46">
        <f>IF(INPUT!Q2081="","",INPUT!Q2081)</f>
        <v>81</v>
      </c>
      <c r="K2086" s="46">
        <f>IFERROR(IF(OR(INPUT!P2081="",INPUT!Q2081=""),"",INPUT!P2081-INPUT!Q2081),"")</f>
        <v>-0.20000000000000284</v>
      </c>
      <c r="L2086" s="48">
        <f>IFERROR(IF(OR(INPUT!P2081="",INPUT!Q2081="",INPUT!P2081=0),"",(INPUT!P2081-INPUT!Q2081)/INPUT!P2081),"")</f>
        <v>-2.4752475247525104E-3</v>
      </c>
    </row>
    <row r="2087" spans="1:12" ht="18" customHeight="1" x14ac:dyDescent="0.2">
      <c r="A2087" s="11">
        <f>IF(INPUT!M2082="","",INPUT!M2082)</f>
        <v>46077</v>
      </c>
      <c r="B2087" s="11">
        <f>IF(INPUT!M2082="","",INPUT!M2082-WEEKDAY(INPUT!M2082,2)+1)</f>
        <v>46076</v>
      </c>
      <c r="C2087" s="20">
        <f>IFERROR(_xlfn.ISOWEEKNUM(INPUT!M2082),"")</f>
        <v>9</v>
      </c>
      <c r="D2087" s="20">
        <f>IFERROR(YEAR(INPUT!M2082),"")</f>
        <v>2026</v>
      </c>
      <c r="E2087" t="str">
        <f>IF(INPUT!O2082="","",INPUT!O2082)</f>
        <v>HARRISON</v>
      </c>
      <c r="F2087" t="str">
        <f>IF(INPUT!N2082="","",INPUT!N2082)</f>
        <v>M</v>
      </c>
      <c r="G2087" t="str" cm="1">
        <f t="array" ref="G2087">IFERROR(VLOOKUP(INPUT!M2082&amp;INPUT!N2082,CHOOSE({1,2},INPUT!$A$3:$A$5000&amp;INPUT!$C$3:$C$5000,INPUT!$F$3:$F$5000),2,FALSE),"")</f>
        <v>PRE-TEMPORADA</v>
      </c>
      <c r="H2087" t="str" cm="1">
        <f t="array" ref="H2087">IFERROR(VLOOKUP(INPUT!M2082&amp;INPUT!N2082,CHOOSE({1,2},INPUT!$A$3:$A$5000&amp;INPUT!$C$3:$C$5000,INPUT!$D$3:$D$5000),2,FALSE),"")</f>
        <v>TEC-TAC</v>
      </c>
      <c r="I2087" s="46">
        <f>IF(INPUT!P2082="","",INPUT!P2082)</f>
        <v>71.8</v>
      </c>
      <c r="J2087" s="46">
        <f>IF(INPUT!Q2082="","",INPUT!Q2082)</f>
        <v>72</v>
      </c>
      <c r="K2087" s="46">
        <f>IFERROR(IF(OR(INPUT!P2082="",INPUT!Q2082=""),"",INPUT!P2082-INPUT!Q2082),"")</f>
        <v>-0.20000000000000284</v>
      </c>
      <c r="L2087" s="48">
        <f>IFERROR(IF(OR(INPUT!P2082="",INPUT!Q2082="",INPUT!P2082=0),"",(INPUT!P2082-INPUT!Q2082)/INPUT!P2082),"")</f>
        <v>-2.7855153203343017E-3</v>
      </c>
    </row>
    <row r="2088" spans="1:12" ht="18" customHeight="1" x14ac:dyDescent="0.2">
      <c r="A2088" s="11">
        <f>IF(INPUT!M2083="","",INPUT!M2083)</f>
        <v>46077</v>
      </c>
      <c r="B2088" s="11">
        <f>IF(INPUT!M2083="","",INPUT!M2083-WEEKDAY(INPUT!M2083,2)+1)</f>
        <v>46076</v>
      </c>
      <c r="C2088" s="20">
        <f>IFERROR(_xlfn.ISOWEEKNUM(INPUT!M2083),"")</f>
        <v>9</v>
      </c>
      <c r="D2088" s="20">
        <f>IFERROR(YEAR(INPUT!M2083),"")</f>
        <v>2026</v>
      </c>
      <c r="E2088" t="str">
        <f>IF(INPUT!O2083="","",INPUT!O2083)</f>
        <v>RAYA</v>
      </c>
      <c r="F2088" t="str">
        <f>IF(INPUT!N2083="","",INPUT!N2083)</f>
        <v>M</v>
      </c>
      <c r="G2088" t="str" cm="1">
        <f t="array" ref="G2088">IFERROR(VLOOKUP(INPUT!M2083&amp;INPUT!N2083,CHOOSE({1,2},INPUT!$A$3:$A$5000&amp;INPUT!$C$3:$C$5000,INPUT!$F$3:$F$5000),2,FALSE),"")</f>
        <v>PRE-TEMPORADA</v>
      </c>
      <c r="H2088" t="str" cm="1">
        <f t="array" ref="H2088">IFERROR(VLOOKUP(INPUT!M2083&amp;INPUT!N2083,CHOOSE({1,2},INPUT!$A$3:$A$5000&amp;INPUT!$C$3:$C$5000,INPUT!$D$3:$D$5000),2,FALSE),"")</f>
        <v>TEC-TAC</v>
      </c>
      <c r="I2088" s="46">
        <f>IF(INPUT!P2083="","",INPUT!P2083)</f>
        <v>81.400000000000006</v>
      </c>
      <c r="J2088" s="46">
        <f>IF(INPUT!Q2083="","",INPUT!Q2083)</f>
        <v>80</v>
      </c>
      <c r="K2088" s="46">
        <f>IFERROR(IF(OR(INPUT!P2083="",INPUT!Q2083=""),"",INPUT!P2083-INPUT!Q2083),"")</f>
        <v>1.4000000000000057</v>
      </c>
      <c r="L2088" s="48">
        <f>IFERROR(IF(OR(INPUT!P2083="",INPUT!Q2083="",INPUT!P2083=0),"",(INPUT!P2083-INPUT!Q2083)/INPUT!P2083),"")</f>
        <v>1.7199017199017268E-2</v>
      </c>
    </row>
    <row r="2089" spans="1:12" ht="18" customHeight="1" x14ac:dyDescent="0.2">
      <c r="A2089" s="11">
        <f>IF(INPUT!M2084="","",INPUT!M2084)</f>
        <v>46077</v>
      </c>
      <c r="B2089" s="11">
        <f>IF(INPUT!M2084="","",INPUT!M2084-WEEKDAY(INPUT!M2084,2)+1)</f>
        <v>46076</v>
      </c>
      <c r="C2089" s="20">
        <f>IFERROR(_xlfn.ISOWEEKNUM(INPUT!M2084),"")</f>
        <v>9</v>
      </c>
      <c r="D2089" s="20">
        <f>IFERROR(YEAR(INPUT!M2084),"")</f>
        <v>2026</v>
      </c>
      <c r="E2089" t="str">
        <f>IF(INPUT!O2084="","",INPUT!O2084)</f>
        <v>JAVI</v>
      </c>
      <c r="F2089" t="str">
        <f>IF(INPUT!N2084="","",INPUT!N2084)</f>
        <v>M</v>
      </c>
      <c r="G2089" t="str" cm="1">
        <f t="array" ref="G2089">IFERROR(VLOOKUP(INPUT!M2084&amp;INPUT!N2084,CHOOSE({1,2},INPUT!$A$3:$A$5000&amp;INPUT!$C$3:$C$5000,INPUT!$F$3:$F$5000),2,FALSE),"")</f>
        <v>PRE-TEMPORADA</v>
      </c>
      <c r="H2089" t="str" cm="1">
        <f t="array" ref="H2089">IFERROR(VLOOKUP(INPUT!M2084&amp;INPUT!N2084,CHOOSE({1,2},INPUT!$A$3:$A$5000&amp;INPUT!$C$3:$C$5000,INPUT!$D$3:$D$5000),2,FALSE),"")</f>
        <v>TEC-TAC</v>
      </c>
      <c r="I2089" s="46">
        <f>IF(INPUT!P2084="","",INPUT!P2084)</f>
        <v>78.7</v>
      </c>
      <c r="J2089" s="46">
        <f>IF(INPUT!Q2084="","",INPUT!Q2084)</f>
        <v>78.7</v>
      </c>
      <c r="K2089" s="46">
        <f>IFERROR(IF(OR(INPUT!P2084="",INPUT!Q2084=""),"",INPUT!P2084-INPUT!Q2084),"")</f>
        <v>0</v>
      </c>
      <c r="L2089" s="48">
        <f>IFERROR(IF(OR(INPUT!P2084="",INPUT!Q2084="",INPUT!P2084=0),"",(INPUT!P2084-INPUT!Q2084)/INPUT!P2084),"")</f>
        <v>0</v>
      </c>
    </row>
    <row r="2090" spans="1:12" ht="18" hidden="1" customHeight="1" x14ac:dyDescent="0.2">
      <c r="A2090" s="11">
        <f>IF(INPUT!M2085="","",INPUT!M2085)</f>
        <v>46077</v>
      </c>
      <c r="B2090" s="11">
        <f>IF(INPUT!M2085="","",INPUT!M2085-WEEKDAY(INPUT!M2085,2)+1)</f>
        <v>46076</v>
      </c>
      <c r="C2090" s="20">
        <f>IFERROR(_xlfn.ISOWEEKNUM(INPUT!M2085),"")</f>
        <v>9</v>
      </c>
      <c r="D2090" s="20">
        <f>IFERROR(YEAR(INPUT!M2085),"")</f>
        <v>2026</v>
      </c>
      <c r="E2090" t="str">
        <f>IF(INPUT!O2085="","",INPUT!O2085)</f>
        <v>PANI</v>
      </c>
      <c r="F2090" t="str">
        <f>IF(INPUT!N2085="","",INPUT!N2085)</f>
        <v>M</v>
      </c>
      <c r="G2090" t="str" cm="1">
        <f t="array" ref="G2090">IFERROR(VLOOKUP(INPUT!M2085&amp;INPUT!N2085,CHOOSE({1,2},INPUT!$A$3:$A$5000&amp;INPUT!$C$3:$C$5000,INPUT!$F$3:$F$5000),2,FALSE),"")</f>
        <v>PRE-TEMPORADA</v>
      </c>
      <c r="H2090" t="str" cm="1">
        <f t="array" ref="H2090">IFERROR(VLOOKUP(INPUT!M2085&amp;INPUT!N2085,CHOOSE({1,2},INPUT!$A$3:$A$5000&amp;INPUT!$C$3:$C$5000,INPUT!$D$3:$D$5000),2,FALSE),"")</f>
        <v>TEC-TAC</v>
      </c>
      <c r="I2090" s="46">
        <f>IF(INPUT!P2085="","",INPUT!P2085)</f>
        <v>66.8</v>
      </c>
      <c r="J2090" s="46">
        <f>IF(INPUT!Q2085="","",INPUT!Q2085)</f>
        <v>65.599999999999994</v>
      </c>
      <c r="K2090" s="46">
        <f>IFERROR(IF(OR(INPUT!P2085="",INPUT!Q2085=""),"",INPUT!P2085-INPUT!Q2085),"")</f>
        <v>1.2000000000000028</v>
      </c>
      <c r="L2090" s="48">
        <f>IFERROR(IF(OR(INPUT!P2085="",INPUT!Q2085="",INPUT!P2085=0),"",(INPUT!P2085-INPUT!Q2085)/INPUT!P2085),"")</f>
        <v>1.796407185628747E-2</v>
      </c>
    </row>
    <row r="2091" spans="1:12" ht="18" hidden="1" customHeight="1" x14ac:dyDescent="0.2">
      <c r="A2091" s="11">
        <f>IF(INPUT!M2086="","",INPUT!M2086)</f>
        <v>46077</v>
      </c>
      <c r="B2091" s="11">
        <f>IF(INPUT!M2086="","",INPUT!M2086-WEEKDAY(INPUT!M2086,2)+1)</f>
        <v>46076</v>
      </c>
      <c r="C2091" s="20">
        <f>IFERROR(_xlfn.ISOWEEKNUM(INPUT!M2086),"")</f>
        <v>9</v>
      </c>
      <c r="D2091" s="20">
        <f>IFERROR(YEAR(INPUT!M2086),"")</f>
        <v>2026</v>
      </c>
      <c r="E2091" t="str">
        <f>IF(INPUT!O2086="","",INPUT!O2086)</f>
        <v>PIRATA</v>
      </c>
      <c r="F2091" t="str">
        <f>IF(INPUT!N2086="","",INPUT!N2086)</f>
        <v>M</v>
      </c>
      <c r="G2091" t="str" cm="1">
        <f t="array" ref="G2091">IFERROR(VLOOKUP(INPUT!M2086&amp;INPUT!N2086,CHOOSE({1,2},INPUT!$A$3:$A$5000&amp;INPUT!$C$3:$C$5000,INPUT!$F$3:$F$5000),2,FALSE),"")</f>
        <v>PRE-TEMPORADA</v>
      </c>
      <c r="H2091" t="str" cm="1">
        <f t="array" ref="H2091">IFERROR(VLOOKUP(INPUT!M2086&amp;INPUT!N2086,CHOOSE({1,2},INPUT!$A$3:$A$5000&amp;INPUT!$C$3:$C$5000,INPUT!$D$3:$D$5000),2,FALSE),"")</f>
        <v>TEC-TAC</v>
      </c>
      <c r="I2091" s="46">
        <f>IF(INPUT!P2086="","",INPUT!P2086)</f>
        <v>74.900000000000006</v>
      </c>
      <c r="J2091" s="46">
        <f>IF(INPUT!Q2086="","",INPUT!Q2086)</f>
        <v>75.099999999999994</v>
      </c>
      <c r="K2091" s="46">
        <f>IFERROR(IF(OR(INPUT!P2086="",INPUT!Q2086=""),"",INPUT!P2086-INPUT!Q2086),"")</f>
        <v>-0.19999999999998863</v>
      </c>
      <c r="L2091" s="48">
        <f>IFERROR(IF(OR(INPUT!P2086="",INPUT!Q2086="",INPUT!P2086=0),"",(INPUT!P2086-INPUT!Q2086)/INPUT!P2086),"")</f>
        <v>-2.670226969292238E-3</v>
      </c>
    </row>
    <row r="2092" spans="1:12" ht="18" hidden="1" customHeight="1" x14ac:dyDescent="0.2">
      <c r="A2092" s="11">
        <f>IF(INPUT!M2087="","",INPUT!M2087)</f>
        <v>46077</v>
      </c>
      <c r="B2092" s="11">
        <f>IF(INPUT!M2087="","",INPUT!M2087-WEEKDAY(INPUT!M2087,2)+1)</f>
        <v>46076</v>
      </c>
      <c r="C2092" s="20">
        <f>IFERROR(_xlfn.ISOWEEKNUM(INPUT!M2087),"")</f>
        <v>9</v>
      </c>
      <c r="D2092" s="20">
        <f>IFERROR(YEAR(INPUT!M2087),"")</f>
        <v>2026</v>
      </c>
      <c r="E2092" t="str">
        <f>IF(INPUT!O2087="","",INPUT!O2087)</f>
        <v>BARONA</v>
      </c>
      <c r="F2092" t="str">
        <f>IF(INPUT!N2087="","",INPUT!N2087)</f>
        <v>M</v>
      </c>
      <c r="G2092" t="str" cm="1">
        <f t="array" ref="G2092">IFERROR(VLOOKUP(INPUT!M2087&amp;INPUT!N2087,CHOOSE({1,2},INPUT!$A$3:$A$5000&amp;INPUT!$C$3:$C$5000,INPUT!$F$3:$F$5000),2,FALSE),"")</f>
        <v>PRE-TEMPORADA</v>
      </c>
      <c r="H2092" t="str" cm="1">
        <f t="array" ref="H2092">IFERROR(VLOOKUP(INPUT!M2087&amp;INPUT!N2087,CHOOSE({1,2},INPUT!$A$3:$A$5000&amp;INPUT!$C$3:$C$5000,INPUT!$D$3:$D$5000),2,FALSE),"")</f>
        <v>TEC-TAC</v>
      </c>
      <c r="I2092" s="46">
        <f>IF(INPUT!P2087="","",INPUT!P2087)</f>
        <v>71.099999999999994</v>
      </c>
      <c r="J2092" s="46">
        <f>IF(INPUT!Q2087="","",INPUT!Q2087)</f>
        <v>70.5</v>
      </c>
      <c r="K2092" s="46">
        <f>IFERROR(IF(OR(INPUT!P2087="",INPUT!Q2087=""),"",INPUT!P2087-INPUT!Q2087),"")</f>
        <v>0.59999999999999432</v>
      </c>
      <c r="L2092" s="48">
        <f>IFERROR(IF(OR(INPUT!P2087="",INPUT!Q2087="",INPUT!P2087=0),"",(INPUT!P2087-INPUT!Q2087)/INPUT!P2087),"")</f>
        <v>8.4388185654007651E-3</v>
      </c>
    </row>
    <row r="2093" spans="1:12" ht="18" hidden="1" customHeight="1" x14ac:dyDescent="0.2">
      <c r="A2093" s="11">
        <f>IF(INPUT!M2088="","",INPUT!M2088)</f>
        <v>46077</v>
      </c>
      <c r="B2093" s="11">
        <f>IF(INPUT!M2088="","",INPUT!M2088-WEEKDAY(INPUT!M2088,2)+1)</f>
        <v>46076</v>
      </c>
      <c r="C2093" s="20">
        <f>IFERROR(_xlfn.ISOWEEKNUM(INPUT!M2088),"")</f>
        <v>9</v>
      </c>
      <c r="D2093" s="20">
        <f>IFERROR(YEAR(INPUT!M2088),"")</f>
        <v>2026</v>
      </c>
      <c r="E2093" t="str">
        <f>IF(INPUT!O2088="","",INPUT!O2088)</f>
        <v>CARLOS</v>
      </c>
      <c r="F2093" t="str">
        <f>IF(INPUT!N2088="","",INPUT!N2088)</f>
        <v>M</v>
      </c>
      <c r="G2093" t="str" cm="1">
        <f t="array" ref="G2093">IFERROR(VLOOKUP(INPUT!M2088&amp;INPUT!N2088,CHOOSE({1,2},INPUT!$A$3:$A$5000&amp;INPUT!$C$3:$C$5000,INPUT!$F$3:$F$5000),2,FALSE),"")</f>
        <v>PRE-TEMPORADA</v>
      </c>
      <c r="H2093" t="str" cm="1">
        <f t="array" ref="H2093">IFERROR(VLOOKUP(INPUT!M2088&amp;INPUT!N2088,CHOOSE({1,2},INPUT!$A$3:$A$5000&amp;INPUT!$C$3:$C$5000,INPUT!$D$3:$D$5000),2,FALSE),"")</f>
        <v>TEC-TAC</v>
      </c>
      <c r="I2093" s="46">
        <f>IF(INPUT!P2088="","",INPUT!P2088)</f>
        <v>68.3</v>
      </c>
      <c r="J2093" s="46">
        <f>IF(INPUT!Q2088="","",INPUT!Q2088)</f>
        <v>67.8</v>
      </c>
      <c r="K2093" s="46">
        <f>IFERROR(IF(OR(INPUT!P2088="",INPUT!Q2088=""),"",INPUT!P2088-INPUT!Q2088),"")</f>
        <v>0.5</v>
      </c>
      <c r="L2093" s="48">
        <f>IFERROR(IF(OR(INPUT!P2088="",INPUT!Q2088="",INPUT!P2088=0),"",(INPUT!P2088-INPUT!Q2088)/INPUT!P2088),"")</f>
        <v>7.320644216691069E-3</v>
      </c>
    </row>
    <row r="2094" spans="1:12" ht="18" hidden="1" customHeight="1" x14ac:dyDescent="0.2">
      <c r="A2094" s="11">
        <f>IF(INPUT!M2089="","",INPUT!M2089)</f>
        <v>46077</v>
      </c>
      <c r="B2094" s="11">
        <f>IF(INPUT!M2089="","",INPUT!M2089-WEEKDAY(INPUT!M2089,2)+1)</f>
        <v>46076</v>
      </c>
      <c r="C2094" s="20">
        <f>IFERROR(_xlfn.ISOWEEKNUM(INPUT!M2089),"")</f>
        <v>9</v>
      </c>
      <c r="D2094" s="20">
        <f>IFERROR(YEAR(INPUT!M2089),"")</f>
        <v>2026</v>
      </c>
      <c r="E2094" t="str">
        <f>IF(INPUT!O2089="","",INPUT!O2089)</f>
        <v>DANI</v>
      </c>
      <c r="F2094" t="str">
        <f>IF(INPUT!N2089="","",INPUT!N2089)</f>
        <v>M</v>
      </c>
      <c r="G2094" t="str" cm="1">
        <f t="array" ref="G2094">IFERROR(VLOOKUP(INPUT!M2089&amp;INPUT!N2089,CHOOSE({1,2},INPUT!$A$3:$A$5000&amp;INPUT!$C$3:$C$5000,INPUT!$F$3:$F$5000),2,FALSE),"")</f>
        <v>PRE-TEMPORADA</v>
      </c>
      <c r="H2094" t="str" cm="1">
        <f t="array" ref="H2094">IFERROR(VLOOKUP(INPUT!M2089&amp;INPUT!N2089,CHOOSE({1,2},INPUT!$A$3:$A$5000&amp;INPUT!$C$3:$C$5000,INPUT!$D$3:$D$5000),2,FALSE),"")</f>
        <v>TEC-TAC</v>
      </c>
      <c r="I2094" s="46">
        <f>IF(INPUT!P2089="","",INPUT!P2089)</f>
        <v>91.5</v>
      </c>
      <c r="J2094" s="46">
        <f>IF(INPUT!Q2089="","",INPUT!Q2089)</f>
        <v>91</v>
      </c>
      <c r="K2094" s="46">
        <f>IFERROR(IF(OR(INPUT!P2089="",INPUT!Q2089=""),"",INPUT!P2089-INPUT!Q2089),"")</f>
        <v>0.5</v>
      </c>
      <c r="L2094" s="48">
        <f>IFERROR(IF(OR(INPUT!P2089="",INPUT!Q2089="",INPUT!P2089=0),"",(INPUT!P2089-INPUT!Q2089)/INPUT!P2089),"")</f>
        <v>5.4644808743169399E-3</v>
      </c>
    </row>
    <row r="2095" spans="1:12" ht="18" hidden="1" customHeight="1" x14ac:dyDescent="0.2">
      <c r="A2095" s="11">
        <f>IF(INPUT!M2090="","",INPUT!M2090)</f>
        <v>46077</v>
      </c>
      <c r="B2095" s="11">
        <f>IF(INPUT!M2090="","",INPUT!M2090-WEEKDAY(INPUT!M2090,2)+1)</f>
        <v>46076</v>
      </c>
      <c r="C2095" s="20">
        <f>IFERROR(_xlfn.ISOWEEKNUM(INPUT!M2090),"")</f>
        <v>9</v>
      </c>
      <c r="D2095" s="20">
        <f>IFERROR(YEAR(INPUT!M2090),"")</f>
        <v>2026</v>
      </c>
      <c r="E2095" t="str">
        <f>IF(INPUT!O2090="","",INPUT!O2090)</f>
        <v>JAIME</v>
      </c>
      <c r="F2095" t="str">
        <f>IF(INPUT!N2090="","",INPUT!N2090)</f>
        <v>M</v>
      </c>
      <c r="G2095" t="str" cm="1">
        <f t="array" ref="G2095">IFERROR(VLOOKUP(INPUT!M2090&amp;INPUT!N2090,CHOOSE({1,2},INPUT!$A$3:$A$5000&amp;INPUT!$C$3:$C$5000,INPUT!$F$3:$F$5000),2,FALSE),"")</f>
        <v>PRE-TEMPORADA</v>
      </c>
      <c r="H2095" t="str" cm="1">
        <f t="array" ref="H2095">IFERROR(VLOOKUP(INPUT!M2090&amp;INPUT!N2090,CHOOSE({1,2},INPUT!$A$3:$A$5000&amp;INPUT!$C$3:$C$5000,INPUT!$D$3:$D$5000),2,FALSE),"")</f>
        <v>TEC-TAC</v>
      </c>
      <c r="I2095" s="46">
        <f>IF(INPUT!P2090="","",INPUT!P2090)</f>
        <v>75.5</v>
      </c>
      <c r="J2095" s="46">
        <f>IF(INPUT!Q2090="","",INPUT!Q2090)</f>
        <v>75</v>
      </c>
      <c r="K2095" s="46">
        <f>IFERROR(IF(OR(INPUT!P2090="",INPUT!Q2090=""),"",INPUT!P2090-INPUT!Q2090),"")</f>
        <v>0.5</v>
      </c>
      <c r="L2095" s="48">
        <f>IFERROR(IF(OR(INPUT!P2090="",INPUT!Q2090="",INPUT!P2090=0),"",(INPUT!P2090-INPUT!Q2090)/INPUT!P2090),"")</f>
        <v>6.6225165562913907E-3</v>
      </c>
    </row>
    <row r="2096" spans="1:12" ht="18" hidden="1" customHeight="1" x14ac:dyDescent="0.2">
      <c r="A2096" s="11">
        <f>IF(INPUT!M2091="","",INPUT!M2091)</f>
        <v>46078</v>
      </c>
      <c r="B2096" s="11">
        <f>IF(INPUT!M2091="","",INPUT!M2091-WEEKDAY(INPUT!M2091,2)+1)</f>
        <v>46076</v>
      </c>
      <c r="C2096" s="20">
        <f>IFERROR(_xlfn.ISOWEEKNUM(INPUT!M2091),"")</f>
        <v>9</v>
      </c>
      <c r="D2096" s="20">
        <f>IFERROR(YEAR(INPUT!M2091),"")</f>
        <v>2026</v>
      </c>
      <c r="E2096" t="str">
        <f>IF(INPUT!O2091="","",INPUT!O2091)</f>
        <v>HERRERO</v>
      </c>
      <c r="F2096" t="str">
        <f>IF(INPUT!N2091="","",INPUT!N2091)</f>
        <v>M</v>
      </c>
      <c r="G2096" t="str" cm="1">
        <f t="array" ref="G2096">IFERROR(VLOOKUP(INPUT!M2091&amp;INPUT!N2091,CHOOSE({1,2},INPUT!$A$3:$A$5000&amp;INPUT!$C$3:$C$5000,INPUT!$F$3:$F$5000),2,FALSE),"")</f>
        <v>PRE-TEMPORADA</v>
      </c>
      <c r="H2096" t="str" cm="1">
        <f t="array" ref="H2096">IFERROR(VLOOKUP(INPUT!M2091&amp;INPUT!N2091,CHOOSE({1,2},INPUT!$A$3:$A$5000&amp;INPUT!$C$3:$C$5000,INPUT!$D$3:$D$5000),2,FALSE),"")</f>
        <v>TEC-TAC</v>
      </c>
      <c r="I2096" s="46">
        <f>IF(INPUT!P2091="","",INPUT!P2091)</f>
        <v>77</v>
      </c>
      <c r="J2096" s="46">
        <f>IF(INPUT!Q2091="","",INPUT!Q2091)</f>
        <v>76.8</v>
      </c>
      <c r="K2096" s="46">
        <f>IFERROR(IF(OR(INPUT!P2091="",INPUT!Q2091=""),"",INPUT!P2091-INPUT!Q2091),"")</f>
        <v>0.20000000000000284</v>
      </c>
      <c r="L2096" s="48">
        <f>IFERROR(IF(OR(INPUT!P2091="",INPUT!Q2091="",INPUT!P2091=0),"",(INPUT!P2091-INPUT!Q2091)/INPUT!P2091),"")</f>
        <v>2.5974025974026343E-3</v>
      </c>
    </row>
    <row r="2097" spans="1:12" ht="18" hidden="1" customHeight="1" x14ac:dyDescent="0.2">
      <c r="A2097" s="11">
        <f>IF(INPUT!M2092="","",INPUT!M2092)</f>
        <v>46078</v>
      </c>
      <c r="B2097" s="11">
        <f>IF(INPUT!M2092="","",INPUT!M2092-WEEKDAY(INPUT!M2092,2)+1)</f>
        <v>46076</v>
      </c>
      <c r="C2097" s="20">
        <f>IFERROR(_xlfn.ISOWEEKNUM(INPUT!M2092),"")</f>
        <v>9</v>
      </c>
      <c r="D2097" s="20">
        <f>IFERROR(YEAR(INPUT!M2092),"")</f>
        <v>2026</v>
      </c>
      <c r="E2097" t="str">
        <f>IF(INPUT!O2092="","",INPUT!O2092)</f>
        <v>GARCIA</v>
      </c>
      <c r="F2097" t="str">
        <f>IF(INPUT!N2092="","",INPUT!N2092)</f>
        <v>M</v>
      </c>
      <c r="G2097" t="str" cm="1">
        <f t="array" ref="G2097">IFERROR(VLOOKUP(INPUT!M2092&amp;INPUT!N2092,CHOOSE({1,2},INPUT!$A$3:$A$5000&amp;INPUT!$C$3:$C$5000,INPUT!$F$3:$F$5000),2,FALSE),"")</f>
        <v>PRE-TEMPORADA</v>
      </c>
      <c r="H2097" t="str" cm="1">
        <f t="array" ref="H2097">IFERROR(VLOOKUP(INPUT!M2092&amp;INPUT!N2092,CHOOSE({1,2},INPUT!$A$3:$A$5000&amp;INPUT!$C$3:$C$5000,INPUT!$D$3:$D$5000),2,FALSE),"")</f>
        <v>TEC-TAC</v>
      </c>
      <c r="I2097" s="46">
        <f>IF(INPUT!P2092="","",INPUT!P2092)</f>
        <v>79.400000000000006</v>
      </c>
      <c r="J2097" s="46">
        <f>IF(INPUT!Q2092="","",INPUT!Q2092)</f>
        <v>79.3</v>
      </c>
      <c r="K2097" s="46">
        <f>IFERROR(IF(OR(INPUT!P2092="",INPUT!Q2092=""),"",INPUT!P2092-INPUT!Q2092),"")</f>
        <v>0.10000000000000853</v>
      </c>
      <c r="L2097" s="48">
        <f>IFERROR(IF(OR(INPUT!P2092="",INPUT!Q2092="",INPUT!P2092=0),"",(INPUT!P2092-INPUT!Q2092)/INPUT!P2092),"")</f>
        <v>1.2594458438288227E-3</v>
      </c>
    </row>
    <row r="2098" spans="1:12" ht="18" hidden="1" customHeight="1" x14ac:dyDescent="0.2">
      <c r="A2098" s="11">
        <f>IF(INPUT!M2093="","",INPUT!M2093)</f>
        <v>46078</v>
      </c>
      <c r="B2098" s="11">
        <f>IF(INPUT!M2093="","",INPUT!M2093-WEEKDAY(INPUT!M2093,2)+1)</f>
        <v>46076</v>
      </c>
      <c r="C2098" s="20">
        <f>IFERROR(_xlfn.ISOWEEKNUM(INPUT!M2093),"")</f>
        <v>9</v>
      </c>
      <c r="D2098" s="20">
        <f>IFERROR(YEAR(INPUT!M2093),"")</f>
        <v>2026</v>
      </c>
      <c r="E2098" t="str">
        <f>IF(INPUT!O2093="","",INPUT!O2093)</f>
        <v>CECILIO</v>
      </c>
      <c r="F2098" t="str">
        <f>IF(INPUT!N2093="","",INPUT!N2093)</f>
        <v>M</v>
      </c>
      <c r="G2098" t="str" cm="1">
        <f t="array" ref="G2098">IFERROR(VLOOKUP(INPUT!M2093&amp;INPUT!N2093,CHOOSE({1,2},INPUT!$A$3:$A$5000&amp;INPUT!$C$3:$C$5000,INPUT!$F$3:$F$5000),2,FALSE),"")</f>
        <v>PRE-TEMPORADA</v>
      </c>
      <c r="H2098" t="str" cm="1">
        <f t="array" ref="H2098">IFERROR(VLOOKUP(INPUT!M2093&amp;INPUT!N2093,CHOOSE({1,2},INPUT!$A$3:$A$5000&amp;INPUT!$C$3:$C$5000,INPUT!$D$3:$D$5000),2,FALSE),"")</f>
        <v>TEC-TAC</v>
      </c>
      <c r="I2098" s="46">
        <f>IF(INPUT!P2093="","",INPUT!P2093)</f>
        <v>67.900000000000006</v>
      </c>
      <c r="J2098" s="46">
        <f>IF(INPUT!Q2093="","",INPUT!Q2093)</f>
        <v>67.7</v>
      </c>
      <c r="K2098" s="46">
        <f>IFERROR(IF(OR(INPUT!P2093="",INPUT!Q2093=""),"",INPUT!P2093-INPUT!Q2093),"")</f>
        <v>0.20000000000000284</v>
      </c>
      <c r="L2098" s="48">
        <f>IFERROR(IF(OR(INPUT!P2093="",INPUT!Q2093="",INPUT!P2093=0),"",(INPUT!P2093-INPUT!Q2093)/INPUT!P2093),"")</f>
        <v>2.945508100147317E-3</v>
      </c>
    </row>
    <row r="2099" spans="1:12" ht="18" hidden="1" customHeight="1" x14ac:dyDescent="0.2">
      <c r="A2099" s="11">
        <f>IF(INPUT!M2094="","",INPUT!M2094)</f>
        <v>46078</v>
      </c>
      <c r="B2099" s="11">
        <f>IF(INPUT!M2094="","",INPUT!M2094-WEEKDAY(INPUT!M2094,2)+1)</f>
        <v>46076</v>
      </c>
      <c r="C2099" s="20">
        <f>IFERROR(_xlfn.ISOWEEKNUM(INPUT!M2094),"")</f>
        <v>9</v>
      </c>
      <c r="D2099" s="20">
        <f>IFERROR(YEAR(INPUT!M2094),"")</f>
        <v>2026</v>
      </c>
      <c r="E2099" t="str">
        <f>IF(INPUT!O2094="","",INPUT!O2094)</f>
        <v>CHAGUINHA</v>
      </c>
      <c r="F2099" t="str">
        <f>IF(INPUT!N2094="","",INPUT!N2094)</f>
        <v>M</v>
      </c>
      <c r="G2099" t="str" cm="1">
        <f t="array" ref="G2099">IFERROR(VLOOKUP(INPUT!M2094&amp;INPUT!N2094,CHOOSE({1,2},INPUT!$A$3:$A$5000&amp;INPUT!$C$3:$C$5000,INPUT!$F$3:$F$5000),2,FALSE),"")</f>
        <v>PRE-TEMPORADA</v>
      </c>
      <c r="H2099" t="str" cm="1">
        <f t="array" ref="H2099">IFERROR(VLOOKUP(INPUT!M2094&amp;INPUT!N2094,CHOOSE({1,2},INPUT!$A$3:$A$5000&amp;INPUT!$C$3:$C$5000,INPUT!$D$3:$D$5000),2,FALSE),"")</f>
        <v>TEC-TAC</v>
      </c>
      <c r="I2099" s="46">
        <f>IF(INPUT!P2094="","",INPUT!P2094)</f>
        <v>69.2</v>
      </c>
      <c r="J2099" s="46">
        <f>IF(INPUT!Q2094="","",INPUT!Q2094)</f>
        <v>68.7</v>
      </c>
      <c r="K2099" s="46">
        <f>IFERROR(IF(OR(INPUT!P2094="",INPUT!Q2094=""),"",INPUT!P2094-INPUT!Q2094),"")</f>
        <v>0.5</v>
      </c>
      <c r="L2099" s="48">
        <f>IFERROR(IF(OR(INPUT!P2094="",INPUT!Q2094="",INPUT!P2094=0),"",(INPUT!P2094-INPUT!Q2094)/INPUT!P2094),"")</f>
        <v>7.2254335260115606E-3</v>
      </c>
    </row>
    <row r="2100" spans="1:12" ht="18" hidden="1" customHeight="1" x14ac:dyDescent="0.2">
      <c r="A2100" s="11">
        <f>IF(INPUT!M2095="","",INPUT!M2095)</f>
        <v>46078</v>
      </c>
      <c r="B2100" s="11">
        <f>IF(INPUT!M2095="","",INPUT!M2095-WEEKDAY(INPUT!M2095,2)+1)</f>
        <v>46076</v>
      </c>
      <c r="C2100" s="20">
        <f>IFERROR(_xlfn.ISOWEEKNUM(INPUT!M2095),"")</f>
        <v>9</v>
      </c>
      <c r="D2100" s="20">
        <f>IFERROR(YEAR(INPUT!M2095),"")</f>
        <v>2026</v>
      </c>
      <c r="E2100" t="str">
        <f>IF(INPUT!O2095="","",INPUT!O2095)</f>
        <v>RAUL</v>
      </c>
      <c r="F2100" t="str">
        <f>IF(INPUT!N2095="","",INPUT!N2095)</f>
        <v>M</v>
      </c>
      <c r="G2100" t="str" cm="1">
        <f t="array" ref="G2100">IFERROR(VLOOKUP(INPUT!M2095&amp;INPUT!N2095,CHOOSE({1,2},INPUT!$A$3:$A$5000&amp;INPUT!$C$3:$C$5000,INPUT!$F$3:$F$5000),2,FALSE),"")</f>
        <v>PRE-TEMPORADA</v>
      </c>
      <c r="H2100" t="str" cm="1">
        <f t="array" ref="H2100">IFERROR(VLOOKUP(INPUT!M2095&amp;INPUT!N2095,CHOOSE({1,2},INPUT!$A$3:$A$5000&amp;INPUT!$C$3:$C$5000,INPUT!$D$3:$D$5000),2,FALSE),"")</f>
        <v>TEC-TAC</v>
      </c>
      <c r="I2100" s="46">
        <f>IF(INPUT!P2095="","",INPUT!P2095)</f>
        <v>81.400000000000006</v>
      </c>
      <c r="J2100" s="46">
        <f>IF(INPUT!Q2095="","",INPUT!Q2095)</f>
        <v>81.3</v>
      </c>
      <c r="K2100" s="46">
        <f>IFERROR(IF(OR(INPUT!P2095="",INPUT!Q2095=""),"",INPUT!P2095-INPUT!Q2095),"")</f>
        <v>0.10000000000000853</v>
      </c>
      <c r="L2100" s="48">
        <f>IFERROR(IF(OR(INPUT!P2095="",INPUT!Q2095="",INPUT!P2095=0),"",(INPUT!P2095-INPUT!Q2095)/INPUT!P2095),"")</f>
        <v>1.2285012285013332E-3</v>
      </c>
    </row>
    <row r="2101" spans="1:12" ht="18" hidden="1" customHeight="1" x14ac:dyDescent="0.2">
      <c r="A2101" s="11">
        <f>IF(INPUT!M2096="","",INPUT!M2096)</f>
        <v>46078</v>
      </c>
      <c r="B2101" s="11">
        <f>IF(INPUT!M2096="","",INPUT!M2096-WEEKDAY(INPUT!M2096,2)+1)</f>
        <v>46076</v>
      </c>
      <c r="C2101" s="20">
        <f>IFERROR(_xlfn.ISOWEEKNUM(INPUT!M2096),"")</f>
        <v>9</v>
      </c>
      <c r="D2101" s="20">
        <f>IFERROR(YEAR(INPUT!M2096),"")</f>
        <v>2026</v>
      </c>
      <c r="E2101" t="str">
        <f>IF(INPUT!O2096="","",INPUT!O2096)</f>
        <v>HARRISON</v>
      </c>
      <c r="F2101" t="str">
        <f>IF(INPUT!N2096="","",INPUT!N2096)</f>
        <v>M</v>
      </c>
      <c r="G2101" t="str" cm="1">
        <f t="array" ref="G2101">IFERROR(VLOOKUP(INPUT!M2096&amp;INPUT!N2096,CHOOSE({1,2},INPUT!$A$3:$A$5000&amp;INPUT!$C$3:$C$5000,INPUT!$F$3:$F$5000),2,FALSE),"")</f>
        <v>PRE-TEMPORADA</v>
      </c>
      <c r="H2101" t="str" cm="1">
        <f t="array" ref="H2101">IFERROR(VLOOKUP(INPUT!M2096&amp;INPUT!N2096,CHOOSE({1,2},INPUT!$A$3:$A$5000&amp;INPUT!$C$3:$C$5000,INPUT!$D$3:$D$5000),2,FALSE),"")</f>
        <v>TEC-TAC</v>
      </c>
      <c r="I2101" s="46">
        <f>IF(INPUT!P2096="","",INPUT!P2096)</f>
        <v>72.099999999999994</v>
      </c>
      <c r="J2101" s="46">
        <f>IF(INPUT!Q2096="","",INPUT!Q2096)</f>
        <v>72</v>
      </c>
      <c r="K2101" s="46">
        <f>IFERROR(IF(OR(INPUT!P2096="",INPUT!Q2096=""),"",INPUT!P2096-INPUT!Q2096),"")</f>
        <v>9.9999999999994316E-2</v>
      </c>
      <c r="L2101" s="48">
        <f>IFERROR(IF(OR(INPUT!P2096="",INPUT!Q2096="",INPUT!P2096=0),"",(INPUT!P2096-INPUT!Q2096)/INPUT!P2096),"")</f>
        <v>1.386962552011017E-3</v>
      </c>
    </row>
    <row r="2102" spans="1:12" ht="18" hidden="1" customHeight="1" x14ac:dyDescent="0.2">
      <c r="A2102" s="11">
        <f>IF(INPUT!M2097="","",INPUT!M2097)</f>
        <v>46078</v>
      </c>
      <c r="B2102" s="11">
        <f>IF(INPUT!M2097="","",INPUT!M2097-WEEKDAY(INPUT!M2097,2)+1)</f>
        <v>46076</v>
      </c>
      <c r="C2102" s="20">
        <f>IFERROR(_xlfn.ISOWEEKNUM(INPUT!M2097),"")</f>
        <v>9</v>
      </c>
      <c r="D2102" s="20">
        <f>IFERROR(YEAR(INPUT!M2097),"")</f>
        <v>2026</v>
      </c>
      <c r="E2102" t="str">
        <f>IF(INPUT!O2097="","",INPUT!O2097)</f>
        <v>RAYA</v>
      </c>
      <c r="F2102" t="str">
        <f>IF(INPUT!N2097="","",INPUT!N2097)</f>
        <v>M</v>
      </c>
      <c r="G2102" t="str" cm="1">
        <f t="array" ref="G2102">IFERROR(VLOOKUP(INPUT!M2097&amp;INPUT!N2097,CHOOSE({1,2},INPUT!$A$3:$A$5000&amp;INPUT!$C$3:$C$5000,INPUT!$F$3:$F$5000),2,FALSE),"")</f>
        <v>PRE-TEMPORADA</v>
      </c>
      <c r="H2102" t="str" cm="1">
        <f t="array" ref="H2102">IFERROR(VLOOKUP(INPUT!M2097&amp;INPUT!N2097,CHOOSE({1,2},INPUT!$A$3:$A$5000&amp;INPUT!$C$3:$C$5000,INPUT!$D$3:$D$5000),2,FALSE),"")</f>
        <v>TEC-TAC</v>
      </c>
      <c r="I2102" s="46">
        <f>IF(INPUT!P2097="","",INPUT!P2097)</f>
        <v>81.2</v>
      </c>
      <c r="J2102" s="46">
        <f>IF(INPUT!Q2097="","",INPUT!Q2097)</f>
        <v>80</v>
      </c>
      <c r="K2102" s="46">
        <f>IFERROR(IF(OR(INPUT!P2097="",INPUT!Q2097=""),"",INPUT!P2097-INPUT!Q2097),"")</f>
        <v>1.2000000000000028</v>
      </c>
      <c r="L2102" s="48">
        <f>IFERROR(IF(OR(INPUT!P2097="",INPUT!Q2097="",INPUT!P2097=0),"",(INPUT!P2097-INPUT!Q2097)/INPUT!P2097),"")</f>
        <v>1.4778325123152743E-2</v>
      </c>
    </row>
    <row r="2103" spans="1:12" ht="18" hidden="1" customHeight="1" x14ac:dyDescent="0.2">
      <c r="A2103" s="11">
        <f>IF(INPUT!M2098="","",INPUT!M2098)</f>
        <v>46078</v>
      </c>
      <c r="B2103" s="11">
        <f>IF(INPUT!M2098="","",INPUT!M2098-WEEKDAY(INPUT!M2098,2)+1)</f>
        <v>46076</v>
      </c>
      <c r="C2103" s="20">
        <f>IFERROR(_xlfn.ISOWEEKNUM(INPUT!M2098),"")</f>
        <v>9</v>
      </c>
      <c r="D2103" s="20">
        <f>IFERROR(YEAR(INPUT!M2098),"")</f>
        <v>2026</v>
      </c>
      <c r="E2103" t="str">
        <f>IF(INPUT!O2098="","",INPUT!O2098)</f>
        <v>JAVI</v>
      </c>
      <c r="F2103" t="str">
        <f>IF(INPUT!N2098="","",INPUT!N2098)</f>
        <v>M</v>
      </c>
      <c r="G2103" t="str" cm="1">
        <f t="array" ref="G2103">IFERROR(VLOOKUP(INPUT!M2098&amp;INPUT!N2098,CHOOSE({1,2},INPUT!$A$3:$A$5000&amp;INPUT!$C$3:$C$5000,INPUT!$F$3:$F$5000),2,FALSE),"")</f>
        <v>PRE-TEMPORADA</v>
      </c>
      <c r="H2103" t="str" cm="1">
        <f t="array" ref="H2103">IFERROR(VLOOKUP(INPUT!M2098&amp;INPUT!N2098,CHOOSE({1,2},INPUT!$A$3:$A$5000&amp;INPUT!$C$3:$C$5000,INPUT!$D$3:$D$5000),2,FALSE),"")</f>
        <v>TEC-TAC</v>
      </c>
      <c r="I2103" s="46">
        <f>IF(INPUT!P2098="","",INPUT!P2098)</f>
        <v>78.900000000000006</v>
      </c>
      <c r="J2103" s="46">
        <f>IF(INPUT!Q2098="","",INPUT!Q2098)</f>
        <v>78.5</v>
      </c>
      <c r="K2103" s="46">
        <f>IFERROR(IF(OR(INPUT!P2098="",INPUT!Q2098=""),"",INPUT!P2098-INPUT!Q2098),"")</f>
        <v>0.40000000000000568</v>
      </c>
      <c r="L2103" s="48">
        <f>IFERROR(IF(OR(INPUT!P2098="",INPUT!Q2098="",INPUT!P2098=0),"",(INPUT!P2098-INPUT!Q2098)/INPUT!P2098),"")</f>
        <v>5.0697084917617954E-3</v>
      </c>
    </row>
    <row r="2104" spans="1:12" ht="18" hidden="1" customHeight="1" x14ac:dyDescent="0.2">
      <c r="A2104" s="11">
        <f>IF(INPUT!M2099="","",INPUT!M2099)</f>
        <v>46078</v>
      </c>
      <c r="B2104" s="11">
        <f>IF(INPUT!M2099="","",INPUT!M2099-WEEKDAY(INPUT!M2099,2)+1)</f>
        <v>46076</v>
      </c>
      <c r="C2104" s="20">
        <f>IFERROR(_xlfn.ISOWEEKNUM(INPUT!M2099),"")</f>
        <v>9</v>
      </c>
      <c r="D2104" s="20">
        <f>IFERROR(YEAR(INPUT!M2099),"")</f>
        <v>2026</v>
      </c>
      <c r="E2104" t="str">
        <f>IF(INPUT!O2099="","",INPUT!O2099)</f>
        <v>PANI</v>
      </c>
      <c r="F2104" t="str">
        <f>IF(INPUT!N2099="","",INPUT!N2099)</f>
        <v>M</v>
      </c>
      <c r="G2104" t="str" cm="1">
        <f t="array" ref="G2104">IFERROR(VLOOKUP(INPUT!M2099&amp;INPUT!N2099,CHOOSE({1,2},INPUT!$A$3:$A$5000&amp;INPUT!$C$3:$C$5000,INPUT!$F$3:$F$5000),2,FALSE),"")</f>
        <v>PRE-TEMPORADA</v>
      </c>
      <c r="H2104" t="str" cm="1">
        <f t="array" ref="H2104">IFERROR(VLOOKUP(INPUT!M2099&amp;INPUT!N2099,CHOOSE({1,2},INPUT!$A$3:$A$5000&amp;INPUT!$C$3:$C$5000,INPUT!$D$3:$D$5000),2,FALSE),"")</f>
        <v>TEC-TAC</v>
      </c>
      <c r="I2104" s="46">
        <f>IF(INPUT!P2099="","",INPUT!P2099)</f>
        <v>66.900000000000006</v>
      </c>
      <c r="J2104" s="46">
        <f>IF(INPUT!Q2099="","",INPUT!Q2099)</f>
        <v>66.2</v>
      </c>
      <c r="K2104" s="46">
        <f>IFERROR(IF(OR(INPUT!P2099="",INPUT!Q2099=""),"",INPUT!P2099-INPUT!Q2099),"")</f>
        <v>0.70000000000000284</v>
      </c>
      <c r="L2104" s="48">
        <f>IFERROR(IF(OR(INPUT!P2099="",INPUT!Q2099="",INPUT!P2099=0),"",(INPUT!P2099-INPUT!Q2099)/INPUT!P2099),"")</f>
        <v>1.0463378176382702E-2</v>
      </c>
    </row>
    <row r="2105" spans="1:12" ht="18" hidden="1" customHeight="1" x14ac:dyDescent="0.2">
      <c r="A2105" s="11">
        <f>IF(INPUT!M2100="","",INPUT!M2100)</f>
        <v>46078</v>
      </c>
      <c r="B2105" s="11">
        <f>IF(INPUT!M2100="","",INPUT!M2100-WEEKDAY(INPUT!M2100,2)+1)</f>
        <v>46076</v>
      </c>
      <c r="C2105" s="20">
        <f>IFERROR(_xlfn.ISOWEEKNUM(INPUT!M2100),"")</f>
        <v>9</v>
      </c>
      <c r="D2105" s="20">
        <f>IFERROR(YEAR(INPUT!M2100),"")</f>
        <v>2026</v>
      </c>
      <c r="E2105" t="str">
        <f>IF(INPUT!O2100="","",INPUT!O2100)</f>
        <v>PIRATA</v>
      </c>
      <c r="F2105" t="str">
        <f>IF(INPUT!N2100="","",INPUT!N2100)</f>
        <v>M</v>
      </c>
      <c r="G2105" t="str" cm="1">
        <f t="array" ref="G2105">IFERROR(VLOOKUP(INPUT!M2100&amp;INPUT!N2100,CHOOSE({1,2},INPUT!$A$3:$A$5000&amp;INPUT!$C$3:$C$5000,INPUT!$F$3:$F$5000),2,FALSE),"")</f>
        <v>PRE-TEMPORADA</v>
      </c>
      <c r="H2105" t="str" cm="1">
        <f t="array" ref="H2105">IFERROR(VLOOKUP(INPUT!M2100&amp;INPUT!N2100,CHOOSE({1,2},INPUT!$A$3:$A$5000&amp;INPUT!$C$3:$C$5000,INPUT!$D$3:$D$5000),2,FALSE),"")</f>
        <v>TEC-TAC</v>
      </c>
      <c r="I2105" s="46">
        <f>IF(INPUT!P2100="","",INPUT!P2100)</f>
        <v>75.7</v>
      </c>
      <c r="J2105" s="46">
        <f>IF(INPUT!Q2100="","",INPUT!Q2100)</f>
        <v>74.7</v>
      </c>
      <c r="K2105" s="46">
        <f>IFERROR(IF(OR(INPUT!P2100="",INPUT!Q2100=""),"",INPUT!P2100-INPUT!Q2100),"")</f>
        <v>1</v>
      </c>
      <c r="L2105" s="48">
        <f>IFERROR(IF(OR(INPUT!P2100="",INPUT!Q2100="",INPUT!P2100=0),"",(INPUT!P2100-INPUT!Q2100)/INPUT!P2100),"")</f>
        <v>1.3210039630118889E-2</v>
      </c>
    </row>
    <row r="2106" spans="1:12" ht="18" hidden="1" customHeight="1" x14ac:dyDescent="0.2">
      <c r="A2106" s="11">
        <f>IF(INPUT!M2101="","",INPUT!M2101)</f>
        <v>46078</v>
      </c>
      <c r="B2106" s="11">
        <f>IF(INPUT!M2101="","",INPUT!M2101-WEEKDAY(INPUT!M2101,2)+1)</f>
        <v>46076</v>
      </c>
      <c r="C2106" s="20">
        <f>IFERROR(_xlfn.ISOWEEKNUM(INPUT!M2101),"")</f>
        <v>9</v>
      </c>
      <c r="D2106" s="20">
        <f>IFERROR(YEAR(INPUT!M2101),"")</f>
        <v>2026</v>
      </c>
      <c r="E2106" t="str">
        <f>IF(INPUT!O2101="","",INPUT!O2101)</f>
        <v>BARONA</v>
      </c>
      <c r="F2106" t="str">
        <f>IF(INPUT!N2101="","",INPUT!N2101)</f>
        <v>M</v>
      </c>
      <c r="G2106" t="str" cm="1">
        <f t="array" ref="G2106">IFERROR(VLOOKUP(INPUT!M2101&amp;INPUT!N2101,CHOOSE({1,2},INPUT!$A$3:$A$5000&amp;INPUT!$C$3:$C$5000,INPUT!$F$3:$F$5000),2,FALSE),"")</f>
        <v>PRE-TEMPORADA</v>
      </c>
      <c r="H2106" t="str" cm="1">
        <f t="array" ref="H2106">IFERROR(VLOOKUP(INPUT!M2101&amp;INPUT!N2101,CHOOSE({1,2},INPUT!$A$3:$A$5000&amp;INPUT!$C$3:$C$5000,INPUT!$D$3:$D$5000),2,FALSE),"")</f>
        <v>TEC-TAC</v>
      </c>
      <c r="I2106" s="46">
        <f>IF(INPUT!P2101="","",INPUT!P2101)</f>
        <v>70.5</v>
      </c>
      <c r="J2106" s="46">
        <f>IF(INPUT!Q2101="","",INPUT!Q2101)</f>
        <v>70.5</v>
      </c>
      <c r="K2106" s="46">
        <f>IFERROR(IF(OR(INPUT!P2101="",INPUT!Q2101=""),"",INPUT!P2101-INPUT!Q2101),"")</f>
        <v>0</v>
      </c>
      <c r="L2106" s="48">
        <f>IFERROR(IF(OR(INPUT!P2101="",INPUT!Q2101="",INPUT!P2101=0),"",(INPUT!P2101-INPUT!Q2101)/INPUT!P2101),"")</f>
        <v>0</v>
      </c>
    </row>
    <row r="2107" spans="1:12" ht="18" hidden="1" customHeight="1" x14ac:dyDescent="0.2">
      <c r="A2107" s="11">
        <f>IF(INPUT!M2102="","",INPUT!M2102)</f>
        <v>46078</v>
      </c>
      <c r="B2107" s="11">
        <f>IF(INPUT!M2102="","",INPUT!M2102-WEEKDAY(INPUT!M2102,2)+1)</f>
        <v>46076</v>
      </c>
      <c r="C2107" s="20">
        <f>IFERROR(_xlfn.ISOWEEKNUM(INPUT!M2102),"")</f>
        <v>9</v>
      </c>
      <c r="D2107" s="20">
        <f>IFERROR(YEAR(INPUT!M2102),"")</f>
        <v>2026</v>
      </c>
      <c r="E2107" t="str">
        <f>IF(INPUT!O2102="","",INPUT!O2102)</f>
        <v>CARLOS</v>
      </c>
      <c r="F2107" t="str">
        <f>IF(INPUT!N2102="","",INPUT!N2102)</f>
        <v>M</v>
      </c>
      <c r="G2107" t="str" cm="1">
        <f t="array" ref="G2107">IFERROR(VLOOKUP(INPUT!M2102&amp;INPUT!N2102,CHOOSE({1,2},INPUT!$A$3:$A$5000&amp;INPUT!$C$3:$C$5000,INPUT!$F$3:$F$5000),2,FALSE),"")</f>
        <v>PRE-TEMPORADA</v>
      </c>
      <c r="H2107" t="str" cm="1">
        <f t="array" ref="H2107">IFERROR(VLOOKUP(INPUT!M2102&amp;INPUT!N2102,CHOOSE({1,2},INPUT!$A$3:$A$5000&amp;INPUT!$C$3:$C$5000,INPUT!$D$3:$D$5000),2,FALSE),"")</f>
        <v>TEC-TAC</v>
      </c>
      <c r="I2107" s="46">
        <f>IF(INPUT!P2102="","",INPUT!P2102)</f>
        <v>68.7</v>
      </c>
      <c r="J2107" s="46">
        <f>IF(INPUT!Q2102="","",INPUT!Q2102)</f>
        <v>68.5</v>
      </c>
      <c r="K2107" s="46">
        <f>IFERROR(IF(OR(INPUT!P2102="",INPUT!Q2102=""),"",INPUT!P2102-INPUT!Q2102),"")</f>
        <v>0.20000000000000284</v>
      </c>
      <c r="L2107" s="48">
        <f>IFERROR(IF(OR(INPUT!P2102="",INPUT!Q2102="",INPUT!P2102=0),"",(INPUT!P2102-INPUT!Q2102)/INPUT!P2102),"")</f>
        <v>2.9112081513828652E-3</v>
      </c>
    </row>
    <row r="2108" spans="1:12" ht="18" customHeight="1" x14ac:dyDescent="0.2">
      <c r="A2108" s="11">
        <f>IF(INPUT!M2103="","",INPUT!M2103)</f>
        <v>46078</v>
      </c>
      <c r="B2108" s="11">
        <f>IF(INPUT!M2103="","",INPUT!M2103-WEEKDAY(INPUT!M2103,2)+1)</f>
        <v>46076</v>
      </c>
      <c r="C2108" s="20">
        <f>IFERROR(_xlfn.ISOWEEKNUM(INPUT!M2103),"")</f>
        <v>9</v>
      </c>
      <c r="D2108" s="20">
        <f>IFERROR(YEAR(INPUT!M2103),"")</f>
        <v>2026</v>
      </c>
      <c r="E2108" t="str">
        <f>IF(INPUT!O2103="","",INPUT!O2103)</f>
        <v>DANI</v>
      </c>
      <c r="F2108" t="str">
        <f>IF(INPUT!N2103="","",INPUT!N2103)</f>
        <v>M</v>
      </c>
      <c r="G2108" t="str" cm="1">
        <f t="array" ref="G2108">IFERROR(VLOOKUP(INPUT!M2103&amp;INPUT!N2103,CHOOSE({1,2},INPUT!$A$3:$A$5000&amp;INPUT!$C$3:$C$5000,INPUT!$F$3:$F$5000),2,FALSE),"")</f>
        <v>PRE-TEMPORADA</v>
      </c>
      <c r="H2108" t="str" cm="1">
        <f t="array" ref="H2108">IFERROR(VLOOKUP(INPUT!M2103&amp;INPUT!N2103,CHOOSE({1,2},INPUT!$A$3:$A$5000&amp;INPUT!$C$3:$C$5000,INPUT!$D$3:$D$5000),2,FALSE),"")</f>
        <v>TEC-TAC</v>
      </c>
      <c r="I2108" s="46">
        <f>IF(INPUT!P2103="","",INPUT!P2103)</f>
        <v>91.3</v>
      </c>
      <c r="J2108" s="46">
        <f>IF(INPUT!Q2103="","",INPUT!Q2103)</f>
        <v>90.7</v>
      </c>
      <c r="K2108" s="46">
        <f>IFERROR(IF(OR(INPUT!P2103="",INPUT!Q2103=""),"",INPUT!P2103-INPUT!Q2103),"")</f>
        <v>0.59999999999999432</v>
      </c>
      <c r="L2108" s="48">
        <f>IFERROR(IF(OR(INPUT!P2103="",INPUT!Q2103="",INPUT!P2103=0),"",(INPUT!P2103-INPUT!Q2103)/INPUT!P2103),"")</f>
        <v>6.5717415115004859E-3</v>
      </c>
    </row>
    <row r="2109" spans="1:12" ht="18" customHeight="1" x14ac:dyDescent="0.2">
      <c r="A2109" s="11">
        <f>IF(INPUT!M2104="","",INPUT!M2104)</f>
        <v>46078</v>
      </c>
      <c r="B2109" s="11">
        <f>IF(INPUT!M2104="","",INPUT!M2104-WEEKDAY(INPUT!M2104,2)+1)</f>
        <v>46076</v>
      </c>
      <c r="C2109" s="20">
        <f>IFERROR(_xlfn.ISOWEEKNUM(INPUT!M2104),"")</f>
        <v>9</v>
      </c>
      <c r="D2109" s="20">
        <f>IFERROR(YEAR(INPUT!M2104),"")</f>
        <v>2026</v>
      </c>
      <c r="E2109" t="str">
        <f>IF(INPUT!O2104="","",INPUT!O2104)</f>
        <v>JAIME</v>
      </c>
      <c r="F2109" t="str">
        <f>IF(INPUT!N2104="","",INPUT!N2104)</f>
        <v>M</v>
      </c>
      <c r="G2109" t="str" cm="1">
        <f t="array" ref="G2109">IFERROR(VLOOKUP(INPUT!M2104&amp;INPUT!N2104,CHOOSE({1,2},INPUT!$A$3:$A$5000&amp;INPUT!$C$3:$C$5000,INPUT!$F$3:$F$5000),2,FALSE),"")</f>
        <v>PRE-TEMPORADA</v>
      </c>
      <c r="H2109" t="str" cm="1">
        <f t="array" ref="H2109">IFERROR(VLOOKUP(INPUT!M2104&amp;INPUT!N2104,CHOOSE({1,2},INPUT!$A$3:$A$5000&amp;INPUT!$C$3:$C$5000,INPUT!$D$3:$D$5000),2,FALSE),"")</f>
        <v>TEC-TAC</v>
      </c>
      <c r="I2109" s="46">
        <f>IF(INPUT!P2104="","",INPUT!P2104)</f>
        <v>75.5</v>
      </c>
      <c r="J2109" s="46">
        <f>IF(INPUT!Q2104="","",INPUT!Q2104)</f>
        <v>75.400000000000006</v>
      </c>
      <c r="K2109" s="46">
        <f>IFERROR(IF(OR(INPUT!P2104="",INPUT!Q2104=""),"",INPUT!P2104-INPUT!Q2104),"")</f>
        <v>9.9999999999994316E-2</v>
      </c>
      <c r="L2109" s="48">
        <f>IFERROR(IF(OR(INPUT!P2104="",INPUT!Q2104="",INPUT!P2104=0),"",(INPUT!P2104-INPUT!Q2104)/INPUT!P2104),"")</f>
        <v>1.3245033112582029E-3</v>
      </c>
    </row>
    <row r="2110" spans="1:12" ht="18" customHeight="1" x14ac:dyDescent="0.2">
      <c r="A2110" s="11">
        <f>IF(INPUT!M2105="","",INPUT!M2105)</f>
        <v>46079</v>
      </c>
      <c r="B2110" s="11">
        <f>IF(INPUT!M2105="","",INPUT!M2105-WEEKDAY(INPUT!M2105,2)+1)</f>
        <v>46076</v>
      </c>
      <c r="C2110" s="20">
        <f>IFERROR(_xlfn.ISOWEEKNUM(INPUT!M2105),"")</f>
        <v>9</v>
      </c>
      <c r="D2110" s="20">
        <f>IFERROR(YEAR(INPUT!M2105),"")</f>
        <v>2026</v>
      </c>
      <c r="E2110" t="str">
        <f>IF(INPUT!O2105="","",INPUT!O2105)</f>
        <v>HERRERO</v>
      </c>
      <c r="F2110" t="str">
        <f>IF(INPUT!N2105="","",INPUT!N2105)</f>
        <v>M</v>
      </c>
      <c r="G2110" t="str" cm="1">
        <f t="array" ref="G2110">IFERROR(VLOOKUP(INPUT!M2105&amp;INPUT!N2105,CHOOSE({1,2},INPUT!$A$3:$A$5000&amp;INPUT!$C$3:$C$5000,INPUT!$F$3:$F$5000),2,FALSE),"")</f>
        <v>PRE-TEMPORADA</v>
      </c>
      <c r="H2110" t="str" cm="1">
        <f t="array" ref="H2110">IFERROR(VLOOKUP(INPUT!M2105&amp;INPUT!N2105,CHOOSE({1,2},INPUT!$A$3:$A$5000&amp;INPUT!$C$3:$C$5000,INPUT!$D$3:$D$5000),2,FALSE),"")</f>
        <v>GYM+TEC-TAC</v>
      </c>
      <c r="I2110" s="46">
        <f>IF(INPUT!P2105="","",INPUT!P2105)</f>
        <v>77</v>
      </c>
      <c r="J2110" s="46">
        <f>IF(INPUT!Q2105="","",INPUT!Q2105)</f>
        <v>76.2</v>
      </c>
      <c r="K2110" s="46">
        <f>IFERROR(IF(OR(INPUT!P2105="",INPUT!Q2105=""),"",INPUT!P2105-INPUT!Q2105),"")</f>
        <v>0.79999999999999716</v>
      </c>
      <c r="L2110" s="48">
        <f>IFERROR(IF(OR(INPUT!P2105="",INPUT!Q2105="",INPUT!P2105=0),"",(INPUT!P2105-INPUT!Q2105)/INPUT!P2105),"")</f>
        <v>1.0389610389610353E-2</v>
      </c>
    </row>
    <row r="2111" spans="1:12" ht="18" customHeight="1" x14ac:dyDescent="0.2">
      <c r="A2111" s="11">
        <f>IF(INPUT!M2106="","",INPUT!M2106)</f>
        <v>46079</v>
      </c>
      <c r="B2111" s="11">
        <f>IF(INPUT!M2106="","",INPUT!M2106-WEEKDAY(INPUT!M2106,2)+1)</f>
        <v>46076</v>
      </c>
      <c r="C2111" s="20">
        <f>IFERROR(_xlfn.ISOWEEKNUM(INPUT!M2106),"")</f>
        <v>9</v>
      </c>
      <c r="D2111" s="20">
        <f>IFERROR(YEAR(INPUT!M2106),"")</f>
        <v>2026</v>
      </c>
      <c r="E2111" t="str">
        <f>IF(INPUT!O2106="","",INPUT!O2106)</f>
        <v>GARCIA</v>
      </c>
      <c r="F2111" t="str">
        <f>IF(INPUT!N2106="","",INPUT!N2106)</f>
        <v>M</v>
      </c>
      <c r="G2111" t="str" cm="1">
        <f t="array" ref="G2111">IFERROR(VLOOKUP(INPUT!M2106&amp;INPUT!N2106,CHOOSE({1,2},INPUT!$A$3:$A$5000&amp;INPUT!$C$3:$C$5000,INPUT!$F$3:$F$5000),2,FALSE),"")</f>
        <v>PRE-TEMPORADA</v>
      </c>
      <c r="H2111" t="str" cm="1">
        <f t="array" ref="H2111">IFERROR(VLOOKUP(INPUT!M2106&amp;INPUT!N2106,CHOOSE({1,2},INPUT!$A$3:$A$5000&amp;INPUT!$C$3:$C$5000,INPUT!$D$3:$D$5000),2,FALSE),"")</f>
        <v>GYM+TEC-TAC</v>
      </c>
      <c r="I2111" s="46">
        <f>IF(INPUT!P2106="","",INPUT!P2106)</f>
        <v>79.400000000000006</v>
      </c>
      <c r="J2111" s="46">
        <f>IF(INPUT!Q2106="","",INPUT!Q2106)</f>
        <v>79</v>
      </c>
      <c r="K2111" s="46">
        <f>IFERROR(IF(OR(INPUT!P2106="",INPUT!Q2106=""),"",INPUT!P2106-INPUT!Q2106),"")</f>
        <v>0.40000000000000568</v>
      </c>
      <c r="L2111" s="48">
        <f>IFERROR(IF(OR(INPUT!P2106="",INPUT!Q2106="",INPUT!P2106=0),"",(INPUT!P2106-INPUT!Q2106)/INPUT!P2106),"")</f>
        <v>5.0377833753149324E-3</v>
      </c>
    </row>
    <row r="2112" spans="1:12" ht="18" customHeight="1" x14ac:dyDescent="0.2">
      <c r="A2112" s="11">
        <f>IF(INPUT!M2107="","",INPUT!M2107)</f>
        <v>46079</v>
      </c>
      <c r="B2112" s="11">
        <f>IF(INPUT!M2107="","",INPUT!M2107-WEEKDAY(INPUT!M2107,2)+1)</f>
        <v>46076</v>
      </c>
      <c r="C2112" s="20">
        <f>IFERROR(_xlfn.ISOWEEKNUM(INPUT!M2107),"")</f>
        <v>9</v>
      </c>
      <c r="D2112" s="20">
        <f>IFERROR(YEAR(INPUT!M2107),"")</f>
        <v>2026</v>
      </c>
      <c r="E2112" t="str">
        <f>IF(INPUT!O2107="","",INPUT!O2107)</f>
        <v>CECILIO</v>
      </c>
      <c r="F2112" t="str">
        <f>IF(INPUT!N2107="","",INPUT!N2107)</f>
        <v>M</v>
      </c>
      <c r="G2112" t="str" cm="1">
        <f t="array" ref="G2112">IFERROR(VLOOKUP(INPUT!M2107&amp;INPUT!N2107,CHOOSE({1,2},INPUT!$A$3:$A$5000&amp;INPUT!$C$3:$C$5000,INPUT!$F$3:$F$5000),2,FALSE),"")</f>
        <v>PRE-TEMPORADA</v>
      </c>
      <c r="H2112" t="str" cm="1">
        <f t="array" ref="H2112">IFERROR(VLOOKUP(INPUT!M2107&amp;INPUT!N2107,CHOOSE({1,2},INPUT!$A$3:$A$5000&amp;INPUT!$C$3:$C$5000,INPUT!$D$3:$D$5000),2,FALSE),"")</f>
        <v>GYM+TEC-TAC</v>
      </c>
      <c r="I2112" s="46">
        <f>IF(INPUT!P2107="","",INPUT!P2107)</f>
        <v>67.8</v>
      </c>
      <c r="J2112" s="46">
        <f>IF(INPUT!Q2107="","",INPUT!Q2107)</f>
        <v>67.3</v>
      </c>
      <c r="K2112" s="46">
        <f>IFERROR(IF(OR(INPUT!P2107="",INPUT!Q2107=""),"",INPUT!P2107-INPUT!Q2107),"")</f>
        <v>0.5</v>
      </c>
      <c r="L2112" s="48">
        <f>IFERROR(IF(OR(INPUT!P2107="",INPUT!Q2107="",INPUT!P2107=0),"",(INPUT!P2107-INPUT!Q2107)/INPUT!P2107),"")</f>
        <v>7.3746312684365781E-3</v>
      </c>
    </row>
    <row r="2113" spans="1:12" ht="18" customHeight="1" x14ac:dyDescent="0.2">
      <c r="A2113" s="11">
        <f>IF(INPUT!M2108="","",INPUT!M2108)</f>
        <v>46079</v>
      </c>
      <c r="B2113" s="11">
        <f>IF(INPUT!M2108="","",INPUT!M2108-WEEKDAY(INPUT!M2108,2)+1)</f>
        <v>46076</v>
      </c>
      <c r="C2113" s="20">
        <f>IFERROR(_xlfn.ISOWEEKNUM(INPUT!M2108),"")</f>
        <v>9</v>
      </c>
      <c r="D2113" s="20">
        <f>IFERROR(YEAR(INPUT!M2108),"")</f>
        <v>2026</v>
      </c>
      <c r="E2113" t="str">
        <f>IF(INPUT!O2108="","",INPUT!O2108)</f>
        <v>CHAGUINHA</v>
      </c>
      <c r="F2113" t="str">
        <f>IF(INPUT!N2108="","",INPUT!N2108)</f>
        <v>M</v>
      </c>
      <c r="G2113" t="str" cm="1">
        <f t="array" ref="G2113">IFERROR(VLOOKUP(INPUT!M2108&amp;INPUT!N2108,CHOOSE({1,2},INPUT!$A$3:$A$5000&amp;INPUT!$C$3:$C$5000,INPUT!$F$3:$F$5000),2,FALSE),"")</f>
        <v>PRE-TEMPORADA</v>
      </c>
      <c r="H2113" t="str" cm="1">
        <f t="array" ref="H2113">IFERROR(VLOOKUP(INPUT!M2108&amp;INPUT!N2108,CHOOSE({1,2},INPUT!$A$3:$A$5000&amp;INPUT!$C$3:$C$5000,INPUT!$D$3:$D$5000),2,FALSE),"")</f>
        <v>GYM+TEC-TAC</v>
      </c>
      <c r="I2113" s="46">
        <f>IF(INPUT!P2108="","",INPUT!P2108)</f>
        <v>69</v>
      </c>
      <c r="J2113" s="46">
        <f>IF(INPUT!Q2108="","",INPUT!Q2108)</f>
        <v>68.3</v>
      </c>
      <c r="K2113" s="46">
        <f>IFERROR(IF(OR(INPUT!P2108="",INPUT!Q2108=""),"",INPUT!P2108-INPUT!Q2108),"")</f>
        <v>0.70000000000000284</v>
      </c>
      <c r="L2113" s="48">
        <f>IFERROR(IF(OR(INPUT!P2108="",INPUT!Q2108="",INPUT!P2108=0),"",(INPUT!P2108-INPUT!Q2108)/INPUT!P2108),"")</f>
        <v>1.0144927536231925E-2</v>
      </c>
    </row>
    <row r="2114" spans="1:12" ht="18" hidden="1" customHeight="1" x14ac:dyDescent="0.2">
      <c r="A2114" s="11">
        <f>IF(INPUT!M2109="","",INPUT!M2109)</f>
        <v>46079</v>
      </c>
      <c r="B2114" s="11">
        <f>IF(INPUT!M2109="","",INPUT!M2109-WEEKDAY(INPUT!M2109,2)+1)</f>
        <v>46076</v>
      </c>
      <c r="C2114" s="20">
        <f>IFERROR(_xlfn.ISOWEEKNUM(INPUT!M2109),"")</f>
        <v>9</v>
      </c>
      <c r="D2114" s="20">
        <f>IFERROR(YEAR(INPUT!M2109),"")</f>
        <v>2026</v>
      </c>
      <c r="E2114" t="str">
        <f>IF(INPUT!O2109="","",INPUT!O2109)</f>
        <v>RAUL</v>
      </c>
      <c r="F2114" t="str">
        <f>IF(INPUT!N2109="","",INPUT!N2109)</f>
        <v>M</v>
      </c>
      <c r="G2114" t="str" cm="1">
        <f t="array" ref="G2114">IFERROR(VLOOKUP(INPUT!M2109&amp;INPUT!N2109,CHOOSE({1,2},INPUT!$A$3:$A$5000&amp;INPUT!$C$3:$C$5000,INPUT!$F$3:$F$5000),2,FALSE),"")</f>
        <v>PRE-TEMPORADA</v>
      </c>
      <c r="H2114" t="str" cm="1">
        <f t="array" ref="H2114">IFERROR(VLOOKUP(INPUT!M2109&amp;INPUT!N2109,CHOOSE({1,2},INPUT!$A$3:$A$5000&amp;INPUT!$C$3:$C$5000,INPUT!$D$3:$D$5000),2,FALSE),"")</f>
        <v>GYM+TEC-TAC</v>
      </c>
      <c r="I2114" s="46">
        <f>IF(INPUT!P2109="","",INPUT!P2109)</f>
        <v>71.400000000000006</v>
      </c>
      <c r="J2114" s="46">
        <f>IF(INPUT!Q2109="","",INPUT!Q2109)</f>
        <v>82</v>
      </c>
      <c r="K2114" s="46">
        <f>IFERROR(IF(OR(INPUT!P2109="",INPUT!Q2109=""),"",INPUT!P2109-INPUT!Q2109),"")</f>
        <v>-10.599999999999994</v>
      </c>
      <c r="L2114" s="48">
        <f>IFERROR(IF(OR(INPUT!P2109="",INPUT!Q2109="",INPUT!P2109=0),"",(INPUT!P2109-INPUT!Q2109)/INPUT!P2109),"")</f>
        <v>-0.14845938375350132</v>
      </c>
    </row>
    <row r="2115" spans="1:12" ht="18" hidden="1" customHeight="1" x14ac:dyDescent="0.2">
      <c r="A2115" s="11">
        <f>IF(INPUT!M2110="","",INPUT!M2110)</f>
        <v>46079</v>
      </c>
      <c r="B2115" s="11">
        <f>IF(INPUT!M2110="","",INPUT!M2110-WEEKDAY(INPUT!M2110,2)+1)</f>
        <v>46076</v>
      </c>
      <c r="C2115" s="20">
        <f>IFERROR(_xlfn.ISOWEEKNUM(INPUT!M2110),"")</f>
        <v>9</v>
      </c>
      <c r="D2115" s="20">
        <f>IFERROR(YEAR(INPUT!M2110),"")</f>
        <v>2026</v>
      </c>
      <c r="E2115" t="str">
        <f>IF(INPUT!O2110="","",INPUT!O2110)</f>
        <v>HARRISON</v>
      </c>
      <c r="F2115" t="str">
        <f>IF(INPUT!N2110="","",INPUT!N2110)</f>
        <v>M</v>
      </c>
      <c r="G2115" t="str" cm="1">
        <f t="array" ref="G2115">IFERROR(VLOOKUP(INPUT!M2110&amp;INPUT!N2110,CHOOSE({1,2},INPUT!$A$3:$A$5000&amp;INPUT!$C$3:$C$5000,INPUT!$F$3:$F$5000),2,FALSE),"")</f>
        <v>PRE-TEMPORADA</v>
      </c>
      <c r="H2115" t="str" cm="1">
        <f t="array" ref="H2115">IFERROR(VLOOKUP(INPUT!M2110&amp;INPUT!N2110,CHOOSE({1,2},INPUT!$A$3:$A$5000&amp;INPUT!$C$3:$C$5000,INPUT!$D$3:$D$5000),2,FALSE),"")</f>
        <v>GYM+TEC-TAC</v>
      </c>
      <c r="I2115" s="46">
        <f>IF(INPUT!P2110="","",INPUT!P2110)</f>
        <v>71.7</v>
      </c>
      <c r="J2115" s="46">
        <f>IF(INPUT!Q2110="","",INPUT!Q2110)</f>
        <v>72</v>
      </c>
      <c r="K2115" s="46">
        <f>IFERROR(IF(OR(INPUT!P2110="",INPUT!Q2110=""),"",INPUT!P2110-INPUT!Q2110),"")</f>
        <v>-0.29999999999999716</v>
      </c>
      <c r="L2115" s="48">
        <f>IFERROR(IF(OR(INPUT!P2110="",INPUT!Q2110="",INPUT!P2110=0),"",(INPUT!P2110-INPUT!Q2110)/INPUT!P2110),"")</f>
        <v>-4.1841004184100025E-3</v>
      </c>
    </row>
    <row r="2116" spans="1:12" ht="18" hidden="1" customHeight="1" x14ac:dyDescent="0.2">
      <c r="A2116" s="11">
        <f>IF(INPUT!M2111="","",INPUT!M2111)</f>
        <v>46079</v>
      </c>
      <c r="B2116" s="11">
        <f>IF(INPUT!M2111="","",INPUT!M2111-WEEKDAY(INPUT!M2111,2)+1)</f>
        <v>46076</v>
      </c>
      <c r="C2116" s="20">
        <f>IFERROR(_xlfn.ISOWEEKNUM(INPUT!M2111),"")</f>
        <v>9</v>
      </c>
      <c r="D2116" s="20">
        <f>IFERROR(YEAR(INPUT!M2111),"")</f>
        <v>2026</v>
      </c>
      <c r="E2116" t="str">
        <f>IF(INPUT!O2111="","",INPUT!O2111)</f>
        <v>RAYA</v>
      </c>
      <c r="F2116" t="str">
        <f>IF(INPUT!N2111="","",INPUT!N2111)</f>
        <v>M</v>
      </c>
      <c r="G2116" t="str" cm="1">
        <f t="array" ref="G2116">IFERROR(VLOOKUP(INPUT!M2111&amp;INPUT!N2111,CHOOSE({1,2},INPUT!$A$3:$A$5000&amp;INPUT!$C$3:$C$5000,INPUT!$F$3:$F$5000),2,FALSE),"")</f>
        <v>PRE-TEMPORADA</v>
      </c>
      <c r="H2116" t="str" cm="1">
        <f t="array" ref="H2116">IFERROR(VLOOKUP(INPUT!M2111&amp;INPUT!N2111,CHOOSE({1,2},INPUT!$A$3:$A$5000&amp;INPUT!$C$3:$C$5000,INPUT!$D$3:$D$5000),2,FALSE),"")</f>
        <v>GYM+TEC-TAC</v>
      </c>
      <c r="I2116" s="46">
        <f>IF(INPUT!P2111="","",INPUT!P2111)</f>
        <v>81.8</v>
      </c>
      <c r="J2116" s="46">
        <f>IF(INPUT!Q2111="","",INPUT!Q2111)</f>
        <v>80.2</v>
      </c>
      <c r="K2116" s="46">
        <f>IFERROR(IF(OR(INPUT!P2111="",INPUT!Q2111=""),"",INPUT!P2111-INPUT!Q2111),"")</f>
        <v>1.5999999999999943</v>
      </c>
      <c r="L2116" s="48">
        <f>IFERROR(IF(OR(INPUT!P2111="",INPUT!Q2111="",INPUT!P2111=0),"",(INPUT!P2111-INPUT!Q2111)/INPUT!P2111),"")</f>
        <v>1.9559902200488928E-2</v>
      </c>
    </row>
    <row r="2117" spans="1:12" ht="18" hidden="1" customHeight="1" x14ac:dyDescent="0.2">
      <c r="A2117" s="11">
        <f>IF(INPUT!M2112="","",INPUT!M2112)</f>
        <v>46079</v>
      </c>
      <c r="B2117" s="11">
        <f>IF(INPUT!M2112="","",INPUT!M2112-WEEKDAY(INPUT!M2112,2)+1)</f>
        <v>46076</v>
      </c>
      <c r="C2117" s="20">
        <f>IFERROR(_xlfn.ISOWEEKNUM(INPUT!M2112),"")</f>
        <v>9</v>
      </c>
      <c r="D2117" s="20">
        <f>IFERROR(YEAR(INPUT!M2112),"")</f>
        <v>2026</v>
      </c>
      <c r="E2117" t="str">
        <f>IF(INPUT!O2112="","",INPUT!O2112)</f>
        <v>JAVI</v>
      </c>
      <c r="F2117" t="str">
        <f>IF(INPUT!N2112="","",INPUT!N2112)</f>
        <v>M</v>
      </c>
      <c r="G2117" t="str" cm="1">
        <f t="array" ref="G2117">IFERROR(VLOOKUP(INPUT!M2112&amp;INPUT!N2112,CHOOSE({1,2},INPUT!$A$3:$A$5000&amp;INPUT!$C$3:$C$5000,INPUT!$F$3:$F$5000),2,FALSE),"")</f>
        <v>PRE-TEMPORADA</v>
      </c>
      <c r="H2117" t="str" cm="1">
        <f t="array" ref="H2117">IFERROR(VLOOKUP(INPUT!M2112&amp;INPUT!N2112,CHOOSE({1,2},INPUT!$A$3:$A$5000&amp;INPUT!$C$3:$C$5000,INPUT!$D$3:$D$5000),2,FALSE),"")</f>
        <v>GYM+TEC-TAC</v>
      </c>
      <c r="I2117" s="46">
        <f>IF(INPUT!P2112="","",INPUT!P2112)</f>
        <v>79.2</v>
      </c>
      <c r="J2117" s="46">
        <f>IF(INPUT!Q2112="","",INPUT!Q2112)</f>
        <v>79.3</v>
      </c>
      <c r="K2117" s="46">
        <f>IFERROR(IF(OR(INPUT!P2112="",INPUT!Q2112=""),"",INPUT!P2112-INPUT!Q2112),"")</f>
        <v>-9.9999999999994316E-2</v>
      </c>
      <c r="L2117" s="48">
        <f>IFERROR(IF(OR(INPUT!P2112="",INPUT!Q2112="",INPUT!P2112=0),"",(INPUT!P2112-INPUT!Q2112)/INPUT!P2112),"")</f>
        <v>-1.2626262626261907E-3</v>
      </c>
    </row>
    <row r="2118" spans="1:12" ht="18" hidden="1" customHeight="1" x14ac:dyDescent="0.2">
      <c r="A2118" s="11">
        <f>IF(INPUT!M2113="","",INPUT!M2113)</f>
        <v>46079</v>
      </c>
      <c r="B2118" s="11">
        <f>IF(INPUT!M2113="","",INPUT!M2113-WEEKDAY(INPUT!M2113,2)+1)</f>
        <v>46076</v>
      </c>
      <c r="C2118" s="20">
        <f>IFERROR(_xlfn.ISOWEEKNUM(INPUT!M2113),"")</f>
        <v>9</v>
      </c>
      <c r="D2118" s="20">
        <f>IFERROR(YEAR(INPUT!M2113),"")</f>
        <v>2026</v>
      </c>
      <c r="E2118" t="str">
        <f>IF(INPUT!O2113="","",INPUT!O2113)</f>
        <v>PANI</v>
      </c>
      <c r="F2118" t="str">
        <f>IF(INPUT!N2113="","",INPUT!N2113)</f>
        <v>M</v>
      </c>
      <c r="G2118" t="str" cm="1">
        <f t="array" ref="G2118">IFERROR(VLOOKUP(INPUT!M2113&amp;INPUT!N2113,CHOOSE({1,2},INPUT!$A$3:$A$5000&amp;INPUT!$C$3:$C$5000,INPUT!$F$3:$F$5000),2,FALSE),"")</f>
        <v>PRE-TEMPORADA</v>
      </c>
      <c r="H2118" t="str" cm="1">
        <f t="array" ref="H2118">IFERROR(VLOOKUP(INPUT!M2113&amp;INPUT!N2113,CHOOSE({1,2},INPUT!$A$3:$A$5000&amp;INPUT!$C$3:$C$5000,INPUT!$D$3:$D$5000),2,FALSE),"")</f>
        <v>GYM+TEC-TAC</v>
      </c>
      <c r="I2118" s="46">
        <f>IF(INPUT!P2113="","",INPUT!P2113)</f>
        <v>67</v>
      </c>
      <c r="J2118" s="46">
        <f>IF(INPUT!Q2113="","",INPUT!Q2113)</f>
        <v>66</v>
      </c>
      <c r="K2118" s="46">
        <f>IFERROR(IF(OR(INPUT!P2113="",INPUT!Q2113=""),"",INPUT!P2113-INPUT!Q2113),"")</f>
        <v>1</v>
      </c>
      <c r="L2118" s="48">
        <f>IFERROR(IF(OR(INPUT!P2113="",INPUT!Q2113="",INPUT!P2113=0),"",(INPUT!P2113-INPUT!Q2113)/INPUT!P2113),"")</f>
        <v>1.4925373134328358E-2</v>
      </c>
    </row>
    <row r="2119" spans="1:12" ht="18" hidden="1" customHeight="1" x14ac:dyDescent="0.2">
      <c r="A2119" s="11">
        <f>IF(INPUT!M2114="","",INPUT!M2114)</f>
        <v>46079</v>
      </c>
      <c r="B2119" s="11">
        <f>IF(INPUT!M2114="","",INPUT!M2114-WEEKDAY(INPUT!M2114,2)+1)</f>
        <v>46076</v>
      </c>
      <c r="C2119" s="20">
        <f>IFERROR(_xlfn.ISOWEEKNUM(INPUT!M2114),"")</f>
        <v>9</v>
      </c>
      <c r="D2119" s="20">
        <f>IFERROR(YEAR(INPUT!M2114),"")</f>
        <v>2026</v>
      </c>
      <c r="E2119" t="str">
        <f>IF(INPUT!O2114="","",INPUT!O2114)</f>
        <v>PIRATA</v>
      </c>
      <c r="F2119" t="str">
        <f>IF(INPUT!N2114="","",INPUT!N2114)</f>
        <v>M</v>
      </c>
      <c r="G2119" t="str" cm="1">
        <f t="array" ref="G2119">IFERROR(VLOOKUP(INPUT!M2114&amp;INPUT!N2114,CHOOSE({1,2},INPUT!$A$3:$A$5000&amp;INPUT!$C$3:$C$5000,INPUT!$F$3:$F$5000),2,FALSE),"")</f>
        <v>PRE-TEMPORADA</v>
      </c>
      <c r="H2119" t="str" cm="1">
        <f t="array" ref="H2119">IFERROR(VLOOKUP(INPUT!M2114&amp;INPUT!N2114,CHOOSE({1,2},INPUT!$A$3:$A$5000&amp;INPUT!$C$3:$C$5000,INPUT!$D$3:$D$5000),2,FALSE),"")</f>
        <v>GYM+TEC-TAC</v>
      </c>
      <c r="I2119" s="46">
        <f>IF(INPUT!P2114="","",INPUT!P2114)</f>
        <v>75.3</v>
      </c>
      <c r="J2119" s="46">
        <f>IF(INPUT!Q2114="","",INPUT!Q2114)</f>
        <v>75.099999999999994</v>
      </c>
      <c r="K2119" s="46">
        <f>IFERROR(IF(OR(INPUT!P2114="",INPUT!Q2114=""),"",INPUT!P2114-INPUT!Q2114),"")</f>
        <v>0.20000000000000284</v>
      </c>
      <c r="L2119" s="48">
        <f>IFERROR(IF(OR(INPUT!P2114="",INPUT!Q2114="",INPUT!P2114=0),"",(INPUT!P2114-INPUT!Q2114)/INPUT!P2114),"")</f>
        <v>2.6560424966799849E-3</v>
      </c>
    </row>
    <row r="2120" spans="1:12" ht="18" hidden="1" customHeight="1" x14ac:dyDescent="0.2">
      <c r="A2120" s="11">
        <f>IF(INPUT!M2115="","",INPUT!M2115)</f>
        <v>46079</v>
      </c>
      <c r="B2120" s="11">
        <f>IF(INPUT!M2115="","",INPUT!M2115-WEEKDAY(INPUT!M2115,2)+1)</f>
        <v>46076</v>
      </c>
      <c r="C2120" s="20">
        <f>IFERROR(_xlfn.ISOWEEKNUM(INPUT!M2115),"")</f>
        <v>9</v>
      </c>
      <c r="D2120" s="20">
        <f>IFERROR(YEAR(INPUT!M2115),"")</f>
        <v>2026</v>
      </c>
      <c r="E2120" t="str">
        <f>IF(INPUT!O2115="","",INPUT!O2115)</f>
        <v>BARONA</v>
      </c>
      <c r="F2120" t="str">
        <f>IF(INPUT!N2115="","",INPUT!N2115)</f>
        <v>M</v>
      </c>
      <c r="G2120" t="str" cm="1">
        <f t="array" ref="G2120">IFERROR(VLOOKUP(INPUT!M2115&amp;INPUT!N2115,CHOOSE({1,2},INPUT!$A$3:$A$5000&amp;INPUT!$C$3:$C$5000,INPUT!$F$3:$F$5000),2,FALSE),"")</f>
        <v>PRE-TEMPORADA</v>
      </c>
      <c r="H2120" t="str" cm="1">
        <f t="array" ref="H2120">IFERROR(VLOOKUP(INPUT!M2115&amp;INPUT!N2115,CHOOSE({1,2},INPUT!$A$3:$A$5000&amp;INPUT!$C$3:$C$5000,INPUT!$D$3:$D$5000),2,FALSE),"")</f>
        <v>GYM+TEC-TAC</v>
      </c>
      <c r="I2120" s="46">
        <f>IF(INPUT!P2115="","",INPUT!P2115)</f>
        <v>70.5</v>
      </c>
      <c r="J2120" s="46">
        <f>IF(INPUT!Q2115="","",INPUT!Q2115)</f>
        <v>70.5</v>
      </c>
      <c r="K2120" s="46">
        <f>IFERROR(IF(OR(INPUT!P2115="",INPUT!Q2115=""),"",INPUT!P2115-INPUT!Q2115),"")</f>
        <v>0</v>
      </c>
      <c r="L2120" s="48">
        <f>IFERROR(IF(OR(INPUT!P2115="",INPUT!Q2115="",INPUT!P2115=0),"",(INPUT!P2115-INPUT!Q2115)/INPUT!P2115),"")</f>
        <v>0</v>
      </c>
    </row>
    <row r="2121" spans="1:12" ht="18" hidden="1" customHeight="1" x14ac:dyDescent="0.2">
      <c r="A2121" s="11">
        <f>IF(INPUT!M2116="","",INPUT!M2116)</f>
        <v>46079</v>
      </c>
      <c r="B2121" s="11">
        <f>IF(INPUT!M2116="","",INPUT!M2116-WEEKDAY(INPUT!M2116,2)+1)</f>
        <v>46076</v>
      </c>
      <c r="C2121" s="20">
        <f>IFERROR(_xlfn.ISOWEEKNUM(INPUT!M2116),"")</f>
        <v>9</v>
      </c>
      <c r="D2121" s="20">
        <f>IFERROR(YEAR(INPUT!M2116),"")</f>
        <v>2026</v>
      </c>
      <c r="E2121" t="str">
        <f>IF(INPUT!O2116="","",INPUT!O2116)</f>
        <v>CARLOS</v>
      </c>
      <c r="F2121" t="str">
        <f>IF(INPUT!N2116="","",INPUT!N2116)</f>
        <v>M</v>
      </c>
      <c r="G2121" t="str" cm="1">
        <f t="array" ref="G2121">IFERROR(VLOOKUP(INPUT!M2116&amp;INPUT!N2116,CHOOSE({1,2},INPUT!$A$3:$A$5000&amp;INPUT!$C$3:$C$5000,INPUT!$F$3:$F$5000),2,FALSE),"")</f>
        <v>PRE-TEMPORADA</v>
      </c>
      <c r="H2121" t="str" cm="1">
        <f t="array" ref="H2121">IFERROR(VLOOKUP(INPUT!M2116&amp;INPUT!N2116,CHOOSE({1,2},INPUT!$A$3:$A$5000&amp;INPUT!$C$3:$C$5000,INPUT!$D$3:$D$5000),2,FALSE),"")</f>
        <v>GYM+TEC-TAC</v>
      </c>
      <c r="I2121" s="46">
        <f>IF(INPUT!P2116="","",INPUT!P2116)</f>
        <v>68.3</v>
      </c>
      <c r="J2121" s="46">
        <f>IF(INPUT!Q2116="","",INPUT!Q2116)</f>
        <v>67.8</v>
      </c>
      <c r="K2121" s="46">
        <f>IFERROR(IF(OR(INPUT!P2116="",INPUT!Q2116=""),"",INPUT!P2116-INPUT!Q2116),"")</f>
        <v>0.5</v>
      </c>
      <c r="L2121" s="48">
        <f>IFERROR(IF(OR(INPUT!P2116="",INPUT!Q2116="",INPUT!P2116=0),"",(INPUT!P2116-INPUT!Q2116)/INPUT!P2116),"")</f>
        <v>7.320644216691069E-3</v>
      </c>
    </row>
    <row r="2122" spans="1:12" ht="18" hidden="1" customHeight="1" x14ac:dyDescent="0.2">
      <c r="A2122" s="11">
        <f>IF(INPUT!M2117="","",INPUT!M2117)</f>
        <v>46079</v>
      </c>
      <c r="B2122" s="11">
        <f>IF(INPUT!M2117="","",INPUT!M2117-WEEKDAY(INPUT!M2117,2)+1)</f>
        <v>46076</v>
      </c>
      <c r="C2122" s="20">
        <f>IFERROR(_xlfn.ISOWEEKNUM(INPUT!M2117),"")</f>
        <v>9</v>
      </c>
      <c r="D2122" s="20">
        <f>IFERROR(YEAR(INPUT!M2117),"")</f>
        <v>2026</v>
      </c>
      <c r="E2122" t="str">
        <f>IF(INPUT!O2117="","",INPUT!O2117)</f>
        <v>DANI</v>
      </c>
      <c r="F2122" t="str">
        <f>IF(INPUT!N2117="","",INPUT!N2117)</f>
        <v>M</v>
      </c>
      <c r="G2122" t="str" cm="1">
        <f t="array" ref="G2122">IFERROR(VLOOKUP(INPUT!M2117&amp;INPUT!N2117,CHOOSE({1,2},INPUT!$A$3:$A$5000&amp;INPUT!$C$3:$C$5000,INPUT!$F$3:$F$5000),2,FALSE),"")</f>
        <v>PRE-TEMPORADA</v>
      </c>
      <c r="H2122" t="str" cm="1">
        <f t="array" ref="H2122">IFERROR(VLOOKUP(INPUT!M2117&amp;INPUT!N2117,CHOOSE({1,2},INPUT!$A$3:$A$5000&amp;INPUT!$C$3:$C$5000,INPUT!$D$3:$D$5000),2,FALSE),"")</f>
        <v>GYM+TEC-TAC</v>
      </c>
      <c r="I2122" s="46">
        <f>IF(INPUT!P2117="","",INPUT!P2117)</f>
        <v>92</v>
      </c>
      <c r="J2122" s="46">
        <f>IF(INPUT!Q2117="","",INPUT!Q2117)</f>
        <v>92</v>
      </c>
      <c r="K2122" s="46">
        <f>IFERROR(IF(OR(INPUT!P2117="",INPUT!Q2117=""),"",INPUT!P2117-INPUT!Q2117),"")</f>
        <v>0</v>
      </c>
      <c r="L2122" s="48">
        <f>IFERROR(IF(OR(INPUT!P2117="",INPUT!Q2117="",INPUT!P2117=0),"",(INPUT!P2117-INPUT!Q2117)/INPUT!P2117),"")</f>
        <v>0</v>
      </c>
    </row>
    <row r="2123" spans="1:12" ht="18" hidden="1" customHeight="1" x14ac:dyDescent="0.2">
      <c r="A2123" s="11">
        <f>IF(INPUT!M2118="","",INPUT!M2118)</f>
        <v>46079</v>
      </c>
      <c r="B2123" s="11">
        <f>IF(INPUT!M2118="","",INPUT!M2118-WEEKDAY(INPUT!M2118,2)+1)</f>
        <v>46076</v>
      </c>
      <c r="C2123" s="20">
        <f>IFERROR(_xlfn.ISOWEEKNUM(INPUT!M2118),"")</f>
        <v>9</v>
      </c>
      <c r="D2123" s="20">
        <f>IFERROR(YEAR(INPUT!M2118),"")</f>
        <v>2026</v>
      </c>
      <c r="E2123" t="str">
        <f>IF(INPUT!O2118="","",INPUT!O2118)</f>
        <v>JAIME</v>
      </c>
      <c r="F2123" t="str">
        <f>IF(INPUT!N2118="","",INPUT!N2118)</f>
        <v>M</v>
      </c>
      <c r="G2123" t="str" cm="1">
        <f t="array" ref="G2123">IFERROR(VLOOKUP(INPUT!M2118&amp;INPUT!N2118,CHOOSE({1,2},INPUT!$A$3:$A$5000&amp;INPUT!$C$3:$C$5000,INPUT!$F$3:$F$5000),2,FALSE),"")</f>
        <v>PRE-TEMPORADA</v>
      </c>
      <c r="H2123" t="str" cm="1">
        <f t="array" ref="H2123">IFERROR(VLOOKUP(INPUT!M2118&amp;INPUT!N2118,CHOOSE({1,2},INPUT!$A$3:$A$5000&amp;INPUT!$C$3:$C$5000,INPUT!$D$3:$D$5000),2,FALSE),"")</f>
        <v>GYM+TEC-TAC</v>
      </c>
      <c r="I2123" s="46">
        <f>IF(INPUT!P2118="","",INPUT!P2118)</f>
        <v>75.599999999999994</v>
      </c>
      <c r="J2123" s="46">
        <f>IF(INPUT!Q2118="","",INPUT!Q2118)</f>
        <v>74.900000000000006</v>
      </c>
      <c r="K2123" s="46">
        <f>IFERROR(IF(OR(INPUT!P2118="",INPUT!Q2118=""),"",INPUT!P2118-INPUT!Q2118),"")</f>
        <v>0.69999999999998863</v>
      </c>
      <c r="L2123" s="48">
        <f>IFERROR(IF(OR(INPUT!P2118="",INPUT!Q2118="",INPUT!P2118=0),"",(INPUT!P2118-INPUT!Q2118)/INPUT!P2118),"")</f>
        <v>9.2592592592591096E-3</v>
      </c>
    </row>
    <row r="2124" spans="1:12" ht="18" hidden="1" customHeight="1" x14ac:dyDescent="0.2">
      <c r="A2124" s="11">
        <f>IF(INPUT!M2119="","",INPUT!M2119)</f>
        <v>46080</v>
      </c>
      <c r="B2124" s="11">
        <f>IF(INPUT!M2119="","",INPUT!M2119-WEEKDAY(INPUT!M2119,2)+1)</f>
        <v>46076</v>
      </c>
      <c r="C2124" s="20">
        <f>IFERROR(_xlfn.ISOWEEKNUM(INPUT!M2119),"")</f>
        <v>9</v>
      </c>
      <c r="D2124" s="20">
        <f>IFERROR(YEAR(INPUT!M2119),"")</f>
        <v>2026</v>
      </c>
      <c r="E2124" t="str">
        <f>IF(INPUT!O2119="","",INPUT!O2119)</f>
        <v>HERRERO</v>
      </c>
      <c r="F2124" t="str">
        <f>IF(INPUT!N2119="","",INPUT!N2119)</f>
        <v>M</v>
      </c>
      <c r="G2124" t="str" cm="1">
        <f t="array" ref="G2124">IFERROR(VLOOKUP(INPUT!M2119&amp;INPUT!N2119,CHOOSE({1,2},INPUT!$A$3:$A$5000&amp;INPUT!$C$3:$C$5000,INPUT!$F$3:$F$5000),2,FALSE),"")</f>
        <v>PRE-TEMPORADA</v>
      </c>
      <c r="H2124" t="str" cm="1">
        <f t="array" ref="H2124">IFERROR(VLOOKUP(INPUT!M2119&amp;INPUT!N2119,CHOOSE({1,2},INPUT!$A$3:$A$5000&amp;INPUT!$C$3:$C$5000,INPUT!$D$3:$D$5000),2,FALSE),"")</f>
        <v>TEC-TAC</v>
      </c>
      <c r="I2124" s="46">
        <f>IF(INPUT!P2119="","",INPUT!P2119)</f>
        <v>76.900000000000006</v>
      </c>
      <c r="J2124" s="46">
        <f>IF(INPUT!Q2119="","",INPUT!Q2119)</f>
        <v>76.599999999999994</v>
      </c>
      <c r="K2124" s="46">
        <f>IFERROR(IF(OR(INPUT!P2119="",INPUT!Q2119=""),"",INPUT!P2119-INPUT!Q2119),"")</f>
        <v>0.30000000000001137</v>
      </c>
      <c r="L2124" s="48">
        <f>IFERROR(IF(OR(INPUT!P2119="",INPUT!Q2119="",INPUT!P2119=0),"",(INPUT!P2119-INPUT!Q2119)/INPUT!P2119),"")</f>
        <v>3.9011703511054791E-3</v>
      </c>
    </row>
    <row r="2125" spans="1:12" ht="18" hidden="1" customHeight="1" x14ac:dyDescent="0.2">
      <c r="A2125" s="11">
        <f>IF(INPUT!M2120="","",INPUT!M2120)</f>
        <v>46080</v>
      </c>
      <c r="B2125" s="11">
        <f>IF(INPUT!M2120="","",INPUT!M2120-WEEKDAY(INPUT!M2120,2)+1)</f>
        <v>46076</v>
      </c>
      <c r="C2125" s="20">
        <f>IFERROR(_xlfn.ISOWEEKNUM(INPUT!M2120),"")</f>
        <v>9</v>
      </c>
      <c r="D2125" s="20">
        <f>IFERROR(YEAR(INPUT!M2120),"")</f>
        <v>2026</v>
      </c>
      <c r="E2125" t="str">
        <f>IF(INPUT!O2120="","",INPUT!O2120)</f>
        <v>GARCIA</v>
      </c>
      <c r="F2125" t="str">
        <f>IF(INPUT!N2120="","",INPUT!N2120)</f>
        <v>M</v>
      </c>
      <c r="G2125" t="str" cm="1">
        <f t="array" ref="G2125">IFERROR(VLOOKUP(INPUT!M2120&amp;INPUT!N2120,CHOOSE({1,2},INPUT!$A$3:$A$5000&amp;INPUT!$C$3:$C$5000,INPUT!$F$3:$F$5000),2,FALSE),"")</f>
        <v>PRE-TEMPORADA</v>
      </c>
      <c r="H2125" t="str" cm="1">
        <f t="array" ref="H2125">IFERROR(VLOOKUP(INPUT!M2120&amp;INPUT!N2120,CHOOSE({1,2},INPUT!$A$3:$A$5000&amp;INPUT!$C$3:$C$5000,INPUT!$D$3:$D$5000),2,FALSE),"")</f>
        <v>TEC-TAC</v>
      </c>
      <c r="I2125" s="46">
        <f>IF(INPUT!P2120="","",INPUT!P2120)</f>
        <v>79</v>
      </c>
      <c r="J2125" s="46">
        <f>IF(INPUT!Q2120="","",INPUT!Q2120)</f>
        <v>78.900000000000006</v>
      </c>
      <c r="K2125" s="46">
        <f>IFERROR(IF(OR(INPUT!P2120="",INPUT!Q2120=""),"",INPUT!P2120-INPUT!Q2120),"")</f>
        <v>9.9999999999994316E-2</v>
      </c>
      <c r="L2125" s="48">
        <f>IFERROR(IF(OR(INPUT!P2120="",INPUT!Q2120="",INPUT!P2120=0),"",(INPUT!P2120-INPUT!Q2120)/INPUT!P2120),"")</f>
        <v>1.2658227848100546E-3</v>
      </c>
    </row>
    <row r="2126" spans="1:12" ht="18" hidden="1" customHeight="1" x14ac:dyDescent="0.2">
      <c r="A2126" s="11">
        <f>IF(INPUT!M2121="","",INPUT!M2121)</f>
        <v>46080</v>
      </c>
      <c r="B2126" s="11">
        <f>IF(INPUT!M2121="","",INPUT!M2121-WEEKDAY(INPUT!M2121,2)+1)</f>
        <v>46076</v>
      </c>
      <c r="C2126" s="20">
        <f>IFERROR(_xlfn.ISOWEEKNUM(INPUT!M2121),"")</f>
        <v>9</v>
      </c>
      <c r="D2126" s="20">
        <f>IFERROR(YEAR(INPUT!M2121),"")</f>
        <v>2026</v>
      </c>
      <c r="E2126" t="str">
        <f>IF(INPUT!O2121="","",INPUT!O2121)</f>
        <v>CECILIO</v>
      </c>
      <c r="F2126" t="str">
        <f>IF(INPUT!N2121="","",INPUT!N2121)</f>
        <v>M</v>
      </c>
      <c r="G2126" t="str" cm="1">
        <f t="array" ref="G2126">IFERROR(VLOOKUP(INPUT!M2121&amp;INPUT!N2121,CHOOSE({1,2},INPUT!$A$3:$A$5000&amp;INPUT!$C$3:$C$5000,INPUT!$F$3:$F$5000),2,FALSE),"")</f>
        <v>PRE-TEMPORADA</v>
      </c>
      <c r="H2126" t="str" cm="1">
        <f t="array" ref="H2126">IFERROR(VLOOKUP(INPUT!M2121&amp;INPUT!N2121,CHOOSE({1,2},INPUT!$A$3:$A$5000&amp;INPUT!$C$3:$C$5000,INPUT!$D$3:$D$5000),2,FALSE),"")</f>
        <v>TEC-TAC</v>
      </c>
      <c r="I2126" s="46">
        <f>IF(INPUT!P2121="","",INPUT!P2121)</f>
        <v>68</v>
      </c>
      <c r="J2126" s="46">
        <f>IF(INPUT!Q2121="","",INPUT!Q2121)</f>
        <v>67.400000000000006</v>
      </c>
      <c r="K2126" s="46">
        <f>IFERROR(IF(OR(INPUT!P2121="",INPUT!Q2121=""),"",INPUT!P2121-INPUT!Q2121),"")</f>
        <v>0.59999999999999432</v>
      </c>
      <c r="L2126" s="48">
        <f>IFERROR(IF(OR(INPUT!P2121="",INPUT!Q2121="",INPUT!P2121=0),"",(INPUT!P2121-INPUT!Q2121)/INPUT!P2121),"")</f>
        <v>8.8235294117646225E-3</v>
      </c>
    </row>
    <row r="2127" spans="1:12" ht="18" hidden="1" customHeight="1" x14ac:dyDescent="0.2">
      <c r="A2127" s="11">
        <f>IF(INPUT!M2122="","",INPUT!M2122)</f>
        <v>46080</v>
      </c>
      <c r="B2127" s="11">
        <f>IF(INPUT!M2122="","",INPUT!M2122-WEEKDAY(INPUT!M2122,2)+1)</f>
        <v>46076</v>
      </c>
      <c r="C2127" s="20">
        <f>IFERROR(_xlfn.ISOWEEKNUM(INPUT!M2122),"")</f>
        <v>9</v>
      </c>
      <c r="D2127" s="20">
        <f>IFERROR(YEAR(INPUT!M2122),"")</f>
        <v>2026</v>
      </c>
      <c r="E2127" t="str">
        <f>IF(INPUT!O2122="","",INPUT!O2122)</f>
        <v>CHAGUINHA</v>
      </c>
      <c r="F2127" t="str">
        <f>IF(INPUT!N2122="","",INPUT!N2122)</f>
        <v>M</v>
      </c>
      <c r="G2127" t="str" cm="1">
        <f t="array" ref="G2127">IFERROR(VLOOKUP(INPUT!M2122&amp;INPUT!N2122,CHOOSE({1,2},INPUT!$A$3:$A$5000&amp;INPUT!$C$3:$C$5000,INPUT!$F$3:$F$5000),2,FALSE),"")</f>
        <v>PRE-TEMPORADA</v>
      </c>
      <c r="H2127" t="str" cm="1">
        <f t="array" ref="H2127">IFERROR(VLOOKUP(INPUT!M2122&amp;INPUT!N2122,CHOOSE({1,2},INPUT!$A$3:$A$5000&amp;INPUT!$C$3:$C$5000,INPUT!$D$3:$D$5000),2,FALSE),"")</f>
        <v>TEC-TAC</v>
      </c>
      <c r="I2127" s="46">
        <f>IF(INPUT!P2122="","",INPUT!P2122)</f>
        <v>68.900000000000006</v>
      </c>
      <c r="J2127" s="46">
        <f>IF(INPUT!Q2122="","",INPUT!Q2122)</f>
        <v>68.400000000000006</v>
      </c>
      <c r="K2127" s="46">
        <f>IFERROR(IF(OR(INPUT!P2122="",INPUT!Q2122=""),"",INPUT!P2122-INPUT!Q2122),"")</f>
        <v>0.5</v>
      </c>
      <c r="L2127" s="48">
        <f>IFERROR(IF(OR(INPUT!P2122="",INPUT!Q2122="",INPUT!P2122=0),"",(INPUT!P2122-INPUT!Q2122)/INPUT!P2122),"")</f>
        <v>7.2568940493468789E-3</v>
      </c>
    </row>
    <row r="2128" spans="1:12" ht="18" hidden="1" customHeight="1" x14ac:dyDescent="0.2">
      <c r="A2128" s="11">
        <f>IF(INPUT!M2123="","",INPUT!M2123)</f>
        <v>46080</v>
      </c>
      <c r="B2128" s="11">
        <f>IF(INPUT!M2123="","",INPUT!M2123-WEEKDAY(INPUT!M2123,2)+1)</f>
        <v>46076</v>
      </c>
      <c r="C2128" s="20">
        <f>IFERROR(_xlfn.ISOWEEKNUM(INPUT!M2123),"")</f>
        <v>9</v>
      </c>
      <c r="D2128" s="20">
        <f>IFERROR(YEAR(INPUT!M2123),"")</f>
        <v>2026</v>
      </c>
      <c r="E2128" t="str">
        <f>IF(INPUT!O2123="","",INPUT!O2123)</f>
        <v>RAUL</v>
      </c>
      <c r="F2128" t="str">
        <f>IF(INPUT!N2123="","",INPUT!N2123)</f>
        <v>M</v>
      </c>
      <c r="G2128" t="str" cm="1">
        <f t="array" ref="G2128">IFERROR(VLOOKUP(INPUT!M2123&amp;INPUT!N2123,CHOOSE({1,2},INPUT!$A$3:$A$5000&amp;INPUT!$C$3:$C$5000,INPUT!$F$3:$F$5000),2,FALSE),"")</f>
        <v>PRE-TEMPORADA</v>
      </c>
      <c r="H2128" t="str" cm="1">
        <f t="array" ref="H2128">IFERROR(VLOOKUP(INPUT!M2123&amp;INPUT!N2123,CHOOSE({1,2},INPUT!$A$3:$A$5000&amp;INPUT!$C$3:$C$5000,INPUT!$D$3:$D$5000),2,FALSE),"")</f>
        <v>TEC-TAC</v>
      </c>
      <c r="I2128" s="46">
        <f>IF(INPUT!P2123="","",INPUT!P2123)</f>
        <v>81.3</v>
      </c>
      <c r="J2128" s="46">
        <f>IF(INPUT!Q2123="","",INPUT!Q2123)</f>
        <v>81.400000000000006</v>
      </c>
      <c r="K2128" s="46">
        <f>IFERROR(IF(OR(INPUT!P2123="",INPUT!Q2123=""),"",INPUT!P2123-INPUT!Q2123),"")</f>
        <v>-0.10000000000000853</v>
      </c>
      <c r="L2128" s="48">
        <f>IFERROR(IF(OR(INPUT!P2123="",INPUT!Q2123="",INPUT!P2123=0),"",(INPUT!P2123-INPUT!Q2123)/INPUT!P2123),"")</f>
        <v>-1.2300123001231062E-3</v>
      </c>
    </row>
    <row r="2129" spans="1:12" ht="18" hidden="1" customHeight="1" x14ac:dyDescent="0.2">
      <c r="A2129" s="11">
        <f>IF(INPUT!M2124="","",INPUT!M2124)</f>
        <v>46080</v>
      </c>
      <c r="B2129" s="11">
        <f>IF(INPUT!M2124="","",INPUT!M2124-WEEKDAY(INPUT!M2124,2)+1)</f>
        <v>46076</v>
      </c>
      <c r="C2129" s="20">
        <f>IFERROR(_xlfn.ISOWEEKNUM(INPUT!M2124),"")</f>
        <v>9</v>
      </c>
      <c r="D2129" s="20">
        <f>IFERROR(YEAR(INPUT!M2124),"")</f>
        <v>2026</v>
      </c>
      <c r="E2129" t="str">
        <f>IF(INPUT!O2124="","",INPUT!O2124)</f>
        <v>HARRISON</v>
      </c>
      <c r="F2129" t="str">
        <f>IF(INPUT!N2124="","",INPUT!N2124)</f>
        <v>M</v>
      </c>
      <c r="G2129" t="str" cm="1">
        <f t="array" ref="G2129">IFERROR(VLOOKUP(INPUT!M2124&amp;INPUT!N2124,CHOOSE({1,2},INPUT!$A$3:$A$5000&amp;INPUT!$C$3:$C$5000,INPUT!$F$3:$F$5000),2,FALSE),"")</f>
        <v>PRE-TEMPORADA</v>
      </c>
      <c r="H2129" t="str" cm="1">
        <f t="array" ref="H2129">IFERROR(VLOOKUP(INPUT!M2124&amp;INPUT!N2124,CHOOSE({1,2},INPUT!$A$3:$A$5000&amp;INPUT!$C$3:$C$5000,INPUT!$D$3:$D$5000),2,FALSE),"")</f>
        <v>TEC-TAC</v>
      </c>
      <c r="I2129" s="46">
        <f>IF(INPUT!P2124="","",INPUT!P2124)</f>
        <v>71.3</v>
      </c>
      <c r="J2129" s="46">
        <f>IF(INPUT!Q2124="","",INPUT!Q2124)</f>
        <v>70.900000000000006</v>
      </c>
      <c r="K2129" s="46">
        <f>IFERROR(IF(OR(INPUT!P2124="",INPUT!Q2124=""),"",INPUT!P2124-INPUT!Q2124),"")</f>
        <v>0.39999999999999147</v>
      </c>
      <c r="L2129" s="48">
        <f>IFERROR(IF(OR(INPUT!P2124="",INPUT!Q2124="",INPUT!P2124=0),"",(INPUT!P2124-INPUT!Q2124)/INPUT!P2124),"")</f>
        <v>5.6100981767179736E-3</v>
      </c>
    </row>
    <row r="2130" spans="1:12" ht="18" hidden="1" customHeight="1" x14ac:dyDescent="0.2">
      <c r="A2130" s="11">
        <f>IF(INPUT!M2125="","",INPUT!M2125)</f>
        <v>46080</v>
      </c>
      <c r="B2130" s="11">
        <f>IF(INPUT!M2125="","",INPUT!M2125-WEEKDAY(INPUT!M2125,2)+1)</f>
        <v>46076</v>
      </c>
      <c r="C2130" s="20">
        <f>IFERROR(_xlfn.ISOWEEKNUM(INPUT!M2125),"")</f>
        <v>9</v>
      </c>
      <c r="D2130" s="20">
        <f>IFERROR(YEAR(INPUT!M2125),"")</f>
        <v>2026</v>
      </c>
      <c r="E2130" t="str">
        <f>IF(INPUT!O2125="","",INPUT!O2125)</f>
        <v>RAYA</v>
      </c>
      <c r="F2130" t="str">
        <f>IF(INPUT!N2125="","",INPUT!N2125)</f>
        <v>M</v>
      </c>
      <c r="G2130" t="str" cm="1">
        <f t="array" ref="G2130">IFERROR(VLOOKUP(INPUT!M2125&amp;INPUT!N2125,CHOOSE({1,2},INPUT!$A$3:$A$5000&amp;INPUT!$C$3:$C$5000,INPUT!$F$3:$F$5000),2,FALSE),"")</f>
        <v>PRE-TEMPORADA</v>
      </c>
      <c r="H2130" t="str" cm="1">
        <f t="array" ref="H2130">IFERROR(VLOOKUP(INPUT!M2125&amp;INPUT!N2125,CHOOSE({1,2},INPUT!$A$3:$A$5000&amp;INPUT!$C$3:$C$5000,INPUT!$D$3:$D$5000),2,FALSE),"")</f>
        <v>TEC-TAC</v>
      </c>
      <c r="I2130" s="46">
        <f>IF(INPUT!P2125="","",INPUT!P2125)</f>
        <v>81.599999999999994</v>
      </c>
      <c r="J2130" s="46">
        <f>IF(INPUT!Q2125="","",INPUT!Q2125)</f>
        <v>80.5</v>
      </c>
      <c r="K2130" s="46">
        <f>IFERROR(IF(OR(INPUT!P2125="",INPUT!Q2125=""),"",INPUT!P2125-INPUT!Q2125),"")</f>
        <v>1.0999999999999943</v>
      </c>
      <c r="L2130" s="48">
        <f>IFERROR(IF(OR(INPUT!P2125="",INPUT!Q2125="",INPUT!P2125=0),"",(INPUT!P2125-INPUT!Q2125)/INPUT!P2125),"")</f>
        <v>1.3480392156862676E-2</v>
      </c>
    </row>
    <row r="2131" spans="1:12" ht="18" hidden="1" customHeight="1" x14ac:dyDescent="0.2">
      <c r="A2131" s="11">
        <f>IF(INPUT!M2126="","",INPUT!M2126)</f>
        <v>46080</v>
      </c>
      <c r="B2131" s="11">
        <f>IF(INPUT!M2126="","",INPUT!M2126-WEEKDAY(INPUT!M2126,2)+1)</f>
        <v>46076</v>
      </c>
      <c r="C2131" s="20">
        <f>IFERROR(_xlfn.ISOWEEKNUM(INPUT!M2126),"")</f>
        <v>9</v>
      </c>
      <c r="D2131" s="20">
        <f>IFERROR(YEAR(INPUT!M2126),"")</f>
        <v>2026</v>
      </c>
      <c r="E2131" t="str">
        <f>IF(INPUT!O2126="","",INPUT!O2126)</f>
        <v>JAVI</v>
      </c>
      <c r="F2131" t="str">
        <f>IF(INPUT!N2126="","",INPUT!N2126)</f>
        <v>M</v>
      </c>
      <c r="G2131" t="str" cm="1">
        <f t="array" ref="G2131">IFERROR(VLOOKUP(INPUT!M2126&amp;INPUT!N2126,CHOOSE({1,2},INPUT!$A$3:$A$5000&amp;INPUT!$C$3:$C$5000,INPUT!$F$3:$F$5000),2,FALSE),"")</f>
        <v>PRE-TEMPORADA</v>
      </c>
      <c r="H2131" t="str" cm="1">
        <f t="array" ref="H2131">IFERROR(VLOOKUP(INPUT!M2126&amp;INPUT!N2126,CHOOSE({1,2},INPUT!$A$3:$A$5000&amp;INPUT!$C$3:$C$5000,INPUT!$D$3:$D$5000),2,FALSE),"")</f>
        <v>TEC-TAC</v>
      </c>
      <c r="I2131" s="46">
        <f>IF(INPUT!P2126="","",INPUT!P2126)</f>
        <v>80</v>
      </c>
      <c r="J2131" s="46">
        <f>IF(INPUT!Q2126="","",INPUT!Q2126)</f>
        <v>80</v>
      </c>
      <c r="K2131" s="46">
        <f>IFERROR(IF(OR(INPUT!P2126="",INPUT!Q2126=""),"",INPUT!P2126-INPUT!Q2126),"")</f>
        <v>0</v>
      </c>
      <c r="L2131" s="48">
        <f>IFERROR(IF(OR(INPUT!P2126="",INPUT!Q2126="",INPUT!P2126=0),"",(INPUT!P2126-INPUT!Q2126)/INPUT!P2126),"")</f>
        <v>0</v>
      </c>
    </row>
    <row r="2132" spans="1:12" ht="18" customHeight="1" x14ac:dyDescent="0.2">
      <c r="A2132" s="11">
        <f>IF(INPUT!M2127="","",INPUT!M2127)</f>
        <v>46080</v>
      </c>
      <c r="B2132" s="11">
        <f>IF(INPUT!M2127="","",INPUT!M2127-WEEKDAY(INPUT!M2127,2)+1)</f>
        <v>46076</v>
      </c>
      <c r="C2132" s="20">
        <f>IFERROR(_xlfn.ISOWEEKNUM(INPUT!M2127),"")</f>
        <v>9</v>
      </c>
      <c r="D2132" s="20">
        <f>IFERROR(YEAR(INPUT!M2127),"")</f>
        <v>2026</v>
      </c>
      <c r="E2132" t="str">
        <f>IF(INPUT!O2127="","",INPUT!O2127)</f>
        <v>PANI</v>
      </c>
      <c r="F2132" t="str">
        <f>IF(INPUT!N2127="","",INPUT!N2127)</f>
        <v>M</v>
      </c>
      <c r="G2132" t="str" cm="1">
        <f t="array" ref="G2132">IFERROR(VLOOKUP(INPUT!M2127&amp;INPUT!N2127,CHOOSE({1,2},INPUT!$A$3:$A$5000&amp;INPUT!$C$3:$C$5000,INPUT!$F$3:$F$5000),2,FALSE),"")</f>
        <v>PRE-TEMPORADA</v>
      </c>
      <c r="H2132" t="str" cm="1">
        <f t="array" ref="H2132">IFERROR(VLOOKUP(INPUT!M2127&amp;INPUT!N2127,CHOOSE({1,2},INPUT!$A$3:$A$5000&amp;INPUT!$C$3:$C$5000,INPUT!$D$3:$D$5000),2,FALSE),"")</f>
        <v>TEC-TAC</v>
      </c>
      <c r="I2132" s="46">
        <f>IF(INPUT!P2127="","",INPUT!P2127)</f>
        <v>67</v>
      </c>
      <c r="J2132" s="46">
        <f>IF(INPUT!Q2127="","",INPUT!Q2127)</f>
        <v>66.400000000000006</v>
      </c>
      <c r="K2132" s="46">
        <f>IFERROR(IF(OR(INPUT!P2127="",INPUT!Q2127=""),"",INPUT!P2127-INPUT!Q2127),"")</f>
        <v>0.59999999999999432</v>
      </c>
      <c r="L2132" s="48">
        <f>IFERROR(IF(OR(INPUT!P2127="",INPUT!Q2127="",INPUT!P2127=0),"",(INPUT!P2127-INPUT!Q2127)/INPUT!P2127),"")</f>
        <v>8.9552238805969304E-3</v>
      </c>
    </row>
    <row r="2133" spans="1:12" ht="18" customHeight="1" x14ac:dyDescent="0.2">
      <c r="A2133" s="11">
        <f>IF(INPUT!M2128="","",INPUT!M2128)</f>
        <v>46080</v>
      </c>
      <c r="B2133" s="11">
        <f>IF(INPUT!M2128="","",INPUT!M2128-WEEKDAY(INPUT!M2128,2)+1)</f>
        <v>46076</v>
      </c>
      <c r="C2133" s="20">
        <f>IFERROR(_xlfn.ISOWEEKNUM(INPUT!M2128),"")</f>
        <v>9</v>
      </c>
      <c r="D2133" s="20">
        <f>IFERROR(YEAR(INPUT!M2128),"")</f>
        <v>2026</v>
      </c>
      <c r="E2133" t="str">
        <f>IF(INPUT!O2128="","",INPUT!O2128)</f>
        <v>PIRATA</v>
      </c>
      <c r="F2133" t="str">
        <f>IF(INPUT!N2128="","",INPUT!N2128)</f>
        <v>M</v>
      </c>
      <c r="G2133" t="str" cm="1">
        <f t="array" ref="G2133">IFERROR(VLOOKUP(INPUT!M2128&amp;INPUT!N2128,CHOOSE({1,2},INPUT!$A$3:$A$5000&amp;INPUT!$C$3:$C$5000,INPUT!$F$3:$F$5000),2,FALSE),"")</f>
        <v>PRE-TEMPORADA</v>
      </c>
      <c r="H2133" t="str" cm="1">
        <f t="array" ref="H2133">IFERROR(VLOOKUP(INPUT!M2128&amp;INPUT!N2128,CHOOSE({1,2},INPUT!$A$3:$A$5000&amp;INPUT!$C$3:$C$5000,INPUT!$D$3:$D$5000),2,FALSE),"")</f>
        <v>TEC-TAC</v>
      </c>
      <c r="I2133" s="46">
        <f>IF(INPUT!P2128="","",INPUT!P2128)</f>
        <v>75.599999999999994</v>
      </c>
      <c r="J2133" s="46">
        <f>IF(INPUT!Q2128="","",INPUT!Q2128)</f>
        <v>75.7</v>
      </c>
      <c r="K2133" s="46">
        <f>IFERROR(IF(OR(INPUT!P2128="",INPUT!Q2128=""),"",INPUT!P2128-INPUT!Q2128),"")</f>
        <v>-0.10000000000000853</v>
      </c>
      <c r="L2133" s="48">
        <f>IFERROR(IF(OR(INPUT!P2128="",INPUT!Q2128="",INPUT!P2128=0),"",(INPUT!P2128-INPUT!Q2128)/INPUT!P2128),"")</f>
        <v>-1.3227513227514357E-3</v>
      </c>
    </row>
    <row r="2134" spans="1:12" ht="18" customHeight="1" x14ac:dyDescent="0.2">
      <c r="A2134" s="11">
        <f>IF(INPUT!M2129="","",INPUT!M2129)</f>
        <v>46080</v>
      </c>
      <c r="B2134" s="11">
        <f>IF(INPUT!M2129="","",INPUT!M2129-WEEKDAY(INPUT!M2129,2)+1)</f>
        <v>46076</v>
      </c>
      <c r="C2134" s="20">
        <f>IFERROR(_xlfn.ISOWEEKNUM(INPUT!M2129),"")</f>
        <v>9</v>
      </c>
      <c r="D2134" s="20">
        <f>IFERROR(YEAR(INPUT!M2129),"")</f>
        <v>2026</v>
      </c>
      <c r="E2134" t="str">
        <f>IF(INPUT!O2129="","",INPUT!O2129)</f>
        <v>BARONA</v>
      </c>
      <c r="F2134" t="str">
        <f>IF(INPUT!N2129="","",INPUT!N2129)</f>
        <v>M</v>
      </c>
      <c r="G2134" t="str" cm="1">
        <f t="array" ref="G2134">IFERROR(VLOOKUP(INPUT!M2129&amp;INPUT!N2129,CHOOSE({1,2},INPUT!$A$3:$A$5000&amp;INPUT!$C$3:$C$5000,INPUT!$F$3:$F$5000),2,FALSE),"")</f>
        <v>PRE-TEMPORADA</v>
      </c>
      <c r="H2134" t="str" cm="1">
        <f t="array" ref="H2134">IFERROR(VLOOKUP(INPUT!M2129&amp;INPUT!N2129,CHOOSE({1,2},INPUT!$A$3:$A$5000&amp;INPUT!$C$3:$C$5000,INPUT!$D$3:$D$5000),2,FALSE),"")</f>
        <v>TEC-TAC</v>
      </c>
      <c r="I2134" s="46">
        <f>IF(INPUT!P2129="","",INPUT!P2129)</f>
        <v>71.2</v>
      </c>
      <c r="J2134" s="46">
        <f>IF(INPUT!Q2129="","",INPUT!Q2129)</f>
        <v>71</v>
      </c>
      <c r="K2134" s="46">
        <f>IFERROR(IF(OR(INPUT!P2129="",INPUT!Q2129=""),"",INPUT!P2129-INPUT!Q2129),"")</f>
        <v>0.20000000000000284</v>
      </c>
      <c r="L2134" s="48">
        <f>IFERROR(IF(OR(INPUT!P2129="",INPUT!Q2129="",INPUT!P2129=0),"",(INPUT!P2129-INPUT!Q2129)/INPUT!P2129),"")</f>
        <v>2.8089887640449836E-3</v>
      </c>
    </row>
    <row r="2135" spans="1:12" ht="18" customHeight="1" x14ac:dyDescent="0.2">
      <c r="A2135" s="11">
        <f>IF(INPUT!M2130="","",INPUT!M2130)</f>
        <v>46080</v>
      </c>
      <c r="B2135" s="11">
        <f>IF(INPUT!M2130="","",INPUT!M2130-WEEKDAY(INPUT!M2130,2)+1)</f>
        <v>46076</v>
      </c>
      <c r="C2135" s="20">
        <f>IFERROR(_xlfn.ISOWEEKNUM(INPUT!M2130),"")</f>
        <v>9</v>
      </c>
      <c r="D2135" s="20">
        <f>IFERROR(YEAR(INPUT!M2130),"")</f>
        <v>2026</v>
      </c>
      <c r="E2135" t="str">
        <f>IF(INPUT!O2130="","",INPUT!O2130)</f>
        <v>CARLOS</v>
      </c>
      <c r="F2135" t="str">
        <f>IF(INPUT!N2130="","",INPUT!N2130)</f>
        <v>M</v>
      </c>
      <c r="G2135" t="str" cm="1">
        <f t="array" ref="G2135">IFERROR(VLOOKUP(INPUT!M2130&amp;INPUT!N2130,CHOOSE({1,2},INPUT!$A$3:$A$5000&amp;INPUT!$C$3:$C$5000,INPUT!$F$3:$F$5000),2,FALSE),"")</f>
        <v>PRE-TEMPORADA</v>
      </c>
      <c r="H2135" t="str" cm="1">
        <f t="array" ref="H2135">IFERROR(VLOOKUP(INPUT!M2130&amp;INPUT!N2130,CHOOSE({1,2},INPUT!$A$3:$A$5000&amp;INPUT!$C$3:$C$5000,INPUT!$D$3:$D$5000),2,FALSE),"")</f>
        <v>TEC-TAC</v>
      </c>
      <c r="I2135" s="46">
        <f>IF(INPUT!P2130="","",INPUT!P2130)</f>
        <v>68.8</v>
      </c>
      <c r="J2135" s="46">
        <f>IF(INPUT!Q2130="","",INPUT!Q2130)</f>
        <v>68</v>
      </c>
      <c r="K2135" s="46">
        <f>IFERROR(IF(OR(INPUT!P2130="",INPUT!Q2130=""),"",INPUT!P2130-INPUT!Q2130),"")</f>
        <v>0.79999999999999716</v>
      </c>
      <c r="L2135" s="48">
        <f>IFERROR(IF(OR(INPUT!P2130="",INPUT!Q2130="",INPUT!P2130=0),"",(INPUT!P2130-INPUT!Q2130)/INPUT!P2130),"")</f>
        <v>1.1627906976744146E-2</v>
      </c>
    </row>
    <row r="2136" spans="1:12" ht="18" customHeight="1" x14ac:dyDescent="0.2">
      <c r="A2136" s="11">
        <f>IF(INPUT!M2131="","",INPUT!M2131)</f>
        <v>46080</v>
      </c>
      <c r="B2136" s="11">
        <f>IF(INPUT!M2131="","",INPUT!M2131-WEEKDAY(INPUT!M2131,2)+1)</f>
        <v>46076</v>
      </c>
      <c r="C2136" s="20">
        <f>IFERROR(_xlfn.ISOWEEKNUM(INPUT!M2131),"")</f>
        <v>9</v>
      </c>
      <c r="D2136" s="20">
        <f>IFERROR(YEAR(INPUT!M2131),"")</f>
        <v>2026</v>
      </c>
      <c r="E2136" t="str">
        <f>IF(INPUT!O2131="","",INPUT!O2131)</f>
        <v>DANI</v>
      </c>
      <c r="F2136" t="str">
        <f>IF(INPUT!N2131="","",INPUT!N2131)</f>
        <v>M</v>
      </c>
      <c r="G2136" t="str" cm="1">
        <f t="array" ref="G2136">IFERROR(VLOOKUP(INPUT!M2131&amp;INPUT!N2131,CHOOSE({1,2},INPUT!$A$3:$A$5000&amp;INPUT!$C$3:$C$5000,INPUT!$F$3:$F$5000),2,FALSE),"")</f>
        <v>PRE-TEMPORADA</v>
      </c>
      <c r="H2136" t="str" cm="1">
        <f t="array" ref="H2136">IFERROR(VLOOKUP(INPUT!M2131&amp;INPUT!N2131,CHOOSE({1,2},INPUT!$A$3:$A$5000&amp;INPUT!$C$3:$C$5000,INPUT!$D$3:$D$5000),2,FALSE),"")</f>
        <v>TEC-TAC</v>
      </c>
      <c r="I2136" s="46">
        <f>IF(INPUT!P2131="","",INPUT!P2131)</f>
        <v>91.3</v>
      </c>
      <c r="J2136" s="46">
        <f>IF(INPUT!Q2131="","",INPUT!Q2131)</f>
        <v>91</v>
      </c>
      <c r="K2136" s="46">
        <f>IFERROR(IF(OR(INPUT!P2131="",INPUT!Q2131=""),"",INPUT!P2131-INPUT!Q2131),"")</f>
        <v>0.29999999999999716</v>
      </c>
      <c r="L2136" s="48">
        <f>IFERROR(IF(OR(INPUT!P2131="",INPUT!Q2131="",INPUT!P2131=0),"",(INPUT!P2131-INPUT!Q2131)/INPUT!P2131),"")</f>
        <v>3.285870755750243E-3</v>
      </c>
    </row>
    <row r="2137" spans="1:12" ht="18" customHeight="1" x14ac:dyDescent="0.2">
      <c r="A2137" s="11">
        <f>IF(INPUT!M2132="","",INPUT!M2132)</f>
        <v>46080</v>
      </c>
      <c r="B2137" s="11">
        <f>IF(INPUT!M2132="","",INPUT!M2132-WEEKDAY(INPUT!M2132,2)+1)</f>
        <v>46076</v>
      </c>
      <c r="C2137" s="20">
        <f>IFERROR(_xlfn.ISOWEEKNUM(INPUT!M2132),"")</f>
        <v>9</v>
      </c>
      <c r="D2137" s="20">
        <f>IFERROR(YEAR(INPUT!M2132),"")</f>
        <v>2026</v>
      </c>
      <c r="E2137" t="str">
        <f>IF(INPUT!O2132="","",INPUT!O2132)</f>
        <v>JAIME</v>
      </c>
      <c r="F2137" t="str">
        <f>IF(INPUT!N2132="","",INPUT!N2132)</f>
        <v>M</v>
      </c>
      <c r="G2137" t="str" cm="1">
        <f t="array" ref="G2137">IFERROR(VLOOKUP(INPUT!M2132&amp;INPUT!N2132,CHOOSE({1,2},INPUT!$A$3:$A$5000&amp;INPUT!$C$3:$C$5000,INPUT!$F$3:$F$5000),2,FALSE),"")</f>
        <v>PRE-TEMPORADA</v>
      </c>
      <c r="H2137" t="str" cm="1">
        <f t="array" ref="H2137">IFERROR(VLOOKUP(INPUT!M2132&amp;INPUT!N2132,CHOOSE({1,2},INPUT!$A$3:$A$5000&amp;INPUT!$C$3:$C$5000,INPUT!$D$3:$D$5000),2,FALSE),"")</f>
        <v>TEC-TAC</v>
      </c>
      <c r="I2137" s="46">
        <f>IF(INPUT!P2132="","",INPUT!P2132)</f>
        <v>75.2</v>
      </c>
      <c r="J2137" s="46">
        <f>IF(INPUT!Q2132="","",INPUT!Q2132)</f>
        <v>75</v>
      </c>
      <c r="K2137" s="46">
        <f>IFERROR(IF(OR(INPUT!P2132="",INPUT!Q2132=""),"",INPUT!P2132-INPUT!Q2132),"")</f>
        <v>0.20000000000000284</v>
      </c>
      <c r="L2137" s="48">
        <f>IFERROR(IF(OR(INPUT!P2132="",INPUT!Q2132="",INPUT!P2132=0),"",(INPUT!P2132-INPUT!Q2132)/INPUT!P2132),"")</f>
        <v>2.659574468085144E-3</v>
      </c>
    </row>
    <row r="2138" spans="1:12" ht="18" hidden="1" customHeight="1" x14ac:dyDescent="0.2">
      <c r="A2138" s="11">
        <f>IF(INPUT!M2133="","",INPUT!M2133)</f>
        <v>46084</v>
      </c>
      <c r="B2138" s="11">
        <f>IF(INPUT!M2133="","",INPUT!M2133-WEEKDAY(INPUT!M2133,2)+1)</f>
        <v>46083</v>
      </c>
      <c r="C2138" s="20">
        <f>IFERROR(_xlfn.ISOWEEKNUM(INPUT!M2133),"")</f>
        <v>10</v>
      </c>
      <c r="D2138" s="20">
        <f>IFERROR(YEAR(INPUT!M2133),"")</f>
        <v>2026</v>
      </c>
      <c r="E2138" t="str">
        <f>IF(INPUT!O2133="","",INPUT!O2133)</f>
        <v>HERRERO</v>
      </c>
      <c r="F2138" t="str">
        <f>IF(INPUT!N2133="","",INPUT!N2133)</f>
        <v>M</v>
      </c>
      <c r="G2138" t="str" cm="1">
        <f t="array" ref="G2138">IFERROR(VLOOKUP(INPUT!M2133&amp;INPUT!N2133,CHOOSE({1,2},INPUT!$A$3:$A$5000&amp;INPUT!$C$3:$C$5000,INPUT!$F$3:$F$5000),2,FALSE),"")</f>
        <v>PRE-TEMPORADA</v>
      </c>
      <c r="H2138" t="str" cm="1">
        <f t="array" ref="H2138">IFERROR(VLOOKUP(INPUT!M2133&amp;INPUT!N2133,CHOOSE({1,2},INPUT!$A$3:$A$5000&amp;INPUT!$C$3:$C$5000,INPUT!$D$3:$D$5000),2,FALSE),"")</f>
        <v>GYM+TEC-TAC</v>
      </c>
      <c r="I2138" s="46">
        <f>IF(INPUT!P2133="","",INPUT!P2133)</f>
        <v>77</v>
      </c>
      <c r="J2138" s="46">
        <f>IF(INPUT!Q2133="","",INPUT!Q2133)</f>
        <v>76</v>
      </c>
      <c r="K2138" s="46">
        <f>IFERROR(IF(OR(INPUT!P2133="",INPUT!Q2133=""),"",INPUT!P2133-INPUT!Q2133),"")</f>
        <v>1</v>
      </c>
      <c r="L2138" s="48">
        <f>IFERROR(IF(OR(INPUT!P2133="",INPUT!Q2133="",INPUT!P2133=0),"",(INPUT!P2133-INPUT!Q2133)/INPUT!P2133),"")</f>
        <v>1.2987012987012988E-2</v>
      </c>
    </row>
    <row r="2139" spans="1:12" ht="18" hidden="1" customHeight="1" x14ac:dyDescent="0.2">
      <c r="A2139" s="11">
        <f>IF(INPUT!M2134="","",INPUT!M2134)</f>
        <v>46084</v>
      </c>
      <c r="B2139" s="11">
        <f>IF(INPUT!M2134="","",INPUT!M2134-WEEKDAY(INPUT!M2134,2)+1)</f>
        <v>46083</v>
      </c>
      <c r="C2139" s="20">
        <f>IFERROR(_xlfn.ISOWEEKNUM(INPUT!M2134),"")</f>
        <v>10</v>
      </c>
      <c r="D2139" s="20">
        <f>IFERROR(YEAR(INPUT!M2134),"")</f>
        <v>2026</v>
      </c>
      <c r="E2139" t="str">
        <f>IF(INPUT!O2134="","",INPUT!O2134)</f>
        <v>GARCIA</v>
      </c>
      <c r="F2139" t="str">
        <f>IF(INPUT!N2134="","",INPUT!N2134)</f>
        <v>M</v>
      </c>
      <c r="G2139" t="str" cm="1">
        <f t="array" ref="G2139">IFERROR(VLOOKUP(INPUT!M2134&amp;INPUT!N2134,CHOOSE({1,2},INPUT!$A$3:$A$5000&amp;INPUT!$C$3:$C$5000,INPUT!$F$3:$F$5000),2,FALSE),"")</f>
        <v>PRE-TEMPORADA</v>
      </c>
      <c r="H2139" t="str" cm="1">
        <f t="array" ref="H2139">IFERROR(VLOOKUP(INPUT!M2134&amp;INPUT!N2134,CHOOSE({1,2},INPUT!$A$3:$A$5000&amp;INPUT!$C$3:$C$5000,INPUT!$D$3:$D$5000),2,FALSE),"")</f>
        <v>GYM+TEC-TAC</v>
      </c>
      <c r="I2139" s="46">
        <f>IF(INPUT!P2134="","",INPUT!P2134)</f>
        <v>79.400000000000006</v>
      </c>
      <c r="J2139" s="46">
        <f>IF(INPUT!Q2134="","",INPUT!Q2134)</f>
        <v>79</v>
      </c>
      <c r="K2139" s="46">
        <f>IFERROR(IF(OR(INPUT!P2134="",INPUT!Q2134=""),"",INPUT!P2134-INPUT!Q2134),"")</f>
        <v>0.40000000000000568</v>
      </c>
      <c r="L2139" s="48">
        <f>IFERROR(IF(OR(INPUT!P2134="",INPUT!Q2134="",INPUT!P2134=0),"",(INPUT!P2134-INPUT!Q2134)/INPUT!P2134),"")</f>
        <v>5.0377833753149324E-3</v>
      </c>
    </row>
    <row r="2140" spans="1:12" ht="18" hidden="1" customHeight="1" x14ac:dyDescent="0.2">
      <c r="A2140" s="11">
        <f>IF(INPUT!M2135="","",INPUT!M2135)</f>
        <v>46084</v>
      </c>
      <c r="B2140" s="11">
        <f>IF(INPUT!M2135="","",INPUT!M2135-WEEKDAY(INPUT!M2135,2)+1)</f>
        <v>46083</v>
      </c>
      <c r="C2140" s="20">
        <f>IFERROR(_xlfn.ISOWEEKNUM(INPUT!M2135),"")</f>
        <v>10</v>
      </c>
      <c r="D2140" s="20">
        <f>IFERROR(YEAR(INPUT!M2135),"")</f>
        <v>2026</v>
      </c>
      <c r="E2140" t="str">
        <f>IF(INPUT!O2135="","",INPUT!O2135)</f>
        <v>CECILIO</v>
      </c>
      <c r="F2140" t="str">
        <f>IF(INPUT!N2135="","",INPUT!N2135)</f>
        <v>M</v>
      </c>
      <c r="G2140" t="str" cm="1">
        <f t="array" ref="G2140">IFERROR(VLOOKUP(INPUT!M2135&amp;INPUT!N2135,CHOOSE({1,2},INPUT!$A$3:$A$5000&amp;INPUT!$C$3:$C$5000,INPUT!$F$3:$F$5000),2,FALSE),"")</f>
        <v>PRE-TEMPORADA</v>
      </c>
      <c r="H2140" t="str" cm="1">
        <f t="array" ref="H2140">IFERROR(VLOOKUP(INPUT!M2135&amp;INPUT!N2135,CHOOSE({1,2},INPUT!$A$3:$A$5000&amp;INPUT!$C$3:$C$5000,INPUT!$D$3:$D$5000),2,FALSE),"")</f>
        <v>GYM+TEC-TAC</v>
      </c>
      <c r="I2140" s="46">
        <f>IF(INPUT!P2135="","",INPUT!P2135)</f>
        <v>67.400000000000006</v>
      </c>
      <c r="J2140" s="46">
        <f>IF(INPUT!Q2135="","",INPUT!Q2135)</f>
        <v>67</v>
      </c>
      <c r="K2140" s="46">
        <f>IFERROR(IF(OR(INPUT!P2135="",INPUT!Q2135=""),"",INPUT!P2135-INPUT!Q2135),"")</f>
        <v>0.40000000000000568</v>
      </c>
      <c r="L2140" s="48">
        <f>IFERROR(IF(OR(INPUT!P2135="",INPUT!Q2135="",INPUT!P2135=0),"",(INPUT!P2135-INPUT!Q2135)/INPUT!P2135),"")</f>
        <v>5.9347181008902912E-3</v>
      </c>
    </row>
    <row r="2141" spans="1:12" ht="18" hidden="1" customHeight="1" x14ac:dyDescent="0.2">
      <c r="A2141" s="11">
        <f>IF(INPUT!M2136="","",INPUT!M2136)</f>
        <v>46084</v>
      </c>
      <c r="B2141" s="11">
        <f>IF(INPUT!M2136="","",INPUT!M2136-WEEKDAY(INPUT!M2136,2)+1)</f>
        <v>46083</v>
      </c>
      <c r="C2141" s="20">
        <f>IFERROR(_xlfn.ISOWEEKNUM(INPUT!M2136),"")</f>
        <v>10</v>
      </c>
      <c r="D2141" s="20">
        <f>IFERROR(YEAR(INPUT!M2136),"")</f>
        <v>2026</v>
      </c>
      <c r="E2141" t="str">
        <f>IF(INPUT!O2136="","",INPUT!O2136)</f>
        <v>CHAGUINHA</v>
      </c>
      <c r="F2141" t="str">
        <f>IF(INPUT!N2136="","",INPUT!N2136)</f>
        <v>M</v>
      </c>
      <c r="G2141" t="str" cm="1">
        <f t="array" ref="G2141">IFERROR(VLOOKUP(INPUT!M2136&amp;INPUT!N2136,CHOOSE({1,2},INPUT!$A$3:$A$5000&amp;INPUT!$C$3:$C$5000,INPUT!$F$3:$F$5000),2,FALSE),"")</f>
        <v>PRE-TEMPORADA</v>
      </c>
      <c r="H2141" t="str" cm="1">
        <f t="array" ref="H2141">IFERROR(VLOOKUP(INPUT!M2136&amp;INPUT!N2136,CHOOSE({1,2},INPUT!$A$3:$A$5000&amp;INPUT!$C$3:$C$5000,INPUT!$D$3:$D$5000),2,FALSE),"")</f>
        <v>GYM+TEC-TAC</v>
      </c>
      <c r="I2141" s="46">
        <f>IF(INPUT!P2136="","",INPUT!P2136)</f>
        <v>68.7</v>
      </c>
      <c r="J2141" s="46">
        <f>IF(INPUT!Q2136="","",INPUT!Q2136)</f>
        <v>68</v>
      </c>
      <c r="K2141" s="46">
        <f>IFERROR(IF(OR(INPUT!P2136="",INPUT!Q2136=""),"",INPUT!P2136-INPUT!Q2136),"")</f>
        <v>0.70000000000000284</v>
      </c>
      <c r="L2141" s="48">
        <f>IFERROR(IF(OR(INPUT!P2136="",INPUT!Q2136="",INPUT!P2136=0),"",(INPUT!P2136-INPUT!Q2136)/INPUT!P2136),"")</f>
        <v>1.0189228529839925E-2</v>
      </c>
    </row>
    <row r="2142" spans="1:12" ht="18" hidden="1" customHeight="1" x14ac:dyDescent="0.2">
      <c r="A2142" s="11">
        <f>IF(INPUT!M2137="","",INPUT!M2137)</f>
        <v>46084</v>
      </c>
      <c r="B2142" s="11">
        <f>IF(INPUT!M2137="","",INPUT!M2137-WEEKDAY(INPUT!M2137,2)+1)</f>
        <v>46083</v>
      </c>
      <c r="C2142" s="20">
        <f>IFERROR(_xlfn.ISOWEEKNUM(INPUT!M2137),"")</f>
        <v>10</v>
      </c>
      <c r="D2142" s="20">
        <f>IFERROR(YEAR(INPUT!M2137),"")</f>
        <v>2026</v>
      </c>
      <c r="E2142" t="str">
        <f>IF(INPUT!O2137="","",INPUT!O2137)</f>
        <v>RAUL</v>
      </c>
      <c r="F2142" t="str">
        <f>IF(INPUT!N2137="","",INPUT!N2137)</f>
        <v>M</v>
      </c>
      <c r="G2142" t="str" cm="1">
        <f t="array" ref="G2142">IFERROR(VLOOKUP(INPUT!M2137&amp;INPUT!N2137,CHOOSE({1,2},INPUT!$A$3:$A$5000&amp;INPUT!$C$3:$C$5000,INPUT!$F$3:$F$5000),2,FALSE),"")</f>
        <v>PRE-TEMPORADA</v>
      </c>
      <c r="H2142" t="str" cm="1">
        <f t="array" ref="H2142">IFERROR(VLOOKUP(INPUT!M2137&amp;INPUT!N2137,CHOOSE({1,2},INPUT!$A$3:$A$5000&amp;INPUT!$C$3:$C$5000,INPUT!$D$3:$D$5000),2,FALSE),"")</f>
        <v>GYM+TEC-TAC</v>
      </c>
      <c r="I2142" s="46">
        <f>IF(INPUT!P2137="","",INPUT!P2137)</f>
        <v>81.7</v>
      </c>
      <c r="J2142" s="46">
        <f>IF(INPUT!Q2137="","",INPUT!Q2137)</f>
        <v>82</v>
      </c>
      <c r="K2142" s="46">
        <f>IFERROR(IF(OR(INPUT!P2137="",INPUT!Q2137=""),"",INPUT!P2137-INPUT!Q2137),"")</f>
        <v>-0.29999999999999716</v>
      </c>
      <c r="L2142" s="48">
        <f>IFERROR(IF(OR(INPUT!P2137="",INPUT!Q2137="",INPUT!P2137=0),"",(INPUT!P2137-INPUT!Q2137)/INPUT!P2137),"")</f>
        <v>-3.6719706242349711E-3</v>
      </c>
    </row>
    <row r="2143" spans="1:12" ht="18" hidden="1" customHeight="1" x14ac:dyDescent="0.2">
      <c r="A2143" s="11">
        <f>IF(INPUT!M2138="","",INPUT!M2138)</f>
        <v>46084</v>
      </c>
      <c r="B2143" s="11">
        <f>IF(INPUT!M2138="","",INPUT!M2138-WEEKDAY(INPUT!M2138,2)+1)</f>
        <v>46083</v>
      </c>
      <c r="C2143" s="20">
        <f>IFERROR(_xlfn.ISOWEEKNUM(INPUT!M2138),"")</f>
        <v>10</v>
      </c>
      <c r="D2143" s="20">
        <f>IFERROR(YEAR(INPUT!M2138),"")</f>
        <v>2026</v>
      </c>
      <c r="E2143" t="str">
        <f>IF(INPUT!O2138="","",INPUT!O2138)</f>
        <v>HARRISON</v>
      </c>
      <c r="F2143" t="str">
        <f>IF(INPUT!N2138="","",INPUT!N2138)</f>
        <v>M</v>
      </c>
      <c r="G2143" t="str" cm="1">
        <f t="array" ref="G2143">IFERROR(VLOOKUP(INPUT!M2138&amp;INPUT!N2138,CHOOSE({1,2},INPUT!$A$3:$A$5000&amp;INPUT!$C$3:$C$5000,INPUT!$F$3:$F$5000),2,FALSE),"")</f>
        <v>PRE-TEMPORADA</v>
      </c>
      <c r="H2143" t="str" cm="1">
        <f t="array" ref="H2143">IFERROR(VLOOKUP(INPUT!M2138&amp;INPUT!N2138,CHOOSE({1,2},INPUT!$A$3:$A$5000&amp;INPUT!$C$3:$C$5000,INPUT!$D$3:$D$5000),2,FALSE),"")</f>
        <v>GYM+TEC-TAC</v>
      </c>
      <c r="I2143" s="46">
        <f>IF(INPUT!P2138="","",INPUT!P2138)</f>
        <v>71.7</v>
      </c>
      <c r="J2143" s="46">
        <f>IF(INPUT!Q2138="","",INPUT!Q2138)</f>
        <v>71.3</v>
      </c>
      <c r="K2143" s="46">
        <f>IFERROR(IF(OR(INPUT!P2138="",INPUT!Q2138=""),"",INPUT!P2138-INPUT!Q2138),"")</f>
        <v>0.40000000000000568</v>
      </c>
      <c r="L2143" s="48">
        <f>IFERROR(IF(OR(INPUT!P2138="",INPUT!Q2138="",INPUT!P2138=0),"",(INPUT!P2138-INPUT!Q2138)/INPUT!P2138),"")</f>
        <v>5.5788005578801345E-3</v>
      </c>
    </row>
    <row r="2144" spans="1:12" ht="18" hidden="1" customHeight="1" x14ac:dyDescent="0.2">
      <c r="A2144" s="11">
        <f>IF(INPUT!M2139="","",INPUT!M2139)</f>
        <v>46084</v>
      </c>
      <c r="B2144" s="11">
        <f>IF(INPUT!M2139="","",INPUT!M2139-WEEKDAY(INPUT!M2139,2)+1)</f>
        <v>46083</v>
      </c>
      <c r="C2144" s="20">
        <f>IFERROR(_xlfn.ISOWEEKNUM(INPUT!M2139),"")</f>
        <v>10</v>
      </c>
      <c r="D2144" s="20">
        <f>IFERROR(YEAR(INPUT!M2139),"")</f>
        <v>2026</v>
      </c>
      <c r="E2144" t="str">
        <f>IF(INPUT!O2139="","",INPUT!O2139)</f>
        <v>RAYA</v>
      </c>
      <c r="F2144" t="str">
        <f>IF(INPUT!N2139="","",INPUT!N2139)</f>
        <v>M</v>
      </c>
      <c r="G2144" t="str" cm="1">
        <f t="array" ref="G2144">IFERROR(VLOOKUP(INPUT!M2139&amp;INPUT!N2139,CHOOSE({1,2},INPUT!$A$3:$A$5000&amp;INPUT!$C$3:$C$5000,INPUT!$F$3:$F$5000),2,FALSE),"")</f>
        <v>PRE-TEMPORADA</v>
      </c>
      <c r="H2144" t="str" cm="1">
        <f t="array" ref="H2144">IFERROR(VLOOKUP(INPUT!M2139&amp;INPUT!N2139,CHOOSE({1,2},INPUT!$A$3:$A$5000&amp;INPUT!$C$3:$C$5000,INPUT!$D$3:$D$5000),2,FALSE),"")</f>
        <v>GYM+TEC-TAC</v>
      </c>
      <c r="I2144" s="46">
        <f>IF(INPUT!P2139="","",INPUT!P2139)</f>
        <v>80.5</v>
      </c>
      <c r="J2144" s="46">
        <f>IF(INPUT!Q2139="","",INPUT!Q2139)</f>
        <v>80</v>
      </c>
      <c r="K2144" s="46">
        <f>IFERROR(IF(OR(INPUT!P2139="",INPUT!Q2139=""),"",INPUT!P2139-INPUT!Q2139),"")</f>
        <v>0.5</v>
      </c>
      <c r="L2144" s="48">
        <f>IFERROR(IF(OR(INPUT!P2139="",INPUT!Q2139="",INPUT!P2139=0),"",(INPUT!P2139-INPUT!Q2139)/INPUT!P2139),"")</f>
        <v>6.2111801242236021E-3</v>
      </c>
    </row>
    <row r="2145" spans="1:12" ht="18" hidden="1" customHeight="1" x14ac:dyDescent="0.2">
      <c r="A2145" s="11">
        <f>IF(INPUT!M2140="","",INPUT!M2140)</f>
        <v>46084</v>
      </c>
      <c r="B2145" s="11">
        <f>IF(INPUT!M2140="","",INPUT!M2140-WEEKDAY(INPUT!M2140,2)+1)</f>
        <v>46083</v>
      </c>
      <c r="C2145" s="20">
        <f>IFERROR(_xlfn.ISOWEEKNUM(INPUT!M2140),"")</f>
        <v>10</v>
      </c>
      <c r="D2145" s="20">
        <f>IFERROR(YEAR(INPUT!M2140),"")</f>
        <v>2026</v>
      </c>
      <c r="E2145" t="str">
        <f>IF(INPUT!O2140="","",INPUT!O2140)</f>
        <v>JAVI</v>
      </c>
      <c r="F2145" t="str">
        <f>IF(INPUT!N2140="","",INPUT!N2140)</f>
        <v>M</v>
      </c>
      <c r="G2145" t="str" cm="1">
        <f t="array" ref="G2145">IFERROR(VLOOKUP(INPUT!M2140&amp;INPUT!N2140,CHOOSE({1,2},INPUT!$A$3:$A$5000&amp;INPUT!$C$3:$C$5000,INPUT!$F$3:$F$5000),2,FALSE),"")</f>
        <v>PRE-TEMPORADA</v>
      </c>
      <c r="H2145" t="str" cm="1">
        <f t="array" ref="H2145">IFERROR(VLOOKUP(INPUT!M2140&amp;INPUT!N2140,CHOOSE({1,2},INPUT!$A$3:$A$5000&amp;INPUT!$C$3:$C$5000,INPUT!$D$3:$D$5000),2,FALSE),"")</f>
        <v>GYM+TEC-TAC</v>
      </c>
      <c r="I2145" s="46">
        <f>IF(INPUT!P2140="","",INPUT!P2140)</f>
        <v>79</v>
      </c>
      <c r="J2145" s="46">
        <f>IF(INPUT!Q2140="","",INPUT!Q2140)</f>
        <v>79</v>
      </c>
      <c r="K2145" s="46">
        <f>IFERROR(IF(OR(INPUT!P2140="",INPUT!Q2140=""),"",INPUT!P2140-INPUT!Q2140),"")</f>
        <v>0</v>
      </c>
      <c r="L2145" s="48">
        <f>IFERROR(IF(OR(INPUT!P2140="",INPUT!Q2140="",INPUT!P2140=0),"",(INPUT!P2140-INPUT!Q2140)/INPUT!P2140),"")</f>
        <v>0</v>
      </c>
    </row>
    <row r="2146" spans="1:12" ht="18" hidden="1" customHeight="1" x14ac:dyDescent="0.2">
      <c r="A2146" s="11">
        <f>IF(INPUT!M2141="","",INPUT!M2141)</f>
        <v>46084</v>
      </c>
      <c r="B2146" s="11">
        <f>IF(INPUT!M2141="","",INPUT!M2141-WEEKDAY(INPUT!M2141,2)+1)</f>
        <v>46083</v>
      </c>
      <c r="C2146" s="20">
        <f>IFERROR(_xlfn.ISOWEEKNUM(INPUT!M2141),"")</f>
        <v>10</v>
      </c>
      <c r="D2146" s="20">
        <f>IFERROR(YEAR(INPUT!M2141),"")</f>
        <v>2026</v>
      </c>
      <c r="E2146" t="str">
        <f>IF(INPUT!O2141="","",INPUT!O2141)</f>
        <v>PANI</v>
      </c>
      <c r="F2146" t="str">
        <f>IF(INPUT!N2141="","",INPUT!N2141)</f>
        <v>M</v>
      </c>
      <c r="G2146" t="str" cm="1">
        <f t="array" ref="G2146">IFERROR(VLOOKUP(INPUT!M2141&amp;INPUT!N2141,CHOOSE({1,2},INPUT!$A$3:$A$5000&amp;INPUT!$C$3:$C$5000,INPUT!$F$3:$F$5000),2,FALSE),"")</f>
        <v>PRE-TEMPORADA</v>
      </c>
      <c r="H2146" t="str" cm="1">
        <f t="array" ref="H2146">IFERROR(VLOOKUP(INPUT!M2141&amp;INPUT!N2141,CHOOSE({1,2},INPUT!$A$3:$A$5000&amp;INPUT!$C$3:$C$5000,INPUT!$D$3:$D$5000),2,FALSE),"")</f>
        <v>GYM+TEC-TAC</v>
      </c>
      <c r="I2146" s="46">
        <f>IF(INPUT!P2141="","",INPUT!P2141)</f>
        <v>66.5</v>
      </c>
      <c r="J2146" s="46">
        <f>IF(INPUT!Q2141="","",INPUT!Q2141)</f>
        <v>65.8</v>
      </c>
      <c r="K2146" s="46">
        <f>IFERROR(IF(OR(INPUT!P2141="",INPUT!Q2141=""),"",INPUT!P2141-INPUT!Q2141),"")</f>
        <v>0.70000000000000284</v>
      </c>
      <c r="L2146" s="48">
        <f>IFERROR(IF(OR(INPUT!P2141="",INPUT!Q2141="",INPUT!P2141=0),"",(INPUT!P2141-INPUT!Q2141)/INPUT!P2141),"")</f>
        <v>1.0526315789473727E-2</v>
      </c>
    </row>
    <row r="2147" spans="1:12" ht="18" hidden="1" customHeight="1" x14ac:dyDescent="0.2">
      <c r="A2147" s="11">
        <f>IF(INPUT!M2142="","",INPUT!M2142)</f>
        <v>46084</v>
      </c>
      <c r="B2147" s="11">
        <f>IF(INPUT!M2142="","",INPUT!M2142-WEEKDAY(INPUT!M2142,2)+1)</f>
        <v>46083</v>
      </c>
      <c r="C2147" s="20">
        <f>IFERROR(_xlfn.ISOWEEKNUM(INPUT!M2142),"")</f>
        <v>10</v>
      </c>
      <c r="D2147" s="20">
        <f>IFERROR(YEAR(INPUT!M2142),"")</f>
        <v>2026</v>
      </c>
      <c r="E2147" t="str">
        <f>IF(INPUT!O2142="","",INPUT!O2142)</f>
        <v>PIRATA</v>
      </c>
      <c r="F2147" t="str">
        <f>IF(INPUT!N2142="","",INPUT!N2142)</f>
        <v>M</v>
      </c>
      <c r="G2147" t="str" cm="1">
        <f t="array" ref="G2147">IFERROR(VLOOKUP(INPUT!M2142&amp;INPUT!N2142,CHOOSE({1,2},INPUT!$A$3:$A$5000&amp;INPUT!$C$3:$C$5000,INPUT!$F$3:$F$5000),2,FALSE),"")</f>
        <v>PRE-TEMPORADA</v>
      </c>
      <c r="H2147" t="str" cm="1">
        <f t="array" ref="H2147">IFERROR(VLOOKUP(INPUT!M2142&amp;INPUT!N2142,CHOOSE({1,2},INPUT!$A$3:$A$5000&amp;INPUT!$C$3:$C$5000,INPUT!$D$3:$D$5000),2,FALSE),"")</f>
        <v>GYM+TEC-TAC</v>
      </c>
      <c r="I2147" s="46">
        <f>IF(INPUT!P2142="","",INPUT!P2142)</f>
        <v>75.7</v>
      </c>
      <c r="J2147" s="46">
        <f>IF(INPUT!Q2142="","",INPUT!Q2142)</f>
        <v>75.5</v>
      </c>
      <c r="K2147" s="46">
        <f>IFERROR(IF(OR(INPUT!P2142="",INPUT!Q2142=""),"",INPUT!P2142-INPUT!Q2142),"")</f>
        <v>0.20000000000000284</v>
      </c>
      <c r="L2147" s="48">
        <f>IFERROR(IF(OR(INPUT!P2142="",INPUT!Q2142="",INPUT!P2142=0),"",(INPUT!P2142-INPUT!Q2142)/INPUT!P2142),"")</f>
        <v>2.6420079260238154E-3</v>
      </c>
    </row>
    <row r="2148" spans="1:12" ht="18" hidden="1" customHeight="1" x14ac:dyDescent="0.2">
      <c r="A2148" s="11">
        <f>IF(INPUT!M2143="","",INPUT!M2143)</f>
        <v>46084</v>
      </c>
      <c r="B2148" s="11">
        <f>IF(INPUT!M2143="","",INPUT!M2143-WEEKDAY(INPUT!M2143,2)+1)</f>
        <v>46083</v>
      </c>
      <c r="C2148" s="20">
        <f>IFERROR(_xlfn.ISOWEEKNUM(INPUT!M2143),"")</f>
        <v>10</v>
      </c>
      <c r="D2148" s="20">
        <f>IFERROR(YEAR(INPUT!M2143),"")</f>
        <v>2026</v>
      </c>
      <c r="E2148" t="str">
        <f>IF(INPUT!O2143="","",INPUT!O2143)</f>
        <v>BARONA</v>
      </c>
      <c r="F2148" t="str">
        <f>IF(INPUT!N2143="","",INPUT!N2143)</f>
        <v>M</v>
      </c>
      <c r="G2148" t="str" cm="1">
        <f t="array" ref="G2148">IFERROR(VLOOKUP(INPUT!M2143&amp;INPUT!N2143,CHOOSE({1,2},INPUT!$A$3:$A$5000&amp;INPUT!$C$3:$C$5000,INPUT!$F$3:$F$5000),2,FALSE),"")</f>
        <v>PRE-TEMPORADA</v>
      </c>
      <c r="H2148" t="str" cm="1">
        <f t="array" ref="H2148">IFERROR(VLOOKUP(INPUT!M2143&amp;INPUT!N2143,CHOOSE({1,2},INPUT!$A$3:$A$5000&amp;INPUT!$C$3:$C$5000,INPUT!$D$3:$D$5000),2,FALSE),"")</f>
        <v>GYM+TEC-TAC</v>
      </c>
      <c r="I2148" s="46">
        <f>IF(INPUT!P2143="","",INPUT!P2143)</f>
        <v>71.2</v>
      </c>
      <c r="J2148" s="46">
        <f>IF(INPUT!Q2143="","",INPUT!Q2143)</f>
        <v>71.2</v>
      </c>
      <c r="K2148" s="46">
        <f>IFERROR(IF(OR(INPUT!P2143="",INPUT!Q2143=""),"",INPUT!P2143-INPUT!Q2143),"")</f>
        <v>0</v>
      </c>
      <c r="L2148" s="48">
        <f>IFERROR(IF(OR(INPUT!P2143="",INPUT!Q2143="",INPUT!P2143=0),"",(INPUT!P2143-INPUT!Q2143)/INPUT!P2143),"")</f>
        <v>0</v>
      </c>
    </row>
    <row r="2149" spans="1:12" ht="18" hidden="1" customHeight="1" x14ac:dyDescent="0.2">
      <c r="A2149" s="11">
        <f>IF(INPUT!M2144="","",INPUT!M2144)</f>
        <v>46084</v>
      </c>
      <c r="B2149" s="11">
        <f>IF(INPUT!M2144="","",INPUT!M2144-WEEKDAY(INPUT!M2144,2)+1)</f>
        <v>46083</v>
      </c>
      <c r="C2149" s="20">
        <f>IFERROR(_xlfn.ISOWEEKNUM(INPUT!M2144),"")</f>
        <v>10</v>
      </c>
      <c r="D2149" s="20">
        <f>IFERROR(YEAR(INPUT!M2144),"")</f>
        <v>2026</v>
      </c>
      <c r="E2149" t="str">
        <f>IF(INPUT!O2144="","",INPUT!O2144)</f>
        <v>CARLOS</v>
      </c>
      <c r="F2149" t="str">
        <f>IF(INPUT!N2144="","",INPUT!N2144)</f>
        <v>M</v>
      </c>
      <c r="G2149" t="str" cm="1">
        <f t="array" ref="G2149">IFERROR(VLOOKUP(INPUT!M2144&amp;INPUT!N2144,CHOOSE({1,2},INPUT!$A$3:$A$5000&amp;INPUT!$C$3:$C$5000,INPUT!$F$3:$F$5000),2,FALSE),"")</f>
        <v>PRE-TEMPORADA</v>
      </c>
      <c r="H2149" t="str" cm="1">
        <f t="array" ref="H2149">IFERROR(VLOOKUP(INPUT!M2144&amp;INPUT!N2144,CHOOSE({1,2},INPUT!$A$3:$A$5000&amp;INPUT!$C$3:$C$5000,INPUT!$D$3:$D$5000),2,FALSE),"")</f>
        <v>GYM+TEC-TAC</v>
      </c>
      <c r="I2149" s="46">
        <f>IF(INPUT!P2144="","",INPUT!P2144)</f>
        <v>68.2</v>
      </c>
      <c r="J2149" s="46">
        <f>IF(INPUT!Q2144="","",INPUT!Q2144)</f>
        <v>67.5</v>
      </c>
      <c r="K2149" s="46">
        <f>IFERROR(IF(OR(INPUT!P2144="",INPUT!Q2144=""),"",INPUT!P2144-INPUT!Q2144),"")</f>
        <v>0.70000000000000284</v>
      </c>
      <c r="L2149" s="48">
        <f>IFERROR(IF(OR(INPUT!P2144="",INPUT!Q2144="",INPUT!P2144=0),"",(INPUT!P2144-INPUT!Q2144)/INPUT!P2144),"")</f>
        <v>1.026392961876837E-2</v>
      </c>
    </row>
    <row r="2150" spans="1:12" ht="18" hidden="1" customHeight="1" x14ac:dyDescent="0.2">
      <c r="A2150" s="11">
        <f>IF(INPUT!M2145="","",INPUT!M2145)</f>
        <v>46084</v>
      </c>
      <c r="B2150" s="11">
        <f>IF(INPUT!M2145="","",INPUT!M2145-WEEKDAY(INPUT!M2145,2)+1)</f>
        <v>46083</v>
      </c>
      <c r="C2150" s="20">
        <f>IFERROR(_xlfn.ISOWEEKNUM(INPUT!M2145),"")</f>
        <v>10</v>
      </c>
      <c r="D2150" s="20">
        <f>IFERROR(YEAR(INPUT!M2145),"")</f>
        <v>2026</v>
      </c>
      <c r="E2150" t="str">
        <f>IF(INPUT!O2145="","",INPUT!O2145)</f>
        <v>DANI</v>
      </c>
      <c r="F2150" t="str">
        <f>IF(INPUT!N2145="","",INPUT!N2145)</f>
        <v>M</v>
      </c>
      <c r="G2150" t="str" cm="1">
        <f t="array" ref="G2150">IFERROR(VLOOKUP(INPUT!M2145&amp;INPUT!N2145,CHOOSE({1,2},INPUT!$A$3:$A$5000&amp;INPUT!$C$3:$C$5000,INPUT!$F$3:$F$5000),2,FALSE),"")</f>
        <v>PRE-TEMPORADA</v>
      </c>
      <c r="H2150" t="str" cm="1">
        <f t="array" ref="H2150">IFERROR(VLOOKUP(INPUT!M2145&amp;INPUT!N2145,CHOOSE({1,2},INPUT!$A$3:$A$5000&amp;INPUT!$C$3:$C$5000,INPUT!$D$3:$D$5000),2,FALSE),"")</f>
        <v>GYM+TEC-TAC</v>
      </c>
      <c r="I2150" s="46">
        <f>IF(INPUT!P2145="","",INPUT!P2145)</f>
        <v>90.6</v>
      </c>
      <c r="J2150" s="46">
        <f>IF(INPUT!Q2145="","",INPUT!Q2145)</f>
        <v>90</v>
      </c>
      <c r="K2150" s="46">
        <f>IFERROR(IF(OR(INPUT!P2145="",INPUT!Q2145=""),"",INPUT!P2145-INPUT!Q2145),"")</f>
        <v>0.59999999999999432</v>
      </c>
      <c r="L2150" s="48">
        <f>IFERROR(IF(OR(INPUT!P2145="",INPUT!Q2145="",INPUT!P2145=0),"",(INPUT!P2145-INPUT!Q2145)/INPUT!P2145),"")</f>
        <v>6.6225165562913283E-3</v>
      </c>
    </row>
    <row r="2151" spans="1:12" ht="18" hidden="1" customHeight="1" x14ac:dyDescent="0.2">
      <c r="A2151" s="11">
        <f>IF(INPUT!M2146="","",INPUT!M2146)</f>
        <v>46084</v>
      </c>
      <c r="B2151" s="11">
        <f>IF(INPUT!M2146="","",INPUT!M2146-WEEKDAY(INPUT!M2146,2)+1)</f>
        <v>46083</v>
      </c>
      <c r="C2151" s="20">
        <f>IFERROR(_xlfn.ISOWEEKNUM(INPUT!M2146),"")</f>
        <v>10</v>
      </c>
      <c r="D2151" s="20">
        <f>IFERROR(YEAR(INPUT!M2146),"")</f>
        <v>2026</v>
      </c>
      <c r="E2151" t="str">
        <f>IF(INPUT!O2146="","",INPUT!O2146)</f>
        <v>JAIME</v>
      </c>
      <c r="F2151" t="str">
        <f>IF(INPUT!N2146="","",INPUT!N2146)</f>
        <v>M</v>
      </c>
      <c r="G2151" t="str" cm="1">
        <f t="array" ref="G2151">IFERROR(VLOOKUP(INPUT!M2146&amp;INPUT!N2146,CHOOSE({1,2},INPUT!$A$3:$A$5000&amp;INPUT!$C$3:$C$5000,INPUT!$F$3:$F$5000),2,FALSE),"")</f>
        <v>PRE-TEMPORADA</v>
      </c>
      <c r="H2151" t="str" cm="1">
        <f t="array" ref="H2151">IFERROR(VLOOKUP(INPUT!M2146&amp;INPUT!N2146,CHOOSE({1,2},INPUT!$A$3:$A$5000&amp;INPUT!$C$3:$C$5000,INPUT!$D$3:$D$5000),2,FALSE),"")</f>
        <v>GYM+TEC-TAC</v>
      </c>
      <c r="I2151" s="46">
        <f>IF(INPUT!P2146="","",INPUT!P2146)</f>
        <v>76.2</v>
      </c>
      <c r="J2151" s="46">
        <f>IF(INPUT!Q2146="","",INPUT!Q2146)</f>
        <v>76.099999999999994</v>
      </c>
      <c r="K2151" s="46">
        <f>IFERROR(IF(OR(INPUT!P2146="",INPUT!Q2146=""),"",INPUT!P2146-INPUT!Q2146),"")</f>
        <v>0.10000000000000853</v>
      </c>
      <c r="L2151" s="48">
        <f>IFERROR(IF(OR(INPUT!P2146="",INPUT!Q2146="",INPUT!P2146=0),"",(INPUT!P2146-INPUT!Q2146)/INPUT!P2146),"")</f>
        <v>1.3123359580053612E-3</v>
      </c>
    </row>
    <row r="2152" spans="1:12" ht="18" hidden="1" customHeight="1" x14ac:dyDescent="0.2">
      <c r="A2152" s="11">
        <f>IF(INPUT!M2147="","",INPUT!M2147)</f>
        <v>46085</v>
      </c>
      <c r="B2152" s="11">
        <f>IF(INPUT!M2147="","",INPUT!M2147-WEEKDAY(INPUT!M2147,2)+1)</f>
        <v>46083</v>
      </c>
      <c r="C2152" s="20">
        <f>IFERROR(_xlfn.ISOWEEKNUM(INPUT!M2147),"")</f>
        <v>10</v>
      </c>
      <c r="D2152" s="20">
        <f>IFERROR(YEAR(INPUT!M2147),"")</f>
        <v>2026</v>
      </c>
      <c r="E2152" t="str">
        <f>IF(INPUT!O2147="","",INPUT!O2147)</f>
        <v>HERRERO</v>
      </c>
      <c r="F2152" t="str">
        <f>IF(INPUT!N2147="","",INPUT!N2147)</f>
        <v>M</v>
      </c>
      <c r="G2152" t="str" cm="1">
        <f t="array" ref="G2152">IFERROR(VLOOKUP(INPUT!M2147&amp;INPUT!N2147,CHOOSE({1,2},INPUT!$A$3:$A$5000&amp;INPUT!$C$3:$C$5000,INPUT!$F$3:$F$5000),2,FALSE),"")</f>
        <v>PRE-TEMPORADA</v>
      </c>
      <c r="H2152" t="str" cm="1">
        <f t="array" ref="H2152">IFERROR(VLOOKUP(INPUT!M2147&amp;INPUT!N2147,CHOOSE({1,2},INPUT!$A$3:$A$5000&amp;INPUT!$C$3:$C$5000,INPUT!$D$3:$D$5000),2,FALSE),"")</f>
        <v>TEC-TAC</v>
      </c>
      <c r="I2152" s="46">
        <f>IF(INPUT!P2147="","",INPUT!P2147)</f>
        <v>76.900000000000006</v>
      </c>
      <c r="J2152" s="46">
        <f>IF(INPUT!Q2147="","",INPUT!Q2147)</f>
        <v>76.099999999999994</v>
      </c>
      <c r="K2152" s="46">
        <f>IFERROR(IF(OR(INPUT!P2147="",INPUT!Q2147=""),"",INPUT!P2147-INPUT!Q2147),"")</f>
        <v>0.80000000000001137</v>
      </c>
      <c r="L2152" s="48">
        <f>IFERROR(IF(OR(INPUT!P2147="",INPUT!Q2147="",INPUT!P2147=0),"",(INPUT!P2147-INPUT!Q2147)/INPUT!P2147),"")</f>
        <v>1.0403120936281032E-2</v>
      </c>
    </row>
    <row r="2153" spans="1:12" ht="18" customHeight="1" x14ac:dyDescent="0.2">
      <c r="A2153" s="11">
        <f>IF(INPUT!M2148="","",INPUT!M2148)</f>
        <v>46085</v>
      </c>
      <c r="B2153" s="11">
        <f>IF(INPUT!M2148="","",INPUT!M2148-WEEKDAY(INPUT!M2148,2)+1)</f>
        <v>46083</v>
      </c>
      <c r="C2153" s="20">
        <f>IFERROR(_xlfn.ISOWEEKNUM(INPUT!M2148),"")</f>
        <v>10</v>
      </c>
      <c r="D2153" s="20">
        <f>IFERROR(YEAR(INPUT!M2148),"")</f>
        <v>2026</v>
      </c>
      <c r="E2153" t="str">
        <f>IF(INPUT!O2148="","",INPUT!O2148)</f>
        <v>GARCIA</v>
      </c>
      <c r="F2153" t="str">
        <f>IF(INPUT!N2148="","",INPUT!N2148)</f>
        <v>M</v>
      </c>
      <c r="G2153" t="str" cm="1">
        <f t="array" ref="G2153">IFERROR(VLOOKUP(INPUT!M2148&amp;INPUT!N2148,CHOOSE({1,2},INPUT!$A$3:$A$5000&amp;INPUT!$C$3:$C$5000,INPUT!$F$3:$F$5000),2,FALSE),"")</f>
        <v>PRE-TEMPORADA</v>
      </c>
      <c r="H2153" t="str" cm="1">
        <f t="array" ref="H2153">IFERROR(VLOOKUP(INPUT!M2148&amp;INPUT!N2148,CHOOSE({1,2},INPUT!$A$3:$A$5000&amp;INPUT!$C$3:$C$5000,INPUT!$D$3:$D$5000),2,FALSE),"")</f>
        <v>TEC-TAC</v>
      </c>
      <c r="I2153" s="46">
        <f>IF(INPUT!P2148="","",INPUT!P2148)</f>
        <v>79.400000000000006</v>
      </c>
      <c r="J2153" s="46">
        <f>IF(INPUT!Q2148="","",INPUT!Q2148)</f>
        <v>79</v>
      </c>
      <c r="K2153" s="46">
        <f>IFERROR(IF(OR(INPUT!P2148="",INPUT!Q2148=""),"",INPUT!P2148-INPUT!Q2148),"")</f>
        <v>0.40000000000000568</v>
      </c>
      <c r="L2153" s="48">
        <f>IFERROR(IF(OR(INPUT!P2148="",INPUT!Q2148="",INPUT!P2148=0),"",(INPUT!P2148-INPUT!Q2148)/INPUT!P2148),"")</f>
        <v>5.0377833753149324E-3</v>
      </c>
    </row>
    <row r="2154" spans="1:12" ht="18" customHeight="1" x14ac:dyDescent="0.2">
      <c r="A2154" s="11">
        <f>IF(INPUT!M2149="","",INPUT!M2149)</f>
        <v>46085</v>
      </c>
      <c r="B2154" s="11">
        <f>IF(INPUT!M2149="","",INPUT!M2149-WEEKDAY(INPUT!M2149,2)+1)</f>
        <v>46083</v>
      </c>
      <c r="C2154" s="20">
        <f>IFERROR(_xlfn.ISOWEEKNUM(INPUT!M2149),"")</f>
        <v>10</v>
      </c>
      <c r="D2154" s="20">
        <f>IFERROR(YEAR(INPUT!M2149),"")</f>
        <v>2026</v>
      </c>
      <c r="E2154" t="str">
        <f>IF(INPUT!O2149="","",INPUT!O2149)</f>
        <v>CECILIO</v>
      </c>
      <c r="F2154" t="str">
        <f>IF(INPUT!N2149="","",INPUT!N2149)</f>
        <v>M</v>
      </c>
      <c r="G2154" t="str" cm="1">
        <f t="array" ref="G2154">IFERROR(VLOOKUP(INPUT!M2149&amp;INPUT!N2149,CHOOSE({1,2},INPUT!$A$3:$A$5000&amp;INPUT!$C$3:$C$5000,INPUT!$F$3:$F$5000),2,FALSE),"")</f>
        <v>PRE-TEMPORADA</v>
      </c>
      <c r="H2154" t="str" cm="1">
        <f t="array" ref="H2154">IFERROR(VLOOKUP(INPUT!M2149&amp;INPUT!N2149,CHOOSE({1,2},INPUT!$A$3:$A$5000&amp;INPUT!$C$3:$C$5000,INPUT!$D$3:$D$5000),2,FALSE),"")</f>
        <v>TEC-TAC</v>
      </c>
      <c r="I2154" s="46">
        <f>IF(INPUT!P2149="","",INPUT!P2149)</f>
        <v>67.5</v>
      </c>
      <c r="J2154" s="46">
        <f>IF(INPUT!Q2149="","",INPUT!Q2149)</f>
        <v>67</v>
      </c>
      <c r="K2154" s="46">
        <f>IFERROR(IF(OR(INPUT!P2149="",INPUT!Q2149=""),"",INPUT!P2149-INPUT!Q2149),"")</f>
        <v>0.5</v>
      </c>
      <c r="L2154" s="48">
        <f>IFERROR(IF(OR(INPUT!P2149="",INPUT!Q2149="",INPUT!P2149=0),"",(INPUT!P2149-INPUT!Q2149)/INPUT!P2149),"")</f>
        <v>7.4074074074074077E-3</v>
      </c>
    </row>
    <row r="2155" spans="1:12" ht="18" customHeight="1" x14ac:dyDescent="0.2">
      <c r="A2155" s="11">
        <f>IF(INPUT!M2150="","",INPUT!M2150)</f>
        <v>46085</v>
      </c>
      <c r="B2155" s="11">
        <f>IF(INPUT!M2150="","",INPUT!M2150-WEEKDAY(INPUT!M2150,2)+1)</f>
        <v>46083</v>
      </c>
      <c r="C2155" s="20">
        <f>IFERROR(_xlfn.ISOWEEKNUM(INPUT!M2150),"")</f>
        <v>10</v>
      </c>
      <c r="D2155" s="20">
        <f>IFERROR(YEAR(INPUT!M2150),"")</f>
        <v>2026</v>
      </c>
      <c r="E2155" t="str">
        <f>IF(INPUT!O2150="","",INPUT!O2150)</f>
        <v>CHAGUINHA</v>
      </c>
      <c r="F2155" t="str">
        <f>IF(INPUT!N2150="","",INPUT!N2150)</f>
        <v>M</v>
      </c>
      <c r="G2155" t="str" cm="1">
        <f t="array" ref="G2155">IFERROR(VLOOKUP(INPUT!M2150&amp;INPUT!N2150,CHOOSE({1,2},INPUT!$A$3:$A$5000&amp;INPUT!$C$3:$C$5000,INPUT!$F$3:$F$5000),2,FALSE),"")</f>
        <v>PRE-TEMPORADA</v>
      </c>
      <c r="H2155" t="str" cm="1">
        <f t="array" ref="H2155">IFERROR(VLOOKUP(INPUT!M2150&amp;INPUT!N2150,CHOOSE({1,2},INPUT!$A$3:$A$5000&amp;INPUT!$C$3:$C$5000,INPUT!$D$3:$D$5000),2,FALSE),"")</f>
        <v>TEC-TAC</v>
      </c>
      <c r="I2155" s="46">
        <f>IF(INPUT!P2150="","",INPUT!P2150)</f>
        <v>68.5</v>
      </c>
      <c r="J2155" s="46">
        <f>IF(INPUT!Q2150="","",INPUT!Q2150)</f>
        <v>68</v>
      </c>
      <c r="K2155" s="46">
        <f>IFERROR(IF(OR(INPUT!P2150="",INPUT!Q2150=""),"",INPUT!P2150-INPUT!Q2150),"")</f>
        <v>0.5</v>
      </c>
      <c r="L2155" s="48">
        <f>IFERROR(IF(OR(INPUT!P2150="",INPUT!Q2150="",INPUT!P2150=0),"",(INPUT!P2150-INPUT!Q2150)/INPUT!P2150),"")</f>
        <v>7.2992700729927005E-3</v>
      </c>
    </row>
    <row r="2156" spans="1:12" ht="18" hidden="1" customHeight="1" x14ac:dyDescent="0.2">
      <c r="A2156" s="11">
        <f>IF(INPUT!M2151="","",INPUT!M2151)</f>
        <v>46085</v>
      </c>
      <c r="B2156" s="11">
        <f>IF(INPUT!M2151="","",INPUT!M2151-WEEKDAY(INPUT!M2151,2)+1)</f>
        <v>46083</v>
      </c>
      <c r="C2156" s="20">
        <f>IFERROR(_xlfn.ISOWEEKNUM(INPUT!M2151),"")</f>
        <v>10</v>
      </c>
      <c r="D2156" s="20">
        <f>IFERROR(YEAR(INPUT!M2151),"")</f>
        <v>2026</v>
      </c>
      <c r="E2156" t="str">
        <f>IF(INPUT!O2151="","",INPUT!O2151)</f>
        <v>RAUL</v>
      </c>
      <c r="F2156" t="str">
        <f>IF(INPUT!N2151="","",INPUT!N2151)</f>
        <v>M</v>
      </c>
      <c r="G2156" t="str" cm="1">
        <f t="array" ref="G2156">IFERROR(VLOOKUP(INPUT!M2151&amp;INPUT!N2151,CHOOSE({1,2},INPUT!$A$3:$A$5000&amp;INPUT!$C$3:$C$5000,INPUT!$F$3:$F$5000),2,FALSE),"")</f>
        <v>PRE-TEMPORADA</v>
      </c>
      <c r="H2156" t="str" cm="1">
        <f t="array" ref="H2156">IFERROR(VLOOKUP(INPUT!M2151&amp;INPUT!N2151,CHOOSE({1,2},INPUT!$A$3:$A$5000&amp;INPUT!$C$3:$C$5000,INPUT!$D$3:$D$5000),2,FALSE),"")</f>
        <v>TEC-TAC</v>
      </c>
      <c r="I2156" s="46">
        <f>IF(INPUT!P2151="","",INPUT!P2151)</f>
        <v>81.3</v>
      </c>
      <c r="J2156" s="46">
        <f>IF(INPUT!Q2151="","",INPUT!Q2151)</f>
        <v>81.900000000000006</v>
      </c>
      <c r="K2156" s="46">
        <f>IFERROR(IF(OR(INPUT!P2151="",INPUT!Q2151=""),"",INPUT!P2151-INPUT!Q2151),"")</f>
        <v>-0.60000000000000853</v>
      </c>
      <c r="L2156" s="48">
        <f>IFERROR(IF(OR(INPUT!P2151="",INPUT!Q2151="",INPUT!P2151=0),"",(INPUT!P2151-INPUT!Q2151)/INPUT!P2151),"")</f>
        <v>-7.3800738007381121E-3</v>
      </c>
    </row>
    <row r="2157" spans="1:12" ht="18" hidden="1" customHeight="1" x14ac:dyDescent="0.2">
      <c r="A2157" s="11">
        <f>IF(INPUT!M2152="","",INPUT!M2152)</f>
        <v>46085</v>
      </c>
      <c r="B2157" s="11">
        <f>IF(INPUT!M2152="","",INPUT!M2152-WEEKDAY(INPUT!M2152,2)+1)</f>
        <v>46083</v>
      </c>
      <c r="C2157" s="20">
        <f>IFERROR(_xlfn.ISOWEEKNUM(INPUT!M2152),"")</f>
        <v>10</v>
      </c>
      <c r="D2157" s="20">
        <f>IFERROR(YEAR(INPUT!M2152),"")</f>
        <v>2026</v>
      </c>
      <c r="E2157" t="str">
        <f>IF(INPUT!O2152="","",INPUT!O2152)</f>
        <v>HARRISON</v>
      </c>
      <c r="F2157" t="str">
        <f>IF(INPUT!N2152="","",INPUT!N2152)</f>
        <v>M</v>
      </c>
      <c r="G2157" t="str" cm="1">
        <f t="array" ref="G2157">IFERROR(VLOOKUP(INPUT!M2152&amp;INPUT!N2152,CHOOSE({1,2},INPUT!$A$3:$A$5000&amp;INPUT!$C$3:$C$5000,INPUT!$F$3:$F$5000),2,FALSE),"")</f>
        <v>PRE-TEMPORADA</v>
      </c>
      <c r="H2157" t="str" cm="1">
        <f t="array" ref="H2157">IFERROR(VLOOKUP(INPUT!M2152&amp;INPUT!N2152,CHOOSE({1,2},INPUT!$A$3:$A$5000&amp;INPUT!$C$3:$C$5000,INPUT!$D$3:$D$5000),2,FALSE),"")</f>
        <v>TEC-TAC</v>
      </c>
      <c r="I2157" s="46">
        <f>IF(INPUT!P2152="","",INPUT!P2152)</f>
        <v>71.7</v>
      </c>
      <c r="J2157" s="46">
        <f>IF(INPUT!Q2152="","",INPUT!Q2152)</f>
        <v>71.5</v>
      </c>
      <c r="K2157" s="46">
        <f>IFERROR(IF(OR(INPUT!P2152="",INPUT!Q2152=""),"",INPUT!P2152-INPUT!Q2152),"")</f>
        <v>0.20000000000000284</v>
      </c>
      <c r="L2157" s="48">
        <f>IFERROR(IF(OR(INPUT!P2152="",INPUT!Q2152="",INPUT!P2152=0),"",(INPUT!P2152-INPUT!Q2152)/INPUT!P2152),"")</f>
        <v>2.7894002789400673E-3</v>
      </c>
    </row>
    <row r="2158" spans="1:12" ht="18" hidden="1" customHeight="1" x14ac:dyDescent="0.2">
      <c r="A2158" s="11">
        <f>IF(INPUT!M2153="","",INPUT!M2153)</f>
        <v>46085</v>
      </c>
      <c r="B2158" s="11">
        <f>IF(INPUT!M2153="","",INPUT!M2153-WEEKDAY(INPUT!M2153,2)+1)</f>
        <v>46083</v>
      </c>
      <c r="C2158" s="20">
        <f>IFERROR(_xlfn.ISOWEEKNUM(INPUT!M2153),"")</f>
        <v>10</v>
      </c>
      <c r="D2158" s="20">
        <f>IFERROR(YEAR(INPUT!M2153),"")</f>
        <v>2026</v>
      </c>
      <c r="E2158" t="str">
        <f>IF(INPUT!O2153="","",INPUT!O2153)</f>
        <v>JAVI</v>
      </c>
      <c r="F2158" t="str">
        <f>IF(INPUT!N2153="","",INPUT!N2153)</f>
        <v>M</v>
      </c>
      <c r="G2158" t="str" cm="1">
        <f t="array" ref="G2158">IFERROR(VLOOKUP(INPUT!M2153&amp;INPUT!N2153,CHOOSE({1,2},INPUT!$A$3:$A$5000&amp;INPUT!$C$3:$C$5000,INPUT!$F$3:$F$5000),2,FALSE),"")</f>
        <v>PRE-TEMPORADA</v>
      </c>
      <c r="H2158" t="str" cm="1">
        <f t="array" ref="H2158">IFERROR(VLOOKUP(INPUT!M2153&amp;INPUT!N2153,CHOOSE({1,2},INPUT!$A$3:$A$5000&amp;INPUT!$C$3:$C$5000,INPUT!$D$3:$D$5000),2,FALSE),"")</f>
        <v>TEC-TAC</v>
      </c>
      <c r="I2158" s="46">
        <f>IF(INPUT!P2153="","",INPUT!P2153)</f>
        <v>79.599999999999994</v>
      </c>
      <c r="J2158" s="46">
        <f>IF(INPUT!Q2153="","",INPUT!Q2153)</f>
        <v>79.599999999999994</v>
      </c>
      <c r="K2158" s="46">
        <f>IFERROR(IF(OR(INPUT!P2153="",INPUT!Q2153=""),"",INPUT!P2153-INPUT!Q2153),"")</f>
        <v>0</v>
      </c>
      <c r="L2158" s="48">
        <f>IFERROR(IF(OR(INPUT!P2153="",INPUT!Q2153="",INPUT!P2153=0),"",(INPUT!P2153-INPUT!Q2153)/INPUT!P2153),"")</f>
        <v>0</v>
      </c>
    </row>
    <row r="2159" spans="1:12" ht="18" hidden="1" customHeight="1" x14ac:dyDescent="0.2">
      <c r="A2159" s="11">
        <f>IF(INPUT!M2154="","",INPUT!M2154)</f>
        <v>46085</v>
      </c>
      <c r="B2159" s="11">
        <f>IF(INPUT!M2154="","",INPUT!M2154-WEEKDAY(INPUT!M2154,2)+1)</f>
        <v>46083</v>
      </c>
      <c r="C2159" s="20">
        <f>IFERROR(_xlfn.ISOWEEKNUM(INPUT!M2154),"")</f>
        <v>10</v>
      </c>
      <c r="D2159" s="20">
        <f>IFERROR(YEAR(INPUT!M2154),"")</f>
        <v>2026</v>
      </c>
      <c r="E2159" t="str">
        <f>IF(INPUT!O2154="","",INPUT!O2154)</f>
        <v>PANI</v>
      </c>
      <c r="F2159" t="str">
        <f>IF(INPUT!N2154="","",INPUT!N2154)</f>
        <v>M</v>
      </c>
      <c r="G2159" t="str" cm="1">
        <f t="array" ref="G2159">IFERROR(VLOOKUP(INPUT!M2154&amp;INPUT!N2154,CHOOSE({1,2},INPUT!$A$3:$A$5000&amp;INPUT!$C$3:$C$5000,INPUT!$F$3:$F$5000),2,FALSE),"")</f>
        <v>PRE-TEMPORADA</v>
      </c>
      <c r="H2159" t="str" cm="1">
        <f t="array" ref="H2159">IFERROR(VLOOKUP(INPUT!M2154&amp;INPUT!N2154,CHOOSE({1,2},INPUT!$A$3:$A$5000&amp;INPUT!$C$3:$C$5000,INPUT!$D$3:$D$5000),2,FALSE),"")</f>
        <v>TEC-TAC</v>
      </c>
      <c r="I2159" s="46">
        <f>IF(INPUT!P2154="","",INPUT!P2154)</f>
        <v>66.5</v>
      </c>
      <c r="J2159" s="46">
        <f>IF(INPUT!Q2154="","",INPUT!Q2154)</f>
        <v>65.900000000000006</v>
      </c>
      <c r="K2159" s="46">
        <f>IFERROR(IF(OR(INPUT!P2154="",INPUT!Q2154=""),"",INPUT!P2154-INPUT!Q2154),"")</f>
        <v>0.59999999999999432</v>
      </c>
      <c r="L2159" s="48">
        <f>IFERROR(IF(OR(INPUT!P2154="",INPUT!Q2154="",INPUT!P2154=0),"",(INPUT!P2154-INPUT!Q2154)/INPUT!P2154),"")</f>
        <v>9.0225563909773574E-3</v>
      </c>
    </row>
    <row r="2160" spans="1:12" ht="18" hidden="1" customHeight="1" x14ac:dyDescent="0.2">
      <c r="A2160" s="11">
        <f>IF(INPUT!M2155="","",INPUT!M2155)</f>
        <v>46085</v>
      </c>
      <c r="B2160" s="11">
        <f>IF(INPUT!M2155="","",INPUT!M2155-WEEKDAY(INPUT!M2155,2)+1)</f>
        <v>46083</v>
      </c>
      <c r="C2160" s="20">
        <f>IFERROR(_xlfn.ISOWEEKNUM(INPUT!M2155),"")</f>
        <v>10</v>
      </c>
      <c r="D2160" s="20">
        <f>IFERROR(YEAR(INPUT!M2155),"")</f>
        <v>2026</v>
      </c>
      <c r="E2160" t="str">
        <f>IF(INPUT!O2155="","",INPUT!O2155)</f>
        <v>PIRATA</v>
      </c>
      <c r="F2160" t="str">
        <f>IF(INPUT!N2155="","",INPUT!N2155)</f>
        <v>M</v>
      </c>
      <c r="G2160" t="str" cm="1">
        <f t="array" ref="G2160">IFERROR(VLOOKUP(INPUT!M2155&amp;INPUT!N2155,CHOOSE({1,2},INPUT!$A$3:$A$5000&amp;INPUT!$C$3:$C$5000,INPUT!$F$3:$F$5000),2,FALSE),"")</f>
        <v>PRE-TEMPORADA</v>
      </c>
      <c r="H2160" t="str" cm="1">
        <f t="array" ref="H2160">IFERROR(VLOOKUP(INPUT!M2155&amp;INPUT!N2155,CHOOSE({1,2},INPUT!$A$3:$A$5000&amp;INPUT!$C$3:$C$5000,INPUT!$D$3:$D$5000),2,FALSE),"")</f>
        <v>TEC-TAC</v>
      </c>
      <c r="I2160" s="46">
        <f>IF(INPUT!P2155="","",INPUT!P2155)</f>
        <v>75.599999999999994</v>
      </c>
      <c r="J2160" s="46">
        <f>IF(INPUT!Q2155="","",INPUT!Q2155)</f>
        <v>75</v>
      </c>
      <c r="K2160" s="46">
        <f>IFERROR(IF(OR(INPUT!P2155="",INPUT!Q2155=""),"",INPUT!P2155-INPUT!Q2155),"")</f>
        <v>0.59999999999999432</v>
      </c>
      <c r="L2160" s="48">
        <f>IFERROR(IF(OR(INPUT!P2155="",INPUT!Q2155="",INPUT!P2155=0),"",(INPUT!P2155-INPUT!Q2155)/INPUT!P2155),"")</f>
        <v>7.9365079365078615E-3</v>
      </c>
    </row>
    <row r="2161" spans="1:12" ht="18" hidden="1" customHeight="1" x14ac:dyDescent="0.2">
      <c r="A2161" s="11">
        <f>IF(INPUT!M2156="","",INPUT!M2156)</f>
        <v>46085</v>
      </c>
      <c r="B2161" s="11">
        <f>IF(INPUT!M2156="","",INPUT!M2156-WEEKDAY(INPUT!M2156,2)+1)</f>
        <v>46083</v>
      </c>
      <c r="C2161" s="20">
        <f>IFERROR(_xlfn.ISOWEEKNUM(INPUT!M2156),"")</f>
        <v>10</v>
      </c>
      <c r="D2161" s="20">
        <f>IFERROR(YEAR(INPUT!M2156),"")</f>
        <v>2026</v>
      </c>
      <c r="E2161" t="str">
        <f>IF(INPUT!O2156="","",INPUT!O2156)</f>
        <v>BARONA</v>
      </c>
      <c r="F2161" t="str">
        <f>IF(INPUT!N2156="","",INPUT!N2156)</f>
        <v>M</v>
      </c>
      <c r="G2161" t="str" cm="1">
        <f t="array" ref="G2161">IFERROR(VLOOKUP(INPUT!M2156&amp;INPUT!N2156,CHOOSE({1,2},INPUT!$A$3:$A$5000&amp;INPUT!$C$3:$C$5000,INPUT!$F$3:$F$5000),2,FALSE),"")</f>
        <v>PRE-TEMPORADA</v>
      </c>
      <c r="H2161" t="str" cm="1">
        <f t="array" ref="H2161">IFERROR(VLOOKUP(INPUT!M2156&amp;INPUT!N2156,CHOOSE({1,2},INPUT!$A$3:$A$5000&amp;INPUT!$C$3:$C$5000,INPUT!$D$3:$D$5000),2,FALSE),"")</f>
        <v>TEC-TAC</v>
      </c>
      <c r="I2161" s="46">
        <f>IF(INPUT!P2156="","",INPUT!P2156)</f>
        <v>71.2</v>
      </c>
      <c r="J2161" s="46">
        <f>IF(INPUT!Q2156="","",INPUT!Q2156)</f>
        <v>71.2</v>
      </c>
      <c r="K2161" s="46">
        <f>IFERROR(IF(OR(INPUT!P2156="",INPUT!Q2156=""),"",INPUT!P2156-INPUT!Q2156),"")</f>
        <v>0</v>
      </c>
      <c r="L2161" s="48">
        <f>IFERROR(IF(OR(INPUT!P2156="",INPUT!Q2156="",INPUT!P2156=0),"",(INPUT!P2156-INPUT!Q2156)/INPUT!P2156),"")</f>
        <v>0</v>
      </c>
    </row>
    <row r="2162" spans="1:12" ht="18" hidden="1" customHeight="1" x14ac:dyDescent="0.2">
      <c r="A2162" s="11">
        <f>IF(INPUT!M2157="","",INPUT!M2157)</f>
        <v>46085</v>
      </c>
      <c r="B2162" s="11">
        <f>IF(INPUT!M2157="","",INPUT!M2157-WEEKDAY(INPUT!M2157,2)+1)</f>
        <v>46083</v>
      </c>
      <c r="C2162" s="20">
        <f>IFERROR(_xlfn.ISOWEEKNUM(INPUT!M2157),"")</f>
        <v>10</v>
      </c>
      <c r="D2162" s="20">
        <f>IFERROR(YEAR(INPUT!M2157),"")</f>
        <v>2026</v>
      </c>
      <c r="E2162" t="str">
        <f>IF(INPUT!O2157="","",INPUT!O2157)</f>
        <v>CARLOS</v>
      </c>
      <c r="F2162" t="str">
        <f>IF(INPUT!N2157="","",INPUT!N2157)</f>
        <v>M</v>
      </c>
      <c r="G2162" t="str" cm="1">
        <f t="array" ref="G2162">IFERROR(VLOOKUP(INPUT!M2157&amp;INPUT!N2157,CHOOSE({1,2},INPUT!$A$3:$A$5000&amp;INPUT!$C$3:$C$5000,INPUT!$F$3:$F$5000),2,FALSE),"")</f>
        <v>PRE-TEMPORADA</v>
      </c>
      <c r="H2162" t="str" cm="1">
        <f t="array" ref="H2162">IFERROR(VLOOKUP(INPUT!M2157&amp;INPUT!N2157,CHOOSE({1,2},INPUT!$A$3:$A$5000&amp;INPUT!$C$3:$C$5000,INPUT!$D$3:$D$5000),2,FALSE),"")</f>
        <v>TEC-TAC</v>
      </c>
      <c r="I2162" s="46">
        <f>IF(INPUT!P2157="","",INPUT!P2157)</f>
        <v>68.8</v>
      </c>
      <c r="J2162" s="46">
        <f>IF(INPUT!Q2157="","",INPUT!Q2157)</f>
        <v>68.099999999999994</v>
      </c>
      <c r="K2162" s="46">
        <f>IFERROR(IF(OR(INPUT!P2157="",INPUT!Q2157=""),"",INPUT!P2157-INPUT!Q2157),"")</f>
        <v>0.70000000000000284</v>
      </c>
      <c r="L2162" s="48">
        <f>IFERROR(IF(OR(INPUT!P2157="",INPUT!Q2157="",INPUT!P2157=0),"",(INPUT!P2157-INPUT!Q2157)/INPUT!P2157),"")</f>
        <v>1.0174418604651205E-2</v>
      </c>
    </row>
    <row r="2163" spans="1:12" ht="18" hidden="1" customHeight="1" x14ac:dyDescent="0.2">
      <c r="A2163" s="11">
        <f>IF(INPUT!M2158="","",INPUT!M2158)</f>
        <v>46085</v>
      </c>
      <c r="B2163" s="11">
        <f>IF(INPUT!M2158="","",INPUT!M2158-WEEKDAY(INPUT!M2158,2)+1)</f>
        <v>46083</v>
      </c>
      <c r="C2163" s="20">
        <f>IFERROR(_xlfn.ISOWEEKNUM(INPUT!M2158),"")</f>
        <v>10</v>
      </c>
      <c r="D2163" s="20">
        <f>IFERROR(YEAR(INPUT!M2158),"")</f>
        <v>2026</v>
      </c>
      <c r="E2163" t="str">
        <f>IF(INPUT!O2158="","",INPUT!O2158)</f>
        <v>DANI</v>
      </c>
      <c r="F2163" t="str">
        <f>IF(INPUT!N2158="","",INPUT!N2158)</f>
        <v>M</v>
      </c>
      <c r="G2163" t="str" cm="1">
        <f t="array" ref="G2163">IFERROR(VLOOKUP(INPUT!M2158&amp;INPUT!N2158,CHOOSE({1,2},INPUT!$A$3:$A$5000&amp;INPUT!$C$3:$C$5000,INPUT!$F$3:$F$5000),2,FALSE),"")</f>
        <v>PRE-TEMPORADA</v>
      </c>
      <c r="H2163" t="str" cm="1">
        <f t="array" ref="H2163">IFERROR(VLOOKUP(INPUT!M2158&amp;INPUT!N2158,CHOOSE({1,2},INPUT!$A$3:$A$5000&amp;INPUT!$C$3:$C$5000,INPUT!$D$3:$D$5000),2,FALSE),"")</f>
        <v>TEC-TAC</v>
      </c>
      <c r="I2163" s="46">
        <f>IF(INPUT!P2158="","",INPUT!P2158)</f>
        <v>90.1</v>
      </c>
      <c r="J2163" s="46">
        <f>IF(INPUT!Q2158="","",INPUT!Q2158)</f>
        <v>90.1</v>
      </c>
      <c r="K2163" s="46">
        <f>IFERROR(IF(OR(INPUT!P2158="",INPUT!Q2158=""),"",INPUT!P2158-INPUT!Q2158),"")</f>
        <v>0</v>
      </c>
      <c r="L2163" s="48">
        <f>IFERROR(IF(OR(INPUT!P2158="",INPUT!Q2158="",INPUT!P2158=0),"",(INPUT!P2158-INPUT!Q2158)/INPUT!P2158),"")</f>
        <v>0</v>
      </c>
    </row>
    <row r="2164" spans="1:12" ht="18" customHeight="1" x14ac:dyDescent="0.2">
      <c r="A2164" s="11">
        <f>IF(INPUT!M2159="","",INPUT!M2159)</f>
        <v>46086</v>
      </c>
      <c r="B2164" s="11">
        <f>IF(INPUT!M2159="","",INPUT!M2159-WEEKDAY(INPUT!M2159,2)+1)</f>
        <v>46083</v>
      </c>
      <c r="C2164" s="20">
        <f>IFERROR(_xlfn.ISOWEEKNUM(INPUT!M2159),"")</f>
        <v>10</v>
      </c>
      <c r="D2164" s="20">
        <f>IFERROR(YEAR(INPUT!M2159),"")</f>
        <v>2026</v>
      </c>
      <c r="E2164" t="str">
        <f>IF(INPUT!O2159="","",INPUT!O2159)</f>
        <v>HERRERO</v>
      </c>
      <c r="F2164" t="str">
        <f>IF(INPUT!N2159="","",INPUT!N2159)</f>
        <v>M</v>
      </c>
      <c r="G2164" t="str" cm="1">
        <f t="array" ref="G2164">IFERROR(VLOOKUP(INPUT!M2159&amp;INPUT!N2159,CHOOSE({1,2},INPUT!$A$3:$A$5000&amp;INPUT!$C$3:$C$5000,INPUT!$F$3:$F$5000),2,FALSE),"")</f>
        <v>PRE-TEMPORADA</v>
      </c>
      <c r="H2164" t="str" cm="1">
        <f t="array" ref="H2164">IFERROR(VLOOKUP(INPUT!M2159&amp;INPUT!N2159,CHOOSE({1,2},INPUT!$A$3:$A$5000&amp;INPUT!$C$3:$C$5000,INPUT!$D$3:$D$5000),2,FALSE),"")</f>
        <v>TEC-TAC</v>
      </c>
      <c r="I2164" s="46">
        <f>IF(INPUT!P2159="","",INPUT!P2159)</f>
        <v>76.900000000000006</v>
      </c>
      <c r="J2164" s="46">
        <f>IF(INPUT!Q2159="","",INPUT!Q2159)</f>
        <v>76</v>
      </c>
      <c r="K2164" s="46">
        <f>IFERROR(IF(OR(INPUT!P2159="",INPUT!Q2159=""),"",INPUT!P2159-INPUT!Q2159),"")</f>
        <v>0.90000000000000568</v>
      </c>
      <c r="L2164" s="48">
        <f>IFERROR(IF(OR(INPUT!P2159="",INPUT!Q2159="",INPUT!P2159=0),"",(INPUT!P2159-INPUT!Q2159)/INPUT!P2159),"")</f>
        <v>1.1703511053316068E-2</v>
      </c>
    </row>
    <row r="2165" spans="1:12" ht="18" customHeight="1" x14ac:dyDescent="0.2">
      <c r="A2165" s="11">
        <f>IF(INPUT!M2160="","",INPUT!M2160)</f>
        <v>46086</v>
      </c>
      <c r="B2165" s="11">
        <f>IF(INPUT!M2160="","",INPUT!M2160-WEEKDAY(INPUT!M2160,2)+1)</f>
        <v>46083</v>
      </c>
      <c r="C2165" s="20">
        <f>IFERROR(_xlfn.ISOWEEKNUM(INPUT!M2160),"")</f>
        <v>10</v>
      </c>
      <c r="D2165" s="20">
        <f>IFERROR(YEAR(INPUT!M2160),"")</f>
        <v>2026</v>
      </c>
      <c r="E2165" t="str">
        <f>IF(INPUT!O2160="","",INPUT!O2160)</f>
        <v>GARCIA</v>
      </c>
      <c r="F2165" t="str">
        <f>IF(INPUT!N2160="","",INPUT!N2160)</f>
        <v>M</v>
      </c>
      <c r="G2165" t="str" cm="1">
        <f t="array" ref="G2165">IFERROR(VLOOKUP(INPUT!M2160&amp;INPUT!N2160,CHOOSE({1,2},INPUT!$A$3:$A$5000&amp;INPUT!$C$3:$C$5000,INPUT!$F$3:$F$5000),2,FALSE),"")</f>
        <v>PRE-TEMPORADA</v>
      </c>
      <c r="H2165" t="str" cm="1">
        <f t="array" ref="H2165">IFERROR(VLOOKUP(INPUT!M2160&amp;INPUT!N2160,CHOOSE({1,2},INPUT!$A$3:$A$5000&amp;INPUT!$C$3:$C$5000,INPUT!$D$3:$D$5000),2,FALSE),"")</f>
        <v>TEC-TAC</v>
      </c>
      <c r="I2165" s="46">
        <f>IF(INPUT!P2160="","",INPUT!P2160)</f>
        <v>79</v>
      </c>
      <c r="J2165" s="46">
        <f>IF(INPUT!Q2160="","",INPUT!Q2160)</f>
        <v>79</v>
      </c>
      <c r="K2165" s="46">
        <f>IFERROR(IF(OR(INPUT!P2160="",INPUT!Q2160=""),"",INPUT!P2160-INPUT!Q2160),"")</f>
        <v>0</v>
      </c>
      <c r="L2165" s="48">
        <f>IFERROR(IF(OR(INPUT!P2160="",INPUT!Q2160="",INPUT!P2160=0),"",(INPUT!P2160-INPUT!Q2160)/INPUT!P2160),"")</f>
        <v>0</v>
      </c>
    </row>
    <row r="2166" spans="1:12" ht="18" customHeight="1" x14ac:dyDescent="0.2">
      <c r="A2166" s="11">
        <f>IF(INPUT!M2161="","",INPUT!M2161)</f>
        <v>46086</v>
      </c>
      <c r="B2166" s="11">
        <f>IF(INPUT!M2161="","",INPUT!M2161-WEEKDAY(INPUT!M2161,2)+1)</f>
        <v>46083</v>
      </c>
      <c r="C2166" s="20">
        <f>IFERROR(_xlfn.ISOWEEKNUM(INPUT!M2161),"")</f>
        <v>10</v>
      </c>
      <c r="D2166" s="20">
        <f>IFERROR(YEAR(INPUT!M2161),"")</f>
        <v>2026</v>
      </c>
      <c r="E2166" t="str">
        <f>IF(INPUT!O2161="","",INPUT!O2161)</f>
        <v>CECILIO</v>
      </c>
      <c r="F2166" t="str">
        <f>IF(INPUT!N2161="","",INPUT!N2161)</f>
        <v>M</v>
      </c>
      <c r="G2166" t="str" cm="1">
        <f t="array" ref="G2166">IFERROR(VLOOKUP(INPUT!M2161&amp;INPUT!N2161,CHOOSE({1,2},INPUT!$A$3:$A$5000&amp;INPUT!$C$3:$C$5000,INPUT!$F$3:$F$5000),2,FALSE),"")</f>
        <v>PRE-TEMPORADA</v>
      </c>
      <c r="H2166" t="str" cm="1">
        <f t="array" ref="H2166">IFERROR(VLOOKUP(INPUT!M2161&amp;INPUT!N2161,CHOOSE({1,2},INPUT!$A$3:$A$5000&amp;INPUT!$C$3:$C$5000,INPUT!$D$3:$D$5000),2,FALSE),"")</f>
        <v>TEC-TAC</v>
      </c>
      <c r="I2166" s="46">
        <f>IF(INPUT!P2161="","",INPUT!P2161)</f>
        <v>67</v>
      </c>
      <c r="J2166" s="46">
        <f>IF(INPUT!Q2161="","",INPUT!Q2161)</f>
        <v>67</v>
      </c>
      <c r="K2166" s="46">
        <f>IFERROR(IF(OR(INPUT!P2161="",INPUT!Q2161=""),"",INPUT!P2161-INPUT!Q2161),"")</f>
        <v>0</v>
      </c>
      <c r="L2166" s="48">
        <f>IFERROR(IF(OR(INPUT!P2161="",INPUT!Q2161="",INPUT!P2161=0),"",(INPUT!P2161-INPUT!Q2161)/INPUT!P2161),"")</f>
        <v>0</v>
      </c>
    </row>
    <row r="2167" spans="1:12" ht="18" hidden="1" customHeight="1" x14ac:dyDescent="0.2">
      <c r="A2167" s="11">
        <f>IF(INPUT!M2162="","",INPUT!M2162)</f>
        <v>46086</v>
      </c>
      <c r="B2167" s="11">
        <f>IF(INPUT!M2162="","",INPUT!M2162-WEEKDAY(INPUT!M2162,2)+1)</f>
        <v>46083</v>
      </c>
      <c r="C2167" s="20">
        <f>IFERROR(_xlfn.ISOWEEKNUM(INPUT!M2162),"")</f>
        <v>10</v>
      </c>
      <c r="D2167" s="20">
        <f>IFERROR(YEAR(INPUT!M2162),"")</f>
        <v>2026</v>
      </c>
      <c r="E2167" t="str">
        <f>IF(INPUT!O2162="","",INPUT!O2162)</f>
        <v>CHAGUINHA</v>
      </c>
      <c r="F2167" t="str">
        <f>IF(INPUT!N2162="","",INPUT!N2162)</f>
        <v>M</v>
      </c>
      <c r="G2167" t="str" cm="1">
        <f t="array" ref="G2167">IFERROR(VLOOKUP(INPUT!M2162&amp;INPUT!N2162,CHOOSE({1,2},INPUT!$A$3:$A$5000&amp;INPUT!$C$3:$C$5000,INPUT!$F$3:$F$5000),2,FALSE),"")</f>
        <v>PRE-TEMPORADA</v>
      </c>
      <c r="H2167" t="str" cm="1">
        <f t="array" ref="H2167">IFERROR(VLOOKUP(INPUT!M2162&amp;INPUT!N2162,CHOOSE({1,2},INPUT!$A$3:$A$5000&amp;INPUT!$C$3:$C$5000,INPUT!$D$3:$D$5000),2,FALSE),"")</f>
        <v>TEC-TAC</v>
      </c>
      <c r="I2167" s="46">
        <f>IF(INPUT!P2162="","",INPUT!P2162)</f>
        <v>69</v>
      </c>
      <c r="J2167" s="46">
        <f>IF(INPUT!Q2162="","",INPUT!Q2162)</f>
        <v>68.5</v>
      </c>
      <c r="K2167" s="46">
        <f>IFERROR(IF(OR(INPUT!P2162="",INPUT!Q2162=""),"",INPUT!P2162-INPUT!Q2162),"")</f>
        <v>0.5</v>
      </c>
      <c r="L2167" s="48">
        <f>IFERROR(IF(OR(INPUT!P2162="",INPUT!Q2162="",INPUT!P2162=0),"",(INPUT!P2162-INPUT!Q2162)/INPUT!P2162),"")</f>
        <v>7.246376811594203E-3</v>
      </c>
    </row>
    <row r="2168" spans="1:12" ht="18" hidden="1" customHeight="1" x14ac:dyDescent="0.2">
      <c r="A2168" s="11">
        <f>IF(INPUT!M2163="","",INPUT!M2163)</f>
        <v>46086</v>
      </c>
      <c r="B2168" s="11">
        <f>IF(INPUT!M2163="","",INPUT!M2163-WEEKDAY(INPUT!M2163,2)+1)</f>
        <v>46083</v>
      </c>
      <c r="C2168" s="20">
        <f>IFERROR(_xlfn.ISOWEEKNUM(INPUT!M2163),"")</f>
        <v>10</v>
      </c>
      <c r="D2168" s="20">
        <f>IFERROR(YEAR(INPUT!M2163),"")</f>
        <v>2026</v>
      </c>
      <c r="E2168" t="str">
        <f>IF(INPUT!O2163="","",INPUT!O2163)</f>
        <v>RAUL</v>
      </c>
      <c r="F2168" t="str">
        <f>IF(INPUT!N2163="","",INPUT!N2163)</f>
        <v>M</v>
      </c>
      <c r="G2168" t="str" cm="1">
        <f t="array" ref="G2168">IFERROR(VLOOKUP(INPUT!M2163&amp;INPUT!N2163,CHOOSE({1,2},INPUT!$A$3:$A$5000&amp;INPUT!$C$3:$C$5000,INPUT!$F$3:$F$5000),2,FALSE),"")</f>
        <v>PRE-TEMPORADA</v>
      </c>
      <c r="H2168" t="str" cm="1">
        <f t="array" ref="H2168">IFERROR(VLOOKUP(INPUT!M2163&amp;INPUT!N2163,CHOOSE({1,2},INPUT!$A$3:$A$5000&amp;INPUT!$C$3:$C$5000,INPUT!$D$3:$D$5000),2,FALSE),"")</f>
        <v>TEC-TAC</v>
      </c>
      <c r="I2168" s="46">
        <f>IF(INPUT!P2163="","",INPUT!P2163)</f>
        <v>81.900000000000006</v>
      </c>
      <c r="J2168" s="46">
        <f>IF(INPUT!Q2163="","",INPUT!Q2163)</f>
        <v>82</v>
      </c>
      <c r="K2168" s="46">
        <f>IFERROR(IF(OR(INPUT!P2163="",INPUT!Q2163=""),"",INPUT!P2163-INPUT!Q2163),"")</f>
        <v>-9.9999999999994316E-2</v>
      </c>
      <c r="L2168" s="48">
        <f>IFERROR(IF(OR(INPUT!P2163="",INPUT!Q2163="",INPUT!P2163=0),"",(INPUT!P2163-INPUT!Q2163)/INPUT!P2163),"")</f>
        <v>-1.2210012210011516E-3</v>
      </c>
    </row>
    <row r="2169" spans="1:12" ht="18" hidden="1" customHeight="1" x14ac:dyDescent="0.2">
      <c r="A2169" s="11">
        <f>IF(INPUT!M2164="","",INPUT!M2164)</f>
        <v>46086</v>
      </c>
      <c r="B2169" s="11">
        <f>IF(INPUT!M2164="","",INPUT!M2164-WEEKDAY(INPUT!M2164,2)+1)</f>
        <v>46083</v>
      </c>
      <c r="C2169" s="20">
        <f>IFERROR(_xlfn.ISOWEEKNUM(INPUT!M2164),"")</f>
        <v>10</v>
      </c>
      <c r="D2169" s="20">
        <f>IFERROR(YEAR(INPUT!M2164),"")</f>
        <v>2026</v>
      </c>
      <c r="E2169" t="str">
        <f>IF(INPUT!O2164="","",INPUT!O2164)</f>
        <v>HARRISON</v>
      </c>
      <c r="F2169" t="str">
        <f>IF(INPUT!N2164="","",INPUT!N2164)</f>
        <v>M</v>
      </c>
      <c r="G2169" t="str" cm="1">
        <f t="array" ref="G2169">IFERROR(VLOOKUP(INPUT!M2164&amp;INPUT!N2164,CHOOSE({1,2},INPUT!$A$3:$A$5000&amp;INPUT!$C$3:$C$5000,INPUT!$F$3:$F$5000),2,FALSE),"")</f>
        <v>PRE-TEMPORADA</v>
      </c>
      <c r="H2169" t="str" cm="1">
        <f t="array" ref="H2169">IFERROR(VLOOKUP(INPUT!M2164&amp;INPUT!N2164,CHOOSE({1,2},INPUT!$A$3:$A$5000&amp;INPUT!$C$3:$C$5000,INPUT!$D$3:$D$5000),2,FALSE),"")</f>
        <v>TEC-TAC</v>
      </c>
      <c r="I2169" s="46">
        <f>IF(INPUT!P2164="","",INPUT!P2164)</f>
        <v>71.599999999999994</v>
      </c>
      <c r="J2169" s="46">
        <f>IF(INPUT!Q2164="","",INPUT!Q2164)</f>
        <v>71.3</v>
      </c>
      <c r="K2169" s="46">
        <f>IFERROR(IF(OR(INPUT!P2164="",INPUT!Q2164=""),"",INPUT!P2164-INPUT!Q2164),"")</f>
        <v>0.29999999999999716</v>
      </c>
      <c r="L2169" s="48">
        <f>IFERROR(IF(OR(INPUT!P2164="",INPUT!Q2164="",INPUT!P2164=0),"",(INPUT!P2164-INPUT!Q2164)/INPUT!P2164),"")</f>
        <v>4.1899441340781732E-3</v>
      </c>
    </row>
    <row r="2170" spans="1:12" ht="18" hidden="1" customHeight="1" x14ac:dyDescent="0.2">
      <c r="A2170" s="11">
        <f>IF(INPUT!M2165="","",INPUT!M2165)</f>
        <v>46086</v>
      </c>
      <c r="B2170" s="11">
        <f>IF(INPUT!M2165="","",INPUT!M2165-WEEKDAY(INPUT!M2165,2)+1)</f>
        <v>46083</v>
      </c>
      <c r="C2170" s="20">
        <f>IFERROR(_xlfn.ISOWEEKNUM(INPUT!M2165),"")</f>
        <v>10</v>
      </c>
      <c r="D2170" s="20">
        <f>IFERROR(YEAR(INPUT!M2165),"")</f>
        <v>2026</v>
      </c>
      <c r="E2170" t="str">
        <f>IF(INPUT!O2165="","",INPUT!O2165)</f>
        <v>RAYA</v>
      </c>
      <c r="F2170" t="str">
        <f>IF(INPUT!N2165="","",INPUT!N2165)</f>
        <v>M</v>
      </c>
      <c r="G2170" t="str" cm="1">
        <f t="array" ref="G2170">IFERROR(VLOOKUP(INPUT!M2165&amp;INPUT!N2165,CHOOSE({1,2},INPUT!$A$3:$A$5000&amp;INPUT!$C$3:$C$5000,INPUT!$F$3:$F$5000),2,FALSE),"")</f>
        <v>PRE-TEMPORADA</v>
      </c>
      <c r="H2170" t="str" cm="1">
        <f t="array" ref="H2170">IFERROR(VLOOKUP(INPUT!M2165&amp;INPUT!N2165,CHOOSE({1,2},INPUT!$A$3:$A$5000&amp;INPUT!$C$3:$C$5000,INPUT!$D$3:$D$5000),2,FALSE),"")</f>
        <v>TEC-TAC</v>
      </c>
      <c r="I2170" s="46">
        <f>IF(INPUT!P2165="","",INPUT!P2165)</f>
        <v>80.8</v>
      </c>
      <c r="J2170" s="46">
        <f>IF(INPUT!Q2165="","",INPUT!Q2165)</f>
        <v>79.7</v>
      </c>
      <c r="K2170" s="46">
        <f>IFERROR(IF(OR(INPUT!P2165="",INPUT!Q2165=""),"",INPUT!P2165-INPUT!Q2165),"")</f>
        <v>1.0999999999999943</v>
      </c>
      <c r="L2170" s="48">
        <f>IFERROR(IF(OR(INPUT!P2165="",INPUT!Q2165="",INPUT!P2165=0),"",(INPUT!P2165-INPUT!Q2165)/INPUT!P2165),"")</f>
        <v>1.3613861386138544E-2</v>
      </c>
    </row>
    <row r="2171" spans="1:12" ht="18" hidden="1" customHeight="1" x14ac:dyDescent="0.2">
      <c r="A2171" s="11">
        <f>IF(INPUT!M2166="","",INPUT!M2166)</f>
        <v>46086</v>
      </c>
      <c r="B2171" s="11">
        <f>IF(INPUT!M2166="","",INPUT!M2166-WEEKDAY(INPUT!M2166,2)+1)</f>
        <v>46083</v>
      </c>
      <c r="C2171" s="20">
        <f>IFERROR(_xlfn.ISOWEEKNUM(INPUT!M2166),"")</f>
        <v>10</v>
      </c>
      <c r="D2171" s="20">
        <f>IFERROR(YEAR(INPUT!M2166),"")</f>
        <v>2026</v>
      </c>
      <c r="E2171" t="str">
        <f>IF(INPUT!O2166="","",INPUT!O2166)</f>
        <v>JAVI</v>
      </c>
      <c r="F2171" t="str">
        <f>IF(INPUT!N2166="","",INPUT!N2166)</f>
        <v>M</v>
      </c>
      <c r="G2171" t="str" cm="1">
        <f t="array" ref="G2171">IFERROR(VLOOKUP(INPUT!M2166&amp;INPUT!N2166,CHOOSE({1,2},INPUT!$A$3:$A$5000&amp;INPUT!$C$3:$C$5000,INPUT!$F$3:$F$5000),2,FALSE),"")</f>
        <v>PRE-TEMPORADA</v>
      </c>
      <c r="H2171" t="str" cm="1">
        <f t="array" ref="H2171">IFERROR(VLOOKUP(INPUT!M2166&amp;INPUT!N2166,CHOOSE({1,2},INPUT!$A$3:$A$5000&amp;INPUT!$C$3:$C$5000,INPUT!$D$3:$D$5000),2,FALSE),"")</f>
        <v>TEC-TAC</v>
      </c>
      <c r="I2171" s="46">
        <f>IF(INPUT!P2166="","",INPUT!P2166)</f>
        <v>79.2</v>
      </c>
      <c r="J2171" s="46">
        <f>IF(INPUT!Q2166="","",INPUT!Q2166)</f>
        <v>78.900000000000006</v>
      </c>
      <c r="K2171" s="46">
        <f>IFERROR(IF(OR(INPUT!P2166="",INPUT!Q2166=""),"",INPUT!P2166-INPUT!Q2166),"")</f>
        <v>0.29999999999999716</v>
      </c>
      <c r="L2171" s="48">
        <f>IFERROR(IF(OR(INPUT!P2166="",INPUT!Q2166="",INPUT!P2166=0),"",(INPUT!P2166-INPUT!Q2166)/INPUT!P2166),"")</f>
        <v>3.787878787878752E-3</v>
      </c>
    </row>
    <row r="2172" spans="1:12" ht="18" hidden="1" customHeight="1" x14ac:dyDescent="0.2">
      <c r="A2172" s="11">
        <f>IF(INPUT!M2167="","",INPUT!M2167)</f>
        <v>46086</v>
      </c>
      <c r="B2172" s="11">
        <f>IF(INPUT!M2167="","",INPUT!M2167-WEEKDAY(INPUT!M2167,2)+1)</f>
        <v>46083</v>
      </c>
      <c r="C2172" s="20">
        <f>IFERROR(_xlfn.ISOWEEKNUM(INPUT!M2167),"")</f>
        <v>10</v>
      </c>
      <c r="D2172" s="20">
        <f>IFERROR(YEAR(INPUT!M2167),"")</f>
        <v>2026</v>
      </c>
      <c r="E2172" t="str">
        <f>IF(INPUT!O2167="","",INPUT!O2167)</f>
        <v>PANI</v>
      </c>
      <c r="F2172" t="str">
        <f>IF(INPUT!N2167="","",INPUT!N2167)</f>
        <v>M</v>
      </c>
      <c r="G2172" t="str" cm="1">
        <f t="array" ref="G2172">IFERROR(VLOOKUP(INPUT!M2167&amp;INPUT!N2167,CHOOSE({1,2},INPUT!$A$3:$A$5000&amp;INPUT!$C$3:$C$5000,INPUT!$F$3:$F$5000),2,FALSE),"")</f>
        <v>PRE-TEMPORADA</v>
      </c>
      <c r="H2172" t="str" cm="1">
        <f t="array" ref="H2172">IFERROR(VLOOKUP(INPUT!M2167&amp;INPUT!N2167,CHOOSE({1,2},INPUT!$A$3:$A$5000&amp;INPUT!$C$3:$C$5000,INPUT!$D$3:$D$5000),2,FALSE),"")</f>
        <v>TEC-TAC</v>
      </c>
      <c r="I2172" s="46">
        <f>IF(INPUT!P2167="","",INPUT!P2167)</f>
        <v>66.5</v>
      </c>
      <c r="J2172" s="46">
        <f>IF(INPUT!Q2167="","",INPUT!Q2167)</f>
        <v>65.900000000000006</v>
      </c>
      <c r="K2172" s="46">
        <f>IFERROR(IF(OR(INPUT!P2167="",INPUT!Q2167=""),"",INPUT!P2167-INPUT!Q2167),"")</f>
        <v>0.59999999999999432</v>
      </c>
      <c r="L2172" s="48">
        <f>IFERROR(IF(OR(INPUT!P2167="",INPUT!Q2167="",INPUT!P2167=0),"",(INPUT!P2167-INPUT!Q2167)/INPUT!P2167),"")</f>
        <v>9.0225563909773574E-3</v>
      </c>
    </row>
    <row r="2173" spans="1:12" ht="18" hidden="1" customHeight="1" x14ac:dyDescent="0.2">
      <c r="A2173" s="11">
        <f>IF(INPUT!M2168="","",INPUT!M2168)</f>
        <v>46086</v>
      </c>
      <c r="B2173" s="11">
        <f>IF(INPUT!M2168="","",INPUT!M2168-WEEKDAY(INPUT!M2168,2)+1)</f>
        <v>46083</v>
      </c>
      <c r="C2173" s="20">
        <f>IFERROR(_xlfn.ISOWEEKNUM(INPUT!M2168),"")</f>
        <v>10</v>
      </c>
      <c r="D2173" s="20">
        <f>IFERROR(YEAR(INPUT!M2168),"")</f>
        <v>2026</v>
      </c>
      <c r="E2173" t="str">
        <f>IF(INPUT!O2168="","",INPUT!O2168)</f>
        <v>PIRATA</v>
      </c>
      <c r="F2173" t="str">
        <f>IF(INPUT!N2168="","",INPUT!N2168)</f>
        <v>M</v>
      </c>
      <c r="G2173" t="str" cm="1">
        <f t="array" ref="G2173">IFERROR(VLOOKUP(INPUT!M2168&amp;INPUT!N2168,CHOOSE({1,2},INPUT!$A$3:$A$5000&amp;INPUT!$C$3:$C$5000,INPUT!$F$3:$F$5000),2,FALSE),"")</f>
        <v>PRE-TEMPORADA</v>
      </c>
      <c r="H2173" t="str" cm="1">
        <f t="array" ref="H2173">IFERROR(VLOOKUP(INPUT!M2168&amp;INPUT!N2168,CHOOSE({1,2},INPUT!$A$3:$A$5000&amp;INPUT!$C$3:$C$5000,INPUT!$D$3:$D$5000),2,FALSE),"")</f>
        <v>TEC-TAC</v>
      </c>
      <c r="I2173" s="46">
        <f>IF(INPUT!P2168="","",INPUT!P2168)</f>
        <v>74.599999999999994</v>
      </c>
      <c r="J2173" s="46">
        <f>IF(INPUT!Q2168="","",INPUT!Q2168)</f>
        <v>74</v>
      </c>
      <c r="K2173" s="46">
        <f>IFERROR(IF(OR(INPUT!P2168="",INPUT!Q2168=""),"",INPUT!P2168-INPUT!Q2168),"")</f>
        <v>0.59999999999999432</v>
      </c>
      <c r="L2173" s="48">
        <f>IFERROR(IF(OR(INPUT!P2168="",INPUT!Q2168="",INPUT!P2168=0),"",(INPUT!P2168-INPUT!Q2168)/INPUT!P2168),"")</f>
        <v>8.0428954423591732E-3</v>
      </c>
    </row>
    <row r="2174" spans="1:12" ht="18" hidden="1" customHeight="1" x14ac:dyDescent="0.2">
      <c r="A2174" s="11">
        <f>IF(INPUT!M2169="","",INPUT!M2169)</f>
        <v>46086</v>
      </c>
      <c r="B2174" s="11">
        <f>IF(INPUT!M2169="","",INPUT!M2169-WEEKDAY(INPUT!M2169,2)+1)</f>
        <v>46083</v>
      </c>
      <c r="C2174" s="20">
        <f>IFERROR(_xlfn.ISOWEEKNUM(INPUT!M2169),"")</f>
        <v>10</v>
      </c>
      <c r="D2174" s="20">
        <f>IFERROR(YEAR(INPUT!M2169),"")</f>
        <v>2026</v>
      </c>
      <c r="E2174" t="str">
        <f>IF(INPUT!O2169="","",INPUT!O2169)</f>
        <v>BARONA</v>
      </c>
      <c r="F2174" t="str">
        <f>IF(INPUT!N2169="","",INPUT!N2169)</f>
        <v>M</v>
      </c>
      <c r="G2174" t="str" cm="1">
        <f t="array" ref="G2174">IFERROR(VLOOKUP(INPUT!M2169&amp;INPUT!N2169,CHOOSE({1,2},INPUT!$A$3:$A$5000&amp;INPUT!$C$3:$C$5000,INPUT!$F$3:$F$5000),2,FALSE),"")</f>
        <v>PRE-TEMPORADA</v>
      </c>
      <c r="H2174" t="str" cm="1">
        <f t="array" ref="H2174">IFERROR(VLOOKUP(INPUT!M2169&amp;INPUT!N2169,CHOOSE({1,2},INPUT!$A$3:$A$5000&amp;INPUT!$C$3:$C$5000,INPUT!$D$3:$D$5000),2,FALSE),"")</f>
        <v>TEC-TAC</v>
      </c>
      <c r="I2174" s="46">
        <f>IF(INPUT!P2169="","",INPUT!P2169)</f>
        <v>71.2</v>
      </c>
      <c r="J2174" s="46">
        <f>IF(INPUT!Q2169="","",INPUT!Q2169)</f>
        <v>71</v>
      </c>
      <c r="K2174" s="46">
        <f>IFERROR(IF(OR(INPUT!P2169="",INPUT!Q2169=""),"",INPUT!P2169-INPUT!Q2169),"")</f>
        <v>0.20000000000000284</v>
      </c>
      <c r="L2174" s="48">
        <f>IFERROR(IF(OR(INPUT!P2169="",INPUT!Q2169="",INPUT!P2169=0),"",(INPUT!P2169-INPUT!Q2169)/INPUT!P2169),"")</f>
        <v>2.8089887640449836E-3</v>
      </c>
    </row>
    <row r="2175" spans="1:12" ht="18" hidden="1" customHeight="1" x14ac:dyDescent="0.2">
      <c r="A2175" s="11">
        <f>IF(INPUT!M2170="","",INPUT!M2170)</f>
        <v>46086</v>
      </c>
      <c r="B2175" s="11">
        <f>IF(INPUT!M2170="","",INPUT!M2170-WEEKDAY(INPUT!M2170,2)+1)</f>
        <v>46083</v>
      </c>
      <c r="C2175" s="20">
        <f>IFERROR(_xlfn.ISOWEEKNUM(INPUT!M2170),"")</f>
        <v>10</v>
      </c>
      <c r="D2175" s="20">
        <f>IFERROR(YEAR(INPUT!M2170),"")</f>
        <v>2026</v>
      </c>
      <c r="E2175" t="str">
        <f>IF(INPUT!O2170="","",INPUT!O2170)</f>
        <v>CARLOS</v>
      </c>
      <c r="F2175" t="str">
        <f>IF(INPUT!N2170="","",INPUT!N2170)</f>
        <v>M</v>
      </c>
      <c r="G2175" t="str" cm="1">
        <f t="array" ref="G2175">IFERROR(VLOOKUP(INPUT!M2170&amp;INPUT!N2170,CHOOSE({1,2},INPUT!$A$3:$A$5000&amp;INPUT!$C$3:$C$5000,INPUT!$F$3:$F$5000),2,FALSE),"")</f>
        <v>PRE-TEMPORADA</v>
      </c>
      <c r="H2175" t="str" cm="1">
        <f t="array" ref="H2175">IFERROR(VLOOKUP(INPUT!M2170&amp;INPUT!N2170,CHOOSE({1,2},INPUT!$A$3:$A$5000&amp;INPUT!$C$3:$C$5000,INPUT!$D$3:$D$5000),2,FALSE),"")</f>
        <v>TEC-TAC</v>
      </c>
      <c r="I2175" s="46">
        <f>IF(INPUT!P2170="","",INPUT!P2170)</f>
        <v>67.7</v>
      </c>
      <c r="J2175" s="46">
        <f>IF(INPUT!Q2170="","",INPUT!Q2170)</f>
        <v>67.400000000000006</v>
      </c>
      <c r="K2175" s="46">
        <f>IFERROR(IF(OR(INPUT!P2170="",INPUT!Q2170=""),"",INPUT!P2170-INPUT!Q2170),"")</f>
        <v>0.29999999999999716</v>
      </c>
      <c r="L2175" s="48">
        <f>IFERROR(IF(OR(INPUT!P2170="",INPUT!Q2170="",INPUT!P2170=0),"",(INPUT!P2170-INPUT!Q2170)/INPUT!P2170),"")</f>
        <v>4.4313146233382148E-3</v>
      </c>
    </row>
    <row r="2176" spans="1:12" ht="18" customHeight="1" x14ac:dyDescent="0.2">
      <c r="A2176" s="11">
        <f>IF(INPUT!M2171="","",INPUT!M2171)</f>
        <v>46086</v>
      </c>
      <c r="B2176" s="11">
        <f>IF(INPUT!M2171="","",INPUT!M2171-WEEKDAY(INPUT!M2171,2)+1)</f>
        <v>46083</v>
      </c>
      <c r="C2176" s="20">
        <f>IFERROR(_xlfn.ISOWEEKNUM(INPUT!M2171),"")</f>
        <v>10</v>
      </c>
      <c r="D2176" s="20">
        <f>IFERROR(YEAR(INPUT!M2171),"")</f>
        <v>2026</v>
      </c>
      <c r="E2176" t="str">
        <f>IF(INPUT!O2171="","",INPUT!O2171)</f>
        <v>DANI</v>
      </c>
      <c r="F2176" t="str">
        <f>IF(INPUT!N2171="","",INPUT!N2171)</f>
        <v>M</v>
      </c>
      <c r="G2176" t="str" cm="1">
        <f t="array" ref="G2176">IFERROR(VLOOKUP(INPUT!M2171&amp;INPUT!N2171,CHOOSE({1,2},INPUT!$A$3:$A$5000&amp;INPUT!$C$3:$C$5000,INPUT!$F$3:$F$5000),2,FALSE),"")</f>
        <v>PRE-TEMPORADA</v>
      </c>
      <c r="H2176" t="str" cm="1">
        <f t="array" ref="H2176">IFERROR(VLOOKUP(INPUT!M2171&amp;INPUT!N2171,CHOOSE({1,2},INPUT!$A$3:$A$5000&amp;INPUT!$C$3:$C$5000,INPUT!$D$3:$D$5000),2,FALSE),"")</f>
        <v>TEC-TAC</v>
      </c>
      <c r="I2176" s="46">
        <f>IF(INPUT!P2171="","",INPUT!P2171)</f>
        <v>90.3</v>
      </c>
      <c r="J2176" s="46">
        <f>IF(INPUT!Q2171="","",INPUT!Q2171)</f>
        <v>90</v>
      </c>
      <c r="K2176" s="46">
        <f>IFERROR(IF(OR(INPUT!P2171="",INPUT!Q2171=""),"",INPUT!P2171-INPUT!Q2171),"")</f>
        <v>0.29999999999999716</v>
      </c>
      <c r="L2176" s="48">
        <f>IFERROR(IF(OR(INPUT!P2171="",INPUT!Q2171="",INPUT!P2171=0),"",(INPUT!P2171-INPUT!Q2171)/INPUT!P2171),"")</f>
        <v>3.322259136212593E-3</v>
      </c>
    </row>
    <row r="2177" spans="1:12" ht="18" hidden="1" customHeight="1" x14ac:dyDescent="0.2">
      <c r="A2177" s="11">
        <f>IF(INPUT!M2172="","",INPUT!M2172)</f>
        <v>46090</v>
      </c>
      <c r="B2177" s="11">
        <f>IF(INPUT!M2172="","",INPUT!M2172-WEEKDAY(INPUT!M2172,2)+1)</f>
        <v>46090</v>
      </c>
      <c r="C2177" s="20">
        <f>IFERROR(_xlfn.ISOWEEKNUM(INPUT!M2172),"")</f>
        <v>11</v>
      </c>
      <c r="D2177" s="20">
        <f>IFERROR(YEAR(INPUT!M2172),"")</f>
        <v>2026</v>
      </c>
      <c r="E2177" t="str">
        <f>IF(INPUT!O2172="","",INPUT!O2172)</f>
        <v>HERRERO</v>
      </c>
      <c r="F2177" t="str">
        <f>IF(INPUT!N2172="","",INPUT!N2172)</f>
        <v>M</v>
      </c>
      <c r="G2177" t="str" cm="1">
        <f t="array" ref="G2177">IFERROR(VLOOKUP(INPUT!M2172&amp;INPUT!N2172,CHOOSE({1,2},INPUT!$A$3:$A$5000&amp;INPUT!$C$3:$C$5000,INPUT!$F$3:$F$5000),2,FALSE),"")</f>
        <v>PRE-TEMPORADA</v>
      </c>
      <c r="H2177" t="str" cm="1">
        <f t="array" ref="H2177">IFERROR(VLOOKUP(INPUT!M2172&amp;INPUT!N2172,CHOOSE({1,2},INPUT!$A$3:$A$5000&amp;INPUT!$C$3:$C$5000,INPUT!$D$3:$D$5000),2,FALSE),"")</f>
        <v>GYM+TEC-TAC</v>
      </c>
      <c r="I2177" s="46">
        <f>IF(INPUT!P2172="","",INPUT!P2172)</f>
        <v>77</v>
      </c>
      <c r="J2177" s="46">
        <f>IF(INPUT!Q2172="","",INPUT!Q2172)</f>
        <v>76.099999999999994</v>
      </c>
      <c r="K2177" s="46">
        <f>IFERROR(IF(OR(INPUT!P2172="",INPUT!Q2172=""),"",INPUT!P2172-INPUT!Q2172),"")</f>
        <v>0.90000000000000568</v>
      </c>
      <c r="L2177" s="48">
        <f>IFERROR(IF(OR(INPUT!P2172="",INPUT!Q2172="",INPUT!P2172=0),"",(INPUT!P2172-INPUT!Q2172)/INPUT!P2172),"")</f>
        <v>1.1688311688311762E-2</v>
      </c>
    </row>
    <row r="2178" spans="1:12" ht="18" hidden="1" customHeight="1" x14ac:dyDescent="0.2">
      <c r="A2178" s="11">
        <f>IF(INPUT!M2173="","",INPUT!M2173)</f>
        <v>46090</v>
      </c>
      <c r="B2178" s="11">
        <f>IF(INPUT!M2173="","",INPUT!M2173-WEEKDAY(INPUT!M2173,2)+1)</f>
        <v>46090</v>
      </c>
      <c r="C2178" s="20">
        <f>IFERROR(_xlfn.ISOWEEKNUM(INPUT!M2173),"")</f>
        <v>11</v>
      </c>
      <c r="D2178" s="20">
        <f>IFERROR(YEAR(INPUT!M2173),"")</f>
        <v>2026</v>
      </c>
      <c r="E2178" t="str">
        <f>IF(INPUT!O2173="","",INPUT!O2173)</f>
        <v>GARCIA</v>
      </c>
      <c r="F2178" t="str">
        <f>IF(INPUT!N2173="","",INPUT!N2173)</f>
        <v>M</v>
      </c>
      <c r="G2178" t="str" cm="1">
        <f t="array" ref="G2178">IFERROR(VLOOKUP(INPUT!M2173&amp;INPUT!N2173,CHOOSE({1,2},INPUT!$A$3:$A$5000&amp;INPUT!$C$3:$C$5000,INPUT!$F$3:$F$5000),2,FALSE),"")</f>
        <v>PRE-TEMPORADA</v>
      </c>
      <c r="H2178" t="str" cm="1">
        <f t="array" ref="H2178">IFERROR(VLOOKUP(INPUT!M2173&amp;INPUT!N2173,CHOOSE({1,2},INPUT!$A$3:$A$5000&amp;INPUT!$C$3:$C$5000,INPUT!$D$3:$D$5000),2,FALSE),"")</f>
        <v>GYM+TEC-TAC</v>
      </c>
      <c r="I2178" s="46">
        <f>IF(INPUT!P2173="","",INPUT!P2173)</f>
        <v>79.400000000000006</v>
      </c>
      <c r="J2178" s="46">
        <f>IF(INPUT!Q2173="","",INPUT!Q2173)</f>
        <v>79</v>
      </c>
      <c r="K2178" s="46">
        <f>IFERROR(IF(OR(INPUT!P2173="",INPUT!Q2173=""),"",INPUT!P2173-INPUT!Q2173),"")</f>
        <v>0.40000000000000568</v>
      </c>
      <c r="L2178" s="48">
        <f>IFERROR(IF(OR(INPUT!P2173="",INPUT!Q2173="",INPUT!P2173=0),"",(INPUT!P2173-INPUT!Q2173)/INPUT!P2173),"")</f>
        <v>5.0377833753149324E-3</v>
      </c>
    </row>
    <row r="2179" spans="1:12" ht="18" hidden="1" customHeight="1" x14ac:dyDescent="0.2">
      <c r="A2179" s="11">
        <f>IF(INPUT!M2174="","",INPUT!M2174)</f>
        <v>46090</v>
      </c>
      <c r="B2179" s="11">
        <f>IF(INPUT!M2174="","",INPUT!M2174-WEEKDAY(INPUT!M2174,2)+1)</f>
        <v>46090</v>
      </c>
      <c r="C2179" s="20">
        <f>IFERROR(_xlfn.ISOWEEKNUM(INPUT!M2174),"")</f>
        <v>11</v>
      </c>
      <c r="D2179" s="20">
        <f>IFERROR(YEAR(INPUT!M2174),"")</f>
        <v>2026</v>
      </c>
      <c r="E2179" t="str">
        <f>IF(INPUT!O2174="","",INPUT!O2174)</f>
        <v>CECILIO</v>
      </c>
      <c r="F2179" t="str">
        <f>IF(INPUT!N2174="","",INPUT!N2174)</f>
        <v>M</v>
      </c>
      <c r="G2179" t="str" cm="1">
        <f t="array" ref="G2179">IFERROR(VLOOKUP(INPUT!M2174&amp;INPUT!N2174,CHOOSE({1,2},INPUT!$A$3:$A$5000&amp;INPUT!$C$3:$C$5000,INPUT!$F$3:$F$5000),2,FALSE),"")</f>
        <v>PRE-TEMPORADA</v>
      </c>
      <c r="H2179" t="str" cm="1">
        <f t="array" ref="H2179">IFERROR(VLOOKUP(INPUT!M2174&amp;INPUT!N2174,CHOOSE({1,2},INPUT!$A$3:$A$5000&amp;INPUT!$C$3:$C$5000,INPUT!$D$3:$D$5000),2,FALSE),"")</f>
        <v>GYM+TEC-TAC</v>
      </c>
      <c r="I2179" s="46">
        <f>IF(INPUT!P2174="","",INPUT!P2174)</f>
        <v>67</v>
      </c>
      <c r="J2179" s="46">
        <f>IF(INPUT!Q2174="","",INPUT!Q2174)</f>
        <v>67.099999999999994</v>
      </c>
      <c r="K2179" s="46">
        <f>IFERROR(IF(OR(INPUT!P2174="",INPUT!Q2174=""),"",INPUT!P2174-INPUT!Q2174),"")</f>
        <v>-9.9999999999994316E-2</v>
      </c>
      <c r="L2179" s="48">
        <f>IFERROR(IF(OR(INPUT!P2174="",INPUT!Q2174="",INPUT!P2174=0),"",(INPUT!P2174-INPUT!Q2174)/INPUT!P2174),"")</f>
        <v>-1.4925373134327511E-3</v>
      </c>
    </row>
    <row r="2180" spans="1:12" ht="18" hidden="1" customHeight="1" x14ac:dyDescent="0.2">
      <c r="A2180" s="11">
        <f>IF(INPUT!M2175="","",INPUT!M2175)</f>
        <v>46090</v>
      </c>
      <c r="B2180" s="11">
        <f>IF(INPUT!M2175="","",INPUT!M2175-WEEKDAY(INPUT!M2175,2)+1)</f>
        <v>46090</v>
      </c>
      <c r="C2180" s="20">
        <f>IFERROR(_xlfn.ISOWEEKNUM(INPUT!M2175),"")</f>
        <v>11</v>
      </c>
      <c r="D2180" s="20">
        <f>IFERROR(YEAR(INPUT!M2175),"")</f>
        <v>2026</v>
      </c>
      <c r="E2180" t="str">
        <f>IF(INPUT!O2175="","",INPUT!O2175)</f>
        <v>CHAGUINHA</v>
      </c>
      <c r="F2180" t="str">
        <f>IF(INPUT!N2175="","",INPUT!N2175)</f>
        <v>M</v>
      </c>
      <c r="G2180" t="str" cm="1">
        <f t="array" ref="G2180">IFERROR(VLOOKUP(INPUT!M2175&amp;INPUT!N2175,CHOOSE({1,2},INPUT!$A$3:$A$5000&amp;INPUT!$C$3:$C$5000,INPUT!$F$3:$F$5000),2,FALSE),"")</f>
        <v>PRE-TEMPORADA</v>
      </c>
      <c r="H2180" t="str" cm="1">
        <f t="array" ref="H2180">IFERROR(VLOOKUP(INPUT!M2175&amp;INPUT!N2175,CHOOSE({1,2},INPUT!$A$3:$A$5000&amp;INPUT!$C$3:$C$5000,INPUT!$D$3:$D$5000),2,FALSE),"")</f>
        <v>GYM+TEC-TAC</v>
      </c>
      <c r="I2180" s="46">
        <f>IF(INPUT!P2175="","",INPUT!P2175)</f>
        <v>68.7</v>
      </c>
      <c r="J2180" s="46">
        <f>IF(INPUT!Q2175="","",INPUT!Q2175)</f>
        <v>68</v>
      </c>
      <c r="K2180" s="46">
        <f>IFERROR(IF(OR(INPUT!P2175="",INPUT!Q2175=""),"",INPUT!P2175-INPUT!Q2175),"")</f>
        <v>0.70000000000000284</v>
      </c>
      <c r="L2180" s="48">
        <f>IFERROR(IF(OR(INPUT!P2175="",INPUT!Q2175="",INPUT!P2175=0),"",(INPUT!P2175-INPUT!Q2175)/INPUT!P2175),"")</f>
        <v>1.0189228529839925E-2</v>
      </c>
    </row>
    <row r="2181" spans="1:12" ht="18" hidden="1" customHeight="1" x14ac:dyDescent="0.2">
      <c r="A2181" s="11">
        <f>IF(INPUT!M2176="","",INPUT!M2176)</f>
        <v>46090</v>
      </c>
      <c r="B2181" s="11">
        <f>IF(INPUT!M2176="","",INPUT!M2176-WEEKDAY(INPUT!M2176,2)+1)</f>
        <v>46090</v>
      </c>
      <c r="C2181" s="20">
        <f>IFERROR(_xlfn.ISOWEEKNUM(INPUT!M2176),"")</f>
        <v>11</v>
      </c>
      <c r="D2181" s="20">
        <f>IFERROR(YEAR(INPUT!M2176),"")</f>
        <v>2026</v>
      </c>
      <c r="E2181" t="str">
        <f>IF(INPUT!O2176="","",INPUT!O2176)</f>
        <v>RAUL</v>
      </c>
      <c r="F2181" t="str">
        <f>IF(INPUT!N2176="","",INPUT!N2176)</f>
        <v>M</v>
      </c>
      <c r="G2181" t="str" cm="1">
        <f t="array" ref="G2181">IFERROR(VLOOKUP(INPUT!M2176&amp;INPUT!N2176,CHOOSE({1,2},INPUT!$A$3:$A$5000&amp;INPUT!$C$3:$C$5000,INPUT!$F$3:$F$5000),2,FALSE),"")</f>
        <v>PRE-TEMPORADA</v>
      </c>
      <c r="H2181" t="str" cm="1">
        <f t="array" ref="H2181">IFERROR(VLOOKUP(INPUT!M2176&amp;INPUT!N2176,CHOOSE({1,2},INPUT!$A$3:$A$5000&amp;INPUT!$C$3:$C$5000,INPUT!$D$3:$D$5000),2,FALSE),"")</f>
        <v>GYM+TEC-TAC</v>
      </c>
      <c r="I2181" s="46">
        <f>IF(INPUT!P2176="","",INPUT!P2176)</f>
        <v>80.8</v>
      </c>
      <c r="J2181" s="46">
        <f>IF(INPUT!Q2176="","",INPUT!Q2176)</f>
        <v>80.900000000000006</v>
      </c>
      <c r="K2181" s="46">
        <f>IFERROR(IF(OR(INPUT!P2176="",INPUT!Q2176=""),"",INPUT!P2176-INPUT!Q2176),"")</f>
        <v>-0.10000000000000853</v>
      </c>
      <c r="L2181" s="48">
        <f>IFERROR(IF(OR(INPUT!P2176="",INPUT!Q2176="",INPUT!P2176=0),"",(INPUT!P2176-INPUT!Q2176)/INPUT!P2176),"")</f>
        <v>-1.2376237623763432E-3</v>
      </c>
    </row>
    <row r="2182" spans="1:12" ht="18" hidden="1" customHeight="1" x14ac:dyDescent="0.2">
      <c r="A2182" s="11">
        <f>IF(INPUT!M2177="","",INPUT!M2177)</f>
        <v>46090</v>
      </c>
      <c r="B2182" s="11">
        <f>IF(INPUT!M2177="","",INPUT!M2177-WEEKDAY(INPUT!M2177,2)+1)</f>
        <v>46090</v>
      </c>
      <c r="C2182" s="20">
        <f>IFERROR(_xlfn.ISOWEEKNUM(INPUT!M2177),"")</f>
        <v>11</v>
      </c>
      <c r="D2182" s="20">
        <f>IFERROR(YEAR(INPUT!M2177),"")</f>
        <v>2026</v>
      </c>
      <c r="E2182" t="str">
        <f>IF(INPUT!O2177="","",INPUT!O2177)</f>
        <v>HARRISON</v>
      </c>
      <c r="F2182" t="str">
        <f>IF(INPUT!N2177="","",INPUT!N2177)</f>
        <v>M</v>
      </c>
      <c r="G2182" t="str" cm="1">
        <f t="array" ref="G2182">IFERROR(VLOOKUP(INPUT!M2177&amp;INPUT!N2177,CHOOSE({1,2},INPUT!$A$3:$A$5000&amp;INPUT!$C$3:$C$5000,INPUT!$F$3:$F$5000),2,FALSE),"")</f>
        <v>PRE-TEMPORADA</v>
      </c>
      <c r="H2182" t="str" cm="1">
        <f t="array" ref="H2182">IFERROR(VLOOKUP(INPUT!M2177&amp;INPUT!N2177,CHOOSE({1,2},INPUT!$A$3:$A$5000&amp;INPUT!$C$3:$C$5000,INPUT!$D$3:$D$5000),2,FALSE),"")</f>
        <v>GYM+TEC-TAC</v>
      </c>
      <c r="I2182" s="46">
        <f>IF(INPUT!P2177="","",INPUT!P2177)</f>
        <v>71.5</v>
      </c>
      <c r="J2182" s="46">
        <f>IF(INPUT!Q2177="","",INPUT!Q2177)</f>
        <v>71</v>
      </c>
      <c r="K2182" s="46">
        <f>IFERROR(IF(OR(INPUT!P2177="",INPUT!Q2177=""),"",INPUT!P2177-INPUT!Q2177),"")</f>
        <v>0.5</v>
      </c>
      <c r="L2182" s="48">
        <f>IFERROR(IF(OR(INPUT!P2177="",INPUT!Q2177="",INPUT!P2177=0),"",(INPUT!P2177-INPUT!Q2177)/INPUT!P2177),"")</f>
        <v>6.993006993006993E-3</v>
      </c>
    </row>
    <row r="2183" spans="1:12" ht="18" hidden="1" customHeight="1" x14ac:dyDescent="0.2">
      <c r="A2183" s="11">
        <f>IF(INPUT!M2178="","",INPUT!M2178)</f>
        <v>46090</v>
      </c>
      <c r="B2183" s="11">
        <f>IF(INPUT!M2178="","",INPUT!M2178-WEEKDAY(INPUT!M2178,2)+1)</f>
        <v>46090</v>
      </c>
      <c r="C2183" s="20">
        <f>IFERROR(_xlfn.ISOWEEKNUM(INPUT!M2178),"")</f>
        <v>11</v>
      </c>
      <c r="D2183" s="20">
        <f>IFERROR(YEAR(INPUT!M2178),"")</f>
        <v>2026</v>
      </c>
      <c r="E2183" t="str">
        <f>IF(INPUT!O2178="","",INPUT!O2178)</f>
        <v>RAYA</v>
      </c>
      <c r="F2183" t="str">
        <f>IF(INPUT!N2178="","",INPUT!N2178)</f>
        <v>M</v>
      </c>
      <c r="G2183" t="str" cm="1">
        <f t="array" ref="G2183">IFERROR(VLOOKUP(INPUT!M2178&amp;INPUT!N2178,CHOOSE({1,2},INPUT!$A$3:$A$5000&amp;INPUT!$C$3:$C$5000,INPUT!$F$3:$F$5000),2,FALSE),"")</f>
        <v>PRE-TEMPORADA</v>
      </c>
      <c r="H2183" t="str" cm="1">
        <f t="array" ref="H2183">IFERROR(VLOOKUP(INPUT!M2178&amp;INPUT!N2178,CHOOSE({1,2},INPUT!$A$3:$A$5000&amp;INPUT!$C$3:$C$5000,INPUT!$D$3:$D$5000),2,FALSE),"")</f>
        <v>GYM+TEC-TAC</v>
      </c>
      <c r="I2183" s="46">
        <f>IF(INPUT!P2178="","",INPUT!P2178)</f>
        <v>81.900000000000006</v>
      </c>
      <c r="J2183" s="46">
        <f>IF(INPUT!Q2178="","",INPUT!Q2178)</f>
        <v>81.900000000000006</v>
      </c>
      <c r="K2183" s="46">
        <f>IFERROR(IF(OR(INPUT!P2178="",INPUT!Q2178=""),"",INPUT!P2178-INPUT!Q2178),"")</f>
        <v>0</v>
      </c>
      <c r="L2183" s="48">
        <f>IFERROR(IF(OR(INPUT!P2178="",INPUT!Q2178="",INPUT!P2178=0),"",(INPUT!P2178-INPUT!Q2178)/INPUT!P2178),"")</f>
        <v>0</v>
      </c>
    </row>
    <row r="2184" spans="1:12" ht="18" hidden="1" customHeight="1" x14ac:dyDescent="0.2">
      <c r="A2184" s="11">
        <f>IF(INPUT!M2179="","",INPUT!M2179)</f>
        <v>46090</v>
      </c>
      <c r="B2184" s="11">
        <f>IF(INPUT!M2179="","",INPUT!M2179-WEEKDAY(INPUT!M2179,2)+1)</f>
        <v>46090</v>
      </c>
      <c r="C2184" s="20">
        <f>IFERROR(_xlfn.ISOWEEKNUM(INPUT!M2179),"")</f>
        <v>11</v>
      </c>
      <c r="D2184" s="20">
        <f>IFERROR(YEAR(INPUT!M2179),"")</f>
        <v>2026</v>
      </c>
      <c r="E2184" t="str">
        <f>IF(INPUT!O2179="","",INPUT!O2179)</f>
        <v>JAVI</v>
      </c>
      <c r="F2184" t="str">
        <f>IF(INPUT!N2179="","",INPUT!N2179)</f>
        <v>M</v>
      </c>
      <c r="G2184" t="str" cm="1">
        <f t="array" ref="G2184">IFERROR(VLOOKUP(INPUT!M2179&amp;INPUT!N2179,CHOOSE({1,2},INPUT!$A$3:$A$5000&amp;INPUT!$C$3:$C$5000,INPUT!$F$3:$F$5000),2,FALSE),"")</f>
        <v>PRE-TEMPORADA</v>
      </c>
      <c r="H2184" t="str" cm="1">
        <f t="array" ref="H2184">IFERROR(VLOOKUP(INPUT!M2179&amp;INPUT!N2179,CHOOSE({1,2},INPUT!$A$3:$A$5000&amp;INPUT!$C$3:$C$5000,INPUT!$D$3:$D$5000),2,FALSE),"")</f>
        <v>GYM+TEC-TAC</v>
      </c>
      <c r="I2184" s="46">
        <f>IF(INPUT!P2179="","",INPUT!P2179)</f>
        <v>78.900000000000006</v>
      </c>
      <c r="J2184" s="46">
        <f>IF(INPUT!Q2179="","",INPUT!Q2179)</f>
        <v>78.7</v>
      </c>
      <c r="K2184" s="46">
        <f>IFERROR(IF(OR(INPUT!P2179="",INPUT!Q2179=""),"",INPUT!P2179-INPUT!Q2179),"")</f>
        <v>0.20000000000000284</v>
      </c>
      <c r="L2184" s="48">
        <f>IFERROR(IF(OR(INPUT!P2179="",INPUT!Q2179="",INPUT!P2179=0),"",(INPUT!P2179-INPUT!Q2179)/INPUT!P2179),"")</f>
        <v>2.5348542458808977E-3</v>
      </c>
    </row>
    <row r="2185" spans="1:12" ht="18" hidden="1" customHeight="1" x14ac:dyDescent="0.2">
      <c r="A2185" s="11">
        <f>IF(INPUT!M2180="","",INPUT!M2180)</f>
        <v>46090</v>
      </c>
      <c r="B2185" s="11">
        <f>IF(INPUT!M2180="","",INPUT!M2180-WEEKDAY(INPUT!M2180,2)+1)</f>
        <v>46090</v>
      </c>
      <c r="C2185" s="20">
        <f>IFERROR(_xlfn.ISOWEEKNUM(INPUT!M2180),"")</f>
        <v>11</v>
      </c>
      <c r="D2185" s="20">
        <f>IFERROR(YEAR(INPUT!M2180),"")</f>
        <v>2026</v>
      </c>
      <c r="E2185" t="str">
        <f>IF(INPUT!O2180="","",INPUT!O2180)</f>
        <v>PANI</v>
      </c>
      <c r="F2185" t="str">
        <f>IF(INPUT!N2180="","",INPUT!N2180)</f>
        <v>M</v>
      </c>
      <c r="G2185" t="str" cm="1">
        <f t="array" ref="G2185">IFERROR(VLOOKUP(INPUT!M2180&amp;INPUT!N2180,CHOOSE({1,2},INPUT!$A$3:$A$5000&amp;INPUT!$C$3:$C$5000,INPUT!$F$3:$F$5000),2,FALSE),"")</f>
        <v>PRE-TEMPORADA</v>
      </c>
      <c r="H2185" t="str" cm="1">
        <f t="array" ref="H2185">IFERROR(VLOOKUP(INPUT!M2180&amp;INPUT!N2180,CHOOSE({1,2},INPUT!$A$3:$A$5000&amp;INPUT!$C$3:$C$5000,INPUT!$D$3:$D$5000),2,FALSE),"")</f>
        <v>GYM+TEC-TAC</v>
      </c>
      <c r="I2185" s="46">
        <f>IF(INPUT!P2180="","",INPUT!P2180)</f>
        <v>67</v>
      </c>
      <c r="J2185" s="46">
        <f>IF(INPUT!Q2180="","",INPUT!Q2180)</f>
        <v>66.5</v>
      </c>
      <c r="K2185" s="46">
        <f>IFERROR(IF(OR(INPUT!P2180="",INPUT!Q2180=""),"",INPUT!P2180-INPUT!Q2180),"")</f>
        <v>0.5</v>
      </c>
      <c r="L2185" s="48">
        <f>IFERROR(IF(OR(INPUT!P2180="",INPUT!Q2180="",INPUT!P2180=0),"",(INPUT!P2180-INPUT!Q2180)/INPUT!P2180),"")</f>
        <v>7.462686567164179E-3</v>
      </c>
    </row>
    <row r="2186" spans="1:12" ht="18" hidden="1" customHeight="1" x14ac:dyDescent="0.2">
      <c r="A2186" s="11">
        <f>IF(INPUT!M2181="","",INPUT!M2181)</f>
        <v>46090</v>
      </c>
      <c r="B2186" s="11">
        <f>IF(INPUT!M2181="","",INPUT!M2181-WEEKDAY(INPUT!M2181,2)+1)</f>
        <v>46090</v>
      </c>
      <c r="C2186" s="20">
        <f>IFERROR(_xlfn.ISOWEEKNUM(INPUT!M2181),"")</f>
        <v>11</v>
      </c>
      <c r="D2186" s="20">
        <f>IFERROR(YEAR(INPUT!M2181),"")</f>
        <v>2026</v>
      </c>
      <c r="E2186" t="str">
        <f>IF(INPUT!O2181="","",INPUT!O2181)</f>
        <v>PIRATA</v>
      </c>
      <c r="F2186" t="str">
        <f>IF(INPUT!N2181="","",INPUT!N2181)</f>
        <v>M</v>
      </c>
      <c r="G2186" t="str" cm="1">
        <f t="array" ref="G2186">IFERROR(VLOOKUP(INPUT!M2181&amp;INPUT!N2181,CHOOSE({1,2},INPUT!$A$3:$A$5000&amp;INPUT!$C$3:$C$5000,INPUT!$F$3:$F$5000),2,FALSE),"")</f>
        <v>PRE-TEMPORADA</v>
      </c>
      <c r="H2186" t="str" cm="1">
        <f t="array" ref="H2186">IFERROR(VLOOKUP(INPUT!M2181&amp;INPUT!N2181,CHOOSE({1,2},INPUT!$A$3:$A$5000&amp;INPUT!$C$3:$C$5000,INPUT!$D$3:$D$5000),2,FALSE),"")</f>
        <v>GYM+TEC-TAC</v>
      </c>
      <c r="I2186" s="46">
        <f>IF(INPUT!P2181="","",INPUT!P2181)</f>
        <v>75.3</v>
      </c>
      <c r="J2186" s="46">
        <f>IF(INPUT!Q2181="","",INPUT!Q2181)</f>
        <v>75.2</v>
      </c>
      <c r="K2186" s="46">
        <f>IFERROR(IF(OR(INPUT!P2181="",INPUT!Q2181=""),"",INPUT!P2181-INPUT!Q2181),"")</f>
        <v>9.9999999999994316E-2</v>
      </c>
      <c r="L2186" s="48">
        <f>IFERROR(IF(OR(INPUT!P2181="",INPUT!Q2181="",INPUT!P2181=0),"",(INPUT!P2181-INPUT!Q2181)/INPUT!P2181),"")</f>
        <v>1.3280212483398981E-3</v>
      </c>
    </row>
    <row r="2187" spans="1:12" ht="18" hidden="1" customHeight="1" x14ac:dyDescent="0.2">
      <c r="A2187" s="11">
        <f>IF(INPUT!M2182="","",INPUT!M2182)</f>
        <v>46090</v>
      </c>
      <c r="B2187" s="11">
        <f>IF(INPUT!M2182="","",INPUT!M2182-WEEKDAY(INPUT!M2182,2)+1)</f>
        <v>46090</v>
      </c>
      <c r="C2187" s="20">
        <f>IFERROR(_xlfn.ISOWEEKNUM(INPUT!M2182),"")</f>
        <v>11</v>
      </c>
      <c r="D2187" s="20">
        <f>IFERROR(YEAR(INPUT!M2182),"")</f>
        <v>2026</v>
      </c>
      <c r="E2187" t="str">
        <f>IF(INPUT!O2182="","",INPUT!O2182)</f>
        <v>BARONA</v>
      </c>
      <c r="F2187" t="str">
        <f>IF(INPUT!N2182="","",INPUT!N2182)</f>
        <v>M</v>
      </c>
      <c r="G2187" t="str" cm="1">
        <f t="array" ref="G2187">IFERROR(VLOOKUP(INPUT!M2182&amp;INPUT!N2182,CHOOSE({1,2},INPUT!$A$3:$A$5000&amp;INPUT!$C$3:$C$5000,INPUT!$F$3:$F$5000),2,FALSE),"")</f>
        <v>PRE-TEMPORADA</v>
      </c>
      <c r="H2187" t="str" cm="1">
        <f t="array" ref="H2187">IFERROR(VLOOKUP(INPUT!M2182&amp;INPUT!N2182,CHOOSE({1,2},INPUT!$A$3:$A$5000&amp;INPUT!$C$3:$C$5000,INPUT!$D$3:$D$5000),2,FALSE),"")</f>
        <v>GYM+TEC-TAC</v>
      </c>
      <c r="I2187" s="46">
        <f>IF(INPUT!P2182="","",INPUT!P2182)</f>
        <v>71.2</v>
      </c>
      <c r="J2187" s="46">
        <f>IF(INPUT!Q2182="","",INPUT!Q2182)</f>
        <v>71.2</v>
      </c>
      <c r="K2187" s="46">
        <f>IFERROR(IF(OR(INPUT!P2182="",INPUT!Q2182=""),"",INPUT!P2182-INPUT!Q2182),"")</f>
        <v>0</v>
      </c>
      <c r="L2187" s="48">
        <f>IFERROR(IF(OR(INPUT!P2182="",INPUT!Q2182="",INPUT!P2182=0),"",(INPUT!P2182-INPUT!Q2182)/INPUT!P2182),"")</f>
        <v>0</v>
      </c>
    </row>
    <row r="2188" spans="1:12" ht="18" hidden="1" customHeight="1" x14ac:dyDescent="0.2">
      <c r="A2188" s="11">
        <f>IF(INPUT!M2183="","",INPUT!M2183)</f>
        <v>46090</v>
      </c>
      <c r="B2188" s="11">
        <f>IF(INPUT!M2183="","",INPUT!M2183-WEEKDAY(INPUT!M2183,2)+1)</f>
        <v>46090</v>
      </c>
      <c r="C2188" s="20">
        <f>IFERROR(_xlfn.ISOWEEKNUM(INPUT!M2183),"")</f>
        <v>11</v>
      </c>
      <c r="D2188" s="20">
        <f>IFERROR(YEAR(INPUT!M2183),"")</f>
        <v>2026</v>
      </c>
      <c r="E2188" t="str">
        <f>IF(INPUT!O2183="","",INPUT!O2183)</f>
        <v>CARLOS</v>
      </c>
      <c r="F2188" t="str">
        <f>IF(INPUT!N2183="","",INPUT!N2183)</f>
        <v>M</v>
      </c>
      <c r="G2188" t="str" cm="1">
        <f t="array" ref="G2188">IFERROR(VLOOKUP(INPUT!M2183&amp;INPUT!N2183,CHOOSE({1,2},INPUT!$A$3:$A$5000&amp;INPUT!$C$3:$C$5000,INPUT!$F$3:$F$5000),2,FALSE),"")</f>
        <v>PRE-TEMPORADA</v>
      </c>
      <c r="H2188" t="str" cm="1">
        <f t="array" ref="H2188">IFERROR(VLOOKUP(INPUT!M2183&amp;INPUT!N2183,CHOOSE({1,2},INPUT!$A$3:$A$5000&amp;INPUT!$C$3:$C$5000,INPUT!$D$3:$D$5000),2,FALSE),"")</f>
        <v>GYM+TEC-TAC</v>
      </c>
      <c r="I2188" s="46">
        <f>IF(INPUT!P2183="","",INPUT!P2183)</f>
        <v>68.900000000000006</v>
      </c>
      <c r="J2188" s="46">
        <f>IF(INPUT!Q2183="","",INPUT!Q2183)</f>
        <v>68</v>
      </c>
      <c r="K2188" s="46">
        <f>IFERROR(IF(OR(INPUT!P2183="",INPUT!Q2183=""),"",INPUT!P2183-INPUT!Q2183),"")</f>
        <v>0.90000000000000568</v>
      </c>
      <c r="L2188" s="48">
        <f>IFERROR(IF(OR(INPUT!P2183="",INPUT!Q2183="",INPUT!P2183=0),"",(INPUT!P2183-INPUT!Q2183)/INPUT!P2183),"")</f>
        <v>1.3062409288824465E-2</v>
      </c>
    </row>
    <row r="2189" spans="1:12" ht="18" hidden="1" customHeight="1" x14ac:dyDescent="0.2">
      <c r="A2189" s="11">
        <f>IF(INPUT!M2184="","",INPUT!M2184)</f>
        <v>46090</v>
      </c>
      <c r="B2189" s="11">
        <f>IF(INPUT!M2184="","",INPUT!M2184-WEEKDAY(INPUT!M2184,2)+1)</f>
        <v>46090</v>
      </c>
      <c r="C2189" s="20">
        <f>IFERROR(_xlfn.ISOWEEKNUM(INPUT!M2184),"")</f>
        <v>11</v>
      </c>
      <c r="D2189" s="20">
        <f>IFERROR(YEAR(INPUT!M2184),"")</f>
        <v>2026</v>
      </c>
      <c r="E2189" t="str">
        <f>IF(INPUT!O2184="","",INPUT!O2184)</f>
        <v>JAIME</v>
      </c>
      <c r="F2189" t="str">
        <f>IF(INPUT!N2184="","",INPUT!N2184)</f>
        <v>M</v>
      </c>
      <c r="G2189" t="str" cm="1">
        <f t="array" ref="G2189">IFERROR(VLOOKUP(INPUT!M2184&amp;INPUT!N2184,CHOOSE({1,2},INPUT!$A$3:$A$5000&amp;INPUT!$C$3:$C$5000,INPUT!$F$3:$F$5000),2,FALSE),"")</f>
        <v>PRE-TEMPORADA</v>
      </c>
      <c r="H2189" t="str" cm="1">
        <f t="array" ref="H2189">IFERROR(VLOOKUP(INPUT!M2184&amp;INPUT!N2184,CHOOSE({1,2},INPUT!$A$3:$A$5000&amp;INPUT!$C$3:$C$5000,INPUT!$D$3:$D$5000),2,FALSE),"")</f>
        <v>GYM+TEC-TAC</v>
      </c>
      <c r="I2189" s="46">
        <f>IF(INPUT!P2184="","",INPUT!P2184)</f>
        <v>76.8</v>
      </c>
      <c r="J2189" s="46">
        <f>IF(INPUT!Q2184="","",INPUT!Q2184)</f>
        <v>76.8</v>
      </c>
      <c r="K2189" s="46">
        <f>IFERROR(IF(OR(INPUT!P2184="",INPUT!Q2184=""),"",INPUT!P2184-INPUT!Q2184),"")</f>
        <v>0</v>
      </c>
      <c r="L2189" s="48">
        <f>IFERROR(IF(OR(INPUT!P2184="",INPUT!Q2184="",INPUT!P2184=0),"",(INPUT!P2184-INPUT!Q2184)/INPUT!P2184),"")</f>
        <v>0</v>
      </c>
    </row>
    <row r="2190" spans="1:12" ht="18" hidden="1" customHeight="1" x14ac:dyDescent="0.2">
      <c r="A2190" s="11">
        <f>IF(INPUT!M2185="","",INPUT!M2185)</f>
        <v>46091</v>
      </c>
      <c r="B2190" s="11">
        <f>IF(INPUT!M2185="","",INPUT!M2185-WEEKDAY(INPUT!M2185,2)+1)</f>
        <v>46090</v>
      </c>
      <c r="C2190" s="20">
        <f>IFERROR(_xlfn.ISOWEEKNUM(INPUT!M2185),"")</f>
        <v>11</v>
      </c>
      <c r="D2190" s="20">
        <f>IFERROR(YEAR(INPUT!M2185),"")</f>
        <v>2026</v>
      </c>
      <c r="E2190" t="str">
        <f>IF(INPUT!O2185="","",INPUT!O2185)</f>
        <v>HERRERO</v>
      </c>
      <c r="F2190" t="str">
        <f>IF(INPUT!N2185="","",INPUT!N2185)</f>
        <v>M</v>
      </c>
      <c r="G2190" t="str" cm="1">
        <f t="array" ref="G2190">IFERROR(VLOOKUP(INPUT!M2185&amp;INPUT!N2185,CHOOSE({1,2},INPUT!$A$3:$A$5000&amp;INPUT!$C$3:$C$5000,INPUT!$F$3:$F$5000),2,FALSE),"")</f>
        <v>PRE-TEMPORADA</v>
      </c>
      <c r="H2190" t="str" cm="1">
        <f t="array" ref="H2190">IFERROR(VLOOKUP(INPUT!M2185&amp;INPUT!N2185,CHOOSE({1,2},INPUT!$A$3:$A$5000&amp;INPUT!$C$3:$C$5000,INPUT!$D$3:$D$5000),2,FALSE),"")</f>
        <v>TEC-TAC</v>
      </c>
      <c r="I2190" s="46">
        <f>IF(INPUT!P2185="","",INPUT!P2185)</f>
        <v>77</v>
      </c>
      <c r="J2190" s="46">
        <f>IF(INPUT!Q2185="","",INPUT!Q2185)</f>
        <v>76.099999999999994</v>
      </c>
      <c r="K2190" s="46">
        <f>IFERROR(IF(OR(INPUT!P2185="",INPUT!Q2185=""),"",INPUT!P2185-INPUT!Q2185),"")</f>
        <v>0.90000000000000568</v>
      </c>
      <c r="L2190" s="48">
        <f>IFERROR(IF(OR(INPUT!P2185="",INPUT!Q2185="",INPUT!P2185=0),"",(INPUT!P2185-INPUT!Q2185)/INPUT!P2185),"")</f>
        <v>1.1688311688311762E-2</v>
      </c>
    </row>
    <row r="2191" spans="1:12" ht="18" hidden="1" customHeight="1" x14ac:dyDescent="0.2">
      <c r="A2191" s="11">
        <f>IF(INPUT!M2186="","",INPUT!M2186)</f>
        <v>46091</v>
      </c>
      <c r="B2191" s="11">
        <f>IF(INPUT!M2186="","",INPUT!M2186-WEEKDAY(INPUT!M2186,2)+1)</f>
        <v>46090</v>
      </c>
      <c r="C2191" s="20">
        <f>IFERROR(_xlfn.ISOWEEKNUM(INPUT!M2186),"")</f>
        <v>11</v>
      </c>
      <c r="D2191" s="20">
        <f>IFERROR(YEAR(INPUT!M2186),"")</f>
        <v>2026</v>
      </c>
      <c r="E2191" t="str">
        <f>IF(INPUT!O2186="","",INPUT!O2186)</f>
        <v>GARCIA</v>
      </c>
      <c r="F2191" t="str">
        <f>IF(INPUT!N2186="","",INPUT!N2186)</f>
        <v>M</v>
      </c>
      <c r="G2191" t="str" cm="1">
        <f t="array" ref="G2191">IFERROR(VLOOKUP(INPUT!M2186&amp;INPUT!N2186,CHOOSE({1,2},INPUT!$A$3:$A$5000&amp;INPUT!$C$3:$C$5000,INPUT!$F$3:$F$5000),2,FALSE),"")</f>
        <v>PRE-TEMPORADA</v>
      </c>
      <c r="H2191" t="str" cm="1">
        <f t="array" ref="H2191">IFERROR(VLOOKUP(INPUT!M2186&amp;INPUT!N2186,CHOOSE({1,2},INPUT!$A$3:$A$5000&amp;INPUT!$C$3:$C$5000,INPUT!$D$3:$D$5000),2,FALSE),"")</f>
        <v>TEC-TAC</v>
      </c>
      <c r="I2191" s="46">
        <f>IF(INPUT!P2186="","",INPUT!P2186)</f>
        <v>79.5</v>
      </c>
      <c r="J2191" s="46">
        <f>IF(INPUT!Q2186="","",INPUT!Q2186)</f>
        <v>79</v>
      </c>
      <c r="K2191" s="46">
        <f>IFERROR(IF(OR(INPUT!P2186="",INPUT!Q2186=""),"",INPUT!P2186-INPUT!Q2186),"")</f>
        <v>0.5</v>
      </c>
      <c r="L2191" s="48">
        <f>IFERROR(IF(OR(INPUT!P2186="",INPUT!Q2186="",INPUT!P2186=0),"",(INPUT!P2186-INPUT!Q2186)/INPUT!P2186),"")</f>
        <v>6.2893081761006293E-3</v>
      </c>
    </row>
    <row r="2192" spans="1:12" ht="18" hidden="1" customHeight="1" x14ac:dyDescent="0.2">
      <c r="A2192" s="11">
        <f>IF(INPUT!M2187="","",INPUT!M2187)</f>
        <v>46091</v>
      </c>
      <c r="B2192" s="11">
        <f>IF(INPUT!M2187="","",INPUT!M2187-WEEKDAY(INPUT!M2187,2)+1)</f>
        <v>46090</v>
      </c>
      <c r="C2192" s="20">
        <f>IFERROR(_xlfn.ISOWEEKNUM(INPUT!M2187),"")</f>
        <v>11</v>
      </c>
      <c r="D2192" s="20">
        <f>IFERROR(YEAR(INPUT!M2187),"")</f>
        <v>2026</v>
      </c>
      <c r="E2192" t="str">
        <f>IF(INPUT!O2187="","",INPUT!O2187)</f>
        <v>CHAGUINHA</v>
      </c>
      <c r="F2192" t="str">
        <f>IF(INPUT!N2187="","",INPUT!N2187)</f>
        <v>M</v>
      </c>
      <c r="G2192" t="str" cm="1">
        <f t="array" ref="G2192">IFERROR(VLOOKUP(INPUT!M2187&amp;INPUT!N2187,CHOOSE({1,2},INPUT!$A$3:$A$5000&amp;INPUT!$C$3:$C$5000,INPUT!$F$3:$F$5000),2,FALSE),"")</f>
        <v>PRE-TEMPORADA</v>
      </c>
      <c r="H2192" t="str" cm="1">
        <f t="array" ref="H2192">IFERROR(VLOOKUP(INPUT!M2187&amp;INPUT!N2187,CHOOSE({1,2},INPUT!$A$3:$A$5000&amp;INPUT!$C$3:$C$5000,INPUT!$D$3:$D$5000),2,FALSE),"")</f>
        <v>TEC-TAC</v>
      </c>
      <c r="I2192" s="46">
        <f>IF(INPUT!P2187="","",INPUT!P2187)</f>
        <v>69</v>
      </c>
      <c r="J2192" s="46">
        <f>IF(INPUT!Q2187="","",INPUT!Q2187)</f>
        <v>68.599999999999994</v>
      </c>
      <c r="K2192" s="46">
        <f>IFERROR(IF(OR(INPUT!P2187="",INPUT!Q2187=""),"",INPUT!P2187-INPUT!Q2187),"")</f>
        <v>0.40000000000000568</v>
      </c>
      <c r="L2192" s="48">
        <f>IFERROR(IF(OR(INPUT!P2187="",INPUT!Q2187="",INPUT!P2187=0),"",(INPUT!P2187-INPUT!Q2187)/INPUT!P2187),"")</f>
        <v>5.7971014492754448E-3</v>
      </c>
    </row>
    <row r="2193" spans="1:12" ht="18" hidden="1" customHeight="1" x14ac:dyDescent="0.2">
      <c r="A2193" s="11">
        <f>IF(INPUT!M2188="","",INPUT!M2188)</f>
        <v>46091</v>
      </c>
      <c r="B2193" s="11">
        <f>IF(INPUT!M2188="","",INPUT!M2188-WEEKDAY(INPUT!M2188,2)+1)</f>
        <v>46090</v>
      </c>
      <c r="C2193" s="20">
        <f>IFERROR(_xlfn.ISOWEEKNUM(INPUT!M2188),"")</f>
        <v>11</v>
      </c>
      <c r="D2193" s="20">
        <f>IFERROR(YEAR(INPUT!M2188),"")</f>
        <v>2026</v>
      </c>
      <c r="E2193" t="str">
        <f>IF(INPUT!O2188="","",INPUT!O2188)</f>
        <v>RAUL</v>
      </c>
      <c r="F2193" t="str">
        <f>IF(INPUT!N2188="","",INPUT!N2188)</f>
        <v>M</v>
      </c>
      <c r="G2193" t="str" cm="1">
        <f t="array" ref="G2193">IFERROR(VLOOKUP(INPUT!M2188&amp;INPUT!N2188,CHOOSE({1,2},INPUT!$A$3:$A$5000&amp;INPUT!$C$3:$C$5000,INPUT!$F$3:$F$5000),2,FALSE),"")</f>
        <v>PRE-TEMPORADA</v>
      </c>
      <c r="H2193" t="str" cm="1">
        <f t="array" ref="H2193">IFERROR(VLOOKUP(INPUT!M2188&amp;INPUT!N2188,CHOOSE({1,2},INPUT!$A$3:$A$5000&amp;INPUT!$C$3:$C$5000,INPUT!$D$3:$D$5000),2,FALSE),"")</f>
        <v>TEC-TAC</v>
      </c>
      <c r="I2193" s="46">
        <f>IF(INPUT!P2188="","",INPUT!P2188)</f>
        <v>81.5</v>
      </c>
      <c r="J2193" s="46">
        <f>IF(INPUT!Q2188="","",INPUT!Q2188)</f>
        <v>82</v>
      </c>
      <c r="K2193" s="46">
        <f>IFERROR(IF(OR(INPUT!P2188="",INPUT!Q2188=""),"",INPUT!P2188-INPUT!Q2188),"")</f>
        <v>-0.5</v>
      </c>
      <c r="L2193" s="48">
        <f>IFERROR(IF(OR(INPUT!P2188="",INPUT!Q2188="",INPUT!P2188=0),"",(INPUT!P2188-INPUT!Q2188)/INPUT!P2188),"")</f>
        <v>-6.1349693251533744E-3</v>
      </c>
    </row>
    <row r="2194" spans="1:12" ht="18" hidden="1" customHeight="1" x14ac:dyDescent="0.2">
      <c r="A2194" s="11">
        <f>IF(INPUT!M2189="","",INPUT!M2189)</f>
        <v>46091</v>
      </c>
      <c r="B2194" s="11">
        <f>IF(INPUT!M2189="","",INPUT!M2189-WEEKDAY(INPUT!M2189,2)+1)</f>
        <v>46090</v>
      </c>
      <c r="C2194" s="20">
        <f>IFERROR(_xlfn.ISOWEEKNUM(INPUT!M2189),"")</f>
        <v>11</v>
      </c>
      <c r="D2194" s="20">
        <f>IFERROR(YEAR(INPUT!M2189),"")</f>
        <v>2026</v>
      </c>
      <c r="E2194" t="str">
        <f>IF(INPUT!O2189="","",INPUT!O2189)</f>
        <v>HARRISON</v>
      </c>
      <c r="F2194" t="str">
        <f>IF(INPUT!N2189="","",INPUT!N2189)</f>
        <v>M</v>
      </c>
      <c r="G2194" t="str" cm="1">
        <f t="array" ref="G2194">IFERROR(VLOOKUP(INPUT!M2189&amp;INPUT!N2189,CHOOSE({1,2},INPUT!$A$3:$A$5000&amp;INPUT!$C$3:$C$5000,INPUT!$F$3:$F$5000),2,FALSE),"")</f>
        <v>PRE-TEMPORADA</v>
      </c>
      <c r="H2194" t="str" cm="1">
        <f t="array" ref="H2194">IFERROR(VLOOKUP(INPUT!M2189&amp;INPUT!N2189,CHOOSE({1,2},INPUT!$A$3:$A$5000&amp;INPUT!$C$3:$C$5000,INPUT!$D$3:$D$5000),2,FALSE),"")</f>
        <v>TEC-TAC</v>
      </c>
      <c r="I2194" s="46">
        <f>IF(INPUT!P2189="","",INPUT!P2189)</f>
        <v>71.599999999999994</v>
      </c>
      <c r="J2194" s="46">
        <f>IF(INPUT!Q2189="","",INPUT!Q2189)</f>
        <v>71.5</v>
      </c>
      <c r="K2194" s="46">
        <f>IFERROR(IF(OR(INPUT!P2189="",INPUT!Q2189=""),"",INPUT!P2189-INPUT!Q2189),"")</f>
        <v>9.9999999999994316E-2</v>
      </c>
      <c r="L2194" s="48">
        <f>IFERROR(IF(OR(INPUT!P2189="",INPUT!Q2189="",INPUT!P2189=0),"",(INPUT!P2189-INPUT!Q2189)/INPUT!P2189),"")</f>
        <v>1.3966480446926581E-3</v>
      </c>
    </row>
    <row r="2195" spans="1:12" ht="18" hidden="1" customHeight="1" x14ac:dyDescent="0.2">
      <c r="A2195" s="11">
        <f>IF(INPUT!M2190="","",INPUT!M2190)</f>
        <v>46091</v>
      </c>
      <c r="B2195" s="11">
        <f>IF(INPUT!M2190="","",INPUT!M2190-WEEKDAY(INPUT!M2190,2)+1)</f>
        <v>46090</v>
      </c>
      <c r="C2195" s="20">
        <f>IFERROR(_xlfn.ISOWEEKNUM(INPUT!M2190),"")</f>
        <v>11</v>
      </c>
      <c r="D2195" s="20">
        <f>IFERROR(YEAR(INPUT!M2190),"")</f>
        <v>2026</v>
      </c>
      <c r="E2195" t="str">
        <f>IF(INPUT!O2190="","",INPUT!O2190)</f>
        <v>RAYA</v>
      </c>
      <c r="F2195" t="str">
        <f>IF(INPUT!N2190="","",INPUT!N2190)</f>
        <v>M</v>
      </c>
      <c r="G2195" t="str" cm="1">
        <f t="array" ref="G2195">IFERROR(VLOOKUP(INPUT!M2190&amp;INPUT!N2190,CHOOSE({1,2},INPUT!$A$3:$A$5000&amp;INPUT!$C$3:$C$5000,INPUT!$F$3:$F$5000),2,FALSE),"")</f>
        <v>PRE-TEMPORADA</v>
      </c>
      <c r="H2195" t="str" cm="1">
        <f t="array" ref="H2195">IFERROR(VLOOKUP(INPUT!M2190&amp;INPUT!N2190,CHOOSE({1,2},INPUT!$A$3:$A$5000&amp;INPUT!$C$3:$C$5000,INPUT!$D$3:$D$5000),2,FALSE),"")</f>
        <v>TEC-TAC</v>
      </c>
      <c r="I2195" s="46">
        <f>IF(INPUT!P2190="","",INPUT!P2190)</f>
        <v>82</v>
      </c>
      <c r="J2195" s="46">
        <f>IF(INPUT!Q2190="","",INPUT!Q2190)</f>
        <v>81.5</v>
      </c>
      <c r="K2195" s="46">
        <f>IFERROR(IF(OR(INPUT!P2190="",INPUT!Q2190=""),"",INPUT!P2190-INPUT!Q2190),"")</f>
        <v>0.5</v>
      </c>
      <c r="L2195" s="48">
        <f>IFERROR(IF(OR(INPUT!P2190="",INPUT!Q2190="",INPUT!P2190=0),"",(INPUT!P2190-INPUT!Q2190)/INPUT!P2190),"")</f>
        <v>6.0975609756097563E-3</v>
      </c>
    </row>
    <row r="2196" spans="1:12" ht="18" hidden="1" customHeight="1" x14ac:dyDescent="0.2">
      <c r="A2196" s="11">
        <f>IF(INPUT!M2191="","",INPUT!M2191)</f>
        <v>46091</v>
      </c>
      <c r="B2196" s="11">
        <f>IF(INPUT!M2191="","",INPUT!M2191-WEEKDAY(INPUT!M2191,2)+1)</f>
        <v>46090</v>
      </c>
      <c r="C2196" s="20">
        <f>IFERROR(_xlfn.ISOWEEKNUM(INPUT!M2191),"")</f>
        <v>11</v>
      </c>
      <c r="D2196" s="20">
        <f>IFERROR(YEAR(INPUT!M2191),"")</f>
        <v>2026</v>
      </c>
      <c r="E2196" t="str">
        <f>IF(INPUT!O2191="","",INPUT!O2191)</f>
        <v>JAVI</v>
      </c>
      <c r="F2196" t="str">
        <f>IF(INPUT!N2191="","",INPUT!N2191)</f>
        <v>M</v>
      </c>
      <c r="G2196" t="str" cm="1">
        <f t="array" ref="G2196">IFERROR(VLOOKUP(INPUT!M2191&amp;INPUT!N2191,CHOOSE({1,2},INPUT!$A$3:$A$5000&amp;INPUT!$C$3:$C$5000,INPUT!$F$3:$F$5000),2,FALSE),"")</f>
        <v>PRE-TEMPORADA</v>
      </c>
      <c r="H2196" t="str" cm="1">
        <f t="array" ref="H2196">IFERROR(VLOOKUP(INPUT!M2191&amp;INPUT!N2191,CHOOSE({1,2},INPUT!$A$3:$A$5000&amp;INPUT!$C$3:$C$5000,INPUT!$D$3:$D$5000),2,FALSE),"")</f>
        <v>TEC-TAC</v>
      </c>
      <c r="I2196" s="46">
        <f>IF(INPUT!P2191="","",INPUT!P2191)</f>
        <v>79.599999999999994</v>
      </c>
      <c r="J2196" s="46">
        <f>IF(INPUT!Q2191="","",INPUT!Q2191)</f>
        <v>79.5</v>
      </c>
      <c r="K2196" s="46">
        <f>IFERROR(IF(OR(INPUT!P2191="",INPUT!Q2191=""),"",INPUT!P2191-INPUT!Q2191),"")</f>
        <v>9.9999999999994316E-2</v>
      </c>
      <c r="L2196" s="48">
        <f>IFERROR(IF(OR(INPUT!P2191="",INPUT!Q2191="",INPUT!P2191=0),"",(INPUT!P2191-INPUT!Q2191)/INPUT!P2191),"")</f>
        <v>1.2562814070351046E-3</v>
      </c>
    </row>
    <row r="2197" spans="1:12" ht="18" hidden="1" customHeight="1" x14ac:dyDescent="0.2">
      <c r="A2197" s="11">
        <f>IF(INPUT!M2192="","",INPUT!M2192)</f>
        <v>46091</v>
      </c>
      <c r="B2197" s="11">
        <f>IF(INPUT!M2192="","",INPUT!M2192-WEEKDAY(INPUT!M2192,2)+1)</f>
        <v>46090</v>
      </c>
      <c r="C2197" s="20">
        <f>IFERROR(_xlfn.ISOWEEKNUM(INPUT!M2192),"")</f>
        <v>11</v>
      </c>
      <c r="D2197" s="20">
        <f>IFERROR(YEAR(INPUT!M2192),"")</f>
        <v>2026</v>
      </c>
      <c r="E2197" t="str">
        <f>IF(INPUT!O2192="","",INPUT!O2192)</f>
        <v>PANI</v>
      </c>
      <c r="F2197" t="str">
        <f>IF(INPUT!N2192="","",INPUT!N2192)</f>
        <v>M</v>
      </c>
      <c r="G2197" t="str" cm="1">
        <f t="array" ref="G2197">IFERROR(VLOOKUP(INPUT!M2192&amp;INPUT!N2192,CHOOSE({1,2},INPUT!$A$3:$A$5000&amp;INPUT!$C$3:$C$5000,INPUT!$F$3:$F$5000),2,FALSE),"")</f>
        <v>PRE-TEMPORADA</v>
      </c>
      <c r="H2197" t="str" cm="1">
        <f t="array" ref="H2197">IFERROR(VLOOKUP(INPUT!M2192&amp;INPUT!N2192,CHOOSE({1,2},INPUT!$A$3:$A$5000&amp;INPUT!$C$3:$C$5000,INPUT!$D$3:$D$5000),2,FALSE),"")</f>
        <v>TEC-TAC</v>
      </c>
      <c r="I2197" s="46">
        <f>IF(INPUT!P2192="","",INPUT!P2192)</f>
        <v>66.3</v>
      </c>
      <c r="J2197" s="46">
        <f>IF(INPUT!Q2192="","",INPUT!Q2192)</f>
        <v>66</v>
      </c>
      <c r="K2197" s="46">
        <f>IFERROR(IF(OR(INPUT!P2192="",INPUT!Q2192=""),"",INPUT!P2192-INPUT!Q2192),"")</f>
        <v>0.29999999999999716</v>
      </c>
      <c r="L2197" s="48">
        <f>IFERROR(IF(OR(INPUT!P2192="",INPUT!Q2192="",INPUT!P2192=0),"",(INPUT!P2192-INPUT!Q2192)/INPUT!P2192),"")</f>
        <v>4.5248868778280113E-3</v>
      </c>
    </row>
    <row r="2198" spans="1:12" ht="18" hidden="1" customHeight="1" x14ac:dyDescent="0.2">
      <c r="A2198" s="11">
        <f>IF(INPUT!M2193="","",INPUT!M2193)</f>
        <v>46091</v>
      </c>
      <c r="B2198" s="11">
        <f>IF(INPUT!M2193="","",INPUT!M2193-WEEKDAY(INPUT!M2193,2)+1)</f>
        <v>46090</v>
      </c>
      <c r="C2198" s="20">
        <f>IFERROR(_xlfn.ISOWEEKNUM(INPUT!M2193),"")</f>
        <v>11</v>
      </c>
      <c r="D2198" s="20">
        <f>IFERROR(YEAR(INPUT!M2193),"")</f>
        <v>2026</v>
      </c>
      <c r="E2198" t="str">
        <f>IF(INPUT!O2193="","",INPUT!O2193)</f>
        <v>PIRATA</v>
      </c>
      <c r="F2198" t="str">
        <f>IF(INPUT!N2193="","",INPUT!N2193)</f>
        <v>M</v>
      </c>
      <c r="G2198" t="str" cm="1">
        <f t="array" ref="G2198">IFERROR(VLOOKUP(INPUT!M2193&amp;INPUT!N2193,CHOOSE({1,2},INPUT!$A$3:$A$5000&amp;INPUT!$C$3:$C$5000,INPUT!$F$3:$F$5000),2,FALSE),"")</f>
        <v>PRE-TEMPORADA</v>
      </c>
      <c r="H2198" t="str" cm="1">
        <f t="array" ref="H2198">IFERROR(VLOOKUP(INPUT!M2193&amp;INPUT!N2193,CHOOSE({1,2},INPUT!$A$3:$A$5000&amp;INPUT!$C$3:$C$5000,INPUT!$D$3:$D$5000),2,FALSE),"")</f>
        <v>TEC-TAC</v>
      </c>
      <c r="I2198" s="46">
        <f>IF(INPUT!P2193="","",INPUT!P2193)</f>
        <v>75.7</v>
      </c>
      <c r="J2198" s="46">
        <f>IF(INPUT!Q2193="","",INPUT!Q2193)</f>
        <v>75.599999999999994</v>
      </c>
      <c r="K2198" s="46">
        <f>IFERROR(IF(OR(INPUT!P2193="",INPUT!Q2193=""),"",INPUT!P2193-INPUT!Q2193),"")</f>
        <v>0.10000000000000853</v>
      </c>
      <c r="L2198" s="48">
        <f>IFERROR(IF(OR(INPUT!P2193="",INPUT!Q2193="",INPUT!P2193=0),"",(INPUT!P2193-INPUT!Q2193)/INPUT!P2193),"")</f>
        <v>1.3210039630120016E-3</v>
      </c>
    </row>
    <row r="2199" spans="1:12" ht="18" hidden="1" customHeight="1" x14ac:dyDescent="0.2">
      <c r="A2199" s="11">
        <f>IF(INPUT!M2194="","",INPUT!M2194)</f>
        <v>46091</v>
      </c>
      <c r="B2199" s="11">
        <f>IF(INPUT!M2194="","",INPUT!M2194-WEEKDAY(INPUT!M2194,2)+1)</f>
        <v>46090</v>
      </c>
      <c r="C2199" s="20">
        <f>IFERROR(_xlfn.ISOWEEKNUM(INPUT!M2194),"")</f>
        <v>11</v>
      </c>
      <c r="D2199" s="20">
        <f>IFERROR(YEAR(INPUT!M2194),"")</f>
        <v>2026</v>
      </c>
      <c r="E2199" t="str">
        <f>IF(INPUT!O2194="","",INPUT!O2194)</f>
        <v>BARONA</v>
      </c>
      <c r="F2199" t="str">
        <f>IF(INPUT!N2194="","",INPUT!N2194)</f>
        <v>M</v>
      </c>
      <c r="G2199" t="str" cm="1">
        <f t="array" ref="G2199">IFERROR(VLOOKUP(INPUT!M2194&amp;INPUT!N2194,CHOOSE({1,2},INPUT!$A$3:$A$5000&amp;INPUT!$C$3:$C$5000,INPUT!$F$3:$F$5000),2,FALSE),"")</f>
        <v>PRE-TEMPORADA</v>
      </c>
      <c r="H2199" t="str" cm="1">
        <f t="array" ref="H2199">IFERROR(VLOOKUP(INPUT!M2194&amp;INPUT!N2194,CHOOSE({1,2},INPUT!$A$3:$A$5000&amp;INPUT!$C$3:$C$5000,INPUT!$D$3:$D$5000),2,FALSE),"")</f>
        <v>TEC-TAC</v>
      </c>
      <c r="I2199" s="46">
        <f>IF(INPUT!P2194="","",INPUT!P2194)</f>
        <v>71.599999999999994</v>
      </c>
      <c r="J2199" s="46">
        <f>IF(INPUT!Q2194="","",INPUT!Q2194)</f>
        <v>71</v>
      </c>
      <c r="K2199" s="46">
        <f>IFERROR(IF(OR(INPUT!P2194="",INPUT!Q2194=""),"",INPUT!P2194-INPUT!Q2194),"")</f>
        <v>0.59999999999999432</v>
      </c>
      <c r="L2199" s="48">
        <f>IFERROR(IF(OR(INPUT!P2194="",INPUT!Q2194="",INPUT!P2194=0),"",(INPUT!P2194-INPUT!Q2194)/INPUT!P2194),"")</f>
        <v>8.3798882681563464E-3</v>
      </c>
    </row>
    <row r="2200" spans="1:12" ht="18" hidden="1" customHeight="1" x14ac:dyDescent="0.2">
      <c r="A2200" s="11">
        <f>IF(INPUT!M2195="","",INPUT!M2195)</f>
        <v>46091</v>
      </c>
      <c r="B2200" s="11">
        <f>IF(INPUT!M2195="","",INPUT!M2195-WEEKDAY(INPUT!M2195,2)+1)</f>
        <v>46090</v>
      </c>
      <c r="C2200" s="20">
        <f>IFERROR(_xlfn.ISOWEEKNUM(INPUT!M2195),"")</f>
        <v>11</v>
      </c>
      <c r="D2200" s="20">
        <f>IFERROR(YEAR(INPUT!M2195),"")</f>
        <v>2026</v>
      </c>
      <c r="E2200" t="str">
        <f>IF(INPUT!O2195="","",INPUT!O2195)</f>
        <v>CARLOS</v>
      </c>
      <c r="F2200" t="str">
        <f>IF(INPUT!N2195="","",INPUT!N2195)</f>
        <v>M</v>
      </c>
      <c r="G2200" t="str" cm="1">
        <f t="array" ref="G2200">IFERROR(VLOOKUP(INPUT!M2195&amp;INPUT!N2195,CHOOSE({1,2},INPUT!$A$3:$A$5000&amp;INPUT!$C$3:$C$5000,INPUT!$F$3:$F$5000),2,FALSE),"")</f>
        <v>PRE-TEMPORADA</v>
      </c>
      <c r="H2200" t="str" cm="1">
        <f t="array" ref="H2200">IFERROR(VLOOKUP(INPUT!M2195&amp;INPUT!N2195,CHOOSE({1,2},INPUT!$A$3:$A$5000&amp;INPUT!$C$3:$C$5000,INPUT!$D$3:$D$5000),2,FALSE),"")</f>
        <v>TEC-TAC</v>
      </c>
      <c r="I2200" s="46">
        <f>IF(INPUT!P2195="","",INPUT!P2195)</f>
        <v>69</v>
      </c>
      <c r="J2200" s="46">
        <f>IF(INPUT!Q2195="","",INPUT!Q2195)</f>
        <v>68.3</v>
      </c>
      <c r="K2200" s="46">
        <f>IFERROR(IF(OR(INPUT!P2195="",INPUT!Q2195=""),"",INPUT!P2195-INPUT!Q2195),"")</f>
        <v>0.70000000000000284</v>
      </c>
      <c r="L2200" s="48">
        <f>IFERROR(IF(OR(INPUT!P2195="",INPUT!Q2195="",INPUT!P2195=0),"",(INPUT!P2195-INPUT!Q2195)/INPUT!P2195),"")</f>
        <v>1.0144927536231925E-2</v>
      </c>
    </row>
    <row r="2201" spans="1:12" ht="18" hidden="1" customHeight="1" x14ac:dyDescent="0.2">
      <c r="A2201" s="11">
        <f>IF(INPUT!M2196="","",INPUT!M2196)</f>
        <v>46091</v>
      </c>
      <c r="B2201" s="11">
        <f>IF(INPUT!M2196="","",INPUT!M2196-WEEKDAY(INPUT!M2196,2)+1)</f>
        <v>46090</v>
      </c>
      <c r="C2201" s="20">
        <f>IFERROR(_xlfn.ISOWEEKNUM(INPUT!M2196),"")</f>
        <v>11</v>
      </c>
      <c r="D2201" s="20">
        <f>IFERROR(YEAR(INPUT!M2196),"")</f>
        <v>2026</v>
      </c>
      <c r="E2201" t="str">
        <f>IF(INPUT!O2196="","",INPUT!O2196)</f>
        <v>RUBIO</v>
      </c>
      <c r="F2201" t="str">
        <f>IF(INPUT!N2196="","",INPUT!N2196)</f>
        <v>M</v>
      </c>
      <c r="G2201" t="str" cm="1">
        <f t="array" ref="G2201">IFERROR(VLOOKUP(INPUT!M2196&amp;INPUT!N2196,CHOOSE({1,2},INPUT!$A$3:$A$5000&amp;INPUT!$C$3:$C$5000,INPUT!$F$3:$F$5000),2,FALSE),"")</f>
        <v>PRE-TEMPORADA</v>
      </c>
      <c r="H2201" t="str" cm="1">
        <f t="array" ref="H2201">IFERROR(VLOOKUP(INPUT!M2196&amp;INPUT!N2196,CHOOSE({1,2},INPUT!$A$3:$A$5000&amp;INPUT!$C$3:$C$5000,INPUT!$D$3:$D$5000),2,FALSE),"")</f>
        <v>TEC-TAC</v>
      </c>
      <c r="I2201" s="46">
        <f>IF(INPUT!P2196="","",INPUT!P2196)</f>
        <v>75.099999999999994</v>
      </c>
      <c r="J2201" s="46">
        <f>IF(INPUT!Q2196="","",INPUT!Q2196)</f>
        <v>74.8</v>
      </c>
      <c r="K2201" s="46">
        <f>IFERROR(IF(OR(INPUT!P2196="",INPUT!Q2196=""),"",INPUT!P2196-INPUT!Q2196),"")</f>
        <v>0.29999999999999716</v>
      </c>
      <c r="L2201" s="48">
        <f>IFERROR(IF(OR(INPUT!P2196="",INPUT!Q2196="",INPUT!P2196=0),"",(INPUT!P2196-INPUT!Q2196)/INPUT!P2196),"")</f>
        <v>3.9946737683088842E-3</v>
      </c>
    </row>
    <row r="2202" spans="1:12" ht="18" hidden="1" customHeight="1" x14ac:dyDescent="0.2">
      <c r="A2202" s="11">
        <f>IF(INPUT!M2197="","",INPUT!M2197)</f>
        <v>46091</v>
      </c>
      <c r="B2202" s="11">
        <f>IF(INPUT!M2197="","",INPUT!M2197-WEEKDAY(INPUT!M2197,2)+1)</f>
        <v>46090</v>
      </c>
      <c r="C2202" s="20">
        <f>IFERROR(_xlfn.ISOWEEKNUM(INPUT!M2197),"")</f>
        <v>11</v>
      </c>
      <c r="D2202" s="20">
        <f>IFERROR(YEAR(INPUT!M2197),"")</f>
        <v>2026</v>
      </c>
      <c r="E2202" t="str">
        <f>IF(INPUT!O2197="","",INPUT!O2197)</f>
        <v>DANI</v>
      </c>
      <c r="F2202" t="str">
        <f>IF(INPUT!N2197="","",INPUT!N2197)</f>
        <v>M</v>
      </c>
      <c r="G2202" t="str" cm="1">
        <f t="array" ref="G2202">IFERROR(VLOOKUP(INPUT!M2197&amp;INPUT!N2197,CHOOSE({1,2},INPUT!$A$3:$A$5000&amp;INPUT!$C$3:$C$5000,INPUT!$F$3:$F$5000),2,FALSE),"")</f>
        <v>PRE-TEMPORADA</v>
      </c>
      <c r="H2202" t="str" cm="1">
        <f t="array" ref="H2202">IFERROR(VLOOKUP(INPUT!M2197&amp;INPUT!N2197,CHOOSE({1,2},INPUT!$A$3:$A$5000&amp;INPUT!$C$3:$C$5000,INPUT!$D$3:$D$5000),2,FALSE),"")</f>
        <v>TEC-TAC</v>
      </c>
      <c r="I2202" s="46">
        <f>IF(INPUT!P2197="","",INPUT!P2197)</f>
        <v>90.3</v>
      </c>
      <c r="J2202" s="46">
        <f>IF(INPUT!Q2197="","",INPUT!Q2197)</f>
        <v>90.6</v>
      </c>
      <c r="K2202" s="46">
        <f>IFERROR(IF(OR(INPUT!P2197="",INPUT!Q2197=""),"",INPUT!P2197-INPUT!Q2197),"")</f>
        <v>-0.29999999999999716</v>
      </c>
      <c r="L2202" s="48">
        <f>IFERROR(IF(OR(INPUT!P2197="",INPUT!Q2197="",INPUT!P2197=0),"",(INPUT!P2197-INPUT!Q2197)/INPUT!P2197),"")</f>
        <v>-3.322259136212593E-3</v>
      </c>
    </row>
    <row r="2203" spans="1:12" ht="18" hidden="1" customHeight="1" x14ac:dyDescent="0.2">
      <c r="A2203" s="11">
        <f>IF(INPUT!M2198="","",INPUT!M2198)</f>
        <v>46091</v>
      </c>
      <c r="B2203" s="11">
        <f>IF(INPUT!M2198="","",INPUT!M2198-WEEKDAY(INPUT!M2198,2)+1)</f>
        <v>46090</v>
      </c>
      <c r="C2203" s="20">
        <f>IFERROR(_xlfn.ISOWEEKNUM(INPUT!M2198),"")</f>
        <v>11</v>
      </c>
      <c r="D2203" s="20">
        <f>IFERROR(YEAR(INPUT!M2198),"")</f>
        <v>2026</v>
      </c>
      <c r="E2203" t="str">
        <f>IF(INPUT!O2198="","",INPUT!O2198)</f>
        <v>JAIME</v>
      </c>
      <c r="F2203" t="str">
        <f>IF(INPUT!N2198="","",INPUT!N2198)</f>
        <v>M</v>
      </c>
      <c r="G2203" t="str" cm="1">
        <f t="array" ref="G2203">IFERROR(VLOOKUP(INPUT!M2198&amp;INPUT!N2198,CHOOSE({1,2},INPUT!$A$3:$A$5000&amp;INPUT!$C$3:$C$5000,INPUT!$F$3:$F$5000),2,FALSE),"")</f>
        <v>PRE-TEMPORADA</v>
      </c>
      <c r="H2203" t="str" cm="1">
        <f t="array" ref="H2203">IFERROR(VLOOKUP(INPUT!M2198&amp;INPUT!N2198,CHOOSE({1,2},INPUT!$A$3:$A$5000&amp;INPUT!$C$3:$C$5000,INPUT!$D$3:$D$5000),2,FALSE),"")</f>
        <v>TEC-TAC</v>
      </c>
      <c r="I2203" s="46">
        <f>IF(INPUT!P2198="","",INPUT!P2198)</f>
        <v>76.8</v>
      </c>
      <c r="J2203" s="46">
        <f>IF(INPUT!Q2198="","",INPUT!Q2198)</f>
        <v>76.7</v>
      </c>
      <c r="K2203" s="46">
        <f>IFERROR(IF(OR(INPUT!P2198="",INPUT!Q2198=""),"",INPUT!P2198-INPUT!Q2198),"")</f>
        <v>9.9999999999994316E-2</v>
      </c>
      <c r="L2203" s="48">
        <f>IFERROR(IF(OR(INPUT!P2198="",INPUT!Q2198="",INPUT!P2198=0),"",(INPUT!P2198-INPUT!Q2198)/INPUT!P2198),"")</f>
        <v>1.3020833333332593E-3</v>
      </c>
    </row>
    <row r="2204" spans="1:12" ht="18" hidden="1" customHeight="1" x14ac:dyDescent="0.2">
      <c r="A2204" s="11">
        <f>IF(INPUT!M2199="","",INPUT!M2199)</f>
        <v>46092</v>
      </c>
      <c r="B2204" s="11">
        <f>IF(INPUT!M2199="","",INPUT!M2199-WEEKDAY(INPUT!M2199,2)+1)</f>
        <v>46090</v>
      </c>
      <c r="C2204" s="20">
        <f>IFERROR(_xlfn.ISOWEEKNUM(INPUT!M2199),"")</f>
        <v>11</v>
      </c>
      <c r="D2204" s="20">
        <f>IFERROR(YEAR(INPUT!M2199),"")</f>
        <v>2026</v>
      </c>
      <c r="E2204" t="str">
        <f>IF(INPUT!O2199="","",INPUT!O2199)</f>
        <v>HERRERO</v>
      </c>
      <c r="F2204" t="str">
        <f>IF(INPUT!N2199="","",INPUT!N2199)</f>
        <v>M</v>
      </c>
      <c r="G2204" t="str" cm="1">
        <f t="array" ref="G2204">IFERROR(VLOOKUP(INPUT!M2199&amp;INPUT!N2199,CHOOSE({1,2},INPUT!$A$3:$A$5000&amp;INPUT!$C$3:$C$5000,INPUT!$F$3:$F$5000),2,FALSE),"")</f>
        <v>PRE-TEMPORADA</v>
      </c>
      <c r="H2204" t="str" cm="1">
        <f t="array" ref="H2204">IFERROR(VLOOKUP(INPUT!M2199&amp;INPUT!N2199,CHOOSE({1,2},INPUT!$A$3:$A$5000&amp;INPUT!$C$3:$C$5000,INPUT!$D$3:$D$5000),2,FALSE),"")</f>
        <v>TEC-TAC</v>
      </c>
      <c r="I2204" s="46">
        <f>IF(INPUT!P2199="","",INPUT!P2199)</f>
        <v>77</v>
      </c>
      <c r="J2204" s="46">
        <f>IF(INPUT!Q2199="","",INPUT!Q2199)</f>
        <v>77</v>
      </c>
      <c r="K2204" s="46">
        <f>IFERROR(IF(OR(INPUT!P2199="",INPUT!Q2199=""),"",INPUT!P2199-INPUT!Q2199),"")</f>
        <v>0</v>
      </c>
      <c r="L2204" s="48">
        <f>IFERROR(IF(OR(INPUT!P2199="",INPUT!Q2199="",INPUT!P2199=0),"",(INPUT!P2199-INPUT!Q2199)/INPUT!P2199),"")</f>
        <v>0</v>
      </c>
    </row>
    <row r="2205" spans="1:12" ht="18" customHeight="1" x14ac:dyDescent="0.2">
      <c r="A2205" s="11">
        <f>IF(INPUT!M2200="","",INPUT!M2200)</f>
        <v>46092</v>
      </c>
      <c r="B2205" s="11">
        <f>IF(INPUT!M2200="","",INPUT!M2200-WEEKDAY(INPUT!M2200,2)+1)</f>
        <v>46090</v>
      </c>
      <c r="C2205" s="20">
        <f>IFERROR(_xlfn.ISOWEEKNUM(INPUT!M2200),"")</f>
        <v>11</v>
      </c>
      <c r="D2205" s="20">
        <f>IFERROR(YEAR(INPUT!M2200),"")</f>
        <v>2026</v>
      </c>
      <c r="E2205" t="str">
        <f>IF(INPUT!O2200="","",INPUT!O2200)</f>
        <v>GARCIA</v>
      </c>
      <c r="F2205" t="str">
        <f>IF(INPUT!N2200="","",INPUT!N2200)</f>
        <v>M</v>
      </c>
      <c r="G2205" t="str" cm="1">
        <f t="array" ref="G2205">IFERROR(VLOOKUP(INPUT!M2200&amp;INPUT!N2200,CHOOSE({1,2},INPUT!$A$3:$A$5000&amp;INPUT!$C$3:$C$5000,INPUT!$F$3:$F$5000),2,FALSE),"")</f>
        <v>PRE-TEMPORADA</v>
      </c>
      <c r="H2205" t="str" cm="1">
        <f t="array" ref="H2205">IFERROR(VLOOKUP(INPUT!M2200&amp;INPUT!N2200,CHOOSE({1,2},INPUT!$A$3:$A$5000&amp;INPUT!$C$3:$C$5000,INPUT!$D$3:$D$5000),2,FALSE),"")</f>
        <v>TEC-TAC</v>
      </c>
      <c r="I2205" s="46">
        <f>IF(INPUT!P2200="","",INPUT!P2200)</f>
        <v>79.5</v>
      </c>
      <c r="J2205" s="46">
        <f>IF(INPUT!Q2200="","",INPUT!Q2200)</f>
        <v>79</v>
      </c>
      <c r="K2205" s="46">
        <f>IFERROR(IF(OR(INPUT!P2200="",INPUT!Q2200=""),"",INPUT!P2200-INPUT!Q2200),"")</f>
        <v>0.5</v>
      </c>
      <c r="L2205" s="48">
        <f>IFERROR(IF(OR(INPUT!P2200="",INPUT!Q2200="",INPUT!P2200=0),"",(INPUT!P2200-INPUT!Q2200)/INPUT!P2200),"")</f>
        <v>6.2893081761006293E-3</v>
      </c>
    </row>
    <row r="2206" spans="1:12" ht="18" customHeight="1" x14ac:dyDescent="0.2">
      <c r="A2206" s="11">
        <f>IF(INPUT!M2201="","",INPUT!M2201)</f>
        <v>46092</v>
      </c>
      <c r="B2206" s="11">
        <f>IF(INPUT!M2201="","",INPUT!M2201-WEEKDAY(INPUT!M2201,2)+1)</f>
        <v>46090</v>
      </c>
      <c r="C2206" s="20">
        <f>IFERROR(_xlfn.ISOWEEKNUM(INPUT!M2201),"")</f>
        <v>11</v>
      </c>
      <c r="D2206" s="20">
        <f>IFERROR(YEAR(INPUT!M2201),"")</f>
        <v>2026</v>
      </c>
      <c r="E2206" t="str">
        <f>IF(INPUT!O2201="","",INPUT!O2201)</f>
        <v>CECILIO</v>
      </c>
      <c r="F2206" t="str">
        <f>IF(INPUT!N2201="","",INPUT!N2201)</f>
        <v>M</v>
      </c>
      <c r="G2206" t="str" cm="1">
        <f t="array" ref="G2206">IFERROR(VLOOKUP(INPUT!M2201&amp;INPUT!N2201,CHOOSE({1,2},INPUT!$A$3:$A$5000&amp;INPUT!$C$3:$C$5000,INPUT!$F$3:$F$5000),2,FALSE),"")</f>
        <v>PRE-TEMPORADA</v>
      </c>
      <c r="H2206" t="str" cm="1">
        <f t="array" ref="H2206">IFERROR(VLOOKUP(INPUT!M2201&amp;INPUT!N2201,CHOOSE({1,2},INPUT!$A$3:$A$5000&amp;INPUT!$C$3:$C$5000,INPUT!$D$3:$D$5000),2,FALSE),"")</f>
        <v>TEC-TAC</v>
      </c>
      <c r="I2206" s="46">
        <f>IF(INPUT!P2201="","",INPUT!P2201)</f>
        <v>66.599999999999994</v>
      </c>
      <c r="J2206" s="46">
        <f>IF(INPUT!Q2201="","",INPUT!Q2201)</f>
        <v>66.2</v>
      </c>
      <c r="K2206" s="46">
        <f>IFERROR(IF(OR(INPUT!P2201="",INPUT!Q2201=""),"",INPUT!P2201-INPUT!Q2201),"")</f>
        <v>0.39999999999999147</v>
      </c>
      <c r="L2206" s="48">
        <f>IFERROR(IF(OR(INPUT!P2201="",INPUT!Q2201="",INPUT!P2201=0),"",(INPUT!P2201-INPUT!Q2201)/INPUT!P2201),"")</f>
        <v>6.0060060060058785E-3</v>
      </c>
    </row>
    <row r="2207" spans="1:12" ht="18" customHeight="1" x14ac:dyDescent="0.2">
      <c r="A2207" s="11">
        <f>IF(INPUT!M2202="","",INPUT!M2202)</f>
        <v>46092</v>
      </c>
      <c r="B2207" s="11">
        <f>IF(INPUT!M2202="","",INPUT!M2202-WEEKDAY(INPUT!M2202,2)+1)</f>
        <v>46090</v>
      </c>
      <c r="C2207" s="20">
        <f>IFERROR(_xlfn.ISOWEEKNUM(INPUT!M2202),"")</f>
        <v>11</v>
      </c>
      <c r="D2207" s="20">
        <f>IFERROR(YEAR(INPUT!M2202),"")</f>
        <v>2026</v>
      </c>
      <c r="E2207" t="str">
        <f>IF(INPUT!O2202="","",INPUT!O2202)</f>
        <v>CHAGUINHA</v>
      </c>
      <c r="F2207" t="str">
        <f>IF(INPUT!N2202="","",INPUT!N2202)</f>
        <v>M</v>
      </c>
      <c r="G2207" t="str" cm="1">
        <f t="array" ref="G2207">IFERROR(VLOOKUP(INPUT!M2202&amp;INPUT!N2202,CHOOSE({1,2},INPUT!$A$3:$A$5000&amp;INPUT!$C$3:$C$5000,INPUT!$F$3:$F$5000),2,FALSE),"")</f>
        <v>PRE-TEMPORADA</v>
      </c>
      <c r="H2207" t="str" cm="1">
        <f t="array" ref="H2207">IFERROR(VLOOKUP(INPUT!M2202&amp;INPUT!N2202,CHOOSE({1,2},INPUT!$A$3:$A$5000&amp;INPUT!$C$3:$C$5000,INPUT!$D$3:$D$5000),2,FALSE),"")</f>
        <v>TEC-TAC</v>
      </c>
      <c r="I2207" s="46">
        <f>IF(INPUT!P2202="","",INPUT!P2202)</f>
        <v>68.7</v>
      </c>
      <c r="J2207" s="46">
        <f>IF(INPUT!Q2202="","",INPUT!Q2202)</f>
        <v>68.3</v>
      </c>
      <c r="K2207" s="46">
        <f>IFERROR(IF(OR(INPUT!P2202="",INPUT!Q2202=""),"",INPUT!P2202-INPUT!Q2202),"")</f>
        <v>0.40000000000000568</v>
      </c>
      <c r="L2207" s="48">
        <f>IFERROR(IF(OR(INPUT!P2202="",INPUT!Q2202="",INPUT!P2202=0),"",(INPUT!P2202-INPUT!Q2202)/INPUT!P2202),"")</f>
        <v>5.8224163027657304E-3</v>
      </c>
    </row>
    <row r="2208" spans="1:12" ht="18" customHeight="1" x14ac:dyDescent="0.2">
      <c r="A2208" s="11">
        <f>IF(INPUT!M2203="","",INPUT!M2203)</f>
        <v>46092</v>
      </c>
      <c r="B2208" s="11">
        <f>IF(INPUT!M2203="","",INPUT!M2203-WEEKDAY(INPUT!M2203,2)+1)</f>
        <v>46090</v>
      </c>
      <c r="C2208" s="20">
        <f>IFERROR(_xlfn.ISOWEEKNUM(INPUT!M2203),"")</f>
        <v>11</v>
      </c>
      <c r="D2208" s="20">
        <f>IFERROR(YEAR(INPUT!M2203),"")</f>
        <v>2026</v>
      </c>
      <c r="E2208" t="str">
        <f>IF(INPUT!O2203="","",INPUT!O2203)</f>
        <v>RAUL</v>
      </c>
      <c r="F2208" t="str">
        <f>IF(INPUT!N2203="","",INPUT!N2203)</f>
        <v>M</v>
      </c>
      <c r="G2208" t="str" cm="1">
        <f t="array" ref="G2208">IFERROR(VLOOKUP(INPUT!M2203&amp;INPUT!N2203,CHOOSE({1,2},INPUT!$A$3:$A$5000&amp;INPUT!$C$3:$C$5000,INPUT!$F$3:$F$5000),2,FALSE),"")</f>
        <v>PRE-TEMPORADA</v>
      </c>
      <c r="H2208" t="str" cm="1">
        <f t="array" ref="H2208">IFERROR(VLOOKUP(INPUT!M2203&amp;INPUT!N2203,CHOOSE({1,2},INPUT!$A$3:$A$5000&amp;INPUT!$C$3:$C$5000,INPUT!$D$3:$D$5000),2,FALSE),"")</f>
        <v>TEC-TAC</v>
      </c>
      <c r="I2208" s="46">
        <f>IF(INPUT!P2203="","",INPUT!P2203)</f>
        <v>81</v>
      </c>
      <c r="J2208" s="46">
        <f>IF(INPUT!Q2203="","",INPUT!Q2203)</f>
        <v>80.900000000000006</v>
      </c>
      <c r="K2208" s="46">
        <f>IFERROR(IF(OR(INPUT!P2203="",INPUT!Q2203=""),"",INPUT!P2203-INPUT!Q2203),"")</f>
        <v>9.9999999999994316E-2</v>
      </c>
      <c r="L2208" s="48">
        <f>IFERROR(IF(OR(INPUT!P2203="",INPUT!Q2203="",INPUT!P2203=0),"",(INPUT!P2203-INPUT!Q2203)/INPUT!P2203),"")</f>
        <v>1.2345679012344976E-3</v>
      </c>
    </row>
    <row r="2209" spans="1:12" ht="18" customHeight="1" x14ac:dyDescent="0.2">
      <c r="A2209" s="11">
        <f>IF(INPUT!M2204="","",INPUT!M2204)</f>
        <v>46092</v>
      </c>
      <c r="B2209" s="11">
        <f>IF(INPUT!M2204="","",INPUT!M2204-WEEKDAY(INPUT!M2204,2)+1)</f>
        <v>46090</v>
      </c>
      <c r="C2209" s="20">
        <f>IFERROR(_xlfn.ISOWEEKNUM(INPUT!M2204),"")</f>
        <v>11</v>
      </c>
      <c r="D2209" s="20">
        <f>IFERROR(YEAR(INPUT!M2204),"")</f>
        <v>2026</v>
      </c>
      <c r="E2209" t="str">
        <f>IF(INPUT!O2204="","",INPUT!O2204)</f>
        <v>HARRISON</v>
      </c>
      <c r="F2209" t="str">
        <f>IF(INPUT!N2204="","",INPUT!N2204)</f>
        <v>M</v>
      </c>
      <c r="G2209" t="str" cm="1">
        <f t="array" ref="G2209">IFERROR(VLOOKUP(INPUT!M2204&amp;INPUT!N2204,CHOOSE({1,2},INPUT!$A$3:$A$5000&amp;INPUT!$C$3:$C$5000,INPUT!$F$3:$F$5000),2,FALSE),"")</f>
        <v>PRE-TEMPORADA</v>
      </c>
      <c r="H2209" t="str" cm="1">
        <f t="array" ref="H2209">IFERROR(VLOOKUP(INPUT!M2204&amp;INPUT!N2204,CHOOSE({1,2},INPUT!$A$3:$A$5000&amp;INPUT!$C$3:$C$5000,INPUT!$D$3:$D$5000),2,FALSE),"")</f>
        <v>TEC-TAC</v>
      </c>
      <c r="I2209" s="46">
        <f>IF(INPUT!P2204="","",INPUT!P2204)</f>
        <v>71.599999999999994</v>
      </c>
      <c r="J2209" s="46">
        <f>IF(INPUT!Q2204="","",INPUT!Q2204)</f>
        <v>71.599999999999994</v>
      </c>
      <c r="K2209" s="46">
        <f>IFERROR(IF(OR(INPUT!P2204="",INPUT!Q2204=""),"",INPUT!P2204-INPUT!Q2204),"")</f>
        <v>0</v>
      </c>
      <c r="L2209" s="48">
        <f>IFERROR(IF(OR(INPUT!P2204="",INPUT!Q2204="",INPUT!P2204=0),"",(INPUT!P2204-INPUT!Q2204)/INPUT!P2204),"")</f>
        <v>0</v>
      </c>
    </row>
    <row r="2210" spans="1:12" ht="18" customHeight="1" x14ac:dyDescent="0.2">
      <c r="A2210" s="11">
        <f>IF(INPUT!M2205="","",INPUT!M2205)</f>
        <v>46092</v>
      </c>
      <c r="B2210" s="11">
        <f>IF(INPUT!M2205="","",INPUT!M2205-WEEKDAY(INPUT!M2205,2)+1)</f>
        <v>46090</v>
      </c>
      <c r="C2210" s="20">
        <f>IFERROR(_xlfn.ISOWEEKNUM(INPUT!M2205),"")</f>
        <v>11</v>
      </c>
      <c r="D2210" s="20">
        <f>IFERROR(YEAR(INPUT!M2205),"")</f>
        <v>2026</v>
      </c>
      <c r="E2210" t="str">
        <f>IF(INPUT!O2205="","",INPUT!O2205)</f>
        <v>RAYA</v>
      </c>
      <c r="F2210" t="str">
        <f>IF(INPUT!N2205="","",INPUT!N2205)</f>
        <v>M</v>
      </c>
      <c r="G2210" t="str" cm="1">
        <f t="array" ref="G2210">IFERROR(VLOOKUP(INPUT!M2205&amp;INPUT!N2205,CHOOSE({1,2},INPUT!$A$3:$A$5000&amp;INPUT!$C$3:$C$5000,INPUT!$F$3:$F$5000),2,FALSE),"")</f>
        <v>PRE-TEMPORADA</v>
      </c>
      <c r="H2210" t="str" cm="1">
        <f t="array" ref="H2210">IFERROR(VLOOKUP(INPUT!M2205&amp;INPUT!N2205,CHOOSE({1,2},INPUT!$A$3:$A$5000&amp;INPUT!$C$3:$C$5000,INPUT!$D$3:$D$5000),2,FALSE),"")</f>
        <v>TEC-TAC</v>
      </c>
      <c r="I2210" s="46">
        <f>IF(INPUT!P2205="","",INPUT!P2205)</f>
        <v>81.599999999999994</v>
      </c>
      <c r="J2210" s="46">
        <f>IF(INPUT!Q2205="","",INPUT!Q2205)</f>
        <v>80.400000000000006</v>
      </c>
      <c r="K2210" s="46">
        <f>IFERROR(IF(OR(INPUT!P2205="",INPUT!Q2205=""),"",INPUT!P2205-INPUT!Q2205),"")</f>
        <v>1.1999999999999886</v>
      </c>
      <c r="L2210" s="48">
        <f>IFERROR(IF(OR(INPUT!P2205="",INPUT!Q2205="",INPUT!P2205=0),"",(INPUT!P2205-INPUT!Q2205)/INPUT!P2205),"")</f>
        <v>1.4705882352941037E-2</v>
      </c>
    </row>
    <row r="2211" spans="1:12" ht="18" hidden="1" customHeight="1" x14ac:dyDescent="0.2">
      <c r="A2211" s="11">
        <f>IF(INPUT!M2206="","",INPUT!M2206)</f>
        <v>46092</v>
      </c>
      <c r="B2211" s="11">
        <f>IF(INPUT!M2206="","",INPUT!M2206-WEEKDAY(INPUT!M2206,2)+1)</f>
        <v>46090</v>
      </c>
      <c r="C2211" s="20">
        <f>IFERROR(_xlfn.ISOWEEKNUM(INPUT!M2206),"")</f>
        <v>11</v>
      </c>
      <c r="D2211" s="20">
        <f>IFERROR(YEAR(INPUT!M2206),"")</f>
        <v>2026</v>
      </c>
      <c r="E2211" t="str">
        <f>IF(INPUT!O2206="","",INPUT!O2206)</f>
        <v>JAVI</v>
      </c>
      <c r="F2211" t="str">
        <f>IF(INPUT!N2206="","",INPUT!N2206)</f>
        <v>M</v>
      </c>
      <c r="G2211" t="str" cm="1">
        <f t="array" ref="G2211">IFERROR(VLOOKUP(INPUT!M2206&amp;INPUT!N2206,CHOOSE({1,2},INPUT!$A$3:$A$5000&amp;INPUT!$C$3:$C$5000,INPUT!$F$3:$F$5000),2,FALSE),"")</f>
        <v>PRE-TEMPORADA</v>
      </c>
      <c r="H2211" t="str" cm="1">
        <f t="array" ref="H2211">IFERROR(VLOOKUP(INPUT!M2206&amp;INPUT!N2206,CHOOSE({1,2},INPUT!$A$3:$A$5000&amp;INPUT!$C$3:$C$5000,INPUT!$D$3:$D$5000),2,FALSE),"")</f>
        <v>TEC-TAC</v>
      </c>
      <c r="I2211" s="46">
        <f>IF(INPUT!P2206="","",INPUT!P2206)</f>
        <v>79.7</v>
      </c>
      <c r="J2211" s="46">
        <f>IF(INPUT!Q2206="","",INPUT!Q2206)</f>
        <v>79.599999999999994</v>
      </c>
      <c r="K2211" s="46">
        <f>IFERROR(IF(OR(INPUT!P2206="",INPUT!Q2206=""),"",INPUT!P2206-INPUT!Q2206),"")</f>
        <v>0.10000000000000853</v>
      </c>
      <c r="L2211" s="48">
        <f>IFERROR(IF(OR(INPUT!P2206="",INPUT!Q2206="",INPUT!P2206=0),"",(INPUT!P2206-INPUT!Q2206)/INPUT!P2206),"")</f>
        <v>1.2547051442911986E-3</v>
      </c>
    </row>
    <row r="2212" spans="1:12" ht="18" hidden="1" customHeight="1" x14ac:dyDescent="0.2">
      <c r="A2212" s="11">
        <f>IF(INPUT!M2207="","",INPUT!M2207)</f>
        <v>46092</v>
      </c>
      <c r="B2212" s="11">
        <f>IF(INPUT!M2207="","",INPUT!M2207-WEEKDAY(INPUT!M2207,2)+1)</f>
        <v>46090</v>
      </c>
      <c r="C2212" s="20">
        <f>IFERROR(_xlfn.ISOWEEKNUM(INPUT!M2207),"")</f>
        <v>11</v>
      </c>
      <c r="D2212" s="20">
        <f>IFERROR(YEAR(INPUT!M2207),"")</f>
        <v>2026</v>
      </c>
      <c r="E2212" t="str">
        <f>IF(INPUT!O2207="","",INPUT!O2207)</f>
        <v>PANI</v>
      </c>
      <c r="F2212" t="str">
        <f>IF(INPUT!N2207="","",INPUT!N2207)</f>
        <v>M</v>
      </c>
      <c r="G2212" t="str" cm="1">
        <f t="array" ref="G2212">IFERROR(VLOOKUP(INPUT!M2207&amp;INPUT!N2207,CHOOSE({1,2},INPUT!$A$3:$A$5000&amp;INPUT!$C$3:$C$5000,INPUT!$F$3:$F$5000),2,FALSE),"")</f>
        <v>PRE-TEMPORADA</v>
      </c>
      <c r="H2212" t="str" cm="1">
        <f t="array" ref="H2212">IFERROR(VLOOKUP(INPUT!M2207&amp;INPUT!N2207,CHOOSE({1,2},INPUT!$A$3:$A$5000&amp;INPUT!$C$3:$C$5000,INPUT!$D$3:$D$5000),2,FALSE),"")</f>
        <v>TEC-TAC</v>
      </c>
      <c r="I2212" s="46">
        <f>IF(INPUT!P2207="","",INPUT!P2207)</f>
        <v>67.3</v>
      </c>
      <c r="J2212" s="46">
        <f>IF(INPUT!Q2207="","",INPUT!Q2207)</f>
        <v>66.400000000000006</v>
      </c>
      <c r="K2212" s="46">
        <f>IFERROR(IF(OR(INPUT!P2207="",INPUT!Q2207=""),"",INPUT!P2207-INPUT!Q2207),"")</f>
        <v>0.89999999999999147</v>
      </c>
      <c r="L2212" s="48">
        <f>IFERROR(IF(OR(INPUT!P2207="",INPUT!Q2207="",INPUT!P2207=0),"",(INPUT!P2207-INPUT!Q2207)/INPUT!P2207),"")</f>
        <v>1.3372956909360944E-2</v>
      </c>
    </row>
    <row r="2213" spans="1:12" ht="18" hidden="1" customHeight="1" x14ac:dyDescent="0.2">
      <c r="A2213" s="11">
        <f>IF(INPUT!M2208="","",INPUT!M2208)</f>
        <v>46092</v>
      </c>
      <c r="B2213" s="11">
        <f>IF(INPUT!M2208="","",INPUT!M2208-WEEKDAY(INPUT!M2208,2)+1)</f>
        <v>46090</v>
      </c>
      <c r="C2213" s="20">
        <f>IFERROR(_xlfn.ISOWEEKNUM(INPUT!M2208),"")</f>
        <v>11</v>
      </c>
      <c r="D2213" s="20">
        <f>IFERROR(YEAR(INPUT!M2208),"")</f>
        <v>2026</v>
      </c>
      <c r="E2213" t="str">
        <f>IF(INPUT!O2208="","",INPUT!O2208)</f>
        <v>PIRATA</v>
      </c>
      <c r="F2213" t="str">
        <f>IF(INPUT!N2208="","",INPUT!N2208)</f>
        <v>M</v>
      </c>
      <c r="G2213" t="str" cm="1">
        <f t="array" ref="G2213">IFERROR(VLOOKUP(INPUT!M2208&amp;INPUT!N2208,CHOOSE({1,2},INPUT!$A$3:$A$5000&amp;INPUT!$C$3:$C$5000,INPUT!$F$3:$F$5000),2,FALSE),"")</f>
        <v>PRE-TEMPORADA</v>
      </c>
      <c r="H2213" t="str" cm="1">
        <f t="array" ref="H2213">IFERROR(VLOOKUP(INPUT!M2208&amp;INPUT!N2208,CHOOSE({1,2},INPUT!$A$3:$A$5000&amp;INPUT!$C$3:$C$5000,INPUT!$D$3:$D$5000),2,FALSE),"")</f>
        <v>TEC-TAC</v>
      </c>
      <c r="I2213" s="46">
        <f>IF(INPUT!P2208="","",INPUT!P2208)</f>
        <v>75.900000000000006</v>
      </c>
      <c r="J2213" s="46">
        <f>IF(INPUT!Q2208="","",INPUT!Q2208)</f>
        <v>75.900000000000006</v>
      </c>
      <c r="K2213" s="46">
        <f>IFERROR(IF(OR(INPUT!P2208="",INPUT!Q2208=""),"",INPUT!P2208-INPUT!Q2208),"")</f>
        <v>0</v>
      </c>
      <c r="L2213" s="48">
        <f>IFERROR(IF(OR(INPUT!P2208="",INPUT!Q2208="",INPUT!P2208=0),"",(INPUT!P2208-INPUT!Q2208)/INPUT!P2208),"")</f>
        <v>0</v>
      </c>
    </row>
    <row r="2214" spans="1:12" ht="18" hidden="1" customHeight="1" x14ac:dyDescent="0.2">
      <c r="A2214" s="11">
        <f>IF(INPUT!M2209="","",INPUT!M2209)</f>
        <v>46092</v>
      </c>
      <c r="B2214" s="11">
        <f>IF(INPUT!M2209="","",INPUT!M2209-WEEKDAY(INPUT!M2209,2)+1)</f>
        <v>46090</v>
      </c>
      <c r="C2214" s="20">
        <f>IFERROR(_xlfn.ISOWEEKNUM(INPUT!M2209),"")</f>
        <v>11</v>
      </c>
      <c r="D2214" s="20">
        <f>IFERROR(YEAR(INPUT!M2209),"")</f>
        <v>2026</v>
      </c>
      <c r="E2214" t="str">
        <f>IF(INPUT!O2209="","",INPUT!O2209)</f>
        <v>BARONA</v>
      </c>
      <c r="F2214" t="str">
        <f>IF(INPUT!N2209="","",INPUT!N2209)</f>
        <v>M</v>
      </c>
      <c r="G2214" t="str" cm="1">
        <f t="array" ref="G2214">IFERROR(VLOOKUP(INPUT!M2209&amp;INPUT!N2209,CHOOSE({1,2},INPUT!$A$3:$A$5000&amp;INPUT!$C$3:$C$5000,INPUT!$F$3:$F$5000),2,FALSE),"")</f>
        <v>PRE-TEMPORADA</v>
      </c>
      <c r="H2214" t="str" cm="1">
        <f t="array" ref="H2214">IFERROR(VLOOKUP(INPUT!M2209&amp;INPUT!N2209,CHOOSE({1,2},INPUT!$A$3:$A$5000&amp;INPUT!$C$3:$C$5000,INPUT!$D$3:$D$5000),2,FALSE),"")</f>
        <v>TEC-TAC</v>
      </c>
      <c r="I2214" s="46">
        <f>IF(INPUT!P2209="","",INPUT!P2209)</f>
        <v>71.5</v>
      </c>
      <c r="J2214" s="46">
        <f>IF(INPUT!Q2209="","",INPUT!Q2209)</f>
        <v>71</v>
      </c>
      <c r="K2214" s="46">
        <f>IFERROR(IF(OR(INPUT!P2209="",INPUT!Q2209=""),"",INPUT!P2209-INPUT!Q2209),"")</f>
        <v>0.5</v>
      </c>
      <c r="L2214" s="48">
        <f>IFERROR(IF(OR(INPUT!P2209="",INPUT!Q2209="",INPUT!P2209=0),"",(INPUT!P2209-INPUT!Q2209)/INPUT!P2209),"")</f>
        <v>6.993006993006993E-3</v>
      </c>
    </row>
    <row r="2215" spans="1:12" ht="18" hidden="1" customHeight="1" x14ac:dyDescent="0.2">
      <c r="A2215" s="11">
        <f>IF(INPUT!M2210="","",INPUT!M2210)</f>
        <v>46092</v>
      </c>
      <c r="B2215" s="11">
        <f>IF(INPUT!M2210="","",INPUT!M2210-WEEKDAY(INPUT!M2210,2)+1)</f>
        <v>46090</v>
      </c>
      <c r="C2215" s="20">
        <f>IFERROR(_xlfn.ISOWEEKNUM(INPUT!M2210),"")</f>
        <v>11</v>
      </c>
      <c r="D2215" s="20">
        <f>IFERROR(YEAR(INPUT!M2210),"")</f>
        <v>2026</v>
      </c>
      <c r="E2215" t="str">
        <f>IF(INPUT!O2210="","",INPUT!O2210)</f>
        <v>CARLOS</v>
      </c>
      <c r="F2215" t="str">
        <f>IF(INPUT!N2210="","",INPUT!N2210)</f>
        <v>M</v>
      </c>
      <c r="G2215" t="str" cm="1">
        <f t="array" ref="G2215">IFERROR(VLOOKUP(INPUT!M2210&amp;INPUT!N2210,CHOOSE({1,2},INPUT!$A$3:$A$5000&amp;INPUT!$C$3:$C$5000,INPUT!$F$3:$F$5000),2,FALSE),"")</f>
        <v>PRE-TEMPORADA</v>
      </c>
      <c r="H2215" t="str" cm="1">
        <f t="array" ref="H2215">IFERROR(VLOOKUP(INPUT!M2210&amp;INPUT!N2210,CHOOSE({1,2},INPUT!$A$3:$A$5000&amp;INPUT!$C$3:$C$5000,INPUT!$D$3:$D$5000),2,FALSE),"")</f>
        <v>TEC-TAC</v>
      </c>
      <c r="I2215" s="46">
        <f>IF(INPUT!P2210="","",INPUT!P2210)</f>
        <v>69.3</v>
      </c>
      <c r="J2215" s="46">
        <f>IF(INPUT!Q2210="","",INPUT!Q2210)</f>
        <v>68.599999999999994</v>
      </c>
      <c r="K2215" s="46">
        <f>IFERROR(IF(OR(INPUT!P2210="",INPUT!Q2210=""),"",INPUT!P2210-INPUT!Q2210),"")</f>
        <v>0.70000000000000284</v>
      </c>
      <c r="L2215" s="48">
        <f>IFERROR(IF(OR(INPUT!P2210="",INPUT!Q2210="",INPUT!P2210=0),"",(INPUT!P2210-INPUT!Q2210)/INPUT!P2210),"")</f>
        <v>1.0101010101010142E-2</v>
      </c>
    </row>
    <row r="2216" spans="1:12" ht="18" hidden="1" customHeight="1" x14ac:dyDescent="0.2">
      <c r="A2216" s="11">
        <f>IF(INPUT!M2211="","",INPUT!M2211)</f>
        <v>46092</v>
      </c>
      <c r="B2216" s="11">
        <f>IF(INPUT!M2211="","",INPUT!M2211-WEEKDAY(INPUT!M2211,2)+1)</f>
        <v>46090</v>
      </c>
      <c r="C2216" s="20">
        <f>IFERROR(_xlfn.ISOWEEKNUM(INPUT!M2211),"")</f>
        <v>11</v>
      </c>
      <c r="D2216" s="20">
        <f>IFERROR(YEAR(INPUT!M2211),"")</f>
        <v>2026</v>
      </c>
      <c r="E2216" t="str">
        <f>IF(INPUT!O2211="","",INPUT!O2211)</f>
        <v>RUBIO</v>
      </c>
      <c r="F2216" t="str">
        <f>IF(INPUT!N2211="","",INPUT!N2211)</f>
        <v>M</v>
      </c>
      <c r="G2216" t="str" cm="1">
        <f t="array" ref="G2216">IFERROR(VLOOKUP(INPUT!M2211&amp;INPUT!N2211,CHOOSE({1,2},INPUT!$A$3:$A$5000&amp;INPUT!$C$3:$C$5000,INPUT!$F$3:$F$5000),2,FALSE),"")</f>
        <v>PRE-TEMPORADA</v>
      </c>
      <c r="H2216" t="str" cm="1">
        <f t="array" ref="H2216">IFERROR(VLOOKUP(INPUT!M2211&amp;INPUT!N2211,CHOOSE({1,2},INPUT!$A$3:$A$5000&amp;INPUT!$C$3:$C$5000,INPUT!$D$3:$D$5000),2,FALSE),"")</f>
        <v>TEC-TAC</v>
      </c>
      <c r="I2216" s="46">
        <f>IF(INPUT!P2211="","",INPUT!P2211)</f>
        <v>71.8</v>
      </c>
      <c r="J2216" s="46">
        <f>IF(INPUT!Q2211="","",INPUT!Q2211)</f>
        <v>71</v>
      </c>
      <c r="K2216" s="46">
        <f>IFERROR(IF(OR(INPUT!P2211="",INPUT!Q2211=""),"",INPUT!P2211-INPUT!Q2211),"")</f>
        <v>0.79999999999999716</v>
      </c>
      <c r="L2216" s="48">
        <f>IFERROR(IF(OR(INPUT!P2211="",INPUT!Q2211="",INPUT!P2211=0),"",(INPUT!P2211-INPUT!Q2211)/INPUT!P2211),"")</f>
        <v>1.1142061281337007E-2</v>
      </c>
    </row>
    <row r="2217" spans="1:12" ht="18" hidden="1" customHeight="1" x14ac:dyDescent="0.2">
      <c r="A2217" s="11">
        <f>IF(INPUT!M2212="","",INPUT!M2212)</f>
        <v>46092</v>
      </c>
      <c r="B2217" s="11">
        <f>IF(INPUT!M2212="","",INPUT!M2212-WEEKDAY(INPUT!M2212,2)+1)</f>
        <v>46090</v>
      </c>
      <c r="C2217" s="20">
        <f>IFERROR(_xlfn.ISOWEEKNUM(INPUT!M2212),"")</f>
        <v>11</v>
      </c>
      <c r="D2217" s="20">
        <f>IFERROR(YEAR(INPUT!M2212),"")</f>
        <v>2026</v>
      </c>
      <c r="E2217" t="str">
        <f>IF(INPUT!O2212="","",INPUT!O2212)</f>
        <v>DANI</v>
      </c>
      <c r="F2217" t="str">
        <f>IF(INPUT!N2212="","",INPUT!N2212)</f>
        <v>M</v>
      </c>
      <c r="G2217" t="str" cm="1">
        <f t="array" ref="G2217">IFERROR(VLOOKUP(INPUT!M2212&amp;INPUT!N2212,CHOOSE({1,2},INPUT!$A$3:$A$5000&amp;INPUT!$C$3:$C$5000,INPUT!$F$3:$F$5000),2,FALSE),"")</f>
        <v>PRE-TEMPORADA</v>
      </c>
      <c r="H2217" t="str" cm="1">
        <f t="array" ref="H2217">IFERROR(VLOOKUP(INPUT!M2212&amp;INPUT!N2212,CHOOSE({1,2},INPUT!$A$3:$A$5000&amp;INPUT!$C$3:$C$5000,INPUT!$D$3:$D$5000),2,FALSE),"")</f>
        <v>TEC-TAC</v>
      </c>
      <c r="I2217" s="46">
        <f>IF(INPUT!P2212="","",INPUT!P2212)</f>
        <v>91</v>
      </c>
      <c r="J2217" s="46">
        <f>IF(INPUT!Q2212="","",INPUT!Q2212)</f>
        <v>91</v>
      </c>
      <c r="K2217" s="46">
        <f>IFERROR(IF(OR(INPUT!P2212="",INPUT!Q2212=""),"",INPUT!P2212-INPUT!Q2212),"")</f>
        <v>0</v>
      </c>
      <c r="L2217" s="48">
        <f>IFERROR(IF(OR(INPUT!P2212="",INPUT!Q2212="",INPUT!P2212=0),"",(INPUT!P2212-INPUT!Q2212)/INPUT!P2212),"")</f>
        <v>0</v>
      </c>
    </row>
    <row r="2218" spans="1:12" ht="18" hidden="1" customHeight="1" x14ac:dyDescent="0.2">
      <c r="A2218" s="11">
        <f>IF(INPUT!M2213="","",INPUT!M2213)</f>
        <v>46092</v>
      </c>
      <c r="B2218" s="11">
        <f>IF(INPUT!M2213="","",INPUT!M2213-WEEKDAY(INPUT!M2213,2)+1)</f>
        <v>46090</v>
      </c>
      <c r="C2218" s="20">
        <f>IFERROR(_xlfn.ISOWEEKNUM(INPUT!M2213),"")</f>
        <v>11</v>
      </c>
      <c r="D2218" s="20">
        <f>IFERROR(YEAR(INPUT!M2213),"")</f>
        <v>2026</v>
      </c>
      <c r="E2218" t="str">
        <f>IF(INPUT!O2213="","",INPUT!O2213)</f>
        <v>JAIME</v>
      </c>
      <c r="F2218" t="str">
        <f>IF(INPUT!N2213="","",INPUT!N2213)</f>
        <v>M</v>
      </c>
      <c r="G2218" t="str" cm="1">
        <f t="array" ref="G2218">IFERROR(VLOOKUP(INPUT!M2213&amp;INPUT!N2213,CHOOSE({1,2},INPUT!$A$3:$A$5000&amp;INPUT!$C$3:$C$5000,INPUT!$F$3:$F$5000),2,FALSE),"")</f>
        <v>PRE-TEMPORADA</v>
      </c>
      <c r="H2218" t="str" cm="1">
        <f t="array" ref="H2218">IFERROR(VLOOKUP(INPUT!M2213&amp;INPUT!N2213,CHOOSE({1,2},INPUT!$A$3:$A$5000&amp;INPUT!$C$3:$C$5000,INPUT!$D$3:$D$5000),2,FALSE),"")</f>
        <v>TEC-TAC</v>
      </c>
      <c r="I2218" s="46">
        <f>IF(INPUT!P2213="","",INPUT!P2213)</f>
        <v>77</v>
      </c>
      <c r="J2218" s="46">
        <f>IF(INPUT!Q2213="","",INPUT!Q2213)</f>
        <v>77</v>
      </c>
      <c r="K2218" s="46">
        <f>IFERROR(IF(OR(INPUT!P2213="",INPUT!Q2213=""),"",INPUT!P2213-INPUT!Q2213),"")</f>
        <v>0</v>
      </c>
      <c r="L2218" s="48">
        <f>IFERROR(IF(OR(INPUT!P2213="",INPUT!Q2213="",INPUT!P2213=0),"",(INPUT!P2213-INPUT!Q2213)/INPUT!P2213),"")</f>
        <v>0</v>
      </c>
    </row>
    <row r="2219" spans="1:12" ht="18" hidden="1" customHeight="1" x14ac:dyDescent="0.2">
      <c r="A2219" s="11">
        <f>IF(INPUT!M2214="","",INPUT!M2214)</f>
        <v>46093</v>
      </c>
      <c r="B2219" s="11">
        <f>IF(INPUT!M2214="","",INPUT!M2214-WEEKDAY(INPUT!M2214,2)+1)</f>
        <v>46090</v>
      </c>
      <c r="C2219" s="20">
        <f>IFERROR(_xlfn.ISOWEEKNUM(INPUT!M2214),"")</f>
        <v>11</v>
      </c>
      <c r="D2219" s="20">
        <f>IFERROR(YEAR(INPUT!M2214),"")</f>
        <v>2026</v>
      </c>
      <c r="E2219" t="str">
        <f>IF(INPUT!O2214="","",INPUT!O2214)</f>
        <v>HERRERO</v>
      </c>
      <c r="F2219" t="str">
        <f>IF(INPUT!N2214="","",INPUT!N2214)</f>
        <v>M</v>
      </c>
      <c r="G2219" t="str" cm="1">
        <f t="array" ref="G2219">IFERROR(VLOOKUP(INPUT!M2214&amp;INPUT!N2214,CHOOSE({1,2},INPUT!$A$3:$A$5000&amp;INPUT!$C$3:$C$5000,INPUT!$F$3:$F$5000),2,FALSE),"")</f>
        <v>PRE-TEMPORADA</v>
      </c>
      <c r="H2219" t="str" cm="1">
        <f t="array" ref="H2219">IFERROR(VLOOKUP(INPUT!M2214&amp;INPUT!N2214,CHOOSE({1,2},INPUT!$A$3:$A$5000&amp;INPUT!$C$3:$C$5000,INPUT!$D$3:$D$5000),2,FALSE),"")</f>
        <v>TEC-TAC</v>
      </c>
      <c r="I2219" s="46">
        <f>IF(INPUT!P2214="","",INPUT!P2214)</f>
        <v>77</v>
      </c>
      <c r="J2219" s="46">
        <f>IF(INPUT!Q2214="","",INPUT!Q2214)</f>
        <v>76.400000000000006</v>
      </c>
      <c r="K2219" s="46">
        <f>IFERROR(IF(OR(INPUT!P2214="",INPUT!Q2214=""),"",INPUT!P2214-INPUT!Q2214),"")</f>
        <v>0.59999999999999432</v>
      </c>
      <c r="L2219" s="48">
        <f>IFERROR(IF(OR(INPUT!P2214="",INPUT!Q2214="",INPUT!P2214=0),"",(INPUT!P2214-INPUT!Q2214)/INPUT!P2214),"")</f>
        <v>7.7922077922077185E-3</v>
      </c>
    </row>
    <row r="2220" spans="1:12" ht="18" hidden="1" customHeight="1" x14ac:dyDescent="0.2">
      <c r="A2220" s="11">
        <f>IF(INPUT!M2215="","",INPUT!M2215)</f>
        <v>46093</v>
      </c>
      <c r="B2220" s="11">
        <f>IF(INPUT!M2215="","",INPUT!M2215-WEEKDAY(INPUT!M2215,2)+1)</f>
        <v>46090</v>
      </c>
      <c r="C2220" s="20">
        <f>IFERROR(_xlfn.ISOWEEKNUM(INPUT!M2215),"")</f>
        <v>11</v>
      </c>
      <c r="D2220" s="20">
        <f>IFERROR(YEAR(INPUT!M2215),"")</f>
        <v>2026</v>
      </c>
      <c r="E2220" t="str">
        <f>IF(INPUT!O2215="","",INPUT!O2215)</f>
        <v>GARCIA</v>
      </c>
      <c r="F2220" t="str">
        <f>IF(INPUT!N2215="","",INPUT!N2215)</f>
        <v>M</v>
      </c>
      <c r="G2220" t="str" cm="1">
        <f t="array" ref="G2220">IFERROR(VLOOKUP(INPUT!M2215&amp;INPUT!N2215,CHOOSE({1,2},INPUT!$A$3:$A$5000&amp;INPUT!$C$3:$C$5000,INPUT!$F$3:$F$5000),2,FALSE),"")</f>
        <v>PRE-TEMPORADA</v>
      </c>
      <c r="H2220" t="str" cm="1">
        <f t="array" ref="H2220">IFERROR(VLOOKUP(INPUT!M2215&amp;INPUT!N2215,CHOOSE({1,2},INPUT!$A$3:$A$5000&amp;INPUT!$C$3:$C$5000,INPUT!$D$3:$D$5000),2,FALSE),"")</f>
        <v>TEC-TAC</v>
      </c>
      <c r="I2220" s="46">
        <f>IF(INPUT!P2215="","",INPUT!P2215)</f>
        <v>79.599999999999994</v>
      </c>
      <c r="J2220" s="46">
        <f>IF(INPUT!Q2215="","",INPUT!Q2215)</f>
        <v>79</v>
      </c>
      <c r="K2220" s="46">
        <f>IFERROR(IF(OR(INPUT!P2215="",INPUT!Q2215=""),"",INPUT!P2215-INPUT!Q2215),"")</f>
        <v>0.59999999999999432</v>
      </c>
      <c r="L2220" s="48">
        <f>IFERROR(IF(OR(INPUT!P2215="",INPUT!Q2215="",INPUT!P2215=0),"",(INPUT!P2215-INPUT!Q2215)/INPUT!P2215),"")</f>
        <v>7.5376884422109847E-3</v>
      </c>
    </row>
    <row r="2221" spans="1:12" ht="18" hidden="1" customHeight="1" x14ac:dyDescent="0.2">
      <c r="A2221" s="11">
        <f>IF(INPUT!M2216="","",INPUT!M2216)</f>
        <v>46093</v>
      </c>
      <c r="B2221" s="11">
        <f>IF(INPUT!M2216="","",INPUT!M2216-WEEKDAY(INPUT!M2216,2)+1)</f>
        <v>46090</v>
      </c>
      <c r="C2221" s="20">
        <f>IFERROR(_xlfn.ISOWEEKNUM(INPUT!M2216),"")</f>
        <v>11</v>
      </c>
      <c r="D2221" s="20">
        <f>IFERROR(YEAR(INPUT!M2216),"")</f>
        <v>2026</v>
      </c>
      <c r="E2221" t="str">
        <f>IF(INPUT!O2216="","",INPUT!O2216)</f>
        <v>CECILIO</v>
      </c>
      <c r="F2221" t="str">
        <f>IF(INPUT!N2216="","",INPUT!N2216)</f>
        <v>M</v>
      </c>
      <c r="G2221" t="str" cm="1">
        <f t="array" ref="G2221">IFERROR(VLOOKUP(INPUT!M2216&amp;INPUT!N2216,CHOOSE({1,2},INPUT!$A$3:$A$5000&amp;INPUT!$C$3:$C$5000,INPUT!$F$3:$F$5000),2,FALSE),"")</f>
        <v>PRE-TEMPORADA</v>
      </c>
      <c r="H2221" t="str" cm="1">
        <f t="array" ref="H2221">IFERROR(VLOOKUP(INPUT!M2216&amp;INPUT!N2216,CHOOSE({1,2},INPUT!$A$3:$A$5000&amp;INPUT!$C$3:$C$5000,INPUT!$D$3:$D$5000),2,FALSE),"")</f>
        <v>TEC-TAC</v>
      </c>
      <c r="I2221" s="46">
        <f>IF(INPUT!P2216="","",INPUT!P2216)</f>
        <v>67.3</v>
      </c>
      <c r="J2221" s="46">
        <f>IF(INPUT!Q2216="","",INPUT!Q2216)</f>
        <v>67.599999999999994</v>
      </c>
      <c r="K2221" s="46">
        <f>IFERROR(IF(OR(INPUT!P2216="",INPUT!Q2216=""),"",INPUT!P2216-INPUT!Q2216),"")</f>
        <v>-0.29999999999999716</v>
      </c>
      <c r="L2221" s="48">
        <f>IFERROR(IF(OR(INPUT!P2216="",INPUT!Q2216="",INPUT!P2216=0),"",(INPUT!P2216-INPUT!Q2216)/INPUT!P2216),"")</f>
        <v>-4.4576523031203148E-3</v>
      </c>
    </row>
    <row r="2222" spans="1:12" ht="18" hidden="1" customHeight="1" x14ac:dyDescent="0.2">
      <c r="A2222" s="11">
        <f>IF(INPUT!M2217="","",INPUT!M2217)</f>
        <v>46093</v>
      </c>
      <c r="B2222" s="11">
        <f>IF(INPUT!M2217="","",INPUT!M2217-WEEKDAY(INPUT!M2217,2)+1)</f>
        <v>46090</v>
      </c>
      <c r="C2222" s="20">
        <f>IFERROR(_xlfn.ISOWEEKNUM(INPUT!M2217),"")</f>
        <v>11</v>
      </c>
      <c r="D2222" s="20">
        <f>IFERROR(YEAR(INPUT!M2217),"")</f>
        <v>2026</v>
      </c>
      <c r="E2222" t="str">
        <f>IF(INPUT!O2217="","",INPUT!O2217)</f>
        <v>CHAGUINHA</v>
      </c>
      <c r="F2222" t="str">
        <f>IF(INPUT!N2217="","",INPUT!N2217)</f>
        <v>M</v>
      </c>
      <c r="G2222" t="str" cm="1">
        <f t="array" ref="G2222">IFERROR(VLOOKUP(INPUT!M2217&amp;INPUT!N2217,CHOOSE({1,2},INPUT!$A$3:$A$5000&amp;INPUT!$C$3:$C$5000,INPUT!$F$3:$F$5000),2,FALSE),"")</f>
        <v>PRE-TEMPORADA</v>
      </c>
      <c r="H2222" t="str" cm="1">
        <f t="array" ref="H2222">IFERROR(VLOOKUP(INPUT!M2217&amp;INPUT!N2217,CHOOSE({1,2},INPUT!$A$3:$A$5000&amp;INPUT!$C$3:$C$5000,INPUT!$D$3:$D$5000),2,FALSE),"")</f>
        <v>TEC-TAC</v>
      </c>
      <c r="I2222" s="46">
        <f>IF(INPUT!P2217="","",INPUT!P2217)</f>
        <v>69</v>
      </c>
      <c r="J2222" s="46">
        <f>IF(INPUT!Q2217="","",INPUT!Q2217)</f>
        <v>68.8</v>
      </c>
      <c r="K2222" s="46">
        <f>IFERROR(IF(OR(INPUT!P2217="",INPUT!Q2217=""),"",INPUT!P2217-INPUT!Q2217),"")</f>
        <v>0.20000000000000284</v>
      </c>
      <c r="L2222" s="48">
        <f>IFERROR(IF(OR(INPUT!P2217="",INPUT!Q2217="",INPUT!P2217=0),"",(INPUT!P2217-INPUT!Q2217)/INPUT!P2217),"")</f>
        <v>2.8985507246377224E-3</v>
      </c>
    </row>
    <row r="2223" spans="1:12" ht="18" hidden="1" customHeight="1" x14ac:dyDescent="0.2">
      <c r="A2223" s="11">
        <f>IF(INPUT!M2218="","",INPUT!M2218)</f>
        <v>46093</v>
      </c>
      <c r="B2223" s="11">
        <f>IF(INPUT!M2218="","",INPUT!M2218-WEEKDAY(INPUT!M2218,2)+1)</f>
        <v>46090</v>
      </c>
      <c r="C2223" s="20">
        <f>IFERROR(_xlfn.ISOWEEKNUM(INPUT!M2218),"")</f>
        <v>11</v>
      </c>
      <c r="D2223" s="20">
        <f>IFERROR(YEAR(INPUT!M2218),"")</f>
        <v>2026</v>
      </c>
      <c r="E2223" t="str">
        <f>IF(INPUT!O2218="","",INPUT!O2218)</f>
        <v>RAUL</v>
      </c>
      <c r="F2223" t="str">
        <f>IF(INPUT!N2218="","",INPUT!N2218)</f>
        <v>M</v>
      </c>
      <c r="G2223" t="str" cm="1">
        <f t="array" ref="G2223">IFERROR(VLOOKUP(INPUT!M2218&amp;INPUT!N2218,CHOOSE({1,2},INPUT!$A$3:$A$5000&amp;INPUT!$C$3:$C$5000,INPUT!$F$3:$F$5000),2,FALSE),"")</f>
        <v>PRE-TEMPORADA</v>
      </c>
      <c r="H2223" t="str" cm="1">
        <f t="array" ref="H2223">IFERROR(VLOOKUP(INPUT!M2218&amp;INPUT!N2218,CHOOSE({1,2},INPUT!$A$3:$A$5000&amp;INPUT!$C$3:$C$5000,INPUT!$D$3:$D$5000),2,FALSE),"")</f>
        <v>TEC-TAC</v>
      </c>
      <c r="I2223" s="46">
        <f>IF(INPUT!P2218="","",INPUT!P2218)</f>
        <v>81.5</v>
      </c>
      <c r="J2223" s="46">
        <f>IF(INPUT!Q2218="","",INPUT!Q2218)</f>
        <v>81</v>
      </c>
      <c r="K2223" s="46">
        <f>IFERROR(IF(OR(INPUT!P2218="",INPUT!Q2218=""),"",INPUT!P2218-INPUT!Q2218),"")</f>
        <v>0.5</v>
      </c>
      <c r="L2223" s="48">
        <f>IFERROR(IF(OR(INPUT!P2218="",INPUT!Q2218="",INPUT!P2218=0),"",(INPUT!P2218-INPUT!Q2218)/INPUT!P2218),"")</f>
        <v>6.1349693251533744E-3</v>
      </c>
    </row>
    <row r="2224" spans="1:12" ht="18" hidden="1" customHeight="1" x14ac:dyDescent="0.2">
      <c r="A2224" s="11">
        <f>IF(INPUT!M2219="","",INPUT!M2219)</f>
        <v>46093</v>
      </c>
      <c r="B2224" s="11">
        <f>IF(INPUT!M2219="","",INPUT!M2219-WEEKDAY(INPUT!M2219,2)+1)</f>
        <v>46090</v>
      </c>
      <c r="C2224" s="20">
        <f>IFERROR(_xlfn.ISOWEEKNUM(INPUT!M2219),"")</f>
        <v>11</v>
      </c>
      <c r="D2224" s="20">
        <f>IFERROR(YEAR(INPUT!M2219),"")</f>
        <v>2026</v>
      </c>
      <c r="E2224" t="str">
        <f>IF(INPUT!O2219="","",INPUT!O2219)</f>
        <v>HARRISON</v>
      </c>
      <c r="F2224" t="str">
        <f>IF(INPUT!N2219="","",INPUT!N2219)</f>
        <v>M</v>
      </c>
      <c r="G2224" t="str" cm="1">
        <f t="array" ref="G2224">IFERROR(VLOOKUP(INPUT!M2219&amp;INPUT!N2219,CHOOSE({1,2},INPUT!$A$3:$A$5000&amp;INPUT!$C$3:$C$5000,INPUT!$F$3:$F$5000),2,FALSE),"")</f>
        <v>PRE-TEMPORADA</v>
      </c>
      <c r="H2224" t="str" cm="1">
        <f t="array" ref="H2224">IFERROR(VLOOKUP(INPUT!M2219&amp;INPUT!N2219,CHOOSE({1,2},INPUT!$A$3:$A$5000&amp;INPUT!$C$3:$C$5000,INPUT!$D$3:$D$5000),2,FALSE),"")</f>
        <v>TEC-TAC</v>
      </c>
      <c r="I2224" s="46">
        <f>IF(INPUT!P2219="","",INPUT!P2219)</f>
        <v>72</v>
      </c>
      <c r="J2224" s="46">
        <f>IF(INPUT!Q2219="","",INPUT!Q2219)</f>
        <v>72</v>
      </c>
      <c r="K2224" s="46">
        <f>IFERROR(IF(OR(INPUT!P2219="",INPUT!Q2219=""),"",INPUT!P2219-INPUT!Q2219),"")</f>
        <v>0</v>
      </c>
      <c r="L2224" s="48">
        <f>IFERROR(IF(OR(INPUT!P2219="",INPUT!Q2219="",INPUT!P2219=0),"",(INPUT!P2219-INPUT!Q2219)/INPUT!P2219),"")</f>
        <v>0</v>
      </c>
    </row>
    <row r="2225" spans="1:12" ht="18" hidden="1" customHeight="1" x14ac:dyDescent="0.2">
      <c r="A2225" s="11">
        <f>IF(INPUT!M2220="","",INPUT!M2220)</f>
        <v>46093</v>
      </c>
      <c r="B2225" s="11">
        <f>IF(INPUT!M2220="","",INPUT!M2220-WEEKDAY(INPUT!M2220,2)+1)</f>
        <v>46090</v>
      </c>
      <c r="C2225" s="20">
        <f>IFERROR(_xlfn.ISOWEEKNUM(INPUT!M2220),"")</f>
        <v>11</v>
      </c>
      <c r="D2225" s="20">
        <f>IFERROR(YEAR(INPUT!M2220),"")</f>
        <v>2026</v>
      </c>
      <c r="E2225" t="str">
        <f>IF(INPUT!O2220="","",INPUT!O2220)</f>
        <v>RAYA</v>
      </c>
      <c r="F2225" t="str">
        <f>IF(INPUT!N2220="","",INPUT!N2220)</f>
        <v>M</v>
      </c>
      <c r="G2225" t="str" cm="1">
        <f t="array" ref="G2225">IFERROR(VLOOKUP(INPUT!M2220&amp;INPUT!N2220,CHOOSE({1,2},INPUT!$A$3:$A$5000&amp;INPUT!$C$3:$C$5000,INPUT!$F$3:$F$5000),2,FALSE),"")</f>
        <v>PRE-TEMPORADA</v>
      </c>
      <c r="H2225" t="str" cm="1">
        <f t="array" ref="H2225">IFERROR(VLOOKUP(INPUT!M2220&amp;INPUT!N2220,CHOOSE({1,2},INPUT!$A$3:$A$5000&amp;INPUT!$C$3:$C$5000,INPUT!$D$3:$D$5000),2,FALSE),"")</f>
        <v>TEC-TAC</v>
      </c>
      <c r="I2225" s="46">
        <f>IF(INPUT!P2220="","",INPUT!P2220)</f>
        <v>82.5</v>
      </c>
      <c r="J2225" s="46">
        <f>IF(INPUT!Q2220="","",INPUT!Q2220)</f>
        <v>81.8</v>
      </c>
      <c r="K2225" s="46">
        <f>IFERROR(IF(OR(INPUT!P2220="",INPUT!Q2220=""),"",INPUT!P2220-INPUT!Q2220),"")</f>
        <v>0.70000000000000284</v>
      </c>
      <c r="L2225" s="48">
        <f>IFERROR(IF(OR(INPUT!P2220="",INPUT!Q2220="",INPUT!P2220=0),"",(INPUT!P2220-INPUT!Q2220)/INPUT!P2220),"")</f>
        <v>8.4848484848485187E-3</v>
      </c>
    </row>
    <row r="2226" spans="1:12" ht="18" hidden="1" customHeight="1" x14ac:dyDescent="0.2">
      <c r="A2226" s="11">
        <f>IF(INPUT!M2221="","",INPUT!M2221)</f>
        <v>46093</v>
      </c>
      <c r="B2226" s="11">
        <f>IF(INPUT!M2221="","",INPUT!M2221-WEEKDAY(INPUT!M2221,2)+1)</f>
        <v>46090</v>
      </c>
      <c r="C2226" s="20">
        <f>IFERROR(_xlfn.ISOWEEKNUM(INPUT!M2221),"")</f>
        <v>11</v>
      </c>
      <c r="D2226" s="20">
        <f>IFERROR(YEAR(INPUT!M2221),"")</f>
        <v>2026</v>
      </c>
      <c r="E2226" t="str">
        <f>IF(INPUT!O2221="","",INPUT!O2221)</f>
        <v>JAVI</v>
      </c>
      <c r="F2226" t="str">
        <f>IF(INPUT!N2221="","",INPUT!N2221)</f>
        <v>M</v>
      </c>
      <c r="G2226" t="str" cm="1">
        <f t="array" ref="G2226">IFERROR(VLOOKUP(INPUT!M2221&amp;INPUT!N2221,CHOOSE({1,2},INPUT!$A$3:$A$5000&amp;INPUT!$C$3:$C$5000,INPUT!$F$3:$F$5000),2,FALSE),"")</f>
        <v>PRE-TEMPORADA</v>
      </c>
      <c r="H2226" t="str" cm="1">
        <f t="array" ref="H2226">IFERROR(VLOOKUP(INPUT!M2221&amp;INPUT!N2221,CHOOSE({1,2},INPUT!$A$3:$A$5000&amp;INPUT!$C$3:$C$5000,INPUT!$D$3:$D$5000),2,FALSE),"")</f>
        <v>TEC-TAC</v>
      </c>
      <c r="I2226" s="46">
        <f>IF(INPUT!P2221="","",INPUT!P2221)</f>
        <v>79.099999999999994</v>
      </c>
      <c r="J2226" s="46">
        <f>IF(INPUT!Q2221="","",INPUT!Q2221)</f>
        <v>78.7</v>
      </c>
      <c r="K2226" s="46">
        <f>IFERROR(IF(OR(INPUT!P2221="",INPUT!Q2221=""),"",INPUT!P2221-INPUT!Q2221),"")</f>
        <v>0.39999999999999147</v>
      </c>
      <c r="L2226" s="48">
        <f>IFERROR(IF(OR(INPUT!P2221="",INPUT!Q2221="",INPUT!P2221=0),"",(INPUT!P2221-INPUT!Q2221)/INPUT!P2221),"")</f>
        <v>5.0568900126421179E-3</v>
      </c>
    </row>
    <row r="2227" spans="1:12" ht="18" hidden="1" customHeight="1" x14ac:dyDescent="0.2">
      <c r="A2227" s="11">
        <f>IF(INPUT!M2222="","",INPUT!M2222)</f>
        <v>46093</v>
      </c>
      <c r="B2227" s="11">
        <f>IF(INPUT!M2222="","",INPUT!M2222-WEEKDAY(INPUT!M2222,2)+1)</f>
        <v>46090</v>
      </c>
      <c r="C2227" s="20">
        <f>IFERROR(_xlfn.ISOWEEKNUM(INPUT!M2222),"")</f>
        <v>11</v>
      </c>
      <c r="D2227" s="20">
        <f>IFERROR(YEAR(INPUT!M2222),"")</f>
        <v>2026</v>
      </c>
      <c r="E2227" t="str">
        <f>IF(INPUT!O2222="","",INPUT!O2222)</f>
        <v>PANI</v>
      </c>
      <c r="F2227" t="str">
        <f>IF(INPUT!N2222="","",INPUT!N2222)</f>
        <v>M</v>
      </c>
      <c r="G2227" t="str" cm="1">
        <f t="array" ref="G2227">IFERROR(VLOOKUP(INPUT!M2222&amp;INPUT!N2222,CHOOSE({1,2},INPUT!$A$3:$A$5000&amp;INPUT!$C$3:$C$5000,INPUT!$F$3:$F$5000),2,FALSE),"")</f>
        <v>PRE-TEMPORADA</v>
      </c>
      <c r="H2227" t="str" cm="1">
        <f t="array" ref="H2227">IFERROR(VLOOKUP(INPUT!M2222&amp;INPUT!N2222,CHOOSE({1,2},INPUT!$A$3:$A$5000&amp;INPUT!$C$3:$C$5000,INPUT!$D$3:$D$5000),2,FALSE),"")</f>
        <v>TEC-TAC</v>
      </c>
      <c r="I2227" s="46">
        <f>IF(INPUT!P2222="","",INPUT!P2222)</f>
        <v>67.400000000000006</v>
      </c>
      <c r="J2227" s="46">
        <f>IF(INPUT!Q2222="","",INPUT!Q2222)</f>
        <v>67.3</v>
      </c>
      <c r="K2227" s="46">
        <f>IFERROR(IF(OR(INPUT!P2222="",INPUT!Q2222=""),"",INPUT!P2222-INPUT!Q2222),"")</f>
        <v>0.10000000000000853</v>
      </c>
      <c r="L2227" s="48">
        <f>IFERROR(IF(OR(INPUT!P2222="",INPUT!Q2222="",INPUT!P2222=0),"",(INPUT!P2222-INPUT!Q2222)/INPUT!P2222),"")</f>
        <v>1.4836795252226784E-3</v>
      </c>
    </row>
    <row r="2228" spans="1:12" ht="18" hidden="1" customHeight="1" x14ac:dyDescent="0.2">
      <c r="A2228" s="11">
        <f>IF(INPUT!M2223="","",INPUT!M2223)</f>
        <v>46093</v>
      </c>
      <c r="B2228" s="11">
        <f>IF(INPUT!M2223="","",INPUT!M2223-WEEKDAY(INPUT!M2223,2)+1)</f>
        <v>46090</v>
      </c>
      <c r="C2228" s="20">
        <f>IFERROR(_xlfn.ISOWEEKNUM(INPUT!M2223),"")</f>
        <v>11</v>
      </c>
      <c r="D2228" s="20">
        <f>IFERROR(YEAR(INPUT!M2223),"")</f>
        <v>2026</v>
      </c>
      <c r="E2228" t="str">
        <f>IF(INPUT!O2223="","",INPUT!O2223)</f>
        <v>PIRATA</v>
      </c>
      <c r="F2228" t="str">
        <f>IF(INPUT!N2223="","",INPUT!N2223)</f>
        <v>M</v>
      </c>
      <c r="G2228" t="str" cm="1">
        <f t="array" ref="G2228">IFERROR(VLOOKUP(INPUT!M2223&amp;INPUT!N2223,CHOOSE({1,2},INPUT!$A$3:$A$5000&amp;INPUT!$C$3:$C$5000,INPUT!$F$3:$F$5000),2,FALSE),"")</f>
        <v>PRE-TEMPORADA</v>
      </c>
      <c r="H2228" t="str" cm="1">
        <f t="array" ref="H2228">IFERROR(VLOOKUP(INPUT!M2223&amp;INPUT!N2223,CHOOSE({1,2},INPUT!$A$3:$A$5000&amp;INPUT!$C$3:$C$5000,INPUT!$D$3:$D$5000),2,FALSE),"")</f>
        <v>TEC-TAC</v>
      </c>
      <c r="I2228" s="46">
        <f>IF(INPUT!P2223="","",INPUT!P2223)</f>
        <v>76</v>
      </c>
      <c r="J2228" s="46">
        <f>IF(INPUT!Q2223="","",INPUT!Q2223)</f>
        <v>75.8</v>
      </c>
      <c r="K2228" s="46">
        <f>IFERROR(IF(OR(INPUT!P2223="",INPUT!Q2223=""),"",INPUT!P2223-INPUT!Q2223),"")</f>
        <v>0.20000000000000284</v>
      </c>
      <c r="L2228" s="48">
        <f>IFERROR(IF(OR(INPUT!P2223="",INPUT!Q2223="",INPUT!P2223=0),"",(INPUT!P2223-INPUT!Q2223)/INPUT!P2223),"")</f>
        <v>2.6315789473684583E-3</v>
      </c>
    </row>
    <row r="2229" spans="1:12" ht="18" customHeight="1" x14ac:dyDescent="0.2">
      <c r="A2229" s="11">
        <f>IF(INPUT!M2224="","",INPUT!M2224)</f>
        <v>46093</v>
      </c>
      <c r="B2229" s="11">
        <f>IF(INPUT!M2224="","",INPUT!M2224-WEEKDAY(INPUT!M2224,2)+1)</f>
        <v>46090</v>
      </c>
      <c r="C2229" s="20">
        <f>IFERROR(_xlfn.ISOWEEKNUM(INPUT!M2224),"")</f>
        <v>11</v>
      </c>
      <c r="D2229" s="20">
        <f>IFERROR(YEAR(INPUT!M2224),"")</f>
        <v>2026</v>
      </c>
      <c r="E2229" t="str">
        <f>IF(INPUT!O2224="","",INPUT!O2224)</f>
        <v>BARONA</v>
      </c>
      <c r="F2229" t="str">
        <f>IF(INPUT!N2224="","",INPUT!N2224)</f>
        <v>M</v>
      </c>
      <c r="G2229" t="str" cm="1">
        <f t="array" ref="G2229">IFERROR(VLOOKUP(INPUT!M2224&amp;INPUT!N2224,CHOOSE({1,2},INPUT!$A$3:$A$5000&amp;INPUT!$C$3:$C$5000,INPUT!$F$3:$F$5000),2,FALSE),"")</f>
        <v>PRE-TEMPORADA</v>
      </c>
      <c r="H2229" t="str" cm="1">
        <f t="array" ref="H2229">IFERROR(VLOOKUP(INPUT!M2224&amp;INPUT!N2224,CHOOSE({1,2},INPUT!$A$3:$A$5000&amp;INPUT!$C$3:$C$5000,INPUT!$D$3:$D$5000),2,FALSE),"")</f>
        <v>TEC-TAC</v>
      </c>
      <c r="I2229" s="46">
        <f>IF(INPUT!P2224="","",INPUT!P2224)</f>
        <v>71.5</v>
      </c>
      <c r="J2229" s="46">
        <f>IF(INPUT!Q2224="","",INPUT!Q2224)</f>
        <v>71</v>
      </c>
      <c r="K2229" s="46">
        <f>IFERROR(IF(OR(INPUT!P2224="",INPUT!Q2224=""),"",INPUT!P2224-INPUT!Q2224),"")</f>
        <v>0.5</v>
      </c>
      <c r="L2229" s="48">
        <f>IFERROR(IF(OR(INPUT!P2224="",INPUT!Q2224="",INPUT!P2224=0),"",(INPUT!P2224-INPUT!Q2224)/INPUT!P2224),"")</f>
        <v>6.993006993006993E-3</v>
      </c>
    </row>
    <row r="2230" spans="1:12" ht="18" customHeight="1" x14ac:dyDescent="0.2">
      <c r="A2230" s="11">
        <f>IF(INPUT!M2225="","",INPUT!M2225)</f>
        <v>46093</v>
      </c>
      <c r="B2230" s="11">
        <f>IF(INPUT!M2225="","",INPUT!M2225-WEEKDAY(INPUT!M2225,2)+1)</f>
        <v>46090</v>
      </c>
      <c r="C2230" s="20">
        <f>IFERROR(_xlfn.ISOWEEKNUM(INPUT!M2225),"")</f>
        <v>11</v>
      </c>
      <c r="D2230" s="20">
        <f>IFERROR(YEAR(INPUT!M2225),"")</f>
        <v>2026</v>
      </c>
      <c r="E2230" t="str">
        <f>IF(INPUT!O2225="","",INPUT!O2225)</f>
        <v>CARLOS</v>
      </c>
      <c r="F2230" t="str">
        <f>IF(INPUT!N2225="","",INPUT!N2225)</f>
        <v>M</v>
      </c>
      <c r="G2230" t="str" cm="1">
        <f t="array" ref="G2230">IFERROR(VLOOKUP(INPUT!M2225&amp;INPUT!N2225,CHOOSE({1,2},INPUT!$A$3:$A$5000&amp;INPUT!$C$3:$C$5000,INPUT!$F$3:$F$5000),2,FALSE),"")</f>
        <v>PRE-TEMPORADA</v>
      </c>
      <c r="H2230" t="str" cm="1">
        <f t="array" ref="H2230">IFERROR(VLOOKUP(INPUT!M2225&amp;INPUT!N2225,CHOOSE({1,2},INPUT!$A$3:$A$5000&amp;INPUT!$C$3:$C$5000,INPUT!$D$3:$D$5000),2,FALSE),"")</f>
        <v>TEC-TAC</v>
      </c>
      <c r="I2230" s="46">
        <f>IF(INPUT!P2225="","",INPUT!P2225)</f>
        <v>68.7</v>
      </c>
      <c r="J2230" s="46">
        <f>IF(INPUT!Q2225="","",INPUT!Q2225)</f>
        <v>68.2</v>
      </c>
      <c r="K2230" s="46">
        <f>IFERROR(IF(OR(INPUT!P2225="",INPUT!Q2225=""),"",INPUT!P2225-INPUT!Q2225),"")</f>
        <v>0.5</v>
      </c>
      <c r="L2230" s="48">
        <f>IFERROR(IF(OR(INPUT!P2225="",INPUT!Q2225="",INPUT!P2225=0),"",(INPUT!P2225-INPUT!Q2225)/INPUT!P2225),"")</f>
        <v>7.2780203784570596E-3</v>
      </c>
    </row>
    <row r="2231" spans="1:12" ht="18" customHeight="1" x14ac:dyDescent="0.2">
      <c r="A2231" s="11">
        <f>IF(INPUT!M2226="","",INPUT!M2226)</f>
        <v>46093</v>
      </c>
      <c r="B2231" s="11">
        <f>IF(INPUT!M2226="","",INPUT!M2226-WEEKDAY(INPUT!M2226,2)+1)</f>
        <v>46090</v>
      </c>
      <c r="C2231" s="20">
        <f>IFERROR(_xlfn.ISOWEEKNUM(INPUT!M2226),"")</f>
        <v>11</v>
      </c>
      <c r="D2231" s="20">
        <f>IFERROR(YEAR(INPUT!M2226),"")</f>
        <v>2026</v>
      </c>
      <c r="E2231" t="str">
        <f>IF(INPUT!O2226="","",INPUT!O2226)</f>
        <v>RUBIO</v>
      </c>
      <c r="F2231" t="str">
        <f>IF(INPUT!N2226="","",INPUT!N2226)</f>
        <v>M</v>
      </c>
      <c r="G2231" t="str" cm="1">
        <f t="array" ref="G2231">IFERROR(VLOOKUP(INPUT!M2226&amp;INPUT!N2226,CHOOSE({1,2},INPUT!$A$3:$A$5000&amp;INPUT!$C$3:$C$5000,INPUT!$F$3:$F$5000),2,FALSE),"")</f>
        <v>PRE-TEMPORADA</v>
      </c>
      <c r="H2231" t="str" cm="1">
        <f t="array" ref="H2231">IFERROR(VLOOKUP(INPUT!M2226&amp;INPUT!N2226,CHOOSE({1,2},INPUT!$A$3:$A$5000&amp;INPUT!$C$3:$C$5000,INPUT!$D$3:$D$5000),2,FALSE),"")</f>
        <v>TEC-TAC</v>
      </c>
      <c r="I2231" s="46">
        <f>IF(INPUT!P2226="","",INPUT!P2226)</f>
        <v>74.8</v>
      </c>
      <c r="J2231" s="46">
        <f>IF(INPUT!Q2226="","",INPUT!Q2226)</f>
        <v>74.8</v>
      </c>
      <c r="K2231" s="46">
        <f>IFERROR(IF(OR(INPUT!P2226="",INPUT!Q2226=""),"",INPUT!P2226-INPUT!Q2226),"")</f>
        <v>0</v>
      </c>
      <c r="L2231" s="48">
        <f>IFERROR(IF(OR(INPUT!P2226="",INPUT!Q2226="",INPUT!P2226=0),"",(INPUT!P2226-INPUT!Q2226)/INPUT!P2226),"")</f>
        <v>0</v>
      </c>
    </row>
    <row r="2232" spans="1:12" ht="18" customHeight="1" x14ac:dyDescent="0.2">
      <c r="A2232" s="11">
        <f>IF(INPUT!M2227="","",INPUT!M2227)</f>
        <v>46093</v>
      </c>
      <c r="B2232" s="11">
        <f>IF(INPUT!M2227="","",INPUT!M2227-WEEKDAY(INPUT!M2227,2)+1)</f>
        <v>46090</v>
      </c>
      <c r="C2232" s="20">
        <f>IFERROR(_xlfn.ISOWEEKNUM(INPUT!M2227),"")</f>
        <v>11</v>
      </c>
      <c r="D2232" s="20">
        <f>IFERROR(YEAR(INPUT!M2227),"")</f>
        <v>2026</v>
      </c>
      <c r="E2232" t="str">
        <f>IF(INPUT!O2227="","",INPUT!O2227)</f>
        <v>DANI</v>
      </c>
      <c r="F2232" t="str">
        <f>IF(INPUT!N2227="","",INPUT!N2227)</f>
        <v>M</v>
      </c>
      <c r="G2232" t="str" cm="1">
        <f t="array" ref="G2232">IFERROR(VLOOKUP(INPUT!M2227&amp;INPUT!N2227,CHOOSE({1,2},INPUT!$A$3:$A$5000&amp;INPUT!$C$3:$C$5000,INPUT!$F$3:$F$5000),2,FALSE),"")</f>
        <v>PRE-TEMPORADA</v>
      </c>
      <c r="H2232" t="str" cm="1">
        <f t="array" ref="H2232">IFERROR(VLOOKUP(INPUT!M2227&amp;INPUT!N2227,CHOOSE({1,2},INPUT!$A$3:$A$5000&amp;INPUT!$C$3:$C$5000,INPUT!$D$3:$D$5000),2,FALSE),"")</f>
        <v>TEC-TAC</v>
      </c>
      <c r="I2232" s="46">
        <f>IF(INPUT!P2227="","",INPUT!P2227)</f>
        <v>91.1</v>
      </c>
      <c r="J2232" s="46">
        <f>IF(INPUT!Q2227="","",INPUT!Q2227)</f>
        <v>90.5</v>
      </c>
      <c r="K2232" s="46">
        <f>IFERROR(IF(OR(INPUT!P2227="",INPUT!Q2227=""),"",INPUT!P2227-INPUT!Q2227),"")</f>
        <v>0.59999999999999432</v>
      </c>
      <c r="L2232" s="48">
        <f>IFERROR(IF(OR(INPUT!P2227="",INPUT!Q2227="",INPUT!P2227=0),"",(INPUT!P2227-INPUT!Q2227)/INPUT!P2227),"")</f>
        <v>6.5861690450054267E-3</v>
      </c>
    </row>
    <row r="2233" spans="1:12" ht="18" customHeight="1" x14ac:dyDescent="0.2">
      <c r="A2233" s="11">
        <f>IF(INPUT!M2228="","",INPUT!M2228)</f>
        <v>46093</v>
      </c>
      <c r="B2233" s="11">
        <f>IF(INPUT!M2228="","",INPUT!M2228-WEEKDAY(INPUT!M2228,2)+1)</f>
        <v>46090</v>
      </c>
      <c r="C2233" s="20">
        <f>IFERROR(_xlfn.ISOWEEKNUM(INPUT!M2228),"")</f>
        <v>11</v>
      </c>
      <c r="D2233" s="20">
        <f>IFERROR(YEAR(INPUT!M2228),"")</f>
        <v>2026</v>
      </c>
      <c r="E2233" t="str">
        <f>IF(INPUT!O2228="","",INPUT!O2228)</f>
        <v>JAIME</v>
      </c>
      <c r="F2233" t="str">
        <f>IF(INPUT!N2228="","",INPUT!N2228)</f>
        <v>M</v>
      </c>
      <c r="G2233" t="str" cm="1">
        <f t="array" ref="G2233">IFERROR(VLOOKUP(INPUT!M2228&amp;INPUT!N2228,CHOOSE({1,2},INPUT!$A$3:$A$5000&amp;INPUT!$C$3:$C$5000,INPUT!$F$3:$F$5000),2,FALSE),"")</f>
        <v>PRE-TEMPORADA</v>
      </c>
      <c r="H2233" t="str" cm="1">
        <f t="array" ref="H2233">IFERROR(VLOOKUP(INPUT!M2228&amp;INPUT!N2228,CHOOSE({1,2},INPUT!$A$3:$A$5000&amp;INPUT!$C$3:$C$5000,INPUT!$D$3:$D$5000),2,FALSE),"")</f>
        <v>TEC-TAC</v>
      </c>
      <c r="I2233" s="46">
        <f>IF(INPUT!P2228="","",INPUT!P2228)</f>
        <v>77</v>
      </c>
      <c r="J2233" s="46">
        <f>IF(INPUT!Q2228="","",INPUT!Q2228)</f>
        <v>77</v>
      </c>
      <c r="K2233" s="46">
        <f>IFERROR(IF(OR(INPUT!P2228="",INPUT!Q2228=""),"",INPUT!P2228-INPUT!Q2228),"")</f>
        <v>0</v>
      </c>
      <c r="L2233" s="48">
        <f>IFERROR(IF(OR(INPUT!P2228="",INPUT!Q2228="",INPUT!P2228=0),"",(INPUT!P2228-INPUT!Q2228)/INPUT!P2228),"")</f>
        <v>0</v>
      </c>
    </row>
    <row r="2234" spans="1:12" ht="18" customHeight="1" x14ac:dyDescent="0.2">
      <c r="A2234" s="11">
        <f>IF(INPUT!M2229="","",INPUT!M2229)</f>
        <v>46094</v>
      </c>
      <c r="B2234" s="11">
        <f>IF(INPUT!M2229="","",INPUT!M2229-WEEKDAY(INPUT!M2229,2)+1)</f>
        <v>46090</v>
      </c>
      <c r="C2234" s="20">
        <f>IFERROR(_xlfn.ISOWEEKNUM(INPUT!M2229),"")</f>
        <v>11</v>
      </c>
      <c r="D2234" s="20">
        <f>IFERROR(YEAR(INPUT!M2229),"")</f>
        <v>2026</v>
      </c>
      <c r="E2234" t="str">
        <f>IF(INPUT!O2229="","",INPUT!O2229)</f>
        <v>HERRERO</v>
      </c>
      <c r="F2234" t="str">
        <f>IF(INPUT!N2229="","",INPUT!N2229)</f>
        <v>M</v>
      </c>
      <c r="G2234" t="str" cm="1">
        <f t="array" ref="G2234">IFERROR(VLOOKUP(INPUT!M2229&amp;INPUT!N2229,CHOOSE({1,2},INPUT!$A$3:$A$5000&amp;INPUT!$C$3:$C$5000,INPUT!$F$3:$F$5000),2,FALSE),"")</f>
        <v>PRE-TEMPORADA</v>
      </c>
      <c r="H2234" t="str" cm="1">
        <f t="array" ref="H2234">IFERROR(VLOOKUP(INPUT!M2229&amp;INPUT!N2229,CHOOSE({1,2},INPUT!$A$3:$A$5000&amp;INPUT!$C$3:$C$5000,INPUT!$D$3:$D$5000),2,FALSE),"")</f>
        <v>MATINAL</v>
      </c>
      <c r="I2234" s="46">
        <f>IF(INPUT!P2229="","",INPUT!P2229)</f>
        <v>77</v>
      </c>
      <c r="J2234" s="46">
        <f>IF(INPUT!Q2229="","",INPUT!Q2229)</f>
        <v>76.900000000000006</v>
      </c>
      <c r="K2234" s="46">
        <f>IFERROR(IF(OR(INPUT!P2229="",INPUT!Q2229=""),"",INPUT!P2229-INPUT!Q2229),"")</f>
        <v>9.9999999999994316E-2</v>
      </c>
      <c r="L2234" s="48">
        <f>IFERROR(IF(OR(INPUT!P2229="",INPUT!Q2229="",INPUT!P2229=0),"",(INPUT!P2229-INPUT!Q2229)/INPUT!P2229),"")</f>
        <v>1.298701298701225E-3</v>
      </c>
    </row>
    <row r="2235" spans="1:12" ht="18" hidden="1" customHeight="1" x14ac:dyDescent="0.2">
      <c r="A2235" s="11">
        <f>IF(INPUT!M2230="","",INPUT!M2230)</f>
        <v>46094</v>
      </c>
      <c r="B2235" s="11">
        <f>IF(INPUT!M2230="","",INPUT!M2230-WEEKDAY(INPUT!M2230,2)+1)</f>
        <v>46090</v>
      </c>
      <c r="C2235" s="20">
        <f>IFERROR(_xlfn.ISOWEEKNUM(INPUT!M2230),"")</f>
        <v>11</v>
      </c>
      <c r="D2235" s="20">
        <f>IFERROR(YEAR(INPUT!M2230),"")</f>
        <v>2026</v>
      </c>
      <c r="E2235" t="str">
        <f>IF(INPUT!O2230="","",INPUT!O2230)</f>
        <v>HERRERO</v>
      </c>
      <c r="F2235" t="str">
        <f>IF(INPUT!N2230="","",INPUT!N2230)</f>
        <v>T</v>
      </c>
      <c r="G2235" t="str" cm="1">
        <f t="array" ref="G2235">IFERROR(VLOOKUP(INPUT!M2230&amp;INPUT!N2230,CHOOSE({1,2},INPUT!$A$3:$A$5000&amp;INPUT!$C$3:$C$5000,INPUT!$F$3:$F$5000),2,FALSE),"")</f>
        <v>PRE-TEMPORADA</v>
      </c>
      <c r="H2235" t="str" cm="1">
        <f t="array" ref="H2235">IFERROR(VLOOKUP(INPUT!M2230&amp;INPUT!N2230,CHOOSE({1,2},INPUT!$A$3:$A$5000&amp;INPUT!$C$3:$C$5000,INPUT!$D$3:$D$5000),2,FALSE),"")</f>
        <v>PARTIDO</v>
      </c>
      <c r="I2235" s="46">
        <f>IF(INPUT!P2230="","",INPUT!P2230)</f>
        <v>77</v>
      </c>
      <c r="J2235" s="46">
        <f>IF(INPUT!Q2230="","",INPUT!Q2230)</f>
        <v>76.400000000000006</v>
      </c>
      <c r="K2235" s="46">
        <f>IFERROR(IF(OR(INPUT!P2230="",INPUT!Q2230=""),"",INPUT!P2230-INPUT!Q2230),"")</f>
        <v>0.59999999999999432</v>
      </c>
      <c r="L2235" s="48">
        <f>IFERROR(IF(OR(INPUT!P2230="",INPUT!Q2230="",INPUT!P2230=0),"",(INPUT!P2230-INPUT!Q2230)/INPUT!P2230),"")</f>
        <v>7.7922077922077185E-3</v>
      </c>
    </row>
    <row r="2236" spans="1:12" ht="18" hidden="1" customHeight="1" x14ac:dyDescent="0.2">
      <c r="A2236" s="11">
        <f>IF(INPUT!M2231="","",INPUT!M2231)</f>
        <v>46094</v>
      </c>
      <c r="B2236" s="11">
        <f>IF(INPUT!M2231="","",INPUT!M2231-WEEKDAY(INPUT!M2231,2)+1)</f>
        <v>46090</v>
      </c>
      <c r="C2236" s="20">
        <f>IFERROR(_xlfn.ISOWEEKNUM(INPUT!M2231),"")</f>
        <v>11</v>
      </c>
      <c r="D2236" s="20">
        <f>IFERROR(YEAR(INPUT!M2231),"")</f>
        <v>2026</v>
      </c>
      <c r="E2236" t="str">
        <f>IF(INPUT!O2231="","",INPUT!O2231)</f>
        <v>GARCIA</v>
      </c>
      <c r="F2236" t="str">
        <f>IF(INPUT!N2231="","",INPUT!N2231)</f>
        <v>M</v>
      </c>
      <c r="G2236" t="str" cm="1">
        <f t="array" ref="G2236">IFERROR(VLOOKUP(INPUT!M2231&amp;INPUT!N2231,CHOOSE({1,2},INPUT!$A$3:$A$5000&amp;INPUT!$C$3:$C$5000,INPUT!$F$3:$F$5000),2,FALSE),"")</f>
        <v>PRE-TEMPORADA</v>
      </c>
      <c r="H2236" t="str" cm="1">
        <f t="array" ref="H2236">IFERROR(VLOOKUP(INPUT!M2231&amp;INPUT!N2231,CHOOSE({1,2},INPUT!$A$3:$A$5000&amp;INPUT!$C$3:$C$5000,INPUT!$D$3:$D$5000),2,FALSE),"")</f>
        <v>MATINAL</v>
      </c>
      <c r="I2236" s="46">
        <f>IF(INPUT!P2231="","",INPUT!P2231)</f>
        <v>79.599999999999994</v>
      </c>
      <c r="J2236" s="46">
        <f>IF(INPUT!Q2231="","",INPUT!Q2231)</f>
        <v>79.400000000000006</v>
      </c>
      <c r="K2236" s="46">
        <f>IFERROR(IF(OR(INPUT!P2231="",INPUT!Q2231=""),"",INPUT!P2231-INPUT!Q2231),"")</f>
        <v>0.19999999999998863</v>
      </c>
      <c r="L2236" s="48">
        <f>IFERROR(IF(OR(INPUT!P2231="",INPUT!Q2231="",INPUT!P2231=0),"",(INPUT!P2231-INPUT!Q2231)/INPUT!P2231),"")</f>
        <v>2.5125628140702091E-3</v>
      </c>
    </row>
    <row r="2237" spans="1:12" ht="18" hidden="1" customHeight="1" x14ac:dyDescent="0.2">
      <c r="A2237" s="11">
        <f>IF(INPUT!M2232="","",INPUT!M2232)</f>
        <v>46094</v>
      </c>
      <c r="B2237" s="11">
        <f>IF(INPUT!M2232="","",INPUT!M2232-WEEKDAY(INPUT!M2232,2)+1)</f>
        <v>46090</v>
      </c>
      <c r="C2237" s="20">
        <f>IFERROR(_xlfn.ISOWEEKNUM(INPUT!M2232),"")</f>
        <v>11</v>
      </c>
      <c r="D2237" s="20">
        <f>IFERROR(YEAR(INPUT!M2232),"")</f>
        <v>2026</v>
      </c>
      <c r="E2237" t="str">
        <f>IF(INPUT!O2232="","",INPUT!O2232)</f>
        <v>GARCIA</v>
      </c>
      <c r="F2237" t="str">
        <f>IF(INPUT!N2232="","",INPUT!N2232)</f>
        <v>T</v>
      </c>
      <c r="G2237" t="str" cm="1">
        <f t="array" ref="G2237">IFERROR(VLOOKUP(INPUT!M2232&amp;INPUT!N2232,CHOOSE({1,2},INPUT!$A$3:$A$5000&amp;INPUT!$C$3:$C$5000,INPUT!$F$3:$F$5000),2,FALSE),"")</f>
        <v>PRE-TEMPORADA</v>
      </c>
      <c r="H2237" t="str" cm="1">
        <f t="array" ref="H2237">IFERROR(VLOOKUP(INPUT!M2232&amp;INPUT!N2232,CHOOSE({1,2},INPUT!$A$3:$A$5000&amp;INPUT!$C$3:$C$5000,INPUT!$D$3:$D$5000),2,FALSE),"")</f>
        <v>PARTIDO</v>
      </c>
      <c r="I2237" s="46">
        <f>IF(INPUT!P2232="","",INPUT!P2232)</f>
        <v>78.900000000000006</v>
      </c>
      <c r="J2237" s="46">
        <f>IF(INPUT!Q2232="","",INPUT!Q2232)</f>
        <v>78.8</v>
      </c>
      <c r="K2237" s="46">
        <f>IFERROR(IF(OR(INPUT!P2232="",INPUT!Q2232=""),"",INPUT!P2232-INPUT!Q2232),"")</f>
        <v>0.10000000000000853</v>
      </c>
      <c r="L2237" s="48">
        <f>IFERROR(IF(OR(INPUT!P2232="",INPUT!Q2232="",INPUT!P2232=0),"",(INPUT!P2232-INPUT!Q2232)/INPUT!P2232),"")</f>
        <v>1.2674271229405388E-3</v>
      </c>
    </row>
    <row r="2238" spans="1:12" ht="18" hidden="1" customHeight="1" x14ac:dyDescent="0.2">
      <c r="A2238" s="11">
        <f>IF(INPUT!M2233="","",INPUT!M2233)</f>
        <v>46094</v>
      </c>
      <c r="B2238" s="11">
        <f>IF(INPUT!M2233="","",INPUT!M2233-WEEKDAY(INPUT!M2233,2)+1)</f>
        <v>46090</v>
      </c>
      <c r="C2238" s="20">
        <f>IFERROR(_xlfn.ISOWEEKNUM(INPUT!M2233),"")</f>
        <v>11</v>
      </c>
      <c r="D2238" s="20">
        <f>IFERROR(YEAR(INPUT!M2233),"")</f>
        <v>2026</v>
      </c>
      <c r="E2238" t="str">
        <f>IF(INPUT!O2233="","",INPUT!O2233)</f>
        <v>CECILIO</v>
      </c>
      <c r="F2238" t="str">
        <f>IF(INPUT!N2233="","",INPUT!N2233)</f>
        <v>M</v>
      </c>
      <c r="G2238" t="str" cm="1">
        <f t="array" ref="G2238">IFERROR(VLOOKUP(INPUT!M2233&amp;INPUT!N2233,CHOOSE({1,2},INPUT!$A$3:$A$5000&amp;INPUT!$C$3:$C$5000,INPUT!$F$3:$F$5000),2,FALSE),"")</f>
        <v>PRE-TEMPORADA</v>
      </c>
      <c r="H2238" t="str" cm="1">
        <f t="array" ref="H2238">IFERROR(VLOOKUP(INPUT!M2233&amp;INPUT!N2233,CHOOSE({1,2},INPUT!$A$3:$A$5000&amp;INPUT!$C$3:$C$5000,INPUT!$D$3:$D$5000),2,FALSE),"")</f>
        <v>MATINAL</v>
      </c>
      <c r="I2238" s="46">
        <f>IF(INPUT!P2233="","",INPUT!P2233)</f>
        <v>67.099999999999994</v>
      </c>
      <c r="J2238" s="46">
        <f>IF(INPUT!Q2233="","",INPUT!Q2233)</f>
        <v>67</v>
      </c>
      <c r="K2238" s="46">
        <f>IFERROR(IF(OR(INPUT!P2233="",INPUT!Q2233=""),"",INPUT!P2233-INPUT!Q2233),"")</f>
        <v>9.9999999999994316E-2</v>
      </c>
      <c r="L2238" s="48">
        <f>IFERROR(IF(OR(INPUT!P2233="",INPUT!Q2233="",INPUT!P2233=0),"",(INPUT!P2233-INPUT!Q2233)/INPUT!P2233),"")</f>
        <v>1.4903129657227172E-3</v>
      </c>
    </row>
    <row r="2239" spans="1:12" ht="18" hidden="1" customHeight="1" x14ac:dyDescent="0.2">
      <c r="A2239" s="11">
        <f>IF(INPUT!M2234="","",INPUT!M2234)</f>
        <v>46094</v>
      </c>
      <c r="B2239" s="11">
        <f>IF(INPUT!M2234="","",INPUT!M2234-WEEKDAY(INPUT!M2234,2)+1)</f>
        <v>46090</v>
      </c>
      <c r="C2239" s="20">
        <f>IFERROR(_xlfn.ISOWEEKNUM(INPUT!M2234),"")</f>
        <v>11</v>
      </c>
      <c r="D2239" s="20">
        <f>IFERROR(YEAR(INPUT!M2234),"")</f>
        <v>2026</v>
      </c>
      <c r="E2239" t="str">
        <f>IF(INPUT!O2234="","",INPUT!O2234)</f>
        <v>CECILIO</v>
      </c>
      <c r="F2239" t="str">
        <f>IF(INPUT!N2234="","",INPUT!N2234)</f>
        <v>T</v>
      </c>
      <c r="G2239" t="str" cm="1">
        <f t="array" ref="G2239">IFERROR(VLOOKUP(INPUT!M2234&amp;INPUT!N2234,CHOOSE({1,2},INPUT!$A$3:$A$5000&amp;INPUT!$C$3:$C$5000,INPUT!$F$3:$F$5000),2,FALSE),"")</f>
        <v>PRE-TEMPORADA</v>
      </c>
      <c r="H2239" t="str" cm="1">
        <f t="array" ref="H2239">IFERROR(VLOOKUP(INPUT!M2234&amp;INPUT!N2234,CHOOSE({1,2},INPUT!$A$3:$A$5000&amp;INPUT!$C$3:$C$5000,INPUT!$D$3:$D$5000),2,FALSE),"")</f>
        <v>PARTIDO</v>
      </c>
      <c r="I2239" s="46">
        <f>IF(INPUT!P2234="","",INPUT!P2234)</f>
        <v>67</v>
      </c>
      <c r="J2239" s="46">
        <f>IF(INPUT!Q2234="","",INPUT!Q2234)</f>
        <v>67</v>
      </c>
      <c r="K2239" s="46">
        <f>IFERROR(IF(OR(INPUT!P2234="",INPUT!Q2234=""),"",INPUT!P2234-INPUT!Q2234),"")</f>
        <v>0</v>
      </c>
      <c r="L2239" s="48">
        <f>IFERROR(IF(OR(INPUT!P2234="",INPUT!Q2234="",INPUT!P2234=0),"",(INPUT!P2234-INPUT!Q2234)/INPUT!P2234),"")</f>
        <v>0</v>
      </c>
    </row>
    <row r="2240" spans="1:12" ht="18" hidden="1" customHeight="1" x14ac:dyDescent="0.2">
      <c r="A2240" s="11">
        <f>IF(INPUT!M2235="","",INPUT!M2235)</f>
        <v>46094</v>
      </c>
      <c r="B2240" s="11">
        <f>IF(INPUT!M2235="","",INPUT!M2235-WEEKDAY(INPUT!M2235,2)+1)</f>
        <v>46090</v>
      </c>
      <c r="C2240" s="20">
        <f>IFERROR(_xlfn.ISOWEEKNUM(INPUT!M2235),"")</f>
        <v>11</v>
      </c>
      <c r="D2240" s="20">
        <f>IFERROR(YEAR(INPUT!M2235),"")</f>
        <v>2026</v>
      </c>
      <c r="E2240" t="str">
        <f>IF(INPUT!O2235="","",INPUT!O2235)</f>
        <v>CHAGUINHA</v>
      </c>
      <c r="F2240" t="str">
        <f>IF(INPUT!N2235="","",INPUT!N2235)</f>
        <v>M</v>
      </c>
      <c r="G2240" t="str" cm="1">
        <f t="array" ref="G2240">IFERROR(VLOOKUP(INPUT!M2235&amp;INPUT!N2235,CHOOSE({1,2},INPUT!$A$3:$A$5000&amp;INPUT!$C$3:$C$5000,INPUT!$F$3:$F$5000),2,FALSE),"")</f>
        <v>PRE-TEMPORADA</v>
      </c>
      <c r="H2240" t="str" cm="1">
        <f t="array" ref="H2240">IFERROR(VLOOKUP(INPUT!M2235&amp;INPUT!N2235,CHOOSE({1,2},INPUT!$A$3:$A$5000&amp;INPUT!$C$3:$C$5000,INPUT!$D$3:$D$5000),2,FALSE),"")</f>
        <v>MATINAL</v>
      </c>
      <c r="I2240" s="46">
        <f>IF(INPUT!P2235="","",INPUT!P2235)</f>
        <v>69</v>
      </c>
      <c r="J2240" s="46">
        <f>IF(INPUT!Q2235="","",INPUT!Q2235)</f>
        <v>68.5</v>
      </c>
      <c r="K2240" s="46">
        <f>IFERROR(IF(OR(INPUT!P2235="",INPUT!Q2235=""),"",INPUT!P2235-INPUT!Q2235),"")</f>
        <v>0.5</v>
      </c>
      <c r="L2240" s="48">
        <f>IFERROR(IF(OR(INPUT!P2235="",INPUT!Q2235="",INPUT!P2235=0),"",(INPUT!P2235-INPUT!Q2235)/INPUT!P2235),"")</f>
        <v>7.246376811594203E-3</v>
      </c>
    </row>
    <row r="2241" spans="1:12" ht="18" hidden="1" customHeight="1" x14ac:dyDescent="0.2">
      <c r="A2241" s="11">
        <f>IF(INPUT!M2236="","",INPUT!M2236)</f>
        <v>46094</v>
      </c>
      <c r="B2241" s="11">
        <f>IF(INPUT!M2236="","",INPUT!M2236-WEEKDAY(INPUT!M2236,2)+1)</f>
        <v>46090</v>
      </c>
      <c r="C2241" s="20">
        <f>IFERROR(_xlfn.ISOWEEKNUM(INPUT!M2236),"")</f>
        <v>11</v>
      </c>
      <c r="D2241" s="20">
        <f>IFERROR(YEAR(INPUT!M2236),"")</f>
        <v>2026</v>
      </c>
      <c r="E2241" t="str">
        <f>IF(INPUT!O2236="","",INPUT!O2236)</f>
        <v>RAUL</v>
      </c>
      <c r="F2241" t="str">
        <f>IF(INPUT!N2236="","",INPUT!N2236)</f>
        <v>M</v>
      </c>
      <c r="G2241" t="str" cm="1">
        <f t="array" ref="G2241">IFERROR(VLOOKUP(INPUT!M2236&amp;INPUT!N2236,CHOOSE({1,2},INPUT!$A$3:$A$5000&amp;INPUT!$C$3:$C$5000,INPUT!$F$3:$F$5000),2,FALSE),"")</f>
        <v>PRE-TEMPORADA</v>
      </c>
      <c r="H2241" t="str" cm="1">
        <f t="array" ref="H2241">IFERROR(VLOOKUP(INPUT!M2236&amp;INPUT!N2236,CHOOSE({1,2},INPUT!$A$3:$A$5000&amp;INPUT!$C$3:$C$5000,INPUT!$D$3:$D$5000),2,FALSE),"")</f>
        <v>MATINAL</v>
      </c>
      <c r="I2241" s="46">
        <f>IF(INPUT!P2236="","",INPUT!P2236)</f>
        <v>80.900000000000006</v>
      </c>
      <c r="J2241" s="46">
        <f>IF(INPUT!Q2236="","",INPUT!Q2236)</f>
        <v>81</v>
      </c>
      <c r="K2241" s="46">
        <f>IFERROR(IF(OR(INPUT!P2236="",INPUT!Q2236=""),"",INPUT!P2236-INPUT!Q2236),"")</f>
        <v>-9.9999999999994316E-2</v>
      </c>
      <c r="L2241" s="48">
        <f>IFERROR(IF(OR(INPUT!P2236="",INPUT!Q2236="",INPUT!P2236=0),"",(INPUT!P2236-INPUT!Q2236)/INPUT!P2236),"")</f>
        <v>-1.2360939431396083E-3</v>
      </c>
    </row>
    <row r="2242" spans="1:12" ht="18" hidden="1" customHeight="1" x14ac:dyDescent="0.2">
      <c r="A2242" s="11">
        <f>IF(INPUT!M2237="","",INPUT!M2237)</f>
        <v>46094</v>
      </c>
      <c r="B2242" s="11">
        <f>IF(INPUT!M2237="","",INPUT!M2237-WEEKDAY(INPUT!M2237,2)+1)</f>
        <v>46090</v>
      </c>
      <c r="C2242" s="20">
        <f>IFERROR(_xlfn.ISOWEEKNUM(INPUT!M2237),"")</f>
        <v>11</v>
      </c>
      <c r="D2242" s="20">
        <f>IFERROR(YEAR(INPUT!M2237),"")</f>
        <v>2026</v>
      </c>
      <c r="E2242" t="str">
        <f>IF(INPUT!O2237="","",INPUT!O2237)</f>
        <v>RAUL</v>
      </c>
      <c r="F2242" t="str">
        <f>IF(INPUT!N2237="","",INPUT!N2237)</f>
        <v>T</v>
      </c>
      <c r="G2242" t="str" cm="1">
        <f t="array" ref="G2242">IFERROR(VLOOKUP(INPUT!M2237&amp;INPUT!N2237,CHOOSE({1,2},INPUT!$A$3:$A$5000&amp;INPUT!$C$3:$C$5000,INPUT!$F$3:$F$5000),2,FALSE),"")</f>
        <v>PRE-TEMPORADA</v>
      </c>
      <c r="H2242" t="str" cm="1">
        <f t="array" ref="H2242">IFERROR(VLOOKUP(INPUT!M2237&amp;INPUT!N2237,CHOOSE({1,2},INPUT!$A$3:$A$5000&amp;INPUT!$C$3:$C$5000,INPUT!$D$3:$D$5000),2,FALSE),"")</f>
        <v>PARTIDO</v>
      </c>
      <c r="I2242" s="46">
        <f>IF(INPUT!P2237="","",INPUT!P2237)</f>
        <v>82</v>
      </c>
      <c r="J2242" s="46">
        <f>IF(INPUT!Q2237="","",INPUT!Q2237)</f>
        <v>82</v>
      </c>
      <c r="K2242" s="46">
        <f>IFERROR(IF(OR(INPUT!P2237="",INPUT!Q2237=""),"",INPUT!P2237-INPUT!Q2237),"")</f>
        <v>0</v>
      </c>
      <c r="L2242" s="48">
        <f>IFERROR(IF(OR(INPUT!P2237="",INPUT!Q2237="",INPUT!P2237=0),"",(INPUT!P2237-INPUT!Q2237)/INPUT!P2237),"")</f>
        <v>0</v>
      </c>
    </row>
    <row r="2243" spans="1:12" ht="18" hidden="1" customHeight="1" x14ac:dyDescent="0.2">
      <c r="A2243" s="11">
        <f>IF(INPUT!M2238="","",INPUT!M2238)</f>
        <v>46094</v>
      </c>
      <c r="B2243" s="11">
        <f>IF(INPUT!M2238="","",INPUT!M2238-WEEKDAY(INPUT!M2238,2)+1)</f>
        <v>46090</v>
      </c>
      <c r="C2243" s="20">
        <f>IFERROR(_xlfn.ISOWEEKNUM(INPUT!M2238),"")</f>
        <v>11</v>
      </c>
      <c r="D2243" s="20">
        <f>IFERROR(YEAR(INPUT!M2238),"")</f>
        <v>2026</v>
      </c>
      <c r="E2243" t="str">
        <f>IF(INPUT!O2238="","",INPUT!O2238)</f>
        <v>HARRISON</v>
      </c>
      <c r="F2243" t="str">
        <f>IF(INPUT!N2238="","",INPUT!N2238)</f>
        <v>M</v>
      </c>
      <c r="G2243" t="str" cm="1">
        <f t="array" ref="G2243">IFERROR(VLOOKUP(INPUT!M2238&amp;INPUT!N2238,CHOOSE({1,2},INPUT!$A$3:$A$5000&amp;INPUT!$C$3:$C$5000,INPUT!$F$3:$F$5000),2,FALSE),"")</f>
        <v>PRE-TEMPORADA</v>
      </c>
      <c r="H2243" t="str" cm="1">
        <f t="array" ref="H2243">IFERROR(VLOOKUP(INPUT!M2238&amp;INPUT!N2238,CHOOSE({1,2},INPUT!$A$3:$A$5000&amp;INPUT!$C$3:$C$5000,INPUT!$D$3:$D$5000),2,FALSE),"")</f>
        <v>MATINAL</v>
      </c>
      <c r="I2243" s="46">
        <f>IF(INPUT!P2238="","",INPUT!P2238)</f>
        <v>71.7</v>
      </c>
      <c r="J2243" s="46">
        <f>IF(INPUT!Q2238="","",INPUT!Q2238)</f>
        <v>71.599999999999994</v>
      </c>
      <c r="K2243" s="46">
        <f>IFERROR(IF(OR(INPUT!P2238="",INPUT!Q2238=""),"",INPUT!P2238-INPUT!Q2238),"")</f>
        <v>0.10000000000000853</v>
      </c>
      <c r="L2243" s="48">
        <f>IFERROR(IF(OR(INPUT!P2238="",INPUT!Q2238="",INPUT!P2238=0),"",(INPUT!P2238-INPUT!Q2238)/INPUT!P2238),"")</f>
        <v>1.3947001394701327E-3</v>
      </c>
    </row>
    <row r="2244" spans="1:12" ht="18" hidden="1" customHeight="1" x14ac:dyDescent="0.2">
      <c r="A2244" s="11">
        <f>IF(INPUT!M2239="","",INPUT!M2239)</f>
        <v>46094</v>
      </c>
      <c r="B2244" s="11">
        <f>IF(INPUT!M2239="","",INPUT!M2239-WEEKDAY(INPUT!M2239,2)+1)</f>
        <v>46090</v>
      </c>
      <c r="C2244" s="20">
        <f>IFERROR(_xlfn.ISOWEEKNUM(INPUT!M2239),"")</f>
        <v>11</v>
      </c>
      <c r="D2244" s="20">
        <f>IFERROR(YEAR(INPUT!M2239),"")</f>
        <v>2026</v>
      </c>
      <c r="E2244" t="str">
        <f>IF(INPUT!O2239="","",INPUT!O2239)</f>
        <v>HARRISON</v>
      </c>
      <c r="F2244" t="str">
        <f>IF(INPUT!N2239="","",INPUT!N2239)</f>
        <v>T</v>
      </c>
      <c r="G2244" t="str" cm="1">
        <f t="array" ref="G2244">IFERROR(VLOOKUP(INPUT!M2239&amp;INPUT!N2239,CHOOSE({1,2},INPUT!$A$3:$A$5000&amp;INPUT!$C$3:$C$5000,INPUT!$F$3:$F$5000),2,FALSE),"")</f>
        <v>PRE-TEMPORADA</v>
      </c>
      <c r="H2244" t="str" cm="1">
        <f t="array" ref="H2244">IFERROR(VLOOKUP(INPUT!M2239&amp;INPUT!N2239,CHOOSE({1,2},INPUT!$A$3:$A$5000&amp;INPUT!$C$3:$C$5000,INPUT!$D$3:$D$5000),2,FALSE),"")</f>
        <v>PARTIDO</v>
      </c>
      <c r="I2244" s="46">
        <f>IF(INPUT!P2239="","",INPUT!P2239)</f>
        <v>71</v>
      </c>
      <c r="J2244" s="46">
        <f>IF(INPUT!Q2239="","",INPUT!Q2239)</f>
        <v>71</v>
      </c>
      <c r="K2244" s="46">
        <f>IFERROR(IF(OR(INPUT!P2239="",INPUT!Q2239=""),"",INPUT!P2239-INPUT!Q2239),"")</f>
        <v>0</v>
      </c>
      <c r="L2244" s="48">
        <f>IFERROR(IF(OR(INPUT!P2239="",INPUT!Q2239="",INPUT!P2239=0),"",(INPUT!P2239-INPUT!Q2239)/INPUT!P2239),"")</f>
        <v>0</v>
      </c>
    </row>
    <row r="2245" spans="1:12" ht="18" hidden="1" customHeight="1" x14ac:dyDescent="0.2">
      <c r="A2245" s="11">
        <f>IF(INPUT!M2240="","",INPUT!M2240)</f>
        <v>46094</v>
      </c>
      <c r="B2245" s="11">
        <f>IF(INPUT!M2240="","",INPUT!M2240-WEEKDAY(INPUT!M2240,2)+1)</f>
        <v>46090</v>
      </c>
      <c r="C2245" s="20">
        <f>IFERROR(_xlfn.ISOWEEKNUM(INPUT!M2240),"")</f>
        <v>11</v>
      </c>
      <c r="D2245" s="20">
        <f>IFERROR(YEAR(INPUT!M2240),"")</f>
        <v>2026</v>
      </c>
      <c r="E2245" t="str">
        <f>IF(INPUT!O2240="","",INPUT!O2240)</f>
        <v>RAYA</v>
      </c>
      <c r="F2245" t="str">
        <f>IF(INPUT!N2240="","",INPUT!N2240)</f>
        <v>M</v>
      </c>
      <c r="G2245" t="str" cm="1">
        <f t="array" ref="G2245">IFERROR(VLOOKUP(INPUT!M2240&amp;INPUT!N2240,CHOOSE({1,2},INPUT!$A$3:$A$5000&amp;INPUT!$C$3:$C$5000,INPUT!$F$3:$F$5000),2,FALSE),"")</f>
        <v>PRE-TEMPORADA</v>
      </c>
      <c r="H2245" t="str" cm="1">
        <f t="array" ref="H2245">IFERROR(VLOOKUP(INPUT!M2240&amp;INPUT!N2240,CHOOSE({1,2},INPUT!$A$3:$A$5000&amp;INPUT!$C$3:$C$5000,INPUT!$D$3:$D$5000),2,FALSE),"")</f>
        <v>MATINAL</v>
      </c>
      <c r="I2245" s="46">
        <f>IF(INPUT!P2240="","",INPUT!P2240)</f>
        <v>82.2</v>
      </c>
      <c r="J2245" s="46">
        <f>IF(INPUT!Q2240="","",INPUT!Q2240)</f>
        <v>81.5</v>
      </c>
      <c r="K2245" s="46">
        <f>IFERROR(IF(OR(INPUT!P2240="",INPUT!Q2240=""),"",INPUT!P2240-INPUT!Q2240),"")</f>
        <v>0.70000000000000284</v>
      </c>
      <c r="L2245" s="48">
        <f>IFERROR(IF(OR(INPUT!P2240="",INPUT!Q2240="",INPUT!P2240=0),"",(INPUT!P2240-INPUT!Q2240)/INPUT!P2240),"")</f>
        <v>8.5158150851581856E-3</v>
      </c>
    </row>
    <row r="2246" spans="1:12" ht="18" hidden="1" customHeight="1" x14ac:dyDescent="0.2">
      <c r="A2246" s="11">
        <f>IF(INPUT!M2241="","",INPUT!M2241)</f>
        <v>46094</v>
      </c>
      <c r="B2246" s="11">
        <f>IF(INPUT!M2241="","",INPUT!M2241-WEEKDAY(INPUT!M2241,2)+1)</f>
        <v>46090</v>
      </c>
      <c r="C2246" s="20">
        <f>IFERROR(_xlfn.ISOWEEKNUM(INPUT!M2241),"")</f>
        <v>11</v>
      </c>
      <c r="D2246" s="20">
        <f>IFERROR(YEAR(INPUT!M2241),"")</f>
        <v>2026</v>
      </c>
      <c r="E2246" t="str">
        <f>IF(INPUT!O2241="","",INPUT!O2241)</f>
        <v>RAYA</v>
      </c>
      <c r="F2246" t="str">
        <f>IF(INPUT!N2241="","",INPUT!N2241)</f>
        <v>T</v>
      </c>
      <c r="G2246" t="str" cm="1">
        <f t="array" ref="G2246">IFERROR(VLOOKUP(INPUT!M2241&amp;INPUT!N2241,CHOOSE({1,2},INPUT!$A$3:$A$5000&amp;INPUT!$C$3:$C$5000,INPUT!$F$3:$F$5000),2,FALSE),"")</f>
        <v>PRE-TEMPORADA</v>
      </c>
      <c r="H2246" t="str" cm="1">
        <f t="array" ref="H2246">IFERROR(VLOOKUP(INPUT!M2241&amp;INPUT!N2241,CHOOSE({1,2},INPUT!$A$3:$A$5000&amp;INPUT!$C$3:$C$5000,INPUT!$D$3:$D$5000),2,FALSE),"")</f>
        <v>PARTIDO</v>
      </c>
      <c r="I2246" s="46">
        <f>IF(INPUT!P2241="","",INPUT!P2241)</f>
        <v>82</v>
      </c>
      <c r="J2246" s="46">
        <f>IF(INPUT!Q2241="","",INPUT!Q2241)</f>
        <v>81</v>
      </c>
      <c r="K2246" s="46">
        <f>IFERROR(IF(OR(INPUT!P2241="",INPUT!Q2241=""),"",INPUT!P2241-INPUT!Q2241),"")</f>
        <v>1</v>
      </c>
      <c r="L2246" s="48">
        <f>IFERROR(IF(OR(INPUT!P2241="",INPUT!Q2241="",INPUT!P2241=0),"",(INPUT!P2241-INPUT!Q2241)/INPUT!P2241),"")</f>
        <v>1.2195121951219513E-2</v>
      </c>
    </row>
    <row r="2247" spans="1:12" ht="18" hidden="1" customHeight="1" x14ac:dyDescent="0.2">
      <c r="A2247" s="11">
        <f>IF(INPUT!M2242="","",INPUT!M2242)</f>
        <v>46094</v>
      </c>
      <c r="B2247" s="11">
        <f>IF(INPUT!M2242="","",INPUT!M2242-WEEKDAY(INPUT!M2242,2)+1)</f>
        <v>46090</v>
      </c>
      <c r="C2247" s="20">
        <f>IFERROR(_xlfn.ISOWEEKNUM(INPUT!M2242),"")</f>
        <v>11</v>
      </c>
      <c r="D2247" s="20">
        <f>IFERROR(YEAR(INPUT!M2242),"")</f>
        <v>2026</v>
      </c>
      <c r="E2247" t="str">
        <f>IF(INPUT!O2242="","",INPUT!O2242)</f>
        <v>JAVI</v>
      </c>
      <c r="F2247" t="str">
        <f>IF(INPUT!N2242="","",INPUT!N2242)</f>
        <v>M</v>
      </c>
      <c r="G2247" t="str" cm="1">
        <f t="array" ref="G2247">IFERROR(VLOOKUP(INPUT!M2242&amp;INPUT!N2242,CHOOSE({1,2},INPUT!$A$3:$A$5000&amp;INPUT!$C$3:$C$5000,INPUT!$F$3:$F$5000),2,FALSE),"")</f>
        <v>PRE-TEMPORADA</v>
      </c>
      <c r="H2247" t="str" cm="1">
        <f t="array" ref="H2247">IFERROR(VLOOKUP(INPUT!M2242&amp;INPUT!N2242,CHOOSE({1,2},INPUT!$A$3:$A$5000&amp;INPUT!$C$3:$C$5000,INPUT!$D$3:$D$5000),2,FALSE),"")</f>
        <v>MATINAL</v>
      </c>
      <c r="I2247" s="46">
        <f>IF(INPUT!P2242="","",INPUT!P2242)</f>
        <v>79.599999999999994</v>
      </c>
      <c r="J2247" s="46">
        <f>IF(INPUT!Q2242="","",INPUT!Q2242)</f>
        <v>79.7</v>
      </c>
      <c r="K2247" s="46">
        <f>IFERROR(IF(OR(INPUT!P2242="",INPUT!Q2242=""),"",INPUT!P2242-INPUT!Q2242),"")</f>
        <v>-0.10000000000000853</v>
      </c>
      <c r="L2247" s="48">
        <f>IFERROR(IF(OR(INPUT!P2242="",INPUT!Q2242="",INPUT!P2242=0),"",(INPUT!P2242-INPUT!Q2242)/INPUT!P2242),"")</f>
        <v>-1.256281407035283E-3</v>
      </c>
    </row>
    <row r="2248" spans="1:12" ht="18" hidden="1" customHeight="1" x14ac:dyDescent="0.2">
      <c r="A2248" s="11">
        <f>IF(INPUT!M2243="","",INPUT!M2243)</f>
        <v>46094</v>
      </c>
      <c r="B2248" s="11">
        <f>IF(INPUT!M2243="","",INPUT!M2243-WEEKDAY(INPUT!M2243,2)+1)</f>
        <v>46090</v>
      </c>
      <c r="C2248" s="20">
        <f>IFERROR(_xlfn.ISOWEEKNUM(INPUT!M2243),"")</f>
        <v>11</v>
      </c>
      <c r="D2248" s="20">
        <f>IFERROR(YEAR(INPUT!M2243),"")</f>
        <v>2026</v>
      </c>
      <c r="E2248" t="str">
        <f>IF(INPUT!O2243="","",INPUT!O2243)</f>
        <v>JAVI</v>
      </c>
      <c r="F2248" t="str">
        <f>IF(INPUT!N2243="","",INPUT!N2243)</f>
        <v>T</v>
      </c>
      <c r="G2248" t="str" cm="1">
        <f t="array" ref="G2248">IFERROR(VLOOKUP(INPUT!M2243&amp;INPUT!N2243,CHOOSE({1,2},INPUT!$A$3:$A$5000&amp;INPUT!$C$3:$C$5000,INPUT!$F$3:$F$5000),2,FALSE),"")</f>
        <v>PRE-TEMPORADA</v>
      </c>
      <c r="H2248" t="str" cm="1">
        <f t="array" ref="H2248">IFERROR(VLOOKUP(INPUT!M2243&amp;INPUT!N2243,CHOOSE({1,2},INPUT!$A$3:$A$5000&amp;INPUT!$C$3:$C$5000,INPUT!$D$3:$D$5000),2,FALSE),"")</f>
        <v>PARTIDO</v>
      </c>
      <c r="I2248" s="46">
        <f>IF(INPUT!P2243="","",INPUT!P2243)</f>
        <v>79.5</v>
      </c>
      <c r="J2248" s="46">
        <f>IF(INPUT!Q2243="","",INPUT!Q2243)</f>
        <v>79.5</v>
      </c>
      <c r="K2248" s="46">
        <f>IFERROR(IF(OR(INPUT!P2243="",INPUT!Q2243=""),"",INPUT!P2243-INPUT!Q2243),"")</f>
        <v>0</v>
      </c>
      <c r="L2248" s="48">
        <f>IFERROR(IF(OR(INPUT!P2243="",INPUT!Q2243="",INPUT!P2243=0),"",(INPUT!P2243-INPUT!Q2243)/INPUT!P2243),"")</f>
        <v>0</v>
      </c>
    </row>
    <row r="2249" spans="1:12" ht="18" hidden="1" customHeight="1" x14ac:dyDescent="0.2">
      <c r="A2249" s="11">
        <f>IF(INPUT!M2244="","",INPUT!M2244)</f>
        <v>46094</v>
      </c>
      <c r="B2249" s="11">
        <f>IF(INPUT!M2244="","",INPUT!M2244-WEEKDAY(INPUT!M2244,2)+1)</f>
        <v>46090</v>
      </c>
      <c r="C2249" s="20">
        <f>IFERROR(_xlfn.ISOWEEKNUM(INPUT!M2244),"")</f>
        <v>11</v>
      </c>
      <c r="D2249" s="20">
        <f>IFERROR(YEAR(INPUT!M2244),"")</f>
        <v>2026</v>
      </c>
      <c r="E2249" t="str">
        <f>IF(INPUT!O2244="","",INPUT!O2244)</f>
        <v>PANI</v>
      </c>
      <c r="F2249" t="str">
        <f>IF(INPUT!N2244="","",INPUT!N2244)</f>
        <v>M</v>
      </c>
      <c r="G2249" t="str" cm="1">
        <f t="array" ref="G2249">IFERROR(VLOOKUP(INPUT!M2244&amp;INPUT!N2244,CHOOSE({1,2},INPUT!$A$3:$A$5000&amp;INPUT!$C$3:$C$5000,INPUT!$F$3:$F$5000),2,FALSE),"")</f>
        <v>PRE-TEMPORADA</v>
      </c>
      <c r="H2249" t="str" cm="1">
        <f t="array" ref="H2249">IFERROR(VLOOKUP(INPUT!M2244&amp;INPUT!N2244,CHOOSE({1,2},INPUT!$A$3:$A$5000&amp;INPUT!$C$3:$C$5000,INPUT!$D$3:$D$5000),2,FALSE),"")</f>
        <v>MATINAL</v>
      </c>
      <c r="I2249" s="46">
        <f>IF(INPUT!P2244="","",INPUT!P2244)</f>
        <v>67</v>
      </c>
      <c r="J2249" s="46">
        <f>IF(INPUT!Q2244="","",INPUT!Q2244)</f>
        <v>66.7</v>
      </c>
      <c r="K2249" s="46">
        <f>IFERROR(IF(OR(INPUT!P2244="",INPUT!Q2244=""),"",INPUT!P2244-INPUT!Q2244),"")</f>
        <v>0.29999999999999716</v>
      </c>
      <c r="L2249" s="48">
        <f>IFERROR(IF(OR(INPUT!P2244="",INPUT!Q2244="",INPUT!P2244=0),"",(INPUT!P2244-INPUT!Q2244)/INPUT!P2244),"")</f>
        <v>4.4776119402984652E-3</v>
      </c>
    </row>
    <row r="2250" spans="1:12" ht="18" hidden="1" customHeight="1" x14ac:dyDescent="0.2">
      <c r="A2250" s="11">
        <f>IF(INPUT!M2245="","",INPUT!M2245)</f>
        <v>46094</v>
      </c>
      <c r="B2250" s="11">
        <f>IF(INPUT!M2245="","",INPUT!M2245-WEEKDAY(INPUT!M2245,2)+1)</f>
        <v>46090</v>
      </c>
      <c r="C2250" s="20">
        <f>IFERROR(_xlfn.ISOWEEKNUM(INPUT!M2245),"")</f>
        <v>11</v>
      </c>
      <c r="D2250" s="20">
        <f>IFERROR(YEAR(INPUT!M2245),"")</f>
        <v>2026</v>
      </c>
      <c r="E2250" t="str">
        <f>IF(INPUT!O2245="","",INPUT!O2245)</f>
        <v>PANI</v>
      </c>
      <c r="F2250" t="str">
        <f>IF(INPUT!N2245="","",INPUT!N2245)</f>
        <v>T</v>
      </c>
      <c r="G2250" t="str" cm="1">
        <f t="array" ref="G2250">IFERROR(VLOOKUP(INPUT!M2245&amp;INPUT!N2245,CHOOSE({1,2},INPUT!$A$3:$A$5000&amp;INPUT!$C$3:$C$5000,INPUT!$F$3:$F$5000),2,FALSE),"")</f>
        <v>PRE-TEMPORADA</v>
      </c>
      <c r="H2250" t="str" cm="1">
        <f t="array" ref="H2250">IFERROR(VLOOKUP(INPUT!M2245&amp;INPUT!N2245,CHOOSE({1,2},INPUT!$A$3:$A$5000&amp;INPUT!$C$3:$C$5000,INPUT!$D$3:$D$5000),2,FALSE),"")</f>
        <v>PARTIDO</v>
      </c>
      <c r="I2250" s="46">
        <f>IF(INPUT!P2245="","",INPUT!P2245)</f>
        <v>67.2</v>
      </c>
      <c r="J2250" s="46">
        <f>IF(INPUT!Q2245="","",INPUT!Q2245)</f>
        <v>67</v>
      </c>
      <c r="K2250" s="46">
        <f>IFERROR(IF(OR(INPUT!P2245="",INPUT!Q2245=""),"",INPUT!P2245-INPUT!Q2245),"")</f>
        <v>0.20000000000000284</v>
      </c>
      <c r="L2250" s="48">
        <f>IFERROR(IF(OR(INPUT!P2245="",INPUT!Q2245="",INPUT!P2245=0),"",(INPUT!P2245-INPUT!Q2245)/INPUT!P2245),"")</f>
        <v>2.9761904761905185E-3</v>
      </c>
    </row>
    <row r="2251" spans="1:12" ht="18" hidden="1" customHeight="1" x14ac:dyDescent="0.2">
      <c r="A2251" s="11">
        <f>IF(INPUT!M2246="","",INPUT!M2246)</f>
        <v>46094</v>
      </c>
      <c r="B2251" s="11">
        <f>IF(INPUT!M2246="","",INPUT!M2246-WEEKDAY(INPUT!M2246,2)+1)</f>
        <v>46090</v>
      </c>
      <c r="C2251" s="20">
        <f>IFERROR(_xlfn.ISOWEEKNUM(INPUT!M2246),"")</f>
        <v>11</v>
      </c>
      <c r="D2251" s="20">
        <f>IFERROR(YEAR(INPUT!M2246),"")</f>
        <v>2026</v>
      </c>
      <c r="E2251" t="str">
        <f>IF(INPUT!O2246="","",INPUT!O2246)</f>
        <v>PIRATA</v>
      </c>
      <c r="F2251" t="str">
        <f>IF(INPUT!N2246="","",INPUT!N2246)</f>
        <v>M</v>
      </c>
      <c r="G2251" t="str" cm="1">
        <f t="array" ref="G2251">IFERROR(VLOOKUP(INPUT!M2246&amp;INPUT!N2246,CHOOSE({1,2},INPUT!$A$3:$A$5000&amp;INPUT!$C$3:$C$5000,INPUT!$F$3:$F$5000),2,FALSE),"")</f>
        <v>PRE-TEMPORADA</v>
      </c>
      <c r="H2251" t="str" cm="1">
        <f t="array" ref="H2251">IFERROR(VLOOKUP(INPUT!M2246&amp;INPUT!N2246,CHOOSE({1,2},INPUT!$A$3:$A$5000&amp;INPUT!$C$3:$C$5000,INPUT!$D$3:$D$5000),2,FALSE),"")</f>
        <v>MATINAL</v>
      </c>
      <c r="I2251" s="46">
        <f>IF(INPUT!P2246="","",INPUT!P2246)</f>
        <v>75.900000000000006</v>
      </c>
      <c r="J2251" s="46">
        <f>IF(INPUT!Q2246="","",INPUT!Q2246)</f>
        <v>75.8</v>
      </c>
      <c r="K2251" s="46">
        <f>IFERROR(IF(OR(INPUT!P2246="",INPUT!Q2246=""),"",INPUT!P2246-INPUT!Q2246),"")</f>
        <v>0.10000000000000853</v>
      </c>
      <c r="L2251" s="48">
        <f>IFERROR(IF(OR(INPUT!P2246="",INPUT!Q2246="",INPUT!P2246=0),"",(INPUT!P2246-INPUT!Q2246)/INPUT!P2246),"")</f>
        <v>1.3175230566536036E-3</v>
      </c>
    </row>
    <row r="2252" spans="1:12" ht="18" hidden="1" customHeight="1" x14ac:dyDescent="0.2">
      <c r="A2252" s="11">
        <f>IF(INPUT!M2247="","",INPUT!M2247)</f>
        <v>46094</v>
      </c>
      <c r="B2252" s="11">
        <f>IF(INPUT!M2247="","",INPUT!M2247-WEEKDAY(INPUT!M2247,2)+1)</f>
        <v>46090</v>
      </c>
      <c r="C2252" s="20">
        <f>IFERROR(_xlfn.ISOWEEKNUM(INPUT!M2247),"")</f>
        <v>11</v>
      </c>
      <c r="D2252" s="20">
        <f>IFERROR(YEAR(INPUT!M2247),"")</f>
        <v>2026</v>
      </c>
      <c r="E2252" t="str">
        <f>IF(INPUT!O2247="","",INPUT!O2247)</f>
        <v>PIRATA</v>
      </c>
      <c r="F2252" t="str">
        <f>IF(INPUT!N2247="","",INPUT!N2247)</f>
        <v>T</v>
      </c>
      <c r="G2252" t="str" cm="1">
        <f t="array" ref="G2252">IFERROR(VLOOKUP(INPUT!M2247&amp;INPUT!N2247,CHOOSE({1,2},INPUT!$A$3:$A$5000&amp;INPUT!$C$3:$C$5000,INPUT!$F$3:$F$5000),2,FALSE),"")</f>
        <v>PRE-TEMPORADA</v>
      </c>
      <c r="H2252" t="str" cm="1">
        <f t="array" ref="H2252">IFERROR(VLOOKUP(INPUT!M2247&amp;INPUT!N2247,CHOOSE({1,2},INPUT!$A$3:$A$5000&amp;INPUT!$C$3:$C$5000,INPUT!$D$3:$D$5000),2,FALSE),"")</f>
        <v>PARTIDO</v>
      </c>
      <c r="I2252" s="46">
        <f>IF(INPUT!P2247="","",INPUT!P2247)</f>
        <v>75.900000000000006</v>
      </c>
      <c r="J2252" s="46">
        <f>IF(INPUT!Q2247="","",INPUT!Q2247)</f>
        <v>75.5</v>
      </c>
      <c r="K2252" s="46">
        <f>IFERROR(IF(OR(INPUT!P2247="",INPUT!Q2247=""),"",INPUT!P2247-INPUT!Q2247),"")</f>
        <v>0.40000000000000568</v>
      </c>
      <c r="L2252" s="48">
        <f>IFERROR(IF(OR(INPUT!P2247="",INPUT!Q2247="",INPUT!P2247=0),"",(INPUT!P2247-INPUT!Q2247)/INPUT!P2247),"")</f>
        <v>5.2700922266140406E-3</v>
      </c>
    </row>
    <row r="2253" spans="1:12" ht="18" hidden="1" customHeight="1" x14ac:dyDescent="0.2">
      <c r="A2253" s="11">
        <f>IF(INPUT!M2248="","",INPUT!M2248)</f>
        <v>46094</v>
      </c>
      <c r="B2253" s="11">
        <f>IF(INPUT!M2248="","",INPUT!M2248-WEEKDAY(INPUT!M2248,2)+1)</f>
        <v>46090</v>
      </c>
      <c r="C2253" s="20">
        <f>IFERROR(_xlfn.ISOWEEKNUM(INPUT!M2248),"")</f>
        <v>11</v>
      </c>
      <c r="D2253" s="20">
        <f>IFERROR(YEAR(INPUT!M2248),"")</f>
        <v>2026</v>
      </c>
      <c r="E2253" t="str">
        <f>IF(INPUT!O2248="","",INPUT!O2248)</f>
        <v>BARONA</v>
      </c>
      <c r="F2253" t="str">
        <f>IF(INPUT!N2248="","",INPUT!N2248)</f>
        <v>M</v>
      </c>
      <c r="G2253" t="str" cm="1">
        <f t="array" ref="G2253">IFERROR(VLOOKUP(INPUT!M2248&amp;INPUT!N2248,CHOOSE({1,2},INPUT!$A$3:$A$5000&amp;INPUT!$C$3:$C$5000,INPUT!$F$3:$F$5000),2,FALSE),"")</f>
        <v>PRE-TEMPORADA</v>
      </c>
      <c r="H2253" t="str" cm="1">
        <f t="array" ref="H2253">IFERROR(VLOOKUP(INPUT!M2248&amp;INPUT!N2248,CHOOSE({1,2},INPUT!$A$3:$A$5000&amp;INPUT!$C$3:$C$5000,INPUT!$D$3:$D$5000),2,FALSE),"")</f>
        <v>MATINAL</v>
      </c>
      <c r="I2253" s="46">
        <f>IF(INPUT!P2248="","",INPUT!P2248)</f>
        <v>71.2</v>
      </c>
      <c r="J2253" s="46">
        <f>IF(INPUT!Q2248="","",INPUT!Q2248)</f>
        <v>71</v>
      </c>
      <c r="K2253" s="46">
        <f>IFERROR(IF(OR(INPUT!P2248="",INPUT!Q2248=""),"",INPUT!P2248-INPUT!Q2248),"")</f>
        <v>0.20000000000000284</v>
      </c>
      <c r="L2253" s="48">
        <f>IFERROR(IF(OR(INPUT!P2248="",INPUT!Q2248="",INPUT!P2248=0),"",(INPUT!P2248-INPUT!Q2248)/INPUT!P2248),"")</f>
        <v>2.8089887640449836E-3</v>
      </c>
    </row>
    <row r="2254" spans="1:12" ht="18" hidden="1" customHeight="1" x14ac:dyDescent="0.2">
      <c r="A2254" s="11">
        <f>IF(INPUT!M2249="","",INPUT!M2249)</f>
        <v>46094</v>
      </c>
      <c r="B2254" s="11">
        <f>IF(INPUT!M2249="","",INPUT!M2249-WEEKDAY(INPUT!M2249,2)+1)</f>
        <v>46090</v>
      </c>
      <c r="C2254" s="20">
        <f>IFERROR(_xlfn.ISOWEEKNUM(INPUT!M2249),"")</f>
        <v>11</v>
      </c>
      <c r="D2254" s="20">
        <f>IFERROR(YEAR(INPUT!M2249),"")</f>
        <v>2026</v>
      </c>
      <c r="E2254" t="str">
        <f>IF(INPUT!O2249="","",INPUT!O2249)</f>
        <v>BARONA</v>
      </c>
      <c r="F2254" t="str">
        <f>IF(INPUT!N2249="","",INPUT!N2249)</f>
        <v>T</v>
      </c>
      <c r="G2254" t="str" cm="1">
        <f t="array" ref="G2254">IFERROR(VLOOKUP(INPUT!M2249&amp;INPUT!N2249,CHOOSE({1,2},INPUT!$A$3:$A$5000&amp;INPUT!$C$3:$C$5000,INPUT!$F$3:$F$5000),2,FALSE),"")</f>
        <v>PRE-TEMPORADA</v>
      </c>
      <c r="H2254" t="str" cm="1">
        <f t="array" ref="H2254">IFERROR(VLOOKUP(INPUT!M2249&amp;INPUT!N2249,CHOOSE({1,2},INPUT!$A$3:$A$5000&amp;INPUT!$C$3:$C$5000,INPUT!$D$3:$D$5000),2,FALSE),"")</f>
        <v>PARTIDO</v>
      </c>
      <c r="I2254" s="46">
        <f>IF(INPUT!P2249="","",INPUT!P2249)</f>
        <v>71</v>
      </c>
      <c r="J2254" s="46">
        <f>IF(INPUT!Q2249="","",INPUT!Q2249)</f>
        <v>71</v>
      </c>
      <c r="K2254" s="46">
        <f>IFERROR(IF(OR(INPUT!P2249="",INPUT!Q2249=""),"",INPUT!P2249-INPUT!Q2249),"")</f>
        <v>0</v>
      </c>
      <c r="L2254" s="48">
        <f>IFERROR(IF(OR(INPUT!P2249="",INPUT!Q2249="",INPUT!P2249=0),"",(INPUT!P2249-INPUT!Q2249)/INPUT!P2249),"")</f>
        <v>0</v>
      </c>
    </row>
    <row r="2255" spans="1:12" ht="18" hidden="1" customHeight="1" x14ac:dyDescent="0.2">
      <c r="A2255" s="11">
        <f>IF(INPUT!M2250="","",INPUT!M2250)</f>
        <v>46094</v>
      </c>
      <c r="B2255" s="11">
        <f>IF(INPUT!M2250="","",INPUT!M2250-WEEKDAY(INPUT!M2250,2)+1)</f>
        <v>46090</v>
      </c>
      <c r="C2255" s="20">
        <f>IFERROR(_xlfn.ISOWEEKNUM(INPUT!M2250),"")</f>
        <v>11</v>
      </c>
      <c r="D2255" s="20">
        <f>IFERROR(YEAR(INPUT!M2250),"")</f>
        <v>2026</v>
      </c>
      <c r="E2255" t="str">
        <f>IF(INPUT!O2250="","",INPUT!O2250)</f>
        <v>CARLOS</v>
      </c>
      <c r="F2255" t="str">
        <f>IF(INPUT!N2250="","",INPUT!N2250)</f>
        <v>M</v>
      </c>
      <c r="G2255" t="str" cm="1">
        <f t="array" ref="G2255">IFERROR(VLOOKUP(INPUT!M2250&amp;INPUT!N2250,CHOOSE({1,2},INPUT!$A$3:$A$5000&amp;INPUT!$C$3:$C$5000,INPUT!$F$3:$F$5000),2,FALSE),"")</f>
        <v>PRE-TEMPORADA</v>
      </c>
      <c r="H2255" t="str" cm="1">
        <f t="array" ref="H2255">IFERROR(VLOOKUP(INPUT!M2250&amp;INPUT!N2250,CHOOSE({1,2},INPUT!$A$3:$A$5000&amp;INPUT!$C$3:$C$5000,INPUT!$D$3:$D$5000),2,FALSE),"")</f>
        <v>MATINAL</v>
      </c>
      <c r="I2255" s="46">
        <f>IF(INPUT!P2250="","",INPUT!P2250)</f>
        <v>68.5</v>
      </c>
      <c r="J2255" s="46">
        <f>IF(INPUT!Q2250="","",INPUT!Q2250)</f>
        <v>68.2</v>
      </c>
      <c r="K2255" s="46">
        <f>IFERROR(IF(OR(INPUT!P2250="",INPUT!Q2250=""),"",INPUT!P2250-INPUT!Q2250),"")</f>
        <v>0.29999999999999716</v>
      </c>
      <c r="L2255" s="48">
        <f>IFERROR(IF(OR(INPUT!P2250="",INPUT!Q2250="",INPUT!P2250=0),"",(INPUT!P2250-INPUT!Q2250)/INPUT!P2250),"")</f>
        <v>4.3795620437955792E-3</v>
      </c>
    </row>
    <row r="2256" spans="1:12" ht="18" customHeight="1" x14ac:dyDescent="0.2">
      <c r="A2256" s="11">
        <f>IF(INPUT!M2251="","",INPUT!M2251)</f>
        <v>46094</v>
      </c>
      <c r="B2256" s="11">
        <f>IF(INPUT!M2251="","",INPUT!M2251-WEEKDAY(INPUT!M2251,2)+1)</f>
        <v>46090</v>
      </c>
      <c r="C2256" s="20">
        <f>IFERROR(_xlfn.ISOWEEKNUM(INPUT!M2251),"")</f>
        <v>11</v>
      </c>
      <c r="D2256" s="20">
        <f>IFERROR(YEAR(INPUT!M2251),"")</f>
        <v>2026</v>
      </c>
      <c r="E2256" t="str">
        <f>IF(INPUT!O2251="","",INPUT!O2251)</f>
        <v>CARLOS</v>
      </c>
      <c r="F2256" t="str">
        <f>IF(INPUT!N2251="","",INPUT!N2251)</f>
        <v>T</v>
      </c>
      <c r="G2256" t="str" cm="1">
        <f t="array" ref="G2256">IFERROR(VLOOKUP(INPUT!M2251&amp;INPUT!N2251,CHOOSE({1,2},INPUT!$A$3:$A$5000&amp;INPUT!$C$3:$C$5000,INPUT!$F$3:$F$5000),2,FALSE),"")</f>
        <v>PRE-TEMPORADA</v>
      </c>
      <c r="H2256" t="str" cm="1">
        <f t="array" ref="H2256">IFERROR(VLOOKUP(INPUT!M2251&amp;INPUT!N2251,CHOOSE({1,2},INPUT!$A$3:$A$5000&amp;INPUT!$C$3:$C$5000,INPUT!$D$3:$D$5000),2,FALSE),"")</f>
        <v>PARTIDO</v>
      </c>
      <c r="I2256" s="46">
        <f>IF(INPUT!P2251="","",INPUT!P2251)</f>
        <v>68.599999999999994</v>
      </c>
      <c r="J2256" s="46">
        <f>IF(INPUT!Q2251="","",INPUT!Q2251)</f>
        <v>68</v>
      </c>
      <c r="K2256" s="46">
        <f>IFERROR(IF(OR(INPUT!P2251="",INPUT!Q2251=""),"",INPUT!P2251-INPUT!Q2251),"")</f>
        <v>0.59999999999999432</v>
      </c>
      <c r="L2256" s="48">
        <f>IFERROR(IF(OR(INPUT!P2251="",INPUT!Q2251="",INPUT!P2251=0),"",(INPUT!P2251-INPUT!Q2251)/INPUT!P2251),"")</f>
        <v>8.7463556851311124E-3</v>
      </c>
    </row>
    <row r="2257" spans="1:12" ht="18" customHeight="1" x14ac:dyDescent="0.2">
      <c r="A2257" s="11">
        <f>IF(INPUT!M2252="","",INPUT!M2252)</f>
        <v>46094</v>
      </c>
      <c r="B2257" s="11">
        <f>IF(INPUT!M2252="","",INPUT!M2252-WEEKDAY(INPUT!M2252,2)+1)</f>
        <v>46090</v>
      </c>
      <c r="C2257" s="20">
        <f>IFERROR(_xlfn.ISOWEEKNUM(INPUT!M2252),"")</f>
        <v>11</v>
      </c>
      <c r="D2257" s="20">
        <f>IFERROR(YEAR(INPUT!M2252),"")</f>
        <v>2026</v>
      </c>
      <c r="E2257" t="str">
        <f>IF(INPUT!O2252="","",INPUT!O2252)</f>
        <v>RUBIO</v>
      </c>
      <c r="F2257" t="str">
        <f>IF(INPUT!N2252="","",INPUT!N2252)</f>
        <v>M</v>
      </c>
      <c r="G2257" t="str" cm="1">
        <f t="array" ref="G2257">IFERROR(VLOOKUP(INPUT!M2252&amp;INPUT!N2252,CHOOSE({1,2},INPUT!$A$3:$A$5000&amp;INPUT!$C$3:$C$5000,INPUT!$F$3:$F$5000),2,FALSE),"")</f>
        <v>PRE-TEMPORADA</v>
      </c>
      <c r="H2257" t="str" cm="1">
        <f t="array" ref="H2257">IFERROR(VLOOKUP(INPUT!M2252&amp;INPUT!N2252,CHOOSE({1,2},INPUT!$A$3:$A$5000&amp;INPUT!$C$3:$C$5000,INPUT!$D$3:$D$5000),2,FALSE),"")</f>
        <v>MATINAL</v>
      </c>
      <c r="I2257" s="46">
        <f>IF(INPUT!P2252="","",INPUT!P2252)</f>
        <v>74.5</v>
      </c>
      <c r="J2257" s="46">
        <f>IF(INPUT!Q2252="","",INPUT!Q2252)</f>
        <v>74.5</v>
      </c>
      <c r="K2257" s="46">
        <f>IFERROR(IF(OR(INPUT!P2252="",INPUT!Q2252=""),"",INPUT!P2252-INPUT!Q2252),"")</f>
        <v>0</v>
      </c>
      <c r="L2257" s="48">
        <f>IFERROR(IF(OR(INPUT!P2252="",INPUT!Q2252="",INPUT!P2252=0),"",(INPUT!P2252-INPUT!Q2252)/INPUT!P2252),"")</f>
        <v>0</v>
      </c>
    </row>
    <row r="2258" spans="1:12" ht="18" customHeight="1" x14ac:dyDescent="0.2">
      <c r="A2258" s="11">
        <f>IF(INPUT!M2253="","",INPUT!M2253)</f>
        <v>46094</v>
      </c>
      <c r="B2258" s="11">
        <f>IF(INPUT!M2253="","",INPUT!M2253-WEEKDAY(INPUT!M2253,2)+1)</f>
        <v>46090</v>
      </c>
      <c r="C2258" s="20">
        <f>IFERROR(_xlfn.ISOWEEKNUM(INPUT!M2253),"")</f>
        <v>11</v>
      </c>
      <c r="D2258" s="20">
        <f>IFERROR(YEAR(INPUT!M2253),"")</f>
        <v>2026</v>
      </c>
      <c r="E2258" t="str">
        <f>IF(INPUT!O2253="","",INPUT!O2253)</f>
        <v>DANI</v>
      </c>
      <c r="F2258" t="str">
        <f>IF(INPUT!N2253="","",INPUT!N2253)</f>
        <v>M</v>
      </c>
      <c r="G2258" t="str" cm="1">
        <f t="array" ref="G2258">IFERROR(VLOOKUP(INPUT!M2253&amp;INPUT!N2253,CHOOSE({1,2},INPUT!$A$3:$A$5000&amp;INPUT!$C$3:$C$5000,INPUT!$F$3:$F$5000),2,FALSE),"")</f>
        <v>PRE-TEMPORADA</v>
      </c>
      <c r="H2258" t="str" cm="1">
        <f t="array" ref="H2258">IFERROR(VLOOKUP(INPUT!M2253&amp;INPUT!N2253,CHOOSE({1,2},INPUT!$A$3:$A$5000&amp;INPUT!$C$3:$C$5000,INPUT!$D$3:$D$5000),2,FALSE),"")</f>
        <v>MATINAL</v>
      </c>
      <c r="I2258" s="46">
        <f>IF(INPUT!P2253="","",INPUT!P2253)</f>
        <v>90.7</v>
      </c>
      <c r="J2258" s="46">
        <f>IF(INPUT!Q2253="","",INPUT!Q2253)</f>
        <v>90.2</v>
      </c>
      <c r="K2258" s="46">
        <f>IFERROR(IF(OR(INPUT!P2253="",INPUT!Q2253=""),"",INPUT!P2253-INPUT!Q2253),"")</f>
        <v>0.5</v>
      </c>
      <c r="L2258" s="48">
        <f>IFERROR(IF(OR(INPUT!P2253="",INPUT!Q2253="",INPUT!P2253=0),"",(INPUT!P2253-INPUT!Q2253)/INPUT!P2253),"")</f>
        <v>5.512679162072767E-3</v>
      </c>
    </row>
    <row r="2259" spans="1:12" ht="18" customHeight="1" x14ac:dyDescent="0.2">
      <c r="A2259" s="11">
        <f>IF(INPUT!M2254="","",INPUT!M2254)</f>
        <v>46094</v>
      </c>
      <c r="B2259" s="11">
        <f>IF(INPUT!M2254="","",INPUT!M2254-WEEKDAY(INPUT!M2254,2)+1)</f>
        <v>46090</v>
      </c>
      <c r="C2259" s="20">
        <f>IFERROR(_xlfn.ISOWEEKNUM(INPUT!M2254),"")</f>
        <v>11</v>
      </c>
      <c r="D2259" s="20">
        <f>IFERROR(YEAR(INPUT!M2254),"")</f>
        <v>2026</v>
      </c>
      <c r="E2259" t="str">
        <f>IF(INPUT!O2254="","",INPUT!O2254)</f>
        <v>DANI</v>
      </c>
      <c r="F2259" t="str">
        <f>IF(INPUT!N2254="","",INPUT!N2254)</f>
        <v>T</v>
      </c>
      <c r="G2259" t="str" cm="1">
        <f t="array" ref="G2259">IFERROR(VLOOKUP(INPUT!M2254&amp;INPUT!N2254,CHOOSE({1,2},INPUT!$A$3:$A$5000&amp;INPUT!$C$3:$C$5000,INPUT!$F$3:$F$5000),2,FALSE),"")</f>
        <v>PRE-TEMPORADA</v>
      </c>
      <c r="H2259" t="str" cm="1">
        <f t="array" ref="H2259">IFERROR(VLOOKUP(INPUT!M2254&amp;INPUT!N2254,CHOOSE({1,2},INPUT!$A$3:$A$5000&amp;INPUT!$C$3:$C$5000,INPUT!$D$3:$D$5000),2,FALSE),"")</f>
        <v>PARTIDO</v>
      </c>
      <c r="I2259" s="46">
        <f>IF(INPUT!P2254="","",INPUT!P2254)</f>
        <v>90</v>
      </c>
      <c r="J2259" s="46">
        <f>IF(INPUT!Q2254="","",INPUT!Q2254)</f>
        <v>90</v>
      </c>
      <c r="K2259" s="46">
        <f>IFERROR(IF(OR(INPUT!P2254="",INPUT!Q2254=""),"",INPUT!P2254-INPUT!Q2254),"")</f>
        <v>0</v>
      </c>
      <c r="L2259" s="48">
        <f>IFERROR(IF(OR(INPUT!P2254="",INPUT!Q2254="",INPUT!P2254=0),"",(INPUT!P2254-INPUT!Q2254)/INPUT!P2254),"")</f>
        <v>0</v>
      </c>
    </row>
    <row r="2260" spans="1:12" ht="18" customHeight="1" x14ac:dyDescent="0.2">
      <c r="A2260" s="11">
        <f>IF(INPUT!M2255="","",INPUT!M2255)</f>
        <v>46094</v>
      </c>
      <c r="B2260" s="11">
        <f>IF(INPUT!M2255="","",INPUT!M2255-WEEKDAY(INPUT!M2255,2)+1)</f>
        <v>46090</v>
      </c>
      <c r="C2260" s="20">
        <f>IFERROR(_xlfn.ISOWEEKNUM(INPUT!M2255),"")</f>
        <v>11</v>
      </c>
      <c r="D2260" s="20">
        <f>IFERROR(YEAR(INPUT!M2255),"")</f>
        <v>2026</v>
      </c>
      <c r="E2260" t="str">
        <f>IF(INPUT!O2255="","",INPUT!O2255)</f>
        <v>JAIME</v>
      </c>
      <c r="F2260" t="str">
        <f>IF(INPUT!N2255="","",INPUT!N2255)</f>
        <v>M</v>
      </c>
      <c r="G2260" t="str" cm="1">
        <f t="array" ref="G2260">IFERROR(VLOOKUP(INPUT!M2255&amp;INPUT!N2255,CHOOSE({1,2},INPUT!$A$3:$A$5000&amp;INPUT!$C$3:$C$5000,INPUT!$F$3:$F$5000),2,FALSE),"")</f>
        <v>PRE-TEMPORADA</v>
      </c>
      <c r="H2260" t="str" cm="1">
        <f t="array" ref="H2260">IFERROR(VLOOKUP(INPUT!M2255&amp;INPUT!N2255,CHOOSE({1,2},INPUT!$A$3:$A$5000&amp;INPUT!$C$3:$C$5000,INPUT!$D$3:$D$5000),2,FALSE),"")</f>
        <v>MATINAL</v>
      </c>
      <c r="I2260" s="46">
        <f>IF(INPUT!P2255="","",INPUT!P2255)</f>
        <v>76.7</v>
      </c>
      <c r="J2260" s="46">
        <f>IF(INPUT!Q2255="","",INPUT!Q2255)</f>
        <v>76.8</v>
      </c>
      <c r="K2260" s="46">
        <f>IFERROR(IF(OR(INPUT!P2255="",INPUT!Q2255=""),"",INPUT!P2255-INPUT!Q2255),"")</f>
        <v>-9.9999999999994316E-2</v>
      </c>
      <c r="L2260" s="48">
        <f>IFERROR(IF(OR(INPUT!P2255="",INPUT!Q2255="",INPUT!P2255=0),"",(INPUT!P2255-INPUT!Q2255)/INPUT!P2255),"")</f>
        <v>-1.3037809647978398E-3</v>
      </c>
    </row>
    <row r="2261" spans="1:12" ht="18" customHeight="1" x14ac:dyDescent="0.2">
      <c r="A2261" s="11">
        <f>IF(INPUT!M2256="","",INPUT!M2256)</f>
        <v>46094</v>
      </c>
      <c r="B2261" s="11">
        <f>IF(INPUT!M2256="","",INPUT!M2256-WEEKDAY(INPUT!M2256,2)+1)</f>
        <v>46090</v>
      </c>
      <c r="C2261" s="20">
        <f>IFERROR(_xlfn.ISOWEEKNUM(INPUT!M2256),"")</f>
        <v>11</v>
      </c>
      <c r="D2261" s="20">
        <f>IFERROR(YEAR(INPUT!M2256),"")</f>
        <v>2026</v>
      </c>
      <c r="E2261" t="str">
        <f>IF(INPUT!O2256="","",INPUT!O2256)</f>
        <v>JAIME</v>
      </c>
      <c r="F2261" t="str">
        <f>IF(INPUT!N2256="","",INPUT!N2256)</f>
        <v>T</v>
      </c>
      <c r="G2261" t="str" cm="1">
        <f t="array" ref="G2261">IFERROR(VLOOKUP(INPUT!M2256&amp;INPUT!N2256,CHOOSE({1,2},INPUT!$A$3:$A$5000&amp;INPUT!$C$3:$C$5000,INPUT!$F$3:$F$5000),2,FALSE),"")</f>
        <v>PRE-TEMPORADA</v>
      </c>
      <c r="H2261" t="str" cm="1">
        <f t="array" ref="H2261">IFERROR(VLOOKUP(INPUT!M2256&amp;INPUT!N2256,CHOOSE({1,2},INPUT!$A$3:$A$5000&amp;INPUT!$C$3:$C$5000,INPUT!$D$3:$D$5000),2,FALSE),"")</f>
        <v>PARTIDO</v>
      </c>
      <c r="I2261" s="46">
        <f>IF(INPUT!P2256="","",INPUT!P2256)</f>
        <v>77</v>
      </c>
      <c r="J2261" s="46">
        <f>IF(INPUT!Q2256="","",INPUT!Q2256)</f>
        <v>77</v>
      </c>
      <c r="K2261" s="46">
        <f>IFERROR(IF(OR(INPUT!P2256="",INPUT!Q2256=""),"",INPUT!P2256-INPUT!Q2256),"")</f>
        <v>0</v>
      </c>
      <c r="L2261" s="48">
        <f>IFERROR(IF(OR(INPUT!P2256="",INPUT!Q2256="",INPUT!P2256=0),"",(INPUT!P2256-INPUT!Q2256)/INPUT!P2256),"")</f>
        <v>0</v>
      </c>
    </row>
    <row r="2262" spans="1:12" ht="18" hidden="1" customHeight="1" x14ac:dyDescent="0.2">
      <c r="A2262" s="11">
        <f>IF(INPUT!M2257="","",INPUT!M2257)</f>
        <v>46097</v>
      </c>
      <c r="B2262" s="11">
        <f>IF(INPUT!M2257="","",INPUT!M2257-WEEKDAY(INPUT!M2257,2)+1)</f>
        <v>46097</v>
      </c>
      <c r="C2262" s="20">
        <f>IFERROR(_xlfn.ISOWEEKNUM(INPUT!M2257),"")</f>
        <v>12</v>
      </c>
      <c r="D2262" s="20">
        <f>IFERROR(YEAR(INPUT!M2257),"")</f>
        <v>2026</v>
      </c>
      <c r="E2262" t="str">
        <f>IF(INPUT!O2257="","",INPUT!O2257)</f>
        <v>HERRERO</v>
      </c>
      <c r="F2262" t="str">
        <f>IF(INPUT!N2257="","",INPUT!N2257)</f>
        <v>M</v>
      </c>
      <c r="G2262" t="str" cm="1">
        <f t="array" ref="G2262">IFERROR(VLOOKUP(INPUT!M2257&amp;INPUT!N2257,CHOOSE({1,2},INPUT!$A$3:$A$5000&amp;INPUT!$C$3:$C$5000,INPUT!$F$3:$F$5000),2,FALSE),"")</f>
        <v>PRE-TEMPORADA</v>
      </c>
      <c r="H2262" t="str" cm="1">
        <f t="array" ref="H2262">IFERROR(VLOOKUP(INPUT!M2257&amp;INPUT!N2257,CHOOSE({1,2},INPUT!$A$3:$A$5000&amp;INPUT!$C$3:$C$5000,INPUT!$D$3:$D$5000),2,FALSE),"")</f>
        <v>TEC-TAC</v>
      </c>
      <c r="I2262" s="46">
        <f>IF(INPUT!P2257="","",INPUT!P2257)</f>
        <v>77</v>
      </c>
      <c r="J2262" s="46">
        <f>IF(INPUT!Q2257="","",INPUT!Q2257)</f>
        <v>77</v>
      </c>
      <c r="K2262" s="46">
        <f>IFERROR(IF(OR(INPUT!P2257="",INPUT!Q2257=""),"",INPUT!P2257-INPUT!Q2257),"")</f>
        <v>0</v>
      </c>
      <c r="L2262" s="48">
        <f>IFERROR(IF(OR(INPUT!P2257="",INPUT!Q2257="",INPUT!P2257=0),"",(INPUT!P2257-INPUT!Q2257)/INPUT!P2257),"")</f>
        <v>0</v>
      </c>
    </row>
    <row r="2263" spans="1:12" ht="18" hidden="1" customHeight="1" x14ac:dyDescent="0.2">
      <c r="A2263" s="11">
        <f>IF(INPUT!M2258="","",INPUT!M2258)</f>
        <v>46097</v>
      </c>
      <c r="B2263" s="11">
        <f>IF(INPUT!M2258="","",INPUT!M2258-WEEKDAY(INPUT!M2258,2)+1)</f>
        <v>46097</v>
      </c>
      <c r="C2263" s="20">
        <f>IFERROR(_xlfn.ISOWEEKNUM(INPUT!M2258),"")</f>
        <v>12</v>
      </c>
      <c r="D2263" s="20">
        <f>IFERROR(YEAR(INPUT!M2258),"")</f>
        <v>2026</v>
      </c>
      <c r="E2263" t="str">
        <f>IF(INPUT!O2258="","",INPUT!O2258)</f>
        <v>GARCIA</v>
      </c>
      <c r="F2263" t="str">
        <f>IF(INPUT!N2258="","",INPUT!N2258)</f>
        <v>M</v>
      </c>
      <c r="G2263" t="str" cm="1">
        <f t="array" ref="G2263">IFERROR(VLOOKUP(INPUT!M2258&amp;INPUT!N2258,CHOOSE({1,2},INPUT!$A$3:$A$5000&amp;INPUT!$C$3:$C$5000,INPUT!$F$3:$F$5000),2,FALSE),"")</f>
        <v>PRE-TEMPORADA</v>
      </c>
      <c r="H2263" t="str" cm="1">
        <f t="array" ref="H2263">IFERROR(VLOOKUP(INPUT!M2258&amp;INPUT!N2258,CHOOSE({1,2},INPUT!$A$3:$A$5000&amp;INPUT!$C$3:$C$5000,INPUT!$D$3:$D$5000),2,FALSE),"")</f>
        <v>TEC-TAC</v>
      </c>
      <c r="I2263" s="46">
        <f>IF(INPUT!P2258="","",INPUT!P2258)</f>
        <v>79.599999999999994</v>
      </c>
      <c r="J2263" s="46">
        <f>IF(INPUT!Q2258="","",INPUT!Q2258)</f>
        <v>79</v>
      </c>
      <c r="K2263" s="46">
        <f>IFERROR(IF(OR(INPUT!P2258="",INPUT!Q2258=""),"",INPUT!P2258-INPUT!Q2258),"")</f>
        <v>0.59999999999999432</v>
      </c>
      <c r="L2263" s="48">
        <f>IFERROR(IF(OR(INPUT!P2258="",INPUT!Q2258="",INPUT!P2258=0),"",(INPUT!P2258-INPUT!Q2258)/INPUT!P2258),"")</f>
        <v>7.5376884422109847E-3</v>
      </c>
    </row>
    <row r="2264" spans="1:12" ht="18" hidden="1" customHeight="1" x14ac:dyDescent="0.2">
      <c r="A2264" s="11">
        <f>IF(INPUT!M2259="","",INPUT!M2259)</f>
        <v>46097</v>
      </c>
      <c r="B2264" s="11">
        <f>IF(INPUT!M2259="","",INPUT!M2259-WEEKDAY(INPUT!M2259,2)+1)</f>
        <v>46097</v>
      </c>
      <c r="C2264" s="20">
        <f>IFERROR(_xlfn.ISOWEEKNUM(INPUT!M2259),"")</f>
        <v>12</v>
      </c>
      <c r="D2264" s="20">
        <f>IFERROR(YEAR(INPUT!M2259),"")</f>
        <v>2026</v>
      </c>
      <c r="E2264" t="str">
        <f>IF(INPUT!O2259="","",INPUT!O2259)</f>
        <v>CECILIO</v>
      </c>
      <c r="F2264" t="str">
        <f>IF(INPUT!N2259="","",INPUT!N2259)</f>
        <v>M</v>
      </c>
      <c r="G2264" t="str" cm="1">
        <f t="array" ref="G2264">IFERROR(VLOOKUP(INPUT!M2259&amp;INPUT!N2259,CHOOSE({1,2},INPUT!$A$3:$A$5000&amp;INPUT!$C$3:$C$5000,INPUT!$F$3:$F$5000),2,FALSE),"")</f>
        <v>PRE-TEMPORADA</v>
      </c>
      <c r="H2264" t="str" cm="1">
        <f t="array" ref="H2264">IFERROR(VLOOKUP(INPUT!M2259&amp;INPUT!N2259,CHOOSE({1,2},INPUT!$A$3:$A$5000&amp;INPUT!$C$3:$C$5000,INPUT!$D$3:$D$5000),2,FALSE),"")</f>
        <v>TEC-TAC</v>
      </c>
      <c r="I2264" s="46">
        <f>IF(INPUT!P2259="","",INPUT!P2259)</f>
        <v>67</v>
      </c>
      <c r="J2264" s="46">
        <f>IF(INPUT!Q2259="","",INPUT!Q2259)</f>
        <v>67.099999999999994</v>
      </c>
      <c r="K2264" s="46">
        <f>IFERROR(IF(OR(INPUT!P2259="",INPUT!Q2259=""),"",INPUT!P2259-INPUT!Q2259),"")</f>
        <v>-9.9999999999994316E-2</v>
      </c>
      <c r="L2264" s="48">
        <f>IFERROR(IF(OR(INPUT!P2259="",INPUT!Q2259="",INPUT!P2259=0),"",(INPUT!P2259-INPUT!Q2259)/INPUT!P2259),"")</f>
        <v>-1.4925373134327511E-3</v>
      </c>
    </row>
    <row r="2265" spans="1:12" ht="18" hidden="1" customHeight="1" x14ac:dyDescent="0.2">
      <c r="A2265" s="11">
        <f>IF(INPUT!M2260="","",INPUT!M2260)</f>
        <v>46097</v>
      </c>
      <c r="B2265" s="11">
        <f>IF(INPUT!M2260="","",INPUT!M2260-WEEKDAY(INPUT!M2260,2)+1)</f>
        <v>46097</v>
      </c>
      <c r="C2265" s="20">
        <f>IFERROR(_xlfn.ISOWEEKNUM(INPUT!M2260),"")</f>
        <v>12</v>
      </c>
      <c r="D2265" s="20">
        <f>IFERROR(YEAR(INPUT!M2260),"")</f>
        <v>2026</v>
      </c>
      <c r="E2265" t="str">
        <f>IF(INPUT!O2260="","",INPUT!O2260)</f>
        <v>CHAGUINHA</v>
      </c>
      <c r="F2265" t="str">
        <f>IF(INPUT!N2260="","",INPUT!N2260)</f>
        <v>M</v>
      </c>
      <c r="G2265" t="str" cm="1">
        <f t="array" ref="G2265">IFERROR(VLOOKUP(INPUT!M2260&amp;INPUT!N2260,CHOOSE({1,2},INPUT!$A$3:$A$5000&amp;INPUT!$C$3:$C$5000,INPUT!$F$3:$F$5000),2,FALSE),"")</f>
        <v>PRE-TEMPORADA</v>
      </c>
      <c r="H2265" t="str" cm="1">
        <f t="array" ref="H2265">IFERROR(VLOOKUP(INPUT!M2260&amp;INPUT!N2260,CHOOSE({1,2},INPUT!$A$3:$A$5000&amp;INPUT!$C$3:$C$5000,INPUT!$D$3:$D$5000),2,FALSE),"")</f>
        <v>TEC-TAC</v>
      </c>
      <c r="I2265" s="46">
        <f>IF(INPUT!P2260="","",INPUT!P2260)</f>
        <v>68.599999999999994</v>
      </c>
      <c r="J2265" s="46">
        <f>IF(INPUT!Q2260="","",INPUT!Q2260)</f>
        <v>68.099999999999994</v>
      </c>
      <c r="K2265" s="46">
        <f>IFERROR(IF(OR(INPUT!P2260="",INPUT!Q2260=""),"",INPUT!P2260-INPUT!Q2260),"")</f>
        <v>0.5</v>
      </c>
      <c r="L2265" s="48">
        <f>IFERROR(IF(OR(INPUT!P2260="",INPUT!Q2260="",INPUT!P2260=0),"",(INPUT!P2260-INPUT!Q2260)/INPUT!P2260),"")</f>
        <v>7.28862973760933E-3</v>
      </c>
    </row>
    <row r="2266" spans="1:12" ht="18" hidden="1" customHeight="1" x14ac:dyDescent="0.2">
      <c r="A2266" s="11">
        <f>IF(INPUT!M2261="","",INPUT!M2261)</f>
        <v>46097</v>
      </c>
      <c r="B2266" s="11">
        <f>IF(INPUT!M2261="","",INPUT!M2261-WEEKDAY(INPUT!M2261,2)+1)</f>
        <v>46097</v>
      </c>
      <c r="C2266" s="20">
        <f>IFERROR(_xlfn.ISOWEEKNUM(INPUT!M2261),"")</f>
        <v>12</v>
      </c>
      <c r="D2266" s="20">
        <f>IFERROR(YEAR(INPUT!M2261),"")</f>
        <v>2026</v>
      </c>
      <c r="E2266" t="str">
        <f>IF(INPUT!O2261="","",INPUT!O2261)</f>
        <v>RAUL</v>
      </c>
      <c r="F2266" t="str">
        <f>IF(INPUT!N2261="","",INPUT!N2261)</f>
        <v>M</v>
      </c>
      <c r="G2266" t="str" cm="1">
        <f t="array" ref="G2266">IFERROR(VLOOKUP(INPUT!M2261&amp;INPUT!N2261,CHOOSE({1,2},INPUT!$A$3:$A$5000&amp;INPUT!$C$3:$C$5000,INPUT!$F$3:$F$5000),2,FALSE),"")</f>
        <v>PRE-TEMPORADA</v>
      </c>
      <c r="H2266" t="str" cm="1">
        <f t="array" ref="H2266">IFERROR(VLOOKUP(INPUT!M2261&amp;INPUT!N2261,CHOOSE({1,2},INPUT!$A$3:$A$5000&amp;INPUT!$C$3:$C$5000,INPUT!$D$3:$D$5000),2,FALSE),"")</f>
        <v>TEC-TAC</v>
      </c>
      <c r="I2266" s="46">
        <f>IF(INPUT!P2261="","",INPUT!P2261)</f>
        <v>81.599999999999994</v>
      </c>
      <c r="J2266" s="46">
        <f>IF(INPUT!Q2261="","",INPUT!Q2261)</f>
        <v>81</v>
      </c>
      <c r="K2266" s="46">
        <f>IFERROR(IF(OR(INPUT!P2261="",INPUT!Q2261=""),"",INPUT!P2261-INPUT!Q2261),"")</f>
        <v>0.59999999999999432</v>
      </c>
      <c r="L2266" s="48">
        <f>IFERROR(IF(OR(INPUT!P2261="",INPUT!Q2261="",INPUT!P2261=0),"",(INPUT!P2261-INPUT!Q2261)/INPUT!P2261),"")</f>
        <v>7.3529411764705187E-3</v>
      </c>
    </row>
    <row r="2267" spans="1:12" ht="18" hidden="1" customHeight="1" x14ac:dyDescent="0.2">
      <c r="A2267" s="11">
        <f>IF(INPUT!M2262="","",INPUT!M2262)</f>
        <v>46097</v>
      </c>
      <c r="B2267" s="11">
        <f>IF(INPUT!M2262="","",INPUT!M2262-WEEKDAY(INPUT!M2262,2)+1)</f>
        <v>46097</v>
      </c>
      <c r="C2267" s="20">
        <f>IFERROR(_xlfn.ISOWEEKNUM(INPUT!M2262),"")</f>
        <v>12</v>
      </c>
      <c r="D2267" s="20">
        <f>IFERROR(YEAR(INPUT!M2262),"")</f>
        <v>2026</v>
      </c>
      <c r="E2267" t="str">
        <f>IF(INPUT!O2262="","",INPUT!O2262)</f>
        <v>HARRISON</v>
      </c>
      <c r="F2267" t="str">
        <f>IF(INPUT!N2262="","",INPUT!N2262)</f>
        <v>M</v>
      </c>
      <c r="G2267" t="str" cm="1">
        <f t="array" ref="G2267">IFERROR(VLOOKUP(INPUT!M2262&amp;INPUT!N2262,CHOOSE({1,2},INPUT!$A$3:$A$5000&amp;INPUT!$C$3:$C$5000,INPUT!$F$3:$F$5000),2,FALSE),"")</f>
        <v>PRE-TEMPORADA</v>
      </c>
      <c r="H2267" t="str" cm="1">
        <f t="array" ref="H2267">IFERROR(VLOOKUP(INPUT!M2262&amp;INPUT!N2262,CHOOSE({1,2},INPUT!$A$3:$A$5000&amp;INPUT!$C$3:$C$5000,INPUT!$D$3:$D$5000),2,FALSE),"")</f>
        <v>TEC-TAC</v>
      </c>
      <c r="I2267" s="46">
        <f>IF(INPUT!P2262="","",INPUT!P2262)</f>
        <v>71.599999999999994</v>
      </c>
      <c r="J2267" s="46">
        <f>IF(INPUT!Q2262="","",INPUT!Q2262)</f>
        <v>71.5</v>
      </c>
      <c r="K2267" s="46">
        <f>IFERROR(IF(OR(INPUT!P2262="",INPUT!Q2262=""),"",INPUT!P2262-INPUT!Q2262),"")</f>
        <v>9.9999999999994316E-2</v>
      </c>
      <c r="L2267" s="48">
        <f>IFERROR(IF(OR(INPUT!P2262="",INPUT!Q2262="",INPUT!P2262=0),"",(INPUT!P2262-INPUT!Q2262)/INPUT!P2262),"")</f>
        <v>1.3966480446926581E-3</v>
      </c>
    </row>
    <row r="2268" spans="1:12" ht="18" hidden="1" customHeight="1" x14ac:dyDescent="0.2">
      <c r="A2268" s="11">
        <f>IF(INPUT!M2263="","",INPUT!M2263)</f>
        <v>46097</v>
      </c>
      <c r="B2268" s="11">
        <f>IF(INPUT!M2263="","",INPUT!M2263-WEEKDAY(INPUT!M2263,2)+1)</f>
        <v>46097</v>
      </c>
      <c r="C2268" s="20">
        <f>IFERROR(_xlfn.ISOWEEKNUM(INPUT!M2263),"")</f>
        <v>12</v>
      </c>
      <c r="D2268" s="20">
        <f>IFERROR(YEAR(INPUT!M2263),"")</f>
        <v>2026</v>
      </c>
      <c r="E2268" t="str">
        <f>IF(INPUT!O2263="","",INPUT!O2263)</f>
        <v>RAYA</v>
      </c>
      <c r="F2268" t="str">
        <f>IF(INPUT!N2263="","",INPUT!N2263)</f>
        <v>M</v>
      </c>
      <c r="G2268" t="str" cm="1">
        <f t="array" ref="G2268">IFERROR(VLOOKUP(INPUT!M2263&amp;INPUT!N2263,CHOOSE({1,2},INPUT!$A$3:$A$5000&amp;INPUT!$C$3:$C$5000,INPUT!$F$3:$F$5000),2,FALSE),"")</f>
        <v>PRE-TEMPORADA</v>
      </c>
      <c r="H2268" t="str" cm="1">
        <f t="array" ref="H2268">IFERROR(VLOOKUP(INPUT!M2263&amp;INPUT!N2263,CHOOSE({1,2},INPUT!$A$3:$A$5000&amp;INPUT!$C$3:$C$5000,INPUT!$D$3:$D$5000),2,FALSE),"")</f>
        <v>TEC-TAC</v>
      </c>
      <c r="I2268" s="46">
        <f>IF(INPUT!P2263="","",INPUT!P2263)</f>
        <v>82.5</v>
      </c>
      <c r="J2268" s="46">
        <f>IF(INPUT!Q2263="","",INPUT!Q2263)</f>
        <v>81.400000000000006</v>
      </c>
      <c r="K2268" s="46">
        <f>IFERROR(IF(OR(INPUT!P2263="",INPUT!Q2263=""),"",INPUT!P2263-INPUT!Q2263),"")</f>
        <v>1.0999999999999943</v>
      </c>
      <c r="L2268" s="48">
        <f>IFERROR(IF(OR(INPUT!P2263="",INPUT!Q2263="",INPUT!P2263=0),"",(INPUT!P2263-INPUT!Q2263)/INPUT!P2263),"")</f>
        <v>1.3333333333333265E-2</v>
      </c>
    </row>
    <row r="2269" spans="1:12" ht="18" hidden="1" customHeight="1" x14ac:dyDescent="0.2">
      <c r="A2269" s="11">
        <f>IF(INPUT!M2264="","",INPUT!M2264)</f>
        <v>46097</v>
      </c>
      <c r="B2269" s="11">
        <f>IF(INPUT!M2264="","",INPUT!M2264-WEEKDAY(INPUT!M2264,2)+1)</f>
        <v>46097</v>
      </c>
      <c r="C2269" s="20">
        <f>IFERROR(_xlfn.ISOWEEKNUM(INPUT!M2264),"")</f>
        <v>12</v>
      </c>
      <c r="D2269" s="20">
        <f>IFERROR(YEAR(INPUT!M2264),"")</f>
        <v>2026</v>
      </c>
      <c r="E2269" t="str">
        <f>IF(INPUT!O2264="","",INPUT!O2264)</f>
        <v>JAVI</v>
      </c>
      <c r="F2269" t="str">
        <f>IF(INPUT!N2264="","",INPUT!N2264)</f>
        <v>M</v>
      </c>
      <c r="G2269" t="str" cm="1">
        <f t="array" ref="G2269">IFERROR(VLOOKUP(INPUT!M2264&amp;INPUT!N2264,CHOOSE({1,2},INPUT!$A$3:$A$5000&amp;INPUT!$C$3:$C$5000,INPUT!$F$3:$F$5000),2,FALSE),"")</f>
        <v>PRE-TEMPORADA</v>
      </c>
      <c r="H2269" t="str" cm="1">
        <f t="array" ref="H2269">IFERROR(VLOOKUP(INPUT!M2264&amp;INPUT!N2264,CHOOSE({1,2},INPUT!$A$3:$A$5000&amp;INPUT!$C$3:$C$5000,INPUT!$D$3:$D$5000),2,FALSE),"")</f>
        <v>TEC-TAC</v>
      </c>
      <c r="I2269" s="46">
        <f>IF(INPUT!P2264="","",INPUT!P2264)</f>
        <v>79.5</v>
      </c>
      <c r="J2269" s="46">
        <f>IF(INPUT!Q2264="","",INPUT!Q2264)</f>
        <v>79.5</v>
      </c>
      <c r="K2269" s="46">
        <f>IFERROR(IF(OR(INPUT!P2264="",INPUT!Q2264=""),"",INPUT!P2264-INPUT!Q2264),"")</f>
        <v>0</v>
      </c>
      <c r="L2269" s="48">
        <f>IFERROR(IF(OR(INPUT!P2264="",INPUT!Q2264="",INPUT!P2264=0),"",(INPUT!P2264-INPUT!Q2264)/INPUT!P2264),"")</f>
        <v>0</v>
      </c>
    </row>
    <row r="2270" spans="1:12" ht="18" hidden="1" customHeight="1" x14ac:dyDescent="0.2">
      <c r="A2270" s="11">
        <f>IF(INPUT!M2265="","",INPUT!M2265)</f>
        <v>46097</v>
      </c>
      <c r="B2270" s="11">
        <f>IF(INPUT!M2265="","",INPUT!M2265-WEEKDAY(INPUT!M2265,2)+1)</f>
        <v>46097</v>
      </c>
      <c r="C2270" s="20">
        <f>IFERROR(_xlfn.ISOWEEKNUM(INPUT!M2265),"")</f>
        <v>12</v>
      </c>
      <c r="D2270" s="20">
        <f>IFERROR(YEAR(INPUT!M2265),"")</f>
        <v>2026</v>
      </c>
      <c r="E2270" t="str">
        <f>IF(INPUT!O2265="","",INPUT!O2265)</f>
        <v>PANI</v>
      </c>
      <c r="F2270" t="str">
        <f>IF(INPUT!N2265="","",INPUT!N2265)</f>
        <v>M</v>
      </c>
      <c r="G2270" t="str" cm="1">
        <f t="array" ref="G2270">IFERROR(VLOOKUP(INPUT!M2265&amp;INPUT!N2265,CHOOSE({1,2},INPUT!$A$3:$A$5000&amp;INPUT!$C$3:$C$5000,INPUT!$F$3:$F$5000),2,FALSE),"")</f>
        <v>PRE-TEMPORADA</v>
      </c>
      <c r="H2270" t="str" cm="1">
        <f t="array" ref="H2270">IFERROR(VLOOKUP(INPUT!M2265&amp;INPUT!N2265,CHOOSE({1,2},INPUT!$A$3:$A$5000&amp;INPUT!$C$3:$C$5000,INPUT!$D$3:$D$5000),2,FALSE),"")</f>
        <v>TEC-TAC</v>
      </c>
      <c r="I2270" s="46">
        <f>IF(INPUT!P2265="","",INPUT!P2265)</f>
        <v>66.8</v>
      </c>
      <c r="J2270" s="46">
        <f>IF(INPUT!Q2265="","",INPUT!Q2265)</f>
        <v>66</v>
      </c>
      <c r="K2270" s="46">
        <f>IFERROR(IF(OR(INPUT!P2265="",INPUT!Q2265=""),"",INPUT!P2265-INPUT!Q2265),"")</f>
        <v>0.79999999999999716</v>
      </c>
      <c r="L2270" s="48">
        <f>IFERROR(IF(OR(INPUT!P2265="",INPUT!Q2265="",INPUT!P2265=0),"",(INPUT!P2265-INPUT!Q2265)/INPUT!P2265),"")</f>
        <v>1.1976047904191574E-2</v>
      </c>
    </row>
    <row r="2271" spans="1:12" ht="18" hidden="1" customHeight="1" x14ac:dyDescent="0.2">
      <c r="A2271" s="11">
        <f>IF(INPUT!M2266="","",INPUT!M2266)</f>
        <v>46097</v>
      </c>
      <c r="B2271" s="11">
        <f>IF(INPUT!M2266="","",INPUT!M2266-WEEKDAY(INPUT!M2266,2)+1)</f>
        <v>46097</v>
      </c>
      <c r="C2271" s="20">
        <f>IFERROR(_xlfn.ISOWEEKNUM(INPUT!M2266),"")</f>
        <v>12</v>
      </c>
      <c r="D2271" s="20">
        <f>IFERROR(YEAR(INPUT!M2266),"")</f>
        <v>2026</v>
      </c>
      <c r="E2271" t="str">
        <f>IF(INPUT!O2266="","",INPUT!O2266)</f>
        <v>PIRATA</v>
      </c>
      <c r="F2271" t="str">
        <f>IF(INPUT!N2266="","",INPUT!N2266)</f>
        <v>M</v>
      </c>
      <c r="G2271" t="str" cm="1">
        <f t="array" ref="G2271">IFERROR(VLOOKUP(INPUT!M2266&amp;INPUT!N2266,CHOOSE({1,2},INPUT!$A$3:$A$5000&amp;INPUT!$C$3:$C$5000,INPUT!$F$3:$F$5000),2,FALSE),"")</f>
        <v>PRE-TEMPORADA</v>
      </c>
      <c r="H2271" t="str" cm="1">
        <f t="array" ref="H2271">IFERROR(VLOOKUP(INPUT!M2266&amp;INPUT!N2266,CHOOSE({1,2},INPUT!$A$3:$A$5000&amp;INPUT!$C$3:$C$5000,INPUT!$D$3:$D$5000),2,FALSE),"")</f>
        <v>TEC-TAC</v>
      </c>
      <c r="I2271" s="46">
        <f>IF(INPUT!P2266="","",INPUT!P2266)</f>
        <v>75.8</v>
      </c>
      <c r="J2271" s="46">
        <f>IF(INPUT!Q2266="","",INPUT!Q2266)</f>
        <v>75.7</v>
      </c>
      <c r="K2271" s="46">
        <f>IFERROR(IF(OR(INPUT!P2266="",INPUT!Q2266=""),"",INPUT!P2266-INPUT!Q2266),"")</f>
        <v>9.9999999999994316E-2</v>
      </c>
      <c r="L2271" s="48">
        <f>IFERROR(IF(OR(INPUT!P2266="",INPUT!Q2266="",INPUT!P2266=0),"",(INPUT!P2266-INPUT!Q2266)/INPUT!P2266),"")</f>
        <v>1.3192612137202418E-3</v>
      </c>
    </row>
    <row r="2272" spans="1:12" ht="18" customHeight="1" x14ac:dyDescent="0.2">
      <c r="A2272" s="11">
        <f>IF(INPUT!M2267="","",INPUT!M2267)</f>
        <v>46097</v>
      </c>
      <c r="B2272" s="11">
        <f>IF(INPUT!M2267="","",INPUT!M2267-WEEKDAY(INPUT!M2267,2)+1)</f>
        <v>46097</v>
      </c>
      <c r="C2272" s="20">
        <f>IFERROR(_xlfn.ISOWEEKNUM(INPUT!M2267),"")</f>
        <v>12</v>
      </c>
      <c r="D2272" s="20">
        <f>IFERROR(YEAR(INPUT!M2267),"")</f>
        <v>2026</v>
      </c>
      <c r="E2272" t="str">
        <f>IF(INPUT!O2267="","",INPUT!O2267)</f>
        <v>BARONA</v>
      </c>
      <c r="F2272" t="str">
        <f>IF(INPUT!N2267="","",INPUT!N2267)</f>
        <v>M</v>
      </c>
      <c r="G2272" t="str" cm="1">
        <f t="array" ref="G2272">IFERROR(VLOOKUP(INPUT!M2267&amp;INPUT!N2267,CHOOSE({1,2},INPUT!$A$3:$A$5000&amp;INPUT!$C$3:$C$5000,INPUT!$F$3:$F$5000),2,FALSE),"")</f>
        <v>PRE-TEMPORADA</v>
      </c>
      <c r="H2272" t="str" cm="1">
        <f t="array" ref="H2272">IFERROR(VLOOKUP(INPUT!M2267&amp;INPUT!N2267,CHOOSE({1,2},INPUT!$A$3:$A$5000&amp;INPUT!$C$3:$C$5000,INPUT!$D$3:$D$5000),2,FALSE),"")</f>
        <v>TEC-TAC</v>
      </c>
      <c r="I2272" s="46">
        <f>IF(INPUT!P2267="","",INPUT!P2267)</f>
        <v>71</v>
      </c>
      <c r="J2272" s="46">
        <f>IF(INPUT!Q2267="","",INPUT!Q2267)</f>
        <v>71</v>
      </c>
      <c r="K2272" s="46">
        <f>IFERROR(IF(OR(INPUT!P2267="",INPUT!Q2267=""),"",INPUT!P2267-INPUT!Q2267),"")</f>
        <v>0</v>
      </c>
      <c r="L2272" s="48">
        <f>IFERROR(IF(OR(INPUT!P2267="",INPUT!Q2267="",INPUT!P2267=0),"",(INPUT!P2267-INPUT!Q2267)/INPUT!P2267),"")</f>
        <v>0</v>
      </c>
    </row>
    <row r="2273" spans="1:12" ht="18" customHeight="1" x14ac:dyDescent="0.2">
      <c r="A2273" s="11">
        <f>IF(INPUT!M2268="","",INPUT!M2268)</f>
        <v>46097</v>
      </c>
      <c r="B2273" s="11">
        <f>IF(INPUT!M2268="","",INPUT!M2268-WEEKDAY(INPUT!M2268,2)+1)</f>
        <v>46097</v>
      </c>
      <c r="C2273" s="20">
        <f>IFERROR(_xlfn.ISOWEEKNUM(INPUT!M2268),"")</f>
        <v>12</v>
      </c>
      <c r="D2273" s="20">
        <f>IFERROR(YEAR(INPUT!M2268),"")</f>
        <v>2026</v>
      </c>
      <c r="E2273" t="str">
        <f>IF(INPUT!O2268="","",INPUT!O2268)</f>
        <v>CARLOS</v>
      </c>
      <c r="F2273" t="str">
        <f>IF(INPUT!N2268="","",INPUT!N2268)</f>
        <v>M</v>
      </c>
      <c r="G2273" t="str" cm="1">
        <f t="array" ref="G2273">IFERROR(VLOOKUP(INPUT!M2268&amp;INPUT!N2268,CHOOSE({1,2},INPUT!$A$3:$A$5000&amp;INPUT!$C$3:$C$5000,INPUT!$F$3:$F$5000),2,FALSE),"")</f>
        <v>PRE-TEMPORADA</v>
      </c>
      <c r="H2273" t="str" cm="1">
        <f t="array" ref="H2273">IFERROR(VLOOKUP(INPUT!M2268&amp;INPUT!N2268,CHOOSE({1,2},INPUT!$A$3:$A$5000&amp;INPUT!$C$3:$C$5000,INPUT!$D$3:$D$5000),2,FALSE),"")</f>
        <v>TEC-TAC</v>
      </c>
      <c r="I2273" s="46">
        <f>IF(INPUT!P2268="","",INPUT!P2268)</f>
        <v>68.3</v>
      </c>
      <c r="J2273" s="46">
        <f>IF(INPUT!Q2268="","",INPUT!Q2268)</f>
        <v>68</v>
      </c>
      <c r="K2273" s="46">
        <f>IFERROR(IF(OR(INPUT!P2268="",INPUT!Q2268=""),"",INPUT!P2268-INPUT!Q2268),"")</f>
        <v>0.29999999999999716</v>
      </c>
      <c r="L2273" s="48">
        <f>IFERROR(IF(OR(INPUT!P2268="",INPUT!Q2268="",INPUT!P2268=0),"",(INPUT!P2268-INPUT!Q2268)/INPUT!P2268),"")</f>
        <v>4.3923865300145998E-3</v>
      </c>
    </row>
    <row r="2274" spans="1:12" ht="18" hidden="1" customHeight="1" x14ac:dyDescent="0.2">
      <c r="A2274" s="11">
        <f>IF(INPUT!M2269="","",INPUT!M2269)</f>
        <v>46097</v>
      </c>
      <c r="B2274" s="11">
        <f>IF(INPUT!M2269="","",INPUT!M2269-WEEKDAY(INPUT!M2269,2)+1)</f>
        <v>46097</v>
      </c>
      <c r="C2274" s="20">
        <f>IFERROR(_xlfn.ISOWEEKNUM(INPUT!M2269),"")</f>
        <v>12</v>
      </c>
      <c r="D2274" s="20">
        <f>IFERROR(YEAR(INPUT!M2269),"")</f>
        <v>2026</v>
      </c>
      <c r="E2274" t="str">
        <f>IF(INPUT!O2269="","",INPUT!O2269)</f>
        <v>DANI</v>
      </c>
      <c r="F2274" t="str">
        <f>IF(INPUT!N2269="","",INPUT!N2269)</f>
        <v>M</v>
      </c>
      <c r="G2274" t="str" cm="1">
        <f t="array" ref="G2274">IFERROR(VLOOKUP(INPUT!M2269&amp;INPUT!N2269,CHOOSE({1,2},INPUT!$A$3:$A$5000&amp;INPUT!$C$3:$C$5000,INPUT!$F$3:$F$5000),2,FALSE),"")</f>
        <v>PRE-TEMPORADA</v>
      </c>
      <c r="H2274" t="str" cm="1">
        <f t="array" ref="H2274">IFERROR(VLOOKUP(INPUT!M2269&amp;INPUT!N2269,CHOOSE({1,2},INPUT!$A$3:$A$5000&amp;INPUT!$C$3:$C$5000,INPUT!$D$3:$D$5000),2,FALSE),"")</f>
        <v>TEC-TAC</v>
      </c>
      <c r="I2274" s="46">
        <f>IF(INPUT!P2269="","",INPUT!P2269)</f>
        <v>91</v>
      </c>
      <c r="J2274" s="46">
        <f>IF(INPUT!Q2269="","",INPUT!Q2269)</f>
        <v>90.4</v>
      </c>
      <c r="K2274" s="46">
        <f>IFERROR(IF(OR(INPUT!P2269="",INPUT!Q2269=""),"",INPUT!P2269-INPUT!Q2269),"")</f>
        <v>0.59999999999999432</v>
      </c>
      <c r="L2274" s="48">
        <f>IFERROR(IF(OR(INPUT!P2269="",INPUT!Q2269="",INPUT!P2269=0),"",(INPUT!P2269-INPUT!Q2269)/INPUT!P2269),"")</f>
        <v>6.593406593406531E-3</v>
      </c>
    </row>
    <row r="2275" spans="1:12" ht="18" hidden="1" customHeight="1" x14ac:dyDescent="0.2">
      <c r="A2275" s="11">
        <f>IF(INPUT!M2270="","",INPUT!M2270)</f>
        <v>46097</v>
      </c>
      <c r="B2275" s="11">
        <f>IF(INPUT!M2270="","",INPUT!M2270-WEEKDAY(INPUT!M2270,2)+1)</f>
        <v>46097</v>
      </c>
      <c r="C2275" s="20">
        <f>IFERROR(_xlfn.ISOWEEKNUM(INPUT!M2270),"")</f>
        <v>12</v>
      </c>
      <c r="D2275" s="20">
        <f>IFERROR(YEAR(INPUT!M2270),"")</f>
        <v>2026</v>
      </c>
      <c r="E2275" t="str">
        <f>IF(INPUT!O2270="","",INPUT!O2270)</f>
        <v>JAIME</v>
      </c>
      <c r="F2275" t="str">
        <f>IF(INPUT!N2270="","",INPUT!N2270)</f>
        <v>M</v>
      </c>
      <c r="G2275" t="str" cm="1">
        <f t="array" ref="G2275">IFERROR(VLOOKUP(INPUT!M2270&amp;INPUT!N2270,CHOOSE({1,2},INPUT!$A$3:$A$5000&amp;INPUT!$C$3:$C$5000,INPUT!$F$3:$F$5000),2,FALSE),"")</f>
        <v>PRE-TEMPORADA</v>
      </c>
      <c r="H2275" t="str" cm="1">
        <f t="array" ref="H2275">IFERROR(VLOOKUP(INPUT!M2270&amp;INPUT!N2270,CHOOSE({1,2},INPUT!$A$3:$A$5000&amp;INPUT!$C$3:$C$5000,INPUT!$D$3:$D$5000),2,FALSE),"")</f>
        <v>TEC-TAC</v>
      </c>
      <c r="I2275" s="46">
        <f>IF(INPUT!P2270="","",INPUT!P2270)</f>
        <v>75.7</v>
      </c>
      <c r="J2275" s="46">
        <f>IF(INPUT!Q2270="","",INPUT!Q2270)</f>
        <v>75.599999999999994</v>
      </c>
      <c r="K2275" s="46">
        <f>IFERROR(IF(OR(INPUT!P2270="",INPUT!Q2270=""),"",INPUT!P2270-INPUT!Q2270),"")</f>
        <v>0.10000000000000853</v>
      </c>
      <c r="L2275" s="48">
        <f>IFERROR(IF(OR(INPUT!P2270="",INPUT!Q2270="",INPUT!P2270=0),"",(INPUT!P2270-INPUT!Q2270)/INPUT!P2270),"")</f>
        <v>1.3210039630120016E-3</v>
      </c>
    </row>
    <row r="2276" spans="1:12" ht="18" hidden="1" customHeight="1" x14ac:dyDescent="0.2">
      <c r="A2276" s="11">
        <f>IF(INPUT!M2271="","",INPUT!M2271)</f>
        <v>46098</v>
      </c>
      <c r="B2276" s="11">
        <f>IF(INPUT!M2271="","",INPUT!M2271-WEEKDAY(INPUT!M2271,2)+1)</f>
        <v>46097</v>
      </c>
      <c r="C2276" s="20">
        <f>IFERROR(_xlfn.ISOWEEKNUM(INPUT!M2271),"")</f>
        <v>12</v>
      </c>
      <c r="D2276" s="20">
        <f>IFERROR(YEAR(INPUT!M2271),"")</f>
        <v>2026</v>
      </c>
      <c r="E2276" t="str">
        <f>IF(INPUT!O2271="","",INPUT!O2271)</f>
        <v>HERRERO</v>
      </c>
      <c r="F2276" t="str">
        <f>IF(INPUT!N2271="","",INPUT!N2271)</f>
        <v>M</v>
      </c>
      <c r="G2276" t="str" cm="1">
        <f t="array" ref="G2276">IFERROR(VLOOKUP(INPUT!M2271&amp;INPUT!N2271,CHOOSE({1,2},INPUT!$A$3:$A$5000&amp;INPUT!$C$3:$C$5000,INPUT!$F$3:$F$5000),2,FALSE),"")</f>
        <v>PRE-TEMPORADA</v>
      </c>
      <c r="H2276" t="str" cm="1">
        <f t="array" ref="H2276">IFERROR(VLOOKUP(INPUT!M2271&amp;INPUT!N2271,CHOOSE({1,2},INPUT!$A$3:$A$5000&amp;INPUT!$C$3:$C$5000,INPUT!$D$3:$D$5000),2,FALSE),"")</f>
        <v>TEC-TAC</v>
      </c>
      <c r="I2276" s="46">
        <f>IF(INPUT!P2271="","",INPUT!P2271)</f>
        <v>77</v>
      </c>
      <c r="J2276" s="46">
        <f>IF(INPUT!Q2271="","",INPUT!Q2271)</f>
        <v>76.599999999999994</v>
      </c>
      <c r="K2276" s="46">
        <f>IFERROR(IF(OR(INPUT!P2271="",INPUT!Q2271=""),"",INPUT!P2271-INPUT!Q2271),"")</f>
        <v>0.40000000000000568</v>
      </c>
      <c r="L2276" s="48">
        <f>IFERROR(IF(OR(INPUT!P2271="",INPUT!Q2271="",INPUT!P2271=0),"",(INPUT!P2271-INPUT!Q2271)/INPUT!P2271),"")</f>
        <v>5.1948051948052685E-3</v>
      </c>
    </row>
    <row r="2277" spans="1:12" ht="18" hidden="1" customHeight="1" x14ac:dyDescent="0.2">
      <c r="A2277" s="11">
        <f>IF(INPUT!M2272="","",INPUT!M2272)</f>
        <v>46098</v>
      </c>
      <c r="B2277" s="11">
        <f>IF(INPUT!M2272="","",INPUT!M2272-WEEKDAY(INPUT!M2272,2)+1)</f>
        <v>46097</v>
      </c>
      <c r="C2277" s="20">
        <f>IFERROR(_xlfn.ISOWEEKNUM(INPUT!M2272),"")</f>
        <v>12</v>
      </c>
      <c r="D2277" s="20">
        <f>IFERROR(YEAR(INPUT!M2272),"")</f>
        <v>2026</v>
      </c>
      <c r="E2277" t="str">
        <f>IF(INPUT!O2272="","",INPUT!O2272)</f>
        <v>GARCIA</v>
      </c>
      <c r="F2277" t="str">
        <f>IF(INPUT!N2272="","",INPUT!N2272)</f>
        <v>M</v>
      </c>
      <c r="G2277" t="str" cm="1">
        <f t="array" ref="G2277">IFERROR(VLOOKUP(INPUT!M2272&amp;INPUT!N2272,CHOOSE({1,2},INPUT!$A$3:$A$5000&amp;INPUT!$C$3:$C$5000,INPUT!$F$3:$F$5000),2,FALSE),"")</f>
        <v>PRE-TEMPORADA</v>
      </c>
      <c r="H2277" t="str" cm="1">
        <f t="array" ref="H2277">IFERROR(VLOOKUP(INPUT!M2272&amp;INPUT!N2272,CHOOSE({1,2},INPUT!$A$3:$A$5000&amp;INPUT!$C$3:$C$5000,INPUT!$D$3:$D$5000),2,FALSE),"")</f>
        <v>TEC-TAC</v>
      </c>
      <c r="I2277" s="46">
        <f>IF(INPUT!P2272="","",INPUT!P2272)</f>
        <v>79.7</v>
      </c>
      <c r="J2277" s="46">
        <f>IF(INPUT!Q2272="","",INPUT!Q2272)</f>
        <v>79.599999999999994</v>
      </c>
      <c r="K2277" s="46">
        <f>IFERROR(IF(OR(INPUT!P2272="",INPUT!Q2272=""),"",INPUT!P2272-INPUT!Q2272),"")</f>
        <v>0.10000000000000853</v>
      </c>
      <c r="L2277" s="48">
        <f>IFERROR(IF(OR(INPUT!P2272="",INPUT!Q2272="",INPUT!P2272=0),"",(INPUT!P2272-INPUT!Q2272)/INPUT!P2272),"")</f>
        <v>1.2547051442911986E-3</v>
      </c>
    </row>
    <row r="2278" spans="1:12" ht="18" hidden="1" customHeight="1" x14ac:dyDescent="0.2">
      <c r="A2278" s="11">
        <f>IF(INPUT!M2273="","",INPUT!M2273)</f>
        <v>46098</v>
      </c>
      <c r="B2278" s="11">
        <f>IF(INPUT!M2273="","",INPUT!M2273-WEEKDAY(INPUT!M2273,2)+1)</f>
        <v>46097</v>
      </c>
      <c r="C2278" s="20">
        <f>IFERROR(_xlfn.ISOWEEKNUM(INPUT!M2273),"")</f>
        <v>12</v>
      </c>
      <c r="D2278" s="20">
        <f>IFERROR(YEAR(INPUT!M2273),"")</f>
        <v>2026</v>
      </c>
      <c r="E2278" t="str">
        <f>IF(INPUT!O2273="","",INPUT!O2273)</f>
        <v>CECILIO</v>
      </c>
      <c r="F2278" t="str">
        <f>IF(INPUT!N2273="","",INPUT!N2273)</f>
        <v>M</v>
      </c>
      <c r="G2278" t="str" cm="1">
        <f t="array" ref="G2278">IFERROR(VLOOKUP(INPUT!M2273&amp;INPUT!N2273,CHOOSE({1,2},INPUT!$A$3:$A$5000&amp;INPUT!$C$3:$C$5000,INPUT!$F$3:$F$5000),2,FALSE),"")</f>
        <v>PRE-TEMPORADA</v>
      </c>
      <c r="H2278" t="str" cm="1">
        <f t="array" ref="H2278">IFERROR(VLOOKUP(INPUT!M2273&amp;INPUT!N2273,CHOOSE({1,2},INPUT!$A$3:$A$5000&amp;INPUT!$C$3:$C$5000,INPUT!$D$3:$D$5000),2,FALSE),"")</f>
        <v>TEC-TAC</v>
      </c>
      <c r="I2278" s="46">
        <f>IF(INPUT!P2273="","",INPUT!P2273)</f>
        <v>67.099999999999994</v>
      </c>
      <c r="J2278" s="46">
        <f>IF(INPUT!Q2273="","",INPUT!Q2273)</f>
        <v>66.900000000000006</v>
      </c>
      <c r="K2278" s="46">
        <f>IFERROR(IF(OR(INPUT!P2273="",INPUT!Q2273=""),"",INPUT!P2273-INPUT!Q2273),"")</f>
        <v>0.19999999999998863</v>
      </c>
      <c r="L2278" s="48">
        <f>IFERROR(IF(OR(INPUT!P2273="",INPUT!Q2273="",INPUT!P2273=0),"",(INPUT!P2273-INPUT!Q2273)/INPUT!P2273),"")</f>
        <v>2.9806259314454344E-3</v>
      </c>
    </row>
    <row r="2279" spans="1:12" ht="18" hidden="1" customHeight="1" x14ac:dyDescent="0.2">
      <c r="A2279" s="11">
        <f>IF(INPUT!M2274="","",INPUT!M2274)</f>
        <v>46098</v>
      </c>
      <c r="B2279" s="11">
        <f>IF(INPUT!M2274="","",INPUT!M2274-WEEKDAY(INPUT!M2274,2)+1)</f>
        <v>46097</v>
      </c>
      <c r="C2279" s="20">
        <f>IFERROR(_xlfn.ISOWEEKNUM(INPUT!M2274),"")</f>
        <v>12</v>
      </c>
      <c r="D2279" s="20">
        <f>IFERROR(YEAR(INPUT!M2274),"")</f>
        <v>2026</v>
      </c>
      <c r="E2279" t="str">
        <f>IF(INPUT!O2274="","",INPUT!O2274)</f>
        <v>CHAGUINHA</v>
      </c>
      <c r="F2279" t="str">
        <f>IF(INPUT!N2274="","",INPUT!N2274)</f>
        <v>M</v>
      </c>
      <c r="G2279" t="str" cm="1">
        <f t="array" ref="G2279">IFERROR(VLOOKUP(INPUT!M2274&amp;INPUT!N2274,CHOOSE({1,2},INPUT!$A$3:$A$5000&amp;INPUT!$C$3:$C$5000,INPUT!$F$3:$F$5000),2,FALSE),"")</f>
        <v>PRE-TEMPORADA</v>
      </c>
      <c r="H2279" t="str" cm="1">
        <f t="array" ref="H2279">IFERROR(VLOOKUP(INPUT!M2274&amp;INPUT!N2274,CHOOSE({1,2},INPUT!$A$3:$A$5000&amp;INPUT!$C$3:$C$5000,INPUT!$D$3:$D$5000),2,FALSE),"")</f>
        <v>TEC-TAC</v>
      </c>
      <c r="I2279" s="46">
        <f>IF(INPUT!P2274="","",INPUT!P2274)</f>
        <v>68.900000000000006</v>
      </c>
      <c r="J2279" s="46">
        <f>IF(INPUT!Q2274="","",INPUT!Q2274)</f>
        <v>68.3</v>
      </c>
      <c r="K2279" s="46">
        <f>IFERROR(IF(OR(INPUT!P2274="",INPUT!Q2274=""),"",INPUT!P2274-INPUT!Q2274),"")</f>
        <v>0.60000000000000853</v>
      </c>
      <c r="L2279" s="48">
        <f>IFERROR(IF(OR(INPUT!P2274="",INPUT!Q2274="",INPUT!P2274=0),"",(INPUT!P2274-INPUT!Q2274)/INPUT!P2274),"")</f>
        <v>8.7082728592163781E-3</v>
      </c>
    </row>
    <row r="2280" spans="1:12" ht="18" customHeight="1" x14ac:dyDescent="0.2">
      <c r="A2280" s="11">
        <f>IF(INPUT!M2275="","",INPUT!M2275)</f>
        <v>46098</v>
      </c>
      <c r="B2280" s="11">
        <f>IF(INPUT!M2275="","",INPUT!M2275-WEEKDAY(INPUT!M2275,2)+1)</f>
        <v>46097</v>
      </c>
      <c r="C2280" s="20">
        <f>IFERROR(_xlfn.ISOWEEKNUM(INPUT!M2275),"")</f>
        <v>12</v>
      </c>
      <c r="D2280" s="20">
        <f>IFERROR(YEAR(INPUT!M2275),"")</f>
        <v>2026</v>
      </c>
      <c r="E2280" t="str">
        <f>IF(INPUT!O2275="","",INPUT!O2275)</f>
        <v>RAUL</v>
      </c>
      <c r="F2280" t="str">
        <f>IF(INPUT!N2275="","",INPUT!N2275)</f>
        <v>M</v>
      </c>
      <c r="G2280" t="str" cm="1">
        <f t="array" ref="G2280">IFERROR(VLOOKUP(INPUT!M2275&amp;INPUT!N2275,CHOOSE({1,2},INPUT!$A$3:$A$5000&amp;INPUT!$C$3:$C$5000,INPUT!$F$3:$F$5000),2,FALSE),"")</f>
        <v>PRE-TEMPORADA</v>
      </c>
      <c r="H2280" t="str" cm="1">
        <f t="array" ref="H2280">IFERROR(VLOOKUP(INPUT!M2275&amp;INPUT!N2275,CHOOSE({1,2},INPUT!$A$3:$A$5000&amp;INPUT!$C$3:$C$5000,INPUT!$D$3:$D$5000),2,FALSE),"")</f>
        <v>TEC-TAC</v>
      </c>
      <c r="I2280" s="46">
        <f>IF(INPUT!P2275="","",INPUT!P2275)</f>
        <v>82</v>
      </c>
      <c r="J2280" s="46">
        <f>IF(INPUT!Q2275="","",INPUT!Q2275)</f>
        <v>81.5</v>
      </c>
      <c r="K2280" s="46">
        <f>IFERROR(IF(OR(INPUT!P2275="",INPUT!Q2275=""),"",INPUT!P2275-INPUT!Q2275),"")</f>
        <v>0.5</v>
      </c>
      <c r="L2280" s="48">
        <f>IFERROR(IF(OR(INPUT!P2275="",INPUT!Q2275="",INPUT!P2275=0),"",(INPUT!P2275-INPUT!Q2275)/INPUT!P2275),"")</f>
        <v>6.0975609756097563E-3</v>
      </c>
    </row>
    <row r="2281" spans="1:12" ht="18" customHeight="1" x14ac:dyDescent="0.2">
      <c r="A2281" s="11">
        <f>IF(INPUT!M2276="","",INPUT!M2276)</f>
        <v>46098</v>
      </c>
      <c r="B2281" s="11">
        <f>IF(INPUT!M2276="","",INPUT!M2276-WEEKDAY(INPUT!M2276,2)+1)</f>
        <v>46097</v>
      </c>
      <c r="C2281" s="20">
        <f>IFERROR(_xlfn.ISOWEEKNUM(INPUT!M2276),"")</f>
        <v>12</v>
      </c>
      <c r="D2281" s="20">
        <f>IFERROR(YEAR(INPUT!M2276),"")</f>
        <v>2026</v>
      </c>
      <c r="E2281" t="str">
        <f>IF(INPUT!O2276="","",INPUT!O2276)</f>
        <v>HARRISON</v>
      </c>
      <c r="F2281" t="str">
        <f>IF(INPUT!N2276="","",INPUT!N2276)</f>
        <v>M</v>
      </c>
      <c r="G2281" t="str" cm="1">
        <f t="array" ref="G2281">IFERROR(VLOOKUP(INPUT!M2276&amp;INPUT!N2276,CHOOSE({1,2},INPUT!$A$3:$A$5000&amp;INPUT!$C$3:$C$5000,INPUT!$F$3:$F$5000),2,FALSE),"")</f>
        <v>PRE-TEMPORADA</v>
      </c>
      <c r="H2281" t="str" cm="1">
        <f t="array" ref="H2281">IFERROR(VLOOKUP(INPUT!M2276&amp;INPUT!N2276,CHOOSE({1,2},INPUT!$A$3:$A$5000&amp;INPUT!$C$3:$C$5000,INPUT!$D$3:$D$5000),2,FALSE),"")</f>
        <v>TEC-TAC</v>
      </c>
      <c r="I2281" s="46">
        <f>IF(INPUT!P2276="","",INPUT!P2276)</f>
        <v>71</v>
      </c>
      <c r="J2281" s="46">
        <f>IF(INPUT!Q2276="","",INPUT!Q2276)</f>
        <v>71</v>
      </c>
      <c r="K2281" s="46">
        <f>IFERROR(IF(OR(INPUT!P2276="",INPUT!Q2276=""),"",INPUT!P2276-INPUT!Q2276),"")</f>
        <v>0</v>
      </c>
      <c r="L2281" s="48">
        <f>IFERROR(IF(OR(INPUT!P2276="",INPUT!Q2276="",INPUT!P2276=0),"",(INPUT!P2276-INPUT!Q2276)/INPUT!P2276),"")</f>
        <v>0</v>
      </c>
    </row>
    <row r="2282" spans="1:12" ht="18" hidden="1" customHeight="1" x14ac:dyDescent="0.2">
      <c r="A2282" s="11">
        <f>IF(INPUT!M2277="","",INPUT!M2277)</f>
        <v>46098</v>
      </c>
      <c r="B2282" s="11">
        <f>IF(INPUT!M2277="","",INPUT!M2277-WEEKDAY(INPUT!M2277,2)+1)</f>
        <v>46097</v>
      </c>
      <c r="C2282" s="20">
        <f>IFERROR(_xlfn.ISOWEEKNUM(INPUT!M2277),"")</f>
        <v>12</v>
      </c>
      <c r="D2282" s="20">
        <f>IFERROR(YEAR(INPUT!M2277),"")</f>
        <v>2026</v>
      </c>
      <c r="E2282" t="str">
        <f>IF(INPUT!O2277="","",INPUT!O2277)</f>
        <v>RAYA</v>
      </c>
      <c r="F2282" t="str">
        <f>IF(INPUT!N2277="","",INPUT!N2277)</f>
        <v>M</v>
      </c>
      <c r="G2282" t="str" cm="1">
        <f t="array" ref="G2282">IFERROR(VLOOKUP(INPUT!M2277&amp;INPUT!N2277,CHOOSE({1,2},INPUT!$A$3:$A$5000&amp;INPUT!$C$3:$C$5000,INPUT!$F$3:$F$5000),2,FALSE),"")</f>
        <v>PRE-TEMPORADA</v>
      </c>
      <c r="H2282" t="str" cm="1">
        <f t="array" ref="H2282">IFERROR(VLOOKUP(INPUT!M2277&amp;INPUT!N2277,CHOOSE({1,2},INPUT!$A$3:$A$5000&amp;INPUT!$C$3:$C$5000,INPUT!$D$3:$D$5000),2,FALSE),"")</f>
        <v>TEC-TAC</v>
      </c>
      <c r="I2282" s="46">
        <f>IF(INPUT!P2277="","",INPUT!P2277)</f>
        <v>81.8</v>
      </c>
      <c r="J2282" s="46">
        <f>IF(INPUT!Q2277="","",INPUT!Q2277)</f>
        <v>80.5</v>
      </c>
      <c r="K2282" s="46">
        <f>IFERROR(IF(OR(INPUT!P2277="",INPUT!Q2277=""),"",INPUT!P2277-INPUT!Q2277),"")</f>
        <v>1.2999999999999972</v>
      </c>
      <c r="L2282" s="48">
        <f>IFERROR(IF(OR(INPUT!P2277="",INPUT!Q2277="",INPUT!P2277=0),"",(INPUT!P2277-INPUT!Q2277)/INPUT!P2277),"")</f>
        <v>1.5892420537897276E-2</v>
      </c>
    </row>
    <row r="2283" spans="1:12" ht="18" hidden="1" customHeight="1" x14ac:dyDescent="0.2">
      <c r="A2283" s="11">
        <f>IF(INPUT!M2278="","",INPUT!M2278)</f>
        <v>46098</v>
      </c>
      <c r="B2283" s="11">
        <f>IF(INPUT!M2278="","",INPUT!M2278-WEEKDAY(INPUT!M2278,2)+1)</f>
        <v>46097</v>
      </c>
      <c r="C2283" s="20">
        <f>IFERROR(_xlfn.ISOWEEKNUM(INPUT!M2278),"")</f>
        <v>12</v>
      </c>
      <c r="D2283" s="20">
        <f>IFERROR(YEAR(INPUT!M2278),"")</f>
        <v>2026</v>
      </c>
      <c r="E2283" t="str">
        <f>IF(INPUT!O2278="","",INPUT!O2278)</f>
        <v>JAVI</v>
      </c>
      <c r="F2283" t="str">
        <f>IF(INPUT!N2278="","",INPUT!N2278)</f>
        <v>M</v>
      </c>
      <c r="G2283" t="str" cm="1">
        <f t="array" ref="G2283">IFERROR(VLOOKUP(INPUT!M2278&amp;INPUT!N2278,CHOOSE({1,2},INPUT!$A$3:$A$5000&amp;INPUT!$C$3:$C$5000,INPUT!$F$3:$F$5000),2,FALSE),"")</f>
        <v>PRE-TEMPORADA</v>
      </c>
      <c r="H2283" t="str" cm="1">
        <f t="array" ref="H2283">IFERROR(VLOOKUP(INPUT!M2278&amp;INPUT!N2278,CHOOSE({1,2},INPUT!$A$3:$A$5000&amp;INPUT!$C$3:$C$5000,INPUT!$D$3:$D$5000),2,FALSE),"")</f>
        <v>TEC-TAC</v>
      </c>
      <c r="I2283" s="46">
        <f>IF(INPUT!P2278="","",INPUT!P2278)</f>
        <v>79.099999999999994</v>
      </c>
      <c r="J2283" s="46">
        <f>IF(INPUT!Q2278="","",INPUT!Q2278)</f>
        <v>79</v>
      </c>
      <c r="K2283" s="46">
        <f>IFERROR(IF(OR(INPUT!P2278="",INPUT!Q2278=""),"",INPUT!P2278-INPUT!Q2278),"")</f>
        <v>9.9999999999994316E-2</v>
      </c>
      <c r="L2283" s="48">
        <f>IFERROR(IF(OR(INPUT!P2278="",INPUT!Q2278="",INPUT!P2278=0),"",(INPUT!P2278-INPUT!Q2278)/INPUT!P2278),"")</f>
        <v>1.2642225031604846E-3</v>
      </c>
    </row>
    <row r="2284" spans="1:12" ht="18" hidden="1" customHeight="1" x14ac:dyDescent="0.2">
      <c r="A2284" s="11">
        <f>IF(INPUT!M2279="","",INPUT!M2279)</f>
        <v>46098</v>
      </c>
      <c r="B2284" s="11">
        <f>IF(INPUT!M2279="","",INPUT!M2279-WEEKDAY(INPUT!M2279,2)+1)</f>
        <v>46097</v>
      </c>
      <c r="C2284" s="20">
        <f>IFERROR(_xlfn.ISOWEEKNUM(INPUT!M2279),"")</f>
        <v>12</v>
      </c>
      <c r="D2284" s="20">
        <f>IFERROR(YEAR(INPUT!M2279),"")</f>
        <v>2026</v>
      </c>
      <c r="E2284" t="str">
        <f>IF(INPUT!O2279="","",INPUT!O2279)</f>
        <v>PANI</v>
      </c>
      <c r="F2284" t="str">
        <f>IF(INPUT!N2279="","",INPUT!N2279)</f>
        <v>M</v>
      </c>
      <c r="G2284" t="str" cm="1">
        <f t="array" ref="G2284">IFERROR(VLOOKUP(INPUT!M2279&amp;INPUT!N2279,CHOOSE({1,2},INPUT!$A$3:$A$5000&amp;INPUT!$C$3:$C$5000,INPUT!$F$3:$F$5000),2,FALSE),"")</f>
        <v>PRE-TEMPORADA</v>
      </c>
      <c r="H2284" t="str" cm="1">
        <f t="array" ref="H2284">IFERROR(VLOOKUP(INPUT!M2279&amp;INPUT!N2279,CHOOSE({1,2},INPUT!$A$3:$A$5000&amp;INPUT!$C$3:$C$5000,INPUT!$D$3:$D$5000),2,FALSE),"")</f>
        <v>TEC-TAC</v>
      </c>
      <c r="I2284" s="46">
        <f>IF(INPUT!P2279="","",INPUT!P2279)</f>
        <v>67</v>
      </c>
      <c r="J2284" s="46">
        <f>IF(INPUT!Q2279="","",INPUT!Q2279)</f>
        <v>67</v>
      </c>
      <c r="K2284" s="46">
        <f>IFERROR(IF(OR(INPUT!P2279="",INPUT!Q2279=""),"",INPUT!P2279-INPUT!Q2279),"")</f>
        <v>0</v>
      </c>
      <c r="L2284" s="48">
        <f>IFERROR(IF(OR(INPUT!P2279="",INPUT!Q2279="",INPUT!P2279=0),"",(INPUT!P2279-INPUT!Q2279)/INPUT!P2279),"")</f>
        <v>0</v>
      </c>
    </row>
    <row r="2285" spans="1:12" ht="18" hidden="1" customHeight="1" x14ac:dyDescent="0.2">
      <c r="A2285" s="11">
        <f>IF(INPUT!M2280="","",INPUT!M2280)</f>
        <v>46098</v>
      </c>
      <c r="B2285" s="11">
        <f>IF(INPUT!M2280="","",INPUT!M2280-WEEKDAY(INPUT!M2280,2)+1)</f>
        <v>46097</v>
      </c>
      <c r="C2285" s="20">
        <f>IFERROR(_xlfn.ISOWEEKNUM(INPUT!M2280),"")</f>
        <v>12</v>
      </c>
      <c r="D2285" s="20">
        <f>IFERROR(YEAR(INPUT!M2280),"")</f>
        <v>2026</v>
      </c>
      <c r="E2285" t="str">
        <f>IF(INPUT!O2280="","",INPUT!O2280)</f>
        <v>PIRATA</v>
      </c>
      <c r="F2285" t="str">
        <f>IF(INPUT!N2280="","",INPUT!N2280)</f>
        <v>M</v>
      </c>
      <c r="G2285" t="str" cm="1">
        <f t="array" ref="G2285">IFERROR(VLOOKUP(INPUT!M2280&amp;INPUT!N2280,CHOOSE({1,2},INPUT!$A$3:$A$5000&amp;INPUT!$C$3:$C$5000,INPUT!$F$3:$F$5000),2,FALSE),"")</f>
        <v>PRE-TEMPORADA</v>
      </c>
      <c r="H2285" t="str" cm="1">
        <f t="array" ref="H2285">IFERROR(VLOOKUP(INPUT!M2280&amp;INPUT!N2280,CHOOSE({1,2},INPUT!$A$3:$A$5000&amp;INPUT!$C$3:$C$5000,INPUT!$D$3:$D$5000),2,FALSE),"")</f>
        <v>TEC-TAC</v>
      </c>
      <c r="I2285" s="46">
        <f>IF(INPUT!P2280="","",INPUT!P2280)</f>
        <v>76</v>
      </c>
      <c r="J2285" s="46">
        <f>IF(INPUT!Q2280="","",INPUT!Q2280)</f>
        <v>75.900000000000006</v>
      </c>
      <c r="K2285" s="46">
        <f>IFERROR(IF(OR(INPUT!P2280="",INPUT!Q2280=""),"",INPUT!P2280-INPUT!Q2280),"")</f>
        <v>9.9999999999994316E-2</v>
      </c>
      <c r="L2285" s="48">
        <f>IFERROR(IF(OR(INPUT!P2280="",INPUT!Q2280="",INPUT!P2280=0),"",(INPUT!P2280-INPUT!Q2280)/INPUT!P2280),"")</f>
        <v>1.3157894736841357E-3</v>
      </c>
    </row>
    <row r="2286" spans="1:12" ht="18" hidden="1" customHeight="1" x14ac:dyDescent="0.2">
      <c r="A2286" s="11">
        <f>IF(INPUT!M2281="","",INPUT!M2281)</f>
        <v>46098</v>
      </c>
      <c r="B2286" s="11">
        <f>IF(INPUT!M2281="","",INPUT!M2281-WEEKDAY(INPUT!M2281,2)+1)</f>
        <v>46097</v>
      </c>
      <c r="C2286" s="20">
        <f>IFERROR(_xlfn.ISOWEEKNUM(INPUT!M2281),"")</f>
        <v>12</v>
      </c>
      <c r="D2286" s="20">
        <f>IFERROR(YEAR(INPUT!M2281),"")</f>
        <v>2026</v>
      </c>
      <c r="E2286" t="str">
        <f>IF(INPUT!O2281="","",INPUT!O2281)</f>
        <v>BARONA</v>
      </c>
      <c r="F2286" t="str">
        <f>IF(INPUT!N2281="","",INPUT!N2281)</f>
        <v>M</v>
      </c>
      <c r="G2286" t="str" cm="1">
        <f t="array" ref="G2286">IFERROR(VLOOKUP(INPUT!M2281&amp;INPUT!N2281,CHOOSE({1,2},INPUT!$A$3:$A$5000&amp;INPUT!$C$3:$C$5000,INPUT!$F$3:$F$5000),2,FALSE),"")</f>
        <v>PRE-TEMPORADA</v>
      </c>
      <c r="H2286" t="str" cm="1">
        <f t="array" ref="H2286">IFERROR(VLOOKUP(INPUT!M2281&amp;INPUT!N2281,CHOOSE({1,2},INPUT!$A$3:$A$5000&amp;INPUT!$C$3:$C$5000,INPUT!$D$3:$D$5000),2,FALSE),"")</f>
        <v>TEC-TAC</v>
      </c>
      <c r="I2286" s="46">
        <f>IF(INPUT!P2281="","",INPUT!P2281)</f>
        <v>70</v>
      </c>
      <c r="J2286" s="46">
        <f>IF(INPUT!Q2281="","",INPUT!Q2281)</f>
        <v>70</v>
      </c>
      <c r="K2286" s="46">
        <f>IFERROR(IF(OR(INPUT!P2281="",INPUT!Q2281=""),"",INPUT!P2281-INPUT!Q2281),"")</f>
        <v>0</v>
      </c>
      <c r="L2286" s="48">
        <f>IFERROR(IF(OR(INPUT!P2281="",INPUT!Q2281="",INPUT!P2281=0),"",(INPUT!P2281-INPUT!Q2281)/INPUT!P2281),"")</f>
        <v>0</v>
      </c>
    </row>
    <row r="2287" spans="1:12" ht="18" hidden="1" customHeight="1" x14ac:dyDescent="0.2">
      <c r="A2287" s="11">
        <f>IF(INPUT!M2282="","",INPUT!M2282)</f>
        <v>46098</v>
      </c>
      <c r="B2287" s="11">
        <f>IF(INPUT!M2282="","",INPUT!M2282-WEEKDAY(INPUT!M2282,2)+1)</f>
        <v>46097</v>
      </c>
      <c r="C2287" s="20">
        <f>IFERROR(_xlfn.ISOWEEKNUM(INPUT!M2282),"")</f>
        <v>12</v>
      </c>
      <c r="D2287" s="20">
        <f>IFERROR(YEAR(INPUT!M2282),"")</f>
        <v>2026</v>
      </c>
      <c r="E2287" t="str">
        <f>IF(INPUT!O2282="","",INPUT!O2282)</f>
        <v>CARLOS</v>
      </c>
      <c r="F2287" t="str">
        <f>IF(INPUT!N2282="","",INPUT!N2282)</f>
        <v>M</v>
      </c>
      <c r="G2287" t="str" cm="1">
        <f t="array" ref="G2287">IFERROR(VLOOKUP(INPUT!M2282&amp;INPUT!N2282,CHOOSE({1,2},INPUT!$A$3:$A$5000&amp;INPUT!$C$3:$C$5000,INPUT!$F$3:$F$5000),2,FALSE),"")</f>
        <v>PRE-TEMPORADA</v>
      </c>
      <c r="H2287" t="str" cm="1">
        <f t="array" ref="H2287">IFERROR(VLOOKUP(INPUT!M2282&amp;INPUT!N2282,CHOOSE({1,2},INPUT!$A$3:$A$5000&amp;INPUT!$C$3:$C$5000,INPUT!$D$3:$D$5000),2,FALSE),"")</f>
        <v>TEC-TAC</v>
      </c>
      <c r="I2287" s="46">
        <f>IF(INPUT!P2282="","",INPUT!P2282)</f>
        <v>68.5</v>
      </c>
      <c r="J2287" s="46">
        <f>IF(INPUT!Q2282="","",INPUT!Q2282)</f>
        <v>68.099999999999994</v>
      </c>
      <c r="K2287" s="46">
        <f>IFERROR(IF(OR(INPUT!P2282="",INPUT!Q2282=""),"",INPUT!P2282-INPUT!Q2282),"")</f>
        <v>0.40000000000000568</v>
      </c>
      <c r="L2287" s="48">
        <f>IFERROR(IF(OR(INPUT!P2282="",INPUT!Q2282="",INPUT!P2282=0),"",(INPUT!P2282-INPUT!Q2282)/INPUT!P2282),"")</f>
        <v>5.8394160583942435E-3</v>
      </c>
    </row>
    <row r="2288" spans="1:12" ht="18" customHeight="1" x14ac:dyDescent="0.2">
      <c r="A2288" s="11">
        <f>IF(INPUT!M2283="","",INPUT!M2283)</f>
        <v>46098</v>
      </c>
      <c r="B2288" s="11">
        <f>IF(INPUT!M2283="","",INPUT!M2283-WEEKDAY(INPUT!M2283,2)+1)</f>
        <v>46097</v>
      </c>
      <c r="C2288" s="20">
        <f>IFERROR(_xlfn.ISOWEEKNUM(INPUT!M2283),"")</f>
        <v>12</v>
      </c>
      <c r="D2288" s="20">
        <f>IFERROR(YEAR(INPUT!M2283),"")</f>
        <v>2026</v>
      </c>
      <c r="E2288" t="str">
        <f>IF(INPUT!O2283="","",INPUT!O2283)</f>
        <v>DANI</v>
      </c>
      <c r="F2288" t="str">
        <f>IF(INPUT!N2283="","",INPUT!N2283)</f>
        <v>M</v>
      </c>
      <c r="G2288" t="str" cm="1">
        <f t="array" ref="G2288">IFERROR(VLOOKUP(INPUT!M2283&amp;INPUT!N2283,CHOOSE({1,2},INPUT!$A$3:$A$5000&amp;INPUT!$C$3:$C$5000,INPUT!$F$3:$F$5000),2,FALSE),"")</f>
        <v>PRE-TEMPORADA</v>
      </c>
      <c r="H2288" t="str" cm="1">
        <f t="array" ref="H2288">IFERROR(VLOOKUP(INPUT!M2283&amp;INPUT!N2283,CHOOSE({1,2},INPUT!$A$3:$A$5000&amp;INPUT!$C$3:$C$5000,INPUT!$D$3:$D$5000),2,FALSE),"")</f>
        <v>TEC-TAC</v>
      </c>
      <c r="I2288" s="46">
        <f>IF(INPUT!P2283="","",INPUT!P2283)</f>
        <v>90.6</v>
      </c>
      <c r="J2288" s="46">
        <f>IF(INPUT!Q2283="","",INPUT!Q2283)</f>
        <v>90.2</v>
      </c>
      <c r="K2288" s="46">
        <f>IFERROR(IF(OR(INPUT!P2283="",INPUT!Q2283=""),"",INPUT!P2283-INPUT!Q2283),"")</f>
        <v>0.39999999999999147</v>
      </c>
      <c r="L2288" s="48">
        <f>IFERROR(IF(OR(INPUT!P2283="",INPUT!Q2283="",INPUT!P2283=0),"",(INPUT!P2283-INPUT!Q2283)/INPUT!P2283),"")</f>
        <v>4.4150110375275001E-3</v>
      </c>
    </row>
    <row r="2289" spans="1:12" ht="18" customHeight="1" x14ac:dyDescent="0.2">
      <c r="A2289" s="11">
        <f>IF(INPUT!M2284="","",INPUT!M2284)</f>
        <v>46098</v>
      </c>
      <c r="B2289" s="11">
        <f>IF(INPUT!M2284="","",INPUT!M2284-WEEKDAY(INPUT!M2284,2)+1)</f>
        <v>46097</v>
      </c>
      <c r="C2289" s="20">
        <f>IFERROR(_xlfn.ISOWEEKNUM(INPUT!M2284),"")</f>
        <v>12</v>
      </c>
      <c r="D2289" s="20">
        <f>IFERROR(YEAR(INPUT!M2284),"")</f>
        <v>2026</v>
      </c>
      <c r="E2289" t="str">
        <f>IF(INPUT!O2284="","",INPUT!O2284)</f>
        <v>JAIME</v>
      </c>
      <c r="F2289" t="str">
        <f>IF(INPUT!N2284="","",INPUT!N2284)</f>
        <v>M</v>
      </c>
      <c r="G2289" t="str" cm="1">
        <f t="array" ref="G2289">IFERROR(VLOOKUP(INPUT!M2284&amp;INPUT!N2284,CHOOSE({1,2},INPUT!$A$3:$A$5000&amp;INPUT!$C$3:$C$5000,INPUT!$F$3:$F$5000),2,FALSE),"")</f>
        <v>PRE-TEMPORADA</v>
      </c>
      <c r="H2289" t="str" cm="1">
        <f t="array" ref="H2289">IFERROR(VLOOKUP(INPUT!M2284&amp;INPUT!N2284,CHOOSE({1,2},INPUT!$A$3:$A$5000&amp;INPUT!$C$3:$C$5000,INPUT!$D$3:$D$5000),2,FALSE),"")</f>
        <v>TEC-TAC</v>
      </c>
      <c r="I2289" s="46">
        <f>IF(INPUT!P2284="","",INPUT!P2284)</f>
        <v>76.7</v>
      </c>
      <c r="J2289" s="46">
        <f>IF(INPUT!Q2284="","",INPUT!Q2284)</f>
        <v>76.400000000000006</v>
      </c>
      <c r="K2289" s="46">
        <f>IFERROR(IF(OR(INPUT!P2284="",INPUT!Q2284=""),"",INPUT!P2284-INPUT!Q2284),"")</f>
        <v>0.29999999999999716</v>
      </c>
      <c r="L2289" s="48">
        <f>IFERROR(IF(OR(INPUT!P2284="",INPUT!Q2284="",INPUT!P2284=0),"",(INPUT!P2284-INPUT!Q2284)/INPUT!P2284),"")</f>
        <v>3.9113428943937049E-3</v>
      </c>
    </row>
    <row r="2290" spans="1:12" ht="18" hidden="1" customHeight="1" x14ac:dyDescent="0.2">
      <c r="A2290" s="11">
        <f>IF(INPUT!M2285="","",INPUT!M2285)</f>
        <v>46108</v>
      </c>
      <c r="B2290" s="11">
        <f>IF(INPUT!M2285="","",INPUT!M2285-WEEKDAY(INPUT!M2285,2)+1)</f>
        <v>46104</v>
      </c>
      <c r="C2290" s="20">
        <f>IFERROR(_xlfn.ISOWEEKNUM(INPUT!M2285),"")</f>
        <v>13</v>
      </c>
      <c r="D2290" s="20">
        <f>IFERROR(YEAR(INPUT!M2285),"")</f>
        <v>2026</v>
      </c>
      <c r="E2290" t="str">
        <f>IF(INPUT!O2285="","",INPUT!O2285)</f>
        <v>HERRERO</v>
      </c>
      <c r="F2290" t="str">
        <f>IF(INPUT!N2285="","",INPUT!N2285)</f>
        <v>M</v>
      </c>
      <c r="G2290" t="str" cm="1">
        <f t="array" ref="G2290">IFERROR(VLOOKUP(INPUT!M2285&amp;INPUT!N2285,CHOOSE({1,2},INPUT!$A$3:$A$5000&amp;INPUT!$C$3:$C$5000,INPUT!$F$3:$F$5000),2,FALSE),"")</f>
        <v>PRE-TEMPORADA</v>
      </c>
      <c r="H2290" t="str" cm="1">
        <f t="array" ref="H2290">IFERROR(VLOOKUP(INPUT!M2285&amp;INPUT!N2285,CHOOSE({1,2},INPUT!$A$3:$A$5000&amp;INPUT!$C$3:$C$5000,INPUT!$D$3:$D$5000),2,FALSE),"")</f>
        <v>TEC-TAC</v>
      </c>
      <c r="I2290" s="46">
        <f>IF(INPUT!P2285="","",INPUT!P2285)</f>
        <v>77</v>
      </c>
      <c r="J2290" s="46">
        <f>IF(INPUT!Q2285="","",INPUT!Q2285)</f>
        <v>76.8</v>
      </c>
      <c r="K2290" s="46">
        <f>IFERROR(IF(OR(INPUT!P2285="",INPUT!Q2285=""),"",INPUT!P2285-INPUT!Q2285),"")</f>
        <v>0.20000000000000284</v>
      </c>
      <c r="L2290" s="48">
        <f>IFERROR(IF(OR(INPUT!P2285="",INPUT!Q2285="",INPUT!P2285=0),"",(INPUT!P2285-INPUT!Q2285)/INPUT!P2285),"")</f>
        <v>2.5974025974026343E-3</v>
      </c>
    </row>
    <row r="2291" spans="1:12" ht="18" hidden="1" customHeight="1" x14ac:dyDescent="0.2">
      <c r="A2291" s="11">
        <f>IF(INPUT!M2286="","",INPUT!M2286)</f>
        <v>46108</v>
      </c>
      <c r="B2291" s="11">
        <f>IF(INPUT!M2286="","",INPUT!M2286-WEEKDAY(INPUT!M2286,2)+1)</f>
        <v>46104</v>
      </c>
      <c r="C2291" s="20">
        <f>IFERROR(_xlfn.ISOWEEKNUM(INPUT!M2286),"")</f>
        <v>13</v>
      </c>
      <c r="D2291" s="20">
        <f>IFERROR(YEAR(INPUT!M2286),"")</f>
        <v>2026</v>
      </c>
      <c r="E2291" t="str">
        <f>IF(INPUT!O2286="","",INPUT!O2286)</f>
        <v>GARCIA</v>
      </c>
      <c r="F2291" t="str">
        <f>IF(INPUT!N2286="","",INPUT!N2286)</f>
        <v>M</v>
      </c>
      <c r="G2291" t="str" cm="1">
        <f t="array" ref="G2291">IFERROR(VLOOKUP(INPUT!M2286&amp;INPUT!N2286,CHOOSE({1,2},INPUT!$A$3:$A$5000&amp;INPUT!$C$3:$C$5000,INPUT!$F$3:$F$5000),2,FALSE),"")</f>
        <v>PRE-TEMPORADA</v>
      </c>
      <c r="H2291" t="str" cm="1">
        <f t="array" ref="H2291">IFERROR(VLOOKUP(INPUT!M2286&amp;INPUT!N2286,CHOOSE({1,2},INPUT!$A$3:$A$5000&amp;INPUT!$C$3:$C$5000,INPUT!$D$3:$D$5000),2,FALSE),"")</f>
        <v>TEC-TAC</v>
      </c>
      <c r="I2291" s="46">
        <f>IF(INPUT!P2286="","",INPUT!P2286)</f>
        <v>79.099999999999994</v>
      </c>
      <c r="J2291" s="46">
        <f>IF(INPUT!Q2286="","",INPUT!Q2286)</f>
        <v>78.900000000000006</v>
      </c>
      <c r="K2291" s="46">
        <f>IFERROR(IF(OR(INPUT!P2286="",INPUT!Q2286=""),"",INPUT!P2286-INPUT!Q2286),"")</f>
        <v>0.19999999999998863</v>
      </c>
      <c r="L2291" s="48">
        <f>IFERROR(IF(OR(INPUT!P2286="",INPUT!Q2286="",INPUT!P2286=0),"",(INPUT!P2286-INPUT!Q2286)/INPUT!P2286),"")</f>
        <v>2.5284450063209692E-3</v>
      </c>
    </row>
    <row r="2292" spans="1:12" ht="18" hidden="1" customHeight="1" x14ac:dyDescent="0.2">
      <c r="A2292" s="11">
        <f>IF(INPUT!M2287="","",INPUT!M2287)</f>
        <v>46108</v>
      </c>
      <c r="B2292" s="11">
        <f>IF(INPUT!M2287="","",INPUT!M2287-WEEKDAY(INPUT!M2287,2)+1)</f>
        <v>46104</v>
      </c>
      <c r="C2292" s="20">
        <f>IFERROR(_xlfn.ISOWEEKNUM(INPUT!M2287),"")</f>
        <v>13</v>
      </c>
      <c r="D2292" s="20">
        <f>IFERROR(YEAR(INPUT!M2287),"")</f>
        <v>2026</v>
      </c>
      <c r="E2292" t="str">
        <f>IF(INPUT!O2287="","",INPUT!O2287)</f>
        <v>CECILIO</v>
      </c>
      <c r="F2292" t="str">
        <f>IF(INPUT!N2287="","",INPUT!N2287)</f>
        <v>M</v>
      </c>
      <c r="G2292" t="str" cm="1">
        <f t="array" ref="G2292">IFERROR(VLOOKUP(INPUT!M2287&amp;INPUT!N2287,CHOOSE({1,2},INPUT!$A$3:$A$5000&amp;INPUT!$C$3:$C$5000,INPUT!$F$3:$F$5000),2,FALSE),"")</f>
        <v>PRE-TEMPORADA</v>
      </c>
      <c r="H2292" t="str" cm="1">
        <f t="array" ref="H2292">IFERROR(VLOOKUP(INPUT!M2287&amp;INPUT!N2287,CHOOSE({1,2},INPUT!$A$3:$A$5000&amp;INPUT!$C$3:$C$5000,INPUT!$D$3:$D$5000),2,FALSE),"")</f>
        <v>TEC-TAC</v>
      </c>
      <c r="I2292" s="46">
        <f>IF(INPUT!P2287="","",INPUT!P2287)</f>
        <v>67.599999999999994</v>
      </c>
      <c r="J2292" s="46">
        <f>IF(INPUT!Q2287="","",INPUT!Q2287)</f>
        <v>67.599999999999994</v>
      </c>
      <c r="K2292" s="46">
        <f>IFERROR(IF(OR(INPUT!P2287="",INPUT!Q2287=""),"",INPUT!P2287-INPUT!Q2287),"")</f>
        <v>0</v>
      </c>
      <c r="L2292" s="48">
        <f>IFERROR(IF(OR(INPUT!P2287="",INPUT!Q2287="",INPUT!P2287=0),"",(INPUT!P2287-INPUT!Q2287)/INPUT!P2287),"")</f>
        <v>0</v>
      </c>
    </row>
    <row r="2293" spans="1:12" ht="18" hidden="1" customHeight="1" x14ac:dyDescent="0.2">
      <c r="A2293" s="11">
        <f>IF(INPUT!M2288="","",INPUT!M2288)</f>
        <v>46108</v>
      </c>
      <c r="B2293" s="11">
        <f>IF(INPUT!M2288="","",INPUT!M2288-WEEKDAY(INPUT!M2288,2)+1)</f>
        <v>46104</v>
      </c>
      <c r="C2293" s="20">
        <f>IFERROR(_xlfn.ISOWEEKNUM(INPUT!M2288),"")</f>
        <v>13</v>
      </c>
      <c r="D2293" s="20">
        <f>IFERROR(YEAR(INPUT!M2288),"")</f>
        <v>2026</v>
      </c>
      <c r="E2293" t="str">
        <f>IF(INPUT!O2288="","",INPUT!O2288)</f>
        <v>CHAGUINHA</v>
      </c>
      <c r="F2293" t="str">
        <f>IF(INPUT!N2288="","",INPUT!N2288)</f>
        <v>M</v>
      </c>
      <c r="G2293" t="str" cm="1">
        <f t="array" ref="G2293">IFERROR(VLOOKUP(INPUT!M2288&amp;INPUT!N2288,CHOOSE({1,2},INPUT!$A$3:$A$5000&amp;INPUT!$C$3:$C$5000,INPUT!$F$3:$F$5000),2,FALSE),"")</f>
        <v>PRE-TEMPORADA</v>
      </c>
      <c r="H2293" t="str" cm="1">
        <f t="array" ref="H2293">IFERROR(VLOOKUP(INPUT!M2288&amp;INPUT!N2288,CHOOSE({1,2},INPUT!$A$3:$A$5000&amp;INPUT!$C$3:$C$5000,INPUT!$D$3:$D$5000),2,FALSE),"")</f>
        <v>TEC-TAC</v>
      </c>
      <c r="I2293" s="46">
        <f>IF(INPUT!P2288="","",INPUT!P2288)</f>
        <v>69</v>
      </c>
      <c r="J2293" s="46">
        <f>IF(INPUT!Q2288="","",INPUT!Q2288)</f>
        <v>68.7</v>
      </c>
      <c r="K2293" s="46">
        <f>IFERROR(IF(OR(INPUT!P2288="",INPUT!Q2288=""),"",INPUT!P2288-INPUT!Q2288),"")</f>
        <v>0.29999999999999716</v>
      </c>
      <c r="L2293" s="48">
        <f>IFERROR(IF(OR(INPUT!P2288="",INPUT!Q2288="",INPUT!P2288=0),"",(INPUT!P2288-INPUT!Q2288)/INPUT!P2288),"")</f>
        <v>4.3478260869564802E-3</v>
      </c>
    </row>
    <row r="2294" spans="1:12" ht="18" hidden="1" customHeight="1" x14ac:dyDescent="0.2">
      <c r="A2294" s="11">
        <f>IF(INPUT!M2289="","",INPUT!M2289)</f>
        <v>46108</v>
      </c>
      <c r="B2294" s="11">
        <f>IF(INPUT!M2289="","",INPUT!M2289-WEEKDAY(INPUT!M2289,2)+1)</f>
        <v>46104</v>
      </c>
      <c r="C2294" s="20">
        <f>IFERROR(_xlfn.ISOWEEKNUM(INPUT!M2289),"")</f>
        <v>13</v>
      </c>
      <c r="D2294" s="20">
        <f>IFERROR(YEAR(INPUT!M2289),"")</f>
        <v>2026</v>
      </c>
      <c r="E2294" t="str">
        <f>IF(INPUT!O2289="","",INPUT!O2289)</f>
        <v>RAUL</v>
      </c>
      <c r="F2294" t="str">
        <f>IF(INPUT!N2289="","",INPUT!N2289)</f>
        <v>M</v>
      </c>
      <c r="G2294" t="str" cm="1">
        <f t="array" ref="G2294">IFERROR(VLOOKUP(INPUT!M2289&amp;INPUT!N2289,CHOOSE({1,2},INPUT!$A$3:$A$5000&amp;INPUT!$C$3:$C$5000,INPUT!$F$3:$F$5000),2,FALSE),"")</f>
        <v>PRE-TEMPORADA</v>
      </c>
      <c r="H2294" t="str" cm="1">
        <f t="array" ref="H2294">IFERROR(VLOOKUP(INPUT!M2289&amp;INPUT!N2289,CHOOSE({1,2},INPUT!$A$3:$A$5000&amp;INPUT!$C$3:$C$5000,INPUT!$D$3:$D$5000),2,FALSE),"")</f>
        <v>TEC-TAC</v>
      </c>
      <c r="I2294" s="46">
        <f>IF(INPUT!P2289="","",INPUT!P2289)</f>
        <v>80.8</v>
      </c>
      <c r="J2294" s="46">
        <f>IF(INPUT!Q2289="","",INPUT!Q2289)</f>
        <v>81</v>
      </c>
      <c r="K2294" s="46">
        <f>IFERROR(IF(OR(INPUT!P2289="",INPUT!Q2289=""),"",INPUT!P2289-INPUT!Q2289),"")</f>
        <v>-0.20000000000000284</v>
      </c>
      <c r="L2294" s="48">
        <f>IFERROR(IF(OR(INPUT!P2289="",INPUT!Q2289="",INPUT!P2289=0),"",(INPUT!P2289-INPUT!Q2289)/INPUT!P2289),"")</f>
        <v>-2.4752475247525104E-3</v>
      </c>
    </row>
    <row r="2295" spans="1:12" ht="18" customHeight="1" x14ac:dyDescent="0.2">
      <c r="A2295" s="11">
        <f>IF(INPUT!M2290="","",INPUT!M2290)</f>
        <v>46108</v>
      </c>
      <c r="B2295" s="11">
        <f>IF(INPUT!M2290="","",INPUT!M2290-WEEKDAY(INPUT!M2290,2)+1)</f>
        <v>46104</v>
      </c>
      <c r="C2295" s="20">
        <f>IFERROR(_xlfn.ISOWEEKNUM(INPUT!M2290),"")</f>
        <v>13</v>
      </c>
      <c r="D2295" s="20">
        <f>IFERROR(YEAR(INPUT!M2290),"")</f>
        <v>2026</v>
      </c>
      <c r="E2295" t="str">
        <f>IF(INPUT!O2290="","",INPUT!O2290)</f>
        <v>HARRISON</v>
      </c>
      <c r="F2295" t="str">
        <f>IF(INPUT!N2290="","",INPUT!N2290)</f>
        <v>M</v>
      </c>
      <c r="G2295" t="str" cm="1">
        <f t="array" ref="G2295">IFERROR(VLOOKUP(INPUT!M2290&amp;INPUT!N2290,CHOOSE({1,2},INPUT!$A$3:$A$5000&amp;INPUT!$C$3:$C$5000,INPUT!$F$3:$F$5000),2,FALSE),"")</f>
        <v>PRE-TEMPORADA</v>
      </c>
      <c r="H2295" t="str" cm="1">
        <f t="array" ref="H2295">IFERROR(VLOOKUP(INPUT!M2290&amp;INPUT!N2290,CHOOSE({1,2},INPUT!$A$3:$A$5000&amp;INPUT!$C$3:$C$5000,INPUT!$D$3:$D$5000),2,FALSE),"")</f>
        <v>TEC-TAC</v>
      </c>
      <c r="I2295" s="46">
        <f>IF(INPUT!P2290="","",INPUT!P2290)</f>
        <v>71</v>
      </c>
      <c r="J2295" s="46">
        <f>IF(INPUT!Q2290="","",INPUT!Q2290)</f>
        <v>71</v>
      </c>
      <c r="K2295" s="46">
        <f>IFERROR(IF(OR(INPUT!P2290="",INPUT!Q2290=""),"",INPUT!P2290-INPUT!Q2290),"")</f>
        <v>0</v>
      </c>
      <c r="L2295" s="48">
        <f>IFERROR(IF(OR(INPUT!P2290="",INPUT!Q2290="",INPUT!P2290=0),"",(INPUT!P2290-INPUT!Q2290)/INPUT!P2290),"")</f>
        <v>0</v>
      </c>
    </row>
    <row r="2296" spans="1:12" ht="18" hidden="1" customHeight="1" x14ac:dyDescent="0.2">
      <c r="A2296" s="11">
        <f>IF(INPUT!M2291="","",INPUT!M2291)</f>
        <v>46108</v>
      </c>
      <c r="B2296" s="11">
        <f>IF(INPUT!M2291="","",INPUT!M2291-WEEKDAY(INPUT!M2291,2)+1)</f>
        <v>46104</v>
      </c>
      <c r="C2296" s="20">
        <f>IFERROR(_xlfn.ISOWEEKNUM(INPUT!M2291),"")</f>
        <v>13</v>
      </c>
      <c r="D2296" s="20">
        <f>IFERROR(YEAR(INPUT!M2291),"")</f>
        <v>2026</v>
      </c>
      <c r="E2296" t="str">
        <f>IF(INPUT!O2291="","",INPUT!O2291)</f>
        <v>JAVI</v>
      </c>
      <c r="F2296" t="str">
        <f>IF(INPUT!N2291="","",INPUT!N2291)</f>
        <v>M</v>
      </c>
      <c r="G2296" t="str" cm="1">
        <f t="array" ref="G2296">IFERROR(VLOOKUP(INPUT!M2291&amp;INPUT!N2291,CHOOSE({1,2},INPUT!$A$3:$A$5000&amp;INPUT!$C$3:$C$5000,INPUT!$F$3:$F$5000),2,FALSE),"")</f>
        <v>PRE-TEMPORADA</v>
      </c>
      <c r="H2296" t="str" cm="1">
        <f t="array" ref="H2296">IFERROR(VLOOKUP(INPUT!M2291&amp;INPUT!N2291,CHOOSE({1,2},INPUT!$A$3:$A$5000&amp;INPUT!$C$3:$C$5000,INPUT!$D$3:$D$5000),2,FALSE),"")</f>
        <v>TEC-TAC</v>
      </c>
      <c r="I2296" s="46">
        <f>IF(INPUT!P2291="","",INPUT!P2291)</f>
        <v>78.400000000000006</v>
      </c>
      <c r="J2296" s="46">
        <f>IF(INPUT!Q2291="","",INPUT!Q2291)</f>
        <v>78.599999999999994</v>
      </c>
      <c r="K2296" s="46">
        <f>IFERROR(IF(OR(INPUT!P2291="",INPUT!Q2291=""),"",INPUT!P2291-INPUT!Q2291),"")</f>
        <v>-0.19999999999998863</v>
      </c>
      <c r="L2296" s="48">
        <f>IFERROR(IF(OR(INPUT!P2291="",INPUT!Q2291="",INPUT!P2291=0),"",(INPUT!P2291-INPUT!Q2291)/INPUT!P2291),"")</f>
        <v>-2.5510204081631203E-3</v>
      </c>
    </row>
    <row r="2297" spans="1:12" ht="18" hidden="1" customHeight="1" x14ac:dyDescent="0.2">
      <c r="A2297" s="11">
        <f>IF(INPUT!M2292="","",INPUT!M2292)</f>
        <v>46108</v>
      </c>
      <c r="B2297" s="11">
        <f>IF(INPUT!M2292="","",INPUT!M2292-WEEKDAY(INPUT!M2292,2)+1)</f>
        <v>46104</v>
      </c>
      <c r="C2297" s="20">
        <f>IFERROR(_xlfn.ISOWEEKNUM(INPUT!M2292),"")</f>
        <v>13</v>
      </c>
      <c r="D2297" s="20">
        <f>IFERROR(YEAR(INPUT!M2292),"")</f>
        <v>2026</v>
      </c>
      <c r="E2297" t="str">
        <f>IF(INPUT!O2292="","",INPUT!O2292)</f>
        <v>PANI</v>
      </c>
      <c r="F2297" t="str">
        <f>IF(INPUT!N2292="","",INPUT!N2292)</f>
        <v>M</v>
      </c>
      <c r="G2297" t="str" cm="1">
        <f t="array" ref="G2297">IFERROR(VLOOKUP(INPUT!M2292&amp;INPUT!N2292,CHOOSE({1,2},INPUT!$A$3:$A$5000&amp;INPUT!$C$3:$C$5000,INPUT!$F$3:$F$5000),2,FALSE),"")</f>
        <v>PRE-TEMPORADA</v>
      </c>
      <c r="H2297" t="str" cm="1">
        <f t="array" ref="H2297">IFERROR(VLOOKUP(INPUT!M2292&amp;INPUT!N2292,CHOOSE({1,2},INPUT!$A$3:$A$5000&amp;INPUT!$C$3:$C$5000,INPUT!$D$3:$D$5000),2,FALSE),"")</f>
        <v>TEC-TAC</v>
      </c>
      <c r="I2297" s="46">
        <f>IF(INPUT!P2292="","",INPUT!P2292)</f>
        <v>67</v>
      </c>
      <c r="J2297" s="46">
        <f>IF(INPUT!Q2292="","",INPUT!Q2292)</f>
        <v>66.400000000000006</v>
      </c>
      <c r="K2297" s="46">
        <f>IFERROR(IF(OR(INPUT!P2292="",INPUT!Q2292=""),"",INPUT!P2292-INPUT!Q2292),"")</f>
        <v>0.59999999999999432</v>
      </c>
      <c r="L2297" s="48">
        <f>IFERROR(IF(OR(INPUT!P2292="",INPUT!Q2292="",INPUT!P2292=0),"",(INPUT!P2292-INPUT!Q2292)/INPUT!P2292),"")</f>
        <v>8.9552238805969304E-3</v>
      </c>
    </row>
    <row r="2298" spans="1:12" ht="18" customHeight="1" x14ac:dyDescent="0.2">
      <c r="A2298" s="11">
        <f>IF(INPUT!M2293="","",INPUT!M2293)</f>
        <v>46108</v>
      </c>
      <c r="B2298" s="11">
        <f>IF(INPUT!M2293="","",INPUT!M2293-WEEKDAY(INPUT!M2293,2)+1)</f>
        <v>46104</v>
      </c>
      <c r="C2298" s="20">
        <f>IFERROR(_xlfn.ISOWEEKNUM(INPUT!M2293),"")</f>
        <v>13</v>
      </c>
      <c r="D2298" s="20">
        <f>IFERROR(YEAR(INPUT!M2293),"")</f>
        <v>2026</v>
      </c>
      <c r="E2298" t="str">
        <f>IF(INPUT!O2293="","",INPUT!O2293)</f>
        <v>PIRATA</v>
      </c>
      <c r="F2298" t="str">
        <f>IF(INPUT!N2293="","",INPUT!N2293)</f>
        <v>M</v>
      </c>
      <c r="G2298" t="str" cm="1">
        <f t="array" ref="G2298">IFERROR(VLOOKUP(INPUT!M2293&amp;INPUT!N2293,CHOOSE({1,2},INPUT!$A$3:$A$5000&amp;INPUT!$C$3:$C$5000,INPUT!$F$3:$F$5000),2,FALSE),"")</f>
        <v>PRE-TEMPORADA</v>
      </c>
      <c r="H2298" t="str" cm="1">
        <f t="array" ref="H2298">IFERROR(VLOOKUP(INPUT!M2293&amp;INPUT!N2293,CHOOSE({1,2},INPUT!$A$3:$A$5000&amp;INPUT!$C$3:$C$5000,INPUT!$D$3:$D$5000),2,FALSE),"")</f>
        <v>TEC-TAC</v>
      </c>
      <c r="I2298" s="46">
        <f>IF(INPUT!P2293="","",INPUT!P2293)</f>
        <v>76</v>
      </c>
      <c r="J2298" s="46">
        <f>IF(INPUT!Q2293="","",INPUT!Q2293)</f>
        <v>75.8</v>
      </c>
      <c r="K2298" s="46">
        <f>IFERROR(IF(OR(INPUT!P2293="",INPUT!Q2293=""),"",INPUT!P2293-INPUT!Q2293),"")</f>
        <v>0.20000000000000284</v>
      </c>
      <c r="L2298" s="48">
        <f>IFERROR(IF(OR(INPUT!P2293="",INPUT!Q2293="",INPUT!P2293=0),"",(INPUT!P2293-INPUT!Q2293)/INPUT!P2293),"")</f>
        <v>2.6315789473684583E-3</v>
      </c>
    </row>
    <row r="2299" spans="1:12" ht="18" hidden="1" customHeight="1" x14ac:dyDescent="0.2">
      <c r="A2299" s="11">
        <f>IF(INPUT!M2294="","",INPUT!M2294)</f>
        <v>46108</v>
      </c>
      <c r="B2299" s="11">
        <f>IF(INPUT!M2294="","",INPUT!M2294-WEEKDAY(INPUT!M2294,2)+1)</f>
        <v>46104</v>
      </c>
      <c r="C2299" s="20">
        <f>IFERROR(_xlfn.ISOWEEKNUM(INPUT!M2294),"")</f>
        <v>13</v>
      </c>
      <c r="D2299" s="20">
        <f>IFERROR(YEAR(INPUT!M2294),"")</f>
        <v>2026</v>
      </c>
      <c r="E2299" t="str">
        <f>IF(INPUT!O2294="","",INPUT!O2294)</f>
        <v>SEGO</v>
      </c>
      <c r="F2299" t="str">
        <f>IF(INPUT!N2294="","",INPUT!N2294)</f>
        <v>M</v>
      </c>
      <c r="G2299" t="str" cm="1">
        <f t="array" ref="G2299">IFERROR(VLOOKUP(INPUT!M2294&amp;INPUT!N2294,CHOOSE({1,2},INPUT!$A$3:$A$5000&amp;INPUT!$C$3:$C$5000,INPUT!$F$3:$F$5000),2,FALSE),"")</f>
        <v>PRE-TEMPORADA</v>
      </c>
      <c r="H2299" t="str" cm="1">
        <f t="array" ref="H2299">IFERROR(VLOOKUP(INPUT!M2294&amp;INPUT!N2294,CHOOSE({1,2},INPUT!$A$3:$A$5000&amp;INPUT!$C$3:$C$5000,INPUT!$D$3:$D$5000),2,FALSE),"")</f>
        <v>TEC-TAC</v>
      </c>
      <c r="I2299" s="46">
        <f>IF(INPUT!P2294="","",INPUT!P2294)</f>
        <v>76.400000000000006</v>
      </c>
      <c r="J2299" s="46">
        <f>IF(INPUT!Q2294="","",INPUT!Q2294)</f>
        <v>76.400000000000006</v>
      </c>
      <c r="K2299" s="46">
        <f>IFERROR(IF(OR(INPUT!P2294="",INPUT!Q2294=""),"",INPUT!P2294-INPUT!Q2294),"")</f>
        <v>0</v>
      </c>
      <c r="L2299" s="48">
        <f>IFERROR(IF(OR(INPUT!P2294="",INPUT!Q2294="",INPUT!P2294=0),"",(INPUT!P2294-INPUT!Q2294)/INPUT!P2294),"")</f>
        <v>0</v>
      </c>
    </row>
    <row r="2300" spans="1:12" ht="18" customHeight="1" x14ac:dyDescent="0.2">
      <c r="A2300" s="11">
        <f>IF(INPUT!M2295="","",INPUT!M2295)</f>
        <v>46108</v>
      </c>
      <c r="B2300" s="11">
        <f>IF(INPUT!M2295="","",INPUT!M2295-WEEKDAY(INPUT!M2295,2)+1)</f>
        <v>46104</v>
      </c>
      <c r="C2300" s="20">
        <f>IFERROR(_xlfn.ISOWEEKNUM(INPUT!M2295),"")</f>
        <v>13</v>
      </c>
      <c r="D2300" s="20">
        <f>IFERROR(YEAR(INPUT!M2295),"")</f>
        <v>2026</v>
      </c>
      <c r="E2300" t="str">
        <f>IF(INPUT!O2295="","",INPUT!O2295)</f>
        <v>JAIME</v>
      </c>
      <c r="F2300" t="str">
        <f>IF(INPUT!N2295="","",INPUT!N2295)</f>
        <v>M</v>
      </c>
      <c r="G2300" t="str" cm="1">
        <f t="array" ref="G2300">IFERROR(VLOOKUP(INPUT!M2295&amp;INPUT!N2295,CHOOSE({1,2},INPUT!$A$3:$A$5000&amp;INPUT!$C$3:$C$5000,INPUT!$F$3:$F$5000),2,FALSE),"")</f>
        <v>PRE-TEMPORADA</v>
      </c>
      <c r="H2300" t="str" cm="1">
        <f t="array" ref="H2300">IFERROR(VLOOKUP(INPUT!M2295&amp;INPUT!N2295,CHOOSE({1,2},INPUT!$A$3:$A$5000&amp;INPUT!$C$3:$C$5000,INPUT!$D$3:$D$5000),2,FALSE),"")</f>
        <v>TEC-TAC</v>
      </c>
      <c r="I2300" s="46">
        <f>IF(INPUT!P2295="","",INPUT!P2295)</f>
        <v>76</v>
      </c>
      <c r="J2300" s="46">
        <f>IF(INPUT!Q2295="","",INPUT!Q2295)</f>
        <v>76</v>
      </c>
      <c r="K2300" s="46">
        <f>IFERROR(IF(OR(INPUT!P2295="",INPUT!Q2295=""),"",INPUT!P2295-INPUT!Q2295),"")</f>
        <v>0</v>
      </c>
      <c r="L2300" s="48">
        <f>IFERROR(IF(OR(INPUT!P2295="",INPUT!Q2295="",INPUT!P2295=0),"",(INPUT!P2295-INPUT!Q2295)/INPUT!P2295),"")</f>
        <v>0</v>
      </c>
    </row>
    <row r="2301" spans="1:12" ht="18" hidden="1" customHeight="1" x14ac:dyDescent="0.2">
      <c r="A2301" s="11">
        <f>IF(INPUT!M2296="","",INPUT!M2296)</f>
        <v>46111</v>
      </c>
      <c r="B2301" s="11">
        <f>IF(INPUT!M2296="","",INPUT!M2296-WEEKDAY(INPUT!M2296,2)+1)</f>
        <v>46111</v>
      </c>
      <c r="C2301" s="20">
        <f>IFERROR(_xlfn.ISOWEEKNUM(INPUT!M2296),"")</f>
        <v>14</v>
      </c>
      <c r="D2301" s="20">
        <f>IFERROR(YEAR(INPUT!M2296),"")</f>
        <v>2026</v>
      </c>
      <c r="E2301" t="str">
        <f>IF(INPUT!O2296="","",INPUT!O2296)</f>
        <v>HERRERO</v>
      </c>
      <c r="F2301" t="str">
        <f>IF(INPUT!N2296="","",INPUT!N2296)</f>
        <v>M</v>
      </c>
      <c r="G2301" t="str" cm="1">
        <f t="array" ref="G2301">IFERROR(VLOOKUP(INPUT!M2296&amp;INPUT!N2296,CHOOSE({1,2},INPUT!$A$3:$A$5000&amp;INPUT!$C$3:$C$5000,INPUT!$F$3:$F$5000),2,FALSE),"")</f>
        <v>PRE-TEMPORADA</v>
      </c>
      <c r="H2301" t="str" cm="1">
        <f t="array" ref="H2301">IFERROR(VLOOKUP(INPUT!M2296&amp;INPUT!N2296,CHOOSE({1,2},INPUT!$A$3:$A$5000&amp;INPUT!$C$3:$C$5000,INPUT!$D$3:$D$5000),2,FALSE),"")</f>
        <v>GYM+TEC-TAC</v>
      </c>
      <c r="I2301" s="46">
        <f>IF(INPUT!P2296="","",INPUT!P2296)</f>
        <v>77</v>
      </c>
      <c r="J2301" s="46">
        <f>IF(INPUT!Q2296="","",INPUT!Q2296)</f>
        <v>76.099999999999994</v>
      </c>
      <c r="K2301" s="46">
        <f>IFERROR(IF(OR(INPUT!P2296="",INPUT!Q2296=""),"",INPUT!P2296-INPUT!Q2296),"")</f>
        <v>0.90000000000000568</v>
      </c>
      <c r="L2301" s="48">
        <f>IFERROR(IF(OR(INPUT!P2296="",INPUT!Q2296="",INPUT!P2296=0),"",(INPUT!P2296-INPUT!Q2296)/INPUT!P2296),"")</f>
        <v>1.1688311688311762E-2</v>
      </c>
    </row>
    <row r="2302" spans="1:12" ht="18" hidden="1" customHeight="1" x14ac:dyDescent="0.2">
      <c r="A2302" s="11">
        <f>IF(INPUT!M2297="","",INPUT!M2297)</f>
        <v>46111</v>
      </c>
      <c r="B2302" s="11">
        <f>IF(INPUT!M2297="","",INPUT!M2297-WEEKDAY(INPUT!M2297,2)+1)</f>
        <v>46111</v>
      </c>
      <c r="C2302" s="20">
        <f>IFERROR(_xlfn.ISOWEEKNUM(INPUT!M2297),"")</f>
        <v>14</v>
      </c>
      <c r="D2302" s="20">
        <f>IFERROR(YEAR(INPUT!M2297),"")</f>
        <v>2026</v>
      </c>
      <c r="E2302" t="str">
        <f>IF(INPUT!O2297="","",INPUT!O2297)</f>
        <v>GARCIA</v>
      </c>
      <c r="F2302" t="str">
        <f>IF(INPUT!N2297="","",INPUT!N2297)</f>
        <v>M</v>
      </c>
      <c r="G2302" t="str" cm="1">
        <f t="array" ref="G2302">IFERROR(VLOOKUP(INPUT!M2297&amp;INPUT!N2297,CHOOSE({1,2},INPUT!$A$3:$A$5000&amp;INPUT!$C$3:$C$5000,INPUT!$F$3:$F$5000),2,FALSE),"")</f>
        <v>PRE-TEMPORADA</v>
      </c>
      <c r="H2302" t="str" cm="1">
        <f t="array" ref="H2302">IFERROR(VLOOKUP(INPUT!M2297&amp;INPUT!N2297,CHOOSE({1,2},INPUT!$A$3:$A$5000&amp;INPUT!$C$3:$C$5000,INPUT!$D$3:$D$5000),2,FALSE),"")</f>
        <v>GYM+TEC-TAC</v>
      </c>
      <c r="I2302" s="46">
        <f>IF(INPUT!P2297="","",INPUT!P2297)</f>
        <v>79.8</v>
      </c>
      <c r="J2302" s="46">
        <f>IF(INPUT!Q2297="","",INPUT!Q2297)</f>
        <v>79.2</v>
      </c>
      <c r="K2302" s="46">
        <f>IFERROR(IF(OR(INPUT!P2297="",INPUT!Q2297=""),"",INPUT!P2297-INPUT!Q2297),"")</f>
        <v>0.59999999999999432</v>
      </c>
      <c r="L2302" s="48">
        <f>IFERROR(IF(OR(INPUT!P2297="",INPUT!Q2297="",INPUT!P2297=0),"",(INPUT!P2297-INPUT!Q2297)/INPUT!P2297),"")</f>
        <v>7.5187969924811323E-3</v>
      </c>
    </row>
    <row r="2303" spans="1:12" ht="18" hidden="1" customHeight="1" x14ac:dyDescent="0.2">
      <c r="A2303" s="11">
        <f>IF(INPUT!M2298="","",INPUT!M2298)</f>
        <v>46111</v>
      </c>
      <c r="B2303" s="11">
        <f>IF(INPUT!M2298="","",INPUT!M2298-WEEKDAY(INPUT!M2298,2)+1)</f>
        <v>46111</v>
      </c>
      <c r="C2303" s="20">
        <f>IFERROR(_xlfn.ISOWEEKNUM(INPUT!M2298),"")</f>
        <v>14</v>
      </c>
      <c r="D2303" s="20">
        <f>IFERROR(YEAR(INPUT!M2298),"")</f>
        <v>2026</v>
      </c>
      <c r="E2303" t="str">
        <f>IF(INPUT!O2298="","",INPUT!O2298)</f>
        <v>CECILIO</v>
      </c>
      <c r="F2303" t="str">
        <f>IF(INPUT!N2298="","",INPUT!N2298)</f>
        <v>M</v>
      </c>
      <c r="G2303" t="str" cm="1">
        <f t="array" ref="G2303">IFERROR(VLOOKUP(INPUT!M2298&amp;INPUT!N2298,CHOOSE({1,2},INPUT!$A$3:$A$5000&amp;INPUT!$C$3:$C$5000,INPUT!$F$3:$F$5000),2,FALSE),"")</f>
        <v>PRE-TEMPORADA</v>
      </c>
      <c r="H2303" t="str" cm="1">
        <f t="array" ref="H2303">IFERROR(VLOOKUP(INPUT!M2298&amp;INPUT!N2298,CHOOSE({1,2},INPUT!$A$3:$A$5000&amp;INPUT!$C$3:$C$5000,INPUT!$D$3:$D$5000),2,FALSE),"")</f>
        <v>GYM+TEC-TAC</v>
      </c>
      <c r="I2303" s="46">
        <f>IF(INPUT!P2298="","",INPUT!P2298)</f>
        <v>67.8</v>
      </c>
      <c r="J2303" s="46">
        <f>IF(INPUT!Q2298="","",INPUT!Q2298)</f>
        <v>67.400000000000006</v>
      </c>
      <c r="K2303" s="46">
        <f>IFERROR(IF(OR(INPUT!P2298="",INPUT!Q2298=""),"",INPUT!P2298-INPUT!Q2298),"")</f>
        <v>0.39999999999999147</v>
      </c>
      <c r="L2303" s="48">
        <f>IFERROR(IF(OR(INPUT!P2298="",INPUT!Q2298="",INPUT!P2298=0),"",(INPUT!P2298-INPUT!Q2298)/INPUT!P2298),"")</f>
        <v>5.8997050147491367E-3</v>
      </c>
    </row>
    <row r="2304" spans="1:12" ht="18" hidden="1" customHeight="1" x14ac:dyDescent="0.2">
      <c r="A2304" s="11">
        <f>IF(INPUT!M2299="","",INPUT!M2299)</f>
        <v>46111</v>
      </c>
      <c r="B2304" s="11">
        <f>IF(INPUT!M2299="","",INPUT!M2299-WEEKDAY(INPUT!M2299,2)+1)</f>
        <v>46111</v>
      </c>
      <c r="C2304" s="20">
        <f>IFERROR(_xlfn.ISOWEEKNUM(INPUT!M2299),"")</f>
        <v>14</v>
      </c>
      <c r="D2304" s="20">
        <f>IFERROR(YEAR(INPUT!M2299),"")</f>
        <v>2026</v>
      </c>
      <c r="E2304" t="str">
        <f>IF(INPUT!O2299="","",INPUT!O2299)</f>
        <v>CHAGUINHA</v>
      </c>
      <c r="F2304" t="str">
        <f>IF(INPUT!N2299="","",INPUT!N2299)</f>
        <v>M</v>
      </c>
      <c r="G2304" t="str" cm="1">
        <f t="array" ref="G2304">IFERROR(VLOOKUP(INPUT!M2299&amp;INPUT!N2299,CHOOSE({1,2},INPUT!$A$3:$A$5000&amp;INPUT!$C$3:$C$5000,INPUT!$F$3:$F$5000),2,FALSE),"")</f>
        <v>PRE-TEMPORADA</v>
      </c>
      <c r="H2304" t="str" cm="1">
        <f t="array" ref="H2304">IFERROR(VLOOKUP(INPUT!M2299&amp;INPUT!N2299,CHOOSE({1,2},INPUT!$A$3:$A$5000&amp;INPUT!$C$3:$C$5000,INPUT!$D$3:$D$5000),2,FALSE),"")</f>
        <v>GYM+TEC-TAC</v>
      </c>
      <c r="I2304" s="46">
        <f>IF(INPUT!P2299="","",INPUT!P2299)</f>
        <v>69</v>
      </c>
      <c r="J2304" s="46">
        <f>IF(INPUT!Q2299="","",INPUT!Q2299)</f>
        <v>68.7</v>
      </c>
      <c r="K2304" s="46">
        <f>IFERROR(IF(OR(INPUT!P2299="",INPUT!Q2299=""),"",INPUT!P2299-INPUT!Q2299),"")</f>
        <v>0.29999999999999716</v>
      </c>
      <c r="L2304" s="48">
        <f>IFERROR(IF(OR(INPUT!P2299="",INPUT!Q2299="",INPUT!P2299=0),"",(INPUT!P2299-INPUT!Q2299)/INPUT!P2299),"")</f>
        <v>4.3478260869564802E-3</v>
      </c>
    </row>
    <row r="2305" spans="1:12" ht="18" hidden="1" customHeight="1" x14ac:dyDescent="0.2">
      <c r="A2305" s="11">
        <f>IF(INPUT!M2300="","",INPUT!M2300)</f>
        <v>46111</v>
      </c>
      <c r="B2305" s="11">
        <f>IF(INPUT!M2300="","",INPUT!M2300-WEEKDAY(INPUT!M2300,2)+1)</f>
        <v>46111</v>
      </c>
      <c r="C2305" s="20">
        <f>IFERROR(_xlfn.ISOWEEKNUM(INPUT!M2300),"")</f>
        <v>14</v>
      </c>
      <c r="D2305" s="20">
        <f>IFERROR(YEAR(INPUT!M2300),"")</f>
        <v>2026</v>
      </c>
      <c r="E2305" t="str">
        <f>IF(INPUT!O2300="","",INPUT!O2300)</f>
        <v>RAUL</v>
      </c>
      <c r="F2305" t="str">
        <f>IF(INPUT!N2300="","",INPUT!N2300)</f>
        <v>M</v>
      </c>
      <c r="G2305" t="str" cm="1">
        <f t="array" ref="G2305">IFERROR(VLOOKUP(INPUT!M2300&amp;INPUT!N2300,CHOOSE({1,2},INPUT!$A$3:$A$5000&amp;INPUT!$C$3:$C$5000,INPUT!$F$3:$F$5000),2,FALSE),"")</f>
        <v>PRE-TEMPORADA</v>
      </c>
      <c r="H2305" t="str" cm="1">
        <f t="array" ref="H2305">IFERROR(VLOOKUP(INPUT!M2300&amp;INPUT!N2300,CHOOSE({1,2},INPUT!$A$3:$A$5000&amp;INPUT!$C$3:$C$5000,INPUT!$D$3:$D$5000),2,FALSE),"")</f>
        <v>GYM+TEC-TAC</v>
      </c>
      <c r="I2305" s="46">
        <f>IF(INPUT!P2300="","",INPUT!P2300)</f>
        <v>80.900000000000006</v>
      </c>
      <c r="J2305" s="46">
        <f>IF(INPUT!Q2300="","",INPUT!Q2300)</f>
        <v>80.900000000000006</v>
      </c>
      <c r="K2305" s="46">
        <f>IFERROR(IF(OR(INPUT!P2300="",INPUT!Q2300=""),"",INPUT!P2300-INPUT!Q2300),"")</f>
        <v>0</v>
      </c>
      <c r="L2305" s="48">
        <f>IFERROR(IF(OR(INPUT!P2300="",INPUT!Q2300="",INPUT!P2300=0),"",(INPUT!P2300-INPUT!Q2300)/INPUT!P2300),"")</f>
        <v>0</v>
      </c>
    </row>
    <row r="2306" spans="1:12" ht="18" hidden="1" customHeight="1" x14ac:dyDescent="0.2">
      <c r="A2306" s="11">
        <f>IF(INPUT!M2301="","",INPUT!M2301)</f>
        <v>46111</v>
      </c>
      <c r="B2306" s="11">
        <f>IF(INPUT!M2301="","",INPUT!M2301-WEEKDAY(INPUT!M2301,2)+1)</f>
        <v>46111</v>
      </c>
      <c r="C2306" s="20">
        <f>IFERROR(_xlfn.ISOWEEKNUM(INPUT!M2301),"")</f>
        <v>14</v>
      </c>
      <c r="D2306" s="20">
        <f>IFERROR(YEAR(INPUT!M2301),"")</f>
        <v>2026</v>
      </c>
      <c r="E2306" t="str">
        <f>IF(INPUT!O2301="","",INPUT!O2301)</f>
        <v>HARRISON</v>
      </c>
      <c r="F2306" t="str">
        <f>IF(INPUT!N2301="","",INPUT!N2301)</f>
        <v>M</v>
      </c>
      <c r="G2306" t="str" cm="1">
        <f t="array" ref="G2306">IFERROR(VLOOKUP(INPUT!M2301&amp;INPUT!N2301,CHOOSE({1,2},INPUT!$A$3:$A$5000&amp;INPUT!$C$3:$C$5000,INPUT!$F$3:$F$5000),2,FALSE),"")</f>
        <v>PRE-TEMPORADA</v>
      </c>
      <c r="H2306" t="str" cm="1">
        <f t="array" ref="H2306">IFERROR(VLOOKUP(INPUT!M2301&amp;INPUT!N2301,CHOOSE({1,2},INPUT!$A$3:$A$5000&amp;INPUT!$C$3:$C$5000,INPUT!$D$3:$D$5000),2,FALSE),"")</f>
        <v>GYM+TEC-TAC</v>
      </c>
      <c r="I2306" s="46">
        <f>IF(INPUT!P2301="","",INPUT!P2301)</f>
        <v>72</v>
      </c>
      <c r="J2306" s="46">
        <f>IF(INPUT!Q2301="","",INPUT!Q2301)</f>
        <v>72</v>
      </c>
      <c r="K2306" s="46">
        <f>IFERROR(IF(OR(INPUT!P2301="",INPUT!Q2301=""),"",INPUT!P2301-INPUT!Q2301),"")</f>
        <v>0</v>
      </c>
      <c r="L2306" s="48">
        <f>IFERROR(IF(OR(INPUT!P2301="",INPUT!Q2301="",INPUT!P2301=0),"",(INPUT!P2301-INPUT!Q2301)/INPUT!P2301),"")</f>
        <v>0</v>
      </c>
    </row>
    <row r="2307" spans="1:12" ht="18" hidden="1" customHeight="1" x14ac:dyDescent="0.2">
      <c r="A2307" s="11">
        <f>IF(INPUT!M2302="","",INPUT!M2302)</f>
        <v>46111</v>
      </c>
      <c r="B2307" s="11">
        <f>IF(INPUT!M2302="","",INPUT!M2302-WEEKDAY(INPUT!M2302,2)+1)</f>
        <v>46111</v>
      </c>
      <c r="C2307" s="20">
        <f>IFERROR(_xlfn.ISOWEEKNUM(INPUT!M2302),"")</f>
        <v>14</v>
      </c>
      <c r="D2307" s="20">
        <f>IFERROR(YEAR(INPUT!M2302),"")</f>
        <v>2026</v>
      </c>
      <c r="E2307" t="str">
        <f>IF(INPUT!O2302="","",INPUT!O2302)</f>
        <v>JAVI</v>
      </c>
      <c r="F2307" t="str">
        <f>IF(INPUT!N2302="","",INPUT!N2302)</f>
        <v>M</v>
      </c>
      <c r="G2307" t="str" cm="1">
        <f t="array" ref="G2307">IFERROR(VLOOKUP(INPUT!M2302&amp;INPUT!N2302,CHOOSE({1,2},INPUT!$A$3:$A$5000&amp;INPUT!$C$3:$C$5000,INPUT!$F$3:$F$5000),2,FALSE),"")</f>
        <v>PRE-TEMPORADA</v>
      </c>
      <c r="H2307" t="str" cm="1">
        <f t="array" ref="H2307">IFERROR(VLOOKUP(INPUT!M2302&amp;INPUT!N2302,CHOOSE({1,2},INPUT!$A$3:$A$5000&amp;INPUT!$C$3:$C$5000,INPUT!$D$3:$D$5000),2,FALSE),"")</f>
        <v>GYM+TEC-TAC</v>
      </c>
      <c r="I2307" s="46">
        <f>IF(INPUT!P2302="","",INPUT!P2302)</f>
        <v>79.7</v>
      </c>
      <c r="J2307" s="46">
        <f>IF(INPUT!Q2302="","",INPUT!Q2302)</f>
        <v>79.5</v>
      </c>
      <c r="K2307" s="46">
        <f>IFERROR(IF(OR(INPUT!P2302="",INPUT!Q2302=""),"",INPUT!P2302-INPUT!Q2302),"")</f>
        <v>0.20000000000000284</v>
      </c>
      <c r="L2307" s="48">
        <f>IFERROR(IF(OR(INPUT!P2302="",INPUT!Q2302="",INPUT!P2302=0),"",(INPUT!P2302-INPUT!Q2302)/INPUT!P2302),"")</f>
        <v>2.5094102885822186E-3</v>
      </c>
    </row>
    <row r="2308" spans="1:12" ht="18" hidden="1" customHeight="1" x14ac:dyDescent="0.2">
      <c r="A2308" s="11">
        <f>IF(INPUT!M2303="","",INPUT!M2303)</f>
        <v>46111</v>
      </c>
      <c r="B2308" s="11">
        <f>IF(INPUT!M2303="","",INPUT!M2303-WEEKDAY(INPUT!M2303,2)+1)</f>
        <v>46111</v>
      </c>
      <c r="C2308" s="20">
        <f>IFERROR(_xlfn.ISOWEEKNUM(INPUT!M2303),"")</f>
        <v>14</v>
      </c>
      <c r="D2308" s="20">
        <f>IFERROR(YEAR(INPUT!M2303),"")</f>
        <v>2026</v>
      </c>
      <c r="E2308" t="str">
        <f>IF(INPUT!O2303="","",INPUT!O2303)</f>
        <v>PANI</v>
      </c>
      <c r="F2308" t="str">
        <f>IF(INPUT!N2303="","",INPUT!N2303)</f>
        <v>M</v>
      </c>
      <c r="G2308" t="str" cm="1">
        <f t="array" ref="G2308">IFERROR(VLOOKUP(INPUT!M2303&amp;INPUT!N2303,CHOOSE({1,2},INPUT!$A$3:$A$5000&amp;INPUT!$C$3:$C$5000,INPUT!$F$3:$F$5000),2,FALSE),"")</f>
        <v>PRE-TEMPORADA</v>
      </c>
      <c r="H2308" t="str" cm="1">
        <f t="array" ref="H2308">IFERROR(VLOOKUP(INPUT!M2303&amp;INPUT!N2303,CHOOSE({1,2},INPUT!$A$3:$A$5000&amp;INPUT!$C$3:$C$5000,INPUT!$D$3:$D$5000),2,FALSE),"")</f>
        <v>GYM+TEC-TAC</v>
      </c>
      <c r="I2308" s="46">
        <f>IF(INPUT!P2303="","",INPUT!P2303)</f>
        <v>68</v>
      </c>
      <c r="J2308" s="46">
        <f>IF(INPUT!Q2303="","",INPUT!Q2303)</f>
        <v>68</v>
      </c>
      <c r="K2308" s="46">
        <f>IFERROR(IF(OR(INPUT!P2303="",INPUT!Q2303=""),"",INPUT!P2303-INPUT!Q2303),"")</f>
        <v>0</v>
      </c>
      <c r="L2308" s="48">
        <f>IFERROR(IF(OR(INPUT!P2303="",INPUT!Q2303="",INPUT!P2303=0),"",(INPUT!P2303-INPUT!Q2303)/INPUT!P2303),"")</f>
        <v>0</v>
      </c>
    </row>
    <row r="2309" spans="1:12" ht="18" hidden="1" customHeight="1" x14ac:dyDescent="0.2">
      <c r="A2309" s="11">
        <f>IF(INPUT!M2304="","",INPUT!M2304)</f>
        <v>46111</v>
      </c>
      <c r="B2309" s="11">
        <f>IF(INPUT!M2304="","",INPUT!M2304-WEEKDAY(INPUT!M2304,2)+1)</f>
        <v>46111</v>
      </c>
      <c r="C2309" s="20">
        <f>IFERROR(_xlfn.ISOWEEKNUM(INPUT!M2304),"")</f>
        <v>14</v>
      </c>
      <c r="D2309" s="20">
        <f>IFERROR(YEAR(INPUT!M2304),"")</f>
        <v>2026</v>
      </c>
      <c r="E2309" t="str">
        <f>IF(INPUT!O2304="","",INPUT!O2304)</f>
        <v>PIRATA</v>
      </c>
      <c r="F2309" t="str">
        <f>IF(INPUT!N2304="","",INPUT!N2304)</f>
        <v>M</v>
      </c>
      <c r="G2309" t="str" cm="1">
        <f t="array" ref="G2309">IFERROR(VLOOKUP(INPUT!M2304&amp;INPUT!N2304,CHOOSE({1,2},INPUT!$A$3:$A$5000&amp;INPUT!$C$3:$C$5000,INPUT!$F$3:$F$5000),2,FALSE),"")</f>
        <v>PRE-TEMPORADA</v>
      </c>
      <c r="H2309" t="str" cm="1">
        <f t="array" ref="H2309">IFERROR(VLOOKUP(INPUT!M2304&amp;INPUT!N2304,CHOOSE({1,2},INPUT!$A$3:$A$5000&amp;INPUT!$C$3:$C$5000,INPUT!$D$3:$D$5000),2,FALSE),"")</f>
        <v>GYM+TEC-TAC</v>
      </c>
      <c r="I2309" s="46">
        <f>IF(INPUT!P2304="","",INPUT!P2304)</f>
        <v>75.400000000000006</v>
      </c>
      <c r="J2309" s="46">
        <f>IF(INPUT!Q2304="","",INPUT!Q2304)</f>
        <v>75.400000000000006</v>
      </c>
      <c r="K2309" s="46">
        <f>IFERROR(IF(OR(INPUT!P2304="",INPUT!Q2304=""),"",INPUT!P2304-INPUT!Q2304),"")</f>
        <v>0</v>
      </c>
      <c r="L2309" s="48">
        <f>IFERROR(IF(OR(INPUT!P2304="",INPUT!Q2304="",INPUT!P2304=0),"",(INPUT!P2304-INPUT!Q2304)/INPUT!P2304),"")</f>
        <v>0</v>
      </c>
    </row>
    <row r="2310" spans="1:12" ht="18" hidden="1" customHeight="1" x14ac:dyDescent="0.2">
      <c r="A2310" s="11">
        <f>IF(INPUT!M2305="","",INPUT!M2305)</f>
        <v>46111</v>
      </c>
      <c r="B2310" s="11">
        <f>IF(INPUT!M2305="","",INPUT!M2305-WEEKDAY(INPUT!M2305,2)+1)</f>
        <v>46111</v>
      </c>
      <c r="C2310" s="20">
        <f>IFERROR(_xlfn.ISOWEEKNUM(INPUT!M2305),"")</f>
        <v>14</v>
      </c>
      <c r="D2310" s="20">
        <f>IFERROR(YEAR(INPUT!M2305),"")</f>
        <v>2026</v>
      </c>
      <c r="E2310" t="str">
        <f>IF(INPUT!O2305="","",INPUT!O2305)</f>
        <v>BARONA</v>
      </c>
      <c r="F2310" t="str">
        <f>IF(INPUT!N2305="","",INPUT!N2305)</f>
        <v>M</v>
      </c>
      <c r="G2310" t="str" cm="1">
        <f t="array" ref="G2310">IFERROR(VLOOKUP(INPUT!M2305&amp;INPUT!N2305,CHOOSE({1,2},INPUT!$A$3:$A$5000&amp;INPUT!$C$3:$C$5000,INPUT!$F$3:$F$5000),2,FALSE),"")</f>
        <v>PRE-TEMPORADA</v>
      </c>
      <c r="H2310" t="str" cm="1">
        <f t="array" ref="H2310">IFERROR(VLOOKUP(INPUT!M2305&amp;INPUT!N2305,CHOOSE({1,2},INPUT!$A$3:$A$5000&amp;INPUT!$C$3:$C$5000,INPUT!$D$3:$D$5000),2,FALSE),"")</f>
        <v>GYM+TEC-TAC</v>
      </c>
      <c r="I2310" s="46">
        <f>IF(INPUT!P2305="","",INPUT!P2305)</f>
        <v>71</v>
      </c>
      <c r="J2310" s="46">
        <f>IF(INPUT!Q2305="","",INPUT!Q2305)</f>
        <v>71</v>
      </c>
      <c r="K2310" s="46">
        <f>IFERROR(IF(OR(INPUT!P2305="",INPUT!Q2305=""),"",INPUT!P2305-INPUT!Q2305),"")</f>
        <v>0</v>
      </c>
      <c r="L2310" s="48">
        <f>IFERROR(IF(OR(INPUT!P2305="",INPUT!Q2305="",INPUT!P2305=0),"",(INPUT!P2305-INPUT!Q2305)/INPUT!P2305),"")</f>
        <v>0</v>
      </c>
    </row>
    <row r="2311" spans="1:12" ht="18" hidden="1" customHeight="1" x14ac:dyDescent="0.2">
      <c r="A2311" s="11">
        <f>IF(INPUT!M2306="","",INPUT!M2306)</f>
        <v>46111</v>
      </c>
      <c r="B2311" s="11">
        <f>IF(INPUT!M2306="","",INPUT!M2306-WEEKDAY(INPUT!M2306,2)+1)</f>
        <v>46111</v>
      </c>
      <c r="C2311" s="20">
        <f>IFERROR(_xlfn.ISOWEEKNUM(INPUT!M2306),"")</f>
        <v>14</v>
      </c>
      <c r="D2311" s="20">
        <f>IFERROR(YEAR(INPUT!M2306),"")</f>
        <v>2026</v>
      </c>
      <c r="E2311" t="str">
        <f>IF(INPUT!O2306="","",INPUT!O2306)</f>
        <v>CARLOS</v>
      </c>
      <c r="F2311" t="str">
        <f>IF(INPUT!N2306="","",INPUT!N2306)</f>
        <v>M</v>
      </c>
      <c r="G2311" t="str" cm="1">
        <f t="array" ref="G2311">IFERROR(VLOOKUP(INPUT!M2306&amp;INPUT!N2306,CHOOSE({1,2},INPUT!$A$3:$A$5000&amp;INPUT!$C$3:$C$5000,INPUT!$F$3:$F$5000),2,FALSE),"")</f>
        <v>PRE-TEMPORADA</v>
      </c>
      <c r="H2311" t="str" cm="1">
        <f t="array" ref="H2311">IFERROR(VLOOKUP(INPUT!M2306&amp;INPUT!N2306,CHOOSE({1,2},INPUT!$A$3:$A$5000&amp;INPUT!$C$3:$C$5000,INPUT!$D$3:$D$5000),2,FALSE),"")</f>
        <v>GYM+TEC-TAC</v>
      </c>
      <c r="I2311" s="46">
        <f>IF(INPUT!P2306="","",INPUT!P2306)</f>
        <v>68.5</v>
      </c>
      <c r="J2311" s="46">
        <f>IF(INPUT!Q2306="","",INPUT!Q2306)</f>
        <v>68</v>
      </c>
      <c r="K2311" s="46">
        <f>IFERROR(IF(OR(INPUT!P2306="",INPUT!Q2306=""),"",INPUT!P2306-INPUT!Q2306),"")</f>
        <v>0.5</v>
      </c>
      <c r="L2311" s="48">
        <f>IFERROR(IF(OR(INPUT!P2306="",INPUT!Q2306="",INPUT!P2306=0),"",(INPUT!P2306-INPUT!Q2306)/INPUT!P2306),"")</f>
        <v>7.2992700729927005E-3</v>
      </c>
    </row>
    <row r="2312" spans="1:12" ht="18" hidden="1" customHeight="1" x14ac:dyDescent="0.2">
      <c r="A2312" s="11">
        <f>IF(INPUT!M2307="","",INPUT!M2307)</f>
        <v>46111</v>
      </c>
      <c r="B2312" s="11">
        <f>IF(INPUT!M2307="","",INPUT!M2307-WEEKDAY(INPUT!M2307,2)+1)</f>
        <v>46111</v>
      </c>
      <c r="C2312" s="20">
        <f>IFERROR(_xlfn.ISOWEEKNUM(INPUT!M2307),"")</f>
        <v>14</v>
      </c>
      <c r="D2312" s="20">
        <f>IFERROR(YEAR(INPUT!M2307),"")</f>
        <v>2026</v>
      </c>
      <c r="E2312" t="str">
        <f>IF(INPUT!O2307="","",INPUT!O2307)</f>
        <v>SEGO</v>
      </c>
      <c r="F2312" t="str">
        <f>IF(INPUT!N2307="","",INPUT!N2307)</f>
        <v>M</v>
      </c>
      <c r="G2312" t="str" cm="1">
        <f t="array" ref="G2312">IFERROR(VLOOKUP(INPUT!M2307&amp;INPUT!N2307,CHOOSE({1,2},INPUT!$A$3:$A$5000&amp;INPUT!$C$3:$C$5000,INPUT!$F$3:$F$5000),2,FALSE),"")</f>
        <v>PRE-TEMPORADA</v>
      </c>
      <c r="H2312" t="str" cm="1">
        <f t="array" ref="H2312">IFERROR(VLOOKUP(INPUT!M2307&amp;INPUT!N2307,CHOOSE({1,2},INPUT!$A$3:$A$5000&amp;INPUT!$C$3:$C$5000,INPUT!$D$3:$D$5000),2,FALSE),"")</f>
        <v>GYM+TEC-TAC</v>
      </c>
      <c r="I2312" s="46">
        <f>IF(INPUT!P2307="","",INPUT!P2307)</f>
        <v>76.8</v>
      </c>
      <c r="J2312" s="46">
        <f>IF(INPUT!Q2307="","",INPUT!Q2307)</f>
        <v>76.5</v>
      </c>
      <c r="K2312" s="46">
        <f>IFERROR(IF(OR(INPUT!P2307="",INPUT!Q2307=""),"",INPUT!P2307-INPUT!Q2307),"")</f>
        <v>0.29999999999999716</v>
      </c>
      <c r="L2312" s="48">
        <f>IFERROR(IF(OR(INPUT!P2307="",INPUT!Q2307="",INPUT!P2307=0),"",(INPUT!P2307-INPUT!Q2307)/INPUT!P2307),"")</f>
        <v>3.9062499999999631E-3</v>
      </c>
    </row>
    <row r="2313" spans="1:12" ht="18" hidden="1" customHeight="1" x14ac:dyDescent="0.2">
      <c r="A2313" s="11">
        <f>IF(INPUT!M2308="","",INPUT!M2308)</f>
        <v>46111</v>
      </c>
      <c r="B2313" s="11">
        <f>IF(INPUT!M2308="","",INPUT!M2308-WEEKDAY(INPUT!M2308,2)+1)</f>
        <v>46111</v>
      </c>
      <c r="C2313" s="20">
        <f>IFERROR(_xlfn.ISOWEEKNUM(INPUT!M2308),"")</f>
        <v>14</v>
      </c>
      <c r="D2313" s="20">
        <f>IFERROR(YEAR(INPUT!M2308),"")</f>
        <v>2026</v>
      </c>
      <c r="E2313" t="str">
        <f>IF(INPUT!O2308="","",INPUT!O2308)</f>
        <v>RUBIO</v>
      </c>
      <c r="F2313" t="str">
        <f>IF(INPUT!N2308="","",INPUT!N2308)</f>
        <v>M</v>
      </c>
      <c r="G2313" t="str" cm="1">
        <f t="array" ref="G2313">IFERROR(VLOOKUP(INPUT!M2308&amp;INPUT!N2308,CHOOSE({1,2},INPUT!$A$3:$A$5000&amp;INPUT!$C$3:$C$5000,INPUT!$F$3:$F$5000),2,FALSE),"")</f>
        <v>PRE-TEMPORADA</v>
      </c>
      <c r="H2313" t="str" cm="1">
        <f t="array" ref="H2313">IFERROR(VLOOKUP(INPUT!M2308&amp;INPUT!N2308,CHOOSE({1,2},INPUT!$A$3:$A$5000&amp;INPUT!$C$3:$C$5000,INPUT!$D$3:$D$5000),2,FALSE),"")</f>
        <v>GYM+TEC-TAC</v>
      </c>
      <c r="I2313" s="46">
        <f>IF(INPUT!P2308="","",INPUT!P2308)</f>
        <v>74.5</v>
      </c>
      <c r="J2313" s="46">
        <f>IF(INPUT!Q2308="","",INPUT!Q2308)</f>
        <v>74.5</v>
      </c>
      <c r="K2313" s="46">
        <f>IFERROR(IF(OR(INPUT!P2308="",INPUT!Q2308=""),"",INPUT!P2308-INPUT!Q2308),"")</f>
        <v>0</v>
      </c>
      <c r="L2313" s="48">
        <f>IFERROR(IF(OR(INPUT!P2308="",INPUT!Q2308="",INPUT!P2308=0),"",(INPUT!P2308-INPUT!Q2308)/INPUT!P2308),"")</f>
        <v>0</v>
      </c>
    </row>
    <row r="2314" spans="1:12" ht="18" hidden="1" customHeight="1" x14ac:dyDescent="0.2">
      <c r="A2314" s="11">
        <f>IF(INPUT!M2309="","",INPUT!M2309)</f>
        <v>46111</v>
      </c>
      <c r="B2314" s="11">
        <f>IF(INPUT!M2309="","",INPUT!M2309-WEEKDAY(INPUT!M2309,2)+1)</f>
        <v>46111</v>
      </c>
      <c r="C2314" s="20">
        <f>IFERROR(_xlfn.ISOWEEKNUM(INPUT!M2309),"")</f>
        <v>14</v>
      </c>
      <c r="D2314" s="20">
        <f>IFERROR(YEAR(INPUT!M2309),"")</f>
        <v>2026</v>
      </c>
      <c r="E2314" t="str">
        <f>IF(INPUT!O2309="","",INPUT!O2309)</f>
        <v>DANI</v>
      </c>
      <c r="F2314" t="str">
        <f>IF(INPUT!N2309="","",INPUT!N2309)</f>
        <v>M</v>
      </c>
      <c r="G2314" t="str" cm="1">
        <f t="array" ref="G2314">IFERROR(VLOOKUP(INPUT!M2309&amp;INPUT!N2309,CHOOSE({1,2},INPUT!$A$3:$A$5000&amp;INPUT!$C$3:$C$5000,INPUT!$F$3:$F$5000),2,FALSE),"")</f>
        <v>PRE-TEMPORADA</v>
      </c>
      <c r="H2314" t="str" cm="1">
        <f t="array" ref="H2314">IFERROR(VLOOKUP(INPUT!M2309&amp;INPUT!N2309,CHOOSE({1,2},INPUT!$A$3:$A$5000&amp;INPUT!$C$3:$C$5000,INPUT!$D$3:$D$5000),2,FALSE),"")</f>
        <v>GYM+TEC-TAC</v>
      </c>
      <c r="I2314" s="46">
        <f>IF(INPUT!P2309="","",INPUT!P2309)</f>
        <v>91</v>
      </c>
      <c r="J2314" s="46">
        <f>IF(INPUT!Q2309="","",INPUT!Q2309)</f>
        <v>90.5</v>
      </c>
      <c r="K2314" s="46">
        <f>IFERROR(IF(OR(INPUT!P2309="",INPUT!Q2309=""),"",INPUT!P2309-INPUT!Q2309),"")</f>
        <v>0.5</v>
      </c>
      <c r="L2314" s="48">
        <f>IFERROR(IF(OR(INPUT!P2309="",INPUT!Q2309="",INPUT!P2309=0),"",(INPUT!P2309-INPUT!Q2309)/INPUT!P2309),"")</f>
        <v>5.4945054945054949E-3</v>
      </c>
    </row>
    <row r="2315" spans="1:12" ht="18" hidden="1" customHeight="1" x14ac:dyDescent="0.2">
      <c r="A2315" s="11">
        <f>IF(INPUT!M2310="","",INPUT!M2310)</f>
        <v>46111</v>
      </c>
      <c r="B2315" s="11">
        <f>IF(INPUT!M2310="","",INPUT!M2310-WEEKDAY(INPUT!M2310,2)+1)</f>
        <v>46111</v>
      </c>
      <c r="C2315" s="20">
        <f>IFERROR(_xlfn.ISOWEEKNUM(INPUT!M2310),"")</f>
        <v>14</v>
      </c>
      <c r="D2315" s="20">
        <f>IFERROR(YEAR(INPUT!M2310),"")</f>
        <v>2026</v>
      </c>
      <c r="E2315" t="str">
        <f>IF(INPUT!O2310="","",INPUT!O2310)</f>
        <v>JAIME</v>
      </c>
      <c r="F2315" t="str">
        <f>IF(INPUT!N2310="","",INPUT!N2310)</f>
        <v>M</v>
      </c>
      <c r="G2315" t="str" cm="1">
        <f t="array" ref="G2315">IFERROR(VLOOKUP(INPUT!M2310&amp;INPUT!N2310,CHOOSE({1,2},INPUT!$A$3:$A$5000&amp;INPUT!$C$3:$C$5000,INPUT!$F$3:$F$5000),2,FALSE),"")</f>
        <v>PRE-TEMPORADA</v>
      </c>
      <c r="H2315" t="str" cm="1">
        <f t="array" ref="H2315">IFERROR(VLOOKUP(INPUT!M2310&amp;INPUT!N2310,CHOOSE({1,2},INPUT!$A$3:$A$5000&amp;INPUT!$C$3:$C$5000,INPUT!$D$3:$D$5000),2,FALSE),"")</f>
        <v>GYM+TEC-TAC</v>
      </c>
      <c r="I2315" s="46">
        <f>IF(INPUT!P2310="","",INPUT!P2310)</f>
        <v>76.3</v>
      </c>
      <c r="J2315" s="46">
        <f>IF(INPUT!Q2310="","",INPUT!Q2310)</f>
        <v>76.2</v>
      </c>
      <c r="K2315" s="46">
        <f>IFERROR(IF(OR(INPUT!P2310="",INPUT!Q2310=""),"",INPUT!P2310-INPUT!Q2310),"")</f>
        <v>9.9999999999994316E-2</v>
      </c>
      <c r="L2315" s="48">
        <f>IFERROR(IF(OR(INPUT!P2310="",INPUT!Q2310="",INPUT!P2310=0),"",(INPUT!P2310-INPUT!Q2310)/INPUT!P2310),"")</f>
        <v>1.3106159895149977E-3</v>
      </c>
    </row>
    <row r="2316" spans="1:12" ht="18" hidden="1" customHeight="1" x14ac:dyDescent="0.2">
      <c r="A2316" s="11">
        <f>IF(INPUT!M2311="","",INPUT!M2311)</f>
        <v>46112</v>
      </c>
      <c r="B2316" s="11">
        <f>IF(INPUT!M2311="","",INPUT!M2311-WEEKDAY(INPUT!M2311,2)+1)</f>
        <v>46111</v>
      </c>
      <c r="C2316" s="20">
        <f>IFERROR(_xlfn.ISOWEEKNUM(INPUT!M2311),"")</f>
        <v>14</v>
      </c>
      <c r="D2316" s="20">
        <f>IFERROR(YEAR(INPUT!M2311),"")</f>
        <v>2026</v>
      </c>
      <c r="E2316" t="str">
        <f>IF(INPUT!O2311="","",INPUT!O2311)</f>
        <v>HERRERO</v>
      </c>
      <c r="F2316" t="str">
        <f>IF(INPUT!N2311="","",INPUT!N2311)</f>
        <v>M</v>
      </c>
      <c r="G2316" t="str" cm="1">
        <f t="array" ref="G2316">IFERROR(VLOOKUP(INPUT!M2311&amp;INPUT!N2311,CHOOSE({1,2},INPUT!$A$3:$A$5000&amp;INPUT!$C$3:$C$5000,INPUT!$F$3:$F$5000),2,FALSE),"")</f>
        <v>PRE-TEMPORADA</v>
      </c>
      <c r="H2316" t="str" cm="1">
        <f t="array" ref="H2316">IFERROR(VLOOKUP(INPUT!M2311&amp;INPUT!N2311,CHOOSE({1,2},INPUT!$A$3:$A$5000&amp;INPUT!$C$3:$C$5000,INPUT!$D$3:$D$5000),2,FALSE),"")</f>
        <v>TEC-TAC</v>
      </c>
      <c r="I2316" s="46">
        <f>IF(INPUT!P2311="","",INPUT!P2311)</f>
        <v>77</v>
      </c>
      <c r="J2316" s="46">
        <f>IF(INPUT!Q2311="","",INPUT!Q2311)</f>
        <v>77</v>
      </c>
      <c r="K2316" s="46">
        <f>IFERROR(IF(OR(INPUT!P2311="",INPUT!Q2311=""),"",INPUT!P2311-INPUT!Q2311),"")</f>
        <v>0</v>
      </c>
      <c r="L2316" s="48">
        <f>IFERROR(IF(OR(INPUT!P2311="",INPUT!Q2311="",INPUT!P2311=0),"",(INPUT!P2311-INPUT!Q2311)/INPUT!P2311),"")</f>
        <v>0</v>
      </c>
    </row>
    <row r="2317" spans="1:12" ht="18" hidden="1" customHeight="1" x14ac:dyDescent="0.2">
      <c r="A2317" s="11">
        <f>IF(INPUT!M2312="","",INPUT!M2312)</f>
        <v>46112</v>
      </c>
      <c r="B2317" s="11">
        <f>IF(INPUT!M2312="","",INPUT!M2312-WEEKDAY(INPUT!M2312,2)+1)</f>
        <v>46111</v>
      </c>
      <c r="C2317" s="20">
        <f>IFERROR(_xlfn.ISOWEEKNUM(INPUT!M2312),"")</f>
        <v>14</v>
      </c>
      <c r="D2317" s="20">
        <f>IFERROR(YEAR(INPUT!M2312),"")</f>
        <v>2026</v>
      </c>
      <c r="E2317" t="str">
        <f>IF(INPUT!O2312="","",INPUT!O2312)</f>
        <v>GARCIA</v>
      </c>
      <c r="F2317" t="str">
        <f>IF(INPUT!N2312="","",INPUT!N2312)</f>
        <v>M</v>
      </c>
      <c r="G2317" t="str" cm="1">
        <f t="array" ref="G2317">IFERROR(VLOOKUP(INPUT!M2312&amp;INPUT!N2312,CHOOSE({1,2},INPUT!$A$3:$A$5000&amp;INPUT!$C$3:$C$5000,INPUT!$F$3:$F$5000),2,FALSE),"")</f>
        <v>PRE-TEMPORADA</v>
      </c>
      <c r="H2317" t="str" cm="1">
        <f t="array" ref="H2317">IFERROR(VLOOKUP(INPUT!M2312&amp;INPUT!N2312,CHOOSE({1,2},INPUT!$A$3:$A$5000&amp;INPUT!$C$3:$C$5000,INPUT!$D$3:$D$5000),2,FALSE),"")</f>
        <v>TEC-TAC</v>
      </c>
      <c r="I2317" s="46">
        <f>IF(INPUT!P2312="","",INPUT!P2312)</f>
        <v>79.5</v>
      </c>
      <c r="J2317" s="46">
        <f>IF(INPUT!Q2312="","",INPUT!Q2312)</f>
        <v>79</v>
      </c>
      <c r="K2317" s="46">
        <f>IFERROR(IF(OR(INPUT!P2312="",INPUT!Q2312=""),"",INPUT!P2312-INPUT!Q2312),"")</f>
        <v>0.5</v>
      </c>
      <c r="L2317" s="48">
        <f>IFERROR(IF(OR(INPUT!P2312="",INPUT!Q2312="",INPUT!P2312=0),"",(INPUT!P2312-INPUT!Q2312)/INPUT!P2312),"")</f>
        <v>6.2893081761006293E-3</v>
      </c>
    </row>
    <row r="2318" spans="1:12" ht="18" hidden="1" customHeight="1" x14ac:dyDescent="0.2">
      <c r="A2318" s="11">
        <f>IF(INPUT!M2313="","",INPUT!M2313)</f>
        <v>46112</v>
      </c>
      <c r="B2318" s="11">
        <f>IF(INPUT!M2313="","",INPUT!M2313-WEEKDAY(INPUT!M2313,2)+1)</f>
        <v>46111</v>
      </c>
      <c r="C2318" s="20">
        <f>IFERROR(_xlfn.ISOWEEKNUM(INPUT!M2313),"")</f>
        <v>14</v>
      </c>
      <c r="D2318" s="20">
        <f>IFERROR(YEAR(INPUT!M2313),"")</f>
        <v>2026</v>
      </c>
      <c r="E2318" t="str">
        <f>IF(INPUT!O2313="","",INPUT!O2313)</f>
        <v>CECILIO</v>
      </c>
      <c r="F2318" t="str">
        <f>IF(INPUT!N2313="","",INPUT!N2313)</f>
        <v>M</v>
      </c>
      <c r="G2318" t="str" cm="1">
        <f t="array" ref="G2318">IFERROR(VLOOKUP(INPUT!M2313&amp;INPUT!N2313,CHOOSE({1,2},INPUT!$A$3:$A$5000&amp;INPUT!$C$3:$C$5000,INPUT!$F$3:$F$5000),2,FALSE),"")</f>
        <v>PRE-TEMPORADA</v>
      </c>
      <c r="H2318" t="str" cm="1">
        <f t="array" ref="H2318">IFERROR(VLOOKUP(INPUT!M2313&amp;INPUT!N2313,CHOOSE({1,2},INPUT!$A$3:$A$5000&amp;INPUT!$C$3:$C$5000,INPUT!$D$3:$D$5000),2,FALSE),"")</f>
        <v>TEC-TAC</v>
      </c>
      <c r="I2318" s="46">
        <f>IF(INPUT!P2313="","",INPUT!P2313)</f>
        <v>67.2</v>
      </c>
      <c r="J2318" s="46">
        <f>IF(INPUT!Q2313="","",INPUT!Q2313)</f>
        <v>67.099999999999994</v>
      </c>
      <c r="K2318" s="46">
        <f>IFERROR(IF(OR(INPUT!P2313="",INPUT!Q2313=""),"",INPUT!P2313-INPUT!Q2313),"")</f>
        <v>0.10000000000000853</v>
      </c>
      <c r="L2318" s="48">
        <f>IFERROR(IF(OR(INPUT!P2313="",INPUT!Q2313="",INPUT!P2313=0),"",(INPUT!P2313-INPUT!Q2313)/INPUT!P2313),"")</f>
        <v>1.4880952380953649E-3</v>
      </c>
    </row>
    <row r="2319" spans="1:12" ht="18" hidden="1" customHeight="1" x14ac:dyDescent="0.2">
      <c r="A2319" s="11">
        <f>IF(INPUT!M2314="","",INPUT!M2314)</f>
        <v>46112</v>
      </c>
      <c r="B2319" s="11">
        <f>IF(INPUT!M2314="","",INPUT!M2314-WEEKDAY(INPUT!M2314,2)+1)</f>
        <v>46111</v>
      </c>
      <c r="C2319" s="20">
        <f>IFERROR(_xlfn.ISOWEEKNUM(INPUT!M2314),"")</f>
        <v>14</v>
      </c>
      <c r="D2319" s="20">
        <f>IFERROR(YEAR(INPUT!M2314),"")</f>
        <v>2026</v>
      </c>
      <c r="E2319" t="str">
        <f>IF(INPUT!O2314="","",INPUT!O2314)</f>
        <v>CHAGUINHA</v>
      </c>
      <c r="F2319" t="str">
        <f>IF(INPUT!N2314="","",INPUT!N2314)</f>
        <v>M</v>
      </c>
      <c r="G2319" t="str" cm="1">
        <f t="array" ref="G2319">IFERROR(VLOOKUP(INPUT!M2314&amp;INPUT!N2314,CHOOSE({1,2},INPUT!$A$3:$A$5000&amp;INPUT!$C$3:$C$5000,INPUT!$F$3:$F$5000),2,FALSE),"")</f>
        <v>PRE-TEMPORADA</v>
      </c>
      <c r="H2319" t="str" cm="1">
        <f t="array" ref="H2319">IFERROR(VLOOKUP(INPUT!M2314&amp;INPUT!N2314,CHOOSE({1,2},INPUT!$A$3:$A$5000&amp;INPUT!$C$3:$C$5000,INPUT!$D$3:$D$5000),2,FALSE),"")</f>
        <v>TEC-TAC</v>
      </c>
      <c r="I2319" s="46">
        <f>IF(INPUT!P2314="","",INPUT!P2314)</f>
        <v>69</v>
      </c>
      <c r="J2319" s="46">
        <f>IF(INPUT!Q2314="","",INPUT!Q2314)</f>
        <v>68.5</v>
      </c>
      <c r="K2319" s="46">
        <f>IFERROR(IF(OR(INPUT!P2314="",INPUT!Q2314=""),"",INPUT!P2314-INPUT!Q2314),"")</f>
        <v>0.5</v>
      </c>
      <c r="L2319" s="48">
        <f>IFERROR(IF(OR(INPUT!P2314="",INPUT!Q2314="",INPUT!P2314=0),"",(INPUT!P2314-INPUT!Q2314)/INPUT!P2314),"")</f>
        <v>7.246376811594203E-3</v>
      </c>
    </row>
    <row r="2320" spans="1:12" ht="18" hidden="1" customHeight="1" x14ac:dyDescent="0.2">
      <c r="A2320" s="11">
        <f>IF(INPUT!M2315="","",INPUT!M2315)</f>
        <v>46112</v>
      </c>
      <c r="B2320" s="11">
        <f>IF(INPUT!M2315="","",INPUT!M2315-WEEKDAY(INPUT!M2315,2)+1)</f>
        <v>46111</v>
      </c>
      <c r="C2320" s="20">
        <f>IFERROR(_xlfn.ISOWEEKNUM(INPUT!M2315),"")</f>
        <v>14</v>
      </c>
      <c r="D2320" s="20">
        <f>IFERROR(YEAR(INPUT!M2315),"")</f>
        <v>2026</v>
      </c>
      <c r="E2320" t="str">
        <f>IF(INPUT!O2315="","",INPUT!O2315)</f>
        <v>RAUL</v>
      </c>
      <c r="F2320" t="str">
        <f>IF(INPUT!N2315="","",INPUT!N2315)</f>
        <v>M</v>
      </c>
      <c r="G2320" t="str" cm="1">
        <f t="array" ref="G2320">IFERROR(VLOOKUP(INPUT!M2315&amp;INPUT!N2315,CHOOSE({1,2},INPUT!$A$3:$A$5000&amp;INPUT!$C$3:$C$5000,INPUT!$F$3:$F$5000),2,FALSE),"")</f>
        <v>PRE-TEMPORADA</v>
      </c>
      <c r="H2320" t="str" cm="1">
        <f t="array" ref="H2320">IFERROR(VLOOKUP(INPUT!M2315&amp;INPUT!N2315,CHOOSE({1,2},INPUT!$A$3:$A$5000&amp;INPUT!$C$3:$C$5000,INPUT!$D$3:$D$5000),2,FALSE),"")</f>
        <v>TEC-TAC</v>
      </c>
      <c r="I2320" s="46">
        <f>IF(INPUT!P2315="","",INPUT!P2315)</f>
        <v>81.599999999999994</v>
      </c>
      <c r="J2320" s="46">
        <f>IF(INPUT!Q2315="","",INPUT!Q2315)</f>
        <v>82</v>
      </c>
      <c r="K2320" s="46">
        <f>IFERROR(IF(OR(INPUT!P2315="",INPUT!Q2315=""),"",INPUT!P2315-INPUT!Q2315),"")</f>
        <v>-0.40000000000000568</v>
      </c>
      <c r="L2320" s="48">
        <f>IFERROR(IF(OR(INPUT!P2315="",INPUT!Q2315="",INPUT!P2315=0),"",(INPUT!P2315-INPUT!Q2315)/INPUT!P2315),"")</f>
        <v>-4.9019607843137957E-3</v>
      </c>
    </row>
    <row r="2321" spans="1:12" ht="18" hidden="1" customHeight="1" x14ac:dyDescent="0.2">
      <c r="A2321" s="11">
        <f>IF(INPUT!M2316="","",INPUT!M2316)</f>
        <v>46112</v>
      </c>
      <c r="B2321" s="11">
        <f>IF(INPUT!M2316="","",INPUT!M2316-WEEKDAY(INPUT!M2316,2)+1)</f>
        <v>46111</v>
      </c>
      <c r="C2321" s="20">
        <f>IFERROR(_xlfn.ISOWEEKNUM(INPUT!M2316),"")</f>
        <v>14</v>
      </c>
      <c r="D2321" s="20">
        <f>IFERROR(YEAR(INPUT!M2316),"")</f>
        <v>2026</v>
      </c>
      <c r="E2321" t="str">
        <f>IF(INPUT!O2316="","",INPUT!O2316)</f>
        <v>HARRISON</v>
      </c>
      <c r="F2321" t="str">
        <f>IF(INPUT!N2316="","",INPUT!N2316)</f>
        <v>M</v>
      </c>
      <c r="G2321" t="str" cm="1">
        <f t="array" ref="G2321">IFERROR(VLOOKUP(INPUT!M2316&amp;INPUT!N2316,CHOOSE({1,2},INPUT!$A$3:$A$5000&amp;INPUT!$C$3:$C$5000,INPUT!$F$3:$F$5000),2,FALSE),"")</f>
        <v>PRE-TEMPORADA</v>
      </c>
      <c r="H2321" t="str" cm="1">
        <f t="array" ref="H2321">IFERROR(VLOOKUP(INPUT!M2316&amp;INPUT!N2316,CHOOSE({1,2},INPUT!$A$3:$A$5000&amp;INPUT!$C$3:$C$5000,INPUT!$D$3:$D$5000),2,FALSE),"")</f>
        <v>TEC-TAC</v>
      </c>
      <c r="I2321" s="46">
        <f>IF(INPUT!P2316="","",INPUT!P2316)</f>
        <v>72</v>
      </c>
      <c r="J2321" s="46">
        <f>IF(INPUT!Q2316="","",INPUT!Q2316)</f>
        <v>72</v>
      </c>
      <c r="K2321" s="46">
        <f>IFERROR(IF(OR(INPUT!P2316="",INPUT!Q2316=""),"",INPUT!P2316-INPUT!Q2316),"")</f>
        <v>0</v>
      </c>
      <c r="L2321" s="48">
        <f>IFERROR(IF(OR(INPUT!P2316="",INPUT!Q2316="",INPUT!P2316=0),"",(INPUT!P2316-INPUT!Q2316)/INPUT!P2316),"")</f>
        <v>0</v>
      </c>
    </row>
    <row r="2322" spans="1:12" ht="18" hidden="1" customHeight="1" x14ac:dyDescent="0.2">
      <c r="A2322" s="11">
        <f>IF(INPUT!M2317="","",INPUT!M2317)</f>
        <v>46112</v>
      </c>
      <c r="B2322" s="11">
        <f>IF(INPUT!M2317="","",INPUT!M2317-WEEKDAY(INPUT!M2317,2)+1)</f>
        <v>46111</v>
      </c>
      <c r="C2322" s="20">
        <f>IFERROR(_xlfn.ISOWEEKNUM(INPUT!M2317),"")</f>
        <v>14</v>
      </c>
      <c r="D2322" s="20">
        <f>IFERROR(YEAR(INPUT!M2317),"")</f>
        <v>2026</v>
      </c>
      <c r="E2322" t="str">
        <f>IF(INPUT!O2317="","",INPUT!O2317)</f>
        <v>RAYA</v>
      </c>
      <c r="F2322" t="str">
        <f>IF(INPUT!N2317="","",INPUT!N2317)</f>
        <v>M</v>
      </c>
      <c r="G2322" t="str" cm="1">
        <f t="array" ref="G2322">IFERROR(VLOOKUP(INPUT!M2317&amp;INPUT!N2317,CHOOSE({1,2},INPUT!$A$3:$A$5000&amp;INPUT!$C$3:$C$5000,INPUT!$F$3:$F$5000),2,FALSE),"")</f>
        <v>PRE-TEMPORADA</v>
      </c>
      <c r="H2322" t="str" cm="1">
        <f t="array" ref="H2322">IFERROR(VLOOKUP(INPUT!M2317&amp;INPUT!N2317,CHOOSE({1,2},INPUT!$A$3:$A$5000&amp;INPUT!$C$3:$C$5000,INPUT!$D$3:$D$5000),2,FALSE),"")</f>
        <v>TEC-TAC</v>
      </c>
      <c r="I2322" s="46">
        <f>IF(INPUT!P2317="","",INPUT!P2317)</f>
        <v>81.5</v>
      </c>
      <c r="J2322" s="46">
        <f>IF(INPUT!Q2317="","",INPUT!Q2317)</f>
        <v>81</v>
      </c>
      <c r="K2322" s="46">
        <f>IFERROR(IF(OR(INPUT!P2317="",INPUT!Q2317=""),"",INPUT!P2317-INPUT!Q2317),"")</f>
        <v>0.5</v>
      </c>
      <c r="L2322" s="48">
        <f>IFERROR(IF(OR(INPUT!P2317="",INPUT!Q2317="",INPUT!P2317=0),"",(INPUT!P2317-INPUT!Q2317)/INPUT!P2317),"")</f>
        <v>6.1349693251533744E-3</v>
      </c>
    </row>
    <row r="2323" spans="1:12" ht="18" hidden="1" customHeight="1" x14ac:dyDescent="0.2">
      <c r="A2323" s="11">
        <f>IF(INPUT!M2318="","",INPUT!M2318)</f>
        <v>46112</v>
      </c>
      <c r="B2323" s="11">
        <f>IF(INPUT!M2318="","",INPUT!M2318-WEEKDAY(INPUT!M2318,2)+1)</f>
        <v>46111</v>
      </c>
      <c r="C2323" s="20">
        <f>IFERROR(_xlfn.ISOWEEKNUM(INPUT!M2318),"")</f>
        <v>14</v>
      </c>
      <c r="D2323" s="20">
        <f>IFERROR(YEAR(INPUT!M2318),"")</f>
        <v>2026</v>
      </c>
      <c r="E2323" t="str">
        <f>IF(INPUT!O2318="","",INPUT!O2318)</f>
        <v>JAVI</v>
      </c>
      <c r="F2323" t="str">
        <f>IF(INPUT!N2318="","",INPUT!N2318)</f>
        <v>M</v>
      </c>
      <c r="G2323" t="str" cm="1">
        <f t="array" ref="G2323">IFERROR(VLOOKUP(INPUT!M2318&amp;INPUT!N2318,CHOOSE({1,2},INPUT!$A$3:$A$5000&amp;INPUT!$C$3:$C$5000,INPUT!$F$3:$F$5000),2,FALSE),"")</f>
        <v>PRE-TEMPORADA</v>
      </c>
      <c r="H2323" t="str" cm="1">
        <f t="array" ref="H2323">IFERROR(VLOOKUP(INPUT!M2318&amp;INPUT!N2318,CHOOSE({1,2},INPUT!$A$3:$A$5000&amp;INPUT!$C$3:$C$5000,INPUT!$D$3:$D$5000),2,FALSE),"")</f>
        <v>TEC-TAC</v>
      </c>
      <c r="I2323" s="46">
        <f>IF(INPUT!P2318="","",INPUT!P2318)</f>
        <v>79.3</v>
      </c>
      <c r="J2323" s="46">
        <f>IF(INPUT!Q2318="","",INPUT!Q2318)</f>
        <v>79.2</v>
      </c>
      <c r="K2323" s="46">
        <f>IFERROR(IF(OR(INPUT!P2318="",INPUT!Q2318=""),"",INPUT!P2318-INPUT!Q2318),"")</f>
        <v>9.9999999999994316E-2</v>
      </c>
      <c r="L2323" s="48">
        <f>IFERROR(IF(OR(INPUT!P2318="",INPUT!Q2318="",INPUT!P2318=0),"",(INPUT!P2318-INPUT!Q2318)/INPUT!P2318),"")</f>
        <v>1.2610340479192223E-3</v>
      </c>
    </row>
    <row r="2324" spans="1:12" ht="18" hidden="1" customHeight="1" x14ac:dyDescent="0.2">
      <c r="A2324" s="11">
        <f>IF(INPUT!M2319="","",INPUT!M2319)</f>
        <v>46112</v>
      </c>
      <c r="B2324" s="11">
        <f>IF(INPUT!M2319="","",INPUT!M2319-WEEKDAY(INPUT!M2319,2)+1)</f>
        <v>46111</v>
      </c>
      <c r="C2324" s="20">
        <f>IFERROR(_xlfn.ISOWEEKNUM(INPUT!M2319),"")</f>
        <v>14</v>
      </c>
      <c r="D2324" s="20">
        <f>IFERROR(YEAR(INPUT!M2319),"")</f>
        <v>2026</v>
      </c>
      <c r="E2324" t="str">
        <f>IF(INPUT!O2319="","",INPUT!O2319)</f>
        <v>PANI</v>
      </c>
      <c r="F2324" t="str">
        <f>IF(INPUT!N2319="","",INPUT!N2319)</f>
        <v>M</v>
      </c>
      <c r="G2324" t="str" cm="1">
        <f t="array" ref="G2324">IFERROR(VLOOKUP(INPUT!M2319&amp;INPUT!N2319,CHOOSE({1,2},INPUT!$A$3:$A$5000&amp;INPUT!$C$3:$C$5000,INPUT!$F$3:$F$5000),2,FALSE),"")</f>
        <v>PRE-TEMPORADA</v>
      </c>
      <c r="H2324" t="str" cm="1">
        <f t="array" ref="H2324">IFERROR(VLOOKUP(INPUT!M2319&amp;INPUT!N2319,CHOOSE({1,2},INPUT!$A$3:$A$5000&amp;INPUT!$C$3:$C$5000,INPUT!$D$3:$D$5000),2,FALSE),"")</f>
        <v>TEC-TAC</v>
      </c>
      <c r="I2324" s="46">
        <f>IF(INPUT!P2319="","",INPUT!P2319)</f>
        <v>67.5</v>
      </c>
      <c r="J2324" s="46">
        <f>IF(INPUT!Q2319="","",INPUT!Q2319)</f>
        <v>66.099999999999994</v>
      </c>
      <c r="K2324" s="46">
        <f>IFERROR(IF(OR(INPUT!P2319="",INPUT!Q2319=""),"",INPUT!P2319-INPUT!Q2319),"")</f>
        <v>1.4000000000000057</v>
      </c>
      <c r="L2324" s="48">
        <f>IFERROR(IF(OR(INPUT!P2319="",INPUT!Q2319="",INPUT!P2319=0),"",(INPUT!P2319-INPUT!Q2319)/INPUT!P2319),"")</f>
        <v>2.0740740740740823E-2</v>
      </c>
    </row>
    <row r="2325" spans="1:12" ht="18" hidden="1" customHeight="1" x14ac:dyDescent="0.2">
      <c r="A2325" s="11">
        <f>IF(INPUT!M2320="","",INPUT!M2320)</f>
        <v>46112</v>
      </c>
      <c r="B2325" s="11">
        <f>IF(INPUT!M2320="","",INPUT!M2320-WEEKDAY(INPUT!M2320,2)+1)</f>
        <v>46111</v>
      </c>
      <c r="C2325" s="20">
        <f>IFERROR(_xlfn.ISOWEEKNUM(INPUT!M2320),"")</f>
        <v>14</v>
      </c>
      <c r="D2325" s="20">
        <f>IFERROR(YEAR(INPUT!M2320),"")</f>
        <v>2026</v>
      </c>
      <c r="E2325" t="str">
        <f>IF(INPUT!O2320="","",INPUT!O2320)</f>
        <v>PIRATA</v>
      </c>
      <c r="F2325" t="str">
        <f>IF(INPUT!N2320="","",INPUT!N2320)</f>
        <v>M</v>
      </c>
      <c r="G2325" t="str" cm="1">
        <f t="array" ref="G2325">IFERROR(VLOOKUP(INPUT!M2320&amp;INPUT!N2320,CHOOSE({1,2},INPUT!$A$3:$A$5000&amp;INPUT!$C$3:$C$5000,INPUT!$F$3:$F$5000),2,FALSE),"")</f>
        <v>PRE-TEMPORADA</v>
      </c>
      <c r="H2325" t="str" cm="1">
        <f t="array" ref="H2325">IFERROR(VLOOKUP(INPUT!M2320&amp;INPUT!N2320,CHOOSE({1,2},INPUT!$A$3:$A$5000&amp;INPUT!$C$3:$C$5000,INPUT!$D$3:$D$5000),2,FALSE),"")</f>
        <v>TEC-TAC</v>
      </c>
      <c r="I2325" s="46">
        <f>IF(INPUT!P2320="","",INPUT!P2320)</f>
        <v>75.900000000000006</v>
      </c>
      <c r="J2325" s="46">
        <f>IF(INPUT!Q2320="","",INPUT!Q2320)</f>
        <v>75.8</v>
      </c>
      <c r="K2325" s="46">
        <f>IFERROR(IF(OR(INPUT!P2320="",INPUT!Q2320=""),"",INPUT!P2320-INPUT!Q2320),"")</f>
        <v>0.10000000000000853</v>
      </c>
      <c r="L2325" s="48">
        <f>IFERROR(IF(OR(INPUT!P2320="",INPUT!Q2320="",INPUT!P2320=0),"",(INPUT!P2320-INPUT!Q2320)/INPUT!P2320),"")</f>
        <v>1.3175230566536036E-3</v>
      </c>
    </row>
    <row r="2326" spans="1:12" ht="18" hidden="1" customHeight="1" x14ac:dyDescent="0.2">
      <c r="A2326" s="11">
        <f>IF(INPUT!M2321="","",INPUT!M2321)</f>
        <v>46112</v>
      </c>
      <c r="B2326" s="11">
        <f>IF(INPUT!M2321="","",INPUT!M2321-WEEKDAY(INPUT!M2321,2)+1)</f>
        <v>46111</v>
      </c>
      <c r="C2326" s="20">
        <f>IFERROR(_xlfn.ISOWEEKNUM(INPUT!M2321),"")</f>
        <v>14</v>
      </c>
      <c r="D2326" s="20">
        <f>IFERROR(YEAR(INPUT!M2321),"")</f>
        <v>2026</v>
      </c>
      <c r="E2326" t="str">
        <f>IF(INPUT!O2321="","",INPUT!O2321)</f>
        <v>BARONA</v>
      </c>
      <c r="F2326" t="str">
        <f>IF(INPUT!N2321="","",INPUT!N2321)</f>
        <v>M</v>
      </c>
      <c r="G2326" t="str" cm="1">
        <f t="array" ref="G2326">IFERROR(VLOOKUP(INPUT!M2321&amp;INPUT!N2321,CHOOSE({1,2},INPUT!$A$3:$A$5000&amp;INPUT!$C$3:$C$5000,INPUT!$F$3:$F$5000),2,FALSE),"")</f>
        <v>PRE-TEMPORADA</v>
      </c>
      <c r="H2326" t="str" cm="1">
        <f t="array" ref="H2326">IFERROR(VLOOKUP(INPUT!M2321&amp;INPUT!N2321,CHOOSE({1,2},INPUT!$A$3:$A$5000&amp;INPUT!$C$3:$C$5000,INPUT!$D$3:$D$5000),2,FALSE),"")</f>
        <v>TEC-TAC</v>
      </c>
      <c r="I2326" s="46">
        <f>IF(INPUT!P2321="","",INPUT!P2321)</f>
        <v>71</v>
      </c>
      <c r="J2326" s="46">
        <f>IF(INPUT!Q2321="","",INPUT!Q2321)</f>
        <v>71</v>
      </c>
      <c r="K2326" s="46">
        <f>IFERROR(IF(OR(INPUT!P2321="",INPUT!Q2321=""),"",INPUT!P2321-INPUT!Q2321),"")</f>
        <v>0</v>
      </c>
      <c r="L2326" s="48">
        <f>IFERROR(IF(OR(INPUT!P2321="",INPUT!Q2321="",INPUT!P2321=0),"",(INPUT!P2321-INPUT!Q2321)/INPUT!P2321),"")</f>
        <v>0</v>
      </c>
    </row>
    <row r="2327" spans="1:12" ht="18" hidden="1" customHeight="1" x14ac:dyDescent="0.2">
      <c r="A2327" s="11">
        <f>IF(INPUT!M2322="","",INPUT!M2322)</f>
        <v>46112</v>
      </c>
      <c r="B2327" s="11">
        <f>IF(INPUT!M2322="","",INPUT!M2322-WEEKDAY(INPUT!M2322,2)+1)</f>
        <v>46111</v>
      </c>
      <c r="C2327" s="20">
        <f>IFERROR(_xlfn.ISOWEEKNUM(INPUT!M2322),"")</f>
        <v>14</v>
      </c>
      <c r="D2327" s="20">
        <f>IFERROR(YEAR(INPUT!M2322),"")</f>
        <v>2026</v>
      </c>
      <c r="E2327" t="str">
        <f>IF(INPUT!O2322="","",INPUT!O2322)</f>
        <v>RUBIO</v>
      </c>
      <c r="F2327" t="str">
        <f>IF(INPUT!N2322="","",INPUT!N2322)</f>
        <v>M</v>
      </c>
      <c r="G2327" t="str" cm="1">
        <f t="array" ref="G2327">IFERROR(VLOOKUP(INPUT!M2322&amp;INPUT!N2322,CHOOSE({1,2},INPUT!$A$3:$A$5000&amp;INPUT!$C$3:$C$5000,INPUT!$F$3:$F$5000),2,FALSE),"")</f>
        <v>PRE-TEMPORADA</v>
      </c>
      <c r="H2327" t="str" cm="1">
        <f t="array" ref="H2327">IFERROR(VLOOKUP(INPUT!M2322&amp;INPUT!N2322,CHOOSE({1,2},INPUT!$A$3:$A$5000&amp;INPUT!$C$3:$C$5000,INPUT!$D$3:$D$5000),2,FALSE),"")</f>
        <v>TEC-TAC</v>
      </c>
      <c r="I2327" s="46">
        <f>IF(INPUT!P2322="","",INPUT!P2322)</f>
        <v>74.5</v>
      </c>
      <c r="J2327" s="46">
        <f>IF(INPUT!Q2322="","",INPUT!Q2322)</f>
        <v>74.599999999999994</v>
      </c>
      <c r="K2327" s="46">
        <f>IFERROR(IF(OR(INPUT!P2322="",INPUT!Q2322=""),"",INPUT!P2322-INPUT!Q2322),"")</f>
        <v>-9.9999999999994316E-2</v>
      </c>
      <c r="L2327" s="48">
        <f>IFERROR(IF(OR(INPUT!P2322="",INPUT!Q2322="",INPUT!P2322=0),"",(INPUT!P2322-INPUT!Q2322)/INPUT!P2322),"")</f>
        <v>-1.3422818791945545E-3</v>
      </c>
    </row>
    <row r="2328" spans="1:12" ht="18" hidden="1" customHeight="1" x14ac:dyDescent="0.2">
      <c r="A2328" s="11">
        <f>IF(INPUT!M2323="","",INPUT!M2323)</f>
        <v>46112</v>
      </c>
      <c r="B2328" s="11">
        <f>IF(INPUT!M2323="","",INPUT!M2323-WEEKDAY(INPUT!M2323,2)+1)</f>
        <v>46111</v>
      </c>
      <c r="C2328" s="20">
        <f>IFERROR(_xlfn.ISOWEEKNUM(INPUT!M2323),"")</f>
        <v>14</v>
      </c>
      <c r="D2328" s="20">
        <f>IFERROR(YEAR(INPUT!M2323),"")</f>
        <v>2026</v>
      </c>
      <c r="E2328" t="str">
        <f>IF(INPUT!O2323="","",INPUT!O2323)</f>
        <v>DANI</v>
      </c>
      <c r="F2328" t="str">
        <f>IF(INPUT!N2323="","",INPUT!N2323)</f>
        <v>M</v>
      </c>
      <c r="G2328" t="str" cm="1">
        <f t="array" ref="G2328">IFERROR(VLOOKUP(INPUT!M2323&amp;INPUT!N2323,CHOOSE({1,2},INPUT!$A$3:$A$5000&amp;INPUT!$C$3:$C$5000,INPUT!$F$3:$F$5000),2,FALSE),"")</f>
        <v>PRE-TEMPORADA</v>
      </c>
      <c r="H2328" t="str" cm="1">
        <f t="array" ref="H2328">IFERROR(VLOOKUP(INPUT!M2323&amp;INPUT!N2323,CHOOSE({1,2},INPUT!$A$3:$A$5000&amp;INPUT!$C$3:$C$5000,INPUT!$D$3:$D$5000),2,FALSE),"")</f>
        <v>TEC-TAC</v>
      </c>
      <c r="I2328" s="46">
        <f>IF(INPUT!P2323="","",INPUT!P2323)</f>
        <v>90</v>
      </c>
      <c r="J2328" s="46">
        <f>IF(INPUT!Q2323="","",INPUT!Q2323)</f>
        <v>89.3</v>
      </c>
      <c r="K2328" s="46">
        <f>IFERROR(IF(OR(INPUT!P2323="",INPUT!Q2323=""),"",INPUT!P2323-INPUT!Q2323),"")</f>
        <v>0.70000000000000284</v>
      </c>
      <c r="L2328" s="48">
        <f>IFERROR(IF(OR(INPUT!P2323="",INPUT!Q2323="",INPUT!P2323=0),"",(INPUT!P2323-INPUT!Q2323)/INPUT!P2323),"")</f>
        <v>7.7777777777778096E-3</v>
      </c>
    </row>
    <row r="2329" spans="1:12" ht="18" hidden="1" customHeight="1" x14ac:dyDescent="0.2">
      <c r="A2329" s="11">
        <f>IF(INPUT!M2324="","",INPUT!M2324)</f>
        <v>46112</v>
      </c>
      <c r="B2329" s="11">
        <f>IF(INPUT!M2324="","",INPUT!M2324-WEEKDAY(INPUT!M2324,2)+1)</f>
        <v>46111</v>
      </c>
      <c r="C2329" s="20">
        <f>IFERROR(_xlfn.ISOWEEKNUM(INPUT!M2324),"")</f>
        <v>14</v>
      </c>
      <c r="D2329" s="20">
        <f>IFERROR(YEAR(INPUT!M2324),"")</f>
        <v>2026</v>
      </c>
      <c r="E2329" t="str">
        <f>IF(INPUT!O2324="","",INPUT!O2324)</f>
        <v>JAIME</v>
      </c>
      <c r="F2329" t="str">
        <f>IF(INPUT!N2324="","",INPUT!N2324)</f>
        <v>M</v>
      </c>
      <c r="G2329" t="str" cm="1">
        <f t="array" ref="G2329">IFERROR(VLOOKUP(INPUT!M2324&amp;INPUT!N2324,CHOOSE({1,2},INPUT!$A$3:$A$5000&amp;INPUT!$C$3:$C$5000,INPUT!$F$3:$F$5000),2,FALSE),"")</f>
        <v>PRE-TEMPORADA</v>
      </c>
      <c r="H2329" t="str" cm="1">
        <f t="array" ref="H2329">IFERROR(VLOOKUP(INPUT!M2324&amp;INPUT!N2324,CHOOSE({1,2},INPUT!$A$3:$A$5000&amp;INPUT!$C$3:$C$5000,INPUT!$D$3:$D$5000),2,FALSE),"")</f>
        <v>TEC-TAC</v>
      </c>
      <c r="I2329" s="46">
        <f>IF(INPUT!P2324="","",INPUT!P2324)</f>
        <v>76.400000000000006</v>
      </c>
      <c r="J2329" s="46">
        <f>IF(INPUT!Q2324="","",INPUT!Q2324)</f>
        <v>76.5</v>
      </c>
      <c r="K2329" s="46">
        <f>IFERROR(IF(OR(INPUT!P2324="",INPUT!Q2324=""),"",INPUT!P2324-INPUT!Q2324),"")</f>
        <v>-9.9999999999994316E-2</v>
      </c>
      <c r="L2329" s="48">
        <f>IFERROR(IF(OR(INPUT!P2324="",INPUT!Q2324="",INPUT!P2324=0),"",(INPUT!P2324-INPUT!Q2324)/INPUT!P2324),"")</f>
        <v>-1.3089005235601349E-3</v>
      </c>
    </row>
    <row r="2330" spans="1:12" ht="18" hidden="1" customHeight="1" x14ac:dyDescent="0.2">
      <c r="A2330" s="11">
        <f>IF(INPUT!M2325="","",INPUT!M2325)</f>
        <v>46113</v>
      </c>
      <c r="B2330" s="11">
        <f>IF(INPUT!M2325="","",INPUT!M2325-WEEKDAY(INPUT!M2325,2)+1)</f>
        <v>46111</v>
      </c>
      <c r="C2330" s="20">
        <f>IFERROR(_xlfn.ISOWEEKNUM(INPUT!M2325),"")</f>
        <v>14</v>
      </c>
      <c r="D2330" s="20">
        <f>IFERROR(YEAR(INPUT!M2325),"")</f>
        <v>2026</v>
      </c>
      <c r="E2330" t="str">
        <f>IF(INPUT!O2325="","",INPUT!O2325)</f>
        <v>HERRERO</v>
      </c>
      <c r="F2330" t="str">
        <f>IF(INPUT!N2325="","",INPUT!N2325)</f>
        <v>M</v>
      </c>
      <c r="G2330" t="str" cm="1">
        <f t="array" ref="G2330">IFERROR(VLOOKUP(INPUT!M2325&amp;INPUT!N2325,CHOOSE({1,2},INPUT!$A$3:$A$5000&amp;INPUT!$C$3:$C$5000,INPUT!$F$3:$F$5000),2,FALSE),"")</f>
        <v>PRE-TEMPORADA</v>
      </c>
      <c r="H2330" t="str" cm="1">
        <f t="array" ref="H2330">IFERROR(VLOOKUP(INPUT!M2325&amp;INPUT!N2325,CHOOSE({1,2},INPUT!$A$3:$A$5000&amp;INPUT!$C$3:$C$5000,INPUT!$D$3:$D$5000),2,FALSE),"")</f>
        <v>GYM+TEC-TAC</v>
      </c>
      <c r="I2330" s="46">
        <f>IF(INPUT!P2325="","",INPUT!P2325)</f>
        <v>77</v>
      </c>
      <c r="J2330" s="46">
        <f>IF(INPUT!Q2325="","",INPUT!Q2325)</f>
        <v>76.8</v>
      </c>
      <c r="K2330" s="46">
        <f>IFERROR(IF(OR(INPUT!P2325="",INPUT!Q2325=""),"",INPUT!P2325-INPUT!Q2325),"")</f>
        <v>0.20000000000000284</v>
      </c>
      <c r="L2330" s="48">
        <f>IFERROR(IF(OR(INPUT!P2325="",INPUT!Q2325="",INPUT!P2325=0),"",(INPUT!P2325-INPUT!Q2325)/INPUT!P2325),"")</f>
        <v>2.5974025974026343E-3</v>
      </c>
    </row>
    <row r="2331" spans="1:12" ht="18" hidden="1" customHeight="1" x14ac:dyDescent="0.2">
      <c r="A2331" s="11">
        <f>IF(INPUT!M2326="","",INPUT!M2326)</f>
        <v>46113</v>
      </c>
      <c r="B2331" s="11">
        <f>IF(INPUT!M2326="","",INPUT!M2326-WEEKDAY(INPUT!M2326,2)+1)</f>
        <v>46111</v>
      </c>
      <c r="C2331" s="20">
        <f>IFERROR(_xlfn.ISOWEEKNUM(INPUT!M2326),"")</f>
        <v>14</v>
      </c>
      <c r="D2331" s="20">
        <f>IFERROR(YEAR(INPUT!M2326),"")</f>
        <v>2026</v>
      </c>
      <c r="E2331" t="str">
        <f>IF(INPUT!O2326="","",INPUT!O2326)</f>
        <v>GARCIA</v>
      </c>
      <c r="F2331" t="str">
        <f>IF(INPUT!N2326="","",INPUT!N2326)</f>
        <v>M</v>
      </c>
      <c r="G2331" t="str" cm="1">
        <f t="array" ref="G2331">IFERROR(VLOOKUP(INPUT!M2326&amp;INPUT!N2326,CHOOSE({1,2},INPUT!$A$3:$A$5000&amp;INPUT!$C$3:$C$5000,INPUT!$F$3:$F$5000),2,FALSE),"")</f>
        <v>PRE-TEMPORADA</v>
      </c>
      <c r="H2331" t="str" cm="1">
        <f t="array" ref="H2331">IFERROR(VLOOKUP(INPUT!M2326&amp;INPUT!N2326,CHOOSE({1,2},INPUT!$A$3:$A$5000&amp;INPUT!$C$3:$C$5000,INPUT!$D$3:$D$5000),2,FALSE),"")</f>
        <v>GYM+TEC-TAC</v>
      </c>
      <c r="I2331" s="46">
        <f>IF(INPUT!P2326="","",INPUT!P2326)</f>
        <v>79</v>
      </c>
      <c r="J2331" s="46">
        <f>IF(INPUT!Q2326="","",INPUT!Q2326)</f>
        <v>79</v>
      </c>
      <c r="K2331" s="46">
        <f>IFERROR(IF(OR(INPUT!P2326="",INPUT!Q2326=""),"",INPUT!P2326-INPUT!Q2326),"")</f>
        <v>0</v>
      </c>
      <c r="L2331" s="48">
        <f>IFERROR(IF(OR(INPUT!P2326="",INPUT!Q2326="",INPUT!P2326=0),"",(INPUT!P2326-INPUT!Q2326)/INPUT!P2326),"")</f>
        <v>0</v>
      </c>
    </row>
    <row r="2332" spans="1:12" ht="18" hidden="1" customHeight="1" x14ac:dyDescent="0.2">
      <c r="A2332" s="11">
        <f>IF(INPUT!M2327="","",INPUT!M2327)</f>
        <v>46113</v>
      </c>
      <c r="B2332" s="11">
        <f>IF(INPUT!M2327="","",INPUT!M2327-WEEKDAY(INPUT!M2327,2)+1)</f>
        <v>46111</v>
      </c>
      <c r="C2332" s="20">
        <f>IFERROR(_xlfn.ISOWEEKNUM(INPUT!M2327),"")</f>
        <v>14</v>
      </c>
      <c r="D2332" s="20">
        <f>IFERROR(YEAR(INPUT!M2327),"")</f>
        <v>2026</v>
      </c>
      <c r="E2332" t="str">
        <f>IF(INPUT!O2327="","",INPUT!O2327)</f>
        <v>CECILIO</v>
      </c>
      <c r="F2332" t="str">
        <f>IF(INPUT!N2327="","",INPUT!N2327)</f>
        <v>M</v>
      </c>
      <c r="G2332" t="str" cm="1">
        <f t="array" ref="G2332">IFERROR(VLOOKUP(INPUT!M2327&amp;INPUT!N2327,CHOOSE({1,2},INPUT!$A$3:$A$5000&amp;INPUT!$C$3:$C$5000,INPUT!$F$3:$F$5000),2,FALSE),"")</f>
        <v>PRE-TEMPORADA</v>
      </c>
      <c r="H2332" t="str" cm="1">
        <f t="array" ref="H2332">IFERROR(VLOOKUP(INPUT!M2327&amp;INPUT!N2327,CHOOSE({1,2},INPUT!$A$3:$A$5000&amp;INPUT!$C$3:$C$5000,INPUT!$D$3:$D$5000),2,FALSE),"")</f>
        <v>GYM+TEC-TAC</v>
      </c>
      <c r="I2332" s="46">
        <f>IF(INPUT!P2327="","",INPUT!P2327)</f>
        <v>67.900000000000006</v>
      </c>
      <c r="J2332" s="46">
        <f>IF(INPUT!Q2327="","",INPUT!Q2327)</f>
        <v>67.5</v>
      </c>
      <c r="K2332" s="46">
        <f>IFERROR(IF(OR(INPUT!P2327="",INPUT!Q2327=""),"",INPUT!P2327-INPUT!Q2327),"")</f>
        <v>0.40000000000000568</v>
      </c>
      <c r="L2332" s="48">
        <f>IFERROR(IF(OR(INPUT!P2327="",INPUT!Q2327="",INPUT!P2327=0),"",(INPUT!P2327-INPUT!Q2327)/INPUT!P2327),"")</f>
        <v>5.891016200294634E-3</v>
      </c>
    </row>
    <row r="2333" spans="1:12" ht="18" hidden="1" customHeight="1" x14ac:dyDescent="0.2">
      <c r="A2333" s="11">
        <f>IF(INPUT!M2328="","",INPUT!M2328)</f>
        <v>46113</v>
      </c>
      <c r="B2333" s="11">
        <f>IF(INPUT!M2328="","",INPUT!M2328-WEEKDAY(INPUT!M2328,2)+1)</f>
        <v>46111</v>
      </c>
      <c r="C2333" s="20">
        <f>IFERROR(_xlfn.ISOWEEKNUM(INPUT!M2328),"")</f>
        <v>14</v>
      </c>
      <c r="D2333" s="20">
        <f>IFERROR(YEAR(INPUT!M2328),"")</f>
        <v>2026</v>
      </c>
      <c r="E2333" t="str">
        <f>IF(INPUT!O2328="","",INPUT!O2328)</f>
        <v>CHAGUINHA</v>
      </c>
      <c r="F2333" t="str">
        <f>IF(INPUT!N2328="","",INPUT!N2328)</f>
        <v>M</v>
      </c>
      <c r="G2333" t="str" cm="1">
        <f t="array" ref="G2333">IFERROR(VLOOKUP(INPUT!M2328&amp;INPUT!N2328,CHOOSE({1,2},INPUT!$A$3:$A$5000&amp;INPUT!$C$3:$C$5000,INPUT!$F$3:$F$5000),2,FALSE),"")</f>
        <v>PRE-TEMPORADA</v>
      </c>
      <c r="H2333" t="str" cm="1">
        <f t="array" ref="H2333">IFERROR(VLOOKUP(INPUT!M2328&amp;INPUT!N2328,CHOOSE({1,2},INPUT!$A$3:$A$5000&amp;INPUT!$C$3:$C$5000,INPUT!$D$3:$D$5000),2,FALSE),"")</f>
        <v>GYM+TEC-TAC</v>
      </c>
      <c r="I2333" s="46">
        <f>IF(INPUT!P2328="","",INPUT!P2328)</f>
        <v>69</v>
      </c>
      <c r="J2333" s="46">
        <f>IF(INPUT!Q2328="","",INPUT!Q2328)</f>
        <v>68.5</v>
      </c>
      <c r="K2333" s="46">
        <f>IFERROR(IF(OR(INPUT!P2328="",INPUT!Q2328=""),"",INPUT!P2328-INPUT!Q2328),"")</f>
        <v>0.5</v>
      </c>
      <c r="L2333" s="48">
        <f>IFERROR(IF(OR(INPUT!P2328="",INPUT!Q2328="",INPUT!P2328=0),"",(INPUT!P2328-INPUT!Q2328)/INPUT!P2328),"")</f>
        <v>7.246376811594203E-3</v>
      </c>
    </row>
    <row r="2334" spans="1:12" ht="18" hidden="1" customHeight="1" x14ac:dyDescent="0.2">
      <c r="A2334" s="11">
        <f>IF(INPUT!M2329="","",INPUT!M2329)</f>
        <v>46113</v>
      </c>
      <c r="B2334" s="11">
        <f>IF(INPUT!M2329="","",INPUT!M2329-WEEKDAY(INPUT!M2329,2)+1)</f>
        <v>46111</v>
      </c>
      <c r="C2334" s="20">
        <f>IFERROR(_xlfn.ISOWEEKNUM(INPUT!M2329),"")</f>
        <v>14</v>
      </c>
      <c r="D2334" s="20">
        <f>IFERROR(YEAR(INPUT!M2329),"")</f>
        <v>2026</v>
      </c>
      <c r="E2334" t="str">
        <f>IF(INPUT!O2329="","",INPUT!O2329)</f>
        <v>RAUL</v>
      </c>
      <c r="F2334" t="str">
        <f>IF(INPUT!N2329="","",INPUT!N2329)</f>
        <v>M</v>
      </c>
      <c r="G2334" t="str" cm="1">
        <f t="array" ref="G2334">IFERROR(VLOOKUP(INPUT!M2329&amp;INPUT!N2329,CHOOSE({1,2},INPUT!$A$3:$A$5000&amp;INPUT!$C$3:$C$5000,INPUT!$F$3:$F$5000),2,FALSE),"")</f>
        <v>PRE-TEMPORADA</v>
      </c>
      <c r="H2334" t="str" cm="1">
        <f t="array" ref="H2334">IFERROR(VLOOKUP(INPUT!M2329&amp;INPUT!N2329,CHOOSE({1,2},INPUT!$A$3:$A$5000&amp;INPUT!$C$3:$C$5000,INPUT!$D$3:$D$5000),2,FALSE),"")</f>
        <v>GYM+TEC-TAC</v>
      </c>
      <c r="I2334" s="46">
        <f>IF(INPUT!P2329="","",INPUT!P2329)</f>
        <v>81.2</v>
      </c>
      <c r="J2334" s="46">
        <f>IF(INPUT!Q2329="","",INPUT!Q2329)</f>
        <v>81.599999999999994</v>
      </c>
      <c r="K2334" s="46">
        <f>IFERROR(IF(OR(INPUT!P2329="",INPUT!Q2329=""),"",INPUT!P2329-INPUT!Q2329),"")</f>
        <v>-0.39999999999999147</v>
      </c>
      <c r="L2334" s="48">
        <f>IFERROR(IF(OR(INPUT!P2329="",INPUT!Q2329="",INPUT!P2329=0),"",(INPUT!P2329-INPUT!Q2329)/INPUT!P2329),"")</f>
        <v>-4.9261083743841316E-3</v>
      </c>
    </row>
    <row r="2335" spans="1:12" ht="18" hidden="1" customHeight="1" x14ac:dyDescent="0.2">
      <c r="A2335" s="11">
        <f>IF(INPUT!M2330="","",INPUT!M2330)</f>
        <v>46113</v>
      </c>
      <c r="B2335" s="11">
        <f>IF(INPUT!M2330="","",INPUT!M2330-WEEKDAY(INPUT!M2330,2)+1)</f>
        <v>46111</v>
      </c>
      <c r="C2335" s="20">
        <f>IFERROR(_xlfn.ISOWEEKNUM(INPUT!M2330),"")</f>
        <v>14</v>
      </c>
      <c r="D2335" s="20">
        <f>IFERROR(YEAR(INPUT!M2330),"")</f>
        <v>2026</v>
      </c>
      <c r="E2335" t="str">
        <f>IF(INPUT!O2330="","",INPUT!O2330)</f>
        <v>HARRISON</v>
      </c>
      <c r="F2335" t="str">
        <f>IF(INPUT!N2330="","",INPUT!N2330)</f>
        <v>M</v>
      </c>
      <c r="G2335" t="str" cm="1">
        <f t="array" ref="G2335">IFERROR(VLOOKUP(INPUT!M2330&amp;INPUT!N2330,CHOOSE({1,2},INPUT!$A$3:$A$5000&amp;INPUT!$C$3:$C$5000,INPUT!$F$3:$F$5000),2,FALSE),"")</f>
        <v>PRE-TEMPORADA</v>
      </c>
      <c r="H2335" t="str" cm="1">
        <f t="array" ref="H2335">IFERROR(VLOOKUP(INPUT!M2330&amp;INPUT!N2330,CHOOSE({1,2},INPUT!$A$3:$A$5000&amp;INPUT!$C$3:$C$5000,INPUT!$D$3:$D$5000),2,FALSE),"")</f>
        <v>GYM+TEC-TAC</v>
      </c>
      <c r="I2335" s="46">
        <f>IF(INPUT!P2330="","",INPUT!P2330)</f>
        <v>72.7</v>
      </c>
      <c r="J2335" s="46">
        <f>IF(INPUT!Q2330="","",INPUT!Q2330)</f>
        <v>72.3</v>
      </c>
      <c r="K2335" s="46">
        <f>IFERROR(IF(OR(INPUT!P2330="",INPUT!Q2330=""),"",INPUT!P2330-INPUT!Q2330),"")</f>
        <v>0.40000000000000568</v>
      </c>
      <c r="L2335" s="48">
        <f>IFERROR(IF(OR(INPUT!P2330="",INPUT!Q2330="",INPUT!P2330=0),"",(INPUT!P2330-INPUT!Q2330)/INPUT!P2330),"")</f>
        <v>5.502063273727726E-3</v>
      </c>
    </row>
    <row r="2336" spans="1:12" ht="18" customHeight="1" x14ac:dyDescent="0.2">
      <c r="A2336" s="11">
        <f>IF(INPUT!M2331="","",INPUT!M2331)</f>
        <v>46113</v>
      </c>
      <c r="B2336" s="11">
        <f>IF(INPUT!M2331="","",INPUT!M2331-WEEKDAY(INPUT!M2331,2)+1)</f>
        <v>46111</v>
      </c>
      <c r="C2336" s="20">
        <f>IFERROR(_xlfn.ISOWEEKNUM(INPUT!M2331),"")</f>
        <v>14</v>
      </c>
      <c r="D2336" s="20">
        <f>IFERROR(YEAR(INPUT!M2331),"")</f>
        <v>2026</v>
      </c>
      <c r="E2336" t="str">
        <f>IF(INPUT!O2331="","",INPUT!O2331)</f>
        <v>RAYA</v>
      </c>
      <c r="F2336" t="str">
        <f>IF(INPUT!N2331="","",INPUT!N2331)</f>
        <v>M</v>
      </c>
      <c r="G2336" t="str" cm="1">
        <f t="array" ref="G2336">IFERROR(VLOOKUP(INPUT!M2331&amp;INPUT!N2331,CHOOSE({1,2},INPUT!$A$3:$A$5000&amp;INPUT!$C$3:$C$5000,INPUT!$F$3:$F$5000),2,FALSE),"")</f>
        <v>PRE-TEMPORADA</v>
      </c>
      <c r="H2336" t="str" cm="1">
        <f t="array" ref="H2336">IFERROR(VLOOKUP(INPUT!M2331&amp;INPUT!N2331,CHOOSE({1,2},INPUT!$A$3:$A$5000&amp;INPUT!$C$3:$C$5000,INPUT!$D$3:$D$5000),2,FALSE),"")</f>
        <v>GYM+TEC-TAC</v>
      </c>
      <c r="I2336" s="46">
        <f>IF(INPUT!P2331="","",INPUT!P2331)</f>
        <v>80.5</v>
      </c>
      <c r="J2336" s="46">
        <f>IF(INPUT!Q2331="","",INPUT!Q2331)</f>
        <v>80</v>
      </c>
      <c r="K2336" s="46">
        <f>IFERROR(IF(OR(INPUT!P2331="",INPUT!Q2331=""),"",INPUT!P2331-INPUT!Q2331),"")</f>
        <v>0.5</v>
      </c>
      <c r="L2336" s="48">
        <f>IFERROR(IF(OR(INPUT!P2331="",INPUT!Q2331="",INPUT!P2331=0),"",(INPUT!P2331-INPUT!Q2331)/INPUT!P2331),"")</f>
        <v>6.2111801242236021E-3</v>
      </c>
    </row>
    <row r="2337" spans="1:12" ht="18" customHeight="1" x14ac:dyDescent="0.2">
      <c r="A2337" s="11">
        <f>IF(INPUT!M2332="","",INPUT!M2332)</f>
        <v>46113</v>
      </c>
      <c r="B2337" s="11">
        <f>IF(INPUT!M2332="","",INPUT!M2332-WEEKDAY(INPUT!M2332,2)+1)</f>
        <v>46111</v>
      </c>
      <c r="C2337" s="20">
        <f>IFERROR(_xlfn.ISOWEEKNUM(INPUT!M2332),"")</f>
        <v>14</v>
      </c>
      <c r="D2337" s="20">
        <f>IFERROR(YEAR(INPUT!M2332),"")</f>
        <v>2026</v>
      </c>
      <c r="E2337" t="str">
        <f>IF(INPUT!O2332="","",INPUT!O2332)</f>
        <v>JAVI</v>
      </c>
      <c r="F2337" t="str">
        <f>IF(INPUT!N2332="","",INPUT!N2332)</f>
        <v>M</v>
      </c>
      <c r="G2337" t="str" cm="1">
        <f t="array" ref="G2337">IFERROR(VLOOKUP(INPUT!M2332&amp;INPUT!N2332,CHOOSE({1,2},INPUT!$A$3:$A$5000&amp;INPUT!$C$3:$C$5000,INPUT!$F$3:$F$5000),2,FALSE),"")</f>
        <v>PRE-TEMPORADA</v>
      </c>
      <c r="H2337" t="str" cm="1">
        <f t="array" ref="H2337">IFERROR(VLOOKUP(INPUT!M2332&amp;INPUT!N2332,CHOOSE({1,2},INPUT!$A$3:$A$5000&amp;INPUT!$C$3:$C$5000,INPUT!$D$3:$D$5000),2,FALSE),"")</f>
        <v>GYM+TEC-TAC</v>
      </c>
      <c r="I2337" s="46">
        <f>IF(INPUT!P2332="","",INPUT!P2332)</f>
        <v>79</v>
      </c>
      <c r="J2337" s="46">
        <f>IF(INPUT!Q2332="","",INPUT!Q2332)</f>
        <v>79</v>
      </c>
      <c r="K2337" s="46">
        <f>IFERROR(IF(OR(INPUT!P2332="",INPUT!Q2332=""),"",INPUT!P2332-INPUT!Q2332),"")</f>
        <v>0</v>
      </c>
      <c r="L2337" s="48">
        <f>IFERROR(IF(OR(INPUT!P2332="",INPUT!Q2332="",INPUT!P2332=0),"",(INPUT!P2332-INPUT!Q2332)/INPUT!P2332),"")</f>
        <v>0</v>
      </c>
    </row>
    <row r="2338" spans="1:12" ht="18" customHeight="1" x14ac:dyDescent="0.2">
      <c r="A2338" s="11">
        <f>IF(INPUT!M2333="","",INPUT!M2333)</f>
        <v>46113</v>
      </c>
      <c r="B2338" s="11">
        <f>IF(INPUT!M2333="","",INPUT!M2333-WEEKDAY(INPUT!M2333,2)+1)</f>
        <v>46111</v>
      </c>
      <c r="C2338" s="20">
        <f>IFERROR(_xlfn.ISOWEEKNUM(INPUT!M2333),"")</f>
        <v>14</v>
      </c>
      <c r="D2338" s="20">
        <f>IFERROR(YEAR(INPUT!M2333),"")</f>
        <v>2026</v>
      </c>
      <c r="E2338" t="str">
        <f>IF(INPUT!O2333="","",INPUT!O2333)</f>
        <v>PANI</v>
      </c>
      <c r="F2338" t="str">
        <f>IF(INPUT!N2333="","",INPUT!N2333)</f>
        <v>M</v>
      </c>
      <c r="G2338" t="str" cm="1">
        <f t="array" ref="G2338">IFERROR(VLOOKUP(INPUT!M2333&amp;INPUT!N2333,CHOOSE({1,2},INPUT!$A$3:$A$5000&amp;INPUT!$C$3:$C$5000,INPUT!$F$3:$F$5000),2,FALSE),"")</f>
        <v>PRE-TEMPORADA</v>
      </c>
      <c r="H2338" t="str" cm="1">
        <f t="array" ref="H2338">IFERROR(VLOOKUP(INPUT!M2333&amp;INPUT!N2333,CHOOSE({1,2},INPUT!$A$3:$A$5000&amp;INPUT!$C$3:$C$5000,INPUT!$D$3:$D$5000),2,FALSE),"")</f>
        <v>GYM+TEC-TAC</v>
      </c>
      <c r="I2338" s="46">
        <f>IF(INPUT!P2333="","",INPUT!P2333)</f>
        <v>66.400000000000006</v>
      </c>
      <c r="J2338" s="46">
        <f>IF(INPUT!Q2333="","",INPUT!Q2333)</f>
        <v>65.900000000000006</v>
      </c>
      <c r="K2338" s="46">
        <f>IFERROR(IF(OR(INPUT!P2333="",INPUT!Q2333=""),"",INPUT!P2333-INPUT!Q2333),"")</f>
        <v>0.5</v>
      </c>
      <c r="L2338" s="48">
        <f>IFERROR(IF(OR(INPUT!P2333="",INPUT!Q2333="",INPUT!P2333=0),"",(INPUT!P2333-INPUT!Q2333)/INPUT!P2333),"")</f>
        <v>7.5301204819277099E-3</v>
      </c>
    </row>
    <row r="2339" spans="1:12" ht="18" customHeight="1" x14ac:dyDescent="0.2">
      <c r="A2339" s="11">
        <f>IF(INPUT!M2334="","",INPUT!M2334)</f>
        <v>46113</v>
      </c>
      <c r="B2339" s="11">
        <f>IF(INPUT!M2334="","",INPUT!M2334-WEEKDAY(INPUT!M2334,2)+1)</f>
        <v>46111</v>
      </c>
      <c r="C2339" s="20">
        <f>IFERROR(_xlfn.ISOWEEKNUM(INPUT!M2334),"")</f>
        <v>14</v>
      </c>
      <c r="D2339" s="20">
        <f>IFERROR(YEAR(INPUT!M2334),"")</f>
        <v>2026</v>
      </c>
      <c r="E2339" t="str">
        <f>IF(INPUT!O2334="","",INPUT!O2334)</f>
        <v>PIRATA</v>
      </c>
      <c r="F2339" t="str">
        <f>IF(INPUT!N2334="","",INPUT!N2334)</f>
        <v>M</v>
      </c>
      <c r="G2339" t="str" cm="1">
        <f t="array" ref="G2339">IFERROR(VLOOKUP(INPUT!M2334&amp;INPUT!N2334,CHOOSE({1,2},INPUT!$A$3:$A$5000&amp;INPUT!$C$3:$C$5000,INPUT!$F$3:$F$5000),2,FALSE),"")</f>
        <v>PRE-TEMPORADA</v>
      </c>
      <c r="H2339" t="str" cm="1">
        <f t="array" ref="H2339">IFERROR(VLOOKUP(INPUT!M2334&amp;INPUT!N2334,CHOOSE({1,2},INPUT!$A$3:$A$5000&amp;INPUT!$C$3:$C$5000,INPUT!$D$3:$D$5000),2,FALSE),"")</f>
        <v>GYM+TEC-TAC</v>
      </c>
      <c r="I2339" s="46">
        <f>IF(INPUT!P2334="","",INPUT!P2334)</f>
        <v>74.8</v>
      </c>
      <c r="J2339" s="46">
        <f>IF(INPUT!Q2334="","",INPUT!Q2334)</f>
        <v>74.5</v>
      </c>
      <c r="K2339" s="46">
        <f>IFERROR(IF(OR(INPUT!P2334="",INPUT!Q2334=""),"",INPUT!P2334-INPUT!Q2334),"")</f>
        <v>0.29999999999999716</v>
      </c>
      <c r="L2339" s="48">
        <f>IFERROR(IF(OR(INPUT!P2334="",INPUT!Q2334="",INPUT!P2334=0),"",(INPUT!P2334-INPUT!Q2334)/INPUT!P2334),"")</f>
        <v>4.0106951871657377E-3</v>
      </c>
    </row>
    <row r="2340" spans="1:12" ht="18" customHeight="1" x14ac:dyDescent="0.2">
      <c r="A2340" s="11">
        <f>IF(INPUT!M2335="","",INPUT!M2335)</f>
        <v>46113</v>
      </c>
      <c r="B2340" s="11">
        <f>IF(INPUT!M2335="","",INPUT!M2335-WEEKDAY(INPUT!M2335,2)+1)</f>
        <v>46111</v>
      </c>
      <c r="C2340" s="20">
        <f>IFERROR(_xlfn.ISOWEEKNUM(INPUT!M2335),"")</f>
        <v>14</v>
      </c>
      <c r="D2340" s="20">
        <f>IFERROR(YEAR(INPUT!M2335),"")</f>
        <v>2026</v>
      </c>
      <c r="E2340" t="str">
        <f>IF(INPUT!O2335="","",INPUT!O2335)</f>
        <v>BARONA</v>
      </c>
      <c r="F2340" t="str">
        <f>IF(INPUT!N2335="","",INPUT!N2335)</f>
        <v>M</v>
      </c>
      <c r="G2340" t="str" cm="1">
        <f t="array" ref="G2340">IFERROR(VLOOKUP(INPUT!M2335&amp;INPUT!N2335,CHOOSE({1,2},INPUT!$A$3:$A$5000&amp;INPUT!$C$3:$C$5000,INPUT!$F$3:$F$5000),2,FALSE),"")</f>
        <v>PRE-TEMPORADA</v>
      </c>
      <c r="H2340" t="str" cm="1">
        <f t="array" ref="H2340">IFERROR(VLOOKUP(INPUT!M2335&amp;INPUT!N2335,CHOOSE({1,2},INPUT!$A$3:$A$5000&amp;INPUT!$C$3:$C$5000,INPUT!$D$3:$D$5000),2,FALSE),"")</f>
        <v>GYM+TEC-TAC</v>
      </c>
      <c r="I2340" s="46">
        <f>IF(INPUT!P2335="","",INPUT!P2335)</f>
        <v>71</v>
      </c>
      <c r="J2340" s="46">
        <f>IF(INPUT!Q2335="","",INPUT!Q2335)</f>
        <v>71</v>
      </c>
      <c r="K2340" s="46">
        <f>IFERROR(IF(OR(INPUT!P2335="",INPUT!Q2335=""),"",INPUT!P2335-INPUT!Q2335),"")</f>
        <v>0</v>
      </c>
      <c r="L2340" s="48">
        <f>IFERROR(IF(OR(INPUT!P2335="",INPUT!Q2335="",INPUT!P2335=0),"",(INPUT!P2335-INPUT!Q2335)/INPUT!P2335),"")</f>
        <v>0</v>
      </c>
    </row>
    <row r="2341" spans="1:12" ht="18" customHeight="1" x14ac:dyDescent="0.2">
      <c r="A2341" s="11">
        <f>IF(INPUT!M2336="","",INPUT!M2336)</f>
        <v>46113</v>
      </c>
      <c r="B2341" s="11">
        <f>IF(INPUT!M2336="","",INPUT!M2336-WEEKDAY(INPUT!M2336,2)+1)</f>
        <v>46111</v>
      </c>
      <c r="C2341" s="20">
        <f>IFERROR(_xlfn.ISOWEEKNUM(INPUT!M2336),"")</f>
        <v>14</v>
      </c>
      <c r="D2341" s="20">
        <f>IFERROR(YEAR(INPUT!M2336),"")</f>
        <v>2026</v>
      </c>
      <c r="E2341" t="str">
        <f>IF(INPUT!O2336="","",INPUT!O2336)</f>
        <v>SEGO</v>
      </c>
      <c r="F2341" t="str">
        <f>IF(INPUT!N2336="","",INPUT!N2336)</f>
        <v>M</v>
      </c>
      <c r="G2341" t="str" cm="1">
        <f t="array" ref="G2341">IFERROR(VLOOKUP(INPUT!M2336&amp;INPUT!N2336,CHOOSE({1,2},INPUT!$A$3:$A$5000&amp;INPUT!$C$3:$C$5000,INPUT!$F$3:$F$5000),2,FALSE),"")</f>
        <v>PRE-TEMPORADA</v>
      </c>
      <c r="H2341" t="str" cm="1">
        <f t="array" ref="H2341">IFERROR(VLOOKUP(INPUT!M2336&amp;INPUT!N2336,CHOOSE({1,2},INPUT!$A$3:$A$5000&amp;INPUT!$C$3:$C$5000,INPUT!$D$3:$D$5000),2,FALSE),"")</f>
        <v>GYM+TEC-TAC</v>
      </c>
      <c r="I2341" s="46">
        <f>IF(INPUT!P2336="","",INPUT!P2336)</f>
        <v>83.4</v>
      </c>
      <c r="J2341" s="46">
        <f>IF(INPUT!Q2336="","",INPUT!Q2336)</f>
        <v>83.3</v>
      </c>
      <c r="K2341" s="46">
        <f>IFERROR(IF(OR(INPUT!P2336="",INPUT!Q2336=""),"",INPUT!P2336-INPUT!Q2336),"")</f>
        <v>0.10000000000000853</v>
      </c>
      <c r="L2341" s="48">
        <f>IFERROR(IF(OR(INPUT!P2336="",INPUT!Q2336="",INPUT!P2336=0),"",(INPUT!P2336-INPUT!Q2336)/INPUT!P2336),"")</f>
        <v>1.1990407673861932E-3</v>
      </c>
    </row>
    <row r="2342" spans="1:12" ht="18" customHeight="1" x14ac:dyDescent="0.2">
      <c r="A2342" s="11">
        <f>IF(INPUT!M2337="","",INPUT!M2337)</f>
        <v>46113</v>
      </c>
      <c r="B2342" s="11">
        <f>IF(INPUT!M2337="","",INPUT!M2337-WEEKDAY(INPUT!M2337,2)+1)</f>
        <v>46111</v>
      </c>
      <c r="C2342" s="20">
        <f>IFERROR(_xlfn.ISOWEEKNUM(INPUT!M2337),"")</f>
        <v>14</v>
      </c>
      <c r="D2342" s="20">
        <f>IFERROR(YEAR(INPUT!M2337),"")</f>
        <v>2026</v>
      </c>
      <c r="E2342" t="str">
        <f>IF(INPUT!O2337="","",INPUT!O2337)</f>
        <v>RUBIO</v>
      </c>
      <c r="F2342" t="str">
        <f>IF(INPUT!N2337="","",INPUT!N2337)</f>
        <v>M</v>
      </c>
      <c r="G2342" t="str" cm="1">
        <f t="array" ref="G2342">IFERROR(VLOOKUP(INPUT!M2337&amp;INPUT!N2337,CHOOSE({1,2},INPUT!$A$3:$A$5000&amp;INPUT!$C$3:$C$5000,INPUT!$F$3:$F$5000),2,FALSE),"")</f>
        <v>PRE-TEMPORADA</v>
      </c>
      <c r="H2342" t="str" cm="1">
        <f t="array" ref="H2342">IFERROR(VLOOKUP(INPUT!M2337&amp;INPUT!N2337,CHOOSE({1,2},INPUT!$A$3:$A$5000&amp;INPUT!$C$3:$C$5000,INPUT!$D$3:$D$5000),2,FALSE),"")</f>
        <v>GYM+TEC-TAC</v>
      </c>
      <c r="I2342" s="46">
        <f>IF(INPUT!P2337="","",INPUT!P2337)</f>
        <v>75.2</v>
      </c>
      <c r="J2342" s="46">
        <f>IF(INPUT!Q2337="","",INPUT!Q2337)</f>
        <v>75</v>
      </c>
      <c r="K2342" s="46">
        <f>IFERROR(IF(OR(INPUT!P2337="",INPUT!Q2337=""),"",INPUT!P2337-INPUT!Q2337),"")</f>
        <v>0.20000000000000284</v>
      </c>
      <c r="L2342" s="48">
        <f>IFERROR(IF(OR(INPUT!P2337="",INPUT!Q2337="",INPUT!P2337=0),"",(INPUT!P2337-INPUT!Q2337)/INPUT!P2337),"")</f>
        <v>2.659574468085144E-3</v>
      </c>
    </row>
    <row r="2343" spans="1:12" ht="18" hidden="1" customHeight="1" x14ac:dyDescent="0.2">
      <c r="A2343" s="11">
        <f>IF(INPUT!M2338="","",INPUT!M2338)</f>
        <v>46113</v>
      </c>
      <c r="B2343" s="11">
        <f>IF(INPUT!M2338="","",INPUT!M2338-WEEKDAY(INPUT!M2338,2)+1)</f>
        <v>46111</v>
      </c>
      <c r="C2343" s="20">
        <f>IFERROR(_xlfn.ISOWEEKNUM(INPUT!M2338),"")</f>
        <v>14</v>
      </c>
      <c r="D2343" s="20">
        <f>IFERROR(YEAR(INPUT!M2338),"")</f>
        <v>2026</v>
      </c>
      <c r="E2343" t="str">
        <f>IF(INPUT!O2338="","",INPUT!O2338)</f>
        <v>JAIME</v>
      </c>
      <c r="F2343" t="str">
        <f>IF(INPUT!N2338="","",INPUT!N2338)</f>
        <v>M</v>
      </c>
      <c r="G2343" t="str" cm="1">
        <f t="array" ref="G2343">IFERROR(VLOOKUP(INPUT!M2338&amp;INPUT!N2338,CHOOSE({1,2},INPUT!$A$3:$A$5000&amp;INPUT!$C$3:$C$5000,INPUT!$F$3:$F$5000),2,FALSE),"")</f>
        <v>PRE-TEMPORADA</v>
      </c>
      <c r="H2343" t="str" cm="1">
        <f t="array" ref="H2343">IFERROR(VLOOKUP(INPUT!M2338&amp;INPUT!N2338,CHOOSE({1,2},INPUT!$A$3:$A$5000&amp;INPUT!$C$3:$C$5000,INPUT!$D$3:$D$5000),2,FALSE),"")</f>
        <v>GYM+TEC-TAC</v>
      </c>
      <c r="I2343" s="46">
        <f>IF(INPUT!P2338="","",INPUT!P2338)</f>
        <v>76.400000000000006</v>
      </c>
      <c r="J2343" s="46">
        <f>IF(INPUT!Q2338="","",INPUT!Q2338)</f>
        <v>76.2</v>
      </c>
      <c r="K2343" s="46">
        <f>IFERROR(IF(OR(INPUT!P2338="",INPUT!Q2338=""),"",INPUT!P2338-INPUT!Q2338),"")</f>
        <v>0.20000000000000284</v>
      </c>
      <c r="L2343" s="48">
        <f>IFERROR(IF(OR(INPUT!P2338="",INPUT!Q2338="",INPUT!P2338=0),"",(INPUT!P2338-INPUT!Q2338)/INPUT!P2338),"")</f>
        <v>2.6178010471204559E-3</v>
      </c>
    </row>
    <row r="2344" spans="1:12" ht="18" hidden="1" customHeight="1" x14ac:dyDescent="0.2">
      <c r="A2344" s="11">
        <f>IF(INPUT!M2339="","",INPUT!M2339)</f>
        <v>46114</v>
      </c>
      <c r="B2344" s="11">
        <f>IF(INPUT!M2339="","",INPUT!M2339-WEEKDAY(INPUT!M2339,2)+1)</f>
        <v>46111</v>
      </c>
      <c r="C2344" s="20">
        <f>IFERROR(_xlfn.ISOWEEKNUM(INPUT!M2339),"")</f>
        <v>14</v>
      </c>
      <c r="D2344" s="20">
        <f>IFERROR(YEAR(INPUT!M2339),"")</f>
        <v>2026</v>
      </c>
      <c r="E2344" t="str">
        <f>IF(INPUT!O2339="","",INPUT!O2339)</f>
        <v>HERRERO</v>
      </c>
      <c r="F2344" t="str">
        <f>IF(INPUT!N2339="","",INPUT!N2339)</f>
        <v>M</v>
      </c>
      <c r="G2344" t="str" cm="1">
        <f t="array" ref="G2344">IFERROR(VLOOKUP(INPUT!M2339&amp;INPUT!N2339,CHOOSE({1,2},INPUT!$A$3:$A$5000&amp;INPUT!$C$3:$C$5000,INPUT!$F$3:$F$5000),2,FALSE),"")</f>
        <v>PRE-TEMPORADA</v>
      </c>
      <c r="H2344" t="str" cm="1">
        <f t="array" ref="H2344">IFERROR(VLOOKUP(INPUT!M2339&amp;INPUT!N2339,CHOOSE({1,2},INPUT!$A$3:$A$5000&amp;INPUT!$C$3:$C$5000,INPUT!$D$3:$D$5000),2,FALSE),"")</f>
        <v>TEC-TAC</v>
      </c>
      <c r="I2344" s="46">
        <f>IF(INPUT!P2339="","",INPUT!P2339)</f>
        <v>77</v>
      </c>
      <c r="J2344" s="46">
        <f>IF(INPUT!Q2339="","",INPUT!Q2339)</f>
        <v>76</v>
      </c>
      <c r="K2344" s="46">
        <f>IFERROR(IF(OR(INPUT!P2339="",INPUT!Q2339=""),"",INPUT!P2339-INPUT!Q2339),"")</f>
        <v>1</v>
      </c>
      <c r="L2344" s="48">
        <f>IFERROR(IF(OR(INPUT!P2339="",INPUT!Q2339="",INPUT!P2339=0),"",(INPUT!P2339-INPUT!Q2339)/INPUT!P2339),"")</f>
        <v>1.2987012987012988E-2</v>
      </c>
    </row>
    <row r="2345" spans="1:12" ht="18" hidden="1" customHeight="1" x14ac:dyDescent="0.2">
      <c r="A2345" s="11">
        <f>IF(INPUT!M2340="","",INPUT!M2340)</f>
        <v>46114</v>
      </c>
      <c r="B2345" s="11">
        <f>IF(INPUT!M2340="","",INPUT!M2340-WEEKDAY(INPUT!M2340,2)+1)</f>
        <v>46111</v>
      </c>
      <c r="C2345" s="20">
        <f>IFERROR(_xlfn.ISOWEEKNUM(INPUT!M2340),"")</f>
        <v>14</v>
      </c>
      <c r="D2345" s="20">
        <f>IFERROR(YEAR(INPUT!M2340),"")</f>
        <v>2026</v>
      </c>
      <c r="E2345" t="str">
        <f>IF(INPUT!O2340="","",INPUT!O2340)</f>
        <v>GARCIA</v>
      </c>
      <c r="F2345" t="str">
        <f>IF(INPUT!N2340="","",INPUT!N2340)</f>
        <v>M</v>
      </c>
      <c r="G2345" t="str" cm="1">
        <f t="array" ref="G2345">IFERROR(VLOOKUP(INPUT!M2340&amp;INPUT!N2340,CHOOSE({1,2},INPUT!$A$3:$A$5000&amp;INPUT!$C$3:$C$5000,INPUT!$F$3:$F$5000),2,FALSE),"")</f>
        <v>PRE-TEMPORADA</v>
      </c>
      <c r="H2345" t="str" cm="1">
        <f t="array" ref="H2345">IFERROR(VLOOKUP(INPUT!M2340&amp;INPUT!N2340,CHOOSE({1,2},INPUT!$A$3:$A$5000&amp;INPUT!$C$3:$C$5000,INPUT!$D$3:$D$5000),2,FALSE),"")</f>
        <v>TEC-TAC</v>
      </c>
      <c r="I2345" s="46">
        <f>IF(INPUT!P2340="","",INPUT!P2340)</f>
        <v>79.599999999999994</v>
      </c>
      <c r="J2345" s="46">
        <f>IF(INPUT!Q2340="","",INPUT!Q2340)</f>
        <v>79</v>
      </c>
      <c r="K2345" s="46">
        <f>IFERROR(IF(OR(INPUT!P2340="",INPUT!Q2340=""),"",INPUT!P2340-INPUT!Q2340),"")</f>
        <v>0.59999999999999432</v>
      </c>
      <c r="L2345" s="48">
        <f>IFERROR(IF(OR(INPUT!P2340="",INPUT!Q2340="",INPUT!P2340=0),"",(INPUT!P2340-INPUT!Q2340)/INPUT!P2340),"")</f>
        <v>7.5376884422109847E-3</v>
      </c>
    </row>
    <row r="2346" spans="1:12" ht="18" hidden="1" customHeight="1" x14ac:dyDescent="0.2">
      <c r="A2346" s="11">
        <f>IF(INPUT!M2341="","",INPUT!M2341)</f>
        <v>46114</v>
      </c>
      <c r="B2346" s="11">
        <f>IF(INPUT!M2341="","",INPUT!M2341-WEEKDAY(INPUT!M2341,2)+1)</f>
        <v>46111</v>
      </c>
      <c r="C2346" s="20">
        <f>IFERROR(_xlfn.ISOWEEKNUM(INPUT!M2341),"")</f>
        <v>14</v>
      </c>
      <c r="D2346" s="20">
        <f>IFERROR(YEAR(INPUT!M2341),"")</f>
        <v>2026</v>
      </c>
      <c r="E2346" t="str">
        <f>IF(INPUT!O2341="","",INPUT!O2341)</f>
        <v>CECILIO</v>
      </c>
      <c r="F2346" t="str">
        <f>IF(INPUT!N2341="","",INPUT!N2341)</f>
        <v>M</v>
      </c>
      <c r="G2346" t="str" cm="1">
        <f t="array" ref="G2346">IFERROR(VLOOKUP(INPUT!M2341&amp;INPUT!N2341,CHOOSE({1,2},INPUT!$A$3:$A$5000&amp;INPUT!$C$3:$C$5000,INPUT!$F$3:$F$5000),2,FALSE),"")</f>
        <v>PRE-TEMPORADA</v>
      </c>
      <c r="H2346" t="str" cm="1">
        <f t="array" ref="H2346">IFERROR(VLOOKUP(INPUT!M2341&amp;INPUT!N2341,CHOOSE({1,2},INPUT!$A$3:$A$5000&amp;INPUT!$C$3:$C$5000,INPUT!$D$3:$D$5000),2,FALSE),"")</f>
        <v>TEC-TAC</v>
      </c>
      <c r="I2346" s="46">
        <f>IF(INPUT!P2341="","",INPUT!P2341)</f>
        <v>68</v>
      </c>
      <c r="J2346" s="46">
        <f>IF(INPUT!Q2341="","",INPUT!Q2341)</f>
        <v>67.900000000000006</v>
      </c>
      <c r="K2346" s="46">
        <f>IFERROR(IF(OR(INPUT!P2341="",INPUT!Q2341=""),"",INPUT!P2341-INPUT!Q2341),"")</f>
        <v>9.9999999999994316E-2</v>
      </c>
      <c r="L2346" s="48">
        <f>IFERROR(IF(OR(INPUT!P2341="",INPUT!Q2341="",INPUT!P2341=0),"",(INPUT!P2341-INPUT!Q2341)/INPUT!P2341),"")</f>
        <v>1.4705882352940341E-3</v>
      </c>
    </row>
    <row r="2347" spans="1:12" ht="18" hidden="1" customHeight="1" x14ac:dyDescent="0.2">
      <c r="A2347" s="11">
        <f>IF(INPUT!M2342="","",INPUT!M2342)</f>
        <v>46114</v>
      </c>
      <c r="B2347" s="11">
        <f>IF(INPUT!M2342="","",INPUT!M2342-WEEKDAY(INPUT!M2342,2)+1)</f>
        <v>46111</v>
      </c>
      <c r="C2347" s="20">
        <f>IFERROR(_xlfn.ISOWEEKNUM(INPUT!M2342),"")</f>
        <v>14</v>
      </c>
      <c r="D2347" s="20">
        <f>IFERROR(YEAR(INPUT!M2342),"")</f>
        <v>2026</v>
      </c>
      <c r="E2347" t="str">
        <f>IF(INPUT!O2342="","",INPUT!O2342)</f>
        <v>CHAGUINHA</v>
      </c>
      <c r="F2347" t="str">
        <f>IF(INPUT!N2342="","",INPUT!N2342)</f>
        <v>M</v>
      </c>
      <c r="G2347" t="str" cm="1">
        <f t="array" ref="G2347">IFERROR(VLOOKUP(INPUT!M2342&amp;INPUT!N2342,CHOOSE({1,2},INPUT!$A$3:$A$5000&amp;INPUT!$C$3:$C$5000,INPUT!$F$3:$F$5000),2,FALSE),"")</f>
        <v>PRE-TEMPORADA</v>
      </c>
      <c r="H2347" t="str" cm="1">
        <f t="array" ref="H2347">IFERROR(VLOOKUP(INPUT!M2342&amp;INPUT!N2342,CHOOSE({1,2},INPUT!$A$3:$A$5000&amp;INPUT!$C$3:$C$5000,INPUT!$D$3:$D$5000),2,FALSE),"")</f>
        <v>TEC-TAC</v>
      </c>
      <c r="I2347" s="46">
        <f>IF(INPUT!P2342="","",INPUT!P2342)</f>
        <v>69</v>
      </c>
      <c r="J2347" s="46">
        <f>IF(INPUT!Q2342="","",INPUT!Q2342)</f>
        <v>68.3</v>
      </c>
      <c r="K2347" s="46">
        <f>IFERROR(IF(OR(INPUT!P2342="",INPUT!Q2342=""),"",INPUT!P2342-INPUT!Q2342),"")</f>
        <v>0.70000000000000284</v>
      </c>
      <c r="L2347" s="48">
        <f>IFERROR(IF(OR(INPUT!P2342="",INPUT!Q2342="",INPUT!P2342=0),"",(INPUT!P2342-INPUT!Q2342)/INPUT!P2342),"")</f>
        <v>1.0144927536231925E-2</v>
      </c>
    </row>
    <row r="2348" spans="1:12" ht="18" hidden="1" customHeight="1" x14ac:dyDescent="0.2">
      <c r="A2348" s="11">
        <f>IF(INPUT!M2343="","",INPUT!M2343)</f>
        <v>46114</v>
      </c>
      <c r="B2348" s="11">
        <f>IF(INPUT!M2343="","",INPUT!M2343-WEEKDAY(INPUT!M2343,2)+1)</f>
        <v>46111</v>
      </c>
      <c r="C2348" s="20">
        <f>IFERROR(_xlfn.ISOWEEKNUM(INPUT!M2343),"")</f>
        <v>14</v>
      </c>
      <c r="D2348" s="20">
        <f>IFERROR(YEAR(INPUT!M2343),"")</f>
        <v>2026</v>
      </c>
      <c r="E2348" t="str">
        <f>IF(INPUT!O2343="","",INPUT!O2343)</f>
        <v>RAUL</v>
      </c>
      <c r="F2348" t="str">
        <f>IF(INPUT!N2343="","",INPUT!N2343)</f>
        <v>M</v>
      </c>
      <c r="G2348" t="str" cm="1">
        <f t="array" ref="G2348">IFERROR(VLOOKUP(INPUT!M2343&amp;INPUT!N2343,CHOOSE({1,2},INPUT!$A$3:$A$5000&amp;INPUT!$C$3:$C$5000,INPUT!$F$3:$F$5000),2,FALSE),"")</f>
        <v>PRE-TEMPORADA</v>
      </c>
      <c r="H2348" t="str" cm="1">
        <f t="array" ref="H2348">IFERROR(VLOOKUP(INPUT!M2343&amp;INPUT!N2343,CHOOSE({1,2},INPUT!$A$3:$A$5000&amp;INPUT!$C$3:$C$5000,INPUT!$D$3:$D$5000),2,FALSE),"")</f>
        <v>TEC-TAC</v>
      </c>
      <c r="I2348" s="46">
        <f>IF(INPUT!P2343="","",INPUT!P2343)</f>
        <v>81.2</v>
      </c>
      <c r="J2348" s="46">
        <f>IF(INPUT!Q2343="","",INPUT!Q2343)</f>
        <v>81.3</v>
      </c>
      <c r="K2348" s="46">
        <f>IFERROR(IF(OR(INPUT!P2343="",INPUT!Q2343=""),"",INPUT!P2343-INPUT!Q2343),"")</f>
        <v>-9.9999999999994316E-2</v>
      </c>
      <c r="L2348" s="48">
        <f>IFERROR(IF(OR(INPUT!P2343="",INPUT!Q2343="",INPUT!P2343=0),"",(INPUT!P2343-INPUT!Q2343)/INPUT!P2343),"")</f>
        <v>-1.2315270935959891E-3</v>
      </c>
    </row>
    <row r="2349" spans="1:12" ht="18" hidden="1" customHeight="1" x14ac:dyDescent="0.2">
      <c r="A2349" s="11">
        <f>IF(INPUT!M2344="","",INPUT!M2344)</f>
        <v>46114</v>
      </c>
      <c r="B2349" s="11">
        <f>IF(INPUT!M2344="","",INPUT!M2344-WEEKDAY(INPUT!M2344,2)+1)</f>
        <v>46111</v>
      </c>
      <c r="C2349" s="20">
        <f>IFERROR(_xlfn.ISOWEEKNUM(INPUT!M2344),"")</f>
        <v>14</v>
      </c>
      <c r="D2349" s="20">
        <f>IFERROR(YEAR(INPUT!M2344),"")</f>
        <v>2026</v>
      </c>
      <c r="E2349" t="str">
        <f>IF(INPUT!O2344="","",INPUT!O2344)</f>
        <v>HARRISON</v>
      </c>
      <c r="F2349" t="str">
        <f>IF(INPUT!N2344="","",INPUT!N2344)</f>
        <v>M</v>
      </c>
      <c r="G2349" t="str" cm="1">
        <f t="array" ref="G2349">IFERROR(VLOOKUP(INPUT!M2344&amp;INPUT!N2344,CHOOSE({1,2},INPUT!$A$3:$A$5000&amp;INPUT!$C$3:$C$5000,INPUT!$F$3:$F$5000),2,FALSE),"")</f>
        <v>PRE-TEMPORADA</v>
      </c>
      <c r="H2349" t="str" cm="1">
        <f t="array" ref="H2349">IFERROR(VLOOKUP(INPUT!M2344&amp;INPUT!N2344,CHOOSE({1,2},INPUT!$A$3:$A$5000&amp;INPUT!$C$3:$C$5000,INPUT!$D$3:$D$5000),2,FALSE),"")</f>
        <v>TEC-TAC</v>
      </c>
      <c r="I2349" s="46">
        <f>IF(INPUT!P2344="","",INPUT!P2344)</f>
        <v>72</v>
      </c>
      <c r="J2349" s="46">
        <f>IF(INPUT!Q2344="","",INPUT!Q2344)</f>
        <v>72</v>
      </c>
      <c r="K2349" s="46">
        <f>IFERROR(IF(OR(INPUT!P2344="",INPUT!Q2344=""),"",INPUT!P2344-INPUT!Q2344),"")</f>
        <v>0</v>
      </c>
      <c r="L2349" s="48">
        <f>IFERROR(IF(OR(INPUT!P2344="",INPUT!Q2344="",INPUT!P2344=0),"",(INPUT!P2344-INPUT!Q2344)/INPUT!P2344),"")</f>
        <v>0</v>
      </c>
    </row>
    <row r="2350" spans="1:12" ht="18" hidden="1" customHeight="1" x14ac:dyDescent="0.2">
      <c r="A2350" s="11">
        <f>IF(INPUT!M2345="","",INPUT!M2345)</f>
        <v>46114</v>
      </c>
      <c r="B2350" s="11">
        <f>IF(INPUT!M2345="","",INPUT!M2345-WEEKDAY(INPUT!M2345,2)+1)</f>
        <v>46111</v>
      </c>
      <c r="C2350" s="20">
        <f>IFERROR(_xlfn.ISOWEEKNUM(INPUT!M2345),"")</f>
        <v>14</v>
      </c>
      <c r="D2350" s="20">
        <f>IFERROR(YEAR(INPUT!M2345),"")</f>
        <v>2026</v>
      </c>
      <c r="E2350" t="str">
        <f>IF(INPUT!O2345="","",INPUT!O2345)</f>
        <v>JAVI</v>
      </c>
      <c r="F2350" t="str">
        <f>IF(INPUT!N2345="","",INPUT!N2345)</f>
        <v>M</v>
      </c>
      <c r="G2350" t="str" cm="1">
        <f t="array" ref="G2350">IFERROR(VLOOKUP(INPUT!M2345&amp;INPUT!N2345,CHOOSE({1,2},INPUT!$A$3:$A$5000&amp;INPUT!$C$3:$C$5000,INPUT!$F$3:$F$5000),2,FALSE),"")</f>
        <v>PRE-TEMPORADA</v>
      </c>
      <c r="H2350" t="str" cm="1">
        <f t="array" ref="H2350">IFERROR(VLOOKUP(INPUT!M2345&amp;INPUT!N2345,CHOOSE({1,2},INPUT!$A$3:$A$5000&amp;INPUT!$C$3:$C$5000,INPUT!$D$3:$D$5000),2,FALSE),"")</f>
        <v>TEC-TAC</v>
      </c>
      <c r="I2350" s="46">
        <f>IF(INPUT!P2345="","",INPUT!P2345)</f>
        <v>79.2</v>
      </c>
      <c r="J2350" s="46">
        <f>IF(INPUT!Q2345="","",INPUT!Q2345)</f>
        <v>79.099999999999994</v>
      </c>
      <c r="K2350" s="46">
        <f>IFERROR(IF(OR(INPUT!P2345="",INPUT!Q2345=""),"",INPUT!P2345-INPUT!Q2345),"")</f>
        <v>0.10000000000000853</v>
      </c>
      <c r="L2350" s="48">
        <f>IFERROR(IF(OR(INPUT!P2345="",INPUT!Q2345="",INPUT!P2345=0),"",(INPUT!P2345-INPUT!Q2345)/INPUT!P2345),"")</f>
        <v>1.2626262626263703E-3</v>
      </c>
    </row>
    <row r="2351" spans="1:12" ht="18" hidden="1" customHeight="1" x14ac:dyDescent="0.2">
      <c r="A2351" s="11">
        <f>IF(INPUT!M2346="","",INPUT!M2346)</f>
        <v>46114</v>
      </c>
      <c r="B2351" s="11">
        <f>IF(INPUT!M2346="","",INPUT!M2346-WEEKDAY(INPUT!M2346,2)+1)</f>
        <v>46111</v>
      </c>
      <c r="C2351" s="20">
        <f>IFERROR(_xlfn.ISOWEEKNUM(INPUT!M2346),"")</f>
        <v>14</v>
      </c>
      <c r="D2351" s="20">
        <f>IFERROR(YEAR(INPUT!M2346),"")</f>
        <v>2026</v>
      </c>
      <c r="E2351" t="str">
        <f>IF(INPUT!O2346="","",INPUT!O2346)</f>
        <v>PANI</v>
      </c>
      <c r="F2351" t="str">
        <f>IF(INPUT!N2346="","",INPUT!N2346)</f>
        <v>M</v>
      </c>
      <c r="G2351" t="str" cm="1">
        <f t="array" ref="G2351">IFERROR(VLOOKUP(INPUT!M2346&amp;INPUT!N2346,CHOOSE({1,2},INPUT!$A$3:$A$5000&amp;INPUT!$C$3:$C$5000,INPUT!$F$3:$F$5000),2,FALSE),"")</f>
        <v>PRE-TEMPORADA</v>
      </c>
      <c r="H2351" t="str" cm="1">
        <f t="array" ref="H2351">IFERROR(VLOOKUP(INPUT!M2346&amp;INPUT!N2346,CHOOSE({1,2},INPUT!$A$3:$A$5000&amp;INPUT!$C$3:$C$5000,INPUT!$D$3:$D$5000),2,FALSE),"")</f>
        <v>TEC-TAC</v>
      </c>
      <c r="I2351" s="46">
        <f>IF(INPUT!P2346="","",INPUT!P2346)</f>
        <v>67</v>
      </c>
      <c r="J2351" s="46">
        <f>IF(INPUT!Q2346="","",INPUT!Q2346)</f>
        <v>65.900000000000006</v>
      </c>
      <c r="K2351" s="46">
        <f>IFERROR(IF(OR(INPUT!P2346="",INPUT!Q2346=""),"",INPUT!P2346-INPUT!Q2346),"")</f>
        <v>1.0999999999999943</v>
      </c>
      <c r="L2351" s="48">
        <f>IFERROR(IF(OR(INPUT!P2346="",INPUT!Q2346="",INPUT!P2346=0),"",(INPUT!P2346-INPUT!Q2346)/INPUT!P2346),"")</f>
        <v>1.641791044776111E-2</v>
      </c>
    </row>
    <row r="2352" spans="1:12" ht="18" hidden="1" customHeight="1" x14ac:dyDescent="0.2">
      <c r="A2352" s="11">
        <f>IF(INPUT!M2347="","",INPUT!M2347)</f>
        <v>46114</v>
      </c>
      <c r="B2352" s="11">
        <f>IF(INPUT!M2347="","",INPUT!M2347-WEEKDAY(INPUT!M2347,2)+1)</f>
        <v>46111</v>
      </c>
      <c r="C2352" s="20">
        <f>IFERROR(_xlfn.ISOWEEKNUM(INPUT!M2347),"")</f>
        <v>14</v>
      </c>
      <c r="D2352" s="20">
        <f>IFERROR(YEAR(INPUT!M2347),"")</f>
        <v>2026</v>
      </c>
      <c r="E2352" t="str">
        <f>IF(INPUT!O2347="","",INPUT!O2347)</f>
        <v>PIRATA</v>
      </c>
      <c r="F2352" t="str">
        <f>IF(INPUT!N2347="","",INPUT!N2347)</f>
        <v>M</v>
      </c>
      <c r="G2352" t="str" cm="1">
        <f t="array" ref="G2352">IFERROR(VLOOKUP(INPUT!M2347&amp;INPUT!N2347,CHOOSE({1,2},INPUT!$A$3:$A$5000&amp;INPUT!$C$3:$C$5000,INPUT!$F$3:$F$5000),2,FALSE),"")</f>
        <v>PRE-TEMPORADA</v>
      </c>
      <c r="H2352" t="str" cm="1">
        <f t="array" ref="H2352">IFERROR(VLOOKUP(INPUT!M2347&amp;INPUT!N2347,CHOOSE({1,2},INPUT!$A$3:$A$5000&amp;INPUT!$C$3:$C$5000,INPUT!$D$3:$D$5000),2,FALSE),"")</f>
        <v>TEC-TAC</v>
      </c>
      <c r="I2352" s="46">
        <f>IF(INPUT!P2347="","",INPUT!P2347)</f>
        <v>75.400000000000006</v>
      </c>
      <c r="J2352" s="46">
        <f>IF(INPUT!Q2347="","",INPUT!Q2347)</f>
        <v>75.3</v>
      </c>
      <c r="K2352" s="46">
        <f>IFERROR(IF(OR(INPUT!P2347="",INPUT!Q2347=""),"",INPUT!P2347-INPUT!Q2347),"")</f>
        <v>0.10000000000000853</v>
      </c>
      <c r="L2352" s="48">
        <f>IFERROR(IF(OR(INPUT!P2347="",INPUT!Q2347="",INPUT!P2347=0),"",(INPUT!P2347-INPUT!Q2347)/INPUT!P2347),"")</f>
        <v>1.326259946949715E-3</v>
      </c>
    </row>
    <row r="2353" spans="1:12" ht="18" hidden="1" customHeight="1" x14ac:dyDescent="0.2">
      <c r="A2353" s="11">
        <f>IF(INPUT!M2348="","",INPUT!M2348)</f>
        <v>46114</v>
      </c>
      <c r="B2353" s="11">
        <f>IF(INPUT!M2348="","",INPUT!M2348-WEEKDAY(INPUT!M2348,2)+1)</f>
        <v>46111</v>
      </c>
      <c r="C2353" s="20">
        <f>IFERROR(_xlfn.ISOWEEKNUM(INPUT!M2348),"")</f>
        <v>14</v>
      </c>
      <c r="D2353" s="20">
        <f>IFERROR(YEAR(INPUT!M2348),"")</f>
        <v>2026</v>
      </c>
      <c r="E2353" t="str">
        <f>IF(INPUT!O2348="","",INPUT!O2348)</f>
        <v>BARONA</v>
      </c>
      <c r="F2353" t="str">
        <f>IF(INPUT!N2348="","",INPUT!N2348)</f>
        <v>M</v>
      </c>
      <c r="G2353" t="str" cm="1">
        <f t="array" ref="G2353">IFERROR(VLOOKUP(INPUT!M2348&amp;INPUT!N2348,CHOOSE({1,2},INPUT!$A$3:$A$5000&amp;INPUT!$C$3:$C$5000,INPUT!$F$3:$F$5000),2,FALSE),"")</f>
        <v>PRE-TEMPORADA</v>
      </c>
      <c r="H2353" t="str" cm="1">
        <f t="array" ref="H2353">IFERROR(VLOOKUP(INPUT!M2348&amp;INPUT!N2348,CHOOSE({1,2},INPUT!$A$3:$A$5000&amp;INPUT!$C$3:$C$5000,INPUT!$D$3:$D$5000),2,FALSE),"")</f>
        <v>TEC-TAC</v>
      </c>
      <c r="I2353" s="46">
        <f>IF(INPUT!P2348="","",INPUT!P2348)</f>
        <v>71</v>
      </c>
      <c r="J2353" s="46">
        <f>IF(INPUT!Q2348="","",INPUT!Q2348)</f>
        <v>71</v>
      </c>
      <c r="K2353" s="46">
        <f>IFERROR(IF(OR(INPUT!P2348="",INPUT!Q2348=""),"",INPUT!P2348-INPUT!Q2348),"")</f>
        <v>0</v>
      </c>
      <c r="L2353" s="48">
        <f>IFERROR(IF(OR(INPUT!P2348="",INPUT!Q2348="",INPUT!P2348=0),"",(INPUT!P2348-INPUT!Q2348)/INPUT!P2348),"")</f>
        <v>0</v>
      </c>
    </row>
    <row r="2354" spans="1:12" ht="18" hidden="1" customHeight="1" x14ac:dyDescent="0.2">
      <c r="A2354" s="11">
        <f>IF(INPUT!M2349="","",INPUT!M2349)</f>
        <v>46114</v>
      </c>
      <c r="B2354" s="11">
        <f>IF(INPUT!M2349="","",INPUT!M2349-WEEKDAY(INPUT!M2349,2)+1)</f>
        <v>46111</v>
      </c>
      <c r="C2354" s="20">
        <f>IFERROR(_xlfn.ISOWEEKNUM(INPUT!M2349),"")</f>
        <v>14</v>
      </c>
      <c r="D2354" s="20">
        <f>IFERROR(YEAR(INPUT!M2349),"")</f>
        <v>2026</v>
      </c>
      <c r="E2354" t="str">
        <f>IF(INPUT!O2349="","",INPUT!O2349)</f>
        <v>CARLOS</v>
      </c>
      <c r="F2354" t="str">
        <f>IF(INPUT!N2349="","",INPUT!N2349)</f>
        <v>M</v>
      </c>
      <c r="G2354" t="str" cm="1">
        <f t="array" ref="G2354">IFERROR(VLOOKUP(INPUT!M2349&amp;INPUT!N2349,CHOOSE({1,2},INPUT!$A$3:$A$5000&amp;INPUT!$C$3:$C$5000,INPUT!$F$3:$F$5000),2,FALSE),"")</f>
        <v>PRE-TEMPORADA</v>
      </c>
      <c r="H2354" t="str" cm="1">
        <f t="array" ref="H2354">IFERROR(VLOOKUP(INPUT!M2349&amp;INPUT!N2349,CHOOSE({1,2},INPUT!$A$3:$A$5000&amp;INPUT!$C$3:$C$5000,INPUT!$D$3:$D$5000),2,FALSE),"")</f>
        <v>TEC-TAC</v>
      </c>
      <c r="I2354" s="46">
        <f>IF(INPUT!P2349="","",INPUT!P2349)</f>
        <v>68.5</v>
      </c>
      <c r="J2354" s="46">
        <f>IF(INPUT!Q2349="","",INPUT!Q2349)</f>
        <v>68</v>
      </c>
      <c r="K2354" s="46">
        <f>IFERROR(IF(OR(INPUT!P2349="",INPUT!Q2349=""),"",INPUT!P2349-INPUT!Q2349),"")</f>
        <v>0.5</v>
      </c>
      <c r="L2354" s="48">
        <f>IFERROR(IF(OR(INPUT!P2349="",INPUT!Q2349="",INPUT!P2349=0),"",(INPUT!P2349-INPUT!Q2349)/INPUT!P2349),"")</f>
        <v>7.2992700729927005E-3</v>
      </c>
    </row>
    <row r="2355" spans="1:12" ht="18" hidden="1" customHeight="1" x14ac:dyDescent="0.2">
      <c r="A2355" s="11">
        <f>IF(INPUT!M2350="","",INPUT!M2350)</f>
        <v>46114</v>
      </c>
      <c r="B2355" s="11">
        <f>IF(INPUT!M2350="","",INPUT!M2350-WEEKDAY(INPUT!M2350,2)+1)</f>
        <v>46111</v>
      </c>
      <c r="C2355" s="20">
        <f>IFERROR(_xlfn.ISOWEEKNUM(INPUT!M2350),"")</f>
        <v>14</v>
      </c>
      <c r="D2355" s="20">
        <f>IFERROR(YEAR(INPUT!M2350),"")</f>
        <v>2026</v>
      </c>
      <c r="E2355" t="str">
        <f>IF(INPUT!O2350="","",INPUT!O2350)</f>
        <v>DANI</v>
      </c>
      <c r="F2355" t="str">
        <f>IF(INPUT!N2350="","",INPUT!N2350)</f>
        <v>M</v>
      </c>
      <c r="G2355" t="str" cm="1">
        <f t="array" ref="G2355">IFERROR(VLOOKUP(INPUT!M2350&amp;INPUT!N2350,CHOOSE({1,2},INPUT!$A$3:$A$5000&amp;INPUT!$C$3:$C$5000,INPUT!$F$3:$F$5000),2,FALSE),"")</f>
        <v>PRE-TEMPORADA</v>
      </c>
      <c r="H2355" t="str" cm="1">
        <f t="array" ref="H2355">IFERROR(VLOOKUP(INPUT!M2350&amp;INPUT!N2350,CHOOSE({1,2},INPUT!$A$3:$A$5000&amp;INPUT!$C$3:$C$5000,INPUT!$D$3:$D$5000),2,FALSE),"")</f>
        <v>TEC-TAC</v>
      </c>
      <c r="I2355" s="46">
        <f>IF(INPUT!P2350="","",INPUT!P2350)</f>
        <v>90</v>
      </c>
      <c r="J2355" s="46">
        <f>IF(INPUT!Q2350="","",INPUT!Q2350)</f>
        <v>90</v>
      </c>
      <c r="K2355" s="46">
        <f>IFERROR(IF(OR(INPUT!P2350="",INPUT!Q2350=""),"",INPUT!P2350-INPUT!Q2350),"")</f>
        <v>0</v>
      </c>
      <c r="L2355" s="48">
        <f>IFERROR(IF(OR(INPUT!P2350="",INPUT!Q2350="",INPUT!P2350=0),"",(INPUT!P2350-INPUT!Q2350)/INPUT!P2350),"")</f>
        <v>0</v>
      </c>
    </row>
    <row r="2356" spans="1:12" ht="18" hidden="1" customHeight="1" x14ac:dyDescent="0.2">
      <c r="A2356" s="11">
        <f>IF(INPUT!M2351="","",INPUT!M2351)</f>
        <v>46114</v>
      </c>
      <c r="B2356" s="11">
        <f>IF(INPUT!M2351="","",INPUT!M2351-WEEKDAY(INPUT!M2351,2)+1)</f>
        <v>46111</v>
      </c>
      <c r="C2356" s="20">
        <f>IFERROR(_xlfn.ISOWEEKNUM(INPUT!M2351),"")</f>
        <v>14</v>
      </c>
      <c r="D2356" s="20">
        <f>IFERROR(YEAR(INPUT!M2351),"")</f>
        <v>2026</v>
      </c>
      <c r="E2356" t="str">
        <f>IF(INPUT!O2351="","",INPUT!O2351)</f>
        <v>JAIME</v>
      </c>
      <c r="F2356" t="str">
        <f>IF(INPUT!N2351="","",INPUT!N2351)</f>
        <v>M</v>
      </c>
      <c r="G2356" t="str" cm="1">
        <f t="array" ref="G2356">IFERROR(VLOOKUP(INPUT!M2351&amp;INPUT!N2351,CHOOSE({1,2},INPUT!$A$3:$A$5000&amp;INPUT!$C$3:$C$5000,INPUT!$F$3:$F$5000),2,FALSE),"")</f>
        <v>PRE-TEMPORADA</v>
      </c>
      <c r="H2356" t="str" cm="1">
        <f t="array" ref="H2356">IFERROR(VLOOKUP(INPUT!M2351&amp;INPUT!N2351,CHOOSE({1,2},INPUT!$A$3:$A$5000&amp;INPUT!$C$3:$C$5000,INPUT!$D$3:$D$5000),2,FALSE),"")</f>
        <v>TEC-TAC</v>
      </c>
      <c r="I2356" s="46">
        <f>IF(INPUT!P2351="","",INPUT!P2351)</f>
        <v>76.5</v>
      </c>
      <c r="J2356" s="46">
        <f>IF(INPUT!Q2351="","",INPUT!Q2351)</f>
        <v>76.400000000000006</v>
      </c>
      <c r="K2356" s="46">
        <f>IFERROR(IF(OR(INPUT!P2351="",INPUT!Q2351=""),"",INPUT!P2351-INPUT!Q2351),"")</f>
        <v>9.9999999999994316E-2</v>
      </c>
      <c r="L2356" s="48">
        <f>IFERROR(IF(OR(INPUT!P2351="",INPUT!Q2351="",INPUT!P2351=0),"",(INPUT!P2351-INPUT!Q2351)/INPUT!P2351),"")</f>
        <v>1.3071895424835859E-3</v>
      </c>
    </row>
    <row r="2357" spans="1:12" ht="18" hidden="1" customHeight="1" x14ac:dyDescent="0.2">
      <c r="A2357" s="11">
        <f>IF(INPUT!M2352="","",INPUT!M2352)</f>
        <v>46115</v>
      </c>
      <c r="B2357" s="11">
        <f>IF(INPUT!M2352="","",INPUT!M2352-WEEKDAY(INPUT!M2352,2)+1)</f>
        <v>46111</v>
      </c>
      <c r="C2357" s="20">
        <f>IFERROR(_xlfn.ISOWEEKNUM(INPUT!M2352),"")</f>
        <v>14</v>
      </c>
      <c r="D2357" s="20">
        <f>IFERROR(YEAR(INPUT!M2352),"")</f>
        <v>2026</v>
      </c>
      <c r="E2357" t="str">
        <f>IF(INPUT!O2352="","",INPUT!O2352)</f>
        <v>HERRERO</v>
      </c>
      <c r="F2357" t="str">
        <f>IF(INPUT!N2352="","",INPUT!N2352)</f>
        <v>M</v>
      </c>
      <c r="G2357" t="str" cm="1">
        <f t="array" ref="G2357">IFERROR(VLOOKUP(INPUT!M2352&amp;INPUT!N2352,CHOOSE({1,2},INPUT!$A$3:$A$5000&amp;INPUT!$C$3:$C$5000,INPUT!$F$3:$F$5000),2,FALSE),"")</f>
        <v>PRE-TEMPORADA</v>
      </c>
      <c r="H2357" t="str" cm="1">
        <f t="array" ref="H2357">IFERROR(VLOOKUP(INPUT!M2352&amp;INPUT!N2352,CHOOSE({1,2},INPUT!$A$3:$A$5000&amp;INPUT!$C$3:$C$5000,INPUT!$D$3:$D$5000),2,FALSE),"")</f>
        <v>TEC-TAC</v>
      </c>
      <c r="I2357" s="46">
        <f>IF(INPUT!P2352="","",INPUT!P2352)</f>
        <v>77</v>
      </c>
      <c r="J2357" s="46">
        <f>IF(INPUT!Q2352="","",INPUT!Q2352)</f>
        <v>77</v>
      </c>
      <c r="K2357" s="46">
        <f>IFERROR(IF(OR(INPUT!P2352="",INPUT!Q2352=""),"",INPUT!P2352-INPUT!Q2352),"")</f>
        <v>0</v>
      </c>
      <c r="L2357" s="48">
        <f>IFERROR(IF(OR(INPUT!P2352="",INPUT!Q2352="",INPUT!P2352=0),"",(INPUT!P2352-INPUT!Q2352)/INPUT!P2352),"")</f>
        <v>0</v>
      </c>
    </row>
    <row r="2358" spans="1:12" ht="18" hidden="1" customHeight="1" x14ac:dyDescent="0.2">
      <c r="A2358" s="11">
        <f>IF(INPUT!M2353="","",INPUT!M2353)</f>
        <v>46115</v>
      </c>
      <c r="B2358" s="11">
        <f>IF(INPUT!M2353="","",INPUT!M2353-WEEKDAY(INPUT!M2353,2)+1)</f>
        <v>46111</v>
      </c>
      <c r="C2358" s="20">
        <f>IFERROR(_xlfn.ISOWEEKNUM(INPUT!M2353),"")</f>
        <v>14</v>
      </c>
      <c r="D2358" s="20">
        <f>IFERROR(YEAR(INPUT!M2353),"")</f>
        <v>2026</v>
      </c>
      <c r="E2358" t="str">
        <f>IF(INPUT!O2353="","",INPUT!O2353)</f>
        <v>GARCIA</v>
      </c>
      <c r="F2358" t="str">
        <f>IF(INPUT!N2353="","",INPUT!N2353)</f>
        <v>M</v>
      </c>
      <c r="G2358" t="str" cm="1">
        <f t="array" ref="G2358">IFERROR(VLOOKUP(INPUT!M2353&amp;INPUT!N2353,CHOOSE({1,2},INPUT!$A$3:$A$5000&amp;INPUT!$C$3:$C$5000,INPUT!$F$3:$F$5000),2,FALSE),"")</f>
        <v>PRE-TEMPORADA</v>
      </c>
      <c r="H2358" t="str" cm="1">
        <f t="array" ref="H2358">IFERROR(VLOOKUP(INPUT!M2353&amp;INPUT!N2353,CHOOSE({1,2},INPUT!$A$3:$A$5000&amp;INPUT!$C$3:$C$5000,INPUT!$D$3:$D$5000),2,FALSE),"")</f>
        <v>TEC-TAC</v>
      </c>
      <c r="I2358" s="46">
        <f>IF(INPUT!P2353="","",INPUT!P2353)</f>
        <v>79.2</v>
      </c>
      <c r="J2358" s="46">
        <f>IF(INPUT!Q2353="","",INPUT!Q2353)</f>
        <v>78.900000000000006</v>
      </c>
      <c r="K2358" s="46">
        <f>IFERROR(IF(OR(INPUT!P2353="",INPUT!Q2353=""),"",INPUT!P2353-INPUT!Q2353),"")</f>
        <v>0.29999999999999716</v>
      </c>
      <c r="L2358" s="48">
        <f>IFERROR(IF(OR(INPUT!P2353="",INPUT!Q2353="",INPUT!P2353=0),"",(INPUT!P2353-INPUT!Q2353)/INPUT!P2353),"")</f>
        <v>3.787878787878752E-3</v>
      </c>
    </row>
    <row r="2359" spans="1:12" ht="18" customHeight="1" x14ac:dyDescent="0.2">
      <c r="A2359" s="11">
        <f>IF(INPUT!M2354="","",INPUT!M2354)</f>
        <v>46115</v>
      </c>
      <c r="B2359" s="11">
        <f>IF(INPUT!M2354="","",INPUT!M2354-WEEKDAY(INPUT!M2354,2)+1)</f>
        <v>46111</v>
      </c>
      <c r="C2359" s="20">
        <f>IFERROR(_xlfn.ISOWEEKNUM(INPUT!M2354),"")</f>
        <v>14</v>
      </c>
      <c r="D2359" s="20">
        <f>IFERROR(YEAR(INPUT!M2354),"")</f>
        <v>2026</v>
      </c>
      <c r="E2359" t="str">
        <f>IF(INPUT!O2354="","",INPUT!O2354)</f>
        <v>CECILIO</v>
      </c>
      <c r="F2359" t="str">
        <f>IF(INPUT!N2354="","",INPUT!N2354)</f>
        <v>M</v>
      </c>
      <c r="G2359" t="str" cm="1">
        <f t="array" ref="G2359">IFERROR(VLOOKUP(INPUT!M2354&amp;INPUT!N2354,CHOOSE({1,2},INPUT!$A$3:$A$5000&amp;INPUT!$C$3:$C$5000,INPUT!$F$3:$F$5000),2,FALSE),"")</f>
        <v>PRE-TEMPORADA</v>
      </c>
      <c r="H2359" t="str" cm="1">
        <f t="array" ref="H2359">IFERROR(VLOOKUP(INPUT!M2354&amp;INPUT!N2354,CHOOSE({1,2},INPUT!$A$3:$A$5000&amp;INPUT!$C$3:$C$5000,INPUT!$D$3:$D$5000),2,FALSE),"")</f>
        <v>TEC-TAC</v>
      </c>
      <c r="I2359" s="46">
        <f>IF(INPUT!P2354="","",INPUT!P2354)</f>
        <v>67.8</v>
      </c>
      <c r="J2359" s="46">
        <f>IF(INPUT!Q2354="","",INPUT!Q2354)</f>
        <v>67.5</v>
      </c>
      <c r="K2359" s="46">
        <f>IFERROR(IF(OR(INPUT!P2354="",INPUT!Q2354=""),"",INPUT!P2354-INPUT!Q2354),"")</f>
        <v>0.29999999999999716</v>
      </c>
      <c r="L2359" s="48">
        <f>IFERROR(IF(OR(INPUT!P2354="",INPUT!Q2354="",INPUT!P2354=0),"",(INPUT!P2354-INPUT!Q2354)/INPUT!P2354),"")</f>
        <v>4.4247787610619052E-3</v>
      </c>
    </row>
    <row r="2360" spans="1:12" ht="18" customHeight="1" x14ac:dyDescent="0.2">
      <c r="A2360" s="11">
        <f>IF(INPUT!M2355="","",INPUT!M2355)</f>
        <v>46115</v>
      </c>
      <c r="B2360" s="11">
        <f>IF(INPUT!M2355="","",INPUT!M2355-WEEKDAY(INPUT!M2355,2)+1)</f>
        <v>46111</v>
      </c>
      <c r="C2360" s="20">
        <f>IFERROR(_xlfn.ISOWEEKNUM(INPUT!M2355),"")</f>
        <v>14</v>
      </c>
      <c r="D2360" s="20">
        <f>IFERROR(YEAR(INPUT!M2355),"")</f>
        <v>2026</v>
      </c>
      <c r="E2360" t="str">
        <f>IF(INPUT!O2355="","",INPUT!O2355)</f>
        <v>CHAGUINHA</v>
      </c>
      <c r="F2360" t="str">
        <f>IF(INPUT!N2355="","",INPUT!N2355)</f>
        <v>M</v>
      </c>
      <c r="G2360" t="str" cm="1">
        <f t="array" ref="G2360">IFERROR(VLOOKUP(INPUT!M2355&amp;INPUT!N2355,CHOOSE({1,2},INPUT!$A$3:$A$5000&amp;INPUT!$C$3:$C$5000,INPUT!$F$3:$F$5000),2,FALSE),"")</f>
        <v>PRE-TEMPORADA</v>
      </c>
      <c r="H2360" t="str" cm="1">
        <f t="array" ref="H2360">IFERROR(VLOOKUP(INPUT!M2355&amp;INPUT!N2355,CHOOSE({1,2},INPUT!$A$3:$A$5000&amp;INPUT!$C$3:$C$5000,INPUT!$D$3:$D$5000),2,FALSE),"")</f>
        <v>TEC-TAC</v>
      </c>
      <c r="I2360" s="46">
        <f>IF(INPUT!P2355="","",INPUT!P2355)</f>
        <v>69</v>
      </c>
      <c r="J2360" s="46">
        <f>IF(INPUT!Q2355="","",INPUT!Q2355)</f>
        <v>68.5</v>
      </c>
      <c r="K2360" s="46">
        <f>IFERROR(IF(OR(INPUT!P2355="",INPUT!Q2355=""),"",INPUT!P2355-INPUT!Q2355),"")</f>
        <v>0.5</v>
      </c>
      <c r="L2360" s="48">
        <f>IFERROR(IF(OR(INPUT!P2355="",INPUT!Q2355="",INPUT!P2355=0),"",(INPUT!P2355-INPUT!Q2355)/INPUT!P2355),"")</f>
        <v>7.246376811594203E-3</v>
      </c>
    </row>
    <row r="2361" spans="1:12" ht="18" customHeight="1" x14ac:dyDescent="0.2">
      <c r="A2361" s="11">
        <f>IF(INPUT!M2356="","",INPUT!M2356)</f>
        <v>46115</v>
      </c>
      <c r="B2361" s="11">
        <f>IF(INPUT!M2356="","",INPUT!M2356-WEEKDAY(INPUT!M2356,2)+1)</f>
        <v>46111</v>
      </c>
      <c r="C2361" s="20">
        <f>IFERROR(_xlfn.ISOWEEKNUM(INPUT!M2356),"")</f>
        <v>14</v>
      </c>
      <c r="D2361" s="20">
        <f>IFERROR(YEAR(INPUT!M2356),"")</f>
        <v>2026</v>
      </c>
      <c r="E2361" t="str">
        <f>IF(INPUT!O2356="","",INPUT!O2356)</f>
        <v>RAUL</v>
      </c>
      <c r="F2361" t="str">
        <f>IF(INPUT!N2356="","",INPUT!N2356)</f>
        <v>M</v>
      </c>
      <c r="G2361" t="str" cm="1">
        <f t="array" ref="G2361">IFERROR(VLOOKUP(INPUT!M2356&amp;INPUT!N2356,CHOOSE({1,2},INPUT!$A$3:$A$5000&amp;INPUT!$C$3:$C$5000,INPUT!$F$3:$F$5000),2,FALSE),"")</f>
        <v>PRE-TEMPORADA</v>
      </c>
      <c r="H2361" t="str" cm="1">
        <f t="array" ref="H2361">IFERROR(VLOOKUP(INPUT!M2356&amp;INPUT!N2356,CHOOSE({1,2},INPUT!$A$3:$A$5000&amp;INPUT!$C$3:$C$5000,INPUT!$D$3:$D$5000),2,FALSE),"")</f>
        <v>TEC-TAC</v>
      </c>
      <c r="I2361" s="46">
        <f>IF(INPUT!P2356="","",INPUT!P2356)</f>
        <v>81.2</v>
      </c>
      <c r="J2361" s="46">
        <f>IF(INPUT!Q2356="","",INPUT!Q2356)</f>
        <v>81.8</v>
      </c>
      <c r="K2361" s="46">
        <f>IFERROR(IF(OR(INPUT!P2356="",INPUT!Q2356=""),"",INPUT!P2356-INPUT!Q2356),"")</f>
        <v>-0.59999999999999432</v>
      </c>
      <c r="L2361" s="48">
        <f>IFERROR(IF(OR(INPUT!P2356="",INPUT!Q2356="",INPUT!P2356=0),"",(INPUT!P2356-INPUT!Q2356)/INPUT!P2356),"")</f>
        <v>-7.3891625615762841E-3</v>
      </c>
    </row>
    <row r="2362" spans="1:12" ht="18" customHeight="1" x14ac:dyDescent="0.2">
      <c r="A2362" s="11">
        <f>IF(INPUT!M2357="","",INPUT!M2357)</f>
        <v>46115</v>
      </c>
      <c r="B2362" s="11">
        <f>IF(INPUT!M2357="","",INPUT!M2357-WEEKDAY(INPUT!M2357,2)+1)</f>
        <v>46111</v>
      </c>
      <c r="C2362" s="20">
        <f>IFERROR(_xlfn.ISOWEEKNUM(INPUT!M2357),"")</f>
        <v>14</v>
      </c>
      <c r="D2362" s="20">
        <f>IFERROR(YEAR(INPUT!M2357),"")</f>
        <v>2026</v>
      </c>
      <c r="E2362" t="str">
        <f>IF(INPUT!O2357="","",INPUT!O2357)</f>
        <v>HARRISON</v>
      </c>
      <c r="F2362" t="str">
        <f>IF(INPUT!N2357="","",INPUT!N2357)</f>
        <v>M</v>
      </c>
      <c r="G2362" t="str" cm="1">
        <f t="array" ref="G2362">IFERROR(VLOOKUP(INPUT!M2357&amp;INPUT!N2357,CHOOSE({1,2},INPUT!$A$3:$A$5000&amp;INPUT!$C$3:$C$5000,INPUT!$F$3:$F$5000),2,FALSE),"")</f>
        <v>PRE-TEMPORADA</v>
      </c>
      <c r="H2362" t="str" cm="1">
        <f t="array" ref="H2362">IFERROR(VLOOKUP(INPUT!M2357&amp;INPUT!N2357,CHOOSE({1,2},INPUT!$A$3:$A$5000&amp;INPUT!$C$3:$C$5000,INPUT!$D$3:$D$5000),2,FALSE),"")</f>
        <v>TEC-TAC</v>
      </c>
      <c r="I2362" s="46">
        <f>IF(INPUT!P2357="","",INPUT!P2357)</f>
        <v>72.400000000000006</v>
      </c>
      <c r="J2362" s="46">
        <f>IF(INPUT!Q2357="","",INPUT!Q2357)</f>
        <v>72</v>
      </c>
      <c r="K2362" s="46">
        <f>IFERROR(IF(OR(INPUT!P2357="",INPUT!Q2357=""),"",INPUT!P2357-INPUT!Q2357),"")</f>
        <v>0.40000000000000568</v>
      </c>
      <c r="L2362" s="48">
        <f>IFERROR(IF(OR(INPUT!P2357="",INPUT!Q2357="",INPUT!P2357=0),"",(INPUT!P2357-INPUT!Q2357)/INPUT!P2357),"")</f>
        <v>5.5248618784531165E-3</v>
      </c>
    </row>
    <row r="2363" spans="1:12" ht="18" customHeight="1" x14ac:dyDescent="0.2">
      <c r="A2363" s="11">
        <f>IF(INPUT!M2358="","",INPUT!M2358)</f>
        <v>46115</v>
      </c>
      <c r="B2363" s="11">
        <f>IF(INPUT!M2358="","",INPUT!M2358-WEEKDAY(INPUT!M2358,2)+1)</f>
        <v>46111</v>
      </c>
      <c r="C2363" s="20">
        <f>IFERROR(_xlfn.ISOWEEKNUM(INPUT!M2358),"")</f>
        <v>14</v>
      </c>
      <c r="D2363" s="20">
        <f>IFERROR(YEAR(INPUT!M2358),"")</f>
        <v>2026</v>
      </c>
      <c r="E2363" t="str">
        <f>IF(INPUT!O2358="","",INPUT!O2358)</f>
        <v>JAVI</v>
      </c>
      <c r="F2363" t="str">
        <f>IF(INPUT!N2358="","",INPUT!N2358)</f>
        <v>M</v>
      </c>
      <c r="G2363" t="str" cm="1">
        <f t="array" ref="G2363">IFERROR(VLOOKUP(INPUT!M2358&amp;INPUT!N2358,CHOOSE({1,2},INPUT!$A$3:$A$5000&amp;INPUT!$C$3:$C$5000,INPUT!$F$3:$F$5000),2,FALSE),"")</f>
        <v>PRE-TEMPORADA</v>
      </c>
      <c r="H2363" t="str" cm="1">
        <f t="array" ref="H2363">IFERROR(VLOOKUP(INPUT!M2358&amp;INPUT!N2358,CHOOSE({1,2},INPUT!$A$3:$A$5000&amp;INPUT!$C$3:$C$5000,INPUT!$D$3:$D$5000),2,FALSE),"")</f>
        <v>TEC-TAC</v>
      </c>
      <c r="I2363" s="46">
        <f>IF(INPUT!P2358="","",INPUT!P2358)</f>
        <v>79.900000000000006</v>
      </c>
      <c r="J2363" s="46">
        <f>IF(INPUT!Q2358="","",INPUT!Q2358)</f>
        <v>79.5</v>
      </c>
      <c r="K2363" s="46">
        <f>IFERROR(IF(OR(INPUT!P2358="",INPUT!Q2358=""),"",INPUT!P2358-INPUT!Q2358),"")</f>
        <v>0.40000000000000568</v>
      </c>
      <c r="L2363" s="48">
        <f>IFERROR(IF(OR(INPUT!P2358="",INPUT!Q2358="",INPUT!P2358=0),"",(INPUT!P2358-INPUT!Q2358)/INPUT!P2358),"")</f>
        <v>5.0062578222779177E-3</v>
      </c>
    </row>
    <row r="2364" spans="1:12" ht="18" customHeight="1" x14ac:dyDescent="0.2">
      <c r="A2364" s="11">
        <f>IF(INPUT!M2359="","",INPUT!M2359)</f>
        <v>46115</v>
      </c>
      <c r="B2364" s="11">
        <f>IF(INPUT!M2359="","",INPUT!M2359-WEEKDAY(INPUT!M2359,2)+1)</f>
        <v>46111</v>
      </c>
      <c r="C2364" s="20">
        <f>IFERROR(_xlfn.ISOWEEKNUM(INPUT!M2359),"")</f>
        <v>14</v>
      </c>
      <c r="D2364" s="20">
        <f>IFERROR(YEAR(INPUT!M2359),"")</f>
        <v>2026</v>
      </c>
      <c r="E2364" t="str">
        <f>IF(INPUT!O2359="","",INPUT!O2359)</f>
        <v>PANI</v>
      </c>
      <c r="F2364" t="str">
        <f>IF(INPUT!N2359="","",INPUT!N2359)</f>
        <v>M</v>
      </c>
      <c r="G2364" t="str" cm="1">
        <f t="array" ref="G2364">IFERROR(VLOOKUP(INPUT!M2359&amp;INPUT!N2359,CHOOSE({1,2},INPUT!$A$3:$A$5000&amp;INPUT!$C$3:$C$5000,INPUT!$F$3:$F$5000),2,FALSE),"")</f>
        <v>PRE-TEMPORADA</v>
      </c>
      <c r="H2364" t="str" cm="1">
        <f t="array" ref="H2364">IFERROR(VLOOKUP(INPUT!M2359&amp;INPUT!N2359,CHOOSE({1,2},INPUT!$A$3:$A$5000&amp;INPUT!$C$3:$C$5000,INPUT!$D$3:$D$5000),2,FALSE),"")</f>
        <v>TEC-TAC</v>
      </c>
      <c r="I2364" s="46">
        <f>IF(INPUT!P2359="","",INPUT!P2359)</f>
        <v>66.3</v>
      </c>
      <c r="J2364" s="46">
        <f>IF(INPUT!Q2359="","",INPUT!Q2359)</f>
        <v>65.900000000000006</v>
      </c>
      <c r="K2364" s="46">
        <f>IFERROR(IF(OR(INPUT!P2359="",INPUT!Q2359=""),"",INPUT!P2359-INPUT!Q2359),"")</f>
        <v>0.39999999999999147</v>
      </c>
      <c r="L2364" s="48">
        <f>IFERROR(IF(OR(INPUT!P2359="",INPUT!Q2359="",INPUT!P2359=0),"",(INPUT!P2359-INPUT!Q2359)/INPUT!P2359),"")</f>
        <v>6.0331825037706109E-3</v>
      </c>
    </row>
    <row r="2365" spans="1:12" ht="18" customHeight="1" x14ac:dyDescent="0.2">
      <c r="A2365" s="11">
        <f>IF(INPUT!M2360="","",INPUT!M2360)</f>
        <v>46115</v>
      </c>
      <c r="B2365" s="11">
        <f>IF(INPUT!M2360="","",INPUT!M2360-WEEKDAY(INPUT!M2360,2)+1)</f>
        <v>46111</v>
      </c>
      <c r="C2365" s="20">
        <f>IFERROR(_xlfn.ISOWEEKNUM(INPUT!M2360),"")</f>
        <v>14</v>
      </c>
      <c r="D2365" s="20">
        <f>IFERROR(YEAR(INPUT!M2360),"")</f>
        <v>2026</v>
      </c>
      <c r="E2365" t="str">
        <f>IF(INPUT!O2360="","",INPUT!O2360)</f>
        <v>PIRATA</v>
      </c>
      <c r="F2365" t="str">
        <f>IF(INPUT!N2360="","",INPUT!N2360)</f>
        <v>M</v>
      </c>
      <c r="G2365" t="str" cm="1">
        <f t="array" ref="G2365">IFERROR(VLOOKUP(INPUT!M2360&amp;INPUT!N2360,CHOOSE({1,2},INPUT!$A$3:$A$5000&amp;INPUT!$C$3:$C$5000,INPUT!$F$3:$F$5000),2,FALSE),"")</f>
        <v>PRE-TEMPORADA</v>
      </c>
      <c r="H2365" t="str" cm="1">
        <f t="array" ref="H2365">IFERROR(VLOOKUP(INPUT!M2360&amp;INPUT!N2360,CHOOSE({1,2},INPUT!$A$3:$A$5000&amp;INPUT!$C$3:$C$5000,INPUT!$D$3:$D$5000),2,FALSE),"")</f>
        <v>TEC-TAC</v>
      </c>
      <c r="I2365" s="46">
        <f>IF(INPUT!P2360="","",INPUT!P2360)</f>
        <v>75.2</v>
      </c>
      <c r="J2365" s="46">
        <f>IF(INPUT!Q2360="","",INPUT!Q2360)</f>
        <v>75.099999999999994</v>
      </c>
      <c r="K2365" s="46">
        <f>IFERROR(IF(OR(INPUT!P2360="",INPUT!Q2360=""),"",INPUT!P2360-INPUT!Q2360),"")</f>
        <v>0.10000000000000853</v>
      </c>
      <c r="L2365" s="48">
        <f>IFERROR(IF(OR(INPUT!P2360="",INPUT!Q2360="",INPUT!P2360=0),"",(INPUT!P2360-INPUT!Q2360)/INPUT!P2360),"")</f>
        <v>1.3297872340426666E-3</v>
      </c>
    </row>
    <row r="2366" spans="1:12" ht="18" hidden="1" customHeight="1" x14ac:dyDescent="0.2">
      <c r="A2366" s="11">
        <f>IF(INPUT!M2361="","",INPUT!M2361)</f>
        <v>46115</v>
      </c>
      <c r="B2366" s="11">
        <f>IF(INPUT!M2361="","",INPUT!M2361-WEEKDAY(INPUT!M2361,2)+1)</f>
        <v>46111</v>
      </c>
      <c r="C2366" s="20">
        <f>IFERROR(_xlfn.ISOWEEKNUM(INPUT!M2361),"")</f>
        <v>14</v>
      </c>
      <c r="D2366" s="20">
        <f>IFERROR(YEAR(INPUT!M2361),"")</f>
        <v>2026</v>
      </c>
      <c r="E2366" t="str">
        <f>IF(INPUT!O2361="","",INPUT!O2361)</f>
        <v>BARONA</v>
      </c>
      <c r="F2366" t="str">
        <f>IF(INPUT!N2361="","",INPUT!N2361)</f>
        <v>M</v>
      </c>
      <c r="G2366" t="str" cm="1">
        <f t="array" ref="G2366">IFERROR(VLOOKUP(INPUT!M2361&amp;INPUT!N2361,CHOOSE({1,2},INPUT!$A$3:$A$5000&amp;INPUT!$C$3:$C$5000,INPUT!$F$3:$F$5000),2,FALSE),"")</f>
        <v>PRE-TEMPORADA</v>
      </c>
      <c r="H2366" t="str" cm="1">
        <f t="array" ref="H2366">IFERROR(VLOOKUP(INPUT!M2361&amp;INPUT!N2361,CHOOSE({1,2},INPUT!$A$3:$A$5000&amp;INPUT!$C$3:$C$5000,INPUT!$D$3:$D$5000),2,FALSE),"")</f>
        <v>TEC-TAC</v>
      </c>
      <c r="I2366" s="46">
        <f>IF(INPUT!P2361="","",INPUT!P2361)</f>
        <v>71.2</v>
      </c>
      <c r="J2366" s="46">
        <f>IF(INPUT!Q2361="","",INPUT!Q2361)</f>
        <v>71</v>
      </c>
      <c r="K2366" s="46">
        <f>IFERROR(IF(OR(INPUT!P2361="",INPUT!Q2361=""),"",INPUT!P2361-INPUT!Q2361),"")</f>
        <v>0.20000000000000284</v>
      </c>
      <c r="L2366" s="48">
        <f>IFERROR(IF(OR(INPUT!P2361="",INPUT!Q2361="",INPUT!P2361=0),"",(INPUT!P2361-INPUT!Q2361)/INPUT!P2361),"")</f>
        <v>2.8089887640449836E-3</v>
      </c>
    </row>
    <row r="2367" spans="1:12" ht="18" hidden="1" customHeight="1" x14ac:dyDescent="0.2">
      <c r="A2367" s="11">
        <f>IF(INPUT!M2362="","",INPUT!M2362)</f>
        <v>46115</v>
      </c>
      <c r="B2367" s="11">
        <f>IF(INPUT!M2362="","",INPUT!M2362-WEEKDAY(INPUT!M2362,2)+1)</f>
        <v>46111</v>
      </c>
      <c r="C2367" s="20">
        <f>IFERROR(_xlfn.ISOWEEKNUM(INPUT!M2362),"")</f>
        <v>14</v>
      </c>
      <c r="D2367" s="20">
        <f>IFERROR(YEAR(INPUT!M2362),"")</f>
        <v>2026</v>
      </c>
      <c r="E2367" t="str">
        <f>IF(INPUT!O2362="","",INPUT!O2362)</f>
        <v>CARLOS</v>
      </c>
      <c r="F2367" t="str">
        <f>IF(INPUT!N2362="","",INPUT!N2362)</f>
        <v>M</v>
      </c>
      <c r="G2367" t="str" cm="1">
        <f t="array" ref="G2367">IFERROR(VLOOKUP(INPUT!M2362&amp;INPUT!N2362,CHOOSE({1,2},INPUT!$A$3:$A$5000&amp;INPUT!$C$3:$C$5000,INPUT!$F$3:$F$5000),2,FALSE),"")</f>
        <v>PRE-TEMPORADA</v>
      </c>
      <c r="H2367" t="str" cm="1">
        <f t="array" ref="H2367">IFERROR(VLOOKUP(INPUT!M2362&amp;INPUT!N2362,CHOOSE({1,2},INPUT!$A$3:$A$5000&amp;INPUT!$C$3:$C$5000,INPUT!$D$3:$D$5000),2,FALSE),"")</f>
        <v>TEC-TAC</v>
      </c>
      <c r="I2367" s="46">
        <f>IF(INPUT!P2362="","",INPUT!P2362)</f>
        <v>68.5</v>
      </c>
      <c r="J2367" s="46">
        <f>IF(INPUT!Q2362="","",INPUT!Q2362)</f>
        <v>68.2</v>
      </c>
      <c r="K2367" s="46">
        <f>IFERROR(IF(OR(INPUT!P2362="",INPUT!Q2362=""),"",INPUT!P2362-INPUT!Q2362),"")</f>
        <v>0.29999999999999716</v>
      </c>
      <c r="L2367" s="48">
        <f>IFERROR(IF(OR(INPUT!P2362="",INPUT!Q2362="",INPUT!P2362=0),"",(INPUT!P2362-INPUT!Q2362)/INPUT!P2362),"")</f>
        <v>4.3795620437955792E-3</v>
      </c>
    </row>
    <row r="2368" spans="1:12" ht="18" hidden="1" customHeight="1" x14ac:dyDescent="0.2">
      <c r="A2368" s="11">
        <f>IF(INPUT!M2363="","",INPUT!M2363)</f>
        <v>46115</v>
      </c>
      <c r="B2368" s="11">
        <f>IF(INPUT!M2363="","",INPUT!M2363-WEEKDAY(INPUT!M2363,2)+1)</f>
        <v>46111</v>
      </c>
      <c r="C2368" s="20">
        <f>IFERROR(_xlfn.ISOWEEKNUM(INPUT!M2363),"")</f>
        <v>14</v>
      </c>
      <c r="D2368" s="20">
        <f>IFERROR(YEAR(INPUT!M2363),"")</f>
        <v>2026</v>
      </c>
      <c r="E2368" t="str">
        <f>IF(INPUT!O2363="","",INPUT!O2363)</f>
        <v>DANI</v>
      </c>
      <c r="F2368" t="str">
        <f>IF(INPUT!N2363="","",INPUT!N2363)</f>
        <v>M</v>
      </c>
      <c r="G2368" t="str" cm="1">
        <f t="array" ref="G2368">IFERROR(VLOOKUP(INPUT!M2363&amp;INPUT!N2363,CHOOSE({1,2},INPUT!$A$3:$A$5000&amp;INPUT!$C$3:$C$5000,INPUT!$F$3:$F$5000),2,FALSE),"")</f>
        <v>PRE-TEMPORADA</v>
      </c>
      <c r="H2368" t="str" cm="1">
        <f t="array" ref="H2368">IFERROR(VLOOKUP(INPUT!M2363&amp;INPUT!N2363,CHOOSE({1,2},INPUT!$A$3:$A$5000&amp;INPUT!$C$3:$C$5000,INPUT!$D$3:$D$5000),2,FALSE),"")</f>
        <v>TEC-TAC</v>
      </c>
      <c r="I2368" s="46">
        <f>IF(INPUT!P2363="","",INPUT!P2363)</f>
        <v>90</v>
      </c>
      <c r="J2368" s="46">
        <f>IF(INPUT!Q2363="","",INPUT!Q2363)</f>
        <v>90.3</v>
      </c>
      <c r="K2368" s="46">
        <f>IFERROR(IF(OR(INPUT!P2363="",INPUT!Q2363=""),"",INPUT!P2363-INPUT!Q2363),"")</f>
        <v>-0.29999999999999716</v>
      </c>
      <c r="L2368" s="48">
        <f>IFERROR(IF(OR(INPUT!P2363="",INPUT!Q2363="",INPUT!P2363=0),"",(INPUT!P2363-INPUT!Q2363)/INPUT!P2363),"")</f>
        <v>-3.3333333333333019E-3</v>
      </c>
    </row>
    <row r="2369" spans="1:12" ht="18" hidden="1" customHeight="1" x14ac:dyDescent="0.2">
      <c r="A2369" s="11">
        <f>IF(INPUT!M2364="","",INPUT!M2364)</f>
        <v>46115</v>
      </c>
      <c r="B2369" s="11">
        <f>IF(INPUT!M2364="","",INPUT!M2364-WEEKDAY(INPUT!M2364,2)+1)</f>
        <v>46111</v>
      </c>
      <c r="C2369" s="20">
        <f>IFERROR(_xlfn.ISOWEEKNUM(INPUT!M2364),"")</f>
        <v>14</v>
      </c>
      <c r="D2369" s="20">
        <f>IFERROR(YEAR(INPUT!M2364),"")</f>
        <v>2026</v>
      </c>
      <c r="E2369" t="str">
        <f>IF(INPUT!O2364="","",INPUT!O2364)</f>
        <v>JAIME</v>
      </c>
      <c r="F2369" t="str">
        <f>IF(INPUT!N2364="","",INPUT!N2364)</f>
        <v>M</v>
      </c>
      <c r="G2369" t="str" cm="1">
        <f t="array" ref="G2369">IFERROR(VLOOKUP(INPUT!M2364&amp;INPUT!N2364,CHOOSE({1,2},INPUT!$A$3:$A$5000&amp;INPUT!$C$3:$C$5000,INPUT!$F$3:$F$5000),2,FALSE),"")</f>
        <v>PRE-TEMPORADA</v>
      </c>
      <c r="H2369" t="str" cm="1">
        <f t="array" ref="H2369">IFERROR(VLOOKUP(INPUT!M2364&amp;INPUT!N2364,CHOOSE({1,2},INPUT!$A$3:$A$5000&amp;INPUT!$C$3:$C$5000,INPUT!$D$3:$D$5000),2,FALSE),"")</f>
        <v>TEC-TAC</v>
      </c>
      <c r="I2369" s="46">
        <f>IF(INPUT!P2364="","",INPUT!P2364)</f>
        <v>76.5</v>
      </c>
      <c r="J2369" s="46">
        <f>IF(INPUT!Q2364="","",INPUT!Q2364)</f>
        <v>76.5</v>
      </c>
      <c r="K2369" s="46">
        <f>IFERROR(IF(OR(INPUT!P2364="",INPUT!Q2364=""),"",INPUT!P2364-INPUT!Q2364),"")</f>
        <v>0</v>
      </c>
      <c r="L2369" s="48">
        <f>IFERROR(IF(OR(INPUT!P2364="",INPUT!Q2364="",INPUT!P2364=0),"",(INPUT!P2364-INPUT!Q2364)/INPUT!P2364),"")</f>
        <v>0</v>
      </c>
    </row>
    <row r="2370" spans="1:12" ht="18" hidden="1" customHeight="1" x14ac:dyDescent="0.2">
      <c r="A2370" s="11">
        <f>IF(INPUT!M2365="","",INPUT!M2365)</f>
        <v>46116</v>
      </c>
      <c r="B2370" s="11">
        <f>IF(INPUT!M2365="","",INPUT!M2365-WEEKDAY(INPUT!M2365,2)+1)</f>
        <v>46111</v>
      </c>
      <c r="C2370" s="20">
        <f>IFERROR(_xlfn.ISOWEEKNUM(INPUT!M2365),"")</f>
        <v>14</v>
      </c>
      <c r="D2370" s="20">
        <f>IFERROR(YEAR(INPUT!M2365),"")</f>
        <v>2026</v>
      </c>
      <c r="E2370" t="str">
        <f>IF(INPUT!O2365="","",INPUT!O2365)</f>
        <v>HERRERO</v>
      </c>
      <c r="F2370" t="str">
        <f>IF(INPUT!N2365="","",INPUT!N2365)</f>
        <v>M</v>
      </c>
      <c r="G2370" t="str" cm="1">
        <f t="array" ref="G2370">IFERROR(VLOOKUP(INPUT!M2365&amp;INPUT!N2365,CHOOSE({1,2},INPUT!$A$3:$A$5000&amp;INPUT!$C$3:$C$5000,INPUT!$F$3:$F$5000),2,FALSE),"")</f>
        <v>PRE-TEMPORADA</v>
      </c>
      <c r="H2370" t="str" cm="1">
        <f t="array" ref="H2370">IFERROR(VLOOKUP(INPUT!M2365&amp;INPUT!N2365,CHOOSE({1,2},INPUT!$A$3:$A$5000&amp;INPUT!$C$3:$C$5000,INPUT!$D$3:$D$5000),2,FALSE),"")</f>
        <v>MATINAL</v>
      </c>
      <c r="I2370" s="46">
        <f>IF(INPUT!P2365="","",INPUT!P2365)</f>
        <v>77</v>
      </c>
      <c r="J2370" s="46">
        <f>IF(INPUT!Q2365="","",INPUT!Q2365)</f>
        <v>77</v>
      </c>
      <c r="K2370" s="46">
        <f>IFERROR(IF(OR(INPUT!P2365="",INPUT!Q2365=""),"",INPUT!P2365-INPUT!Q2365),"")</f>
        <v>0</v>
      </c>
      <c r="L2370" s="48">
        <f>IFERROR(IF(OR(INPUT!P2365="",INPUT!Q2365="",INPUT!P2365=0),"",(INPUT!P2365-INPUT!Q2365)/INPUT!P2365),"")</f>
        <v>0</v>
      </c>
    </row>
    <row r="2371" spans="1:12" ht="18" hidden="1" customHeight="1" x14ac:dyDescent="0.2">
      <c r="A2371" s="11">
        <f>IF(INPUT!M2366="","",INPUT!M2366)</f>
        <v>46116</v>
      </c>
      <c r="B2371" s="11">
        <f>IF(INPUT!M2366="","",INPUT!M2366-WEEKDAY(INPUT!M2366,2)+1)</f>
        <v>46111</v>
      </c>
      <c r="C2371" s="20">
        <f>IFERROR(_xlfn.ISOWEEKNUM(INPUT!M2366),"")</f>
        <v>14</v>
      </c>
      <c r="D2371" s="20">
        <f>IFERROR(YEAR(INPUT!M2366),"")</f>
        <v>2026</v>
      </c>
      <c r="E2371" t="str">
        <f>IF(INPUT!O2366="","",INPUT!O2366)</f>
        <v>HERRERO</v>
      </c>
      <c r="F2371" t="str">
        <f>IF(INPUT!N2366="","",INPUT!N2366)</f>
        <v>T</v>
      </c>
      <c r="G2371" t="str" cm="1">
        <f t="array" ref="G2371">IFERROR(VLOOKUP(INPUT!M2366&amp;INPUT!N2366,CHOOSE({1,2},INPUT!$A$3:$A$5000&amp;INPUT!$C$3:$C$5000,INPUT!$F$3:$F$5000),2,FALSE),"")</f>
        <v>PRE-TEMPORADA</v>
      </c>
      <c r="H2371" t="str" cm="1">
        <f t="array" ref="H2371">IFERROR(VLOOKUP(INPUT!M2366&amp;INPUT!N2366,CHOOSE({1,2},INPUT!$A$3:$A$5000&amp;INPUT!$C$3:$C$5000,INPUT!$D$3:$D$5000),2,FALSE),"")</f>
        <v>PARTIDO</v>
      </c>
      <c r="I2371" s="46">
        <f>IF(INPUT!P2366="","",INPUT!P2366)</f>
        <v>77</v>
      </c>
      <c r="J2371" s="46">
        <f>IF(INPUT!Q2366="","",INPUT!Q2366)</f>
        <v>77</v>
      </c>
      <c r="K2371" s="46">
        <f>IFERROR(IF(OR(INPUT!P2366="",INPUT!Q2366=""),"",INPUT!P2366-INPUT!Q2366),"")</f>
        <v>0</v>
      </c>
      <c r="L2371" s="48">
        <f>IFERROR(IF(OR(INPUT!P2366="",INPUT!Q2366="",INPUT!P2366=0),"",(INPUT!P2366-INPUT!Q2366)/INPUT!P2366),"")</f>
        <v>0</v>
      </c>
    </row>
    <row r="2372" spans="1:12" ht="18" hidden="1" customHeight="1" x14ac:dyDescent="0.2">
      <c r="A2372" s="11">
        <f>IF(INPUT!M2367="","",INPUT!M2367)</f>
        <v>46116</v>
      </c>
      <c r="B2372" s="11">
        <f>IF(INPUT!M2367="","",INPUT!M2367-WEEKDAY(INPUT!M2367,2)+1)</f>
        <v>46111</v>
      </c>
      <c r="C2372" s="20">
        <f>IFERROR(_xlfn.ISOWEEKNUM(INPUT!M2367),"")</f>
        <v>14</v>
      </c>
      <c r="D2372" s="20">
        <f>IFERROR(YEAR(INPUT!M2367),"")</f>
        <v>2026</v>
      </c>
      <c r="E2372" t="str">
        <f>IF(INPUT!O2367="","",INPUT!O2367)</f>
        <v>GARCIA</v>
      </c>
      <c r="F2372" t="str">
        <f>IF(INPUT!N2367="","",INPUT!N2367)</f>
        <v>M</v>
      </c>
      <c r="G2372" t="str" cm="1">
        <f t="array" ref="G2372">IFERROR(VLOOKUP(INPUT!M2367&amp;INPUT!N2367,CHOOSE({1,2},INPUT!$A$3:$A$5000&amp;INPUT!$C$3:$C$5000,INPUT!$F$3:$F$5000),2,FALSE),"")</f>
        <v>PRE-TEMPORADA</v>
      </c>
      <c r="H2372" t="str" cm="1">
        <f t="array" ref="H2372">IFERROR(VLOOKUP(INPUT!M2367&amp;INPUT!N2367,CHOOSE({1,2},INPUT!$A$3:$A$5000&amp;INPUT!$C$3:$C$5000,INPUT!$D$3:$D$5000),2,FALSE),"")</f>
        <v>MATINAL</v>
      </c>
      <c r="I2372" s="46">
        <f>IF(INPUT!P2367="","",INPUT!P2367)</f>
        <v>79.2</v>
      </c>
      <c r="J2372" s="46">
        <f>IF(INPUT!Q2367="","",INPUT!Q2367)</f>
        <v>79</v>
      </c>
      <c r="K2372" s="46">
        <f>IFERROR(IF(OR(INPUT!P2367="",INPUT!Q2367=""),"",INPUT!P2367-INPUT!Q2367),"")</f>
        <v>0.20000000000000284</v>
      </c>
      <c r="L2372" s="48">
        <f>IFERROR(IF(OR(INPUT!P2367="",INPUT!Q2367="",INPUT!P2367=0),"",(INPUT!P2367-INPUT!Q2367)/INPUT!P2367),"")</f>
        <v>2.525252525252561E-3</v>
      </c>
    </row>
    <row r="2373" spans="1:12" ht="18" hidden="1" customHeight="1" x14ac:dyDescent="0.2">
      <c r="A2373" s="11">
        <f>IF(INPUT!M2368="","",INPUT!M2368)</f>
        <v>46116</v>
      </c>
      <c r="B2373" s="11">
        <f>IF(INPUT!M2368="","",INPUT!M2368-WEEKDAY(INPUT!M2368,2)+1)</f>
        <v>46111</v>
      </c>
      <c r="C2373" s="20">
        <f>IFERROR(_xlfn.ISOWEEKNUM(INPUT!M2368),"")</f>
        <v>14</v>
      </c>
      <c r="D2373" s="20">
        <f>IFERROR(YEAR(INPUT!M2368),"")</f>
        <v>2026</v>
      </c>
      <c r="E2373" t="str">
        <f>IF(INPUT!O2368="","",INPUT!O2368)</f>
        <v>GARCIA</v>
      </c>
      <c r="F2373" t="str">
        <f>IF(INPUT!N2368="","",INPUT!N2368)</f>
        <v>T</v>
      </c>
      <c r="G2373" t="str" cm="1">
        <f t="array" ref="G2373">IFERROR(VLOOKUP(INPUT!M2368&amp;INPUT!N2368,CHOOSE({1,2},INPUT!$A$3:$A$5000&amp;INPUT!$C$3:$C$5000,INPUT!$F$3:$F$5000),2,FALSE),"")</f>
        <v>PRE-TEMPORADA</v>
      </c>
      <c r="H2373" t="str" cm="1">
        <f t="array" ref="H2373">IFERROR(VLOOKUP(INPUT!M2368&amp;INPUT!N2368,CHOOSE({1,2},INPUT!$A$3:$A$5000&amp;INPUT!$C$3:$C$5000,INPUT!$D$3:$D$5000),2,FALSE),"")</f>
        <v>PARTIDO</v>
      </c>
      <c r="I2373" s="46">
        <f>IF(INPUT!P2368="","",INPUT!P2368)</f>
        <v>79</v>
      </c>
      <c r="J2373" s="46">
        <f>IF(INPUT!Q2368="","",INPUT!Q2368)</f>
        <v>79</v>
      </c>
      <c r="K2373" s="46">
        <f>IFERROR(IF(OR(INPUT!P2368="",INPUT!Q2368=""),"",INPUT!P2368-INPUT!Q2368),"")</f>
        <v>0</v>
      </c>
      <c r="L2373" s="48">
        <f>IFERROR(IF(OR(INPUT!P2368="",INPUT!Q2368="",INPUT!P2368=0),"",(INPUT!P2368-INPUT!Q2368)/INPUT!P2368),"")</f>
        <v>0</v>
      </c>
    </row>
    <row r="2374" spans="1:12" ht="18" hidden="1" customHeight="1" x14ac:dyDescent="0.2">
      <c r="A2374" s="11">
        <f>IF(INPUT!M2369="","",INPUT!M2369)</f>
        <v>46116</v>
      </c>
      <c r="B2374" s="11">
        <f>IF(INPUT!M2369="","",INPUT!M2369-WEEKDAY(INPUT!M2369,2)+1)</f>
        <v>46111</v>
      </c>
      <c r="C2374" s="20">
        <f>IFERROR(_xlfn.ISOWEEKNUM(INPUT!M2369),"")</f>
        <v>14</v>
      </c>
      <c r="D2374" s="20">
        <f>IFERROR(YEAR(INPUT!M2369),"")</f>
        <v>2026</v>
      </c>
      <c r="E2374" t="str">
        <f>IF(INPUT!O2369="","",INPUT!O2369)</f>
        <v>CECILIO</v>
      </c>
      <c r="F2374" t="str">
        <f>IF(INPUT!N2369="","",INPUT!N2369)</f>
        <v>M</v>
      </c>
      <c r="G2374" t="str" cm="1">
        <f t="array" ref="G2374">IFERROR(VLOOKUP(INPUT!M2369&amp;INPUT!N2369,CHOOSE({1,2},INPUT!$A$3:$A$5000&amp;INPUT!$C$3:$C$5000,INPUT!$F$3:$F$5000),2,FALSE),"")</f>
        <v>PRE-TEMPORADA</v>
      </c>
      <c r="H2374" t="str" cm="1">
        <f t="array" ref="H2374">IFERROR(VLOOKUP(INPUT!M2369&amp;INPUT!N2369,CHOOSE({1,2},INPUT!$A$3:$A$5000&amp;INPUT!$C$3:$C$5000,INPUT!$D$3:$D$5000),2,FALSE),"")</f>
        <v>MATINAL</v>
      </c>
      <c r="I2374" s="46">
        <f>IF(INPUT!P2369="","",INPUT!P2369)</f>
        <v>68</v>
      </c>
      <c r="J2374" s="46">
        <f>IF(INPUT!Q2369="","",INPUT!Q2369)</f>
        <v>67.099999999999994</v>
      </c>
      <c r="K2374" s="46">
        <f>IFERROR(IF(OR(INPUT!P2369="",INPUT!Q2369=""),"",INPUT!P2369-INPUT!Q2369),"")</f>
        <v>0.90000000000000568</v>
      </c>
      <c r="L2374" s="48">
        <f>IFERROR(IF(OR(INPUT!P2369="",INPUT!Q2369="",INPUT!P2369=0),"",(INPUT!P2369-INPUT!Q2369)/INPUT!P2369),"")</f>
        <v>1.3235294117647142E-2</v>
      </c>
    </row>
    <row r="2375" spans="1:12" ht="18" hidden="1" customHeight="1" x14ac:dyDescent="0.2">
      <c r="A2375" s="11">
        <f>IF(INPUT!M2370="","",INPUT!M2370)</f>
        <v>46116</v>
      </c>
      <c r="B2375" s="11">
        <f>IF(INPUT!M2370="","",INPUT!M2370-WEEKDAY(INPUT!M2370,2)+1)</f>
        <v>46111</v>
      </c>
      <c r="C2375" s="20">
        <f>IFERROR(_xlfn.ISOWEEKNUM(INPUT!M2370),"")</f>
        <v>14</v>
      </c>
      <c r="D2375" s="20">
        <f>IFERROR(YEAR(INPUT!M2370),"")</f>
        <v>2026</v>
      </c>
      <c r="E2375" t="str">
        <f>IF(INPUT!O2370="","",INPUT!O2370)</f>
        <v>CECILIO</v>
      </c>
      <c r="F2375" t="str">
        <f>IF(INPUT!N2370="","",INPUT!N2370)</f>
        <v>T</v>
      </c>
      <c r="G2375" t="str" cm="1">
        <f t="array" ref="G2375">IFERROR(VLOOKUP(INPUT!M2370&amp;INPUT!N2370,CHOOSE({1,2},INPUT!$A$3:$A$5000&amp;INPUT!$C$3:$C$5000,INPUT!$F$3:$F$5000),2,FALSE),"")</f>
        <v>PRE-TEMPORADA</v>
      </c>
      <c r="H2375" t="str" cm="1">
        <f t="array" ref="H2375">IFERROR(VLOOKUP(INPUT!M2370&amp;INPUT!N2370,CHOOSE({1,2},INPUT!$A$3:$A$5000&amp;INPUT!$C$3:$C$5000,INPUT!$D$3:$D$5000),2,FALSE),"")</f>
        <v>PARTIDO</v>
      </c>
      <c r="I2375" s="46">
        <f>IF(INPUT!P2370="","",INPUT!P2370)</f>
        <v>69</v>
      </c>
      <c r="J2375" s="46">
        <f>IF(INPUT!Q2370="","",INPUT!Q2370)</f>
        <v>67.099999999999994</v>
      </c>
      <c r="K2375" s="46">
        <f>IFERROR(IF(OR(INPUT!P2370="",INPUT!Q2370=""),"",INPUT!P2370-INPUT!Q2370),"")</f>
        <v>1.9000000000000057</v>
      </c>
      <c r="L2375" s="48">
        <f>IFERROR(IF(OR(INPUT!P2370="",INPUT!Q2370="",INPUT!P2370=0),"",(INPUT!P2370-INPUT!Q2370)/INPUT!P2370),"")</f>
        <v>2.7536231884058054E-2</v>
      </c>
    </row>
    <row r="2376" spans="1:12" ht="18" hidden="1" customHeight="1" x14ac:dyDescent="0.2">
      <c r="A2376" s="11">
        <f>IF(INPUT!M2371="","",INPUT!M2371)</f>
        <v>46116</v>
      </c>
      <c r="B2376" s="11">
        <f>IF(INPUT!M2371="","",INPUT!M2371-WEEKDAY(INPUT!M2371,2)+1)</f>
        <v>46111</v>
      </c>
      <c r="C2376" s="20">
        <f>IFERROR(_xlfn.ISOWEEKNUM(INPUT!M2371),"")</f>
        <v>14</v>
      </c>
      <c r="D2376" s="20">
        <f>IFERROR(YEAR(INPUT!M2371),"")</f>
        <v>2026</v>
      </c>
      <c r="E2376" t="str">
        <f>IF(INPUT!O2371="","",INPUT!O2371)</f>
        <v>CHAGUINHA</v>
      </c>
      <c r="F2376" t="str">
        <f>IF(INPUT!N2371="","",INPUT!N2371)</f>
        <v>M</v>
      </c>
      <c r="G2376" t="str" cm="1">
        <f t="array" ref="G2376">IFERROR(VLOOKUP(INPUT!M2371&amp;INPUT!N2371,CHOOSE({1,2},INPUT!$A$3:$A$5000&amp;INPUT!$C$3:$C$5000,INPUT!$F$3:$F$5000),2,FALSE),"")</f>
        <v>PRE-TEMPORADA</v>
      </c>
      <c r="H2376" t="str" cm="1">
        <f t="array" ref="H2376">IFERROR(VLOOKUP(INPUT!M2371&amp;INPUT!N2371,CHOOSE({1,2},INPUT!$A$3:$A$5000&amp;INPUT!$C$3:$C$5000,INPUT!$D$3:$D$5000),2,FALSE),"")</f>
        <v>MATINAL</v>
      </c>
      <c r="I2376" s="46">
        <f>IF(INPUT!P2371="","",INPUT!P2371)</f>
        <v>69</v>
      </c>
      <c r="J2376" s="46">
        <f>IF(INPUT!Q2371="","",INPUT!Q2371)</f>
        <v>68.7</v>
      </c>
      <c r="K2376" s="46">
        <f>IFERROR(IF(OR(INPUT!P2371="",INPUT!Q2371=""),"",INPUT!P2371-INPUT!Q2371),"")</f>
        <v>0.29999999999999716</v>
      </c>
      <c r="L2376" s="48">
        <f>IFERROR(IF(OR(INPUT!P2371="",INPUT!Q2371="",INPUT!P2371=0),"",(INPUT!P2371-INPUT!Q2371)/INPUT!P2371),"")</f>
        <v>4.3478260869564802E-3</v>
      </c>
    </row>
    <row r="2377" spans="1:12" ht="18" hidden="1" customHeight="1" x14ac:dyDescent="0.2">
      <c r="A2377" s="11">
        <f>IF(INPUT!M2372="","",INPUT!M2372)</f>
        <v>46116</v>
      </c>
      <c r="B2377" s="11">
        <f>IF(INPUT!M2372="","",INPUT!M2372-WEEKDAY(INPUT!M2372,2)+1)</f>
        <v>46111</v>
      </c>
      <c r="C2377" s="20">
        <f>IFERROR(_xlfn.ISOWEEKNUM(INPUT!M2372),"")</f>
        <v>14</v>
      </c>
      <c r="D2377" s="20">
        <f>IFERROR(YEAR(INPUT!M2372),"")</f>
        <v>2026</v>
      </c>
      <c r="E2377" t="str">
        <f>IF(INPUT!O2372="","",INPUT!O2372)</f>
        <v>CHAGUINHA</v>
      </c>
      <c r="F2377" t="str">
        <f>IF(INPUT!N2372="","",INPUT!N2372)</f>
        <v>T</v>
      </c>
      <c r="G2377" t="str" cm="1">
        <f t="array" ref="G2377">IFERROR(VLOOKUP(INPUT!M2372&amp;INPUT!N2372,CHOOSE({1,2},INPUT!$A$3:$A$5000&amp;INPUT!$C$3:$C$5000,INPUT!$F$3:$F$5000),2,FALSE),"")</f>
        <v>PRE-TEMPORADA</v>
      </c>
      <c r="H2377" t="str" cm="1">
        <f t="array" ref="H2377">IFERROR(VLOOKUP(INPUT!M2372&amp;INPUT!N2372,CHOOSE({1,2},INPUT!$A$3:$A$5000&amp;INPUT!$C$3:$C$5000,INPUT!$D$3:$D$5000),2,FALSE),"")</f>
        <v>PARTIDO</v>
      </c>
      <c r="I2377" s="46">
        <f>IF(INPUT!P2372="","",INPUT!P2372)</f>
        <v>69</v>
      </c>
      <c r="J2377" s="46">
        <f>IF(INPUT!Q2372="","",INPUT!Q2372)</f>
        <v>68</v>
      </c>
      <c r="K2377" s="46">
        <f>IFERROR(IF(OR(INPUT!P2372="",INPUT!Q2372=""),"",INPUT!P2372-INPUT!Q2372),"")</f>
        <v>1</v>
      </c>
      <c r="L2377" s="48">
        <f>IFERROR(IF(OR(INPUT!P2372="",INPUT!Q2372="",INPUT!P2372=0),"",(INPUT!P2372-INPUT!Q2372)/INPUT!P2372),"")</f>
        <v>1.4492753623188406E-2</v>
      </c>
    </row>
    <row r="2378" spans="1:12" ht="18" hidden="1" customHeight="1" x14ac:dyDescent="0.2">
      <c r="A2378" s="11">
        <f>IF(INPUT!M2373="","",INPUT!M2373)</f>
        <v>46116</v>
      </c>
      <c r="B2378" s="11">
        <f>IF(INPUT!M2373="","",INPUT!M2373-WEEKDAY(INPUT!M2373,2)+1)</f>
        <v>46111</v>
      </c>
      <c r="C2378" s="20">
        <f>IFERROR(_xlfn.ISOWEEKNUM(INPUT!M2373),"")</f>
        <v>14</v>
      </c>
      <c r="D2378" s="20">
        <f>IFERROR(YEAR(INPUT!M2373),"")</f>
        <v>2026</v>
      </c>
      <c r="E2378" t="str">
        <f>IF(INPUT!O2373="","",INPUT!O2373)</f>
        <v>RAUL</v>
      </c>
      <c r="F2378" t="str">
        <f>IF(INPUT!N2373="","",INPUT!N2373)</f>
        <v>M</v>
      </c>
      <c r="G2378" t="str" cm="1">
        <f t="array" ref="G2378">IFERROR(VLOOKUP(INPUT!M2373&amp;INPUT!N2373,CHOOSE({1,2},INPUT!$A$3:$A$5000&amp;INPUT!$C$3:$C$5000,INPUT!$F$3:$F$5000),2,FALSE),"")</f>
        <v>PRE-TEMPORADA</v>
      </c>
      <c r="H2378" t="str" cm="1">
        <f t="array" ref="H2378">IFERROR(VLOOKUP(INPUT!M2373&amp;INPUT!N2373,CHOOSE({1,2},INPUT!$A$3:$A$5000&amp;INPUT!$C$3:$C$5000,INPUT!$D$3:$D$5000),2,FALSE),"")</f>
        <v>MATINAL</v>
      </c>
      <c r="I2378" s="46">
        <f>IF(INPUT!P2373="","",INPUT!P2373)</f>
        <v>81.3</v>
      </c>
      <c r="J2378" s="46">
        <f>IF(INPUT!Q2373="","",INPUT!Q2373)</f>
        <v>81.2</v>
      </c>
      <c r="K2378" s="46">
        <f>IFERROR(IF(OR(INPUT!P2373="",INPUT!Q2373=""),"",INPUT!P2373-INPUT!Q2373),"")</f>
        <v>9.9999999999994316E-2</v>
      </c>
      <c r="L2378" s="48">
        <f>IFERROR(IF(OR(INPUT!P2373="",INPUT!Q2373="",INPUT!P2373=0),"",(INPUT!P2373-INPUT!Q2373)/INPUT!P2373),"")</f>
        <v>1.2300123001229314E-3</v>
      </c>
    </row>
    <row r="2379" spans="1:12" ht="18" hidden="1" customHeight="1" x14ac:dyDescent="0.2">
      <c r="A2379" s="11">
        <f>IF(INPUT!M2374="","",INPUT!M2374)</f>
        <v>46116</v>
      </c>
      <c r="B2379" s="11">
        <f>IF(INPUT!M2374="","",INPUT!M2374-WEEKDAY(INPUT!M2374,2)+1)</f>
        <v>46111</v>
      </c>
      <c r="C2379" s="20">
        <f>IFERROR(_xlfn.ISOWEEKNUM(INPUT!M2374),"")</f>
        <v>14</v>
      </c>
      <c r="D2379" s="20">
        <f>IFERROR(YEAR(INPUT!M2374),"")</f>
        <v>2026</v>
      </c>
      <c r="E2379" t="str">
        <f>IF(INPUT!O2374="","",INPUT!O2374)</f>
        <v>RAUL</v>
      </c>
      <c r="F2379" t="str">
        <f>IF(INPUT!N2374="","",INPUT!N2374)</f>
        <v>T</v>
      </c>
      <c r="G2379" t="str" cm="1">
        <f t="array" ref="G2379">IFERROR(VLOOKUP(INPUT!M2374&amp;INPUT!N2374,CHOOSE({1,2},INPUT!$A$3:$A$5000&amp;INPUT!$C$3:$C$5000,INPUT!$F$3:$F$5000),2,FALSE),"")</f>
        <v>PRE-TEMPORADA</v>
      </c>
      <c r="H2379" t="str" cm="1">
        <f t="array" ref="H2379">IFERROR(VLOOKUP(INPUT!M2374&amp;INPUT!N2374,CHOOSE({1,2},INPUT!$A$3:$A$5000&amp;INPUT!$C$3:$C$5000,INPUT!$D$3:$D$5000),2,FALSE),"")</f>
        <v>PARTIDO</v>
      </c>
      <c r="I2379" s="46">
        <f>IF(INPUT!P2374="","",INPUT!P2374)</f>
        <v>82</v>
      </c>
      <c r="J2379" s="46">
        <f>IF(INPUT!Q2374="","",INPUT!Q2374)</f>
        <v>81</v>
      </c>
      <c r="K2379" s="46">
        <f>IFERROR(IF(OR(INPUT!P2374="",INPUT!Q2374=""),"",INPUT!P2374-INPUT!Q2374),"")</f>
        <v>1</v>
      </c>
      <c r="L2379" s="48">
        <f>IFERROR(IF(OR(INPUT!P2374="",INPUT!Q2374="",INPUT!P2374=0),"",(INPUT!P2374-INPUT!Q2374)/INPUT!P2374),"")</f>
        <v>1.2195121951219513E-2</v>
      </c>
    </row>
    <row r="2380" spans="1:12" ht="18" hidden="1" customHeight="1" x14ac:dyDescent="0.2">
      <c r="A2380" s="11">
        <f>IF(INPUT!M2375="","",INPUT!M2375)</f>
        <v>46116</v>
      </c>
      <c r="B2380" s="11">
        <f>IF(INPUT!M2375="","",INPUT!M2375-WEEKDAY(INPUT!M2375,2)+1)</f>
        <v>46111</v>
      </c>
      <c r="C2380" s="20">
        <f>IFERROR(_xlfn.ISOWEEKNUM(INPUT!M2375),"")</f>
        <v>14</v>
      </c>
      <c r="D2380" s="20">
        <f>IFERROR(YEAR(INPUT!M2375),"")</f>
        <v>2026</v>
      </c>
      <c r="E2380" t="str">
        <f>IF(INPUT!O2375="","",INPUT!O2375)</f>
        <v>HARRISON</v>
      </c>
      <c r="F2380" t="str">
        <f>IF(INPUT!N2375="","",INPUT!N2375)</f>
        <v>M</v>
      </c>
      <c r="G2380" t="str" cm="1">
        <f t="array" ref="G2380">IFERROR(VLOOKUP(INPUT!M2375&amp;INPUT!N2375,CHOOSE({1,2},INPUT!$A$3:$A$5000&amp;INPUT!$C$3:$C$5000,INPUT!$F$3:$F$5000),2,FALSE),"")</f>
        <v>PRE-TEMPORADA</v>
      </c>
      <c r="H2380" t="str" cm="1">
        <f t="array" ref="H2380">IFERROR(VLOOKUP(INPUT!M2375&amp;INPUT!N2375,CHOOSE({1,2},INPUT!$A$3:$A$5000&amp;INPUT!$C$3:$C$5000,INPUT!$D$3:$D$5000),2,FALSE),"")</f>
        <v>MATINAL</v>
      </c>
      <c r="I2380" s="46">
        <f>IF(INPUT!P2375="","",INPUT!P2375)</f>
        <v>72</v>
      </c>
      <c r="J2380" s="46">
        <f>IF(INPUT!Q2375="","",INPUT!Q2375)</f>
        <v>72</v>
      </c>
      <c r="K2380" s="46">
        <f>IFERROR(IF(OR(INPUT!P2375="",INPUT!Q2375=""),"",INPUT!P2375-INPUT!Q2375),"")</f>
        <v>0</v>
      </c>
      <c r="L2380" s="48">
        <f>IFERROR(IF(OR(INPUT!P2375="",INPUT!Q2375="",INPUT!P2375=0),"",(INPUT!P2375-INPUT!Q2375)/INPUT!P2375),"")</f>
        <v>0</v>
      </c>
    </row>
    <row r="2381" spans="1:12" ht="18" hidden="1" customHeight="1" x14ac:dyDescent="0.2">
      <c r="A2381" s="11">
        <f>IF(INPUT!M2376="","",INPUT!M2376)</f>
        <v>46116</v>
      </c>
      <c r="B2381" s="11">
        <f>IF(INPUT!M2376="","",INPUT!M2376-WEEKDAY(INPUT!M2376,2)+1)</f>
        <v>46111</v>
      </c>
      <c r="C2381" s="20">
        <f>IFERROR(_xlfn.ISOWEEKNUM(INPUT!M2376),"")</f>
        <v>14</v>
      </c>
      <c r="D2381" s="20">
        <f>IFERROR(YEAR(INPUT!M2376),"")</f>
        <v>2026</v>
      </c>
      <c r="E2381" t="str">
        <f>IF(INPUT!O2376="","",INPUT!O2376)</f>
        <v>HARRISON</v>
      </c>
      <c r="F2381" t="str">
        <f>IF(INPUT!N2376="","",INPUT!N2376)</f>
        <v>T</v>
      </c>
      <c r="G2381" t="str" cm="1">
        <f t="array" ref="G2381">IFERROR(VLOOKUP(INPUT!M2376&amp;INPUT!N2376,CHOOSE({1,2},INPUT!$A$3:$A$5000&amp;INPUT!$C$3:$C$5000,INPUT!$F$3:$F$5000),2,FALSE),"")</f>
        <v>PRE-TEMPORADA</v>
      </c>
      <c r="H2381" t="str" cm="1">
        <f t="array" ref="H2381">IFERROR(VLOOKUP(INPUT!M2376&amp;INPUT!N2376,CHOOSE({1,2},INPUT!$A$3:$A$5000&amp;INPUT!$C$3:$C$5000,INPUT!$D$3:$D$5000),2,FALSE),"")</f>
        <v>PARTIDO</v>
      </c>
      <c r="I2381" s="46">
        <f>IF(INPUT!P2376="","",INPUT!P2376)</f>
        <v>71.7</v>
      </c>
      <c r="J2381" s="46">
        <f>IF(INPUT!Q2376="","",INPUT!Q2376)</f>
        <v>72</v>
      </c>
      <c r="K2381" s="46">
        <f>IFERROR(IF(OR(INPUT!P2376="",INPUT!Q2376=""),"",INPUT!P2376-INPUT!Q2376),"")</f>
        <v>-0.29999999999999716</v>
      </c>
      <c r="L2381" s="48">
        <f>IFERROR(IF(OR(INPUT!P2376="",INPUT!Q2376="",INPUT!P2376=0),"",(INPUT!P2376-INPUT!Q2376)/INPUT!P2376),"")</f>
        <v>-4.1841004184100025E-3</v>
      </c>
    </row>
    <row r="2382" spans="1:12" ht="18" hidden="1" customHeight="1" x14ac:dyDescent="0.2">
      <c r="A2382" s="11">
        <f>IF(INPUT!M2377="","",INPUT!M2377)</f>
        <v>46116</v>
      </c>
      <c r="B2382" s="11">
        <f>IF(INPUT!M2377="","",INPUT!M2377-WEEKDAY(INPUT!M2377,2)+1)</f>
        <v>46111</v>
      </c>
      <c r="C2382" s="20">
        <f>IFERROR(_xlfn.ISOWEEKNUM(INPUT!M2377),"")</f>
        <v>14</v>
      </c>
      <c r="D2382" s="20">
        <f>IFERROR(YEAR(INPUT!M2377),"")</f>
        <v>2026</v>
      </c>
      <c r="E2382" t="str">
        <f>IF(INPUT!O2377="","",INPUT!O2377)</f>
        <v>JAVI</v>
      </c>
      <c r="F2382" t="str">
        <f>IF(INPUT!N2377="","",INPUT!N2377)</f>
        <v>M</v>
      </c>
      <c r="G2382" t="str" cm="1">
        <f t="array" ref="G2382">IFERROR(VLOOKUP(INPUT!M2377&amp;INPUT!N2377,CHOOSE({1,2},INPUT!$A$3:$A$5000&amp;INPUT!$C$3:$C$5000,INPUT!$F$3:$F$5000),2,FALSE),"")</f>
        <v>PRE-TEMPORADA</v>
      </c>
      <c r="H2382" t="str" cm="1">
        <f t="array" ref="H2382">IFERROR(VLOOKUP(INPUT!M2377&amp;INPUT!N2377,CHOOSE({1,2},INPUT!$A$3:$A$5000&amp;INPUT!$C$3:$C$5000,INPUT!$D$3:$D$5000),2,FALSE),"")</f>
        <v>MATINAL</v>
      </c>
      <c r="I2382" s="46">
        <f>IF(INPUT!P2377="","",INPUT!P2377)</f>
        <v>79.5</v>
      </c>
      <c r="J2382" s="46">
        <f>IF(INPUT!Q2377="","",INPUT!Q2377)</f>
        <v>79.400000000000006</v>
      </c>
      <c r="K2382" s="46">
        <f>IFERROR(IF(OR(INPUT!P2377="",INPUT!Q2377=""),"",INPUT!P2377-INPUT!Q2377),"")</f>
        <v>9.9999999999994316E-2</v>
      </c>
      <c r="L2382" s="48">
        <f>IFERROR(IF(OR(INPUT!P2377="",INPUT!Q2377="",INPUT!P2377=0),"",(INPUT!P2377-INPUT!Q2377)/INPUT!P2377),"")</f>
        <v>1.2578616352200544E-3</v>
      </c>
    </row>
    <row r="2383" spans="1:12" ht="18" hidden="1" customHeight="1" x14ac:dyDescent="0.2">
      <c r="A2383" s="11">
        <f>IF(INPUT!M2378="","",INPUT!M2378)</f>
        <v>46116</v>
      </c>
      <c r="B2383" s="11">
        <f>IF(INPUT!M2378="","",INPUT!M2378-WEEKDAY(INPUT!M2378,2)+1)</f>
        <v>46111</v>
      </c>
      <c r="C2383" s="20">
        <f>IFERROR(_xlfn.ISOWEEKNUM(INPUT!M2378),"")</f>
        <v>14</v>
      </c>
      <c r="D2383" s="20">
        <f>IFERROR(YEAR(INPUT!M2378),"")</f>
        <v>2026</v>
      </c>
      <c r="E2383" t="str">
        <f>IF(INPUT!O2378="","",INPUT!O2378)</f>
        <v>JAVI</v>
      </c>
      <c r="F2383" t="str">
        <f>IF(INPUT!N2378="","",INPUT!N2378)</f>
        <v>T</v>
      </c>
      <c r="G2383" t="str" cm="1">
        <f t="array" ref="G2383">IFERROR(VLOOKUP(INPUT!M2378&amp;INPUT!N2378,CHOOSE({1,2},INPUT!$A$3:$A$5000&amp;INPUT!$C$3:$C$5000,INPUT!$F$3:$F$5000),2,FALSE),"")</f>
        <v>PRE-TEMPORADA</v>
      </c>
      <c r="H2383" t="str" cm="1">
        <f t="array" ref="H2383">IFERROR(VLOOKUP(INPUT!M2378&amp;INPUT!N2378,CHOOSE({1,2},INPUT!$A$3:$A$5000&amp;INPUT!$C$3:$C$5000,INPUT!$D$3:$D$5000),2,FALSE),"")</f>
        <v>PARTIDO</v>
      </c>
      <c r="I2383" s="46">
        <f>IF(INPUT!P2378="","",INPUT!P2378)</f>
        <v>79.5</v>
      </c>
      <c r="J2383" s="46">
        <f>IF(INPUT!Q2378="","",INPUT!Q2378)</f>
        <v>79.5</v>
      </c>
      <c r="K2383" s="46">
        <f>IFERROR(IF(OR(INPUT!P2378="",INPUT!Q2378=""),"",INPUT!P2378-INPUT!Q2378),"")</f>
        <v>0</v>
      </c>
      <c r="L2383" s="48">
        <f>IFERROR(IF(OR(INPUT!P2378="",INPUT!Q2378="",INPUT!P2378=0),"",(INPUT!P2378-INPUT!Q2378)/INPUT!P2378),"")</f>
        <v>0</v>
      </c>
    </row>
    <row r="2384" spans="1:12" ht="18" hidden="1" customHeight="1" x14ac:dyDescent="0.2">
      <c r="A2384" s="11">
        <f>IF(INPUT!M2379="","",INPUT!M2379)</f>
        <v>46116</v>
      </c>
      <c r="B2384" s="11">
        <f>IF(INPUT!M2379="","",INPUT!M2379-WEEKDAY(INPUT!M2379,2)+1)</f>
        <v>46111</v>
      </c>
      <c r="C2384" s="20">
        <f>IFERROR(_xlfn.ISOWEEKNUM(INPUT!M2379),"")</f>
        <v>14</v>
      </c>
      <c r="D2384" s="20">
        <f>IFERROR(YEAR(INPUT!M2379),"")</f>
        <v>2026</v>
      </c>
      <c r="E2384" t="str">
        <f>IF(INPUT!O2379="","",INPUT!O2379)</f>
        <v>PANI</v>
      </c>
      <c r="F2384" t="str">
        <f>IF(INPUT!N2379="","",INPUT!N2379)</f>
        <v>M</v>
      </c>
      <c r="G2384" t="str" cm="1">
        <f t="array" ref="G2384">IFERROR(VLOOKUP(INPUT!M2379&amp;INPUT!N2379,CHOOSE({1,2},INPUT!$A$3:$A$5000&amp;INPUT!$C$3:$C$5000,INPUT!$F$3:$F$5000),2,FALSE),"")</f>
        <v>PRE-TEMPORADA</v>
      </c>
      <c r="H2384" t="str" cm="1">
        <f t="array" ref="H2384">IFERROR(VLOOKUP(INPUT!M2379&amp;INPUT!N2379,CHOOSE({1,2},INPUT!$A$3:$A$5000&amp;INPUT!$C$3:$C$5000,INPUT!$D$3:$D$5000),2,FALSE),"")</f>
        <v>MATINAL</v>
      </c>
      <c r="I2384" s="46">
        <f>IF(INPUT!P2379="","",INPUT!P2379)</f>
        <v>66.2</v>
      </c>
      <c r="J2384" s="46">
        <f>IF(INPUT!Q2379="","",INPUT!Q2379)</f>
        <v>65.400000000000006</v>
      </c>
      <c r="K2384" s="46">
        <f>IFERROR(IF(OR(INPUT!P2379="",INPUT!Q2379=""),"",INPUT!P2379-INPUT!Q2379),"")</f>
        <v>0.79999999999999716</v>
      </c>
      <c r="L2384" s="48">
        <f>IFERROR(IF(OR(INPUT!P2379="",INPUT!Q2379="",INPUT!P2379=0),"",(INPUT!P2379-INPUT!Q2379)/INPUT!P2379),"")</f>
        <v>1.2084592145015062E-2</v>
      </c>
    </row>
    <row r="2385" spans="1:12" ht="18" hidden="1" customHeight="1" x14ac:dyDescent="0.2">
      <c r="A2385" s="11">
        <f>IF(INPUT!M2380="","",INPUT!M2380)</f>
        <v>46116</v>
      </c>
      <c r="B2385" s="11">
        <f>IF(INPUT!M2380="","",INPUT!M2380-WEEKDAY(INPUT!M2380,2)+1)</f>
        <v>46111</v>
      </c>
      <c r="C2385" s="20">
        <f>IFERROR(_xlfn.ISOWEEKNUM(INPUT!M2380),"")</f>
        <v>14</v>
      </c>
      <c r="D2385" s="20">
        <f>IFERROR(YEAR(INPUT!M2380),"")</f>
        <v>2026</v>
      </c>
      <c r="E2385" t="str">
        <f>IF(INPUT!O2380="","",INPUT!O2380)</f>
        <v>PANI</v>
      </c>
      <c r="F2385" t="str">
        <f>IF(INPUT!N2380="","",INPUT!N2380)</f>
        <v>T</v>
      </c>
      <c r="G2385" t="str" cm="1">
        <f t="array" ref="G2385">IFERROR(VLOOKUP(INPUT!M2380&amp;INPUT!N2380,CHOOSE({1,2},INPUT!$A$3:$A$5000&amp;INPUT!$C$3:$C$5000,INPUT!$F$3:$F$5000),2,FALSE),"")</f>
        <v>PRE-TEMPORADA</v>
      </c>
      <c r="H2385" t="str" cm="1">
        <f t="array" ref="H2385">IFERROR(VLOOKUP(INPUT!M2380&amp;INPUT!N2380,CHOOSE({1,2},INPUT!$A$3:$A$5000&amp;INPUT!$C$3:$C$5000,INPUT!$D$3:$D$5000),2,FALSE),"")</f>
        <v>PARTIDO</v>
      </c>
      <c r="I2385" s="46">
        <f>IF(INPUT!P2380="","",INPUT!P2380)</f>
        <v>66.900000000000006</v>
      </c>
      <c r="J2385" s="46">
        <f>IF(INPUT!Q2380="","",INPUT!Q2380)</f>
        <v>66.099999999999994</v>
      </c>
      <c r="K2385" s="46">
        <f>IFERROR(IF(OR(INPUT!P2380="",INPUT!Q2380=""),"",INPUT!P2380-INPUT!Q2380),"")</f>
        <v>0.80000000000001137</v>
      </c>
      <c r="L2385" s="48">
        <f>IFERROR(IF(OR(INPUT!P2380="",INPUT!Q2380="",INPUT!P2380=0),"",(INPUT!P2380-INPUT!Q2380)/INPUT!P2380),"")</f>
        <v>1.1958146487294638E-2</v>
      </c>
    </row>
    <row r="2386" spans="1:12" ht="18" hidden="1" customHeight="1" x14ac:dyDescent="0.2">
      <c r="A2386" s="11">
        <f>IF(INPUT!M2381="","",INPUT!M2381)</f>
        <v>46116</v>
      </c>
      <c r="B2386" s="11">
        <f>IF(INPUT!M2381="","",INPUT!M2381-WEEKDAY(INPUT!M2381,2)+1)</f>
        <v>46111</v>
      </c>
      <c r="C2386" s="20">
        <f>IFERROR(_xlfn.ISOWEEKNUM(INPUT!M2381),"")</f>
        <v>14</v>
      </c>
      <c r="D2386" s="20">
        <f>IFERROR(YEAR(INPUT!M2381),"")</f>
        <v>2026</v>
      </c>
      <c r="E2386" t="str">
        <f>IF(INPUT!O2381="","",INPUT!O2381)</f>
        <v>PIRATA</v>
      </c>
      <c r="F2386" t="str">
        <f>IF(INPUT!N2381="","",INPUT!N2381)</f>
        <v>M</v>
      </c>
      <c r="G2386" t="str" cm="1">
        <f t="array" ref="G2386">IFERROR(VLOOKUP(INPUT!M2381&amp;INPUT!N2381,CHOOSE({1,2},INPUT!$A$3:$A$5000&amp;INPUT!$C$3:$C$5000,INPUT!$F$3:$F$5000),2,FALSE),"")</f>
        <v>PRE-TEMPORADA</v>
      </c>
      <c r="H2386" t="str" cm="1">
        <f t="array" ref="H2386">IFERROR(VLOOKUP(INPUT!M2381&amp;INPUT!N2381,CHOOSE({1,2},INPUT!$A$3:$A$5000&amp;INPUT!$C$3:$C$5000,INPUT!$D$3:$D$5000),2,FALSE),"")</f>
        <v>MATINAL</v>
      </c>
      <c r="I2386" s="46">
        <f>IF(INPUT!P2381="","",INPUT!P2381)</f>
        <v>75.8</v>
      </c>
      <c r="J2386" s="46">
        <f>IF(INPUT!Q2381="","",INPUT!Q2381)</f>
        <v>85.6</v>
      </c>
      <c r="K2386" s="46">
        <f>IFERROR(IF(OR(INPUT!P2381="",INPUT!Q2381=""),"",INPUT!P2381-INPUT!Q2381),"")</f>
        <v>-9.7999999999999972</v>
      </c>
      <c r="L2386" s="48">
        <f>IFERROR(IF(OR(INPUT!P2381="",INPUT!Q2381="",INPUT!P2381=0),"",(INPUT!P2381-INPUT!Q2381)/INPUT!P2381),"")</f>
        <v>-0.12928759894459099</v>
      </c>
    </row>
    <row r="2387" spans="1:12" ht="18" hidden="1" customHeight="1" x14ac:dyDescent="0.2">
      <c r="A2387" s="11">
        <f>IF(INPUT!M2382="","",INPUT!M2382)</f>
        <v>46116</v>
      </c>
      <c r="B2387" s="11">
        <f>IF(INPUT!M2382="","",INPUT!M2382-WEEKDAY(INPUT!M2382,2)+1)</f>
        <v>46111</v>
      </c>
      <c r="C2387" s="20">
        <f>IFERROR(_xlfn.ISOWEEKNUM(INPUT!M2382),"")</f>
        <v>14</v>
      </c>
      <c r="D2387" s="20">
        <f>IFERROR(YEAR(INPUT!M2382),"")</f>
        <v>2026</v>
      </c>
      <c r="E2387" t="str">
        <f>IF(INPUT!O2382="","",INPUT!O2382)</f>
        <v>PIRATA</v>
      </c>
      <c r="F2387" t="str">
        <f>IF(INPUT!N2382="","",INPUT!N2382)</f>
        <v>T</v>
      </c>
      <c r="G2387" t="str" cm="1">
        <f t="array" ref="G2387">IFERROR(VLOOKUP(INPUT!M2382&amp;INPUT!N2382,CHOOSE({1,2},INPUT!$A$3:$A$5000&amp;INPUT!$C$3:$C$5000,INPUT!$F$3:$F$5000),2,FALSE),"")</f>
        <v>PRE-TEMPORADA</v>
      </c>
      <c r="H2387" t="str" cm="1">
        <f t="array" ref="H2387">IFERROR(VLOOKUP(INPUT!M2382&amp;INPUT!N2382,CHOOSE({1,2},INPUT!$A$3:$A$5000&amp;INPUT!$C$3:$C$5000,INPUT!$D$3:$D$5000),2,FALSE),"")</f>
        <v>PARTIDO</v>
      </c>
      <c r="I2387" s="46">
        <f>IF(INPUT!P2382="","",INPUT!P2382)</f>
        <v>75</v>
      </c>
      <c r="J2387" s="46">
        <f>IF(INPUT!Q2382="","",INPUT!Q2382)</f>
        <v>75</v>
      </c>
      <c r="K2387" s="46">
        <f>IFERROR(IF(OR(INPUT!P2382="",INPUT!Q2382=""),"",INPUT!P2382-INPUT!Q2382),"")</f>
        <v>0</v>
      </c>
      <c r="L2387" s="48">
        <f>IFERROR(IF(OR(INPUT!P2382="",INPUT!Q2382="",INPUT!P2382=0),"",(INPUT!P2382-INPUT!Q2382)/INPUT!P2382),"")</f>
        <v>0</v>
      </c>
    </row>
    <row r="2388" spans="1:12" ht="18" hidden="1" customHeight="1" x14ac:dyDescent="0.2">
      <c r="A2388" s="11">
        <f>IF(INPUT!M2383="","",INPUT!M2383)</f>
        <v>46116</v>
      </c>
      <c r="B2388" s="11">
        <f>IF(INPUT!M2383="","",INPUT!M2383-WEEKDAY(INPUT!M2383,2)+1)</f>
        <v>46111</v>
      </c>
      <c r="C2388" s="20">
        <f>IFERROR(_xlfn.ISOWEEKNUM(INPUT!M2383),"")</f>
        <v>14</v>
      </c>
      <c r="D2388" s="20">
        <f>IFERROR(YEAR(INPUT!M2383),"")</f>
        <v>2026</v>
      </c>
      <c r="E2388" t="str">
        <f>IF(INPUT!O2383="","",INPUT!O2383)</f>
        <v>BARONA</v>
      </c>
      <c r="F2388" t="str">
        <f>IF(INPUT!N2383="","",INPUT!N2383)</f>
        <v>M</v>
      </c>
      <c r="G2388" t="str" cm="1">
        <f t="array" ref="G2388">IFERROR(VLOOKUP(INPUT!M2383&amp;INPUT!N2383,CHOOSE({1,2},INPUT!$A$3:$A$5000&amp;INPUT!$C$3:$C$5000,INPUT!$F$3:$F$5000),2,FALSE),"")</f>
        <v>PRE-TEMPORADA</v>
      </c>
      <c r="H2388" t="str" cm="1">
        <f t="array" ref="H2388">IFERROR(VLOOKUP(INPUT!M2383&amp;INPUT!N2383,CHOOSE({1,2},INPUT!$A$3:$A$5000&amp;INPUT!$C$3:$C$5000,INPUT!$D$3:$D$5000),2,FALSE),"")</f>
        <v>MATINAL</v>
      </c>
      <c r="I2388" s="46">
        <f>IF(INPUT!P2383="","",INPUT!P2383)</f>
        <v>70.599999999999994</v>
      </c>
      <c r="J2388" s="46">
        <f>IF(INPUT!Q2383="","",INPUT!Q2383)</f>
        <v>70.599999999999994</v>
      </c>
      <c r="K2388" s="46">
        <f>IFERROR(IF(OR(INPUT!P2383="",INPUT!Q2383=""),"",INPUT!P2383-INPUT!Q2383),"")</f>
        <v>0</v>
      </c>
      <c r="L2388" s="48">
        <f>IFERROR(IF(OR(INPUT!P2383="",INPUT!Q2383="",INPUT!P2383=0),"",(INPUT!P2383-INPUT!Q2383)/INPUT!P2383),"")</f>
        <v>0</v>
      </c>
    </row>
    <row r="2389" spans="1:12" ht="18" customHeight="1" x14ac:dyDescent="0.2">
      <c r="A2389" s="11">
        <f>IF(INPUT!M2384="","",INPUT!M2384)</f>
        <v>46116</v>
      </c>
      <c r="B2389" s="11">
        <f>IF(INPUT!M2384="","",INPUT!M2384-WEEKDAY(INPUT!M2384,2)+1)</f>
        <v>46111</v>
      </c>
      <c r="C2389" s="20">
        <f>IFERROR(_xlfn.ISOWEEKNUM(INPUT!M2384),"")</f>
        <v>14</v>
      </c>
      <c r="D2389" s="20">
        <f>IFERROR(YEAR(INPUT!M2384),"")</f>
        <v>2026</v>
      </c>
      <c r="E2389" t="str">
        <f>IF(INPUT!O2384="","",INPUT!O2384)</f>
        <v>BARONA</v>
      </c>
      <c r="F2389" t="str">
        <f>IF(INPUT!N2384="","",INPUT!N2384)</f>
        <v>T</v>
      </c>
      <c r="G2389" t="str" cm="1">
        <f t="array" ref="G2389">IFERROR(VLOOKUP(INPUT!M2384&amp;INPUT!N2384,CHOOSE({1,2},INPUT!$A$3:$A$5000&amp;INPUT!$C$3:$C$5000,INPUT!$F$3:$F$5000),2,FALSE),"")</f>
        <v>PRE-TEMPORADA</v>
      </c>
      <c r="H2389" t="str" cm="1">
        <f t="array" ref="H2389">IFERROR(VLOOKUP(INPUT!M2384&amp;INPUT!N2384,CHOOSE({1,2},INPUT!$A$3:$A$5000&amp;INPUT!$C$3:$C$5000,INPUT!$D$3:$D$5000),2,FALSE),"")</f>
        <v>PARTIDO</v>
      </c>
      <c r="I2389" s="46">
        <f>IF(INPUT!P2384="","",INPUT!P2384)</f>
        <v>70.599999999999994</v>
      </c>
      <c r="J2389" s="46">
        <f>IF(INPUT!Q2384="","",INPUT!Q2384)</f>
        <v>70.599999999999994</v>
      </c>
      <c r="K2389" s="46">
        <f>IFERROR(IF(OR(INPUT!P2384="",INPUT!Q2384=""),"",INPUT!P2384-INPUT!Q2384),"")</f>
        <v>0</v>
      </c>
      <c r="L2389" s="48">
        <f>IFERROR(IF(OR(INPUT!P2384="",INPUT!Q2384="",INPUT!P2384=0),"",(INPUT!P2384-INPUT!Q2384)/INPUT!P2384),"")</f>
        <v>0</v>
      </c>
    </row>
    <row r="2390" spans="1:12" ht="18" customHeight="1" x14ac:dyDescent="0.2">
      <c r="A2390" s="11">
        <f>IF(INPUT!M2385="","",INPUT!M2385)</f>
        <v>46116</v>
      </c>
      <c r="B2390" s="11">
        <f>IF(INPUT!M2385="","",INPUT!M2385-WEEKDAY(INPUT!M2385,2)+1)</f>
        <v>46111</v>
      </c>
      <c r="C2390" s="20">
        <f>IFERROR(_xlfn.ISOWEEKNUM(INPUT!M2385),"")</f>
        <v>14</v>
      </c>
      <c r="D2390" s="20">
        <f>IFERROR(YEAR(INPUT!M2385),"")</f>
        <v>2026</v>
      </c>
      <c r="E2390" t="str">
        <f>IF(INPUT!O2385="","",INPUT!O2385)</f>
        <v>CARLOS</v>
      </c>
      <c r="F2390" t="str">
        <f>IF(INPUT!N2385="","",INPUT!N2385)</f>
        <v>M</v>
      </c>
      <c r="G2390" t="str" cm="1">
        <f t="array" ref="G2390">IFERROR(VLOOKUP(INPUT!M2385&amp;INPUT!N2385,CHOOSE({1,2},INPUT!$A$3:$A$5000&amp;INPUT!$C$3:$C$5000,INPUT!$F$3:$F$5000),2,FALSE),"")</f>
        <v>PRE-TEMPORADA</v>
      </c>
      <c r="H2390" t="str" cm="1">
        <f t="array" ref="H2390">IFERROR(VLOOKUP(INPUT!M2385&amp;INPUT!N2385,CHOOSE({1,2},INPUT!$A$3:$A$5000&amp;INPUT!$C$3:$C$5000,INPUT!$D$3:$D$5000),2,FALSE),"")</f>
        <v>MATINAL</v>
      </c>
      <c r="I2390" s="46">
        <f>IF(INPUT!P2385="","",INPUT!P2385)</f>
        <v>68.7</v>
      </c>
      <c r="J2390" s="46">
        <f>IF(INPUT!Q2385="","",INPUT!Q2385)</f>
        <v>68.7</v>
      </c>
      <c r="K2390" s="46">
        <f>IFERROR(IF(OR(INPUT!P2385="",INPUT!Q2385=""),"",INPUT!P2385-INPUT!Q2385),"")</f>
        <v>0</v>
      </c>
      <c r="L2390" s="48">
        <f>IFERROR(IF(OR(INPUT!P2385="",INPUT!Q2385="",INPUT!P2385=0),"",(INPUT!P2385-INPUT!Q2385)/INPUT!P2385),"")</f>
        <v>0</v>
      </c>
    </row>
    <row r="2391" spans="1:12" ht="18" customHeight="1" x14ac:dyDescent="0.2">
      <c r="A2391" s="11">
        <f>IF(INPUT!M2386="","",INPUT!M2386)</f>
        <v>46116</v>
      </c>
      <c r="B2391" s="11">
        <f>IF(INPUT!M2386="","",INPUT!M2386-WEEKDAY(INPUT!M2386,2)+1)</f>
        <v>46111</v>
      </c>
      <c r="C2391" s="20">
        <f>IFERROR(_xlfn.ISOWEEKNUM(INPUT!M2386),"")</f>
        <v>14</v>
      </c>
      <c r="D2391" s="20">
        <f>IFERROR(YEAR(INPUT!M2386),"")</f>
        <v>2026</v>
      </c>
      <c r="E2391" t="str">
        <f>IF(INPUT!O2386="","",INPUT!O2386)</f>
        <v>CARLOS</v>
      </c>
      <c r="F2391" t="str">
        <f>IF(INPUT!N2386="","",INPUT!N2386)</f>
        <v>T</v>
      </c>
      <c r="G2391" t="str" cm="1">
        <f t="array" ref="G2391">IFERROR(VLOOKUP(INPUT!M2386&amp;INPUT!N2386,CHOOSE({1,2},INPUT!$A$3:$A$5000&amp;INPUT!$C$3:$C$5000,INPUT!$F$3:$F$5000),2,FALSE),"")</f>
        <v>PRE-TEMPORADA</v>
      </c>
      <c r="H2391" t="str" cm="1">
        <f t="array" ref="H2391">IFERROR(VLOOKUP(INPUT!M2386&amp;INPUT!N2386,CHOOSE({1,2},INPUT!$A$3:$A$5000&amp;INPUT!$C$3:$C$5000,INPUT!$D$3:$D$5000),2,FALSE),"")</f>
        <v>PARTIDO</v>
      </c>
      <c r="I2391" s="46">
        <f>IF(INPUT!P2386="","",INPUT!P2386)</f>
        <v>68.3</v>
      </c>
      <c r="J2391" s="46">
        <f>IF(INPUT!Q2386="","",INPUT!Q2386)</f>
        <v>67.8</v>
      </c>
      <c r="K2391" s="46">
        <f>IFERROR(IF(OR(INPUT!P2386="",INPUT!Q2386=""),"",INPUT!P2386-INPUT!Q2386),"")</f>
        <v>0.5</v>
      </c>
      <c r="L2391" s="48">
        <f>IFERROR(IF(OR(INPUT!P2386="",INPUT!Q2386="",INPUT!P2386=0),"",(INPUT!P2386-INPUT!Q2386)/INPUT!P2386),"")</f>
        <v>7.320644216691069E-3</v>
      </c>
    </row>
    <row r="2392" spans="1:12" ht="18" customHeight="1" x14ac:dyDescent="0.2">
      <c r="A2392" s="11">
        <f>IF(INPUT!M2387="","",INPUT!M2387)</f>
        <v>46116</v>
      </c>
      <c r="B2392" s="11">
        <f>IF(INPUT!M2387="","",INPUT!M2387-WEEKDAY(INPUT!M2387,2)+1)</f>
        <v>46111</v>
      </c>
      <c r="C2392" s="20">
        <f>IFERROR(_xlfn.ISOWEEKNUM(INPUT!M2387),"")</f>
        <v>14</v>
      </c>
      <c r="D2392" s="20">
        <f>IFERROR(YEAR(INPUT!M2387),"")</f>
        <v>2026</v>
      </c>
      <c r="E2392" t="str">
        <f>IF(INPUT!O2387="","",INPUT!O2387)</f>
        <v>SEGO</v>
      </c>
      <c r="F2392" t="str">
        <f>IF(INPUT!N2387="","",INPUT!N2387)</f>
        <v>M</v>
      </c>
      <c r="G2392" t="str" cm="1">
        <f t="array" ref="G2392">IFERROR(VLOOKUP(INPUT!M2387&amp;INPUT!N2387,CHOOSE({1,2},INPUT!$A$3:$A$5000&amp;INPUT!$C$3:$C$5000,INPUT!$F$3:$F$5000),2,FALSE),"")</f>
        <v>PRE-TEMPORADA</v>
      </c>
      <c r="H2392" t="str" cm="1">
        <f t="array" ref="H2392">IFERROR(VLOOKUP(INPUT!M2387&amp;INPUT!N2387,CHOOSE({1,2},INPUT!$A$3:$A$5000&amp;INPUT!$C$3:$C$5000,INPUT!$D$3:$D$5000),2,FALSE),"")</f>
        <v>MATINAL</v>
      </c>
      <c r="I2392" s="46">
        <f>IF(INPUT!P2387="","",INPUT!P2387)</f>
        <v>78.3</v>
      </c>
      <c r="J2392" s="46">
        <f>IF(INPUT!Q2387="","",INPUT!Q2387)</f>
        <v>78.400000000000006</v>
      </c>
      <c r="K2392" s="46">
        <f>IFERROR(IF(OR(INPUT!P2387="",INPUT!Q2387=""),"",INPUT!P2387-INPUT!Q2387),"")</f>
        <v>-0.10000000000000853</v>
      </c>
      <c r="L2392" s="48">
        <f>IFERROR(IF(OR(INPUT!P2387="",INPUT!Q2387="",INPUT!P2387=0),"",(INPUT!P2387-INPUT!Q2387)/INPUT!P2387),"")</f>
        <v>-1.2771392081737999E-3</v>
      </c>
    </row>
    <row r="2393" spans="1:12" ht="18" customHeight="1" x14ac:dyDescent="0.2">
      <c r="A2393" s="11">
        <f>IF(INPUT!M2388="","",INPUT!M2388)</f>
        <v>46116</v>
      </c>
      <c r="B2393" s="11">
        <f>IF(INPUT!M2388="","",INPUT!M2388-WEEKDAY(INPUT!M2388,2)+1)</f>
        <v>46111</v>
      </c>
      <c r="C2393" s="20">
        <f>IFERROR(_xlfn.ISOWEEKNUM(INPUT!M2388),"")</f>
        <v>14</v>
      </c>
      <c r="D2393" s="20">
        <f>IFERROR(YEAR(INPUT!M2388),"")</f>
        <v>2026</v>
      </c>
      <c r="E2393" t="str">
        <f>IF(INPUT!O2388="","",INPUT!O2388)</f>
        <v>SEGO</v>
      </c>
      <c r="F2393" t="str">
        <f>IF(INPUT!N2388="","",INPUT!N2388)</f>
        <v>T</v>
      </c>
      <c r="G2393" t="str" cm="1">
        <f t="array" ref="G2393">IFERROR(VLOOKUP(INPUT!M2388&amp;INPUT!N2388,CHOOSE({1,2},INPUT!$A$3:$A$5000&amp;INPUT!$C$3:$C$5000,INPUT!$F$3:$F$5000),2,FALSE),"")</f>
        <v>PRE-TEMPORADA</v>
      </c>
      <c r="H2393" t="str" cm="1">
        <f t="array" ref="H2393">IFERROR(VLOOKUP(INPUT!M2388&amp;INPUT!N2388,CHOOSE({1,2},INPUT!$A$3:$A$5000&amp;INPUT!$C$3:$C$5000,INPUT!$D$3:$D$5000),2,FALSE),"")</f>
        <v>PARTIDO</v>
      </c>
      <c r="I2393" s="46">
        <f>IF(INPUT!P2388="","",INPUT!P2388)</f>
        <v>78.099999999999994</v>
      </c>
      <c r="J2393" s="46">
        <f>IF(INPUT!Q2388="","",INPUT!Q2388)</f>
        <v>78</v>
      </c>
      <c r="K2393" s="46">
        <f>IFERROR(IF(OR(INPUT!P2388="",INPUT!Q2388=""),"",INPUT!P2388-INPUT!Q2388),"")</f>
        <v>9.9999999999994316E-2</v>
      </c>
      <c r="L2393" s="48">
        <f>IFERROR(IF(OR(INPUT!P2388="",INPUT!Q2388="",INPUT!P2388=0),"",(INPUT!P2388-INPUT!Q2388)/INPUT!P2388),"")</f>
        <v>1.2804097311138838E-3</v>
      </c>
    </row>
    <row r="2394" spans="1:12" ht="18" customHeight="1" x14ac:dyDescent="0.2">
      <c r="A2394" s="11">
        <f>IF(INPUT!M2389="","",INPUT!M2389)</f>
        <v>46116</v>
      </c>
      <c r="B2394" s="11">
        <f>IF(INPUT!M2389="","",INPUT!M2389-WEEKDAY(INPUT!M2389,2)+1)</f>
        <v>46111</v>
      </c>
      <c r="C2394" s="20">
        <f>IFERROR(_xlfn.ISOWEEKNUM(INPUT!M2389),"")</f>
        <v>14</v>
      </c>
      <c r="D2394" s="20">
        <f>IFERROR(YEAR(INPUT!M2389),"")</f>
        <v>2026</v>
      </c>
      <c r="E2394" t="str">
        <f>IF(INPUT!O2389="","",INPUT!O2389)</f>
        <v>JAIME</v>
      </c>
      <c r="F2394" t="str">
        <f>IF(INPUT!N2389="","",INPUT!N2389)</f>
        <v>M</v>
      </c>
      <c r="G2394" t="str" cm="1">
        <f t="array" ref="G2394">IFERROR(VLOOKUP(INPUT!M2389&amp;INPUT!N2389,CHOOSE({1,2},INPUT!$A$3:$A$5000&amp;INPUT!$C$3:$C$5000,INPUT!$F$3:$F$5000),2,FALSE),"")</f>
        <v>PRE-TEMPORADA</v>
      </c>
      <c r="H2394" t="str" cm="1">
        <f t="array" ref="H2394">IFERROR(VLOOKUP(INPUT!M2389&amp;INPUT!N2389,CHOOSE({1,2},INPUT!$A$3:$A$5000&amp;INPUT!$C$3:$C$5000,INPUT!$D$3:$D$5000),2,FALSE),"")</f>
        <v>MATINAL</v>
      </c>
      <c r="I2394" s="46">
        <f>IF(INPUT!P2389="","",INPUT!P2389)</f>
        <v>76.400000000000006</v>
      </c>
      <c r="J2394" s="46">
        <f>IF(INPUT!Q2389="","",INPUT!Q2389)</f>
        <v>76.400000000000006</v>
      </c>
      <c r="K2394" s="46">
        <f>IFERROR(IF(OR(INPUT!P2389="",INPUT!Q2389=""),"",INPUT!P2389-INPUT!Q2389),"")</f>
        <v>0</v>
      </c>
      <c r="L2394" s="48">
        <f>IFERROR(IF(OR(INPUT!P2389="",INPUT!Q2389="",INPUT!P2389=0),"",(INPUT!P2389-INPUT!Q2389)/INPUT!P2389),"")</f>
        <v>0</v>
      </c>
    </row>
    <row r="2395" spans="1:12" ht="18" customHeight="1" x14ac:dyDescent="0.2">
      <c r="A2395" s="11">
        <f>IF(INPUT!M2390="","",INPUT!M2390)</f>
        <v>46116</v>
      </c>
      <c r="B2395" s="11">
        <f>IF(INPUT!M2390="","",INPUT!M2390-WEEKDAY(INPUT!M2390,2)+1)</f>
        <v>46111</v>
      </c>
      <c r="C2395" s="20">
        <f>IFERROR(_xlfn.ISOWEEKNUM(INPUT!M2390),"")</f>
        <v>14</v>
      </c>
      <c r="D2395" s="20">
        <f>IFERROR(YEAR(INPUT!M2390),"")</f>
        <v>2026</v>
      </c>
      <c r="E2395" t="str">
        <f>IF(INPUT!O2390="","",INPUT!O2390)</f>
        <v>JAIME</v>
      </c>
      <c r="F2395" t="str">
        <f>IF(INPUT!N2390="","",INPUT!N2390)</f>
        <v>T</v>
      </c>
      <c r="G2395" t="str" cm="1">
        <f t="array" ref="G2395">IFERROR(VLOOKUP(INPUT!M2390&amp;INPUT!N2390,CHOOSE({1,2},INPUT!$A$3:$A$5000&amp;INPUT!$C$3:$C$5000,INPUT!$F$3:$F$5000),2,FALSE),"")</f>
        <v>PRE-TEMPORADA</v>
      </c>
      <c r="H2395" t="str" cm="1">
        <f t="array" ref="H2395">IFERROR(VLOOKUP(INPUT!M2390&amp;INPUT!N2390,CHOOSE({1,2},INPUT!$A$3:$A$5000&amp;INPUT!$C$3:$C$5000,INPUT!$D$3:$D$5000),2,FALSE),"")</f>
        <v>PARTIDO</v>
      </c>
      <c r="I2395" s="46">
        <f>IF(INPUT!P2390="","",INPUT!P2390)</f>
        <v>76.400000000000006</v>
      </c>
      <c r="J2395" s="46">
        <f>IF(INPUT!Q2390="","",INPUT!Q2390)</f>
        <v>76</v>
      </c>
      <c r="K2395" s="46">
        <f>IFERROR(IF(OR(INPUT!P2390="",INPUT!Q2390=""),"",INPUT!P2390-INPUT!Q2390),"")</f>
        <v>0.40000000000000568</v>
      </c>
      <c r="L2395" s="48">
        <f>IFERROR(IF(OR(INPUT!P2390="",INPUT!Q2390="",INPUT!P2390=0),"",(INPUT!P2390-INPUT!Q2390)/INPUT!P2390),"")</f>
        <v>5.2356020942409117E-3</v>
      </c>
    </row>
    <row r="2396" spans="1:12" ht="18" hidden="1" customHeight="1" x14ac:dyDescent="0.2">
      <c r="A2396" s="11">
        <f>IF(INPUT!M2391="","",INPUT!M2391)</f>
        <v>46118</v>
      </c>
      <c r="B2396" s="11">
        <f>IF(INPUT!M2391="","",INPUT!M2391-WEEKDAY(INPUT!M2391,2)+1)</f>
        <v>46118</v>
      </c>
      <c r="C2396" s="20">
        <f>IFERROR(_xlfn.ISOWEEKNUM(INPUT!M2391),"")</f>
        <v>15</v>
      </c>
      <c r="D2396" s="20">
        <f>IFERROR(YEAR(INPUT!M2391),"")</f>
        <v>2026</v>
      </c>
      <c r="E2396" t="str">
        <f>IF(INPUT!O2391="","",INPUT!O2391)</f>
        <v>HERRERO</v>
      </c>
      <c r="F2396" t="str">
        <f>IF(INPUT!N2391="","",INPUT!N2391)</f>
        <v>M</v>
      </c>
      <c r="G2396" t="str" cm="1">
        <f t="array" ref="G2396">IFERROR(VLOOKUP(INPUT!M2391&amp;INPUT!N2391,CHOOSE({1,2},INPUT!$A$3:$A$5000&amp;INPUT!$C$3:$C$5000,INPUT!$F$3:$F$5000),2,FALSE),"")</f>
        <v>PRE-TEMPORADA</v>
      </c>
      <c r="H2396" t="str" cm="1">
        <f t="array" ref="H2396">IFERROR(VLOOKUP(INPUT!M2391&amp;INPUT!N2391,CHOOSE({1,2},INPUT!$A$3:$A$5000&amp;INPUT!$C$3:$C$5000,INPUT!$D$3:$D$5000),2,FALSE),"")</f>
        <v>GYM TEC-TAC</v>
      </c>
      <c r="I2396" s="46">
        <f>IF(INPUT!P2391="","",INPUT!P2391)</f>
        <v>77</v>
      </c>
      <c r="J2396" s="46">
        <f>IF(INPUT!Q2391="","",INPUT!Q2391)</f>
        <v>76.8</v>
      </c>
      <c r="K2396" s="46">
        <f>IFERROR(IF(OR(INPUT!P2391="",INPUT!Q2391=""),"",INPUT!P2391-INPUT!Q2391),"")</f>
        <v>0.20000000000000284</v>
      </c>
      <c r="L2396" s="48">
        <f>IFERROR(IF(OR(INPUT!P2391="",INPUT!Q2391="",INPUT!P2391=0),"",(INPUT!P2391-INPUT!Q2391)/INPUT!P2391),"")</f>
        <v>2.5974025974026343E-3</v>
      </c>
    </row>
    <row r="2397" spans="1:12" ht="18" hidden="1" customHeight="1" x14ac:dyDescent="0.2">
      <c r="A2397" s="11">
        <f>IF(INPUT!M2392="","",INPUT!M2392)</f>
        <v>46118</v>
      </c>
      <c r="B2397" s="11">
        <f>IF(INPUT!M2392="","",INPUT!M2392-WEEKDAY(INPUT!M2392,2)+1)</f>
        <v>46118</v>
      </c>
      <c r="C2397" s="20">
        <f>IFERROR(_xlfn.ISOWEEKNUM(INPUT!M2392),"")</f>
        <v>15</v>
      </c>
      <c r="D2397" s="20">
        <f>IFERROR(YEAR(INPUT!M2392),"")</f>
        <v>2026</v>
      </c>
      <c r="E2397" t="str">
        <f>IF(INPUT!O2392="","",INPUT!O2392)</f>
        <v>GARCIA</v>
      </c>
      <c r="F2397" t="str">
        <f>IF(INPUT!N2392="","",INPUT!N2392)</f>
        <v>M</v>
      </c>
      <c r="G2397" t="str" cm="1">
        <f t="array" ref="G2397">IFERROR(VLOOKUP(INPUT!M2392&amp;INPUT!N2392,CHOOSE({1,2},INPUT!$A$3:$A$5000&amp;INPUT!$C$3:$C$5000,INPUT!$F$3:$F$5000),2,FALSE),"")</f>
        <v>PRE-TEMPORADA</v>
      </c>
      <c r="H2397" t="str" cm="1">
        <f t="array" ref="H2397">IFERROR(VLOOKUP(INPUT!M2392&amp;INPUT!N2392,CHOOSE({1,2},INPUT!$A$3:$A$5000&amp;INPUT!$C$3:$C$5000,INPUT!$D$3:$D$5000),2,FALSE),"")</f>
        <v>GYM TEC-TAC</v>
      </c>
      <c r="I2397" s="46">
        <f>IF(INPUT!P2392="","",INPUT!P2392)</f>
        <v>79.8</v>
      </c>
      <c r="J2397" s="46">
        <f>IF(INPUT!Q2392="","",INPUT!Q2392)</f>
        <v>79.900000000000006</v>
      </c>
      <c r="K2397" s="46">
        <f>IFERROR(IF(OR(INPUT!P2392="",INPUT!Q2392=""),"",INPUT!P2392-INPUT!Q2392),"")</f>
        <v>-0.10000000000000853</v>
      </c>
      <c r="L2397" s="48">
        <f>IFERROR(IF(OR(INPUT!P2392="",INPUT!Q2392="",INPUT!P2392=0),"",(INPUT!P2392-INPUT!Q2392)/INPUT!P2392),"")</f>
        <v>-1.2531328320803073E-3</v>
      </c>
    </row>
    <row r="2398" spans="1:12" ht="18" hidden="1" customHeight="1" x14ac:dyDescent="0.2">
      <c r="A2398" s="11">
        <f>IF(INPUT!M2393="","",INPUT!M2393)</f>
        <v>46118</v>
      </c>
      <c r="B2398" s="11">
        <f>IF(INPUT!M2393="","",INPUT!M2393-WEEKDAY(INPUT!M2393,2)+1)</f>
        <v>46118</v>
      </c>
      <c r="C2398" s="20">
        <f>IFERROR(_xlfn.ISOWEEKNUM(INPUT!M2393),"")</f>
        <v>15</v>
      </c>
      <c r="D2398" s="20">
        <f>IFERROR(YEAR(INPUT!M2393),"")</f>
        <v>2026</v>
      </c>
      <c r="E2398" t="str">
        <f>IF(INPUT!O2393="","",INPUT!O2393)</f>
        <v>CHAGUINHA</v>
      </c>
      <c r="F2398" t="str">
        <f>IF(INPUT!N2393="","",INPUT!N2393)</f>
        <v>M</v>
      </c>
      <c r="G2398" t="str" cm="1">
        <f t="array" ref="G2398">IFERROR(VLOOKUP(INPUT!M2393&amp;INPUT!N2393,CHOOSE({1,2},INPUT!$A$3:$A$5000&amp;INPUT!$C$3:$C$5000,INPUT!$F$3:$F$5000),2,FALSE),"")</f>
        <v>PRE-TEMPORADA</v>
      </c>
      <c r="H2398" t="str" cm="1">
        <f t="array" ref="H2398">IFERROR(VLOOKUP(INPUT!M2393&amp;INPUT!N2393,CHOOSE({1,2},INPUT!$A$3:$A$5000&amp;INPUT!$C$3:$C$5000,INPUT!$D$3:$D$5000),2,FALSE),"")</f>
        <v>GYM TEC-TAC</v>
      </c>
      <c r="I2398" s="46">
        <f>IF(INPUT!P2393="","",INPUT!P2393)</f>
        <v>69</v>
      </c>
      <c r="J2398" s="46">
        <f>IF(INPUT!Q2393="","",INPUT!Q2393)</f>
        <v>68.7</v>
      </c>
      <c r="K2398" s="46">
        <f>IFERROR(IF(OR(INPUT!P2393="",INPUT!Q2393=""),"",INPUT!P2393-INPUT!Q2393),"")</f>
        <v>0.29999999999999716</v>
      </c>
      <c r="L2398" s="48">
        <f>IFERROR(IF(OR(INPUT!P2393="",INPUT!Q2393="",INPUT!P2393=0),"",(INPUT!P2393-INPUT!Q2393)/INPUT!P2393),"")</f>
        <v>4.3478260869564802E-3</v>
      </c>
    </row>
    <row r="2399" spans="1:12" ht="18" hidden="1" customHeight="1" x14ac:dyDescent="0.2">
      <c r="A2399" s="11">
        <f>IF(INPUT!M2394="","",INPUT!M2394)</f>
        <v>46118</v>
      </c>
      <c r="B2399" s="11">
        <f>IF(INPUT!M2394="","",INPUT!M2394-WEEKDAY(INPUT!M2394,2)+1)</f>
        <v>46118</v>
      </c>
      <c r="C2399" s="20">
        <f>IFERROR(_xlfn.ISOWEEKNUM(INPUT!M2394),"")</f>
        <v>15</v>
      </c>
      <c r="D2399" s="20">
        <f>IFERROR(YEAR(INPUT!M2394),"")</f>
        <v>2026</v>
      </c>
      <c r="E2399" t="str">
        <f>IF(INPUT!O2394="","",INPUT!O2394)</f>
        <v>RAUL</v>
      </c>
      <c r="F2399" t="str">
        <f>IF(INPUT!N2394="","",INPUT!N2394)</f>
        <v>M</v>
      </c>
      <c r="G2399" t="str" cm="1">
        <f t="array" ref="G2399">IFERROR(VLOOKUP(INPUT!M2394&amp;INPUT!N2394,CHOOSE({1,2},INPUT!$A$3:$A$5000&amp;INPUT!$C$3:$C$5000,INPUT!$F$3:$F$5000),2,FALSE),"")</f>
        <v>PRE-TEMPORADA</v>
      </c>
      <c r="H2399" t="str" cm="1">
        <f t="array" ref="H2399">IFERROR(VLOOKUP(INPUT!M2394&amp;INPUT!N2394,CHOOSE({1,2},INPUT!$A$3:$A$5000&amp;INPUT!$C$3:$C$5000,INPUT!$D$3:$D$5000),2,FALSE),"")</f>
        <v>GYM TEC-TAC</v>
      </c>
      <c r="I2399" s="46">
        <f>IF(INPUT!P2394="","",INPUT!P2394)</f>
        <v>82</v>
      </c>
      <c r="J2399" s="46">
        <f>IF(INPUT!Q2394="","",INPUT!Q2394)</f>
        <v>82</v>
      </c>
      <c r="K2399" s="46">
        <f>IFERROR(IF(OR(INPUT!P2394="",INPUT!Q2394=""),"",INPUT!P2394-INPUT!Q2394),"")</f>
        <v>0</v>
      </c>
      <c r="L2399" s="48">
        <f>IFERROR(IF(OR(INPUT!P2394="",INPUT!Q2394="",INPUT!P2394=0),"",(INPUT!P2394-INPUT!Q2394)/INPUT!P2394),"")</f>
        <v>0</v>
      </c>
    </row>
    <row r="2400" spans="1:12" ht="18" hidden="1" customHeight="1" x14ac:dyDescent="0.2">
      <c r="A2400" s="11">
        <f>IF(INPUT!M2395="","",INPUT!M2395)</f>
        <v>46118</v>
      </c>
      <c r="B2400" s="11">
        <f>IF(INPUT!M2395="","",INPUT!M2395-WEEKDAY(INPUT!M2395,2)+1)</f>
        <v>46118</v>
      </c>
      <c r="C2400" s="20">
        <f>IFERROR(_xlfn.ISOWEEKNUM(INPUT!M2395),"")</f>
        <v>15</v>
      </c>
      <c r="D2400" s="20">
        <f>IFERROR(YEAR(INPUT!M2395),"")</f>
        <v>2026</v>
      </c>
      <c r="E2400" t="str">
        <f>IF(INPUT!O2395="","",INPUT!O2395)</f>
        <v>HARRISON</v>
      </c>
      <c r="F2400" t="str">
        <f>IF(INPUT!N2395="","",INPUT!N2395)</f>
        <v>M</v>
      </c>
      <c r="G2400" t="str" cm="1">
        <f t="array" ref="G2400">IFERROR(VLOOKUP(INPUT!M2395&amp;INPUT!N2395,CHOOSE({1,2},INPUT!$A$3:$A$5000&amp;INPUT!$C$3:$C$5000,INPUT!$F$3:$F$5000),2,FALSE),"")</f>
        <v>PRE-TEMPORADA</v>
      </c>
      <c r="H2400" t="str" cm="1">
        <f t="array" ref="H2400">IFERROR(VLOOKUP(INPUT!M2395&amp;INPUT!N2395,CHOOSE({1,2},INPUT!$A$3:$A$5000&amp;INPUT!$C$3:$C$5000,INPUT!$D$3:$D$5000),2,FALSE),"")</f>
        <v>GYM TEC-TAC</v>
      </c>
      <c r="I2400" s="46">
        <f>IF(INPUT!P2395="","",INPUT!P2395)</f>
        <v>72.400000000000006</v>
      </c>
      <c r="J2400" s="46">
        <f>IF(INPUT!Q2395="","",INPUT!Q2395)</f>
        <v>72</v>
      </c>
      <c r="K2400" s="46">
        <f>IFERROR(IF(OR(INPUT!P2395="",INPUT!Q2395=""),"",INPUT!P2395-INPUT!Q2395),"")</f>
        <v>0.40000000000000568</v>
      </c>
      <c r="L2400" s="48">
        <f>IFERROR(IF(OR(INPUT!P2395="",INPUT!Q2395="",INPUT!P2395=0),"",(INPUT!P2395-INPUT!Q2395)/INPUT!P2395),"")</f>
        <v>5.5248618784531165E-3</v>
      </c>
    </row>
    <row r="2401" spans="1:12" ht="18" hidden="1" customHeight="1" x14ac:dyDescent="0.2">
      <c r="A2401" s="11">
        <f>IF(INPUT!M2396="","",INPUT!M2396)</f>
        <v>46118</v>
      </c>
      <c r="B2401" s="11">
        <f>IF(INPUT!M2396="","",INPUT!M2396-WEEKDAY(INPUT!M2396,2)+1)</f>
        <v>46118</v>
      </c>
      <c r="C2401" s="20">
        <f>IFERROR(_xlfn.ISOWEEKNUM(INPUT!M2396),"")</f>
        <v>15</v>
      </c>
      <c r="D2401" s="20">
        <f>IFERROR(YEAR(INPUT!M2396),"")</f>
        <v>2026</v>
      </c>
      <c r="E2401" t="str">
        <f>IF(INPUT!O2396="","",INPUT!O2396)</f>
        <v>JAVI</v>
      </c>
      <c r="F2401" t="str">
        <f>IF(INPUT!N2396="","",INPUT!N2396)</f>
        <v>M</v>
      </c>
      <c r="G2401" t="str" cm="1">
        <f t="array" ref="G2401">IFERROR(VLOOKUP(INPUT!M2396&amp;INPUT!N2396,CHOOSE({1,2},INPUT!$A$3:$A$5000&amp;INPUT!$C$3:$C$5000,INPUT!$F$3:$F$5000),2,FALSE),"")</f>
        <v>PRE-TEMPORADA</v>
      </c>
      <c r="H2401" t="str" cm="1">
        <f t="array" ref="H2401">IFERROR(VLOOKUP(INPUT!M2396&amp;INPUT!N2396,CHOOSE({1,2},INPUT!$A$3:$A$5000&amp;INPUT!$C$3:$C$5000,INPUT!$D$3:$D$5000),2,FALSE),"")</f>
        <v>GYM TEC-TAC</v>
      </c>
      <c r="I2401" s="46">
        <f>IF(INPUT!P2396="","",INPUT!P2396)</f>
        <v>78.5</v>
      </c>
      <c r="J2401" s="46">
        <f>IF(INPUT!Q2396="","",INPUT!Q2396)</f>
        <v>78</v>
      </c>
      <c r="K2401" s="46">
        <f>IFERROR(IF(OR(INPUT!P2396="",INPUT!Q2396=""),"",INPUT!P2396-INPUT!Q2396),"")</f>
        <v>0.5</v>
      </c>
      <c r="L2401" s="48">
        <f>IFERROR(IF(OR(INPUT!P2396="",INPUT!Q2396="",INPUT!P2396=0),"",(INPUT!P2396-INPUT!Q2396)/INPUT!P2396),"")</f>
        <v>6.369426751592357E-3</v>
      </c>
    </row>
    <row r="2402" spans="1:12" ht="18" hidden="1" customHeight="1" x14ac:dyDescent="0.2">
      <c r="A2402" s="11">
        <f>IF(INPUT!M2397="","",INPUT!M2397)</f>
        <v>46118</v>
      </c>
      <c r="B2402" s="11">
        <f>IF(INPUT!M2397="","",INPUT!M2397-WEEKDAY(INPUT!M2397,2)+1)</f>
        <v>46118</v>
      </c>
      <c r="C2402" s="20">
        <f>IFERROR(_xlfn.ISOWEEKNUM(INPUT!M2397),"")</f>
        <v>15</v>
      </c>
      <c r="D2402" s="20">
        <f>IFERROR(YEAR(INPUT!M2397),"")</f>
        <v>2026</v>
      </c>
      <c r="E2402" t="str">
        <f>IF(INPUT!O2397="","",INPUT!O2397)</f>
        <v>PANI</v>
      </c>
      <c r="F2402" t="str">
        <f>IF(INPUT!N2397="","",INPUT!N2397)</f>
        <v>M</v>
      </c>
      <c r="G2402" t="str" cm="1">
        <f t="array" ref="G2402">IFERROR(VLOOKUP(INPUT!M2397&amp;INPUT!N2397,CHOOSE({1,2},INPUT!$A$3:$A$5000&amp;INPUT!$C$3:$C$5000,INPUT!$F$3:$F$5000),2,FALSE),"")</f>
        <v>PRE-TEMPORADA</v>
      </c>
      <c r="H2402" t="str" cm="1">
        <f t="array" ref="H2402">IFERROR(VLOOKUP(INPUT!M2397&amp;INPUT!N2397,CHOOSE({1,2},INPUT!$A$3:$A$5000&amp;INPUT!$C$3:$C$5000,INPUT!$D$3:$D$5000),2,FALSE),"")</f>
        <v>GYM TEC-TAC</v>
      </c>
      <c r="I2402" s="46">
        <f>IF(INPUT!P2397="","",INPUT!P2397)</f>
        <v>66.900000000000006</v>
      </c>
      <c r="J2402" s="46">
        <f>IF(INPUT!Q2397="","",INPUT!Q2397)</f>
        <v>66.8</v>
      </c>
      <c r="K2402" s="46">
        <f>IFERROR(IF(OR(INPUT!P2397="",INPUT!Q2397=""),"",INPUT!P2397-INPUT!Q2397),"")</f>
        <v>0.10000000000000853</v>
      </c>
      <c r="L2402" s="48">
        <f>IFERROR(IF(OR(INPUT!P2397="",INPUT!Q2397="",INPUT!P2397=0),"",(INPUT!P2397-INPUT!Q2397)/INPUT!P2397),"")</f>
        <v>1.494768310911936E-3</v>
      </c>
    </row>
    <row r="2403" spans="1:12" ht="18" hidden="1" customHeight="1" x14ac:dyDescent="0.2">
      <c r="A2403" s="11">
        <f>IF(INPUT!M2398="","",INPUT!M2398)</f>
        <v>46118</v>
      </c>
      <c r="B2403" s="11">
        <f>IF(INPUT!M2398="","",INPUT!M2398-WEEKDAY(INPUT!M2398,2)+1)</f>
        <v>46118</v>
      </c>
      <c r="C2403" s="20">
        <f>IFERROR(_xlfn.ISOWEEKNUM(INPUT!M2398),"")</f>
        <v>15</v>
      </c>
      <c r="D2403" s="20">
        <f>IFERROR(YEAR(INPUT!M2398),"")</f>
        <v>2026</v>
      </c>
      <c r="E2403" t="str">
        <f>IF(INPUT!O2398="","",INPUT!O2398)</f>
        <v>PIRATA</v>
      </c>
      <c r="F2403" t="str">
        <f>IF(INPUT!N2398="","",INPUT!N2398)</f>
        <v>M</v>
      </c>
      <c r="G2403" t="str" cm="1">
        <f t="array" ref="G2403">IFERROR(VLOOKUP(INPUT!M2398&amp;INPUT!N2398,CHOOSE({1,2},INPUT!$A$3:$A$5000&amp;INPUT!$C$3:$C$5000,INPUT!$F$3:$F$5000),2,FALSE),"")</f>
        <v>PRE-TEMPORADA</v>
      </c>
      <c r="H2403" t="str" cm="1">
        <f t="array" ref="H2403">IFERROR(VLOOKUP(INPUT!M2398&amp;INPUT!N2398,CHOOSE({1,2},INPUT!$A$3:$A$5000&amp;INPUT!$C$3:$C$5000,INPUT!$D$3:$D$5000),2,FALSE),"")</f>
        <v>GYM TEC-TAC</v>
      </c>
      <c r="I2403" s="46">
        <f>IF(INPUT!P2398="","",INPUT!P2398)</f>
        <v>75.7</v>
      </c>
      <c r="J2403" s="46">
        <f>IF(INPUT!Q2398="","",INPUT!Q2398)</f>
        <v>75.8</v>
      </c>
      <c r="K2403" s="46">
        <f>IFERROR(IF(OR(INPUT!P2398="",INPUT!Q2398=""),"",INPUT!P2398-INPUT!Q2398),"")</f>
        <v>-9.9999999999994316E-2</v>
      </c>
      <c r="L2403" s="48">
        <f>IFERROR(IF(OR(INPUT!P2398="",INPUT!Q2398="",INPUT!P2398=0),"",(INPUT!P2398-INPUT!Q2398)/INPUT!P2398),"")</f>
        <v>-1.3210039630118138E-3</v>
      </c>
    </row>
    <row r="2404" spans="1:12" ht="18" hidden="1" customHeight="1" x14ac:dyDescent="0.2">
      <c r="A2404" s="11">
        <f>IF(INPUT!M2399="","",INPUT!M2399)</f>
        <v>46118</v>
      </c>
      <c r="B2404" s="11">
        <f>IF(INPUT!M2399="","",INPUT!M2399-WEEKDAY(INPUT!M2399,2)+1)</f>
        <v>46118</v>
      </c>
      <c r="C2404" s="20">
        <f>IFERROR(_xlfn.ISOWEEKNUM(INPUT!M2399),"")</f>
        <v>15</v>
      </c>
      <c r="D2404" s="20">
        <f>IFERROR(YEAR(INPUT!M2399),"")</f>
        <v>2026</v>
      </c>
      <c r="E2404" t="str">
        <f>IF(INPUT!O2399="","",INPUT!O2399)</f>
        <v>BARONA</v>
      </c>
      <c r="F2404" t="str">
        <f>IF(INPUT!N2399="","",INPUT!N2399)</f>
        <v>M</v>
      </c>
      <c r="G2404" t="str" cm="1">
        <f t="array" ref="G2404">IFERROR(VLOOKUP(INPUT!M2399&amp;INPUT!N2399,CHOOSE({1,2},INPUT!$A$3:$A$5000&amp;INPUT!$C$3:$C$5000,INPUT!$F$3:$F$5000),2,FALSE),"")</f>
        <v>PRE-TEMPORADA</v>
      </c>
      <c r="H2404" t="str" cm="1">
        <f t="array" ref="H2404">IFERROR(VLOOKUP(INPUT!M2399&amp;INPUT!N2399,CHOOSE({1,2},INPUT!$A$3:$A$5000&amp;INPUT!$C$3:$C$5000,INPUT!$D$3:$D$5000),2,FALSE),"")</f>
        <v>GYM TEC-TAC</v>
      </c>
      <c r="I2404" s="46">
        <f>IF(INPUT!P2399="","",INPUT!P2399)</f>
        <v>71.5</v>
      </c>
      <c r="J2404" s="46">
        <f>IF(INPUT!Q2399="","",INPUT!Q2399)</f>
        <v>71</v>
      </c>
      <c r="K2404" s="46">
        <f>IFERROR(IF(OR(INPUT!P2399="",INPUT!Q2399=""),"",INPUT!P2399-INPUT!Q2399),"")</f>
        <v>0.5</v>
      </c>
      <c r="L2404" s="48">
        <f>IFERROR(IF(OR(INPUT!P2399="",INPUT!Q2399="",INPUT!P2399=0),"",(INPUT!P2399-INPUT!Q2399)/INPUT!P2399),"")</f>
        <v>6.993006993006993E-3</v>
      </c>
    </row>
    <row r="2405" spans="1:12" ht="18" hidden="1" customHeight="1" x14ac:dyDescent="0.2">
      <c r="A2405" s="11">
        <f>IF(INPUT!M2400="","",INPUT!M2400)</f>
        <v>46118</v>
      </c>
      <c r="B2405" s="11">
        <f>IF(INPUT!M2400="","",INPUT!M2400-WEEKDAY(INPUT!M2400,2)+1)</f>
        <v>46118</v>
      </c>
      <c r="C2405" s="20">
        <f>IFERROR(_xlfn.ISOWEEKNUM(INPUT!M2400),"")</f>
        <v>15</v>
      </c>
      <c r="D2405" s="20">
        <f>IFERROR(YEAR(INPUT!M2400),"")</f>
        <v>2026</v>
      </c>
      <c r="E2405" t="str">
        <f>IF(INPUT!O2400="","",INPUT!O2400)</f>
        <v>CARLOS</v>
      </c>
      <c r="F2405" t="str">
        <f>IF(INPUT!N2400="","",INPUT!N2400)</f>
        <v>M</v>
      </c>
      <c r="G2405" t="str" cm="1">
        <f t="array" ref="G2405">IFERROR(VLOOKUP(INPUT!M2400&amp;INPUT!N2400,CHOOSE({1,2},INPUT!$A$3:$A$5000&amp;INPUT!$C$3:$C$5000,INPUT!$F$3:$F$5000),2,FALSE),"")</f>
        <v>PRE-TEMPORADA</v>
      </c>
      <c r="H2405" t="str" cm="1">
        <f t="array" ref="H2405">IFERROR(VLOOKUP(INPUT!M2400&amp;INPUT!N2400,CHOOSE({1,2},INPUT!$A$3:$A$5000&amp;INPUT!$C$3:$C$5000,INPUT!$D$3:$D$5000),2,FALSE),"")</f>
        <v>GYM TEC-TAC</v>
      </c>
      <c r="I2405" s="46">
        <f>IF(INPUT!P2400="","",INPUT!P2400)</f>
        <v>68.3</v>
      </c>
      <c r="J2405" s="46">
        <f>IF(INPUT!Q2400="","",INPUT!Q2400)</f>
        <v>68</v>
      </c>
      <c r="K2405" s="46">
        <f>IFERROR(IF(OR(INPUT!P2400="",INPUT!Q2400=""),"",INPUT!P2400-INPUT!Q2400),"")</f>
        <v>0.29999999999999716</v>
      </c>
      <c r="L2405" s="48">
        <f>IFERROR(IF(OR(INPUT!P2400="",INPUT!Q2400="",INPUT!P2400=0),"",(INPUT!P2400-INPUT!Q2400)/INPUT!P2400),"")</f>
        <v>4.3923865300145998E-3</v>
      </c>
    </row>
    <row r="2406" spans="1:12" ht="18" hidden="1" customHeight="1" x14ac:dyDescent="0.2">
      <c r="A2406" s="11">
        <f>IF(INPUT!M2401="","",INPUT!M2401)</f>
        <v>46118</v>
      </c>
      <c r="B2406" s="11">
        <f>IF(INPUT!M2401="","",INPUT!M2401-WEEKDAY(INPUT!M2401,2)+1)</f>
        <v>46118</v>
      </c>
      <c r="C2406" s="20">
        <f>IFERROR(_xlfn.ISOWEEKNUM(INPUT!M2401),"")</f>
        <v>15</v>
      </c>
      <c r="D2406" s="20">
        <f>IFERROR(YEAR(INPUT!M2401),"")</f>
        <v>2026</v>
      </c>
      <c r="E2406" t="str">
        <f>IF(INPUT!O2401="","",INPUT!O2401)</f>
        <v>RUBIO</v>
      </c>
      <c r="F2406" t="str">
        <f>IF(INPUT!N2401="","",INPUT!N2401)</f>
        <v>M</v>
      </c>
      <c r="G2406" t="str" cm="1">
        <f t="array" ref="G2406">IFERROR(VLOOKUP(INPUT!M2401&amp;INPUT!N2401,CHOOSE({1,2},INPUT!$A$3:$A$5000&amp;INPUT!$C$3:$C$5000,INPUT!$F$3:$F$5000),2,FALSE),"")</f>
        <v>PRE-TEMPORADA</v>
      </c>
      <c r="H2406" t="str" cm="1">
        <f t="array" ref="H2406">IFERROR(VLOOKUP(INPUT!M2401&amp;INPUT!N2401,CHOOSE({1,2},INPUT!$A$3:$A$5000&amp;INPUT!$C$3:$C$5000,INPUT!$D$3:$D$5000),2,FALSE),"")</f>
        <v>GYM TEC-TAC</v>
      </c>
      <c r="I2406" s="46">
        <f>IF(INPUT!P2401="","",INPUT!P2401)</f>
        <v>74.5</v>
      </c>
      <c r="J2406" s="46">
        <f>IF(INPUT!Q2401="","",INPUT!Q2401)</f>
        <v>74.3</v>
      </c>
      <c r="K2406" s="46">
        <f>IFERROR(IF(OR(INPUT!P2401="",INPUT!Q2401=""),"",INPUT!P2401-INPUT!Q2401),"")</f>
        <v>0.20000000000000284</v>
      </c>
      <c r="L2406" s="48">
        <f>IFERROR(IF(OR(INPUT!P2401="",INPUT!Q2401="",INPUT!P2401=0),"",(INPUT!P2401-INPUT!Q2401)/INPUT!P2401),"")</f>
        <v>2.6845637583892998E-3</v>
      </c>
    </row>
    <row r="2407" spans="1:12" ht="18" hidden="1" customHeight="1" x14ac:dyDescent="0.2">
      <c r="A2407" s="11">
        <f>IF(INPUT!M2402="","",INPUT!M2402)</f>
        <v>46118</v>
      </c>
      <c r="B2407" s="11">
        <f>IF(INPUT!M2402="","",INPUT!M2402-WEEKDAY(INPUT!M2402,2)+1)</f>
        <v>46118</v>
      </c>
      <c r="C2407" s="20">
        <f>IFERROR(_xlfn.ISOWEEKNUM(INPUT!M2402),"")</f>
        <v>15</v>
      </c>
      <c r="D2407" s="20">
        <f>IFERROR(YEAR(INPUT!M2402),"")</f>
        <v>2026</v>
      </c>
      <c r="E2407" t="str">
        <f>IF(INPUT!O2402="","",INPUT!O2402)</f>
        <v>DANI</v>
      </c>
      <c r="F2407" t="str">
        <f>IF(INPUT!N2402="","",INPUT!N2402)</f>
        <v>M</v>
      </c>
      <c r="G2407" t="str" cm="1">
        <f t="array" ref="G2407">IFERROR(VLOOKUP(INPUT!M2402&amp;INPUT!N2402,CHOOSE({1,2},INPUT!$A$3:$A$5000&amp;INPUT!$C$3:$C$5000,INPUT!$F$3:$F$5000),2,FALSE),"")</f>
        <v>PRE-TEMPORADA</v>
      </c>
      <c r="H2407" t="str" cm="1">
        <f t="array" ref="H2407">IFERROR(VLOOKUP(INPUT!M2402&amp;INPUT!N2402,CHOOSE({1,2},INPUT!$A$3:$A$5000&amp;INPUT!$C$3:$C$5000,INPUT!$D$3:$D$5000),2,FALSE),"")</f>
        <v>GYM TEC-TAC</v>
      </c>
      <c r="I2407" s="46">
        <f>IF(INPUT!P2402="","",INPUT!P2402)</f>
        <v>90.3</v>
      </c>
      <c r="J2407" s="46">
        <f>IF(INPUT!Q2402="","",INPUT!Q2402)</f>
        <v>90</v>
      </c>
      <c r="K2407" s="46">
        <f>IFERROR(IF(OR(INPUT!P2402="",INPUT!Q2402=""),"",INPUT!P2402-INPUT!Q2402),"")</f>
        <v>0.29999999999999716</v>
      </c>
      <c r="L2407" s="48">
        <f>IFERROR(IF(OR(INPUT!P2402="",INPUT!Q2402="",INPUT!P2402=0),"",(INPUT!P2402-INPUT!Q2402)/INPUT!P2402),"")</f>
        <v>3.322259136212593E-3</v>
      </c>
    </row>
    <row r="2408" spans="1:12" ht="18" hidden="1" customHeight="1" x14ac:dyDescent="0.2">
      <c r="A2408" s="11">
        <f>IF(INPUT!M2403="","",INPUT!M2403)</f>
        <v>46118</v>
      </c>
      <c r="B2408" s="11">
        <f>IF(INPUT!M2403="","",INPUT!M2403-WEEKDAY(INPUT!M2403,2)+1)</f>
        <v>46118</v>
      </c>
      <c r="C2408" s="20">
        <f>IFERROR(_xlfn.ISOWEEKNUM(INPUT!M2403),"")</f>
        <v>15</v>
      </c>
      <c r="D2408" s="20">
        <f>IFERROR(YEAR(INPUT!M2403),"")</f>
        <v>2026</v>
      </c>
      <c r="E2408" t="str">
        <f>IF(INPUT!O2403="","",INPUT!O2403)</f>
        <v>JAIME</v>
      </c>
      <c r="F2408" t="str">
        <f>IF(INPUT!N2403="","",INPUT!N2403)</f>
        <v>M</v>
      </c>
      <c r="G2408" t="str" cm="1">
        <f t="array" ref="G2408">IFERROR(VLOOKUP(INPUT!M2403&amp;INPUT!N2403,CHOOSE({1,2},INPUT!$A$3:$A$5000&amp;INPUT!$C$3:$C$5000,INPUT!$F$3:$F$5000),2,FALSE),"")</f>
        <v>PRE-TEMPORADA</v>
      </c>
      <c r="H2408" t="str" cm="1">
        <f t="array" ref="H2408">IFERROR(VLOOKUP(INPUT!M2403&amp;INPUT!N2403,CHOOSE({1,2},INPUT!$A$3:$A$5000&amp;INPUT!$C$3:$C$5000,INPUT!$D$3:$D$5000),2,FALSE),"")</f>
        <v>GYM TEC-TAC</v>
      </c>
      <c r="I2408" s="46">
        <f>IF(INPUT!P2403="","",INPUT!P2403)</f>
        <v>76.5</v>
      </c>
      <c r="J2408" s="46">
        <f>IF(INPUT!Q2403="","",INPUT!Q2403)</f>
        <v>76.5</v>
      </c>
      <c r="K2408" s="46">
        <f>IFERROR(IF(OR(INPUT!P2403="",INPUT!Q2403=""),"",INPUT!P2403-INPUT!Q2403),"")</f>
        <v>0</v>
      </c>
      <c r="L2408" s="48">
        <f>IFERROR(IF(OR(INPUT!P2403="",INPUT!Q2403="",INPUT!P2403=0),"",(INPUT!P2403-INPUT!Q2403)/INPUT!P2403),"")</f>
        <v>0</v>
      </c>
    </row>
    <row r="2409" spans="1:12" ht="18" hidden="1" customHeight="1" x14ac:dyDescent="0.2">
      <c r="A2409" s="11">
        <f>IF(INPUT!M2404="","",INPUT!M2404)</f>
        <v>46119</v>
      </c>
      <c r="B2409" s="11">
        <f>IF(INPUT!M2404="","",INPUT!M2404-WEEKDAY(INPUT!M2404,2)+1)</f>
        <v>46118</v>
      </c>
      <c r="C2409" s="20">
        <f>IFERROR(_xlfn.ISOWEEKNUM(INPUT!M2404),"")</f>
        <v>15</v>
      </c>
      <c r="D2409" s="20">
        <f>IFERROR(YEAR(INPUT!M2404),"")</f>
        <v>2026</v>
      </c>
      <c r="E2409" t="str">
        <f>IF(INPUT!O2404="","",INPUT!O2404)</f>
        <v>HERRERO</v>
      </c>
      <c r="F2409" t="str">
        <f>IF(INPUT!N2404="","",INPUT!N2404)</f>
        <v>M</v>
      </c>
      <c r="G2409" t="str" cm="1">
        <f t="array" ref="G2409">IFERROR(VLOOKUP(INPUT!M2404&amp;INPUT!N2404,CHOOSE({1,2},INPUT!$A$3:$A$5000&amp;INPUT!$C$3:$C$5000,INPUT!$F$3:$F$5000),2,FALSE),"")</f>
        <v>PRE-TEMPORADA</v>
      </c>
      <c r="H2409" t="str" cm="1">
        <f t="array" ref="H2409">IFERROR(VLOOKUP(INPUT!M2404&amp;INPUT!N2404,CHOOSE({1,2},INPUT!$A$3:$A$5000&amp;INPUT!$C$3:$C$5000,INPUT!$D$3:$D$5000),2,FALSE),"")</f>
        <v>TEC-TAC</v>
      </c>
      <c r="I2409" s="46">
        <f>IF(INPUT!P2404="","",INPUT!P2404)</f>
        <v>77</v>
      </c>
      <c r="J2409" s="46">
        <f>IF(INPUT!Q2404="","",INPUT!Q2404)</f>
        <v>76.099999999999994</v>
      </c>
      <c r="K2409" s="46">
        <f>IFERROR(IF(OR(INPUT!P2404="",INPUT!Q2404=""),"",INPUT!P2404-INPUT!Q2404),"")</f>
        <v>0.90000000000000568</v>
      </c>
      <c r="L2409" s="48">
        <f>IFERROR(IF(OR(INPUT!P2404="",INPUT!Q2404="",INPUT!P2404=0),"",(INPUT!P2404-INPUT!Q2404)/INPUT!P2404),"")</f>
        <v>1.1688311688311762E-2</v>
      </c>
    </row>
    <row r="2410" spans="1:12" ht="18" hidden="1" customHeight="1" x14ac:dyDescent="0.2">
      <c r="A2410" s="11">
        <f>IF(INPUT!M2405="","",INPUT!M2405)</f>
        <v>46119</v>
      </c>
      <c r="B2410" s="11">
        <f>IF(INPUT!M2405="","",INPUT!M2405-WEEKDAY(INPUT!M2405,2)+1)</f>
        <v>46118</v>
      </c>
      <c r="C2410" s="20">
        <f>IFERROR(_xlfn.ISOWEEKNUM(INPUT!M2405),"")</f>
        <v>15</v>
      </c>
      <c r="D2410" s="20">
        <f>IFERROR(YEAR(INPUT!M2405),"")</f>
        <v>2026</v>
      </c>
      <c r="E2410" t="str">
        <f>IF(INPUT!O2405="","",INPUT!O2405)</f>
        <v>GARCIA</v>
      </c>
      <c r="F2410" t="str">
        <f>IF(INPUT!N2405="","",INPUT!N2405)</f>
        <v>M</v>
      </c>
      <c r="G2410" t="str" cm="1">
        <f t="array" ref="G2410">IFERROR(VLOOKUP(INPUT!M2405&amp;INPUT!N2405,CHOOSE({1,2},INPUT!$A$3:$A$5000&amp;INPUT!$C$3:$C$5000,INPUT!$F$3:$F$5000),2,FALSE),"")</f>
        <v>PRE-TEMPORADA</v>
      </c>
      <c r="H2410" t="str" cm="1">
        <f t="array" ref="H2410">IFERROR(VLOOKUP(INPUT!M2405&amp;INPUT!N2405,CHOOSE({1,2},INPUT!$A$3:$A$5000&amp;INPUT!$C$3:$C$5000,INPUT!$D$3:$D$5000),2,FALSE),"")</f>
        <v>TEC-TAC</v>
      </c>
      <c r="I2410" s="46">
        <f>IF(INPUT!P2405="","",INPUT!P2405)</f>
        <v>79.400000000000006</v>
      </c>
      <c r="J2410" s="46">
        <f>IF(INPUT!Q2405="","",INPUT!Q2405)</f>
        <v>79</v>
      </c>
      <c r="K2410" s="46">
        <f>IFERROR(IF(OR(INPUT!P2405="",INPUT!Q2405=""),"",INPUT!P2405-INPUT!Q2405),"")</f>
        <v>0.40000000000000568</v>
      </c>
      <c r="L2410" s="48">
        <f>IFERROR(IF(OR(INPUT!P2405="",INPUT!Q2405="",INPUT!P2405=0),"",(INPUT!P2405-INPUT!Q2405)/INPUT!P2405),"")</f>
        <v>5.0377833753149324E-3</v>
      </c>
    </row>
    <row r="2411" spans="1:12" ht="18" customHeight="1" x14ac:dyDescent="0.2">
      <c r="A2411" s="11">
        <f>IF(INPUT!M2406="","",INPUT!M2406)</f>
        <v>46119</v>
      </c>
      <c r="B2411" s="11">
        <f>IF(INPUT!M2406="","",INPUT!M2406-WEEKDAY(INPUT!M2406,2)+1)</f>
        <v>46118</v>
      </c>
      <c r="C2411" s="20">
        <f>IFERROR(_xlfn.ISOWEEKNUM(INPUT!M2406),"")</f>
        <v>15</v>
      </c>
      <c r="D2411" s="20">
        <f>IFERROR(YEAR(INPUT!M2406),"")</f>
        <v>2026</v>
      </c>
      <c r="E2411" t="str">
        <f>IF(INPUT!O2406="","",INPUT!O2406)</f>
        <v>CHAGUINHA</v>
      </c>
      <c r="F2411" t="str">
        <f>IF(INPUT!N2406="","",INPUT!N2406)</f>
        <v>M</v>
      </c>
      <c r="G2411" t="str" cm="1">
        <f t="array" ref="G2411">IFERROR(VLOOKUP(INPUT!M2406&amp;INPUT!N2406,CHOOSE({1,2},INPUT!$A$3:$A$5000&amp;INPUT!$C$3:$C$5000,INPUT!$F$3:$F$5000),2,FALSE),"")</f>
        <v>PRE-TEMPORADA</v>
      </c>
      <c r="H2411" t="str" cm="1">
        <f t="array" ref="H2411">IFERROR(VLOOKUP(INPUT!M2406&amp;INPUT!N2406,CHOOSE({1,2},INPUT!$A$3:$A$5000&amp;INPUT!$C$3:$C$5000,INPUT!$D$3:$D$5000),2,FALSE),"")</f>
        <v>TEC-TAC</v>
      </c>
      <c r="I2411" s="46">
        <f>IF(INPUT!P2406="","",INPUT!P2406)</f>
        <v>69</v>
      </c>
      <c r="J2411" s="46">
        <f>IF(INPUT!Q2406="","",INPUT!Q2406)</f>
        <v>69</v>
      </c>
      <c r="K2411" s="46">
        <f>IFERROR(IF(OR(INPUT!P2406="",INPUT!Q2406=""),"",INPUT!P2406-INPUT!Q2406),"")</f>
        <v>0</v>
      </c>
      <c r="L2411" s="48">
        <f>IFERROR(IF(OR(INPUT!P2406="",INPUT!Q2406="",INPUT!P2406=0),"",(INPUT!P2406-INPUT!Q2406)/INPUT!P2406),"")</f>
        <v>0</v>
      </c>
    </row>
    <row r="2412" spans="1:12" ht="18" customHeight="1" x14ac:dyDescent="0.2">
      <c r="A2412" s="11">
        <f>IF(INPUT!M2407="","",INPUT!M2407)</f>
        <v>46119</v>
      </c>
      <c r="B2412" s="11">
        <f>IF(INPUT!M2407="","",INPUT!M2407-WEEKDAY(INPUT!M2407,2)+1)</f>
        <v>46118</v>
      </c>
      <c r="C2412" s="20">
        <f>IFERROR(_xlfn.ISOWEEKNUM(INPUT!M2407),"")</f>
        <v>15</v>
      </c>
      <c r="D2412" s="20">
        <f>IFERROR(YEAR(INPUT!M2407),"")</f>
        <v>2026</v>
      </c>
      <c r="E2412" t="str">
        <f>IF(INPUT!O2407="","",INPUT!O2407)</f>
        <v>RAUL</v>
      </c>
      <c r="F2412" t="str">
        <f>IF(INPUT!N2407="","",INPUT!N2407)</f>
        <v>M</v>
      </c>
      <c r="G2412" t="str" cm="1">
        <f t="array" ref="G2412">IFERROR(VLOOKUP(INPUT!M2407&amp;INPUT!N2407,CHOOSE({1,2},INPUT!$A$3:$A$5000&amp;INPUT!$C$3:$C$5000,INPUT!$F$3:$F$5000),2,FALSE),"")</f>
        <v>PRE-TEMPORADA</v>
      </c>
      <c r="H2412" t="str" cm="1">
        <f t="array" ref="H2412">IFERROR(VLOOKUP(INPUT!M2407&amp;INPUT!N2407,CHOOSE({1,2},INPUT!$A$3:$A$5000&amp;INPUT!$C$3:$C$5000,INPUT!$D$3:$D$5000),2,FALSE),"")</f>
        <v>TEC-TAC</v>
      </c>
      <c r="I2412" s="46">
        <f>IF(INPUT!P2407="","",INPUT!P2407)</f>
        <v>82</v>
      </c>
      <c r="J2412" s="46">
        <f>IF(INPUT!Q2407="","",INPUT!Q2407)</f>
        <v>81.7</v>
      </c>
      <c r="K2412" s="46">
        <f>IFERROR(IF(OR(INPUT!P2407="",INPUT!Q2407=""),"",INPUT!P2407-INPUT!Q2407),"")</f>
        <v>0.29999999999999716</v>
      </c>
      <c r="L2412" s="48">
        <f>IFERROR(IF(OR(INPUT!P2407="",INPUT!Q2407="",INPUT!P2407=0),"",(INPUT!P2407-INPUT!Q2407)/INPUT!P2407),"")</f>
        <v>3.6585365853658192E-3</v>
      </c>
    </row>
    <row r="2413" spans="1:12" ht="18" customHeight="1" x14ac:dyDescent="0.2">
      <c r="A2413" s="11">
        <f>IF(INPUT!M2408="","",INPUT!M2408)</f>
        <v>46119</v>
      </c>
      <c r="B2413" s="11">
        <f>IF(INPUT!M2408="","",INPUT!M2408-WEEKDAY(INPUT!M2408,2)+1)</f>
        <v>46118</v>
      </c>
      <c r="C2413" s="20">
        <f>IFERROR(_xlfn.ISOWEEKNUM(INPUT!M2408),"")</f>
        <v>15</v>
      </c>
      <c r="D2413" s="20">
        <f>IFERROR(YEAR(INPUT!M2408),"")</f>
        <v>2026</v>
      </c>
      <c r="E2413" t="str">
        <f>IF(INPUT!O2408="","",INPUT!O2408)</f>
        <v>HARRISON</v>
      </c>
      <c r="F2413" t="str">
        <f>IF(INPUT!N2408="","",INPUT!N2408)</f>
        <v>M</v>
      </c>
      <c r="G2413" t="str" cm="1">
        <f t="array" ref="G2413">IFERROR(VLOOKUP(INPUT!M2408&amp;INPUT!N2408,CHOOSE({1,2},INPUT!$A$3:$A$5000&amp;INPUT!$C$3:$C$5000,INPUT!$F$3:$F$5000),2,FALSE),"")</f>
        <v>PRE-TEMPORADA</v>
      </c>
      <c r="H2413" t="str" cm="1">
        <f t="array" ref="H2413">IFERROR(VLOOKUP(INPUT!M2408&amp;INPUT!N2408,CHOOSE({1,2},INPUT!$A$3:$A$5000&amp;INPUT!$C$3:$C$5000,INPUT!$D$3:$D$5000),2,FALSE),"")</f>
        <v>TEC-TAC</v>
      </c>
      <c r="I2413" s="46">
        <f>IF(INPUT!P2408="","",INPUT!P2408)</f>
        <v>72</v>
      </c>
      <c r="J2413" s="46">
        <f>IF(INPUT!Q2408="","",INPUT!Q2408)</f>
        <v>72</v>
      </c>
      <c r="K2413" s="46">
        <f>IFERROR(IF(OR(INPUT!P2408="",INPUT!Q2408=""),"",INPUT!P2408-INPUT!Q2408),"")</f>
        <v>0</v>
      </c>
      <c r="L2413" s="48">
        <f>IFERROR(IF(OR(INPUT!P2408="",INPUT!Q2408="",INPUT!P2408=0),"",(INPUT!P2408-INPUT!Q2408)/INPUT!P2408),"")</f>
        <v>0</v>
      </c>
    </row>
    <row r="2414" spans="1:12" ht="18" customHeight="1" x14ac:dyDescent="0.2">
      <c r="A2414" s="11">
        <f>IF(INPUT!M2409="","",INPUT!M2409)</f>
        <v>46119</v>
      </c>
      <c r="B2414" s="11">
        <f>IF(INPUT!M2409="","",INPUT!M2409-WEEKDAY(INPUT!M2409,2)+1)</f>
        <v>46118</v>
      </c>
      <c r="C2414" s="20">
        <f>IFERROR(_xlfn.ISOWEEKNUM(INPUT!M2409),"")</f>
        <v>15</v>
      </c>
      <c r="D2414" s="20">
        <f>IFERROR(YEAR(INPUT!M2409),"")</f>
        <v>2026</v>
      </c>
      <c r="E2414" t="str">
        <f>IF(INPUT!O2409="","",INPUT!O2409)</f>
        <v>JAVI</v>
      </c>
      <c r="F2414" t="str">
        <f>IF(INPUT!N2409="","",INPUT!N2409)</f>
        <v>M</v>
      </c>
      <c r="G2414" t="str" cm="1">
        <f t="array" ref="G2414">IFERROR(VLOOKUP(INPUT!M2409&amp;INPUT!N2409,CHOOSE({1,2},INPUT!$A$3:$A$5000&amp;INPUT!$C$3:$C$5000,INPUT!$F$3:$F$5000),2,FALSE),"")</f>
        <v>PRE-TEMPORADA</v>
      </c>
      <c r="H2414" t="str" cm="1">
        <f t="array" ref="H2414">IFERROR(VLOOKUP(INPUT!M2409&amp;INPUT!N2409,CHOOSE({1,2},INPUT!$A$3:$A$5000&amp;INPUT!$C$3:$C$5000,INPUT!$D$3:$D$5000),2,FALSE),"")</f>
        <v>TEC-TAC</v>
      </c>
      <c r="I2414" s="46">
        <f>IF(INPUT!P2409="","",INPUT!P2409)</f>
        <v>79.599999999999994</v>
      </c>
      <c r="J2414" s="46">
        <f>IF(INPUT!Q2409="","",INPUT!Q2409)</f>
        <v>79</v>
      </c>
      <c r="K2414" s="46">
        <f>IFERROR(IF(OR(INPUT!P2409="",INPUT!Q2409=""),"",INPUT!P2409-INPUT!Q2409),"")</f>
        <v>0.59999999999999432</v>
      </c>
      <c r="L2414" s="48">
        <f>IFERROR(IF(OR(INPUT!P2409="",INPUT!Q2409="",INPUT!P2409=0),"",(INPUT!P2409-INPUT!Q2409)/INPUT!P2409),"")</f>
        <v>7.5376884422109847E-3</v>
      </c>
    </row>
    <row r="2415" spans="1:12" ht="18" hidden="1" customHeight="1" x14ac:dyDescent="0.2">
      <c r="A2415" s="11">
        <f>IF(INPUT!M2410="","",INPUT!M2410)</f>
        <v>46119</v>
      </c>
      <c r="B2415" s="11">
        <f>IF(INPUT!M2410="","",INPUT!M2410-WEEKDAY(INPUT!M2410,2)+1)</f>
        <v>46118</v>
      </c>
      <c r="C2415" s="20">
        <f>IFERROR(_xlfn.ISOWEEKNUM(INPUT!M2410),"")</f>
        <v>15</v>
      </c>
      <c r="D2415" s="20">
        <f>IFERROR(YEAR(INPUT!M2410),"")</f>
        <v>2026</v>
      </c>
      <c r="E2415" t="str">
        <f>IF(INPUT!O2410="","",INPUT!O2410)</f>
        <v>PANI</v>
      </c>
      <c r="F2415" t="str">
        <f>IF(INPUT!N2410="","",INPUT!N2410)</f>
        <v>M</v>
      </c>
      <c r="G2415" t="str" cm="1">
        <f t="array" ref="G2415">IFERROR(VLOOKUP(INPUT!M2410&amp;INPUT!N2410,CHOOSE({1,2},INPUT!$A$3:$A$5000&amp;INPUT!$C$3:$C$5000,INPUT!$F$3:$F$5000),2,FALSE),"")</f>
        <v>PRE-TEMPORADA</v>
      </c>
      <c r="H2415" t="str" cm="1">
        <f t="array" ref="H2415">IFERROR(VLOOKUP(INPUT!M2410&amp;INPUT!N2410,CHOOSE({1,2},INPUT!$A$3:$A$5000&amp;INPUT!$C$3:$C$5000,INPUT!$D$3:$D$5000),2,FALSE),"")</f>
        <v>TEC-TAC</v>
      </c>
      <c r="I2415" s="46">
        <f>IF(INPUT!P2410="","",INPUT!P2410)</f>
        <v>66.900000000000006</v>
      </c>
      <c r="J2415" s="46">
        <f>IF(INPUT!Q2410="","",INPUT!Q2410)</f>
        <v>65.599999999999994</v>
      </c>
      <c r="K2415" s="46">
        <f>IFERROR(IF(OR(INPUT!P2410="",INPUT!Q2410=""),"",INPUT!P2410-INPUT!Q2410),"")</f>
        <v>1.3000000000000114</v>
      </c>
      <c r="L2415" s="48">
        <f>IFERROR(IF(OR(INPUT!P2410="",INPUT!Q2410="",INPUT!P2410=0),"",(INPUT!P2410-INPUT!Q2410)/INPUT!P2410),"")</f>
        <v>1.9431988041853681E-2</v>
      </c>
    </row>
    <row r="2416" spans="1:12" ht="18" hidden="1" customHeight="1" x14ac:dyDescent="0.2">
      <c r="A2416" s="11">
        <f>IF(INPUT!M2411="","",INPUT!M2411)</f>
        <v>46119</v>
      </c>
      <c r="B2416" s="11">
        <f>IF(INPUT!M2411="","",INPUT!M2411-WEEKDAY(INPUT!M2411,2)+1)</f>
        <v>46118</v>
      </c>
      <c r="C2416" s="20">
        <f>IFERROR(_xlfn.ISOWEEKNUM(INPUT!M2411),"")</f>
        <v>15</v>
      </c>
      <c r="D2416" s="20">
        <f>IFERROR(YEAR(INPUT!M2411),"")</f>
        <v>2026</v>
      </c>
      <c r="E2416" t="str">
        <f>IF(INPUT!O2411="","",INPUT!O2411)</f>
        <v>PIRATA</v>
      </c>
      <c r="F2416" t="str">
        <f>IF(INPUT!N2411="","",INPUT!N2411)</f>
        <v>M</v>
      </c>
      <c r="G2416" t="str" cm="1">
        <f t="array" ref="G2416">IFERROR(VLOOKUP(INPUT!M2411&amp;INPUT!N2411,CHOOSE({1,2},INPUT!$A$3:$A$5000&amp;INPUT!$C$3:$C$5000,INPUT!$F$3:$F$5000),2,FALSE),"")</f>
        <v>PRE-TEMPORADA</v>
      </c>
      <c r="H2416" t="str" cm="1">
        <f t="array" ref="H2416">IFERROR(VLOOKUP(INPUT!M2411&amp;INPUT!N2411,CHOOSE({1,2},INPUT!$A$3:$A$5000&amp;INPUT!$C$3:$C$5000,INPUT!$D$3:$D$5000),2,FALSE),"")</f>
        <v>TEC-TAC</v>
      </c>
      <c r="I2416" s="46">
        <f>IF(INPUT!P2411="","",INPUT!P2411)</f>
        <v>75.8</v>
      </c>
      <c r="J2416" s="46">
        <f>IF(INPUT!Q2411="","",INPUT!Q2411)</f>
        <v>75.7</v>
      </c>
      <c r="K2416" s="46">
        <f>IFERROR(IF(OR(INPUT!P2411="",INPUT!Q2411=""),"",INPUT!P2411-INPUT!Q2411),"")</f>
        <v>9.9999999999994316E-2</v>
      </c>
      <c r="L2416" s="48">
        <f>IFERROR(IF(OR(INPUT!P2411="",INPUT!Q2411="",INPUT!P2411=0),"",(INPUT!P2411-INPUT!Q2411)/INPUT!P2411),"")</f>
        <v>1.3192612137202418E-3</v>
      </c>
    </row>
    <row r="2417" spans="1:12" ht="18" hidden="1" customHeight="1" x14ac:dyDescent="0.2">
      <c r="A2417" s="11">
        <f>IF(INPUT!M2412="","",INPUT!M2412)</f>
        <v>46119</v>
      </c>
      <c r="B2417" s="11">
        <f>IF(INPUT!M2412="","",INPUT!M2412-WEEKDAY(INPUT!M2412,2)+1)</f>
        <v>46118</v>
      </c>
      <c r="C2417" s="20">
        <f>IFERROR(_xlfn.ISOWEEKNUM(INPUT!M2412),"")</f>
        <v>15</v>
      </c>
      <c r="D2417" s="20">
        <f>IFERROR(YEAR(INPUT!M2412),"")</f>
        <v>2026</v>
      </c>
      <c r="E2417" t="str">
        <f>IF(INPUT!O2412="","",INPUT!O2412)</f>
        <v>BARONA</v>
      </c>
      <c r="F2417" t="str">
        <f>IF(INPUT!N2412="","",INPUT!N2412)</f>
        <v>M</v>
      </c>
      <c r="G2417" t="str" cm="1">
        <f t="array" ref="G2417">IFERROR(VLOOKUP(INPUT!M2412&amp;INPUT!N2412,CHOOSE({1,2},INPUT!$A$3:$A$5000&amp;INPUT!$C$3:$C$5000,INPUT!$F$3:$F$5000),2,FALSE),"")</f>
        <v>PRE-TEMPORADA</v>
      </c>
      <c r="H2417" t="str" cm="1">
        <f t="array" ref="H2417">IFERROR(VLOOKUP(INPUT!M2412&amp;INPUT!N2412,CHOOSE({1,2},INPUT!$A$3:$A$5000&amp;INPUT!$C$3:$C$5000,INPUT!$D$3:$D$5000),2,FALSE),"")</f>
        <v>TEC-TAC</v>
      </c>
      <c r="I2417" s="46">
        <f>IF(INPUT!P2412="","",INPUT!P2412)</f>
        <v>71</v>
      </c>
      <c r="J2417" s="46">
        <f>IF(INPUT!Q2412="","",INPUT!Q2412)</f>
        <v>71</v>
      </c>
      <c r="K2417" s="46">
        <f>IFERROR(IF(OR(INPUT!P2412="",INPUT!Q2412=""),"",INPUT!P2412-INPUT!Q2412),"")</f>
        <v>0</v>
      </c>
      <c r="L2417" s="48">
        <f>IFERROR(IF(OR(INPUT!P2412="",INPUT!Q2412="",INPUT!P2412=0),"",(INPUT!P2412-INPUT!Q2412)/INPUT!P2412),"")</f>
        <v>0</v>
      </c>
    </row>
    <row r="2418" spans="1:12" ht="18" hidden="1" customHeight="1" x14ac:dyDescent="0.2">
      <c r="A2418" s="11">
        <f>IF(INPUT!M2413="","",INPUT!M2413)</f>
        <v>46119</v>
      </c>
      <c r="B2418" s="11">
        <f>IF(INPUT!M2413="","",INPUT!M2413-WEEKDAY(INPUT!M2413,2)+1)</f>
        <v>46118</v>
      </c>
      <c r="C2418" s="20">
        <f>IFERROR(_xlfn.ISOWEEKNUM(INPUT!M2413),"")</f>
        <v>15</v>
      </c>
      <c r="D2418" s="20">
        <f>IFERROR(YEAR(INPUT!M2413),"")</f>
        <v>2026</v>
      </c>
      <c r="E2418" t="str">
        <f>IF(INPUT!O2413="","",INPUT!O2413)</f>
        <v>RUBIO</v>
      </c>
      <c r="F2418" t="str">
        <f>IF(INPUT!N2413="","",INPUT!N2413)</f>
        <v>M</v>
      </c>
      <c r="G2418" t="str" cm="1">
        <f t="array" ref="G2418">IFERROR(VLOOKUP(INPUT!M2413&amp;INPUT!N2413,CHOOSE({1,2},INPUT!$A$3:$A$5000&amp;INPUT!$C$3:$C$5000,INPUT!$F$3:$F$5000),2,FALSE),"")</f>
        <v>PRE-TEMPORADA</v>
      </c>
      <c r="H2418" t="str" cm="1">
        <f t="array" ref="H2418">IFERROR(VLOOKUP(INPUT!M2413&amp;INPUT!N2413,CHOOSE({1,2},INPUT!$A$3:$A$5000&amp;INPUT!$C$3:$C$5000,INPUT!$D$3:$D$5000),2,FALSE),"")</f>
        <v>TEC-TAC</v>
      </c>
      <c r="I2418" s="46">
        <f>IF(INPUT!P2413="","",INPUT!P2413)</f>
        <v>74.2</v>
      </c>
      <c r="J2418" s="46">
        <f>IF(INPUT!Q2413="","",INPUT!Q2413)</f>
        <v>74.2</v>
      </c>
      <c r="K2418" s="46">
        <f>IFERROR(IF(OR(INPUT!P2413="",INPUT!Q2413=""),"",INPUT!P2413-INPUT!Q2413),"")</f>
        <v>0</v>
      </c>
      <c r="L2418" s="48">
        <f>IFERROR(IF(OR(INPUT!P2413="",INPUT!Q2413="",INPUT!P2413=0),"",(INPUT!P2413-INPUT!Q2413)/INPUT!P2413),"")</f>
        <v>0</v>
      </c>
    </row>
    <row r="2419" spans="1:12" ht="18" hidden="1" customHeight="1" x14ac:dyDescent="0.2">
      <c r="A2419" s="11">
        <f>IF(INPUT!M2414="","",INPUT!M2414)</f>
        <v>46119</v>
      </c>
      <c r="B2419" s="11">
        <f>IF(INPUT!M2414="","",INPUT!M2414-WEEKDAY(INPUT!M2414,2)+1)</f>
        <v>46118</v>
      </c>
      <c r="C2419" s="20">
        <f>IFERROR(_xlfn.ISOWEEKNUM(INPUT!M2414),"")</f>
        <v>15</v>
      </c>
      <c r="D2419" s="20">
        <f>IFERROR(YEAR(INPUT!M2414),"")</f>
        <v>2026</v>
      </c>
      <c r="E2419" t="str">
        <f>IF(INPUT!O2414="","",INPUT!O2414)</f>
        <v>DANI</v>
      </c>
      <c r="F2419" t="str">
        <f>IF(INPUT!N2414="","",INPUT!N2414)</f>
        <v>M</v>
      </c>
      <c r="G2419" t="str" cm="1">
        <f t="array" ref="G2419">IFERROR(VLOOKUP(INPUT!M2414&amp;INPUT!N2414,CHOOSE({1,2},INPUT!$A$3:$A$5000&amp;INPUT!$C$3:$C$5000,INPUT!$F$3:$F$5000),2,FALSE),"")</f>
        <v>PRE-TEMPORADA</v>
      </c>
      <c r="H2419" t="str" cm="1">
        <f t="array" ref="H2419">IFERROR(VLOOKUP(INPUT!M2414&amp;INPUT!N2414,CHOOSE({1,2},INPUT!$A$3:$A$5000&amp;INPUT!$C$3:$C$5000,INPUT!$D$3:$D$5000),2,FALSE),"")</f>
        <v>TEC-TAC</v>
      </c>
      <c r="I2419" s="46">
        <f>IF(INPUT!P2414="","",INPUT!P2414)</f>
        <v>90.5</v>
      </c>
      <c r="J2419" s="46">
        <f>IF(INPUT!Q2414="","",INPUT!Q2414)</f>
        <v>90</v>
      </c>
      <c r="K2419" s="46">
        <f>IFERROR(IF(OR(INPUT!P2414="",INPUT!Q2414=""),"",INPUT!P2414-INPUT!Q2414),"")</f>
        <v>0.5</v>
      </c>
      <c r="L2419" s="48">
        <f>IFERROR(IF(OR(INPUT!P2414="",INPUT!Q2414="",INPUT!P2414=0),"",(INPUT!P2414-INPUT!Q2414)/INPUT!P2414),"")</f>
        <v>5.5248618784530384E-3</v>
      </c>
    </row>
    <row r="2420" spans="1:12" ht="18" hidden="1" customHeight="1" x14ac:dyDescent="0.2">
      <c r="A2420" s="11">
        <f>IF(INPUT!M2415="","",INPUT!M2415)</f>
        <v>46119</v>
      </c>
      <c r="B2420" s="11">
        <f>IF(INPUT!M2415="","",INPUT!M2415-WEEKDAY(INPUT!M2415,2)+1)</f>
        <v>46118</v>
      </c>
      <c r="C2420" s="20">
        <f>IFERROR(_xlfn.ISOWEEKNUM(INPUT!M2415),"")</f>
        <v>15</v>
      </c>
      <c r="D2420" s="20">
        <f>IFERROR(YEAR(INPUT!M2415),"")</f>
        <v>2026</v>
      </c>
      <c r="E2420" t="str">
        <f>IF(INPUT!O2415="","",INPUT!O2415)</f>
        <v>JAIME</v>
      </c>
      <c r="F2420" t="str">
        <f>IF(INPUT!N2415="","",INPUT!N2415)</f>
        <v>M</v>
      </c>
      <c r="G2420" t="str" cm="1">
        <f t="array" ref="G2420">IFERROR(VLOOKUP(INPUT!M2415&amp;INPUT!N2415,CHOOSE({1,2},INPUT!$A$3:$A$5000&amp;INPUT!$C$3:$C$5000,INPUT!$F$3:$F$5000),2,FALSE),"")</f>
        <v>PRE-TEMPORADA</v>
      </c>
      <c r="H2420" t="str" cm="1">
        <f t="array" ref="H2420">IFERROR(VLOOKUP(INPUT!M2415&amp;INPUT!N2415,CHOOSE({1,2},INPUT!$A$3:$A$5000&amp;INPUT!$C$3:$C$5000,INPUT!$D$3:$D$5000),2,FALSE),"")</f>
        <v>TEC-TAC</v>
      </c>
      <c r="I2420" s="46">
        <f>IF(INPUT!P2415="","",INPUT!P2415)</f>
        <v>76.5</v>
      </c>
      <c r="J2420" s="46">
        <f>IF(INPUT!Q2415="","",INPUT!Q2415)</f>
        <v>76.5</v>
      </c>
      <c r="K2420" s="46">
        <f>IFERROR(IF(OR(INPUT!P2415="",INPUT!Q2415=""),"",INPUT!P2415-INPUT!Q2415),"")</f>
        <v>0</v>
      </c>
      <c r="L2420" s="48">
        <f>IFERROR(IF(OR(INPUT!P2415="",INPUT!Q2415="",INPUT!P2415=0),"",(INPUT!P2415-INPUT!Q2415)/INPUT!P2415),"")</f>
        <v>0</v>
      </c>
    </row>
    <row r="2421" spans="1:12" ht="18" hidden="1" customHeight="1" x14ac:dyDescent="0.2">
      <c r="A2421" s="11">
        <f>IF(INPUT!M2416="","",INPUT!M2416)</f>
        <v>46120</v>
      </c>
      <c r="B2421" s="11">
        <f>IF(INPUT!M2416="","",INPUT!M2416-WEEKDAY(INPUT!M2416,2)+1)</f>
        <v>46118</v>
      </c>
      <c r="C2421" s="20">
        <f>IFERROR(_xlfn.ISOWEEKNUM(INPUT!M2416),"")</f>
        <v>15</v>
      </c>
      <c r="D2421" s="20">
        <f>IFERROR(YEAR(INPUT!M2416),"")</f>
        <v>2026</v>
      </c>
      <c r="E2421" t="str">
        <f>IF(INPUT!O2416="","",INPUT!O2416)</f>
        <v>HERRERO</v>
      </c>
      <c r="F2421" t="str">
        <f>IF(INPUT!N2416="","",INPUT!N2416)</f>
        <v>M</v>
      </c>
      <c r="G2421" t="str" cm="1">
        <f t="array" ref="G2421">IFERROR(VLOOKUP(INPUT!M2416&amp;INPUT!N2416,CHOOSE({1,2},INPUT!$A$3:$A$5000&amp;INPUT!$C$3:$C$5000,INPUT!$F$3:$F$5000),2,FALSE),"")</f>
        <v>PRE-TEMPORADA</v>
      </c>
      <c r="H2421" t="str" cm="1">
        <f t="array" ref="H2421">IFERROR(VLOOKUP(INPUT!M2416&amp;INPUT!N2416,CHOOSE({1,2},INPUT!$A$3:$A$5000&amp;INPUT!$C$3:$C$5000,INPUT!$D$3:$D$5000),2,FALSE),"")</f>
        <v>GYM TEC-TAC</v>
      </c>
      <c r="I2421" s="46">
        <f>IF(INPUT!P2416="","",INPUT!P2416)</f>
        <v>77</v>
      </c>
      <c r="J2421" s="46">
        <f>IF(INPUT!Q2416="","",INPUT!Q2416)</f>
        <v>76.099999999999994</v>
      </c>
      <c r="K2421" s="46">
        <f>IFERROR(IF(OR(INPUT!P2416="",INPUT!Q2416=""),"",INPUT!P2416-INPUT!Q2416),"")</f>
        <v>0.90000000000000568</v>
      </c>
      <c r="L2421" s="48">
        <f>IFERROR(IF(OR(INPUT!P2416="",INPUT!Q2416="",INPUT!P2416=0),"",(INPUT!P2416-INPUT!Q2416)/INPUT!P2416),"")</f>
        <v>1.1688311688311762E-2</v>
      </c>
    </row>
    <row r="2422" spans="1:12" ht="18" hidden="1" customHeight="1" x14ac:dyDescent="0.2">
      <c r="A2422" s="11">
        <f>IF(INPUT!M2417="","",INPUT!M2417)</f>
        <v>46120</v>
      </c>
      <c r="B2422" s="11">
        <f>IF(INPUT!M2417="","",INPUT!M2417-WEEKDAY(INPUT!M2417,2)+1)</f>
        <v>46118</v>
      </c>
      <c r="C2422" s="20">
        <f>IFERROR(_xlfn.ISOWEEKNUM(INPUT!M2417),"")</f>
        <v>15</v>
      </c>
      <c r="D2422" s="20">
        <f>IFERROR(YEAR(INPUT!M2417),"")</f>
        <v>2026</v>
      </c>
      <c r="E2422" t="str">
        <f>IF(INPUT!O2417="","",INPUT!O2417)</f>
        <v>GARCIA</v>
      </c>
      <c r="F2422" t="str">
        <f>IF(INPUT!N2417="","",INPUT!N2417)</f>
        <v>M</v>
      </c>
      <c r="G2422" t="str" cm="1">
        <f t="array" ref="G2422">IFERROR(VLOOKUP(INPUT!M2417&amp;INPUT!N2417,CHOOSE({1,2},INPUT!$A$3:$A$5000&amp;INPUT!$C$3:$C$5000,INPUT!$F$3:$F$5000),2,FALSE),"")</f>
        <v>PRE-TEMPORADA</v>
      </c>
      <c r="H2422" t="str" cm="1">
        <f t="array" ref="H2422">IFERROR(VLOOKUP(INPUT!M2417&amp;INPUT!N2417,CHOOSE({1,2},INPUT!$A$3:$A$5000&amp;INPUT!$C$3:$C$5000,INPUT!$D$3:$D$5000),2,FALSE),"")</f>
        <v>GYM TEC-TAC</v>
      </c>
      <c r="I2422" s="46">
        <f>IF(INPUT!P2417="","",INPUT!P2417)</f>
        <v>79.8</v>
      </c>
      <c r="J2422" s="46">
        <f>IF(INPUT!Q2417="","",INPUT!Q2417)</f>
        <v>79</v>
      </c>
      <c r="K2422" s="46">
        <f>IFERROR(IF(OR(INPUT!P2417="",INPUT!Q2417=""),"",INPUT!P2417-INPUT!Q2417),"")</f>
        <v>0.79999999999999716</v>
      </c>
      <c r="L2422" s="48">
        <f>IFERROR(IF(OR(INPUT!P2417="",INPUT!Q2417="",INPUT!P2417=0),"",(INPUT!P2417-INPUT!Q2417)/INPUT!P2417),"")</f>
        <v>1.0025062656641569E-2</v>
      </c>
    </row>
    <row r="2423" spans="1:12" ht="18" hidden="1" customHeight="1" x14ac:dyDescent="0.2">
      <c r="A2423" s="11">
        <f>IF(INPUT!M2418="","",INPUT!M2418)</f>
        <v>46120</v>
      </c>
      <c r="B2423" s="11">
        <f>IF(INPUT!M2418="","",INPUT!M2418-WEEKDAY(INPUT!M2418,2)+1)</f>
        <v>46118</v>
      </c>
      <c r="C2423" s="20">
        <f>IFERROR(_xlfn.ISOWEEKNUM(INPUT!M2418),"")</f>
        <v>15</v>
      </c>
      <c r="D2423" s="20">
        <f>IFERROR(YEAR(INPUT!M2418),"")</f>
        <v>2026</v>
      </c>
      <c r="E2423" t="str">
        <f>IF(INPUT!O2418="","",INPUT!O2418)</f>
        <v>CHAGUINHA</v>
      </c>
      <c r="F2423" t="str">
        <f>IF(INPUT!N2418="","",INPUT!N2418)</f>
        <v>M</v>
      </c>
      <c r="G2423" t="str" cm="1">
        <f t="array" ref="G2423">IFERROR(VLOOKUP(INPUT!M2418&amp;INPUT!N2418,CHOOSE({1,2},INPUT!$A$3:$A$5000&amp;INPUT!$C$3:$C$5000,INPUT!$F$3:$F$5000),2,FALSE),"")</f>
        <v>PRE-TEMPORADA</v>
      </c>
      <c r="H2423" t="str" cm="1">
        <f t="array" ref="H2423">IFERROR(VLOOKUP(INPUT!M2418&amp;INPUT!N2418,CHOOSE({1,2},INPUT!$A$3:$A$5000&amp;INPUT!$C$3:$C$5000,INPUT!$D$3:$D$5000),2,FALSE),"")</f>
        <v>GYM TEC-TAC</v>
      </c>
      <c r="I2423" s="46">
        <f>IF(INPUT!P2418="","",INPUT!P2418)</f>
        <v>69</v>
      </c>
      <c r="J2423" s="46">
        <f>IF(INPUT!Q2418="","",INPUT!Q2418)</f>
        <v>69</v>
      </c>
      <c r="K2423" s="46">
        <f>IFERROR(IF(OR(INPUT!P2418="",INPUT!Q2418=""),"",INPUT!P2418-INPUT!Q2418),"")</f>
        <v>0</v>
      </c>
      <c r="L2423" s="48">
        <f>IFERROR(IF(OR(INPUT!P2418="",INPUT!Q2418="",INPUT!P2418=0),"",(INPUT!P2418-INPUT!Q2418)/INPUT!P2418),"")</f>
        <v>0</v>
      </c>
    </row>
    <row r="2424" spans="1:12" ht="18" customHeight="1" x14ac:dyDescent="0.2">
      <c r="A2424" s="11">
        <f>IF(INPUT!M2419="","",INPUT!M2419)</f>
        <v>46120</v>
      </c>
      <c r="B2424" s="11">
        <f>IF(INPUT!M2419="","",INPUT!M2419-WEEKDAY(INPUT!M2419,2)+1)</f>
        <v>46118</v>
      </c>
      <c r="C2424" s="20">
        <f>IFERROR(_xlfn.ISOWEEKNUM(INPUT!M2419),"")</f>
        <v>15</v>
      </c>
      <c r="D2424" s="20">
        <f>IFERROR(YEAR(INPUT!M2419),"")</f>
        <v>2026</v>
      </c>
      <c r="E2424" t="str">
        <f>IF(INPUT!O2419="","",INPUT!O2419)</f>
        <v>RAUL</v>
      </c>
      <c r="F2424" t="str">
        <f>IF(INPUT!N2419="","",INPUT!N2419)</f>
        <v>M</v>
      </c>
      <c r="G2424" t="str" cm="1">
        <f t="array" ref="G2424">IFERROR(VLOOKUP(INPUT!M2419&amp;INPUT!N2419,CHOOSE({1,2},INPUT!$A$3:$A$5000&amp;INPUT!$C$3:$C$5000,INPUT!$F$3:$F$5000),2,FALSE),"")</f>
        <v>PRE-TEMPORADA</v>
      </c>
      <c r="H2424" t="str" cm="1">
        <f t="array" ref="H2424">IFERROR(VLOOKUP(INPUT!M2419&amp;INPUT!N2419,CHOOSE({1,2},INPUT!$A$3:$A$5000&amp;INPUT!$C$3:$C$5000,INPUT!$D$3:$D$5000),2,FALSE),"")</f>
        <v>GYM TEC-TAC</v>
      </c>
      <c r="I2424" s="46">
        <f>IF(INPUT!P2419="","",INPUT!P2419)</f>
        <v>81.8</v>
      </c>
      <c r="J2424" s="46">
        <f>IF(INPUT!Q2419="","",INPUT!Q2419)</f>
        <v>82</v>
      </c>
      <c r="K2424" s="46">
        <f>IFERROR(IF(OR(INPUT!P2419="",INPUT!Q2419=""),"",INPUT!P2419-INPUT!Q2419),"")</f>
        <v>-0.20000000000000284</v>
      </c>
      <c r="L2424" s="48">
        <f>IFERROR(IF(OR(INPUT!P2419="",INPUT!Q2419="",INPUT!P2419=0),"",(INPUT!P2419-INPUT!Q2419)/INPUT!P2419),"")</f>
        <v>-2.4449877750611594E-3</v>
      </c>
    </row>
    <row r="2425" spans="1:12" ht="18" customHeight="1" x14ac:dyDescent="0.2">
      <c r="A2425" s="11">
        <f>IF(INPUT!M2420="","",INPUT!M2420)</f>
        <v>46120</v>
      </c>
      <c r="B2425" s="11">
        <f>IF(INPUT!M2420="","",INPUT!M2420-WEEKDAY(INPUT!M2420,2)+1)</f>
        <v>46118</v>
      </c>
      <c r="C2425" s="20">
        <f>IFERROR(_xlfn.ISOWEEKNUM(INPUT!M2420),"")</f>
        <v>15</v>
      </c>
      <c r="D2425" s="20">
        <f>IFERROR(YEAR(INPUT!M2420),"")</f>
        <v>2026</v>
      </c>
      <c r="E2425" t="str">
        <f>IF(INPUT!O2420="","",INPUT!O2420)</f>
        <v>HARRISON</v>
      </c>
      <c r="F2425" t="str">
        <f>IF(INPUT!N2420="","",INPUT!N2420)</f>
        <v>M</v>
      </c>
      <c r="G2425" t="str" cm="1">
        <f t="array" ref="G2425">IFERROR(VLOOKUP(INPUT!M2420&amp;INPUT!N2420,CHOOSE({1,2},INPUT!$A$3:$A$5000&amp;INPUT!$C$3:$C$5000,INPUT!$F$3:$F$5000),2,FALSE),"")</f>
        <v>PRE-TEMPORADA</v>
      </c>
      <c r="H2425" t="str" cm="1">
        <f t="array" ref="H2425">IFERROR(VLOOKUP(INPUT!M2420&amp;INPUT!N2420,CHOOSE({1,2},INPUT!$A$3:$A$5000&amp;INPUT!$C$3:$C$5000,INPUT!$D$3:$D$5000),2,FALSE),"")</f>
        <v>GYM TEC-TAC</v>
      </c>
      <c r="I2425" s="46">
        <f>IF(INPUT!P2420="","",INPUT!P2420)</f>
        <v>71.8</v>
      </c>
      <c r="J2425" s="46">
        <f>IF(INPUT!Q2420="","",INPUT!Q2420)</f>
        <v>71</v>
      </c>
      <c r="K2425" s="46">
        <f>IFERROR(IF(OR(INPUT!P2420="",INPUT!Q2420=""),"",INPUT!P2420-INPUT!Q2420),"")</f>
        <v>0.79999999999999716</v>
      </c>
      <c r="L2425" s="48">
        <f>IFERROR(IF(OR(INPUT!P2420="",INPUT!Q2420="",INPUT!P2420=0),"",(INPUT!P2420-INPUT!Q2420)/INPUT!P2420),"")</f>
        <v>1.1142061281337007E-2</v>
      </c>
    </row>
    <row r="2426" spans="1:12" ht="18" customHeight="1" x14ac:dyDescent="0.2">
      <c r="A2426" s="11">
        <f>IF(INPUT!M2421="","",INPUT!M2421)</f>
        <v>46120</v>
      </c>
      <c r="B2426" s="11">
        <f>IF(INPUT!M2421="","",INPUT!M2421-WEEKDAY(INPUT!M2421,2)+1)</f>
        <v>46118</v>
      </c>
      <c r="C2426" s="20">
        <f>IFERROR(_xlfn.ISOWEEKNUM(INPUT!M2421),"")</f>
        <v>15</v>
      </c>
      <c r="D2426" s="20">
        <f>IFERROR(YEAR(INPUT!M2421),"")</f>
        <v>2026</v>
      </c>
      <c r="E2426" t="str">
        <f>IF(INPUT!O2421="","",INPUT!O2421)</f>
        <v>RAYA</v>
      </c>
      <c r="F2426" t="str">
        <f>IF(INPUT!N2421="","",INPUT!N2421)</f>
        <v>M</v>
      </c>
      <c r="G2426" t="str" cm="1">
        <f t="array" ref="G2426">IFERROR(VLOOKUP(INPUT!M2421&amp;INPUT!N2421,CHOOSE({1,2},INPUT!$A$3:$A$5000&amp;INPUT!$C$3:$C$5000,INPUT!$F$3:$F$5000),2,FALSE),"")</f>
        <v>PRE-TEMPORADA</v>
      </c>
      <c r="H2426" t="str" cm="1">
        <f t="array" ref="H2426">IFERROR(VLOOKUP(INPUT!M2421&amp;INPUT!N2421,CHOOSE({1,2},INPUT!$A$3:$A$5000&amp;INPUT!$C$3:$C$5000,INPUT!$D$3:$D$5000),2,FALSE),"")</f>
        <v>GYM TEC-TAC</v>
      </c>
      <c r="I2426" s="46">
        <f>IF(INPUT!P2421="","",INPUT!P2421)</f>
        <v>80.900000000000006</v>
      </c>
      <c r="J2426" s="46">
        <f>IF(INPUT!Q2421="","",INPUT!Q2421)</f>
        <v>80.5</v>
      </c>
      <c r="K2426" s="46">
        <f>IFERROR(IF(OR(INPUT!P2421="",INPUT!Q2421=""),"",INPUT!P2421-INPUT!Q2421),"")</f>
        <v>0.40000000000000568</v>
      </c>
      <c r="L2426" s="48">
        <f>IFERROR(IF(OR(INPUT!P2421="",INPUT!Q2421="",INPUT!P2421=0),"",(INPUT!P2421-INPUT!Q2421)/INPUT!P2421),"")</f>
        <v>4.9443757725587843E-3</v>
      </c>
    </row>
    <row r="2427" spans="1:12" ht="18" customHeight="1" x14ac:dyDescent="0.2">
      <c r="A2427" s="11">
        <f>IF(INPUT!M2422="","",INPUT!M2422)</f>
        <v>46120</v>
      </c>
      <c r="B2427" s="11">
        <f>IF(INPUT!M2422="","",INPUT!M2422-WEEKDAY(INPUT!M2422,2)+1)</f>
        <v>46118</v>
      </c>
      <c r="C2427" s="20">
        <f>IFERROR(_xlfn.ISOWEEKNUM(INPUT!M2422),"")</f>
        <v>15</v>
      </c>
      <c r="D2427" s="20">
        <f>IFERROR(YEAR(INPUT!M2422),"")</f>
        <v>2026</v>
      </c>
      <c r="E2427" t="str">
        <f>IF(INPUT!O2422="","",INPUT!O2422)</f>
        <v>JAVI</v>
      </c>
      <c r="F2427" t="str">
        <f>IF(INPUT!N2422="","",INPUT!N2422)</f>
        <v>M</v>
      </c>
      <c r="G2427" t="str" cm="1">
        <f t="array" ref="G2427">IFERROR(VLOOKUP(INPUT!M2422&amp;INPUT!N2422,CHOOSE({1,2},INPUT!$A$3:$A$5000&amp;INPUT!$C$3:$C$5000,INPUT!$F$3:$F$5000),2,FALSE),"")</f>
        <v>PRE-TEMPORADA</v>
      </c>
      <c r="H2427" t="str" cm="1">
        <f t="array" ref="H2427">IFERROR(VLOOKUP(INPUT!M2422&amp;INPUT!N2422,CHOOSE({1,2},INPUT!$A$3:$A$5000&amp;INPUT!$C$3:$C$5000,INPUT!$D$3:$D$5000),2,FALSE),"")</f>
        <v>GYM TEC-TAC</v>
      </c>
      <c r="I2427" s="46">
        <f>IF(INPUT!P2422="","",INPUT!P2422)</f>
        <v>79</v>
      </c>
      <c r="J2427" s="46">
        <f>IF(INPUT!Q2422="","",INPUT!Q2422)</f>
        <v>79</v>
      </c>
      <c r="K2427" s="46">
        <f>IFERROR(IF(OR(INPUT!P2422="",INPUT!Q2422=""),"",INPUT!P2422-INPUT!Q2422),"")</f>
        <v>0</v>
      </c>
      <c r="L2427" s="48">
        <f>IFERROR(IF(OR(INPUT!P2422="",INPUT!Q2422="",INPUT!P2422=0),"",(INPUT!P2422-INPUT!Q2422)/INPUT!P2422),"")</f>
        <v>0</v>
      </c>
    </row>
    <row r="2428" spans="1:12" ht="18" hidden="1" customHeight="1" x14ac:dyDescent="0.2">
      <c r="A2428" s="11">
        <f>IF(INPUT!M2423="","",INPUT!M2423)</f>
        <v>46120</v>
      </c>
      <c r="B2428" s="11">
        <f>IF(INPUT!M2423="","",INPUT!M2423-WEEKDAY(INPUT!M2423,2)+1)</f>
        <v>46118</v>
      </c>
      <c r="C2428" s="20">
        <f>IFERROR(_xlfn.ISOWEEKNUM(INPUT!M2423),"")</f>
        <v>15</v>
      </c>
      <c r="D2428" s="20">
        <f>IFERROR(YEAR(INPUT!M2423),"")</f>
        <v>2026</v>
      </c>
      <c r="E2428" t="str">
        <f>IF(INPUT!O2423="","",INPUT!O2423)</f>
        <v>PANI</v>
      </c>
      <c r="F2428" t="str">
        <f>IF(INPUT!N2423="","",INPUT!N2423)</f>
        <v>M</v>
      </c>
      <c r="G2428" t="str" cm="1">
        <f t="array" ref="G2428">IFERROR(VLOOKUP(INPUT!M2423&amp;INPUT!N2423,CHOOSE({1,2},INPUT!$A$3:$A$5000&amp;INPUT!$C$3:$C$5000,INPUT!$F$3:$F$5000),2,FALSE),"")</f>
        <v>PRE-TEMPORADA</v>
      </c>
      <c r="H2428" t="str" cm="1">
        <f t="array" ref="H2428">IFERROR(VLOOKUP(INPUT!M2423&amp;INPUT!N2423,CHOOSE({1,2},INPUT!$A$3:$A$5000&amp;INPUT!$C$3:$C$5000,INPUT!$D$3:$D$5000),2,FALSE),"")</f>
        <v>GYM TEC-TAC</v>
      </c>
      <c r="I2428" s="46">
        <f>IF(INPUT!P2423="","",INPUT!P2423)</f>
        <v>67</v>
      </c>
      <c r="J2428" s="46">
        <f>IF(INPUT!Q2423="","",INPUT!Q2423)</f>
        <v>66.5</v>
      </c>
      <c r="K2428" s="46">
        <f>IFERROR(IF(OR(INPUT!P2423="",INPUT!Q2423=""),"",INPUT!P2423-INPUT!Q2423),"")</f>
        <v>0.5</v>
      </c>
      <c r="L2428" s="48">
        <f>IFERROR(IF(OR(INPUT!P2423="",INPUT!Q2423="",INPUT!P2423=0),"",(INPUT!P2423-INPUT!Q2423)/INPUT!P2423),"")</f>
        <v>7.462686567164179E-3</v>
      </c>
    </row>
    <row r="2429" spans="1:12" ht="18" hidden="1" customHeight="1" x14ac:dyDescent="0.2">
      <c r="A2429" s="11">
        <f>IF(INPUT!M2424="","",INPUT!M2424)</f>
        <v>46120</v>
      </c>
      <c r="B2429" s="11">
        <f>IF(INPUT!M2424="","",INPUT!M2424-WEEKDAY(INPUT!M2424,2)+1)</f>
        <v>46118</v>
      </c>
      <c r="C2429" s="20">
        <f>IFERROR(_xlfn.ISOWEEKNUM(INPUT!M2424),"")</f>
        <v>15</v>
      </c>
      <c r="D2429" s="20">
        <f>IFERROR(YEAR(INPUT!M2424),"")</f>
        <v>2026</v>
      </c>
      <c r="E2429" t="str">
        <f>IF(INPUT!O2424="","",INPUT!O2424)</f>
        <v>PIRATA</v>
      </c>
      <c r="F2429" t="str">
        <f>IF(INPUT!N2424="","",INPUT!N2424)</f>
        <v>M</v>
      </c>
      <c r="G2429" t="str" cm="1">
        <f t="array" ref="G2429">IFERROR(VLOOKUP(INPUT!M2424&amp;INPUT!N2424,CHOOSE({1,2},INPUT!$A$3:$A$5000&amp;INPUT!$C$3:$C$5000,INPUT!$F$3:$F$5000),2,FALSE),"")</f>
        <v>PRE-TEMPORADA</v>
      </c>
      <c r="H2429" t="str" cm="1">
        <f t="array" ref="H2429">IFERROR(VLOOKUP(INPUT!M2424&amp;INPUT!N2424,CHOOSE({1,2},INPUT!$A$3:$A$5000&amp;INPUT!$C$3:$C$5000,INPUT!$D$3:$D$5000),2,FALSE),"")</f>
        <v>GYM TEC-TAC</v>
      </c>
      <c r="I2429" s="46">
        <f>IF(INPUT!P2424="","",INPUT!P2424)</f>
        <v>75.8</v>
      </c>
      <c r="J2429" s="46">
        <f>IF(INPUT!Q2424="","",INPUT!Q2424)</f>
        <v>75.7</v>
      </c>
      <c r="K2429" s="46">
        <f>IFERROR(IF(OR(INPUT!P2424="",INPUT!Q2424=""),"",INPUT!P2424-INPUT!Q2424),"")</f>
        <v>9.9999999999994316E-2</v>
      </c>
      <c r="L2429" s="48">
        <f>IFERROR(IF(OR(INPUT!P2424="",INPUT!Q2424="",INPUT!P2424=0),"",(INPUT!P2424-INPUT!Q2424)/INPUT!P2424),"")</f>
        <v>1.3192612137202418E-3</v>
      </c>
    </row>
    <row r="2430" spans="1:12" ht="18" hidden="1" customHeight="1" x14ac:dyDescent="0.2">
      <c r="A2430" s="11">
        <f>IF(INPUT!M2425="","",INPUT!M2425)</f>
        <v>46120</v>
      </c>
      <c r="B2430" s="11">
        <f>IF(INPUT!M2425="","",INPUT!M2425-WEEKDAY(INPUT!M2425,2)+1)</f>
        <v>46118</v>
      </c>
      <c r="C2430" s="20">
        <f>IFERROR(_xlfn.ISOWEEKNUM(INPUT!M2425),"")</f>
        <v>15</v>
      </c>
      <c r="D2430" s="20">
        <f>IFERROR(YEAR(INPUT!M2425),"")</f>
        <v>2026</v>
      </c>
      <c r="E2430" t="str">
        <f>IF(INPUT!O2425="","",INPUT!O2425)</f>
        <v>BARONA</v>
      </c>
      <c r="F2430" t="str">
        <f>IF(INPUT!N2425="","",INPUT!N2425)</f>
        <v>M</v>
      </c>
      <c r="G2430" t="str" cm="1">
        <f t="array" ref="G2430">IFERROR(VLOOKUP(INPUT!M2425&amp;INPUT!N2425,CHOOSE({1,2},INPUT!$A$3:$A$5000&amp;INPUT!$C$3:$C$5000,INPUT!$F$3:$F$5000),2,FALSE),"")</f>
        <v>PRE-TEMPORADA</v>
      </c>
      <c r="H2430" t="str" cm="1">
        <f t="array" ref="H2430">IFERROR(VLOOKUP(INPUT!M2425&amp;INPUT!N2425,CHOOSE({1,2},INPUT!$A$3:$A$5000&amp;INPUT!$C$3:$C$5000,INPUT!$D$3:$D$5000),2,FALSE),"")</f>
        <v>GYM TEC-TAC</v>
      </c>
      <c r="I2430" s="46">
        <f>IF(INPUT!P2425="","",INPUT!P2425)</f>
        <v>71.400000000000006</v>
      </c>
      <c r="J2430" s="46">
        <f>IF(INPUT!Q2425="","",INPUT!Q2425)</f>
        <v>71.400000000000006</v>
      </c>
      <c r="K2430" s="46">
        <f>IFERROR(IF(OR(INPUT!P2425="",INPUT!Q2425=""),"",INPUT!P2425-INPUT!Q2425),"")</f>
        <v>0</v>
      </c>
      <c r="L2430" s="48">
        <f>IFERROR(IF(OR(INPUT!P2425="",INPUT!Q2425="",INPUT!P2425=0),"",(INPUT!P2425-INPUT!Q2425)/INPUT!P2425),"")</f>
        <v>0</v>
      </c>
    </row>
    <row r="2431" spans="1:12" ht="18" hidden="1" customHeight="1" x14ac:dyDescent="0.2">
      <c r="A2431" s="11">
        <f>IF(INPUT!M2426="","",INPUT!M2426)</f>
        <v>46120</v>
      </c>
      <c r="B2431" s="11">
        <f>IF(INPUT!M2426="","",INPUT!M2426-WEEKDAY(INPUT!M2426,2)+1)</f>
        <v>46118</v>
      </c>
      <c r="C2431" s="20">
        <f>IFERROR(_xlfn.ISOWEEKNUM(INPUT!M2426),"")</f>
        <v>15</v>
      </c>
      <c r="D2431" s="20">
        <f>IFERROR(YEAR(INPUT!M2426),"")</f>
        <v>2026</v>
      </c>
      <c r="E2431" t="str">
        <f>IF(INPUT!O2426="","",INPUT!O2426)</f>
        <v>CARLOS</v>
      </c>
      <c r="F2431" t="str">
        <f>IF(INPUT!N2426="","",INPUT!N2426)</f>
        <v>M</v>
      </c>
      <c r="G2431" t="str" cm="1">
        <f t="array" ref="G2431">IFERROR(VLOOKUP(INPUT!M2426&amp;INPUT!N2426,CHOOSE({1,2},INPUT!$A$3:$A$5000&amp;INPUT!$C$3:$C$5000,INPUT!$F$3:$F$5000),2,FALSE),"")</f>
        <v>PRE-TEMPORADA</v>
      </c>
      <c r="H2431" t="str" cm="1">
        <f t="array" ref="H2431">IFERROR(VLOOKUP(INPUT!M2426&amp;INPUT!N2426,CHOOSE({1,2},INPUT!$A$3:$A$5000&amp;INPUT!$C$3:$C$5000,INPUT!$D$3:$D$5000),2,FALSE),"")</f>
        <v>GYM TEC-TAC</v>
      </c>
      <c r="I2431" s="46">
        <f>IF(INPUT!P2426="","",INPUT!P2426)</f>
        <v>68.5</v>
      </c>
      <c r="J2431" s="46">
        <f>IF(INPUT!Q2426="","",INPUT!Q2426)</f>
        <v>68.5</v>
      </c>
      <c r="K2431" s="46">
        <f>IFERROR(IF(OR(INPUT!P2426="",INPUT!Q2426=""),"",INPUT!P2426-INPUT!Q2426),"")</f>
        <v>0</v>
      </c>
      <c r="L2431" s="48">
        <f>IFERROR(IF(OR(INPUT!P2426="",INPUT!Q2426="",INPUT!P2426=0),"",(INPUT!P2426-INPUT!Q2426)/INPUT!P2426),"")</f>
        <v>0</v>
      </c>
    </row>
    <row r="2432" spans="1:12" ht="18" hidden="1" customHeight="1" x14ac:dyDescent="0.2">
      <c r="A2432" s="11">
        <f>IF(INPUT!M2427="","",INPUT!M2427)</f>
        <v>46120</v>
      </c>
      <c r="B2432" s="11">
        <f>IF(INPUT!M2427="","",INPUT!M2427-WEEKDAY(INPUT!M2427,2)+1)</f>
        <v>46118</v>
      </c>
      <c r="C2432" s="20">
        <f>IFERROR(_xlfn.ISOWEEKNUM(INPUT!M2427),"")</f>
        <v>15</v>
      </c>
      <c r="D2432" s="20">
        <f>IFERROR(YEAR(INPUT!M2427),"")</f>
        <v>2026</v>
      </c>
      <c r="E2432" t="str">
        <f>IF(INPUT!O2427="","",INPUT!O2427)</f>
        <v>SEGO</v>
      </c>
      <c r="F2432" t="str">
        <f>IF(INPUT!N2427="","",INPUT!N2427)</f>
        <v>M</v>
      </c>
      <c r="G2432" t="str" cm="1">
        <f t="array" ref="G2432">IFERROR(VLOOKUP(INPUT!M2427&amp;INPUT!N2427,CHOOSE({1,2},INPUT!$A$3:$A$5000&amp;INPUT!$C$3:$C$5000,INPUT!$F$3:$F$5000),2,FALSE),"")</f>
        <v>PRE-TEMPORADA</v>
      </c>
      <c r="H2432" t="str" cm="1">
        <f t="array" ref="H2432">IFERROR(VLOOKUP(INPUT!M2427&amp;INPUT!N2427,CHOOSE({1,2},INPUT!$A$3:$A$5000&amp;INPUT!$C$3:$C$5000,INPUT!$D$3:$D$5000),2,FALSE),"")</f>
        <v>GYM TEC-TAC</v>
      </c>
      <c r="I2432" s="46">
        <f>IF(INPUT!P2427="","",INPUT!P2427)</f>
        <v>76.400000000000006</v>
      </c>
      <c r="J2432" s="46">
        <f>IF(INPUT!Q2427="","",INPUT!Q2427)</f>
        <v>76.3</v>
      </c>
      <c r="K2432" s="46">
        <f>IFERROR(IF(OR(INPUT!P2427="",INPUT!Q2427=""),"",INPUT!P2427-INPUT!Q2427),"")</f>
        <v>0.10000000000000853</v>
      </c>
      <c r="L2432" s="48">
        <f>IFERROR(IF(OR(INPUT!P2427="",INPUT!Q2427="",INPUT!P2427=0),"",(INPUT!P2427-INPUT!Q2427)/INPUT!P2427),"")</f>
        <v>1.308900523560321E-3</v>
      </c>
    </row>
    <row r="2433" spans="1:12" ht="18" hidden="1" customHeight="1" x14ac:dyDescent="0.2">
      <c r="A2433" s="11">
        <f>IF(INPUT!M2428="","",INPUT!M2428)</f>
        <v>46120</v>
      </c>
      <c r="B2433" s="11">
        <f>IF(INPUT!M2428="","",INPUT!M2428-WEEKDAY(INPUT!M2428,2)+1)</f>
        <v>46118</v>
      </c>
      <c r="C2433" s="20">
        <f>IFERROR(_xlfn.ISOWEEKNUM(INPUT!M2428),"")</f>
        <v>15</v>
      </c>
      <c r="D2433" s="20">
        <f>IFERROR(YEAR(INPUT!M2428),"")</f>
        <v>2026</v>
      </c>
      <c r="E2433" t="str">
        <f>IF(INPUT!O2428="","",INPUT!O2428)</f>
        <v>RUBIO</v>
      </c>
      <c r="F2433" t="str">
        <f>IF(INPUT!N2428="","",INPUT!N2428)</f>
        <v>M</v>
      </c>
      <c r="G2433" t="str" cm="1">
        <f t="array" ref="G2433">IFERROR(VLOOKUP(INPUT!M2428&amp;INPUT!N2428,CHOOSE({1,2},INPUT!$A$3:$A$5000&amp;INPUT!$C$3:$C$5000,INPUT!$F$3:$F$5000),2,FALSE),"")</f>
        <v>PRE-TEMPORADA</v>
      </c>
      <c r="H2433" t="str" cm="1">
        <f t="array" ref="H2433">IFERROR(VLOOKUP(INPUT!M2428&amp;INPUT!N2428,CHOOSE({1,2},INPUT!$A$3:$A$5000&amp;INPUT!$C$3:$C$5000,INPUT!$D$3:$D$5000),2,FALSE),"")</f>
        <v>GYM TEC-TAC</v>
      </c>
      <c r="I2433" s="46">
        <f>IF(INPUT!P2428="","",INPUT!P2428)</f>
        <v>74.2</v>
      </c>
      <c r="J2433" s="46">
        <f>IF(INPUT!Q2428="","",INPUT!Q2428)</f>
        <v>74.2</v>
      </c>
      <c r="K2433" s="46">
        <f>IFERROR(IF(OR(INPUT!P2428="",INPUT!Q2428=""),"",INPUT!P2428-INPUT!Q2428),"")</f>
        <v>0</v>
      </c>
      <c r="L2433" s="48">
        <f>IFERROR(IF(OR(INPUT!P2428="",INPUT!Q2428="",INPUT!P2428=0),"",(INPUT!P2428-INPUT!Q2428)/INPUT!P2428),"")</f>
        <v>0</v>
      </c>
    </row>
    <row r="2434" spans="1:12" ht="18" hidden="1" customHeight="1" x14ac:dyDescent="0.2">
      <c r="A2434" s="11">
        <f>IF(INPUT!M2429="","",INPUT!M2429)</f>
        <v>46120</v>
      </c>
      <c r="B2434" s="11">
        <f>IF(INPUT!M2429="","",INPUT!M2429-WEEKDAY(INPUT!M2429,2)+1)</f>
        <v>46118</v>
      </c>
      <c r="C2434" s="20">
        <f>IFERROR(_xlfn.ISOWEEKNUM(INPUT!M2429),"")</f>
        <v>15</v>
      </c>
      <c r="D2434" s="20">
        <f>IFERROR(YEAR(INPUT!M2429),"")</f>
        <v>2026</v>
      </c>
      <c r="E2434" t="str">
        <f>IF(INPUT!O2429="","",INPUT!O2429)</f>
        <v>DANI</v>
      </c>
      <c r="F2434" t="str">
        <f>IF(INPUT!N2429="","",INPUT!N2429)</f>
        <v>M</v>
      </c>
      <c r="G2434" t="str" cm="1">
        <f t="array" ref="G2434">IFERROR(VLOOKUP(INPUT!M2429&amp;INPUT!N2429,CHOOSE({1,2},INPUT!$A$3:$A$5000&amp;INPUT!$C$3:$C$5000,INPUT!$F$3:$F$5000),2,FALSE),"")</f>
        <v>PRE-TEMPORADA</v>
      </c>
      <c r="H2434" t="str" cm="1">
        <f t="array" ref="H2434">IFERROR(VLOOKUP(INPUT!M2429&amp;INPUT!N2429,CHOOSE({1,2},INPUT!$A$3:$A$5000&amp;INPUT!$C$3:$C$5000,INPUT!$D$3:$D$5000),2,FALSE),"")</f>
        <v>GYM TEC-TAC</v>
      </c>
      <c r="I2434" s="46">
        <f>IF(INPUT!P2429="","",INPUT!P2429)</f>
        <v>90.3</v>
      </c>
      <c r="J2434" s="46">
        <f>IF(INPUT!Q2429="","",INPUT!Q2429)</f>
        <v>90</v>
      </c>
      <c r="K2434" s="46">
        <f>IFERROR(IF(OR(INPUT!P2429="",INPUT!Q2429=""),"",INPUT!P2429-INPUT!Q2429),"")</f>
        <v>0.29999999999999716</v>
      </c>
      <c r="L2434" s="48">
        <f>IFERROR(IF(OR(INPUT!P2429="",INPUT!Q2429="",INPUT!P2429=0),"",(INPUT!P2429-INPUT!Q2429)/INPUT!P2429),"")</f>
        <v>3.322259136212593E-3</v>
      </c>
    </row>
    <row r="2435" spans="1:12" ht="18" hidden="1" customHeight="1" x14ac:dyDescent="0.2">
      <c r="A2435" s="11">
        <f>IF(INPUT!M2430="","",INPUT!M2430)</f>
        <v>46120</v>
      </c>
      <c r="B2435" s="11">
        <f>IF(INPUT!M2430="","",INPUT!M2430-WEEKDAY(INPUT!M2430,2)+1)</f>
        <v>46118</v>
      </c>
      <c r="C2435" s="20">
        <f>IFERROR(_xlfn.ISOWEEKNUM(INPUT!M2430),"")</f>
        <v>15</v>
      </c>
      <c r="D2435" s="20">
        <f>IFERROR(YEAR(INPUT!M2430),"")</f>
        <v>2026</v>
      </c>
      <c r="E2435" t="str">
        <f>IF(INPUT!O2430="","",INPUT!O2430)</f>
        <v>JAIME</v>
      </c>
      <c r="F2435" t="str">
        <f>IF(INPUT!N2430="","",INPUT!N2430)</f>
        <v>M</v>
      </c>
      <c r="G2435" t="str" cm="1">
        <f t="array" ref="G2435">IFERROR(VLOOKUP(INPUT!M2430&amp;INPUT!N2430,CHOOSE({1,2},INPUT!$A$3:$A$5000&amp;INPUT!$C$3:$C$5000,INPUT!$F$3:$F$5000),2,FALSE),"")</f>
        <v>PRE-TEMPORADA</v>
      </c>
      <c r="H2435" t="str" cm="1">
        <f t="array" ref="H2435">IFERROR(VLOOKUP(INPUT!M2430&amp;INPUT!N2430,CHOOSE({1,2},INPUT!$A$3:$A$5000&amp;INPUT!$C$3:$C$5000,INPUT!$D$3:$D$5000),2,FALSE),"")</f>
        <v>GYM TEC-TAC</v>
      </c>
      <c r="I2435" s="46">
        <f>IF(INPUT!P2430="","",INPUT!P2430)</f>
        <v>76.5</v>
      </c>
      <c r="J2435" s="46">
        <f>IF(INPUT!Q2430="","",INPUT!Q2430)</f>
        <v>76.5</v>
      </c>
      <c r="K2435" s="46">
        <f>IFERROR(IF(OR(INPUT!P2430="",INPUT!Q2430=""),"",INPUT!P2430-INPUT!Q2430),"")</f>
        <v>0</v>
      </c>
      <c r="L2435" s="48">
        <f>IFERROR(IF(OR(INPUT!P2430="",INPUT!Q2430="",INPUT!P2430=0),"",(INPUT!P2430-INPUT!Q2430)/INPUT!P2430),"")</f>
        <v>0</v>
      </c>
    </row>
    <row r="2436" spans="1:12" ht="18" hidden="1" customHeight="1" x14ac:dyDescent="0.2">
      <c r="A2436" s="11">
        <f>IF(INPUT!M2431="","",INPUT!M2431)</f>
        <v>46121</v>
      </c>
      <c r="B2436" s="11">
        <f>IF(INPUT!M2431="","",INPUT!M2431-WEEKDAY(INPUT!M2431,2)+1)</f>
        <v>46118</v>
      </c>
      <c r="C2436" s="20">
        <f>IFERROR(_xlfn.ISOWEEKNUM(INPUT!M2431),"")</f>
        <v>15</v>
      </c>
      <c r="D2436" s="20">
        <f>IFERROR(YEAR(INPUT!M2431),"")</f>
        <v>2026</v>
      </c>
      <c r="E2436" t="str">
        <f>IF(INPUT!O2431="","",INPUT!O2431)</f>
        <v>HERRERO</v>
      </c>
      <c r="F2436" t="str">
        <f>IF(INPUT!N2431="","",INPUT!N2431)</f>
        <v>M</v>
      </c>
      <c r="G2436" t="str" cm="1">
        <f t="array" ref="G2436">IFERROR(VLOOKUP(INPUT!M2431&amp;INPUT!N2431,CHOOSE({1,2},INPUT!$A$3:$A$5000&amp;INPUT!$C$3:$C$5000,INPUT!$F$3:$F$5000),2,FALSE),"")</f>
        <v/>
      </c>
      <c r="H2436" t="str" cm="1">
        <f t="array" ref="H2436">IFERROR(VLOOKUP(INPUT!M2431&amp;INPUT!N2431,CHOOSE({1,2},INPUT!$A$3:$A$5000&amp;INPUT!$C$3:$C$5000,INPUT!$D$3:$D$5000),2,FALSE),"")</f>
        <v/>
      </c>
      <c r="I2436" s="46">
        <f>IF(INPUT!P2431="","",INPUT!P2431)</f>
        <v>77</v>
      </c>
      <c r="J2436" s="46">
        <f>IF(INPUT!Q2431="","",INPUT!Q2431)</f>
        <v>76</v>
      </c>
      <c r="K2436" s="46">
        <f>IFERROR(IF(OR(INPUT!P2431="",INPUT!Q2431=""),"",INPUT!P2431-INPUT!Q2431),"")</f>
        <v>1</v>
      </c>
      <c r="L2436" s="48">
        <f>IFERROR(IF(OR(INPUT!P2431="",INPUT!Q2431="",INPUT!P2431=0),"",(INPUT!P2431-INPUT!Q2431)/INPUT!P2431),"")</f>
        <v>1.2987012987012988E-2</v>
      </c>
    </row>
    <row r="2437" spans="1:12" ht="18" hidden="1" customHeight="1" x14ac:dyDescent="0.2">
      <c r="A2437" s="11">
        <f>IF(INPUT!M2432="","",INPUT!M2432)</f>
        <v>46121</v>
      </c>
      <c r="B2437" s="11">
        <f>IF(INPUT!M2432="","",INPUT!M2432-WEEKDAY(INPUT!M2432,2)+1)</f>
        <v>46118</v>
      </c>
      <c r="C2437" s="20">
        <f>IFERROR(_xlfn.ISOWEEKNUM(INPUT!M2432),"")</f>
        <v>15</v>
      </c>
      <c r="D2437" s="20">
        <f>IFERROR(YEAR(INPUT!M2432),"")</f>
        <v>2026</v>
      </c>
      <c r="E2437" t="str">
        <f>IF(INPUT!O2432="","",INPUT!O2432)</f>
        <v>GARCIA</v>
      </c>
      <c r="F2437" t="str">
        <f>IF(INPUT!N2432="","",INPUT!N2432)</f>
        <v>M</v>
      </c>
      <c r="G2437" t="str" cm="1">
        <f t="array" ref="G2437">IFERROR(VLOOKUP(INPUT!M2432&amp;INPUT!N2432,CHOOSE({1,2},INPUT!$A$3:$A$5000&amp;INPUT!$C$3:$C$5000,INPUT!$F$3:$F$5000),2,FALSE),"")</f>
        <v/>
      </c>
      <c r="H2437" t="str" cm="1">
        <f t="array" ref="H2437">IFERROR(VLOOKUP(INPUT!M2432&amp;INPUT!N2432,CHOOSE({1,2},INPUT!$A$3:$A$5000&amp;INPUT!$C$3:$C$5000,INPUT!$D$3:$D$5000),2,FALSE),"")</f>
        <v/>
      </c>
      <c r="I2437" s="46">
        <f>IF(INPUT!P2432="","",INPUT!P2432)</f>
        <v>79</v>
      </c>
      <c r="J2437" s="46">
        <f>IF(INPUT!Q2432="","",INPUT!Q2432)</f>
        <v>78.900000000000006</v>
      </c>
      <c r="K2437" s="46">
        <f>IFERROR(IF(OR(INPUT!P2432="",INPUT!Q2432=""),"",INPUT!P2432-INPUT!Q2432),"")</f>
        <v>9.9999999999994316E-2</v>
      </c>
      <c r="L2437" s="48">
        <f>IFERROR(IF(OR(INPUT!P2432="",INPUT!Q2432="",INPUT!P2432=0),"",(INPUT!P2432-INPUT!Q2432)/INPUT!P2432),"")</f>
        <v>1.2658227848100546E-3</v>
      </c>
    </row>
    <row r="2438" spans="1:12" ht="18" hidden="1" customHeight="1" x14ac:dyDescent="0.2">
      <c r="A2438" s="11">
        <f>IF(INPUT!M2433="","",INPUT!M2433)</f>
        <v>46121</v>
      </c>
      <c r="B2438" s="11">
        <f>IF(INPUT!M2433="","",INPUT!M2433-WEEKDAY(INPUT!M2433,2)+1)</f>
        <v>46118</v>
      </c>
      <c r="C2438" s="20">
        <f>IFERROR(_xlfn.ISOWEEKNUM(INPUT!M2433),"")</f>
        <v>15</v>
      </c>
      <c r="D2438" s="20">
        <f>IFERROR(YEAR(INPUT!M2433),"")</f>
        <v>2026</v>
      </c>
      <c r="E2438" t="str">
        <f>IF(INPUT!O2433="","",INPUT!O2433)</f>
        <v>RAUL</v>
      </c>
      <c r="F2438" t="str">
        <f>IF(INPUT!N2433="","",INPUT!N2433)</f>
        <v>M</v>
      </c>
      <c r="G2438" t="str" cm="1">
        <f t="array" ref="G2438">IFERROR(VLOOKUP(INPUT!M2433&amp;INPUT!N2433,CHOOSE({1,2},INPUT!$A$3:$A$5000&amp;INPUT!$C$3:$C$5000,INPUT!$F$3:$F$5000),2,FALSE),"")</f>
        <v/>
      </c>
      <c r="H2438" t="str" cm="1">
        <f t="array" ref="H2438">IFERROR(VLOOKUP(INPUT!M2433&amp;INPUT!N2433,CHOOSE({1,2},INPUT!$A$3:$A$5000&amp;INPUT!$C$3:$C$5000,INPUT!$D$3:$D$5000),2,FALSE),"")</f>
        <v/>
      </c>
      <c r="I2438" s="46">
        <f>IF(INPUT!P2433="","",INPUT!P2433)</f>
        <v>82</v>
      </c>
      <c r="J2438" s="46">
        <f>IF(INPUT!Q2433="","",INPUT!Q2433)</f>
        <v>82.5</v>
      </c>
      <c r="K2438" s="46">
        <f>IFERROR(IF(OR(INPUT!P2433="",INPUT!Q2433=""),"",INPUT!P2433-INPUT!Q2433),"")</f>
        <v>-0.5</v>
      </c>
      <c r="L2438" s="48">
        <f>IFERROR(IF(OR(INPUT!P2433="",INPUT!Q2433="",INPUT!P2433=0),"",(INPUT!P2433-INPUT!Q2433)/INPUT!P2433),"")</f>
        <v>-6.0975609756097563E-3</v>
      </c>
    </row>
    <row r="2439" spans="1:12" ht="18" hidden="1" customHeight="1" x14ac:dyDescent="0.2">
      <c r="A2439" s="11">
        <f>IF(INPUT!M2434="","",INPUT!M2434)</f>
        <v>46121</v>
      </c>
      <c r="B2439" s="11">
        <f>IF(INPUT!M2434="","",INPUT!M2434-WEEKDAY(INPUT!M2434,2)+1)</f>
        <v>46118</v>
      </c>
      <c r="C2439" s="20">
        <f>IFERROR(_xlfn.ISOWEEKNUM(INPUT!M2434),"")</f>
        <v>15</v>
      </c>
      <c r="D2439" s="20">
        <f>IFERROR(YEAR(INPUT!M2434),"")</f>
        <v>2026</v>
      </c>
      <c r="E2439" t="str">
        <f>IF(INPUT!O2434="","",INPUT!O2434)</f>
        <v>HARRISON</v>
      </c>
      <c r="F2439" t="str">
        <f>IF(INPUT!N2434="","",INPUT!N2434)</f>
        <v>M</v>
      </c>
      <c r="G2439" t="str" cm="1">
        <f t="array" ref="G2439">IFERROR(VLOOKUP(INPUT!M2434&amp;INPUT!N2434,CHOOSE({1,2},INPUT!$A$3:$A$5000&amp;INPUT!$C$3:$C$5000,INPUT!$F$3:$F$5000),2,FALSE),"")</f>
        <v/>
      </c>
      <c r="H2439" t="str" cm="1">
        <f t="array" ref="H2439">IFERROR(VLOOKUP(INPUT!M2434&amp;INPUT!N2434,CHOOSE({1,2},INPUT!$A$3:$A$5000&amp;INPUT!$C$3:$C$5000,INPUT!$D$3:$D$5000),2,FALSE),"")</f>
        <v/>
      </c>
      <c r="I2439" s="46">
        <f>IF(INPUT!P2434="","",INPUT!P2434)</f>
        <v>71</v>
      </c>
      <c r="J2439" s="46">
        <f>IF(INPUT!Q2434="","",INPUT!Q2434)</f>
        <v>71</v>
      </c>
      <c r="K2439" s="46">
        <f>IFERROR(IF(OR(INPUT!P2434="",INPUT!Q2434=""),"",INPUT!P2434-INPUT!Q2434),"")</f>
        <v>0</v>
      </c>
      <c r="L2439" s="48">
        <f>IFERROR(IF(OR(INPUT!P2434="",INPUT!Q2434="",INPUT!P2434=0),"",(INPUT!P2434-INPUT!Q2434)/INPUT!P2434),"")</f>
        <v>0</v>
      </c>
    </row>
    <row r="2440" spans="1:12" ht="18" hidden="1" customHeight="1" x14ac:dyDescent="0.2">
      <c r="A2440" s="11">
        <f>IF(INPUT!M2435="","",INPUT!M2435)</f>
        <v>46121</v>
      </c>
      <c r="B2440" s="11">
        <f>IF(INPUT!M2435="","",INPUT!M2435-WEEKDAY(INPUT!M2435,2)+1)</f>
        <v>46118</v>
      </c>
      <c r="C2440" s="20">
        <f>IFERROR(_xlfn.ISOWEEKNUM(INPUT!M2435),"")</f>
        <v>15</v>
      </c>
      <c r="D2440" s="20">
        <f>IFERROR(YEAR(INPUT!M2435),"")</f>
        <v>2026</v>
      </c>
      <c r="E2440" t="str">
        <f>IF(INPUT!O2435="","",INPUT!O2435)</f>
        <v>JAVI</v>
      </c>
      <c r="F2440" t="str">
        <f>IF(INPUT!N2435="","",INPUT!N2435)</f>
        <v>M</v>
      </c>
      <c r="G2440" t="str" cm="1">
        <f t="array" ref="G2440">IFERROR(VLOOKUP(INPUT!M2435&amp;INPUT!N2435,CHOOSE({1,2},INPUT!$A$3:$A$5000&amp;INPUT!$C$3:$C$5000,INPUT!$F$3:$F$5000),2,FALSE),"")</f>
        <v/>
      </c>
      <c r="H2440" t="str" cm="1">
        <f t="array" ref="H2440">IFERROR(VLOOKUP(INPUT!M2435&amp;INPUT!N2435,CHOOSE({1,2},INPUT!$A$3:$A$5000&amp;INPUT!$C$3:$C$5000,INPUT!$D$3:$D$5000),2,FALSE),"")</f>
        <v/>
      </c>
      <c r="I2440" s="46">
        <f>IF(INPUT!P2435="","",INPUT!P2435)</f>
        <v>79.400000000000006</v>
      </c>
      <c r="J2440" s="46">
        <f>IF(INPUT!Q2435="","",INPUT!Q2435)</f>
        <v>79.599999999999994</v>
      </c>
      <c r="K2440" s="46">
        <f>IFERROR(IF(OR(INPUT!P2435="",INPUT!Q2435=""),"",INPUT!P2435-INPUT!Q2435),"")</f>
        <v>-0.19999999999998863</v>
      </c>
      <c r="L2440" s="48">
        <f>IFERROR(IF(OR(INPUT!P2435="",INPUT!Q2435="",INPUT!P2435=0),"",(INPUT!P2435-INPUT!Q2435)/INPUT!P2435),"")</f>
        <v>-2.5188916876572875E-3</v>
      </c>
    </row>
    <row r="2441" spans="1:12" ht="18" hidden="1" customHeight="1" x14ac:dyDescent="0.2">
      <c r="A2441" s="11">
        <f>IF(INPUT!M2436="","",INPUT!M2436)</f>
        <v>46121</v>
      </c>
      <c r="B2441" s="11">
        <f>IF(INPUT!M2436="","",INPUT!M2436-WEEKDAY(INPUT!M2436,2)+1)</f>
        <v>46118</v>
      </c>
      <c r="C2441" s="20">
        <f>IFERROR(_xlfn.ISOWEEKNUM(INPUT!M2436),"")</f>
        <v>15</v>
      </c>
      <c r="D2441" s="20">
        <f>IFERROR(YEAR(INPUT!M2436),"")</f>
        <v>2026</v>
      </c>
      <c r="E2441" t="str">
        <f>IF(INPUT!O2436="","",INPUT!O2436)</f>
        <v>PANI</v>
      </c>
      <c r="F2441" t="str">
        <f>IF(INPUT!N2436="","",INPUT!N2436)</f>
        <v>M</v>
      </c>
      <c r="G2441" t="str" cm="1">
        <f t="array" ref="G2441">IFERROR(VLOOKUP(INPUT!M2436&amp;INPUT!N2436,CHOOSE({1,2},INPUT!$A$3:$A$5000&amp;INPUT!$C$3:$C$5000,INPUT!$F$3:$F$5000),2,FALSE),"")</f>
        <v/>
      </c>
      <c r="H2441" t="str" cm="1">
        <f t="array" ref="H2441">IFERROR(VLOOKUP(INPUT!M2436&amp;INPUT!N2436,CHOOSE({1,2},INPUT!$A$3:$A$5000&amp;INPUT!$C$3:$C$5000,INPUT!$D$3:$D$5000),2,FALSE),"")</f>
        <v/>
      </c>
      <c r="I2441" s="46">
        <f>IF(INPUT!P2436="","",INPUT!P2436)</f>
        <v>67</v>
      </c>
      <c r="J2441" s="46">
        <f>IF(INPUT!Q2436="","",INPUT!Q2436)</f>
        <v>65.8</v>
      </c>
      <c r="K2441" s="46">
        <f>IFERROR(IF(OR(INPUT!P2436="",INPUT!Q2436=""),"",INPUT!P2436-INPUT!Q2436),"")</f>
        <v>1.2000000000000028</v>
      </c>
      <c r="L2441" s="48">
        <f>IFERROR(IF(OR(INPUT!P2436="",INPUT!Q2436="",INPUT!P2436=0),"",(INPUT!P2436-INPUT!Q2436)/INPUT!P2436),"")</f>
        <v>1.7910447761194073E-2</v>
      </c>
    </row>
    <row r="2442" spans="1:12" ht="18" hidden="1" customHeight="1" x14ac:dyDescent="0.2">
      <c r="A2442" s="11">
        <f>IF(INPUT!M2437="","",INPUT!M2437)</f>
        <v>46121</v>
      </c>
      <c r="B2442" s="11">
        <f>IF(INPUT!M2437="","",INPUT!M2437-WEEKDAY(INPUT!M2437,2)+1)</f>
        <v>46118</v>
      </c>
      <c r="C2442" s="20">
        <f>IFERROR(_xlfn.ISOWEEKNUM(INPUT!M2437),"")</f>
        <v>15</v>
      </c>
      <c r="D2442" s="20">
        <f>IFERROR(YEAR(INPUT!M2437),"")</f>
        <v>2026</v>
      </c>
      <c r="E2442" t="str">
        <f>IF(INPUT!O2437="","",INPUT!O2437)</f>
        <v>PIRATA</v>
      </c>
      <c r="F2442" t="str">
        <f>IF(INPUT!N2437="","",INPUT!N2437)</f>
        <v>M</v>
      </c>
      <c r="G2442" t="str" cm="1">
        <f t="array" ref="G2442">IFERROR(VLOOKUP(INPUT!M2437&amp;INPUT!N2437,CHOOSE({1,2},INPUT!$A$3:$A$5000&amp;INPUT!$C$3:$C$5000,INPUT!$F$3:$F$5000),2,FALSE),"")</f>
        <v/>
      </c>
      <c r="H2442" t="str" cm="1">
        <f t="array" ref="H2442">IFERROR(VLOOKUP(INPUT!M2437&amp;INPUT!N2437,CHOOSE({1,2},INPUT!$A$3:$A$5000&amp;INPUT!$C$3:$C$5000,INPUT!$D$3:$D$5000),2,FALSE),"")</f>
        <v/>
      </c>
      <c r="I2442" s="46">
        <f>IF(INPUT!P2437="","",INPUT!P2437)</f>
        <v>75.599999999999994</v>
      </c>
      <c r="J2442" s="46">
        <f>IF(INPUT!Q2437="","",INPUT!Q2437)</f>
        <v>75.599999999999994</v>
      </c>
      <c r="K2442" s="46">
        <f>IFERROR(IF(OR(INPUT!P2437="",INPUT!Q2437=""),"",INPUT!P2437-INPUT!Q2437),"")</f>
        <v>0</v>
      </c>
      <c r="L2442" s="48">
        <f>IFERROR(IF(OR(INPUT!P2437="",INPUT!Q2437="",INPUT!P2437=0),"",(INPUT!P2437-INPUT!Q2437)/INPUT!P2437),"")</f>
        <v>0</v>
      </c>
    </row>
    <row r="2443" spans="1:12" ht="18" customHeight="1" x14ac:dyDescent="0.2">
      <c r="A2443" s="11">
        <f>IF(INPUT!M2438="","",INPUT!M2438)</f>
        <v>46121</v>
      </c>
      <c r="B2443" s="11">
        <f>IF(INPUT!M2438="","",INPUT!M2438-WEEKDAY(INPUT!M2438,2)+1)</f>
        <v>46118</v>
      </c>
      <c r="C2443" s="20">
        <f>IFERROR(_xlfn.ISOWEEKNUM(INPUT!M2438),"")</f>
        <v>15</v>
      </c>
      <c r="D2443" s="20">
        <f>IFERROR(YEAR(INPUT!M2438),"")</f>
        <v>2026</v>
      </c>
      <c r="E2443" t="str">
        <f>IF(INPUT!O2438="","",INPUT!O2438)</f>
        <v>BARONA</v>
      </c>
      <c r="F2443" t="str">
        <f>IF(INPUT!N2438="","",INPUT!N2438)</f>
        <v>M</v>
      </c>
      <c r="G2443" t="str" cm="1">
        <f t="array" ref="G2443">IFERROR(VLOOKUP(INPUT!M2438&amp;INPUT!N2438,CHOOSE({1,2},INPUT!$A$3:$A$5000&amp;INPUT!$C$3:$C$5000,INPUT!$F$3:$F$5000),2,FALSE),"")</f>
        <v/>
      </c>
      <c r="H2443" t="str" cm="1">
        <f t="array" ref="H2443">IFERROR(VLOOKUP(INPUT!M2438&amp;INPUT!N2438,CHOOSE({1,2},INPUT!$A$3:$A$5000&amp;INPUT!$C$3:$C$5000,INPUT!$D$3:$D$5000),2,FALSE),"")</f>
        <v/>
      </c>
      <c r="I2443" s="46">
        <f>IF(INPUT!P2438="","",INPUT!P2438)</f>
        <v>71.5</v>
      </c>
      <c r="J2443" s="46">
        <f>IF(INPUT!Q2438="","",INPUT!Q2438)</f>
        <v>71.5</v>
      </c>
      <c r="K2443" s="46">
        <f>IFERROR(IF(OR(INPUT!P2438="",INPUT!Q2438=""),"",INPUT!P2438-INPUT!Q2438),"")</f>
        <v>0</v>
      </c>
      <c r="L2443" s="48">
        <f>IFERROR(IF(OR(INPUT!P2438="",INPUT!Q2438="",INPUT!P2438=0),"",(INPUT!P2438-INPUT!Q2438)/INPUT!P2438),"")</f>
        <v>0</v>
      </c>
    </row>
    <row r="2444" spans="1:12" ht="18" customHeight="1" x14ac:dyDescent="0.2">
      <c r="A2444" s="11">
        <f>IF(INPUT!M2439="","",INPUT!M2439)</f>
        <v>46121</v>
      </c>
      <c r="B2444" s="11">
        <f>IF(INPUT!M2439="","",INPUT!M2439-WEEKDAY(INPUT!M2439,2)+1)</f>
        <v>46118</v>
      </c>
      <c r="C2444" s="20">
        <f>IFERROR(_xlfn.ISOWEEKNUM(INPUT!M2439),"")</f>
        <v>15</v>
      </c>
      <c r="D2444" s="20">
        <f>IFERROR(YEAR(INPUT!M2439),"")</f>
        <v>2026</v>
      </c>
      <c r="E2444" t="str">
        <f>IF(INPUT!O2439="","",INPUT!O2439)</f>
        <v>RUBIO</v>
      </c>
      <c r="F2444" t="str">
        <f>IF(INPUT!N2439="","",INPUT!N2439)</f>
        <v>M</v>
      </c>
      <c r="G2444" t="str" cm="1">
        <f t="array" ref="G2444">IFERROR(VLOOKUP(INPUT!M2439&amp;INPUT!N2439,CHOOSE({1,2},INPUT!$A$3:$A$5000&amp;INPUT!$C$3:$C$5000,INPUT!$F$3:$F$5000),2,FALSE),"")</f>
        <v/>
      </c>
      <c r="H2444" t="str" cm="1">
        <f t="array" ref="H2444">IFERROR(VLOOKUP(INPUT!M2439&amp;INPUT!N2439,CHOOSE({1,2},INPUT!$A$3:$A$5000&amp;INPUT!$C$3:$C$5000,INPUT!$D$3:$D$5000),2,FALSE),"")</f>
        <v/>
      </c>
      <c r="I2444" s="46">
        <f>IF(INPUT!P2439="","",INPUT!P2439)</f>
        <v>74.5</v>
      </c>
      <c r="J2444" s="46">
        <f>IF(INPUT!Q2439="","",INPUT!Q2439)</f>
        <v>74</v>
      </c>
      <c r="K2444" s="46">
        <f>IFERROR(IF(OR(INPUT!P2439="",INPUT!Q2439=""),"",INPUT!P2439-INPUT!Q2439),"")</f>
        <v>0.5</v>
      </c>
      <c r="L2444" s="48">
        <f>IFERROR(IF(OR(INPUT!P2439="",INPUT!Q2439="",INPUT!P2439=0),"",(INPUT!P2439-INPUT!Q2439)/INPUT!P2439),"")</f>
        <v>6.7114093959731542E-3</v>
      </c>
    </row>
    <row r="2445" spans="1:12" ht="18" customHeight="1" x14ac:dyDescent="0.2">
      <c r="A2445" s="11">
        <f>IF(INPUT!M2440="","",INPUT!M2440)</f>
        <v>46121</v>
      </c>
      <c r="B2445" s="11">
        <f>IF(INPUT!M2440="","",INPUT!M2440-WEEKDAY(INPUT!M2440,2)+1)</f>
        <v>46118</v>
      </c>
      <c r="C2445" s="20">
        <f>IFERROR(_xlfn.ISOWEEKNUM(INPUT!M2440),"")</f>
        <v>15</v>
      </c>
      <c r="D2445" s="20">
        <f>IFERROR(YEAR(INPUT!M2440),"")</f>
        <v>2026</v>
      </c>
      <c r="E2445" t="str">
        <f>IF(INPUT!O2440="","",INPUT!O2440)</f>
        <v>DANI</v>
      </c>
      <c r="F2445" t="str">
        <f>IF(INPUT!N2440="","",INPUT!N2440)</f>
        <v>M</v>
      </c>
      <c r="G2445" t="str" cm="1">
        <f t="array" ref="G2445">IFERROR(VLOOKUP(INPUT!M2440&amp;INPUT!N2440,CHOOSE({1,2},INPUT!$A$3:$A$5000&amp;INPUT!$C$3:$C$5000,INPUT!$F$3:$F$5000),2,FALSE),"")</f>
        <v/>
      </c>
      <c r="H2445" t="str" cm="1">
        <f t="array" ref="H2445">IFERROR(VLOOKUP(INPUT!M2440&amp;INPUT!N2440,CHOOSE({1,2},INPUT!$A$3:$A$5000&amp;INPUT!$C$3:$C$5000,INPUT!$D$3:$D$5000),2,FALSE),"")</f>
        <v/>
      </c>
      <c r="I2445" s="46">
        <f>IF(INPUT!P2440="","",INPUT!P2440)</f>
        <v>90</v>
      </c>
      <c r="J2445" s="46">
        <f>IF(INPUT!Q2440="","",INPUT!Q2440)</f>
        <v>90.3</v>
      </c>
      <c r="K2445" s="46">
        <f>IFERROR(IF(OR(INPUT!P2440="",INPUT!Q2440=""),"",INPUT!P2440-INPUT!Q2440),"")</f>
        <v>-0.29999999999999716</v>
      </c>
      <c r="L2445" s="48">
        <f>IFERROR(IF(OR(INPUT!P2440="",INPUT!Q2440="",INPUT!P2440=0),"",(INPUT!P2440-INPUT!Q2440)/INPUT!P2440),"")</f>
        <v>-3.3333333333333019E-3</v>
      </c>
    </row>
    <row r="2446" spans="1:12" ht="18" hidden="1" customHeight="1" x14ac:dyDescent="0.2">
      <c r="A2446" s="11">
        <f>IF(INPUT!M2441="","",INPUT!M2441)</f>
        <v>46125</v>
      </c>
      <c r="B2446" s="11">
        <f>IF(INPUT!M2441="","",INPUT!M2441-WEEKDAY(INPUT!M2441,2)+1)</f>
        <v>46125</v>
      </c>
      <c r="C2446" s="20">
        <f>IFERROR(_xlfn.ISOWEEKNUM(INPUT!M2441),"")</f>
        <v>16</v>
      </c>
      <c r="D2446" s="20">
        <f>IFERROR(YEAR(INPUT!M2441),"")</f>
        <v>2026</v>
      </c>
      <c r="E2446" t="str">
        <f>IF(INPUT!O2441="","",INPUT!O2441)</f>
        <v>HERRERO</v>
      </c>
      <c r="F2446" t="str">
        <f>IF(INPUT!N2441="","",INPUT!N2441)</f>
        <v>M</v>
      </c>
      <c r="G2446" t="str" cm="1">
        <f t="array" ref="G2446">IFERROR(VLOOKUP(INPUT!M2441&amp;INPUT!N2441,CHOOSE({1,2},INPUT!$A$3:$A$5000&amp;INPUT!$C$3:$C$5000,INPUT!$F$3:$F$5000),2,FALSE),"")</f>
        <v>PRE-TEMPORADA</v>
      </c>
      <c r="H2446" t="str" cm="1">
        <f t="array" ref="H2446">IFERROR(VLOOKUP(INPUT!M2441&amp;INPUT!N2441,CHOOSE({1,2},INPUT!$A$3:$A$5000&amp;INPUT!$C$3:$C$5000,INPUT!$D$3:$D$5000),2,FALSE),"")</f>
        <v>GYM+TEC-TAC</v>
      </c>
      <c r="I2446" s="46">
        <f>IF(INPUT!P2441="","",INPUT!P2441)</f>
        <v>77</v>
      </c>
      <c r="J2446" s="46">
        <f>IF(INPUT!Q2441="","",INPUT!Q2441)</f>
        <v>76.8</v>
      </c>
      <c r="K2446" s="46">
        <f>IFERROR(IF(OR(INPUT!P2441="",INPUT!Q2441=""),"",INPUT!P2441-INPUT!Q2441),"")</f>
        <v>0.20000000000000284</v>
      </c>
      <c r="L2446" s="48">
        <f>IFERROR(IF(OR(INPUT!P2441="",INPUT!Q2441="",INPUT!P2441=0),"",(INPUT!P2441-INPUT!Q2441)/INPUT!P2441),"")</f>
        <v>2.5974025974026343E-3</v>
      </c>
    </row>
    <row r="2447" spans="1:12" ht="18" hidden="1" customHeight="1" x14ac:dyDescent="0.2">
      <c r="A2447" s="11">
        <f>IF(INPUT!M2442="","",INPUT!M2442)</f>
        <v>46125</v>
      </c>
      <c r="B2447" s="11">
        <f>IF(INPUT!M2442="","",INPUT!M2442-WEEKDAY(INPUT!M2442,2)+1)</f>
        <v>46125</v>
      </c>
      <c r="C2447" s="20">
        <f>IFERROR(_xlfn.ISOWEEKNUM(INPUT!M2442),"")</f>
        <v>16</v>
      </c>
      <c r="D2447" s="20">
        <f>IFERROR(YEAR(INPUT!M2442),"")</f>
        <v>2026</v>
      </c>
      <c r="E2447" t="str">
        <f>IF(INPUT!O2442="","",INPUT!O2442)</f>
        <v>GARCIA</v>
      </c>
      <c r="F2447" t="str">
        <f>IF(INPUT!N2442="","",INPUT!N2442)</f>
        <v>M</v>
      </c>
      <c r="G2447" t="str" cm="1">
        <f t="array" ref="G2447">IFERROR(VLOOKUP(INPUT!M2442&amp;INPUT!N2442,CHOOSE({1,2},INPUT!$A$3:$A$5000&amp;INPUT!$C$3:$C$5000,INPUT!$F$3:$F$5000),2,FALSE),"")</f>
        <v>PRE-TEMPORADA</v>
      </c>
      <c r="H2447" t="str" cm="1">
        <f t="array" ref="H2447">IFERROR(VLOOKUP(INPUT!M2442&amp;INPUT!N2442,CHOOSE({1,2},INPUT!$A$3:$A$5000&amp;INPUT!$C$3:$C$5000,INPUT!$D$3:$D$5000),2,FALSE),"")</f>
        <v>GYM+TEC-TAC</v>
      </c>
      <c r="I2447" s="46">
        <f>IF(INPUT!P2442="","",INPUT!P2442)</f>
        <v>79.5</v>
      </c>
      <c r="J2447" s="46">
        <f>IF(INPUT!Q2442="","",INPUT!Q2442)</f>
        <v>79</v>
      </c>
      <c r="K2447" s="46">
        <f>IFERROR(IF(OR(INPUT!P2442="",INPUT!Q2442=""),"",INPUT!P2442-INPUT!Q2442),"")</f>
        <v>0.5</v>
      </c>
      <c r="L2447" s="48">
        <f>IFERROR(IF(OR(INPUT!P2442="",INPUT!Q2442="",INPUT!P2442=0),"",(INPUT!P2442-INPUT!Q2442)/INPUT!P2442),"")</f>
        <v>6.2893081761006293E-3</v>
      </c>
    </row>
    <row r="2448" spans="1:12" ht="18" hidden="1" customHeight="1" x14ac:dyDescent="0.2">
      <c r="A2448" s="11">
        <f>IF(INPUT!M2443="","",INPUT!M2443)</f>
        <v>46125</v>
      </c>
      <c r="B2448" s="11">
        <f>IF(INPUT!M2443="","",INPUT!M2443-WEEKDAY(INPUT!M2443,2)+1)</f>
        <v>46125</v>
      </c>
      <c r="C2448" s="20">
        <f>IFERROR(_xlfn.ISOWEEKNUM(INPUT!M2443),"")</f>
        <v>16</v>
      </c>
      <c r="D2448" s="20">
        <f>IFERROR(YEAR(INPUT!M2443),"")</f>
        <v>2026</v>
      </c>
      <c r="E2448" t="str">
        <f>IF(INPUT!O2443="","",INPUT!O2443)</f>
        <v>CHAGUINHA</v>
      </c>
      <c r="F2448" t="str">
        <f>IF(INPUT!N2443="","",INPUT!N2443)</f>
        <v>M</v>
      </c>
      <c r="G2448" t="str" cm="1">
        <f t="array" ref="G2448">IFERROR(VLOOKUP(INPUT!M2443&amp;INPUT!N2443,CHOOSE({1,2},INPUT!$A$3:$A$5000&amp;INPUT!$C$3:$C$5000,INPUT!$F$3:$F$5000),2,FALSE),"")</f>
        <v>PRE-TEMPORADA</v>
      </c>
      <c r="H2448" t="str" cm="1">
        <f t="array" ref="H2448">IFERROR(VLOOKUP(INPUT!M2443&amp;INPUT!N2443,CHOOSE({1,2},INPUT!$A$3:$A$5000&amp;INPUT!$C$3:$C$5000,INPUT!$D$3:$D$5000),2,FALSE),"")</f>
        <v>GYM+TEC-TAC</v>
      </c>
      <c r="I2448" s="46">
        <f>IF(INPUT!P2443="","",INPUT!P2443)</f>
        <v>69</v>
      </c>
      <c r="J2448" s="46">
        <f>IF(INPUT!Q2443="","",INPUT!Q2443)</f>
        <v>68.5</v>
      </c>
      <c r="K2448" s="46">
        <f>IFERROR(IF(OR(INPUT!P2443="",INPUT!Q2443=""),"",INPUT!P2443-INPUT!Q2443),"")</f>
        <v>0.5</v>
      </c>
      <c r="L2448" s="48">
        <f>IFERROR(IF(OR(INPUT!P2443="",INPUT!Q2443="",INPUT!P2443=0),"",(INPUT!P2443-INPUT!Q2443)/INPUT!P2443),"")</f>
        <v>7.246376811594203E-3</v>
      </c>
    </row>
    <row r="2449" spans="1:12" ht="18" hidden="1" customHeight="1" x14ac:dyDescent="0.2">
      <c r="A2449" s="11">
        <f>IF(INPUT!M2444="","",INPUT!M2444)</f>
        <v>46125</v>
      </c>
      <c r="B2449" s="11">
        <f>IF(INPUT!M2444="","",INPUT!M2444-WEEKDAY(INPUT!M2444,2)+1)</f>
        <v>46125</v>
      </c>
      <c r="C2449" s="20">
        <f>IFERROR(_xlfn.ISOWEEKNUM(INPUT!M2444),"")</f>
        <v>16</v>
      </c>
      <c r="D2449" s="20">
        <f>IFERROR(YEAR(INPUT!M2444),"")</f>
        <v>2026</v>
      </c>
      <c r="E2449" t="str">
        <f>IF(INPUT!O2444="","",INPUT!O2444)</f>
        <v>RAUL</v>
      </c>
      <c r="F2449" t="str">
        <f>IF(INPUT!N2444="","",INPUT!N2444)</f>
        <v>M</v>
      </c>
      <c r="G2449" t="str" cm="1">
        <f t="array" ref="G2449">IFERROR(VLOOKUP(INPUT!M2444&amp;INPUT!N2444,CHOOSE({1,2},INPUT!$A$3:$A$5000&amp;INPUT!$C$3:$C$5000,INPUT!$F$3:$F$5000),2,FALSE),"")</f>
        <v>PRE-TEMPORADA</v>
      </c>
      <c r="H2449" t="str" cm="1">
        <f t="array" ref="H2449">IFERROR(VLOOKUP(INPUT!M2444&amp;INPUT!N2444,CHOOSE({1,2},INPUT!$A$3:$A$5000&amp;INPUT!$C$3:$C$5000,INPUT!$D$3:$D$5000),2,FALSE),"")</f>
        <v>GYM+TEC-TAC</v>
      </c>
      <c r="I2449" s="46">
        <f>IF(INPUT!P2444="","",INPUT!P2444)</f>
        <v>80.5</v>
      </c>
      <c r="J2449" s="46">
        <f>IF(INPUT!Q2444="","",INPUT!Q2444)</f>
        <v>81</v>
      </c>
      <c r="K2449" s="46">
        <f>IFERROR(IF(OR(INPUT!P2444="",INPUT!Q2444=""),"",INPUT!P2444-INPUT!Q2444),"")</f>
        <v>-0.5</v>
      </c>
      <c r="L2449" s="48">
        <f>IFERROR(IF(OR(INPUT!P2444="",INPUT!Q2444="",INPUT!P2444=0),"",(INPUT!P2444-INPUT!Q2444)/INPUT!P2444),"")</f>
        <v>-6.2111801242236021E-3</v>
      </c>
    </row>
    <row r="2450" spans="1:12" ht="18" hidden="1" customHeight="1" x14ac:dyDescent="0.2">
      <c r="A2450" s="11">
        <f>IF(INPUT!M2445="","",INPUT!M2445)</f>
        <v>46125</v>
      </c>
      <c r="B2450" s="11">
        <f>IF(INPUT!M2445="","",INPUT!M2445-WEEKDAY(INPUT!M2445,2)+1)</f>
        <v>46125</v>
      </c>
      <c r="C2450" s="20">
        <f>IFERROR(_xlfn.ISOWEEKNUM(INPUT!M2445),"")</f>
        <v>16</v>
      </c>
      <c r="D2450" s="20">
        <f>IFERROR(YEAR(INPUT!M2445),"")</f>
        <v>2026</v>
      </c>
      <c r="E2450" t="str">
        <f>IF(INPUT!O2445="","",INPUT!O2445)</f>
        <v>HARRISON</v>
      </c>
      <c r="F2450" t="str">
        <f>IF(INPUT!N2445="","",INPUT!N2445)</f>
        <v>M</v>
      </c>
      <c r="G2450" t="str" cm="1">
        <f t="array" ref="G2450">IFERROR(VLOOKUP(INPUT!M2445&amp;INPUT!N2445,CHOOSE({1,2},INPUT!$A$3:$A$5000&amp;INPUT!$C$3:$C$5000,INPUT!$F$3:$F$5000),2,FALSE),"")</f>
        <v>PRE-TEMPORADA</v>
      </c>
      <c r="H2450" t="str" cm="1">
        <f t="array" ref="H2450">IFERROR(VLOOKUP(INPUT!M2445&amp;INPUT!N2445,CHOOSE({1,2},INPUT!$A$3:$A$5000&amp;INPUT!$C$3:$C$5000,INPUT!$D$3:$D$5000),2,FALSE),"")</f>
        <v>GYM+TEC-TAC</v>
      </c>
      <c r="I2450" s="46">
        <f>IF(INPUT!P2445="","",INPUT!P2445)</f>
        <v>72</v>
      </c>
      <c r="J2450" s="46">
        <f>IF(INPUT!Q2445="","",INPUT!Q2445)</f>
        <v>72</v>
      </c>
      <c r="K2450" s="46">
        <f>IFERROR(IF(OR(INPUT!P2445="",INPUT!Q2445=""),"",INPUT!P2445-INPUT!Q2445),"")</f>
        <v>0</v>
      </c>
      <c r="L2450" s="48">
        <f>IFERROR(IF(OR(INPUT!P2445="",INPUT!Q2445="",INPUT!P2445=0),"",(INPUT!P2445-INPUT!Q2445)/INPUT!P2445),"")</f>
        <v>0</v>
      </c>
    </row>
    <row r="2451" spans="1:12" ht="18" hidden="1" customHeight="1" x14ac:dyDescent="0.2">
      <c r="A2451" s="11">
        <f>IF(INPUT!M2446="","",INPUT!M2446)</f>
        <v>46125</v>
      </c>
      <c r="B2451" s="11">
        <f>IF(INPUT!M2446="","",INPUT!M2446-WEEKDAY(INPUT!M2446,2)+1)</f>
        <v>46125</v>
      </c>
      <c r="C2451" s="20">
        <f>IFERROR(_xlfn.ISOWEEKNUM(INPUT!M2446),"")</f>
        <v>16</v>
      </c>
      <c r="D2451" s="20">
        <f>IFERROR(YEAR(INPUT!M2446),"")</f>
        <v>2026</v>
      </c>
      <c r="E2451" t="str">
        <f>IF(INPUT!O2446="","",INPUT!O2446)</f>
        <v>JAVI</v>
      </c>
      <c r="F2451" t="str">
        <f>IF(INPUT!N2446="","",INPUT!N2446)</f>
        <v>M</v>
      </c>
      <c r="G2451" t="str" cm="1">
        <f t="array" ref="G2451">IFERROR(VLOOKUP(INPUT!M2446&amp;INPUT!N2446,CHOOSE({1,2},INPUT!$A$3:$A$5000&amp;INPUT!$C$3:$C$5000,INPUT!$F$3:$F$5000),2,FALSE),"")</f>
        <v>PRE-TEMPORADA</v>
      </c>
      <c r="H2451" t="str" cm="1">
        <f t="array" ref="H2451">IFERROR(VLOOKUP(INPUT!M2446&amp;INPUT!N2446,CHOOSE({1,2},INPUT!$A$3:$A$5000&amp;INPUT!$C$3:$C$5000,INPUT!$D$3:$D$5000),2,FALSE),"")</f>
        <v>GYM+TEC-TAC</v>
      </c>
      <c r="I2451" s="46">
        <f>IF(INPUT!P2446="","",INPUT!P2446)</f>
        <v>79.7</v>
      </c>
      <c r="J2451" s="46">
        <f>IF(INPUT!Q2446="","",INPUT!Q2446)</f>
        <v>79.400000000000006</v>
      </c>
      <c r="K2451" s="46">
        <f>IFERROR(IF(OR(INPUT!P2446="",INPUT!Q2446=""),"",INPUT!P2446-INPUT!Q2446),"")</f>
        <v>0.29999999999999716</v>
      </c>
      <c r="L2451" s="48">
        <f>IFERROR(IF(OR(INPUT!P2446="",INPUT!Q2446="",INPUT!P2446=0),"",(INPUT!P2446-INPUT!Q2446)/INPUT!P2446),"")</f>
        <v>3.7641154328732392E-3</v>
      </c>
    </row>
    <row r="2452" spans="1:12" ht="18" hidden="1" customHeight="1" x14ac:dyDescent="0.2">
      <c r="A2452" s="11">
        <f>IF(INPUT!M2447="","",INPUT!M2447)</f>
        <v>46125</v>
      </c>
      <c r="B2452" s="11">
        <f>IF(INPUT!M2447="","",INPUT!M2447-WEEKDAY(INPUT!M2447,2)+1)</f>
        <v>46125</v>
      </c>
      <c r="C2452" s="20">
        <f>IFERROR(_xlfn.ISOWEEKNUM(INPUT!M2447),"")</f>
        <v>16</v>
      </c>
      <c r="D2452" s="20">
        <f>IFERROR(YEAR(INPUT!M2447),"")</f>
        <v>2026</v>
      </c>
      <c r="E2452" t="str">
        <f>IF(INPUT!O2447="","",INPUT!O2447)</f>
        <v>PANI</v>
      </c>
      <c r="F2452" t="str">
        <f>IF(INPUT!N2447="","",INPUT!N2447)</f>
        <v>M</v>
      </c>
      <c r="G2452" t="str" cm="1">
        <f t="array" ref="G2452">IFERROR(VLOOKUP(INPUT!M2447&amp;INPUT!N2447,CHOOSE({1,2},INPUT!$A$3:$A$5000&amp;INPUT!$C$3:$C$5000,INPUT!$F$3:$F$5000),2,FALSE),"")</f>
        <v>PRE-TEMPORADA</v>
      </c>
      <c r="H2452" t="str" cm="1">
        <f t="array" ref="H2452">IFERROR(VLOOKUP(INPUT!M2447&amp;INPUT!N2447,CHOOSE({1,2},INPUT!$A$3:$A$5000&amp;INPUT!$C$3:$C$5000,INPUT!$D$3:$D$5000),2,FALSE),"")</f>
        <v>GYM+TEC-TAC</v>
      </c>
      <c r="I2452" s="46">
        <f>IF(INPUT!P2447="","",INPUT!P2447)</f>
        <v>68</v>
      </c>
      <c r="J2452" s="46">
        <f>IF(INPUT!Q2447="","",INPUT!Q2447)</f>
        <v>67.5</v>
      </c>
      <c r="K2452" s="46">
        <f>IFERROR(IF(OR(INPUT!P2447="",INPUT!Q2447=""),"",INPUT!P2447-INPUT!Q2447),"")</f>
        <v>0.5</v>
      </c>
      <c r="L2452" s="48">
        <f>IFERROR(IF(OR(INPUT!P2447="",INPUT!Q2447="",INPUT!P2447=0),"",(INPUT!P2447-INPUT!Q2447)/INPUT!P2447),"")</f>
        <v>7.3529411764705881E-3</v>
      </c>
    </row>
    <row r="2453" spans="1:12" ht="18" hidden="1" customHeight="1" x14ac:dyDescent="0.2">
      <c r="A2453" s="11">
        <f>IF(INPUT!M2448="","",INPUT!M2448)</f>
        <v>46125</v>
      </c>
      <c r="B2453" s="11">
        <f>IF(INPUT!M2448="","",INPUT!M2448-WEEKDAY(INPUT!M2448,2)+1)</f>
        <v>46125</v>
      </c>
      <c r="C2453" s="20">
        <f>IFERROR(_xlfn.ISOWEEKNUM(INPUT!M2448),"")</f>
        <v>16</v>
      </c>
      <c r="D2453" s="20">
        <f>IFERROR(YEAR(INPUT!M2448),"")</f>
        <v>2026</v>
      </c>
      <c r="E2453" t="str">
        <f>IF(INPUT!O2448="","",INPUT!O2448)</f>
        <v>PIRATA</v>
      </c>
      <c r="F2453" t="str">
        <f>IF(INPUT!N2448="","",INPUT!N2448)</f>
        <v>M</v>
      </c>
      <c r="G2453" t="str" cm="1">
        <f t="array" ref="G2453">IFERROR(VLOOKUP(INPUT!M2448&amp;INPUT!N2448,CHOOSE({1,2},INPUT!$A$3:$A$5000&amp;INPUT!$C$3:$C$5000,INPUT!$F$3:$F$5000),2,FALSE),"")</f>
        <v>PRE-TEMPORADA</v>
      </c>
      <c r="H2453" t="str" cm="1">
        <f t="array" ref="H2453">IFERROR(VLOOKUP(INPUT!M2448&amp;INPUT!N2448,CHOOSE({1,2},INPUT!$A$3:$A$5000&amp;INPUT!$C$3:$C$5000,INPUT!$D$3:$D$5000),2,FALSE),"")</f>
        <v>GYM+TEC-TAC</v>
      </c>
      <c r="I2453" s="46">
        <f>IF(INPUT!P2448="","",INPUT!P2448)</f>
        <v>75</v>
      </c>
      <c r="J2453" s="46">
        <f>IF(INPUT!Q2448="","",INPUT!Q2448)</f>
        <v>74.900000000000006</v>
      </c>
      <c r="K2453" s="46">
        <f>IFERROR(IF(OR(INPUT!P2448="",INPUT!Q2448=""),"",INPUT!P2448-INPUT!Q2448),"")</f>
        <v>9.9999999999994316E-2</v>
      </c>
      <c r="L2453" s="48">
        <f>IFERROR(IF(OR(INPUT!P2448="",INPUT!Q2448="",INPUT!P2448=0),"",(INPUT!P2448-INPUT!Q2448)/INPUT!P2448),"")</f>
        <v>1.3333333333332576E-3</v>
      </c>
    </row>
    <row r="2454" spans="1:12" ht="18" hidden="1" customHeight="1" x14ac:dyDescent="0.2">
      <c r="A2454" s="11">
        <f>IF(INPUT!M2449="","",INPUT!M2449)</f>
        <v>46125</v>
      </c>
      <c r="B2454" s="11">
        <f>IF(INPUT!M2449="","",INPUT!M2449-WEEKDAY(INPUT!M2449,2)+1)</f>
        <v>46125</v>
      </c>
      <c r="C2454" s="20">
        <f>IFERROR(_xlfn.ISOWEEKNUM(INPUT!M2449),"")</f>
        <v>16</v>
      </c>
      <c r="D2454" s="20">
        <f>IFERROR(YEAR(INPUT!M2449),"")</f>
        <v>2026</v>
      </c>
      <c r="E2454" t="str">
        <f>IF(INPUT!O2449="","",INPUT!O2449)</f>
        <v>BARONA</v>
      </c>
      <c r="F2454" t="str">
        <f>IF(INPUT!N2449="","",INPUT!N2449)</f>
        <v>M</v>
      </c>
      <c r="G2454" t="str" cm="1">
        <f t="array" ref="G2454">IFERROR(VLOOKUP(INPUT!M2449&amp;INPUT!N2449,CHOOSE({1,2},INPUT!$A$3:$A$5000&amp;INPUT!$C$3:$C$5000,INPUT!$F$3:$F$5000),2,FALSE),"")</f>
        <v>PRE-TEMPORADA</v>
      </c>
      <c r="H2454" t="str" cm="1">
        <f t="array" ref="H2454">IFERROR(VLOOKUP(INPUT!M2449&amp;INPUT!N2449,CHOOSE({1,2},INPUT!$A$3:$A$5000&amp;INPUT!$C$3:$C$5000,INPUT!$D$3:$D$5000),2,FALSE),"")</f>
        <v>GYM+TEC-TAC</v>
      </c>
      <c r="I2454" s="46">
        <f>IF(INPUT!P2449="","",INPUT!P2449)</f>
        <v>71.099999999999994</v>
      </c>
      <c r="J2454" s="46">
        <f>IF(INPUT!Q2449="","",INPUT!Q2449)</f>
        <v>71.5</v>
      </c>
      <c r="K2454" s="46">
        <f>IFERROR(IF(OR(INPUT!P2449="",INPUT!Q2449=""),"",INPUT!P2449-INPUT!Q2449),"")</f>
        <v>-0.40000000000000568</v>
      </c>
      <c r="L2454" s="48">
        <f>IFERROR(IF(OR(INPUT!P2449="",INPUT!Q2449="",INPUT!P2449=0),"",(INPUT!P2449-INPUT!Q2449)/INPUT!P2449),"")</f>
        <v>-5.6258790436006434E-3</v>
      </c>
    </row>
    <row r="2455" spans="1:12" ht="18" hidden="1" customHeight="1" x14ac:dyDescent="0.2">
      <c r="A2455" s="11">
        <f>IF(INPUT!M2450="","",INPUT!M2450)</f>
        <v>46125</v>
      </c>
      <c r="B2455" s="11">
        <f>IF(INPUT!M2450="","",INPUT!M2450-WEEKDAY(INPUT!M2450,2)+1)</f>
        <v>46125</v>
      </c>
      <c r="C2455" s="20">
        <f>IFERROR(_xlfn.ISOWEEKNUM(INPUT!M2450),"")</f>
        <v>16</v>
      </c>
      <c r="D2455" s="20">
        <f>IFERROR(YEAR(INPUT!M2450),"")</f>
        <v>2026</v>
      </c>
      <c r="E2455" t="str">
        <f>IF(INPUT!O2450="","",INPUT!O2450)</f>
        <v>CARLOS</v>
      </c>
      <c r="F2455" t="str">
        <f>IF(INPUT!N2450="","",INPUT!N2450)</f>
        <v>M</v>
      </c>
      <c r="G2455" t="str" cm="1">
        <f t="array" ref="G2455">IFERROR(VLOOKUP(INPUT!M2450&amp;INPUT!N2450,CHOOSE({1,2},INPUT!$A$3:$A$5000&amp;INPUT!$C$3:$C$5000,INPUT!$F$3:$F$5000),2,FALSE),"")</f>
        <v>PRE-TEMPORADA</v>
      </c>
      <c r="H2455" t="str" cm="1">
        <f t="array" ref="H2455">IFERROR(VLOOKUP(INPUT!M2450&amp;INPUT!N2450,CHOOSE({1,2},INPUT!$A$3:$A$5000&amp;INPUT!$C$3:$C$5000,INPUT!$D$3:$D$5000),2,FALSE),"")</f>
        <v>GYM+TEC-TAC</v>
      </c>
      <c r="I2455" s="46">
        <f>IF(INPUT!P2450="","",INPUT!P2450)</f>
        <v>68.7</v>
      </c>
      <c r="J2455" s="46">
        <f>IF(INPUT!Q2450="","",INPUT!Q2450)</f>
        <v>68.5</v>
      </c>
      <c r="K2455" s="46">
        <f>IFERROR(IF(OR(INPUT!P2450="",INPUT!Q2450=""),"",INPUT!P2450-INPUT!Q2450),"")</f>
        <v>0.20000000000000284</v>
      </c>
      <c r="L2455" s="48">
        <f>IFERROR(IF(OR(INPUT!P2450="",INPUT!Q2450="",INPUT!P2450=0),"",(INPUT!P2450-INPUT!Q2450)/INPUT!P2450),"")</f>
        <v>2.9112081513828652E-3</v>
      </c>
    </row>
    <row r="2456" spans="1:12" ht="18" hidden="1" customHeight="1" x14ac:dyDescent="0.2">
      <c r="A2456" s="11">
        <f>IF(INPUT!M2451="","",INPUT!M2451)</f>
        <v>46125</v>
      </c>
      <c r="B2456" s="11">
        <f>IF(INPUT!M2451="","",INPUT!M2451-WEEKDAY(INPUT!M2451,2)+1)</f>
        <v>46125</v>
      </c>
      <c r="C2456" s="20">
        <f>IFERROR(_xlfn.ISOWEEKNUM(INPUT!M2451),"")</f>
        <v>16</v>
      </c>
      <c r="D2456" s="20">
        <f>IFERROR(YEAR(INPUT!M2451),"")</f>
        <v>2026</v>
      </c>
      <c r="E2456" t="str">
        <f>IF(INPUT!O2451="","",INPUT!O2451)</f>
        <v>DANI</v>
      </c>
      <c r="F2456" t="str">
        <f>IF(INPUT!N2451="","",INPUT!N2451)</f>
        <v>M</v>
      </c>
      <c r="G2456" t="str" cm="1">
        <f t="array" ref="G2456">IFERROR(VLOOKUP(INPUT!M2451&amp;INPUT!N2451,CHOOSE({1,2},INPUT!$A$3:$A$5000&amp;INPUT!$C$3:$C$5000,INPUT!$F$3:$F$5000),2,FALSE),"")</f>
        <v>PRE-TEMPORADA</v>
      </c>
      <c r="H2456" t="str" cm="1">
        <f t="array" ref="H2456">IFERROR(VLOOKUP(INPUT!M2451&amp;INPUT!N2451,CHOOSE({1,2},INPUT!$A$3:$A$5000&amp;INPUT!$C$3:$C$5000,INPUT!$D$3:$D$5000),2,FALSE),"")</f>
        <v>GYM+TEC-TAC</v>
      </c>
      <c r="I2456" s="46">
        <f>IF(INPUT!P2451="","",INPUT!P2451)</f>
        <v>90.2</v>
      </c>
      <c r="J2456" s="46">
        <f>IF(INPUT!Q2451="","",INPUT!Q2451)</f>
        <v>90</v>
      </c>
      <c r="K2456" s="46">
        <f>IFERROR(IF(OR(INPUT!P2451="",INPUT!Q2451=""),"",INPUT!P2451-INPUT!Q2451),"")</f>
        <v>0.20000000000000284</v>
      </c>
      <c r="L2456" s="48">
        <f>IFERROR(IF(OR(INPUT!P2451="",INPUT!Q2451="",INPUT!P2451=0),"",(INPUT!P2451-INPUT!Q2451)/INPUT!P2451),"")</f>
        <v>2.2172949002217607E-3</v>
      </c>
    </row>
    <row r="2457" spans="1:12" ht="18" hidden="1" customHeight="1" x14ac:dyDescent="0.2">
      <c r="A2457" s="11">
        <f>IF(INPUT!M2452="","",INPUT!M2452)</f>
        <v>46126</v>
      </c>
      <c r="B2457" s="11">
        <f>IF(INPUT!M2452="","",INPUT!M2452-WEEKDAY(INPUT!M2452,2)+1)</f>
        <v>46125</v>
      </c>
      <c r="C2457" s="20">
        <f>IFERROR(_xlfn.ISOWEEKNUM(INPUT!M2452),"")</f>
        <v>16</v>
      </c>
      <c r="D2457" s="20">
        <f>IFERROR(YEAR(INPUT!M2452),"")</f>
        <v>2026</v>
      </c>
      <c r="E2457" t="str">
        <f>IF(INPUT!O2452="","",INPUT!O2452)</f>
        <v>HERRERO</v>
      </c>
      <c r="F2457" t="str">
        <f>IF(INPUT!N2452="","",INPUT!N2452)</f>
        <v>M</v>
      </c>
      <c r="G2457" t="str" cm="1">
        <f t="array" ref="G2457">IFERROR(VLOOKUP(INPUT!M2452&amp;INPUT!N2452,CHOOSE({1,2},INPUT!$A$3:$A$5000&amp;INPUT!$C$3:$C$5000,INPUT!$F$3:$F$5000),2,FALSE),"")</f>
        <v>PRE-TEMPORADA</v>
      </c>
      <c r="H2457" t="str" cm="1">
        <f t="array" ref="H2457">IFERROR(VLOOKUP(INPUT!M2452&amp;INPUT!N2452,CHOOSE({1,2},INPUT!$A$3:$A$5000&amp;INPUT!$C$3:$C$5000,INPUT!$D$3:$D$5000),2,FALSE),"")</f>
        <v>TEC-TAC</v>
      </c>
      <c r="I2457" s="46">
        <f>IF(INPUT!P2452="","",INPUT!P2452)</f>
        <v>77</v>
      </c>
      <c r="J2457" s="46">
        <f>IF(INPUT!Q2452="","",INPUT!Q2452)</f>
        <v>77</v>
      </c>
      <c r="K2457" s="46">
        <f>IFERROR(IF(OR(INPUT!P2452="",INPUT!Q2452=""),"",INPUT!P2452-INPUT!Q2452),"")</f>
        <v>0</v>
      </c>
      <c r="L2457" s="48">
        <f>IFERROR(IF(OR(INPUT!P2452="",INPUT!Q2452="",INPUT!P2452=0),"",(INPUT!P2452-INPUT!Q2452)/INPUT!P2452),"")</f>
        <v>0</v>
      </c>
    </row>
    <row r="2458" spans="1:12" ht="18" hidden="1" customHeight="1" x14ac:dyDescent="0.2">
      <c r="A2458" s="11">
        <f>IF(INPUT!M2453="","",INPUT!M2453)</f>
        <v>46126</v>
      </c>
      <c r="B2458" s="11">
        <f>IF(INPUT!M2453="","",INPUT!M2453-WEEKDAY(INPUT!M2453,2)+1)</f>
        <v>46125</v>
      </c>
      <c r="C2458" s="20">
        <f>IFERROR(_xlfn.ISOWEEKNUM(INPUT!M2453),"")</f>
        <v>16</v>
      </c>
      <c r="D2458" s="20">
        <f>IFERROR(YEAR(INPUT!M2453),"")</f>
        <v>2026</v>
      </c>
      <c r="E2458" t="str">
        <f>IF(INPUT!O2453="","",INPUT!O2453)</f>
        <v>GARCIA</v>
      </c>
      <c r="F2458" t="str">
        <f>IF(INPUT!N2453="","",INPUT!N2453)</f>
        <v>M</v>
      </c>
      <c r="G2458" t="str" cm="1">
        <f t="array" ref="G2458">IFERROR(VLOOKUP(INPUT!M2453&amp;INPUT!N2453,CHOOSE({1,2},INPUT!$A$3:$A$5000&amp;INPUT!$C$3:$C$5000,INPUT!$F$3:$F$5000),2,FALSE),"")</f>
        <v>PRE-TEMPORADA</v>
      </c>
      <c r="H2458" t="str" cm="1">
        <f t="array" ref="H2458">IFERROR(VLOOKUP(INPUT!M2453&amp;INPUT!N2453,CHOOSE({1,2},INPUT!$A$3:$A$5000&amp;INPUT!$C$3:$C$5000,INPUT!$D$3:$D$5000),2,FALSE),"")</f>
        <v>TEC-TAC</v>
      </c>
      <c r="I2458" s="46">
        <f>IF(INPUT!P2453="","",INPUT!P2453)</f>
        <v>79</v>
      </c>
      <c r="J2458" s="46">
        <f>IF(INPUT!Q2453="","",INPUT!Q2453)</f>
        <v>78.7</v>
      </c>
      <c r="K2458" s="46">
        <f>IFERROR(IF(OR(INPUT!P2453="",INPUT!Q2453=""),"",INPUT!P2453-INPUT!Q2453),"")</f>
        <v>0.29999999999999716</v>
      </c>
      <c r="L2458" s="48">
        <f>IFERROR(IF(OR(INPUT!P2453="",INPUT!Q2453="",INPUT!P2453=0),"",(INPUT!P2453-INPUT!Q2453)/INPUT!P2453),"")</f>
        <v>3.7974683544303436E-3</v>
      </c>
    </row>
    <row r="2459" spans="1:12" ht="18" hidden="1" customHeight="1" x14ac:dyDescent="0.2">
      <c r="A2459" s="11">
        <f>IF(INPUT!M2454="","",INPUT!M2454)</f>
        <v>46126</v>
      </c>
      <c r="B2459" s="11">
        <f>IF(INPUT!M2454="","",INPUT!M2454-WEEKDAY(INPUT!M2454,2)+1)</f>
        <v>46125</v>
      </c>
      <c r="C2459" s="20">
        <f>IFERROR(_xlfn.ISOWEEKNUM(INPUT!M2454),"")</f>
        <v>16</v>
      </c>
      <c r="D2459" s="20">
        <f>IFERROR(YEAR(INPUT!M2454),"")</f>
        <v>2026</v>
      </c>
      <c r="E2459" t="str">
        <f>IF(INPUT!O2454="","",INPUT!O2454)</f>
        <v>CECILIO</v>
      </c>
      <c r="F2459" t="str">
        <f>IF(INPUT!N2454="","",INPUT!N2454)</f>
        <v>M</v>
      </c>
      <c r="G2459" t="str" cm="1">
        <f t="array" ref="G2459">IFERROR(VLOOKUP(INPUT!M2454&amp;INPUT!N2454,CHOOSE({1,2},INPUT!$A$3:$A$5000&amp;INPUT!$C$3:$C$5000,INPUT!$F$3:$F$5000),2,FALSE),"")</f>
        <v>PRE-TEMPORADA</v>
      </c>
      <c r="H2459" t="str" cm="1">
        <f t="array" ref="H2459">IFERROR(VLOOKUP(INPUT!M2454&amp;INPUT!N2454,CHOOSE({1,2},INPUT!$A$3:$A$5000&amp;INPUT!$C$3:$C$5000,INPUT!$D$3:$D$5000),2,FALSE),"")</f>
        <v>TEC-TAC</v>
      </c>
      <c r="I2459" s="46">
        <f>IF(INPUT!P2454="","",INPUT!P2454)</f>
        <v>67.5</v>
      </c>
      <c r="J2459" s="46">
        <f>IF(INPUT!Q2454="","",INPUT!Q2454)</f>
        <v>67.400000000000006</v>
      </c>
      <c r="K2459" s="46">
        <f>IFERROR(IF(OR(INPUT!P2454="",INPUT!Q2454=""),"",INPUT!P2454-INPUT!Q2454),"")</f>
        <v>9.9999999999994316E-2</v>
      </c>
      <c r="L2459" s="48">
        <f>IFERROR(IF(OR(INPUT!P2454="",INPUT!Q2454="",INPUT!P2454=0),"",(INPUT!P2454-INPUT!Q2454)/INPUT!P2454),"")</f>
        <v>1.4814814814813973E-3</v>
      </c>
    </row>
    <row r="2460" spans="1:12" ht="18" hidden="1" customHeight="1" x14ac:dyDescent="0.2">
      <c r="A2460" s="11">
        <f>IF(INPUT!M2455="","",INPUT!M2455)</f>
        <v>46126</v>
      </c>
      <c r="B2460" s="11">
        <f>IF(INPUT!M2455="","",INPUT!M2455-WEEKDAY(INPUT!M2455,2)+1)</f>
        <v>46125</v>
      </c>
      <c r="C2460" s="20">
        <f>IFERROR(_xlfn.ISOWEEKNUM(INPUT!M2455),"")</f>
        <v>16</v>
      </c>
      <c r="D2460" s="20">
        <f>IFERROR(YEAR(INPUT!M2455),"")</f>
        <v>2026</v>
      </c>
      <c r="E2460" t="str">
        <f>IF(INPUT!O2455="","",INPUT!O2455)</f>
        <v>CHAGUINHA</v>
      </c>
      <c r="F2460" t="str">
        <f>IF(INPUT!N2455="","",INPUT!N2455)</f>
        <v>M</v>
      </c>
      <c r="G2460" t="str" cm="1">
        <f t="array" ref="G2460">IFERROR(VLOOKUP(INPUT!M2455&amp;INPUT!N2455,CHOOSE({1,2},INPUT!$A$3:$A$5000&amp;INPUT!$C$3:$C$5000,INPUT!$F$3:$F$5000),2,FALSE),"")</f>
        <v>PRE-TEMPORADA</v>
      </c>
      <c r="H2460" t="str" cm="1">
        <f t="array" ref="H2460">IFERROR(VLOOKUP(INPUT!M2455&amp;INPUT!N2455,CHOOSE({1,2},INPUT!$A$3:$A$5000&amp;INPUT!$C$3:$C$5000,INPUT!$D$3:$D$5000),2,FALSE),"")</f>
        <v>TEC-TAC</v>
      </c>
      <c r="I2460" s="46">
        <f>IF(INPUT!P2455="","",INPUT!P2455)</f>
        <v>69</v>
      </c>
      <c r="J2460" s="46">
        <f>IF(INPUT!Q2455="","",INPUT!Q2455)</f>
        <v>69</v>
      </c>
      <c r="K2460" s="46">
        <f>IFERROR(IF(OR(INPUT!P2455="",INPUT!Q2455=""),"",INPUT!P2455-INPUT!Q2455),"")</f>
        <v>0</v>
      </c>
      <c r="L2460" s="48">
        <f>IFERROR(IF(OR(INPUT!P2455="",INPUT!Q2455="",INPUT!P2455=0),"",(INPUT!P2455-INPUT!Q2455)/INPUT!P2455),"")</f>
        <v>0</v>
      </c>
    </row>
    <row r="2461" spans="1:12" ht="18" hidden="1" customHeight="1" x14ac:dyDescent="0.2">
      <c r="A2461" s="11">
        <f>IF(INPUT!M2456="","",INPUT!M2456)</f>
        <v>46126</v>
      </c>
      <c r="B2461" s="11">
        <f>IF(INPUT!M2456="","",INPUT!M2456-WEEKDAY(INPUT!M2456,2)+1)</f>
        <v>46125</v>
      </c>
      <c r="C2461" s="20">
        <f>IFERROR(_xlfn.ISOWEEKNUM(INPUT!M2456),"")</f>
        <v>16</v>
      </c>
      <c r="D2461" s="20">
        <f>IFERROR(YEAR(INPUT!M2456),"")</f>
        <v>2026</v>
      </c>
      <c r="E2461" t="str">
        <f>IF(INPUT!O2456="","",INPUT!O2456)</f>
        <v>RAUL</v>
      </c>
      <c r="F2461" t="str">
        <f>IF(INPUT!N2456="","",INPUT!N2456)</f>
        <v>M</v>
      </c>
      <c r="G2461" t="str" cm="1">
        <f t="array" ref="G2461">IFERROR(VLOOKUP(INPUT!M2456&amp;INPUT!N2456,CHOOSE({1,2},INPUT!$A$3:$A$5000&amp;INPUT!$C$3:$C$5000,INPUT!$F$3:$F$5000),2,FALSE),"")</f>
        <v>PRE-TEMPORADA</v>
      </c>
      <c r="H2461" t="str" cm="1">
        <f t="array" ref="H2461">IFERROR(VLOOKUP(INPUT!M2456&amp;INPUT!N2456,CHOOSE({1,2},INPUT!$A$3:$A$5000&amp;INPUT!$C$3:$C$5000,INPUT!$D$3:$D$5000),2,FALSE),"")</f>
        <v>TEC-TAC</v>
      </c>
      <c r="I2461" s="46">
        <f>IF(INPUT!P2456="","",INPUT!P2456)</f>
        <v>80.5</v>
      </c>
      <c r="J2461" s="46">
        <f>IF(INPUT!Q2456="","",INPUT!Q2456)</f>
        <v>81.7</v>
      </c>
      <c r="K2461" s="46">
        <f>IFERROR(IF(OR(INPUT!P2456="",INPUT!Q2456=""),"",INPUT!P2456-INPUT!Q2456),"")</f>
        <v>-1.2000000000000028</v>
      </c>
      <c r="L2461" s="48">
        <f>IFERROR(IF(OR(INPUT!P2456="",INPUT!Q2456="",INPUT!P2456=0),"",(INPUT!P2456-INPUT!Q2456)/INPUT!P2456),"")</f>
        <v>-1.4906832298136682E-2</v>
      </c>
    </row>
    <row r="2462" spans="1:12" ht="18" hidden="1" customHeight="1" x14ac:dyDescent="0.2">
      <c r="A2462" s="11">
        <f>IF(INPUT!M2457="","",INPUT!M2457)</f>
        <v>46126</v>
      </c>
      <c r="B2462" s="11">
        <f>IF(INPUT!M2457="","",INPUT!M2457-WEEKDAY(INPUT!M2457,2)+1)</f>
        <v>46125</v>
      </c>
      <c r="C2462" s="20">
        <f>IFERROR(_xlfn.ISOWEEKNUM(INPUT!M2457),"")</f>
        <v>16</v>
      </c>
      <c r="D2462" s="20">
        <f>IFERROR(YEAR(INPUT!M2457),"")</f>
        <v>2026</v>
      </c>
      <c r="E2462" t="str">
        <f>IF(INPUT!O2457="","",INPUT!O2457)</f>
        <v>HARRISON</v>
      </c>
      <c r="F2462" t="str">
        <f>IF(INPUT!N2457="","",INPUT!N2457)</f>
        <v>M</v>
      </c>
      <c r="G2462" t="str" cm="1">
        <f t="array" ref="G2462">IFERROR(VLOOKUP(INPUT!M2457&amp;INPUT!N2457,CHOOSE({1,2},INPUT!$A$3:$A$5000&amp;INPUT!$C$3:$C$5000,INPUT!$F$3:$F$5000),2,FALSE),"")</f>
        <v>PRE-TEMPORADA</v>
      </c>
      <c r="H2462" t="str" cm="1">
        <f t="array" ref="H2462">IFERROR(VLOOKUP(INPUT!M2457&amp;INPUT!N2457,CHOOSE({1,2},INPUT!$A$3:$A$5000&amp;INPUT!$C$3:$C$5000,INPUT!$D$3:$D$5000),2,FALSE),"")</f>
        <v>TEC-TAC</v>
      </c>
      <c r="I2462" s="46">
        <f>IF(INPUT!P2457="","",INPUT!P2457)</f>
        <v>72</v>
      </c>
      <c r="J2462" s="46">
        <f>IF(INPUT!Q2457="","",INPUT!Q2457)</f>
        <v>72</v>
      </c>
      <c r="K2462" s="46">
        <f>IFERROR(IF(OR(INPUT!P2457="",INPUT!Q2457=""),"",INPUT!P2457-INPUT!Q2457),"")</f>
        <v>0</v>
      </c>
      <c r="L2462" s="48">
        <f>IFERROR(IF(OR(INPUT!P2457="",INPUT!Q2457="",INPUT!P2457=0),"",(INPUT!P2457-INPUT!Q2457)/INPUT!P2457),"")</f>
        <v>0</v>
      </c>
    </row>
    <row r="2463" spans="1:12" ht="18" hidden="1" customHeight="1" x14ac:dyDescent="0.2">
      <c r="A2463" s="11">
        <f>IF(INPUT!M2458="","",INPUT!M2458)</f>
        <v>46126</v>
      </c>
      <c r="B2463" s="11">
        <f>IF(INPUT!M2458="","",INPUT!M2458-WEEKDAY(INPUT!M2458,2)+1)</f>
        <v>46125</v>
      </c>
      <c r="C2463" s="20">
        <f>IFERROR(_xlfn.ISOWEEKNUM(INPUT!M2458),"")</f>
        <v>16</v>
      </c>
      <c r="D2463" s="20">
        <f>IFERROR(YEAR(INPUT!M2458),"")</f>
        <v>2026</v>
      </c>
      <c r="E2463" t="str">
        <f>IF(INPUT!O2458="","",INPUT!O2458)</f>
        <v>RAYA</v>
      </c>
      <c r="F2463" t="str">
        <f>IF(INPUT!N2458="","",INPUT!N2458)</f>
        <v>M</v>
      </c>
      <c r="G2463" t="str" cm="1">
        <f t="array" ref="G2463">IFERROR(VLOOKUP(INPUT!M2458&amp;INPUT!N2458,CHOOSE({1,2},INPUT!$A$3:$A$5000&amp;INPUT!$C$3:$C$5000,INPUT!$F$3:$F$5000),2,FALSE),"")</f>
        <v>PRE-TEMPORADA</v>
      </c>
      <c r="H2463" t="str" cm="1">
        <f t="array" ref="H2463">IFERROR(VLOOKUP(INPUT!M2458&amp;INPUT!N2458,CHOOSE({1,2},INPUT!$A$3:$A$5000&amp;INPUT!$C$3:$C$5000,INPUT!$D$3:$D$5000),2,FALSE),"")</f>
        <v>TEC-TAC</v>
      </c>
      <c r="I2463" s="46">
        <f>IF(INPUT!P2458="","",INPUT!P2458)</f>
        <v>81.8</v>
      </c>
      <c r="J2463" s="46">
        <f>IF(INPUT!Q2458="","",INPUT!Q2458)</f>
        <v>81.5</v>
      </c>
      <c r="K2463" s="46">
        <f>IFERROR(IF(OR(INPUT!P2458="",INPUT!Q2458=""),"",INPUT!P2458-INPUT!Q2458),"")</f>
        <v>0.29999999999999716</v>
      </c>
      <c r="L2463" s="48">
        <f>IFERROR(IF(OR(INPUT!P2458="",INPUT!Q2458="",INPUT!P2458=0),"",(INPUT!P2458-INPUT!Q2458)/INPUT!P2458),"")</f>
        <v>3.6674816625916523E-3</v>
      </c>
    </row>
    <row r="2464" spans="1:12" ht="18" hidden="1" customHeight="1" x14ac:dyDescent="0.2">
      <c r="A2464" s="11">
        <f>IF(INPUT!M2459="","",INPUT!M2459)</f>
        <v>46126</v>
      </c>
      <c r="B2464" s="11">
        <f>IF(INPUT!M2459="","",INPUT!M2459-WEEKDAY(INPUT!M2459,2)+1)</f>
        <v>46125</v>
      </c>
      <c r="C2464" s="20">
        <f>IFERROR(_xlfn.ISOWEEKNUM(INPUT!M2459),"")</f>
        <v>16</v>
      </c>
      <c r="D2464" s="20">
        <f>IFERROR(YEAR(INPUT!M2459),"")</f>
        <v>2026</v>
      </c>
      <c r="E2464" t="str">
        <f>IF(INPUT!O2459="","",INPUT!O2459)</f>
        <v>JAVI</v>
      </c>
      <c r="F2464" t="str">
        <f>IF(INPUT!N2459="","",INPUT!N2459)</f>
        <v>M</v>
      </c>
      <c r="G2464" t="str" cm="1">
        <f t="array" ref="G2464">IFERROR(VLOOKUP(INPUT!M2459&amp;INPUT!N2459,CHOOSE({1,2},INPUT!$A$3:$A$5000&amp;INPUT!$C$3:$C$5000,INPUT!$F$3:$F$5000),2,FALSE),"")</f>
        <v>PRE-TEMPORADA</v>
      </c>
      <c r="H2464" t="str" cm="1">
        <f t="array" ref="H2464">IFERROR(VLOOKUP(INPUT!M2459&amp;INPUT!N2459,CHOOSE({1,2},INPUT!$A$3:$A$5000&amp;INPUT!$C$3:$C$5000,INPUT!$D$3:$D$5000),2,FALSE),"")</f>
        <v>TEC-TAC</v>
      </c>
      <c r="I2464" s="46">
        <f>IF(INPUT!P2459="","",INPUT!P2459)</f>
        <v>79.5</v>
      </c>
      <c r="J2464" s="46">
        <f>IF(INPUT!Q2459="","",INPUT!Q2459)</f>
        <v>79.3</v>
      </c>
      <c r="K2464" s="46">
        <f>IFERROR(IF(OR(INPUT!P2459="",INPUT!Q2459=""),"",INPUT!P2459-INPUT!Q2459),"")</f>
        <v>0.20000000000000284</v>
      </c>
      <c r="L2464" s="48">
        <f>IFERROR(IF(OR(INPUT!P2459="",INPUT!Q2459="",INPUT!P2459=0),"",(INPUT!P2459-INPUT!Q2459)/INPUT!P2459),"")</f>
        <v>2.5157232704402874E-3</v>
      </c>
    </row>
    <row r="2465" spans="1:12" ht="18" hidden="1" customHeight="1" x14ac:dyDescent="0.2">
      <c r="A2465" s="11">
        <f>IF(INPUT!M2460="","",INPUT!M2460)</f>
        <v>46126</v>
      </c>
      <c r="B2465" s="11">
        <f>IF(INPUT!M2460="","",INPUT!M2460-WEEKDAY(INPUT!M2460,2)+1)</f>
        <v>46125</v>
      </c>
      <c r="C2465" s="20">
        <f>IFERROR(_xlfn.ISOWEEKNUM(INPUT!M2460),"")</f>
        <v>16</v>
      </c>
      <c r="D2465" s="20">
        <f>IFERROR(YEAR(INPUT!M2460),"")</f>
        <v>2026</v>
      </c>
      <c r="E2465" t="str">
        <f>IF(INPUT!O2460="","",INPUT!O2460)</f>
        <v>PANI</v>
      </c>
      <c r="F2465" t="str">
        <f>IF(INPUT!N2460="","",INPUT!N2460)</f>
        <v>M</v>
      </c>
      <c r="G2465" t="str" cm="1">
        <f t="array" ref="G2465">IFERROR(VLOOKUP(INPUT!M2460&amp;INPUT!N2460,CHOOSE({1,2},INPUT!$A$3:$A$5000&amp;INPUT!$C$3:$C$5000,INPUT!$F$3:$F$5000),2,FALSE),"")</f>
        <v>PRE-TEMPORADA</v>
      </c>
      <c r="H2465" t="str" cm="1">
        <f t="array" ref="H2465">IFERROR(VLOOKUP(INPUT!M2460&amp;INPUT!N2460,CHOOSE({1,2},INPUT!$A$3:$A$5000&amp;INPUT!$C$3:$C$5000,INPUT!$D$3:$D$5000),2,FALSE),"")</f>
        <v>TEC-TAC</v>
      </c>
      <c r="I2465" s="46">
        <f>IF(INPUT!P2460="","",INPUT!P2460)</f>
        <v>67.099999999999994</v>
      </c>
      <c r="J2465" s="46">
        <f>IF(INPUT!Q2460="","",INPUT!Q2460)</f>
        <v>66.2</v>
      </c>
      <c r="K2465" s="46">
        <f>IFERROR(IF(OR(INPUT!P2460="",INPUT!Q2460=""),"",INPUT!P2460-INPUT!Q2460),"")</f>
        <v>0.89999999999999147</v>
      </c>
      <c r="L2465" s="48">
        <f>IFERROR(IF(OR(INPUT!P2460="",INPUT!Q2460="",INPUT!P2460=0),"",(INPUT!P2460-INPUT!Q2460)/INPUT!P2460),"")</f>
        <v>1.341281669150509E-2</v>
      </c>
    </row>
    <row r="2466" spans="1:12" ht="18" hidden="1" customHeight="1" x14ac:dyDescent="0.2">
      <c r="A2466" s="11">
        <f>IF(INPUT!M2461="","",INPUT!M2461)</f>
        <v>46126</v>
      </c>
      <c r="B2466" s="11">
        <f>IF(INPUT!M2461="","",INPUT!M2461-WEEKDAY(INPUT!M2461,2)+1)</f>
        <v>46125</v>
      </c>
      <c r="C2466" s="20">
        <f>IFERROR(_xlfn.ISOWEEKNUM(INPUT!M2461),"")</f>
        <v>16</v>
      </c>
      <c r="D2466" s="20">
        <f>IFERROR(YEAR(INPUT!M2461),"")</f>
        <v>2026</v>
      </c>
      <c r="E2466" t="str">
        <f>IF(INPUT!O2461="","",INPUT!O2461)</f>
        <v>PIRATA</v>
      </c>
      <c r="F2466" t="str">
        <f>IF(INPUT!N2461="","",INPUT!N2461)</f>
        <v>M</v>
      </c>
      <c r="G2466" t="str" cm="1">
        <f t="array" ref="G2466">IFERROR(VLOOKUP(INPUT!M2461&amp;INPUT!N2461,CHOOSE({1,2},INPUT!$A$3:$A$5000&amp;INPUT!$C$3:$C$5000,INPUT!$F$3:$F$5000),2,FALSE),"")</f>
        <v>PRE-TEMPORADA</v>
      </c>
      <c r="H2466" t="str" cm="1">
        <f t="array" ref="H2466">IFERROR(VLOOKUP(INPUT!M2461&amp;INPUT!N2461,CHOOSE({1,2},INPUT!$A$3:$A$5000&amp;INPUT!$C$3:$C$5000,INPUT!$D$3:$D$5000),2,FALSE),"")</f>
        <v>TEC-TAC</v>
      </c>
      <c r="I2466" s="46">
        <f>IF(INPUT!P2461="","",INPUT!P2461)</f>
        <v>75.3</v>
      </c>
      <c r="J2466" s="46">
        <f>IF(INPUT!Q2461="","",INPUT!Q2461)</f>
        <v>75.2</v>
      </c>
      <c r="K2466" s="46">
        <f>IFERROR(IF(OR(INPUT!P2461="",INPUT!Q2461=""),"",INPUT!P2461-INPUT!Q2461),"")</f>
        <v>9.9999999999994316E-2</v>
      </c>
      <c r="L2466" s="48">
        <f>IFERROR(IF(OR(INPUT!P2461="",INPUT!Q2461="",INPUT!P2461=0),"",(INPUT!P2461-INPUT!Q2461)/INPUT!P2461),"")</f>
        <v>1.3280212483398981E-3</v>
      </c>
    </row>
    <row r="2467" spans="1:12" ht="18" hidden="1" customHeight="1" x14ac:dyDescent="0.2">
      <c r="A2467" s="11">
        <f>IF(INPUT!M2462="","",INPUT!M2462)</f>
        <v>46126</v>
      </c>
      <c r="B2467" s="11">
        <f>IF(INPUT!M2462="","",INPUT!M2462-WEEKDAY(INPUT!M2462,2)+1)</f>
        <v>46125</v>
      </c>
      <c r="C2467" s="20">
        <f>IFERROR(_xlfn.ISOWEEKNUM(INPUT!M2462),"")</f>
        <v>16</v>
      </c>
      <c r="D2467" s="20">
        <f>IFERROR(YEAR(INPUT!M2462),"")</f>
        <v>2026</v>
      </c>
      <c r="E2467" t="str">
        <f>IF(INPUT!O2462="","",INPUT!O2462)</f>
        <v>BARONA</v>
      </c>
      <c r="F2467" t="str">
        <f>IF(INPUT!N2462="","",INPUT!N2462)</f>
        <v>M</v>
      </c>
      <c r="G2467" t="str" cm="1">
        <f t="array" ref="G2467">IFERROR(VLOOKUP(INPUT!M2462&amp;INPUT!N2462,CHOOSE({1,2},INPUT!$A$3:$A$5000&amp;INPUT!$C$3:$C$5000,INPUT!$F$3:$F$5000),2,FALSE),"")</f>
        <v>PRE-TEMPORADA</v>
      </c>
      <c r="H2467" t="str" cm="1">
        <f t="array" ref="H2467">IFERROR(VLOOKUP(INPUT!M2462&amp;INPUT!N2462,CHOOSE({1,2},INPUT!$A$3:$A$5000&amp;INPUT!$C$3:$C$5000,INPUT!$D$3:$D$5000),2,FALSE),"")</f>
        <v>TEC-TAC</v>
      </c>
      <c r="I2467" s="46">
        <f>IF(INPUT!P2462="","",INPUT!P2462)</f>
        <v>71.400000000000006</v>
      </c>
      <c r="J2467" s="46">
        <f>IF(INPUT!Q2462="","",INPUT!Q2462)</f>
        <v>71.400000000000006</v>
      </c>
      <c r="K2467" s="46">
        <f>IFERROR(IF(OR(INPUT!P2462="",INPUT!Q2462=""),"",INPUT!P2462-INPUT!Q2462),"")</f>
        <v>0</v>
      </c>
      <c r="L2467" s="48">
        <f>IFERROR(IF(OR(INPUT!P2462="",INPUT!Q2462="",INPUT!P2462=0),"",(INPUT!P2462-INPUT!Q2462)/INPUT!P2462),"")</f>
        <v>0</v>
      </c>
    </row>
    <row r="2468" spans="1:12" ht="18" hidden="1" customHeight="1" x14ac:dyDescent="0.2">
      <c r="A2468" s="11">
        <f>IF(INPUT!M2463="","",INPUT!M2463)</f>
        <v>46126</v>
      </c>
      <c r="B2468" s="11">
        <f>IF(INPUT!M2463="","",INPUT!M2463-WEEKDAY(INPUT!M2463,2)+1)</f>
        <v>46125</v>
      </c>
      <c r="C2468" s="20">
        <f>IFERROR(_xlfn.ISOWEEKNUM(INPUT!M2463),"")</f>
        <v>16</v>
      </c>
      <c r="D2468" s="20">
        <f>IFERROR(YEAR(INPUT!M2463),"")</f>
        <v>2026</v>
      </c>
      <c r="E2468" t="str">
        <f>IF(INPUT!O2463="","",INPUT!O2463)</f>
        <v>CARLOS</v>
      </c>
      <c r="F2468" t="str">
        <f>IF(INPUT!N2463="","",INPUT!N2463)</f>
        <v>M</v>
      </c>
      <c r="G2468" t="str" cm="1">
        <f t="array" ref="G2468">IFERROR(VLOOKUP(INPUT!M2463&amp;INPUT!N2463,CHOOSE({1,2},INPUT!$A$3:$A$5000&amp;INPUT!$C$3:$C$5000,INPUT!$F$3:$F$5000),2,FALSE),"")</f>
        <v>PRE-TEMPORADA</v>
      </c>
      <c r="H2468" t="str" cm="1">
        <f t="array" ref="H2468">IFERROR(VLOOKUP(INPUT!M2463&amp;INPUT!N2463,CHOOSE({1,2},INPUT!$A$3:$A$5000&amp;INPUT!$C$3:$C$5000,INPUT!$D$3:$D$5000),2,FALSE),"")</f>
        <v>TEC-TAC</v>
      </c>
      <c r="I2468" s="46">
        <f>IF(INPUT!P2463="","",INPUT!P2463)</f>
        <v>69</v>
      </c>
      <c r="J2468" s="46">
        <f>IF(INPUT!Q2463="","",INPUT!Q2463)</f>
        <v>68.5</v>
      </c>
      <c r="K2468" s="46">
        <f>IFERROR(IF(OR(INPUT!P2463="",INPUT!Q2463=""),"",INPUT!P2463-INPUT!Q2463),"")</f>
        <v>0.5</v>
      </c>
      <c r="L2468" s="48">
        <f>IFERROR(IF(OR(INPUT!P2463="",INPUT!Q2463="",INPUT!P2463=0),"",(INPUT!P2463-INPUT!Q2463)/INPUT!P2463),"")</f>
        <v>7.246376811594203E-3</v>
      </c>
    </row>
    <row r="2469" spans="1:12" ht="18" hidden="1" customHeight="1" x14ac:dyDescent="0.2">
      <c r="A2469" s="11">
        <f>IF(INPUT!M2464="","",INPUT!M2464)</f>
        <v>46126</v>
      </c>
      <c r="B2469" s="11">
        <f>IF(INPUT!M2464="","",INPUT!M2464-WEEKDAY(INPUT!M2464,2)+1)</f>
        <v>46125</v>
      </c>
      <c r="C2469" s="20">
        <f>IFERROR(_xlfn.ISOWEEKNUM(INPUT!M2464),"")</f>
        <v>16</v>
      </c>
      <c r="D2469" s="20">
        <f>IFERROR(YEAR(INPUT!M2464),"")</f>
        <v>2026</v>
      </c>
      <c r="E2469" t="str">
        <f>IF(INPUT!O2464="","",INPUT!O2464)</f>
        <v>DANI</v>
      </c>
      <c r="F2469" t="str">
        <f>IF(INPUT!N2464="","",INPUT!N2464)</f>
        <v>M</v>
      </c>
      <c r="G2469" t="str" cm="1">
        <f t="array" ref="G2469">IFERROR(VLOOKUP(INPUT!M2464&amp;INPUT!N2464,CHOOSE({1,2},INPUT!$A$3:$A$5000&amp;INPUT!$C$3:$C$5000,INPUT!$F$3:$F$5000),2,FALSE),"")</f>
        <v>PRE-TEMPORADA</v>
      </c>
      <c r="H2469" t="str" cm="1">
        <f t="array" ref="H2469">IFERROR(VLOOKUP(INPUT!M2464&amp;INPUT!N2464,CHOOSE({1,2},INPUT!$A$3:$A$5000&amp;INPUT!$C$3:$C$5000,INPUT!$D$3:$D$5000),2,FALSE),"")</f>
        <v>TEC-TAC</v>
      </c>
      <c r="I2469" s="46">
        <f>IF(INPUT!P2464="","",INPUT!P2464)</f>
        <v>91</v>
      </c>
      <c r="J2469" s="46">
        <f>IF(INPUT!Q2464="","",INPUT!Q2464)</f>
        <v>90.4</v>
      </c>
      <c r="K2469" s="46">
        <f>IFERROR(IF(OR(INPUT!P2464="",INPUT!Q2464=""),"",INPUT!P2464-INPUT!Q2464),"")</f>
        <v>0.59999999999999432</v>
      </c>
      <c r="L2469" s="48">
        <f>IFERROR(IF(OR(INPUT!P2464="",INPUT!Q2464="",INPUT!P2464=0),"",(INPUT!P2464-INPUT!Q2464)/INPUT!P2464),"")</f>
        <v>6.593406593406531E-3</v>
      </c>
    </row>
    <row r="2470" spans="1:12" ht="18" customHeight="1" x14ac:dyDescent="0.2">
      <c r="A2470" s="11">
        <f>IF(INPUT!M2465="","",INPUT!M2465)</f>
        <v>46127</v>
      </c>
      <c r="B2470" s="11">
        <f>IF(INPUT!M2465="","",INPUT!M2465-WEEKDAY(INPUT!M2465,2)+1)</f>
        <v>46125</v>
      </c>
      <c r="C2470" s="20">
        <f>IFERROR(_xlfn.ISOWEEKNUM(INPUT!M2465),"")</f>
        <v>16</v>
      </c>
      <c r="D2470" s="20">
        <f>IFERROR(YEAR(INPUT!M2465),"")</f>
        <v>2026</v>
      </c>
      <c r="E2470" t="str">
        <f>IF(INPUT!O2465="","",INPUT!O2465)</f>
        <v>HERRERO</v>
      </c>
      <c r="F2470" t="str">
        <f>IF(INPUT!N2465="","",INPUT!N2465)</f>
        <v>M</v>
      </c>
      <c r="G2470" t="str" cm="1">
        <f t="array" ref="G2470">IFERROR(VLOOKUP(INPUT!M2465&amp;INPUT!N2465,CHOOSE({1,2},INPUT!$A$3:$A$5000&amp;INPUT!$C$3:$C$5000,INPUT!$F$3:$F$5000),2,FALSE),"")</f>
        <v>PRE-TEMPORADA</v>
      </c>
      <c r="H2470" t="str" cm="1">
        <f t="array" ref="H2470">IFERROR(VLOOKUP(INPUT!M2465&amp;INPUT!N2465,CHOOSE({1,2},INPUT!$A$3:$A$5000&amp;INPUT!$C$3:$C$5000,INPUT!$D$3:$D$5000),2,FALSE),"")</f>
        <v>GYM+TEC-TAC</v>
      </c>
      <c r="I2470" s="46">
        <f>IF(INPUT!P2465="","",INPUT!P2465)</f>
        <v>77</v>
      </c>
      <c r="J2470" s="46">
        <f>IF(INPUT!Q2465="","",INPUT!Q2465)</f>
        <v>76.099999999999994</v>
      </c>
      <c r="K2470" s="46">
        <f>IFERROR(IF(OR(INPUT!P2465="",INPUT!Q2465=""),"",INPUT!P2465-INPUT!Q2465),"")</f>
        <v>0.90000000000000568</v>
      </c>
      <c r="L2470" s="48">
        <f>IFERROR(IF(OR(INPUT!P2465="",INPUT!Q2465="",INPUT!P2465=0),"",(INPUT!P2465-INPUT!Q2465)/INPUT!P2465),"")</f>
        <v>1.1688311688311762E-2</v>
      </c>
    </row>
    <row r="2471" spans="1:12" ht="18" customHeight="1" x14ac:dyDescent="0.2">
      <c r="A2471" s="11">
        <f>IF(INPUT!M2466="","",INPUT!M2466)</f>
        <v>46127</v>
      </c>
      <c r="B2471" s="11">
        <f>IF(INPUT!M2466="","",INPUT!M2466-WEEKDAY(INPUT!M2466,2)+1)</f>
        <v>46125</v>
      </c>
      <c r="C2471" s="20">
        <f>IFERROR(_xlfn.ISOWEEKNUM(INPUT!M2466),"")</f>
        <v>16</v>
      </c>
      <c r="D2471" s="20">
        <f>IFERROR(YEAR(INPUT!M2466),"")</f>
        <v>2026</v>
      </c>
      <c r="E2471" t="str">
        <f>IF(INPUT!O2466="","",INPUT!O2466)</f>
        <v>GARCIA</v>
      </c>
      <c r="F2471" t="str">
        <f>IF(INPUT!N2466="","",INPUT!N2466)</f>
        <v>M</v>
      </c>
      <c r="G2471" t="str" cm="1">
        <f t="array" ref="G2471">IFERROR(VLOOKUP(INPUT!M2466&amp;INPUT!N2466,CHOOSE({1,2},INPUT!$A$3:$A$5000&amp;INPUT!$C$3:$C$5000,INPUT!$F$3:$F$5000),2,FALSE),"")</f>
        <v>PRE-TEMPORADA</v>
      </c>
      <c r="H2471" t="str" cm="1">
        <f t="array" ref="H2471">IFERROR(VLOOKUP(INPUT!M2466&amp;INPUT!N2466,CHOOSE({1,2},INPUT!$A$3:$A$5000&amp;INPUT!$C$3:$C$5000,INPUT!$D$3:$D$5000),2,FALSE),"")</f>
        <v>GYM+TEC-TAC</v>
      </c>
      <c r="I2471" s="46">
        <f>IF(INPUT!P2466="","",INPUT!P2466)</f>
        <v>79.2</v>
      </c>
      <c r="J2471" s="46">
        <f>IF(INPUT!Q2466="","",INPUT!Q2466)</f>
        <v>78.8</v>
      </c>
      <c r="K2471" s="46">
        <f>IFERROR(IF(OR(INPUT!P2466="",INPUT!Q2466=""),"",INPUT!P2466-INPUT!Q2466),"")</f>
        <v>0.40000000000000568</v>
      </c>
      <c r="L2471" s="48">
        <f>IFERROR(IF(OR(INPUT!P2466="",INPUT!Q2466="",INPUT!P2466=0),"",(INPUT!P2466-INPUT!Q2466)/INPUT!P2466),"")</f>
        <v>5.0505050505051221E-3</v>
      </c>
    </row>
    <row r="2472" spans="1:12" ht="18" customHeight="1" x14ac:dyDescent="0.2">
      <c r="A2472" s="11">
        <f>IF(INPUT!M2467="","",INPUT!M2467)</f>
        <v>46127</v>
      </c>
      <c r="B2472" s="11">
        <f>IF(INPUT!M2467="","",INPUT!M2467-WEEKDAY(INPUT!M2467,2)+1)</f>
        <v>46125</v>
      </c>
      <c r="C2472" s="20">
        <f>IFERROR(_xlfn.ISOWEEKNUM(INPUT!M2467),"")</f>
        <v>16</v>
      </c>
      <c r="D2472" s="20">
        <f>IFERROR(YEAR(INPUT!M2467),"")</f>
        <v>2026</v>
      </c>
      <c r="E2472" t="str">
        <f>IF(INPUT!O2467="","",INPUT!O2467)</f>
        <v>CECILIO</v>
      </c>
      <c r="F2472" t="str">
        <f>IF(INPUT!N2467="","",INPUT!N2467)</f>
        <v>M</v>
      </c>
      <c r="G2472" t="str" cm="1">
        <f t="array" ref="G2472">IFERROR(VLOOKUP(INPUT!M2467&amp;INPUT!N2467,CHOOSE({1,2},INPUT!$A$3:$A$5000&amp;INPUT!$C$3:$C$5000,INPUT!$F$3:$F$5000),2,FALSE),"")</f>
        <v>PRE-TEMPORADA</v>
      </c>
      <c r="H2472" t="str" cm="1">
        <f t="array" ref="H2472">IFERROR(VLOOKUP(INPUT!M2467&amp;INPUT!N2467,CHOOSE({1,2},INPUT!$A$3:$A$5000&amp;INPUT!$C$3:$C$5000,INPUT!$D$3:$D$5000),2,FALSE),"")</f>
        <v>GYM+TEC-TAC</v>
      </c>
      <c r="I2472" s="46">
        <f>IF(INPUT!P2467="","",INPUT!P2467)</f>
        <v>67.5</v>
      </c>
      <c r="J2472" s="46">
        <f>IF(INPUT!Q2467="","",INPUT!Q2467)</f>
        <v>67.3</v>
      </c>
      <c r="K2472" s="46">
        <f>IFERROR(IF(OR(INPUT!P2467="",INPUT!Q2467=""),"",INPUT!P2467-INPUT!Q2467),"")</f>
        <v>0.20000000000000284</v>
      </c>
      <c r="L2472" s="48">
        <f>IFERROR(IF(OR(INPUT!P2467="",INPUT!Q2467="",INPUT!P2467=0),"",(INPUT!P2467-INPUT!Q2467)/INPUT!P2467),"")</f>
        <v>2.9629629629630049E-3</v>
      </c>
    </row>
    <row r="2473" spans="1:12" ht="18" customHeight="1" x14ac:dyDescent="0.2">
      <c r="A2473" s="11">
        <f>IF(INPUT!M2468="","",INPUT!M2468)</f>
        <v>46127</v>
      </c>
      <c r="B2473" s="11">
        <f>IF(INPUT!M2468="","",INPUT!M2468-WEEKDAY(INPUT!M2468,2)+1)</f>
        <v>46125</v>
      </c>
      <c r="C2473" s="20">
        <f>IFERROR(_xlfn.ISOWEEKNUM(INPUT!M2468),"")</f>
        <v>16</v>
      </c>
      <c r="D2473" s="20">
        <f>IFERROR(YEAR(INPUT!M2468),"")</f>
        <v>2026</v>
      </c>
      <c r="E2473" t="str">
        <f>IF(INPUT!O2468="","",INPUT!O2468)</f>
        <v>CHAGUINHA</v>
      </c>
      <c r="F2473" t="str">
        <f>IF(INPUT!N2468="","",INPUT!N2468)</f>
        <v>M</v>
      </c>
      <c r="G2473" t="str" cm="1">
        <f t="array" ref="G2473">IFERROR(VLOOKUP(INPUT!M2468&amp;INPUT!N2468,CHOOSE({1,2},INPUT!$A$3:$A$5000&amp;INPUT!$C$3:$C$5000,INPUT!$F$3:$F$5000),2,FALSE),"")</f>
        <v>PRE-TEMPORADA</v>
      </c>
      <c r="H2473" t="str" cm="1">
        <f t="array" ref="H2473">IFERROR(VLOOKUP(INPUT!M2468&amp;INPUT!N2468,CHOOSE({1,2},INPUT!$A$3:$A$5000&amp;INPUT!$C$3:$C$5000,INPUT!$D$3:$D$5000),2,FALSE),"")</f>
        <v>GYM+TEC-TAC</v>
      </c>
      <c r="I2473" s="46">
        <f>IF(INPUT!P2468="","",INPUT!P2468)</f>
        <v>69</v>
      </c>
      <c r="J2473" s="46">
        <f>IF(INPUT!Q2468="","",INPUT!Q2468)</f>
        <v>68.400000000000006</v>
      </c>
      <c r="K2473" s="46">
        <f>IFERROR(IF(OR(INPUT!P2468="",INPUT!Q2468=""),"",INPUT!P2468-INPUT!Q2468),"")</f>
        <v>0.59999999999999432</v>
      </c>
      <c r="L2473" s="48">
        <f>IFERROR(IF(OR(INPUT!P2468="",INPUT!Q2468="",INPUT!P2468=0),"",(INPUT!P2468-INPUT!Q2468)/INPUT!P2468),"")</f>
        <v>8.6956521739129603E-3</v>
      </c>
    </row>
    <row r="2474" spans="1:12" ht="18" customHeight="1" x14ac:dyDescent="0.2">
      <c r="A2474" s="11">
        <f>IF(INPUT!M2469="","",INPUT!M2469)</f>
        <v>46127</v>
      </c>
      <c r="B2474" s="11">
        <f>IF(INPUT!M2469="","",INPUT!M2469-WEEKDAY(INPUT!M2469,2)+1)</f>
        <v>46125</v>
      </c>
      <c r="C2474" s="20">
        <f>IFERROR(_xlfn.ISOWEEKNUM(INPUT!M2469),"")</f>
        <v>16</v>
      </c>
      <c r="D2474" s="20">
        <f>IFERROR(YEAR(INPUT!M2469),"")</f>
        <v>2026</v>
      </c>
      <c r="E2474" t="str">
        <f>IF(INPUT!O2469="","",INPUT!O2469)</f>
        <v>RAUL</v>
      </c>
      <c r="F2474" t="str">
        <f>IF(INPUT!N2469="","",INPUT!N2469)</f>
        <v>M</v>
      </c>
      <c r="G2474" t="str" cm="1">
        <f t="array" ref="G2474">IFERROR(VLOOKUP(INPUT!M2469&amp;INPUT!N2469,CHOOSE({1,2},INPUT!$A$3:$A$5000&amp;INPUT!$C$3:$C$5000,INPUT!$F$3:$F$5000),2,FALSE),"")</f>
        <v>PRE-TEMPORADA</v>
      </c>
      <c r="H2474" t="str" cm="1">
        <f t="array" ref="H2474">IFERROR(VLOOKUP(INPUT!M2469&amp;INPUT!N2469,CHOOSE({1,2},INPUT!$A$3:$A$5000&amp;INPUT!$C$3:$C$5000,INPUT!$D$3:$D$5000),2,FALSE),"")</f>
        <v>GYM+TEC-TAC</v>
      </c>
      <c r="I2474" s="46">
        <f>IF(INPUT!P2469="","",INPUT!P2469)</f>
        <v>81</v>
      </c>
      <c r="J2474" s="46">
        <f>IF(INPUT!Q2469="","",INPUT!Q2469)</f>
        <v>81.400000000000006</v>
      </c>
      <c r="K2474" s="46">
        <f>IFERROR(IF(OR(INPUT!P2469="",INPUT!Q2469=""),"",INPUT!P2469-INPUT!Q2469),"")</f>
        <v>-0.40000000000000568</v>
      </c>
      <c r="L2474" s="48">
        <f>IFERROR(IF(OR(INPUT!P2469="",INPUT!Q2469="",INPUT!P2469=0),"",(INPUT!P2469-INPUT!Q2469)/INPUT!P2469),"")</f>
        <v>-4.9382716049383418E-3</v>
      </c>
    </row>
    <row r="2475" spans="1:12" ht="18" hidden="1" customHeight="1" x14ac:dyDescent="0.2">
      <c r="A2475" s="11">
        <f>IF(INPUT!M2470="","",INPUT!M2470)</f>
        <v>46127</v>
      </c>
      <c r="B2475" s="11">
        <f>IF(INPUT!M2470="","",INPUT!M2470-WEEKDAY(INPUT!M2470,2)+1)</f>
        <v>46125</v>
      </c>
      <c r="C2475" s="20">
        <f>IFERROR(_xlfn.ISOWEEKNUM(INPUT!M2470),"")</f>
        <v>16</v>
      </c>
      <c r="D2475" s="20">
        <f>IFERROR(YEAR(INPUT!M2470),"")</f>
        <v>2026</v>
      </c>
      <c r="E2475" t="str">
        <f>IF(INPUT!O2470="","",INPUT!O2470)</f>
        <v>HARRISON</v>
      </c>
      <c r="F2475" t="str">
        <f>IF(INPUT!N2470="","",INPUT!N2470)</f>
        <v>M</v>
      </c>
      <c r="G2475" t="str" cm="1">
        <f t="array" ref="G2475">IFERROR(VLOOKUP(INPUT!M2470&amp;INPUT!N2470,CHOOSE({1,2},INPUT!$A$3:$A$5000&amp;INPUT!$C$3:$C$5000,INPUT!$F$3:$F$5000),2,FALSE),"")</f>
        <v>PRE-TEMPORADA</v>
      </c>
      <c r="H2475" t="str" cm="1">
        <f t="array" ref="H2475">IFERROR(VLOOKUP(INPUT!M2470&amp;INPUT!N2470,CHOOSE({1,2},INPUT!$A$3:$A$5000&amp;INPUT!$C$3:$C$5000,INPUT!$D$3:$D$5000),2,FALSE),"")</f>
        <v>GYM+TEC-TAC</v>
      </c>
      <c r="I2475" s="46">
        <f>IF(INPUT!P2470="","",INPUT!P2470)</f>
        <v>71.7</v>
      </c>
      <c r="J2475" s="46">
        <f>IF(INPUT!Q2470="","",INPUT!Q2470)</f>
        <v>71.5</v>
      </c>
      <c r="K2475" s="46">
        <f>IFERROR(IF(OR(INPUT!P2470="",INPUT!Q2470=""),"",INPUT!P2470-INPUT!Q2470),"")</f>
        <v>0.20000000000000284</v>
      </c>
      <c r="L2475" s="48">
        <f>IFERROR(IF(OR(INPUT!P2470="",INPUT!Q2470="",INPUT!P2470=0),"",(INPUT!P2470-INPUT!Q2470)/INPUT!P2470),"")</f>
        <v>2.7894002789400673E-3</v>
      </c>
    </row>
    <row r="2476" spans="1:12" ht="18" hidden="1" customHeight="1" x14ac:dyDescent="0.2">
      <c r="A2476" s="11">
        <f>IF(INPUT!M2471="","",INPUT!M2471)</f>
        <v>46127</v>
      </c>
      <c r="B2476" s="11">
        <f>IF(INPUT!M2471="","",INPUT!M2471-WEEKDAY(INPUT!M2471,2)+1)</f>
        <v>46125</v>
      </c>
      <c r="C2476" s="20">
        <f>IFERROR(_xlfn.ISOWEEKNUM(INPUT!M2471),"")</f>
        <v>16</v>
      </c>
      <c r="D2476" s="20">
        <f>IFERROR(YEAR(INPUT!M2471),"")</f>
        <v>2026</v>
      </c>
      <c r="E2476" t="str">
        <f>IF(INPUT!O2471="","",INPUT!O2471)</f>
        <v>RAYA</v>
      </c>
      <c r="F2476" t="str">
        <f>IF(INPUT!N2471="","",INPUT!N2471)</f>
        <v>M</v>
      </c>
      <c r="G2476" t="str" cm="1">
        <f t="array" ref="G2476">IFERROR(VLOOKUP(INPUT!M2471&amp;INPUT!N2471,CHOOSE({1,2},INPUT!$A$3:$A$5000&amp;INPUT!$C$3:$C$5000,INPUT!$F$3:$F$5000),2,FALSE),"")</f>
        <v>PRE-TEMPORADA</v>
      </c>
      <c r="H2476" t="str" cm="1">
        <f t="array" ref="H2476">IFERROR(VLOOKUP(INPUT!M2471&amp;INPUT!N2471,CHOOSE({1,2},INPUT!$A$3:$A$5000&amp;INPUT!$C$3:$C$5000,INPUT!$D$3:$D$5000),2,FALSE),"")</f>
        <v>GYM+TEC-TAC</v>
      </c>
      <c r="I2476" s="46">
        <f>IF(INPUT!P2471="","",INPUT!P2471)</f>
        <v>81.5</v>
      </c>
      <c r="J2476" s="46">
        <f>IF(INPUT!Q2471="","",INPUT!Q2471)</f>
        <v>81.5</v>
      </c>
      <c r="K2476" s="46">
        <f>IFERROR(IF(OR(INPUT!P2471="",INPUT!Q2471=""),"",INPUT!P2471-INPUT!Q2471),"")</f>
        <v>0</v>
      </c>
      <c r="L2476" s="48">
        <f>IFERROR(IF(OR(INPUT!P2471="",INPUT!Q2471="",INPUT!P2471=0),"",(INPUT!P2471-INPUT!Q2471)/INPUT!P2471),"")</f>
        <v>0</v>
      </c>
    </row>
    <row r="2477" spans="1:12" ht="18" hidden="1" customHeight="1" x14ac:dyDescent="0.2">
      <c r="A2477" s="11">
        <f>IF(INPUT!M2472="","",INPUT!M2472)</f>
        <v>46127</v>
      </c>
      <c r="B2477" s="11">
        <f>IF(INPUT!M2472="","",INPUT!M2472-WEEKDAY(INPUT!M2472,2)+1)</f>
        <v>46125</v>
      </c>
      <c r="C2477" s="20">
        <f>IFERROR(_xlfn.ISOWEEKNUM(INPUT!M2472),"")</f>
        <v>16</v>
      </c>
      <c r="D2477" s="20">
        <f>IFERROR(YEAR(INPUT!M2472),"")</f>
        <v>2026</v>
      </c>
      <c r="E2477" t="str">
        <f>IF(INPUT!O2472="","",INPUT!O2472)</f>
        <v>JAVI</v>
      </c>
      <c r="F2477" t="str">
        <f>IF(INPUT!N2472="","",INPUT!N2472)</f>
        <v>M</v>
      </c>
      <c r="G2477" t="str" cm="1">
        <f t="array" ref="G2477">IFERROR(VLOOKUP(INPUT!M2472&amp;INPUT!N2472,CHOOSE({1,2},INPUT!$A$3:$A$5000&amp;INPUT!$C$3:$C$5000,INPUT!$F$3:$F$5000),2,FALSE),"")</f>
        <v>PRE-TEMPORADA</v>
      </c>
      <c r="H2477" t="str" cm="1">
        <f t="array" ref="H2477">IFERROR(VLOOKUP(INPUT!M2472&amp;INPUT!N2472,CHOOSE({1,2},INPUT!$A$3:$A$5000&amp;INPUT!$C$3:$C$5000,INPUT!$D$3:$D$5000),2,FALSE),"")</f>
        <v>GYM+TEC-TAC</v>
      </c>
      <c r="I2477" s="46">
        <f>IF(INPUT!P2472="","",INPUT!P2472)</f>
        <v>79.599999999999994</v>
      </c>
      <c r="J2477" s="46">
        <f>IF(INPUT!Q2472="","",INPUT!Q2472)</f>
        <v>79.3</v>
      </c>
      <c r="K2477" s="46">
        <f>IFERROR(IF(OR(INPUT!P2472="",INPUT!Q2472=""),"",INPUT!P2472-INPUT!Q2472),"")</f>
        <v>0.29999999999999716</v>
      </c>
      <c r="L2477" s="48">
        <f>IFERROR(IF(OR(INPUT!P2472="",INPUT!Q2472="",INPUT!P2472=0),"",(INPUT!P2472-INPUT!Q2472)/INPUT!P2472),"")</f>
        <v>3.7688442211054923E-3</v>
      </c>
    </row>
    <row r="2478" spans="1:12" ht="18" hidden="1" customHeight="1" x14ac:dyDescent="0.2">
      <c r="A2478" s="11">
        <f>IF(INPUT!M2473="","",INPUT!M2473)</f>
        <v>46127</v>
      </c>
      <c r="B2478" s="11">
        <f>IF(INPUT!M2473="","",INPUT!M2473-WEEKDAY(INPUT!M2473,2)+1)</f>
        <v>46125</v>
      </c>
      <c r="C2478" s="20">
        <f>IFERROR(_xlfn.ISOWEEKNUM(INPUT!M2473),"")</f>
        <v>16</v>
      </c>
      <c r="D2478" s="20">
        <f>IFERROR(YEAR(INPUT!M2473),"")</f>
        <v>2026</v>
      </c>
      <c r="E2478" t="str">
        <f>IF(INPUT!O2473="","",INPUT!O2473)</f>
        <v>PANI</v>
      </c>
      <c r="F2478" t="str">
        <f>IF(INPUT!N2473="","",INPUT!N2473)</f>
        <v>M</v>
      </c>
      <c r="G2478" t="str" cm="1">
        <f t="array" ref="G2478">IFERROR(VLOOKUP(INPUT!M2473&amp;INPUT!N2473,CHOOSE({1,2},INPUT!$A$3:$A$5000&amp;INPUT!$C$3:$C$5000,INPUT!$F$3:$F$5000),2,FALSE),"")</f>
        <v>PRE-TEMPORADA</v>
      </c>
      <c r="H2478" t="str" cm="1">
        <f t="array" ref="H2478">IFERROR(VLOOKUP(INPUT!M2473&amp;INPUT!N2473,CHOOSE({1,2},INPUT!$A$3:$A$5000&amp;INPUT!$C$3:$C$5000,INPUT!$D$3:$D$5000),2,FALSE),"")</f>
        <v>GYM+TEC-TAC</v>
      </c>
      <c r="I2478" s="46">
        <f>IF(INPUT!P2473="","",INPUT!P2473)</f>
        <v>67.5</v>
      </c>
      <c r="J2478" s="46">
        <f>IF(INPUT!Q2473="","",INPUT!Q2473)</f>
        <v>66.2</v>
      </c>
      <c r="K2478" s="46">
        <f>IFERROR(IF(OR(INPUT!P2473="",INPUT!Q2473=""),"",INPUT!P2473-INPUT!Q2473),"")</f>
        <v>1.2999999999999972</v>
      </c>
      <c r="L2478" s="48">
        <f>IFERROR(IF(OR(INPUT!P2473="",INPUT!Q2473="",INPUT!P2473=0),"",(INPUT!P2473-INPUT!Q2473)/INPUT!P2473),"")</f>
        <v>1.9259259259259216E-2</v>
      </c>
    </row>
    <row r="2479" spans="1:12" ht="18" hidden="1" customHeight="1" x14ac:dyDescent="0.2">
      <c r="A2479" s="11">
        <f>IF(INPUT!M2474="","",INPUT!M2474)</f>
        <v>46127</v>
      </c>
      <c r="B2479" s="11">
        <f>IF(INPUT!M2474="","",INPUT!M2474-WEEKDAY(INPUT!M2474,2)+1)</f>
        <v>46125</v>
      </c>
      <c r="C2479" s="20">
        <f>IFERROR(_xlfn.ISOWEEKNUM(INPUT!M2474),"")</f>
        <v>16</v>
      </c>
      <c r="D2479" s="20">
        <f>IFERROR(YEAR(INPUT!M2474),"")</f>
        <v>2026</v>
      </c>
      <c r="E2479" t="str">
        <f>IF(INPUT!O2474="","",INPUT!O2474)</f>
        <v>PIRATA</v>
      </c>
      <c r="F2479" t="str">
        <f>IF(INPUT!N2474="","",INPUT!N2474)</f>
        <v>M</v>
      </c>
      <c r="G2479" t="str" cm="1">
        <f t="array" ref="G2479">IFERROR(VLOOKUP(INPUT!M2474&amp;INPUT!N2474,CHOOSE({1,2},INPUT!$A$3:$A$5000&amp;INPUT!$C$3:$C$5000,INPUT!$F$3:$F$5000),2,FALSE),"")</f>
        <v>PRE-TEMPORADA</v>
      </c>
      <c r="H2479" t="str" cm="1">
        <f t="array" ref="H2479">IFERROR(VLOOKUP(INPUT!M2474&amp;INPUT!N2474,CHOOSE({1,2},INPUT!$A$3:$A$5000&amp;INPUT!$C$3:$C$5000,INPUT!$D$3:$D$5000),2,FALSE),"")</f>
        <v>GYM+TEC-TAC</v>
      </c>
      <c r="I2479" s="46">
        <f>IF(INPUT!P2474="","",INPUT!P2474)</f>
        <v>75.099999999999994</v>
      </c>
      <c r="J2479" s="46">
        <f>IF(INPUT!Q2474="","",INPUT!Q2474)</f>
        <v>75.2</v>
      </c>
      <c r="K2479" s="46">
        <f>IFERROR(IF(OR(INPUT!P2474="",INPUT!Q2474=""),"",INPUT!P2474-INPUT!Q2474),"")</f>
        <v>-0.10000000000000853</v>
      </c>
      <c r="L2479" s="48">
        <f>IFERROR(IF(OR(INPUT!P2474="",INPUT!Q2474="",INPUT!P2474=0),"",(INPUT!P2474-INPUT!Q2474)/INPUT!P2474),"")</f>
        <v>-1.3315579227697542E-3</v>
      </c>
    </row>
    <row r="2480" spans="1:12" ht="18" hidden="1" customHeight="1" x14ac:dyDescent="0.2">
      <c r="A2480" s="11">
        <f>IF(INPUT!M2475="","",INPUT!M2475)</f>
        <v>46127</v>
      </c>
      <c r="B2480" s="11">
        <f>IF(INPUT!M2475="","",INPUT!M2475-WEEKDAY(INPUT!M2475,2)+1)</f>
        <v>46125</v>
      </c>
      <c r="C2480" s="20">
        <f>IFERROR(_xlfn.ISOWEEKNUM(INPUT!M2475),"")</f>
        <v>16</v>
      </c>
      <c r="D2480" s="20">
        <f>IFERROR(YEAR(INPUT!M2475),"")</f>
        <v>2026</v>
      </c>
      <c r="E2480" t="str">
        <f>IF(INPUT!O2475="","",INPUT!O2475)</f>
        <v>BARONA</v>
      </c>
      <c r="F2480" t="str">
        <f>IF(INPUT!N2475="","",INPUT!N2475)</f>
        <v>M</v>
      </c>
      <c r="G2480" t="str" cm="1">
        <f t="array" ref="G2480">IFERROR(VLOOKUP(INPUT!M2475&amp;INPUT!N2475,CHOOSE({1,2},INPUT!$A$3:$A$5000&amp;INPUT!$C$3:$C$5000,INPUT!$F$3:$F$5000),2,FALSE),"")</f>
        <v>PRE-TEMPORADA</v>
      </c>
      <c r="H2480" t="str" cm="1">
        <f t="array" ref="H2480">IFERROR(VLOOKUP(INPUT!M2475&amp;INPUT!N2475,CHOOSE({1,2},INPUT!$A$3:$A$5000&amp;INPUT!$C$3:$C$5000,INPUT!$D$3:$D$5000),2,FALSE),"")</f>
        <v>GYM+TEC-TAC</v>
      </c>
      <c r="I2480" s="46">
        <f>IF(INPUT!P2475="","",INPUT!P2475)</f>
        <v>71</v>
      </c>
      <c r="J2480" s="46">
        <f>IF(INPUT!Q2475="","",INPUT!Q2475)</f>
        <v>71</v>
      </c>
      <c r="K2480" s="46">
        <f>IFERROR(IF(OR(INPUT!P2475="",INPUT!Q2475=""),"",INPUT!P2475-INPUT!Q2475),"")</f>
        <v>0</v>
      </c>
      <c r="L2480" s="48">
        <f>IFERROR(IF(OR(INPUT!P2475="",INPUT!Q2475="",INPUT!P2475=0),"",(INPUT!P2475-INPUT!Q2475)/INPUT!P2475),"")</f>
        <v>0</v>
      </c>
    </row>
    <row r="2481" spans="1:12" ht="18" hidden="1" customHeight="1" x14ac:dyDescent="0.2">
      <c r="A2481" s="11">
        <f>IF(INPUT!M2476="","",INPUT!M2476)</f>
        <v>46127</v>
      </c>
      <c r="B2481" s="11">
        <f>IF(INPUT!M2476="","",INPUT!M2476-WEEKDAY(INPUT!M2476,2)+1)</f>
        <v>46125</v>
      </c>
      <c r="C2481" s="20">
        <f>IFERROR(_xlfn.ISOWEEKNUM(INPUT!M2476),"")</f>
        <v>16</v>
      </c>
      <c r="D2481" s="20">
        <f>IFERROR(YEAR(INPUT!M2476),"")</f>
        <v>2026</v>
      </c>
      <c r="E2481" t="str">
        <f>IF(INPUT!O2476="","",INPUT!O2476)</f>
        <v>CARLOS</v>
      </c>
      <c r="F2481" t="str">
        <f>IF(INPUT!N2476="","",INPUT!N2476)</f>
        <v>M</v>
      </c>
      <c r="G2481" t="str" cm="1">
        <f t="array" ref="G2481">IFERROR(VLOOKUP(INPUT!M2476&amp;INPUT!N2476,CHOOSE({1,2},INPUT!$A$3:$A$5000&amp;INPUT!$C$3:$C$5000,INPUT!$F$3:$F$5000),2,FALSE),"")</f>
        <v>PRE-TEMPORADA</v>
      </c>
      <c r="H2481" t="str" cm="1">
        <f t="array" ref="H2481">IFERROR(VLOOKUP(INPUT!M2476&amp;INPUT!N2476,CHOOSE({1,2},INPUT!$A$3:$A$5000&amp;INPUT!$C$3:$C$5000,INPUT!$D$3:$D$5000),2,FALSE),"")</f>
        <v>GYM+TEC-TAC</v>
      </c>
      <c r="I2481" s="46">
        <f>IF(INPUT!P2476="","",INPUT!P2476)</f>
        <v>67.8</v>
      </c>
      <c r="J2481" s="46">
        <f>IF(INPUT!Q2476="","",INPUT!Q2476)</f>
        <v>67.599999999999994</v>
      </c>
      <c r="K2481" s="46">
        <f>IFERROR(IF(OR(INPUT!P2476="",INPUT!Q2476=""),"",INPUT!P2476-INPUT!Q2476),"")</f>
        <v>0.20000000000000284</v>
      </c>
      <c r="L2481" s="48">
        <f>IFERROR(IF(OR(INPUT!P2476="",INPUT!Q2476="",INPUT!P2476=0),"",(INPUT!P2476-INPUT!Q2476)/INPUT!P2476),"")</f>
        <v>2.9498525073746733E-3</v>
      </c>
    </row>
    <row r="2482" spans="1:12" ht="18" hidden="1" customHeight="1" x14ac:dyDescent="0.2">
      <c r="A2482" s="11">
        <f>IF(INPUT!M2477="","",INPUT!M2477)</f>
        <v>46128</v>
      </c>
      <c r="B2482" s="11">
        <f>IF(INPUT!M2477="","",INPUT!M2477-WEEKDAY(INPUT!M2477,2)+1)</f>
        <v>46125</v>
      </c>
      <c r="C2482" s="20">
        <f>IFERROR(_xlfn.ISOWEEKNUM(INPUT!M2477),"")</f>
        <v>16</v>
      </c>
      <c r="D2482" s="20">
        <f>IFERROR(YEAR(INPUT!M2477),"")</f>
        <v>2026</v>
      </c>
      <c r="E2482" t="str">
        <f>IF(INPUT!O2477="","",INPUT!O2477)</f>
        <v>HERRERO</v>
      </c>
      <c r="F2482" t="str">
        <f>IF(INPUT!N2477="","",INPUT!N2477)</f>
        <v>M</v>
      </c>
      <c r="G2482" t="str" cm="1">
        <f t="array" ref="G2482">IFERROR(VLOOKUP(INPUT!M2477&amp;INPUT!N2477,CHOOSE({1,2},INPUT!$A$3:$A$5000&amp;INPUT!$C$3:$C$5000,INPUT!$F$3:$F$5000),2,FALSE),"")</f>
        <v>PRE-TEMPORADA</v>
      </c>
      <c r="H2482" t="str" cm="1">
        <f t="array" ref="H2482">IFERROR(VLOOKUP(INPUT!M2477&amp;INPUT!N2477,CHOOSE({1,2},INPUT!$A$3:$A$5000&amp;INPUT!$C$3:$C$5000,INPUT!$D$3:$D$5000),2,FALSE),"")</f>
        <v>TEC-TAC</v>
      </c>
      <c r="I2482" s="46">
        <f>IF(INPUT!P2477="","",INPUT!P2477)</f>
        <v>77</v>
      </c>
      <c r="J2482" s="46">
        <f>IF(INPUT!Q2477="","",INPUT!Q2477)</f>
        <v>76.8</v>
      </c>
      <c r="K2482" s="46">
        <f>IFERROR(IF(OR(INPUT!P2477="",INPUT!Q2477=""),"",INPUT!P2477-INPUT!Q2477),"")</f>
        <v>0.20000000000000284</v>
      </c>
      <c r="L2482" s="48">
        <f>IFERROR(IF(OR(INPUT!P2477="",INPUT!Q2477="",INPUT!P2477=0),"",(INPUT!P2477-INPUT!Q2477)/INPUT!P2477),"")</f>
        <v>2.5974025974026343E-3</v>
      </c>
    </row>
    <row r="2483" spans="1:12" ht="18" hidden="1" customHeight="1" x14ac:dyDescent="0.2">
      <c r="A2483" s="11">
        <f>IF(INPUT!M2478="","",INPUT!M2478)</f>
        <v>46128</v>
      </c>
      <c r="B2483" s="11">
        <f>IF(INPUT!M2478="","",INPUT!M2478-WEEKDAY(INPUT!M2478,2)+1)</f>
        <v>46125</v>
      </c>
      <c r="C2483" s="20">
        <f>IFERROR(_xlfn.ISOWEEKNUM(INPUT!M2478),"")</f>
        <v>16</v>
      </c>
      <c r="D2483" s="20">
        <f>IFERROR(YEAR(INPUT!M2478),"")</f>
        <v>2026</v>
      </c>
      <c r="E2483" t="str">
        <f>IF(INPUT!O2478="","",INPUT!O2478)</f>
        <v>GARCIA</v>
      </c>
      <c r="F2483" t="str">
        <f>IF(INPUT!N2478="","",INPUT!N2478)</f>
        <v>M</v>
      </c>
      <c r="G2483" t="str" cm="1">
        <f t="array" ref="G2483">IFERROR(VLOOKUP(INPUT!M2478&amp;INPUT!N2478,CHOOSE({1,2},INPUT!$A$3:$A$5000&amp;INPUT!$C$3:$C$5000,INPUT!$F$3:$F$5000),2,FALSE),"")</f>
        <v>PRE-TEMPORADA</v>
      </c>
      <c r="H2483" t="str" cm="1">
        <f t="array" ref="H2483">IFERROR(VLOOKUP(INPUT!M2478&amp;INPUT!N2478,CHOOSE({1,2},INPUT!$A$3:$A$5000&amp;INPUT!$C$3:$C$5000,INPUT!$D$3:$D$5000),2,FALSE),"")</f>
        <v>TEC-TAC</v>
      </c>
      <c r="I2483" s="46">
        <f>IF(INPUT!P2478="","",INPUT!P2478)</f>
        <v>78.8</v>
      </c>
      <c r="J2483" s="46">
        <f>IF(INPUT!Q2478="","",INPUT!Q2478)</f>
        <v>78.900000000000006</v>
      </c>
      <c r="K2483" s="46">
        <f>IFERROR(IF(OR(INPUT!P2478="",INPUT!Q2478=""),"",INPUT!P2478-INPUT!Q2478),"")</f>
        <v>-0.10000000000000853</v>
      </c>
      <c r="L2483" s="48">
        <f>IFERROR(IF(OR(INPUT!P2478="",INPUT!Q2478="",INPUT!P2478=0),"",(INPUT!P2478-INPUT!Q2478)/INPUT!P2478),"")</f>
        <v>-1.2690355329950322E-3</v>
      </c>
    </row>
    <row r="2484" spans="1:12" ht="18" hidden="1" customHeight="1" x14ac:dyDescent="0.2">
      <c r="A2484" s="11">
        <f>IF(INPUT!M2479="","",INPUT!M2479)</f>
        <v>46128</v>
      </c>
      <c r="B2484" s="11">
        <f>IF(INPUT!M2479="","",INPUT!M2479-WEEKDAY(INPUT!M2479,2)+1)</f>
        <v>46125</v>
      </c>
      <c r="C2484" s="20">
        <f>IFERROR(_xlfn.ISOWEEKNUM(INPUT!M2479),"")</f>
        <v>16</v>
      </c>
      <c r="D2484" s="20">
        <f>IFERROR(YEAR(INPUT!M2479),"")</f>
        <v>2026</v>
      </c>
      <c r="E2484" t="str">
        <f>IF(INPUT!O2479="","",INPUT!O2479)</f>
        <v>CECILIO</v>
      </c>
      <c r="F2484" t="str">
        <f>IF(INPUT!N2479="","",INPUT!N2479)</f>
        <v>M</v>
      </c>
      <c r="G2484" t="str" cm="1">
        <f t="array" ref="G2484">IFERROR(VLOOKUP(INPUT!M2479&amp;INPUT!N2479,CHOOSE({1,2},INPUT!$A$3:$A$5000&amp;INPUT!$C$3:$C$5000,INPUT!$F$3:$F$5000),2,FALSE),"")</f>
        <v>PRE-TEMPORADA</v>
      </c>
      <c r="H2484" t="str" cm="1">
        <f t="array" ref="H2484">IFERROR(VLOOKUP(INPUT!M2479&amp;INPUT!N2479,CHOOSE({1,2},INPUT!$A$3:$A$5000&amp;INPUT!$C$3:$C$5000,INPUT!$D$3:$D$5000),2,FALSE),"")</f>
        <v>TEC-TAC</v>
      </c>
      <c r="I2484" s="46">
        <f>IF(INPUT!P2479="","",INPUT!P2479)</f>
        <v>67.2</v>
      </c>
      <c r="J2484" s="46">
        <f>IF(INPUT!Q2479="","",INPUT!Q2479)</f>
        <v>67.599999999999994</v>
      </c>
      <c r="K2484" s="46">
        <f>IFERROR(IF(OR(INPUT!P2479="",INPUT!Q2479=""),"",INPUT!P2479-INPUT!Q2479),"")</f>
        <v>-0.39999999999999147</v>
      </c>
      <c r="L2484" s="48">
        <f>IFERROR(IF(OR(INPUT!P2479="",INPUT!Q2479="",INPUT!P2479=0),"",(INPUT!P2479-INPUT!Q2479)/INPUT!P2479),"")</f>
        <v>-5.9523809523808254E-3</v>
      </c>
    </row>
    <row r="2485" spans="1:12" ht="18" hidden="1" customHeight="1" x14ac:dyDescent="0.2">
      <c r="A2485" s="11">
        <f>IF(INPUT!M2480="","",INPUT!M2480)</f>
        <v>46128</v>
      </c>
      <c r="B2485" s="11">
        <f>IF(INPUT!M2480="","",INPUT!M2480-WEEKDAY(INPUT!M2480,2)+1)</f>
        <v>46125</v>
      </c>
      <c r="C2485" s="20">
        <f>IFERROR(_xlfn.ISOWEEKNUM(INPUT!M2480),"")</f>
        <v>16</v>
      </c>
      <c r="D2485" s="20">
        <f>IFERROR(YEAR(INPUT!M2480),"")</f>
        <v>2026</v>
      </c>
      <c r="E2485" t="str">
        <f>IF(INPUT!O2480="","",INPUT!O2480)</f>
        <v>CHAGUINHA</v>
      </c>
      <c r="F2485" t="str">
        <f>IF(INPUT!N2480="","",INPUT!N2480)</f>
        <v>M</v>
      </c>
      <c r="G2485" t="str" cm="1">
        <f t="array" ref="G2485">IFERROR(VLOOKUP(INPUT!M2480&amp;INPUT!N2480,CHOOSE({1,2},INPUT!$A$3:$A$5000&amp;INPUT!$C$3:$C$5000,INPUT!$F$3:$F$5000),2,FALSE),"")</f>
        <v>PRE-TEMPORADA</v>
      </c>
      <c r="H2485" t="str" cm="1">
        <f t="array" ref="H2485">IFERROR(VLOOKUP(INPUT!M2480&amp;INPUT!N2480,CHOOSE({1,2},INPUT!$A$3:$A$5000&amp;INPUT!$C$3:$C$5000,INPUT!$D$3:$D$5000),2,FALSE),"")</f>
        <v>TEC-TAC</v>
      </c>
      <c r="I2485" s="46">
        <f>IF(INPUT!P2480="","",INPUT!P2480)</f>
        <v>69</v>
      </c>
      <c r="J2485" s="46">
        <f>IF(INPUT!Q2480="","",INPUT!Q2480)</f>
        <v>68.7</v>
      </c>
      <c r="K2485" s="46">
        <f>IFERROR(IF(OR(INPUT!P2480="",INPUT!Q2480=""),"",INPUT!P2480-INPUT!Q2480),"")</f>
        <v>0.29999999999999716</v>
      </c>
      <c r="L2485" s="48">
        <f>IFERROR(IF(OR(INPUT!P2480="",INPUT!Q2480="",INPUT!P2480=0),"",(INPUT!P2480-INPUT!Q2480)/INPUT!P2480),"")</f>
        <v>4.3478260869564802E-3</v>
      </c>
    </row>
    <row r="2486" spans="1:12" ht="18" hidden="1" customHeight="1" x14ac:dyDescent="0.2">
      <c r="A2486" s="11">
        <f>IF(INPUT!M2481="","",INPUT!M2481)</f>
        <v>46128</v>
      </c>
      <c r="B2486" s="11">
        <f>IF(INPUT!M2481="","",INPUT!M2481-WEEKDAY(INPUT!M2481,2)+1)</f>
        <v>46125</v>
      </c>
      <c r="C2486" s="20">
        <f>IFERROR(_xlfn.ISOWEEKNUM(INPUT!M2481),"")</f>
        <v>16</v>
      </c>
      <c r="D2486" s="20">
        <f>IFERROR(YEAR(INPUT!M2481),"")</f>
        <v>2026</v>
      </c>
      <c r="E2486" t="str">
        <f>IF(INPUT!O2481="","",INPUT!O2481)</f>
        <v>RAUL</v>
      </c>
      <c r="F2486" t="str">
        <f>IF(INPUT!N2481="","",INPUT!N2481)</f>
        <v>M</v>
      </c>
      <c r="G2486" t="str" cm="1">
        <f t="array" ref="G2486">IFERROR(VLOOKUP(INPUT!M2481&amp;INPUT!N2481,CHOOSE({1,2},INPUT!$A$3:$A$5000&amp;INPUT!$C$3:$C$5000,INPUT!$F$3:$F$5000),2,FALSE),"")</f>
        <v>PRE-TEMPORADA</v>
      </c>
      <c r="H2486" t="str" cm="1">
        <f t="array" ref="H2486">IFERROR(VLOOKUP(INPUT!M2481&amp;INPUT!N2481,CHOOSE({1,2},INPUT!$A$3:$A$5000&amp;INPUT!$C$3:$C$5000,INPUT!$D$3:$D$5000),2,FALSE),"")</f>
        <v>TEC-TAC</v>
      </c>
      <c r="I2486" s="46">
        <f>IF(INPUT!P2481="","",INPUT!P2481)</f>
        <v>82</v>
      </c>
      <c r="J2486" s="46">
        <f>IF(INPUT!Q2481="","",INPUT!Q2481)</f>
        <v>81.5</v>
      </c>
      <c r="K2486" s="46">
        <f>IFERROR(IF(OR(INPUT!P2481="",INPUT!Q2481=""),"",INPUT!P2481-INPUT!Q2481),"")</f>
        <v>0.5</v>
      </c>
      <c r="L2486" s="48">
        <f>IFERROR(IF(OR(INPUT!P2481="",INPUT!Q2481="",INPUT!P2481=0),"",(INPUT!P2481-INPUT!Q2481)/INPUT!P2481),"")</f>
        <v>6.0975609756097563E-3</v>
      </c>
    </row>
    <row r="2487" spans="1:12" ht="18" hidden="1" customHeight="1" x14ac:dyDescent="0.2">
      <c r="A2487" s="11">
        <f>IF(INPUT!M2482="","",INPUT!M2482)</f>
        <v>46128</v>
      </c>
      <c r="B2487" s="11">
        <f>IF(INPUT!M2482="","",INPUT!M2482-WEEKDAY(INPUT!M2482,2)+1)</f>
        <v>46125</v>
      </c>
      <c r="C2487" s="20">
        <f>IFERROR(_xlfn.ISOWEEKNUM(INPUT!M2482),"")</f>
        <v>16</v>
      </c>
      <c r="D2487" s="20">
        <f>IFERROR(YEAR(INPUT!M2482),"")</f>
        <v>2026</v>
      </c>
      <c r="E2487" t="str">
        <f>IF(INPUT!O2482="","",INPUT!O2482)</f>
        <v>HARRISON</v>
      </c>
      <c r="F2487" t="str">
        <f>IF(INPUT!N2482="","",INPUT!N2482)</f>
        <v>M</v>
      </c>
      <c r="G2487" t="str" cm="1">
        <f t="array" ref="G2487">IFERROR(VLOOKUP(INPUT!M2482&amp;INPUT!N2482,CHOOSE({1,2},INPUT!$A$3:$A$5000&amp;INPUT!$C$3:$C$5000,INPUT!$F$3:$F$5000),2,FALSE),"")</f>
        <v>PRE-TEMPORADA</v>
      </c>
      <c r="H2487" t="str" cm="1">
        <f t="array" ref="H2487">IFERROR(VLOOKUP(INPUT!M2482&amp;INPUT!N2482,CHOOSE({1,2},INPUT!$A$3:$A$5000&amp;INPUT!$C$3:$C$5000,INPUT!$D$3:$D$5000),2,FALSE),"")</f>
        <v>TEC-TAC</v>
      </c>
      <c r="I2487" s="46">
        <f>IF(INPUT!P2482="","",INPUT!P2482)</f>
        <v>71.7</v>
      </c>
      <c r="J2487" s="46">
        <f>IF(INPUT!Q2482="","",INPUT!Q2482)</f>
        <v>71.5</v>
      </c>
      <c r="K2487" s="46">
        <f>IFERROR(IF(OR(INPUT!P2482="",INPUT!Q2482=""),"",INPUT!P2482-INPUT!Q2482),"")</f>
        <v>0.20000000000000284</v>
      </c>
      <c r="L2487" s="48">
        <f>IFERROR(IF(OR(INPUT!P2482="",INPUT!Q2482="",INPUT!P2482=0),"",(INPUT!P2482-INPUT!Q2482)/INPUT!P2482),"")</f>
        <v>2.7894002789400673E-3</v>
      </c>
    </row>
    <row r="2488" spans="1:12" ht="18" hidden="1" customHeight="1" x14ac:dyDescent="0.2">
      <c r="A2488" s="11">
        <f>IF(INPUT!M2483="","",INPUT!M2483)</f>
        <v>46128</v>
      </c>
      <c r="B2488" s="11">
        <f>IF(INPUT!M2483="","",INPUT!M2483-WEEKDAY(INPUT!M2483,2)+1)</f>
        <v>46125</v>
      </c>
      <c r="C2488" s="20">
        <f>IFERROR(_xlfn.ISOWEEKNUM(INPUT!M2483),"")</f>
        <v>16</v>
      </c>
      <c r="D2488" s="20">
        <f>IFERROR(YEAR(INPUT!M2483),"")</f>
        <v>2026</v>
      </c>
      <c r="E2488" t="str">
        <f>IF(INPUT!O2483="","",INPUT!O2483)</f>
        <v>RAYA</v>
      </c>
      <c r="F2488" t="str">
        <f>IF(INPUT!N2483="","",INPUT!N2483)</f>
        <v>M</v>
      </c>
      <c r="G2488" t="str" cm="1">
        <f t="array" ref="G2488">IFERROR(VLOOKUP(INPUT!M2483&amp;INPUT!N2483,CHOOSE({1,2},INPUT!$A$3:$A$5000&amp;INPUT!$C$3:$C$5000,INPUT!$F$3:$F$5000),2,FALSE),"")</f>
        <v>PRE-TEMPORADA</v>
      </c>
      <c r="H2488" t="str" cm="1">
        <f t="array" ref="H2488">IFERROR(VLOOKUP(INPUT!M2483&amp;INPUT!N2483,CHOOSE({1,2},INPUT!$A$3:$A$5000&amp;INPUT!$C$3:$C$5000,INPUT!$D$3:$D$5000),2,FALSE),"")</f>
        <v>TEC-TAC</v>
      </c>
      <c r="I2488" s="46">
        <f>IF(INPUT!P2483="","",INPUT!P2483)</f>
        <v>81.8</v>
      </c>
      <c r="J2488" s="46">
        <f>IF(INPUT!Q2483="","",INPUT!Q2483)</f>
        <v>81.3</v>
      </c>
      <c r="K2488" s="46">
        <f>IFERROR(IF(OR(INPUT!P2483="",INPUT!Q2483=""),"",INPUT!P2483-INPUT!Q2483),"")</f>
        <v>0.5</v>
      </c>
      <c r="L2488" s="48">
        <f>IFERROR(IF(OR(INPUT!P2483="",INPUT!Q2483="",INPUT!P2483=0),"",(INPUT!P2483-INPUT!Q2483)/INPUT!P2483),"")</f>
        <v>6.1124694376528121E-3</v>
      </c>
    </row>
    <row r="2489" spans="1:12" ht="18" customHeight="1" x14ac:dyDescent="0.2">
      <c r="A2489" s="11">
        <f>IF(INPUT!M2484="","",INPUT!M2484)</f>
        <v>46128</v>
      </c>
      <c r="B2489" s="11">
        <f>IF(INPUT!M2484="","",INPUT!M2484-WEEKDAY(INPUT!M2484,2)+1)</f>
        <v>46125</v>
      </c>
      <c r="C2489" s="20">
        <f>IFERROR(_xlfn.ISOWEEKNUM(INPUT!M2484),"")</f>
        <v>16</v>
      </c>
      <c r="D2489" s="20">
        <f>IFERROR(YEAR(INPUT!M2484),"")</f>
        <v>2026</v>
      </c>
      <c r="E2489" t="str">
        <f>IF(INPUT!O2484="","",INPUT!O2484)</f>
        <v>JAVI</v>
      </c>
      <c r="F2489" t="str">
        <f>IF(INPUT!N2484="","",INPUT!N2484)</f>
        <v>M</v>
      </c>
      <c r="G2489" t="str" cm="1">
        <f t="array" ref="G2489">IFERROR(VLOOKUP(INPUT!M2484&amp;INPUT!N2484,CHOOSE({1,2},INPUT!$A$3:$A$5000&amp;INPUT!$C$3:$C$5000,INPUT!$F$3:$F$5000),2,FALSE),"")</f>
        <v>PRE-TEMPORADA</v>
      </c>
      <c r="H2489" t="str" cm="1">
        <f t="array" ref="H2489">IFERROR(VLOOKUP(INPUT!M2484&amp;INPUT!N2484,CHOOSE({1,2},INPUT!$A$3:$A$5000&amp;INPUT!$C$3:$C$5000,INPUT!$D$3:$D$5000),2,FALSE),"")</f>
        <v>TEC-TAC</v>
      </c>
      <c r="I2489" s="46">
        <f>IF(INPUT!P2484="","",INPUT!P2484)</f>
        <v>79.599999999999994</v>
      </c>
      <c r="J2489" s="46">
        <f>IF(INPUT!Q2484="","",INPUT!Q2484)</f>
        <v>79.400000000000006</v>
      </c>
      <c r="K2489" s="46">
        <f>IFERROR(IF(OR(INPUT!P2484="",INPUT!Q2484=""),"",INPUT!P2484-INPUT!Q2484),"")</f>
        <v>0.19999999999998863</v>
      </c>
      <c r="L2489" s="48">
        <f>IFERROR(IF(OR(INPUT!P2484="",INPUT!Q2484="",INPUT!P2484=0),"",(INPUT!P2484-INPUT!Q2484)/INPUT!P2484),"")</f>
        <v>2.5125628140702091E-3</v>
      </c>
    </row>
    <row r="2490" spans="1:12" ht="18" customHeight="1" x14ac:dyDescent="0.2">
      <c r="A2490" s="11">
        <f>IF(INPUT!M2485="","",INPUT!M2485)</f>
        <v>46128</v>
      </c>
      <c r="B2490" s="11">
        <f>IF(INPUT!M2485="","",INPUT!M2485-WEEKDAY(INPUT!M2485,2)+1)</f>
        <v>46125</v>
      </c>
      <c r="C2490" s="20">
        <f>IFERROR(_xlfn.ISOWEEKNUM(INPUT!M2485),"")</f>
        <v>16</v>
      </c>
      <c r="D2490" s="20">
        <f>IFERROR(YEAR(INPUT!M2485),"")</f>
        <v>2026</v>
      </c>
      <c r="E2490" t="str">
        <f>IF(INPUT!O2485="","",INPUT!O2485)</f>
        <v>PANI</v>
      </c>
      <c r="F2490" t="str">
        <f>IF(INPUT!N2485="","",INPUT!N2485)</f>
        <v>M</v>
      </c>
      <c r="G2490" t="str" cm="1">
        <f t="array" ref="G2490">IFERROR(VLOOKUP(INPUT!M2485&amp;INPUT!N2485,CHOOSE({1,2},INPUT!$A$3:$A$5000&amp;INPUT!$C$3:$C$5000,INPUT!$F$3:$F$5000),2,FALSE),"")</f>
        <v>PRE-TEMPORADA</v>
      </c>
      <c r="H2490" t="str" cm="1">
        <f t="array" ref="H2490">IFERROR(VLOOKUP(INPUT!M2485&amp;INPUT!N2485,CHOOSE({1,2},INPUT!$A$3:$A$5000&amp;INPUT!$C$3:$C$5000,INPUT!$D$3:$D$5000),2,FALSE),"")</f>
        <v>TEC-TAC</v>
      </c>
      <c r="I2490" s="46">
        <f>IF(INPUT!P2485="","",INPUT!P2485)</f>
        <v>67</v>
      </c>
      <c r="J2490" s="46">
        <f>IF(INPUT!Q2485="","",INPUT!Q2485)</f>
        <v>65.8</v>
      </c>
      <c r="K2490" s="46">
        <f>IFERROR(IF(OR(INPUT!P2485="",INPUT!Q2485=""),"",INPUT!P2485-INPUT!Q2485),"")</f>
        <v>1.2000000000000028</v>
      </c>
      <c r="L2490" s="48">
        <f>IFERROR(IF(OR(INPUT!P2485="",INPUT!Q2485="",INPUT!P2485=0),"",(INPUT!P2485-INPUT!Q2485)/INPUT!P2485),"")</f>
        <v>1.7910447761194073E-2</v>
      </c>
    </row>
    <row r="2491" spans="1:12" ht="18" customHeight="1" x14ac:dyDescent="0.2">
      <c r="A2491" s="11">
        <f>IF(INPUT!M2486="","",INPUT!M2486)</f>
        <v>46128</v>
      </c>
      <c r="B2491" s="11">
        <f>IF(INPUT!M2486="","",INPUT!M2486-WEEKDAY(INPUT!M2486,2)+1)</f>
        <v>46125</v>
      </c>
      <c r="C2491" s="20">
        <f>IFERROR(_xlfn.ISOWEEKNUM(INPUT!M2486),"")</f>
        <v>16</v>
      </c>
      <c r="D2491" s="20">
        <f>IFERROR(YEAR(INPUT!M2486),"")</f>
        <v>2026</v>
      </c>
      <c r="E2491" t="str">
        <f>IF(INPUT!O2486="","",INPUT!O2486)</f>
        <v>PIRATA</v>
      </c>
      <c r="F2491" t="str">
        <f>IF(INPUT!N2486="","",INPUT!N2486)</f>
        <v>M</v>
      </c>
      <c r="G2491" t="str" cm="1">
        <f t="array" ref="G2491">IFERROR(VLOOKUP(INPUT!M2486&amp;INPUT!N2486,CHOOSE({1,2},INPUT!$A$3:$A$5000&amp;INPUT!$C$3:$C$5000,INPUT!$F$3:$F$5000),2,FALSE),"")</f>
        <v>PRE-TEMPORADA</v>
      </c>
      <c r="H2491" t="str" cm="1">
        <f t="array" ref="H2491">IFERROR(VLOOKUP(INPUT!M2486&amp;INPUT!N2486,CHOOSE({1,2},INPUT!$A$3:$A$5000&amp;INPUT!$C$3:$C$5000,INPUT!$D$3:$D$5000),2,FALSE),"")</f>
        <v>TEC-TAC</v>
      </c>
      <c r="I2491" s="46">
        <f>IF(INPUT!P2486="","",INPUT!P2486)</f>
        <v>75.400000000000006</v>
      </c>
      <c r="J2491" s="46">
        <f>IF(INPUT!Q2486="","",INPUT!Q2486)</f>
        <v>75</v>
      </c>
      <c r="K2491" s="46">
        <f>IFERROR(IF(OR(INPUT!P2486="",INPUT!Q2486=""),"",INPUT!P2486-INPUT!Q2486),"")</f>
        <v>0.40000000000000568</v>
      </c>
      <c r="L2491" s="48">
        <f>IFERROR(IF(OR(INPUT!P2486="",INPUT!Q2486="",INPUT!P2486=0),"",(INPUT!P2486-INPUT!Q2486)/INPUT!P2486),"")</f>
        <v>5.3050397877984837E-3</v>
      </c>
    </row>
    <row r="2492" spans="1:12" ht="18" customHeight="1" x14ac:dyDescent="0.2">
      <c r="A2492" s="11">
        <f>IF(INPUT!M2487="","",INPUT!M2487)</f>
        <v>46128</v>
      </c>
      <c r="B2492" s="11">
        <f>IF(INPUT!M2487="","",INPUT!M2487-WEEKDAY(INPUT!M2487,2)+1)</f>
        <v>46125</v>
      </c>
      <c r="C2492" s="20">
        <f>IFERROR(_xlfn.ISOWEEKNUM(INPUT!M2487),"")</f>
        <v>16</v>
      </c>
      <c r="D2492" s="20">
        <f>IFERROR(YEAR(INPUT!M2487),"")</f>
        <v>2026</v>
      </c>
      <c r="E2492" t="str">
        <f>IF(INPUT!O2487="","",INPUT!O2487)</f>
        <v>BARONA</v>
      </c>
      <c r="F2492" t="str">
        <f>IF(INPUT!N2487="","",INPUT!N2487)</f>
        <v>M</v>
      </c>
      <c r="G2492" t="str" cm="1">
        <f t="array" ref="G2492">IFERROR(VLOOKUP(INPUT!M2487&amp;INPUT!N2487,CHOOSE({1,2},INPUT!$A$3:$A$5000&amp;INPUT!$C$3:$C$5000,INPUT!$F$3:$F$5000),2,FALSE),"")</f>
        <v>PRE-TEMPORADA</v>
      </c>
      <c r="H2492" t="str" cm="1">
        <f t="array" ref="H2492">IFERROR(VLOOKUP(INPUT!M2487&amp;INPUT!N2487,CHOOSE({1,2},INPUT!$A$3:$A$5000&amp;INPUT!$C$3:$C$5000,INPUT!$D$3:$D$5000),2,FALSE),"")</f>
        <v>TEC-TAC</v>
      </c>
      <c r="I2492" s="46">
        <f>IF(INPUT!P2487="","",INPUT!P2487)</f>
        <v>71.2</v>
      </c>
      <c r="J2492" s="46">
        <f>IF(INPUT!Q2487="","",INPUT!Q2487)</f>
        <v>71</v>
      </c>
      <c r="K2492" s="46">
        <f>IFERROR(IF(OR(INPUT!P2487="",INPUT!Q2487=""),"",INPUT!P2487-INPUT!Q2487),"")</f>
        <v>0.20000000000000284</v>
      </c>
      <c r="L2492" s="48">
        <f>IFERROR(IF(OR(INPUT!P2487="",INPUT!Q2487="",INPUT!P2487=0),"",(INPUT!P2487-INPUT!Q2487)/INPUT!P2487),"")</f>
        <v>2.8089887640449836E-3</v>
      </c>
    </row>
    <row r="2493" spans="1:12" ht="18" customHeight="1" x14ac:dyDescent="0.2">
      <c r="A2493" s="11">
        <f>IF(INPUT!M2488="","",INPUT!M2488)</f>
        <v>46128</v>
      </c>
      <c r="B2493" s="11">
        <f>IF(INPUT!M2488="","",INPUT!M2488-WEEKDAY(INPUT!M2488,2)+1)</f>
        <v>46125</v>
      </c>
      <c r="C2493" s="20">
        <f>IFERROR(_xlfn.ISOWEEKNUM(INPUT!M2488),"")</f>
        <v>16</v>
      </c>
      <c r="D2493" s="20">
        <f>IFERROR(YEAR(INPUT!M2488),"")</f>
        <v>2026</v>
      </c>
      <c r="E2493" t="str">
        <f>IF(INPUT!O2488="","",INPUT!O2488)</f>
        <v>CARLOS</v>
      </c>
      <c r="F2493" t="str">
        <f>IF(INPUT!N2488="","",INPUT!N2488)</f>
        <v>M</v>
      </c>
      <c r="G2493" t="str" cm="1">
        <f t="array" ref="G2493">IFERROR(VLOOKUP(INPUT!M2488&amp;INPUT!N2488,CHOOSE({1,2},INPUT!$A$3:$A$5000&amp;INPUT!$C$3:$C$5000,INPUT!$F$3:$F$5000),2,FALSE),"")</f>
        <v>PRE-TEMPORADA</v>
      </c>
      <c r="H2493" t="str" cm="1">
        <f t="array" ref="H2493">IFERROR(VLOOKUP(INPUT!M2488&amp;INPUT!N2488,CHOOSE({1,2},INPUT!$A$3:$A$5000&amp;INPUT!$C$3:$C$5000,INPUT!$D$3:$D$5000),2,FALSE),"")</f>
        <v>TEC-TAC</v>
      </c>
      <c r="I2493" s="46">
        <f>IF(INPUT!P2488="","",INPUT!P2488)</f>
        <v>68.8</v>
      </c>
      <c r="J2493" s="46">
        <f>IF(INPUT!Q2488="","",INPUT!Q2488)</f>
        <v>68</v>
      </c>
      <c r="K2493" s="46">
        <f>IFERROR(IF(OR(INPUT!P2488="",INPUT!Q2488=""),"",INPUT!P2488-INPUT!Q2488),"")</f>
        <v>0.79999999999999716</v>
      </c>
      <c r="L2493" s="48">
        <f>IFERROR(IF(OR(INPUT!P2488="",INPUT!Q2488="",INPUT!P2488=0),"",(INPUT!P2488-INPUT!Q2488)/INPUT!P2488),"")</f>
        <v>1.1627906976744146E-2</v>
      </c>
    </row>
    <row r="2494" spans="1:12" ht="18" hidden="1" customHeight="1" x14ac:dyDescent="0.2">
      <c r="A2494" s="11">
        <f>IF(INPUT!M2489="","",INPUT!M2489)</f>
        <v>46128</v>
      </c>
      <c r="B2494" s="11">
        <f>IF(INPUT!M2489="","",INPUT!M2489-WEEKDAY(INPUT!M2489,2)+1)</f>
        <v>46125</v>
      </c>
      <c r="C2494" s="20">
        <f>IFERROR(_xlfn.ISOWEEKNUM(INPUT!M2489),"")</f>
        <v>16</v>
      </c>
      <c r="D2494" s="20">
        <f>IFERROR(YEAR(INPUT!M2489),"")</f>
        <v>2026</v>
      </c>
      <c r="E2494" t="str">
        <f>IF(INPUT!O2489="","",INPUT!O2489)</f>
        <v>DANI</v>
      </c>
      <c r="F2494" t="str">
        <f>IF(INPUT!N2489="","",INPUT!N2489)</f>
        <v>M</v>
      </c>
      <c r="G2494" t="str" cm="1">
        <f t="array" ref="G2494">IFERROR(VLOOKUP(INPUT!M2489&amp;INPUT!N2489,CHOOSE({1,2},INPUT!$A$3:$A$5000&amp;INPUT!$C$3:$C$5000,INPUT!$F$3:$F$5000),2,FALSE),"")</f>
        <v>PRE-TEMPORADA</v>
      </c>
      <c r="H2494" t="str" cm="1">
        <f t="array" ref="H2494">IFERROR(VLOOKUP(INPUT!M2489&amp;INPUT!N2489,CHOOSE({1,2},INPUT!$A$3:$A$5000&amp;INPUT!$C$3:$C$5000,INPUT!$D$3:$D$5000),2,FALSE),"")</f>
        <v>TEC-TAC</v>
      </c>
      <c r="I2494" s="46">
        <f>IF(INPUT!P2489="","",INPUT!P2489)</f>
        <v>90.3</v>
      </c>
      <c r="J2494" s="46">
        <f>IF(INPUT!Q2489="","",INPUT!Q2489)</f>
        <v>90</v>
      </c>
      <c r="K2494" s="46">
        <f>IFERROR(IF(OR(INPUT!P2489="",INPUT!Q2489=""),"",INPUT!P2489-INPUT!Q2489),"")</f>
        <v>0.29999999999999716</v>
      </c>
      <c r="L2494" s="48">
        <f>IFERROR(IF(OR(INPUT!P2489="",INPUT!Q2489="",INPUT!P2489=0),"",(INPUT!P2489-INPUT!Q2489)/INPUT!P2489),"")</f>
        <v>3.322259136212593E-3</v>
      </c>
    </row>
    <row r="2495" spans="1:12" ht="18" hidden="1" customHeight="1" x14ac:dyDescent="0.2">
      <c r="A2495" s="11">
        <f>IF(INPUT!M2490="","",INPUT!M2490)</f>
        <v>46129</v>
      </c>
      <c r="B2495" s="11">
        <f>IF(INPUT!M2490="","",INPUT!M2490-WEEKDAY(INPUT!M2490,2)+1)</f>
        <v>46125</v>
      </c>
      <c r="C2495" s="20">
        <f>IFERROR(_xlfn.ISOWEEKNUM(INPUT!M2490),"")</f>
        <v>16</v>
      </c>
      <c r="D2495" s="20">
        <f>IFERROR(YEAR(INPUT!M2490),"")</f>
        <v>2026</v>
      </c>
      <c r="E2495" t="str">
        <f>IF(INPUT!O2490="","",INPUT!O2490)</f>
        <v>HERRERO</v>
      </c>
      <c r="F2495" t="str">
        <f>IF(INPUT!N2490="","",INPUT!N2490)</f>
        <v>M</v>
      </c>
      <c r="G2495" t="str" cm="1">
        <f t="array" ref="G2495">IFERROR(VLOOKUP(INPUT!M2490&amp;INPUT!N2490,CHOOSE({1,2},INPUT!$A$3:$A$5000&amp;INPUT!$C$3:$C$5000,INPUT!$F$3:$F$5000),2,FALSE),"")</f>
        <v>PRE-TEMPORADA</v>
      </c>
      <c r="H2495" t="str" cm="1">
        <f t="array" ref="H2495">IFERROR(VLOOKUP(INPUT!M2490&amp;INPUT!N2490,CHOOSE({1,2},INPUT!$A$3:$A$5000&amp;INPUT!$C$3:$C$5000,INPUT!$D$3:$D$5000),2,FALSE),"")</f>
        <v>TEC-TAC</v>
      </c>
      <c r="I2495" s="46">
        <f>IF(INPUT!P2490="","",INPUT!P2490)</f>
        <v>77</v>
      </c>
      <c r="J2495" s="46">
        <f>IF(INPUT!Q2490="","",INPUT!Q2490)</f>
        <v>76.900000000000006</v>
      </c>
      <c r="K2495" s="46">
        <f>IFERROR(IF(OR(INPUT!P2490="",INPUT!Q2490=""),"",INPUT!P2490-INPUT!Q2490),"")</f>
        <v>9.9999999999994316E-2</v>
      </c>
      <c r="L2495" s="48">
        <f>IFERROR(IF(OR(INPUT!P2490="",INPUT!Q2490="",INPUT!P2490=0),"",(INPUT!P2490-INPUT!Q2490)/INPUT!P2490),"")</f>
        <v>1.298701298701225E-3</v>
      </c>
    </row>
    <row r="2496" spans="1:12" ht="18" hidden="1" customHeight="1" x14ac:dyDescent="0.2">
      <c r="A2496" s="11">
        <f>IF(INPUT!M2491="","",INPUT!M2491)</f>
        <v>46129</v>
      </c>
      <c r="B2496" s="11">
        <f>IF(INPUT!M2491="","",INPUT!M2491-WEEKDAY(INPUT!M2491,2)+1)</f>
        <v>46125</v>
      </c>
      <c r="C2496" s="20">
        <f>IFERROR(_xlfn.ISOWEEKNUM(INPUT!M2491),"")</f>
        <v>16</v>
      </c>
      <c r="D2496" s="20">
        <f>IFERROR(YEAR(INPUT!M2491),"")</f>
        <v>2026</v>
      </c>
      <c r="E2496" t="str">
        <f>IF(INPUT!O2491="","",INPUT!O2491)</f>
        <v>GARCIA</v>
      </c>
      <c r="F2496" t="str">
        <f>IF(INPUT!N2491="","",INPUT!N2491)</f>
        <v>M</v>
      </c>
      <c r="G2496" t="str" cm="1">
        <f t="array" ref="G2496">IFERROR(VLOOKUP(INPUT!M2491&amp;INPUT!N2491,CHOOSE({1,2},INPUT!$A$3:$A$5000&amp;INPUT!$C$3:$C$5000,INPUT!$F$3:$F$5000),2,FALSE),"")</f>
        <v>PRE-TEMPORADA</v>
      </c>
      <c r="H2496" t="str" cm="1">
        <f t="array" ref="H2496">IFERROR(VLOOKUP(INPUT!M2491&amp;INPUT!N2491,CHOOSE({1,2},INPUT!$A$3:$A$5000&amp;INPUT!$C$3:$C$5000,INPUT!$D$3:$D$5000),2,FALSE),"")</f>
        <v>TEC-TAC</v>
      </c>
      <c r="I2496" s="46">
        <f>IF(INPUT!P2491="","",INPUT!P2491)</f>
        <v>78.7</v>
      </c>
      <c r="J2496" s="46">
        <f>IF(INPUT!Q2491="","",INPUT!Q2491)</f>
        <v>78.599999999999994</v>
      </c>
      <c r="K2496" s="46">
        <f>IFERROR(IF(OR(INPUT!P2491="",INPUT!Q2491=""),"",INPUT!P2491-INPUT!Q2491),"")</f>
        <v>0.10000000000000853</v>
      </c>
      <c r="L2496" s="48">
        <f>IFERROR(IF(OR(INPUT!P2491="",INPUT!Q2491="",INPUT!P2491=0),"",(INPUT!P2491-INPUT!Q2491)/INPUT!P2491),"")</f>
        <v>1.270648030495661E-3</v>
      </c>
    </row>
    <row r="2497" spans="1:12" ht="18" hidden="1" customHeight="1" x14ac:dyDescent="0.2">
      <c r="A2497" s="11">
        <f>IF(INPUT!M2492="","",INPUT!M2492)</f>
        <v>46129</v>
      </c>
      <c r="B2497" s="11">
        <f>IF(INPUT!M2492="","",INPUT!M2492-WEEKDAY(INPUT!M2492,2)+1)</f>
        <v>46125</v>
      </c>
      <c r="C2497" s="20">
        <f>IFERROR(_xlfn.ISOWEEKNUM(INPUT!M2492),"")</f>
        <v>16</v>
      </c>
      <c r="D2497" s="20">
        <f>IFERROR(YEAR(INPUT!M2492),"")</f>
        <v>2026</v>
      </c>
      <c r="E2497" t="str">
        <f>IF(INPUT!O2492="","",INPUT!O2492)</f>
        <v>CECILIO</v>
      </c>
      <c r="F2497" t="str">
        <f>IF(INPUT!N2492="","",INPUT!N2492)</f>
        <v>M</v>
      </c>
      <c r="G2497" t="str" cm="1">
        <f t="array" ref="G2497">IFERROR(VLOOKUP(INPUT!M2492&amp;INPUT!N2492,CHOOSE({1,2},INPUT!$A$3:$A$5000&amp;INPUT!$C$3:$C$5000,INPUT!$F$3:$F$5000),2,FALSE),"")</f>
        <v>PRE-TEMPORADA</v>
      </c>
      <c r="H2497" t="str" cm="1">
        <f t="array" ref="H2497">IFERROR(VLOOKUP(INPUT!M2492&amp;INPUT!N2492,CHOOSE({1,2},INPUT!$A$3:$A$5000&amp;INPUT!$C$3:$C$5000,INPUT!$D$3:$D$5000),2,FALSE),"")</f>
        <v>TEC-TAC</v>
      </c>
      <c r="I2497" s="46">
        <f>IF(INPUT!P2492="","",INPUT!P2492)</f>
        <v>67.2</v>
      </c>
      <c r="J2497" s="46">
        <f>IF(INPUT!Q2492="","",INPUT!Q2492)</f>
        <v>67.099999999999994</v>
      </c>
      <c r="K2497" s="46">
        <f>IFERROR(IF(OR(INPUT!P2492="",INPUT!Q2492=""),"",INPUT!P2492-INPUT!Q2492),"")</f>
        <v>0.10000000000000853</v>
      </c>
      <c r="L2497" s="48">
        <f>IFERROR(IF(OR(INPUT!P2492="",INPUT!Q2492="",INPUT!P2492=0),"",(INPUT!P2492-INPUT!Q2492)/INPUT!P2492),"")</f>
        <v>1.4880952380953649E-3</v>
      </c>
    </row>
    <row r="2498" spans="1:12" ht="18" hidden="1" customHeight="1" x14ac:dyDescent="0.2">
      <c r="A2498" s="11">
        <f>IF(INPUT!M2493="","",INPUT!M2493)</f>
        <v>46129</v>
      </c>
      <c r="B2498" s="11">
        <f>IF(INPUT!M2493="","",INPUT!M2493-WEEKDAY(INPUT!M2493,2)+1)</f>
        <v>46125</v>
      </c>
      <c r="C2498" s="20">
        <f>IFERROR(_xlfn.ISOWEEKNUM(INPUT!M2493),"")</f>
        <v>16</v>
      </c>
      <c r="D2498" s="20">
        <f>IFERROR(YEAR(INPUT!M2493),"")</f>
        <v>2026</v>
      </c>
      <c r="E2498" t="str">
        <f>IF(INPUT!O2493="","",INPUT!O2493)</f>
        <v>CHAGUINHA</v>
      </c>
      <c r="F2498" t="str">
        <f>IF(INPUT!N2493="","",INPUT!N2493)</f>
        <v>M</v>
      </c>
      <c r="G2498" t="str" cm="1">
        <f t="array" ref="G2498">IFERROR(VLOOKUP(INPUT!M2493&amp;INPUT!N2493,CHOOSE({1,2},INPUT!$A$3:$A$5000&amp;INPUT!$C$3:$C$5000,INPUT!$F$3:$F$5000),2,FALSE),"")</f>
        <v>PRE-TEMPORADA</v>
      </c>
      <c r="H2498" t="str" cm="1">
        <f t="array" ref="H2498">IFERROR(VLOOKUP(INPUT!M2493&amp;INPUT!N2493,CHOOSE({1,2},INPUT!$A$3:$A$5000&amp;INPUT!$C$3:$C$5000,INPUT!$D$3:$D$5000),2,FALSE),"")</f>
        <v>TEC-TAC</v>
      </c>
      <c r="I2498" s="46">
        <f>IF(INPUT!P2493="","",INPUT!P2493)</f>
        <v>69</v>
      </c>
      <c r="J2498" s="46">
        <f>IF(INPUT!Q2493="","",INPUT!Q2493)</f>
        <v>68.5</v>
      </c>
      <c r="K2498" s="46">
        <f>IFERROR(IF(OR(INPUT!P2493="",INPUT!Q2493=""),"",INPUT!P2493-INPUT!Q2493),"")</f>
        <v>0.5</v>
      </c>
      <c r="L2498" s="48">
        <f>IFERROR(IF(OR(INPUT!P2493="",INPUT!Q2493="",INPUT!P2493=0),"",(INPUT!P2493-INPUT!Q2493)/INPUT!P2493),"")</f>
        <v>7.246376811594203E-3</v>
      </c>
    </row>
    <row r="2499" spans="1:12" ht="18" hidden="1" customHeight="1" x14ac:dyDescent="0.2">
      <c r="A2499" s="11">
        <f>IF(INPUT!M2494="","",INPUT!M2494)</f>
        <v>46129</v>
      </c>
      <c r="B2499" s="11">
        <f>IF(INPUT!M2494="","",INPUT!M2494-WEEKDAY(INPUT!M2494,2)+1)</f>
        <v>46125</v>
      </c>
      <c r="C2499" s="20">
        <f>IFERROR(_xlfn.ISOWEEKNUM(INPUT!M2494),"")</f>
        <v>16</v>
      </c>
      <c r="D2499" s="20">
        <f>IFERROR(YEAR(INPUT!M2494),"")</f>
        <v>2026</v>
      </c>
      <c r="E2499" t="str">
        <f>IF(INPUT!O2494="","",INPUT!O2494)</f>
        <v>RAUL</v>
      </c>
      <c r="F2499" t="str">
        <f>IF(INPUT!N2494="","",INPUT!N2494)</f>
        <v>M</v>
      </c>
      <c r="G2499" t="str" cm="1">
        <f t="array" ref="G2499">IFERROR(VLOOKUP(INPUT!M2494&amp;INPUT!N2494,CHOOSE({1,2},INPUT!$A$3:$A$5000&amp;INPUT!$C$3:$C$5000,INPUT!$F$3:$F$5000),2,FALSE),"")</f>
        <v>PRE-TEMPORADA</v>
      </c>
      <c r="H2499" t="str" cm="1">
        <f t="array" ref="H2499">IFERROR(VLOOKUP(INPUT!M2494&amp;INPUT!N2494,CHOOSE({1,2},INPUT!$A$3:$A$5000&amp;INPUT!$C$3:$C$5000,INPUT!$D$3:$D$5000),2,FALSE),"")</f>
        <v>TEC-TAC</v>
      </c>
      <c r="I2499" s="46">
        <f>IF(INPUT!P2494="","",INPUT!P2494)</f>
        <v>81</v>
      </c>
      <c r="J2499" s="46">
        <f>IF(INPUT!Q2494="","",INPUT!Q2494)</f>
        <v>81</v>
      </c>
      <c r="K2499" s="46">
        <f>IFERROR(IF(OR(INPUT!P2494="",INPUT!Q2494=""),"",INPUT!P2494-INPUT!Q2494),"")</f>
        <v>0</v>
      </c>
      <c r="L2499" s="48">
        <f>IFERROR(IF(OR(INPUT!P2494="",INPUT!Q2494="",INPUT!P2494=0),"",(INPUT!P2494-INPUT!Q2494)/INPUT!P2494),"")</f>
        <v>0</v>
      </c>
    </row>
    <row r="2500" spans="1:12" ht="18" hidden="1" customHeight="1" x14ac:dyDescent="0.2">
      <c r="A2500" s="11">
        <f>IF(INPUT!M2495="","",INPUT!M2495)</f>
        <v>46129</v>
      </c>
      <c r="B2500" s="11">
        <f>IF(INPUT!M2495="","",INPUT!M2495-WEEKDAY(INPUT!M2495,2)+1)</f>
        <v>46125</v>
      </c>
      <c r="C2500" s="20">
        <f>IFERROR(_xlfn.ISOWEEKNUM(INPUT!M2495),"")</f>
        <v>16</v>
      </c>
      <c r="D2500" s="20">
        <f>IFERROR(YEAR(INPUT!M2495),"")</f>
        <v>2026</v>
      </c>
      <c r="E2500" t="str">
        <f>IF(INPUT!O2495="","",INPUT!O2495)</f>
        <v>HARRISON</v>
      </c>
      <c r="F2500" t="str">
        <f>IF(INPUT!N2495="","",INPUT!N2495)</f>
        <v>M</v>
      </c>
      <c r="G2500" t="str" cm="1">
        <f t="array" ref="G2500">IFERROR(VLOOKUP(INPUT!M2495&amp;INPUT!N2495,CHOOSE({1,2},INPUT!$A$3:$A$5000&amp;INPUT!$C$3:$C$5000,INPUT!$F$3:$F$5000),2,FALSE),"")</f>
        <v>PRE-TEMPORADA</v>
      </c>
      <c r="H2500" t="str" cm="1">
        <f t="array" ref="H2500">IFERROR(VLOOKUP(INPUT!M2495&amp;INPUT!N2495,CHOOSE({1,2},INPUT!$A$3:$A$5000&amp;INPUT!$C$3:$C$5000,INPUT!$D$3:$D$5000),2,FALSE),"")</f>
        <v>TEC-TAC</v>
      </c>
      <c r="I2500" s="46">
        <f>IF(INPUT!P2495="","",INPUT!P2495)</f>
        <v>71.5</v>
      </c>
      <c r="J2500" s="46">
        <f>IF(INPUT!Q2495="","",INPUT!Q2495)</f>
        <v>71.599999999999994</v>
      </c>
      <c r="K2500" s="46">
        <f>IFERROR(IF(OR(INPUT!P2495="",INPUT!Q2495=""),"",INPUT!P2495-INPUT!Q2495),"")</f>
        <v>-9.9999999999994316E-2</v>
      </c>
      <c r="L2500" s="48">
        <f>IFERROR(IF(OR(INPUT!P2495="",INPUT!Q2495="",INPUT!P2495=0),"",(INPUT!P2495-INPUT!Q2495)/INPUT!P2495),"")</f>
        <v>-1.398601398601319E-3</v>
      </c>
    </row>
    <row r="2501" spans="1:12" ht="18" hidden="1" customHeight="1" x14ac:dyDescent="0.2">
      <c r="A2501" s="11">
        <f>IF(INPUT!M2496="","",INPUT!M2496)</f>
        <v>46129</v>
      </c>
      <c r="B2501" s="11">
        <f>IF(INPUT!M2496="","",INPUT!M2496-WEEKDAY(INPUT!M2496,2)+1)</f>
        <v>46125</v>
      </c>
      <c r="C2501" s="20">
        <f>IFERROR(_xlfn.ISOWEEKNUM(INPUT!M2496),"")</f>
        <v>16</v>
      </c>
      <c r="D2501" s="20">
        <f>IFERROR(YEAR(INPUT!M2496),"")</f>
        <v>2026</v>
      </c>
      <c r="E2501" t="str">
        <f>IF(INPUT!O2496="","",INPUT!O2496)</f>
        <v>RAYA</v>
      </c>
      <c r="F2501" t="str">
        <f>IF(INPUT!N2496="","",INPUT!N2496)</f>
        <v>M</v>
      </c>
      <c r="G2501" t="str" cm="1">
        <f t="array" ref="G2501">IFERROR(VLOOKUP(INPUT!M2496&amp;INPUT!N2496,CHOOSE({1,2},INPUT!$A$3:$A$5000&amp;INPUT!$C$3:$C$5000,INPUT!$F$3:$F$5000),2,FALSE),"")</f>
        <v>PRE-TEMPORADA</v>
      </c>
      <c r="H2501" t="str" cm="1">
        <f t="array" ref="H2501">IFERROR(VLOOKUP(INPUT!M2496&amp;INPUT!N2496,CHOOSE({1,2},INPUT!$A$3:$A$5000&amp;INPUT!$C$3:$C$5000,INPUT!$D$3:$D$5000),2,FALSE),"")</f>
        <v>TEC-TAC</v>
      </c>
      <c r="I2501" s="46">
        <f>IF(INPUT!P2496="","",INPUT!P2496)</f>
        <v>82</v>
      </c>
      <c r="J2501" s="46">
        <f>IF(INPUT!Q2496="","",INPUT!Q2496)</f>
        <v>81.5</v>
      </c>
      <c r="K2501" s="46">
        <f>IFERROR(IF(OR(INPUT!P2496="",INPUT!Q2496=""),"",INPUT!P2496-INPUT!Q2496),"")</f>
        <v>0.5</v>
      </c>
      <c r="L2501" s="48">
        <f>IFERROR(IF(OR(INPUT!P2496="",INPUT!Q2496="",INPUT!P2496=0),"",(INPUT!P2496-INPUT!Q2496)/INPUT!P2496),"")</f>
        <v>6.0975609756097563E-3</v>
      </c>
    </row>
    <row r="2502" spans="1:12" ht="18" hidden="1" customHeight="1" x14ac:dyDescent="0.2">
      <c r="A2502" s="11">
        <f>IF(INPUT!M2497="","",INPUT!M2497)</f>
        <v>46129</v>
      </c>
      <c r="B2502" s="11">
        <f>IF(INPUT!M2497="","",INPUT!M2497-WEEKDAY(INPUT!M2497,2)+1)</f>
        <v>46125</v>
      </c>
      <c r="C2502" s="20">
        <f>IFERROR(_xlfn.ISOWEEKNUM(INPUT!M2497),"")</f>
        <v>16</v>
      </c>
      <c r="D2502" s="20">
        <f>IFERROR(YEAR(INPUT!M2497),"")</f>
        <v>2026</v>
      </c>
      <c r="E2502" t="str">
        <f>IF(INPUT!O2497="","",INPUT!O2497)</f>
        <v>JAVI</v>
      </c>
      <c r="F2502" t="str">
        <f>IF(INPUT!N2497="","",INPUT!N2497)</f>
        <v>M</v>
      </c>
      <c r="G2502" t="str" cm="1">
        <f t="array" ref="G2502">IFERROR(VLOOKUP(INPUT!M2497&amp;INPUT!N2497,CHOOSE({1,2},INPUT!$A$3:$A$5000&amp;INPUT!$C$3:$C$5000,INPUT!$F$3:$F$5000),2,FALSE),"")</f>
        <v>PRE-TEMPORADA</v>
      </c>
      <c r="H2502" t="str" cm="1">
        <f t="array" ref="H2502">IFERROR(VLOOKUP(INPUT!M2497&amp;INPUT!N2497,CHOOSE({1,2},INPUT!$A$3:$A$5000&amp;INPUT!$C$3:$C$5000,INPUT!$D$3:$D$5000),2,FALSE),"")</f>
        <v>TEC-TAC</v>
      </c>
      <c r="I2502" s="46">
        <f>IF(INPUT!P2497="","",INPUT!P2497)</f>
        <v>79.5</v>
      </c>
      <c r="J2502" s="46">
        <f>IF(INPUT!Q2497="","",INPUT!Q2497)</f>
        <v>79.5</v>
      </c>
      <c r="K2502" s="46">
        <f>IFERROR(IF(OR(INPUT!P2497="",INPUT!Q2497=""),"",INPUT!P2497-INPUT!Q2497),"")</f>
        <v>0</v>
      </c>
      <c r="L2502" s="48">
        <f>IFERROR(IF(OR(INPUT!P2497="",INPUT!Q2497="",INPUT!P2497=0),"",(INPUT!P2497-INPUT!Q2497)/INPUT!P2497),"")</f>
        <v>0</v>
      </c>
    </row>
    <row r="2503" spans="1:12" ht="18" hidden="1" customHeight="1" x14ac:dyDescent="0.2">
      <c r="A2503" s="11">
        <f>IF(INPUT!M2498="","",INPUT!M2498)</f>
        <v>46129</v>
      </c>
      <c r="B2503" s="11">
        <f>IF(INPUT!M2498="","",INPUT!M2498-WEEKDAY(INPUT!M2498,2)+1)</f>
        <v>46125</v>
      </c>
      <c r="C2503" s="20">
        <f>IFERROR(_xlfn.ISOWEEKNUM(INPUT!M2498),"")</f>
        <v>16</v>
      </c>
      <c r="D2503" s="20">
        <f>IFERROR(YEAR(INPUT!M2498),"")</f>
        <v>2026</v>
      </c>
      <c r="E2503" t="str">
        <f>IF(INPUT!O2498="","",INPUT!O2498)</f>
        <v>PANI</v>
      </c>
      <c r="F2503" t="str">
        <f>IF(INPUT!N2498="","",INPUT!N2498)</f>
        <v>M</v>
      </c>
      <c r="G2503" t="str" cm="1">
        <f t="array" ref="G2503">IFERROR(VLOOKUP(INPUT!M2498&amp;INPUT!N2498,CHOOSE({1,2},INPUT!$A$3:$A$5000&amp;INPUT!$C$3:$C$5000,INPUT!$F$3:$F$5000),2,FALSE),"")</f>
        <v>PRE-TEMPORADA</v>
      </c>
      <c r="H2503" t="str" cm="1">
        <f t="array" ref="H2503">IFERROR(VLOOKUP(INPUT!M2498&amp;INPUT!N2498,CHOOSE({1,2},INPUT!$A$3:$A$5000&amp;INPUT!$C$3:$C$5000,INPUT!$D$3:$D$5000),2,FALSE),"")</f>
        <v>TEC-TAC</v>
      </c>
      <c r="I2503" s="46">
        <f>IF(INPUT!P2498="","",INPUT!P2498)</f>
        <v>67</v>
      </c>
      <c r="J2503" s="46">
        <f>IF(INPUT!Q2498="","",INPUT!Q2498)</f>
        <v>65.900000000000006</v>
      </c>
      <c r="K2503" s="46">
        <f>IFERROR(IF(OR(INPUT!P2498="",INPUT!Q2498=""),"",INPUT!P2498-INPUT!Q2498),"")</f>
        <v>1.0999999999999943</v>
      </c>
      <c r="L2503" s="48">
        <f>IFERROR(IF(OR(INPUT!P2498="",INPUT!Q2498="",INPUT!P2498=0),"",(INPUT!P2498-INPUT!Q2498)/INPUT!P2498),"")</f>
        <v>1.641791044776111E-2</v>
      </c>
    </row>
    <row r="2504" spans="1:12" ht="18" hidden="1" customHeight="1" x14ac:dyDescent="0.2">
      <c r="A2504" s="11">
        <f>IF(INPUT!M2499="","",INPUT!M2499)</f>
        <v>46129</v>
      </c>
      <c r="B2504" s="11">
        <f>IF(INPUT!M2499="","",INPUT!M2499-WEEKDAY(INPUT!M2499,2)+1)</f>
        <v>46125</v>
      </c>
      <c r="C2504" s="20">
        <f>IFERROR(_xlfn.ISOWEEKNUM(INPUT!M2499),"")</f>
        <v>16</v>
      </c>
      <c r="D2504" s="20">
        <f>IFERROR(YEAR(INPUT!M2499),"")</f>
        <v>2026</v>
      </c>
      <c r="E2504" t="str">
        <f>IF(INPUT!O2499="","",INPUT!O2499)</f>
        <v>PIRATA</v>
      </c>
      <c r="F2504" t="str">
        <f>IF(INPUT!N2499="","",INPUT!N2499)</f>
        <v>M</v>
      </c>
      <c r="G2504" t="str" cm="1">
        <f t="array" ref="G2504">IFERROR(VLOOKUP(INPUT!M2499&amp;INPUT!N2499,CHOOSE({1,2},INPUT!$A$3:$A$5000&amp;INPUT!$C$3:$C$5000,INPUT!$F$3:$F$5000),2,FALSE),"")</f>
        <v>PRE-TEMPORADA</v>
      </c>
      <c r="H2504" t="str" cm="1">
        <f t="array" ref="H2504">IFERROR(VLOOKUP(INPUT!M2499&amp;INPUT!N2499,CHOOSE({1,2},INPUT!$A$3:$A$5000&amp;INPUT!$C$3:$C$5000,INPUT!$D$3:$D$5000),2,FALSE),"")</f>
        <v>TEC-TAC</v>
      </c>
      <c r="I2504" s="46">
        <f>IF(INPUT!P2499="","",INPUT!P2499)</f>
        <v>75.3</v>
      </c>
      <c r="J2504" s="46">
        <f>IF(INPUT!Q2499="","",INPUT!Q2499)</f>
        <v>75</v>
      </c>
      <c r="K2504" s="46">
        <f>IFERROR(IF(OR(INPUT!P2499="",INPUT!Q2499=""),"",INPUT!P2499-INPUT!Q2499),"")</f>
        <v>0.29999999999999716</v>
      </c>
      <c r="L2504" s="48">
        <f>IFERROR(IF(OR(INPUT!P2499="",INPUT!Q2499="",INPUT!P2499=0),"",(INPUT!P2499-INPUT!Q2499)/INPUT!P2499),"")</f>
        <v>3.984063745019883E-3</v>
      </c>
    </row>
    <row r="2505" spans="1:12" ht="18" hidden="1" customHeight="1" x14ac:dyDescent="0.2">
      <c r="A2505" s="11">
        <f>IF(INPUT!M2500="","",INPUT!M2500)</f>
        <v>46129</v>
      </c>
      <c r="B2505" s="11">
        <f>IF(INPUT!M2500="","",INPUT!M2500-WEEKDAY(INPUT!M2500,2)+1)</f>
        <v>46125</v>
      </c>
      <c r="C2505" s="20">
        <f>IFERROR(_xlfn.ISOWEEKNUM(INPUT!M2500),"")</f>
        <v>16</v>
      </c>
      <c r="D2505" s="20">
        <f>IFERROR(YEAR(INPUT!M2500),"")</f>
        <v>2026</v>
      </c>
      <c r="E2505" t="str">
        <f>IF(INPUT!O2500="","",INPUT!O2500)</f>
        <v>BARONA</v>
      </c>
      <c r="F2505" t="str">
        <f>IF(INPUT!N2500="","",INPUT!N2500)</f>
        <v>M</v>
      </c>
      <c r="G2505" t="str" cm="1">
        <f t="array" ref="G2505">IFERROR(VLOOKUP(INPUT!M2500&amp;INPUT!N2500,CHOOSE({1,2},INPUT!$A$3:$A$5000&amp;INPUT!$C$3:$C$5000,INPUT!$F$3:$F$5000),2,FALSE),"")</f>
        <v>PRE-TEMPORADA</v>
      </c>
      <c r="H2505" t="str" cm="1">
        <f t="array" ref="H2505">IFERROR(VLOOKUP(INPUT!M2500&amp;INPUT!N2500,CHOOSE({1,2},INPUT!$A$3:$A$5000&amp;INPUT!$C$3:$C$5000,INPUT!$D$3:$D$5000),2,FALSE),"")</f>
        <v>TEC-TAC</v>
      </c>
      <c r="I2505" s="46">
        <f>IF(INPUT!P2500="","",INPUT!P2500)</f>
        <v>71.5</v>
      </c>
      <c r="J2505" s="46">
        <f>IF(INPUT!Q2500="","",INPUT!Q2500)</f>
        <v>71.5</v>
      </c>
      <c r="K2505" s="46">
        <f>IFERROR(IF(OR(INPUT!P2500="",INPUT!Q2500=""),"",INPUT!P2500-INPUT!Q2500),"")</f>
        <v>0</v>
      </c>
      <c r="L2505" s="48">
        <f>IFERROR(IF(OR(INPUT!P2500="",INPUT!Q2500="",INPUT!P2500=0),"",(INPUT!P2500-INPUT!Q2500)/INPUT!P2500),"")</f>
        <v>0</v>
      </c>
    </row>
    <row r="2506" spans="1:12" ht="18" hidden="1" customHeight="1" x14ac:dyDescent="0.2">
      <c r="A2506" s="11">
        <f>IF(INPUT!M2501="","",INPUT!M2501)</f>
        <v>46129</v>
      </c>
      <c r="B2506" s="11">
        <f>IF(INPUT!M2501="","",INPUT!M2501-WEEKDAY(INPUT!M2501,2)+1)</f>
        <v>46125</v>
      </c>
      <c r="C2506" s="20">
        <f>IFERROR(_xlfn.ISOWEEKNUM(INPUT!M2501),"")</f>
        <v>16</v>
      </c>
      <c r="D2506" s="20">
        <f>IFERROR(YEAR(INPUT!M2501),"")</f>
        <v>2026</v>
      </c>
      <c r="E2506" t="str">
        <f>IF(INPUT!O2501="","",INPUT!O2501)</f>
        <v>CARLOS</v>
      </c>
      <c r="F2506" t="str">
        <f>IF(INPUT!N2501="","",INPUT!N2501)</f>
        <v>M</v>
      </c>
      <c r="G2506" t="str" cm="1">
        <f t="array" ref="G2506">IFERROR(VLOOKUP(INPUT!M2501&amp;INPUT!N2501,CHOOSE({1,2},INPUT!$A$3:$A$5000&amp;INPUT!$C$3:$C$5000,INPUT!$F$3:$F$5000),2,FALSE),"")</f>
        <v>PRE-TEMPORADA</v>
      </c>
      <c r="H2506" t="str" cm="1">
        <f t="array" ref="H2506">IFERROR(VLOOKUP(INPUT!M2501&amp;INPUT!N2501,CHOOSE({1,2},INPUT!$A$3:$A$5000&amp;INPUT!$C$3:$C$5000,INPUT!$D$3:$D$5000),2,FALSE),"")</f>
        <v>TEC-TAC</v>
      </c>
      <c r="I2506" s="46">
        <f>IF(INPUT!P2501="","",INPUT!P2501)</f>
        <v>68.5</v>
      </c>
      <c r="J2506" s="46">
        <f>IF(INPUT!Q2501="","",INPUT!Q2501)</f>
        <v>67.900000000000006</v>
      </c>
      <c r="K2506" s="46">
        <f>IFERROR(IF(OR(INPUT!P2501="",INPUT!Q2501=""),"",INPUT!P2501-INPUT!Q2501),"")</f>
        <v>0.59999999999999432</v>
      </c>
      <c r="L2506" s="48">
        <f>IFERROR(IF(OR(INPUT!P2501="",INPUT!Q2501="",INPUT!P2501=0),"",(INPUT!P2501-INPUT!Q2501)/INPUT!P2501),"")</f>
        <v>8.7591240875911584E-3</v>
      </c>
    </row>
    <row r="2507" spans="1:12" ht="18" hidden="1" customHeight="1" x14ac:dyDescent="0.2">
      <c r="A2507" s="11">
        <f>IF(INPUT!M2502="","",INPUT!M2502)</f>
        <v>46129</v>
      </c>
      <c r="B2507" s="11">
        <f>IF(INPUT!M2502="","",INPUT!M2502-WEEKDAY(INPUT!M2502,2)+1)</f>
        <v>46125</v>
      </c>
      <c r="C2507" s="20">
        <f>IFERROR(_xlfn.ISOWEEKNUM(INPUT!M2502),"")</f>
        <v>16</v>
      </c>
      <c r="D2507" s="20">
        <f>IFERROR(YEAR(INPUT!M2502),"")</f>
        <v>2026</v>
      </c>
      <c r="E2507" t="str">
        <f>IF(INPUT!O2502="","",INPUT!O2502)</f>
        <v>SEGO</v>
      </c>
      <c r="F2507" t="str">
        <f>IF(INPUT!N2502="","",INPUT!N2502)</f>
        <v>M</v>
      </c>
      <c r="G2507" t="str" cm="1">
        <f t="array" ref="G2507">IFERROR(VLOOKUP(INPUT!M2502&amp;INPUT!N2502,CHOOSE({1,2},INPUT!$A$3:$A$5000&amp;INPUT!$C$3:$C$5000,INPUT!$F$3:$F$5000),2,FALSE),"")</f>
        <v>PRE-TEMPORADA</v>
      </c>
      <c r="H2507" t="str" cm="1">
        <f t="array" ref="H2507">IFERROR(VLOOKUP(INPUT!M2502&amp;INPUT!N2502,CHOOSE({1,2},INPUT!$A$3:$A$5000&amp;INPUT!$C$3:$C$5000,INPUT!$D$3:$D$5000),2,FALSE),"")</f>
        <v>TEC-TAC</v>
      </c>
      <c r="I2507" s="46">
        <f>IF(INPUT!P2502="","",INPUT!P2502)</f>
        <v>79.3</v>
      </c>
      <c r="J2507" s="46">
        <f>IF(INPUT!Q2502="","",INPUT!Q2502)</f>
        <v>79.400000000000006</v>
      </c>
      <c r="K2507" s="46">
        <f>IFERROR(IF(OR(INPUT!P2502="",INPUT!Q2502=""),"",INPUT!P2502-INPUT!Q2502),"")</f>
        <v>-0.10000000000000853</v>
      </c>
      <c r="L2507" s="48">
        <f>IFERROR(IF(OR(INPUT!P2502="",INPUT!Q2502="",INPUT!P2502=0),"",(INPUT!P2502-INPUT!Q2502)/INPUT!P2502),"")</f>
        <v>-1.2610340479194014E-3</v>
      </c>
    </row>
    <row r="2508" spans="1:12" ht="18" hidden="1" customHeight="1" x14ac:dyDescent="0.2">
      <c r="A2508" s="11">
        <f>IF(INPUT!M2503="","",INPUT!M2503)</f>
        <v>46132</v>
      </c>
      <c r="B2508" s="11">
        <f>IF(INPUT!M2503="","",INPUT!M2503-WEEKDAY(INPUT!M2503,2)+1)</f>
        <v>46132</v>
      </c>
      <c r="C2508" s="20">
        <f>IFERROR(_xlfn.ISOWEEKNUM(INPUT!M2503),"")</f>
        <v>17</v>
      </c>
      <c r="D2508" s="20">
        <f>IFERROR(YEAR(INPUT!M2503),"")</f>
        <v>2026</v>
      </c>
      <c r="E2508" t="str">
        <f>IF(INPUT!O2503="","",INPUT!O2503)</f>
        <v>HERRERO</v>
      </c>
      <c r="F2508" t="str">
        <f>IF(INPUT!N2503="","",INPUT!N2503)</f>
        <v>M</v>
      </c>
      <c r="G2508" t="str" cm="1">
        <f t="array" ref="G2508">IFERROR(VLOOKUP(INPUT!M2503&amp;INPUT!N2503,CHOOSE({1,2},INPUT!$A$3:$A$5000&amp;INPUT!$C$3:$C$5000,INPUT!$F$3:$F$5000),2,FALSE),"")</f>
        <v/>
      </c>
      <c r="H2508" t="str" cm="1">
        <f t="array" ref="H2508">IFERROR(VLOOKUP(INPUT!M2503&amp;INPUT!N2503,CHOOSE({1,2},INPUT!$A$3:$A$5000&amp;INPUT!$C$3:$C$5000,INPUT!$D$3:$D$5000),2,FALSE),"")</f>
        <v/>
      </c>
      <c r="I2508" s="46">
        <f>IF(INPUT!P2503="","",INPUT!P2503)</f>
        <v>77</v>
      </c>
      <c r="J2508" s="46">
        <f>IF(INPUT!Q2503="","",INPUT!Q2503)</f>
        <v>76.8</v>
      </c>
      <c r="K2508" s="46">
        <f>IFERROR(IF(OR(INPUT!P2503="",INPUT!Q2503=""),"",INPUT!P2503-INPUT!Q2503),"")</f>
        <v>0.20000000000000284</v>
      </c>
      <c r="L2508" s="48">
        <f>IFERROR(IF(OR(INPUT!P2503="",INPUT!Q2503="",INPUT!P2503=0),"",(INPUT!P2503-INPUT!Q2503)/INPUT!P2503),"")</f>
        <v>2.5974025974026343E-3</v>
      </c>
    </row>
    <row r="2509" spans="1:12" ht="18" hidden="1" customHeight="1" x14ac:dyDescent="0.2">
      <c r="A2509" s="11">
        <f>IF(INPUT!M2504="","",INPUT!M2504)</f>
        <v>46132</v>
      </c>
      <c r="B2509" s="11">
        <f>IF(INPUT!M2504="","",INPUT!M2504-WEEKDAY(INPUT!M2504,2)+1)</f>
        <v>46132</v>
      </c>
      <c r="C2509" s="20">
        <f>IFERROR(_xlfn.ISOWEEKNUM(INPUT!M2504),"")</f>
        <v>17</v>
      </c>
      <c r="D2509" s="20">
        <f>IFERROR(YEAR(INPUT!M2504),"")</f>
        <v>2026</v>
      </c>
      <c r="E2509" t="str">
        <f>IF(INPUT!O2504="","",INPUT!O2504)</f>
        <v>GARCIA</v>
      </c>
      <c r="F2509" t="str">
        <f>IF(INPUT!N2504="","",INPUT!N2504)</f>
        <v>M</v>
      </c>
      <c r="G2509" t="str" cm="1">
        <f t="array" ref="G2509">IFERROR(VLOOKUP(INPUT!M2504&amp;INPUT!N2504,CHOOSE({1,2},INPUT!$A$3:$A$5000&amp;INPUT!$C$3:$C$5000,INPUT!$F$3:$F$5000),2,FALSE),"")</f>
        <v/>
      </c>
      <c r="H2509" t="str" cm="1">
        <f t="array" ref="H2509">IFERROR(VLOOKUP(INPUT!M2504&amp;INPUT!N2504,CHOOSE({1,2},INPUT!$A$3:$A$5000&amp;INPUT!$C$3:$C$5000,INPUT!$D$3:$D$5000),2,FALSE),"")</f>
        <v/>
      </c>
      <c r="I2509" s="46">
        <f>IF(INPUT!P2504="","",INPUT!P2504)</f>
        <v>79.400000000000006</v>
      </c>
      <c r="J2509" s="46">
        <f>IF(INPUT!Q2504="","",INPUT!Q2504)</f>
        <v>78.8</v>
      </c>
      <c r="K2509" s="46">
        <f>IFERROR(IF(OR(INPUT!P2504="",INPUT!Q2504=""),"",INPUT!P2504-INPUT!Q2504),"")</f>
        <v>0.60000000000000853</v>
      </c>
      <c r="L2509" s="48">
        <f>IFERROR(IF(OR(INPUT!P2504="",INPUT!Q2504="",INPUT!P2504=0),"",(INPUT!P2504-INPUT!Q2504)/INPUT!P2504),"")</f>
        <v>7.5566750629723987E-3</v>
      </c>
    </row>
    <row r="2510" spans="1:12" ht="18" hidden="1" customHeight="1" x14ac:dyDescent="0.2">
      <c r="A2510" s="11">
        <f>IF(INPUT!M2505="","",INPUT!M2505)</f>
        <v>46132</v>
      </c>
      <c r="B2510" s="11">
        <f>IF(INPUT!M2505="","",INPUT!M2505-WEEKDAY(INPUT!M2505,2)+1)</f>
        <v>46132</v>
      </c>
      <c r="C2510" s="20">
        <f>IFERROR(_xlfn.ISOWEEKNUM(INPUT!M2505),"")</f>
        <v>17</v>
      </c>
      <c r="D2510" s="20">
        <f>IFERROR(YEAR(INPUT!M2505),"")</f>
        <v>2026</v>
      </c>
      <c r="E2510" t="str">
        <f>IF(INPUT!O2505="","",INPUT!O2505)</f>
        <v>CECILIO</v>
      </c>
      <c r="F2510" t="str">
        <f>IF(INPUT!N2505="","",INPUT!N2505)</f>
        <v>M</v>
      </c>
      <c r="G2510" t="str" cm="1">
        <f t="array" ref="G2510">IFERROR(VLOOKUP(INPUT!M2505&amp;INPUT!N2505,CHOOSE({1,2},INPUT!$A$3:$A$5000&amp;INPUT!$C$3:$C$5000,INPUT!$F$3:$F$5000),2,FALSE),"")</f>
        <v/>
      </c>
      <c r="H2510" t="str" cm="1">
        <f t="array" ref="H2510">IFERROR(VLOOKUP(INPUT!M2505&amp;INPUT!N2505,CHOOSE({1,2},INPUT!$A$3:$A$5000&amp;INPUT!$C$3:$C$5000,INPUT!$D$3:$D$5000),2,FALSE),"")</f>
        <v/>
      </c>
      <c r="I2510" s="46">
        <f>IF(INPUT!P2505="","",INPUT!P2505)</f>
        <v>67.099999999999994</v>
      </c>
      <c r="J2510" s="46">
        <f>IF(INPUT!Q2505="","",INPUT!Q2505)</f>
        <v>67.5</v>
      </c>
      <c r="K2510" s="46">
        <f>IFERROR(IF(OR(INPUT!P2505="",INPUT!Q2505=""),"",INPUT!P2505-INPUT!Q2505),"")</f>
        <v>-0.40000000000000568</v>
      </c>
      <c r="L2510" s="48">
        <f>IFERROR(IF(OR(INPUT!P2505="",INPUT!Q2505="",INPUT!P2505=0),"",(INPUT!P2505-INPUT!Q2505)/INPUT!P2505),"")</f>
        <v>-5.9612518628912921E-3</v>
      </c>
    </row>
    <row r="2511" spans="1:12" ht="18" hidden="1" customHeight="1" x14ac:dyDescent="0.2">
      <c r="A2511" s="11">
        <f>IF(INPUT!M2506="","",INPUT!M2506)</f>
        <v>46132</v>
      </c>
      <c r="B2511" s="11">
        <f>IF(INPUT!M2506="","",INPUT!M2506-WEEKDAY(INPUT!M2506,2)+1)</f>
        <v>46132</v>
      </c>
      <c r="C2511" s="20">
        <f>IFERROR(_xlfn.ISOWEEKNUM(INPUT!M2506),"")</f>
        <v>17</v>
      </c>
      <c r="D2511" s="20">
        <f>IFERROR(YEAR(INPUT!M2506),"")</f>
        <v>2026</v>
      </c>
      <c r="E2511" t="str">
        <f>IF(INPUT!O2506="","",INPUT!O2506)</f>
        <v>CHAGUINHA</v>
      </c>
      <c r="F2511" t="str">
        <f>IF(INPUT!N2506="","",INPUT!N2506)</f>
        <v>M</v>
      </c>
      <c r="G2511" t="str" cm="1">
        <f t="array" ref="G2511">IFERROR(VLOOKUP(INPUT!M2506&amp;INPUT!N2506,CHOOSE({1,2},INPUT!$A$3:$A$5000&amp;INPUT!$C$3:$C$5000,INPUT!$F$3:$F$5000),2,FALSE),"")</f>
        <v/>
      </c>
      <c r="H2511" t="str" cm="1">
        <f t="array" ref="H2511">IFERROR(VLOOKUP(INPUT!M2506&amp;INPUT!N2506,CHOOSE({1,2},INPUT!$A$3:$A$5000&amp;INPUT!$C$3:$C$5000,INPUT!$D$3:$D$5000),2,FALSE),"")</f>
        <v/>
      </c>
      <c r="I2511" s="46">
        <f>IF(INPUT!P2506="","",INPUT!P2506)</f>
        <v>69</v>
      </c>
      <c r="J2511" s="46">
        <f>IF(INPUT!Q2506="","",INPUT!Q2506)</f>
        <v>68.5</v>
      </c>
      <c r="K2511" s="46">
        <f>IFERROR(IF(OR(INPUT!P2506="",INPUT!Q2506=""),"",INPUT!P2506-INPUT!Q2506),"")</f>
        <v>0.5</v>
      </c>
      <c r="L2511" s="48">
        <f>IFERROR(IF(OR(INPUT!P2506="",INPUT!Q2506="",INPUT!P2506=0),"",(INPUT!P2506-INPUT!Q2506)/INPUT!P2506),"")</f>
        <v>7.246376811594203E-3</v>
      </c>
    </row>
    <row r="2512" spans="1:12" ht="18" hidden="1" customHeight="1" x14ac:dyDescent="0.2">
      <c r="A2512" s="11">
        <f>IF(INPUT!M2507="","",INPUT!M2507)</f>
        <v>46132</v>
      </c>
      <c r="B2512" s="11">
        <f>IF(INPUT!M2507="","",INPUT!M2507-WEEKDAY(INPUT!M2507,2)+1)</f>
        <v>46132</v>
      </c>
      <c r="C2512" s="20">
        <f>IFERROR(_xlfn.ISOWEEKNUM(INPUT!M2507),"")</f>
        <v>17</v>
      </c>
      <c r="D2512" s="20">
        <f>IFERROR(YEAR(INPUT!M2507),"")</f>
        <v>2026</v>
      </c>
      <c r="E2512" t="str">
        <f>IF(INPUT!O2507="","",INPUT!O2507)</f>
        <v>RAUL</v>
      </c>
      <c r="F2512" t="str">
        <f>IF(INPUT!N2507="","",INPUT!N2507)</f>
        <v>M</v>
      </c>
      <c r="G2512" t="str" cm="1">
        <f t="array" ref="G2512">IFERROR(VLOOKUP(INPUT!M2507&amp;INPUT!N2507,CHOOSE({1,2},INPUT!$A$3:$A$5000&amp;INPUT!$C$3:$C$5000,INPUT!$F$3:$F$5000),2,FALSE),"")</f>
        <v/>
      </c>
      <c r="H2512" t="str" cm="1">
        <f t="array" ref="H2512">IFERROR(VLOOKUP(INPUT!M2507&amp;INPUT!N2507,CHOOSE({1,2},INPUT!$A$3:$A$5000&amp;INPUT!$C$3:$C$5000,INPUT!$D$3:$D$5000),2,FALSE),"")</f>
        <v/>
      </c>
      <c r="I2512" s="46">
        <f>IF(INPUT!P2507="","",INPUT!P2507)</f>
        <v>81.5</v>
      </c>
      <c r="J2512" s="46">
        <f>IF(INPUT!Q2507="","",INPUT!Q2507)</f>
        <v>81.3</v>
      </c>
      <c r="K2512" s="46">
        <f>IFERROR(IF(OR(INPUT!P2507="",INPUT!Q2507=""),"",INPUT!P2507-INPUT!Q2507),"")</f>
        <v>0.20000000000000284</v>
      </c>
      <c r="L2512" s="48">
        <f>IFERROR(IF(OR(INPUT!P2507="",INPUT!Q2507="",INPUT!P2507=0),"",(INPUT!P2507-INPUT!Q2507)/INPUT!P2507),"")</f>
        <v>2.4539877300613845E-3</v>
      </c>
    </row>
    <row r="2513" spans="1:12" ht="18" customHeight="1" x14ac:dyDescent="0.2">
      <c r="A2513" s="11">
        <f>IF(INPUT!M2508="","",INPUT!M2508)</f>
        <v>46132</v>
      </c>
      <c r="B2513" s="11">
        <f>IF(INPUT!M2508="","",INPUT!M2508-WEEKDAY(INPUT!M2508,2)+1)</f>
        <v>46132</v>
      </c>
      <c r="C2513" s="20">
        <f>IFERROR(_xlfn.ISOWEEKNUM(INPUT!M2508),"")</f>
        <v>17</v>
      </c>
      <c r="D2513" s="20">
        <f>IFERROR(YEAR(INPUT!M2508),"")</f>
        <v>2026</v>
      </c>
      <c r="E2513" t="str">
        <f>IF(INPUT!O2508="","",INPUT!O2508)</f>
        <v>HARRISON</v>
      </c>
      <c r="F2513" t="str">
        <f>IF(INPUT!N2508="","",INPUT!N2508)</f>
        <v>M</v>
      </c>
      <c r="G2513" t="str" cm="1">
        <f t="array" ref="G2513">IFERROR(VLOOKUP(INPUT!M2508&amp;INPUT!N2508,CHOOSE({1,2},INPUT!$A$3:$A$5000&amp;INPUT!$C$3:$C$5000,INPUT!$F$3:$F$5000),2,FALSE),"")</f>
        <v/>
      </c>
      <c r="H2513" t="str" cm="1">
        <f t="array" ref="H2513">IFERROR(VLOOKUP(INPUT!M2508&amp;INPUT!N2508,CHOOSE({1,2},INPUT!$A$3:$A$5000&amp;INPUT!$C$3:$C$5000,INPUT!$D$3:$D$5000),2,FALSE),"")</f>
        <v/>
      </c>
      <c r="I2513" s="46">
        <f>IF(INPUT!P2508="","",INPUT!P2508)</f>
        <v>71.5</v>
      </c>
      <c r="J2513" s="46">
        <f>IF(INPUT!Q2508="","",INPUT!Q2508)</f>
        <v>71</v>
      </c>
      <c r="K2513" s="46">
        <f>IFERROR(IF(OR(INPUT!P2508="",INPUT!Q2508=""),"",INPUT!P2508-INPUT!Q2508),"")</f>
        <v>0.5</v>
      </c>
      <c r="L2513" s="48">
        <f>IFERROR(IF(OR(INPUT!P2508="",INPUT!Q2508="",INPUT!P2508=0),"",(INPUT!P2508-INPUT!Q2508)/INPUT!P2508),"")</f>
        <v>6.993006993006993E-3</v>
      </c>
    </row>
    <row r="2514" spans="1:12" ht="18" hidden="1" customHeight="1" x14ac:dyDescent="0.2">
      <c r="A2514" s="11">
        <f>IF(INPUT!M2509="","",INPUT!M2509)</f>
        <v>46132</v>
      </c>
      <c r="B2514" s="11">
        <f>IF(INPUT!M2509="","",INPUT!M2509-WEEKDAY(INPUT!M2509,2)+1)</f>
        <v>46132</v>
      </c>
      <c r="C2514" s="20">
        <f>IFERROR(_xlfn.ISOWEEKNUM(INPUT!M2509),"")</f>
        <v>17</v>
      </c>
      <c r="D2514" s="20">
        <f>IFERROR(YEAR(INPUT!M2509),"")</f>
        <v>2026</v>
      </c>
      <c r="E2514" t="str">
        <f>IF(INPUT!O2509="","",INPUT!O2509)</f>
        <v>RAYA</v>
      </c>
      <c r="F2514" t="str">
        <f>IF(INPUT!N2509="","",INPUT!N2509)</f>
        <v>M</v>
      </c>
      <c r="G2514" t="str" cm="1">
        <f t="array" ref="G2514">IFERROR(VLOOKUP(INPUT!M2509&amp;INPUT!N2509,CHOOSE({1,2},INPUT!$A$3:$A$5000&amp;INPUT!$C$3:$C$5000,INPUT!$F$3:$F$5000),2,FALSE),"")</f>
        <v/>
      </c>
      <c r="H2514" t="str" cm="1">
        <f t="array" ref="H2514">IFERROR(VLOOKUP(INPUT!M2509&amp;INPUT!N2509,CHOOSE({1,2},INPUT!$A$3:$A$5000&amp;INPUT!$C$3:$C$5000,INPUT!$D$3:$D$5000),2,FALSE),"")</f>
        <v/>
      </c>
      <c r="I2514" s="46">
        <f>IF(INPUT!P2509="","",INPUT!P2509)</f>
        <v>80</v>
      </c>
      <c r="J2514" s="46">
        <f>IF(INPUT!Q2509="","",INPUT!Q2509)</f>
        <v>80</v>
      </c>
      <c r="K2514" s="46">
        <f>IFERROR(IF(OR(INPUT!P2509="",INPUT!Q2509=""),"",INPUT!P2509-INPUT!Q2509),"")</f>
        <v>0</v>
      </c>
      <c r="L2514" s="48">
        <f>IFERROR(IF(OR(INPUT!P2509="",INPUT!Q2509="",INPUT!P2509=0),"",(INPUT!P2509-INPUT!Q2509)/INPUT!P2509),"")</f>
        <v>0</v>
      </c>
    </row>
    <row r="2515" spans="1:12" ht="18" hidden="1" customHeight="1" x14ac:dyDescent="0.2">
      <c r="A2515" s="11">
        <f>IF(INPUT!M2510="","",INPUT!M2510)</f>
        <v>46132</v>
      </c>
      <c r="B2515" s="11">
        <f>IF(INPUT!M2510="","",INPUT!M2510-WEEKDAY(INPUT!M2510,2)+1)</f>
        <v>46132</v>
      </c>
      <c r="C2515" s="20">
        <f>IFERROR(_xlfn.ISOWEEKNUM(INPUT!M2510),"")</f>
        <v>17</v>
      </c>
      <c r="D2515" s="20">
        <f>IFERROR(YEAR(INPUT!M2510),"")</f>
        <v>2026</v>
      </c>
      <c r="E2515" t="str">
        <f>IF(INPUT!O2510="","",INPUT!O2510)</f>
        <v>JAVI</v>
      </c>
      <c r="F2515" t="str">
        <f>IF(INPUT!N2510="","",INPUT!N2510)</f>
        <v>M</v>
      </c>
      <c r="G2515" t="str" cm="1">
        <f t="array" ref="G2515">IFERROR(VLOOKUP(INPUT!M2510&amp;INPUT!N2510,CHOOSE({1,2},INPUT!$A$3:$A$5000&amp;INPUT!$C$3:$C$5000,INPUT!$F$3:$F$5000),2,FALSE),"")</f>
        <v/>
      </c>
      <c r="H2515" t="str" cm="1">
        <f t="array" ref="H2515">IFERROR(VLOOKUP(INPUT!M2510&amp;INPUT!N2510,CHOOSE({1,2},INPUT!$A$3:$A$5000&amp;INPUT!$C$3:$C$5000,INPUT!$D$3:$D$5000),2,FALSE),"")</f>
        <v/>
      </c>
      <c r="I2515" s="46">
        <f>IF(INPUT!P2510="","",INPUT!P2510)</f>
        <v>79.599999999999994</v>
      </c>
      <c r="J2515" s="46">
        <f>IF(INPUT!Q2510="","",INPUT!Q2510)</f>
        <v>79.400000000000006</v>
      </c>
      <c r="K2515" s="46">
        <f>IFERROR(IF(OR(INPUT!P2510="",INPUT!Q2510=""),"",INPUT!P2510-INPUT!Q2510),"")</f>
        <v>0.19999999999998863</v>
      </c>
      <c r="L2515" s="48">
        <f>IFERROR(IF(OR(INPUT!P2510="",INPUT!Q2510="",INPUT!P2510=0),"",(INPUT!P2510-INPUT!Q2510)/INPUT!P2510),"")</f>
        <v>2.5125628140702091E-3</v>
      </c>
    </row>
    <row r="2516" spans="1:12" ht="18" hidden="1" customHeight="1" x14ac:dyDescent="0.2">
      <c r="A2516" s="11">
        <f>IF(INPUT!M2511="","",INPUT!M2511)</f>
        <v>46132</v>
      </c>
      <c r="B2516" s="11">
        <f>IF(INPUT!M2511="","",INPUT!M2511-WEEKDAY(INPUT!M2511,2)+1)</f>
        <v>46132</v>
      </c>
      <c r="C2516" s="20">
        <f>IFERROR(_xlfn.ISOWEEKNUM(INPUT!M2511),"")</f>
        <v>17</v>
      </c>
      <c r="D2516" s="20">
        <f>IFERROR(YEAR(INPUT!M2511),"")</f>
        <v>2026</v>
      </c>
      <c r="E2516" t="str">
        <f>IF(INPUT!O2511="","",INPUT!O2511)</f>
        <v>PANI</v>
      </c>
      <c r="F2516" t="str">
        <f>IF(INPUT!N2511="","",INPUT!N2511)</f>
        <v>M</v>
      </c>
      <c r="G2516" t="str" cm="1">
        <f t="array" ref="G2516">IFERROR(VLOOKUP(INPUT!M2511&amp;INPUT!N2511,CHOOSE({1,2},INPUT!$A$3:$A$5000&amp;INPUT!$C$3:$C$5000,INPUT!$F$3:$F$5000),2,FALSE),"")</f>
        <v/>
      </c>
      <c r="H2516" t="str" cm="1">
        <f t="array" ref="H2516">IFERROR(VLOOKUP(INPUT!M2511&amp;INPUT!N2511,CHOOSE({1,2},INPUT!$A$3:$A$5000&amp;INPUT!$C$3:$C$5000,INPUT!$D$3:$D$5000),2,FALSE),"")</f>
        <v/>
      </c>
      <c r="I2516" s="46">
        <f>IF(INPUT!P2511="","",INPUT!P2511)</f>
        <v>67.8</v>
      </c>
      <c r="J2516" s="46">
        <f>IF(INPUT!Q2511="","",INPUT!Q2511)</f>
        <v>66.5</v>
      </c>
      <c r="K2516" s="46">
        <f>IFERROR(IF(OR(INPUT!P2511="",INPUT!Q2511=""),"",INPUT!P2511-INPUT!Q2511),"")</f>
        <v>1.2999999999999972</v>
      </c>
      <c r="L2516" s="48">
        <f>IFERROR(IF(OR(INPUT!P2511="",INPUT!Q2511="",INPUT!P2511=0),"",(INPUT!P2511-INPUT!Q2511)/INPUT!P2511),"")</f>
        <v>1.9174041297935061E-2</v>
      </c>
    </row>
    <row r="2517" spans="1:12" ht="18" customHeight="1" x14ac:dyDescent="0.2">
      <c r="A2517" s="11">
        <f>IF(INPUT!M2512="","",INPUT!M2512)</f>
        <v>46132</v>
      </c>
      <c r="B2517" s="11">
        <f>IF(INPUT!M2512="","",INPUT!M2512-WEEKDAY(INPUT!M2512,2)+1)</f>
        <v>46132</v>
      </c>
      <c r="C2517" s="20">
        <f>IFERROR(_xlfn.ISOWEEKNUM(INPUT!M2512),"")</f>
        <v>17</v>
      </c>
      <c r="D2517" s="20">
        <f>IFERROR(YEAR(INPUT!M2512),"")</f>
        <v>2026</v>
      </c>
      <c r="E2517" t="str">
        <f>IF(INPUT!O2512="","",INPUT!O2512)</f>
        <v>PIRATA</v>
      </c>
      <c r="F2517" t="str">
        <f>IF(INPUT!N2512="","",INPUT!N2512)</f>
        <v>M</v>
      </c>
      <c r="G2517" t="str" cm="1">
        <f t="array" ref="G2517">IFERROR(VLOOKUP(INPUT!M2512&amp;INPUT!N2512,CHOOSE({1,2},INPUT!$A$3:$A$5000&amp;INPUT!$C$3:$C$5000,INPUT!$F$3:$F$5000),2,FALSE),"")</f>
        <v/>
      </c>
      <c r="H2517" t="str" cm="1">
        <f t="array" ref="H2517">IFERROR(VLOOKUP(INPUT!M2512&amp;INPUT!N2512,CHOOSE({1,2},INPUT!$A$3:$A$5000&amp;INPUT!$C$3:$C$5000,INPUT!$D$3:$D$5000),2,FALSE),"")</f>
        <v/>
      </c>
      <c r="I2517" s="46">
        <f>IF(INPUT!P2512="","",INPUT!P2512)</f>
        <v>75.5</v>
      </c>
      <c r="J2517" s="46">
        <f>IF(INPUT!Q2512="","",INPUT!Q2512)</f>
        <v>75</v>
      </c>
      <c r="K2517" s="46">
        <f>IFERROR(IF(OR(INPUT!P2512="",INPUT!Q2512=""),"",INPUT!P2512-INPUT!Q2512),"")</f>
        <v>0.5</v>
      </c>
      <c r="L2517" s="48">
        <f>IFERROR(IF(OR(INPUT!P2512="",INPUT!Q2512="",INPUT!P2512=0),"",(INPUT!P2512-INPUT!Q2512)/INPUT!P2512),"")</f>
        <v>6.6225165562913907E-3</v>
      </c>
    </row>
    <row r="2518" spans="1:12" ht="18" hidden="1" customHeight="1" x14ac:dyDescent="0.2">
      <c r="A2518" s="11">
        <f>IF(INPUT!M2513="","",INPUT!M2513)</f>
        <v>46132</v>
      </c>
      <c r="B2518" s="11">
        <f>IF(INPUT!M2513="","",INPUT!M2513-WEEKDAY(INPUT!M2513,2)+1)</f>
        <v>46132</v>
      </c>
      <c r="C2518" s="20">
        <f>IFERROR(_xlfn.ISOWEEKNUM(INPUT!M2513),"")</f>
        <v>17</v>
      </c>
      <c r="D2518" s="20">
        <f>IFERROR(YEAR(INPUT!M2513),"")</f>
        <v>2026</v>
      </c>
      <c r="E2518" t="str">
        <f>IF(INPUT!O2513="","",INPUT!O2513)</f>
        <v>BARONA</v>
      </c>
      <c r="F2518" t="str">
        <f>IF(INPUT!N2513="","",INPUT!N2513)</f>
        <v>M</v>
      </c>
      <c r="G2518" t="str" cm="1">
        <f t="array" ref="G2518">IFERROR(VLOOKUP(INPUT!M2513&amp;INPUT!N2513,CHOOSE({1,2},INPUT!$A$3:$A$5000&amp;INPUT!$C$3:$C$5000,INPUT!$F$3:$F$5000),2,FALSE),"")</f>
        <v/>
      </c>
      <c r="H2518" t="str" cm="1">
        <f t="array" ref="H2518">IFERROR(VLOOKUP(INPUT!M2513&amp;INPUT!N2513,CHOOSE({1,2},INPUT!$A$3:$A$5000&amp;INPUT!$C$3:$C$5000,INPUT!$D$3:$D$5000),2,FALSE),"")</f>
        <v/>
      </c>
      <c r="I2518" s="46">
        <f>IF(INPUT!P2513="","",INPUT!P2513)</f>
        <v>71.5</v>
      </c>
      <c r="J2518" s="46">
        <f>IF(INPUT!Q2513="","",INPUT!Q2513)</f>
        <v>71.5</v>
      </c>
      <c r="K2518" s="46">
        <f>IFERROR(IF(OR(INPUT!P2513="",INPUT!Q2513=""),"",INPUT!P2513-INPUT!Q2513),"")</f>
        <v>0</v>
      </c>
      <c r="L2518" s="48">
        <f>IFERROR(IF(OR(INPUT!P2513="",INPUT!Q2513="",INPUT!P2513=0),"",(INPUT!P2513-INPUT!Q2513)/INPUT!P2513),"")</f>
        <v>0</v>
      </c>
    </row>
    <row r="2519" spans="1:12" ht="18" hidden="1" customHeight="1" x14ac:dyDescent="0.2">
      <c r="A2519" s="11">
        <f>IF(INPUT!M2514="","",INPUT!M2514)</f>
        <v>46132</v>
      </c>
      <c r="B2519" s="11">
        <f>IF(INPUT!M2514="","",INPUT!M2514-WEEKDAY(INPUT!M2514,2)+1)</f>
        <v>46132</v>
      </c>
      <c r="C2519" s="20">
        <f>IFERROR(_xlfn.ISOWEEKNUM(INPUT!M2514),"")</f>
        <v>17</v>
      </c>
      <c r="D2519" s="20">
        <f>IFERROR(YEAR(INPUT!M2514),"")</f>
        <v>2026</v>
      </c>
      <c r="E2519" t="str">
        <f>IF(INPUT!O2514="","",INPUT!O2514)</f>
        <v>CARLOS</v>
      </c>
      <c r="F2519" t="str">
        <f>IF(INPUT!N2514="","",INPUT!N2514)</f>
        <v>M</v>
      </c>
      <c r="G2519" t="str" cm="1">
        <f t="array" ref="G2519">IFERROR(VLOOKUP(INPUT!M2514&amp;INPUT!N2514,CHOOSE({1,2},INPUT!$A$3:$A$5000&amp;INPUT!$C$3:$C$5000,INPUT!$F$3:$F$5000),2,FALSE),"")</f>
        <v/>
      </c>
      <c r="H2519" t="str" cm="1">
        <f t="array" ref="H2519">IFERROR(VLOOKUP(INPUT!M2514&amp;INPUT!N2514,CHOOSE({1,2},INPUT!$A$3:$A$5000&amp;INPUT!$C$3:$C$5000,INPUT!$D$3:$D$5000),2,FALSE),"")</f>
        <v/>
      </c>
      <c r="I2519" s="46">
        <f>IF(INPUT!P2514="","",INPUT!P2514)</f>
        <v>69</v>
      </c>
      <c r="J2519" s="46">
        <f>IF(INPUT!Q2514="","",INPUT!Q2514)</f>
        <v>68.5</v>
      </c>
      <c r="K2519" s="46">
        <f>IFERROR(IF(OR(INPUT!P2514="",INPUT!Q2514=""),"",INPUT!P2514-INPUT!Q2514),"")</f>
        <v>0.5</v>
      </c>
      <c r="L2519" s="48">
        <f>IFERROR(IF(OR(INPUT!P2514="",INPUT!Q2514="",INPUT!P2514=0),"",(INPUT!P2514-INPUT!Q2514)/INPUT!P2514),"")</f>
        <v>7.246376811594203E-3</v>
      </c>
    </row>
    <row r="2520" spans="1:12" ht="18" hidden="1" customHeight="1" x14ac:dyDescent="0.2">
      <c r="A2520" s="11">
        <f>IF(INPUT!M2515="","",INPUT!M2515)</f>
        <v>46132</v>
      </c>
      <c r="B2520" s="11">
        <f>IF(INPUT!M2515="","",INPUT!M2515-WEEKDAY(INPUT!M2515,2)+1)</f>
        <v>46132</v>
      </c>
      <c r="C2520" s="20">
        <f>IFERROR(_xlfn.ISOWEEKNUM(INPUT!M2515),"")</f>
        <v>17</v>
      </c>
      <c r="D2520" s="20">
        <f>IFERROR(YEAR(INPUT!M2515),"")</f>
        <v>2026</v>
      </c>
      <c r="E2520" t="str">
        <f>IF(INPUT!O2515="","",INPUT!O2515)</f>
        <v>SEGO</v>
      </c>
      <c r="F2520" t="str">
        <f>IF(INPUT!N2515="","",INPUT!N2515)</f>
        <v>M</v>
      </c>
      <c r="G2520" t="str" cm="1">
        <f t="array" ref="G2520">IFERROR(VLOOKUP(INPUT!M2515&amp;INPUT!N2515,CHOOSE({1,2},INPUT!$A$3:$A$5000&amp;INPUT!$C$3:$C$5000,INPUT!$F$3:$F$5000),2,FALSE),"")</f>
        <v/>
      </c>
      <c r="H2520" t="str" cm="1">
        <f t="array" ref="H2520">IFERROR(VLOOKUP(INPUT!M2515&amp;INPUT!N2515,CHOOSE({1,2},INPUT!$A$3:$A$5000&amp;INPUT!$C$3:$C$5000,INPUT!$D$3:$D$5000),2,FALSE),"")</f>
        <v/>
      </c>
      <c r="I2520" s="46">
        <f>IF(INPUT!P2515="","",INPUT!P2515)</f>
        <v>78</v>
      </c>
      <c r="J2520" s="46">
        <f>IF(INPUT!Q2515="","",INPUT!Q2515)</f>
        <v>77.400000000000006</v>
      </c>
      <c r="K2520" s="46">
        <f>IFERROR(IF(OR(INPUT!P2515="",INPUT!Q2515=""),"",INPUT!P2515-INPUT!Q2515),"")</f>
        <v>0.59999999999999432</v>
      </c>
      <c r="L2520" s="48">
        <f>IFERROR(IF(OR(INPUT!P2515="",INPUT!Q2515="",INPUT!P2515=0),"",(INPUT!P2515-INPUT!Q2515)/INPUT!P2515),"")</f>
        <v>7.692307692307619E-3</v>
      </c>
    </row>
    <row r="2521" spans="1:12" ht="18" hidden="1" customHeight="1" x14ac:dyDescent="0.2">
      <c r="A2521" s="11">
        <f>IF(INPUT!M2516="","",INPUT!M2516)</f>
        <v>46132</v>
      </c>
      <c r="B2521" s="11">
        <f>IF(INPUT!M2516="","",INPUT!M2516-WEEKDAY(INPUT!M2516,2)+1)</f>
        <v>46132</v>
      </c>
      <c r="C2521" s="20">
        <f>IFERROR(_xlfn.ISOWEEKNUM(INPUT!M2516),"")</f>
        <v>17</v>
      </c>
      <c r="D2521" s="20">
        <f>IFERROR(YEAR(INPUT!M2516),"")</f>
        <v>2026</v>
      </c>
      <c r="E2521" t="str">
        <f>IF(INPUT!O2516="","",INPUT!O2516)</f>
        <v>RUBIO</v>
      </c>
      <c r="F2521" t="str">
        <f>IF(INPUT!N2516="","",INPUT!N2516)</f>
        <v>M</v>
      </c>
      <c r="G2521" t="str" cm="1">
        <f t="array" ref="G2521">IFERROR(VLOOKUP(INPUT!M2516&amp;INPUT!N2516,CHOOSE({1,2},INPUT!$A$3:$A$5000&amp;INPUT!$C$3:$C$5000,INPUT!$F$3:$F$5000),2,FALSE),"")</f>
        <v/>
      </c>
      <c r="H2521" t="str" cm="1">
        <f t="array" ref="H2521">IFERROR(VLOOKUP(INPUT!M2516&amp;INPUT!N2516,CHOOSE({1,2},INPUT!$A$3:$A$5000&amp;INPUT!$C$3:$C$5000,INPUT!$D$3:$D$5000),2,FALSE),"")</f>
        <v/>
      </c>
      <c r="I2521" s="46">
        <f>IF(INPUT!P2516="","",INPUT!P2516)</f>
        <v>74.099999999999994</v>
      </c>
      <c r="J2521" s="46">
        <f>IF(INPUT!Q2516="","",INPUT!Q2516)</f>
        <v>74.099999999999994</v>
      </c>
      <c r="K2521" s="46">
        <f>IFERROR(IF(OR(INPUT!P2516="",INPUT!Q2516=""),"",INPUT!P2516-INPUT!Q2516),"")</f>
        <v>0</v>
      </c>
      <c r="L2521" s="48">
        <f>IFERROR(IF(OR(INPUT!P2516="",INPUT!Q2516="",INPUT!P2516=0),"",(INPUT!P2516-INPUT!Q2516)/INPUT!P2516),"")</f>
        <v>0</v>
      </c>
    </row>
    <row r="2522" spans="1:12" ht="18" hidden="1" customHeight="1" x14ac:dyDescent="0.2">
      <c r="A2522" s="11">
        <f>IF(INPUT!M2517="","",INPUT!M2517)</f>
        <v>46132</v>
      </c>
      <c r="B2522" s="11">
        <f>IF(INPUT!M2517="","",INPUT!M2517-WEEKDAY(INPUT!M2517,2)+1)</f>
        <v>46132</v>
      </c>
      <c r="C2522" s="20">
        <f>IFERROR(_xlfn.ISOWEEKNUM(INPUT!M2517),"")</f>
        <v>17</v>
      </c>
      <c r="D2522" s="20">
        <f>IFERROR(YEAR(INPUT!M2517),"")</f>
        <v>2026</v>
      </c>
      <c r="E2522" t="str">
        <f>IF(INPUT!O2517="","",INPUT!O2517)</f>
        <v>DANI</v>
      </c>
      <c r="F2522" t="str">
        <f>IF(INPUT!N2517="","",INPUT!N2517)</f>
        <v>M</v>
      </c>
      <c r="G2522" t="str" cm="1">
        <f t="array" ref="G2522">IFERROR(VLOOKUP(INPUT!M2517&amp;INPUT!N2517,CHOOSE({1,2},INPUT!$A$3:$A$5000&amp;INPUT!$C$3:$C$5000,INPUT!$F$3:$F$5000),2,FALSE),"")</f>
        <v/>
      </c>
      <c r="H2522" t="str" cm="1">
        <f t="array" ref="H2522">IFERROR(VLOOKUP(INPUT!M2517&amp;INPUT!N2517,CHOOSE({1,2},INPUT!$A$3:$A$5000&amp;INPUT!$C$3:$C$5000,INPUT!$D$3:$D$5000),2,FALSE),"")</f>
        <v/>
      </c>
      <c r="I2522" s="46">
        <f>IF(INPUT!P2517="","",INPUT!P2517)</f>
        <v>89.5</v>
      </c>
      <c r="J2522" s="46">
        <f>IF(INPUT!Q2517="","",INPUT!Q2517)</f>
        <v>89.3</v>
      </c>
      <c r="K2522" s="46">
        <f>IFERROR(IF(OR(INPUT!P2517="",INPUT!Q2517=""),"",INPUT!P2517-INPUT!Q2517),"")</f>
        <v>0.20000000000000284</v>
      </c>
      <c r="L2522" s="48">
        <f>IFERROR(IF(OR(INPUT!P2517="",INPUT!Q2517="",INPUT!P2517=0),"",(INPUT!P2517-INPUT!Q2517)/INPUT!P2517),"")</f>
        <v>2.2346368715084118E-3</v>
      </c>
    </row>
    <row r="2523" spans="1:12" ht="18" hidden="1" customHeight="1" x14ac:dyDescent="0.2">
      <c r="A2523" s="11">
        <f>IF(INPUT!M2518="","",INPUT!M2518)</f>
        <v>46133</v>
      </c>
      <c r="B2523" s="11">
        <f>IF(INPUT!M2518="","",INPUT!M2518-WEEKDAY(INPUT!M2518,2)+1)</f>
        <v>46132</v>
      </c>
      <c r="C2523" s="20">
        <f>IFERROR(_xlfn.ISOWEEKNUM(INPUT!M2518),"")</f>
        <v>17</v>
      </c>
      <c r="D2523" s="20">
        <f>IFERROR(YEAR(INPUT!M2518),"")</f>
        <v>2026</v>
      </c>
      <c r="E2523" t="str">
        <f>IF(INPUT!O2518="","",INPUT!O2518)</f>
        <v>HERRERO</v>
      </c>
      <c r="F2523" t="str">
        <f>IF(INPUT!N2518="","",INPUT!N2518)</f>
        <v>M</v>
      </c>
      <c r="G2523" t="str" cm="1">
        <f t="array" ref="G2523">IFERROR(VLOOKUP(INPUT!M2518&amp;INPUT!N2518,CHOOSE({1,2},INPUT!$A$3:$A$5000&amp;INPUT!$C$3:$C$5000,INPUT!$F$3:$F$5000),2,FALSE),"")</f>
        <v/>
      </c>
      <c r="H2523" t="str" cm="1">
        <f t="array" ref="H2523">IFERROR(VLOOKUP(INPUT!M2518&amp;INPUT!N2518,CHOOSE({1,2},INPUT!$A$3:$A$5000&amp;INPUT!$C$3:$C$5000,INPUT!$D$3:$D$5000),2,FALSE),"")</f>
        <v/>
      </c>
      <c r="I2523" s="46">
        <f>IF(INPUT!P2518="","",INPUT!P2518)</f>
        <v>77</v>
      </c>
      <c r="J2523" s="46">
        <f>IF(INPUT!Q2518="","",INPUT!Q2518)</f>
        <v>76.2</v>
      </c>
      <c r="K2523" s="46">
        <f>IFERROR(IF(OR(INPUT!P2518="",INPUT!Q2518=""),"",INPUT!P2518-INPUT!Q2518),"")</f>
        <v>0.79999999999999716</v>
      </c>
      <c r="L2523" s="48">
        <f>IFERROR(IF(OR(INPUT!P2518="",INPUT!Q2518="",INPUT!P2518=0),"",(INPUT!P2518-INPUT!Q2518)/INPUT!P2518),"")</f>
        <v>1.0389610389610353E-2</v>
      </c>
    </row>
    <row r="2524" spans="1:12" ht="18" hidden="1" customHeight="1" x14ac:dyDescent="0.2">
      <c r="A2524" s="11">
        <f>IF(INPUT!M2519="","",INPUT!M2519)</f>
        <v>46133</v>
      </c>
      <c r="B2524" s="11">
        <f>IF(INPUT!M2519="","",INPUT!M2519-WEEKDAY(INPUT!M2519,2)+1)</f>
        <v>46132</v>
      </c>
      <c r="C2524" s="20">
        <f>IFERROR(_xlfn.ISOWEEKNUM(INPUT!M2519),"")</f>
        <v>17</v>
      </c>
      <c r="D2524" s="20">
        <f>IFERROR(YEAR(INPUT!M2519),"")</f>
        <v>2026</v>
      </c>
      <c r="E2524" t="str">
        <f>IF(INPUT!O2519="","",INPUT!O2519)</f>
        <v>GARCIA</v>
      </c>
      <c r="F2524" t="str">
        <f>IF(INPUT!N2519="","",INPUT!N2519)</f>
        <v>M</v>
      </c>
      <c r="G2524" t="str" cm="1">
        <f t="array" ref="G2524">IFERROR(VLOOKUP(INPUT!M2519&amp;INPUT!N2519,CHOOSE({1,2},INPUT!$A$3:$A$5000&amp;INPUT!$C$3:$C$5000,INPUT!$F$3:$F$5000),2,FALSE),"")</f>
        <v/>
      </c>
      <c r="H2524" t="str" cm="1">
        <f t="array" ref="H2524">IFERROR(VLOOKUP(INPUT!M2519&amp;INPUT!N2519,CHOOSE({1,2},INPUT!$A$3:$A$5000&amp;INPUT!$C$3:$C$5000,INPUT!$D$3:$D$5000),2,FALSE),"")</f>
        <v/>
      </c>
      <c r="I2524" s="46">
        <f>IF(INPUT!P2519="","",INPUT!P2519)</f>
        <v>79</v>
      </c>
      <c r="J2524" s="46">
        <f>IF(INPUT!Q2519="","",INPUT!Q2519)</f>
        <v>78.8</v>
      </c>
      <c r="K2524" s="46">
        <f>IFERROR(IF(OR(INPUT!P2519="",INPUT!Q2519=""),"",INPUT!P2519-INPUT!Q2519),"")</f>
        <v>0.20000000000000284</v>
      </c>
      <c r="L2524" s="48">
        <f>IFERROR(IF(OR(INPUT!P2519="",INPUT!Q2519="",INPUT!P2519=0),"",(INPUT!P2519-INPUT!Q2519)/INPUT!P2519),"")</f>
        <v>2.5316455696202892E-3</v>
      </c>
    </row>
    <row r="2525" spans="1:12" ht="18" hidden="1" customHeight="1" x14ac:dyDescent="0.2">
      <c r="A2525" s="11">
        <f>IF(INPUT!M2520="","",INPUT!M2520)</f>
        <v>46133</v>
      </c>
      <c r="B2525" s="11">
        <f>IF(INPUT!M2520="","",INPUT!M2520-WEEKDAY(INPUT!M2520,2)+1)</f>
        <v>46132</v>
      </c>
      <c r="C2525" s="20">
        <f>IFERROR(_xlfn.ISOWEEKNUM(INPUT!M2520),"")</f>
        <v>17</v>
      </c>
      <c r="D2525" s="20">
        <f>IFERROR(YEAR(INPUT!M2520),"")</f>
        <v>2026</v>
      </c>
      <c r="E2525" t="str">
        <f>IF(INPUT!O2520="","",INPUT!O2520)</f>
        <v>CECILIO</v>
      </c>
      <c r="F2525" t="str">
        <f>IF(INPUT!N2520="","",INPUT!N2520)</f>
        <v>M</v>
      </c>
      <c r="G2525" t="str" cm="1">
        <f t="array" ref="G2525">IFERROR(VLOOKUP(INPUT!M2520&amp;INPUT!N2520,CHOOSE({1,2},INPUT!$A$3:$A$5000&amp;INPUT!$C$3:$C$5000,INPUT!$F$3:$F$5000),2,FALSE),"")</f>
        <v/>
      </c>
      <c r="H2525" t="str" cm="1">
        <f t="array" ref="H2525">IFERROR(VLOOKUP(INPUT!M2520&amp;INPUT!N2520,CHOOSE({1,2},INPUT!$A$3:$A$5000&amp;INPUT!$C$3:$C$5000,INPUT!$D$3:$D$5000),2,FALSE),"")</f>
        <v/>
      </c>
      <c r="I2525" s="46">
        <f>IF(INPUT!P2520="","",INPUT!P2520)</f>
        <v>67.2</v>
      </c>
      <c r="J2525" s="46">
        <f>IF(INPUT!Q2520="","",INPUT!Q2520)</f>
        <v>67.099999999999994</v>
      </c>
      <c r="K2525" s="46">
        <f>IFERROR(IF(OR(INPUT!P2520="",INPUT!Q2520=""),"",INPUT!P2520-INPUT!Q2520),"")</f>
        <v>0.10000000000000853</v>
      </c>
      <c r="L2525" s="48">
        <f>IFERROR(IF(OR(INPUT!P2520="",INPUT!Q2520="",INPUT!P2520=0),"",(INPUT!P2520-INPUT!Q2520)/INPUT!P2520),"")</f>
        <v>1.4880952380953649E-3</v>
      </c>
    </row>
    <row r="2526" spans="1:12" ht="18" hidden="1" customHeight="1" x14ac:dyDescent="0.2">
      <c r="A2526" s="11">
        <f>IF(INPUT!M2521="","",INPUT!M2521)</f>
        <v>46133</v>
      </c>
      <c r="B2526" s="11">
        <f>IF(INPUT!M2521="","",INPUT!M2521-WEEKDAY(INPUT!M2521,2)+1)</f>
        <v>46132</v>
      </c>
      <c r="C2526" s="20">
        <f>IFERROR(_xlfn.ISOWEEKNUM(INPUT!M2521),"")</f>
        <v>17</v>
      </c>
      <c r="D2526" s="20">
        <f>IFERROR(YEAR(INPUT!M2521),"")</f>
        <v>2026</v>
      </c>
      <c r="E2526" t="str">
        <f>IF(INPUT!O2521="","",INPUT!O2521)</f>
        <v>CHAGUINHA</v>
      </c>
      <c r="F2526" t="str">
        <f>IF(INPUT!N2521="","",INPUT!N2521)</f>
        <v>M</v>
      </c>
      <c r="G2526" t="str" cm="1">
        <f t="array" ref="G2526">IFERROR(VLOOKUP(INPUT!M2521&amp;INPUT!N2521,CHOOSE({1,2},INPUT!$A$3:$A$5000&amp;INPUT!$C$3:$C$5000,INPUT!$F$3:$F$5000),2,FALSE),"")</f>
        <v/>
      </c>
      <c r="H2526" t="str" cm="1">
        <f t="array" ref="H2526">IFERROR(VLOOKUP(INPUT!M2521&amp;INPUT!N2521,CHOOSE({1,2},INPUT!$A$3:$A$5000&amp;INPUT!$C$3:$C$5000,INPUT!$D$3:$D$5000),2,FALSE),"")</f>
        <v/>
      </c>
      <c r="I2526" s="46">
        <f>IF(INPUT!P2521="","",INPUT!P2521)</f>
        <v>69</v>
      </c>
      <c r="J2526" s="46">
        <f>IF(INPUT!Q2521="","",INPUT!Q2521)</f>
        <v>68.5</v>
      </c>
      <c r="K2526" s="46">
        <f>IFERROR(IF(OR(INPUT!P2521="",INPUT!Q2521=""),"",INPUT!P2521-INPUT!Q2521),"")</f>
        <v>0.5</v>
      </c>
      <c r="L2526" s="48">
        <f>IFERROR(IF(OR(INPUT!P2521="",INPUT!Q2521="",INPUT!P2521=0),"",(INPUT!P2521-INPUT!Q2521)/INPUT!P2521),"")</f>
        <v>7.246376811594203E-3</v>
      </c>
    </row>
    <row r="2527" spans="1:12" ht="18" hidden="1" customHeight="1" x14ac:dyDescent="0.2">
      <c r="A2527" s="11">
        <f>IF(INPUT!M2522="","",INPUT!M2522)</f>
        <v>46133</v>
      </c>
      <c r="B2527" s="11">
        <f>IF(INPUT!M2522="","",INPUT!M2522-WEEKDAY(INPUT!M2522,2)+1)</f>
        <v>46132</v>
      </c>
      <c r="C2527" s="20">
        <f>IFERROR(_xlfn.ISOWEEKNUM(INPUT!M2522),"")</f>
        <v>17</v>
      </c>
      <c r="D2527" s="20">
        <f>IFERROR(YEAR(INPUT!M2522),"")</f>
        <v>2026</v>
      </c>
      <c r="E2527" t="str">
        <f>IF(INPUT!O2522="","",INPUT!O2522)</f>
        <v>RAUL</v>
      </c>
      <c r="F2527" t="str">
        <f>IF(INPUT!N2522="","",INPUT!N2522)</f>
        <v>M</v>
      </c>
      <c r="G2527" t="str" cm="1">
        <f t="array" ref="G2527">IFERROR(VLOOKUP(INPUT!M2522&amp;INPUT!N2522,CHOOSE({1,2},INPUT!$A$3:$A$5000&amp;INPUT!$C$3:$C$5000,INPUT!$F$3:$F$5000),2,FALSE),"")</f>
        <v/>
      </c>
      <c r="H2527" t="str" cm="1">
        <f t="array" ref="H2527">IFERROR(VLOOKUP(INPUT!M2522&amp;INPUT!N2522,CHOOSE({1,2},INPUT!$A$3:$A$5000&amp;INPUT!$C$3:$C$5000,INPUT!$D$3:$D$5000),2,FALSE),"")</f>
        <v/>
      </c>
      <c r="I2527" s="46">
        <f>IF(INPUT!P2522="","",INPUT!P2522)</f>
        <v>81.400000000000006</v>
      </c>
      <c r="J2527" s="46">
        <f>IF(INPUT!Q2522="","",INPUT!Q2522)</f>
        <v>81.5</v>
      </c>
      <c r="K2527" s="46">
        <f>IFERROR(IF(OR(INPUT!P2522="",INPUT!Q2522=""),"",INPUT!P2522-INPUT!Q2522),"")</f>
        <v>-9.9999999999994316E-2</v>
      </c>
      <c r="L2527" s="48">
        <f>IFERROR(IF(OR(INPUT!P2522="",INPUT!Q2522="",INPUT!P2522=0),"",(INPUT!P2522-INPUT!Q2522)/INPUT!P2522),"")</f>
        <v>-1.2285012285011586E-3</v>
      </c>
    </row>
    <row r="2528" spans="1:12" ht="18" hidden="1" customHeight="1" x14ac:dyDescent="0.2">
      <c r="A2528" s="11">
        <f>IF(INPUT!M2523="","",INPUT!M2523)</f>
        <v>46133</v>
      </c>
      <c r="B2528" s="11">
        <f>IF(INPUT!M2523="","",INPUT!M2523-WEEKDAY(INPUT!M2523,2)+1)</f>
        <v>46132</v>
      </c>
      <c r="C2528" s="20">
        <f>IFERROR(_xlfn.ISOWEEKNUM(INPUT!M2523),"")</f>
        <v>17</v>
      </c>
      <c r="D2528" s="20">
        <f>IFERROR(YEAR(INPUT!M2523),"")</f>
        <v>2026</v>
      </c>
      <c r="E2528" t="str">
        <f>IF(INPUT!O2523="","",INPUT!O2523)</f>
        <v>HARRISON</v>
      </c>
      <c r="F2528" t="str">
        <f>IF(INPUT!N2523="","",INPUT!N2523)</f>
        <v>M</v>
      </c>
      <c r="G2528" t="str" cm="1">
        <f t="array" ref="G2528">IFERROR(VLOOKUP(INPUT!M2523&amp;INPUT!N2523,CHOOSE({1,2},INPUT!$A$3:$A$5000&amp;INPUT!$C$3:$C$5000,INPUT!$F$3:$F$5000),2,FALSE),"")</f>
        <v/>
      </c>
      <c r="H2528" t="str" cm="1">
        <f t="array" ref="H2528">IFERROR(VLOOKUP(INPUT!M2523&amp;INPUT!N2523,CHOOSE({1,2},INPUT!$A$3:$A$5000&amp;INPUT!$C$3:$C$5000,INPUT!$D$3:$D$5000),2,FALSE),"")</f>
        <v/>
      </c>
      <c r="I2528" s="46">
        <f>IF(INPUT!P2523="","",INPUT!P2523)</f>
        <v>71.5</v>
      </c>
      <c r="J2528" s="46">
        <f>IF(INPUT!Q2523="","",INPUT!Q2523)</f>
        <v>72</v>
      </c>
      <c r="K2528" s="46">
        <f>IFERROR(IF(OR(INPUT!P2523="",INPUT!Q2523=""),"",INPUT!P2523-INPUT!Q2523),"")</f>
        <v>-0.5</v>
      </c>
      <c r="L2528" s="48">
        <f>IFERROR(IF(OR(INPUT!P2523="",INPUT!Q2523="",INPUT!P2523=0),"",(INPUT!P2523-INPUT!Q2523)/INPUT!P2523),"")</f>
        <v>-6.993006993006993E-3</v>
      </c>
    </row>
    <row r="2529" spans="1:12" ht="18" hidden="1" customHeight="1" x14ac:dyDescent="0.2">
      <c r="A2529" s="11">
        <f>IF(INPUT!M2524="","",INPUT!M2524)</f>
        <v>46133</v>
      </c>
      <c r="B2529" s="11">
        <f>IF(INPUT!M2524="","",INPUT!M2524-WEEKDAY(INPUT!M2524,2)+1)</f>
        <v>46132</v>
      </c>
      <c r="C2529" s="20">
        <f>IFERROR(_xlfn.ISOWEEKNUM(INPUT!M2524),"")</f>
        <v>17</v>
      </c>
      <c r="D2529" s="20">
        <f>IFERROR(YEAR(INPUT!M2524),"")</f>
        <v>2026</v>
      </c>
      <c r="E2529" t="str">
        <f>IF(INPUT!O2524="","",INPUT!O2524)</f>
        <v>RAYA</v>
      </c>
      <c r="F2529" t="str">
        <f>IF(INPUT!N2524="","",INPUT!N2524)</f>
        <v>M</v>
      </c>
      <c r="G2529" t="str" cm="1">
        <f t="array" ref="G2529">IFERROR(VLOOKUP(INPUT!M2524&amp;INPUT!N2524,CHOOSE({1,2},INPUT!$A$3:$A$5000&amp;INPUT!$C$3:$C$5000,INPUT!$F$3:$F$5000),2,FALSE),"")</f>
        <v/>
      </c>
      <c r="H2529" t="str" cm="1">
        <f t="array" ref="H2529">IFERROR(VLOOKUP(INPUT!M2524&amp;INPUT!N2524,CHOOSE({1,2},INPUT!$A$3:$A$5000&amp;INPUT!$C$3:$C$5000,INPUT!$D$3:$D$5000),2,FALSE),"")</f>
        <v/>
      </c>
      <c r="I2529" s="46">
        <f>IF(INPUT!P2524="","",INPUT!P2524)</f>
        <v>80.8</v>
      </c>
      <c r="J2529" s="46">
        <f>IF(INPUT!Q2524="","",INPUT!Q2524)</f>
        <v>80</v>
      </c>
      <c r="K2529" s="46">
        <f>IFERROR(IF(OR(INPUT!P2524="",INPUT!Q2524=""),"",INPUT!P2524-INPUT!Q2524),"")</f>
        <v>0.79999999999999716</v>
      </c>
      <c r="L2529" s="48">
        <f>IFERROR(IF(OR(INPUT!P2524="",INPUT!Q2524="",INPUT!P2524=0),"",(INPUT!P2524-INPUT!Q2524)/INPUT!P2524),"")</f>
        <v>9.9009900990098664E-3</v>
      </c>
    </row>
    <row r="2530" spans="1:12" ht="18" hidden="1" customHeight="1" x14ac:dyDescent="0.2">
      <c r="A2530" s="11">
        <f>IF(INPUT!M2525="","",INPUT!M2525)</f>
        <v>46133</v>
      </c>
      <c r="B2530" s="11">
        <f>IF(INPUT!M2525="","",INPUT!M2525-WEEKDAY(INPUT!M2525,2)+1)</f>
        <v>46132</v>
      </c>
      <c r="C2530" s="20">
        <f>IFERROR(_xlfn.ISOWEEKNUM(INPUT!M2525),"")</f>
        <v>17</v>
      </c>
      <c r="D2530" s="20">
        <f>IFERROR(YEAR(INPUT!M2525),"")</f>
        <v>2026</v>
      </c>
      <c r="E2530" t="str">
        <f>IF(INPUT!O2525="","",INPUT!O2525)</f>
        <v>JAVI</v>
      </c>
      <c r="F2530" t="str">
        <f>IF(INPUT!N2525="","",INPUT!N2525)</f>
        <v>M</v>
      </c>
      <c r="G2530" t="str" cm="1">
        <f t="array" ref="G2530">IFERROR(VLOOKUP(INPUT!M2525&amp;INPUT!N2525,CHOOSE({1,2},INPUT!$A$3:$A$5000&amp;INPUT!$C$3:$C$5000,INPUT!$F$3:$F$5000),2,FALSE),"")</f>
        <v/>
      </c>
      <c r="H2530" t="str" cm="1">
        <f t="array" ref="H2530">IFERROR(VLOOKUP(INPUT!M2525&amp;INPUT!N2525,CHOOSE({1,2},INPUT!$A$3:$A$5000&amp;INPUT!$C$3:$C$5000,INPUT!$D$3:$D$5000),2,FALSE),"")</f>
        <v/>
      </c>
      <c r="I2530" s="46">
        <f>IF(INPUT!P2525="","",INPUT!P2525)</f>
        <v>79.599999999999994</v>
      </c>
      <c r="J2530" s="46">
        <f>IF(INPUT!Q2525="","",INPUT!Q2525)</f>
        <v>79.2</v>
      </c>
      <c r="K2530" s="46">
        <f>IFERROR(IF(OR(INPUT!P2525="",INPUT!Q2525=""),"",INPUT!P2525-INPUT!Q2525),"")</f>
        <v>0.39999999999999147</v>
      </c>
      <c r="L2530" s="48">
        <f>IFERROR(IF(OR(INPUT!P2525="",INPUT!Q2525="",INPUT!P2525=0),"",(INPUT!P2525-INPUT!Q2525)/INPUT!P2525),"")</f>
        <v>5.0251256281405969E-3</v>
      </c>
    </row>
    <row r="2531" spans="1:12" ht="18" hidden="1" customHeight="1" x14ac:dyDescent="0.2">
      <c r="A2531" s="11">
        <f>IF(INPUT!M2526="","",INPUT!M2526)</f>
        <v>46133</v>
      </c>
      <c r="B2531" s="11">
        <f>IF(INPUT!M2526="","",INPUT!M2526-WEEKDAY(INPUT!M2526,2)+1)</f>
        <v>46132</v>
      </c>
      <c r="C2531" s="20">
        <f>IFERROR(_xlfn.ISOWEEKNUM(INPUT!M2526),"")</f>
        <v>17</v>
      </c>
      <c r="D2531" s="20">
        <f>IFERROR(YEAR(INPUT!M2526),"")</f>
        <v>2026</v>
      </c>
      <c r="E2531" t="str">
        <f>IF(INPUT!O2526="","",INPUT!O2526)</f>
        <v>PANI</v>
      </c>
      <c r="F2531" t="str">
        <f>IF(INPUT!N2526="","",INPUT!N2526)</f>
        <v>M</v>
      </c>
      <c r="G2531" t="str" cm="1">
        <f t="array" ref="G2531">IFERROR(VLOOKUP(INPUT!M2526&amp;INPUT!N2526,CHOOSE({1,2},INPUT!$A$3:$A$5000&amp;INPUT!$C$3:$C$5000,INPUT!$F$3:$F$5000),2,FALSE),"")</f>
        <v/>
      </c>
      <c r="H2531" t="str" cm="1">
        <f t="array" ref="H2531">IFERROR(VLOOKUP(INPUT!M2526&amp;INPUT!N2526,CHOOSE({1,2},INPUT!$A$3:$A$5000&amp;INPUT!$C$3:$C$5000,INPUT!$D$3:$D$5000),2,FALSE),"")</f>
        <v/>
      </c>
      <c r="I2531" s="46">
        <f>IF(INPUT!P2526="","",INPUT!P2526)</f>
        <v>67.3</v>
      </c>
      <c r="J2531" s="46">
        <f>IF(INPUT!Q2526="","",INPUT!Q2526)</f>
        <v>66.3</v>
      </c>
      <c r="K2531" s="46">
        <f>IFERROR(IF(OR(INPUT!P2526="",INPUT!Q2526=""),"",INPUT!P2526-INPUT!Q2526),"")</f>
        <v>1</v>
      </c>
      <c r="L2531" s="48">
        <f>IFERROR(IF(OR(INPUT!P2526="",INPUT!Q2526="",INPUT!P2526=0),"",(INPUT!P2526-INPUT!Q2526)/INPUT!P2526),"")</f>
        <v>1.485884101040119E-2</v>
      </c>
    </row>
    <row r="2532" spans="1:12" ht="18" hidden="1" customHeight="1" x14ac:dyDescent="0.2">
      <c r="A2532" s="11">
        <f>IF(INPUT!M2527="","",INPUT!M2527)</f>
        <v>46133</v>
      </c>
      <c r="B2532" s="11">
        <f>IF(INPUT!M2527="","",INPUT!M2527-WEEKDAY(INPUT!M2527,2)+1)</f>
        <v>46132</v>
      </c>
      <c r="C2532" s="20">
        <f>IFERROR(_xlfn.ISOWEEKNUM(INPUT!M2527),"")</f>
        <v>17</v>
      </c>
      <c r="D2532" s="20">
        <f>IFERROR(YEAR(INPUT!M2527),"")</f>
        <v>2026</v>
      </c>
      <c r="E2532" t="str">
        <f>IF(INPUT!O2527="","",INPUT!O2527)</f>
        <v>PIRATA</v>
      </c>
      <c r="F2532" t="str">
        <f>IF(INPUT!N2527="","",INPUT!N2527)</f>
        <v>M</v>
      </c>
      <c r="G2532" t="str" cm="1">
        <f t="array" ref="G2532">IFERROR(VLOOKUP(INPUT!M2527&amp;INPUT!N2527,CHOOSE({1,2},INPUT!$A$3:$A$5000&amp;INPUT!$C$3:$C$5000,INPUT!$F$3:$F$5000),2,FALSE),"")</f>
        <v/>
      </c>
      <c r="H2532" t="str" cm="1">
        <f t="array" ref="H2532">IFERROR(VLOOKUP(INPUT!M2527&amp;INPUT!N2527,CHOOSE({1,2},INPUT!$A$3:$A$5000&amp;INPUT!$C$3:$C$5000,INPUT!$D$3:$D$5000),2,FALSE),"")</f>
        <v/>
      </c>
      <c r="I2532" s="46">
        <f>IF(INPUT!P2527="","",INPUT!P2527)</f>
        <v>74.7</v>
      </c>
      <c r="J2532" s="46">
        <f>IF(INPUT!Q2527="","",INPUT!Q2527)</f>
        <v>74.8</v>
      </c>
      <c r="K2532" s="46">
        <f>IFERROR(IF(OR(INPUT!P2527="",INPUT!Q2527=""),"",INPUT!P2527-INPUT!Q2527),"")</f>
        <v>-9.9999999999994316E-2</v>
      </c>
      <c r="L2532" s="48">
        <f>IFERROR(IF(OR(INPUT!P2527="",INPUT!Q2527="",INPUT!P2527=0),"",(INPUT!P2527-INPUT!Q2527)/INPUT!P2527),"")</f>
        <v>-1.3386880856759613E-3</v>
      </c>
    </row>
    <row r="2533" spans="1:12" ht="18" hidden="1" customHeight="1" x14ac:dyDescent="0.2">
      <c r="A2533" s="11">
        <f>IF(INPUT!M2528="","",INPUT!M2528)</f>
        <v>46133</v>
      </c>
      <c r="B2533" s="11">
        <f>IF(INPUT!M2528="","",INPUT!M2528-WEEKDAY(INPUT!M2528,2)+1)</f>
        <v>46132</v>
      </c>
      <c r="C2533" s="20">
        <f>IFERROR(_xlfn.ISOWEEKNUM(INPUT!M2528),"")</f>
        <v>17</v>
      </c>
      <c r="D2533" s="20">
        <f>IFERROR(YEAR(INPUT!M2528),"")</f>
        <v>2026</v>
      </c>
      <c r="E2533" t="str">
        <f>IF(INPUT!O2528="","",INPUT!O2528)</f>
        <v>BARONA</v>
      </c>
      <c r="F2533" t="str">
        <f>IF(INPUT!N2528="","",INPUT!N2528)</f>
        <v>M</v>
      </c>
      <c r="G2533" t="str" cm="1">
        <f t="array" ref="G2533">IFERROR(VLOOKUP(INPUT!M2528&amp;INPUT!N2528,CHOOSE({1,2},INPUT!$A$3:$A$5000&amp;INPUT!$C$3:$C$5000,INPUT!$F$3:$F$5000),2,FALSE),"")</f>
        <v/>
      </c>
      <c r="H2533" t="str" cm="1">
        <f t="array" ref="H2533">IFERROR(VLOOKUP(INPUT!M2528&amp;INPUT!N2528,CHOOSE({1,2},INPUT!$A$3:$A$5000&amp;INPUT!$C$3:$C$5000,INPUT!$D$3:$D$5000),2,FALSE),"")</f>
        <v/>
      </c>
      <c r="I2533" s="46">
        <f>IF(INPUT!P2528="","",INPUT!P2528)</f>
        <v>71</v>
      </c>
      <c r="J2533" s="46">
        <f>IF(INPUT!Q2528="","",INPUT!Q2528)</f>
        <v>71</v>
      </c>
      <c r="K2533" s="46">
        <f>IFERROR(IF(OR(INPUT!P2528="",INPUT!Q2528=""),"",INPUT!P2528-INPUT!Q2528),"")</f>
        <v>0</v>
      </c>
      <c r="L2533" s="48">
        <f>IFERROR(IF(OR(INPUT!P2528="",INPUT!Q2528="",INPUT!P2528=0),"",(INPUT!P2528-INPUT!Q2528)/INPUT!P2528),"")</f>
        <v>0</v>
      </c>
    </row>
    <row r="2534" spans="1:12" ht="18" hidden="1" customHeight="1" x14ac:dyDescent="0.2">
      <c r="A2534" s="11">
        <f>IF(INPUT!M2529="","",INPUT!M2529)</f>
        <v>46133</v>
      </c>
      <c r="B2534" s="11">
        <f>IF(INPUT!M2529="","",INPUT!M2529-WEEKDAY(INPUT!M2529,2)+1)</f>
        <v>46132</v>
      </c>
      <c r="C2534" s="20">
        <f>IFERROR(_xlfn.ISOWEEKNUM(INPUT!M2529),"")</f>
        <v>17</v>
      </c>
      <c r="D2534" s="20">
        <f>IFERROR(YEAR(INPUT!M2529),"")</f>
        <v>2026</v>
      </c>
      <c r="E2534" t="str">
        <f>IF(INPUT!O2529="","",INPUT!O2529)</f>
        <v>CARLOS</v>
      </c>
      <c r="F2534" t="str">
        <f>IF(INPUT!N2529="","",INPUT!N2529)</f>
        <v>M</v>
      </c>
      <c r="G2534" t="str" cm="1">
        <f t="array" ref="G2534">IFERROR(VLOOKUP(INPUT!M2529&amp;INPUT!N2529,CHOOSE({1,2},INPUT!$A$3:$A$5000&amp;INPUT!$C$3:$C$5000,INPUT!$F$3:$F$5000),2,FALSE),"")</f>
        <v/>
      </c>
      <c r="H2534" t="str" cm="1">
        <f t="array" ref="H2534">IFERROR(VLOOKUP(INPUT!M2529&amp;INPUT!N2529,CHOOSE({1,2},INPUT!$A$3:$A$5000&amp;INPUT!$C$3:$C$5000,INPUT!$D$3:$D$5000),2,FALSE),"")</f>
        <v/>
      </c>
      <c r="I2534" s="46">
        <f>IF(INPUT!P2529="","",INPUT!P2529)</f>
        <v>69.3</v>
      </c>
      <c r="J2534" s="46">
        <f>IF(INPUT!Q2529="","",INPUT!Q2529)</f>
        <v>68.8</v>
      </c>
      <c r="K2534" s="46">
        <f>IFERROR(IF(OR(INPUT!P2529="",INPUT!Q2529=""),"",INPUT!P2529-INPUT!Q2529),"")</f>
        <v>0.5</v>
      </c>
      <c r="L2534" s="48">
        <f>IFERROR(IF(OR(INPUT!P2529="",INPUT!Q2529="",INPUT!P2529=0),"",(INPUT!P2529-INPUT!Q2529)/INPUT!P2529),"")</f>
        <v>7.215007215007215E-3</v>
      </c>
    </row>
    <row r="2535" spans="1:12" ht="18" hidden="1" customHeight="1" x14ac:dyDescent="0.2">
      <c r="A2535" s="11">
        <f>IF(INPUT!M2530="","",INPUT!M2530)</f>
        <v>46133</v>
      </c>
      <c r="B2535" s="11">
        <f>IF(INPUT!M2530="","",INPUT!M2530-WEEKDAY(INPUT!M2530,2)+1)</f>
        <v>46132</v>
      </c>
      <c r="C2535" s="20">
        <f>IFERROR(_xlfn.ISOWEEKNUM(INPUT!M2530),"")</f>
        <v>17</v>
      </c>
      <c r="D2535" s="20">
        <f>IFERROR(YEAR(INPUT!M2530),"")</f>
        <v>2026</v>
      </c>
      <c r="E2535" t="str">
        <f>IF(INPUT!O2530="","",INPUT!O2530)</f>
        <v>SEGO</v>
      </c>
      <c r="F2535" t="str">
        <f>IF(INPUT!N2530="","",INPUT!N2530)</f>
        <v>M</v>
      </c>
      <c r="G2535" t="str" cm="1">
        <f t="array" ref="G2535">IFERROR(VLOOKUP(INPUT!M2530&amp;INPUT!N2530,CHOOSE({1,2},INPUT!$A$3:$A$5000&amp;INPUT!$C$3:$C$5000,INPUT!$F$3:$F$5000),2,FALSE),"")</f>
        <v/>
      </c>
      <c r="H2535" t="str" cm="1">
        <f t="array" ref="H2535">IFERROR(VLOOKUP(INPUT!M2530&amp;INPUT!N2530,CHOOSE({1,2},INPUT!$A$3:$A$5000&amp;INPUT!$C$3:$C$5000,INPUT!$D$3:$D$5000),2,FALSE),"")</f>
        <v/>
      </c>
      <c r="I2535" s="46">
        <f>IF(INPUT!P2530="","",INPUT!P2530)</f>
        <v>77.599999999999994</v>
      </c>
      <c r="J2535" s="46">
        <f>IF(INPUT!Q2530="","",INPUT!Q2530)</f>
        <v>77.8</v>
      </c>
      <c r="K2535" s="46">
        <f>IFERROR(IF(OR(INPUT!P2530="",INPUT!Q2530=""),"",INPUT!P2530-INPUT!Q2530),"")</f>
        <v>-0.20000000000000284</v>
      </c>
      <c r="L2535" s="48">
        <f>IFERROR(IF(OR(INPUT!P2530="",INPUT!Q2530="",INPUT!P2530=0),"",(INPUT!P2530-INPUT!Q2530)/INPUT!P2530),"")</f>
        <v>-2.5773195876289028E-3</v>
      </c>
    </row>
    <row r="2536" spans="1:12" ht="18" hidden="1" customHeight="1" x14ac:dyDescent="0.2">
      <c r="A2536" s="11">
        <f>IF(INPUT!M2531="","",INPUT!M2531)</f>
        <v>46133</v>
      </c>
      <c r="B2536" s="11">
        <f>IF(INPUT!M2531="","",INPUT!M2531-WEEKDAY(INPUT!M2531,2)+1)</f>
        <v>46132</v>
      </c>
      <c r="C2536" s="20">
        <f>IFERROR(_xlfn.ISOWEEKNUM(INPUT!M2531),"")</f>
        <v>17</v>
      </c>
      <c r="D2536" s="20">
        <f>IFERROR(YEAR(INPUT!M2531),"")</f>
        <v>2026</v>
      </c>
      <c r="E2536" t="str">
        <f>IF(INPUT!O2531="","",INPUT!O2531)</f>
        <v>RUBIO</v>
      </c>
      <c r="F2536" t="str">
        <f>IF(INPUT!N2531="","",INPUT!N2531)</f>
        <v>M</v>
      </c>
      <c r="G2536" t="str" cm="1">
        <f t="array" ref="G2536">IFERROR(VLOOKUP(INPUT!M2531&amp;INPUT!N2531,CHOOSE({1,2},INPUT!$A$3:$A$5000&amp;INPUT!$C$3:$C$5000,INPUT!$F$3:$F$5000),2,FALSE),"")</f>
        <v/>
      </c>
      <c r="H2536" t="str" cm="1">
        <f t="array" ref="H2536">IFERROR(VLOOKUP(INPUT!M2531&amp;INPUT!N2531,CHOOSE({1,2},INPUT!$A$3:$A$5000&amp;INPUT!$C$3:$C$5000,INPUT!$D$3:$D$5000),2,FALSE),"")</f>
        <v/>
      </c>
      <c r="I2536" s="46">
        <f>IF(INPUT!P2531="","",INPUT!P2531)</f>
        <v>74.099999999999994</v>
      </c>
      <c r="J2536" s="46">
        <f>IF(INPUT!Q2531="","",INPUT!Q2531)</f>
        <v>74.099999999999994</v>
      </c>
      <c r="K2536" s="46">
        <f>IFERROR(IF(OR(INPUT!P2531="",INPUT!Q2531=""),"",INPUT!P2531-INPUT!Q2531),"")</f>
        <v>0</v>
      </c>
      <c r="L2536" s="48">
        <f>IFERROR(IF(OR(INPUT!P2531="",INPUT!Q2531="",INPUT!P2531=0),"",(INPUT!P2531-INPUT!Q2531)/INPUT!P2531),"")</f>
        <v>0</v>
      </c>
    </row>
    <row r="2537" spans="1:12" ht="18" hidden="1" customHeight="1" x14ac:dyDescent="0.2">
      <c r="A2537" s="11">
        <f>IF(INPUT!M2532="","",INPUT!M2532)</f>
        <v>46133</v>
      </c>
      <c r="B2537" s="11">
        <f>IF(INPUT!M2532="","",INPUT!M2532-WEEKDAY(INPUT!M2532,2)+1)</f>
        <v>46132</v>
      </c>
      <c r="C2537" s="20">
        <f>IFERROR(_xlfn.ISOWEEKNUM(INPUT!M2532),"")</f>
        <v>17</v>
      </c>
      <c r="D2537" s="20">
        <f>IFERROR(YEAR(INPUT!M2532),"")</f>
        <v>2026</v>
      </c>
      <c r="E2537" t="str">
        <f>IF(INPUT!O2532="","",INPUT!O2532)</f>
        <v>DANI</v>
      </c>
      <c r="F2537" t="str">
        <f>IF(INPUT!N2532="","",INPUT!N2532)</f>
        <v>M</v>
      </c>
      <c r="G2537" t="str" cm="1">
        <f t="array" ref="G2537">IFERROR(VLOOKUP(INPUT!M2532&amp;INPUT!N2532,CHOOSE({1,2},INPUT!$A$3:$A$5000&amp;INPUT!$C$3:$C$5000,INPUT!$F$3:$F$5000),2,FALSE),"")</f>
        <v/>
      </c>
      <c r="H2537" t="str" cm="1">
        <f t="array" ref="H2537">IFERROR(VLOOKUP(INPUT!M2532&amp;INPUT!N2532,CHOOSE({1,2},INPUT!$A$3:$A$5000&amp;INPUT!$C$3:$C$5000,INPUT!$D$3:$D$5000),2,FALSE),"")</f>
        <v/>
      </c>
      <c r="I2537" s="46">
        <f>IF(INPUT!P2532="","",INPUT!P2532)</f>
        <v>91.1</v>
      </c>
      <c r="J2537" s="46">
        <f>IF(INPUT!Q2532="","",INPUT!Q2532)</f>
        <v>90.5</v>
      </c>
      <c r="K2537" s="46">
        <f>IFERROR(IF(OR(INPUT!P2532="",INPUT!Q2532=""),"",INPUT!P2532-INPUT!Q2532),"")</f>
        <v>0.59999999999999432</v>
      </c>
      <c r="L2537" s="48">
        <f>IFERROR(IF(OR(INPUT!P2532="",INPUT!Q2532="",INPUT!P2532=0),"",(INPUT!P2532-INPUT!Q2532)/INPUT!P2532),"")</f>
        <v>6.5861690450054267E-3</v>
      </c>
    </row>
    <row r="2538" spans="1:12" ht="18" hidden="1" customHeight="1" x14ac:dyDescent="0.2">
      <c r="A2538" s="11" t="str">
        <f>IF(INPUT!M2533="","",INPUT!M2533)</f>
        <v/>
      </c>
      <c r="B2538" s="11" t="str">
        <f>IF(INPUT!M2533="","",INPUT!M2533-WEEKDAY(INPUT!M2533,2)+1)</f>
        <v/>
      </c>
      <c r="C2538" s="20">
        <f>IFERROR(_xlfn.ISOWEEKNUM(INPUT!M2533),"")</f>
        <v>52</v>
      </c>
      <c r="D2538" s="20">
        <f>IFERROR(YEAR(INPUT!M2533),"")</f>
        <v>1900</v>
      </c>
      <c r="E2538" t="str">
        <f>IF(INPUT!O2533="","",INPUT!O2533)</f>
        <v/>
      </c>
      <c r="F2538" t="str">
        <f>IF(INPUT!N2533="","",INPUT!N2533)</f>
        <v/>
      </c>
      <c r="G2538" cm="1">
        <f t="array" ref="G2538">IFERROR(VLOOKUP(INPUT!M2533&amp;INPUT!N2533,CHOOSE({1,2},INPUT!$A$3:$A$5000&amp;INPUT!$C$3:$C$5000,INPUT!$F$3:$F$5000),2,FALSE),"")</f>
        <v>0</v>
      </c>
      <c r="H2538" cm="1">
        <f t="array" ref="H2538">IFERROR(VLOOKUP(INPUT!M2533&amp;INPUT!N2533,CHOOSE({1,2},INPUT!$A$3:$A$5000&amp;INPUT!$C$3:$C$5000,INPUT!$D$3:$D$5000),2,FALSE),"")</f>
        <v>0</v>
      </c>
      <c r="I2538" s="46" t="str">
        <f>IF(INPUT!P2533="","",INPUT!P2533)</f>
        <v/>
      </c>
      <c r="J2538" s="46" t="str">
        <f>IF(INPUT!Q2533="","",INPUT!Q2533)</f>
        <v/>
      </c>
      <c r="K2538" s="46" t="str">
        <f>IFERROR(IF(OR(INPUT!P2533="",INPUT!Q2533=""),"",INPUT!P2533-INPUT!Q2533),"")</f>
        <v/>
      </c>
      <c r="L2538" s="48" t="str">
        <f>IFERROR(IF(OR(INPUT!P2533="",INPUT!Q2533="",INPUT!P2533=0),"",(INPUT!P2533-INPUT!Q2533)/INPUT!P2533),"")</f>
        <v/>
      </c>
    </row>
    <row r="2539" spans="1:12" ht="18" hidden="1" customHeight="1" x14ac:dyDescent="0.2">
      <c r="A2539" s="11" t="str">
        <f>IF(INPUT!M2534="","",INPUT!M2534)</f>
        <v/>
      </c>
      <c r="B2539" s="11" t="str">
        <f>IF(INPUT!M2534="","",INPUT!M2534-WEEKDAY(INPUT!M2534,2)+1)</f>
        <v/>
      </c>
      <c r="C2539" s="20">
        <f>IFERROR(_xlfn.ISOWEEKNUM(INPUT!M2534),"")</f>
        <v>52</v>
      </c>
      <c r="D2539" s="20">
        <f>IFERROR(YEAR(INPUT!M2534),"")</f>
        <v>1900</v>
      </c>
      <c r="E2539" t="str">
        <f>IF(INPUT!O2534="","",INPUT!O2534)</f>
        <v/>
      </c>
      <c r="F2539" t="str">
        <f>IF(INPUT!N2534="","",INPUT!N2534)</f>
        <v/>
      </c>
      <c r="G2539" cm="1">
        <f t="array" ref="G2539">IFERROR(VLOOKUP(INPUT!M2534&amp;INPUT!N2534,CHOOSE({1,2},INPUT!$A$3:$A$5000&amp;INPUT!$C$3:$C$5000,INPUT!$F$3:$F$5000),2,FALSE),"")</f>
        <v>0</v>
      </c>
      <c r="H2539" cm="1">
        <f t="array" ref="H2539">IFERROR(VLOOKUP(INPUT!M2534&amp;INPUT!N2534,CHOOSE({1,2},INPUT!$A$3:$A$5000&amp;INPUT!$C$3:$C$5000,INPUT!$D$3:$D$5000),2,FALSE),"")</f>
        <v>0</v>
      </c>
      <c r="I2539" s="46" t="str">
        <f>IF(INPUT!P2534="","",INPUT!P2534)</f>
        <v/>
      </c>
      <c r="J2539" s="46" t="str">
        <f>IF(INPUT!Q2534="","",INPUT!Q2534)</f>
        <v/>
      </c>
      <c r="K2539" s="46" t="str">
        <f>IFERROR(IF(OR(INPUT!P2534="",INPUT!Q2534=""),"",INPUT!P2534-INPUT!Q2534),"")</f>
        <v/>
      </c>
      <c r="L2539" s="48" t="str">
        <f>IFERROR(IF(OR(INPUT!P2534="",INPUT!Q2534="",INPUT!P2534=0),"",(INPUT!P2534-INPUT!Q2534)/INPUT!P2534),"")</f>
        <v/>
      </c>
    </row>
    <row r="2540" spans="1:12" ht="18" hidden="1" customHeight="1" x14ac:dyDescent="0.2">
      <c r="A2540" s="11" t="str">
        <f>IF(INPUT!M2535="","",INPUT!M2535)</f>
        <v/>
      </c>
      <c r="B2540" s="11" t="str">
        <f>IF(INPUT!M2535="","",INPUT!M2535-WEEKDAY(INPUT!M2535,2)+1)</f>
        <v/>
      </c>
      <c r="C2540" s="20">
        <f>IFERROR(_xlfn.ISOWEEKNUM(INPUT!M2535),"")</f>
        <v>52</v>
      </c>
      <c r="D2540" s="20">
        <f>IFERROR(YEAR(INPUT!M2535),"")</f>
        <v>1900</v>
      </c>
      <c r="E2540" t="str">
        <f>IF(INPUT!O2535="","",INPUT!O2535)</f>
        <v/>
      </c>
      <c r="F2540" t="str">
        <f>IF(INPUT!N2535="","",INPUT!N2535)</f>
        <v/>
      </c>
      <c r="G2540" cm="1">
        <f t="array" ref="G2540">IFERROR(VLOOKUP(INPUT!M2535&amp;INPUT!N2535,CHOOSE({1,2},INPUT!$A$3:$A$5000&amp;INPUT!$C$3:$C$5000,INPUT!$F$3:$F$5000),2,FALSE),"")</f>
        <v>0</v>
      </c>
      <c r="H2540" cm="1">
        <f t="array" ref="H2540">IFERROR(VLOOKUP(INPUT!M2535&amp;INPUT!N2535,CHOOSE({1,2},INPUT!$A$3:$A$5000&amp;INPUT!$C$3:$C$5000,INPUT!$D$3:$D$5000),2,FALSE),"")</f>
        <v>0</v>
      </c>
      <c r="I2540" s="46" t="str">
        <f>IF(INPUT!P2535="","",INPUT!P2535)</f>
        <v/>
      </c>
      <c r="J2540" s="46" t="str">
        <f>IF(INPUT!Q2535="","",INPUT!Q2535)</f>
        <v/>
      </c>
      <c r="K2540" s="46" t="str">
        <f>IFERROR(IF(OR(INPUT!P2535="",INPUT!Q2535=""),"",INPUT!P2535-INPUT!Q2535),"")</f>
        <v/>
      </c>
      <c r="L2540" s="48" t="str">
        <f>IFERROR(IF(OR(INPUT!P2535="",INPUT!Q2535="",INPUT!P2535=0),"",(INPUT!P2535-INPUT!Q2535)/INPUT!P2535),"")</f>
        <v/>
      </c>
    </row>
    <row r="2541" spans="1:12" ht="18" hidden="1" customHeight="1" x14ac:dyDescent="0.2">
      <c r="A2541" s="11" t="str">
        <f>IF(INPUT!M2536="","",INPUT!M2536)</f>
        <v/>
      </c>
      <c r="B2541" s="11" t="str">
        <f>IF(INPUT!M2536="","",INPUT!M2536-WEEKDAY(INPUT!M2536,2)+1)</f>
        <v/>
      </c>
      <c r="C2541" s="20">
        <f>IFERROR(_xlfn.ISOWEEKNUM(INPUT!M2536),"")</f>
        <v>52</v>
      </c>
      <c r="D2541" s="20">
        <f>IFERROR(YEAR(INPUT!M2536),"")</f>
        <v>1900</v>
      </c>
      <c r="E2541" t="str">
        <f>IF(INPUT!O2536="","",INPUT!O2536)</f>
        <v/>
      </c>
      <c r="F2541" t="str">
        <f>IF(INPUT!N2536="","",INPUT!N2536)</f>
        <v/>
      </c>
      <c r="G2541" cm="1">
        <f t="array" ref="G2541">IFERROR(VLOOKUP(INPUT!M2536&amp;INPUT!N2536,CHOOSE({1,2},INPUT!$A$3:$A$5000&amp;INPUT!$C$3:$C$5000,INPUT!$F$3:$F$5000),2,FALSE),"")</f>
        <v>0</v>
      </c>
      <c r="H2541" cm="1">
        <f t="array" ref="H2541">IFERROR(VLOOKUP(INPUT!M2536&amp;INPUT!N2536,CHOOSE({1,2},INPUT!$A$3:$A$5000&amp;INPUT!$C$3:$C$5000,INPUT!$D$3:$D$5000),2,FALSE),"")</f>
        <v>0</v>
      </c>
      <c r="I2541" s="46" t="str">
        <f>IF(INPUT!P2536="","",INPUT!P2536)</f>
        <v/>
      </c>
      <c r="J2541" s="46" t="str">
        <f>IF(INPUT!Q2536="","",INPUT!Q2536)</f>
        <v/>
      </c>
      <c r="K2541" s="46" t="str">
        <f>IFERROR(IF(OR(INPUT!P2536="",INPUT!Q2536=""),"",INPUT!P2536-INPUT!Q2536),"")</f>
        <v/>
      </c>
      <c r="L2541" s="48" t="str">
        <f>IFERROR(IF(OR(INPUT!P2536="",INPUT!Q2536="",INPUT!P2536=0),"",(INPUT!P2536-INPUT!Q2536)/INPUT!P2536),"")</f>
        <v/>
      </c>
    </row>
    <row r="2542" spans="1:12" ht="18" hidden="1" customHeight="1" x14ac:dyDescent="0.2">
      <c r="A2542" s="11" t="str">
        <f>IF(INPUT!M2537="","",INPUT!M2537)</f>
        <v/>
      </c>
      <c r="B2542" s="11" t="str">
        <f>IF(INPUT!M2537="","",INPUT!M2537-WEEKDAY(INPUT!M2537,2)+1)</f>
        <v/>
      </c>
      <c r="C2542" s="20">
        <f>IFERROR(_xlfn.ISOWEEKNUM(INPUT!M2537),"")</f>
        <v>52</v>
      </c>
      <c r="D2542" s="20">
        <f>IFERROR(YEAR(INPUT!M2537),"")</f>
        <v>1900</v>
      </c>
      <c r="E2542" t="str">
        <f>IF(INPUT!O2537="","",INPUT!O2537)</f>
        <v/>
      </c>
      <c r="F2542" t="str">
        <f>IF(INPUT!N2537="","",INPUT!N2537)</f>
        <v/>
      </c>
      <c r="G2542" cm="1">
        <f t="array" ref="G2542">IFERROR(VLOOKUP(INPUT!M2537&amp;INPUT!N2537,CHOOSE({1,2},INPUT!$A$3:$A$5000&amp;INPUT!$C$3:$C$5000,INPUT!$F$3:$F$5000),2,FALSE),"")</f>
        <v>0</v>
      </c>
      <c r="H2542" cm="1">
        <f t="array" ref="H2542">IFERROR(VLOOKUP(INPUT!M2537&amp;INPUT!N2537,CHOOSE({1,2},INPUT!$A$3:$A$5000&amp;INPUT!$C$3:$C$5000,INPUT!$D$3:$D$5000),2,FALSE),"")</f>
        <v>0</v>
      </c>
      <c r="I2542" s="46" t="str">
        <f>IF(INPUT!P2537="","",INPUT!P2537)</f>
        <v/>
      </c>
      <c r="J2542" s="46" t="str">
        <f>IF(INPUT!Q2537="","",INPUT!Q2537)</f>
        <v/>
      </c>
      <c r="K2542" s="46" t="str">
        <f>IFERROR(IF(OR(INPUT!P2537="",INPUT!Q2537=""),"",INPUT!P2537-INPUT!Q2537),"")</f>
        <v/>
      </c>
      <c r="L2542" s="48" t="str">
        <f>IFERROR(IF(OR(INPUT!P2537="",INPUT!Q2537="",INPUT!P2537=0),"",(INPUT!P2537-INPUT!Q2537)/INPUT!P2537),"")</f>
        <v/>
      </c>
    </row>
    <row r="2543" spans="1:12" ht="18" hidden="1" customHeight="1" x14ac:dyDescent="0.2">
      <c r="A2543" s="11" t="str">
        <f>IF(INPUT!M2538="","",INPUT!M2538)</f>
        <v/>
      </c>
      <c r="B2543" s="11" t="str">
        <f>IF(INPUT!M2538="","",INPUT!M2538-WEEKDAY(INPUT!M2538,2)+1)</f>
        <v/>
      </c>
      <c r="C2543" s="20">
        <f>IFERROR(_xlfn.ISOWEEKNUM(INPUT!M2538),"")</f>
        <v>52</v>
      </c>
      <c r="D2543" s="20">
        <f>IFERROR(YEAR(INPUT!M2538),"")</f>
        <v>1900</v>
      </c>
      <c r="E2543" t="str">
        <f>IF(INPUT!O2538="","",INPUT!O2538)</f>
        <v/>
      </c>
      <c r="F2543" t="str">
        <f>IF(INPUT!N2538="","",INPUT!N2538)</f>
        <v/>
      </c>
      <c r="G2543" cm="1">
        <f t="array" ref="G2543">IFERROR(VLOOKUP(INPUT!M2538&amp;INPUT!N2538,CHOOSE({1,2},INPUT!$A$3:$A$5000&amp;INPUT!$C$3:$C$5000,INPUT!$F$3:$F$5000),2,FALSE),"")</f>
        <v>0</v>
      </c>
      <c r="H2543" cm="1">
        <f t="array" ref="H2543">IFERROR(VLOOKUP(INPUT!M2538&amp;INPUT!N2538,CHOOSE({1,2},INPUT!$A$3:$A$5000&amp;INPUT!$C$3:$C$5000,INPUT!$D$3:$D$5000),2,FALSE),"")</f>
        <v>0</v>
      </c>
      <c r="I2543" s="46" t="str">
        <f>IF(INPUT!P2538="","",INPUT!P2538)</f>
        <v/>
      </c>
      <c r="J2543" s="46" t="str">
        <f>IF(INPUT!Q2538="","",INPUT!Q2538)</f>
        <v/>
      </c>
      <c r="K2543" s="46" t="str">
        <f>IFERROR(IF(OR(INPUT!P2538="",INPUT!Q2538=""),"",INPUT!P2538-INPUT!Q2538),"")</f>
        <v/>
      </c>
      <c r="L2543" s="48" t="str">
        <f>IFERROR(IF(OR(INPUT!P2538="",INPUT!Q2538="",INPUT!P2538=0),"",(INPUT!P2538-INPUT!Q2538)/INPUT!P2538),"")</f>
        <v/>
      </c>
    </row>
    <row r="2544" spans="1:12" ht="18" hidden="1" customHeight="1" x14ac:dyDescent="0.2">
      <c r="A2544" s="11" t="str">
        <f>IF(INPUT!M2539="","",INPUT!M2539)</f>
        <v/>
      </c>
      <c r="B2544" s="11" t="str">
        <f>IF(INPUT!M2539="","",INPUT!M2539-WEEKDAY(INPUT!M2539,2)+1)</f>
        <v/>
      </c>
      <c r="C2544" s="20">
        <f>IFERROR(_xlfn.ISOWEEKNUM(INPUT!M2539),"")</f>
        <v>52</v>
      </c>
      <c r="D2544" s="20">
        <f>IFERROR(YEAR(INPUT!M2539),"")</f>
        <v>1900</v>
      </c>
      <c r="E2544" t="str">
        <f>IF(INPUT!O2539="","",INPUT!O2539)</f>
        <v/>
      </c>
      <c r="F2544" t="str">
        <f>IF(INPUT!N2539="","",INPUT!N2539)</f>
        <v/>
      </c>
      <c r="G2544" cm="1">
        <f t="array" ref="G2544">IFERROR(VLOOKUP(INPUT!M2539&amp;INPUT!N2539,CHOOSE({1,2},INPUT!$A$3:$A$5000&amp;INPUT!$C$3:$C$5000,INPUT!$F$3:$F$5000),2,FALSE),"")</f>
        <v>0</v>
      </c>
      <c r="H2544" cm="1">
        <f t="array" ref="H2544">IFERROR(VLOOKUP(INPUT!M2539&amp;INPUT!N2539,CHOOSE({1,2},INPUT!$A$3:$A$5000&amp;INPUT!$C$3:$C$5000,INPUT!$D$3:$D$5000),2,FALSE),"")</f>
        <v>0</v>
      </c>
      <c r="I2544" s="46" t="str">
        <f>IF(INPUT!P2539="","",INPUT!P2539)</f>
        <v/>
      </c>
      <c r="J2544" s="46" t="str">
        <f>IF(INPUT!Q2539="","",INPUT!Q2539)</f>
        <v/>
      </c>
      <c r="K2544" s="46" t="str">
        <f>IFERROR(IF(OR(INPUT!P2539="",INPUT!Q2539=""),"",INPUT!P2539-INPUT!Q2539),"")</f>
        <v/>
      </c>
      <c r="L2544" s="48" t="str">
        <f>IFERROR(IF(OR(INPUT!P2539="",INPUT!Q2539="",INPUT!P2539=0),"",(INPUT!P2539-INPUT!Q2539)/INPUT!P2539),"")</f>
        <v/>
      </c>
    </row>
    <row r="2545" spans="1:12" ht="18" hidden="1" customHeight="1" x14ac:dyDescent="0.2">
      <c r="A2545" s="11" t="str">
        <f>IF(INPUT!M2540="","",INPUT!M2540)</f>
        <v/>
      </c>
      <c r="B2545" s="11" t="str">
        <f>IF(INPUT!M2540="","",INPUT!M2540-WEEKDAY(INPUT!M2540,2)+1)</f>
        <v/>
      </c>
      <c r="C2545" s="20">
        <f>IFERROR(_xlfn.ISOWEEKNUM(INPUT!M2540),"")</f>
        <v>52</v>
      </c>
      <c r="D2545" s="20">
        <f>IFERROR(YEAR(INPUT!M2540),"")</f>
        <v>1900</v>
      </c>
      <c r="E2545" t="str">
        <f>IF(INPUT!O2540="","",INPUT!O2540)</f>
        <v/>
      </c>
      <c r="F2545" t="str">
        <f>IF(INPUT!N2540="","",INPUT!N2540)</f>
        <v/>
      </c>
      <c r="G2545" cm="1">
        <f t="array" ref="G2545">IFERROR(VLOOKUP(INPUT!M2540&amp;INPUT!N2540,CHOOSE({1,2},INPUT!$A$3:$A$5000&amp;INPUT!$C$3:$C$5000,INPUT!$F$3:$F$5000),2,FALSE),"")</f>
        <v>0</v>
      </c>
      <c r="H2545" cm="1">
        <f t="array" ref="H2545">IFERROR(VLOOKUP(INPUT!M2540&amp;INPUT!N2540,CHOOSE({1,2},INPUT!$A$3:$A$5000&amp;INPUT!$C$3:$C$5000,INPUT!$D$3:$D$5000),2,FALSE),"")</f>
        <v>0</v>
      </c>
      <c r="I2545" s="46" t="str">
        <f>IF(INPUT!P2540="","",INPUT!P2540)</f>
        <v/>
      </c>
      <c r="J2545" s="46" t="str">
        <f>IF(INPUT!Q2540="","",INPUT!Q2540)</f>
        <v/>
      </c>
      <c r="K2545" s="46" t="str">
        <f>IFERROR(IF(OR(INPUT!P2540="",INPUT!Q2540=""),"",INPUT!P2540-INPUT!Q2540),"")</f>
        <v/>
      </c>
      <c r="L2545" s="48" t="str">
        <f>IFERROR(IF(OR(INPUT!P2540="",INPUT!Q2540="",INPUT!P2540=0),"",(INPUT!P2540-INPUT!Q2540)/INPUT!P2540),"")</f>
        <v/>
      </c>
    </row>
    <row r="2546" spans="1:12" ht="18" hidden="1" customHeight="1" x14ac:dyDescent="0.2">
      <c r="A2546" s="11" t="str">
        <f>IF(INPUT!M2541="","",INPUT!M2541)</f>
        <v/>
      </c>
      <c r="B2546" s="11" t="str">
        <f>IF(INPUT!M2541="","",INPUT!M2541-WEEKDAY(INPUT!M2541,2)+1)</f>
        <v/>
      </c>
      <c r="C2546" s="20">
        <f>IFERROR(_xlfn.ISOWEEKNUM(INPUT!M2541),"")</f>
        <v>52</v>
      </c>
      <c r="D2546" s="20">
        <f>IFERROR(YEAR(INPUT!M2541),"")</f>
        <v>1900</v>
      </c>
      <c r="E2546" t="str">
        <f>IF(INPUT!O2541="","",INPUT!O2541)</f>
        <v/>
      </c>
      <c r="F2546" t="str">
        <f>IF(INPUT!N2541="","",INPUT!N2541)</f>
        <v/>
      </c>
      <c r="G2546" cm="1">
        <f t="array" ref="G2546">IFERROR(VLOOKUP(INPUT!M2541&amp;INPUT!N2541,CHOOSE({1,2},INPUT!$A$3:$A$5000&amp;INPUT!$C$3:$C$5000,INPUT!$F$3:$F$5000),2,FALSE),"")</f>
        <v>0</v>
      </c>
      <c r="H2546" cm="1">
        <f t="array" ref="H2546">IFERROR(VLOOKUP(INPUT!M2541&amp;INPUT!N2541,CHOOSE({1,2},INPUT!$A$3:$A$5000&amp;INPUT!$C$3:$C$5000,INPUT!$D$3:$D$5000),2,FALSE),"")</f>
        <v>0</v>
      </c>
      <c r="I2546" s="46" t="str">
        <f>IF(INPUT!P2541="","",INPUT!P2541)</f>
        <v/>
      </c>
      <c r="J2546" s="46" t="str">
        <f>IF(INPUT!Q2541="","",INPUT!Q2541)</f>
        <v/>
      </c>
      <c r="K2546" s="46" t="str">
        <f>IFERROR(IF(OR(INPUT!P2541="",INPUT!Q2541=""),"",INPUT!P2541-INPUT!Q2541),"")</f>
        <v/>
      </c>
      <c r="L2546" s="48" t="str">
        <f>IFERROR(IF(OR(INPUT!P2541="",INPUT!Q2541="",INPUT!P2541=0),"",(INPUT!P2541-INPUT!Q2541)/INPUT!P2541),"")</f>
        <v/>
      </c>
    </row>
    <row r="2547" spans="1:12" ht="18" hidden="1" customHeight="1" x14ac:dyDescent="0.2">
      <c r="A2547" s="11" t="str">
        <f>IF(INPUT!M2542="","",INPUT!M2542)</f>
        <v/>
      </c>
      <c r="B2547" s="11" t="str">
        <f>IF(INPUT!M2542="","",INPUT!M2542-WEEKDAY(INPUT!M2542,2)+1)</f>
        <v/>
      </c>
      <c r="C2547" s="20">
        <f>IFERROR(_xlfn.ISOWEEKNUM(INPUT!M2542),"")</f>
        <v>52</v>
      </c>
      <c r="D2547" s="20">
        <f>IFERROR(YEAR(INPUT!M2542),"")</f>
        <v>1900</v>
      </c>
      <c r="E2547" t="str">
        <f>IF(INPUT!O2542="","",INPUT!O2542)</f>
        <v/>
      </c>
      <c r="F2547" t="str">
        <f>IF(INPUT!N2542="","",INPUT!N2542)</f>
        <v/>
      </c>
      <c r="G2547" cm="1">
        <f t="array" ref="G2547">IFERROR(VLOOKUP(INPUT!M2542&amp;INPUT!N2542,CHOOSE({1,2},INPUT!$A$3:$A$5000&amp;INPUT!$C$3:$C$5000,INPUT!$F$3:$F$5000),2,FALSE),"")</f>
        <v>0</v>
      </c>
      <c r="H2547" cm="1">
        <f t="array" ref="H2547">IFERROR(VLOOKUP(INPUT!M2542&amp;INPUT!N2542,CHOOSE({1,2},INPUT!$A$3:$A$5000&amp;INPUT!$C$3:$C$5000,INPUT!$D$3:$D$5000),2,FALSE),"")</f>
        <v>0</v>
      </c>
      <c r="I2547" s="46" t="str">
        <f>IF(INPUT!P2542="","",INPUT!P2542)</f>
        <v/>
      </c>
      <c r="J2547" s="46" t="str">
        <f>IF(INPUT!Q2542="","",INPUT!Q2542)</f>
        <v/>
      </c>
      <c r="K2547" s="46" t="str">
        <f>IFERROR(IF(OR(INPUT!P2542="",INPUT!Q2542=""),"",INPUT!P2542-INPUT!Q2542),"")</f>
        <v/>
      </c>
      <c r="L2547" s="48" t="str">
        <f>IFERROR(IF(OR(INPUT!P2542="",INPUT!Q2542="",INPUT!P2542=0),"",(INPUT!P2542-INPUT!Q2542)/INPUT!P2542),"")</f>
        <v/>
      </c>
    </row>
    <row r="2548" spans="1:12" ht="18" hidden="1" customHeight="1" x14ac:dyDescent="0.2">
      <c r="A2548" s="11" t="str">
        <f>IF(INPUT!M2543="","",INPUT!M2543)</f>
        <v/>
      </c>
      <c r="B2548" s="11" t="str">
        <f>IF(INPUT!M2543="","",INPUT!M2543-WEEKDAY(INPUT!M2543,2)+1)</f>
        <v/>
      </c>
      <c r="C2548" s="20">
        <f>IFERROR(_xlfn.ISOWEEKNUM(INPUT!M2543),"")</f>
        <v>52</v>
      </c>
      <c r="D2548" s="20">
        <f>IFERROR(YEAR(INPUT!M2543),"")</f>
        <v>1900</v>
      </c>
      <c r="E2548" t="str">
        <f>IF(INPUT!O2543="","",INPUT!O2543)</f>
        <v/>
      </c>
      <c r="F2548" t="str">
        <f>IF(INPUT!N2543="","",INPUT!N2543)</f>
        <v/>
      </c>
      <c r="G2548" cm="1">
        <f t="array" ref="G2548">IFERROR(VLOOKUP(INPUT!M2543&amp;INPUT!N2543,CHOOSE({1,2},INPUT!$A$3:$A$5000&amp;INPUT!$C$3:$C$5000,INPUT!$F$3:$F$5000),2,FALSE),"")</f>
        <v>0</v>
      </c>
      <c r="H2548" cm="1">
        <f t="array" ref="H2548">IFERROR(VLOOKUP(INPUT!M2543&amp;INPUT!N2543,CHOOSE({1,2},INPUT!$A$3:$A$5000&amp;INPUT!$C$3:$C$5000,INPUT!$D$3:$D$5000),2,FALSE),"")</f>
        <v>0</v>
      </c>
      <c r="I2548" s="46" t="str">
        <f>IF(INPUT!P2543="","",INPUT!P2543)</f>
        <v/>
      </c>
      <c r="J2548" s="46" t="str">
        <f>IF(INPUT!Q2543="","",INPUT!Q2543)</f>
        <v/>
      </c>
      <c r="K2548" s="46" t="str">
        <f>IFERROR(IF(OR(INPUT!P2543="",INPUT!Q2543=""),"",INPUT!P2543-INPUT!Q2543),"")</f>
        <v/>
      </c>
      <c r="L2548" s="48" t="str">
        <f>IFERROR(IF(OR(INPUT!P2543="",INPUT!Q2543="",INPUT!P2543=0),"",(INPUT!P2543-INPUT!Q2543)/INPUT!P2543),"")</f>
        <v/>
      </c>
    </row>
    <row r="2549" spans="1:12" ht="18" hidden="1" customHeight="1" x14ac:dyDescent="0.2">
      <c r="A2549" s="11" t="str">
        <f>IF(INPUT!M2544="","",INPUT!M2544)</f>
        <v/>
      </c>
      <c r="B2549" s="11" t="str">
        <f>IF(INPUT!M2544="","",INPUT!M2544-WEEKDAY(INPUT!M2544,2)+1)</f>
        <v/>
      </c>
      <c r="C2549" s="20">
        <f>IFERROR(_xlfn.ISOWEEKNUM(INPUT!M2544),"")</f>
        <v>52</v>
      </c>
      <c r="D2549" s="20">
        <f>IFERROR(YEAR(INPUT!M2544),"")</f>
        <v>1900</v>
      </c>
      <c r="E2549" t="str">
        <f>IF(INPUT!O2544="","",INPUT!O2544)</f>
        <v/>
      </c>
      <c r="F2549" t="str">
        <f>IF(INPUT!N2544="","",INPUT!N2544)</f>
        <v/>
      </c>
      <c r="G2549" cm="1">
        <f t="array" ref="G2549">IFERROR(VLOOKUP(INPUT!M2544&amp;INPUT!N2544,CHOOSE({1,2},INPUT!$A$3:$A$5000&amp;INPUT!$C$3:$C$5000,INPUT!$F$3:$F$5000),2,FALSE),"")</f>
        <v>0</v>
      </c>
      <c r="H2549" cm="1">
        <f t="array" ref="H2549">IFERROR(VLOOKUP(INPUT!M2544&amp;INPUT!N2544,CHOOSE({1,2},INPUT!$A$3:$A$5000&amp;INPUT!$C$3:$C$5000,INPUT!$D$3:$D$5000),2,FALSE),"")</f>
        <v>0</v>
      </c>
      <c r="I2549" s="46" t="str">
        <f>IF(INPUT!P2544="","",INPUT!P2544)</f>
        <v/>
      </c>
      <c r="J2549" s="46" t="str">
        <f>IF(INPUT!Q2544="","",INPUT!Q2544)</f>
        <v/>
      </c>
      <c r="K2549" s="46" t="str">
        <f>IFERROR(IF(OR(INPUT!P2544="",INPUT!Q2544=""),"",INPUT!P2544-INPUT!Q2544),"")</f>
        <v/>
      </c>
      <c r="L2549" s="48" t="str">
        <f>IFERROR(IF(OR(INPUT!P2544="",INPUT!Q2544="",INPUT!P2544=0),"",(INPUT!P2544-INPUT!Q2544)/INPUT!P2544),"")</f>
        <v/>
      </c>
    </row>
    <row r="2550" spans="1:12" ht="18" hidden="1" customHeight="1" x14ac:dyDescent="0.2">
      <c r="A2550" s="11" t="str">
        <f>IF(INPUT!M2545="","",INPUT!M2545)</f>
        <v/>
      </c>
      <c r="B2550" s="11" t="str">
        <f>IF(INPUT!M2545="","",INPUT!M2545-WEEKDAY(INPUT!M2545,2)+1)</f>
        <v/>
      </c>
      <c r="C2550" s="20">
        <f>IFERROR(_xlfn.ISOWEEKNUM(INPUT!M2545),"")</f>
        <v>52</v>
      </c>
      <c r="D2550" s="20">
        <f>IFERROR(YEAR(INPUT!M2545),"")</f>
        <v>1900</v>
      </c>
      <c r="E2550" t="str">
        <f>IF(INPUT!O2545="","",INPUT!O2545)</f>
        <v/>
      </c>
      <c r="F2550" t="str">
        <f>IF(INPUT!N2545="","",INPUT!N2545)</f>
        <v/>
      </c>
      <c r="G2550" cm="1">
        <f t="array" ref="G2550">IFERROR(VLOOKUP(INPUT!M2545&amp;INPUT!N2545,CHOOSE({1,2},INPUT!$A$3:$A$5000&amp;INPUT!$C$3:$C$5000,INPUT!$F$3:$F$5000),2,FALSE),"")</f>
        <v>0</v>
      </c>
      <c r="H2550" cm="1">
        <f t="array" ref="H2550">IFERROR(VLOOKUP(INPUT!M2545&amp;INPUT!N2545,CHOOSE({1,2},INPUT!$A$3:$A$5000&amp;INPUT!$C$3:$C$5000,INPUT!$D$3:$D$5000),2,FALSE),"")</f>
        <v>0</v>
      </c>
      <c r="I2550" s="46" t="str">
        <f>IF(INPUT!P2545="","",INPUT!P2545)</f>
        <v/>
      </c>
      <c r="J2550" s="46" t="str">
        <f>IF(INPUT!Q2545="","",INPUT!Q2545)</f>
        <v/>
      </c>
      <c r="K2550" s="46" t="str">
        <f>IFERROR(IF(OR(INPUT!P2545="",INPUT!Q2545=""),"",INPUT!P2545-INPUT!Q2545),"")</f>
        <v/>
      </c>
      <c r="L2550" s="48" t="str">
        <f>IFERROR(IF(OR(INPUT!P2545="",INPUT!Q2545="",INPUT!P2545=0),"",(INPUT!P2545-INPUT!Q2545)/INPUT!P2545),"")</f>
        <v/>
      </c>
    </row>
    <row r="2551" spans="1:12" ht="18" hidden="1" customHeight="1" x14ac:dyDescent="0.2">
      <c r="A2551" s="11" t="str">
        <f>IF(INPUT!M2546="","",INPUT!M2546)</f>
        <v/>
      </c>
      <c r="B2551" s="11" t="str">
        <f>IF(INPUT!M2546="","",INPUT!M2546-WEEKDAY(INPUT!M2546,2)+1)</f>
        <v/>
      </c>
      <c r="C2551" s="20">
        <f>IFERROR(_xlfn.ISOWEEKNUM(INPUT!M2546),"")</f>
        <v>52</v>
      </c>
      <c r="D2551" s="20">
        <f>IFERROR(YEAR(INPUT!M2546),"")</f>
        <v>1900</v>
      </c>
      <c r="E2551" t="str">
        <f>IF(INPUT!O2546="","",INPUT!O2546)</f>
        <v/>
      </c>
      <c r="F2551" t="str">
        <f>IF(INPUT!N2546="","",INPUT!N2546)</f>
        <v/>
      </c>
      <c r="G2551" cm="1">
        <f t="array" ref="G2551">IFERROR(VLOOKUP(INPUT!M2546&amp;INPUT!N2546,CHOOSE({1,2},INPUT!$A$3:$A$5000&amp;INPUT!$C$3:$C$5000,INPUT!$F$3:$F$5000),2,FALSE),"")</f>
        <v>0</v>
      </c>
      <c r="H2551" cm="1">
        <f t="array" ref="H2551">IFERROR(VLOOKUP(INPUT!M2546&amp;INPUT!N2546,CHOOSE({1,2},INPUT!$A$3:$A$5000&amp;INPUT!$C$3:$C$5000,INPUT!$D$3:$D$5000),2,FALSE),"")</f>
        <v>0</v>
      </c>
      <c r="I2551" s="46" t="str">
        <f>IF(INPUT!P2546="","",INPUT!P2546)</f>
        <v/>
      </c>
      <c r="J2551" s="46" t="str">
        <f>IF(INPUT!Q2546="","",INPUT!Q2546)</f>
        <v/>
      </c>
      <c r="K2551" s="46" t="str">
        <f>IFERROR(IF(OR(INPUT!P2546="",INPUT!Q2546=""),"",INPUT!P2546-INPUT!Q2546),"")</f>
        <v/>
      </c>
      <c r="L2551" s="48" t="str">
        <f>IFERROR(IF(OR(INPUT!P2546="",INPUT!Q2546="",INPUT!P2546=0),"",(INPUT!P2546-INPUT!Q2546)/INPUT!P2546),"")</f>
        <v/>
      </c>
    </row>
    <row r="2552" spans="1:12" ht="18" hidden="1" customHeight="1" x14ac:dyDescent="0.2">
      <c r="A2552" s="11" t="str">
        <f>IF(INPUT!M2547="","",INPUT!M2547)</f>
        <v/>
      </c>
      <c r="B2552" s="11" t="str">
        <f>IF(INPUT!M2547="","",INPUT!M2547-WEEKDAY(INPUT!M2547,2)+1)</f>
        <v/>
      </c>
      <c r="C2552" s="20">
        <f>IFERROR(_xlfn.ISOWEEKNUM(INPUT!M2547),"")</f>
        <v>52</v>
      </c>
      <c r="D2552" s="20">
        <f>IFERROR(YEAR(INPUT!M2547),"")</f>
        <v>1900</v>
      </c>
      <c r="E2552" t="str">
        <f>IF(INPUT!O2547="","",INPUT!O2547)</f>
        <v/>
      </c>
      <c r="F2552" t="str">
        <f>IF(INPUT!N2547="","",INPUT!N2547)</f>
        <v/>
      </c>
      <c r="G2552" cm="1">
        <f t="array" ref="G2552">IFERROR(VLOOKUP(INPUT!M2547&amp;INPUT!N2547,CHOOSE({1,2},INPUT!$A$3:$A$5000&amp;INPUT!$C$3:$C$5000,INPUT!$F$3:$F$5000),2,FALSE),"")</f>
        <v>0</v>
      </c>
      <c r="H2552" cm="1">
        <f t="array" ref="H2552">IFERROR(VLOOKUP(INPUT!M2547&amp;INPUT!N2547,CHOOSE({1,2},INPUT!$A$3:$A$5000&amp;INPUT!$C$3:$C$5000,INPUT!$D$3:$D$5000),2,FALSE),"")</f>
        <v>0</v>
      </c>
      <c r="I2552" s="46" t="str">
        <f>IF(INPUT!P2547="","",INPUT!P2547)</f>
        <v/>
      </c>
      <c r="J2552" s="46" t="str">
        <f>IF(INPUT!Q2547="","",INPUT!Q2547)</f>
        <v/>
      </c>
      <c r="K2552" s="46" t="str">
        <f>IFERROR(IF(OR(INPUT!P2547="",INPUT!Q2547=""),"",INPUT!P2547-INPUT!Q2547),"")</f>
        <v/>
      </c>
      <c r="L2552" s="48" t="str">
        <f>IFERROR(IF(OR(INPUT!P2547="",INPUT!Q2547="",INPUT!P2547=0),"",(INPUT!P2547-INPUT!Q2547)/INPUT!P2547),"")</f>
        <v/>
      </c>
    </row>
    <row r="2553" spans="1:12" ht="18" hidden="1" customHeight="1" x14ac:dyDescent="0.2">
      <c r="A2553" s="11" t="str">
        <f>IF(INPUT!M2548="","",INPUT!M2548)</f>
        <v/>
      </c>
      <c r="B2553" s="11" t="str">
        <f>IF(INPUT!M2548="","",INPUT!M2548-WEEKDAY(INPUT!M2548,2)+1)</f>
        <v/>
      </c>
      <c r="C2553" s="20">
        <f>IFERROR(_xlfn.ISOWEEKNUM(INPUT!M2548),"")</f>
        <v>52</v>
      </c>
      <c r="D2553" s="20">
        <f>IFERROR(YEAR(INPUT!M2548),"")</f>
        <v>1900</v>
      </c>
      <c r="E2553" t="str">
        <f>IF(INPUT!O2548="","",INPUT!O2548)</f>
        <v/>
      </c>
      <c r="F2553" t="str">
        <f>IF(INPUT!N2548="","",INPUT!N2548)</f>
        <v/>
      </c>
      <c r="G2553" cm="1">
        <f t="array" ref="G2553">IFERROR(VLOOKUP(INPUT!M2548&amp;INPUT!N2548,CHOOSE({1,2},INPUT!$A$3:$A$5000&amp;INPUT!$C$3:$C$5000,INPUT!$F$3:$F$5000),2,FALSE),"")</f>
        <v>0</v>
      </c>
      <c r="H2553" cm="1">
        <f t="array" ref="H2553">IFERROR(VLOOKUP(INPUT!M2548&amp;INPUT!N2548,CHOOSE({1,2},INPUT!$A$3:$A$5000&amp;INPUT!$C$3:$C$5000,INPUT!$D$3:$D$5000),2,FALSE),"")</f>
        <v>0</v>
      </c>
      <c r="I2553" s="46" t="str">
        <f>IF(INPUT!P2548="","",INPUT!P2548)</f>
        <v/>
      </c>
      <c r="J2553" s="46" t="str">
        <f>IF(INPUT!Q2548="","",INPUT!Q2548)</f>
        <v/>
      </c>
      <c r="K2553" s="46" t="str">
        <f>IFERROR(IF(OR(INPUT!P2548="",INPUT!Q2548=""),"",INPUT!P2548-INPUT!Q2548),"")</f>
        <v/>
      </c>
      <c r="L2553" s="48" t="str">
        <f>IFERROR(IF(OR(INPUT!P2548="",INPUT!Q2548="",INPUT!P2548=0),"",(INPUT!P2548-INPUT!Q2548)/INPUT!P2548),"")</f>
        <v/>
      </c>
    </row>
    <row r="2554" spans="1:12" ht="18" hidden="1" customHeight="1" x14ac:dyDescent="0.2">
      <c r="A2554" s="11" t="str">
        <f>IF(INPUT!M2549="","",INPUT!M2549)</f>
        <v/>
      </c>
      <c r="B2554" s="11" t="str">
        <f>IF(INPUT!M2549="","",INPUT!M2549-WEEKDAY(INPUT!M2549,2)+1)</f>
        <v/>
      </c>
      <c r="C2554" s="20">
        <f>IFERROR(_xlfn.ISOWEEKNUM(INPUT!M2549),"")</f>
        <v>52</v>
      </c>
      <c r="D2554" s="20">
        <f>IFERROR(YEAR(INPUT!M2549),"")</f>
        <v>1900</v>
      </c>
      <c r="E2554" t="str">
        <f>IF(INPUT!O2549="","",INPUT!O2549)</f>
        <v/>
      </c>
      <c r="F2554" t="str">
        <f>IF(INPUT!N2549="","",INPUT!N2549)</f>
        <v/>
      </c>
      <c r="G2554" cm="1">
        <f t="array" ref="G2554">IFERROR(VLOOKUP(INPUT!M2549&amp;INPUT!N2549,CHOOSE({1,2},INPUT!$A$3:$A$5000&amp;INPUT!$C$3:$C$5000,INPUT!$F$3:$F$5000),2,FALSE),"")</f>
        <v>0</v>
      </c>
      <c r="H2554" cm="1">
        <f t="array" ref="H2554">IFERROR(VLOOKUP(INPUT!M2549&amp;INPUT!N2549,CHOOSE({1,2},INPUT!$A$3:$A$5000&amp;INPUT!$C$3:$C$5000,INPUT!$D$3:$D$5000),2,FALSE),"")</f>
        <v>0</v>
      </c>
      <c r="I2554" s="46" t="str">
        <f>IF(INPUT!P2549="","",INPUT!P2549)</f>
        <v/>
      </c>
      <c r="J2554" s="46" t="str">
        <f>IF(INPUT!Q2549="","",INPUT!Q2549)</f>
        <v/>
      </c>
      <c r="K2554" s="46" t="str">
        <f>IFERROR(IF(OR(INPUT!P2549="",INPUT!Q2549=""),"",INPUT!P2549-INPUT!Q2549),"")</f>
        <v/>
      </c>
      <c r="L2554" s="48" t="str">
        <f>IFERROR(IF(OR(INPUT!P2549="",INPUT!Q2549="",INPUT!P2549=0),"",(INPUT!P2549-INPUT!Q2549)/INPUT!P2549),"")</f>
        <v/>
      </c>
    </row>
    <row r="2555" spans="1:12" ht="18" hidden="1" customHeight="1" x14ac:dyDescent="0.2">
      <c r="A2555" s="11" t="str">
        <f>IF(INPUT!M2550="","",INPUT!M2550)</f>
        <v/>
      </c>
      <c r="B2555" s="11" t="str">
        <f>IF(INPUT!M2550="","",INPUT!M2550-WEEKDAY(INPUT!M2550,2)+1)</f>
        <v/>
      </c>
      <c r="C2555" s="20">
        <f>IFERROR(_xlfn.ISOWEEKNUM(INPUT!M2550),"")</f>
        <v>52</v>
      </c>
      <c r="D2555" s="20">
        <f>IFERROR(YEAR(INPUT!M2550),"")</f>
        <v>1900</v>
      </c>
      <c r="E2555" t="str">
        <f>IF(INPUT!O2550="","",INPUT!O2550)</f>
        <v/>
      </c>
      <c r="F2555" t="str">
        <f>IF(INPUT!N2550="","",INPUT!N2550)</f>
        <v/>
      </c>
      <c r="G2555" cm="1">
        <f t="array" ref="G2555">IFERROR(VLOOKUP(INPUT!M2550&amp;INPUT!N2550,CHOOSE({1,2},INPUT!$A$3:$A$5000&amp;INPUT!$C$3:$C$5000,INPUT!$F$3:$F$5000),2,FALSE),"")</f>
        <v>0</v>
      </c>
      <c r="H2555" cm="1">
        <f t="array" ref="H2555">IFERROR(VLOOKUP(INPUT!M2550&amp;INPUT!N2550,CHOOSE({1,2},INPUT!$A$3:$A$5000&amp;INPUT!$C$3:$C$5000,INPUT!$D$3:$D$5000),2,FALSE),"")</f>
        <v>0</v>
      </c>
      <c r="I2555" s="46" t="str">
        <f>IF(INPUT!P2550="","",INPUT!P2550)</f>
        <v/>
      </c>
      <c r="J2555" s="46" t="str">
        <f>IF(INPUT!Q2550="","",INPUT!Q2550)</f>
        <v/>
      </c>
      <c r="K2555" s="46" t="str">
        <f>IFERROR(IF(OR(INPUT!P2550="",INPUT!Q2550=""),"",INPUT!P2550-INPUT!Q2550),"")</f>
        <v/>
      </c>
      <c r="L2555" s="48" t="str">
        <f>IFERROR(IF(OR(INPUT!P2550="",INPUT!Q2550="",INPUT!P2550=0),"",(INPUT!P2550-INPUT!Q2550)/INPUT!P2550),"")</f>
        <v/>
      </c>
    </row>
    <row r="2556" spans="1:12" ht="18" hidden="1" customHeight="1" x14ac:dyDescent="0.2">
      <c r="A2556" s="11" t="str">
        <f>IF(INPUT!M2551="","",INPUT!M2551)</f>
        <v/>
      </c>
      <c r="B2556" s="11" t="str">
        <f>IF(INPUT!M2551="","",INPUT!M2551-WEEKDAY(INPUT!M2551,2)+1)</f>
        <v/>
      </c>
      <c r="C2556" s="20">
        <f>IFERROR(_xlfn.ISOWEEKNUM(INPUT!M2551),"")</f>
        <v>52</v>
      </c>
      <c r="D2556" s="20">
        <f>IFERROR(YEAR(INPUT!M2551),"")</f>
        <v>1900</v>
      </c>
      <c r="E2556" t="str">
        <f>IF(INPUT!O2551="","",INPUT!O2551)</f>
        <v/>
      </c>
      <c r="F2556" t="str">
        <f>IF(INPUT!N2551="","",INPUT!N2551)</f>
        <v/>
      </c>
      <c r="G2556" cm="1">
        <f t="array" ref="G2556">IFERROR(VLOOKUP(INPUT!M2551&amp;INPUT!N2551,CHOOSE({1,2},INPUT!$A$3:$A$5000&amp;INPUT!$C$3:$C$5000,INPUT!$F$3:$F$5000),2,FALSE),"")</f>
        <v>0</v>
      </c>
      <c r="H2556" cm="1">
        <f t="array" ref="H2556">IFERROR(VLOOKUP(INPUT!M2551&amp;INPUT!N2551,CHOOSE({1,2},INPUT!$A$3:$A$5000&amp;INPUT!$C$3:$C$5000,INPUT!$D$3:$D$5000),2,FALSE),"")</f>
        <v>0</v>
      </c>
      <c r="I2556" s="46" t="str">
        <f>IF(INPUT!P2551="","",INPUT!P2551)</f>
        <v/>
      </c>
      <c r="J2556" s="46" t="str">
        <f>IF(INPUT!Q2551="","",INPUT!Q2551)</f>
        <v/>
      </c>
      <c r="K2556" s="46" t="str">
        <f>IFERROR(IF(OR(INPUT!P2551="",INPUT!Q2551=""),"",INPUT!P2551-INPUT!Q2551),"")</f>
        <v/>
      </c>
      <c r="L2556" s="48" t="str">
        <f>IFERROR(IF(OR(INPUT!P2551="",INPUT!Q2551="",INPUT!P2551=0),"",(INPUT!P2551-INPUT!Q2551)/INPUT!P2551),"")</f>
        <v/>
      </c>
    </row>
    <row r="2557" spans="1:12" ht="18" hidden="1" customHeight="1" x14ac:dyDescent="0.2">
      <c r="A2557" s="11" t="str">
        <f>IF(INPUT!M2552="","",INPUT!M2552)</f>
        <v/>
      </c>
      <c r="B2557" s="11" t="str">
        <f>IF(INPUT!M2552="","",INPUT!M2552-WEEKDAY(INPUT!M2552,2)+1)</f>
        <v/>
      </c>
      <c r="C2557" s="20">
        <f>IFERROR(_xlfn.ISOWEEKNUM(INPUT!M2552),"")</f>
        <v>52</v>
      </c>
      <c r="D2557" s="20">
        <f>IFERROR(YEAR(INPUT!M2552),"")</f>
        <v>1900</v>
      </c>
      <c r="E2557" t="str">
        <f>IF(INPUT!O2552="","",INPUT!O2552)</f>
        <v/>
      </c>
      <c r="F2557" t="str">
        <f>IF(INPUT!N2552="","",INPUT!N2552)</f>
        <v/>
      </c>
      <c r="G2557" cm="1">
        <f t="array" ref="G2557">IFERROR(VLOOKUP(INPUT!M2552&amp;INPUT!N2552,CHOOSE({1,2},INPUT!$A$3:$A$5000&amp;INPUT!$C$3:$C$5000,INPUT!$F$3:$F$5000),2,FALSE),"")</f>
        <v>0</v>
      </c>
      <c r="H2557" cm="1">
        <f t="array" ref="H2557">IFERROR(VLOOKUP(INPUT!M2552&amp;INPUT!N2552,CHOOSE({1,2},INPUT!$A$3:$A$5000&amp;INPUT!$C$3:$C$5000,INPUT!$D$3:$D$5000),2,FALSE),"")</f>
        <v>0</v>
      </c>
      <c r="I2557" s="46" t="str">
        <f>IF(INPUT!P2552="","",INPUT!P2552)</f>
        <v/>
      </c>
      <c r="J2557" s="46" t="str">
        <f>IF(INPUT!Q2552="","",INPUT!Q2552)</f>
        <v/>
      </c>
      <c r="K2557" s="46" t="str">
        <f>IFERROR(IF(OR(INPUT!P2552="",INPUT!Q2552=""),"",INPUT!P2552-INPUT!Q2552),"")</f>
        <v/>
      </c>
      <c r="L2557" s="48" t="str">
        <f>IFERROR(IF(OR(INPUT!P2552="",INPUT!Q2552="",INPUT!P2552=0),"",(INPUT!P2552-INPUT!Q2552)/INPUT!P2552),"")</f>
        <v/>
      </c>
    </row>
    <row r="2558" spans="1:12" ht="18" hidden="1" customHeight="1" x14ac:dyDescent="0.2">
      <c r="A2558" s="11" t="str">
        <f>IF(INPUT!M2553="","",INPUT!M2553)</f>
        <v/>
      </c>
      <c r="B2558" s="11" t="str">
        <f>IF(INPUT!M2553="","",INPUT!M2553-WEEKDAY(INPUT!M2553,2)+1)</f>
        <v/>
      </c>
      <c r="C2558" s="20">
        <f>IFERROR(_xlfn.ISOWEEKNUM(INPUT!M2553),"")</f>
        <v>52</v>
      </c>
      <c r="D2558" s="20">
        <f>IFERROR(YEAR(INPUT!M2553),"")</f>
        <v>1900</v>
      </c>
      <c r="E2558" t="str">
        <f>IF(INPUT!O2553="","",INPUT!O2553)</f>
        <v/>
      </c>
      <c r="F2558" t="str">
        <f>IF(INPUT!N2553="","",INPUT!N2553)</f>
        <v/>
      </c>
      <c r="G2558" cm="1">
        <f t="array" ref="G2558">IFERROR(VLOOKUP(INPUT!M2553&amp;INPUT!N2553,CHOOSE({1,2},INPUT!$A$3:$A$5000&amp;INPUT!$C$3:$C$5000,INPUT!$F$3:$F$5000),2,FALSE),"")</f>
        <v>0</v>
      </c>
      <c r="H2558" cm="1">
        <f t="array" ref="H2558">IFERROR(VLOOKUP(INPUT!M2553&amp;INPUT!N2553,CHOOSE({1,2},INPUT!$A$3:$A$5000&amp;INPUT!$C$3:$C$5000,INPUT!$D$3:$D$5000),2,FALSE),"")</f>
        <v>0</v>
      </c>
      <c r="I2558" s="46" t="str">
        <f>IF(INPUT!P2553="","",INPUT!P2553)</f>
        <v/>
      </c>
      <c r="J2558" s="46" t="str">
        <f>IF(INPUT!Q2553="","",INPUT!Q2553)</f>
        <v/>
      </c>
      <c r="K2558" s="46" t="str">
        <f>IFERROR(IF(OR(INPUT!P2553="",INPUT!Q2553=""),"",INPUT!P2553-INPUT!Q2553),"")</f>
        <v/>
      </c>
      <c r="L2558" s="48" t="str">
        <f>IFERROR(IF(OR(INPUT!P2553="",INPUT!Q2553="",INPUT!P2553=0),"",(INPUT!P2553-INPUT!Q2553)/INPUT!P2553),"")</f>
        <v/>
      </c>
    </row>
    <row r="2559" spans="1:12" ht="18" hidden="1" customHeight="1" x14ac:dyDescent="0.2">
      <c r="A2559" s="11" t="str">
        <f>IF(INPUT!M2554="","",INPUT!M2554)</f>
        <v/>
      </c>
      <c r="B2559" s="11" t="str">
        <f>IF(INPUT!M2554="","",INPUT!M2554-WEEKDAY(INPUT!M2554,2)+1)</f>
        <v/>
      </c>
      <c r="C2559" s="20">
        <f>IFERROR(_xlfn.ISOWEEKNUM(INPUT!M2554),"")</f>
        <v>52</v>
      </c>
      <c r="D2559" s="20">
        <f>IFERROR(YEAR(INPUT!M2554),"")</f>
        <v>1900</v>
      </c>
      <c r="E2559" t="str">
        <f>IF(INPUT!O2554="","",INPUT!O2554)</f>
        <v/>
      </c>
      <c r="F2559" t="str">
        <f>IF(INPUT!N2554="","",INPUT!N2554)</f>
        <v/>
      </c>
      <c r="G2559" cm="1">
        <f t="array" ref="G2559">IFERROR(VLOOKUP(INPUT!M2554&amp;INPUT!N2554,CHOOSE({1,2},INPUT!$A$3:$A$5000&amp;INPUT!$C$3:$C$5000,INPUT!$F$3:$F$5000),2,FALSE),"")</f>
        <v>0</v>
      </c>
      <c r="H2559" cm="1">
        <f t="array" ref="H2559">IFERROR(VLOOKUP(INPUT!M2554&amp;INPUT!N2554,CHOOSE({1,2},INPUT!$A$3:$A$5000&amp;INPUT!$C$3:$C$5000,INPUT!$D$3:$D$5000),2,FALSE),"")</f>
        <v>0</v>
      </c>
      <c r="I2559" s="46" t="str">
        <f>IF(INPUT!P2554="","",INPUT!P2554)</f>
        <v/>
      </c>
      <c r="J2559" s="46" t="str">
        <f>IF(INPUT!Q2554="","",INPUT!Q2554)</f>
        <v/>
      </c>
      <c r="K2559" s="46" t="str">
        <f>IFERROR(IF(OR(INPUT!P2554="",INPUT!Q2554=""),"",INPUT!P2554-INPUT!Q2554),"")</f>
        <v/>
      </c>
      <c r="L2559" s="48" t="str">
        <f>IFERROR(IF(OR(INPUT!P2554="",INPUT!Q2554="",INPUT!P2554=0),"",(INPUT!P2554-INPUT!Q2554)/INPUT!P2554),"")</f>
        <v/>
      </c>
    </row>
    <row r="2560" spans="1:12" ht="18" hidden="1" customHeight="1" x14ac:dyDescent="0.2">
      <c r="A2560" s="11" t="str">
        <f>IF(INPUT!M2555="","",INPUT!M2555)</f>
        <v/>
      </c>
      <c r="B2560" s="11" t="str">
        <f>IF(INPUT!M2555="","",INPUT!M2555-WEEKDAY(INPUT!M2555,2)+1)</f>
        <v/>
      </c>
      <c r="C2560" s="20">
        <f>IFERROR(_xlfn.ISOWEEKNUM(INPUT!M2555),"")</f>
        <v>52</v>
      </c>
      <c r="D2560" s="20">
        <f>IFERROR(YEAR(INPUT!M2555),"")</f>
        <v>1900</v>
      </c>
      <c r="E2560" t="str">
        <f>IF(INPUT!O2555="","",INPUT!O2555)</f>
        <v/>
      </c>
      <c r="F2560" t="str">
        <f>IF(INPUT!N2555="","",INPUT!N2555)</f>
        <v/>
      </c>
      <c r="G2560" cm="1">
        <f t="array" ref="G2560">IFERROR(VLOOKUP(INPUT!M2555&amp;INPUT!N2555,CHOOSE({1,2},INPUT!$A$3:$A$5000&amp;INPUT!$C$3:$C$5000,INPUT!$F$3:$F$5000),2,FALSE),"")</f>
        <v>0</v>
      </c>
      <c r="H2560" cm="1">
        <f t="array" ref="H2560">IFERROR(VLOOKUP(INPUT!M2555&amp;INPUT!N2555,CHOOSE({1,2},INPUT!$A$3:$A$5000&amp;INPUT!$C$3:$C$5000,INPUT!$D$3:$D$5000),2,FALSE),"")</f>
        <v>0</v>
      </c>
      <c r="I2560" s="46" t="str">
        <f>IF(INPUT!P2555="","",INPUT!P2555)</f>
        <v/>
      </c>
      <c r="J2560" s="46" t="str">
        <f>IF(INPUT!Q2555="","",INPUT!Q2555)</f>
        <v/>
      </c>
      <c r="K2560" s="46" t="str">
        <f>IFERROR(IF(OR(INPUT!P2555="",INPUT!Q2555=""),"",INPUT!P2555-INPUT!Q2555),"")</f>
        <v/>
      </c>
      <c r="L2560" s="48" t="str">
        <f>IFERROR(IF(OR(INPUT!P2555="",INPUT!Q2555="",INPUT!P2555=0),"",(INPUT!P2555-INPUT!Q2555)/INPUT!P2555),"")</f>
        <v/>
      </c>
    </row>
    <row r="2561" spans="1:12" ht="18" hidden="1" customHeight="1" x14ac:dyDescent="0.2">
      <c r="A2561" s="11" t="str">
        <f>IF(INPUT!M2556="","",INPUT!M2556)</f>
        <v/>
      </c>
      <c r="B2561" s="11" t="str">
        <f>IF(INPUT!M2556="","",INPUT!M2556-WEEKDAY(INPUT!M2556,2)+1)</f>
        <v/>
      </c>
      <c r="C2561" s="20">
        <f>IFERROR(_xlfn.ISOWEEKNUM(INPUT!M2556),"")</f>
        <v>52</v>
      </c>
      <c r="D2561" s="20">
        <f>IFERROR(YEAR(INPUT!M2556),"")</f>
        <v>1900</v>
      </c>
      <c r="E2561" t="str">
        <f>IF(INPUT!O2556="","",INPUT!O2556)</f>
        <v/>
      </c>
      <c r="F2561" t="str">
        <f>IF(INPUT!N2556="","",INPUT!N2556)</f>
        <v/>
      </c>
      <c r="G2561" cm="1">
        <f t="array" ref="G2561">IFERROR(VLOOKUP(INPUT!M2556&amp;INPUT!N2556,CHOOSE({1,2},INPUT!$A$3:$A$5000&amp;INPUT!$C$3:$C$5000,INPUT!$F$3:$F$5000),2,FALSE),"")</f>
        <v>0</v>
      </c>
      <c r="H2561" cm="1">
        <f t="array" ref="H2561">IFERROR(VLOOKUP(INPUT!M2556&amp;INPUT!N2556,CHOOSE({1,2},INPUT!$A$3:$A$5000&amp;INPUT!$C$3:$C$5000,INPUT!$D$3:$D$5000),2,FALSE),"")</f>
        <v>0</v>
      </c>
      <c r="I2561" s="46" t="str">
        <f>IF(INPUT!P2556="","",INPUT!P2556)</f>
        <v/>
      </c>
      <c r="J2561" s="46" t="str">
        <f>IF(INPUT!Q2556="","",INPUT!Q2556)</f>
        <v/>
      </c>
      <c r="K2561" s="46" t="str">
        <f>IFERROR(IF(OR(INPUT!P2556="",INPUT!Q2556=""),"",INPUT!P2556-INPUT!Q2556),"")</f>
        <v/>
      </c>
      <c r="L2561" s="48" t="str">
        <f>IFERROR(IF(OR(INPUT!P2556="",INPUT!Q2556="",INPUT!P2556=0),"",(INPUT!P2556-INPUT!Q2556)/INPUT!P2556),"")</f>
        <v/>
      </c>
    </row>
    <row r="2562" spans="1:12" ht="18" hidden="1" customHeight="1" x14ac:dyDescent="0.2">
      <c r="A2562" s="11" t="str">
        <f>IF(INPUT!M2557="","",INPUT!M2557)</f>
        <v/>
      </c>
      <c r="B2562" s="11" t="str">
        <f>IF(INPUT!M2557="","",INPUT!M2557-WEEKDAY(INPUT!M2557,2)+1)</f>
        <v/>
      </c>
      <c r="C2562" s="20">
        <f>IFERROR(_xlfn.ISOWEEKNUM(INPUT!M2557),"")</f>
        <v>52</v>
      </c>
      <c r="D2562" s="20">
        <f>IFERROR(YEAR(INPUT!M2557),"")</f>
        <v>1900</v>
      </c>
      <c r="E2562" t="str">
        <f>IF(INPUT!O2557="","",INPUT!O2557)</f>
        <v/>
      </c>
      <c r="F2562" t="str">
        <f>IF(INPUT!N2557="","",INPUT!N2557)</f>
        <v/>
      </c>
      <c r="G2562" cm="1">
        <f t="array" ref="G2562">IFERROR(VLOOKUP(INPUT!M2557&amp;INPUT!N2557,CHOOSE({1,2},INPUT!$A$3:$A$5000&amp;INPUT!$C$3:$C$5000,INPUT!$F$3:$F$5000),2,FALSE),"")</f>
        <v>0</v>
      </c>
      <c r="H2562" cm="1">
        <f t="array" ref="H2562">IFERROR(VLOOKUP(INPUT!M2557&amp;INPUT!N2557,CHOOSE({1,2},INPUT!$A$3:$A$5000&amp;INPUT!$C$3:$C$5000,INPUT!$D$3:$D$5000),2,FALSE),"")</f>
        <v>0</v>
      </c>
      <c r="I2562" s="46" t="str">
        <f>IF(INPUT!P2557="","",INPUT!P2557)</f>
        <v/>
      </c>
      <c r="J2562" s="46" t="str">
        <f>IF(INPUT!Q2557="","",INPUT!Q2557)</f>
        <v/>
      </c>
      <c r="K2562" s="46" t="str">
        <f>IFERROR(IF(OR(INPUT!P2557="",INPUT!Q2557=""),"",INPUT!P2557-INPUT!Q2557),"")</f>
        <v/>
      </c>
      <c r="L2562" s="48" t="str">
        <f>IFERROR(IF(OR(INPUT!P2557="",INPUT!Q2557="",INPUT!P2557=0),"",(INPUT!P2557-INPUT!Q2557)/INPUT!P2557),"")</f>
        <v/>
      </c>
    </row>
    <row r="2563" spans="1:12" ht="18" hidden="1" customHeight="1" x14ac:dyDescent="0.2">
      <c r="A2563" s="11" t="str">
        <f>IF(INPUT!M2558="","",INPUT!M2558)</f>
        <v/>
      </c>
      <c r="B2563" s="11" t="str">
        <f>IF(INPUT!M2558="","",INPUT!M2558-WEEKDAY(INPUT!M2558,2)+1)</f>
        <v/>
      </c>
      <c r="C2563" s="20">
        <f>IFERROR(_xlfn.ISOWEEKNUM(INPUT!M2558),"")</f>
        <v>52</v>
      </c>
      <c r="D2563" s="20">
        <f>IFERROR(YEAR(INPUT!M2558),"")</f>
        <v>1900</v>
      </c>
      <c r="E2563" t="str">
        <f>IF(INPUT!O2558="","",INPUT!O2558)</f>
        <v/>
      </c>
      <c r="F2563" t="str">
        <f>IF(INPUT!N2558="","",INPUT!N2558)</f>
        <v/>
      </c>
      <c r="G2563" cm="1">
        <f t="array" ref="G2563">IFERROR(VLOOKUP(INPUT!M2558&amp;INPUT!N2558,CHOOSE({1,2},INPUT!$A$3:$A$5000&amp;INPUT!$C$3:$C$5000,INPUT!$F$3:$F$5000),2,FALSE),"")</f>
        <v>0</v>
      </c>
      <c r="H2563" cm="1">
        <f t="array" ref="H2563">IFERROR(VLOOKUP(INPUT!M2558&amp;INPUT!N2558,CHOOSE({1,2},INPUT!$A$3:$A$5000&amp;INPUT!$C$3:$C$5000,INPUT!$D$3:$D$5000),2,FALSE),"")</f>
        <v>0</v>
      </c>
      <c r="I2563" s="46" t="str">
        <f>IF(INPUT!P2558="","",INPUT!P2558)</f>
        <v/>
      </c>
      <c r="J2563" s="46" t="str">
        <f>IF(INPUT!Q2558="","",INPUT!Q2558)</f>
        <v/>
      </c>
      <c r="K2563" s="46" t="str">
        <f>IFERROR(IF(OR(INPUT!P2558="",INPUT!Q2558=""),"",INPUT!P2558-INPUT!Q2558),"")</f>
        <v/>
      </c>
      <c r="L2563" s="48" t="str">
        <f>IFERROR(IF(OR(INPUT!P2558="",INPUT!Q2558="",INPUT!P2558=0),"",(INPUT!P2558-INPUT!Q2558)/INPUT!P2558),"")</f>
        <v/>
      </c>
    </row>
    <row r="2564" spans="1:12" ht="18" hidden="1" customHeight="1" x14ac:dyDescent="0.2">
      <c r="A2564" s="11" t="str">
        <f>IF(INPUT!M2559="","",INPUT!M2559)</f>
        <v/>
      </c>
      <c r="B2564" s="11" t="str">
        <f>IF(INPUT!M2559="","",INPUT!M2559-WEEKDAY(INPUT!M2559,2)+1)</f>
        <v/>
      </c>
      <c r="C2564" s="20">
        <f>IFERROR(_xlfn.ISOWEEKNUM(INPUT!M2559),"")</f>
        <v>52</v>
      </c>
      <c r="D2564" s="20">
        <f>IFERROR(YEAR(INPUT!M2559),"")</f>
        <v>1900</v>
      </c>
      <c r="E2564" t="str">
        <f>IF(INPUT!O2559="","",INPUT!O2559)</f>
        <v/>
      </c>
      <c r="F2564" t="str">
        <f>IF(INPUT!N2559="","",INPUT!N2559)</f>
        <v/>
      </c>
      <c r="G2564" cm="1">
        <f t="array" ref="G2564">IFERROR(VLOOKUP(INPUT!M2559&amp;INPUT!N2559,CHOOSE({1,2},INPUT!$A$3:$A$5000&amp;INPUT!$C$3:$C$5000,INPUT!$F$3:$F$5000),2,FALSE),"")</f>
        <v>0</v>
      </c>
      <c r="H2564" cm="1">
        <f t="array" ref="H2564">IFERROR(VLOOKUP(INPUT!M2559&amp;INPUT!N2559,CHOOSE({1,2},INPUT!$A$3:$A$5000&amp;INPUT!$C$3:$C$5000,INPUT!$D$3:$D$5000),2,FALSE),"")</f>
        <v>0</v>
      </c>
      <c r="I2564" s="46" t="str">
        <f>IF(INPUT!P2559="","",INPUT!P2559)</f>
        <v/>
      </c>
      <c r="J2564" s="46" t="str">
        <f>IF(INPUT!Q2559="","",INPUT!Q2559)</f>
        <v/>
      </c>
      <c r="K2564" s="46" t="str">
        <f>IFERROR(IF(OR(INPUT!P2559="",INPUT!Q2559=""),"",INPUT!P2559-INPUT!Q2559),"")</f>
        <v/>
      </c>
      <c r="L2564" s="48" t="str">
        <f>IFERROR(IF(OR(INPUT!P2559="",INPUT!Q2559="",INPUT!P2559=0),"",(INPUT!P2559-INPUT!Q2559)/INPUT!P2559),"")</f>
        <v/>
      </c>
    </row>
    <row r="2565" spans="1:12" ht="18" hidden="1" customHeight="1" x14ac:dyDescent="0.2">
      <c r="A2565" s="11" t="str">
        <f>IF(INPUT!M2560="","",INPUT!M2560)</f>
        <v/>
      </c>
      <c r="B2565" s="11" t="str">
        <f>IF(INPUT!M2560="","",INPUT!M2560-WEEKDAY(INPUT!M2560,2)+1)</f>
        <v/>
      </c>
      <c r="C2565" s="20">
        <f>IFERROR(_xlfn.ISOWEEKNUM(INPUT!M2560),"")</f>
        <v>52</v>
      </c>
      <c r="D2565" s="20">
        <f>IFERROR(YEAR(INPUT!M2560),"")</f>
        <v>1900</v>
      </c>
      <c r="E2565" t="str">
        <f>IF(INPUT!O2560="","",INPUT!O2560)</f>
        <v/>
      </c>
      <c r="F2565" t="str">
        <f>IF(INPUT!N2560="","",INPUT!N2560)</f>
        <v/>
      </c>
      <c r="G2565" cm="1">
        <f t="array" ref="G2565">IFERROR(VLOOKUP(INPUT!M2560&amp;INPUT!N2560,CHOOSE({1,2},INPUT!$A$3:$A$5000&amp;INPUT!$C$3:$C$5000,INPUT!$F$3:$F$5000),2,FALSE),"")</f>
        <v>0</v>
      </c>
      <c r="H2565" cm="1">
        <f t="array" ref="H2565">IFERROR(VLOOKUP(INPUT!M2560&amp;INPUT!N2560,CHOOSE({1,2},INPUT!$A$3:$A$5000&amp;INPUT!$C$3:$C$5000,INPUT!$D$3:$D$5000),2,FALSE),"")</f>
        <v>0</v>
      </c>
      <c r="I2565" s="46" t="str">
        <f>IF(INPUT!P2560="","",INPUT!P2560)</f>
        <v/>
      </c>
      <c r="J2565" s="46" t="str">
        <f>IF(INPUT!Q2560="","",INPUT!Q2560)</f>
        <v/>
      </c>
      <c r="K2565" s="46" t="str">
        <f>IFERROR(IF(OR(INPUT!P2560="",INPUT!Q2560=""),"",INPUT!P2560-INPUT!Q2560),"")</f>
        <v/>
      </c>
      <c r="L2565" s="48" t="str">
        <f>IFERROR(IF(OR(INPUT!P2560="",INPUT!Q2560="",INPUT!P2560=0),"",(INPUT!P2560-INPUT!Q2560)/INPUT!P2560),"")</f>
        <v/>
      </c>
    </row>
    <row r="2566" spans="1:12" ht="18" hidden="1" customHeight="1" x14ac:dyDescent="0.2">
      <c r="A2566" s="11" t="str">
        <f>IF(INPUT!M2561="","",INPUT!M2561)</f>
        <v/>
      </c>
      <c r="B2566" s="11" t="str">
        <f>IF(INPUT!M2561="","",INPUT!M2561-WEEKDAY(INPUT!M2561,2)+1)</f>
        <v/>
      </c>
      <c r="C2566" s="20">
        <f>IFERROR(_xlfn.ISOWEEKNUM(INPUT!M2561),"")</f>
        <v>52</v>
      </c>
      <c r="D2566" s="20">
        <f>IFERROR(YEAR(INPUT!M2561),"")</f>
        <v>1900</v>
      </c>
      <c r="E2566" t="str">
        <f>IF(INPUT!O2561="","",INPUT!O2561)</f>
        <v/>
      </c>
      <c r="F2566" t="str">
        <f>IF(INPUT!N2561="","",INPUT!N2561)</f>
        <v/>
      </c>
      <c r="G2566" cm="1">
        <f t="array" ref="G2566">IFERROR(VLOOKUP(INPUT!M2561&amp;INPUT!N2561,CHOOSE({1,2},INPUT!$A$3:$A$5000&amp;INPUT!$C$3:$C$5000,INPUT!$F$3:$F$5000),2,FALSE),"")</f>
        <v>0</v>
      </c>
      <c r="H2566" cm="1">
        <f t="array" ref="H2566">IFERROR(VLOOKUP(INPUT!M2561&amp;INPUT!N2561,CHOOSE({1,2},INPUT!$A$3:$A$5000&amp;INPUT!$C$3:$C$5000,INPUT!$D$3:$D$5000),2,FALSE),"")</f>
        <v>0</v>
      </c>
      <c r="I2566" s="46" t="str">
        <f>IF(INPUT!P2561="","",INPUT!P2561)</f>
        <v/>
      </c>
      <c r="J2566" s="46" t="str">
        <f>IF(INPUT!Q2561="","",INPUT!Q2561)</f>
        <v/>
      </c>
      <c r="K2566" s="46" t="str">
        <f>IFERROR(IF(OR(INPUT!P2561="",INPUT!Q2561=""),"",INPUT!P2561-INPUT!Q2561),"")</f>
        <v/>
      </c>
      <c r="L2566" s="48" t="str">
        <f>IFERROR(IF(OR(INPUT!P2561="",INPUT!Q2561="",INPUT!P2561=0),"",(INPUT!P2561-INPUT!Q2561)/INPUT!P2561),"")</f>
        <v/>
      </c>
    </row>
    <row r="2567" spans="1:12" ht="18" hidden="1" customHeight="1" x14ac:dyDescent="0.2">
      <c r="A2567" s="11" t="str">
        <f>IF(INPUT!M2562="","",INPUT!M2562)</f>
        <v/>
      </c>
      <c r="B2567" s="11" t="str">
        <f>IF(INPUT!M2562="","",INPUT!M2562-WEEKDAY(INPUT!M2562,2)+1)</f>
        <v/>
      </c>
      <c r="C2567" s="20">
        <f>IFERROR(_xlfn.ISOWEEKNUM(INPUT!M2562),"")</f>
        <v>52</v>
      </c>
      <c r="D2567" s="20">
        <f>IFERROR(YEAR(INPUT!M2562),"")</f>
        <v>1900</v>
      </c>
      <c r="E2567" t="str">
        <f>IF(INPUT!O2562="","",INPUT!O2562)</f>
        <v/>
      </c>
      <c r="F2567" t="str">
        <f>IF(INPUT!N2562="","",INPUT!N2562)</f>
        <v/>
      </c>
      <c r="G2567" cm="1">
        <f t="array" ref="G2567">IFERROR(VLOOKUP(INPUT!M2562&amp;INPUT!N2562,CHOOSE({1,2},INPUT!$A$3:$A$5000&amp;INPUT!$C$3:$C$5000,INPUT!$F$3:$F$5000),2,FALSE),"")</f>
        <v>0</v>
      </c>
      <c r="H2567" cm="1">
        <f t="array" ref="H2567">IFERROR(VLOOKUP(INPUT!M2562&amp;INPUT!N2562,CHOOSE({1,2},INPUT!$A$3:$A$5000&amp;INPUT!$C$3:$C$5000,INPUT!$D$3:$D$5000),2,FALSE),"")</f>
        <v>0</v>
      </c>
      <c r="I2567" s="46" t="str">
        <f>IF(INPUT!P2562="","",INPUT!P2562)</f>
        <v/>
      </c>
      <c r="J2567" s="46" t="str">
        <f>IF(INPUT!Q2562="","",INPUT!Q2562)</f>
        <v/>
      </c>
      <c r="K2567" s="46" t="str">
        <f>IFERROR(IF(OR(INPUT!P2562="",INPUT!Q2562=""),"",INPUT!P2562-INPUT!Q2562),"")</f>
        <v/>
      </c>
      <c r="L2567" s="48" t="str">
        <f>IFERROR(IF(OR(INPUT!P2562="",INPUT!Q2562="",INPUT!P2562=0),"",(INPUT!P2562-INPUT!Q2562)/INPUT!P2562),"")</f>
        <v/>
      </c>
    </row>
    <row r="2568" spans="1:12" ht="18" hidden="1" customHeight="1" x14ac:dyDescent="0.2">
      <c r="A2568" s="11" t="str">
        <f>IF(INPUT!M2563="","",INPUT!M2563)</f>
        <v/>
      </c>
      <c r="B2568" s="11" t="str">
        <f>IF(INPUT!M2563="","",INPUT!M2563-WEEKDAY(INPUT!M2563,2)+1)</f>
        <v/>
      </c>
      <c r="C2568" s="20">
        <f>IFERROR(_xlfn.ISOWEEKNUM(INPUT!M2563),"")</f>
        <v>52</v>
      </c>
      <c r="D2568" s="20">
        <f>IFERROR(YEAR(INPUT!M2563),"")</f>
        <v>1900</v>
      </c>
      <c r="E2568" t="str">
        <f>IF(INPUT!O2563="","",INPUT!O2563)</f>
        <v/>
      </c>
      <c r="F2568" t="str">
        <f>IF(INPUT!N2563="","",INPUT!N2563)</f>
        <v/>
      </c>
      <c r="G2568" cm="1">
        <f t="array" ref="G2568">IFERROR(VLOOKUP(INPUT!M2563&amp;INPUT!N2563,CHOOSE({1,2},INPUT!$A$3:$A$5000&amp;INPUT!$C$3:$C$5000,INPUT!$F$3:$F$5000),2,FALSE),"")</f>
        <v>0</v>
      </c>
      <c r="H2568" cm="1">
        <f t="array" ref="H2568">IFERROR(VLOOKUP(INPUT!M2563&amp;INPUT!N2563,CHOOSE({1,2},INPUT!$A$3:$A$5000&amp;INPUT!$C$3:$C$5000,INPUT!$D$3:$D$5000),2,FALSE),"")</f>
        <v>0</v>
      </c>
      <c r="I2568" s="46" t="str">
        <f>IF(INPUT!P2563="","",INPUT!P2563)</f>
        <v/>
      </c>
      <c r="J2568" s="46" t="str">
        <f>IF(INPUT!Q2563="","",INPUT!Q2563)</f>
        <v/>
      </c>
      <c r="K2568" s="46" t="str">
        <f>IFERROR(IF(OR(INPUT!P2563="",INPUT!Q2563=""),"",INPUT!P2563-INPUT!Q2563),"")</f>
        <v/>
      </c>
      <c r="L2568" s="48" t="str">
        <f>IFERROR(IF(OR(INPUT!P2563="",INPUT!Q2563="",INPUT!P2563=0),"",(INPUT!P2563-INPUT!Q2563)/INPUT!P2563),"")</f>
        <v/>
      </c>
    </row>
    <row r="2569" spans="1:12" ht="18" hidden="1" customHeight="1" x14ac:dyDescent="0.2">
      <c r="A2569" s="11" t="str">
        <f>IF(INPUT!M2564="","",INPUT!M2564)</f>
        <v/>
      </c>
      <c r="B2569" s="11" t="str">
        <f>IF(INPUT!M2564="","",INPUT!M2564-WEEKDAY(INPUT!M2564,2)+1)</f>
        <v/>
      </c>
      <c r="C2569" s="20">
        <f>IFERROR(_xlfn.ISOWEEKNUM(INPUT!M2564),"")</f>
        <v>52</v>
      </c>
      <c r="D2569" s="20">
        <f>IFERROR(YEAR(INPUT!M2564),"")</f>
        <v>1900</v>
      </c>
      <c r="E2569" t="str">
        <f>IF(INPUT!O2564="","",INPUT!O2564)</f>
        <v/>
      </c>
      <c r="F2569" t="str">
        <f>IF(INPUT!N2564="","",INPUT!N2564)</f>
        <v/>
      </c>
      <c r="G2569" cm="1">
        <f t="array" ref="G2569">IFERROR(VLOOKUP(INPUT!M2564&amp;INPUT!N2564,CHOOSE({1,2},INPUT!$A$3:$A$5000&amp;INPUT!$C$3:$C$5000,INPUT!$F$3:$F$5000),2,FALSE),"")</f>
        <v>0</v>
      </c>
      <c r="H2569" cm="1">
        <f t="array" ref="H2569">IFERROR(VLOOKUP(INPUT!M2564&amp;INPUT!N2564,CHOOSE({1,2},INPUT!$A$3:$A$5000&amp;INPUT!$C$3:$C$5000,INPUT!$D$3:$D$5000),2,FALSE),"")</f>
        <v>0</v>
      </c>
      <c r="I2569" s="46" t="str">
        <f>IF(INPUT!P2564="","",INPUT!P2564)</f>
        <v/>
      </c>
      <c r="J2569" s="46" t="str">
        <f>IF(INPUT!Q2564="","",INPUT!Q2564)</f>
        <v/>
      </c>
      <c r="K2569" s="46" t="str">
        <f>IFERROR(IF(OR(INPUT!P2564="",INPUT!Q2564=""),"",INPUT!P2564-INPUT!Q2564),"")</f>
        <v/>
      </c>
      <c r="L2569" s="48" t="str">
        <f>IFERROR(IF(OR(INPUT!P2564="",INPUT!Q2564="",INPUT!P2564=0),"",(INPUT!P2564-INPUT!Q2564)/INPUT!P2564),"")</f>
        <v/>
      </c>
    </row>
    <row r="2570" spans="1:12" ht="18" hidden="1" customHeight="1" x14ac:dyDescent="0.2">
      <c r="A2570" s="11" t="str">
        <f>IF(INPUT!M2565="","",INPUT!M2565)</f>
        <v/>
      </c>
      <c r="B2570" s="11" t="str">
        <f>IF(INPUT!M2565="","",INPUT!M2565-WEEKDAY(INPUT!M2565,2)+1)</f>
        <v/>
      </c>
      <c r="C2570" s="20">
        <f>IFERROR(_xlfn.ISOWEEKNUM(INPUT!M2565),"")</f>
        <v>52</v>
      </c>
      <c r="D2570" s="20">
        <f>IFERROR(YEAR(INPUT!M2565),"")</f>
        <v>1900</v>
      </c>
      <c r="E2570" t="str">
        <f>IF(INPUT!O2565="","",INPUT!O2565)</f>
        <v/>
      </c>
      <c r="F2570" t="str">
        <f>IF(INPUT!N2565="","",INPUT!N2565)</f>
        <v/>
      </c>
      <c r="G2570" cm="1">
        <f t="array" ref="G2570">IFERROR(VLOOKUP(INPUT!M2565&amp;INPUT!N2565,CHOOSE({1,2},INPUT!$A$3:$A$5000&amp;INPUT!$C$3:$C$5000,INPUT!$F$3:$F$5000),2,FALSE),"")</f>
        <v>0</v>
      </c>
      <c r="H2570" cm="1">
        <f t="array" ref="H2570">IFERROR(VLOOKUP(INPUT!M2565&amp;INPUT!N2565,CHOOSE({1,2},INPUT!$A$3:$A$5000&amp;INPUT!$C$3:$C$5000,INPUT!$D$3:$D$5000),2,FALSE),"")</f>
        <v>0</v>
      </c>
      <c r="I2570" s="46" t="str">
        <f>IF(INPUT!P2565="","",INPUT!P2565)</f>
        <v/>
      </c>
      <c r="J2570" s="46" t="str">
        <f>IF(INPUT!Q2565="","",INPUT!Q2565)</f>
        <v/>
      </c>
      <c r="K2570" s="46" t="str">
        <f>IFERROR(IF(OR(INPUT!P2565="",INPUT!Q2565=""),"",INPUT!P2565-INPUT!Q2565),"")</f>
        <v/>
      </c>
      <c r="L2570" s="48" t="str">
        <f>IFERROR(IF(OR(INPUT!P2565="",INPUT!Q2565="",INPUT!P2565=0),"",(INPUT!P2565-INPUT!Q2565)/INPUT!P2565),"")</f>
        <v/>
      </c>
    </row>
    <row r="2571" spans="1:12" ht="18" hidden="1" customHeight="1" x14ac:dyDescent="0.2">
      <c r="A2571" s="11" t="str">
        <f>IF(INPUT!M2566="","",INPUT!M2566)</f>
        <v/>
      </c>
      <c r="B2571" s="11" t="str">
        <f>IF(INPUT!M2566="","",INPUT!M2566-WEEKDAY(INPUT!M2566,2)+1)</f>
        <v/>
      </c>
      <c r="C2571" s="20">
        <f>IFERROR(_xlfn.ISOWEEKNUM(INPUT!M2566),"")</f>
        <v>52</v>
      </c>
      <c r="D2571" s="20">
        <f>IFERROR(YEAR(INPUT!M2566),"")</f>
        <v>1900</v>
      </c>
      <c r="E2571" t="str">
        <f>IF(INPUT!O2566="","",INPUT!O2566)</f>
        <v/>
      </c>
      <c r="F2571" t="str">
        <f>IF(INPUT!N2566="","",INPUT!N2566)</f>
        <v/>
      </c>
      <c r="G2571" cm="1">
        <f t="array" ref="G2571">IFERROR(VLOOKUP(INPUT!M2566&amp;INPUT!N2566,CHOOSE({1,2},INPUT!$A$3:$A$5000&amp;INPUT!$C$3:$C$5000,INPUT!$F$3:$F$5000),2,FALSE),"")</f>
        <v>0</v>
      </c>
      <c r="H2571" cm="1">
        <f t="array" ref="H2571">IFERROR(VLOOKUP(INPUT!M2566&amp;INPUT!N2566,CHOOSE({1,2},INPUT!$A$3:$A$5000&amp;INPUT!$C$3:$C$5000,INPUT!$D$3:$D$5000),2,FALSE),"")</f>
        <v>0</v>
      </c>
      <c r="I2571" s="46" t="str">
        <f>IF(INPUT!P2566="","",INPUT!P2566)</f>
        <v/>
      </c>
      <c r="J2571" s="46" t="str">
        <f>IF(INPUT!Q2566="","",INPUT!Q2566)</f>
        <v/>
      </c>
      <c r="K2571" s="46" t="str">
        <f>IFERROR(IF(OR(INPUT!P2566="",INPUT!Q2566=""),"",INPUT!P2566-INPUT!Q2566),"")</f>
        <v/>
      </c>
      <c r="L2571" s="48" t="str">
        <f>IFERROR(IF(OR(INPUT!P2566="",INPUT!Q2566="",INPUT!P2566=0),"",(INPUT!P2566-INPUT!Q2566)/INPUT!P2566),"")</f>
        <v/>
      </c>
    </row>
    <row r="2572" spans="1:12" ht="18" hidden="1" customHeight="1" x14ac:dyDescent="0.2">
      <c r="A2572" s="11" t="str">
        <f>IF(INPUT!M2567="","",INPUT!M2567)</f>
        <v/>
      </c>
      <c r="B2572" s="11" t="str">
        <f>IF(INPUT!M2567="","",INPUT!M2567-WEEKDAY(INPUT!M2567,2)+1)</f>
        <v/>
      </c>
      <c r="C2572" s="20">
        <f>IFERROR(_xlfn.ISOWEEKNUM(INPUT!M2567),"")</f>
        <v>52</v>
      </c>
      <c r="D2572" s="20">
        <f>IFERROR(YEAR(INPUT!M2567),"")</f>
        <v>1900</v>
      </c>
      <c r="E2572" t="str">
        <f>IF(INPUT!O2567="","",INPUT!O2567)</f>
        <v/>
      </c>
      <c r="F2572" t="str">
        <f>IF(INPUT!N2567="","",INPUT!N2567)</f>
        <v/>
      </c>
      <c r="G2572" cm="1">
        <f t="array" ref="G2572">IFERROR(VLOOKUP(INPUT!M2567&amp;INPUT!N2567,CHOOSE({1,2},INPUT!$A$3:$A$5000&amp;INPUT!$C$3:$C$5000,INPUT!$F$3:$F$5000),2,FALSE),"")</f>
        <v>0</v>
      </c>
      <c r="H2572" cm="1">
        <f t="array" ref="H2572">IFERROR(VLOOKUP(INPUT!M2567&amp;INPUT!N2567,CHOOSE({1,2},INPUT!$A$3:$A$5000&amp;INPUT!$C$3:$C$5000,INPUT!$D$3:$D$5000),2,FALSE),"")</f>
        <v>0</v>
      </c>
      <c r="I2572" s="46" t="str">
        <f>IF(INPUT!P2567="","",INPUT!P2567)</f>
        <v/>
      </c>
      <c r="J2572" s="46" t="str">
        <f>IF(INPUT!Q2567="","",INPUT!Q2567)</f>
        <v/>
      </c>
      <c r="K2572" s="46" t="str">
        <f>IFERROR(IF(OR(INPUT!P2567="",INPUT!Q2567=""),"",INPUT!P2567-INPUT!Q2567),"")</f>
        <v/>
      </c>
      <c r="L2572" s="48" t="str">
        <f>IFERROR(IF(OR(INPUT!P2567="",INPUT!Q2567="",INPUT!P2567=0),"",(INPUT!P2567-INPUT!Q2567)/INPUT!P2567),"")</f>
        <v/>
      </c>
    </row>
    <row r="2573" spans="1:12" ht="18" hidden="1" customHeight="1" x14ac:dyDescent="0.2">
      <c r="A2573" s="11" t="str">
        <f>IF(INPUT!M2568="","",INPUT!M2568)</f>
        <v/>
      </c>
      <c r="B2573" s="11" t="str">
        <f>IF(INPUT!M2568="","",INPUT!M2568-WEEKDAY(INPUT!M2568,2)+1)</f>
        <v/>
      </c>
      <c r="C2573" s="20">
        <f>IFERROR(_xlfn.ISOWEEKNUM(INPUT!M2568),"")</f>
        <v>52</v>
      </c>
      <c r="D2573" s="20">
        <f>IFERROR(YEAR(INPUT!M2568),"")</f>
        <v>1900</v>
      </c>
      <c r="E2573" t="str">
        <f>IF(INPUT!O2568="","",INPUT!O2568)</f>
        <v/>
      </c>
      <c r="F2573" t="str">
        <f>IF(INPUT!N2568="","",INPUT!N2568)</f>
        <v/>
      </c>
      <c r="G2573" cm="1">
        <f t="array" ref="G2573">IFERROR(VLOOKUP(INPUT!M2568&amp;INPUT!N2568,CHOOSE({1,2},INPUT!$A$3:$A$5000&amp;INPUT!$C$3:$C$5000,INPUT!$F$3:$F$5000),2,FALSE),"")</f>
        <v>0</v>
      </c>
      <c r="H2573" cm="1">
        <f t="array" ref="H2573">IFERROR(VLOOKUP(INPUT!M2568&amp;INPUT!N2568,CHOOSE({1,2},INPUT!$A$3:$A$5000&amp;INPUT!$C$3:$C$5000,INPUT!$D$3:$D$5000),2,FALSE),"")</f>
        <v>0</v>
      </c>
      <c r="I2573" s="46" t="str">
        <f>IF(INPUT!P2568="","",INPUT!P2568)</f>
        <v/>
      </c>
      <c r="J2573" s="46" t="str">
        <f>IF(INPUT!Q2568="","",INPUT!Q2568)</f>
        <v/>
      </c>
      <c r="K2573" s="46" t="str">
        <f>IFERROR(IF(OR(INPUT!P2568="",INPUT!Q2568=""),"",INPUT!P2568-INPUT!Q2568),"")</f>
        <v/>
      </c>
      <c r="L2573" s="48" t="str">
        <f>IFERROR(IF(OR(INPUT!P2568="",INPUT!Q2568="",INPUT!P2568=0),"",(INPUT!P2568-INPUT!Q2568)/INPUT!P2568),"")</f>
        <v/>
      </c>
    </row>
    <row r="2574" spans="1:12" ht="18" hidden="1" customHeight="1" x14ac:dyDescent="0.2">
      <c r="A2574" s="11" t="str">
        <f>IF(INPUT!M2569="","",INPUT!M2569)</f>
        <v/>
      </c>
      <c r="B2574" s="11" t="str">
        <f>IF(INPUT!M2569="","",INPUT!M2569-WEEKDAY(INPUT!M2569,2)+1)</f>
        <v/>
      </c>
      <c r="C2574" s="20">
        <f>IFERROR(_xlfn.ISOWEEKNUM(INPUT!M2569),"")</f>
        <v>52</v>
      </c>
      <c r="D2574" s="20">
        <f>IFERROR(YEAR(INPUT!M2569),"")</f>
        <v>1900</v>
      </c>
      <c r="E2574" t="str">
        <f>IF(INPUT!O2569="","",INPUT!O2569)</f>
        <v/>
      </c>
      <c r="F2574" t="str">
        <f>IF(INPUT!N2569="","",INPUT!N2569)</f>
        <v/>
      </c>
      <c r="G2574" cm="1">
        <f t="array" ref="G2574">IFERROR(VLOOKUP(INPUT!M2569&amp;INPUT!N2569,CHOOSE({1,2},INPUT!$A$3:$A$5000&amp;INPUT!$C$3:$C$5000,INPUT!$F$3:$F$5000),2,FALSE),"")</f>
        <v>0</v>
      </c>
      <c r="H2574" cm="1">
        <f t="array" ref="H2574">IFERROR(VLOOKUP(INPUT!M2569&amp;INPUT!N2569,CHOOSE({1,2},INPUT!$A$3:$A$5000&amp;INPUT!$C$3:$C$5000,INPUT!$D$3:$D$5000),2,FALSE),"")</f>
        <v>0</v>
      </c>
      <c r="I2574" s="46" t="str">
        <f>IF(INPUT!P2569="","",INPUT!P2569)</f>
        <v/>
      </c>
      <c r="J2574" s="46" t="str">
        <f>IF(INPUT!Q2569="","",INPUT!Q2569)</f>
        <v/>
      </c>
      <c r="K2574" s="46" t="str">
        <f>IFERROR(IF(OR(INPUT!P2569="",INPUT!Q2569=""),"",INPUT!P2569-INPUT!Q2569),"")</f>
        <v/>
      </c>
      <c r="L2574" s="48" t="str">
        <f>IFERROR(IF(OR(INPUT!P2569="",INPUT!Q2569="",INPUT!P2569=0),"",(INPUT!P2569-INPUT!Q2569)/INPUT!P2569),"")</f>
        <v/>
      </c>
    </row>
    <row r="2575" spans="1:12" ht="18" hidden="1" customHeight="1" x14ac:dyDescent="0.2">
      <c r="A2575" s="11" t="str">
        <f>IF(INPUT!M2570="","",INPUT!M2570)</f>
        <v/>
      </c>
      <c r="B2575" s="11" t="str">
        <f>IF(INPUT!M2570="","",INPUT!M2570-WEEKDAY(INPUT!M2570,2)+1)</f>
        <v/>
      </c>
      <c r="C2575" s="20">
        <f>IFERROR(_xlfn.ISOWEEKNUM(INPUT!M2570),"")</f>
        <v>52</v>
      </c>
      <c r="D2575" s="20">
        <f>IFERROR(YEAR(INPUT!M2570),"")</f>
        <v>1900</v>
      </c>
      <c r="E2575" t="str">
        <f>IF(INPUT!O2570="","",INPUT!O2570)</f>
        <v/>
      </c>
      <c r="F2575" t="str">
        <f>IF(INPUT!N2570="","",INPUT!N2570)</f>
        <v/>
      </c>
      <c r="G2575" cm="1">
        <f t="array" ref="G2575">IFERROR(VLOOKUP(INPUT!M2570&amp;INPUT!N2570,CHOOSE({1,2},INPUT!$A$3:$A$5000&amp;INPUT!$C$3:$C$5000,INPUT!$F$3:$F$5000),2,FALSE),"")</f>
        <v>0</v>
      </c>
      <c r="H2575" cm="1">
        <f t="array" ref="H2575">IFERROR(VLOOKUP(INPUT!M2570&amp;INPUT!N2570,CHOOSE({1,2},INPUT!$A$3:$A$5000&amp;INPUT!$C$3:$C$5000,INPUT!$D$3:$D$5000),2,FALSE),"")</f>
        <v>0</v>
      </c>
      <c r="I2575" s="46" t="str">
        <f>IF(INPUT!P2570="","",INPUT!P2570)</f>
        <v/>
      </c>
      <c r="J2575" s="46" t="str">
        <f>IF(INPUT!Q2570="","",INPUT!Q2570)</f>
        <v/>
      </c>
      <c r="K2575" s="46" t="str">
        <f>IFERROR(IF(OR(INPUT!P2570="",INPUT!Q2570=""),"",INPUT!P2570-INPUT!Q2570),"")</f>
        <v/>
      </c>
      <c r="L2575" s="48" t="str">
        <f>IFERROR(IF(OR(INPUT!P2570="",INPUT!Q2570="",INPUT!P2570=0),"",(INPUT!P2570-INPUT!Q2570)/INPUT!P2570),"")</f>
        <v/>
      </c>
    </row>
    <row r="2576" spans="1:12" ht="18" hidden="1" customHeight="1" x14ac:dyDescent="0.2">
      <c r="A2576" s="11" t="str">
        <f>IF(INPUT!M2571="","",INPUT!M2571)</f>
        <v/>
      </c>
      <c r="B2576" s="11" t="str">
        <f>IF(INPUT!M2571="","",INPUT!M2571-WEEKDAY(INPUT!M2571,2)+1)</f>
        <v/>
      </c>
      <c r="C2576" s="20">
        <f>IFERROR(_xlfn.ISOWEEKNUM(INPUT!M2571),"")</f>
        <v>52</v>
      </c>
      <c r="D2576" s="20">
        <f>IFERROR(YEAR(INPUT!M2571),"")</f>
        <v>1900</v>
      </c>
      <c r="E2576" t="str">
        <f>IF(INPUT!O2571="","",INPUT!O2571)</f>
        <v/>
      </c>
      <c r="F2576" t="str">
        <f>IF(INPUT!N2571="","",INPUT!N2571)</f>
        <v/>
      </c>
      <c r="G2576" cm="1">
        <f t="array" ref="G2576">IFERROR(VLOOKUP(INPUT!M2571&amp;INPUT!N2571,CHOOSE({1,2},INPUT!$A$3:$A$5000&amp;INPUT!$C$3:$C$5000,INPUT!$F$3:$F$5000),2,FALSE),"")</f>
        <v>0</v>
      </c>
      <c r="H2576" cm="1">
        <f t="array" ref="H2576">IFERROR(VLOOKUP(INPUT!M2571&amp;INPUT!N2571,CHOOSE({1,2},INPUT!$A$3:$A$5000&amp;INPUT!$C$3:$C$5000,INPUT!$D$3:$D$5000),2,FALSE),"")</f>
        <v>0</v>
      </c>
      <c r="I2576" s="46" t="str">
        <f>IF(INPUT!P2571="","",INPUT!P2571)</f>
        <v/>
      </c>
      <c r="J2576" s="46" t="str">
        <f>IF(INPUT!Q2571="","",INPUT!Q2571)</f>
        <v/>
      </c>
      <c r="K2576" s="46" t="str">
        <f>IFERROR(IF(OR(INPUT!P2571="",INPUT!Q2571=""),"",INPUT!P2571-INPUT!Q2571),"")</f>
        <v/>
      </c>
      <c r="L2576" s="48" t="str">
        <f>IFERROR(IF(OR(INPUT!P2571="",INPUT!Q2571="",INPUT!P2571=0),"",(INPUT!P2571-INPUT!Q2571)/INPUT!P2571),"")</f>
        <v/>
      </c>
    </row>
    <row r="2577" spans="1:12" ht="18" hidden="1" customHeight="1" x14ac:dyDescent="0.2">
      <c r="A2577" s="11" t="str">
        <f>IF(INPUT!M2572="","",INPUT!M2572)</f>
        <v/>
      </c>
      <c r="B2577" s="11" t="str">
        <f>IF(INPUT!M2572="","",INPUT!M2572-WEEKDAY(INPUT!M2572,2)+1)</f>
        <v/>
      </c>
      <c r="C2577" s="20">
        <f>IFERROR(_xlfn.ISOWEEKNUM(INPUT!M2572),"")</f>
        <v>52</v>
      </c>
      <c r="D2577" s="20">
        <f>IFERROR(YEAR(INPUT!M2572),"")</f>
        <v>1900</v>
      </c>
      <c r="E2577" t="str">
        <f>IF(INPUT!O2572="","",INPUT!O2572)</f>
        <v/>
      </c>
      <c r="F2577" t="str">
        <f>IF(INPUT!N2572="","",INPUT!N2572)</f>
        <v/>
      </c>
      <c r="G2577" cm="1">
        <f t="array" ref="G2577">IFERROR(VLOOKUP(INPUT!M2572&amp;INPUT!N2572,CHOOSE({1,2},INPUT!$A$3:$A$5000&amp;INPUT!$C$3:$C$5000,INPUT!$F$3:$F$5000),2,FALSE),"")</f>
        <v>0</v>
      </c>
      <c r="H2577" cm="1">
        <f t="array" ref="H2577">IFERROR(VLOOKUP(INPUT!M2572&amp;INPUT!N2572,CHOOSE({1,2},INPUT!$A$3:$A$5000&amp;INPUT!$C$3:$C$5000,INPUT!$D$3:$D$5000),2,FALSE),"")</f>
        <v>0</v>
      </c>
      <c r="I2577" s="46" t="str">
        <f>IF(INPUT!P2572="","",INPUT!P2572)</f>
        <v/>
      </c>
      <c r="J2577" s="46" t="str">
        <f>IF(INPUT!Q2572="","",INPUT!Q2572)</f>
        <v/>
      </c>
      <c r="K2577" s="46" t="str">
        <f>IFERROR(IF(OR(INPUT!P2572="",INPUT!Q2572=""),"",INPUT!P2572-INPUT!Q2572),"")</f>
        <v/>
      </c>
      <c r="L2577" s="48" t="str">
        <f>IFERROR(IF(OR(INPUT!P2572="",INPUT!Q2572="",INPUT!P2572=0),"",(INPUT!P2572-INPUT!Q2572)/INPUT!P2572),"")</f>
        <v/>
      </c>
    </row>
    <row r="2578" spans="1:12" ht="18" hidden="1" customHeight="1" x14ac:dyDescent="0.2">
      <c r="A2578" s="11" t="str">
        <f>IF(INPUT!M2573="","",INPUT!M2573)</f>
        <v/>
      </c>
      <c r="B2578" s="11" t="str">
        <f>IF(INPUT!M2573="","",INPUT!M2573-WEEKDAY(INPUT!M2573,2)+1)</f>
        <v/>
      </c>
      <c r="C2578" s="20">
        <f>IFERROR(_xlfn.ISOWEEKNUM(INPUT!M2573),"")</f>
        <v>52</v>
      </c>
      <c r="D2578" s="20">
        <f>IFERROR(YEAR(INPUT!M2573),"")</f>
        <v>1900</v>
      </c>
      <c r="E2578" t="str">
        <f>IF(INPUT!O2573="","",INPUT!O2573)</f>
        <v/>
      </c>
      <c r="F2578" t="str">
        <f>IF(INPUT!N2573="","",INPUT!N2573)</f>
        <v/>
      </c>
      <c r="G2578" cm="1">
        <f t="array" ref="G2578">IFERROR(VLOOKUP(INPUT!M2573&amp;INPUT!N2573,CHOOSE({1,2},INPUT!$A$3:$A$5000&amp;INPUT!$C$3:$C$5000,INPUT!$F$3:$F$5000),2,FALSE),"")</f>
        <v>0</v>
      </c>
      <c r="H2578" cm="1">
        <f t="array" ref="H2578">IFERROR(VLOOKUP(INPUT!M2573&amp;INPUT!N2573,CHOOSE({1,2},INPUT!$A$3:$A$5000&amp;INPUT!$C$3:$C$5000,INPUT!$D$3:$D$5000),2,FALSE),"")</f>
        <v>0</v>
      </c>
      <c r="I2578" s="46" t="str">
        <f>IF(INPUT!P2573="","",INPUT!P2573)</f>
        <v/>
      </c>
      <c r="J2578" s="46" t="str">
        <f>IF(INPUT!Q2573="","",INPUT!Q2573)</f>
        <v/>
      </c>
      <c r="K2578" s="46" t="str">
        <f>IFERROR(IF(OR(INPUT!P2573="",INPUT!Q2573=""),"",INPUT!P2573-INPUT!Q2573),"")</f>
        <v/>
      </c>
      <c r="L2578" s="48" t="str">
        <f>IFERROR(IF(OR(INPUT!P2573="",INPUT!Q2573="",INPUT!P2573=0),"",(INPUT!P2573-INPUT!Q2573)/INPUT!P2573),"")</f>
        <v/>
      </c>
    </row>
    <row r="2579" spans="1:12" ht="18" hidden="1" customHeight="1" x14ac:dyDescent="0.2">
      <c r="A2579" s="11" t="str">
        <f>IF(INPUT!M2574="","",INPUT!M2574)</f>
        <v/>
      </c>
      <c r="B2579" s="11" t="str">
        <f>IF(INPUT!M2574="","",INPUT!M2574-WEEKDAY(INPUT!M2574,2)+1)</f>
        <v/>
      </c>
      <c r="C2579" s="20">
        <f>IFERROR(_xlfn.ISOWEEKNUM(INPUT!M2574),"")</f>
        <v>52</v>
      </c>
      <c r="D2579" s="20">
        <f>IFERROR(YEAR(INPUT!M2574),"")</f>
        <v>1900</v>
      </c>
      <c r="E2579" t="str">
        <f>IF(INPUT!O2574="","",INPUT!O2574)</f>
        <v/>
      </c>
      <c r="F2579" t="str">
        <f>IF(INPUT!N2574="","",INPUT!N2574)</f>
        <v/>
      </c>
      <c r="G2579" cm="1">
        <f t="array" ref="G2579">IFERROR(VLOOKUP(INPUT!M2574&amp;INPUT!N2574,CHOOSE({1,2},INPUT!$A$3:$A$5000&amp;INPUT!$C$3:$C$5000,INPUT!$F$3:$F$5000),2,FALSE),"")</f>
        <v>0</v>
      </c>
      <c r="H2579" cm="1">
        <f t="array" ref="H2579">IFERROR(VLOOKUP(INPUT!M2574&amp;INPUT!N2574,CHOOSE({1,2},INPUT!$A$3:$A$5000&amp;INPUT!$C$3:$C$5000,INPUT!$D$3:$D$5000),2,FALSE),"")</f>
        <v>0</v>
      </c>
      <c r="I2579" s="46" t="str">
        <f>IF(INPUT!P2574="","",INPUT!P2574)</f>
        <v/>
      </c>
      <c r="J2579" s="46" t="str">
        <f>IF(INPUT!Q2574="","",INPUT!Q2574)</f>
        <v/>
      </c>
      <c r="K2579" s="46" t="str">
        <f>IFERROR(IF(OR(INPUT!P2574="",INPUT!Q2574=""),"",INPUT!P2574-INPUT!Q2574),"")</f>
        <v/>
      </c>
      <c r="L2579" s="48" t="str">
        <f>IFERROR(IF(OR(INPUT!P2574="",INPUT!Q2574="",INPUT!P2574=0),"",(INPUT!P2574-INPUT!Q2574)/INPUT!P2574),"")</f>
        <v/>
      </c>
    </row>
    <row r="2580" spans="1:12" ht="18" hidden="1" customHeight="1" x14ac:dyDescent="0.2">
      <c r="A2580" s="11" t="str">
        <f>IF(INPUT!M2575="","",INPUT!M2575)</f>
        <v/>
      </c>
      <c r="B2580" s="11" t="str">
        <f>IF(INPUT!M2575="","",INPUT!M2575-WEEKDAY(INPUT!M2575,2)+1)</f>
        <v/>
      </c>
      <c r="C2580" s="20">
        <f>IFERROR(_xlfn.ISOWEEKNUM(INPUT!M2575),"")</f>
        <v>52</v>
      </c>
      <c r="D2580" s="20">
        <f>IFERROR(YEAR(INPUT!M2575),"")</f>
        <v>1900</v>
      </c>
      <c r="E2580" t="str">
        <f>IF(INPUT!O2575="","",INPUT!O2575)</f>
        <v/>
      </c>
      <c r="F2580" t="str">
        <f>IF(INPUT!N2575="","",INPUT!N2575)</f>
        <v/>
      </c>
      <c r="G2580" cm="1">
        <f t="array" ref="G2580">IFERROR(VLOOKUP(INPUT!M2575&amp;INPUT!N2575,CHOOSE({1,2},INPUT!$A$3:$A$5000&amp;INPUT!$C$3:$C$5000,INPUT!$F$3:$F$5000),2,FALSE),"")</f>
        <v>0</v>
      </c>
      <c r="H2580" cm="1">
        <f t="array" ref="H2580">IFERROR(VLOOKUP(INPUT!M2575&amp;INPUT!N2575,CHOOSE({1,2},INPUT!$A$3:$A$5000&amp;INPUT!$C$3:$C$5000,INPUT!$D$3:$D$5000),2,FALSE),"")</f>
        <v>0</v>
      </c>
      <c r="I2580" s="46" t="str">
        <f>IF(INPUT!P2575="","",INPUT!P2575)</f>
        <v/>
      </c>
      <c r="J2580" s="46" t="str">
        <f>IF(INPUT!Q2575="","",INPUT!Q2575)</f>
        <v/>
      </c>
      <c r="K2580" s="46" t="str">
        <f>IFERROR(IF(OR(INPUT!P2575="",INPUT!Q2575=""),"",INPUT!P2575-INPUT!Q2575),"")</f>
        <v/>
      </c>
      <c r="L2580" s="48" t="str">
        <f>IFERROR(IF(OR(INPUT!P2575="",INPUT!Q2575="",INPUT!P2575=0),"",(INPUT!P2575-INPUT!Q2575)/INPUT!P2575),"")</f>
        <v/>
      </c>
    </row>
    <row r="2581" spans="1:12" ht="18" hidden="1" customHeight="1" x14ac:dyDescent="0.2">
      <c r="A2581" s="11" t="str">
        <f>IF(INPUT!M2576="","",INPUT!M2576)</f>
        <v/>
      </c>
      <c r="B2581" s="11" t="str">
        <f>IF(INPUT!M2576="","",INPUT!M2576-WEEKDAY(INPUT!M2576,2)+1)</f>
        <v/>
      </c>
      <c r="C2581" s="20">
        <f>IFERROR(_xlfn.ISOWEEKNUM(INPUT!M2576),"")</f>
        <v>52</v>
      </c>
      <c r="D2581" s="20">
        <f>IFERROR(YEAR(INPUT!M2576),"")</f>
        <v>1900</v>
      </c>
      <c r="E2581" t="str">
        <f>IF(INPUT!O2576="","",INPUT!O2576)</f>
        <v/>
      </c>
      <c r="F2581" t="str">
        <f>IF(INPUT!N2576="","",INPUT!N2576)</f>
        <v/>
      </c>
      <c r="G2581" cm="1">
        <f t="array" ref="G2581">IFERROR(VLOOKUP(INPUT!M2576&amp;INPUT!N2576,CHOOSE({1,2},INPUT!$A$3:$A$5000&amp;INPUT!$C$3:$C$5000,INPUT!$F$3:$F$5000),2,FALSE),"")</f>
        <v>0</v>
      </c>
      <c r="H2581" cm="1">
        <f t="array" ref="H2581">IFERROR(VLOOKUP(INPUT!M2576&amp;INPUT!N2576,CHOOSE({1,2},INPUT!$A$3:$A$5000&amp;INPUT!$C$3:$C$5000,INPUT!$D$3:$D$5000),2,FALSE),"")</f>
        <v>0</v>
      </c>
      <c r="I2581" s="46" t="str">
        <f>IF(INPUT!P2576="","",INPUT!P2576)</f>
        <v/>
      </c>
      <c r="J2581" s="46" t="str">
        <f>IF(INPUT!Q2576="","",INPUT!Q2576)</f>
        <v/>
      </c>
      <c r="K2581" s="46" t="str">
        <f>IFERROR(IF(OR(INPUT!P2576="",INPUT!Q2576=""),"",INPUT!P2576-INPUT!Q2576),"")</f>
        <v/>
      </c>
      <c r="L2581" s="48" t="str">
        <f>IFERROR(IF(OR(INPUT!P2576="",INPUT!Q2576="",INPUT!P2576=0),"",(INPUT!P2576-INPUT!Q2576)/INPUT!P2576),"")</f>
        <v/>
      </c>
    </row>
    <row r="2582" spans="1:12" ht="18" hidden="1" customHeight="1" x14ac:dyDescent="0.2">
      <c r="A2582" s="11" t="str">
        <f>IF(INPUT!M2577="","",INPUT!M2577)</f>
        <v/>
      </c>
      <c r="B2582" s="11" t="str">
        <f>IF(INPUT!M2577="","",INPUT!M2577-WEEKDAY(INPUT!M2577,2)+1)</f>
        <v/>
      </c>
      <c r="C2582" s="20">
        <f>IFERROR(_xlfn.ISOWEEKNUM(INPUT!M2577),"")</f>
        <v>52</v>
      </c>
      <c r="D2582" s="20">
        <f>IFERROR(YEAR(INPUT!M2577),"")</f>
        <v>1900</v>
      </c>
      <c r="E2582" t="str">
        <f>IF(INPUT!O2577="","",INPUT!O2577)</f>
        <v/>
      </c>
      <c r="F2582" t="str">
        <f>IF(INPUT!N2577="","",INPUT!N2577)</f>
        <v/>
      </c>
      <c r="G2582" cm="1">
        <f t="array" ref="G2582">IFERROR(VLOOKUP(INPUT!M2577&amp;INPUT!N2577,CHOOSE({1,2},INPUT!$A$3:$A$5000&amp;INPUT!$C$3:$C$5000,INPUT!$F$3:$F$5000),2,FALSE),"")</f>
        <v>0</v>
      </c>
      <c r="H2582" cm="1">
        <f t="array" ref="H2582">IFERROR(VLOOKUP(INPUT!M2577&amp;INPUT!N2577,CHOOSE({1,2},INPUT!$A$3:$A$5000&amp;INPUT!$C$3:$C$5000,INPUT!$D$3:$D$5000),2,FALSE),"")</f>
        <v>0</v>
      </c>
      <c r="I2582" s="46" t="str">
        <f>IF(INPUT!P2577="","",INPUT!P2577)</f>
        <v/>
      </c>
      <c r="J2582" s="46" t="str">
        <f>IF(INPUT!Q2577="","",INPUT!Q2577)</f>
        <v/>
      </c>
      <c r="K2582" s="46" t="str">
        <f>IFERROR(IF(OR(INPUT!P2577="",INPUT!Q2577=""),"",INPUT!P2577-INPUT!Q2577),"")</f>
        <v/>
      </c>
      <c r="L2582" s="48" t="str">
        <f>IFERROR(IF(OR(INPUT!P2577="",INPUT!Q2577="",INPUT!P2577=0),"",(INPUT!P2577-INPUT!Q2577)/INPUT!P2577),"")</f>
        <v/>
      </c>
    </row>
    <row r="2583" spans="1:12" ht="18" hidden="1" customHeight="1" x14ac:dyDescent="0.2">
      <c r="A2583" s="11" t="str">
        <f>IF(INPUT!M2578="","",INPUT!M2578)</f>
        <v/>
      </c>
      <c r="B2583" s="11" t="str">
        <f>IF(INPUT!M2578="","",INPUT!M2578-WEEKDAY(INPUT!M2578,2)+1)</f>
        <v/>
      </c>
      <c r="C2583" s="20">
        <f>IFERROR(_xlfn.ISOWEEKNUM(INPUT!M2578),"")</f>
        <v>52</v>
      </c>
      <c r="D2583" s="20">
        <f>IFERROR(YEAR(INPUT!M2578),"")</f>
        <v>1900</v>
      </c>
      <c r="E2583" t="str">
        <f>IF(INPUT!O2578="","",INPUT!O2578)</f>
        <v/>
      </c>
      <c r="F2583" t="str">
        <f>IF(INPUT!N2578="","",INPUT!N2578)</f>
        <v/>
      </c>
      <c r="G2583" cm="1">
        <f t="array" ref="G2583">IFERROR(VLOOKUP(INPUT!M2578&amp;INPUT!N2578,CHOOSE({1,2},INPUT!$A$3:$A$5000&amp;INPUT!$C$3:$C$5000,INPUT!$F$3:$F$5000),2,FALSE),"")</f>
        <v>0</v>
      </c>
      <c r="H2583" cm="1">
        <f t="array" ref="H2583">IFERROR(VLOOKUP(INPUT!M2578&amp;INPUT!N2578,CHOOSE({1,2},INPUT!$A$3:$A$5000&amp;INPUT!$C$3:$C$5000,INPUT!$D$3:$D$5000),2,FALSE),"")</f>
        <v>0</v>
      </c>
      <c r="I2583" s="46" t="str">
        <f>IF(INPUT!P2578="","",INPUT!P2578)</f>
        <v/>
      </c>
      <c r="J2583" s="46" t="str">
        <f>IF(INPUT!Q2578="","",INPUT!Q2578)</f>
        <v/>
      </c>
      <c r="K2583" s="46" t="str">
        <f>IFERROR(IF(OR(INPUT!P2578="",INPUT!Q2578=""),"",INPUT!P2578-INPUT!Q2578),"")</f>
        <v/>
      </c>
      <c r="L2583" s="48" t="str">
        <f>IFERROR(IF(OR(INPUT!P2578="",INPUT!Q2578="",INPUT!P2578=0),"",(INPUT!P2578-INPUT!Q2578)/INPUT!P2578),"")</f>
        <v/>
      </c>
    </row>
    <row r="2584" spans="1:12" ht="18" hidden="1" customHeight="1" x14ac:dyDescent="0.2">
      <c r="A2584" s="11" t="str">
        <f>IF(INPUT!M2579="","",INPUT!M2579)</f>
        <v/>
      </c>
      <c r="B2584" s="11" t="str">
        <f>IF(INPUT!M2579="","",INPUT!M2579-WEEKDAY(INPUT!M2579,2)+1)</f>
        <v/>
      </c>
      <c r="C2584" s="20">
        <f>IFERROR(_xlfn.ISOWEEKNUM(INPUT!M2579),"")</f>
        <v>52</v>
      </c>
      <c r="D2584" s="20">
        <f>IFERROR(YEAR(INPUT!M2579),"")</f>
        <v>1900</v>
      </c>
      <c r="E2584" t="str">
        <f>IF(INPUT!O2579="","",INPUT!O2579)</f>
        <v/>
      </c>
      <c r="F2584" t="str">
        <f>IF(INPUT!N2579="","",INPUT!N2579)</f>
        <v/>
      </c>
      <c r="G2584" cm="1">
        <f t="array" ref="G2584">IFERROR(VLOOKUP(INPUT!M2579&amp;INPUT!N2579,CHOOSE({1,2},INPUT!$A$3:$A$5000&amp;INPUT!$C$3:$C$5000,INPUT!$F$3:$F$5000),2,FALSE),"")</f>
        <v>0</v>
      </c>
      <c r="H2584" cm="1">
        <f t="array" ref="H2584">IFERROR(VLOOKUP(INPUT!M2579&amp;INPUT!N2579,CHOOSE({1,2},INPUT!$A$3:$A$5000&amp;INPUT!$C$3:$C$5000,INPUT!$D$3:$D$5000),2,FALSE),"")</f>
        <v>0</v>
      </c>
      <c r="I2584" s="46" t="str">
        <f>IF(INPUT!P2579="","",INPUT!P2579)</f>
        <v/>
      </c>
      <c r="J2584" s="46" t="str">
        <f>IF(INPUT!Q2579="","",INPUT!Q2579)</f>
        <v/>
      </c>
      <c r="K2584" s="46" t="str">
        <f>IFERROR(IF(OR(INPUT!P2579="",INPUT!Q2579=""),"",INPUT!P2579-INPUT!Q2579),"")</f>
        <v/>
      </c>
      <c r="L2584" s="48" t="str">
        <f>IFERROR(IF(OR(INPUT!P2579="",INPUT!Q2579="",INPUT!P2579=0),"",(INPUT!P2579-INPUT!Q2579)/INPUT!P2579),"")</f>
        <v/>
      </c>
    </row>
    <row r="2585" spans="1:12" ht="18" hidden="1" customHeight="1" x14ac:dyDescent="0.2">
      <c r="A2585" s="11" t="str">
        <f>IF(INPUT!M2580="","",INPUT!M2580)</f>
        <v/>
      </c>
      <c r="B2585" s="11" t="str">
        <f>IF(INPUT!M2580="","",INPUT!M2580-WEEKDAY(INPUT!M2580,2)+1)</f>
        <v/>
      </c>
      <c r="C2585" s="20">
        <f>IFERROR(_xlfn.ISOWEEKNUM(INPUT!M2580),"")</f>
        <v>52</v>
      </c>
      <c r="D2585" s="20">
        <f>IFERROR(YEAR(INPUT!M2580),"")</f>
        <v>1900</v>
      </c>
      <c r="E2585" t="str">
        <f>IF(INPUT!O2580="","",INPUT!O2580)</f>
        <v/>
      </c>
      <c r="F2585" t="str">
        <f>IF(INPUT!N2580="","",INPUT!N2580)</f>
        <v/>
      </c>
      <c r="G2585" cm="1">
        <f t="array" ref="G2585">IFERROR(VLOOKUP(INPUT!M2580&amp;INPUT!N2580,CHOOSE({1,2},INPUT!$A$3:$A$5000&amp;INPUT!$C$3:$C$5000,INPUT!$F$3:$F$5000),2,FALSE),"")</f>
        <v>0</v>
      </c>
      <c r="H2585" cm="1">
        <f t="array" ref="H2585">IFERROR(VLOOKUP(INPUT!M2580&amp;INPUT!N2580,CHOOSE({1,2},INPUT!$A$3:$A$5000&amp;INPUT!$C$3:$C$5000,INPUT!$D$3:$D$5000),2,FALSE),"")</f>
        <v>0</v>
      </c>
      <c r="I2585" s="46" t="str">
        <f>IF(INPUT!P2580="","",INPUT!P2580)</f>
        <v/>
      </c>
      <c r="J2585" s="46" t="str">
        <f>IF(INPUT!Q2580="","",INPUT!Q2580)</f>
        <v/>
      </c>
      <c r="K2585" s="46" t="str">
        <f>IFERROR(IF(OR(INPUT!P2580="",INPUT!Q2580=""),"",INPUT!P2580-INPUT!Q2580),"")</f>
        <v/>
      </c>
      <c r="L2585" s="48" t="str">
        <f>IFERROR(IF(OR(INPUT!P2580="",INPUT!Q2580="",INPUT!P2580=0),"",(INPUT!P2580-INPUT!Q2580)/INPUT!P2580),"")</f>
        <v/>
      </c>
    </row>
    <row r="2586" spans="1:12" ht="18" hidden="1" customHeight="1" x14ac:dyDescent="0.2">
      <c r="A2586" s="11" t="str">
        <f>IF(INPUT!M2581="","",INPUT!M2581)</f>
        <v/>
      </c>
      <c r="B2586" s="11" t="str">
        <f>IF(INPUT!M2581="","",INPUT!M2581-WEEKDAY(INPUT!M2581,2)+1)</f>
        <v/>
      </c>
      <c r="C2586" s="20">
        <f>IFERROR(_xlfn.ISOWEEKNUM(INPUT!M2581),"")</f>
        <v>52</v>
      </c>
      <c r="D2586" s="20">
        <f>IFERROR(YEAR(INPUT!M2581),"")</f>
        <v>1900</v>
      </c>
      <c r="E2586" t="str">
        <f>IF(INPUT!O2581="","",INPUT!O2581)</f>
        <v/>
      </c>
      <c r="F2586" t="str">
        <f>IF(INPUT!N2581="","",INPUT!N2581)</f>
        <v/>
      </c>
      <c r="G2586" cm="1">
        <f t="array" ref="G2586">IFERROR(VLOOKUP(INPUT!M2581&amp;INPUT!N2581,CHOOSE({1,2},INPUT!$A$3:$A$5000&amp;INPUT!$C$3:$C$5000,INPUT!$F$3:$F$5000),2,FALSE),"")</f>
        <v>0</v>
      </c>
      <c r="H2586" cm="1">
        <f t="array" ref="H2586">IFERROR(VLOOKUP(INPUT!M2581&amp;INPUT!N2581,CHOOSE({1,2},INPUT!$A$3:$A$5000&amp;INPUT!$C$3:$C$5000,INPUT!$D$3:$D$5000),2,FALSE),"")</f>
        <v>0</v>
      </c>
      <c r="I2586" s="46" t="str">
        <f>IF(INPUT!P2581="","",INPUT!P2581)</f>
        <v/>
      </c>
      <c r="J2586" s="46" t="str">
        <f>IF(INPUT!Q2581="","",INPUT!Q2581)</f>
        <v/>
      </c>
      <c r="K2586" s="46" t="str">
        <f>IFERROR(IF(OR(INPUT!P2581="",INPUT!Q2581=""),"",INPUT!P2581-INPUT!Q2581),"")</f>
        <v/>
      </c>
      <c r="L2586" s="48" t="str">
        <f>IFERROR(IF(OR(INPUT!P2581="",INPUT!Q2581="",INPUT!P2581=0),"",(INPUT!P2581-INPUT!Q2581)/INPUT!P2581),"")</f>
        <v/>
      </c>
    </row>
    <row r="2587" spans="1:12" ht="18" hidden="1" customHeight="1" x14ac:dyDescent="0.2">
      <c r="A2587" s="11" t="str">
        <f>IF(INPUT!M2582="","",INPUT!M2582)</f>
        <v/>
      </c>
      <c r="B2587" s="11" t="str">
        <f>IF(INPUT!M2582="","",INPUT!M2582-WEEKDAY(INPUT!M2582,2)+1)</f>
        <v/>
      </c>
      <c r="C2587" s="20">
        <f>IFERROR(_xlfn.ISOWEEKNUM(INPUT!M2582),"")</f>
        <v>52</v>
      </c>
      <c r="D2587" s="20">
        <f>IFERROR(YEAR(INPUT!M2582),"")</f>
        <v>1900</v>
      </c>
      <c r="E2587" t="str">
        <f>IF(INPUT!O2582="","",INPUT!O2582)</f>
        <v/>
      </c>
      <c r="F2587" t="str">
        <f>IF(INPUT!N2582="","",INPUT!N2582)</f>
        <v/>
      </c>
      <c r="G2587" cm="1">
        <f t="array" ref="G2587">IFERROR(VLOOKUP(INPUT!M2582&amp;INPUT!N2582,CHOOSE({1,2},INPUT!$A$3:$A$5000&amp;INPUT!$C$3:$C$5000,INPUT!$F$3:$F$5000),2,FALSE),"")</f>
        <v>0</v>
      </c>
      <c r="H2587" cm="1">
        <f t="array" ref="H2587">IFERROR(VLOOKUP(INPUT!M2582&amp;INPUT!N2582,CHOOSE({1,2},INPUT!$A$3:$A$5000&amp;INPUT!$C$3:$C$5000,INPUT!$D$3:$D$5000),2,FALSE),"")</f>
        <v>0</v>
      </c>
      <c r="I2587" s="46" t="str">
        <f>IF(INPUT!P2582="","",INPUT!P2582)</f>
        <v/>
      </c>
      <c r="J2587" s="46" t="str">
        <f>IF(INPUT!Q2582="","",INPUT!Q2582)</f>
        <v/>
      </c>
      <c r="K2587" s="46" t="str">
        <f>IFERROR(IF(OR(INPUT!P2582="",INPUT!Q2582=""),"",INPUT!P2582-INPUT!Q2582),"")</f>
        <v/>
      </c>
      <c r="L2587" s="48" t="str">
        <f>IFERROR(IF(OR(INPUT!P2582="",INPUT!Q2582="",INPUT!P2582=0),"",(INPUT!P2582-INPUT!Q2582)/INPUT!P2582),"")</f>
        <v/>
      </c>
    </row>
    <row r="2588" spans="1:12" ht="18" hidden="1" customHeight="1" x14ac:dyDescent="0.2">
      <c r="A2588" s="11" t="str">
        <f>IF(INPUT!M2583="","",INPUT!M2583)</f>
        <v/>
      </c>
      <c r="B2588" s="11" t="str">
        <f>IF(INPUT!M2583="","",INPUT!M2583-WEEKDAY(INPUT!M2583,2)+1)</f>
        <v/>
      </c>
      <c r="C2588" s="20">
        <f>IFERROR(_xlfn.ISOWEEKNUM(INPUT!M2583),"")</f>
        <v>52</v>
      </c>
      <c r="D2588" s="20">
        <f>IFERROR(YEAR(INPUT!M2583),"")</f>
        <v>1900</v>
      </c>
      <c r="E2588" t="str">
        <f>IF(INPUT!O2583="","",INPUT!O2583)</f>
        <v/>
      </c>
      <c r="F2588" t="str">
        <f>IF(INPUT!N2583="","",INPUT!N2583)</f>
        <v/>
      </c>
      <c r="G2588" cm="1">
        <f t="array" ref="G2588">IFERROR(VLOOKUP(INPUT!M2583&amp;INPUT!N2583,CHOOSE({1,2},INPUT!$A$3:$A$5000&amp;INPUT!$C$3:$C$5000,INPUT!$F$3:$F$5000),2,FALSE),"")</f>
        <v>0</v>
      </c>
      <c r="H2588" cm="1">
        <f t="array" ref="H2588">IFERROR(VLOOKUP(INPUT!M2583&amp;INPUT!N2583,CHOOSE({1,2},INPUT!$A$3:$A$5000&amp;INPUT!$C$3:$C$5000,INPUT!$D$3:$D$5000),2,FALSE),"")</f>
        <v>0</v>
      </c>
      <c r="I2588" s="46" t="str">
        <f>IF(INPUT!P2583="","",INPUT!P2583)</f>
        <v/>
      </c>
      <c r="J2588" s="46" t="str">
        <f>IF(INPUT!Q2583="","",INPUT!Q2583)</f>
        <v/>
      </c>
      <c r="K2588" s="46" t="str">
        <f>IFERROR(IF(OR(INPUT!P2583="",INPUT!Q2583=""),"",INPUT!P2583-INPUT!Q2583),"")</f>
        <v/>
      </c>
      <c r="L2588" s="48" t="str">
        <f>IFERROR(IF(OR(INPUT!P2583="",INPUT!Q2583="",INPUT!P2583=0),"",(INPUT!P2583-INPUT!Q2583)/INPUT!P2583),"")</f>
        <v/>
      </c>
    </row>
    <row r="2589" spans="1:12" ht="18" hidden="1" customHeight="1" x14ac:dyDescent="0.2">
      <c r="A2589" s="11" t="str">
        <f>IF(INPUT!M2584="","",INPUT!M2584)</f>
        <v/>
      </c>
      <c r="B2589" s="11" t="str">
        <f>IF(INPUT!M2584="","",INPUT!M2584-WEEKDAY(INPUT!M2584,2)+1)</f>
        <v/>
      </c>
      <c r="C2589" s="20">
        <f>IFERROR(_xlfn.ISOWEEKNUM(INPUT!M2584),"")</f>
        <v>52</v>
      </c>
      <c r="D2589" s="20">
        <f>IFERROR(YEAR(INPUT!M2584),"")</f>
        <v>1900</v>
      </c>
      <c r="E2589" t="str">
        <f>IF(INPUT!O2584="","",INPUT!O2584)</f>
        <v/>
      </c>
      <c r="F2589" t="str">
        <f>IF(INPUT!N2584="","",INPUT!N2584)</f>
        <v/>
      </c>
      <c r="G2589" cm="1">
        <f t="array" ref="G2589">IFERROR(VLOOKUP(INPUT!M2584&amp;INPUT!N2584,CHOOSE({1,2},INPUT!$A$3:$A$5000&amp;INPUT!$C$3:$C$5000,INPUT!$F$3:$F$5000),2,FALSE),"")</f>
        <v>0</v>
      </c>
      <c r="H2589" cm="1">
        <f t="array" ref="H2589">IFERROR(VLOOKUP(INPUT!M2584&amp;INPUT!N2584,CHOOSE({1,2},INPUT!$A$3:$A$5000&amp;INPUT!$C$3:$C$5000,INPUT!$D$3:$D$5000),2,FALSE),"")</f>
        <v>0</v>
      </c>
      <c r="I2589" s="46" t="str">
        <f>IF(INPUT!P2584="","",INPUT!P2584)</f>
        <v/>
      </c>
      <c r="J2589" s="46" t="str">
        <f>IF(INPUT!Q2584="","",INPUT!Q2584)</f>
        <v/>
      </c>
      <c r="K2589" s="46" t="str">
        <f>IFERROR(IF(OR(INPUT!P2584="",INPUT!Q2584=""),"",INPUT!P2584-INPUT!Q2584),"")</f>
        <v/>
      </c>
      <c r="L2589" s="48" t="str">
        <f>IFERROR(IF(OR(INPUT!P2584="",INPUT!Q2584="",INPUT!P2584=0),"",(INPUT!P2584-INPUT!Q2584)/INPUT!P2584),"")</f>
        <v/>
      </c>
    </row>
    <row r="2590" spans="1:12" ht="18" hidden="1" customHeight="1" x14ac:dyDescent="0.2">
      <c r="A2590" s="11" t="str">
        <f>IF(INPUT!M2585="","",INPUT!M2585)</f>
        <v/>
      </c>
      <c r="B2590" s="11" t="str">
        <f>IF(INPUT!M2585="","",INPUT!M2585-WEEKDAY(INPUT!M2585,2)+1)</f>
        <v/>
      </c>
      <c r="C2590" s="20">
        <f>IFERROR(_xlfn.ISOWEEKNUM(INPUT!M2585),"")</f>
        <v>52</v>
      </c>
      <c r="D2590" s="20">
        <f>IFERROR(YEAR(INPUT!M2585),"")</f>
        <v>1900</v>
      </c>
      <c r="E2590" t="str">
        <f>IF(INPUT!O2585="","",INPUT!O2585)</f>
        <v/>
      </c>
      <c r="F2590" t="str">
        <f>IF(INPUT!N2585="","",INPUT!N2585)</f>
        <v/>
      </c>
      <c r="G2590" cm="1">
        <f t="array" ref="G2590">IFERROR(VLOOKUP(INPUT!M2585&amp;INPUT!N2585,CHOOSE({1,2},INPUT!$A$3:$A$5000&amp;INPUT!$C$3:$C$5000,INPUT!$F$3:$F$5000),2,FALSE),"")</f>
        <v>0</v>
      </c>
      <c r="H2590" cm="1">
        <f t="array" ref="H2590">IFERROR(VLOOKUP(INPUT!M2585&amp;INPUT!N2585,CHOOSE({1,2},INPUT!$A$3:$A$5000&amp;INPUT!$C$3:$C$5000,INPUT!$D$3:$D$5000),2,FALSE),"")</f>
        <v>0</v>
      </c>
      <c r="I2590" s="46" t="str">
        <f>IF(INPUT!P2585="","",INPUT!P2585)</f>
        <v/>
      </c>
      <c r="J2590" s="46" t="str">
        <f>IF(INPUT!Q2585="","",INPUT!Q2585)</f>
        <v/>
      </c>
      <c r="K2590" s="46" t="str">
        <f>IFERROR(IF(OR(INPUT!P2585="",INPUT!Q2585=""),"",INPUT!P2585-INPUT!Q2585),"")</f>
        <v/>
      </c>
      <c r="L2590" s="48" t="str">
        <f>IFERROR(IF(OR(INPUT!P2585="",INPUT!Q2585="",INPUT!P2585=0),"",(INPUT!P2585-INPUT!Q2585)/INPUT!P2585),"")</f>
        <v/>
      </c>
    </row>
    <row r="2591" spans="1:12" ht="18" hidden="1" customHeight="1" x14ac:dyDescent="0.2">
      <c r="A2591" s="11" t="str">
        <f>IF(INPUT!M2586="","",INPUT!M2586)</f>
        <v/>
      </c>
      <c r="B2591" s="11" t="str">
        <f>IF(INPUT!M2586="","",INPUT!M2586-WEEKDAY(INPUT!M2586,2)+1)</f>
        <v/>
      </c>
      <c r="C2591" s="20">
        <f>IFERROR(_xlfn.ISOWEEKNUM(INPUT!M2586),"")</f>
        <v>52</v>
      </c>
      <c r="D2591" s="20">
        <f>IFERROR(YEAR(INPUT!M2586),"")</f>
        <v>1900</v>
      </c>
      <c r="E2591" t="str">
        <f>IF(INPUT!O2586="","",INPUT!O2586)</f>
        <v/>
      </c>
      <c r="F2591" t="str">
        <f>IF(INPUT!N2586="","",INPUT!N2586)</f>
        <v/>
      </c>
      <c r="G2591" cm="1">
        <f t="array" ref="G2591">IFERROR(VLOOKUP(INPUT!M2586&amp;INPUT!N2586,CHOOSE({1,2},INPUT!$A$3:$A$5000&amp;INPUT!$C$3:$C$5000,INPUT!$F$3:$F$5000),2,FALSE),"")</f>
        <v>0</v>
      </c>
      <c r="H2591" cm="1">
        <f t="array" ref="H2591">IFERROR(VLOOKUP(INPUT!M2586&amp;INPUT!N2586,CHOOSE({1,2},INPUT!$A$3:$A$5000&amp;INPUT!$C$3:$C$5000,INPUT!$D$3:$D$5000),2,FALSE),"")</f>
        <v>0</v>
      </c>
      <c r="I2591" s="46" t="str">
        <f>IF(INPUT!P2586="","",INPUT!P2586)</f>
        <v/>
      </c>
      <c r="J2591" s="46" t="str">
        <f>IF(INPUT!Q2586="","",INPUT!Q2586)</f>
        <v/>
      </c>
      <c r="K2591" s="46" t="str">
        <f>IFERROR(IF(OR(INPUT!P2586="",INPUT!Q2586=""),"",INPUT!P2586-INPUT!Q2586),"")</f>
        <v/>
      </c>
      <c r="L2591" s="48" t="str">
        <f>IFERROR(IF(OR(INPUT!P2586="",INPUT!Q2586="",INPUT!P2586=0),"",(INPUT!P2586-INPUT!Q2586)/INPUT!P2586),"")</f>
        <v/>
      </c>
    </row>
    <row r="2592" spans="1:12" ht="18" hidden="1" customHeight="1" x14ac:dyDescent="0.2">
      <c r="A2592" s="11" t="str">
        <f>IF(INPUT!M2587="","",INPUT!M2587)</f>
        <v/>
      </c>
      <c r="B2592" s="11" t="str">
        <f>IF(INPUT!M2587="","",INPUT!M2587-WEEKDAY(INPUT!M2587,2)+1)</f>
        <v/>
      </c>
      <c r="C2592" s="20">
        <f>IFERROR(_xlfn.ISOWEEKNUM(INPUT!M2587),"")</f>
        <v>52</v>
      </c>
      <c r="D2592" s="20">
        <f>IFERROR(YEAR(INPUT!M2587),"")</f>
        <v>1900</v>
      </c>
      <c r="E2592" t="str">
        <f>IF(INPUT!O2587="","",INPUT!O2587)</f>
        <v/>
      </c>
      <c r="F2592" t="str">
        <f>IF(INPUT!N2587="","",INPUT!N2587)</f>
        <v/>
      </c>
      <c r="G2592" cm="1">
        <f t="array" ref="G2592">IFERROR(VLOOKUP(INPUT!M2587&amp;INPUT!N2587,CHOOSE({1,2},INPUT!$A$3:$A$5000&amp;INPUT!$C$3:$C$5000,INPUT!$F$3:$F$5000),2,FALSE),"")</f>
        <v>0</v>
      </c>
      <c r="H2592" cm="1">
        <f t="array" ref="H2592">IFERROR(VLOOKUP(INPUT!M2587&amp;INPUT!N2587,CHOOSE({1,2},INPUT!$A$3:$A$5000&amp;INPUT!$C$3:$C$5000,INPUT!$D$3:$D$5000),2,FALSE),"")</f>
        <v>0</v>
      </c>
      <c r="I2592" s="46" t="str">
        <f>IF(INPUT!P2587="","",INPUT!P2587)</f>
        <v/>
      </c>
      <c r="J2592" s="46" t="str">
        <f>IF(INPUT!Q2587="","",INPUT!Q2587)</f>
        <v/>
      </c>
      <c r="K2592" s="46" t="str">
        <f>IFERROR(IF(OR(INPUT!P2587="",INPUT!Q2587=""),"",INPUT!P2587-INPUT!Q2587),"")</f>
        <v/>
      </c>
      <c r="L2592" s="48" t="str">
        <f>IFERROR(IF(OR(INPUT!P2587="",INPUT!Q2587="",INPUT!P2587=0),"",(INPUT!P2587-INPUT!Q2587)/INPUT!P2587),"")</f>
        <v/>
      </c>
    </row>
    <row r="2593" spans="1:12" ht="18" hidden="1" customHeight="1" x14ac:dyDescent="0.2">
      <c r="A2593" s="11" t="str">
        <f>IF(INPUT!M2588="","",INPUT!M2588)</f>
        <v/>
      </c>
      <c r="B2593" s="11" t="str">
        <f>IF(INPUT!M2588="","",INPUT!M2588-WEEKDAY(INPUT!M2588,2)+1)</f>
        <v/>
      </c>
      <c r="C2593" s="20">
        <f>IFERROR(_xlfn.ISOWEEKNUM(INPUT!M2588),"")</f>
        <v>52</v>
      </c>
      <c r="D2593" s="20">
        <f>IFERROR(YEAR(INPUT!M2588),"")</f>
        <v>1900</v>
      </c>
      <c r="E2593" t="str">
        <f>IF(INPUT!O2588="","",INPUT!O2588)</f>
        <v/>
      </c>
      <c r="F2593" t="str">
        <f>IF(INPUT!N2588="","",INPUT!N2588)</f>
        <v/>
      </c>
      <c r="G2593" cm="1">
        <f t="array" ref="G2593">IFERROR(VLOOKUP(INPUT!M2588&amp;INPUT!N2588,CHOOSE({1,2},INPUT!$A$3:$A$5000&amp;INPUT!$C$3:$C$5000,INPUT!$F$3:$F$5000),2,FALSE),"")</f>
        <v>0</v>
      </c>
      <c r="H2593" cm="1">
        <f t="array" ref="H2593">IFERROR(VLOOKUP(INPUT!M2588&amp;INPUT!N2588,CHOOSE({1,2},INPUT!$A$3:$A$5000&amp;INPUT!$C$3:$C$5000,INPUT!$D$3:$D$5000),2,FALSE),"")</f>
        <v>0</v>
      </c>
      <c r="I2593" s="46" t="str">
        <f>IF(INPUT!P2588="","",INPUT!P2588)</f>
        <v/>
      </c>
      <c r="J2593" s="46" t="str">
        <f>IF(INPUT!Q2588="","",INPUT!Q2588)</f>
        <v/>
      </c>
      <c r="K2593" s="46" t="str">
        <f>IFERROR(IF(OR(INPUT!P2588="",INPUT!Q2588=""),"",INPUT!P2588-INPUT!Q2588),"")</f>
        <v/>
      </c>
      <c r="L2593" s="48" t="str">
        <f>IFERROR(IF(OR(INPUT!P2588="",INPUT!Q2588="",INPUT!P2588=0),"",(INPUT!P2588-INPUT!Q2588)/INPUT!P2588),"")</f>
        <v/>
      </c>
    </row>
    <row r="2594" spans="1:12" ht="18" hidden="1" customHeight="1" x14ac:dyDescent="0.2">
      <c r="A2594" s="11" t="str">
        <f>IF(INPUT!M2589="","",INPUT!M2589)</f>
        <v/>
      </c>
      <c r="B2594" s="11" t="str">
        <f>IF(INPUT!M2589="","",INPUT!M2589-WEEKDAY(INPUT!M2589,2)+1)</f>
        <v/>
      </c>
      <c r="C2594" s="20">
        <f>IFERROR(_xlfn.ISOWEEKNUM(INPUT!M2589),"")</f>
        <v>52</v>
      </c>
      <c r="D2594" s="20">
        <f>IFERROR(YEAR(INPUT!M2589),"")</f>
        <v>1900</v>
      </c>
      <c r="E2594" t="str">
        <f>IF(INPUT!O2589="","",INPUT!O2589)</f>
        <v/>
      </c>
      <c r="F2594" t="str">
        <f>IF(INPUT!N2589="","",INPUT!N2589)</f>
        <v/>
      </c>
      <c r="G2594" cm="1">
        <f t="array" ref="G2594">IFERROR(VLOOKUP(INPUT!M2589&amp;INPUT!N2589,CHOOSE({1,2},INPUT!$A$3:$A$5000&amp;INPUT!$C$3:$C$5000,INPUT!$F$3:$F$5000),2,FALSE),"")</f>
        <v>0</v>
      </c>
      <c r="H2594" cm="1">
        <f t="array" ref="H2594">IFERROR(VLOOKUP(INPUT!M2589&amp;INPUT!N2589,CHOOSE({1,2},INPUT!$A$3:$A$5000&amp;INPUT!$C$3:$C$5000,INPUT!$D$3:$D$5000),2,FALSE),"")</f>
        <v>0</v>
      </c>
      <c r="I2594" s="46" t="str">
        <f>IF(INPUT!P2589="","",INPUT!P2589)</f>
        <v/>
      </c>
      <c r="J2594" s="46" t="str">
        <f>IF(INPUT!Q2589="","",INPUT!Q2589)</f>
        <v/>
      </c>
      <c r="K2594" s="46" t="str">
        <f>IFERROR(IF(OR(INPUT!P2589="",INPUT!Q2589=""),"",INPUT!P2589-INPUT!Q2589),"")</f>
        <v/>
      </c>
      <c r="L2594" s="48" t="str">
        <f>IFERROR(IF(OR(INPUT!P2589="",INPUT!Q2589="",INPUT!P2589=0),"",(INPUT!P2589-INPUT!Q2589)/INPUT!P2589),"")</f>
        <v/>
      </c>
    </row>
    <row r="2595" spans="1:12" ht="18" hidden="1" customHeight="1" x14ac:dyDescent="0.2">
      <c r="A2595" s="11" t="str">
        <f>IF(INPUT!M2590="","",INPUT!M2590)</f>
        <v/>
      </c>
      <c r="B2595" s="11" t="str">
        <f>IF(INPUT!M2590="","",INPUT!M2590-WEEKDAY(INPUT!M2590,2)+1)</f>
        <v/>
      </c>
      <c r="C2595" s="20">
        <f>IFERROR(_xlfn.ISOWEEKNUM(INPUT!M2590),"")</f>
        <v>52</v>
      </c>
      <c r="D2595" s="20">
        <f>IFERROR(YEAR(INPUT!M2590),"")</f>
        <v>1900</v>
      </c>
      <c r="E2595" t="str">
        <f>IF(INPUT!O2590="","",INPUT!O2590)</f>
        <v/>
      </c>
      <c r="F2595" t="str">
        <f>IF(INPUT!N2590="","",INPUT!N2590)</f>
        <v/>
      </c>
      <c r="G2595" cm="1">
        <f t="array" ref="G2595">IFERROR(VLOOKUP(INPUT!M2590&amp;INPUT!N2590,CHOOSE({1,2},INPUT!$A$3:$A$5000&amp;INPUT!$C$3:$C$5000,INPUT!$F$3:$F$5000),2,FALSE),"")</f>
        <v>0</v>
      </c>
      <c r="H2595" cm="1">
        <f t="array" ref="H2595">IFERROR(VLOOKUP(INPUT!M2590&amp;INPUT!N2590,CHOOSE({1,2},INPUT!$A$3:$A$5000&amp;INPUT!$C$3:$C$5000,INPUT!$D$3:$D$5000),2,FALSE),"")</f>
        <v>0</v>
      </c>
      <c r="I2595" s="46" t="str">
        <f>IF(INPUT!P2590="","",INPUT!P2590)</f>
        <v/>
      </c>
      <c r="J2595" s="46" t="str">
        <f>IF(INPUT!Q2590="","",INPUT!Q2590)</f>
        <v/>
      </c>
      <c r="K2595" s="46" t="str">
        <f>IFERROR(IF(OR(INPUT!P2590="",INPUT!Q2590=""),"",INPUT!P2590-INPUT!Q2590),"")</f>
        <v/>
      </c>
      <c r="L2595" s="48" t="str">
        <f>IFERROR(IF(OR(INPUT!P2590="",INPUT!Q2590="",INPUT!P2590=0),"",(INPUT!P2590-INPUT!Q2590)/INPUT!P2590),"")</f>
        <v/>
      </c>
    </row>
    <row r="2596" spans="1:12" ht="18" hidden="1" customHeight="1" x14ac:dyDescent="0.2">
      <c r="A2596" s="11" t="str">
        <f>IF(INPUT!M2591="","",INPUT!M2591)</f>
        <v/>
      </c>
      <c r="B2596" s="11" t="str">
        <f>IF(INPUT!M2591="","",INPUT!M2591-WEEKDAY(INPUT!M2591,2)+1)</f>
        <v/>
      </c>
      <c r="C2596" s="20">
        <f>IFERROR(_xlfn.ISOWEEKNUM(INPUT!M2591),"")</f>
        <v>52</v>
      </c>
      <c r="D2596" s="20">
        <f>IFERROR(YEAR(INPUT!M2591),"")</f>
        <v>1900</v>
      </c>
      <c r="E2596" t="str">
        <f>IF(INPUT!O2591="","",INPUT!O2591)</f>
        <v/>
      </c>
      <c r="F2596" t="str">
        <f>IF(INPUT!N2591="","",INPUT!N2591)</f>
        <v/>
      </c>
      <c r="G2596" cm="1">
        <f t="array" ref="G2596">IFERROR(VLOOKUP(INPUT!M2591&amp;INPUT!N2591,CHOOSE({1,2},INPUT!$A$3:$A$5000&amp;INPUT!$C$3:$C$5000,INPUT!$F$3:$F$5000),2,FALSE),"")</f>
        <v>0</v>
      </c>
      <c r="H2596" cm="1">
        <f t="array" ref="H2596">IFERROR(VLOOKUP(INPUT!M2591&amp;INPUT!N2591,CHOOSE({1,2},INPUT!$A$3:$A$5000&amp;INPUT!$C$3:$C$5000,INPUT!$D$3:$D$5000),2,FALSE),"")</f>
        <v>0</v>
      </c>
      <c r="I2596" s="46" t="str">
        <f>IF(INPUT!P2591="","",INPUT!P2591)</f>
        <v/>
      </c>
      <c r="J2596" s="46" t="str">
        <f>IF(INPUT!Q2591="","",INPUT!Q2591)</f>
        <v/>
      </c>
      <c r="K2596" s="46" t="str">
        <f>IFERROR(IF(OR(INPUT!P2591="",INPUT!Q2591=""),"",INPUT!P2591-INPUT!Q2591),"")</f>
        <v/>
      </c>
      <c r="L2596" s="48" t="str">
        <f>IFERROR(IF(OR(INPUT!P2591="",INPUT!Q2591="",INPUT!P2591=0),"",(INPUT!P2591-INPUT!Q2591)/INPUT!P2591),"")</f>
        <v/>
      </c>
    </row>
    <row r="2597" spans="1:12" ht="18" hidden="1" customHeight="1" x14ac:dyDescent="0.2">
      <c r="A2597" s="11" t="str">
        <f>IF(INPUT!M2592="","",INPUT!M2592)</f>
        <v/>
      </c>
      <c r="B2597" s="11" t="str">
        <f>IF(INPUT!M2592="","",INPUT!M2592-WEEKDAY(INPUT!M2592,2)+1)</f>
        <v/>
      </c>
      <c r="C2597" s="20">
        <f>IFERROR(_xlfn.ISOWEEKNUM(INPUT!M2592),"")</f>
        <v>52</v>
      </c>
      <c r="D2597" s="20">
        <f>IFERROR(YEAR(INPUT!M2592),"")</f>
        <v>1900</v>
      </c>
      <c r="E2597" t="str">
        <f>IF(INPUT!O2592="","",INPUT!O2592)</f>
        <v/>
      </c>
      <c r="F2597" t="str">
        <f>IF(INPUT!N2592="","",INPUT!N2592)</f>
        <v/>
      </c>
      <c r="G2597" cm="1">
        <f t="array" ref="G2597">IFERROR(VLOOKUP(INPUT!M2592&amp;INPUT!N2592,CHOOSE({1,2},INPUT!$A$3:$A$5000&amp;INPUT!$C$3:$C$5000,INPUT!$F$3:$F$5000),2,FALSE),"")</f>
        <v>0</v>
      </c>
      <c r="H2597" cm="1">
        <f t="array" ref="H2597">IFERROR(VLOOKUP(INPUT!M2592&amp;INPUT!N2592,CHOOSE({1,2},INPUT!$A$3:$A$5000&amp;INPUT!$C$3:$C$5000,INPUT!$D$3:$D$5000),2,FALSE),"")</f>
        <v>0</v>
      </c>
      <c r="I2597" s="46" t="str">
        <f>IF(INPUT!P2592="","",INPUT!P2592)</f>
        <v/>
      </c>
      <c r="J2597" s="46" t="str">
        <f>IF(INPUT!Q2592="","",INPUT!Q2592)</f>
        <v/>
      </c>
      <c r="K2597" s="46" t="str">
        <f>IFERROR(IF(OR(INPUT!P2592="",INPUT!Q2592=""),"",INPUT!P2592-INPUT!Q2592),"")</f>
        <v/>
      </c>
      <c r="L2597" s="48" t="str">
        <f>IFERROR(IF(OR(INPUT!P2592="",INPUT!Q2592="",INPUT!P2592=0),"",(INPUT!P2592-INPUT!Q2592)/INPUT!P2592),"")</f>
        <v/>
      </c>
    </row>
    <row r="2598" spans="1:12" ht="18" hidden="1" customHeight="1" x14ac:dyDescent="0.2">
      <c r="A2598" s="11" t="str">
        <f>IF(INPUT!M2593="","",INPUT!M2593)</f>
        <v/>
      </c>
      <c r="B2598" s="11" t="str">
        <f>IF(INPUT!M2593="","",INPUT!M2593-WEEKDAY(INPUT!M2593,2)+1)</f>
        <v/>
      </c>
      <c r="C2598" s="20">
        <f>IFERROR(_xlfn.ISOWEEKNUM(INPUT!M2593),"")</f>
        <v>52</v>
      </c>
      <c r="D2598" s="20">
        <f>IFERROR(YEAR(INPUT!M2593),"")</f>
        <v>1900</v>
      </c>
      <c r="E2598" t="str">
        <f>IF(INPUT!O2593="","",INPUT!O2593)</f>
        <v/>
      </c>
      <c r="F2598" t="str">
        <f>IF(INPUT!N2593="","",INPUT!N2593)</f>
        <v/>
      </c>
      <c r="G2598" cm="1">
        <f t="array" ref="G2598">IFERROR(VLOOKUP(INPUT!M2593&amp;INPUT!N2593,CHOOSE({1,2},INPUT!$A$3:$A$5000&amp;INPUT!$C$3:$C$5000,INPUT!$F$3:$F$5000),2,FALSE),"")</f>
        <v>0</v>
      </c>
      <c r="H2598" cm="1">
        <f t="array" ref="H2598">IFERROR(VLOOKUP(INPUT!M2593&amp;INPUT!N2593,CHOOSE({1,2},INPUT!$A$3:$A$5000&amp;INPUT!$C$3:$C$5000,INPUT!$D$3:$D$5000),2,FALSE),"")</f>
        <v>0</v>
      </c>
      <c r="I2598" s="46" t="str">
        <f>IF(INPUT!P2593="","",INPUT!P2593)</f>
        <v/>
      </c>
      <c r="J2598" s="46" t="str">
        <f>IF(INPUT!Q2593="","",INPUT!Q2593)</f>
        <v/>
      </c>
      <c r="K2598" s="46" t="str">
        <f>IFERROR(IF(OR(INPUT!P2593="",INPUT!Q2593=""),"",INPUT!P2593-INPUT!Q2593),"")</f>
        <v/>
      </c>
      <c r="L2598" s="48" t="str">
        <f>IFERROR(IF(OR(INPUT!P2593="",INPUT!Q2593="",INPUT!P2593=0),"",(INPUT!P2593-INPUT!Q2593)/INPUT!P2593),"")</f>
        <v/>
      </c>
    </row>
    <row r="2599" spans="1:12" ht="18" hidden="1" customHeight="1" x14ac:dyDescent="0.2">
      <c r="A2599" s="11" t="str">
        <f>IF(INPUT!M2594="","",INPUT!M2594)</f>
        <v/>
      </c>
      <c r="B2599" s="11" t="str">
        <f>IF(INPUT!M2594="","",INPUT!M2594-WEEKDAY(INPUT!M2594,2)+1)</f>
        <v/>
      </c>
      <c r="C2599" s="20">
        <f>IFERROR(_xlfn.ISOWEEKNUM(INPUT!M2594),"")</f>
        <v>52</v>
      </c>
      <c r="D2599" s="20">
        <f>IFERROR(YEAR(INPUT!M2594),"")</f>
        <v>1900</v>
      </c>
      <c r="E2599" t="str">
        <f>IF(INPUT!O2594="","",INPUT!O2594)</f>
        <v/>
      </c>
      <c r="F2599" t="str">
        <f>IF(INPUT!N2594="","",INPUT!N2594)</f>
        <v/>
      </c>
      <c r="G2599" cm="1">
        <f t="array" ref="G2599">IFERROR(VLOOKUP(INPUT!M2594&amp;INPUT!N2594,CHOOSE({1,2},INPUT!$A$3:$A$5000&amp;INPUT!$C$3:$C$5000,INPUT!$F$3:$F$5000),2,FALSE),"")</f>
        <v>0</v>
      </c>
      <c r="H2599" cm="1">
        <f t="array" ref="H2599">IFERROR(VLOOKUP(INPUT!M2594&amp;INPUT!N2594,CHOOSE({1,2},INPUT!$A$3:$A$5000&amp;INPUT!$C$3:$C$5000,INPUT!$D$3:$D$5000),2,FALSE),"")</f>
        <v>0</v>
      </c>
      <c r="I2599" s="46" t="str">
        <f>IF(INPUT!P2594="","",INPUT!P2594)</f>
        <v/>
      </c>
      <c r="J2599" s="46" t="str">
        <f>IF(INPUT!Q2594="","",INPUT!Q2594)</f>
        <v/>
      </c>
      <c r="K2599" s="46" t="str">
        <f>IFERROR(IF(OR(INPUT!P2594="",INPUT!Q2594=""),"",INPUT!P2594-INPUT!Q2594),"")</f>
        <v/>
      </c>
      <c r="L2599" s="48" t="str">
        <f>IFERROR(IF(OR(INPUT!P2594="",INPUT!Q2594="",INPUT!P2594=0),"",(INPUT!P2594-INPUT!Q2594)/INPUT!P2594),"")</f>
        <v/>
      </c>
    </row>
    <row r="2600" spans="1:12" ht="18" hidden="1" customHeight="1" x14ac:dyDescent="0.2">
      <c r="A2600" s="11" t="str">
        <f>IF(INPUT!M2595="","",INPUT!M2595)</f>
        <v/>
      </c>
      <c r="B2600" s="11" t="str">
        <f>IF(INPUT!M2595="","",INPUT!M2595-WEEKDAY(INPUT!M2595,2)+1)</f>
        <v/>
      </c>
      <c r="C2600" s="20">
        <f>IFERROR(_xlfn.ISOWEEKNUM(INPUT!M2595),"")</f>
        <v>52</v>
      </c>
      <c r="D2600" s="20">
        <f>IFERROR(YEAR(INPUT!M2595),"")</f>
        <v>1900</v>
      </c>
      <c r="E2600" t="str">
        <f>IF(INPUT!O2595="","",INPUT!O2595)</f>
        <v/>
      </c>
      <c r="F2600" t="str">
        <f>IF(INPUT!N2595="","",INPUT!N2595)</f>
        <v/>
      </c>
      <c r="G2600" cm="1">
        <f t="array" ref="G2600">IFERROR(VLOOKUP(INPUT!M2595&amp;INPUT!N2595,CHOOSE({1,2},INPUT!$A$3:$A$5000&amp;INPUT!$C$3:$C$5000,INPUT!$F$3:$F$5000),2,FALSE),"")</f>
        <v>0</v>
      </c>
      <c r="H2600" cm="1">
        <f t="array" ref="H2600">IFERROR(VLOOKUP(INPUT!M2595&amp;INPUT!N2595,CHOOSE({1,2},INPUT!$A$3:$A$5000&amp;INPUT!$C$3:$C$5000,INPUT!$D$3:$D$5000),2,FALSE),"")</f>
        <v>0</v>
      </c>
      <c r="I2600" s="46" t="str">
        <f>IF(INPUT!P2595="","",INPUT!P2595)</f>
        <v/>
      </c>
      <c r="J2600" s="46" t="str">
        <f>IF(INPUT!Q2595="","",INPUT!Q2595)</f>
        <v/>
      </c>
      <c r="K2600" s="46" t="str">
        <f>IFERROR(IF(OR(INPUT!P2595="",INPUT!Q2595=""),"",INPUT!P2595-INPUT!Q2595),"")</f>
        <v/>
      </c>
      <c r="L2600" s="48" t="str">
        <f>IFERROR(IF(OR(INPUT!P2595="",INPUT!Q2595="",INPUT!P2595=0),"",(INPUT!P2595-INPUT!Q2595)/INPUT!P2595),"")</f>
        <v/>
      </c>
    </row>
    <row r="2601" spans="1:12" ht="18" hidden="1" customHeight="1" x14ac:dyDescent="0.2">
      <c r="A2601" s="11" t="str">
        <f>IF(INPUT!M2596="","",INPUT!M2596)</f>
        <v/>
      </c>
      <c r="B2601" s="11" t="str">
        <f>IF(INPUT!M2596="","",INPUT!M2596-WEEKDAY(INPUT!M2596,2)+1)</f>
        <v/>
      </c>
      <c r="C2601" s="20">
        <f>IFERROR(_xlfn.ISOWEEKNUM(INPUT!M2596),"")</f>
        <v>52</v>
      </c>
      <c r="D2601" s="20">
        <f>IFERROR(YEAR(INPUT!M2596),"")</f>
        <v>1900</v>
      </c>
      <c r="E2601" t="str">
        <f>IF(INPUT!O2596="","",INPUT!O2596)</f>
        <v/>
      </c>
      <c r="F2601" t="str">
        <f>IF(INPUT!N2596="","",INPUT!N2596)</f>
        <v/>
      </c>
      <c r="G2601" cm="1">
        <f t="array" ref="G2601">IFERROR(VLOOKUP(INPUT!M2596&amp;INPUT!N2596,CHOOSE({1,2},INPUT!$A$3:$A$5000&amp;INPUT!$C$3:$C$5000,INPUT!$F$3:$F$5000),2,FALSE),"")</f>
        <v>0</v>
      </c>
      <c r="H2601" cm="1">
        <f t="array" ref="H2601">IFERROR(VLOOKUP(INPUT!M2596&amp;INPUT!N2596,CHOOSE({1,2},INPUT!$A$3:$A$5000&amp;INPUT!$C$3:$C$5000,INPUT!$D$3:$D$5000),2,FALSE),"")</f>
        <v>0</v>
      </c>
      <c r="I2601" s="46" t="str">
        <f>IF(INPUT!P2596="","",INPUT!P2596)</f>
        <v/>
      </c>
      <c r="J2601" s="46" t="str">
        <f>IF(INPUT!Q2596="","",INPUT!Q2596)</f>
        <v/>
      </c>
      <c r="K2601" s="46" t="str">
        <f>IFERROR(IF(OR(INPUT!P2596="",INPUT!Q2596=""),"",INPUT!P2596-INPUT!Q2596),"")</f>
        <v/>
      </c>
      <c r="L2601" s="48" t="str">
        <f>IFERROR(IF(OR(INPUT!P2596="",INPUT!Q2596="",INPUT!P2596=0),"",(INPUT!P2596-INPUT!Q2596)/INPUT!P2596),"")</f>
        <v/>
      </c>
    </row>
    <row r="2602" spans="1:12" ht="18" hidden="1" customHeight="1" x14ac:dyDescent="0.2">
      <c r="A2602" s="11" t="str">
        <f>IF(INPUT!M2597="","",INPUT!M2597)</f>
        <v/>
      </c>
      <c r="B2602" s="11" t="str">
        <f>IF(INPUT!M2597="","",INPUT!M2597-WEEKDAY(INPUT!M2597,2)+1)</f>
        <v/>
      </c>
      <c r="C2602" s="20">
        <f>IFERROR(_xlfn.ISOWEEKNUM(INPUT!M2597),"")</f>
        <v>52</v>
      </c>
      <c r="D2602" s="20">
        <f>IFERROR(YEAR(INPUT!M2597),"")</f>
        <v>1900</v>
      </c>
      <c r="E2602" t="str">
        <f>IF(INPUT!O2597="","",INPUT!O2597)</f>
        <v/>
      </c>
      <c r="F2602" t="str">
        <f>IF(INPUT!N2597="","",INPUT!N2597)</f>
        <v/>
      </c>
      <c r="G2602" cm="1">
        <f t="array" ref="G2602">IFERROR(VLOOKUP(INPUT!M2597&amp;INPUT!N2597,CHOOSE({1,2},INPUT!$A$3:$A$5000&amp;INPUT!$C$3:$C$5000,INPUT!$F$3:$F$5000),2,FALSE),"")</f>
        <v>0</v>
      </c>
      <c r="H2602" cm="1">
        <f t="array" ref="H2602">IFERROR(VLOOKUP(INPUT!M2597&amp;INPUT!N2597,CHOOSE({1,2},INPUT!$A$3:$A$5000&amp;INPUT!$C$3:$C$5000,INPUT!$D$3:$D$5000),2,FALSE),"")</f>
        <v>0</v>
      </c>
      <c r="I2602" s="46" t="str">
        <f>IF(INPUT!P2597="","",INPUT!P2597)</f>
        <v/>
      </c>
      <c r="J2602" s="46" t="str">
        <f>IF(INPUT!Q2597="","",INPUT!Q2597)</f>
        <v/>
      </c>
      <c r="K2602" s="46" t="str">
        <f>IFERROR(IF(OR(INPUT!P2597="",INPUT!Q2597=""),"",INPUT!P2597-INPUT!Q2597),"")</f>
        <v/>
      </c>
      <c r="L2602" s="48" t="str">
        <f>IFERROR(IF(OR(INPUT!P2597="",INPUT!Q2597="",INPUT!P2597=0),"",(INPUT!P2597-INPUT!Q2597)/INPUT!P2597),"")</f>
        <v/>
      </c>
    </row>
    <row r="2603" spans="1:12" ht="18" hidden="1" customHeight="1" x14ac:dyDescent="0.2">
      <c r="A2603" s="11" t="str">
        <f>IF(INPUT!M2598="","",INPUT!M2598)</f>
        <v/>
      </c>
      <c r="B2603" s="11" t="str">
        <f>IF(INPUT!M2598="","",INPUT!M2598-WEEKDAY(INPUT!M2598,2)+1)</f>
        <v/>
      </c>
      <c r="C2603" s="20">
        <f>IFERROR(_xlfn.ISOWEEKNUM(INPUT!M2598),"")</f>
        <v>52</v>
      </c>
      <c r="D2603" s="20">
        <f>IFERROR(YEAR(INPUT!M2598),"")</f>
        <v>1900</v>
      </c>
      <c r="E2603" t="str">
        <f>IF(INPUT!O2598="","",INPUT!O2598)</f>
        <v/>
      </c>
      <c r="F2603" t="str">
        <f>IF(INPUT!N2598="","",INPUT!N2598)</f>
        <v/>
      </c>
      <c r="G2603" cm="1">
        <f t="array" ref="G2603">IFERROR(VLOOKUP(INPUT!M2598&amp;INPUT!N2598,CHOOSE({1,2},INPUT!$A$3:$A$5000&amp;INPUT!$C$3:$C$5000,INPUT!$F$3:$F$5000),2,FALSE),"")</f>
        <v>0</v>
      </c>
      <c r="H2603" cm="1">
        <f t="array" ref="H2603">IFERROR(VLOOKUP(INPUT!M2598&amp;INPUT!N2598,CHOOSE({1,2},INPUT!$A$3:$A$5000&amp;INPUT!$C$3:$C$5000,INPUT!$D$3:$D$5000),2,FALSE),"")</f>
        <v>0</v>
      </c>
      <c r="I2603" s="46" t="str">
        <f>IF(INPUT!P2598="","",INPUT!P2598)</f>
        <v/>
      </c>
      <c r="J2603" s="46" t="str">
        <f>IF(INPUT!Q2598="","",INPUT!Q2598)</f>
        <v/>
      </c>
      <c r="K2603" s="46" t="str">
        <f>IFERROR(IF(OR(INPUT!P2598="",INPUT!Q2598=""),"",INPUT!P2598-INPUT!Q2598),"")</f>
        <v/>
      </c>
      <c r="L2603" s="48" t="str">
        <f>IFERROR(IF(OR(INPUT!P2598="",INPUT!Q2598="",INPUT!P2598=0),"",(INPUT!P2598-INPUT!Q2598)/INPUT!P2598),"")</f>
        <v/>
      </c>
    </row>
    <row r="2604" spans="1:12" ht="18" hidden="1" customHeight="1" x14ac:dyDescent="0.2">
      <c r="A2604" s="11" t="str">
        <f>IF(INPUT!M2599="","",INPUT!M2599)</f>
        <v/>
      </c>
      <c r="B2604" s="11" t="str">
        <f>IF(INPUT!M2599="","",INPUT!M2599-WEEKDAY(INPUT!M2599,2)+1)</f>
        <v/>
      </c>
      <c r="C2604" s="20">
        <f>IFERROR(_xlfn.ISOWEEKNUM(INPUT!M2599),"")</f>
        <v>52</v>
      </c>
      <c r="D2604" s="20">
        <f>IFERROR(YEAR(INPUT!M2599),"")</f>
        <v>1900</v>
      </c>
      <c r="E2604" t="str">
        <f>IF(INPUT!O2599="","",INPUT!O2599)</f>
        <v/>
      </c>
      <c r="F2604" t="str">
        <f>IF(INPUT!N2599="","",INPUT!N2599)</f>
        <v/>
      </c>
      <c r="G2604" cm="1">
        <f t="array" ref="G2604">IFERROR(VLOOKUP(INPUT!M2599&amp;INPUT!N2599,CHOOSE({1,2},INPUT!$A$3:$A$5000&amp;INPUT!$C$3:$C$5000,INPUT!$F$3:$F$5000),2,FALSE),"")</f>
        <v>0</v>
      </c>
      <c r="H2604" cm="1">
        <f t="array" ref="H2604">IFERROR(VLOOKUP(INPUT!M2599&amp;INPUT!N2599,CHOOSE({1,2},INPUT!$A$3:$A$5000&amp;INPUT!$C$3:$C$5000,INPUT!$D$3:$D$5000),2,FALSE),"")</f>
        <v>0</v>
      </c>
      <c r="I2604" s="46" t="str">
        <f>IF(INPUT!P2599="","",INPUT!P2599)</f>
        <v/>
      </c>
      <c r="J2604" s="46" t="str">
        <f>IF(INPUT!Q2599="","",INPUT!Q2599)</f>
        <v/>
      </c>
      <c r="K2604" s="46" t="str">
        <f>IFERROR(IF(OR(INPUT!P2599="",INPUT!Q2599=""),"",INPUT!P2599-INPUT!Q2599),"")</f>
        <v/>
      </c>
      <c r="L2604" s="48" t="str">
        <f>IFERROR(IF(OR(INPUT!P2599="",INPUT!Q2599="",INPUT!P2599=0),"",(INPUT!P2599-INPUT!Q2599)/INPUT!P2599),"")</f>
        <v/>
      </c>
    </row>
    <row r="2605" spans="1:12" ht="18" hidden="1" customHeight="1" x14ac:dyDescent="0.2">
      <c r="A2605" s="11" t="str">
        <f>IF(INPUT!M2600="","",INPUT!M2600)</f>
        <v/>
      </c>
      <c r="B2605" s="11" t="str">
        <f>IF(INPUT!M2600="","",INPUT!M2600-WEEKDAY(INPUT!M2600,2)+1)</f>
        <v/>
      </c>
      <c r="C2605" s="20">
        <f>IFERROR(_xlfn.ISOWEEKNUM(INPUT!M2600),"")</f>
        <v>52</v>
      </c>
      <c r="D2605" s="20">
        <f>IFERROR(YEAR(INPUT!M2600),"")</f>
        <v>1900</v>
      </c>
      <c r="E2605" t="str">
        <f>IF(INPUT!O2600="","",INPUT!O2600)</f>
        <v/>
      </c>
      <c r="F2605" t="str">
        <f>IF(INPUT!N2600="","",INPUT!N2600)</f>
        <v/>
      </c>
      <c r="G2605" cm="1">
        <f t="array" ref="G2605">IFERROR(VLOOKUP(INPUT!M2600&amp;INPUT!N2600,CHOOSE({1,2},INPUT!$A$3:$A$5000&amp;INPUT!$C$3:$C$5000,INPUT!$F$3:$F$5000),2,FALSE),"")</f>
        <v>0</v>
      </c>
      <c r="H2605" cm="1">
        <f t="array" ref="H2605">IFERROR(VLOOKUP(INPUT!M2600&amp;INPUT!N2600,CHOOSE({1,2},INPUT!$A$3:$A$5000&amp;INPUT!$C$3:$C$5000,INPUT!$D$3:$D$5000),2,FALSE),"")</f>
        <v>0</v>
      </c>
      <c r="I2605" s="46" t="str">
        <f>IF(INPUT!P2600="","",INPUT!P2600)</f>
        <v/>
      </c>
      <c r="J2605" s="46" t="str">
        <f>IF(INPUT!Q2600="","",INPUT!Q2600)</f>
        <v/>
      </c>
      <c r="K2605" s="46" t="str">
        <f>IFERROR(IF(OR(INPUT!P2600="",INPUT!Q2600=""),"",INPUT!P2600-INPUT!Q2600),"")</f>
        <v/>
      </c>
      <c r="L2605" s="48" t="str">
        <f>IFERROR(IF(OR(INPUT!P2600="",INPUT!Q2600="",INPUT!P2600=0),"",(INPUT!P2600-INPUT!Q2600)/INPUT!P2600),"")</f>
        <v/>
      </c>
    </row>
    <row r="2606" spans="1:12" ht="18" hidden="1" customHeight="1" x14ac:dyDescent="0.2">
      <c r="A2606" s="11" t="str">
        <f>IF(INPUT!M2601="","",INPUT!M2601)</f>
        <v/>
      </c>
      <c r="B2606" s="11" t="str">
        <f>IF(INPUT!M2601="","",INPUT!M2601-WEEKDAY(INPUT!M2601,2)+1)</f>
        <v/>
      </c>
      <c r="C2606" s="20">
        <f>IFERROR(_xlfn.ISOWEEKNUM(INPUT!M2601),"")</f>
        <v>52</v>
      </c>
      <c r="D2606" s="20">
        <f>IFERROR(YEAR(INPUT!M2601),"")</f>
        <v>1900</v>
      </c>
      <c r="E2606" t="str">
        <f>IF(INPUT!O2601="","",INPUT!O2601)</f>
        <v/>
      </c>
      <c r="F2606" t="str">
        <f>IF(INPUT!N2601="","",INPUT!N2601)</f>
        <v/>
      </c>
      <c r="G2606" cm="1">
        <f t="array" ref="G2606">IFERROR(VLOOKUP(INPUT!M2601&amp;INPUT!N2601,CHOOSE({1,2},INPUT!$A$3:$A$5000&amp;INPUT!$C$3:$C$5000,INPUT!$F$3:$F$5000),2,FALSE),"")</f>
        <v>0</v>
      </c>
      <c r="H2606" cm="1">
        <f t="array" ref="H2606">IFERROR(VLOOKUP(INPUT!M2601&amp;INPUT!N2601,CHOOSE({1,2},INPUT!$A$3:$A$5000&amp;INPUT!$C$3:$C$5000,INPUT!$D$3:$D$5000),2,FALSE),"")</f>
        <v>0</v>
      </c>
      <c r="I2606" s="46" t="str">
        <f>IF(INPUT!P2601="","",INPUT!P2601)</f>
        <v/>
      </c>
      <c r="J2606" s="46" t="str">
        <f>IF(INPUT!Q2601="","",INPUT!Q2601)</f>
        <v/>
      </c>
      <c r="K2606" s="46" t="str">
        <f>IFERROR(IF(OR(INPUT!P2601="",INPUT!Q2601=""),"",INPUT!P2601-INPUT!Q2601),"")</f>
        <v/>
      </c>
      <c r="L2606" s="48" t="str">
        <f>IFERROR(IF(OR(INPUT!P2601="",INPUT!Q2601="",INPUT!P2601=0),"",(INPUT!P2601-INPUT!Q2601)/INPUT!P2601),"")</f>
        <v/>
      </c>
    </row>
    <row r="2607" spans="1:12" ht="18" hidden="1" customHeight="1" x14ac:dyDescent="0.2">
      <c r="A2607" s="11" t="str">
        <f>IF(INPUT!M2602="","",INPUT!M2602)</f>
        <v/>
      </c>
      <c r="B2607" s="11" t="str">
        <f>IF(INPUT!M2602="","",INPUT!M2602-WEEKDAY(INPUT!M2602,2)+1)</f>
        <v/>
      </c>
      <c r="C2607" s="20">
        <f>IFERROR(_xlfn.ISOWEEKNUM(INPUT!M2602),"")</f>
        <v>52</v>
      </c>
      <c r="D2607" s="20">
        <f>IFERROR(YEAR(INPUT!M2602),"")</f>
        <v>1900</v>
      </c>
      <c r="E2607" t="str">
        <f>IF(INPUT!O2602="","",INPUT!O2602)</f>
        <v/>
      </c>
      <c r="F2607" t="str">
        <f>IF(INPUT!N2602="","",INPUT!N2602)</f>
        <v/>
      </c>
      <c r="G2607" cm="1">
        <f t="array" ref="G2607">IFERROR(VLOOKUP(INPUT!M2602&amp;INPUT!N2602,CHOOSE({1,2},INPUT!$A$3:$A$5000&amp;INPUT!$C$3:$C$5000,INPUT!$F$3:$F$5000),2,FALSE),"")</f>
        <v>0</v>
      </c>
      <c r="H2607" cm="1">
        <f t="array" ref="H2607">IFERROR(VLOOKUP(INPUT!M2602&amp;INPUT!N2602,CHOOSE({1,2},INPUT!$A$3:$A$5000&amp;INPUT!$C$3:$C$5000,INPUT!$D$3:$D$5000),2,FALSE),"")</f>
        <v>0</v>
      </c>
      <c r="I2607" s="46" t="str">
        <f>IF(INPUT!P2602="","",INPUT!P2602)</f>
        <v/>
      </c>
      <c r="J2607" s="46" t="str">
        <f>IF(INPUT!Q2602="","",INPUT!Q2602)</f>
        <v/>
      </c>
      <c r="K2607" s="46" t="str">
        <f>IFERROR(IF(OR(INPUT!P2602="",INPUT!Q2602=""),"",INPUT!P2602-INPUT!Q2602),"")</f>
        <v/>
      </c>
      <c r="L2607" s="48" t="str">
        <f>IFERROR(IF(OR(INPUT!P2602="",INPUT!Q2602="",INPUT!P2602=0),"",(INPUT!P2602-INPUT!Q2602)/INPUT!P2602),"")</f>
        <v/>
      </c>
    </row>
    <row r="2608" spans="1:12" ht="18" hidden="1" customHeight="1" x14ac:dyDescent="0.2">
      <c r="A2608" s="11" t="str">
        <f>IF(INPUT!M2603="","",INPUT!M2603)</f>
        <v/>
      </c>
      <c r="B2608" s="11" t="str">
        <f>IF(INPUT!M2603="","",INPUT!M2603-WEEKDAY(INPUT!M2603,2)+1)</f>
        <v/>
      </c>
      <c r="C2608" s="20">
        <f>IFERROR(_xlfn.ISOWEEKNUM(INPUT!M2603),"")</f>
        <v>52</v>
      </c>
      <c r="D2608" s="20">
        <f>IFERROR(YEAR(INPUT!M2603),"")</f>
        <v>1900</v>
      </c>
      <c r="E2608" t="str">
        <f>IF(INPUT!O2603="","",INPUT!O2603)</f>
        <v/>
      </c>
      <c r="F2608" t="str">
        <f>IF(INPUT!N2603="","",INPUT!N2603)</f>
        <v/>
      </c>
      <c r="G2608" cm="1">
        <f t="array" ref="G2608">IFERROR(VLOOKUP(INPUT!M2603&amp;INPUT!N2603,CHOOSE({1,2},INPUT!$A$3:$A$5000&amp;INPUT!$C$3:$C$5000,INPUT!$F$3:$F$5000),2,FALSE),"")</f>
        <v>0</v>
      </c>
      <c r="H2608" cm="1">
        <f t="array" ref="H2608">IFERROR(VLOOKUP(INPUT!M2603&amp;INPUT!N2603,CHOOSE({1,2},INPUT!$A$3:$A$5000&amp;INPUT!$C$3:$C$5000,INPUT!$D$3:$D$5000),2,FALSE),"")</f>
        <v>0</v>
      </c>
      <c r="I2608" s="46" t="str">
        <f>IF(INPUT!P2603="","",INPUT!P2603)</f>
        <v/>
      </c>
      <c r="J2608" s="46" t="str">
        <f>IF(INPUT!Q2603="","",INPUT!Q2603)</f>
        <v/>
      </c>
      <c r="K2608" s="46" t="str">
        <f>IFERROR(IF(OR(INPUT!P2603="",INPUT!Q2603=""),"",INPUT!P2603-INPUT!Q2603),"")</f>
        <v/>
      </c>
      <c r="L2608" s="48" t="str">
        <f>IFERROR(IF(OR(INPUT!P2603="",INPUT!Q2603="",INPUT!P2603=0),"",(INPUT!P2603-INPUT!Q2603)/INPUT!P2603),"")</f>
        <v/>
      </c>
    </row>
    <row r="2609" spans="1:12" ht="18" hidden="1" customHeight="1" x14ac:dyDescent="0.2">
      <c r="A2609" s="11" t="str">
        <f>IF(INPUT!M2604="","",INPUT!M2604)</f>
        <v/>
      </c>
      <c r="B2609" s="11" t="str">
        <f>IF(INPUT!M2604="","",INPUT!M2604-WEEKDAY(INPUT!M2604,2)+1)</f>
        <v/>
      </c>
      <c r="C2609" s="20">
        <f>IFERROR(_xlfn.ISOWEEKNUM(INPUT!M2604),"")</f>
        <v>52</v>
      </c>
      <c r="D2609" s="20">
        <f>IFERROR(YEAR(INPUT!M2604),"")</f>
        <v>1900</v>
      </c>
      <c r="E2609" t="str">
        <f>IF(INPUT!O2604="","",INPUT!O2604)</f>
        <v/>
      </c>
      <c r="F2609" t="str">
        <f>IF(INPUT!N2604="","",INPUT!N2604)</f>
        <v/>
      </c>
      <c r="G2609" cm="1">
        <f t="array" ref="G2609">IFERROR(VLOOKUP(INPUT!M2604&amp;INPUT!N2604,CHOOSE({1,2},INPUT!$A$3:$A$5000&amp;INPUT!$C$3:$C$5000,INPUT!$F$3:$F$5000),2,FALSE),"")</f>
        <v>0</v>
      </c>
      <c r="H2609" cm="1">
        <f t="array" ref="H2609">IFERROR(VLOOKUP(INPUT!M2604&amp;INPUT!N2604,CHOOSE({1,2},INPUT!$A$3:$A$5000&amp;INPUT!$C$3:$C$5000,INPUT!$D$3:$D$5000),2,FALSE),"")</f>
        <v>0</v>
      </c>
      <c r="I2609" s="46" t="str">
        <f>IF(INPUT!P2604="","",INPUT!P2604)</f>
        <v/>
      </c>
      <c r="J2609" s="46" t="str">
        <f>IF(INPUT!Q2604="","",INPUT!Q2604)</f>
        <v/>
      </c>
      <c r="K2609" s="46" t="str">
        <f>IFERROR(IF(OR(INPUT!P2604="",INPUT!Q2604=""),"",INPUT!P2604-INPUT!Q2604),"")</f>
        <v/>
      </c>
      <c r="L2609" s="48" t="str">
        <f>IFERROR(IF(OR(INPUT!P2604="",INPUT!Q2604="",INPUT!P2604=0),"",(INPUT!P2604-INPUT!Q2604)/INPUT!P2604),"")</f>
        <v/>
      </c>
    </row>
    <row r="2610" spans="1:12" ht="18" hidden="1" customHeight="1" x14ac:dyDescent="0.2">
      <c r="A2610" s="11" t="str">
        <f>IF(INPUT!M2605="","",INPUT!M2605)</f>
        <v/>
      </c>
      <c r="B2610" s="11" t="str">
        <f>IF(INPUT!M2605="","",INPUT!M2605-WEEKDAY(INPUT!M2605,2)+1)</f>
        <v/>
      </c>
      <c r="C2610" s="20">
        <f>IFERROR(_xlfn.ISOWEEKNUM(INPUT!M2605),"")</f>
        <v>52</v>
      </c>
      <c r="D2610" s="20">
        <f>IFERROR(YEAR(INPUT!M2605),"")</f>
        <v>1900</v>
      </c>
      <c r="E2610" t="str">
        <f>IF(INPUT!O2605="","",INPUT!O2605)</f>
        <v/>
      </c>
      <c r="F2610" t="str">
        <f>IF(INPUT!N2605="","",INPUT!N2605)</f>
        <v/>
      </c>
      <c r="G2610" cm="1">
        <f t="array" ref="G2610">IFERROR(VLOOKUP(INPUT!M2605&amp;INPUT!N2605,CHOOSE({1,2},INPUT!$A$3:$A$5000&amp;INPUT!$C$3:$C$5000,INPUT!$F$3:$F$5000),2,FALSE),"")</f>
        <v>0</v>
      </c>
      <c r="H2610" cm="1">
        <f t="array" ref="H2610">IFERROR(VLOOKUP(INPUT!M2605&amp;INPUT!N2605,CHOOSE({1,2},INPUT!$A$3:$A$5000&amp;INPUT!$C$3:$C$5000,INPUT!$D$3:$D$5000),2,FALSE),"")</f>
        <v>0</v>
      </c>
      <c r="I2610" s="46" t="str">
        <f>IF(INPUT!P2605="","",INPUT!P2605)</f>
        <v/>
      </c>
      <c r="J2610" s="46" t="str">
        <f>IF(INPUT!Q2605="","",INPUT!Q2605)</f>
        <v/>
      </c>
      <c r="K2610" s="46" t="str">
        <f>IFERROR(IF(OR(INPUT!P2605="",INPUT!Q2605=""),"",INPUT!P2605-INPUT!Q2605),"")</f>
        <v/>
      </c>
      <c r="L2610" s="48" t="str">
        <f>IFERROR(IF(OR(INPUT!P2605="",INPUT!Q2605="",INPUT!P2605=0),"",(INPUT!P2605-INPUT!Q2605)/INPUT!P2605),"")</f>
        <v/>
      </c>
    </row>
    <row r="2611" spans="1:12" ht="18" hidden="1" customHeight="1" x14ac:dyDescent="0.2">
      <c r="A2611" s="11" t="str">
        <f>IF(INPUT!M2606="","",INPUT!M2606)</f>
        <v/>
      </c>
      <c r="B2611" s="11" t="str">
        <f>IF(INPUT!M2606="","",INPUT!M2606-WEEKDAY(INPUT!M2606,2)+1)</f>
        <v/>
      </c>
      <c r="C2611" s="20">
        <f>IFERROR(_xlfn.ISOWEEKNUM(INPUT!M2606),"")</f>
        <v>52</v>
      </c>
      <c r="D2611" s="20">
        <f>IFERROR(YEAR(INPUT!M2606),"")</f>
        <v>1900</v>
      </c>
      <c r="E2611" t="str">
        <f>IF(INPUT!O2606="","",INPUT!O2606)</f>
        <v/>
      </c>
      <c r="F2611" t="str">
        <f>IF(INPUT!N2606="","",INPUT!N2606)</f>
        <v/>
      </c>
      <c r="G2611" cm="1">
        <f t="array" ref="G2611">IFERROR(VLOOKUP(INPUT!M2606&amp;INPUT!N2606,CHOOSE({1,2},INPUT!$A$3:$A$5000&amp;INPUT!$C$3:$C$5000,INPUT!$F$3:$F$5000),2,FALSE),"")</f>
        <v>0</v>
      </c>
      <c r="H2611" cm="1">
        <f t="array" ref="H2611">IFERROR(VLOOKUP(INPUT!M2606&amp;INPUT!N2606,CHOOSE({1,2},INPUT!$A$3:$A$5000&amp;INPUT!$C$3:$C$5000,INPUT!$D$3:$D$5000),2,FALSE),"")</f>
        <v>0</v>
      </c>
      <c r="I2611" s="46" t="str">
        <f>IF(INPUT!P2606="","",INPUT!P2606)</f>
        <v/>
      </c>
      <c r="J2611" s="46" t="str">
        <f>IF(INPUT!Q2606="","",INPUT!Q2606)</f>
        <v/>
      </c>
      <c r="K2611" s="46" t="str">
        <f>IFERROR(IF(OR(INPUT!P2606="",INPUT!Q2606=""),"",INPUT!P2606-INPUT!Q2606),"")</f>
        <v/>
      </c>
      <c r="L2611" s="48" t="str">
        <f>IFERROR(IF(OR(INPUT!P2606="",INPUT!Q2606="",INPUT!P2606=0),"",(INPUT!P2606-INPUT!Q2606)/INPUT!P2606),"")</f>
        <v/>
      </c>
    </row>
    <row r="2612" spans="1:12" ht="18" hidden="1" customHeight="1" x14ac:dyDescent="0.2">
      <c r="A2612" s="11" t="str">
        <f>IF(INPUT!M2607="","",INPUT!M2607)</f>
        <v/>
      </c>
      <c r="B2612" s="11" t="str">
        <f>IF(INPUT!M2607="","",INPUT!M2607-WEEKDAY(INPUT!M2607,2)+1)</f>
        <v/>
      </c>
      <c r="C2612" s="20">
        <f>IFERROR(_xlfn.ISOWEEKNUM(INPUT!M2607),"")</f>
        <v>52</v>
      </c>
      <c r="D2612" s="20">
        <f>IFERROR(YEAR(INPUT!M2607),"")</f>
        <v>1900</v>
      </c>
      <c r="E2612" t="str">
        <f>IF(INPUT!O2607="","",INPUT!O2607)</f>
        <v/>
      </c>
      <c r="F2612" t="str">
        <f>IF(INPUT!N2607="","",INPUT!N2607)</f>
        <v/>
      </c>
      <c r="G2612" cm="1">
        <f t="array" ref="G2612">IFERROR(VLOOKUP(INPUT!M2607&amp;INPUT!N2607,CHOOSE({1,2},INPUT!$A$3:$A$5000&amp;INPUT!$C$3:$C$5000,INPUT!$F$3:$F$5000),2,FALSE),"")</f>
        <v>0</v>
      </c>
      <c r="H2612" cm="1">
        <f t="array" ref="H2612">IFERROR(VLOOKUP(INPUT!M2607&amp;INPUT!N2607,CHOOSE({1,2},INPUT!$A$3:$A$5000&amp;INPUT!$C$3:$C$5000,INPUT!$D$3:$D$5000),2,FALSE),"")</f>
        <v>0</v>
      </c>
      <c r="I2612" s="46" t="str">
        <f>IF(INPUT!P2607="","",INPUT!P2607)</f>
        <v/>
      </c>
      <c r="J2612" s="46" t="str">
        <f>IF(INPUT!Q2607="","",INPUT!Q2607)</f>
        <v/>
      </c>
      <c r="K2612" s="46" t="str">
        <f>IFERROR(IF(OR(INPUT!P2607="",INPUT!Q2607=""),"",INPUT!P2607-INPUT!Q2607),"")</f>
        <v/>
      </c>
      <c r="L2612" s="48" t="str">
        <f>IFERROR(IF(OR(INPUT!P2607="",INPUT!Q2607="",INPUT!P2607=0),"",(INPUT!P2607-INPUT!Q2607)/INPUT!P2607),"")</f>
        <v/>
      </c>
    </row>
    <row r="2613" spans="1:12" ht="18" hidden="1" customHeight="1" x14ac:dyDescent="0.2">
      <c r="A2613" s="11" t="str">
        <f>IF(INPUT!M2608="","",INPUT!M2608)</f>
        <v/>
      </c>
      <c r="B2613" s="11" t="str">
        <f>IF(INPUT!M2608="","",INPUT!M2608-WEEKDAY(INPUT!M2608,2)+1)</f>
        <v/>
      </c>
      <c r="C2613" s="20">
        <f>IFERROR(_xlfn.ISOWEEKNUM(INPUT!M2608),"")</f>
        <v>52</v>
      </c>
      <c r="D2613" s="20">
        <f>IFERROR(YEAR(INPUT!M2608),"")</f>
        <v>1900</v>
      </c>
      <c r="E2613" t="str">
        <f>IF(INPUT!O2608="","",INPUT!O2608)</f>
        <v/>
      </c>
      <c r="F2613" t="str">
        <f>IF(INPUT!N2608="","",INPUT!N2608)</f>
        <v/>
      </c>
      <c r="G2613" cm="1">
        <f t="array" ref="G2613">IFERROR(VLOOKUP(INPUT!M2608&amp;INPUT!N2608,CHOOSE({1,2},INPUT!$A$3:$A$5000&amp;INPUT!$C$3:$C$5000,INPUT!$F$3:$F$5000),2,FALSE),"")</f>
        <v>0</v>
      </c>
      <c r="H2613" cm="1">
        <f t="array" ref="H2613">IFERROR(VLOOKUP(INPUT!M2608&amp;INPUT!N2608,CHOOSE({1,2},INPUT!$A$3:$A$5000&amp;INPUT!$C$3:$C$5000,INPUT!$D$3:$D$5000),2,FALSE),"")</f>
        <v>0</v>
      </c>
      <c r="I2613" s="46" t="str">
        <f>IF(INPUT!P2608="","",INPUT!P2608)</f>
        <v/>
      </c>
      <c r="J2613" s="46" t="str">
        <f>IF(INPUT!Q2608="","",INPUT!Q2608)</f>
        <v/>
      </c>
      <c r="K2613" s="46" t="str">
        <f>IFERROR(IF(OR(INPUT!P2608="",INPUT!Q2608=""),"",INPUT!P2608-INPUT!Q2608),"")</f>
        <v/>
      </c>
      <c r="L2613" s="48" t="str">
        <f>IFERROR(IF(OR(INPUT!P2608="",INPUT!Q2608="",INPUT!P2608=0),"",(INPUT!P2608-INPUT!Q2608)/INPUT!P2608),"")</f>
        <v/>
      </c>
    </row>
    <row r="2614" spans="1:12" ht="18" hidden="1" customHeight="1" x14ac:dyDescent="0.2">
      <c r="A2614" s="11" t="str">
        <f>IF(INPUT!M2609="","",INPUT!M2609)</f>
        <v/>
      </c>
      <c r="B2614" s="11" t="str">
        <f>IF(INPUT!M2609="","",INPUT!M2609-WEEKDAY(INPUT!M2609,2)+1)</f>
        <v/>
      </c>
      <c r="C2614" s="20">
        <f>IFERROR(_xlfn.ISOWEEKNUM(INPUT!M2609),"")</f>
        <v>52</v>
      </c>
      <c r="D2614" s="20">
        <f>IFERROR(YEAR(INPUT!M2609),"")</f>
        <v>1900</v>
      </c>
      <c r="E2614" t="str">
        <f>IF(INPUT!O2609="","",INPUT!O2609)</f>
        <v/>
      </c>
      <c r="F2614" t="str">
        <f>IF(INPUT!N2609="","",INPUT!N2609)</f>
        <v/>
      </c>
      <c r="G2614" cm="1">
        <f t="array" ref="G2614">IFERROR(VLOOKUP(INPUT!M2609&amp;INPUT!N2609,CHOOSE({1,2},INPUT!$A$3:$A$5000&amp;INPUT!$C$3:$C$5000,INPUT!$F$3:$F$5000),2,FALSE),"")</f>
        <v>0</v>
      </c>
      <c r="H2614" cm="1">
        <f t="array" ref="H2614">IFERROR(VLOOKUP(INPUT!M2609&amp;INPUT!N2609,CHOOSE({1,2},INPUT!$A$3:$A$5000&amp;INPUT!$C$3:$C$5000,INPUT!$D$3:$D$5000),2,FALSE),"")</f>
        <v>0</v>
      </c>
      <c r="I2614" s="46" t="str">
        <f>IF(INPUT!P2609="","",INPUT!P2609)</f>
        <v/>
      </c>
      <c r="J2614" s="46" t="str">
        <f>IF(INPUT!Q2609="","",INPUT!Q2609)</f>
        <v/>
      </c>
      <c r="K2614" s="46" t="str">
        <f>IFERROR(IF(OR(INPUT!P2609="",INPUT!Q2609=""),"",INPUT!P2609-INPUT!Q2609),"")</f>
        <v/>
      </c>
      <c r="L2614" s="48" t="str">
        <f>IFERROR(IF(OR(INPUT!P2609="",INPUT!Q2609="",INPUT!P2609=0),"",(INPUT!P2609-INPUT!Q2609)/INPUT!P2609),"")</f>
        <v/>
      </c>
    </row>
    <row r="2615" spans="1:12" ht="18" hidden="1" customHeight="1" x14ac:dyDescent="0.2">
      <c r="A2615" s="11" t="str">
        <f>IF(INPUT!M2610="","",INPUT!M2610)</f>
        <v/>
      </c>
      <c r="B2615" s="11" t="str">
        <f>IF(INPUT!M2610="","",INPUT!M2610-WEEKDAY(INPUT!M2610,2)+1)</f>
        <v/>
      </c>
      <c r="C2615" s="20">
        <f>IFERROR(_xlfn.ISOWEEKNUM(INPUT!M2610),"")</f>
        <v>52</v>
      </c>
      <c r="D2615" s="20">
        <f>IFERROR(YEAR(INPUT!M2610),"")</f>
        <v>1900</v>
      </c>
      <c r="E2615" t="str">
        <f>IF(INPUT!O2610="","",INPUT!O2610)</f>
        <v/>
      </c>
      <c r="F2615" t="str">
        <f>IF(INPUT!N2610="","",INPUT!N2610)</f>
        <v/>
      </c>
      <c r="G2615" cm="1">
        <f t="array" ref="G2615">IFERROR(VLOOKUP(INPUT!M2610&amp;INPUT!N2610,CHOOSE({1,2},INPUT!$A$3:$A$5000&amp;INPUT!$C$3:$C$5000,INPUT!$F$3:$F$5000),2,FALSE),"")</f>
        <v>0</v>
      </c>
      <c r="H2615" cm="1">
        <f t="array" ref="H2615">IFERROR(VLOOKUP(INPUT!M2610&amp;INPUT!N2610,CHOOSE({1,2},INPUT!$A$3:$A$5000&amp;INPUT!$C$3:$C$5000,INPUT!$D$3:$D$5000),2,FALSE),"")</f>
        <v>0</v>
      </c>
      <c r="I2615" s="46" t="str">
        <f>IF(INPUT!P2610="","",INPUT!P2610)</f>
        <v/>
      </c>
      <c r="J2615" s="46" t="str">
        <f>IF(INPUT!Q2610="","",INPUT!Q2610)</f>
        <v/>
      </c>
      <c r="K2615" s="46" t="str">
        <f>IFERROR(IF(OR(INPUT!P2610="",INPUT!Q2610=""),"",INPUT!P2610-INPUT!Q2610),"")</f>
        <v/>
      </c>
      <c r="L2615" s="48" t="str">
        <f>IFERROR(IF(OR(INPUT!P2610="",INPUT!Q2610="",INPUT!P2610=0),"",(INPUT!P2610-INPUT!Q2610)/INPUT!P2610),"")</f>
        <v/>
      </c>
    </row>
    <row r="2616" spans="1:12" ht="18" hidden="1" customHeight="1" x14ac:dyDescent="0.2">
      <c r="A2616" s="11" t="str">
        <f>IF(INPUT!M2611="","",INPUT!M2611)</f>
        <v/>
      </c>
      <c r="B2616" s="11" t="str">
        <f>IF(INPUT!M2611="","",INPUT!M2611-WEEKDAY(INPUT!M2611,2)+1)</f>
        <v/>
      </c>
      <c r="C2616" s="20">
        <f>IFERROR(_xlfn.ISOWEEKNUM(INPUT!M2611),"")</f>
        <v>52</v>
      </c>
      <c r="D2616" s="20">
        <f>IFERROR(YEAR(INPUT!M2611),"")</f>
        <v>1900</v>
      </c>
      <c r="E2616" t="str">
        <f>IF(INPUT!O2611="","",INPUT!O2611)</f>
        <v/>
      </c>
      <c r="F2616" t="str">
        <f>IF(INPUT!N2611="","",INPUT!N2611)</f>
        <v/>
      </c>
      <c r="G2616" cm="1">
        <f t="array" ref="G2616">IFERROR(VLOOKUP(INPUT!M2611&amp;INPUT!N2611,CHOOSE({1,2},INPUT!$A$3:$A$5000&amp;INPUT!$C$3:$C$5000,INPUT!$F$3:$F$5000),2,FALSE),"")</f>
        <v>0</v>
      </c>
      <c r="H2616" cm="1">
        <f t="array" ref="H2616">IFERROR(VLOOKUP(INPUT!M2611&amp;INPUT!N2611,CHOOSE({1,2},INPUT!$A$3:$A$5000&amp;INPUT!$C$3:$C$5000,INPUT!$D$3:$D$5000),2,FALSE),"")</f>
        <v>0</v>
      </c>
      <c r="I2616" s="46" t="str">
        <f>IF(INPUT!P2611="","",INPUT!P2611)</f>
        <v/>
      </c>
      <c r="J2616" s="46" t="str">
        <f>IF(INPUT!Q2611="","",INPUT!Q2611)</f>
        <v/>
      </c>
      <c r="K2616" s="46" t="str">
        <f>IFERROR(IF(OR(INPUT!P2611="",INPUT!Q2611=""),"",INPUT!P2611-INPUT!Q2611),"")</f>
        <v/>
      </c>
      <c r="L2616" s="48" t="str">
        <f>IFERROR(IF(OR(INPUT!P2611="",INPUT!Q2611="",INPUT!P2611=0),"",(INPUT!P2611-INPUT!Q2611)/INPUT!P2611),"")</f>
        <v/>
      </c>
    </row>
    <row r="2617" spans="1:12" ht="18" hidden="1" customHeight="1" x14ac:dyDescent="0.2">
      <c r="A2617" s="11" t="str">
        <f>IF(INPUT!M2612="","",INPUT!M2612)</f>
        <v/>
      </c>
      <c r="B2617" s="11" t="str">
        <f>IF(INPUT!M2612="","",INPUT!M2612-WEEKDAY(INPUT!M2612,2)+1)</f>
        <v/>
      </c>
      <c r="C2617" s="20">
        <f>IFERROR(_xlfn.ISOWEEKNUM(INPUT!M2612),"")</f>
        <v>52</v>
      </c>
      <c r="D2617" s="20">
        <f>IFERROR(YEAR(INPUT!M2612),"")</f>
        <v>1900</v>
      </c>
      <c r="E2617" t="str">
        <f>IF(INPUT!O2612="","",INPUT!O2612)</f>
        <v/>
      </c>
      <c r="F2617" t="str">
        <f>IF(INPUT!N2612="","",INPUT!N2612)</f>
        <v/>
      </c>
      <c r="G2617" cm="1">
        <f t="array" ref="G2617">IFERROR(VLOOKUP(INPUT!M2612&amp;INPUT!N2612,CHOOSE({1,2},INPUT!$A$3:$A$5000&amp;INPUT!$C$3:$C$5000,INPUT!$F$3:$F$5000),2,FALSE),"")</f>
        <v>0</v>
      </c>
      <c r="H2617" cm="1">
        <f t="array" ref="H2617">IFERROR(VLOOKUP(INPUT!M2612&amp;INPUT!N2612,CHOOSE({1,2},INPUT!$A$3:$A$5000&amp;INPUT!$C$3:$C$5000,INPUT!$D$3:$D$5000),2,FALSE),"")</f>
        <v>0</v>
      </c>
      <c r="I2617" s="46" t="str">
        <f>IF(INPUT!P2612="","",INPUT!P2612)</f>
        <v/>
      </c>
      <c r="J2617" s="46" t="str">
        <f>IF(INPUT!Q2612="","",INPUT!Q2612)</f>
        <v/>
      </c>
      <c r="K2617" s="46" t="str">
        <f>IFERROR(IF(OR(INPUT!P2612="",INPUT!Q2612=""),"",INPUT!P2612-INPUT!Q2612),"")</f>
        <v/>
      </c>
      <c r="L2617" s="48" t="str">
        <f>IFERROR(IF(OR(INPUT!P2612="",INPUT!Q2612="",INPUT!P2612=0),"",(INPUT!P2612-INPUT!Q2612)/INPUT!P2612),"")</f>
        <v/>
      </c>
    </row>
    <row r="2618" spans="1:12" ht="18" hidden="1" customHeight="1" x14ac:dyDescent="0.2">
      <c r="A2618" s="11" t="str">
        <f>IF(INPUT!M2613="","",INPUT!M2613)</f>
        <v/>
      </c>
      <c r="B2618" s="11" t="str">
        <f>IF(INPUT!M2613="","",INPUT!M2613-WEEKDAY(INPUT!M2613,2)+1)</f>
        <v/>
      </c>
      <c r="C2618" s="20">
        <f>IFERROR(_xlfn.ISOWEEKNUM(INPUT!M2613),"")</f>
        <v>52</v>
      </c>
      <c r="D2618" s="20">
        <f>IFERROR(YEAR(INPUT!M2613),"")</f>
        <v>1900</v>
      </c>
      <c r="E2618" t="str">
        <f>IF(INPUT!O2613="","",INPUT!O2613)</f>
        <v/>
      </c>
      <c r="F2618" t="str">
        <f>IF(INPUT!N2613="","",INPUT!N2613)</f>
        <v/>
      </c>
      <c r="G2618" cm="1">
        <f t="array" ref="G2618">IFERROR(VLOOKUP(INPUT!M2613&amp;INPUT!N2613,CHOOSE({1,2},INPUT!$A$3:$A$5000&amp;INPUT!$C$3:$C$5000,INPUT!$F$3:$F$5000),2,FALSE),"")</f>
        <v>0</v>
      </c>
      <c r="H2618" cm="1">
        <f t="array" ref="H2618">IFERROR(VLOOKUP(INPUT!M2613&amp;INPUT!N2613,CHOOSE({1,2},INPUT!$A$3:$A$5000&amp;INPUT!$C$3:$C$5000,INPUT!$D$3:$D$5000),2,FALSE),"")</f>
        <v>0</v>
      </c>
      <c r="I2618" s="46" t="str">
        <f>IF(INPUT!P2613="","",INPUT!P2613)</f>
        <v/>
      </c>
      <c r="J2618" s="46" t="str">
        <f>IF(INPUT!Q2613="","",INPUT!Q2613)</f>
        <v/>
      </c>
      <c r="K2618" s="46" t="str">
        <f>IFERROR(IF(OR(INPUT!P2613="",INPUT!Q2613=""),"",INPUT!P2613-INPUT!Q2613),"")</f>
        <v/>
      </c>
      <c r="L2618" s="48" t="str">
        <f>IFERROR(IF(OR(INPUT!P2613="",INPUT!Q2613="",INPUT!P2613=0),"",(INPUT!P2613-INPUT!Q2613)/INPUT!P2613),"")</f>
        <v/>
      </c>
    </row>
    <row r="2619" spans="1:12" ht="18" hidden="1" customHeight="1" x14ac:dyDescent="0.2">
      <c r="A2619" s="11" t="str">
        <f>IF(INPUT!M2614="","",INPUT!M2614)</f>
        <v/>
      </c>
      <c r="B2619" s="11" t="str">
        <f>IF(INPUT!M2614="","",INPUT!M2614-WEEKDAY(INPUT!M2614,2)+1)</f>
        <v/>
      </c>
      <c r="C2619" s="20">
        <f>IFERROR(_xlfn.ISOWEEKNUM(INPUT!M2614),"")</f>
        <v>52</v>
      </c>
      <c r="D2619" s="20">
        <f>IFERROR(YEAR(INPUT!M2614),"")</f>
        <v>1900</v>
      </c>
      <c r="E2619" t="str">
        <f>IF(INPUT!O2614="","",INPUT!O2614)</f>
        <v/>
      </c>
      <c r="F2619" t="str">
        <f>IF(INPUT!N2614="","",INPUT!N2614)</f>
        <v/>
      </c>
      <c r="G2619" cm="1">
        <f t="array" ref="G2619">IFERROR(VLOOKUP(INPUT!M2614&amp;INPUT!N2614,CHOOSE({1,2},INPUT!$A$3:$A$5000&amp;INPUT!$C$3:$C$5000,INPUT!$F$3:$F$5000),2,FALSE),"")</f>
        <v>0</v>
      </c>
      <c r="H2619" cm="1">
        <f t="array" ref="H2619">IFERROR(VLOOKUP(INPUT!M2614&amp;INPUT!N2614,CHOOSE({1,2},INPUT!$A$3:$A$5000&amp;INPUT!$C$3:$C$5000,INPUT!$D$3:$D$5000),2,FALSE),"")</f>
        <v>0</v>
      </c>
      <c r="I2619" s="46" t="str">
        <f>IF(INPUT!P2614="","",INPUT!P2614)</f>
        <v/>
      </c>
      <c r="J2619" s="46" t="str">
        <f>IF(INPUT!Q2614="","",INPUT!Q2614)</f>
        <v/>
      </c>
      <c r="K2619" s="46" t="str">
        <f>IFERROR(IF(OR(INPUT!P2614="",INPUT!Q2614=""),"",INPUT!P2614-INPUT!Q2614),"")</f>
        <v/>
      </c>
      <c r="L2619" s="48" t="str">
        <f>IFERROR(IF(OR(INPUT!P2614="",INPUT!Q2614="",INPUT!P2614=0),"",(INPUT!P2614-INPUT!Q2614)/INPUT!P2614),"")</f>
        <v/>
      </c>
    </row>
    <row r="2620" spans="1:12" ht="18" hidden="1" customHeight="1" x14ac:dyDescent="0.2">
      <c r="A2620" s="11" t="str">
        <f>IF(INPUT!M2615="","",INPUT!M2615)</f>
        <v/>
      </c>
      <c r="B2620" s="11" t="str">
        <f>IF(INPUT!M2615="","",INPUT!M2615-WEEKDAY(INPUT!M2615,2)+1)</f>
        <v/>
      </c>
      <c r="C2620" s="20">
        <f>IFERROR(_xlfn.ISOWEEKNUM(INPUT!M2615),"")</f>
        <v>52</v>
      </c>
      <c r="D2620" s="20">
        <f>IFERROR(YEAR(INPUT!M2615),"")</f>
        <v>1900</v>
      </c>
      <c r="E2620" t="str">
        <f>IF(INPUT!O2615="","",INPUT!O2615)</f>
        <v/>
      </c>
      <c r="F2620" t="str">
        <f>IF(INPUT!N2615="","",INPUT!N2615)</f>
        <v/>
      </c>
      <c r="G2620" cm="1">
        <f t="array" ref="G2620">IFERROR(VLOOKUP(INPUT!M2615&amp;INPUT!N2615,CHOOSE({1,2},INPUT!$A$3:$A$5000&amp;INPUT!$C$3:$C$5000,INPUT!$F$3:$F$5000),2,FALSE),"")</f>
        <v>0</v>
      </c>
      <c r="H2620" cm="1">
        <f t="array" ref="H2620">IFERROR(VLOOKUP(INPUT!M2615&amp;INPUT!N2615,CHOOSE({1,2},INPUT!$A$3:$A$5000&amp;INPUT!$C$3:$C$5000,INPUT!$D$3:$D$5000),2,FALSE),"")</f>
        <v>0</v>
      </c>
      <c r="I2620" s="46" t="str">
        <f>IF(INPUT!P2615="","",INPUT!P2615)</f>
        <v/>
      </c>
      <c r="J2620" s="46" t="str">
        <f>IF(INPUT!Q2615="","",INPUT!Q2615)</f>
        <v/>
      </c>
      <c r="K2620" s="46" t="str">
        <f>IFERROR(IF(OR(INPUT!P2615="",INPUT!Q2615=""),"",INPUT!P2615-INPUT!Q2615),"")</f>
        <v/>
      </c>
      <c r="L2620" s="48" t="str">
        <f>IFERROR(IF(OR(INPUT!P2615="",INPUT!Q2615="",INPUT!P2615=0),"",(INPUT!P2615-INPUT!Q2615)/INPUT!P2615),"")</f>
        <v/>
      </c>
    </row>
    <row r="2621" spans="1:12" ht="18" hidden="1" customHeight="1" x14ac:dyDescent="0.2">
      <c r="A2621" s="11" t="str">
        <f>IF(INPUT!M2616="","",INPUT!M2616)</f>
        <v/>
      </c>
      <c r="B2621" s="11" t="str">
        <f>IF(INPUT!M2616="","",INPUT!M2616-WEEKDAY(INPUT!M2616,2)+1)</f>
        <v/>
      </c>
      <c r="C2621" s="20">
        <f>IFERROR(_xlfn.ISOWEEKNUM(INPUT!M2616),"")</f>
        <v>52</v>
      </c>
      <c r="D2621" s="20">
        <f>IFERROR(YEAR(INPUT!M2616),"")</f>
        <v>1900</v>
      </c>
      <c r="E2621" t="str">
        <f>IF(INPUT!O2616="","",INPUT!O2616)</f>
        <v/>
      </c>
      <c r="F2621" t="str">
        <f>IF(INPUT!N2616="","",INPUT!N2616)</f>
        <v/>
      </c>
      <c r="G2621" cm="1">
        <f t="array" ref="G2621">IFERROR(VLOOKUP(INPUT!M2616&amp;INPUT!N2616,CHOOSE({1,2},INPUT!$A$3:$A$5000&amp;INPUT!$C$3:$C$5000,INPUT!$F$3:$F$5000),2,FALSE),"")</f>
        <v>0</v>
      </c>
      <c r="H2621" cm="1">
        <f t="array" ref="H2621">IFERROR(VLOOKUP(INPUT!M2616&amp;INPUT!N2616,CHOOSE({1,2},INPUT!$A$3:$A$5000&amp;INPUT!$C$3:$C$5000,INPUT!$D$3:$D$5000),2,FALSE),"")</f>
        <v>0</v>
      </c>
      <c r="I2621" s="46" t="str">
        <f>IF(INPUT!P2616="","",INPUT!P2616)</f>
        <v/>
      </c>
      <c r="J2621" s="46" t="str">
        <f>IF(INPUT!Q2616="","",INPUT!Q2616)</f>
        <v/>
      </c>
      <c r="K2621" s="46" t="str">
        <f>IFERROR(IF(OR(INPUT!P2616="",INPUT!Q2616=""),"",INPUT!P2616-INPUT!Q2616),"")</f>
        <v/>
      </c>
      <c r="L2621" s="48" t="str">
        <f>IFERROR(IF(OR(INPUT!P2616="",INPUT!Q2616="",INPUT!P2616=0),"",(INPUT!P2616-INPUT!Q2616)/INPUT!P2616),"")</f>
        <v/>
      </c>
    </row>
    <row r="2622" spans="1:12" ht="18" hidden="1" customHeight="1" x14ac:dyDescent="0.2">
      <c r="A2622" s="11" t="str">
        <f>IF(INPUT!M2617="","",INPUT!M2617)</f>
        <v/>
      </c>
      <c r="B2622" s="11" t="str">
        <f>IF(INPUT!M2617="","",INPUT!M2617-WEEKDAY(INPUT!M2617,2)+1)</f>
        <v/>
      </c>
      <c r="C2622" s="20">
        <f>IFERROR(_xlfn.ISOWEEKNUM(INPUT!M2617),"")</f>
        <v>52</v>
      </c>
      <c r="D2622" s="20">
        <f>IFERROR(YEAR(INPUT!M2617),"")</f>
        <v>1900</v>
      </c>
      <c r="E2622" t="str">
        <f>IF(INPUT!O2617="","",INPUT!O2617)</f>
        <v/>
      </c>
      <c r="F2622" t="str">
        <f>IF(INPUT!N2617="","",INPUT!N2617)</f>
        <v/>
      </c>
      <c r="G2622" cm="1">
        <f t="array" ref="G2622">IFERROR(VLOOKUP(INPUT!M2617&amp;INPUT!N2617,CHOOSE({1,2},INPUT!$A$3:$A$5000&amp;INPUT!$C$3:$C$5000,INPUT!$F$3:$F$5000),2,FALSE),"")</f>
        <v>0</v>
      </c>
      <c r="H2622" cm="1">
        <f t="array" ref="H2622">IFERROR(VLOOKUP(INPUT!M2617&amp;INPUT!N2617,CHOOSE({1,2},INPUT!$A$3:$A$5000&amp;INPUT!$C$3:$C$5000,INPUT!$D$3:$D$5000),2,FALSE),"")</f>
        <v>0</v>
      </c>
      <c r="I2622" s="46" t="str">
        <f>IF(INPUT!P2617="","",INPUT!P2617)</f>
        <v/>
      </c>
      <c r="J2622" s="46" t="str">
        <f>IF(INPUT!Q2617="","",INPUT!Q2617)</f>
        <v/>
      </c>
      <c r="K2622" s="46" t="str">
        <f>IFERROR(IF(OR(INPUT!P2617="",INPUT!Q2617=""),"",INPUT!P2617-INPUT!Q2617),"")</f>
        <v/>
      </c>
      <c r="L2622" s="48" t="str">
        <f>IFERROR(IF(OR(INPUT!P2617="",INPUT!Q2617="",INPUT!P2617=0),"",(INPUT!P2617-INPUT!Q2617)/INPUT!P2617),"")</f>
        <v/>
      </c>
    </row>
    <row r="2623" spans="1:12" ht="18" hidden="1" customHeight="1" x14ac:dyDescent="0.2">
      <c r="A2623" s="11" t="str">
        <f>IF(INPUT!M2618="","",INPUT!M2618)</f>
        <v/>
      </c>
      <c r="B2623" s="11" t="str">
        <f>IF(INPUT!M2618="","",INPUT!M2618-WEEKDAY(INPUT!M2618,2)+1)</f>
        <v/>
      </c>
      <c r="C2623" s="20">
        <f>IFERROR(_xlfn.ISOWEEKNUM(INPUT!M2618),"")</f>
        <v>52</v>
      </c>
      <c r="D2623" s="20">
        <f>IFERROR(YEAR(INPUT!M2618),"")</f>
        <v>1900</v>
      </c>
      <c r="E2623" t="str">
        <f>IF(INPUT!O2618="","",INPUT!O2618)</f>
        <v/>
      </c>
      <c r="F2623" t="str">
        <f>IF(INPUT!N2618="","",INPUT!N2618)</f>
        <v/>
      </c>
      <c r="G2623" cm="1">
        <f t="array" ref="G2623">IFERROR(VLOOKUP(INPUT!M2618&amp;INPUT!N2618,CHOOSE({1,2},INPUT!$A$3:$A$5000&amp;INPUT!$C$3:$C$5000,INPUT!$F$3:$F$5000),2,FALSE),"")</f>
        <v>0</v>
      </c>
      <c r="H2623" cm="1">
        <f t="array" ref="H2623">IFERROR(VLOOKUP(INPUT!M2618&amp;INPUT!N2618,CHOOSE({1,2},INPUT!$A$3:$A$5000&amp;INPUT!$C$3:$C$5000,INPUT!$D$3:$D$5000),2,FALSE),"")</f>
        <v>0</v>
      </c>
      <c r="I2623" s="46" t="str">
        <f>IF(INPUT!P2618="","",INPUT!P2618)</f>
        <v/>
      </c>
      <c r="J2623" s="46" t="str">
        <f>IF(INPUT!Q2618="","",INPUT!Q2618)</f>
        <v/>
      </c>
      <c r="K2623" s="46" t="str">
        <f>IFERROR(IF(OR(INPUT!P2618="",INPUT!Q2618=""),"",INPUT!P2618-INPUT!Q2618),"")</f>
        <v/>
      </c>
      <c r="L2623" s="48" t="str">
        <f>IFERROR(IF(OR(INPUT!P2618="",INPUT!Q2618="",INPUT!P2618=0),"",(INPUT!P2618-INPUT!Q2618)/INPUT!P2618),"")</f>
        <v/>
      </c>
    </row>
    <row r="2624" spans="1:12" ht="18" hidden="1" customHeight="1" x14ac:dyDescent="0.2">
      <c r="A2624" s="11" t="str">
        <f>IF(INPUT!M2619="","",INPUT!M2619)</f>
        <v/>
      </c>
      <c r="B2624" s="11" t="str">
        <f>IF(INPUT!M2619="","",INPUT!M2619-WEEKDAY(INPUT!M2619,2)+1)</f>
        <v/>
      </c>
      <c r="C2624" s="20">
        <f>IFERROR(_xlfn.ISOWEEKNUM(INPUT!M2619),"")</f>
        <v>52</v>
      </c>
      <c r="D2624" s="20">
        <f>IFERROR(YEAR(INPUT!M2619),"")</f>
        <v>1900</v>
      </c>
      <c r="E2624" t="str">
        <f>IF(INPUT!O2619="","",INPUT!O2619)</f>
        <v/>
      </c>
      <c r="F2624" t="str">
        <f>IF(INPUT!N2619="","",INPUT!N2619)</f>
        <v/>
      </c>
      <c r="G2624" cm="1">
        <f t="array" ref="G2624">IFERROR(VLOOKUP(INPUT!M2619&amp;INPUT!N2619,CHOOSE({1,2},INPUT!$A$3:$A$5000&amp;INPUT!$C$3:$C$5000,INPUT!$F$3:$F$5000),2,FALSE),"")</f>
        <v>0</v>
      </c>
      <c r="H2624" cm="1">
        <f t="array" ref="H2624">IFERROR(VLOOKUP(INPUT!M2619&amp;INPUT!N2619,CHOOSE({1,2},INPUT!$A$3:$A$5000&amp;INPUT!$C$3:$C$5000,INPUT!$D$3:$D$5000),2,FALSE),"")</f>
        <v>0</v>
      </c>
      <c r="I2624" s="46" t="str">
        <f>IF(INPUT!P2619="","",INPUT!P2619)</f>
        <v/>
      </c>
      <c r="J2624" s="46" t="str">
        <f>IF(INPUT!Q2619="","",INPUT!Q2619)</f>
        <v/>
      </c>
      <c r="K2624" s="46" t="str">
        <f>IFERROR(IF(OR(INPUT!P2619="",INPUT!Q2619=""),"",INPUT!P2619-INPUT!Q2619),"")</f>
        <v/>
      </c>
      <c r="L2624" s="48" t="str">
        <f>IFERROR(IF(OR(INPUT!P2619="",INPUT!Q2619="",INPUT!P2619=0),"",(INPUT!P2619-INPUT!Q2619)/INPUT!P2619),"")</f>
        <v/>
      </c>
    </row>
    <row r="2625" spans="1:12" ht="18" hidden="1" customHeight="1" x14ac:dyDescent="0.2">
      <c r="A2625" s="11" t="str">
        <f>IF(INPUT!M2620="","",INPUT!M2620)</f>
        <v/>
      </c>
      <c r="B2625" s="11" t="str">
        <f>IF(INPUT!M2620="","",INPUT!M2620-WEEKDAY(INPUT!M2620,2)+1)</f>
        <v/>
      </c>
      <c r="C2625" s="20">
        <f>IFERROR(_xlfn.ISOWEEKNUM(INPUT!M2620),"")</f>
        <v>52</v>
      </c>
      <c r="D2625" s="20">
        <f>IFERROR(YEAR(INPUT!M2620),"")</f>
        <v>1900</v>
      </c>
      <c r="E2625" t="str">
        <f>IF(INPUT!O2620="","",INPUT!O2620)</f>
        <v/>
      </c>
      <c r="F2625" t="str">
        <f>IF(INPUT!N2620="","",INPUT!N2620)</f>
        <v/>
      </c>
      <c r="G2625" cm="1">
        <f t="array" ref="G2625">IFERROR(VLOOKUP(INPUT!M2620&amp;INPUT!N2620,CHOOSE({1,2},INPUT!$A$3:$A$5000&amp;INPUT!$C$3:$C$5000,INPUT!$F$3:$F$5000),2,FALSE),"")</f>
        <v>0</v>
      </c>
      <c r="H2625" cm="1">
        <f t="array" ref="H2625">IFERROR(VLOOKUP(INPUT!M2620&amp;INPUT!N2620,CHOOSE({1,2},INPUT!$A$3:$A$5000&amp;INPUT!$C$3:$C$5000,INPUT!$D$3:$D$5000),2,FALSE),"")</f>
        <v>0</v>
      </c>
      <c r="I2625" s="46" t="str">
        <f>IF(INPUT!P2620="","",INPUT!P2620)</f>
        <v/>
      </c>
      <c r="J2625" s="46" t="str">
        <f>IF(INPUT!Q2620="","",INPUT!Q2620)</f>
        <v/>
      </c>
      <c r="K2625" s="46" t="str">
        <f>IFERROR(IF(OR(INPUT!P2620="",INPUT!Q2620=""),"",INPUT!P2620-INPUT!Q2620),"")</f>
        <v/>
      </c>
      <c r="L2625" s="48" t="str">
        <f>IFERROR(IF(OR(INPUT!P2620="",INPUT!Q2620="",INPUT!P2620=0),"",(INPUT!P2620-INPUT!Q2620)/INPUT!P2620),"")</f>
        <v/>
      </c>
    </row>
    <row r="2626" spans="1:12" ht="18" hidden="1" customHeight="1" x14ac:dyDescent="0.2">
      <c r="A2626" s="11" t="str">
        <f>IF(INPUT!M2621="","",INPUT!M2621)</f>
        <v/>
      </c>
      <c r="B2626" s="11" t="str">
        <f>IF(INPUT!M2621="","",INPUT!M2621-WEEKDAY(INPUT!M2621,2)+1)</f>
        <v/>
      </c>
      <c r="C2626" s="20">
        <f>IFERROR(_xlfn.ISOWEEKNUM(INPUT!M2621),"")</f>
        <v>52</v>
      </c>
      <c r="D2626" s="20">
        <f>IFERROR(YEAR(INPUT!M2621),"")</f>
        <v>1900</v>
      </c>
      <c r="E2626" t="str">
        <f>IF(INPUT!O2621="","",INPUT!O2621)</f>
        <v/>
      </c>
      <c r="F2626" t="str">
        <f>IF(INPUT!N2621="","",INPUT!N2621)</f>
        <v/>
      </c>
      <c r="G2626" cm="1">
        <f t="array" ref="G2626">IFERROR(VLOOKUP(INPUT!M2621&amp;INPUT!N2621,CHOOSE({1,2},INPUT!$A$3:$A$5000&amp;INPUT!$C$3:$C$5000,INPUT!$F$3:$F$5000),2,FALSE),"")</f>
        <v>0</v>
      </c>
      <c r="H2626" cm="1">
        <f t="array" ref="H2626">IFERROR(VLOOKUP(INPUT!M2621&amp;INPUT!N2621,CHOOSE({1,2},INPUT!$A$3:$A$5000&amp;INPUT!$C$3:$C$5000,INPUT!$D$3:$D$5000),2,FALSE),"")</f>
        <v>0</v>
      </c>
      <c r="I2626" s="46" t="str">
        <f>IF(INPUT!P2621="","",INPUT!P2621)</f>
        <v/>
      </c>
      <c r="J2626" s="46" t="str">
        <f>IF(INPUT!Q2621="","",INPUT!Q2621)</f>
        <v/>
      </c>
      <c r="K2626" s="46" t="str">
        <f>IFERROR(IF(OR(INPUT!P2621="",INPUT!Q2621=""),"",INPUT!P2621-INPUT!Q2621),"")</f>
        <v/>
      </c>
      <c r="L2626" s="48" t="str">
        <f>IFERROR(IF(OR(INPUT!P2621="",INPUT!Q2621="",INPUT!P2621=0),"",(INPUT!P2621-INPUT!Q2621)/INPUT!P2621),"")</f>
        <v/>
      </c>
    </row>
    <row r="2627" spans="1:12" ht="18" hidden="1" customHeight="1" x14ac:dyDescent="0.2">
      <c r="A2627" s="11" t="str">
        <f>IF(INPUT!M2622="","",INPUT!M2622)</f>
        <v/>
      </c>
      <c r="B2627" s="11" t="str">
        <f>IF(INPUT!M2622="","",INPUT!M2622-WEEKDAY(INPUT!M2622,2)+1)</f>
        <v/>
      </c>
      <c r="C2627" s="20">
        <f>IFERROR(_xlfn.ISOWEEKNUM(INPUT!M2622),"")</f>
        <v>52</v>
      </c>
      <c r="D2627" s="20">
        <f>IFERROR(YEAR(INPUT!M2622),"")</f>
        <v>1900</v>
      </c>
      <c r="E2627" t="str">
        <f>IF(INPUT!O2622="","",INPUT!O2622)</f>
        <v/>
      </c>
      <c r="F2627" t="str">
        <f>IF(INPUT!N2622="","",INPUT!N2622)</f>
        <v/>
      </c>
      <c r="G2627" cm="1">
        <f t="array" ref="G2627">IFERROR(VLOOKUP(INPUT!M2622&amp;INPUT!N2622,CHOOSE({1,2},INPUT!$A$3:$A$5000&amp;INPUT!$C$3:$C$5000,INPUT!$F$3:$F$5000),2,FALSE),"")</f>
        <v>0</v>
      </c>
      <c r="H2627" cm="1">
        <f t="array" ref="H2627">IFERROR(VLOOKUP(INPUT!M2622&amp;INPUT!N2622,CHOOSE({1,2},INPUT!$A$3:$A$5000&amp;INPUT!$C$3:$C$5000,INPUT!$D$3:$D$5000),2,FALSE),"")</f>
        <v>0</v>
      </c>
      <c r="I2627" s="46" t="str">
        <f>IF(INPUT!P2622="","",INPUT!P2622)</f>
        <v/>
      </c>
      <c r="J2627" s="46" t="str">
        <f>IF(INPUT!Q2622="","",INPUT!Q2622)</f>
        <v/>
      </c>
      <c r="K2627" s="46" t="str">
        <f>IFERROR(IF(OR(INPUT!P2622="",INPUT!Q2622=""),"",INPUT!P2622-INPUT!Q2622),"")</f>
        <v/>
      </c>
      <c r="L2627" s="48" t="str">
        <f>IFERROR(IF(OR(INPUT!P2622="",INPUT!Q2622="",INPUT!P2622=0),"",(INPUT!P2622-INPUT!Q2622)/INPUT!P2622),"")</f>
        <v/>
      </c>
    </row>
    <row r="2628" spans="1:12" ht="18" hidden="1" customHeight="1" x14ac:dyDescent="0.2">
      <c r="A2628" s="11" t="str">
        <f>IF(INPUT!M2623="","",INPUT!M2623)</f>
        <v/>
      </c>
      <c r="B2628" s="11" t="str">
        <f>IF(INPUT!M2623="","",INPUT!M2623-WEEKDAY(INPUT!M2623,2)+1)</f>
        <v/>
      </c>
      <c r="C2628" s="20">
        <f>IFERROR(_xlfn.ISOWEEKNUM(INPUT!M2623),"")</f>
        <v>52</v>
      </c>
      <c r="D2628" s="20">
        <f>IFERROR(YEAR(INPUT!M2623),"")</f>
        <v>1900</v>
      </c>
      <c r="E2628" t="str">
        <f>IF(INPUT!O2623="","",INPUT!O2623)</f>
        <v/>
      </c>
      <c r="F2628" t="str">
        <f>IF(INPUT!N2623="","",INPUT!N2623)</f>
        <v/>
      </c>
      <c r="G2628" cm="1">
        <f t="array" ref="G2628">IFERROR(VLOOKUP(INPUT!M2623&amp;INPUT!N2623,CHOOSE({1,2},INPUT!$A$3:$A$5000&amp;INPUT!$C$3:$C$5000,INPUT!$F$3:$F$5000),2,FALSE),"")</f>
        <v>0</v>
      </c>
      <c r="H2628" cm="1">
        <f t="array" ref="H2628">IFERROR(VLOOKUP(INPUT!M2623&amp;INPUT!N2623,CHOOSE({1,2},INPUT!$A$3:$A$5000&amp;INPUT!$C$3:$C$5000,INPUT!$D$3:$D$5000),2,FALSE),"")</f>
        <v>0</v>
      </c>
      <c r="I2628" s="46" t="str">
        <f>IF(INPUT!P2623="","",INPUT!P2623)</f>
        <v/>
      </c>
      <c r="J2628" s="46" t="str">
        <f>IF(INPUT!Q2623="","",INPUT!Q2623)</f>
        <v/>
      </c>
      <c r="K2628" s="46" t="str">
        <f>IFERROR(IF(OR(INPUT!P2623="",INPUT!Q2623=""),"",INPUT!P2623-INPUT!Q2623),"")</f>
        <v/>
      </c>
      <c r="L2628" s="48" t="str">
        <f>IFERROR(IF(OR(INPUT!P2623="",INPUT!Q2623="",INPUT!P2623=0),"",(INPUT!P2623-INPUT!Q2623)/INPUT!P2623),"")</f>
        <v/>
      </c>
    </row>
    <row r="2629" spans="1:12" ht="18" hidden="1" customHeight="1" x14ac:dyDescent="0.2">
      <c r="A2629" s="11" t="str">
        <f>IF(INPUT!M2624="","",INPUT!M2624)</f>
        <v/>
      </c>
      <c r="B2629" s="11" t="str">
        <f>IF(INPUT!M2624="","",INPUT!M2624-WEEKDAY(INPUT!M2624,2)+1)</f>
        <v/>
      </c>
      <c r="C2629" s="20">
        <f>IFERROR(_xlfn.ISOWEEKNUM(INPUT!M2624),"")</f>
        <v>52</v>
      </c>
      <c r="D2629" s="20">
        <f>IFERROR(YEAR(INPUT!M2624),"")</f>
        <v>1900</v>
      </c>
      <c r="E2629" t="str">
        <f>IF(INPUT!O2624="","",INPUT!O2624)</f>
        <v/>
      </c>
      <c r="F2629" t="str">
        <f>IF(INPUT!N2624="","",INPUT!N2624)</f>
        <v/>
      </c>
      <c r="G2629" cm="1">
        <f t="array" ref="G2629">IFERROR(VLOOKUP(INPUT!M2624&amp;INPUT!N2624,CHOOSE({1,2},INPUT!$A$3:$A$5000&amp;INPUT!$C$3:$C$5000,INPUT!$F$3:$F$5000),2,FALSE),"")</f>
        <v>0</v>
      </c>
      <c r="H2629" cm="1">
        <f t="array" ref="H2629">IFERROR(VLOOKUP(INPUT!M2624&amp;INPUT!N2624,CHOOSE({1,2},INPUT!$A$3:$A$5000&amp;INPUT!$C$3:$C$5000,INPUT!$D$3:$D$5000),2,FALSE),"")</f>
        <v>0</v>
      </c>
      <c r="I2629" s="46" t="str">
        <f>IF(INPUT!P2624="","",INPUT!P2624)</f>
        <v/>
      </c>
      <c r="J2629" s="46" t="str">
        <f>IF(INPUT!Q2624="","",INPUT!Q2624)</f>
        <v/>
      </c>
      <c r="K2629" s="46" t="str">
        <f>IFERROR(IF(OR(INPUT!P2624="",INPUT!Q2624=""),"",INPUT!P2624-INPUT!Q2624),"")</f>
        <v/>
      </c>
      <c r="L2629" s="48" t="str">
        <f>IFERROR(IF(OR(INPUT!P2624="",INPUT!Q2624="",INPUT!P2624=0),"",(INPUT!P2624-INPUT!Q2624)/INPUT!P2624),"")</f>
        <v/>
      </c>
    </row>
    <row r="2630" spans="1:12" ht="18" hidden="1" customHeight="1" x14ac:dyDescent="0.2">
      <c r="A2630" s="11" t="str">
        <f>IF(INPUT!M2625="","",INPUT!M2625)</f>
        <v/>
      </c>
      <c r="B2630" s="11" t="str">
        <f>IF(INPUT!M2625="","",INPUT!M2625-WEEKDAY(INPUT!M2625,2)+1)</f>
        <v/>
      </c>
      <c r="C2630" s="20">
        <f>IFERROR(_xlfn.ISOWEEKNUM(INPUT!M2625),"")</f>
        <v>52</v>
      </c>
      <c r="D2630" s="20">
        <f>IFERROR(YEAR(INPUT!M2625),"")</f>
        <v>1900</v>
      </c>
      <c r="E2630" t="str">
        <f>IF(INPUT!O2625="","",INPUT!O2625)</f>
        <v/>
      </c>
      <c r="F2630" t="str">
        <f>IF(INPUT!N2625="","",INPUT!N2625)</f>
        <v/>
      </c>
      <c r="G2630" cm="1">
        <f t="array" ref="G2630">IFERROR(VLOOKUP(INPUT!M2625&amp;INPUT!N2625,CHOOSE({1,2},INPUT!$A$3:$A$5000&amp;INPUT!$C$3:$C$5000,INPUT!$F$3:$F$5000),2,FALSE),"")</f>
        <v>0</v>
      </c>
      <c r="H2630" cm="1">
        <f t="array" ref="H2630">IFERROR(VLOOKUP(INPUT!M2625&amp;INPUT!N2625,CHOOSE({1,2},INPUT!$A$3:$A$5000&amp;INPUT!$C$3:$C$5000,INPUT!$D$3:$D$5000),2,FALSE),"")</f>
        <v>0</v>
      </c>
      <c r="I2630" s="46" t="str">
        <f>IF(INPUT!P2625="","",INPUT!P2625)</f>
        <v/>
      </c>
      <c r="J2630" s="46" t="str">
        <f>IF(INPUT!Q2625="","",INPUT!Q2625)</f>
        <v/>
      </c>
      <c r="K2630" s="46" t="str">
        <f>IFERROR(IF(OR(INPUT!P2625="",INPUT!Q2625=""),"",INPUT!P2625-INPUT!Q2625),"")</f>
        <v/>
      </c>
      <c r="L2630" s="48" t="str">
        <f>IFERROR(IF(OR(INPUT!P2625="",INPUT!Q2625="",INPUT!P2625=0),"",(INPUT!P2625-INPUT!Q2625)/INPUT!P2625),"")</f>
        <v/>
      </c>
    </row>
    <row r="2631" spans="1:12" ht="18" hidden="1" customHeight="1" x14ac:dyDescent="0.2">
      <c r="A2631" s="11" t="str">
        <f>IF(INPUT!M2626="","",INPUT!M2626)</f>
        <v/>
      </c>
      <c r="B2631" s="11" t="str">
        <f>IF(INPUT!M2626="","",INPUT!M2626-WEEKDAY(INPUT!M2626,2)+1)</f>
        <v/>
      </c>
      <c r="C2631" s="20">
        <f>IFERROR(_xlfn.ISOWEEKNUM(INPUT!M2626),"")</f>
        <v>52</v>
      </c>
      <c r="D2631" s="20">
        <f>IFERROR(YEAR(INPUT!M2626),"")</f>
        <v>1900</v>
      </c>
      <c r="E2631" t="str">
        <f>IF(INPUT!O2626="","",INPUT!O2626)</f>
        <v/>
      </c>
      <c r="F2631" t="str">
        <f>IF(INPUT!N2626="","",INPUT!N2626)</f>
        <v/>
      </c>
      <c r="G2631" cm="1">
        <f t="array" ref="G2631">IFERROR(VLOOKUP(INPUT!M2626&amp;INPUT!N2626,CHOOSE({1,2},INPUT!$A$3:$A$5000&amp;INPUT!$C$3:$C$5000,INPUT!$F$3:$F$5000),2,FALSE),"")</f>
        <v>0</v>
      </c>
      <c r="H2631" cm="1">
        <f t="array" ref="H2631">IFERROR(VLOOKUP(INPUT!M2626&amp;INPUT!N2626,CHOOSE({1,2},INPUT!$A$3:$A$5000&amp;INPUT!$C$3:$C$5000,INPUT!$D$3:$D$5000),2,FALSE),"")</f>
        <v>0</v>
      </c>
      <c r="I2631" s="46" t="str">
        <f>IF(INPUT!P2626="","",INPUT!P2626)</f>
        <v/>
      </c>
      <c r="J2631" s="46" t="str">
        <f>IF(INPUT!Q2626="","",INPUT!Q2626)</f>
        <v/>
      </c>
      <c r="K2631" s="46" t="str">
        <f>IFERROR(IF(OR(INPUT!P2626="",INPUT!Q2626=""),"",INPUT!P2626-INPUT!Q2626),"")</f>
        <v/>
      </c>
      <c r="L2631" s="48" t="str">
        <f>IFERROR(IF(OR(INPUT!P2626="",INPUT!Q2626="",INPUT!P2626=0),"",(INPUT!P2626-INPUT!Q2626)/INPUT!P2626),"")</f>
        <v/>
      </c>
    </row>
    <row r="2632" spans="1:12" ht="18" hidden="1" customHeight="1" x14ac:dyDescent="0.2">
      <c r="A2632" s="11" t="str">
        <f>IF(INPUT!M2627="","",INPUT!M2627)</f>
        <v/>
      </c>
      <c r="B2632" s="11" t="str">
        <f>IF(INPUT!M2627="","",INPUT!M2627-WEEKDAY(INPUT!M2627,2)+1)</f>
        <v/>
      </c>
      <c r="C2632" s="20">
        <f>IFERROR(_xlfn.ISOWEEKNUM(INPUT!M2627),"")</f>
        <v>52</v>
      </c>
      <c r="D2632" s="20">
        <f>IFERROR(YEAR(INPUT!M2627),"")</f>
        <v>1900</v>
      </c>
      <c r="E2632" t="str">
        <f>IF(INPUT!O2627="","",INPUT!O2627)</f>
        <v/>
      </c>
      <c r="F2632" t="str">
        <f>IF(INPUT!N2627="","",INPUT!N2627)</f>
        <v/>
      </c>
      <c r="G2632" cm="1">
        <f t="array" ref="G2632">IFERROR(VLOOKUP(INPUT!M2627&amp;INPUT!N2627,CHOOSE({1,2},INPUT!$A$3:$A$5000&amp;INPUT!$C$3:$C$5000,INPUT!$F$3:$F$5000),2,FALSE),"")</f>
        <v>0</v>
      </c>
      <c r="H2632" cm="1">
        <f t="array" ref="H2632">IFERROR(VLOOKUP(INPUT!M2627&amp;INPUT!N2627,CHOOSE({1,2},INPUT!$A$3:$A$5000&amp;INPUT!$C$3:$C$5000,INPUT!$D$3:$D$5000),2,FALSE),"")</f>
        <v>0</v>
      </c>
      <c r="I2632" s="46" t="str">
        <f>IF(INPUT!P2627="","",INPUT!P2627)</f>
        <v/>
      </c>
      <c r="J2632" s="46" t="str">
        <f>IF(INPUT!Q2627="","",INPUT!Q2627)</f>
        <v/>
      </c>
      <c r="K2632" s="46" t="str">
        <f>IFERROR(IF(OR(INPUT!P2627="",INPUT!Q2627=""),"",INPUT!P2627-INPUT!Q2627),"")</f>
        <v/>
      </c>
      <c r="L2632" s="48" t="str">
        <f>IFERROR(IF(OR(INPUT!P2627="",INPUT!Q2627="",INPUT!P2627=0),"",(INPUT!P2627-INPUT!Q2627)/INPUT!P2627),"")</f>
        <v/>
      </c>
    </row>
    <row r="2633" spans="1:12" ht="18" hidden="1" customHeight="1" x14ac:dyDescent="0.2">
      <c r="A2633" s="11" t="str">
        <f>IF(INPUT!M2628="","",INPUT!M2628)</f>
        <v/>
      </c>
      <c r="B2633" s="11" t="str">
        <f>IF(INPUT!M2628="","",INPUT!M2628-WEEKDAY(INPUT!M2628,2)+1)</f>
        <v/>
      </c>
      <c r="C2633" s="20">
        <f>IFERROR(_xlfn.ISOWEEKNUM(INPUT!M2628),"")</f>
        <v>52</v>
      </c>
      <c r="D2633" s="20">
        <f>IFERROR(YEAR(INPUT!M2628),"")</f>
        <v>1900</v>
      </c>
      <c r="E2633" t="str">
        <f>IF(INPUT!O2628="","",INPUT!O2628)</f>
        <v/>
      </c>
      <c r="F2633" t="str">
        <f>IF(INPUT!N2628="","",INPUT!N2628)</f>
        <v/>
      </c>
      <c r="G2633" cm="1">
        <f t="array" ref="G2633">IFERROR(VLOOKUP(INPUT!M2628&amp;INPUT!N2628,CHOOSE({1,2},INPUT!$A$3:$A$5000&amp;INPUT!$C$3:$C$5000,INPUT!$F$3:$F$5000),2,FALSE),"")</f>
        <v>0</v>
      </c>
      <c r="H2633" cm="1">
        <f t="array" ref="H2633">IFERROR(VLOOKUP(INPUT!M2628&amp;INPUT!N2628,CHOOSE({1,2},INPUT!$A$3:$A$5000&amp;INPUT!$C$3:$C$5000,INPUT!$D$3:$D$5000),2,FALSE),"")</f>
        <v>0</v>
      </c>
      <c r="I2633" s="46" t="str">
        <f>IF(INPUT!P2628="","",INPUT!P2628)</f>
        <v/>
      </c>
      <c r="J2633" s="46" t="str">
        <f>IF(INPUT!Q2628="","",INPUT!Q2628)</f>
        <v/>
      </c>
      <c r="K2633" s="46" t="str">
        <f>IFERROR(IF(OR(INPUT!P2628="",INPUT!Q2628=""),"",INPUT!P2628-INPUT!Q2628),"")</f>
        <v/>
      </c>
      <c r="L2633" s="48" t="str">
        <f>IFERROR(IF(OR(INPUT!P2628="",INPUT!Q2628="",INPUT!P2628=0),"",(INPUT!P2628-INPUT!Q2628)/INPUT!P2628),"")</f>
        <v/>
      </c>
    </row>
    <row r="2634" spans="1:12" ht="18" hidden="1" customHeight="1" x14ac:dyDescent="0.2">
      <c r="A2634" s="11" t="str">
        <f>IF(INPUT!M2629="","",INPUT!M2629)</f>
        <v/>
      </c>
      <c r="B2634" s="11" t="str">
        <f>IF(INPUT!M2629="","",INPUT!M2629-WEEKDAY(INPUT!M2629,2)+1)</f>
        <v/>
      </c>
      <c r="C2634" s="20">
        <f>IFERROR(_xlfn.ISOWEEKNUM(INPUT!M2629),"")</f>
        <v>52</v>
      </c>
      <c r="D2634" s="20">
        <f>IFERROR(YEAR(INPUT!M2629),"")</f>
        <v>1900</v>
      </c>
      <c r="E2634" t="str">
        <f>IF(INPUT!O2629="","",INPUT!O2629)</f>
        <v/>
      </c>
      <c r="F2634" t="str">
        <f>IF(INPUT!N2629="","",INPUT!N2629)</f>
        <v/>
      </c>
      <c r="G2634" cm="1">
        <f t="array" ref="G2634">IFERROR(VLOOKUP(INPUT!M2629&amp;INPUT!N2629,CHOOSE({1,2},INPUT!$A$3:$A$5000&amp;INPUT!$C$3:$C$5000,INPUT!$F$3:$F$5000),2,FALSE),"")</f>
        <v>0</v>
      </c>
      <c r="H2634" cm="1">
        <f t="array" ref="H2634">IFERROR(VLOOKUP(INPUT!M2629&amp;INPUT!N2629,CHOOSE({1,2},INPUT!$A$3:$A$5000&amp;INPUT!$C$3:$C$5000,INPUT!$D$3:$D$5000),2,FALSE),"")</f>
        <v>0</v>
      </c>
      <c r="I2634" s="46" t="str">
        <f>IF(INPUT!P2629="","",INPUT!P2629)</f>
        <v/>
      </c>
      <c r="J2634" s="46" t="str">
        <f>IF(INPUT!Q2629="","",INPUT!Q2629)</f>
        <v/>
      </c>
      <c r="K2634" s="46" t="str">
        <f>IFERROR(IF(OR(INPUT!P2629="",INPUT!Q2629=""),"",INPUT!P2629-INPUT!Q2629),"")</f>
        <v/>
      </c>
      <c r="L2634" s="48" t="str">
        <f>IFERROR(IF(OR(INPUT!P2629="",INPUT!Q2629="",INPUT!P2629=0),"",(INPUT!P2629-INPUT!Q2629)/INPUT!P2629),"")</f>
        <v/>
      </c>
    </row>
    <row r="2635" spans="1:12" ht="18" hidden="1" customHeight="1" x14ac:dyDescent="0.2">
      <c r="A2635" s="11" t="str">
        <f>IF(INPUT!M2630="","",INPUT!M2630)</f>
        <v/>
      </c>
      <c r="B2635" s="11" t="str">
        <f>IF(INPUT!M2630="","",INPUT!M2630-WEEKDAY(INPUT!M2630,2)+1)</f>
        <v/>
      </c>
      <c r="C2635" s="20">
        <f>IFERROR(_xlfn.ISOWEEKNUM(INPUT!M2630),"")</f>
        <v>52</v>
      </c>
      <c r="D2635" s="20">
        <f>IFERROR(YEAR(INPUT!M2630),"")</f>
        <v>1900</v>
      </c>
      <c r="E2635" t="str">
        <f>IF(INPUT!O2630="","",INPUT!O2630)</f>
        <v/>
      </c>
      <c r="F2635" t="str">
        <f>IF(INPUT!N2630="","",INPUT!N2630)</f>
        <v/>
      </c>
      <c r="G2635" cm="1">
        <f t="array" ref="G2635">IFERROR(VLOOKUP(INPUT!M2630&amp;INPUT!N2630,CHOOSE({1,2},INPUT!$A$3:$A$5000&amp;INPUT!$C$3:$C$5000,INPUT!$F$3:$F$5000),2,FALSE),"")</f>
        <v>0</v>
      </c>
      <c r="H2635" cm="1">
        <f t="array" ref="H2635">IFERROR(VLOOKUP(INPUT!M2630&amp;INPUT!N2630,CHOOSE({1,2},INPUT!$A$3:$A$5000&amp;INPUT!$C$3:$C$5000,INPUT!$D$3:$D$5000),2,FALSE),"")</f>
        <v>0</v>
      </c>
      <c r="I2635" s="46" t="str">
        <f>IF(INPUT!P2630="","",INPUT!P2630)</f>
        <v/>
      </c>
      <c r="J2635" s="46" t="str">
        <f>IF(INPUT!Q2630="","",INPUT!Q2630)</f>
        <v/>
      </c>
      <c r="K2635" s="46" t="str">
        <f>IFERROR(IF(OR(INPUT!P2630="",INPUT!Q2630=""),"",INPUT!P2630-INPUT!Q2630),"")</f>
        <v/>
      </c>
      <c r="L2635" s="48" t="str">
        <f>IFERROR(IF(OR(INPUT!P2630="",INPUT!Q2630="",INPUT!P2630=0),"",(INPUT!P2630-INPUT!Q2630)/INPUT!P2630),"")</f>
        <v/>
      </c>
    </row>
    <row r="2636" spans="1:12" ht="18" hidden="1" customHeight="1" x14ac:dyDescent="0.2">
      <c r="A2636" s="11" t="str">
        <f>IF(INPUT!M2631="","",INPUT!M2631)</f>
        <v/>
      </c>
      <c r="B2636" s="11" t="str">
        <f>IF(INPUT!M2631="","",INPUT!M2631-WEEKDAY(INPUT!M2631,2)+1)</f>
        <v/>
      </c>
      <c r="C2636" s="20">
        <f>IFERROR(_xlfn.ISOWEEKNUM(INPUT!M2631),"")</f>
        <v>52</v>
      </c>
      <c r="D2636" s="20">
        <f>IFERROR(YEAR(INPUT!M2631),"")</f>
        <v>1900</v>
      </c>
      <c r="E2636" t="str">
        <f>IF(INPUT!O2631="","",INPUT!O2631)</f>
        <v/>
      </c>
      <c r="F2636" t="str">
        <f>IF(INPUT!N2631="","",INPUT!N2631)</f>
        <v/>
      </c>
      <c r="G2636" cm="1">
        <f t="array" ref="G2636">IFERROR(VLOOKUP(INPUT!M2631&amp;INPUT!N2631,CHOOSE({1,2},INPUT!$A$3:$A$5000&amp;INPUT!$C$3:$C$5000,INPUT!$F$3:$F$5000),2,FALSE),"")</f>
        <v>0</v>
      </c>
      <c r="H2636" cm="1">
        <f t="array" ref="H2636">IFERROR(VLOOKUP(INPUT!M2631&amp;INPUT!N2631,CHOOSE({1,2},INPUT!$A$3:$A$5000&amp;INPUT!$C$3:$C$5000,INPUT!$D$3:$D$5000),2,FALSE),"")</f>
        <v>0</v>
      </c>
      <c r="I2636" s="46" t="str">
        <f>IF(INPUT!P2631="","",INPUT!P2631)</f>
        <v/>
      </c>
      <c r="J2636" s="46" t="str">
        <f>IF(INPUT!Q2631="","",INPUT!Q2631)</f>
        <v/>
      </c>
      <c r="K2636" s="46" t="str">
        <f>IFERROR(IF(OR(INPUT!P2631="",INPUT!Q2631=""),"",INPUT!P2631-INPUT!Q2631),"")</f>
        <v/>
      </c>
      <c r="L2636" s="48" t="str">
        <f>IFERROR(IF(OR(INPUT!P2631="",INPUT!Q2631="",INPUT!P2631=0),"",(INPUT!P2631-INPUT!Q2631)/INPUT!P2631),"")</f>
        <v/>
      </c>
    </row>
    <row r="2637" spans="1:12" ht="18" hidden="1" customHeight="1" x14ac:dyDescent="0.2">
      <c r="A2637" s="11" t="str">
        <f>IF(INPUT!M2632="","",INPUT!M2632)</f>
        <v/>
      </c>
      <c r="B2637" s="11" t="str">
        <f>IF(INPUT!M2632="","",INPUT!M2632-WEEKDAY(INPUT!M2632,2)+1)</f>
        <v/>
      </c>
      <c r="C2637" s="20">
        <f>IFERROR(_xlfn.ISOWEEKNUM(INPUT!M2632),"")</f>
        <v>52</v>
      </c>
      <c r="D2637" s="20">
        <f>IFERROR(YEAR(INPUT!M2632),"")</f>
        <v>1900</v>
      </c>
      <c r="E2637" t="str">
        <f>IF(INPUT!O2632="","",INPUT!O2632)</f>
        <v/>
      </c>
      <c r="F2637" t="str">
        <f>IF(INPUT!N2632="","",INPUT!N2632)</f>
        <v/>
      </c>
      <c r="G2637" cm="1">
        <f t="array" ref="G2637">IFERROR(VLOOKUP(INPUT!M2632&amp;INPUT!N2632,CHOOSE({1,2},INPUT!$A$3:$A$5000&amp;INPUT!$C$3:$C$5000,INPUT!$F$3:$F$5000),2,FALSE),"")</f>
        <v>0</v>
      </c>
      <c r="H2637" cm="1">
        <f t="array" ref="H2637">IFERROR(VLOOKUP(INPUT!M2632&amp;INPUT!N2632,CHOOSE({1,2},INPUT!$A$3:$A$5000&amp;INPUT!$C$3:$C$5000,INPUT!$D$3:$D$5000),2,FALSE),"")</f>
        <v>0</v>
      </c>
      <c r="I2637" s="46" t="str">
        <f>IF(INPUT!P2632="","",INPUT!P2632)</f>
        <v/>
      </c>
      <c r="J2637" s="46" t="str">
        <f>IF(INPUT!Q2632="","",INPUT!Q2632)</f>
        <v/>
      </c>
      <c r="K2637" s="46" t="str">
        <f>IFERROR(IF(OR(INPUT!P2632="",INPUT!Q2632=""),"",INPUT!P2632-INPUT!Q2632),"")</f>
        <v/>
      </c>
      <c r="L2637" s="48" t="str">
        <f>IFERROR(IF(OR(INPUT!P2632="",INPUT!Q2632="",INPUT!P2632=0),"",(INPUT!P2632-INPUT!Q2632)/INPUT!P2632),"")</f>
        <v/>
      </c>
    </row>
    <row r="2638" spans="1:12" ht="18" hidden="1" customHeight="1" x14ac:dyDescent="0.2">
      <c r="A2638" s="11" t="str">
        <f>IF(INPUT!M2633="","",INPUT!M2633)</f>
        <v/>
      </c>
      <c r="B2638" s="11" t="str">
        <f>IF(INPUT!M2633="","",INPUT!M2633-WEEKDAY(INPUT!M2633,2)+1)</f>
        <v/>
      </c>
      <c r="C2638" s="20">
        <f>IFERROR(_xlfn.ISOWEEKNUM(INPUT!M2633),"")</f>
        <v>52</v>
      </c>
      <c r="D2638" s="20">
        <f>IFERROR(YEAR(INPUT!M2633),"")</f>
        <v>1900</v>
      </c>
      <c r="E2638" t="str">
        <f>IF(INPUT!O2633="","",INPUT!O2633)</f>
        <v/>
      </c>
      <c r="F2638" t="str">
        <f>IF(INPUT!N2633="","",INPUT!N2633)</f>
        <v/>
      </c>
      <c r="G2638" cm="1">
        <f t="array" ref="G2638">IFERROR(VLOOKUP(INPUT!M2633&amp;INPUT!N2633,CHOOSE({1,2},INPUT!$A$3:$A$5000&amp;INPUT!$C$3:$C$5000,INPUT!$F$3:$F$5000),2,FALSE),"")</f>
        <v>0</v>
      </c>
      <c r="H2638" cm="1">
        <f t="array" ref="H2638">IFERROR(VLOOKUP(INPUT!M2633&amp;INPUT!N2633,CHOOSE({1,2},INPUT!$A$3:$A$5000&amp;INPUT!$C$3:$C$5000,INPUT!$D$3:$D$5000),2,FALSE),"")</f>
        <v>0</v>
      </c>
      <c r="I2638" s="46" t="str">
        <f>IF(INPUT!P2633="","",INPUT!P2633)</f>
        <v/>
      </c>
      <c r="J2638" s="46" t="str">
        <f>IF(INPUT!Q2633="","",INPUT!Q2633)</f>
        <v/>
      </c>
      <c r="K2638" s="46" t="str">
        <f>IFERROR(IF(OR(INPUT!P2633="",INPUT!Q2633=""),"",INPUT!P2633-INPUT!Q2633),"")</f>
        <v/>
      </c>
      <c r="L2638" s="48" t="str">
        <f>IFERROR(IF(OR(INPUT!P2633="",INPUT!Q2633="",INPUT!P2633=0),"",(INPUT!P2633-INPUT!Q2633)/INPUT!P2633),"")</f>
        <v/>
      </c>
    </row>
    <row r="2639" spans="1:12" ht="18" hidden="1" customHeight="1" x14ac:dyDescent="0.2">
      <c r="A2639" s="11" t="str">
        <f>IF(INPUT!M2634="","",INPUT!M2634)</f>
        <v/>
      </c>
      <c r="B2639" s="11" t="str">
        <f>IF(INPUT!M2634="","",INPUT!M2634-WEEKDAY(INPUT!M2634,2)+1)</f>
        <v/>
      </c>
      <c r="C2639" s="20">
        <f>IFERROR(_xlfn.ISOWEEKNUM(INPUT!M2634),"")</f>
        <v>52</v>
      </c>
      <c r="D2639" s="20">
        <f>IFERROR(YEAR(INPUT!M2634),"")</f>
        <v>1900</v>
      </c>
      <c r="E2639" t="str">
        <f>IF(INPUT!O2634="","",INPUT!O2634)</f>
        <v/>
      </c>
      <c r="F2639" t="str">
        <f>IF(INPUT!N2634="","",INPUT!N2634)</f>
        <v/>
      </c>
      <c r="G2639" cm="1">
        <f t="array" ref="G2639">IFERROR(VLOOKUP(INPUT!M2634&amp;INPUT!N2634,CHOOSE({1,2},INPUT!$A$3:$A$5000&amp;INPUT!$C$3:$C$5000,INPUT!$F$3:$F$5000),2,FALSE),"")</f>
        <v>0</v>
      </c>
      <c r="H2639" cm="1">
        <f t="array" ref="H2639">IFERROR(VLOOKUP(INPUT!M2634&amp;INPUT!N2634,CHOOSE({1,2},INPUT!$A$3:$A$5000&amp;INPUT!$C$3:$C$5000,INPUT!$D$3:$D$5000),2,FALSE),"")</f>
        <v>0</v>
      </c>
      <c r="I2639" s="46" t="str">
        <f>IF(INPUT!P2634="","",INPUT!P2634)</f>
        <v/>
      </c>
      <c r="J2639" s="46" t="str">
        <f>IF(INPUT!Q2634="","",INPUT!Q2634)</f>
        <v/>
      </c>
      <c r="K2639" s="46" t="str">
        <f>IFERROR(IF(OR(INPUT!P2634="",INPUT!Q2634=""),"",INPUT!P2634-INPUT!Q2634),"")</f>
        <v/>
      </c>
      <c r="L2639" s="48" t="str">
        <f>IFERROR(IF(OR(INPUT!P2634="",INPUT!Q2634="",INPUT!P2634=0),"",(INPUT!P2634-INPUT!Q2634)/INPUT!P2634),"")</f>
        <v/>
      </c>
    </row>
    <row r="2640" spans="1:12" ht="18" hidden="1" customHeight="1" x14ac:dyDescent="0.2">
      <c r="A2640" s="11" t="str">
        <f>IF(INPUT!M2635="","",INPUT!M2635)</f>
        <v/>
      </c>
      <c r="B2640" s="11" t="str">
        <f>IF(INPUT!M2635="","",INPUT!M2635-WEEKDAY(INPUT!M2635,2)+1)</f>
        <v/>
      </c>
      <c r="C2640" s="20">
        <f>IFERROR(_xlfn.ISOWEEKNUM(INPUT!M2635),"")</f>
        <v>52</v>
      </c>
      <c r="D2640" s="20">
        <f>IFERROR(YEAR(INPUT!M2635),"")</f>
        <v>1900</v>
      </c>
      <c r="E2640" t="str">
        <f>IF(INPUT!O2635="","",INPUT!O2635)</f>
        <v/>
      </c>
      <c r="F2640" t="str">
        <f>IF(INPUT!N2635="","",INPUT!N2635)</f>
        <v/>
      </c>
      <c r="G2640" cm="1">
        <f t="array" ref="G2640">IFERROR(VLOOKUP(INPUT!M2635&amp;INPUT!N2635,CHOOSE({1,2},INPUT!$A$3:$A$5000&amp;INPUT!$C$3:$C$5000,INPUT!$F$3:$F$5000),2,FALSE),"")</f>
        <v>0</v>
      </c>
      <c r="H2640" cm="1">
        <f t="array" ref="H2640">IFERROR(VLOOKUP(INPUT!M2635&amp;INPUT!N2635,CHOOSE({1,2},INPUT!$A$3:$A$5000&amp;INPUT!$C$3:$C$5000,INPUT!$D$3:$D$5000),2,FALSE),"")</f>
        <v>0</v>
      </c>
      <c r="I2640" s="46" t="str">
        <f>IF(INPUT!P2635="","",INPUT!P2635)</f>
        <v/>
      </c>
      <c r="J2640" s="46" t="str">
        <f>IF(INPUT!Q2635="","",INPUT!Q2635)</f>
        <v/>
      </c>
      <c r="K2640" s="46" t="str">
        <f>IFERROR(IF(OR(INPUT!P2635="",INPUT!Q2635=""),"",INPUT!P2635-INPUT!Q2635),"")</f>
        <v/>
      </c>
      <c r="L2640" s="48" t="str">
        <f>IFERROR(IF(OR(INPUT!P2635="",INPUT!Q2635="",INPUT!P2635=0),"",(INPUT!P2635-INPUT!Q2635)/INPUT!P2635),"")</f>
        <v/>
      </c>
    </row>
    <row r="2641" spans="1:12" ht="18" hidden="1" customHeight="1" x14ac:dyDescent="0.2">
      <c r="A2641" s="11" t="str">
        <f>IF(INPUT!M2636="","",INPUT!M2636)</f>
        <v/>
      </c>
      <c r="B2641" s="11" t="str">
        <f>IF(INPUT!M2636="","",INPUT!M2636-WEEKDAY(INPUT!M2636,2)+1)</f>
        <v/>
      </c>
      <c r="C2641" s="20">
        <f>IFERROR(_xlfn.ISOWEEKNUM(INPUT!M2636),"")</f>
        <v>52</v>
      </c>
      <c r="D2641" s="20">
        <f>IFERROR(YEAR(INPUT!M2636),"")</f>
        <v>1900</v>
      </c>
      <c r="E2641" t="str">
        <f>IF(INPUT!O2636="","",INPUT!O2636)</f>
        <v/>
      </c>
      <c r="F2641" t="str">
        <f>IF(INPUT!N2636="","",INPUT!N2636)</f>
        <v/>
      </c>
      <c r="G2641" cm="1">
        <f t="array" ref="G2641">IFERROR(VLOOKUP(INPUT!M2636&amp;INPUT!N2636,CHOOSE({1,2},INPUT!$A$3:$A$5000&amp;INPUT!$C$3:$C$5000,INPUT!$F$3:$F$5000),2,FALSE),"")</f>
        <v>0</v>
      </c>
      <c r="H2641" cm="1">
        <f t="array" ref="H2641">IFERROR(VLOOKUP(INPUT!M2636&amp;INPUT!N2636,CHOOSE({1,2},INPUT!$A$3:$A$5000&amp;INPUT!$C$3:$C$5000,INPUT!$D$3:$D$5000),2,FALSE),"")</f>
        <v>0</v>
      </c>
      <c r="I2641" s="46" t="str">
        <f>IF(INPUT!P2636="","",INPUT!P2636)</f>
        <v/>
      </c>
      <c r="J2641" s="46" t="str">
        <f>IF(INPUT!Q2636="","",INPUT!Q2636)</f>
        <v/>
      </c>
      <c r="K2641" s="46" t="str">
        <f>IFERROR(IF(OR(INPUT!P2636="",INPUT!Q2636=""),"",INPUT!P2636-INPUT!Q2636),"")</f>
        <v/>
      </c>
      <c r="L2641" s="48" t="str">
        <f>IFERROR(IF(OR(INPUT!P2636="",INPUT!Q2636="",INPUT!P2636=0),"",(INPUT!P2636-INPUT!Q2636)/INPUT!P2636),"")</f>
        <v/>
      </c>
    </row>
    <row r="2642" spans="1:12" ht="18" hidden="1" customHeight="1" x14ac:dyDescent="0.2">
      <c r="A2642" s="11" t="str">
        <f>IF(INPUT!M2637="","",INPUT!M2637)</f>
        <v/>
      </c>
      <c r="B2642" s="11" t="str">
        <f>IF(INPUT!M2637="","",INPUT!M2637-WEEKDAY(INPUT!M2637,2)+1)</f>
        <v/>
      </c>
      <c r="C2642" s="20">
        <f>IFERROR(_xlfn.ISOWEEKNUM(INPUT!M2637),"")</f>
        <v>52</v>
      </c>
      <c r="D2642" s="20">
        <f>IFERROR(YEAR(INPUT!M2637),"")</f>
        <v>1900</v>
      </c>
      <c r="E2642" t="str">
        <f>IF(INPUT!O2637="","",INPUT!O2637)</f>
        <v/>
      </c>
      <c r="F2642" t="str">
        <f>IF(INPUT!N2637="","",INPUT!N2637)</f>
        <v/>
      </c>
      <c r="G2642" cm="1">
        <f t="array" ref="G2642">IFERROR(VLOOKUP(INPUT!M2637&amp;INPUT!N2637,CHOOSE({1,2},INPUT!$A$3:$A$5000&amp;INPUT!$C$3:$C$5000,INPUT!$F$3:$F$5000),2,FALSE),"")</f>
        <v>0</v>
      </c>
      <c r="H2642" cm="1">
        <f t="array" ref="H2642">IFERROR(VLOOKUP(INPUT!M2637&amp;INPUT!N2637,CHOOSE({1,2},INPUT!$A$3:$A$5000&amp;INPUT!$C$3:$C$5000,INPUT!$D$3:$D$5000),2,FALSE),"")</f>
        <v>0</v>
      </c>
      <c r="I2642" s="46" t="str">
        <f>IF(INPUT!P2637="","",INPUT!P2637)</f>
        <v/>
      </c>
      <c r="J2642" s="46" t="str">
        <f>IF(INPUT!Q2637="","",INPUT!Q2637)</f>
        <v/>
      </c>
      <c r="K2642" s="46" t="str">
        <f>IFERROR(IF(OR(INPUT!P2637="",INPUT!Q2637=""),"",INPUT!P2637-INPUT!Q2637),"")</f>
        <v/>
      </c>
      <c r="L2642" s="48" t="str">
        <f>IFERROR(IF(OR(INPUT!P2637="",INPUT!Q2637="",INPUT!P2637=0),"",(INPUT!P2637-INPUT!Q2637)/INPUT!P2637),"")</f>
        <v/>
      </c>
    </row>
    <row r="2643" spans="1:12" ht="18" hidden="1" customHeight="1" x14ac:dyDescent="0.2">
      <c r="A2643" s="11" t="str">
        <f>IF(INPUT!M2638="","",INPUT!M2638)</f>
        <v/>
      </c>
      <c r="B2643" s="11" t="str">
        <f>IF(INPUT!M2638="","",INPUT!M2638-WEEKDAY(INPUT!M2638,2)+1)</f>
        <v/>
      </c>
      <c r="C2643" s="20">
        <f>IFERROR(_xlfn.ISOWEEKNUM(INPUT!M2638),"")</f>
        <v>52</v>
      </c>
      <c r="D2643" s="20">
        <f>IFERROR(YEAR(INPUT!M2638),"")</f>
        <v>1900</v>
      </c>
      <c r="E2643" t="str">
        <f>IF(INPUT!O2638="","",INPUT!O2638)</f>
        <v/>
      </c>
      <c r="F2643" t="str">
        <f>IF(INPUT!N2638="","",INPUT!N2638)</f>
        <v/>
      </c>
      <c r="G2643" cm="1">
        <f t="array" ref="G2643">IFERROR(VLOOKUP(INPUT!M2638&amp;INPUT!N2638,CHOOSE({1,2},INPUT!$A$3:$A$5000&amp;INPUT!$C$3:$C$5000,INPUT!$F$3:$F$5000),2,FALSE),"")</f>
        <v>0</v>
      </c>
      <c r="H2643" cm="1">
        <f t="array" ref="H2643">IFERROR(VLOOKUP(INPUT!M2638&amp;INPUT!N2638,CHOOSE({1,2},INPUT!$A$3:$A$5000&amp;INPUT!$C$3:$C$5000,INPUT!$D$3:$D$5000),2,FALSE),"")</f>
        <v>0</v>
      </c>
      <c r="I2643" s="46" t="str">
        <f>IF(INPUT!P2638="","",INPUT!P2638)</f>
        <v/>
      </c>
      <c r="J2643" s="46" t="str">
        <f>IF(INPUT!Q2638="","",INPUT!Q2638)</f>
        <v/>
      </c>
      <c r="K2643" s="46" t="str">
        <f>IFERROR(IF(OR(INPUT!P2638="",INPUT!Q2638=""),"",INPUT!P2638-INPUT!Q2638),"")</f>
        <v/>
      </c>
      <c r="L2643" s="48" t="str">
        <f>IFERROR(IF(OR(INPUT!P2638="",INPUT!Q2638="",INPUT!P2638=0),"",(INPUT!P2638-INPUT!Q2638)/INPUT!P2638),"")</f>
        <v/>
      </c>
    </row>
    <row r="2644" spans="1:12" ht="18" hidden="1" customHeight="1" x14ac:dyDescent="0.2">
      <c r="A2644" s="11" t="str">
        <f>IF(INPUT!M2639="","",INPUT!M2639)</f>
        <v/>
      </c>
      <c r="B2644" s="11" t="str">
        <f>IF(INPUT!M2639="","",INPUT!M2639-WEEKDAY(INPUT!M2639,2)+1)</f>
        <v/>
      </c>
      <c r="C2644" s="20">
        <f>IFERROR(_xlfn.ISOWEEKNUM(INPUT!M2639),"")</f>
        <v>52</v>
      </c>
      <c r="D2644" s="20">
        <f>IFERROR(YEAR(INPUT!M2639),"")</f>
        <v>1900</v>
      </c>
      <c r="E2644" t="str">
        <f>IF(INPUT!O2639="","",INPUT!O2639)</f>
        <v/>
      </c>
      <c r="F2644" t="str">
        <f>IF(INPUT!N2639="","",INPUT!N2639)</f>
        <v/>
      </c>
      <c r="G2644" cm="1">
        <f t="array" ref="G2644">IFERROR(VLOOKUP(INPUT!M2639&amp;INPUT!N2639,CHOOSE({1,2},INPUT!$A$3:$A$5000&amp;INPUT!$C$3:$C$5000,INPUT!$F$3:$F$5000),2,FALSE),"")</f>
        <v>0</v>
      </c>
      <c r="H2644" cm="1">
        <f t="array" ref="H2644">IFERROR(VLOOKUP(INPUT!M2639&amp;INPUT!N2639,CHOOSE({1,2},INPUT!$A$3:$A$5000&amp;INPUT!$C$3:$C$5000,INPUT!$D$3:$D$5000),2,FALSE),"")</f>
        <v>0</v>
      </c>
      <c r="I2644" s="46" t="str">
        <f>IF(INPUT!P2639="","",INPUT!P2639)</f>
        <v/>
      </c>
      <c r="J2644" s="46" t="str">
        <f>IF(INPUT!Q2639="","",INPUT!Q2639)</f>
        <v/>
      </c>
      <c r="K2644" s="46" t="str">
        <f>IFERROR(IF(OR(INPUT!P2639="",INPUT!Q2639=""),"",INPUT!P2639-INPUT!Q2639),"")</f>
        <v/>
      </c>
      <c r="L2644" s="48" t="str">
        <f>IFERROR(IF(OR(INPUT!P2639="",INPUT!Q2639="",INPUT!P2639=0),"",(INPUT!P2639-INPUT!Q2639)/INPUT!P2639),"")</f>
        <v/>
      </c>
    </row>
    <row r="2645" spans="1:12" ht="18" hidden="1" customHeight="1" x14ac:dyDescent="0.2">
      <c r="A2645" s="11" t="str">
        <f>IF(INPUT!M2640="","",INPUT!M2640)</f>
        <v/>
      </c>
      <c r="B2645" s="11" t="str">
        <f>IF(INPUT!M2640="","",INPUT!M2640-WEEKDAY(INPUT!M2640,2)+1)</f>
        <v/>
      </c>
      <c r="C2645" s="20">
        <f>IFERROR(_xlfn.ISOWEEKNUM(INPUT!M2640),"")</f>
        <v>52</v>
      </c>
      <c r="D2645" s="20">
        <f>IFERROR(YEAR(INPUT!M2640),"")</f>
        <v>1900</v>
      </c>
      <c r="E2645" t="str">
        <f>IF(INPUT!O2640="","",INPUT!O2640)</f>
        <v/>
      </c>
      <c r="F2645" t="str">
        <f>IF(INPUT!N2640="","",INPUT!N2640)</f>
        <v/>
      </c>
      <c r="G2645" cm="1">
        <f t="array" ref="G2645">IFERROR(VLOOKUP(INPUT!M2640&amp;INPUT!N2640,CHOOSE({1,2},INPUT!$A$3:$A$5000&amp;INPUT!$C$3:$C$5000,INPUT!$F$3:$F$5000),2,FALSE),"")</f>
        <v>0</v>
      </c>
      <c r="H2645" cm="1">
        <f t="array" ref="H2645">IFERROR(VLOOKUP(INPUT!M2640&amp;INPUT!N2640,CHOOSE({1,2},INPUT!$A$3:$A$5000&amp;INPUT!$C$3:$C$5000,INPUT!$D$3:$D$5000),2,FALSE),"")</f>
        <v>0</v>
      </c>
      <c r="I2645" s="46" t="str">
        <f>IF(INPUT!P2640="","",INPUT!P2640)</f>
        <v/>
      </c>
      <c r="J2645" s="46" t="str">
        <f>IF(INPUT!Q2640="","",INPUT!Q2640)</f>
        <v/>
      </c>
      <c r="K2645" s="46" t="str">
        <f>IFERROR(IF(OR(INPUT!P2640="",INPUT!Q2640=""),"",INPUT!P2640-INPUT!Q2640),"")</f>
        <v/>
      </c>
      <c r="L2645" s="48" t="str">
        <f>IFERROR(IF(OR(INPUT!P2640="",INPUT!Q2640="",INPUT!P2640=0),"",(INPUT!P2640-INPUT!Q2640)/INPUT!P2640),"")</f>
        <v/>
      </c>
    </row>
    <row r="2646" spans="1:12" ht="18" hidden="1" customHeight="1" x14ac:dyDescent="0.2">
      <c r="A2646" s="11" t="str">
        <f>IF(INPUT!M2641="","",INPUT!M2641)</f>
        <v/>
      </c>
      <c r="B2646" s="11" t="str">
        <f>IF(INPUT!M2641="","",INPUT!M2641-WEEKDAY(INPUT!M2641,2)+1)</f>
        <v/>
      </c>
      <c r="C2646" s="20">
        <f>IFERROR(_xlfn.ISOWEEKNUM(INPUT!M2641),"")</f>
        <v>52</v>
      </c>
      <c r="D2646" s="20">
        <f>IFERROR(YEAR(INPUT!M2641),"")</f>
        <v>1900</v>
      </c>
      <c r="E2646" t="str">
        <f>IF(INPUT!O2641="","",INPUT!O2641)</f>
        <v/>
      </c>
      <c r="F2646" t="str">
        <f>IF(INPUT!N2641="","",INPUT!N2641)</f>
        <v/>
      </c>
      <c r="G2646" cm="1">
        <f t="array" ref="G2646">IFERROR(VLOOKUP(INPUT!M2641&amp;INPUT!N2641,CHOOSE({1,2},INPUT!$A$3:$A$5000&amp;INPUT!$C$3:$C$5000,INPUT!$F$3:$F$5000),2,FALSE),"")</f>
        <v>0</v>
      </c>
      <c r="H2646" cm="1">
        <f t="array" ref="H2646">IFERROR(VLOOKUP(INPUT!M2641&amp;INPUT!N2641,CHOOSE({1,2},INPUT!$A$3:$A$5000&amp;INPUT!$C$3:$C$5000,INPUT!$D$3:$D$5000),2,FALSE),"")</f>
        <v>0</v>
      </c>
      <c r="I2646" s="46" t="str">
        <f>IF(INPUT!P2641="","",INPUT!P2641)</f>
        <v/>
      </c>
      <c r="J2646" s="46" t="str">
        <f>IF(INPUT!Q2641="","",INPUT!Q2641)</f>
        <v/>
      </c>
      <c r="K2646" s="46" t="str">
        <f>IFERROR(IF(OR(INPUT!P2641="",INPUT!Q2641=""),"",INPUT!P2641-INPUT!Q2641),"")</f>
        <v/>
      </c>
      <c r="L2646" s="48" t="str">
        <f>IFERROR(IF(OR(INPUT!P2641="",INPUT!Q2641="",INPUT!P2641=0),"",(INPUT!P2641-INPUT!Q2641)/INPUT!P2641),"")</f>
        <v/>
      </c>
    </row>
    <row r="2647" spans="1:12" ht="18" hidden="1" customHeight="1" x14ac:dyDescent="0.2">
      <c r="A2647" s="11" t="str">
        <f>IF(INPUT!M2642="","",INPUT!M2642)</f>
        <v/>
      </c>
      <c r="B2647" s="11" t="str">
        <f>IF(INPUT!M2642="","",INPUT!M2642-WEEKDAY(INPUT!M2642,2)+1)</f>
        <v/>
      </c>
      <c r="C2647" s="20">
        <f>IFERROR(_xlfn.ISOWEEKNUM(INPUT!M2642),"")</f>
        <v>52</v>
      </c>
      <c r="D2647" s="20">
        <f>IFERROR(YEAR(INPUT!M2642),"")</f>
        <v>1900</v>
      </c>
      <c r="E2647" t="str">
        <f>IF(INPUT!O2642="","",INPUT!O2642)</f>
        <v/>
      </c>
      <c r="F2647" t="str">
        <f>IF(INPUT!N2642="","",INPUT!N2642)</f>
        <v/>
      </c>
      <c r="G2647" cm="1">
        <f t="array" ref="G2647">IFERROR(VLOOKUP(INPUT!M2642&amp;INPUT!N2642,CHOOSE({1,2},INPUT!$A$3:$A$5000&amp;INPUT!$C$3:$C$5000,INPUT!$F$3:$F$5000),2,FALSE),"")</f>
        <v>0</v>
      </c>
      <c r="H2647" cm="1">
        <f t="array" ref="H2647">IFERROR(VLOOKUP(INPUT!M2642&amp;INPUT!N2642,CHOOSE({1,2},INPUT!$A$3:$A$5000&amp;INPUT!$C$3:$C$5000,INPUT!$D$3:$D$5000),2,FALSE),"")</f>
        <v>0</v>
      </c>
      <c r="I2647" s="46" t="str">
        <f>IF(INPUT!P2642="","",INPUT!P2642)</f>
        <v/>
      </c>
      <c r="J2647" s="46" t="str">
        <f>IF(INPUT!Q2642="","",INPUT!Q2642)</f>
        <v/>
      </c>
      <c r="K2647" s="46" t="str">
        <f>IFERROR(IF(OR(INPUT!P2642="",INPUT!Q2642=""),"",INPUT!P2642-INPUT!Q2642),"")</f>
        <v/>
      </c>
      <c r="L2647" s="48" t="str">
        <f>IFERROR(IF(OR(INPUT!P2642="",INPUT!Q2642="",INPUT!P2642=0),"",(INPUT!P2642-INPUT!Q2642)/INPUT!P2642),"")</f>
        <v/>
      </c>
    </row>
    <row r="2648" spans="1:12" ht="18" hidden="1" customHeight="1" x14ac:dyDescent="0.2">
      <c r="A2648" s="11" t="str">
        <f>IF(INPUT!M2643="","",INPUT!M2643)</f>
        <v/>
      </c>
      <c r="B2648" s="11" t="str">
        <f>IF(INPUT!M2643="","",INPUT!M2643-WEEKDAY(INPUT!M2643,2)+1)</f>
        <v/>
      </c>
      <c r="C2648" s="20">
        <f>IFERROR(_xlfn.ISOWEEKNUM(INPUT!M2643),"")</f>
        <v>52</v>
      </c>
      <c r="D2648" s="20">
        <f>IFERROR(YEAR(INPUT!M2643),"")</f>
        <v>1900</v>
      </c>
      <c r="E2648" t="str">
        <f>IF(INPUT!O2643="","",INPUT!O2643)</f>
        <v/>
      </c>
      <c r="F2648" t="str">
        <f>IF(INPUT!N2643="","",INPUT!N2643)</f>
        <v/>
      </c>
      <c r="G2648" cm="1">
        <f t="array" ref="G2648">IFERROR(VLOOKUP(INPUT!M2643&amp;INPUT!N2643,CHOOSE({1,2},INPUT!$A$3:$A$5000&amp;INPUT!$C$3:$C$5000,INPUT!$F$3:$F$5000),2,FALSE),"")</f>
        <v>0</v>
      </c>
      <c r="H2648" cm="1">
        <f t="array" ref="H2648">IFERROR(VLOOKUP(INPUT!M2643&amp;INPUT!N2643,CHOOSE({1,2},INPUT!$A$3:$A$5000&amp;INPUT!$C$3:$C$5000,INPUT!$D$3:$D$5000),2,FALSE),"")</f>
        <v>0</v>
      </c>
      <c r="I2648" s="46" t="str">
        <f>IF(INPUT!P2643="","",INPUT!P2643)</f>
        <v/>
      </c>
      <c r="J2648" s="46" t="str">
        <f>IF(INPUT!Q2643="","",INPUT!Q2643)</f>
        <v/>
      </c>
      <c r="K2648" s="46" t="str">
        <f>IFERROR(IF(OR(INPUT!P2643="",INPUT!Q2643=""),"",INPUT!P2643-INPUT!Q2643),"")</f>
        <v/>
      </c>
      <c r="L2648" s="48" t="str">
        <f>IFERROR(IF(OR(INPUT!P2643="",INPUT!Q2643="",INPUT!P2643=0),"",(INPUT!P2643-INPUT!Q2643)/INPUT!P2643),"")</f>
        <v/>
      </c>
    </row>
    <row r="2649" spans="1:12" ht="18" hidden="1" customHeight="1" x14ac:dyDescent="0.2">
      <c r="A2649" s="11" t="str">
        <f>IF(INPUT!M2644="","",INPUT!M2644)</f>
        <v/>
      </c>
      <c r="B2649" s="11" t="str">
        <f>IF(INPUT!M2644="","",INPUT!M2644-WEEKDAY(INPUT!M2644,2)+1)</f>
        <v/>
      </c>
      <c r="C2649" s="20">
        <f>IFERROR(_xlfn.ISOWEEKNUM(INPUT!M2644),"")</f>
        <v>52</v>
      </c>
      <c r="D2649" s="20">
        <f>IFERROR(YEAR(INPUT!M2644),"")</f>
        <v>1900</v>
      </c>
      <c r="E2649" t="str">
        <f>IF(INPUT!O2644="","",INPUT!O2644)</f>
        <v/>
      </c>
      <c r="F2649" t="str">
        <f>IF(INPUT!N2644="","",INPUT!N2644)</f>
        <v/>
      </c>
      <c r="G2649" cm="1">
        <f t="array" ref="G2649">IFERROR(VLOOKUP(INPUT!M2644&amp;INPUT!N2644,CHOOSE({1,2},INPUT!$A$3:$A$5000&amp;INPUT!$C$3:$C$5000,INPUT!$F$3:$F$5000),2,FALSE),"")</f>
        <v>0</v>
      </c>
      <c r="H2649" cm="1">
        <f t="array" ref="H2649">IFERROR(VLOOKUP(INPUT!M2644&amp;INPUT!N2644,CHOOSE({1,2},INPUT!$A$3:$A$5000&amp;INPUT!$C$3:$C$5000,INPUT!$D$3:$D$5000),2,FALSE),"")</f>
        <v>0</v>
      </c>
      <c r="I2649" s="46" t="str">
        <f>IF(INPUT!P2644="","",INPUT!P2644)</f>
        <v/>
      </c>
      <c r="J2649" s="46" t="str">
        <f>IF(INPUT!Q2644="","",INPUT!Q2644)</f>
        <v/>
      </c>
      <c r="K2649" s="46" t="str">
        <f>IFERROR(IF(OR(INPUT!P2644="",INPUT!Q2644=""),"",INPUT!P2644-INPUT!Q2644),"")</f>
        <v/>
      </c>
      <c r="L2649" s="48" t="str">
        <f>IFERROR(IF(OR(INPUT!P2644="",INPUT!Q2644="",INPUT!P2644=0),"",(INPUT!P2644-INPUT!Q2644)/INPUT!P2644),"")</f>
        <v/>
      </c>
    </row>
    <row r="2650" spans="1:12" ht="18" hidden="1" customHeight="1" x14ac:dyDescent="0.2">
      <c r="A2650" s="11" t="str">
        <f>IF(INPUT!M2645="","",INPUT!M2645)</f>
        <v/>
      </c>
      <c r="B2650" s="11" t="str">
        <f>IF(INPUT!M2645="","",INPUT!M2645-WEEKDAY(INPUT!M2645,2)+1)</f>
        <v/>
      </c>
      <c r="C2650" s="20">
        <f>IFERROR(_xlfn.ISOWEEKNUM(INPUT!M2645),"")</f>
        <v>52</v>
      </c>
      <c r="D2650" s="20">
        <f>IFERROR(YEAR(INPUT!M2645),"")</f>
        <v>1900</v>
      </c>
      <c r="E2650" t="str">
        <f>IF(INPUT!O2645="","",INPUT!O2645)</f>
        <v/>
      </c>
      <c r="F2650" t="str">
        <f>IF(INPUT!N2645="","",INPUT!N2645)</f>
        <v/>
      </c>
      <c r="G2650" cm="1">
        <f t="array" ref="G2650">IFERROR(VLOOKUP(INPUT!M2645&amp;INPUT!N2645,CHOOSE({1,2},INPUT!$A$3:$A$5000&amp;INPUT!$C$3:$C$5000,INPUT!$F$3:$F$5000),2,FALSE),"")</f>
        <v>0</v>
      </c>
      <c r="H2650" cm="1">
        <f t="array" ref="H2650">IFERROR(VLOOKUP(INPUT!M2645&amp;INPUT!N2645,CHOOSE({1,2},INPUT!$A$3:$A$5000&amp;INPUT!$C$3:$C$5000,INPUT!$D$3:$D$5000),2,FALSE),"")</f>
        <v>0</v>
      </c>
      <c r="I2650" s="46" t="str">
        <f>IF(INPUT!P2645="","",INPUT!P2645)</f>
        <v/>
      </c>
      <c r="J2650" s="46" t="str">
        <f>IF(INPUT!Q2645="","",INPUT!Q2645)</f>
        <v/>
      </c>
      <c r="K2650" s="46" t="str">
        <f>IFERROR(IF(OR(INPUT!P2645="",INPUT!Q2645=""),"",INPUT!P2645-INPUT!Q2645),"")</f>
        <v/>
      </c>
      <c r="L2650" s="48" t="str">
        <f>IFERROR(IF(OR(INPUT!P2645="",INPUT!Q2645="",INPUT!P2645=0),"",(INPUT!P2645-INPUT!Q2645)/INPUT!P2645),"")</f>
        <v/>
      </c>
    </row>
    <row r="2651" spans="1:12" ht="18" hidden="1" customHeight="1" x14ac:dyDescent="0.2">
      <c r="A2651" s="11" t="str">
        <f>IF(INPUT!M2646="","",INPUT!M2646)</f>
        <v/>
      </c>
      <c r="B2651" s="11" t="str">
        <f>IF(INPUT!M2646="","",INPUT!M2646-WEEKDAY(INPUT!M2646,2)+1)</f>
        <v/>
      </c>
      <c r="C2651" s="20">
        <f>IFERROR(_xlfn.ISOWEEKNUM(INPUT!M2646),"")</f>
        <v>52</v>
      </c>
      <c r="D2651" s="20">
        <f>IFERROR(YEAR(INPUT!M2646),"")</f>
        <v>1900</v>
      </c>
      <c r="E2651" t="str">
        <f>IF(INPUT!O2646="","",INPUT!O2646)</f>
        <v/>
      </c>
      <c r="F2651" t="str">
        <f>IF(INPUT!N2646="","",INPUT!N2646)</f>
        <v/>
      </c>
      <c r="G2651" cm="1">
        <f t="array" ref="G2651">IFERROR(VLOOKUP(INPUT!M2646&amp;INPUT!N2646,CHOOSE({1,2},INPUT!$A$3:$A$5000&amp;INPUT!$C$3:$C$5000,INPUT!$F$3:$F$5000),2,FALSE),"")</f>
        <v>0</v>
      </c>
      <c r="H2651" cm="1">
        <f t="array" ref="H2651">IFERROR(VLOOKUP(INPUT!M2646&amp;INPUT!N2646,CHOOSE({1,2},INPUT!$A$3:$A$5000&amp;INPUT!$C$3:$C$5000,INPUT!$D$3:$D$5000),2,FALSE),"")</f>
        <v>0</v>
      </c>
      <c r="I2651" s="46" t="str">
        <f>IF(INPUT!P2646="","",INPUT!P2646)</f>
        <v/>
      </c>
      <c r="J2651" s="46" t="str">
        <f>IF(INPUT!Q2646="","",INPUT!Q2646)</f>
        <v/>
      </c>
      <c r="K2651" s="46" t="str">
        <f>IFERROR(IF(OR(INPUT!P2646="",INPUT!Q2646=""),"",INPUT!P2646-INPUT!Q2646),"")</f>
        <v/>
      </c>
      <c r="L2651" s="48" t="str">
        <f>IFERROR(IF(OR(INPUT!P2646="",INPUT!Q2646="",INPUT!P2646=0),"",(INPUT!P2646-INPUT!Q2646)/INPUT!P2646),"")</f>
        <v/>
      </c>
    </row>
    <row r="2652" spans="1:12" ht="18" hidden="1" customHeight="1" x14ac:dyDescent="0.2">
      <c r="A2652" s="11" t="str">
        <f>IF(INPUT!M2647="","",INPUT!M2647)</f>
        <v/>
      </c>
      <c r="B2652" s="11" t="str">
        <f>IF(INPUT!M2647="","",INPUT!M2647-WEEKDAY(INPUT!M2647,2)+1)</f>
        <v/>
      </c>
      <c r="C2652" s="20">
        <f>IFERROR(_xlfn.ISOWEEKNUM(INPUT!M2647),"")</f>
        <v>52</v>
      </c>
      <c r="D2652" s="20">
        <f>IFERROR(YEAR(INPUT!M2647),"")</f>
        <v>1900</v>
      </c>
      <c r="E2652" t="str">
        <f>IF(INPUT!O2647="","",INPUT!O2647)</f>
        <v/>
      </c>
      <c r="F2652" t="str">
        <f>IF(INPUT!N2647="","",INPUT!N2647)</f>
        <v/>
      </c>
      <c r="G2652" cm="1">
        <f t="array" ref="G2652">IFERROR(VLOOKUP(INPUT!M2647&amp;INPUT!N2647,CHOOSE({1,2},INPUT!$A$3:$A$5000&amp;INPUT!$C$3:$C$5000,INPUT!$F$3:$F$5000),2,FALSE),"")</f>
        <v>0</v>
      </c>
      <c r="H2652" cm="1">
        <f t="array" ref="H2652">IFERROR(VLOOKUP(INPUT!M2647&amp;INPUT!N2647,CHOOSE({1,2},INPUT!$A$3:$A$5000&amp;INPUT!$C$3:$C$5000,INPUT!$D$3:$D$5000),2,FALSE),"")</f>
        <v>0</v>
      </c>
      <c r="I2652" s="46" t="str">
        <f>IF(INPUT!P2647="","",INPUT!P2647)</f>
        <v/>
      </c>
      <c r="J2652" s="46" t="str">
        <f>IF(INPUT!Q2647="","",INPUT!Q2647)</f>
        <v/>
      </c>
      <c r="K2652" s="46" t="str">
        <f>IFERROR(IF(OR(INPUT!P2647="",INPUT!Q2647=""),"",INPUT!P2647-INPUT!Q2647),"")</f>
        <v/>
      </c>
      <c r="L2652" s="48" t="str">
        <f>IFERROR(IF(OR(INPUT!P2647="",INPUT!Q2647="",INPUT!P2647=0),"",(INPUT!P2647-INPUT!Q2647)/INPUT!P2647),"")</f>
        <v/>
      </c>
    </row>
    <row r="2653" spans="1:12" ht="18" hidden="1" customHeight="1" x14ac:dyDescent="0.2">
      <c r="A2653" s="11" t="str">
        <f>IF(INPUT!M2648="","",INPUT!M2648)</f>
        <v/>
      </c>
      <c r="B2653" s="11" t="str">
        <f>IF(INPUT!M2648="","",INPUT!M2648-WEEKDAY(INPUT!M2648,2)+1)</f>
        <v/>
      </c>
      <c r="C2653" s="20">
        <f>IFERROR(_xlfn.ISOWEEKNUM(INPUT!M2648),"")</f>
        <v>52</v>
      </c>
      <c r="D2653" s="20">
        <f>IFERROR(YEAR(INPUT!M2648),"")</f>
        <v>1900</v>
      </c>
      <c r="E2653" t="str">
        <f>IF(INPUT!O2648="","",INPUT!O2648)</f>
        <v/>
      </c>
      <c r="F2653" t="str">
        <f>IF(INPUT!N2648="","",INPUT!N2648)</f>
        <v/>
      </c>
      <c r="G2653" cm="1">
        <f t="array" ref="G2653">IFERROR(VLOOKUP(INPUT!M2648&amp;INPUT!N2648,CHOOSE({1,2},INPUT!$A$3:$A$5000&amp;INPUT!$C$3:$C$5000,INPUT!$F$3:$F$5000),2,FALSE),"")</f>
        <v>0</v>
      </c>
      <c r="H2653" cm="1">
        <f t="array" ref="H2653">IFERROR(VLOOKUP(INPUT!M2648&amp;INPUT!N2648,CHOOSE({1,2},INPUT!$A$3:$A$5000&amp;INPUT!$C$3:$C$5000,INPUT!$D$3:$D$5000),2,FALSE),"")</f>
        <v>0</v>
      </c>
      <c r="I2653" s="46" t="str">
        <f>IF(INPUT!P2648="","",INPUT!P2648)</f>
        <v/>
      </c>
      <c r="J2653" s="46" t="str">
        <f>IF(INPUT!Q2648="","",INPUT!Q2648)</f>
        <v/>
      </c>
      <c r="K2653" s="46" t="str">
        <f>IFERROR(IF(OR(INPUT!P2648="",INPUT!Q2648=""),"",INPUT!P2648-INPUT!Q2648),"")</f>
        <v/>
      </c>
      <c r="L2653" s="48" t="str">
        <f>IFERROR(IF(OR(INPUT!P2648="",INPUT!Q2648="",INPUT!P2648=0),"",(INPUT!P2648-INPUT!Q2648)/INPUT!P2648),"")</f>
        <v/>
      </c>
    </row>
    <row r="2654" spans="1:12" ht="18" hidden="1" customHeight="1" x14ac:dyDescent="0.2">
      <c r="A2654" s="11" t="str">
        <f>IF(INPUT!M2649="","",INPUT!M2649)</f>
        <v/>
      </c>
      <c r="B2654" s="11" t="str">
        <f>IF(INPUT!M2649="","",INPUT!M2649-WEEKDAY(INPUT!M2649,2)+1)</f>
        <v/>
      </c>
      <c r="C2654" s="20">
        <f>IFERROR(_xlfn.ISOWEEKNUM(INPUT!M2649),"")</f>
        <v>52</v>
      </c>
      <c r="D2654" s="20">
        <f>IFERROR(YEAR(INPUT!M2649),"")</f>
        <v>1900</v>
      </c>
      <c r="E2654" t="str">
        <f>IF(INPUT!O2649="","",INPUT!O2649)</f>
        <v/>
      </c>
      <c r="F2654" t="str">
        <f>IF(INPUT!N2649="","",INPUT!N2649)</f>
        <v/>
      </c>
      <c r="G2654" cm="1">
        <f t="array" ref="G2654">IFERROR(VLOOKUP(INPUT!M2649&amp;INPUT!N2649,CHOOSE({1,2},INPUT!$A$3:$A$5000&amp;INPUT!$C$3:$C$5000,INPUT!$F$3:$F$5000),2,FALSE),"")</f>
        <v>0</v>
      </c>
      <c r="H2654" cm="1">
        <f t="array" ref="H2654">IFERROR(VLOOKUP(INPUT!M2649&amp;INPUT!N2649,CHOOSE({1,2},INPUT!$A$3:$A$5000&amp;INPUT!$C$3:$C$5000,INPUT!$D$3:$D$5000),2,FALSE),"")</f>
        <v>0</v>
      </c>
      <c r="I2654" s="46" t="str">
        <f>IF(INPUT!P2649="","",INPUT!P2649)</f>
        <v/>
      </c>
      <c r="J2654" s="46" t="str">
        <f>IF(INPUT!Q2649="","",INPUT!Q2649)</f>
        <v/>
      </c>
      <c r="K2654" s="46" t="str">
        <f>IFERROR(IF(OR(INPUT!P2649="",INPUT!Q2649=""),"",INPUT!P2649-INPUT!Q2649),"")</f>
        <v/>
      </c>
      <c r="L2654" s="48" t="str">
        <f>IFERROR(IF(OR(INPUT!P2649="",INPUT!Q2649="",INPUT!P2649=0),"",(INPUT!P2649-INPUT!Q2649)/INPUT!P2649),"")</f>
        <v/>
      </c>
    </row>
    <row r="2655" spans="1:12" ht="18" hidden="1" customHeight="1" x14ac:dyDescent="0.2">
      <c r="A2655" s="11" t="str">
        <f>IF(INPUT!M2650="","",INPUT!M2650)</f>
        <v/>
      </c>
      <c r="B2655" s="11" t="str">
        <f>IF(INPUT!M2650="","",INPUT!M2650-WEEKDAY(INPUT!M2650,2)+1)</f>
        <v/>
      </c>
      <c r="C2655" s="20">
        <f>IFERROR(_xlfn.ISOWEEKNUM(INPUT!M2650),"")</f>
        <v>52</v>
      </c>
      <c r="D2655" s="20">
        <f>IFERROR(YEAR(INPUT!M2650),"")</f>
        <v>1900</v>
      </c>
      <c r="E2655" t="str">
        <f>IF(INPUT!O2650="","",INPUT!O2650)</f>
        <v/>
      </c>
      <c r="F2655" t="str">
        <f>IF(INPUT!N2650="","",INPUT!N2650)</f>
        <v/>
      </c>
      <c r="G2655" cm="1">
        <f t="array" ref="G2655">IFERROR(VLOOKUP(INPUT!M2650&amp;INPUT!N2650,CHOOSE({1,2},INPUT!$A$3:$A$5000&amp;INPUT!$C$3:$C$5000,INPUT!$F$3:$F$5000),2,FALSE),"")</f>
        <v>0</v>
      </c>
      <c r="H2655" cm="1">
        <f t="array" ref="H2655">IFERROR(VLOOKUP(INPUT!M2650&amp;INPUT!N2650,CHOOSE({1,2},INPUT!$A$3:$A$5000&amp;INPUT!$C$3:$C$5000,INPUT!$D$3:$D$5000),2,FALSE),"")</f>
        <v>0</v>
      </c>
      <c r="I2655" s="46" t="str">
        <f>IF(INPUT!P2650="","",INPUT!P2650)</f>
        <v/>
      </c>
      <c r="J2655" s="46" t="str">
        <f>IF(INPUT!Q2650="","",INPUT!Q2650)</f>
        <v/>
      </c>
      <c r="K2655" s="46" t="str">
        <f>IFERROR(IF(OR(INPUT!P2650="",INPUT!Q2650=""),"",INPUT!P2650-INPUT!Q2650),"")</f>
        <v/>
      </c>
      <c r="L2655" s="48" t="str">
        <f>IFERROR(IF(OR(INPUT!P2650="",INPUT!Q2650="",INPUT!P2650=0),"",(INPUT!P2650-INPUT!Q2650)/INPUT!P2650),"")</f>
        <v/>
      </c>
    </row>
    <row r="2656" spans="1:12" ht="18" hidden="1" customHeight="1" x14ac:dyDescent="0.2">
      <c r="A2656" s="11" t="str">
        <f>IF(INPUT!M2651="","",INPUT!M2651)</f>
        <v/>
      </c>
      <c r="B2656" s="11" t="str">
        <f>IF(INPUT!M2651="","",INPUT!M2651-WEEKDAY(INPUT!M2651,2)+1)</f>
        <v/>
      </c>
      <c r="C2656" s="20">
        <f>IFERROR(_xlfn.ISOWEEKNUM(INPUT!M2651),"")</f>
        <v>52</v>
      </c>
      <c r="D2656" s="20">
        <f>IFERROR(YEAR(INPUT!M2651),"")</f>
        <v>1900</v>
      </c>
      <c r="E2656" t="str">
        <f>IF(INPUT!O2651="","",INPUT!O2651)</f>
        <v/>
      </c>
      <c r="F2656" t="str">
        <f>IF(INPUT!N2651="","",INPUT!N2651)</f>
        <v/>
      </c>
      <c r="G2656" cm="1">
        <f t="array" ref="G2656">IFERROR(VLOOKUP(INPUT!M2651&amp;INPUT!N2651,CHOOSE({1,2},INPUT!$A$3:$A$5000&amp;INPUT!$C$3:$C$5000,INPUT!$F$3:$F$5000),2,FALSE),"")</f>
        <v>0</v>
      </c>
      <c r="H2656" cm="1">
        <f t="array" ref="H2656">IFERROR(VLOOKUP(INPUT!M2651&amp;INPUT!N2651,CHOOSE({1,2},INPUT!$A$3:$A$5000&amp;INPUT!$C$3:$C$5000,INPUT!$D$3:$D$5000),2,FALSE),"")</f>
        <v>0</v>
      </c>
      <c r="I2656" s="46" t="str">
        <f>IF(INPUT!P2651="","",INPUT!P2651)</f>
        <v/>
      </c>
      <c r="J2656" s="46" t="str">
        <f>IF(INPUT!Q2651="","",INPUT!Q2651)</f>
        <v/>
      </c>
      <c r="K2656" s="46" t="str">
        <f>IFERROR(IF(OR(INPUT!P2651="",INPUT!Q2651=""),"",INPUT!P2651-INPUT!Q2651),"")</f>
        <v/>
      </c>
      <c r="L2656" s="48" t="str">
        <f>IFERROR(IF(OR(INPUT!P2651="",INPUT!Q2651="",INPUT!P2651=0),"",(INPUT!P2651-INPUT!Q2651)/INPUT!P2651),"")</f>
        <v/>
      </c>
    </row>
    <row r="2657" spans="1:12" ht="18" hidden="1" customHeight="1" x14ac:dyDescent="0.2">
      <c r="A2657" s="11" t="str">
        <f>IF(INPUT!M2652="","",INPUT!M2652)</f>
        <v/>
      </c>
      <c r="B2657" s="11" t="str">
        <f>IF(INPUT!M2652="","",INPUT!M2652-WEEKDAY(INPUT!M2652,2)+1)</f>
        <v/>
      </c>
      <c r="C2657" s="20">
        <f>IFERROR(_xlfn.ISOWEEKNUM(INPUT!M2652),"")</f>
        <v>52</v>
      </c>
      <c r="D2657" s="20">
        <f>IFERROR(YEAR(INPUT!M2652),"")</f>
        <v>1900</v>
      </c>
      <c r="E2657" t="str">
        <f>IF(INPUT!O2652="","",INPUT!O2652)</f>
        <v/>
      </c>
      <c r="F2657" t="str">
        <f>IF(INPUT!N2652="","",INPUT!N2652)</f>
        <v/>
      </c>
      <c r="G2657" cm="1">
        <f t="array" ref="G2657">IFERROR(VLOOKUP(INPUT!M2652&amp;INPUT!N2652,CHOOSE({1,2},INPUT!$A$3:$A$5000&amp;INPUT!$C$3:$C$5000,INPUT!$F$3:$F$5000),2,FALSE),"")</f>
        <v>0</v>
      </c>
      <c r="H2657" cm="1">
        <f t="array" ref="H2657">IFERROR(VLOOKUP(INPUT!M2652&amp;INPUT!N2652,CHOOSE({1,2},INPUT!$A$3:$A$5000&amp;INPUT!$C$3:$C$5000,INPUT!$D$3:$D$5000),2,FALSE),"")</f>
        <v>0</v>
      </c>
      <c r="I2657" s="46" t="str">
        <f>IF(INPUT!P2652="","",INPUT!P2652)</f>
        <v/>
      </c>
      <c r="J2657" s="46" t="str">
        <f>IF(INPUT!Q2652="","",INPUT!Q2652)</f>
        <v/>
      </c>
      <c r="K2657" s="46" t="str">
        <f>IFERROR(IF(OR(INPUT!P2652="",INPUT!Q2652=""),"",INPUT!P2652-INPUT!Q2652),"")</f>
        <v/>
      </c>
      <c r="L2657" s="48" t="str">
        <f>IFERROR(IF(OR(INPUT!P2652="",INPUT!Q2652="",INPUT!P2652=0),"",(INPUT!P2652-INPUT!Q2652)/INPUT!P2652),"")</f>
        <v/>
      </c>
    </row>
    <row r="2658" spans="1:12" ht="18" hidden="1" customHeight="1" x14ac:dyDescent="0.2">
      <c r="A2658" s="11" t="str">
        <f>IF(INPUT!M2653="","",INPUT!M2653)</f>
        <v/>
      </c>
      <c r="B2658" s="11" t="str">
        <f>IF(INPUT!M2653="","",INPUT!M2653-WEEKDAY(INPUT!M2653,2)+1)</f>
        <v/>
      </c>
      <c r="C2658" s="20">
        <f>IFERROR(_xlfn.ISOWEEKNUM(INPUT!M2653),"")</f>
        <v>52</v>
      </c>
      <c r="D2658" s="20">
        <f>IFERROR(YEAR(INPUT!M2653),"")</f>
        <v>1900</v>
      </c>
      <c r="E2658" t="str">
        <f>IF(INPUT!O2653="","",INPUT!O2653)</f>
        <v/>
      </c>
      <c r="F2658" t="str">
        <f>IF(INPUT!N2653="","",INPUT!N2653)</f>
        <v/>
      </c>
      <c r="G2658" cm="1">
        <f t="array" ref="G2658">IFERROR(VLOOKUP(INPUT!M2653&amp;INPUT!N2653,CHOOSE({1,2},INPUT!$A$3:$A$5000&amp;INPUT!$C$3:$C$5000,INPUT!$F$3:$F$5000),2,FALSE),"")</f>
        <v>0</v>
      </c>
      <c r="H2658" cm="1">
        <f t="array" ref="H2658">IFERROR(VLOOKUP(INPUT!M2653&amp;INPUT!N2653,CHOOSE({1,2},INPUT!$A$3:$A$5000&amp;INPUT!$C$3:$C$5000,INPUT!$D$3:$D$5000),2,FALSE),"")</f>
        <v>0</v>
      </c>
      <c r="I2658" s="46" t="str">
        <f>IF(INPUT!P2653="","",INPUT!P2653)</f>
        <v/>
      </c>
      <c r="J2658" s="46" t="str">
        <f>IF(INPUT!Q2653="","",INPUT!Q2653)</f>
        <v/>
      </c>
      <c r="K2658" s="46" t="str">
        <f>IFERROR(IF(OR(INPUT!P2653="",INPUT!Q2653=""),"",INPUT!P2653-INPUT!Q2653),"")</f>
        <v/>
      </c>
      <c r="L2658" s="48" t="str">
        <f>IFERROR(IF(OR(INPUT!P2653="",INPUT!Q2653="",INPUT!P2653=0),"",(INPUT!P2653-INPUT!Q2653)/INPUT!P2653),"")</f>
        <v/>
      </c>
    </row>
    <row r="2659" spans="1:12" ht="18" hidden="1" customHeight="1" x14ac:dyDescent="0.2">
      <c r="A2659" s="11" t="str">
        <f>IF(INPUT!M2654="","",INPUT!M2654)</f>
        <v/>
      </c>
      <c r="B2659" s="11" t="str">
        <f>IF(INPUT!M2654="","",INPUT!M2654-WEEKDAY(INPUT!M2654,2)+1)</f>
        <v/>
      </c>
      <c r="C2659" s="20">
        <f>IFERROR(_xlfn.ISOWEEKNUM(INPUT!M2654),"")</f>
        <v>52</v>
      </c>
      <c r="D2659" s="20">
        <f>IFERROR(YEAR(INPUT!M2654),"")</f>
        <v>1900</v>
      </c>
      <c r="E2659" t="str">
        <f>IF(INPUT!O2654="","",INPUT!O2654)</f>
        <v/>
      </c>
      <c r="F2659" t="str">
        <f>IF(INPUT!N2654="","",INPUT!N2654)</f>
        <v/>
      </c>
      <c r="G2659" cm="1">
        <f t="array" ref="G2659">IFERROR(VLOOKUP(INPUT!M2654&amp;INPUT!N2654,CHOOSE({1,2},INPUT!$A$3:$A$5000&amp;INPUT!$C$3:$C$5000,INPUT!$F$3:$F$5000),2,FALSE),"")</f>
        <v>0</v>
      </c>
      <c r="H2659" cm="1">
        <f t="array" ref="H2659">IFERROR(VLOOKUP(INPUT!M2654&amp;INPUT!N2654,CHOOSE({1,2},INPUT!$A$3:$A$5000&amp;INPUT!$C$3:$C$5000,INPUT!$D$3:$D$5000),2,FALSE),"")</f>
        <v>0</v>
      </c>
      <c r="I2659" s="46" t="str">
        <f>IF(INPUT!P2654="","",INPUT!P2654)</f>
        <v/>
      </c>
      <c r="J2659" s="46" t="str">
        <f>IF(INPUT!Q2654="","",INPUT!Q2654)</f>
        <v/>
      </c>
      <c r="K2659" s="46" t="str">
        <f>IFERROR(IF(OR(INPUT!P2654="",INPUT!Q2654=""),"",INPUT!P2654-INPUT!Q2654),"")</f>
        <v/>
      </c>
      <c r="L2659" s="48" t="str">
        <f>IFERROR(IF(OR(INPUT!P2654="",INPUT!Q2654="",INPUT!P2654=0),"",(INPUT!P2654-INPUT!Q2654)/INPUT!P2654),"")</f>
        <v/>
      </c>
    </row>
    <row r="2660" spans="1:12" ht="18" hidden="1" customHeight="1" x14ac:dyDescent="0.2">
      <c r="A2660" s="11" t="str">
        <f>IF(INPUT!M2655="","",INPUT!M2655)</f>
        <v/>
      </c>
      <c r="B2660" s="11" t="str">
        <f>IF(INPUT!M2655="","",INPUT!M2655-WEEKDAY(INPUT!M2655,2)+1)</f>
        <v/>
      </c>
      <c r="C2660" s="20">
        <f>IFERROR(_xlfn.ISOWEEKNUM(INPUT!M2655),"")</f>
        <v>52</v>
      </c>
      <c r="D2660" s="20">
        <f>IFERROR(YEAR(INPUT!M2655),"")</f>
        <v>1900</v>
      </c>
      <c r="E2660" t="str">
        <f>IF(INPUT!O2655="","",INPUT!O2655)</f>
        <v/>
      </c>
      <c r="F2660" t="str">
        <f>IF(INPUT!N2655="","",INPUT!N2655)</f>
        <v/>
      </c>
      <c r="G2660" cm="1">
        <f t="array" ref="G2660">IFERROR(VLOOKUP(INPUT!M2655&amp;INPUT!N2655,CHOOSE({1,2},INPUT!$A$3:$A$5000&amp;INPUT!$C$3:$C$5000,INPUT!$F$3:$F$5000),2,FALSE),"")</f>
        <v>0</v>
      </c>
      <c r="H2660" cm="1">
        <f t="array" ref="H2660">IFERROR(VLOOKUP(INPUT!M2655&amp;INPUT!N2655,CHOOSE({1,2},INPUT!$A$3:$A$5000&amp;INPUT!$C$3:$C$5000,INPUT!$D$3:$D$5000),2,FALSE),"")</f>
        <v>0</v>
      </c>
      <c r="I2660" s="46" t="str">
        <f>IF(INPUT!P2655="","",INPUT!P2655)</f>
        <v/>
      </c>
      <c r="J2660" s="46" t="str">
        <f>IF(INPUT!Q2655="","",INPUT!Q2655)</f>
        <v/>
      </c>
      <c r="K2660" s="46" t="str">
        <f>IFERROR(IF(OR(INPUT!P2655="",INPUT!Q2655=""),"",INPUT!P2655-INPUT!Q2655),"")</f>
        <v/>
      </c>
      <c r="L2660" s="48" t="str">
        <f>IFERROR(IF(OR(INPUT!P2655="",INPUT!Q2655="",INPUT!P2655=0),"",(INPUT!P2655-INPUT!Q2655)/INPUT!P2655),"")</f>
        <v/>
      </c>
    </row>
    <row r="2661" spans="1:12" ht="18" hidden="1" customHeight="1" x14ac:dyDescent="0.2">
      <c r="A2661" s="11" t="str">
        <f>IF(INPUT!M2656="","",INPUT!M2656)</f>
        <v/>
      </c>
      <c r="B2661" s="11" t="str">
        <f>IF(INPUT!M2656="","",INPUT!M2656-WEEKDAY(INPUT!M2656,2)+1)</f>
        <v/>
      </c>
      <c r="C2661" s="20">
        <f>IFERROR(_xlfn.ISOWEEKNUM(INPUT!M2656),"")</f>
        <v>52</v>
      </c>
      <c r="D2661" s="20">
        <f>IFERROR(YEAR(INPUT!M2656),"")</f>
        <v>1900</v>
      </c>
      <c r="E2661" t="str">
        <f>IF(INPUT!O2656="","",INPUT!O2656)</f>
        <v/>
      </c>
      <c r="F2661" t="str">
        <f>IF(INPUT!N2656="","",INPUT!N2656)</f>
        <v/>
      </c>
      <c r="G2661" cm="1">
        <f t="array" ref="G2661">IFERROR(VLOOKUP(INPUT!M2656&amp;INPUT!N2656,CHOOSE({1,2},INPUT!$A$3:$A$5000&amp;INPUT!$C$3:$C$5000,INPUT!$F$3:$F$5000),2,FALSE),"")</f>
        <v>0</v>
      </c>
      <c r="H2661" cm="1">
        <f t="array" ref="H2661">IFERROR(VLOOKUP(INPUT!M2656&amp;INPUT!N2656,CHOOSE({1,2},INPUT!$A$3:$A$5000&amp;INPUT!$C$3:$C$5000,INPUT!$D$3:$D$5000),2,FALSE),"")</f>
        <v>0</v>
      </c>
      <c r="I2661" s="46" t="str">
        <f>IF(INPUT!P2656="","",INPUT!P2656)</f>
        <v/>
      </c>
      <c r="J2661" s="46" t="str">
        <f>IF(INPUT!Q2656="","",INPUT!Q2656)</f>
        <v/>
      </c>
      <c r="K2661" s="46" t="str">
        <f>IFERROR(IF(OR(INPUT!P2656="",INPUT!Q2656=""),"",INPUT!P2656-INPUT!Q2656),"")</f>
        <v/>
      </c>
      <c r="L2661" s="48" t="str">
        <f>IFERROR(IF(OR(INPUT!P2656="",INPUT!Q2656="",INPUT!P2656=0),"",(INPUT!P2656-INPUT!Q2656)/INPUT!P2656),"")</f>
        <v/>
      </c>
    </row>
    <row r="2662" spans="1:12" ht="18" hidden="1" customHeight="1" x14ac:dyDescent="0.2">
      <c r="A2662" s="11" t="str">
        <f>IF(INPUT!M2657="","",INPUT!M2657)</f>
        <v/>
      </c>
      <c r="B2662" s="11" t="str">
        <f>IF(INPUT!M2657="","",INPUT!M2657-WEEKDAY(INPUT!M2657,2)+1)</f>
        <v/>
      </c>
      <c r="C2662" s="20">
        <f>IFERROR(_xlfn.ISOWEEKNUM(INPUT!M2657),"")</f>
        <v>52</v>
      </c>
      <c r="D2662" s="20">
        <f>IFERROR(YEAR(INPUT!M2657),"")</f>
        <v>1900</v>
      </c>
      <c r="E2662" t="str">
        <f>IF(INPUT!O2657="","",INPUT!O2657)</f>
        <v/>
      </c>
      <c r="F2662" t="str">
        <f>IF(INPUT!N2657="","",INPUT!N2657)</f>
        <v/>
      </c>
      <c r="G2662" cm="1">
        <f t="array" ref="G2662">IFERROR(VLOOKUP(INPUT!M2657&amp;INPUT!N2657,CHOOSE({1,2},INPUT!$A$3:$A$5000&amp;INPUT!$C$3:$C$5000,INPUT!$F$3:$F$5000),2,FALSE),"")</f>
        <v>0</v>
      </c>
      <c r="H2662" cm="1">
        <f t="array" ref="H2662">IFERROR(VLOOKUP(INPUT!M2657&amp;INPUT!N2657,CHOOSE({1,2},INPUT!$A$3:$A$5000&amp;INPUT!$C$3:$C$5000,INPUT!$D$3:$D$5000),2,FALSE),"")</f>
        <v>0</v>
      </c>
      <c r="I2662" s="46" t="str">
        <f>IF(INPUT!P2657="","",INPUT!P2657)</f>
        <v/>
      </c>
      <c r="J2662" s="46" t="str">
        <f>IF(INPUT!Q2657="","",INPUT!Q2657)</f>
        <v/>
      </c>
      <c r="K2662" s="46" t="str">
        <f>IFERROR(IF(OR(INPUT!P2657="",INPUT!Q2657=""),"",INPUT!P2657-INPUT!Q2657),"")</f>
        <v/>
      </c>
      <c r="L2662" s="48" t="str">
        <f>IFERROR(IF(OR(INPUT!P2657="",INPUT!Q2657="",INPUT!P2657=0),"",(INPUT!P2657-INPUT!Q2657)/INPUT!P2657),"")</f>
        <v/>
      </c>
    </row>
    <row r="2663" spans="1:12" ht="18" hidden="1" customHeight="1" x14ac:dyDescent="0.2">
      <c r="A2663" s="11" t="str">
        <f>IF(INPUT!M2658="","",INPUT!M2658)</f>
        <v/>
      </c>
      <c r="B2663" s="11" t="str">
        <f>IF(INPUT!M2658="","",INPUT!M2658-WEEKDAY(INPUT!M2658,2)+1)</f>
        <v/>
      </c>
      <c r="C2663" s="20">
        <f>IFERROR(_xlfn.ISOWEEKNUM(INPUT!M2658),"")</f>
        <v>52</v>
      </c>
      <c r="D2663" s="20">
        <f>IFERROR(YEAR(INPUT!M2658),"")</f>
        <v>1900</v>
      </c>
      <c r="E2663" t="str">
        <f>IF(INPUT!O2658="","",INPUT!O2658)</f>
        <v/>
      </c>
      <c r="F2663" t="str">
        <f>IF(INPUT!N2658="","",INPUT!N2658)</f>
        <v/>
      </c>
      <c r="G2663" cm="1">
        <f t="array" ref="G2663">IFERROR(VLOOKUP(INPUT!M2658&amp;INPUT!N2658,CHOOSE({1,2},INPUT!$A$3:$A$5000&amp;INPUT!$C$3:$C$5000,INPUT!$F$3:$F$5000),2,FALSE),"")</f>
        <v>0</v>
      </c>
      <c r="H2663" cm="1">
        <f t="array" ref="H2663">IFERROR(VLOOKUP(INPUT!M2658&amp;INPUT!N2658,CHOOSE({1,2},INPUT!$A$3:$A$5000&amp;INPUT!$C$3:$C$5000,INPUT!$D$3:$D$5000),2,FALSE),"")</f>
        <v>0</v>
      </c>
      <c r="I2663" s="46" t="str">
        <f>IF(INPUT!P2658="","",INPUT!P2658)</f>
        <v/>
      </c>
      <c r="J2663" s="46" t="str">
        <f>IF(INPUT!Q2658="","",INPUT!Q2658)</f>
        <v/>
      </c>
      <c r="K2663" s="46" t="str">
        <f>IFERROR(IF(OR(INPUT!P2658="",INPUT!Q2658=""),"",INPUT!P2658-INPUT!Q2658),"")</f>
        <v/>
      </c>
      <c r="L2663" s="48" t="str">
        <f>IFERROR(IF(OR(INPUT!P2658="",INPUT!Q2658="",INPUT!P2658=0),"",(INPUT!P2658-INPUT!Q2658)/INPUT!P2658),"")</f>
        <v/>
      </c>
    </row>
    <row r="2664" spans="1:12" ht="18" hidden="1" customHeight="1" x14ac:dyDescent="0.2">
      <c r="A2664" s="11" t="str">
        <f>IF(INPUT!M2659="","",INPUT!M2659)</f>
        <v/>
      </c>
      <c r="B2664" s="11" t="str">
        <f>IF(INPUT!M2659="","",INPUT!M2659-WEEKDAY(INPUT!M2659,2)+1)</f>
        <v/>
      </c>
      <c r="C2664" s="20">
        <f>IFERROR(_xlfn.ISOWEEKNUM(INPUT!M2659),"")</f>
        <v>52</v>
      </c>
      <c r="D2664" s="20">
        <f>IFERROR(YEAR(INPUT!M2659),"")</f>
        <v>1900</v>
      </c>
      <c r="E2664" t="str">
        <f>IF(INPUT!O2659="","",INPUT!O2659)</f>
        <v/>
      </c>
      <c r="F2664" t="str">
        <f>IF(INPUT!N2659="","",INPUT!N2659)</f>
        <v/>
      </c>
      <c r="G2664" cm="1">
        <f t="array" ref="G2664">IFERROR(VLOOKUP(INPUT!M2659&amp;INPUT!N2659,CHOOSE({1,2},INPUT!$A$3:$A$5000&amp;INPUT!$C$3:$C$5000,INPUT!$F$3:$F$5000),2,FALSE),"")</f>
        <v>0</v>
      </c>
      <c r="H2664" cm="1">
        <f t="array" ref="H2664">IFERROR(VLOOKUP(INPUT!M2659&amp;INPUT!N2659,CHOOSE({1,2},INPUT!$A$3:$A$5000&amp;INPUT!$C$3:$C$5000,INPUT!$D$3:$D$5000),2,FALSE),"")</f>
        <v>0</v>
      </c>
      <c r="I2664" s="46" t="str">
        <f>IF(INPUT!P2659="","",INPUT!P2659)</f>
        <v/>
      </c>
      <c r="J2664" s="46" t="str">
        <f>IF(INPUT!Q2659="","",INPUT!Q2659)</f>
        <v/>
      </c>
      <c r="K2664" s="46" t="str">
        <f>IFERROR(IF(OR(INPUT!P2659="",INPUT!Q2659=""),"",INPUT!P2659-INPUT!Q2659),"")</f>
        <v/>
      </c>
      <c r="L2664" s="48" t="str">
        <f>IFERROR(IF(OR(INPUT!P2659="",INPUT!Q2659="",INPUT!P2659=0),"",(INPUT!P2659-INPUT!Q2659)/INPUT!P2659),"")</f>
        <v/>
      </c>
    </row>
    <row r="2665" spans="1:12" ht="18" hidden="1" customHeight="1" x14ac:dyDescent="0.2">
      <c r="A2665" s="11" t="str">
        <f>IF(INPUT!M2660="","",INPUT!M2660)</f>
        <v/>
      </c>
      <c r="B2665" s="11" t="str">
        <f>IF(INPUT!M2660="","",INPUT!M2660-WEEKDAY(INPUT!M2660,2)+1)</f>
        <v/>
      </c>
      <c r="C2665" s="20">
        <f>IFERROR(_xlfn.ISOWEEKNUM(INPUT!M2660),"")</f>
        <v>52</v>
      </c>
      <c r="D2665" s="20">
        <f>IFERROR(YEAR(INPUT!M2660),"")</f>
        <v>1900</v>
      </c>
      <c r="E2665" t="str">
        <f>IF(INPUT!O2660="","",INPUT!O2660)</f>
        <v/>
      </c>
      <c r="F2665" t="str">
        <f>IF(INPUT!N2660="","",INPUT!N2660)</f>
        <v/>
      </c>
      <c r="G2665" cm="1">
        <f t="array" ref="G2665">IFERROR(VLOOKUP(INPUT!M2660&amp;INPUT!N2660,CHOOSE({1,2},INPUT!$A$3:$A$5000&amp;INPUT!$C$3:$C$5000,INPUT!$F$3:$F$5000),2,FALSE),"")</f>
        <v>0</v>
      </c>
      <c r="H2665" cm="1">
        <f t="array" ref="H2665">IFERROR(VLOOKUP(INPUT!M2660&amp;INPUT!N2660,CHOOSE({1,2},INPUT!$A$3:$A$5000&amp;INPUT!$C$3:$C$5000,INPUT!$D$3:$D$5000),2,FALSE),"")</f>
        <v>0</v>
      </c>
      <c r="I2665" s="46" t="str">
        <f>IF(INPUT!P2660="","",INPUT!P2660)</f>
        <v/>
      </c>
      <c r="J2665" s="46" t="str">
        <f>IF(INPUT!Q2660="","",INPUT!Q2660)</f>
        <v/>
      </c>
      <c r="K2665" s="46" t="str">
        <f>IFERROR(IF(OR(INPUT!P2660="",INPUT!Q2660=""),"",INPUT!P2660-INPUT!Q2660),"")</f>
        <v/>
      </c>
      <c r="L2665" s="48" t="str">
        <f>IFERROR(IF(OR(INPUT!P2660="",INPUT!Q2660="",INPUT!P2660=0),"",(INPUT!P2660-INPUT!Q2660)/INPUT!P2660),"")</f>
        <v/>
      </c>
    </row>
    <row r="2666" spans="1:12" ht="18" hidden="1" customHeight="1" x14ac:dyDescent="0.2">
      <c r="A2666" s="11" t="str">
        <f>IF(INPUT!M2661="","",INPUT!M2661)</f>
        <v/>
      </c>
      <c r="B2666" s="11" t="str">
        <f>IF(INPUT!M2661="","",INPUT!M2661-WEEKDAY(INPUT!M2661,2)+1)</f>
        <v/>
      </c>
      <c r="C2666" s="20">
        <f>IFERROR(_xlfn.ISOWEEKNUM(INPUT!M2661),"")</f>
        <v>52</v>
      </c>
      <c r="D2666" s="20">
        <f>IFERROR(YEAR(INPUT!M2661),"")</f>
        <v>1900</v>
      </c>
      <c r="E2666" t="str">
        <f>IF(INPUT!O2661="","",INPUT!O2661)</f>
        <v/>
      </c>
      <c r="F2666" t="str">
        <f>IF(INPUT!N2661="","",INPUT!N2661)</f>
        <v/>
      </c>
      <c r="G2666" cm="1">
        <f t="array" ref="G2666">IFERROR(VLOOKUP(INPUT!M2661&amp;INPUT!N2661,CHOOSE({1,2},INPUT!$A$3:$A$5000&amp;INPUT!$C$3:$C$5000,INPUT!$F$3:$F$5000),2,FALSE),"")</f>
        <v>0</v>
      </c>
      <c r="H2666" cm="1">
        <f t="array" ref="H2666">IFERROR(VLOOKUP(INPUT!M2661&amp;INPUT!N2661,CHOOSE({1,2},INPUT!$A$3:$A$5000&amp;INPUT!$C$3:$C$5000,INPUT!$D$3:$D$5000),2,FALSE),"")</f>
        <v>0</v>
      </c>
      <c r="I2666" s="46" t="str">
        <f>IF(INPUT!P2661="","",INPUT!P2661)</f>
        <v/>
      </c>
      <c r="J2666" s="46" t="str">
        <f>IF(INPUT!Q2661="","",INPUT!Q2661)</f>
        <v/>
      </c>
      <c r="K2666" s="46" t="str">
        <f>IFERROR(IF(OR(INPUT!P2661="",INPUT!Q2661=""),"",INPUT!P2661-INPUT!Q2661),"")</f>
        <v/>
      </c>
      <c r="L2666" s="48" t="str">
        <f>IFERROR(IF(OR(INPUT!P2661="",INPUT!Q2661="",INPUT!P2661=0),"",(INPUT!P2661-INPUT!Q2661)/INPUT!P2661),"")</f>
        <v/>
      </c>
    </row>
    <row r="2667" spans="1:12" ht="18" hidden="1" customHeight="1" x14ac:dyDescent="0.2">
      <c r="A2667" s="11" t="str">
        <f>IF(INPUT!M2662="","",INPUT!M2662)</f>
        <v/>
      </c>
      <c r="B2667" s="11" t="str">
        <f>IF(INPUT!M2662="","",INPUT!M2662-WEEKDAY(INPUT!M2662,2)+1)</f>
        <v/>
      </c>
      <c r="C2667" s="20">
        <f>IFERROR(_xlfn.ISOWEEKNUM(INPUT!M2662),"")</f>
        <v>52</v>
      </c>
      <c r="D2667" s="20">
        <f>IFERROR(YEAR(INPUT!M2662),"")</f>
        <v>1900</v>
      </c>
      <c r="E2667" t="str">
        <f>IF(INPUT!O2662="","",INPUT!O2662)</f>
        <v/>
      </c>
      <c r="F2667" t="str">
        <f>IF(INPUT!N2662="","",INPUT!N2662)</f>
        <v/>
      </c>
      <c r="G2667" cm="1">
        <f t="array" ref="G2667">IFERROR(VLOOKUP(INPUT!M2662&amp;INPUT!N2662,CHOOSE({1,2},INPUT!$A$3:$A$5000&amp;INPUT!$C$3:$C$5000,INPUT!$F$3:$F$5000),2,FALSE),"")</f>
        <v>0</v>
      </c>
      <c r="H2667" cm="1">
        <f t="array" ref="H2667">IFERROR(VLOOKUP(INPUT!M2662&amp;INPUT!N2662,CHOOSE({1,2},INPUT!$A$3:$A$5000&amp;INPUT!$C$3:$C$5000,INPUT!$D$3:$D$5000),2,FALSE),"")</f>
        <v>0</v>
      </c>
      <c r="I2667" s="46" t="str">
        <f>IF(INPUT!P2662="","",INPUT!P2662)</f>
        <v/>
      </c>
      <c r="J2667" s="46" t="str">
        <f>IF(INPUT!Q2662="","",INPUT!Q2662)</f>
        <v/>
      </c>
      <c r="K2667" s="46" t="str">
        <f>IFERROR(IF(OR(INPUT!P2662="",INPUT!Q2662=""),"",INPUT!P2662-INPUT!Q2662),"")</f>
        <v/>
      </c>
      <c r="L2667" s="48" t="str">
        <f>IFERROR(IF(OR(INPUT!P2662="",INPUT!Q2662="",INPUT!P2662=0),"",(INPUT!P2662-INPUT!Q2662)/INPUT!P2662),"")</f>
        <v/>
      </c>
    </row>
    <row r="2668" spans="1:12" ht="18" hidden="1" customHeight="1" x14ac:dyDescent="0.2">
      <c r="A2668" s="11" t="str">
        <f>IF(INPUT!M2663="","",INPUT!M2663)</f>
        <v/>
      </c>
      <c r="B2668" s="11" t="str">
        <f>IF(INPUT!M2663="","",INPUT!M2663-WEEKDAY(INPUT!M2663,2)+1)</f>
        <v/>
      </c>
      <c r="C2668" s="20">
        <f>IFERROR(_xlfn.ISOWEEKNUM(INPUT!M2663),"")</f>
        <v>52</v>
      </c>
      <c r="D2668" s="20">
        <f>IFERROR(YEAR(INPUT!M2663),"")</f>
        <v>1900</v>
      </c>
      <c r="E2668" t="str">
        <f>IF(INPUT!O2663="","",INPUT!O2663)</f>
        <v/>
      </c>
      <c r="F2668" t="str">
        <f>IF(INPUT!N2663="","",INPUT!N2663)</f>
        <v/>
      </c>
      <c r="G2668" cm="1">
        <f t="array" ref="G2668">IFERROR(VLOOKUP(INPUT!M2663&amp;INPUT!N2663,CHOOSE({1,2},INPUT!$A$3:$A$5000&amp;INPUT!$C$3:$C$5000,INPUT!$F$3:$F$5000),2,FALSE),"")</f>
        <v>0</v>
      </c>
      <c r="H2668" cm="1">
        <f t="array" ref="H2668">IFERROR(VLOOKUP(INPUT!M2663&amp;INPUT!N2663,CHOOSE({1,2},INPUT!$A$3:$A$5000&amp;INPUT!$C$3:$C$5000,INPUT!$D$3:$D$5000),2,FALSE),"")</f>
        <v>0</v>
      </c>
      <c r="I2668" s="46" t="str">
        <f>IF(INPUT!P2663="","",INPUT!P2663)</f>
        <v/>
      </c>
      <c r="J2668" s="46" t="str">
        <f>IF(INPUT!Q2663="","",INPUT!Q2663)</f>
        <v/>
      </c>
      <c r="K2668" s="46" t="str">
        <f>IFERROR(IF(OR(INPUT!P2663="",INPUT!Q2663=""),"",INPUT!P2663-INPUT!Q2663),"")</f>
        <v/>
      </c>
      <c r="L2668" s="48" t="str">
        <f>IFERROR(IF(OR(INPUT!P2663="",INPUT!Q2663="",INPUT!P2663=0),"",(INPUT!P2663-INPUT!Q2663)/INPUT!P2663),"")</f>
        <v/>
      </c>
    </row>
    <row r="2669" spans="1:12" ht="18" hidden="1" customHeight="1" x14ac:dyDescent="0.2">
      <c r="A2669" s="11" t="str">
        <f>IF(INPUT!M2664="","",INPUT!M2664)</f>
        <v/>
      </c>
      <c r="B2669" s="11" t="str">
        <f>IF(INPUT!M2664="","",INPUT!M2664-WEEKDAY(INPUT!M2664,2)+1)</f>
        <v/>
      </c>
      <c r="C2669" s="20">
        <f>IFERROR(_xlfn.ISOWEEKNUM(INPUT!M2664),"")</f>
        <v>52</v>
      </c>
      <c r="D2669" s="20">
        <f>IFERROR(YEAR(INPUT!M2664),"")</f>
        <v>1900</v>
      </c>
      <c r="E2669" t="str">
        <f>IF(INPUT!O2664="","",INPUT!O2664)</f>
        <v/>
      </c>
      <c r="F2669" t="str">
        <f>IF(INPUT!N2664="","",INPUT!N2664)</f>
        <v/>
      </c>
      <c r="G2669" cm="1">
        <f t="array" ref="G2669">IFERROR(VLOOKUP(INPUT!M2664&amp;INPUT!N2664,CHOOSE({1,2},INPUT!$A$3:$A$5000&amp;INPUT!$C$3:$C$5000,INPUT!$F$3:$F$5000),2,FALSE),"")</f>
        <v>0</v>
      </c>
      <c r="H2669" cm="1">
        <f t="array" ref="H2669">IFERROR(VLOOKUP(INPUT!M2664&amp;INPUT!N2664,CHOOSE({1,2},INPUT!$A$3:$A$5000&amp;INPUT!$C$3:$C$5000,INPUT!$D$3:$D$5000),2,FALSE),"")</f>
        <v>0</v>
      </c>
      <c r="I2669" s="46" t="str">
        <f>IF(INPUT!P2664="","",INPUT!P2664)</f>
        <v/>
      </c>
      <c r="J2669" s="46" t="str">
        <f>IF(INPUT!Q2664="","",INPUT!Q2664)</f>
        <v/>
      </c>
      <c r="K2669" s="46" t="str">
        <f>IFERROR(IF(OR(INPUT!P2664="",INPUT!Q2664=""),"",INPUT!P2664-INPUT!Q2664),"")</f>
        <v/>
      </c>
      <c r="L2669" s="48" t="str">
        <f>IFERROR(IF(OR(INPUT!P2664="",INPUT!Q2664="",INPUT!P2664=0),"",(INPUT!P2664-INPUT!Q2664)/INPUT!P2664),"")</f>
        <v/>
      </c>
    </row>
    <row r="2670" spans="1:12" ht="18" hidden="1" customHeight="1" x14ac:dyDescent="0.2">
      <c r="A2670" s="11" t="str">
        <f>IF(INPUT!M2665="","",INPUT!M2665)</f>
        <v/>
      </c>
      <c r="B2670" s="11" t="str">
        <f>IF(INPUT!M2665="","",INPUT!M2665-WEEKDAY(INPUT!M2665,2)+1)</f>
        <v/>
      </c>
      <c r="C2670" s="20">
        <f>IFERROR(_xlfn.ISOWEEKNUM(INPUT!M2665),"")</f>
        <v>52</v>
      </c>
      <c r="D2670" s="20">
        <f>IFERROR(YEAR(INPUT!M2665),"")</f>
        <v>1900</v>
      </c>
      <c r="E2670" t="str">
        <f>IF(INPUT!O2665="","",INPUT!O2665)</f>
        <v/>
      </c>
      <c r="F2670" t="str">
        <f>IF(INPUT!N2665="","",INPUT!N2665)</f>
        <v/>
      </c>
      <c r="G2670" cm="1">
        <f t="array" ref="G2670">IFERROR(VLOOKUP(INPUT!M2665&amp;INPUT!N2665,CHOOSE({1,2},INPUT!$A$3:$A$5000&amp;INPUT!$C$3:$C$5000,INPUT!$F$3:$F$5000),2,FALSE),"")</f>
        <v>0</v>
      </c>
      <c r="H2670" cm="1">
        <f t="array" ref="H2670">IFERROR(VLOOKUP(INPUT!M2665&amp;INPUT!N2665,CHOOSE({1,2},INPUT!$A$3:$A$5000&amp;INPUT!$C$3:$C$5000,INPUT!$D$3:$D$5000),2,FALSE),"")</f>
        <v>0</v>
      </c>
      <c r="I2670" s="46" t="str">
        <f>IF(INPUT!P2665="","",INPUT!P2665)</f>
        <v/>
      </c>
      <c r="J2670" s="46" t="str">
        <f>IF(INPUT!Q2665="","",INPUT!Q2665)</f>
        <v/>
      </c>
      <c r="K2670" s="46" t="str">
        <f>IFERROR(IF(OR(INPUT!P2665="",INPUT!Q2665=""),"",INPUT!P2665-INPUT!Q2665),"")</f>
        <v/>
      </c>
      <c r="L2670" s="48" t="str">
        <f>IFERROR(IF(OR(INPUT!P2665="",INPUT!Q2665="",INPUT!P2665=0),"",(INPUT!P2665-INPUT!Q2665)/INPUT!P2665),"")</f>
        <v/>
      </c>
    </row>
    <row r="2671" spans="1:12" ht="18" hidden="1" customHeight="1" x14ac:dyDescent="0.2">
      <c r="A2671" s="11" t="str">
        <f>IF(INPUT!M2666="","",INPUT!M2666)</f>
        <v/>
      </c>
      <c r="B2671" s="11" t="str">
        <f>IF(INPUT!M2666="","",INPUT!M2666-WEEKDAY(INPUT!M2666,2)+1)</f>
        <v/>
      </c>
      <c r="C2671" s="20">
        <f>IFERROR(_xlfn.ISOWEEKNUM(INPUT!M2666),"")</f>
        <v>52</v>
      </c>
      <c r="D2671" s="20">
        <f>IFERROR(YEAR(INPUT!M2666),"")</f>
        <v>1900</v>
      </c>
      <c r="E2671" t="str">
        <f>IF(INPUT!O2666="","",INPUT!O2666)</f>
        <v/>
      </c>
      <c r="F2671" t="str">
        <f>IF(INPUT!N2666="","",INPUT!N2666)</f>
        <v/>
      </c>
      <c r="G2671" cm="1">
        <f t="array" ref="G2671">IFERROR(VLOOKUP(INPUT!M2666&amp;INPUT!N2666,CHOOSE({1,2},INPUT!$A$3:$A$5000&amp;INPUT!$C$3:$C$5000,INPUT!$F$3:$F$5000),2,FALSE),"")</f>
        <v>0</v>
      </c>
      <c r="H2671" cm="1">
        <f t="array" ref="H2671">IFERROR(VLOOKUP(INPUT!M2666&amp;INPUT!N2666,CHOOSE({1,2},INPUT!$A$3:$A$5000&amp;INPUT!$C$3:$C$5000,INPUT!$D$3:$D$5000),2,FALSE),"")</f>
        <v>0</v>
      </c>
      <c r="I2671" s="46" t="str">
        <f>IF(INPUT!P2666="","",INPUT!P2666)</f>
        <v/>
      </c>
      <c r="J2671" s="46" t="str">
        <f>IF(INPUT!Q2666="","",INPUT!Q2666)</f>
        <v/>
      </c>
      <c r="K2671" s="46" t="str">
        <f>IFERROR(IF(OR(INPUT!P2666="",INPUT!Q2666=""),"",INPUT!P2666-INPUT!Q2666),"")</f>
        <v/>
      </c>
      <c r="L2671" s="48" t="str">
        <f>IFERROR(IF(OR(INPUT!P2666="",INPUT!Q2666="",INPUT!P2666=0),"",(INPUT!P2666-INPUT!Q2666)/INPUT!P2666),"")</f>
        <v/>
      </c>
    </row>
    <row r="2672" spans="1:12" ht="18" hidden="1" customHeight="1" x14ac:dyDescent="0.2">
      <c r="A2672" s="11" t="str">
        <f>IF(INPUT!M2667="","",INPUT!M2667)</f>
        <v/>
      </c>
      <c r="B2672" s="11" t="str">
        <f>IF(INPUT!M2667="","",INPUT!M2667-WEEKDAY(INPUT!M2667,2)+1)</f>
        <v/>
      </c>
      <c r="C2672" s="20">
        <f>IFERROR(_xlfn.ISOWEEKNUM(INPUT!M2667),"")</f>
        <v>52</v>
      </c>
      <c r="D2672" s="20">
        <f>IFERROR(YEAR(INPUT!M2667),"")</f>
        <v>1900</v>
      </c>
      <c r="E2672" t="str">
        <f>IF(INPUT!O2667="","",INPUT!O2667)</f>
        <v/>
      </c>
      <c r="F2672" t="str">
        <f>IF(INPUT!N2667="","",INPUT!N2667)</f>
        <v/>
      </c>
      <c r="G2672" cm="1">
        <f t="array" ref="G2672">IFERROR(VLOOKUP(INPUT!M2667&amp;INPUT!N2667,CHOOSE({1,2},INPUT!$A$3:$A$5000&amp;INPUT!$C$3:$C$5000,INPUT!$F$3:$F$5000),2,FALSE),"")</f>
        <v>0</v>
      </c>
      <c r="H2672" cm="1">
        <f t="array" ref="H2672">IFERROR(VLOOKUP(INPUT!M2667&amp;INPUT!N2667,CHOOSE({1,2},INPUT!$A$3:$A$5000&amp;INPUT!$C$3:$C$5000,INPUT!$D$3:$D$5000),2,FALSE),"")</f>
        <v>0</v>
      </c>
      <c r="I2672" s="46" t="str">
        <f>IF(INPUT!P2667="","",INPUT!P2667)</f>
        <v/>
      </c>
      <c r="J2672" s="46" t="str">
        <f>IF(INPUT!Q2667="","",INPUT!Q2667)</f>
        <v/>
      </c>
      <c r="K2672" s="46" t="str">
        <f>IFERROR(IF(OR(INPUT!P2667="",INPUT!Q2667=""),"",INPUT!P2667-INPUT!Q2667),"")</f>
        <v/>
      </c>
      <c r="L2672" s="48" t="str">
        <f>IFERROR(IF(OR(INPUT!P2667="",INPUT!Q2667="",INPUT!P2667=0),"",(INPUT!P2667-INPUT!Q2667)/INPUT!P2667),"")</f>
        <v/>
      </c>
    </row>
    <row r="2673" spans="1:12" ht="18" hidden="1" customHeight="1" x14ac:dyDescent="0.2">
      <c r="A2673" s="11" t="str">
        <f>IF(INPUT!M2668="","",INPUT!M2668)</f>
        <v/>
      </c>
      <c r="B2673" s="11" t="str">
        <f>IF(INPUT!M2668="","",INPUT!M2668-WEEKDAY(INPUT!M2668,2)+1)</f>
        <v/>
      </c>
      <c r="C2673" s="20">
        <f>IFERROR(_xlfn.ISOWEEKNUM(INPUT!M2668),"")</f>
        <v>52</v>
      </c>
      <c r="D2673" s="20">
        <f>IFERROR(YEAR(INPUT!M2668),"")</f>
        <v>1900</v>
      </c>
      <c r="E2673" t="str">
        <f>IF(INPUT!O2668="","",INPUT!O2668)</f>
        <v/>
      </c>
      <c r="F2673" t="str">
        <f>IF(INPUT!N2668="","",INPUT!N2668)</f>
        <v/>
      </c>
      <c r="G2673" cm="1">
        <f t="array" ref="G2673">IFERROR(VLOOKUP(INPUT!M2668&amp;INPUT!N2668,CHOOSE({1,2},INPUT!$A$3:$A$5000&amp;INPUT!$C$3:$C$5000,INPUT!$F$3:$F$5000),2,FALSE),"")</f>
        <v>0</v>
      </c>
      <c r="H2673" cm="1">
        <f t="array" ref="H2673">IFERROR(VLOOKUP(INPUT!M2668&amp;INPUT!N2668,CHOOSE({1,2},INPUT!$A$3:$A$5000&amp;INPUT!$C$3:$C$5000,INPUT!$D$3:$D$5000),2,FALSE),"")</f>
        <v>0</v>
      </c>
      <c r="I2673" s="46" t="str">
        <f>IF(INPUT!P2668="","",INPUT!P2668)</f>
        <v/>
      </c>
      <c r="J2673" s="46" t="str">
        <f>IF(INPUT!Q2668="","",INPUT!Q2668)</f>
        <v/>
      </c>
      <c r="K2673" s="46" t="str">
        <f>IFERROR(IF(OR(INPUT!P2668="",INPUT!Q2668=""),"",INPUT!P2668-INPUT!Q2668),"")</f>
        <v/>
      </c>
      <c r="L2673" s="48" t="str">
        <f>IFERROR(IF(OR(INPUT!P2668="",INPUT!Q2668="",INPUT!P2668=0),"",(INPUT!P2668-INPUT!Q2668)/INPUT!P2668),"")</f>
        <v/>
      </c>
    </row>
    <row r="2674" spans="1:12" ht="18" hidden="1" customHeight="1" x14ac:dyDescent="0.2">
      <c r="A2674" s="11" t="str">
        <f>IF(INPUT!M2669="","",INPUT!M2669)</f>
        <v/>
      </c>
      <c r="B2674" s="11" t="str">
        <f>IF(INPUT!M2669="","",INPUT!M2669-WEEKDAY(INPUT!M2669,2)+1)</f>
        <v/>
      </c>
      <c r="C2674" s="20">
        <f>IFERROR(_xlfn.ISOWEEKNUM(INPUT!M2669),"")</f>
        <v>52</v>
      </c>
      <c r="D2674" s="20">
        <f>IFERROR(YEAR(INPUT!M2669),"")</f>
        <v>1900</v>
      </c>
      <c r="E2674" t="str">
        <f>IF(INPUT!O2669="","",INPUT!O2669)</f>
        <v/>
      </c>
      <c r="F2674" t="str">
        <f>IF(INPUT!N2669="","",INPUT!N2669)</f>
        <v/>
      </c>
      <c r="G2674" cm="1">
        <f t="array" ref="G2674">IFERROR(VLOOKUP(INPUT!M2669&amp;INPUT!N2669,CHOOSE({1,2},INPUT!$A$3:$A$5000&amp;INPUT!$C$3:$C$5000,INPUT!$F$3:$F$5000),2,FALSE),"")</f>
        <v>0</v>
      </c>
      <c r="H2674" cm="1">
        <f t="array" ref="H2674">IFERROR(VLOOKUP(INPUT!M2669&amp;INPUT!N2669,CHOOSE({1,2},INPUT!$A$3:$A$5000&amp;INPUT!$C$3:$C$5000,INPUT!$D$3:$D$5000),2,FALSE),"")</f>
        <v>0</v>
      </c>
      <c r="I2674" s="46" t="str">
        <f>IF(INPUT!P2669="","",INPUT!P2669)</f>
        <v/>
      </c>
      <c r="J2674" s="46" t="str">
        <f>IF(INPUT!Q2669="","",INPUT!Q2669)</f>
        <v/>
      </c>
      <c r="K2674" s="46" t="str">
        <f>IFERROR(IF(OR(INPUT!P2669="",INPUT!Q2669=""),"",INPUT!P2669-INPUT!Q2669),"")</f>
        <v/>
      </c>
      <c r="L2674" s="48" t="str">
        <f>IFERROR(IF(OR(INPUT!P2669="",INPUT!Q2669="",INPUT!P2669=0),"",(INPUT!P2669-INPUT!Q2669)/INPUT!P2669),"")</f>
        <v/>
      </c>
    </row>
    <row r="2675" spans="1:12" ht="18" hidden="1" customHeight="1" x14ac:dyDescent="0.2">
      <c r="A2675" s="11" t="str">
        <f>IF(INPUT!M2670="","",INPUT!M2670)</f>
        <v/>
      </c>
      <c r="B2675" s="11" t="str">
        <f>IF(INPUT!M2670="","",INPUT!M2670-WEEKDAY(INPUT!M2670,2)+1)</f>
        <v/>
      </c>
      <c r="C2675" s="20">
        <f>IFERROR(_xlfn.ISOWEEKNUM(INPUT!M2670),"")</f>
        <v>52</v>
      </c>
      <c r="D2675" s="20">
        <f>IFERROR(YEAR(INPUT!M2670),"")</f>
        <v>1900</v>
      </c>
      <c r="E2675" t="str">
        <f>IF(INPUT!O2670="","",INPUT!O2670)</f>
        <v/>
      </c>
      <c r="F2675" t="str">
        <f>IF(INPUT!N2670="","",INPUT!N2670)</f>
        <v/>
      </c>
      <c r="G2675" cm="1">
        <f t="array" ref="G2675">IFERROR(VLOOKUP(INPUT!M2670&amp;INPUT!N2670,CHOOSE({1,2},INPUT!$A$3:$A$5000&amp;INPUT!$C$3:$C$5000,INPUT!$F$3:$F$5000),2,FALSE),"")</f>
        <v>0</v>
      </c>
      <c r="H2675" cm="1">
        <f t="array" ref="H2675">IFERROR(VLOOKUP(INPUT!M2670&amp;INPUT!N2670,CHOOSE({1,2},INPUT!$A$3:$A$5000&amp;INPUT!$C$3:$C$5000,INPUT!$D$3:$D$5000),2,FALSE),"")</f>
        <v>0</v>
      </c>
      <c r="I2675" s="46" t="str">
        <f>IF(INPUT!P2670="","",INPUT!P2670)</f>
        <v/>
      </c>
      <c r="J2675" s="46" t="str">
        <f>IF(INPUT!Q2670="","",INPUT!Q2670)</f>
        <v/>
      </c>
      <c r="K2675" s="46" t="str">
        <f>IFERROR(IF(OR(INPUT!P2670="",INPUT!Q2670=""),"",INPUT!P2670-INPUT!Q2670),"")</f>
        <v/>
      </c>
      <c r="L2675" s="48" t="str">
        <f>IFERROR(IF(OR(INPUT!P2670="",INPUT!Q2670="",INPUT!P2670=0),"",(INPUT!P2670-INPUT!Q2670)/INPUT!P2670),"")</f>
        <v/>
      </c>
    </row>
    <row r="2676" spans="1:12" ht="18" hidden="1" customHeight="1" x14ac:dyDescent="0.2">
      <c r="A2676" s="11" t="str">
        <f>IF(INPUT!M2671="","",INPUT!M2671)</f>
        <v/>
      </c>
      <c r="B2676" s="11" t="str">
        <f>IF(INPUT!M2671="","",INPUT!M2671-WEEKDAY(INPUT!M2671,2)+1)</f>
        <v/>
      </c>
      <c r="C2676" s="20">
        <f>IFERROR(_xlfn.ISOWEEKNUM(INPUT!M2671),"")</f>
        <v>52</v>
      </c>
      <c r="D2676" s="20">
        <f>IFERROR(YEAR(INPUT!M2671),"")</f>
        <v>1900</v>
      </c>
      <c r="E2676" t="str">
        <f>IF(INPUT!O2671="","",INPUT!O2671)</f>
        <v/>
      </c>
      <c r="F2676" t="str">
        <f>IF(INPUT!N2671="","",INPUT!N2671)</f>
        <v/>
      </c>
      <c r="G2676" cm="1">
        <f t="array" ref="G2676">IFERROR(VLOOKUP(INPUT!M2671&amp;INPUT!N2671,CHOOSE({1,2},INPUT!$A$3:$A$5000&amp;INPUT!$C$3:$C$5000,INPUT!$F$3:$F$5000),2,FALSE),"")</f>
        <v>0</v>
      </c>
      <c r="H2676" cm="1">
        <f t="array" ref="H2676">IFERROR(VLOOKUP(INPUT!M2671&amp;INPUT!N2671,CHOOSE({1,2},INPUT!$A$3:$A$5000&amp;INPUT!$C$3:$C$5000,INPUT!$D$3:$D$5000),2,FALSE),"")</f>
        <v>0</v>
      </c>
      <c r="I2676" s="46" t="str">
        <f>IF(INPUT!P2671="","",INPUT!P2671)</f>
        <v/>
      </c>
      <c r="J2676" s="46" t="str">
        <f>IF(INPUT!Q2671="","",INPUT!Q2671)</f>
        <v/>
      </c>
      <c r="K2676" s="46" t="str">
        <f>IFERROR(IF(OR(INPUT!P2671="",INPUT!Q2671=""),"",INPUT!P2671-INPUT!Q2671),"")</f>
        <v/>
      </c>
      <c r="L2676" s="48" t="str">
        <f>IFERROR(IF(OR(INPUT!P2671="",INPUT!Q2671="",INPUT!P2671=0),"",(INPUT!P2671-INPUT!Q2671)/INPUT!P2671),"")</f>
        <v/>
      </c>
    </row>
    <row r="2677" spans="1:12" ht="18" hidden="1" customHeight="1" x14ac:dyDescent="0.2">
      <c r="A2677" s="11" t="str">
        <f>IF(INPUT!M2672="","",INPUT!M2672)</f>
        <v/>
      </c>
      <c r="B2677" s="11" t="str">
        <f>IF(INPUT!M2672="","",INPUT!M2672-WEEKDAY(INPUT!M2672,2)+1)</f>
        <v/>
      </c>
      <c r="C2677" s="20">
        <f>IFERROR(_xlfn.ISOWEEKNUM(INPUT!M2672),"")</f>
        <v>52</v>
      </c>
      <c r="D2677" s="20">
        <f>IFERROR(YEAR(INPUT!M2672),"")</f>
        <v>1900</v>
      </c>
      <c r="E2677" t="str">
        <f>IF(INPUT!O2672="","",INPUT!O2672)</f>
        <v/>
      </c>
      <c r="F2677" t="str">
        <f>IF(INPUT!N2672="","",INPUT!N2672)</f>
        <v/>
      </c>
      <c r="G2677" cm="1">
        <f t="array" ref="G2677">IFERROR(VLOOKUP(INPUT!M2672&amp;INPUT!N2672,CHOOSE({1,2},INPUT!$A$3:$A$5000&amp;INPUT!$C$3:$C$5000,INPUT!$F$3:$F$5000),2,FALSE),"")</f>
        <v>0</v>
      </c>
      <c r="H2677" cm="1">
        <f t="array" ref="H2677">IFERROR(VLOOKUP(INPUT!M2672&amp;INPUT!N2672,CHOOSE({1,2},INPUT!$A$3:$A$5000&amp;INPUT!$C$3:$C$5000,INPUT!$D$3:$D$5000),2,FALSE),"")</f>
        <v>0</v>
      </c>
      <c r="I2677" s="46" t="str">
        <f>IF(INPUT!P2672="","",INPUT!P2672)</f>
        <v/>
      </c>
      <c r="J2677" s="46" t="str">
        <f>IF(INPUT!Q2672="","",INPUT!Q2672)</f>
        <v/>
      </c>
      <c r="K2677" s="46" t="str">
        <f>IFERROR(IF(OR(INPUT!P2672="",INPUT!Q2672=""),"",INPUT!P2672-INPUT!Q2672),"")</f>
        <v/>
      </c>
      <c r="L2677" s="48" t="str">
        <f>IFERROR(IF(OR(INPUT!P2672="",INPUT!Q2672="",INPUT!P2672=0),"",(INPUT!P2672-INPUT!Q2672)/INPUT!P2672),"")</f>
        <v/>
      </c>
    </row>
    <row r="2678" spans="1:12" ht="18" hidden="1" customHeight="1" x14ac:dyDescent="0.2">
      <c r="A2678" s="11" t="str">
        <f>IF(INPUT!M2673="","",INPUT!M2673)</f>
        <v/>
      </c>
      <c r="B2678" s="11" t="str">
        <f>IF(INPUT!M2673="","",INPUT!M2673-WEEKDAY(INPUT!M2673,2)+1)</f>
        <v/>
      </c>
      <c r="C2678" s="20">
        <f>IFERROR(_xlfn.ISOWEEKNUM(INPUT!M2673),"")</f>
        <v>52</v>
      </c>
      <c r="D2678" s="20">
        <f>IFERROR(YEAR(INPUT!M2673),"")</f>
        <v>1900</v>
      </c>
      <c r="E2678" t="str">
        <f>IF(INPUT!O2673="","",INPUT!O2673)</f>
        <v/>
      </c>
      <c r="F2678" t="str">
        <f>IF(INPUT!N2673="","",INPUT!N2673)</f>
        <v/>
      </c>
      <c r="G2678" cm="1">
        <f t="array" ref="G2678">IFERROR(VLOOKUP(INPUT!M2673&amp;INPUT!N2673,CHOOSE({1,2},INPUT!$A$3:$A$5000&amp;INPUT!$C$3:$C$5000,INPUT!$F$3:$F$5000),2,FALSE),"")</f>
        <v>0</v>
      </c>
      <c r="H2678" cm="1">
        <f t="array" ref="H2678">IFERROR(VLOOKUP(INPUT!M2673&amp;INPUT!N2673,CHOOSE({1,2},INPUT!$A$3:$A$5000&amp;INPUT!$C$3:$C$5000,INPUT!$D$3:$D$5000),2,FALSE),"")</f>
        <v>0</v>
      </c>
      <c r="I2678" s="46" t="str">
        <f>IF(INPUT!P2673="","",INPUT!P2673)</f>
        <v/>
      </c>
      <c r="J2678" s="46" t="str">
        <f>IF(INPUT!Q2673="","",INPUT!Q2673)</f>
        <v/>
      </c>
      <c r="K2678" s="46" t="str">
        <f>IFERROR(IF(OR(INPUT!P2673="",INPUT!Q2673=""),"",INPUT!P2673-INPUT!Q2673),"")</f>
        <v/>
      </c>
      <c r="L2678" s="48" t="str">
        <f>IFERROR(IF(OR(INPUT!P2673="",INPUT!Q2673="",INPUT!P2673=0),"",(INPUT!P2673-INPUT!Q2673)/INPUT!P2673),"")</f>
        <v/>
      </c>
    </row>
    <row r="2679" spans="1:12" ht="18" hidden="1" customHeight="1" x14ac:dyDescent="0.2">
      <c r="A2679" s="11" t="str">
        <f>IF(INPUT!M2674="","",INPUT!M2674)</f>
        <v/>
      </c>
      <c r="B2679" s="11" t="str">
        <f>IF(INPUT!M2674="","",INPUT!M2674-WEEKDAY(INPUT!M2674,2)+1)</f>
        <v/>
      </c>
      <c r="C2679" s="20">
        <f>IFERROR(_xlfn.ISOWEEKNUM(INPUT!M2674),"")</f>
        <v>52</v>
      </c>
      <c r="D2679" s="20">
        <f>IFERROR(YEAR(INPUT!M2674),"")</f>
        <v>1900</v>
      </c>
      <c r="E2679" t="str">
        <f>IF(INPUT!O2674="","",INPUT!O2674)</f>
        <v/>
      </c>
      <c r="F2679" t="str">
        <f>IF(INPUT!N2674="","",INPUT!N2674)</f>
        <v/>
      </c>
      <c r="G2679" cm="1">
        <f t="array" ref="G2679">IFERROR(VLOOKUP(INPUT!M2674&amp;INPUT!N2674,CHOOSE({1,2},INPUT!$A$3:$A$5000&amp;INPUT!$C$3:$C$5000,INPUT!$F$3:$F$5000),2,FALSE),"")</f>
        <v>0</v>
      </c>
      <c r="H2679" cm="1">
        <f t="array" ref="H2679">IFERROR(VLOOKUP(INPUT!M2674&amp;INPUT!N2674,CHOOSE({1,2},INPUT!$A$3:$A$5000&amp;INPUT!$C$3:$C$5000,INPUT!$D$3:$D$5000),2,FALSE),"")</f>
        <v>0</v>
      </c>
      <c r="I2679" s="46" t="str">
        <f>IF(INPUT!P2674="","",INPUT!P2674)</f>
        <v/>
      </c>
      <c r="J2679" s="46" t="str">
        <f>IF(INPUT!Q2674="","",INPUT!Q2674)</f>
        <v/>
      </c>
      <c r="K2679" s="46" t="str">
        <f>IFERROR(IF(OR(INPUT!P2674="",INPUT!Q2674=""),"",INPUT!P2674-INPUT!Q2674),"")</f>
        <v/>
      </c>
      <c r="L2679" s="48" t="str">
        <f>IFERROR(IF(OR(INPUT!P2674="",INPUT!Q2674="",INPUT!P2674=0),"",(INPUT!P2674-INPUT!Q2674)/INPUT!P2674),"")</f>
        <v/>
      </c>
    </row>
    <row r="2680" spans="1:12" ht="18" hidden="1" customHeight="1" x14ac:dyDescent="0.2">
      <c r="A2680" s="11" t="str">
        <f>IF(INPUT!M2675="","",INPUT!M2675)</f>
        <v/>
      </c>
      <c r="B2680" s="11" t="str">
        <f>IF(INPUT!M2675="","",INPUT!M2675-WEEKDAY(INPUT!M2675,2)+1)</f>
        <v/>
      </c>
      <c r="C2680" s="20">
        <f>IFERROR(_xlfn.ISOWEEKNUM(INPUT!M2675),"")</f>
        <v>52</v>
      </c>
      <c r="D2680" s="20">
        <f>IFERROR(YEAR(INPUT!M2675),"")</f>
        <v>1900</v>
      </c>
      <c r="E2680" t="str">
        <f>IF(INPUT!O2675="","",INPUT!O2675)</f>
        <v/>
      </c>
      <c r="F2680" t="str">
        <f>IF(INPUT!N2675="","",INPUT!N2675)</f>
        <v/>
      </c>
      <c r="G2680" cm="1">
        <f t="array" ref="G2680">IFERROR(VLOOKUP(INPUT!M2675&amp;INPUT!N2675,CHOOSE({1,2},INPUT!$A$3:$A$5000&amp;INPUT!$C$3:$C$5000,INPUT!$F$3:$F$5000),2,FALSE),"")</f>
        <v>0</v>
      </c>
      <c r="H2680" cm="1">
        <f t="array" ref="H2680">IFERROR(VLOOKUP(INPUT!M2675&amp;INPUT!N2675,CHOOSE({1,2},INPUT!$A$3:$A$5000&amp;INPUT!$C$3:$C$5000,INPUT!$D$3:$D$5000),2,FALSE),"")</f>
        <v>0</v>
      </c>
      <c r="I2680" s="46" t="str">
        <f>IF(INPUT!P2675="","",INPUT!P2675)</f>
        <v/>
      </c>
      <c r="J2680" s="46" t="str">
        <f>IF(INPUT!Q2675="","",INPUT!Q2675)</f>
        <v/>
      </c>
      <c r="K2680" s="46" t="str">
        <f>IFERROR(IF(OR(INPUT!P2675="",INPUT!Q2675=""),"",INPUT!P2675-INPUT!Q2675),"")</f>
        <v/>
      </c>
      <c r="L2680" s="48" t="str">
        <f>IFERROR(IF(OR(INPUT!P2675="",INPUT!Q2675="",INPUT!P2675=0),"",(INPUT!P2675-INPUT!Q2675)/INPUT!P2675),"")</f>
        <v/>
      </c>
    </row>
    <row r="2681" spans="1:12" ht="18" hidden="1" customHeight="1" x14ac:dyDescent="0.2">
      <c r="A2681" s="11" t="str">
        <f>IF(INPUT!M2676="","",INPUT!M2676)</f>
        <v/>
      </c>
      <c r="B2681" s="11" t="str">
        <f>IF(INPUT!M2676="","",INPUT!M2676-WEEKDAY(INPUT!M2676,2)+1)</f>
        <v/>
      </c>
      <c r="C2681" s="20">
        <f>IFERROR(_xlfn.ISOWEEKNUM(INPUT!M2676),"")</f>
        <v>52</v>
      </c>
      <c r="D2681" s="20">
        <f>IFERROR(YEAR(INPUT!M2676),"")</f>
        <v>1900</v>
      </c>
      <c r="E2681" t="str">
        <f>IF(INPUT!O2676="","",INPUT!O2676)</f>
        <v/>
      </c>
      <c r="F2681" t="str">
        <f>IF(INPUT!N2676="","",INPUT!N2676)</f>
        <v/>
      </c>
      <c r="G2681" cm="1">
        <f t="array" ref="G2681">IFERROR(VLOOKUP(INPUT!M2676&amp;INPUT!N2676,CHOOSE({1,2},INPUT!$A$3:$A$5000&amp;INPUT!$C$3:$C$5000,INPUT!$F$3:$F$5000),2,FALSE),"")</f>
        <v>0</v>
      </c>
      <c r="H2681" cm="1">
        <f t="array" ref="H2681">IFERROR(VLOOKUP(INPUT!M2676&amp;INPUT!N2676,CHOOSE({1,2},INPUT!$A$3:$A$5000&amp;INPUT!$C$3:$C$5000,INPUT!$D$3:$D$5000),2,FALSE),"")</f>
        <v>0</v>
      </c>
      <c r="I2681" s="46" t="str">
        <f>IF(INPUT!P2676="","",INPUT!P2676)</f>
        <v/>
      </c>
      <c r="J2681" s="46" t="str">
        <f>IF(INPUT!Q2676="","",INPUT!Q2676)</f>
        <v/>
      </c>
      <c r="K2681" s="46" t="str">
        <f>IFERROR(IF(OR(INPUT!P2676="",INPUT!Q2676=""),"",INPUT!P2676-INPUT!Q2676),"")</f>
        <v/>
      </c>
      <c r="L2681" s="48" t="str">
        <f>IFERROR(IF(OR(INPUT!P2676="",INPUT!Q2676="",INPUT!P2676=0),"",(INPUT!P2676-INPUT!Q2676)/INPUT!P2676),"")</f>
        <v/>
      </c>
    </row>
    <row r="2682" spans="1:12" ht="18" hidden="1" customHeight="1" x14ac:dyDescent="0.2">
      <c r="A2682" s="11" t="str">
        <f>IF(INPUT!M2677="","",INPUT!M2677)</f>
        <v/>
      </c>
      <c r="B2682" s="11" t="str">
        <f>IF(INPUT!M2677="","",INPUT!M2677-WEEKDAY(INPUT!M2677,2)+1)</f>
        <v/>
      </c>
      <c r="C2682" s="20">
        <f>IFERROR(_xlfn.ISOWEEKNUM(INPUT!M2677),"")</f>
        <v>52</v>
      </c>
      <c r="D2682" s="20">
        <f>IFERROR(YEAR(INPUT!M2677),"")</f>
        <v>1900</v>
      </c>
      <c r="E2682" t="str">
        <f>IF(INPUT!O2677="","",INPUT!O2677)</f>
        <v/>
      </c>
      <c r="F2682" t="str">
        <f>IF(INPUT!N2677="","",INPUT!N2677)</f>
        <v/>
      </c>
      <c r="G2682" cm="1">
        <f t="array" ref="G2682">IFERROR(VLOOKUP(INPUT!M2677&amp;INPUT!N2677,CHOOSE({1,2},INPUT!$A$3:$A$5000&amp;INPUT!$C$3:$C$5000,INPUT!$F$3:$F$5000),2,FALSE),"")</f>
        <v>0</v>
      </c>
      <c r="H2682" cm="1">
        <f t="array" ref="H2682">IFERROR(VLOOKUP(INPUT!M2677&amp;INPUT!N2677,CHOOSE({1,2},INPUT!$A$3:$A$5000&amp;INPUT!$C$3:$C$5000,INPUT!$D$3:$D$5000),2,FALSE),"")</f>
        <v>0</v>
      </c>
      <c r="I2682" s="46" t="str">
        <f>IF(INPUT!P2677="","",INPUT!P2677)</f>
        <v/>
      </c>
      <c r="J2682" s="46" t="str">
        <f>IF(INPUT!Q2677="","",INPUT!Q2677)</f>
        <v/>
      </c>
      <c r="K2682" s="46" t="str">
        <f>IFERROR(IF(OR(INPUT!P2677="",INPUT!Q2677=""),"",INPUT!P2677-INPUT!Q2677),"")</f>
        <v/>
      </c>
      <c r="L2682" s="48" t="str">
        <f>IFERROR(IF(OR(INPUT!P2677="",INPUT!Q2677="",INPUT!P2677=0),"",(INPUT!P2677-INPUT!Q2677)/INPUT!P2677),"")</f>
        <v/>
      </c>
    </row>
    <row r="2683" spans="1:12" ht="18" hidden="1" customHeight="1" x14ac:dyDescent="0.2">
      <c r="A2683" s="11" t="str">
        <f>IF(INPUT!M2678="","",INPUT!M2678)</f>
        <v/>
      </c>
      <c r="B2683" s="11" t="str">
        <f>IF(INPUT!M2678="","",INPUT!M2678-WEEKDAY(INPUT!M2678,2)+1)</f>
        <v/>
      </c>
      <c r="C2683" s="20">
        <f>IFERROR(_xlfn.ISOWEEKNUM(INPUT!M2678),"")</f>
        <v>52</v>
      </c>
      <c r="D2683" s="20">
        <f>IFERROR(YEAR(INPUT!M2678),"")</f>
        <v>1900</v>
      </c>
      <c r="E2683" t="str">
        <f>IF(INPUT!O2678="","",INPUT!O2678)</f>
        <v/>
      </c>
      <c r="F2683" t="str">
        <f>IF(INPUT!N2678="","",INPUT!N2678)</f>
        <v/>
      </c>
      <c r="G2683" cm="1">
        <f t="array" ref="G2683">IFERROR(VLOOKUP(INPUT!M2678&amp;INPUT!N2678,CHOOSE({1,2},INPUT!$A$3:$A$5000&amp;INPUT!$C$3:$C$5000,INPUT!$F$3:$F$5000),2,FALSE),"")</f>
        <v>0</v>
      </c>
      <c r="H2683" cm="1">
        <f t="array" ref="H2683">IFERROR(VLOOKUP(INPUT!M2678&amp;INPUT!N2678,CHOOSE({1,2},INPUT!$A$3:$A$5000&amp;INPUT!$C$3:$C$5000,INPUT!$D$3:$D$5000),2,FALSE),"")</f>
        <v>0</v>
      </c>
      <c r="I2683" s="46" t="str">
        <f>IF(INPUT!P2678="","",INPUT!P2678)</f>
        <v/>
      </c>
      <c r="J2683" s="46" t="str">
        <f>IF(INPUT!Q2678="","",INPUT!Q2678)</f>
        <v/>
      </c>
      <c r="K2683" s="46" t="str">
        <f>IFERROR(IF(OR(INPUT!P2678="",INPUT!Q2678=""),"",INPUT!P2678-INPUT!Q2678),"")</f>
        <v/>
      </c>
      <c r="L2683" s="48" t="str">
        <f>IFERROR(IF(OR(INPUT!P2678="",INPUT!Q2678="",INPUT!P2678=0),"",(INPUT!P2678-INPUT!Q2678)/INPUT!P2678),"")</f>
        <v/>
      </c>
    </row>
    <row r="2684" spans="1:12" ht="18" hidden="1" customHeight="1" x14ac:dyDescent="0.2">
      <c r="A2684" s="11" t="str">
        <f>IF(INPUT!M2679="","",INPUT!M2679)</f>
        <v/>
      </c>
      <c r="B2684" s="11" t="str">
        <f>IF(INPUT!M2679="","",INPUT!M2679-WEEKDAY(INPUT!M2679,2)+1)</f>
        <v/>
      </c>
      <c r="C2684" s="20">
        <f>IFERROR(_xlfn.ISOWEEKNUM(INPUT!M2679),"")</f>
        <v>52</v>
      </c>
      <c r="D2684" s="20">
        <f>IFERROR(YEAR(INPUT!M2679),"")</f>
        <v>1900</v>
      </c>
      <c r="E2684" t="str">
        <f>IF(INPUT!O2679="","",INPUT!O2679)</f>
        <v/>
      </c>
      <c r="F2684" t="str">
        <f>IF(INPUT!N2679="","",INPUT!N2679)</f>
        <v/>
      </c>
      <c r="G2684" cm="1">
        <f t="array" ref="G2684">IFERROR(VLOOKUP(INPUT!M2679&amp;INPUT!N2679,CHOOSE({1,2},INPUT!$A$3:$A$5000&amp;INPUT!$C$3:$C$5000,INPUT!$F$3:$F$5000),2,FALSE),"")</f>
        <v>0</v>
      </c>
      <c r="H2684" cm="1">
        <f t="array" ref="H2684">IFERROR(VLOOKUP(INPUT!M2679&amp;INPUT!N2679,CHOOSE({1,2},INPUT!$A$3:$A$5000&amp;INPUT!$C$3:$C$5000,INPUT!$D$3:$D$5000),2,FALSE),"")</f>
        <v>0</v>
      </c>
      <c r="I2684" s="46" t="str">
        <f>IF(INPUT!P2679="","",INPUT!P2679)</f>
        <v/>
      </c>
      <c r="J2684" s="46" t="str">
        <f>IF(INPUT!Q2679="","",INPUT!Q2679)</f>
        <v/>
      </c>
      <c r="K2684" s="46" t="str">
        <f>IFERROR(IF(OR(INPUT!P2679="",INPUT!Q2679=""),"",INPUT!P2679-INPUT!Q2679),"")</f>
        <v/>
      </c>
      <c r="L2684" s="48" t="str">
        <f>IFERROR(IF(OR(INPUT!P2679="",INPUT!Q2679="",INPUT!P2679=0),"",(INPUT!P2679-INPUT!Q2679)/INPUT!P2679),"")</f>
        <v/>
      </c>
    </row>
    <row r="2685" spans="1:12" ht="18" hidden="1" customHeight="1" x14ac:dyDescent="0.2">
      <c r="A2685" s="11" t="str">
        <f>IF(INPUT!M2680="","",INPUT!M2680)</f>
        <v/>
      </c>
      <c r="B2685" s="11" t="str">
        <f>IF(INPUT!M2680="","",INPUT!M2680-WEEKDAY(INPUT!M2680,2)+1)</f>
        <v/>
      </c>
      <c r="C2685" s="20">
        <f>IFERROR(_xlfn.ISOWEEKNUM(INPUT!M2680),"")</f>
        <v>52</v>
      </c>
      <c r="D2685" s="20">
        <f>IFERROR(YEAR(INPUT!M2680),"")</f>
        <v>1900</v>
      </c>
      <c r="E2685" t="str">
        <f>IF(INPUT!O2680="","",INPUT!O2680)</f>
        <v/>
      </c>
      <c r="F2685" t="str">
        <f>IF(INPUT!N2680="","",INPUT!N2680)</f>
        <v/>
      </c>
      <c r="G2685" cm="1">
        <f t="array" ref="G2685">IFERROR(VLOOKUP(INPUT!M2680&amp;INPUT!N2680,CHOOSE({1,2},INPUT!$A$3:$A$5000&amp;INPUT!$C$3:$C$5000,INPUT!$F$3:$F$5000),2,FALSE),"")</f>
        <v>0</v>
      </c>
      <c r="H2685" cm="1">
        <f t="array" ref="H2685">IFERROR(VLOOKUP(INPUT!M2680&amp;INPUT!N2680,CHOOSE({1,2},INPUT!$A$3:$A$5000&amp;INPUT!$C$3:$C$5000,INPUT!$D$3:$D$5000),2,FALSE),"")</f>
        <v>0</v>
      </c>
      <c r="I2685" s="46" t="str">
        <f>IF(INPUT!P2680="","",INPUT!P2680)</f>
        <v/>
      </c>
      <c r="J2685" s="46" t="str">
        <f>IF(INPUT!Q2680="","",INPUT!Q2680)</f>
        <v/>
      </c>
      <c r="K2685" s="46" t="str">
        <f>IFERROR(IF(OR(INPUT!P2680="",INPUT!Q2680=""),"",INPUT!P2680-INPUT!Q2680),"")</f>
        <v/>
      </c>
      <c r="L2685" s="48" t="str">
        <f>IFERROR(IF(OR(INPUT!P2680="",INPUT!Q2680="",INPUT!P2680=0),"",(INPUT!P2680-INPUT!Q2680)/INPUT!P2680),"")</f>
        <v/>
      </c>
    </row>
    <row r="2686" spans="1:12" ht="18" hidden="1" customHeight="1" x14ac:dyDescent="0.2">
      <c r="A2686" s="11" t="str">
        <f>IF(INPUT!M2681="","",INPUT!M2681)</f>
        <v/>
      </c>
      <c r="B2686" s="11" t="str">
        <f>IF(INPUT!M2681="","",INPUT!M2681-WEEKDAY(INPUT!M2681,2)+1)</f>
        <v/>
      </c>
      <c r="C2686" s="20">
        <f>IFERROR(_xlfn.ISOWEEKNUM(INPUT!M2681),"")</f>
        <v>52</v>
      </c>
      <c r="D2686" s="20">
        <f>IFERROR(YEAR(INPUT!M2681),"")</f>
        <v>1900</v>
      </c>
      <c r="E2686" t="str">
        <f>IF(INPUT!O2681="","",INPUT!O2681)</f>
        <v/>
      </c>
      <c r="F2686" t="str">
        <f>IF(INPUT!N2681="","",INPUT!N2681)</f>
        <v/>
      </c>
      <c r="G2686" cm="1">
        <f t="array" ref="G2686">IFERROR(VLOOKUP(INPUT!M2681&amp;INPUT!N2681,CHOOSE({1,2},INPUT!$A$3:$A$5000&amp;INPUT!$C$3:$C$5000,INPUT!$F$3:$F$5000),2,FALSE),"")</f>
        <v>0</v>
      </c>
      <c r="H2686" cm="1">
        <f t="array" ref="H2686">IFERROR(VLOOKUP(INPUT!M2681&amp;INPUT!N2681,CHOOSE({1,2},INPUT!$A$3:$A$5000&amp;INPUT!$C$3:$C$5000,INPUT!$D$3:$D$5000),2,FALSE),"")</f>
        <v>0</v>
      </c>
      <c r="I2686" s="46" t="str">
        <f>IF(INPUT!P2681="","",INPUT!P2681)</f>
        <v/>
      </c>
      <c r="J2686" s="46" t="str">
        <f>IF(INPUT!Q2681="","",INPUT!Q2681)</f>
        <v/>
      </c>
      <c r="K2686" s="46" t="str">
        <f>IFERROR(IF(OR(INPUT!P2681="",INPUT!Q2681=""),"",INPUT!P2681-INPUT!Q2681),"")</f>
        <v/>
      </c>
      <c r="L2686" s="48" t="str">
        <f>IFERROR(IF(OR(INPUT!P2681="",INPUT!Q2681="",INPUT!P2681=0),"",(INPUT!P2681-INPUT!Q2681)/INPUT!P2681),"")</f>
        <v/>
      </c>
    </row>
    <row r="2687" spans="1:12" ht="18" hidden="1" customHeight="1" x14ac:dyDescent="0.2">
      <c r="A2687" s="11" t="str">
        <f>IF(INPUT!M2682="","",INPUT!M2682)</f>
        <v/>
      </c>
      <c r="B2687" s="11" t="str">
        <f>IF(INPUT!M2682="","",INPUT!M2682-WEEKDAY(INPUT!M2682,2)+1)</f>
        <v/>
      </c>
      <c r="C2687" s="20">
        <f>IFERROR(_xlfn.ISOWEEKNUM(INPUT!M2682),"")</f>
        <v>52</v>
      </c>
      <c r="D2687" s="20">
        <f>IFERROR(YEAR(INPUT!M2682),"")</f>
        <v>1900</v>
      </c>
      <c r="E2687" t="str">
        <f>IF(INPUT!O2682="","",INPUT!O2682)</f>
        <v/>
      </c>
      <c r="F2687" t="str">
        <f>IF(INPUT!N2682="","",INPUT!N2682)</f>
        <v/>
      </c>
      <c r="G2687" cm="1">
        <f t="array" ref="G2687">IFERROR(VLOOKUP(INPUT!M2682&amp;INPUT!N2682,CHOOSE({1,2},INPUT!$A$3:$A$5000&amp;INPUT!$C$3:$C$5000,INPUT!$F$3:$F$5000),2,FALSE),"")</f>
        <v>0</v>
      </c>
      <c r="H2687" cm="1">
        <f t="array" ref="H2687">IFERROR(VLOOKUP(INPUT!M2682&amp;INPUT!N2682,CHOOSE({1,2},INPUT!$A$3:$A$5000&amp;INPUT!$C$3:$C$5000,INPUT!$D$3:$D$5000),2,FALSE),"")</f>
        <v>0</v>
      </c>
      <c r="I2687" s="46" t="str">
        <f>IF(INPUT!P2682="","",INPUT!P2682)</f>
        <v/>
      </c>
      <c r="J2687" s="46" t="str">
        <f>IF(INPUT!Q2682="","",INPUT!Q2682)</f>
        <v/>
      </c>
      <c r="K2687" s="46" t="str">
        <f>IFERROR(IF(OR(INPUT!P2682="",INPUT!Q2682=""),"",INPUT!P2682-INPUT!Q2682),"")</f>
        <v/>
      </c>
      <c r="L2687" s="48" t="str">
        <f>IFERROR(IF(OR(INPUT!P2682="",INPUT!Q2682="",INPUT!P2682=0),"",(INPUT!P2682-INPUT!Q2682)/INPUT!P2682),"")</f>
        <v/>
      </c>
    </row>
    <row r="2688" spans="1:12" ht="18" hidden="1" customHeight="1" x14ac:dyDescent="0.2">
      <c r="A2688" s="11" t="str">
        <f>IF(INPUT!M2683="","",INPUT!M2683)</f>
        <v/>
      </c>
      <c r="B2688" s="11" t="str">
        <f>IF(INPUT!M2683="","",INPUT!M2683-WEEKDAY(INPUT!M2683,2)+1)</f>
        <v/>
      </c>
      <c r="C2688" s="20">
        <f>IFERROR(_xlfn.ISOWEEKNUM(INPUT!M2683),"")</f>
        <v>52</v>
      </c>
      <c r="D2688" s="20">
        <f>IFERROR(YEAR(INPUT!M2683),"")</f>
        <v>1900</v>
      </c>
      <c r="E2688" t="str">
        <f>IF(INPUT!O2683="","",INPUT!O2683)</f>
        <v/>
      </c>
      <c r="F2688" t="str">
        <f>IF(INPUT!N2683="","",INPUT!N2683)</f>
        <v/>
      </c>
      <c r="G2688" cm="1">
        <f t="array" ref="G2688">IFERROR(VLOOKUP(INPUT!M2683&amp;INPUT!N2683,CHOOSE({1,2},INPUT!$A$3:$A$5000&amp;INPUT!$C$3:$C$5000,INPUT!$F$3:$F$5000),2,FALSE),"")</f>
        <v>0</v>
      </c>
      <c r="H2688" cm="1">
        <f t="array" ref="H2688">IFERROR(VLOOKUP(INPUT!M2683&amp;INPUT!N2683,CHOOSE({1,2},INPUT!$A$3:$A$5000&amp;INPUT!$C$3:$C$5000,INPUT!$D$3:$D$5000),2,FALSE),"")</f>
        <v>0</v>
      </c>
      <c r="I2688" s="46" t="str">
        <f>IF(INPUT!P2683="","",INPUT!P2683)</f>
        <v/>
      </c>
      <c r="J2688" s="46" t="str">
        <f>IF(INPUT!Q2683="","",INPUT!Q2683)</f>
        <v/>
      </c>
      <c r="K2688" s="46" t="str">
        <f>IFERROR(IF(OR(INPUT!P2683="",INPUT!Q2683=""),"",INPUT!P2683-INPUT!Q2683),"")</f>
        <v/>
      </c>
      <c r="L2688" s="48" t="str">
        <f>IFERROR(IF(OR(INPUT!P2683="",INPUT!Q2683="",INPUT!P2683=0),"",(INPUT!P2683-INPUT!Q2683)/INPUT!P2683),"")</f>
        <v/>
      </c>
    </row>
    <row r="2689" spans="1:12" ht="18" hidden="1" customHeight="1" x14ac:dyDescent="0.2">
      <c r="A2689" s="11" t="str">
        <f>IF(INPUT!M2684="","",INPUT!M2684)</f>
        <v/>
      </c>
      <c r="B2689" s="11" t="str">
        <f>IF(INPUT!M2684="","",INPUT!M2684-WEEKDAY(INPUT!M2684,2)+1)</f>
        <v/>
      </c>
      <c r="C2689" s="20">
        <f>IFERROR(_xlfn.ISOWEEKNUM(INPUT!M2684),"")</f>
        <v>52</v>
      </c>
      <c r="D2689" s="20">
        <f>IFERROR(YEAR(INPUT!M2684),"")</f>
        <v>1900</v>
      </c>
      <c r="E2689" t="str">
        <f>IF(INPUT!O2684="","",INPUT!O2684)</f>
        <v/>
      </c>
      <c r="F2689" t="str">
        <f>IF(INPUT!N2684="","",INPUT!N2684)</f>
        <v/>
      </c>
      <c r="G2689" cm="1">
        <f t="array" ref="G2689">IFERROR(VLOOKUP(INPUT!M2684&amp;INPUT!N2684,CHOOSE({1,2},INPUT!$A$3:$A$5000&amp;INPUT!$C$3:$C$5000,INPUT!$F$3:$F$5000),2,FALSE),"")</f>
        <v>0</v>
      </c>
      <c r="H2689" cm="1">
        <f t="array" ref="H2689">IFERROR(VLOOKUP(INPUT!M2684&amp;INPUT!N2684,CHOOSE({1,2},INPUT!$A$3:$A$5000&amp;INPUT!$C$3:$C$5000,INPUT!$D$3:$D$5000),2,FALSE),"")</f>
        <v>0</v>
      </c>
      <c r="I2689" s="46" t="str">
        <f>IF(INPUT!P2684="","",INPUT!P2684)</f>
        <v/>
      </c>
      <c r="J2689" s="46" t="str">
        <f>IF(INPUT!Q2684="","",INPUT!Q2684)</f>
        <v/>
      </c>
      <c r="K2689" s="46" t="str">
        <f>IFERROR(IF(OR(INPUT!P2684="",INPUT!Q2684=""),"",INPUT!P2684-INPUT!Q2684),"")</f>
        <v/>
      </c>
      <c r="L2689" s="48" t="str">
        <f>IFERROR(IF(OR(INPUT!P2684="",INPUT!Q2684="",INPUT!P2684=0),"",(INPUT!P2684-INPUT!Q2684)/INPUT!P2684),"")</f>
        <v/>
      </c>
    </row>
    <row r="2690" spans="1:12" ht="18" hidden="1" customHeight="1" x14ac:dyDescent="0.2">
      <c r="A2690" s="11" t="str">
        <f>IF(INPUT!M2685="","",INPUT!M2685)</f>
        <v/>
      </c>
      <c r="B2690" s="11" t="str">
        <f>IF(INPUT!M2685="","",INPUT!M2685-WEEKDAY(INPUT!M2685,2)+1)</f>
        <v/>
      </c>
      <c r="C2690" s="20">
        <f>IFERROR(_xlfn.ISOWEEKNUM(INPUT!M2685),"")</f>
        <v>52</v>
      </c>
      <c r="D2690" s="20">
        <f>IFERROR(YEAR(INPUT!M2685),"")</f>
        <v>1900</v>
      </c>
      <c r="E2690" t="str">
        <f>IF(INPUT!O2685="","",INPUT!O2685)</f>
        <v/>
      </c>
      <c r="F2690" t="str">
        <f>IF(INPUT!N2685="","",INPUT!N2685)</f>
        <v/>
      </c>
      <c r="G2690" cm="1">
        <f t="array" ref="G2690">IFERROR(VLOOKUP(INPUT!M2685&amp;INPUT!N2685,CHOOSE({1,2},INPUT!$A$3:$A$5000&amp;INPUT!$C$3:$C$5000,INPUT!$F$3:$F$5000),2,FALSE),"")</f>
        <v>0</v>
      </c>
      <c r="H2690" cm="1">
        <f t="array" ref="H2690">IFERROR(VLOOKUP(INPUT!M2685&amp;INPUT!N2685,CHOOSE({1,2},INPUT!$A$3:$A$5000&amp;INPUT!$C$3:$C$5000,INPUT!$D$3:$D$5000),2,FALSE),"")</f>
        <v>0</v>
      </c>
      <c r="I2690" s="46" t="str">
        <f>IF(INPUT!P2685="","",INPUT!P2685)</f>
        <v/>
      </c>
      <c r="J2690" s="46" t="str">
        <f>IF(INPUT!Q2685="","",INPUT!Q2685)</f>
        <v/>
      </c>
      <c r="K2690" s="46" t="str">
        <f>IFERROR(IF(OR(INPUT!P2685="",INPUT!Q2685=""),"",INPUT!P2685-INPUT!Q2685),"")</f>
        <v/>
      </c>
      <c r="L2690" s="48" t="str">
        <f>IFERROR(IF(OR(INPUT!P2685="",INPUT!Q2685="",INPUT!P2685=0),"",(INPUT!P2685-INPUT!Q2685)/INPUT!P2685),"")</f>
        <v/>
      </c>
    </row>
    <row r="2691" spans="1:12" ht="18" hidden="1" customHeight="1" x14ac:dyDescent="0.2">
      <c r="A2691" s="11" t="str">
        <f>IF(INPUT!M2686="","",INPUT!M2686)</f>
        <v/>
      </c>
      <c r="B2691" s="11" t="str">
        <f>IF(INPUT!M2686="","",INPUT!M2686-WEEKDAY(INPUT!M2686,2)+1)</f>
        <v/>
      </c>
      <c r="C2691" s="20">
        <f>IFERROR(_xlfn.ISOWEEKNUM(INPUT!M2686),"")</f>
        <v>52</v>
      </c>
      <c r="D2691" s="20">
        <f>IFERROR(YEAR(INPUT!M2686),"")</f>
        <v>1900</v>
      </c>
      <c r="E2691" t="str">
        <f>IF(INPUT!O2686="","",INPUT!O2686)</f>
        <v/>
      </c>
      <c r="F2691" t="str">
        <f>IF(INPUT!N2686="","",INPUT!N2686)</f>
        <v/>
      </c>
      <c r="G2691" cm="1">
        <f t="array" ref="G2691">IFERROR(VLOOKUP(INPUT!M2686&amp;INPUT!N2686,CHOOSE({1,2},INPUT!$A$3:$A$5000&amp;INPUT!$C$3:$C$5000,INPUT!$F$3:$F$5000),2,FALSE),"")</f>
        <v>0</v>
      </c>
      <c r="H2691" cm="1">
        <f t="array" ref="H2691">IFERROR(VLOOKUP(INPUT!M2686&amp;INPUT!N2686,CHOOSE({1,2},INPUT!$A$3:$A$5000&amp;INPUT!$C$3:$C$5000,INPUT!$D$3:$D$5000),2,FALSE),"")</f>
        <v>0</v>
      </c>
      <c r="I2691" s="46" t="str">
        <f>IF(INPUT!P2686="","",INPUT!P2686)</f>
        <v/>
      </c>
      <c r="J2691" s="46" t="str">
        <f>IF(INPUT!Q2686="","",INPUT!Q2686)</f>
        <v/>
      </c>
      <c r="K2691" s="46" t="str">
        <f>IFERROR(IF(OR(INPUT!P2686="",INPUT!Q2686=""),"",INPUT!P2686-INPUT!Q2686),"")</f>
        <v/>
      </c>
      <c r="L2691" s="48" t="str">
        <f>IFERROR(IF(OR(INPUT!P2686="",INPUT!Q2686="",INPUT!P2686=0),"",(INPUT!P2686-INPUT!Q2686)/INPUT!P2686),"")</f>
        <v/>
      </c>
    </row>
    <row r="2692" spans="1:12" ht="18" hidden="1" customHeight="1" x14ac:dyDescent="0.2">
      <c r="A2692" s="11" t="str">
        <f>IF(INPUT!M2687="","",INPUT!M2687)</f>
        <v/>
      </c>
      <c r="B2692" s="11" t="str">
        <f>IF(INPUT!M2687="","",INPUT!M2687-WEEKDAY(INPUT!M2687,2)+1)</f>
        <v/>
      </c>
      <c r="C2692" s="20">
        <f>IFERROR(_xlfn.ISOWEEKNUM(INPUT!M2687),"")</f>
        <v>52</v>
      </c>
      <c r="D2692" s="20">
        <f>IFERROR(YEAR(INPUT!M2687),"")</f>
        <v>1900</v>
      </c>
      <c r="E2692" t="str">
        <f>IF(INPUT!O2687="","",INPUT!O2687)</f>
        <v/>
      </c>
      <c r="F2692" t="str">
        <f>IF(INPUT!N2687="","",INPUT!N2687)</f>
        <v/>
      </c>
      <c r="G2692" cm="1">
        <f t="array" ref="G2692">IFERROR(VLOOKUP(INPUT!M2687&amp;INPUT!N2687,CHOOSE({1,2},INPUT!$A$3:$A$5000&amp;INPUT!$C$3:$C$5000,INPUT!$F$3:$F$5000),2,FALSE),"")</f>
        <v>0</v>
      </c>
      <c r="H2692" cm="1">
        <f t="array" ref="H2692">IFERROR(VLOOKUP(INPUT!M2687&amp;INPUT!N2687,CHOOSE({1,2},INPUT!$A$3:$A$5000&amp;INPUT!$C$3:$C$5000,INPUT!$D$3:$D$5000),2,FALSE),"")</f>
        <v>0</v>
      </c>
      <c r="I2692" s="46" t="str">
        <f>IF(INPUT!P2687="","",INPUT!P2687)</f>
        <v/>
      </c>
      <c r="J2692" s="46" t="str">
        <f>IF(INPUT!Q2687="","",INPUT!Q2687)</f>
        <v/>
      </c>
      <c r="K2692" s="46" t="str">
        <f>IFERROR(IF(OR(INPUT!P2687="",INPUT!Q2687=""),"",INPUT!P2687-INPUT!Q2687),"")</f>
        <v/>
      </c>
      <c r="L2692" s="48" t="str">
        <f>IFERROR(IF(OR(INPUT!P2687="",INPUT!Q2687="",INPUT!P2687=0),"",(INPUT!P2687-INPUT!Q2687)/INPUT!P2687),"")</f>
        <v/>
      </c>
    </row>
    <row r="2693" spans="1:12" ht="18" hidden="1" customHeight="1" x14ac:dyDescent="0.2">
      <c r="A2693" s="11" t="str">
        <f>IF(INPUT!M2688="","",INPUT!M2688)</f>
        <v/>
      </c>
      <c r="B2693" s="11" t="str">
        <f>IF(INPUT!M2688="","",INPUT!M2688-WEEKDAY(INPUT!M2688,2)+1)</f>
        <v/>
      </c>
      <c r="C2693" s="20">
        <f>IFERROR(_xlfn.ISOWEEKNUM(INPUT!M2688),"")</f>
        <v>52</v>
      </c>
      <c r="D2693" s="20">
        <f>IFERROR(YEAR(INPUT!M2688),"")</f>
        <v>1900</v>
      </c>
      <c r="E2693" t="str">
        <f>IF(INPUT!O2688="","",INPUT!O2688)</f>
        <v/>
      </c>
      <c r="F2693" t="str">
        <f>IF(INPUT!N2688="","",INPUT!N2688)</f>
        <v/>
      </c>
      <c r="G2693" cm="1">
        <f t="array" ref="G2693">IFERROR(VLOOKUP(INPUT!M2688&amp;INPUT!N2688,CHOOSE({1,2},INPUT!$A$3:$A$5000&amp;INPUT!$C$3:$C$5000,INPUT!$F$3:$F$5000),2,FALSE),"")</f>
        <v>0</v>
      </c>
      <c r="H2693" cm="1">
        <f t="array" ref="H2693">IFERROR(VLOOKUP(INPUT!M2688&amp;INPUT!N2688,CHOOSE({1,2},INPUT!$A$3:$A$5000&amp;INPUT!$C$3:$C$5000,INPUT!$D$3:$D$5000),2,FALSE),"")</f>
        <v>0</v>
      </c>
      <c r="I2693" s="46" t="str">
        <f>IF(INPUT!P2688="","",INPUT!P2688)</f>
        <v/>
      </c>
      <c r="J2693" s="46" t="str">
        <f>IF(INPUT!Q2688="","",INPUT!Q2688)</f>
        <v/>
      </c>
      <c r="K2693" s="46" t="str">
        <f>IFERROR(IF(OR(INPUT!P2688="",INPUT!Q2688=""),"",INPUT!P2688-INPUT!Q2688),"")</f>
        <v/>
      </c>
      <c r="L2693" s="48" t="str">
        <f>IFERROR(IF(OR(INPUT!P2688="",INPUT!Q2688="",INPUT!P2688=0),"",(INPUT!P2688-INPUT!Q2688)/INPUT!P2688),"")</f>
        <v/>
      </c>
    </row>
    <row r="2694" spans="1:12" ht="18" hidden="1" customHeight="1" x14ac:dyDescent="0.2">
      <c r="A2694" s="11" t="str">
        <f>IF(INPUT!M2689="","",INPUT!M2689)</f>
        <v/>
      </c>
      <c r="B2694" s="11" t="str">
        <f>IF(INPUT!M2689="","",INPUT!M2689-WEEKDAY(INPUT!M2689,2)+1)</f>
        <v/>
      </c>
      <c r="C2694" s="20">
        <f>IFERROR(_xlfn.ISOWEEKNUM(INPUT!M2689),"")</f>
        <v>52</v>
      </c>
      <c r="D2694" s="20">
        <f>IFERROR(YEAR(INPUT!M2689),"")</f>
        <v>1900</v>
      </c>
      <c r="E2694" t="str">
        <f>IF(INPUT!O2689="","",INPUT!O2689)</f>
        <v/>
      </c>
      <c r="F2694" t="str">
        <f>IF(INPUT!N2689="","",INPUT!N2689)</f>
        <v/>
      </c>
      <c r="G2694" cm="1">
        <f t="array" ref="G2694">IFERROR(VLOOKUP(INPUT!M2689&amp;INPUT!N2689,CHOOSE({1,2},INPUT!$A$3:$A$5000&amp;INPUT!$C$3:$C$5000,INPUT!$F$3:$F$5000),2,FALSE),"")</f>
        <v>0</v>
      </c>
      <c r="H2694" cm="1">
        <f t="array" ref="H2694">IFERROR(VLOOKUP(INPUT!M2689&amp;INPUT!N2689,CHOOSE({1,2},INPUT!$A$3:$A$5000&amp;INPUT!$C$3:$C$5000,INPUT!$D$3:$D$5000),2,FALSE),"")</f>
        <v>0</v>
      </c>
      <c r="I2694" s="46" t="str">
        <f>IF(INPUT!P2689="","",INPUT!P2689)</f>
        <v/>
      </c>
      <c r="J2694" s="46" t="str">
        <f>IF(INPUT!Q2689="","",INPUT!Q2689)</f>
        <v/>
      </c>
      <c r="K2694" s="46" t="str">
        <f>IFERROR(IF(OR(INPUT!P2689="",INPUT!Q2689=""),"",INPUT!P2689-INPUT!Q2689),"")</f>
        <v/>
      </c>
      <c r="L2694" s="48" t="str">
        <f>IFERROR(IF(OR(INPUT!P2689="",INPUT!Q2689="",INPUT!P2689=0),"",(INPUT!P2689-INPUT!Q2689)/INPUT!P2689),"")</f>
        <v/>
      </c>
    </row>
    <row r="2695" spans="1:12" ht="18" hidden="1" customHeight="1" x14ac:dyDescent="0.2">
      <c r="A2695" s="11" t="str">
        <f>IF(INPUT!M2690="","",INPUT!M2690)</f>
        <v/>
      </c>
      <c r="B2695" s="11" t="str">
        <f>IF(INPUT!M2690="","",INPUT!M2690-WEEKDAY(INPUT!M2690,2)+1)</f>
        <v/>
      </c>
      <c r="C2695" s="20">
        <f>IFERROR(_xlfn.ISOWEEKNUM(INPUT!M2690),"")</f>
        <v>52</v>
      </c>
      <c r="D2695" s="20">
        <f>IFERROR(YEAR(INPUT!M2690),"")</f>
        <v>1900</v>
      </c>
      <c r="E2695" t="str">
        <f>IF(INPUT!O2690="","",INPUT!O2690)</f>
        <v/>
      </c>
      <c r="F2695" t="str">
        <f>IF(INPUT!N2690="","",INPUT!N2690)</f>
        <v/>
      </c>
      <c r="G2695" cm="1">
        <f t="array" ref="G2695">IFERROR(VLOOKUP(INPUT!M2690&amp;INPUT!N2690,CHOOSE({1,2},INPUT!$A$3:$A$5000&amp;INPUT!$C$3:$C$5000,INPUT!$F$3:$F$5000),2,FALSE),"")</f>
        <v>0</v>
      </c>
      <c r="H2695" cm="1">
        <f t="array" ref="H2695">IFERROR(VLOOKUP(INPUT!M2690&amp;INPUT!N2690,CHOOSE({1,2},INPUT!$A$3:$A$5000&amp;INPUT!$C$3:$C$5000,INPUT!$D$3:$D$5000),2,FALSE),"")</f>
        <v>0</v>
      </c>
      <c r="I2695" s="46" t="str">
        <f>IF(INPUT!P2690="","",INPUT!P2690)</f>
        <v/>
      </c>
      <c r="J2695" s="46" t="str">
        <f>IF(INPUT!Q2690="","",INPUT!Q2690)</f>
        <v/>
      </c>
      <c r="K2695" s="46" t="str">
        <f>IFERROR(IF(OR(INPUT!P2690="",INPUT!Q2690=""),"",INPUT!P2690-INPUT!Q2690),"")</f>
        <v/>
      </c>
      <c r="L2695" s="48" t="str">
        <f>IFERROR(IF(OR(INPUT!P2690="",INPUT!Q2690="",INPUT!P2690=0),"",(INPUT!P2690-INPUT!Q2690)/INPUT!P2690),"")</f>
        <v/>
      </c>
    </row>
    <row r="2696" spans="1:12" ht="18" hidden="1" customHeight="1" x14ac:dyDescent="0.2">
      <c r="A2696" s="11" t="str">
        <f>IF(INPUT!M2691="","",INPUT!M2691)</f>
        <v/>
      </c>
      <c r="B2696" s="11" t="str">
        <f>IF(INPUT!M2691="","",INPUT!M2691-WEEKDAY(INPUT!M2691,2)+1)</f>
        <v/>
      </c>
      <c r="C2696" s="20">
        <f>IFERROR(_xlfn.ISOWEEKNUM(INPUT!M2691),"")</f>
        <v>52</v>
      </c>
      <c r="D2696" s="20">
        <f>IFERROR(YEAR(INPUT!M2691),"")</f>
        <v>1900</v>
      </c>
      <c r="E2696" t="str">
        <f>IF(INPUT!O2691="","",INPUT!O2691)</f>
        <v/>
      </c>
      <c r="F2696" t="str">
        <f>IF(INPUT!N2691="","",INPUT!N2691)</f>
        <v/>
      </c>
      <c r="G2696" cm="1">
        <f t="array" ref="G2696">IFERROR(VLOOKUP(INPUT!M2691&amp;INPUT!N2691,CHOOSE({1,2},INPUT!$A$3:$A$5000&amp;INPUT!$C$3:$C$5000,INPUT!$F$3:$F$5000),2,FALSE),"")</f>
        <v>0</v>
      </c>
      <c r="H2696" cm="1">
        <f t="array" ref="H2696">IFERROR(VLOOKUP(INPUT!M2691&amp;INPUT!N2691,CHOOSE({1,2},INPUT!$A$3:$A$5000&amp;INPUT!$C$3:$C$5000,INPUT!$D$3:$D$5000),2,FALSE),"")</f>
        <v>0</v>
      </c>
      <c r="I2696" s="46" t="str">
        <f>IF(INPUT!P2691="","",INPUT!P2691)</f>
        <v/>
      </c>
      <c r="J2696" s="46" t="str">
        <f>IF(INPUT!Q2691="","",INPUT!Q2691)</f>
        <v/>
      </c>
      <c r="K2696" s="46" t="str">
        <f>IFERROR(IF(OR(INPUT!P2691="",INPUT!Q2691=""),"",INPUT!P2691-INPUT!Q2691),"")</f>
        <v/>
      </c>
      <c r="L2696" s="48" t="str">
        <f>IFERROR(IF(OR(INPUT!P2691="",INPUT!Q2691="",INPUT!P2691=0),"",(INPUT!P2691-INPUT!Q2691)/INPUT!P2691),"")</f>
        <v/>
      </c>
    </row>
    <row r="2697" spans="1:12" ht="18" hidden="1" customHeight="1" x14ac:dyDescent="0.2">
      <c r="A2697" s="11" t="str">
        <f>IF(INPUT!M2692="","",INPUT!M2692)</f>
        <v/>
      </c>
      <c r="B2697" s="11" t="str">
        <f>IF(INPUT!M2692="","",INPUT!M2692-WEEKDAY(INPUT!M2692,2)+1)</f>
        <v/>
      </c>
      <c r="C2697" s="20">
        <f>IFERROR(_xlfn.ISOWEEKNUM(INPUT!M2692),"")</f>
        <v>52</v>
      </c>
      <c r="D2697" s="20">
        <f>IFERROR(YEAR(INPUT!M2692),"")</f>
        <v>1900</v>
      </c>
      <c r="E2697" t="str">
        <f>IF(INPUT!O2692="","",INPUT!O2692)</f>
        <v/>
      </c>
      <c r="F2697" t="str">
        <f>IF(INPUT!N2692="","",INPUT!N2692)</f>
        <v/>
      </c>
      <c r="G2697" cm="1">
        <f t="array" ref="G2697">IFERROR(VLOOKUP(INPUT!M2692&amp;INPUT!N2692,CHOOSE({1,2},INPUT!$A$3:$A$5000&amp;INPUT!$C$3:$C$5000,INPUT!$F$3:$F$5000),2,FALSE),"")</f>
        <v>0</v>
      </c>
      <c r="H2697" cm="1">
        <f t="array" ref="H2697">IFERROR(VLOOKUP(INPUT!M2692&amp;INPUT!N2692,CHOOSE({1,2},INPUT!$A$3:$A$5000&amp;INPUT!$C$3:$C$5000,INPUT!$D$3:$D$5000),2,FALSE),"")</f>
        <v>0</v>
      </c>
      <c r="I2697" s="46" t="str">
        <f>IF(INPUT!P2692="","",INPUT!P2692)</f>
        <v/>
      </c>
      <c r="J2697" s="46" t="str">
        <f>IF(INPUT!Q2692="","",INPUT!Q2692)</f>
        <v/>
      </c>
      <c r="K2697" s="46" t="str">
        <f>IFERROR(IF(OR(INPUT!P2692="",INPUT!Q2692=""),"",INPUT!P2692-INPUT!Q2692),"")</f>
        <v/>
      </c>
      <c r="L2697" s="48" t="str">
        <f>IFERROR(IF(OR(INPUT!P2692="",INPUT!Q2692="",INPUT!P2692=0),"",(INPUT!P2692-INPUT!Q2692)/INPUT!P2692),"")</f>
        <v/>
      </c>
    </row>
    <row r="2698" spans="1:12" ht="18" hidden="1" customHeight="1" x14ac:dyDescent="0.2">
      <c r="A2698" s="11" t="str">
        <f>IF(INPUT!M2693="","",INPUT!M2693)</f>
        <v/>
      </c>
      <c r="B2698" s="11" t="str">
        <f>IF(INPUT!M2693="","",INPUT!M2693-WEEKDAY(INPUT!M2693,2)+1)</f>
        <v/>
      </c>
      <c r="C2698" s="20">
        <f>IFERROR(_xlfn.ISOWEEKNUM(INPUT!M2693),"")</f>
        <v>52</v>
      </c>
      <c r="D2698" s="20">
        <f>IFERROR(YEAR(INPUT!M2693),"")</f>
        <v>1900</v>
      </c>
      <c r="E2698" t="str">
        <f>IF(INPUT!O2693="","",INPUT!O2693)</f>
        <v/>
      </c>
      <c r="F2698" t="str">
        <f>IF(INPUT!N2693="","",INPUT!N2693)</f>
        <v/>
      </c>
      <c r="G2698" cm="1">
        <f t="array" ref="G2698">IFERROR(VLOOKUP(INPUT!M2693&amp;INPUT!N2693,CHOOSE({1,2},INPUT!$A$3:$A$5000&amp;INPUT!$C$3:$C$5000,INPUT!$F$3:$F$5000),2,FALSE),"")</f>
        <v>0</v>
      </c>
      <c r="H2698" cm="1">
        <f t="array" ref="H2698">IFERROR(VLOOKUP(INPUT!M2693&amp;INPUT!N2693,CHOOSE({1,2},INPUT!$A$3:$A$5000&amp;INPUT!$C$3:$C$5000,INPUT!$D$3:$D$5000),2,FALSE),"")</f>
        <v>0</v>
      </c>
      <c r="I2698" s="46" t="str">
        <f>IF(INPUT!P2693="","",INPUT!P2693)</f>
        <v/>
      </c>
      <c r="J2698" s="46" t="str">
        <f>IF(INPUT!Q2693="","",INPUT!Q2693)</f>
        <v/>
      </c>
      <c r="K2698" s="46" t="str">
        <f>IFERROR(IF(OR(INPUT!P2693="",INPUT!Q2693=""),"",INPUT!P2693-INPUT!Q2693),"")</f>
        <v/>
      </c>
      <c r="L2698" s="48" t="str">
        <f>IFERROR(IF(OR(INPUT!P2693="",INPUT!Q2693="",INPUT!P2693=0),"",(INPUT!P2693-INPUT!Q2693)/INPUT!P2693),"")</f>
        <v/>
      </c>
    </row>
    <row r="2699" spans="1:12" ht="18" hidden="1" customHeight="1" x14ac:dyDescent="0.2">
      <c r="A2699" s="11" t="str">
        <f>IF(INPUT!M2694="","",INPUT!M2694)</f>
        <v/>
      </c>
      <c r="B2699" s="11" t="str">
        <f>IF(INPUT!M2694="","",INPUT!M2694-WEEKDAY(INPUT!M2694,2)+1)</f>
        <v/>
      </c>
      <c r="C2699" s="20">
        <f>IFERROR(_xlfn.ISOWEEKNUM(INPUT!M2694),"")</f>
        <v>52</v>
      </c>
      <c r="D2699" s="20">
        <f>IFERROR(YEAR(INPUT!M2694),"")</f>
        <v>1900</v>
      </c>
      <c r="E2699" t="str">
        <f>IF(INPUT!O2694="","",INPUT!O2694)</f>
        <v/>
      </c>
      <c r="F2699" t="str">
        <f>IF(INPUT!N2694="","",INPUT!N2694)</f>
        <v/>
      </c>
      <c r="G2699" cm="1">
        <f t="array" ref="G2699">IFERROR(VLOOKUP(INPUT!M2694&amp;INPUT!N2694,CHOOSE({1,2},INPUT!$A$3:$A$5000&amp;INPUT!$C$3:$C$5000,INPUT!$F$3:$F$5000),2,FALSE),"")</f>
        <v>0</v>
      </c>
      <c r="H2699" cm="1">
        <f t="array" ref="H2699">IFERROR(VLOOKUP(INPUT!M2694&amp;INPUT!N2694,CHOOSE({1,2},INPUT!$A$3:$A$5000&amp;INPUT!$C$3:$C$5000,INPUT!$D$3:$D$5000),2,FALSE),"")</f>
        <v>0</v>
      </c>
      <c r="I2699" s="46" t="str">
        <f>IF(INPUT!P2694="","",INPUT!P2694)</f>
        <v/>
      </c>
      <c r="J2699" s="46" t="str">
        <f>IF(INPUT!Q2694="","",INPUT!Q2694)</f>
        <v/>
      </c>
      <c r="K2699" s="46" t="str">
        <f>IFERROR(IF(OR(INPUT!P2694="",INPUT!Q2694=""),"",INPUT!P2694-INPUT!Q2694),"")</f>
        <v/>
      </c>
      <c r="L2699" s="48" t="str">
        <f>IFERROR(IF(OR(INPUT!P2694="",INPUT!Q2694="",INPUT!P2694=0),"",(INPUT!P2694-INPUT!Q2694)/INPUT!P2694),"")</f>
        <v/>
      </c>
    </row>
    <row r="2700" spans="1:12" ht="18" hidden="1" customHeight="1" x14ac:dyDescent="0.2">
      <c r="A2700" s="11" t="str">
        <f>IF(INPUT!M2695="","",INPUT!M2695)</f>
        <v/>
      </c>
      <c r="B2700" s="11" t="str">
        <f>IF(INPUT!M2695="","",INPUT!M2695-WEEKDAY(INPUT!M2695,2)+1)</f>
        <v/>
      </c>
      <c r="C2700" s="20">
        <f>IFERROR(_xlfn.ISOWEEKNUM(INPUT!M2695),"")</f>
        <v>52</v>
      </c>
      <c r="D2700" s="20">
        <f>IFERROR(YEAR(INPUT!M2695),"")</f>
        <v>1900</v>
      </c>
      <c r="E2700" t="str">
        <f>IF(INPUT!O2695="","",INPUT!O2695)</f>
        <v/>
      </c>
      <c r="F2700" t="str">
        <f>IF(INPUT!N2695="","",INPUT!N2695)</f>
        <v/>
      </c>
      <c r="G2700" cm="1">
        <f t="array" ref="G2700">IFERROR(VLOOKUP(INPUT!M2695&amp;INPUT!N2695,CHOOSE({1,2},INPUT!$A$3:$A$5000&amp;INPUT!$C$3:$C$5000,INPUT!$F$3:$F$5000),2,FALSE),"")</f>
        <v>0</v>
      </c>
      <c r="H2700" cm="1">
        <f t="array" ref="H2700">IFERROR(VLOOKUP(INPUT!M2695&amp;INPUT!N2695,CHOOSE({1,2},INPUT!$A$3:$A$5000&amp;INPUT!$C$3:$C$5000,INPUT!$D$3:$D$5000),2,FALSE),"")</f>
        <v>0</v>
      </c>
      <c r="I2700" s="46" t="str">
        <f>IF(INPUT!P2695="","",INPUT!P2695)</f>
        <v/>
      </c>
      <c r="J2700" s="46" t="str">
        <f>IF(INPUT!Q2695="","",INPUT!Q2695)</f>
        <v/>
      </c>
      <c r="K2700" s="46" t="str">
        <f>IFERROR(IF(OR(INPUT!P2695="",INPUT!Q2695=""),"",INPUT!P2695-INPUT!Q2695),"")</f>
        <v/>
      </c>
      <c r="L2700" s="48" t="str">
        <f>IFERROR(IF(OR(INPUT!P2695="",INPUT!Q2695="",INPUT!P2695=0),"",(INPUT!P2695-INPUT!Q2695)/INPUT!P2695),"")</f>
        <v/>
      </c>
    </row>
    <row r="2701" spans="1:12" ht="18" hidden="1" customHeight="1" x14ac:dyDescent="0.2">
      <c r="A2701" s="11" t="str">
        <f>IF(INPUT!M2696="","",INPUT!M2696)</f>
        <v/>
      </c>
      <c r="B2701" s="11" t="str">
        <f>IF(INPUT!M2696="","",INPUT!M2696-WEEKDAY(INPUT!M2696,2)+1)</f>
        <v/>
      </c>
      <c r="C2701" s="20">
        <f>IFERROR(_xlfn.ISOWEEKNUM(INPUT!M2696),"")</f>
        <v>52</v>
      </c>
      <c r="D2701" s="20">
        <f>IFERROR(YEAR(INPUT!M2696),"")</f>
        <v>1900</v>
      </c>
      <c r="E2701" t="str">
        <f>IF(INPUT!O2696="","",INPUT!O2696)</f>
        <v/>
      </c>
      <c r="F2701" t="str">
        <f>IF(INPUT!N2696="","",INPUT!N2696)</f>
        <v/>
      </c>
      <c r="G2701" cm="1">
        <f t="array" ref="G2701">IFERROR(VLOOKUP(INPUT!M2696&amp;INPUT!N2696,CHOOSE({1,2},INPUT!$A$3:$A$5000&amp;INPUT!$C$3:$C$5000,INPUT!$F$3:$F$5000),2,FALSE),"")</f>
        <v>0</v>
      </c>
      <c r="H2701" cm="1">
        <f t="array" ref="H2701">IFERROR(VLOOKUP(INPUT!M2696&amp;INPUT!N2696,CHOOSE({1,2},INPUT!$A$3:$A$5000&amp;INPUT!$C$3:$C$5000,INPUT!$D$3:$D$5000),2,FALSE),"")</f>
        <v>0</v>
      </c>
      <c r="I2701" s="46" t="str">
        <f>IF(INPUT!P2696="","",INPUT!P2696)</f>
        <v/>
      </c>
      <c r="J2701" s="46" t="str">
        <f>IF(INPUT!Q2696="","",INPUT!Q2696)</f>
        <v/>
      </c>
      <c r="K2701" s="46" t="str">
        <f>IFERROR(IF(OR(INPUT!P2696="",INPUT!Q2696=""),"",INPUT!P2696-INPUT!Q2696),"")</f>
        <v/>
      </c>
      <c r="L2701" s="48" t="str">
        <f>IFERROR(IF(OR(INPUT!P2696="",INPUT!Q2696="",INPUT!P2696=0),"",(INPUT!P2696-INPUT!Q2696)/INPUT!P2696),"")</f>
        <v/>
      </c>
    </row>
    <row r="2702" spans="1:12" ht="18" hidden="1" customHeight="1" x14ac:dyDescent="0.2">
      <c r="A2702" s="11" t="str">
        <f>IF(INPUT!M2697="","",INPUT!M2697)</f>
        <v/>
      </c>
      <c r="B2702" s="11" t="str">
        <f>IF(INPUT!M2697="","",INPUT!M2697-WEEKDAY(INPUT!M2697,2)+1)</f>
        <v/>
      </c>
      <c r="C2702" s="20">
        <f>IFERROR(_xlfn.ISOWEEKNUM(INPUT!M2697),"")</f>
        <v>52</v>
      </c>
      <c r="D2702" s="20">
        <f>IFERROR(YEAR(INPUT!M2697),"")</f>
        <v>1900</v>
      </c>
      <c r="E2702" t="str">
        <f>IF(INPUT!O2697="","",INPUT!O2697)</f>
        <v/>
      </c>
      <c r="F2702" t="str">
        <f>IF(INPUT!N2697="","",INPUT!N2697)</f>
        <v/>
      </c>
      <c r="G2702" cm="1">
        <f t="array" ref="G2702">IFERROR(VLOOKUP(INPUT!M2697&amp;INPUT!N2697,CHOOSE({1,2},INPUT!$A$3:$A$5000&amp;INPUT!$C$3:$C$5000,INPUT!$F$3:$F$5000),2,FALSE),"")</f>
        <v>0</v>
      </c>
      <c r="H2702" cm="1">
        <f t="array" ref="H2702">IFERROR(VLOOKUP(INPUT!M2697&amp;INPUT!N2697,CHOOSE({1,2},INPUT!$A$3:$A$5000&amp;INPUT!$C$3:$C$5000,INPUT!$D$3:$D$5000),2,FALSE),"")</f>
        <v>0</v>
      </c>
      <c r="I2702" s="46" t="str">
        <f>IF(INPUT!P2697="","",INPUT!P2697)</f>
        <v/>
      </c>
      <c r="J2702" s="46" t="str">
        <f>IF(INPUT!Q2697="","",INPUT!Q2697)</f>
        <v/>
      </c>
      <c r="K2702" s="46" t="str">
        <f>IFERROR(IF(OR(INPUT!P2697="",INPUT!Q2697=""),"",INPUT!P2697-INPUT!Q2697),"")</f>
        <v/>
      </c>
      <c r="L2702" s="48" t="str">
        <f>IFERROR(IF(OR(INPUT!P2697="",INPUT!Q2697="",INPUT!P2697=0),"",(INPUT!P2697-INPUT!Q2697)/INPUT!P2697),"")</f>
        <v/>
      </c>
    </row>
    <row r="2703" spans="1:12" ht="18" hidden="1" customHeight="1" x14ac:dyDescent="0.2">
      <c r="A2703" s="11" t="str">
        <f>IF(INPUT!M2698="","",INPUT!M2698)</f>
        <v/>
      </c>
      <c r="B2703" s="11" t="str">
        <f>IF(INPUT!M2698="","",INPUT!M2698-WEEKDAY(INPUT!M2698,2)+1)</f>
        <v/>
      </c>
      <c r="C2703" s="20">
        <f>IFERROR(_xlfn.ISOWEEKNUM(INPUT!M2698),"")</f>
        <v>52</v>
      </c>
      <c r="D2703" s="20">
        <f>IFERROR(YEAR(INPUT!M2698),"")</f>
        <v>1900</v>
      </c>
      <c r="E2703" t="str">
        <f>IF(INPUT!O2698="","",INPUT!O2698)</f>
        <v/>
      </c>
      <c r="F2703" t="str">
        <f>IF(INPUT!N2698="","",INPUT!N2698)</f>
        <v/>
      </c>
      <c r="G2703" cm="1">
        <f t="array" ref="G2703">IFERROR(VLOOKUP(INPUT!M2698&amp;INPUT!N2698,CHOOSE({1,2},INPUT!$A$3:$A$5000&amp;INPUT!$C$3:$C$5000,INPUT!$F$3:$F$5000),2,FALSE),"")</f>
        <v>0</v>
      </c>
      <c r="H2703" cm="1">
        <f t="array" ref="H2703">IFERROR(VLOOKUP(INPUT!M2698&amp;INPUT!N2698,CHOOSE({1,2},INPUT!$A$3:$A$5000&amp;INPUT!$C$3:$C$5000,INPUT!$D$3:$D$5000),2,FALSE),"")</f>
        <v>0</v>
      </c>
      <c r="I2703" s="46" t="str">
        <f>IF(INPUT!P2698="","",INPUT!P2698)</f>
        <v/>
      </c>
      <c r="J2703" s="46" t="str">
        <f>IF(INPUT!Q2698="","",INPUT!Q2698)</f>
        <v/>
      </c>
      <c r="K2703" s="46" t="str">
        <f>IFERROR(IF(OR(INPUT!P2698="",INPUT!Q2698=""),"",INPUT!P2698-INPUT!Q2698),"")</f>
        <v/>
      </c>
      <c r="L2703" s="48" t="str">
        <f>IFERROR(IF(OR(INPUT!P2698="",INPUT!Q2698="",INPUT!P2698=0),"",(INPUT!P2698-INPUT!Q2698)/INPUT!P2698),"")</f>
        <v/>
      </c>
    </row>
    <row r="2704" spans="1:12" ht="18" hidden="1" customHeight="1" x14ac:dyDescent="0.2">
      <c r="A2704" s="11" t="str">
        <f>IF(INPUT!M2699="","",INPUT!M2699)</f>
        <v/>
      </c>
      <c r="B2704" s="11" t="str">
        <f>IF(INPUT!M2699="","",INPUT!M2699-WEEKDAY(INPUT!M2699,2)+1)</f>
        <v/>
      </c>
      <c r="C2704" s="20">
        <f>IFERROR(_xlfn.ISOWEEKNUM(INPUT!M2699),"")</f>
        <v>52</v>
      </c>
      <c r="D2704" s="20">
        <f>IFERROR(YEAR(INPUT!M2699),"")</f>
        <v>1900</v>
      </c>
      <c r="E2704" t="str">
        <f>IF(INPUT!O2699="","",INPUT!O2699)</f>
        <v/>
      </c>
      <c r="F2704" t="str">
        <f>IF(INPUT!N2699="","",INPUT!N2699)</f>
        <v/>
      </c>
      <c r="G2704" cm="1">
        <f t="array" ref="G2704">IFERROR(VLOOKUP(INPUT!M2699&amp;INPUT!N2699,CHOOSE({1,2},INPUT!$A$3:$A$5000&amp;INPUT!$C$3:$C$5000,INPUT!$F$3:$F$5000),2,FALSE),"")</f>
        <v>0</v>
      </c>
      <c r="H2704" cm="1">
        <f t="array" ref="H2704">IFERROR(VLOOKUP(INPUT!M2699&amp;INPUT!N2699,CHOOSE({1,2},INPUT!$A$3:$A$5000&amp;INPUT!$C$3:$C$5000,INPUT!$D$3:$D$5000),2,FALSE),"")</f>
        <v>0</v>
      </c>
      <c r="I2704" s="46" t="str">
        <f>IF(INPUT!P2699="","",INPUT!P2699)</f>
        <v/>
      </c>
      <c r="J2704" s="46" t="str">
        <f>IF(INPUT!Q2699="","",INPUT!Q2699)</f>
        <v/>
      </c>
      <c r="K2704" s="46" t="str">
        <f>IFERROR(IF(OR(INPUT!P2699="",INPUT!Q2699=""),"",INPUT!P2699-INPUT!Q2699),"")</f>
        <v/>
      </c>
      <c r="L2704" s="48" t="str">
        <f>IFERROR(IF(OR(INPUT!P2699="",INPUT!Q2699="",INPUT!P2699=0),"",(INPUT!P2699-INPUT!Q2699)/INPUT!P2699),"")</f>
        <v/>
      </c>
    </row>
    <row r="2705" spans="1:12" ht="18" hidden="1" customHeight="1" x14ac:dyDescent="0.2">
      <c r="A2705" s="11" t="str">
        <f>IF(INPUT!M2700="","",INPUT!M2700)</f>
        <v/>
      </c>
      <c r="B2705" s="11" t="str">
        <f>IF(INPUT!M2700="","",INPUT!M2700-WEEKDAY(INPUT!M2700,2)+1)</f>
        <v/>
      </c>
      <c r="C2705" s="20">
        <f>IFERROR(_xlfn.ISOWEEKNUM(INPUT!M2700),"")</f>
        <v>52</v>
      </c>
      <c r="D2705" s="20">
        <f>IFERROR(YEAR(INPUT!M2700),"")</f>
        <v>1900</v>
      </c>
      <c r="E2705" t="str">
        <f>IF(INPUT!O2700="","",INPUT!O2700)</f>
        <v/>
      </c>
      <c r="F2705" t="str">
        <f>IF(INPUT!N2700="","",INPUT!N2700)</f>
        <v/>
      </c>
      <c r="G2705" cm="1">
        <f t="array" ref="G2705">IFERROR(VLOOKUP(INPUT!M2700&amp;INPUT!N2700,CHOOSE({1,2},INPUT!$A$3:$A$5000&amp;INPUT!$C$3:$C$5000,INPUT!$F$3:$F$5000),2,FALSE),"")</f>
        <v>0</v>
      </c>
      <c r="H2705" cm="1">
        <f t="array" ref="H2705">IFERROR(VLOOKUP(INPUT!M2700&amp;INPUT!N2700,CHOOSE({1,2},INPUT!$A$3:$A$5000&amp;INPUT!$C$3:$C$5000,INPUT!$D$3:$D$5000),2,FALSE),"")</f>
        <v>0</v>
      </c>
      <c r="I2705" s="46" t="str">
        <f>IF(INPUT!P2700="","",INPUT!P2700)</f>
        <v/>
      </c>
      <c r="J2705" s="46" t="str">
        <f>IF(INPUT!Q2700="","",INPUT!Q2700)</f>
        <v/>
      </c>
      <c r="K2705" s="46" t="str">
        <f>IFERROR(IF(OR(INPUT!P2700="",INPUT!Q2700=""),"",INPUT!P2700-INPUT!Q2700),"")</f>
        <v/>
      </c>
      <c r="L2705" s="48" t="str">
        <f>IFERROR(IF(OR(INPUT!P2700="",INPUT!Q2700="",INPUT!P2700=0),"",(INPUT!P2700-INPUT!Q2700)/INPUT!P2700),"")</f>
        <v/>
      </c>
    </row>
    <row r="2706" spans="1:12" ht="18" hidden="1" customHeight="1" x14ac:dyDescent="0.2">
      <c r="A2706" s="11" t="str">
        <f>IF(INPUT!M2701="","",INPUT!M2701)</f>
        <v/>
      </c>
      <c r="B2706" s="11" t="str">
        <f>IF(INPUT!M2701="","",INPUT!M2701-WEEKDAY(INPUT!M2701,2)+1)</f>
        <v/>
      </c>
      <c r="C2706" s="20">
        <f>IFERROR(_xlfn.ISOWEEKNUM(INPUT!M2701),"")</f>
        <v>52</v>
      </c>
      <c r="D2706" s="20">
        <f>IFERROR(YEAR(INPUT!M2701),"")</f>
        <v>1900</v>
      </c>
      <c r="E2706" t="str">
        <f>IF(INPUT!O2701="","",INPUT!O2701)</f>
        <v/>
      </c>
      <c r="F2706" t="str">
        <f>IF(INPUT!N2701="","",INPUT!N2701)</f>
        <v/>
      </c>
      <c r="G2706" cm="1">
        <f t="array" ref="G2706">IFERROR(VLOOKUP(INPUT!M2701&amp;INPUT!N2701,CHOOSE({1,2},INPUT!$A$3:$A$5000&amp;INPUT!$C$3:$C$5000,INPUT!$F$3:$F$5000),2,FALSE),"")</f>
        <v>0</v>
      </c>
      <c r="H2706" cm="1">
        <f t="array" ref="H2706">IFERROR(VLOOKUP(INPUT!M2701&amp;INPUT!N2701,CHOOSE({1,2},INPUT!$A$3:$A$5000&amp;INPUT!$C$3:$C$5000,INPUT!$D$3:$D$5000),2,FALSE),"")</f>
        <v>0</v>
      </c>
      <c r="I2706" s="46" t="str">
        <f>IF(INPUT!P2701="","",INPUT!P2701)</f>
        <v/>
      </c>
      <c r="J2706" s="46" t="str">
        <f>IF(INPUT!Q2701="","",INPUT!Q2701)</f>
        <v/>
      </c>
      <c r="K2706" s="46" t="str">
        <f>IFERROR(IF(OR(INPUT!P2701="",INPUT!Q2701=""),"",INPUT!P2701-INPUT!Q2701),"")</f>
        <v/>
      </c>
      <c r="L2706" s="48" t="str">
        <f>IFERROR(IF(OR(INPUT!P2701="",INPUT!Q2701="",INPUT!P2701=0),"",(INPUT!P2701-INPUT!Q2701)/INPUT!P2701),"")</f>
        <v/>
      </c>
    </row>
    <row r="2707" spans="1:12" ht="18" hidden="1" customHeight="1" x14ac:dyDescent="0.2">
      <c r="A2707" s="11" t="str">
        <f>IF(INPUT!M2702="","",INPUT!M2702)</f>
        <v/>
      </c>
      <c r="B2707" s="11" t="str">
        <f>IF(INPUT!M2702="","",INPUT!M2702-WEEKDAY(INPUT!M2702,2)+1)</f>
        <v/>
      </c>
      <c r="C2707" s="20">
        <f>IFERROR(_xlfn.ISOWEEKNUM(INPUT!M2702),"")</f>
        <v>52</v>
      </c>
      <c r="D2707" s="20">
        <f>IFERROR(YEAR(INPUT!M2702),"")</f>
        <v>1900</v>
      </c>
      <c r="E2707" t="str">
        <f>IF(INPUT!O2702="","",INPUT!O2702)</f>
        <v/>
      </c>
      <c r="F2707" t="str">
        <f>IF(INPUT!N2702="","",INPUT!N2702)</f>
        <v/>
      </c>
      <c r="G2707" cm="1">
        <f t="array" ref="G2707">IFERROR(VLOOKUP(INPUT!M2702&amp;INPUT!N2702,CHOOSE({1,2},INPUT!$A$3:$A$5000&amp;INPUT!$C$3:$C$5000,INPUT!$F$3:$F$5000),2,FALSE),"")</f>
        <v>0</v>
      </c>
      <c r="H2707" cm="1">
        <f t="array" ref="H2707">IFERROR(VLOOKUP(INPUT!M2702&amp;INPUT!N2702,CHOOSE({1,2},INPUT!$A$3:$A$5000&amp;INPUT!$C$3:$C$5000,INPUT!$D$3:$D$5000),2,FALSE),"")</f>
        <v>0</v>
      </c>
      <c r="I2707" s="46" t="str">
        <f>IF(INPUT!P2702="","",INPUT!P2702)</f>
        <v/>
      </c>
      <c r="J2707" s="46" t="str">
        <f>IF(INPUT!Q2702="","",INPUT!Q2702)</f>
        <v/>
      </c>
      <c r="K2707" s="46" t="str">
        <f>IFERROR(IF(OR(INPUT!P2702="",INPUT!Q2702=""),"",INPUT!P2702-INPUT!Q2702),"")</f>
        <v/>
      </c>
      <c r="L2707" s="48" t="str">
        <f>IFERROR(IF(OR(INPUT!P2702="",INPUT!Q2702="",INPUT!P2702=0),"",(INPUT!P2702-INPUT!Q2702)/INPUT!P2702),"")</f>
        <v/>
      </c>
    </row>
    <row r="2708" spans="1:12" ht="18" hidden="1" customHeight="1" x14ac:dyDescent="0.2">
      <c r="A2708" s="11" t="str">
        <f>IF(INPUT!M2703="","",INPUT!M2703)</f>
        <v/>
      </c>
      <c r="B2708" s="11" t="str">
        <f>IF(INPUT!M2703="","",INPUT!M2703-WEEKDAY(INPUT!M2703,2)+1)</f>
        <v/>
      </c>
      <c r="C2708" s="20">
        <f>IFERROR(_xlfn.ISOWEEKNUM(INPUT!M2703),"")</f>
        <v>52</v>
      </c>
      <c r="D2708" s="20">
        <f>IFERROR(YEAR(INPUT!M2703),"")</f>
        <v>1900</v>
      </c>
      <c r="E2708" t="str">
        <f>IF(INPUT!O2703="","",INPUT!O2703)</f>
        <v/>
      </c>
      <c r="F2708" t="str">
        <f>IF(INPUT!N2703="","",INPUT!N2703)</f>
        <v/>
      </c>
      <c r="G2708" cm="1">
        <f t="array" ref="G2708">IFERROR(VLOOKUP(INPUT!M2703&amp;INPUT!N2703,CHOOSE({1,2},INPUT!$A$3:$A$5000&amp;INPUT!$C$3:$C$5000,INPUT!$F$3:$F$5000),2,FALSE),"")</f>
        <v>0</v>
      </c>
      <c r="H2708" cm="1">
        <f t="array" ref="H2708">IFERROR(VLOOKUP(INPUT!M2703&amp;INPUT!N2703,CHOOSE({1,2},INPUT!$A$3:$A$5000&amp;INPUT!$C$3:$C$5000,INPUT!$D$3:$D$5000),2,FALSE),"")</f>
        <v>0</v>
      </c>
      <c r="I2708" s="46" t="str">
        <f>IF(INPUT!P2703="","",INPUT!P2703)</f>
        <v/>
      </c>
      <c r="J2708" s="46" t="str">
        <f>IF(INPUT!Q2703="","",INPUT!Q2703)</f>
        <v/>
      </c>
      <c r="K2708" s="46" t="str">
        <f>IFERROR(IF(OR(INPUT!P2703="",INPUT!Q2703=""),"",INPUT!P2703-INPUT!Q2703),"")</f>
        <v/>
      </c>
      <c r="L2708" s="48" t="str">
        <f>IFERROR(IF(OR(INPUT!P2703="",INPUT!Q2703="",INPUT!P2703=0),"",(INPUT!P2703-INPUT!Q2703)/INPUT!P2703),"")</f>
        <v/>
      </c>
    </row>
    <row r="2709" spans="1:12" ht="18" hidden="1" customHeight="1" x14ac:dyDescent="0.2">
      <c r="A2709" s="11" t="str">
        <f>IF(INPUT!M2704="","",INPUT!M2704)</f>
        <v/>
      </c>
      <c r="B2709" s="11" t="str">
        <f>IF(INPUT!M2704="","",INPUT!M2704-WEEKDAY(INPUT!M2704,2)+1)</f>
        <v/>
      </c>
      <c r="C2709" s="20">
        <f>IFERROR(_xlfn.ISOWEEKNUM(INPUT!M2704),"")</f>
        <v>52</v>
      </c>
      <c r="D2709" s="20">
        <f>IFERROR(YEAR(INPUT!M2704),"")</f>
        <v>1900</v>
      </c>
      <c r="E2709" t="str">
        <f>IF(INPUT!O2704="","",INPUT!O2704)</f>
        <v/>
      </c>
      <c r="F2709" t="str">
        <f>IF(INPUT!N2704="","",INPUT!N2704)</f>
        <v/>
      </c>
      <c r="G2709" cm="1">
        <f t="array" ref="G2709">IFERROR(VLOOKUP(INPUT!M2704&amp;INPUT!N2704,CHOOSE({1,2},INPUT!$A$3:$A$5000&amp;INPUT!$C$3:$C$5000,INPUT!$F$3:$F$5000),2,FALSE),"")</f>
        <v>0</v>
      </c>
      <c r="H2709" cm="1">
        <f t="array" ref="H2709">IFERROR(VLOOKUP(INPUT!M2704&amp;INPUT!N2704,CHOOSE({1,2},INPUT!$A$3:$A$5000&amp;INPUT!$C$3:$C$5000,INPUT!$D$3:$D$5000),2,FALSE),"")</f>
        <v>0</v>
      </c>
      <c r="I2709" s="46" t="str">
        <f>IF(INPUT!P2704="","",INPUT!P2704)</f>
        <v/>
      </c>
      <c r="J2709" s="46" t="str">
        <f>IF(INPUT!Q2704="","",INPUT!Q2704)</f>
        <v/>
      </c>
      <c r="K2709" s="46" t="str">
        <f>IFERROR(IF(OR(INPUT!P2704="",INPUT!Q2704=""),"",INPUT!P2704-INPUT!Q2704),"")</f>
        <v/>
      </c>
      <c r="L2709" s="48" t="str">
        <f>IFERROR(IF(OR(INPUT!P2704="",INPUT!Q2704="",INPUT!P2704=0),"",(INPUT!P2704-INPUT!Q2704)/INPUT!P2704),"")</f>
        <v/>
      </c>
    </row>
    <row r="2710" spans="1:12" ht="18" hidden="1" customHeight="1" x14ac:dyDescent="0.2">
      <c r="A2710" s="11" t="str">
        <f>IF(INPUT!M2705="","",INPUT!M2705)</f>
        <v/>
      </c>
      <c r="B2710" s="11" t="str">
        <f>IF(INPUT!M2705="","",INPUT!M2705-WEEKDAY(INPUT!M2705,2)+1)</f>
        <v/>
      </c>
      <c r="C2710" s="20">
        <f>IFERROR(_xlfn.ISOWEEKNUM(INPUT!M2705),"")</f>
        <v>52</v>
      </c>
      <c r="D2710" s="20">
        <f>IFERROR(YEAR(INPUT!M2705),"")</f>
        <v>1900</v>
      </c>
      <c r="E2710" t="str">
        <f>IF(INPUT!O2705="","",INPUT!O2705)</f>
        <v/>
      </c>
      <c r="F2710" t="str">
        <f>IF(INPUT!N2705="","",INPUT!N2705)</f>
        <v/>
      </c>
      <c r="G2710" cm="1">
        <f t="array" ref="G2710">IFERROR(VLOOKUP(INPUT!M2705&amp;INPUT!N2705,CHOOSE({1,2},INPUT!$A$3:$A$5000&amp;INPUT!$C$3:$C$5000,INPUT!$F$3:$F$5000),2,FALSE),"")</f>
        <v>0</v>
      </c>
      <c r="H2710" cm="1">
        <f t="array" ref="H2710">IFERROR(VLOOKUP(INPUT!M2705&amp;INPUT!N2705,CHOOSE({1,2},INPUT!$A$3:$A$5000&amp;INPUT!$C$3:$C$5000,INPUT!$D$3:$D$5000),2,FALSE),"")</f>
        <v>0</v>
      </c>
      <c r="I2710" s="46" t="str">
        <f>IF(INPUT!P2705="","",INPUT!P2705)</f>
        <v/>
      </c>
      <c r="J2710" s="46" t="str">
        <f>IF(INPUT!Q2705="","",INPUT!Q2705)</f>
        <v/>
      </c>
      <c r="K2710" s="46" t="str">
        <f>IFERROR(IF(OR(INPUT!P2705="",INPUT!Q2705=""),"",INPUT!P2705-INPUT!Q2705),"")</f>
        <v/>
      </c>
      <c r="L2710" s="48" t="str">
        <f>IFERROR(IF(OR(INPUT!P2705="",INPUT!Q2705="",INPUT!P2705=0),"",(INPUT!P2705-INPUT!Q2705)/INPUT!P2705),"")</f>
        <v/>
      </c>
    </row>
    <row r="2711" spans="1:12" ht="18" hidden="1" customHeight="1" x14ac:dyDescent="0.2">
      <c r="A2711" s="11" t="str">
        <f>IF(INPUT!M2706="","",INPUT!M2706)</f>
        <v/>
      </c>
      <c r="B2711" s="11" t="str">
        <f>IF(INPUT!M2706="","",INPUT!M2706-WEEKDAY(INPUT!M2706,2)+1)</f>
        <v/>
      </c>
      <c r="C2711" s="20">
        <f>IFERROR(_xlfn.ISOWEEKNUM(INPUT!M2706),"")</f>
        <v>52</v>
      </c>
      <c r="D2711" s="20">
        <f>IFERROR(YEAR(INPUT!M2706),"")</f>
        <v>1900</v>
      </c>
      <c r="E2711" t="str">
        <f>IF(INPUT!O2706="","",INPUT!O2706)</f>
        <v/>
      </c>
      <c r="F2711" t="str">
        <f>IF(INPUT!N2706="","",INPUT!N2706)</f>
        <v/>
      </c>
      <c r="G2711" cm="1">
        <f t="array" ref="G2711">IFERROR(VLOOKUP(INPUT!M2706&amp;INPUT!N2706,CHOOSE({1,2},INPUT!$A$3:$A$5000&amp;INPUT!$C$3:$C$5000,INPUT!$F$3:$F$5000),2,FALSE),"")</f>
        <v>0</v>
      </c>
      <c r="H2711" cm="1">
        <f t="array" ref="H2711">IFERROR(VLOOKUP(INPUT!M2706&amp;INPUT!N2706,CHOOSE({1,2},INPUT!$A$3:$A$5000&amp;INPUT!$C$3:$C$5000,INPUT!$D$3:$D$5000),2,FALSE),"")</f>
        <v>0</v>
      </c>
      <c r="I2711" s="46" t="str">
        <f>IF(INPUT!P2706="","",INPUT!P2706)</f>
        <v/>
      </c>
      <c r="J2711" s="46" t="str">
        <f>IF(INPUT!Q2706="","",INPUT!Q2706)</f>
        <v/>
      </c>
      <c r="K2711" s="46" t="str">
        <f>IFERROR(IF(OR(INPUT!P2706="",INPUT!Q2706=""),"",INPUT!P2706-INPUT!Q2706),"")</f>
        <v/>
      </c>
      <c r="L2711" s="48" t="str">
        <f>IFERROR(IF(OR(INPUT!P2706="",INPUT!Q2706="",INPUT!P2706=0),"",(INPUT!P2706-INPUT!Q2706)/INPUT!P2706),"")</f>
        <v/>
      </c>
    </row>
    <row r="2712" spans="1:12" ht="18" hidden="1" customHeight="1" x14ac:dyDescent="0.2">
      <c r="A2712" s="11" t="str">
        <f>IF(INPUT!M2707="","",INPUT!M2707)</f>
        <v/>
      </c>
      <c r="B2712" s="11" t="str">
        <f>IF(INPUT!M2707="","",INPUT!M2707-WEEKDAY(INPUT!M2707,2)+1)</f>
        <v/>
      </c>
      <c r="C2712" s="20">
        <f>IFERROR(_xlfn.ISOWEEKNUM(INPUT!M2707),"")</f>
        <v>52</v>
      </c>
      <c r="D2712" s="20">
        <f>IFERROR(YEAR(INPUT!M2707),"")</f>
        <v>1900</v>
      </c>
      <c r="E2712" t="str">
        <f>IF(INPUT!O2707="","",INPUT!O2707)</f>
        <v/>
      </c>
      <c r="F2712" t="str">
        <f>IF(INPUT!N2707="","",INPUT!N2707)</f>
        <v/>
      </c>
      <c r="G2712" cm="1">
        <f t="array" ref="G2712">IFERROR(VLOOKUP(INPUT!M2707&amp;INPUT!N2707,CHOOSE({1,2},INPUT!$A$3:$A$5000&amp;INPUT!$C$3:$C$5000,INPUT!$F$3:$F$5000),2,FALSE),"")</f>
        <v>0</v>
      </c>
      <c r="H2712" cm="1">
        <f t="array" ref="H2712">IFERROR(VLOOKUP(INPUT!M2707&amp;INPUT!N2707,CHOOSE({1,2},INPUT!$A$3:$A$5000&amp;INPUT!$C$3:$C$5000,INPUT!$D$3:$D$5000),2,FALSE),"")</f>
        <v>0</v>
      </c>
      <c r="I2712" s="46" t="str">
        <f>IF(INPUT!P2707="","",INPUT!P2707)</f>
        <v/>
      </c>
      <c r="J2712" s="46" t="str">
        <f>IF(INPUT!Q2707="","",INPUT!Q2707)</f>
        <v/>
      </c>
      <c r="K2712" s="46" t="str">
        <f>IFERROR(IF(OR(INPUT!P2707="",INPUT!Q2707=""),"",INPUT!P2707-INPUT!Q2707),"")</f>
        <v/>
      </c>
      <c r="L2712" s="48" t="str">
        <f>IFERROR(IF(OR(INPUT!P2707="",INPUT!Q2707="",INPUT!P2707=0),"",(INPUT!P2707-INPUT!Q2707)/INPUT!P2707),"")</f>
        <v/>
      </c>
    </row>
    <row r="2713" spans="1:12" ht="18" hidden="1" customHeight="1" x14ac:dyDescent="0.2">
      <c r="A2713" s="11" t="str">
        <f>IF(INPUT!M2708="","",INPUT!M2708)</f>
        <v/>
      </c>
      <c r="B2713" s="11" t="str">
        <f>IF(INPUT!M2708="","",INPUT!M2708-WEEKDAY(INPUT!M2708,2)+1)</f>
        <v/>
      </c>
      <c r="C2713" s="20">
        <f>IFERROR(_xlfn.ISOWEEKNUM(INPUT!M2708),"")</f>
        <v>52</v>
      </c>
      <c r="D2713" s="20">
        <f>IFERROR(YEAR(INPUT!M2708),"")</f>
        <v>1900</v>
      </c>
      <c r="E2713" t="str">
        <f>IF(INPUT!O2708="","",INPUT!O2708)</f>
        <v/>
      </c>
      <c r="F2713" t="str">
        <f>IF(INPUT!N2708="","",INPUT!N2708)</f>
        <v/>
      </c>
      <c r="G2713" cm="1">
        <f t="array" ref="G2713">IFERROR(VLOOKUP(INPUT!M2708&amp;INPUT!N2708,CHOOSE({1,2},INPUT!$A$3:$A$5000&amp;INPUT!$C$3:$C$5000,INPUT!$F$3:$F$5000),2,FALSE),"")</f>
        <v>0</v>
      </c>
      <c r="H2713" cm="1">
        <f t="array" ref="H2713">IFERROR(VLOOKUP(INPUT!M2708&amp;INPUT!N2708,CHOOSE({1,2},INPUT!$A$3:$A$5000&amp;INPUT!$C$3:$C$5000,INPUT!$D$3:$D$5000),2,FALSE),"")</f>
        <v>0</v>
      </c>
      <c r="I2713" s="46" t="str">
        <f>IF(INPUT!P2708="","",INPUT!P2708)</f>
        <v/>
      </c>
      <c r="J2713" s="46" t="str">
        <f>IF(INPUT!Q2708="","",INPUT!Q2708)</f>
        <v/>
      </c>
      <c r="K2713" s="46" t="str">
        <f>IFERROR(IF(OR(INPUT!P2708="",INPUT!Q2708=""),"",INPUT!P2708-INPUT!Q2708),"")</f>
        <v/>
      </c>
      <c r="L2713" s="48" t="str">
        <f>IFERROR(IF(OR(INPUT!P2708="",INPUT!Q2708="",INPUT!P2708=0),"",(INPUT!P2708-INPUT!Q2708)/INPUT!P2708),"")</f>
        <v/>
      </c>
    </row>
    <row r="2714" spans="1:12" ht="18" hidden="1" customHeight="1" x14ac:dyDescent="0.2">
      <c r="A2714" s="11" t="str">
        <f>IF(INPUT!M2709="","",INPUT!M2709)</f>
        <v/>
      </c>
      <c r="B2714" s="11" t="str">
        <f>IF(INPUT!M2709="","",INPUT!M2709-WEEKDAY(INPUT!M2709,2)+1)</f>
        <v/>
      </c>
      <c r="C2714" s="20">
        <f>IFERROR(_xlfn.ISOWEEKNUM(INPUT!M2709),"")</f>
        <v>52</v>
      </c>
      <c r="D2714" s="20">
        <f>IFERROR(YEAR(INPUT!M2709),"")</f>
        <v>1900</v>
      </c>
      <c r="E2714" t="str">
        <f>IF(INPUT!O2709="","",INPUT!O2709)</f>
        <v/>
      </c>
      <c r="F2714" t="str">
        <f>IF(INPUT!N2709="","",INPUT!N2709)</f>
        <v/>
      </c>
      <c r="G2714" cm="1">
        <f t="array" ref="G2714">IFERROR(VLOOKUP(INPUT!M2709&amp;INPUT!N2709,CHOOSE({1,2},INPUT!$A$3:$A$5000&amp;INPUT!$C$3:$C$5000,INPUT!$F$3:$F$5000),2,FALSE),"")</f>
        <v>0</v>
      </c>
      <c r="H2714" cm="1">
        <f t="array" ref="H2714">IFERROR(VLOOKUP(INPUT!M2709&amp;INPUT!N2709,CHOOSE({1,2},INPUT!$A$3:$A$5000&amp;INPUT!$C$3:$C$5000,INPUT!$D$3:$D$5000),2,FALSE),"")</f>
        <v>0</v>
      </c>
      <c r="I2714" s="46" t="str">
        <f>IF(INPUT!P2709="","",INPUT!P2709)</f>
        <v/>
      </c>
      <c r="J2714" s="46" t="str">
        <f>IF(INPUT!Q2709="","",INPUT!Q2709)</f>
        <v/>
      </c>
      <c r="K2714" s="46" t="str">
        <f>IFERROR(IF(OR(INPUT!P2709="",INPUT!Q2709=""),"",INPUT!P2709-INPUT!Q2709),"")</f>
        <v/>
      </c>
      <c r="L2714" s="48" t="str">
        <f>IFERROR(IF(OR(INPUT!P2709="",INPUT!Q2709="",INPUT!P2709=0),"",(INPUT!P2709-INPUT!Q2709)/INPUT!P2709),"")</f>
        <v/>
      </c>
    </row>
    <row r="2715" spans="1:12" ht="18" hidden="1" customHeight="1" x14ac:dyDescent="0.2">
      <c r="A2715" s="11" t="str">
        <f>IF(INPUT!M2710="","",INPUT!M2710)</f>
        <v/>
      </c>
      <c r="B2715" s="11" t="str">
        <f>IF(INPUT!M2710="","",INPUT!M2710-WEEKDAY(INPUT!M2710,2)+1)</f>
        <v/>
      </c>
      <c r="C2715" s="20">
        <f>IFERROR(_xlfn.ISOWEEKNUM(INPUT!M2710),"")</f>
        <v>52</v>
      </c>
      <c r="D2715" s="20">
        <f>IFERROR(YEAR(INPUT!M2710),"")</f>
        <v>1900</v>
      </c>
      <c r="E2715" t="str">
        <f>IF(INPUT!O2710="","",INPUT!O2710)</f>
        <v/>
      </c>
      <c r="F2715" t="str">
        <f>IF(INPUT!N2710="","",INPUT!N2710)</f>
        <v/>
      </c>
      <c r="G2715" cm="1">
        <f t="array" ref="G2715">IFERROR(VLOOKUP(INPUT!M2710&amp;INPUT!N2710,CHOOSE({1,2},INPUT!$A$3:$A$5000&amp;INPUT!$C$3:$C$5000,INPUT!$F$3:$F$5000),2,FALSE),"")</f>
        <v>0</v>
      </c>
      <c r="H2715" cm="1">
        <f t="array" ref="H2715">IFERROR(VLOOKUP(INPUT!M2710&amp;INPUT!N2710,CHOOSE({1,2},INPUT!$A$3:$A$5000&amp;INPUT!$C$3:$C$5000,INPUT!$D$3:$D$5000),2,FALSE),"")</f>
        <v>0</v>
      </c>
      <c r="I2715" s="46" t="str">
        <f>IF(INPUT!P2710="","",INPUT!P2710)</f>
        <v/>
      </c>
      <c r="J2715" s="46" t="str">
        <f>IF(INPUT!Q2710="","",INPUT!Q2710)</f>
        <v/>
      </c>
      <c r="K2715" s="46" t="str">
        <f>IFERROR(IF(OR(INPUT!P2710="",INPUT!Q2710=""),"",INPUT!P2710-INPUT!Q2710),"")</f>
        <v/>
      </c>
      <c r="L2715" s="48" t="str">
        <f>IFERROR(IF(OR(INPUT!P2710="",INPUT!Q2710="",INPUT!P2710=0),"",(INPUT!P2710-INPUT!Q2710)/INPUT!P2710),"")</f>
        <v/>
      </c>
    </row>
    <row r="2716" spans="1:12" ht="18" hidden="1" customHeight="1" x14ac:dyDescent="0.2">
      <c r="A2716" s="11" t="str">
        <f>IF(INPUT!M2711="","",INPUT!M2711)</f>
        <v/>
      </c>
      <c r="B2716" s="11" t="str">
        <f>IF(INPUT!M2711="","",INPUT!M2711-WEEKDAY(INPUT!M2711,2)+1)</f>
        <v/>
      </c>
      <c r="C2716" s="20">
        <f>IFERROR(_xlfn.ISOWEEKNUM(INPUT!M2711),"")</f>
        <v>52</v>
      </c>
      <c r="D2716" s="20">
        <f>IFERROR(YEAR(INPUT!M2711),"")</f>
        <v>1900</v>
      </c>
      <c r="E2716" t="str">
        <f>IF(INPUT!O2711="","",INPUT!O2711)</f>
        <v/>
      </c>
      <c r="F2716" t="str">
        <f>IF(INPUT!N2711="","",INPUT!N2711)</f>
        <v/>
      </c>
      <c r="G2716" cm="1">
        <f t="array" ref="G2716">IFERROR(VLOOKUP(INPUT!M2711&amp;INPUT!N2711,CHOOSE({1,2},INPUT!$A$3:$A$5000&amp;INPUT!$C$3:$C$5000,INPUT!$F$3:$F$5000),2,FALSE),"")</f>
        <v>0</v>
      </c>
      <c r="H2716" cm="1">
        <f t="array" ref="H2716">IFERROR(VLOOKUP(INPUT!M2711&amp;INPUT!N2711,CHOOSE({1,2},INPUT!$A$3:$A$5000&amp;INPUT!$C$3:$C$5000,INPUT!$D$3:$D$5000),2,FALSE),"")</f>
        <v>0</v>
      </c>
      <c r="I2716" s="46" t="str">
        <f>IF(INPUT!P2711="","",INPUT!P2711)</f>
        <v/>
      </c>
      <c r="J2716" s="46" t="str">
        <f>IF(INPUT!Q2711="","",INPUT!Q2711)</f>
        <v/>
      </c>
      <c r="K2716" s="46" t="str">
        <f>IFERROR(IF(OR(INPUT!P2711="",INPUT!Q2711=""),"",INPUT!P2711-INPUT!Q2711),"")</f>
        <v/>
      </c>
      <c r="L2716" s="48" t="str">
        <f>IFERROR(IF(OR(INPUT!P2711="",INPUT!Q2711="",INPUT!P2711=0),"",(INPUT!P2711-INPUT!Q2711)/INPUT!P2711),"")</f>
        <v/>
      </c>
    </row>
    <row r="2717" spans="1:12" ht="18" hidden="1" customHeight="1" x14ac:dyDescent="0.2">
      <c r="A2717" s="11" t="str">
        <f>IF(INPUT!M2712="","",INPUT!M2712)</f>
        <v/>
      </c>
      <c r="B2717" s="11" t="str">
        <f>IF(INPUT!M2712="","",INPUT!M2712-WEEKDAY(INPUT!M2712,2)+1)</f>
        <v/>
      </c>
      <c r="C2717" s="20">
        <f>IFERROR(_xlfn.ISOWEEKNUM(INPUT!M2712),"")</f>
        <v>52</v>
      </c>
      <c r="D2717" s="20">
        <f>IFERROR(YEAR(INPUT!M2712),"")</f>
        <v>1900</v>
      </c>
      <c r="E2717" t="str">
        <f>IF(INPUT!O2712="","",INPUT!O2712)</f>
        <v/>
      </c>
      <c r="F2717" t="str">
        <f>IF(INPUT!N2712="","",INPUT!N2712)</f>
        <v/>
      </c>
      <c r="G2717" cm="1">
        <f t="array" ref="G2717">IFERROR(VLOOKUP(INPUT!M2712&amp;INPUT!N2712,CHOOSE({1,2},INPUT!$A$3:$A$5000&amp;INPUT!$C$3:$C$5000,INPUT!$F$3:$F$5000),2,FALSE),"")</f>
        <v>0</v>
      </c>
      <c r="H2717" cm="1">
        <f t="array" ref="H2717">IFERROR(VLOOKUP(INPUT!M2712&amp;INPUT!N2712,CHOOSE({1,2},INPUT!$A$3:$A$5000&amp;INPUT!$C$3:$C$5000,INPUT!$D$3:$D$5000),2,FALSE),"")</f>
        <v>0</v>
      </c>
      <c r="I2717" s="46" t="str">
        <f>IF(INPUT!P2712="","",INPUT!P2712)</f>
        <v/>
      </c>
      <c r="J2717" s="46" t="str">
        <f>IF(INPUT!Q2712="","",INPUT!Q2712)</f>
        <v/>
      </c>
      <c r="K2717" s="46" t="str">
        <f>IFERROR(IF(OR(INPUT!P2712="",INPUT!Q2712=""),"",INPUT!P2712-INPUT!Q2712),"")</f>
        <v/>
      </c>
      <c r="L2717" s="48" t="str">
        <f>IFERROR(IF(OR(INPUT!P2712="",INPUT!Q2712="",INPUT!P2712=0),"",(INPUT!P2712-INPUT!Q2712)/INPUT!P2712),"")</f>
        <v/>
      </c>
    </row>
    <row r="2718" spans="1:12" ht="18" hidden="1" customHeight="1" x14ac:dyDescent="0.2">
      <c r="A2718" s="11" t="str">
        <f>IF(INPUT!M2713="","",INPUT!M2713)</f>
        <v/>
      </c>
      <c r="B2718" s="11" t="str">
        <f>IF(INPUT!M2713="","",INPUT!M2713-WEEKDAY(INPUT!M2713,2)+1)</f>
        <v/>
      </c>
      <c r="C2718" s="20">
        <f>IFERROR(_xlfn.ISOWEEKNUM(INPUT!M2713),"")</f>
        <v>52</v>
      </c>
      <c r="D2718" s="20">
        <f>IFERROR(YEAR(INPUT!M2713),"")</f>
        <v>1900</v>
      </c>
      <c r="E2718" t="str">
        <f>IF(INPUT!O2713="","",INPUT!O2713)</f>
        <v/>
      </c>
      <c r="F2718" t="str">
        <f>IF(INPUT!N2713="","",INPUT!N2713)</f>
        <v/>
      </c>
      <c r="G2718" cm="1">
        <f t="array" ref="G2718">IFERROR(VLOOKUP(INPUT!M2713&amp;INPUT!N2713,CHOOSE({1,2},INPUT!$A$3:$A$5000&amp;INPUT!$C$3:$C$5000,INPUT!$F$3:$F$5000),2,FALSE),"")</f>
        <v>0</v>
      </c>
      <c r="H2718" cm="1">
        <f t="array" ref="H2718">IFERROR(VLOOKUP(INPUT!M2713&amp;INPUT!N2713,CHOOSE({1,2},INPUT!$A$3:$A$5000&amp;INPUT!$C$3:$C$5000,INPUT!$D$3:$D$5000),2,FALSE),"")</f>
        <v>0</v>
      </c>
      <c r="I2718" s="46" t="str">
        <f>IF(INPUT!P2713="","",INPUT!P2713)</f>
        <v/>
      </c>
      <c r="J2718" s="46" t="str">
        <f>IF(INPUT!Q2713="","",INPUT!Q2713)</f>
        <v/>
      </c>
      <c r="K2718" s="46" t="str">
        <f>IFERROR(IF(OR(INPUT!P2713="",INPUT!Q2713=""),"",INPUT!P2713-INPUT!Q2713),"")</f>
        <v/>
      </c>
      <c r="L2718" s="48" t="str">
        <f>IFERROR(IF(OR(INPUT!P2713="",INPUT!Q2713="",INPUT!P2713=0),"",(INPUT!P2713-INPUT!Q2713)/INPUT!P2713),"")</f>
        <v/>
      </c>
    </row>
    <row r="2719" spans="1:12" ht="18" hidden="1" customHeight="1" x14ac:dyDescent="0.2">
      <c r="A2719" s="11" t="str">
        <f>IF(INPUT!M2714="","",INPUT!M2714)</f>
        <v/>
      </c>
      <c r="B2719" s="11" t="str">
        <f>IF(INPUT!M2714="","",INPUT!M2714-WEEKDAY(INPUT!M2714,2)+1)</f>
        <v/>
      </c>
      <c r="C2719" s="20">
        <f>IFERROR(_xlfn.ISOWEEKNUM(INPUT!M2714),"")</f>
        <v>52</v>
      </c>
      <c r="D2719" s="20">
        <f>IFERROR(YEAR(INPUT!M2714),"")</f>
        <v>1900</v>
      </c>
      <c r="E2719" t="str">
        <f>IF(INPUT!O2714="","",INPUT!O2714)</f>
        <v/>
      </c>
      <c r="F2719" t="str">
        <f>IF(INPUT!N2714="","",INPUT!N2714)</f>
        <v/>
      </c>
      <c r="G2719" cm="1">
        <f t="array" ref="G2719">IFERROR(VLOOKUP(INPUT!M2714&amp;INPUT!N2714,CHOOSE({1,2},INPUT!$A$3:$A$5000&amp;INPUT!$C$3:$C$5000,INPUT!$F$3:$F$5000),2,FALSE),"")</f>
        <v>0</v>
      </c>
      <c r="H2719" cm="1">
        <f t="array" ref="H2719">IFERROR(VLOOKUP(INPUT!M2714&amp;INPUT!N2714,CHOOSE({1,2},INPUT!$A$3:$A$5000&amp;INPUT!$C$3:$C$5000,INPUT!$D$3:$D$5000),2,FALSE),"")</f>
        <v>0</v>
      </c>
      <c r="I2719" s="46" t="str">
        <f>IF(INPUT!P2714="","",INPUT!P2714)</f>
        <v/>
      </c>
      <c r="J2719" s="46" t="str">
        <f>IF(INPUT!Q2714="","",INPUT!Q2714)</f>
        <v/>
      </c>
      <c r="K2719" s="46" t="str">
        <f>IFERROR(IF(OR(INPUT!P2714="",INPUT!Q2714=""),"",INPUT!P2714-INPUT!Q2714),"")</f>
        <v/>
      </c>
      <c r="L2719" s="48" t="str">
        <f>IFERROR(IF(OR(INPUT!P2714="",INPUT!Q2714="",INPUT!P2714=0),"",(INPUT!P2714-INPUT!Q2714)/INPUT!P2714),"")</f>
        <v/>
      </c>
    </row>
    <row r="2720" spans="1:12" ht="18" hidden="1" customHeight="1" x14ac:dyDescent="0.2">
      <c r="A2720" s="11" t="str">
        <f>IF(INPUT!M2715="","",INPUT!M2715)</f>
        <v/>
      </c>
      <c r="B2720" s="11" t="str">
        <f>IF(INPUT!M2715="","",INPUT!M2715-WEEKDAY(INPUT!M2715,2)+1)</f>
        <v/>
      </c>
      <c r="C2720" s="20">
        <f>IFERROR(_xlfn.ISOWEEKNUM(INPUT!M2715),"")</f>
        <v>52</v>
      </c>
      <c r="D2720" s="20">
        <f>IFERROR(YEAR(INPUT!M2715),"")</f>
        <v>1900</v>
      </c>
      <c r="E2720" t="str">
        <f>IF(INPUT!O2715="","",INPUT!O2715)</f>
        <v/>
      </c>
      <c r="F2720" t="str">
        <f>IF(INPUT!N2715="","",INPUT!N2715)</f>
        <v/>
      </c>
      <c r="G2720" cm="1">
        <f t="array" ref="G2720">IFERROR(VLOOKUP(INPUT!M2715&amp;INPUT!N2715,CHOOSE({1,2},INPUT!$A$3:$A$5000&amp;INPUT!$C$3:$C$5000,INPUT!$F$3:$F$5000),2,FALSE),"")</f>
        <v>0</v>
      </c>
      <c r="H2720" cm="1">
        <f t="array" ref="H2720">IFERROR(VLOOKUP(INPUT!M2715&amp;INPUT!N2715,CHOOSE({1,2},INPUT!$A$3:$A$5000&amp;INPUT!$C$3:$C$5000,INPUT!$D$3:$D$5000),2,FALSE),"")</f>
        <v>0</v>
      </c>
      <c r="I2720" s="46" t="str">
        <f>IF(INPUT!P2715="","",INPUT!P2715)</f>
        <v/>
      </c>
      <c r="J2720" s="46" t="str">
        <f>IF(INPUT!Q2715="","",INPUT!Q2715)</f>
        <v/>
      </c>
      <c r="K2720" s="46" t="str">
        <f>IFERROR(IF(OR(INPUT!P2715="",INPUT!Q2715=""),"",INPUT!P2715-INPUT!Q2715),"")</f>
        <v/>
      </c>
      <c r="L2720" s="48" t="str">
        <f>IFERROR(IF(OR(INPUT!P2715="",INPUT!Q2715="",INPUT!P2715=0),"",(INPUT!P2715-INPUT!Q2715)/INPUT!P2715),"")</f>
        <v/>
      </c>
    </row>
    <row r="2721" spans="1:12" ht="18" hidden="1" customHeight="1" x14ac:dyDescent="0.2">
      <c r="A2721" s="11" t="str">
        <f>IF(INPUT!M2716="","",INPUT!M2716)</f>
        <v/>
      </c>
      <c r="B2721" s="11" t="str">
        <f>IF(INPUT!M2716="","",INPUT!M2716-WEEKDAY(INPUT!M2716,2)+1)</f>
        <v/>
      </c>
      <c r="C2721" s="20">
        <f>IFERROR(_xlfn.ISOWEEKNUM(INPUT!M2716),"")</f>
        <v>52</v>
      </c>
      <c r="D2721" s="20">
        <f>IFERROR(YEAR(INPUT!M2716),"")</f>
        <v>1900</v>
      </c>
      <c r="E2721" t="str">
        <f>IF(INPUT!O2716="","",INPUT!O2716)</f>
        <v/>
      </c>
      <c r="F2721" t="str">
        <f>IF(INPUT!N2716="","",INPUT!N2716)</f>
        <v/>
      </c>
      <c r="G2721" cm="1">
        <f t="array" ref="G2721">IFERROR(VLOOKUP(INPUT!M2716&amp;INPUT!N2716,CHOOSE({1,2},INPUT!$A$3:$A$5000&amp;INPUT!$C$3:$C$5000,INPUT!$F$3:$F$5000),2,FALSE),"")</f>
        <v>0</v>
      </c>
      <c r="H2721" cm="1">
        <f t="array" ref="H2721">IFERROR(VLOOKUP(INPUT!M2716&amp;INPUT!N2716,CHOOSE({1,2},INPUT!$A$3:$A$5000&amp;INPUT!$C$3:$C$5000,INPUT!$D$3:$D$5000),2,FALSE),"")</f>
        <v>0</v>
      </c>
      <c r="I2721" s="46" t="str">
        <f>IF(INPUT!P2716="","",INPUT!P2716)</f>
        <v/>
      </c>
      <c r="J2721" s="46" t="str">
        <f>IF(INPUT!Q2716="","",INPUT!Q2716)</f>
        <v/>
      </c>
      <c r="K2721" s="46" t="str">
        <f>IFERROR(IF(OR(INPUT!P2716="",INPUT!Q2716=""),"",INPUT!P2716-INPUT!Q2716),"")</f>
        <v/>
      </c>
      <c r="L2721" s="48" t="str">
        <f>IFERROR(IF(OR(INPUT!P2716="",INPUT!Q2716="",INPUT!P2716=0),"",(INPUT!P2716-INPUT!Q2716)/INPUT!P2716),"")</f>
        <v/>
      </c>
    </row>
    <row r="2722" spans="1:12" ht="18" hidden="1" customHeight="1" x14ac:dyDescent="0.2">
      <c r="A2722" s="11" t="str">
        <f>IF(INPUT!M2717="","",INPUT!M2717)</f>
        <v/>
      </c>
      <c r="B2722" s="11" t="str">
        <f>IF(INPUT!M2717="","",INPUT!M2717-WEEKDAY(INPUT!M2717,2)+1)</f>
        <v/>
      </c>
      <c r="C2722" s="20">
        <f>IFERROR(_xlfn.ISOWEEKNUM(INPUT!M2717),"")</f>
        <v>52</v>
      </c>
      <c r="D2722" s="20">
        <f>IFERROR(YEAR(INPUT!M2717),"")</f>
        <v>1900</v>
      </c>
      <c r="E2722" t="str">
        <f>IF(INPUT!O2717="","",INPUT!O2717)</f>
        <v/>
      </c>
      <c r="F2722" t="str">
        <f>IF(INPUT!N2717="","",INPUT!N2717)</f>
        <v/>
      </c>
      <c r="G2722" cm="1">
        <f t="array" ref="G2722">IFERROR(VLOOKUP(INPUT!M2717&amp;INPUT!N2717,CHOOSE({1,2},INPUT!$A$3:$A$5000&amp;INPUT!$C$3:$C$5000,INPUT!$F$3:$F$5000),2,FALSE),"")</f>
        <v>0</v>
      </c>
      <c r="H2722" cm="1">
        <f t="array" ref="H2722">IFERROR(VLOOKUP(INPUT!M2717&amp;INPUT!N2717,CHOOSE({1,2},INPUT!$A$3:$A$5000&amp;INPUT!$C$3:$C$5000,INPUT!$D$3:$D$5000),2,FALSE),"")</f>
        <v>0</v>
      </c>
      <c r="I2722" s="46" t="str">
        <f>IF(INPUT!P2717="","",INPUT!P2717)</f>
        <v/>
      </c>
      <c r="J2722" s="46" t="str">
        <f>IF(INPUT!Q2717="","",INPUT!Q2717)</f>
        <v/>
      </c>
      <c r="K2722" s="46" t="str">
        <f>IFERROR(IF(OR(INPUT!P2717="",INPUT!Q2717=""),"",INPUT!P2717-INPUT!Q2717),"")</f>
        <v/>
      </c>
      <c r="L2722" s="48" t="str">
        <f>IFERROR(IF(OR(INPUT!P2717="",INPUT!Q2717="",INPUT!P2717=0),"",(INPUT!P2717-INPUT!Q2717)/INPUT!P2717),"")</f>
        <v/>
      </c>
    </row>
    <row r="2723" spans="1:12" ht="18" hidden="1" customHeight="1" x14ac:dyDescent="0.2">
      <c r="A2723" s="11" t="str">
        <f>IF(INPUT!M2718="","",INPUT!M2718)</f>
        <v/>
      </c>
      <c r="B2723" s="11" t="str">
        <f>IF(INPUT!M2718="","",INPUT!M2718-WEEKDAY(INPUT!M2718,2)+1)</f>
        <v/>
      </c>
      <c r="C2723" s="20">
        <f>IFERROR(_xlfn.ISOWEEKNUM(INPUT!M2718),"")</f>
        <v>52</v>
      </c>
      <c r="D2723" s="20">
        <f>IFERROR(YEAR(INPUT!M2718),"")</f>
        <v>1900</v>
      </c>
      <c r="E2723" t="str">
        <f>IF(INPUT!O2718="","",INPUT!O2718)</f>
        <v/>
      </c>
      <c r="F2723" t="str">
        <f>IF(INPUT!N2718="","",INPUT!N2718)</f>
        <v/>
      </c>
      <c r="G2723" cm="1">
        <f t="array" ref="G2723">IFERROR(VLOOKUP(INPUT!M2718&amp;INPUT!N2718,CHOOSE({1,2},INPUT!$A$3:$A$5000&amp;INPUT!$C$3:$C$5000,INPUT!$F$3:$F$5000),2,FALSE),"")</f>
        <v>0</v>
      </c>
      <c r="H2723" cm="1">
        <f t="array" ref="H2723">IFERROR(VLOOKUP(INPUT!M2718&amp;INPUT!N2718,CHOOSE({1,2},INPUT!$A$3:$A$5000&amp;INPUT!$C$3:$C$5000,INPUT!$D$3:$D$5000),2,FALSE),"")</f>
        <v>0</v>
      </c>
      <c r="I2723" s="46" t="str">
        <f>IF(INPUT!P2718="","",INPUT!P2718)</f>
        <v/>
      </c>
      <c r="J2723" s="46" t="str">
        <f>IF(INPUT!Q2718="","",INPUT!Q2718)</f>
        <v/>
      </c>
      <c r="K2723" s="46" t="str">
        <f>IFERROR(IF(OR(INPUT!P2718="",INPUT!Q2718=""),"",INPUT!P2718-INPUT!Q2718),"")</f>
        <v/>
      </c>
      <c r="L2723" s="48" t="str">
        <f>IFERROR(IF(OR(INPUT!P2718="",INPUT!Q2718="",INPUT!P2718=0),"",(INPUT!P2718-INPUT!Q2718)/INPUT!P2718),"")</f>
        <v/>
      </c>
    </row>
    <row r="2724" spans="1:12" ht="18" hidden="1" customHeight="1" x14ac:dyDescent="0.2">
      <c r="A2724" s="11" t="str">
        <f>IF(INPUT!M2719="","",INPUT!M2719)</f>
        <v/>
      </c>
      <c r="B2724" s="11" t="str">
        <f>IF(INPUT!M2719="","",INPUT!M2719-WEEKDAY(INPUT!M2719,2)+1)</f>
        <v/>
      </c>
      <c r="C2724" s="20">
        <f>IFERROR(_xlfn.ISOWEEKNUM(INPUT!M2719),"")</f>
        <v>52</v>
      </c>
      <c r="D2724" s="20">
        <f>IFERROR(YEAR(INPUT!M2719),"")</f>
        <v>1900</v>
      </c>
      <c r="E2724" t="str">
        <f>IF(INPUT!O2719="","",INPUT!O2719)</f>
        <v/>
      </c>
      <c r="F2724" t="str">
        <f>IF(INPUT!N2719="","",INPUT!N2719)</f>
        <v/>
      </c>
      <c r="G2724" cm="1">
        <f t="array" ref="G2724">IFERROR(VLOOKUP(INPUT!M2719&amp;INPUT!N2719,CHOOSE({1,2},INPUT!$A$3:$A$5000&amp;INPUT!$C$3:$C$5000,INPUT!$F$3:$F$5000),2,FALSE),"")</f>
        <v>0</v>
      </c>
      <c r="H2724" cm="1">
        <f t="array" ref="H2724">IFERROR(VLOOKUP(INPUT!M2719&amp;INPUT!N2719,CHOOSE({1,2},INPUT!$A$3:$A$5000&amp;INPUT!$C$3:$C$5000,INPUT!$D$3:$D$5000),2,FALSE),"")</f>
        <v>0</v>
      </c>
      <c r="I2724" s="46" t="str">
        <f>IF(INPUT!P2719="","",INPUT!P2719)</f>
        <v/>
      </c>
      <c r="J2724" s="46" t="str">
        <f>IF(INPUT!Q2719="","",INPUT!Q2719)</f>
        <v/>
      </c>
      <c r="K2724" s="46" t="str">
        <f>IFERROR(IF(OR(INPUT!P2719="",INPUT!Q2719=""),"",INPUT!P2719-INPUT!Q2719),"")</f>
        <v/>
      </c>
      <c r="L2724" s="48" t="str">
        <f>IFERROR(IF(OR(INPUT!P2719="",INPUT!Q2719="",INPUT!P2719=0),"",(INPUT!P2719-INPUT!Q2719)/INPUT!P2719),"")</f>
        <v/>
      </c>
    </row>
    <row r="2725" spans="1:12" ht="18" hidden="1" customHeight="1" x14ac:dyDescent="0.2">
      <c r="A2725" s="11" t="str">
        <f>IF(INPUT!M2720="","",INPUT!M2720)</f>
        <v/>
      </c>
      <c r="B2725" s="11" t="str">
        <f>IF(INPUT!M2720="","",INPUT!M2720-WEEKDAY(INPUT!M2720,2)+1)</f>
        <v/>
      </c>
      <c r="C2725" s="20">
        <f>IFERROR(_xlfn.ISOWEEKNUM(INPUT!M2720),"")</f>
        <v>52</v>
      </c>
      <c r="D2725" s="20">
        <f>IFERROR(YEAR(INPUT!M2720),"")</f>
        <v>1900</v>
      </c>
      <c r="E2725" t="str">
        <f>IF(INPUT!O2720="","",INPUT!O2720)</f>
        <v/>
      </c>
      <c r="F2725" t="str">
        <f>IF(INPUT!N2720="","",INPUT!N2720)</f>
        <v/>
      </c>
      <c r="G2725" cm="1">
        <f t="array" ref="G2725">IFERROR(VLOOKUP(INPUT!M2720&amp;INPUT!N2720,CHOOSE({1,2},INPUT!$A$3:$A$5000&amp;INPUT!$C$3:$C$5000,INPUT!$F$3:$F$5000),2,FALSE),"")</f>
        <v>0</v>
      </c>
      <c r="H2725" cm="1">
        <f t="array" ref="H2725">IFERROR(VLOOKUP(INPUT!M2720&amp;INPUT!N2720,CHOOSE({1,2},INPUT!$A$3:$A$5000&amp;INPUT!$C$3:$C$5000,INPUT!$D$3:$D$5000),2,FALSE),"")</f>
        <v>0</v>
      </c>
      <c r="I2725" s="46" t="str">
        <f>IF(INPUT!P2720="","",INPUT!P2720)</f>
        <v/>
      </c>
      <c r="J2725" s="46" t="str">
        <f>IF(INPUT!Q2720="","",INPUT!Q2720)</f>
        <v/>
      </c>
      <c r="K2725" s="46" t="str">
        <f>IFERROR(IF(OR(INPUT!P2720="",INPUT!Q2720=""),"",INPUT!P2720-INPUT!Q2720),"")</f>
        <v/>
      </c>
      <c r="L2725" s="48" t="str">
        <f>IFERROR(IF(OR(INPUT!P2720="",INPUT!Q2720="",INPUT!P2720=0),"",(INPUT!P2720-INPUT!Q2720)/INPUT!P2720),"")</f>
        <v/>
      </c>
    </row>
    <row r="2726" spans="1:12" ht="18" hidden="1" customHeight="1" x14ac:dyDescent="0.2">
      <c r="A2726" s="11" t="str">
        <f>IF(INPUT!M2721="","",INPUT!M2721)</f>
        <v/>
      </c>
      <c r="B2726" s="11" t="str">
        <f>IF(INPUT!M2721="","",INPUT!M2721-WEEKDAY(INPUT!M2721,2)+1)</f>
        <v/>
      </c>
      <c r="C2726" s="20">
        <f>IFERROR(_xlfn.ISOWEEKNUM(INPUT!M2721),"")</f>
        <v>52</v>
      </c>
      <c r="D2726" s="20">
        <f>IFERROR(YEAR(INPUT!M2721),"")</f>
        <v>1900</v>
      </c>
      <c r="E2726" t="str">
        <f>IF(INPUT!O2721="","",INPUT!O2721)</f>
        <v/>
      </c>
      <c r="F2726" t="str">
        <f>IF(INPUT!N2721="","",INPUT!N2721)</f>
        <v/>
      </c>
      <c r="G2726" cm="1">
        <f t="array" ref="G2726">IFERROR(VLOOKUP(INPUT!M2721&amp;INPUT!N2721,CHOOSE({1,2},INPUT!$A$3:$A$5000&amp;INPUT!$C$3:$C$5000,INPUT!$F$3:$F$5000),2,FALSE),"")</f>
        <v>0</v>
      </c>
      <c r="H2726" cm="1">
        <f t="array" ref="H2726">IFERROR(VLOOKUP(INPUT!M2721&amp;INPUT!N2721,CHOOSE({1,2},INPUT!$A$3:$A$5000&amp;INPUT!$C$3:$C$5000,INPUT!$D$3:$D$5000),2,FALSE),"")</f>
        <v>0</v>
      </c>
      <c r="I2726" s="46" t="str">
        <f>IF(INPUT!P2721="","",INPUT!P2721)</f>
        <v/>
      </c>
      <c r="J2726" s="46" t="str">
        <f>IF(INPUT!Q2721="","",INPUT!Q2721)</f>
        <v/>
      </c>
      <c r="K2726" s="46" t="str">
        <f>IFERROR(IF(OR(INPUT!P2721="",INPUT!Q2721=""),"",INPUT!P2721-INPUT!Q2721),"")</f>
        <v/>
      </c>
      <c r="L2726" s="48" t="str">
        <f>IFERROR(IF(OR(INPUT!P2721="",INPUT!Q2721="",INPUT!P2721=0),"",(INPUT!P2721-INPUT!Q2721)/INPUT!P2721),"")</f>
        <v/>
      </c>
    </row>
    <row r="2727" spans="1:12" ht="18" hidden="1" customHeight="1" x14ac:dyDescent="0.2">
      <c r="A2727" s="11" t="str">
        <f>IF(INPUT!M2722="","",INPUT!M2722)</f>
        <v/>
      </c>
      <c r="B2727" s="11" t="str">
        <f>IF(INPUT!M2722="","",INPUT!M2722-WEEKDAY(INPUT!M2722,2)+1)</f>
        <v/>
      </c>
      <c r="C2727" s="20">
        <f>IFERROR(_xlfn.ISOWEEKNUM(INPUT!M2722),"")</f>
        <v>52</v>
      </c>
      <c r="D2727" s="20">
        <f>IFERROR(YEAR(INPUT!M2722),"")</f>
        <v>1900</v>
      </c>
      <c r="E2727" t="str">
        <f>IF(INPUT!O2722="","",INPUT!O2722)</f>
        <v/>
      </c>
      <c r="F2727" t="str">
        <f>IF(INPUT!N2722="","",INPUT!N2722)</f>
        <v/>
      </c>
      <c r="G2727" cm="1">
        <f t="array" ref="G2727">IFERROR(VLOOKUP(INPUT!M2722&amp;INPUT!N2722,CHOOSE({1,2},INPUT!$A$3:$A$5000&amp;INPUT!$C$3:$C$5000,INPUT!$F$3:$F$5000),2,FALSE),"")</f>
        <v>0</v>
      </c>
      <c r="H2727" cm="1">
        <f t="array" ref="H2727">IFERROR(VLOOKUP(INPUT!M2722&amp;INPUT!N2722,CHOOSE({1,2},INPUT!$A$3:$A$5000&amp;INPUT!$C$3:$C$5000,INPUT!$D$3:$D$5000),2,FALSE),"")</f>
        <v>0</v>
      </c>
      <c r="I2727" s="46" t="str">
        <f>IF(INPUT!P2722="","",INPUT!P2722)</f>
        <v/>
      </c>
      <c r="J2727" s="46" t="str">
        <f>IF(INPUT!Q2722="","",INPUT!Q2722)</f>
        <v/>
      </c>
      <c r="K2727" s="46" t="str">
        <f>IFERROR(IF(OR(INPUT!P2722="",INPUT!Q2722=""),"",INPUT!P2722-INPUT!Q2722),"")</f>
        <v/>
      </c>
      <c r="L2727" s="48" t="str">
        <f>IFERROR(IF(OR(INPUT!P2722="",INPUT!Q2722="",INPUT!P2722=0),"",(INPUT!P2722-INPUT!Q2722)/INPUT!P2722),"")</f>
        <v/>
      </c>
    </row>
    <row r="2728" spans="1:12" ht="18" hidden="1" customHeight="1" x14ac:dyDescent="0.2">
      <c r="A2728" s="11" t="str">
        <f>IF(INPUT!M2723="","",INPUT!M2723)</f>
        <v/>
      </c>
      <c r="B2728" s="11" t="str">
        <f>IF(INPUT!M2723="","",INPUT!M2723-WEEKDAY(INPUT!M2723,2)+1)</f>
        <v/>
      </c>
      <c r="C2728" s="20">
        <f>IFERROR(_xlfn.ISOWEEKNUM(INPUT!M2723),"")</f>
        <v>52</v>
      </c>
      <c r="D2728" s="20">
        <f>IFERROR(YEAR(INPUT!M2723),"")</f>
        <v>1900</v>
      </c>
      <c r="E2728" t="str">
        <f>IF(INPUT!O2723="","",INPUT!O2723)</f>
        <v/>
      </c>
      <c r="F2728" t="str">
        <f>IF(INPUT!N2723="","",INPUT!N2723)</f>
        <v/>
      </c>
      <c r="G2728" cm="1">
        <f t="array" ref="G2728">IFERROR(VLOOKUP(INPUT!M2723&amp;INPUT!N2723,CHOOSE({1,2},INPUT!$A$3:$A$5000&amp;INPUT!$C$3:$C$5000,INPUT!$F$3:$F$5000),2,FALSE),"")</f>
        <v>0</v>
      </c>
      <c r="H2728" cm="1">
        <f t="array" ref="H2728">IFERROR(VLOOKUP(INPUT!M2723&amp;INPUT!N2723,CHOOSE({1,2},INPUT!$A$3:$A$5000&amp;INPUT!$C$3:$C$5000,INPUT!$D$3:$D$5000),2,FALSE),"")</f>
        <v>0</v>
      </c>
      <c r="I2728" s="46" t="str">
        <f>IF(INPUT!P2723="","",INPUT!P2723)</f>
        <v/>
      </c>
      <c r="J2728" s="46" t="str">
        <f>IF(INPUT!Q2723="","",INPUT!Q2723)</f>
        <v/>
      </c>
      <c r="K2728" s="46" t="str">
        <f>IFERROR(IF(OR(INPUT!P2723="",INPUT!Q2723=""),"",INPUT!P2723-INPUT!Q2723),"")</f>
        <v/>
      </c>
      <c r="L2728" s="48" t="str">
        <f>IFERROR(IF(OR(INPUT!P2723="",INPUT!Q2723="",INPUT!P2723=0),"",(INPUT!P2723-INPUT!Q2723)/INPUT!P2723),"")</f>
        <v/>
      </c>
    </row>
    <row r="2729" spans="1:12" ht="18" hidden="1" customHeight="1" x14ac:dyDescent="0.2">
      <c r="A2729" s="11" t="str">
        <f>IF(INPUT!M2724="","",INPUT!M2724)</f>
        <v/>
      </c>
      <c r="B2729" s="11" t="str">
        <f>IF(INPUT!M2724="","",INPUT!M2724-WEEKDAY(INPUT!M2724,2)+1)</f>
        <v/>
      </c>
      <c r="C2729" s="20">
        <f>IFERROR(_xlfn.ISOWEEKNUM(INPUT!M2724),"")</f>
        <v>52</v>
      </c>
      <c r="D2729" s="20">
        <f>IFERROR(YEAR(INPUT!M2724),"")</f>
        <v>1900</v>
      </c>
      <c r="E2729" t="str">
        <f>IF(INPUT!O2724="","",INPUT!O2724)</f>
        <v/>
      </c>
      <c r="F2729" t="str">
        <f>IF(INPUT!N2724="","",INPUT!N2724)</f>
        <v/>
      </c>
      <c r="G2729" cm="1">
        <f t="array" ref="G2729">IFERROR(VLOOKUP(INPUT!M2724&amp;INPUT!N2724,CHOOSE({1,2},INPUT!$A$3:$A$5000&amp;INPUT!$C$3:$C$5000,INPUT!$F$3:$F$5000),2,FALSE),"")</f>
        <v>0</v>
      </c>
      <c r="H2729" cm="1">
        <f t="array" ref="H2729">IFERROR(VLOOKUP(INPUT!M2724&amp;INPUT!N2724,CHOOSE({1,2},INPUT!$A$3:$A$5000&amp;INPUT!$C$3:$C$5000,INPUT!$D$3:$D$5000),2,FALSE),"")</f>
        <v>0</v>
      </c>
      <c r="I2729" s="46" t="str">
        <f>IF(INPUT!P2724="","",INPUT!P2724)</f>
        <v/>
      </c>
      <c r="J2729" s="46" t="str">
        <f>IF(INPUT!Q2724="","",INPUT!Q2724)</f>
        <v/>
      </c>
      <c r="K2729" s="46" t="str">
        <f>IFERROR(IF(OR(INPUT!P2724="",INPUT!Q2724=""),"",INPUT!P2724-INPUT!Q2724),"")</f>
        <v/>
      </c>
      <c r="L2729" s="48" t="str">
        <f>IFERROR(IF(OR(INPUT!P2724="",INPUT!Q2724="",INPUT!P2724=0),"",(INPUT!P2724-INPUT!Q2724)/INPUT!P2724),"")</f>
        <v/>
      </c>
    </row>
    <row r="2730" spans="1:12" ht="18" hidden="1" customHeight="1" x14ac:dyDescent="0.2">
      <c r="A2730" s="11" t="str">
        <f>IF(INPUT!M2725="","",INPUT!M2725)</f>
        <v/>
      </c>
      <c r="B2730" s="11" t="str">
        <f>IF(INPUT!M2725="","",INPUT!M2725-WEEKDAY(INPUT!M2725,2)+1)</f>
        <v/>
      </c>
      <c r="C2730" s="20">
        <f>IFERROR(_xlfn.ISOWEEKNUM(INPUT!M2725),"")</f>
        <v>52</v>
      </c>
      <c r="D2730" s="20">
        <f>IFERROR(YEAR(INPUT!M2725),"")</f>
        <v>1900</v>
      </c>
      <c r="E2730" t="str">
        <f>IF(INPUT!O2725="","",INPUT!O2725)</f>
        <v/>
      </c>
      <c r="F2730" t="str">
        <f>IF(INPUT!N2725="","",INPUT!N2725)</f>
        <v/>
      </c>
      <c r="G2730" cm="1">
        <f t="array" ref="G2730">IFERROR(VLOOKUP(INPUT!M2725&amp;INPUT!N2725,CHOOSE({1,2},INPUT!$A$3:$A$5000&amp;INPUT!$C$3:$C$5000,INPUT!$F$3:$F$5000),2,FALSE),"")</f>
        <v>0</v>
      </c>
      <c r="H2730" cm="1">
        <f t="array" ref="H2730">IFERROR(VLOOKUP(INPUT!M2725&amp;INPUT!N2725,CHOOSE({1,2},INPUT!$A$3:$A$5000&amp;INPUT!$C$3:$C$5000,INPUT!$D$3:$D$5000),2,FALSE),"")</f>
        <v>0</v>
      </c>
      <c r="I2730" s="46" t="str">
        <f>IF(INPUT!P2725="","",INPUT!P2725)</f>
        <v/>
      </c>
      <c r="J2730" s="46" t="str">
        <f>IF(INPUT!Q2725="","",INPUT!Q2725)</f>
        <v/>
      </c>
      <c r="K2730" s="46" t="str">
        <f>IFERROR(IF(OR(INPUT!P2725="",INPUT!Q2725=""),"",INPUT!P2725-INPUT!Q2725),"")</f>
        <v/>
      </c>
      <c r="L2730" s="48" t="str">
        <f>IFERROR(IF(OR(INPUT!P2725="",INPUT!Q2725="",INPUT!P2725=0),"",(INPUT!P2725-INPUT!Q2725)/INPUT!P2725),"")</f>
        <v/>
      </c>
    </row>
    <row r="2731" spans="1:12" ht="18" hidden="1" customHeight="1" x14ac:dyDescent="0.2">
      <c r="A2731" s="11" t="str">
        <f>IF(INPUT!M2726="","",INPUT!M2726)</f>
        <v/>
      </c>
      <c r="B2731" s="11" t="str">
        <f>IF(INPUT!M2726="","",INPUT!M2726-WEEKDAY(INPUT!M2726,2)+1)</f>
        <v/>
      </c>
      <c r="C2731" s="20">
        <f>IFERROR(_xlfn.ISOWEEKNUM(INPUT!M2726),"")</f>
        <v>52</v>
      </c>
      <c r="D2731" s="20">
        <f>IFERROR(YEAR(INPUT!M2726),"")</f>
        <v>1900</v>
      </c>
      <c r="E2731" t="str">
        <f>IF(INPUT!O2726="","",INPUT!O2726)</f>
        <v/>
      </c>
      <c r="F2731" t="str">
        <f>IF(INPUT!N2726="","",INPUT!N2726)</f>
        <v/>
      </c>
      <c r="G2731" cm="1">
        <f t="array" ref="G2731">IFERROR(VLOOKUP(INPUT!M2726&amp;INPUT!N2726,CHOOSE({1,2},INPUT!$A$3:$A$5000&amp;INPUT!$C$3:$C$5000,INPUT!$F$3:$F$5000),2,FALSE),"")</f>
        <v>0</v>
      </c>
      <c r="H2731" cm="1">
        <f t="array" ref="H2731">IFERROR(VLOOKUP(INPUT!M2726&amp;INPUT!N2726,CHOOSE({1,2},INPUT!$A$3:$A$5000&amp;INPUT!$C$3:$C$5000,INPUT!$D$3:$D$5000),2,FALSE),"")</f>
        <v>0</v>
      </c>
      <c r="I2731" s="46" t="str">
        <f>IF(INPUT!P2726="","",INPUT!P2726)</f>
        <v/>
      </c>
      <c r="J2731" s="46" t="str">
        <f>IF(INPUT!Q2726="","",INPUT!Q2726)</f>
        <v/>
      </c>
      <c r="K2731" s="46" t="str">
        <f>IFERROR(IF(OR(INPUT!P2726="",INPUT!Q2726=""),"",INPUT!P2726-INPUT!Q2726),"")</f>
        <v/>
      </c>
      <c r="L2731" s="48" t="str">
        <f>IFERROR(IF(OR(INPUT!P2726="",INPUT!Q2726="",INPUT!P2726=0),"",(INPUT!P2726-INPUT!Q2726)/INPUT!P2726),"")</f>
        <v/>
      </c>
    </row>
    <row r="2732" spans="1:12" ht="18" hidden="1" customHeight="1" x14ac:dyDescent="0.2">
      <c r="A2732" s="11" t="str">
        <f>IF(INPUT!M2727="","",INPUT!M2727)</f>
        <v/>
      </c>
      <c r="B2732" s="11" t="str">
        <f>IF(INPUT!M2727="","",INPUT!M2727-WEEKDAY(INPUT!M2727,2)+1)</f>
        <v/>
      </c>
      <c r="C2732" s="20">
        <f>IFERROR(_xlfn.ISOWEEKNUM(INPUT!M2727),"")</f>
        <v>52</v>
      </c>
      <c r="D2732" s="20">
        <f>IFERROR(YEAR(INPUT!M2727),"")</f>
        <v>1900</v>
      </c>
      <c r="E2732" t="str">
        <f>IF(INPUT!O2727="","",INPUT!O2727)</f>
        <v/>
      </c>
      <c r="F2732" t="str">
        <f>IF(INPUT!N2727="","",INPUT!N2727)</f>
        <v/>
      </c>
      <c r="G2732" cm="1">
        <f t="array" ref="G2732">IFERROR(VLOOKUP(INPUT!M2727&amp;INPUT!N2727,CHOOSE({1,2},INPUT!$A$3:$A$5000&amp;INPUT!$C$3:$C$5000,INPUT!$F$3:$F$5000),2,FALSE),"")</f>
        <v>0</v>
      </c>
      <c r="H2732" cm="1">
        <f t="array" ref="H2732">IFERROR(VLOOKUP(INPUT!M2727&amp;INPUT!N2727,CHOOSE({1,2},INPUT!$A$3:$A$5000&amp;INPUT!$C$3:$C$5000,INPUT!$D$3:$D$5000),2,FALSE),"")</f>
        <v>0</v>
      </c>
      <c r="I2732" s="46" t="str">
        <f>IF(INPUT!P2727="","",INPUT!P2727)</f>
        <v/>
      </c>
      <c r="J2732" s="46" t="str">
        <f>IF(INPUT!Q2727="","",INPUT!Q2727)</f>
        <v/>
      </c>
      <c r="K2732" s="46" t="str">
        <f>IFERROR(IF(OR(INPUT!P2727="",INPUT!Q2727=""),"",INPUT!P2727-INPUT!Q2727),"")</f>
        <v/>
      </c>
      <c r="L2732" s="48" t="str">
        <f>IFERROR(IF(OR(INPUT!P2727="",INPUT!Q2727="",INPUT!P2727=0),"",(INPUT!P2727-INPUT!Q2727)/INPUT!P2727),"")</f>
        <v/>
      </c>
    </row>
    <row r="2733" spans="1:12" ht="18" hidden="1" customHeight="1" x14ac:dyDescent="0.2">
      <c r="A2733" s="11" t="str">
        <f>IF(INPUT!M2728="","",INPUT!M2728)</f>
        <v/>
      </c>
      <c r="B2733" s="11" t="str">
        <f>IF(INPUT!M2728="","",INPUT!M2728-WEEKDAY(INPUT!M2728,2)+1)</f>
        <v/>
      </c>
      <c r="C2733" s="20">
        <f>IFERROR(_xlfn.ISOWEEKNUM(INPUT!M2728),"")</f>
        <v>52</v>
      </c>
      <c r="D2733" s="20">
        <f>IFERROR(YEAR(INPUT!M2728),"")</f>
        <v>1900</v>
      </c>
      <c r="E2733" t="str">
        <f>IF(INPUT!O2728="","",INPUT!O2728)</f>
        <v/>
      </c>
      <c r="F2733" t="str">
        <f>IF(INPUT!N2728="","",INPUT!N2728)</f>
        <v/>
      </c>
      <c r="G2733" cm="1">
        <f t="array" ref="G2733">IFERROR(VLOOKUP(INPUT!M2728&amp;INPUT!N2728,CHOOSE({1,2},INPUT!$A$3:$A$5000&amp;INPUT!$C$3:$C$5000,INPUT!$F$3:$F$5000),2,FALSE),"")</f>
        <v>0</v>
      </c>
      <c r="H2733" cm="1">
        <f t="array" ref="H2733">IFERROR(VLOOKUP(INPUT!M2728&amp;INPUT!N2728,CHOOSE({1,2},INPUT!$A$3:$A$5000&amp;INPUT!$C$3:$C$5000,INPUT!$D$3:$D$5000),2,FALSE),"")</f>
        <v>0</v>
      </c>
      <c r="I2733" s="46" t="str">
        <f>IF(INPUT!P2728="","",INPUT!P2728)</f>
        <v/>
      </c>
      <c r="J2733" s="46" t="str">
        <f>IF(INPUT!Q2728="","",INPUT!Q2728)</f>
        <v/>
      </c>
      <c r="K2733" s="46" t="str">
        <f>IFERROR(IF(OR(INPUT!P2728="",INPUT!Q2728=""),"",INPUT!P2728-INPUT!Q2728),"")</f>
        <v/>
      </c>
      <c r="L2733" s="48" t="str">
        <f>IFERROR(IF(OR(INPUT!P2728="",INPUT!Q2728="",INPUT!P2728=0),"",(INPUT!P2728-INPUT!Q2728)/INPUT!P2728),"")</f>
        <v/>
      </c>
    </row>
    <row r="2734" spans="1:12" ht="18" hidden="1" customHeight="1" x14ac:dyDescent="0.2">
      <c r="A2734" s="11" t="str">
        <f>IF(INPUT!M2729="","",INPUT!M2729)</f>
        <v/>
      </c>
      <c r="B2734" s="11" t="str">
        <f>IF(INPUT!M2729="","",INPUT!M2729-WEEKDAY(INPUT!M2729,2)+1)</f>
        <v/>
      </c>
      <c r="C2734" s="20">
        <f>IFERROR(_xlfn.ISOWEEKNUM(INPUT!M2729),"")</f>
        <v>52</v>
      </c>
      <c r="D2734" s="20">
        <f>IFERROR(YEAR(INPUT!M2729),"")</f>
        <v>1900</v>
      </c>
      <c r="E2734" t="str">
        <f>IF(INPUT!O2729="","",INPUT!O2729)</f>
        <v/>
      </c>
      <c r="F2734" t="str">
        <f>IF(INPUT!N2729="","",INPUT!N2729)</f>
        <v/>
      </c>
      <c r="G2734" cm="1">
        <f t="array" ref="G2734">IFERROR(VLOOKUP(INPUT!M2729&amp;INPUT!N2729,CHOOSE({1,2},INPUT!$A$3:$A$5000&amp;INPUT!$C$3:$C$5000,INPUT!$F$3:$F$5000),2,FALSE),"")</f>
        <v>0</v>
      </c>
      <c r="H2734" cm="1">
        <f t="array" ref="H2734">IFERROR(VLOOKUP(INPUT!M2729&amp;INPUT!N2729,CHOOSE({1,2},INPUT!$A$3:$A$5000&amp;INPUT!$C$3:$C$5000,INPUT!$D$3:$D$5000),2,FALSE),"")</f>
        <v>0</v>
      </c>
      <c r="I2734" s="46" t="str">
        <f>IF(INPUT!P2729="","",INPUT!P2729)</f>
        <v/>
      </c>
      <c r="J2734" s="46" t="str">
        <f>IF(INPUT!Q2729="","",INPUT!Q2729)</f>
        <v/>
      </c>
      <c r="K2734" s="46" t="str">
        <f>IFERROR(IF(OR(INPUT!P2729="",INPUT!Q2729=""),"",INPUT!P2729-INPUT!Q2729),"")</f>
        <v/>
      </c>
      <c r="L2734" s="48" t="str">
        <f>IFERROR(IF(OR(INPUT!P2729="",INPUT!Q2729="",INPUT!P2729=0),"",(INPUT!P2729-INPUT!Q2729)/INPUT!P2729),"")</f>
        <v/>
      </c>
    </row>
    <row r="2735" spans="1:12" ht="18" hidden="1" customHeight="1" x14ac:dyDescent="0.2">
      <c r="A2735" s="11" t="str">
        <f>IF(INPUT!M2730="","",INPUT!M2730)</f>
        <v/>
      </c>
      <c r="B2735" s="11" t="str">
        <f>IF(INPUT!M2730="","",INPUT!M2730-WEEKDAY(INPUT!M2730,2)+1)</f>
        <v/>
      </c>
      <c r="C2735" s="20">
        <f>IFERROR(_xlfn.ISOWEEKNUM(INPUT!M2730),"")</f>
        <v>52</v>
      </c>
      <c r="D2735" s="20">
        <f>IFERROR(YEAR(INPUT!M2730),"")</f>
        <v>1900</v>
      </c>
      <c r="E2735" t="str">
        <f>IF(INPUT!O2730="","",INPUT!O2730)</f>
        <v/>
      </c>
      <c r="F2735" t="str">
        <f>IF(INPUT!N2730="","",INPUT!N2730)</f>
        <v/>
      </c>
      <c r="G2735" cm="1">
        <f t="array" ref="G2735">IFERROR(VLOOKUP(INPUT!M2730&amp;INPUT!N2730,CHOOSE({1,2},INPUT!$A$3:$A$5000&amp;INPUT!$C$3:$C$5000,INPUT!$F$3:$F$5000),2,FALSE),"")</f>
        <v>0</v>
      </c>
      <c r="H2735" cm="1">
        <f t="array" ref="H2735">IFERROR(VLOOKUP(INPUT!M2730&amp;INPUT!N2730,CHOOSE({1,2},INPUT!$A$3:$A$5000&amp;INPUT!$C$3:$C$5000,INPUT!$D$3:$D$5000),2,FALSE),"")</f>
        <v>0</v>
      </c>
      <c r="I2735" s="46" t="str">
        <f>IF(INPUT!P2730="","",INPUT!P2730)</f>
        <v/>
      </c>
      <c r="J2735" s="46" t="str">
        <f>IF(INPUT!Q2730="","",INPUT!Q2730)</f>
        <v/>
      </c>
      <c r="K2735" s="46" t="str">
        <f>IFERROR(IF(OR(INPUT!P2730="",INPUT!Q2730=""),"",INPUT!P2730-INPUT!Q2730),"")</f>
        <v/>
      </c>
      <c r="L2735" s="48" t="str">
        <f>IFERROR(IF(OR(INPUT!P2730="",INPUT!Q2730="",INPUT!P2730=0),"",(INPUT!P2730-INPUT!Q2730)/INPUT!P2730),"")</f>
        <v/>
      </c>
    </row>
    <row r="2736" spans="1:12" ht="18" hidden="1" customHeight="1" x14ac:dyDescent="0.2">
      <c r="A2736" s="11" t="str">
        <f>IF(INPUT!M2731="","",INPUT!M2731)</f>
        <v/>
      </c>
      <c r="B2736" s="11" t="str">
        <f>IF(INPUT!M2731="","",INPUT!M2731-WEEKDAY(INPUT!M2731,2)+1)</f>
        <v/>
      </c>
      <c r="C2736" s="20">
        <f>IFERROR(_xlfn.ISOWEEKNUM(INPUT!M2731),"")</f>
        <v>52</v>
      </c>
      <c r="D2736" s="20">
        <f>IFERROR(YEAR(INPUT!M2731),"")</f>
        <v>1900</v>
      </c>
      <c r="E2736" t="str">
        <f>IF(INPUT!O2731="","",INPUT!O2731)</f>
        <v/>
      </c>
      <c r="F2736" t="str">
        <f>IF(INPUT!N2731="","",INPUT!N2731)</f>
        <v/>
      </c>
      <c r="G2736" cm="1">
        <f t="array" ref="G2736">IFERROR(VLOOKUP(INPUT!M2731&amp;INPUT!N2731,CHOOSE({1,2},INPUT!$A$3:$A$5000&amp;INPUT!$C$3:$C$5000,INPUT!$F$3:$F$5000),2,FALSE),"")</f>
        <v>0</v>
      </c>
      <c r="H2736" cm="1">
        <f t="array" ref="H2736">IFERROR(VLOOKUP(INPUT!M2731&amp;INPUT!N2731,CHOOSE({1,2},INPUT!$A$3:$A$5000&amp;INPUT!$C$3:$C$5000,INPUT!$D$3:$D$5000),2,FALSE),"")</f>
        <v>0</v>
      </c>
      <c r="I2736" s="46" t="str">
        <f>IF(INPUT!P2731="","",INPUT!P2731)</f>
        <v/>
      </c>
      <c r="J2736" s="46" t="str">
        <f>IF(INPUT!Q2731="","",INPUT!Q2731)</f>
        <v/>
      </c>
      <c r="K2736" s="46" t="str">
        <f>IFERROR(IF(OR(INPUT!P2731="",INPUT!Q2731=""),"",INPUT!P2731-INPUT!Q2731),"")</f>
        <v/>
      </c>
      <c r="L2736" s="48" t="str">
        <f>IFERROR(IF(OR(INPUT!P2731="",INPUT!Q2731="",INPUT!P2731=0),"",(INPUT!P2731-INPUT!Q2731)/INPUT!P2731),"")</f>
        <v/>
      </c>
    </row>
    <row r="2737" spans="1:12" ht="18" hidden="1" customHeight="1" x14ac:dyDescent="0.2">
      <c r="A2737" s="11" t="str">
        <f>IF(INPUT!M2732="","",INPUT!M2732)</f>
        <v/>
      </c>
      <c r="B2737" s="11" t="str">
        <f>IF(INPUT!M2732="","",INPUT!M2732-WEEKDAY(INPUT!M2732,2)+1)</f>
        <v/>
      </c>
      <c r="C2737" s="20">
        <f>IFERROR(_xlfn.ISOWEEKNUM(INPUT!M2732),"")</f>
        <v>52</v>
      </c>
      <c r="D2737" s="20">
        <f>IFERROR(YEAR(INPUT!M2732),"")</f>
        <v>1900</v>
      </c>
      <c r="E2737" t="str">
        <f>IF(INPUT!O2732="","",INPUT!O2732)</f>
        <v/>
      </c>
      <c r="F2737" t="str">
        <f>IF(INPUT!N2732="","",INPUT!N2732)</f>
        <v/>
      </c>
      <c r="G2737" cm="1">
        <f t="array" ref="G2737">IFERROR(VLOOKUP(INPUT!M2732&amp;INPUT!N2732,CHOOSE({1,2},INPUT!$A$3:$A$5000&amp;INPUT!$C$3:$C$5000,INPUT!$F$3:$F$5000),2,FALSE),"")</f>
        <v>0</v>
      </c>
      <c r="H2737" cm="1">
        <f t="array" ref="H2737">IFERROR(VLOOKUP(INPUT!M2732&amp;INPUT!N2732,CHOOSE({1,2},INPUT!$A$3:$A$5000&amp;INPUT!$C$3:$C$5000,INPUT!$D$3:$D$5000),2,FALSE),"")</f>
        <v>0</v>
      </c>
      <c r="I2737" s="46" t="str">
        <f>IF(INPUT!P2732="","",INPUT!P2732)</f>
        <v/>
      </c>
      <c r="J2737" s="46" t="str">
        <f>IF(INPUT!Q2732="","",INPUT!Q2732)</f>
        <v/>
      </c>
      <c r="K2737" s="46" t="str">
        <f>IFERROR(IF(OR(INPUT!P2732="",INPUT!Q2732=""),"",INPUT!P2732-INPUT!Q2732),"")</f>
        <v/>
      </c>
      <c r="L2737" s="48" t="str">
        <f>IFERROR(IF(OR(INPUT!P2732="",INPUT!Q2732="",INPUT!P2732=0),"",(INPUT!P2732-INPUT!Q2732)/INPUT!P2732),"")</f>
        <v/>
      </c>
    </row>
    <row r="2738" spans="1:12" ht="18" hidden="1" customHeight="1" x14ac:dyDescent="0.2">
      <c r="A2738" s="11" t="str">
        <f>IF(INPUT!M2733="","",INPUT!M2733)</f>
        <v/>
      </c>
      <c r="B2738" s="11" t="str">
        <f>IF(INPUT!M2733="","",INPUT!M2733-WEEKDAY(INPUT!M2733,2)+1)</f>
        <v/>
      </c>
      <c r="C2738" s="20">
        <f>IFERROR(_xlfn.ISOWEEKNUM(INPUT!M2733),"")</f>
        <v>52</v>
      </c>
      <c r="D2738" s="20">
        <f>IFERROR(YEAR(INPUT!M2733),"")</f>
        <v>1900</v>
      </c>
      <c r="E2738" t="str">
        <f>IF(INPUT!O2733="","",INPUT!O2733)</f>
        <v/>
      </c>
      <c r="F2738" t="str">
        <f>IF(INPUT!N2733="","",INPUT!N2733)</f>
        <v/>
      </c>
      <c r="G2738" cm="1">
        <f t="array" ref="G2738">IFERROR(VLOOKUP(INPUT!M2733&amp;INPUT!N2733,CHOOSE({1,2},INPUT!$A$3:$A$5000&amp;INPUT!$C$3:$C$5000,INPUT!$F$3:$F$5000),2,FALSE),"")</f>
        <v>0</v>
      </c>
      <c r="H2738" cm="1">
        <f t="array" ref="H2738">IFERROR(VLOOKUP(INPUT!M2733&amp;INPUT!N2733,CHOOSE({1,2},INPUT!$A$3:$A$5000&amp;INPUT!$C$3:$C$5000,INPUT!$D$3:$D$5000),2,FALSE),"")</f>
        <v>0</v>
      </c>
      <c r="I2738" s="46" t="str">
        <f>IF(INPUT!P2733="","",INPUT!P2733)</f>
        <v/>
      </c>
      <c r="J2738" s="46" t="str">
        <f>IF(INPUT!Q2733="","",INPUT!Q2733)</f>
        <v/>
      </c>
      <c r="K2738" s="46" t="str">
        <f>IFERROR(IF(OR(INPUT!P2733="",INPUT!Q2733=""),"",INPUT!P2733-INPUT!Q2733),"")</f>
        <v/>
      </c>
      <c r="L2738" s="48" t="str">
        <f>IFERROR(IF(OR(INPUT!P2733="",INPUT!Q2733="",INPUT!P2733=0),"",(INPUT!P2733-INPUT!Q2733)/INPUT!P2733),"")</f>
        <v/>
      </c>
    </row>
    <row r="2739" spans="1:12" ht="18" hidden="1" customHeight="1" x14ac:dyDescent="0.2">
      <c r="A2739" s="11" t="str">
        <f>IF(INPUT!M2734="","",INPUT!M2734)</f>
        <v/>
      </c>
      <c r="B2739" s="11" t="str">
        <f>IF(INPUT!M2734="","",INPUT!M2734-WEEKDAY(INPUT!M2734,2)+1)</f>
        <v/>
      </c>
      <c r="C2739" s="20">
        <f>IFERROR(_xlfn.ISOWEEKNUM(INPUT!M2734),"")</f>
        <v>52</v>
      </c>
      <c r="D2739" s="20">
        <f>IFERROR(YEAR(INPUT!M2734),"")</f>
        <v>1900</v>
      </c>
      <c r="E2739" t="str">
        <f>IF(INPUT!O2734="","",INPUT!O2734)</f>
        <v/>
      </c>
      <c r="F2739" t="str">
        <f>IF(INPUT!N2734="","",INPUT!N2734)</f>
        <v/>
      </c>
      <c r="G2739" cm="1">
        <f t="array" ref="G2739">IFERROR(VLOOKUP(INPUT!M2734&amp;INPUT!N2734,CHOOSE({1,2},INPUT!$A$3:$A$5000&amp;INPUT!$C$3:$C$5000,INPUT!$F$3:$F$5000),2,FALSE),"")</f>
        <v>0</v>
      </c>
      <c r="H2739" cm="1">
        <f t="array" ref="H2739">IFERROR(VLOOKUP(INPUT!M2734&amp;INPUT!N2734,CHOOSE({1,2},INPUT!$A$3:$A$5000&amp;INPUT!$C$3:$C$5000,INPUT!$D$3:$D$5000),2,FALSE),"")</f>
        <v>0</v>
      </c>
      <c r="I2739" s="46" t="str">
        <f>IF(INPUT!P2734="","",INPUT!P2734)</f>
        <v/>
      </c>
      <c r="J2739" s="46" t="str">
        <f>IF(INPUT!Q2734="","",INPUT!Q2734)</f>
        <v/>
      </c>
      <c r="K2739" s="46" t="str">
        <f>IFERROR(IF(OR(INPUT!P2734="",INPUT!Q2734=""),"",INPUT!P2734-INPUT!Q2734),"")</f>
        <v/>
      </c>
      <c r="L2739" s="48" t="str">
        <f>IFERROR(IF(OR(INPUT!P2734="",INPUT!Q2734="",INPUT!P2734=0),"",(INPUT!P2734-INPUT!Q2734)/INPUT!P2734),"")</f>
        <v/>
      </c>
    </row>
    <row r="2740" spans="1:12" ht="18" hidden="1" customHeight="1" x14ac:dyDescent="0.2">
      <c r="A2740" s="11" t="str">
        <f>IF(INPUT!M2735="","",INPUT!M2735)</f>
        <v/>
      </c>
      <c r="B2740" s="11" t="str">
        <f>IF(INPUT!M2735="","",INPUT!M2735-WEEKDAY(INPUT!M2735,2)+1)</f>
        <v/>
      </c>
      <c r="C2740" s="20">
        <f>IFERROR(_xlfn.ISOWEEKNUM(INPUT!M2735),"")</f>
        <v>52</v>
      </c>
      <c r="D2740" s="20">
        <f>IFERROR(YEAR(INPUT!M2735),"")</f>
        <v>1900</v>
      </c>
      <c r="E2740" t="str">
        <f>IF(INPUT!O2735="","",INPUT!O2735)</f>
        <v/>
      </c>
      <c r="F2740" t="str">
        <f>IF(INPUT!N2735="","",INPUT!N2735)</f>
        <v/>
      </c>
      <c r="G2740" cm="1">
        <f t="array" ref="G2740">IFERROR(VLOOKUP(INPUT!M2735&amp;INPUT!N2735,CHOOSE({1,2},INPUT!$A$3:$A$5000&amp;INPUT!$C$3:$C$5000,INPUT!$F$3:$F$5000),2,FALSE),"")</f>
        <v>0</v>
      </c>
      <c r="H2740" cm="1">
        <f t="array" ref="H2740">IFERROR(VLOOKUP(INPUT!M2735&amp;INPUT!N2735,CHOOSE({1,2},INPUT!$A$3:$A$5000&amp;INPUT!$C$3:$C$5000,INPUT!$D$3:$D$5000),2,FALSE),"")</f>
        <v>0</v>
      </c>
      <c r="I2740" s="46" t="str">
        <f>IF(INPUT!P2735="","",INPUT!P2735)</f>
        <v/>
      </c>
      <c r="J2740" s="46" t="str">
        <f>IF(INPUT!Q2735="","",INPUT!Q2735)</f>
        <v/>
      </c>
      <c r="K2740" s="46" t="str">
        <f>IFERROR(IF(OR(INPUT!P2735="",INPUT!Q2735=""),"",INPUT!P2735-INPUT!Q2735),"")</f>
        <v/>
      </c>
      <c r="L2740" s="48" t="str">
        <f>IFERROR(IF(OR(INPUT!P2735="",INPUT!Q2735="",INPUT!P2735=0),"",(INPUT!P2735-INPUT!Q2735)/INPUT!P2735),"")</f>
        <v/>
      </c>
    </row>
    <row r="2741" spans="1:12" ht="18" hidden="1" customHeight="1" x14ac:dyDescent="0.2">
      <c r="A2741" s="11" t="str">
        <f>IF(INPUT!M2736="","",INPUT!M2736)</f>
        <v/>
      </c>
      <c r="B2741" s="11" t="str">
        <f>IF(INPUT!M2736="","",INPUT!M2736-WEEKDAY(INPUT!M2736,2)+1)</f>
        <v/>
      </c>
      <c r="C2741" s="20">
        <f>IFERROR(_xlfn.ISOWEEKNUM(INPUT!M2736),"")</f>
        <v>52</v>
      </c>
      <c r="D2741" s="20">
        <f>IFERROR(YEAR(INPUT!M2736),"")</f>
        <v>1900</v>
      </c>
      <c r="E2741" t="str">
        <f>IF(INPUT!O2736="","",INPUT!O2736)</f>
        <v/>
      </c>
      <c r="F2741" t="str">
        <f>IF(INPUT!N2736="","",INPUT!N2736)</f>
        <v/>
      </c>
      <c r="G2741" cm="1">
        <f t="array" ref="G2741">IFERROR(VLOOKUP(INPUT!M2736&amp;INPUT!N2736,CHOOSE({1,2},INPUT!$A$3:$A$5000&amp;INPUT!$C$3:$C$5000,INPUT!$F$3:$F$5000),2,FALSE),"")</f>
        <v>0</v>
      </c>
      <c r="H2741" cm="1">
        <f t="array" ref="H2741">IFERROR(VLOOKUP(INPUT!M2736&amp;INPUT!N2736,CHOOSE({1,2},INPUT!$A$3:$A$5000&amp;INPUT!$C$3:$C$5000,INPUT!$D$3:$D$5000),2,FALSE),"")</f>
        <v>0</v>
      </c>
      <c r="I2741" s="46" t="str">
        <f>IF(INPUT!P2736="","",INPUT!P2736)</f>
        <v/>
      </c>
      <c r="J2741" s="46" t="str">
        <f>IF(INPUT!Q2736="","",INPUT!Q2736)</f>
        <v/>
      </c>
      <c r="K2741" s="46" t="str">
        <f>IFERROR(IF(OR(INPUT!P2736="",INPUT!Q2736=""),"",INPUT!P2736-INPUT!Q2736),"")</f>
        <v/>
      </c>
      <c r="L2741" s="48" t="str">
        <f>IFERROR(IF(OR(INPUT!P2736="",INPUT!Q2736="",INPUT!P2736=0),"",(INPUT!P2736-INPUT!Q2736)/INPUT!P2736),"")</f>
        <v/>
      </c>
    </row>
    <row r="2742" spans="1:12" ht="18" hidden="1" customHeight="1" x14ac:dyDescent="0.2">
      <c r="A2742" s="11" t="str">
        <f>IF(INPUT!M2737="","",INPUT!M2737)</f>
        <v/>
      </c>
      <c r="B2742" s="11" t="str">
        <f>IF(INPUT!M2737="","",INPUT!M2737-WEEKDAY(INPUT!M2737,2)+1)</f>
        <v/>
      </c>
      <c r="C2742" s="20">
        <f>IFERROR(_xlfn.ISOWEEKNUM(INPUT!M2737),"")</f>
        <v>52</v>
      </c>
      <c r="D2742" s="20">
        <f>IFERROR(YEAR(INPUT!M2737),"")</f>
        <v>1900</v>
      </c>
      <c r="E2742" t="str">
        <f>IF(INPUT!O2737="","",INPUT!O2737)</f>
        <v/>
      </c>
      <c r="F2742" t="str">
        <f>IF(INPUT!N2737="","",INPUT!N2737)</f>
        <v/>
      </c>
      <c r="G2742" cm="1">
        <f t="array" ref="G2742">IFERROR(VLOOKUP(INPUT!M2737&amp;INPUT!N2737,CHOOSE({1,2},INPUT!$A$3:$A$5000&amp;INPUT!$C$3:$C$5000,INPUT!$F$3:$F$5000),2,FALSE),"")</f>
        <v>0</v>
      </c>
      <c r="H2742" cm="1">
        <f t="array" ref="H2742">IFERROR(VLOOKUP(INPUT!M2737&amp;INPUT!N2737,CHOOSE({1,2},INPUT!$A$3:$A$5000&amp;INPUT!$C$3:$C$5000,INPUT!$D$3:$D$5000),2,FALSE),"")</f>
        <v>0</v>
      </c>
      <c r="I2742" s="46" t="str">
        <f>IF(INPUT!P2737="","",INPUT!P2737)</f>
        <v/>
      </c>
      <c r="J2742" s="46" t="str">
        <f>IF(INPUT!Q2737="","",INPUT!Q2737)</f>
        <v/>
      </c>
      <c r="K2742" s="46" t="str">
        <f>IFERROR(IF(OR(INPUT!P2737="",INPUT!Q2737=""),"",INPUT!P2737-INPUT!Q2737),"")</f>
        <v/>
      </c>
      <c r="L2742" s="48" t="str">
        <f>IFERROR(IF(OR(INPUT!P2737="",INPUT!Q2737="",INPUT!P2737=0),"",(INPUT!P2737-INPUT!Q2737)/INPUT!P2737),"")</f>
        <v/>
      </c>
    </row>
    <row r="2743" spans="1:12" ht="18" hidden="1" customHeight="1" x14ac:dyDescent="0.2">
      <c r="A2743" s="11" t="str">
        <f>IF(INPUT!M2738="","",INPUT!M2738)</f>
        <v/>
      </c>
      <c r="B2743" s="11" t="str">
        <f>IF(INPUT!M2738="","",INPUT!M2738-WEEKDAY(INPUT!M2738,2)+1)</f>
        <v/>
      </c>
      <c r="C2743" s="20">
        <f>IFERROR(_xlfn.ISOWEEKNUM(INPUT!M2738),"")</f>
        <v>52</v>
      </c>
      <c r="D2743" s="20">
        <f>IFERROR(YEAR(INPUT!M2738),"")</f>
        <v>1900</v>
      </c>
      <c r="E2743" t="str">
        <f>IF(INPUT!O2738="","",INPUT!O2738)</f>
        <v/>
      </c>
      <c r="F2743" t="str">
        <f>IF(INPUT!N2738="","",INPUT!N2738)</f>
        <v/>
      </c>
      <c r="G2743" cm="1">
        <f t="array" ref="G2743">IFERROR(VLOOKUP(INPUT!M2738&amp;INPUT!N2738,CHOOSE({1,2},INPUT!$A$3:$A$5000&amp;INPUT!$C$3:$C$5000,INPUT!$F$3:$F$5000),2,FALSE),"")</f>
        <v>0</v>
      </c>
      <c r="H2743" cm="1">
        <f t="array" ref="H2743">IFERROR(VLOOKUP(INPUT!M2738&amp;INPUT!N2738,CHOOSE({1,2},INPUT!$A$3:$A$5000&amp;INPUT!$C$3:$C$5000,INPUT!$D$3:$D$5000),2,FALSE),"")</f>
        <v>0</v>
      </c>
      <c r="I2743" s="46" t="str">
        <f>IF(INPUT!P2738="","",INPUT!P2738)</f>
        <v/>
      </c>
      <c r="J2743" s="46" t="str">
        <f>IF(INPUT!Q2738="","",INPUT!Q2738)</f>
        <v/>
      </c>
      <c r="K2743" s="46" t="str">
        <f>IFERROR(IF(OR(INPUT!P2738="",INPUT!Q2738=""),"",INPUT!P2738-INPUT!Q2738),"")</f>
        <v/>
      </c>
      <c r="L2743" s="48" t="str">
        <f>IFERROR(IF(OR(INPUT!P2738="",INPUT!Q2738="",INPUT!P2738=0),"",(INPUT!P2738-INPUT!Q2738)/INPUT!P2738),"")</f>
        <v/>
      </c>
    </row>
    <row r="2744" spans="1:12" ht="18" hidden="1" customHeight="1" x14ac:dyDescent="0.2">
      <c r="A2744" s="11" t="str">
        <f>IF(INPUT!M2739="","",INPUT!M2739)</f>
        <v/>
      </c>
      <c r="B2744" s="11" t="str">
        <f>IF(INPUT!M2739="","",INPUT!M2739-WEEKDAY(INPUT!M2739,2)+1)</f>
        <v/>
      </c>
      <c r="C2744" s="20">
        <f>IFERROR(_xlfn.ISOWEEKNUM(INPUT!M2739),"")</f>
        <v>52</v>
      </c>
      <c r="D2744" s="20">
        <f>IFERROR(YEAR(INPUT!M2739),"")</f>
        <v>1900</v>
      </c>
      <c r="E2744" t="str">
        <f>IF(INPUT!O2739="","",INPUT!O2739)</f>
        <v/>
      </c>
      <c r="F2744" t="str">
        <f>IF(INPUT!N2739="","",INPUT!N2739)</f>
        <v/>
      </c>
      <c r="G2744" cm="1">
        <f t="array" ref="G2744">IFERROR(VLOOKUP(INPUT!M2739&amp;INPUT!N2739,CHOOSE({1,2},INPUT!$A$3:$A$5000&amp;INPUT!$C$3:$C$5000,INPUT!$F$3:$F$5000),2,FALSE),"")</f>
        <v>0</v>
      </c>
      <c r="H2744" cm="1">
        <f t="array" ref="H2744">IFERROR(VLOOKUP(INPUT!M2739&amp;INPUT!N2739,CHOOSE({1,2},INPUT!$A$3:$A$5000&amp;INPUT!$C$3:$C$5000,INPUT!$D$3:$D$5000),2,FALSE),"")</f>
        <v>0</v>
      </c>
      <c r="I2744" s="46" t="str">
        <f>IF(INPUT!P2739="","",INPUT!P2739)</f>
        <v/>
      </c>
      <c r="J2744" s="46" t="str">
        <f>IF(INPUT!Q2739="","",INPUT!Q2739)</f>
        <v/>
      </c>
      <c r="K2744" s="46" t="str">
        <f>IFERROR(IF(OR(INPUT!P2739="",INPUT!Q2739=""),"",INPUT!P2739-INPUT!Q2739),"")</f>
        <v/>
      </c>
      <c r="L2744" s="48" t="str">
        <f>IFERROR(IF(OR(INPUT!P2739="",INPUT!Q2739="",INPUT!P2739=0),"",(INPUT!P2739-INPUT!Q2739)/INPUT!P2739),"")</f>
        <v/>
      </c>
    </row>
    <row r="2745" spans="1:12" ht="18" hidden="1" customHeight="1" x14ac:dyDescent="0.2">
      <c r="A2745" s="11" t="str">
        <f>IF(INPUT!M2740="","",INPUT!M2740)</f>
        <v/>
      </c>
      <c r="B2745" s="11" t="str">
        <f>IF(INPUT!M2740="","",INPUT!M2740-WEEKDAY(INPUT!M2740,2)+1)</f>
        <v/>
      </c>
      <c r="C2745" s="20">
        <f>IFERROR(_xlfn.ISOWEEKNUM(INPUT!M2740),"")</f>
        <v>52</v>
      </c>
      <c r="D2745" s="20">
        <f>IFERROR(YEAR(INPUT!M2740),"")</f>
        <v>1900</v>
      </c>
      <c r="E2745" t="str">
        <f>IF(INPUT!O2740="","",INPUT!O2740)</f>
        <v/>
      </c>
      <c r="F2745" t="str">
        <f>IF(INPUT!N2740="","",INPUT!N2740)</f>
        <v/>
      </c>
      <c r="G2745" cm="1">
        <f t="array" ref="G2745">IFERROR(VLOOKUP(INPUT!M2740&amp;INPUT!N2740,CHOOSE({1,2},INPUT!$A$3:$A$5000&amp;INPUT!$C$3:$C$5000,INPUT!$F$3:$F$5000),2,FALSE),"")</f>
        <v>0</v>
      </c>
      <c r="H2745" cm="1">
        <f t="array" ref="H2745">IFERROR(VLOOKUP(INPUT!M2740&amp;INPUT!N2740,CHOOSE({1,2},INPUT!$A$3:$A$5000&amp;INPUT!$C$3:$C$5000,INPUT!$D$3:$D$5000),2,FALSE),"")</f>
        <v>0</v>
      </c>
      <c r="I2745" s="46" t="str">
        <f>IF(INPUT!P2740="","",INPUT!P2740)</f>
        <v/>
      </c>
      <c r="J2745" s="46" t="str">
        <f>IF(INPUT!Q2740="","",INPUT!Q2740)</f>
        <v/>
      </c>
      <c r="K2745" s="46" t="str">
        <f>IFERROR(IF(OR(INPUT!P2740="",INPUT!Q2740=""),"",INPUT!P2740-INPUT!Q2740),"")</f>
        <v/>
      </c>
      <c r="L2745" s="48" t="str">
        <f>IFERROR(IF(OR(INPUT!P2740="",INPUT!Q2740="",INPUT!P2740=0),"",(INPUT!P2740-INPUT!Q2740)/INPUT!P2740),"")</f>
        <v/>
      </c>
    </row>
    <row r="2746" spans="1:12" ht="18" hidden="1" customHeight="1" x14ac:dyDescent="0.2">
      <c r="A2746" s="11" t="str">
        <f>IF(INPUT!M2741="","",INPUT!M2741)</f>
        <v/>
      </c>
      <c r="B2746" s="11" t="str">
        <f>IF(INPUT!M2741="","",INPUT!M2741-WEEKDAY(INPUT!M2741,2)+1)</f>
        <v/>
      </c>
      <c r="C2746" s="20">
        <f>IFERROR(_xlfn.ISOWEEKNUM(INPUT!M2741),"")</f>
        <v>52</v>
      </c>
      <c r="D2746" s="20">
        <f>IFERROR(YEAR(INPUT!M2741),"")</f>
        <v>1900</v>
      </c>
      <c r="E2746" t="str">
        <f>IF(INPUT!O2741="","",INPUT!O2741)</f>
        <v/>
      </c>
      <c r="F2746" t="str">
        <f>IF(INPUT!N2741="","",INPUT!N2741)</f>
        <v/>
      </c>
      <c r="G2746" cm="1">
        <f t="array" ref="G2746">IFERROR(VLOOKUP(INPUT!M2741&amp;INPUT!N2741,CHOOSE({1,2},INPUT!$A$3:$A$5000&amp;INPUT!$C$3:$C$5000,INPUT!$F$3:$F$5000),2,FALSE),"")</f>
        <v>0</v>
      </c>
      <c r="H2746" cm="1">
        <f t="array" ref="H2746">IFERROR(VLOOKUP(INPUT!M2741&amp;INPUT!N2741,CHOOSE({1,2},INPUT!$A$3:$A$5000&amp;INPUT!$C$3:$C$5000,INPUT!$D$3:$D$5000),2,FALSE),"")</f>
        <v>0</v>
      </c>
      <c r="I2746" s="46" t="str">
        <f>IF(INPUT!P2741="","",INPUT!P2741)</f>
        <v/>
      </c>
      <c r="J2746" s="46" t="str">
        <f>IF(INPUT!Q2741="","",INPUT!Q2741)</f>
        <v/>
      </c>
      <c r="K2746" s="46" t="str">
        <f>IFERROR(IF(OR(INPUT!P2741="",INPUT!Q2741=""),"",INPUT!P2741-INPUT!Q2741),"")</f>
        <v/>
      </c>
      <c r="L2746" s="48" t="str">
        <f>IFERROR(IF(OR(INPUT!P2741="",INPUT!Q2741="",INPUT!P2741=0),"",(INPUT!P2741-INPUT!Q2741)/INPUT!P2741),"")</f>
        <v/>
      </c>
    </row>
    <row r="2747" spans="1:12" ht="18" hidden="1" customHeight="1" x14ac:dyDescent="0.2">
      <c r="A2747" s="11" t="str">
        <f>IF(INPUT!M2742="","",INPUT!M2742)</f>
        <v/>
      </c>
      <c r="B2747" s="11" t="str">
        <f>IF(INPUT!M2742="","",INPUT!M2742-WEEKDAY(INPUT!M2742,2)+1)</f>
        <v/>
      </c>
      <c r="C2747" s="20">
        <f>IFERROR(_xlfn.ISOWEEKNUM(INPUT!M2742),"")</f>
        <v>52</v>
      </c>
      <c r="D2747" s="20">
        <f>IFERROR(YEAR(INPUT!M2742),"")</f>
        <v>1900</v>
      </c>
      <c r="E2747" t="str">
        <f>IF(INPUT!O2742="","",INPUT!O2742)</f>
        <v/>
      </c>
      <c r="F2747" t="str">
        <f>IF(INPUT!N2742="","",INPUT!N2742)</f>
        <v/>
      </c>
      <c r="G2747" cm="1">
        <f t="array" ref="G2747">IFERROR(VLOOKUP(INPUT!M2742&amp;INPUT!N2742,CHOOSE({1,2},INPUT!$A$3:$A$5000&amp;INPUT!$C$3:$C$5000,INPUT!$F$3:$F$5000),2,FALSE),"")</f>
        <v>0</v>
      </c>
      <c r="H2747" cm="1">
        <f t="array" ref="H2747">IFERROR(VLOOKUP(INPUT!M2742&amp;INPUT!N2742,CHOOSE({1,2},INPUT!$A$3:$A$5000&amp;INPUT!$C$3:$C$5000,INPUT!$D$3:$D$5000),2,FALSE),"")</f>
        <v>0</v>
      </c>
      <c r="I2747" s="46" t="str">
        <f>IF(INPUT!P2742="","",INPUT!P2742)</f>
        <v/>
      </c>
      <c r="J2747" s="46" t="str">
        <f>IF(INPUT!Q2742="","",INPUT!Q2742)</f>
        <v/>
      </c>
      <c r="K2747" s="46" t="str">
        <f>IFERROR(IF(OR(INPUT!P2742="",INPUT!Q2742=""),"",INPUT!P2742-INPUT!Q2742),"")</f>
        <v/>
      </c>
      <c r="L2747" s="48" t="str">
        <f>IFERROR(IF(OR(INPUT!P2742="",INPUT!Q2742="",INPUT!P2742=0),"",(INPUT!P2742-INPUT!Q2742)/INPUT!P2742),"")</f>
        <v/>
      </c>
    </row>
    <row r="2748" spans="1:12" ht="18" hidden="1" customHeight="1" x14ac:dyDescent="0.2">
      <c r="A2748" s="11" t="str">
        <f>IF(INPUT!M2743="","",INPUT!M2743)</f>
        <v/>
      </c>
      <c r="B2748" s="11" t="str">
        <f>IF(INPUT!M2743="","",INPUT!M2743-WEEKDAY(INPUT!M2743,2)+1)</f>
        <v/>
      </c>
      <c r="C2748" s="20">
        <f>IFERROR(_xlfn.ISOWEEKNUM(INPUT!M2743),"")</f>
        <v>52</v>
      </c>
      <c r="D2748" s="20">
        <f>IFERROR(YEAR(INPUT!M2743),"")</f>
        <v>1900</v>
      </c>
      <c r="E2748" t="str">
        <f>IF(INPUT!O2743="","",INPUT!O2743)</f>
        <v/>
      </c>
      <c r="F2748" t="str">
        <f>IF(INPUT!N2743="","",INPUT!N2743)</f>
        <v/>
      </c>
      <c r="G2748" cm="1">
        <f t="array" ref="G2748">IFERROR(VLOOKUP(INPUT!M2743&amp;INPUT!N2743,CHOOSE({1,2},INPUT!$A$3:$A$5000&amp;INPUT!$C$3:$C$5000,INPUT!$F$3:$F$5000),2,FALSE),"")</f>
        <v>0</v>
      </c>
      <c r="H2748" cm="1">
        <f t="array" ref="H2748">IFERROR(VLOOKUP(INPUT!M2743&amp;INPUT!N2743,CHOOSE({1,2},INPUT!$A$3:$A$5000&amp;INPUT!$C$3:$C$5000,INPUT!$D$3:$D$5000),2,FALSE),"")</f>
        <v>0</v>
      </c>
      <c r="I2748" s="46" t="str">
        <f>IF(INPUT!P2743="","",INPUT!P2743)</f>
        <v/>
      </c>
      <c r="J2748" s="46" t="str">
        <f>IF(INPUT!Q2743="","",INPUT!Q2743)</f>
        <v/>
      </c>
      <c r="K2748" s="46" t="str">
        <f>IFERROR(IF(OR(INPUT!P2743="",INPUT!Q2743=""),"",INPUT!P2743-INPUT!Q2743),"")</f>
        <v/>
      </c>
      <c r="L2748" s="48" t="str">
        <f>IFERROR(IF(OR(INPUT!P2743="",INPUT!Q2743="",INPUT!P2743=0),"",(INPUT!P2743-INPUT!Q2743)/INPUT!P2743),"")</f>
        <v/>
      </c>
    </row>
    <row r="2749" spans="1:12" ht="18" hidden="1" customHeight="1" x14ac:dyDescent="0.2">
      <c r="A2749" s="11" t="str">
        <f>IF(INPUT!M2744="","",INPUT!M2744)</f>
        <v/>
      </c>
      <c r="B2749" s="11" t="str">
        <f>IF(INPUT!M2744="","",INPUT!M2744-WEEKDAY(INPUT!M2744,2)+1)</f>
        <v/>
      </c>
      <c r="C2749" s="20">
        <f>IFERROR(_xlfn.ISOWEEKNUM(INPUT!M2744),"")</f>
        <v>52</v>
      </c>
      <c r="D2749" s="20">
        <f>IFERROR(YEAR(INPUT!M2744),"")</f>
        <v>1900</v>
      </c>
      <c r="E2749" t="str">
        <f>IF(INPUT!O2744="","",INPUT!O2744)</f>
        <v/>
      </c>
      <c r="F2749" t="str">
        <f>IF(INPUT!N2744="","",INPUT!N2744)</f>
        <v/>
      </c>
      <c r="G2749" cm="1">
        <f t="array" ref="G2749">IFERROR(VLOOKUP(INPUT!M2744&amp;INPUT!N2744,CHOOSE({1,2},INPUT!$A$3:$A$5000&amp;INPUT!$C$3:$C$5000,INPUT!$F$3:$F$5000),2,FALSE),"")</f>
        <v>0</v>
      </c>
      <c r="H2749" cm="1">
        <f t="array" ref="H2749">IFERROR(VLOOKUP(INPUT!M2744&amp;INPUT!N2744,CHOOSE({1,2},INPUT!$A$3:$A$5000&amp;INPUT!$C$3:$C$5000,INPUT!$D$3:$D$5000),2,FALSE),"")</f>
        <v>0</v>
      </c>
      <c r="I2749" s="46" t="str">
        <f>IF(INPUT!P2744="","",INPUT!P2744)</f>
        <v/>
      </c>
      <c r="J2749" s="46" t="str">
        <f>IF(INPUT!Q2744="","",INPUT!Q2744)</f>
        <v/>
      </c>
      <c r="K2749" s="46" t="str">
        <f>IFERROR(IF(OR(INPUT!P2744="",INPUT!Q2744=""),"",INPUT!P2744-INPUT!Q2744),"")</f>
        <v/>
      </c>
      <c r="L2749" s="48" t="str">
        <f>IFERROR(IF(OR(INPUT!P2744="",INPUT!Q2744="",INPUT!P2744=0),"",(INPUT!P2744-INPUT!Q2744)/INPUT!P2744),"")</f>
        <v/>
      </c>
    </row>
    <row r="2750" spans="1:12" ht="18" hidden="1" customHeight="1" x14ac:dyDescent="0.2">
      <c r="A2750" s="11" t="str">
        <f>IF(INPUT!M2745="","",INPUT!M2745)</f>
        <v/>
      </c>
      <c r="B2750" s="11" t="str">
        <f>IF(INPUT!M2745="","",INPUT!M2745-WEEKDAY(INPUT!M2745,2)+1)</f>
        <v/>
      </c>
      <c r="C2750" s="20">
        <f>IFERROR(_xlfn.ISOWEEKNUM(INPUT!M2745),"")</f>
        <v>52</v>
      </c>
      <c r="D2750" s="20">
        <f>IFERROR(YEAR(INPUT!M2745),"")</f>
        <v>1900</v>
      </c>
      <c r="E2750" t="str">
        <f>IF(INPUT!O2745="","",INPUT!O2745)</f>
        <v/>
      </c>
      <c r="F2750" t="str">
        <f>IF(INPUT!N2745="","",INPUT!N2745)</f>
        <v/>
      </c>
      <c r="G2750" cm="1">
        <f t="array" ref="G2750">IFERROR(VLOOKUP(INPUT!M2745&amp;INPUT!N2745,CHOOSE({1,2},INPUT!$A$3:$A$5000&amp;INPUT!$C$3:$C$5000,INPUT!$F$3:$F$5000),2,FALSE),"")</f>
        <v>0</v>
      </c>
      <c r="H2750" cm="1">
        <f t="array" ref="H2750">IFERROR(VLOOKUP(INPUT!M2745&amp;INPUT!N2745,CHOOSE({1,2},INPUT!$A$3:$A$5000&amp;INPUT!$C$3:$C$5000,INPUT!$D$3:$D$5000),2,FALSE),"")</f>
        <v>0</v>
      </c>
      <c r="I2750" s="46" t="str">
        <f>IF(INPUT!P2745="","",INPUT!P2745)</f>
        <v/>
      </c>
      <c r="J2750" s="46" t="str">
        <f>IF(INPUT!Q2745="","",INPUT!Q2745)</f>
        <v/>
      </c>
      <c r="K2750" s="46" t="str">
        <f>IFERROR(IF(OR(INPUT!P2745="",INPUT!Q2745=""),"",INPUT!P2745-INPUT!Q2745),"")</f>
        <v/>
      </c>
      <c r="L2750" s="48" t="str">
        <f>IFERROR(IF(OR(INPUT!P2745="",INPUT!Q2745="",INPUT!P2745=0),"",(INPUT!P2745-INPUT!Q2745)/INPUT!P2745),"")</f>
        <v/>
      </c>
    </row>
    <row r="2751" spans="1:12" ht="18" hidden="1" customHeight="1" x14ac:dyDescent="0.2">
      <c r="A2751" s="11" t="str">
        <f>IF(INPUT!M2746="","",INPUT!M2746)</f>
        <v/>
      </c>
      <c r="B2751" s="11" t="str">
        <f>IF(INPUT!M2746="","",INPUT!M2746-WEEKDAY(INPUT!M2746,2)+1)</f>
        <v/>
      </c>
      <c r="C2751" s="20">
        <f>IFERROR(_xlfn.ISOWEEKNUM(INPUT!M2746),"")</f>
        <v>52</v>
      </c>
      <c r="D2751" s="20">
        <f>IFERROR(YEAR(INPUT!M2746),"")</f>
        <v>1900</v>
      </c>
      <c r="E2751" t="str">
        <f>IF(INPUT!O2746="","",INPUT!O2746)</f>
        <v/>
      </c>
      <c r="F2751" t="str">
        <f>IF(INPUT!N2746="","",INPUT!N2746)</f>
        <v/>
      </c>
      <c r="G2751" cm="1">
        <f t="array" ref="G2751">IFERROR(VLOOKUP(INPUT!M2746&amp;INPUT!N2746,CHOOSE({1,2},INPUT!$A$3:$A$5000&amp;INPUT!$C$3:$C$5000,INPUT!$F$3:$F$5000),2,FALSE),"")</f>
        <v>0</v>
      </c>
      <c r="H2751" cm="1">
        <f t="array" ref="H2751">IFERROR(VLOOKUP(INPUT!M2746&amp;INPUT!N2746,CHOOSE({1,2},INPUT!$A$3:$A$5000&amp;INPUT!$C$3:$C$5000,INPUT!$D$3:$D$5000),2,FALSE),"")</f>
        <v>0</v>
      </c>
      <c r="I2751" s="46" t="str">
        <f>IF(INPUT!P2746="","",INPUT!P2746)</f>
        <v/>
      </c>
      <c r="J2751" s="46" t="str">
        <f>IF(INPUT!Q2746="","",INPUT!Q2746)</f>
        <v/>
      </c>
      <c r="K2751" s="46" t="str">
        <f>IFERROR(IF(OR(INPUT!P2746="",INPUT!Q2746=""),"",INPUT!P2746-INPUT!Q2746),"")</f>
        <v/>
      </c>
      <c r="L2751" s="48" t="str">
        <f>IFERROR(IF(OR(INPUT!P2746="",INPUT!Q2746="",INPUT!P2746=0),"",(INPUT!P2746-INPUT!Q2746)/INPUT!P2746),"")</f>
        <v/>
      </c>
    </row>
    <row r="2752" spans="1:12" ht="18" hidden="1" customHeight="1" x14ac:dyDescent="0.2">
      <c r="A2752" s="11" t="str">
        <f>IF(INPUT!M2747="","",INPUT!M2747)</f>
        <v/>
      </c>
      <c r="B2752" s="11" t="str">
        <f>IF(INPUT!M2747="","",INPUT!M2747-WEEKDAY(INPUT!M2747,2)+1)</f>
        <v/>
      </c>
      <c r="C2752" s="20">
        <f>IFERROR(_xlfn.ISOWEEKNUM(INPUT!M2747),"")</f>
        <v>52</v>
      </c>
      <c r="D2752" s="20">
        <f>IFERROR(YEAR(INPUT!M2747),"")</f>
        <v>1900</v>
      </c>
      <c r="E2752" t="str">
        <f>IF(INPUT!O2747="","",INPUT!O2747)</f>
        <v/>
      </c>
      <c r="F2752" t="str">
        <f>IF(INPUT!N2747="","",INPUT!N2747)</f>
        <v/>
      </c>
      <c r="G2752" cm="1">
        <f t="array" ref="G2752">IFERROR(VLOOKUP(INPUT!M2747&amp;INPUT!N2747,CHOOSE({1,2},INPUT!$A$3:$A$5000&amp;INPUT!$C$3:$C$5000,INPUT!$F$3:$F$5000),2,FALSE),"")</f>
        <v>0</v>
      </c>
      <c r="H2752" cm="1">
        <f t="array" ref="H2752">IFERROR(VLOOKUP(INPUT!M2747&amp;INPUT!N2747,CHOOSE({1,2},INPUT!$A$3:$A$5000&amp;INPUT!$C$3:$C$5000,INPUT!$D$3:$D$5000),2,FALSE),"")</f>
        <v>0</v>
      </c>
      <c r="I2752" s="46" t="str">
        <f>IF(INPUT!P2747="","",INPUT!P2747)</f>
        <v/>
      </c>
      <c r="J2752" s="46" t="str">
        <f>IF(INPUT!Q2747="","",INPUT!Q2747)</f>
        <v/>
      </c>
      <c r="K2752" s="46" t="str">
        <f>IFERROR(IF(OR(INPUT!P2747="",INPUT!Q2747=""),"",INPUT!P2747-INPUT!Q2747),"")</f>
        <v/>
      </c>
      <c r="L2752" s="48" t="str">
        <f>IFERROR(IF(OR(INPUT!P2747="",INPUT!Q2747="",INPUT!P2747=0),"",(INPUT!P2747-INPUT!Q2747)/INPUT!P2747),"")</f>
        <v/>
      </c>
    </row>
    <row r="2753" spans="1:12" ht="18" hidden="1" customHeight="1" x14ac:dyDescent="0.2">
      <c r="A2753" s="11" t="str">
        <f>IF(INPUT!M2748="","",INPUT!M2748)</f>
        <v/>
      </c>
      <c r="B2753" s="11" t="str">
        <f>IF(INPUT!M2748="","",INPUT!M2748-WEEKDAY(INPUT!M2748,2)+1)</f>
        <v/>
      </c>
      <c r="C2753" s="20">
        <f>IFERROR(_xlfn.ISOWEEKNUM(INPUT!M2748),"")</f>
        <v>52</v>
      </c>
      <c r="D2753" s="20">
        <f>IFERROR(YEAR(INPUT!M2748),"")</f>
        <v>1900</v>
      </c>
      <c r="E2753" t="str">
        <f>IF(INPUT!O2748="","",INPUT!O2748)</f>
        <v/>
      </c>
      <c r="F2753" t="str">
        <f>IF(INPUT!N2748="","",INPUT!N2748)</f>
        <v/>
      </c>
      <c r="G2753" cm="1">
        <f t="array" ref="G2753">IFERROR(VLOOKUP(INPUT!M2748&amp;INPUT!N2748,CHOOSE({1,2},INPUT!$A$3:$A$5000&amp;INPUT!$C$3:$C$5000,INPUT!$F$3:$F$5000),2,FALSE),"")</f>
        <v>0</v>
      </c>
      <c r="H2753" cm="1">
        <f t="array" ref="H2753">IFERROR(VLOOKUP(INPUT!M2748&amp;INPUT!N2748,CHOOSE({1,2},INPUT!$A$3:$A$5000&amp;INPUT!$C$3:$C$5000,INPUT!$D$3:$D$5000),2,FALSE),"")</f>
        <v>0</v>
      </c>
      <c r="I2753" s="46" t="str">
        <f>IF(INPUT!P2748="","",INPUT!P2748)</f>
        <v/>
      </c>
      <c r="J2753" s="46" t="str">
        <f>IF(INPUT!Q2748="","",INPUT!Q2748)</f>
        <v/>
      </c>
      <c r="K2753" s="46" t="str">
        <f>IFERROR(IF(OR(INPUT!P2748="",INPUT!Q2748=""),"",INPUT!P2748-INPUT!Q2748),"")</f>
        <v/>
      </c>
      <c r="L2753" s="48" t="str">
        <f>IFERROR(IF(OR(INPUT!P2748="",INPUT!Q2748="",INPUT!P2748=0),"",(INPUT!P2748-INPUT!Q2748)/INPUT!P2748),"")</f>
        <v/>
      </c>
    </row>
    <row r="2754" spans="1:12" ht="18" hidden="1" customHeight="1" x14ac:dyDescent="0.2">
      <c r="A2754" s="11" t="str">
        <f>IF(INPUT!M2749="","",INPUT!M2749)</f>
        <v/>
      </c>
      <c r="B2754" s="11" t="str">
        <f>IF(INPUT!M2749="","",INPUT!M2749-WEEKDAY(INPUT!M2749,2)+1)</f>
        <v/>
      </c>
      <c r="C2754" s="20">
        <f>IFERROR(_xlfn.ISOWEEKNUM(INPUT!M2749),"")</f>
        <v>52</v>
      </c>
      <c r="D2754" s="20">
        <f>IFERROR(YEAR(INPUT!M2749),"")</f>
        <v>1900</v>
      </c>
      <c r="E2754" t="str">
        <f>IF(INPUT!O2749="","",INPUT!O2749)</f>
        <v/>
      </c>
      <c r="F2754" t="str">
        <f>IF(INPUT!N2749="","",INPUT!N2749)</f>
        <v/>
      </c>
      <c r="G2754" cm="1">
        <f t="array" ref="G2754">IFERROR(VLOOKUP(INPUT!M2749&amp;INPUT!N2749,CHOOSE({1,2},INPUT!$A$3:$A$5000&amp;INPUT!$C$3:$C$5000,INPUT!$F$3:$F$5000),2,FALSE),"")</f>
        <v>0</v>
      </c>
      <c r="H2754" cm="1">
        <f t="array" ref="H2754">IFERROR(VLOOKUP(INPUT!M2749&amp;INPUT!N2749,CHOOSE({1,2},INPUT!$A$3:$A$5000&amp;INPUT!$C$3:$C$5000,INPUT!$D$3:$D$5000),2,FALSE),"")</f>
        <v>0</v>
      </c>
      <c r="I2754" s="46" t="str">
        <f>IF(INPUT!P2749="","",INPUT!P2749)</f>
        <v/>
      </c>
      <c r="J2754" s="46" t="str">
        <f>IF(INPUT!Q2749="","",INPUT!Q2749)</f>
        <v/>
      </c>
      <c r="K2754" s="46" t="str">
        <f>IFERROR(IF(OR(INPUT!P2749="",INPUT!Q2749=""),"",INPUT!P2749-INPUT!Q2749),"")</f>
        <v/>
      </c>
      <c r="L2754" s="48" t="str">
        <f>IFERROR(IF(OR(INPUT!P2749="",INPUT!Q2749="",INPUT!P2749=0),"",(INPUT!P2749-INPUT!Q2749)/INPUT!P2749),"")</f>
        <v/>
      </c>
    </row>
    <row r="2755" spans="1:12" ht="18" hidden="1" customHeight="1" x14ac:dyDescent="0.2">
      <c r="A2755" s="11" t="str">
        <f>IF(INPUT!M2750="","",INPUT!M2750)</f>
        <v/>
      </c>
      <c r="B2755" s="11" t="str">
        <f>IF(INPUT!M2750="","",INPUT!M2750-WEEKDAY(INPUT!M2750,2)+1)</f>
        <v/>
      </c>
      <c r="C2755" s="20">
        <f>IFERROR(_xlfn.ISOWEEKNUM(INPUT!M2750),"")</f>
        <v>52</v>
      </c>
      <c r="D2755" s="20">
        <f>IFERROR(YEAR(INPUT!M2750),"")</f>
        <v>1900</v>
      </c>
      <c r="E2755" t="str">
        <f>IF(INPUT!O2750="","",INPUT!O2750)</f>
        <v/>
      </c>
      <c r="F2755" t="str">
        <f>IF(INPUT!N2750="","",INPUT!N2750)</f>
        <v/>
      </c>
      <c r="G2755" cm="1">
        <f t="array" ref="G2755">IFERROR(VLOOKUP(INPUT!M2750&amp;INPUT!N2750,CHOOSE({1,2},INPUT!$A$3:$A$5000&amp;INPUT!$C$3:$C$5000,INPUT!$F$3:$F$5000),2,FALSE),"")</f>
        <v>0</v>
      </c>
      <c r="H2755" cm="1">
        <f t="array" ref="H2755">IFERROR(VLOOKUP(INPUT!M2750&amp;INPUT!N2750,CHOOSE({1,2},INPUT!$A$3:$A$5000&amp;INPUT!$C$3:$C$5000,INPUT!$D$3:$D$5000),2,FALSE),"")</f>
        <v>0</v>
      </c>
      <c r="I2755" s="46" t="str">
        <f>IF(INPUT!P2750="","",INPUT!P2750)</f>
        <v/>
      </c>
      <c r="J2755" s="46" t="str">
        <f>IF(INPUT!Q2750="","",INPUT!Q2750)</f>
        <v/>
      </c>
      <c r="K2755" s="46" t="str">
        <f>IFERROR(IF(OR(INPUT!P2750="",INPUT!Q2750=""),"",INPUT!P2750-INPUT!Q2750),"")</f>
        <v/>
      </c>
      <c r="L2755" s="48" t="str">
        <f>IFERROR(IF(OR(INPUT!P2750="",INPUT!Q2750="",INPUT!P2750=0),"",(INPUT!P2750-INPUT!Q2750)/INPUT!P2750),"")</f>
        <v/>
      </c>
    </row>
    <row r="2756" spans="1:12" ht="18" hidden="1" customHeight="1" x14ac:dyDescent="0.2">
      <c r="A2756" s="11" t="str">
        <f>IF(INPUT!M2751="","",INPUT!M2751)</f>
        <v/>
      </c>
      <c r="B2756" s="11" t="str">
        <f>IF(INPUT!M2751="","",INPUT!M2751-WEEKDAY(INPUT!M2751,2)+1)</f>
        <v/>
      </c>
      <c r="C2756" s="20">
        <f>IFERROR(_xlfn.ISOWEEKNUM(INPUT!M2751),"")</f>
        <v>52</v>
      </c>
      <c r="D2756" s="20">
        <f>IFERROR(YEAR(INPUT!M2751),"")</f>
        <v>1900</v>
      </c>
      <c r="E2756" t="str">
        <f>IF(INPUT!O2751="","",INPUT!O2751)</f>
        <v/>
      </c>
      <c r="F2756" t="str">
        <f>IF(INPUT!N2751="","",INPUT!N2751)</f>
        <v/>
      </c>
      <c r="G2756" cm="1">
        <f t="array" ref="G2756">IFERROR(VLOOKUP(INPUT!M2751&amp;INPUT!N2751,CHOOSE({1,2},INPUT!$A$3:$A$5000&amp;INPUT!$C$3:$C$5000,INPUT!$F$3:$F$5000),2,FALSE),"")</f>
        <v>0</v>
      </c>
      <c r="H2756" cm="1">
        <f t="array" ref="H2756">IFERROR(VLOOKUP(INPUT!M2751&amp;INPUT!N2751,CHOOSE({1,2},INPUT!$A$3:$A$5000&amp;INPUT!$C$3:$C$5000,INPUT!$D$3:$D$5000),2,FALSE),"")</f>
        <v>0</v>
      </c>
      <c r="I2756" s="46" t="str">
        <f>IF(INPUT!P2751="","",INPUT!P2751)</f>
        <v/>
      </c>
      <c r="J2756" s="46" t="str">
        <f>IF(INPUT!Q2751="","",INPUT!Q2751)</f>
        <v/>
      </c>
      <c r="K2756" s="46" t="str">
        <f>IFERROR(IF(OR(INPUT!P2751="",INPUT!Q2751=""),"",INPUT!P2751-INPUT!Q2751),"")</f>
        <v/>
      </c>
      <c r="L2756" s="48" t="str">
        <f>IFERROR(IF(OR(INPUT!P2751="",INPUT!Q2751="",INPUT!P2751=0),"",(INPUT!P2751-INPUT!Q2751)/INPUT!P2751),"")</f>
        <v/>
      </c>
    </row>
    <row r="2757" spans="1:12" ht="18" hidden="1" customHeight="1" x14ac:dyDescent="0.2">
      <c r="A2757" s="11" t="str">
        <f>IF(INPUT!M2752="","",INPUT!M2752)</f>
        <v/>
      </c>
      <c r="B2757" s="11" t="str">
        <f>IF(INPUT!M2752="","",INPUT!M2752-WEEKDAY(INPUT!M2752,2)+1)</f>
        <v/>
      </c>
      <c r="C2757" s="20">
        <f>IFERROR(_xlfn.ISOWEEKNUM(INPUT!M2752),"")</f>
        <v>52</v>
      </c>
      <c r="D2757" s="20">
        <f>IFERROR(YEAR(INPUT!M2752),"")</f>
        <v>1900</v>
      </c>
      <c r="E2757" t="str">
        <f>IF(INPUT!O2752="","",INPUT!O2752)</f>
        <v/>
      </c>
      <c r="F2757" t="str">
        <f>IF(INPUT!N2752="","",INPUT!N2752)</f>
        <v/>
      </c>
      <c r="G2757" cm="1">
        <f t="array" ref="G2757">IFERROR(VLOOKUP(INPUT!M2752&amp;INPUT!N2752,CHOOSE({1,2},INPUT!$A$3:$A$5000&amp;INPUT!$C$3:$C$5000,INPUT!$F$3:$F$5000),2,FALSE),"")</f>
        <v>0</v>
      </c>
      <c r="H2757" cm="1">
        <f t="array" ref="H2757">IFERROR(VLOOKUP(INPUT!M2752&amp;INPUT!N2752,CHOOSE({1,2},INPUT!$A$3:$A$5000&amp;INPUT!$C$3:$C$5000,INPUT!$D$3:$D$5000),2,FALSE),"")</f>
        <v>0</v>
      </c>
      <c r="I2757" s="46" t="str">
        <f>IF(INPUT!P2752="","",INPUT!P2752)</f>
        <v/>
      </c>
      <c r="J2757" s="46" t="str">
        <f>IF(INPUT!Q2752="","",INPUT!Q2752)</f>
        <v/>
      </c>
      <c r="K2757" s="46" t="str">
        <f>IFERROR(IF(OR(INPUT!P2752="",INPUT!Q2752=""),"",INPUT!P2752-INPUT!Q2752),"")</f>
        <v/>
      </c>
      <c r="L2757" s="48" t="str">
        <f>IFERROR(IF(OR(INPUT!P2752="",INPUT!Q2752="",INPUT!P2752=0),"",(INPUT!P2752-INPUT!Q2752)/INPUT!P2752),"")</f>
        <v/>
      </c>
    </row>
    <row r="2758" spans="1:12" ht="18" hidden="1" customHeight="1" x14ac:dyDescent="0.2">
      <c r="A2758" s="11" t="str">
        <f>IF(INPUT!M2753="","",INPUT!M2753)</f>
        <v/>
      </c>
      <c r="B2758" s="11" t="str">
        <f>IF(INPUT!M2753="","",INPUT!M2753-WEEKDAY(INPUT!M2753,2)+1)</f>
        <v/>
      </c>
      <c r="C2758" s="20">
        <f>IFERROR(_xlfn.ISOWEEKNUM(INPUT!M2753),"")</f>
        <v>52</v>
      </c>
      <c r="D2758" s="20">
        <f>IFERROR(YEAR(INPUT!M2753),"")</f>
        <v>1900</v>
      </c>
      <c r="E2758" t="str">
        <f>IF(INPUT!O2753="","",INPUT!O2753)</f>
        <v/>
      </c>
      <c r="F2758" t="str">
        <f>IF(INPUT!N2753="","",INPUT!N2753)</f>
        <v/>
      </c>
      <c r="G2758" cm="1">
        <f t="array" ref="G2758">IFERROR(VLOOKUP(INPUT!M2753&amp;INPUT!N2753,CHOOSE({1,2},INPUT!$A$3:$A$5000&amp;INPUT!$C$3:$C$5000,INPUT!$F$3:$F$5000),2,FALSE),"")</f>
        <v>0</v>
      </c>
      <c r="H2758" cm="1">
        <f t="array" ref="H2758">IFERROR(VLOOKUP(INPUT!M2753&amp;INPUT!N2753,CHOOSE({1,2},INPUT!$A$3:$A$5000&amp;INPUT!$C$3:$C$5000,INPUT!$D$3:$D$5000),2,FALSE),"")</f>
        <v>0</v>
      </c>
      <c r="I2758" s="46" t="str">
        <f>IF(INPUT!P2753="","",INPUT!P2753)</f>
        <v/>
      </c>
      <c r="J2758" s="46" t="str">
        <f>IF(INPUT!Q2753="","",INPUT!Q2753)</f>
        <v/>
      </c>
      <c r="K2758" s="46" t="str">
        <f>IFERROR(IF(OR(INPUT!P2753="",INPUT!Q2753=""),"",INPUT!P2753-INPUT!Q2753),"")</f>
        <v/>
      </c>
      <c r="L2758" s="48" t="str">
        <f>IFERROR(IF(OR(INPUT!P2753="",INPUT!Q2753="",INPUT!P2753=0),"",(INPUT!P2753-INPUT!Q2753)/INPUT!P2753),"")</f>
        <v/>
      </c>
    </row>
    <row r="2759" spans="1:12" ht="18" hidden="1" customHeight="1" x14ac:dyDescent="0.2">
      <c r="A2759" s="11" t="str">
        <f>IF(INPUT!M2754="","",INPUT!M2754)</f>
        <v/>
      </c>
      <c r="B2759" s="11" t="str">
        <f>IF(INPUT!M2754="","",INPUT!M2754-WEEKDAY(INPUT!M2754,2)+1)</f>
        <v/>
      </c>
      <c r="C2759" s="20">
        <f>IFERROR(_xlfn.ISOWEEKNUM(INPUT!M2754),"")</f>
        <v>52</v>
      </c>
      <c r="D2759" s="20">
        <f>IFERROR(YEAR(INPUT!M2754),"")</f>
        <v>1900</v>
      </c>
      <c r="E2759" t="str">
        <f>IF(INPUT!O2754="","",INPUT!O2754)</f>
        <v/>
      </c>
      <c r="F2759" t="str">
        <f>IF(INPUT!N2754="","",INPUT!N2754)</f>
        <v/>
      </c>
      <c r="G2759" cm="1">
        <f t="array" ref="G2759">IFERROR(VLOOKUP(INPUT!M2754&amp;INPUT!N2754,CHOOSE({1,2},INPUT!$A$3:$A$5000&amp;INPUT!$C$3:$C$5000,INPUT!$F$3:$F$5000),2,FALSE),"")</f>
        <v>0</v>
      </c>
      <c r="H2759" cm="1">
        <f t="array" ref="H2759">IFERROR(VLOOKUP(INPUT!M2754&amp;INPUT!N2754,CHOOSE({1,2},INPUT!$A$3:$A$5000&amp;INPUT!$C$3:$C$5000,INPUT!$D$3:$D$5000),2,FALSE),"")</f>
        <v>0</v>
      </c>
      <c r="I2759" s="46" t="str">
        <f>IF(INPUT!P2754="","",INPUT!P2754)</f>
        <v/>
      </c>
      <c r="J2759" s="46" t="str">
        <f>IF(INPUT!Q2754="","",INPUT!Q2754)</f>
        <v/>
      </c>
      <c r="K2759" s="46" t="str">
        <f>IFERROR(IF(OR(INPUT!P2754="",INPUT!Q2754=""),"",INPUT!P2754-INPUT!Q2754),"")</f>
        <v/>
      </c>
      <c r="L2759" s="48" t="str">
        <f>IFERROR(IF(OR(INPUT!P2754="",INPUT!Q2754="",INPUT!P2754=0),"",(INPUT!P2754-INPUT!Q2754)/INPUT!P2754),"")</f>
        <v/>
      </c>
    </row>
    <row r="2760" spans="1:12" ht="18" hidden="1" customHeight="1" x14ac:dyDescent="0.2">
      <c r="A2760" s="11" t="str">
        <f>IF(INPUT!M2755="","",INPUT!M2755)</f>
        <v/>
      </c>
      <c r="B2760" s="11" t="str">
        <f>IF(INPUT!M2755="","",INPUT!M2755-WEEKDAY(INPUT!M2755,2)+1)</f>
        <v/>
      </c>
      <c r="C2760" s="20">
        <f>IFERROR(_xlfn.ISOWEEKNUM(INPUT!M2755),"")</f>
        <v>52</v>
      </c>
      <c r="D2760" s="20">
        <f>IFERROR(YEAR(INPUT!M2755),"")</f>
        <v>1900</v>
      </c>
      <c r="E2760" t="str">
        <f>IF(INPUT!O2755="","",INPUT!O2755)</f>
        <v/>
      </c>
      <c r="F2760" t="str">
        <f>IF(INPUT!N2755="","",INPUT!N2755)</f>
        <v/>
      </c>
      <c r="G2760" cm="1">
        <f t="array" ref="G2760">IFERROR(VLOOKUP(INPUT!M2755&amp;INPUT!N2755,CHOOSE({1,2},INPUT!$A$3:$A$5000&amp;INPUT!$C$3:$C$5000,INPUT!$F$3:$F$5000),2,FALSE),"")</f>
        <v>0</v>
      </c>
      <c r="H2760" cm="1">
        <f t="array" ref="H2760">IFERROR(VLOOKUP(INPUT!M2755&amp;INPUT!N2755,CHOOSE({1,2},INPUT!$A$3:$A$5000&amp;INPUT!$C$3:$C$5000,INPUT!$D$3:$D$5000),2,FALSE),"")</f>
        <v>0</v>
      </c>
      <c r="I2760" s="46" t="str">
        <f>IF(INPUT!P2755="","",INPUT!P2755)</f>
        <v/>
      </c>
      <c r="J2760" s="46" t="str">
        <f>IF(INPUT!Q2755="","",INPUT!Q2755)</f>
        <v/>
      </c>
      <c r="K2760" s="46" t="str">
        <f>IFERROR(IF(OR(INPUT!P2755="",INPUT!Q2755=""),"",INPUT!P2755-INPUT!Q2755),"")</f>
        <v/>
      </c>
      <c r="L2760" s="48" t="str">
        <f>IFERROR(IF(OR(INPUT!P2755="",INPUT!Q2755="",INPUT!P2755=0),"",(INPUT!P2755-INPUT!Q2755)/INPUT!P2755),"")</f>
        <v/>
      </c>
    </row>
    <row r="2761" spans="1:12" ht="18" hidden="1" customHeight="1" x14ac:dyDescent="0.2">
      <c r="A2761" s="11" t="str">
        <f>IF(INPUT!M2756="","",INPUT!M2756)</f>
        <v/>
      </c>
      <c r="B2761" s="11" t="str">
        <f>IF(INPUT!M2756="","",INPUT!M2756-WEEKDAY(INPUT!M2756,2)+1)</f>
        <v/>
      </c>
      <c r="C2761" s="20">
        <f>IFERROR(_xlfn.ISOWEEKNUM(INPUT!M2756),"")</f>
        <v>52</v>
      </c>
      <c r="D2761" s="20">
        <f>IFERROR(YEAR(INPUT!M2756),"")</f>
        <v>1900</v>
      </c>
      <c r="E2761" t="str">
        <f>IF(INPUT!O2756="","",INPUT!O2756)</f>
        <v/>
      </c>
      <c r="F2761" t="str">
        <f>IF(INPUT!N2756="","",INPUT!N2756)</f>
        <v/>
      </c>
      <c r="G2761" cm="1">
        <f t="array" ref="G2761">IFERROR(VLOOKUP(INPUT!M2756&amp;INPUT!N2756,CHOOSE({1,2},INPUT!$A$3:$A$5000&amp;INPUT!$C$3:$C$5000,INPUT!$F$3:$F$5000),2,FALSE),"")</f>
        <v>0</v>
      </c>
      <c r="H2761" cm="1">
        <f t="array" ref="H2761">IFERROR(VLOOKUP(INPUT!M2756&amp;INPUT!N2756,CHOOSE({1,2},INPUT!$A$3:$A$5000&amp;INPUT!$C$3:$C$5000,INPUT!$D$3:$D$5000),2,FALSE),"")</f>
        <v>0</v>
      </c>
      <c r="I2761" s="46" t="str">
        <f>IF(INPUT!P2756="","",INPUT!P2756)</f>
        <v/>
      </c>
      <c r="J2761" s="46" t="str">
        <f>IF(INPUT!Q2756="","",INPUT!Q2756)</f>
        <v/>
      </c>
      <c r="K2761" s="46" t="str">
        <f>IFERROR(IF(OR(INPUT!P2756="",INPUT!Q2756=""),"",INPUT!P2756-INPUT!Q2756),"")</f>
        <v/>
      </c>
      <c r="L2761" s="48" t="str">
        <f>IFERROR(IF(OR(INPUT!P2756="",INPUT!Q2756="",INPUT!P2756=0),"",(INPUT!P2756-INPUT!Q2756)/INPUT!P2756),"")</f>
        <v/>
      </c>
    </row>
    <row r="2762" spans="1:12" ht="18" hidden="1" customHeight="1" x14ac:dyDescent="0.2">
      <c r="A2762" s="11" t="str">
        <f>IF(INPUT!M2757="","",INPUT!M2757)</f>
        <v/>
      </c>
      <c r="B2762" s="11" t="str">
        <f>IF(INPUT!M2757="","",INPUT!M2757-WEEKDAY(INPUT!M2757,2)+1)</f>
        <v/>
      </c>
      <c r="C2762" s="20">
        <f>IFERROR(_xlfn.ISOWEEKNUM(INPUT!M2757),"")</f>
        <v>52</v>
      </c>
      <c r="D2762" s="20">
        <f>IFERROR(YEAR(INPUT!M2757),"")</f>
        <v>1900</v>
      </c>
      <c r="E2762" t="str">
        <f>IF(INPUT!O2757="","",INPUT!O2757)</f>
        <v/>
      </c>
      <c r="F2762" t="str">
        <f>IF(INPUT!N2757="","",INPUT!N2757)</f>
        <v/>
      </c>
      <c r="G2762" cm="1">
        <f t="array" ref="G2762">IFERROR(VLOOKUP(INPUT!M2757&amp;INPUT!N2757,CHOOSE({1,2},INPUT!$A$3:$A$5000&amp;INPUT!$C$3:$C$5000,INPUT!$F$3:$F$5000),2,FALSE),"")</f>
        <v>0</v>
      </c>
      <c r="H2762" cm="1">
        <f t="array" ref="H2762">IFERROR(VLOOKUP(INPUT!M2757&amp;INPUT!N2757,CHOOSE({1,2},INPUT!$A$3:$A$5000&amp;INPUT!$C$3:$C$5000,INPUT!$D$3:$D$5000),2,FALSE),"")</f>
        <v>0</v>
      </c>
      <c r="I2762" s="46" t="str">
        <f>IF(INPUT!P2757="","",INPUT!P2757)</f>
        <v/>
      </c>
      <c r="J2762" s="46" t="str">
        <f>IF(INPUT!Q2757="","",INPUT!Q2757)</f>
        <v/>
      </c>
      <c r="K2762" s="46" t="str">
        <f>IFERROR(IF(OR(INPUT!P2757="",INPUT!Q2757=""),"",INPUT!P2757-INPUT!Q2757),"")</f>
        <v/>
      </c>
      <c r="L2762" s="48" t="str">
        <f>IFERROR(IF(OR(INPUT!P2757="",INPUT!Q2757="",INPUT!P2757=0),"",(INPUT!P2757-INPUT!Q2757)/INPUT!P2757),"")</f>
        <v/>
      </c>
    </row>
    <row r="2763" spans="1:12" ht="18" hidden="1" customHeight="1" x14ac:dyDescent="0.2">
      <c r="A2763" s="11" t="str">
        <f>IF(INPUT!M2758="","",INPUT!M2758)</f>
        <v/>
      </c>
      <c r="B2763" s="11" t="str">
        <f>IF(INPUT!M2758="","",INPUT!M2758-WEEKDAY(INPUT!M2758,2)+1)</f>
        <v/>
      </c>
      <c r="C2763" s="20">
        <f>IFERROR(_xlfn.ISOWEEKNUM(INPUT!M2758),"")</f>
        <v>52</v>
      </c>
      <c r="D2763" s="20">
        <f>IFERROR(YEAR(INPUT!M2758),"")</f>
        <v>1900</v>
      </c>
      <c r="E2763" t="str">
        <f>IF(INPUT!O2758="","",INPUT!O2758)</f>
        <v/>
      </c>
      <c r="F2763" t="str">
        <f>IF(INPUT!N2758="","",INPUT!N2758)</f>
        <v/>
      </c>
      <c r="G2763" cm="1">
        <f t="array" ref="G2763">IFERROR(VLOOKUP(INPUT!M2758&amp;INPUT!N2758,CHOOSE({1,2},INPUT!$A$3:$A$5000&amp;INPUT!$C$3:$C$5000,INPUT!$F$3:$F$5000),2,FALSE),"")</f>
        <v>0</v>
      </c>
      <c r="H2763" cm="1">
        <f t="array" ref="H2763">IFERROR(VLOOKUP(INPUT!M2758&amp;INPUT!N2758,CHOOSE({1,2},INPUT!$A$3:$A$5000&amp;INPUT!$C$3:$C$5000,INPUT!$D$3:$D$5000),2,FALSE),"")</f>
        <v>0</v>
      </c>
      <c r="I2763" s="46" t="str">
        <f>IF(INPUT!P2758="","",INPUT!P2758)</f>
        <v/>
      </c>
      <c r="J2763" s="46" t="str">
        <f>IF(INPUT!Q2758="","",INPUT!Q2758)</f>
        <v/>
      </c>
      <c r="K2763" s="46" t="str">
        <f>IFERROR(IF(OR(INPUT!P2758="",INPUT!Q2758=""),"",INPUT!P2758-INPUT!Q2758),"")</f>
        <v/>
      </c>
      <c r="L2763" s="48" t="str">
        <f>IFERROR(IF(OR(INPUT!P2758="",INPUT!Q2758="",INPUT!P2758=0),"",(INPUT!P2758-INPUT!Q2758)/INPUT!P2758),"")</f>
        <v/>
      </c>
    </row>
    <row r="2764" spans="1:12" ht="18" hidden="1" customHeight="1" x14ac:dyDescent="0.2">
      <c r="A2764" s="11" t="str">
        <f>IF(INPUT!M2759="","",INPUT!M2759)</f>
        <v/>
      </c>
      <c r="B2764" s="11" t="str">
        <f>IF(INPUT!M2759="","",INPUT!M2759-WEEKDAY(INPUT!M2759,2)+1)</f>
        <v/>
      </c>
      <c r="C2764" s="20">
        <f>IFERROR(_xlfn.ISOWEEKNUM(INPUT!M2759),"")</f>
        <v>52</v>
      </c>
      <c r="D2764" s="20">
        <f>IFERROR(YEAR(INPUT!M2759),"")</f>
        <v>1900</v>
      </c>
      <c r="E2764" t="str">
        <f>IF(INPUT!O2759="","",INPUT!O2759)</f>
        <v/>
      </c>
      <c r="F2764" t="str">
        <f>IF(INPUT!N2759="","",INPUT!N2759)</f>
        <v/>
      </c>
      <c r="G2764" cm="1">
        <f t="array" ref="G2764">IFERROR(VLOOKUP(INPUT!M2759&amp;INPUT!N2759,CHOOSE({1,2},INPUT!$A$3:$A$5000&amp;INPUT!$C$3:$C$5000,INPUT!$F$3:$F$5000),2,FALSE),"")</f>
        <v>0</v>
      </c>
      <c r="H2764" cm="1">
        <f t="array" ref="H2764">IFERROR(VLOOKUP(INPUT!M2759&amp;INPUT!N2759,CHOOSE({1,2},INPUT!$A$3:$A$5000&amp;INPUT!$C$3:$C$5000,INPUT!$D$3:$D$5000),2,FALSE),"")</f>
        <v>0</v>
      </c>
      <c r="I2764" s="46" t="str">
        <f>IF(INPUT!P2759="","",INPUT!P2759)</f>
        <v/>
      </c>
      <c r="J2764" s="46" t="str">
        <f>IF(INPUT!Q2759="","",INPUT!Q2759)</f>
        <v/>
      </c>
      <c r="K2764" s="46" t="str">
        <f>IFERROR(IF(OR(INPUT!P2759="",INPUT!Q2759=""),"",INPUT!P2759-INPUT!Q2759),"")</f>
        <v/>
      </c>
      <c r="L2764" s="48" t="str">
        <f>IFERROR(IF(OR(INPUT!P2759="",INPUT!Q2759="",INPUT!P2759=0),"",(INPUT!P2759-INPUT!Q2759)/INPUT!P2759),"")</f>
        <v/>
      </c>
    </row>
    <row r="2765" spans="1:12" ht="18" hidden="1" customHeight="1" x14ac:dyDescent="0.2">
      <c r="A2765" s="11" t="str">
        <f>IF(INPUT!M2760="","",INPUT!M2760)</f>
        <v/>
      </c>
      <c r="B2765" s="11" t="str">
        <f>IF(INPUT!M2760="","",INPUT!M2760-WEEKDAY(INPUT!M2760,2)+1)</f>
        <v/>
      </c>
      <c r="C2765" s="20">
        <f>IFERROR(_xlfn.ISOWEEKNUM(INPUT!M2760),"")</f>
        <v>52</v>
      </c>
      <c r="D2765" s="20">
        <f>IFERROR(YEAR(INPUT!M2760),"")</f>
        <v>1900</v>
      </c>
      <c r="E2765" t="str">
        <f>IF(INPUT!O2760="","",INPUT!O2760)</f>
        <v/>
      </c>
      <c r="F2765" t="str">
        <f>IF(INPUT!N2760="","",INPUT!N2760)</f>
        <v/>
      </c>
      <c r="G2765" cm="1">
        <f t="array" ref="G2765">IFERROR(VLOOKUP(INPUT!M2760&amp;INPUT!N2760,CHOOSE({1,2},INPUT!$A$3:$A$5000&amp;INPUT!$C$3:$C$5000,INPUT!$F$3:$F$5000),2,FALSE),"")</f>
        <v>0</v>
      </c>
      <c r="H2765" cm="1">
        <f t="array" ref="H2765">IFERROR(VLOOKUP(INPUT!M2760&amp;INPUT!N2760,CHOOSE({1,2},INPUT!$A$3:$A$5000&amp;INPUT!$C$3:$C$5000,INPUT!$D$3:$D$5000),2,FALSE),"")</f>
        <v>0</v>
      </c>
      <c r="I2765" s="46" t="str">
        <f>IF(INPUT!P2760="","",INPUT!P2760)</f>
        <v/>
      </c>
      <c r="J2765" s="46" t="str">
        <f>IF(INPUT!Q2760="","",INPUT!Q2760)</f>
        <v/>
      </c>
      <c r="K2765" s="46" t="str">
        <f>IFERROR(IF(OR(INPUT!P2760="",INPUT!Q2760=""),"",INPUT!P2760-INPUT!Q2760),"")</f>
        <v/>
      </c>
      <c r="L2765" s="48" t="str">
        <f>IFERROR(IF(OR(INPUT!P2760="",INPUT!Q2760="",INPUT!P2760=0),"",(INPUT!P2760-INPUT!Q2760)/INPUT!P2760),"")</f>
        <v/>
      </c>
    </row>
    <row r="2766" spans="1:12" ht="18" hidden="1" customHeight="1" x14ac:dyDescent="0.2">
      <c r="A2766" s="11" t="str">
        <f>IF(INPUT!M2761="","",INPUT!M2761)</f>
        <v/>
      </c>
      <c r="B2766" s="11" t="str">
        <f>IF(INPUT!M2761="","",INPUT!M2761-WEEKDAY(INPUT!M2761,2)+1)</f>
        <v/>
      </c>
      <c r="C2766" s="20">
        <f>IFERROR(_xlfn.ISOWEEKNUM(INPUT!M2761),"")</f>
        <v>52</v>
      </c>
      <c r="D2766" s="20">
        <f>IFERROR(YEAR(INPUT!M2761),"")</f>
        <v>1900</v>
      </c>
      <c r="E2766" t="str">
        <f>IF(INPUT!O2761="","",INPUT!O2761)</f>
        <v/>
      </c>
      <c r="F2766" t="str">
        <f>IF(INPUT!N2761="","",INPUT!N2761)</f>
        <v/>
      </c>
      <c r="G2766" cm="1">
        <f t="array" ref="G2766">IFERROR(VLOOKUP(INPUT!M2761&amp;INPUT!N2761,CHOOSE({1,2},INPUT!$A$3:$A$5000&amp;INPUT!$C$3:$C$5000,INPUT!$F$3:$F$5000),2,FALSE),"")</f>
        <v>0</v>
      </c>
      <c r="H2766" cm="1">
        <f t="array" ref="H2766">IFERROR(VLOOKUP(INPUT!M2761&amp;INPUT!N2761,CHOOSE({1,2},INPUT!$A$3:$A$5000&amp;INPUT!$C$3:$C$5000,INPUT!$D$3:$D$5000),2,FALSE),"")</f>
        <v>0</v>
      </c>
      <c r="I2766" s="46" t="str">
        <f>IF(INPUT!P2761="","",INPUT!P2761)</f>
        <v/>
      </c>
      <c r="J2766" s="46" t="str">
        <f>IF(INPUT!Q2761="","",INPUT!Q2761)</f>
        <v/>
      </c>
      <c r="K2766" s="46" t="str">
        <f>IFERROR(IF(OR(INPUT!P2761="",INPUT!Q2761=""),"",INPUT!P2761-INPUT!Q2761),"")</f>
        <v/>
      </c>
      <c r="L2766" s="48" t="str">
        <f>IFERROR(IF(OR(INPUT!P2761="",INPUT!Q2761="",INPUT!P2761=0),"",(INPUT!P2761-INPUT!Q2761)/INPUT!P2761),"")</f>
        <v/>
      </c>
    </row>
    <row r="2767" spans="1:12" ht="18" hidden="1" customHeight="1" x14ac:dyDescent="0.2">
      <c r="A2767" s="11" t="str">
        <f>IF(INPUT!M2762="","",INPUT!M2762)</f>
        <v/>
      </c>
      <c r="B2767" s="11" t="str">
        <f>IF(INPUT!M2762="","",INPUT!M2762-WEEKDAY(INPUT!M2762,2)+1)</f>
        <v/>
      </c>
      <c r="C2767" s="20">
        <f>IFERROR(_xlfn.ISOWEEKNUM(INPUT!M2762),"")</f>
        <v>52</v>
      </c>
      <c r="D2767" s="20">
        <f>IFERROR(YEAR(INPUT!M2762),"")</f>
        <v>1900</v>
      </c>
      <c r="E2767" t="str">
        <f>IF(INPUT!O2762="","",INPUT!O2762)</f>
        <v/>
      </c>
      <c r="F2767" t="str">
        <f>IF(INPUT!N2762="","",INPUT!N2762)</f>
        <v/>
      </c>
      <c r="G2767" cm="1">
        <f t="array" ref="G2767">IFERROR(VLOOKUP(INPUT!M2762&amp;INPUT!N2762,CHOOSE({1,2},INPUT!$A$3:$A$5000&amp;INPUT!$C$3:$C$5000,INPUT!$F$3:$F$5000),2,FALSE),"")</f>
        <v>0</v>
      </c>
      <c r="H2767" cm="1">
        <f t="array" ref="H2767">IFERROR(VLOOKUP(INPUT!M2762&amp;INPUT!N2762,CHOOSE({1,2},INPUT!$A$3:$A$5000&amp;INPUT!$C$3:$C$5000,INPUT!$D$3:$D$5000),2,FALSE),"")</f>
        <v>0</v>
      </c>
      <c r="I2767" s="46" t="str">
        <f>IF(INPUT!P2762="","",INPUT!P2762)</f>
        <v/>
      </c>
      <c r="J2767" s="46" t="str">
        <f>IF(INPUT!Q2762="","",INPUT!Q2762)</f>
        <v/>
      </c>
      <c r="K2767" s="46" t="str">
        <f>IFERROR(IF(OR(INPUT!P2762="",INPUT!Q2762=""),"",INPUT!P2762-INPUT!Q2762),"")</f>
        <v/>
      </c>
      <c r="L2767" s="48" t="str">
        <f>IFERROR(IF(OR(INPUT!P2762="",INPUT!Q2762="",INPUT!P2762=0),"",(INPUT!P2762-INPUT!Q2762)/INPUT!P2762),"")</f>
        <v/>
      </c>
    </row>
    <row r="2768" spans="1:12" ht="18" hidden="1" customHeight="1" x14ac:dyDescent="0.2">
      <c r="A2768" s="11" t="str">
        <f>IF(INPUT!M2763="","",INPUT!M2763)</f>
        <v/>
      </c>
      <c r="B2768" s="11" t="str">
        <f>IF(INPUT!M2763="","",INPUT!M2763-WEEKDAY(INPUT!M2763,2)+1)</f>
        <v/>
      </c>
      <c r="C2768" s="20">
        <f>IFERROR(_xlfn.ISOWEEKNUM(INPUT!M2763),"")</f>
        <v>52</v>
      </c>
      <c r="D2768" s="20">
        <f>IFERROR(YEAR(INPUT!M2763),"")</f>
        <v>1900</v>
      </c>
      <c r="E2768" t="str">
        <f>IF(INPUT!O2763="","",INPUT!O2763)</f>
        <v/>
      </c>
      <c r="F2768" t="str">
        <f>IF(INPUT!N2763="","",INPUT!N2763)</f>
        <v/>
      </c>
      <c r="G2768" cm="1">
        <f t="array" ref="G2768">IFERROR(VLOOKUP(INPUT!M2763&amp;INPUT!N2763,CHOOSE({1,2},INPUT!$A$3:$A$5000&amp;INPUT!$C$3:$C$5000,INPUT!$F$3:$F$5000),2,FALSE),"")</f>
        <v>0</v>
      </c>
      <c r="H2768" cm="1">
        <f t="array" ref="H2768">IFERROR(VLOOKUP(INPUT!M2763&amp;INPUT!N2763,CHOOSE({1,2},INPUT!$A$3:$A$5000&amp;INPUT!$C$3:$C$5000,INPUT!$D$3:$D$5000),2,FALSE),"")</f>
        <v>0</v>
      </c>
      <c r="I2768" s="46" t="str">
        <f>IF(INPUT!P2763="","",INPUT!P2763)</f>
        <v/>
      </c>
      <c r="J2768" s="46" t="str">
        <f>IF(INPUT!Q2763="","",INPUT!Q2763)</f>
        <v/>
      </c>
      <c r="K2768" s="46" t="str">
        <f>IFERROR(IF(OR(INPUT!P2763="",INPUT!Q2763=""),"",INPUT!P2763-INPUT!Q2763),"")</f>
        <v/>
      </c>
      <c r="L2768" s="48" t="str">
        <f>IFERROR(IF(OR(INPUT!P2763="",INPUT!Q2763="",INPUT!P2763=0),"",(INPUT!P2763-INPUT!Q2763)/INPUT!P2763),"")</f>
        <v/>
      </c>
    </row>
    <row r="2769" spans="1:12" ht="18" hidden="1" customHeight="1" x14ac:dyDescent="0.2">
      <c r="A2769" s="11" t="str">
        <f>IF(INPUT!M2764="","",INPUT!M2764)</f>
        <v/>
      </c>
      <c r="B2769" s="11" t="str">
        <f>IF(INPUT!M2764="","",INPUT!M2764-WEEKDAY(INPUT!M2764,2)+1)</f>
        <v/>
      </c>
      <c r="C2769" s="20">
        <f>IFERROR(_xlfn.ISOWEEKNUM(INPUT!M2764),"")</f>
        <v>52</v>
      </c>
      <c r="D2769" s="20">
        <f>IFERROR(YEAR(INPUT!M2764),"")</f>
        <v>1900</v>
      </c>
      <c r="E2769" t="str">
        <f>IF(INPUT!O2764="","",INPUT!O2764)</f>
        <v/>
      </c>
      <c r="F2769" t="str">
        <f>IF(INPUT!N2764="","",INPUT!N2764)</f>
        <v/>
      </c>
      <c r="G2769" cm="1">
        <f t="array" ref="G2769">IFERROR(VLOOKUP(INPUT!M2764&amp;INPUT!N2764,CHOOSE({1,2},INPUT!$A$3:$A$5000&amp;INPUT!$C$3:$C$5000,INPUT!$F$3:$F$5000),2,FALSE),"")</f>
        <v>0</v>
      </c>
      <c r="H2769" cm="1">
        <f t="array" ref="H2769">IFERROR(VLOOKUP(INPUT!M2764&amp;INPUT!N2764,CHOOSE({1,2},INPUT!$A$3:$A$5000&amp;INPUT!$C$3:$C$5000,INPUT!$D$3:$D$5000),2,FALSE),"")</f>
        <v>0</v>
      </c>
      <c r="I2769" s="46" t="str">
        <f>IF(INPUT!P2764="","",INPUT!P2764)</f>
        <v/>
      </c>
      <c r="J2769" s="46" t="str">
        <f>IF(INPUT!Q2764="","",INPUT!Q2764)</f>
        <v/>
      </c>
      <c r="K2769" s="46" t="str">
        <f>IFERROR(IF(OR(INPUT!P2764="",INPUT!Q2764=""),"",INPUT!P2764-INPUT!Q2764),"")</f>
        <v/>
      </c>
      <c r="L2769" s="48" t="str">
        <f>IFERROR(IF(OR(INPUT!P2764="",INPUT!Q2764="",INPUT!P2764=0),"",(INPUT!P2764-INPUT!Q2764)/INPUT!P2764),"")</f>
        <v/>
      </c>
    </row>
    <row r="2770" spans="1:12" ht="18" hidden="1" customHeight="1" x14ac:dyDescent="0.2">
      <c r="A2770" s="11" t="str">
        <f>IF(INPUT!M2765="","",INPUT!M2765)</f>
        <v/>
      </c>
      <c r="B2770" s="11" t="str">
        <f>IF(INPUT!M2765="","",INPUT!M2765-WEEKDAY(INPUT!M2765,2)+1)</f>
        <v/>
      </c>
      <c r="C2770" s="20">
        <f>IFERROR(_xlfn.ISOWEEKNUM(INPUT!M2765),"")</f>
        <v>52</v>
      </c>
      <c r="D2770" s="20">
        <f>IFERROR(YEAR(INPUT!M2765),"")</f>
        <v>1900</v>
      </c>
      <c r="E2770" t="str">
        <f>IF(INPUT!O2765="","",INPUT!O2765)</f>
        <v/>
      </c>
      <c r="F2770" t="str">
        <f>IF(INPUT!N2765="","",INPUT!N2765)</f>
        <v/>
      </c>
      <c r="G2770" cm="1">
        <f t="array" ref="G2770">IFERROR(VLOOKUP(INPUT!M2765&amp;INPUT!N2765,CHOOSE({1,2},INPUT!$A$3:$A$5000&amp;INPUT!$C$3:$C$5000,INPUT!$F$3:$F$5000),2,FALSE),"")</f>
        <v>0</v>
      </c>
      <c r="H2770" cm="1">
        <f t="array" ref="H2770">IFERROR(VLOOKUP(INPUT!M2765&amp;INPUT!N2765,CHOOSE({1,2},INPUT!$A$3:$A$5000&amp;INPUT!$C$3:$C$5000,INPUT!$D$3:$D$5000),2,FALSE),"")</f>
        <v>0</v>
      </c>
      <c r="I2770" s="46" t="str">
        <f>IF(INPUT!P2765="","",INPUT!P2765)</f>
        <v/>
      </c>
      <c r="J2770" s="46" t="str">
        <f>IF(INPUT!Q2765="","",INPUT!Q2765)</f>
        <v/>
      </c>
      <c r="K2770" s="46" t="str">
        <f>IFERROR(IF(OR(INPUT!P2765="",INPUT!Q2765=""),"",INPUT!P2765-INPUT!Q2765),"")</f>
        <v/>
      </c>
      <c r="L2770" s="48" t="str">
        <f>IFERROR(IF(OR(INPUT!P2765="",INPUT!Q2765="",INPUT!P2765=0),"",(INPUT!P2765-INPUT!Q2765)/INPUT!P2765),"")</f>
        <v/>
      </c>
    </row>
    <row r="2771" spans="1:12" ht="18" hidden="1" customHeight="1" x14ac:dyDescent="0.2">
      <c r="A2771" s="11" t="str">
        <f>IF(INPUT!M2766="","",INPUT!M2766)</f>
        <v/>
      </c>
      <c r="B2771" s="11" t="str">
        <f>IF(INPUT!M2766="","",INPUT!M2766-WEEKDAY(INPUT!M2766,2)+1)</f>
        <v/>
      </c>
      <c r="C2771" s="20">
        <f>IFERROR(_xlfn.ISOWEEKNUM(INPUT!M2766),"")</f>
        <v>52</v>
      </c>
      <c r="D2771" s="20">
        <f>IFERROR(YEAR(INPUT!M2766),"")</f>
        <v>1900</v>
      </c>
      <c r="E2771" t="str">
        <f>IF(INPUT!O2766="","",INPUT!O2766)</f>
        <v/>
      </c>
      <c r="F2771" t="str">
        <f>IF(INPUT!N2766="","",INPUT!N2766)</f>
        <v/>
      </c>
      <c r="G2771" cm="1">
        <f t="array" ref="G2771">IFERROR(VLOOKUP(INPUT!M2766&amp;INPUT!N2766,CHOOSE({1,2},INPUT!$A$3:$A$5000&amp;INPUT!$C$3:$C$5000,INPUT!$F$3:$F$5000),2,FALSE),"")</f>
        <v>0</v>
      </c>
      <c r="H2771" cm="1">
        <f t="array" ref="H2771">IFERROR(VLOOKUP(INPUT!M2766&amp;INPUT!N2766,CHOOSE({1,2},INPUT!$A$3:$A$5000&amp;INPUT!$C$3:$C$5000,INPUT!$D$3:$D$5000),2,FALSE),"")</f>
        <v>0</v>
      </c>
      <c r="I2771" s="46" t="str">
        <f>IF(INPUT!P2766="","",INPUT!P2766)</f>
        <v/>
      </c>
      <c r="J2771" s="46" t="str">
        <f>IF(INPUT!Q2766="","",INPUT!Q2766)</f>
        <v/>
      </c>
      <c r="K2771" s="46" t="str">
        <f>IFERROR(IF(OR(INPUT!P2766="",INPUT!Q2766=""),"",INPUT!P2766-INPUT!Q2766),"")</f>
        <v/>
      </c>
      <c r="L2771" s="48" t="str">
        <f>IFERROR(IF(OR(INPUT!P2766="",INPUT!Q2766="",INPUT!P2766=0),"",(INPUT!P2766-INPUT!Q2766)/INPUT!P2766),"")</f>
        <v/>
      </c>
    </row>
    <row r="2772" spans="1:12" ht="18" hidden="1" customHeight="1" x14ac:dyDescent="0.2">
      <c r="A2772" s="11" t="str">
        <f>IF(INPUT!M2767="","",INPUT!M2767)</f>
        <v/>
      </c>
      <c r="B2772" s="11" t="str">
        <f>IF(INPUT!M2767="","",INPUT!M2767-WEEKDAY(INPUT!M2767,2)+1)</f>
        <v/>
      </c>
      <c r="C2772" s="20">
        <f>IFERROR(_xlfn.ISOWEEKNUM(INPUT!M2767),"")</f>
        <v>52</v>
      </c>
      <c r="D2772" s="20">
        <f>IFERROR(YEAR(INPUT!M2767),"")</f>
        <v>1900</v>
      </c>
      <c r="E2772" t="str">
        <f>IF(INPUT!O2767="","",INPUT!O2767)</f>
        <v/>
      </c>
      <c r="F2772" t="str">
        <f>IF(INPUT!N2767="","",INPUT!N2767)</f>
        <v/>
      </c>
      <c r="G2772" cm="1">
        <f t="array" ref="G2772">IFERROR(VLOOKUP(INPUT!M2767&amp;INPUT!N2767,CHOOSE({1,2},INPUT!$A$3:$A$5000&amp;INPUT!$C$3:$C$5000,INPUT!$F$3:$F$5000),2,FALSE),"")</f>
        <v>0</v>
      </c>
      <c r="H2772" cm="1">
        <f t="array" ref="H2772">IFERROR(VLOOKUP(INPUT!M2767&amp;INPUT!N2767,CHOOSE({1,2},INPUT!$A$3:$A$5000&amp;INPUT!$C$3:$C$5000,INPUT!$D$3:$D$5000),2,FALSE),"")</f>
        <v>0</v>
      </c>
      <c r="I2772" s="46" t="str">
        <f>IF(INPUT!P2767="","",INPUT!P2767)</f>
        <v/>
      </c>
      <c r="J2772" s="46" t="str">
        <f>IF(INPUT!Q2767="","",INPUT!Q2767)</f>
        <v/>
      </c>
      <c r="K2772" s="46" t="str">
        <f>IFERROR(IF(OR(INPUT!P2767="",INPUT!Q2767=""),"",INPUT!P2767-INPUT!Q2767),"")</f>
        <v/>
      </c>
      <c r="L2772" s="48" t="str">
        <f>IFERROR(IF(OR(INPUT!P2767="",INPUT!Q2767="",INPUT!P2767=0),"",(INPUT!P2767-INPUT!Q2767)/INPUT!P2767),"")</f>
        <v/>
      </c>
    </row>
    <row r="2773" spans="1:12" ht="18" hidden="1" customHeight="1" x14ac:dyDescent="0.2">
      <c r="A2773" s="11" t="str">
        <f>IF(INPUT!M2768="","",INPUT!M2768)</f>
        <v/>
      </c>
      <c r="B2773" s="11" t="str">
        <f>IF(INPUT!M2768="","",INPUT!M2768-WEEKDAY(INPUT!M2768,2)+1)</f>
        <v/>
      </c>
      <c r="C2773" s="20">
        <f>IFERROR(_xlfn.ISOWEEKNUM(INPUT!M2768),"")</f>
        <v>52</v>
      </c>
      <c r="D2773" s="20">
        <f>IFERROR(YEAR(INPUT!M2768),"")</f>
        <v>1900</v>
      </c>
      <c r="E2773" t="str">
        <f>IF(INPUT!O2768="","",INPUT!O2768)</f>
        <v/>
      </c>
      <c r="F2773" t="str">
        <f>IF(INPUT!N2768="","",INPUT!N2768)</f>
        <v/>
      </c>
      <c r="G2773" cm="1">
        <f t="array" ref="G2773">IFERROR(VLOOKUP(INPUT!M2768&amp;INPUT!N2768,CHOOSE({1,2},INPUT!$A$3:$A$5000&amp;INPUT!$C$3:$C$5000,INPUT!$F$3:$F$5000),2,FALSE),"")</f>
        <v>0</v>
      </c>
      <c r="H2773" cm="1">
        <f t="array" ref="H2773">IFERROR(VLOOKUP(INPUT!M2768&amp;INPUT!N2768,CHOOSE({1,2},INPUT!$A$3:$A$5000&amp;INPUT!$C$3:$C$5000,INPUT!$D$3:$D$5000),2,FALSE),"")</f>
        <v>0</v>
      </c>
      <c r="I2773" s="46" t="str">
        <f>IF(INPUT!P2768="","",INPUT!P2768)</f>
        <v/>
      </c>
      <c r="J2773" s="46" t="str">
        <f>IF(INPUT!Q2768="","",INPUT!Q2768)</f>
        <v/>
      </c>
      <c r="K2773" s="46" t="str">
        <f>IFERROR(IF(OR(INPUT!P2768="",INPUT!Q2768=""),"",INPUT!P2768-INPUT!Q2768),"")</f>
        <v/>
      </c>
      <c r="L2773" s="48" t="str">
        <f>IFERROR(IF(OR(INPUT!P2768="",INPUT!Q2768="",INPUT!P2768=0),"",(INPUT!P2768-INPUT!Q2768)/INPUT!P2768),"")</f>
        <v/>
      </c>
    </row>
    <row r="2774" spans="1:12" ht="18" hidden="1" customHeight="1" x14ac:dyDescent="0.2">
      <c r="A2774" s="11" t="str">
        <f>IF(INPUT!M2769="","",INPUT!M2769)</f>
        <v/>
      </c>
      <c r="B2774" s="11" t="str">
        <f>IF(INPUT!M2769="","",INPUT!M2769-WEEKDAY(INPUT!M2769,2)+1)</f>
        <v/>
      </c>
      <c r="C2774" s="20">
        <f>IFERROR(_xlfn.ISOWEEKNUM(INPUT!M2769),"")</f>
        <v>52</v>
      </c>
      <c r="D2774" s="20">
        <f>IFERROR(YEAR(INPUT!M2769),"")</f>
        <v>1900</v>
      </c>
      <c r="E2774" t="str">
        <f>IF(INPUT!O2769="","",INPUT!O2769)</f>
        <v/>
      </c>
      <c r="F2774" t="str">
        <f>IF(INPUT!N2769="","",INPUT!N2769)</f>
        <v/>
      </c>
      <c r="G2774" cm="1">
        <f t="array" ref="G2774">IFERROR(VLOOKUP(INPUT!M2769&amp;INPUT!N2769,CHOOSE({1,2},INPUT!$A$3:$A$5000&amp;INPUT!$C$3:$C$5000,INPUT!$F$3:$F$5000),2,FALSE),"")</f>
        <v>0</v>
      </c>
      <c r="H2774" cm="1">
        <f t="array" ref="H2774">IFERROR(VLOOKUP(INPUT!M2769&amp;INPUT!N2769,CHOOSE({1,2},INPUT!$A$3:$A$5000&amp;INPUT!$C$3:$C$5000,INPUT!$D$3:$D$5000),2,FALSE),"")</f>
        <v>0</v>
      </c>
      <c r="I2774" s="46" t="str">
        <f>IF(INPUT!P2769="","",INPUT!P2769)</f>
        <v/>
      </c>
      <c r="J2774" s="46" t="str">
        <f>IF(INPUT!Q2769="","",INPUT!Q2769)</f>
        <v/>
      </c>
      <c r="K2774" s="46" t="str">
        <f>IFERROR(IF(OR(INPUT!P2769="",INPUT!Q2769=""),"",INPUT!P2769-INPUT!Q2769),"")</f>
        <v/>
      </c>
      <c r="L2774" s="48" t="str">
        <f>IFERROR(IF(OR(INPUT!P2769="",INPUT!Q2769="",INPUT!P2769=0),"",(INPUT!P2769-INPUT!Q2769)/INPUT!P2769),"")</f>
        <v/>
      </c>
    </row>
    <row r="2775" spans="1:12" ht="18" hidden="1" customHeight="1" x14ac:dyDescent="0.2">
      <c r="A2775" s="11" t="str">
        <f>IF(INPUT!M2770="","",INPUT!M2770)</f>
        <v/>
      </c>
      <c r="B2775" s="11" t="str">
        <f>IF(INPUT!M2770="","",INPUT!M2770-WEEKDAY(INPUT!M2770,2)+1)</f>
        <v/>
      </c>
      <c r="C2775" s="20">
        <f>IFERROR(_xlfn.ISOWEEKNUM(INPUT!M2770),"")</f>
        <v>52</v>
      </c>
      <c r="D2775" s="20">
        <f>IFERROR(YEAR(INPUT!M2770),"")</f>
        <v>1900</v>
      </c>
      <c r="E2775" t="str">
        <f>IF(INPUT!O2770="","",INPUT!O2770)</f>
        <v/>
      </c>
      <c r="F2775" t="str">
        <f>IF(INPUT!N2770="","",INPUT!N2770)</f>
        <v/>
      </c>
      <c r="G2775" cm="1">
        <f t="array" ref="G2775">IFERROR(VLOOKUP(INPUT!M2770&amp;INPUT!N2770,CHOOSE({1,2},INPUT!$A$3:$A$5000&amp;INPUT!$C$3:$C$5000,INPUT!$F$3:$F$5000),2,FALSE),"")</f>
        <v>0</v>
      </c>
      <c r="H2775" cm="1">
        <f t="array" ref="H2775">IFERROR(VLOOKUP(INPUT!M2770&amp;INPUT!N2770,CHOOSE({1,2},INPUT!$A$3:$A$5000&amp;INPUT!$C$3:$C$5000,INPUT!$D$3:$D$5000),2,FALSE),"")</f>
        <v>0</v>
      </c>
      <c r="I2775" s="46" t="str">
        <f>IF(INPUT!P2770="","",INPUT!P2770)</f>
        <v/>
      </c>
      <c r="J2775" s="46" t="str">
        <f>IF(INPUT!Q2770="","",INPUT!Q2770)</f>
        <v/>
      </c>
      <c r="K2775" s="46" t="str">
        <f>IFERROR(IF(OR(INPUT!P2770="",INPUT!Q2770=""),"",INPUT!P2770-INPUT!Q2770),"")</f>
        <v/>
      </c>
      <c r="L2775" s="48" t="str">
        <f>IFERROR(IF(OR(INPUT!P2770="",INPUT!Q2770="",INPUT!P2770=0),"",(INPUT!P2770-INPUT!Q2770)/INPUT!P2770),"")</f>
        <v/>
      </c>
    </row>
    <row r="2776" spans="1:12" ht="18" hidden="1" customHeight="1" x14ac:dyDescent="0.2">
      <c r="A2776" s="11" t="str">
        <f>IF(INPUT!M2771="","",INPUT!M2771)</f>
        <v/>
      </c>
      <c r="B2776" s="11" t="str">
        <f>IF(INPUT!M2771="","",INPUT!M2771-WEEKDAY(INPUT!M2771,2)+1)</f>
        <v/>
      </c>
      <c r="C2776" s="20">
        <f>IFERROR(_xlfn.ISOWEEKNUM(INPUT!M2771),"")</f>
        <v>52</v>
      </c>
      <c r="D2776" s="20">
        <f>IFERROR(YEAR(INPUT!M2771),"")</f>
        <v>1900</v>
      </c>
      <c r="E2776" t="str">
        <f>IF(INPUT!O2771="","",INPUT!O2771)</f>
        <v/>
      </c>
      <c r="F2776" t="str">
        <f>IF(INPUT!N2771="","",INPUT!N2771)</f>
        <v/>
      </c>
      <c r="G2776" cm="1">
        <f t="array" ref="G2776">IFERROR(VLOOKUP(INPUT!M2771&amp;INPUT!N2771,CHOOSE({1,2},INPUT!$A$3:$A$5000&amp;INPUT!$C$3:$C$5000,INPUT!$F$3:$F$5000),2,FALSE),"")</f>
        <v>0</v>
      </c>
      <c r="H2776" cm="1">
        <f t="array" ref="H2776">IFERROR(VLOOKUP(INPUT!M2771&amp;INPUT!N2771,CHOOSE({1,2},INPUT!$A$3:$A$5000&amp;INPUT!$C$3:$C$5000,INPUT!$D$3:$D$5000),2,FALSE),"")</f>
        <v>0</v>
      </c>
      <c r="I2776" s="46" t="str">
        <f>IF(INPUT!P2771="","",INPUT!P2771)</f>
        <v/>
      </c>
      <c r="J2776" s="46" t="str">
        <f>IF(INPUT!Q2771="","",INPUT!Q2771)</f>
        <v/>
      </c>
      <c r="K2776" s="46" t="str">
        <f>IFERROR(IF(OR(INPUT!P2771="",INPUT!Q2771=""),"",INPUT!P2771-INPUT!Q2771),"")</f>
        <v/>
      </c>
      <c r="L2776" s="48" t="str">
        <f>IFERROR(IF(OR(INPUT!P2771="",INPUT!Q2771="",INPUT!P2771=0),"",(INPUT!P2771-INPUT!Q2771)/INPUT!P2771),"")</f>
        <v/>
      </c>
    </row>
    <row r="2777" spans="1:12" ht="18" hidden="1" customHeight="1" x14ac:dyDescent="0.2">
      <c r="A2777" s="11" t="str">
        <f>IF(INPUT!M2772="","",INPUT!M2772)</f>
        <v/>
      </c>
      <c r="B2777" s="11" t="str">
        <f>IF(INPUT!M2772="","",INPUT!M2772-WEEKDAY(INPUT!M2772,2)+1)</f>
        <v/>
      </c>
      <c r="C2777" s="20">
        <f>IFERROR(_xlfn.ISOWEEKNUM(INPUT!M2772),"")</f>
        <v>52</v>
      </c>
      <c r="D2777" s="20">
        <f>IFERROR(YEAR(INPUT!M2772),"")</f>
        <v>1900</v>
      </c>
      <c r="E2777" t="str">
        <f>IF(INPUT!O2772="","",INPUT!O2772)</f>
        <v/>
      </c>
      <c r="F2777" t="str">
        <f>IF(INPUT!N2772="","",INPUT!N2772)</f>
        <v/>
      </c>
      <c r="G2777" cm="1">
        <f t="array" ref="G2777">IFERROR(VLOOKUP(INPUT!M2772&amp;INPUT!N2772,CHOOSE({1,2},INPUT!$A$3:$A$5000&amp;INPUT!$C$3:$C$5000,INPUT!$F$3:$F$5000),2,FALSE),"")</f>
        <v>0</v>
      </c>
      <c r="H2777" cm="1">
        <f t="array" ref="H2777">IFERROR(VLOOKUP(INPUT!M2772&amp;INPUT!N2772,CHOOSE({1,2},INPUT!$A$3:$A$5000&amp;INPUT!$C$3:$C$5000,INPUT!$D$3:$D$5000),2,FALSE),"")</f>
        <v>0</v>
      </c>
      <c r="I2777" s="46" t="str">
        <f>IF(INPUT!P2772="","",INPUT!P2772)</f>
        <v/>
      </c>
      <c r="J2777" s="46" t="str">
        <f>IF(INPUT!Q2772="","",INPUT!Q2772)</f>
        <v/>
      </c>
      <c r="K2777" s="46" t="str">
        <f>IFERROR(IF(OR(INPUT!P2772="",INPUT!Q2772=""),"",INPUT!P2772-INPUT!Q2772),"")</f>
        <v/>
      </c>
      <c r="L2777" s="48" t="str">
        <f>IFERROR(IF(OR(INPUT!P2772="",INPUT!Q2772="",INPUT!P2772=0),"",(INPUT!P2772-INPUT!Q2772)/INPUT!P2772),"")</f>
        <v/>
      </c>
    </row>
    <row r="2778" spans="1:12" ht="18" hidden="1" customHeight="1" x14ac:dyDescent="0.2">
      <c r="A2778" s="11" t="str">
        <f>IF(INPUT!M2773="","",INPUT!M2773)</f>
        <v/>
      </c>
      <c r="B2778" s="11" t="str">
        <f>IF(INPUT!M2773="","",INPUT!M2773-WEEKDAY(INPUT!M2773,2)+1)</f>
        <v/>
      </c>
      <c r="C2778" s="20">
        <f>IFERROR(_xlfn.ISOWEEKNUM(INPUT!M2773),"")</f>
        <v>52</v>
      </c>
      <c r="D2778" s="20">
        <f>IFERROR(YEAR(INPUT!M2773),"")</f>
        <v>1900</v>
      </c>
      <c r="E2778" t="str">
        <f>IF(INPUT!O2773="","",INPUT!O2773)</f>
        <v/>
      </c>
      <c r="F2778" t="str">
        <f>IF(INPUT!N2773="","",INPUT!N2773)</f>
        <v/>
      </c>
      <c r="G2778" cm="1">
        <f t="array" ref="G2778">IFERROR(VLOOKUP(INPUT!M2773&amp;INPUT!N2773,CHOOSE({1,2},INPUT!$A$3:$A$5000&amp;INPUT!$C$3:$C$5000,INPUT!$F$3:$F$5000),2,FALSE),"")</f>
        <v>0</v>
      </c>
      <c r="H2778" cm="1">
        <f t="array" ref="H2778">IFERROR(VLOOKUP(INPUT!M2773&amp;INPUT!N2773,CHOOSE({1,2},INPUT!$A$3:$A$5000&amp;INPUT!$C$3:$C$5000,INPUT!$D$3:$D$5000),2,FALSE),"")</f>
        <v>0</v>
      </c>
      <c r="I2778" s="46" t="str">
        <f>IF(INPUT!P2773="","",INPUT!P2773)</f>
        <v/>
      </c>
      <c r="J2778" s="46" t="str">
        <f>IF(INPUT!Q2773="","",INPUT!Q2773)</f>
        <v/>
      </c>
      <c r="K2778" s="46" t="str">
        <f>IFERROR(IF(OR(INPUT!P2773="",INPUT!Q2773=""),"",INPUT!P2773-INPUT!Q2773),"")</f>
        <v/>
      </c>
      <c r="L2778" s="48" t="str">
        <f>IFERROR(IF(OR(INPUT!P2773="",INPUT!Q2773="",INPUT!P2773=0),"",(INPUT!P2773-INPUT!Q2773)/INPUT!P2773),"")</f>
        <v/>
      </c>
    </row>
    <row r="2779" spans="1:12" ht="18" hidden="1" customHeight="1" x14ac:dyDescent="0.2">
      <c r="A2779" s="11" t="str">
        <f>IF(INPUT!M2774="","",INPUT!M2774)</f>
        <v/>
      </c>
      <c r="B2779" s="11" t="str">
        <f>IF(INPUT!M2774="","",INPUT!M2774-WEEKDAY(INPUT!M2774,2)+1)</f>
        <v/>
      </c>
      <c r="C2779" s="20">
        <f>IFERROR(_xlfn.ISOWEEKNUM(INPUT!M2774),"")</f>
        <v>52</v>
      </c>
      <c r="D2779" s="20">
        <f>IFERROR(YEAR(INPUT!M2774),"")</f>
        <v>1900</v>
      </c>
      <c r="E2779" t="str">
        <f>IF(INPUT!O2774="","",INPUT!O2774)</f>
        <v/>
      </c>
      <c r="F2779" t="str">
        <f>IF(INPUT!N2774="","",INPUT!N2774)</f>
        <v/>
      </c>
      <c r="G2779" cm="1">
        <f t="array" ref="G2779">IFERROR(VLOOKUP(INPUT!M2774&amp;INPUT!N2774,CHOOSE({1,2},INPUT!$A$3:$A$5000&amp;INPUT!$C$3:$C$5000,INPUT!$F$3:$F$5000),2,FALSE),"")</f>
        <v>0</v>
      </c>
      <c r="H2779" cm="1">
        <f t="array" ref="H2779">IFERROR(VLOOKUP(INPUT!M2774&amp;INPUT!N2774,CHOOSE({1,2},INPUT!$A$3:$A$5000&amp;INPUT!$C$3:$C$5000,INPUT!$D$3:$D$5000),2,FALSE),"")</f>
        <v>0</v>
      </c>
      <c r="I2779" s="46" t="str">
        <f>IF(INPUT!P2774="","",INPUT!P2774)</f>
        <v/>
      </c>
      <c r="J2779" s="46" t="str">
        <f>IF(INPUT!Q2774="","",INPUT!Q2774)</f>
        <v/>
      </c>
      <c r="K2779" s="46" t="str">
        <f>IFERROR(IF(OR(INPUT!P2774="",INPUT!Q2774=""),"",INPUT!P2774-INPUT!Q2774),"")</f>
        <v/>
      </c>
      <c r="L2779" s="48" t="str">
        <f>IFERROR(IF(OR(INPUT!P2774="",INPUT!Q2774="",INPUT!P2774=0),"",(INPUT!P2774-INPUT!Q2774)/INPUT!P2774),"")</f>
        <v/>
      </c>
    </row>
    <row r="2780" spans="1:12" ht="18" hidden="1" customHeight="1" x14ac:dyDescent="0.2">
      <c r="A2780" s="11" t="str">
        <f>IF(INPUT!M2775="","",INPUT!M2775)</f>
        <v/>
      </c>
      <c r="B2780" s="11" t="str">
        <f>IF(INPUT!M2775="","",INPUT!M2775-WEEKDAY(INPUT!M2775,2)+1)</f>
        <v/>
      </c>
      <c r="C2780" s="20">
        <f>IFERROR(_xlfn.ISOWEEKNUM(INPUT!M2775),"")</f>
        <v>52</v>
      </c>
      <c r="D2780" s="20">
        <f>IFERROR(YEAR(INPUT!M2775),"")</f>
        <v>1900</v>
      </c>
      <c r="E2780" t="str">
        <f>IF(INPUT!O2775="","",INPUT!O2775)</f>
        <v/>
      </c>
      <c r="F2780" t="str">
        <f>IF(INPUT!N2775="","",INPUT!N2775)</f>
        <v/>
      </c>
      <c r="G2780" cm="1">
        <f t="array" ref="G2780">IFERROR(VLOOKUP(INPUT!M2775&amp;INPUT!N2775,CHOOSE({1,2},INPUT!$A$3:$A$5000&amp;INPUT!$C$3:$C$5000,INPUT!$F$3:$F$5000),2,FALSE),"")</f>
        <v>0</v>
      </c>
      <c r="H2780" cm="1">
        <f t="array" ref="H2780">IFERROR(VLOOKUP(INPUT!M2775&amp;INPUT!N2775,CHOOSE({1,2},INPUT!$A$3:$A$5000&amp;INPUT!$C$3:$C$5000,INPUT!$D$3:$D$5000),2,FALSE),"")</f>
        <v>0</v>
      </c>
      <c r="I2780" s="46" t="str">
        <f>IF(INPUT!P2775="","",INPUT!P2775)</f>
        <v/>
      </c>
      <c r="J2780" s="46" t="str">
        <f>IF(INPUT!Q2775="","",INPUT!Q2775)</f>
        <v/>
      </c>
      <c r="K2780" s="46" t="str">
        <f>IFERROR(IF(OR(INPUT!P2775="",INPUT!Q2775=""),"",INPUT!P2775-INPUT!Q2775),"")</f>
        <v/>
      </c>
      <c r="L2780" s="48" t="str">
        <f>IFERROR(IF(OR(INPUT!P2775="",INPUT!Q2775="",INPUT!P2775=0),"",(INPUT!P2775-INPUT!Q2775)/INPUT!P2775),"")</f>
        <v/>
      </c>
    </row>
    <row r="2781" spans="1:12" ht="18" hidden="1" customHeight="1" x14ac:dyDescent="0.2">
      <c r="A2781" s="11" t="str">
        <f>IF(INPUT!M2776="","",INPUT!M2776)</f>
        <v/>
      </c>
      <c r="B2781" s="11" t="str">
        <f>IF(INPUT!M2776="","",INPUT!M2776-WEEKDAY(INPUT!M2776,2)+1)</f>
        <v/>
      </c>
      <c r="C2781" s="20">
        <f>IFERROR(_xlfn.ISOWEEKNUM(INPUT!M2776),"")</f>
        <v>52</v>
      </c>
      <c r="D2781" s="20">
        <f>IFERROR(YEAR(INPUT!M2776),"")</f>
        <v>1900</v>
      </c>
      <c r="E2781" t="str">
        <f>IF(INPUT!O2776="","",INPUT!O2776)</f>
        <v/>
      </c>
      <c r="F2781" t="str">
        <f>IF(INPUT!N2776="","",INPUT!N2776)</f>
        <v/>
      </c>
      <c r="G2781" cm="1">
        <f t="array" ref="G2781">IFERROR(VLOOKUP(INPUT!M2776&amp;INPUT!N2776,CHOOSE({1,2},INPUT!$A$3:$A$5000&amp;INPUT!$C$3:$C$5000,INPUT!$F$3:$F$5000),2,FALSE),"")</f>
        <v>0</v>
      </c>
      <c r="H2781" cm="1">
        <f t="array" ref="H2781">IFERROR(VLOOKUP(INPUT!M2776&amp;INPUT!N2776,CHOOSE({1,2},INPUT!$A$3:$A$5000&amp;INPUT!$C$3:$C$5000,INPUT!$D$3:$D$5000),2,FALSE),"")</f>
        <v>0</v>
      </c>
      <c r="I2781" s="46" t="str">
        <f>IF(INPUT!P2776="","",INPUT!P2776)</f>
        <v/>
      </c>
      <c r="J2781" s="46" t="str">
        <f>IF(INPUT!Q2776="","",INPUT!Q2776)</f>
        <v/>
      </c>
      <c r="K2781" s="46" t="str">
        <f>IFERROR(IF(OR(INPUT!P2776="",INPUT!Q2776=""),"",INPUT!P2776-INPUT!Q2776),"")</f>
        <v/>
      </c>
      <c r="L2781" s="48" t="str">
        <f>IFERROR(IF(OR(INPUT!P2776="",INPUT!Q2776="",INPUT!P2776=0),"",(INPUT!P2776-INPUT!Q2776)/INPUT!P2776),"")</f>
        <v/>
      </c>
    </row>
    <row r="2782" spans="1:12" ht="18" hidden="1" customHeight="1" x14ac:dyDescent="0.2">
      <c r="A2782" s="11" t="str">
        <f>IF(INPUT!M2777="","",INPUT!M2777)</f>
        <v/>
      </c>
      <c r="B2782" s="11" t="str">
        <f>IF(INPUT!M2777="","",INPUT!M2777-WEEKDAY(INPUT!M2777,2)+1)</f>
        <v/>
      </c>
      <c r="C2782" s="20">
        <f>IFERROR(_xlfn.ISOWEEKNUM(INPUT!M2777),"")</f>
        <v>52</v>
      </c>
      <c r="D2782" s="20">
        <f>IFERROR(YEAR(INPUT!M2777),"")</f>
        <v>1900</v>
      </c>
      <c r="E2782" t="str">
        <f>IF(INPUT!O2777="","",INPUT!O2777)</f>
        <v/>
      </c>
      <c r="F2782" t="str">
        <f>IF(INPUT!N2777="","",INPUT!N2777)</f>
        <v/>
      </c>
      <c r="G2782" cm="1">
        <f t="array" ref="G2782">IFERROR(VLOOKUP(INPUT!M2777&amp;INPUT!N2777,CHOOSE({1,2},INPUT!$A$3:$A$5000&amp;INPUT!$C$3:$C$5000,INPUT!$F$3:$F$5000),2,FALSE),"")</f>
        <v>0</v>
      </c>
      <c r="H2782" cm="1">
        <f t="array" ref="H2782">IFERROR(VLOOKUP(INPUT!M2777&amp;INPUT!N2777,CHOOSE({1,2},INPUT!$A$3:$A$5000&amp;INPUT!$C$3:$C$5000,INPUT!$D$3:$D$5000),2,FALSE),"")</f>
        <v>0</v>
      </c>
      <c r="I2782" s="46" t="str">
        <f>IF(INPUT!P2777="","",INPUT!P2777)</f>
        <v/>
      </c>
      <c r="J2782" s="46" t="str">
        <f>IF(INPUT!Q2777="","",INPUT!Q2777)</f>
        <v/>
      </c>
      <c r="K2782" s="46" t="str">
        <f>IFERROR(IF(OR(INPUT!P2777="",INPUT!Q2777=""),"",INPUT!P2777-INPUT!Q2777),"")</f>
        <v/>
      </c>
      <c r="L2782" s="48" t="str">
        <f>IFERROR(IF(OR(INPUT!P2777="",INPUT!Q2777="",INPUT!P2777=0),"",(INPUT!P2777-INPUT!Q2777)/INPUT!P2777),"")</f>
        <v/>
      </c>
    </row>
    <row r="2783" spans="1:12" ht="18" hidden="1" customHeight="1" x14ac:dyDescent="0.2">
      <c r="A2783" s="11" t="str">
        <f>IF(INPUT!M2778="","",INPUT!M2778)</f>
        <v/>
      </c>
      <c r="B2783" s="11" t="str">
        <f>IF(INPUT!M2778="","",INPUT!M2778-WEEKDAY(INPUT!M2778,2)+1)</f>
        <v/>
      </c>
      <c r="C2783" s="20">
        <f>IFERROR(_xlfn.ISOWEEKNUM(INPUT!M2778),"")</f>
        <v>52</v>
      </c>
      <c r="D2783" s="20">
        <f>IFERROR(YEAR(INPUT!M2778),"")</f>
        <v>1900</v>
      </c>
      <c r="E2783" t="str">
        <f>IF(INPUT!O2778="","",INPUT!O2778)</f>
        <v/>
      </c>
      <c r="F2783" t="str">
        <f>IF(INPUT!N2778="","",INPUT!N2778)</f>
        <v/>
      </c>
      <c r="G2783" cm="1">
        <f t="array" ref="G2783">IFERROR(VLOOKUP(INPUT!M2778&amp;INPUT!N2778,CHOOSE({1,2},INPUT!$A$3:$A$5000&amp;INPUT!$C$3:$C$5000,INPUT!$F$3:$F$5000),2,FALSE),"")</f>
        <v>0</v>
      </c>
      <c r="H2783" cm="1">
        <f t="array" ref="H2783">IFERROR(VLOOKUP(INPUT!M2778&amp;INPUT!N2778,CHOOSE({1,2},INPUT!$A$3:$A$5000&amp;INPUT!$C$3:$C$5000,INPUT!$D$3:$D$5000),2,FALSE),"")</f>
        <v>0</v>
      </c>
      <c r="I2783" s="46" t="str">
        <f>IF(INPUT!P2778="","",INPUT!P2778)</f>
        <v/>
      </c>
      <c r="J2783" s="46" t="str">
        <f>IF(INPUT!Q2778="","",INPUT!Q2778)</f>
        <v/>
      </c>
      <c r="K2783" s="46" t="str">
        <f>IFERROR(IF(OR(INPUT!P2778="",INPUT!Q2778=""),"",INPUT!P2778-INPUT!Q2778),"")</f>
        <v/>
      </c>
      <c r="L2783" s="48" t="str">
        <f>IFERROR(IF(OR(INPUT!P2778="",INPUT!Q2778="",INPUT!P2778=0),"",(INPUT!P2778-INPUT!Q2778)/INPUT!P2778),"")</f>
        <v/>
      </c>
    </row>
    <row r="2784" spans="1:12" ht="18" hidden="1" customHeight="1" x14ac:dyDescent="0.2">
      <c r="A2784" s="11" t="str">
        <f>IF(INPUT!M2779="","",INPUT!M2779)</f>
        <v/>
      </c>
      <c r="B2784" s="11" t="str">
        <f>IF(INPUT!M2779="","",INPUT!M2779-WEEKDAY(INPUT!M2779,2)+1)</f>
        <v/>
      </c>
      <c r="C2784" s="20">
        <f>IFERROR(_xlfn.ISOWEEKNUM(INPUT!M2779),"")</f>
        <v>52</v>
      </c>
      <c r="D2784" s="20">
        <f>IFERROR(YEAR(INPUT!M2779),"")</f>
        <v>1900</v>
      </c>
      <c r="E2784" t="str">
        <f>IF(INPUT!O2779="","",INPUT!O2779)</f>
        <v/>
      </c>
      <c r="F2784" t="str">
        <f>IF(INPUT!N2779="","",INPUT!N2779)</f>
        <v/>
      </c>
      <c r="G2784" cm="1">
        <f t="array" ref="G2784">IFERROR(VLOOKUP(INPUT!M2779&amp;INPUT!N2779,CHOOSE({1,2},INPUT!$A$3:$A$5000&amp;INPUT!$C$3:$C$5000,INPUT!$F$3:$F$5000),2,FALSE),"")</f>
        <v>0</v>
      </c>
      <c r="H2784" cm="1">
        <f t="array" ref="H2784">IFERROR(VLOOKUP(INPUT!M2779&amp;INPUT!N2779,CHOOSE({1,2},INPUT!$A$3:$A$5000&amp;INPUT!$C$3:$C$5000,INPUT!$D$3:$D$5000),2,FALSE),"")</f>
        <v>0</v>
      </c>
      <c r="I2784" s="46" t="str">
        <f>IF(INPUT!P2779="","",INPUT!P2779)</f>
        <v/>
      </c>
      <c r="J2784" s="46" t="str">
        <f>IF(INPUT!Q2779="","",INPUT!Q2779)</f>
        <v/>
      </c>
      <c r="K2784" s="46" t="str">
        <f>IFERROR(IF(OR(INPUT!P2779="",INPUT!Q2779=""),"",INPUT!P2779-INPUT!Q2779),"")</f>
        <v/>
      </c>
      <c r="L2784" s="48" t="str">
        <f>IFERROR(IF(OR(INPUT!P2779="",INPUT!Q2779="",INPUT!P2779=0),"",(INPUT!P2779-INPUT!Q2779)/INPUT!P2779),"")</f>
        <v/>
      </c>
    </row>
    <row r="2785" spans="1:12" ht="18" hidden="1" customHeight="1" x14ac:dyDescent="0.2">
      <c r="A2785" s="11" t="str">
        <f>IF(INPUT!M2780="","",INPUT!M2780)</f>
        <v/>
      </c>
      <c r="B2785" s="11" t="str">
        <f>IF(INPUT!M2780="","",INPUT!M2780-WEEKDAY(INPUT!M2780,2)+1)</f>
        <v/>
      </c>
      <c r="C2785" s="20">
        <f>IFERROR(_xlfn.ISOWEEKNUM(INPUT!M2780),"")</f>
        <v>52</v>
      </c>
      <c r="D2785" s="20">
        <f>IFERROR(YEAR(INPUT!M2780),"")</f>
        <v>1900</v>
      </c>
      <c r="E2785" t="str">
        <f>IF(INPUT!O2780="","",INPUT!O2780)</f>
        <v/>
      </c>
      <c r="F2785" t="str">
        <f>IF(INPUT!N2780="","",INPUT!N2780)</f>
        <v/>
      </c>
      <c r="G2785" cm="1">
        <f t="array" ref="G2785">IFERROR(VLOOKUP(INPUT!M2780&amp;INPUT!N2780,CHOOSE({1,2},INPUT!$A$3:$A$5000&amp;INPUT!$C$3:$C$5000,INPUT!$F$3:$F$5000),2,FALSE),"")</f>
        <v>0</v>
      </c>
      <c r="H2785" cm="1">
        <f t="array" ref="H2785">IFERROR(VLOOKUP(INPUT!M2780&amp;INPUT!N2780,CHOOSE({1,2},INPUT!$A$3:$A$5000&amp;INPUT!$C$3:$C$5000,INPUT!$D$3:$D$5000),2,FALSE),"")</f>
        <v>0</v>
      </c>
      <c r="I2785" s="46" t="str">
        <f>IF(INPUT!P2780="","",INPUT!P2780)</f>
        <v/>
      </c>
      <c r="J2785" s="46" t="str">
        <f>IF(INPUT!Q2780="","",INPUT!Q2780)</f>
        <v/>
      </c>
      <c r="K2785" s="46" t="str">
        <f>IFERROR(IF(OR(INPUT!P2780="",INPUT!Q2780=""),"",INPUT!P2780-INPUT!Q2780),"")</f>
        <v/>
      </c>
      <c r="L2785" s="48" t="str">
        <f>IFERROR(IF(OR(INPUT!P2780="",INPUT!Q2780="",INPUT!P2780=0),"",(INPUT!P2780-INPUT!Q2780)/INPUT!P2780),"")</f>
        <v/>
      </c>
    </row>
    <row r="2786" spans="1:12" ht="18" hidden="1" customHeight="1" x14ac:dyDescent="0.2">
      <c r="A2786" s="11" t="str">
        <f>IF(INPUT!M2781="","",INPUT!M2781)</f>
        <v/>
      </c>
      <c r="B2786" s="11" t="str">
        <f>IF(INPUT!M2781="","",INPUT!M2781-WEEKDAY(INPUT!M2781,2)+1)</f>
        <v/>
      </c>
      <c r="C2786" s="20">
        <f>IFERROR(_xlfn.ISOWEEKNUM(INPUT!M2781),"")</f>
        <v>52</v>
      </c>
      <c r="D2786" s="20">
        <f>IFERROR(YEAR(INPUT!M2781),"")</f>
        <v>1900</v>
      </c>
      <c r="E2786" t="str">
        <f>IF(INPUT!O2781="","",INPUT!O2781)</f>
        <v/>
      </c>
      <c r="F2786" t="str">
        <f>IF(INPUT!N2781="","",INPUT!N2781)</f>
        <v/>
      </c>
      <c r="G2786" cm="1">
        <f t="array" ref="G2786">IFERROR(VLOOKUP(INPUT!M2781&amp;INPUT!N2781,CHOOSE({1,2},INPUT!$A$3:$A$5000&amp;INPUT!$C$3:$C$5000,INPUT!$F$3:$F$5000),2,FALSE),"")</f>
        <v>0</v>
      </c>
      <c r="H2786" cm="1">
        <f t="array" ref="H2786">IFERROR(VLOOKUP(INPUT!M2781&amp;INPUT!N2781,CHOOSE({1,2},INPUT!$A$3:$A$5000&amp;INPUT!$C$3:$C$5000,INPUT!$D$3:$D$5000),2,FALSE),"")</f>
        <v>0</v>
      </c>
      <c r="I2786" s="46" t="str">
        <f>IF(INPUT!P2781="","",INPUT!P2781)</f>
        <v/>
      </c>
      <c r="J2786" s="46" t="str">
        <f>IF(INPUT!Q2781="","",INPUT!Q2781)</f>
        <v/>
      </c>
      <c r="K2786" s="46" t="str">
        <f>IFERROR(IF(OR(INPUT!P2781="",INPUT!Q2781=""),"",INPUT!P2781-INPUT!Q2781),"")</f>
        <v/>
      </c>
      <c r="L2786" s="48" t="str">
        <f>IFERROR(IF(OR(INPUT!P2781="",INPUT!Q2781="",INPUT!P2781=0),"",(INPUT!P2781-INPUT!Q2781)/INPUT!P2781),"")</f>
        <v/>
      </c>
    </row>
    <row r="2787" spans="1:12" ht="18" hidden="1" customHeight="1" x14ac:dyDescent="0.2">
      <c r="A2787" s="11" t="str">
        <f>IF(INPUT!M2782="","",INPUT!M2782)</f>
        <v/>
      </c>
      <c r="B2787" s="11" t="str">
        <f>IF(INPUT!M2782="","",INPUT!M2782-WEEKDAY(INPUT!M2782,2)+1)</f>
        <v/>
      </c>
      <c r="C2787" s="20">
        <f>IFERROR(_xlfn.ISOWEEKNUM(INPUT!M2782),"")</f>
        <v>52</v>
      </c>
      <c r="D2787" s="20">
        <f>IFERROR(YEAR(INPUT!M2782),"")</f>
        <v>1900</v>
      </c>
      <c r="E2787" t="str">
        <f>IF(INPUT!O2782="","",INPUT!O2782)</f>
        <v/>
      </c>
      <c r="F2787" t="str">
        <f>IF(INPUT!N2782="","",INPUT!N2782)</f>
        <v/>
      </c>
      <c r="G2787" cm="1">
        <f t="array" ref="G2787">IFERROR(VLOOKUP(INPUT!M2782&amp;INPUT!N2782,CHOOSE({1,2},INPUT!$A$3:$A$5000&amp;INPUT!$C$3:$C$5000,INPUT!$F$3:$F$5000),2,FALSE),"")</f>
        <v>0</v>
      </c>
      <c r="H2787" cm="1">
        <f t="array" ref="H2787">IFERROR(VLOOKUP(INPUT!M2782&amp;INPUT!N2782,CHOOSE({1,2},INPUT!$A$3:$A$5000&amp;INPUT!$C$3:$C$5000,INPUT!$D$3:$D$5000),2,FALSE),"")</f>
        <v>0</v>
      </c>
      <c r="I2787" s="46" t="str">
        <f>IF(INPUT!P2782="","",INPUT!P2782)</f>
        <v/>
      </c>
      <c r="J2787" s="46" t="str">
        <f>IF(INPUT!Q2782="","",INPUT!Q2782)</f>
        <v/>
      </c>
      <c r="K2787" s="46" t="str">
        <f>IFERROR(IF(OR(INPUT!P2782="",INPUT!Q2782=""),"",INPUT!P2782-INPUT!Q2782),"")</f>
        <v/>
      </c>
      <c r="L2787" s="48" t="str">
        <f>IFERROR(IF(OR(INPUT!P2782="",INPUT!Q2782="",INPUT!P2782=0),"",(INPUT!P2782-INPUT!Q2782)/INPUT!P2782),"")</f>
        <v/>
      </c>
    </row>
    <row r="2788" spans="1:12" ht="18" hidden="1" customHeight="1" x14ac:dyDescent="0.2">
      <c r="A2788" s="11" t="str">
        <f>IF(INPUT!M2783="","",INPUT!M2783)</f>
        <v/>
      </c>
      <c r="B2788" s="11" t="str">
        <f>IF(INPUT!M2783="","",INPUT!M2783-WEEKDAY(INPUT!M2783,2)+1)</f>
        <v/>
      </c>
      <c r="C2788" s="20">
        <f>IFERROR(_xlfn.ISOWEEKNUM(INPUT!M2783),"")</f>
        <v>52</v>
      </c>
      <c r="D2788" s="20">
        <f>IFERROR(YEAR(INPUT!M2783),"")</f>
        <v>1900</v>
      </c>
      <c r="E2788" t="str">
        <f>IF(INPUT!O2783="","",INPUT!O2783)</f>
        <v/>
      </c>
      <c r="F2788" t="str">
        <f>IF(INPUT!N2783="","",INPUT!N2783)</f>
        <v/>
      </c>
      <c r="G2788" cm="1">
        <f t="array" ref="G2788">IFERROR(VLOOKUP(INPUT!M2783&amp;INPUT!N2783,CHOOSE({1,2},INPUT!$A$3:$A$5000&amp;INPUT!$C$3:$C$5000,INPUT!$F$3:$F$5000),2,FALSE),"")</f>
        <v>0</v>
      </c>
      <c r="H2788" cm="1">
        <f t="array" ref="H2788">IFERROR(VLOOKUP(INPUT!M2783&amp;INPUT!N2783,CHOOSE({1,2},INPUT!$A$3:$A$5000&amp;INPUT!$C$3:$C$5000,INPUT!$D$3:$D$5000),2,FALSE),"")</f>
        <v>0</v>
      </c>
      <c r="I2788" s="46" t="str">
        <f>IF(INPUT!P2783="","",INPUT!P2783)</f>
        <v/>
      </c>
      <c r="J2788" s="46" t="str">
        <f>IF(INPUT!Q2783="","",INPUT!Q2783)</f>
        <v/>
      </c>
      <c r="K2788" s="46" t="str">
        <f>IFERROR(IF(OR(INPUT!P2783="",INPUT!Q2783=""),"",INPUT!P2783-INPUT!Q2783),"")</f>
        <v/>
      </c>
      <c r="L2788" s="48" t="str">
        <f>IFERROR(IF(OR(INPUT!P2783="",INPUT!Q2783="",INPUT!P2783=0),"",(INPUT!P2783-INPUT!Q2783)/INPUT!P2783),"")</f>
        <v/>
      </c>
    </row>
    <row r="2789" spans="1:12" ht="18" hidden="1" customHeight="1" x14ac:dyDescent="0.2">
      <c r="A2789" s="11" t="str">
        <f>IF(INPUT!M2784="","",INPUT!M2784)</f>
        <v/>
      </c>
      <c r="B2789" s="11" t="str">
        <f>IF(INPUT!M2784="","",INPUT!M2784-WEEKDAY(INPUT!M2784,2)+1)</f>
        <v/>
      </c>
      <c r="C2789" s="20">
        <f>IFERROR(_xlfn.ISOWEEKNUM(INPUT!M2784),"")</f>
        <v>52</v>
      </c>
      <c r="D2789" s="20">
        <f>IFERROR(YEAR(INPUT!M2784),"")</f>
        <v>1900</v>
      </c>
      <c r="E2789" t="str">
        <f>IF(INPUT!O2784="","",INPUT!O2784)</f>
        <v/>
      </c>
      <c r="F2789" t="str">
        <f>IF(INPUT!N2784="","",INPUT!N2784)</f>
        <v/>
      </c>
      <c r="G2789" cm="1">
        <f t="array" ref="G2789">IFERROR(VLOOKUP(INPUT!M2784&amp;INPUT!N2784,CHOOSE({1,2},INPUT!$A$3:$A$5000&amp;INPUT!$C$3:$C$5000,INPUT!$F$3:$F$5000),2,FALSE),"")</f>
        <v>0</v>
      </c>
      <c r="H2789" cm="1">
        <f t="array" ref="H2789">IFERROR(VLOOKUP(INPUT!M2784&amp;INPUT!N2784,CHOOSE({1,2},INPUT!$A$3:$A$5000&amp;INPUT!$C$3:$C$5000,INPUT!$D$3:$D$5000),2,FALSE),"")</f>
        <v>0</v>
      </c>
      <c r="I2789" s="46" t="str">
        <f>IF(INPUT!P2784="","",INPUT!P2784)</f>
        <v/>
      </c>
      <c r="J2789" s="46" t="str">
        <f>IF(INPUT!Q2784="","",INPUT!Q2784)</f>
        <v/>
      </c>
      <c r="K2789" s="46" t="str">
        <f>IFERROR(IF(OR(INPUT!P2784="",INPUT!Q2784=""),"",INPUT!P2784-INPUT!Q2784),"")</f>
        <v/>
      </c>
      <c r="L2789" s="48" t="str">
        <f>IFERROR(IF(OR(INPUT!P2784="",INPUT!Q2784="",INPUT!P2784=0),"",(INPUT!P2784-INPUT!Q2784)/INPUT!P2784),"")</f>
        <v/>
      </c>
    </row>
    <row r="2790" spans="1:12" ht="18" hidden="1" customHeight="1" x14ac:dyDescent="0.2">
      <c r="A2790" s="11" t="str">
        <f>IF(INPUT!M2785="","",INPUT!M2785)</f>
        <v/>
      </c>
      <c r="B2790" s="11" t="str">
        <f>IF(INPUT!M2785="","",INPUT!M2785-WEEKDAY(INPUT!M2785,2)+1)</f>
        <v/>
      </c>
      <c r="C2790" s="20">
        <f>IFERROR(_xlfn.ISOWEEKNUM(INPUT!M2785),"")</f>
        <v>52</v>
      </c>
      <c r="D2790" s="20">
        <f>IFERROR(YEAR(INPUT!M2785),"")</f>
        <v>1900</v>
      </c>
      <c r="E2790" t="str">
        <f>IF(INPUT!O2785="","",INPUT!O2785)</f>
        <v/>
      </c>
      <c r="F2790" t="str">
        <f>IF(INPUT!N2785="","",INPUT!N2785)</f>
        <v/>
      </c>
      <c r="G2790" cm="1">
        <f t="array" ref="G2790">IFERROR(VLOOKUP(INPUT!M2785&amp;INPUT!N2785,CHOOSE({1,2},INPUT!$A$3:$A$5000&amp;INPUT!$C$3:$C$5000,INPUT!$F$3:$F$5000),2,FALSE),"")</f>
        <v>0</v>
      </c>
      <c r="H2790" cm="1">
        <f t="array" ref="H2790">IFERROR(VLOOKUP(INPUT!M2785&amp;INPUT!N2785,CHOOSE({1,2},INPUT!$A$3:$A$5000&amp;INPUT!$C$3:$C$5000,INPUT!$D$3:$D$5000),2,FALSE),"")</f>
        <v>0</v>
      </c>
      <c r="I2790" s="46" t="str">
        <f>IF(INPUT!P2785="","",INPUT!P2785)</f>
        <v/>
      </c>
      <c r="J2790" s="46" t="str">
        <f>IF(INPUT!Q2785="","",INPUT!Q2785)</f>
        <v/>
      </c>
      <c r="K2790" s="46" t="str">
        <f>IFERROR(IF(OR(INPUT!P2785="",INPUT!Q2785=""),"",INPUT!P2785-INPUT!Q2785),"")</f>
        <v/>
      </c>
      <c r="L2790" s="48" t="str">
        <f>IFERROR(IF(OR(INPUT!P2785="",INPUT!Q2785="",INPUT!P2785=0),"",(INPUT!P2785-INPUT!Q2785)/INPUT!P2785),"")</f>
        <v/>
      </c>
    </row>
    <row r="2791" spans="1:12" ht="18" hidden="1" customHeight="1" x14ac:dyDescent="0.2">
      <c r="A2791" s="11" t="str">
        <f>IF(INPUT!M2786="","",INPUT!M2786)</f>
        <v/>
      </c>
      <c r="B2791" s="11" t="str">
        <f>IF(INPUT!M2786="","",INPUT!M2786-WEEKDAY(INPUT!M2786,2)+1)</f>
        <v/>
      </c>
      <c r="C2791" s="20">
        <f>IFERROR(_xlfn.ISOWEEKNUM(INPUT!M2786),"")</f>
        <v>52</v>
      </c>
      <c r="D2791" s="20">
        <f>IFERROR(YEAR(INPUT!M2786),"")</f>
        <v>1900</v>
      </c>
      <c r="E2791" t="str">
        <f>IF(INPUT!O2786="","",INPUT!O2786)</f>
        <v/>
      </c>
      <c r="F2791" t="str">
        <f>IF(INPUT!N2786="","",INPUT!N2786)</f>
        <v/>
      </c>
      <c r="G2791" cm="1">
        <f t="array" ref="G2791">IFERROR(VLOOKUP(INPUT!M2786&amp;INPUT!N2786,CHOOSE({1,2},INPUT!$A$3:$A$5000&amp;INPUT!$C$3:$C$5000,INPUT!$F$3:$F$5000),2,FALSE),"")</f>
        <v>0</v>
      </c>
      <c r="H2791" cm="1">
        <f t="array" ref="H2791">IFERROR(VLOOKUP(INPUT!M2786&amp;INPUT!N2786,CHOOSE({1,2},INPUT!$A$3:$A$5000&amp;INPUT!$C$3:$C$5000,INPUT!$D$3:$D$5000),2,FALSE),"")</f>
        <v>0</v>
      </c>
      <c r="I2791" s="46" t="str">
        <f>IF(INPUT!P2786="","",INPUT!P2786)</f>
        <v/>
      </c>
      <c r="J2791" s="46" t="str">
        <f>IF(INPUT!Q2786="","",INPUT!Q2786)</f>
        <v/>
      </c>
      <c r="K2791" s="46" t="str">
        <f>IFERROR(IF(OR(INPUT!P2786="",INPUT!Q2786=""),"",INPUT!P2786-INPUT!Q2786),"")</f>
        <v/>
      </c>
      <c r="L2791" s="48" t="str">
        <f>IFERROR(IF(OR(INPUT!P2786="",INPUT!Q2786="",INPUT!P2786=0),"",(INPUT!P2786-INPUT!Q2786)/INPUT!P2786),"")</f>
        <v/>
      </c>
    </row>
    <row r="2792" spans="1:12" ht="18" hidden="1" customHeight="1" x14ac:dyDescent="0.2">
      <c r="A2792" s="11" t="str">
        <f>IF(INPUT!M2787="","",INPUT!M2787)</f>
        <v/>
      </c>
      <c r="B2792" s="11" t="str">
        <f>IF(INPUT!M2787="","",INPUT!M2787-WEEKDAY(INPUT!M2787,2)+1)</f>
        <v/>
      </c>
      <c r="C2792" s="20">
        <f>IFERROR(_xlfn.ISOWEEKNUM(INPUT!M2787),"")</f>
        <v>52</v>
      </c>
      <c r="D2792" s="20">
        <f>IFERROR(YEAR(INPUT!M2787),"")</f>
        <v>1900</v>
      </c>
      <c r="E2792" t="str">
        <f>IF(INPUT!O2787="","",INPUT!O2787)</f>
        <v/>
      </c>
      <c r="F2792" t="str">
        <f>IF(INPUT!N2787="","",INPUT!N2787)</f>
        <v/>
      </c>
      <c r="G2792" cm="1">
        <f t="array" ref="G2792">IFERROR(VLOOKUP(INPUT!M2787&amp;INPUT!N2787,CHOOSE({1,2},INPUT!$A$3:$A$5000&amp;INPUT!$C$3:$C$5000,INPUT!$F$3:$F$5000),2,FALSE),"")</f>
        <v>0</v>
      </c>
      <c r="H2792" cm="1">
        <f t="array" ref="H2792">IFERROR(VLOOKUP(INPUT!M2787&amp;INPUT!N2787,CHOOSE({1,2},INPUT!$A$3:$A$5000&amp;INPUT!$C$3:$C$5000,INPUT!$D$3:$D$5000),2,FALSE),"")</f>
        <v>0</v>
      </c>
      <c r="I2792" s="46" t="str">
        <f>IF(INPUT!P2787="","",INPUT!P2787)</f>
        <v/>
      </c>
      <c r="J2792" s="46" t="str">
        <f>IF(INPUT!Q2787="","",INPUT!Q2787)</f>
        <v/>
      </c>
      <c r="K2792" s="46" t="str">
        <f>IFERROR(IF(OR(INPUT!P2787="",INPUT!Q2787=""),"",INPUT!P2787-INPUT!Q2787),"")</f>
        <v/>
      </c>
      <c r="L2792" s="48" t="str">
        <f>IFERROR(IF(OR(INPUT!P2787="",INPUT!Q2787="",INPUT!P2787=0),"",(INPUT!P2787-INPUT!Q2787)/INPUT!P2787),"")</f>
        <v/>
      </c>
    </row>
    <row r="2793" spans="1:12" ht="18" hidden="1" customHeight="1" x14ac:dyDescent="0.2">
      <c r="A2793" s="11" t="str">
        <f>IF(INPUT!M2788="","",INPUT!M2788)</f>
        <v/>
      </c>
      <c r="B2793" s="11" t="str">
        <f>IF(INPUT!M2788="","",INPUT!M2788-WEEKDAY(INPUT!M2788,2)+1)</f>
        <v/>
      </c>
      <c r="C2793" s="20">
        <f>IFERROR(_xlfn.ISOWEEKNUM(INPUT!M2788),"")</f>
        <v>52</v>
      </c>
      <c r="D2793" s="20">
        <f>IFERROR(YEAR(INPUT!M2788),"")</f>
        <v>1900</v>
      </c>
      <c r="E2793" t="str">
        <f>IF(INPUT!O2788="","",INPUT!O2788)</f>
        <v/>
      </c>
      <c r="F2793" t="str">
        <f>IF(INPUT!N2788="","",INPUT!N2788)</f>
        <v/>
      </c>
      <c r="G2793" cm="1">
        <f t="array" ref="G2793">IFERROR(VLOOKUP(INPUT!M2788&amp;INPUT!N2788,CHOOSE({1,2},INPUT!$A$3:$A$5000&amp;INPUT!$C$3:$C$5000,INPUT!$F$3:$F$5000),2,FALSE),"")</f>
        <v>0</v>
      </c>
      <c r="H2793" cm="1">
        <f t="array" ref="H2793">IFERROR(VLOOKUP(INPUT!M2788&amp;INPUT!N2788,CHOOSE({1,2},INPUT!$A$3:$A$5000&amp;INPUT!$C$3:$C$5000,INPUT!$D$3:$D$5000),2,FALSE),"")</f>
        <v>0</v>
      </c>
      <c r="I2793" s="46" t="str">
        <f>IF(INPUT!P2788="","",INPUT!P2788)</f>
        <v/>
      </c>
      <c r="J2793" s="46" t="str">
        <f>IF(INPUT!Q2788="","",INPUT!Q2788)</f>
        <v/>
      </c>
      <c r="K2793" s="46" t="str">
        <f>IFERROR(IF(OR(INPUT!P2788="",INPUT!Q2788=""),"",INPUT!P2788-INPUT!Q2788),"")</f>
        <v/>
      </c>
      <c r="L2793" s="48" t="str">
        <f>IFERROR(IF(OR(INPUT!P2788="",INPUT!Q2788="",INPUT!P2788=0),"",(INPUT!P2788-INPUT!Q2788)/INPUT!P2788),"")</f>
        <v/>
      </c>
    </row>
    <row r="2794" spans="1:12" ht="18" hidden="1" customHeight="1" x14ac:dyDescent="0.2">
      <c r="A2794" s="11" t="str">
        <f>IF(INPUT!M2789="","",INPUT!M2789)</f>
        <v/>
      </c>
      <c r="B2794" s="11" t="str">
        <f>IF(INPUT!M2789="","",INPUT!M2789-WEEKDAY(INPUT!M2789,2)+1)</f>
        <v/>
      </c>
      <c r="C2794" s="20">
        <f>IFERROR(_xlfn.ISOWEEKNUM(INPUT!M2789),"")</f>
        <v>52</v>
      </c>
      <c r="D2794" s="20">
        <f>IFERROR(YEAR(INPUT!M2789),"")</f>
        <v>1900</v>
      </c>
      <c r="E2794" t="str">
        <f>IF(INPUT!O2789="","",INPUT!O2789)</f>
        <v/>
      </c>
      <c r="F2794" t="str">
        <f>IF(INPUT!N2789="","",INPUT!N2789)</f>
        <v/>
      </c>
      <c r="G2794" cm="1">
        <f t="array" ref="G2794">IFERROR(VLOOKUP(INPUT!M2789&amp;INPUT!N2789,CHOOSE({1,2},INPUT!$A$3:$A$5000&amp;INPUT!$C$3:$C$5000,INPUT!$F$3:$F$5000),2,FALSE),"")</f>
        <v>0</v>
      </c>
      <c r="H2794" cm="1">
        <f t="array" ref="H2794">IFERROR(VLOOKUP(INPUT!M2789&amp;INPUT!N2789,CHOOSE({1,2},INPUT!$A$3:$A$5000&amp;INPUT!$C$3:$C$5000,INPUT!$D$3:$D$5000),2,FALSE),"")</f>
        <v>0</v>
      </c>
      <c r="I2794" s="46" t="str">
        <f>IF(INPUT!P2789="","",INPUT!P2789)</f>
        <v/>
      </c>
      <c r="J2794" s="46" t="str">
        <f>IF(INPUT!Q2789="","",INPUT!Q2789)</f>
        <v/>
      </c>
      <c r="K2794" s="46" t="str">
        <f>IFERROR(IF(OR(INPUT!P2789="",INPUT!Q2789=""),"",INPUT!P2789-INPUT!Q2789),"")</f>
        <v/>
      </c>
      <c r="L2794" s="48" t="str">
        <f>IFERROR(IF(OR(INPUT!P2789="",INPUT!Q2789="",INPUT!P2789=0),"",(INPUT!P2789-INPUT!Q2789)/INPUT!P2789),"")</f>
        <v/>
      </c>
    </row>
    <row r="2795" spans="1:12" ht="18" hidden="1" customHeight="1" x14ac:dyDescent="0.2">
      <c r="A2795" s="11" t="str">
        <f>IF(INPUT!M2790="","",INPUT!M2790)</f>
        <v/>
      </c>
      <c r="B2795" s="11" t="str">
        <f>IF(INPUT!M2790="","",INPUT!M2790-WEEKDAY(INPUT!M2790,2)+1)</f>
        <v/>
      </c>
      <c r="C2795" s="20">
        <f>IFERROR(_xlfn.ISOWEEKNUM(INPUT!M2790),"")</f>
        <v>52</v>
      </c>
      <c r="D2795" s="20">
        <f>IFERROR(YEAR(INPUT!M2790),"")</f>
        <v>1900</v>
      </c>
      <c r="E2795" t="str">
        <f>IF(INPUT!O2790="","",INPUT!O2790)</f>
        <v/>
      </c>
      <c r="F2795" t="str">
        <f>IF(INPUT!N2790="","",INPUT!N2790)</f>
        <v/>
      </c>
      <c r="G2795" cm="1">
        <f t="array" ref="G2795">IFERROR(VLOOKUP(INPUT!M2790&amp;INPUT!N2790,CHOOSE({1,2},INPUT!$A$3:$A$5000&amp;INPUT!$C$3:$C$5000,INPUT!$F$3:$F$5000),2,FALSE),"")</f>
        <v>0</v>
      </c>
      <c r="H2795" cm="1">
        <f t="array" ref="H2795">IFERROR(VLOOKUP(INPUT!M2790&amp;INPUT!N2790,CHOOSE({1,2},INPUT!$A$3:$A$5000&amp;INPUT!$C$3:$C$5000,INPUT!$D$3:$D$5000),2,FALSE),"")</f>
        <v>0</v>
      </c>
      <c r="I2795" s="46" t="str">
        <f>IF(INPUT!P2790="","",INPUT!P2790)</f>
        <v/>
      </c>
      <c r="J2795" s="46" t="str">
        <f>IF(INPUT!Q2790="","",INPUT!Q2790)</f>
        <v/>
      </c>
      <c r="K2795" s="46" t="str">
        <f>IFERROR(IF(OR(INPUT!P2790="",INPUT!Q2790=""),"",INPUT!P2790-INPUT!Q2790),"")</f>
        <v/>
      </c>
      <c r="L2795" s="48" t="str">
        <f>IFERROR(IF(OR(INPUT!P2790="",INPUT!Q2790="",INPUT!P2790=0),"",(INPUT!P2790-INPUT!Q2790)/INPUT!P2790),"")</f>
        <v/>
      </c>
    </row>
    <row r="2796" spans="1:12" ht="18" hidden="1" customHeight="1" x14ac:dyDescent="0.2">
      <c r="A2796" s="11" t="str">
        <f>IF(INPUT!M2791="","",INPUT!M2791)</f>
        <v/>
      </c>
      <c r="B2796" s="11" t="str">
        <f>IF(INPUT!M2791="","",INPUT!M2791-WEEKDAY(INPUT!M2791,2)+1)</f>
        <v/>
      </c>
      <c r="C2796" s="20">
        <f>IFERROR(_xlfn.ISOWEEKNUM(INPUT!M2791),"")</f>
        <v>52</v>
      </c>
      <c r="D2796" s="20">
        <f>IFERROR(YEAR(INPUT!M2791),"")</f>
        <v>1900</v>
      </c>
      <c r="E2796" t="str">
        <f>IF(INPUT!O2791="","",INPUT!O2791)</f>
        <v/>
      </c>
      <c r="F2796" t="str">
        <f>IF(INPUT!N2791="","",INPUT!N2791)</f>
        <v/>
      </c>
      <c r="G2796" cm="1">
        <f t="array" ref="G2796">IFERROR(VLOOKUP(INPUT!M2791&amp;INPUT!N2791,CHOOSE({1,2},INPUT!$A$3:$A$5000&amp;INPUT!$C$3:$C$5000,INPUT!$F$3:$F$5000),2,FALSE),"")</f>
        <v>0</v>
      </c>
      <c r="H2796" cm="1">
        <f t="array" ref="H2796">IFERROR(VLOOKUP(INPUT!M2791&amp;INPUT!N2791,CHOOSE({1,2},INPUT!$A$3:$A$5000&amp;INPUT!$C$3:$C$5000,INPUT!$D$3:$D$5000),2,FALSE),"")</f>
        <v>0</v>
      </c>
      <c r="I2796" s="46" t="str">
        <f>IF(INPUT!P2791="","",INPUT!P2791)</f>
        <v/>
      </c>
      <c r="J2796" s="46" t="str">
        <f>IF(INPUT!Q2791="","",INPUT!Q2791)</f>
        <v/>
      </c>
      <c r="K2796" s="46" t="str">
        <f>IFERROR(IF(OR(INPUT!P2791="",INPUT!Q2791=""),"",INPUT!P2791-INPUT!Q2791),"")</f>
        <v/>
      </c>
      <c r="L2796" s="48" t="str">
        <f>IFERROR(IF(OR(INPUT!P2791="",INPUT!Q2791="",INPUT!P2791=0),"",(INPUT!P2791-INPUT!Q2791)/INPUT!P2791),"")</f>
        <v/>
      </c>
    </row>
    <row r="2797" spans="1:12" ht="18" hidden="1" customHeight="1" x14ac:dyDescent="0.2">
      <c r="A2797" s="11" t="str">
        <f>IF(INPUT!M2792="","",INPUT!M2792)</f>
        <v/>
      </c>
      <c r="B2797" s="11" t="str">
        <f>IF(INPUT!M2792="","",INPUT!M2792-WEEKDAY(INPUT!M2792,2)+1)</f>
        <v/>
      </c>
      <c r="C2797" s="20">
        <f>IFERROR(_xlfn.ISOWEEKNUM(INPUT!M2792),"")</f>
        <v>52</v>
      </c>
      <c r="D2797" s="20">
        <f>IFERROR(YEAR(INPUT!M2792),"")</f>
        <v>1900</v>
      </c>
      <c r="E2797" t="str">
        <f>IF(INPUT!O2792="","",INPUT!O2792)</f>
        <v/>
      </c>
      <c r="F2797" t="str">
        <f>IF(INPUT!N2792="","",INPUT!N2792)</f>
        <v/>
      </c>
      <c r="G2797" cm="1">
        <f t="array" ref="G2797">IFERROR(VLOOKUP(INPUT!M2792&amp;INPUT!N2792,CHOOSE({1,2},INPUT!$A$3:$A$5000&amp;INPUT!$C$3:$C$5000,INPUT!$F$3:$F$5000),2,FALSE),"")</f>
        <v>0</v>
      </c>
      <c r="H2797" cm="1">
        <f t="array" ref="H2797">IFERROR(VLOOKUP(INPUT!M2792&amp;INPUT!N2792,CHOOSE({1,2},INPUT!$A$3:$A$5000&amp;INPUT!$C$3:$C$5000,INPUT!$D$3:$D$5000),2,FALSE),"")</f>
        <v>0</v>
      </c>
      <c r="I2797" s="46" t="str">
        <f>IF(INPUT!P2792="","",INPUT!P2792)</f>
        <v/>
      </c>
      <c r="J2797" s="46" t="str">
        <f>IF(INPUT!Q2792="","",INPUT!Q2792)</f>
        <v/>
      </c>
      <c r="K2797" s="46" t="str">
        <f>IFERROR(IF(OR(INPUT!P2792="",INPUT!Q2792=""),"",INPUT!P2792-INPUT!Q2792),"")</f>
        <v/>
      </c>
      <c r="L2797" s="48" t="str">
        <f>IFERROR(IF(OR(INPUT!P2792="",INPUT!Q2792="",INPUT!P2792=0),"",(INPUT!P2792-INPUT!Q2792)/INPUT!P2792),"")</f>
        <v/>
      </c>
    </row>
    <row r="2798" spans="1:12" ht="18" hidden="1" customHeight="1" x14ac:dyDescent="0.2">
      <c r="A2798" s="11" t="str">
        <f>IF(INPUT!M2793="","",INPUT!M2793)</f>
        <v/>
      </c>
      <c r="B2798" s="11" t="str">
        <f>IF(INPUT!M2793="","",INPUT!M2793-WEEKDAY(INPUT!M2793,2)+1)</f>
        <v/>
      </c>
      <c r="C2798" s="20">
        <f>IFERROR(_xlfn.ISOWEEKNUM(INPUT!M2793),"")</f>
        <v>52</v>
      </c>
      <c r="D2798" s="20">
        <f>IFERROR(YEAR(INPUT!M2793),"")</f>
        <v>1900</v>
      </c>
      <c r="E2798" t="str">
        <f>IF(INPUT!O2793="","",INPUT!O2793)</f>
        <v/>
      </c>
      <c r="F2798" t="str">
        <f>IF(INPUT!N2793="","",INPUT!N2793)</f>
        <v/>
      </c>
      <c r="G2798" cm="1">
        <f t="array" ref="G2798">IFERROR(VLOOKUP(INPUT!M2793&amp;INPUT!N2793,CHOOSE({1,2},INPUT!$A$3:$A$5000&amp;INPUT!$C$3:$C$5000,INPUT!$F$3:$F$5000),2,FALSE),"")</f>
        <v>0</v>
      </c>
      <c r="H2798" cm="1">
        <f t="array" ref="H2798">IFERROR(VLOOKUP(INPUT!M2793&amp;INPUT!N2793,CHOOSE({1,2},INPUT!$A$3:$A$5000&amp;INPUT!$C$3:$C$5000,INPUT!$D$3:$D$5000),2,FALSE),"")</f>
        <v>0</v>
      </c>
      <c r="I2798" s="46" t="str">
        <f>IF(INPUT!P2793="","",INPUT!P2793)</f>
        <v/>
      </c>
      <c r="J2798" s="46" t="str">
        <f>IF(INPUT!Q2793="","",INPUT!Q2793)</f>
        <v/>
      </c>
      <c r="K2798" s="46" t="str">
        <f>IFERROR(IF(OR(INPUT!P2793="",INPUT!Q2793=""),"",INPUT!P2793-INPUT!Q2793),"")</f>
        <v/>
      </c>
      <c r="L2798" s="48" t="str">
        <f>IFERROR(IF(OR(INPUT!P2793="",INPUT!Q2793="",INPUT!P2793=0),"",(INPUT!P2793-INPUT!Q2793)/INPUT!P2793),"")</f>
        <v/>
      </c>
    </row>
    <row r="2799" spans="1:12" ht="18" hidden="1" customHeight="1" x14ac:dyDescent="0.2">
      <c r="A2799" s="11" t="str">
        <f>IF(INPUT!M2794="","",INPUT!M2794)</f>
        <v/>
      </c>
      <c r="B2799" s="11" t="str">
        <f>IF(INPUT!M2794="","",INPUT!M2794-WEEKDAY(INPUT!M2794,2)+1)</f>
        <v/>
      </c>
      <c r="C2799" s="20">
        <f>IFERROR(_xlfn.ISOWEEKNUM(INPUT!M2794),"")</f>
        <v>52</v>
      </c>
      <c r="D2799" s="20">
        <f>IFERROR(YEAR(INPUT!M2794),"")</f>
        <v>1900</v>
      </c>
      <c r="E2799" t="str">
        <f>IF(INPUT!O2794="","",INPUT!O2794)</f>
        <v/>
      </c>
      <c r="F2799" t="str">
        <f>IF(INPUT!N2794="","",INPUT!N2794)</f>
        <v/>
      </c>
      <c r="G2799" cm="1">
        <f t="array" ref="G2799">IFERROR(VLOOKUP(INPUT!M2794&amp;INPUT!N2794,CHOOSE({1,2},INPUT!$A$3:$A$5000&amp;INPUT!$C$3:$C$5000,INPUT!$F$3:$F$5000),2,FALSE),"")</f>
        <v>0</v>
      </c>
      <c r="H2799" cm="1">
        <f t="array" ref="H2799">IFERROR(VLOOKUP(INPUT!M2794&amp;INPUT!N2794,CHOOSE({1,2},INPUT!$A$3:$A$5000&amp;INPUT!$C$3:$C$5000,INPUT!$D$3:$D$5000),2,FALSE),"")</f>
        <v>0</v>
      </c>
      <c r="I2799" s="46" t="str">
        <f>IF(INPUT!P2794="","",INPUT!P2794)</f>
        <v/>
      </c>
      <c r="J2799" s="46" t="str">
        <f>IF(INPUT!Q2794="","",INPUT!Q2794)</f>
        <v/>
      </c>
      <c r="K2799" s="46" t="str">
        <f>IFERROR(IF(OR(INPUT!P2794="",INPUT!Q2794=""),"",INPUT!P2794-INPUT!Q2794),"")</f>
        <v/>
      </c>
      <c r="L2799" s="48" t="str">
        <f>IFERROR(IF(OR(INPUT!P2794="",INPUT!Q2794="",INPUT!P2794=0),"",(INPUT!P2794-INPUT!Q2794)/INPUT!P2794),"")</f>
        <v/>
      </c>
    </row>
    <row r="2800" spans="1:12" ht="18" hidden="1" customHeight="1" x14ac:dyDescent="0.2">
      <c r="A2800" s="11" t="str">
        <f>IF(INPUT!M2795="","",INPUT!M2795)</f>
        <v/>
      </c>
      <c r="B2800" s="11" t="str">
        <f>IF(INPUT!M2795="","",INPUT!M2795-WEEKDAY(INPUT!M2795,2)+1)</f>
        <v/>
      </c>
      <c r="C2800" s="20">
        <f>IFERROR(_xlfn.ISOWEEKNUM(INPUT!M2795),"")</f>
        <v>52</v>
      </c>
      <c r="D2800" s="20">
        <f>IFERROR(YEAR(INPUT!M2795),"")</f>
        <v>1900</v>
      </c>
      <c r="E2800" t="str">
        <f>IF(INPUT!O2795="","",INPUT!O2795)</f>
        <v/>
      </c>
      <c r="F2800" t="str">
        <f>IF(INPUT!N2795="","",INPUT!N2795)</f>
        <v/>
      </c>
      <c r="G2800" cm="1">
        <f t="array" ref="G2800">IFERROR(VLOOKUP(INPUT!M2795&amp;INPUT!N2795,CHOOSE({1,2},INPUT!$A$3:$A$5000&amp;INPUT!$C$3:$C$5000,INPUT!$F$3:$F$5000),2,FALSE),"")</f>
        <v>0</v>
      </c>
      <c r="H2800" cm="1">
        <f t="array" ref="H2800">IFERROR(VLOOKUP(INPUT!M2795&amp;INPUT!N2795,CHOOSE({1,2},INPUT!$A$3:$A$5000&amp;INPUT!$C$3:$C$5000,INPUT!$D$3:$D$5000),2,FALSE),"")</f>
        <v>0</v>
      </c>
      <c r="I2800" s="46" t="str">
        <f>IF(INPUT!P2795="","",INPUT!P2795)</f>
        <v/>
      </c>
      <c r="J2800" s="46" t="str">
        <f>IF(INPUT!Q2795="","",INPUT!Q2795)</f>
        <v/>
      </c>
      <c r="K2800" s="46" t="str">
        <f>IFERROR(IF(OR(INPUT!P2795="",INPUT!Q2795=""),"",INPUT!P2795-INPUT!Q2795),"")</f>
        <v/>
      </c>
      <c r="L2800" s="48" t="str">
        <f>IFERROR(IF(OR(INPUT!P2795="",INPUT!Q2795="",INPUT!P2795=0),"",(INPUT!P2795-INPUT!Q2795)/INPUT!P2795),"")</f>
        <v/>
      </c>
    </row>
    <row r="2801" spans="1:12" ht="18" hidden="1" customHeight="1" x14ac:dyDescent="0.2">
      <c r="A2801" s="11" t="str">
        <f>IF(INPUT!M2796="","",INPUT!M2796)</f>
        <v/>
      </c>
      <c r="B2801" s="11" t="str">
        <f>IF(INPUT!M2796="","",INPUT!M2796-WEEKDAY(INPUT!M2796,2)+1)</f>
        <v/>
      </c>
      <c r="C2801" s="20">
        <f>IFERROR(_xlfn.ISOWEEKNUM(INPUT!M2796),"")</f>
        <v>52</v>
      </c>
      <c r="D2801" s="20">
        <f>IFERROR(YEAR(INPUT!M2796),"")</f>
        <v>1900</v>
      </c>
      <c r="E2801" t="str">
        <f>IF(INPUT!O2796="","",INPUT!O2796)</f>
        <v/>
      </c>
      <c r="F2801" t="str">
        <f>IF(INPUT!N2796="","",INPUT!N2796)</f>
        <v/>
      </c>
      <c r="G2801" cm="1">
        <f t="array" ref="G2801">IFERROR(VLOOKUP(INPUT!M2796&amp;INPUT!N2796,CHOOSE({1,2},INPUT!$A$3:$A$5000&amp;INPUT!$C$3:$C$5000,INPUT!$F$3:$F$5000),2,FALSE),"")</f>
        <v>0</v>
      </c>
      <c r="H2801" cm="1">
        <f t="array" ref="H2801">IFERROR(VLOOKUP(INPUT!M2796&amp;INPUT!N2796,CHOOSE({1,2},INPUT!$A$3:$A$5000&amp;INPUT!$C$3:$C$5000,INPUT!$D$3:$D$5000),2,FALSE),"")</f>
        <v>0</v>
      </c>
      <c r="I2801" s="46" t="str">
        <f>IF(INPUT!P2796="","",INPUT!P2796)</f>
        <v/>
      </c>
      <c r="J2801" s="46" t="str">
        <f>IF(INPUT!Q2796="","",INPUT!Q2796)</f>
        <v/>
      </c>
      <c r="K2801" s="46" t="str">
        <f>IFERROR(IF(OR(INPUT!P2796="",INPUT!Q2796=""),"",INPUT!P2796-INPUT!Q2796),"")</f>
        <v/>
      </c>
      <c r="L2801" s="48" t="str">
        <f>IFERROR(IF(OR(INPUT!P2796="",INPUT!Q2796="",INPUT!P2796=0),"",(INPUT!P2796-INPUT!Q2796)/INPUT!P2796),"")</f>
        <v/>
      </c>
    </row>
    <row r="2802" spans="1:12" ht="18" hidden="1" customHeight="1" x14ac:dyDescent="0.2">
      <c r="A2802" s="11" t="str">
        <f>IF(INPUT!M2797="","",INPUT!M2797)</f>
        <v/>
      </c>
      <c r="B2802" s="11" t="str">
        <f>IF(INPUT!M2797="","",INPUT!M2797-WEEKDAY(INPUT!M2797,2)+1)</f>
        <v/>
      </c>
      <c r="C2802" s="20">
        <f>IFERROR(_xlfn.ISOWEEKNUM(INPUT!M2797),"")</f>
        <v>52</v>
      </c>
      <c r="D2802" s="20">
        <f>IFERROR(YEAR(INPUT!M2797),"")</f>
        <v>1900</v>
      </c>
      <c r="E2802" t="str">
        <f>IF(INPUT!O2797="","",INPUT!O2797)</f>
        <v/>
      </c>
      <c r="F2802" t="str">
        <f>IF(INPUT!N2797="","",INPUT!N2797)</f>
        <v/>
      </c>
      <c r="G2802" cm="1">
        <f t="array" ref="G2802">IFERROR(VLOOKUP(INPUT!M2797&amp;INPUT!N2797,CHOOSE({1,2},INPUT!$A$3:$A$5000&amp;INPUT!$C$3:$C$5000,INPUT!$F$3:$F$5000),2,FALSE),"")</f>
        <v>0</v>
      </c>
      <c r="H2802" cm="1">
        <f t="array" ref="H2802">IFERROR(VLOOKUP(INPUT!M2797&amp;INPUT!N2797,CHOOSE({1,2},INPUT!$A$3:$A$5000&amp;INPUT!$C$3:$C$5000,INPUT!$D$3:$D$5000),2,FALSE),"")</f>
        <v>0</v>
      </c>
      <c r="I2802" s="46" t="str">
        <f>IF(INPUT!P2797="","",INPUT!P2797)</f>
        <v/>
      </c>
      <c r="J2802" s="46" t="str">
        <f>IF(INPUT!Q2797="","",INPUT!Q2797)</f>
        <v/>
      </c>
      <c r="K2802" s="46" t="str">
        <f>IFERROR(IF(OR(INPUT!P2797="",INPUT!Q2797=""),"",INPUT!P2797-INPUT!Q2797),"")</f>
        <v/>
      </c>
      <c r="L2802" s="48" t="str">
        <f>IFERROR(IF(OR(INPUT!P2797="",INPUT!Q2797="",INPUT!P2797=0),"",(INPUT!P2797-INPUT!Q2797)/INPUT!P2797),"")</f>
        <v/>
      </c>
    </row>
    <row r="2803" spans="1:12" ht="18" hidden="1" customHeight="1" x14ac:dyDescent="0.2">
      <c r="A2803" s="11" t="str">
        <f>IF(INPUT!M2798="","",INPUT!M2798)</f>
        <v/>
      </c>
      <c r="B2803" s="11" t="str">
        <f>IF(INPUT!M2798="","",INPUT!M2798-WEEKDAY(INPUT!M2798,2)+1)</f>
        <v/>
      </c>
      <c r="C2803" s="20">
        <f>IFERROR(_xlfn.ISOWEEKNUM(INPUT!M2798),"")</f>
        <v>52</v>
      </c>
      <c r="D2803" s="20">
        <f>IFERROR(YEAR(INPUT!M2798),"")</f>
        <v>1900</v>
      </c>
      <c r="E2803" t="str">
        <f>IF(INPUT!O2798="","",INPUT!O2798)</f>
        <v/>
      </c>
      <c r="F2803" t="str">
        <f>IF(INPUT!N2798="","",INPUT!N2798)</f>
        <v/>
      </c>
      <c r="G2803" cm="1">
        <f t="array" ref="G2803">IFERROR(VLOOKUP(INPUT!M2798&amp;INPUT!N2798,CHOOSE({1,2},INPUT!$A$3:$A$5000&amp;INPUT!$C$3:$C$5000,INPUT!$F$3:$F$5000),2,FALSE),"")</f>
        <v>0</v>
      </c>
      <c r="H2803" cm="1">
        <f t="array" ref="H2803">IFERROR(VLOOKUP(INPUT!M2798&amp;INPUT!N2798,CHOOSE({1,2},INPUT!$A$3:$A$5000&amp;INPUT!$C$3:$C$5000,INPUT!$D$3:$D$5000),2,FALSE),"")</f>
        <v>0</v>
      </c>
      <c r="I2803" s="46" t="str">
        <f>IF(INPUT!P2798="","",INPUT!P2798)</f>
        <v/>
      </c>
      <c r="J2803" s="46" t="str">
        <f>IF(INPUT!Q2798="","",INPUT!Q2798)</f>
        <v/>
      </c>
      <c r="K2803" s="46" t="str">
        <f>IFERROR(IF(OR(INPUT!P2798="",INPUT!Q2798=""),"",INPUT!P2798-INPUT!Q2798),"")</f>
        <v/>
      </c>
      <c r="L2803" s="48" t="str">
        <f>IFERROR(IF(OR(INPUT!P2798="",INPUT!Q2798="",INPUT!P2798=0),"",(INPUT!P2798-INPUT!Q2798)/INPUT!P2798),"")</f>
        <v/>
      </c>
    </row>
    <row r="2804" spans="1:12" ht="18" hidden="1" customHeight="1" x14ac:dyDescent="0.2">
      <c r="A2804" s="11" t="str">
        <f>IF(INPUT!M2799="","",INPUT!M2799)</f>
        <v/>
      </c>
      <c r="B2804" s="11" t="str">
        <f>IF(INPUT!M2799="","",INPUT!M2799-WEEKDAY(INPUT!M2799,2)+1)</f>
        <v/>
      </c>
      <c r="C2804" s="20">
        <f>IFERROR(_xlfn.ISOWEEKNUM(INPUT!M2799),"")</f>
        <v>52</v>
      </c>
      <c r="D2804" s="20">
        <f>IFERROR(YEAR(INPUT!M2799),"")</f>
        <v>1900</v>
      </c>
      <c r="E2804" t="str">
        <f>IF(INPUT!O2799="","",INPUT!O2799)</f>
        <v/>
      </c>
      <c r="F2804" t="str">
        <f>IF(INPUT!N2799="","",INPUT!N2799)</f>
        <v/>
      </c>
      <c r="G2804" cm="1">
        <f t="array" ref="G2804">IFERROR(VLOOKUP(INPUT!M2799&amp;INPUT!N2799,CHOOSE({1,2},INPUT!$A$3:$A$5000&amp;INPUT!$C$3:$C$5000,INPUT!$F$3:$F$5000),2,FALSE),"")</f>
        <v>0</v>
      </c>
      <c r="H2804" cm="1">
        <f t="array" ref="H2804">IFERROR(VLOOKUP(INPUT!M2799&amp;INPUT!N2799,CHOOSE({1,2},INPUT!$A$3:$A$5000&amp;INPUT!$C$3:$C$5000,INPUT!$D$3:$D$5000),2,FALSE),"")</f>
        <v>0</v>
      </c>
      <c r="I2804" s="46" t="str">
        <f>IF(INPUT!P2799="","",INPUT!P2799)</f>
        <v/>
      </c>
      <c r="J2804" s="46" t="str">
        <f>IF(INPUT!Q2799="","",INPUT!Q2799)</f>
        <v/>
      </c>
      <c r="K2804" s="46" t="str">
        <f>IFERROR(IF(OR(INPUT!P2799="",INPUT!Q2799=""),"",INPUT!P2799-INPUT!Q2799),"")</f>
        <v/>
      </c>
      <c r="L2804" s="48" t="str">
        <f>IFERROR(IF(OR(INPUT!P2799="",INPUT!Q2799="",INPUT!P2799=0),"",(INPUT!P2799-INPUT!Q2799)/INPUT!P2799),"")</f>
        <v/>
      </c>
    </row>
    <row r="2805" spans="1:12" ht="18" hidden="1" customHeight="1" x14ac:dyDescent="0.2">
      <c r="A2805" s="11" t="str">
        <f>IF(INPUT!M2800="","",INPUT!M2800)</f>
        <v/>
      </c>
      <c r="B2805" s="11" t="str">
        <f>IF(INPUT!M2800="","",INPUT!M2800-WEEKDAY(INPUT!M2800,2)+1)</f>
        <v/>
      </c>
      <c r="C2805" s="20">
        <f>IFERROR(_xlfn.ISOWEEKNUM(INPUT!M2800),"")</f>
        <v>52</v>
      </c>
      <c r="D2805" s="20">
        <f>IFERROR(YEAR(INPUT!M2800),"")</f>
        <v>1900</v>
      </c>
      <c r="E2805" t="str">
        <f>IF(INPUT!O2800="","",INPUT!O2800)</f>
        <v/>
      </c>
      <c r="F2805" t="str">
        <f>IF(INPUT!N2800="","",INPUT!N2800)</f>
        <v/>
      </c>
      <c r="G2805" cm="1">
        <f t="array" ref="G2805">IFERROR(VLOOKUP(INPUT!M2800&amp;INPUT!N2800,CHOOSE({1,2},INPUT!$A$3:$A$5000&amp;INPUT!$C$3:$C$5000,INPUT!$F$3:$F$5000),2,FALSE),"")</f>
        <v>0</v>
      </c>
      <c r="H2805" cm="1">
        <f t="array" ref="H2805">IFERROR(VLOOKUP(INPUT!M2800&amp;INPUT!N2800,CHOOSE({1,2},INPUT!$A$3:$A$5000&amp;INPUT!$C$3:$C$5000,INPUT!$D$3:$D$5000),2,FALSE),"")</f>
        <v>0</v>
      </c>
      <c r="I2805" s="46" t="str">
        <f>IF(INPUT!P2800="","",INPUT!P2800)</f>
        <v/>
      </c>
      <c r="J2805" s="46" t="str">
        <f>IF(INPUT!Q2800="","",INPUT!Q2800)</f>
        <v/>
      </c>
      <c r="K2805" s="46" t="str">
        <f>IFERROR(IF(OR(INPUT!P2800="",INPUT!Q2800=""),"",INPUT!P2800-INPUT!Q2800),"")</f>
        <v/>
      </c>
      <c r="L2805" s="48" t="str">
        <f>IFERROR(IF(OR(INPUT!P2800="",INPUT!Q2800="",INPUT!P2800=0),"",(INPUT!P2800-INPUT!Q2800)/INPUT!P2800),"")</f>
        <v/>
      </c>
    </row>
    <row r="2806" spans="1:12" ht="18" hidden="1" customHeight="1" x14ac:dyDescent="0.2">
      <c r="A2806" s="11" t="str">
        <f>IF(INPUT!M2801="","",INPUT!M2801)</f>
        <v/>
      </c>
      <c r="B2806" s="11" t="str">
        <f>IF(INPUT!M2801="","",INPUT!M2801-WEEKDAY(INPUT!M2801,2)+1)</f>
        <v/>
      </c>
      <c r="C2806" s="20">
        <f>IFERROR(_xlfn.ISOWEEKNUM(INPUT!M2801),"")</f>
        <v>52</v>
      </c>
      <c r="D2806" s="20">
        <f>IFERROR(YEAR(INPUT!M2801),"")</f>
        <v>1900</v>
      </c>
      <c r="E2806" t="str">
        <f>IF(INPUT!O2801="","",INPUT!O2801)</f>
        <v/>
      </c>
      <c r="F2806" t="str">
        <f>IF(INPUT!N2801="","",INPUT!N2801)</f>
        <v/>
      </c>
      <c r="G2806" cm="1">
        <f t="array" ref="G2806">IFERROR(VLOOKUP(INPUT!M2801&amp;INPUT!N2801,CHOOSE({1,2},INPUT!$A$3:$A$5000&amp;INPUT!$C$3:$C$5000,INPUT!$F$3:$F$5000),2,FALSE),"")</f>
        <v>0</v>
      </c>
      <c r="H2806" cm="1">
        <f t="array" ref="H2806">IFERROR(VLOOKUP(INPUT!M2801&amp;INPUT!N2801,CHOOSE({1,2},INPUT!$A$3:$A$5000&amp;INPUT!$C$3:$C$5000,INPUT!$D$3:$D$5000),2,FALSE),"")</f>
        <v>0</v>
      </c>
      <c r="I2806" s="46" t="str">
        <f>IF(INPUT!P2801="","",INPUT!P2801)</f>
        <v/>
      </c>
      <c r="J2806" s="46" t="str">
        <f>IF(INPUT!Q2801="","",INPUT!Q2801)</f>
        <v/>
      </c>
      <c r="K2806" s="46" t="str">
        <f>IFERROR(IF(OR(INPUT!P2801="",INPUT!Q2801=""),"",INPUT!P2801-INPUT!Q2801),"")</f>
        <v/>
      </c>
      <c r="L2806" s="48" t="str">
        <f>IFERROR(IF(OR(INPUT!P2801="",INPUT!Q2801="",INPUT!P2801=0),"",(INPUT!P2801-INPUT!Q2801)/INPUT!P2801),"")</f>
        <v/>
      </c>
    </row>
    <row r="2807" spans="1:12" ht="18" hidden="1" customHeight="1" x14ac:dyDescent="0.2">
      <c r="A2807" s="11" t="str">
        <f>IF(INPUT!M2802="","",INPUT!M2802)</f>
        <v/>
      </c>
      <c r="B2807" s="11" t="str">
        <f>IF(INPUT!M2802="","",INPUT!M2802-WEEKDAY(INPUT!M2802,2)+1)</f>
        <v/>
      </c>
      <c r="C2807" s="20">
        <f>IFERROR(_xlfn.ISOWEEKNUM(INPUT!M2802),"")</f>
        <v>52</v>
      </c>
      <c r="D2807" s="20">
        <f>IFERROR(YEAR(INPUT!M2802),"")</f>
        <v>1900</v>
      </c>
      <c r="E2807" t="str">
        <f>IF(INPUT!O2802="","",INPUT!O2802)</f>
        <v/>
      </c>
      <c r="F2807" t="str">
        <f>IF(INPUT!N2802="","",INPUT!N2802)</f>
        <v/>
      </c>
      <c r="G2807" cm="1">
        <f t="array" ref="G2807">IFERROR(VLOOKUP(INPUT!M2802&amp;INPUT!N2802,CHOOSE({1,2},INPUT!$A$3:$A$5000&amp;INPUT!$C$3:$C$5000,INPUT!$F$3:$F$5000),2,FALSE),"")</f>
        <v>0</v>
      </c>
      <c r="H2807" cm="1">
        <f t="array" ref="H2807">IFERROR(VLOOKUP(INPUT!M2802&amp;INPUT!N2802,CHOOSE({1,2},INPUT!$A$3:$A$5000&amp;INPUT!$C$3:$C$5000,INPUT!$D$3:$D$5000),2,FALSE),"")</f>
        <v>0</v>
      </c>
      <c r="I2807" s="46" t="str">
        <f>IF(INPUT!P2802="","",INPUT!P2802)</f>
        <v/>
      </c>
      <c r="J2807" s="46" t="str">
        <f>IF(INPUT!Q2802="","",INPUT!Q2802)</f>
        <v/>
      </c>
      <c r="K2807" s="46" t="str">
        <f>IFERROR(IF(OR(INPUT!P2802="",INPUT!Q2802=""),"",INPUT!P2802-INPUT!Q2802),"")</f>
        <v/>
      </c>
      <c r="L2807" s="48" t="str">
        <f>IFERROR(IF(OR(INPUT!P2802="",INPUT!Q2802="",INPUT!P2802=0),"",(INPUT!P2802-INPUT!Q2802)/INPUT!P2802),"")</f>
        <v/>
      </c>
    </row>
    <row r="2808" spans="1:12" ht="18" hidden="1" customHeight="1" x14ac:dyDescent="0.2">
      <c r="A2808" s="11" t="str">
        <f>IF(INPUT!M2803="","",INPUT!M2803)</f>
        <v/>
      </c>
      <c r="B2808" s="11" t="str">
        <f>IF(INPUT!M2803="","",INPUT!M2803-WEEKDAY(INPUT!M2803,2)+1)</f>
        <v/>
      </c>
      <c r="C2808" s="20">
        <f>IFERROR(_xlfn.ISOWEEKNUM(INPUT!M2803),"")</f>
        <v>52</v>
      </c>
      <c r="D2808" s="20">
        <f>IFERROR(YEAR(INPUT!M2803),"")</f>
        <v>1900</v>
      </c>
      <c r="E2808" t="str">
        <f>IF(INPUT!O2803="","",INPUT!O2803)</f>
        <v/>
      </c>
      <c r="F2808" t="str">
        <f>IF(INPUT!N2803="","",INPUT!N2803)</f>
        <v/>
      </c>
      <c r="G2808" cm="1">
        <f t="array" ref="G2808">IFERROR(VLOOKUP(INPUT!M2803&amp;INPUT!N2803,CHOOSE({1,2},INPUT!$A$3:$A$5000&amp;INPUT!$C$3:$C$5000,INPUT!$F$3:$F$5000),2,FALSE),"")</f>
        <v>0</v>
      </c>
      <c r="H2808" cm="1">
        <f t="array" ref="H2808">IFERROR(VLOOKUP(INPUT!M2803&amp;INPUT!N2803,CHOOSE({1,2},INPUT!$A$3:$A$5000&amp;INPUT!$C$3:$C$5000,INPUT!$D$3:$D$5000),2,FALSE),"")</f>
        <v>0</v>
      </c>
      <c r="I2808" s="46" t="str">
        <f>IF(INPUT!P2803="","",INPUT!P2803)</f>
        <v/>
      </c>
      <c r="J2808" s="46" t="str">
        <f>IF(INPUT!Q2803="","",INPUT!Q2803)</f>
        <v/>
      </c>
      <c r="K2808" s="46" t="str">
        <f>IFERROR(IF(OR(INPUT!P2803="",INPUT!Q2803=""),"",INPUT!P2803-INPUT!Q2803),"")</f>
        <v/>
      </c>
      <c r="L2808" s="48" t="str">
        <f>IFERROR(IF(OR(INPUT!P2803="",INPUT!Q2803="",INPUT!P2803=0),"",(INPUT!P2803-INPUT!Q2803)/INPUT!P2803),"")</f>
        <v/>
      </c>
    </row>
    <row r="2809" spans="1:12" ht="18" hidden="1" customHeight="1" x14ac:dyDescent="0.2">
      <c r="A2809" s="11" t="str">
        <f>IF(INPUT!M2804="","",INPUT!M2804)</f>
        <v/>
      </c>
      <c r="B2809" s="11" t="str">
        <f>IF(INPUT!M2804="","",INPUT!M2804-WEEKDAY(INPUT!M2804,2)+1)</f>
        <v/>
      </c>
      <c r="C2809" s="20">
        <f>IFERROR(_xlfn.ISOWEEKNUM(INPUT!M2804),"")</f>
        <v>52</v>
      </c>
      <c r="D2809" s="20">
        <f>IFERROR(YEAR(INPUT!M2804),"")</f>
        <v>1900</v>
      </c>
      <c r="E2809" t="str">
        <f>IF(INPUT!O2804="","",INPUT!O2804)</f>
        <v/>
      </c>
      <c r="F2809" t="str">
        <f>IF(INPUT!N2804="","",INPUT!N2804)</f>
        <v/>
      </c>
      <c r="G2809" cm="1">
        <f t="array" ref="G2809">IFERROR(VLOOKUP(INPUT!M2804&amp;INPUT!N2804,CHOOSE({1,2},INPUT!$A$3:$A$5000&amp;INPUT!$C$3:$C$5000,INPUT!$F$3:$F$5000),2,FALSE),"")</f>
        <v>0</v>
      </c>
      <c r="H2809" cm="1">
        <f t="array" ref="H2809">IFERROR(VLOOKUP(INPUT!M2804&amp;INPUT!N2804,CHOOSE({1,2},INPUT!$A$3:$A$5000&amp;INPUT!$C$3:$C$5000,INPUT!$D$3:$D$5000),2,FALSE),"")</f>
        <v>0</v>
      </c>
      <c r="I2809" s="46" t="str">
        <f>IF(INPUT!P2804="","",INPUT!P2804)</f>
        <v/>
      </c>
      <c r="J2809" s="46" t="str">
        <f>IF(INPUT!Q2804="","",INPUT!Q2804)</f>
        <v/>
      </c>
      <c r="K2809" s="46" t="str">
        <f>IFERROR(IF(OR(INPUT!P2804="",INPUT!Q2804=""),"",INPUT!P2804-INPUT!Q2804),"")</f>
        <v/>
      </c>
      <c r="L2809" s="48" t="str">
        <f>IFERROR(IF(OR(INPUT!P2804="",INPUT!Q2804="",INPUT!P2804=0),"",(INPUT!P2804-INPUT!Q2804)/INPUT!P2804),"")</f>
        <v/>
      </c>
    </row>
    <row r="2810" spans="1:12" ht="18" hidden="1" customHeight="1" x14ac:dyDescent="0.2">
      <c r="A2810" s="11" t="str">
        <f>IF(INPUT!M2805="","",INPUT!M2805)</f>
        <v/>
      </c>
      <c r="B2810" s="11" t="str">
        <f>IF(INPUT!M2805="","",INPUT!M2805-WEEKDAY(INPUT!M2805,2)+1)</f>
        <v/>
      </c>
      <c r="C2810" s="20">
        <f>IFERROR(_xlfn.ISOWEEKNUM(INPUT!M2805),"")</f>
        <v>52</v>
      </c>
      <c r="D2810" s="20">
        <f>IFERROR(YEAR(INPUT!M2805),"")</f>
        <v>1900</v>
      </c>
      <c r="E2810" t="str">
        <f>IF(INPUT!O2805="","",INPUT!O2805)</f>
        <v/>
      </c>
      <c r="F2810" t="str">
        <f>IF(INPUT!N2805="","",INPUT!N2805)</f>
        <v/>
      </c>
      <c r="G2810" cm="1">
        <f t="array" ref="G2810">IFERROR(VLOOKUP(INPUT!M2805&amp;INPUT!N2805,CHOOSE({1,2},INPUT!$A$3:$A$5000&amp;INPUT!$C$3:$C$5000,INPUT!$F$3:$F$5000),2,FALSE),"")</f>
        <v>0</v>
      </c>
      <c r="H2810" cm="1">
        <f t="array" ref="H2810">IFERROR(VLOOKUP(INPUT!M2805&amp;INPUT!N2805,CHOOSE({1,2},INPUT!$A$3:$A$5000&amp;INPUT!$C$3:$C$5000,INPUT!$D$3:$D$5000),2,FALSE),"")</f>
        <v>0</v>
      </c>
      <c r="I2810" s="46" t="str">
        <f>IF(INPUT!P2805="","",INPUT!P2805)</f>
        <v/>
      </c>
      <c r="J2810" s="46" t="str">
        <f>IF(INPUT!Q2805="","",INPUT!Q2805)</f>
        <v/>
      </c>
      <c r="K2810" s="46" t="str">
        <f>IFERROR(IF(OR(INPUT!P2805="",INPUT!Q2805=""),"",INPUT!P2805-INPUT!Q2805),"")</f>
        <v/>
      </c>
      <c r="L2810" s="48" t="str">
        <f>IFERROR(IF(OR(INPUT!P2805="",INPUT!Q2805="",INPUT!P2805=0),"",(INPUT!P2805-INPUT!Q2805)/INPUT!P2805),"")</f>
        <v/>
      </c>
    </row>
    <row r="2811" spans="1:12" ht="18" hidden="1" customHeight="1" x14ac:dyDescent="0.2">
      <c r="A2811" s="11" t="str">
        <f>IF(INPUT!M2806="","",INPUT!M2806)</f>
        <v/>
      </c>
      <c r="B2811" s="11" t="str">
        <f>IF(INPUT!M2806="","",INPUT!M2806-WEEKDAY(INPUT!M2806,2)+1)</f>
        <v/>
      </c>
      <c r="C2811" s="20">
        <f>IFERROR(_xlfn.ISOWEEKNUM(INPUT!M2806),"")</f>
        <v>52</v>
      </c>
      <c r="D2811" s="20">
        <f>IFERROR(YEAR(INPUT!M2806),"")</f>
        <v>1900</v>
      </c>
      <c r="E2811" t="str">
        <f>IF(INPUT!O2806="","",INPUT!O2806)</f>
        <v/>
      </c>
      <c r="F2811" t="str">
        <f>IF(INPUT!N2806="","",INPUT!N2806)</f>
        <v/>
      </c>
      <c r="G2811" cm="1">
        <f t="array" ref="G2811">IFERROR(VLOOKUP(INPUT!M2806&amp;INPUT!N2806,CHOOSE({1,2},INPUT!$A$3:$A$5000&amp;INPUT!$C$3:$C$5000,INPUT!$F$3:$F$5000),2,FALSE),"")</f>
        <v>0</v>
      </c>
      <c r="H2811" cm="1">
        <f t="array" ref="H2811">IFERROR(VLOOKUP(INPUT!M2806&amp;INPUT!N2806,CHOOSE({1,2},INPUT!$A$3:$A$5000&amp;INPUT!$C$3:$C$5000,INPUT!$D$3:$D$5000),2,FALSE),"")</f>
        <v>0</v>
      </c>
      <c r="I2811" s="46" t="str">
        <f>IF(INPUT!P2806="","",INPUT!P2806)</f>
        <v/>
      </c>
      <c r="J2811" s="46" t="str">
        <f>IF(INPUT!Q2806="","",INPUT!Q2806)</f>
        <v/>
      </c>
      <c r="K2811" s="46" t="str">
        <f>IFERROR(IF(OR(INPUT!P2806="",INPUT!Q2806=""),"",INPUT!P2806-INPUT!Q2806),"")</f>
        <v/>
      </c>
      <c r="L2811" s="48" t="str">
        <f>IFERROR(IF(OR(INPUT!P2806="",INPUT!Q2806="",INPUT!P2806=0),"",(INPUT!P2806-INPUT!Q2806)/INPUT!P2806),"")</f>
        <v/>
      </c>
    </row>
    <row r="2812" spans="1:12" ht="18" hidden="1" customHeight="1" x14ac:dyDescent="0.2">
      <c r="A2812" s="11" t="str">
        <f>IF(INPUT!M2807="","",INPUT!M2807)</f>
        <v/>
      </c>
      <c r="B2812" s="11" t="str">
        <f>IF(INPUT!M2807="","",INPUT!M2807-WEEKDAY(INPUT!M2807,2)+1)</f>
        <v/>
      </c>
      <c r="C2812" s="20">
        <f>IFERROR(_xlfn.ISOWEEKNUM(INPUT!M2807),"")</f>
        <v>52</v>
      </c>
      <c r="D2812" s="20">
        <f>IFERROR(YEAR(INPUT!M2807),"")</f>
        <v>1900</v>
      </c>
      <c r="E2812" t="str">
        <f>IF(INPUT!O2807="","",INPUT!O2807)</f>
        <v/>
      </c>
      <c r="F2812" t="str">
        <f>IF(INPUT!N2807="","",INPUT!N2807)</f>
        <v/>
      </c>
      <c r="G2812" cm="1">
        <f t="array" ref="G2812">IFERROR(VLOOKUP(INPUT!M2807&amp;INPUT!N2807,CHOOSE({1,2},INPUT!$A$3:$A$5000&amp;INPUT!$C$3:$C$5000,INPUT!$F$3:$F$5000),2,FALSE),"")</f>
        <v>0</v>
      </c>
      <c r="H2812" cm="1">
        <f t="array" ref="H2812">IFERROR(VLOOKUP(INPUT!M2807&amp;INPUT!N2807,CHOOSE({1,2},INPUT!$A$3:$A$5000&amp;INPUT!$C$3:$C$5000,INPUT!$D$3:$D$5000),2,FALSE),"")</f>
        <v>0</v>
      </c>
      <c r="I2812" s="46" t="str">
        <f>IF(INPUT!P2807="","",INPUT!P2807)</f>
        <v/>
      </c>
      <c r="J2812" s="46" t="str">
        <f>IF(INPUT!Q2807="","",INPUT!Q2807)</f>
        <v/>
      </c>
      <c r="K2812" s="46" t="str">
        <f>IFERROR(IF(OR(INPUT!P2807="",INPUT!Q2807=""),"",INPUT!P2807-INPUT!Q2807),"")</f>
        <v/>
      </c>
      <c r="L2812" s="48" t="str">
        <f>IFERROR(IF(OR(INPUT!P2807="",INPUT!Q2807="",INPUT!P2807=0),"",(INPUT!P2807-INPUT!Q2807)/INPUT!P2807),"")</f>
        <v/>
      </c>
    </row>
    <row r="2813" spans="1:12" ht="18" hidden="1" customHeight="1" x14ac:dyDescent="0.2">
      <c r="A2813" s="11" t="str">
        <f>IF(INPUT!M2808="","",INPUT!M2808)</f>
        <v/>
      </c>
      <c r="B2813" s="11" t="str">
        <f>IF(INPUT!M2808="","",INPUT!M2808-WEEKDAY(INPUT!M2808,2)+1)</f>
        <v/>
      </c>
      <c r="C2813" s="20">
        <f>IFERROR(_xlfn.ISOWEEKNUM(INPUT!M2808),"")</f>
        <v>52</v>
      </c>
      <c r="D2813" s="20">
        <f>IFERROR(YEAR(INPUT!M2808),"")</f>
        <v>1900</v>
      </c>
      <c r="E2813" t="str">
        <f>IF(INPUT!O2808="","",INPUT!O2808)</f>
        <v/>
      </c>
      <c r="F2813" t="str">
        <f>IF(INPUT!N2808="","",INPUT!N2808)</f>
        <v/>
      </c>
      <c r="G2813" cm="1">
        <f t="array" ref="G2813">IFERROR(VLOOKUP(INPUT!M2808&amp;INPUT!N2808,CHOOSE({1,2},INPUT!$A$3:$A$5000&amp;INPUT!$C$3:$C$5000,INPUT!$F$3:$F$5000),2,FALSE),"")</f>
        <v>0</v>
      </c>
      <c r="H2813" cm="1">
        <f t="array" ref="H2813">IFERROR(VLOOKUP(INPUT!M2808&amp;INPUT!N2808,CHOOSE({1,2},INPUT!$A$3:$A$5000&amp;INPUT!$C$3:$C$5000,INPUT!$D$3:$D$5000),2,FALSE),"")</f>
        <v>0</v>
      </c>
      <c r="I2813" s="46" t="str">
        <f>IF(INPUT!P2808="","",INPUT!P2808)</f>
        <v/>
      </c>
      <c r="J2813" s="46" t="str">
        <f>IF(INPUT!Q2808="","",INPUT!Q2808)</f>
        <v/>
      </c>
      <c r="K2813" s="46" t="str">
        <f>IFERROR(IF(OR(INPUT!P2808="",INPUT!Q2808=""),"",INPUT!P2808-INPUT!Q2808),"")</f>
        <v/>
      </c>
      <c r="L2813" s="48" t="str">
        <f>IFERROR(IF(OR(INPUT!P2808="",INPUT!Q2808="",INPUT!P2808=0),"",(INPUT!P2808-INPUT!Q2808)/INPUT!P2808),"")</f>
        <v/>
      </c>
    </row>
    <row r="2814" spans="1:12" ht="18" hidden="1" customHeight="1" x14ac:dyDescent="0.2">
      <c r="A2814" s="11" t="str">
        <f>IF(INPUT!M2809="","",INPUT!M2809)</f>
        <v/>
      </c>
      <c r="B2814" s="11" t="str">
        <f>IF(INPUT!M2809="","",INPUT!M2809-WEEKDAY(INPUT!M2809,2)+1)</f>
        <v/>
      </c>
      <c r="C2814" s="20">
        <f>IFERROR(_xlfn.ISOWEEKNUM(INPUT!M2809),"")</f>
        <v>52</v>
      </c>
      <c r="D2814" s="20">
        <f>IFERROR(YEAR(INPUT!M2809),"")</f>
        <v>1900</v>
      </c>
      <c r="E2814" t="str">
        <f>IF(INPUT!O2809="","",INPUT!O2809)</f>
        <v/>
      </c>
      <c r="F2814" t="str">
        <f>IF(INPUT!N2809="","",INPUT!N2809)</f>
        <v/>
      </c>
      <c r="G2814" cm="1">
        <f t="array" ref="G2814">IFERROR(VLOOKUP(INPUT!M2809&amp;INPUT!N2809,CHOOSE({1,2},INPUT!$A$3:$A$5000&amp;INPUT!$C$3:$C$5000,INPUT!$F$3:$F$5000),2,FALSE),"")</f>
        <v>0</v>
      </c>
      <c r="H2814" cm="1">
        <f t="array" ref="H2814">IFERROR(VLOOKUP(INPUT!M2809&amp;INPUT!N2809,CHOOSE({1,2},INPUT!$A$3:$A$5000&amp;INPUT!$C$3:$C$5000,INPUT!$D$3:$D$5000),2,FALSE),"")</f>
        <v>0</v>
      </c>
      <c r="I2814" s="46" t="str">
        <f>IF(INPUT!P2809="","",INPUT!P2809)</f>
        <v/>
      </c>
      <c r="J2814" s="46" t="str">
        <f>IF(INPUT!Q2809="","",INPUT!Q2809)</f>
        <v/>
      </c>
      <c r="K2814" s="46" t="str">
        <f>IFERROR(IF(OR(INPUT!P2809="",INPUT!Q2809=""),"",INPUT!P2809-INPUT!Q2809),"")</f>
        <v/>
      </c>
      <c r="L2814" s="48" t="str">
        <f>IFERROR(IF(OR(INPUT!P2809="",INPUT!Q2809="",INPUT!P2809=0),"",(INPUT!P2809-INPUT!Q2809)/INPUT!P2809),"")</f>
        <v/>
      </c>
    </row>
    <row r="2815" spans="1:12" ht="18" hidden="1" customHeight="1" x14ac:dyDescent="0.2">
      <c r="A2815" s="11" t="str">
        <f>IF(INPUT!M2810="","",INPUT!M2810)</f>
        <v/>
      </c>
      <c r="B2815" s="11" t="str">
        <f>IF(INPUT!M2810="","",INPUT!M2810-WEEKDAY(INPUT!M2810,2)+1)</f>
        <v/>
      </c>
      <c r="C2815" s="20">
        <f>IFERROR(_xlfn.ISOWEEKNUM(INPUT!M2810),"")</f>
        <v>52</v>
      </c>
      <c r="D2815" s="20">
        <f>IFERROR(YEAR(INPUT!M2810),"")</f>
        <v>1900</v>
      </c>
      <c r="E2815" t="str">
        <f>IF(INPUT!O2810="","",INPUT!O2810)</f>
        <v/>
      </c>
      <c r="F2815" t="str">
        <f>IF(INPUT!N2810="","",INPUT!N2810)</f>
        <v/>
      </c>
      <c r="G2815" cm="1">
        <f t="array" ref="G2815">IFERROR(VLOOKUP(INPUT!M2810&amp;INPUT!N2810,CHOOSE({1,2},INPUT!$A$3:$A$5000&amp;INPUT!$C$3:$C$5000,INPUT!$F$3:$F$5000),2,FALSE),"")</f>
        <v>0</v>
      </c>
      <c r="H2815" cm="1">
        <f t="array" ref="H2815">IFERROR(VLOOKUP(INPUT!M2810&amp;INPUT!N2810,CHOOSE({1,2},INPUT!$A$3:$A$5000&amp;INPUT!$C$3:$C$5000,INPUT!$D$3:$D$5000),2,FALSE),"")</f>
        <v>0</v>
      </c>
      <c r="I2815" s="46" t="str">
        <f>IF(INPUT!P2810="","",INPUT!P2810)</f>
        <v/>
      </c>
      <c r="J2815" s="46" t="str">
        <f>IF(INPUT!Q2810="","",INPUT!Q2810)</f>
        <v/>
      </c>
      <c r="K2815" s="46" t="str">
        <f>IFERROR(IF(OR(INPUT!P2810="",INPUT!Q2810=""),"",INPUT!P2810-INPUT!Q2810),"")</f>
        <v/>
      </c>
      <c r="L2815" s="48" t="str">
        <f>IFERROR(IF(OR(INPUT!P2810="",INPUT!Q2810="",INPUT!P2810=0),"",(INPUT!P2810-INPUT!Q2810)/INPUT!P2810),"")</f>
        <v/>
      </c>
    </row>
    <row r="2816" spans="1:12" ht="18" hidden="1" customHeight="1" x14ac:dyDescent="0.2">
      <c r="A2816" s="11" t="str">
        <f>IF(INPUT!M2811="","",INPUT!M2811)</f>
        <v/>
      </c>
      <c r="B2816" s="11" t="str">
        <f>IF(INPUT!M2811="","",INPUT!M2811-WEEKDAY(INPUT!M2811,2)+1)</f>
        <v/>
      </c>
      <c r="C2816" s="20">
        <f>IFERROR(_xlfn.ISOWEEKNUM(INPUT!M2811),"")</f>
        <v>52</v>
      </c>
      <c r="D2816" s="20">
        <f>IFERROR(YEAR(INPUT!M2811),"")</f>
        <v>1900</v>
      </c>
      <c r="E2816" t="str">
        <f>IF(INPUT!O2811="","",INPUT!O2811)</f>
        <v/>
      </c>
      <c r="F2816" t="str">
        <f>IF(INPUT!N2811="","",INPUT!N2811)</f>
        <v/>
      </c>
      <c r="G2816" cm="1">
        <f t="array" ref="G2816">IFERROR(VLOOKUP(INPUT!M2811&amp;INPUT!N2811,CHOOSE({1,2},INPUT!$A$3:$A$5000&amp;INPUT!$C$3:$C$5000,INPUT!$F$3:$F$5000),2,FALSE),"")</f>
        <v>0</v>
      </c>
      <c r="H2816" cm="1">
        <f t="array" ref="H2816">IFERROR(VLOOKUP(INPUT!M2811&amp;INPUT!N2811,CHOOSE({1,2},INPUT!$A$3:$A$5000&amp;INPUT!$C$3:$C$5000,INPUT!$D$3:$D$5000),2,FALSE),"")</f>
        <v>0</v>
      </c>
      <c r="I2816" s="46" t="str">
        <f>IF(INPUT!P2811="","",INPUT!P2811)</f>
        <v/>
      </c>
      <c r="J2816" s="46" t="str">
        <f>IF(INPUT!Q2811="","",INPUT!Q2811)</f>
        <v/>
      </c>
      <c r="K2816" s="46" t="str">
        <f>IFERROR(IF(OR(INPUT!P2811="",INPUT!Q2811=""),"",INPUT!P2811-INPUT!Q2811),"")</f>
        <v/>
      </c>
      <c r="L2816" s="48" t="str">
        <f>IFERROR(IF(OR(INPUT!P2811="",INPUT!Q2811="",INPUT!P2811=0),"",(INPUT!P2811-INPUT!Q2811)/INPUT!P2811),"")</f>
        <v/>
      </c>
    </row>
    <row r="2817" spans="1:12" ht="18" hidden="1" customHeight="1" x14ac:dyDescent="0.2">
      <c r="A2817" s="11" t="str">
        <f>IF(INPUT!M2812="","",INPUT!M2812)</f>
        <v/>
      </c>
      <c r="B2817" s="11" t="str">
        <f>IF(INPUT!M2812="","",INPUT!M2812-WEEKDAY(INPUT!M2812,2)+1)</f>
        <v/>
      </c>
      <c r="C2817" s="20">
        <f>IFERROR(_xlfn.ISOWEEKNUM(INPUT!M2812),"")</f>
        <v>52</v>
      </c>
      <c r="D2817" s="20">
        <f>IFERROR(YEAR(INPUT!M2812),"")</f>
        <v>1900</v>
      </c>
      <c r="E2817" t="str">
        <f>IF(INPUT!O2812="","",INPUT!O2812)</f>
        <v/>
      </c>
      <c r="F2817" t="str">
        <f>IF(INPUT!N2812="","",INPUT!N2812)</f>
        <v/>
      </c>
      <c r="G2817" cm="1">
        <f t="array" ref="G2817">IFERROR(VLOOKUP(INPUT!M2812&amp;INPUT!N2812,CHOOSE({1,2},INPUT!$A$3:$A$5000&amp;INPUT!$C$3:$C$5000,INPUT!$F$3:$F$5000),2,FALSE),"")</f>
        <v>0</v>
      </c>
      <c r="H2817" cm="1">
        <f t="array" ref="H2817">IFERROR(VLOOKUP(INPUT!M2812&amp;INPUT!N2812,CHOOSE({1,2},INPUT!$A$3:$A$5000&amp;INPUT!$C$3:$C$5000,INPUT!$D$3:$D$5000),2,FALSE),"")</f>
        <v>0</v>
      </c>
      <c r="I2817" s="46" t="str">
        <f>IF(INPUT!P2812="","",INPUT!P2812)</f>
        <v/>
      </c>
      <c r="J2817" s="46" t="str">
        <f>IF(INPUT!Q2812="","",INPUT!Q2812)</f>
        <v/>
      </c>
      <c r="K2817" s="46" t="str">
        <f>IFERROR(IF(OR(INPUT!P2812="",INPUT!Q2812=""),"",INPUT!P2812-INPUT!Q2812),"")</f>
        <v/>
      </c>
      <c r="L2817" s="48" t="str">
        <f>IFERROR(IF(OR(INPUT!P2812="",INPUT!Q2812="",INPUT!P2812=0),"",(INPUT!P2812-INPUT!Q2812)/INPUT!P2812),"")</f>
        <v/>
      </c>
    </row>
    <row r="2818" spans="1:12" ht="18" hidden="1" customHeight="1" x14ac:dyDescent="0.2">
      <c r="A2818" s="11" t="str">
        <f>IF(INPUT!M2813="","",INPUT!M2813)</f>
        <v/>
      </c>
      <c r="B2818" s="11" t="str">
        <f>IF(INPUT!M2813="","",INPUT!M2813-WEEKDAY(INPUT!M2813,2)+1)</f>
        <v/>
      </c>
      <c r="C2818" s="20">
        <f>IFERROR(_xlfn.ISOWEEKNUM(INPUT!M2813),"")</f>
        <v>52</v>
      </c>
      <c r="D2818" s="20">
        <f>IFERROR(YEAR(INPUT!M2813),"")</f>
        <v>1900</v>
      </c>
      <c r="E2818" t="str">
        <f>IF(INPUT!O2813="","",INPUT!O2813)</f>
        <v/>
      </c>
      <c r="F2818" t="str">
        <f>IF(INPUT!N2813="","",INPUT!N2813)</f>
        <v/>
      </c>
      <c r="G2818" cm="1">
        <f t="array" ref="G2818">IFERROR(VLOOKUP(INPUT!M2813&amp;INPUT!N2813,CHOOSE({1,2},INPUT!$A$3:$A$5000&amp;INPUT!$C$3:$C$5000,INPUT!$F$3:$F$5000),2,FALSE),"")</f>
        <v>0</v>
      </c>
      <c r="H2818" cm="1">
        <f t="array" ref="H2818">IFERROR(VLOOKUP(INPUT!M2813&amp;INPUT!N2813,CHOOSE({1,2},INPUT!$A$3:$A$5000&amp;INPUT!$C$3:$C$5000,INPUT!$D$3:$D$5000),2,FALSE),"")</f>
        <v>0</v>
      </c>
      <c r="I2818" s="46" t="str">
        <f>IF(INPUT!P2813="","",INPUT!P2813)</f>
        <v/>
      </c>
      <c r="J2818" s="46" t="str">
        <f>IF(INPUT!Q2813="","",INPUT!Q2813)</f>
        <v/>
      </c>
      <c r="K2818" s="46" t="str">
        <f>IFERROR(IF(OR(INPUT!P2813="",INPUT!Q2813=""),"",INPUT!P2813-INPUT!Q2813),"")</f>
        <v/>
      </c>
      <c r="L2818" s="48" t="str">
        <f>IFERROR(IF(OR(INPUT!P2813="",INPUT!Q2813="",INPUT!P2813=0),"",(INPUT!P2813-INPUT!Q2813)/INPUT!P2813),"")</f>
        <v/>
      </c>
    </row>
    <row r="2819" spans="1:12" ht="18" hidden="1" customHeight="1" x14ac:dyDescent="0.2">
      <c r="A2819" s="11" t="str">
        <f>IF(INPUT!M2814="","",INPUT!M2814)</f>
        <v/>
      </c>
      <c r="B2819" s="11" t="str">
        <f>IF(INPUT!M2814="","",INPUT!M2814-WEEKDAY(INPUT!M2814,2)+1)</f>
        <v/>
      </c>
      <c r="C2819" s="20">
        <f>IFERROR(_xlfn.ISOWEEKNUM(INPUT!M2814),"")</f>
        <v>52</v>
      </c>
      <c r="D2819" s="20">
        <f>IFERROR(YEAR(INPUT!M2814),"")</f>
        <v>1900</v>
      </c>
      <c r="E2819" t="str">
        <f>IF(INPUT!O2814="","",INPUT!O2814)</f>
        <v/>
      </c>
      <c r="F2819" t="str">
        <f>IF(INPUT!N2814="","",INPUT!N2814)</f>
        <v/>
      </c>
      <c r="G2819" cm="1">
        <f t="array" ref="G2819">IFERROR(VLOOKUP(INPUT!M2814&amp;INPUT!N2814,CHOOSE({1,2},INPUT!$A$3:$A$5000&amp;INPUT!$C$3:$C$5000,INPUT!$F$3:$F$5000),2,FALSE),"")</f>
        <v>0</v>
      </c>
      <c r="H2819" cm="1">
        <f t="array" ref="H2819">IFERROR(VLOOKUP(INPUT!M2814&amp;INPUT!N2814,CHOOSE({1,2},INPUT!$A$3:$A$5000&amp;INPUT!$C$3:$C$5000,INPUT!$D$3:$D$5000),2,FALSE),"")</f>
        <v>0</v>
      </c>
      <c r="I2819" s="46" t="str">
        <f>IF(INPUT!P2814="","",INPUT!P2814)</f>
        <v/>
      </c>
      <c r="J2819" s="46" t="str">
        <f>IF(INPUT!Q2814="","",INPUT!Q2814)</f>
        <v/>
      </c>
      <c r="K2819" s="46" t="str">
        <f>IFERROR(IF(OR(INPUT!P2814="",INPUT!Q2814=""),"",INPUT!P2814-INPUT!Q2814),"")</f>
        <v/>
      </c>
      <c r="L2819" s="48" t="str">
        <f>IFERROR(IF(OR(INPUT!P2814="",INPUT!Q2814="",INPUT!P2814=0),"",(INPUT!P2814-INPUT!Q2814)/INPUT!P2814),"")</f>
        <v/>
      </c>
    </row>
    <row r="2820" spans="1:12" ht="18" hidden="1" customHeight="1" x14ac:dyDescent="0.2">
      <c r="A2820" s="11" t="str">
        <f>IF(INPUT!M2815="","",INPUT!M2815)</f>
        <v/>
      </c>
      <c r="B2820" s="11" t="str">
        <f>IF(INPUT!M2815="","",INPUT!M2815-WEEKDAY(INPUT!M2815,2)+1)</f>
        <v/>
      </c>
      <c r="C2820" s="20">
        <f>IFERROR(_xlfn.ISOWEEKNUM(INPUT!M2815),"")</f>
        <v>52</v>
      </c>
      <c r="D2820" s="20">
        <f>IFERROR(YEAR(INPUT!M2815),"")</f>
        <v>1900</v>
      </c>
      <c r="E2820" t="str">
        <f>IF(INPUT!O2815="","",INPUT!O2815)</f>
        <v/>
      </c>
      <c r="F2820" t="str">
        <f>IF(INPUT!N2815="","",INPUT!N2815)</f>
        <v/>
      </c>
      <c r="G2820" cm="1">
        <f t="array" ref="G2820">IFERROR(VLOOKUP(INPUT!M2815&amp;INPUT!N2815,CHOOSE({1,2},INPUT!$A$3:$A$5000&amp;INPUT!$C$3:$C$5000,INPUT!$F$3:$F$5000),2,FALSE),"")</f>
        <v>0</v>
      </c>
      <c r="H2820" cm="1">
        <f t="array" ref="H2820">IFERROR(VLOOKUP(INPUT!M2815&amp;INPUT!N2815,CHOOSE({1,2},INPUT!$A$3:$A$5000&amp;INPUT!$C$3:$C$5000,INPUT!$D$3:$D$5000),2,FALSE),"")</f>
        <v>0</v>
      </c>
      <c r="I2820" s="46" t="str">
        <f>IF(INPUT!P2815="","",INPUT!P2815)</f>
        <v/>
      </c>
      <c r="J2820" s="46" t="str">
        <f>IF(INPUT!Q2815="","",INPUT!Q2815)</f>
        <v/>
      </c>
      <c r="K2820" s="46" t="str">
        <f>IFERROR(IF(OR(INPUT!P2815="",INPUT!Q2815=""),"",INPUT!P2815-INPUT!Q2815),"")</f>
        <v/>
      </c>
      <c r="L2820" s="48" t="str">
        <f>IFERROR(IF(OR(INPUT!P2815="",INPUT!Q2815="",INPUT!P2815=0),"",(INPUT!P2815-INPUT!Q2815)/INPUT!P2815),"")</f>
        <v/>
      </c>
    </row>
    <row r="2821" spans="1:12" ht="18" hidden="1" customHeight="1" x14ac:dyDescent="0.2">
      <c r="A2821" s="11" t="str">
        <f>IF(INPUT!M2816="","",INPUT!M2816)</f>
        <v/>
      </c>
      <c r="B2821" s="11" t="str">
        <f>IF(INPUT!M2816="","",INPUT!M2816-WEEKDAY(INPUT!M2816,2)+1)</f>
        <v/>
      </c>
      <c r="C2821" s="20">
        <f>IFERROR(_xlfn.ISOWEEKNUM(INPUT!M2816),"")</f>
        <v>52</v>
      </c>
      <c r="D2821" s="20">
        <f>IFERROR(YEAR(INPUT!M2816),"")</f>
        <v>1900</v>
      </c>
      <c r="E2821" t="str">
        <f>IF(INPUT!O2816="","",INPUT!O2816)</f>
        <v/>
      </c>
      <c r="F2821" t="str">
        <f>IF(INPUT!N2816="","",INPUT!N2816)</f>
        <v/>
      </c>
      <c r="G2821" cm="1">
        <f t="array" ref="G2821">IFERROR(VLOOKUP(INPUT!M2816&amp;INPUT!N2816,CHOOSE({1,2},INPUT!$A$3:$A$5000&amp;INPUT!$C$3:$C$5000,INPUT!$F$3:$F$5000),2,FALSE),"")</f>
        <v>0</v>
      </c>
      <c r="H2821" cm="1">
        <f t="array" ref="H2821">IFERROR(VLOOKUP(INPUT!M2816&amp;INPUT!N2816,CHOOSE({1,2},INPUT!$A$3:$A$5000&amp;INPUT!$C$3:$C$5000,INPUT!$D$3:$D$5000),2,FALSE),"")</f>
        <v>0</v>
      </c>
      <c r="I2821" s="46" t="str">
        <f>IF(INPUT!P2816="","",INPUT!P2816)</f>
        <v/>
      </c>
      <c r="J2821" s="46" t="str">
        <f>IF(INPUT!Q2816="","",INPUT!Q2816)</f>
        <v/>
      </c>
      <c r="K2821" s="46" t="str">
        <f>IFERROR(IF(OR(INPUT!P2816="",INPUT!Q2816=""),"",INPUT!P2816-INPUT!Q2816),"")</f>
        <v/>
      </c>
      <c r="L2821" s="48" t="str">
        <f>IFERROR(IF(OR(INPUT!P2816="",INPUT!Q2816="",INPUT!P2816=0),"",(INPUT!P2816-INPUT!Q2816)/INPUT!P2816),"")</f>
        <v/>
      </c>
    </row>
    <row r="2822" spans="1:12" ht="18" hidden="1" customHeight="1" x14ac:dyDescent="0.2">
      <c r="A2822" s="11" t="str">
        <f>IF(INPUT!M2817="","",INPUT!M2817)</f>
        <v/>
      </c>
      <c r="B2822" s="11" t="str">
        <f>IF(INPUT!M2817="","",INPUT!M2817-WEEKDAY(INPUT!M2817,2)+1)</f>
        <v/>
      </c>
      <c r="C2822" s="20">
        <f>IFERROR(_xlfn.ISOWEEKNUM(INPUT!M2817),"")</f>
        <v>52</v>
      </c>
      <c r="D2822" s="20">
        <f>IFERROR(YEAR(INPUT!M2817),"")</f>
        <v>1900</v>
      </c>
      <c r="E2822" t="str">
        <f>IF(INPUT!O2817="","",INPUT!O2817)</f>
        <v/>
      </c>
      <c r="F2822" t="str">
        <f>IF(INPUT!N2817="","",INPUT!N2817)</f>
        <v/>
      </c>
      <c r="G2822" cm="1">
        <f t="array" ref="G2822">IFERROR(VLOOKUP(INPUT!M2817&amp;INPUT!N2817,CHOOSE({1,2},INPUT!$A$3:$A$5000&amp;INPUT!$C$3:$C$5000,INPUT!$F$3:$F$5000),2,FALSE),"")</f>
        <v>0</v>
      </c>
      <c r="H2822" cm="1">
        <f t="array" ref="H2822">IFERROR(VLOOKUP(INPUT!M2817&amp;INPUT!N2817,CHOOSE({1,2},INPUT!$A$3:$A$5000&amp;INPUT!$C$3:$C$5000,INPUT!$D$3:$D$5000),2,FALSE),"")</f>
        <v>0</v>
      </c>
      <c r="I2822" s="46" t="str">
        <f>IF(INPUT!P2817="","",INPUT!P2817)</f>
        <v/>
      </c>
      <c r="J2822" s="46" t="str">
        <f>IF(INPUT!Q2817="","",INPUT!Q2817)</f>
        <v/>
      </c>
      <c r="K2822" s="46" t="str">
        <f>IFERROR(IF(OR(INPUT!P2817="",INPUT!Q2817=""),"",INPUT!P2817-INPUT!Q2817),"")</f>
        <v/>
      </c>
      <c r="L2822" s="48" t="str">
        <f>IFERROR(IF(OR(INPUT!P2817="",INPUT!Q2817="",INPUT!P2817=0),"",(INPUT!P2817-INPUT!Q2817)/INPUT!P2817),"")</f>
        <v/>
      </c>
    </row>
    <row r="2823" spans="1:12" ht="18" hidden="1" customHeight="1" x14ac:dyDescent="0.2">
      <c r="A2823" s="11" t="str">
        <f>IF(INPUT!M2818="","",INPUT!M2818)</f>
        <v/>
      </c>
      <c r="B2823" s="11" t="str">
        <f>IF(INPUT!M2818="","",INPUT!M2818-WEEKDAY(INPUT!M2818,2)+1)</f>
        <v/>
      </c>
      <c r="C2823" s="20">
        <f>IFERROR(_xlfn.ISOWEEKNUM(INPUT!M2818),"")</f>
        <v>52</v>
      </c>
      <c r="D2823" s="20">
        <f>IFERROR(YEAR(INPUT!M2818),"")</f>
        <v>1900</v>
      </c>
      <c r="E2823" t="str">
        <f>IF(INPUT!O2818="","",INPUT!O2818)</f>
        <v/>
      </c>
      <c r="F2823" t="str">
        <f>IF(INPUT!N2818="","",INPUT!N2818)</f>
        <v/>
      </c>
      <c r="G2823" cm="1">
        <f t="array" ref="G2823">IFERROR(VLOOKUP(INPUT!M2818&amp;INPUT!N2818,CHOOSE({1,2},INPUT!$A$3:$A$5000&amp;INPUT!$C$3:$C$5000,INPUT!$F$3:$F$5000),2,FALSE),"")</f>
        <v>0</v>
      </c>
      <c r="H2823" cm="1">
        <f t="array" ref="H2823">IFERROR(VLOOKUP(INPUT!M2818&amp;INPUT!N2818,CHOOSE({1,2},INPUT!$A$3:$A$5000&amp;INPUT!$C$3:$C$5000,INPUT!$D$3:$D$5000),2,FALSE),"")</f>
        <v>0</v>
      </c>
      <c r="I2823" s="46" t="str">
        <f>IF(INPUT!P2818="","",INPUT!P2818)</f>
        <v/>
      </c>
      <c r="J2823" s="46" t="str">
        <f>IF(INPUT!Q2818="","",INPUT!Q2818)</f>
        <v/>
      </c>
      <c r="K2823" s="46" t="str">
        <f>IFERROR(IF(OR(INPUT!P2818="",INPUT!Q2818=""),"",INPUT!P2818-INPUT!Q2818),"")</f>
        <v/>
      </c>
      <c r="L2823" s="48" t="str">
        <f>IFERROR(IF(OR(INPUT!P2818="",INPUT!Q2818="",INPUT!P2818=0),"",(INPUT!P2818-INPUT!Q2818)/INPUT!P2818),"")</f>
        <v/>
      </c>
    </row>
    <row r="2824" spans="1:12" ht="18" hidden="1" customHeight="1" x14ac:dyDescent="0.2">
      <c r="A2824" s="11" t="str">
        <f>IF(INPUT!M2819="","",INPUT!M2819)</f>
        <v/>
      </c>
      <c r="B2824" s="11" t="str">
        <f>IF(INPUT!M2819="","",INPUT!M2819-WEEKDAY(INPUT!M2819,2)+1)</f>
        <v/>
      </c>
      <c r="C2824" s="20">
        <f>IFERROR(_xlfn.ISOWEEKNUM(INPUT!M2819),"")</f>
        <v>52</v>
      </c>
      <c r="D2824" s="20">
        <f>IFERROR(YEAR(INPUT!M2819),"")</f>
        <v>1900</v>
      </c>
      <c r="E2824" t="str">
        <f>IF(INPUT!O2819="","",INPUT!O2819)</f>
        <v/>
      </c>
      <c r="F2824" t="str">
        <f>IF(INPUT!N2819="","",INPUT!N2819)</f>
        <v/>
      </c>
      <c r="G2824" cm="1">
        <f t="array" ref="G2824">IFERROR(VLOOKUP(INPUT!M2819&amp;INPUT!N2819,CHOOSE({1,2},INPUT!$A$3:$A$5000&amp;INPUT!$C$3:$C$5000,INPUT!$F$3:$F$5000),2,FALSE),"")</f>
        <v>0</v>
      </c>
      <c r="H2824" cm="1">
        <f t="array" ref="H2824">IFERROR(VLOOKUP(INPUT!M2819&amp;INPUT!N2819,CHOOSE({1,2},INPUT!$A$3:$A$5000&amp;INPUT!$C$3:$C$5000,INPUT!$D$3:$D$5000),2,FALSE),"")</f>
        <v>0</v>
      </c>
      <c r="I2824" s="46" t="str">
        <f>IF(INPUT!P2819="","",INPUT!P2819)</f>
        <v/>
      </c>
      <c r="J2824" s="46" t="str">
        <f>IF(INPUT!Q2819="","",INPUT!Q2819)</f>
        <v/>
      </c>
      <c r="K2824" s="46" t="str">
        <f>IFERROR(IF(OR(INPUT!P2819="",INPUT!Q2819=""),"",INPUT!P2819-INPUT!Q2819),"")</f>
        <v/>
      </c>
      <c r="L2824" s="48" t="str">
        <f>IFERROR(IF(OR(INPUT!P2819="",INPUT!Q2819="",INPUT!P2819=0),"",(INPUT!P2819-INPUT!Q2819)/INPUT!P2819),"")</f>
        <v/>
      </c>
    </row>
    <row r="2825" spans="1:12" ht="18" hidden="1" customHeight="1" x14ac:dyDescent="0.2">
      <c r="A2825" s="11" t="str">
        <f>IF(INPUT!M2820="","",INPUT!M2820)</f>
        <v/>
      </c>
      <c r="B2825" s="11" t="str">
        <f>IF(INPUT!M2820="","",INPUT!M2820-WEEKDAY(INPUT!M2820,2)+1)</f>
        <v/>
      </c>
      <c r="C2825" s="20">
        <f>IFERROR(_xlfn.ISOWEEKNUM(INPUT!M2820),"")</f>
        <v>52</v>
      </c>
      <c r="D2825" s="20">
        <f>IFERROR(YEAR(INPUT!M2820),"")</f>
        <v>1900</v>
      </c>
      <c r="E2825" t="str">
        <f>IF(INPUT!O2820="","",INPUT!O2820)</f>
        <v/>
      </c>
      <c r="F2825" t="str">
        <f>IF(INPUT!N2820="","",INPUT!N2820)</f>
        <v/>
      </c>
      <c r="G2825" cm="1">
        <f t="array" ref="G2825">IFERROR(VLOOKUP(INPUT!M2820&amp;INPUT!N2820,CHOOSE({1,2},INPUT!$A$3:$A$5000&amp;INPUT!$C$3:$C$5000,INPUT!$F$3:$F$5000),2,FALSE),"")</f>
        <v>0</v>
      </c>
      <c r="H2825" cm="1">
        <f t="array" ref="H2825">IFERROR(VLOOKUP(INPUT!M2820&amp;INPUT!N2820,CHOOSE({1,2},INPUT!$A$3:$A$5000&amp;INPUT!$C$3:$C$5000,INPUT!$D$3:$D$5000),2,FALSE),"")</f>
        <v>0</v>
      </c>
      <c r="I2825" s="46" t="str">
        <f>IF(INPUT!P2820="","",INPUT!P2820)</f>
        <v/>
      </c>
      <c r="J2825" s="46" t="str">
        <f>IF(INPUT!Q2820="","",INPUT!Q2820)</f>
        <v/>
      </c>
      <c r="K2825" s="46" t="str">
        <f>IFERROR(IF(OR(INPUT!P2820="",INPUT!Q2820=""),"",INPUT!P2820-INPUT!Q2820),"")</f>
        <v/>
      </c>
      <c r="L2825" s="48" t="str">
        <f>IFERROR(IF(OR(INPUT!P2820="",INPUT!Q2820="",INPUT!P2820=0),"",(INPUT!P2820-INPUT!Q2820)/INPUT!P2820),"")</f>
        <v/>
      </c>
    </row>
    <row r="2826" spans="1:12" ht="18" hidden="1" customHeight="1" x14ac:dyDescent="0.2">
      <c r="A2826" s="11" t="str">
        <f>IF(INPUT!M2821="","",INPUT!M2821)</f>
        <v/>
      </c>
      <c r="B2826" s="11" t="str">
        <f>IF(INPUT!M2821="","",INPUT!M2821-WEEKDAY(INPUT!M2821,2)+1)</f>
        <v/>
      </c>
      <c r="C2826" s="20">
        <f>IFERROR(_xlfn.ISOWEEKNUM(INPUT!M2821),"")</f>
        <v>52</v>
      </c>
      <c r="D2826" s="20">
        <f>IFERROR(YEAR(INPUT!M2821),"")</f>
        <v>1900</v>
      </c>
      <c r="E2826" t="str">
        <f>IF(INPUT!O2821="","",INPUT!O2821)</f>
        <v/>
      </c>
      <c r="F2826" t="str">
        <f>IF(INPUT!N2821="","",INPUT!N2821)</f>
        <v/>
      </c>
      <c r="G2826" cm="1">
        <f t="array" ref="G2826">IFERROR(VLOOKUP(INPUT!M2821&amp;INPUT!N2821,CHOOSE({1,2},INPUT!$A$3:$A$5000&amp;INPUT!$C$3:$C$5000,INPUT!$F$3:$F$5000),2,FALSE),"")</f>
        <v>0</v>
      </c>
      <c r="H2826" cm="1">
        <f t="array" ref="H2826">IFERROR(VLOOKUP(INPUT!M2821&amp;INPUT!N2821,CHOOSE({1,2},INPUT!$A$3:$A$5000&amp;INPUT!$C$3:$C$5000,INPUT!$D$3:$D$5000),2,FALSE),"")</f>
        <v>0</v>
      </c>
      <c r="I2826" s="46" t="str">
        <f>IF(INPUT!P2821="","",INPUT!P2821)</f>
        <v/>
      </c>
      <c r="J2826" s="46" t="str">
        <f>IF(INPUT!Q2821="","",INPUT!Q2821)</f>
        <v/>
      </c>
      <c r="K2826" s="46" t="str">
        <f>IFERROR(IF(OR(INPUT!P2821="",INPUT!Q2821=""),"",INPUT!P2821-INPUT!Q2821),"")</f>
        <v/>
      </c>
      <c r="L2826" s="48" t="str">
        <f>IFERROR(IF(OR(INPUT!P2821="",INPUT!Q2821="",INPUT!P2821=0),"",(INPUT!P2821-INPUT!Q2821)/INPUT!P2821),"")</f>
        <v/>
      </c>
    </row>
    <row r="2827" spans="1:12" ht="18" hidden="1" customHeight="1" x14ac:dyDescent="0.2">
      <c r="A2827" s="11" t="str">
        <f>IF(INPUT!M2822="","",INPUT!M2822)</f>
        <v/>
      </c>
      <c r="B2827" s="11" t="str">
        <f>IF(INPUT!M2822="","",INPUT!M2822-WEEKDAY(INPUT!M2822,2)+1)</f>
        <v/>
      </c>
      <c r="C2827" s="20">
        <f>IFERROR(_xlfn.ISOWEEKNUM(INPUT!M2822),"")</f>
        <v>52</v>
      </c>
      <c r="D2827" s="20">
        <f>IFERROR(YEAR(INPUT!M2822),"")</f>
        <v>1900</v>
      </c>
      <c r="E2827" t="str">
        <f>IF(INPUT!O2822="","",INPUT!O2822)</f>
        <v/>
      </c>
      <c r="F2827" t="str">
        <f>IF(INPUT!N2822="","",INPUT!N2822)</f>
        <v/>
      </c>
      <c r="G2827" cm="1">
        <f t="array" ref="G2827">IFERROR(VLOOKUP(INPUT!M2822&amp;INPUT!N2822,CHOOSE({1,2},INPUT!$A$3:$A$5000&amp;INPUT!$C$3:$C$5000,INPUT!$F$3:$F$5000),2,FALSE),"")</f>
        <v>0</v>
      </c>
      <c r="H2827" cm="1">
        <f t="array" ref="H2827">IFERROR(VLOOKUP(INPUT!M2822&amp;INPUT!N2822,CHOOSE({1,2},INPUT!$A$3:$A$5000&amp;INPUT!$C$3:$C$5000,INPUT!$D$3:$D$5000),2,FALSE),"")</f>
        <v>0</v>
      </c>
      <c r="I2827" s="46" t="str">
        <f>IF(INPUT!P2822="","",INPUT!P2822)</f>
        <v/>
      </c>
      <c r="J2827" s="46" t="str">
        <f>IF(INPUT!Q2822="","",INPUT!Q2822)</f>
        <v/>
      </c>
      <c r="K2827" s="46" t="str">
        <f>IFERROR(IF(OR(INPUT!P2822="",INPUT!Q2822=""),"",INPUT!P2822-INPUT!Q2822),"")</f>
        <v/>
      </c>
      <c r="L2827" s="48" t="str">
        <f>IFERROR(IF(OR(INPUT!P2822="",INPUT!Q2822="",INPUT!P2822=0),"",(INPUT!P2822-INPUT!Q2822)/INPUT!P2822),"")</f>
        <v/>
      </c>
    </row>
    <row r="2828" spans="1:12" ht="18" hidden="1" customHeight="1" x14ac:dyDescent="0.2">
      <c r="A2828" s="11" t="str">
        <f>IF(INPUT!M2823="","",INPUT!M2823)</f>
        <v/>
      </c>
      <c r="B2828" s="11" t="str">
        <f>IF(INPUT!M2823="","",INPUT!M2823-WEEKDAY(INPUT!M2823,2)+1)</f>
        <v/>
      </c>
      <c r="C2828" s="20">
        <f>IFERROR(_xlfn.ISOWEEKNUM(INPUT!M2823),"")</f>
        <v>52</v>
      </c>
      <c r="D2828" s="20">
        <f>IFERROR(YEAR(INPUT!M2823),"")</f>
        <v>1900</v>
      </c>
      <c r="E2828" t="str">
        <f>IF(INPUT!O2823="","",INPUT!O2823)</f>
        <v/>
      </c>
      <c r="F2828" t="str">
        <f>IF(INPUT!N2823="","",INPUT!N2823)</f>
        <v/>
      </c>
      <c r="G2828" cm="1">
        <f t="array" ref="G2828">IFERROR(VLOOKUP(INPUT!M2823&amp;INPUT!N2823,CHOOSE({1,2},INPUT!$A$3:$A$5000&amp;INPUT!$C$3:$C$5000,INPUT!$F$3:$F$5000),2,FALSE),"")</f>
        <v>0</v>
      </c>
      <c r="H2828" cm="1">
        <f t="array" ref="H2828">IFERROR(VLOOKUP(INPUT!M2823&amp;INPUT!N2823,CHOOSE({1,2},INPUT!$A$3:$A$5000&amp;INPUT!$C$3:$C$5000,INPUT!$D$3:$D$5000),2,FALSE),"")</f>
        <v>0</v>
      </c>
      <c r="I2828" s="46" t="str">
        <f>IF(INPUT!P2823="","",INPUT!P2823)</f>
        <v/>
      </c>
      <c r="J2828" s="46" t="str">
        <f>IF(INPUT!Q2823="","",INPUT!Q2823)</f>
        <v/>
      </c>
      <c r="K2828" s="46" t="str">
        <f>IFERROR(IF(OR(INPUT!P2823="",INPUT!Q2823=""),"",INPUT!P2823-INPUT!Q2823),"")</f>
        <v/>
      </c>
      <c r="L2828" s="48" t="str">
        <f>IFERROR(IF(OR(INPUT!P2823="",INPUT!Q2823="",INPUT!P2823=0),"",(INPUT!P2823-INPUT!Q2823)/INPUT!P2823),"")</f>
        <v/>
      </c>
    </row>
    <row r="2829" spans="1:12" ht="18" hidden="1" customHeight="1" x14ac:dyDescent="0.2">
      <c r="A2829" s="11" t="str">
        <f>IF(INPUT!M2824="","",INPUT!M2824)</f>
        <v/>
      </c>
      <c r="B2829" s="11" t="str">
        <f>IF(INPUT!M2824="","",INPUT!M2824-WEEKDAY(INPUT!M2824,2)+1)</f>
        <v/>
      </c>
      <c r="C2829" s="20">
        <f>IFERROR(_xlfn.ISOWEEKNUM(INPUT!M2824),"")</f>
        <v>52</v>
      </c>
      <c r="D2829" s="20">
        <f>IFERROR(YEAR(INPUT!M2824),"")</f>
        <v>1900</v>
      </c>
      <c r="E2829" t="str">
        <f>IF(INPUT!O2824="","",INPUT!O2824)</f>
        <v/>
      </c>
      <c r="F2829" t="str">
        <f>IF(INPUT!N2824="","",INPUT!N2824)</f>
        <v/>
      </c>
      <c r="G2829" cm="1">
        <f t="array" ref="G2829">IFERROR(VLOOKUP(INPUT!M2824&amp;INPUT!N2824,CHOOSE({1,2},INPUT!$A$3:$A$5000&amp;INPUT!$C$3:$C$5000,INPUT!$F$3:$F$5000),2,FALSE),"")</f>
        <v>0</v>
      </c>
      <c r="H2829" cm="1">
        <f t="array" ref="H2829">IFERROR(VLOOKUP(INPUT!M2824&amp;INPUT!N2824,CHOOSE({1,2},INPUT!$A$3:$A$5000&amp;INPUT!$C$3:$C$5000,INPUT!$D$3:$D$5000),2,FALSE),"")</f>
        <v>0</v>
      </c>
      <c r="I2829" s="46" t="str">
        <f>IF(INPUT!P2824="","",INPUT!P2824)</f>
        <v/>
      </c>
      <c r="J2829" s="46" t="str">
        <f>IF(INPUT!Q2824="","",INPUT!Q2824)</f>
        <v/>
      </c>
      <c r="K2829" s="46" t="str">
        <f>IFERROR(IF(OR(INPUT!P2824="",INPUT!Q2824=""),"",INPUT!P2824-INPUT!Q2824),"")</f>
        <v/>
      </c>
      <c r="L2829" s="48" t="str">
        <f>IFERROR(IF(OR(INPUT!P2824="",INPUT!Q2824="",INPUT!P2824=0),"",(INPUT!P2824-INPUT!Q2824)/INPUT!P2824),"")</f>
        <v/>
      </c>
    </row>
    <row r="2830" spans="1:12" ht="18" hidden="1" customHeight="1" x14ac:dyDescent="0.2">
      <c r="A2830" s="11" t="str">
        <f>IF(INPUT!M2825="","",INPUT!M2825)</f>
        <v/>
      </c>
      <c r="B2830" s="11" t="str">
        <f>IF(INPUT!M2825="","",INPUT!M2825-WEEKDAY(INPUT!M2825,2)+1)</f>
        <v/>
      </c>
      <c r="C2830" s="20">
        <f>IFERROR(_xlfn.ISOWEEKNUM(INPUT!M2825),"")</f>
        <v>52</v>
      </c>
      <c r="D2830" s="20">
        <f>IFERROR(YEAR(INPUT!M2825),"")</f>
        <v>1900</v>
      </c>
      <c r="E2830" t="str">
        <f>IF(INPUT!O2825="","",INPUT!O2825)</f>
        <v/>
      </c>
      <c r="F2830" t="str">
        <f>IF(INPUT!N2825="","",INPUT!N2825)</f>
        <v/>
      </c>
      <c r="G2830" cm="1">
        <f t="array" ref="G2830">IFERROR(VLOOKUP(INPUT!M2825&amp;INPUT!N2825,CHOOSE({1,2},INPUT!$A$3:$A$5000&amp;INPUT!$C$3:$C$5000,INPUT!$F$3:$F$5000),2,FALSE),"")</f>
        <v>0</v>
      </c>
      <c r="H2830" cm="1">
        <f t="array" ref="H2830">IFERROR(VLOOKUP(INPUT!M2825&amp;INPUT!N2825,CHOOSE({1,2},INPUT!$A$3:$A$5000&amp;INPUT!$C$3:$C$5000,INPUT!$D$3:$D$5000),2,FALSE),"")</f>
        <v>0</v>
      </c>
      <c r="I2830" s="46" t="str">
        <f>IF(INPUT!P2825="","",INPUT!P2825)</f>
        <v/>
      </c>
      <c r="J2830" s="46" t="str">
        <f>IF(INPUT!Q2825="","",INPUT!Q2825)</f>
        <v/>
      </c>
      <c r="K2830" s="46" t="str">
        <f>IFERROR(IF(OR(INPUT!P2825="",INPUT!Q2825=""),"",INPUT!P2825-INPUT!Q2825),"")</f>
        <v/>
      </c>
      <c r="L2830" s="48" t="str">
        <f>IFERROR(IF(OR(INPUT!P2825="",INPUT!Q2825="",INPUT!P2825=0),"",(INPUT!P2825-INPUT!Q2825)/INPUT!P2825),"")</f>
        <v/>
      </c>
    </row>
    <row r="2831" spans="1:12" ht="18" hidden="1" customHeight="1" x14ac:dyDescent="0.2">
      <c r="A2831" s="11" t="str">
        <f>IF(INPUT!M2826="","",INPUT!M2826)</f>
        <v/>
      </c>
      <c r="B2831" s="11" t="str">
        <f>IF(INPUT!M2826="","",INPUT!M2826-WEEKDAY(INPUT!M2826,2)+1)</f>
        <v/>
      </c>
      <c r="C2831" s="20">
        <f>IFERROR(_xlfn.ISOWEEKNUM(INPUT!M2826),"")</f>
        <v>52</v>
      </c>
      <c r="D2831" s="20">
        <f>IFERROR(YEAR(INPUT!M2826),"")</f>
        <v>1900</v>
      </c>
      <c r="E2831" t="str">
        <f>IF(INPUT!O2826="","",INPUT!O2826)</f>
        <v/>
      </c>
      <c r="F2831" t="str">
        <f>IF(INPUT!N2826="","",INPUT!N2826)</f>
        <v/>
      </c>
      <c r="G2831" cm="1">
        <f t="array" ref="G2831">IFERROR(VLOOKUP(INPUT!M2826&amp;INPUT!N2826,CHOOSE({1,2},INPUT!$A$3:$A$5000&amp;INPUT!$C$3:$C$5000,INPUT!$F$3:$F$5000),2,FALSE),"")</f>
        <v>0</v>
      </c>
      <c r="H2831" cm="1">
        <f t="array" ref="H2831">IFERROR(VLOOKUP(INPUT!M2826&amp;INPUT!N2826,CHOOSE({1,2},INPUT!$A$3:$A$5000&amp;INPUT!$C$3:$C$5000,INPUT!$D$3:$D$5000),2,FALSE),"")</f>
        <v>0</v>
      </c>
      <c r="I2831" s="46" t="str">
        <f>IF(INPUT!P2826="","",INPUT!P2826)</f>
        <v/>
      </c>
      <c r="J2831" s="46" t="str">
        <f>IF(INPUT!Q2826="","",INPUT!Q2826)</f>
        <v/>
      </c>
      <c r="K2831" s="46" t="str">
        <f>IFERROR(IF(OR(INPUT!P2826="",INPUT!Q2826=""),"",INPUT!P2826-INPUT!Q2826),"")</f>
        <v/>
      </c>
      <c r="L2831" s="48" t="str">
        <f>IFERROR(IF(OR(INPUT!P2826="",INPUT!Q2826="",INPUT!P2826=0),"",(INPUT!P2826-INPUT!Q2826)/INPUT!P2826),"")</f>
        <v/>
      </c>
    </row>
    <row r="2832" spans="1:12" ht="18" hidden="1" customHeight="1" x14ac:dyDescent="0.2">
      <c r="A2832" s="11" t="str">
        <f>IF(INPUT!M2827="","",INPUT!M2827)</f>
        <v/>
      </c>
      <c r="B2832" s="11" t="str">
        <f>IF(INPUT!M2827="","",INPUT!M2827-WEEKDAY(INPUT!M2827,2)+1)</f>
        <v/>
      </c>
      <c r="C2832" s="20">
        <f>IFERROR(_xlfn.ISOWEEKNUM(INPUT!M2827),"")</f>
        <v>52</v>
      </c>
      <c r="D2832" s="20">
        <f>IFERROR(YEAR(INPUT!M2827),"")</f>
        <v>1900</v>
      </c>
      <c r="E2832" t="str">
        <f>IF(INPUT!O2827="","",INPUT!O2827)</f>
        <v/>
      </c>
      <c r="F2832" t="str">
        <f>IF(INPUT!N2827="","",INPUT!N2827)</f>
        <v/>
      </c>
      <c r="G2832" cm="1">
        <f t="array" ref="G2832">IFERROR(VLOOKUP(INPUT!M2827&amp;INPUT!N2827,CHOOSE({1,2},INPUT!$A$3:$A$5000&amp;INPUT!$C$3:$C$5000,INPUT!$F$3:$F$5000),2,FALSE),"")</f>
        <v>0</v>
      </c>
      <c r="H2832" cm="1">
        <f t="array" ref="H2832">IFERROR(VLOOKUP(INPUT!M2827&amp;INPUT!N2827,CHOOSE({1,2},INPUT!$A$3:$A$5000&amp;INPUT!$C$3:$C$5000,INPUT!$D$3:$D$5000),2,FALSE),"")</f>
        <v>0</v>
      </c>
      <c r="I2832" s="46" t="str">
        <f>IF(INPUT!P2827="","",INPUT!P2827)</f>
        <v/>
      </c>
      <c r="J2832" s="46" t="str">
        <f>IF(INPUT!Q2827="","",INPUT!Q2827)</f>
        <v/>
      </c>
      <c r="K2832" s="46" t="str">
        <f>IFERROR(IF(OR(INPUT!P2827="",INPUT!Q2827=""),"",INPUT!P2827-INPUT!Q2827),"")</f>
        <v/>
      </c>
      <c r="L2832" s="48" t="str">
        <f>IFERROR(IF(OR(INPUT!P2827="",INPUT!Q2827="",INPUT!P2827=0),"",(INPUT!P2827-INPUT!Q2827)/INPUT!P2827),"")</f>
        <v/>
      </c>
    </row>
    <row r="2833" spans="1:12" ht="18" hidden="1" customHeight="1" x14ac:dyDescent="0.2">
      <c r="A2833" s="11" t="str">
        <f>IF(INPUT!M2828="","",INPUT!M2828)</f>
        <v/>
      </c>
      <c r="B2833" s="11" t="str">
        <f>IF(INPUT!M2828="","",INPUT!M2828-WEEKDAY(INPUT!M2828,2)+1)</f>
        <v/>
      </c>
      <c r="C2833" s="20">
        <f>IFERROR(_xlfn.ISOWEEKNUM(INPUT!M2828),"")</f>
        <v>52</v>
      </c>
      <c r="D2833" s="20">
        <f>IFERROR(YEAR(INPUT!M2828),"")</f>
        <v>1900</v>
      </c>
      <c r="E2833" t="str">
        <f>IF(INPUT!O2828="","",INPUT!O2828)</f>
        <v/>
      </c>
      <c r="F2833" t="str">
        <f>IF(INPUT!N2828="","",INPUT!N2828)</f>
        <v/>
      </c>
      <c r="G2833" cm="1">
        <f t="array" ref="G2833">IFERROR(VLOOKUP(INPUT!M2828&amp;INPUT!N2828,CHOOSE({1,2},INPUT!$A$3:$A$5000&amp;INPUT!$C$3:$C$5000,INPUT!$F$3:$F$5000),2,FALSE),"")</f>
        <v>0</v>
      </c>
      <c r="H2833" cm="1">
        <f t="array" ref="H2833">IFERROR(VLOOKUP(INPUT!M2828&amp;INPUT!N2828,CHOOSE({1,2},INPUT!$A$3:$A$5000&amp;INPUT!$C$3:$C$5000,INPUT!$D$3:$D$5000),2,FALSE),"")</f>
        <v>0</v>
      </c>
      <c r="I2833" s="46" t="str">
        <f>IF(INPUT!P2828="","",INPUT!P2828)</f>
        <v/>
      </c>
      <c r="J2833" s="46" t="str">
        <f>IF(INPUT!Q2828="","",INPUT!Q2828)</f>
        <v/>
      </c>
      <c r="K2833" s="46" t="str">
        <f>IFERROR(IF(OR(INPUT!P2828="",INPUT!Q2828=""),"",INPUT!P2828-INPUT!Q2828),"")</f>
        <v/>
      </c>
      <c r="L2833" s="48" t="str">
        <f>IFERROR(IF(OR(INPUT!P2828="",INPUT!Q2828="",INPUT!P2828=0),"",(INPUT!P2828-INPUT!Q2828)/INPUT!P2828),"")</f>
        <v/>
      </c>
    </row>
    <row r="2834" spans="1:12" ht="18" hidden="1" customHeight="1" x14ac:dyDescent="0.2">
      <c r="A2834" s="11" t="str">
        <f>IF(INPUT!M2829="","",INPUT!M2829)</f>
        <v/>
      </c>
      <c r="B2834" s="11" t="str">
        <f>IF(INPUT!M2829="","",INPUT!M2829-WEEKDAY(INPUT!M2829,2)+1)</f>
        <v/>
      </c>
      <c r="C2834" s="20">
        <f>IFERROR(_xlfn.ISOWEEKNUM(INPUT!M2829),"")</f>
        <v>52</v>
      </c>
      <c r="D2834" s="20">
        <f>IFERROR(YEAR(INPUT!M2829),"")</f>
        <v>1900</v>
      </c>
      <c r="E2834" t="str">
        <f>IF(INPUT!O2829="","",INPUT!O2829)</f>
        <v/>
      </c>
      <c r="F2834" t="str">
        <f>IF(INPUT!N2829="","",INPUT!N2829)</f>
        <v/>
      </c>
      <c r="G2834" cm="1">
        <f t="array" ref="G2834">IFERROR(VLOOKUP(INPUT!M2829&amp;INPUT!N2829,CHOOSE({1,2},INPUT!$A$3:$A$5000&amp;INPUT!$C$3:$C$5000,INPUT!$F$3:$F$5000),2,FALSE),"")</f>
        <v>0</v>
      </c>
      <c r="H2834" cm="1">
        <f t="array" ref="H2834">IFERROR(VLOOKUP(INPUT!M2829&amp;INPUT!N2829,CHOOSE({1,2},INPUT!$A$3:$A$5000&amp;INPUT!$C$3:$C$5000,INPUT!$D$3:$D$5000),2,FALSE),"")</f>
        <v>0</v>
      </c>
      <c r="I2834" s="46" t="str">
        <f>IF(INPUT!P2829="","",INPUT!P2829)</f>
        <v/>
      </c>
      <c r="J2834" s="46" t="str">
        <f>IF(INPUT!Q2829="","",INPUT!Q2829)</f>
        <v/>
      </c>
      <c r="K2834" s="46" t="str">
        <f>IFERROR(IF(OR(INPUT!P2829="",INPUT!Q2829=""),"",INPUT!P2829-INPUT!Q2829),"")</f>
        <v/>
      </c>
      <c r="L2834" s="48" t="str">
        <f>IFERROR(IF(OR(INPUT!P2829="",INPUT!Q2829="",INPUT!P2829=0),"",(INPUT!P2829-INPUT!Q2829)/INPUT!P2829),"")</f>
        <v/>
      </c>
    </row>
    <row r="2835" spans="1:12" ht="18" hidden="1" customHeight="1" x14ac:dyDescent="0.2">
      <c r="A2835" s="11" t="str">
        <f>IF(INPUT!M2830="","",INPUT!M2830)</f>
        <v/>
      </c>
      <c r="B2835" s="11" t="str">
        <f>IF(INPUT!M2830="","",INPUT!M2830-WEEKDAY(INPUT!M2830,2)+1)</f>
        <v/>
      </c>
      <c r="C2835" s="20">
        <f>IFERROR(_xlfn.ISOWEEKNUM(INPUT!M2830),"")</f>
        <v>52</v>
      </c>
      <c r="D2835" s="20">
        <f>IFERROR(YEAR(INPUT!M2830),"")</f>
        <v>1900</v>
      </c>
      <c r="E2835" t="str">
        <f>IF(INPUT!O2830="","",INPUT!O2830)</f>
        <v/>
      </c>
      <c r="F2835" t="str">
        <f>IF(INPUT!N2830="","",INPUT!N2830)</f>
        <v/>
      </c>
      <c r="G2835" cm="1">
        <f t="array" ref="G2835">IFERROR(VLOOKUP(INPUT!M2830&amp;INPUT!N2830,CHOOSE({1,2},INPUT!$A$3:$A$5000&amp;INPUT!$C$3:$C$5000,INPUT!$F$3:$F$5000),2,FALSE),"")</f>
        <v>0</v>
      </c>
      <c r="H2835" cm="1">
        <f t="array" ref="H2835">IFERROR(VLOOKUP(INPUT!M2830&amp;INPUT!N2830,CHOOSE({1,2},INPUT!$A$3:$A$5000&amp;INPUT!$C$3:$C$5000,INPUT!$D$3:$D$5000),2,FALSE),"")</f>
        <v>0</v>
      </c>
      <c r="I2835" s="46" t="str">
        <f>IF(INPUT!P2830="","",INPUT!P2830)</f>
        <v/>
      </c>
      <c r="J2835" s="46" t="str">
        <f>IF(INPUT!Q2830="","",INPUT!Q2830)</f>
        <v/>
      </c>
      <c r="K2835" s="46" t="str">
        <f>IFERROR(IF(OR(INPUT!P2830="",INPUT!Q2830=""),"",INPUT!P2830-INPUT!Q2830),"")</f>
        <v/>
      </c>
      <c r="L2835" s="48" t="str">
        <f>IFERROR(IF(OR(INPUT!P2830="",INPUT!Q2830="",INPUT!P2830=0),"",(INPUT!P2830-INPUT!Q2830)/INPUT!P2830),"")</f>
        <v/>
      </c>
    </row>
    <row r="2836" spans="1:12" ht="18" hidden="1" customHeight="1" x14ac:dyDescent="0.2">
      <c r="A2836" s="11" t="str">
        <f>IF(INPUT!M2831="","",INPUT!M2831)</f>
        <v/>
      </c>
      <c r="B2836" s="11" t="str">
        <f>IF(INPUT!M2831="","",INPUT!M2831-WEEKDAY(INPUT!M2831,2)+1)</f>
        <v/>
      </c>
      <c r="C2836" s="20">
        <f>IFERROR(_xlfn.ISOWEEKNUM(INPUT!M2831),"")</f>
        <v>52</v>
      </c>
      <c r="D2836" s="20">
        <f>IFERROR(YEAR(INPUT!M2831),"")</f>
        <v>1900</v>
      </c>
      <c r="E2836" t="str">
        <f>IF(INPUT!O2831="","",INPUT!O2831)</f>
        <v/>
      </c>
      <c r="F2836" t="str">
        <f>IF(INPUT!N2831="","",INPUT!N2831)</f>
        <v/>
      </c>
      <c r="G2836" cm="1">
        <f t="array" ref="G2836">IFERROR(VLOOKUP(INPUT!M2831&amp;INPUT!N2831,CHOOSE({1,2},INPUT!$A$3:$A$5000&amp;INPUT!$C$3:$C$5000,INPUT!$F$3:$F$5000),2,FALSE),"")</f>
        <v>0</v>
      </c>
      <c r="H2836" cm="1">
        <f t="array" ref="H2836">IFERROR(VLOOKUP(INPUT!M2831&amp;INPUT!N2831,CHOOSE({1,2},INPUT!$A$3:$A$5000&amp;INPUT!$C$3:$C$5000,INPUT!$D$3:$D$5000),2,FALSE),"")</f>
        <v>0</v>
      </c>
      <c r="I2836" s="46" t="str">
        <f>IF(INPUT!P2831="","",INPUT!P2831)</f>
        <v/>
      </c>
      <c r="J2836" s="46" t="str">
        <f>IF(INPUT!Q2831="","",INPUT!Q2831)</f>
        <v/>
      </c>
      <c r="K2836" s="46" t="str">
        <f>IFERROR(IF(OR(INPUT!P2831="",INPUT!Q2831=""),"",INPUT!P2831-INPUT!Q2831),"")</f>
        <v/>
      </c>
      <c r="L2836" s="48" t="str">
        <f>IFERROR(IF(OR(INPUT!P2831="",INPUT!Q2831="",INPUT!P2831=0),"",(INPUT!P2831-INPUT!Q2831)/INPUT!P2831),"")</f>
        <v/>
      </c>
    </row>
    <row r="2837" spans="1:12" ht="18" hidden="1" customHeight="1" x14ac:dyDescent="0.2">
      <c r="A2837" s="11" t="str">
        <f>IF(INPUT!M2832="","",INPUT!M2832)</f>
        <v/>
      </c>
      <c r="B2837" s="11" t="str">
        <f>IF(INPUT!M2832="","",INPUT!M2832-WEEKDAY(INPUT!M2832,2)+1)</f>
        <v/>
      </c>
      <c r="C2837" s="20">
        <f>IFERROR(_xlfn.ISOWEEKNUM(INPUT!M2832),"")</f>
        <v>52</v>
      </c>
      <c r="D2837" s="20">
        <f>IFERROR(YEAR(INPUT!M2832),"")</f>
        <v>1900</v>
      </c>
      <c r="E2837" t="str">
        <f>IF(INPUT!O2832="","",INPUT!O2832)</f>
        <v/>
      </c>
      <c r="F2837" t="str">
        <f>IF(INPUT!N2832="","",INPUT!N2832)</f>
        <v/>
      </c>
      <c r="G2837" cm="1">
        <f t="array" ref="G2837">IFERROR(VLOOKUP(INPUT!M2832&amp;INPUT!N2832,CHOOSE({1,2},INPUT!$A$3:$A$5000&amp;INPUT!$C$3:$C$5000,INPUT!$F$3:$F$5000),2,FALSE),"")</f>
        <v>0</v>
      </c>
      <c r="H2837" cm="1">
        <f t="array" ref="H2837">IFERROR(VLOOKUP(INPUT!M2832&amp;INPUT!N2832,CHOOSE({1,2},INPUT!$A$3:$A$5000&amp;INPUT!$C$3:$C$5000,INPUT!$D$3:$D$5000),2,FALSE),"")</f>
        <v>0</v>
      </c>
      <c r="I2837" s="46" t="str">
        <f>IF(INPUT!P2832="","",INPUT!P2832)</f>
        <v/>
      </c>
      <c r="J2837" s="46" t="str">
        <f>IF(INPUT!Q2832="","",INPUT!Q2832)</f>
        <v/>
      </c>
      <c r="K2837" s="46" t="str">
        <f>IFERROR(IF(OR(INPUT!P2832="",INPUT!Q2832=""),"",INPUT!P2832-INPUT!Q2832),"")</f>
        <v/>
      </c>
      <c r="L2837" s="48" t="str">
        <f>IFERROR(IF(OR(INPUT!P2832="",INPUT!Q2832="",INPUT!P2832=0),"",(INPUT!P2832-INPUT!Q2832)/INPUT!P2832),"")</f>
        <v/>
      </c>
    </row>
    <row r="2838" spans="1:12" ht="18" hidden="1" customHeight="1" x14ac:dyDescent="0.2">
      <c r="A2838" s="11" t="str">
        <f>IF(INPUT!M2833="","",INPUT!M2833)</f>
        <v/>
      </c>
      <c r="B2838" s="11" t="str">
        <f>IF(INPUT!M2833="","",INPUT!M2833-WEEKDAY(INPUT!M2833,2)+1)</f>
        <v/>
      </c>
      <c r="C2838" s="20">
        <f>IFERROR(_xlfn.ISOWEEKNUM(INPUT!M2833),"")</f>
        <v>52</v>
      </c>
      <c r="D2838" s="20">
        <f>IFERROR(YEAR(INPUT!M2833),"")</f>
        <v>1900</v>
      </c>
      <c r="E2838" t="str">
        <f>IF(INPUT!O2833="","",INPUT!O2833)</f>
        <v/>
      </c>
      <c r="F2838" t="str">
        <f>IF(INPUT!N2833="","",INPUT!N2833)</f>
        <v/>
      </c>
      <c r="G2838" cm="1">
        <f t="array" ref="G2838">IFERROR(VLOOKUP(INPUT!M2833&amp;INPUT!N2833,CHOOSE({1,2},INPUT!$A$3:$A$5000&amp;INPUT!$C$3:$C$5000,INPUT!$F$3:$F$5000),2,FALSE),"")</f>
        <v>0</v>
      </c>
      <c r="H2838" cm="1">
        <f t="array" ref="H2838">IFERROR(VLOOKUP(INPUT!M2833&amp;INPUT!N2833,CHOOSE({1,2},INPUT!$A$3:$A$5000&amp;INPUT!$C$3:$C$5000,INPUT!$D$3:$D$5000),2,FALSE),"")</f>
        <v>0</v>
      </c>
      <c r="I2838" s="46" t="str">
        <f>IF(INPUT!P2833="","",INPUT!P2833)</f>
        <v/>
      </c>
      <c r="J2838" s="46" t="str">
        <f>IF(INPUT!Q2833="","",INPUT!Q2833)</f>
        <v/>
      </c>
      <c r="K2838" s="46" t="str">
        <f>IFERROR(IF(OR(INPUT!P2833="",INPUT!Q2833=""),"",INPUT!P2833-INPUT!Q2833),"")</f>
        <v/>
      </c>
      <c r="L2838" s="48" t="str">
        <f>IFERROR(IF(OR(INPUT!P2833="",INPUT!Q2833="",INPUT!P2833=0),"",(INPUT!P2833-INPUT!Q2833)/INPUT!P2833),"")</f>
        <v/>
      </c>
    </row>
    <row r="2839" spans="1:12" ht="18" hidden="1" customHeight="1" x14ac:dyDescent="0.2">
      <c r="A2839" s="11" t="str">
        <f>IF(INPUT!M2834="","",INPUT!M2834)</f>
        <v/>
      </c>
      <c r="B2839" s="11" t="str">
        <f>IF(INPUT!M2834="","",INPUT!M2834-WEEKDAY(INPUT!M2834,2)+1)</f>
        <v/>
      </c>
      <c r="C2839" s="20">
        <f>IFERROR(_xlfn.ISOWEEKNUM(INPUT!M2834),"")</f>
        <v>52</v>
      </c>
      <c r="D2839" s="20">
        <f>IFERROR(YEAR(INPUT!M2834),"")</f>
        <v>1900</v>
      </c>
      <c r="E2839" t="str">
        <f>IF(INPUT!O2834="","",INPUT!O2834)</f>
        <v/>
      </c>
      <c r="F2839" t="str">
        <f>IF(INPUT!N2834="","",INPUT!N2834)</f>
        <v/>
      </c>
      <c r="G2839" cm="1">
        <f t="array" ref="G2839">IFERROR(VLOOKUP(INPUT!M2834&amp;INPUT!N2834,CHOOSE({1,2},INPUT!$A$3:$A$5000&amp;INPUT!$C$3:$C$5000,INPUT!$F$3:$F$5000),2,FALSE),"")</f>
        <v>0</v>
      </c>
      <c r="H2839" cm="1">
        <f t="array" ref="H2839">IFERROR(VLOOKUP(INPUT!M2834&amp;INPUT!N2834,CHOOSE({1,2},INPUT!$A$3:$A$5000&amp;INPUT!$C$3:$C$5000,INPUT!$D$3:$D$5000),2,FALSE),"")</f>
        <v>0</v>
      </c>
      <c r="I2839" s="46" t="str">
        <f>IF(INPUT!P2834="","",INPUT!P2834)</f>
        <v/>
      </c>
      <c r="J2839" s="46" t="str">
        <f>IF(INPUT!Q2834="","",INPUT!Q2834)</f>
        <v/>
      </c>
      <c r="K2839" s="46" t="str">
        <f>IFERROR(IF(OR(INPUT!P2834="",INPUT!Q2834=""),"",INPUT!P2834-INPUT!Q2834),"")</f>
        <v/>
      </c>
      <c r="L2839" s="48" t="str">
        <f>IFERROR(IF(OR(INPUT!P2834="",INPUT!Q2834="",INPUT!P2834=0),"",(INPUT!P2834-INPUT!Q2834)/INPUT!P2834),"")</f>
        <v/>
      </c>
    </row>
    <row r="2840" spans="1:12" ht="18" hidden="1" customHeight="1" x14ac:dyDescent="0.2">
      <c r="A2840" s="11" t="str">
        <f>IF(INPUT!M2835="","",INPUT!M2835)</f>
        <v/>
      </c>
      <c r="B2840" s="11" t="str">
        <f>IF(INPUT!M2835="","",INPUT!M2835-WEEKDAY(INPUT!M2835,2)+1)</f>
        <v/>
      </c>
      <c r="C2840" s="20">
        <f>IFERROR(_xlfn.ISOWEEKNUM(INPUT!M2835),"")</f>
        <v>52</v>
      </c>
      <c r="D2840" s="20">
        <f>IFERROR(YEAR(INPUT!M2835),"")</f>
        <v>1900</v>
      </c>
      <c r="E2840" t="str">
        <f>IF(INPUT!O2835="","",INPUT!O2835)</f>
        <v/>
      </c>
      <c r="F2840" t="str">
        <f>IF(INPUT!N2835="","",INPUT!N2835)</f>
        <v/>
      </c>
      <c r="G2840" cm="1">
        <f t="array" ref="G2840">IFERROR(VLOOKUP(INPUT!M2835&amp;INPUT!N2835,CHOOSE({1,2},INPUT!$A$3:$A$5000&amp;INPUT!$C$3:$C$5000,INPUT!$F$3:$F$5000),2,FALSE),"")</f>
        <v>0</v>
      </c>
      <c r="H2840" cm="1">
        <f t="array" ref="H2840">IFERROR(VLOOKUP(INPUT!M2835&amp;INPUT!N2835,CHOOSE({1,2},INPUT!$A$3:$A$5000&amp;INPUT!$C$3:$C$5000,INPUT!$D$3:$D$5000),2,FALSE),"")</f>
        <v>0</v>
      </c>
      <c r="I2840" s="46" t="str">
        <f>IF(INPUT!P2835="","",INPUT!P2835)</f>
        <v/>
      </c>
      <c r="J2840" s="46" t="str">
        <f>IF(INPUT!Q2835="","",INPUT!Q2835)</f>
        <v/>
      </c>
      <c r="K2840" s="46" t="str">
        <f>IFERROR(IF(OR(INPUT!P2835="",INPUT!Q2835=""),"",INPUT!P2835-INPUT!Q2835),"")</f>
        <v/>
      </c>
      <c r="L2840" s="48" t="str">
        <f>IFERROR(IF(OR(INPUT!P2835="",INPUT!Q2835="",INPUT!P2835=0),"",(INPUT!P2835-INPUT!Q2835)/INPUT!P2835),"")</f>
        <v/>
      </c>
    </row>
    <row r="2841" spans="1:12" ht="18" hidden="1" customHeight="1" x14ac:dyDescent="0.2">
      <c r="A2841" s="11" t="str">
        <f>IF(INPUT!M2836="","",INPUT!M2836)</f>
        <v/>
      </c>
      <c r="B2841" s="11" t="str">
        <f>IF(INPUT!M2836="","",INPUT!M2836-WEEKDAY(INPUT!M2836,2)+1)</f>
        <v/>
      </c>
      <c r="C2841" s="20">
        <f>IFERROR(_xlfn.ISOWEEKNUM(INPUT!M2836),"")</f>
        <v>52</v>
      </c>
      <c r="D2841" s="20">
        <f>IFERROR(YEAR(INPUT!M2836),"")</f>
        <v>1900</v>
      </c>
      <c r="E2841" t="str">
        <f>IF(INPUT!O2836="","",INPUT!O2836)</f>
        <v/>
      </c>
      <c r="F2841" t="str">
        <f>IF(INPUT!N2836="","",INPUT!N2836)</f>
        <v/>
      </c>
      <c r="G2841" cm="1">
        <f t="array" ref="G2841">IFERROR(VLOOKUP(INPUT!M2836&amp;INPUT!N2836,CHOOSE({1,2},INPUT!$A$3:$A$5000&amp;INPUT!$C$3:$C$5000,INPUT!$F$3:$F$5000),2,FALSE),"")</f>
        <v>0</v>
      </c>
      <c r="H2841" cm="1">
        <f t="array" ref="H2841">IFERROR(VLOOKUP(INPUT!M2836&amp;INPUT!N2836,CHOOSE({1,2},INPUT!$A$3:$A$5000&amp;INPUT!$C$3:$C$5000,INPUT!$D$3:$D$5000),2,FALSE),"")</f>
        <v>0</v>
      </c>
      <c r="I2841" s="46" t="str">
        <f>IF(INPUT!P2836="","",INPUT!P2836)</f>
        <v/>
      </c>
      <c r="J2841" s="46" t="str">
        <f>IF(INPUT!Q2836="","",INPUT!Q2836)</f>
        <v/>
      </c>
      <c r="K2841" s="46" t="str">
        <f>IFERROR(IF(OR(INPUT!P2836="",INPUT!Q2836=""),"",INPUT!P2836-INPUT!Q2836),"")</f>
        <v/>
      </c>
      <c r="L2841" s="48" t="str">
        <f>IFERROR(IF(OR(INPUT!P2836="",INPUT!Q2836="",INPUT!P2836=0),"",(INPUT!P2836-INPUT!Q2836)/INPUT!P2836),"")</f>
        <v/>
      </c>
    </row>
    <row r="2842" spans="1:12" ht="18" hidden="1" customHeight="1" x14ac:dyDescent="0.2">
      <c r="A2842" s="11" t="str">
        <f>IF(INPUT!M2837="","",INPUT!M2837)</f>
        <v/>
      </c>
      <c r="B2842" s="11" t="str">
        <f>IF(INPUT!M2837="","",INPUT!M2837-WEEKDAY(INPUT!M2837,2)+1)</f>
        <v/>
      </c>
      <c r="C2842" s="20">
        <f>IFERROR(_xlfn.ISOWEEKNUM(INPUT!M2837),"")</f>
        <v>52</v>
      </c>
      <c r="D2842" s="20">
        <f>IFERROR(YEAR(INPUT!M2837),"")</f>
        <v>1900</v>
      </c>
      <c r="E2842" t="str">
        <f>IF(INPUT!O2837="","",INPUT!O2837)</f>
        <v/>
      </c>
      <c r="F2842" t="str">
        <f>IF(INPUT!N2837="","",INPUT!N2837)</f>
        <v/>
      </c>
      <c r="G2842" cm="1">
        <f t="array" ref="G2842">IFERROR(VLOOKUP(INPUT!M2837&amp;INPUT!N2837,CHOOSE({1,2},INPUT!$A$3:$A$5000&amp;INPUT!$C$3:$C$5000,INPUT!$F$3:$F$5000),2,FALSE),"")</f>
        <v>0</v>
      </c>
      <c r="H2842" cm="1">
        <f t="array" ref="H2842">IFERROR(VLOOKUP(INPUT!M2837&amp;INPUT!N2837,CHOOSE({1,2},INPUT!$A$3:$A$5000&amp;INPUT!$C$3:$C$5000,INPUT!$D$3:$D$5000),2,FALSE),"")</f>
        <v>0</v>
      </c>
      <c r="I2842" s="46" t="str">
        <f>IF(INPUT!P2837="","",INPUT!P2837)</f>
        <v/>
      </c>
      <c r="J2842" s="46" t="str">
        <f>IF(INPUT!Q2837="","",INPUT!Q2837)</f>
        <v/>
      </c>
      <c r="K2842" s="46" t="str">
        <f>IFERROR(IF(OR(INPUT!P2837="",INPUT!Q2837=""),"",INPUT!P2837-INPUT!Q2837),"")</f>
        <v/>
      </c>
      <c r="L2842" s="48" t="str">
        <f>IFERROR(IF(OR(INPUT!P2837="",INPUT!Q2837="",INPUT!P2837=0),"",(INPUT!P2837-INPUT!Q2837)/INPUT!P2837),"")</f>
        <v/>
      </c>
    </row>
    <row r="2843" spans="1:12" ht="18" hidden="1" customHeight="1" x14ac:dyDescent="0.2">
      <c r="A2843" s="11" t="str">
        <f>IF(INPUT!M2838="","",INPUT!M2838)</f>
        <v/>
      </c>
      <c r="B2843" s="11" t="str">
        <f>IF(INPUT!M2838="","",INPUT!M2838-WEEKDAY(INPUT!M2838,2)+1)</f>
        <v/>
      </c>
      <c r="C2843" s="20">
        <f>IFERROR(_xlfn.ISOWEEKNUM(INPUT!M2838),"")</f>
        <v>52</v>
      </c>
      <c r="D2843" s="20">
        <f>IFERROR(YEAR(INPUT!M2838),"")</f>
        <v>1900</v>
      </c>
      <c r="E2843" t="str">
        <f>IF(INPUT!O2838="","",INPUT!O2838)</f>
        <v/>
      </c>
      <c r="F2843" t="str">
        <f>IF(INPUT!N2838="","",INPUT!N2838)</f>
        <v/>
      </c>
      <c r="G2843" cm="1">
        <f t="array" ref="G2843">IFERROR(VLOOKUP(INPUT!M2838&amp;INPUT!N2838,CHOOSE({1,2},INPUT!$A$3:$A$5000&amp;INPUT!$C$3:$C$5000,INPUT!$F$3:$F$5000),2,FALSE),"")</f>
        <v>0</v>
      </c>
      <c r="H2843" cm="1">
        <f t="array" ref="H2843">IFERROR(VLOOKUP(INPUT!M2838&amp;INPUT!N2838,CHOOSE({1,2},INPUT!$A$3:$A$5000&amp;INPUT!$C$3:$C$5000,INPUT!$D$3:$D$5000),2,FALSE),"")</f>
        <v>0</v>
      </c>
      <c r="I2843" s="46" t="str">
        <f>IF(INPUT!P2838="","",INPUT!P2838)</f>
        <v/>
      </c>
      <c r="J2843" s="46" t="str">
        <f>IF(INPUT!Q2838="","",INPUT!Q2838)</f>
        <v/>
      </c>
      <c r="K2843" s="46" t="str">
        <f>IFERROR(IF(OR(INPUT!P2838="",INPUT!Q2838=""),"",INPUT!P2838-INPUT!Q2838),"")</f>
        <v/>
      </c>
      <c r="L2843" s="48" t="str">
        <f>IFERROR(IF(OR(INPUT!P2838="",INPUT!Q2838="",INPUT!P2838=0),"",(INPUT!P2838-INPUT!Q2838)/INPUT!P2838),"")</f>
        <v/>
      </c>
    </row>
    <row r="2844" spans="1:12" ht="18" hidden="1" customHeight="1" x14ac:dyDescent="0.2">
      <c r="A2844" s="11" t="str">
        <f>IF(INPUT!M2839="","",INPUT!M2839)</f>
        <v/>
      </c>
      <c r="B2844" s="11" t="str">
        <f>IF(INPUT!M2839="","",INPUT!M2839-WEEKDAY(INPUT!M2839,2)+1)</f>
        <v/>
      </c>
      <c r="C2844" s="20">
        <f>IFERROR(_xlfn.ISOWEEKNUM(INPUT!M2839),"")</f>
        <v>52</v>
      </c>
      <c r="D2844" s="20">
        <f>IFERROR(YEAR(INPUT!M2839),"")</f>
        <v>1900</v>
      </c>
      <c r="E2844" t="str">
        <f>IF(INPUT!O2839="","",INPUT!O2839)</f>
        <v/>
      </c>
      <c r="F2844" t="str">
        <f>IF(INPUT!N2839="","",INPUT!N2839)</f>
        <v/>
      </c>
      <c r="G2844" cm="1">
        <f t="array" ref="G2844">IFERROR(VLOOKUP(INPUT!M2839&amp;INPUT!N2839,CHOOSE({1,2},INPUT!$A$3:$A$5000&amp;INPUT!$C$3:$C$5000,INPUT!$F$3:$F$5000),2,FALSE),"")</f>
        <v>0</v>
      </c>
      <c r="H2844" cm="1">
        <f t="array" ref="H2844">IFERROR(VLOOKUP(INPUT!M2839&amp;INPUT!N2839,CHOOSE({1,2},INPUT!$A$3:$A$5000&amp;INPUT!$C$3:$C$5000,INPUT!$D$3:$D$5000),2,FALSE),"")</f>
        <v>0</v>
      </c>
      <c r="I2844" s="46" t="str">
        <f>IF(INPUT!P2839="","",INPUT!P2839)</f>
        <v/>
      </c>
      <c r="J2844" s="46" t="str">
        <f>IF(INPUT!Q2839="","",INPUT!Q2839)</f>
        <v/>
      </c>
      <c r="K2844" s="46" t="str">
        <f>IFERROR(IF(OR(INPUT!P2839="",INPUT!Q2839=""),"",INPUT!P2839-INPUT!Q2839),"")</f>
        <v/>
      </c>
      <c r="L2844" s="48" t="str">
        <f>IFERROR(IF(OR(INPUT!P2839="",INPUT!Q2839="",INPUT!P2839=0),"",(INPUT!P2839-INPUT!Q2839)/INPUT!P2839),"")</f>
        <v/>
      </c>
    </row>
    <row r="2845" spans="1:12" ht="18" hidden="1" customHeight="1" x14ac:dyDescent="0.2">
      <c r="A2845" s="11" t="str">
        <f>IF(INPUT!M2840="","",INPUT!M2840)</f>
        <v/>
      </c>
      <c r="B2845" s="11" t="str">
        <f>IF(INPUT!M2840="","",INPUT!M2840-WEEKDAY(INPUT!M2840,2)+1)</f>
        <v/>
      </c>
      <c r="C2845" s="20">
        <f>IFERROR(_xlfn.ISOWEEKNUM(INPUT!M2840),"")</f>
        <v>52</v>
      </c>
      <c r="D2845" s="20">
        <f>IFERROR(YEAR(INPUT!M2840),"")</f>
        <v>1900</v>
      </c>
      <c r="E2845" t="str">
        <f>IF(INPUT!O2840="","",INPUT!O2840)</f>
        <v/>
      </c>
      <c r="F2845" t="str">
        <f>IF(INPUT!N2840="","",INPUT!N2840)</f>
        <v/>
      </c>
      <c r="G2845" cm="1">
        <f t="array" ref="G2845">IFERROR(VLOOKUP(INPUT!M2840&amp;INPUT!N2840,CHOOSE({1,2},INPUT!$A$3:$A$5000&amp;INPUT!$C$3:$C$5000,INPUT!$F$3:$F$5000),2,FALSE),"")</f>
        <v>0</v>
      </c>
      <c r="H2845" cm="1">
        <f t="array" ref="H2845">IFERROR(VLOOKUP(INPUT!M2840&amp;INPUT!N2840,CHOOSE({1,2},INPUT!$A$3:$A$5000&amp;INPUT!$C$3:$C$5000,INPUT!$D$3:$D$5000),2,FALSE),"")</f>
        <v>0</v>
      </c>
      <c r="I2845" s="46" t="str">
        <f>IF(INPUT!P2840="","",INPUT!P2840)</f>
        <v/>
      </c>
      <c r="J2845" s="46" t="str">
        <f>IF(INPUT!Q2840="","",INPUT!Q2840)</f>
        <v/>
      </c>
      <c r="K2845" s="46" t="str">
        <f>IFERROR(IF(OR(INPUT!P2840="",INPUT!Q2840=""),"",INPUT!P2840-INPUT!Q2840),"")</f>
        <v/>
      </c>
      <c r="L2845" s="48" t="str">
        <f>IFERROR(IF(OR(INPUT!P2840="",INPUT!Q2840="",INPUT!P2840=0),"",(INPUT!P2840-INPUT!Q2840)/INPUT!P2840),"")</f>
        <v/>
      </c>
    </row>
    <row r="2846" spans="1:12" ht="18" hidden="1" customHeight="1" x14ac:dyDescent="0.2">
      <c r="A2846" s="11" t="str">
        <f>IF(INPUT!M2841="","",INPUT!M2841)</f>
        <v/>
      </c>
      <c r="B2846" s="11" t="str">
        <f>IF(INPUT!M2841="","",INPUT!M2841-WEEKDAY(INPUT!M2841,2)+1)</f>
        <v/>
      </c>
      <c r="C2846" s="20">
        <f>IFERROR(_xlfn.ISOWEEKNUM(INPUT!M2841),"")</f>
        <v>52</v>
      </c>
      <c r="D2846" s="20">
        <f>IFERROR(YEAR(INPUT!M2841),"")</f>
        <v>1900</v>
      </c>
      <c r="E2846" t="str">
        <f>IF(INPUT!O2841="","",INPUT!O2841)</f>
        <v/>
      </c>
      <c r="F2846" t="str">
        <f>IF(INPUT!N2841="","",INPUT!N2841)</f>
        <v/>
      </c>
      <c r="G2846" cm="1">
        <f t="array" ref="G2846">IFERROR(VLOOKUP(INPUT!M2841&amp;INPUT!N2841,CHOOSE({1,2},INPUT!$A$3:$A$5000&amp;INPUT!$C$3:$C$5000,INPUT!$F$3:$F$5000),2,FALSE),"")</f>
        <v>0</v>
      </c>
      <c r="H2846" cm="1">
        <f t="array" ref="H2846">IFERROR(VLOOKUP(INPUT!M2841&amp;INPUT!N2841,CHOOSE({1,2},INPUT!$A$3:$A$5000&amp;INPUT!$C$3:$C$5000,INPUT!$D$3:$D$5000),2,FALSE),"")</f>
        <v>0</v>
      </c>
      <c r="I2846" s="46" t="str">
        <f>IF(INPUT!P2841="","",INPUT!P2841)</f>
        <v/>
      </c>
      <c r="J2846" s="46" t="str">
        <f>IF(INPUT!Q2841="","",INPUT!Q2841)</f>
        <v/>
      </c>
      <c r="K2846" s="46" t="str">
        <f>IFERROR(IF(OR(INPUT!P2841="",INPUT!Q2841=""),"",INPUT!P2841-INPUT!Q2841),"")</f>
        <v/>
      </c>
      <c r="L2846" s="48" t="str">
        <f>IFERROR(IF(OR(INPUT!P2841="",INPUT!Q2841="",INPUT!P2841=0),"",(INPUT!P2841-INPUT!Q2841)/INPUT!P2841),"")</f>
        <v/>
      </c>
    </row>
    <row r="2847" spans="1:12" ht="18" hidden="1" customHeight="1" x14ac:dyDescent="0.2">
      <c r="A2847" s="11" t="str">
        <f>IF(INPUT!M2842="","",INPUT!M2842)</f>
        <v/>
      </c>
      <c r="B2847" s="11" t="str">
        <f>IF(INPUT!M2842="","",INPUT!M2842-WEEKDAY(INPUT!M2842,2)+1)</f>
        <v/>
      </c>
      <c r="C2847" s="20">
        <f>IFERROR(_xlfn.ISOWEEKNUM(INPUT!M2842),"")</f>
        <v>52</v>
      </c>
      <c r="D2847" s="20">
        <f>IFERROR(YEAR(INPUT!M2842),"")</f>
        <v>1900</v>
      </c>
      <c r="E2847" t="str">
        <f>IF(INPUT!O2842="","",INPUT!O2842)</f>
        <v/>
      </c>
      <c r="F2847" t="str">
        <f>IF(INPUT!N2842="","",INPUT!N2842)</f>
        <v/>
      </c>
      <c r="G2847" cm="1">
        <f t="array" ref="G2847">IFERROR(VLOOKUP(INPUT!M2842&amp;INPUT!N2842,CHOOSE({1,2},INPUT!$A$3:$A$5000&amp;INPUT!$C$3:$C$5000,INPUT!$F$3:$F$5000),2,FALSE),"")</f>
        <v>0</v>
      </c>
      <c r="H2847" cm="1">
        <f t="array" ref="H2847">IFERROR(VLOOKUP(INPUT!M2842&amp;INPUT!N2842,CHOOSE({1,2},INPUT!$A$3:$A$5000&amp;INPUT!$C$3:$C$5000,INPUT!$D$3:$D$5000),2,FALSE),"")</f>
        <v>0</v>
      </c>
      <c r="I2847" s="46" t="str">
        <f>IF(INPUT!P2842="","",INPUT!P2842)</f>
        <v/>
      </c>
      <c r="J2847" s="46" t="str">
        <f>IF(INPUT!Q2842="","",INPUT!Q2842)</f>
        <v/>
      </c>
      <c r="K2847" s="46" t="str">
        <f>IFERROR(IF(OR(INPUT!P2842="",INPUT!Q2842=""),"",INPUT!P2842-INPUT!Q2842),"")</f>
        <v/>
      </c>
      <c r="L2847" s="48" t="str">
        <f>IFERROR(IF(OR(INPUT!P2842="",INPUT!Q2842="",INPUT!P2842=0),"",(INPUT!P2842-INPUT!Q2842)/INPUT!P2842),"")</f>
        <v/>
      </c>
    </row>
    <row r="2848" spans="1:12" ht="18" hidden="1" customHeight="1" x14ac:dyDescent="0.2">
      <c r="A2848" s="11" t="str">
        <f>IF(INPUT!M2843="","",INPUT!M2843)</f>
        <v/>
      </c>
      <c r="B2848" s="11" t="str">
        <f>IF(INPUT!M2843="","",INPUT!M2843-WEEKDAY(INPUT!M2843,2)+1)</f>
        <v/>
      </c>
      <c r="C2848" s="20">
        <f>IFERROR(_xlfn.ISOWEEKNUM(INPUT!M2843),"")</f>
        <v>52</v>
      </c>
      <c r="D2848" s="20">
        <f>IFERROR(YEAR(INPUT!M2843),"")</f>
        <v>1900</v>
      </c>
      <c r="E2848" t="str">
        <f>IF(INPUT!O2843="","",INPUT!O2843)</f>
        <v/>
      </c>
      <c r="F2848" t="str">
        <f>IF(INPUT!N2843="","",INPUT!N2843)</f>
        <v/>
      </c>
      <c r="G2848" cm="1">
        <f t="array" ref="G2848">IFERROR(VLOOKUP(INPUT!M2843&amp;INPUT!N2843,CHOOSE({1,2},INPUT!$A$3:$A$5000&amp;INPUT!$C$3:$C$5000,INPUT!$F$3:$F$5000),2,FALSE),"")</f>
        <v>0</v>
      </c>
      <c r="H2848" cm="1">
        <f t="array" ref="H2848">IFERROR(VLOOKUP(INPUT!M2843&amp;INPUT!N2843,CHOOSE({1,2},INPUT!$A$3:$A$5000&amp;INPUT!$C$3:$C$5000,INPUT!$D$3:$D$5000),2,FALSE),"")</f>
        <v>0</v>
      </c>
      <c r="I2848" s="46" t="str">
        <f>IF(INPUT!P2843="","",INPUT!P2843)</f>
        <v/>
      </c>
      <c r="J2848" s="46" t="str">
        <f>IF(INPUT!Q2843="","",INPUT!Q2843)</f>
        <v/>
      </c>
      <c r="K2848" s="46" t="str">
        <f>IFERROR(IF(OR(INPUT!P2843="",INPUT!Q2843=""),"",INPUT!P2843-INPUT!Q2843),"")</f>
        <v/>
      </c>
      <c r="L2848" s="48" t="str">
        <f>IFERROR(IF(OR(INPUT!P2843="",INPUT!Q2843="",INPUT!P2843=0),"",(INPUT!P2843-INPUT!Q2843)/INPUT!P2843),"")</f>
        <v/>
      </c>
    </row>
    <row r="2849" spans="1:12" ht="18" hidden="1" customHeight="1" x14ac:dyDescent="0.2">
      <c r="A2849" s="11" t="str">
        <f>IF(INPUT!M2844="","",INPUT!M2844)</f>
        <v/>
      </c>
      <c r="B2849" s="11" t="str">
        <f>IF(INPUT!M2844="","",INPUT!M2844-WEEKDAY(INPUT!M2844,2)+1)</f>
        <v/>
      </c>
      <c r="C2849" s="20">
        <f>IFERROR(_xlfn.ISOWEEKNUM(INPUT!M2844),"")</f>
        <v>52</v>
      </c>
      <c r="D2849" s="20">
        <f>IFERROR(YEAR(INPUT!M2844),"")</f>
        <v>1900</v>
      </c>
      <c r="E2849" t="str">
        <f>IF(INPUT!O2844="","",INPUT!O2844)</f>
        <v/>
      </c>
      <c r="F2849" t="str">
        <f>IF(INPUT!N2844="","",INPUT!N2844)</f>
        <v/>
      </c>
      <c r="G2849" cm="1">
        <f t="array" ref="G2849">IFERROR(VLOOKUP(INPUT!M2844&amp;INPUT!N2844,CHOOSE({1,2},INPUT!$A$3:$A$5000&amp;INPUT!$C$3:$C$5000,INPUT!$F$3:$F$5000),2,FALSE),"")</f>
        <v>0</v>
      </c>
      <c r="H2849" cm="1">
        <f t="array" ref="H2849">IFERROR(VLOOKUP(INPUT!M2844&amp;INPUT!N2844,CHOOSE({1,2},INPUT!$A$3:$A$5000&amp;INPUT!$C$3:$C$5000,INPUT!$D$3:$D$5000),2,FALSE),"")</f>
        <v>0</v>
      </c>
      <c r="I2849" s="46" t="str">
        <f>IF(INPUT!P2844="","",INPUT!P2844)</f>
        <v/>
      </c>
      <c r="J2849" s="46" t="str">
        <f>IF(INPUT!Q2844="","",INPUT!Q2844)</f>
        <v/>
      </c>
      <c r="K2849" s="46" t="str">
        <f>IFERROR(IF(OR(INPUT!P2844="",INPUT!Q2844=""),"",INPUT!P2844-INPUT!Q2844),"")</f>
        <v/>
      </c>
      <c r="L2849" s="48" t="str">
        <f>IFERROR(IF(OR(INPUT!P2844="",INPUT!Q2844="",INPUT!P2844=0),"",(INPUT!P2844-INPUT!Q2844)/INPUT!P2844),"")</f>
        <v/>
      </c>
    </row>
    <row r="2850" spans="1:12" ht="18" hidden="1" customHeight="1" x14ac:dyDescent="0.2">
      <c r="A2850" s="11" t="str">
        <f>IF(INPUT!M2845="","",INPUT!M2845)</f>
        <v/>
      </c>
      <c r="B2850" s="11" t="str">
        <f>IF(INPUT!M2845="","",INPUT!M2845-WEEKDAY(INPUT!M2845,2)+1)</f>
        <v/>
      </c>
      <c r="C2850" s="20">
        <f>IFERROR(_xlfn.ISOWEEKNUM(INPUT!M2845),"")</f>
        <v>52</v>
      </c>
      <c r="D2850" s="20">
        <f>IFERROR(YEAR(INPUT!M2845),"")</f>
        <v>1900</v>
      </c>
      <c r="E2850" t="str">
        <f>IF(INPUT!O2845="","",INPUT!O2845)</f>
        <v/>
      </c>
      <c r="F2850" t="str">
        <f>IF(INPUT!N2845="","",INPUT!N2845)</f>
        <v/>
      </c>
      <c r="G2850" cm="1">
        <f t="array" ref="G2850">IFERROR(VLOOKUP(INPUT!M2845&amp;INPUT!N2845,CHOOSE({1,2},INPUT!$A$3:$A$5000&amp;INPUT!$C$3:$C$5000,INPUT!$F$3:$F$5000),2,FALSE),"")</f>
        <v>0</v>
      </c>
      <c r="H2850" cm="1">
        <f t="array" ref="H2850">IFERROR(VLOOKUP(INPUT!M2845&amp;INPUT!N2845,CHOOSE({1,2},INPUT!$A$3:$A$5000&amp;INPUT!$C$3:$C$5000,INPUT!$D$3:$D$5000),2,FALSE),"")</f>
        <v>0</v>
      </c>
      <c r="I2850" s="46" t="str">
        <f>IF(INPUT!P2845="","",INPUT!P2845)</f>
        <v/>
      </c>
      <c r="J2850" s="46" t="str">
        <f>IF(INPUT!Q2845="","",INPUT!Q2845)</f>
        <v/>
      </c>
      <c r="K2850" s="46" t="str">
        <f>IFERROR(IF(OR(INPUT!P2845="",INPUT!Q2845=""),"",INPUT!P2845-INPUT!Q2845),"")</f>
        <v/>
      </c>
      <c r="L2850" s="48" t="str">
        <f>IFERROR(IF(OR(INPUT!P2845="",INPUT!Q2845="",INPUT!P2845=0),"",(INPUT!P2845-INPUT!Q2845)/INPUT!P2845),"")</f>
        <v/>
      </c>
    </row>
    <row r="2851" spans="1:12" ht="18" hidden="1" customHeight="1" x14ac:dyDescent="0.2">
      <c r="A2851" s="11" t="str">
        <f>IF(INPUT!M2846="","",INPUT!M2846)</f>
        <v/>
      </c>
      <c r="B2851" s="11" t="str">
        <f>IF(INPUT!M2846="","",INPUT!M2846-WEEKDAY(INPUT!M2846,2)+1)</f>
        <v/>
      </c>
      <c r="C2851" s="20">
        <f>IFERROR(_xlfn.ISOWEEKNUM(INPUT!M2846),"")</f>
        <v>52</v>
      </c>
      <c r="D2851" s="20">
        <f>IFERROR(YEAR(INPUT!M2846),"")</f>
        <v>1900</v>
      </c>
      <c r="E2851" t="str">
        <f>IF(INPUT!O2846="","",INPUT!O2846)</f>
        <v/>
      </c>
      <c r="F2851" t="str">
        <f>IF(INPUT!N2846="","",INPUT!N2846)</f>
        <v/>
      </c>
      <c r="G2851" cm="1">
        <f t="array" ref="G2851">IFERROR(VLOOKUP(INPUT!M2846&amp;INPUT!N2846,CHOOSE({1,2},INPUT!$A$3:$A$5000&amp;INPUT!$C$3:$C$5000,INPUT!$F$3:$F$5000),2,FALSE),"")</f>
        <v>0</v>
      </c>
      <c r="H2851" cm="1">
        <f t="array" ref="H2851">IFERROR(VLOOKUP(INPUT!M2846&amp;INPUT!N2846,CHOOSE({1,2},INPUT!$A$3:$A$5000&amp;INPUT!$C$3:$C$5000,INPUT!$D$3:$D$5000),2,FALSE),"")</f>
        <v>0</v>
      </c>
      <c r="I2851" s="46" t="str">
        <f>IF(INPUT!P2846="","",INPUT!P2846)</f>
        <v/>
      </c>
      <c r="J2851" s="46" t="str">
        <f>IF(INPUT!Q2846="","",INPUT!Q2846)</f>
        <v/>
      </c>
      <c r="K2851" s="46" t="str">
        <f>IFERROR(IF(OR(INPUT!P2846="",INPUT!Q2846=""),"",INPUT!P2846-INPUT!Q2846),"")</f>
        <v/>
      </c>
      <c r="L2851" s="48" t="str">
        <f>IFERROR(IF(OR(INPUT!P2846="",INPUT!Q2846="",INPUT!P2846=0),"",(INPUT!P2846-INPUT!Q2846)/INPUT!P2846),"")</f>
        <v/>
      </c>
    </row>
    <row r="2852" spans="1:12" ht="18" hidden="1" customHeight="1" x14ac:dyDescent="0.2">
      <c r="A2852" s="11" t="str">
        <f>IF(INPUT!M2847="","",INPUT!M2847)</f>
        <v/>
      </c>
      <c r="B2852" s="11" t="str">
        <f>IF(INPUT!M2847="","",INPUT!M2847-WEEKDAY(INPUT!M2847,2)+1)</f>
        <v/>
      </c>
      <c r="C2852" s="20">
        <f>IFERROR(_xlfn.ISOWEEKNUM(INPUT!M2847),"")</f>
        <v>52</v>
      </c>
      <c r="D2852" s="20">
        <f>IFERROR(YEAR(INPUT!M2847),"")</f>
        <v>1900</v>
      </c>
      <c r="E2852" t="str">
        <f>IF(INPUT!O2847="","",INPUT!O2847)</f>
        <v/>
      </c>
      <c r="F2852" t="str">
        <f>IF(INPUT!N2847="","",INPUT!N2847)</f>
        <v/>
      </c>
      <c r="G2852" cm="1">
        <f t="array" ref="G2852">IFERROR(VLOOKUP(INPUT!M2847&amp;INPUT!N2847,CHOOSE({1,2},INPUT!$A$3:$A$5000&amp;INPUT!$C$3:$C$5000,INPUT!$F$3:$F$5000),2,FALSE),"")</f>
        <v>0</v>
      </c>
      <c r="H2852" cm="1">
        <f t="array" ref="H2852">IFERROR(VLOOKUP(INPUT!M2847&amp;INPUT!N2847,CHOOSE({1,2},INPUT!$A$3:$A$5000&amp;INPUT!$C$3:$C$5000,INPUT!$D$3:$D$5000),2,FALSE),"")</f>
        <v>0</v>
      </c>
      <c r="I2852" s="46" t="str">
        <f>IF(INPUT!P2847="","",INPUT!P2847)</f>
        <v/>
      </c>
      <c r="J2852" s="46" t="str">
        <f>IF(INPUT!Q2847="","",INPUT!Q2847)</f>
        <v/>
      </c>
      <c r="K2852" s="46" t="str">
        <f>IFERROR(IF(OR(INPUT!P2847="",INPUT!Q2847=""),"",INPUT!P2847-INPUT!Q2847),"")</f>
        <v/>
      </c>
      <c r="L2852" s="48" t="str">
        <f>IFERROR(IF(OR(INPUT!P2847="",INPUT!Q2847="",INPUT!P2847=0),"",(INPUT!P2847-INPUT!Q2847)/INPUT!P2847),"")</f>
        <v/>
      </c>
    </row>
    <row r="2853" spans="1:12" ht="18" hidden="1" customHeight="1" x14ac:dyDescent="0.2">
      <c r="A2853" s="11" t="str">
        <f>IF(INPUT!M2848="","",INPUT!M2848)</f>
        <v/>
      </c>
      <c r="B2853" s="11" t="str">
        <f>IF(INPUT!M2848="","",INPUT!M2848-WEEKDAY(INPUT!M2848,2)+1)</f>
        <v/>
      </c>
      <c r="C2853" s="20">
        <f>IFERROR(_xlfn.ISOWEEKNUM(INPUT!M2848),"")</f>
        <v>52</v>
      </c>
      <c r="D2853" s="20">
        <f>IFERROR(YEAR(INPUT!M2848),"")</f>
        <v>1900</v>
      </c>
      <c r="E2853" t="str">
        <f>IF(INPUT!O2848="","",INPUT!O2848)</f>
        <v/>
      </c>
      <c r="F2853" t="str">
        <f>IF(INPUT!N2848="","",INPUT!N2848)</f>
        <v/>
      </c>
      <c r="G2853" cm="1">
        <f t="array" ref="G2853">IFERROR(VLOOKUP(INPUT!M2848&amp;INPUT!N2848,CHOOSE({1,2},INPUT!$A$3:$A$5000&amp;INPUT!$C$3:$C$5000,INPUT!$F$3:$F$5000),2,FALSE),"")</f>
        <v>0</v>
      </c>
      <c r="H2853" cm="1">
        <f t="array" ref="H2853">IFERROR(VLOOKUP(INPUT!M2848&amp;INPUT!N2848,CHOOSE({1,2},INPUT!$A$3:$A$5000&amp;INPUT!$C$3:$C$5000,INPUT!$D$3:$D$5000),2,FALSE),"")</f>
        <v>0</v>
      </c>
      <c r="I2853" s="46" t="str">
        <f>IF(INPUT!P2848="","",INPUT!P2848)</f>
        <v/>
      </c>
      <c r="J2853" s="46" t="str">
        <f>IF(INPUT!Q2848="","",INPUT!Q2848)</f>
        <v/>
      </c>
      <c r="K2853" s="46" t="str">
        <f>IFERROR(IF(OR(INPUT!P2848="",INPUT!Q2848=""),"",INPUT!P2848-INPUT!Q2848),"")</f>
        <v/>
      </c>
      <c r="L2853" s="48" t="str">
        <f>IFERROR(IF(OR(INPUT!P2848="",INPUT!Q2848="",INPUT!P2848=0),"",(INPUT!P2848-INPUT!Q2848)/INPUT!P2848),"")</f>
        <v/>
      </c>
    </row>
    <row r="2854" spans="1:12" ht="18" hidden="1" customHeight="1" x14ac:dyDescent="0.2">
      <c r="A2854" s="11" t="str">
        <f>IF(INPUT!M2849="","",INPUT!M2849)</f>
        <v/>
      </c>
      <c r="B2854" s="11" t="str">
        <f>IF(INPUT!M2849="","",INPUT!M2849-WEEKDAY(INPUT!M2849,2)+1)</f>
        <v/>
      </c>
      <c r="C2854" s="20">
        <f>IFERROR(_xlfn.ISOWEEKNUM(INPUT!M2849),"")</f>
        <v>52</v>
      </c>
      <c r="D2854" s="20">
        <f>IFERROR(YEAR(INPUT!M2849),"")</f>
        <v>1900</v>
      </c>
      <c r="E2854" t="str">
        <f>IF(INPUT!O2849="","",INPUT!O2849)</f>
        <v/>
      </c>
      <c r="F2854" t="str">
        <f>IF(INPUT!N2849="","",INPUT!N2849)</f>
        <v/>
      </c>
      <c r="G2854" cm="1">
        <f t="array" ref="G2854">IFERROR(VLOOKUP(INPUT!M2849&amp;INPUT!N2849,CHOOSE({1,2},INPUT!$A$3:$A$5000&amp;INPUT!$C$3:$C$5000,INPUT!$F$3:$F$5000),2,FALSE),"")</f>
        <v>0</v>
      </c>
      <c r="H2854" cm="1">
        <f t="array" ref="H2854">IFERROR(VLOOKUP(INPUT!M2849&amp;INPUT!N2849,CHOOSE({1,2},INPUT!$A$3:$A$5000&amp;INPUT!$C$3:$C$5000,INPUT!$D$3:$D$5000),2,FALSE),"")</f>
        <v>0</v>
      </c>
      <c r="I2854" s="46" t="str">
        <f>IF(INPUT!P2849="","",INPUT!P2849)</f>
        <v/>
      </c>
      <c r="J2854" s="46" t="str">
        <f>IF(INPUT!Q2849="","",INPUT!Q2849)</f>
        <v/>
      </c>
      <c r="K2854" s="46" t="str">
        <f>IFERROR(IF(OR(INPUT!P2849="",INPUT!Q2849=""),"",INPUT!P2849-INPUT!Q2849),"")</f>
        <v/>
      </c>
      <c r="L2854" s="48" t="str">
        <f>IFERROR(IF(OR(INPUT!P2849="",INPUT!Q2849="",INPUT!P2849=0),"",(INPUT!P2849-INPUT!Q2849)/INPUT!P2849),"")</f>
        <v/>
      </c>
    </row>
    <row r="2855" spans="1:12" ht="18" hidden="1" customHeight="1" x14ac:dyDescent="0.2">
      <c r="A2855" s="11" t="str">
        <f>IF(INPUT!M2850="","",INPUT!M2850)</f>
        <v/>
      </c>
      <c r="B2855" s="11" t="str">
        <f>IF(INPUT!M2850="","",INPUT!M2850-WEEKDAY(INPUT!M2850,2)+1)</f>
        <v/>
      </c>
      <c r="C2855" s="20">
        <f>IFERROR(_xlfn.ISOWEEKNUM(INPUT!M2850),"")</f>
        <v>52</v>
      </c>
      <c r="D2855" s="20">
        <f>IFERROR(YEAR(INPUT!M2850),"")</f>
        <v>1900</v>
      </c>
      <c r="E2855" t="str">
        <f>IF(INPUT!O2850="","",INPUT!O2850)</f>
        <v/>
      </c>
      <c r="F2855" t="str">
        <f>IF(INPUT!N2850="","",INPUT!N2850)</f>
        <v/>
      </c>
      <c r="G2855" cm="1">
        <f t="array" ref="G2855">IFERROR(VLOOKUP(INPUT!M2850&amp;INPUT!N2850,CHOOSE({1,2},INPUT!$A$3:$A$5000&amp;INPUT!$C$3:$C$5000,INPUT!$F$3:$F$5000),2,FALSE),"")</f>
        <v>0</v>
      </c>
      <c r="H2855" cm="1">
        <f t="array" ref="H2855">IFERROR(VLOOKUP(INPUT!M2850&amp;INPUT!N2850,CHOOSE({1,2},INPUT!$A$3:$A$5000&amp;INPUT!$C$3:$C$5000,INPUT!$D$3:$D$5000),2,FALSE),"")</f>
        <v>0</v>
      </c>
      <c r="I2855" s="46" t="str">
        <f>IF(INPUT!P2850="","",INPUT!P2850)</f>
        <v/>
      </c>
      <c r="J2855" s="46" t="str">
        <f>IF(INPUT!Q2850="","",INPUT!Q2850)</f>
        <v/>
      </c>
      <c r="K2855" s="46" t="str">
        <f>IFERROR(IF(OR(INPUT!P2850="",INPUT!Q2850=""),"",INPUT!P2850-INPUT!Q2850),"")</f>
        <v/>
      </c>
      <c r="L2855" s="48" t="str">
        <f>IFERROR(IF(OR(INPUT!P2850="",INPUT!Q2850="",INPUT!P2850=0),"",(INPUT!P2850-INPUT!Q2850)/INPUT!P2850),"")</f>
        <v/>
      </c>
    </row>
    <row r="2856" spans="1:12" ht="18" hidden="1" customHeight="1" x14ac:dyDescent="0.2">
      <c r="A2856" s="11" t="str">
        <f>IF(INPUT!M2851="","",INPUT!M2851)</f>
        <v/>
      </c>
      <c r="B2856" s="11" t="str">
        <f>IF(INPUT!M2851="","",INPUT!M2851-WEEKDAY(INPUT!M2851,2)+1)</f>
        <v/>
      </c>
      <c r="C2856" s="20">
        <f>IFERROR(_xlfn.ISOWEEKNUM(INPUT!M2851),"")</f>
        <v>52</v>
      </c>
      <c r="D2856" s="20">
        <f>IFERROR(YEAR(INPUT!M2851),"")</f>
        <v>1900</v>
      </c>
      <c r="E2856" t="str">
        <f>IF(INPUT!O2851="","",INPUT!O2851)</f>
        <v/>
      </c>
      <c r="F2856" t="str">
        <f>IF(INPUT!N2851="","",INPUT!N2851)</f>
        <v/>
      </c>
      <c r="G2856" cm="1">
        <f t="array" ref="G2856">IFERROR(VLOOKUP(INPUT!M2851&amp;INPUT!N2851,CHOOSE({1,2},INPUT!$A$3:$A$5000&amp;INPUT!$C$3:$C$5000,INPUT!$F$3:$F$5000),2,FALSE),"")</f>
        <v>0</v>
      </c>
      <c r="H2856" cm="1">
        <f t="array" ref="H2856">IFERROR(VLOOKUP(INPUT!M2851&amp;INPUT!N2851,CHOOSE({1,2},INPUT!$A$3:$A$5000&amp;INPUT!$C$3:$C$5000,INPUT!$D$3:$D$5000),2,FALSE),"")</f>
        <v>0</v>
      </c>
      <c r="I2856" s="46" t="str">
        <f>IF(INPUT!P2851="","",INPUT!P2851)</f>
        <v/>
      </c>
      <c r="J2856" s="46" t="str">
        <f>IF(INPUT!Q2851="","",INPUT!Q2851)</f>
        <v/>
      </c>
      <c r="K2856" s="46" t="str">
        <f>IFERROR(IF(OR(INPUT!P2851="",INPUT!Q2851=""),"",INPUT!P2851-INPUT!Q2851),"")</f>
        <v/>
      </c>
      <c r="L2856" s="48" t="str">
        <f>IFERROR(IF(OR(INPUT!P2851="",INPUT!Q2851="",INPUT!P2851=0),"",(INPUT!P2851-INPUT!Q2851)/INPUT!P2851),"")</f>
        <v/>
      </c>
    </row>
    <row r="2857" spans="1:12" ht="18" hidden="1" customHeight="1" x14ac:dyDescent="0.2">
      <c r="A2857" s="11" t="str">
        <f>IF(INPUT!M2852="","",INPUT!M2852)</f>
        <v/>
      </c>
      <c r="B2857" s="11" t="str">
        <f>IF(INPUT!M2852="","",INPUT!M2852-WEEKDAY(INPUT!M2852,2)+1)</f>
        <v/>
      </c>
      <c r="C2857" s="20">
        <f>IFERROR(_xlfn.ISOWEEKNUM(INPUT!M2852),"")</f>
        <v>52</v>
      </c>
      <c r="D2857" s="20">
        <f>IFERROR(YEAR(INPUT!M2852),"")</f>
        <v>1900</v>
      </c>
      <c r="E2857" t="str">
        <f>IF(INPUT!O2852="","",INPUT!O2852)</f>
        <v/>
      </c>
      <c r="F2857" t="str">
        <f>IF(INPUT!N2852="","",INPUT!N2852)</f>
        <v/>
      </c>
      <c r="G2857" cm="1">
        <f t="array" ref="G2857">IFERROR(VLOOKUP(INPUT!M2852&amp;INPUT!N2852,CHOOSE({1,2},INPUT!$A$3:$A$5000&amp;INPUT!$C$3:$C$5000,INPUT!$F$3:$F$5000),2,FALSE),"")</f>
        <v>0</v>
      </c>
      <c r="H2857" cm="1">
        <f t="array" ref="H2857">IFERROR(VLOOKUP(INPUT!M2852&amp;INPUT!N2852,CHOOSE({1,2},INPUT!$A$3:$A$5000&amp;INPUT!$C$3:$C$5000,INPUT!$D$3:$D$5000),2,FALSE),"")</f>
        <v>0</v>
      </c>
      <c r="I2857" s="46" t="str">
        <f>IF(INPUT!P2852="","",INPUT!P2852)</f>
        <v/>
      </c>
      <c r="J2857" s="46" t="str">
        <f>IF(INPUT!Q2852="","",INPUT!Q2852)</f>
        <v/>
      </c>
      <c r="K2857" s="46" t="str">
        <f>IFERROR(IF(OR(INPUT!P2852="",INPUT!Q2852=""),"",INPUT!P2852-INPUT!Q2852),"")</f>
        <v/>
      </c>
      <c r="L2857" s="48" t="str">
        <f>IFERROR(IF(OR(INPUT!P2852="",INPUT!Q2852="",INPUT!P2852=0),"",(INPUT!P2852-INPUT!Q2852)/INPUT!P2852),"")</f>
        <v/>
      </c>
    </row>
    <row r="2858" spans="1:12" ht="18" hidden="1" customHeight="1" x14ac:dyDescent="0.2">
      <c r="A2858" s="11" t="str">
        <f>IF(INPUT!M2853="","",INPUT!M2853)</f>
        <v/>
      </c>
      <c r="B2858" s="11" t="str">
        <f>IF(INPUT!M2853="","",INPUT!M2853-WEEKDAY(INPUT!M2853,2)+1)</f>
        <v/>
      </c>
      <c r="C2858" s="20">
        <f>IFERROR(_xlfn.ISOWEEKNUM(INPUT!M2853),"")</f>
        <v>52</v>
      </c>
      <c r="D2858" s="20">
        <f>IFERROR(YEAR(INPUT!M2853),"")</f>
        <v>1900</v>
      </c>
      <c r="E2858" t="str">
        <f>IF(INPUT!O2853="","",INPUT!O2853)</f>
        <v/>
      </c>
      <c r="F2858" t="str">
        <f>IF(INPUT!N2853="","",INPUT!N2853)</f>
        <v/>
      </c>
      <c r="G2858" cm="1">
        <f t="array" ref="G2858">IFERROR(VLOOKUP(INPUT!M2853&amp;INPUT!N2853,CHOOSE({1,2},INPUT!$A$3:$A$5000&amp;INPUT!$C$3:$C$5000,INPUT!$F$3:$F$5000),2,FALSE),"")</f>
        <v>0</v>
      </c>
      <c r="H2858" cm="1">
        <f t="array" ref="H2858">IFERROR(VLOOKUP(INPUT!M2853&amp;INPUT!N2853,CHOOSE({1,2},INPUT!$A$3:$A$5000&amp;INPUT!$C$3:$C$5000,INPUT!$D$3:$D$5000),2,FALSE),"")</f>
        <v>0</v>
      </c>
      <c r="I2858" s="46" t="str">
        <f>IF(INPUT!P2853="","",INPUT!P2853)</f>
        <v/>
      </c>
      <c r="J2858" s="46" t="str">
        <f>IF(INPUT!Q2853="","",INPUT!Q2853)</f>
        <v/>
      </c>
      <c r="K2858" s="46" t="str">
        <f>IFERROR(IF(OR(INPUT!P2853="",INPUT!Q2853=""),"",INPUT!P2853-INPUT!Q2853),"")</f>
        <v/>
      </c>
      <c r="L2858" s="48" t="str">
        <f>IFERROR(IF(OR(INPUT!P2853="",INPUT!Q2853="",INPUT!P2853=0),"",(INPUT!P2853-INPUT!Q2853)/INPUT!P2853),"")</f>
        <v/>
      </c>
    </row>
    <row r="2859" spans="1:12" ht="18" hidden="1" customHeight="1" x14ac:dyDescent="0.2">
      <c r="A2859" s="11" t="str">
        <f>IF(INPUT!M2854="","",INPUT!M2854)</f>
        <v/>
      </c>
      <c r="B2859" s="11" t="str">
        <f>IF(INPUT!M2854="","",INPUT!M2854-WEEKDAY(INPUT!M2854,2)+1)</f>
        <v/>
      </c>
      <c r="C2859" s="20">
        <f>IFERROR(_xlfn.ISOWEEKNUM(INPUT!M2854),"")</f>
        <v>52</v>
      </c>
      <c r="D2859" s="20">
        <f>IFERROR(YEAR(INPUT!M2854),"")</f>
        <v>1900</v>
      </c>
      <c r="E2859" t="str">
        <f>IF(INPUT!O2854="","",INPUT!O2854)</f>
        <v/>
      </c>
      <c r="F2859" t="str">
        <f>IF(INPUT!N2854="","",INPUT!N2854)</f>
        <v/>
      </c>
      <c r="G2859" cm="1">
        <f t="array" ref="G2859">IFERROR(VLOOKUP(INPUT!M2854&amp;INPUT!N2854,CHOOSE({1,2},INPUT!$A$3:$A$5000&amp;INPUT!$C$3:$C$5000,INPUT!$F$3:$F$5000),2,FALSE),"")</f>
        <v>0</v>
      </c>
      <c r="H2859" cm="1">
        <f t="array" ref="H2859">IFERROR(VLOOKUP(INPUT!M2854&amp;INPUT!N2854,CHOOSE({1,2},INPUT!$A$3:$A$5000&amp;INPUT!$C$3:$C$5000,INPUT!$D$3:$D$5000),2,FALSE),"")</f>
        <v>0</v>
      </c>
      <c r="I2859" s="46" t="str">
        <f>IF(INPUT!P2854="","",INPUT!P2854)</f>
        <v/>
      </c>
      <c r="J2859" s="46" t="str">
        <f>IF(INPUT!Q2854="","",INPUT!Q2854)</f>
        <v/>
      </c>
      <c r="K2859" s="46" t="str">
        <f>IFERROR(IF(OR(INPUT!P2854="",INPUT!Q2854=""),"",INPUT!P2854-INPUT!Q2854),"")</f>
        <v/>
      </c>
      <c r="L2859" s="48" t="str">
        <f>IFERROR(IF(OR(INPUT!P2854="",INPUT!Q2854="",INPUT!P2854=0),"",(INPUT!P2854-INPUT!Q2854)/INPUT!P2854),"")</f>
        <v/>
      </c>
    </row>
    <row r="2860" spans="1:12" ht="18" hidden="1" customHeight="1" x14ac:dyDescent="0.2">
      <c r="A2860" s="11" t="str">
        <f>IF(INPUT!M2855="","",INPUT!M2855)</f>
        <v/>
      </c>
      <c r="B2860" s="11" t="str">
        <f>IF(INPUT!M2855="","",INPUT!M2855-WEEKDAY(INPUT!M2855,2)+1)</f>
        <v/>
      </c>
      <c r="C2860" s="20">
        <f>IFERROR(_xlfn.ISOWEEKNUM(INPUT!M2855),"")</f>
        <v>52</v>
      </c>
      <c r="D2860" s="20">
        <f>IFERROR(YEAR(INPUT!M2855),"")</f>
        <v>1900</v>
      </c>
      <c r="E2860" t="str">
        <f>IF(INPUT!O2855="","",INPUT!O2855)</f>
        <v/>
      </c>
      <c r="F2860" t="str">
        <f>IF(INPUT!N2855="","",INPUT!N2855)</f>
        <v/>
      </c>
      <c r="G2860" cm="1">
        <f t="array" ref="G2860">IFERROR(VLOOKUP(INPUT!M2855&amp;INPUT!N2855,CHOOSE({1,2},INPUT!$A$3:$A$5000&amp;INPUT!$C$3:$C$5000,INPUT!$F$3:$F$5000),2,FALSE),"")</f>
        <v>0</v>
      </c>
      <c r="H2860" cm="1">
        <f t="array" ref="H2860">IFERROR(VLOOKUP(INPUT!M2855&amp;INPUT!N2855,CHOOSE({1,2},INPUT!$A$3:$A$5000&amp;INPUT!$C$3:$C$5000,INPUT!$D$3:$D$5000),2,FALSE),"")</f>
        <v>0</v>
      </c>
      <c r="I2860" s="46" t="str">
        <f>IF(INPUT!P2855="","",INPUT!P2855)</f>
        <v/>
      </c>
      <c r="J2860" s="46" t="str">
        <f>IF(INPUT!Q2855="","",INPUT!Q2855)</f>
        <v/>
      </c>
      <c r="K2860" s="46" t="str">
        <f>IFERROR(IF(OR(INPUT!P2855="",INPUT!Q2855=""),"",INPUT!P2855-INPUT!Q2855),"")</f>
        <v/>
      </c>
      <c r="L2860" s="48" t="str">
        <f>IFERROR(IF(OR(INPUT!P2855="",INPUT!Q2855="",INPUT!P2855=0),"",(INPUT!P2855-INPUT!Q2855)/INPUT!P2855),"")</f>
        <v/>
      </c>
    </row>
    <row r="2861" spans="1:12" ht="18" hidden="1" customHeight="1" x14ac:dyDescent="0.2">
      <c r="A2861" s="11" t="str">
        <f>IF(INPUT!M2856="","",INPUT!M2856)</f>
        <v/>
      </c>
      <c r="B2861" s="11" t="str">
        <f>IF(INPUT!M2856="","",INPUT!M2856-WEEKDAY(INPUT!M2856,2)+1)</f>
        <v/>
      </c>
      <c r="C2861" s="20">
        <f>IFERROR(_xlfn.ISOWEEKNUM(INPUT!M2856),"")</f>
        <v>52</v>
      </c>
      <c r="D2861" s="20">
        <f>IFERROR(YEAR(INPUT!M2856),"")</f>
        <v>1900</v>
      </c>
      <c r="E2861" t="str">
        <f>IF(INPUT!O2856="","",INPUT!O2856)</f>
        <v/>
      </c>
      <c r="F2861" t="str">
        <f>IF(INPUT!N2856="","",INPUT!N2856)</f>
        <v/>
      </c>
      <c r="G2861" cm="1">
        <f t="array" ref="G2861">IFERROR(VLOOKUP(INPUT!M2856&amp;INPUT!N2856,CHOOSE({1,2},INPUT!$A$3:$A$5000&amp;INPUT!$C$3:$C$5000,INPUT!$F$3:$F$5000),2,FALSE),"")</f>
        <v>0</v>
      </c>
      <c r="H2861" cm="1">
        <f t="array" ref="H2861">IFERROR(VLOOKUP(INPUT!M2856&amp;INPUT!N2856,CHOOSE({1,2},INPUT!$A$3:$A$5000&amp;INPUT!$C$3:$C$5000,INPUT!$D$3:$D$5000),2,FALSE),"")</f>
        <v>0</v>
      </c>
      <c r="I2861" s="46" t="str">
        <f>IF(INPUT!P2856="","",INPUT!P2856)</f>
        <v/>
      </c>
      <c r="J2861" s="46" t="str">
        <f>IF(INPUT!Q2856="","",INPUT!Q2856)</f>
        <v/>
      </c>
      <c r="K2861" s="46" t="str">
        <f>IFERROR(IF(OR(INPUT!P2856="",INPUT!Q2856=""),"",INPUT!P2856-INPUT!Q2856),"")</f>
        <v/>
      </c>
      <c r="L2861" s="48" t="str">
        <f>IFERROR(IF(OR(INPUT!P2856="",INPUT!Q2856="",INPUT!P2856=0),"",(INPUT!P2856-INPUT!Q2856)/INPUT!P2856),"")</f>
        <v/>
      </c>
    </row>
    <row r="2862" spans="1:12" ht="18" hidden="1" customHeight="1" x14ac:dyDescent="0.2">
      <c r="A2862" s="11" t="str">
        <f>IF(INPUT!M2857="","",INPUT!M2857)</f>
        <v/>
      </c>
      <c r="B2862" s="11" t="str">
        <f>IF(INPUT!M2857="","",INPUT!M2857-WEEKDAY(INPUT!M2857,2)+1)</f>
        <v/>
      </c>
      <c r="C2862" s="20">
        <f>IFERROR(_xlfn.ISOWEEKNUM(INPUT!M2857),"")</f>
        <v>52</v>
      </c>
      <c r="D2862" s="20">
        <f>IFERROR(YEAR(INPUT!M2857),"")</f>
        <v>1900</v>
      </c>
      <c r="E2862" t="str">
        <f>IF(INPUT!O2857="","",INPUT!O2857)</f>
        <v/>
      </c>
      <c r="F2862" t="str">
        <f>IF(INPUT!N2857="","",INPUT!N2857)</f>
        <v/>
      </c>
      <c r="G2862" cm="1">
        <f t="array" ref="G2862">IFERROR(VLOOKUP(INPUT!M2857&amp;INPUT!N2857,CHOOSE({1,2},INPUT!$A$3:$A$5000&amp;INPUT!$C$3:$C$5000,INPUT!$F$3:$F$5000),2,FALSE),"")</f>
        <v>0</v>
      </c>
      <c r="H2862" cm="1">
        <f t="array" ref="H2862">IFERROR(VLOOKUP(INPUT!M2857&amp;INPUT!N2857,CHOOSE({1,2},INPUT!$A$3:$A$5000&amp;INPUT!$C$3:$C$5000,INPUT!$D$3:$D$5000),2,FALSE),"")</f>
        <v>0</v>
      </c>
      <c r="I2862" s="46" t="str">
        <f>IF(INPUT!P2857="","",INPUT!P2857)</f>
        <v/>
      </c>
      <c r="J2862" s="46" t="str">
        <f>IF(INPUT!Q2857="","",INPUT!Q2857)</f>
        <v/>
      </c>
      <c r="K2862" s="46" t="str">
        <f>IFERROR(IF(OR(INPUT!P2857="",INPUT!Q2857=""),"",INPUT!P2857-INPUT!Q2857),"")</f>
        <v/>
      </c>
      <c r="L2862" s="48" t="str">
        <f>IFERROR(IF(OR(INPUT!P2857="",INPUT!Q2857="",INPUT!P2857=0),"",(INPUT!P2857-INPUT!Q2857)/INPUT!P2857),"")</f>
        <v/>
      </c>
    </row>
    <row r="2863" spans="1:12" ht="18" hidden="1" customHeight="1" x14ac:dyDescent="0.2">
      <c r="A2863" s="11" t="str">
        <f>IF(INPUT!M2858="","",INPUT!M2858)</f>
        <v/>
      </c>
      <c r="B2863" s="11" t="str">
        <f>IF(INPUT!M2858="","",INPUT!M2858-WEEKDAY(INPUT!M2858,2)+1)</f>
        <v/>
      </c>
      <c r="C2863" s="20">
        <f>IFERROR(_xlfn.ISOWEEKNUM(INPUT!M2858),"")</f>
        <v>52</v>
      </c>
      <c r="D2863" s="20">
        <f>IFERROR(YEAR(INPUT!M2858),"")</f>
        <v>1900</v>
      </c>
      <c r="E2863" t="str">
        <f>IF(INPUT!O2858="","",INPUT!O2858)</f>
        <v/>
      </c>
      <c r="F2863" t="str">
        <f>IF(INPUT!N2858="","",INPUT!N2858)</f>
        <v/>
      </c>
      <c r="G2863" cm="1">
        <f t="array" ref="G2863">IFERROR(VLOOKUP(INPUT!M2858&amp;INPUT!N2858,CHOOSE({1,2},INPUT!$A$3:$A$5000&amp;INPUT!$C$3:$C$5000,INPUT!$F$3:$F$5000),2,FALSE),"")</f>
        <v>0</v>
      </c>
      <c r="H2863" cm="1">
        <f t="array" ref="H2863">IFERROR(VLOOKUP(INPUT!M2858&amp;INPUT!N2858,CHOOSE({1,2},INPUT!$A$3:$A$5000&amp;INPUT!$C$3:$C$5000,INPUT!$D$3:$D$5000),2,FALSE),"")</f>
        <v>0</v>
      </c>
      <c r="I2863" s="46" t="str">
        <f>IF(INPUT!P2858="","",INPUT!P2858)</f>
        <v/>
      </c>
      <c r="J2863" s="46" t="str">
        <f>IF(INPUT!Q2858="","",INPUT!Q2858)</f>
        <v/>
      </c>
      <c r="K2863" s="46" t="str">
        <f>IFERROR(IF(OR(INPUT!P2858="",INPUT!Q2858=""),"",INPUT!P2858-INPUT!Q2858),"")</f>
        <v/>
      </c>
      <c r="L2863" s="48" t="str">
        <f>IFERROR(IF(OR(INPUT!P2858="",INPUT!Q2858="",INPUT!P2858=0),"",(INPUT!P2858-INPUT!Q2858)/INPUT!P2858),"")</f>
        <v/>
      </c>
    </row>
    <row r="2864" spans="1:12" ht="18" hidden="1" customHeight="1" x14ac:dyDescent="0.2">
      <c r="A2864" s="11" t="str">
        <f>IF(INPUT!M2859="","",INPUT!M2859)</f>
        <v/>
      </c>
      <c r="B2864" s="11" t="str">
        <f>IF(INPUT!M2859="","",INPUT!M2859-WEEKDAY(INPUT!M2859,2)+1)</f>
        <v/>
      </c>
      <c r="C2864" s="20">
        <f>IFERROR(_xlfn.ISOWEEKNUM(INPUT!M2859),"")</f>
        <v>52</v>
      </c>
      <c r="D2864" s="20">
        <f>IFERROR(YEAR(INPUT!M2859),"")</f>
        <v>1900</v>
      </c>
      <c r="E2864" t="str">
        <f>IF(INPUT!O2859="","",INPUT!O2859)</f>
        <v/>
      </c>
      <c r="F2864" t="str">
        <f>IF(INPUT!N2859="","",INPUT!N2859)</f>
        <v/>
      </c>
      <c r="G2864" cm="1">
        <f t="array" ref="G2864">IFERROR(VLOOKUP(INPUT!M2859&amp;INPUT!N2859,CHOOSE({1,2},INPUT!$A$3:$A$5000&amp;INPUT!$C$3:$C$5000,INPUT!$F$3:$F$5000),2,FALSE),"")</f>
        <v>0</v>
      </c>
      <c r="H2864" cm="1">
        <f t="array" ref="H2864">IFERROR(VLOOKUP(INPUT!M2859&amp;INPUT!N2859,CHOOSE({1,2},INPUT!$A$3:$A$5000&amp;INPUT!$C$3:$C$5000,INPUT!$D$3:$D$5000),2,FALSE),"")</f>
        <v>0</v>
      </c>
      <c r="I2864" s="46" t="str">
        <f>IF(INPUT!P2859="","",INPUT!P2859)</f>
        <v/>
      </c>
      <c r="J2864" s="46" t="str">
        <f>IF(INPUT!Q2859="","",INPUT!Q2859)</f>
        <v/>
      </c>
      <c r="K2864" s="46" t="str">
        <f>IFERROR(IF(OR(INPUT!P2859="",INPUT!Q2859=""),"",INPUT!P2859-INPUT!Q2859),"")</f>
        <v/>
      </c>
      <c r="L2864" s="48" t="str">
        <f>IFERROR(IF(OR(INPUT!P2859="",INPUT!Q2859="",INPUT!P2859=0),"",(INPUT!P2859-INPUT!Q2859)/INPUT!P2859),"")</f>
        <v/>
      </c>
    </row>
    <row r="2865" spans="1:12" ht="18" hidden="1" customHeight="1" x14ac:dyDescent="0.2">
      <c r="A2865" s="11" t="str">
        <f>IF(INPUT!M2860="","",INPUT!M2860)</f>
        <v/>
      </c>
      <c r="B2865" s="11" t="str">
        <f>IF(INPUT!M2860="","",INPUT!M2860-WEEKDAY(INPUT!M2860,2)+1)</f>
        <v/>
      </c>
      <c r="C2865" s="20">
        <f>IFERROR(_xlfn.ISOWEEKNUM(INPUT!M2860),"")</f>
        <v>52</v>
      </c>
      <c r="D2865" s="20">
        <f>IFERROR(YEAR(INPUT!M2860),"")</f>
        <v>1900</v>
      </c>
      <c r="E2865" t="str">
        <f>IF(INPUT!O2860="","",INPUT!O2860)</f>
        <v/>
      </c>
      <c r="F2865" t="str">
        <f>IF(INPUT!N2860="","",INPUT!N2860)</f>
        <v/>
      </c>
      <c r="G2865" cm="1">
        <f t="array" ref="G2865">IFERROR(VLOOKUP(INPUT!M2860&amp;INPUT!N2860,CHOOSE({1,2},INPUT!$A$3:$A$5000&amp;INPUT!$C$3:$C$5000,INPUT!$F$3:$F$5000),2,FALSE),"")</f>
        <v>0</v>
      </c>
      <c r="H2865" cm="1">
        <f t="array" ref="H2865">IFERROR(VLOOKUP(INPUT!M2860&amp;INPUT!N2860,CHOOSE({1,2},INPUT!$A$3:$A$5000&amp;INPUT!$C$3:$C$5000,INPUT!$D$3:$D$5000),2,FALSE),"")</f>
        <v>0</v>
      </c>
      <c r="I2865" s="46" t="str">
        <f>IF(INPUT!P2860="","",INPUT!P2860)</f>
        <v/>
      </c>
      <c r="J2865" s="46" t="str">
        <f>IF(INPUT!Q2860="","",INPUT!Q2860)</f>
        <v/>
      </c>
      <c r="K2865" s="46" t="str">
        <f>IFERROR(IF(OR(INPUT!P2860="",INPUT!Q2860=""),"",INPUT!P2860-INPUT!Q2860),"")</f>
        <v/>
      </c>
      <c r="L2865" s="48" t="str">
        <f>IFERROR(IF(OR(INPUT!P2860="",INPUT!Q2860="",INPUT!P2860=0),"",(INPUT!P2860-INPUT!Q2860)/INPUT!P2860),"")</f>
        <v/>
      </c>
    </row>
    <row r="2866" spans="1:12" ht="18" hidden="1" customHeight="1" x14ac:dyDescent="0.2">
      <c r="A2866" s="11" t="str">
        <f>IF(INPUT!M2861="","",INPUT!M2861)</f>
        <v/>
      </c>
      <c r="B2866" s="11" t="str">
        <f>IF(INPUT!M2861="","",INPUT!M2861-WEEKDAY(INPUT!M2861,2)+1)</f>
        <v/>
      </c>
      <c r="C2866" s="20">
        <f>IFERROR(_xlfn.ISOWEEKNUM(INPUT!M2861),"")</f>
        <v>52</v>
      </c>
      <c r="D2866" s="20">
        <f>IFERROR(YEAR(INPUT!M2861),"")</f>
        <v>1900</v>
      </c>
      <c r="E2866" t="str">
        <f>IF(INPUT!O2861="","",INPUT!O2861)</f>
        <v/>
      </c>
      <c r="F2866" t="str">
        <f>IF(INPUT!N2861="","",INPUT!N2861)</f>
        <v/>
      </c>
      <c r="G2866" cm="1">
        <f t="array" ref="G2866">IFERROR(VLOOKUP(INPUT!M2861&amp;INPUT!N2861,CHOOSE({1,2},INPUT!$A$3:$A$5000&amp;INPUT!$C$3:$C$5000,INPUT!$F$3:$F$5000),2,FALSE),"")</f>
        <v>0</v>
      </c>
      <c r="H2866" cm="1">
        <f t="array" ref="H2866">IFERROR(VLOOKUP(INPUT!M2861&amp;INPUT!N2861,CHOOSE({1,2},INPUT!$A$3:$A$5000&amp;INPUT!$C$3:$C$5000,INPUT!$D$3:$D$5000),2,FALSE),"")</f>
        <v>0</v>
      </c>
      <c r="I2866" s="46" t="str">
        <f>IF(INPUT!P2861="","",INPUT!P2861)</f>
        <v/>
      </c>
      <c r="J2866" s="46" t="str">
        <f>IF(INPUT!Q2861="","",INPUT!Q2861)</f>
        <v/>
      </c>
      <c r="K2866" s="46" t="str">
        <f>IFERROR(IF(OR(INPUT!P2861="",INPUT!Q2861=""),"",INPUT!P2861-INPUT!Q2861),"")</f>
        <v/>
      </c>
      <c r="L2866" s="48" t="str">
        <f>IFERROR(IF(OR(INPUT!P2861="",INPUT!Q2861="",INPUT!P2861=0),"",(INPUT!P2861-INPUT!Q2861)/INPUT!P2861),"")</f>
        <v/>
      </c>
    </row>
    <row r="2867" spans="1:12" ht="18" hidden="1" customHeight="1" x14ac:dyDescent="0.2">
      <c r="A2867" s="11" t="str">
        <f>IF(INPUT!M2862="","",INPUT!M2862)</f>
        <v/>
      </c>
      <c r="B2867" s="11" t="str">
        <f>IF(INPUT!M2862="","",INPUT!M2862-WEEKDAY(INPUT!M2862,2)+1)</f>
        <v/>
      </c>
      <c r="C2867" s="20">
        <f>IFERROR(_xlfn.ISOWEEKNUM(INPUT!M2862),"")</f>
        <v>52</v>
      </c>
      <c r="D2867" s="20">
        <f>IFERROR(YEAR(INPUT!M2862),"")</f>
        <v>1900</v>
      </c>
      <c r="E2867" t="str">
        <f>IF(INPUT!O2862="","",INPUT!O2862)</f>
        <v/>
      </c>
      <c r="F2867" t="str">
        <f>IF(INPUT!N2862="","",INPUT!N2862)</f>
        <v/>
      </c>
      <c r="G2867" cm="1">
        <f t="array" ref="G2867">IFERROR(VLOOKUP(INPUT!M2862&amp;INPUT!N2862,CHOOSE({1,2},INPUT!$A$3:$A$5000&amp;INPUT!$C$3:$C$5000,INPUT!$F$3:$F$5000),2,FALSE),"")</f>
        <v>0</v>
      </c>
      <c r="H2867" cm="1">
        <f t="array" ref="H2867">IFERROR(VLOOKUP(INPUT!M2862&amp;INPUT!N2862,CHOOSE({1,2},INPUT!$A$3:$A$5000&amp;INPUT!$C$3:$C$5000,INPUT!$D$3:$D$5000),2,FALSE),"")</f>
        <v>0</v>
      </c>
      <c r="I2867" s="46" t="str">
        <f>IF(INPUT!P2862="","",INPUT!P2862)</f>
        <v/>
      </c>
      <c r="J2867" s="46" t="str">
        <f>IF(INPUT!Q2862="","",INPUT!Q2862)</f>
        <v/>
      </c>
      <c r="K2867" s="46" t="str">
        <f>IFERROR(IF(OR(INPUT!P2862="",INPUT!Q2862=""),"",INPUT!P2862-INPUT!Q2862),"")</f>
        <v/>
      </c>
      <c r="L2867" s="48" t="str">
        <f>IFERROR(IF(OR(INPUT!P2862="",INPUT!Q2862="",INPUT!P2862=0),"",(INPUT!P2862-INPUT!Q2862)/INPUT!P2862),"")</f>
        <v/>
      </c>
    </row>
    <row r="2868" spans="1:12" ht="18" hidden="1" customHeight="1" x14ac:dyDescent="0.2">
      <c r="A2868" s="11" t="str">
        <f>IF(INPUT!M2863="","",INPUT!M2863)</f>
        <v/>
      </c>
      <c r="B2868" s="11" t="str">
        <f>IF(INPUT!M2863="","",INPUT!M2863-WEEKDAY(INPUT!M2863,2)+1)</f>
        <v/>
      </c>
      <c r="C2868" s="20">
        <f>IFERROR(_xlfn.ISOWEEKNUM(INPUT!M2863),"")</f>
        <v>52</v>
      </c>
      <c r="D2868" s="20">
        <f>IFERROR(YEAR(INPUT!M2863),"")</f>
        <v>1900</v>
      </c>
      <c r="E2868" t="str">
        <f>IF(INPUT!O2863="","",INPUT!O2863)</f>
        <v/>
      </c>
      <c r="F2868" t="str">
        <f>IF(INPUT!N2863="","",INPUT!N2863)</f>
        <v/>
      </c>
      <c r="G2868" cm="1">
        <f t="array" ref="G2868">IFERROR(VLOOKUP(INPUT!M2863&amp;INPUT!N2863,CHOOSE({1,2},INPUT!$A$3:$A$5000&amp;INPUT!$C$3:$C$5000,INPUT!$F$3:$F$5000),2,FALSE),"")</f>
        <v>0</v>
      </c>
      <c r="H2868" cm="1">
        <f t="array" ref="H2868">IFERROR(VLOOKUP(INPUT!M2863&amp;INPUT!N2863,CHOOSE({1,2},INPUT!$A$3:$A$5000&amp;INPUT!$C$3:$C$5000,INPUT!$D$3:$D$5000),2,FALSE),"")</f>
        <v>0</v>
      </c>
      <c r="I2868" s="46" t="str">
        <f>IF(INPUT!P2863="","",INPUT!P2863)</f>
        <v/>
      </c>
      <c r="J2868" s="46" t="str">
        <f>IF(INPUT!Q2863="","",INPUT!Q2863)</f>
        <v/>
      </c>
      <c r="K2868" s="46" t="str">
        <f>IFERROR(IF(OR(INPUT!P2863="",INPUT!Q2863=""),"",INPUT!P2863-INPUT!Q2863),"")</f>
        <v/>
      </c>
      <c r="L2868" s="48" t="str">
        <f>IFERROR(IF(OR(INPUT!P2863="",INPUT!Q2863="",INPUT!P2863=0),"",(INPUT!P2863-INPUT!Q2863)/INPUT!P2863),"")</f>
        <v/>
      </c>
    </row>
    <row r="2869" spans="1:12" ht="18" hidden="1" customHeight="1" x14ac:dyDescent="0.2">
      <c r="A2869" s="11" t="str">
        <f>IF(INPUT!M2864="","",INPUT!M2864)</f>
        <v/>
      </c>
      <c r="B2869" s="11" t="str">
        <f>IF(INPUT!M2864="","",INPUT!M2864-WEEKDAY(INPUT!M2864,2)+1)</f>
        <v/>
      </c>
      <c r="C2869" s="20">
        <f>IFERROR(_xlfn.ISOWEEKNUM(INPUT!M2864),"")</f>
        <v>52</v>
      </c>
      <c r="D2869" s="20">
        <f>IFERROR(YEAR(INPUT!M2864),"")</f>
        <v>1900</v>
      </c>
      <c r="E2869" t="str">
        <f>IF(INPUT!O2864="","",INPUT!O2864)</f>
        <v/>
      </c>
      <c r="F2869" t="str">
        <f>IF(INPUT!N2864="","",INPUT!N2864)</f>
        <v/>
      </c>
      <c r="G2869" cm="1">
        <f t="array" ref="G2869">IFERROR(VLOOKUP(INPUT!M2864&amp;INPUT!N2864,CHOOSE({1,2},INPUT!$A$3:$A$5000&amp;INPUT!$C$3:$C$5000,INPUT!$F$3:$F$5000),2,FALSE),"")</f>
        <v>0</v>
      </c>
      <c r="H2869" cm="1">
        <f t="array" ref="H2869">IFERROR(VLOOKUP(INPUT!M2864&amp;INPUT!N2864,CHOOSE({1,2},INPUT!$A$3:$A$5000&amp;INPUT!$C$3:$C$5000,INPUT!$D$3:$D$5000),2,FALSE),"")</f>
        <v>0</v>
      </c>
      <c r="I2869" s="46" t="str">
        <f>IF(INPUT!P2864="","",INPUT!P2864)</f>
        <v/>
      </c>
      <c r="J2869" s="46" t="str">
        <f>IF(INPUT!Q2864="","",INPUT!Q2864)</f>
        <v/>
      </c>
      <c r="K2869" s="46" t="str">
        <f>IFERROR(IF(OR(INPUT!P2864="",INPUT!Q2864=""),"",INPUT!P2864-INPUT!Q2864),"")</f>
        <v/>
      </c>
      <c r="L2869" s="48" t="str">
        <f>IFERROR(IF(OR(INPUT!P2864="",INPUT!Q2864="",INPUT!P2864=0),"",(INPUT!P2864-INPUT!Q2864)/INPUT!P2864),"")</f>
        <v/>
      </c>
    </row>
    <row r="2870" spans="1:12" ht="18" hidden="1" customHeight="1" x14ac:dyDescent="0.2">
      <c r="A2870" s="11" t="str">
        <f>IF(INPUT!M2865="","",INPUT!M2865)</f>
        <v/>
      </c>
      <c r="B2870" s="11" t="str">
        <f>IF(INPUT!M2865="","",INPUT!M2865-WEEKDAY(INPUT!M2865,2)+1)</f>
        <v/>
      </c>
      <c r="C2870" s="20">
        <f>IFERROR(_xlfn.ISOWEEKNUM(INPUT!M2865),"")</f>
        <v>52</v>
      </c>
      <c r="D2870" s="20">
        <f>IFERROR(YEAR(INPUT!M2865),"")</f>
        <v>1900</v>
      </c>
      <c r="E2870" t="str">
        <f>IF(INPUT!O2865="","",INPUT!O2865)</f>
        <v/>
      </c>
      <c r="F2870" t="str">
        <f>IF(INPUT!N2865="","",INPUT!N2865)</f>
        <v/>
      </c>
      <c r="G2870" cm="1">
        <f t="array" ref="G2870">IFERROR(VLOOKUP(INPUT!M2865&amp;INPUT!N2865,CHOOSE({1,2},INPUT!$A$3:$A$5000&amp;INPUT!$C$3:$C$5000,INPUT!$F$3:$F$5000),2,FALSE),"")</f>
        <v>0</v>
      </c>
      <c r="H2870" cm="1">
        <f t="array" ref="H2870">IFERROR(VLOOKUP(INPUT!M2865&amp;INPUT!N2865,CHOOSE({1,2},INPUT!$A$3:$A$5000&amp;INPUT!$C$3:$C$5000,INPUT!$D$3:$D$5000),2,FALSE),"")</f>
        <v>0</v>
      </c>
      <c r="I2870" s="46" t="str">
        <f>IF(INPUT!P2865="","",INPUT!P2865)</f>
        <v/>
      </c>
      <c r="J2870" s="46" t="str">
        <f>IF(INPUT!Q2865="","",INPUT!Q2865)</f>
        <v/>
      </c>
      <c r="K2870" s="46" t="str">
        <f>IFERROR(IF(OR(INPUT!P2865="",INPUT!Q2865=""),"",INPUT!P2865-INPUT!Q2865),"")</f>
        <v/>
      </c>
      <c r="L2870" s="48" t="str">
        <f>IFERROR(IF(OR(INPUT!P2865="",INPUT!Q2865="",INPUT!P2865=0),"",(INPUT!P2865-INPUT!Q2865)/INPUT!P2865),"")</f>
        <v/>
      </c>
    </row>
    <row r="2871" spans="1:12" ht="18" hidden="1" customHeight="1" x14ac:dyDescent="0.2">
      <c r="A2871" s="11" t="str">
        <f>IF(INPUT!M2866="","",INPUT!M2866)</f>
        <v/>
      </c>
      <c r="B2871" s="11" t="str">
        <f>IF(INPUT!M2866="","",INPUT!M2866-WEEKDAY(INPUT!M2866,2)+1)</f>
        <v/>
      </c>
      <c r="C2871" s="20">
        <f>IFERROR(_xlfn.ISOWEEKNUM(INPUT!M2866),"")</f>
        <v>52</v>
      </c>
      <c r="D2871" s="20">
        <f>IFERROR(YEAR(INPUT!M2866),"")</f>
        <v>1900</v>
      </c>
      <c r="E2871" t="str">
        <f>IF(INPUT!O2866="","",INPUT!O2866)</f>
        <v/>
      </c>
      <c r="F2871" t="str">
        <f>IF(INPUT!N2866="","",INPUT!N2866)</f>
        <v/>
      </c>
      <c r="G2871" cm="1">
        <f t="array" ref="G2871">IFERROR(VLOOKUP(INPUT!M2866&amp;INPUT!N2866,CHOOSE({1,2},INPUT!$A$3:$A$5000&amp;INPUT!$C$3:$C$5000,INPUT!$F$3:$F$5000),2,FALSE),"")</f>
        <v>0</v>
      </c>
      <c r="H2871" cm="1">
        <f t="array" ref="H2871">IFERROR(VLOOKUP(INPUT!M2866&amp;INPUT!N2866,CHOOSE({1,2},INPUT!$A$3:$A$5000&amp;INPUT!$C$3:$C$5000,INPUT!$D$3:$D$5000),2,FALSE),"")</f>
        <v>0</v>
      </c>
      <c r="I2871" s="46" t="str">
        <f>IF(INPUT!P2866="","",INPUT!P2866)</f>
        <v/>
      </c>
      <c r="J2871" s="46" t="str">
        <f>IF(INPUT!Q2866="","",INPUT!Q2866)</f>
        <v/>
      </c>
      <c r="K2871" s="46" t="str">
        <f>IFERROR(IF(OR(INPUT!P2866="",INPUT!Q2866=""),"",INPUT!P2866-INPUT!Q2866),"")</f>
        <v/>
      </c>
      <c r="L2871" s="48" t="str">
        <f>IFERROR(IF(OR(INPUT!P2866="",INPUT!Q2866="",INPUT!P2866=0),"",(INPUT!P2866-INPUT!Q2866)/INPUT!P2866),"")</f>
        <v/>
      </c>
    </row>
    <row r="2872" spans="1:12" ht="18" hidden="1" customHeight="1" x14ac:dyDescent="0.2">
      <c r="A2872" s="11" t="str">
        <f>IF(INPUT!M2867="","",INPUT!M2867)</f>
        <v/>
      </c>
      <c r="B2872" s="11" t="str">
        <f>IF(INPUT!M2867="","",INPUT!M2867-WEEKDAY(INPUT!M2867,2)+1)</f>
        <v/>
      </c>
      <c r="C2872" s="20">
        <f>IFERROR(_xlfn.ISOWEEKNUM(INPUT!M2867),"")</f>
        <v>52</v>
      </c>
      <c r="D2872" s="20">
        <f>IFERROR(YEAR(INPUT!M2867),"")</f>
        <v>1900</v>
      </c>
      <c r="E2872" t="str">
        <f>IF(INPUT!O2867="","",INPUT!O2867)</f>
        <v/>
      </c>
      <c r="F2872" t="str">
        <f>IF(INPUT!N2867="","",INPUT!N2867)</f>
        <v/>
      </c>
      <c r="G2872" cm="1">
        <f t="array" ref="G2872">IFERROR(VLOOKUP(INPUT!M2867&amp;INPUT!N2867,CHOOSE({1,2},INPUT!$A$3:$A$5000&amp;INPUT!$C$3:$C$5000,INPUT!$F$3:$F$5000),2,FALSE),"")</f>
        <v>0</v>
      </c>
      <c r="H2872" cm="1">
        <f t="array" ref="H2872">IFERROR(VLOOKUP(INPUT!M2867&amp;INPUT!N2867,CHOOSE({1,2},INPUT!$A$3:$A$5000&amp;INPUT!$C$3:$C$5000,INPUT!$D$3:$D$5000),2,FALSE),"")</f>
        <v>0</v>
      </c>
      <c r="I2872" s="46" t="str">
        <f>IF(INPUT!P2867="","",INPUT!P2867)</f>
        <v/>
      </c>
      <c r="J2872" s="46" t="str">
        <f>IF(INPUT!Q2867="","",INPUT!Q2867)</f>
        <v/>
      </c>
      <c r="K2872" s="46" t="str">
        <f>IFERROR(IF(OR(INPUT!P2867="",INPUT!Q2867=""),"",INPUT!P2867-INPUT!Q2867),"")</f>
        <v/>
      </c>
      <c r="L2872" s="48" t="str">
        <f>IFERROR(IF(OR(INPUT!P2867="",INPUT!Q2867="",INPUT!P2867=0),"",(INPUT!P2867-INPUT!Q2867)/INPUT!P2867),"")</f>
        <v/>
      </c>
    </row>
    <row r="2873" spans="1:12" ht="18" hidden="1" customHeight="1" x14ac:dyDescent="0.2">
      <c r="A2873" s="11" t="str">
        <f>IF(INPUT!M2868="","",INPUT!M2868)</f>
        <v/>
      </c>
      <c r="B2873" s="11" t="str">
        <f>IF(INPUT!M2868="","",INPUT!M2868-WEEKDAY(INPUT!M2868,2)+1)</f>
        <v/>
      </c>
      <c r="C2873" s="20">
        <f>IFERROR(_xlfn.ISOWEEKNUM(INPUT!M2868),"")</f>
        <v>52</v>
      </c>
      <c r="D2873" s="20">
        <f>IFERROR(YEAR(INPUT!M2868),"")</f>
        <v>1900</v>
      </c>
      <c r="E2873" t="str">
        <f>IF(INPUT!O2868="","",INPUT!O2868)</f>
        <v/>
      </c>
      <c r="F2873" t="str">
        <f>IF(INPUT!N2868="","",INPUT!N2868)</f>
        <v/>
      </c>
      <c r="G2873" cm="1">
        <f t="array" ref="G2873">IFERROR(VLOOKUP(INPUT!M2868&amp;INPUT!N2868,CHOOSE({1,2},INPUT!$A$3:$A$5000&amp;INPUT!$C$3:$C$5000,INPUT!$F$3:$F$5000),2,FALSE),"")</f>
        <v>0</v>
      </c>
      <c r="H2873" cm="1">
        <f t="array" ref="H2873">IFERROR(VLOOKUP(INPUT!M2868&amp;INPUT!N2868,CHOOSE({1,2},INPUT!$A$3:$A$5000&amp;INPUT!$C$3:$C$5000,INPUT!$D$3:$D$5000),2,FALSE),"")</f>
        <v>0</v>
      </c>
      <c r="I2873" s="46" t="str">
        <f>IF(INPUT!P2868="","",INPUT!P2868)</f>
        <v/>
      </c>
      <c r="J2873" s="46" t="str">
        <f>IF(INPUT!Q2868="","",INPUT!Q2868)</f>
        <v/>
      </c>
      <c r="K2873" s="46" t="str">
        <f>IFERROR(IF(OR(INPUT!P2868="",INPUT!Q2868=""),"",INPUT!P2868-INPUT!Q2868),"")</f>
        <v/>
      </c>
      <c r="L2873" s="48" t="str">
        <f>IFERROR(IF(OR(INPUT!P2868="",INPUT!Q2868="",INPUT!P2868=0),"",(INPUT!P2868-INPUT!Q2868)/INPUT!P2868),"")</f>
        <v/>
      </c>
    </row>
    <row r="2874" spans="1:12" ht="18" hidden="1" customHeight="1" x14ac:dyDescent="0.2">
      <c r="A2874" s="11" t="str">
        <f>IF(INPUT!M2869="","",INPUT!M2869)</f>
        <v/>
      </c>
      <c r="B2874" s="11" t="str">
        <f>IF(INPUT!M2869="","",INPUT!M2869-WEEKDAY(INPUT!M2869,2)+1)</f>
        <v/>
      </c>
      <c r="C2874" s="20">
        <f>IFERROR(_xlfn.ISOWEEKNUM(INPUT!M2869),"")</f>
        <v>52</v>
      </c>
      <c r="D2874" s="20">
        <f>IFERROR(YEAR(INPUT!M2869),"")</f>
        <v>1900</v>
      </c>
      <c r="E2874" t="str">
        <f>IF(INPUT!O2869="","",INPUT!O2869)</f>
        <v/>
      </c>
      <c r="F2874" t="str">
        <f>IF(INPUT!N2869="","",INPUT!N2869)</f>
        <v/>
      </c>
      <c r="G2874" cm="1">
        <f t="array" ref="G2874">IFERROR(VLOOKUP(INPUT!M2869&amp;INPUT!N2869,CHOOSE({1,2},INPUT!$A$3:$A$5000&amp;INPUT!$C$3:$C$5000,INPUT!$F$3:$F$5000),2,FALSE),"")</f>
        <v>0</v>
      </c>
      <c r="H2874" cm="1">
        <f t="array" ref="H2874">IFERROR(VLOOKUP(INPUT!M2869&amp;INPUT!N2869,CHOOSE({1,2},INPUT!$A$3:$A$5000&amp;INPUT!$C$3:$C$5000,INPUT!$D$3:$D$5000),2,FALSE),"")</f>
        <v>0</v>
      </c>
      <c r="I2874" s="46" t="str">
        <f>IF(INPUT!P2869="","",INPUT!P2869)</f>
        <v/>
      </c>
      <c r="J2874" s="46" t="str">
        <f>IF(INPUT!Q2869="","",INPUT!Q2869)</f>
        <v/>
      </c>
      <c r="K2874" s="46" t="str">
        <f>IFERROR(IF(OR(INPUT!P2869="",INPUT!Q2869=""),"",INPUT!P2869-INPUT!Q2869),"")</f>
        <v/>
      </c>
      <c r="L2874" s="48" t="str">
        <f>IFERROR(IF(OR(INPUT!P2869="",INPUT!Q2869="",INPUT!P2869=0),"",(INPUT!P2869-INPUT!Q2869)/INPUT!P2869),"")</f>
        <v/>
      </c>
    </row>
    <row r="2875" spans="1:12" ht="18" hidden="1" customHeight="1" x14ac:dyDescent="0.2">
      <c r="A2875" s="11" t="str">
        <f>IF(INPUT!M2870="","",INPUT!M2870)</f>
        <v/>
      </c>
      <c r="B2875" s="11" t="str">
        <f>IF(INPUT!M2870="","",INPUT!M2870-WEEKDAY(INPUT!M2870,2)+1)</f>
        <v/>
      </c>
      <c r="C2875" s="20">
        <f>IFERROR(_xlfn.ISOWEEKNUM(INPUT!M2870),"")</f>
        <v>52</v>
      </c>
      <c r="D2875" s="20">
        <f>IFERROR(YEAR(INPUT!M2870),"")</f>
        <v>1900</v>
      </c>
      <c r="E2875" t="str">
        <f>IF(INPUT!O2870="","",INPUT!O2870)</f>
        <v/>
      </c>
      <c r="F2875" t="str">
        <f>IF(INPUT!N2870="","",INPUT!N2870)</f>
        <v/>
      </c>
      <c r="G2875" cm="1">
        <f t="array" ref="G2875">IFERROR(VLOOKUP(INPUT!M2870&amp;INPUT!N2870,CHOOSE({1,2},INPUT!$A$3:$A$5000&amp;INPUT!$C$3:$C$5000,INPUT!$F$3:$F$5000),2,FALSE),"")</f>
        <v>0</v>
      </c>
      <c r="H2875" cm="1">
        <f t="array" ref="H2875">IFERROR(VLOOKUP(INPUT!M2870&amp;INPUT!N2870,CHOOSE({1,2},INPUT!$A$3:$A$5000&amp;INPUT!$C$3:$C$5000,INPUT!$D$3:$D$5000),2,FALSE),"")</f>
        <v>0</v>
      </c>
      <c r="I2875" s="46" t="str">
        <f>IF(INPUT!P2870="","",INPUT!P2870)</f>
        <v/>
      </c>
      <c r="J2875" s="46" t="str">
        <f>IF(INPUT!Q2870="","",INPUT!Q2870)</f>
        <v/>
      </c>
      <c r="K2875" s="46" t="str">
        <f>IFERROR(IF(OR(INPUT!P2870="",INPUT!Q2870=""),"",INPUT!P2870-INPUT!Q2870),"")</f>
        <v/>
      </c>
      <c r="L2875" s="48" t="str">
        <f>IFERROR(IF(OR(INPUT!P2870="",INPUT!Q2870="",INPUT!P2870=0),"",(INPUT!P2870-INPUT!Q2870)/INPUT!P2870),"")</f>
        <v/>
      </c>
    </row>
    <row r="2876" spans="1:12" ht="18" hidden="1" customHeight="1" x14ac:dyDescent="0.2">
      <c r="A2876" s="11" t="str">
        <f>IF(INPUT!M2871="","",INPUT!M2871)</f>
        <v/>
      </c>
      <c r="B2876" s="11" t="str">
        <f>IF(INPUT!M2871="","",INPUT!M2871-WEEKDAY(INPUT!M2871,2)+1)</f>
        <v/>
      </c>
      <c r="C2876" s="20">
        <f>IFERROR(_xlfn.ISOWEEKNUM(INPUT!M2871),"")</f>
        <v>52</v>
      </c>
      <c r="D2876" s="20">
        <f>IFERROR(YEAR(INPUT!M2871),"")</f>
        <v>1900</v>
      </c>
      <c r="E2876" t="str">
        <f>IF(INPUT!O2871="","",INPUT!O2871)</f>
        <v/>
      </c>
      <c r="F2876" t="str">
        <f>IF(INPUT!N2871="","",INPUT!N2871)</f>
        <v/>
      </c>
      <c r="G2876" cm="1">
        <f t="array" ref="G2876">IFERROR(VLOOKUP(INPUT!M2871&amp;INPUT!N2871,CHOOSE({1,2},INPUT!$A$3:$A$5000&amp;INPUT!$C$3:$C$5000,INPUT!$F$3:$F$5000),2,FALSE),"")</f>
        <v>0</v>
      </c>
      <c r="H2876" cm="1">
        <f t="array" ref="H2876">IFERROR(VLOOKUP(INPUT!M2871&amp;INPUT!N2871,CHOOSE({1,2},INPUT!$A$3:$A$5000&amp;INPUT!$C$3:$C$5000,INPUT!$D$3:$D$5000),2,FALSE),"")</f>
        <v>0</v>
      </c>
      <c r="I2876" s="46" t="str">
        <f>IF(INPUT!P2871="","",INPUT!P2871)</f>
        <v/>
      </c>
      <c r="J2876" s="46" t="str">
        <f>IF(INPUT!Q2871="","",INPUT!Q2871)</f>
        <v/>
      </c>
      <c r="K2876" s="46" t="str">
        <f>IFERROR(IF(OR(INPUT!P2871="",INPUT!Q2871=""),"",INPUT!P2871-INPUT!Q2871),"")</f>
        <v/>
      </c>
      <c r="L2876" s="48" t="str">
        <f>IFERROR(IF(OR(INPUT!P2871="",INPUT!Q2871="",INPUT!P2871=0),"",(INPUT!P2871-INPUT!Q2871)/INPUT!P2871),"")</f>
        <v/>
      </c>
    </row>
    <row r="2877" spans="1:12" ht="18" hidden="1" customHeight="1" x14ac:dyDescent="0.2">
      <c r="A2877" s="11" t="str">
        <f>IF(INPUT!M2872="","",INPUT!M2872)</f>
        <v/>
      </c>
      <c r="B2877" s="11" t="str">
        <f>IF(INPUT!M2872="","",INPUT!M2872-WEEKDAY(INPUT!M2872,2)+1)</f>
        <v/>
      </c>
      <c r="C2877" s="20">
        <f>IFERROR(_xlfn.ISOWEEKNUM(INPUT!M2872),"")</f>
        <v>52</v>
      </c>
      <c r="D2877" s="20">
        <f>IFERROR(YEAR(INPUT!M2872),"")</f>
        <v>1900</v>
      </c>
      <c r="E2877" t="str">
        <f>IF(INPUT!O2872="","",INPUT!O2872)</f>
        <v/>
      </c>
      <c r="F2877" t="str">
        <f>IF(INPUT!N2872="","",INPUT!N2872)</f>
        <v/>
      </c>
      <c r="G2877" cm="1">
        <f t="array" ref="G2877">IFERROR(VLOOKUP(INPUT!M2872&amp;INPUT!N2872,CHOOSE({1,2},INPUT!$A$3:$A$5000&amp;INPUT!$C$3:$C$5000,INPUT!$F$3:$F$5000),2,FALSE),"")</f>
        <v>0</v>
      </c>
      <c r="H2877" cm="1">
        <f t="array" ref="H2877">IFERROR(VLOOKUP(INPUT!M2872&amp;INPUT!N2872,CHOOSE({1,2},INPUT!$A$3:$A$5000&amp;INPUT!$C$3:$C$5000,INPUT!$D$3:$D$5000),2,FALSE),"")</f>
        <v>0</v>
      </c>
      <c r="I2877" s="46" t="str">
        <f>IF(INPUT!P2872="","",INPUT!P2872)</f>
        <v/>
      </c>
      <c r="J2877" s="46" t="str">
        <f>IF(INPUT!Q2872="","",INPUT!Q2872)</f>
        <v/>
      </c>
      <c r="K2877" s="46" t="str">
        <f>IFERROR(IF(OR(INPUT!P2872="",INPUT!Q2872=""),"",INPUT!P2872-INPUT!Q2872),"")</f>
        <v/>
      </c>
      <c r="L2877" s="48" t="str">
        <f>IFERROR(IF(OR(INPUT!P2872="",INPUT!Q2872="",INPUT!P2872=0),"",(INPUT!P2872-INPUT!Q2872)/INPUT!P2872),"")</f>
        <v/>
      </c>
    </row>
    <row r="2878" spans="1:12" ht="18" hidden="1" customHeight="1" x14ac:dyDescent="0.2">
      <c r="A2878" s="11" t="str">
        <f>IF(INPUT!M2873="","",INPUT!M2873)</f>
        <v/>
      </c>
      <c r="B2878" s="11" t="str">
        <f>IF(INPUT!M2873="","",INPUT!M2873-WEEKDAY(INPUT!M2873,2)+1)</f>
        <v/>
      </c>
      <c r="C2878" s="20">
        <f>IFERROR(_xlfn.ISOWEEKNUM(INPUT!M2873),"")</f>
        <v>52</v>
      </c>
      <c r="D2878" s="20">
        <f>IFERROR(YEAR(INPUT!M2873),"")</f>
        <v>1900</v>
      </c>
      <c r="E2878" t="str">
        <f>IF(INPUT!O2873="","",INPUT!O2873)</f>
        <v/>
      </c>
      <c r="F2878" t="str">
        <f>IF(INPUT!N2873="","",INPUT!N2873)</f>
        <v/>
      </c>
      <c r="G2878" cm="1">
        <f t="array" ref="G2878">IFERROR(VLOOKUP(INPUT!M2873&amp;INPUT!N2873,CHOOSE({1,2},INPUT!$A$3:$A$5000&amp;INPUT!$C$3:$C$5000,INPUT!$F$3:$F$5000),2,FALSE),"")</f>
        <v>0</v>
      </c>
      <c r="H2878" cm="1">
        <f t="array" ref="H2878">IFERROR(VLOOKUP(INPUT!M2873&amp;INPUT!N2873,CHOOSE({1,2},INPUT!$A$3:$A$5000&amp;INPUT!$C$3:$C$5000,INPUT!$D$3:$D$5000),2,FALSE),"")</f>
        <v>0</v>
      </c>
      <c r="I2878" s="46" t="str">
        <f>IF(INPUT!P2873="","",INPUT!P2873)</f>
        <v/>
      </c>
      <c r="J2878" s="46" t="str">
        <f>IF(INPUT!Q2873="","",INPUT!Q2873)</f>
        <v/>
      </c>
      <c r="K2878" s="46" t="str">
        <f>IFERROR(IF(OR(INPUT!P2873="",INPUT!Q2873=""),"",INPUT!P2873-INPUT!Q2873),"")</f>
        <v/>
      </c>
      <c r="L2878" s="48" t="str">
        <f>IFERROR(IF(OR(INPUT!P2873="",INPUT!Q2873="",INPUT!P2873=0),"",(INPUT!P2873-INPUT!Q2873)/INPUT!P2873),"")</f>
        <v/>
      </c>
    </row>
    <row r="2879" spans="1:12" ht="18" hidden="1" customHeight="1" x14ac:dyDescent="0.2">
      <c r="A2879" s="11" t="str">
        <f>IF(INPUT!M2874="","",INPUT!M2874)</f>
        <v/>
      </c>
      <c r="B2879" s="11" t="str">
        <f>IF(INPUT!M2874="","",INPUT!M2874-WEEKDAY(INPUT!M2874,2)+1)</f>
        <v/>
      </c>
      <c r="C2879" s="20">
        <f>IFERROR(_xlfn.ISOWEEKNUM(INPUT!M2874),"")</f>
        <v>52</v>
      </c>
      <c r="D2879" s="20">
        <f>IFERROR(YEAR(INPUT!M2874),"")</f>
        <v>1900</v>
      </c>
      <c r="E2879" t="str">
        <f>IF(INPUT!O2874="","",INPUT!O2874)</f>
        <v/>
      </c>
      <c r="F2879" t="str">
        <f>IF(INPUT!N2874="","",INPUT!N2874)</f>
        <v/>
      </c>
      <c r="G2879" cm="1">
        <f t="array" ref="G2879">IFERROR(VLOOKUP(INPUT!M2874&amp;INPUT!N2874,CHOOSE({1,2},INPUT!$A$3:$A$5000&amp;INPUT!$C$3:$C$5000,INPUT!$F$3:$F$5000),2,FALSE),"")</f>
        <v>0</v>
      </c>
      <c r="H2879" cm="1">
        <f t="array" ref="H2879">IFERROR(VLOOKUP(INPUT!M2874&amp;INPUT!N2874,CHOOSE({1,2},INPUT!$A$3:$A$5000&amp;INPUT!$C$3:$C$5000,INPUT!$D$3:$D$5000),2,FALSE),"")</f>
        <v>0</v>
      </c>
      <c r="I2879" s="46" t="str">
        <f>IF(INPUT!P2874="","",INPUT!P2874)</f>
        <v/>
      </c>
      <c r="J2879" s="46" t="str">
        <f>IF(INPUT!Q2874="","",INPUT!Q2874)</f>
        <v/>
      </c>
      <c r="K2879" s="46" t="str">
        <f>IFERROR(IF(OR(INPUT!P2874="",INPUT!Q2874=""),"",INPUT!P2874-INPUT!Q2874),"")</f>
        <v/>
      </c>
      <c r="L2879" s="48" t="str">
        <f>IFERROR(IF(OR(INPUT!P2874="",INPUT!Q2874="",INPUT!P2874=0),"",(INPUT!P2874-INPUT!Q2874)/INPUT!P2874),"")</f>
        <v/>
      </c>
    </row>
    <row r="2880" spans="1:12" ht="18" hidden="1" customHeight="1" x14ac:dyDescent="0.2">
      <c r="A2880" s="11" t="str">
        <f>IF(INPUT!M2875="","",INPUT!M2875)</f>
        <v/>
      </c>
      <c r="B2880" s="11" t="str">
        <f>IF(INPUT!M2875="","",INPUT!M2875-WEEKDAY(INPUT!M2875,2)+1)</f>
        <v/>
      </c>
      <c r="C2880" s="20">
        <f>IFERROR(_xlfn.ISOWEEKNUM(INPUT!M2875),"")</f>
        <v>52</v>
      </c>
      <c r="D2880" s="20">
        <f>IFERROR(YEAR(INPUT!M2875),"")</f>
        <v>1900</v>
      </c>
      <c r="E2880" t="str">
        <f>IF(INPUT!O2875="","",INPUT!O2875)</f>
        <v/>
      </c>
      <c r="F2880" t="str">
        <f>IF(INPUT!N2875="","",INPUT!N2875)</f>
        <v/>
      </c>
      <c r="G2880" cm="1">
        <f t="array" ref="G2880">IFERROR(VLOOKUP(INPUT!M2875&amp;INPUT!N2875,CHOOSE({1,2},INPUT!$A$3:$A$5000&amp;INPUT!$C$3:$C$5000,INPUT!$F$3:$F$5000),2,FALSE),"")</f>
        <v>0</v>
      </c>
      <c r="H2880" cm="1">
        <f t="array" ref="H2880">IFERROR(VLOOKUP(INPUT!M2875&amp;INPUT!N2875,CHOOSE({1,2},INPUT!$A$3:$A$5000&amp;INPUT!$C$3:$C$5000,INPUT!$D$3:$D$5000),2,FALSE),"")</f>
        <v>0</v>
      </c>
      <c r="I2880" s="46" t="str">
        <f>IF(INPUT!P2875="","",INPUT!P2875)</f>
        <v/>
      </c>
      <c r="J2880" s="46" t="str">
        <f>IF(INPUT!Q2875="","",INPUT!Q2875)</f>
        <v/>
      </c>
      <c r="K2880" s="46" t="str">
        <f>IFERROR(IF(OR(INPUT!P2875="",INPUT!Q2875=""),"",INPUT!P2875-INPUT!Q2875),"")</f>
        <v/>
      </c>
      <c r="L2880" s="48" t="str">
        <f>IFERROR(IF(OR(INPUT!P2875="",INPUT!Q2875="",INPUT!P2875=0),"",(INPUT!P2875-INPUT!Q2875)/INPUT!P2875),"")</f>
        <v/>
      </c>
    </row>
    <row r="2881" spans="1:12" ht="18" hidden="1" customHeight="1" x14ac:dyDescent="0.2">
      <c r="A2881" s="11" t="str">
        <f>IF(INPUT!M2876="","",INPUT!M2876)</f>
        <v/>
      </c>
      <c r="B2881" s="11" t="str">
        <f>IF(INPUT!M2876="","",INPUT!M2876-WEEKDAY(INPUT!M2876,2)+1)</f>
        <v/>
      </c>
      <c r="C2881" s="20">
        <f>IFERROR(_xlfn.ISOWEEKNUM(INPUT!M2876),"")</f>
        <v>52</v>
      </c>
      <c r="D2881" s="20">
        <f>IFERROR(YEAR(INPUT!M2876),"")</f>
        <v>1900</v>
      </c>
      <c r="E2881" t="str">
        <f>IF(INPUT!O2876="","",INPUT!O2876)</f>
        <v/>
      </c>
      <c r="F2881" t="str">
        <f>IF(INPUT!N2876="","",INPUT!N2876)</f>
        <v/>
      </c>
      <c r="G2881" cm="1">
        <f t="array" ref="G2881">IFERROR(VLOOKUP(INPUT!M2876&amp;INPUT!N2876,CHOOSE({1,2},INPUT!$A$3:$A$5000&amp;INPUT!$C$3:$C$5000,INPUT!$F$3:$F$5000),2,FALSE),"")</f>
        <v>0</v>
      </c>
      <c r="H2881" cm="1">
        <f t="array" ref="H2881">IFERROR(VLOOKUP(INPUT!M2876&amp;INPUT!N2876,CHOOSE({1,2},INPUT!$A$3:$A$5000&amp;INPUT!$C$3:$C$5000,INPUT!$D$3:$D$5000),2,FALSE),"")</f>
        <v>0</v>
      </c>
      <c r="I2881" s="46" t="str">
        <f>IF(INPUT!P2876="","",INPUT!P2876)</f>
        <v/>
      </c>
      <c r="J2881" s="46" t="str">
        <f>IF(INPUT!Q2876="","",INPUT!Q2876)</f>
        <v/>
      </c>
      <c r="K2881" s="46" t="str">
        <f>IFERROR(IF(OR(INPUT!P2876="",INPUT!Q2876=""),"",INPUT!P2876-INPUT!Q2876),"")</f>
        <v/>
      </c>
      <c r="L2881" s="48" t="str">
        <f>IFERROR(IF(OR(INPUT!P2876="",INPUT!Q2876="",INPUT!P2876=0),"",(INPUT!P2876-INPUT!Q2876)/INPUT!P2876),"")</f>
        <v/>
      </c>
    </row>
    <row r="2882" spans="1:12" ht="18" hidden="1" customHeight="1" x14ac:dyDescent="0.2">
      <c r="A2882" s="11" t="str">
        <f>IF(INPUT!M2877="","",INPUT!M2877)</f>
        <v/>
      </c>
      <c r="B2882" s="11" t="str">
        <f>IF(INPUT!M2877="","",INPUT!M2877-WEEKDAY(INPUT!M2877,2)+1)</f>
        <v/>
      </c>
      <c r="C2882" s="20">
        <f>IFERROR(_xlfn.ISOWEEKNUM(INPUT!M2877),"")</f>
        <v>52</v>
      </c>
      <c r="D2882" s="20">
        <f>IFERROR(YEAR(INPUT!M2877),"")</f>
        <v>1900</v>
      </c>
      <c r="E2882" t="str">
        <f>IF(INPUT!O2877="","",INPUT!O2877)</f>
        <v/>
      </c>
      <c r="F2882" t="str">
        <f>IF(INPUT!N2877="","",INPUT!N2877)</f>
        <v/>
      </c>
      <c r="G2882" cm="1">
        <f t="array" ref="G2882">IFERROR(VLOOKUP(INPUT!M2877&amp;INPUT!N2877,CHOOSE({1,2},INPUT!$A$3:$A$5000&amp;INPUT!$C$3:$C$5000,INPUT!$F$3:$F$5000),2,FALSE),"")</f>
        <v>0</v>
      </c>
      <c r="H2882" cm="1">
        <f t="array" ref="H2882">IFERROR(VLOOKUP(INPUT!M2877&amp;INPUT!N2877,CHOOSE({1,2},INPUT!$A$3:$A$5000&amp;INPUT!$C$3:$C$5000,INPUT!$D$3:$D$5000),2,FALSE),"")</f>
        <v>0</v>
      </c>
      <c r="I2882" s="46" t="str">
        <f>IF(INPUT!P2877="","",INPUT!P2877)</f>
        <v/>
      </c>
      <c r="J2882" s="46" t="str">
        <f>IF(INPUT!Q2877="","",INPUT!Q2877)</f>
        <v/>
      </c>
      <c r="K2882" s="46" t="str">
        <f>IFERROR(IF(OR(INPUT!P2877="",INPUT!Q2877=""),"",INPUT!P2877-INPUT!Q2877),"")</f>
        <v/>
      </c>
      <c r="L2882" s="48" t="str">
        <f>IFERROR(IF(OR(INPUT!P2877="",INPUT!Q2877="",INPUT!P2877=0),"",(INPUT!P2877-INPUT!Q2877)/INPUT!P2877),"")</f>
        <v/>
      </c>
    </row>
    <row r="2883" spans="1:12" ht="18" hidden="1" customHeight="1" x14ac:dyDescent="0.2">
      <c r="A2883" s="11" t="str">
        <f>IF(INPUT!M2878="","",INPUT!M2878)</f>
        <v/>
      </c>
      <c r="B2883" s="11" t="str">
        <f>IF(INPUT!M2878="","",INPUT!M2878-WEEKDAY(INPUT!M2878,2)+1)</f>
        <v/>
      </c>
      <c r="C2883" s="20">
        <f>IFERROR(_xlfn.ISOWEEKNUM(INPUT!M2878),"")</f>
        <v>52</v>
      </c>
      <c r="D2883" s="20">
        <f>IFERROR(YEAR(INPUT!M2878),"")</f>
        <v>1900</v>
      </c>
      <c r="E2883" t="str">
        <f>IF(INPUT!O2878="","",INPUT!O2878)</f>
        <v/>
      </c>
      <c r="F2883" t="str">
        <f>IF(INPUT!N2878="","",INPUT!N2878)</f>
        <v/>
      </c>
      <c r="G2883" cm="1">
        <f t="array" ref="G2883">IFERROR(VLOOKUP(INPUT!M2878&amp;INPUT!N2878,CHOOSE({1,2},INPUT!$A$3:$A$5000&amp;INPUT!$C$3:$C$5000,INPUT!$F$3:$F$5000),2,FALSE),"")</f>
        <v>0</v>
      </c>
      <c r="H2883" cm="1">
        <f t="array" ref="H2883">IFERROR(VLOOKUP(INPUT!M2878&amp;INPUT!N2878,CHOOSE({1,2},INPUT!$A$3:$A$5000&amp;INPUT!$C$3:$C$5000,INPUT!$D$3:$D$5000),2,FALSE),"")</f>
        <v>0</v>
      </c>
      <c r="I2883" s="46" t="str">
        <f>IF(INPUT!P2878="","",INPUT!P2878)</f>
        <v/>
      </c>
      <c r="J2883" s="46" t="str">
        <f>IF(INPUT!Q2878="","",INPUT!Q2878)</f>
        <v/>
      </c>
      <c r="K2883" s="46" t="str">
        <f>IFERROR(IF(OR(INPUT!P2878="",INPUT!Q2878=""),"",INPUT!P2878-INPUT!Q2878),"")</f>
        <v/>
      </c>
      <c r="L2883" s="48" t="str">
        <f>IFERROR(IF(OR(INPUT!P2878="",INPUT!Q2878="",INPUT!P2878=0),"",(INPUT!P2878-INPUT!Q2878)/INPUT!P2878),"")</f>
        <v/>
      </c>
    </row>
    <row r="2884" spans="1:12" ht="18" hidden="1" customHeight="1" x14ac:dyDescent="0.2">
      <c r="A2884" s="11" t="str">
        <f>IF(INPUT!M2879="","",INPUT!M2879)</f>
        <v/>
      </c>
      <c r="B2884" s="11" t="str">
        <f>IF(INPUT!M2879="","",INPUT!M2879-WEEKDAY(INPUT!M2879,2)+1)</f>
        <v/>
      </c>
      <c r="C2884" s="20">
        <f>IFERROR(_xlfn.ISOWEEKNUM(INPUT!M2879),"")</f>
        <v>52</v>
      </c>
      <c r="D2884" s="20">
        <f>IFERROR(YEAR(INPUT!M2879),"")</f>
        <v>1900</v>
      </c>
      <c r="E2884" t="str">
        <f>IF(INPUT!O2879="","",INPUT!O2879)</f>
        <v/>
      </c>
      <c r="F2884" t="str">
        <f>IF(INPUT!N2879="","",INPUT!N2879)</f>
        <v/>
      </c>
      <c r="G2884" cm="1">
        <f t="array" ref="G2884">IFERROR(VLOOKUP(INPUT!M2879&amp;INPUT!N2879,CHOOSE({1,2},INPUT!$A$3:$A$5000&amp;INPUT!$C$3:$C$5000,INPUT!$F$3:$F$5000),2,FALSE),"")</f>
        <v>0</v>
      </c>
      <c r="H2884" cm="1">
        <f t="array" ref="H2884">IFERROR(VLOOKUP(INPUT!M2879&amp;INPUT!N2879,CHOOSE({1,2},INPUT!$A$3:$A$5000&amp;INPUT!$C$3:$C$5000,INPUT!$D$3:$D$5000),2,FALSE),"")</f>
        <v>0</v>
      </c>
      <c r="I2884" s="46" t="str">
        <f>IF(INPUT!P2879="","",INPUT!P2879)</f>
        <v/>
      </c>
      <c r="J2884" s="46" t="str">
        <f>IF(INPUT!Q2879="","",INPUT!Q2879)</f>
        <v/>
      </c>
      <c r="K2884" s="46" t="str">
        <f>IFERROR(IF(OR(INPUT!P2879="",INPUT!Q2879=""),"",INPUT!P2879-INPUT!Q2879),"")</f>
        <v/>
      </c>
      <c r="L2884" s="48" t="str">
        <f>IFERROR(IF(OR(INPUT!P2879="",INPUT!Q2879="",INPUT!P2879=0),"",(INPUT!P2879-INPUT!Q2879)/INPUT!P2879),"")</f>
        <v/>
      </c>
    </row>
    <row r="2885" spans="1:12" ht="18" hidden="1" customHeight="1" x14ac:dyDescent="0.2">
      <c r="A2885" s="11" t="str">
        <f>IF(INPUT!M2880="","",INPUT!M2880)</f>
        <v/>
      </c>
      <c r="B2885" s="11" t="str">
        <f>IF(INPUT!M2880="","",INPUT!M2880-WEEKDAY(INPUT!M2880,2)+1)</f>
        <v/>
      </c>
      <c r="C2885" s="20">
        <f>IFERROR(_xlfn.ISOWEEKNUM(INPUT!M2880),"")</f>
        <v>52</v>
      </c>
      <c r="D2885" s="20">
        <f>IFERROR(YEAR(INPUT!M2880),"")</f>
        <v>1900</v>
      </c>
      <c r="E2885" t="str">
        <f>IF(INPUT!O2880="","",INPUT!O2880)</f>
        <v/>
      </c>
      <c r="F2885" t="str">
        <f>IF(INPUT!N2880="","",INPUT!N2880)</f>
        <v/>
      </c>
      <c r="G2885" cm="1">
        <f t="array" ref="G2885">IFERROR(VLOOKUP(INPUT!M2880&amp;INPUT!N2880,CHOOSE({1,2},INPUT!$A$3:$A$5000&amp;INPUT!$C$3:$C$5000,INPUT!$F$3:$F$5000),2,FALSE),"")</f>
        <v>0</v>
      </c>
      <c r="H2885" cm="1">
        <f t="array" ref="H2885">IFERROR(VLOOKUP(INPUT!M2880&amp;INPUT!N2880,CHOOSE({1,2},INPUT!$A$3:$A$5000&amp;INPUT!$C$3:$C$5000,INPUT!$D$3:$D$5000),2,FALSE),"")</f>
        <v>0</v>
      </c>
      <c r="I2885" s="46" t="str">
        <f>IF(INPUT!P2880="","",INPUT!P2880)</f>
        <v/>
      </c>
      <c r="J2885" s="46" t="str">
        <f>IF(INPUT!Q2880="","",INPUT!Q2880)</f>
        <v/>
      </c>
      <c r="K2885" s="46" t="str">
        <f>IFERROR(IF(OR(INPUT!P2880="",INPUT!Q2880=""),"",INPUT!P2880-INPUT!Q2880),"")</f>
        <v/>
      </c>
      <c r="L2885" s="48" t="str">
        <f>IFERROR(IF(OR(INPUT!P2880="",INPUT!Q2880="",INPUT!P2880=0),"",(INPUT!P2880-INPUT!Q2880)/INPUT!P2880),"")</f>
        <v/>
      </c>
    </row>
    <row r="2886" spans="1:12" ht="18" hidden="1" customHeight="1" x14ac:dyDescent="0.2">
      <c r="A2886" s="11" t="str">
        <f>IF(INPUT!M2881="","",INPUT!M2881)</f>
        <v/>
      </c>
      <c r="B2886" s="11" t="str">
        <f>IF(INPUT!M2881="","",INPUT!M2881-WEEKDAY(INPUT!M2881,2)+1)</f>
        <v/>
      </c>
      <c r="C2886" s="20">
        <f>IFERROR(_xlfn.ISOWEEKNUM(INPUT!M2881),"")</f>
        <v>52</v>
      </c>
      <c r="D2886" s="20">
        <f>IFERROR(YEAR(INPUT!M2881),"")</f>
        <v>1900</v>
      </c>
      <c r="E2886" t="str">
        <f>IF(INPUT!O2881="","",INPUT!O2881)</f>
        <v/>
      </c>
      <c r="F2886" t="str">
        <f>IF(INPUT!N2881="","",INPUT!N2881)</f>
        <v/>
      </c>
      <c r="G2886" cm="1">
        <f t="array" ref="G2886">IFERROR(VLOOKUP(INPUT!M2881&amp;INPUT!N2881,CHOOSE({1,2},INPUT!$A$3:$A$5000&amp;INPUT!$C$3:$C$5000,INPUT!$F$3:$F$5000),2,FALSE),"")</f>
        <v>0</v>
      </c>
      <c r="H2886" cm="1">
        <f t="array" ref="H2886">IFERROR(VLOOKUP(INPUT!M2881&amp;INPUT!N2881,CHOOSE({1,2},INPUT!$A$3:$A$5000&amp;INPUT!$C$3:$C$5000,INPUT!$D$3:$D$5000),2,FALSE),"")</f>
        <v>0</v>
      </c>
      <c r="I2886" s="46" t="str">
        <f>IF(INPUT!P2881="","",INPUT!P2881)</f>
        <v/>
      </c>
      <c r="J2886" s="46" t="str">
        <f>IF(INPUT!Q2881="","",INPUT!Q2881)</f>
        <v/>
      </c>
      <c r="K2886" s="46" t="str">
        <f>IFERROR(IF(OR(INPUT!P2881="",INPUT!Q2881=""),"",INPUT!P2881-INPUT!Q2881),"")</f>
        <v/>
      </c>
      <c r="L2886" s="48" t="str">
        <f>IFERROR(IF(OR(INPUT!P2881="",INPUT!Q2881="",INPUT!P2881=0),"",(INPUT!P2881-INPUT!Q2881)/INPUT!P2881),"")</f>
        <v/>
      </c>
    </row>
    <row r="2887" spans="1:12" ht="18" hidden="1" customHeight="1" x14ac:dyDescent="0.2">
      <c r="A2887" s="11" t="str">
        <f>IF(INPUT!M2882="","",INPUT!M2882)</f>
        <v/>
      </c>
      <c r="B2887" s="11" t="str">
        <f>IF(INPUT!M2882="","",INPUT!M2882-WEEKDAY(INPUT!M2882,2)+1)</f>
        <v/>
      </c>
      <c r="C2887" s="20">
        <f>IFERROR(_xlfn.ISOWEEKNUM(INPUT!M2882),"")</f>
        <v>52</v>
      </c>
      <c r="D2887" s="20">
        <f>IFERROR(YEAR(INPUT!M2882),"")</f>
        <v>1900</v>
      </c>
      <c r="E2887" t="str">
        <f>IF(INPUT!O2882="","",INPUT!O2882)</f>
        <v/>
      </c>
      <c r="F2887" t="str">
        <f>IF(INPUT!N2882="","",INPUT!N2882)</f>
        <v/>
      </c>
      <c r="G2887" cm="1">
        <f t="array" ref="G2887">IFERROR(VLOOKUP(INPUT!M2882&amp;INPUT!N2882,CHOOSE({1,2},INPUT!$A$3:$A$5000&amp;INPUT!$C$3:$C$5000,INPUT!$F$3:$F$5000),2,FALSE),"")</f>
        <v>0</v>
      </c>
      <c r="H2887" cm="1">
        <f t="array" ref="H2887">IFERROR(VLOOKUP(INPUT!M2882&amp;INPUT!N2882,CHOOSE({1,2},INPUT!$A$3:$A$5000&amp;INPUT!$C$3:$C$5000,INPUT!$D$3:$D$5000),2,FALSE),"")</f>
        <v>0</v>
      </c>
      <c r="I2887" s="46" t="str">
        <f>IF(INPUT!P2882="","",INPUT!P2882)</f>
        <v/>
      </c>
      <c r="J2887" s="46" t="str">
        <f>IF(INPUT!Q2882="","",INPUT!Q2882)</f>
        <v/>
      </c>
      <c r="K2887" s="46" t="str">
        <f>IFERROR(IF(OR(INPUT!P2882="",INPUT!Q2882=""),"",INPUT!P2882-INPUT!Q2882),"")</f>
        <v/>
      </c>
      <c r="L2887" s="48" t="str">
        <f>IFERROR(IF(OR(INPUT!P2882="",INPUT!Q2882="",INPUT!P2882=0),"",(INPUT!P2882-INPUT!Q2882)/INPUT!P2882),"")</f>
        <v/>
      </c>
    </row>
    <row r="2888" spans="1:12" ht="18" hidden="1" customHeight="1" x14ac:dyDescent="0.2">
      <c r="A2888" s="11" t="str">
        <f>IF(INPUT!M2883="","",INPUT!M2883)</f>
        <v/>
      </c>
      <c r="B2888" s="11" t="str">
        <f>IF(INPUT!M2883="","",INPUT!M2883-WEEKDAY(INPUT!M2883,2)+1)</f>
        <v/>
      </c>
      <c r="C2888" s="20">
        <f>IFERROR(_xlfn.ISOWEEKNUM(INPUT!M2883),"")</f>
        <v>52</v>
      </c>
      <c r="D2888" s="20">
        <f>IFERROR(YEAR(INPUT!M2883),"")</f>
        <v>1900</v>
      </c>
      <c r="E2888" t="str">
        <f>IF(INPUT!O2883="","",INPUT!O2883)</f>
        <v/>
      </c>
      <c r="F2888" t="str">
        <f>IF(INPUT!N2883="","",INPUT!N2883)</f>
        <v/>
      </c>
      <c r="G2888" cm="1">
        <f t="array" ref="G2888">IFERROR(VLOOKUP(INPUT!M2883&amp;INPUT!N2883,CHOOSE({1,2},INPUT!$A$3:$A$5000&amp;INPUT!$C$3:$C$5000,INPUT!$F$3:$F$5000),2,FALSE),"")</f>
        <v>0</v>
      </c>
      <c r="H2888" cm="1">
        <f t="array" ref="H2888">IFERROR(VLOOKUP(INPUT!M2883&amp;INPUT!N2883,CHOOSE({1,2},INPUT!$A$3:$A$5000&amp;INPUT!$C$3:$C$5000,INPUT!$D$3:$D$5000),2,FALSE),"")</f>
        <v>0</v>
      </c>
      <c r="I2888" s="46" t="str">
        <f>IF(INPUT!P2883="","",INPUT!P2883)</f>
        <v/>
      </c>
      <c r="J2888" s="46" t="str">
        <f>IF(INPUT!Q2883="","",INPUT!Q2883)</f>
        <v/>
      </c>
      <c r="K2888" s="46" t="str">
        <f>IFERROR(IF(OR(INPUT!P2883="",INPUT!Q2883=""),"",INPUT!P2883-INPUT!Q2883),"")</f>
        <v/>
      </c>
      <c r="L2888" s="48" t="str">
        <f>IFERROR(IF(OR(INPUT!P2883="",INPUT!Q2883="",INPUT!P2883=0),"",(INPUT!P2883-INPUT!Q2883)/INPUT!P2883),"")</f>
        <v/>
      </c>
    </row>
    <row r="2889" spans="1:12" ht="18" hidden="1" customHeight="1" x14ac:dyDescent="0.2">
      <c r="A2889" s="11" t="str">
        <f>IF(INPUT!M2884="","",INPUT!M2884)</f>
        <v/>
      </c>
      <c r="B2889" s="11" t="str">
        <f>IF(INPUT!M2884="","",INPUT!M2884-WEEKDAY(INPUT!M2884,2)+1)</f>
        <v/>
      </c>
      <c r="C2889" s="20">
        <f>IFERROR(_xlfn.ISOWEEKNUM(INPUT!M2884),"")</f>
        <v>52</v>
      </c>
      <c r="D2889" s="20">
        <f>IFERROR(YEAR(INPUT!M2884),"")</f>
        <v>1900</v>
      </c>
      <c r="E2889" t="str">
        <f>IF(INPUT!O2884="","",INPUT!O2884)</f>
        <v/>
      </c>
      <c r="F2889" t="str">
        <f>IF(INPUT!N2884="","",INPUT!N2884)</f>
        <v/>
      </c>
      <c r="G2889" cm="1">
        <f t="array" ref="G2889">IFERROR(VLOOKUP(INPUT!M2884&amp;INPUT!N2884,CHOOSE({1,2},INPUT!$A$3:$A$5000&amp;INPUT!$C$3:$C$5000,INPUT!$F$3:$F$5000),2,FALSE),"")</f>
        <v>0</v>
      </c>
      <c r="H2889" cm="1">
        <f t="array" ref="H2889">IFERROR(VLOOKUP(INPUT!M2884&amp;INPUT!N2884,CHOOSE({1,2},INPUT!$A$3:$A$5000&amp;INPUT!$C$3:$C$5000,INPUT!$D$3:$D$5000),2,FALSE),"")</f>
        <v>0</v>
      </c>
      <c r="I2889" s="46" t="str">
        <f>IF(INPUT!P2884="","",INPUT!P2884)</f>
        <v/>
      </c>
      <c r="J2889" s="46" t="str">
        <f>IF(INPUT!Q2884="","",INPUT!Q2884)</f>
        <v/>
      </c>
      <c r="K2889" s="46" t="str">
        <f>IFERROR(IF(OR(INPUT!P2884="",INPUT!Q2884=""),"",INPUT!P2884-INPUT!Q2884),"")</f>
        <v/>
      </c>
      <c r="L2889" s="48" t="str">
        <f>IFERROR(IF(OR(INPUT!P2884="",INPUT!Q2884="",INPUT!P2884=0),"",(INPUT!P2884-INPUT!Q2884)/INPUT!P2884),"")</f>
        <v/>
      </c>
    </row>
    <row r="2890" spans="1:12" ht="18" hidden="1" customHeight="1" x14ac:dyDescent="0.2">
      <c r="A2890" s="11" t="str">
        <f>IF(INPUT!M2885="","",INPUT!M2885)</f>
        <v/>
      </c>
      <c r="B2890" s="11" t="str">
        <f>IF(INPUT!M2885="","",INPUT!M2885-WEEKDAY(INPUT!M2885,2)+1)</f>
        <v/>
      </c>
      <c r="C2890" s="20">
        <f>IFERROR(_xlfn.ISOWEEKNUM(INPUT!M2885),"")</f>
        <v>52</v>
      </c>
      <c r="D2890" s="20">
        <f>IFERROR(YEAR(INPUT!M2885),"")</f>
        <v>1900</v>
      </c>
      <c r="E2890" t="str">
        <f>IF(INPUT!O2885="","",INPUT!O2885)</f>
        <v/>
      </c>
      <c r="F2890" t="str">
        <f>IF(INPUT!N2885="","",INPUT!N2885)</f>
        <v/>
      </c>
      <c r="G2890" cm="1">
        <f t="array" ref="G2890">IFERROR(VLOOKUP(INPUT!M2885&amp;INPUT!N2885,CHOOSE({1,2},INPUT!$A$3:$A$5000&amp;INPUT!$C$3:$C$5000,INPUT!$F$3:$F$5000),2,FALSE),"")</f>
        <v>0</v>
      </c>
      <c r="H2890" cm="1">
        <f t="array" ref="H2890">IFERROR(VLOOKUP(INPUT!M2885&amp;INPUT!N2885,CHOOSE({1,2},INPUT!$A$3:$A$5000&amp;INPUT!$C$3:$C$5000,INPUT!$D$3:$D$5000),2,FALSE),"")</f>
        <v>0</v>
      </c>
      <c r="I2890" s="46" t="str">
        <f>IF(INPUT!P2885="","",INPUT!P2885)</f>
        <v/>
      </c>
      <c r="J2890" s="46" t="str">
        <f>IF(INPUT!Q2885="","",INPUT!Q2885)</f>
        <v/>
      </c>
      <c r="K2890" s="46" t="str">
        <f>IFERROR(IF(OR(INPUT!P2885="",INPUT!Q2885=""),"",INPUT!P2885-INPUT!Q2885),"")</f>
        <v/>
      </c>
      <c r="L2890" s="48" t="str">
        <f>IFERROR(IF(OR(INPUT!P2885="",INPUT!Q2885="",INPUT!P2885=0),"",(INPUT!P2885-INPUT!Q2885)/INPUT!P2885),"")</f>
        <v/>
      </c>
    </row>
    <row r="2891" spans="1:12" ht="18" hidden="1" customHeight="1" x14ac:dyDescent="0.2">
      <c r="A2891" s="11" t="str">
        <f>IF(INPUT!M2886="","",INPUT!M2886)</f>
        <v/>
      </c>
      <c r="B2891" s="11" t="str">
        <f>IF(INPUT!M2886="","",INPUT!M2886-WEEKDAY(INPUT!M2886,2)+1)</f>
        <v/>
      </c>
      <c r="C2891" s="20">
        <f>IFERROR(_xlfn.ISOWEEKNUM(INPUT!M2886),"")</f>
        <v>52</v>
      </c>
      <c r="D2891" s="20">
        <f>IFERROR(YEAR(INPUT!M2886),"")</f>
        <v>1900</v>
      </c>
      <c r="E2891" t="str">
        <f>IF(INPUT!O2886="","",INPUT!O2886)</f>
        <v/>
      </c>
      <c r="F2891" t="str">
        <f>IF(INPUT!N2886="","",INPUT!N2886)</f>
        <v/>
      </c>
      <c r="G2891" cm="1">
        <f t="array" ref="G2891">IFERROR(VLOOKUP(INPUT!M2886&amp;INPUT!N2886,CHOOSE({1,2},INPUT!$A$3:$A$5000&amp;INPUT!$C$3:$C$5000,INPUT!$F$3:$F$5000),2,FALSE),"")</f>
        <v>0</v>
      </c>
      <c r="H2891" cm="1">
        <f t="array" ref="H2891">IFERROR(VLOOKUP(INPUT!M2886&amp;INPUT!N2886,CHOOSE({1,2},INPUT!$A$3:$A$5000&amp;INPUT!$C$3:$C$5000,INPUT!$D$3:$D$5000),2,FALSE),"")</f>
        <v>0</v>
      </c>
      <c r="I2891" s="46" t="str">
        <f>IF(INPUT!P2886="","",INPUT!P2886)</f>
        <v/>
      </c>
      <c r="J2891" s="46" t="str">
        <f>IF(INPUT!Q2886="","",INPUT!Q2886)</f>
        <v/>
      </c>
      <c r="K2891" s="46" t="str">
        <f>IFERROR(IF(OR(INPUT!P2886="",INPUT!Q2886=""),"",INPUT!P2886-INPUT!Q2886),"")</f>
        <v/>
      </c>
      <c r="L2891" s="48" t="str">
        <f>IFERROR(IF(OR(INPUT!P2886="",INPUT!Q2886="",INPUT!P2886=0),"",(INPUT!P2886-INPUT!Q2886)/INPUT!P2886),"")</f>
        <v/>
      </c>
    </row>
    <row r="2892" spans="1:12" ht="18" hidden="1" customHeight="1" x14ac:dyDescent="0.2">
      <c r="A2892" s="11" t="str">
        <f>IF(INPUT!M2887="","",INPUT!M2887)</f>
        <v/>
      </c>
      <c r="B2892" s="11" t="str">
        <f>IF(INPUT!M2887="","",INPUT!M2887-WEEKDAY(INPUT!M2887,2)+1)</f>
        <v/>
      </c>
      <c r="C2892" s="20">
        <f>IFERROR(_xlfn.ISOWEEKNUM(INPUT!M2887),"")</f>
        <v>52</v>
      </c>
      <c r="D2892" s="20">
        <f>IFERROR(YEAR(INPUT!M2887),"")</f>
        <v>1900</v>
      </c>
      <c r="E2892" t="str">
        <f>IF(INPUT!O2887="","",INPUT!O2887)</f>
        <v/>
      </c>
      <c r="F2892" t="str">
        <f>IF(INPUT!N2887="","",INPUT!N2887)</f>
        <v/>
      </c>
      <c r="G2892" cm="1">
        <f t="array" ref="G2892">IFERROR(VLOOKUP(INPUT!M2887&amp;INPUT!N2887,CHOOSE({1,2},INPUT!$A$3:$A$5000&amp;INPUT!$C$3:$C$5000,INPUT!$F$3:$F$5000),2,FALSE),"")</f>
        <v>0</v>
      </c>
      <c r="H2892" cm="1">
        <f t="array" ref="H2892">IFERROR(VLOOKUP(INPUT!M2887&amp;INPUT!N2887,CHOOSE({1,2},INPUT!$A$3:$A$5000&amp;INPUT!$C$3:$C$5000,INPUT!$D$3:$D$5000),2,FALSE),"")</f>
        <v>0</v>
      </c>
      <c r="I2892" s="46" t="str">
        <f>IF(INPUT!P2887="","",INPUT!P2887)</f>
        <v/>
      </c>
      <c r="J2892" s="46" t="str">
        <f>IF(INPUT!Q2887="","",INPUT!Q2887)</f>
        <v/>
      </c>
      <c r="K2892" s="46" t="str">
        <f>IFERROR(IF(OR(INPUT!P2887="",INPUT!Q2887=""),"",INPUT!P2887-INPUT!Q2887),"")</f>
        <v/>
      </c>
      <c r="L2892" s="48" t="str">
        <f>IFERROR(IF(OR(INPUT!P2887="",INPUT!Q2887="",INPUT!P2887=0),"",(INPUT!P2887-INPUT!Q2887)/INPUT!P2887),"")</f>
        <v/>
      </c>
    </row>
    <row r="2893" spans="1:12" ht="18" hidden="1" customHeight="1" x14ac:dyDescent="0.2">
      <c r="A2893" s="11" t="str">
        <f>IF(INPUT!M2888="","",INPUT!M2888)</f>
        <v/>
      </c>
      <c r="B2893" s="11" t="str">
        <f>IF(INPUT!M2888="","",INPUT!M2888-WEEKDAY(INPUT!M2888,2)+1)</f>
        <v/>
      </c>
      <c r="C2893" s="20">
        <f>IFERROR(_xlfn.ISOWEEKNUM(INPUT!M2888),"")</f>
        <v>52</v>
      </c>
      <c r="D2893" s="20">
        <f>IFERROR(YEAR(INPUT!M2888),"")</f>
        <v>1900</v>
      </c>
      <c r="E2893" t="str">
        <f>IF(INPUT!O2888="","",INPUT!O2888)</f>
        <v/>
      </c>
      <c r="F2893" t="str">
        <f>IF(INPUT!N2888="","",INPUT!N2888)</f>
        <v/>
      </c>
      <c r="G2893" cm="1">
        <f t="array" ref="G2893">IFERROR(VLOOKUP(INPUT!M2888&amp;INPUT!N2888,CHOOSE({1,2},INPUT!$A$3:$A$5000&amp;INPUT!$C$3:$C$5000,INPUT!$F$3:$F$5000),2,FALSE),"")</f>
        <v>0</v>
      </c>
      <c r="H2893" cm="1">
        <f t="array" ref="H2893">IFERROR(VLOOKUP(INPUT!M2888&amp;INPUT!N2888,CHOOSE({1,2},INPUT!$A$3:$A$5000&amp;INPUT!$C$3:$C$5000,INPUT!$D$3:$D$5000),2,FALSE),"")</f>
        <v>0</v>
      </c>
      <c r="I2893" s="46" t="str">
        <f>IF(INPUT!P2888="","",INPUT!P2888)</f>
        <v/>
      </c>
      <c r="J2893" s="46" t="str">
        <f>IF(INPUT!Q2888="","",INPUT!Q2888)</f>
        <v/>
      </c>
      <c r="K2893" s="46" t="str">
        <f>IFERROR(IF(OR(INPUT!P2888="",INPUT!Q2888=""),"",INPUT!P2888-INPUT!Q2888),"")</f>
        <v/>
      </c>
      <c r="L2893" s="48" t="str">
        <f>IFERROR(IF(OR(INPUT!P2888="",INPUT!Q2888="",INPUT!P2888=0),"",(INPUT!P2888-INPUT!Q2888)/INPUT!P2888),"")</f>
        <v/>
      </c>
    </row>
    <row r="2894" spans="1:12" ht="18" hidden="1" customHeight="1" x14ac:dyDescent="0.2">
      <c r="A2894" s="11" t="str">
        <f>IF(INPUT!M2889="","",INPUT!M2889)</f>
        <v/>
      </c>
      <c r="B2894" s="11" t="str">
        <f>IF(INPUT!M2889="","",INPUT!M2889-WEEKDAY(INPUT!M2889,2)+1)</f>
        <v/>
      </c>
      <c r="C2894" s="20">
        <f>IFERROR(_xlfn.ISOWEEKNUM(INPUT!M2889),"")</f>
        <v>52</v>
      </c>
      <c r="D2894" s="20">
        <f>IFERROR(YEAR(INPUT!M2889),"")</f>
        <v>1900</v>
      </c>
      <c r="E2894" t="str">
        <f>IF(INPUT!O2889="","",INPUT!O2889)</f>
        <v/>
      </c>
      <c r="F2894" t="str">
        <f>IF(INPUT!N2889="","",INPUT!N2889)</f>
        <v/>
      </c>
      <c r="G2894" cm="1">
        <f t="array" ref="G2894">IFERROR(VLOOKUP(INPUT!M2889&amp;INPUT!N2889,CHOOSE({1,2},INPUT!$A$3:$A$5000&amp;INPUT!$C$3:$C$5000,INPUT!$F$3:$F$5000),2,FALSE),"")</f>
        <v>0</v>
      </c>
      <c r="H2894" cm="1">
        <f t="array" ref="H2894">IFERROR(VLOOKUP(INPUT!M2889&amp;INPUT!N2889,CHOOSE({1,2},INPUT!$A$3:$A$5000&amp;INPUT!$C$3:$C$5000,INPUT!$D$3:$D$5000),2,FALSE),"")</f>
        <v>0</v>
      </c>
      <c r="I2894" s="46" t="str">
        <f>IF(INPUT!P2889="","",INPUT!P2889)</f>
        <v/>
      </c>
      <c r="J2894" s="46" t="str">
        <f>IF(INPUT!Q2889="","",INPUT!Q2889)</f>
        <v/>
      </c>
      <c r="K2894" s="46" t="str">
        <f>IFERROR(IF(OR(INPUT!P2889="",INPUT!Q2889=""),"",INPUT!P2889-INPUT!Q2889),"")</f>
        <v/>
      </c>
      <c r="L2894" s="48" t="str">
        <f>IFERROR(IF(OR(INPUT!P2889="",INPUT!Q2889="",INPUT!P2889=0),"",(INPUT!P2889-INPUT!Q2889)/INPUT!P2889),"")</f>
        <v/>
      </c>
    </row>
    <row r="2895" spans="1:12" ht="18" hidden="1" customHeight="1" x14ac:dyDescent="0.2">
      <c r="A2895" s="11" t="str">
        <f>IF(INPUT!M2890="","",INPUT!M2890)</f>
        <v/>
      </c>
      <c r="B2895" s="11" t="str">
        <f>IF(INPUT!M2890="","",INPUT!M2890-WEEKDAY(INPUT!M2890,2)+1)</f>
        <v/>
      </c>
      <c r="C2895" s="20">
        <f>IFERROR(_xlfn.ISOWEEKNUM(INPUT!M2890),"")</f>
        <v>52</v>
      </c>
      <c r="D2895" s="20">
        <f>IFERROR(YEAR(INPUT!M2890),"")</f>
        <v>1900</v>
      </c>
      <c r="E2895" t="str">
        <f>IF(INPUT!O2890="","",INPUT!O2890)</f>
        <v/>
      </c>
      <c r="F2895" t="str">
        <f>IF(INPUT!N2890="","",INPUT!N2890)</f>
        <v/>
      </c>
      <c r="G2895" cm="1">
        <f t="array" ref="G2895">IFERROR(VLOOKUP(INPUT!M2890&amp;INPUT!N2890,CHOOSE({1,2},INPUT!$A$3:$A$5000&amp;INPUT!$C$3:$C$5000,INPUT!$F$3:$F$5000),2,FALSE),"")</f>
        <v>0</v>
      </c>
      <c r="H2895" cm="1">
        <f t="array" ref="H2895">IFERROR(VLOOKUP(INPUT!M2890&amp;INPUT!N2890,CHOOSE({1,2},INPUT!$A$3:$A$5000&amp;INPUT!$C$3:$C$5000,INPUT!$D$3:$D$5000),2,FALSE),"")</f>
        <v>0</v>
      </c>
      <c r="I2895" s="46" t="str">
        <f>IF(INPUT!P2890="","",INPUT!P2890)</f>
        <v/>
      </c>
      <c r="J2895" s="46" t="str">
        <f>IF(INPUT!Q2890="","",INPUT!Q2890)</f>
        <v/>
      </c>
      <c r="K2895" s="46" t="str">
        <f>IFERROR(IF(OR(INPUT!P2890="",INPUT!Q2890=""),"",INPUT!P2890-INPUT!Q2890),"")</f>
        <v/>
      </c>
      <c r="L2895" s="48" t="str">
        <f>IFERROR(IF(OR(INPUT!P2890="",INPUT!Q2890="",INPUT!P2890=0),"",(INPUT!P2890-INPUT!Q2890)/INPUT!P2890),"")</f>
        <v/>
      </c>
    </row>
    <row r="2896" spans="1:12" ht="18" hidden="1" customHeight="1" x14ac:dyDescent="0.2">
      <c r="A2896" s="11" t="str">
        <f>IF(INPUT!M2891="","",INPUT!M2891)</f>
        <v/>
      </c>
      <c r="B2896" s="11" t="str">
        <f>IF(INPUT!M2891="","",INPUT!M2891-WEEKDAY(INPUT!M2891,2)+1)</f>
        <v/>
      </c>
      <c r="C2896" s="20">
        <f>IFERROR(_xlfn.ISOWEEKNUM(INPUT!M2891),"")</f>
        <v>52</v>
      </c>
      <c r="D2896" s="20">
        <f>IFERROR(YEAR(INPUT!M2891),"")</f>
        <v>1900</v>
      </c>
      <c r="E2896" t="str">
        <f>IF(INPUT!O2891="","",INPUT!O2891)</f>
        <v/>
      </c>
      <c r="F2896" t="str">
        <f>IF(INPUT!N2891="","",INPUT!N2891)</f>
        <v/>
      </c>
      <c r="G2896" cm="1">
        <f t="array" ref="G2896">IFERROR(VLOOKUP(INPUT!M2891&amp;INPUT!N2891,CHOOSE({1,2},INPUT!$A$3:$A$5000&amp;INPUT!$C$3:$C$5000,INPUT!$F$3:$F$5000),2,FALSE),"")</f>
        <v>0</v>
      </c>
      <c r="H2896" cm="1">
        <f t="array" ref="H2896">IFERROR(VLOOKUP(INPUT!M2891&amp;INPUT!N2891,CHOOSE({1,2},INPUT!$A$3:$A$5000&amp;INPUT!$C$3:$C$5000,INPUT!$D$3:$D$5000),2,FALSE),"")</f>
        <v>0</v>
      </c>
      <c r="I2896" s="46" t="str">
        <f>IF(INPUT!P2891="","",INPUT!P2891)</f>
        <v/>
      </c>
      <c r="J2896" s="46" t="str">
        <f>IF(INPUT!Q2891="","",INPUT!Q2891)</f>
        <v/>
      </c>
      <c r="K2896" s="46" t="str">
        <f>IFERROR(IF(OR(INPUT!P2891="",INPUT!Q2891=""),"",INPUT!P2891-INPUT!Q2891),"")</f>
        <v/>
      </c>
      <c r="L2896" s="48" t="str">
        <f>IFERROR(IF(OR(INPUT!P2891="",INPUT!Q2891="",INPUT!P2891=0),"",(INPUT!P2891-INPUT!Q2891)/INPUT!P2891),"")</f>
        <v/>
      </c>
    </row>
    <row r="2897" spans="1:12" ht="18" hidden="1" customHeight="1" x14ac:dyDescent="0.2">
      <c r="A2897" s="11" t="str">
        <f>IF(INPUT!M2892="","",INPUT!M2892)</f>
        <v/>
      </c>
      <c r="B2897" s="11" t="str">
        <f>IF(INPUT!M2892="","",INPUT!M2892-WEEKDAY(INPUT!M2892,2)+1)</f>
        <v/>
      </c>
      <c r="C2897" s="20">
        <f>IFERROR(_xlfn.ISOWEEKNUM(INPUT!M2892),"")</f>
        <v>52</v>
      </c>
      <c r="D2897" s="20">
        <f>IFERROR(YEAR(INPUT!M2892),"")</f>
        <v>1900</v>
      </c>
      <c r="E2897" t="str">
        <f>IF(INPUT!O2892="","",INPUT!O2892)</f>
        <v/>
      </c>
      <c r="F2897" t="str">
        <f>IF(INPUT!N2892="","",INPUT!N2892)</f>
        <v/>
      </c>
      <c r="G2897" cm="1">
        <f t="array" ref="G2897">IFERROR(VLOOKUP(INPUT!M2892&amp;INPUT!N2892,CHOOSE({1,2},INPUT!$A$3:$A$5000&amp;INPUT!$C$3:$C$5000,INPUT!$F$3:$F$5000),2,FALSE),"")</f>
        <v>0</v>
      </c>
      <c r="H2897" cm="1">
        <f t="array" ref="H2897">IFERROR(VLOOKUP(INPUT!M2892&amp;INPUT!N2892,CHOOSE({1,2},INPUT!$A$3:$A$5000&amp;INPUT!$C$3:$C$5000,INPUT!$D$3:$D$5000),2,FALSE),"")</f>
        <v>0</v>
      </c>
      <c r="I2897" s="46" t="str">
        <f>IF(INPUT!P2892="","",INPUT!P2892)</f>
        <v/>
      </c>
      <c r="J2897" s="46" t="str">
        <f>IF(INPUT!Q2892="","",INPUT!Q2892)</f>
        <v/>
      </c>
      <c r="K2897" s="46" t="str">
        <f>IFERROR(IF(OR(INPUT!P2892="",INPUT!Q2892=""),"",INPUT!P2892-INPUT!Q2892),"")</f>
        <v/>
      </c>
      <c r="L2897" s="48" t="str">
        <f>IFERROR(IF(OR(INPUT!P2892="",INPUT!Q2892="",INPUT!P2892=0),"",(INPUT!P2892-INPUT!Q2892)/INPUT!P2892),"")</f>
        <v/>
      </c>
    </row>
    <row r="2898" spans="1:12" ht="18" hidden="1" customHeight="1" x14ac:dyDescent="0.2">
      <c r="A2898" s="11" t="str">
        <f>IF(INPUT!M2893="","",INPUT!M2893)</f>
        <v/>
      </c>
      <c r="B2898" s="11" t="str">
        <f>IF(INPUT!M2893="","",INPUT!M2893-WEEKDAY(INPUT!M2893,2)+1)</f>
        <v/>
      </c>
      <c r="C2898" s="20">
        <f>IFERROR(_xlfn.ISOWEEKNUM(INPUT!M2893),"")</f>
        <v>52</v>
      </c>
      <c r="D2898" s="20">
        <f>IFERROR(YEAR(INPUT!M2893),"")</f>
        <v>1900</v>
      </c>
      <c r="E2898" t="str">
        <f>IF(INPUT!O2893="","",INPUT!O2893)</f>
        <v/>
      </c>
      <c r="F2898" t="str">
        <f>IF(INPUT!N2893="","",INPUT!N2893)</f>
        <v/>
      </c>
      <c r="G2898" cm="1">
        <f t="array" ref="G2898">IFERROR(VLOOKUP(INPUT!M2893&amp;INPUT!N2893,CHOOSE({1,2},INPUT!$A$3:$A$5000&amp;INPUT!$C$3:$C$5000,INPUT!$F$3:$F$5000),2,FALSE),"")</f>
        <v>0</v>
      </c>
      <c r="H2898" cm="1">
        <f t="array" ref="H2898">IFERROR(VLOOKUP(INPUT!M2893&amp;INPUT!N2893,CHOOSE({1,2},INPUT!$A$3:$A$5000&amp;INPUT!$C$3:$C$5000,INPUT!$D$3:$D$5000),2,FALSE),"")</f>
        <v>0</v>
      </c>
      <c r="I2898" s="46" t="str">
        <f>IF(INPUT!P2893="","",INPUT!P2893)</f>
        <v/>
      </c>
      <c r="J2898" s="46" t="str">
        <f>IF(INPUT!Q2893="","",INPUT!Q2893)</f>
        <v/>
      </c>
      <c r="K2898" s="46" t="str">
        <f>IFERROR(IF(OR(INPUT!P2893="",INPUT!Q2893=""),"",INPUT!P2893-INPUT!Q2893),"")</f>
        <v/>
      </c>
      <c r="L2898" s="48" t="str">
        <f>IFERROR(IF(OR(INPUT!P2893="",INPUT!Q2893="",INPUT!P2893=0),"",(INPUT!P2893-INPUT!Q2893)/INPUT!P2893),"")</f>
        <v/>
      </c>
    </row>
    <row r="2899" spans="1:12" ht="18" hidden="1" customHeight="1" x14ac:dyDescent="0.2">
      <c r="A2899" s="11" t="str">
        <f>IF(INPUT!M2894="","",INPUT!M2894)</f>
        <v/>
      </c>
      <c r="B2899" s="11" t="str">
        <f>IF(INPUT!M2894="","",INPUT!M2894-WEEKDAY(INPUT!M2894,2)+1)</f>
        <v/>
      </c>
      <c r="C2899" s="20">
        <f>IFERROR(_xlfn.ISOWEEKNUM(INPUT!M2894),"")</f>
        <v>52</v>
      </c>
      <c r="D2899" s="20">
        <f>IFERROR(YEAR(INPUT!M2894),"")</f>
        <v>1900</v>
      </c>
      <c r="E2899" t="str">
        <f>IF(INPUT!O2894="","",INPUT!O2894)</f>
        <v/>
      </c>
      <c r="F2899" t="str">
        <f>IF(INPUT!N2894="","",INPUT!N2894)</f>
        <v/>
      </c>
      <c r="G2899" cm="1">
        <f t="array" ref="G2899">IFERROR(VLOOKUP(INPUT!M2894&amp;INPUT!N2894,CHOOSE({1,2},INPUT!$A$3:$A$5000&amp;INPUT!$C$3:$C$5000,INPUT!$F$3:$F$5000),2,FALSE),"")</f>
        <v>0</v>
      </c>
      <c r="H2899" cm="1">
        <f t="array" ref="H2899">IFERROR(VLOOKUP(INPUT!M2894&amp;INPUT!N2894,CHOOSE({1,2},INPUT!$A$3:$A$5000&amp;INPUT!$C$3:$C$5000,INPUT!$D$3:$D$5000),2,FALSE),"")</f>
        <v>0</v>
      </c>
      <c r="I2899" s="46" t="str">
        <f>IF(INPUT!P2894="","",INPUT!P2894)</f>
        <v/>
      </c>
      <c r="J2899" s="46" t="str">
        <f>IF(INPUT!Q2894="","",INPUT!Q2894)</f>
        <v/>
      </c>
      <c r="K2899" s="46" t="str">
        <f>IFERROR(IF(OR(INPUT!P2894="",INPUT!Q2894=""),"",INPUT!P2894-INPUT!Q2894),"")</f>
        <v/>
      </c>
      <c r="L2899" s="48" t="str">
        <f>IFERROR(IF(OR(INPUT!P2894="",INPUT!Q2894="",INPUT!P2894=0),"",(INPUT!P2894-INPUT!Q2894)/INPUT!P2894),"")</f>
        <v/>
      </c>
    </row>
    <row r="2900" spans="1:12" ht="18" hidden="1" customHeight="1" x14ac:dyDescent="0.2">
      <c r="A2900" s="11" t="str">
        <f>IF(INPUT!M2895="","",INPUT!M2895)</f>
        <v/>
      </c>
      <c r="B2900" s="11" t="str">
        <f>IF(INPUT!M2895="","",INPUT!M2895-WEEKDAY(INPUT!M2895,2)+1)</f>
        <v/>
      </c>
      <c r="C2900" s="20">
        <f>IFERROR(_xlfn.ISOWEEKNUM(INPUT!M2895),"")</f>
        <v>52</v>
      </c>
      <c r="D2900" s="20">
        <f>IFERROR(YEAR(INPUT!M2895),"")</f>
        <v>1900</v>
      </c>
      <c r="E2900" t="str">
        <f>IF(INPUT!O2895="","",INPUT!O2895)</f>
        <v/>
      </c>
      <c r="F2900" t="str">
        <f>IF(INPUT!N2895="","",INPUT!N2895)</f>
        <v/>
      </c>
      <c r="G2900" cm="1">
        <f t="array" ref="G2900">IFERROR(VLOOKUP(INPUT!M2895&amp;INPUT!N2895,CHOOSE({1,2},INPUT!$A$3:$A$5000&amp;INPUT!$C$3:$C$5000,INPUT!$F$3:$F$5000),2,FALSE),"")</f>
        <v>0</v>
      </c>
      <c r="H2900" cm="1">
        <f t="array" ref="H2900">IFERROR(VLOOKUP(INPUT!M2895&amp;INPUT!N2895,CHOOSE({1,2},INPUT!$A$3:$A$5000&amp;INPUT!$C$3:$C$5000,INPUT!$D$3:$D$5000),2,FALSE),"")</f>
        <v>0</v>
      </c>
      <c r="I2900" s="46" t="str">
        <f>IF(INPUT!P2895="","",INPUT!P2895)</f>
        <v/>
      </c>
      <c r="J2900" s="46" t="str">
        <f>IF(INPUT!Q2895="","",INPUT!Q2895)</f>
        <v/>
      </c>
      <c r="K2900" s="46" t="str">
        <f>IFERROR(IF(OR(INPUT!P2895="",INPUT!Q2895=""),"",INPUT!P2895-INPUT!Q2895),"")</f>
        <v/>
      </c>
      <c r="L2900" s="48" t="str">
        <f>IFERROR(IF(OR(INPUT!P2895="",INPUT!Q2895="",INPUT!P2895=0),"",(INPUT!P2895-INPUT!Q2895)/INPUT!P2895),"")</f>
        <v/>
      </c>
    </row>
    <row r="2901" spans="1:12" ht="18" hidden="1" customHeight="1" x14ac:dyDescent="0.2">
      <c r="A2901" s="11" t="str">
        <f>IF(INPUT!M2896="","",INPUT!M2896)</f>
        <v/>
      </c>
      <c r="B2901" s="11" t="str">
        <f>IF(INPUT!M2896="","",INPUT!M2896-WEEKDAY(INPUT!M2896,2)+1)</f>
        <v/>
      </c>
      <c r="C2901" s="20">
        <f>IFERROR(_xlfn.ISOWEEKNUM(INPUT!M2896),"")</f>
        <v>52</v>
      </c>
      <c r="D2901" s="20">
        <f>IFERROR(YEAR(INPUT!M2896),"")</f>
        <v>1900</v>
      </c>
      <c r="E2901" t="str">
        <f>IF(INPUT!O2896="","",INPUT!O2896)</f>
        <v/>
      </c>
      <c r="F2901" t="str">
        <f>IF(INPUT!N2896="","",INPUT!N2896)</f>
        <v/>
      </c>
      <c r="G2901" cm="1">
        <f t="array" ref="G2901">IFERROR(VLOOKUP(INPUT!M2896&amp;INPUT!N2896,CHOOSE({1,2},INPUT!$A$3:$A$5000&amp;INPUT!$C$3:$C$5000,INPUT!$F$3:$F$5000),2,FALSE),"")</f>
        <v>0</v>
      </c>
      <c r="H2901" cm="1">
        <f t="array" ref="H2901">IFERROR(VLOOKUP(INPUT!M2896&amp;INPUT!N2896,CHOOSE({1,2},INPUT!$A$3:$A$5000&amp;INPUT!$C$3:$C$5000,INPUT!$D$3:$D$5000),2,FALSE),"")</f>
        <v>0</v>
      </c>
      <c r="I2901" s="46" t="str">
        <f>IF(INPUT!P2896="","",INPUT!P2896)</f>
        <v/>
      </c>
      <c r="J2901" s="46" t="str">
        <f>IF(INPUT!Q2896="","",INPUT!Q2896)</f>
        <v/>
      </c>
      <c r="K2901" s="46" t="str">
        <f>IFERROR(IF(OR(INPUT!P2896="",INPUT!Q2896=""),"",INPUT!P2896-INPUT!Q2896),"")</f>
        <v/>
      </c>
      <c r="L2901" s="48" t="str">
        <f>IFERROR(IF(OR(INPUT!P2896="",INPUT!Q2896="",INPUT!P2896=0),"",(INPUT!P2896-INPUT!Q2896)/INPUT!P2896),"")</f>
        <v/>
      </c>
    </row>
    <row r="2902" spans="1:12" ht="18" hidden="1" customHeight="1" x14ac:dyDescent="0.2">
      <c r="A2902" s="11" t="str">
        <f>IF(INPUT!M2897="","",INPUT!M2897)</f>
        <v/>
      </c>
      <c r="B2902" s="11" t="str">
        <f>IF(INPUT!M2897="","",INPUT!M2897-WEEKDAY(INPUT!M2897,2)+1)</f>
        <v/>
      </c>
      <c r="C2902" s="20">
        <f>IFERROR(_xlfn.ISOWEEKNUM(INPUT!M2897),"")</f>
        <v>52</v>
      </c>
      <c r="D2902" s="20">
        <f>IFERROR(YEAR(INPUT!M2897),"")</f>
        <v>1900</v>
      </c>
      <c r="E2902" t="str">
        <f>IF(INPUT!O2897="","",INPUT!O2897)</f>
        <v/>
      </c>
      <c r="F2902" t="str">
        <f>IF(INPUT!N2897="","",INPUT!N2897)</f>
        <v/>
      </c>
      <c r="G2902" cm="1">
        <f t="array" ref="G2902">IFERROR(VLOOKUP(INPUT!M2897&amp;INPUT!N2897,CHOOSE({1,2},INPUT!$A$3:$A$5000&amp;INPUT!$C$3:$C$5000,INPUT!$F$3:$F$5000),2,FALSE),"")</f>
        <v>0</v>
      </c>
      <c r="H2902" cm="1">
        <f t="array" ref="H2902">IFERROR(VLOOKUP(INPUT!M2897&amp;INPUT!N2897,CHOOSE({1,2},INPUT!$A$3:$A$5000&amp;INPUT!$C$3:$C$5000,INPUT!$D$3:$D$5000),2,FALSE),"")</f>
        <v>0</v>
      </c>
      <c r="I2902" s="46" t="str">
        <f>IF(INPUT!P2897="","",INPUT!P2897)</f>
        <v/>
      </c>
      <c r="J2902" s="46" t="str">
        <f>IF(INPUT!Q2897="","",INPUT!Q2897)</f>
        <v/>
      </c>
      <c r="K2902" s="46" t="str">
        <f>IFERROR(IF(OR(INPUT!P2897="",INPUT!Q2897=""),"",INPUT!P2897-INPUT!Q2897),"")</f>
        <v/>
      </c>
      <c r="L2902" s="48" t="str">
        <f>IFERROR(IF(OR(INPUT!P2897="",INPUT!Q2897="",INPUT!P2897=0),"",(INPUT!P2897-INPUT!Q2897)/INPUT!P2897),"")</f>
        <v/>
      </c>
    </row>
    <row r="2903" spans="1:12" ht="18" hidden="1" customHeight="1" x14ac:dyDescent="0.2">
      <c r="A2903" s="11" t="str">
        <f>IF(INPUT!M2898="","",INPUT!M2898)</f>
        <v/>
      </c>
      <c r="B2903" s="11" t="str">
        <f>IF(INPUT!M2898="","",INPUT!M2898-WEEKDAY(INPUT!M2898,2)+1)</f>
        <v/>
      </c>
      <c r="C2903" s="20">
        <f>IFERROR(_xlfn.ISOWEEKNUM(INPUT!M2898),"")</f>
        <v>52</v>
      </c>
      <c r="D2903" s="20">
        <f>IFERROR(YEAR(INPUT!M2898),"")</f>
        <v>1900</v>
      </c>
      <c r="E2903" t="str">
        <f>IF(INPUT!O2898="","",INPUT!O2898)</f>
        <v/>
      </c>
      <c r="F2903" t="str">
        <f>IF(INPUT!N2898="","",INPUT!N2898)</f>
        <v/>
      </c>
      <c r="G2903" cm="1">
        <f t="array" ref="G2903">IFERROR(VLOOKUP(INPUT!M2898&amp;INPUT!N2898,CHOOSE({1,2},INPUT!$A$3:$A$5000&amp;INPUT!$C$3:$C$5000,INPUT!$F$3:$F$5000),2,FALSE),"")</f>
        <v>0</v>
      </c>
      <c r="H2903" cm="1">
        <f t="array" ref="H2903">IFERROR(VLOOKUP(INPUT!M2898&amp;INPUT!N2898,CHOOSE({1,2},INPUT!$A$3:$A$5000&amp;INPUT!$C$3:$C$5000,INPUT!$D$3:$D$5000),2,FALSE),"")</f>
        <v>0</v>
      </c>
      <c r="I2903" s="46" t="str">
        <f>IF(INPUT!P2898="","",INPUT!P2898)</f>
        <v/>
      </c>
      <c r="J2903" s="46" t="str">
        <f>IF(INPUT!Q2898="","",INPUT!Q2898)</f>
        <v/>
      </c>
      <c r="K2903" s="46" t="str">
        <f>IFERROR(IF(OR(INPUT!P2898="",INPUT!Q2898=""),"",INPUT!P2898-INPUT!Q2898),"")</f>
        <v/>
      </c>
      <c r="L2903" s="48" t="str">
        <f>IFERROR(IF(OR(INPUT!P2898="",INPUT!Q2898="",INPUT!P2898=0),"",(INPUT!P2898-INPUT!Q2898)/INPUT!P2898),"")</f>
        <v/>
      </c>
    </row>
    <row r="2904" spans="1:12" ht="18" hidden="1" customHeight="1" x14ac:dyDescent="0.2">
      <c r="A2904" s="11" t="str">
        <f>IF(INPUT!M2899="","",INPUT!M2899)</f>
        <v/>
      </c>
      <c r="B2904" s="11" t="str">
        <f>IF(INPUT!M2899="","",INPUT!M2899-WEEKDAY(INPUT!M2899,2)+1)</f>
        <v/>
      </c>
      <c r="C2904" s="20">
        <f>IFERROR(_xlfn.ISOWEEKNUM(INPUT!M2899),"")</f>
        <v>52</v>
      </c>
      <c r="D2904" s="20">
        <f>IFERROR(YEAR(INPUT!M2899),"")</f>
        <v>1900</v>
      </c>
      <c r="E2904" t="str">
        <f>IF(INPUT!O2899="","",INPUT!O2899)</f>
        <v/>
      </c>
      <c r="F2904" t="str">
        <f>IF(INPUT!N2899="","",INPUT!N2899)</f>
        <v/>
      </c>
      <c r="G2904" cm="1">
        <f t="array" ref="G2904">IFERROR(VLOOKUP(INPUT!M2899&amp;INPUT!N2899,CHOOSE({1,2},INPUT!$A$3:$A$5000&amp;INPUT!$C$3:$C$5000,INPUT!$F$3:$F$5000),2,FALSE),"")</f>
        <v>0</v>
      </c>
      <c r="H2904" cm="1">
        <f t="array" ref="H2904">IFERROR(VLOOKUP(INPUT!M2899&amp;INPUT!N2899,CHOOSE({1,2},INPUT!$A$3:$A$5000&amp;INPUT!$C$3:$C$5000,INPUT!$D$3:$D$5000),2,FALSE),"")</f>
        <v>0</v>
      </c>
      <c r="I2904" s="46" t="str">
        <f>IF(INPUT!P2899="","",INPUT!P2899)</f>
        <v/>
      </c>
      <c r="J2904" s="46" t="str">
        <f>IF(INPUT!Q2899="","",INPUT!Q2899)</f>
        <v/>
      </c>
      <c r="K2904" s="46" t="str">
        <f>IFERROR(IF(OR(INPUT!P2899="",INPUT!Q2899=""),"",INPUT!P2899-INPUT!Q2899),"")</f>
        <v/>
      </c>
      <c r="L2904" s="48" t="str">
        <f>IFERROR(IF(OR(INPUT!P2899="",INPUT!Q2899="",INPUT!P2899=0),"",(INPUT!P2899-INPUT!Q2899)/INPUT!P2899),"")</f>
        <v/>
      </c>
    </row>
    <row r="2905" spans="1:12" ht="18" hidden="1" customHeight="1" x14ac:dyDescent="0.2">
      <c r="A2905" s="11" t="str">
        <f>IF(INPUT!M2900="","",INPUT!M2900)</f>
        <v/>
      </c>
      <c r="B2905" s="11" t="str">
        <f>IF(INPUT!M2900="","",INPUT!M2900-WEEKDAY(INPUT!M2900,2)+1)</f>
        <v/>
      </c>
      <c r="C2905" s="20">
        <f>IFERROR(_xlfn.ISOWEEKNUM(INPUT!M2900),"")</f>
        <v>52</v>
      </c>
      <c r="D2905" s="20">
        <f>IFERROR(YEAR(INPUT!M2900),"")</f>
        <v>1900</v>
      </c>
      <c r="E2905" t="str">
        <f>IF(INPUT!O2900="","",INPUT!O2900)</f>
        <v/>
      </c>
      <c r="F2905" t="str">
        <f>IF(INPUT!N2900="","",INPUT!N2900)</f>
        <v/>
      </c>
      <c r="G2905" cm="1">
        <f t="array" ref="G2905">IFERROR(VLOOKUP(INPUT!M2900&amp;INPUT!N2900,CHOOSE({1,2},INPUT!$A$3:$A$5000&amp;INPUT!$C$3:$C$5000,INPUT!$F$3:$F$5000),2,FALSE),"")</f>
        <v>0</v>
      </c>
      <c r="H2905" cm="1">
        <f t="array" ref="H2905">IFERROR(VLOOKUP(INPUT!M2900&amp;INPUT!N2900,CHOOSE({1,2},INPUT!$A$3:$A$5000&amp;INPUT!$C$3:$C$5000,INPUT!$D$3:$D$5000),2,FALSE),"")</f>
        <v>0</v>
      </c>
      <c r="I2905" s="46" t="str">
        <f>IF(INPUT!P2900="","",INPUT!P2900)</f>
        <v/>
      </c>
      <c r="J2905" s="46" t="str">
        <f>IF(INPUT!Q2900="","",INPUT!Q2900)</f>
        <v/>
      </c>
      <c r="K2905" s="46" t="str">
        <f>IFERROR(IF(OR(INPUT!P2900="",INPUT!Q2900=""),"",INPUT!P2900-INPUT!Q2900),"")</f>
        <v/>
      </c>
      <c r="L2905" s="48" t="str">
        <f>IFERROR(IF(OR(INPUT!P2900="",INPUT!Q2900="",INPUT!P2900=0),"",(INPUT!P2900-INPUT!Q2900)/INPUT!P2900),"")</f>
        <v/>
      </c>
    </row>
    <row r="2906" spans="1:12" ht="18" hidden="1" customHeight="1" x14ac:dyDescent="0.2">
      <c r="A2906" s="11" t="str">
        <f>IF(INPUT!M2901="","",INPUT!M2901)</f>
        <v/>
      </c>
      <c r="B2906" s="11" t="str">
        <f>IF(INPUT!M2901="","",INPUT!M2901-WEEKDAY(INPUT!M2901,2)+1)</f>
        <v/>
      </c>
      <c r="C2906" s="20">
        <f>IFERROR(_xlfn.ISOWEEKNUM(INPUT!M2901),"")</f>
        <v>52</v>
      </c>
      <c r="D2906" s="20">
        <f>IFERROR(YEAR(INPUT!M2901),"")</f>
        <v>1900</v>
      </c>
      <c r="E2906" t="str">
        <f>IF(INPUT!O2901="","",INPUT!O2901)</f>
        <v/>
      </c>
      <c r="F2906" t="str">
        <f>IF(INPUT!N2901="","",INPUT!N2901)</f>
        <v/>
      </c>
      <c r="G2906" cm="1">
        <f t="array" ref="G2906">IFERROR(VLOOKUP(INPUT!M2901&amp;INPUT!N2901,CHOOSE({1,2},INPUT!$A$3:$A$5000&amp;INPUT!$C$3:$C$5000,INPUT!$F$3:$F$5000),2,FALSE),"")</f>
        <v>0</v>
      </c>
      <c r="H2906" cm="1">
        <f t="array" ref="H2906">IFERROR(VLOOKUP(INPUT!M2901&amp;INPUT!N2901,CHOOSE({1,2},INPUT!$A$3:$A$5000&amp;INPUT!$C$3:$C$5000,INPUT!$D$3:$D$5000),2,FALSE),"")</f>
        <v>0</v>
      </c>
      <c r="I2906" s="46" t="str">
        <f>IF(INPUT!P2901="","",INPUT!P2901)</f>
        <v/>
      </c>
      <c r="J2906" s="46" t="str">
        <f>IF(INPUT!Q2901="","",INPUT!Q2901)</f>
        <v/>
      </c>
      <c r="K2906" s="46" t="str">
        <f>IFERROR(IF(OR(INPUT!P2901="",INPUT!Q2901=""),"",INPUT!P2901-INPUT!Q2901),"")</f>
        <v/>
      </c>
      <c r="L2906" s="48" t="str">
        <f>IFERROR(IF(OR(INPUT!P2901="",INPUT!Q2901="",INPUT!P2901=0),"",(INPUT!P2901-INPUT!Q2901)/INPUT!P2901),"")</f>
        <v/>
      </c>
    </row>
    <row r="2907" spans="1:12" ht="18" hidden="1" customHeight="1" x14ac:dyDescent="0.2">
      <c r="A2907" s="11" t="str">
        <f>IF(INPUT!M2902="","",INPUT!M2902)</f>
        <v/>
      </c>
      <c r="B2907" s="11" t="str">
        <f>IF(INPUT!M2902="","",INPUT!M2902-WEEKDAY(INPUT!M2902,2)+1)</f>
        <v/>
      </c>
      <c r="C2907" s="20">
        <f>IFERROR(_xlfn.ISOWEEKNUM(INPUT!M2902),"")</f>
        <v>52</v>
      </c>
      <c r="D2907" s="20">
        <f>IFERROR(YEAR(INPUT!M2902),"")</f>
        <v>1900</v>
      </c>
      <c r="E2907" t="str">
        <f>IF(INPUT!O2902="","",INPUT!O2902)</f>
        <v/>
      </c>
      <c r="F2907" t="str">
        <f>IF(INPUT!N2902="","",INPUT!N2902)</f>
        <v/>
      </c>
      <c r="G2907" cm="1">
        <f t="array" ref="G2907">IFERROR(VLOOKUP(INPUT!M2902&amp;INPUT!N2902,CHOOSE({1,2},INPUT!$A$3:$A$5000&amp;INPUT!$C$3:$C$5000,INPUT!$F$3:$F$5000),2,FALSE),"")</f>
        <v>0</v>
      </c>
      <c r="H2907" cm="1">
        <f t="array" ref="H2907">IFERROR(VLOOKUP(INPUT!M2902&amp;INPUT!N2902,CHOOSE({1,2},INPUT!$A$3:$A$5000&amp;INPUT!$C$3:$C$5000,INPUT!$D$3:$D$5000),2,FALSE),"")</f>
        <v>0</v>
      </c>
      <c r="I2907" s="46" t="str">
        <f>IF(INPUT!P2902="","",INPUT!P2902)</f>
        <v/>
      </c>
      <c r="J2907" s="46" t="str">
        <f>IF(INPUT!Q2902="","",INPUT!Q2902)</f>
        <v/>
      </c>
      <c r="K2907" s="46" t="str">
        <f>IFERROR(IF(OR(INPUT!P2902="",INPUT!Q2902=""),"",INPUT!P2902-INPUT!Q2902),"")</f>
        <v/>
      </c>
      <c r="L2907" s="48" t="str">
        <f>IFERROR(IF(OR(INPUT!P2902="",INPUT!Q2902="",INPUT!P2902=0),"",(INPUT!P2902-INPUT!Q2902)/INPUT!P2902),"")</f>
        <v/>
      </c>
    </row>
    <row r="2908" spans="1:12" ht="18" hidden="1" customHeight="1" x14ac:dyDescent="0.2">
      <c r="A2908" s="11" t="str">
        <f>IF(INPUT!M2903="","",INPUT!M2903)</f>
        <v/>
      </c>
      <c r="B2908" s="11" t="str">
        <f>IF(INPUT!M2903="","",INPUT!M2903-WEEKDAY(INPUT!M2903,2)+1)</f>
        <v/>
      </c>
      <c r="C2908" s="20">
        <f>IFERROR(_xlfn.ISOWEEKNUM(INPUT!M2903),"")</f>
        <v>52</v>
      </c>
      <c r="D2908" s="20">
        <f>IFERROR(YEAR(INPUT!M2903),"")</f>
        <v>1900</v>
      </c>
      <c r="E2908" t="str">
        <f>IF(INPUT!O2903="","",INPUT!O2903)</f>
        <v/>
      </c>
      <c r="F2908" t="str">
        <f>IF(INPUT!N2903="","",INPUT!N2903)</f>
        <v/>
      </c>
      <c r="G2908" cm="1">
        <f t="array" ref="G2908">IFERROR(VLOOKUP(INPUT!M2903&amp;INPUT!N2903,CHOOSE({1,2},INPUT!$A$3:$A$5000&amp;INPUT!$C$3:$C$5000,INPUT!$F$3:$F$5000),2,FALSE),"")</f>
        <v>0</v>
      </c>
      <c r="H2908" cm="1">
        <f t="array" ref="H2908">IFERROR(VLOOKUP(INPUT!M2903&amp;INPUT!N2903,CHOOSE({1,2},INPUT!$A$3:$A$5000&amp;INPUT!$C$3:$C$5000,INPUT!$D$3:$D$5000),2,FALSE),"")</f>
        <v>0</v>
      </c>
      <c r="I2908" s="46" t="str">
        <f>IF(INPUT!P2903="","",INPUT!P2903)</f>
        <v/>
      </c>
      <c r="J2908" s="46" t="str">
        <f>IF(INPUT!Q2903="","",INPUT!Q2903)</f>
        <v/>
      </c>
      <c r="K2908" s="46" t="str">
        <f>IFERROR(IF(OR(INPUT!P2903="",INPUT!Q2903=""),"",INPUT!P2903-INPUT!Q2903),"")</f>
        <v/>
      </c>
      <c r="L2908" s="48" t="str">
        <f>IFERROR(IF(OR(INPUT!P2903="",INPUT!Q2903="",INPUT!P2903=0),"",(INPUT!P2903-INPUT!Q2903)/INPUT!P2903),"")</f>
        <v/>
      </c>
    </row>
    <row r="2909" spans="1:12" ht="18" hidden="1" customHeight="1" x14ac:dyDescent="0.2">
      <c r="A2909" s="11" t="str">
        <f>IF(INPUT!M2904="","",INPUT!M2904)</f>
        <v/>
      </c>
      <c r="B2909" s="11" t="str">
        <f>IF(INPUT!M2904="","",INPUT!M2904-WEEKDAY(INPUT!M2904,2)+1)</f>
        <v/>
      </c>
      <c r="C2909" s="20">
        <f>IFERROR(_xlfn.ISOWEEKNUM(INPUT!M2904),"")</f>
        <v>52</v>
      </c>
      <c r="D2909" s="20">
        <f>IFERROR(YEAR(INPUT!M2904),"")</f>
        <v>1900</v>
      </c>
      <c r="E2909" t="str">
        <f>IF(INPUT!O2904="","",INPUT!O2904)</f>
        <v/>
      </c>
      <c r="F2909" t="str">
        <f>IF(INPUT!N2904="","",INPUT!N2904)</f>
        <v/>
      </c>
      <c r="G2909" cm="1">
        <f t="array" ref="G2909">IFERROR(VLOOKUP(INPUT!M2904&amp;INPUT!N2904,CHOOSE({1,2},INPUT!$A$3:$A$5000&amp;INPUT!$C$3:$C$5000,INPUT!$F$3:$F$5000),2,FALSE),"")</f>
        <v>0</v>
      </c>
      <c r="H2909" cm="1">
        <f t="array" ref="H2909">IFERROR(VLOOKUP(INPUT!M2904&amp;INPUT!N2904,CHOOSE({1,2},INPUT!$A$3:$A$5000&amp;INPUT!$C$3:$C$5000,INPUT!$D$3:$D$5000),2,FALSE),"")</f>
        <v>0</v>
      </c>
      <c r="I2909" s="46" t="str">
        <f>IF(INPUT!P2904="","",INPUT!P2904)</f>
        <v/>
      </c>
      <c r="J2909" s="46" t="str">
        <f>IF(INPUT!Q2904="","",INPUT!Q2904)</f>
        <v/>
      </c>
      <c r="K2909" s="46" t="str">
        <f>IFERROR(IF(OR(INPUT!P2904="",INPUT!Q2904=""),"",INPUT!P2904-INPUT!Q2904),"")</f>
        <v/>
      </c>
      <c r="L2909" s="48" t="str">
        <f>IFERROR(IF(OR(INPUT!P2904="",INPUT!Q2904="",INPUT!P2904=0),"",(INPUT!P2904-INPUT!Q2904)/INPUT!P2904),"")</f>
        <v/>
      </c>
    </row>
    <row r="2910" spans="1:12" ht="18" hidden="1" customHeight="1" x14ac:dyDescent="0.2">
      <c r="A2910" s="11" t="str">
        <f>IF(INPUT!M2905="","",INPUT!M2905)</f>
        <v/>
      </c>
      <c r="B2910" s="11" t="str">
        <f>IF(INPUT!M2905="","",INPUT!M2905-WEEKDAY(INPUT!M2905,2)+1)</f>
        <v/>
      </c>
      <c r="C2910" s="20">
        <f>IFERROR(_xlfn.ISOWEEKNUM(INPUT!M2905),"")</f>
        <v>52</v>
      </c>
      <c r="D2910" s="20">
        <f>IFERROR(YEAR(INPUT!M2905),"")</f>
        <v>1900</v>
      </c>
      <c r="E2910" t="str">
        <f>IF(INPUT!O2905="","",INPUT!O2905)</f>
        <v/>
      </c>
      <c r="F2910" t="str">
        <f>IF(INPUT!N2905="","",INPUT!N2905)</f>
        <v/>
      </c>
      <c r="G2910" cm="1">
        <f t="array" ref="G2910">IFERROR(VLOOKUP(INPUT!M2905&amp;INPUT!N2905,CHOOSE({1,2},INPUT!$A$3:$A$5000&amp;INPUT!$C$3:$C$5000,INPUT!$F$3:$F$5000),2,FALSE),"")</f>
        <v>0</v>
      </c>
      <c r="H2910" cm="1">
        <f t="array" ref="H2910">IFERROR(VLOOKUP(INPUT!M2905&amp;INPUT!N2905,CHOOSE({1,2},INPUT!$A$3:$A$5000&amp;INPUT!$C$3:$C$5000,INPUT!$D$3:$D$5000),2,FALSE),"")</f>
        <v>0</v>
      </c>
      <c r="I2910" s="46" t="str">
        <f>IF(INPUT!P2905="","",INPUT!P2905)</f>
        <v/>
      </c>
      <c r="J2910" s="46" t="str">
        <f>IF(INPUT!Q2905="","",INPUT!Q2905)</f>
        <v/>
      </c>
      <c r="K2910" s="46" t="str">
        <f>IFERROR(IF(OR(INPUT!P2905="",INPUT!Q2905=""),"",INPUT!P2905-INPUT!Q2905),"")</f>
        <v/>
      </c>
      <c r="L2910" s="48" t="str">
        <f>IFERROR(IF(OR(INPUT!P2905="",INPUT!Q2905="",INPUT!P2905=0),"",(INPUT!P2905-INPUT!Q2905)/INPUT!P2905),"")</f>
        <v/>
      </c>
    </row>
    <row r="2911" spans="1:12" ht="18" hidden="1" customHeight="1" x14ac:dyDescent="0.2">
      <c r="A2911" s="11" t="str">
        <f>IF(INPUT!M2906="","",INPUT!M2906)</f>
        <v/>
      </c>
      <c r="B2911" s="11" t="str">
        <f>IF(INPUT!M2906="","",INPUT!M2906-WEEKDAY(INPUT!M2906,2)+1)</f>
        <v/>
      </c>
      <c r="C2911" s="20">
        <f>IFERROR(_xlfn.ISOWEEKNUM(INPUT!M2906),"")</f>
        <v>52</v>
      </c>
      <c r="D2911" s="20">
        <f>IFERROR(YEAR(INPUT!M2906),"")</f>
        <v>1900</v>
      </c>
      <c r="E2911" t="str">
        <f>IF(INPUT!O2906="","",INPUT!O2906)</f>
        <v/>
      </c>
      <c r="F2911" t="str">
        <f>IF(INPUT!N2906="","",INPUT!N2906)</f>
        <v/>
      </c>
      <c r="G2911" cm="1">
        <f t="array" ref="G2911">IFERROR(VLOOKUP(INPUT!M2906&amp;INPUT!N2906,CHOOSE({1,2},INPUT!$A$3:$A$5000&amp;INPUT!$C$3:$C$5000,INPUT!$F$3:$F$5000),2,FALSE),"")</f>
        <v>0</v>
      </c>
      <c r="H2911" cm="1">
        <f t="array" ref="H2911">IFERROR(VLOOKUP(INPUT!M2906&amp;INPUT!N2906,CHOOSE({1,2},INPUT!$A$3:$A$5000&amp;INPUT!$C$3:$C$5000,INPUT!$D$3:$D$5000),2,FALSE),"")</f>
        <v>0</v>
      </c>
      <c r="I2911" s="46" t="str">
        <f>IF(INPUT!P2906="","",INPUT!P2906)</f>
        <v/>
      </c>
      <c r="J2911" s="46" t="str">
        <f>IF(INPUT!Q2906="","",INPUT!Q2906)</f>
        <v/>
      </c>
      <c r="K2911" s="46" t="str">
        <f>IFERROR(IF(OR(INPUT!P2906="",INPUT!Q2906=""),"",INPUT!P2906-INPUT!Q2906),"")</f>
        <v/>
      </c>
      <c r="L2911" s="48" t="str">
        <f>IFERROR(IF(OR(INPUT!P2906="",INPUT!Q2906="",INPUT!P2906=0),"",(INPUT!P2906-INPUT!Q2906)/INPUT!P2906),"")</f>
        <v/>
      </c>
    </row>
    <row r="2912" spans="1:12" ht="18" hidden="1" customHeight="1" x14ac:dyDescent="0.2">
      <c r="A2912" s="11" t="str">
        <f>IF(INPUT!M2907="","",INPUT!M2907)</f>
        <v/>
      </c>
      <c r="B2912" s="11" t="str">
        <f>IF(INPUT!M2907="","",INPUT!M2907-WEEKDAY(INPUT!M2907,2)+1)</f>
        <v/>
      </c>
      <c r="C2912" s="20">
        <f>IFERROR(_xlfn.ISOWEEKNUM(INPUT!M2907),"")</f>
        <v>52</v>
      </c>
      <c r="D2912" s="20">
        <f>IFERROR(YEAR(INPUT!M2907),"")</f>
        <v>1900</v>
      </c>
      <c r="E2912" t="str">
        <f>IF(INPUT!O2907="","",INPUT!O2907)</f>
        <v/>
      </c>
      <c r="F2912" t="str">
        <f>IF(INPUT!N2907="","",INPUT!N2907)</f>
        <v/>
      </c>
      <c r="G2912" cm="1">
        <f t="array" ref="G2912">IFERROR(VLOOKUP(INPUT!M2907&amp;INPUT!N2907,CHOOSE({1,2},INPUT!$A$3:$A$5000&amp;INPUT!$C$3:$C$5000,INPUT!$F$3:$F$5000),2,FALSE),"")</f>
        <v>0</v>
      </c>
      <c r="H2912" cm="1">
        <f t="array" ref="H2912">IFERROR(VLOOKUP(INPUT!M2907&amp;INPUT!N2907,CHOOSE({1,2},INPUT!$A$3:$A$5000&amp;INPUT!$C$3:$C$5000,INPUT!$D$3:$D$5000),2,FALSE),"")</f>
        <v>0</v>
      </c>
      <c r="I2912" s="46" t="str">
        <f>IF(INPUT!P2907="","",INPUT!P2907)</f>
        <v/>
      </c>
      <c r="J2912" s="46" t="str">
        <f>IF(INPUT!Q2907="","",INPUT!Q2907)</f>
        <v/>
      </c>
      <c r="K2912" s="46" t="str">
        <f>IFERROR(IF(OR(INPUT!P2907="",INPUT!Q2907=""),"",INPUT!P2907-INPUT!Q2907),"")</f>
        <v/>
      </c>
      <c r="L2912" s="48" t="str">
        <f>IFERROR(IF(OR(INPUT!P2907="",INPUT!Q2907="",INPUT!P2907=0),"",(INPUT!P2907-INPUT!Q2907)/INPUT!P2907),"")</f>
        <v/>
      </c>
    </row>
    <row r="2913" spans="1:12" ht="18" hidden="1" customHeight="1" x14ac:dyDescent="0.2">
      <c r="A2913" s="11" t="str">
        <f>IF(INPUT!M2908="","",INPUT!M2908)</f>
        <v/>
      </c>
      <c r="B2913" s="11" t="str">
        <f>IF(INPUT!M2908="","",INPUT!M2908-WEEKDAY(INPUT!M2908,2)+1)</f>
        <v/>
      </c>
      <c r="C2913" s="20">
        <f>IFERROR(_xlfn.ISOWEEKNUM(INPUT!M2908),"")</f>
        <v>52</v>
      </c>
      <c r="D2913" s="20">
        <f>IFERROR(YEAR(INPUT!M2908),"")</f>
        <v>1900</v>
      </c>
      <c r="E2913" t="str">
        <f>IF(INPUT!O2908="","",INPUT!O2908)</f>
        <v/>
      </c>
      <c r="F2913" t="str">
        <f>IF(INPUT!N2908="","",INPUT!N2908)</f>
        <v/>
      </c>
      <c r="G2913" cm="1">
        <f t="array" ref="G2913">IFERROR(VLOOKUP(INPUT!M2908&amp;INPUT!N2908,CHOOSE({1,2},INPUT!$A$3:$A$5000&amp;INPUT!$C$3:$C$5000,INPUT!$F$3:$F$5000),2,FALSE),"")</f>
        <v>0</v>
      </c>
      <c r="H2913" cm="1">
        <f t="array" ref="H2913">IFERROR(VLOOKUP(INPUT!M2908&amp;INPUT!N2908,CHOOSE({1,2},INPUT!$A$3:$A$5000&amp;INPUT!$C$3:$C$5000,INPUT!$D$3:$D$5000),2,FALSE),"")</f>
        <v>0</v>
      </c>
      <c r="I2913" s="46" t="str">
        <f>IF(INPUT!P2908="","",INPUT!P2908)</f>
        <v/>
      </c>
      <c r="J2913" s="46" t="str">
        <f>IF(INPUT!Q2908="","",INPUT!Q2908)</f>
        <v/>
      </c>
      <c r="K2913" s="46" t="str">
        <f>IFERROR(IF(OR(INPUT!P2908="",INPUT!Q2908=""),"",INPUT!P2908-INPUT!Q2908),"")</f>
        <v/>
      </c>
      <c r="L2913" s="48" t="str">
        <f>IFERROR(IF(OR(INPUT!P2908="",INPUT!Q2908="",INPUT!P2908=0),"",(INPUT!P2908-INPUT!Q2908)/INPUT!P2908),"")</f>
        <v/>
      </c>
    </row>
    <row r="2914" spans="1:12" ht="18" hidden="1" customHeight="1" x14ac:dyDescent="0.2">
      <c r="A2914" s="11" t="str">
        <f>IF(INPUT!M2909="","",INPUT!M2909)</f>
        <v/>
      </c>
      <c r="B2914" s="11" t="str">
        <f>IF(INPUT!M2909="","",INPUT!M2909-WEEKDAY(INPUT!M2909,2)+1)</f>
        <v/>
      </c>
      <c r="C2914" s="20">
        <f>IFERROR(_xlfn.ISOWEEKNUM(INPUT!M2909),"")</f>
        <v>52</v>
      </c>
      <c r="D2914" s="20">
        <f>IFERROR(YEAR(INPUT!M2909),"")</f>
        <v>1900</v>
      </c>
      <c r="E2914" t="str">
        <f>IF(INPUT!O2909="","",INPUT!O2909)</f>
        <v/>
      </c>
      <c r="F2914" t="str">
        <f>IF(INPUT!N2909="","",INPUT!N2909)</f>
        <v/>
      </c>
      <c r="G2914" cm="1">
        <f t="array" ref="G2914">IFERROR(VLOOKUP(INPUT!M2909&amp;INPUT!N2909,CHOOSE({1,2},INPUT!$A$3:$A$5000&amp;INPUT!$C$3:$C$5000,INPUT!$F$3:$F$5000),2,FALSE),"")</f>
        <v>0</v>
      </c>
      <c r="H2914" cm="1">
        <f t="array" ref="H2914">IFERROR(VLOOKUP(INPUT!M2909&amp;INPUT!N2909,CHOOSE({1,2},INPUT!$A$3:$A$5000&amp;INPUT!$C$3:$C$5000,INPUT!$D$3:$D$5000),2,FALSE),"")</f>
        <v>0</v>
      </c>
      <c r="I2914" s="46" t="str">
        <f>IF(INPUT!P2909="","",INPUT!P2909)</f>
        <v/>
      </c>
      <c r="J2914" s="46" t="str">
        <f>IF(INPUT!Q2909="","",INPUT!Q2909)</f>
        <v/>
      </c>
      <c r="K2914" s="46" t="str">
        <f>IFERROR(IF(OR(INPUT!P2909="",INPUT!Q2909=""),"",INPUT!P2909-INPUT!Q2909),"")</f>
        <v/>
      </c>
      <c r="L2914" s="48" t="str">
        <f>IFERROR(IF(OR(INPUT!P2909="",INPUT!Q2909="",INPUT!P2909=0),"",(INPUT!P2909-INPUT!Q2909)/INPUT!P2909),"")</f>
        <v/>
      </c>
    </row>
    <row r="2915" spans="1:12" ht="18" hidden="1" customHeight="1" x14ac:dyDescent="0.2">
      <c r="A2915" s="11" t="str">
        <f>IF(INPUT!M2910="","",INPUT!M2910)</f>
        <v/>
      </c>
      <c r="B2915" s="11" t="str">
        <f>IF(INPUT!M2910="","",INPUT!M2910-WEEKDAY(INPUT!M2910,2)+1)</f>
        <v/>
      </c>
      <c r="C2915" s="20">
        <f>IFERROR(_xlfn.ISOWEEKNUM(INPUT!M2910),"")</f>
        <v>52</v>
      </c>
      <c r="D2915" s="20">
        <f>IFERROR(YEAR(INPUT!M2910),"")</f>
        <v>1900</v>
      </c>
      <c r="E2915" t="str">
        <f>IF(INPUT!O2910="","",INPUT!O2910)</f>
        <v/>
      </c>
      <c r="F2915" t="str">
        <f>IF(INPUT!N2910="","",INPUT!N2910)</f>
        <v/>
      </c>
      <c r="G2915" cm="1">
        <f t="array" ref="G2915">IFERROR(VLOOKUP(INPUT!M2910&amp;INPUT!N2910,CHOOSE({1,2},INPUT!$A$3:$A$5000&amp;INPUT!$C$3:$C$5000,INPUT!$F$3:$F$5000),2,FALSE),"")</f>
        <v>0</v>
      </c>
      <c r="H2915" cm="1">
        <f t="array" ref="H2915">IFERROR(VLOOKUP(INPUT!M2910&amp;INPUT!N2910,CHOOSE({1,2},INPUT!$A$3:$A$5000&amp;INPUT!$C$3:$C$5000,INPUT!$D$3:$D$5000),2,FALSE),"")</f>
        <v>0</v>
      </c>
      <c r="I2915" s="46" t="str">
        <f>IF(INPUT!P2910="","",INPUT!P2910)</f>
        <v/>
      </c>
      <c r="J2915" s="46" t="str">
        <f>IF(INPUT!Q2910="","",INPUT!Q2910)</f>
        <v/>
      </c>
      <c r="K2915" s="46" t="str">
        <f>IFERROR(IF(OR(INPUT!P2910="",INPUT!Q2910=""),"",INPUT!P2910-INPUT!Q2910),"")</f>
        <v/>
      </c>
      <c r="L2915" s="48" t="str">
        <f>IFERROR(IF(OR(INPUT!P2910="",INPUT!Q2910="",INPUT!P2910=0),"",(INPUT!P2910-INPUT!Q2910)/INPUT!P2910),"")</f>
        <v/>
      </c>
    </row>
    <row r="2916" spans="1:12" ht="18" hidden="1" customHeight="1" x14ac:dyDescent="0.2">
      <c r="A2916" s="11" t="str">
        <f>IF(INPUT!M2911="","",INPUT!M2911)</f>
        <v/>
      </c>
      <c r="B2916" s="11" t="str">
        <f>IF(INPUT!M2911="","",INPUT!M2911-WEEKDAY(INPUT!M2911,2)+1)</f>
        <v/>
      </c>
      <c r="C2916" s="20">
        <f>IFERROR(_xlfn.ISOWEEKNUM(INPUT!M2911),"")</f>
        <v>52</v>
      </c>
      <c r="D2916" s="20">
        <f>IFERROR(YEAR(INPUT!M2911),"")</f>
        <v>1900</v>
      </c>
      <c r="E2916" t="str">
        <f>IF(INPUT!O2911="","",INPUT!O2911)</f>
        <v/>
      </c>
      <c r="F2916" t="str">
        <f>IF(INPUT!N2911="","",INPUT!N2911)</f>
        <v/>
      </c>
      <c r="G2916" cm="1">
        <f t="array" ref="G2916">IFERROR(VLOOKUP(INPUT!M2911&amp;INPUT!N2911,CHOOSE({1,2},INPUT!$A$3:$A$5000&amp;INPUT!$C$3:$C$5000,INPUT!$F$3:$F$5000),2,FALSE),"")</f>
        <v>0</v>
      </c>
      <c r="H2916" cm="1">
        <f t="array" ref="H2916">IFERROR(VLOOKUP(INPUT!M2911&amp;INPUT!N2911,CHOOSE({1,2},INPUT!$A$3:$A$5000&amp;INPUT!$C$3:$C$5000,INPUT!$D$3:$D$5000),2,FALSE),"")</f>
        <v>0</v>
      </c>
      <c r="I2916" s="46" t="str">
        <f>IF(INPUT!P2911="","",INPUT!P2911)</f>
        <v/>
      </c>
      <c r="J2916" s="46" t="str">
        <f>IF(INPUT!Q2911="","",INPUT!Q2911)</f>
        <v/>
      </c>
      <c r="K2916" s="46" t="str">
        <f>IFERROR(IF(OR(INPUT!P2911="",INPUT!Q2911=""),"",INPUT!P2911-INPUT!Q2911),"")</f>
        <v/>
      </c>
      <c r="L2916" s="48" t="str">
        <f>IFERROR(IF(OR(INPUT!P2911="",INPUT!Q2911="",INPUT!P2911=0),"",(INPUT!P2911-INPUT!Q2911)/INPUT!P2911),"")</f>
        <v/>
      </c>
    </row>
    <row r="2917" spans="1:12" ht="18" hidden="1" customHeight="1" x14ac:dyDescent="0.2">
      <c r="A2917" s="11" t="str">
        <f>IF(INPUT!M2912="","",INPUT!M2912)</f>
        <v/>
      </c>
      <c r="B2917" s="11" t="str">
        <f>IF(INPUT!M2912="","",INPUT!M2912-WEEKDAY(INPUT!M2912,2)+1)</f>
        <v/>
      </c>
      <c r="C2917" s="20">
        <f>IFERROR(_xlfn.ISOWEEKNUM(INPUT!M2912),"")</f>
        <v>52</v>
      </c>
      <c r="D2917" s="20">
        <f>IFERROR(YEAR(INPUT!M2912),"")</f>
        <v>1900</v>
      </c>
      <c r="E2917" t="str">
        <f>IF(INPUT!O2912="","",INPUT!O2912)</f>
        <v/>
      </c>
      <c r="F2917" t="str">
        <f>IF(INPUT!N2912="","",INPUT!N2912)</f>
        <v/>
      </c>
      <c r="G2917" cm="1">
        <f t="array" ref="G2917">IFERROR(VLOOKUP(INPUT!M2912&amp;INPUT!N2912,CHOOSE({1,2},INPUT!$A$3:$A$5000&amp;INPUT!$C$3:$C$5000,INPUT!$F$3:$F$5000),2,FALSE),"")</f>
        <v>0</v>
      </c>
      <c r="H2917" cm="1">
        <f t="array" ref="H2917">IFERROR(VLOOKUP(INPUT!M2912&amp;INPUT!N2912,CHOOSE({1,2},INPUT!$A$3:$A$5000&amp;INPUT!$C$3:$C$5000,INPUT!$D$3:$D$5000),2,FALSE),"")</f>
        <v>0</v>
      </c>
      <c r="I2917" s="46" t="str">
        <f>IF(INPUT!P2912="","",INPUT!P2912)</f>
        <v/>
      </c>
      <c r="J2917" s="46" t="str">
        <f>IF(INPUT!Q2912="","",INPUT!Q2912)</f>
        <v/>
      </c>
      <c r="K2917" s="46" t="str">
        <f>IFERROR(IF(OR(INPUT!P2912="",INPUT!Q2912=""),"",INPUT!P2912-INPUT!Q2912),"")</f>
        <v/>
      </c>
      <c r="L2917" s="48" t="str">
        <f>IFERROR(IF(OR(INPUT!P2912="",INPUT!Q2912="",INPUT!P2912=0),"",(INPUT!P2912-INPUT!Q2912)/INPUT!P2912),"")</f>
        <v/>
      </c>
    </row>
    <row r="2918" spans="1:12" ht="18" hidden="1" customHeight="1" x14ac:dyDescent="0.2">
      <c r="A2918" s="11" t="str">
        <f>IF(INPUT!M2913="","",INPUT!M2913)</f>
        <v/>
      </c>
      <c r="B2918" s="11" t="str">
        <f>IF(INPUT!M2913="","",INPUT!M2913-WEEKDAY(INPUT!M2913,2)+1)</f>
        <v/>
      </c>
      <c r="C2918" s="20">
        <f>IFERROR(_xlfn.ISOWEEKNUM(INPUT!M2913),"")</f>
        <v>52</v>
      </c>
      <c r="D2918" s="20">
        <f>IFERROR(YEAR(INPUT!M2913),"")</f>
        <v>1900</v>
      </c>
      <c r="E2918" t="str">
        <f>IF(INPUT!O2913="","",INPUT!O2913)</f>
        <v/>
      </c>
      <c r="F2918" t="str">
        <f>IF(INPUT!N2913="","",INPUT!N2913)</f>
        <v/>
      </c>
      <c r="G2918" cm="1">
        <f t="array" ref="G2918">IFERROR(VLOOKUP(INPUT!M2913&amp;INPUT!N2913,CHOOSE({1,2},INPUT!$A$3:$A$5000&amp;INPUT!$C$3:$C$5000,INPUT!$F$3:$F$5000),2,FALSE),"")</f>
        <v>0</v>
      </c>
      <c r="H2918" cm="1">
        <f t="array" ref="H2918">IFERROR(VLOOKUP(INPUT!M2913&amp;INPUT!N2913,CHOOSE({1,2},INPUT!$A$3:$A$5000&amp;INPUT!$C$3:$C$5000,INPUT!$D$3:$D$5000),2,FALSE),"")</f>
        <v>0</v>
      </c>
      <c r="I2918" s="46" t="str">
        <f>IF(INPUT!P2913="","",INPUT!P2913)</f>
        <v/>
      </c>
      <c r="J2918" s="46" t="str">
        <f>IF(INPUT!Q2913="","",INPUT!Q2913)</f>
        <v/>
      </c>
      <c r="K2918" s="46" t="str">
        <f>IFERROR(IF(OR(INPUT!P2913="",INPUT!Q2913=""),"",INPUT!P2913-INPUT!Q2913),"")</f>
        <v/>
      </c>
      <c r="L2918" s="48" t="str">
        <f>IFERROR(IF(OR(INPUT!P2913="",INPUT!Q2913="",INPUT!P2913=0),"",(INPUT!P2913-INPUT!Q2913)/INPUT!P2913),"")</f>
        <v/>
      </c>
    </row>
    <row r="2919" spans="1:12" ht="18" hidden="1" customHeight="1" x14ac:dyDescent="0.2">
      <c r="A2919" s="11" t="str">
        <f>IF(INPUT!M2914="","",INPUT!M2914)</f>
        <v/>
      </c>
      <c r="B2919" s="11" t="str">
        <f>IF(INPUT!M2914="","",INPUT!M2914-WEEKDAY(INPUT!M2914,2)+1)</f>
        <v/>
      </c>
      <c r="C2919" s="20">
        <f>IFERROR(_xlfn.ISOWEEKNUM(INPUT!M2914),"")</f>
        <v>52</v>
      </c>
      <c r="D2919" s="20">
        <f>IFERROR(YEAR(INPUT!M2914),"")</f>
        <v>1900</v>
      </c>
      <c r="E2919" t="str">
        <f>IF(INPUT!O2914="","",INPUT!O2914)</f>
        <v/>
      </c>
      <c r="F2919" t="str">
        <f>IF(INPUT!N2914="","",INPUT!N2914)</f>
        <v/>
      </c>
      <c r="G2919" cm="1">
        <f t="array" ref="G2919">IFERROR(VLOOKUP(INPUT!M2914&amp;INPUT!N2914,CHOOSE({1,2},INPUT!$A$3:$A$5000&amp;INPUT!$C$3:$C$5000,INPUT!$F$3:$F$5000),2,FALSE),"")</f>
        <v>0</v>
      </c>
      <c r="H2919" cm="1">
        <f t="array" ref="H2919">IFERROR(VLOOKUP(INPUT!M2914&amp;INPUT!N2914,CHOOSE({1,2},INPUT!$A$3:$A$5000&amp;INPUT!$C$3:$C$5000,INPUT!$D$3:$D$5000),2,FALSE),"")</f>
        <v>0</v>
      </c>
      <c r="I2919" s="46" t="str">
        <f>IF(INPUT!P2914="","",INPUT!P2914)</f>
        <v/>
      </c>
      <c r="J2919" s="46" t="str">
        <f>IF(INPUT!Q2914="","",INPUT!Q2914)</f>
        <v/>
      </c>
      <c r="K2919" s="46" t="str">
        <f>IFERROR(IF(OR(INPUT!P2914="",INPUT!Q2914=""),"",INPUT!P2914-INPUT!Q2914),"")</f>
        <v/>
      </c>
      <c r="L2919" s="48" t="str">
        <f>IFERROR(IF(OR(INPUT!P2914="",INPUT!Q2914="",INPUT!P2914=0),"",(INPUT!P2914-INPUT!Q2914)/INPUT!P2914),"")</f>
        <v/>
      </c>
    </row>
    <row r="2920" spans="1:12" ht="18" hidden="1" customHeight="1" x14ac:dyDescent="0.2">
      <c r="A2920" s="11" t="str">
        <f>IF(INPUT!M2915="","",INPUT!M2915)</f>
        <v/>
      </c>
      <c r="B2920" s="11" t="str">
        <f>IF(INPUT!M2915="","",INPUT!M2915-WEEKDAY(INPUT!M2915,2)+1)</f>
        <v/>
      </c>
      <c r="C2920" s="20">
        <f>IFERROR(_xlfn.ISOWEEKNUM(INPUT!M2915),"")</f>
        <v>52</v>
      </c>
      <c r="D2920" s="20">
        <f>IFERROR(YEAR(INPUT!M2915),"")</f>
        <v>1900</v>
      </c>
      <c r="E2920" t="str">
        <f>IF(INPUT!O2915="","",INPUT!O2915)</f>
        <v/>
      </c>
      <c r="F2920" t="str">
        <f>IF(INPUT!N2915="","",INPUT!N2915)</f>
        <v/>
      </c>
      <c r="G2920" cm="1">
        <f t="array" ref="G2920">IFERROR(VLOOKUP(INPUT!M2915&amp;INPUT!N2915,CHOOSE({1,2},INPUT!$A$3:$A$5000&amp;INPUT!$C$3:$C$5000,INPUT!$F$3:$F$5000),2,FALSE),"")</f>
        <v>0</v>
      </c>
      <c r="H2920" cm="1">
        <f t="array" ref="H2920">IFERROR(VLOOKUP(INPUT!M2915&amp;INPUT!N2915,CHOOSE({1,2},INPUT!$A$3:$A$5000&amp;INPUT!$C$3:$C$5000,INPUT!$D$3:$D$5000),2,FALSE),"")</f>
        <v>0</v>
      </c>
      <c r="I2920" s="46" t="str">
        <f>IF(INPUT!P2915="","",INPUT!P2915)</f>
        <v/>
      </c>
      <c r="J2920" s="46" t="str">
        <f>IF(INPUT!Q2915="","",INPUT!Q2915)</f>
        <v/>
      </c>
      <c r="K2920" s="46" t="str">
        <f>IFERROR(IF(OR(INPUT!P2915="",INPUT!Q2915=""),"",INPUT!P2915-INPUT!Q2915),"")</f>
        <v/>
      </c>
      <c r="L2920" s="48" t="str">
        <f>IFERROR(IF(OR(INPUT!P2915="",INPUT!Q2915="",INPUT!P2915=0),"",(INPUT!P2915-INPUT!Q2915)/INPUT!P2915),"")</f>
        <v/>
      </c>
    </row>
    <row r="2921" spans="1:12" ht="18" hidden="1" customHeight="1" x14ac:dyDescent="0.2">
      <c r="A2921" s="11" t="str">
        <f>IF(INPUT!M2916="","",INPUT!M2916)</f>
        <v/>
      </c>
      <c r="B2921" s="11" t="str">
        <f>IF(INPUT!M2916="","",INPUT!M2916-WEEKDAY(INPUT!M2916,2)+1)</f>
        <v/>
      </c>
      <c r="C2921" s="20">
        <f>IFERROR(_xlfn.ISOWEEKNUM(INPUT!M2916),"")</f>
        <v>52</v>
      </c>
      <c r="D2921" s="20">
        <f>IFERROR(YEAR(INPUT!M2916),"")</f>
        <v>1900</v>
      </c>
      <c r="E2921" t="str">
        <f>IF(INPUT!O2916="","",INPUT!O2916)</f>
        <v/>
      </c>
      <c r="F2921" t="str">
        <f>IF(INPUT!N2916="","",INPUT!N2916)</f>
        <v/>
      </c>
      <c r="G2921" cm="1">
        <f t="array" ref="G2921">IFERROR(VLOOKUP(INPUT!M2916&amp;INPUT!N2916,CHOOSE({1,2},INPUT!$A$3:$A$5000&amp;INPUT!$C$3:$C$5000,INPUT!$F$3:$F$5000),2,FALSE),"")</f>
        <v>0</v>
      </c>
      <c r="H2921" cm="1">
        <f t="array" ref="H2921">IFERROR(VLOOKUP(INPUT!M2916&amp;INPUT!N2916,CHOOSE({1,2},INPUT!$A$3:$A$5000&amp;INPUT!$C$3:$C$5000,INPUT!$D$3:$D$5000),2,FALSE),"")</f>
        <v>0</v>
      </c>
      <c r="I2921" s="46" t="str">
        <f>IF(INPUT!P2916="","",INPUT!P2916)</f>
        <v/>
      </c>
      <c r="J2921" s="46" t="str">
        <f>IF(INPUT!Q2916="","",INPUT!Q2916)</f>
        <v/>
      </c>
      <c r="K2921" s="46" t="str">
        <f>IFERROR(IF(OR(INPUT!P2916="",INPUT!Q2916=""),"",INPUT!P2916-INPUT!Q2916),"")</f>
        <v/>
      </c>
      <c r="L2921" s="48" t="str">
        <f>IFERROR(IF(OR(INPUT!P2916="",INPUT!Q2916="",INPUT!P2916=0),"",(INPUT!P2916-INPUT!Q2916)/INPUT!P2916),"")</f>
        <v/>
      </c>
    </row>
    <row r="2922" spans="1:12" ht="18" hidden="1" customHeight="1" x14ac:dyDescent="0.2">
      <c r="A2922" s="11" t="str">
        <f>IF(INPUT!M2917="","",INPUT!M2917)</f>
        <v/>
      </c>
      <c r="B2922" s="11" t="str">
        <f>IF(INPUT!M2917="","",INPUT!M2917-WEEKDAY(INPUT!M2917,2)+1)</f>
        <v/>
      </c>
      <c r="C2922" s="20">
        <f>IFERROR(_xlfn.ISOWEEKNUM(INPUT!M2917),"")</f>
        <v>52</v>
      </c>
      <c r="D2922" s="20">
        <f>IFERROR(YEAR(INPUT!M2917),"")</f>
        <v>1900</v>
      </c>
      <c r="E2922" t="str">
        <f>IF(INPUT!O2917="","",INPUT!O2917)</f>
        <v/>
      </c>
      <c r="F2922" t="str">
        <f>IF(INPUT!N2917="","",INPUT!N2917)</f>
        <v/>
      </c>
      <c r="G2922" cm="1">
        <f t="array" ref="G2922">IFERROR(VLOOKUP(INPUT!M2917&amp;INPUT!N2917,CHOOSE({1,2},INPUT!$A$3:$A$5000&amp;INPUT!$C$3:$C$5000,INPUT!$F$3:$F$5000),2,FALSE),"")</f>
        <v>0</v>
      </c>
      <c r="H2922" cm="1">
        <f t="array" ref="H2922">IFERROR(VLOOKUP(INPUT!M2917&amp;INPUT!N2917,CHOOSE({1,2},INPUT!$A$3:$A$5000&amp;INPUT!$C$3:$C$5000,INPUT!$D$3:$D$5000),2,FALSE),"")</f>
        <v>0</v>
      </c>
      <c r="I2922" s="46" t="str">
        <f>IF(INPUT!P2917="","",INPUT!P2917)</f>
        <v/>
      </c>
      <c r="J2922" s="46" t="str">
        <f>IF(INPUT!Q2917="","",INPUT!Q2917)</f>
        <v/>
      </c>
      <c r="K2922" s="46" t="str">
        <f>IFERROR(IF(OR(INPUT!P2917="",INPUT!Q2917=""),"",INPUT!P2917-INPUT!Q2917),"")</f>
        <v/>
      </c>
      <c r="L2922" s="48" t="str">
        <f>IFERROR(IF(OR(INPUT!P2917="",INPUT!Q2917="",INPUT!P2917=0),"",(INPUT!P2917-INPUT!Q2917)/INPUT!P2917),"")</f>
        <v/>
      </c>
    </row>
    <row r="2923" spans="1:12" ht="18" hidden="1" customHeight="1" x14ac:dyDescent="0.2">
      <c r="A2923" s="11" t="str">
        <f>IF(INPUT!M2918="","",INPUT!M2918)</f>
        <v/>
      </c>
      <c r="B2923" s="11" t="str">
        <f>IF(INPUT!M2918="","",INPUT!M2918-WEEKDAY(INPUT!M2918,2)+1)</f>
        <v/>
      </c>
      <c r="C2923" s="20">
        <f>IFERROR(_xlfn.ISOWEEKNUM(INPUT!M2918),"")</f>
        <v>52</v>
      </c>
      <c r="D2923" s="20">
        <f>IFERROR(YEAR(INPUT!M2918),"")</f>
        <v>1900</v>
      </c>
      <c r="E2923" t="str">
        <f>IF(INPUT!O2918="","",INPUT!O2918)</f>
        <v/>
      </c>
      <c r="F2923" t="str">
        <f>IF(INPUT!N2918="","",INPUT!N2918)</f>
        <v/>
      </c>
      <c r="G2923" cm="1">
        <f t="array" ref="G2923">IFERROR(VLOOKUP(INPUT!M2918&amp;INPUT!N2918,CHOOSE({1,2},INPUT!$A$3:$A$5000&amp;INPUT!$C$3:$C$5000,INPUT!$F$3:$F$5000),2,FALSE),"")</f>
        <v>0</v>
      </c>
      <c r="H2923" cm="1">
        <f t="array" ref="H2923">IFERROR(VLOOKUP(INPUT!M2918&amp;INPUT!N2918,CHOOSE({1,2},INPUT!$A$3:$A$5000&amp;INPUT!$C$3:$C$5000,INPUT!$D$3:$D$5000),2,FALSE),"")</f>
        <v>0</v>
      </c>
      <c r="I2923" s="46" t="str">
        <f>IF(INPUT!P2918="","",INPUT!P2918)</f>
        <v/>
      </c>
      <c r="J2923" s="46" t="str">
        <f>IF(INPUT!Q2918="","",INPUT!Q2918)</f>
        <v/>
      </c>
      <c r="K2923" s="46" t="str">
        <f>IFERROR(IF(OR(INPUT!P2918="",INPUT!Q2918=""),"",INPUT!P2918-INPUT!Q2918),"")</f>
        <v/>
      </c>
      <c r="L2923" s="48" t="str">
        <f>IFERROR(IF(OR(INPUT!P2918="",INPUT!Q2918="",INPUT!P2918=0),"",(INPUT!P2918-INPUT!Q2918)/INPUT!P2918),"")</f>
        <v/>
      </c>
    </row>
    <row r="2924" spans="1:12" ht="18" hidden="1" customHeight="1" x14ac:dyDescent="0.2">
      <c r="A2924" s="11" t="str">
        <f>IF(INPUT!M2919="","",INPUT!M2919)</f>
        <v/>
      </c>
      <c r="B2924" s="11" t="str">
        <f>IF(INPUT!M2919="","",INPUT!M2919-WEEKDAY(INPUT!M2919,2)+1)</f>
        <v/>
      </c>
      <c r="C2924" s="20">
        <f>IFERROR(_xlfn.ISOWEEKNUM(INPUT!M2919),"")</f>
        <v>52</v>
      </c>
      <c r="D2924" s="20">
        <f>IFERROR(YEAR(INPUT!M2919),"")</f>
        <v>1900</v>
      </c>
      <c r="E2924" t="str">
        <f>IF(INPUT!O2919="","",INPUT!O2919)</f>
        <v/>
      </c>
      <c r="F2924" t="str">
        <f>IF(INPUT!N2919="","",INPUT!N2919)</f>
        <v/>
      </c>
      <c r="G2924" cm="1">
        <f t="array" ref="G2924">IFERROR(VLOOKUP(INPUT!M2919&amp;INPUT!N2919,CHOOSE({1,2},INPUT!$A$3:$A$5000&amp;INPUT!$C$3:$C$5000,INPUT!$F$3:$F$5000),2,FALSE),"")</f>
        <v>0</v>
      </c>
      <c r="H2924" cm="1">
        <f t="array" ref="H2924">IFERROR(VLOOKUP(INPUT!M2919&amp;INPUT!N2919,CHOOSE({1,2},INPUT!$A$3:$A$5000&amp;INPUT!$C$3:$C$5000,INPUT!$D$3:$D$5000),2,FALSE),"")</f>
        <v>0</v>
      </c>
      <c r="I2924" s="46" t="str">
        <f>IF(INPUT!P2919="","",INPUT!P2919)</f>
        <v/>
      </c>
      <c r="J2924" s="46" t="str">
        <f>IF(INPUT!Q2919="","",INPUT!Q2919)</f>
        <v/>
      </c>
      <c r="K2924" s="46" t="str">
        <f>IFERROR(IF(OR(INPUT!P2919="",INPUT!Q2919=""),"",INPUT!P2919-INPUT!Q2919),"")</f>
        <v/>
      </c>
      <c r="L2924" s="48" t="str">
        <f>IFERROR(IF(OR(INPUT!P2919="",INPUT!Q2919="",INPUT!P2919=0),"",(INPUT!P2919-INPUT!Q2919)/INPUT!P2919),"")</f>
        <v/>
      </c>
    </row>
    <row r="2925" spans="1:12" ht="18" hidden="1" customHeight="1" x14ac:dyDescent="0.2">
      <c r="A2925" s="11" t="str">
        <f>IF(INPUT!M2920="","",INPUT!M2920)</f>
        <v/>
      </c>
      <c r="B2925" s="11" t="str">
        <f>IF(INPUT!M2920="","",INPUT!M2920-WEEKDAY(INPUT!M2920,2)+1)</f>
        <v/>
      </c>
      <c r="C2925" s="20">
        <f>IFERROR(_xlfn.ISOWEEKNUM(INPUT!M2920),"")</f>
        <v>52</v>
      </c>
      <c r="D2925" s="20">
        <f>IFERROR(YEAR(INPUT!M2920),"")</f>
        <v>1900</v>
      </c>
      <c r="E2925" t="str">
        <f>IF(INPUT!O2920="","",INPUT!O2920)</f>
        <v/>
      </c>
      <c r="F2925" t="str">
        <f>IF(INPUT!N2920="","",INPUT!N2920)</f>
        <v/>
      </c>
      <c r="G2925" cm="1">
        <f t="array" ref="G2925">IFERROR(VLOOKUP(INPUT!M2920&amp;INPUT!N2920,CHOOSE({1,2},INPUT!$A$3:$A$5000&amp;INPUT!$C$3:$C$5000,INPUT!$F$3:$F$5000),2,FALSE),"")</f>
        <v>0</v>
      </c>
      <c r="H2925" cm="1">
        <f t="array" ref="H2925">IFERROR(VLOOKUP(INPUT!M2920&amp;INPUT!N2920,CHOOSE({1,2},INPUT!$A$3:$A$5000&amp;INPUT!$C$3:$C$5000,INPUT!$D$3:$D$5000),2,FALSE),"")</f>
        <v>0</v>
      </c>
      <c r="I2925" s="46" t="str">
        <f>IF(INPUT!P2920="","",INPUT!P2920)</f>
        <v/>
      </c>
      <c r="J2925" s="46" t="str">
        <f>IF(INPUT!Q2920="","",INPUT!Q2920)</f>
        <v/>
      </c>
      <c r="K2925" s="46" t="str">
        <f>IFERROR(IF(OR(INPUT!P2920="",INPUT!Q2920=""),"",INPUT!P2920-INPUT!Q2920),"")</f>
        <v/>
      </c>
      <c r="L2925" s="48" t="str">
        <f>IFERROR(IF(OR(INPUT!P2920="",INPUT!Q2920="",INPUT!P2920=0),"",(INPUT!P2920-INPUT!Q2920)/INPUT!P2920),"")</f>
        <v/>
      </c>
    </row>
    <row r="2926" spans="1:12" ht="18" hidden="1" customHeight="1" x14ac:dyDescent="0.2">
      <c r="A2926" s="11" t="str">
        <f>IF(INPUT!M2921="","",INPUT!M2921)</f>
        <v/>
      </c>
      <c r="B2926" s="11" t="str">
        <f>IF(INPUT!M2921="","",INPUT!M2921-WEEKDAY(INPUT!M2921,2)+1)</f>
        <v/>
      </c>
      <c r="C2926" s="20">
        <f>IFERROR(_xlfn.ISOWEEKNUM(INPUT!M2921),"")</f>
        <v>52</v>
      </c>
      <c r="D2926" s="20">
        <f>IFERROR(YEAR(INPUT!M2921),"")</f>
        <v>1900</v>
      </c>
      <c r="E2926" t="str">
        <f>IF(INPUT!O2921="","",INPUT!O2921)</f>
        <v/>
      </c>
      <c r="F2926" t="str">
        <f>IF(INPUT!N2921="","",INPUT!N2921)</f>
        <v/>
      </c>
      <c r="G2926" cm="1">
        <f t="array" ref="G2926">IFERROR(VLOOKUP(INPUT!M2921&amp;INPUT!N2921,CHOOSE({1,2},INPUT!$A$3:$A$5000&amp;INPUT!$C$3:$C$5000,INPUT!$F$3:$F$5000),2,FALSE),"")</f>
        <v>0</v>
      </c>
      <c r="H2926" cm="1">
        <f t="array" ref="H2926">IFERROR(VLOOKUP(INPUT!M2921&amp;INPUT!N2921,CHOOSE({1,2},INPUT!$A$3:$A$5000&amp;INPUT!$C$3:$C$5000,INPUT!$D$3:$D$5000),2,FALSE),"")</f>
        <v>0</v>
      </c>
      <c r="I2926" s="46" t="str">
        <f>IF(INPUT!P2921="","",INPUT!P2921)</f>
        <v/>
      </c>
      <c r="J2926" s="46" t="str">
        <f>IF(INPUT!Q2921="","",INPUT!Q2921)</f>
        <v/>
      </c>
      <c r="K2926" s="46" t="str">
        <f>IFERROR(IF(OR(INPUT!P2921="",INPUT!Q2921=""),"",INPUT!P2921-INPUT!Q2921),"")</f>
        <v/>
      </c>
      <c r="L2926" s="48" t="str">
        <f>IFERROR(IF(OR(INPUT!P2921="",INPUT!Q2921="",INPUT!P2921=0),"",(INPUT!P2921-INPUT!Q2921)/INPUT!P2921),"")</f>
        <v/>
      </c>
    </row>
    <row r="2927" spans="1:12" ht="18" hidden="1" customHeight="1" x14ac:dyDescent="0.2">
      <c r="A2927" s="11" t="str">
        <f>IF(INPUT!M2922="","",INPUT!M2922)</f>
        <v/>
      </c>
      <c r="B2927" s="11" t="str">
        <f>IF(INPUT!M2922="","",INPUT!M2922-WEEKDAY(INPUT!M2922,2)+1)</f>
        <v/>
      </c>
      <c r="C2927" s="20">
        <f>IFERROR(_xlfn.ISOWEEKNUM(INPUT!M2922),"")</f>
        <v>52</v>
      </c>
      <c r="D2927" s="20">
        <f>IFERROR(YEAR(INPUT!M2922),"")</f>
        <v>1900</v>
      </c>
      <c r="E2927" t="str">
        <f>IF(INPUT!O2922="","",INPUT!O2922)</f>
        <v/>
      </c>
      <c r="F2927" t="str">
        <f>IF(INPUT!N2922="","",INPUT!N2922)</f>
        <v/>
      </c>
      <c r="G2927" cm="1">
        <f t="array" ref="G2927">IFERROR(VLOOKUP(INPUT!M2922&amp;INPUT!N2922,CHOOSE({1,2},INPUT!$A$3:$A$5000&amp;INPUT!$C$3:$C$5000,INPUT!$F$3:$F$5000),2,FALSE),"")</f>
        <v>0</v>
      </c>
      <c r="H2927" cm="1">
        <f t="array" ref="H2927">IFERROR(VLOOKUP(INPUT!M2922&amp;INPUT!N2922,CHOOSE({1,2},INPUT!$A$3:$A$5000&amp;INPUT!$C$3:$C$5000,INPUT!$D$3:$D$5000),2,FALSE),"")</f>
        <v>0</v>
      </c>
      <c r="I2927" s="46" t="str">
        <f>IF(INPUT!P2922="","",INPUT!P2922)</f>
        <v/>
      </c>
      <c r="J2927" s="46" t="str">
        <f>IF(INPUT!Q2922="","",INPUT!Q2922)</f>
        <v/>
      </c>
      <c r="K2927" s="46" t="str">
        <f>IFERROR(IF(OR(INPUT!P2922="",INPUT!Q2922=""),"",INPUT!P2922-INPUT!Q2922),"")</f>
        <v/>
      </c>
      <c r="L2927" s="48" t="str">
        <f>IFERROR(IF(OR(INPUT!P2922="",INPUT!Q2922="",INPUT!P2922=0),"",(INPUT!P2922-INPUT!Q2922)/INPUT!P2922),"")</f>
        <v/>
      </c>
    </row>
    <row r="2928" spans="1:12" ht="18" hidden="1" customHeight="1" x14ac:dyDescent="0.2">
      <c r="A2928" s="11" t="str">
        <f>IF(INPUT!M2923="","",INPUT!M2923)</f>
        <v/>
      </c>
      <c r="B2928" s="11" t="str">
        <f>IF(INPUT!M2923="","",INPUT!M2923-WEEKDAY(INPUT!M2923,2)+1)</f>
        <v/>
      </c>
      <c r="C2928" s="20">
        <f>IFERROR(_xlfn.ISOWEEKNUM(INPUT!M2923),"")</f>
        <v>52</v>
      </c>
      <c r="D2928" s="20">
        <f>IFERROR(YEAR(INPUT!M2923),"")</f>
        <v>1900</v>
      </c>
      <c r="E2928" t="str">
        <f>IF(INPUT!O2923="","",INPUT!O2923)</f>
        <v/>
      </c>
      <c r="F2928" t="str">
        <f>IF(INPUT!N2923="","",INPUT!N2923)</f>
        <v/>
      </c>
      <c r="G2928" cm="1">
        <f t="array" ref="G2928">IFERROR(VLOOKUP(INPUT!M2923&amp;INPUT!N2923,CHOOSE({1,2},INPUT!$A$3:$A$5000&amp;INPUT!$C$3:$C$5000,INPUT!$F$3:$F$5000),2,FALSE),"")</f>
        <v>0</v>
      </c>
      <c r="H2928" cm="1">
        <f t="array" ref="H2928">IFERROR(VLOOKUP(INPUT!M2923&amp;INPUT!N2923,CHOOSE({1,2},INPUT!$A$3:$A$5000&amp;INPUT!$C$3:$C$5000,INPUT!$D$3:$D$5000),2,FALSE),"")</f>
        <v>0</v>
      </c>
      <c r="I2928" s="46" t="str">
        <f>IF(INPUT!P2923="","",INPUT!P2923)</f>
        <v/>
      </c>
      <c r="J2928" s="46" t="str">
        <f>IF(INPUT!Q2923="","",INPUT!Q2923)</f>
        <v/>
      </c>
      <c r="K2928" s="46" t="str">
        <f>IFERROR(IF(OR(INPUT!P2923="",INPUT!Q2923=""),"",INPUT!P2923-INPUT!Q2923),"")</f>
        <v/>
      </c>
      <c r="L2928" s="48" t="str">
        <f>IFERROR(IF(OR(INPUT!P2923="",INPUT!Q2923="",INPUT!P2923=0),"",(INPUT!P2923-INPUT!Q2923)/INPUT!P2923),"")</f>
        <v/>
      </c>
    </row>
    <row r="2929" spans="1:12" ht="18" hidden="1" customHeight="1" x14ac:dyDescent="0.2">
      <c r="A2929" s="11" t="str">
        <f>IF(INPUT!M2924="","",INPUT!M2924)</f>
        <v/>
      </c>
      <c r="B2929" s="11" t="str">
        <f>IF(INPUT!M2924="","",INPUT!M2924-WEEKDAY(INPUT!M2924,2)+1)</f>
        <v/>
      </c>
      <c r="C2929" s="20">
        <f>IFERROR(_xlfn.ISOWEEKNUM(INPUT!M2924),"")</f>
        <v>52</v>
      </c>
      <c r="D2929" s="20">
        <f>IFERROR(YEAR(INPUT!M2924),"")</f>
        <v>1900</v>
      </c>
      <c r="E2929" t="str">
        <f>IF(INPUT!O2924="","",INPUT!O2924)</f>
        <v/>
      </c>
      <c r="F2929" t="str">
        <f>IF(INPUT!N2924="","",INPUT!N2924)</f>
        <v/>
      </c>
      <c r="G2929" cm="1">
        <f t="array" ref="G2929">IFERROR(VLOOKUP(INPUT!M2924&amp;INPUT!N2924,CHOOSE({1,2},INPUT!$A$3:$A$5000&amp;INPUT!$C$3:$C$5000,INPUT!$F$3:$F$5000),2,FALSE),"")</f>
        <v>0</v>
      </c>
      <c r="H2929" cm="1">
        <f t="array" ref="H2929">IFERROR(VLOOKUP(INPUT!M2924&amp;INPUT!N2924,CHOOSE({1,2},INPUT!$A$3:$A$5000&amp;INPUT!$C$3:$C$5000,INPUT!$D$3:$D$5000),2,FALSE),"")</f>
        <v>0</v>
      </c>
      <c r="I2929" s="46" t="str">
        <f>IF(INPUT!P2924="","",INPUT!P2924)</f>
        <v/>
      </c>
      <c r="J2929" s="46" t="str">
        <f>IF(INPUT!Q2924="","",INPUT!Q2924)</f>
        <v/>
      </c>
      <c r="K2929" s="46" t="str">
        <f>IFERROR(IF(OR(INPUT!P2924="",INPUT!Q2924=""),"",INPUT!P2924-INPUT!Q2924),"")</f>
        <v/>
      </c>
      <c r="L2929" s="48" t="str">
        <f>IFERROR(IF(OR(INPUT!P2924="",INPUT!Q2924="",INPUT!P2924=0),"",(INPUT!P2924-INPUT!Q2924)/INPUT!P2924),"")</f>
        <v/>
      </c>
    </row>
    <row r="2930" spans="1:12" ht="18" hidden="1" customHeight="1" x14ac:dyDescent="0.2">
      <c r="A2930" s="11" t="str">
        <f>IF(INPUT!M2925="","",INPUT!M2925)</f>
        <v/>
      </c>
      <c r="B2930" s="11" t="str">
        <f>IF(INPUT!M2925="","",INPUT!M2925-WEEKDAY(INPUT!M2925,2)+1)</f>
        <v/>
      </c>
      <c r="C2930" s="20">
        <f>IFERROR(_xlfn.ISOWEEKNUM(INPUT!M2925),"")</f>
        <v>52</v>
      </c>
      <c r="D2930" s="20">
        <f>IFERROR(YEAR(INPUT!M2925),"")</f>
        <v>1900</v>
      </c>
      <c r="E2930" t="str">
        <f>IF(INPUT!O2925="","",INPUT!O2925)</f>
        <v/>
      </c>
      <c r="F2930" t="str">
        <f>IF(INPUT!N2925="","",INPUT!N2925)</f>
        <v/>
      </c>
      <c r="G2930" cm="1">
        <f t="array" ref="G2930">IFERROR(VLOOKUP(INPUT!M2925&amp;INPUT!N2925,CHOOSE({1,2},INPUT!$A$3:$A$5000&amp;INPUT!$C$3:$C$5000,INPUT!$F$3:$F$5000),2,FALSE),"")</f>
        <v>0</v>
      </c>
      <c r="H2930" cm="1">
        <f t="array" ref="H2930">IFERROR(VLOOKUP(INPUT!M2925&amp;INPUT!N2925,CHOOSE({1,2},INPUT!$A$3:$A$5000&amp;INPUT!$C$3:$C$5000,INPUT!$D$3:$D$5000),2,FALSE),"")</f>
        <v>0</v>
      </c>
      <c r="I2930" s="46" t="str">
        <f>IF(INPUT!P2925="","",INPUT!P2925)</f>
        <v/>
      </c>
      <c r="J2930" s="46" t="str">
        <f>IF(INPUT!Q2925="","",INPUT!Q2925)</f>
        <v/>
      </c>
      <c r="K2930" s="46" t="str">
        <f>IFERROR(IF(OR(INPUT!P2925="",INPUT!Q2925=""),"",INPUT!P2925-INPUT!Q2925),"")</f>
        <v/>
      </c>
      <c r="L2930" s="48" t="str">
        <f>IFERROR(IF(OR(INPUT!P2925="",INPUT!Q2925="",INPUT!P2925=0),"",(INPUT!P2925-INPUT!Q2925)/INPUT!P2925),"")</f>
        <v/>
      </c>
    </row>
    <row r="2931" spans="1:12" ht="18" hidden="1" customHeight="1" x14ac:dyDescent="0.2">
      <c r="A2931" s="11" t="str">
        <f>IF(INPUT!M2926="","",INPUT!M2926)</f>
        <v/>
      </c>
      <c r="B2931" s="11" t="str">
        <f>IF(INPUT!M2926="","",INPUT!M2926-WEEKDAY(INPUT!M2926,2)+1)</f>
        <v/>
      </c>
      <c r="C2931" s="20">
        <f>IFERROR(_xlfn.ISOWEEKNUM(INPUT!M2926),"")</f>
        <v>52</v>
      </c>
      <c r="D2931" s="20">
        <f>IFERROR(YEAR(INPUT!M2926),"")</f>
        <v>1900</v>
      </c>
      <c r="E2931" t="str">
        <f>IF(INPUT!O2926="","",INPUT!O2926)</f>
        <v/>
      </c>
      <c r="F2931" t="str">
        <f>IF(INPUT!N2926="","",INPUT!N2926)</f>
        <v/>
      </c>
      <c r="G2931" cm="1">
        <f t="array" ref="G2931">IFERROR(VLOOKUP(INPUT!M2926&amp;INPUT!N2926,CHOOSE({1,2},INPUT!$A$3:$A$5000&amp;INPUT!$C$3:$C$5000,INPUT!$F$3:$F$5000),2,FALSE),"")</f>
        <v>0</v>
      </c>
      <c r="H2931" cm="1">
        <f t="array" ref="H2931">IFERROR(VLOOKUP(INPUT!M2926&amp;INPUT!N2926,CHOOSE({1,2},INPUT!$A$3:$A$5000&amp;INPUT!$C$3:$C$5000,INPUT!$D$3:$D$5000),2,FALSE),"")</f>
        <v>0</v>
      </c>
      <c r="I2931" s="46" t="str">
        <f>IF(INPUT!P2926="","",INPUT!P2926)</f>
        <v/>
      </c>
      <c r="J2931" s="46" t="str">
        <f>IF(INPUT!Q2926="","",INPUT!Q2926)</f>
        <v/>
      </c>
      <c r="K2931" s="46" t="str">
        <f>IFERROR(IF(OR(INPUT!P2926="",INPUT!Q2926=""),"",INPUT!P2926-INPUT!Q2926),"")</f>
        <v/>
      </c>
      <c r="L2931" s="48" t="str">
        <f>IFERROR(IF(OR(INPUT!P2926="",INPUT!Q2926="",INPUT!P2926=0),"",(INPUT!P2926-INPUT!Q2926)/INPUT!P2926),"")</f>
        <v/>
      </c>
    </row>
    <row r="2932" spans="1:12" ht="18" hidden="1" customHeight="1" x14ac:dyDescent="0.2">
      <c r="A2932" s="11" t="str">
        <f>IF(INPUT!M2927="","",INPUT!M2927)</f>
        <v/>
      </c>
      <c r="B2932" s="11" t="str">
        <f>IF(INPUT!M2927="","",INPUT!M2927-WEEKDAY(INPUT!M2927,2)+1)</f>
        <v/>
      </c>
      <c r="C2932" s="20">
        <f>IFERROR(_xlfn.ISOWEEKNUM(INPUT!M2927),"")</f>
        <v>52</v>
      </c>
      <c r="D2932" s="20">
        <f>IFERROR(YEAR(INPUT!M2927),"")</f>
        <v>1900</v>
      </c>
      <c r="E2932" t="str">
        <f>IF(INPUT!O2927="","",INPUT!O2927)</f>
        <v/>
      </c>
      <c r="F2932" t="str">
        <f>IF(INPUT!N2927="","",INPUT!N2927)</f>
        <v/>
      </c>
      <c r="G2932" cm="1">
        <f t="array" ref="G2932">IFERROR(VLOOKUP(INPUT!M2927&amp;INPUT!N2927,CHOOSE({1,2},INPUT!$A$3:$A$5000&amp;INPUT!$C$3:$C$5000,INPUT!$F$3:$F$5000),2,FALSE),"")</f>
        <v>0</v>
      </c>
      <c r="H2932" cm="1">
        <f t="array" ref="H2932">IFERROR(VLOOKUP(INPUT!M2927&amp;INPUT!N2927,CHOOSE({1,2},INPUT!$A$3:$A$5000&amp;INPUT!$C$3:$C$5000,INPUT!$D$3:$D$5000),2,FALSE),"")</f>
        <v>0</v>
      </c>
      <c r="I2932" s="46" t="str">
        <f>IF(INPUT!P2927="","",INPUT!P2927)</f>
        <v/>
      </c>
      <c r="J2932" s="46" t="str">
        <f>IF(INPUT!Q2927="","",INPUT!Q2927)</f>
        <v/>
      </c>
      <c r="K2932" s="46" t="str">
        <f>IFERROR(IF(OR(INPUT!P2927="",INPUT!Q2927=""),"",INPUT!P2927-INPUT!Q2927),"")</f>
        <v/>
      </c>
      <c r="L2932" s="48" t="str">
        <f>IFERROR(IF(OR(INPUT!P2927="",INPUT!Q2927="",INPUT!P2927=0),"",(INPUT!P2927-INPUT!Q2927)/INPUT!P2927),"")</f>
        <v/>
      </c>
    </row>
    <row r="2933" spans="1:12" ht="18" hidden="1" customHeight="1" x14ac:dyDescent="0.2">
      <c r="A2933" s="11" t="str">
        <f>IF(INPUT!M2928="","",INPUT!M2928)</f>
        <v/>
      </c>
      <c r="B2933" s="11" t="str">
        <f>IF(INPUT!M2928="","",INPUT!M2928-WEEKDAY(INPUT!M2928,2)+1)</f>
        <v/>
      </c>
      <c r="C2933" s="20">
        <f>IFERROR(_xlfn.ISOWEEKNUM(INPUT!M2928),"")</f>
        <v>52</v>
      </c>
      <c r="D2933" s="20">
        <f>IFERROR(YEAR(INPUT!M2928),"")</f>
        <v>1900</v>
      </c>
      <c r="E2933" t="str">
        <f>IF(INPUT!O2928="","",INPUT!O2928)</f>
        <v/>
      </c>
      <c r="F2933" t="str">
        <f>IF(INPUT!N2928="","",INPUT!N2928)</f>
        <v/>
      </c>
      <c r="G2933" cm="1">
        <f t="array" ref="G2933">IFERROR(VLOOKUP(INPUT!M2928&amp;INPUT!N2928,CHOOSE({1,2},INPUT!$A$3:$A$5000&amp;INPUT!$C$3:$C$5000,INPUT!$F$3:$F$5000),2,FALSE),"")</f>
        <v>0</v>
      </c>
      <c r="H2933" cm="1">
        <f t="array" ref="H2933">IFERROR(VLOOKUP(INPUT!M2928&amp;INPUT!N2928,CHOOSE({1,2},INPUT!$A$3:$A$5000&amp;INPUT!$C$3:$C$5000,INPUT!$D$3:$D$5000),2,FALSE),"")</f>
        <v>0</v>
      </c>
      <c r="I2933" s="46" t="str">
        <f>IF(INPUT!P2928="","",INPUT!P2928)</f>
        <v/>
      </c>
      <c r="J2933" s="46" t="str">
        <f>IF(INPUT!Q2928="","",INPUT!Q2928)</f>
        <v/>
      </c>
      <c r="K2933" s="46" t="str">
        <f>IFERROR(IF(OR(INPUT!P2928="",INPUT!Q2928=""),"",INPUT!P2928-INPUT!Q2928),"")</f>
        <v/>
      </c>
      <c r="L2933" s="48" t="str">
        <f>IFERROR(IF(OR(INPUT!P2928="",INPUT!Q2928="",INPUT!P2928=0),"",(INPUT!P2928-INPUT!Q2928)/INPUT!P2928),"")</f>
        <v/>
      </c>
    </row>
    <row r="2934" spans="1:12" ht="18" hidden="1" customHeight="1" x14ac:dyDescent="0.2">
      <c r="A2934" s="11" t="str">
        <f>IF(INPUT!M2929="","",INPUT!M2929)</f>
        <v/>
      </c>
      <c r="B2934" s="11" t="str">
        <f>IF(INPUT!M2929="","",INPUT!M2929-WEEKDAY(INPUT!M2929,2)+1)</f>
        <v/>
      </c>
      <c r="C2934" s="20">
        <f>IFERROR(_xlfn.ISOWEEKNUM(INPUT!M2929),"")</f>
        <v>52</v>
      </c>
      <c r="D2934" s="20">
        <f>IFERROR(YEAR(INPUT!M2929),"")</f>
        <v>1900</v>
      </c>
      <c r="E2934" t="str">
        <f>IF(INPUT!O2929="","",INPUT!O2929)</f>
        <v/>
      </c>
      <c r="F2934" t="str">
        <f>IF(INPUT!N2929="","",INPUT!N2929)</f>
        <v/>
      </c>
      <c r="G2934" cm="1">
        <f t="array" ref="G2934">IFERROR(VLOOKUP(INPUT!M2929&amp;INPUT!N2929,CHOOSE({1,2},INPUT!$A$3:$A$5000&amp;INPUT!$C$3:$C$5000,INPUT!$F$3:$F$5000),2,FALSE),"")</f>
        <v>0</v>
      </c>
      <c r="H2934" cm="1">
        <f t="array" ref="H2934">IFERROR(VLOOKUP(INPUT!M2929&amp;INPUT!N2929,CHOOSE({1,2},INPUT!$A$3:$A$5000&amp;INPUT!$C$3:$C$5000,INPUT!$D$3:$D$5000),2,FALSE),"")</f>
        <v>0</v>
      </c>
      <c r="I2934" s="46" t="str">
        <f>IF(INPUT!P2929="","",INPUT!P2929)</f>
        <v/>
      </c>
      <c r="J2934" s="46" t="str">
        <f>IF(INPUT!Q2929="","",INPUT!Q2929)</f>
        <v/>
      </c>
      <c r="K2934" s="46" t="str">
        <f>IFERROR(IF(OR(INPUT!P2929="",INPUT!Q2929=""),"",INPUT!P2929-INPUT!Q2929),"")</f>
        <v/>
      </c>
      <c r="L2934" s="48" t="str">
        <f>IFERROR(IF(OR(INPUT!P2929="",INPUT!Q2929="",INPUT!P2929=0),"",(INPUT!P2929-INPUT!Q2929)/INPUT!P2929),"")</f>
        <v/>
      </c>
    </row>
    <row r="2935" spans="1:12" ht="18" hidden="1" customHeight="1" x14ac:dyDescent="0.2">
      <c r="A2935" s="11" t="str">
        <f>IF(INPUT!M2930="","",INPUT!M2930)</f>
        <v/>
      </c>
      <c r="B2935" s="11" t="str">
        <f>IF(INPUT!M2930="","",INPUT!M2930-WEEKDAY(INPUT!M2930,2)+1)</f>
        <v/>
      </c>
      <c r="C2935" s="20">
        <f>IFERROR(_xlfn.ISOWEEKNUM(INPUT!M2930),"")</f>
        <v>52</v>
      </c>
      <c r="D2935" s="20">
        <f>IFERROR(YEAR(INPUT!M2930),"")</f>
        <v>1900</v>
      </c>
      <c r="E2935" t="str">
        <f>IF(INPUT!O2930="","",INPUT!O2930)</f>
        <v/>
      </c>
      <c r="F2935" t="str">
        <f>IF(INPUT!N2930="","",INPUT!N2930)</f>
        <v/>
      </c>
      <c r="G2935" cm="1">
        <f t="array" ref="G2935">IFERROR(VLOOKUP(INPUT!M2930&amp;INPUT!N2930,CHOOSE({1,2},INPUT!$A$3:$A$5000&amp;INPUT!$C$3:$C$5000,INPUT!$F$3:$F$5000),2,FALSE),"")</f>
        <v>0</v>
      </c>
      <c r="H2935" cm="1">
        <f t="array" ref="H2935">IFERROR(VLOOKUP(INPUT!M2930&amp;INPUT!N2930,CHOOSE({1,2},INPUT!$A$3:$A$5000&amp;INPUT!$C$3:$C$5000,INPUT!$D$3:$D$5000),2,FALSE),"")</f>
        <v>0</v>
      </c>
      <c r="I2935" s="46" t="str">
        <f>IF(INPUT!P2930="","",INPUT!P2930)</f>
        <v/>
      </c>
      <c r="J2935" s="46" t="str">
        <f>IF(INPUT!Q2930="","",INPUT!Q2930)</f>
        <v/>
      </c>
      <c r="K2935" s="46" t="str">
        <f>IFERROR(IF(OR(INPUT!P2930="",INPUT!Q2930=""),"",INPUT!P2930-INPUT!Q2930),"")</f>
        <v/>
      </c>
      <c r="L2935" s="48" t="str">
        <f>IFERROR(IF(OR(INPUT!P2930="",INPUT!Q2930="",INPUT!P2930=0),"",(INPUT!P2930-INPUT!Q2930)/INPUT!P2930),"")</f>
        <v/>
      </c>
    </row>
    <row r="2936" spans="1:12" ht="18" hidden="1" customHeight="1" x14ac:dyDescent="0.2">
      <c r="A2936" s="11" t="str">
        <f>IF(INPUT!M2931="","",INPUT!M2931)</f>
        <v/>
      </c>
      <c r="B2936" s="11" t="str">
        <f>IF(INPUT!M2931="","",INPUT!M2931-WEEKDAY(INPUT!M2931,2)+1)</f>
        <v/>
      </c>
      <c r="C2936" s="20">
        <f>IFERROR(_xlfn.ISOWEEKNUM(INPUT!M2931),"")</f>
        <v>52</v>
      </c>
      <c r="D2936" s="20">
        <f>IFERROR(YEAR(INPUT!M2931),"")</f>
        <v>1900</v>
      </c>
      <c r="E2936" t="str">
        <f>IF(INPUT!O2931="","",INPUT!O2931)</f>
        <v/>
      </c>
      <c r="F2936" t="str">
        <f>IF(INPUT!N2931="","",INPUT!N2931)</f>
        <v/>
      </c>
      <c r="G2936" cm="1">
        <f t="array" ref="G2936">IFERROR(VLOOKUP(INPUT!M2931&amp;INPUT!N2931,CHOOSE({1,2},INPUT!$A$3:$A$5000&amp;INPUT!$C$3:$C$5000,INPUT!$F$3:$F$5000),2,FALSE),"")</f>
        <v>0</v>
      </c>
      <c r="H2936" cm="1">
        <f t="array" ref="H2936">IFERROR(VLOOKUP(INPUT!M2931&amp;INPUT!N2931,CHOOSE({1,2},INPUT!$A$3:$A$5000&amp;INPUT!$C$3:$C$5000,INPUT!$D$3:$D$5000),2,FALSE),"")</f>
        <v>0</v>
      </c>
      <c r="I2936" s="46" t="str">
        <f>IF(INPUT!P2931="","",INPUT!P2931)</f>
        <v/>
      </c>
      <c r="J2936" s="46" t="str">
        <f>IF(INPUT!Q2931="","",INPUT!Q2931)</f>
        <v/>
      </c>
      <c r="K2936" s="46" t="str">
        <f>IFERROR(IF(OR(INPUT!P2931="",INPUT!Q2931=""),"",INPUT!P2931-INPUT!Q2931),"")</f>
        <v/>
      </c>
      <c r="L2936" s="48" t="str">
        <f>IFERROR(IF(OR(INPUT!P2931="",INPUT!Q2931="",INPUT!P2931=0),"",(INPUT!P2931-INPUT!Q2931)/INPUT!P2931),"")</f>
        <v/>
      </c>
    </row>
    <row r="2937" spans="1:12" ht="18" hidden="1" customHeight="1" x14ac:dyDescent="0.2">
      <c r="A2937" s="11" t="str">
        <f>IF(INPUT!M2932="","",INPUT!M2932)</f>
        <v/>
      </c>
      <c r="B2937" s="11" t="str">
        <f>IF(INPUT!M2932="","",INPUT!M2932-WEEKDAY(INPUT!M2932,2)+1)</f>
        <v/>
      </c>
      <c r="C2937" s="20">
        <f>IFERROR(_xlfn.ISOWEEKNUM(INPUT!M2932),"")</f>
        <v>52</v>
      </c>
      <c r="D2937" s="20">
        <f>IFERROR(YEAR(INPUT!M2932),"")</f>
        <v>1900</v>
      </c>
      <c r="E2937" t="str">
        <f>IF(INPUT!O2932="","",INPUT!O2932)</f>
        <v/>
      </c>
      <c r="F2937" t="str">
        <f>IF(INPUT!N2932="","",INPUT!N2932)</f>
        <v/>
      </c>
      <c r="G2937" cm="1">
        <f t="array" ref="G2937">IFERROR(VLOOKUP(INPUT!M2932&amp;INPUT!N2932,CHOOSE({1,2},INPUT!$A$3:$A$5000&amp;INPUT!$C$3:$C$5000,INPUT!$F$3:$F$5000),2,FALSE),"")</f>
        <v>0</v>
      </c>
      <c r="H2937" cm="1">
        <f t="array" ref="H2937">IFERROR(VLOOKUP(INPUT!M2932&amp;INPUT!N2932,CHOOSE({1,2},INPUT!$A$3:$A$5000&amp;INPUT!$C$3:$C$5000,INPUT!$D$3:$D$5000),2,FALSE),"")</f>
        <v>0</v>
      </c>
      <c r="I2937" s="46" t="str">
        <f>IF(INPUT!P2932="","",INPUT!P2932)</f>
        <v/>
      </c>
      <c r="J2937" s="46" t="str">
        <f>IF(INPUT!Q2932="","",INPUT!Q2932)</f>
        <v/>
      </c>
      <c r="K2937" s="46" t="str">
        <f>IFERROR(IF(OR(INPUT!P2932="",INPUT!Q2932=""),"",INPUT!P2932-INPUT!Q2932),"")</f>
        <v/>
      </c>
      <c r="L2937" s="48" t="str">
        <f>IFERROR(IF(OR(INPUT!P2932="",INPUT!Q2932="",INPUT!P2932=0),"",(INPUT!P2932-INPUT!Q2932)/INPUT!P2932),"")</f>
        <v/>
      </c>
    </row>
    <row r="2938" spans="1:12" ht="18" hidden="1" customHeight="1" x14ac:dyDescent="0.2">
      <c r="A2938" s="11" t="str">
        <f>IF(INPUT!M2933="","",INPUT!M2933)</f>
        <v/>
      </c>
      <c r="B2938" s="11" t="str">
        <f>IF(INPUT!M2933="","",INPUT!M2933-WEEKDAY(INPUT!M2933,2)+1)</f>
        <v/>
      </c>
      <c r="C2938" s="20">
        <f>IFERROR(_xlfn.ISOWEEKNUM(INPUT!M2933),"")</f>
        <v>52</v>
      </c>
      <c r="D2938" s="20">
        <f>IFERROR(YEAR(INPUT!M2933),"")</f>
        <v>1900</v>
      </c>
      <c r="E2938" t="str">
        <f>IF(INPUT!O2933="","",INPUT!O2933)</f>
        <v/>
      </c>
      <c r="F2938" t="str">
        <f>IF(INPUT!N2933="","",INPUT!N2933)</f>
        <v/>
      </c>
      <c r="G2938" cm="1">
        <f t="array" ref="G2938">IFERROR(VLOOKUP(INPUT!M2933&amp;INPUT!N2933,CHOOSE({1,2},INPUT!$A$3:$A$5000&amp;INPUT!$C$3:$C$5000,INPUT!$F$3:$F$5000),2,FALSE),"")</f>
        <v>0</v>
      </c>
      <c r="H2938" cm="1">
        <f t="array" ref="H2938">IFERROR(VLOOKUP(INPUT!M2933&amp;INPUT!N2933,CHOOSE({1,2},INPUT!$A$3:$A$5000&amp;INPUT!$C$3:$C$5000,INPUT!$D$3:$D$5000),2,FALSE),"")</f>
        <v>0</v>
      </c>
      <c r="I2938" s="46" t="str">
        <f>IF(INPUT!P2933="","",INPUT!P2933)</f>
        <v/>
      </c>
      <c r="J2938" s="46" t="str">
        <f>IF(INPUT!Q2933="","",INPUT!Q2933)</f>
        <v/>
      </c>
      <c r="K2938" s="46" t="str">
        <f>IFERROR(IF(OR(INPUT!P2933="",INPUT!Q2933=""),"",INPUT!P2933-INPUT!Q2933),"")</f>
        <v/>
      </c>
      <c r="L2938" s="48" t="str">
        <f>IFERROR(IF(OR(INPUT!P2933="",INPUT!Q2933="",INPUT!P2933=0),"",(INPUT!P2933-INPUT!Q2933)/INPUT!P2933),"")</f>
        <v/>
      </c>
    </row>
    <row r="2939" spans="1:12" ht="18" hidden="1" customHeight="1" x14ac:dyDescent="0.2">
      <c r="A2939" s="11" t="str">
        <f>IF(INPUT!M2934="","",INPUT!M2934)</f>
        <v/>
      </c>
      <c r="B2939" s="11" t="str">
        <f>IF(INPUT!M2934="","",INPUT!M2934-WEEKDAY(INPUT!M2934,2)+1)</f>
        <v/>
      </c>
      <c r="C2939" s="20">
        <f>IFERROR(_xlfn.ISOWEEKNUM(INPUT!M2934),"")</f>
        <v>52</v>
      </c>
      <c r="D2939" s="20">
        <f>IFERROR(YEAR(INPUT!M2934),"")</f>
        <v>1900</v>
      </c>
      <c r="E2939" t="str">
        <f>IF(INPUT!O2934="","",INPUT!O2934)</f>
        <v/>
      </c>
      <c r="F2939" t="str">
        <f>IF(INPUT!N2934="","",INPUT!N2934)</f>
        <v/>
      </c>
      <c r="G2939" cm="1">
        <f t="array" ref="G2939">IFERROR(VLOOKUP(INPUT!M2934&amp;INPUT!N2934,CHOOSE({1,2},INPUT!$A$3:$A$5000&amp;INPUT!$C$3:$C$5000,INPUT!$F$3:$F$5000),2,FALSE),"")</f>
        <v>0</v>
      </c>
      <c r="H2939" cm="1">
        <f t="array" ref="H2939">IFERROR(VLOOKUP(INPUT!M2934&amp;INPUT!N2934,CHOOSE({1,2},INPUT!$A$3:$A$5000&amp;INPUT!$C$3:$C$5000,INPUT!$D$3:$D$5000),2,FALSE),"")</f>
        <v>0</v>
      </c>
      <c r="I2939" s="46" t="str">
        <f>IF(INPUT!P2934="","",INPUT!P2934)</f>
        <v/>
      </c>
      <c r="J2939" s="46" t="str">
        <f>IF(INPUT!Q2934="","",INPUT!Q2934)</f>
        <v/>
      </c>
      <c r="K2939" s="46" t="str">
        <f>IFERROR(IF(OR(INPUT!P2934="",INPUT!Q2934=""),"",INPUT!P2934-INPUT!Q2934),"")</f>
        <v/>
      </c>
      <c r="L2939" s="48" t="str">
        <f>IFERROR(IF(OR(INPUT!P2934="",INPUT!Q2934="",INPUT!P2934=0),"",(INPUT!P2934-INPUT!Q2934)/INPUT!P2934),"")</f>
        <v/>
      </c>
    </row>
    <row r="2940" spans="1:12" ht="18" hidden="1" customHeight="1" x14ac:dyDescent="0.2">
      <c r="A2940" s="11" t="str">
        <f>IF(INPUT!M2935="","",INPUT!M2935)</f>
        <v/>
      </c>
      <c r="B2940" s="11" t="str">
        <f>IF(INPUT!M2935="","",INPUT!M2935-WEEKDAY(INPUT!M2935,2)+1)</f>
        <v/>
      </c>
      <c r="C2940" s="20">
        <f>IFERROR(_xlfn.ISOWEEKNUM(INPUT!M2935),"")</f>
        <v>52</v>
      </c>
      <c r="D2940" s="20">
        <f>IFERROR(YEAR(INPUT!M2935),"")</f>
        <v>1900</v>
      </c>
      <c r="E2940" t="str">
        <f>IF(INPUT!O2935="","",INPUT!O2935)</f>
        <v/>
      </c>
      <c r="F2940" t="str">
        <f>IF(INPUT!N2935="","",INPUT!N2935)</f>
        <v/>
      </c>
      <c r="G2940" cm="1">
        <f t="array" ref="G2940">IFERROR(VLOOKUP(INPUT!M2935&amp;INPUT!N2935,CHOOSE({1,2},INPUT!$A$3:$A$5000&amp;INPUT!$C$3:$C$5000,INPUT!$F$3:$F$5000),2,FALSE),"")</f>
        <v>0</v>
      </c>
      <c r="H2940" cm="1">
        <f t="array" ref="H2940">IFERROR(VLOOKUP(INPUT!M2935&amp;INPUT!N2935,CHOOSE({1,2},INPUT!$A$3:$A$5000&amp;INPUT!$C$3:$C$5000,INPUT!$D$3:$D$5000),2,FALSE),"")</f>
        <v>0</v>
      </c>
      <c r="I2940" s="46" t="str">
        <f>IF(INPUT!P2935="","",INPUT!P2935)</f>
        <v/>
      </c>
      <c r="J2940" s="46" t="str">
        <f>IF(INPUT!Q2935="","",INPUT!Q2935)</f>
        <v/>
      </c>
      <c r="K2940" s="46" t="str">
        <f>IFERROR(IF(OR(INPUT!P2935="",INPUT!Q2935=""),"",INPUT!P2935-INPUT!Q2935),"")</f>
        <v/>
      </c>
      <c r="L2940" s="48" t="str">
        <f>IFERROR(IF(OR(INPUT!P2935="",INPUT!Q2935="",INPUT!P2935=0),"",(INPUT!P2935-INPUT!Q2935)/INPUT!P2935),"")</f>
        <v/>
      </c>
    </row>
    <row r="2941" spans="1:12" ht="18" hidden="1" customHeight="1" x14ac:dyDescent="0.2">
      <c r="A2941" s="11" t="str">
        <f>IF(INPUT!M2936="","",INPUT!M2936)</f>
        <v/>
      </c>
      <c r="B2941" s="11" t="str">
        <f>IF(INPUT!M2936="","",INPUT!M2936-WEEKDAY(INPUT!M2936,2)+1)</f>
        <v/>
      </c>
      <c r="C2941" s="20">
        <f>IFERROR(_xlfn.ISOWEEKNUM(INPUT!M2936),"")</f>
        <v>52</v>
      </c>
      <c r="D2941" s="20">
        <f>IFERROR(YEAR(INPUT!M2936),"")</f>
        <v>1900</v>
      </c>
      <c r="E2941" t="str">
        <f>IF(INPUT!O2936="","",INPUT!O2936)</f>
        <v/>
      </c>
      <c r="F2941" t="str">
        <f>IF(INPUT!N2936="","",INPUT!N2936)</f>
        <v/>
      </c>
      <c r="G2941" cm="1">
        <f t="array" ref="G2941">IFERROR(VLOOKUP(INPUT!M2936&amp;INPUT!N2936,CHOOSE({1,2},INPUT!$A$3:$A$5000&amp;INPUT!$C$3:$C$5000,INPUT!$F$3:$F$5000),2,FALSE),"")</f>
        <v>0</v>
      </c>
      <c r="H2941" cm="1">
        <f t="array" ref="H2941">IFERROR(VLOOKUP(INPUT!M2936&amp;INPUT!N2936,CHOOSE({1,2},INPUT!$A$3:$A$5000&amp;INPUT!$C$3:$C$5000,INPUT!$D$3:$D$5000),2,FALSE),"")</f>
        <v>0</v>
      </c>
      <c r="I2941" s="46" t="str">
        <f>IF(INPUT!P2936="","",INPUT!P2936)</f>
        <v/>
      </c>
      <c r="J2941" s="46" t="str">
        <f>IF(INPUT!Q2936="","",INPUT!Q2936)</f>
        <v/>
      </c>
      <c r="K2941" s="46" t="str">
        <f>IFERROR(IF(OR(INPUT!P2936="",INPUT!Q2936=""),"",INPUT!P2936-INPUT!Q2936),"")</f>
        <v/>
      </c>
      <c r="L2941" s="48" t="str">
        <f>IFERROR(IF(OR(INPUT!P2936="",INPUT!Q2936="",INPUT!P2936=0),"",(INPUT!P2936-INPUT!Q2936)/INPUT!P2936),"")</f>
        <v/>
      </c>
    </row>
    <row r="2942" spans="1:12" ht="18" hidden="1" customHeight="1" x14ac:dyDescent="0.2">
      <c r="A2942" s="11" t="str">
        <f>IF(INPUT!M2937="","",INPUT!M2937)</f>
        <v/>
      </c>
      <c r="B2942" s="11" t="str">
        <f>IF(INPUT!M2937="","",INPUT!M2937-WEEKDAY(INPUT!M2937,2)+1)</f>
        <v/>
      </c>
      <c r="C2942" s="20">
        <f>IFERROR(_xlfn.ISOWEEKNUM(INPUT!M2937),"")</f>
        <v>52</v>
      </c>
      <c r="D2942" s="20">
        <f>IFERROR(YEAR(INPUT!M2937),"")</f>
        <v>1900</v>
      </c>
      <c r="E2942" t="str">
        <f>IF(INPUT!O2937="","",INPUT!O2937)</f>
        <v/>
      </c>
      <c r="F2942" t="str">
        <f>IF(INPUT!N2937="","",INPUT!N2937)</f>
        <v/>
      </c>
      <c r="G2942" cm="1">
        <f t="array" ref="G2942">IFERROR(VLOOKUP(INPUT!M2937&amp;INPUT!N2937,CHOOSE({1,2},INPUT!$A$3:$A$5000&amp;INPUT!$C$3:$C$5000,INPUT!$F$3:$F$5000),2,FALSE),"")</f>
        <v>0</v>
      </c>
      <c r="H2942" cm="1">
        <f t="array" ref="H2942">IFERROR(VLOOKUP(INPUT!M2937&amp;INPUT!N2937,CHOOSE({1,2},INPUT!$A$3:$A$5000&amp;INPUT!$C$3:$C$5000,INPUT!$D$3:$D$5000),2,FALSE),"")</f>
        <v>0</v>
      </c>
      <c r="I2942" s="46" t="str">
        <f>IF(INPUT!P2937="","",INPUT!P2937)</f>
        <v/>
      </c>
      <c r="J2942" s="46" t="str">
        <f>IF(INPUT!Q2937="","",INPUT!Q2937)</f>
        <v/>
      </c>
      <c r="K2942" s="46" t="str">
        <f>IFERROR(IF(OR(INPUT!P2937="",INPUT!Q2937=""),"",INPUT!P2937-INPUT!Q2937),"")</f>
        <v/>
      </c>
      <c r="L2942" s="48" t="str">
        <f>IFERROR(IF(OR(INPUT!P2937="",INPUT!Q2937="",INPUT!P2937=0),"",(INPUT!P2937-INPUT!Q2937)/INPUT!P2937),"")</f>
        <v/>
      </c>
    </row>
    <row r="2943" spans="1:12" ht="18" hidden="1" customHeight="1" x14ac:dyDescent="0.2">
      <c r="A2943" s="11" t="str">
        <f>IF(INPUT!M2938="","",INPUT!M2938)</f>
        <v/>
      </c>
      <c r="B2943" s="11" t="str">
        <f>IF(INPUT!M2938="","",INPUT!M2938-WEEKDAY(INPUT!M2938,2)+1)</f>
        <v/>
      </c>
      <c r="C2943" s="20">
        <f>IFERROR(_xlfn.ISOWEEKNUM(INPUT!M2938),"")</f>
        <v>52</v>
      </c>
      <c r="D2943" s="20">
        <f>IFERROR(YEAR(INPUT!M2938),"")</f>
        <v>1900</v>
      </c>
      <c r="E2943" t="str">
        <f>IF(INPUT!O2938="","",INPUT!O2938)</f>
        <v/>
      </c>
      <c r="F2943" t="str">
        <f>IF(INPUT!N2938="","",INPUT!N2938)</f>
        <v/>
      </c>
      <c r="G2943" cm="1">
        <f t="array" ref="G2943">IFERROR(VLOOKUP(INPUT!M2938&amp;INPUT!N2938,CHOOSE({1,2},INPUT!$A$3:$A$5000&amp;INPUT!$C$3:$C$5000,INPUT!$F$3:$F$5000),2,FALSE),"")</f>
        <v>0</v>
      </c>
      <c r="H2943" cm="1">
        <f t="array" ref="H2943">IFERROR(VLOOKUP(INPUT!M2938&amp;INPUT!N2938,CHOOSE({1,2},INPUT!$A$3:$A$5000&amp;INPUT!$C$3:$C$5000,INPUT!$D$3:$D$5000),2,FALSE),"")</f>
        <v>0</v>
      </c>
      <c r="I2943" s="46" t="str">
        <f>IF(INPUT!P2938="","",INPUT!P2938)</f>
        <v/>
      </c>
      <c r="J2943" s="46" t="str">
        <f>IF(INPUT!Q2938="","",INPUT!Q2938)</f>
        <v/>
      </c>
      <c r="K2943" s="46" t="str">
        <f>IFERROR(IF(OR(INPUT!P2938="",INPUT!Q2938=""),"",INPUT!P2938-INPUT!Q2938),"")</f>
        <v/>
      </c>
      <c r="L2943" s="48" t="str">
        <f>IFERROR(IF(OR(INPUT!P2938="",INPUT!Q2938="",INPUT!P2938=0),"",(INPUT!P2938-INPUT!Q2938)/INPUT!P2938),"")</f>
        <v/>
      </c>
    </row>
    <row r="2944" spans="1:12" ht="18" hidden="1" customHeight="1" x14ac:dyDescent="0.2">
      <c r="A2944" s="11" t="str">
        <f>IF(INPUT!M2939="","",INPUT!M2939)</f>
        <v/>
      </c>
      <c r="B2944" s="11" t="str">
        <f>IF(INPUT!M2939="","",INPUT!M2939-WEEKDAY(INPUT!M2939,2)+1)</f>
        <v/>
      </c>
      <c r="C2944" s="20">
        <f>IFERROR(_xlfn.ISOWEEKNUM(INPUT!M2939),"")</f>
        <v>52</v>
      </c>
      <c r="D2944" s="20">
        <f>IFERROR(YEAR(INPUT!M2939),"")</f>
        <v>1900</v>
      </c>
      <c r="E2944" t="str">
        <f>IF(INPUT!O2939="","",INPUT!O2939)</f>
        <v/>
      </c>
      <c r="F2944" t="str">
        <f>IF(INPUT!N2939="","",INPUT!N2939)</f>
        <v/>
      </c>
      <c r="G2944" cm="1">
        <f t="array" ref="G2944">IFERROR(VLOOKUP(INPUT!M2939&amp;INPUT!N2939,CHOOSE({1,2},INPUT!$A$3:$A$5000&amp;INPUT!$C$3:$C$5000,INPUT!$F$3:$F$5000),2,FALSE),"")</f>
        <v>0</v>
      </c>
      <c r="H2944" cm="1">
        <f t="array" ref="H2944">IFERROR(VLOOKUP(INPUT!M2939&amp;INPUT!N2939,CHOOSE({1,2},INPUT!$A$3:$A$5000&amp;INPUT!$C$3:$C$5000,INPUT!$D$3:$D$5000),2,FALSE),"")</f>
        <v>0</v>
      </c>
      <c r="I2944" s="46" t="str">
        <f>IF(INPUT!P2939="","",INPUT!P2939)</f>
        <v/>
      </c>
      <c r="J2944" s="46" t="str">
        <f>IF(INPUT!Q2939="","",INPUT!Q2939)</f>
        <v/>
      </c>
      <c r="K2944" s="46" t="str">
        <f>IFERROR(IF(OR(INPUT!P2939="",INPUT!Q2939=""),"",INPUT!P2939-INPUT!Q2939),"")</f>
        <v/>
      </c>
      <c r="L2944" s="48" t="str">
        <f>IFERROR(IF(OR(INPUT!P2939="",INPUT!Q2939="",INPUT!P2939=0),"",(INPUT!P2939-INPUT!Q2939)/INPUT!P2939),"")</f>
        <v/>
      </c>
    </row>
    <row r="2945" spans="1:12" ht="18" hidden="1" customHeight="1" x14ac:dyDescent="0.2">
      <c r="A2945" s="11" t="str">
        <f>IF(INPUT!M2940="","",INPUT!M2940)</f>
        <v/>
      </c>
      <c r="B2945" s="11" t="str">
        <f>IF(INPUT!M2940="","",INPUT!M2940-WEEKDAY(INPUT!M2940,2)+1)</f>
        <v/>
      </c>
      <c r="C2945" s="20">
        <f>IFERROR(_xlfn.ISOWEEKNUM(INPUT!M2940),"")</f>
        <v>52</v>
      </c>
      <c r="D2945" s="20">
        <f>IFERROR(YEAR(INPUT!M2940),"")</f>
        <v>1900</v>
      </c>
      <c r="E2945" t="str">
        <f>IF(INPUT!O2940="","",INPUT!O2940)</f>
        <v/>
      </c>
      <c r="F2945" t="str">
        <f>IF(INPUT!N2940="","",INPUT!N2940)</f>
        <v/>
      </c>
      <c r="G2945" cm="1">
        <f t="array" ref="G2945">IFERROR(VLOOKUP(INPUT!M2940&amp;INPUT!N2940,CHOOSE({1,2},INPUT!$A$3:$A$5000&amp;INPUT!$C$3:$C$5000,INPUT!$F$3:$F$5000),2,FALSE),"")</f>
        <v>0</v>
      </c>
      <c r="H2945" cm="1">
        <f t="array" ref="H2945">IFERROR(VLOOKUP(INPUT!M2940&amp;INPUT!N2940,CHOOSE({1,2},INPUT!$A$3:$A$5000&amp;INPUT!$C$3:$C$5000,INPUT!$D$3:$D$5000),2,FALSE),"")</f>
        <v>0</v>
      </c>
      <c r="I2945" s="46" t="str">
        <f>IF(INPUT!P2940="","",INPUT!P2940)</f>
        <v/>
      </c>
      <c r="J2945" s="46" t="str">
        <f>IF(INPUT!Q2940="","",INPUT!Q2940)</f>
        <v/>
      </c>
      <c r="K2945" s="46" t="str">
        <f>IFERROR(IF(OR(INPUT!P2940="",INPUT!Q2940=""),"",INPUT!P2940-INPUT!Q2940),"")</f>
        <v/>
      </c>
      <c r="L2945" s="48" t="str">
        <f>IFERROR(IF(OR(INPUT!P2940="",INPUT!Q2940="",INPUT!P2940=0),"",(INPUT!P2940-INPUT!Q2940)/INPUT!P2940),"")</f>
        <v/>
      </c>
    </row>
    <row r="2946" spans="1:12" ht="18" hidden="1" customHeight="1" x14ac:dyDescent="0.2">
      <c r="A2946" s="11" t="str">
        <f>IF(INPUT!M2941="","",INPUT!M2941)</f>
        <v/>
      </c>
      <c r="B2946" s="11" t="str">
        <f>IF(INPUT!M2941="","",INPUT!M2941-WEEKDAY(INPUT!M2941,2)+1)</f>
        <v/>
      </c>
      <c r="C2946" s="20">
        <f>IFERROR(_xlfn.ISOWEEKNUM(INPUT!M2941),"")</f>
        <v>52</v>
      </c>
      <c r="D2946" s="20">
        <f>IFERROR(YEAR(INPUT!M2941),"")</f>
        <v>1900</v>
      </c>
      <c r="E2946" t="str">
        <f>IF(INPUT!O2941="","",INPUT!O2941)</f>
        <v/>
      </c>
      <c r="F2946" t="str">
        <f>IF(INPUT!N2941="","",INPUT!N2941)</f>
        <v/>
      </c>
      <c r="G2946" cm="1">
        <f t="array" ref="G2946">IFERROR(VLOOKUP(INPUT!M2941&amp;INPUT!N2941,CHOOSE({1,2},INPUT!$A$3:$A$5000&amp;INPUT!$C$3:$C$5000,INPUT!$F$3:$F$5000),2,FALSE),"")</f>
        <v>0</v>
      </c>
      <c r="H2946" cm="1">
        <f t="array" ref="H2946">IFERROR(VLOOKUP(INPUT!M2941&amp;INPUT!N2941,CHOOSE({1,2},INPUT!$A$3:$A$5000&amp;INPUT!$C$3:$C$5000,INPUT!$D$3:$D$5000),2,FALSE),"")</f>
        <v>0</v>
      </c>
      <c r="I2946" s="46" t="str">
        <f>IF(INPUT!P2941="","",INPUT!P2941)</f>
        <v/>
      </c>
      <c r="J2946" s="46" t="str">
        <f>IF(INPUT!Q2941="","",INPUT!Q2941)</f>
        <v/>
      </c>
      <c r="K2946" s="46" t="str">
        <f>IFERROR(IF(OR(INPUT!P2941="",INPUT!Q2941=""),"",INPUT!P2941-INPUT!Q2941),"")</f>
        <v/>
      </c>
      <c r="L2946" s="48" t="str">
        <f>IFERROR(IF(OR(INPUT!P2941="",INPUT!Q2941="",INPUT!P2941=0),"",(INPUT!P2941-INPUT!Q2941)/INPUT!P2941),"")</f>
        <v/>
      </c>
    </row>
    <row r="2947" spans="1:12" ht="18" hidden="1" customHeight="1" x14ac:dyDescent="0.2">
      <c r="A2947" s="11" t="str">
        <f>IF(INPUT!M2942="","",INPUT!M2942)</f>
        <v/>
      </c>
      <c r="B2947" s="11" t="str">
        <f>IF(INPUT!M2942="","",INPUT!M2942-WEEKDAY(INPUT!M2942,2)+1)</f>
        <v/>
      </c>
      <c r="C2947" s="20">
        <f>IFERROR(_xlfn.ISOWEEKNUM(INPUT!M2942),"")</f>
        <v>52</v>
      </c>
      <c r="D2947" s="20">
        <f>IFERROR(YEAR(INPUT!M2942),"")</f>
        <v>1900</v>
      </c>
      <c r="E2947" t="str">
        <f>IF(INPUT!O2942="","",INPUT!O2942)</f>
        <v/>
      </c>
      <c r="F2947" t="str">
        <f>IF(INPUT!N2942="","",INPUT!N2942)</f>
        <v/>
      </c>
      <c r="G2947" cm="1">
        <f t="array" ref="G2947">IFERROR(VLOOKUP(INPUT!M2942&amp;INPUT!N2942,CHOOSE({1,2},INPUT!$A$3:$A$5000&amp;INPUT!$C$3:$C$5000,INPUT!$F$3:$F$5000),2,FALSE),"")</f>
        <v>0</v>
      </c>
      <c r="H2947" cm="1">
        <f t="array" ref="H2947">IFERROR(VLOOKUP(INPUT!M2942&amp;INPUT!N2942,CHOOSE({1,2},INPUT!$A$3:$A$5000&amp;INPUT!$C$3:$C$5000,INPUT!$D$3:$D$5000),2,FALSE),"")</f>
        <v>0</v>
      </c>
      <c r="I2947" s="46" t="str">
        <f>IF(INPUT!P2942="","",INPUT!P2942)</f>
        <v/>
      </c>
      <c r="J2947" s="46" t="str">
        <f>IF(INPUT!Q2942="","",INPUT!Q2942)</f>
        <v/>
      </c>
      <c r="K2947" s="46" t="str">
        <f>IFERROR(IF(OR(INPUT!P2942="",INPUT!Q2942=""),"",INPUT!P2942-INPUT!Q2942),"")</f>
        <v/>
      </c>
      <c r="L2947" s="48" t="str">
        <f>IFERROR(IF(OR(INPUT!P2942="",INPUT!Q2942="",INPUT!P2942=0),"",(INPUT!P2942-INPUT!Q2942)/INPUT!P2942),"")</f>
        <v/>
      </c>
    </row>
    <row r="2948" spans="1:12" ht="18" hidden="1" customHeight="1" x14ac:dyDescent="0.2">
      <c r="A2948" s="11" t="str">
        <f>IF(INPUT!M2943="","",INPUT!M2943)</f>
        <v/>
      </c>
      <c r="B2948" s="11" t="str">
        <f>IF(INPUT!M2943="","",INPUT!M2943-WEEKDAY(INPUT!M2943,2)+1)</f>
        <v/>
      </c>
      <c r="C2948" s="20">
        <f>IFERROR(_xlfn.ISOWEEKNUM(INPUT!M2943),"")</f>
        <v>52</v>
      </c>
      <c r="D2948" s="20">
        <f>IFERROR(YEAR(INPUT!M2943),"")</f>
        <v>1900</v>
      </c>
      <c r="E2948" t="str">
        <f>IF(INPUT!O2943="","",INPUT!O2943)</f>
        <v/>
      </c>
      <c r="F2948" t="str">
        <f>IF(INPUT!N2943="","",INPUT!N2943)</f>
        <v/>
      </c>
      <c r="G2948" cm="1">
        <f t="array" ref="G2948">IFERROR(VLOOKUP(INPUT!M2943&amp;INPUT!N2943,CHOOSE({1,2},INPUT!$A$3:$A$5000&amp;INPUT!$C$3:$C$5000,INPUT!$F$3:$F$5000),2,FALSE),"")</f>
        <v>0</v>
      </c>
      <c r="H2948" cm="1">
        <f t="array" ref="H2948">IFERROR(VLOOKUP(INPUT!M2943&amp;INPUT!N2943,CHOOSE({1,2},INPUT!$A$3:$A$5000&amp;INPUT!$C$3:$C$5000,INPUT!$D$3:$D$5000),2,FALSE),"")</f>
        <v>0</v>
      </c>
      <c r="I2948" s="46" t="str">
        <f>IF(INPUT!P2943="","",INPUT!P2943)</f>
        <v/>
      </c>
      <c r="J2948" s="46" t="str">
        <f>IF(INPUT!Q2943="","",INPUT!Q2943)</f>
        <v/>
      </c>
      <c r="K2948" s="46" t="str">
        <f>IFERROR(IF(OR(INPUT!P2943="",INPUT!Q2943=""),"",INPUT!P2943-INPUT!Q2943),"")</f>
        <v/>
      </c>
      <c r="L2948" s="48" t="str">
        <f>IFERROR(IF(OR(INPUT!P2943="",INPUT!Q2943="",INPUT!P2943=0),"",(INPUT!P2943-INPUT!Q2943)/INPUT!P2943),"")</f>
        <v/>
      </c>
    </row>
    <row r="2949" spans="1:12" ht="18" hidden="1" customHeight="1" x14ac:dyDescent="0.2">
      <c r="A2949" s="11" t="str">
        <f>IF(INPUT!M2944="","",INPUT!M2944)</f>
        <v/>
      </c>
      <c r="B2949" s="11" t="str">
        <f>IF(INPUT!M2944="","",INPUT!M2944-WEEKDAY(INPUT!M2944,2)+1)</f>
        <v/>
      </c>
      <c r="C2949" s="20">
        <f>IFERROR(_xlfn.ISOWEEKNUM(INPUT!M2944),"")</f>
        <v>52</v>
      </c>
      <c r="D2949" s="20">
        <f>IFERROR(YEAR(INPUT!M2944),"")</f>
        <v>1900</v>
      </c>
      <c r="E2949" t="str">
        <f>IF(INPUT!O2944="","",INPUT!O2944)</f>
        <v/>
      </c>
      <c r="F2949" t="str">
        <f>IF(INPUT!N2944="","",INPUT!N2944)</f>
        <v/>
      </c>
      <c r="G2949" cm="1">
        <f t="array" ref="G2949">IFERROR(VLOOKUP(INPUT!M2944&amp;INPUT!N2944,CHOOSE({1,2},INPUT!$A$3:$A$5000&amp;INPUT!$C$3:$C$5000,INPUT!$F$3:$F$5000),2,FALSE),"")</f>
        <v>0</v>
      </c>
      <c r="H2949" cm="1">
        <f t="array" ref="H2949">IFERROR(VLOOKUP(INPUT!M2944&amp;INPUT!N2944,CHOOSE({1,2},INPUT!$A$3:$A$5000&amp;INPUT!$C$3:$C$5000,INPUT!$D$3:$D$5000),2,FALSE),"")</f>
        <v>0</v>
      </c>
      <c r="I2949" s="46" t="str">
        <f>IF(INPUT!P2944="","",INPUT!P2944)</f>
        <v/>
      </c>
      <c r="J2949" s="46" t="str">
        <f>IF(INPUT!Q2944="","",INPUT!Q2944)</f>
        <v/>
      </c>
      <c r="K2949" s="46" t="str">
        <f>IFERROR(IF(OR(INPUT!P2944="",INPUT!Q2944=""),"",INPUT!P2944-INPUT!Q2944),"")</f>
        <v/>
      </c>
      <c r="L2949" s="48" t="str">
        <f>IFERROR(IF(OR(INPUT!P2944="",INPUT!Q2944="",INPUT!P2944=0),"",(INPUT!P2944-INPUT!Q2944)/INPUT!P2944),"")</f>
        <v/>
      </c>
    </row>
    <row r="2950" spans="1:12" ht="18" hidden="1" customHeight="1" x14ac:dyDescent="0.2">
      <c r="A2950" s="11" t="str">
        <f>IF(INPUT!M2945="","",INPUT!M2945)</f>
        <v/>
      </c>
      <c r="B2950" s="11" t="str">
        <f>IF(INPUT!M2945="","",INPUT!M2945-WEEKDAY(INPUT!M2945,2)+1)</f>
        <v/>
      </c>
      <c r="C2950" s="20">
        <f>IFERROR(_xlfn.ISOWEEKNUM(INPUT!M2945),"")</f>
        <v>52</v>
      </c>
      <c r="D2950" s="20">
        <f>IFERROR(YEAR(INPUT!M2945),"")</f>
        <v>1900</v>
      </c>
      <c r="E2950" t="str">
        <f>IF(INPUT!O2945="","",INPUT!O2945)</f>
        <v/>
      </c>
      <c r="F2950" t="str">
        <f>IF(INPUT!N2945="","",INPUT!N2945)</f>
        <v/>
      </c>
      <c r="G2950" cm="1">
        <f t="array" ref="G2950">IFERROR(VLOOKUP(INPUT!M2945&amp;INPUT!N2945,CHOOSE({1,2},INPUT!$A$3:$A$5000&amp;INPUT!$C$3:$C$5000,INPUT!$F$3:$F$5000),2,FALSE),"")</f>
        <v>0</v>
      </c>
      <c r="H2950" cm="1">
        <f t="array" ref="H2950">IFERROR(VLOOKUP(INPUT!M2945&amp;INPUT!N2945,CHOOSE({1,2},INPUT!$A$3:$A$5000&amp;INPUT!$C$3:$C$5000,INPUT!$D$3:$D$5000),2,FALSE),"")</f>
        <v>0</v>
      </c>
      <c r="I2950" s="46" t="str">
        <f>IF(INPUT!P2945="","",INPUT!P2945)</f>
        <v/>
      </c>
      <c r="J2950" s="46" t="str">
        <f>IF(INPUT!Q2945="","",INPUT!Q2945)</f>
        <v/>
      </c>
      <c r="K2950" s="46" t="str">
        <f>IFERROR(IF(OR(INPUT!P2945="",INPUT!Q2945=""),"",INPUT!P2945-INPUT!Q2945),"")</f>
        <v/>
      </c>
      <c r="L2950" s="48" t="str">
        <f>IFERROR(IF(OR(INPUT!P2945="",INPUT!Q2945="",INPUT!P2945=0),"",(INPUT!P2945-INPUT!Q2945)/INPUT!P2945),"")</f>
        <v/>
      </c>
    </row>
    <row r="2951" spans="1:12" ht="18" hidden="1" customHeight="1" x14ac:dyDescent="0.2">
      <c r="A2951" s="11" t="str">
        <f>IF(INPUT!M2946="","",INPUT!M2946)</f>
        <v/>
      </c>
      <c r="B2951" s="11" t="str">
        <f>IF(INPUT!M2946="","",INPUT!M2946-WEEKDAY(INPUT!M2946,2)+1)</f>
        <v/>
      </c>
      <c r="C2951" s="20">
        <f>IFERROR(_xlfn.ISOWEEKNUM(INPUT!M2946),"")</f>
        <v>52</v>
      </c>
      <c r="D2951" s="20">
        <f>IFERROR(YEAR(INPUT!M2946),"")</f>
        <v>1900</v>
      </c>
      <c r="E2951" t="str">
        <f>IF(INPUT!O2946="","",INPUT!O2946)</f>
        <v/>
      </c>
      <c r="F2951" t="str">
        <f>IF(INPUT!N2946="","",INPUT!N2946)</f>
        <v/>
      </c>
      <c r="G2951" cm="1">
        <f t="array" ref="G2951">IFERROR(VLOOKUP(INPUT!M2946&amp;INPUT!N2946,CHOOSE({1,2},INPUT!$A$3:$A$5000&amp;INPUT!$C$3:$C$5000,INPUT!$F$3:$F$5000),2,FALSE),"")</f>
        <v>0</v>
      </c>
      <c r="H2951" cm="1">
        <f t="array" ref="H2951">IFERROR(VLOOKUP(INPUT!M2946&amp;INPUT!N2946,CHOOSE({1,2},INPUT!$A$3:$A$5000&amp;INPUT!$C$3:$C$5000,INPUT!$D$3:$D$5000),2,FALSE),"")</f>
        <v>0</v>
      </c>
      <c r="I2951" s="46" t="str">
        <f>IF(INPUT!P2946="","",INPUT!P2946)</f>
        <v/>
      </c>
      <c r="J2951" s="46" t="str">
        <f>IF(INPUT!Q2946="","",INPUT!Q2946)</f>
        <v/>
      </c>
      <c r="K2951" s="46" t="str">
        <f>IFERROR(IF(OR(INPUT!P2946="",INPUT!Q2946=""),"",INPUT!P2946-INPUT!Q2946),"")</f>
        <v/>
      </c>
      <c r="L2951" s="48" t="str">
        <f>IFERROR(IF(OR(INPUT!P2946="",INPUT!Q2946="",INPUT!P2946=0),"",(INPUT!P2946-INPUT!Q2946)/INPUT!P2946),"")</f>
        <v/>
      </c>
    </row>
    <row r="2952" spans="1:12" ht="18" hidden="1" customHeight="1" x14ac:dyDescent="0.2">
      <c r="A2952" s="11" t="str">
        <f>IF(INPUT!M2947="","",INPUT!M2947)</f>
        <v/>
      </c>
      <c r="B2952" s="11" t="str">
        <f>IF(INPUT!M2947="","",INPUT!M2947-WEEKDAY(INPUT!M2947,2)+1)</f>
        <v/>
      </c>
      <c r="C2952" s="20">
        <f>IFERROR(_xlfn.ISOWEEKNUM(INPUT!M2947),"")</f>
        <v>52</v>
      </c>
      <c r="D2952" s="20">
        <f>IFERROR(YEAR(INPUT!M2947),"")</f>
        <v>1900</v>
      </c>
      <c r="E2952" t="str">
        <f>IF(INPUT!O2947="","",INPUT!O2947)</f>
        <v/>
      </c>
      <c r="F2952" t="str">
        <f>IF(INPUT!N2947="","",INPUT!N2947)</f>
        <v/>
      </c>
      <c r="G2952" cm="1">
        <f t="array" ref="G2952">IFERROR(VLOOKUP(INPUT!M2947&amp;INPUT!N2947,CHOOSE({1,2},INPUT!$A$3:$A$5000&amp;INPUT!$C$3:$C$5000,INPUT!$F$3:$F$5000),2,FALSE),"")</f>
        <v>0</v>
      </c>
      <c r="H2952" cm="1">
        <f t="array" ref="H2952">IFERROR(VLOOKUP(INPUT!M2947&amp;INPUT!N2947,CHOOSE({1,2},INPUT!$A$3:$A$5000&amp;INPUT!$C$3:$C$5000,INPUT!$D$3:$D$5000),2,FALSE),"")</f>
        <v>0</v>
      </c>
      <c r="I2952" s="46" t="str">
        <f>IF(INPUT!P2947="","",INPUT!P2947)</f>
        <v/>
      </c>
      <c r="J2952" s="46" t="str">
        <f>IF(INPUT!Q2947="","",INPUT!Q2947)</f>
        <v/>
      </c>
      <c r="K2952" s="46" t="str">
        <f>IFERROR(IF(OR(INPUT!P2947="",INPUT!Q2947=""),"",INPUT!P2947-INPUT!Q2947),"")</f>
        <v/>
      </c>
      <c r="L2952" s="48" t="str">
        <f>IFERROR(IF(OR(INPUT!P2947="",INPUT!Q2947="",INPUT!P2947=0),"",(INPUT!P2947-INPUT!Q2947)/INPUT!P2947),"")</f>
        <v/>
      </c>
    </row>
    <row r="2953" spans="1:12" ht="18" hidden="1" customHeight="1" x14ac:dyDescent="0.2">
      <c r="A2953" s="11" t="str">
        <f>IF(INPUT!M2948="","",INPUT!M2948)</f>
        <v/>
      </c>
      <c r="B2953" s="11" t="str">
        <f>IF(INPUT!M2948="","",INPUT!M2948-WEEKDAY(INPUT!M2948,2)+1)</f>
        <v/>
      </c>
      <c r="C2953" s="20">
        <f>IFERROR(_xlfn.ISOWEEKNUM(INPUT!M2948),"")</f>
        <v>52</v>
      </c>
      <c r="D2953" s="20">
        <f>IFERROR(YEAR(INPUT!M2948),"")</f>
        <v>1900</v>
      </c>
      <c r="E2953" t="str">
        <f>IF(INPUT!O2948="","",INPUT!O2948)</f>
        <v/>
      </c>
      <c r="F2953" t="str">
        <f>IF(INPUT!N2948="","",INPUT!N2948)</f>
        <v/>
      </c>
      <c r="G2953" cm="1">
        <f t="array" ref="G2953">IFERROR(VLOOKUP(INPUT!M2948&amp;INPUT!N2948,CHOOSE({1,2},INPUT!$A$3:$A$5000&amp;INPUT!$C$3:$C$5000,INPUT!$F$3:$F$5000),2,FALSE),"")</f>
        <v>0</v>
      </c>
      <c r="H2953" cm="1">
        <f t="array" ref="H2953">IFERROR(VLOOKUP(INPUT!M2948&amp;INPUT!N2948,CHOOSE({1,2},INPUT!$A$3:$A$5000&amp;INPUT!$C$3:$C$5000,INPUT!$D$3:$D$5000),2,FALSE),"")</f>
        <v>0</v>
      </c>
      <c r="I2953" s="46" t="str">
        <f>IF(INPUT!P2948="","",INPUT!P2948)</f>
        <v/>
      </c>
      <c r="J2953" s="46" t="str">
        <f>IF(INPUT!Q2948="","",INPUT!Q2948)</f>
        <v/>
      </c>
      <c r="K2953" s="46" t="str">
        <f>IFERROR(IF(OR(INPUT!P2948="",INPUT!Q2948=""),"",INPUT!P2948-INPUT!Q2948),"")</f>
        <v/>
      </c>
      <c r="L2953" s="48" t="str">
        <f>IFERROR(IF(OR(INPUT!P2948="",INPUT!Q2948="",INPUT!P2948=0),"",(INPUT!P2948-INPUT!Q2948)/INPUT!P2948),"")</f>
        <v/>
      </c>
    </row>
    <row r="2954" spans="1:12" ht="18" hidden="1" customHeight="1" x14ac:dyDescent="0.2">
      <c r="A2954" s="11" t="str">
        <f>IF(INPUT!M2949="","",INPUT!M2949)</f>
        <v/>
      </c>
      <c r="B2954" s="11" t="str">
        <f>IF(INPUT!M2949="","",INPUT!M2949-WEEKDAY(INPUT!M2949,2)+1)</f>
        <v/>
      </c>
      <c r="C2954" s="20">
        <f>IFERROR(_xlfn.ISOWEEKNUM(INPUT!M2949),"")</f>
        <v>52</v>
      </c>
      <c r="D2954" s="20">
        <f>IFERROR(YEAR(INPUT!M2949),"")</f>
        <v>1900</v>
      </c>
      <c r="E2954" t="str">
        <f>IF(INPUT!O2949="","",INPUT!O2949)</f>
        <v/>
      </c>
      <c r="F2954" t="str">
        <f>IF(INPUT!N2949="","",INPUT!N2949)</f>
        <v/>
      </c>
      <c r="G2954" cm="1">
        <f t="array" ref="G2954">IFERROR(VLOOKUP(INPUT!M2949&amp;INPUT!N2949,CHOOSE({1,2},INPUT!$A$3:$A$5000&amp;INPUT!$C$3:$C$5000,INPUT!$F$3:$F$5000),2,FALSE),"")</f>
        <v>0</v>
      </c>
      <c r="H2954" cm="1">
        <f t="array" ref="H2954">IFERROR(VLOOKUP(INPUT!M2949&amp;INPUT!N2949,CHOOSE({1,2},INPUT!$A$3:$A$5000&amp;INPUT!$C$3:$C$5000,INPUT!$D$3:$D$5000),2,FALSE),"")</f>
        <v>0</v>
      </c>
      <c r="I2954" s="46" t="str">
        <f>IF(INPUT!P2949="","",INPUT!P2949)</f>
        <v/>
      </c>
      <c r="J2954" s="46" t="str">
        <f>IF(INPUT!Q2949="","",INPUT!Q2949)</f>
        <v/>
      </c>
      <c r="K2954" s="46" t="str">
        <f>IFERROR(IF(OR(INPUT!P2949="",INPUT!Q2949=""),"",INPUT!P2949-INPUT!Q2949),"")</f>
        <v/>
      </c>
      <c r="L2954" s="48" t="str">
        <f>IFERROR(IF(OR(INPUT!P2949="",INPUT!Q2949="",INPUT!P2949=0),"",(INPUT!P2949-INPUT!Q2949)/INPUT!P2949),"")</f>
        <v/>
      </c>
    </row>
    <row r="2955" spans="1:12" ht="18" hidden="1" customHeight="1" x14ac:dyDescent="0.2">
      <c r="A2955" s="11" t="str">
        <f>IF(INPUT!M2950="","",INPUT!M2950)</f>
        <v/>
      </c>
      <c r="B2955" s="11" t="str">
        <f>IF(INPUT!M2950="","",INPUT!M2950-WEEKDAY(INPUT!M2950,2)+1)</f>
        <v/>
      </c>
      <c r="C2955" s="20">
        <f>IFERROR(_xlfn.ISOWEEKNUM(INPUT!M2950),"")</f>
        <v>52</v>
      </c>
      <c r="D2955" s="20">
        <f>IFERROR(YEAR(INPUT!M2950),"")</f>
        <v>1900</v>
      </c>
      <c r="E2955" t="str">
        <f>IF(INPUT!O2950="","",INPUT!O2950)</f>
        <v/>
      </c>
      <c r="F2955" t="str">
        <f>IF(INPUT!N2950="","",INPUT!N2950)</f>
        <v/>
      </c>
      <c r="G2955" cm="1">
        <f t="array" ref="G2955">IFERROR(VLOOKUP(INPUT!M2950&amp;INPUT!N2950,CHOOSE({1,2},INPUT!$A$3:$A$5000&amp;INPUT!$C$3:$C$5000,INPUT!$F$3:$F$5000),2,FALSE),"")</f>
        <v>0</v>
      </c>
      <c r="H2955" cm="1">
        <f t="array" ref="H2955">IFERROR(VLOOKUP(INPUT!M2950&amp;INPUT!N2950,CHOOSE({1,2},INPUT!$A$3:$A$5000&amp;INPUT!$C$3:$C$5000,INPUT!$D$3:$D$5000),2,FALSE),"")</f>
        <v>0</v>
      </c>
      <c r="I2955" s="46" t="str">
        <f>IF(INPUT!P2950="","",INPUT!P2950)</f>
        <v/>
      </c>
      <c r="J2955" s="46" t="str">
        <f>IF(INPUT!Q2950="","",INPUT!Q2950)</f>
        <v/>
      </c>
      <c r="K2955" s="46" t="str">
        <f>IFERROR(IF(OR(INPUT!P2950="",INPUT!Q2950=""),"",INPUT!P2950-INPUT!Q2950),"")</f>
        <v/>
      </c>
      <c r="L2955" s="48" t="str">
        <f>IFERROR(IF(OR(INPUT!P2950="",INPUT!Q2950="",INPUT!P2950=0),"",(INPUT!P2950-INPUT!Q2950)/INPUT!P2950),"")</f>
        <v/>
      </c>
    </row>
    <row r="2956" spans="1:12" ht="18" hidden="1" customHeight="1" x14ac:dyDescent="0.2">
      <c r="A2956" s="11" t="str">
        <f>IF(INPUT!M2951="","",INPUT!M2951)</f>
        <v/>
      </c>
      <c r="B2956" s="11" t="str">
        <f>IF(INPUT!M2951="","",INPUT!M2951-WEEKDAY(INPUT!M2951,2)+1)</f>
        <v/>
      </c>
      <c r="C2956" s="20">
        <f>IFERROR(_xlfn.ISOWEEKNUM(INPUT!M2951),"")</f>
        <v>52</v>
      </c>
      <c r="D2956" s="20">
        <f>IFERROR(YEAR(INPUT!M2951),"")</f>
        <v>1900</v>
      </c>
      <c r="E2956" t="str">
        <f>IF(INPUT!O2951="","",INPUT!O2951)</f>
        <v/>
      </c>
      <c r="F2956" t="str">
        <f>IF(INPUT!N2951="","",INPUT!N2951)</f>
        <v/>
      </c>
      <c r="G2956" cm="1">
        <f t="array" ref="G2956">IFERROR(VLOOKUP(INPUT!M2951&amp;INPUT!N2951,CHOOSE({1,2},INPUT!$A$3:$A$5000&amp;INPUT!$C$3:$C$5000,INPUT!$F$3:$F$5000),2,FALSE),"")</f>
        <v>0</v>
      </c>
      <c r="H2956" cm="1">
        <f t="array" ref="H2956">IFERROR(VLOOKUP(INPUT!M2951&amp;INPUT!N2951,CHOOSE({1,2},INPUT!$A$3:$A$5000&amp;INPUT!$C$3:$C$5000,INPUT!$D$3:$D$5000),2,FALSE),"")</f>
        <v>0</v>
      </c>
      <c r="I2956" s="46" t="str">
        <f>IF(INPUT!P2951="","",INPUT!P2951)</f>
        <v/>
      </c>
      <c r="J2956" s="46" t="str">
        <f>IF(INPUT!Q2951="","",INPUT!Q2951)</f>
        <v/>
      </c>
      <c r="K2956" s="46" t="str">
        <f>IFERROR(IF(OR(INPUT!P2951="",INPUT!Q2951=""),"",INPUT!P2951-INPUT!Q2951),"")</f>
        <v/>
      </c>
      <c r="L2956" s="48" t="str">
        <f>IFERROR(IF(OR(INPUT!P2951="",INPUT!Q2951="",INPUT!P2951=0),"",(INPUT!P2951-INPUT!Q2951)/INPUT!P2951),"")</f>
        <v/>
      </c>
    </row>
    <row r="2957" spans="1:12" ht="18" hidden="1" customHeight="1" x14ac:dyDescent="0.2">
      <c r="A2957" s="11" t="str">
        <f>IF(INPUT!M2952="","",INPUT!M2952)</f>
        <v/>
      </c>
      <c r="B2957" s="11" t="str">
        <f>IF(INPUT!M2952="","",INPUT!M2952-WEEKDAY(INPUT!M2952,2)+1)</f>
        <v/>
      </c>
      <c r="C2957" s="20">
        <f>IFERROR(_xlfn.ISOWEEKNUM(INPUT!M2952),"")</f>
        <v>52</v>
      </c>
      <c r="D2957" s="20">
        <f>IFERROR(YEAR(INPUT!M2952),"")</f>
        <v>1900</v>
      </c>
      <c r="E2957" t="str">
        <f>IF(INPUT!O2952="","",INPUT!O2952)</f>
        <v/>
      </c>
      <c r="F2957" t="str">
        <f>IF(INPUT!N2952="","",INPUT!N2952)</f>
        <v/>
      </c>
      <c r="G2957" cm="1">
        <f t="array" ref="G2957">IFERROR(VLOOKUP(INPUT!M2952&amp;INPUT!N2952,CHOOSE({1,2},INPUT!$A$3:$A$5000&amp;INPUT!$C$3:$C$5000,INPUT!$F$3:$F$5000),2,FALSE),"")</f>
        <v>0</v>
      </c>
      <c r="H2957" cm="1">
        <f t="array" ref="H2957">IFERROR(VLOOKUP(INPUT!M2952&amp;INPUT!N2952,CHOOSE({1,2},INPUT!$A$3:$A$5000&amp;INPUT!$C$3:$C$5000,INPUT!$D$3:$D$5000),2,FALSE),"")</f>
        <v>0</v>
      </c>
      <c r="I2957" s="46" t="str">
        <f>IF(INPUT!P2952="","",INPUT!P2952)</f>
        <v/>
      </c>
      <c r="J2957" s="46" t="str">
        <f>IF(INPUT!Q2952="","",INPUT!Q2952)</f>
        <v/>
      </c>
      <c r="K2957" s="46" t="str">
        <f>IFERROR(IF(OR(INPUT!P2952="",INPUT!Q2952=""),"",INPUT!P2952-INPUT!Q2952),"")</f>
        <v/>
      </c>
      <c r="L2957" s="48" t="str">
        <f>IFERROR(IF(OR(INPUT!P2952="",INPUT!Q2952="",INPUT!P2952=0),"",(INPUT!P2952-INPUT!Q2952)/INPUT!P2952),"")</f>
        <v/>
      </c>
    </row>
    <row r="2958" spans="1:12" ht="18" hidden="1" customHeight="1" x14ac:dyDescent="0.2">
      <c r="A2958" s="11" t="str">
        <f>IF(INPUT!M2953="","",INPUT!M2953)</f>
        <v/>
      </c>
      <c r="B2958" s="11" t="str">
        <f>IF(INPUT!M2953="","",INPUT!M2953-WEEKDAY(INPUT!M2953,2)+1)</f>
        <v/>
      </c>
      <c r="C2958" s="20">
        <f>IFERROR(_xlfn.ISOWEEKNUM(INPUT!M2953),"")</f>
        <v>52</v>
      </c>
      <c r="D2958" s="20">
        <f>IFERROR(YEAR(INPUT!M2953),"")</f>
        <v>1900</v>
      </c>
      <c r="E2958" t="str">
        <f>IF(INPUT!O2953="","",INPUT!O2953)</f>
        <v/>
      </c>
      <c r="F2958" t="str">
        <f>IF(INPUT!N2953="","",INPUT!N2953)</f>
        <v/>
      </c>
      <c r="G2958" cm="1">
        <f t="array" ref="G2958">IFERROR(VLOOKUP(INPUT!M2953&amp;INPUT!N2953,CHOOSE({1,2},INPUT!$A$3:$A$5000&amp;INPUT!$C$3:$C$5000,INPUT!$F$3:$F$5000),2,FALSE),"")</f>
        <v>0</v>
      </c>
      <c r="H2958" cm="1">
        <f t="array" ref="H2958">IFERROR(VLOOKUP(INPUT!M2953&amp;INPUT!N2953,CHOOSE({1,2},INPUT!$A$3:$A$5000&amp;INPUT!$C$3:$C$5000,INPUT!$D$3:$D$5000),2,FALSE),"")</f>
        <v>0</v>
      </c>
      <c r="I2958" s="46" t="str">
        <f>IF(INPUT!P2953="","",INPUT!P2953)</f>
        <v/>
      </c>
      <c r="J2958" s="46" t="str">
        <f>IF(INPUT!Q2953="","",INPUT!Q2953)</f>
        <v/>
      </c>
      <c r="K2958" s="46" t="str">
        <f>IFERROR(IF(OR(INPUT!P2953="",INPUT!Q2953=""),"",INPUT!P2953-INPUT!Q2953),"")</f>
        <v/>
      </c>
      <c r="L2958" s="48" t="str">
        <f>IFERROR(IF(OR(INPUT!P2953="",INPUT!Q2953="",INPUT!P2953=0),"",(INPUT!P2953-INPUT!Q2953)/INPUT!P2953),"")</f>
        <v/>
      </c>
    </row>
    <row r="2959" spans="1:12" ht="18" hidden="1" customHeight="1" x14ac:dyDescent="0.2">
      <c r="A2959" s="11" t="str">
        <f>IF(INPUT!M2954="","",INPUT!M2954)</f>
        <v/>
      </c>
      <c r="B2959" s="11" t="str">
        <f>IF(INPUT!M2954="","",INPUT!M2954-WEEKDAY(INPUT!M2954,2)+1)</f>
        <v/>
      </c>
      <c r="C2959" s="20">
        <f>IFERROR(_xlfn.ISOWEEKNUM(INPUT!M2954),"")</f>
        <v>52</v>
      </c>
      <c r="D2959" s="20">
        <f>IFERROR(YEAR(INPUT!M2954),"")</f>
        <v>1900</v>
      </c>
      <c r="E2959" t="str">
        <f>IF(INPUT!O2954="","",INPUT!O2954)</f>
        <v/>
      </c>
      <c r="F2959" t="str">
        <f>IF(INPUT!N2954="","",INPUT!N2954)</f>
        <v/>
      </c>
      <c r="G2959" cm="1">
        <f t="array" ref="G2959">IFERROR(VLOOKUP(INPUT!M2954&amp;INPUT!N2954,CHOOSE({1,2},INPUT!$A$3:$A$5000&amp;INPUT!$C$3:$C$5000,INPUT!$F$3:$F$5000),2,FALSE),"")</f>
        <v>0</v>
      </c>
      <c r="H2959" cm="1">
        <f t="array" ref="H2959">IFERROR(VLOOKUP(INPUT!M2954&amp;INPUT!N2954,CHOOSE({1,2},INPUT!$A$3:$A$5000&amp;INPUT!$C$3:$C$5000,INPUT!$D$3:$D$5000),2,FALSE),"")</f>
        <v>0</v>
      </c>
      <c r="I2959" s="46" t="str">
        <f>IF(INPUT!P2954="","",INPUT!P2954)</f>
        <v/>
      </c>
      <c r="J2959" s="46" t="str">
        <f>IF(INPUT!Q2954="","",INPUT!Q2954)</f>
        <v/>
      </c>
      <c r="K2959" s="46" t="str">
        <f>IFERROR(IF(OR(INPUT!P2954="",INPUT!Q2954=""),"",INPUT!P2954-INPUT!Q2954),"")</f>
        <v/>
      </c>
      <c r="L2959" s="48" t="str">
        <f>IFERROR(IF(OR(INPUT!P2954="",INPUT!Q2954="",INPUT!P2954=0),"",(INPUT!P2954-INPUT!Q2954)/INPUT!P2954),"")</f>
        <v/>
      </c>
    </row>
    <row r="2960" spans="1:12" ht="18" hidden="1" customHeight="1" x14ac:dyDescent="0.2">
      <c r="A2960" s="11" t="str">
        <f>IF(INPUT!M2955="","",INPUT!M2955)</f>
        <v/>
      </c>
      <c r="B2960" s="11" t="str">
        <f>IF(INPUT!M2955="","",INPUT!M2955-WEEKDAY(INPUT!M2955,2)+1)</f>
        <v/>
      </c>
      <c r="C2960" s="20">
        <f>IFERROR(_xlfn.ISOWEEKNUM(INPUT!M2955),"")</f>
        <v>52</v>
      </c>
      <c r="D2960" s="20">
        <f>IFERROR(YEAR(INPUT!M2955),"")</f>
        <v>1900</v>
      </c>
      <c r="E2960" t="str">
        <f>IF(INPUT!O2955="","",INPUT!O2955)</f>
        <v/>
      </c>
      <c r="F2960" t="str">
        <f>IF(INPUT!N2955="","",INPUT!N2955)</f>
        <v/>
      </c>
      <c r="G2960" cm="1">
        <f t="array" ref="G2960">IFERROR(VLOOKUP(INPUT!M2955&amp;INPUT!N2955,CHOOSE({1,2},INPUT!$A$3:$A$5000&amp;INPUT!$C$3:$C$5000,INPUT!$F$3:$F$5000),2,FALSE),"")</f>
        <v>0</v>
      </c>
      <c r="H2960" cm="1">
        <f t="array" ref="H2960">IFERROR(VLOOKUP(INPUT!M2955&amp;INPUT!N2955,CHOOSE({1,2},INPUT!$A$3:$A$5000&amp;INPUT!$C$3:$C$5000,INPUT!$D$3:$D$5000),2,FALSE),"")</f>
        <v>0</v>
      </c>
      <c r="I2960" s="46" t="str">
        <f>IF(INPUT!P2955="","",INPUT!P2955)</f>
        <v/>
      </c>
      <c r="J2960" s="46" t="str">
        <f>IF(INPUT!Q2955="","",INPUT!Q2955)</f>
        <v/>
      </c>
      <c r="K2960" s="46" t="str">
        <f>IFERROR(IF(OR(INPUT!P2955="",INPUT!Q2955=""),"",INPUT!P2955-INPUT!Q2955),"")</f>
        <v/>
      </c>
      <c r="L2960" s="48" t="str">
        <f>IFERROR(IF(OR(INPUT!P2955="",INPUT!Q2955="",INPUT!P2955=0),"",(INPUT!P2955-INPUT!Q2955)/INPUT!P2955),"")</f>
        <v/>
      </c>
    </row>
    <row r="2961" spans="1:12" ht="18" hidden="1" customHeight="1" x14ac:dyDescent="0.2">
      <c r="A2961" s="11" t="str">
        <f>IF(INPUT!M2956="","",INPUT!M2956)</f>
        <v/>
      </c>
      <c r="B2961" s="11" t="str">
        <f>IF(INPUT!M2956="","",INPUT!M2956-WEEKDAY(INPUT!M2956,2)+1)</f>
        <v/>
      </c>
      <c r="C2961" s="20">
        <f>IFERROR(_xlfn.ISOWEEKNUM(INPUT!M2956),"")</f>
        <v>52</v>
      </c>
      <c r="D2961" s="20">
        <f>IFERROR(YEAR(INPUT!M2956),"")</f>
        <v>1900</v>
      </c>
      <c r="E2961" t="str">
        <f>IF(INPUT!O2956="","",INPUT!O2956)</f>
        <v/>
      </c>
      <c r="F2961" t="str">
        <f>IF(INPUT!N2956="","",INPUT!N2956)</f>
        <v/>
      </c>
      <c r="G2961" cm="1">
        <f t="array" ref="G2961">IFERROR(VLOOKUP(INPUT!M2956&amp;INPUT!N2956,CHOOSE({1,2},INPUT!$A$3:$A$5000&amp;INPUT!$C$3:$C$5000,INPUT!$F$3:$F$5000),2,FALSE),"")</f>
        <v>0</v>
      </c>
      <c r="H2961" cm="1">
        <f t="array" ref="H2961">IFERROR(VLOOKUP(INPUT!M2956&amp;INPUT!N2956,CHOOSE({1,2},INPUT!$A$3:$A$5000&amp;INPUT!$C$3:$C$5000,INPUT!$D$3:$D$5000),2,FALSE),"")</f>
        <v>0</v>
      </c>
      <c r="I2961" s="46" t="str">
        <f>IF(INPUT!P2956="","",INPUT!P2956)</f>
        <v/>
      </c>
      <c r="J2961" s="46" t="str">
        <f>IF(INPUT!Q2956="","",INPUT!Q2956)</f>
        <v/>
      </c>
      <c r="K2961" s="46" t="str">
        <f>IFERROR(IF(OR(INPUT!P2956="",INPUT!Q2956=""),"",INPUT!P2956-INPUT!Q2956),"")</f>
        <v/>
      </c>
      <c r="L2961" s="48" t="str">
        <f>IFERROR(IF(OR(INPUT!P2956="",INPUT!Q2956="",INPUT!P2956=0),"",(INPUT!P2956-INPUT!Q2956)/INPUT!P2956),"")</f>
        <v/>
      </c>
    </row>
    <row r="2962" spans="1:12" ht="18" hidden="1" customHeight="1" x14ac:dyDescent="0.2">
      <c r="A2962" s="11" t="str">
        <f>IF(INPUT!M2957="","",INPUT!M2957)</f>
        <v/>
      </c>
      <c r="B2962" s="11" t="str">
        <f>IF(INPUT!M2957="","",INPUT!M2957-WEEKDAY(INPUT!M2957,2)+1)</f>
        <v/>
      </c>
      <c r="C2962" s="20">
        <f>IFERROR(_xlfn.ISOWEEKNUM(INPUT!M2957),"")</f>
        <v>52</v>
      </c>
      <c r="D2962" s="20">
        <f>IFERROR(YEAR(INPUT!M2957),"")</f>
        <v>1900</v>
      </c>
      <c r="E2962" t="str">
        <f>IF(INPUT!O2957="","",INPUT!O2957)</f>
        <v/>
      </c>
      <c r="F2962" t="str">
        <f>IF(INPUT!N2957="","",INPUT!N2957)</f>
        <v/>
      </c>
      <c r="G2962" cm="1">
        <f t="array" ref="G2962">IFERROR(VLOOKUP(INPUT!M2957&amp;INPUT!N2957,CHOOSE({1,2},INPUT!$A$3:$A$5000&amp;INPUT!$C$3:$C$5000,INPUT!$F$3:$F$5000),2,FALSE),"")</f>
        <v>0</v>
      </c>
      <c r="H2962" cm="1">
        <f t="array" ref="H2962">IFERROR(VLOOKUP(INPUT!M2957&amp;INPUT!N2957,CHOOSE({1,2},INPUT!$A$3:$A$5000&amp;INPUT!$C$3:$C$5000,INPUT!$D$3:$D$5000),2,FALSE),"")</f>
        <v>0</v>
      </c>
      <c r="I2962" s="46" t="str">
        <f>IF(INPUT!P2957="","",INPUT!P2957)</f>
        <v/>
      </c>
      <c r="J2962" s="46" t="str">
        <f>IF(INPUT!Q2957="","",INPUT!Q2957)</f>
        <v/>
      </c>
      <c r="K2962" s="46" t="str">
        <f>IFERROR(IF(OR(INPUT!P2957="",INPUT!Q2957=""),"",INPUT!P2957-INPUT!Q2957),"")</f>
        <v/>
      </c>
      <c r="L2962" s="48" t="str">
        <f>IFERROR(IF(OR(INPUT!P2957="",INPUT!Q2957="",INPUT!P2957=0),"",(INPUT!P2957-INPUT!Q2957)/INPUT!P2957),"")</f>
        <v/>
      </c>
    </row>
    <row r="2963" spans="1:12" ht="18" hidden="1" customHeight="1" x14ac:dyDescent="0.2">
      <c r="A2963" s="11" t="str">
        <f>IF(INPUT!M2958="","",INPUT!M2958)</f>
        <v/>
      </c>
      <c r="B2963" s="11" t="str">
        <f>IF(INPUT!M2958="","",INPUT!M2958-WEEKDAY(INPUT!M2958,2)+1)</f>
        <v/>
      </c>
      <c r="C2963" s="20">
        <f>IFERROR(_xlfn.ISOWEEKNUM(INPUT!M2958),"")</f>
        <v>52</v>
      </c>
      <c r="D2963" s="20">
        <f>IFERROR(YEAR(INPUT!M2958),"")</f>
        <v>1900</v>
      </c>
      <c r="E2963" t="str">
        <f>IF(INPUT!O2958="","",INPUT!O2958)</f>
        <v/>
      </c>
      <c r="F2963" t="str">
        <f>IF(INPUT!N2958="","",INPUT!N2958)</f>
        <v/>
      </c>
      <c r="G2963" cm="1">
        <f t="array" ref="G2963">IFERROR(VLOOKUP(INPUT!M2958&amp;INPUT!N2958,CHOOSE({1,2},INPUT!$A$3:$A$5000&amp;INPUT!$C$3:$C$5000,INPUT!$F$3:$F$5000),2,FALSE),"")</f>
        <v>0</v>
      </c>
      <c r="H2963" cm="1">
        <f t="array" ref="H2963">IFERROR(VLOOKUP(INPUT!M2958&amp;INPUT!N2958,CHOOSE({1,2},INPUT!$A$3:$A$5000&amp;INPUT!$C$3:$C$5000,INPUT!$D$3:$D$5000),2,FALSE),"")</f>
        <v>0</v>
      </c>
      <c r="I2963" s="46" t="str">
        <f>IF(INPUT!P2958="","",INPUT!P2958)</f>
        <v/>
      </c>
      <c r="J2963" s="46" t="str">
        <f>IF(INPUT!Q2958="","",INPUT!Q2958)</f>
        <v/>
      </c>
      <c r="K2963" s="46" t="str">
        <f>IFERROR(IF(OR(INPUT!P2958="",INPUT!Q2958=""),"",INPUT!P2958-INPUT!Q2958),"")</f>
        <v/>
      </c>
      <c r="L2963" s="48" t="str">
        <f>IFERROR(IF(OR(INPUT!P2958="",INPUT!Q2958="",INPUT!P2958=0),"",(INPUT!P2958-INPUT!Q2958)/INPUT!P2958),"")</f>
        <v/>
      </c>
    </row>
    <row r="2964" spans="1:12" ht="18" hidden="1" customHeight="1" x14ac:dyDescent="0.2">
      <c r="A2964" s="11" t="str">
        <f>IF(INPUT!M2959="","",INPUT!M2959)</f>
        <v/>
      </c>
      <c r="B2964" s="11" t="str">
        <f>IF(INPUT!M2959="","",INPUT!M2959-WEEKDAY(INPUT!M2959,2)+1)</f>
        <v/>
      </c>
      <c r="C2964" s="20">
        <f>IFERROR(_xlfn.ISOWEEKNUM(INPUT!M2959),"")</f>
        <v>52</v>
      </c>
      <c r="D2964" s="20">
        <f>IFERROR(YEAR(INPUT!M2959),"")</f>
        <v>1900</v>
      </c>
      <c r="E2964" t="str">
        <f>IF(INPUT!O2959="","",INPUT!O2959)</f>
        <v/>
      </c>
      <c r="F2964" t="str">
        <f>IF(INPUT!N2959="","",INPUT!N2959)</f>
        <v/>
      </c>
      <c r="G2964" cm="1">
        <f t="array" ref="G2964">IFERROR(VLOOKUP(INPUT!M2959&amp;INPUT!N2959,CHOOSE({1,2},INPUT!$A$3:$A$5000&amp;INPUT!$C$3:$C$5000,INPUT!$F$3:$F$5000),2,FALSE),"")</f>
        <v>0</v>
      </c>
      <c r="H2964" cm="1">
        <f t="array" ref="H2964">IFERROR(VLOOKUP(INPUT!M2959&amp;INPUT!N2959,CHOOSE({1,2},INPUT!$A$3:$A$5000&amp;INPUT!$C$3:$C$5000,INPUT!$D$3:$D$5000),2,FALSE),"")</f>
        <v>0</v>
      </c>
      <c r="I2964" s="46" t="str">
        <f>IF(INPUT!P2959="","",INPUT!P2959)</f>
        <v/>
      </c>
      <c r="J2964" s="46" t="str">
        <f>IF(INPUT!Q2959="","",INPUT!Q2959)</f>
        <v/>
      </c>
      <c r="K2964" s="46" t="str">
        <f>IFERROR(IF(OR(INPUT!P2959="",INPUT!Q2959=""),"",INPUT!P2959-INPUT!Q2959),"")</f>
        <v/>
      </c>
      <c r="L2964" s="48" t="str">
        <f>IFERROR(IF(OR(INPUT!P2959="",INPUT!Q2959="",INPUT!P2959=0),"",(INPUT!P2959-INPUT!Q2959)/INPUT!P2959),"")</f>
        <v/>
      </c>
    </row>
    <row r="2965" spans="1:12" ht="18" hidden="1" customHeight="1" x14ac:dyDescent="0.2">
      <c r="A2965" s="11" t="str">
        <f>IF(INPUT!M2960="","",INPUT!M2960)</f>
        <v/>
      </c>
      <c r="B2965" s="11" t="str">
        <f>IF(INPUT!M2960="","",INPUT!M2960-WEEKDAY(INPUT!M2960,2)+1)</f>
        <v/>
      </c>
      <c r="C2965" s="20">
        <f>IFERROR(_xlfn.ISOWEEKNUM(INPUT!M2960),"")</f>
        <v>52</v>
      </c>
      <c r="D2965" s="20">
        <f>IFERROR(YEAR(INPUT!M2960),"")</f>
        <v>1900</v>
      </c>
      <c r="E2965" t="str">
        <f>IF(INPUT!O2960="","",INPUT!O2960)</f>
        <v/>
      </c>
      <c r="F2965" t="str">
        <f>IF(INPUT!N2960="","",INPUT!N2960)</f>
        <v/>
      </c>
      <c r="G2965" cm="1">
        <f t="array" ref="G2965">IFERROR(VLOOKUP(INPUT!M2960&amp;INPUT!N2960,CHOOSE({1,2},INPUT!$A$3:$A$5000&amp;INPUT!$C$3:$C$5000,INPUT!$F$3:$F$5000),2,FALSE),"")</f>
        <v>0</v>
      </c>
      <c r="H2965" cm="1">
        <f t="array" ref="H2965">IFERROR(VLOOKUP(INPUT!M2960&amp;INPUT!N2960,CHOOSE({1,2},INPUT!$A$3:$A$5000&amp;INPUT!$C$3:$C$5000,INPUT!$D$3:$D$5000),2,FALSE),"")</f>
        <v>0</v>
      </c>
      <c r="I2965" s="46" t="str">
        <f>IF(INPUT!P2960="","",INPUT!P2960)</f>
        <v/>
      </c>
      <c r="J2965" s="46" t="str">
        <f>IF(INPUT!Q2960="","",INPUT!Q2960)</f>
        <v/>
      </c>
      <c r="K2965" s="46" t="str">
        <f>IFERROR(IF(OR(INPUT!P2960="",INPUT!Q2960=""),"",INPUT!P2960-INPUT!Q2960),"")</f>
        <v/>
      </c>
      <c r="L2965" s="48" t="str">
        <f>IFERROR(IF(OR(INPUT!P2960="",INPUT!Q2960="",INPUT!P2960=0),"",(INPUT!P2960-INPUT!Q2960)/INPUT!P2960),"")</f>
        <v/>
      </c>
    </row>
    <row r="2966" spans="1:12" ht="18" hidden="1" customHeight="1" x14ac:dyDescent="0.2">
      <c r="A2966" s="11" t="str">
        <f>IF(INPUT!M2961="","",INPUT!M2961)</f>
        <v/>
      </c>
      <c r="B2966" s="11" t="str">
        <f>IF(INPUT!M2961="","",INPUT!M2961-WEEKDAY(INPUT!M2961,2)+1)</f>
        <v/>
      </c>
      <c r="C2966" s="20">
        <f>IFERROR(_xlfn.ISOWEEKNUM(INPUT!M2961),"")</f>
        <v>52</v>
      </c>
      <c r="D2966" s="20">
        <f>IFERROR(YEAR(INPUT!M2961),"")</f>
        <v>1900</v>
      </c>
      <c r="E2966" t="str">
        <f>IF(INPUT!O2961="","",INPUT!O2961)</f>
        <v/>
      </c>
      <c r="F2966" t="str">
        <f>IF(INPUT!N2961="","",INPUT!N2961)</f>
        <v/>
      </c>
      <c r="G2966" cm="1">
        <f t="array" ref="G2966">IFERROR(VLOOKUP(INPUT!M2961&amp;INPUT!N2961,CHOOSE({1,2},INPUT!$A$3:$A$5000&amp;INPUT!$C$3:$C$5000,INPUT!$F$3:$F$5000),2,FALSE),"")</f>
        <v>0</v>
      </c>
      <c r="H2966" cm="1">
        <f t="array" ref="H2966">IFERROR(VLOOKUP(INPUT!M2961&amp;INPUT!N2961,CHOOSE({1,2},INPUT!$A$3:$A$5000&amp;INPUT!$C$3:$C$5000,INPUT!$D$3:$D$5000),2,FALSE),"")</f>
        <v>0</v>
      </c>
      <c r="I2966" s="46" t="str">
        <f>IF(INPUT!P2961="","",INPUT!P2961)</f>
        <v/>
      </c>
      <c r="J2966" s="46" t="str">
        <f>IF(INPUT!Q2961="","",INPUT!Q2961)</f>
        <v/>
      </c>
      <c r="K2966" s="46" t="str">
        <f>IFERROR(IF(OR(INPUT!P2961="",INPUT!Q2961=""),"",INPUT!P2961-INPUT!Q2961),"")</f>
        <v/>
      </c>
      <c r="L2966" s="48" t="str">
        <f>IFERROR(IF(OR(INPUT!P2961="",INPUT!Q2961="",INPUT!P2961=0),"",(INPUT!P2961-INPUT!Q2961)/INPUT!P2961),"")</f>
        <v/>
      </c>
    </row>
    <row r="2967" spans="1:12" ht="18" hidden="1" customHeight="1" x14ac:dyDescent="0.2">
      <c r="A2967" s="11" t="str">
        <f>IF(INPUT!M2962="","",INPUT!M2962)</f>
        <v/>
      </c>
      <c r="B2967" s="11" t="str">
        <f>IF(INPUT!M2962="","",INPUT!M2962-WEEKDAY(INPUT!M2962,2)+1)</f>
        <v/>
      </c>
      <c r="C2967" s="20">
        <f>IFERROR(_xlfn.ISOWEEKNUM(INPUT!M2962),"")</f>
        <v>52</v>
      </c>
      <c r="D2967" s="20">
        <f>IFERROR(YEAR(INPUT!M2962),"")</f>
        <v>1900</v>
      </c>
      <c r="E2967" t="str">
        <f>IF(INPUT!O2962="","",INPUT!O2962)</f>
        <v/>
      </c>
      <c r="F2967" t="str">
        <f>IF(INPUT!N2962="","",INPUT!N2962)</f>
        <v/>
      </c>
      <c r="G2967" cm="1">
        <f t="array" ref="G2967">IFERROR(VLOOKUP(INPUT!M2962&amp;INPUT!N2962,CHOOSE({1,2},INPUT!$A$3:$A$5000&amp;INPUT!$C$3:$C$5000,INPUT!$F$3:$F$5000),2,FALSE),"")</f>
        <v>0</v>
      </c>
      <c r="H2967" cm="1">
        <f t="array" ref="H2967">IFERROR(VLOOKUP(INPUT!M2962&amp;INPUT!N2962,CHOOSE({1,2},INPUT!$A$3:$A$5000&amp;INPUT!$C$3:$C$5000,INPUT!$D$3:$D$5000),2,FALSE),"")</f>
        <v>0</v>
      </c>
      <c r="I2967" s="46" t="str">
        <f>IF(INPUT!P2962="","",INPUT!P2962)</f>
        <v/>
      </c>
      <c r="J2967" s="46" t="str">
        <f>IF(INPUT!Q2962="","",INPUT!Q2962)</f>
        <v/>
      </c>
      <c r="K2967" s="46" t="str">
        <f>IFERROR(IF(OR(INPUT!P2962="",INPUT!Q2962=""),"",INPUT!P2962-INPUT!Q2962),"")</f>
        <v/>
      </c>
      <c r="L2967" s="48" t="str">
        <f>IFERROR(IF(OR(INPUT!P2962="",INPUT!Q2962="",INPUT!P2962=0),"",(INPUT!P2962-INPUT!Q2962)/INPUT!P2962),"")</f>
        <v/>
      </c>
    </row>
    <row r="2968" spans="1:12" ht="18" hidden="1" customHeight="1" x14ac:dyDescent="0.2">
      <c r="A2968" s="11" t="str">
        <f>IF(INPUT!M2963="","",INPUT!M2963)</f>
        <v/>
      </c>
      <c r="B2968" s="11" t="str">
        <f>IF(INPUT!M2963="","",INPUT!M2963-WEEKDAY(INPUT!M2963,2)+1)</f>
        <v/>
      </c>
      <c r="C2968" s="20">
        <f>IFERROR(_xlfn.ISOWEEKNUM(INPUT!M2963),"")</f>
        <v>52</v>
      </c>
      <c r="D2968" s="20">
        <f>IFERROR(YEAR(INPUT!M2963),"")</f>
        <v>1900</v>
      </c>
      <c r="E2968" t="str">
        <f>IF(INPUT!O2963="","",INPUT!O2963)</f>
        <v/>
      </c>
      <c r="F2968" t="str">
        <f>IF(INPUT!N2963="","",INPUT!N2963)</f>
        <v/>
      </c>
      <c r="G2968" cm="1">
        <f t="array" ref="G2968">IFERROR(VLOOKUP(INPUT!M2963&amp;INPUT!N2963,CHOOSE({1,2},INPUT!$A$3:$A$5000&amp;INPUT!$C$3:$C$5000,INPUT!$F$3:$F$5000),2,FALSE),"")</f>
        <v>0</v>
      </c>
      <c r="H2968" cm="1">
        <f t="array" ref="H2968">IFERROR(VLOOKUP(INPUT!M2963&amp;INPUT!N2963,CHOOSE({1,2},INPUT!$A$3:$A$5000&amp;INPUT!$C$3:$C$5000,INPUT!$D$3:$D$5000),2,FALSE),"")</f>
        <v>0</v>
      </c>
      <c r="I2968" s="46" t="str">
        <f>IF(INPUT!P2963="","",INPUT!P2963)</f>
        <v/>
      </c>
      <c r="J2968" s="46" t="str">
        <f>IF(INPUT!Q2963="","",INPUT!Q2963)</f>
        <v/>
      </c>
      <c r="K2968" s="46" t="str">
        <f>IFERROR(IF(OR(INPUT!P2963="",INPUT!Q2963=""),"",INPUT!P2963-INPUT!Q2963),"")</f>
        <v/>
      </c>
      <c r="L2968" s="48" t="str">
        <f>IFERROR(IF(OR(INPUT!P2963="",INPUT!Q2963="",INPUT!P2963=0),"",(INPUT!P2963-INPUT!Q2963)/INPUT!P2963),"")</f>
        <v/>
      </c>
    </row>
    <row r="2969" spans="1:12" ht="18" hidden="1" customHeight="1" x14ac:dyDescent="0.2">
      <c r="A2969" s="11" t="str">
        <f>IF(INPUT!M2964="","",INPUT!M2964)</f>
        <v/>
      </c>
      <c r="B2969" s="11" t="str">
        <f>IF(INPUT!M2964="","",INPUT!M2964-WEEKDAY(INPUT!M2964,2)+1)</f>
        <v/>
      </c>
      <c r="C2969" s="20">
        <f>IFERROR(_xlfn.ISOWEEKNUM(INPUT!M2964),"")</f>
        <v>52</v>
      </c>
      <c r="D2969" s="20">
        <f>IFERROR(YEAR(INPUT!M2964),"")</f>
        <v>1900</v>
      </c>
      <c r="E2969" t="str">
        <f>IF(INPUT!O2964="","",INPUT!O2964)</f>
        <v/>
      </c>
      <c r="F2969" t="str">
        <f>IF(INPUT!N2964="","",INPUT!N2964)</f>
        <v/>
      </c>
      <c r="G2969" cm="1">
        <f t="array" ref="G2969">IFERROR(VLOOKUP(INPUT!M2964&amp;INPUT!N2964,CHOOSE({1,2},INPUT!$A$3:$A$5000&amp;INPUT!$C$3:$C$5000,INPUT!$F$3:$F$5000),2,FALSE),"")</f>
        <v>0</v>
      </c>
      <c r="H2969" cm="1">
        <f t="array" ref="H2969">IFERROR(VLOOKUP(INPUT!M2964&amp;INPUT!N2964,CHOOSE({1,2},INPUT!$A$3:$A$5000&amp;INPUT!$C$3:$C$5000,INPUT!$D$3:$D$5000),2,FALSE),"")</f>
        <v>0</v>
      </c>
      <c r="I2969" s="46" t="str">
        <f>IF(INPUT!P2964="","",INPUT!P2964)</f>
        <v/>
      </c>
      <c r="J2969" s="46" t="str">
        <f>IF(INPUT!Q2964="","",INPUT!Q2964)</f>
        <v/>
      </c>
      <c r="K2969" s="46" t="str">
        <f>IFERROR(IF(OR(INPUT!P2964="",INPUT!Q2964=""),"",INPUT!P2964-INPUT!Q2964),"")</f>
        <v/>
      </c>
      <c r="L2969" s="48" t="str">
        <f>IFERROR(IF(OR(INPUT!P2964="",INPUT!Q2964="",INPUT!P2964=0),"",(INPUT!P2964-INPUT!Q2964)/INPUT!P2964),"")</f>
        <v/>
      </c>
    </row>
    <row r="2970" spans="1:12" ht="18" hidden="1" customHeight="1" x14ac:dyDescent="0.2">
      <c r="A2970" s="11" t="str">
        <f>IF(INPUT!M2965="","",INPUT!M2965)</f>
        <v/>
      </c>
      <c r="B2970" s="11" t="str">
        <f>IF(INPUT!M2965="","",INPUT!M2965-WEEKDAY(INPUT!M2965,2)+1)</f>
        <v/>
      </c>
      <c r="C2970" s="20">
        <f>IFERROR(_xlfn.ISOWEEKNUM(INPUT!M2965),"")</f>
        <v>52</v>
      </c>
      <c r="D2970" s="20">
        <f>IFERROR(YEAR(INPUT!M2965),"")</f>
        <v>1900</v>
      </c>
      <c r="E2970" t="str">
        <f>IF(INPUT!O2965="","",INPUT!O2965)</f>
        <v/>
      </c>
      <c r="F2970" t="str">
        <f>IF(INPUT!N2965="","",INPUT!N2965)</f>
        <v/>
      </c>
      <c r="G2970" cm="1">
        <f t="array" ref="G2970">IFERROR(VLOOKUP(INPUT!M2965&amp;INPUT!N2965,CHOOSE({1,2},INPUT!$A$3:$A$5000&amp;INPUT!$C$3:$C$5000,INPUT!$F$3:$F$5000),2,FALSE),"")</f>
        <v>0</v>
      </c>
      <c r="H2970" cm="1">
        <f t="array" ref="H2970">IFERROR(VLOOKUP(INPUT!M2965&amp;INPUT!N2965,CHOOSE({1,2},INPUT!$A$3:$A$5000&amp;INPUT!$C$3:$C$5000,INPUT!$D$3:$D$5000),2,FALSE),"")</f>
        <v>0</v>
      </c>
      <c r="I2970" s="46" t="str">
        <f>IF(INPUT!P2965="","",INPUT!P2965)</f>
        <v/>
      </c>
      <c r="J2970" s="46" t="str">
        <f>IF(INPUT!Q2965="","",INPUT!Q2965)</f>
        <v/>
      </c>
      <c r="K2970" s="46" t="str">
        <f>IFERROR(IF(OR(INPUT!P2965="",INPUT!Q2965=""),"",INPUT!P2965-INPUT!Q2965),"")</f>
        <v/>
      </c>
      <c r="L2970" s="48" t="str">
        <f>IFERROR(IF(OR(INPUT!P2965="",INPUT!Q2965="",INPUT!P2965=0),"",(INPUT!P2965-INPUT!Q2965)/INPUT!P2965),"")</f>
        <v/>
      </c>
    </row>
    <row r="2971" spans="1:12" ht="18" hidden="1" customHeight="1" x14ac:dyDescent="0.2">
      <c r="A2971" s="11" t="str">
        <f>IF(INPUT!M2966="","",INPUT!M2966)</f>
        <v/>
      </c>
      <c r="B2971" s="11" t="str">
        <f>IF(INPUT!M2966="","",INPUT!M2966-WEEKDAY(INPUT!M2966,2)+1)</f>
        <v/>
      </c>
      <c r="C2971" s="20">
        <f>IFERROR(_xlfn.ISOWEEKNUM(INPUT!M2966),"")</f>
        <v>52</v>
      </c>
      <c r="D2971" s="20">
        <f>IFERROR(YEAR(INPUT!M2966),"")</f>
        <v>1900</v>
      </c>
      <c r="E2971" t="str">
        <f>IF(INPUT!O2966="","",INPUT!O2966)</f>
        <v/>
      </c>
      <c r="F2971" t="str">
        <f>IF(INPUT!N2966="","",INPUT!N2966)</f>
        <v/>
      </c>
      <c r="G2971" cm="1">
        <f t="array" ref="G2971">IFERROR(VLOOKUP(INPUT!M2966&amp;INPUT!N2966,CHOOSE({1,2},INPUT!$A$3:$A$5000&amp;INPUT!$C$3:$C$5000,INPUT!$F$3:$F$5000),2,FALSE),"")</f>
        <v>0</v>
      </c>
      <c r="H2971" cm="1">
        <f t="array" ref="H2971">IFERROR(VLOOKUP(INPUT!M2966&amp;INPUT!N2966,CHOOSE({1,2},INPUT!$A$3:$A$5000&amp;INPUT!$C$3:$C$5000,INPUT!$D$3:$D$5000),2,FALSE),"")</f>
        <v>0</v>
      </c>
      <c r="I2971" s="46" t="str">
        <f>IF(INPUT!P2966="","",INPUT!P2966)</f>
        <v/>
      </c>
      <c r="J2971" s="46" t="str">
        <f>IF(INPUT!Q2966="","",INPUT!Q2966)</f>
        <v/>
      </c>
      <c r="K2971" s="46" t="str">
        <f>IFERROR(IF(OR(INPUT!P2966="",INPUT!Q2966=""),"",INPUT!P2966-INPUT!Q2966),"")</f>
        <v/>
      </c>
      <c r="L2971" s="48" t="str">
        <f>IFERROR(IF(OR(INPUT!P2966="",INPUT!Q2966="",INPUT!P2966=0),"",(INPUT!P2966-INPUT!Q2966)/INPUT!P2966),"")</f>
        <v/>
      </c>
    </row>
    <row r="2972" spans="1:12" ht="18" hidden="1" customHeight="1" x14ac:dyDescent="0.2">
      <c r="A2972" s="11" t="str">
        <f>IF(INPUT!M2967="","",INPUT!M2967)</f>
        <v/>
      </c>
      <c r="B2972" s="11" t="str">
        <f>IF(INPUT!M2967="","",INPUT!M2967-WEEKDAY(INPUT!M2967,2)+1)</f>
        <v/>
      </c>
      <c r="C2972" s="20">
        <f>IFERROR(_xlfn.ISOWEEKNUM(INPUT!M2967),"")</f>
        <v>52</v>
      </c>
      <c r="D2972" s="20">
        <f>IFERROR(YEAR(INPUT!M2967),"")</f>
        <v>1900</v>
      </c>
      <c r="E2972" t="str">
        <f>IF(INPUT!O2967="","",INPUT!O2967)</f>
        <v/>
      </c>
      <c r="F2972" t="str">
        <f>IF(INPUT!N2967="","",INPUT!N2967)</f>
        <v/>
      </c>
      <c r="G2972" cm="1">
        <f t="array" ref="G2972">IFERROR(VLOOKUP(INPUT!M2967&amp;INPUT!N2967,CHOOSE({1,2},INPUT!$A$3:$A$5000&amp;INPUT!$C$3:$C$5000,INPUT!$F$3:$F$5000),2,FALSE),"")</f>
        <v>0</v>
      </c>
      <c r="H2972" cm="1">
        <f t="array" ref="H2972">IFERROR(VLOOKUP(INPUT!M2967&amp;INPUT!N2967,CHOOSE({1,2},INPUT!$A$3:$A$5000&amp;INPUT!$C$3:$C$5000,INPUT!$D$3:$D$5000),2,FALSE),"")</f>
        <v>0</v>
      </c>
      <c r="I2972" s="46" t="str">
        <f>IF(INPUT!P2967="","",INPUT!P2967)</f>
        <v/>
      </c>
      <c r="J2972" s="46" t="str">
        <f>IF(INPUT!Q2967="","",INPUT!Q2967)</f>
        <v/>
      </c>
      <c r="K2972" s="46" t="str">
        <f>IFERROR(IF(OR(INPUT!P2967="",INPUT!Q2967=""),"",INPUT!P2967-INPUT!Q2967),"")</f>
        <v/>
      </c>
      <c r="L2972" s="48" t="str">
        <f>IFERROR(IF(OR(INPUT!P2967="",INPUT!Q2967="",INPUT!P2967=0),"",(INPUT!P2967-INPUT!Q2967)/INPUT!P2967),"")</f>
        <v/>
      </c>
    </row>
    <row r="2973" spans="1:12" ht="18" hidden="1" customHeight="1" x14ac:dyDescent="0.2">
      <c r="A2973" s="11" t="str">
        <f>IF(INPUT!M2968="","",INPUT!M2968)</f>
        <v/>
      </c>
      <c r="B2973" s="11" t="str">
        <f>IF(INPUT!M2968="","",INPUT!M2968-WEEKDAY(INPUT!M2968,2)+1)</f>
        <v/>
      </c>
      <c r="C2973" s="20">
        <f>IFERROR(_xlfn.ISOWEEKNUM(INPUT!M2968),"")</f>
        <v>52</v>
      </c>
      <c r="D2973" s="20">
        <f>IFERROR(YEAR(INPUT!M2968),"")</f>
        <v>1900</v>
      </c>
      <c r="E2973" t="str">
        <f>IF(INPUT!O2968="","",INPUT!O2968)</f>
        <v/>
      </c>
      <c r="F2973" t="str">
        <f>IF(INPUT!N2968="","",INPUT!N2968)</f>
        <v/>
      </c>
      <c r="G2973" cm="1">
        <f t="array" ref="G2973">IFERROR(VLOOKUP(INPUT!M2968&amp;INPUT!N2968,CHOOSE({1,2},INPUT!$A$3:$A$5000&amp;INPUT!$C$3:$C$5000,INPUT!$F$3:$F$5000),2,FALSE),"")</f>
        <v>0</v>
      </c>
      <c r="H2973" cm="1">
        <f t="array" ref="H2973">IFERROR(VLOOKUP(INPUT!M2968&amp;INPUT!N2968,CHOOSE({1,2},INPUT!$A$3:$A$5000&amp;INPUT!$C$3:$C$5000,INPUT!$D$3:$D$5000),2,FALSE),"")</f>
        <v>0</v>
      </c>
      <c r="I2973" s="46" t="str">
        <f>IF(INPUT!P2968="","",INPUT!P2968)</f>
        <v/>
      </c>
      <c r="J2973" s="46" t="str">
        <f>IF(INPUT!Q2968="","",INPUT!Q2968)</f>
        <v/>
      </c>
      <c r="K2973" s="46" t="str">
        <f>IFERROR(IF(OR(INPUT!P2968="",INPUT!Q2968=""),"",INPUT!P2968-INPUT!Q2968),"")</f>
        <v/>
      </c>
      <c r="L2973" s="48" t="str">
        <f>IFERROR(IF(OR(INPUT!P2968="",INPUT!Q2968="",INPUT!P2968=0),"",(INPUT!P2968-INPUT!Q2968)/INPUT!P2968),"")</f>
        <v/>
      </c>
    </row>
    <row r="2974" spans="1:12" ht="18" hidden="1" customHeight="1" x14ac:dyDescent="0.2">
      <c r="A2974" s="11" t="str">
        <f>IF(INPUT!M2969="","",INPUT!M2969)</f>
        <v/>
      </c>
      <c r="B2974" s="11" t="str">
        <f>IF(INPUT!M2969="","",INPUT!M2969-WEEKDAY(INPUT!M2969,2)+1)</f>
        <v/>
      </c>
      <c r="C2974" s="20">
        <f>IFERROR(_xlfn.ISOWEEKNUM(INPUT!M2969),"")</f>
        <v>52</v>
      </c>
      <c r="D2974" s="20">
        <f>IFERROR(YEAR(INPUT!M2969),"")</f>
        <v>1900</v>
      </c>
      <c r="E2974" t="str">
        <f>IF(INPUT!O2969="","",INPUT!O2969)</f>
        <v/>
      </c>
      <c r="F2974" t="str">
        <f>IF(INPUT!N2969="","",INPUT!N2969)</f>
        <v/>
      </c>
      <c r="G2974" cm="1">
        <f t="array" ref="G2974">IFERROR(VLOOKUP(INPUT!M2969&amp;INPUT!N2969,CHOOSE({1,2},INPUT!$A$3:$A$5000&amp;INPUT!$C$3:$C$5000,INPUT!$F$3:$F$5000),2,FALSE),"")</f>
        <v>0</v>
      </c>
      <c r="H2974" cm="1">
        <f t="array" ref="H2974">IFERROR(VLOOKUP(INPUT!M2969&amp;INPUT!N2969,CHOOSE({1,2},INPUT!$A$3:$A$5000&amp;INPUT!$C$3:$C$5000,INPUT!$D$3:$D$5000),2,FALSE),"")</f>
        <v>0</v>
      </c>
      <c r="I2974" s="46" t="str">
        <f>IF(INPUT!P2969="","",INPUT!P2969)</f>
        <v/>
      </c>
      <c r="J2974" s="46" t="str">
        <f>IF(INPUT!Q2969="","",INPUT!Q2969)</f>
        <v/>
      </c>
      <c r="K2974" s="46" t="str">
        <f>IFERROR(IF(OR(INPUT!P2969="",INPUT!Q2969=""),"",INPUT!P2969-INPUT!Q2969),"")</f>
        <v/>
      </c>
      <c r="L2974" s="48" t="str">
        <f>IFERROR(IF(OR(INPUT!P2969="",INPUT!Q2969="",INPUT!P2969=0),"",(INPUT!P2969-INPUT!Q2969)/INPUT!P2969),"")</f>
        <v/>
      </c>
    </row>
    <row r="2975" spans="1:12" ht="18" hidden="1" customHeight="1" x14ac:dyDescent="0.2">
      <c r="A2975" s="11" t="str">
        <f>IF(INPUT!M2970="","",INPUT!M2970)</f>
        <v/>
      </c>
      <c r="B2975" s="11" t="str">
        <f>IF(INPUT!M2970="","",INPUT!M2970-WEEKDAY(INPUT!M2970,2)+1)</f>
        <v/>
      </c>
      <c r="C2975" s="20">
        <f>IFERROR(_xlfn.ISOWEEKNUM(INPUT!M2970),"")</f>
        <v>52</v>
      </c>
      <c r="D2975" s="20">
        <f>IFERROR(YEAR(INPUT!M2970),"")</f>
        <v>1900</v>
      </c>
      <c r="E2975" t="str">
        <f>IF(INPUT!O2970="","",INPUT!O2970)</f>
        <v/>
      </c>
      <c r="F2975" t="str">
        <f>IF(INPUT!N2970="","",INPUT!N2970)</f>
        <v/>
      </c>
      <c r="G2975" cm="1">
        <f t="array" ref="G2975">IFERROR(VLOOKUP(INPUT!M2970&amp;INPUT!N2970,CHOOSE({1,2},INPUT!$A$3:$A$5000&amp;INPUT!$C$3:$C$5000,INPUT!$F$3:$F$5000),2,FALSE),"")</f>
        <v>0</v>
      </c>
      <c r="H2975" cm="1">
        <f t="array" ref="H2975">IFERROR(VLOOKUP(INPUT!M2970&amp;INPUT!N2970,CHOOSE({1,2},INPUT!$A$3:$A$5000&amp;INPUT!$C$3:$C$5000,INPUT!$D$3:$D$5000),2,FALSE),"")</f>
        <v>0</v>
      </c>
      <c r="I2975" s="46" t="str">
        <f>IF(INPUT!P2970="","",INPUT!P2970)</f>
        <v/>
      </c>
      <c r="J2975" s="46" t="str">
        <f>IF(INPUT!Q2970="","",INPUT!Q2970)</f>
        <v/>
      </c>
      <c r="K2975" s="46" t="str">
        <f>IFERROR(IF(OR(INPUT!P2970="",INPUT!Q2970=""),"",INPUT!P2970-INPUT!Q2970),"")</f>
        <v/>
      </c>
      <c r="L2975" s="48" t="str">
        <f>IFERROR(IF(OR(INPUT!P2970="",INPUT!Q2970="",INPUT!P2970=0),"",(INPUT!P2970-INPUT!Q2970)/INPUT!P2970),"")</f>
        <v/>
      </c>
    </row>
    <row r="2976" spans="1:12" ht="18" hidden="1" customHeight="1" x14ac:dyDescent="0.2">
      <c r="A2976" s="11" t="str">
        <f>IF(INPUT!M2971="","",INPUT!M2971)</f>
        <v/>
      </c>
      <c r="B2976" s="11" t="str">
        <f>IF(INPUT!M2971="","",INPUT!M2971-WEEKDAY(INPUT!M2971,2)+1)</f>
        <v/>
      </c>
      <c r="C2976" s="20">
        <f>IFERROR(_xlfn.ISOWEEKNUM(INPUT!M2971),"")</f>
        <v>52</v>
      </c>
      <c r="D2976" s="20">
        <f>IFERROR(YEAR(INPUT!M2971),"")</f>
        <v>1900</v>
      </c>
      <c r="E2976" t="str">
        <f>IF(INPUT!O2971="","",INPUT!O2971)</f>
        <v/>
      </c>
      <c r="F2976" t="str">
        <f>IF(INPUT!N2971="","",INPUT!N2971)</f>
        <v/>
      </c>
      <c r="G2976" cm="1">
        <f t="array" ref="G2976">IFERROR(VLOOKUP(INPUT!M2971&amp;INPUT!N2971,CHOOSE({1,2},INPUT!$A$3:$A$5000&amp;INPUT!$C$3:$C$5000,INPUT!$F$3:$F$5000),2,FALSE),"")</f>
        <v>0</v>
      </c>
      <c r="H2976" cm="1">
        <f t="array" ref="H2976">IFERROR(VLOOKUP(INPUT!M2971&amp;INPUT!N2971,CHOOSE({1,2},INPUT!$A$3:$A$5000&amp;INPUT!$C$3:$C$5000,INPUT!$D$3:$D$5000),2,FALSE),"")</f>
        <v>0</v>
      </c>
      <c r="I2976" s="46" t="str">
        <f>IF(INPUT!P2971="","",INPUT!P2971)</f>
        <v/>
      </c>
      <c r="J2976" s="46" t="str">
        <f>IF(INPUT!Q2971="","",INPUT!Q2971)</f>
        <v/>
      </c>
      <c r="K2976" s="46" t="str">
        <f>IFERROR(IF(OR(INPUT!P2971="",INPUT!Q2971=""),"",INPUT!P2971-INPUT!Q2971),"")</f>
        <v/>
      </c>
      <c r="L2976" s="48" t="str">
        <f>IFERROR(IF(OR(INPUT!P2971="",INPUT!Q2971="",INPUT!P2971=0),"",(INPUT!P2971-INPUT!Q2971)/INPUT!P2971),"")</f>
        <v/>
      </c>
    </row>
    <row r="2977" spans="1:12" ht="18" hidden="1" customHeight="1" x14ac:dyDescent="0.2">
      <c r="A2977" s="11" t="str">
        <f>IF(INPUT!M2972="","",INPUT!M2972)</f>
        <v/>
      </c>
      <c r="B2977" s="11" t="str">
        <f>IF(INPUT!M2972="","",INPUT!M2972-WEEKDAY(INPUT!M2972,2)+1)</f>
        <v/>
      </c>
      <c r="C2977" s="20">
        <f>IFERROR(_xlfn.ISOWEEKNUM(INPUT!M2972),"")</f>
        <v>52</v>
      </c>
      <c r="D2977" s="20">
        <f>IFERROR(YEAR(INPUT!M2972),"")</f>
        <v>1900</v>
      </c>
      <c r="E2977" t="str">
        <f>IF(INPUT!O2972="","",INPUT!O2972)</f>
        <v/>
      </c>
      <c r="F2977" t="str">
        <f>IF(INPUT!N2972="","",INPUT!N2972)</f>
        <v/>
      </c>
      <c r="G2977" cm="1">
        <f t="array" ref="G2977">IFERROR(VLOOKUP(INPUT!M2972&amp;INPUT!N2972,CHOOSE({1,2},INPUT!$A$3:$A$5000&amp;INPUT!$C$3:$C$5000,INPUT!$F$3:$F$5000),2,FALSE),"")</f>
        <v>0</v>
      </c>
      <c r="H2977" cm="1">
        <f t="array" ref="H2977">IFERROR(VLOOKUP(INPUT!M2972&amp;INPUT!N2972,CHOOSE({1,2},INPUT!$A$3:$A$5000&amp;INPUT!$C$3:$C$5000,INPUT!$D$3:$D$5000),2,FALSE),"")</f>
        <v>0</v>
      </c>
      <c r="I2977" s="46" t="str">
        <f>IF(INPUT!P2972="","",INPUT!P2972)</f>
        <v/>
      </c>
      <c r="J2977" s="46" t="str">
        <f>IF(INPUT!Q2972="","",INPUT!Q2972)</f>
        <v/>
      </c>
      <c r="K2977" s="46" t="str">
        <f>IFERROR(IF(OR(INPUT!P2972="",INPUT!Q2972=""),"",INPUT!P2972-INPUT!Q2972),"")</f>
        <v/>
      </c>
      <c r="L2977" s="48" t="str">
        <f>IFERROR(IF(OR(INPUT!P2972="",INPUT!Q2972="",INPUT!P2972=0),"",(INPUT!P2972-INPUT!Q2972)/INPUT!P2972),"")</f>
        <v/>
      </c>
    </row>
    <row r="2978" spans="1:12" ht="18" hidden="1" customHeight="1" x14ac:dyDescent="0.2">
      <c r="A2978" s="11" t="str">
        <f>IF(INPUT!M2973="","",INPUT!M2973)</f>
        <v/>
      </c>
      <c r="B2978" s="11" t="str">
        <f>IF(INPUT!M2973="","",INPUT!M2973-WEEKDAY(INPUT!M2973,2)+1)</f>
        <v/>
      </c>
      <c r="C2978" s="20">
        <f>IFERROR(_xlfn.ISOWEEKNUM(INPUT!M2973),"")</f>
        <v>52</v>
      </c>
      <c r="D2978" s="20">
        <f>IFERROR(YEAR(INPUT!M2973),"")</f>
        <v>1900</v>
      </c>
      <c r="E2978" t="str">
        <f>IF(INPUT!O2973="","",INPUT!O2973)</f>
        <v/>
      </c>
      <c r="F2978" t="str">
        <f>IF(INPUT!N2973="","",INPUT!N2973)</f>
        <v/>
      </c>
      <c r="G2978" cm="1">
        <f t="array" ref="G2978">IFERROR(VLOOKUP(INPUT!M2973&amp;INPUT!N2973,CHOOSE({1,2},INPUT!$A$3:$A$5000&amp;INPUT!$C$3:$C$5000,INPUT!$F$3:$F$5000),2,FALSE),"")</f>
        <v>0</v>
      </c>
      <c r="H2978" cm="1">
        <f t="array" ref="H2978">IFERROR(VLOOKUP(INPUT!M2973&amp;INPUT!N2973,CHOOSE({1,2},INPUT!$A$3:$A$5000&amp;INPUT!$C$3:$C$5000,INPUT!$D$3:$D$5000),2,FALSE),"")</f>
        <v>0</v>
      </c>
      <c r="I2978" s="46" t="str">
        <f>IF(INPUT!P2973="","",INPUT!P2973)</f>
        <v/>
      </c>
      <c r="J2978" s="46" t="str">
        <f>IF(INPUT!Q2973="","",INPUT!Q2973)</f>
        <v/>
      </c>
      <c r="K2978" s="46" t="str">
        <f>IFERROR(IF(OR(INPUT!P2973="",INPUT!Q2973=""),"",INPUT!P2973-INPUT!Q2973),"")</f>
        <v/>
      </c>
      <c r="L2978" s="48" t="str">
        <f>IFERROR(IF(OR(INPUT!P2973="",INPUT!Q2973="",INPUT!P2973=0),"",(INPUT!P2973-INPUT!Q2973)/INPUT!P2973),"")</f>
        <v/>
      </c>
    </row>
    <row r="2979" spans="1:12" ht="18" hidden="1" customHeight="1" x14ac:dyDescent="0.2">
      <c r="A2979" s="11" t="str">
        <f>IF(INPUT!M2974="","",INPUT!M2974)</f>
        <v/>
      </c>
      <c r="B2979" s="11" t="str">
        <f>IF(INPUT!M2974="","",INPUT!M2974-WEEKDAY(INPUT!M2974,2)+1)</f>
        <v/>
      </c>
      <c r="C2979" s="20">
        <f>IFERROR(_xlfn.ISOWEEKNUM(INPUT!M2974),"")</f>
        <v>52</v>
      </c>
      <c r="D2979" s="20">
        <f>IFERROR(YEAR(INPUT!M2974),"")</f>
        <v>1900</v>
      </c>
      <c r="E2979" t="str">
        <f>IF(INPUT!O2974="","",INPUT!O2974)</f>
        <v/>
      </c>
      <c r="F2979" t="str">
        <f>IF(INPUT!N2974="","",INPUT!N2974)</f>
        <v/>
      </c>
      <c r="G2979" cm="1">
        <f t="array" ref="G2979">IFERROR(VLOOKUP(INPUT!M2974&amp;INPUT!N2974,CHOOSE({1,2},INPUT!$A$3:$A$5000&amp;INPUT!$C$3:$C$5000,INPUT!$F$3:$F$5000),2,FALSE),"")</f>
        <v>0</v>
      </c>
      <c r="H2979" cm="1">
        <f t="array" ref="H2979">IFERROR(VLOOKUP(INPUT!M2974&amp;INPUT!N2974,CHOOSE({1,2},INPUT!$A$3:$A$5000&amp;INPUT!$C$3:$C$5000,INPUT!$D$3:$D$5000),2,FALSE),"")</f>
        <v>0</v>
      </c>
      <c r="I2979" s="46" t="str">
        <f>IF(INPUT!P2974="","",INPUT!P2974)</f>
        <v/>
      </c>
      <c r="J2979" s="46" t="str">
        <f>IF(INPUT!Q2974="","",INPUT!Q2974)</f>
        <v/>
      </c>
      <c r="K2979" s="46" t="str">
        <f>IFERROR(IF(OR(INPUT!P2974="",INPUT!Q2974=""),"",INPUT!P2974-INPUT!Q2974),"")</f>
        <v/>
      </c>
      <c r="L2979" s="48" t="str">
        <f>IFERROR(IF(OR(INPUT!P2974="",INPUT!Q2974="",INPUT!P2974=0),"",(INPUT!P2974-INPUT!Q2974)/INPUT!P2974),"")</f>
        <v/>
      </c>
    </row>
    <row r="2980" spans="1:12" ht="18" hidden="1" customHeight="1" x14ac:dyDescent="0.2">
      <c r="A2980" s="11" t="str">
        <f>IF(INPUT!M2975="","",INPUT!M2975)</f>
        <v/>
      </c>
      <c r="B2980" s="11" t="str">
        <f>IF(INPUT!M2975="","",INPUT!M2975-WEEKDAY(INPUT!M2975,2)+1)</f>
        <v/>
      </c>
      <c r="C2980" s="20">
        <f>IFERROR(_xlfn.ISOWEEKNUM(INPUT!M2975),"")</f>
        <v>52</v>
      </c>
      <c r="D2980" s="20">
        <f>IFERROR(YEAR(INPUT!M2975),"")</f>
        <v>1900</v>
      </c>
      <c r="E2980" t="str">
        <f>IF(INPUT!O2975="","",INPUT!O2975)</f>
        <v/>
      </c>
      <c r="F2980" t="str">
        <f>IF(INPUT!N2975="","",INPUT!N2975)</f>
        <v/>
      </c>
      <c r="G2980" cm="1">
        <f t="array" ref="G2980">IFERROR(VLOOKUP(INPUT!M2975&amp;INPUT!N2975,CHOOSE({1,2},INPUT!$A$3:$A$5000&amp;INPUT!$C$3:$C$5000,INPUT!$F$3:$F$5000),2,FALSE),"")</f>
        <v>0</v>
      </c>
      <c r="H2980" cm="1">
        <f t="array" ref="H2980">IFERROR(VLOOKUP(INPUT!M2975&amp;INPUT!N2975,CHOOSE({1,2},INPUT!$A$3:$A$5000&amp;INPUT!$C$3:$C$5000,INPUT!$D$3:$D$5000),2,FALSE),"")</f>
        <v>0</v>
      </c>
      <c r="I2980" s="46" t="str">
        <f>IF(INPUT!P2975="","",INPUT!P2975)</f>
        <v/>
      </c>
      <c r="J2980" s="46" t="str">
        <f>IF(INPUT!Q2975="","",INPUT!Q2975)</f>
        <v/>
      </c>
      <c r="K2980" s="46" t="str">
        <f>IFERROR(IF(OR(INPUT!P2975="",INPUT!Q2975=""),"",INPUT!P2975-INPUT!Q2975),"")</f>
        <v/>
      </c>
      <c r="L2980" s="48" t="str">
        <f>IFERROR(IF(OR(INPUT!P2975="",INPUT!Q2975="",INPUT!P2975=0),"",(INPUT!P2975-INPUT!Q2975)/INPUT!P2975),"")</f>
        <v/>
      </c>
    </row>
    <row r="2981" spans="1:12" ht="18" hidden="1" customHeight="1" x14ac:dyDescent="0.2">
      <c r="A2981" s="11" t="str">
        <f>IF(INPUT!M2976="","",INPUT!M2976)</f>
        <v/>
      </c>
      <c r="B2981" s="11" t="str">
        <f>IF(INPUT!M2976="","",INPUT!M2976-WEEKDAY(INPUT!M2976,2)+1)</f>
        <v/>
      </c>
      <c r="C2981" s="20">
        <f>IFERROR(_xlfn.ISOWEEKNUM(INPUT!M2976),"")</f>
        <v>52</v>
      </c>
      <c r="D2981" s="20">
        <f>IFERROR(YEAR(INPUT!M2976),"")</f>
        <v>1900</v>
      </c>
      <c r="E2981" t="str">
        <f>IF(INPUT!O2976="","",INPUT!O2976)</f>
        <v/>
      </c>
      <c r="F2981" t="str">
        <f>IF(INPUT!N2976="","",INPUT!N2976)</f>
        <v/>
      </c>
      <c r="G2981" cm="1">
        <f t="array" ref="G2981">IFERROR(VLOOKUP(INPUT!M2976&amp;INPUT!N2976,CHOOSE({1,2},INPUT!$A$3:$A$5000&amp;INPUT!$C$3:$C$5000,INPUT!$F$3:$F$5000),2,FALSE),"")</f>
        <v>0</v>
      </c>
      <c r="H2981" cm="1">
        <f t="array" ref="H2981">IFERROR(VLOOKUP(INPUT!M2976&amp;INPUT!N2976,CHOOSE({1,2},INPUT!$A$3:$A$5000&amp;INPUT!$C$3:$C$5000,INPUT!$D$3:$D$5000),2,FALSE),"")</f>
        <v>0</v>
      </c>
      <c r="I2981" s="46" t="str">
        <f>IF(INPUT!P2976="","",INPUT!P2976)</f>
        <v/>
      </c>
      <c r="J2981" s="46" t="str">
        <f>IF(INPUT!Q2976="","",INPUT!Q2976)</f>
        <v/>
      </c>
      <c r="K2981" s="46" t="str">
        <f>IFERROR(IF(OR(INPUT!P2976="",INPUT!Q2976=""),"",INPUT!P2976-INPUT!Q2976),"")</f>
        <v/>
      </c>
      <c r="L2981" s="48" t="str">
        <f>IFERROR(IF(OR(INPUT!P2976="",INPUT!Q2976="",INPUT!P2976=0),"",(INPUT!P2976-INPUT!Q2976)/INPUT!P2976),"")</f>
        <v/>
      </c>
    </row>
    <row r="2982" spans="1:12" ht="18" hidden="1" customHeight="1" x14ac:dyDescent="0.2">
      <c r="A2982" s="11" t="str">
        <f>IF(INPUT!M2977="","",INPUT!M2977)</f>
        <v/>
      </c>
      <c r="B2982" s="11" t="str">
        <f>IF(INPUT!M2977="","",INPUT!M2977-WEEKDAY(INPUT!M2977,2)+1)</f>
        <v/>
      </c>
      <c r="C2982" s="20">
        <f>IFERROR(_xlfn.ISOWEEKNUM(INPUT!M2977),"")</f>
        <v>52</v>
      </c>
      <c r="D2982" s="20">
        <f>IFERROR(YEAR(INPUT!M2977),"")</f>
        <v>1900</v>
      </c>
      <c r="E2982" t="str">
        <f>IF(INPUT!O2977="","",INPUT!O2977)</f>
        <v/>
      </c>
      <c r="F2982" t="str">
        <f>IF(INPUT!N2977="","",INPUT!N2977)</f>
        <v/>
      </c>
      <c r="G2982" cm="1">
        <f t="array" ref="G2982">IFERROR(VLOOKUP(INPUT!M2977&amp;INPUT!N2977,CHOOSE({1,2},INPUT!$A$3:$A$5000&amp;INPUT!$C$3:$C$5000,INPUT!$F$3:$F$5000),2,FALSE),"")</f>
        <v>0</v>
      </c>
      <c r="H2982" cm="1">
        <f t="array" ref="H2982">IFERROR(VLOOKUP(INPUT!M2977&amp;INPUT!N2977,CHOOSE({1,2},INPUT!$A$3:$A$5000&amp;INPUT!$C$3:$C$5000,INPUT!$D$3:$D$5000),2,FALSE),"")</f>
        <v>0</v>
      </c>
      <c r="I2982" s="46" t="str">
        <f>IF(INPUT!P2977="","",INPUT!P2977)</f>
        <v/>
      </c>
      <c r="J2982" s="46" t="str">
        <f>IF(INPUT!Q2977="","",INPUT!Q2977)</f>
        <v/>
      </c>
      <c r="K2982" s="46" t="str">
        <f>IFERROR(IF(OR(INPUT!P2977="",INPUT!Q2977=""),"",INPUT!P2977-INPUT!Q2977),"")</f>
        <v/>
      </c>
      <c r="L2982" s="48" t="str">
        <f>IFERROR(IF(OR(INPUT!P2977="",INPUT!Q2977="",INPUT!P2977=0),"",(INPUT!P2977-INPUT!Q2977)/INPUT!P2977),"")</f>
        <v/>
      </c>
    </row>
    <row r="2983" spans="1:12" ht="18" hidden="1" customHeight="1" x14ac:dyDescent="0.2">
      <c r="A2983" s="11" t="str">
        <f>IF(INPUT!M2978="","",INPUT!M2978)</f>
        <v/>
      </c>
      <c r="B2983" s="11" t="str">
        <f>IF(INPUT!M2978="","",INPUT!M2978-WEEKDAY(INPUT!M2978,2)+1)</f>
        <v/>
      </c>
      <c r="C2983" s="20">
        <f>IFERROR(_xlfn.ISOWEEKNUM(INPUT!M2978),"")</f>
        <v>52</v>
      </c>
      <c r="D2983" s="20">
        <f>IFERROR(YEAR(INPUT!M2978),"")</f>
        <v>1900</v>
      </c>
      <c r="E2983" t="str">
        <f>IF(INPUT!O2978="","",INPUT!O2978)</f>
        <v/>
      </c>
      <c r="F2983" t="str">
        <f>IF(INPUT!N2978="","",INPUT!N2978)</f>
        <v/>
      </c>
      <c r="G2983" cm="1">
        <f t="array" ref="G2983">IFERROR(VLOOKUP(INPUT!M2978&amp;INPUT!N2978,CHOOSE({1,2},INPUT!$A$3:$A$5000&amp;INPUT!$C$3:$C$5000,INPUT!$F$3:$F$5000),2,FALSE),"")</f>
        <v>0</v>
      </c>
      <c r="H2983" cm="1">
        <f t="array" ref="H2983">IFERROR(VLOOKUP(INPUT!M2978&amp;INPUT!N2978,CHOOSE({1,2},INPUT!$A$3:$A$5000&amp;INPUT!$C$3:$C$5000,INPUT!$D$3:$D$5000),2,FALSE),"")</f>
        <v>0</v>
      </c>
      <c r="I2983" s="46" t="str">
        <f>IF(INPUT!P2978="","",INPUT!P2978)</f>
        <v/>
      </c>
      <c r="J2983" s="46" t="str">
        <f>IF(INPUT!Q2978="","",INPUT!Q2978)</f>
        <v/>
      </c>
      <c r="K2983" s="46" t="str">
        <f>IFERROR(IF(OR(INPUT!P2978="",INPUT!Q2978=""),"",INPUT!P2978-INPUT!Q2978),"")</f>
        <v/>
      </c>
      <c r="L2983" s="48" t="str">
        <f>IFERROR(IF(OR(INPUT!P2978="",INPUT!Q2978="",INPUT!P2978=0),"",(INPUT!P2978-INPUT!Q2978)/INPUT!P2978),"")</f>
        <v/>
      </c>
    </row>
    <row r="2984" spans="1:12" ht="18" hidden="1" customHeight="1" x14ac:dyDescent="0.2">
      <c r="A2984" s="11" t="str">
        <f>IF(INPUT!M2979="","",INPUT!M2979)</f>
        <v/>
      </c>
      <c r="B2984" s="11" t="str">
        <f>IF(INPUT!M2979="","",INPUT!M2979-WEEKDAY(INPUT!M2979,2)+1)</f>
        <v/>
      </c>
      <c r="C2984" s="20">
        <f>IFERROR(_xlfn.ISOWEEKNUM(INPUT!M2979),"")</f>
        <v>52</v>
      </c>
      <c r="D2984" s="20">
        <f>IFERROR(YEAR(INPUT!M2979),"")</f>
        <v>1900</v>
      </c>
      <c r="E2984" t="str">
        <f>IF(INPUT!O2979="","",INPUT!O2979)</f>
        <v/>
      </c>
      <c r="F2984" t="str">
        <f>IF(INPUT!N2979="","",INPUT!N2979)</f>
        <v/>
      </c>
      <c r="G2984" cm="1">
        <f t="array" ref="G2984">IFERROR(VLOOKUP(INPUT!M2979&amp;INPUT!N2979,CHOOSE({1,2},INPUT!$A$3:$A$5000&amp;INPUT!$C$3:$C$5000,INPUT!$F$3:$F$5000),2,FALSE),"")</f>
        <v>0</v>
      </c>
      <c r="H2984" cm="1">
        <f t="array" ref="H2984">IFERROR(VLOOKUP(INPUT!M2979&amp;INPUT!N2979,CHOOSE({1,2},INPUT!$A$3:$A$5000&amp;INPUT!$C$3:$C$5000,INPUT!$D$3:$D$5000),2,FALSE),"")</f>
        <v>0</v>
      </c>
      <c r="I2984" s="46" t="str">
        <f>IF(INPUT!P2979="","",INPUT!P2979)</f>
        <v/>
      </c>
      <c r="J2984" s="46" t="str">
        <f>IF(INPUT!Q2979="","",INPUT!Q2979)</f>
        <v/>
      </c>
      <c r="K2984" s="46" t="str">
        <f>IFERROR(IF(OR(INPUT!P2979="",INPUT!Q2979=""),"",INPUT!P2979-INPUT!Q2979),"")</f>
        <v/>
      </c>
      <c r="L2984" s="48" t="str">
        <f>IFERROR(IF(OR(INPUT!P2979="",INPUT!Q2979="",INPUT!P2979=0),"",(INPUT!P2979-INPUT!Q2979)/INPUT!P2979),"")</f>
        <v/>
      </c>
    </row>
    <row r="2985" spans="1:12" ht="18" hidden="1" customHeight="1" x14ac:dyDescent="0.2">
      <c r="A2985" s="11" t="str">
        <f>IF(INPUT!M2980="","",INPUT!M2980)</f>
        <v/>
      </c>
      <c r="B2985" s="11" t="str">
        <f>IF(INPUT!M2980="","",INPUT!M2980-WEEKDAY(INPUT!M2980,2)+1)</f>
        <v/>
      </c>
      <c r="C2985" s="20">
        <f>IFERROR(_xlfn.ISOWEEKNUM(INPUT!M2980),"")</f>
        <v>52</v>
      </c>
      <c r="D2985" s="20">
        <f>IFERROR(YEAR(INPUT!M2980),"")</f>
        <v>1900</v>
      </c>
      <c r="E2985" t="str">
        <f>IF(INPUT!O2980="","",INPUT!O2980)</f>
        <v/>
      </c>
      <c r="F2985" t="str">
        <f>IF(INPUT!N2980="","",INPUT!N2980)</f>
        <v/>
      </c>
      <c r="G2985" cm="1">
        <f t="array" ref="G2985">IFERROR(VLOOKUP(INPUT!M2980&amp;INPUT!N2980,CHOOSE({1,2},INPUT!$A$3:$A$5000&amp;INPUT!$C$3:$C$5000,INPUT!$F$3:$F$5000),2,FALSE),"")</f>
        <v>0</v>
      </c>
      <c r="H2985" cm="1">
        <f t="array" ref="H2985">IFERROR(VLOOKUP(INPUT!M2980&amp;INPUT!N2980,CHOOSE({1,2},INPUT!$A$3:$A$5000&amp;INPUT!$C$3:$C$5000,INPUT!$D$3:$D$5000),2,FALSE),"")</f>
        <v>0</v>
      </c>
      <c r="I2985" s="46" t="str">
        <f>IF(INPUT!P2980="","",INPUT!P2980)</f>
        <v/>
      </c>
      <c r="J2985" s="46" t="str">
        <f>IF(INPUT!Q2980="","",INPUT!Q2980)</f>
        <v/>
      </c>
      <c r="K2985" s="46" t="str">
        <f>IFERROR(IF(OR(INPUT!P2980="",INPUT!Q2980=""),"",INPUT!P2980-INPUT!Q2980),"")</f>
        <v/>
      </c>
      <c r="L2985" s="48" t="str">
        <f>IFERROR(IF(OR(INPUT!P2980="",INPUT!Q2980="",INPUT!P2980=0),"",(INPUT!P2980-INPUT!Q2980)/INPUT!P2980),"")</f>
        <v/>
      </c>
    </row>
    <row r="2986" spans="1:12" ht="18" hidden="1" customHeight="1" x14ac:dyDescent="0.2">
      <c r="A2986" s="11" t="str">
        <f>IF(INPUT!M2981="","",INPUT!M2981)</f>
        <v/>
      </c>
      <c r="B2986" s="11" t="str">
        <f>IF(INPUT!M2981="","",INPUT!M2981-WEEKDAY(INPUT!M2981,2)+1)</f>
        <v/>
      </c>
      <c r="C2986" s="20">
        <f>IFERROR(_xlfn.ISOWEEKNUM(INPUT!M2981),"")</f>
        <v>52</v>
      </c>
      <c r="D2986" s="20">
        <f>IFERROR(YEAR(INPUT!M2981),"")</f>
        <v>1900</v>
      </c>
      <c r="E2986" t="str">
        <f>IF(INPUT!O2981="","",INPUT!O2981)</f>
        <v/>
      </c>
      <c r="F2986" t="str">
        <f>IF(INPUT!N2981="","",INPUT!N2981)</f>
        <v/>
      </c>
      <c r="G2986" cm="1">
        <f t="array" ref="G2986">IFERROR(VLOOKUP(INPUT!M2981&amp;INPUT!N2981,CHOOSE({1,2},INPUT!$A$3:$A$5000&amp;INPUT!$C$3:$C$5000,INPUT!$F$3:$F$5000),2,FALSE),"")</f>
        <v>0</v>
      </c>
      <c r="H2986" cm="1">
        <f t="array" ref="H2986">IFERROR(VLOOKUP(INPUT!M2981&amp;INPUT!N2981,CHOOSE({1,2},INPUT!$A$3:$A$5000&amp;INPUT!$C$3:$C$5000,INPUT!$D$3:$D$5000),2,FALSE),"")</f>
        <v>0</v>
      </c>
      <c r="I2986" s="46" t="str">
        <f>IF(INPUT!P2981="","",INPUT!P2981)</f>
        <v/>
      </c>
      <c r="J2986" s="46" t="str">
        <f>IF(INPUT!Q2981="","",INPUT!Q2981)</f>
        <v/>
      </c>
      <c r="K2986" s="46" t="str">
        <f>IFERROR(IF(OR(INPUT!P2981="",INPUT!Q2981=""),"",INPUT!P2981-INPUT!Q2981),"")</f>
        <v/>
      </c>
      <c r="L2986" s="48" t="str">
        <f>IFERROR(IF(OR(INPUT!P2981="",INPUT!Q2981="",INPUT!P2981=0),"",(INPUT!P2981-INPUT!Q2981)/INPUT!P2981),"")</f>
        <v/>
      </c>
    </row>
    <row r="2987" spans="1:12" ht="18" hidden="1" customHeight="1" x14ac:dyDescent="0.2">
      <c r="A2987" s="11" t="str">
        <f>IF(INPUT!M2982="","",INPUT!M2982)</f>
        <v/>
      </c>
      <c r="B2987" s="11" t="str">
        <f>IF(INPUT!M2982="","",INPUT!M2982-WEEKDAY(INPUT!M2982,2)+1)</f>
        <v/>
      </c>
      <c r="C2987" s="20">
        <f>IFERROR(_xlfn.ISOWEEKNUM(INPUT!M2982),"")</f>
        <v>52</v>
      </c>
      <c r="D2987" s="20">
        <f>IFERROR(YEAR(INPUT!M2982),"")</f>
        <v>1900</v>
      </c>
      <c r="E2987" t="str">
        <f>IF(INPUT!O2982="","",INPUT!O2982)</f>
        <v/>
      </c>
      <c r="F2987" t="str">
        <f>IF(INPUT!N2982="","",INPUT!N2982)</f>
        <v/>
      </c>
      <c r="G2987" cm="1">
        <f t="array" ref="G2987">IFERROR(VLOOKUP(INPUT!M2982&amp;INPUT!N2982,CHOOSE({1,2},INPUT!$A$3:$A$5000&amp;INPUT!$C$3:$C$5000,INPUT!$F$3:$F$5000),2,FALSE),"")</f>
        <v>0</v>
      </c>
      <c r="H2987" cm="1">
        <f t="array" ref="H2987">IFERROR(VLOOKUP(INPUT!M2982&amp;INPUT!N2982,CHOOSE({1,2},INPUT!$A$3:$A$5000&amp;INPUT!$C$3:$C$5000,INPUT!$D$3:$D$5000),2,FALSE),"")</f>
        <v>0</v>
      </c>
      <c r="I2987" s="46" t="str">
        <f>IF(INPUT!P2982="","",INPUT!P2982)</f>
        <v/>
      </c>
      <c r="J2987" s="46" t="str">
        <f>IF(INPUT!Q2982="","",INPUT!Q2982)</f>
        <v/>
      </c>
      <c r="K2987" s="46" t="str">
        <f>IFERROR(IF(OR(INPUT!P2982="",INPUT!Q2982=""),"",INPUT!P2982-INPUT!Q2982),"")</f>
        <v/>
      </c>
      <c r="L2987" s="48" t="str">
        <f>IFERROR(IF(OR(INPUT!P2982="",INPUT!Q2982="",INPUT!P2982=0),"",(INPUT!P2982-INPUT!Q2982)/INPUT!P2982),"")</f>
        <v/>
      </c>
    </row>
    <row r="2988" spans="1:12" ht="18" hidden="1" customHeight="1" x14ac:dyDescent="0.2">
      <c r="A2988" s="11" t="str">
        <f>IF(INPUT!M2983="","",INPUT!M2983)</f>
        <v/>
      </c>
      <c r="B2988" s="11" t="str">
        <f>IF(INPUT!M2983="","",INPUT!M2983-WEEKDAY(INPUT!M2983,2)+1)</f>
        <v/>
      </c>
      <c r="C2988" s="20">
        <f>IFERROR(_xlfn.ISOWEEKNUM(INPUT!M2983),"")</f>
        <v>52</v>
      </c>
      <c r="D2988" s="20">
        <f>IFERROR(YEAR(INPUT!M2983),"")</f>
        <v>1900</v>
      </c>
      <c r="E2988" t="str">
        <f>IF(INPUT!O2983="","",INPUT!O2983)</f>
        <v/>
      </c>
      <c r="F2988" t="str">
        <f>IF(INPUT!N2983="","",INPUT!N2983)</f>
        <v/>
      </c>
      <c r="G2988" cm="1">
        <f t="array" ref="G2988">IFERROR(VLOOKUP(INPUT!M2983&amp;INPUT!N2983,CHOOSE({1,2},INPUT!$A$3:$A$5000&amp;INPUT!$C$3:$C$5000,INPUT!$F$3:$F$5000),2,FALSE),"")</f>
        <v>0</v>
      </c>
      <c r="H2988" cm="1">
        <f t="array" ref="H2988">IFERROR(VLOOKUP(INPUT!M2983&amp;INPUT!N2983,CHOOSE({1,2},INPUT!$A$3:$A$5000&amp;INPUT!$C$3:$C$5000,INPUT!$D$3:$D$5000),2,FALSE),"")</f>
        <v>0</v>
      </c>
      <c r="I2988" s="46" t="str">
        <f>IF(INPUT!P2983="","",INPUT!P2983)</f>
        <v/>
      </c>
      <c r="J2988" s="46" t="str">
        <f>IF(INPUT!Q2983="","",INPUT!Q2983)</f>
        <v/>
      </c>
      <c r="K2988" s="46" t="str">
        <f>IFERROR(IF(OR(INPUT!P2983="",INPUT!Q2983=""),"",INPUT!P2983-INPUT!Q2983),"")</f>
        <v/>
      </c>
      <c r="L2988" s="48" t="str">
        <f>IFERROR(IF(OR(INPUT!P2983="",INPUT!Q2983="",INPUT!P2983=0),"",(INPUT!P2983-INPUT!Q2983)/INPUT!P2983),"")</f>
        <v/>
      </c>
    </row>
    <row r="2989" spans="1:12" ht="18" hidden="1" customHeight="1" x14ac:dyDescent="0.2">
      <c r="A2989" s="11" t="str">
        <f>IF(INPUT!M2984="","",INPUT!M2984)</f>
        <v/>
      </c>
      <c r="B2989" s="11" t="str">
        <f>IF(INPUT!M2984="","",INPUT!M2984-WEEKDAY(INPUT!M2984,2)+1)</f>
        <v/>
      </c>
      <c r="C2989" s="20">
        <f>IFERROR(_xlfn.ISOWEEKNUM(INPUT!M2984),"")</f>
        <v>52</v>
      </c>
      <c r="D2989" s="20">
        <f>IFERROR(YEAR(INPUT!M2984),"")</f>
        <v>1900</v>
      </c>
      <c r="E2989" t="str">
        <f>IF(INPUT!O2984="","",INPUT!O2984)</f>
        <v/>
      </c>
      <c r="F2989" t="str">
        <f>IF(INPUT!N2984="","",INPUT!N2984)</f>
        <v/>
      </c>
      <c r="G2989" cm="1">
        <f t="array" ref="G2989">IFERROR(VLOOKUP(INPUT!M2984&amp;INPUT!N2984,CHOOSE({1,2},INPUT!$A$3:$A$5000&amp;INPUT!$C$3:$C$5000,INPUT!$F$3:$F$5000),2,FALSE),"")</f>
        <v>0</v>
      </c>
      <c r="H2989" cm="1">
        <f t="array" ref="H2989">IFERROR(VLOOKUP(INPUT!M2984&amp;INPUT!N2984,CHOOSE({1,2},INPUT!$A$3:$A$5000&amp;INPUT!$C$3:$C$5000,INPUT!$D$3:$D$5000),2,FALSE),"")</f>
        <v>0</v>
      </c>
      <c r="I2989" s="46" t="str">
        <f>IF(INPUT!P2984="","",INPUT!P2984)</f>
        <v/>
      </c>
      <c r="J2989" s="46" t="str">
        <f>IF(INPUT!Q2984="","",INPUT!Q2984)</f>
        <v/>
      </c>
      <c r="K2989" s="46" t="str">
        <f>IFERROR(IF(OR(INPUT!P2984="",INPUT!Q2984=""),"",INPUT!P2984-INPUT!Q2984),"")</f>
        <v/>
      </c>
      <c r="L2989" s="48" t="str">
        <f>IFERROR(IF(OR(INPUT!P2984="",INPUT!Q2984="",INPUT!P2984=0),"",(INPUT!P2984-INPUT!Q2984)/INPUT!P2984),"")</f>
        <v/>
      </c>
    </row>
    <row r="2990" spans="1:12" ht="18" hidden="1" customHeight="1" x14ac:dyDescent="0.2">
      <c r="A2990" s="11" t="str">
        <f>IF(INPUT!M2985="","",INPUT!M2985)</f>
        <v/>
      </c>
      <c r="B2990" s="11" t="str">
        <f>IF(INPUT!M2985="","",INPUT!M2985-WEEKDAY(INPUT!M2985,2)+1)</f>
        <v/>
      </c>
      <c r="C2990" s="20">
        <f>IFERROR(_xlfn.ISOWEEKNUM(INPUT!M2985),"")</f>
        <v>52</v>
      </c>
      <c r="D2990" s="20">
        <f>IFERROR(YEAR(INPUT!M2985),"")</f>
        <v>1900</v>
      </c>
      <c r="E2990" t="str">
        <f>IF(INPUT!O2985="","",INPUT!O2985)</f>
        <v/>
      </c>
      <c r="F2990" t="str">
        <f>IF(INPUT!N2985="","",INPUT!N2985)</f>
        <v/>
      </c>
      <c r="G2990" cm="1">
        <f t="array" ref="G2990">IFERROR(VLOOKUP(INPUT!M2985&amp;INPUT!N2985,CHOOSE({1,2},INPUT!$A$3:$A$5000&amp;INPUT!$C$3:$C$5000,INPUT!$F$3:$F$5000),2,FALSE),"")</f>
        <v>0</v>
      </c>
      <c r="H2990" cm="1">
        <f t="array" ref="H2990">IFERROR(VLOOKUP(INPUT!M2985&amp;INPUT!N2985,CHOOSE({1,2},INPUT!$A$3:$A$5000&amp;INPUT!$C$3:$C$5000,INPUT!$D$3:$D$5000),2,FALSE),"")</f>
        <v>0</v>
      </c>
      <c r="I2990" s="46" t="str">
        <f>IF(INPUT!P2985="","",INPUT!P2985)</f>
        <v/>
      </c>
      <c r="J2990" s="46" t="str">
        <f>IF(INPUT!Q2985="","",INPUT!Q2985)</f>
        <v/>
      </c>
      <c r="K2990" s="46" t="str">
        <f>IFERROR(IF(OR(INPUT!P2985="",INPUT!Q2985=""),"",INPUT!P2985-INPUT!Q2985),"")</f>
        <v/>
      </c>
      <c r="L2990" s="48" t="str">
        <f>IFERROR(IF(OR(INPUT!P2985="",INPUT!Q2985="",INPUT!P2985=0),"",(INPUT!P2985-INPUT!Q2985)/INPUT!P2985),"")</f>
        <v/>
      </c>
    </row>
    <row r="2991" spans="1:12" ht="18" hidden="1" customHeight="1" x14ac:dyDescent="0.2">
      <c r="A2991" s="11" t="str">
        <f>IF(INPUT!M2986="","",INPUT!M2986)</f>
        <v/>
      </c>
      <c r="B2991" s="11" t="str">
        <f>IF(INPUT!M2986="","",INPUT!M2986-WEEKDAY(INPUT!M2986,2)+1)</f>
        <v/>
      </c>
      <c r="C2991" s="20">
        <f>IFERROR(_xlfn.ISOWEEKNUM(INPUT!M2986),"")</f>
        <v>52</v>
      </c>
      <c r="D2991" s="20">
        <f>IFERROR(YEAR(INPUT!M2986),"")</f>
        <v>1900</v>
      </c>
      <c r="E2991" t="str">
        <f>IF(INPUT!O2986="","",INPUT!O2986)</f>
        <v/>
      </c>
      <c r="F2991" t="str">
        <f>IF(INPUT!N2986="","",INPUT!N2986)</f>
        <v/>
      </c>
      <c r="G2991" cm="1">
        <f t="array" ref="G2991">IFERROR(VLOOKUP(INPUT!M2986&amp;INPUT!N2986,CHOOSE({1,2},INPUT!$A$3:$A$5000&amp;INPUT!$C$3:$C$5000,INPUT!$F$3:$F$5000),2,FALSE),"")</f>
        <v>0</v>
      </c>
      <c r="H2991" cm="1">
        <f t="array" ref="H2991">IFERROR(VLOOKUP(INPUT!M2986&amp;INPUT!N2986,CHOOSE({1,2},INPUT!$A$3:$A$5000&amp;INPUT!$C$3:$C$5000,INPUT!$D$3:$D$5000),2,FALSE),"")</f>
        <v>0</v>
      </c>
      <c r="I2991" s="46" t="str">
        <f>IF(INPUT!P2986="","",INPUT!P2986)</f>
        <v/>
      </c>
      <c r="J2991" s="46" t="str">
        <f>IF(INPUT!Q2986="","",INPUT!Q2986)</f>
        <v/>
      </c>
      <c r="K2991" s="46" t="str">
        <f>IFERROR(IF(OR(INPUT!P2986="",INPUT!Q2986=""),"",INPUT!P2986-INPUT!Q2986),"")</f>
        <v/>
      </c>
      <c r="L2991" s="48" t="str">
        <f>IFERROR(IF(OR(INPUT!P2986="",INPUT!Q2986="",INPUT!P2986=0),"",(INPUT!P2986-INPUT!Q2986)/INPUT!P2986),"")</f>
        <v/>
      </c>
    </row>
    <row r="2992" spans="1:12" ht="18" hidden="1" customHeight="1" x14ac:dyDescent="0.2">
      <c r="A2992" s="11" t="str">
        <f>IF(INPUT!M2987="","",INPUT!M2987)</f>
        <v/>
      </c>
      <c r="B2992" s="11" t="str">
        <f>IF(INPUT!M2987="","",INPUT!M2987-WEEKDAY(INPUT!M2987,2)+1)</f>
        <v/>
      </c>
      <c r="C2992" s="20">
        <f>IFERROR(_xlfn.ISOWEEKNUM(INPUT!M2987),"")</f>
        <v>52</v>
      </c>
      <c r="D2992" s="20">
        <f>IFERROR(YEAR(INPUT!M2987),"")</f>
        <v>1900</v>
      </c>
      <c r="E2992" t="str">
        <f>IF(INPUT!O2987="","",INPUT!O2987)</f>
        <v/>
      </c>
      <c r="F2992" t="str">
        <f>IF(INPUT!N2987="","",INPUT!N2987)</f>
        <v/>
      </c>
      <c r="G2992" cm="1">
        <f t="array" ref="G2992">IFERROR(VLOOKUP(INPUT!M2987&amp;INPUT!N2987,CHOOSE({1,2},INPUT!$A$3:$A$5000&amp;INPUT!$C$3:$C$5000,INPUT!$F$3:$F$5000),2,FALSE),"")</f>
        <v>0</v>
      </c>
      <c r="H2992" cm="1">
        <f t="array" ref="H2992">IFERROR(VLOOKUP(INPUT!M2987&amp;INPUT!N2987,CHOOSE({1,2},INPUT!$A$3:$A$5000&amp;INPUT!$C$3:$C$5000,INPUT!$D$3:$D$5000),2,FALSE),"")</f>
        <v>0</v>
      </c>
      <c r="I2992" s="46" t="str">
        <f>IF(INPUT!P2987="","",INPUT!P2987)</f>
        <v/>
      </c>
      <c r="J2992" s="46" t="str">
        <f>IF(INPUT!Q2987="","",INPUT!Q2987)</f>
        <v/>
      </c>
      <c r="K2992" s="46" t="str">
        <f>IFERROR(IF(OR(INPUT!P2987="",INPUT!Q2987=""),"",INPUT!P2987-INPUT!Q2987),"")</f>
        <v/>
      </c>
      <c r="L2992" s="48" t="str">
        <f>IFERROR(IF(OR(INPUT!P2987="",INPUT!Q2987="",INPUT!P2987=0),"",(INPUT!P2987-INPUT!Q2987)/INPUT!P2987),"")</f>
        <v/>
      </c>
    </row>
    <row r="2993" spans="1:12" ht="18" hidden="1" customHeight="1" x14ac:dyDescent="0.2">
      <c r="A2993" s="11" t="str">
        <f>IF(INPUT!M2988="","",INPUT!M2988)</f>
        <v/>
      </c>
      <c r="B2993" s="11" t="str">
        <f>IF(INPUT!M2988="","",INPUT!M2988-WEEKDAY(INPUT!M2988,2)+1)</f>
        <v/>
      </c>
      <c r="C2993" s="20">
        <f>IFERROR(_xlfn.ISOWEEKNUM(INPUT!M2988),"")</f>
        <v>52</v>
      </c>
      <c r="D2993" s="20">
        <f>IFERROR(YEAR(INPUT!M2988),"")</f>
        <v>1900</v>
      </c>
      <c r="E2993" t="str">
        <f>IF(INPUT!O2988="","",INPUT!O2988)</f>
        <v/>
      </c>
      <c r="F2993" t="str">
        <f>IF(INPUT!N2988="","",INPUT!N2988)</f>
        <v/>
      </c>
      <c r="G2993" cm="1">
        <f t="array" ref="G2993">IFERROR(VLOOKUP(INPUT!M2988&amp;INPUT!N2988,CHOOSE({1,2},INPUT!$A$3:$A$5000&amp;INPUT!$C$3:$C$5000,INPUT!$F$3:$F$5000),2,FALSE),"")</f>
        <v>0</v>
      </c>
      <c r="H2993" cm="1">
        <f t="array" ref="H2993">IFERROR(VLOOKUP(INPUT!M2988&amp;INPUT!N2988,CHOOSE({1,2},INPUT!$A$3:$A$5000&amp;INPUT!$C$3:$C$5000,INPUT!$D$3:$D$5000),2,FALSE),"")</f>
        <v>0</v>
      </c>
      <c r="I2993" s="46" t="str">
        <f>IF(INPUT!P2988="","",INPUT!P2988)</f>
        <v/>
      </c>
      <c r="J2993" s="46" t="str">
        <f>IF(INPUT!Q2988="","",INPUT!Q2988)</f>
        <v/>
      </c>
      <c r="K2993" s="46" t="str">
        <f>IFERROR(IF(OR(INPUT!P2988="",INPUT!Q2988=""),"",INPUT!P2988-INPUT!Q2988),"")</f>
        <v/>
      </c>
      <c r="L2993" s="48" t="str">
        <f>IFERROR(IF(OR(INPUT!P2988="",INPUT!Q2988="",INPUT!P2988=0),"",(INPUT!P2988-INPUT!Q2988)/INPUT!P2988),"")</f>
        <v/>
      </c>
    </row>
    <row r="2994" spans="1:12" ht="18" hidden="1" customHeight="1" x14ac:dyDescent="0.2">
      <c r="A2994" s="11" t="str">
        <f>IF(INPUT!M2989="","",INPUT!M2989)</f>
        <v/>
      </c>
      <c r="B2994" s="11" t="str">
        <f>IF(INPUT!M2989="","",INPUT!M2989-WEEKDAY(INPUT!M2989,2)+1)</f>
        <v/>
      </c>
      <c r="C2994" s="20">
        <f>IFERROR(_xlfn.ISOWEEKNUM(INPUT!M2989),"")</f>
        <v>52</v>
      </c>
      <c r="D2994" s="20">
        <f>IFERROR(YEAR(INPUT!M2989),"")</f>
        <v>1900</v>
      </c>
      <c r="E2994" t="str">
        <f>IF(INPUT!O2989="","",INPUT!O2989)</f>
        <v/>
      </c>
      <c r="F2994" t="str">
        <f>IF(INPUT!N2989="","",INPUT!N2989)</f>
        <v/>
      </c>
      <c r="G2994" cm="1">
        <f t="array" ref="G2994">IFERROR(VLOOKUP(INPUT!M2989&amp;INPUT!N2989,CHOOSE({1,2},INPUT!$A$3:$A$5000&amp;INPUT!$C$3:$C$5000,INPUT!$F$3:$F$5000),2,FALSE),"")</f>
        <v>0</v>
      </c>
      <c r="H2994" cm="1">
        <f t="array" ref="H2994">IFERROR(VLOOKUP(INPUT!M2989&amp;INPUT!N2989,CHOOSE({1,2},INPUT!$A$3:$A$5000&amp;INPUT!$C$3:$C$5000,INPUT!$D$3:$D$5000),2,FALSE),"")</f>
        <v>0</v>
      </c>
      <c r="I2994" s="46" t="str">
        <f>IF(INPUT!P2989="","",INPUT!P2989)</f>
        <v/>
      </c>
      <c r="J2994" s="46" t="str">
        <f>IF(INPUT!Q2989="","",INPUT!Q2989)</f>
        <v/>
      </c>
      <c r="K2994" s="46" t="str">
        <f>IFERROR(IF(OR(INPUT!P2989="",INPUT!Q2989=""),"",INPUT!P2989-INPUT!Q2989),"")</f>
        <v/>
      </c>
      <c r="L2994" s="48" t="str">
        <f>IFERROR(IF(OR(INPUT!P2989="",INPUT!Q2989="",INPUT!P2989=0),"",(INPUT!P2989-INPUT!Q2989)/INPUT!P2989),"")</f>
        <v/>
      </c>
    </row>
    <row r="2995" spans="1:12" ht="18" hidden="1" customHeight="1" x14ac:dyDescent="0.2">
      <c r="A2995" s="11" t="str">
        <f>IF(INPUT!M2990="","",INPUT!M2990)</f>
        <v/>
      </c>
      <c r="B2995" s="11" t="str">
        <f>IF(INPUT!M2990="","",INPUT!M2990-WEEKDAY(INPUT!M2990,2)+1)</f>
        <v/>
      </c>
      <c r="C2995" s="20">
        <f>IFERROR(_xlfn.ISOWEEKNUM(INPUT!M2990),"")</f>
        <v>52</v>
      </c>
      <c r="D2995" s="20">
        <f>IFERROR(YEAR(INPUT!M2990),"")</f>
        <v>1900</v>
      </c>
      <c r="E2995" t="str">
        <f>IF(INPUT!O2990="","",INPUT!O2990)</f>
        <v/>
      </c>
      <c r="F2995" t="str">
        <f>IF(INPUT!N2990="","",INPUT!N2990)</f>
        <v/>
      </c>
      <c r="G2995" cm="1">
        <f t="array" ref="G2995">IFERROR(VLOOKUP(INPUT!M2990&amp;INPUT!N2990,CHOOSE({1,2},INPUT!$A$3:$A$5000&amp;INPUT!$C$3:$C$5000,INPUT!$F$3:$F$5000),2,FALSE),"")</f>
        <v>0</v>
      </c>
      <c r="H2995" cm="1">
        <f t="array" ref="H2995">IFERROR(VLOOKUP(INPUT!M2990&amp;INPUT!N2990,CHOOSE({1,2},INPUT!$A$3:$A$5000&amp;INPUT!$C$3:$C$5000,INPUT!$D$3:$D$5000),2,FALSE),"")</f>
        <v>0</v>
      </c>
      <c r="I2995" s="46" t="str">
        <f>IF(INPUT!P2990="","",INPUT!P2990)</f>
        <v/>
      </c>
      <c r="J2995" s="46" t="str">
        <f>IF(INPUT!Q2990="","",INPUT!Q2990)</f>
        <v/>
      </c>
      <c r="K2995" s="46" t="str">
        <f>IFERROR(IF(OR(INPUT!P2990="",INPUT!Q2990=""),"",INPUT!P2990-INPUT!Q2990),"")</f>
        <v/>
      </c>
      <c r="L2995" s="48" t="str">
        <f>IFERROR(IF(OR(INPUT!P2990="",INPUT!Q2990="",INPUT!P2990=0),"",(INPUT!P2990-INPUT!Q2990)/INPUT!P2990),"")</f>
        <v/>
      </c>
    </row>
    <row r="2996" spans="1:12" ht="18" hidden="1" customHeight="1" x14ac:dyDescent="0.2">
      <c r="A2996" s="11" t="str">
        <f>IF(INPUT!M2991="","",INPUT!M2991)</f>
        <v/>
      </c>
      <c r="B2996" s="11" t="str">
        <f>IF(INPUT!M2991="","",INPUT!M2991-WEEKDAY(INPUT!M2991,2)+1)</f>
        <v/>
      </c>
      <c r="C2996" s="20">
        <f>IFERROR(_xlfn.ISOWEEKNUM(INPUT!M2991),"")</f>
        <v>52</v>
      </c>
      <c r="D2996" s="20">
        <f>IFERROR(YEAR(INPUT!M2991),"")</f>
        <v>1900</v>
      </c>
      <c r="E2996" t="str">
        <f>IF(INPUT!O2991="","",INPUT!O2991)</f>
        <v/>
      </c>
      <c r="F2996" t="str">
        <f>IF(INPUT!N2991="","",INPUT!N2991)</f>
        <v/>
      </c>
      <c r="G2996" cm="1">
        <f t="array" ref="G2996">IFERROR(VLOOKUP(INPUT!M2991&amp;INPUT!N2991,CHOOSE({1,2},INPUT!$A$3:$A$5000&amp;INPUT!$C$3:$C$5000,INPUT!$F$3:$F$5000),2,FALSE),"")</f>
        <v>0</v>
      </c>
      <c r="H2996" cm="1">
        <f t="array" ref="H2996">IFERROR(VLOOKUP(INPUT!M2991&amp;INPUT!N2991,CHOOSE({1,2},INPUT!$A$3:$A$5000&amp;INPUT!$C$3:$C$5000,INPUT!$D$3:$D$5000),2,FALSE),"")</f>
        <v>0</v>
      </c>
      <c r="I2996" s="46" t="str">
        <f>IF(INPUT!P2991="","",INPUT!P2991)</f>
        <v/>
      </c>
      <c r="J2996" s="46" t="str">
        <f>IF(INPUT!Q2991="","",INPUT!Q2991)</f>
        <v/>
      </c>
      <c r="K2996" s="46" t="str">
        <f>IFERROR(IF(OR(INPUT!P2991="",INPUT!Q2991=""),"",INPUT!P2991-INPUT!Q2991),"")</f>
        <v/>
      </c>
      <c r="L2996" s="48" t="str">
        <f>IFERROR(IF(OR(INPUT!P2991="",INPUT!Q2991="",INPUT!P2991=0),"",(INPUT!P2991-INPUT!Q2991)/INPUT!P2991),"")</f>
        <v/>
      </c>
    </row>
    <row r="2997" spans="1:12" ht="18" hidden="1" customHeight="1" x14ac:dyDescent="0.2">
      <c r="A2997" s="11" t="str">
        <f>IF(INPUT!M2992="","",INPUT!M2992)</f>
        <v/>
      </c>
      <c r="B2997" s="11" t="str">
        <f>IF(INPUT!M2992="","",INPUT!M2992-WEEKDAY(INPUT!M2992,2)+1)</f>
        <v/>
      </c>
      <c r="C2997" s="20">
        <f>IFERROR(_xlfn.ISOWEEKNUM(INPUT!M2992),"")</f>
        <v>52</v>
      </c>
      <c r="D2997" s="20">
        <f>IFERROR(YEAR(INPUT!M2992),"")</f>
        <v>1900</v>
      </c>
      <c r="E2997" t="str">
        <f>IF(INPUT!O2992="","",INPUT!O2992)</f>
        <v/>
      </c>
      <c r="F2997" t="str">
        <f>IF(INPUT!N2992="","",INPUT!N2992)</f>
        <v/>
      </c>
      <c r="G2997" cm="1">
        <f t="array" ref="G2997">IFERROR(VLOOKUP(INPUT!M2992&amp;INPUT!N2992,CHOOSE({1,2},INPUT!$A$3:$A$5000&amp;INPUT!$C$3:$C$5000,INPUT!$F$3:$F$5000),2,FALSE),"")</f>
        <v>0</v>
      </c>
      <c r="H2997" cm="1">
        <f t="array" ref="H2997">IFERROR(VLOOKUP(INPUT!M2992&amp;INPUT!N2992,CHOOSE({1,2},INPUT!$A$3:$A$5000&amp;INPUT!$C$3:$C$5000,INPUT!$D$3:$D$5000),2,FALSE),"")</f>
        <v>0</v>
      </c>
      <c r="I2997" s="46" t="str">
        <f>IF(INPUT!P2992="","",INPUT!P2992)</f>
        <v/>
      </c>
      <c r="J2997" s="46" t="str">
        <f>IF(INPUT!Q2992="","",INPUT!Q2992)</f>
        <v/>
      </c>
      <c r="K2997" s="46" t="str">
        <f>IFERROR(IF(OR(INPUT!P2992="",INPUT!Q2992=""),"",INPUT!P2992-INPUT!Q2992),"")</f>
        <v/>
      </c>
      <c r="L2997" s="48" t="str">
        <f>IFERROR(IF(OR(INPUT!P2992="",INPUT!Q2992="",INPUT!P2992=0),"",(INPUT!P2992-INPUT!Q2992)/INPUT!P2992),"")</f>
        <v/>
      </c>
    </row>
    <row r="2998" spans="1:12" ht="18" hidden="1" customHeight="1" x14ac:dyDescent="0.2">
      <c r="A2998" s="11" t="str">
        <f>IF(INPUT!M2993="","",INPUT!M2993)</f>
        <v/>
      </c>
      <c r="B2998" s="11" t="str">
        <f>IF(INPUT!M2993="","",INPUT!M2993-WEEKDAY(INPUT!M2993,2)+1)</f>
        <v/>
      </c>
      <c r="C2998" s="20">
        <f>IFERROR(_xlfn.ISOWEEKNUM(INPUT!M2993),"")</f>
        <v>52</v>
      </c>
      <c r="D2998" s="20">
        <f>IFERROR(YEAR(INPUT!M2993),"")</f>
        <v>1900</v>
      </c>
      <c r="E2998" t="str">
        <f>IF(INPUT!O2993="","",INPUT!O2993)</f>
        <v/>
      </c>
      <c r="F2998" t="str">
        <f>IF(INPUT!N2993="","",INPUT!N2993)</f>
        <v/>
      </c>
      <c r="G2998" cm="1">
        <f t="array" ref="G2998">IFERROR(VLOOKUP(INPUT!M2993&amp;INPUT!N2993,CHOOSE({1,2},INPUT!$A$3:$A$5000&amp;INPUT!$C$3:$C$5000,INPUT!$F$3:$F$5000),2,FALSE),"")</f>
        <v>0</v>
      </c>
      <c r="H2998" cm="1">
        <f t="array" ref="H2998">IFERROR(VLOOKUP(INPUT!M2993&amp;INPUT!N2993,CHOOSE({1,2},INPUT!$A$3:$A$5000&amp;INPUT!$C$3:$C$5000,INPUT!$D$3:$D$5000),2,FALSE),"")</f>
        <v>0</v>
      </c>
      <c r="I2998" s="46" t="str">
        <f>IF(INPUT!P2993="","",INPUT!P2993)</f>
        <v/>
      </c>
      <c r="J2998" s="46" t="str">
        <f>IF(INPUT!Q2993="","",INPUT!Q2993)</f>
        <v/>
      </c>
      <c r="K2998" s="46" t="str">
        <f>IFERROR(IF(OR(INPUT!P2993="",INPUT!Q2993=""),"",INPUT!P2993-INPUT!Q2993),"")</f>
        <v/>
      </c>
      <c r="L2998" s="48" t="str">
        <f>IFERROR(IF(OR(INPUT!P2993="",INPUT!Q2993="",INPUT!P2993=0),"",(INPUT!P2993-INPUT!Q2993)/INPUT!P2993),"")</f>
        <v/>
      </c>
    </row>
    <row r="2999" spans="1:12" ht="18" hidden="1" customHeight="1" x14ac:dyDescent="0.2">
      <c r="A2999" s="11" t="str">
        <f>IF(INPUT!M2994="","",INPUT!M2994)</f>
        <v/>
      </c>
      <c r="B2999" s="11" t="str">
        <f>IF(INPUT!M2994="","",INPUT!M2994-WEEKDAY(INPUT!M2994,2)+1)</f>
        <v/>
      </c>
      <c r="C2999" s="20">
        <f>IFERROR(_xlfn.ISOWEEKNUM(INPUT!M2994),"")</f>
        <v>52</v>
      </c>
      <c r="D2999" s="20">
        <f>IFERROR(YEAR(INPUT!M2994),"")</f>
        <v>1900</v>
      </c>
      <c r="E2999" t="str">
        <f>IF(INPUT!O2994="","",INPUT!O2994)</f>
        <v/>
      </c>
      <c r="F2999" t="str">
        <f>IF(INPUT!N2994="","",INPUT!N2994)</f>
        <v/>
      </c>
      <c r="G2999" cm="1">
        <f t="array" ref="G2999">IFERROR(VLOOKUP(INPUT!M2994&amp;INPUT!N2994,CHOOSE({1,2},INPUT!$A$3:$A$5000&amp;INPUT!$C$3:$C$5000,INPUT!$F$3:$F$5000),2,FALSE),"")</f>
        <v>0</v>
      </c>
      <c r="H2999" cm="1">
        <f t="array" ref="H2999">IFERROR(VLOOKUP(INPUT!M2994&amp;INPUT!N2994,CHOOSE({1,2},INPUT!$A$3:$A$5000&amp;INPUT!$C$3:$C$5000,INPUT!$D$3:$D$5000),2,FALSE),"")</f>
        <v>0</v>
      </c>
      <c r="I2999" s="46" t="str">
        <f>IF(INPUT!P2994="","",INPUT!P2994)</f>
        <v/>
      </c>
      <c r="J2999" s="46" t="str">
        <f>IF(INPUT!Q2994="","",INPUT!Q2994)</f>
        <v/>
      </c>
      <c r="K2999" s="46" t="str">
        <f>IFERROR(IF(OR(INPUT!P2994="",INPUT!Q2994=""),"",INPUT!P2994-INPUT!Q2994),"")</f>
        <v/>
      </c>
      <c r="L2999" s="48" t="str">
        <f>IFERROR(IF(OR(INPUT!P2994="",INPUT!Q2994="",INPUT!P2994=0),"",(INPUT!P2994-INPUT!Q2994)/INPUT!P2994),"")</f>
        <v/>
      </c>
    </row>
    <row r="3000" spans="1:12" ht="18" hidden="1" customHeight="1" x14ac:dyDescent="0.2">
      <c r="A3000" s="11" t="str">
        <f>IF(INPUT!M2995="","",INPUT!M2995)</f>
        <v/>
      </c>
      <c r="B3000" s="11" t="str">
        <f>IF(INPUT!M2995="","",INPUT!M2995-WEEKDAY(INPUT!M2995,2)+1)</f>
        <v/>
      </c>
      <c r="C3000" s="20">
        <f>IFERROR(_xlfn.ISOWEEKNUM(INPUT!M2995),"")</f>
        <v>52</v>
      </c>
      <c r="D3000" s="20">
        <f>IFERROR(YEAR(INPUT!M2995),"")</f>
        <v>1900</v>
      </c>
      <c r="E3000" t="str">
        <f>IF(INPUT!O2995="","",INPUT!O2995)</f>
        <v/>
      </c>
      <c r="F3000" t="str">
        <f>IF(INPUT!N2995="","",INPUT!N2995)</f>
        <v/>
      </c>
      <c r="G3000" cm="1">
        <f t="array" ref="G3000">IFERROR(VLOOKUP(INPUT!M2995&amp;INPUT!N2995,CHOOSE({1,2},INPUT!$A$3:$A$5000&amp;INPUT!$C$3:$C$5000,INPUT!$F$3:$F$5000),2,FALSE),"")</f>
        <v>0</v>
      </c>
      <c r="H3000" cm="1">
        <f t="array" ref="H3000">IFERROR(VLOOKUP(INPUT!M2995&amp;INPUT!N2995,CHOOSE({1,2},INPUT!$A$3:$A$5000&amp;INPUT!$C$3:$C$5000,INPUT!$D$3:$D$5000),2,FALSE),"")</f>
        <v>0</v>
      </c>
      <c r="I3000" s="46" t="str">
        <f>IF(INPUT!P2995="","",INPUT!P2995)</f>
        <v/>
      </c>
      <c r="J3000" s="46" t="str">
        <f>IF(INPUT!Q2995="","",INPUT!Q2995)</f>
        <v/>
      </c>
      <c r="K3000" s="46" t="str">
        <f>IFERROR(IF(OR(INPUT!P2995="",INPUT!Q2995=""),"",INPUT!P2995-INPUT!Q2995),"")</f>
        <v/>
      </c>
      <c r="L3000" s="48" t="str">
        <f>IFERROR(IF(OR(INPUT!P2995="",INPUT!Q2995="",INPUT!P2995=0),"",(INPUT!P2995-INPUT!Q2995)/INPUT!P2995),"")</f>
        <v/>
      </c>
    </row>
    <row r="3001" spans="1:12" ht="18" hidden="1" customHeight="1" x14ac:dyDescent="0.2">
      <c r="A3001" s="11" t="str">
        <f>IF(INPUT!M2996="","",INPUT!M2996)</f>
        <v/>
      </c>
      <c r="B3001" s="11" t="str">
        <f>IF(INPUT!M2996="","",INPUT!M2996-WEEKDAY(INPUT!M2996,2)+1)</f>
        <v/>
      </c>
      <c r="C3001" s="20">
        <f>IFERROR(_xlfn.ISOWEEKNUM(INPUT!M2996),"")</f>
        <v>52</v>
      </c>
      <c r="D3001" s="20">
        <f>IFERROR(YEAR(INPUT!M2996),"")</f>
        <v>1900</v>
      </c>
      <c r="E3001" t="str">
        <f>IF(INPUT!O2996="","",INPUT!O2996)</f>
        <v/>
      </c>
      <c r="F3001" t="str">
        <f>IF(INPUT!N2996="","",INPUT!N2996)</f>
        <v/>
      </c>
      <c r="G3001" cm="1">
        <f t="array" ref="G3001">IFERROR(VLOOKUP(INPUT!M2996&amp;INPUT!N2996,CHOOSE({1,2},INPUT!$A$3:$A$5000&amp;INPUT!$C$3:$C$5000,INPUT!$F$3:$F$5000),2,FALSE),"")</f>
        <v>0</v>
      </c>
      <c r="H3001" cm="1">
        <f t="array" ref="H3001">IFERROR(VLOOKUP(INPUT!M2996&amp;INPUT!N2996,CHOOSE({1,2},INPUT!$A$3:$A$5000&amp;INPUT!$C$3:$C$5000,INPUT!$D$3:$D$5000),2,FALSE),"")</f>
        <v>0</v>
      </c>
      <c r="I3001" s="46" t="str">
        <f>IF(INPUT!P2996="","",INPUT!P2996)</f>
        <v/>
      </c>
      <c r="J3001" s="46" t="str">
        <f>IF(INPUT!Q2996="","",INPUT!Q2996)</f>
        <v/>
      </c>
      <c r="K3001" s="46" t="str">
        <f>IFERROR(IF(OR(INPUT!P2996="",INPUT!Q2996=""),"",INPUT!P2996-INPUT!Q2996),"")</f>
        <v/>
      </c>
      <c r="L3001" s="48" t="str">
        <f>IFERROR(IF(OR(INPUT!P2996="",INPUT!Q2996="",INPUT!P2996=0),"",(INPUT!P2996-INPUT!Q2996)/INPUT!P2996),"")</f>
        <v/>
      </c>
    </row>
    <row r="3002" spans="1:12" ht="18" hidden="1" customHeight="1" x14ac:dyDescent="0.2">
      <c r="A3002" s="11" t="str">
        <f>IF(INPUT!M2997="","",INPUT!M2997)</f>
        <v/>
      </c>
      <c r="B3002" s="11" t="str">
        <f>IF(INPUT!M2997="","",INPUT!M2997-WEEKDAY(INPUT!M2997,2)+1)</f>
        <v/>
      </c>
      <c r="C3002" s="20">
        <f>IFERROR(_xlfn.ISOWEEKNUM(INPUT!M2997),"")</f>
        <v>52</v>
      </c>
      <c r="D3002" s="20">
        <f>IFERROR(YEAR(INPUT!M2997),"")</f>
        <v>1900</v>
      </c>
      <c r="E3002" t="str">
        <f>IF(INPUT!O2997="","",INPUT!O2997)</f>
        <v/>
      </c>
      <c r="F3002" t="str">
        <f>IF(INPUT!N2997="","",INPUT!N2997)</f>
        <v/>
      </c>
      <c r="G3002" cm="1">
        <f t="array" ref="G3002">IFERROR(VLOOKUP(INPUT!M2997&amp;INPUT!N2997,CHOOSE({1,2},INPUT!$A$3:$A$5000&amp;INPUT!$C$3:$C$5000,INPUT!$F$3:$F$5000),2,FALSE),"")</f>
        <v>0</v>
      </c>
      <c r="H3002" cm="1">
        <f t="array" ref="H3002">IFERROR(VLOOKUP(INPUT!M2997&amp;INPUT!N2997,CHOOSE({1,2},INPUT!$A$3:$A$5000&amp;INPUT!$C$3:$C$5000,INPUT!$D$3:$D$5000),2,FALSE),"")</f>
        <v>0</v>
      </c>
      <c r="I3002" s="46" t="str">
        <f>IF(INPUT!P2997="","",INPUT!P2997)</f>
        <v/>
      </c>
      <c r="J3002" s="46" t="str">
        <f>IF(INPUT!Q2997="","",INPUT!Q2997)</f>
        <v/>
      </c>
      <c r="K3002" s="46" t="str">
        <f>IFERROR(IF(OR(INPUT!P2997="",INPUT!Q2997=""),"",INPUT!P2997-INPUT!Q2997),"")</f>
        <v/>
      </c>
      <c r="L3002" s="48" t="str">
        <f>IFERROR(IF(OR(INPUT!P2997="",INPUT!Q2997="",INPUT!P2997=0),"",(INPUT!P2997-INPUT!Q2997)/INPUT!P2997),"")</f>
        <v/>
      </c>
    </row>
    <row r="3003" spans="1:12" ht="18" hidden="1" customHeight="1" x14ac:dyDescent="0.2">
      <c r="A3003" s="11" t="str">
        <f>IF(INPUT!M2998="","",INPUT!M2998)</f>
        <v/>
      </c>
      <c r="B3003" s="11" t="str">
        <f>IF(INPUT!M2998="","",INPUT!M2998-WEEKDAY(INPUT!M2998,2)+1)</f>
        <v/>
      </c>
      <c r="C3003" s="20">
        <f>IFERROR(_xlfn.ISOWEEKNUM(INPUT!M2998),"")</f>
        <v>52</v>
      </c>
      <c r="D3003" s="20">
        <f>IFERROR(YEAR(INPUT!M2998),"")</f>
        <v>1900</v>
      </c>
      <c r="E3003" t="str">
        <f>IF(INPUT!O2998="","",INPUT!O2998)</f>
        <v/>
      </c>
      <c r="F3003" t="str">
        <f>IF(INPUT!N2998="","",INPUT!N2998)</f>
        <v/>
      </c>
      <c r="G3003" cm="1">
        <f t="array" ref="G3003">IFERROR(VLOOKUP(INPUT!M2998&amp;INPUT!N2998,CHOOSE({1,2},INPUT!$A$3:$A$5000&amp;INPUT!$C$3:$C$5000,INPUT!$F$3:$F$5000),2,FALSE),"")</f>
        <v>0</v>
      </c>
      <c r="H3003" cm="1">
        <f t="array" ref="H3003">IFERROR(VLOOKUP(INPUT!M2998&amp;INPUT!N2998,CHOOSE({1,2},INPUT!$A$3:$A$5000&amp;INPUT!$C$3:$C$5000,INPUT!$D$3:$D$5000),2,FALSE),"")</f>
        <v>0</v>
      </c>
      <c r="I3003" s="46" t="str">
        <f>IF(INPUT!P2998="","",INPUT!P2998)</f>
        <v/>
      </c>
      <c r="J3003" s="46" t="str">
        <f>IF(INPUT!Q2998="","",INPUT!Q2998)</f>
        <v/>
      </c>
      <c r="K3003" s="46" t="str">
        <f>IFERROR(IF(OR(INPUT!P2998="",INPUT!Q2998=""),"",INPUT!P2998-INPUT!Q2998),"")</f>
        <v/>
      </c>
      <c r="L3003" s="48" t="str">
        <f>IFERROR(IF(OR(INPUT!P2998="",INPUT!Q2998="",INPUT!P2998=0),"",(INPUT!P2998-INPUT!Q2998)/INPUT!P2998),"")</f>
        <v/>
      </c>
    </row>
    <row r="3004" spans="1:12" ht="18" hidden="1" customHeight="1" x14ac:dyDescent="0.2">
      <c r="A3004" s="11" t="str">
        <f>IF(INPUT!M2999="","",INPUT!M2999)</f>
        <v/>
      </c>
      <c r="B3004" s="11" t="str">
        <f>IF(INPUT!M2999="","",INPUT!M2999-WEEKDAY(INPUT!M2999,2)+1)</f>
        <v/>
      </c>
      <c r="C3004" s="20">
        <f>IFERROR(_xlfn.ISOWEEKNUM(INPUT!M2999),"")</f>
        <v>52</v>
      </c>
      <c r="D3004" s="20">
        <f>IFERROR(YEAR(INPUT!M2999),"")</f>
        <v>1900</v>
      </c>
      <c r="E3004" t="str">
        <f>IF(INPUT!O2999="","",INPUT!O2999)</f>
        <v/>
      </c>
      <c r="F3004" t="str">
        <f>IF(INPUT!N2999="","",INPUT!N2999)</f>
        <v/>
      </c>
      <c r="G3004" cm="1">
        <f t="array" ref="G3004">IFERROR(VLOOKUP(INPUT!M2999&amp;INPUT!N2999,CHOOSE({1,2},INPUT!$A$3:$A$5000&amp;INPUT!$C$3:$C$5000,INPUT!$F$3:$F$5000),2,FALSE),"")</f>
        <v>0</v>
      </c>
      <c r="H3004" cm="1">
        <f t="array" ref="H3004">IFERROR(VLOOKUP(INPUT!M2999&amp;INPUT!N2999,CHOOSE({1,2},INPUT!$A$3:$A$5000&amp;INPUT!$C$3:$C$5000,INPUT!$D$3:$D$5000),2,FALSE),"")</f>
        <v>0</v>
      </c>
      <c r="I3004" s="46" t="str">
        <f>IF(INPUT!P2999="","",INPUT!P2999)</f>
        <v/>
      </c>
      <c r="J3004" s="46" t="str">
        <f>IF(INPUT!Q2999="","",INPUT!Q2999)</f>
        <v/>
      </c>
      <c r="K3004" s="46" t="str">
        <f>IFERROR(IF(OR(INPUT!P2999="",INPUT!Q2999=""),"",INPUT!P2999-INPUT!Q2999),"")</f>
        <v/>
      </c>
      <c r="L3004" s="48" t="str">
        <f>IFERROR(IF(OR(INPUT!P2999="",INPUT!Q2999="",INPUT!P2999=0),"",(INPUT!P2999-INPUT!Q2999)/INPUT!P2999),"")</f>
        <v/>
      </c>
    </row>
    <row r="3005" spans="1:12" ht="18" hidden="1" customHeight="1" x14ac:dyDescent="0.2">
      <c r="A3005" s="11" t="str">
        <f>IF(INPUT!M3000="","",INPUT!M3000)</f>
        <v/>
      </c>
      <c r="B3005" s="11" t="str">
        <f>IF(INPUT!M3000="","",INPUT!M3000-WEEKDAY(INPUT!M3000,2)+1)</f>
        <v/>
      </c>
      <c r="C3005" s="20">
        <f>IFERROR(_xlfn.ISOWEEKNUM(INPUT!M3000),"")</f>
        <v>52</v>
      </c>
      <c r="D3005" s="20">
        <f>IFERROR(YEAR(INPUT!M3000),"")</f>
        <v>1900</v>
      </c>
      <c r="E3005" t="str">
        <f>IF(INPUT!O3000="","",INPUT!O3000)</f>
        <v/>
      </c>
      <c r="F3005" t="str">
        <f>IF(INPUT!N3000="","",INPUT!N3000)</f>
        <v/>
      </c>
      <c r="G3005" cm="1">
        <f t="array" ref="G3005">IFERROR(VLOOKUP(INPUT!M3000&amp;INPUT!N3000,CHOOSE({1,2},INPUT!$A$3:$A$5000&amp;INPUT!$C$3:$C$5000,INPUT!$F$3:$F$5000),2,FALSE),"")</f>
        <v>0</v>
      </c>
      <c r="H3005" cm="1">
        <f t="array" ref="H3005">IFERROR(VLOOKUP(INPUT!M3000&amp;INPUT!N3000,CHOOSE({1,2},INPUT!$A$3:$A$5000&amp;INPUT!$C$3:$C$5000,INPUT!$D$3:$D$5000),2,FALSE),"")</f>
        <v>0</v>
      </c>
      <c r="I3005" s="46" t="str">
        <f>IF(INPUT!P3000="","",INPUT!P3000)</f>
        <v/>
      </c>
      <c r="J3005" s="46" t="str">
        <f>IF(INPUT!Q3000="","",INPUT!Q3000)</f>
        <v/>
      </c>
      <c r="K3005" s="46" t="str">
        <f>IFERROR(IF(OR(INPUT!P3000="",INPUT!Q3000=""),"",INPUT!P3000-INPUT!Q3000),"")</f>
        <v/>
      </c>
      <c r="L3005" s="48" t="str">
        <f>IFERROR(IF(OR(INPUT!P3000="",INPUT!Q3000="",INPUT!P3000=0),"",(INPUT!P3000-INPUT!Q3000)/INPUT!P3000),"")</f>
        <v/>
      </c>
    </row>
    <row r="3006" spans="1:12" ht="18" hidden="1" customHeight="1" x14ac:dyDescent="0.2">
      <c r="A3006" s="11" t="str">
        <f>IF(INPUT!M3001="","",INPUT!M3001)</f>
        <v/>
      </c>
      <c r="B3006" s="11" t="str">
        <f>IF(INPUT!M3001="","",INPUT!M3001-WEEKDAY(INPUT!M3001,2)+1)</f>
        <v/>
      </c>
      <c r="C3006" s="20">
        <f>IFERROR(_xlfn.ISOWEEKNUM(INPUT!M3001),"")</f>
        <v>52</v>
      </c>
      <c r="D3006" s="20">
        <f>IFERROR(YEAR(INPUT!M3001),"")</f>
        <v>1900</v>
      </c>
      <c r="E3006" t="str">
        <f>IF(INPUT!O3001="","",INPUT!O3001)</f>
        <v/>
      </c>
      <c r="F3006" t="str">
        <f>IF(INPUT!N3001="","",INPUT!N3001)</f>
        <v/>
      </c>
      <c r="G3006" cm="1">
        <f t="array" ref="G3006">IFERROR(VLOOKUP(INPUT!M3001&amp;INPUT!N3001,CHOOSE({1,2},INPUT!$A$3:$A$5000&amp;INPUT!$C$3:$C$5000,INPUT!$F$3:$F$5000),2,FALSE),"")</f>
        <v>0</v>
      </c>
      <c r="H3006" cm="1">
        <f t="array" ref="H3006">IFERROR(VLOOKUP(INPUT!M3001&amp;INPUT!N3001,CHOOSE({1,2},INPUT!$A$3:$A$5000&amp;INPUT!$C$3:$C$5000,INPUT!$D$3:$D$5000),2,FALSE),"")</f>
        <v>0</v>
      </c>
      <c r="I3006" s="46" t="str">
        <f>IF(INPUT!P3001="","",INPUT!P3001)</f>
        <v/>
      </c>
      <c r="J3006" s="46" t="str">
        <f>IF(INPUT!Q3001="","",INPUT!Q3001)</f>
        <v/>
      </c>
      <c r="K3006" s="46" t="str">
        <f>IFERROR(IF(OR(INPUT!P3001="",INPUT!Q3001=""),"",INPUT!P3001-INPUT!Q3001),"")</f>
        <v/>
      </c>
      <c r="L3006" s="48" t="str">
        <f>IFERROR(IF(OR(INPUT!P3001="",INPUT!Q3001="",INPUT!P3001=0),"",(INPUT!P3001-INPUT!Q3001)/INPUT!P3001),"")</f>
        <v/>
      </c>
    </row>
    <row r="3007" spans="1:12" ht="18" hidden="1" customHeight="1" x14ac:dyDescent="0.2">
      <c r="A3007" s="11" t="str">
        <f>IF(INPUT!M3002="","",INPUT!M3002)</f>
        <v/>
      </c>
      <c r="B3007" s="11" t="str">
        <f>IF(INPUT!M3002="","",INPUT!M3002-WEEKDAY(INPUT!M3002,2)+1)</f>
        <v/>
      </c>
      <c r="C3007" s="20">
        <f>IFERROR(_xlfn.ISOWEEKNUM(INPUT!M3002),"")</f>
        <v>52</v>
      </c>
      <c r="D3007" s="20">
        <f>IFERROR(YEAR(INPUT!M3002),"")</f>
        <v>1900</v>
      </c>
      <c r="E3007" t="str">
        <f>IF(INPUT!O3002="","",INPUT!O3002)</f>
        <v/>
      </c>
      <c r="F3007" t="str">
        <f>IF(INPUT!N3002="","",INPUT!N3002)</f>
        <v/>
      </c>
      <c r="G3007" cm="1">
        <f t="array" ref="G3007">IFERROR(VLOOKUP(INPUT!M3002&amp;INPUT!N3002,CHOOSE({1,2},INPUT!$A$3:$A$5000&amp;INPUT!$C$3:$C$5000,INPUT!$F$3:$F$5000),2,FALSE),"")</f>
        <v>0</v>
      </c>
      <c r="H3007" cm="1">
        <f t="array" ref="H3007">IFERROR(VLOOKUP(INPUT!M3002&amp;INPUT!N3002,CHOOSE({1,2},INPUT!$A$3:$A$5000&amp;INPUT!$C$3:$C$5000,INPUT!$D$3:$D$5000),2,FALSE),"")</f>
        <v>0</v>
      </c>
      <c r="I3007" s="46" t="str">
        <f>IF(INPUT!P3002="","",INPUT!P3002)</f>
        <v/>
      </c>
      <c r="J3007" s="46" t="str">
        <f>IF(INPUT!Q3002="","",INPUT!Q3002)</f>
        <v/>
      </c>
      <c r="K3007" s="46" t="str">
        <f>IFERROR(IF(OR(INPUT!P3002="",INPUT!Q3002=""),"",INPUT!P3002-INPUT!Q3002),"")</f>
        <v/>
      </c>
      <c r="L3007" s="48" t="str">
        <f>IFERROR(IF(OR(INPUT!P3002="",INPUT!Q3002="",INPUT!P3002=0),"",(INPUT!P3002-INPUT!Q3002)/INPUT!P3002),"")</f>
        <v/>
      </c>
    </row>
    <row r="3008" spans="1:12" ht="18" hidden="1" customHeight="1" x14ac:dyDescent="0.2">
      <c r="A3008" s="11" t="str">
        <f>IF(INPUT!M3003="","",INPUT!M3003)</f>
        <v/>
      </c>
      <c r="B3008" s="11" t="str">
        <f>IF(INPUT!M3003="","",INPUT!M3003-WEEKDAY(INPUT!M3003,2)+1)</f>
        <v/>
      </c>
      <c r="C3008" s="20">
        <f>IFERROR(_xlfn.ISOWEEKNUM(INPUT!M3003),"")</f>
        <v>52</v>
      </c>
      <c r="D3008" s="20">
        <f>IFERROR(YEAR(INPUT!M3003),"")</f>
        <v>1900</v>
      </c>
      <c r="E3008" t="str">
        <f>IF(INPUT!O3003="","",INPUT!O3003)</f>
        <v/>
      </c>
      <c r="F3008" t="str">
        <f>IF(INPUT!N3003="","",INPUT!N3003)</f>
        <v/>
      </c>
      <c r="G3008" cm="1">
        <f t="array" ref="G3008">IFERROR(VLOOKUP(INPUT!M3003&amp;INPUT!N3003,CHOOSE({1,2},INPUT!$A$3:$A$5000&amp;INPUT!$C$3:$C$5000,INPUT!$F$3:$F$5000),2,FALSE),"")</f>
        <v>0</v>
      </c>
      <c r="H3008" cm="1">
        <f t="array" ref="H3008">IFERROR(VLOOKUP(INPUT!M3003&amp;INPUT!N3003,CHOOSE({1,2},INPUT!$A$3:$A$5000&amp;INPUT!$C$3:$C$5000,INPUT!$D$3:$D$5000),2,FALSE),"")</f>
        <v>0</v>
      </c>
      <c r="I3008" s="46" t="str">
        <f>IF(INPUT!P3003="","",INPUT!P3003)</f>
        <v/>
      </c>
      <c r="J3008" s="46" t="str">
        <f>IF(INPUT!Q3003="","",INPUT!Q3003)</f>
        <v/>
      </c>
      <c r="K3008" s="46" t="str">
        <f>IFERROR(IF(OR(INPUT!P3003="",INPUT!Q3003=""),"",INPUT!P3003-INPUT!Q3003),"")</f>
        <v/>
      </c>
      <c r="L3008" s="48" t="str">
        <f>IFERROR(IF(OR(INPUT!P3003="",INPUT!Q3003="",INPUT!P3003=0),"",(INPUT!P3003-INPUT!Q3003)/INPUT!P3003),"")</f>
        <v/>
      </c>
    </row>
    <row r="3009" spans="1:12" ht="18" hidden="1" customHeight="1" x14ac:dyDescent="0.2">
      <c r="A3009" s="11" t="str">
        <f>IF(INPUT!M3004="","",INPUT!M3004)</f>
        <v/>
      </c>
      <c r="B3009" s="11" t="str">
        <f>IF(INPUT!M3004="","",INPUT!M3004-WEEKDAY(INPUT!M3004,2)+1)</f>
        <v/>
      </c>
      <c r="C3009" s="20">
        <f>IFERROR(_xlfn.ISOWEEKNUM(INPUT!M3004),"")</f>
        <v>52</v>
      </c>
      <c r="D3009" s="20">
        <f>IFERROR(YEAR(INPUT!M3004),"")</f>
        <v>1900</v>
      </c>
      <c r="E3009" t="str">
        <f>IF(INPUT!O3004="","",INPUT!O3004)</f>
        <v/>
      </c>
      <c r="F3009" t="str">
        <f>IF(INPUT!N3004="","",INPUT!N3004)</f>
        <v/>
      </c>
      <c r="G3009" cm="1">
        <f t="array" ref="G3009">IFERROR(VLOOKUP(INPUT!M3004&amp;INPUT!N3004,CHOOSE({1,2},INPUT!$A$3:$A$5000&amp;INPUT!$C$3:$C$5000,INPUT!$F$3:$F$5000),2,FALSE),"")</f>
        <v>0</v>
      </c>
      <c r="H3009" cm="1">
        <f t="array" ref="H3009">IFERROR(VLOOKUP(INPUT!M3004&amp;INPUT!N3004,CHOOSE({1,2},INPUT!$A$3:$A$5000&amp;INPUT!$C$3:$C$5000,INPUT!$D$3:$D$5000),2,FALSE),"")</f>
        <v>0</v>
      </c>
      <c r="I3009" s="46" t="str">
        <f>IF(INPUT!P3004="","",INPUT!P3004)</f>
        <v/>
      </c>
      <c r="J3009" s="46" t="str">
        <f>IF(INPUT!Q3004="","",INPUT!Q3004)</f>
        <v/>
      </c>
      <c r="K3009" s="46" t="str">
        <f>IFERROR(IF(OR(INPUT!P3004="",INPUT!Q3004=""),"",INPUT!P3004-INPUT!Q3004),"")</f>
        <v/>
      </c>
      <c r="L3009" s="48" t="str">
        <f>IFERROR(IF(OR(INPUT!P3004="",INPUT!Q3004="",INPUT!P3004=0),"",(INPUT!P3004-INPUT!Q3004)/INPUT!P3004),"")</f>
        <v/>
      </c>
    </row>
    <row r="3010" spans="1:12" ht="18" hidden="1" customHeight="1" x14ac:dyDescent="0.2">
      <c r="A3010" s="11" t="str">
        <f>IF(INPUT!M3005="","",INPUT!M3005)</f>
        <v/>
      </c>
      <c r="B3010" s="11" t="str">
        <f>IF(INPUT!M3005="","",INPUT!M3005-WEEKDAY(INPUT!M3005,2)+1)</f>
        <v/>
      </c>
      <c r="C3010" s="20">
        <f>IFERROR(_xlfn.ISOWEEKNUM(INPUT!M3005),"")</f>
        <v>52</v>
      </c>
      <c r="D3010" s="20">
        <f>IFERROR(YEAR(INPUT!M3005),"")</f>
        <v>1900</v>
      </c>
      <c r="E3010" t="str">
        <f>IF(INPUT!O3005="","",INPUT!O3005)</f>
        <v/>
      </c>
      <c r="F3010" t="str">
        <f>IF(INPUT!N3005="","",INPUT!N3005)</f>
        <v/>
      </c>
      <c r="G3010" cm="1">
        <f t="array" ref="G3010">IFERROR(VLOOKUP(INPUT!M3005&amp;INPUT!N3005,CHOOSE({1,2},INPUT!$A$3:$A$5000&amp;INPUT!$C$3:$C$5000,INPUT!$F$3:$F$5000),2,FALSE),"")</f>
        <v>0</v>
      </c>
      <c r="H3010" cm="1">
        <f t="array" ref="H3010">IFERROR(VLOOKUP(INPUT!M3005&amp;INPUT!N3005,CHOOSE({1,2},INPUT!$A$3:$A$5000&amp;INPUT!$C$3:$C$5000,INPUT!$D$3:$D$5000),2,FALSE),"")</f>
        <v>0</v>
      </c>
      <c r="I3010" s="46" t="str">
        <f>IF(INPUT!P3005="","",INPUT!P3005)</f>
        <v/>
      </c>
      <c r="J3010" s="46" t="str">
        <f>IF(INPUT!Q3005="","",INPUT!Q3005)</f>
        <v/>
      </c>
      <c r="K3010" s="46" t="str">
        <f>IFERROR(IF(OR(INPUT!P3005="",INPUT!Q3005=""),"",INPUT!P3005-INPUT!Q3005),"")</f>
        <v/>
      </c>
      <c r="L3010" s="48" t="str">
        <f>IFERROR(IF(OR(INPUT!P3005="",INPUT!Q3005="",INPUT!P3005=0),"",(INPUT!P3005-INPUT!Q3005)/INPUT!P3005),"")</f>
        <v/>
      </c>
    </row>
    <row r="3011" spans="1:12" ht="18" hidden="1" customHeight="1" x14ac:dyDescent="0.2">
      <c r="A3011" s="11" t="str">
        <f>IF(INPUT!M3006="","",INPUT!M3006)</f>
        <v/>
      </c>
      <c r="B3011" s="11" t="str">
        <f>IF(INPUT!M3006="","",INPUT!M3006-WEEKDAY(INPUT!M3006,2)+1)</f>
        <v/>
      </c>
      <c r="C3011" s="20">
        <f>IFERROR(_xlfn.ISOWEEKNUM(INPUT!M3006),"")</f>
        <v>52</v>
      </c>
      <c r="D3011" s="20">
        <f>IFERROR(YEAR(INPUT!M3006),"")</f>
        <v>1900</v>
      </c>
      <c r="E3011" t="str">
        <f>IF(INPUT!O3006="","",INPUT!O3006)</f>
        <v/>
      </c>
      <c r="F3011" t="str">
        <f>IF(INPUT!N3006="","",INPUT!N3006)</f>
        <v/>
      </c>
      <c r="G3011" cm="1">
        <f t="array" ref="G3011">IFERROR(VLOOKUP(INPUT!M3006&amp;INPUT!N3006,CHOOSE({1,2},INPUT!$A$3:$A$5000&amp;INPUT!$C$3:$C$5000,INPUT!$F$3:$F$5000),2,FALSE),"")</f>
        <v>0</v>
      </c>
      <c r="H3011" cm="1">
        <f t="array" ref="H3011">IFERROR(VLOOKUP(INPUT!M3006&amp;INPUT!N3006,CHOOSE({1,2},INPUT!$A$3:$A$5000&amp;INPUT!$C$3:$C$5000,INPUT!$D$3:$D$5000),2,FALSE),"")</f>
        <v>0</v>
      </c>
      <c r="I3011" s="46" t="str">
        <f>IF(INPUT!P3006="","",INPUT!P3006)</f>
        <v/>
      </c>
      <c r="J3011" s="46" t="str">
        <f>IF(INPUT!Q3006="","",INPUT!Q3006)</f>
        <v/>
      </c>
      <c r="K3011" s="46" t="str">
        <f>IFERROR(IF(OR(INPUT!P3006="",INPUT!Q3006=""),"",INPUT!P3006-INPUT!Q3006),"")</f>
        <v/>
      </c>
      <c r="L3011" s="48" t="str">
        <f>IFERROR(IF(OR(INPUT!P3006="",INPUT!Q3006="",INPUT!P3006=0),"",(INPUT!P3006-INPUT!Q3006)/INPUT!P3006),"")</f>
        <v/>
      </c>
    </row>
    <row r="3012" spans="1:12" ht="18" hidden="1" customHeight="1" x14ac:dyDescent="0.2">
      <c r="A3012" s="11" t="str">
        <f>IF(INPUT!M3007="","",INPUT!M3007)</f>
        <v/>
      </c>
      <c r="B3012" s="11" t="str">
        <f>IF(INPUT!M3007="","",INPUT!M3007-WEEKDAY(INPUT!M3007,2)+1)</f>
        <v/>
      </c>
      <c r="C3012" s="20">
        <f>IFERROR(_xlfn.ISOWEEKNUM(INPUT!M3007),"")</f>
        <v>52</v>
      </c>
      <c r="D3012" s="20">
        <f>IFERROR(YEAR(INPUT!M3007),"")</f>
        <v>1900</v>
      </c>
      <c r="E3012" t="str">
        <f>IF(INPUT!O3007="","",INPUT!O3007)</f>
        <v/>
      </c>
      <c r="F3012" t="str">
        <f>IF(INPUT!N3007="","",INPUT!N3007)</f>
        <v/>
      </c>
      <c r="G3012" cm="1">
        <f t="array" ref="G3012">IFERROR(VLOOKUP(INPUT!M3007&amp;INPUT!N3007,CHOOSE({1,2},INPUT!$A$3:$A$5000&amp;INPUT!$C$3:$C$5000,INPUT!$F$3:$F$5000),2,FALSE),"")</f>
        <v>0</v>
      </c>
      <c r="H3012" cm="1">
        <f t="array" ref="H3012">IFERROR(VLOOKUP(INPUT!M3007&amp;INPUT!N3007,CHOOSE({1,2},INPUT!$A$3:$A$5000&amp;INPUT!$C$3:$C$5000,INPUT!$D$3:$D$5000),2,FALSE),"")</f>
        <v>0</v>
      </c>
      <c r="I3012" s="46" t="str">
        <f>IF(INPUT!P3007="","",INPUT!P3007)</f>
        <v/>
      </c>
      <c r="J3012" s="46" t="str">
        <f>IF(INPUT!Q3007="","",INPUT!Q3007)</f>
        <v/>
      </c>
      <c r="K3012" s="46" t="str">
        <f>IFERROR(IF(OR(INPUT!P3007="",INPUT!Q3007=""),"",INPUT!P3007-INPUT!Q3007),"")</f>
        <v/>
      </c>
      <c r="L3012" s="48" t="str">
        <f>IFERROR(IF(OR(INPUT!P3007="",INPUT!Q3007="",INPUT!P3007=0),"",(INPUT!P3007-INPUT!Q3007)/INPUT!P3007),"")</f>
        <v/>
      </c>
    </row>
    <row r="3013" spans="1:12" ht="18" hidden="1" customHeight="1" x14ac:dyDescent="0.2">
      <c r="A3013" s="11" t="str">
        <f>IF(INPUT!M3008="","",INPUT!M3008)</f>
        <v/>
      </c>
      <c r="B3013" s="11" t="str">
        <f>IF(INPUT!M3008="","",INPUT!M3008-WEEKDAY(INPUT!M3008,2)+1)</f>
        <v/>
      </c>
      <c r="C3013" s="20">
        <f>IFERROR(_xlfn.ISOWEEKNUM(INPUT!M3008),"")</f>
        <v>52</v>
      </c>
      <c r="D3013" s="20">
        <f>IFERROR(YEAR(INPUT!M3008),"")</f>
        <v>1900</v>
      </c>
      <c r="E3013" t="str">
        <f>IF(INPUT!O3008="","",INPUT!O3008)</f>
        <v/>
      </c>
      <c r="F3013" t="str">
        <f>IF(INPUT!N3008="","",INPUT!N3008)</f>
        <v/>
      </c>
      <c r="G3013" cm="1">
        <f t="array" ref="G3013">IFERROR(VLOOKUP(INPUT!M3008&amp;INPUT!N3008,CHOOSE({1,2},INPUT!$A$3:$A$5000&amp;INPUT!$C$3:$C$5000,INPUT!$F$3:$F$5000),2,FALSE),"")</f>
        <v>0</v>
      </c>
      <c r="H3013" cm="1">
        <f t="array" ref="H3013">IFERROR(VLOOKUP(INPUT!M3008&amp;INPUT!N3008,CHOOSE({1,2},INPUT!$A$3:$A$5000&amp;INPUT!$C$3:$C$5000,INPUT!$D$3:$D$5000),2,FALSE),"")</f>
        <v>0</v>
      </c>
      <c r="I3013" s="46" t="str">
        <f>IF(INPUT!P3008="","",INPUT!P3008)</f>
        <v/>
      </c>
      <c r="J3013" s="46" t="str">
        <f>IF(INPUT!Q3008="","",INPUT!Q3008)</f>
        <v/>
      </c>
      <c r="K3013" s="46" t="str">
        <f>IFERROR(IF(OR(INPUT!P3008="",INPUT!Q3008=""),"",INPUT!P3008-INPUT!Q3008),"")</f>
        <v/>
      </c>
      <c r="L3013" s="48" t="str">
        <f>IFERROR(IF(OR(INPUT!P3008="",INPUT!Q3008="",INPUT!P3008=0),"",(INPUT!P3008-INPUT!Q3008)/INPUT!P3008),"")</f>
        <v/>
      </c>
    </row>
    <row r="3014" spans="1:12" ht="18" hidden="1" customHeight="1" x14ac:dyDescent="0.2">
      <c r="A3014" s="11" t="str">
        <f>IF(INPUT!M3009="","",INPUT!M3009)</f>
        <v/>
      </c>
      <c r="B3014" s="11" t="str">
        <f>IF(INPUT!M3009="","",INPUT!M3009-WEEKDAY(INPUT!M3009,2)+1)</f>
        <v/>
      </c>
      <c r="C3014" s="20">
        <f>IFERROR(_xlfn.ISOWEEKNUM(INPUT!M3009),"")</f>
        <v>52</v>
      </c>
      <c r="D3014" s="20">
        <f>IFERROR(YEAR(INPUT!M3009),"")</f>
        <v>1900</v>
      </c>
      <c r="E3014" t="str">
        <f>IF(INPUT!O3009="","",INPUT!O3009)</f>
        <v/>
      </c>
      <c r="F3014" t="str">
        <f>IF(INPUT!N3009="","",INPUT!N3009)</f>
        <v/>
      </c>
      <c r="G3014" cm="1">
        <f t="array" ref="G3014">IFERROR(VLOOKUP(INPUT!M3009&amp;INPUT!N3009,CHOOSE({1,2},INPUT!$A$3:$A$5000&amp;INPUT!$C$3:$C$5000,INPUT!$F$3:$F$5000),2,FALSE),"")</f>
        <v>0</v>
      </c>
      <c r="H3014" cm="1">
        <f t="array" ref="H3014">IFERROR(VLOOKUP(INPUT!M3009&amp;INPUT!N3009,CHOOSE({1,2},INPUT!$A$3:$A$5000&amp;INPUT!$C$3:$C$5000,INPUT!$D$3:$D$5000),2,FALSE),"")</f>
        <v>0</v>
      </c>
      <c r="I3014" s="46" t="str">
        <f>IF(INPUT!P3009="","",INPUT!P3009)</f>
        <v/>
      </c>
      <c r="J3014" s="46" t="str">
        <f>IF(INPUT!Q3009="","",INPUT!Q3009)</f>
        <v/>
      </c>
      <c r="K3014" s="46" t="str">
        <f>IFERROR(IF(OR(INPUT!P3009="",INPUT!Q3009=""),"",INPUT!P3009-INPUT!Q3009),"")</f>
        <v/>
      </c>
      <c r="L3014" s="48" t="str">
        <f>IFERROR(IF(OR(INPUT!P3009="",INPUT!Q3009="",INPUT!P3009=0),"",(INPUT!P3009-INPUT!Q3009)/INPUT!P3009),"")</f>
        <v/>
      </c>
    </row>
    <row r="3015" spans="1:12" ht="18" hidden="1" customHeight="1" x14ac:dyDescent="0.2">
      <c r="A3015" s="11" t="str">
        <f>IF(INPUT!M3010="","",INPUT!M3010)</f>
        <v/>
      </c>
      <c r="B3015" s="11" t="str">
        <f>IF(INPUT!M3010="","",INPUT!M3010-WEEKDAY(INPUT!M3010,2)+1)</f>
        <v/>
      </c>
      <c r="C3015" s="20">
        <f>IFERROR(_xlfn.ISOWEEKNUM(INPUT!M3010),"")</f>
        <v>52</v>
      </c>
      <c r="D3015" s="20">
        <f>IFERROR(YEAR(INPUT!M3010),"")</f>
        <v>1900</v>
      </c>
      <c r="E3015" t="str">
        <f>IF(INPUT!O3010="","",INPUT!O3010)</f>
        <v/>
      </c>
      <c r="F3015" t="str">
        <f>IF(INPUT!N3010="","",INPUT!N3010)</f>
        <v/>
      </c>
      <c r="G3015" cm="1">
        <f t="array" ref="G3015">IFERROR(VLOOKUP(INPUT!M3010&amp;INPUT!N3010,CHOOSE({1,2},INPUT!$A$3:$A$5000&amp;INPUT!$C$3:$C$5000,INPUT!$F$3:$F$5000),2,FALSE),"")</f>
        <v>0</v>
      </c>
      <c r="H3015" cm="1">
        <f t="array" ref="H3015">IFERROR(VLOOKUP(INPUT!M3010&amp;INPUT!N3010,CHOOSE({1,2},INPUT!$A$3:$A$5000&amp;INPUT!$C$3:$C$5000,INPUT!$D$3:$D$5000),2,FALSE),"")</f>
        <v>0</v>
      </c>
      <c r="I3015" s="46" t="str">
        <f>IF(INPUT!P3010="","",INPUT!P3010)</f>
        <v/>
      </c>
      <c r="J3015" s="46" t="str">
        <f>IF(INPUT!Q3010="","",INPUT!Q3010)</f>
        <v/>
      </c>
      <c r="K3015" s="46" t="str">
        <f>IFERROR(IF(OR(INPUT!P3010="",INPUT!Q3010=""),"",INPUT!P3010-INPUT!Q3010),"")</f>
        <v/>
      </c>
      <c r="L3015" s="48" t="str">
        <f>IFERROR(IF(OR(INPUT!P3010="",INPUT!Q3010="",INPUT!P3010=0),"",(INPUT!P3010-INPUT!Q3010)/INPUT!P3010),"")</f>
        <v/>
      </c>
    </row>
    <row r="3016" spans="1:12" ht="18" hidden="1" customHeight="1" x14ac:dyDescent="0.2">
      <c r="A3016" s="11" t="str">
        <f>IF(INPUT!M3011="","",INPUT!M3011)</f>
        <v/>
      </c>
      <c r="B3016" s="11" t="str">
        <f>IF(INPUT!M3011="","",INPUT!M3011-WEEKDAY(INPUT!M3011,2)+1)</f>
        <v/>
      </c>
      <c r="C3016" s="20">
        <f>IFERROR(_xlfn.ISOWEEKNUM(INPUT!M3011),"")</f>
        <v>52</v>
      </c>
      <c r="D3016" s="20">
        <f>IFERROR(YEAR(INPUT!M3011),"")</f>
        <v>1900</v>
      </c>
      <c r="E3016" t="str">
        <f>IF(INPUT!O3011="","",INPUT!O3011)</f>
        <v/>
      </c>
      <c r="F3016" t="str">
        <f>IF(INPUT!N3011="","",INPUT!N3011)</f>
        <v/>
      </c>
      <c r="G3016" cm="1">
        <f t="array" ref="G3016">IFERROR(VLOOKUP(INPUT!M3011&amp;INPUT!N3011,CHOOSE({1,2},INPUT!$A$3:$A$5000&amp;INPUT!$C$3:$C$5000,INPUT!$F$3:$F$5000),2,FALSE),"")</f>
        <v>0</v>
      </c>
      <c r="H3016" cm="1">
        <f t="array" ref="H3016">IFERROR(VLOOKUP(INPUT!M3011&amp;INPUT!N3011,CHOOSE({1,2},INPUT!$A$3:$A$5000&amp;INPUT!$C$3:$C$5000,INPUT!$D$3:$D$5000),2,FALSE),"")</f>
        <v>0</v>
      </c>
      <c r="I3016" s="46" t="str">
        <f>IF(INPUT!P3011="","",INPUT!P3011)</f>
        <v/>
      </c>
      <c r="J3016" s="46" t="str">
        <f>IF(INPUT!Q3011="","",INPUT!Q3011)</f>
        <v/>
      </c>
      <c r="K3016" s="46" t="str">
        <f>IFERROR(IF(OR(INPUT!P3011="",INPUT!Q3011=""),"",INPUT!P3011-INPUT!Q3011),"")</f>
        <v/>
      </c>
      <c r="L3016" s="48" t="str">
        <f>IFERROR(IF(OR(INPUT!P3011="",INPUT!Q3011="",INPUT!P3011=0),"",(INPUT!P3011-INPUT!Q3011)/INPUT!P3011),"")</f>
        <v/>
      </c>
    </row>
    <row r="3017" spans="1:12" ht="18" hidden="1" customHeight="1" x14ac:dyDescent="0.2">
      <c r="A3017" s="11" t="str">
        <f>IF(INPUT!M3012="","",INPUT!M3012)</f>
        <v/>
      </c>
      <c r="B3017" s="11" t="str">
        <f>IF(INPUT!M3012="","",INPUT!M3012-WEEKDAY(INPUT!M3012,2)+1)</f>
        <v/>
      </c>
      <c r="C3017" s="20">
        <f>IFERROR(_xlfn.ISOWEEKNUM(INPUT!M3012),"")</f>
        <v>52</v>
      </c>
      <c r="D3017" s="20">
        <f>IFERROR(YEAR(INPUT!M3012),"")</f>
        <v>1900</v>
      </c>
      <c r="E3017" t="str">
        <f>IF(INPUT!O3012="","",INPUT!O3012)</f>
        <v/>
      </c>
      <c r="F3017" t="str">
        <f>IF(INPUT!N3012="","",INPUT!N3012)</f>
        <v/>
      </c>
      <c r="G3017" cm="1">
        <f t="array" ref="G3017">IFERROR(VLOOKUP(INPUT!M3012&amp;INPUT!N3012,CHOOSE({1,2},INPUT!$A$3:$A$5000&amp;INPUT!$C$3:$C$5000,INPUT!$F$3:$F$5000),2,FALSE),"")</f>
        <v>0</v>
      </c>
      <c r="H3017" cm="1">
        <f t="array" ref="H3017">IFERROR(VLOOKUP(INPUT!M3012&amp;INPUT!N3012,CHOOSE({1,2},INPUT!$A$3:$A$5000&amp;INPUT!$C$3:$C$5000,INPUT!$D$3:$D$5000),2,FALSE),"")</f>
        <v>0</v>
      </c>
      <c r="I3017" s="46" t="str">
        <f>IF(INPUT!P3012="","",INPUT!P3012)</f>
        <v/>
      </c>
      <c r="J3017" s="46" t="str">
        <f>IF(INPUT!Q3012="","",INPUT!Q3012)</f>
        <v/>
      </c>
      <c r="K3017" s="46" t="str">
        <f>IFERROR(IF(OR(INPUT!P3012="",INPUT!Q3012=""),"",INPUT!P3012-INPUT!Q3012),"")</f>
        <v/>
      </c>
      <c r="L3017" s="48" t="str">
        <f>IFERROR(IF(OR(INPUT!P3012="",INPUT!Q3012="",INPUT!P3012=0),"",(INPUT!P3012-INPUT!Q3012)/INPUT!P3012),"")</f>
        <v/>
      </c>
    </row>
    <row r="3018" spans="1:12" ht="18" hidden="1" customHeight="1" x14ac:dyDescent="0.2">
      <c r="A3018" s="11" t="str">
        <f>IF(INPUT!M3013="","",INPUT!M3013)</f>
        <v/>
      </c>
      <c r="B3018" s="11" t="str">
        <f>IF(INPUT!M3013="","",INPUT!M3013-WEEKDAY(INPUT!M3013,2)+1)</f>
        <v/>
      </c>
      <c r="C3018" s="20">
        <f>IFERROR(_xlfn.ISOWEEKNUM(INPUT!M3013),"")</f>
        <v>52</v>
      </c>
      <c r="D3018" s="20">
        <f>IFERROR(YEAR(INPUT!M3013),"")</f>
        <v>1900</v>
      </c>
      <c r="E3018" t="str">
        <f>IF(INPUT!O3013="","",INPUT!O3013)</f>
        <v/>
      </c>
      <c r="F3018" t="str">
        <f>IF(INPUT!N3013="","",INPUT!N3013)</f>
        <v/>
      </c>
      <c r="G3018" cm="1">
        <f t="array" ref="G3018">IFERROR(VLOOKUP(INPUT!M3013&amp;INPUT!N3013,CHOOSE({1,2},INPUT!$A$3:$A$5000&amp;INPUT!$C$3:$C$5000,INPUT!$F$3:$F$5000),2,FALSE),"")</f>
        <v>0</v>
      </c>
      <c r="H3018" cm="1">
        <f t="array" ref="H3018">IFERROR(VLOOKUP(INPUT!M3013&amp;INPUT!N3013,CHOOSE({1,2},INPUT!$A$3:$A$5000&amp;INPUT!$C$3:$C$5000,INPUT!$D$3:$D$5000),2,FALSE),"")</f>
        <v>0</v>
      </c>
      <c r="I3018" s="46" t="str">
        <f>IF(INPUT!P3013="","",INPUT!P3013)</f>
        <v/>
      </c>
      <c r="J3018" s="46" t="str">
        <f>IF(INPUT!Q3013="","",INPUT!Q3013)</f>
        <v/>
      </c>
      <c r="K3018" s="46" t="str">
        <f>IFERROR(IF(OR(INPUT!P3013="",INPUT!Q3013=""),"",INPUT!P3013-INPUT!Q3013),"")</f>
        <v/>
      </c>
      <c r="L3018" s="48" t="str">
        <f>IFERROR(IF(OR(INPUT!P3013="",INPUT!Q3013="",INPUT!P3013=0),"",(INPUT!P3013-INPUT!Q3013)/INPUT!P3013),"")</f>
        <v/>
      </c>
    </row>
    <row r="3019" spans="1:12" ht="18" hidden="1" customHeight="1" x14ac:dyDescent="0.2">
      <c r="A3019" s="11" t="str">
        <f>IF(INPUT!M3014="","",INPUT!M3014)</f>
        <v/>
      </c>
      <c r="B3019" s="11" t="str">
        <f>IF(INPUT!M3014="","",INPUT!M3014-WEEKDAY(INPUT!M3014,2)+1)</f>
        <v/>
      </c>
      <c r="C3019" s="20">
        <f>IFERROR(_xlfn.ISOWEEKNUM(INPUT!M3014),"")</f>
        <v>52</v>
      </c>
      <c r="D3019" s="20">
        <f>IFERROR(YEAR(INPUT!M3014),"")</f>
        <v>1900</v>
      </c>
      <c r="E3019" t="str">
        <f>IF(INPUT!O3014="","",INPUT!O3014)</f>
        <v/>
      </c>
      <c r="F3019" t="str">
        <f>IF(INPUT!N3014="","",INPUT!N3014)</f>
        <v/>
      </c>
      <c r="G3019" cm="1">
        <f t="array" ref="G3019">IFERROR(VLOOKUP(INPUT!M3014&amp;INPUT!N3014,CHOOSE({1,2},INPUT!$A$3:$A$5000&amp;INPUT!$C$3:$C$5000,INPUT!$F$3:$F$5000),2,FALSE),"")</f>
        <v>0</v>
      </c>
      <c r="H3019" cm="1">
        <f t="array" ref="H3019">IFERROR(VLOOKUP(INPUT!M3014&amp;INPUT!N3014,CHOOSE({1,2},INPUT!$A$3:$A$5000&amp;INPUT!$C$3:$C$5000,INPUT!$D$3:$D$5000),2,FALSE),"")</f>
        <v>0</v>
      </c>
      <c r="I3019" s="46" t="str">
        <f>IF(INPUT!P3014="","",INPUT!P3014)</f>
        <v/>
      </c>
      <c r="J3019" s="46" t="str">
        <f>IF(INPUT!Q3014="","",INPUT!Q3014)</f>
        <v/>
      </c>
      <c r="K3019" s="46" t="str">
        <f>IFERROR(IF(OR(INPUT!P3014="",INPUT!Q3014=""),"",INPUT!P3014-INPUT!Q3014),"")</f>
        <v/>
      </c>
      <c r="L3019" s="48" t="str">
        <f>IFERROR(IF(OR(INPUT!P3014="",INPUT!Q3014="",INPUT!P3014=0),"",(INPUT!P3014-INPUT!Q3014)/INPUT!P3014),"")</f>
        <v/>
      </c>
    </row>
    <row r="3020" spans="1:12" ht="18" hidden="1" customHeight="1" x14ac:dyDescent="0.2">
      <c r="A3020" s="11" t="str">
        <f>IF(INPUT!M3015="","",INPUT!M3015)</f>
        <v/>
      </c>
      <c r="B3020" s="11" t="str">
        <f>IF(INPUT!M3015="","",INPUT!M3015-WEEKDAY(INPUT!M3015,2)+1)</f>
        <v/>
      </c>
      <c r="C3020" s="20">
        <f>IFERROR(_xlfn.ISOWEEKNUM(INPUT!M3015),"")</f>
        <v>52</v>
      </c>
      <c r="D3020" s="20">
        <f>IFERROR(YEAR(INPUT!M3015),"")</f>
        <v>1900</v>
      </c>
      <c r="E3020" t="str">
        <f>IF(INPUT!O3015="","",INPUT!O3015)</f>
        <v/>
      </c>
      <c r="F3020" t="str">
        <f>IF(INPUT!N3015="","",INPUT!N3015)</f>
        <v/>
      </c>
      <c r="G3020" cm="1">
        <f t="array" ref="G3020">IFERROR(VLOOKUP(INPUT!M3015&amp;INPUT!N3015,CHOOSE({1,2},INPUT!$A$3:$A$5000&amp;INPUT!$C$3:$C$5000,INPUT!$F$3:$F$5000),2,FALSE),"")</f>
        <v>0</v>
      </c>
      <c r="H3020" cm="1">
        <f t="array" ref="H3020">IFERROR(VLOOKUP(INPUT!M3015&amp;INPUT!N3015,CHOOSE({1,2},INPUT!$A$3:$A$5000&amp;INPUT!$C$3:$C$5000,INPUT!$D$3:$D$5000),2,FALSE),"")</f>
        <v>0</v>
      </c>
      <c r="I3020" s="46" t="str">
        <f>IF(INPUT!P3015="","",INPUT!P3015)</f>
        <v/>
      </c>
      <c r="J3020" s="46" t="str">
        <f>IF(INPUT!Q3015="","",INPUT!Q3015)</f>
        <v/>
      </c>
      <c r="K3020" s="46" t="str">
        <f>IFERROR(IF(OR(INPUT!P3015="",INPUT!Q3015=""),"",INPUT!P3015-INPUT!Q3015),"")</f>
        <v/>
      </c>
      <c r="L3020" s="48" t="str">
        <f>IFERROR(IF(OR(INPUT!P3015="",INPUT!Q3015="",INPUT!P3015=0),"",(INPUT!P3015-INPUT!Q3015)/INPUT!P3015),"")</f>
        <v/>
      </c>
    </row>
    <row r="3021" spans="1:12" ht="18" hidden="1" customHeight="1" x14ac:dyDescent="0.2">
      <c r="A3021" s="11" t="str">
        <f>IF(INPUT!M3016="","",INPUT!M3016)</f>
        <v/>
      </c>
      <c r="B3021" s="11" t="str">
        <f>IF(INPUT!M3016="","",INPUT!M3016-WEEKDAY(INPUT!M3016,2)+1)</f>
        <v/>
      </c>
      <c r="C3021" s="20">
        <f>IFERROR(_xlfn.ISOWEEKNUM(INPUT!M3016),"")</f>
        <v>52</v>
      </c>
      <c r="D3021" s="20">
        <f>IFERROR(YEAR(INPUT!M3016),"")</f>
        <v>1900</v>
      </c>
      <c r="E3021" t="str">
        <f>IF(INPUT!O3016="","",INPUT!O3016)</f>
        <v/>
      </c>
      <c r="F3021" t="str">
        <f>IF(INPUT!N3016="","",INPUT!N3016)</f>
        <v/>
      </c>
      <c r="G3021" cm="1">
        <f t="array" ref="G3021">IFERROR(VLOOKUP(INPUT!M3016&amp;INPUT!N3016,CHOOSE({1,2},INPUT!$A$3:$A$5000&amp;INPUT!$C$3:$C$5000,INPUT!$F$3:$F$5000),2,FALSE),"")</f>
        <v>0</v>
      </c>
      <c r="H3021" cm="1">
        <f t="array" ref="H3021">IFERROR(VLOOKUP(INPUT!M3016&amp;INPUT!N3016,CHOOSE({1,2},INPUT!$A$3:$A$5000&amp;INPUT!$C$3:$C$5000,INPUT!$D$3:$D$5000),2,FALSE),"")</f>
        <v>0</v>
      </c>
      <c r="I3021" s="46" t="str">
        <f>IF(INPUT!P3016="","",INPUT!P3016)</f>
        <v/>
      </c>
      <c r="J3021" s="46" t="str">
        <f>IF(INPUT!Q3016="","",INPUT!Q3016)</f>
        <v/>
      </c>
      <c r="K3021" s="46" t="str">
        <f>IFERROR(IF(OR(INPUT!P3016="",INPUT!Q3016=""),"",INPUT!P3016-INPUT!Q3016),"")</f>
        <v/>
      </c>
      <c r="L3021" s="48" t="str">
        <f>IFERROR(IF(OR(INPUT!P3016="",INPUT!Q3016="",INPUT!P3016=0),"",(INPUT!P3016-INPUT!Q3016)/INPUT!P3016),"")</f>
        <v/>
      </c>
    </row>
    <row r="3022" spans="1:12" ht="18" hidden="1" customHeight="1" x14ac:dyDescent="0.2">
      <c r="A3022" s="11" t="str">
        <f>IF(INPUT!M3017="","",INPUT!M3017)</f>
        <v/>
      </c>
      <c r="B3022" s="11" t="str">
        <f>IF(INPUT!M3017="","",INPUT!M3017-WEEKDAY(INPUT!M3017,2)+1)</f>
        <v/>
      </c>
      <c r="C3022" s="20">
        <f>IFERROR(_xlfn.ISOWEEKNUM(INPUT!M3017),"")</f>
        <v>52</v>
      </c>
      <c r="D3022" s="20">
        <f>IFERROR(YEAR(INPUT!M3017),"")</f>
        <v>1900</v>
      </c>
      <c r="E3022" t="str">
        <f>IF(INPUT!O3017="","",INPUT!O3017)</f>
        <v/>
      </c>
      <c r="F3022" t="str">
        <f>IF(INPUT!N3017="","",INPUT!N3017)</f>
        <v/>
      </c>
      <c r="G3022" cm="1">
        <f t="array" ref="G3022">IFERROR(VLOOKUP(INPUT!M3017&amp;INPUT!N3017,CHOOSE({1,2},INPUT!$A$3:$A$5000&amp;INPUT!$C$3:$C$5000,INPUT!$F$3:$F$5000),2,FALSE),"")</f>
        <v>0</v>
      </c>
      <c r="H3022" cm="1">
        <f t="array" ref="H3022">IFERROR(VLOOKUP(INPUT!M3017&amp;INPUT!N3017,CHOOSE({1,2},INPUT!$A$3:$A$5000&amp;INPUT!$C$3:$C$5000,INPUT!$D$3:$D$5000),2,FALSE),"")</f>
        <v>0</v>
      </c>
      <c r="I3022" s="46" t="str">
        <f>IF(INPUT!P3017="","",INPUT!P3017)</f>
        <v/>
      </c>
      <c r="J3022" s="46" t="str">
        <f>IF(INPUT!Q3017="","",INPUT!Q3017)</f>
        <v/>
      </c>
      <c r="K3022" s="46" t="str">
        <f>IFERROR(IF(OR(INPUT!P3017="",INPUT!Q3017=""),"",INPUT!P3017-INPUT!Q3017),"")</f>
        <v/>
      </c>
      <c r="L3022" s="48" t="str">
        <f>IFERROR(IF(OR(INPUT!P3017="",INPUT!Q3017="",INPUT!P3017=0),"",(INPUT!P3017-INPUT!Q3017)/INPUT!P3017),"")</f>
        <v/>
      </c>
    </row>
    <row r="3023" spans="1:12" ht="18" hidden="1" customHeight="1" x14ac:dyDescent="0.2">
      <c r="A3023" s="11" t="str">
        <f>IF(INPUT!M3018="","",INPUT!M3018)</f>
        <v/>
      </c>
      <c r="B3023" s="11" t="str">
        <f>IF(INPUT!M3018="","",INPUT!M3018-WEEKDAY(INPUT!M3018,2)+1)</f>
        <v/>
      </c>
      <c r="C3023" s="20">
        <f>IFERROR(_xlfn.ISOWEEKNUM(INPUT!M3018),"")</f>
        <v>52</v>
      </c>
      <c r="D3023" s="20">
        <f>IFERROR(YEAR(INPUT!M3018),"")</f>
        <v>1900</v>
      </c>
      <c r="E3023" t="str">
        <f>IF(INPUT!O3018="","",INPUT!O3018)</f>
        <v/>
      </c>
      <c r="F3023" t="str">
        <f>IF(INPUT!N3018="","",INPUT!N3018)</f>
        <v/>
      </c>
      <c r="G3023" cm="1">
        <f t="array" ref="G3023">IFERROR(VLOOKUP(INPUT!M3018&amp;INPUT!N3018,CHOOSE({1,2},INPUT!$A$3:$A$5000&amp;INPUT!$C$3:$C$5000,INPUT!$F$3:$F$5000),2,FALSE),"")</f>
        <v>0</v>
      </c>
      <c r="H3023" cm="1">
        <f t="array" ref="H3023">IFERROR(VLOOKUP(INPUT!M3018&amp;INPUT!N3018,CHOOSE({1,2},INPUT!$A$3:$A$5000&amp;INPUT!$C$3:$C$5000,INPUT!$D$3:$D$5000),2,FALSE),"")</f>
        <v>0</v>
      </c>
      <c r="I3023" s="46" t="str">
        <f>IF(INPUT!P3018="","",INPUT!P3018)</f>
        <v/>
      </c>
      <c r="J3023" s="46" t="str">
        <f>IF(INPUT!Q3018="","",INPUT!Q3018)</f>
        <v/>
      </c>
      <c r="K3023" s="46" t="str">
        <f>IFERROR(IF(OR(INPUT!P3018="",INPUT!Q3018=""),"",INPUT!P3018-INPUT!Q3018),"")</f>
        <v/>
      </c>
      <c r="L3023" s="48" t="str">
        <f>IFERROR(IF(OR(INPUT!P3018="",INPUT!Q3018="",INPUT!P3018=0),"",(INPUT!P3018-INPUT!Q3018)/INPUT!P3018),"")</f>
        <v/>
      </c>
    </row>
    <row r="3024" spans="1:12" ht="18" hidden="1" customHeight="1" x14ac:dyDescent="0.2">
      <c r="A3024" s="11" t="str">
        <f>IF(INPUT!M3019="","",INPUT!M3019)</f>
        <v/>
      </c>
      <c r="B3024" s="11" t="str">
        <f>IF(INPUT!M3019="","",INPUT!M3019-WEEKDAY(INPUT!M3019,2)+1)</f>
        <v/>
      </c>
      <c r="C3024" s="20">
        <f>IFERROR(_xlfn.ISOWEEKNUM(INPUT!M3019),"")</f>
        <v>52</v>
      </c>
      <c r="D3024" s="20">
        <f>IFERROR(YEAR(INPUT!M3019),"")</f>
        <v>1900</v>
      </c>
      <c r="E3024" t="str">
        <f>IF(INPUT!O3019="","",INPUT!O3019)</f>
        <v/>
      </c>
      <c r="F3024" t="str">
        <f>IF(INPUT!N3019="","",INPUT!N3019)</f>
        <v/>
      </c>
      <c r="G3024" cm="1">
        <f t="array" ref="G3024">IFERROR(VLOOKUP(INPUT!M3019&amp;INPUT!N3019,CHOOSE({1,2},INPUT!$A$3:$A$5000&amp;INPUT!$C$3:$C$5000,INPUT!$F$3:$F$5000),2,FALSE),"")</f>
        <v>0</v>
      </c>
      <c r="H3024" cm="1">
        <f t="array" ref="H3024">IFERROR(VLOOKUP(INPUT!M3019&amp;INPUT!N3019,CHOOSE({1,2},INPUT!$A$3:$A$5000&amp;INPUT!$C$3:$C$5000,INPUT!$D$3:$D$5000),2,FALSE),"")</f>
        <v>0</v>
      </c>
      <c r="I3024" s="46" t="str">
        <f>IF(INPUT!P3019="","",INPUT!P3019)</f>
        <v/>
      </c>
      <c r="J3024" s="46" t="str">
        <f>IF(INPUT!Q3019="","",INPUT!Q3019)</f>
        <v/>
      </c>
      <c r="K3024" s="46" t="str">
        <f>IFERROR(IF(OR(INPUT!P3019="",INPUT!Q3019=""),"",INPUT!P3019-INPUT!Q3019),"")</f>
        <v/>
      </c>
      <c r="L3024" s="48" t="str">
        <f>IFERROR(IF(OR(INPUT!P3019="",INPUT!Q3019="",INPUT!P3019=0),"",(INPUT!P3019-INPUT!Q3019)/INPUT!P3019),"")</f>
        <v/>
      </c>
    </row>
    <row r="3025" spans="1:12" ht="18" hidden="1" customHeight="1" x14ac:dyDescent="0.2">
      <c r="A3025" s="11" t="str">
        <f>IF(INPUT!M3020="","",INPUT!M3020)</f>
        <v/>
      </c>
      <c r="B3025" s="11" t="str">
        <f>IF(INPUT!M3020="","",INPUT!M3020-WEEKDAY(INPUT!M3020,2)+1)</f>
        <v/>
      </c>
      <c r="C3025" s="20">
        <f>IFERROR(_xlfn.ISOWEEKNUM(INPUT!M3020),"")</f>
        <v>52</v>
      </c>
      <c r="D3025" s="20">
        <f>IFERROR(YEAR(INPUT!M3020),"")</f>
        <v>1900</v>
      </c>
      <c r="E3025" t="str">
        <f>IF(INPUT!O3020="","",INPUT!O3020)</f>
        <v/>
      </c>
      <c r="F3025" t="str">
        <f>IF(INPUT!N3020="","",INPUT!N3020)</f>
        <v/>
      </c>
      <c r="G3025" cm="1">
        <f t="array" ref="G3025">IFERROR(VLOOKUP(INPUT!M3020&amp;INPUT!N3020,CHOOSE({1,2},INPUT!$A$3:$A$5000&amp;INPUT!$C$3:$C$5000,INPUT!$F$3:$F$5000),2,FALSE),"")</f>
        <v>0</v>
      </c>
      <c r="H3025" cm="1">
        <f t="array" ref="H3025">IFERROR(VLOOKUP(INPUT!M3020&amp;INPUT!N3020,CHOOSE({1,2},INPUT!$A$3:$A$5000&amp;INPUT!$C$3:$C$5000,INPUT!$D$3:$D$5000),2,FALSE),"")</f>
        <v>0</v>
      </c>
      <c r="I3025" s="46" t="str">
        <f>IF(INPUT!P3020="","",INPUT!P3020)</f>
        <v/>
      </c>
      <c r="J3025" s="46" t="str">
        <f>IF(INPUT!Q3020="","",INPUT!Q3020)</f>
        <v/>
      </c>
      <c r="K3025" s="46" t="str">
        <f>IFERROR(IF(OR(INPUT!P3020="",INPUT!Q3020=""),"",INPUT!P3020-INPUT!Q3020),"")</f>
        <v/>
      </c>
      <c r="L3025" s="48" t="str">
        <f>IFERROR(IF(OR(INPUT!P3020="",INPUT!Q3020="",INPUT!P3020=0),"",(INPUT!P3020-INPUT!Q3020)/INPUT!P3020),"")</f>
        <v/>
      </c>
    </row>
    <row r="3026" spans="1:12" ht="18" hidden="1" customHeight="1" x14ac:dyDescent="0.2">
      <c r="A3026" s="11" t="str">
        <f>IF(INPUT!M3021="","",INPUT!M3021)</f>
        <v/>
      </c>
      <c r="B3026" s="11" t="str">
        <f>IF(INPUT!M3021="","",INPUT!M3021-WEEKDAY(INPUT!M3021,2)+1)</f>
        <v/>
      </c>
      <c r="C3026" s="20">
        <f>IFERROR(_xlfn.ISOWEEKNUM(INPUT!M3021),"")</f>
        <v>52</v>
      </c>
      <c r="D3026" s="20">
        <f>IFERROR(YEAR(INPUT!M3021),"")</f>
        <v>1900</v>
      </c>
      <c r="E3026" t="str">
        <f>IF(INPUT!O3021="","",INPUT!O3021)</f>
        <v/>
      </c>
      <c r="F3026" t="str">
        <f>IF(INPUT!N3021="","",INPUT!N3021)</f>
        <v/>
      </c>
      <c r="G3026" cm="1">
        <f t="array" ref="G3026">IFERROR(VLOOKUP(INPUT!M3021&amp;INPUT!N3021,CHOOSE({1,2},INPUT!$A$3:$A$5000&amp;INPUT!$C$3:$C$5000,INPUT!$F$3:$F$5000),2,FALSE),"")</f>
        <v>0</v>
      </c>
      <c r="H3026" cm="1">
        <f t="array" ref="H3026">IFERROR(VLOOKUP(INPUT!M3021&amp;INPUT!N3021,CHOOSE({1,2},INPUT!$A$3:$A$5000&amp;INPUT!$C$3:$C$5000,INPUT!$D$3:$D$5000),2,FALSE),"")</f>
        <v>0</v>
      </c>
      <c r="I3026" s="46" t="str">
        <f>IF(INPUT!P3021="","",INPUT!P3021)</f>
        <v/>
      </c>
      <c r="J3026" s="46" t="str">
        <f>IF(INPUT!Q3021="","",INPUT!Q3021)</f>
        <v/>
      </c>
      <c r="K3026" s="46" t="str">
        <f>IFERROR(IF(OR(INPUT!P3021="",INPUT!Q3021=""),"",INPUT!P3021-INPUT!Q3021),"")</f>
        <v/>
      </c>
      <c r="L3026" s="48" t="str">
        <f>IFERROR(IF(OR(INPUT!P3021="",INPUT!Q3021="",INPUT!P3021=0),"",(INPUT!P3021-INPUT!Q3021)/INPUT!P3021),"")</f>
        <v/>
      </c>
    </row>
    <row r="3027" spans="1:12" ht="18" hidden="1" customHeight="1" x14ac:dyDescent="0.2">
      <c r="A3027" s="11" t="str">
        <f>IF(INPUT!M3022="","",INPUT!M3022)</f>
        <v/>
      </c>
      <c r="B3027" s="11" t="str">
        <f>IF(INPUT!M3022="","",INPUT!M3022-WEEKDAY(INPUT!M3022,2)+1)</f>
        <v/>
      </c>
      <c r="C3027" s="20">
        <f>IFERROR(_xlfn.ISOWEEKNUM(INPUT!M3022),"")</f>
        <v>52</v>
      </c>
      <c r="D3027" s="20">
        <f>IFERROR(YEAR(INPUT!M3022),"")</f>
        <v>1900</v>
      </c>
      <c r="E3027" t="str">
        <f>IF(INPUT!O3022="","",INPUT!O3022)</f>
        <v/>
      </c>
      <c r="F3027" t="str">
        <f>IF(INPUT!N3022="","",INPUT!N3022)</f>
        <v/>
      </c>
      <c r="G3027" cm="1">
        <f t="array" ref="G3027">IFERROR(VLOOKUP(INPUT!M3022&amp;INPUT!N3022,CHOOSE({1,2},INPUT!$A$3:$A$5000&amp;INPUT!$C$3:$C$5000,INPUT!$F$3:$F$5000),2,FALSE),"")</f>
        <v>0</v>
      </c>
      <c r="H3027" cm="1">
        <f t="array" ref="H3027">IFERROR(VLOOKUP(INPUT!M3022&amp;INPUT!N3022,CHOOSE({1,2},INPUT!$A$3:$A$5000&amp;INPUT!$C$3:$C$5000,INPUT!$D$3:$D$5000),2,FALSE),"")</f>
        <v>0</v>
      </c>
      <c r="I3027" s="46" t="str">
        <f>IF(INPUT!P3022="","",INPUT!P3022)</f>
        <v/>
      </c>
      <c r="J3027" s="46" t="str">
        <f>IF(INPUT!Q3022="","",INPUT!Q3022)</f>
        <v/>
      </c>
      <c r="K3027" s="46" t="str">
        <f>IFERROR(IF(OR(INPUT!P3022="",INPUT!Q3022=""),"",INPUT!P3022-INPUT!Q3022),"")</f>
        <v/>
      </c>
      <c r="L3027" s="48" t="str">
        <f>IFERROR(IF(OR(INPUT!P3022="",INPUT!Q3022="",INPUT!P3022=0),"",(INPUT!P3022-INPUT!Q3022)/INPUT!P3022),"")</f>
        <v/>
      </c>
    </row>
    <row r="3028" spans="1:12" ht="18" hidden="1" customHeight="1" x14ac:dyDescent="0.2">
      <c r="A3028" s="11" t="str">
        <f>IF(INPUT!M3023="","",INPUT!M3023)</f>
        <v/>
      </c>
      <c r="B3028" s="11" t="str">
        <f>IF(INPUT!M3023="","",INPUT!M3023-WEEKDAY(INPUT!M3023,2)+1)</f>
        <v/>
      </c>
      <c r="C3028" s="20">
        <f>IFERROR(_xlfn.ISOWEEKNUM(INPUT!M3023),"")</f>
        <v>52</v>
      </c>
      <c r="D3028" s="20">
        <f>IFERROR(YEAR(INPUT!M3023),"")</f>
        <v>1900</v>
      </c>
      <c r="E3028" t="str">
        <f>IF(INPUT!O3023="","",INPUT!O3023)</f>
        <v/>
      </c>
      <c r="F3028" t="str">
        <f>IF(INPUT!N3023="","",INPUT!N3023)</f>
        <v/>
      </c>
      <c r="G3028" cm="1">
        <f t="array" ref="G3028">IFERROR(VLOOKUP(INPUT!M3023&amp;INPUT!N3023,CHOOSE({1,2},INPUT!$A$3:$A$5000&amp;INPUT!$C$3:$C$5000,INPUT!$F$3:$F$5000),2,FALSE),"")</f>
        <v>0</v>
      </c>
      <c r="H3028" cm="1">
        <f t="array" ref="H3028">IFERROR(VLOOKUP(INPUT!M3023&amp;INPUT!N3023,CHOOSE({1,2},INPUT!$A$3:$A$5000&amp;INPUT!$C$3:$C$5000,INPUT!$D$3:$D$5000),2,FALSE),"")</f>
        <v>0</v>
      </c>
      <c r="I3028" s="46" t="str">
        <f>IF(INPUT!P3023="","",INPUT!P3023)</f>
        <v/>
      </c>
      <c r="J3028" s="46" t="str">
        <f>IF(INPUT!Q3023="","",INPUT!Q3023)</f>
        <v/>
      </c>
      <c r="K3028" s="46" t="str">
        <f>IFERROR(IF(OR(INPUT!P3023="",INPUT!Q3023=""),"",INPUT!P3023-INPUT!Q3023),"")</f>
        <v/>
      </c>
      <c r="L3028" s="48" t="str">
        <f>IFERROR(IF(OR(INPUT!P3023="",INPUT!Q3023="",INPUT!P3023=0),"",(INPUT!P3023-INPUT!Q3023)/INPUT!P3023),"")</f>
        <v/>
      </c>
    </row>
    <row r="3029" spans="1:12" ht="18" hidden="1" customHeight="1" x14ac:dyDescent="0.2">
      <c r="A3029" s="11" t="str">
        <f>IF(INPUT!M3024="","",INPUT!M3024)</f>
        <v/>
      </c>
      <c r="B3029" s="11" t="str">
        <f>IF(INPUT!M3024="","",INPUT!M3024-WEEKDAY(INPUT!M3024,2)+1)</f>
        <v/>
      </c>
      <c r="C3029" s="20">
        <f>IFERROR(_xlfn.ISOWEEKNUM(INPUT!M3024),"")</f>
        <v>52</v>
      </c>
      <c r="D3029" s="20">
        <f>IFERROR(YEAR(INPUT!M3024),"")</f>
        <v>1900</v>
      </c>
      <c r="E3029" t="str">
        <f>IF(INPUT!O3024="","",INPUT!O3024)</f>
        <v/>
      </c>
      <c r="F3029" t="str">
        <f>IF(INPUT!N3024="","",INPUT!N3024)</f>
        <v/>
      </c>
      <c r="G3029" cm="1">
        <f t="array" ref="G3029">IFERROR(VLOOKUP(INPUT!M3024&amp;INPUT!N3024,CHOOSE({1,2},INPUT!$A$3:$A$5000&amp;INPUT!$C$3:$C$5000,INPUT!$F$3:$F$5000),2,FALSE),"")</f>
        <v>0</v>
      </c>
      <c r="H3029" cm="1">
        <f t="array" ref="H3029">IFERROR(VLOOKUP(INPUT!M3024&amp;INPUT!N3024,CHOOSE({1,2},INPUT!$A$3:$A$5000&amp;INPUT!$C$3:$C$5000,INPUT!$D$3:$D$5000),2,FALSE),"")</f>
        <v>0</v>
      </c>
      <c r="I3029" s="46" t="str">
        <f>IF(INPUT!P3024="","",INPUT!P3024)</f>
        <v/>
      </c>
      <c r="J3029" s="46" t="str">
        <f>IF(INPUT!Q3024="","",INPUT!Q3024)</f>
        <v/>
      </c>
      <c r="K3029" s="46" t="str">
        <f>IFERROR(IF(OR(INPUT!P3024="",INPUT!Q3024=""),"",INPUT!P3024-INPUT!Q3024),"")</f>
        <v/>
      </c>
      <c r="L3029" s="48" t="str">
        <f>IFERROR(IF(OR(INPUT!P3024="",INPUT!Q3024="",INPUT!P3024=0),"",(INPUT!P3024-INPUT!Q3024)/INPUT!P3024),"")</f>
        <v/>
      </c>
    </row>
    <row r="3030" spans="1:12" ht="18" hidden="1" customHeight="1" x14ac:dyDescent="0.2">
      <c r="A3030" s="11" t="str">
        <f>IF(INPUT!M3025="","",INPUT!M3025)</f>
        <v/>
      </c>
      <c r="B3030" s="11" t="str">
        <f>IF(INPUT!M3025="","",INPUT!M3025-WEEKDAY(INPUT!M3025,2)+1)</f>
        <v/>
      </c>
      <c r="C3030" s="20">
        <f>IFERROR(_xlfn.ISOWEEKNUM(INPUT!M3025),"")</f>
        <v>52</v>
      </c>
      <c r="D3030" s="20">
        <f>IFERROR(YEAR(INPUT!M3025),"")</f>
        <v>1900</v>
      </c>
      <c r="E3030" t="str">
        <f>IF(INPUT!O3025="","",INPUT!O3025)</f>
        <v/>
      </c>
      <c r="F3030" t="str">
        <f>IF(INPUT!N3025="","",INPUT!N3025)</f>
        <v/>
      </c>
      <c r="G3030" cm="1">
        <f t="array" ref="G3030">IFERROR(VLOOKUP(INPUT!M3025&amp;INPUT!N3025,CHOOSE({1,2},INPUT!$A$3:$A$5000&amp;INPUT!$C$3:$C$5000,INPUT!$F$3:$F$5000),2,FALSE),"")</f>
        <v>0</v>
      </c>
      <c r="H3030" cm="1">
        <f t="array" ref="H3030">IFERROR(VLOOKUP(INPUT!M3025&amp;INPUT!N3025,CHOOSE({1,2},INPUT!$A$3:$A$5000&amp;INPUT!$C$3:$C$5000,INPUT!$D$3:$D$5000),2,FALSE),"")</f>
        <v>0</v>
      </c>
      <c r="I3030" s="46" t="str">
        <f>IF(INPUT!P3025="","",INPUT!P3025)</f>
        <v/>
      </c>
      <c r="J3030" s="46" t="str">
        <f>IF(INPUT!Q3025="","",INPUT!Q3025)</f>
        <v/>
      </c>
      <c r="K3030" s="46" t="str">
        <f>IFERROR(IF(OR(INPUT!P3025="",INPUT!Q3025=""),"",INPUT!P3025-INPUT!Q3025),"")</f>
        <v/>
      </c>
      <c r="L3030" s="48" t="str">
        <f>IFERROR(IF(OR(INPUT!P3025="",INPUT!Q3025="",INPUT!P3025=0),"",(INPUT!P3025-INPUT!Q3025)/INPUT!P3025),"")</f>
        <v/>
      </c>
    </row>
    <row r="3031" spans="1:12" ht="18" hidden="1" customHeight="1" x14ac:dyDescent="0.2">
      <c r="A3031" s="11" t="str">
        <f>IF(INPUT!M3026="","",INPUT!M3026)</f>
        <v/>
      </c>
      <c r="B3031" s="11" t="str">
        <f>IF(INPUT!M3026="","",INPUT!M3026-WEEKDAY(INPUT!M3026,2)+1)</f>
        <v/>
      </c>
      <c r="C3031" s="20">
        <f>IFERROR(_xlfn.ISOWEEKNUM(INPUT!M3026),"")</f>
        <v>52</v>
      </c>
      <c r="D3031" s="20">
        <f>IFERROR(YEAR(INPUT!M3026),"")</f>
        <v>1900</v>
      </c>
      <c r="E3031" t="str">
        <f>IF(INPUT!O3026="","",INPUT!O3026)</f>
        <v/>
      </c>
      <c r="F3031" t="str">
        <f>IF(INPUT!N3026="","",INPUT!N3026)</f>
        <v/>
      </c>
      <c r="G3031" cm="1">
        <f t="array" ref="G3031">IFERROR(VLOOKUP(INPUT!M3026&amp;INPUT!N3026,CHOOSE({1,2},INPUT!$A$3:$A$5000&amp;INPUT!$C$3:$C$5000,INPUT!$F$3:$F$5000),2,FALSE),"")</f>
        <v>0</v>
      </c>
      <c r="H3031" cm="1">
        <f t="array" ref="H3031">IFERROR(VLOOKUP(INPUT!M3026&amp;INPUT!N3026,CHOOSE({1,2},INPUT!$A$3:$A$5000&amp;INPUT!$C$3:$C$5000,INPUT!$D$3:$D$5000),2,FALSE),"")</f>
        <v>0</v>
      </c>
      <c r="I3031" s="46" t="str">
        <f>IF(INPUT!P3026="","",INPUT!P3026)</f>
        <v/>
      </c>
      <c r="J3031" s="46" t="str">
        <f>IF(INPUT!Q3026="","",INPUT!Q3026)</f>
        <v/>
      </c>
      <c r="K3031" s="46" t="str">
        <f>IFERROR(IF(OR(INPUT!P3026="",INPUT!Q3026=""),"",INPUT!P3026-INPUT!Q3026),"")</f>
        <v/>
      </c>
      <c r="L3031" s="48" t="str">
        <f>IFERROR(IF(OR(INPUT!P3026="",INPUT!Q3026="",INPUT!P3026=0),"",(INPUT!P3026-INPUT!Q3026)/INPUT!P3026),"")</f>
        <v/>
      </c>
    </row>
    <row r="3032" spans="1:12" ht="18" hidden="1" customHeight="1" x14ac:dyDescent="0.2">
      <c r="A3032" s="11" t="str">
        <f>IF(INPUT!M3027="","",INPUT!M3027)</f>
        <v/>
      </c>
      <c r="B3032" s="11" t="str">
        <f>IF(INPUT!M3027="","",INPUT!M3027-WEEKDAY(INPUT!M3027,2)+1)</f>
        <v/>
      </c>
      <c r="C3032" s="20">
        <f>IFERROR(_xlfn.ISOWEEKNUM(INPUT!M3027),"")</f>
        <v>52</v>
      </c>
      <c r="D3032" s="20">
        <f>IFERROR(YEAR(INPUT!M3027),"")</f>
        <v>1900</v>
      </c>
      <c r="E3032" t="str">
        <f>IF(INPUT!O3027="","",INPUT!O3027)</f>
        <v/>
      </c>
      <c r="F3032" t="str">
        <f>IF(INPUT!N3027="","",INPUT!N3027)</f>
        <v/>
      </c>
      <c r="G3032" cm="1">
        <f t="array" ref="G3032">IFERROR(VLOOKUP(INPUT!M3027&amp;INPUT!N3027,CHOOSE({1,2},INPUT!$A$3:$A$5000&amp;INPUT!$C$3:$C$5000,INPUT!$F$3:$F$5000),2,FALSE),"")</f>
        <v>0</v>
      </c>
      <c r="H3032" cm="1">
        <f t="array" ref="H3032">IFERROR(VLOOKUP(INPUT!M3027&amp;INPUT!N3027,CHOOSE({1,2},INPUT!$A$3:$A$5000&amp;INPUT!$C$3:$C$5000,INPUT!$D$3:$D$5000),2,FALSE),"")</f>
        <v>0</v>
      </c>
      <c r="I3032" s="46" t="str">
        <f>IF(INPUT!P3027="","",INPUT!P3027)</f>
        <v/>
      </c>
      <c r="J3032" s="46" t="str">
        <f>IF(INPUT!Q3027="","",INPUT!Q3027)</f>
        <v/>
      </c>
      <c r="K3032" s="46" t="str">
        <f>IFERROR(IF(OR(INPUT!P3027="",INPUT!Q3027=""),"",INPUT!P3027-INPUT!Q3027),"")</f>
        <v/>
      </c>
      <c r="L3032" s="48" t="str">
        <f>IFERROR(IF(OR(INPUT!P3027="",INPUT!Q3027="",INPUT!P3027=0),"",(INPUT!P3027-INPUT!Q3027)/INPUT!P3027),"")</f>
        <v/>
      </c>
    </row>
    <row r="3033" spans="1:12" ht="18" hidden="1" customHeight="1" x14ac:dyDescent="0.2">
      <c r="A3033" s="11" t="str">
        <f>IF(INPUT!M3028="","",INPUT!M3028)</f>
        <v/>
      </c>
      <c r="B3033" s="11" t="str">
        <f>IF(INPUT!M3028="","",INPUT!M3028-WEEKDAY(INPUT!M3028,2)+1)</f>
        <v/>
      </c>
      <c r="C3033" s="20">
        <f>IFERROR(_xlfn.ISOWEEKNUM(INPUT!M3028),"")</f>
        <v>52</v>
      </c>
      <c r="D3033" s="20">
        <f>IFERROR(YEAR(INPUT!M3028),"")</f>
        <v>1900</v>
      </c>
      <c r="E3033" t="str">
        <f>IF(INPUT!O3028="","",INPUT!O3028)</f>
        <v/>
      </c>
      <c r="F3033" t="str">
        <f>IF(INPUT!N3028="","",INPUT!N3028)</f>
        <v/>
      </c>
      <c r="G3033" cm="1">
        <f t="array" ref="G3033">IFERROR(VLOOKUP(INPUT!M3028&amp;INPUT!N3028,CHOOSE({1,2},INPUT!$A$3:$A$5000&amp;INPUT!$C$3:$C$5000,INPUT!$F$3:$F$5000),2,FALSE),"")</f>
        <v>0</v>
      </c>
      <c r="H3033" cm="1">
        <f t="array" ref="H3033">IFERROR(VLOOKUP(INPUT!M3028&amp;INPUT!N3028,CHOOSE({1,2},INPUT!$A$3:$A$5000&amp;INPUT!$C$3:$C$5000,INPUT!$D$3:$D$5000),2,FALSE),"")</f>
        <v>0</v>
      </c>
      <c r="I3033" s="46" t="str">
        <f>IF(INPUT!P3028="","",INPUT!P3028)</f>
        <v/>
      </c>
      <c r="J3033" s="46" t="str">
        <f>IF(INPUT!Q3028="","",INPUT!Q3028)</f>
        <v/>
      </c>
      <c r="K3033" s="46" t="str">
        <f>IFERROR(IF(OR(INPUT!P3028="",INPUT!Q3028=""),"",INPUT!P3028-INPUT!Q3028),"")</f>
        <v/>
      </c>
      <c r="L3033" s="48" t="str">
        <f>IFERROR(IF(OR(INPUT!P3028="",INPUT!Q3028="",INPUT!P3028=0),"",(INPUT!P3028-INPUT!Q3028)/INPUT!P3028),"")</f>
        <v/>
      </c>
    </row>
    <row r="3034" spans="1:12" ht="18" hidden="1" customHeight="1" x14ac:dyDescent="0.2">
      <c r="A3034" s="11" t="str">
        <f>IF(INPUT!M3029="","",INPUT!M3029)</f>
        <v/>
      </c>
      <c r="B3034" s="11" t="str">
        <f>IF(INPUT!M3029="","",INPUT!M3029-WEEKDAY(INPUT!M3029,2)+1)</f>
        <v/>
      </c>
      <c r="C3034" s="20">
        <f>IFERROR(_xlfn.ISOWEEKNUM(INPUT!M3029),"")</f>
        <v>52</v>
      </c>
      <c r="D3034" s="20">
        <f>IFERROR(YEAR(INPUT!M3029),"")</f>
        <v>1900</v>
      </c>
      <c r="E3034" t="str">
        <f>IF(INPUT!O3029="","",INPUT!O3029)</f>
        <v/>
      </c>
      <c r="F3034" t="str">
        <f>IF(INPUT!N3029="","",INPUT!N3029)</f>
        <v/>
      </c>
      <c r="G3034" cm="1">
        <f t="array" ref="G3034">IFERROR(VLOOKUP(INPUT!M3029&amp;INPUT!N3029,CHOOSE({1,2},INPUT!$A$3:$A$5000&amp;INPUT!$C$3:$C$5000,INPUT!$F$3:$F$5000),2,FALSE),"")</f>
        <v>0</v>
      </c>
      <c r="H3034" cm="1">
        <f t="array" ref="H3034">IFERROR(VLOOKUP(INPUT!M3029&amp;INPUT!N3029,CHOOSE({1,2},INPUT!$A$3:$A$5000&amp;INPUT!$C$3:$C$5000,INPUT!$D$3:$D$5000),2,FALSE),"")</f>
        <v>0</v>
      </c>
      <c r="I3034" s="46" t="str">
        <f>IF(INPUT!P3029="","",INPUT!P3029)</f>
        <v/>
      </c>
      <c r="J3034" s="46" t="str">
        <f>IF(INPUT!Q3029="","",INPUT!Q3029)</f>
        <v/>
      </c>
      <c r="K3034" s="46" t="str">
        <f>IFERROR(IF(OR(INPUT!P3029="",INPUT!Q3029=""),"",INPUT!P3029-INPUT!Q3029),"")</f>
        <v/>
      </c>
      <c r="L3034" s="48" t="str">
        <f>IFERROR(IF(OR(INPUT!P3029="",INPUT!Q3029="",INPUT!P3029=0),"",(INPUT!P3029-INPUT!Q3029)/INPUT!P3029),"")</f>
        <v/>
      </c>
    </row>
    <row r="3035" spans="1:12" ht="18" hidden="1" customHeight="1" x14ac:dyDescent="0.2">
      <c r="A3035" s="11" t="str">
        <f>IF(INPUT!M3030="","",INPUT!M3030)</f>
        <v/>
      </c>
      <c r="B3035" s="11" t="str">
        <f>IF(INPUT!M3030="","",INPUT!M3030-WEEKDAY(INPUT!M3030,2)+1)</f>
        <v/>
      </c>
      <c r="C3035" s="20">
        <f>IFERROR(_xlfn.ISOWEEKNUM(INPUT!M3030),"")</f>
        <v>52</v>
      </c>
      <c r="D3035" s="20">
        <f>IFERROR(YEAR(INPUT!M3030),"")</f>
        <v>1900</v>
      </c>
      <c r="E3035" t="str">
        <f>IF(INPUT!O3030="","",INPUT!O3030)</f>
        <v/>
      </c>
      <c r="F3035" t="str">
        <f>IF(INPUT!N3030="","",INPUT!N3030)</f>
        <v/>
      </c>
      <c r="G3035" cm="1">
        <f t="array" ref="G3035">IFERROR(VLOOKUP(INPUT!M3030&amp;INPUT!N3030,CHOOSE({1,2},INPUT!$A$3:$A$5000&amp;INPUT!$C$3:$C$5000,INPUT!$F$3:$F$5000),2,FALSE),"")</f>
        <v>0</v>
      </c>
      <c r="H3035" cm="1">
        <f t="array" ref="H3035">IFERROR(VLOOKUP(INPUT!M3030&amp;INPUT!N3030,CHOOSE({1,2},INPUT!$A$3:$A$5000&amp;INPUT!$C$3:$C$5000,INPUT!$D$3:$D$5000),2,FALSE),"")</f>
        <v>0</v>
      </c>
      <c r="I3035" s="46" t="str">
        <f>IF(INPUT!P3030="","",INPUT!P3030)</f>
        <v/>
      </c>
      <c r="J3035" s="46" t="str">
        <f>IF(INPUT!Q3030="","",INPUT!Q3030)</f>
        <v/>
      </c>
      <c r="K3035" s="46" t="str">
        <f>IFERROR(IF(OR(INPUT!P3030="",INPUT!Q3030=""),"",INPUT!P3030-INPUT!Q3030),"")</f>
        <v/>
      </c>
      <c r="L3035" s="48" t="str">
        <f>IFERROR(IF(OR(INPUT!P3030="",INPUT!Q3030="",INPUT!P3030=0),"",(INPUT!P3030-INPUT!Q3030)/INPUT!P3030),"")</f>
        <v/>
      </c>
    </row>
    <row r="3036" spans="1:12" ht="18" hidden="1" customHeight="1" x14ac:dyDescent="0.2">
      <c r="A3036" s="11" t="str">
        <f>IF(INPUT!M3031="","",INPUT!M3031)</f>
        <v/>
      </c>
      <c r="B3036" s="11" t="str">
        <f>IF(INPUT!M3031="","",INPUT!M3031-WEEKDAY(INPUT!M3031,2)+1)</f>
        <v/>
      </c>
      <c r="C3036" s="20">
        <f>IFERROR(_xlfn.ISOWEEKNUM(INPUT!M3031),"")</f>
        <v>52</v>
      </c>
      <c r="D3036" s="20">
        <f>IFERROR(YEAR(INPUT!M3031),"")</f>
        <v>1900</v>
      </c>
      <c r="E3036" t="str">
        <f>IF(INPUT!O3031="","",INPUT!O3031)</f>
        <v/>
      </c>
      <c r="F3036" t="str">
        <f>IF(INPUT!N3031="","",INPUT!N3031)</f>
        <v/>
      </c>
      <c r="G3036" cm="1">
        <f t="array" ref="G3036">IFERROR(VLOOKUP(INPUT!M3031&amp;INPUT!N3031,CHOOSE({1,2},INPUT!$A$3:$A$5000&amp;INPUT!$C$3:$C$5000,INPUT!$F$3:$F$5000),2,FALSE),"")</f>
        <v>0</v>
      </c>
      <c r="H3036" cm="1">
        <f t="array" ref="H3036">IFERROR(VLOOKUP(INPUT!M3031&amp;INPUT!N3031,CHOOSE({1,2},INPUT!$A$3:$A$5000&amp;INPUT!$C$3:$C$5000,INPUT!$D$3:$D$5000),2,FALSE),"")</f>
        <v>0</v>
      </c>
      <c r="I3036" s="46" t="str">
        <f>IF(INPUT!P3031="","",INPUT!P3031)</f>
        <v/>
      </c>
      <c r="J3036" s="46" t="str">
        <f>IF(INPUT!Q3031="","",INPUT!Q3031)</f>
        <v/>
      </c>
      <c r="K3036" s="46" t="str">
        <f>IFERROR(IF(OR(INPUT!P3031="",INPUT!Q3031=""),"",INPUT!P3031-INPUT!Q3031),"")</f>
        <v/>
      </c>
      <c r="L3036" s="48" t="str">
        <f>IFERROR(IF(OR(INPUT!P3031="",INPUT!Q3031="",INPUT!P3031=0),"",(INPUT!P3031-INPUT!Q3031)/INPUT!P3031),"")</f>
        <v/>
      </c>
    </row>
    <row r="3037" spans="1:12" ht="18" hidden="1" customHeight="1" x14ac:dyDescent="0.2">
      <c r="A3037" s="11" t="str">
        <f>IF(INPUT!M3032="","",INPUT!M3032)</f>
        <v/>
      </c>
      <c r="B3037" s="11" t="str">
        <f>IF(INPUT!M3032="","",INPUT!M3032-WEEKDAY(INPUT!M3032,2)+1)</f>
        <v/>
      </c>
      <c r="C3037" s="20">
        <f>IFERROR(_xlfn.ISOWEEKNUM(INPUT!M3032),"")</f>
        <v>52</v>
      </c>
      <c r="D3037" s="20">
        <f>IFERROR(YEAR(INPUT!M3032),"")</f>
        <v>1900</v>
      </c>
      <c r="E3037" t="str">
        <f>IF(INPUT!O3032="","",INPUT!O3032)</f>
        <v/>
      </c>
      <c r="F3037" t="str">
        <f>IF(INPUT!N3032="","",INPUT!N3032)</f>
        <v/>
      </c>
      <c r="G3037" cm="1">
        <f t="array" ref="G3037">IFERROR(VLOOKUP(INPUT!M3032&amp;INPUT!N3032,CHOOSE({1,2},INPUT!$A$3:$A$5000&amp;INPUT!$C$3:$C$5000,INPUT!$F$3:$F$5000),2,FALSE),"")</f>
        <v>0</v>
      </c>
      <c r="H3037" cm="1">
        <f t="array" ref="H3037">IFERROR(VLOOKUP(INPUT!M3032&amp;INPUT!N3032,CHOOSE({1,2},INPUT!$A$3:$A$5000&amp;INPUT!$C$3:$C$5000,INPUT!$D$3:$D$5000),2,FALSE),"")</f>
        <v>0</v>
      </c>
      <c r="I3037" s="46" t="str">
        <f>IF(INPUT!P3032="","",INPUT!P3032)</f>
        <v/>
      </c>
      <c r="J3037" s="46" t="str">
        <f>IF(INPUT!Q3032="","",INPUT!Q3032)</f>
        <v/>
      </c>
      <c r="K3037" s="46" t="str">
        <f>IFERROR(IF(OR(INPUT!P3032="",INPUT!Q3032=""),"",INPUT!P3032-INPUT!Q3032),"")</f>
        <v/>
      </c>
      <c r="L3037" s="48" t="str">
        <f>IFERROR(IF(OR(INPUT!P3032="",INPUT!Q3032="",INPUT!P3032=0),"",(INPUT!P3032-INPUT!Q3032)/INPUT!P3032),"")</f>
        <v/>
      </c>
    </row>
    <row r="3038" spans="1:12" ht="18" hidden="1" customHeight="1" x14ac:dyDescent="0.2">
      <c r="A3038" s="11" t="str">
        <f>IF(INPUT!M3033="","",INPUT!M3033)</f>
        <v/>
      </c>
      <c r="B3038" s="11" t="str">
        <f>IF(INPUT!M3033="","",INPUT!M3033-WEEKDAY(INPUT!M3033,2)+1)</f>
        <v/>
      </c>
      <c r="C3038" s="20">
        <f>IFERROR(_xlfn.ISOWEEKNUM(INPUT!M3033),"")</f>
        <v>52</v>
      </c>
      <c r="D3038" s="20">
        <f>IFERROR(YEAR(INPUT!M3033),"")</f>
        <v>1900</v>
      </c>
      <c r="E3038" t="str">
        <f>IF(INPUT!O3033="","",INPUT!O3033)</f>
        <v/>
      </c>
      <c r="F3038" t="str">
        <f>IF(INPUT!N3033="","",INPUT!N3033)</f>
        <v/>
      </c>
      <c r="G3038" cm="1">
        <f t="array" ref="G3038">IFERROR(VLOOKUP(INPUT!M3033&amp;INPUT!N3033,CHOOSE({1,2},INPUT!$A$3:$A$5000&amp;INPUT!$C$3:$C$5000,INPUT!$F$3:$F$5000),2,FALSE),"")</f>
        <v>0</v>
      </c>
      <c r="H3038" cm="1">
        <f t="array" ref="H3038">IFERROR(VLOOKUP(INPUT!M3033&amp;INPUT!N3033,CHOOSE({1,2},INPUT!$A$3:$A$5000&amp;INPUT!$C$3:$C$5000,INPUT!$D$3:$D$5000),2,FALSE),"")</f>
        <v>0</v>
      </c>
      <c r="I3038" s="46" t="str">
        <f>IF(INPUT!P3033="","",INPUT!P3033)</f>
        <v/>
      </c>
      <c r="J3038" s="46" t="str">
        <f>IF(INPUT!Q3033="","",INPUT!Q3033)</f>
        <v/>
      </c>
      <c r="K3038" s="46" t="str">
        <f>IFERROR(IF(OR(INPUT!P3033="",INPUT!Q3033=""),"",INPUT!P3033-INPUT!Q3033),"")</f>
        <v/>
      </c>
      <c r="L3038" s="48" t="str">
        <f>IFERROR(IF(OR(INPUT!P3033="",INPUT!Q3033="",INPUT!P3033=0),"",(INPUT!P3033-INPUT!Q3033)/INPUT!P3033),"")</f>
        <v/>
      </c>
    </row>
    <row r="3039" spans="1:12" ht="18" hidden="1" customHeight="1" x14ac:dyDescent="0.2">
      <c r="A3039" s="11" t="str">
        <f>IF(INPUT!M3034="","",INPUT!M3034)</f>
        <v/>
      </c>
      <c r="B3039" s="11" t="str">
        <f>IF(INPUT!M3034="","",INPUT!M3034-WEEKDAY(INPUT!M3034,2)+1)</f>
        <v/>
      </c>
      <c r="C3039" s="20">
        <f>IFERROR(_xlfn.ISOWEEKNUM(INPUT!M3034),"")</f>
        <v>52</v>
      </c>
      <c r="D3039" s="20">
        <f>IFERROR(YEAR(INPUT!M3034),"")</f>
        <v>1900</v>
      </c>
      <c r="E3039" t="str">
        <f>IF(INPUT!O3034="","",INPUT!O3034)</f>
        <v/>
      </c>
      <c r="F3039" t="str">
        <f>IF(INPUT!N3034="","",INPUT!N3034)</f>
        <v/>
      </c>
      <c r="G3039" cm="1">
        <f t="array" ref="G3039">IFERROR(VLOOKUP(INPUT!M3034&amp;INPUT!N3034,CHOOSE({1,2},INPUT!$A$3:$A$5000&amp;INPUT!$C$3:$C$5000,INPUT!$F$3:$F$5000),2,FALSE),"")</f>
        <v>0</v>
      </c>
      <c r="H3039" cm="1">
        <f t="array" ref="H3039">IFERROR(VLOOKUP(INPUT!M3034&amp;INPUT!N3034,CHOOSE({1,2},INPUT!$A$3:$A$5000&amp;INPUT!$C$3:$C$5000,INPUT!$D$3:$D$5000),2,FALSE),"")</f>
        <v>0</v>
      </c>
      <c r="I3039" s="46" t="str">
        <f>IF(INPUT!P3034="","",INPUT!P3034)</f>
        <v/>
      </c>
      <c r="J3039" s="46" t="str">
        <f>IF(INPUT!Q3034="","",INPUT!Q3034)</f>
        <v/>
      </c>
      <c r="K3039" s="46" t="str">
        <f>IFERROR(IF(OR(INPUT!P3034="",INPUT!Q3034=""),"",INPUT!P3034-INPUT!Q3034),"")</f>
        <v/>
      </c>
      <c r="L3039" s="48" t="str">
        <f>IFERROR(IF(OR(INPUT!P3034="",INPUT!Q3034="",INPUT!P3034=0),"",(INPUT!P3034-INPUT!Q3034)/INPUT!P3034),"")</f>
        <v/>
      </c>
    </row>
    <row r="3040" spans="1:12" ht="18" hidden="1" customHeight="1" x14ac:dyDescent="0.2">
      <c r="A3040" s="11" t="str">
        <f>IF(INPUT!M3035="","",INPUT!M3035)</f>
        <v/>
      </c>
      <c r="B3040" s="11" t="str">
        <f>IF(INPUT!M3035="","",INPUT!M3035-WEEKDAY(INPUT!M3035,2)+1)</f>
        <v/>
      </c>
      <c r="C3040" s="20">
        <f>IFERROR(_xlfn.ISOWEEKNUM(INPUT!M3035),"")</f>
        <v>52</v>
      </c>
      <c r="D3040" s="20">
        <f>IFERROR(YEAR(INPUT!M3035),"")</f>
        <v>1900</v>
      </c>
      <c r="E3040" t="str">
        <f>IF(INPUT!O3035="","",INPUT!O3035)</f>
        <v/>
      </c>
      <c r="F3040" t="str">
        <f>IF(INPUT!N3035="","",INPUT!N3035)</f>
        <v/>
      </c>
      <c r="G3040" cm="1">
        <f t="array" ref="G3040">IFERROR(VLOOKUP(INPUT!M3035&amp;INPUT!N3035,CHOOSE({1,2},INPUT!$A$3:$A$5000&amp;INPUT!$C$3:$C$5000,INPUT!$F$3:$F$5000),2,FALSE),"")</f>
        <v>0</v>
      </c>
      <c r="H3040" cm="1">
        <f t="array" ref="H3040">IFERROR(VLOOKUP(INPUT!M3035&amp;INPUT!N3035,CHOOSE({1,2},INPUT!$A$3:$A$5000&amp;INPUT!$C$3:$C$5000,INPUT!$D$3:$D$5000),2,FALSE),"")</f>
        <v>0</v>
      </c>
      <c r="I3040" s="46" t="str">
        <f>IF(INPUT!P3035="","",INPUT!P3035)</f>
        <v/>
      </c>
      <c r="J3040" s="46" t="str">
        <f>IF(INPUT!Q3035="","",INPUT!Q3035)</f>
        <v/>
      </c>
      <c r="K3040" s="46" t="str">
        <f>IFERROR(IF(OR(INPUT!P3035="",INPUT!Q3035=""),"",INPUT!P3035-INPUT!Q3035),"")</f>
        <v/>
      </c>
      <c r="L3040" s="48" t="str">
        <f>IFERROR(IF(OR(INPUT!P3035="",INPUT!Q3035="",INPUT!P3035=0),"",(INPUT!P3035-INPUT!Q3035)/INPUT!P3035),"")</f>
        <v/>
      </c>
    </row>
    <row r="3041" spans="1:12" ht="18" hidden="1" customHeight="1" x14ac:dyDescent="0.2">
      <c r="A3041" s="11" t="str">
        <f>IF(INPUT!M3036="","",INPUT!M3036)</f>
        <v/>
      </c>
      <c r="B3041" s="11" t="str">
        <f>IF(INPUT!M3036="","",INPUT!M3036-WEEKDAY(INPUT!M3036,2)+1)</f>
        <v/>
      </c>
      <c r="C3041" s="20">
        <f>IFERROR(_xlfn.ISOWEEKNUM(INPUT!M3036),"")</f>
        <v>52</v>
      </c>
      <c r="D3041" s="20">
        <f>IFERROR(YEAR(INPUT!M3036),"")</f>
        <v>1900</v>
      </c>
      <c r="E3041" t="str">
        <f>IF(INPUT!O3036="","",INPUT!O3036)</f>
        <v/>
      </c>
      <c r="F3041" t="str">
        <f>IF(INPUT!N3036="","",INPUT!N3036)</f>
        <v/>
      </c>
      <c r="G3041" cm="1">
        <f t="array" ref="G3041">IFERROR(VLOOKUP(INPUT!M3036&amp;INPUT!N3036,CHOOSE({1,2},INPUT!$A$3:$A$5000&amp;INPUT!$C$3:$C$5000,INPUT!$F$3:$F$5000),2,FALSE),"")</f>
        <v>0</v>
      </c>
      <c r="H3041" cm="1">
        <f t="array" ref="H3041">IFERROR(VLOOKUP(INPUT!M3036&amp;INPUT!N3036,CHOOSE({1,2},INPUT!$A$3:$A$5000&amp;INPUT!$C$3:$C$5000,INPUT!$D$3:$D$5000),2,FALSE),"")</f>
        <v>0</v>
      </c>
      <c r="I3041" s="46" t="str">
        <f>IF(INPUT!P3036="","",INPUT!P3036)</f>
        <v/>
      </c>
      <c r="J3041" s="46" t="str">
        <f>IF(INPUT!Q3036="","",INPUT!Q3036)</f>
        <v/>
      </c>
      <c r="K3041" s="46" t="str">
        <f>IFERROR(IF(OR(INPUT!P3036="",INPUT!Q3036=""),"",INPUT!P3036-INPUT!Q3036),"")</f>
        <v/>
      </c>
      <c r="L3041" s="48" t="str">
        <f>IFERROR(IF(OR(INPUT!P3036="",INPUT!Q3036="",INPUT!P3036=0),"",(INPUT!P3036-INPUT!Q3036)/INPUT!P3036),"")</f>
        <v/>
      </c>
    </row>
    <row r="3042" spans="1:12" ht="18" hidden="1" customHeight="1" x14ac:dyDescent="0.2">
      <c r="A3042" s="11" t="str">
        <f>IF(INPUT!M3037="","",INPUT!M3037)</f>
        <v/>
      </c>
      <c r="B3042" s="11" t="str">
        <f>IF(INPUT!M3037="","",INPUT!M3037-WEEKDAY(INPUT!M3037,2)+1)</f>
        <v/>
      </c>
      <c r="C3042" s="20">
        <f>IFERROR(_xlfn.ISOWEEKNUM(INPUT!M3037),"")</f>
        <v>52</v>
      </c>
      <c r="D3042" s="20">
        <f>IFERROR(YEAR(INPUT!M3037),"")</f>
        <v>1900</v>
      </c>
      <c r="E3042" t="str">
        <f>IF(INPUT!O3037="","",INPUT!O3037)</f>
        <v/>
      </c>
      <c r="F3042" t="str">
        <f>IF(INPUT!N3037="","",INPUT!N3037)</f>
        <v/>
      </c>
      <c r="G3042" cm="1">
        <f t="array" ref="G3042">IFERROR(VLOOKUP(INPUT!M3037&amp;INPUT!N3037,CHOOSE({1,2},INPUT!$A$3:$A$5000&amp;INPUT!$C$3:$C$5000,INPUT!$F$3:$F$5000),2,FALSE),"")</f>
        <v>0</v>
      </c>
      <c r="H3042" cm="1">
        <f t="array" ref="H3042">IFERROR(VLOOKUP(INPUT!M3037&amp;INPUT!N3037,CHOOSE({1,2},INPUT!$A$3:$A$5000&amp;INPUT!$C$3:$C$5000,INPUT!$D$3:$D$5000),2,FALSE),"")</f>
        <v>0</v>
      </c>
      <c r="I3042" s="46" t="str">
        <f>IF(INPUT!P3037="","",INPUT!P3037)</f>
        <v/>
      </c>
      <c r="J3042" s="46" t="str">
        <f>IF(INPUT!Q3037="","",INPUT!Q3037)</f>
        <v/>
      </c>
      <c r="K3042" s="46" t="str">
        <f>IFERROR(IF(OR(INPUT!P3037="",INPUT!Q3037=""),"",INPUT!P3037-INPUT!Q3037),"")</f>
        <v/>
      </c>
      <c r="L3042" s="48" t="str">
        <f>IFERROR(IF(OR(INPUT!P3037="",INPUT!Q3037="",INPUT!P3037=0),"",(INPUT!P3037-INPUT!Q3037)/INPUT!P3037),"")</f>
        <v/>
      </c>
    </row>
    <row r="3043" spans="1:12" ht="18" hidden="1" customHeight="1" x14ac:dyDescent="0.2">
      <c r="A3043" s="11" t="str">
        <f>IF(INPUT!M3038="","",INPUT!M3038)</f>
        <v/>
      </c>
      <c r="B3043" s="11" t="str">
        <f>IF(INPUT!M3038="","",INPUT!M3038-WEEKDAY(INPUT!M3038,2)+1)</f>
        <v/>
      </c>
      <c r="C3043" s="20">
        <f>IFERROR(_xlfn.ISOWEEKNUM(INPUT!M3038),"")</f>
        <v>52</v>
      </c>
      <c r="D3043" s="20">
        <f>IFERROR(YEAR(INPUT!M3038),"")</f>
        <v>1900</v>
      </c>
      <c r="E3043" t="str">
        <f>IF(INPUT!O3038="","",INPUT!O3038)</f>
        <v/>
      </c>
      <c r="F3043" t="str">
        <f>IF(INPUT!N3038="","",INPUT!N3038)</f>
        <v/>
      </c>
      <c r="G3043" cm="1">
        <f t="array" ref="G3043">IFERROR(VLOOKUP(INPUT!M3038&amp;INPUT!N3038,CHOOSE({1,2},INPUT!$A$3:$A$5000&amp;INPUT!$C$3:$C$5000,INPUT!$F$3:$F$5000),2,FALSE),"")</f>
        <v>0</v>
      </c>
      <c r="H3043" cm="1">
        <f t="array" ref="H3043">IFERROR(VLOOKUP(INPUT!M3038&amp;INPUT!N3038,CHOOSE({1,2},INPUT!$A$3:$A$5000&amp;INPUT!$C$3:$C$5000,INPUT!$D$3:$D$5000),2,FALSE),"")</f>
        <v>0</v>
      </c>
      <c r="I3043" s="46" t="str">
        <f>IF(INPUT!P3038="","",INPUT!P3038)</f>
        <v/>
      </c>
      <c r="J3043" s="46" t="str">
        <f>IF(INPUT!Q3038="","",INPUT!Q3038)</f>
        <v/>
      </c>
      <c r="K3043" s="46" t="str">
        <f>IFERROR(IF(OR(INPUT!P3038="",INPUT!Q3038=""),"",INPUT!P3038-INPUT!Q3038),"")</f>
        <v/>
      </c>
      <c r="L3043" s="48" t="str">
        <f>IFERROR(IF(OR(INPUT!P3038="",INPUT!Q3038="",INPUT!P3038=0),"",(INPUT!P3038-INPUT!Q3038)/INPUT!P3038),"")</f>
        <v/>
      </c>
    </row>
    <row r="3044" spans="1:12" ht="18" hidden="1" customHeight="1" x14ac:dyDescent="0.2">
      <c r="A3044" s="11" t="str">
        <f>IF(INPUT!M3039="","",INPUT!M3039)</f>
        <v/>
      </c>
      <c r="B3044" s="11" t="str">
        <f>IF(INPUT!M3039="","",INPUT!M3039-WEEKDAY(INPUT!M3039,2)+1)</f>
        <v/>
      </c>
      <c r="C3044" s="20">
        <f>IFERROR(_xlfn.ISOWEEKNUM(INPUT!M3039),"")</f>
        <v>52</v>
      </c>
      <c r="D3044" s="20">
        <f>IFERROR(YEAR(INPUT!M3039),"")</f>
        <v>1900</v>
      </c>
      <c r="E3044" t="str">
        <f>IF(INPUT!O3039="","",INPUT!O3039)</f>
        <v/>
      </c>
      <c r="F3044" t="str">
        <f>IF(INPUT!N3039="","",INPUT!N3039)</f>
        <v/>
      </c>
      <c r="G3044" cm="1">
        <f t="array" ref="G3044">IFERROR(VLOOKUP(INPUT!M3039&amp;INPUT!N3039,CHOOSE({1,2},INPUT!$A$3:$A$5000&amp;INPUT!$C$3:$C$5000,INPUT!$F$3:$F$5000),2,FALSE),"")</f>
        <v>0</v>
      </c>
      <c r="H3044" cm="1">
        <f t="array" ref="H3044">IFERROR(VLOOKUP(INPUT!M3039&amp;INPUT!N3039,CHOOSE({1,2},INPUT!$A$3:$A$5000&amp;INPUT!$C$3:$C$5000,INPUT!$D$3:$D$5000),2,FALSE),"")</f>
        <v>0</v>
      </c>
      <c r="I3044" s="46" t="str">
        <f>IF(INPUT!P3039="","",INPUT!P3039)</f>
        <v/>
      </c>
      <c r="J3044" s="46" t="str">
        <f>IF(INPUT!Q3039="","",INPUT!Q3039)</f>
        <v/>
      </c>
      <c r="K3044" s="46" t="str">
        <f>IFERROR(IF(OR(INPUT!P3039="",INPUT!Q3039=""),"",INPUT!P3039-INPUT!Q3039),"")</f>
        <v/>
      </c>
      <c r="L3044" s="48" t="str">
        <f>IFERROR(IF(OR(INPUT!P3039="",INPUT!Q3039="",INPUT!P3039=0),"",(INPUT!P3039-INPUT!Q3039)/INPUT!P3039),"")</f>
        <v/>
      </c>
    </row>
    <row r="3045" spans="1:12" ht="18" hidden="1" customHeight="1" x14ac:dyDescent="0.2">
      <c r="A3045" s="11" t="str">
        <f>IF(INPUT!M3040="","",INPUT!M3040)</f>
        <v/>
      </c>
      <c r="B3045" s="11" t="str">
        <f>IF(INPUT!M3040="","",INPUT!M3040-WEEKDAY(INPUT!M3040,2)+1)</f>
        <v/>
      </c>
      <c r="C3045" s="20">
        <f>IFERROR(_xlfn.ISOWEEKNUM(INPUT!M3040),"")</f>
        <v>52</v>
      </c>
      <c r="D3045" s="20">
        <f>IFERROR(YEAR(INPUT!M3040),"")</f>
        <v>1900</v>
      </c>
      <c r="E3045" t="str">
        <f>IF(INPUT!O3040="","",INPUT!O3040)</f>
        <v/>
      </c>
      <c r="F3045" t="str">
        <f>IF(INPUT!N3040="","",INPUT!N3040)</f>
        <v/>
      </c>
      <c r="G3045" cm="1">
        <f t="array" ref="G3045">IFERROR(VLOOKUP(INPUT!M3040&amp;INPUT!N3040,CHOOSE({1,2},INPUT!$A$3:$A$5000&amp;INPUT!$C$3:$C$5000,INPUT!$F$3:$F$5000),2,FALSE),"")</f>
        <v>0</v>
      </c>
      <c r="H3045" cm="1">
        <f t="array" ref="H3045">IFERROR(VLOOKUP(INPUT!M3040&amp;INPUT!N3040,CHOOSE({1,2},INPUT!$A$3:$A$5000&amp;INPUT!$C$3:$C$5000,INPUT!$D$3:$D$5000),2,FALSE),"")</f>
        <v>0</v>
      </c>
      <c r="I3045" s="46" t="str">
        <f>IF(INPUT!P3040="","",INPUT!P3040)</f>
        <v/>
      </c>
      <c r="J3045" s="46" t="str">
        <f>IF(INPUT!Q3040="","",INPUT!Q3040)</f>
        <v/>
      </c>
      <c r="K3045" s="46" t="str">
        <f>IFERROR(IF(OR(INPUT!P3040="",INPUT!Q3040=""),"",INPUT!P3040-INPUT!Q3040),"")</f>
        <v/>
      </c>
      <c r="L3045" s="48" t="str">
        <f>IFERROR(IF(OR(INPUT!P3040="",INPUT!Q3040="",INPUT!P3040=0),"",(INPUT!P3040-INPUT!Q3040)/INPUT!P3040),"")</f>
        <v/>
      </c>
    </row>
    <row r="3046" spans="1:12" ht="18" hidden="1" customHeight="1" x14ac:dyDescent="0.2">
      <c r="A3046" s="11" t="str">
        <f>IF(INPUT!M3041="","",INPUT!M3041)</f>
        <v/>
      </c>
      <c r="B3046" s="11" t="str">
        <f>IF(INPUT!M3041="","",INPUT!M3041-WEEKDAY(INPUT!M3041,2)+1)</f>
        <v/>
      </c>
      <c r="C3046" s="20">
        <f>IFERROR(_xlfn.ISOWEEKNUM(INPUT!M3041),"")</f>
        <v>52</v>
      </c>
      <c r="D3046" s="20">
        <f>IFERROR(YEAR(INPUT!M3041),"")</f>
        <v>1900</v>
      </c>
      <c r="E3046" t="str">
        <f>IF(INPUT!O3041="","",INPUT!O3041)</f>
        <v/>
      </c>
      <c r="F3046" t="str">
        <f>IF(INPUT!N3041="","",INPUT!N3041)</f>
        <v/>
      </c>
      <c r="G3046" cm="1">
        <f t="array" ref="G3046">IFERROR(VLOOKUP(INPUT!M3041&amp;INPUT!N3041,CHOOSE({1,2},INPUT!$A$3:$A$5000&amp;INPUT!$C$3:$C$5000,INPUT!$F$3:$F$5000),2,FALSE),"")</f>
        <v>0</v>
      </c>
      <c r="H3046" cm="1">
        <f t="array" ref="H3046">IFERROR(VLOOKUP(INPUT!M3041&amp;INPUT!N3041,CHOOSE({1,2},INPUT!$A$3:$A$5000&amp;INPUT!$C$3:$C$5000,INPUT!$D$3:$D$5000),2,FALSE),"")</f>
        <v>0</v>
      </c>
      <c r="I3046" s="46" t="str">
        <f>IF(INPUT!P3041="","",INPUT!P3041)</f>
        <v/>
      </c>
      <c r="J3046" s="46" t="str">
        <f>IF(INPUT!Q3041="","",INPUT!Q3041)</f>
        <v/>
      </c>
      <c r="K3046" s="46" t="str">
        <f>IFERROR(IF(OR(INPUT!P3041="",INPUT!Q3041=""),"",INPUT!P3041-INPUT!Q3041),"")</f>
        <v/>
      </c>
      <c r="L3046" s="48" t="str">
        <f>IFERROR(IF(OR(INPUT!P3041="",INPUT!Q3041="",INPUT!P3041=0),"",(INPUT!P3041-INPUT!Q3041)/INPUT!P3041),"")</f>
        <v/>
      </c>
    </row>
    <row r="3047" spans="1:12" ht="18" hidden="1" customHeight="1" x14ac:dyDescent="0.2">
      <c r="A3047" s="11" t="str">
        <f>IF(INPUT!M3042="","",INPUT!M3042)</f>
        <v/>
      </c>
      <c r="B3047" s="11" t="str">
        <f>IF(INPUT!M3042="","",INPUT!M3042-WEEKDAY(INPUT!M3042,2)+1)</f>
        <v/>
      </c>
      <c r="C3047" s="20">
        <f>IFERROR(_xlfn.ISOWEEKNUM(INPUT!M3042),"")</f>
        <v>52</v>
      </c>
      <c r="D3047" s="20">
        <f>IFERROR(YEAR(INPUT!M3042),"")</f>
        <v>1900</v>
      </c>
      <c r="E3047" t="str">
        <f>IF(INPUT!O3042="","",INPUT!O3042)</f>
        <v/>
      </c>
      <c r="F3047" t="str">
        <f>IF(INPUT!N3042="","",INPUT!N3042)</f>
        <v/>
      </c>
      <c r="G3047" cm="1">
        <f t="array" ref="G3047">IFERROR(VLOOKUP(INPUT!M3042&amp;INPUT!N3042,CHOOSE({1,2},INPUT!$A$3:$A$5000&amp;INPUT!$C$3:$C$5000,INPUT!$F$3:$F$5000),2,FALSE),"")</f>
        <v>0</v>
      </c>
      <c r="H3047" cm="1">
        <f t="array" ref="H3047">IFERROR(VLOOKUP(INPUT!M3042&amp;INPUT!N3042,CHOOSE({1,2},INPUT!$A$3:$A$5000&amp;INPUT!$C$3:$C$5000,INPUT!$D$3:$D$5000),2,FALSE),"")</f>
        <v>0</v>
      </c>
      <c r="I3047" s="46" t="str">
        <f>IF(INPUT!P3042="","",INPUT!P3042)</f>
        <v/>
      </c>
      <c r="J3047" s="46" t="str">
        <f>IF(INPUT!Q3042="","",INPUT!Q3042)</f>
        <v/>
      </c>
      <c r="K3047" s="46" t="str">
        <f>IFERROR(IF(OR(INPUT!P3042="",INPUT!Q3042=""),"",INPUT!P3042-INPUT!Q3042),"")</f>
        <v/>
      </c>
      <c r="L3047" s="48" t="str">
        <f>IFERROR(IF(OR(INPUT!P3042="",INPUT!Q3042="",INPUT!P3042=0),"",(INPUT!P3042-INPUT!Q3042)/INPUT!P3042),"")</f>
        <v/>
      </c>
    </row>
    <row r="3048" spans="1:12" ht="18" hidden="1" customHeight="1" x14ac:dyDescent="0.2">
      <c r="A3048" s="11" t="str">
        <f>IF(INPUT!M3043="","",INPUT!M3043)</f>
        <v/>
      </c>
      <c r="B3048" s="11" t="str">
        <f>IF(INPUT!M3043="","",INPUT!M3043-WEEKDAY(INPUT!M3043,2)+1)</f>
        <v/>
      </c>
      <c r="C3048" s="20">
        <f>IFERROR(_xlfn.ISOWEEKNUM(INPUT!M3043),"")</f>
        <v>52</v>
      </c>
      <c r="D3048" s="20">
        <f>IFERROR(YEAR(INPUT!M3043),"")</f>
        <v>1900</v>
      </c>
      <c r="E3048" t="str">
        <f>IF(INPUT!O3043="","",INPUT!O3043)</f>
        <v/>
      </c>
      <c r="F3048" t="str">
        <f>IF(INPUT!N3043="","",INPUT!N3043)</f>
        <v/>
      </c>
      <c r="G3048" cm="1">
        <f t="array" ref="G3048">IFERROR(VLOOKUP(INPUT!M3043&amp;INPUT!N3043,CHOOSE({1,2},INPUT!$A$3:$A$5000&amp;INPUT!$C$3:$C$5000,INPUT!$F$3:$F$5000),2,FALSE),"")</f>
        <v>0</v>
      </c>
      <c r="H3048" cm="1">
        <f t="array" ref="H3048">IFERROR(VLOOKUP(INPUT!M3043&amp;INPUT!N3043,CHOOSE({1,2},INPUT!$A$3:$A$5000&amp;INPUT!$C$3:$C$5000,INPUT!$D$3:$D$5000),2,FALSE),"")</f>
        <v>0</v>
      </c>
      <c r="I3048" s="46" t="str">
        <f>IF(INPUT!P3043="","",INPUT!P3043)</f>
        <v/>
      </c>
      <c r="J3048" s="46" t="str">
        <f>IF(INPUT!Q3043="","",INPUT!Q3043)</f>
        <v/>
      </c>
      <c r="K3048" s="46" t="str">
        <f>IFERROR(IF(OR(INPUT!P3043="",INPUT!Q3043=""),"",INPUT!P3043-INPUT!Q3043),"")</f>
        <v/>
      </c>
      <c r="L3048" s="48" t="str">
        <f>IFERROR(IF(OR(INPUT!P3043="",INPUT!Q3043="",INPUT!P3043=0),"",(INPUT!P3043-INPUT!Q3043)/INPUT!P3043),"")</f>
        <v/>
      </c>
    </row>
    <row r="3049" spans="1:12" ht="18" hidden="1" customHeight="1" x14ac:dyDescent="0.2">
      <c r="A3049" s="11" t="str">
        <f>IF(INPUT!M3044="","",INPUT!M3044)</f>
        <v/>
      </c>
      <c r="B3049" s="11" t="str">
        <f>IF(INPUT!M3044="","",INPUT!M3044-WEEKDAY(INPUT!M3044,2)+1)</f>
        <v/>
      </c>
      <c r="C3049" s="20">
        <f>IFERROR(_xlfn.ISOWEEKNUM(INPUT!M3044),"")</f>
        <v>52</v>
      </c>
      <c r="D3049" s="20">
        <f>IFERROR(YEAR(INPUT!M3044),"")</f>
        <v>1900</v>
      </c>
      <c r="E3049" t="str">
        <f>IF(INPUT!O3044="","",INPUT!O3044)</f>
        <v/>
      </c>
      <c r="F3049" t="str">
        <f>IF(INPUT!N3044="","",INPUT!N3044)</f>
        <v/>
      </c>
      <c r="G3049" cm="1">
        <f t="array" ref="G3049">IFERROR(VLOOKUP(INPUT!M3044&amp;INPUT!N3044,CHOOSE({1,2},INPUT!$A$3:$A$5000&amp;INPUT!$C$3:$C$5000,INPUT!$F$3:$F$5000),2,FALSE),"")</f>
        <v>0</v>
      </c>
      <c r="H3049" cm="1">
        <f t="array" ref="H3049">IFERROR(VLOOKUP(INPUT!M3044&amp;INPUT!N3044,CHOOSE({1,2},INPUT!$A$3:$A$5000&amp;INPUT!$C$3:$C$5000,INPUT!$D$3:$D$5000),2,FALSE),"")</f>
        <v>0</v>
      </c>
      <c r="I3049" s="46" t="str">
        <f>IF(INPUT!P3044="","",INPUT!P3044)</f>
        <v/>
      </c>
      <c r="J3049" s="46" t="str">
        <f>IF(INPUT!Q3044="","",INPUT!Q3044)</f>
        <v/>
      </c>
      <c r="K3049" s="46" t="str">
        <f>IFERROR(IF(OR(INPUT!P3044="",INPUT!Q3044=""),"",INPUT!P3044-INPUT!Q3044),"")</f>
        <v/>
      </c>
      <c r="L3049" s="48" t="str">
        <f>IFERROR(IF(OR(INPUT!P3044="",INPUT!Q3044="",INPUT!P3044=0),"",(INPUT!P3044-INPUT!Q3044)/INPUT!P3044),"")</f>
        <v/>
      </c>
    </row>
    <row r="3050" spans="1:12" ht="18" hidden="1" customHeight="1" x14ac:dyDescent="0.2">
      <c r="A3050" s="11" t="str">
        <f>IF(INPUT!M3045="","",INPUT!M3045)</f>
        <v/>
      </c>
      <c r="B3050" s="11" t="str">
        <f>IF(INPUT!M3045="","",INPUT!M3045-WEEKDAY(INPUT!M3045,2)+1)</f>
        <v/>
      </c>
      <c r="C3050" s="20">
        <f>IFERROR(_xlfn.ISOWEEKNUM(INPUT!M3045),"")</f>
        <v>52</v>
      </c>
      <c r="D3050" s="20">
        <f>IFERROR(YEAR(INPUT!M3045),"")</f>
        <v>1900</v>
      </c>
      <c r="E3050" t="str">
        <f>IF(INPUT!O3045="","",INPUT!O3045)</f>
        <v/>
      </c>
      <c r="F3050" t="str">
        <f>IF(INPUT!N3045="","",INPUT!N3045)</f>
        <v/>
      </c>
      <c r="G3050" cm="1">
        <f t="array" ref="G3050">IFERROR(VLOOKUP(INPUT!M3045&amp;INPUT!N3045,CHOOSE({1,2},INPUT!$A$3:$A$5000&amp;INPUT!$C$3:$C$5000,INPUT!$F$3:$F$5000),2,FALSE),"")</f>
        <v>0</v>
      </c>
      <c r="H3050" cm="1">
        <f t="array" ref="H3050">IFERROR(VLOOKUP(INPUT!M3045&amp;INPUT!N3045,CHOOSE({1,2},INPUT!$A$3:$A$5000&amp;INPUT!$C$3:$C$5000,INPUT!$D$3:$D$5000),2,FALSE),"")</f>
        <v>0</v>
      </c>
      <c r="I3050" s="46" t="str">
        <f>IF(INPUT!P3045="","",INPUT!P3045)</f>
        <v/>
      </c>
      <c r="J3050" s="46" t="str">
        <f>IF(INPUT!Q3045="","",INPUT!Q3045)</f>
        <v/>
      </c>
      <c r="K3050" s="46" t="str">
        <f>IFERROR(IF(OR(INPUT!P3045="",INPUT!Q3045=""),"",INPUT!P3045-INPUT!Q3045),"")</f>
        <v/>
      </c>
      <c r="L3050" s="48" t="str">
        <f>IFERROR(IF(OR(INPUT!P3045="",INPUT!Q3045="",INPUT!P3045=0),"",(INPUT!P3045-INPUT!Q3045)/INPUT!P3045),"")</f>
        <v/>
      </c>
    </row>
    <row r="3051" spans="1:12" ht="18" hidden="1" customHeight="1" x14ac:dyDescent="0.2">
      <c r="A3051" s="11" t="str">
        <f>IF(INPUT!M3046="","",INPUT!M3046)</f>
        <v/>
      </c>
      <c r="B3051" s="11" t="str">
        <f>IF(INPUT!M3046="","",INPUT!M3046-WEEKDAY(INPUT!M3046,2)+1)</f>
        <v/>
      </c>
      <c r="C3051" s="20">
        <f>IFERROR(_xlfn.ISOWEEKNUM(INPUT!M3046),"")</f>
        <v>52</v>
      </c>
      <c r="D3051" s="20">
        <f>IFERROR(YEAR(INPUT!M3046),"")</f>
        <v>1900</v>
      </c>
      <c r="E3051" t="str">
        <f>IF(INPUT!O3046="","",INPUT!O3046)</f>
        <v/>
      </c>
      <c r="F3051" t="str">
        <f>IF(INPUT!N3046="","",INPUT!N3046)</f>
        <v/>
      </c>
      <c r="G3051" cm="1">
        <f t="array" ref="G3051">IFERROR(VLOOKUP(INPUT!M3046&amp;INPUT!N3046,CHOOSE({1,2},INPUT!$A$3:$A$5000&amp;INPUT!$C$3:$C$5000,INPUT!$F$3:$F$5000),2,FALSE),"")</f>
        <v>0</v>
      </c>
      <c r="H3051" cm="1">
        <f t="array" ref="H3051">IFERROR(VLOOKUP(INPUT!M3046&amp;INPUT!N3046,CHOOSE({1,2},INPUT!$A$3:$A$5000&amp;INPUT!$C$3:$C$5000,INPUT!$D$3:$D$5000),2,FALSE),"")</f>
        <v>0</v>
      </c>
      <c r="I3051" s="46" t="str">
        <f>IF(INPUT!P3046="","",INPUT!P3046)</f>
        <v/>
      </c>
      <c r="J3051" s="46" t="str">
        <f>IF(INPUT!Q3046="","",INPUT!Q3046)</f>
        <v/>
      </c>
      <c r="K3051" s="46" t="str">
        <f>IFERROR(IF(OR(INPUT!P3046="",INPUT!Q3046=""),"",INPUT!P3046-INPUT!Q3046),"")</f>
        <v/>
      </c>
      <c r="L3051" s="48" t="str">
        <f>IFERROR(IF(OR(INPUT!P3046="",INPUT!Q3046="",INPUT!P3046=0),"",(INPUT!P3046-INPUT!Q3046)/INPUT!P3046),"")</f>
        <v/>
      </c>
    </row>
    <row r="3052" spans="1:12" ht="18" hidden="1" customHeight="1" x14ac:dyDescent="0.2">
      <c r="A3052" s="11" t="str">
        <f>IF(INPUT!M3047="","",INPUT!M3047)</f>
        <v/>
      </c>
      <c r="B3052" s="11" t="str">
        <f>IF(INPUT!M3047="","",INPUT!M3047-WEEKDAY(INPUT!M3047,2)+1)</f>
        <v/>
      </c>
      <c r="C3052" s="20">
        <f>IFERROR(_xlfn.ISOWEEKNUM(INPUT!M3047),"")</f>
        <v>52</v>
      </c>
      <c r="D3052" s="20">
        <f>IFERROR(YEAR(INPUT!M3047),"")</f>
        <v>1900</v>
      </c>
      <c r="E3052" t="str">
        <f>IF(INPUT!O3047="","",INPUT!O3047)</f>
        <v/>
      </c>
      <c r="F3052" t="str">
        <f>IF(INPUT!N3047="","",INPUT!N3047)</f>
        <v/>
      </c>
      <c r="G3052" cm="1">
        <f t="array" ref="G3052">IFERROR(VLOOKUP(INPUT!M3047&amp;INPUT!N3047,CHOOSE({1,2},INPUT!$A$3:$A$5000&amp;INPUT!$C$3:$C$5000,INPUT!$F$3:$F$5000),2,FALSE),"")</f>
        <v>0</v>
      </c>
      <c r="H3052" cm="1">
        <f t="array" ref="H3052">IFERROR(VLOOKUP(INPUT!M3047&amp;INPUT!N3047,CHOOSE({1,2},INPUT!$A$3:$A$5000&amp;INPUT!$C$3:$C$5000,INPUT!$D$3:$D$5000),2,FALSE),"")</f>
        <v>0</v>
      </c>
      <c r="I3052" s="46" t="str">
        <f>IF(INPUT!P3047="","",INPUT!P3047)</f>
        <v/>
      </c>
      <c r="J3052" s="46" t="str">
        <f>IF(INPUT!Q3047="","",INPUT!Q3047)</f>
        <v/>
      </c>
      <c r="K3052" s="46" t="str">
        <f>IFERROR(IF(OR(INPUT!P3047="",INPUT!Q3047=""),"",INPUT!P3047-INPUT!Q3047),"")</f>
        <v/>
      </c>
      <c r="L3052" s="48" t="str">
        <f>IFERROR(IF(OR(INPUT!P3047="",INPUT!Q3047="",INPUT!P3047=0),"",(INPUT!P3047-INPUT!Q3047)/INPUT!P3047),"")</f>
        <v/>
      </c>
    </row>
    <row r="3053" spans="1:12" ht="18" hidden="1" customHeight="1" x14ac:dyDescent="0.2">
      <c r="A3053" s="11" t="str">
        <f>IF(INPUT!M3048="","",INPUT!M3048)</f>
        <v/>
      </c>
      <c r="B3053" s="11" t="str">
        <f>IF(INPUT!M3048="","",INPUT!M3048-WEEKDAY(INPUT!M3048,2)+1)</f>
        <v/>
      </c>
      <c r="C3053" s="20">
        <f>IFERROR(_xlfn.ISOWEEKNUM(INPUT!M3048),"")</f>
        <v>52</v>
      </c>
      <c r="D3053" s="20">
        <f>IFERROR(YEAR(INPUT!M3048),"")</f>
        <v>1900</v>
      </c>
      <c r="E3053" t="str">
        <f>IF(INPUT!O3048="","",INPUT!O3048)</f>
        <v/>
      </c>
      <c r="F3053" t="str">
        <f>IF(INPUT!N3048="","",INPUT!N3048)</f>
        <v/>
      </c>
      <c r="G3053" cm="1">
        <f t="array" ref="G3053">IFERROR(VLOOKUP(INPUT!M3048&amp;INPUT!N3048,CHOOSE({1,2},INPUT!$A$3:$A$5000&amp;INPUT!$C$3:$C$5000,INPUT!$F$3:$F$5000),2,FALSE),"")</f>
        <v>0</v>
      </c>
      <c r="H3053" cm="1">
        <f t="array" ref="H3053">IFERROR(VLOOKUP(INPUT!M3048&amp;INPUT!N3048,CHOOSE({1,2},INPUT!$A$3:$A$5000&amp;INPUT!$C$3:$C$5000,INPUT!$D$3:$D$5000),2,FALSE),"")</f>
        <v>0</v>
      </c>
      <c r="I3053" s="46" t="str">
        <f>IF(INPUT!P3048="","",INPUT!P3048)</f>
        <v/>
      </c>
      <c r="J3053" s="46" t="str">
        <f>IF(INPUT!Q3048="","",INPUT!Q3048)</f>
        <v/>
      </c>
      <c r="K3053" s="46" t="str">
        <f>IFERROR(IF(OR(INPUT!P3048="",INPUT!Q3048=""),"",INPUT!P3048-INPUT!Q3048),"")</f>
        <v/>
      </c>
      <c r="L3053" s="48" t="str">
        <f>IFERROR(IF(OR(INPUT!P3048="",INPUT!Q3048="",INPUT!P3048=0),"",(INPUT!P3048-INPUT!Q3048)/INPUT!P3048),"")</f>
        <v/>
      </c>
    </row>
    <row r="3054" spans="1:12" ht="18" hidden="1" customHeight="1" x14ac:dyDescent="0.2">
      <c r="A3054" s="11" t="str">
        <f>IF(INPUT!M3049="","",INPUT!M3049)</f>
        <v/>
      </c>
      <c r="B3054" s="11" t="str">
        <f>IF(INPUT!M3049="","",INPUT!M3049-WEEKDAY(INPUT!M3049,2)+1)</f>
        <v/>
      </c>
      <c r="C3054" s="20">
        <f>IFERROR(_xlfn.ISOWEEKNUM(INPUT!M3049),"")</f>
        <v>52</v>
      </c>
      <c r="D3054" s="20">
        <f>IFERROR(YEAR(INPUT!M3049),"")</f>
        <v>1900</v>
      </c>
      <c r="E3054" t="str">
        <f>IF(INPUT!O3049="","",INPUT!O3049)</f>
        <v/>
      </c>
      <c r="F3054" t="str">
        <f>IF(INPUT!N3049="","",INPUT!N3049)</f>
        <v/>
      </c>
      <c r="G3054" cm="1">
        <f t="array" ref="G3054">IFERROR(VLOOKUP(INPUT!M3049&amp;INPUT!N3049,CHOOSE({1,2},INPUT!$A$3:$A$5000&amp;INPUT!$C$3:$C$5000,INPUT!$F$3:$F$5000),2,FALSE),"")</f>
        <v>0</v>
      </c>
      <c r="H3054" cm="1">
        <f t="array" ref="H3054">IFERROR(VLOOKUP(INPUT!M3049&amp;INPUT!N3049,CHOOSE({1,2},INPUT!$A$3:$A$5000&amp;INPUT!$C$3:$C$5000,INPUT!$D$3:$D$5000),2,FALSE),"")</f>
        <v>0</v>
      </c>
      <c r="I3054" s="46" t="str">
        <f>IF(INPUT!P3049="","",INPUT!P3049)</f>
        <v/>
      </c>
      <c r="J3054" s="46" t="str">
        <f>IF(INPUT!Q3049="","",INPUT!Q3049)</f>
        <v/>
      </c>
      <c r="K3054" s="46" t="str">
        <f>IFERROR(IF(OR(INPUT!P3049="",INPUT!Q3049=""),"",INPUT!P3049-INPUT!Q3049),"")</f>
        <v/>
      </c>
      <c r="L3054" s="48" t="str">
        <f>IFERROR(IF(OR(INPUT!P3049="",INPUT!Q3049="",INPUT!P3049=0),"",(INPUT!P3049-INPUT!Q3049)/INPUT!P3049),"")</f>
        <v/>
      </c>
    </row>
    <row r="3055" spans="1:12" ht="18" hidden="1" customHeight="1" x14ac:dyDescent="0.2">
      <c r="A3055" s="11" t="str">
        <f>IF(INPUT!M3050="","",INPUT!M3050)</f>
        <v/>
      </c>
      <c r="B3055" s="11" t="str">
        <f>IF(INPUT!M3050="","",INPUT!M3050-WEEKDAY(INPUT!M3050,2)+1)</f>
        <v/>
      </c>
      <c r="C3055" s="20">
        <f>IFERROR(_xlfn.ISOWEEKNUM(INPUT!M3050),"")</f>
        <v>52</v>
      </c>
      <c r="D3055" s="20">
        <f>IFERROR(YEAR(INPUT!M3050),"")</f>
        <v>1900</v>
      </c>
      <c r="E3055" t="str">
        <f>IF(INPUT!O3050="","",INPUT!O3050)</f>
        <v/>
      </c>
      <c r="F3055" t="str">
        <f>IF(INPUT!N3050="","",INPUT!N3050)</f>
        <v/>
      </c>
      <c r="G3055" cm="1">
        <f t="array" ref="G3055">IFERROR(VLOOKUP(INPUT!M3050&amp;INPUT!N3050,CHOOSE({1,2},INPUT!$A$3:$A$5000&amp;INPUT!$C$3:$C$5000,INPUT!$F$3:$F$5000),2,FALSE),"")</f>
        <v>0</v>
      </c>
      <c r="H3055" cm="1">
        <f t="array" ref="H3055">IFERROR(VLOOKUP(INPUT!M3050&amp;INPUT!N3050,CHOOSE({1,2},INPUT!$A$3:$A$5000&amp;INPUT!$C$3:$C$5000,INPUT!$D$3:$D$5000),2,FALSE),"")</f>
        <v>0</v>
      </c>
      <c r="I3055" s="46" t="str">
        <f>IF(INPUT!P3050="","",INPUT!P3050)</f>
        <v/>
      </c>
      <c r="J3055" s="46" t="str">
        <f>IF(INPUT!Q3050="","",INPUT!Q3050)</f>
        <v/>
      </c>
      <c r="K3055" s="46" t="str">
        <f>IFERROR(IF(OR(INPUT!P3050="",INPUT!Q3050=""),"",INPUT!P3050-INPUT!Q3050),"")</f>
        <v/>
      </c>
      <c r="L3055" s="48" t="str">
        <f>IFERROR(IF(OR(INPUT!P3050="",INPUT!Q3050="",INPUT!P3050=0),"",(INPUT!P3050-INPUT!Q3050)/INPUT!P3050),"")</f>
        <v/>
      </c>
    </row>
    <row r="3056" spans="1:12" ht="18" hidden="1" customHeight="1" x14ac:dyDescent="0.2">
      <c r="A3056" s="11" t="str">
        <f>IF(INPUT!M3051="","",INPUT!M3051)</f>
        <v/>
      </c>
      <c r="B3056" s="11" t="str">
        <f>IF(INPUT!M3051="","",INPUT!M3051-WEEKDAY(INPUT!M3051,2)+1)</f>
        <v/>
      </c>
      <c r="C3056" s="20">
        <f>IFERROR(_xlfn.ISOWEEKNUM(INPUT!M3051),"")</f>
        <v>52</v>
      </c>
      <c r="D3056" s="20">
        <f>IFERROR(YEAR(INPUT!M3051),"")</f>
        <v>1900</v>
      </c>
      <c r="E3056" t="str">
        <f>IF(INPUT!O3051="","",INPUT!O3051)</f>
        <v/>
      </c>
      <c r="F3056" t="str">
        <f>IF(INPUT!N3051="","",INPUT!N3051)</f>
        <v/>
      </c>
      <c r="G3056" cm="1">
        <f t="array" ref="G3056">IFERROR(VLOOKUP(INPUT!M3051&amp;INPUT!N3051,CHOOSE({1,2},INPUT!$A$3:$A$5000&amp;INPUT!$C$3:$C$5000,INPUT!$F$3:$F$5000),2,FALSE),"")</f>
        <v>0</v>
      </c>
      <c r="H3056" cm="1">
        <f t="array" ref="H3056">IFERROR(VLOOKUP(INPUT!M3051&amp;INPUT!N3051,CHOOSE({1,2},INPUT!$A$3:$A$5000&amp;INPUT!$C$3:$C$5000,INPUT!$D$3:$D$5000),2,FALSE),"")</f>
        <v>0</v>
      </c>
      <c r="I3056" s="46" t="str">
        <f>IF(INPUT!P3051="","",INPUT!P3051)</f>
        <v/>
      </c>
      <c r="J3056" s="46" t="str">
        <f>IF(INPUT!Q3051="","",INPUT!Q3051)</f>
        <v/>
      </c>
      <c r="K3056" s="46" t="str">
        <f>IFERROR(IF(OR(INPUT!P3051="",INPUT!Q3051=""),"",INPUT!P3051-INPUT!Q3051),"")</f>
        <v/>
      </c>
      <c r="L3056" s="48" t="str">
        <f>IFERROR(IF(OR(INPUT!P3051="",INPUT!Q3051="",INPUT!P3051=0),"",(INPUT!P3051-INPUT!Q3051)/INPUT!P3051),"")</f>
        <v/>
      </c>
    </row>
    <row r="3057" spans="1:12" ht="18" hidden="1" customHeight="1" x14ac:dyDescent="0.2">
      <c r="A3057" s="11" t="str">
        <f>IF(INPUT!M3052="","",INPUT!M3052)</f>
        <v/>
      </c>
      <c r="B3057" s="11" t="str">
        <f>IF(INPUT!M3052="","",INPUT!M3052-WEEKDAY(INPUT!M3052,2)+1)</f>
        <v/>
      </c>
      <c r="C3057" s="20">
        <f>IFERROR(_xlfn.ISOWEEKNUM(INPUT!M3052),"")</f>
        <v>52</v>
      </c>
      <c r="D3057" s="20">
        <f>IFERROR(YEAR(INPUT!M3052),"")</f>
        <v>1900</v>
      </c>
      <c r="E3057" t="str">
        <f>IF(INPUT!O3052="","",INPUT!O3052)</f>
        <v/>
      </c>
      <c r="F3057" t="str">
        <f>IF(INPUT!N3052="","",INPUT!N3052)</f>
        <v/>
      </c>
      <c r="G3057" cm="1">
        <f t="array" ref="G3057">IFERROR(VLOOKUP(INPUT!M3052&amp;INPUT!N3052,CHOOSE({1,2},INPUT!$A$3:$A$5000&amp;INPUT!$C$3:$C$5000,INPUT!$F$3:$F$5000),2,FALSE),"")</f>
        <v>0</v>
      </c>
      <c r="H3057" cm="1">
        <f t="array" ref="H3057">IFERROR(VLOOKUP(INPUT!M3052&amp;INPUT!N3052,CHOOSE({1,2},INPUT!$A$3:$A$5000&amp;INPUT!$C$3:$C$5000,INPUT!$D$3:$D$5000),2,FALSE),"")</f>
        <v>0</v>
      </c>
      <c r="I3057" s="46" t="str">
        <f>IF(INPUT!P3052="","",INPUT!P3052)</f>
        <v/>
      </c>
      <c r="J3057" s="46" t="str">
        <f>IF(INPUT!Q3052="","",INPUT!Q3052)</f>
        <v/>
      </c>
      <c r="K3057" s="46" t="str">
        <f>IFERROR(IF(OR(INPUT!P3052="",INPUT!Q3052=""),"",INPUT!P3052-INPUT!Q3052),"")</f>
        <v/>
      </c>
      <c r="L3057" s="48" t="str">
        <f>IFERROR(IF(OR(INPUT!P3052="",INPUT!Q3052="",INPUT!P3052=0),"",(INPUT!P3052-INPUT!Q3052)/INPUT!P3052),"")</f>
        <v/>
      </c>
    </row>
    <row r="3058" spans="1:12" ht="18" hidden="1" customHeight="1" x14ac:dyDescent="0.2">
      <c r="A3058" s="11" t="str">
        <f>IF(INPUT!M3053="","",INPUT!M3053)</f>
        <v/>
      </c>
      <c r="B3058" s="11" t="str">
        <f>IF(INPUT!M3053="","",INPUT!M3053-WEEKDAY(INPUT!M3053,2)+1)</f>
        <v/>
      </c>
      <c r="C3058" s="20">
        <f>IFERROR(_xlfn.ISOWEEKNUM(INPUT!M3053),"")</f>
        <v>52</v>
      </c>
      <c r="D3058" s="20">
        <f>IFERROR(YEAR(INPUT!M3053),"")</f>
        <v>1900</v>
      </c>
      <c r="E3058" t="str">
        <f>IF(INPUT!O3053="","",INPUT!O3053)</f>
        <v/>
      </c>
      <c r="F3058" t="str">
        <f>IF(INPUT!N3053="","",INPUT!N3053)</f>
        <v/>
      </c>
      <c r="G3058" cm="1">
        <f t="array" ref="G3058">IFERROR(VLOOKUP(INPUT!M3053&amp;INPUT!N3053,CHOOSE({1,2},INPUT!$A$3:$A$5000&amp;INPUT!$C$3:$C$5000,INPUT!$F$3:$F$5000),2,FALSE),"")</f>
        <v>0</v>
      </c>
      <c r="H3058" cm="1">
        <f t="array" ref="H3058">IFERROR(VLOOKUP(INPUT!M3053&amp;INPUT!N3053,CHOOSE({1,2},INPUT!$A$3:$A$5000&amp;INPUT!$C$3:$C$5000,INPUT!$D$3:$D$5000),2,FALSE),"")</f>
        <v>0</v>
      </c>
      <c r="I3058" s="46" t="str">
        <f>IF(INPUT!P3053="","",INPUT!P3053)</f>
        <v/>
      </c>
      <c r="J3058" s="46" t="str">
        <f>IF(INPUT!Q3053="","",INPUT!Q3053)</f>
        <v/>
      </c>
      <c r="K3058" s="46" t="str">
        <f>IFERROR(IF(OR(INPUT!P3053="",INPUT!Q3053=""),"",INPUT!P3053-INPUT!Q3053),"")</f>
        <v/>
      </c>
      <c r="L3058" s="48" t="str">
        <f>IFERROR(IF(OR(INPUT!P3053="",INPUT!Q3053="",INPUT!P3053=0),"",(INPUT!P3053-INPUT!Q3053)/INPUT!P3053),"")</f>
        <v/>
      </c>
    </row>
    <row r="3059" spans="1:12" ht="18" hidden="1" customHeight="1" x14ac:dyDescent="0.2">
      <c r="A3059" s="11" t="str">
        <f>IF(INPUT!M3054="","",INPUT!M3054)</f>
        <v/>
      </c>
      <c r="B3059" s="11" t="str">
        <f>IF(INPUT!M3054="","",INPUT!M3054-WEEKDAY(INPUT!M3054,2)+1)</f>
        <v/>
      </c>
      <c r="C3059" s="20">
        <f>IFERROR(_xlfn.ISOWEEKNUM(INPUT!M3054),"")</f>
        <v>52</v>
      </c>
      <c r="D3059" s="20">
        <f>IFERROR(YEAR(INPUT!M3054),"")</f>
        <v>1900</v>
      </c>
      <c r="E3059" t="str">
        <f>IF(INPUT!O3054="","",INPUT!O3054)</f>
        <v/>
      </c>
      <c r="F3059" t="str">
        <f>IF(INPUT!N3054="","",INPUT!N3054)</f>
        <v/>
      </c>
      <c r="G3059" cm="1">
        <f t="array" ref="G3059">IFERROR(VLOOKUP(INPUT!M3054&amp;INPUT!N3054,CHOOSE({1,2},INPUT!$A$3:$A$5000&amp;INPUT!$C$3:$C$5000,INPUT!$F$3:$F$5000),2,FALSE),"")</f>
        <v>0</v>
      </c>
      <c r="H3059" cm="1">
        <f t="array" ref="H3059">IFERROR(VLOOKUP(INPUT!M3054&amp;INPUT!N3054,CHOOSE({1,2},INPUT!$A$3:$A$5000&amp;INPUT!$C$3:$C$5000,INPUT!$D$3:$D$5000),2,FALSE),"")</f>
        <v>0</v>
      </c>
      <c r="I3059" s="46" t="str">
        <f>IF(INPUT!P3054="","",INPUT!P3054)</f>
        <v/>
      </c>
      <c r="J3059" s="46" t="str">
        <f>IF(INPUT!Q3054="","",INPUT!Q3054)</f>
        <v/>
      </c>
      <c r="K3059" s="46" t="str">
        <f>IFERROR(IF(OR(INPUT!P3054="",INPUT!Q3054=""),"",INPUT!P3054-INPUT!Q3054),"")</f>
        <v/>
      </c>
      <c r="L3059" s="48" t="str">
        <f>IFERROR(IF(OR(INPUT!P3054="",INPUT!Q3054="",INPUT!P3054=0),"",(INPUT!P3054-INPUT!Q3054)/INPUT!P3054),"")</f>
        <v/>
      </c>
    </row>
    <row r="3060" spans="1:12" ht="18" hidden="1" customHeight="1" x14ac:dyDescent="0.2">
      <c r="A3060" s="11" t="str">
        <f>IF(INPUT!M3055="","",INPUT!M3055)</f>
        <v/>
      </c>
      <c r="B3060" s="11" t="str">
        <f>IF(INPUT!M3055="","",INPUT!M3055-WEEKDAY(INPUT!M3055,2)+1)</f>
        <v/>
      </c>
      <c r="C3060" s="20">
        <f>IFERROR(_xlfn.ISOWEEKNUM(INPUT!M3055),"")</f>
        <v>52</v>
      </c>
      <c r="D3060" s="20">
        <f>IFERROR(YEAR(INPUT!M3055),"")</f>
        <v>1900</v>
      </c>
      <c r="E3060" t="str">
        <f>IF(INPUT!O3055="","",INPUT!O3055)</f>
        <v/>
      </c>
      <c r="F3060" t="str">
        <f>IF(INPUT!N3055="","",INPUT!N3055)</f>
        <v/>
      </c>
      <c r="G3060" cm="1">
        <f t="array" ref="G3060">IFERROR(VLOOKUP(INPUT!M3055&amp;INPUT!N3055,CHOOSE({1,2},INPUT!$A$3:$A$5000&amp;INPUT!$C$3:$C$5000,INPUT!$F$3:$F$5000),2,FALSE),"")</f>
        <v>0</v>
      </c>
      <c r="H3060" cm="1">
        <f t="array" ref="H3060">IFERROR(VLOOKUP(INPUT!M3055&amp;INPUT!N3055,CHOOSE({1,2},INPUT!$A$3:$A$5000&amp;INPUT!$C$3:$C$5000,INPUT!$D$3:$D$5000),2,FALSE),"")</f>
        <v>0</v>
      </c>
      <c r="I3060" s="46" t="str">
        <f>IF(INPUT!P3055="","",INPUT!P3055)</f>
        <v/>
      </c>
      <c r="J3060" s="46" t="str">
        <f>IF(INPUT!Q3055="","",INPUT!Q3055)</f>
        <v/>
      </c>
      <c r="K3060" s="46" t="str">
        <f>IFERROR(IF(OR(INPUT!P3055="",INPUT!Q3055=""),"",INPUT!P3055-INPUT!Q3055),"")</f>
        <v/>
      </c>
      <c r="L3060" s="48" t="str">
        <f>IFERROR(IF(OR(INPUT!P3055="",INPUT!Q3055="",INPUT!P3055=0),"",(INPUT!P3055-INPUT!Q3055)/INPUT!P3055),"")</f>
        <v/>
      </c>
    </row>
    <row r="3061" spans="1:12" ht="18" hidden="1" customHeight="1" x14ac:dyDescent="0.2">
      <c r="A3061" s="11" t="str">
        <f>IF(INPUT!M3056="","",INPUT!M3056)</f>
        <v/>
      </c>
      <c r="B3061" s="11" t="str">
        <f>IF(INPUT!M3056="","",INPUT!M3056-WEEKDAY(INPUT!M3056,2)+1)</f>
        <v/>
      </c>
      <c r="C3061" s="20">
        <f>IFERROR(_xlfn.ISOWEEKNUM(INPUT!M3056),"")</f>
        <v>52</v>
      </c>
      <c r="D3061" s="20">
        <f>IFERROR(YEAR(INPUT!M3056),"")</f>
        <v>1900</v>
      </c>
      <c r="E3061" t="str">
        <f>IF(INPUT!O3056="","",INPUT!O3056)</f>
        <v/>
      </c>
      <c r="F3061" t="str">
        <f>IF(INPUT!N3056="","",INPUT!N3056)</f>
        <v/>
      </c>
      <c r="G3061" cm="1">
        <f t="array" ref="G3061">IFERROR(VLOOKUP(INPUT!M3056&amp;INPUT!N3056,CHOOSE({1,2},INPUT!$A$3:$A$5000&amp;INPUT!$C$3:$C$5000,INPUT!$F$3:$F$5000),2,FALSE),"")</f>
        <v>0</v>
      </c>
      <c r="H3061" cm="1">
        <f t="array" ref="H3061">IFERROR(VLOOKUP(INPUT!M3056&amp;INPUT!N3056,CHOOSE({1,2},INPUT!$A$3:$A$5000&amp;INPUT!$C$3:$C$5000,INPUT!$D$3:$D$5000),2,FALSE),"")</f>
        <v>0</v>
      </c>
      <c r="I3061" s="46" t="str">
        <f>IF(INPUT!P3056="","",INPUT!P3056)</f>
        <v/>
      </c>
      <c r="J3061" s="46" t="str">
        <f>IF(INPUT!Q3056="","",INPUT!Q3056)</f>
        <v/>
      </c>
      <c r="K3061" s="46" t="str">
        <f>IFERROR(IF(OR(INPUT!P3056="",INPUT!Q3056=""),"",INPUT!P3056-INPUT!Q3056),"")</f>
        <v/>
      </c>
      <c r="L3061" s="48" t="str">
        <f>IFERROR(IF(OR(INPUT!P3056="",INPUT!Q3056="",INPUT!P3056=0),"",(INPUT!P3056-INPUT!Q3056)/INPUT!P3056),"")</f>
        <v/>
      </c>
    </row>
    <row r="3062" spans="1:12" ht="18" hidden="1" customHeight="1" x14ac:dyDescent="0.2">
      <c r="A3062" s="11" t="str">
        <f>IF(INPUT!M3057="","",INPUT!M3057)</f>
        <v/>
      </c>
      <c r="B3062" s="11" t="str">
        <f>IF(INPUT!M3057="","",INPUT!M3057-WEEKDAY(INPUT!M3057,2)+1)</f>
        <v/>
      </c>
      <c r="C3062" s="20">
        <f>IFERROR(_xlfn.ISOWEEKNUM(INPUT!M3057),"")</f>
        <v>52</v>
      </c>
      <c r="D3062" s="20">
        <f>IFERROR(YEAR(INPUT!M3057),"")</f>
        <v>1900</v>
      </c>
      <c r="E3062" t="str">
        <f>IF(INPUT!O3057="","",INPUT!O3057)</f>
        <v/>
      </c>
      <c r="F3062" t="str">
        <f>IF(INPUT!N3057="","",INPUT!N3057)</f>
        <v/>
      </c>
      <c r="G3062" cm="1">
        <f t="array" ref="G3062">IFERROR(VLOOKUP(INPUT!M3057&amp;INPUT!N3057,CHOOSE({1,2},INPUT!$A$3:$A$5000&amp;INPUT!$C$3:$C$5000,INPUT!$F$3:$F$5000),2,FALSE),"")</f>
        <v>0</v>
      </c>
      <c r="H3062" cm="1">
        <f t="array" ref="H3062">IFERROR(VLOOKUP(INPUT!M3057&amp;INPUT!N3057,CHOOSE({1,2},INPUT!$A$3:$A$5000&amp;INPUT!$C$3:$C$5000,INPUT!$D$3:$D$5000),2,FALSE),"")</f>
        <v>0</v>
      </c>
      <c r="I3062" s="46" t="str">
        <f>IF(INPUT!P3057="","",INPUT!P3057)</f>
        <v/>
      </c>
      <c r="J3062" s="46" t="str">
        <f>IF(INPUT!Q3057="","",INPUT!Q3057)</f>
        <v/>
      </c>
      <c r="K3062" s="46" t="str">
        <f>IFERROR(IF(OR(INPUT!P3057="",INPUT!Q3057=""),"",INPUT!P3057-INPUT!Q3057),"")</f>
        <v/>
      </c>
      <c r="L3062" s="48" t="str">
        <f>IFERROR(IF(OR(INPUT!P3057="",INPUT!Q3057="",INPUT!P3057=0),"",(INPUT!P3057-INPUT!Q3057)/INPUT!P3057),"")</f>
        <v/>
      </c>
    </row>
    <row r="3063" spans="1:12" ht="18" hidden="1" customHeight="1" x14ac:dyDescent="0.2">
      <c r="A3063" s="11" t="str">
        <f>IF(INPUT!M3058="","",INPUT!M3058)</f>
        <v/>
      </c>
      <c r="B3063" s="11" t="str">
        <f>IF(INPUT!M3058="","",INPUT!M3058-WEEKDAY(INPUT!M3058,2)+1)</f>
        <v/>
      </c>
      <c r="C3063" s="20">
        <f>IFERROR(_xlfn.ISOWEEKNUM(INPUT!M3058),"")</f>
        <v>52</v>
      </c>
      <c r="D3063" s="20">
        <f>IFERROR(YEAR(INPUT!M3058),"")</f>
        <v>1900</v>
      </c>
      <c r="E3063" t="str">
        <f>IF(INPUT!O3058="","",INPUT!O3058)</f>
        <v/>
      </c>
      <c r="F3063" t="str">
        <f>IF(INPUT!N3058="","",INPUT!N3058)</f>
        <v/>
      </c>
      <c r="G3063" cm="1">
        <f t="array" ref="G3063">IFERROR(VLOOKUP(INPUT!M3058&amp;INPUT!N3058,CHOOSE({1,2},INPUT!$A$3:$A$5000&amp;INPUT!$C$3:$C$5000,INPUT!$F$3:$F$5000),2,FALSE),"")</f>
        <v>0</v>
      </c>
      <c r="H3063" cm="1">
        <f t="array" ref="H3063">IFERROR(VLOOKUP(INPUT!M3058&amp;INPUT!N3058,CHOOSE({1,2},INPUT!$A$3:$A$5000&amp;INPUT!$C$3:$C$5000,INPUT!$D$3:$D$5000),2,FALSE),"")</f>
        <v>0</v>
      </c>
      <c r="I3063" s="46" t="str">
        <f>IF(INPUT!P3058="","",INPUT!P3058)</f>
        <v/>
      </c>
      <c r="J3063" s="46" t="str">
        <f>IF(INPUT!Q3058="","",INPUT!Q3058)</f>
        <v/>
      </c>
      <c r="K3063" s="46" t="str">
        <f>IFERROR(IF(OR(INPUT!P3058="",INPUT!Q3058=""),"",INPUT!P3058-INPUT!Q3058),"")</f>
        <v/>
      </c>
      <c r="L3063" s="48" t="str">
        <f>IFERROR(IF(OR(INPUT!P3058="",INPUT!Q3058="",INPUT!P3058=0),"",(INPUT!P3058-INPUT!Q3058)/INPUT!P3058),"")</f>
        <v/>
      </c>
    </row>
    <row r="3064" spans="1:12" ht="18" hidden="1" customHeight="1" x14ac:dyDescent="0.2">
      <c r="A3064" s="11" t="str">
        <f>IF(INPUT!M3059="","",INPUT!M3059)</f>
        <v/>
      </c>
      <c r="B3064" s="11" t="str">
        <f>IF(INPUT!M3059="","",INPUT!M3059-WEEKDAY(INPUT!M3059,2)+1)</f>
        <v/>
      </c>
      <c r="C3064" s="20">
        <f>IFERROR(_xlfn.ISOWEEKNUM(INPUT!M3059),"")</f>
        <v>52</v>
      </c>
      <c r="D3064" s="20">
        <f>IFERROR(YEAR(INPUT!M3059),"")</f>
        <v>1900</v>
      </c>
      <c r="E3064" t="str">
        <f>IF(INPUT!O3059="","",INPUT!O3059)</f>
        <v/>
      </c>
      <c r="F3064" t="str">
        <f>IF(INPUT!N3059="","",INPUT!N3059)</f>
        <v/>
      </c>
      <c r="G3064" cm="1">
        <f t="array" ref="G3064">IFERROR(VLOOKUP(INPUT!M3059&amp;INPUT!N3059,CHOOSE({1,2},INPUT!$A$3:$A$5000&amp;INPUT!$C$3:$C$5000,INPUT!$F$3:$F$5000),2,FALSE),"")</f>
        <v>0</v>
      </c>
      <c r="H3064" cm="1">
        <f t="array" ref="H3064">IFERROR(VLOOKUP(INPUT!M3059&amp;INPUT!N3059,CHOOSE({1,2},INPUT!$A$3:$A$5000&amp;INPUT!$C$3:$C$5000,INPUT!$D$3:$D$5000),2,FALSE),"")</f>
        <v>0</v>
      </c>
      <c r="I3064" s="46" t="str">
        <f>IF(INPUT!P3059="","",INPUT!P3059)</f>
        <v/>
      </c>
      <c r="J3064" s="46" t="str">
        <f>IF(INPUT!Q3059="","",INPUT!Q3059)</f>
        <v/>
      </c>
      <c r="K3064" s="46" t="str">
        <f>IFERROR(IF(OR(INPUT!P3059="",INPUT!Q3059=""),"",INPUT!P3059-INPUT!Q3059),"")</f>
        <v/>
      </c>
      <c r="L3064" s="48" t="str">
        <f>IFERROR(IF(OR(INPUT!P3059="",INPUT!Q3059="",INPUT!P3059=0),"",(INPUT!P3059-INPUT!Q3059)/INPUT!P3059),"")</f>
        <v/>
      </c>
    </row>
    <row r="3065" spans="1:12" ht="18" hidden="1" customHeight="1" x14ac:dyDescent="0.2">
      <c r="A3065" s="11" t="str">
        <f>IF(INPUT!M3060="","",INPUT!M3060)</f>
        <v/>
      </c>
      <c r="B3065" s="11" t="str">
        <f>IF(INPUT!M3060="","",INPUT!M3060-WEEKDAY(INPUT!M3060,2)+1)</f>
        <v/>
      </c>
      <c r="C3065" s="20">
        <f>IFERROR(_xlfn.ISOWEEKNUM(INPUT!M3060),"")</f>
        <v>52</v>
      </c>
      <c r="D3065" s="20">
        <f>IFERROR(YEAR(INPUT!M3060),"")</f>
        <v>1900</v>
      </c>
      <c r="E3065" t="str">
        <f>IF(INPUT!O3060="","",INPUT!O3060)</f>
        <v/>
      </c>
      <c r="F3065" t="str">
        <f>IF(INPUT!N3060="","",INPUT!N3060)</f>
        <v/>
      </c>
      <c r="G3065" cm="1">
        <f t="array" ref="G3065">IFERROR(VLOOKUP(INPUT!M3060&amp;INPUT!N3060,CHOOSE({1,2},INPUT!$A$3:$A$5000&amp;INPUT!$C$3:$C$5000,INPUT!$F$3:$F$5000),2,FALSE),"")</f>
        <v>0</v>
      </c>
      <c r="H3065" cm="1">
        <f t="array" ref="H3065">IFERROR(VLOOKUP(INPUT!M3060&amp;INPUT!N3060,CHOOSE({1,2},INPUT!$A$3:$A$5000&amp;INPUT!$C$3:$C$5000,INPUT!$D$3:$D$5000),2,FALSE),"")</f>
        <v>0</v>
      </c>
      <c r="I3065" s="46" t="str">
        <f>IF(INPUT!P3060="","",INPUT!P3060)</f>
        <v/>
      </c>
      <c r="J3065" s="46" t="str">
        <f>IF(INPUT!Q3060="","",INPUT!Q3060)</f>
        <v/>
      </c>
      <c r="K3065" s="46" t="str">
        <f>IFERROR(IF(OR(INPUT!P3060="",INPUT!Q3060=""),"",INPUT!P3060-INPUT!Q3060),"")</f>
        <v/>
      </c>
      <c r="L3065" s="48" t="str">
        <f>IFERROR(IF(OR(INPUT!P3060="",INPUT!Q3060="",INPUT!P3060=0),"",(INPUT!P3060-INPUT!Q3060)/INPUT!P3060),"")</f>
        <v/>
      </c>
    </row>
    <row r="3066" spans="1:12" ht="18" hidden="1" customHeight="1" x14ac:dyDescent="0.2">
      <c r="A3066" s="11" t="str">
        <f>IF(INPUT!M3061="","",INPUT!M3061)</f>
        <v/>
      </c>
      <c r="B3066" s="11" t="str">
        <f>IF(INPUT!M3061="","",INPUT!M3061-WEEKDAY(INPUT!M3061,2)+1)</f>
        <v/>
      </c>
      <c r="C3066" s="20">
        <f>IFERROR(_xlfn.ISOWEEKNUM(INPUT!M3061),"")</f>
        <v>52</v>
      </c>
      <c r="D3066" s="20">
        <f>IFERROR(YEAR(INPUT!M3061),"")</f>
        <v>1900</v>
      </c>
      <c r="E3066" t="str">
        <f>IF(INPUT!O3061="","",INPUT!O3061)</f>
        <v/>
      </c>
      <c r="F3066" t="str">
        <f>IF(INPUT!N3061="","",INPUT!N3061)</f>
        <v/>
      </c>
      <c r="G3066" cm="1">
        <f t="array" ref="G3066">IFERROR(VLOOKUP(INPUT!M3061&amp;INPUT!N3061,CHOOSE({1,2},INPUT!$A$3:$A$5000&amp;INPUT!$C$3:$C$5000,INPUT!$F$3:$F$5000),2,FALSE),"")</f>
        <v>0</v>
      </c>
      <c r="H3066" cm="1">
        <f t="array" ref="H3066">IFERROR(VLOOKUP(INPUT!M3061&amp;INPUT!N3061,CHOOSE({1,2},INPUT!$A$3:$A$5000&amp;INPUT!$C$3:$C$5000,INPUT!$D$3:$D$5000),2,FALSE),"")</f>
        <v>0</v>
      </c>
      <c r="I3066" s="46" t="str">
        <f>IF(INPUT!P3061="","",INPUT!P3061)</f>
        <v/>
      </c>
      <c r="J3066" s="46" t="str">
        <f>IF(INPUT!Q3061="","",INPUT!Q3061)</f>
        <v/>
      </c>
      <c r="K3066" s="46" t="str">
        <f>IFERROR(IF(OR(INPUT!P3061="",INPUT!Q3061=""),"",INPUT!P3061-INPUT!Q3061),"")</f>
        <v/>
      </c>
      <c r="L3066" s="48" t="str">
        <f>IFERROR(IF(OR(INPUT!P3061="",INPUT!Q3061="",INPUT!P3061=0),"",(INPUT!P3061-INPUT!Q3061)/INPUT!P3061),"")</f>
        <v/>
      </c>
    </row>
    <row r="3067" spans="1:12" ht="18" hidden="1" customHeight="1" x14ac:dyDescent="0.2">
      <c r="A3067" s="11" t="str">
        <f>IF(INPUT!M3062="","",INPUT!M3062)</f>
        <v/>
      </c>
      <c r="B3067" s="11" t="str">
        <f>IF(INPUT!M3062="","",INPUT!M3062-WEEKDAY(INPUT!M3062,2)+1)</f>
        <v/>
      </c>
      <c r="C3067" s="20">
        <f>IFERROR(_xlfn.ISOWEEKNUM(INPUT!M3062),"")</f>
        <v>52</v>
      </c>
      <c r="D3067" s="20">
        <f>IFERROR(YEAR(INPUT!M3062),"")</f>
        <v>1900</v>
      </c>
      <c r="E3067" t="str">
        <f>IF(INPUT!O3062="","",INPUT!O3062)</f>
        <v/>
      </c>
      <c r="F3067" t="str">
        <f>IF(INPUT!N3062="","",INPUT!N3062)</f>
        <v/>
      </c>
      <c r="G3067" cm="1">
        <f t="array" ref="G3067">IFERROR(VLOOKUP(INPUT!M3062&amp;INPUT!N3062,CHOOSE({1,2},INPUT!$A$3:$A$5000&amp;INPUT!$C$3:$C$5000,INPUT!$F$3:$F$5000),2,FALSE),"")</f>
        <v>0</v>
      </c>
      <c r="H3067" cm="1">
        <f t="array" ref="H3067">IFERROR(VLOOKUP(INPUT!M3062&amp;INPUT!N3062,CHOOSE({1,2},INPUT!$A$3:$A$5000&amp;INPUT!$C$3:$C$5000,INPUT!$D$3:$D$5000),2,FALSE),"")</f>
        <v>0</v>
      </c>
      <c r="I3067" s="46" t="str">
        <f>IF(INPUT!P3062="","",INPUT!P3062)</f>
        <v/>
      </c>
      <c r="J3067" s="46" t="str">
        <f>IF(INPUT!Q3062="","",INPUT!Q3062)</f>
        <v/>
      </c>
      <c r="K3067" s="46" t="str">
        <f>IFERROR(IF(OR(INPUT!P3062="",INPUT!Q3062=""),"",INPUT!P3062-INPUT!Q3062),"")</f>
        <v/>
      </c>
      <c r="L3067" s="48" t="str">
        <f>IFERROR(IF(OR(INPUT!P3062="",INPUT!Q3062="",INPUT!P3062=0),"",(INPUT!P3062-INPUT!Q3062)/INPUT!P3062),"")</f>
        <v/>
      </c>
    </row>
    <row r="3068" spans="1:12" ht="18" hidden="1" customHeight="1" x14ac:dyDescent="0.2">
      <c r="A3068" s="11" t="str">
        <f>IF(INPUT!M3063="","",INPUT!M3063)</f>
        <v/>
      </c>
      <c r="B3068" s="11" t="str">
        <f>IF(INPUT!M3063="","",INPUT!M3063-WEEKDAY(INPUT!M3063,2)+1)</f>
        <v/>
      </c>
      <c r="C3068" s="20">
        <f>IFERROR(_xlfn.ISOWEEKNUM(INPUT!M3063),"")</f>
        <v>52</v>
      </c>
      <c r="D3068" s="20">
        <f>IFERROR(YEAR(INPUT!M3063),"")</f>
        <v>1900</v>
      </c>
      <c r="E3068" t="str">
        <f>IF(INPUT!O3063="","",INPUT!O3063)</f>
        <v/>
      </c>
      <c r="F3068" t="str">
        <f>IF(INPUT!N3063="","",INPUT!N3063)</f>
        <v/>
      </c>
      <c r="G3068" cm="1">
        <f t="array" ref="G3068">IFERROR(VLOOKUP(INPUT!M3063&amp;INPUT!N3063,CHOOSE({1,2},INPUT!$A$3:$A$5000&amp;INPUT!$C$3:$C$5000,INPUT!$F$3:$F$5000),2,FALSE),"")</f>
        <v>0</v>
      </c>
      <c r="H3068" cm="1">
        <f t="array" ref="H3068">IFERROR(VLOOKUP(INPUT!M3063&amp;INPUT!N3063,CHOOSE({1,2},INPUT!$A$3:$A$5000&amp;INPUT!$C$3:$C$5000,INPUT!$D$3:$D$5000),2,FALSE),"")</f>
        <v>0</v>
      </c>
      <c r="I3068" s="46" t="str">
        <f>IF(INPUT!P3063="","",INPUT!P3063)</f>
        <v/>
      </c>
      <c r="J3068" s="46" t="str">
        <f>IF(INPUT!Q3063="","",INPUT!Q3063)</f>
        <v/>
      </c>
      <c r="K3068" s="46" t="str">
        <f>IFERROR(IF(OR(INPUT!P3063="",INPUT!Q3063=""),"",INPUT!P3063-INPUT!Q3063),"")</f>
        <v/>
      </c>
      <c r="L3068" s="48" t="str">
        <f>IFERROR(IF(OR(INPUT!P3063="",INPUT!Q3063="",INPUT!P3063=0),"",(INPUT!P3063-INPUT!Q3063)/INPUT!P3063),"")</f>
        <v/>
      </c>
    </row>
    <row r="3069" spans="1:12" ht="18" hidden="1" customHeight="1" x14ac:dyDescent="0.2">
      <c r="A3069" s="11" t="str">
        <f>IF(INPUT!M3064="","",INPUT!M3064)</f>
        <v/>
      </c>
      <c r="B3069" s="11" t="str">
        <f>IF(INPUT!M3064="","",INPUT!M3064-WEEKDAY(INPUT!M3064,2)+1)</f>
        <v/>
      </c>
      <c r="C3069" s="20">
        <f>IFERROR(_xlfn.ISOWEEKNUM(INPUT!M3064),"")</f>
        <v>52</v>
      </c>
      <c r="D3069" s="20">
        <f>IFERROR(YEAR(INPUT!M3064),"")</f>
        <v>1900</v>
      </c>
      <c r="E3069" t="str">
        <f>IF(INPUT!O3064="","",INPUT!O3064)</f>
        <v/>
      </c>
      <c r="F3069" t="str">
        <f>IF(INPUT!N3064="","",INPUT!N3064)</f>
        <v/>
      </c>
      <c r="G3069" cm="1">
        <f t="array" ref="G3069">IFERROR(VLOOKUP(INPUT!M3064&amp;INPUT!N3064,CHOOSE({1,2},INPUT!$A$3:$A$5000&amp;INPUT!$C$3:$C$5000,INPUT!$F$3:$F$5000),2,FALSE),"")</f>
        <v>0</v>
      </c>
      <c r="H3069" cm="1">
        <f t="array" ref="H3069">IFERROR(VLOOKUP(INPUT!M3064&amp;INPUT!N3064,CHOOSE({1,2},INPUT!$A$3:$A$5000&amp;INPUT!$C$3:$C$5000,INPUT!$D$3:$D$5000),2,FALSE),"")</f>
        <v>0</v>
      </c>
      <c r="I3069" s="46" t="str">
        <f>IF(INPUT!P3064="","",INPUT!P3064)</f>
        <v/>
      </c>
      <c r="J3069" s="46" t="str">
        <f>IF(INPUT!Q3064="","",INPUT!Q3064)</f>
        <v/>
      </c>
      <c r="K3069" s="46" t="str">
        <f>IFERROR(IF(OR(INPUT!P3064="",INPUT!Q3064=""),"",INPUT!P3064-INPUT!Q3064),"")</f>
        <v/>
      </c>
      <c r="L3069" s="48" t="str">
        <f>IFERROR(IF(OR(INPUT!P3064="",INPUT!Q3064="",INPUT!P3064=0),"",(INPUT!P3064-INPUT!Q3064)/INPUT!P3064),"")</f>
        <v/>
      </c>
    </row>
    <row r="3070" spans="1:12" ht="18" hidden="1" customHeight="1" x14ac:dyDescent="0.2">
      <c r="A3070" s="11" t="str">
        <f>IF(INPUT!M3065="","",INPUT!M3065)</f>
        <v/>
      </c>
      <c r="B3070" s="11" t="str">
        <f>IF(INPUT!M3065="","",INPUT!M3065-WEEKDAY(INPUT!M3065,2)+1)</f>
        <v/>
      </c>
      <c r="C3070" s="20">
        <f>IFERROR(_xlfn.ISOWEEKNUM(INPUT!M3065),"")</f>
        <v>52</v>
      </c>
      <c r="D3070" s="20">
        <f>IFERROR(YEAR(INPUT!M3065),"")</f>
        <v>1900</v>
      </c>
      <c r="E3070" t="str">
        <f>IF(INPUT!O3065="","",INPUT!O3065)</f>
        <v/>
      </c>
      <c r="F3070" t="str">
        <f>IF(INPUT!N3065="","",INPUT!N3065)</f>
        <v/>
      </c>
      <c r="G3070" cm="1">
        <f t="array" ref="G3070">IFERROR(VLOOKUP(INPUT!M3065&amp;INPUT!N3065,CHOOSE({1,2},INPUT!$A$3:$A$5000&amp;INPUT!$C$3:$C$5000,INPUT!$F$3:$F$5000),2,FALSE),"")</f>
        <v>0</v>
      </c>
      <c r="H3070" cm="1">
        <f t="array" ref="H3070">IFERROR(VLOOKUP(INPUT!M3065&amp;INPUT!N3065,CHOOSE({1,2},INPUT!$A$3:$A$5000&amp;INPUT!$C$3:$C$5000,INPUT!$D$3:$D$5000),2,FALSE),"")</f>
        <v>0</v>
      </c>
      <c r="I3070" s="46" t="str">
        <f>IF(INPUT!P3065="","",INPUT!P3065)</f>
        <v/>
      </c>
      <c r="J3070" s="46" t="str">
        <f>IF(INPUT!Q3065="","",INPUT!Q3065)</f>
        <v/>
      </c>
      <c r="K3070" s="46" t="str">
        <f>IFERROR(IF(OR(INPUT!P3065="",INPUT!Q3065=""),"",INPUT!P3065-INPUT!Q3065),"")</f>
        <v/>
      </c>
      <c r="L3070" s="48" t="str">
        <f>IFERROR(IF(OR(INPUT!P3065="",INPUT!Q3065="",INPUT!P3065=0),"",(INPUT!P3065-INPUT!Q3065)/INPUT!P3065),"")</f>
        <v/>
      </c>
    </row>
    <row r="3071" spans="1:12" ht="18" hidden="1" customHeight="1" x14ac:dyDescent="0.2">
      <c r="A3071" s="11" t="str">
        <f>IF(INPUT!M3066="","",INPUT!M3066)</f>
        <v/>
      </c>
      <c r="B3071" s="11" t="str">
        <f>IF(INPUT!M3066="","",INPUT!M3066-WEEKDAY(INPUT!M3066,2)+1)</f>
        <v/>
      </c>
      <c r="C3071" s="20">
        <f>IFERROR(_xlfn.ISOWEEKNUM(INPUT!M3066),"")</f>
        <v>52</v>
      </c>
      <c r="D3071" s="20">
        <f>IFERROR(YEAR(INPUT!M3066),"")</f>
        <v>1900</v>
      </c>
      <c r="E3071" t="str">
        <f>IF(INPUT!O3066="","",INPUT!O3066)</f>
        <v/>
      </c>
      <c r="F3071" t="str">
        <f>IF(INPUT!N3066="","",INPUT!N3066)</f>
        <v/>
      </c>
      <c r="G3071" cm="1">
        <f t="array" ref="G3071">IFERROR(VLOOKUP(INPUT!M3066&amp;INPUT!N3066,CHOOSE({1,2},INPUT!$A$3:$A$5000&amp;INPUT!$C$3:$C$5000,INPUT!$F$3:$F$5000),2,FALSE),"")</f>
        <v>0</v>
      </c>
      <c r="H3071" cm="1">
        <f t="array" ref="H3071">IFERROR(VLOOKUP(INPUT!M3066&amp;INPUT!N3066,CHOOSE({1,2},INPUT!$A$3:$A$5000&amp;INPUT!$C$3:$C$5000,INPUT!$D$3:$D$5000),2,FALSE),"")</f>
        <v>0</v>
      </c>
      <c r="I3071" s="46" t="str">
        <f>IF(INPUT!P3066="","",INPUT!P3066)</f>
        <v/>
      </c>
      <c r="J3071" s="46" t="str">
        <f>IF(INPUT!Q3066="","",INPUT!Q3066)</f>
        <v/>
      </c>
      <c r="K3071" s="46" t="str">
        <f>IFERROR(IF(OR(INPUT!P3066="",INPUT!Q3066=""),"",INPUT!P3066-INPUT!Q3066),"")</f>
        <v/>
      </c>
      <c r="L3071" s="48" t="str">
        <f>IFERROR(IF(OR(INPUT!P3066="",INPUT!Q3066="",INPUT!P3066=0),"",(INPUT!P3066-INPUT!Q3066)/INPUT!P3066),"")</f>
        <v/>
      </c>
    </row>
    <row r="3072" spans="1:12" ht="18" hidden="1" customHeight="1" x14ac:dyDescent="0.2">
      <c r="A3072" s="11" t="str">
        <f>IF(INPUT!M3067="","",INPUT!M3067)</f>
        <v/>
      </c>
      <c r="B3072" s="11" t="str">
        <f>IF(INPUT!M3067="","",INPUT!M3067-WEEKDAY(INPUT!M3067,2)+1)</f>
        <v/>
      </c>
      <c r="C3072" s="20">
        <f>IFERROR(_xlfn.ISOWEEKNUM(INPUT!M3067),"")</f>
        <v>52</v>
      </c>
      <c r="D3072" s="20">
        <f>IFERROR(YEAR(INPUT!M3067),"")</f>
        <v>1900</v>
      </c>
      <c r="E3072" t="str">
        <f>IF(INPUT!O3067="","",INPUT!O3067)</f>
        <v/>
      </c>
      <c r="F3072" t="str">
        <f>IF(INPUT!N3067="","",INPUT!N3067)</f>
        <v/>
      </c>
      <c r="G3072" cm="1">
        <f t="array" ref="G3072">IFERROR(VLOOKUP(INPUT!M3067&amp;INPUT!N3067,CHOOSE({1,2},INPUT!$A$3:$A$5000&amp;INPUT!$C$3:$C$5000,INPUT!$F$3:$F$5000),2,FALSE),"")</f>
        <v>0</v>
      </c>
      <c r="H3072" cm="1">
        <f t="array" ref="H3072">IFERROR(VLOOKUP(INPUT!M3067&amp;INPUT!N3067,CHOOSE({1,2},INPUT!$A$3:$A$5000&amp;INPUT!$C$3:$C$5000,INPUT!$D$3:$D$5000),2,FALSE),"")</f>
        <v>0</v>
      </c>
      <c r="I3072" s="46" t="str">
        <f>IF(INPUT!P3067="","",INPUT!P3067)</f>
        <v/>
      </c>
      <c r="J3072" s="46" t="str">
        <f>IF(INPUT!Q3067="","",INPUT!Q3067)</f>
        <v/>
      </c>
      <c r="K3072" s="46" t="str">
        <f>IFERROR(IF(OR(INPUT!P3067="",INPUT!Q3067=""),"",INPUT!P3067-INPUT!Q3067),"")</f>
        <v/>
      </c>
      <c r="L3072" s="48" t="str">
        <f>IFERROR(IF(OR(INPUT!P3067="",INPUT!Q3067="",INPUT!P3067=0),"",(INPUT!P3067-INPUT!Q3067)/INPUT!P3067),"")</f>
        <v/>
      </c>
    </row>
    <row r="3073" spans="1:12" ht="18" hidden="1" customHeight="1" x14ac:dyDescent="0.2">
      <c r="A3073" s="11" t="str">
        <f>IF(INPUT!M3068="","",INPUT!M3068)</f>
        <v/>
      </c>
      <c r="B3073" s="11" t="str">
        <f>IF(INPUT!M3068="","",INPUT!M3068-WEEKDAY(INPUT!M3068,2)+1)</f>
        <v/>
      </c>
      <c r="C3073" s="20">
        <f>IFERROR(_xlfn.ISOWEEKNUM(INPUT!M3068),"")</f>
        <v>52</v>
      </c>
      <c r="D3073" s="20">
        <f>IFERROR(YEAR(INPUT!M3068),"")</f>
        <v>1900</v>
      </c>
      <c r="E3073" t="str">
        <f>IF(INPUT!O3068="","",INPUT!O3068)</f>
        <v/>
      </c>
      <c r="F3073" t="str">
        <f>IF(INPUT!N3068="","",INPUT!N3068)</f>
        <v/>
      </c>
      <c r="G3073" cm="1">
        <f t="array" ref="G3073">IFERROR(VLOOKUP(INPUT!M3068&amp;INPUT!N3068,CHOOSE({1,2},INPUT!$A$3:$A$5000&amp;INPUT!$C$3:$C$5000,INPUT!$F$3:$F$5000),2,FALSE),"")</f>
        <v>0</v>
      </c>
      <c r="H3073" cm="1">
        <f t="array" ref="H3073">IFERROR(VLOOKUP(INPUT!M3068&amp;INPUT!N3068,CHOOSE({1,2},INPUT!$A$3:$A$5000&amp;INPUT!$C$3:$C$5000,INPUT!$D$3:$D$5000),2,FALSE),"")</f>
        <v>0</v>
      </c>
      <c r="I3073" s="46" t="str">
        <f>IF(INPUT!P3068="","",INPUT!P3068)</f>
        <v/>
      </c>
      <c r="J3073" s="46" t="str">
        <f>IF(INPUT!Q3068="","",INPUT!Q3068)</f>
        <v/>
      </c>
      <c r="K3073" s="46" t="str">
        <f>IFERROR(IF(OR(INPUT!P3068="",INPUT!Q3068=""),"",INPUT!P3068-INPUT!Q3068),"")</f>
        <v/>
      </c>
      <c r="L3073" s="48" t="str">
        <f>IFERROR(IF(OR(INPUT!P3068="",INPUT!Q3068="",INPUT!P3068=0),"",(INPUT!P3068-INPUT!Q3068)/INPUT!P3068),"")</f>
        <v/>
      </c>
    </row>
    <row r="3074" spans="1:12" ht="18" hidden="1" customHeight="1" x14ac:dyDescent="0.2">
      <c r="A3074" s="11" t="str">
        <f>IF(INPUT!M3069="","",INPUT!M3069)</f>
        <v/>
      </c>
      <c r="B3074" s="11" t="str">
        <f>IF(INPUT!M3069="","",INPUT!M3069-WEEKDAY(INPUT!M3069,2)+1)</f>
        <v/>
      </c>
      <c r="C3074" s="20">
        <f>IFERROR(_xlfn.ISOWEEKNUM(INPUT!M3069),"")</f>
        <v>52</v>
      </c>
      <c r="D3074" s="20">
        <f>IFERROR(YEAR(INPUT!M3069),"")</f>
        <v>1900</v>
      </c>
      <c r="E3074" t="str">
        <f>IF(INPUT!O3069="","",INPUT!O3069)</f>
        <v/>
      </c>
      <c r="F3074" t="str">
        <f>IF(INPUT!N3069="","",INPUT!N3069)</f>
        <v/>
      </c>
      <c r="G3074" cm="1">
        <f t="array" ref="G3074">IFERROR(VLOOKUP(INPUT!M3069&amp;INPUT!N3069,CHOOSE({1,2},INPUT!$A$3:$A$5000&amp;INPUT!$C$3:$C$5000,INPUT!$F$3:$F$5000),2,FALSE),"")</f>
        <v>0</v>
      </c>
      <c r="H3074" cm="1">
        <f t="array" ref="H3074">IFERROR(VLOOKUP(INPUT!M3069&amp;INPUT!N3069,CHOOSE({1,2},INPUT!$A$3:$A$5000&amp;INPUT!$C$3:$C$5000,INPUT!$D$3:$D$5000),2,FALSE),"")</f>
        <v>0</v>
      </c>
      <c r="I3074" s="46" t="str">
        <f>IF(INPUT!P3069="","",INPUT!P3069)</f>
        <v/>
      </c>
      <c r="J3074" s="46" t="str">
        <f>IF(INPUT!Q3069="","",INPUT!Q3069)</f>
        <v/>
      </c>
      <c r="K3074" s="46" t="str">
        <f>IFERROR(IF(OR(INPUT!P3069="",INPUT!Q3069=""),"",INPUT!P3069-INPUT!Q3069),"")</f>
        <v/>
      </c>
      <c r="L3074" s="48" t="str">
        <f>IFERROR(IF(OR(INPUT!P3069="",INPUT!Q3069="",INPUT!P3069=0),"",(INPUT!P3069-INPUT!Q3069)/INPUT!P3069),"")</f>
        <v/>
      </c>
    </row>
    <row r="3075" spans="1:12" ht="18" hidden="1" customHeight="1" x14ac:dyDescent="0.2">
      <c r="A3075" s="11" t="str">
        <f>IF(INPUT!M3070="","",INPUT!M3070)</f>
        <v/>
      </c>
      <c r="B3075" s="11" t="str">
        <f>IF(INPUT!M3070="","",INPUT!M3070-WEEKDAY(INPUT!M3070,2)+1)</f>
        <v/>
      </c>
      <c r="C3075" s="20">
        <f>IFERROR(_xlfn.ISOWEEKNUM(INPUT!M3070),"")</f>
        <v>52</v>
      </c>
      <c r="D3075" s="20">
        <f>IFERROR(YEAR(INPUT!M3070),"")</f>
        <v>1900</v>
      </c>
      <c r="E3075" t="str">
        <f>IF(INPUT!O3070="","",INPUT!O3070)</f>
        <v/>
      </c>
      <c r="F3075" t="str">
        <f>IF(INPUT!N3070="","",INPUT!N3070)</f>
        <v/>
      </c>
      <c r="G3075" cm="1">
        <f t="array" ref="G3075">IFERROR(VLOOKUP(INPUT!M3070&amp;INPUT!N3070,CHOOSE({1,2},INPUT!$A$3:$A$5000&amp;INPUT!$C$3:$C$5000,INPUT!$F$3:$F$5000),2,FALSE),"")</f>
        <v>0</v>
      </c>
      <c r="H3075" cm="1">
        <f t="array" ref="H3075">IFERROR(VLOOKUP(INPUT!M3070&amp;INPUT!N3070,CHOOSE({1,2},INPUT!$A$3:$A$5000&amp;INPUT!$C$3:$C$5000,INPUT!$D$3:$D$5000),2,FALSE),"")</f>
        <v>0</v>
      </c>
      <c r="I3075" s="46" t="str">
        <f>IF(INPUT!P3070="","",INPUT!P3070)</f>
        <v/>
      </c>
      <c r="J3075" s="46" t="str">
        <f>IF(INPUT!Q3070="","",INPUT!Q3070)</f>
        <v/>
      </c>
      <c r="K3075" s="46" t="str">
        <f>IFERROR(IF(OR(INPUT!P3070="",INPUT!Q3070=""),"",INPUT!P3070-INPUT!Q3070),"")</f>
        <v/>
      </c>
      <c r="L3075" s="48" t="str">
        <f>IFERROR(IF(OR(INPUT!P3070="",INPUT!Q3070="",INPUT!P3070=0),"",(INPUT!P3070-INPUT!Q3070)/INPUT!P3070),"")</f>
        <v/>
      </c>
    </row>
    <row r="3076" spans="1:12" ht="18" hidden="1" customHeight="1" x14ac:dyDescent="0.2">
      <c r="A3076" s="11" t="str">
        <f>IF(INPUT!M3071="","",INPUT!M3071)</f>
        <v/>
      </c>
      <c r="B3076" s="11" t="str">
        <f>IF(INPUT!M3071="","",INPUT!M3071-WEEKDAY(INPUT!M3071,2)+1)</f>
        <v/>
      </c>
      <c r="C3076" s="20">
        <f>IFERROR(_xlfn.ISOWEEKNUM(INPUT!M3071),"")</f>
        <v>52</v>
      </c>
      <c r="D3076" s="20">
        <f>IFERROR(YEAR(INPUT!M3071),"")</f>
        <v>1900</v>
      </c>
      <c r="E3076" t="str">
        <f>IF(INPUT!O3071="","",INPUT!O3071)</f>
        <v/>
      </c>
      <c r="F3076" t="str">
        <f>IF(INPUT!N3071="","",INPUT!N3071)</f>
        <v/>
      </c>
      <c r="G3076" cm="1">
        <f t="array" ref="G3076">IFERROR(VLOOKUP(INPUT!M3071&amp;INPUT!N3071,CHOOSE({1,2},INPUT!$A$3:$A$5000&amp;INPUT!$C$3:$C$5000,INPUT!$F$3:$F$5000),2,FALSE),"")</f>
        <v>0</v>
      </c>
      <c r="H3076" cm="1">
        <f t="array" ref="H3076">IFERROR(VLOOKUP(INPUT!M3071&amp;INPUT!N3071,CHOOSE({1,2},INPUT!$A$3:$A$5000&amp;INPUT!$C$3:$C$5000,INPUT!$D$3:$D$5000),2,FALSE),"")</f>
        <v>0</v>
      </c>
      <c r="I3076" s="46" t="str">
        <f>IF(INPUT!P3071="","",INPUT!P3071)</f>
        <v/>
      </c>
      <c r="J3076" s="46" t="str">
        <f>IF(INPUT!Q3071="","",INPUT!Q3071)</f>
        <v/>
      </c>
      <c r="K3076" s="46" t="str">
        <f>IFERROR(IF(OR(INPUT!P3071="",INPUT!Q3071=""),"",INPUT!P3071-INPUT!Q3071),"")</f>
        <v/>
      </c>
      <c r="L3076" s="48" t="str">
        <f>IFERROR(IF(OR(INPUT!P3071="",INPUT!Q3071="",INPUT!P3071=0),"",(INPUT!P3071-INPUT!Q3071)/INPUT!P3071),"")</f>
        <v/>
      </c>
    </row>
    <row r="3077" spans="1:12" ht="18" hidden="1" customHeight="1" x14ac:dyDescent="0.2">
      <c r="A3077" s="11" t="str">
        <f>IF(INPUT!M3072="","",INPUT!M3072)</f>
        <v/>
      </c>
      <c r="B3077" s="11" t="str">
        <f>IF(INPUT!M3072="","",INPUT!M3072-WEEKDAY(INPUT!M3072,2)+1)</f>
        <v/>
      </c>
      <c r="C3077" s="20">
        <f>IFERROR(_xlfn.ISOWEEKNUM(INPUT!M3072),"")</f>
        <v>52</v>
      </c>
      <c r="D3077" s="20">
        <f>IFERROR(YEAR(INPUT!M3072),"")</f>
        <v>1900</v>
      </c>
      <c r="E3077" t="str">
        <f>IF(INPUT!O3072="","",INPUT!O3072)</f>
        <v/>
      </c>
      <c r="F3077" t="str">
        <f>IF(INPUT!N3072="","",INPUT!N3072)</f>
        <v/>
      </c>
      <c r="G3077" cm="1">
        <f t="array" ref="G3077">IFERROR(VLOOKUP(INPUT!M3072&amp;INPUT!N3072,CHOOSE({1,2},INPUT!$A$3:$A$5000&amp;INPUT!$C$3:$C$5000,INPUT!$F$3:$F$5000),2,FALSE),"")</f>
        <v>0</v>
      </c>
      <c r="H3077" cm="1">
        <f t="array" ref="H3077">IFERROR(VLOOKUP(INPUT!M3072&amp;INPUT!N3072,CHOOSE({1,2},INPUT!$A$3:$A$5000&amp;INPUT!$C$3:$C$5000,INPUT!$D$3:$D$5000),2,FALSE),"")</f>
        <v>0</v>
      </c>
      <c r="I3077" s="46" t="str">
        <f>IF(INPUT!P3072="","",INPUT!P3072)</f>
        <v/>
      </c>
      <c r="J3077" s="46" t="str">
        <f>IF(INPUT!Q3072="","",INPUT!Q3072)</f>
        <v/>
      </c>
      <c r="K3077" s="46" t="str">
        <f>IFERROR(IF(OR(INPUT!P3072="",INPUT!Q3072=""),"",INPUT!P3072-INPUT!Q3072),"")</f>
        <v/>
      </c>
      <c r="L3077" s="48" t="str">
        <f>IFERROR(IF(OR(INPUT!P3072="",INPUT!Q3072="",INPUT!P3072=0),"",(INPUT!P3072-INPUT!Q3072)/INPUT!P3072),"")</f>
        <v/>
      </c>
    </row>
    <row r="3078" spans="1:12" ht="18" hidden="1" customHeight="1" x14ac:dyDescent="0.2">
      <c r="A3078" s="11" t="str">
        <f>IF(INPUT!M3073="","",INPUT!M3073)</f>
        <v/>
      </c>
      <c r="B3078" s="11" t="str">
        <f>IF(INPUT!M3073="","",INPUT!M3073-WEEKDAY(INPUT!M3073,2)+1)</f>
        <v/>
      </c>
      <c r="C3078" s="20">
        <f>IFERROR(_xlfn.ISOWEEKNUM(INPUT!M3073),"")</f>
        <v>52</v>
      </c>
      <c r="D3078" s="20">
        <f>IFERROR(YEAR(INPUT!M3073),"")</f>
        <v>1900</v>
      </c>
      <c r="E3078" t="str">
        <f>IF(INPUT!O3073="","",INPUT!O3073)</f>
        <v/>
      </c>
      <c r="F3078" t="str">
        <f>IF(INPUT!N3073="","",INPUT!N3073)</f>
        <v/>
      </c>
      <c r="G3078" cm="1">
        <f t="array" ref="G3078">IFERROR(VLOOKUP(INPUT!M3073&amp;INPUT!N3073,CHOOSE({1,2},INPUT!$A$3:$A$5000&amp;INPUT!$C$3:$C$5000,INPUT!$F$3:$F$5000),2,FALSE),"")</f>
        <v>0</v>
      </c>
      <c r="H3078" cm="1">
        <f t="array" ref="H3078">IFERROR(VLOOKUP(INPUT!M3073&amp;INPUT!N3073,CHOOSE({1,2},INPUT!$A$3:$A$5000&amp;INPUT!$C$3:$C$5000,INPUT!$D$3:$D$5000),2,FALSE),"")</f>
        <v>0</v>
      </c>
      <c r="I3078" s="46" t="str">
        <f>IF(INPUT!P3073="","",INPUT!P3073)</f>
        <v/>
      </c>
      <c r="J3078" s="46" t="str">
        <f>IF(INPUT!Q3073="","",INPUT!Q3073)</f>
        <v/>
      </c>
      <c r="K3078" s="46" t="str">
        <f>IFERROR(IF(OR(INPUT!P3073="",INPUT!Q3073=""),"",INPUT!P3073-INPUT!Q3073),"")</f>
        <v/>
      </c>
      <c r="L3078" s="48" t="str">
        <f>IFERROR(IF(OR(INPUT!P3073="",INPUT!Q3073="",INPUT!P3073=0),"",(INPUT!P3073-INPUT!Q3073)/INPUT!P3073),"")</f>
        <v/>
      </c>
    </row>
    <row r="3079" spans="1:12" ht="18" hidden="1" customHeight="1" x14ac:dyDescent="0.2">
      <c r="A3079" s="11" t="str">
        <f>IF(INPUT!M3074="","",INPUT!M3074)</f>
        <v/>
      </c>
      <c r="B3079" s="11" t="str">
        <f>IF(INPUT!M3074="","",INPUT!M3074-WEEKDAY(INPUT!M3074,2)+1)</f>
        <v/>
      </c>
      <c r="C3079" s="20">
        <f>IFERROR(_xlfn.ISOWEEKNUM(INPUT!M3074),"")</f>
        <v>52</v>
      </c>
      <c r="D3079" s="20">
        <f>IFERROR(YEAR(INPUT!M3074),"")</f>
        <v>1900</v>
      </c>
      <c r="E3079" t="str">
        <f>IF(INPUT!O3074="","",INPUT!O3074)</f>
        <v/>
      </c>
      <c r="F3079" t="str">
        <f>IF(INPUT!N3074="","",INPUT!N3074)</f>
        <v/>
      </c>
      <c r="G3079" cm="1">
        <f t="array" ref="G3079">IFERROR(VLOOKUP(INPUT!M3074&amp;INPUT!N3074,CHOOSE({1,2},INPUT!$A$3:$A$5000&amp;INPUT!$C$3:$C$5000,INPUT!$F$3:$F$5000),2,FALSE),"")</f>
        <v>0</v>
      </c>
      <c r="H3079" cm="1">
        <f t="array" ref="H3079">IFERROR(VLOOKUP(INPUT!M3074&amp;INPUT!N3074,CHOOSE({1,2},INPUT!$A$3:$A$5000&amp;INPUT!$C$3:$C$5000,INPUT!$D$3:$D$5000),2,FALSE),"")</f>
        <v>0</v>
      </c>
      <c r="I3079" s="46" t="str">
        <f>IF(INPUT!P3074="","",INPUT!P3074)</f>
        <v/>
      </c>
      <c r="J3079" s="46" t="str">
        <f>IF(INPUT!Q3074="","",INPUT!Q3074)</f>
        <v/>
      </c>
      <c r="K3079" s="46" t="str">
        <f>IFERROR(IF(OR(INPUT!P3074="",INPUT!Q3074=""),"",INPUT!P3074-INPUT!Q3074),"")</f>
        <v/>
      </c>
      <c r="L3079" s="48" t="str">
        <f>IFERROR(IF(OR(INPUT!P3074="",INPUT!Q3074="",INPUT!P3074=0),"",(INPUT!P3074-INPUT!Q3074)/INPUT!P3074),"")</f>
        <v/>
      </c>
    </row>
    <row r="3080" spans="1:12" ht="18" hidden="1" customHeight="1" x14ac:dyDescent="0.2">
      <c r="A3080" s="11" t="str">
        <f>IF(INPUT!M3075="","",INPUT!M3075)</f>
        <v/>
      </c>
      <c r="B3080" s="11" t="str">
        <f>IF(INPUT!M3075="","",INPUT!M3075-WEEKDAY(INPUT!M3075,2)+1)</f>
        <v/>
      </c>
      <c r="C3080" s="20">
        <f>IFERROR(_xlfn.ISOWEEKNUM(INPUT!M3075),"")</f>
        <v>52</v>
      </c>
      <c r="D3080" s="20">
        <f>IFERROR(YEAR(INPUT!M3075),"")</f>
        <v>1900</v>
      </c>
      <c r="E3080" t="str">
        <f>IF(INPUT!O3075="","",INPUT!O3075)</f>
        <v/>
      </c>
      <c r="F3080" t="str">
        <f>IF(INPUT!N3075="","",INPUT!N3075)</f>
        <v/>
      </c>
      <c r="G3080" cm="1">
        <f t="array" ref="G3080">IFERROR(VLOOKUP(INPUT!M3075&amp;INPUT!N3075,CHOOSE({1,2},INPUT!$A$3:$A$5000&amp;INPUT!$C$3:$C$5000,INPUT!$F$3:$F$5000),2,FALSE),"")</f>
        <v>0</v>
      </c>
      <c r="H3080" cm="1">
        <f t="array" ref="H3080">IFERROR(VLOOKUP(INPUT!M3075&amp;INPUT!N3075,CHOOSE({1,2},INPUT!$A$3:$A$5000&amp;INPUT!$C$3:$C$5000,INPUT!$D$3:$D$5000),2,FALSE),"")</f>
        <v>0</v>
      </c>
      <c r="I3080" s="46" t="str">
        <f>IF(INPUT!P3075="","",INPUT!P3075)</f>
        <v/>
      </c>
      <c r="J3080" s="46" t="str">
        <f>IF(INPUT!Q3075="","",INPUT!Q3075)</f>
        <v/>
      </c>
      <c r="K3080" s="46" t="str">
        <f>IFERROR(IF(OR(INPUT!P3075="",INPUT!Q3075=""),"",INPUT!P3075-INPUT!Q3075),"")</f>
        <v/>
      </c>
      <c r="L3080" s="48" t="str">
        <f>IFERROR(IF(OR(INPUT!P3075="",INPUT!Q3075="",INPUT!P3075=0),"",(INPUT!P3075-INPUT!Q3075)/INPUT!P3075),"")</f>
        <v/>
      </c>
    </row>
    <row r="3081" spans="1:12" ht="18" hidden="1" customHeight="1" x14ac:dyDescent="0.2">
      <c r="A3081" s="11" t="str">
        <f>IF(INPUT!M3076="","",INPUT!M3076)</f>
        <v/>
      </c>
      <c r="B3081" s="11" t="str">
        <f>IF(INPUT!M3076="","",INPUT!M3076-WEEKDAY(INPUT!M3076,2)+1)</f>
        <v/>
      </c>
      <c r="C3081" s="20">
        <f>IFERROR(_xlfn.ISOWEEKNUM(INPUT!M3076),"")</f>
        <v>52</v>
      </c>
      <c r="D3081" s="20">
        <f>IFERROR(YEAR(INPUT!M3076),"")</f>
        <v>1900</v>
      </c>
      <c r="E3081" t="str">
        <f>IF(INPUT!O3076="","",INPUT!O3076)</f>
        <v/>
      </c>
      <c r="F3081" t="str">
        <f>IF(INPUT!N3076="","",INPUT!N3076)</f>
        <v/>
      </c>
      <c r="G3081" cm="1">
        <f t="array" ref="G3081">IFERROR(VLOOKUP(INPUT!M3076&amp;INPUT!N3076,CHOOSE({1,2},INPUT!$A$3:$A$5000&amp;INPUT!$C$3:$C$5000,INPUT!$F$3:$F$5000),2,FALSE),"")</f>
        <v>0</v>
      </c>
      <c r="H3081" cm="1">
        <f t="array" ref="H3081">IFERROR(VLOOKUP(INPUT!M3076&amp;INPUT!N3076,CHOOSE({1,2},INPUT!$A$3:$A$5000&amp;INPUT!$C$3:$C$5000,INPUT!$D$3:$D$5000),2,FALSE),"")</f>
        <v>0</v>
      </c>
      <c r="I3081" s="46" t="str">
        <f>IF(INPUT!P3076="","",INPUT!P3076)</f>
        <v/>
      </c>
      <c r="J3081" s="46" t="str">
        <f>IF(INPUT!Q3076="","",INPUT!Q3076)</f>
        <v/>
      </c>
      <c r="K3081" s="46" t="str">
        <f>IFERROR(IF(OR(INPUT!P3076="",INPUT!Q3076=""),"",INPUT!P3076-INPUT!Q3076),"")</f>
        <v/>
      </c>
      <c r="L3081" s="48" t="str">
        <f>IFERROR(IF(OR(INPUT!P3076="",INPUT!Q3076="",INPUT!P3076=0),"",(INPUT!P3076-INPUT!Q3076)/INPUT!P3076),"")</f>
        <v/>
      </c>
    </row>
    <row r="3082" spans="1:12" ht="18" hidden="1" customHeight="1" x14ac:dyDescent="0.2">
      <c r="A3082" s="11" t="str">
        <f>IF(INPUT!M3077="","",INPUT!M3077)</f>
        <v/>
      </c>
      <c r="B3082" s="11" t="str">
        <f>IF(INPUT!M3077="","",INPUT!M3077-WEEKDAY(INPUT!M3077,2)+1)</f>
        <v/>
      </c>
      <c r="C3082" s="20">
        <f>IFERROR(_xlfn.ISOWEEKNUM(INPUT!M3077),"")</f>
        <v>52</v>
      </c>
      <c r="D3082" s="20">
        <f>IFERROR(YEAR(INPUT!M3077),"")</f>
        <v>1900</v>
      </c>
      <c r="E3082" t="str">
        <f>IF(INPUT!O3077="","",INPUT!O3077)</f>
        <v/>
      </c>
      <c r="F3082" t="str">
        <f>IF(INPUT!N3077="","",INPUT!N3077)</f>
        <v/>
      </c>
      <c r="G3082" cm="1">
        <f t="array" ref="G3082">IFERROR(VLOOKUP(INPUT!M3077&amp;INPUT!N3077,CHOOSE({1,2},INPUT!$A$3:$A$5000&amp;INPUT!$C$3:$C$5000,INPUT!$F$3:$F$5000),2,FALSE),"")</f>
        <v>0</v>
      </c>
      <c r="H3082" cm="1">
        <f t="array" ref="H3082">IFERROR(VLOOKUP(INPUT!M3077&amp;INPUT!N3077,CHOOSE({1,2},INPUT!$A$3:$A$5000&amp;INPUT!$C$3:$C$5000,INPUT!$D$3:$D$5000),2,FALSE),"")</f>
        <v>0</v>
      </c>
      <c r="I3082" s="46" t="str">
        <f>IF(INPUT!P3077="","",INPUT!P3077)</f>
        <v/>
      </c>
      <c r="J3082" s="46" t="str">
        <f>IF(INPUT!Q3077="","",INPUT!Q3077)</f>
        <v/>
      </c>
      <c r="K3082" s="46" t="str">
        <f>IFERROR(IF(OR(INPUT!P3077="",INPUT!Q3077=""),"",INPUT!P3077-INPUT!Q3077),"")</f>
        <v/>
      </c>
      <c r="L3082" s="48" t="str">
        <f>IFERROR(IF(OR(INPUT!P3077="",INPUT!Q3077="",INPUT!P3077=0),"",(INPUT!P3077-INPUT!Q3077)/INPUT!P3077),"")</f>
        <v/>
      </c>
    </row>
    <row r="3083" spans="1:12" ht="18" hidden="1" customHeight="1" x14ac:dyDescent="0.2">
      <c r="A3083" s="11" t="str">
        <f>IF(INPUT!M3078="","",INPUT!M3078)</f>
        <v/>
      </c>
      <c r="B3083" s="11" t="str">
        <f>IF(INPUT!M3078="","",INPUT!M3078-WEEKDAY(INPUT!M3078,2)+1)</f>
        <v/>
      </c>
      <c r="C3083" s="20">
        <f>IFERROR(_xlfn.ISOWEEKNUM(INPUT!M3078),"")</f>
        <v>52</v>
      </c>
      <c r="D3083" s="20">
        <f>IFERROR(YEAR(INPUT!M3078),"")</f>
        <v>1900</v>
      </c>
      <c r="E3083" t="str">
        <f>IF(INPUT!O3078="","",INPUT!O3078)</f>
        <v/>
      </c>
      <c r="F3083" t="str">
        <f>IF(INPUT!N3078="","",INPUT!N3078)</f>
        <v/>
      </c>
      <c r="G3083" cm="1">
        <f t="array" ref="G3083">IFERROR(VLOOKUP(INPUT!M3078&amp;INPUT!N3078,CHOOSE({1,2},INPUT!$A$3:$A$5000&amp;INPUT!$C$3:$C$5000,INPUT!$F$3:$F$5000),2,FALSE),"")</f>
        <v>0</v>
      </c>
      <c r="H3083" cm="1">
        <f t="array" ref="H3083">IFERROR(VLOOKUP(INPUT!M3078&amp;INPUT!N3078,CHOOSE({1,2},INPUT!$A$3:$A$5000&amp;INPUT!$C$3:$C$5000,INPUT!$D$3:$D$5000),2,FALSE),"")</f>
        <v>0</v>
      </c>
      <c r="I3083" s="46" t="str">
        <f>IF(INPUT!P3078="","",INPUT!P3078)</f>
        <v/>
      </c>
      <c r="J3083" s="46" t="str">
        <f>IF(INPUT!Q3078="","",INPUT!Q3078)</f>
        <v/>
      </c>
      <c r="K3083" s="46" t="str">
        <f>IFERROR(IF(OR(INPUT!P3078="",INPUT!Q3078=""),"",INPUT!P3078-INPUT!Q3078),"")</f>
        <v/>
      </c>
      <c r="L3083" s="48" t="str">
        <f>IFERROR(IF(OR(INPUT!P3078="",INPUT!Q3078="",INPUT!P3078=0),"",(INPUT!P3078-INPUT!Q3078)/INPUT!P3078),"")</f>
        <v/>
      </c>
    </row>
    <row r="3084" spans="1:12" ht="18" hidden="1" customHeight="1" x14ac:dyDescent="0.2">
      <c r="A3084" s="11" t="str">
        <f>IF(INPUT!M3079="","",INPUT!M3079)</f>
        <v/>
      </c>
      <c r="B3084" s="11" t="str">
        <f>IF(INPUT!M3079="","",INPUT!M3079-WEEKDAY(INPUT!M3079,2)+1)</f>
        <v/>
      </c>
      <c r="C3084" s="20">
        <f>IFERROR(_xlfn.ISOWEEKNUM(INPUT!M3079),"")</f>
        <v>52</v>
      </c>
      <c r="D3084" s="20">
        <f>IFERROR(YEAR(INPUT!M3079),"")</f>
        <v>1900</v>
      </c>
      <c r="E3084" t="str">
        <f>IF(INPUT!O3079="","",INPUT!O3079)</f>
        <v/>
      </c>
      <c r="F3084" t="str">
        <f>IF(INPUT!N3079="","",INPUT!N3079)</f>
        <v/>
      </c>
      <c r="G3084" cm="1">
        <f t="array" ref="G3084">IFERROR(VLOOKUP(INPUT!M3079&amp;INPUT!N3079,CHOOSE({1,2},INPUT!$A$3:$A$5000&amp;INPUT!$C$3:$C$5000,INPUT!$F$3:$F$5000),2,FALSE),"")</f>
        <v>0</v>
      </c>
      <c r="H3084" cm="1">
        <f t="array" ref="H3084">IFERROR(VLOOKUP(INPUT!M3079&amp;INPUT!N3079,CHOOSE({1,2},INPUT!$A$3:$A$5000&amp;INPUT!$C$3:$C$5000,INPUT!$D$3:$D$5000),2,FALSE),"")</f>
        <v>0</v>
      </c>
      <c r="I3084" s="46" t="str">
        <f>IF(INPUT!P3079="","",INPUT!P3079)</f>
        <v/>
      </c>
      <c r="J3084" s="46" t="str">
        <f>IF(INPUT!Q3079="","",INPUT!Q3079)</f>
        <v/>
      </c>
      <c r="K3084" s="46" t="str">
        <f>IFERROR(IF(OR(INPUT!P3079="",INPUT!Q3079=""),"",INPUT!P3079-INPUT!Q3079),"")</f>
        <v/>
      </c>
      <c r="L3084" s="48" t="str">
        <f>IFERROR(IF(OR(INPUT!P3079="",INPUT!Q3079="",INPUT!P3079=0),"",(INPUT!P3079-INPUT!Q3079)/INPUT!P3079),"")</f>
        <v/>
      </c>
    </row>
    <row r="3085" spans="1:12" ht="18" hidden="1" customHeight="1" x14ac:dyDescent="0.2">
      <c r="A3085" s="11" t="str">
        <f>IF(INPUT!M3080="","",INPUT!M3080)</f>
        <v/>
      </c>
      <c r="B3085" s="11" t="str">
        <f>IF(INPUT!M3080="","",INPUT!M3080-WEEKDAY(INPUT!M3080,2)+1)</f>
        <v/>
      </c>
      <c r="C3085" s="20">
        <f>IFERROR(_xlfn.ISOWEEKNUM(INPUT!M3080),"")</f>
        <v>52</v>
      </c>
      <c r="D3085" s="20">
        <f>IFERROR(YEAR(INPUT!M3080),"")</f>
        <v>1900</v>
      </c>
      <c r="E3085" t="str">
        <f>IF(INPUT!O3080="","",INPUT!O3080)</f>
        <v/>
      </c>
      <c r="F3085" t="str">
        <f>IF(INPUT!N3080="","",INPUT!N3080)</f>
        <v/>
      </c>
      <c r="G3085" cm="1">
        <f t="array" ref="G3085">IFERROR(VLOOKUP(INPUT!M3080&amp;INPUT!N3080,CHOOSE({1,2},INPUT!$A$3:$A$5000&amp;INPUT!$C$3:$C$5000,INPUT!$F$3:$F$5000),2,FALSE),"")</f>
        <v>0</v>
      </c>
      <c r="H3085" cm="1">
        <f t="array" ref="H3085">IFERROR(VLOOKUP(INPUT!M3080&amp;INPUT!N3080,CHOOSE({1,2},INPUT!$A$3:$A$5000&amp;INPUT!$C$3:$C$5000,INPUT!$D$3:$D$5000),2,FALSE),"")</f>
        <v>0</v>
      </c>
      <c r="I3085" s="46" t="str">
        <f>IF(INPUT!P3080="","",INPUT!P3080)</f>
        <v/>
      </c>
      <c r="J3085" s="46" t="str">
        <f>IF(INPUT!Q3080="","",INPUT!Q3080)</f>
        <v/>
      </c>
      <c r="K3085" s="46" t="str">
        <f>IFERROR(IF(OR(INPUT!P3080="",INPUT!Q3080=""),"",INPUT!P3080-INPUT!Q3080),"")</f>
        <v/>
      </c>
      <c r="L3085" s="48" t="str">
        <f>IFERROR(IF(OR(INPUT!P3080="",INPUT!Q3080="",INPUT!P3080=0),"",(INPUT!P3080-INPUT!Q3080)/INPUT!P3080),"")</f>
        <v/>
      </c>
    </row>
    <row r="3086" spans="1:12" ht="18" hidden="1" customHeight="1" x14ac:dyDescent="0.2">
      <c r="A3086" s="11" t="str">
        <f>IF(INPUT!M3081="","",INPUT!M3081)</f>
        <v/>
      </c>
      <c r="B3086" s="11" t="str">
        <f>IF(INPUT!M3081="","",INPUT!M3081-WEEKDAY(INPUT!M3081,2)+1)</f>
        <v/>
      </c>
      <c r="C3086" s="20">
        <f>IFERROR(_xlfn.ISOWEEKNUM(INPUT!M3081),"")</f>
        <v>52</v>
      </c>
      <c r="D3086" s="20">
        <f>IFERROR(YEAR(INPUT!M3081),"")</f>
        <v>1900</v>
      </c>
      <c r="E3086" t="str">
        <f>IF(INPUT!O3081="","",INPUT!O3081)</f>
        <v/>
      </c>
      <c r="F3086" t="str">
        <f>IF(INPUT!N3081="","",INPUT!N3081)</f>
        <v/>
      </c>
      <c r="G3086" cm="1">
        <f t="array" ref="G3086">IFERROR(VLOOKUP(INPUT!M3081&amp;INPUT!N3081,CHOOSE({1,2},INPUT!$A$3:$A$5000&amp;INPUT!$C$3:$C$5000,INPUT!$F$3:$F$5000),2,FALSE),"")</f>
        <v>0</v>
      </c>
      <c r="H3086" cm="1">
        <f t="array" ref="H3086">IFERROR(VLOOKUP(INPUT!M3081&amp;INPUT!N3081,CHOOSE({1,2},INPUT!$A$3:$A$5000&amp;INPUT!$C$3:$C$5000,INPUT!$D$3:$D$5000),2,FALSE),"")</f>
        <v>0</v>
      </c>
      <c r="I3086" s="46" t="str">
        <f>IF(INPUT!P3081="","",INPUT!P3081)</f>
        <v/>
      </c>
      <c r="J3086" s="46" t="str">
        <f>IF(INPUT!Q3081="","",INPUT!Q3081)</f>
        <v/>
      </c>
      <c r="K3086" s="46" t="str">
        <f>IFERROR(IF(OR(INPUT!P3081="",INPUT!Q3081=""),"",INPUT!P3081-INPUT!Q3081),"")</f>
        <v/>
      </c>
      <c r="L3086" s="48" t="str">
        <f>IFERROR(IF(OR(INPUT!P3081="",INPUT!Q3081="",INPUT!P3081=0),"",(INPUT!P3081-INPUT!Q3081)/INPUT!P3081),"")</f>
        <v/>
      </c>
    </row>
    <row r="3087" spans="1:12" ht="18" hidden="1" customHeight="1" x14ac:dyDescent="0.2">
      <c r="A3087" s="11" t="str">
        <f>IF(INPUT!M3082="","",INPUT!M3082)</f>
        <v/>
      </c>
      <c r="B3087" s="11" t="str">
        <f>IF(INPUT!M3082="","",INPUT!M3082-WEEKDAY(INPUT!M3082,2)+1)</f>
        <v/>
      </c>
      <c r="C3087" s="20">
        <f>IFERROR(_xlfn.ISOWEEKNUM(INPUT!M3082),"")</f>
        <v>52</v>
      </c>
      <c r="D3087" s="20">
        <f>IFERROR(YEAR(INPUT!M3082),"")</f>
        <v>1900</v>
      </c>
      <c r="E3087" t="str">
        <f>IF(INPUT!O3082="","",INPUT!O3082)</f>
        <v/>
      </c>
      <c r="F3087" t="str">
        <f>IF(INPUT!N3082="","",INPUT!N3082)</f>
        <v/>
      </c>
      <c r="G3087" cm="1">
        <f t="array" ref="G3087">IFERROR(VLOOKUP(INPUT!M3082&amp;INPUT!N3082,CHOOSE({1,2},INPUT!$A$3:$A$5000&amp;INPUT!$C$3:$C$5000,INPUT!$F$3:$F$5000),2,FALSE),"")</f>
        <v>0</v>
      </c>
      <c r="H3087" cm="1">
        <f t="array" ref="H3087">IFERROR(VLOOKUP(INPUT!M3082&amp;INPUT!N3082,CHOOSE({1,2},INPUT!$A$3:$A$5000&amp;INPUT!$C$3:$C$5000,INPUT!$D$3:$D$5000),2,FALSE),"")</f>
        <v>0</v>
      </c>
      <c r="I3087" s="46" t="str">
        <f>IF(INPUT!P3082="","",INPUT!P3082)</f>
        <v/>
      </c>
      <c r="J3087" s="46" t="str">
        <f>IF(INPUT!Q3082="","",INPUT!Q3082)</f>
        <v/>
      </c>
      <c r="K3087" s="46" t="str">
        <f>IFERROR(IF(OR(INPUT!P3082="",INPUT!Q3082=""),"",INPUT!P3082-INPUT!Q3082),"")</f>
        <v/>
      </c>
      <c r="L3087" s="48" t="str">
        <f>IFERROR(IF(OR(INPUT!P3082="",INPUT!Q3082="",INPUT!P3082=0),"",(INPUT!P3082-INPUT!Q3082)/INPUT!P3082),"")</f>
        <v/>
      </c>
    </row>
    <row r="3088" spans="1:12" ht="18" hidden="1" customHeight="1" x14ac:dyDescent="0.2">
      <c r="A3088" s="11" t="str">
        <f>IF(INPUT!M3083="","",INPUT!M3083)</f>
        <v/>
      </c>
      <c r="B3088" s="11" t="str">
        <f>IF(INPUT!M3083="","",INPUT!M3083-WEEKDAY(INPUT!M3083,2)+1)</f>
        <v/>
      </c>
      <c r="C3088" s="20">
        <f>IFERROR(_xlfn.ISOWEEKNUM(INPUT!M3083),"")</f>
        <v>52</v>
      </c>
      <c r="D3088" s="20">
        <f>IFERROR(YEAR(INPUT!M3083),"")</f>
        <v>1900</v>
      </c>
      <c r="E3088" t="str">
        <f>IF(INPUT!O3083="","",INPUT!O3083)</f>
        <v/>
      </c>
      <c r="F3088" t="str">
        <f>IF(INPUT!N3083="","",INPUT!N3083)</f>
        <v/>
      </c>
      <c r="G3088" cm="1">
        <f t="array" ref="G3088">IFERROR(VLOOKUP(INPUT!M3083&amp;INPUT!N3083,CHOOSE({1,2},INPUT!$A$3:$A$5000&amp;INPUT!$C$3:$C$5000,INPUT!$F$3:$F$5000),2,FALSE),"")</f>
        <v>0</v>
      </c>
      <c r="H3088" cm="1">
        <f t="array" ref="H3088">IFERROR(VLOOKUP(INPUT!M3083&amp;INPUT!N3083,CHOOSE({1,2},INPUT!$A$3:$A$5000&amp;INPUT!$C$3:$C$5000,INPUT!$D$3:$D$5000),2,FALSE),"")</f>
        <v>0</v>
      </c>
      <c r="I3088" s="46" t="str">
        <f>IF(INPUT!P3083="","",INPUT!P3083)</f>
        <v/>
      </c>
      <c r="J3088" s="46" t="str">
        <f>IF(INPUT!Q3083="","",INPUT!Q3083)</f>
        <v/>
      </c>
      <c r="K3088" s="46" t="str">
        <f>IFERROR(IF(OR(INPUT!P3083="",INPUT!Q3083=""),"",INPUT!P3083-INPUT!Q3083),"")</f>
        <v/>
      </c>
      <c r="L3088" s="48" t="str">
        <f>IFERROR(IF(OR(INPUT!P3083="",INPUT!Q3083="",INPUT!P3083=0),"",(INPUT!P3083-INPUT!Q3083)/INPUT!P3083),"")</f>
        <v/>
      </c>
    </row>
    <row r="3089" spans="1:12" ht="18" hidden="1" customHeight="1" x14ac:dyDescent="0.2">
      <c r="A3089" s="11" t="str">
        <f>IF(INPUT!M3084="","",INPUT!M3084)</f>
        <v/>
      </c>
      <c r="B3089" s="11" t="str">
        <f>IF(INPUT!M3084="","",INPUT!M3084-WEEKDAY(INPUT!M3084,2)+1)</f>
        <v/>
      </c>
      <c r="C3089" s="20">
        <f>IFERROR(_xlfn.ISOWEEKNUM(INPUT!M3084),"")</f>
        <v>52</v>
      </c>
      <c r="D3089" s="20">
        <f>IFERROR(YEAR(INPUT!M3084),"")</f>
        <v>1900</v>
      </c>
      <c r="E3089" t="str">
        <f>IF(INPUT!O3084="","",INPUT!O3084)</f>
        <v/>
      </c>
      <c r="F3089" t="str">
        <f>IF(INPUT!N3084="","",INPUT!N3084)</f>
        <v/>
      </c>
      <c r="G3089" cm="1">
        <f t="array" ref="G3089">IFERROR(VLOOKUP(INPUT!M3084&amp;INPUT!N3084,CHOOSE({1,2},INPUT!$A$3:$A$5000&amp;INPUT!$C$3:$C$5000,INPUT!$F$3:$F$5000),2,FALSE),"")</f>
        <v>0</v>
      </c>
      <c r="H3089" cm="1">
        <f t="array" ref="H3089">IFERROR(VLOOKUP(INPUT!M3084&amp;INPUT!N3084,CHOOSE({1,2},INPUT!$A$3:$A$5000&amp;INPUT!$C$3:$C$5000,INPUT!$D$3:$D$5000),2,FALSE),"")</f>
        <v>0</v>
      </c>
      <c r="I3089" s="46" t="str">
        <f>IF(INPUT!P3084="","",INPUT!P3084)</f>
        <v/>
      </c>
      <c r="J3089" s="46" t="str">
        <f>IF(INPUT!Q3084="","",INPUT!Q3084)</f>
        <v/>
      </c>
      <c r="K3089" s="46" t="str">
        <f>IFERROR(IF(OR(INPUT!P3084="",INPUT!Q3084=""),"",INPUT!P3084-INPUT!Q3084),"")</f>
        <v/>
      </c>
      <c r="L3089" s="48" t="str">
        <f>IFERROR(IF(OR(INPUT!P3084="",INPUT!Q3084="",INPUT!P3084=0),"",(INPUT!P3084-INPUT!Q3084)/INPUT!P3084),"")</f>
        <v/>
      </c>
    </row>
    <row r="3090" spans="1:12" ht="18" hidden="1" customHeight="1" x14ac:dyDescent="0.2">
      <c r="A3090" s="11" t="str">
        <f>IF(INPUT!M3085="","",INPUT!M3085)</f>
        <v/>
      </c>
      <c r="B3090" s="11" t="str">
        <f>IF(INPUT!M3085="","",INPUT!M3085-WEEKDAY(INPUT!M3085,2)+1)</f>
        <v/>
      </c>
      <c r="C3090" s="20">
        <f>IFERROR(_xlfn.ISOWEEKNUM(INPUT!M3085),"")</f>
        <v>52</v>
      </c>
      <c r="D3090" s="20">
        <f>IFERROR(YEAR(INPUT!M3085),"")</f>
        <v>1900</v>
      </c>
      <c r="E3090" t="str">
        <f>IF(INPUT!O3085="","",INPUT!O3085)</f>
        <v/>
      </c>
      <c r="F3090" t="str">
        <f>IF(INPUT!N3085="","",INPUT!N3085)</f>
        <v/>
      </c>
      <c r="G3090" cm="1">
        <f t="array" ref="G3090">IFERROR(VLOOKUP(INPUT!M3085&amp;INPUT!N3085,CHOOSE({1,2},INPUT!$A$3:$A$5000&amp;INPUT!$C$3:$C$5000,INPUT!$F$3:$F$5000),2,FALSE),"")</f>
        <v>0</v>
      </c>
      <c r="H3090" cm="1">
        <f t="array" ref="H3090">IFERROR(VLOOKUP(INPUT!M3085&amp;INPUT!N3085,CHOOSE({1,2},INPUT!$A$3:$A$5000&amp;INPUT!$C$3:$C$5000,INPUT!$D$3:$D$5000),2,FALSE),"")</f>
        <v>0</v>
      </c>
      <c r="I3090" s="46" t="str">
        <f>IF(INPUT!P3085="","",INPUT!P3085)</f>
        <v/>
      </c>
      <c r="J3090" s="46" t="str">
        <f>IF(INPUT!Q3085="","",INPUT!Q3085)</f>
        <v/>
      </c>
      <c r="K3090" s="46" t="str">
        <f>IFERROR(IF(OR(INPUT!P3085="",INPUT!Q3085=""),"",INPUT!P3085-INPUT!Q3085),"")</f>
        <v/>
      </c>
      <c r="L3090" s="48" t="str">
        <f>IFERROR(IF(OR(INPUT!P3085="",INPUT!Q3085="",INPUT!P3085=0),"",(INPUT!P3085-INPUT!Q3085)/INPUT!P3085),"")</f>
        <v/>
      </c>
    </row>
    <row r="3091" spans="1:12" ht="18" hidden="1" customHeight="1" x14ac:dyDescent="0.2">
      <c r="A3091" s="11" t="str">
        <f>IF(INPUT!M3086="","",INPUT!M3086)</f>
        <v/>
      </c>
      <c r="B3091" s="11" t="str">
        <f>IF(INPUT!M3086="","",INPUT!M3086-WEEKDAY(INPUT!M3086,2)+1)</f>
        <v/>
      </c>
      <c r="C3091" s="20">
        <f>IFERROR(_xlfn.ISOWEEKNUM(INPUT!M3086),"")</f>
        <v>52</v>
      </c>
      <c r="D3091" s="20">
        <f>IFERROR(YEAR(INPUT!M3086),"")</f>
        <v>1900</v>
      </c>
      <c r="E3091" t="str">
        <f>IF(INPUT!O3086="","",INPUT!O3086)</f>
        <v/>
      </c>
      <c r="F3091" t="str">
        <f>IF(INPUT!N3086="","",INPUT!N3086)</f>
        <v/>
      </c>
      <c r="G3091" cm="1">
        <f t="array" ref="G3091">IFERROR(VLOOKUP(INPUT!M3086&amp;INPUT!N3086,CHOOSE({1,2},INPUT!$A$3:$A$5000&amp;INPUT!$C$3:$C$5000,INPUT!$F$3:$F$5000),2,FALSE),"")</f>
        <v>0</v>
      </c>
      <c r="H3091" cm="1">
        <f t="array" ref="H3091">IFERROR(VLOOKUP(INPUT!M3086&amp;INPUT!N3086,CHOOSE({1,2},INPUT!$A$3:$A$5000&amp;INPUT!$C$3:$C$5000,INPUT!$D$3:$D$5000),2,FALSE),"")</f>
        <v>0</v>
      </c>
      <c r="I3091" s="46" t="str">
        <f>IF(INPUT!P3086="","",INPUT!P3086)</f>
        <v/>
      </c>
      <c r="J3091" s="46" t="str">
        <f>IF(INPUT!Q3086="","",INPUT!Q3086)</f>
        <v/>
      </c>
      <c r="K3091" s="46" t="str">
        <f>IFERROR(IF(OR(INPUT!P3086="",INPUT!Q3086=""),"",INPUT!P3086-INPUT!Q3086),"")</f>
        <v/>
      </c>
      <c r="L3091" s="48" t="str">
        <f>IFERROR(IF(OR(INPUT!P3086="",INPUT!Q3086="",INPUT!P3086=0),"",(INPUT!P3086-INPUT!Q3086)/INPUT!P3086),"")</f>
        <v/>
      </c>
    </row>
    <row r="3092" spans="1:12" ht="18" hidden="1" customHeight="1" x14ac:dyDescent="0.2">
      <c r="A3092" s="11" t="str">
        <f>IF(INPUT!M3087="","",INPUT!M3087)</f>
        <v/>
      </c>
      <c r="B3092" s="11" t="str">
        <f>IF(INPUT!M3087="","",INPUT!M3087-WEEKDAY(INPUT!M3087,2)+1)</f>
        <v/>
      </c>
      <c r="C3092" s="20">
        <f>IFERROR(_xlfn.ISOWEEKNUM(INPUT!M3087),"")</f>
        <v>52</v>
      </c>
      <c r="D3092" s="20">
        <f>IFERROR(YEAR(INPUT!M3087),"")</f>
        <v>1900</v>
      </c>
      <c r="E3092" t="str">
        <f>IF(INPUT!O3087="","",INPUT!O3087)</f>
        <v/>
      </c>
      <c r="F3092" t="str">
        <f>IF(INPUT!N3087="","",INPUT!N3087)</f>
        <v/>
      </c>
      <c r="G3092" cm="1">
        <f t="array" ref="G3092">IFERROR(VLOOKUP(INPUT!M3087&amp;INPUT!N3087,CHOOSE({1,2},INPUT!$A$3:$A$5000&amp;INPUT!$C$3:$C$5000,INPUT!$F$3:$F$5000),2,FALSE),"")</f>
        <v>0</v>
      </c>
      <c r="H3092" cm="1">
        <f t="array" ref="H3092">IFERROR(VLOOKUP(INPUT!M3087&amp;INPUT!N3087,CHOOSE({1,2},INPUT!$A$3:$A$5000&amp;INPUT!$C$3:$C$5000,INPUT!$D$3:$D$5000),2,FALSE),"")</f>
        <v>0</v>
      </c>
      <c r="I3092" s="46" t="str">
        <f>IF(INPUT!P3087="","",INPUT!P3087)</f>
        <v/>
      </c>
      <c r="J3092" s="46" t="str">
        <f>IF(INPUT!Q3087="","",INPUT!Q3087)</f>
        <v/>
      </c>
      <c r="K3092" s="46" t="str">
        <f>IFERROR(IF(OR(INPUT!P3087="",INPUT!Q3087=""),"",INPUT!P3087-INPUT!Q3087),"")</f>
        <v/>
      </c>
      <c r="L3092" s="48" t="str">
        <f>IFERROR(IF(OR(INPUT!P3087="",INPUT!Q3087="",INPUT!P3087=0),"",(INPUT!P3087-INPUT!Q3087)/INPUT!P3087),"")</f>
        <v/>
      </c>
    </row>
    <row r="3093" spans="1:12" ht="18" hidden="1" customHeight="1" x14ac:dyDescent="0.2">
      <c r="A3093" s="11" t="str">
        <f>IF(INPUT!M3088="","",INPUT!M3088)</f>
        <v/>
      </c>
      <c r="B3093" s="11" t="str">
        <f>IF(INPUT!M3088="","",INPUT!M3088-WEEKDAY(INPUT!M3088,2)+1)</f>
        <v/>
      </c>
      <c r="C3093" s="20">
        <f>IFERROR(_xlfn.ISOWEEKNUM(INPUT!M3088),"")</f>
        <v>52</v>
      </c>
      <c r="D3093" s="20">
        <f>IFERROR(YEAR(INPUT!M3088),"")</f>
        <v>1900</v>
      </c>
      <c r="E3093" t="str">
        <f>IF(INPUT!O3088="","",INPUT!O3088)</f>
        <v/>
      </c>
      <c r="F3093" t="str">
        <f>IF(INPUT!N3088="","",INPUT!N3088)</f>
        <v/>
      </c>
      <c r="G3093" cm="1">
        <f t="array" ref="G3093">IFERROR(VLOOKUP(INPUT!M3088&amp;INPUT!N3088,CHOOSE({1,2},INPUT!$A$3:$A$5000&amp;INPUT!$C$3:$C$5000,INPUT!$F$3:$F$5000),2,FALSE),"")</f>
        <v>0</v>
      </c>
      <c r="H3093" cm="1">
        <f t="array" ref="H3093">IFERROR(VLOOKUP(INPUT!M3088&amp;INPUT!N3088,CHOOSE({1,2},INPUT!$A$3:$A$5000&amp;INPUT!$C$3:$C$5000,INPUT!$D$3:$D$5000),2,FALSE),"")</f>
        <v>0</v>
      </c>
      <c r="I3093" s="46" t="str">
        <f>IF(INPUT!P3088="","",INPUT!P3088)</f>
        <v/>
      </c>
      <c r="J3093" s="46" t="str">
        <f>IF(INPUT!Q3088="","",INPUT!Q3088)</f>
        <v/>
      </c>
      <c r="K3093" s="46" t="str">
        <f>IFERROR(IF(OR(INPUT!P3088="",INPUT!Q3088=""),"",INPUT!P3088-INPUT!Q3088),"")</f>
        <v/>
      </c>
      <c r="L3093" s="48" t="str">
        <f>IFERROR(IF(OR(INPUT!P3088="",INPUT!Q3088="",INPUT!P3088=0),"",(INPUT!P3088-INPUT!Q3088)/INPUT!P3088),"")</f>
        <v/>
      </c>
    </row>
    <row r="3094" spans="1:12" ht="18" hidden="1" customHeight="1" x14ac:dyDescent="0.2">
      <c r="A3094" s="11" t="str">
        <f>IF(INPUT!M3089="","",INPUT!M3089)</f>
        <v/>
      </c>
      <c r="B3094" s="11" t="str">
        <f>IF(INPUT!M3089="","",INPUT!M3089-WEEKDAY(INPUT!M3089,2)+1)</f>
        <v/>
      </c>
      <c r="C3094" s="20">
        <f>IFERROR(_xlfn.ISOWEEKNUM(INPUT!M3089),"")</f>
        <v>52</v>
      </c>
      <c r="D3094" s="20">
        <f>IFERROR(YEAR(INPUT!M3089),"")</f>
        <v>1900</v>
      </c>
      <c r="E3094" t="str">
        <f>IF(INPUT!O3089="","",INPUT!O3089)</f>
        <v/>
      </c>
      <c r="F3094" t="str">
        <f>IF(INPUT!N3089="","",INPUT!N3089)</f>
        <v/>
      </c>
      <c r="G3094" cm="1">
        <f t="array" ref="G3094">IFERROR(VLOOKUP(INPUT!M3089&amp;INPUT!N3089,CHOOSE({1,2},INPUT!$A$3:$A$5000&amp;INPUT!$C$3:$C$5000,INPUT!$F$3:$F$5000),2,FALSE),"")</f>
        <v>0</v>
      </c>
      <c r="H3094" cm="1">
        <f t="array" ref="H3094">IFERROR(VLOOKUP(INPUT!M3089&amp;INPUT!N3089,CHOOSE({1,2},INPUT!$A$3:$A$5000&amp;INPUT!$C$3:$C$5000,INPUT!$D$3:$D$5000),2,FALSE),"")</f>
        <v>0</v>
      </c>
      <c r="I3094" s="46" t="str">
        <f>IF(INPUT!P3089="","",INPUT!P3089)</f>
        <v/>
      </c>
      <c r="J3094" s="46" t="str">
        <f>IF(INPUT!Q3089="","",INPUT!Q3089)</f>
        <v/>
      </c>
      <c r="K3094" s="46" t="str">
        <f>IFERROR(IF(OR(INPUT!P3089="",INPUT!Q3089=""),"",INPUT!P3089-INPUT!Q3089),"")</f>
        <v/>
      </c>
      <c r="L3094" s="48" t="str">
        <f>IFERROR(IF(OR(INPUT!P3089="",INPUT!Q3089="",INPUT!P3089=0),"",(INPUT!P3089-INPUT!Q3089)/INPUT!P3089),"")</f>
        <v/>
      </c>
    </row>
    <row r="3095" spans="1:12" ht="18" hidden="1" customHeight="1" x14ac:dyDescent="0.2">
      <c r="A3095" s="11" t="str">
        <f>IF(INPUT!M3090="","",INPUT!M3090)</f>
        <v/>
      </c>
      <c r="B3095" s="11" t="str">
        <f>IF(INPUT!M3090="","",INPUT!M3090-WEEKDAY(INPUT!M3090,2)+1)</f>
        <v/>
      </c>
      <c r="C3095" s="20">
        <f>IFERROR(_xlfn.ISOWEEKNUM(INPUT!M3090),"")</f>
        <v>52</v>
      </c>
      <c r="D3095" s="20">
        <f>IFERROR(YEAR(INPUT!M3090),"")</f>
        <v>1900</v>
      </c>
      <c r="E3095" t="str">
        <f>IF(INPUT!O3090="","",INPUT!O3090)</f>
        <v/>
      </c>
      <c r="F3095" t="str">
        <f>IF(INPUT!N3090="","",INPUT!N3090)</f>
        <v/>
      </c>
      <c r="G3095" cm="1">
        <f t="array" ref="G3095">IFERROR(VLOOKUP(INPUT!M3090&amp;INPUT!N3090,CHOOSE({1,2},INPUT!$A$3:$A$5000&amp;INPUT!$C$3:$C$5000,INPUT!$F$3:$F$5000),2,FALSE),"")</f>
        <v>0</v>
      </c>
      <c r="H3095" cm="1">
        <f t="array" ref="H3095">IFERROR(VLOOKUP(INPUT!M3090&amp;INPUT!N3090,CHOOSE({1,2},INPUT!$A$3:$A$5000&amp;INPUT!$C$3:$C$5000,INPUT!$D$3:$D$5000),2,FALSE),"")</f>
        <v>0</v>
      </c>
      <c r="I3095" s="46" t="str">
        <f>IF(INPUT!P3090="","",INPUT!P3090)</f>
        <v/>
      </c>
      <c r="J3095" s="46" t="str">
        <f>IF(INPUT!Q3090="","",INPUT!Q3090)</f>
        <v/>
      </c>
      <c r="K3095" s="46" t="str">
        <f>IFERROR(IF(OR(INPUT!P3090="",INPUT!Q3090=""),"",INPUT!P3090-INPUT!Q3090),"")</f>
        <v/>
      </c>
      <c r="L3095" s="48" t="str">
        <f>IFERROR(IF(OR(INPUT!P3090="",INPUT!Q3090="",INPUT!P3090=0),"",(INPUT!P3090-INPUT!Q3090)/INPUT!P3090),"")</f>
        <v/>
      </c>
    </row>
    <row r="3096" spans="1:12" ht="18" hidden="1" customHeight="1" x14ac:dyDescent="0.2">
      <c r="A3096" s="11" t="str">
        <f>IF(INPUT!M3091="","",INPUT!M3091)</f>
        <v/>
      </c>
      <c r="B3096" s="11" t="str">
        <f>IF(INPUT!M3091="","",INPUT!M3091-WEEKDAY(INPUT!M3091,2)+1)</f>
        <v/>
      </c>
      <c r="C3096" s="20">
        <f>IFERROR(_xlfn.ISOWEEKNUM(INPUT!M3091),"")</f>
        <v>52</v>
      </c>
      <c r="D3096" s="20">
        <f>IFERROR(YEAR(INPUT!M3091),"")</f>
        <v>1900</v>
      </c>
      <c r="E3096" t="str">
        <f>IF(INPUT!O3091="","",INPUT!O3091)</f>
        <v/>
      </c>
      <c r="F3096" t="str">
        <f>IF(INPUT!N3091="","",INPUT!N3091)</f>
        <v/>
      </c>
      <c r="G3096" cm="1">
        <f t="array" ref="G3096">IFERROR(VLOOKUP(INPUT!M3091&amp;INPUT!N3091,CHOOSE({1,2},INPUT!$A$3:$A$5000&amp;INPUT!$C$3:$C$5000,INPUT!$F$3:$F$5000),2,FALSE),"")</f>
        <v>0</v>
      </c>
      <c r="H3096" cm="1">
        <f t="array" ref="H3096">IFERROR(VLOOKUP(INPUT!M3091&amp;INPUT!N3091,CHOOSE({1,2},INPUT!$A$3:$A$5000&amp;INPUT!$C$3:$C$5000,INPUT!$D$3:$D$5000),2,FALSE),"")</f>
        <v>0</v>
      </c>
      <c r="I3096" s="46" t="str">
        <f>IF(INPUT!P3091="","",INPUT!P3091)</f>
        <v/>
      </c>
      <c r="J3096" s="46" t="str">
        <f>IF(INPUT!Q3091="","",INPUT!Q3091)</f>
        <v/>
      </c>
      <c r="K3096" s="46" t="str">
        <f>IFERROR(IF(OR(INPUT!P3091="",INPUT!Q3091=""),"",INPUT!P3091-INPUT!Q3091),"")</f>
        <v/>
      </c>
      <c r="L3096" s="48" t="str">
        <f>IFERROR(IF(OR(INPUT!P3091="",INPUT!Q3091="",INPUT!P3091=0),"",(INPUT!P3091-INPUT!Q3091)/INPUT!P3091),"")</f>
        <v/>
      </c>
    </row>
    <row r="3097" spans="1:12" ht="18" hidden="1" customHeight="1" x14ac:dyDescent="0.2">
      <c r="A3097" s="11" t="str">
        <f>IF(INPUT!M3092="","",INPUT!M3092)</f>
        <v/>
      </c>
      <c r="B3097" s="11" t="str">
        <f>IF(INPUT!M3092="","",INPUT!M3092-WEEKDAY(INPUT!M3092,2)+1)</f>
        <v/>
      </c>
      <c r="C3097" s="20">
        <f>IFERROR(_xlfn.ISOWEEKNUM(INPUT!M3092),"")</f>
        <v>52</v>
      </c>
      <c r="D3097" s="20">
        <f>IFERROR(YEAR(INPUT!M3092),"")</f>
        <v>1900</v>
      </c>
      <c r="E3097" t="str">
        <f>IF(INPUT!O3092="","",INPUT!O3092)</f>
        <v/>
      </c>
      <c r="F3097" t="str">
        <f>IF(INPUT!N3092="","",INPUT!N3092)</f>
        <v/>
      </c>
      <c r="G3097" cm="1">
        <f t="array" ref="G3097">IFERROR(VLOOKUP(INPUT!M3092&amp;INPUT!N3092,CHOOSE({1,2},INPUT!$A$3:$A$5000&amp;INPUT!$C$3:$C$5000,INPUT!$F$3:$F$5000),2,FALSE),"")</f>
        <v>0</v>
      </c>
      <c r="H3097" cm="1">
        <f t="array" ref="H3097">IFERROR(VLOOKUP(INPUT!M3092&amp;INPUT!N3092,CHOOSE({1,2},INPUT!$A$3:$A$5000&amp;INPUT!$C$3:$C$5000,INPUT!$D$3:$D$5000),2,FALSE),"")</f>
        <v>0</v>
      </c>
      <c r="I3097" s="46" t="str">
        <f>IF(INPUT!P3092="","",INPUT!P3092)</f>
        <v/>
      </c>
      <c r="J3097" s="46" t="str">
        <f>IF(INPUT!Q3092="","",INPUT!Q3092)</f>
        <v/>
      </c>
      <c r="K3097" s="46" t="str">
        <f>IFERROR(IF(OR(INPUT!P3092="",INPUT!Q3092=""),"",INPUT!P3092-INPUT!Q3092),"")</f>
        <v/>
      </c>
      <c r="L3097" s="48" t="str">
        <f>IFERROR(IF(OR(INPUT!P3092="",INPUT!Q3092="",INPUT!P3092=0),"",(INPUT!P3092-INPUT!Q3092)/INPUT!P3092),"")</f>
        <v/>
      </c>
    </row>
    <row r="3098" spans="1:12" ht="18" hidden="1" customHeight="1" x14ac:dyDescent="0.2">
      <c r="A3098" s="11" t="str">
        <f>IF(INPUT!M3093="","",INPUT!M3093)</f>
        <v/>
      </c>
      <c r="B3098" s="11" t="str">
        <f>IF(INPUT!M3093="","",INPUT!M3093-WEEKDAY(INPUT!M3093,2)+1)</f>
        <v/>
      </c>
      <c r="C3098" s="20">
        <f>IFERROR(_xlfn.ISOWEEKNUM(INPUT!M3093),"")</f>
        <v>52</v>
      </c>
      <c r="D3098" s="20">
        <f>IFERROR(YEAR(INPUT!M3093),"")</f>
        <v>1900</v>
      </c>
      <c r="E3098" t="str">
        <f>IF(INPUT!O3093="","",INPUT!O3093)</f>
        <v/>
      </c>
      <c r="F3098" t="str">
        <f>IF(INPUT!N3093="","",INPUT!N3093)</f>
        <v/>
      </c>
      <c r="G3098" cm="1">
        <f t="array" ref="G3098">IFERROR(VLOOKUP(INPUT!M3093&amp;INPUT!N3093,CHOOSE({1,2},INPUT!$A$3:$A$5000&amp;INPUT!$C$3:$C$5000,INPUT!$F$3:$F$5000),2,FALSE),"")</f>
        <v>0</v>
      </c>
      <c r="H3098" cm="1">
        <f t="array" ref="H3098">IFERROR(VLOOKUP(INPUT!M3093&amp;INPUT!N3093,CHOOSE({1,2},INPUT!$A$3:$A$5000&amp;INPUT!$C$3:$C$5000,INPUT!$D$3:$D$5000),2,FALSE),"")</f>
        <v>0</v>
      </c>
      <c r="I3098" s="46" t="str">
        <f>IF(INPUT!P3093="","",INPUT!P3093)</f>
        <v/>
      </c>
      <c r="J3098" s="46" t="str">
        <f>IF(INPUT!Q3093="","",INPUT!Q3093)</f>
        <v/>
      </c>
      <c r="K3098" s="46" t="str">
        <f>IFERROR(IF(OR(INPUT!P3093="",INPUT!Q3093=""),"",INPUT!P3093-INPUT!Q3093),"")</f>
        <v/>
      </c>
      <c r="L3098" s="48" t="str">
        <f>IFERROR(IF(OR(INPUT!P3093="",INPUT!Q3093="",INPUT!P3093=0),"",(INPUT!P3093-INPUT!Q3093)/INPUT!P3093),"")</f>
        <v/>
      </c>
    </row>
    <row r="3099" spans="1:12" ht="18" hidden="1" customHeight="1" x14ac:dyDescent="0.2">
      <c r="A3099" s="11" t="str">
        <f>IF(INPUT!M3094="","",INPUT!M3094)</f>
        <v/>
      </c>
      <c r="B3099" s="11" t="str">
        <f>IF(INPUT!M3094="","",INPUT!M3094-WEEKDAY(INPUT!M3094,2)+1)</f>
        <v/>
      </c>
      <c r="C3099" s="20">
        <f>IFERROR(_xlfn.ISOWEEKNUM(INPUT!M3094),"")</f>
        <v>52</v>
      </c>
      <c r="D3099" s="20">
        <f>IFERROR(YEAR(INPUT!M3094),"")</f>
        <v>1900</v>
      </c>
      <c r="E3099" t="str">
        <f>IF(INPUT!O3094="","",INPUT!O3094)</f>
        <v/>
      </c>
      <c r="F3099" t="str">
        <f>IF(INPUT!N3094="","",INPUT!N3094)</f>
        <v/>
      </c>
      <c r="G3099" cm="1">
        <f t="array" ref="G3099">IFERROR(VLOOKUP(INPUT!M3094&amp;INPUT!N3094,CHOOSE({1,2},INPUT!$A$3:$A$5000&amp;INPUT!$C$3:$C$5000,INPUT!$F$3:$F$5000),2,FALSE),"")</f>
        <v>0</v>
      </c>
      <c r="H3099" cm="1">
        <f t="array" ref="H3099">IFERROR(VLOOKUP(INPUT!M3094&amp;INPUT!N3094,CHOOSE({1,2},INPUT!$A$3:$A$5000&amp;INPUT!$C$3:$C$5000,INPUT!$D$3:$D$5000),2,FALSE),"")</f>
        <v>0</v>
      </c>
      <c r="I3099" s="46" t="str">
        <f>IF(INPUT!P3094="","",INPUT!P3094)</f>
        <v/>
      </c>
      <c r="J3099" s="46" t="str">
        <f>IF(INPUT!Q3094="","",INPUT!Q3094)</f>
        <v/>
      </c>
      <c r="K3099" s="46" t="str">
        <f>IFERROR(IF(OR(INPUT!P3094="",INPUT!Q3094=""),"",INPUT!P3094-INPUT!Q3094),"")</f>
        <v/>
      </c>
      <c r="L3099" s="48" t="str">
        <f>IFERROR(IF(OR(INPUT!P3094="",INPUT!Q3094="",INPUT!P3094=0),"",(INPUT!P3094-INPUT!Q3094)/INPUT!P3094),"")</f>
        <v/>
      </c>
    </row>
    <row r="3100" spans="1:12" ht="18" hidden="1" customHeight="1" x14ac:dyDescent="0.2">
      <c r="A3100" s="11" t="str">
        <f>IF(INPUT!M3095="","",INPUT!M3095)</f>
        <v/>
      </c>
      <c r="B3100" s="11" t="str">
        <f>IF(INPUT!M3095="","",INPUT!M3095-WEEKDAY(INPUT!M3095,2)+1)</f>
        <v/>
      </c>
      <c r="C3100" s="20">
        <f>IFERROR(_xlfn.ISOWEEKNUM(INPUT!M3095),"")</f>
        <v>52</v>
      </c>
      <c r="D3100" s="20">
        <f>IFERROR(YEAR(INPUT!M3095),"")</f>
        <v>1900</v>
      </c>
      <c r="E3100" t="str">
        <f>IF(INPUT!O3095="","",INPUT!O3095)</f>
        <v/>
      </c>
      <c r="F3100" t="str">
        <f>IF(INPUT!N3095="","",INPUT!N3095)</f>
        <v/>
      </c>
      <c r="G3100" cm="1">
        <f t="array" ref="G3100">IFERROR(VLOOKUP(INPUT!M3095&amp;INPUT!N3095,CHOOSE({1,2},INPUT!$A$3:$A$5000&amp;INPUT!$C$3:$C$5000,INPUT!$F$3:$F$5000),2,FALSE),"")</f>
        <v>0</v>
      </c>
      <c r="H3100" cm="1">
        <f t="array" ref="H3100">IFERROR(VLOOKUP(INPUT!M3095&amp;INPUT!N3095,CHOOSE({1,2},INPUT!$A$3:$A$5000&amp;INPUT!$C$3:$C$5000,INPUT!$D$3:$D$5000),2,FALSE),"")</f>
        <v>0</v>
      </c>
      <c r="I3100" s="46" t="str">
        <f>IF(INPUT!P3095="","",INPUT!P3095)</f>
        <v/>
      </c>
      <c r="J3100" s="46" t="str">
        <f>IF(INPUT!Q3095="","",INPUT!Q3095)</f>
        <v/>
      </c>
      <c r="K3100" s="46" t="str">
        <f>IFERROR(IF(OR(INPUT!P3095="",INPUT!Q3095=""),"",INPUT!P3095-INPUT!Q3095),"")</f>
        <v/>
      </c>
      <c r="L3100" s="48" t="str">
        <f>IFERROR(IF(OR(INPUT!P3095="",INPUT!Q3095="",INPUT!P3095=0),"",(INPUT!P3095-INPUT!Q3095)/INPUT!P3095),"")</f>
        <v/>
      </c>
    </row>
    <row r="3101" spans="1:12" ht="18" hidden="1" customHeight="1" x14ac:dyDescent="0.2">
      <c r="A3101" s="11" t="str">
        <f>IF(INPUT!M3096="","",INPUT!M3096)</f>
        <v/>
      </c>
      <c r="B3101" s="11" t="str">
        <f>IF(INPUT!M3096="","",INPUT!M3096-WEEKDAY(INPUT!M3096,2)+1)</f>
        <v/>
      </c>
      <c r="C3101" s="20">
        <f>IFERROR(_xlfn.ISOWEEKNUM(INPUT!M3096),"")</f>
        <v>52</v>
      </c>
      <c r="D3101" s="20">
        <f>IFERROR(YEAR(INPUT!M3096),"")</f>
        <v>1900</v>
      </c>
      <c r="E3101" t="str">
        <f>IF(INPUT!O3096="","",INPUT!O3096)</f>
        <v/>
      </c>
      <c r="F3101" t="str">
        <f>IF(INPUT!N3096="","",INPUT!N3096)</f>
        <v/>
      </c>
      <c r="G3101" cm="1">
        <f t="array" ref="G3101">IFERROR(VLOOKUP(INPUT!M3096&amp;INPUT!N3096,CHOOSE({1,2},INPUT!$A$3:$A$5000&amp;INPUT!$C$3:$C$5000,INPUT!$F$3:$F$5000),2,FALSE),"")</f>
        <v>0</v>
      </c>
      <c r="H3101" cm="1">
        <f t="array" ref="H3101">IFERROR(VLOOKUP(INPUT!M3096&amp;INPUT!N3096,CHOOSE({1,2},INPUT!$A$3:$A$5000&amp;INPUT!$C$3:$C$5000,INPUT!$D$3:$D$5000),2,FALSE),"")</f>
        <v>0</v>
      </c>
      <c r="I3101" s="46" t="str">
        <f>IF(INPUT!P3096="","",INPUT!P3096)</f>
        <v/>
      </c>
      <c r="J3101" s="46" t="str">
        <f>IF(INPUT!Q3096="","",INPUT!Q3096)</f>
        <v/>
      </c>
      <c r="K3101" s="46" t="str">
        <f>IFERROR(IF(OR(INPUT!P3096="",INPUT!Q3096=""),"",INPUT!P3096-INPUT!Q3096),"")</f>
        <v/>
      </c>
      <c r="L3101" s="48" t="str">
        <f>IFERROR(IF(OR(INPUT!P3096="",INPUT!Q3096="",INPUT!P3096=0),"",(INPUT!P3096-INPUT!Q3096)/INPUT!P3096),"")</f>
        <v/>
      </c>
    </row>
    <row r="3102" spans="1:12" ht="18" hidden="1" customHeight="1" x14ac:dyDescent="0.2">
      <c r="A3102" s="11" t="str">
        <f>IF(INPUT!M3097="","",INPUT!M3097)</f>
        <v/>
      </c>
      <c r="B3102" s="11" t="str">
        <f>IF(INPUT!M3097="","",INPUT!M3097-WEEKDAY(INPUT!M3097,2)+1)</f>
        <v/>
      </c>
      <c r="C3102" s="20">
        <f>IFERROR(_xlfn.ISOWEEKNUM(INPUT!M3097),"")</f>
        <v>52</v>
      </c>
      <c r="D3102" s="20">
        <f>IFERROR(YEAR(INPUT!M3097),"")</f>
        <v>1900</v>
      </c>
      <c r="E3102" t="str">
        <f>IF(INPUT!O3097="","",INPUT!O3097)</f>
        <v/>
      </c>
      <c r="F3102" t="str">
        <f>IF(INPUT!N3097="","",INPUT!N3097)</f>
        <v/>
      </c>
      <c r="G3102" cm="1">
        <f t="array" ref="G3102">IFERROR(VLOOKUP(INPUT!M3097&amp;INPUT!N3097,CHOOSE({1,2},INPUT!$A$3:$A$5000&amp;INPUT!$C$3:$C$5000,INPUT!$F$3:$F$5000),2,FALSE),"")</f>
        <v>0</v>
      </c>
      <c r="H3102" cm="1">
        <f t="array" ref="H3102">IFERROR(VLOOKUP(INPUT!M3097&amp;INPUT!N3097,CHOOSE({1,2},INPUT!$A$3:$A$5000&amp;INPUT!$C$3:$C$5000,INPUT!$D$3:$D$5000),2,FALSE),"")</f>
        <v>0</v>
      </c>
      <c r="I3102" s="46" t="str">
        <f>IF(INPUT!P3097="","",INPUT!P3097)</f>
        <v/>
      </c>
      <c r="J3102" s="46" t="str">
        <f>IF(INPUT!Q3097="","",INPUT!Q3097)</f>
        <v/>
      </c>
      <c r="K3102" s="46" t="str">
        <f>IFERROR(IF(OR(INPUT!P3097="",INPUT!Q3097=""),"",INPUT!P3097-INPUT!Q3097),"")</f>
        <v/>
      </c>
      <c r="L3102" s="48" t="str">
        <f>IFERROR(IF(OR(INPUT!P3097="",INPUT!Q3097="",INPUT!P3097=0),"",(INPUT!P3097-INPUT!Q3097)/INPUT!P3097),"")</f>
        <v/>
      </c>
    </row>
    <row r="3103" spans="1:12" ht="18" hidden="1" customHeight="1" x14ac:dyDescent="0.2">
      <c r="A3103" s="11" t="str">
        <f>IF(INPUT!M3098="","",INPUT!M3098)</f>
        <v/>
      </c>
      <c r="B3103" s="11" t="str">
        <f>IF(INPUT!M3098="","",INPUT!M3098-WEEKDAY(INPUT!M3098,2)+1)</f>
        <v/>
      </c>
      <c r="C3103" s="20">
        <f>IFERROR(_xlfn.ISOWEEKNUM(INPUT!M3098),"")</f>
        <v>52</v>
      </c>
      <c r="D3103" s="20">
        <f>IFERROR(YEAR(INPUT!M3098),"")</f>
        <v>1900</v>
      </c>
      <c r="E3103" t="str">
        <f>IF(INPUT!O3098="","",INPUT!O3098)</f>
        <v/>
      </c>
      <c r="F3103" t="str">
        <f>IF(INPUT!N3098="","",INPUT!N3098)</f>
        <v/>
      </c>
      <c r="G3103" cm="1">
        <f t="array" ref="G3103">IFERROR(VLOOKUP(INPUT!M3098&amp;INPUT!N3098,CHOOSE({1,2},INPUT!$A$3:$A$5000&amp;INPUT!$C$3:$C$5000,INPUT!$F$3:$F$5000),2,FALSE),"")</f>
        <v>0</v>
      </c>
      <c r="H3103" cm="1">
        <f t="array" ref="H3103">IFERROR(VLOOKUP(INPUT!M3098&amp;INPUT!N3098,CHOOSE({1,2},INPUT!$A$3:$A$5000&amp;INPUT!$C$3:$C$5000,INPUT!$D$3:$D$5000),2,FALSE),"")</f>
        <v>0</v>
      </c>
      <c r="I3103" s="46" t="str">
        <f>IF(INPUT!P3098="","",INPUT!P3098)</f>
        <v/>
      </c>
      <c r="J3103" s="46" t="str">
        <f>IF(INPUT!Q3098="","",INPUT!Q3098)</f>
        <v/>
      </c>
      <c r="K3103" s="46" t="str">
        <f>IFERROR(IF(OR(INPUT!P3098="",INPUT!Q3098=""),"",INPUT!P3098-INPUT!Q3098),"")</f>
        <v/>
      </c>
      <c r="L3103" s="48" t="str">
        <f>IFERROR(IF(OR(INPUT!P3098="",INPUT!Q3098="",INPUT!P3098=0),"",(INPUT!P3098-INPUT!Q3098)/INPUT!P3098),"")</f>
        <v/>
      </c>
    </row>
    <row r="3104" spans="1:12" ht="18" hidden="1" customHeight="1" x14ac:dyDescent="0.2">
      <c r="A3104" s="11" t="str">
        <f>IF(INPUT!M3099="","",INPUT!M3099)</f>
        <v/>
      </c>
      <c r="B3104" s="11" t="str">
        <f>IF(INPUT!M3099="","",INPUT!M3099-WEEKDAY(INPUT!M3099,2)+1)</f>
        <v/>
      </c>
      <c r="C3104" s="20">
        <f>IFERROR(_xlfn.ISOWEEKNUM(INPUT!M3099),"")</f>
        <v>52</v>
      </c>
      <c r="D3104" s="20">
        <f>IFERROR(YEAR(INPUT!M3099),"")</f>
        <v>1900</v>
      </c>
      <c r="E3104" t="str">
        <f>IF(INPUT!O3099="","",INPUT!O3099)</f>
        <v/>
      </c>
      <c r="F3104" t="str">
        <f>IF(INPUT!N3099="","",INPUT!N3099)</f>
        <v/>
      </c>
      <c r="G3104" cm="1">
        <f t="array" ref="G3104">IFERROR(VLOOKUP(INPUT!M3099&amp;INPUT!N3099,CHOOSE({1,2},INPUT!$A$3:$A$5000&amp;INPUT!$C$3:$C$5000,INPUT!$F$3:$F$5000),2,FALSE),"")</f>
        <v>0</v>
      </c>
      <c r="H3104" cm="1">
        <f t="array" ref="H3104">IFERROR(VLOOKUP(INPUT!M3099&amp;INPUT!N3099,CHOOSE({1,2},INPUT!$A$3:$A$5000&amp;INPUT!$C$3:$C$5000,INPUT!$D$3:$D$5000),2,FALSE),"")</f>
        <v>0</v>
      </c>
      <c r="I3104" s="46" t="str">
        <f>IF(INPUT!P3099="","",INPUT!P3099)</f>
        <v/>
      </c>
      <c r="J3104" s="46" t="str">
        <f>IF(INPUT!Q3099="","",INPUT!Q3099)</f>
        <v/>
      </c>
      <c r="K3104" s="46" t="str">
        <f>IFERROR(IF(OR(INPUT!P3099="",INPUT!Q3099=""),"",INPUT!P3099-INPUT!Q3099),"")</f>
        <v/>
      </c>
      <c r="L3104" s="48" t="str">
        <f>IFERROR(IF(OR(INPUT!P3099="",INPUT!Q3099="",INPUT!P3099=0),"",(INPUT!P3099-INPUT!Q3099)/INPUT!P3099),"")</f>
        <v/>
      </c>
    </row>
    <row r="3105" spans="1:12" ht="18" hidden="1" customHeight="1" x14ac:dyDescent="0.2">
      <c r="A3105" s="11" t="str">
        <f>IF(INPUT!M3100="","",INPUT!M3100)</f>
        <v/>
      </c>
      <c r="B3105" s="11" t="str">
        <f>IF(INPUT!M3100="","",INPUT!M3100-WEEKDAY(INPUT!M3100,2)+1)</f>
        <v/>
      </c>
      <c r="C3105" s="20">
        <f>IFERROR(_xlfn.ISOWEEKNUM(INPUT!M3100),"")</f>
        <v>52</v>
      </c>
      <c r="D3105" s="20">
        <f>IFERROR(YEAR(INPUT!M3100),"")</f>
        <v>1900</v>
      </c>
      <c r="E3105" t="str">
        <f>IF(INPUT!O3100="","",INPUT!O3100)</f>
        <v/>
      </c>
      <c r="F3105" t="str">
        <f>IF(INPUT!N3100="","",INPUT!N3100)</f>
        <v/>
      </c>
      <c r="G3105" cm="1">
        <f t="array" ref="G3105">IFERROR(VLOOKUP(INPUT!M3100&amp;INPUT!N3100,CHOOSE({1,2},INPUT!$A$3:$A$5000&amp;INPUT!$C$3:$C$5000,INPUT!$F$3:$F$5000),2,FALSE),"")</f>
        <v>0</v>
      </c>
      <c r="H3105" cm="1">
        <f t="array" ref="H3105">IFERROR(VLOOKUP(INPUT!M3100&amp;INPUT!N3100,CHOOSE({1,2},INPUT!$A$3:$A$5000&amp;INPUT!$C$3:$C$5000,INPUT!$D$3:$D$5000),2,FALSE),"")</f>
        <v>0</v>
      </c>
      <c r="I3105" s="46" t="str">
        <f>IF(INPUT!P3100="","",INPUT!P3100)</f>
        <v/>
      </c>
      <c r="J3105" s="46" t="str">
        <f>IF(INPUT!Q3100="","",INPUT!Q3100)</f>
        <v/>
      </c>
      <c r="K3105" s="46" t="str">
        <f>IFERROR(IF(OR(INPUT!P3100="",INPUT!Q3100=""),"",INPUT!P3100-INPUT!Q3100),"")</f>
        <v/>
      </c>
      <c r="L3105" s="48" t="str">
        <f>IFERROR(IF(OR(INPUT!P3100="",INPUT!Q3100="",INPUT!P3100=0),"",(INPUT!P3100-INPUT!Q3100)/INPUT!P3100),"")</f>
        <v/>
      </c>
    </row>
    <row r="3106" spans="1:12" ht="18" hidden="1" customHeight="1" x14ac:dyDescent="0.2">
      <c r="A3106" s="11" t="str">
        <f>IF(INPUT!M3101="","",INPUT!M3101)</f>
        <v/>
      </c>
      <c r="B3106" s="11" t="str">
        <f>IF(INPUT!M3101="","",INPUT!M3101-WEEKDAY(INPUT!M3101,2)+1)</f>
        <v/>
      </c>
      <c r="C3106" s="20">
        <f>IFERROR(_xlfn.ISOWEEKNUM(INPUT!M3101),"")</f>
        <v>52</v>
      </c>
      <c r="D3106" s="20">
        <f>IFERROR(YEAR(INPUT!M3101),"")</f>
        <v>1900</v>
      </c>
      <c r="E3106" t="str">
        <f>IF(INPUT!O3101="","",INPUT!O3101)</f>
        <v/>
      </c>
      <c r="F3106" t="str">
        <f>IF(INPUT!N3101="","",INPUT!N3101)</f>
        <v/>
      </c>
      <c r="G3106" cm="1">
        <f t="array" ref="G3106">IFERROR(VLOOKUP(INPUT!M3101&amp;INPUT!N3101,CHOOSE({1,2},INPUT!$A$3:$A$5000&amp;INPUT!$C$3:$C$5000,INPUT!$F$3:$F$5000),2,FALSE),"")</f>
        <v>0</v>
      </c>
      <c r="H3106" cm="1">
        <f t="array" ref="H3106">IFERROR(VLOOKUP(INPUT!M3101&amp;INPUT!N3101,CHOOSE({1,2},INPUT!$A$3:$A$5000&amp;INPUT!$C$3:$C$5000,INPUT!$D$3:$D$5000),2,FALSE),"")</f>
        <v>0</v>
      </c>
      <c r="I3106" s="46" t="str">
        <f>IF(INPUT!P3101="","",INPUT!P3101)</f>
        <v/>
      </c>
      <c r="J3106" s="46" t="str">
        <f>IF(INPUT!Q3101="","",INPUT!Q3101)</f>
        <v/>
      </c>
      <c r="K3106" s="46" t="str">
        <f>IFERROR(IF(OR(INPUT!P3101="",INPUT!Q3101=""),"",INPUT!P3101-INPUT!Q3101),"")</f>
        <v/>
      </c>
      <c r="L3106" s="48" t="str">
        <f>IFERROR(IF(OR(INPUT!P3101="",INPUT!Q3101="",INPUT!P3101=0),"",(INPUT!P3101-INPUT!Q3101)/INPUT!P3101),"")</f>
        <v/>
      </c>
    </row>
    <row r="3107" spans="1:12" ht="18" hidden="1" customHeight="1" x14ac:dyDescent="0.2">
      <c r="A3107" s="11" t="str">
        <f>IF(INPUT!M3102="","",INPUT!M3102)</f>
        <v/>
      </c>
      <c r="B3107" s="11" t="str">
        <f>IF(INPUT!M3102="","",INPUT!M3102-WEEKDAY(INPUT!M3102,2)+1)</f>
        <v/>
      </c>
      <c r="C3107" s="20">
        <f>IFERROR(_xlfn.ISOWEEKNUM(INPUT!M3102),"")</f>
        <v>52</v>
      </c>
      <c r="D3107" s="20">
        <f>IFERROR(YEAR(INPUT!M3102),"")</f>
        <v>1900</v>
      </c>
      <c r="E3107" t="str">
        <f>IF(INPUT!O3102="","",INPUT!O3102)</f>
        <v/>
      </c>
      <c r="F3107" t="str">
        <f>IF(INPUT!N3102="","",INPUT!N3102)</f>
        <v/>
      </c>
      <c r="G3107" cm="1">
        <f t="array" ref="G3107">IFERROR(VLOOKUP(INPUT!M3102&amp;INPUT!N3102,CHOOSE({1,2},INPUT!$A$3:$A$5000&amp;INPUT!$C$3:$C$5000,INPUT!$F$3:$F$5000),2,FALSE),"")</f>
        <v>0</v>
      </c>
      <c r="H3107" cm="1">
        <f t="array" ref="H3107">IFERROR(VLOOKUP(INPUT!M3102&amp;INPUT!N3102,CHOOSE({1,2},INPUT!$A$3:$A$5000&amp;INPUT!$C$3:$C$5000,INPUT!$D$3:$D$5000),2,FALSE),"")</f>
        <v>0</v>
      </c>
      <c r="I3107" s="46" t="str">
        <f>IF(INPUT!P3102="","",INPUT!P3102)</f>
        <v/>
      </c>
      <c r="J3107" s="46" t="str">
        <f>IF(INPUT!Q3102="","",INPUT!Q3102)</f>
        <v/>
      </c>
      <c r="K3107" s="46" t="str">
        <f>IFERROR(IF(OR(INPUT!P3102="",INPUT!Q3102=""),"",INPUT!P3102-INPUT!Q3102),"")</f>
        <v/>
      </c>
      <c r="L3107" s="48" t="str">
        <f>IFERROR(IF(OR(INPUT!P3102="",INPUT!Q3102="",INPUT!P3102=0),"",(INPUT!P3102-INPUT!Q3102)/INPUT!P3102),"")</f>
        <v/>
      </c>
    </row>
    <row r="3108" spans="1:12" ht="18" hidden="1" customHeight="1" x14ac:dyDescent="0.2">
      <c r="A3108" s="11" t="str">
        <f>IF(INPUT!M3103="","",INPUT!M3103)</f>
        <v/>
      </c>
      <c r="B3108" s="11" t="str">
        <f>IF(INPUT!M3103="","",INPUT!M3103-WEEKDAY(INPUT!M3103,2)+1)</f>
        <v/>
      </c>
      <c r="C3108" s="20">
        <f>IFERROR(_xlfn.ISOWEEKNUM(INPUT!M3103),"")</f>
        <v>52</v>
      </c>
      <c r="D3108" s="20">
        <f>IFERROR(YEAR(INPUT!M3103),"")</f>
        <v>1900</v>
      </c>
      <c r="E3108" t="str">
        <f>IF(INPUT!O3103="","",INPUT!O3103)</f>
        <v/>
      </c>
      <c r="F3108" t="str">
        <f>IF(INPUT!N3103="","",INPUT!N3103)</f>
        <v/>
      </c>
      <c r="G3108" cm="1">
        <f t="array" ref="G3108">IFERROR(VLOOKUP(INPUT!M3103&amp;INPUT!N3103,CHOOSE({1,2},INPUT!$A$3:$A$5000&amp;INPUT!$C$3:$C$5000,INPUT!$F$3:$F$5000),2,FALSE),"")</f>
        <v>0</v>
      </c>
      <c r="H3108" cm="1">
        <f t="array" ref="H3108">IFERROR(VLOOKUP(INPUT!M3103&amp;INPUT!N3103,CHOOSE({1,2},INPUT!$A$3:$A$5000&amp;INPUT!$C$3:$C$5000,INPUT!$D$3:$D$5000),2,FALSE),"")</f>
        <v>0</v>
      </c>
      <c r="I3108" s="46" t="str">
        <f>IF(INPUT!P3103="","",INPUT!P3103)</f>
        <v/>
      </c>
      <c r="J3108" s="46" t="str">
        <f>IF(INPUT!Q3103="","",INPUT!Q3103)</f>
        <v/>
      </c>
      <c r="K3108" s="46" t="str">
        <f>IFERROR(IF(OR(INPUT!P3103="",INPUT!Q3103=""),"",INPUT!P3103-INPUT!Q3103),"")</f>
        <v/>
      </c>
      <c r="L3108" s="48" t="str">
        <f>IFERROR(IF(OR(INPUT!P3103="",INPUT!Q3103="",INPUT!P3103=0),"",(INPUT!P3103-INPUT!Q3103)/INPUT!P3103),"")</f>
        <v/>
      </c>
    </row>
    <row r="3109" spans="1:12" ht="18" hidden="1" customHeight="1" x14ac:dyDescent="0.2">
      <c r="A3109" s="11" t="str">
        <f>IF(INPUT!M3104="","",INPUT!M3104)</f>
        <v/>
      </c>
      <c r="B3109" s="11" t="str">
        <f>IF(INPUT!M3104="","",INPUT!M3104-WEEKDAY(INPUT!M3104,2)+1)</f>
        <v/>
      </c>
      <c r="C3109" s="20">
        <f>IFERROR(_xlfn.ISOWEEKNUM(INPUT!M3104),"")</f>
        <v>52</v>
      </c>
      <c r="D3109" s="20">
        <f>IFERROR(YEAR(INPUT!M3104),"")</f>
        <v>1900</v>
      </c>
      <c r="E3109" t="str">
        <f>IF(INPUT!O3104="","",INPUT!O3104)</f>
        <v/>
      </c>
      <c r="F3109" t="str">
        <f>IF(INPUT!N3104="","",INPUT!N3104)</f>
        <v/>
      </c>
      <c r="G3109" cm="1">
        <f t="array" ref="G3109">IFERROR(VLOOKUP(INPUT!M3104&amp;INPUT!N3104,CHOOSE({1,2},INPUT!$A$3:$A$5000&amp;INPUT!$C$3:$C$5000,INPUT!$F$3:$F$5000),2,FALSE),"")</f>
        <v>0</v>
      </c>
      <c r="H3109" cm="1">
        <f t="array" ref="H3109">IFERROR(VLOOKUP(INPUT!M3104&amp;INPUT!N3104,CHOOSE({1,2},INPUT!$A$3:$A$5000&amp;INPUT!$C$3:$C$5000,INPUT!$D$3:$D$5000),2,FALSE),"")</f>
        <v>0</v>
      </c>
      <c r="I3109" s="46" t="str">
        <f>IF(INPUT!P3104="","",INPUT!P3104)</f>
        <v/>
      </c>
      <c r="J3109" s="46" t="str">
        <f>IF(INPUT!Q3104="","",INPUT!Q3104)</f>
        <v/>
      </c>
      <c r="K3109" s="46" t="str">
        <f>IFERROR(IF(OR(INPUT!P3104="",INPUT!Q3104=""),"",INPUT!P3104-INPUT!Q3104),"")</f>
        <v/>
      </c>
      <c r="L3109" s="48" t="str">
        <f>IFERROR(IF(OR(INPUT!P3104="",INPUT!Q3104="",INPUT!P3104=0),"",(INPUT!P3104-INPUT!Q3104)/INPUT!P3104),"")</f>
        <v/>
      </c>
    </row>
    <row r="3110" spans="1:12" ht="18" hidden="1" customHeight="1" x14ac:dyDescent="0.2">
      <c r="A3110" s="11" t="str">
        <f>IF(INPUT!M3105="","",INPUT!M3105)</f>
        <v/>
      </c>
      <c r="B3110" s="11" t="str">
        <f>IF(INPUT!M3105="","",INPUT!M3105-WEEKDAY(INPUT!M3105,2)+1)</f>
        <v/>
      </c>
      <c r="C3110" s="20">
        <f>IFERROR(_xlfn.ISOWEEKNUM(INPUT!M3105),"")</f>
        <v>52</v>
      </c>
      <c r="D3110" s="20">
        <f>IFERROR(YEAR(INPUT!M3105),"")</f>
        <v>1900</v>
      </c>
      <c r="E3110" t="str">
        <f>IF(INPUT!O3105="","",INPUT!O3105)</f>
        <v/>
      </c>
      <c r="F3110" t="str">
        <f>IF(INPUT!N3105="","",INPUT!N3105)</f>
        <v/>
      </c>
      <c r="G3110" cm="1">
        <f t="array" ref="G3110">IFERROR(VLOOKUP(INPUT!M3105&amp;INPUT!N3105,CHOOSE({1,2},INPUT!$A$3:$A$5000&amp;INPUT!$C$3:$C$5000,INPUT!$F$3:$F$5000),2,FALSE),"")</f>
        <v>0</v>
      </c>
      <c r="H3110" cm="1">
        <f t="array" ref="H3110">IFERROR(VLOOKUP(INPUT!M3105&amp;INPUT!N3105,CHOOSE({1,2},INPUT!$A$3:$A$5000&amp;INPUT!$C$3:$C$5000,INPUT!$D$3:$D$5000),2,FALSE),"")</f>
        <v>0</v>
      </c>
      <c r="I3110" s="46" t="str">
        <f>IF(INPUT!P3105="","",INPUT!P3105)</f>
        <v/>
      </c>
      <c r="J3110" s="46" t="str">
        <f>IF(INPUT!Q3105="","",INPUT!Q3105)</f>
        <v/>
      </c>
      <c r="K3110" s="46" t="str">
        <f>IFERROR(IF(OR(INPUT!P3105="",INPUT!Q3105=""),"",INPUT!P3105-INPUT!Q3105),"")</f>
        <v/>
      </c>
      <c r="L3110" s="48" t="str">
        <f>IFERROR(IF(OR(INPUT!P3105="",INPUT!Q3105="",INPUT!P3105=0),"",(INPUT!P3105-INPUT!Q3105)/INPUT!P3105),"")</f>
        <v/>
      </c>
    </row>
    <row r="3111" spans="1:12" ht="18" hidden="1" customHeight="1" x14ac:dyDescent="0.2">
      <c r="A3111" s="11" t="str">
        <f>IF(INPUT!M3106="","",INPUT!M3106)</f>
        <v/>
      </c>
      <c r="B3111" s="11" t="str">
        <f>IF(INPUT!M3106="","",INPUT!M3106-WEEKDAY(INPUT!M3106,2)+1)</f>
        <v/>
      </c>
      <c r="C3111" s="20">
        <f>IFERROR(_xlfn.ISOWEEKNUM(INPUT!M3106),"")</f>
        <v>52</v>
      </c>
      <c r="D3111" s="20">
        <f>IFERROR(YEAR(INPUT!M3106),"")</f>
        <v>1900</v>
      </c>
      <c r="E3111" t="str">
        <f>IF(INPUT!O3106="","",INPUT!O3106)</f>
        <v/>
      </c>
      <c r="F3111" t="str">
        <f>IF(INPUT!N3106="","",INPUT!N3106)</f>
        <v/>
      </c>
      <c r="G3111" cm="1">
        <f t="array" ref="G3111">IFERROR(VLOOKUP(INPUT!M3106&amp;INPUT!N3106,CHOOSE({1,2},INPUT!$A$3:$A$5000&amp;INPUT!$C$3:$C$5000,INPUT!$F$3:$F$5000),2,FALSE),"")</f>
        <v>0</v>
      </c>
      <c r="H3111" cm="1">
        <f t="array" ref="H3111">IFERROR(VLOOKUP(INPUT!M3106&amp;INPUT!N3106,CHOOSE({1,2},INPUT!$A$3:$A$5000&amp;INPUT!$C$3:$C$5000,INPUT!$D$3:$D$5000),2,FALSE),"")</f>
        <v>0</v>
      </c>
      <c r="I3111" s="46" t="str">
        <f>IF(INPUT!P3106="","",INPUT!P3106)</f>
        <v/>
      </c>
      <c r="J3111" s="46" t="str">
        <f>IF(INPUT!Q3106="","",INPUT!Q3106)</f>
        <v/>
      </c>
      <c r="K3111" s="46" t="str">
        <f>IFERROR(IF(OR(INPUT!P3106="",INPUT!Q3106=""),"",INPUT!P3106-INPUT!Q3106),"")</f>
        <v/>
      </c>
      <c r="L3111" s="48" t="str">
        <f>IFERROR(IF(OR(INPUT!P3106="",INPUT!Q3106="",INPUT!P3106=0),"",(INPUT!P3106-INPUT!Q3106)/INPUT!P3106),"")</f>
        <v/>
      </c>
    </row>
    <row r="3112" spans="1:12" ht="18" hidden="1" customHeight="1" x14ac:dyDescent="0.2">
      <c r="A3112" s="11" t="str">
        <f>IF(INPUT!M3107="","",INPUT!M3107)</f>
        <v/>
      </c>
      <c r="B3112" s="11" t="str">
        <f>IF(INPUT!M3107="","",INPUT!M3107-WEEKDAY(INPUT!M3107,2)+1)</f>
        <v/>
      </c>
      <c r="C3112" s="20">
        <f>IFERROR(_xlfn.ISOWEEKNUM(INPUT!M3107),"")</f>
        <v>52</v>
      </c>
      <c r="D3112" s="20">
        <f>IFERROR(YEAR(INPUT!M3107),"")</f>
        <v>1900</v>
      </c>
      <c r="E3112" t="str">
        <f>IF(INPUT!O3107="","",INPUT!O3107)</f>
        <v/>
      </c>
      <c r="F3112" t="str">
        <f>IF(INPUT!N3107="","",INPUT!N3107)</f>
        <v/>
      </c>
      <c r="G3112" cm="1">
        <f t="array" ref="G3112">IFERROR(VLOOKUP(INPUT!M3107&amp;INPUT!N3107,CHOOSE({1,2},INPUT!$A$3:$A$5000&amp;INPUT!$C$3:$C$5000,INPUT!$F$3:$F$5000),2,FALSE),"")</f>
        <v>0</v>
      </c>
      <c r="H3112" cm="1">
        <f t="array" ref="H3112">IFERROR(VLOOKUP(INPUT!M3107&amp;INPUT!N3107,CHOOSE({1,2},INPUT!$A$3:$A$5000&amp;INPUT!$C$3:$C$5000,INPUT!$D$3:$D$5000),2,FALSE),"")</f>
        <v>0</v>
      </c>
      <c r="I3112" s="46" t="str">
        <f>IF(INPUT!P3107="","",INPUT!P3107)</f>
        <v/>
      </c>
      <c r="J3112" s="46" t="str">
        <f>IF(INPUT!Q3107="","",INPUT!Q3107)</f>
        <v/>
      </c>
      <c r="K3112" s="46" t="str">
        <f>IFERROR(IF(OR(INPUT!P3107="",INPUT!Q3107=""),"",INPUT!P3107-INPUT!Q3107),"")</f>
        <v/>
      </c>
      <c r="L3112" s="48" t="str">
        <f>IFERROR(IF(OR(INPUT!P3107="",INPUT!Q3107="",INPUT!P3107=0),"",(INPUT!P3107-INPUT!Q3107)/INPUT!P3107),"")</f>
        <v/>
      </c>
    </row>
    <row r="3113" spans="1:12" ht="18" hidden="1" customHeight="1" x14ac:dyDescent="0.2">
      <c r="A3113" s="11" t="str">
        <f>IF(INPUT!M3108="","",INPUT!M3108)</f>
        <v/>
      </c>
      <c r="B3113" s="11" t="str">
        <f>IF(INPUT!M3108="","",INPUT!M3108-WEEKDAY(INPUT!M3108,2)+1)</f>
        <v/>
      </c>
      <c r="C3113" s="20">
        <f>IFERROR(_xlfn.ISOWEEKNUM(INPUT!M3108),"")</f>
        <v>52</v>
      </c>
      <c r="D3113" s="20">
        <f>IFERROR(YEAR(INPUT!M3108),"")</f>
        <v>1900</v>
      </c>
      <c r="E3113" t="str">
        <f>IF(INPUT!O3108="","",INPUT!O3108)</f>
        <v/>
      </c>
      <c r="F3113" t="str">
        <f>IF(INPUT!N3108="","",INPUT!N3108)</f>
        <v/>
      </c>
      <c r="G3113" cm="1">
        <f t="array" ref="G3113">IFERROR(VLOOKUP(INPUT!M3108&amp;INPUT!N3108,CHOOSE({1,2},INPUT!$A$3:$A$5000&amp;INPUT!$C$3:$C$5000,INPUT!$F$3:$F$5000),2,FALSE),"")</f>
        <v>0</v>
      </c>
      <c r="H3113" cm="1">
        <f t="array" ref="H3113">IFERROR(VLOOKUP(INPUT!M3108&amp;INPUT!N3108,CHOOSE({1,2},INPUT!$A$3:$A$5000&amp;INPUT!$C$3:$C$5000,INPUT!$D$3:$D$5000),2,FALSE),"")</f>
        <v>0</v>
      </c>
      <c r="I3113" s="46" t="str">
        <f>IF(INPUT!P3108="","",INPUT!P3108)</f>
        <v/>
      </c>
      <c r="J3113" s="46" t="str">
        <f>IF(INPUT!Q3108="","",INPUT!Q3108)</f>
        <v/>
      </c>
      <c r="K3113" s="46" t="str">
        <f>IFERROR(IF(OR(INPUT!P3108="",INPUT!Q3108=""),"",INPUT!P3108-INPUT!Q3108),"")</f>
        <v/>
      </c>
      <c r="L3113" s="48" t="str">
        <f>IFERROR(IF(OR(INPUT!P3108="",INPUT!Q3108="",INPUT!P3108=0),"",(INPUT!P3108-INPUT!Q3108)/INPUT!P3108),"")</f>
        <v/>
      </c>
    </row>
    <row r="3114" spans="1:12" ht="18" hidden="1" customHeight="1" x14ac:dyDescent="0.2">
      <c r="A3114" s="11" t="str">
        <f>IF(INPUT!M3109="","",INPUT!M3109)</f>
        <v/>
      </c>
      <c r="B3114" s="11" t="str">
        <f>IF(INPUT!M3109="","",INPUT!M3109-WEEKDAY(INPUT!M3109,2)+1)</f>
        <v/>
      </c>
      <c r="C3114" s="20">
        <f>IFERROR(_xlfn.ISOWEEKNUM(INPUT!M3109),"")</f>
        <v>52</v>
      </c>
      <c r="D3114" s="20">
        <f>IFERROR(YEAR(INPUT!M3109),"")</f>
        <v>1900</v>
      </c>
      <c r="E3114" t="str">
        <f>IF(INPUT!O3109="","",INPUT!O3109)</f>
        <v/>
      </c>
      <c r="F3114" t="str">
        <f>IF(INPUT!N3109="","",INPUT!N3109)</f>
        <v/>
      </c>
      <c r="G3114" cm="1">
        <f t="array" ref="G3114">IFERROR(VLOOKUP(INPUT!M3109&amp;INPUT!N3109,CHOOSE({1,2},INPUT!$A$3:$A$5000&amp;INPUT!$C$3:$C$5000,INPUT!$F$3:$F$5000),2,FALSE),"")</f>
        <v>0</v>
      </c>
      <c r="H3114" cm="1">
        <f t="array" ref="H3114">IFERROR(VLOOKUP(INPUT!M3109&amp;INPUT!N3109,CHOOSE({1,2},INPUT!$A$3:$A$5000&amp;INPUT!$C$3:$C$5000,INPUT!$D$3:$D$5000),2,FALSE),"")</f>
        <v>0</v>
      </c>
      <c r="I3114" s="46" t="str">
        <f>IF(INPUT!P3109="","",INPUT!P3109)</f>
        <v/>
      </c>
      <c r="J3114" s="46" t="str">
        <f>IF(INPUT!Q3109="","",INPUT!Q3109)</f>
        <v/>
      </c>
      <c r="K3114" s="46" t="str">
        <f>IFERROR(IF(OR(INPUT!P3109="",INPUT!Q3109=""),"",INPUT!P3109-INPUT!Q3109),"")</f>
        <v/>
      </c>
      <c r="L3114" s="48" t="str">
        <f>IFERROR(IF(OR(INPUT!P3109="",INPUT!Q3109="",INPUT!P3109=0),"",(INPUT!P3109-INPUT!Q3109)/INPUT!P3109),"")</f>
        <v/>
      </c>
    </row>
    <row r="3115" spans="1:12" ht="18" hidden="1" customHeight="1" x14ac:dyDescent="0.2">
      <c r="A3115" s="11" t="str">
        <f>IF(INPUT!M3110="","",INPUT!M3110)</f>
        <v/>
      </c>
      <c r="B3115" s="11" t="str">
        <f>IF(INPUT!M3110="","",INPUT!M3110-WEEKDAY(INPUT!M3110,2)+1)</f>
        <v/>
      </c>
      <c r="C3115" s="20">
        <f>IFERROR(_xlfn.ISOWEEKNUM(INPUT!M3110),"")</f>
        <v>52</v>
      </c>
      <c r="D3115" s="20">
        <f>IFERROR(YEAR(INPUT!M3110),"")</f>
        <v>1900</v>
      </c>
      <c r="E3115" t="str">
        <f>IF(INPUT!O3110="","",INPUT!O3110)</f>
        <v/>
      </c>
      <c r="F3115" t="str">
        <f>IF(INPUT!N3110="","",INPUT!N3110)</f>
        <v/>
      </c>
      <c r="G3115" cm="1">
        <f t="array" ref="G3115">IFERROR(VLOOKUP(INPUT!M3110&amp;INPUT!N3110,CHOOSE({1,2},INPUT!$A$3:$A$5000&amp;INPUT!$C$3:$C$5000,INPUT!$F$3:$F$5000),2,FALSE),"")</f>
        <v>0</v>
      </c>
      <c r="H3115" cm="1">
        <f t="array" ref="H3115">IFERROR(VLOOKUP(INPUT!M3110&amp;INPUT!N3110,CHOOSE({1,2},INPUT!$A$3:$A$5000&amp;INPUT!$C$3:$C$5000,INPUT!$D$3:$D$5000),2,FALSE),"")</f>
        <v>0</v>
      </c>
      <c r="I3115" s="46" t="str">
        <f>IF(INPUT!P3110="","",INPUT!P3110)</f>
        <v/>
      </c>
      <c r="J3115" s="46" t="str">
        <f>IF(INPUT!Q3110="","",INPUT!Q3110)</f>
        <v/>
      </c>
      <c r="K3115" s="46" t="str">
        <f>IFERROR(IF(OR(INPUT!P3110="",INPUT!Q3110=""),"",INPUT!P3110-INPUT!Q3110),"")</f>
        <v/>
      </c>
      <c r="L3115" s="48" t="str">
        <f>IFERROR(IF(OR(INPUT!P3110="",INPUT!Q3110="",INPUT!P3110=0),"",(INPUT!P3110-INPUT!Q3110)/INPUT!P3110),"")</f>
        <v/>
      </c>
    </row>
    <row r="3116" spans="1:12" ht="18" hidden="1" customHeight="1" x14ac:dyDescent="0.2">
      <c r="A3116" s="11" t="str">
        <f>IF(INPUT!M3111="","",INPUT!M3111)</f>
        <v/>
      </c>
      <c r="B3116" s="11" t="str">
        <f>IF(INPUT!M3111="","",INPUT!M3111-WEEKDAY(INPUT!M3111,2)+1)</f>
        <v/>
      </c>
      <c r="C3116" s="20">
        <f>IFERROR(_xlfn.ISOWEEKNUM(INPUT!M3111),"")</f>
        <v>52</v>
      </c>
      <c r="D3116" s="20">
        <f>IFERROR(YEAR(INPUT!M3111),"")</f>
        <v>1900</v>
      </c>
      <c r="E3116" t="str">
        <f>IF(INPUT!O3111="","",INPUT!O3111)</f>
        <v/>
      </c>
      <c r="F3116" t="str">
        <f>IF(INPUT!N3111="","",INPUT!N3111)</f>
        <v/>
      </c>
      <c r="G3116" cm="1">
        <f t="array" ref="G3116">IFERROR(VLOOKUP(INPUT!M3111&amp;INPUT!N3111,CHOOSE({1,2},INPUT!$A$3:$A$5000&amp;INPUT!$C$3:$C$5000,INPUT!$F$3:$F$5000),2,FALSE),"")</f>
        <v>0</v>
      </c>
      <c r="H3116" cm="1">
        <f t="array" ref="H3116">IFERROR(VLOOKUP(INPUT!M3111&amp;INPUT!N3111,CHOOSE({1,2},INPUT!$A$3:$A$5000&amp;INPUT!$C$3:$C$5000,INPUT!$D$3:$D$5000),2,FALSE),"")</f>
        <v>0</v>
      </c>
      <c r="I3116" s="46" t="str">
        <f>IF(INPUT!P3111="","",INPUT!P3111)</f>
        <v/>
      </c>
      <c r="J3116" s="46" t="str">
        <f>IF(INPUT!Q3111="","",INPUT!Q3111)</f>
        <v/>
      </c>
      <c r="K3116" s="46" t="str">
        <f>IFERROR(IF(OR(INPUT!P3111="",INPUT!Q3111=""),"",INPUT!P3111-INPUT!Q3111),"")</f>
        <v/>
      </c>
      <c r="L3116" s="48" t="str">
        <f>IFERROR(IF(OR(INPUT!P3111="",INPUT!Q3111="",INPUT!P3111=0),"",(INPUT!P3111-INPUT!Q3111)/INPUT!P3111),"")</f>
        <v/>
      </c>
    </row>
    <row r="3117" spans="1:12" ht="18" hidden="1" customHeight="1" x14ac:dyDescent="0.2">
      <c r="A3117" s="11" t="str">
        <f>IF(INPUT!M3112="","",INPUT!M3112)</f>
        <v/>
      </c>
      <c r="B3117" s="11" t="str">
        <f>IF(INPUT!M3112="","",INPUT!M3112-WEEKDAY(INPUT!M3112,2)+1)</f>
        <v/>
      </c>
      <c r="C3117" s="20">
        <f>IFERROR(_xlfn.ISOWEEKNUM(INPUT!M3112),"")</f>
        <v>52</v>
      </c>
      <c r="D3117" s="20">
        <f>IFERROR(YEAR(INPUT!M3112),"")</f>
        <v>1900</v>
      </c>
      <c r="E3117" t="str">
        <f>IF(INPUT!O3112="","",INPUT!O3112)</f>
        <v/>
      </c>
      <c r="F3117" t="str">
        <f>IF(INPUT!N3112="","",INPUT!N3112)</f>
        <v/>
      </c>
      <c r="G3117" cm="1">
        <f t="array" ref="G3117">IFERROR(VLOOKUP(INPUT!M3112&amp;INPUT!N3112,CHOOSE({1,2},INPUT!$A$3:$A$5000&amp;INPUT!$C$3:$C$5000,INPUT!$F$3:$F$5000),2,FALSE),"")</f>
        <v>0</v>
      </c>
      <c r="H3117" cm="1">
        <f t="array" ref="H3117">IFERROR(VLOOKUP(INPUT!M3112&amp;INPUT!N3112,CHOOSE({1,2},INPUT!$A$3:$A$5000&amp;INPUT!$C$3:$C$5000,INPUT!$D$3:$D$5000),2,FALSE),"")</f>
        <v>0</v>
      </c>
      <c r="I3117" s="46" t="str">
        <f>IF(INPUT!P3112="","",INPUT!P3112)</f>
        <v/>
      </c>
      <c r="J3117" s="46" t="str">
        <f>IF(INPUT!Q3112="","",INPUT!Q3112)</f>
        <v/>
      </c>
      <c r="K3117" s="46" t="str">
        <f>IFERROR(IF(OR(INPUT!P3112="",INPUT!Q3112=""),"",INPUT!P3112-INPUT!Q3112),"")</f>
        <v/>
      </c>
      <c r="L3117" s="48" t="str">
        <f>IFERROR(IF(OR(INPUT!P3112="",INPUT!Q3112="",INPUT!P3112=0),"",(INPUT!P3112-INPUT!Q3112)/INPUT!P3112),"")</f>
        <v/>
      </c>
    </row>
    <row r="3118" spans="1:12" ht="18" hidden="1" customHeight="1" x14ac:dyDescent="0.2">
      <c r="A3118" s="11" t="str">
        <f>IF(INPUT!M3113="","",INPUT!M3113)</f>
        <v/>
      </c>
      <c r="B3118" s="11" t="str">
        <f>IF(INPUT!M3113="","",INPUT!M3113-WEEKDAY(INPUT!M3113,2)+1)</f>
        <v/>
      </c>
      <c r="C3118" s="20">
        <f>IFERROR(_xlfn.ISOWEEKNUM(INPUT!M3113),"")</f>
        <v>52</v>
      </c>
      <c r="D3118" s="20">
        <f>IFERROR(YEAR(INPUT!M3113),"")</f>
        <v>1900</v>
      </c>
      <c r="E3118" t="str">
        <f>IF(INPUT!O3113="","",INPUT!O3113)</f>
        <v/>
      </c>
      <c r="F3118" t="str">
        <f>IF(INPUT!N3113="","",INPUT!N3113)</f>
        <v/>
      </c>
      <c r="G3118" cm="1">
        <f t="array" ref="G3118">IFERROR(VLOOKUP(INPUT!M3113&amp;INPUT!N3113,CHOOSE({1,2},INPUT!$A$3:$A$5000&amp;INPUT!$C$3:$C$5000,INPUT!$F$3:$F$5000),2,FALSE),"")</f>
        <v>0</v>
      </c>
      <c r="H3118" cm="1">
        <f t="array" ref="H3118">IFERROR(VLOOKUP(INPUT!M3113&amp;INPUT!N3113,CHOOSE({1,2},INPUT!$A$3:$A$5000&amp;INPUT!$C$3:$C$5000,INPUT!$D$3:$D$5000),2,FALSE),"")</f>
        <v>0</v>
      </c>
      <c r="I3118" s="46" t="str">
        <f>IF(INPUT!P3113="","",INPUT!P3113)</f>
        <v/>
      </c>
      <c r="J3118" s="46" t="str">
        <f>IF(INPUT!Q3113="","",INPUT!Q3113)</f>
        <v/>
      </c>
      <c r="K3118" s="46" t="str">
        <f>IFERROR(IF(OR(INPUT!P3113="",INPUT!Q3113=""),"",INPUT!P3113-INPUT!Q3113),"")</f>
        <v/>
      </c>
      <c r="L3118" s="48" t="str">
        <f>IFERROR(IF(OR(INPUT!P3113="",INPUT!Q3113="",INPUT!P3113=0),"",(INPUT!P3113-INPUT!Q3113)/INPUT!P3113),"")</f>
        <v/>
      </c>
    </row>
    <row r="3119" spans="1:12" ht="18" hidden="1" customHeight="1" x14ac:dyDescent="0.2">
      <c r="A3119" s="11" t="str">
        <f>IF(INPUT!M3114="","",INPUT!M3114)</f>
        <v/>
      </c>
      <c r="B3119" s="11" t="str">
        <f>IF(INPUT!M3114="","",INPUT!M3114-WEEKDAY(INPUT!M3114,2)+1)</f>
        <v/>
      </c>
      <c r="C3119" s="20">
        <f>IFERROR(_xlfn.ISOWEEKNUM(INPUT!M3114),"")</f>
        <v>52</v>
      </c>
      <c r="D3119" s="20">
        <f>IFERROR(YEAR(INPUT!M3114),"")</f>
        <v>1900</v>
      </c>
      <c r="E3119" t="str">
        <f>IF(INPUT!O3114="","",INPUT!O3114)</f>
        <v/>
      </c>
      <c r="F3119" t="str">
        <f>IF(INPUT!N3114="","",INPUT!N3114)</f>
        <v/>
      </c>
      <c r="G3119" cm="1">
        <f t="array" ref="G3119">IFERROR(VLOOKUP(INPUT!M3114&amp;INPUT!N3114,CHOOSE({1,2},INPUT!$A$3:$A$5000&amp;INPUT!$C$3:$C$5000,INPUT!$F$3:$F$5000),2,FALSE),"")</f>
        <v>0</v>
      </c>
      <c r="H3119" cm="1">
        <f t="array" ref="H3119">IFERROR(VLOOKUP(INPUT!M3114&amp;INPUT!N3114,CHOOSE({1,2},INPUT!$A$3:$A$5000&amp;INPUT!$C$3:$C$5000,INPUT!$D$3:$D$5000),2,FALSE),"")</f>
        <v>0</v>
      </c>
      <c r="I3119" s="46" t="str">
        <f>IF(INPUT!P3114="","",INPUT!P3114)</f>
        <v/>
      </c>
      <c r="J3119" s="46" t="str">
        <f>IF(INPUT!Q3114="","",INPUT!Q3114)</f>
        <v/>
      </c>
      <c r="K3119" s="46" t="str">
        <f>IFERROR(IF(OR(INPUT!P3114="",INPUT!Q3114=""),"",INPUT!P3114-INPUT!Q3114),"")</f>
        <v/>
      </c>
      <c r="L3119" s="48" t="str">
        <f>IFERROR(IF(OR(INPUT!P3114="",INPUT!Q3114="",INPUT!P3114=0),"",(INPUT!P3114-INPUT!Q3114)/INPUT!P3114),"")</f>
        <v/>
      </c>
    </row>
    <row r="3120" spans="1:12" ht="18" hidden="1" customHeight="1" x14ac:dyDescent="0.2">
      <c r="A3120" s="11" t="str">
        <f>IF(INPUT!M3115="","",INPUT!M3115)</f>
        <v/>
      </c>
      <c r="B3120" s="11" t="str">
        <f>IF(INPUT!M3115="","",INPUT!M3115-WEEKDAY(INPUT!M3115,2)+1)</f>
        <v/>
      </c>
      <c r="C3120" s="20">
        <f>IFERROR(_xlfn.ISOWEEKNUM(INPUT!M3115),"")</f>
        <v>52</v>
      </c>
      <c r="D3120" s="20">
        <f>IFERROR(YEAR(INPUT!M3115),"")</f>
        <v>1900</v>
      </c>
      <c r="E3120" t="str">
        <f>IF(INPUT!O3115="","",INPUT!O3115)</f>
        <v/>
      </c>
      <c r="F3120" t="str">
        <f>IF(INPUT!N3115="","",INPUT!N3115)</f>
        <v/>
      </c>
      <c r="G3120" cm="1">
        <f t="array" ref="G3120">IFERROR(VLOOKUP(INPUT!M3115&amp;INPUT!N3115,CHOOSE({1,2},INPUT!$A$3:$A$5000&amp;INPUT!$C$3:$C$5000,INPUT!$F$3:$F$5000),2,FALSE),"")</f>
        <v>0</v>
      </c>
      <c r="H3120" cm="1">
        <f t="array" ref="H3120">IFERROR(VLOOKUP(INPUT!M3115&amp;INPUT!N3115,CHOOSE({1,2},INPUT!$A$3:$A$5000&amp;INPUT!$C$3:$C$5000,INPUT!$D$3:$D$5000),2,FALSE),"")</f>
        <v>0</v>
      </c>
      <c r="I3120" s="46" t="str">
        <f>IF(INPUT!P3115="","",INPUT!P3115)</f>
        <v/>
      </c>
      <c r="J3120" s="46" t="str">
        <f>IF(INPUT!Q3115="","",INPUT!Q3115)</f>
        <v/>
      </c>
      <c r="K3120" s="46" t="str">
        <f>IFERROR(IF(OR(INPUT!P3115="",INPUT!Q3115=""),"",INPUT!P3115-INPUT!Q3115),"")</f>
        <v/>
      </c>
      <c r="L3120" s="48" t="str">
        <f>IFERROR(IF(OR(INPUT!P3115="",INPUT!Q3115="",INPUT!P3115=0),"",(INPUT!P3115-INPUT!Q3115)/INPUT!P3115),"")</f>
        <v/>
      </c>
    </row>
    <row r="3121" spans="1:12" ht="18" hidden="1" customHeight="1" x14ac:dyDescent="0.2">
      <c r="A3121" s="11" t="str">
        <f>IF(INPUT!M3116="","",INPUT!M3116)</f>
        <v/>
      </c>
      <c r="B3121" s="11" t="str">
        <f>IF(INPUT!M3116="","",INPUT!M3116-WEEKDAY(INPUT!M3116,2)+1)</f>
        <v/>
      </c>
      <c r="C3121" s="20">
        <f>IFERROR(_xlfn.ISOWEEKNUM(INPUT!M3116),"")</f>
        <v>52</v>
      </c>
      <c r="D3121" s="20">
        <f>IFERROR(YEAR(INPUT!M3116),"")</f>
        <v>1900</v>
      </c>
      <c r="E3121" t="str">
        <f>IF(INPUT!O3116="","",INPUT!O3116)</f>
        <v/>
      </c>
      <c r="F3121" t="str">
        <f>IF(INPUT!N3116="","",INPUT!N3116)</f>
        <v/>
      </c>
      <c r="G3121" cm="1">
        <f t="array" ref="G3121">IFERROR(VLOOKUP(INPUT!M3116&amp;INPUT!N3116,CHOOSE({1,2},INPUT!$A$3:$A$5000&amp;INPUT!$C$3:$C$5000,INPUT!$F$3:$F$5000),2,FALSE),"")</f>
        <v>0</v>
      </c>
      <c r="H3121" cm="1">
        <f t="array" ref="H3121">IFERROR(VLOOKUP(INPUT!M3116&amp;INPUT!N3116,CHOOSE({1,2},INPUT!$A$3:$A$5000&amp;INPUT!$C$3:$C$5000,INPUT!$D$3:$D$5000),2,FALSE),"")</f>
        <v>0</v>
      </c>
      <c r="I3121" s="46" t="str">
        <f>IF(INPUT!P3116="","",INPUT!P3116)</f>
        <v/>
      </c>
      <c r="J3121" s="46" t="str">
        <f>IF(INPUT!Q3116="","",INPUT!Q3116)</f>
        <v/>
      </c>
      <c r="K3121" s="46" t="str">
        <f>IFERROR(IF(OR(INPUT!P3116="",INPUT!Q3116=""),"",INPUT!P3116-INPUT!Q3116),"")</f>
        <v/>
      </c>
      <c r="L3121" s="48" t="str">
        <f>IFERROR(IF(OR(INPUT!P3116="",INPUT!Q3116="",INPUT!P3116=0),"",(INPUT!P3116-INPUT!Q3116)/INPUT!P3116),"")</f>
        <v/>
      </c>
    </row>
    <row r="3122" spans="1:12" ht="18" hidden="1" customHeight="1" x14ac:dyDescent="0.2">
      <c r="A3122" s="11" t="str">
        <f>IF(INPUT!M3117="","",INPUT!M3117)</f>
        <v/>
      </c>
      <c r="B3122" s="11" t="str">
        <f>IF(INPUT!M3117="","",INPUT!M3117-WEEKDAY(INPUT!M3117,2)+1)</f>
        <v/>
      </c>
      <c r="C3122" s="20">
        <f>IFERROR(_xlfn.ISOWEEKNUM(INPUT!M3117),"")</f>
        <v>52</v>
      </c>
      <c r="D3122" s="20">
        <f>IFERROR(YEAR(INPUT!M3117),"")</f>
        <v>1900</v>
      </c>
      <c r="E3122" t="str">
        <f>IF(INPUT!O3117="","",INPUT!O3117)</f>
        <v/>
      </c>
      <c r="F3122" t="str">
        <f>IF(INPUT!N3117="","",INPUT!N3117)</f>
        <v/>
      </c>
      <c r="G3122" cm="1">
        <f t="array" ref="G3122">IFERROR(VLOOKUP(INPUT!M3117&amp;INPUT!N3117,CHOOSE({1,2},INPUT!$A$3:$A$5000&amp;INPUT!$C$3:$C$5000,INPUT!$F$3:$F$5000),2,FALSE),"")</f>
        <v>0</v>
      </c>
      <c r="H3122" cm="1">
        <f t="array" ref="H3122">IFERROR(VLOOKUP(INPUT!M3117&amp;INPUT!N3117,CHOOSE({1,2},INPUT!$A$3:$A$5000&amp;INPUT!$C$3:$C$5000,INPUT!$D$3:$D$5000),2,FALSE),"")</f>
        <v>0</v>
      </c>
      <c r="I3122" s="46" t="str">
        <f>IF(INPUT!P3117="","",INPUT!P3117)</f>
        <v/>
      </c>
      <c r="J3122" s="46" t="str">
        <f>IF(INPUT!Q3117="","",INPUT!Q3117)</f>
        <v/>
      </c>
      <c r="K3122" s="46" t="str">
        <f>IFERROR(IF(OR(INPUT!P3117="",INPUT!Q3117=""),"",INPUT!P3117-INPUT!Q3117),"")</f>
        <v/>
      </c>
      <c r="L3122" s="48" t="str">
        <f>IFERROR(IF(OR(INPUT!P3117="",INPUT!Q3117="",INPUT!P3117=0),"",(INPUT!P3117-INPUT!Q3117)/INPUT!P3117),"")</f>
        <v/>
      </c>
    </row>
    <row r="3123" spans="1:12" ht="18" hidden="1" customHeight="1" x14ac:dyDescent="0.2">
      <c r="A3123" s="11" t="str">
        <f>IF(INPUT!M3118="","",INPUT!M3118)</f>
        <v/>
      </c>
      <c r="B3123" s="11" t="str">
        <f>IF(INPUT!M3118="","",INPUT!M3118-WEEKDAY(INPUT!M3118,2)+1)</f>
        <v/>
      </c>
      <c r="C3123" s="20">
        <f>IFERROR(_xlfn.ISOWEEKNUM(INPUT!M3118),"")</f>
        <v>52</v>
      </c>
      <c r="D3123" s="20">
        <f>IFERROR(YEAR(INPUT!M3118),"")</f>
        <v>1900</v>
      </c>
      <c r="E3123" t="str">
        <f>IF(INPUT!O3118="","",INPUT!O3118)</f>
        <v/>
      </c>
      <c r="F3123" t="str">
        <f>IF(INPUT!N3118="","",INPUT!N3118)</f>
        <v/>
      </c>
      <c r="G3123" cm="1">
        <f t="array" ref="G3123">IFERROR(VLOOKUP(INPUT!M3118&amp;INPUT!N3118,CHOOSE({1,2},INPUT!$A$3:$A$5000&amp;INPUT!$C$3:$C$5000,INPUT!$F$3:$F$5000),2,FALSE),"")</f>
        <v>0</v>
      </c>
      <c r="H3123" cm="1">
        <f t="array" ref="H3123">IFERROR(VLOOKUP(INPUT!M3118&amp;INPUT!N3118,CHOOSE({1,2},INPUT!$A$3:$A$5000&amp;INPUT!$C$3:$C$5000,INPUT!$D$3:$D$5000),2,FALSE),"")</f>
        <v>0</v>
      </c>
      <c r="I3123" s="46" t="str">
        <f>IF(INPUT!P3118="","",INPUT!P3118)</f>
        <v/>
      </c>
      <c r="J3123" s="46" t="str">
        <f>IF(INPUT!Q3118="","",INPUT!Q3118)</f>
        <v/>
      </c>
      <c r="K3123" s="46" t="str">
        <f>IFERROR(IF(OR(INPUT!P3118="",INPUT!Q3118=""),"",INPUT!P3118-INPUT!Q3118),"")</f>
        <v/>
      </c>
      <c r="L3123" s="48" t="str">
        <f>IFERROR(IF(OR(INPUT!P3118="",INPUT!Q3118="",INPUT!P3118=0),"",(INPUT!P3118-INPUT!Q3118)/INPUT!P3118),"")</f>
        <v/>
      </c>
    </row>
    <row r="3124" spans="1:12" ht="18" hidden="1" customHeight="1" x14ac:dyDescent="0.2">
      <c r="A3124" s="11" t="str">
        <f>IF(INPUT!M3119="","",INPUT!M3119)</f>
        <v/>
      </c>
      <c r="B3124" s="11" t="str">
        <f>IF(INPUT!M3119="","",INPUT!M3119-WEEKDAY(INPUT!M3119,2)+1)</f>
        <v/>
      </c>
      <c r="C3124" s="20">
        <f>IFERROR(_xlfn.ISOWEEKNUM(INPUT!M3119),"")</f>
        <v>52</v>
      </c>
      <c r="D3124" s="20">
        <f>IFERROR(YEAR(INPUT!M3119),"")</f>
        <v>1900</v>
      </c>
      <c r="E3124" t="str">
        <f>IF(INPUT!O3119="","",INPUT!O3119)</f>
        <v/>
      </c>
      <c r="F3124" t="str">
        <f>IF(INPUT!N3119="","",INPUT!N3119)</f>
        <v/>
      </c>
      <c r="G3124" cm="1">
        <f t="array" ref="G3124">IFERROR(VLOOKUP(INPUT!M3119&amp;INPUT!N3119,CHOOSE({1,2},INPUT!$A$3:$A$5000&amp;INPUT!$C$3:$C$5000,INPUT!$F$3:$F$5000),2,FALSE),"")</f>
        <v>0</v>
      </c>
      <c r="H3124" cm="1">
        <f t="array" ref="H3124">IFERROR(VLOOKUP(INPUT!M3119&amp;INPUT!N3119,CHOOSE({1,2},INPUT!$A$3:$A$5000&amp;INPUT!$C$3:$C$5000,INPUT!$D$3:$D$5000),2,FALSE),"")</f>
        <v>0</v>
      </c>
      <c r="I3124" s="46" t="str">
        <f>IF(INPUT!P3119="","",INPUT!P3119)</f>
        <v/>
      </c>
      <c r="J3124" s="46" t="str">
        <f>IF(INPUT!Q3119="","",INPUT!Q3119)</f>
        <v/>
      </c>
      <c r="K3124" s="46" t="str">
        <f>IFERROR(IF(OR(INPUT!P3119="",INPUT!Q3119=""),"",INPUT!P3119-INPUT!Q3119),"")</f>
        <v/>
      </c>
      <c r="L3124" s="48" t="str">
        <f>IFERROR(IF(OR(INPUT!P3119="",INPUT!Q3119="",INPUT!P3119=0),"",(INPUT!P3119-INPUT!Q3119)/INPUT!P3119),"")</f>
        <v/>
      </c>
    </row>
    <row r="3125" spans="1:12" ht="18" hidden="1" customHeight="1" x14ac:dyDescent="0.2">
      <c r="A3125" s="11" t="str">
        <f>IF(INPUT!M3120="","",INPUT!M3120)</f>
        <v/>
      </c>
      <c r="B3125" s="11" t="str">
        <f>IF(INPUT!M3120="","",INPUT!M3120-WEEKDAY(INPUT!M3120,2)+1)</f>
        <v/>
      </c>
      <c r="C3125" s="20">
        <f>IFERROR(_xlfn.ISOWEEKNUM(INPUT!M3120),"")</f>
        <v>52</v>
      </c>
      <c r="D3125" s="20">
        <f>IFERROR(YEAR(INPUT!M3120),"")</f>
        <v>1900</v>
      </c>
      <c r="E3125" t="str">
        <f>IF(INPUT!O3120="","",INPUT!O3120)</f>
        <v/>
      </c>
      <c r="F3125" t="str">
        <f>IF(INPUT!N3120="","",INPUT!N3120)</f>
        <v/>
      </c>
      <c r="G3125" cm="1">
        <f t="array" ref="G3125">IFERROR(VLOOKUP(INPUT!M3120&amp;INPUT!N3120,CHOOSE({1,2},INPUT!$A$3:$A$5000&amp;INPUT!$C$3:$C$5000,INPUT!$F$3:$F$5000),2,FALSE),"")</f>
        <v>0</v>
      </c>
      <c r="H3125" cm="1">
        <f t="array" ref="H3125">IFERROR(VLOOKUP(INPUT!M3120&amp;INPUT!N3120,CHOOSE({1,2},INPUT!$A$3:$A$5000&amp;INPUT!$C$3:$C$5000,INPUT!$D$3:$D$5000),2,FALSE),"")</f>
        <v>0</v>
      </c>
      <c r="I3125" s="46" t="str">
        <f>IF(INPUT!P3120="","",INPUT!P3120)</f>
        <v/>
      </c>
      <c r="J3125" s="46" t="str">
        <f>IF(INPUT!Q3120="","",INPUT!Q3120)</f>
        <v/>
      </c>
      <c r="K3125" s="46" t="str">
        <f>IFERROR(IF(OR(INPUT!P3120="",INPUT!Q3120=""),"",INPUT!P3120-INPUT!Q3120),"")</f>
        <v/>
      </c>
      <c r="L3125" s="48" t="str">
        <f>IFERROR(IF(OR(INPUT!P3120="",INPUT!Q3120="",INPUT!P3120=0),"",(INPUT!P3120-INPUT!Q3120)/INPUT!P3120),"")</f>
        <v/>
      </c>
    </row>
    <row r="3126" spans="1:12" ht="18" hidden="1" customHeight="1" x14ac:dyDescent="0.2">
      <c r="A3126" s="11" t="str">
        <f>IF(INPUT!M3121="","",INPUT!M3121)</f>
        <v/>
      </c>
      <c r="B3126" s="11" t="str">
        <f>IF(INPUT!M3121="","",INPUT!M3121-WEEKDAY(INPUT!M3121,2)+1)</f>
        <v/>
      </c>
      <c r="C3126" s="20">
        <f>IFERROR(_xlfn.ISOWEEKNUM(INPUT!M3121),"")</f>
        <v>52</v>
      </c>
      <c r="D3126" s="20">
        <f>IFERROR(YEAR(INPUT!M3121),"")</f>
        <v>1900</v>
      </c>
      <c r="E3126" t="str">
        <f>IF(INPUT!O3121="","",INPUT!O3121)</f>
        <v/>
      </c>
      <c r="F3126" t="str">
        <f>IF(INPUT!N3121="","",INPUT!N3121)</f>
        <v/>
      </c>
      <c r="G3126" cm="1">
        <f t="array" ref="G3126">IFERROR(VLOOKUP(INPUT!M3121&amp;INPUT!N3121,CHOOSE({1,2},INPUT!$A$3:$A$5000&amp;INPUT!$C$3:$C$5000,INPUT!$F$3:$F$5000),2,FALSE),"")</f>
        <v>0</v>
      </c>
      <c r="H3126" cm="1">
        <f t="array" ref="H3126">IFERROR(VLOOKUP(INPUT!M3121&amp;INPUT!N3121,CHOOSE({1,2},INPUT!$A$3:$A$5000&amp;INPUT!$C$3:$C$5000,INPUT!$D$3:$D$5000),2,FALSE),"")</f>
        <v>0</v>
      </c>
      <c r="I3126" s="46" t="str">
        <f>IF(INPUT!P3121="","",INPUT!P3121)</f>
        <v/>
      </c>
      <c r="J3126" s="46" t="str">
        <f>IF(INPUT!Q3121="","",INPUT!Q3121)</f>
        <v/>
      </c>
      <c r="K3126" s="46" t="str">
        <f>IFERROR(IF(OR(INPUT!P3121="",INPUT!Q3121=""),"",INPUT!P3121-INPUT!Q3121),"")</f>
        <v/>
      </c>
      <c r="L3126" s="48" t="str">
        <f>IFERROR(IF(OR(INPUT!P3121="",INPUT!Q3121="",INPUT!P3121=0),"",(INPUT!P3121-INPUT!Q3121)/INPUT!P3121),"")</f>
        <v/>
      </c>
    </row>
    <row r="3127" spans="1:12" ht="18" hidden="1" customHeight="1" x14ac:dyDescent="0.2">
      <c r="A3127" s="11" t="str">
        <f>IF(INPUT!M3122="","",INPUT!M3122)</f>
        <v/>
      </c>
      <c r="B3127" s="11" t="str">
        <f>IF(INPUT!M3122="","",INPUT!M3122-WEEKDAY(INPUT!M3122,2)+1)</f>
        <v/>
      </c>
      <c r="C3127" s="20">
        <f>IFERROR(_xlfn.ISOWEEKNUM(INPUT!M3122),"")</f>
        <v>52</v>
      </c>
      <c r="D3127" s="20">
        <f>IFERROR(YEAR(INPUT!M3122),"")</f>
        <v>1900</v>
      </c>
      <c r="E3127" t="str">
        <f>IF(INPUT!O3122="","",INPUT!O3122)</f>
        <v/>
      </c>
      <c r="F3127" t="str">
        <f>IF(INPUT!N3122="","",INPUT!N3122)</f>
        <v/>
      </c>
      <c r="G3127" cm="1">
        <f t="array" ref="G3127">IFERROR(VLOOKUP(INPUT!M3122&amp;INPUT!N3122,CHOOSE({1,2},INPUT!$A$3:$A$5000&amp;INPUT!$C$3:$C$5000,INPUT!$F$3:$F$5000),2,FALSE),"")</f>
        <v>0</v>
      </c>
      <c r="H3127" cm="1">
        <f t="array" ref="H3127">IFERROR(VLOOKUP(INPUT!M3122&amp;INPUT!N3122,CHOOSE({1,2},INPUT!$A$3:$A$5000&amp;INPUT!$C$3:$C$5000,INPUT!$D$3:$D$5000),2,FALSE),"")</f>
        <v>0</v>
      </c>
      <c r="I3127" s="46" t="str">
        <f>IF(INPUT!P3122="","",INPUT!P3122)</f>
        <v/>
      </c>
      <c r="J3127" s="46" t="str">
        <f>IF(INPUT!Q3122="","",INPUT!Q3122)</f>
        <v/>
      </c>
      <c r="K3127" s="46" t="str">
        <f>IFERROR(IF(OR(INPUT!P3122="",INPUT!Q3122=""),"",INPUT!P3122-INPUT!Q3122),"")</f>
        <v/>
      </c>
      <c r="L3127" s="48" t="str">
        <f>IFERROR(IF(OR(INPUT!P3122="",INPUT!Q3122="",INPUT!P3122=0),"",(INPUT!P3122-INPUT!Q3122)/INPUT!P3122),"")</f>
        <v/>
      </c>
    </row>
    <row r="3128" spans="1:12" ht="18" hidden="1" customHeight="1" x14ac:dyDescent="0.2">
      <c r="A3128" s="11" t="str">
        <f>IF(INPUT!M3123="","",INPUT!M3123)</f>
        <v/>
      </c>
      <c r="B3128" s="11" t="str">
        <f>IF(INPUT!M3123="","",INPUT!M3123-WEEKDAY(INPUT!M3123,2)+1)</f>
        <v/>
      </c>
      <c r="C3128" s="20">
        <f>IFERROR(_xlfn.ISOWEEKNUM(INPUT!M3123),"")</f>
        <v>52</v>
      </c>
      <c r="D3128" s="20">
        <f>IFERROR(YEAR(INPUT!M3123),"")</f>
        <v>1900</v>
      </c>
      <c r="E3128" t="str">
        <f>IF(INPUT!O3123="","",INPUT!O3123)</f>
        <v/>
      </c>
      <c r="F3128" t="str">
        <f>IF(INPUT!N3123="","",INPUT!N3123)</f>
        <v/>
      </c>
      <c r="G3128" cm="1">
        <f t="array" ref="G3128">IFERROR(VLOOKUP(INPUT!M3123&amp;INPUT!N3123,CHOOSE({1,2},INPUT!$A$3:$A$5000&amp;INPUT!$C$3:$C$5000,INPUT!$F$3:$F$5000),2,FALSE),"")</f>
        <v>0</v>
      </c>
      <c r="H3128" cm="1">
        <f t="array" ref="H3128">IFERROR(VLOOKUP(INPUT!M3123&amp;INPUT!N3123,CHOOSE({1,2},INPUT!$A$3:$A$5000&amp;INPUT!$C$3:$C$5000,INPUT!$D$3:$D$5000),2,FALSE),"")</f>
        <v>0</v>
      </c>
      <c r="I3128" s="46" t="str">
        <f>IF(INPUT!P3123="","",INPUT!P3123)</f>
        <v/>
      </c>
      <c r="J3128" s="46" t="str">
        <f>IF(INPUT!Q3123="","",INPUT!Q3123)</f>
        <v/>
      </c>
      <c r="K3128" s="46" t="str">
        <f>IFERROR(IF(OR(INPUT!P3123="",INPUT!Q3123=""),"",INPUT!P3123-INPUT!Q3123),"")</f>
        <v/>
      </c>
      <c r="L3128" s="48" t="str">
        <f>IFERROR(IF(OR(INPUT!P3123="",INPUT!Q3123="",INPUT!P3123=0),"",(INPUT!P3123-INPUT!Q3123)/INPUT!P3123),"")</f>
        <v/>
      </c>
    </row>
    <row r="3129" spans="1:12" ht="18" hidden="1" customHeight="1" x14ac:dyDescent="0.2">
      <c r="A3129" s="11" t="str">
        <f>IF(INPUT!M3124="","",INPUT!M3124)</f>
        <v/>
      </c>
      <c r="B3129" s="11" t="str">
        <f>IF(INPUT!M3124="","",INPUT!M3124-WEEKDAY(INPUT!M3124,2)+1)</f>
        <v/>
      </c>
      <c r="C3129" s="20">
        <f>IFERROR(_xlfn.ISOWEEKNUM(INPUT!M3124),"")</f>
        <v>52</v>
      </c>
      <c r="D3129" s="20">
        <f>IFERROR(YEAR(INPUT!M3124),"")</f>
        <v>1900</v>
      </c>
      <c r="E3129" t="str">
        <f>IF(INPUT!O3124="","",INPUT!O3124)</f>
        <v/>
      </c>
      <c r="F3129" t="str">
        <f>IF(INPUT!N3124="","",INPUT!N3124)</f>
        <v/>
      </c>
      <c r="G3129" cm="1">
        <f t="array" ref="G3129">IFERROR(VLOOKUP(INPUT!M3124&amp;INPUT!N3124,CHOOSE({1,2},INPUT!$A$3:$A$5000&amp;INPUT!$C$3:$C$5000,INPUT!$F$3:$F$5000),2,FALSE),"")</f>
        <v>0</v>
      </c>
      <c r="H3129" cm="1">
        <f t="array" ref="H3129">IFERROR(VLOOKUP(INPUT!M3124&amp;INPUT!N3124,CHOOSE({1,2},INPUT!$A$3:$A$5000&amp;INPUT!$C$3:$C$5000,INPUT!$D$3:$D$5000),2,FALSE),"")</f>
        <v>0</v>
      </c>
      <c r="I3129" s="46" t="str">
        <f>IF(INPUT!P3124="","",INPUT!P3124)</f>
        <v/>
      </c>
      <c r="J3129" s="46" t="str">
        <f>IF(INPUT!Q3124="","",INPUT!Q3124)</f>
        <v/>
      </c>
      <c r="K3129" s="46" t="str">
        <f>IFERROR(IF(OR(INPUT!P3124="",INPUT!Q3124=""),"",INPUT!P3124-INPUT!Q3124),"")</f>
        <v/>
      </c>
      <c r="L3129" s="48" t="str">
        <f>IFERROR(IF(OR(INPUT!P3124="",INPUT!Q3124="",INPUT!P3124=0),"",(INPUT!P3124-INPUT!Q3124)/INPUT!P3124),"")</f>
        <v/>
      </c>
    </row>
    <row r="3130" spans="1:12" ht="18" hidden="1" customHeight="1" x14ac:dyDescent="0.2">
      <c r="A3130" s="11" t="str">
        <f>IF(INPUT!M3125="","",INPUT!M3125)</f>
        <v/>
      </c>
      <c r="B3130" s="11" t="str">
        <f>IF(INPUT!M3125="","",INPUT!M3125-WEEKDAY(INPUT!M3125,2)+1)</f>
        <v/>
      </c>
      <c r="C3130" s="20">
        <f>IFERROR(_xlfn.ISOWEEKNUM(INPUT!M3125),"")</f>
        <v>52</v>
      </c>
      <c r="D3130" s="20">
        <f>IFERROR(YEAR(INPUT!M3125),"")</f>
        <v>1900</v>
      </c>
      <c r="E3130" t="str">
        <f>IF(INPUT!O3125="","",INPUT!O3125)</f>
        <v/>
      </c>
      <c r="F3130" t="str">
        <f>IF(INPUT!N3125="","",INPUT!N3125)</f>
        <v/>
      </c>
      <c r="G3130" cm="1">
        <f t="array" ref="G3130">IFERROR(VLOOKUP(INPUT!M3125&amp;INPUT!N3125,CHOOSE({1,2},INPUT!$A$3:$A$5000&amp;INPUT!$C$3:$C$5000,INPUT!$F$3:$F$5000),2,FALSE),"")</f>
        <v>0</v>
      </c>
      <c r="H3130" cm="1">
        <f t="array" ref="H3130">IFERROR(VLOOKUP(INPUT!M3125&amp;INPUT!N3125,CHOOSE({1,2},INPUT!$A$3:$A$5000&amp;INPUT!$C$3:$C$5000,INPUT!$D$3:$D$5000),2,FALSE),"")</f>
        <v>0</v>
      </c>
      <c r="I3130" s="46" t="str">
        <f>IF(INPUT!P3125="","",INPUT!P3125)</f>
        <v/>
      </c>
      <c r="J3130" s="46" t="str">
        <f>IF(INPUT!Q3125="","",INPUT!Q3125)</f>
        <v/>
      </c>
      <c r="K3130" s="46" t="str">
        <f>IFERROR(IF(OR(INPUT!P3125="",INPUT!Q3125=""),"",INPUT!P3125-INPUT!Q3125),"")</f>
        <v/>
      </c>
      <c r="L3130" s="48" t="str">
        <f>IFERROR(IF(OR(INPUT!P3125="",INPUT!Q3125="",INPUT!P3125=0),"",(INPUT!P3125-INPUT!Q3125)/INPUT!P3125),"")</f>
        <v/>
      </c>
    </row>
    <row r="3131" spans="1:12" ht="18" hidden="1" customHeight="1" x14ac:dyDescent="0.2">
      <c r="A3131" s="11" t="str">
        <f>IF(INPUT!M3126="","",INPUT!M3126)</f>
        <v/>
      </c>
      <c r="B3131" s="11" t="str">
        <f>IF(INPUT!M3126="","",INPUT!M3126-WEEKDAY(INPUT!M3126,2)+1)</f>
        <v/>
      </c>
      <c r="C3131" s="20">
        <f>IFERROR(_xlfn.ISOWEEKNUM(INPUT!M3126),"")</f>
        <v>52</v>
      </c>
      <c r="D3131" s="20">
        <f>IFERROR(YEAR(INPUT!M3126),"")</f>
        <v>1900</v>
      </c>
      <c r="E3131" t="str">
        <f>IF(INPUT!O3126="","",INPUT!O3126)</f>
        <v/>
      </c>
      <c r="F3131" t="str">
        <f>IF(INPUT!N3126="","",INPUT!N3126)</f>
        <v/>
      </c>
      <c r="G3131" cm="1">
        <f t="array" ref="G3131">IFERROR(VLOOKUP(INPUT!M3126&amp;INPUT!N3126,CHOOSE({1,2},INPUT!$A$3:$A$5000&amp;INPUT!$C$3:$C$5000,INPUT!$F$3:$F$5000),2,FALSE),"")</f>
        <v>0</v>
      </c>
      <c r="H3131" cm="1">
        <f t="array" ref="H3131">IFERROR(VLOOKUP(INPUT!M3126&amp;INPUT!N3126,CHOOSE({1,2},INPUT!$A$3:$A$5000&amp;INPUT!$C$3:$C$5000,INPUT!$D$3:$D$5000),2,FALSE),"")</f>
        <v>0</v>
      </c>
      <c r="I3131" s="46" t="str">
        <f>IF(INPUT!P3126="","",INPUT!P3126)</f>
        <v/>
      </c>
      <c r="J3131" s="46" t="str">
        <f>IF(INPUT!Q3126="","",INPUT!Q3126)</f>
        <v/>
      </c>
      <c r="K3131" s="46" t="str">
        <f>IFERROR(IF(OR(INPUT!P3126="",INPUT!Q3126=""),"",INPUT!P3126-INPUT!Q3126),"")</f>
        <v/>
      </c>
      <c r="L3131" s="48" t="str">
        <f>IFERROR(IF(OR(INPUT!P3126="",INPUT!Q3126="",INPUT!P3126=0),"",(INPUT!P3126-INPUT!Q3126)/INPUT!P3126),"")</f>
        <v/>
      </c>
    </row>
    <row r="3132" spans="1:12" ht="18" hidden="1" customHeight="1" x14ac:dyDescent="0.2">
      <c r="A3132" s="11" t="str">
        <f>IF(INPUT!M3127="","",INPUT!M3127)</f>
        <v/>
      </c>
      <c r="B3132" s="11" t="str">
        <f>IF(INPUT!M3127="","",INPUT!M3127-WEEKDAY(INPUT!M3127,2)+1)</f>
        <v/>
      </c>
      <c r="C3132" s="20">
        <f>IFERROR(_xlfn.ISOWEEKNUM(INPUT!M3127),"")</f>
        <v>52</v>
      </c>
      <c r="D3132" s="20">
        <f>IFERROR(YEAR(INPUT!M3127),"")</f>
        <v>1900</v>
      </c>
      <c r="E3132" t="str">
        <f>IF(INPUT!O3127="","",INPUT!O3127)</f>
        <v/>
      </c>
      <c r="F3132" t="str">
        <f>IF(INPUT!N3127="","",INPUT!N3127)</f>
        <v/>
      </c>
      <c r="G3132" cm="1">
        <f t="array" ref="G3132">IFERROR(VLOOKUP(INPUT!M3127&amp;INPUT!N3127,CHOOSE({1,2},INPUT!$A$3:$A$5000&amp;INPUT!$C$3:$C$5000,INPUT!$F$3:$F$5000),2,FALSE),"")</f>
        <v>0</v>
      </c>
      <c r="H3132" cm="1">
        <f t="array" ref="H3132">IFERROR(VLOOKUP(INPUT!M3127&amp;INPUT!N3127,CHOOSE({1,2},INPUT!$A$3:$A$5000&amp;INPUT!$C$3:$C$5000,INPUT!$D$3:$D$5000),2,FALSE),"")</f>
        <v>0</v>
      </c>
      <c r="I3132" s="46" t="str">
        <f>IF(INPUT!P3127="","",INPUT!P3127)</f>
        <v/>
      </c>
      <c r="J3132" s="46" t="str">
        <f>IF(INPUT!Q3127="","",INPUT!Q3127)</f>
        <v/>
      </c>
      <c r="K3132" s="46" t="str">
        <f>IFERROR(IF(OR(INPUT!P3127="",INPUT!Q3127=""),"",INPUT!P3127-INPUT!Q3127),"")</f>
        <v/>
      </c>
      <c r="L3132" s="48" t="str">
        <f>IFERROR(IF(OR(INPUT!P3127="",INPUT!Q3127="",INPUT!P3127=0),"",(INPUT!P3127-INPUT!Q3127)/INPUT!P3127),"")</f>
        <v/>
      </c>
    </row>
    <row r="3133" spans="1:12" ht="18" hidden="1" customHeight="1" x14ac:dyDescent="0.2">
      <c r="A3133" s="11" t="str">
        <f>IF(INPUT!M3128="","",INPUT!M3128)</f>
        <v/>
      </c>
      <c r="B3133" s="11" t="str">
        <f>IF(INPUT!M3128="","",INPUT!M3128-WEEKDAY(INPUT!M3128,2)+1)</f>
        <v/>
      </c>
      <c r="C3133" s="20">
        <f>IFERROR(_xlfn.ISOWEEKNUM(INPUT!M3128),"")</f>
        <v>52</v>
      </c>
      <c r="D3133" s="20">
        <f>IFERROR(YEAR(INPUT!M3128),"")</f>
        <v>1900</v>
      </c>
      <c r="E3133" t="str">
        <f>IF(INPUT!O3128="","",INPUT!O3128)</f>
        <v/>
      </c>
      <c r="F3133" t="str">
        <f>IF(INPUT!N3128="","",INPUT!N3128)</f>
        <v/>
      </c>
      <c r="G3133" cm="1">
        <f t="array" ref="G3133">IFERROR(VLOOKUP(INPUT!M3128&amp;INPUT!N3128,CHOOSE({1,2},INPUT!$A$3:$A$5000&amp;INPUT!$C$3:$C$5000,INPUT!$F$3:$F$5000),2,FALSE),"")</f>
        <v>0</v>
      </c>
      <c r="H3133" cm="1">
        <f t="array" ref="H3133">IFERROR(VLOOKUP(INPUT!M3128&amp;INPUT!N3128,CHOOSE({1,2},INPUT!$A$3:$A$5000&amp;INPUT!$C$3:$C$5000,INPUT!$D$3:$D$5000),2,FALSE),"")</f>
        <v>0</v>
      </c>
      <c r="I3133" s="46" t="str">
        <f>IF(INPUT!P3128="","",INPUT!P3128)</f>
        <v/>
      </c>
      <c r="J3133" s="46" t="str">
        <f>IF(INPUT!Q3128="","",INPUT!Q3128)</f>
        <v/>
      </c>
      <c r="K3133" s="46" t="str">
        <f>IFERROR(IF(OR(INPUT!P3128="",INPUT!Q3128=""),"",INPUT!P3128-INPUT!Q3128),"")</f>
        <v/>
      </c>
      <c r="L3133" s="48" t="str">
        <f>IFERROR(IF(OR(INPUT!P3128="",INPUT!Q3128="",INPUT!P3128=0),"",(INPUT!P3128-INPUT!Q3128)/INPUT!P3128),"")</f>
        <v/>
      </c>
    </row>
    <row r="3134" spans="1:12" ht="18" hidden="1" customHeight="1" x14ac:dyDescent="0.2">
      <c r="A3134" s="11" t="str">
        <f>IF(INPUT!M3129="","",INPUT!M3129)</f>
        <v/>
      </c>
      <c r="B3134" s="11" t="str">
        <f>IF(INPUT!M3129="","",INPUT!M3129-WEEKDAY(INPUT!M3129,2)+1)</f>
        <v/>
      </c>
      <c r="C3134" s="20">
        <f>IFERROR(_xlfn.ISOWEEKNUM(INPUT!M3129),"")</f>
        <v>52</v>
      </c>
      <c r="D3134" s="20">
        <f>IFERROR(YEAR(INPUT!M3129),"")</f>
        <v>1900</v>
      </c>
      <c r="E3134" t="str">
        <f>IF(INPUT!O3129="","",INPUT!O3129)</f>
        <v/>
      </c>
      <c r="F3134" t="str">
        <f>IF(INPUT!N3129="","",INPUT!N3129)</f>
        <v/>
      </c>
      <c r="G3134" cm="1">
        <f t="array" ref="G3134">IFERROR(VLOOKUP(INPUT!M3129&amp;INPUT!N3129,CHOOSE({1,2},INPUT!$A$3:$A$5000&amp;INPUT!$C$3:$C$5000,INPUT!$F$3:$F$5000),2,FALSE),"")</f>
        <v>0</v>
      </c>
      <c r="H3134" cm="1">
        <f t="array" ref="H3134">IFERROR(VLOOKUP(INPUT!M3129&amp;INPUT!N3129,CHOOSE({1,2},INPUT!$A$3:$A$5000&amp;INPUT!$C$3:$C$5000,INPUT!$D$3:$D$5000),2,FALSE),"")</f>
        <v>0</v>
      </c>
      <c r="I3134" s="46" t="str">
        <f>IF(INPUT!P3129="","",INPUT!P3129)</f>
        <v/>
      </c>
      <c r="J3134" s="46" t="str">
        <f>IF(INPUT!Q3129="","",INPUT!Q3129)</f>
        <v/>
      </c>
      <c r="K3134" s="46" t="str">
        <f>IFERROR(IF(OR(INPUT!P3129="",INPUT!Q3129=""),"",INPUT!P3129-INPUT!Q3129),"")</f>
        <v/>
      </c>
      <c r="L3134" s="48" t="str">
        <f>IFERROR(IF(OR(INPUT!P3129="",INPUT!Q3129="",INPUT!P3129=0),"",(INPUT!P3129-INPUT!Q3129)/INPUT!P3129),"")</f>
        <v/>
      </c>
    </row>
    <row r="3135" spans="1:12" ht="18" hidden="1" customHeight="1" x14ac:dyDescent="0.2">
      <c r="A3135" s="11" t="str">
        <f>IF(INPUT!M3130="","",INPUT!M3130)</f>
        <v/>
      </c>
      <c r="B3135" s="11" t="str">
        <f>IF(INPUT!M3130="","",INPUT!M3130-WEEKDAY(INPUT!M3130,2)+1)</f>
        <v/>
      </c>
      <c r="C3135" s="20">
        <f>IFERROR(_xlfn.ISOWEEKNUM(INPUT!M3130),"")</f>
        <v>52</v>
      </c>
      <c r="D3135" s="20">
        <f>IFERROR(YEAR(INPUT!M3130),"")</f>
        <v>1900</v>
      </c>
      <c r="E3135" t="str">
        <f>IF(INPUT!O3130="","",INPUT!O3130)</f>
        <v/>
      </c>
      <c r="F3135" t="str">
        <f>IF(INPUT!N3130="","",INPUT!N3130)</f>
        <v/>
      </c>
      <c r="G3135" cm="1">
        <f t="array" ref="G3135">IFERROR(VLOOKUP(INPUT!M3130&amp;INPUT!N3130,CHOOSE({1,2},INPUT!$A$3:$A$5000&amp;INPUT!$C$3:$C$5000,INPUT!$F$3:$F$5000),2,FALSE),"")</f>
        <v>0</v>
      </c>
      <c r="H3135" cm="1">
        <f t="array" ref="H3135">IFERROR(VLOOKUP(INPUT!M3130&amp;INPUT!N3130,CHOOSE({1,2},INPUT!$A$3:$A$5000&amp;INPUT!$C$3:$C$5000,INPUT!$D$3:$D$5000),2,FALSE),"")</f>
        <v>0</v>
      </c>
      <c r="I3135" s="46" t="str">
        <f>IF(INPUT!P3130="","",INPUT!P3130)</f>
        <v/>
      </c>
      <c r="J3135" s="46" t="str">
        <f>IF(INPUT!Q3130="","",INPUT!Q3130)</f>
        <v/>
      </c>
      <c r="K3135" s="46" t="str">
        <f>IFERROR(IF(OR(INPUT!P3130="",INPUT!Q3130=""),"",INPUT!P3130-INPUT!Q3130),"")</f>
        <v/>
      </c>
      <c r="L3135" s="48" t="str">
        <f>IFERROR(IF(OR(INPUT!P3130="",INPUT!Q3130="",INPUT!P3130=0),"",(INPUT!P3130-INPUT!Q3130)/INPUT!P3130),"")</f>
        <v/>
      </c>
    </row>
    <row r="3136" spans="1:12" ht="18" hidden="1" customHeight="1" x14ac:dyDescent="0.2">
      <c r="A3136" s="11" t="str">
        <f>IF(INPUT!M3131="","",INPUT!M3131)</f>
        <v/>
      </c>
      <c r="B3136" s="11" t="str">
        <f>IF(INPUT!M3131="","",INPUT!M3131-WEEKDAY(INPUT!M3131,2)+1)</f>
        <v/>
      </c>
      <c r="C3136" s="20">
        <f>IFERROR(_xlfn.ISOWEEKNUM(INPUT!M3131),"")</f>
        <v>52</v>
      </c>
      <c r="D3136" s="20">
        <f>IFERROR(YEAR(INPUT!M3131),"")</f>
        <v>1900</v>
      </c>
      <c r="E3136" t="str">
        <f>IF(INPUT!O3131="","",INPUT!O3131)</f>
        <v/>
      </c>
      <c r="F3136" t="str">
        <f>IF(INPUT!N3131="","",INPUT!N3131)</f>
        <v/>
      </c>
      <c r="G3136" cm="1">
        <f t="array" ref="G3136">IFERROR(VLOOKUP(INPUT!M3131&amp;INPUT!N3131,CHOOSE({1,2},INPUT!$A$3:$A$5000&amp;INPUT!$C$3:$C$5000,INPUT!$F$3:$F$5000),2,FALSE),"")</f>
        <v>0</v>
      </c>
      <c r="H3136" cm="1">
        <f t="array" ref="H3136">IFERROR(VLOOKUP(INPUT!M3131&amp;INPUT!N3131,CHOOSE({1,2},INPUT!$A$3:$A$5000&amp;INPUT!$C$3:$C$5000,INPUT!$D$3:$D$5000),2,FALSE),"")</f>
        <v>0</v>
      </c>
      <c r="I3136" s="46" t="str">
        <f>IF(INPUT!P3131="","",INPUT!P3131)</f>
        <v/>
      </c>
      <c r="J3136" s="46" t="str">
        <f>IF(INPUT!Q3131="","",INPUT!Q3131)</f>
        <v/>
      </c>
      <c r="K3136" s="46" t="str">
        <f>IFERROR(IF(OR(INPUT!P3131="",INPUT!Q3131=""),"",INPUT!P3131-INPUT!Q3131),"")</f>
        <v/>
      </c>
      <c r="L3136" s="48" t="str">
        <f>IFERROR(IF(OR(INPUT!P3131="",INPUT!Q3131="",INPUT!P3131=0),"",(INPUT!P3131-INPUT!Q3131)/INPUT!P3131),"")</f>
        <v/>
      </c>
    </row>
    <row r="3137" spans="1:12" ht="18" hidden="1" customHeight="1" x14ac:dyDescent="0.2">
      <c r="A3137" s="11" t="str">
        <f>IF(INPUT!M3132="","",INPUT!M3132)</f>
        <v/>
      </c>
      <c r="B3137" s="11" t="str">
        <f>IF(INPUT!M3132="","",INPUT!M3132-WEEKDAY(INPUT!M3132,2)+1)</f>
        <v/>
      </c>
      <c r="C3137" s="20">
        <f>IFERROR(_xlfn.ISOWEEKNUM(INPUT!M3132),"")</f>
        <v>52</v>
      </c>
      <c r="D3137" s="20">
        <f>IFERROR(YEAR(INPUT!M3132),"")</f>
        <v>1900</v>
      </c>
      <c r="E3137" t="str">
        <f>IF(INPUT!O3132="","",INPUT!O3132)</f>
        <v/>
      </c>
      <c r="F3137" t="str">
        <f>IF(INPUT!N3132="","",INPUT!N3132)</f>
        <v/>
      </c>
      <c r="G3137" cm="1">
        <f t="array" ref="G3137">IFERROR(VLOOKUP(INPUT!M3132&amp;INPUT!N3132,CHOOSE({1,2},INPUT!$A$3:$A$5000&amp;INPUT!$C$3:$C$5000,INPUT!$F$3:$F$5000),2,FALSE),"")</f>
        <v>0</v>
      </c>
      <c r="H3137" cm="1">
        <f t="array" ref="H3137">IFERROR(VLOOKUP(INPUT!M3132&amp;INPUT!N3132,CHOOSE({1,2},INPUT!$A$3:$A$5000&amp;INPUT!$C$3:$C$5000,INPUT!$D$3:$D$5000),2,FALSE),"")</f>
        <v>0</v>
      </c>
      <c r="I3137" s="46" t="str">
        <f>IF(INPUT!P3132="","",INPUT!P3132)</f>
        <v/>
      </c>
      <c r="J3137" s="46" t="str">
        <f>IF(INPUT!Q3132="","",INPUT!Q3132)</f>
        <v/>
      </c>
      <c r="K3137" s="46" t="str">
        <f>IFERROR(IF(OR(INPUT!P3132="",INPUT!Q3132=""),"",INPUT!P3132-INPUT!Q3132),"")</f>
        <v/>
      </c>
      <c r="L3137" s="48" t="str">
        <f>IFERROR(IF(OR(INPUT!P3132="",INPUT!Q3132="",INPUT!P3132=0),"",(INPUT!P3132-INPUT!Q3132)/INPUT!P3132),"")</f>
        <v/>
      </c>
    </row>
    <row r="3138" spans="1:12" ht="18" hidden="1" customHeight="1" x14ac:dyDescent="0.2">
      <c r="A3138" s="11" t="str">
        <f>IF(INPUT!M3133="","",INPUT!M3133)</f>
        <v/>
      </c>
      <c r="B3138" s="11" t="str">
        <f>IF(INPUT!M3133="","",INPUT!M3133-WEEKDAY(INPUT!M3133,2)+1)</f>
        <v/>
      </c>
      <c r="C3138" s="20">
        <f>IFERROR(_xlfn.ISOWEEKNUM(INPUT!M3133),"")</f>
        <v>52</v>
      </c>
      <c r="D3138" s="20">
        <f>IFERROR(YEAR(INPUT!M3133),"")</f>
        <v>1900</v>
      </c>
      <c r="E3138" t="str">
        <f>IF(INPUT!O3133="","",INPUT!O3133)</f>
        <v/>
      </c>
      <c r="F3138" t="str">
        <f>IF(INPUT!N3133="","",INPUT!N3133)</f>
        <v/>
      </c>
      <c r="G3138" cm="1">
        <f t="array" ref="G3138">IFERROR(VLOOKUP(INPUT!M3133&amp;INPUT!N3133,CHOOSE({1,2},INPUT!$A$3:$A$5000&amp;INPUT!$C$3:$C$5000,INPUT!$F$3:$F$5000),2,FALSE),"")</f>
        <v>0</v>
      </c>
      <c r="H3138" cm="1">
        <f t="array" ref="H3138">IFERROR(VLOOKUP(INPUT!M3133&amp;INPUT!N3133,CHOOSE({1,2},INPUT!$A$3:$A$5000&amp;INPUT!$C$3:$C$5000,INPUT!$D$3:$D$5000),2,FALSE),"")</f>
        <v>0</v>
      </c>
      <c r="I3138" s="46" t="str">
        <f>IF(INPUT!P3133="","",INPUT!P3133)</f>
        <v/>
      </c>
      <c r="J3138" s="46" t="str">
        <f>IF(INPUT!Q3133="","",INPUT!Q3133)</f>
        <v/>
      </c>
      <c r="K3138" s="46" t="str">
        <f>IFERROR(IF(OR(INPUT!P3133="",INPUT!Q3133=""),"",INPUT!P3133-INPUT!Q3133),"")</f>
        <v/>
      </c>
      <c r="L3138" s="48" t="str">
        <f>IFERROR(IF(OR(INPUT!P3133="",INPUT!Q3133="",INPUT!P3133=0),"",(INPUT!P3133-INPUT!Q3133)/INPUT!P3133),"")</f>
        <v/>
      </c>
    </row>
    <row r="3139" spans="1:12" ht="18" hidden="1" customHeight="1" x14ac:dyDescent="0.2">
      <c r="A3139" s="11" t="str">
        <f>IF(INPUT!M3134="","",INPUT!M3134)</f>
        <v/>
      </c>
      <c r="B3139" s="11" t="str">
        <f>IF(INPUT!M3134="","",INPUT!M3134-WEEKDAY(INPUT!M3134,2)+1)</f>
        <v/>
      </c>
      <c r="C3139" s="20">
        <f>IFERROR(_xlfn.ISOWEEKNUM(INPUT!M3134),"")</f>
        <v>52</v>
      </c>
      <c r="D3139" s="20">
        <f>IFERROR(YEAR(INPUT!M3134),"")</f>
        <v>1900</v>
      </c>
      <c r="E3139" t="str">
        <f>IF(INPUT!O3134="","",INPUT!O3134)</f>
        <v/>
      </c>
      <c r="F3139" t="str">
        <f>IF(INPUT!N3134="","",INPUT!N3134)</f>
        <v/>
      </c>
      <c r="G3139" cm="1">
        <f t="array" ref="G3139">IFERROR(VLOOKUP(INPUT!M3134&amp;INPUT!N3134,CHOOSE({1,2},INPUT!$A$3:$A$5000&amp;INPUT!$C$3:$C$5000,INPUT!$F$3:$F$5000),2,FALSE),"")</f>
        <v>0</v>
      </c>
      <c r="H3139" cm="1">
        <f t="array" ref="H3139">IFERROR(VLOOKUP(INPUT!M3134&amp;INPUT!N3134,CHOOSE({1,2},INPUT!$A$3:$A$5000&amp;INPUT!$C$3:$C$5000,INPUT!$D$3:$D$5000),2,FALSE),"")</f>
        <v>0</v>
      </c>
      <c r="I3139" s="46" t="str">
        <f>IF(INPUT!P3134="","",INPUT!P3134)</f>
        <v/>
      </c>
      <c r="J3139" s="46" t="str">
        <f>IF(INPUT!Q3134="","",INPUT!Q3134)</f>
        <v/>
      </c>
      <c r="K3139" s="46" t="str">
        <f>IFERROR(IF(OR(INPUT!P3134="",INPUT!Q3134=""),"",INPUT!P3134-INPUT!Q3134),"")</f>
        <v/>
      </c>
      <c r="L3139" s="48" t="str">
        <f>IFERROR(IF(OR(INPUT!P3134="",INPUT!Q3134="",INPUT!P3134=0),"",(INPUT!P3134-INPUT!Q3134)/INPUT!P3134),"")</f>
        <v/>
      </c>
    </row>
    <row r="3140" spans="1:12" ht="18" hidden="1" customHeight="1" x14ac:dyDescent="0.2">
      <c r="A3140" s="11" t="str">
        <f>IF(INPUT!M3135="","",INPUT!M3135)</f>
        <v/>
      </c>
      <c r="B3140" s="11" t="str">
        <f>IF(INPUT!M3135="","",INPUT!M3135-WEEKDAY(INPUT!M3135,2)+1)</f>
        <v/>
      </c>
      <c r="C3140" s="20">
        <f>IFERROR(_xlfn.ISOWEEKNUM(INPUT!M3135),"")</f>
        <v>52</v>
      </c>
      <c r="D3140" s="20">
        <f>IFERROR(YEAR(INPUT!M3135),"")</f>
        <v>1900</v>
      </c>
      <c r="E3140" t="str">
        <f>IF(INPUT!O3135="","",INPUT!O3135)</f>
        <v/>
      </c>
      <c r="F3140" t="str">
        <f>IF(INPUT!N3135="","",INPUT!N3135)</f>
        <v/>
      </c>
      <c r="G3140" cm="1">
        <f t="array" ref="G3140">IFERROR(VLOOKUP(INPUT!M3135&amp;INPUT!N3135,CHOOSE({1,2},INPUT!$A$3:$A$5000&amp;INPUT!$C$3:$C$5000,INPUT!$F$3:$F$5000),2,FALSE),"")</f>
        <v>0</v>
      </c>
      <c r="H3140" cm="1">
        <f t="array" ref="H3140">IFERROR(VLOOKUP(INPUT!M3135&amp;INPUT!N3135,CHOOSE({1,2},INPUT!$A$3:$A$5000&amp;INPUT!$C$3:$C$5000,INPUT!$D$3:$D$5000),2,FALSE),"")</f>
        <v>0</v>
      </c>
      <c r="I3140" s="46" t="str">
        <f>IF(INPUT!P3135="","",INPUT!P3135)</f>
        <v/>
      </c>
      <c r="J3140" s="46" t="str">
        <f>IF(INPUT!Q3135="","",INPUT!Q3135)</f>
        <v/>
      </c>
      <c r="K3140" s="46" t="str">
        <f>IFERROR(IF(OR(INPUT!P3135="",INPUT!Q3135=""),"",INPUT!P3135-INPUT!Q3135),"")</f>
        <v/>
      </c>
      <c r="L3140" s="48" t="str">
        <f>IFERROR(IF(OR(INPUT!P3135="",INPUT!Q3135="",INPUT!P3135=0),"",(INPUT!P3135-INPUT!Q3135)/INPUT!P3135),"")</f>
        <v/>
      </c>
    </row>
    <row r="3141" spans="1:12" ht="18" hidden="1" customHeight="1" x14ac:dyDescent="0.2">
      <c r="A3141" s="11" t="str">
        <f>IF(INPUT!M3136="","",INPUT!M3136)</f>
        <v/>
      </c>
      <c r="B3141" s="11" t="str">
        <f>IF(INPUT!M3136="","",INPUT!M3136-WEEKDAY(INPUT!M3136,2)+1)</f>
        <v/>
      </c>
      <c r="C3141" s="20">
        <f>IFERROR(_xlfn.ISOWEEKNUM(INPUT!M3136),"")</f>
        <v>52</v>
      </c>
      <c r="D3141" s="20">
        <f>IFERROR(YEAR(INPUT!M3136),"")</f>
        <v>1900</v>
      </c>
      <c r="E3141" t="str">
        <f>IF(INPUT!O3136="","",INPUT!O3136)</f>
        <v/>
      </c>
      <c r="F3141" t="str">
        <f>IF(INPUT!N3136="","",INPUT!N3136)</f>
        <v/>
      </c>
      <c r="G3141" cm="1">
        <f t="array" ref="G3141">IFERROR(VLOOKUP(INPUT!M3136&amp;INPUT!N3136,CHOOSE({1,2},INPUT!$A$3:$A$5000&amp;INPUT!$C$3:$C$5000,INPUT!$F$3:$F$5000),2,FALSE),"")</f>
        <v>0</v>
      </c>
      <c r="H3141" cm="1">
        <f t="array" ref="H3141">IFERROR(VLOOKUP(INPUT!M3136&amp;INPUT!N3136,CHOOSE({1,2},INPUT!$A$3:$A$5000&amp;INPUT!$C$3:$C$5000,INPUT!$D$3:$D$5000),2,FALSE),"")</f>
        <v>0</v>
      </c>
      <c r="I3141" s="46" t="str">
        <f>IF(INPUT!P3136="","",INPUT!P3136)</f>
        <v/>
      </c>
      <c r="J3141" s="46" t="str">
        <f>IF(INPUT!Q3136="","",INPUT!Q3136)</f>
        <v/>
      </c>
      <c r="K3141" s="46" t="str">
        <f>IFERROR(IF(OR(INPUT!P3136="",INPUT!Q3136=""),"",INPUT!P3136-INPUT!Q3136),"")</f>
        <v/>
      </c>
      <c r="L3141" s="48" t="str">
        <f>IFERROR(IF(OR(INPUT!P3136="",INPUT!Q3136="",INPUT!P3136=0),"",(INPUT!P3136-INPUT!Q3136)/INPUT!P3136),"")</f>
        <v/>
      </c>
    </row>
    <row r="3142" spans="1:12" ht="18" hidden="1" customHeight="1" x14ac:dyDescent="0.2">
      <c r="A3142" s="11" t="str">
        <f>IF(INPUT!M3137="","",INPUT!M3137)</f>
        <v/>
      </c>
      <c r="B3142" s="11" t="str">
        <f>IF(INPUT!M3137="","",INPUT!M3137-WEEKDAY(INPUT!M3137,2)+1)</f>
        <v/>
      </c>
      <c r="C3142" s="20">
        <f>IFERROR(_xlfn.ISOWEEKNUM(INPUT!M3137),"")</f>
        <v>52</v>
      </c>
      <c r="D3142" s="20">
        <f>IFERROR(YEAR(INPUT!M3137),"")</f>
        <v>1900</v>
      </c>
      <c r="E3142" t="str">
        <f>IF(INPUT!O3137="","",INPUT!O3137)</f>
        <v/>
      </c>
      <c r="F3142" t="str">
        <f>IF(INPUT!N3137="","",INPUT!N3137)</f>
        <v/>
      </c>
      <c r="G3142" cm="1">
        <f t="array" ref="G3142">IFERROR(VLOOKUP(INPUT!M3137&amp;INPUT!N3137,CHOOSE({1,2},INPUT!$A$3:$A$5000&amp;INPUT!$C$3:$C$5000,INPUT!$F$3:$F$5000),2,FALSE),"")</f>
        <v>0</v>
      </c>
      <c r="H3142" cm="1">
        <f t="array" ref="H3142">IFERROR(VLOOKUP(INPUT!M3137&amp;INPUT!N3137,CHOOSE({1,2},INPUT!$A$3:$A$5000&amp;INPUT!$C$3:$C$5000,INPUT!$D$3:$D$5000),2,FALSE),"")</f>
        <v>0</v>
      </c>
      <c r="I3142" s="46" t="str">
        <f>IF(INPUT!P3137="","",INPUT!P3137)</f>
        <v/>
      </c>
      <c r="J3142" s="46" t="str">
        <f>IF(INPUT!Q3137="","",INPUT!Q3137)</f>
        <v/>
      </c>
      <c r="K3142" s="46" t="str">
        <f>IFERROR(IF(OR(INPUT!P3137="",INPUT!Q3137=""),"",INPUT!P3137-INPUT!Q3137),"")</f>
        <v/>
      </c>
      <c r="L3142" s="48" t="str">
        <f>IFERROR(IF(OR(INPUT!P3137="",INPUT!Q3137="",INPUT!P3137=0),"",(INPUT!P3137-INPUT!Q3137)/INPUT!P3137),"")</f>
        <v/>
      </c>
    </row>
    <row r="3143" spans="1:12" ht="18" hidden="1" customHeight="1" x14ac:dyDescent="0.2">
      <c r="A3143" s="11" t="str">
        <f>IF(INPUT!M3138="","",INPUT!M3138)</f>
        <v/>
      </c>
      <c r="B3143" s="11" t="str">
        <f>IF(INPUT!M3138="","",INPUT!M3138-WEEKDAY(INPUT!M3138,2)+1)</f>
        <v/>
      </c>
      <c r="C3143" s="20">
        <f>IFERROR(_xlfn.ISOWEEKNUM(INPUT!M3138),"")</f>
        <v>52</v>
      </c>
      <c r="D3143" s="20">
        <f>IFERROR(YEAR(INPUT!M3138),"")</f>
        <v>1900</v>
      </c>
      <c r="E3143" t="str">
        <f>IF(INPUT!O3138="","",INPUT!O3138)</f>
        <v/>
      </c>
      <c r="F3143" t="str">
        <f>IF(INPUT!N3138="","",INPUT!N3138)</f>
        <v/>
      </c>
      <c r="G3143" cm="1">
        <f t="array" ref="G3143">IFERROR(VLOOKUP(INPUT!M3138&amp;INPUT!N3138,CHOOSE({1,2},INPUT!$A$3:$A$5000&amp;INPUT!$C$3:$C$5000,INPUT!$F$3:$F$5000),2,FALSE),"")</f>
        <v>0</v>
      </c>
      <c r="H3143" cm="1">
        <f t="array" ref="H3143">IFERROR(VLOOKUP(INPUT!M3138&amp;INPUT!N3138,CHOOSE({1,2},INPUT!$A$3:$A$5000&amp;INPUT!$C$3:$C$5000,INPUT!$D$3:$D$5000),2,FALSE),"")</f>
        <v>0</v>
      </c>
      <c r="I3143" s="46" t="str">
        <f>IF(INPUT!P3138="","",INPUT!P3138)</f>
        <v/>
      </c>
      <c r="J3143" s="46" t="str">
        <f>IF(INPUT!Q3138="","",INPUT!Q3138)</f>
        <v/>
      </c>
      <c r="K3143" s="46" t="str">
        <f>IFERROR(IF(OR(INPUT!P3138="",INPUT!Q3138=""),"",INPUT!P3138-INPUT!Q3138),"")</f>
        <v/>
      </c>
      <c r="L3143" s="48" t="str">
        <f>IFERROR(IF(OR(INPUT!P3138="",INPUT!Q3138="",INPUT!P3138=0),"",(INPUT!P3138-INPUT!Q3138)/INPUT!P3138),"")</f>
        <v/>
      </c>
    </row>
    <row r="3144" spans="1:12" ht="18" hidden="1" customHeight="1" x14ac:dyDescent="0.2">
      <c r="A3144" s="11" t="str">
        <f>IF(INPUT!M3139="","",INPUT!M3139)</f>
        <v/>
      </c>
      <c r="B3144" s="11" t="str">
        <f>IF(INPUT!M3139="","",INPUT!M3139-WEEKDAY(INPUT!M3139,2)+1)</f>
        <v/>
      </c>
      <c r="C3144" s="20">
        <f>IFERROR(_xlfn.ISOWEEKNUM(INPUT!M3139),"")</f>
        <v>52</v>
      </c>
      <c r="D3144" s="20">
        <f>IFERROR(YEAR(INPUT!M3139),"")</f>
        <v>1900</v>
      </c>
      <c r="E3144" t="str">
        <f>IF(INPUT!O3139="","",INPUT!O3139)</f>
        <v/>
      </c>
      <c r="F3144" t="str">
        <f>IF(INPUT!N3139="","",INPUT!N3139)</f>
        <v/>
      </c>
      <c r="G3144" cm="1">
        <f t="array" ref="G3144">IFERROR(VLOOKUP(INPUT!M3139&amp;INPUT!N3139,CHOOSE({1,2},INPUT!$A$3:$A$5000&amp;INPUT!$C$3:$C$5000,INPUT!$F$3:$F$5000),2,FALSE),"")</f>
        <v>0</v>
      </c>
      <c r="H3144" cm="1">
        <f t="array" ref="H3144">IFERROR(VLOOKUP(INPUT!M3139&amp;INPUT!N3139,CHOOSE({1,2},INPUT!$A$3:$A$5000&amp;INPUT!$C$3:$C$5000,INPUT!$D$3:$D$5000),2,FALSE),"")</f>
        <v>0</v>
      </c>
      <c r="I3144" s="46" t="str">
        <f>IF(INPUT!P3139="","",INPUT!P3139)</f>
        <v/>
      </c>
      <c r="J3144" s="46" t="str">
        <f>IF(INPUT!Q3139="","",INPUT!Q3139)</f>
        <v/>
      </c>
      <c r="K3144" s="46" t="str">
        <f>IFERROR(IF(OR(INPUT!P3139="",INPUT!Q3139=""),"",INPUT!P3139-INPUT!Q3139),"")</f>
        <v/>
      </c>
      <c r="L3144" s="48" t="str">
        <f>IFERROR(IF(OR(INPUT!P3139="",INPUT!Q3139="",INPUT!P3139=0),"",(INPUT!P3139-INPUT!Q3139)/INPUT!P3139),"")</f>
        <v/>
      </c>
    </row>
    <row r="3145" spans="1:12" ht="18" hidden="1" customHeight="1" x14ac:dyDescent="0.2">
      <c r="A3145" s="11" t="str">
        <f>IF(INPUT!M3140="","",INPUT!M3140)</f>
        <v/>
      </c>
      <c r="B3145" s="11" t="str">
        <f>IF(INPUT!M3140="","",INPUT!M3140-WEEKDAY(INPUT!M3140,2)+1)</f>
        <v/>
      </c>
      <c r="C3145" s="20">
        <f>IFERROR(_xlfn.ISOWEEKNUM(INPUT!M3140),"")</f>
        <v>52</v>
      </c>
      <c r="D3145" s="20">
        <f>IFERROR(YEAR(INPUT!M3140),"")</f>
        <v>1900</v>
      </c>
      <c r="E3145" t="str">
        <f>IF(INPUT!O3140="","",INPUT!O3140)</f>
        <v/>
      </c>
      <c r="F3145" t="str">
        <f>IF(INPUT!N3140="","",INPUT!N3140)</f>
        <v/>
      </c>
      <c r="G3145" cm="1">
        <f t="array" ref="G3145">IFERROR(VLOOKUP(INPUT!M3140&amp;INPUT!N3140,CHOOSE({1,2},INPUT!$A$3:$A$5000&amp;INPUT!$C$3:$C$5000,INPUT!$F$3:$F$5000),2,FALSE),"")</f>
        <v>0</v>
      </c>
      <c r="H3145" cm="1">
        <f t="array" ref="H3145">IFERROR(VLOOKUP(INPUT!M3140&amp;INPUT!N3140,CHOOSE({1,2},INPUT!$A$3:$A$5000&amp;INPUT!$C$3:$C$5000,INPUT!$D$3:$D$5000),2,FALSE),"")</f>
        <v>0</v>
      </c>
      <c r="I3145" s="46" t="str">
        <f>IF(INPUT!P3140="","",INPUT!P3140)</f>
        <v/>
      </c>
      <c r="J3145" s="46" t="str">
        <f>IF(INPUT!Q3140="","",INPUT!Q3140)</f>
        <v/>
      </c>
      <c r="K3145" s="46" t="str">
        <f>IFERROR(IF(OR(INPUT!P3140="",INPUT!Q3140=""),"",INPUT!P3140-INPUT!Q3140),"")</f>
        <v/>
      </c>
      <c r="L3145" s="48" t="str">
        <f>IFERROR(IF(OR(INPUT!P3140="",INPUT!Q3140="",INPUT!P3140=0),"",(INPUT!P3140-INPUT!Q3140)/INPUT!P3140),"")</f>
        <v/>
      </c>
    </row>
    <row r="3146" spans="1:12" ht="18" hidden="1" customHeight="1" x14ac:dyDescent="0.2">
      <c r="A3146" s="11" t="str">
        <f>IF(INPUT!M3141="","",INPUT!M3141)</f>
        <v/>
      </c>
      <c r="B3146" s="11" t="str">
        <f>IF(INPUT!M3141="","",INPUT!M3141-WEEKDAY(INPUT!M3141,2)+1)</f>
        <v/>
      </c>
      <c r="C3146" s="20">
        <f>IFERROR(_xlfn.ISOWEEKNUM(INPUT!M3141),"")</f>
        <v>52</v>
      </c>
      <c r="D3146" s="20">
        <f>IFERROR(YEAR(INPUT!M3141),"")</f>
        <v>1900</v>
      </c>
      <c r="E3146" t="str">
        <f>IF(INPUT!O3141="","",INPUT!O3141)</f>
        <v/>
      </c>
      <c r="F3146" t="str">
        <f>IF(INPUT!N3141="","",INPUT!N3141)</f>
        <v/>
      </c>
      <c r="G3146" cm="1">
        <f t="array" ref="G3146">IFERROR(VLOOKUP(INPUT!M3141&amp;INPUT!N3141,CHOOSE({1,2},INPUT!$A$3:$A$5000&amp;INPUT!$C$3:$C$5000,INPUT!$F$3:$F$5000),2,FALSE),"")</f>
        <v>0</v>
      </c>
      <c r="H3146" cm="1">
        <f t="array" ref="H3146">IFERROR(VLOOKUP(INPUT!M3141&amp;INPUT!N3141,CHOOSE({1,2},INPUT!$A$3:$A$5000&amp;INPUT!$C$3:$C$5000,INPUT!$D$3:$D$5000),2,FALSE),"")</f>
        <v>0</v>
      </c>
      <c r="I3146" s="46" t="str">
        <f>IF(INPUT!P3141="","",INPUT!P3141)</f>
        <v/>
      </c>
      <c r="J3146" s="46" t="str">
        <f>IF(INPUT!Q3141="","",INPUT!Q3141)</f>
        <v/>
      </c>
      <c r="K3146" s="46" t="str">
        <f>IFERROR(IF(OR(INPUT!P3141="",INPUT!Q3141=""),"",INPUT!P3141-INPUT!Q3141),"")</f>
        <v/>
      </c>
      <c r="L3146" s="48" t="str">
        <f>IFERROR(IF(OR(INPUT!P3141="",INPUT!Q3141="",INPUT!P3141=0),"",(INPUT!P3141-INPUT!Q3141)/INPUT!P3141),"")</f>
        <v/>
      </c>
    </row>
    <row r="3147" spans="1:12" ht="18" hidden="1" customHeight="1" x14ac:dyDescent="0.2">
      <c r="A3147" s="11" t="str">
        <f>IF(INPUT!M3142="","",INPUT!M3142)</f>
        <v/>
      </c>
      <c r="B3147" s="11" t="str">
        <f>IF(INPUT!M3142="","",INPUT!M3142-WEEKDAY(INPUT!M3142,2)+1)</f>
        <v/>
      </c>
      <c r="C3147" s="20">
        <f>IFERROR(_xlfn.ISOWEEKNUM(INPUT!M3142),"")</f>
        <v>52</v>
      </c>
      <c r="D3147" s="20">
        <f>IFERROR(YEAR(INPUT!M3142),"")</f>
        <v>1900</v>
      </c>
      <c r="E3147" t="str">
        <f>IF(INPUT!O3142="","",INPUT!O3142)</f>
        <v/>
      </c>
      <c r="F3147" t="str">
        <f>IF(INPUT!N3142="","",INPUT!N3142)</f>
        <v/>
      </c>
      <c r="G3147" cm="1">
        <f t="array" ref="G3147">IFERROR(VLOOKUP(INPUT!M3142&amp;INPUT!N3142,CHOOSE({1,2},INPUT!$A$3:$A$5000&amp;INPUT!$C$3:$C$5000,INPUT!$F$3:$F$5000),2,FALSE),"")</f>
        <v>0</v>
      </c>
      <c r="H3147" cm="1">
        <f t="array" ref="H3147">IFERROR(VLOOKUP(INPUT!M3142&amp;INPUT!N3142,CHOOSE({1,2},INPUT!$A$3:$A$5000&amp;INPUT!$C$3:$C$5000,INPUT!$D$3:$D$5000),2,FALSE),"")</f>
        <v>0</v>
      </c>
      <c r="I3147" s="46" t="str">
        <f>IF(INPUT!P3142="","",INPUT!P3142)</f>
        <v/>
      </c>
      <c r="J3147" s="46" t="str">
        <f>IF(INPUT!Q3142="","",INPUT!Q3142)</f>
        <v/>
      </c>
      <c r="K3147" s="46" t="str">
        <f>IFERROR(IF(OR(INPUT!P3142="",INPUT!Q3142=""),"",INPUT!P3142-INPUT!Q3142),"")</f>
        <v/>
      </c>
      <c r="L3147" s="48" t="str">
        <f>IFERROR(IF(OR(INPUT!P3142="",INPUT!Q3142="",INPUT!P3142=0),"",(INPUT!P3142-INPUT!Q3142)/INPUT!P3142),"")</f>
        <v/>
      </c>
    </row>
    <row r="3148" spans="1:12" ht="18" hidden="1" customHeight="1" x14ac:dyDescent="0.2">
      <c r="A3148" s="11" t="str">
        <f>IF(INPUT!M3143="","",INPUT!M3143)</f>
        <v/>
      </c>
      <c r="B3148" s="11" t="str">
        <f>IF(INPUT!M3143="","",INPUT!M3143-WEEKDAY(INPUT!M3143,2)+1)</f>
        <v/>
      </c>
      <c r="C3148" s="20">
        <f>IFERROR(_xlfn.ISOWEEKNUM(INPUT!M3143),"")</f>
        <v>52</v>
      </c>
      <c r="D3148" s="20">
        <f>IFERROR(YEAR(INPUT!M3143),"")</f>
        <v>1900</v>
      </c>
      <c r="E3148" t="str">
        <f>IF(INPUT!O3143="","",INPUT!O3143)</f>
        <v/>
      </c>
      <c r="F3148" t="str">
        <f>IF(INPUT!N3143="","",INPUT!N3143)</f>
        <v/>
      </c>
      <c r="G3148" cm="1">
        <f t="array" ref="G3148">IFERROR(VLOOKUP(INPUT!M3143&amp;INPUT!N3143,CHOOSE({1,2},INPUT!$A$3:$A$5000&amp;INPUT!$C$3:$C$5000,INPUT!$F$3:$F$5000),2,FALSE),"")</f>
        <v>0</v>
      </c>
      <c r="H3148" cm="1">
        <f t="array" ref="H3148">IFERROR(VLOOKUP(INPUT!M3143&amp;INPUT!N3143,CHOOSE({1,2},INPUT!$A$3:$A$5000&amp;INPUT!$C$3:$C$5000,INPUT!$D$3:$D$5000),2,FALSE),"")</f>
        <v>0</v>
      </c>
      <c r="I3148" s="46" t="str">
        <f>IF(INPUT!P3143="","",INPUT!P3143)</f>
        <v/>
      </c>
      <c r="J3148" s="46" t="str">
        <f>IF(INPUT!Q3143="","",INPUT!Q3143)</f>
        <v/>
      </c>
      <c r="K3148" s="46" t="str">
        <f>IFERROR(IF(OR(INPUT!P3143="",INPUT!Q3143=""),"",INPUT!P3143-INPUT!Q3143),"")</f>
        <v/>
      </c>
      <c r="L3148" s="48" t="str">
        <f>IFERROR(IF(OR(INPUT!P3143="",INPUT!Q3143="",INPUT!P3143=0),"",(INPUT!P3143-INPUT!Q3143)/INPUT!P3143),"")</f>
        <v/>
      </c>
    </row>
    <row r="3149" spans="1:12" ht="18" hidden="1" customHeight="1" x14ac:dyDescent="0.2">
      <c r="A3149" s="11" t="str">
        <f>IF(INPUT!M3144="","",INPUT!M3144)</f>
        <v/>
      </c>
      <c r="B3149" s="11" t="str">
        <f>IF(INPUT!M3144="","",INPUT!M3144-WEEKDAY(INPUT!M3144,2)+1)</f>
        <v/>
      </c>
      <c r="C3149" s="20">
        <f>IFERROR(_xlfn.ISOWEEKNUM(INPUT!M3144),"")</f>
        <v>52</v>
      </c>
      <c r="D3149" s="20">
        <f>IFERROR(YEAR(INPUT!M3144),"")</f>
        <v>1900</v>
      </c>
      <c r="E3149" t="str">
        <f>IF(INPUT!O3144="","",INPUT!O3144)</f>
        <v/>
      </c>
      <c r="F3149" t="str">
        <f>IF(INPUT!N3144="","",INPUT!N3144)</f>
        <v/>
      </c>
      <c r="G3149" cm="1">
        <f t="array" ref="G3149">IFERROR(VLOOKUP(INPUT!M3144&amp;INPUT!N3144,CHOOSE({1,2},INPUT!$A$3:$A$5000&amp;INPUT!$C$3:$C$5000,INPUT!$F$3:$F$5000),2,FALSE),"")</f>
        <v>0</v>
      </c>
      <c r="H3149" cm="1">
        <f t="array" ref="H3149">IFERROR(VLOOKUP(INPUT!M3144&amp;INPUT!N3144,CHOOSE({1,2},INPUT!$A$3:$A$5000&amp;INPUT!$C$3:$C$5000,INPUT!$D$3:$D$5000),2,FALSE),"")</f>
        <v>0</v>
      </c>
      <c r="I3149" s="46" t="str">
        <f>IF(INPUT!P3144="","",INPUT!P3144)</f>
        <v/>
      </c>
      <c r="J3149" s="46" t="str">
        <f>IF(INPUT!Q3144="","",INPUT!Q3144)</f>
        <v/>
      </c>
      <c r="K3149" s="46" t="str">
        <f>IFERROR(IF(OR(INPUT!P3144="",INPUT!Q3144=""),"",INPUT!P3144-INPUT!Q3144),"")</f>
        <v/>
      </c>
      <c r="L3149" s="48" t="str">
        <f>IFERROR(IF(OR(INPUT!P3144="",INPUT!Q3144="",INPUT!P3144=0),"",(INPUT!P3144-INPUT!Q3144)/INPUT!P3144),"")</f>
        <v/>
      </c>
    </row>
    <row r="3150" spans="1:12" ht="18" hidden="1" customHeight="1" x14ac:dyDescent="0.2">
      <c r="A3150" s="11" t="str">
        <f>IF(INPUT!M3145="","",INPUT!M3145)</f>
        <v/>
      </c>
      <c r="B3150" s="11" t="str">
        <f>IF(INPUT!M3145="","",INPUT!M3145-WEEKDAY(INPUT!M3145,2)+1)</f>
        <v/>
      </c>
      <c r="C3150" s="20">
        <f>IFERROR(_xlfn.ISOWEEKNUM(INPUT!M3145),"")</f>
        <v>52</v>
      </c>
      <c r="D3150" s="20">
        <f>IFERROR(YEAR(INPUT!M3145),"")</f>
        <v>1900</v>
      </c>
      <c r="E3150" t="str">
        <f>IF(INPUT!O3145="","",INPUT!O3145)</f>
        <v/>
      </c>
      <c r="F3150" t="str">
        <f>IF(INPUT!N3145="","",INPUT!N3145)</f>
        <v/>
      </c>
      <c r="G3150" cm="1">
        <f t="array" ref="G3150">IFERROR(VLOOKUP(INPUT!M3145&amp;INPUT!N3145,CHOOSE({1,2},INPUT!$A$3:$A$5000&amp;INPUT!$C$3:$C$5000,INPUT!$F$3:$F$5000),2,FALSE),"")</f>
        <v>0</v>
      </c>
      <c r="H3150" cm="1">
        <f t="array" ref="H3150">IFERROR(VLOOKUP(INPUT!M3145&amp;INPUT!N3145,CHOOSE({1,2},INPUT!$A$3:$A$5000&amp;INPUT!$C$3:$C$5000,INPUT!$D$3:$D$5000),2,FALSE),"")</f>
        <v>0</v>
      </c>
      <c r="I3150" s="46" t="str">
        <f>IF(INPUT!P3145="","",INPUT!P3145)</f>
        <v/>
      </c>
      <c r="J3150" s="46" t="str">
        <f>IF(INPUT!Q3145="","",INPUT!Q3145)</f>
        <v/>
      </c>
      <c r="K3150" s="46" t="str">
        <f>IFERROR(IF(OR(INPUT!P3145="",INPUT!Q3145=""),"",INPUT!P3145-INPUT!Q3145),"")</f>
        <v/>
      </c>
      <c r="L3150" s="48" t="str">
        <f>IFERROR(IF(OR(INPUT!P3145="",INPUT!Q3145="",INPUT!P3145=0),"",(INPUT!P3145-INPUT!Q3145)/INPUT!P3145),"")</f>
        <v/>
      </c>
    </row>
    <row r="3151" spans="1:12" ht="18" hidden="1" customHeight="1" x14ac:dyDescent="0.2">
      <c r="A3151" s="11" t="str">
        <f>IF(INPUT!M3146="","",INPUT!M3146)</f>
        <v/>
      </c>
      <c r="B3151" s="11" t="str">
        <f>IF(INPUT!M3146="","",INPUT!M3146-WEEKDAY(INPUT!M3146,2)+1)</f>
        <v/>
      </c>
      <c r="C3151" s="20">
        <f>IFERROR(_xlfn.ISOWEEKNUM(INPUT!M3146),"")</f>
        <v>52</v>
      </c>
      <c r="D3151" s="20">
        <f>IFERROR(YEAR(INPUT!M3146),"")</f>
        <v>1900</v>
      </c>
      <c r="E3151" t="str">
        <f>IF(INPUT!O3146="","",INPUT!O3146)</f>
        <v/>
      </c>
      <c r="F3151" t="str">
        <f>IF(INPUT!N3146="","",INPUT!N3146)</f>
        <v/>
      </c>
      <c r="G3151" cm="1">
        <f t="array" ref="G3151">IFERROR(VLOOKUP(INPUT!M3146&amp;INPUT!N3146,CHOOSE({1,2},INPUT!$A$3:$A$5000&amp;INPUT!$C$3:$C$5000,INPUT!$F$3:$F$5000),2,FALSE),"")</f>
        <v>0</v>
      </c>
      <c r="H3151" cm="1">
        <f t="array" ref="H3151">IFERROR(VLOOKUP(INPUT!M3146&amp;INPUT!N3146,CHOOSE({1,2},INPUT!$A$3:$A$5000&amp;INPUT!$C$3:$C$5000,INPUT!$D$3:$D$5000),2,FALSE),"")</f>
        <v>0</v>
      </c>
      <c r="I3151" s="46" t="str">
        <f>IF(INPUT!P3146="","",INPUT!P3146)</f>
        <v/>
      </c>
      <c r="J3151" s="46" t="str">
        <f>IF(INPUT!Q3146="","",INPUT!Q3146)</f>
        <v/>
      </c>
      <c r="K3151" s="46" t="str">
        <f>IFERROR(IF(OR(INPUT!P3146="",INPUT!Q3146=""),"",INPUT!P3146-INPUT!Q3146),"")</f>
        <v/>
      </c>
      <c r="L3151" s="48" t="str">
        <f>IFERROR(IF(OR(INPUT!P3146="",INPUT!Q3146="",INPUT!P3146=0),"",(INPUT!P3146-INPUT!Q3146)/INPUT!P3146),"")</f>
        <v/>
      </c>
    </row>
    <row r="3152" spans="1:12" ht="18" hidden="1" customHeight="1" x14ac:dyDescent="0.2">
      <c r="A3152" s="11" t="str">
        <f>IF(INPUT!M3147="","",INPUT!M3147)</f>
        <v/>
      </c>
      <c r="B3152" s="11" t="str">
        <f>IF(INPUT!M3147="","",INPUT!M3147-WEEKDAY(INPUT!M3147,2)+1)</f>
        <v/>
      </c>
      <c r="C3152" s="20">
        <f>IFERROR(_xlfn.ISOWEEKNUM(INPUT!M3147),"")</f>
        <v>52</v>
      </c>
      <c r="D3152" s="20">
        <f>IFERROR(YEAR(INPUT!M3147),"")</f>
        <v>1900</v>
      </c>
      <c r="E3152" t="str">
        <f>IF(INPUT!O3147="","",INPUT!O3147)</f>
        <v/>
      </c>
      <c r="F3152" t="str">
        <f>IF(INPUT!N3147="","",INPUT!N3147)</f>
        <v/>
      </c>
      <c r="G3152" cm="1">
        <f t="array" ref="G3152">IFERROR(VLOOKUP(INPUT!M3147&amp;INPUT!N3147,CHOOSE({1,2},INPUT!$A$3:$A$5000&amp;INPUT!$C$3:$C$5000,INPUT!$F$3:$F$5000),2,FALSE),"")</f>
        <v>0</v>
      </c>
      <c r="H3152" cm="1">
        <f t="array" ref="H3152">IFERROR(VLOOKUP(INPUT!M3147&amp;INPUT!N3147,CHOOSE({1,2},INPUT!$A$3:$A$5000&amp;INPUT!$C$3:$C$5000,INPUT!$D$3:$D$5000),2,FALSE),"")</f>
        <v>0</v>
      </c>
      <c r="I3152" s="46" t="str">
        <f>IF(INPUT!P3147="","",INPUT!P3147)</f>
        <v/>
      </c>
      <c r="J3152" s="46" t="str">
        <f>IF(INPUT!Q3147="","",INPUT!Q3147)</f>
        <v/>
      </c>
      <c r="K3152" s="46" t="str">
        <f>IFERROR(IF(OR(INPUT!P3147="",INPUT!Q3147=""),"",INPUT!P3147-INPUT!Q3147),"")</f>
        <v/>
      </c>
      <c r="L3152" s="48" t="str">
        <f>IFERROR(IF(OR(INPUT!P3147="",INPUT!Q3147="",INPUT!P3147=0),"",(INPUT!P3147-INPUT!Q3147)/INPUT!P3147),"")</f>
        <v/>
      </c>
    </row>
    <row r="3153" spans="1:12" ht="18" hidden="1" customHeight="1" x14ac:dyDescent="0.2">
      <c r="A3153" s="11" t="str">
        <f>IF(INPUT!M3148="","",INPUT!M3148)</f>
        <v/>
      </c>
      <c r="B3153" s="11" t="str">
        <f>IF(INPUT!M3148="","",INPUT!M3148-WEEKDAY(INPUT!M3148,2)+1)</f>
        <v/>
      </c>
      <c r="C3153" s="20">
        <f>IFERROR(_xlfn.ISOWEEKNUM(INPUT!M3148),"")</f>
        <v>52</v>
      </c>
      <c r="D3153" s="20">
        <f>IFERROR(YEAR(INPUT!M3148),"")</f>
        <v>1900</v>
      </c>
      <c r="E3153" t="str">
        <f>IF(INPUT!O3148="","",INPUT!O3148)</f>
        <v/>
      </c>
      <c r="F3153" t="str">
        <f>IF(INPUT!N3148="","",INPUT!N3148)</f>
        <v/>
      </c>
      <c r="G3153" cm="1">
        <f t="array" ref="G3153">IFERROR(VLOOKUP(INPUT!M3148&amp;INPUT!N3148,CHOOSE({1,2},INPUT!$A$3:$A$5000&amp;INPUT!$C$3:$C$5000,INPUT!$F$3:$F$5000),2,FALSE),"")</f>
        <v>0</v>
      </c>
      <c r="H3153" cm="1">
        <f t="array" ref="H3153">IFERROR(VLOOKUP(INPUT!M3148&amp;INPUT!N3148,CHOOSE({1,2},INPUT!$A$3:$A$5000&amp;INPUT!$C$3:$C$5000,INPUT!$D$3:$D$5000),2,FALSE),"")</f>
        <v>0</v>
      </c>
      <c r="I3153" s="46" t="str">
        <f>IF(INPUT!P3148="","",INPUT!P3148)</f>
        <v/>
      </c>
      <c r="J3153" s="46" t="str">
        <f>IF(INPUT!Q3148="","",INPUT!Q3148)</f>
        <v/>
      </c>
      <c r="K3153" s="46" t="str">
        <f>IFERROR(IF(OR(INPUT!P3148="",INPUT!Q3148=""),"",INPUT!P3148-INPUT!Q3148),"")</f>
        <v/>
      </c>
      <c r="L3153" s="48" t="str">
        <f>IFERROR(IF(OR(INPUT!P3148="",INPUT!Q3148="",INPUT!P3148=0),"",(INPUT!P3148-INPUT!Q3148)/INPUT!P3148),"")</f>
        <v/>
      </c>
    </row>
    <row r="3154" spans="1:12" ht="18" hidden="1" customHeight="1" x14ac:dyDescent="0.2">
      <c r="A3154" s="11" t="str">
        <f>IF(INPUT!M3149="","",INPUT!M3149)</f>
        <v/>
      </c>
      <c r="B3154" s="11" t="str">
        <f>IF(INPUT!M3149="","",INPUT!M3149-WEEKDAY(INPUT!M3149,2)+1)</f>
        <v/>
      </c>
      <c r="C3154" s="20">
        <f>IFERROR(_xlfn.ISOWEEKNUM(INPUT!M3149),"")</f>
        <v>52</v>
      </c>
      <c r="D3154" s="20">
        <f>IFERROR(YEAR(INPUT!M3149),"")</f>
        <v>1900</v>
      </c>
      <c r="E3154" t="str">
        <f>IF(INPUT!O3149="","",INPUT!O3149)</f>
        <v/>
      </c>
      <c r="F3154" t="str">
        <f>IF(INPUT!N3149="","",INPUT!N3149)</f>
        <v/>
      </c>
      <c r="G3154" cm="1">
        <f t="array" ref="G3154">IFERROR(VLOOKUP(INPUT!M3149&amp;INPUT!N3149,CHOOSE({1,2},INPUT!$A$3:$A$5000&amp;INPUT!$C$3:$C$5000,INPUT!$F$3:$F$5000),2,FALSE),"")</f>
        <v>0</v>
      </c>
      <c r="H3154" cm="1">
        <f t="array" ref="H3154">IFERROR(VLOOKUP(INPUT!M3149&amp;INPUT!N3149,CHOOSE({1,2},INPUT!$A$3:$A$5000&amp;INPUT!$C$3:$C$5000,INPUT!$D$3:$D$5000),2,FALSE),"")</f>
        <v>0</v>
      </c>
      <c r="I3154" s="46" t="str">
        <f>IF(INPUT!P3149="","",INPUT!P3149)</f>
        <v/>
      </c>
      <c r="J3154" s="46" t="str">
        <f>IF(INPUT!Q3149="","",INPUT!Q3149)</f>
        <v/>
      </c>
      <c r="K3154" s="46" t="str">
        <f>IFERROR(IF(OR(INPUT!P3149="",INPUT!Q3149=""),"",INPUT!P3149-INPUT!Q3149),"")</f>
        <v/>
      </c>
      <c r="L3154" s="48" t="str">
        <f>IFERROR(IF(OR(INPUT!P3149="",INPUT!Q3149="",INPUT!P3149=0),"",(INPUT!P3149-INPUT!Q3149)/INPUT!P3149),"")</f>
        <v/>
      </c>
    </row>
    <row r="3155" spans="1:12" ht="18" hidden="1" customHeight="1" x14ac:dyDescent="0.2">
      <c r="A3155" s="11" t="str">
        <f>IF(INPUT!M3150="","",INPUT!M3150)</f>
        <v/>
      </c>
      <c r="B3155" s="11" t="str">
        <f>IF(INPUT!M3150="","",INPUT!M3150-WEEKDAY(INPUT!M3150,2)+1)</f>
        <v/>
      </c>
      <c r="C3155" s="20">
        <f>IFERROR(_xlfn.ISOWEEKNUM(INPUT!M3150),"")</f>
        <v>52</v>
      </c>
      <c r="D3155" s="20">
        <f>IFERROR(YEAR(INPUT!M3150),"")</f>
        <v>1900</v>
      </c>
      <c r="E3155" t="str">
        <f>IF(INPUT!O3150="","",INPUT!O3150)</f>
        <v/>
      </c>
      <c r="F3155" t="str">
        <f>IF(INPUT!N3150="","",INPUT!N3150)</f>
        <v/>
      </c>
      <c r="G3155" cm="1">
        <f t="array" ref="G3155">IFERROR(VLOOKUP(INPUT!M3150&amp;INPUT!N3150,CHOOSE({1,2},INPUT!$A$3:$A$5000&amp;INPUT!$C$3:$C$5000,INPUT!$F$3:$F$5000),2,FALSE),"")</f>
        <v>0</v>
      </c>
      <c r="H3155" cm="1">
        <f t="array" ref="H3155">IFERROR(VLOOKUP(INPUT!M3150&amp;INPUT!N3150,CHOOSE({1,2},INPUT!$A$3:$A$5000&amp;INPUT!$C$3:$C$5000,INPUT!$D$3:$D$5000),2,FALSE),"")</f>
        <v>0</v>
      </c>
      <c r="I3155" s="46" t="str">
        <f>IF(INPUT!P3150="","",INPUT!P3150)</f>
        <v/>
      </c>
      <c r="J3155" s="46" t="str">
        <f>IF(INPUT!Q3150="","",INPUT!Q3150)</f>
        <v/>
      </c>
      <c r="K3155" s="46" t="str">
        <f>IFERROR(IF(OR(INPUT!P3150="",INPUT!Q3150=""),"",INPUT!P3150-INPUT!Q3150),"")</f>
        <v/>
      </c>
      <c r="L3155" s="48" t="str">
        <f>IFERROR(IF(OR(INPUT!P3150="",INPUT!Q3150="",INPUT!P3150=0),"",(INPUT!P3150-INPUT!Q3150)/INPUT!P3150),"")</f>
        <v/>
      </c>
    </row>
    <row r="3156" spans="1:12" ht="18" hidden="1" customHeight="1" x14ac:dyDescent="0.2">
      <c r="A3156" s="11" t="str">
        <f>IF(INPUT!M3151="","",INPUT!M3151)</f>
        <v/>
      </c>
      <c r="B3156" s="11" t="str">
        <f>IF(INPUT!M3151="","",INPUT!M3151-WEEKDAY(INPUT!M3151,2)+1)</f>
        <v/>
      </c>
      <c r="C3156" s="20">
        <f>IFERROR(_xlfn.ISOWEEKNUM(INPUT!M3151),"")</f>
        <v>52</v>
      </c>
      <c r="D3156" s="20">
        <f>IFERROR(YEAR(INPUT!M3151),"")</f>
        <v>1900</v>
      </c>
      <c r="E3156" t="str">
        <f>IF(INPUT!O3151="","",INPUT!O3151)</f>
        <v/>
      </c>
      <c r="F3156" t="str">
        <f>IF(INPUT!N3151="","",INPUT!N3151)</f>
        <v/>
      </c>
      <c r="G3156" cm="1">
        <f t="array" ref="G3156">IFERROR(VLOOKUP(INPUT!M3151&amp;INPUT!N3151,CHOOSE({1,2},INPUT!$A$3:$A$5000&amp;INPUT!$C$3:$C$5000,INPUT!$F$3:$F$5000),2,FALSE),"")</f>
        <v>0</v>
      </c>
      <c r="H3156" cm="1">
        <f t="array" ref="H3156">IFERROR(VLOOKUP(INPUT!M3151&amp;INPUT!N3151,CHOOSE({1,2},INPUT!$A$3:$A$5000&amp;INPUT!$C$3:$C$5000,INPUT!$D$3:$D$5000),2,FALSE),"")</f>
        <v>0</v>
      </c>
      <c r="I3156" s="46" t="str">
        <f>IF(INPUT!P3151="","",INPUT!P3151)</f>
        <v/>
      </c>
      <c r="J3156" s="46" t="str">
        <f>IF(INPUT!Q3151="","",INPUT!Q3151)</f>
        <v/>
      </c>
      <c r="K3156" s="46" t="str">
        <f>IFERROR(IF(OR(INPUT!P3151="",INPUT!Q3151=""),"",INPUT!P3151-INPUT!Q3151),"")</f>
        <v/>
      </c>
      <c r="L3156" s="48" t="str">
        <f>IFERROR(IF(OR(INPUT!P3151="",INPUT!Q3151="",INPUT!P3151=0),"",(INPUT!P3151-INPUT!Q3151)/INPUT!P3151),"")</f>
        <v/>
      </c>
    </row>
    <row r="3157" spans="1:12" ht="18" hidden="1" customHeight="1" x14ac:dyDescent="0.2">
      <c r="A3157" s="11" t="str">
        <f>IF(INPUT!M3152="","",INPUT!M3152)</f>
        <v/>
      </c>
      <c r="B3157" s="11" t="str">
        <f>IF(INPUT!M3152="","",INPUT!M3152-WEEKDAY(INPUT!M3152,2)+1)</f>
        <v/>
      </c>
      <c r="C3157" s="20">
        <f>IFERROR(_xlfn.ISOWEEKNUM(INPUT!M3152),"")</f>
        <v>52</v>
      </c>
      <c r="D3157" s="20">
        <f>IFERROR(YEAR(INPUT!M3152),"")</f>
        <v>1900</v>
      </c>
      <c r="E3157" t="str">
        <f>IF(INPUT!O3152="","",INPUT!O3152)</f>
        <v/>
      </c>
      <c r="F3157" t="str">
        <f>IF(INPUT!N3152="","",INPUT!N3152)</f>
        <v/>
      </c>
      <c r="G3157" cm="1">
        <f t="array" ref="G3157">IFERROR(VLOOKUP(INPUT!M3152&amp;INPUT!N3152,CHOOSE({1,2},INPUT!$A$3:$A$5000&amp;INPUT!$C$3:$C$5000,INPUT!$F$3:$F$5000),2,FALSE),"")</f>
        <v>0</v>
      </c>
      <c r="H3157" cm="1">
        <f t="array" ref="H3157">IFERROR(VLOOKUP(INPUT!M3152&amp;INPUT!N3152,CHOOSE({1,2},INPUT!$A$3:$A$5000&amp;INPUT!$C$3:$C$5000,INPUT!$D$3:$D$5000),2,FALSE),"")</f>
        <v>0</v>
      </c>
      <c r="I3157" s="46" t="str">
        <f>IF(INPUT!P3152="","",INPUT!P3152)</f>
        <v/>
      </c>
      <c r="J3157" s="46" t="str">
        <f>IF(INPUT!Q3152="","",INPUT!Q3152)</f>
        <v/>
      </c>
      <c r="K3157" s="46" t="str">
        <f>IFERROR(IF(OR(INPUT!P3152="",INPUT!Q3152=""),"",INPUT!P3152-INPUT!Q3152),"")</f>
        <v/>
      </c>
      <c r="L3157" s="48" t="str">
        <f>IFERROR(IF(OR(INPUT!P3152="",INPUT!Q3152="",INPUT!P3152=0),"",(INPUT!P3152-INPUT!Q3152)/INPUT!P3152),"")</f>
        <v/>
      </c>
    </row>
    <row r="3158" spans="1:12" ht="18" hidden="1" customHeight="1" x14ac:dyDescent="0.2">
      <c r="A3158" s="11" t="str">
        <f>IF(INPUT!M3153="","",INPUT!M3153)</f>
        <v/>
      </c>
      <c r="B3158" s="11" t="str">
        <f>IF(INPUT!M3153="","",INPUT!M3153-WEEKDAY(INPUT!M3153,2)+1)</f>
        <v/>
      </c>
      <c r="C3158" s="20">
        <f>IFERROR(_xlfn.ISOWEEKNUM(INPUT!M3153),"")</f>
        <v>52</v>
      </c>
      <c r="D3158" s="20">
        <f>IFERROR(YEAR(INPUT!M3153),"")</f>
        <v>1900</v>
      </c>
      <c r="E3158" t="str">
        <f>IF(INPUT!O3153="","",INPUT!O3153)</f>
        <v/>
      </c>
      <c r="F3158" t="str">
        <f>IF(INPUT!N3153="","",INPUT!N3153)</f>
        <v/>
      </c>
      <c r="G3158" cm="1">
        <f t="array" ref="G3158">IFERROR(VLOOKUP(INPUT!M3153&amp;INPUT!N3153,CHOOSE({1,2},INPUT!$A$3:$A$5000&amp;INPUT!$C$3:$C$5000,INPUT!$F$3:$F$5000),2,FALSE),"")</f>
        <v>0</v>
      </c>
      <c r="H3158" cm="1">
        <f t="array" ref="H3158">IFERROR(VLOOKUP(INPUT!M3153&amp;INPUT!N3153,CHOOSE({1,2},INPUT!$A$3:$A$5000&amp;INPUT!$C$3:$C$5000,INPUT!$D$3:$D$5000),2,FALSE),"")</f>
        <v>0</v>
      </c>
      <c r="I3158" s="46" t="str">
        <f>IF(INPUT!P3153="","",INPUT!P3153)</f>
        <v/>
      </c>
      <c r="J3158" s="46" t="str">
        <f>IF(INPUT!Q3153="","",INPUT!Q3153)</f>
        <v/>
      </c>
      <c r="K3158" s="46" t="str">
        <f>IFERROR(IF(OR(INPUT!P3153="",INPUT!Q3153=""),"",INPUT!P3153-INPUT!Q3153),"")</f>
        <v/>
      </c>
      <c r="L3158" s="48" t="str">
        <f>IFERROR(IF(OR(INPUT!P3153="",INPUT!Q3153="",INPUT!P3153=0),"",(INPUT!P3153-INPUT!Q3153)/INPUT!P3153),"")</f>
        <v/>
      </c>
    </row>
    <row r="3159" spans="1:12" ht="18" hidden="1" customHeight="1" x14ac:dyDescent="0.2">
      <c r="A3159" s="11" t="str">
        <f>IF(INPUT!M3154="","",INPUT!M3154)</f>
        <v/>
      </c>
      <c r="B3159" s="11" t="str">
        <f>IF(INPUT!M3154="","",INPUT!M3154-WEEKDAY(INPUT!M3154,2)+1)</f>
        <v/>
      </c>
      <c r="C3159" s="20">
        <f>IFERROR(_xlfn.ISOWEEKNUM(INPUT!M3154),"")</f>
        <v>52</v>
      </c>
      <c r="D3159" s="20">
        <f>IFERROR(YEAR(INPUT!M3154),"")</f>
        <v>1900</v>
      </c>
      <c r="E3159" t="str">
        <f>IF(INPUT!O3154="","",INPUT!O3154)</f>
        <v/>
      </c>
      <c r="F3159" t="str">
        <f>IF(INPUT!N3154="","",INPUT!N3154)</f>
        <v/>
      </c>
      <c r="G3159" cm="1">
        <f t="array" ref="G3159">IFERROR(VLOOKUP(INPUT!M3154&amp;INPUT!N3154,CHOOSE({1,2},INPUT!$A$3:$A$5000&amp;INPUT!$C$3:$C$5000,INPUT!$F$3:$F$5000),2,FALSE),"")</f>
        <v>0</v>
      </c>
      <c r="H3159" cm="1">
        <f t="array" ref="H3159">IFERROR(VLOOKUP(INPUT!M3154&amp;INPUT!N3154,CHOOSE({1,2},INPUT!$A$3:$A$5000&amp;INPUT!$C$3:$C$5000,INPUT!$D$3:$D$5000),2,FALSE),"")</f>
        <v>0</v>
      </c>
      <c r="I3159" s="46" t="str">
        <f>IF(INPUT!P3154="","",INPUT!P3154)</f>
        <v/>
      </c>
      <c r="J3159" s="46" t="str">
        <f>IF(INPUT!Q3154="","",INPUT!Q3154)</f>
        <v/>
      </c>
      <c r="K3159" s="46" t="str">
        <f>IFERROR(IF(OR(INPUT!P3154="",INPUT!Q3154=""),"",INPUT!P3154-INPUT!Q3154),"")</f>
        <v/>
      </c>
      <c r="L3159" s="48" t="str">
        <f>IFERROR(IF(OR(INPUT!P3154="",INPUT!Q3154="",INPUT!P3154=0),"",(INPUT!P3154-INPUT!Q3154)/INPUT!P3154),"")</f>
        <v/>
      </c>
    </row>
    <row r="3160" spans="1:12" ht="18" hidden="1" customHeight="1" x14ac:dyDescent="0.2">
      <c r="A3160" s="11" t="str">
        <f>IF(INPUT!M3155="","",INPUT!M3155)</f>
        <v/>
      </c>
      <c r="B3160" s="11" t="str">
        <f>IF(INPUT!M3155="","",INPUT!M3155-WEEKDAY(INPUT!M3155,2)+1)</f>
        <v/>
      </c>
      <c r="C3160" s="20">
        <f>IFERROR(_xlfn.ISOWEEKNUM(INPUT!M3155),"")</f>
        <v>52</v>
      </c>
      <c r="D3160" s="20">
        <f>IFERROR(YEAR(INPUT!M3155),"")</f>
        <v>1900</v>
      </c>
      <c r="E3160" t="str">
        <f>IF(INPUT!O3155="","",INPUT!O3155)</f>
        <v/>
      </c>
      <c r="F3160" t="str">
        <f>IF(INPUT!N3155="","",INPUT!N3155)</f>
        <v/>
      </c>
      <c r="G3160" cm="1">
        <f t="array" ref="G3160">IFERROR(VLOOKUP(INPUT!M3155&amp;INPUT!N3155,CHOOSE({1,2},INPUT!$A$3:$A$5000&amp;INPUT!$C$3:$C$5000,INPUT!$F$3:$F$5000),2,FALSE),"")</f>
        <v>0</v>
      </c>
      <c r="H3160" cm="1">
        <f t="array" ref="H3160">IFERROR(VLOOKUP(INPUT!M3155&amp;INPUT!N3155,CHOOSE({1,2},INPUT!$A$3:$A$5000&amp;INPUT!$C$3:$C$5000,INPUT!$D$3:$D$5000),2,FALSE),"")</f>
        <v>0</v>
      </c>
      <c r="I3160" s="46" t="str">
        <f>IF(INPUT!P3155="","",INPUT!P3155)</f>
        <v/>
      </c>
      <c r="J3160" s="46" t="str">
        <f>IF(INPUT!Q3155="","",INPUT!Q3155)</f>
        <v/>
      </c>
      <c r="K3160" s="46" t="str">
        <f>IFERROR(IF(OR(INPUT!P3155="",INPUT!Q3155=""),"",INPUT!P3155-INPUT!Q3155),"")</f>
        <v/>
      </c>
      <c r="L3160" s="48" t="str">
        <f>IFERROR(IF(OR(INPUT!P3155="",INPUT!Q3155="",INPUT!P3155=0),"",(INPUT!P3155-INPUT!Q3155)/INPUT!P3155),"")</f>
        <v/>
      </c>
    </row>
    <row r="3161" spans="1:12" ht="18" hidden="1" customHeight="1" x14ac:dyDescent="0.2">
      <c r="A3161" s="11" t="str">
        <f>IF(INPUT!M3156="","",INPUT!M3156)</f>
        <v/>
      </c>
      <c r="B3161" s="11" t="str">
        <f>IF(INPUT!M3156="","",INPUT!M3156-WEEKDAY(INPUT!M3156,2)+1)</f>
        <v/>
      </c>
      <c r="C3161" s="20">
        <f>IFERROR(_xlfn.ISOWEEKNUM(INPUT!M3156),"")</f>
        <v>52</v>
      </c>
      <c r="D3161" s="20">
        <f>IFERROR(YEAR(INPUT!M3156),"")</f>
        <v>1900</v>
      </c>
      <c r="E3161" t="str">
        <f>IF(INPUT!O3156="","",INPUT!O3156)</f>
        <v/>
      </c>
      <c r="F3161" t="str">
        <f>IF(INPUT!N3156="","",INPUT!N3156)</f>
        <v/>
      </c>
      <c r="G3161" cm="1">
        <f t="array" ref="G3161">IFERROR(VLOOKUP(INPUT!M3156&amp;INPUT!N3156,CHOOSE({1,2},INPUT!$A$3:$A$5000&amp;INPUT!$C$3:$C$5000,INPUT!$F$3:$F$5000),2,FALSE),"")</f>
        <v>0</v>
      </c>
      <c r="H3161" cm="1">
        <f t="array" ref="H3161">IFERROR(VLOOKUP(INPUT!M3156&amp;INPUT!N3156,CHOOSE({1,2},INPUT!$A$3:$A$5000&amp;INPUT!$C$3:$C$5000,INPUT!$D$3:$D$5000),2,FALSE),"")</f>
        <v>0</v>
      </c>
      <c r="I3161" s="46" t="str">
        <f>IF(INPUT!P3156="","",INPUT!P3156)</f>
        <v/>
      </c>
      <c r="J3161" s="46" t="str">
        <f>IF(INPUT!Q3156="","",INPUT!Q3156)</f>
        <v/>
      </c>
      <c r="K3161" s="46" t="str">
        <f>IFERROR(IF(OR(INPUT!P3156="",INPUT!Q3156=""),"",INPUT!P3156-INPUT!Q3156),"")</f>
        <v/>
      </c>
      <c r="L3161" s="48" t="str">
        <f>IFERROR(IF(OR(INPUT!P3156="",INPUT!Q3156="",INPUT!P3156=0),"",(INPUT!P3156-INPUT!Q3156)/INPUT!P3156),"")</f>
        <v/>
      </c>
    </row>
    <row r="3162" spans="1:12" ht="18" hidden="1" customHeight="1" x14ac:dyDescent="0.2">
      <c r="A3162" s="11" t="str">
        <f>IF(INPUT!M3157="","",INPUT!M3157)</f>
        <v/>
      </c>
      <c r="B3162" s="11" t="str">
        <f>IF(INPUT!M3157="","",INPUT!M3157-WEEKDAY(INPUT!M3157,2)+1)</f>
        <v/>
      </c>
      <c r="C3162" s="20">
        <f>IFERROR(_xlfn.ISOWEEKNUM(INPUT!M3157),"")</f>
        <v>52</v>
      </c>
      <c r="D3162" s="20">
        <f>IFERROR(YEAR(INPUT!M3157),"")</f>
        <v>1900</v>
      </c>
      <c r="E3162" t="str">
        <f>IF(INPUT!O3157="","",INPUT!O3157)</f>
        <v/>
      </c>
      <c r="F3162" t="str">
        <f>IF(INPUT!N3157="","",INPUT!N3157)</f>
        <v/>
      </c>
      <c r="G3162" cm="1">
        <f t="array" ref="G3162">IFERROR(VLOOKUP(INPUT!M3157&amp;INPUT!N3157,CHOOSE({1,2},INPUT!$A$3:$A$5000&amp;INPUT!$C$3:$C$5000,INPUT!$F$3:$F$5000),2,FALSE),"")</f>
        <v>0</v>
      </c>
      <c r="H3162" cm="1">
        <f t="array" ref="H3162">IFERROR(VLOOKUP(INPUT!M3157&amp;INPUT!N3157,CHOOSE({1,2},INPUT!$A$3:$A$5000&amp;INPUT!$C$3:$C$5000,INPUT!$D$3:$D$5000),2,FALSE),"")</f>
        <v>0</v>
      </c>
      <c r="I3162" s="46" t="str">
        <f>IF(INPUT!P3157="","",INPUT!P3157)</f>
        <v/>
      </c>
      <c r="J3162" s="46" t="str">
        <f>IF(INPUT!Q3157="","",INPUT!Q3157)</f>
        <v/>
      </c>
      <c r="K3162" s="46" t="str">
        <f>IFERROR(IF(OR(INPUT!P3157="",INPUT!Q3157=""),"",INPUT!P3157-INPUT!Q3157),"")</f>
        <v/>
      </c>
      <c r="L3162" s="48" t="str">
        <f>IFERROR(IF(OR(INPUT!P3157="",INPUT!Q3157="",INPUT!P3157=0),"",(INPUT!P3157-INPUT!Q3157)/INPUT!P3157),"")</f>
        <v/>
      </c>
    </row>
    <row r="3163" spans="1:12" ht="18" hidden="1" customHeight="1" x14ac:dyDescent="0.2">
      <c r="A3163" s="11" t="str">
        <f>IF(INPUT!M3158="","",INPUT!M3158)</f>
        <v/>
      </c>
      <c r="B3163" s="11" t="str">
        <f>IF(INPUT!M3158="","",INPUT!M3158-WEEKDAY(INPUT!M3158,2)+1)</f>
        <v/>
      </c>
      <c r="C3163" s="20">
        <f>IFERROR(_xlfn.ISOWEEKNUM(INPUT!M3158),"")</f>
        <v>52</v>
      </c>
      <c r="D3163" s="20">
        <f>IFERROR(YEAR(INPUT!M3158),"")</f>
        <v>1900</v>
      </c>
      <c r="E3163" t="str">
        <f>IF(INPUT!O3158="","",INPUT!O3158)</f>
        <v/>
      </c>
      <c r="F3163" t="str">
        <f>IF(INPUT!N3158="","",INPUT!N3158)</f>
        <v/>
      </c>
      <c r="G3163" cm="1">
        <f t="array" ref="G3163">IFERROR(VLOOKUP(INPUT!M3158&amp;INPUT!N3158,CHOOSE({1,2},INPUT!$A$3:$A$5000&amp;INPUT!$C$3:$C$5000,INPUT!$F$3:$F$5000),2,FALSE),"")</f>
        <v>0</v>
      </c>
      <c r="H3163" cm="1">
        <f t="array" ref="H3163">IFERROR(VLOOKUP(INPUT!M3158&amp;INPUT!N3158,CHOOSE({1,2},INPUT!$A$3:$A$5000&amp;INPUT!$C$3:$C$5000,INPUT!$D$3:$D$5000),2,FALSE),"")</f>
        <v>0</v>
      </c>
      <c r="I3163" s="46" t="str">
        <f>IF(INPUT!P3158="","",INPUT!P3158)</f>
        <v/>
      </c>
      <c r="J3163" s="46" t="str">
        <f>IF(INPUT!Q3158="","",INPUT!Q3158)</f>
        <v/>
      </c>
      <c r="K3163" s="46" t="str">
        <f>IFERROR(IF(OR(INPUT!P3158="",INPUT!Q3158=""),"",INPUT!P3158-INPUT!Q3158),"")</f>
        <v/>
      </c>
      <c r="L3163" s="48" t="str">
        <f>IFERROR(IF(OR(INPUT!P3158="",INPUT!Q3158="",INPUT!P3158=0),"",(INPUT!P3158-INPUT!Q3158)/INPUT!P3158),"")</f>
        <v/>
      </c>
    </row>
    <row r="3164" spans="1:12" ht="18" hidden="1" customHeight="1" x14ac:dyDescent="0.2">
      <c r="A3164" s="11" t="str">
        <f>IF(INPUT!M3159="","",INPUT!M3159)</f>
        <v/>
      </c>
      <c r="B3164" s="11" t="str">
        <f>IF(INPUT!M3159="","",INPUT!M3159-WEEKDAY(INPUT!M3159,2)+1)</f>
        <v/>
      </c>
      <c r="C3164" s="20">
        <f>IFERROR(_xlfn.ISOWEEKNUM(INPUT!M3159),"")</f>
        <v>52</v>
      </c>
      <c r="D3164" s="20">
        <f>IFERROR(YEAR(INPUT!M3159),"")</f>
        <v>1900</v>
      </c>
      <c r="E3164" t="str">
        <f>IF(INPUT!O3159="","",INPUT!O3159)</f>
        <v/>
      </c>
      <c r="F3164" t="str">
        <f>IF(INPUT!N3159="","",INPUT!N3159)</f>
        <v/>
      </c>
      <c r="G3164" cm="1">
        <f t="array" ref="G3164">IFERROR(VLOOKUP(INPUT!M3159&amp;INPUT!N3159,CHOOSE({1,2},INPUT!$A$3:$A$5000&amp;INPUT!$C$3:$C$5000,INPUT!$F$3:$F$5000),2,FALSE),"")</f>
        <v>0</v>
      </c>
      <c r="H3164" cm="1">
        <f t="array" ref="H3164">IFERROR(VLOOKUP(INPUT!M3159&amp;INPUT!N3159,CHOOSE({1,2},INPUT!$A$3:$A$5000&amp;INPUT!$C$3:$C$5000,INPUT!$D$3:$D$5000),2,FALSE),"")</f>
        <v>0</v>
      </c>
      <c r="I3164" s="46" t="str">
        <f>IF(INPUT!P3159="","",INPUT!P3159)</f>
        <v/>
      </c>
      <c r="J3164" s="46" t="str">
        <f>IF(INPUT!Q3159="","",INPUT!Q3159)</f>
        <v/>
      </c>
      <c r="K3164" s="46" t="str">
        <f>IFERROR(IF(OR(INPUT!P3159="",INPUT!Q3159=""),"",INPUT!P3159-INPUT!Q3159),"")</f>
        <v/>
      </c>
      <c r="L3164" s="48" t="str">
        <f>IFERROR(IF(OR(INPUT!P3159="",INPUT!Q3159="",INPUT!P3159=0),"",(INPUT!P3159-INPUT!Q3159)/INPUT!P3159),"")</f>
        <v/>
      </c>
    </row>
    <row r="3165" spans="1:12" ht="18" hidden="1" customHeight="1" x14ac:dyDescent="0.2">
      <c r="A3165" s="11" t="str">
        <f>IF(INPUT!M3160="","",INPUT!M3160)</f>
        <v/>
      </c>
      <c r="B3165" s="11" t="str">
        <f>IF(INPUT!M3160="","",INPUT!M3160-WEEKDAY(INPUT!M3160,2)+1)</f>
        <v/>
      </c>
      <c r="C3165" s="20">
        <f>IFERROR(_xlfn.ISOWEEKNUM(INPUT!M3160),"")</f>
        <v>52</v>
      </c>
      <c r="D3165" s="20">
        <f>IFERROR(YEAR(INPUT!M3160),"")</f>
        <v>1900</v>
      </c>
      <c r="E3165" t="str">
        <f>IF(INPUT!O3160="","",INPUT!O3160)</f>
        <v/>
      </c>
      <c r="F3165" t="str">
        <f>IF(INPUT!N3160="","",INPUT!N3160)</f>
        <v/>
      </c>
      <c r="G3165" cm="1">
        <f t="array" ref="G3165">IFERROR(VLOOKUP(INPUT!M3160&amp;INPUT!N3160,CHOOSE({1,2},INPUT!$A$3:$A$5000&amp;INPUT!$C$3:$C$5000,INPUT!$F$3:$F$5000),2,FALSE),"")</f>
        <v>0</v>
      </c>
      <c r="H3165" cm="1">
        <f t="array" ref="H3165">IFERROR(VLOOKUP(INPUT!M3160&amp;INPUT!N3160,CHOOSE({1,2},INPUT!$A$3:$A$5000&amp;INPUT!$C$3:$C$5000,INPUT!$D$3:$D$5000),2,FALSE),"")</f>
        <v>0</v>
      </c>
      <c r="I3165" s="46" t="str">
        <f>IF(INPUT!P3160="","",INPUT!P3160)</f>
        <v/>
      </c>
      <c r="J3165" s="46" t="str">
        <f>IF(INPUT!Q3160="","",INPUT!Q3160)</f>
        <v/>
      </c>
      <c r="K3165" s="46" t="str">
        <f>IFERROR(IF(OR(INPUT!P3160="",INPUT!Q3160=""),"",INPUT!P3160-INPUT!Q3160),"")</f>
        <v/>
      </c>
      <c r="L3165" s="48" t="str">
        <f>IFERROR(IF(OR(INPUT!P3160="",INPUT!Q3160="",INPUT!P3160=0),"",(INPUT!P3160-INPUT!Q3160)/INPUT!P3160),"")</f>
        <v/>
      </c>
    </row>
    <row r="3166" spans="1:12" ht="18" hidden="1" customHeight="1" x14ac:dyDescent="0.2">
      <c r="A3166" s="11" t="str">
        <f>IF(INPUT!M3161="","",INPUT!M3161)</f>
        <v/>
      </c>
      <c r="B3166" s="11" t="str">
        <f>IF(INPUT!M3161="","",INPUT!M3161-WEEKDAY(INPUT!M3161,2)+1)</f>
        <v/>
      </c>
      <c r="C3166" s="20">
        <f>IFERROR(_xlfn.ISOWEEKNUM(INPUT!M3161),"")</f>
        <v>52</v>
      </c>
      <c r="D3166" s="20">
        <f>IFERROR(YEAR(INPUT!M3161),"")</f>
        <v>1900</v>
      </c>
      <c r="E3166" t="str">
        <f>IF(INPUT!O3161="","",INPUT!O3161)</f>
        <v/>
      </c>
      <c r="F3166" t="str">
        <f>IF(INPUT!N3161="","",INPUT!N3161)</f>
        <v/>
      </c>
      <c r="G3166" cm="1">
        <f t="array" ref="G3166">IFERROR(VLOOKUP(INPUT!M3161&amp;INPUT!N3161,CHOOSE({1,2},INPUT!$A$3:$A$5000&amp;INPUT!$C$3:$C$5000,INPUT!$F$3:$F$5000),2,FALSE),"")</f>
        <v>0</v>
      </c>
      <c r="H3166" cm="1">
        <f t="array" ref="H3166">IFERROR(VLOOKUP(INPUT!M3161&amp;INPUT!N3161,CHOOSE({1,2},INPUT!$A$3:$A$5000&amp;INPUT!$C$3:$C$5000,INPUT!$D$3:$D$5000),2,FALSE),"")</f>
        <v>0</v>
      </c>
      <c r="I3166" s="46" t="str">
        <f>IF(INPUT!P3161="","",INPUT!P3161)</f>
        <v/>
      </c>
      <c r="J3166" s="46" t="str">
        <f>IF(INPUT!Q3161="","",INPUT!Q3161)</f>
        <v/>
      </c>
      <c r="K3166" s="46" t="str">
        <f>IFERROR(IF(OR(INPUT!P3161="",INPUT!Q3161=""),"",INPUT!P3161-INPUT!Q3161),"")</f>
        <v/>
      </c>
      <c r="L3166" s="48" t="str">
        <f>IFERROR(IF(OR(INPUT!P3161="",INPUT!Q3161="",INPUT!P3161=0),"",(INPUT!P3161-INPUT!Q3161)/INPUT!P3161),"")</f>
        <v/>
      </c>
    </row>
    <row r="3167" spans="1:12" ht="18" hidden="1" customHeight="1" x14ac:dyDescent="0.2">
      <c r="A3167" s="11" t="str">
        <f>IF(INPUT!M3162="","",INPUT!M3162)</f>
        <v/>
      </c>
      <c r="B3167" s="11" t="str">
        <f>IF(INPUT!M3162="","",INPUT!M3162-WEEKDAY(INPUT!M3162,2)+1)</f>
        <v/>
      </c>
      <c r="C3167" s="20">
        <f>IFERROR(_xlfn.ISOWEEKNUM(INPUT!M3162),"")</f>
        <v>52</v>
      </c>
      <c r="D3167" s="20">
        <f>IFERROR(YEAR(INPUT!M3162),"")</f>
        <v>1900</v>
      </c>
      <c r="E3167" t="str">
        <f>IF(INPUT!O3162="","",INPUT!O3162)</f>
        <v/>
      </c>
      <c r="F3167" t="str">
        <f>IF(INPUT!N3162="","",INPUT!N3162)</f>
        <v/>
      </c>
      <c r="G3167" cm="1">
        <f t="array" ref="G3167">IFERROR(VLOOKUP(INPUT!M3162&amp;INPUT!N3162,CHOOSE({1,2},INPUT!$A$3:$A$5000&amp;INPUT!$C$3:$C$5000,INPUT!$F$3:$F$5000),2,FALSE),"")</f>
        <v>0</v>
      </c>
      <c r="H3167" cm="1">
        <f t="array" ref="H3167">IFERROR(VLOOKUP(INPUT!M3162&amp;INPUT!N3162,CHOOSE({1,2},INPUT!$A$3:$A$5000&amp;INPUT!$C$3:$C$5000,INPUT!$D$3:$D$5000),2,FALSE),"")</f>
        <v>0</v>
      </c>
      <c r="I3167" s="46" t="str">
        <f>IF(INPUT!P3162="","",INPUT!P3162)</f>
        <v/>
      </c>
      <c r="J3167" s="46" t="str">
        <f>IF(INPUT!Q3162="","",INPUT!Q3162)</f>
        <v/>
      </c>
      <c r="K3167" s="46" t="str">
        <f>IFERROR(IF(OR(INPUT!P3162="",INPUT!Q3162=""),"",INPUT!P3162-INPUT!Q3162),"")</f>
        <v/>
      </c>
      <c r="L3167" s="48" t="str">
        <f>IFERROR(IF(OR(INPUT!P3162="",INPUT!Q3162="",INPUT!P3162=0),"",(INPUT!P3162-INPUT!Q3162)/INPUT!P3162),"")</f>
        <v/>
      </c>
    </row>
    <row r="3168" spans="1:12" ht="18" hidden="1" customHeight="1" x14ac:dyDescent="0.2">
      <c r="A3168" s="11" t="str">
        <f>IF(INPUT!M3163="","",INPUT!M3163)</f>
        <v/>
      </c>
      <c r="B3168" s="11" t="str">
        <f>IF(INPUT!M3163="","",INPUT!M3163-WEEKDAY(INPUT!M3163,2)+1)</f>
        <v/>
      </c>
      <c r="C3168" s="20">
        <f>IFERROR(_xlfn.ISOWEEKNUM(INPUT!M3163),"")</f>
        <v>52</v>
      </c>
      <c r="D3168" s="20">
        <f>IFERROR(YEAR(INPUT!M3163),"")</f>
        <v>1900</v>
      </c>
      <c r="E3168" t="str">
        <f>IF(INPUT!O3163="","",INPUT!O3163)</f>
        <v/>
      </c>
      <c r="F3168" t="str">
        <f>IF(INPUT!N3163="","",INPUT!N3163)</f>
        <v/>
      </c>
      <c r="G3168" cm="1">
        <f t="array" ref="G3168">IFERROR(VLOOKUP(INPUT!M3163&amp;INPUT!N3163,CHOOSE({1,2},INPUT!$A$3:$A$5000&amp;INPUT!$C$3:$C$5000,INPUT!$F$3:$F$5000),2,FALSE),"")</f>
        <v>0</v>
      </c>
      <c r="H3168" cm="1">
        <f t="array" ref="H3168">IFERROR(VLOOKUP(INPUT!M3163&amp;INPUT!N3163,CHOOSE({1,2},INPUT!$A$3:$A$5000&amp;INPUT!$C$3:$C$5000,INPUT!$D$3:$D$5000),2,FALSE),"")</f>
        <v>0</v>
      </c>
      <c r="I3168" s="46" t="str">
        <f>IF(INPUT!P3163="","",INPUT!P3163)</f>
        <v/>
      </c>
      <c r="J3168" s="46" t="str">
        <f>IF(INPUT!Q3163="","",INPUT!Q3163)</f>
        <v/>
      </c>
      <c r="K3168" s="46" t="str">
        <f>IFERROR(IF(OR(INPUT!P3163="",INPUT!Q3163=""),"",INPUT!P3163-INPUT!Q3163),"")</f>
        <v/>
      </c>
      <c r="L3168" s="48" t="str">
        <f>IFERROR(IF(OR(INPUT!P3163="",INPUT!Q3163="",INPUT!P3163=0),"",(INPUT!P3163-INPUT!Q3163)/INPUT!P3163),"")</f>
        <v/>
      </c>
    </row>
    <row r="3169" spans="1:12" ht="18" hidden="1" customHeight="1" x14ac:dyDescent="0.2">
      <c r="A3169" s="11" t="str">
        <f>IF(INPUT!M3164="","",INPUT!M3164)</f>
        <v/>
      </c>
      <c r="B3169" s="11" t="str">
        <f>IF(INPUT!M3164="","",INPUT!M3164-WEEKDAY(INPUT!M3164,2)+1)</f>
        <v/>
      </c>
      <c r="C3169" s="20">
        <f>IFERROR(_xlfn.ISOWEEKNUM(INPUT!M3164),"")</f>
        <v>52</v>
      </c>
      <c r="D3169" s="20">
        <f>IFERROR(YEAR(INPUT!M3164),"")</f>
        <v>1900</v>
      </c>
      <c r="E3169" t="str">
        <f>IF(INPUT!O3164="","",INPUT!O3164)</f>
        <v/>
      </c>
      <c r="F3169" t="str">
        <f>IF(INPUT!N3164="","",INPUT!N3164)</f>
        <v/>
      </c>
      <c r="G3169" cm="1">
        <f t="array" ref="G3169">IFERROR(VLOOKUP(INPUT!M3164&amp;INPUT!N3164,CHOOSE({1,2},INPUT!$A$3:$A$5000&amp;INPUT!$C$3:$C$5000,INPUT!$F$3:$F$5000),2,FALSE),"")</f>
        <v>0</v>
      </c>
      <c r="H3169" cm="1">
        <f t="array" ref="H3169">IFERROR(VLOOKUP(INPUT!M3164&amp;INPUT!N3164,CHOOSE({1,2},INPUT!$A$3:$A$5000&amp;INPUT!$C$3:$C$5000,INPUT!$D$3:$D$5000),2,FALSE),"")</f>
        <v>0</v>
      </c>
      <c r="I3169" s="46" t="str">
        <f>IF(INPUT!P3164="","",INPUT!P3164)</f>
        <v/>
      </c>
      <c r="J3169" s="46" t="str">
        <f>IF(INPUT!Q3164="","",INPUT!Q3164)</f>
        <v/>
      </c>
      <c r="K3169" s="46" t="str">
        <f>IFERROR(IF(OR(INPUT!P3164="",INPUT!Q3164=""),"",INPUT!P3164-INPUT!Q3164),"")</f>
        <v/>
      </c>
      <c r="L3169" s="48" t="str">
        <f>IFERROR(IF(OR(INPUT!P3164="",INPUT!Q3164="",INPUT!P3164=0),"",(INPUT!P3164-INPUT!Q3164)/INPUT!P3164),"")</f>
        <v/>
      </c>
    </row>
    <row r="3170" spans="1:12" ht="18" hidden="1" customHeight="1" x14ac:dyDescent="0.2">
      <c r="A3170" s="11" t="str">
        <f>IF(INPUT!M3165="","",INPUT!M3165)</f>
        <v/>
      </c>
      <c r="B3170" s="11" t="str">
        <f>IF(INPUT!M3165="","",INPUT!M3165-WEEKDAY(INPUT!M3165,2)+1)</f>
        <v/>
      </c>
      <c r="C3170" s="20">
        <f>IFERROR(_xlfn.ISOWEEKNUM(INPUT!M3165),"")</f>
        <v>52</v>
      </c>
      <c r="D3170" s="20">
        <f>IFERROR(YEAR(INPUT!M3165),"")</f>
        <v>1900</v>
      </c>
      <c r="E3170" t="str">
        <f>IF(INPUT!O3165="","",INPUT!O3165)</f>
        <v/>
      </c>
      <c r="F3170" t="str">
        <f>IF(INPUT!N3165="","",INPUT!N3165)</f>
        <v/>
      </c>
      <c r="G3170" cm="1">
        <f t="array" ref="G3170">IFERROR(VLOOKUP(INPUT!M3165&amp;INPUT!N3165,CHOOSE({1,2},INPUT!$A$3:$A$5000&amp;INPUT!$C$3:$C$5000,INPUT!$F$3:$F$5000),2,FALSE),"")</f>
        <v>0</v>
      </c>
      <c r="H3170" cm="1">
        <f t="array" ref="H3170">IFERROR(VLOOKUP(INPUT!M3165&amp;INPUT!N3165,CHOOSE({1,2},INPUT!$A$3:$A$5000&amp;INPUT!$C$3:$C$5000,INPUT!$D$3:$D$5000),2,FALSE),"")</f>
        <v>0</v>
      </c>
      <c r="I3170" s="46" t="str">
        <f>IF(INPUT!P3165="","",INPUT!P3165)</f>
        <v/>
      </c>
      <c r="J3170" s="46" t="str">
        <f>IF(INPUT!Q3165="","",INPUT!Q3165)</f>
        <v/>
      </c>
      <c r="K3170" s="46" t="str">
        <f>IFERROR(IF(OR(INPUT!P3165="",INPUT!Q3165=""),"",INPUT!P3165-INPUT!Q3165),"")</f>
        <v/>
      </c>
      <c r="L3170" s="48" t="str">
        <f>IFERROR(IF(OR(INPUT!P3165="",INPUT!Q3165="",INPUT!P3165=0),"",(INPUT!P3165-INPUT!Q3165)/INPUT!P3165),"")</f>
        <v/>
      </c>
    </row>
    <row r="3171" spans="1:12" ht="18" hidden="1" customHeight="1" x14ac:dyDescent="0.2">
      <c r="A3171" s="11" t="str">
        <f>IF(INPUT!M3166="","",INPUT!M3166)</f>
        <v/>
      </c>
      <c r="B3171" s="11" t="str">
        <f>IF(INPUT!M3166="","",INPUT!M3166-WEEKDAY(INPUT!M3166,2)+1)</f>
        <v/>
      </c>
      <c r="C3171" s="20">
        <f>IFERROR(_xlfn.ISOWEEKNUM(INPUT!M3166),"")</f>
        <v>52</v>
      </c>
      <c r="D3171" s="20">
        <f>IFERROR(YEAR(INPUT!M3166),"")</f>
        <v>1900</v>
      </c>
      <c r="E3171" t="str">
        <f>IF(INPUT!O3166="","",INPUT!O3166)</f>
        <v/>
      </c>
      <c r="F3171" t="str">
        <f>IF(INPUT!N3166="","",INPUT!N3166)</f>
        <v/>
      </c>
      <c r="G3171" cm="1">
        <f t="array" ref="G3171">IFERROR(VLOOKUP(INPUT!M3166&amp;INPUT!N3166,CHOOSE({1,2},INPUT!$A$3:$A$5000&amp;INPUT!$C$3:$C$5000,INPUT!$F$3:$F$5000),2,FALSE),"")</f>
        <v>0</v>
      </c>
      <c r="H3171" cm="1">
        <f t="array" ref="H3171">IFERROR(VLOOKUP(INPUT!M3166&amp;INPUT!N3166,CHOOSE({1,2},INPUT!$A$3:$A$5000&amp;INPUT!$C$3:$C$5000,INPUT!$D$3:$D$5000),2,FALSE),"")</f>
        <v>0</v>
      </c>
      <c r="I3171" s="46" t="str">
        <f>IF(INPUT!P3166="","",INPUT!P3166)</f>
        <v/>
      </c>
      <c r="J3171" s="46" t="str">
        <f>IF(INPUT!Q3166="","",INPUT!Q3166)</f>
        <v/>
      </c>
      <c r="K3171" s="46" t="str">
        <f>IFERROR(IF(OR(INPUT!P3166="",INPUT!Q3166=""),"",INPUT!P3166-INPUT!Q3166),"")</f>
        <v/>
      </c>
      <c r="L3171" s="48" t="str">
        <f>IFERROR(IF(OR(INPUT!P3166="",INPUT!Q3166="",INPUT!P3166=0),"",(INPUT!P3166-INPUT!Q3166)/INPUT!P3166),"")</f>
        <v/>
      </c>
    </row>
    <row r="3172" spans="1:12" ht="18" hidden="1" customHeight="1" x14ac:dyDescent="0.2">
      <c r="A3172" s="11" t="str">
        <f>IF(INPUT!M3167="","",INPUT!M3167)</f>
        <v/>
      </c>
      <c r="B3172" s="11" t="str">
        <f>IF(INPUT!M3167="","",INPUT!M3167-WEEKDAY(INPUT!M3167,2)+1)</f>
        <v/>
      </c>
      <c r="C3172" s="20">
        <f>IFERROR(_xlfn.ISOWEEKNUM(INPUT!M3167),"")</f>
        <v>52</v>
      </c>
      <c r="D3172" s="20">
        <f>IFERROR(YEAR(INPUT!M3167),"")</f>
        <v>1900</v>
      </c>
      <c r="E3172" t="str">
        <f>IF(INPUT!O3167="","",INPUT!O3167)</f>
        <v/>
      </c>
      <c r="F3172" t="str">
        <f>IF(INPUT!N3167="","",INPUT!N3167)</f>
        <v/>
      </c>
      <c r="G3172" cm="1">
        <f t="array" ref="G3172">IFERROR(VLOOKUP(INPUT!M3167&amp;INPUT!N3167,CHOOSE({1,2},INPUT!$A$3:$A$5000&amp;INPUT!$C$3:$C$5000,INPUT!$F$3:$F$5000),2,FALSE),"")</f>
        <v>0</v>
      </c>
      <c r="H3172" cm="1">
        <f t="array" ref="H3172">IFERROR(VLOOKUP(INPUT!M3167&amp;INPUT!N3167,CHOOSE({1,2},INPUT!$A$3:$A$5000&amp;INPUT!$C$3:$C$5000,INPUT!$D$3:$D$5000),2,FALSE),"")</f>
        <v>0</v>
      </c>
      <c r="I3172" s="46" t="str">
        <f>IF(INPUT!P3167="","",INPUT!P3167)</f>
        <v/>
      </c>
      <c r="J3172" s="46" t="str">
        <f>IF(INPUT!Q3167="","",INPUT!Q3167)</f>
        <v/>
      </c>
      <c r="K3172" s="46" t="str">
        <f>IFERROR(IF(OR(INPUT!P3167="",INPUT!Q3167=""),"",INPUT!P3167-INPUT!Q3167),"")</f>
        <v/>
      </c>
      <c r="L3172" s="48" t="str">
        <f>IFERROR(IF(OR(INPUT!P3167="",INPUT!Q3167="",INPUT!P3167=0),"",(INPUT!P3167-INPUT!Q3167)/INPUT!P3167),"")</f>
        <v/>
      </c>
    </row>
    <row r="3173" spans="1:12" ht="18" hidden="1" customHeight="1" x14ac:dyDescent="0.2">
      <c r="A3173" s="11" t="str">
        <f>IF(INPUT!M3168="","",INPUT!M3168)</f>
        <v/>
      </c>
      <c r="B3173" s="11" t="str">
        <f>IF(INPUT!M3168="","",INPUT!M3168-WEEKDAY(INPUT!M3168,2)+1)</f>
        <v/>
      </c>
      <c r="C3173" s="20">
        <f>IFERROR(_xlfn.ISOWEEKNUM(INPUT!M3168),"")</f>
        <v>52</v>
      </c>
      <c r="D3173" s="20">
        <f>IFERROR(YEAR(INPUT!M3168),"")</f>
        <v>1900</v>
      </c>
      <c r="E3173" t="str">
        <f>IF(INPUT!O3168="","",INPUT!O3168)</f>
        <v/>
      </c>
      <c r="F3173" t="str">
        <f>IF(INPUT!N3168="","",INPUT!N3168)</f>
        <v/>
      </c>
      <c r="G3173" cm="1">
        <f t="array" ref="G3173">IFERROR(VLOOKUP(INPUT!M3168&amp;INPUT!N3168,CHOOSE({1,2},INPUT!$A$3:$A$5000&amp;INPUT!$C$3:$C$5000,INPUT!$F$3:$F$5000),2,FALSE),"")</f>
        <v>0</v>
      </c>
      <c r="H3173" cm="1">
        <f t="array" ref="H3173">IFERROR(VLOOKUP(INPUT!M3168&amp;INPUT!N3168,CHOOSE({1,2},INPUT!$A$3:$A$5000&amp;INPUT!$C$3:$C$5000,INPUT!$D$3:$D$5000),2,FALSE),"")</f>
        <v>0</v>
      </c>
      <c r="I3173" s="46" t="str">
        <f>IF(INPUT!P3168="","",INPUT!P3168)</f>
        <v/>
      </c>
      <c r="J3173" s="46" t="str">
        <f>IF(INPUT!Q3168="","",INPUT!Q3168)</f>
        <v/>
      </c>
      <c r="K3173" s="46" t="str">
        <f>IFERROR(IF(OR(INPUT!P3168="",INPUT!Q3168=""),"",INPUT!P3168-INPUT!Q3168),"")</f>
        <v/>
      </c>
      <c r="L3173" s="48" t="str">
        <f>IFERROR(IF(OR(INPUT!P3168="",INPUT!Q3168="",INPUT!P3168=0),"",(INPUT!P3168-INPUT!Q3168)/INPUT!P3168),"")</f>
        <v/>
      </c>
    </row>
    <row r="3174" spans="1:12" ht="18" hidden="1" customHeight="1" x14ac:dyDescent="0.2">
      <c r="A3174" s="11" t="str">
        <f>IF(INPUT!M3169="","",INPUT!M3169)</f>
        <v/>
      </c>
      <c r="B3174" s="11" t="str">
        <f>IF(INPUT!M3169="","",INPUT!M3169-WEEKDAY(INPUT!M3169,2)+1)</f>
        <v/>
      </c>
      <c r="C3174" s="20">
        <f>IFERROR(_xlfn.ISOWEEKNUM(INPUT!M3169),"")</f>
        <v>52</v>
      </c>
      <c r="D3174" s="20">
        <f>IFERROR(YEAR(INPUT!M3169),"")</f>
        <v>1900</v>
      </c>
      <c r="E3174" t="str">
        <f>IF(INPUT!O3169="","",INPUT!O3169)</f>
        <v/>
      </c>
      <c r="F3174" t="str">
        <f>IF(INPUT!N3169="","",INPUT!N3169)</f>
        <v/>
      </c>
      <c r="G3174" cm="1">
        <f t="array" ref="G3174">IFERROR(VLOOKUP(INPUT!M3169&amp;INPUT!N3169,CHOOSE({1,2},INPUT!$A$3:$A$5000&amp;INPUT!$C$3:$C$5000,INPUT!$F$3:$F$5000),2,FALSE),"")</f>
        <v>0</v>
      </c>
      <c r="H3174" cm="1">
        <f t="array" ref="H3174">IFERROR(VLOOKUP(INPUT!M3169&amp;INPUT!N3169,CHOOSE({1,2},INPUT!$A$3:$A$5000&amp;INPUT!$C$3:$C$5000,INPUT!$D$3:$D$5000),2,FALSE),"")</f>
        <v>0</v>
      </c>
      <c r="I3174" s="46" t="str">
        <f>IF(INPUT!P3169="","",INPUT!P3169)</f>
        <v/>
      </c>
      <c r="J3174" s="46" t="str">
        <f>IF(INPUT!Q3169="","",INPUT!Q3169)</f>
        <v/>
      </c>
      <c r="K3174" s="46" t="str">
        <f>IFERROR(IF(OR(INPUT!P3169="",INPUT!Q3169=""),"",INPUT!P3169-INPUT!Q3169),"")</f>
        <v/>
      </c>
      <c r="L3174" s="48" t="str">
        <f>IFERROR(IF(OR(INPUT!P3169="",INPUT!Q3169="",INPUT!P3169=0),"",(INPUT!P3169-INPUT!Q3169)/INPUT!P3169),"")</f>
        <v/>
      </c>
    </row>
    <row r="3175" spans="1:12" ht="18" hidden="1" customHeight="1" x14ac:dyDescent="0.2">
      <c r="A3175" s="11" t="str">
        <f>IF(INPUT!M3170="","",INPUT!M3170)</f>
        <v/>
      </c>
      <c r="B3175" s="11" t="str">
        <f>IF(INPUT!M3170="","",INPUT!M3170-WEEKDAY(INPUT!M3170,2)+1)</f>
        <v/>
      </c>
      <c r="C3175" s="20">
        <f>IFERROR(_xlfn.ISOWEEKNUM(INPUT!M3170),"")</f>
        <v>52</v>
      </c>
      <c r="D3175" s="20">
        <f>IFERROR(YEAR(INPUT!M3170),"")</f>
        <v>1900</v>
      </c>
      <c r="E3175" t="str">
        <f>IF(INPUT!O3170="","",INPUT!O3170)</f>
        <v/>
      </c>
      <c r="F3175" t="str">
        <f>IF(INPUT!N3170="","",INPUT!N3170)</f>
        <v/>
      </c>
      <c r="G3175" cm="1">
        <f t="array" ref="G3175">IFERROR(VLOOKUP(INPUT!M3170&amp;INPUT!N3170,CHOOSE({1,2},INPUT!$A$3:$A$5000&amp;INPUT!$C$3:$C$5000,INPUT!$F$3:$F$5000),2,FALSE),"")</f>
        <v>0</v>
      </c>
      <c r="H3175" cm="1">
        <f t="array" ref="H3175">IFERROR(VLOOKUP(INPUT!M3170&amp;INPUT!N3170,CHOOSE({1,2},INPUT!$A$3:$A$5000&amp;INPUT!$C$3:$C$5000,INPUT!$D$3:$D$5000),2,FALSE),"")</f>
        <v>0</v>
      </c>
      <c r="I3175" s="46" t="str">
        <f>IF(INPUT!P3170="","",INPUT!P3170)</f>
        <v/>
      </c>
      <c r="J3175" s="46" t="str">
        <f>IF(INPUT!Q3170="","",INPUT!Q3170)</f>
        <v/>
      </c>
      <c r="K3175" s="46" t="str">
        <f>IFERROR(IF(OR(INPUT!P3170="",INPUT!Q3170=""),"",INPUT!P3170-INPUT!Q3170),"")</f>
        <v/>
      </c>
      <c r="L3175" s="48" t="str">
        <f>IFERROR(IF(OR(INPUT!P3170="",INPUT!Q3170="",INPUT!P3170=0),"",(INPUT!P3170-INPUT!Q3170)/INPUT!P3170),"")</f>
        <v/>
      </c>
    </row>
    <row r="3176" spans="1:12" ht="18" hidden="1" customHeight="1" x14ac:dyDescent="0.2">
      <c r="A3176" s="11" t="str">
        <f>IF(INPUT!M3171="","",INPUT!M3171)</f>
        <v/>
      </c>
      <c r="B3176" s="11" t="str">
        <f>IF(INPUT!M3171="","",INPUT!M3171-WEEKDAY(INPUT!M3171,2)+1)</f>
        <v/>
      </c>
      <c r="C3176" s="20">
        <f>IFERROR(_xlfn.ISOWEEKNUM(INPUT!M3171),"")</f>
        <v>52</v>
      </c>
      <c r="D3176" s="20">
        <f>IFERROR(YEAR(INPUT!M3171),"")</f>
        <v>1900</v>
      </c>
      <c r="E3176" t="str">
        <f>IF(INPUT!O3171="","",INPUT!O3171)</f>
        <v/>
      </c>
      <c r="F3176" t="str">
        <f>IF(INPUT!N3171="","",INPUT!N3171)</f>
        <v/>
      </c>
      <c r="G3176" cm="1">
        <f t="array" ref="G3176">IFERROR(VLOOKUP(INPUT!M3171&amp;INPUT!N3171,CHOOSE({1,2},INPUT!$A$3:$A$5000&amp;INPUT!$C$3:$C$5000,INPUT!$F$3:$F$5000),2,FALSE),"")</f>
        <v>0</v>
      </c>
      <c r="H3176" cm="1">
        <f t="array" ref="H3176">IFERROR(VLOOKUP(INPUT!M3171&amp;INPUT!N3171,CHOOSE({1,2},INPUT!$A$3:$A$5000&amp;INPUT!$C$3:$C$5000,INPUT!$D$3:$D$5000),2,FALSE),"")</f>
        <v>0</v>
      </c>
      <c r="I3176" s="46" t="str">
        <f>IF(INPUT!P3171="","",INPUT!P3171)</f>
        <v/>
      </c>
      <c r="J3176" s="46" t="str">
        <f>IF(INPUT!Q3171="","",INPUT!Q3171)</f>
        <v/>
      </c>
      <c r="K3176" s="46" t="str">
        <f>IFERROR(IF(OR(INPUT!P3171="",INPUT!Q3171=""),"",INPUT!P3171-INPUT!Q3171),"")</f>
        <v/>
      </c>
      <c r="L3176" s="48" t="str">
        <f>IFERROR(IF(OR(INPUT!P3171="",INPUT!Q3171="",INPUT!P3171=0),"",(INPUT!P3171-INPUT!Q3171)/INPUT!P3171),"")</f>
        <v/>
      </c>
    </row>
    <row r="3177" spans="1:12" ht="18" hidden="1" customHeight="1" x14ac:dyDescent="0.2">
      <c r="A3177" s="11" t="str">
        <f>IF(INPUT!M3172="","",INPUT!M3172)</f>
        <v/>
      </c>
      <c r="B3177" s="11" t="str">
        <f>IF(INPUT!M3172="","",INPUT!M3172-WEEKDAY(INPUT!M3172,2)+1)</f>
        <v/>
      </c>
      <c r="C3177" s="20">
        <f>IFERROR(_xlfn.ISOWEEKNUM(INPUT!M3172),"")</f>
        <v>52</v>
      </c>
      <c r="D3177" s="20">
        <f>IFERROR(YEAR(INPUT!M3172),"")</f>
        <v>1900</v>
      </c>
      <c r="E3177" t="str">
        <f>IF(INPUT!O3172="","",INPUT!O3172)</f>
        <v/>
      </c>
      <c r="F3177" t="str">
        <f>IF(INPUT!N3172="","",INPUT!N3172)</f>
        <v/>
      </c>
      <c r="G3177" cm="1">
        <f t="array" ref="G3177">IFERROR(VLOOKUP(INPUT!M3172&amp;INPUT!N3172,CHOOSE({1,2},INPUT!$A$3:$A$5000&amp;INPUT!$C$3:$C$5000,INPUT!$F$3:$F$5000),2,FALSE),"")</f>
        <v>0</v>
      </c>
      <c r="H3177" cm="1">
        <f t="array" ref="H3177">IFERROR(VLOOKUP(INPUT!M3172&amp;INPUT!N3172,CHOOSE({1,2},INPUT!$A$3:$A$5000&amp;INPUT!$C$3:$C$5000,INPUT!$D$3:$D$5000),2,FALSE),"")</f>
        <v>0</v>
      </c>
      <c r="I3177" s="46" t="str">
        <f>IF(INPUT!P3172="","",INPUT!P3172)</f>
        <v/>
      </c>
      <c r="J3177" s="46" t="str">
        <f>IF(INPUT!Q3172="","",INPUT!Q3172)</f>
        <v/>
      </c>
      <c r="K3177" s="46" t="str">
        <f>IFERROR(IF(OR(INPUT!P3172="",INPUT!Q3172=""),"",INPUT!P3172-INPUT!Q3172),"")</f>
        <v/>
      </c>
      <c r="L3177" s="48" t="str">
        <f>IFERROR(IF(OR(INPUT!P3172="",INPUT!Q3172="",INPUT!P3172=0),"",(INPUT!P3172-INPUT!Q3172)/INPUT!P3172),"")</f>
        <v/>
      </c>
    </row>
    <row r="3178" spans="1:12" ht="18" hidden="1" customHeight="1" x14ac:dyDescent="0.2">
      <c r="A3178" s="11" t="str">
        <f>IF(INPUT!M3173="","",INPUT!M3173)</f>
        <v/>
      </c>
      <c r="B3178" s="11" t="str">
        <f>IF(INPUT!M3173="","",INPUT!M3173-WEEKDAY(INPUT!M3173,2)+1)</f>
        <v/>
      </c>
      <c r="C3178" s="20">
        <f>IFERROR(_xlfn.ISOWEEKNUM(INPUT!M3173),"")</f>
        <v>52</v>
      </c>
      <c r="D3178" s="20">
        <f>IFERROR(YEAR(INPUT!M3173),"")</f>
        <v>1900</v>
      </c>
      <c r="E3178" t="str">
        <f>IF(INPUT!O3173="","",INPUT!O3173)</f>
        <v/>
      </c>
      <c r="F3178" t="str">
        <f>IF(INPUT!N3173="","",INPUT!N3173)</f>
        <v/>
      </c>
      <c r="G3178" cm="1">
        <f t="array" ref="G3178">IFERROR(VLOOKUP(INPUT!M3173&amp;INPUT!N3173,CHOOSE({1,2},INPUT!$A$3:$A$5000&amp;INPUT!$C$3:$C$5000,INPUT!$F$3:$F$5000),2,FALSE),"")</f>
        <v>0</v>
      </c>
      <c r="H3178" cm="1">
        <f t="array" ref="H3178">IFERROR(VLOOKUP(INPUT!M3173&amp;INPUT!N3173,CHOOSE({1,2},INPUT!$A$3:$A$5000&amp;INPUT!$C$3:$C$5000,INPUT!$D$3:$D$5000),2,FALSE),"")</f>
        <v>0</v>
      </c>
      <c r="I3178" s="46" t="str">
        <f>IF(INPUT!P3173="","",INPUT!P3173)</f>
        <v/>
      </c>
      <c r="J3178" s="46" t="str">
        <f>IF(INPUT!Q3173="","",INPUT!Q3173)</f>
        <v/>
      </c>
      <c r="K3178" s="46" t="str">
        <f>IFERROR(IF(OR(INPUT!P3173="",INPUT!Q3173=""),"",INPUT!P3173-INPUT!Q3173),"")</f>
        <v/>
      </c>
      <c r="L3178" s="48" t="str">
        <f>IFERROR(IF(OR(INPUT!P3173="",INPUT!Q3173="",INPUT!P3173=0),"",(INPUT!P3173-INPUT!Q3173)/INPUT!P3173),"")</f>
        <v/>
      </c>
    </row>
    <row r="3179" spans="1:12" ht="18" hidden="1" customHeight="1" x14ac:dyDescent="0.2">
      <c r="A3179" s="11" t="str">
        <f>IF(INPUT!M3174="","",INPUT!M3174)</f>
        <v/>
      </c>
      <c r="B3179" s="11" t="str">
        <f>IF(INPUT!M3174="","",INPUT!M3174-WEEKDAY(INPUT!M3174,2)+1)</f>
        <v/>
      </c>
      <c r="C3179" s="20">
        <f>IFERROR(_xlfn.ISOWEEKNUM(INPUT!M3174),"")</f>
        <v>52</v>
      </c>
      <c r="D3179" s="20">
        <f>IFERROR(YEAR(INPUT!M3174),"")</f>
        <v>1900</v>
      </c>
      <c r="E3179" t="str">
        <f>IF(INPUT!O3174="","",INPUT!O3174)</f>
        <v/>
      </c>
      <c r="F3179" t="str">
        <f>IF(INPUT!N3174="","",INPUT!N3174)</f>
        <v/>
      </c>
      <c r="G3179" cm="1">
        <f t="array" ref="G3179">IFERROR(VLOOKUP(INPUT!M3174&amp;INPUT!N3174,CHOOSE({1,2},INPUT!$A$3:$A$5000&amp;INPUT!$C$3:$C$5000,INPUT!$F$3:$F$5000),2,FALSE),"")</f>
        <v>0</v>
      </c>
      <c r="H3179" cm="1">
        <f t="array" ref="H3179">IFERROR(VLOOKUP(INPUT!M3174&amp;INPUT!N3174,CHOOSE({1,2},INPUT!$A$3:$A$5000&amp;INPUT!$C$3:$C$5000,INPUT!$D$3:$D$5000),2,FALSE),"")</f>
        <v>0</v>
      </c>
      <c r="I3179" s="46" t="str">
        <f>IF(INPUT!P3174="","",INPUT!P3174)</f>
        <v/>
      </c>
      <c r="J3179" s="46" t="str">
        <f>IF(INPUT!Q3174="","",INPUT!Q3174)</f>
        <v/>
      </c>
      <c r="K3179" s="46" t="str">
        <f>IFERROR(IF(OR(INPUT!P3174="",INPUT!Q3174=""),"",INPUT!P3174-INPUT!Q3174),"")</f>
        <v/>
      </c>
      <c r="L3179" s="48" t="str">
        <f>IFERROR(IF(OR(INPUT!P3174="",INPUT!Q3174="",INPUT!P3174=0),"",(INPUT!P3174-INPUT!Q3174)/INPUT!P3174),"")</f>
        <v/>
      </c>
    </row>
    <row r="3180" spans="1:12" ht="18" hidden="1" customHeight="1" x14ac:dyDescent="0.2">
      <c r="A3180" s="11" t="str">
        <f>IF(INPUT!M3175="","",INPUT!M3175)</f>
        <v/>
      </c>
      <c r="B3180" s="11" t="str">
        <f>IF(INPUT!M3175="","",INPUT!M3175-WEEKDAY(INPUT!M3175,2)+1)</f>
        <v/>
      </c>
      <c r="C3180" s="20">
        <f>IFERROR(_xlfn.ISOWEEKNUM(INPUT!M3175),"")</f>
        <v>52</v>
      </c>
      <c r="D3180" s="20">
        <f>IFERROR(YEAR(INPUT!M3175),"")</f>
        <v>1900</v>
      </c>
      <c r="E3180" t="str">
        <f>IF(INPUT!O3175="","",INPUT!O3175)</f>
        <v/>
      </c>
      <c r="F3180" t="str">
        <f>IF(INPUT!N3175="","",INPUT!N3175)</f>
        <v/>
      </c>
      <c r="G3180" cm="1">
        <f t="array" ref="G3180">IFERROR(VLOOKUP(INPUT!M3175&amp;INPUT!N3175,CHOOSE({1,2},INPUT!$A$3:$A$5000&amp;INPUT!$C$3:$C$5000,INPUT!$F$3:$F$5000),2,FALSE),"")</f>
        <v>0</v>
      </c>
      <c r="H3180" cm="1">
        <f t="array" ref="H3180">IFERROR(VLOOKUP(INPUT!M3175&amp;INPUT!N3175,CHOOSE({1,2},INPUT!$A$3:$A$5000&amp;INPUT!$C$3:$C$5000,INPUT!$D$3:$D$5000),2,FALSE),"")</f>
        <v>0</v>
      </c>
      <c r="I3180" s="46" t="str">
        <f>IF(INPUT!P3175="","",INPUT!P3175)</f>
        <v/>
      </c>
      <c r="J3180" s="46" t="str">
        <f>IF(INPUT!Q3175="","",INPUT!Q3175)</f>
        <v/>
      </c>
      <c r="K3180" s="46" t="str">
        <f>IFERROR(IF(OR(INPUT!P3175="",INPUT!Q3175=""),"",INPUT!P3175-INPUT!Q3175),"")</f>
        <v/>
      </c>
      <c r="L3180" s="48" t="str">
        <f>IFERROR(IF(OR(INPUT!P3175="",INPUT!Q3175="",INPUT!P3175=0),"",(INPUT!P3175-INPUT!Q3175)/INPUT!P3175),"")</f>
        <v/>
      </c>
    </row>
    <row r="3181" spans="1:12" ht="18" hidden="1" customHeight="1" x14ac:dyDescent="0.2">
      <c r="A3181" s="11" t="str">
        <f>IF(INPUT!M3176="","",INPUT!M3176)</f>
        <v/>
      </c>
      <c r="B3181" s="11" t="str">
        <f>IF(INPUT!M3176="","",INPUT!M3176-WEEKDAY(INPUT!M3176,2)+1)</f>
        <v/>
      </c>
      <c r="C3181" s="20">
        <f>IFERROR(_xlfn.ISOWEEKNUM(INPUT!M3176),"")</f>
        <v>52</v>
      </c>
      <c r="D3181" s="20">
        <f>IFERROR(YEAR(INPUT!M3176),"")</f>
        <v>1900</v>
      </c>
      <c r="E3181" t="str">
        <f>IF(INPUT!O3176="","",INPUT!O3176)</f>
        <v/>
      </c>
      <c r="F3181" t="str">
        <f>IF(INPUT!N3176="","",INPUT!N3176)</f>
        <v/>
      </c>
      <c r="G3181" cm="1">
        <f t="array" ref="G3181">IFERROR(VLOOKUP(INPUT!M3176&amp;INPUT!N3176,CHOOSE({1,2},INPUT!$A$3:$A$5000&amp;INPUT!$C$3:$C$5000,INPUT!$F$3:$F$5000),2,FALSE),"")</f>
        <v>0</v>
      </c>
      <c r="H3181" cm="1">
        <f t="array" ref="H3181">IFERROR(VLOOKUP(INPUT!M3176&amp;INPUT!N3176,CHOOSE({1,2},INPUT!$A$3:$A$5000&amp;INPUT!$C$3:$C$5000,INPUT!$D$3:$D$5000),2,FALSE),"")</f>
        <v>0</v>
      </c>
      <c r="I3181" s="46" t="str">
        <f>IF(INPUT!P3176="","",INPUT!P3176)</f>
        <v/>
      </c>
      <c r="J3181" s="46" t="str">
        <f>IF(INPUT!Q3176="","",INPUT!Q3176)</f>
        <v/>
      </c>
      <c r="K3181" s="46" t="str">
        <f>IFERROR(IF(OR(INPUT!P3176="",INPUT!Q3176=""),"",INPUT!P3176-INPUT!Q3176),"")</f>
        <v/>
      </c>
      <c r="L3181" s="48" t="str">
        <f>IFERROR(IF(OR(INPUT!P3176="",INPUT!Q3176="",INPUT!P3176=0),"",(INPUT!P3176-INPUT!Q3176)/INPUT!P3176),"")</f>
        <v/>
      </c>
    </row>
    <row r="3182" spans="1:12" ht="18" hidden="1" customHeight="1" x14ac:dyDescent="0.2">
      <c r="A3182" s="11" t="str">
        <f>IF(INPUT!M3177="","",INPUT!M3177)</f>
        <v/>
      </c>
      <c r="B3182" s="11" t="str">
        <f>IF(INPUT!M3177="","",INPUT!M3177-WEEKDAY(INPUT!M3177,2)+1)</f>
        <v/>
      </c>
      <c r="C3182" s="20">
        <f>IFERROR(_xlfn.ISOWEEKNUM(INPUT!M3177),"")</f>
        <v>52</v>
      </c>
      <c r="D3182" s="20">
        <f>IFERROR(YEAR(INPUT!M3177),"")</f>
        <v>1900</v>
      </c>
      <c r="E3182" t="str">
        <f>IF(INPUT!O3177="","",INPUT!O3177)</f>
        <v/>
      </c>
      <c r="F3182" t="str">
        <f>IF(INPUT!N3177="","",INPUT!N3177)</f>
        <v/>
      </c>
      <c r="G3182" cm="1">
        <f t="array" ref="G3182">IFERROR(VLOOKUP(INPUT!M3177&amp;INPUT!N3177,CHOOSE({1,2},INPUT!$A$3:$A$5000&amp;INPUT!$C$3:$C$5000,INPUT!$F$3:$F$5000),2,FALSE),"")</f>
        <v>0</v>
      </c>
      <c r="H3182" cm="1">
        <f t="array" ref="H3182">IFERROR(VLOOKUP(INPUT!M3177&amp;INPUT!N3177,CHOOSE({1,2},INPUT!$A$3:$A$5000&amp;INPUT!$C$3:$C$5000,INPUT!$D$3:$D$5000),2,FALSE),"")</f>
        <v>0</v>
      </c>
      <c r="I3182" s="46" t="str">
        <f>IF(INPUT!P3177="","",INPUT!P3177)</f>
        <v/>
      </c>
      <c r="J3182" s="46" t="str">
        <f>IF(INPUT!Q3177="","",INPUT!Q3177)</f>
        <v/>
      </c>
      <c r="K3182" s="46" t="str">
        <f>IFERROR(IF(OR(INPUT!P3177="",INPUT!Q3177=""),"",INPUT!P3177-INPUT!Q3177),"")</f>
        <v/>
      </c>
      <c r="L3182" s="48" t="str">
        <f>IFERROR(IF(OR(INPUT!P3177="",INPUT!Q3177="",INPUT!P3177=0),"",(INPUT!P3177-INPUT!Q3177)/INPUT!P3177),"")</f>
        <v/>
      </c>
    </row>
    <row r="3183" spans="1:12" ht="18" hidden="1" customHeight="1" x14ac:dyDescent="0.2">
      <c r="A3183" s="11" t="str">
        <f>IF(INPUT!M3178="","",INPUT!M3178)</f>
        <v/>
      </c>
      <c r="B3183" s="11" t="str">
        <f>IF(INPUT!M3178="","",INPUT!M3178-WEEKDAY(INPUT!M3178,2)+1)</f>
        <v/>
      </c>
      <c r="C3183" s="20">
        <f>IFERROR(_xlfn.ISOWEEKNUM(INPUT!M3178),"")</f>
        <v>52</v>
      </c>
      <c r="D3183" s="20">
        <f>IFERROR(YEAR(INPUT!M3178),"")</f>
        <v>1900</v>
      </c>
      <c r="E3183" t="str">
        <f>IF(INPUT!O3178="","",INPUT!O3178)</f>
        <v/>
      </c>
      <c r="F3183" t="str">
        <f>IF(INPUT!N3178="","",INPUT!N3178)</f>
        <v/>
      </c>
      <c r="G3183" cm="1">
        <f t="array" ref="G3183">IFERROR(VLOOKUP(INPUT!M3178&amp;INPUT!N3178,CHOOSE({1,2},INPUT!$A$3:$A$5000&amp;INPUT!$C$3:$C$5000,INPUT!$F$3:$F$5000),2,FALSE),"")</f>
        <v>0</v>
      </c>
      <c r="H3183" cm="1">
        <f t="array" ref="H3183">IFERROR(VLOOKUP(INPUT!M3178&amp;INPUT!N3178,CHOOSE({1,2},INPUT!$A$3:$A$5000&amp;INPUT!$C$3:$C$5000,INPUT!$D$3:$D$5000),2,FALSE),"")</f>
        <v>0</v>
      </c>
      <c r="I3183" s="46" t="str">
        <f>IF(INPUT!P3178="","",INPUT!P3178)</f>
        <v/>
      </c>
      <c r="J3183" s="46" t="str">
        <f>IF(INPUT!Q3178="","",INPUT!Q3178)</f>
        <v/>
      </c>
      <c r="K3183" s="46" t="str">
        <f>IFERROR(IF(OR(INPUT!P3178="",INPUT!Q3178=""),"",INPUT!P3178-INPUT!Q3178),"")</f>
        <v/>
      </c>
      <c r="L3183" s="48" t="str">
        <f>IFERROR(IF(OR(INPUT!P3178="",INPUT!Q3178="",INPUT!P3178=0),"",(INPUT!P3178-INPUT!Q3178)/INPUT!P3178),"")</f>
        <v/>
      </c>
    </row>
    <row r="3184" spans="1:12" ht="18" hidden="1" customHeight="1" x14ac:dyDescent="0.2">
      <c r="A3184" s="11" t="str">
        <f>IF(INPUT!M3179="","",INPUT!M3179)</f>
        <v/>
      </c>
      <c r="B3184" s="11" t="str">
        <f>IF(INPUT!M3179="","",INPUT!M3179-WEEKDAY(INPUT!M3179,2)+1)</f>
        <v/>
      </c>
      <c r="C3184" s="20">
        <f>IFERROR(_xlfn.ISOWEEKNUM(INPUT!M3179),"")</f>
        <v>52</v>
      </c>
      <c r="D3184" s="20">
        <f>IFERROR(YEAR(INPUT!M3179),"")</f>
        <v>1900</v>
      </c>
      <c r="E3184" t="str">
        <f>IF(INPUT!O3179="","",INPUT!O3179)</f>
        <v/>
      </c>
      <c r="F3184" t="str">
        <f>IF(INPUT!N3179="","",INPUT!N3179)</f>
        <v/>
      </c>
      <c r="G3184" cm="1">
        <f t="array" ref="G3184">IFERROR(VLOOKUP(INPUT!M3179&amp;INPUT!N3179,CHOOSE({1,2},INPUT!$A$3:$A$5000&amp;INPUT!$C$3:$C$5000,INPUT!$F$3:$F$5000),2,FALSE),"")</f>
        <v>0</v>
      </c>
      <c r="H3184" cm="1">
        <f t="array" ref="H3184">IFERROR(VLOOKUP(INPUT!M3179&amp;INPUT!N3179,CHOOSE({1,2},INPUT!$A$3:$A$5000&amp;INPUT!$C$3:$C$5000,INPUT!$D$3:$D$5000),2,FALSE),"")</f>
        <v>0</v>
      </c>
      <c r="I3184" s="46" t="str">
        <f>IF(INPUT!P3179="","",INPUT!P3179)</f>
        <v/>
      </c>
      <c r="J3184" s="46" t="str">
        <f>IF(INPUT!Q3179="","",INPUT!Q3179)</f>
        <v/>
      </c>
      <c r="K3184" s="46" t="str">
        <f>IFERROR(IF(OR(INPUT!P3179="",INPUT!Q3179=""),"",INPUT!P3179-INPUT!Q3179),"")</f>
        <v/>
      </c>
      <c r="L3184" s="48" t="str">
        <f>IFERROR(IF(OR(INPUT!P3179="",INPUT!Q3179="",INPUT!P3179=0),"",(INPUT!P3179-INPUT!Q3179)/INPUT!P3179),"")</f>
        <v/>
      </c>
    </row>
    <row r="3185" spans="1:12" ht="18" hidden="1" customHeight="1" x14ac:dyDescent="0.2">
      <c r="A3185" s="11" t="str">
        <f>IF(INPUT!M3180="","",INPUT!M3180)</f>
        <v/>
      </c>
      <c r="B3185" s="11" t="str">
        <f>IF(INPUT!M3180="","",INPUT!M3180-WEEKDAY(INPUT!M3180,2)+1)</f>
        <v/>
      </c>
      <c r="C3185" s="20">
        <f>IFERROR(_xlfn.ISOWEEKNUM(INPUT!M3180),"")</f>
        <v>52</v>
      </c>
      <c r="D3185" s="20">
        <f>IFERROR(YEAR(INPUT!M3180),"")</f>
        <v>1900</v>
      </c>
      <c r="E3185" t="str">
        <f>IF(INPUT!O3180="","",INPUT!O3180)</f>
        <v/>
      </c>
      <c r="F3185" t="str">
        <f>IF(INPUT!N3180="","",INPUT!N3180)</f>
        <v/>
      </c>
      <c r="G3185" cm="1">
        <f t="array" ref="G3185">IFERROR(VLOOKUP(INPUT!M3180&amp;INPUT!N3180,CHOOSE({1,2},INPUT!$A$3:$A$5000&amp;INPUT!$C$3:$C$5000,INPUT!$F$3:$F$5000),2,FALSE),"")</f>
        <v>0</v>
      </c>
      <c r="H3185" cm="1">
        <f t="array" ref="H3185">IFERROR(VLOOKUP(INPUT!M3180&amp;INPUT!N3180,CHOOSE({1,2},INPUT!$A$3:$A$5000&amp;INPUT!$C$3:$C$5000,INPUT!$D$3:$D$5000),2,FALSE),"")</f>
        <v>0</v>
      </c>
      <c r="I3185" s="46" t="str">
        <f>IF(INPUT!P3180="","",INPUT!P3180)</f>
        <v/>
      </c>
      <c r="J3185" s="46" t="str">
        <f>IF(INPUT!Q3180="","",INPUT!Q3180)</f>
        <v/>
      </c>
      <c r="K3185" s="46" t="str">
        <f>IFERROR(IF(OR(INPUT!P3180="",INPUT!Q3180=""),"",INPUT!P3180-INPUT!Q3180),"")</f>
        <v/>
      </c>
      <c r="L3185" s="48" t="str">
        <f>IFERROR(IF(OR(INPUT!P3180="",INPUT!Q3180="",INPUT!P3180=0),"",(INPUT!P3180-INPUT!Q3180)/INPUT!P3180),"")</f>
        <v/>
      </c>
    </row>
    <row r="3186" spans="1:12" ht="18" hidden="1" customHeight="1" x14ac:dyDescent="0.2">
      <c r="A3186" s="11" t="str">
        <f>IF(INPUT!M3181="","",INPUT!M3181)</f>
        <v/>
      </c>
      <c r="B3186" s="11" t="str">
        <f>IF(INPUT!M3181="","",INPUT!M3181-WEEKDAY(INPUT!M3181,2)+1)</f>
        <v/>
      </c>
      <c r="C3186" s="20">
        <f>IFERROR(_xlfn.ISOWEEKNUM(INPUT!M3181),"")</f>
        <v>52</v>
      </c>
      <c r="D3186" s="20">
        <f>IFERROR(YEAR(INPUT!M3181),"")</f>
        <v>1900</v>
      </c>
      <c r="E3186" t="str">
        <f>IF(INPUT!O3181="","",INPUT!O3181)</f>
        <v/>
      </c>
      <c r="F3186" t="str">
        <f>IF(INPUT!N3181="","",INPUT!N3181)</f>
        <v/>
      </c>
      <c r="G3186" cm="1">
        <f t="array" ref="G3186">IFERROR(VLOOKUP(INPUT!M3181&amp;INPUT!N3181,CHOOSE({1,2},INPUT!$A$3:$A$5000&amp;INPUT!$C$3:$C$5000,INPUT!$F$3:$F$5000),2,FALSE),"")</f>
        <v>0</v>
      </c>
      <c r="H3186" cm="1">
        <f t="array" ref="H3186">IFERROR(VLOOKUP(INPUT!M3181&amp;INPUT!N3181,CHOOSE({1,2},INPUT!$A$3:$A$5000&amp;INPUT!$C$3:$C$5000,INPUT!$D$3:$D$5000),2,FALSE),"")</f>
        <v>0</v>
      </c>
      <c r="I3186" s="46" t="str">
        <f>IF(INPUT!P3181="","",INPUT!P3181)</f>
        <v/>
      </c>
      <c r="J3186" s="46" t="str">
        <f>IF(INPUT!Q3181="","",INPUT!Q3181)</f>
        <v/>
      </c>
      <c r="K3186" s="46" t="str">
        <f>IFERROR(IF(OR(INPUT!P3181="",INPUT!Q3181=""),"",INPUT!P3181-INPUT!Q3181),"")</f>
        <v/>
      </c>
      <c r="L3186" s="48" t="str">
        <f>IFERROR(IF(OR(INPUT!P3181="",INPUT!Q3181="",INPUT!P3181=0),"",(INPUT!P3181-INPUT!Q3181)/INPUT!P3181),"")</f>
        <v/>
      </c>
    </row>
    <row r="3187" spans="1:12" ht="18" hidden="1" customHeight="1" x14ac:dyDescent="0.2">
      <c r="A3187" s="11" t="str">
        <f>IF(INPUT!M3182="","",INPUT!M3182)</f>
        <v/>
      </c>
      <c r="B3187" s="11" t="str">
        <f>IF(INPUT!M3182="","",INPUT!M3182-WEEKDAY(INPUT!M3182,2)+1)</f>
        <v/>
      </c>
      <c r="C3187" s="20">
        <f>IFERROR(_xlfn.ISOWEEKNUM(INPUT!M3182),"")</f>
        <v>52</v>
      </c>
      <c r="D3187" s="20">
        <f>IFERROR(YEAR(INPUT!M3182),"")</f>
        <v>1900</v>
      </c>
      <c r="E3187" t="str">
        <f>IF(INPUT!O3182="","",INPUT!O3182)</f>
        <v/>
      </c>
      <c r="F3187" t="str">
        <f>IF(INPUT!N3182="","",INPUT!N3182)</f>
        <v/>
      </c>
      <c r="G3187" cm="1">
        <f t="array" ref="G3187">IFERROR(VLOOKUP(INPUT!M3182&amp;INPUT!N3182,CHOOSE({1,2},INPUT!$A$3:$A$5000&amp;INPUT!$C$3:$C$5000,INPUT!$F$3:$F$5000),2,FALSE),"")</f>
        <v>0</v>
      </c>
      <c r="H3187" cm="1">
        <f t="array" ref="H3187">IFERROR(VLOOKUP(INPUT!M3182&amp;INPUT!N3182,CHOOSE({1,2},INPUT!$A$3:$A$5000&amp;INPUT!$C$3:$C$5000,INPUT!$D$3:$D$5000),2,FALSE),"")</f>
        <v>0</v>
      </c>
      <c r="I3187" s="46" t="str">
        <f>IF(INPUT!P3182="","",INPUT!P3182)</f>
        <v/>
      </c>
      <c r="J3187" s="46" t="str">
        <f>IF(INPUT!Q3182="","",INPUT!Q3182)</f>
        <v/>
      </c>
      <c r="K3187" s="46" t="str">
        <f>IFERROR(IF(OR(INPUT!P3182="",INPUT!Q3182=""),"",INPUT!P3182-INPUT!Q3182),"")</f>
        <v/>
      </c>
      <c r="L3187" s="48" t="str">
        <f>IFERROR(IF(OR(INPUT!P3182="",INPUT!Q3182="",INPUT!P3182=0),"",(INPUT!P3182-INPUT!Q3182)/INPUT!P3182),"")</f>
        <v/>
      </c>
    </row>
    <row r="3188" spans="1:12" ht="18" hidden="1" customHeight="1" x14ac:dyDescent="0.2">
      <c r="A3188" s="11" t="str">
        <f>IF(INPUT!M3183="","",INPUT!M3183)</f>
        <v/>
      </c>
      <c r="B3188" s="11" t="str">
        <f>IF(INPUT!M3183="","",INPUT!M3183-WEEKDAY(INPUT!M3183,2)+1)</f>
        <v/>
      </c>
      <c r="C3188" s="20">
        <f>IFERROR(_xlfn.ISOWEEKNUM(INPUT!M3183),"")</f>
        <v>52</v>
      </c>
      <c r="D3188" s="20">
        <f>IFERROR(YEAR(INPUT!M3183),"")</f>
        <v>1900</v>
      </c>
      <c r="E3188" t="str">
        <f>IF(INPUT!O3183="","",INPUT!O3183)</f>
        <v/>
      </c>
      <c r="F3188" t="str">
        <f>IF(INPUT!N3183="","",INPUT!N3183)</f>
        <v/>
      </c>
      <c r="G3188" cm="1">
        <f t="array" ref="G3188">IFERROR(VLOOKUP(INPUT!M3183&amp;INPUT!N3183,CHOOSE({1,2},INPUT!$A$3:$A$5000&amp;INPUT!$C$3:$C$5000,INPUT!$F$3:$F$5000),2,FALSE),"")</f>
        <v>0</v>
      </c>
      <c r="H3188" cm="1">
        <f t="array" ref="H3188">IFERROR(VLOOKUP(INPUT!M3183&amp;INPUT!N3183,CHOOSE({1,2},INPUT!$A$3:$A$5000&amp;INPUT!$C$3:$C$5000,INPUT!$D$3:$D$5000),2,FALSE),"")</f>
        <v>0</v>
      </c>
      <c r="I3188" s="46" t="str">
        <f>IF(INPUT!P3183="","",INPUT!P3183)</f>
        <v/>
      </c>
      <c r="J3188" s="46" t="str">
        <f>IF(INPUT!Q3183="","",INPUT!Q3183)</f>
        <v/>
      </c>
      <c r="K3188" s="46" t="str">
        <f>IFERROR(IF(OR(INPUT!P3183="",INPUT!Q3183=""),"",INPUT!P3183-INPUT!Q3183),"")</f>
        <v/>
      </c>
      <c r="L3188" s="48" t="str">
        <f>IFERROR(IF(OR(INPUT!P3183="",INPUT!Q3183="",INPUT!P3183=0),"",(INPUT!P3183-INPUT!Q3183)/INPUT!P3183),"")</f>
        <v/>
      </c>
    </row>
    <row r="3189" spans="1:12" ht="18" hidden="1" customHeight="1" x14ac:dyDescent="0.2">
      <c r="A3189" s="11" t="str">
        <f>IF(INPUT!M3184="","",INPUT!M3184)</f>
        <v/>
      </c>
      <c r="B3189" s="11" t="str">
        <f>IF(INPUT!M3184="","",INPUT!M3184-WEEKDAY(INPUT!M3184,2)+1)</f>
        <v/>
      </c>
      <c r="C3189" s="20">
        <f>IFERROR(_xlfn.ISOWEEKNUM(INPUT!M3184),"")</f>
        <v>52</v>
      </c>
      <c r="D3189" s="20">
        <f>IFERROR(YEAR(INPUT!M3184),"")</f>
        <v>1900</v>
      </c>
      <c r="E3189" t="str">
        <f>IF(INPUT!O3184="","",INPUT!O3184)</f>
        <v/>
      </c>
      <c r="F3189" t="str">
        <f>IF(INPUT!N3184="","",INPUT!N3184)</f>
        <v/>
      </c>
      <c r="G3189" cm="1">
        <f t="array" ref="G3189">IFERROR(VLOOKUP(INPUT!M3184&amp;INPUT!N3184,CHOOSE({1,2},INPUT!$A$3:$A$5000&amp;INPUT!$C$3:$C$5000,INPUT!$F$3:$F$5000),2,FALSE),"")</f>
        <v>0</v>
      </c>
      <c r="H3189" cm="1">
        <f t="array" ref="H3189">IFERROR(VLOOKUP(INPUT!M3184&amp;INPUT!N3184,CHOOSE({1,2},INPUT!$A$3:$A$5000&amp;INPUT!$C$3:$C$5000,INPUT!$D$3:$D$5000),2,FALSE),"")</f>
        <v>0</v>
      </c>
      <c r="I3189" s="46" t="str">
        <f>IF(INPUT!P3184="","",INPUT!P3184)</f>
        <v/>
      </c>
      <c r="J3189" s="46" t="str">
        <f>IF(INPUT!Q3184="","",INPUT!Q3184)</f>
        <v/>
      </c>
      <c r="K3189" s="46" t="str">
        <f>IFERROR(IF(OR(INPUT!P3184="",INPUT!Q3184=""),"",INPUT!P3184-INPUT!Q3184),"")</f>
        <v/>
      </c>
      <c r="L3189" s="48" t="str">
        <f>IFERROR(IF(OR(INPUT!P3184="",INPUT!Q3184="",INPUT!P3184=0),"",(INPUT!P3184-INPUT!Q3184)/INPUT!P3184),"")</f>
        <v/>
      </c>
    </row>
    <row r="3190" spans="1:12" ht="18" hidden="1" customHeight="1" x14ac:dyDescent="0.2">
      <c r="A3190" s="11" t="str">
        <f>IF(INPUT!M3185="","",INPUT!M3185)</f>
        <v/>
      </c>
      <c r="B3190" s="11" t="str">
        <f>IF(INPUT!M3185="","",INPUT!M3185-WEEKDAY(INPUT!M3185,2)+1)</f>
        <v/>
      </c>
      <c r="C3190" s="20">
        <f>IFERROR(_xlfn.ISOWEEKNUM(INPUT!M3185),"")</f>
        <v>52</v>
      </c>
      <c r="D3190" s="20">
        <f>IFERROR(YEAR(INPUT!M3185),"")</f>
        <v>1900</v>
      </c>
      <c r="E3190" t="str">
        <f>IF(INPUT!O3185="","",INPUT!O3185)</f>
        <v/>
      </c>
      <c r="F3190" t="str">
        <f>IF(INPUT!N3185="","",INPUT!N3185)</f>
        <v/>
      </c>
      <c r="G3190" cm="1">
        <f t="array" ref="G3190">IFERROR(VLOOKUP(INPUT!M3185&amp;INPUT!N3185,CHOOSE({1,2},INPUT!$A$3:$A$5000&amp;INPUT!$C$3:$C$5000,INPUT!$F$3:$F$5000),2,FALSE),"")</f>
        <v>0</v>
      </c>
      <c r="H3190" cm="1">
        <f t="array" ref="H3190">IFERROR(VLOOKUP(INPUT!M3185&amp;INPUT!N3185,CHOOSE({1,2},INPUT!$A$3:$A$5000&amp;INPUT!$C$3:$C$5000,INPUT!$D$3:$D$5000),2,FALSE),"")</f>
        <v>0</v>
      </c>
      <c r="I3190" s="46" t="str">
        <f>IF(INPUT!P3185="","",INPUT!P3185)</f>
        <v/>
      </c>
      <c r="J3190" s="46" t="str">
        <f>IF(INPUT!Q3185="","",INPUT!Q3185)</f>
        <v/>
      </c>
      <c r="K3190" s="46" t="str">
        <f>IFERROR(IF(OR(INPUT!P3185="",INPUT!Q3185=""),"",INPUT!P3185-INPUT!Q3185),"")</f>
        <v/>
      </c>
      <c r="L3190" s="48" t="str">
        <f>IFERROR(IF(OR(INPUT!P3185="",INPUT!Q3185="",INPUT!P3185=0),"",(INPUT!P3185-INPUT!Q3185)/INPUT!P3185),"")</f>
        <v/>
      </c>
    </row>
    <row r="3191" spans="1:12" ht="18" hidden="1" customHeight="1" x14ac:dyDescent="0.2">
      <c r="A3191" s="11" t="str">
        <f>IF(INPUT!M3186="","",INPUT!M3186)</f>
        <v/>
      </c>
      <c r="B3191" s="11" t="str">
        <f>IF(INPUT!M3186="","",INPUT!M3186-WEEKDAY(INPUT!M3186,2)+1)</f>
        <v/>
      </c>
      <c r="C3191" s="20">
        <f>IFERROR(_xlfn.ISOWEEKNUM(INPUT!M3186),"")</f>
        <v>52</v>
      </c>
      <c r="D3191" s="20">
        <f>IFERROR(YEAR(INPUT!M3186),"")</f>
        <v>1900</v>
      </c>
      <c r="E3191" t="str">
        <f>IF(INPUT!O3186="","",INPUT!O3186)</f>
        <v/>
      </c>
      <c r="F3191" t="str">
        <f>IF(INPUT!N3186="","",INPUT!N3186)</f>
        <v/>
      </c>
      <c r="G3191" cm="1">
        <f t="array" ref="G3191">IFERROR(VLOOKUP(INPUT!M3186&amp;INPUT!N3186,CHOOSE({1,2},INPUT!$A$3:$A$5000&amp;INPUT!$C$3:$C$5000,INPUT!$F$3:$F$5000),2,FALSE),"")</f>
        <v>0</v>
      </c>
      <c r="H3191" cm="1">
        <f t="array" ref="H3191">IFERROR(VLOOKUP(INPUT!M3186&amp;INPUT!N3186,CHOOSE({1,2},INPUT!$A$3:$A$5000&amp;INPUT!$C$3:$C$5000,INPUT!$D$3:$D$5000),2,FALSE),"")</f>
        <v>0</v>
      </c>
      <c r="I3191" s="46" t="str">
        <f>IF(INPUT!P3186="","",INPUT!P3186)</f>
        <v/>
      </c>
      <c r="J3191" s="46" t="str">
        <f>IF(INPUT!Q3186="","",INPUT!Q3186)</f>
        <v/>
      </c>
      <c r="K3191" s="46" t="str">
        <f>IFERROR(IF(OR(INPUT!P3186="",INPUT!Q3186=""),"",INPUT!P3186-INPUT!Q3186),"")</f>
        <v/>
      </c>
      <c r="L3191" s="48" t="str">
        <f>IFERROR(IF(OR(INPUT!P3186="",INPUT!Q3186="",INPUT!P3186=0),"",(INPUT!P3186-INPUT!Q3186)/INPUT!P3186),"")</f>
        <v/>
      </c>
    </row>
    <row r="3192" spans="1:12" ht="18" hidden="1" customHeight="1" x14ac:dyDescent="0.2">
      <c r="A3192" s="11" t="str">
        <f>IF(INPUT!M3187="","",INPUT!M3187)</f>
        <v/>
      </c>
      <c r="B3192" s="11" t="str">
        <f>IF(INPUT!M3187="","",INPUT!M3187-WEEKDAY(INPUT!M3187,2)+1)</f>
        <v/>
      </c>
      <c r="C3192" s="20">
        <f>IFERROR(_xlfn.ISOWEEKNUM(INPUT!M3187),"")</f>
        <v>52</v>
      </c>
      <c r="D3192" s="20">
        <f>IFERROR(YEAR(INPUT!M3187),"")</f>
        <v>1900</v>
      </c>
      <c r="E3192" t="str">
        <f>IF(INPUT!O3187="","",INPUT!O3187)</f>
        <v/>
      </c>
      <c r="F3192" t="str">
        <f>IF(INPUT!N3187="","",INPUT!N3187)</f>
        <v/>
      </c>
      <c r="G3192" cm="1">
        <f t="array" ref="G3192">IFERROR(VLOOKUP(INPUT!M3187&amp;INPUT!N3187,CHOOSE({1,2},INPUT!$A$3:$A$5000&amp;INPUT!$C$3:$C$5000,INPUT!$F$3:$F$5000),2,FALSE),"")</f>
        <v>0</v>
      </c>
      <c r="H3192" cm="1">
        <f t="array" ref="H3192">IFERROR(VLOOKUP(INPUT!M3187&amp;INPUT!N3187,CHOOSE({1,2},INPUT!$A$3:$A$5000&amp;INPUT!$C$3:$C$5000,INPUT!$D$3:$D$5000),2,FALSE),"")</f>
        <v>0</v>
      </c>
      <c r="I3192" s="46" t="str">
        <f>IF(INPUT!P3187="","",INPUT!P3187)</f>
        <v/>
      </c>
      <c r="J3192" s="46" t="str">
        <f>IF(INPUT!Q3187="","",INPUT!Q3187)</f>
        <v/>
      </c>
      <c r="K3192" s="46" t="str">
        <f>IFERROR(IF(OR(INPUT!P3187="",INPUT!Q3187=""),"",INPUT!P3187-INPUT!Q3187),"")</f>
        <v/>
      </c>
      <c r="L3192" s="48" t="str">
        <f>IFERROR(IF(OR(INPUT!P3187="",INPUT!Q3187="",INPUT!P3187=0),"",(INPUT!P3187-INPUT!Q3187)/INPUT!P3187),"")</f>
        <v/>
      </c>
    </row>
    <row r="3193" spans="1:12" ht="18" hidden="1" customHeight="1" x14ac:dyDescent="0.2">
      <c r="A3193" s="11" t="str">
        <f>IF(INPUT!M3188="","",INPUT!M3188)</f>
        <v/>
      </c>
      <c r="B3193" s="11" t="str">
        <f>IF(INPUT!M3188="","",INPUT!M3188-WEEKDAY(INPUT!M3188,2)+1)</f>
        <v/>
      </c>
      <c r="C3193" s="20">
        <f>IFERROR(_xlfn.ISOWEEKNUM(INPUT!M3188),"")</f>
        <v>52</v>
      </c>
      <c r="D3193" s="20">
        <f>IFERROR(YEAR(INPUT!M3188),"")</f>
        <v>1900</v>
      </c>
      <c r="E3193" t="str">
        <f>IF(INPUT!O3188="","",INPUT!O3188)</f>
        <v/>
      </c>
      <c r="F3193" t="str">
        <f>IF(INPUT!N3188="","",INPUT!N3188)</f>
        <v/>
      </c>
      <c r="G3193" cm="1">
        <f t="array" ref="G3193">IFERROR(VLOOKUP(INPUT!M3188&amp;INPUT!N3188,CHOOSE({1,2},INPUT!$A$3:$A$5000&amp;INPUT!$C$3:$C$5000,INPUT!$F$3:$F$5000),2,FALSE),"")</f>
        <v>0</v>
      </c>
      <c r="H3193" cm="1">
        <f t="array" ref="H3193">IFERROR(VLOOKUP(INPUT!M3188&amp;INPUT!N3188,CHOOSE({1,2},INPUT!$A$3:$A$5000&amp;INPUT!$C$3:$C$5000,INPUT!$D$3:$D$5000),2,FALSE),"")</f>
        <v>0</v>
      </c>
      <c r="I3193" s="46" t="str">
        <f>IF(INPUT!P3188="","",INPUT!P3188)</f>
        <v/>
      </c>
      <c r="J3193" s="46" t="str">
        <f>IF(INPUT!Q3188="","",INPUT!Q3188)</f>
        <v/>
      </c>
      <c r="K3193" s="46" t="str">
        <f>IFERROR(IF(OR(INPUT!P3188="",INPUT!Q3188=""),"",INPUT!P3188-INPUT!Q3188),"")</f>
        <v/>
      </c>
      <c r="L3193" s="48" t="str">
        <f>IFERROR(IF(OR(INPUT!P3188="",INPUT!Q3188="",INPUT!P3188=0),"",(INPUT!P3188-INPUT!Q3188)/INPUT!P3188),"")</f>
        <v/>
      </c>
    </row>
    <row r="3194" spans="1:12" ht="18" hidden="1" customHeight="1" x14ac:dyDescent="0.2">
      <c r="A3194" s="11" t="str">
        <f>IF(INPUT!M3189="","",INPUT!M3189)</f>
        <v/>
      </c>
      <c r="B3194" s="11" t="str">
        <f>IF(INPUT!M3189="","",INPUT!M3189-WEEKDAY(INPUT!M3189,2)+1)</f>
        <v/>
      </c>
      <c r="C3194" s="20">
        <f>IFERROR(_xlfn.ISOWEEKNUM(INPUT!M3189),"")</f>
        <v>52</v>
      </c>
      <c r="D3194" s="20">
        <f>IFERROR(YEAR(INPUT!M3189),"")</f>
        <v>1900</v>
      </c>
      <c r="E3194" t="str">
        <f>IF(INPUT!O3189="","",INPUT!O3189)</f>
        <v/>
      </c>
      <c r="F3194" t="str">
        <f>IF(INPUT!N3189="","",INPUT!N3189)</f>
        <v/>
      </c>
      <c r="G3194" cm="1">
        <f t="array" ref="G3194">IFERROR(VLOOKUP(INPUT!M3189&amp;INPUT!N3189,CHOOSE({1,2},INPUT!$A$3:$A$5000&amp;INPUT!$C$3:$C$5000,INPUT!$F$3:$F$5000),2,FALSE),"")</f>
        <v>0</v>
      </c>
      <c r="H3194" cm="1">
        <f t="array" ref="H3194">IFERROR(VLOOKUP(INPUT!M3189&amp;INPUT!N3189,CHOOSE({1,2},INPUT!$A$3:$A$5000&amp;INPUT!$C$3:$C$5000,INPUT!$D$3:$D$5000),2,FALSE),"")</f>
        <v>0</v>
      </c>
      <c r="I3194" s="46" t="str">
        <f>IF(INPUT!P3189="","",INPUT!P3189)</f>
        <v/>
      </c>
      <c r="J3194" s="46" t="str">
        <f>IF(INPUT!Q3189="","",INPUT!Q3189)</f>
        <v/>
      </c>
      <c r="K3194" s="46" t="str">
        <f>IFERROR(IF(OR(INPUT!P3189="",INPUT!Q3189=""),"",INPUT!P3189-INPUT!Q3189),"")</f>
        <v/>
      </c>
      <c r="L3194" s="48" t="str">
        <f>IFERROR(IF(OR(INPUT!P3189="",INPUT!Q3189="",INPUT!P3189=0),"",(INPUT!P3189-INPUT!Q3189)/INPUT!P3189),"")</f>
        <v/>
      </c>
    </row>
    <row r="3195" spans="1:12" ht="18" hidden="1" customHeight="1" x14ac:dyDescent="0.2">
      <c r="A3195" s="11" t="str">
        <f>IF(INPUT!M3190="","",INPUT!M3190)</f>
        <v/>
      </c>
      <c r="B3195" s="11" t="str">
        <f>IF(INPUT!M3190="","",INPUT!M3190-WEEKDAY(INPUT!M3190,2)+1)</f>
        <v/>
      </c>
      <c r="C3195" s="20">
        <f>IFERROR(_xlfn.ISOWEEKNUM(INPUT!M3190),"")</f>
        <v>52</v>
      </c>
      <c r="D3195" s="20">
        <f>IFERROR(YEAR(INPUT!M3190),"")</f>
        <v>1900</v>
      </c>
      <c r="E3195" t="str">
        <f>IF(INPUT!O3190="","",INPUT!O3190)</f>
        <v/>
      </c>
      <c r="F3195" t="str">
        <f>IF(INPUT!N3190="","",INPUT!N3190)</f>
        <v/>
      </c>
      <c r="G3195" cm="1">
        <f t="array" ref="G3195">IFERROR(VLOOKUP(INPUT!M3190&amp;INPUT!N3190,CHOOSE({1,2},INPUT!$A$3:$A$5000&amp;INPUT!$C$3:$C$5000,INPUT!$F$3:$F$5000),2,FALSE),"")</f>
        <v>0</v>
      </c>
      <c r="H3195" cm="1">
        <f t="array" ref="H3195">IFERROR(VLOOKUP(INPUT!M3190&amp;INPUT!N3190,CHOOSE({1,2},INPUT!$A$3:$A$5000&amp;INPUT!$C$3:$C$5000,INPUT!$D$3:$D$5000),2,FALSE),"")</f>
        <v>0</v>
      </c>
      <c r="I3195" s="46" t="str">
        <f>IF(INPUT!P3190="","",INPUT!P3190)</f>
        <v/>
      </c>
      <c r="J3195" s="46" t="str">
        <f>IF(INPUT!Q3190="","",INPUT!Q3190)</f>
        <v/>
      </c>
      <c r="K3195" s="46" t="str">
        <f>IFERROR(IF(OR(INPUT!P3190="",INPUT!Q3190=""),"",INPUT!P3190-INPUT!Q3190),"")</f>
        <v/>
      </c>
      <c r="L3195" s="48" t="str">
        <f>IFERROR(IF(OR(INPUT!P3190="",INPUT!Q3190="",INPUT!P3190=0),"",(INPUT!P3190-INPUT!Q3190)/INPUT!P3190),"")</f>
        <v/>
      </c>
    </row>
    <row r="3196" spans="1:12" ht="18" hidden="1" customHeight="1" x14ac:dyDescent="0.2">
      <c r="A3196" s="11" t="str">
        <f>IF(INPUT!M3191="","",INPUT!M3191)</f>
        <v/>
      </c>
      <c r="B3196" s="11" t="str">
        <f>IF(INPUT!M3191="","",INPUT!M3191-WEEKDAY(INPUT!M3191,2)+1)</f>
        <v/>
      </c>
      <c r="C3196" s="20">
        <f>IFERROR(_xlfn.ISOWEEKNUM(INPUT!M3191),"")</f>
        <v>52</v>
      </c>
      <c r="D3196" s="20">
        <f>IFERROR(YEAR(INPUT!M3191),"")</f>
        <v>1900</v>
      </c>
      <c r="E3196" t="str">
        <f>IF(INPUT!O3191="","",INPUT!O3191)</f>
        <v/>
      </c>
      <c r="F3196" t="str">
        <f>IF(INPUT!N3191="","",INPUT!N3191)</f>
        <v/>
      </c>
      <c r="G3196" cm="1">
        <f t="array" ref="G3196">IFERROR(VLOOKUP(INPUT!M3191&amp;INPUT!N3191,CHOOSE({1,2},INPUT!$A$3:$A$5000&amp;INPUT!$C$3:$C$5000,INPUT!$F$3:$F$5000),2,FALSE),"")</f>
        <v>0</v>
      </c>
      <c r="H3196" cm="1">
        <f t="array" ref="H3196">IFERROR(VLOOKUP(INPUT!M3191&amp;INPUT!N3191,CHOOSE({1,2},INPUT!$A$3:$A$5000&amp;INPUT!$C$3:$C$5000,INPUT!$D$3:$D$5000),2,FALSE),"")</f>
        <v>0</v>
      </c>
      <c r="I3196" s="46" t="str">
        <f>IF(INPUT!P3191="","",INPUT!P3191)</f>
        <v/>
      </c>
      <c r="J3196" s="46" t="str">
        <f>IF(INPUT!Q3191="","",INPUT!Q3191)</f>
        <v/>
      </c>
      <c r="K3196" s="46" t="str">
        <f>IFERROR(IF(OR(INPUT!P3191="",INPUT!Q3191=""),"",INPUT!P3191-INPUT!Q3191),"")</f>
        <v/>
      </c>
      <c r="L3196" s="48" t="str">
        <f>IFERROR(IF(OR(INPUT!P3191="",INPUT!Q3191="",INPUT!P3191=0),"",(INPUT!P3191-INPUT!Q3191)/INPUT!P3191),"")</f>
        <v/>
      </c>
    </row>
    <row r="3197" spans="1:12" ht="18" hidden="1" customHeight="1" x14ac:dyDescent="0.2">
      <c r="A3197" s="11" t="str">
        <f>IF(INPUT!M3192="","",INPUT!M3192)</f>
        <v/>
      </c>
      <c r="B3197" s="11" t="str">
        <f>IF(INPUT!M3192="","",INPUT!M3192-WEEKDAY(INPUT!M3192,2)+1)</f>
        <v/>
      </c>
      <c r="C3197" s="20">
        <f>IFERROR(_xlfn.ISOWEEKNUM(INPUT!M3192),"")</f>
        <v>52</v>
      </c>
      <c r="D3197" s="20">
        <f>IFERROR(YEAR(INPUT!M3192),"")</f>
        <v>1900</v>
      </c>
      <c r="E3197" t="str">
        <f>IF(INPUT!O3192="","",INPUT!O3192)</f>
        <v/>
      </c>
      <c r="F3197" t="str">
        <f>IF(INPUT!N3192="","",INPUT!N3192)</f>
        <v/>
      </c>
      <c r="G3197" cm="1">
        <f t="array" ref="G3197">IFERROR(VLOOKUP(INPUT!M3192&amp;INPUT!N3192,CHOOSE({1,2},INPUT!$A$3:$A$5000&amp;INPUT!$C$3:$C$5000,INPUT!$F$3:$F$5000),2,FALSE),"")</f>
        <v>0</v>
      </c>
      <c r="H3197" cm="1">
        <f t="array" ref="H3197">IFERROR(VLOOKUP(INPUT!M3192&amp;INPUT!N3192,CHOOSE({1,2},INPUT!$A$3:$A$5000&amp;INPUT!$C$3:$C$5000,INPUT!$D$3:$D$5000),2,FALSE),"")</f>
        <v>0</v>
      </c>
      <c r="I3197" s="46" t="str">
        <f>IF(INPUT!P3192="","",INPUT!P3192)</f>
        <v/>
      </c>
      <c r="J3197" s="46" t="str">
        <f>IF(INPUT!Q3192="","",INPUT!Q3192)</f>
        <v/>
      </c>
      <c r="K3197" s="46" t="str">
        <f>IFERROR(IF(OR(INPUT!P3192="",INPUT!Q3192=""),"",INPUT!P3192-INPUT!Q3192),"")</f>
        <v/>
      </c>
      <c r="L3197" s="48" t="str">
        <f>IFERROR(IF(OR(INPUT!P3192="",INPUT!Q3192="",INPUT!P3192=0),"",(INPUT!P3192-INPUT!Q3192)/INPUT!P3192),"")</f>
        <v/>
      </c>
    </row>
    <row r="3198" spans="1:12" ht="18" hidden="1" customHeight="1" x14ac:dyDescent="0.2">
      <c r="A3198" s="11" t="str">
        <f>IF(INPUT!M3193="","",INPUT!M3193)</f>
        <v/>
      </c>
      <c r="B3198" s="11" t="str">
        <f>IF(INPUT!M3193="","",INPUT!M3193-WEEKDAY(INPUT!M3193,2)+1)</f>
        <v/>
      </c>
      <c r="C3198" s="20">
        <f>IFERROR(_xlfn.ISOWEEKNUM(INPUT!M3193),"")</f>
        <v>52</v>
      </c>
      <c r="D3198" s="20">
        <f>IFERROR(YEAR(INPUT!M3193),"")</f>
        <v>1900</v>
      </c>
      <c r="E3198" t="str">
        <f>IF(INPUT!O3193="","",INPUT!O3193)</f>
        <v/>
      </c>
      <c r="F3198" t="str">
        <f>IF(INPUT!N3193="","",INPUT!N3193)</f>
        <v/>
      </c>
      <c r="G3198" cm="1">
        <f t="array" ref="G3198">IFERROR(VLOOKUP(INPUT!M3193&amp;INPUT!N3193,CHOOSE({1,2},INPUT!$A$3:$A$5000&amp;INPUT!$C$3:$C$5000,INPUT!$F$3:$F$5000),2,FALSE),"")</f>
        <v>0</v>
      </c>
      <c r="H3198" cm="1">
        <f t="array" ref="H3198">IFERROR(VLOOKUP(INPUT!M3193&amp;INPUT!N3193,CHOOSE({1,2},INPUT!$A$3:$A$5000&amp;INPUT!$C$3:$C$5000,INPUT!$D$3:$D$5000),2,FALSE),"")</f>
        <v>0</v>
      </c>
      <c r="I3198" s="46" t="str">
        <f>IF(INPUT!P3193="","",INPUT!P3193)</f>
        <v/>
      </c>
      <c r="J3198" s="46" t="str">
        <f>IF(INPUT!Q3193="","",INPUT!Q3193)</f>
        <v/>
      </c>
      <c r="K3198" s="46" t="str">
        <f>IFERROR(IF(OR(INPUT!P3193="",INPUT!Q3193=""),"",INPUT!P3193-INPUT!Q3193),"")</f>
        <v/>
      </c>
      <c r="L3198" s="48" t="str">
        <f>IFERROR(IF(OR(INPUT!P3193="",INPUT!Q3193="",INPUT!P3193=0),"",(INPUT!P3193-INPUT!Q3193)/INPUT!P3193),"")</f>
        <v/>
      </c>
    </row>
    <row r="3199" spans="1:12" ht="18" hidden="1" customHeight="1" x14ac:dyDescent="0.2">
      <c r="A3199" s="11" t="str">
        <f>IF(INPUT!M3194="","",INPUT!M3194)</f>
        <v/>
      </c>
      <c r="B3199" s="11" t="str">
        <f>IF(INPUT!M3194="","",INPUT!M3194-WEEKDAY(INPUT!M3194,2)+1)</f>
        <v/>
      </c>
      <c r="C3199" s="20">
        <f>IFERROR(_xlfn.ISOWEEKNUM(INPUT!M3194),"")</f>
        <v>52</v>
      </c>
      <c r="D3199" s="20">
        <f>IFERROR(YEAR(INPUT!M3194),"")</f>
        <v>1900</v>
      </c>
      <c r="E3199" t="str">
        <f>IF(INPUT!O3194="","",INPUT!O3194)</f>
        <v/>
      </c>
      <c r="F3199" t="str">
        <f>IF(INPUT!N3194="","",INPUT!N3194)</f>
        <v/>
      </c>
      <c r="G3199" cm="1">
        <f t="array" ref="G3199">IFERROR(VLOOKUP(INPUT!M3194&amp;INPUT!N3194,CHOOSE({1,2},INPUT!$A$3:$A$5000&amp;INPUT!$C$3:$C$5000,INPUT!$F$3:$F$5000),2,FALSE),"")</f>
        <v>0</v>
      </c>
      <c r="H3199" cm="1">
        <f t="array" ref="H3199">IFERROR(VLOOKUP(INPUT!M3194&amp;INPUT!N3194,CHOOSE({1,2},INPUT!$A$3:$A$5000&amp;INPUT!$C$3:$C$5000,INPUT!$D$3:$D$5000),2,FALSE),"")</f>
        <v>0</v>
      </c>
      <c r="I3199" s="46" t="str">
        <f>IF(INPUT!P3194="","",INPUT!P3194)</f>
        <v/>
      </c>
      <c r="J3199" s="46" t="str">
        <f>IF(INPUT!Q3194="","",INPUT!Q3194)</f>
        <v/>
      </c>
      <c r="K3199" s="46" t="str">
        <f>IFERROR(IF(OR(INPUT!P3194="",INPUT!Q3194=""),"",INPUT!P3194-INPUT!Q3194),"")</f>
        <v/>
      </c>
      <c r="L3199" s="48" t="str">
        <f>IFERROR(IF(OR(INPUT!P3194="",INPUT!Q3194="",INPUT!P3194=0),"",(INPUT!P3194-INPUT!Q3194)/INPUT!P3194),"")</f>
        <v/>
      </c>
    </row>
    <row r="3200" spans="1:12" ht="18" hidden="1" customHeight="1" x14ac:dyDescent="0.2">
      <c r="A3200" s="11" t="str">
        <f>IF(INPUT!M3195="","",INPUT!M3195)</f>
        <v/>
      </c>
      <c r="B3200" s="11" t="str">
        <f>IF(INPUT!M3195="","",INPUT!M3195-WEEKDAY(INPUT!M3195,2)+1)</f>
        <v/>
      </c>
      <c r="C3200" s="20">
        <f>IFERROR(_xlfn.ISOWEEKNUM(INPUT!M3195),"")</f>
        <v>52</v>
      </c>
      <c r="D3200" s="20">
        <f>IFERROR(YEAR(INPUT!M3195),"")</f>
        <v>1900</v>
      </c>
      <c r="E3200" t="str">
        <f>IF(INPUT!O3195="","",INPUT!O3195)</f>
        <v/>
      </c>
      <c r="F3200" t="str">
        <f>IF(INPUT!N3195="","",INPUT!N3195)</f>
        <v/>
      </c>
      <c r="G3200" cm="1">
        <f t="array" ref="G3200">IFERROR(VLOOKUP(INPUT!M3195&amp;INPUT!N3195,CHOOSE({1,2},INPUT!$A$3:$A$5000&amp;INPUT!$C$3:$C$5000,INPUT!$F$3:$F$5000),2,FALSE),"")</f>
        <v>0</v>
      </c>
      <c r="H3200" cm="1">
        <f t="array" ref="H3200">IFERROR(VLOOKUP(INPUT!M3195&amp;INPUT!N3195,CHOOSE({1,2},INPUT!$A$3:$A$5000&amp;INPUT!$C$3:$C$5000,INPUT!$D$3:$D$5000),2,FALSE),"")</f>
        <v>0</v>
      </c>
      <c r="I3200" s="46" t="str">
        <f>IF(INPUT!P3195="","",INPUT!P3195)</f>
        <v/>
      </c>
      <c r="J3200" s="46" t="str">
        <f>IF(INPUT!Q3195="","",INPUT!Q3195)</f>
        <v/>
      </c>
      <c r="K3200" s="46" t="str">
        <f>IFERROR(IF(OR(INPUT!P3195="",INPUT!Q3195=""),"",INPUT!P3195-INPUT!Q3195),"")</f>
        <v/>
      </c>
      <c r="L3200" s="48" t="str">
        <f>IFERROR(IF(OR(INPUT!P3195="",INPUT!Q3195="",INPUT!P3195=0),"",(INPUT!P3195-INPUT!Q3195)/INPUT!P3195),"")</f>
        <v/>
      </c>
    </row>
    <row r="3201" spans="1:12" ht="18" hidden="1" customHeight="1" x14ac:dyDescent="0.2">
      <c r="A3201" s="11" t="str">
        <f>IF(INPUT!M3196="","",INPUT!M3196)</f>
        <v/>
      </c>
      <c r="B3201" s="11" t="str">
        <f>IF(INPUT!M3196="","",INPUT!M3196-WEEKDAY(INPUT!M3196,2)+1)</f>
        <v/>
      </c>
      <c r="C3201" s="20">
        <f>IFERROR(_xlfn.ISOWEEKNUM(INPUT!M3196),"")</f>
        <v>52</v>
      </c>
      <c r="D3201" s="20">
        <f>IFERROR(YEAR(INPUT!M3196),"")</f>
        <v>1900</v>
      </c>
      <c r="E3201" t="str">
        <f>IF(INPUT!O3196="","",INPUT!O3196)</f>
        <v/>
      </c>
      <c r="F3201" t="str">
        <f>IF(INPUT!N3196="","",INPUT!N3196)</f>
        <v/>
      </c>
      <c r="G3201" cm="1">
        <f t="array" ref="G3201">IFERROR(VLOOKUP(INPUT!M3196&amp;INPUT!N3196,CHOOSE({1,2},INPUT!$A$3:$A$5000&amp;INPUT!$C$3:$C$5000,INPUT!$F$3:$F$5000),2,FALSE),"")</f>
        <v>0</v>
      </c>
      <c r="H3201" cm="1">
        <f t="array" ref="H3201">IFERROR(VLOOKUP(INPUT!M3196&amp;INPUT!N3196,CHOOSE({1,2},INPUT!$A$3:$A$5000&amp;INPUT!$C$3:$C$5000,INPUT!$D$3:$D$5000),2,FALSE),"")</f>
        <v>0</v>
      </c>
      <c r="I3201" s="46" t="str">
        <f>IF(INPUT!P3196="","",INPUT!P3196)</f>
        <v/>
      </c>
      <c r="J3201" s="46" t="str">
        <f>IF(INPUT!Q3196="","",INPUT!Q3196)</f>
        <v/>
      </c>
      <c r="K3201" s="46" t="str">
        <f>IFERROR(IF(OR(INPUT!P3196="",INPUT!Q3196=""),"",INPUT!P3196-INPUT!Q3196),"")</f>
        <v/>
      </c>
      <c r="L3201" s="48" t="str">
        <f>IFERROR(IF(OR(INPUT!P3196="",INPUT!Q3196="",INPUT!P3196=0),"",(INPUT!P3196-INPUT!Q3196)/INPUT!P3196),"")</f>
        <v/>
      </c>
    </row>
    <row r="3202" spans="1:12" ht="18" hidden="1" customHeight="1" x14ac:dyDescent="0.2">
      <c r="A3202" s="11" t="str">
        <f>IF(INPUT!M3197="","",INPUT!M3197)</f>
        <v/>
      </c>
      <c r="B3202" s="11" t="str">
        <f>IF(INPUT!M3197="","",INPUT!M3197-WEEKDAY(INPUT!M3197,2)+1)</f>
        <v/>
      </c>
      <c r="C3202" s="20">
        <f>IFERROR(_xlfn.ISOWEEKNUM(INPUT!M3197),"")</f>
        <v>52</v>
      </c>
      <c r="D3202" s="20">
        <f>IFERROR(YEAR(INPUT!M3197),"")</f>
        <v>1900</v>
      </c>
      <c r="E3202" t="str">
        <f>IF(INPUT!O3197="","",INPUT!O3197)</f>
        <v/>
      </c>
      <c r="F3202" t="str">
        <f>IF(INPUT!N3197="","",INPUT!N3197)</f>
        <v/>
      </c>
      <c r="G3202" cm="1">
        <f t="array" ref="G3202">IFERROR(VLOOKUP(INPUT!M3197&amp;INPUT!N3197,CHOOSE({1,2},INPUT!$A$3:$A$5000&amp;INPUT!$C$3:$C$5000,INPUT!$F$3:$F$5000),2,FALSE),"")</f>
        <v>0</v>
      </c>
      <c r="H3202" cm="1">
        <f t="array" ref="H3202">IFERROR(VLOOKUP(INPUT!M3197&amp;INPUT!N3197,CHOOSE({1,2},INPUT!$A$3:$A$5000&amp;INPUT!$C$3:$C$5000,INPUT!$D$3:$D$5000),2,FALSE),"")</f>
        <v>0</v>
      </c>
      <c r="I3202" s="46" t="str">
        <f>IF(INPUT!P3197="","",INPUT!P3197)</f>
        <v/>
      </c>
      <c r="J3202" s="46" t="str">
        <f>IF(INPUT!Q3197="","",INPUT!Q3197)</f>
        <v/>
      </c>
      <c r="K3202" s="46" t="str">
        <f>IFERROR(IF(OR(INPUT!P3197="",INPUT!Q3197=""),"",INPUT!P3197-INPUT!Q3197),"")</f>
        <v/>
      </c>
      <c r="L3202" s="48" t="str">
        <f>IFERROR(IF(OR(INPUT!P3197="",INPUT!Q3197="",INPUT!P3197=0),"",(INPUT!P3197-INPUT!Q3197)/INPUT!P3197),"")</f>
        <v/>
      </c>
    </row>
    <row r="3203" spans="1:12" ht="18" hidden="1" customHeight="1" x14ac:dyDescent="0.2">
      <c r="A3203" s="11" t="str">
        <f>IF(INPUT!M3198="","",INPUT!M3198)</f>
        <v/>
      </c>
      <c r="B3203" s="11" t="str">
        <f>IF(INPUT!M3198="","",INPUT!M3198-WEEKDAY(INPUT!M3198,2)+1)</f>
        <v/>
      </c>
      <c r="C3203" s="20">
        <f>IFERROR(_xlfn.ISOWEEKNUM(INPUT!M3198),"")</f>
        <v>52</v>
      </c>
      <c r="D3203" s="20">
        <f>IFERROR(YEAR(INPUT!M3198),"")</f>
        <v>1900</v>
      </c>
      <c r="E3203" t="str">
        <f>IF(INPUT!O3198="","",INPUT!O3198)</f>
        <v/>
      </c>
      <c r="F3203" t="str">
        <f>IF(INPUT!N3198="","",INPUT!N3198)</f>
        <v/>
      </c>
      <c r="G3203" cm="1">
        <f t="array" ref="G3203">IFERROR(VLOOKUP(INPUT!M3198&amp;INPUT!N3198,CHOOSE({1,2},INPUT!$A$3:$A$5000&amp;INPUT!$C$3:$C$5000,INPUT!$F$3:$F$5000),2,FALSE),"")</f>
        <v>0</v>
      </c>
      <c r="H3203" cm="1">
        <f t="array" ref="H3203">IFERROR(VLOOKUP(INPUT!M3198&amp;INPUT!N3198,CHOOSE({1,2},INPUT!$A$3:$A$5000&amp;INPUT!$C$3:$C$5000,INPUT!$D$3:$D$5000),2,FALSE),"")</f>
        <v>0</v>
      </c>
      <c r="I3203" s="46" t="str">
        <f>IF(INPUT!P3198="","",INPUT!P3198)</f>
        <v/>
      </c>
      <c r="J3203" s="46" t="str">
        <f>IF(INPUT!Q3198="","",INPUT!Q3198)</f>
        <v/>
      </c>
      <c r="K3203" s="46" t="str">
        <f>IFERROR(IF(OR(INPUT!P3198="",INPUT!Q3198=""),"",INPUT!P3198-INPUT!Q3198),"")</f>
        <v/>
      </c>
      <c r="L3203" s="48" t="str">
        <f>IFERROR(IF(OR(INPUT!P3198="",INPUT!Q3198="",INPUT!P3198=0),"",(INPUT!P3198-INPUT!Q3198)/INPUT!P3198),"")</f>
        <v/>
      </c>
    </row>
    <row r="3204" spans="1:12" ht="18" hidden="1" customHeight="1" x14ac:dyDescent="0.2">
      <c r="A3204" s="11" t="str">
        <f>IF(INPUT!M3199="","",INPUT!M3199)</f>
        <v/>
      </c>
      <c r="B3204" s="11" t="str">
        <f>IF(INPUT!M3199="","",INPUT!M3199-WEEKDAY(INPUT!M3199,2)+1)</f>
        <v/>
      </c>
      <c r="C3204" s="20">
        <f>IFERROR(_xlfn.ISOWEEKNUM(INPUT!M3199),"")</f>
        <v>52</v>
      </c>
      <c r="D3204" s="20">
        <f>IFERROR(YEAR(INPUT!M3199),"")</f>
        <v>1900</v>
      </c>
      <c r="E3204" t="str">
        <f>IF(INPUT!O3199="","",INPUT!O3199)</f>
        <v/>
      </c>
      <c r="F3204" t="str">
        <f>IF(INPUT!N3199="","",INPUT!N3199)</f>
        <v/>
      </c>
      <c r="G3204" cm="1">
        <f t="array" ref="G3204">IFERROR(VLOOKUP(INPUT!M3199&amp;INPUT!N3199,CHOOSE({1,2},INPUT!$A$3:$A$5000&amp;INPUT!$C$3:$C$5000,INPUT!$F$3:$F$5000),2,FALSE),"")</f>
        <v>0</v>
      </c>
      <c r="H3204" cm="1">
        <f t="array" ref="H3204">IFERROR(VLOOKUP(INPUT!M3199&amp;INPUT!N3199,CHOOSE({1,2},INPUT!$A$3:$A$5000&amp;INPUT!$C$3:$C$5000,INPUT!$D$3:$D$5000),2,FALSE),"")</f>
        <v>0</v>
      </c>
      <c r="I3204" s="46" t="str">
        <f>IF(INPUT!P3199="","",INPUT!P3199)</f>
        <v/>
      </c>
      <c r="J3204" s="46" t="str">
        <f>IF(INPUT!Q3199="","",INPUT!Q3199)</f>
        <v/>
      </c>
      <c r="K3204" s="46" t="str">
        <f>IFERROR(IF(OR(INPUT!P3199="",INPUT!Q3199=""),"",INPUT!P3199-INPUT!Q3199),"")</f>
        <v/>
      </c>
      <c r="L3204" s="48" t="str">
        <f>IFERROR(IF(OR(INPUT!P3199="",INPUT!Q3199="",INPUT!P3199=0),"",(INPUT!P3199-INPUT!Q3199)/INPUT!P3199),"")</f>
        <v/>
      </c>
    </row>
    <row r="3205" spans="1:12" ht="18" hidden="1" customHeight="1" x14ac:dyDescent="0.2">
      <c r="A3205" s="11" t="str">
        <f>IF(INPUT!M3200="","",INPUT!M3200)</f>
        <v/>
      </c>
      <c r="B3205" s="11" t="str">
        <f>IF(INPUT!M3200="","",INPUT!M3200-WEEKDAY(INPUT!M3200,2)+1)</f>
        <v/>
      </c>
      <c r="C3205" s="20">
        <f>IFERROR(_xlfn.ISOWEEKNUM(INPUT!M3200),"")</f>
        <v>52</v>
      </c>
      <c r="D3205" s="20">
        <f>IFERROR(YEAR(INPUT!M3200),"")</f>
        <v>1900</v>
      </c>
      <c r="E3205" t="str">
        <f>IF(INPUT!O3200="","",INPUT!O3200)</f>
        <v/>
      </c>
      <c r="F3205" t="str">
        <f>IF(INPUT!N3200="","",INPUT!N3200)</f>
        <v/>
      </c>
      <c r="G3205" cm="1">
        <f t="array" ref="G3205">IFERROR(VLOOKUP(INPUT!M3200&amp;INPUT!N3200,CHOOSE({1,2},INPUT!$A$3:$A$5000&amp;INPUT!$C$3:$C$5000,INPUT!$F$3:$F$5000),2,FALSE),"")</f>
        <v>0</v>
      </c>
      <c r="H3205" cm="1">
        <f t="array" ref="H3205">IFERROR(VLOOKUP(INPUT!M3200&amp;INPUT!N3200,CHOOSE({1,2},INPUT!$A$3:$A$5000&amp;INPUT!$C$3:$C$5000,INPUT!$D$3:$D$5000),2,FALSE),"")</f>
        <v>0</v>
      </c>
      <c r="I3205" s="46" t="str">
        <f>IF(INPUT!P3200="","",INPUT!P3200)</f>
        <v/>
      </c>
      <c r="J3205" s="46" t="str">
        <f>IF(INPUT!Q3200="","",INPUT!Q3200)</f>
        <v/>
      </c>
      <c r="K3205" s="46" t="str">
        <f>IFERROR(IF(OR(INPUT!P3200="",INPUT!Q3200=""),"",INPUT!P3200-INPUT!Q3200),"")</f>
        <v/>
      </c>
      <c r="L3205" s="48" t="str">
        <f>IFERROR(IF(OR(INPUT!P3200="",INPUT!Q3200="",INPUT!P3200=0),"",(INPUT!P3200-INPUT!Q3200)/INPUT!P3200),"")</f>
        <v/>
      </c>
    </row>
    <row r="3206" spans="1:12" ht="18" hidden="1" customHeight="1" x14ac:dyDescent="0.2">
      <c r="A3206" s="11" t="str">
        <f>IF(INPUT!M3201="","",INPUT!M3201)</f>
        <v/>
      </c>
      <c r="B3206" s="11" t="str">
        <f>IF(INPUT!M3201="","",INPUT!M3201-WEEKDAY(INPUT!M3201,2)+1)</f>
        <v/>
      </c>
      <c r="C3206" s="20">
        <f>IFERROR(_xlfn.ISOWEEKNUM(INPUT!M3201),"")</f>
        <v>52</v>
      </c>
      <c r="D3206" s="20">
        <f>IFERROR(YEAR(INPUT!M3201),"")</f>
        <v>1900</v>
      </c>
      <c r="E3206" t="str">
        <f>IF(INPUT!O3201="","",INPUT!O3201)</f>
        <v/>
      </c>
      <c r="F3206" t="str">
        <f>IF(INPUT!N3201="","",INPUT!N3201)</f>
        <v/>
      </c>
      <c r="G3206" cm="1">
        <f t="array" ref="G3206">IFERROR(VLOOKUP(INPUT!M3201&amp;INPUT!N3201,CHOOSE({1,2},INPUT!$A$3:$A$5000&amp;INPUT!$C$3:$C$5000,INPUT!$F$3:$F$5000),2,FALSE),"")</f>
        <v>0</v>
      </c>
      <c r="H3206" cm="1">
        <f t="array" ref="H3206">IFERROR(VLOOKUP(INPUT!M3201&amp;INPUT!N3201,CHOOSE({1,2},INPUT!$A$3:$A$5000&amp;INPUT!$C$3:$C$5000,INPUT!$D$3:$D$5000),2,FALSE),"")</f>
        <v>0</v>
      </c>
      <c r="I3206" s="46" t="str">
        <f>IF(INPUT!P3201="","",INPUT!P3201)</f>
        <v/>
      </c>
      <c r="J3206" s="46" t="str">
        <f>IF(INPUT!Q3201="","",INPUT!Q3201)</f>
        <v/>
      </c>
      <c r="K3206" s="46" t="str">
        <f>IFERROR(IF(OR(INPUT!P3201="",INPUT!Q3201=""),"",INPUT!P3201-INPUT!Q3201),"")</f>
        <v/>
      </c>
      <c r="L3206" s="48" t="str">
        <f>IFERROR(IF(OR(INPUT!P3201="",INPUT!Q3201="",INPUT!P3201=0),"",(INPUT!P3201-INPUT!Q3201)/INPUT!P3201),"")</f>
        <v/>
      </c>
    </row>
    <row r="3207" spans="1:12" ht="18" hidden="1" customHeight="1" x14ac:dyDescent="0.2">
      <c r="A3207" s="11" t="str">
        <f>IF(INPUT!M3202="","",INPUT!M3202)</f>
        <v/>
      </c>
      <c r="B3207" s="11" t="str">
        <f>IF(INPUT!M3202="","",INPUT!M3202-WEEKDAY(INPUT!M3202,2)+1)</f>
        <v/>
      </c>
      <c r="C3207" s="20">
        <f>IFERROR(_xlfn.ISOWEEKNUM(INPUT!M3202),"")</f>
        <v>52</v>
      </c>
      <c r="D3207" s="20">
        <f>IFERROR(YEAR(INPUT!M3202),"")</f>
        <v>1900</v>
      </c>
      <c r="E3207" t="str">
        <f>IF(INPUT!O3202="","",INPUT!O3202)</f>
        <v/>
      </c>
      <c r="F3207" t="str">
        <f>IF(INPUT!N3202="","",INPUT!N3202)</f>
        <v/>
      </c>
      <c r="G3207" cm="1">
        <f t="array" ref="G3207">IFERROR(VLOOKUP(INPUT!M3202&amp;INPUT!N3202,CHOOSE({1,2},INPUT!$A$3:$A$5000&amp;INPUT!$C$3:$C$5000,INPUT!$F$3:$F$5000),2,FALSE),"")</f>
        <v>0</v>
      </c>
      <c r="H3207" cm="1">
        <f t="array" ref="H3207">IFERROR(VLOOKUP(INPUT!M3202&amp;INPUT!N3202,CHOOSE({1,2},INPUT!$A$3:$A$5000&amp;INPUT!$C$3:$C$5000,INPUT!$D$3:$D$5000),2,FALSE),"")</f>
        <v>0</v>
      </c>
      <c r="I3207" s="46" t="str">
        <f>IF(INPUT!P3202="","",INPUT!P3202)</f>
        <v/>
      </c>
      <c r="J3207" s="46" t="str">
        <f>IF(INPUT!Q3202="","",INPUT!Q3202)</f>
        <v/>
      </c>
      <c r="K3207" s="46" t="str">
        <f>IFERROR(IF(OR(INPUT!P3202="",INPUT!Q3202=""),"",INPUT!P3202-INPUT!Q3202),"")</f>
        <v/>
      </c>
      <c r="L3207" s="48" t="str">
        <f>IFERROR(IF(OR(INPUT!P3202="",INPUT!Q3202="",INPUT!P3202=0),"",(INPUT!P3202-INPUT!Q3202)/INPUT!P3202),"")</f>
        <v/>
      </c>
    </row>
    <row r="3208" spans="1:12" ht="18" hidden="1" customHeight="1" x14ac:dyDescent="0.2">
      <c r="A3208" s="11" t="str">
        <f>IF(INPUT!M3203="","",INPUT!M3203)</f>
        <v/>
      </c>
      <c r="B3208" s="11" t="str">
        <f>IF(INPUT!M3203="","",INPUT!M3203-WEEKDAY(INPUT!M3203,2)+1)</f>
        <v/>
      </c>
      <c r="C3208" s="20">
        <f>IFERROR(_xlfn.ISOWEEKNUM(INPUT!M3203),"")</f>
        <v>52</v>
      </c>
      <c r="D3208" s="20">
        <f>IFERROR(YEAR(INPUT!M3203),"")</f>
        <v>1900</v>
      </c>
      <c r="E3208" t="str">
        <f>IF(INPUT!O3203="","",INPUT!O3203)</f>
        <v/>
      </c>
      <c r="F3208" t="str">
        <f>IF(INPUT!N3203="","",INPUT!N3203)</f>
        <v/>
      </c>
      <c r="G3208" cm="1">
        <f t="array" ref="G3208">IFERROR(VLOOKUP(INPUT!M3203&amp;INPUT!N3203,CHOOSE({1,2},INPUT!$A$3:$A$5000&amp;INPUT!$C$3:$C$5000,INPUT!$F$3:$F$5000),2,FALSE),"")</f>
        <v>0</v>
      </c>
      <c r="H3208" cm="1">
        <f t="array" ref="H3208">IFERROR(VLOOKUP(INPUT!M3203&amp;INPUT!N3203,CHOOSE({1,2},INPUT!$A$3:$A$5000&amp;INPUT!$C$3:$C$5000,INPUT!$D$3:$D$5000),2,FALSE),"")</f>
        <v>0</v>
      </c>
      <c r="I3208" s="46" t="str">
        <f>IF(INPUT!P3203="","",INPUT!P3203)</f>
        <v/>
      </c>
      <c r="J3208" s="46" t="str">
        <f>IF(INPUT!Q3203="","",INPUT!Q3203)</f>
        <v/>
      </c>
      <c r="K3208" s="46" t="str">
        <f>IFERROR(IF(OR(INPUT!P3203="",INPUT!Q3203=""),"",INPUT!P3203-INPUT!Q3203),"")</f>
        <v/>
      </c>
      <c r="L3208" s="48" t="str">
        <f>IFERROR(IF(OR(INPUT!P3203="",INPUT!Q3203="",INPUT!P3203=0),"",(INPUT!P3203-INPUT!Q3203)/INPUT!P3203),"")</f>
        <v/>
      </c>
    </row>
    <row r="3209" spans="1:12" ht="18" hidden="1" customHeight="1" x14ac:dyDescent="0.2">
      <c r="A3209" s="11" t="str">
        <f>IF(INPUT!M3204="","",INPUT!M3204)</f>
        <v/>
      </c>
      <c r="B3209" s="11" t="str">
        <f>IF(INPUT!M3204="","",INPUT!M3204-WEEKDAY(INPUT!M3204,2)+1)</f>
        <v/>
      </c>
      <c r="C3209" s="20">
        <f>IFERROR(_xlfn.ISOWEEKNUM(INPUT!M3204),"")</f>
        <v>52</v>
      </c>
      <c r="D3209" s="20">
        <f>IFERROR(YEAR(INPUT!M3204),"")</f>
        <v>1900</v>
      </c>
      <c r="E3209" t="str">
        <f>IF(INPUT!O3204="","",INPUT!O3204)</f>
        <v/>
      </c>
      <c r="F3209" t="str">
        <f>IF(INPUT!N3204="","",INPUT!N3204)</f>
        <v/>
      </c>
      <c r="G3209" cm="1">
        <f t="array" ref="G3209">IFERROR(VLOOKUP(INPUT!M3204&amp;INPUT!N3204,CHOOSE({1,2},INPUT!$A$3:$A$5000&amp;INPUT!$C$3:$C$5000,INPUT!$F$3:$F$5000),2,FALSE),"")</f>
        <v>0</v>
      </c>
      <c r="H3209" cm="1">
        <f t="array" ref="H3209">IFERROR(VLOOKUP(INPUT!M3204&amp;INPUT!N3204,CHOOSE({1,2},INPUT!$A$3:$A$5000&amp;INPUT!$C$3:$C$5000,INPUT!$D$3:$D$5000),2,FALSE),"")</f>
        <v>0</v>
      </c>
      <c r="I3209" s="46" t="str">
        <f>IF(INPUT!P3204="","",INPUT!P3204)</f>
        <v/>
      </c>
      <c r="J3209" s="46" t="str">
        <f>IF(INPUT!Q3204="","",INPUT!Q3204)</f>
        <v/>
      </c>
      <c r="K3209" s="46" t="str">
        <f>IFERROR(IF(OR(INPUT!P3204="",INPUT!Q3204=""),"",INPUT!P3204-INPUT!Q3204),"")</f>
        <v/>
      </c>
      <c r="L3209" s="48" t="str">
        <f>IFERROR(IF(OR(INPUT!P3204="",INPUT!Q3204="",INPUT!P3204=0),"",(INPUT!P3204-INPUT!Q3204)/INPUT!P3204),"")</f>
        <v/>
      </c>
    </row>
    <row r="3210" spans="1:12" ht="18" hidden="1" customHeight="1" x14ac:dyDescent="0.2">
      <c r="A3210" s="11" t="str">
        <f>IF(INPUT!M3205="","",INPUT!M3205)</f>
        <v/>
      </c>
      <c r="B3210" s="11" t="str">
        <f>IF(INPUT!M3205="","",INPUT!M3205-WEEKDAY(INPUT!M3205,2)+1)</f>
        <v/>
      </c>
      <c r="C3210" s="20">
        <f>IFERROR(_xlfn.ISOWEEKNUM(INPUT!M3205),"")</f>
        <v>52</v>
      </c>
      <c r="D3210" s="20">
        <f>IFERROR(YEAR(INPUT!M3205),"")</f>
        <v>1900</v>
      </c>
      <c r="E3210" t="str">
        <f>IF(INPUT!O3205="","",INPUT!O3205)</f>
        <v/>
      </c>
      <c r="F3210" t="str">
        <f>IF(INPUT!N3205="","",INPUT!N3205)</f>
        <v/>
      </c>
      <c r="G3210" cm="1">
        <f t="array" ref="G3210">IFERROR(VLOOKUP(INPUT!M3205&amp;INPUT!N3205,CHOOSE({1,2},INPUT!$A$3:$A$5000&amp;INPUT!$C$3:$C$5000,INPUT!$F$3:$F$5000),2,FALSE),"")</f>
        <v>0</v>
      </c>
      <c r="H3210" cm="1">
        <f t="array" ref="H3210">IFERROR(VLOOKUP(INPUT!M3205&amp;INPUT!N3205,CHOOSE({1,2},INPUT!$A$3:$A$5000&amp;INPUT!$C$3:$C$5000,INPUT!$D$3:$D$5000),2,FALSE),"")</f>
        <v>0</v>
      </c>
      <c r="I3210" s="46" t="str">
        <f>IF(INPUT!P3205="","",INPUT!P3205)</f>
        <v/>
      </c>
      <c r="J3210" s="46" t="str">
        <f>IF(INPUT!Q3205="","",INPUT!Q3205)</f>
        <v/>
      </c>
      <c r="K3210" s="46" t="str">
        <f>IFERROR(IF(OR(INPUT!P3205="",INPUT!Q3205=""),"",INPUT!P3205-INPUT!Q3205),"")</f>
        <v/>
      </c>
      <c r="L3210" s="48" t="str">
        <f>IFERROR(IF(OR(INPUT!P3205="",INPUT!Q3205="",INPUT!P3205=0),"",(INPUT!P3205-INPUT!Q3205)/INPUT!P3205),"")</f>
        <v/>
      </c>
    </row>
    <row r="3211" spans="1:12" ht="18" hidden="1" customHeight="1" x14ac:dyDescent="0.2">
      <c r="A3211" s="11" t="str">
        <f>IF(INPUT!M3206="","",INPUT!M3206)</f>
        <v/>
      </c>
      <c r="B3211" s="11" t="str">
        <f>IF(INPUT!M3206="","",INPUT!M3206-WEEKDAY(INPUT!M3206,2)+1)</f>
        <v/>
      </c>
      <c r="C3211" s="20">
        <f>IFERROR(_xlfn.ISOWEEKNUM(INPUT!M3206),"")</f>
        <v>52</v>
      </c>
      <c r="D3211" s="20">
        <f>IFERROR(YEAR(INPUT!M3206),"")</f>
        <v>1900</v>
      </c>
      <c r="E3211" t="str">
        <f>IF(INPUT!O3206="","",INPUT!O3206)</f>
        <v/>
      </c>
      <c r="F3211" t="str">
        <f>IF(INPUT!N3206="","",INPUT!N3206)</f>
        <v/>
      </c>
      <c r="G3211" cm="1">
        <f t="array" ref="G3211">IFERROR(VLOOKUP(INPUT!M3206&amp;INPUT!N3206,CHOOSE({1,2},INPUT!$A$3:$A$5000&amp;INPUT!$C$3:$C$5000,INPUT!$F$3:$F$5000),2,FALSE),"")</f>
        <v>0</v>
      </c>
      <c r="H3211" cm="1">
        <f t="array" ref="H3211">IFERROR(VLOOKUP(INPUT!M3206&amp;INPUT!N3206,CHOOSE({1,2},INPUT!$A$3:$A$5000&amp;INPUT!$C$3:$C$5000,INPUT!$D$3:$D$5000),2,FALSE),"")</f>
        <v>0</v>
      </c>
      <c r="I3211" s="46" t="str">
        <f>IF(INPUT!P3206="","",INPUT!P3206)</f>
        <v/>
      </c>
      <c r="J3211" s="46" t="str">
        <f>IF(INPUT!Q3206="","",INPUT!Q3206)</f>
        <v/>
      </c>
      <c r="K3211" s="46" t="str">
        <f>IFERROR(IF(OR(INPUT!P3206="",INPUT!Q3206=""),"",INPUT!P3206-INPUT!Q3206),"")</f>
        <v/>
      </c>
      <c r="L3211" s="48" t="str">
        <f>IFERROR(IF(OR(INPUT!P3206="",INPUT!Q3206="",INPUT!P3206=0),"",(INPUT!P3206-INPUT!Q3206)/INPUT!P3206),"")</f>
        <v/>
      </c>
    </row>
    <row r="3212" spans="1:12" ht="18" hidden="1" customHeight="1" x14ac:dyDescent="0.2">
      <c r="A3212" s="11" t="str">
        <f>IF(INPUT!M3207="","",INPUT!M3207)</f>
        <v/>
      </c>
      <c r="B3212" s="11" t="str">
        <f>IF(INPUT!M3207="","",INPUT!M3207-WEEKDAY(INPUT!M3207,2)+1)</f>
        <v/>
      </c>
      <c r="C3212" s="20">
        <f>IFERROR(_xlfn.ISOWEEKNUM(INPUT!M3207),"")</f>
        <v>52</v>
      </c>
      <c r="D3212" s="20">
        <f>IFERROR(YEAR(INPUT!M3207),"")</f>
        <v>1900</v>
      </c>
      <c r="E3212" t="str">
        <f>IF(INPUT!O3207="","",INPUT!O3207)</f>
        <v/>
      </c>
      <c r="F3212" t="str">
        <f>IF(INPUT!N3207="","",INPUT!N3207)</f>
        <v/>
      </c>
      <c r="G3212" cm="1">
        <f t="array" ref="G3212">IFERROR(VLOOKUP(INPUT!M3207&amp;INPUT!N3207,CHOOSE({1,2},INPUT!$A$3:$A$5000&amp;INPUT!$C$3:$C$5000,INPUT!$F$3:$F$5000),2,FALSE),"")</f>
        <v>0</v>
      </c>
      <c r="H3212" cm="1">
        <f t="array" ref="H3212">IFERROR(VLOOKUP(INPUT!M3207&amp;INPUT!N3207,CHOOSE({1,2},INPUT!$A$3:$A$5000&amp;INPUT!$C$3:$C$5000,INPUT!$D$3:$D$5000),2,FALSE),"")</f>
        <v>0</v>
      </c>
      <c r="I3212" s="46" t="str">
        <f>IF(INPUT!P3207="","",INPUT!P3207)</f>
        <v/>
      </c>
      <c r="J3212" s="46" t="str">
        <f>IF(INPUT!Q3207="","",INPUT!Q3207)</f>
        <v/>
      </c>
      <c r="K3212" s="46" t="str">
        <f>IFERROR(IF(OR(INPUT!P3207="",INPUT!Q3207=""),"",INPUT!P3207-INPUT!Q3207),"")</f>
        <v/>
      </c>
      <c r="L3212" s="48" t="str">
        <f>IFERROR(IF(OR(INPUT!P3207="",INPUT!Q3207="",INPUT!P3207=0),"",(INPUT!P3207-INPUT!Q3207)/INPUT!P3207),"")</f>
        <v/>
      </c>
    </row>
    <row r="3213" spans="1:12" ht="18" hidden="1" customHeight="1" x14ac:dyDescent="0.2">
      <c r="A3213" s="11" t="str">
        <f>IF(INPUT!M3208="","",INPUT!M3208)</f>
        <v/>
      </c>
      <c r="B3213" s="11" t="str">
        <f>IF(INPUT!M3208="","",INPUT!M3208-WEEKDAY(INPUT!M3208,2)+1)</f>
        <v/>
      </c>
      <c r="C3213" s="20">
        <f>IFERROR(_xlfn.ISOWEEKNUM(INPUT!M3208),"")</f>
        <v>52</v>
      </c>
      <c r="D3213" s="20">
        <f>IFERROR(YEAR(INPUT!M3208),"")</f>
        <v>1900</v>
      </c>
      <c r="E3213" t="str">
        <f>IF(INPUT!O3208="","",INPUT!O3208)</f>
        <v/>
      </c>
      <c r="F3213" t="str">
        <f>IF(INPUT!N3208="","",INPUT!N3208)</f>
        <v/>
      </c>
      <c r="G3213" cm="1">
        <f t="array" ref="G3213">IFERROR(VLOOKUP(INPUT!M3208&amp;INPUT!N3208,CHOOSE({1,2},INPUT!$A$3:$A$5000&amp;INPUT!$C$3:$C$5000,INPUT!$F$3:$F$5000),2,FALSE),"")</f>
        <v>0</v>
      </c>
      <c r="H3213" cm="1">
        <f t="array" ref="H3213">IFERROR(VLOOKUP(INPUT!M3208&amp;INPUT!N3208,CHOOSE({1,2},INPUT!$A$3:$A$5000&amp;INPUT!$C$3:$C$5000,INPUT!$D$3:$D$5000),2,FALSE),"")</f>
        <v>0</v>
      </c>
      <c r="I3213" s="46" t="str">
        <f>IF(INPUT!P3208="","",INPUT!P3208)</f>
        <v/>
      </c>
      <c r="J3213" s="46" t="str">
        <f>IF(INPUT!Q3208="","",INPUT!Q3208)</f>
        <v/>
      </c>
      <c r="K3213" s="46" t="str">
        <f>IFERROR(IF(OR(INPUT!P3208="",INPUT!Q3208=""),"",INPUT!P3208-INPUT!Q3208),"")</f>
        <v/>
      </c>
      <c r="L3213" s="48" t="str">
        <f>IFERROR(IF(OR(INPUT!P3208="",INPUT!Q3208="",INPUT!P3208=0),"",(INPUT!P3208-INPUT!Q3208)/INPUT!P3208),"")</f>
        <v/>
      </c>
    </row>
    <row r="3214" spans="1:12" ht="18" hidden="1" customHeight="1" x14ac:dyDescent="0.2">
      <c r="A3214" s="11" t="str">
        <f>IF(INPUT!M3209="","",INPUT!M3209)</f>
        <v/>
      </c>
      <c r="B3214" s="11" t="str">
        <f>IF(INPUT!M3209="","",INPUT!M3209-WEEKDAY(INPUT!M3209,2)+1)</f>
        <v/>
      </c>
      <c r="C3214" s="20">
        <f>IFERROR(_xlfn.ISOWEEKNUM(INPUT!M3209),"")</f>
        <v>52</v>
      </c>
      <c r="D3214" s="20">
        <f>IFERROR(YEAR(INPUT!M3209),"")</f>
        <v>1900</v>
      </c>
      <c r="E3214" t="str">
        <f>IF(INPUT!O3209="","",INPUT!O3209)</f>
        <v/>
      </c>
      <c r="F3214" t="str">
        <f>IF(INPUT!N3209="","",INPUT!N3209)</f>
        <v/>
      </c>
      <c r="G3214" cm="1">
        <f t="array" ref="G3214">IFERROR(VLOOKUP(INPUT!M3209&amp;INPUT!N3209,CHOOSE({1,2},INPUT!$A$3:$A$5000&amp;INPUT!$C$3:$C$5000,INPUT!$F$3:$F$5000),2,FALSE),"")</f>
        <v>0</v>
      </c>
      <c r="H3214" cm="1">
        <f t="array" ref="H3214">IFERROR(VLOOKUP(INPUT!M3209&amp;INPUT!N3209,CHOOSE({1,2},INPUT!$A$3:$A$5000&amp;INPUT!$C$3:$C$5000,INPUT!$D$3:$D$5000),2,FALSE),"")</f>
        <v>0</v>
      </c>
      <c r="I3214" s="46" t="str">
        <f>IF(INPUT!P3209="","",INPUT!P3209)</f>
        <v/>
      </c>
      <c r="J3214" s="46" t="str">
        <f>IF(INPUT!Q3209="","",INPUT!Q3209)</f>
        <v/>
      </c>
      <c r="K3214" s="46" t="str">
        <f>IFERROR(IF(OR(INPUT!P3209="",INPUT!Q3209=""),"",INPUT!P3209-INPUT!Q3209),"")</f>
        <v/>
      </c>
      <c r="L3214" s="48" t="str">
        <f>IFERROR(IF(OR(INPUT!P3209="",INPUT!Q3209="",INPUT!P3209=0),"",(INPUT!P3209-INPUT!Q3209)/INPUT!P3209),"")</f>
        <v/>
      </c>
    </row>
    <row r="3215" spans="1:12" ht="18" hidden="1" customHeight="1" x14ac:dyDescent="0.2">
      <c r="A3215" s="11" t="str">
        <f>IF(INPUT!M3210="","",INPUT!M3210)</f>
        <v/>
      </c>
      <c r="B3215" s="11" t="str">
        <f>IF(INPUT!M3210="","",INPUT!M3210-WEEKDAY(INPUT!M3210,2)+1)</f>
        <v/>
      </c>
      <c r="C3215" s="20">
        <f>IFERROR(_xlfn.ISOWEEKNUM(INPUT!M3210),"")</f>
        <v>52</v>
      </c>
      <c r="D3215" s="20">
        <f>IFERROR(YEAR(INPUT!M3210),"")</f>
        <v>1900</v>
      </c>
      <c r="E3215" t="str">
        <f>IF(INPUT!O3210="","",INPUT!O3210)</f>
        <v/>
      </c>
      <c r="F3215" t="str">
        <f>IF(INPUT!N3210="","",INPUT!N3210)</f>
        <v/>
      </c>
      <c r="G3215" cm="1">
        <f t="array" ref="G3215">IFERROR(VLOOKUP(INPUT!M3210&amp;INPUT!N3210,CHOOSE({1,2},INPUT!$A$3:$A$5000&amp;INPUT!$C$3:$C$5000,INPUT!$F$3:$F$5000),2,FALSE),"")</f>
        <v>0</v>
      </c>
      <c r="H3215" cm="1">
        <f t="array" ref="H3215">IFERROR(VLOOKUP(INPUT!M3210&amp;INPUT!N3210,CHOOSE({1,2},INPUT!$A$3:$A$5000&amp;INPUT!$C$3:$C$5000,INPUT!$D$3:$D$5000),2,FALSE),"")</f>
        <v>0</v>
      </c>
      <c r="I3215" s="46" t="str">
        <f>IF(INPUT!P3210="","",INPUT!P3210)</f>
        <v/>
      </c>
      <c r="J3215" s="46" t="str">
        <f>IF(INPUT!Q3210="","",INPUT!Q3210)</f>
        <v/>
      </c>
      <c r="K3215" s="46" t="str">
        <f>IFERROR(IF(OR(INPUT!P3210="",INPUT!Q3210=""),"",INPUT!P3210-INPUT!Q3210),"")</f>
        <v/>
      </c>
      <c r="L3215" s="48" t="str">
        <f>IFERROR(IF(OR(INPUT!P3210="",INPUT!Q3210="",INPUT!P3210=0),"",(INPUT!P3210-INPUT!Q3210)/INPUT!P3210),"")</f>
        <v/>
      </c>
    </row>
    <row r="3216" spans="1:12" ht="18" hidden="1" customHeight="1" x14ac:dyDescent="0.2">
      <c r="A3216" s="11" t="str">
        <f>IF(INPUT!M3211="","",INPUT!M3211)</f>
        <v/>
      </c>
      <c r="B3216" s="11" t="str">
        <f>IF(INPUT!M3211="","",INPUT!M3211-WEEKDAY(INPUT!M3211,2)+1)</f>
        <v/>
      </c>
      <c r="C3216" s="20">
        <f>IFERROR(_xlfn.ISOWEEKNUM(INPUT!M3211),"")</f>
        <v>52</v>
      </c>
      <c r="D3216" s="20">
        <f>IFERROR(YEAR(INPUT!M3211),"")</f>
        <v>1900</v>
      </c>
      <c r="E3216" t="str">
        <f>IF(INPUT!O3211="","",INPUT!O3211)</f>
        <v/>
      </c>
      <c r="F3216" t="str">
        <f>IF(INPUT!N3211="","",INPUT!N3211)</f>
        <v/>
      </c>
      <c r="G3216" cm="1">
        <f t="array" ref="G3216">IFERROR(VLOOKUP(INPUT!M3211&amp;INPUT!N3211,CHOOSE({1,2},INPUT!$A$3:$A$5000&amp;INPUT!$C$3:$C$5000,INPUT!$F$3:$F$5000),2,FALSE),"")</f>
        <v>0</v>
      </c>
      <c r="H3216" cm="1">
        <f t="array" ref="H3216">IFERROR(VLOOKUP(INPUT!M3211&amp;INPUT!N3211,CHOOSE({1,2},INPUT!$A$3:$A$5000&amp;INPUT!$C$3:$C$5000,INPUT!$D$3:$D$5000),2,FALSE),"")</f>
        <v>0</v>
      </c>
      <c r="I3216" s="46" t="str">
        <f>IF(INPUT!P3211="","",INPUT!P3211)</f>
        <v/>
      </c>
      <c r="J3216" s="46" t="str">
        <f>IF(INPUT!Q3211="","",INPUT!Q3211)</f>
        <v/>
      </c>
      <c r="K3216" s="46" t="str">
        <f>IFERROR(IF(OR(INPUT!P3211="",INPUT!Q3211=""),"",INPUT!P3211-INPUT!Q3211),"")</f>
        <v/>
      </c>
      <c r="L3216" s="48" t="str">
        <f>IFERROR(IF(OR(INPUT!P3211="",INPUT!Q3211="",INPUT!P3211=0),"",(INPUT!P3211-INPUT!Q3211)/INPUT!P3211),"")</f>
        <v/>
      </c>
    </row>
    <row r="3217" spans="1:12" ht="18" hidden="1" customHeight="1" x14ac:dyDescent="0.2">
      <c r="A3217" s="11" t="str">
        <f>IF(INPUT!M3212="","",INPUT!M3212)</f>
        <v/>
      </c>
      <c r="B3217" s="11" t="str">
        <f>IF(INPUT!M3212="","",INPUT!M3212-WEEKDAY(INPUT!M3212,2)+1)</f>
        <v/>
      </c>
      <c r="C3217" s="20">
        <f>IFERROR(_xlfn.ISOWEEKNUM(INPUT!M3212),"")</f>
        <v>52</v>
      </c>
      <c r="D3217" s="20">
        <f>IFERROR(YEAR(INPUT!M3212),"")</f>
        <v>1900</v>
      </c>
      <c r="E3217" t="str">
        <f>IF(INPUT!O3212="","",INPUT!O3212)</f>
        <v/>
      </c>
      <c r="F3217" t="str">
        <f>IF(INPUT!N3212="","",INPUT!N3212)</f>
        <v/>
      </c>
      <c r="G3217" cm="1">
        <f t="array" ref="G3217">IFERROR(VLOOKUP(INPUT!M3212&amp;INPUT!N3212,CHOOSE({1,2},INPUT!$A$3:$A$5000&amp;INPUT!$C$3:$C$5000,INPUT!$F$3:$F$5000),2,FALSE),"")</f>
        <v>0</v>
      </c>
      <c r="H3217" cm="1">
        <f t="array" ref="H3217">IFERROR(VLOOKUP(INPUT!M3212&amp;INPUT!N3212,CHOOSE({1,2},INPUT!$A$3:$A$5000&amp;INPUT!$C$3:$C$5000,INPUT!$D$3:$D$5000),2,FALSE),"")</f>
        <v>0</v>
      </c>
      <c r="I3217" s="46" t="str">
        <f>IF(INPUT!P3212="","",INPUT!P3212)</f>
        <v/>
      </c>
      <c r="J3217" s="46" t="str">
        <f>IF(INPUT!Q3212="","",INPUT!Q3212)</f>
        <v/>
      </c>
      <c r="K3217" s="46" t="str">
        <f>IFERROR(IF(OR(INPUT!P3212="",INPUT!Q3212=""),"",INPUT!P3212-INPUT!Q3212),"")</f>
        <v/>
      </c>
      <c r="L3217" s="48" t="str">
        <f>IFERROR(IF(OR(INPUT!P3212="",INPUT!Q3212="",INPUT!P3212=0),"",(INPUT!P3212-INPUT!Q3212)/INPUT!P3212),"")</f>
        <v/>
      </c>
    </row>
    <row r="3218" spans="1:12" ht="18" hidden="1" customHeight="1" x14ac:dyDescent="0.2">
      <c r="A3218" s="11" t="str">
        <f>IF(INPUT!M3213="","",INPUT!M3213)</f>
        <v/>
      </c>
      <c r="B3218" s="11" t="str">
        <f>IF(INPUT!M3213="","",INPUT!M3213-WEEKDAY(INPUT!M3213,2)+1)</f>
        <v/>
      </c>
      <c r="C3218" s="20">
        <f>IFERROR(_xlfn.ISOWEEKNUM(INPUT!M3213),"")</f>
        <v>52</v>
      </c>
      <c r="D3218" s="20">
        <f>IFERROR(YEAR(INPUT!M3213),"")</f>
        <v>1900</v>
      </c>
      <c r="E3218" t="str">
        <f>IF(INPUT!O3213="","",INPUT!O3213)</f>
        <v/>
      </c>
      <c r="F3218" t="str">
        <f>IF(INPUT!N3213="","",INPUT!N3213)</f>
        <v/>
      </c>
      <c r="G3218" cm="1">
        <f t="array" ref="G3218">IFERROR(VLOOKUP(INPUT!M3213&amp;INPUT!N3213,CHOOSE({1,2},INPUT!$A$3:$A$5000&amp;INPUT!$C$3:$C$5000,INPUT!$F$3:$F$5000),2,FALSE),"")</f>
        <v>0</v>
      </c>
      <c r="H3218" cm="1">
        <f t="array" ref="H3218">IFERROR(VLOOKUP(INPUT!M3213&amp;INPUT!N3213,CHOOSE({1,2},INPUT!$A$3:$A$5000&amp;INPUT!$C$3:$C$5000,INPUT!$D$3:$D$5000),2,FALSE),"")</f>
        <v>0</v>
      </c>
      <c r="I3218" s="46" t="str">
        <f>IF(INPUT!P3213="","",INPUT!P3213)</f>
        <v/>
      </c>
      <c r="J3218" s="46" t="str">
        <f>IF(INPUT!Q3213="","",INPUT!Q3213)</f>
        <v/>
      </c>
      <c r="K3218" s="46" t="str">
        <f>IFERROR(IF(OR(INPUT!P3213="",INPUT!Q3213=""),"",INPUT!P3213-INPUT!Q3213),"")</f>
        <v/>
      </c>
      <c r="L3218" s="48" t="str">
        <f>IFERROR(IF(OR(INPUT!P3213="",INPUT!Q3213="",INPUT!P3213=0),"",(INPUT!P3213-INPUT!Q3213)/INPUT!P3213),"")</f>
        <v/>
      </c>
    </row>
    <row r="3219" spans="1:12" ht="18" hidden="1" customHeight="1" x14ac:dyDescent="0.2">
      <c r="A3219" s="11" t="str">
        <f>IF(INPUT!M3214="","",INPUT!M3214)</f>
        <v/>
      </c>
      <c r="B3219" s="11" t="str">
        <f>IF(INPUT!M3214="","",INPUT!M3214-WEEKDAY(INPUT!M3214,2)+1)</f>
        <v/>
      </c>
      <c r="C3219" s="20">
        <f>IFERROR(_xlfn.ISOWEEKNUM(INPUT!M3214),"")</f>
        <v>52</v>
      </c>
      <c r="D3219" s="20">
        <f>IFERROR(YEAR(INPUT!M3214),"")</f>
        <v>1900</v>
      </c>
      <c r="E3219" t="str">
        <f>IF(INPUT!O3214="","",INPUT!O3214)</f>
        <v/>
      </c>
      <c r="F3219" t="str">
        <f>IF(INPUT!N3214="","",INPUT!N3214)</f>
        <v/>
      </c>
      <c r="G3219" cm="1">
        <f t="array" ref="G3219">IFERROR(VLOOKUP(INPUT!M3214&amp;INPUT!N3214,CHOOSE({1,2},INPUT!$A$3:$A$5000&amp;INPUT!$C$3:$C$5000,INPUT!$F$3:$F$5000),2,FALSE),"")</f>
        <v>0</v>
      </c>
      <c r="H3219" cm="1">
        <f t="array" ref="H3219">IFERROR(VLOOKUP(INPUT!M3214&amp;INPUT!N3214,CHOOSE({1,2},INPUT!$A$3:$A$5000&amp;INPUT!$C$3:$C$5000,INPUT!$D$3:$D$5000),2,FALSE),"")</f>
        <v>0</v>
      </c>
      <c r="I3219" s="46" t="str">
        <f>IF(INPUT!P3214="","",INPUT!P3214)</f>
        <v/>
      </c>
      <c r="J3219" s="46" t="str">
        <f>IF(INPUT!Q3214="","",INPUT!Q3214)</f>
        <v/>
      </c>
      <c r="K3219" s="46" t="str">
        <f>IFERROR(IF(OR(INPUT!P3214="",INPUT!Q3214=""),"",INPUT!P3214-INPUT!Q3214),"")</f>
        <v/>
      </c>
      <c r="L3219" s="48" t="str">
        <f>IFERROR(IF(OR(INPUT!P3214="",INPUT!Q3214="",INPUT!P3214=0),"",(INPUT!P3214-INPUT!Q3214)/INPUT!P3214),"")</f>
        <v/>
      </c>
    </row>
    <row r="3220" spans="1:12" ht="18" hidden="1" customHeight="1" x14ac:dyDescent="0.2">
      <c r="A3220" s="11" t="str">
        <f>IF(INPUT!M3215="","",INPUT!M3215)</f>
        <v/>
      </c>
      <c r="B3220" s="11" t="str">
        <f>IF(INPUT!M3215="","",INPUT!M3215-WEEKDAY(INPUT!M3215,2)+1)</f>
        <v/>
      </c>
      <c r="C3220" s="20">
        <f>IFERROR(_xlfn.ISOWEEKNUM(INPUT!M3215),"")</f>
        <v>52</v>
      </c>
      <c r="D3220" s="20">
        <f>IFERROR(YEAR(INPUT!M3215),"")</f>
        <v>1900</v>
      </c>
      <c r="E3220" t="str">
        <f>IF(INPUT!O3215="","",INPUT!O3215)</f>
        <v/>
      </c>
      <c r="F3220" t="str">
        <f>IF(INPUT!N3215="","",INPUT!N3215)</f>
        <v/>
      </c>
      <c r="G3220" cm="1">
        <f t="array" ref="G3220">IFERROR(VLOOKUP(INPUT!M3215&amp;INPUT!N3215,CHOOSE({1,2},INPUT!$A$3:$A$5000&amp;INPUT!$C$3:$C$5000,INPUT!$F$3:$F$5000),2,FALSE),"")</f>
        <v>0</v>
      </c>
      <c r="H3220" cm="1">
        <f t="array" ref="H3220">IFERROR(VLOOKUP(INPUT!M3215&amp;INPUT!N3215,CHOOSE({1,2},INPUT!$A$3:$A$5000&amp;INPUT!$C$3:$C$5000,INPUT!$D$3:$D$5000),2,FALSE),"")</f>
        <v>0</v>
      </c>
      <c r="I3220" s="46" t="str">
        <f>IF(INPUT!P3215="","",INPUT!P3215)</f>
        <v/>
      </c>
      <c r="J3220" s="46" t="str">
        <f>IF(INPUT!Q3215="","",INPUT!Q3215)</f>
        <v/>
      </c>
      <c r="K3220" s="46" t="str">
        <f>IFERROR(IF(OR(INPUT!P3215="",INPUT!Q3215=""),"",INPUT!P3215-INPUT!Q3215),"")</f>
        <v/>
      </c>
      <c r="L3220" s="48" t="str">
        <f>IFERROR(IF(OR(INPUT!P3215="",INPUT!Q3215="",INPUT!P3215=0),"",(INPUT!P3215-INPUT!Q3215)/INPUT!P3215),"")</f>
        <v/>
      </c>
    </row>
    <row r="3221" spans="1:12" ht="18" hidden="1" customHeight="1" x14ac:dyDescent="0.2">
      <c r="A3221" s="11" t="str">
        <f>IF(INPUT!M3216="","",INPUT!M3216)</f>
        <v/>
      </c>
      <c r="B3221" s="11" t="str">
        <f>IF(INPUT!M3216="","",INPUT!M3216-WEEKDAY(INPUT!M3216,2)+1)</f>
        <v/>
      </c>
      <c r="C3221" s="20">
        <f>IFERROR(_xlfn.ISOWEEKNUM(INPUT!M3216),"")</f>
        <v>52</v>
      </c>
      <c r="D3221" s="20">
        <f>IFERROR(YEAR(INPUT!M3216),"")</f>
        <v>1900</v>
      </c>
      <c r="E3221" t="str">
        <f>IF(INPUT!O3216="","",INPUT!O3216)</f>
        <v/>
      </c>
      <c r="F3221" t="str">
        <f>IF(INPUT!N3216="","",INPUT!N3216)</f>
        <v/>
      </c>
      <c r="G3221" cm="1">
        <f t="array" ref="G3221">IFERROR(VLOOKUP(INPUT!M3216&amp;INPUT!N3216,CHOOSE({1,2},INPUT!$A$3:$A$5000&amp;INPUT!$C$3:$C$5000,INPUT!$F$3:$F$5000),2,FALSE),"")</f>
        <v>0</v>
      </c>
      <c r="H3221" cm="1">
        <f t="array" ref="H3221">IFERROR(VLOOKUP(INPUT!M3216&amp;INPUT!N3216,CHOOSE({1,2},INPUT!$A$3:$A$5000&amp;INPUT!$C$3:$C$5000,INPUT!$D$3:$D$5000),2,FALSE),"")</f>
        <v>0</v>
      </c>
      <c r="I3221" s="46" t="str">
        <f>IF(INPUT!P3216="","",INPUT!P3216)</f>
        <v/>
      </c>
      <c r="J3221" s="46" t="str">
        <f>IF(INPUT!Q3216="","",INPUT!Q3216)</f>
        <v/>
      </c>
      <c r="K3221" s="46" t="str">
        <f>IFERROR(IF(OR(INPUT!P3216="",INPUT!Q3216=""),"",INPUT!P3216-INPUT!Q3216),"")</f>
        <v/>
      </c>
      <c r="L3221" s="48" t="str">
        <f>IFERROR(IF(OR(INPUT!P3216="",INPUT!Q3216="",INPUT!P3216=0),"",(INPUT!P3216-INPUT!Q3216)/INPUT!P3216),"")</f>
        <v/>
      </c>
    </row>
    <row r="3222" spans="1:12" ht="18" hidden="1" customHeight="1" x14ac:dyDescent="0.2">
      <c r="A3222" s="11" t="str">
        <f>IF(INPUT!M3217="","",INPUT!M3217)</f>
        <v/>
      </c>
      <c r="B3222" s="11" t="str">
        <f>IF(INPUT!M3217="","",INPUT!M3217-WEEKDAY(INPUT!M3217,2)+1)</f>
        <v/>
      </c>
      <c r="C3222" s="20">
        <f>IFERROR(_xlfn.ISOWEEKNUM(INPUT!M3217),"")</f>
        <v>52</v>
      </c>
      <c r="D3222" s="20">
        <f>IFERROR(YEAR(INPUT!M3217),"")</f>
        <v>1900</v>
      </c>
      <c r="E3222" t="str">
        <f>IF(INPUT!O3217="","",INPUT!O3217)</f>
        <v/>
      </c>
      <c r="F3222" t="str">
        <f>IF(INPUT!N3217="","",INPUT!N3217)</f>
        <v/>
      </c>
      <c r="G3222" cm="1">
        <f t="array" ref="G3222">IFERROR(VLOOKUP(INPUT!M3217&amp;INPUT!N3217,CHOOSE({1,2},INPUT!$A$3:$A$5000&amp;INPUT!$C$3:$C$5000,INPUT!$F$3:$F$5000),2,FALSE),"")</f>
        <v>0</v>
      </c>
      <c r="H3222" cm="1">
        <f t="array" ref="H3222">IFERROR(VLOOKUP(INPUT!M3217&amp;INPUT!N3217,CHOOSE({1,2},INPUT!$A$3:$A$5000&amp;INPUT!$C$3:$C$5000,INPUT!$D$3:$D$5000),2,FALSE),"")</f>
        <v>0</v>
      </c>
      <c r="I3222" s="46" t="str">
        <f>IF(INPUT!P3217="","",INPUT!P3217)</f>
        <v/>
      </c>
      <c r="J3222" s="46" t="str">
        <f>IF(INPUT!Q3217="","",INPUT!Q3217)</f>
        <v/>
      </c>
      <c r="K3222" s="46" t="str">
        <f>IFERROR(IF(OR(INPUT!P3217="",INPUT!Q3217=""),"",INPUT!P3217-INPUT!Q3217),"")</f>
        <v/>
      </c>
      <c r="L3222" s="48" t="str">
        <f>IFERROR(IF(OR(INPUT!P3217="",INPUT!Q3217="",INPUT!P3217=0),"",(INPUT!P3217-INPUT!Q3217)/INPUT!P3217),"")</f>
        <v/>
      </c>
    </row>
    <row r="3223" spans="1:12" ht="18" hidden="1" customHeight="1" x14ac:dyDescent="0.2">
      <c r="A3223" s="11" t="str">
        <f>IF(INPUT!M3218="","",INPUT!M3218)</f>
        <v/>
      </c>
      <c r="B3223" s="11" t="str">
        <f>IF(INPUT!M3218="","",INPUT!M3218-WEEKDAY(INPUT!M3218,2)+1)</f>
        <v/>
      </c>
      <c r="C3223" s="20">
        <f>IFERROR(_xlfn.ISOWEEKNUM(INPUT!M3218),"")</f>
        <v>52</v>
      </c>
      <c r="D3223" s="20">
        <f>IFERROR(YEAR(INPUT!M3218),"")</f>
        <v>1900</v>
      </c>
      <c r="E3223" t="str">
        <f>IF(INPUT!O3218="","",INPUT!O3218)</f>
        <v/>
      </c>
      <c r="F3223" t="str">
        <f>IF(INPUT!N3218="","",INPUT!N3218)</f>
        <v/>
      </c>
      <c r="G3223" cm="1">
        <f t="array" ref="G3223">IFERROR(VLOOKUP(INPUT!M3218&amp;INPUT!N3218,CHOOSE({1,2},INPUT!$A$3:$A$5000&amp;INPUT!$C$3:$C$5000,INPUT!$F$3:$F$5000),2,FALSE),"")</f>
        <v>0</v>
      </c>
      <c r="H3223" cm="1">
        <f t="array" ref="H3223">IFERROR(VLOOKUP(INPUT!M3218&amp;INPUT!N3218,CHOOSE({1,2},INPUT!$A$3:$A$5000&amp;INPUT!$C$3:$C$5000,INPUT!$D$3:$D$5000),2,FALSE),"")</f>
        <v>0</v>
      </c>
      <c r="I3223" s="46" t="str">
        <f>IF(INPUT!P3218="","",INPUT!P3218)</f>
        <v/>
      </c>
      <c r="J3223" s="46" t="str">
        <f>IF(INPUT!Q3218="","",INPUT!Q3218)</f>
        <v/>
      </c>
      <c r="K3223" s="46" t="str">
        <f>IFERROR(IF(OR(INPUT!P3218="",INPUT!Q3218=""),"",INPUT!P3218-INPUT!Q3218),"")</f>
        <v/>
      </c>
      <c r="L3223" s="48" t="str">
        <f>IFERROR(IF(OR(INPUT!P3218="",INPUT!Q3218="",INPUT!P3218=0),"",(INPUT!P3218-INPUT!Q3218)/INPUT!P3218),"")</f>
        <v/>
      </c>
    </row>
    <row r="3224" spans="1:12" ht="18" hidden="1" customHeight="1" x14ac:dyDescent="0.2">
      <c r="A3224" s="11" t="str">
        <f>IF(INPUT!M3219="","",INPUT!M3219)</f>
        <v/>
      </c>
      <c r="B3224" s="11" t="str">
        <f>IF(INPUT!M3219="","",INPUT!M3219-WEEKDAY(INPUT!M3219,2)+1)</f>
        <v/>
      </c>
      <c r="C3224" s="20">
        <f>IFERROR(_xlfn.ISOWEEKNUM(INPUT!M3219),"")</f>
        <v>52</v>
      </c>
      <c r="D3224" s="20">
        <f>IFERROR(YEAR(INPUT!M3219),"")</f>
        <v>1900</v>
      </c>
      <c r="E3224" t="str">
        <f>IF(INPUT!O3219="","",INPUT!O3219)</f>
        <v/>
      </c>
      <c r="F3224" t="str">
        <f>IF(INPUT!N3219="","",INPUT!N3219)</f>
        <v/>
      </c>
      <c r="G3224" cm="1">
        <f t="array" ref="G3224">IFERROR(VLOOKUP(INPUT!M3219&amp;INPUT!N3219,CHOOSE({1,2},INPUT!$A$3:$A$5000&amp;INPUT!$C$3:$C$5000,INPUT!$F$3:$F$5000),2,FALSE),"")</f>
        <v>0</v>
      </c>
      <c r="H3224" cm="1">
        <f t="array" ref="H3224">IFERROR(VLOOKUP(INPUT!M3219&amp;INPUT!N3219,CHOOSE({1,2},INPUT!$A$3:$A$5000&amp;INPUT!$C$3:$C$5000,INPUT!$D$3:$D$5000),2,FALSE),"")</f>
        <v>0</v>
      </c>
      <c r="I3224" s="46" t="str">
        <f>IF(INPUT!P3219="","",INPUT!P3219)</f>
        <v/>
      </c>
      <c r="J3224" s="46" t="str">
        <f>IF(INPUT!Q3219="","",INPUT!Q3219)</f>
        <v/>
      </c>
      <c r="K3224" s="46" t="str">
        <f>IFERROR(IF(OR(INPUT!P3219="",INPUT!Q3219=""),"",INPUT!P3219-INPUT!Q3219),"")</f>
        <v/>
      </c>
      <c r="L3224" s="48" t="str">
        <f>IFERROR(IF(OR(INPUT!P3219="",INPUT!Q3219="",INPUT!P3219=0),"",(INPUT!P3219-INPUT!Q3219)/INPUT!P3219),"")</f>
        <v/>
      </c>
    </row>
    <row r="3225" spans="1:12" ht="18" hidden="1" customHeight="1" x14ac:dyDescent="0.2">
      <c r="A3225" s="11" t="str">
        <f>IF(INPUT!M3220="","",INPUT!M3220)</f>
        <v/>
      </c>
      <c r="B3225" s="11" t="str">
        <f>IF(INPUT!M3220="","",INPUT!M3220-WEEKDAY(INPUT!M3220,2)+1)</f>
        <v/>
      </c>
      <c r="C3225" s="20">
        <f>IFERROR(_xlfn.ISOWEEKNUM(INPUT!M3220),"")</f>
        <v>52</v>
      </c>
      <c r="D3225" s="20">
        <f>IFERROR(YEAR(INPUT!M3220),"")</f>
        <v>1900</v>
      </c>
      <c r="E3225" t="str">
        <f>IF(INPUT!O3220="","",INPUT!O3220)</f>
        <v/>
      </c>
      <c r="F3225" t="str">
        <f>IF(INPUT!N3220="","",INPUT!N3220)</f>
        <v/>
      </c>
      <c r="G3225" cm="1">
        <f t="array" ref="G3225">IFERROR(VLOOKUP(INPUT!M3220&amp;INPUT!N3220,CHOOSE({1,2},INPUT!$A$3:$A$5000&amp;INPUT!$C$3:$C$5000,INPUT!$F$3:$F$5000),2,FALSE),"")</f>
        <v>0</v>
      </c>
      <c r="H3225" cm="1">
        <f t="array" ref="H3225">IFERROR(VLOOKUP(INPUT!M3220&amp;INPUT!N3220,CHOOSE({1,2},INPUT!$A$3:$A$5000&amp;INPUT!$C$3:$C$5000,INPUT!$D$3:$D$5000),2,FALSE),"")</f>
        <v>0</v>
      </c>
      <c r="I3225" s="46" t="str">
        <f>IF(INPUT!P3220="","",INPUT!P3220)</f>
        <v/>
      </c>
      <c r="J3225" s="46" t="str">
        <f>IF(INPUT!Q3220="","",INPUT!Q3220)</f>
        <v/>
      </c>
      <c r="K3225" s="46" t="str">
        <f>IFERROR(IF(OR(INPUT!P3220="",INPUT!Q3220=""),"",INPUT!P3220-INPUT!Q3220),"")</f>
        <v/>
      </c>
      <c r="L3225" s="48" t="str">
        <f>IFERROR(IF(OR(INPUT!P3220="",INPUT!Q3220="",INPUT!P3220=0),"",(INPUT!P3220-INPUT!Q3220)/INPUT!P3220),"")</f>
        <v/>
      </c>
    </row>
    <row r="3226" spans="1:12" ht="18" hidden="1" customHeight="1" x14ac:dyDescent="0.2">
      <c r="A3226" s="11" t="str">
        <f>IF(INPUT!M3221="","",INPUT!M3221)</f>
        <v/>
      </c>
      <c r="B3226" s="11" t="str">
        <f>IF(INPUT!M3221="","",INPUT!M3221-WEEKDAY(INPUT!M3221,2)+1)</f>
        <v/>
      </c>
      <c r="C3226" s="20">
        <f>IFERROR(_xlfn.ISOWEEKNUM(INPUT!M3221),"")</f>
        <v>52</v>
      </c>
      <c r="D3226" s="20">
        <f>IFERROR(YEAR(INPUT!M3221),"")</f>
        <v>1900</v>
      </c>
      <c r="E3226" t="str">
        <f>IF(INPUT!O3221="","",INPUT!O3221)</f>
        <v/>
      </c>
      <c r="F3226" t="str">
        <f>IF(INPUT!N3221="","",INPUT!N3221)</f>
        <v/>
      </c>
      <c r="G3226" cm="1">
        <f t="array" ref="G3226">IFERROR(VLOOKUP(INPUT!M3221&amp;INPUT!N3221,CHOOSE({1,2},INPUT!$A$3:$A$5000&amp;INPUT!$C$3:$C$5000,INPUT!$F$3:$F$5000),2,FALSE),"")</f>
        <v>0</v>
      </c>
      <c r="H3226" cm="1">
        <f t="array" ref="H3226">IFERROR(VLOOKUP(INPUT!M3221&amp;INPUT!N3221,CHOOSE({1,2},INPUT!$A$3:$A$5000&amp;INPUT!$C$3:$C$5000,INPUT!$D$3:$D$5000),2,FALSE),"")</f>
        <v>0</v>
      </c>
      <c r="I3226" s="46" t="str">
        <f>IF(INPUT!P3221="","",INPUT!P3221)</f>
        <v/>
      </c>
      <c r="J3226" s="46" t="str">
        <f>IF(INPUT!Q3221="","",INPUT!Q3221)</f>
        <v/>
      </c>
      <c r="K3226" s="46" t="str">
        <f>IFERROR(IF(OR(INPUT!P3221="",INPUT!Q3221=""),"",INPUT!P3221-INPUT!Q3221),"")</f>
        <v/>
      </c>
      <c r="L3226" s="48" t="str">
        <f>IFERROR(IF(OR(INPUT!P3221="",INPUT!Q3221="",INPUT!P3221=0),"",(INPUT!P3221-INPUT!Q3221)/INPUT!P3221),"")</f>
        <v/>
      </c>
    </row>
    <row r="3227" spans="1:12" ht="18" hidden="1" customHeight="1" x14ac:dyDescent="0.2">
      <c r="A3227" s="11" t="str">
        <f>IF(INPUT!M3222="","",INPUT!M3222)</f>
        <v/>
      </c>
      <c r="B3227" s="11" t="str">
        <f>IF(INPUT!M3222="","",INPUT!M3222-WEEKDAY(INPUT!M3222,2)+1)</f>
        <v/>
      </c>
      <c r="C3227" s="20">
        <f>IFERROR(_xlfn.ISOWEEKNUM(INPUT!M3222),"")</f>
        <v>52</v>
      </c>
      <c r="D3227" s="20">
        <f>IFERROR(YEAR(INPUT!M3222),"")</f>
        <v>1900</v>
      </c>
      <c r="E3227" t="str">
        <f>IF(INPUT!O3222="","",INPUT!O3222)</f>
        <v/>
      </c>
      <c r="F3227" t="str">
        <f>IF(INPUT!N3222="","",INPUT!N3222)</f>
        <v/>
      </c>
      <c r="G3227" cm="1">
        <f t="array" ref="G3227">IFERROR(VLOOKUP(INPUT!M3222&amp;INPUT!N3222,CHOOSE({1,2},INPUT!$A$3:$A$5000&amp;INPUT!$C$3:$C$5000,INPUT!$F$3:$F$5000),2,FALSE),"")</f>
        <v>0</v>
      </c>
      <c r="H3227" cm="1">
        <f t="array" ref="H3227">IFERROR(VLOOKUP(INPUT!M3222&amp;INPUT!N3222,CHOOSE({1,2},INPUT!$A$3:$A$5000&amp;INPUT!$C$3:$C$5000,INPUT!$D$3:$D$5000),2,FALSE),"")</f>
        <v>0</v>
      </c>
      <c r="I3227" s="46" t="str">
        <f>IF(INPUT!P3222="","",INPUT!P3222)</f>
        <v/>
      </c>
      <c r="J3227" s="46" t="str">
        <f>IF(INPUT!Q3222="","",INPUT!Q3222)</f>
        <v/>
      </c>
      <c r="K3227" s="46" t="str">
        <f>IFERROR(IF(OR(INPUT!P3222="",INPUT!Q3222=""),"",INPUT!P3222-INPUT!Q3222),"")</f>
        <v/>
      </c>
      <c r="L3227" s="48" t="str">
        <f>IFERROR(IF(OR(INPUT!P3222="",INPUT!Q3222="",INPUT!P3222=0),"",(INPUT!P3222-INPUT!Q3222)/INPUT!P3222),"")</f>
        <v/>
      </c>
    </row>
    <row r="3228" spans="1:12" ht="18" hidden="1" customHeight="1" x14ac:dyDescent="0.2">
      <c r="A3228" s="11" t="str">
        <f>IF(INPUT!M3223="","",INPUT!M3223)</f>
        <v/>
      </c>
      <c r="B3228" s="11" t="str">
        <f>IF(INPUT!M3223="","",INPUT!M3223-WEEKDAY(INPUT!M3223,2)+1)</f>
        <v/>
      </c>
      <c r="C3228" s="20">
        <f>IFERROR(_xlfn.ISOWEEKNUM(INPUT!M3223),"")</f>
        <v>52</v>
      </c>
      <c r="D3228" s="20">
        <f>IFERROR(YEAR(INPUT!M3223),"")</f>
        <v>1900</v>
      </c>
      <c r="E3228" t="str">
        <f>IF(INPUT!O3223="","",INPUT!O3223)</f>
        <v/>
      </c>
      <c r="F3228" t="str">
        <f>IF(INPUT!N3223="","",INPUT!N3223)</f>
        <v/>
      </c>
      <c r="G3228" cm="1">
        <f t="array" ref="G3228">IFERROR(VLOOKUP(INPUT!M3223&amp;INPUT!N3223,CHOOSE({1,2},INPUT!$A$3:$A$5000&amp;INPUT!$C$3:$C$5000,INPUT!$F$3:$F$5000),2,FALSE),"")</f>
        <v>0</v>
      </c>
      <c r="H3228" cm="1">
        <f t="array" ref="H3228">IFERROR(VLOOKUP(INPUT!M3223&amp;INPUT!N3223,CHOOSE({1,2},INPUT!$A$3:$A$5000&amp;INPUT!$C$3:$C$5000,INPUT!$D$3:$D$5000),2,FALSE),"")</f>
        <v>0</v>
      </c>
      <c r="I3228" s="46" t="str">
        <f>IF(INPUT!P3223="","",INPUT!P3223)</f>
        <v/>
      </c>
      <c r="J3228" s="46" t="str">
        <f>IF(INPUT!Q3223="","",INPUT!Q3223)</f>
        <v/>
      </c>
      <c r="K3228" s="46" t="str">
        <f>IFERROR(IF(OR(INPUT!P3223="",INPUT!Q3223=""),"",INPUT!P3223-INPUT!Q3223),"")</f>
        <v/>
      </c>
      <c r="L3228" s="48" t="str">
        <f>IFERROR(IF(OR(INPUT!P3223="",INPUT!Q3223="",INPUT!P3223=0),"",(INPUT!P3223-INPUT!Q3223)/INPUT!P3223),"")</f>
        <v/>
      </c>
    </row>
    <row r="3229" spans="1:12" ht="18" hidden="1" customHeight="1" x14ac:dyDescent="0.2">
      <c r="A3229" s="11" t="str">
        <f>IF(INPUT!M3224="","",INPUT!M3224)</f>
        <v/>
      </c>
      <c r="B3229" s="11" t="str">
        <f>IF(INPUT!M3224="","",INPUT!M3224-WEEKDAY(INPUT!M3224,2)+1)</f>
        <v/>
      </c>
      <c r="C3229" s="20">
        <f>IFERROR(_xlfn.ISOWEEKNUM(INPUT!M3224),"")</f>
        <v>52</v>
      </c>
      <c r="D3229" s="20">
        <f>IFERROR(YEAR(INPUT!M3224),"")</f>
        <v>1900</v>
      </c>
      <c r="E3229" t="str">
        <f>IF(INPUT!O3224="","",INPUT!O3224)</f>
        <v/>
      </c>
      <c r="F3229" t="str">
        <f>IF(INPUT!N3224="","",INPUT!N3224)</f>
        <v/>
      </c>
      <c r="G3229" cm="1">
        <f t="array" ref="G3229">IFERROR(VLOOKUP(INPUT!M3224&amp;INPUT!N3224,CHOOSE({1,2},INPUT!$A$3:$A$5000&amp;INPUT!$C$3:$C$5000,INPUT!$F$3:$F$5000),2,FALSE),"")</f>
        <v>0</v>
      </c>
      <c r="H3229" cm="1">
        <f t="array" ref="H3229">IFERROR(VLOOKUP(INPUT!M3224&amp;INPUT!N3224,CHOOSE({1,2},INPUT!$A$3:$A$5000&amp;INPUT!$C$3:$C$5000,INPUT!$D$3:$D$5000),2,FALSE),"")</f>
        <v>0</v>
      </c>
      <c r="I3229" s="46" t="str">
        <f>IF(INPUT!P3224="","",INPUT!P3224)</f>
        <v/>
      </c>
      <c r="J3229" s="46" t="str">
        <f>IF(INPUT!Q3224="","",INPUT!Q3224)</f>
        <v/>
      </c>
      <c r="K3229" s="46" t="str">
        <f>IFERROR(IF(OR(INPUT!P3224="",INPUT!Q3224=""),"",INPUT!P3224-INPUT!Q3224),"")</f>
        <v/>
      </c>
      <c r="L3229" s="48" t="str">
        <f>IFERROR(IF(OR(INPUT!P3224="",INPUT!Q3224="",INPUT!P3224=0),"",(INPUT!P3224-INPUT!Q3224)/INPUT!P3224),"")</f>
        <v/>
      </c>
    </row>
    <row r="3230" spans="1:12" ht="18" hidden="1" customHeight="1" x14ac:dyDescent="0.2">
      <c r="A3230" s="11" t="str">
        <f>IF(INPUT!M3225="","",INPUT!M3225)</f>
        <v/>
      </c>
      <c r="B3230" s="11" t="str">
        <f>IF(INPUT!M3225="","",INPUT!M3225-WEEKDAY(INPUT!M3225,2)+1)</f>
        <v/>
      </c>
      <c r="C3230" s="20">
        <f>IFERROR(_xlfn.ISOWEEKNUM(INPUT!M3225),"")</f>
        <v>52</v>
      </c>
      <c r="D3230" s="20">
        <f>IFERROR(YEAR(INPUT!M3225),"")</f>
        <v>1900</v>
      </c>
      <c r="E3230" t="str">
        <f>IF(INPUT!O3225="","",INPUT!O3225)</f>
        <v/>
      </c>
      <c r="F3230" t="str">
        <f>IF(INPUT!N3225="","",INPUT!N3225)</f>
        <v/>
      </c>
      <c r="G3230" cm="1">
        <f t="array" ref="G3230">IFERROR(VLOOKUP(INPUT!M3225&amp;INPUT!N3225,CHOOSE({1,2},INPUT!$A$3:$A$5000&amp;INPUT!$C$3:$C$5000,INPUT!$F$3:$F$5000),2,FALSE),"")</f>
        <v>0</v>
      </c>
      <c r="H3230" cm="1">
        <f t="array" ref="H3230">IFERROR(VLOOKUP(INPUT!M3225&amp;INPUT!N3225,CHOOSE({1,2},INPUT!$A$3:$A$5000&amp;INPUT!$C$3:$C$5000,INPUT!$D$3:$D$5000),2,FALSE),"")</f>
        <v>0</v>
      </c>
      <c r="I3230" s="46" t="str">
        <f>IF(INPUT!P3225="","",INPUT!P3225)</f>
        <v/>
      </c>
      <c r="J3230" s="46" t="str">
        <f>IF(INPUT!Q3225="","",INPUT!Q3225)</f>
        <v/>
      </c>
      <c r="K3230" s="46" t="str">
        <f>IFERROR(IF(OR(INPUT!P3225="",INPUT!Q3225=""),"",INPUT!P3225-INPUT!Q3225),"")</f>
        <v/>
      </c>
      <c r="L3230" s="48" t="str">
        <f>IFERROR(IF(OR(INPUT!P3225="",INPUT!Q3225="",INPUT!P3225=0),"",(INPUT!P3225-INPUT!Q3225)/INPUT!P3225),"")</f>
        <v/>
      </c>
    </row>
    <row r="3231" spans="1:12" ht="18" hidden="1" customHeight="1" x14ac:dyDescent="0.2">
      <c r="A3231" s="11" t="str">
        <f>IF(INPUT!M3226="","",INPUT!M3226)</f>
        <v/>
      </c>
      <c r="B3231" s="11" t="str">
        <f>IF(INPUT!M3226="","",INPUT!M3226-WEEKDAY(INPUT!M3226,2)+1)</f>
        <v/>
      </c>
      <c r="C3231" s="20">
        <f>IFERROR(_xlfn.ISOWEEKNUM(INPUT!M3226),"")</f>
        <v>52</v>
      </c>
      <c r="D3231" s="20">
        <f>IFERROR(YEAR(INPUT!M3226),"")</f>
        <v>1900</v>
      </c>
      <c r="E3231" t="str">
        <f>IF(INPUT!O3226="","",INPUT!O3226)</f>
        <v/>
      </c>
      <c r="F3231" t="str">
        <f>IF(INPUT!N3226="","",INPUT!N3226)</f>
        <v/>
      </c>
      <c r="G3231" cm="1">
        <f t="array" ref="G3231">IFERROR(VLOOKUP(INPUT!M3226&amp;INPUT!N3226,CHOOSE({1,2},INPUT!$A$3:$A$5000&amp;INPUT!$C$3:$C$5000,INPUT!$F$3:$F$5000),2,FALSE),"")</f>
        <v>0</v>
      </c>
      <c r="H3231" cm="1">
        <f t="array" ref="H3231">IFERROR(VLOOKUP(INPUT!M3226&amp;INPUT!N3226,CHOOSE({1,2},INPUT!$A$3:$A$5000&amp;INPUT!$C$3:$C$5000,INPUT!$D$3:$D$5000),2,FALSE),"")</f>
        <v>0</v>
      </c>
      <c r="I3231" s="46" t="str">
        <f>IF(INPUT!P3226="","",INPUT!P3226)</f>
        <v/>
      </c>
      <c r="J3231" s="46" t="str">
        <f>IF(INPUT!Q3226="","",INPUT!Q3226)</f>
        <v/>
      </c>
      <c r="K3231" s="46" t="str">
        <f>IFERROR(IF(OR(INPUT!P3226="",INPUT!Q3226=""),"",INPUT!P3226-INPUT!Q3226),"")</f>
        <v/>
      </c>
      <c r="L3231" s="48" t="str">
        <f>IFERROR(IF(OR(INPUT!P3226="",INPUT!Q3226="",INPUT!P3226=0),"",(INPUT!P3226-INPUT!Q3226)/INPUT!P3226),"")</f>
        <v/>
      </c>
    </row>
    <row r="3232" spans="1:12" ht="18" hidden="1" customHeight="1" x14ac:dyDescent="0.2">
      <c r="A3232" s="11" t="str">
        <f>IF(INPUT!M3227="","",INPUT!M3227)</f>
        <v/>
      </c>
      <c r="B3232" s="11" t="str">
        <f>IF(INPUT!M3227="","",INPUT!M3227-WEEKDAY(INPUT!M3227,2)+1)</f>
        <v/>
      </c>
      <c r="C3232" s="20">
        <f>IFERROR(_xlfn.ISOWEEKNUM(INPUT!M3227),"")</f>
        <v>52</v>
      </c>
      <c r="D3232" s="20">
        <f>IFERROR(YEAR(INPUT!M3227),"")</f>
        <v>1900</v>
      </c>
      <c r="E3232" t="str">
        <f>IF(INPUT!O3227="","",INPUT!O3227)</f>
        <v/>
      </c>
      <c r="F3232" t="str">
        <f>IF(INPUT!N3227="","",INPUT!N3227)</f>
        <v/>
      </c>
      <c r="G3232" cm="1">
        <f t="array" ref="G3232">IFERROR(VLOOKUP(INPUT!M3227&amp;INPUT!N3227,CHOOSE({1,2},INPUT!$A$3:$A$5000&amp;INPUT!$C$3:$C$5000,INPUT!$F$3:$F$5000),2,FALSE),"")</f>
        <v>0</v>
      </c>
      <c r="H3232" cm="1">
        <f t="array" ref="H3232">IFERROR(VLOOKUP(INPUT!M3227&amp;INPUT!N3227,CHOOSE({1,2},INPUT!$A$3:$A$5000&amp;INPUT!$C$3:$C$5000,INPUT!$D$3:$D$5000),2,FALSE),"")</f>
        <v>0</v>
      </c>
      <c r="I3232" s="46" t="str">
        <f>IF(INPUT!P3227="","",INPUT!P3227)</f>
        <v/>
      </c>
      <c r="J3232" s="46" t="str">
        <f>IF(INPUT!Q3227="","",INPUT!Q3227)</f>
        <v/>
      </c>
      <c r="K3232" s="46" t="str">
        <f>IFERROR(IF(OR(INPUT!P3227="",INPUT!Q3227=""),"",INPUT!P3227-INPUT!Q3227),"")</f>
        <v/>
      </c>
      <c r="L3232" s="48" t="str">
        <f>IFERROR(IF(OR(INPUT!P3227="",INPUT!Q3227="",INPUT!P3227=0),"",(INPUT!P3227-INPUT!Q3227)/INPUT!P3227),"")</f>
        <v/>
      </c>
    </row>
    <row r="3233" spans="1:12" ht="18" hidden="1" customHeight="1" x14ac:dyDescent="0.2">
      <c r="A3233" s="11" t="str">
        <f>IF(INPUT!M3228="","",INPUT!M3228)</f>
        <v/>
      </c>
      <c r="B3233" s="11" t="str">
        <f>IF(INPUT!M3228="","",INPUT!M3228-WEEKDAY(INPUT!M3228,2)+1)</f>
        <v/>
      </c>
      <c r="C3233" s="20">
        <f>IFERROR(_xlfn.ISOWEEKNUM(INPUT!M3228),"")</f>
        <v>52</v>
      </c>
      <c r="D3233" s="20">
        <f>IFERROR(YEAR(INPUT!M3228),"")</f>
        <v>1900</v>
      </c>
      <c r="E3233" t="str">
        <f>IF(INPUT!O3228="","",INPUT!O3228)</f>
        <v/>
      </c>
      <c r="F3233" t="str">
        <f>IF(INPUT!N3228="","",INPUT!N3228)</f>
        <v/>
      </c>
      <c r="G3233" cm="1">
        <f t="array" ref="G3233">IFERROR(VLOOKUP(INPUT!M3228&amp;INPUT!N3228,CHOOSE({1,2},INPUT!$A$3:$A$5000&amp;INPUT!$C$3:$C$5000,INPUT!$F$3:$F$5000),2,FALSE),"")</f>
        <v>0</v>
      </c>
      <c r="H3233" cm="1">
        <f t="array" ref="H3233">IFERROR(VLOOKUP(INPUT!M3228&amp;INPUT!N3228,CHOOSE({1,2},INPUT!$A$3:$A$5000&amp;INPUT!$C$3:$C$5000,INPUT!$D$3:$D$5000),2,FALSE),"")</f>
        <v>0</v>
      </c>
      <c r="I3233" s="46" t="str">
        <f>IF(INPUT!P3228="","",INPUT!P3228)</f>
        <v/>
      </c>
      <c r="J3233" s="46" t="str">
        <f>IF(INPUT!Q3228="","",INPUT!Q3228)</f>
        <v/>
      </c>
      <c r="K3233" s="46" t="str">
        <f>IFERROR(IF(OR(INPUT!P3228="",INPUT!Q3228=""),"",INPUT!P3228-INPUT!Q3228),"")</f>
        <v/>
      </c>
      <c r="L3233" s="48" t="str">
        <f>IFERROR(IF(OR(INPUT!P3228="",INPUT!Q3228="",INPUT!P3228=0),"",(INPUT!P3228-INPUT!Q3228)/INPUT!P3228),"")</f>
        <v/>
      </c>
    </row>
    <row r="3234" spans="1:12" ht="18" hidden="1" customHeight="1" x14ac:dyDescent="0.2">
      <c r="A3234" s="11" t="str">
        <f>IF(INPUT!M3229="","",INPUT!M3229)</f>
        <v/>
      </c>
      <c r="B3234" s="11" t="str">
        <f>IF(INPUT!M3229="","",INPUT!M3229-WEEKDAY(INPUT!M3229,2)+1)</f>
        <v/>
      </c>
      <c r="C3234" s="20">
        <f>IFERROR(_xlfn.ISOWEEKNUM(INPUT!M3229),"")</f>
        <v>52</v>
      </c>
      <c r="D3234" s="20">
        <f>IFERROR(YEAR(INPUT!M3229),"")</f>
        <v>1900</v>
      </c>
      <c r="E3234" t="str">
        <f>IF(INPUT!O3229="","",INPUT!O3229)</f>
        <v/>
      </c>
      <c r="F3234" t="str">
        <f>IF(INPUT!N3229="","",INPUT!N3229)</f>
        <v/>
      </c>
      <c r="G3234" cm="1">
        <f t="array" ref="G3234">IFERROR(VLOOKUP(INPUT!M3229&amp;INPUT!N3229,CHOOSE({1,2},INPUT!$A$3:$A$5000&amp;INPUT!$C$3:$C$5000,INPUT!$F$3:$F$5000),2,FALSE),"")</f>
        <v>0</v>
      </c>
      <c r="H3234" cm="1">
        <f t="array" ref="H3234">IFERROR(VLOOKUP(INPUT!M3229&amp;INPUT!N3229,CHOOSE({1,2},INPUT!$A$3:$A$5000&amp;INPUT!$C$3:$C$5000,INPUT!$D$3:$D$5000),2,FALSE),"")</f>
        <v>0</v>
      </c>
      <c r="I3234" s="46" t="str">
        <f>IF(INPUT!P3229="","",INPUT!P3229)</f>
        <v/>
      </c>
      <c r="J3234" s="46" t="str">
        <f>IF(INPUT!Q3229="","",INPUT!Q3229)</f>
        <v/>
      </c>
      <c r="K3234" s="46" t="str">
        <f>IFERROR(IF(OR(INPUT!P3229="",INPUT!Q3229=""),"",INPUT!P3229-INPUT!Q3229),"")</f>
        <v/>
      </c>
      <c r="L3234" s="48" t="str">
        <f>IFERROR(IF(OR(INPUT!P3229="",INPUT!Q3229="",INPUT!P3229=0),"",(INPUT!P3229-INPUT!Q3229)/INPUT!P3229),"")</f>
        <v/>
      </c>
    </row>
    <row r="3235" spans="1:12" ht="18" hidden="1" customHeight="1" x14ac:dyDescent="0.2">
      <c r="A3235" s="11" t="str">
        <f>IF(INPUT!M3230="","",INPUT!M3230)</f>
        <v/>
      </c>
      <c r="B3235" s="11" t="str">
        <f>IF(INPUT!M3230="","",INPUT!M3230-WEEKDAY(INPUT!M3230,2)+1)</f>
        <v/>
      </c>
      <c r="C3235" s="20">
        <f>IFERROR(_xlfn.ISOWEEKNUM(INPUT!M3230),"")</f>
        <v>52</v>
      </c>
      <c r="D3235" s="20">
        <f>IFERROR(YEAR(INPUT!M3230),"")</f>
        <v>1900</v>
      </c>
      <c r="E3235" t="str">
        <f>IF(INPUT!O3230="","",INPUT!O3230)</f>
        <v/>
      </c>
      <c r="F3235" t="str">
        <f>IF(INPUT!N3230="","",INPUT!N3230)</f>
        <v/>
      </c>
      <c r="G3235" cm="1">
        <f t="array" ref="G3235">IFERROR(VLOOKUP(INPUT!M3230&amp;INPUT!N3230,CHOOSE({1,2},INPUT!$A$3:$A$5000&amp;INPUT!$C$3:$C$5000,INPUT!$F$3:$F$5000),2,FALSE),"")</f>
        <v>0</v>
      </c>
      <c r="H3235" cm="1">
        <f t="array" ref="H3235">IFERROR(VLOOKUP(INPUT!M3230&amp;INPUT!N3230,CHOOSE({1,2},INPUT!$A$3:$A$5000&amp;INPUT!$C$3:$C$5000,INPUT!$D$3:$D$5000),2,FALSE),"")</f>
        <v>0</v>
      </c>
      <c r="I3235" s="46" t="str">
        <f>IF(INPUT!P3230="","",INPUT!P3230)</f>
        <v/>
      </c>
      <c r="J3235" s="46" t="str">
        <f>IF(INPUT!Q3230="","",INPUT!Q3230)</f>
        <v/>
      </c>
      <c r="K3235" s="46" t="str">
        <f>IFERROR(IF(OR(INPUT!P3230="",INPUT!Q3230=""),"",INPUT!P3230-INPUT!Q3230),"")</f>
        <v/>
      </c>
      <c r="L3235" s="48" t="str">
        <f>IFERROR(IF(OR(INPUT!P3230="",INPUT!Q3230="",INPUT!P3230=0),"",(INPUT!P3230-INPUT!Q3230)/INPUT!P3230),"")</f>
        <v/>
      </c>
    </row>
    <row r="3236" spans="1:12" ht="18" hidden="1" customHeight="1" x14ac:dyDescent="0.2">
      <c r="A3236" s="11" t="str">
        <f>IF(INPUT!M3231="","",INPUT!M3231)</f>
        <v/>
      </c>
      <c r="B3236" s="11" t="str">
        <f>IF(INPUT!M3231="","",INPUT!M3231-WEEKDAY(INPUT!M3231,2)+1)</f>
        <v/>
      </c>
      <c r="C3236" s="20">
        <f>IFERROR(_xlfn.ISOWEEKNUM(INPUT!M3231),"")</f>
        <v>52</v>
      </c>
      <c r="D3236" s="20">
        <f>IFERROR(YEAR(INPUT!M3231),"")</f>
        <v>1900</v>
      </c>
      <c r="E3236" t="str">
        <f>IF(INPUT!O3231="","",INPUT!O3231)</f>
        <v/>
      </c>
      <c r="F3236" t="str">
        <f>IF(INPUT!N3231="","",INPUT!N3231)</f>
        <v/>
      </c>
      <c r="G3236" cm="1">
        <f t="array" ref="G3236">IFERROR(VLOOKUP(INPUT!M3231&amp;INPUT!N3231,CHOOSE({1,2},INPUT!$A$3:$A$5000&amp;INPUT!$C$3:$C$5000,INPUT!$F$3:$F$5000),2,FALSE),"")</f>
        <v>0</v>
      </c>
      <c r="H3236" cm="1">
        <f t="array" ref="H3236">IFERROR(VLOOKUP(INPUT!M3231&amp;INPUT!N3231,CHOOSE({1,2},INPUT!$A$3:$A$5000&amp;INPUT!$C$3:$C$5000,INPUT!$D$3:$D$5000),2,FALSE),"")</f>
        <v>0</v>
      </c>
      <c r="I3236" s="46" t="str">
        <f>IF(INPUT!P3231="","",INPUT!P3231)</f>
        <v/>
      </c>
      <c r="J3236" s="46" t="str">
        <f>IF(INPUT!Q3231="","",INPUT!Q3231)</f>
        <v/>
      </c>
      <c r="K3236" s="46" t="str">
        <f>IFERROR(IF(OR(INPUT!P3231="",INPUT!Q3231=""),"",INPUT!P3231-INPUT!Q3231),"")</f>
        <v/>
      </c>
      <c r="L3236" s="48" t="str">
        <f>IFERROR(IF(OR(INPUT!P3231="",INPUT!Q3231="",INPUT!P3231=0),"",(INPUT!P3231-INPUT!Q3231)/INPUT!P3231),"")</f>
        <v/>
      </c>
    </row>
    <row r="3237" spans="1:12" ht="18" hidden="1" customHeight="1" x14ac:dyDescent="0.2">
      <c r="A3237" s="11" t="str">
        <f>IF(INPUT!M3232="","",INPUT!M3232)</f>
        <v/>
      </c>
      <c r="B3237" s="11" t="str">
        <f>IF(INPUT!M3232="","",INPUT!M3232-WEEKDAY(INPUT!M3232,2)+1)</f>
        <v/>
      </c>
      <c r="C3237" s="20">
        <f>IFERROR(_xlfn.ISOWEEKNUM(INPUT!M3232),"")</f>
        <v>52</v>
      </c>
      <c r="D3237" s="20">
        <f>IFERROR(YEAR(INPUT!M3232),"")</f>
        <v>1900</v>
      </c>
      <c r="E3237" t="str">
        <f>IF(INPUT!O3232="","",INPUT!O3232)</f>
        <v/>
      </c>
      <c r="F3237" t="str">
        <f>IF(INPUT!N3232="","",INPUT!N3232)</f>
        <v/>
      </c>
      <c r="G3237" cm="1">
        <f t="array" ref="G3237">IFERROR(VLOOKUP(INPUT!M3232&amp;INPUT!N3232,CHOOSE({1,2},INPUT!$A$3:$A$5000&amp;INPUT!$C$3:$C$5000,INPUT!$F$3:$F$5000),2,FALSE),"")</f>
        <v>0</v>
      </c>
      <c r="H3237" cm="1">
        <f t="array" ref="H3237">IFERROR(VLOOKUP(INPUT!M3232&amp;INPUT!N3232,CHOOSE({1,2},INPUT!$A$3:$A$5000&amp;INPUT!$C$3:$C$5000,INPUT!$D$3:$D$5000),2,FALSE),"")</f>
        <v>0</v>
      </c>
      <c r="I3237" s="46" t="str">
        <f>IF(INPUT!P3232="","",INPUT!P3232)</f>
        <v/>
      </c>
      <c r="J3237" s="46" t="str">
        <f>IF(INPUT!Q3232="","",INPUT!Q3232)</f>
        <v/>
      </c>
      <c r="K3237" s="46" t="str">
        <f>IFERROR(IF(OR(INPUT!P3232="",INPUT!Q3232=""),"",INPUT!P3232-INPUT!Q3232),"")</f>
        <v/>
      </c>
      <c r="L3237" s="48" t="str">
        <f>IFERROR(IF(OR(INPUT!P3232="",INPUT!Q3232="",INPUT!P3232=0),"",(INPUT!P3232-INPUT!Q3232)/INPUT!P3232),"")</f>
        <v/>
      </c>
    </row>
    <row r="3238" spans="1:12" ht="18" hidden="1" customHeight="1" x14ac:dyDescent="0.2">
      <c r="A3238" s="11" t="str">
        <f>IF(INPUT!M3233="","",INPUT!M3233)</f>
        <v/>
      </c>
      <c r="B3238" s="11" t="str">
        <f>IF(INPUT!M3233="","",INPUT!M3233-WEEKDAY(INPUT!M3233,2)+1)</f>
        <v/>
      </c>
      <c r="C3238" s="20">
        <f>IFERROR(_xlfn.ISOWEEKNUM(INPUT!M3233),"")</f>
        <v>52</v>
      </c>
      <c r="D3238" s="20">
        <f>IFERROR(YEAR(INPUT!M3233),"")</f>
        <v>1900</v>
      </c>
      <c r="E3238" t="str">
        <f>IF(INPUT!O3233="","",INPUT!O3233)</f>
        <v/>
      </c>
      <c r="F3238" t="str">
        <f>IF(INPUT!N3233="","",INPUT!N3233)</f>
        <v/>
      </c>
      <c r="G3238" cm="1">
        <f t="array" ref="G3238">IFERROR(VLOOKUP(INPUT!M3233&amp;INPUT!N3233,CHOOSE({1,2},INPUT!$A$3:$A$5000&amp;INPUT!$C$3:$C$5000,INPUT!$F$3:$F$5000),2,FALSE),"")</f>
        <v>0</v>
      </c>
      <c r="H3238" cm="1">
        <f t="array" ref="H3238">IFERROR(VLOOKUP(INPUT!M3233&amp;INPUT!N3233,CHOOSE({1,2},INPUT!$A$3:$A$5000&amp;INPUT!$C$3:$C$5000,INPUT!$D$3:$D$5000),2,FALSE),"")</f>
        <v>0</v>
      </c>
      <c r="I3238" s="46" t="str">
        <f>IF(INPUT!P3233="","",INPUT!P3233)</f>
        <v/>
      </c>
      <c r="J3238" s="46" t="str">
        <f>IF(INPUT!Q3233="","",INPUT!Q3233)</f>
        <v/>
      </c>
      <c r="K3238" s="46" t="str">
        <f>IFERROR(IF(OR(INPUT!P3233="",INPUT!Q3233=""),"",INPUT!P3233-INPUT!Q3233),"")</f>
        <v/>
      </c>
      <c r="L3238" s="48" t="str">
        <f>IFERROR(IF(OR(INPUT!P3233="",INPUT!Q3233="",INPUT!P3233=0),"",(INPUT!P3233-INPUT!Q3233)/INPUT!P3233),"")</f>
        <v/>
      </c>
    </row>
    <row r="3239" spans="1:12" ht="18" hidden="1" customHeight="1" x14ac:dyDescent="0.2">
      <c r="A3239" s="11" t="str">
        <f>IF(INPUT!M3234="","",INPUT!M3234)</f>
        <v/>
      </c>
      <c r="B3239" s="11" t="str">
        <f>IF(INPUT!M3234="","",INPUT!M3234-WEEKDAY(INPUT!M3234,2)+1)</f>
        <v/>
      </c>
      <c r="C3239" s="20">
        <f>IFERROR(_xlfn.ISOWEEKNUM(INPUT!M3234),"")</f>
        <v>52</v>
      </c>
      <c r="D3239" s="20">
        <f>IFERROR(YEAR(INPUT!M3234),"")</f>
        <v>1900</v>
      </c>
      <c r="E3239" t="str">
        <f>IF(INPUT!O3234="","",INPUT!O3234)</f>
        <v/>
      </c>
      <c r="F3239" t="str">
        <f>IF(INPUT!N3234="","",INPUT!N3234)</f>
        <v/>
      </c>
      <c r="G3239" cm="1">
        <f t="array" ref="G3239">IFERROR(VLOOKUP(INPUT!M3234&amp;INPUT!N3234,CHOOSE({1,2},INPUT!$A$3:$A$5000&amp;INPUT!$C$3:$C$5000,INPUT!$F$3:$F$5000),2,FALSE),"")</f>
        <v>0</v>
      </c>
      <c r="H3239" cm="1">
        <f t="array" ref="H3239">IFERROR(VLOOKUP(INPUT!M3234&amp;INPUT!N3234,CHOOSE({1,2},INPUT!$A$3:$A$5000&amp;INPUT!$C$3:$C$5000,INPUT!$D$3:$D$5000),2,FALSE),"")</f>
        <v>0</v>
      </c>
      <c r="I3239" s="46" t="str">
        <f>IF(INPUT!P3234="","",INPUT!P3234)</f>
        <v/>
      </c>
      <c r="J3239" s="46" t="str">
        <f>IF(INPUT!Q3234="","",INPUT!Q3234)</f>
        <v/>
      </c>
      <c r="K3239" s="46" t="str">
        <f>IFERROR(IF(OR(INPUT!P3234="",INPUT!Q3234=""),"",INPUT!P3234-INPUT!Q3234),"")</f>
        <v/>
      </c>
      <c r="L3239" s="48" t="str">
        <f>IFERROR(IF(OR(INPUT!P3234="",INPUT!Q3234="",INPUT!P3234=0),"",(INPUT!P3234-INPUT!Q3234)/INPUT!P3234),"")</f>
        <v/>
      </c>
    </row>
    <row r="3240" spans="1:12" ht="18" hidden="1" customHeight="1" x14ac:dyDescent="0.2">
      <c r="A3240" s="11" t="str">
        <f>IF(INPUT!M3235="","",INPUT!M3235)</f>
        <v/>
      </c>
      <c r="B3240" s="11" t="str">
        <f>IF(INPUT!M3235="","",INPUT!M3235-WEEKDAY(INPUT!M3235,2)+1)</f>
        <v/>
      </c>
      <c r="C3240" s="20">
        <f>IFERROR(_xlfn.ISOWEEKNUM(INPUT!M3235),"")</f>
        <v>52</v>
      </c>
      <c r="D3240" s="20">
        <f>IFERROR(YEAR(INPUT!M3235),"")</f>
        <v>1900</v>
      </c>
      <c r="E3240" t="str">
        <f>IF(INPUT!O3235="","",INPUT!O3235)</f>
        <v/>
      </c>
      <c r="F3240" t="str">
        <f>IF(INPUT!N3235="","",INPUT!N3235)</f>
        <v/>
      </c>
      <c r="G3240" cm="1">
        <f t="array" ref="G3240">IFERROR(VLOOKUP(INPUT!M3235&amp;INPUT!N3235,CHOOSE({1,2},INPUT!$A$3:$A$5000&amp;INPUT!$C$3:$C$5000,INPUT!$F$3:$F$5000),2,FALSE),"")</f>
        <v>0</v>
      </c>
      <c r="H3240" cm="1">
        <f t="array" ref="H3240">IFERROR(VLOOKUP(INPUT!M3235&amp;INPUT!N3235,CHOOSE({1,2},INPUT!$A$3:$A$5000&amp;INPUT!$C$3:$C$5000,INPUT!$D$3:$D$5000),2,FALSE),"")</f>
        <v>0</v>
      </c>
      <c r="I3240" s="46" t="str">
        <f>IF(INPUT!P3235="","",INPUT!P3235)</f>
        <v/>
      </c>
      <c r="J3240" s="46" t="str">
        <f>IF(INPUT!Q3235="","",INPUT!Q3235)</f>
        <v/>
      </c>
      <c r="K3240" s="46" t="str">
        <f>IFERROR(IF(OR(INPUT!P3235="",INPUT!Q3235=""),"",INPUT!P3235-INPUT!Q3235),"")</f>
        <v/>
      </c>
      <c r="L3240" s="48" t="str">
        <f>IFERROR(IF(OR(INPUT!P3235="",INPUT!Q3235="",INPUT!P3235=0),"",(INPUT!P3235-INPUT!Q3235)/INPUT!P3235),"")</f>
        <v/>
      </c>
    </row>
    <row r="3241" spans="1:12" ht="18" hidden="1" customHeight="1" x14ac:dyDescent="0.2">
      <c r="A3241" s="11" t="str">
        <f>IF(INPUT!M3236="","",INPUT!M3236)</f>
        <v/>
      </c>
      <c r="B3241" s="11" t="str">
        <f>IF(INPUT!M3236="","",INPUT!M3236-WEEKDAY(INPUT!M3236,2)+1)</f>
        <v/>
      </c>
      <c r="C3241" s="20">
        <f>IFERROR(_xlfn.ISOWEEKNUM(INPUT!M3236),"")</f>
        <v>52</v>
      </c>
      <c r="D3241" s="20">
        <f>IFERROR(YEAR(INPUT!M3236),"")</f>
        <v>1900</v>
      </c>
      <c r="E3241" t="str">
        <f>IF(INPUT!O3236="","",INPUT!O3236)</f>
        <v/>
      </c>
      <c r="F3241" t="str">
        <f>IF(INPUT!N3236="","",INPUT!N3236)</f>
        <v/>
      </c>
      <c r="G3241" cm="1">
        <f t="array" ref="G3241">IFERROR(VLOOKUP(INPUT!M3236&amp;INPUT!N3236,CHOOSE({1,2},INPUT!$A$3:$A$5000&amp;INPUT!$C$3:$C$5000,INPUT!$F$3:$F$5000),2,FALSE),"")</f>
        <v>0</v>
      </c>
      <c r="H3241" cm="1">
        <f t="array" ref="H3241">IFERROR(VLOOKUP(INPUT!M3236&amp;INPUT!N3236,CHOOSE({1,2},INPUT!$A$3:$A$5000&amp;INPUT!$C$3:$C$5000,INPUT!$D$3:$D$5000),2,FALSE),"")</f>
        <v>0</v>
      </c>
      <c r="I3241" s="46" t="str">
        <f>IF(INPUT!P3236="","",INPUT!P3236)</f>
        <v/>
      </c>
      <c r="J3241" s="46" t="str">
        <f>IF(INPUT!Q3236="","",INPUT!Q3236)</f>
        <v/>
      </c>
      <c r="K3241" s="46" t="str">
        <f>IFERROR(IF(OR(INPUT!P3236="",INPUT!Q3236=""),"",INPUT!P3236-INPUT!Q3236),"")</f>
        <v/>
      </c>
      <c r="L3241" s="48" t="str">
        <f>IFERROR(IF(OR(INPUT!P3236="",INPUT!Q3236="",INPUT!P3236=0),"",(INPUT!P3236-INPUT!Q3236)/INPUT!P3236),"")</f>
        <v/>
      </c>
    </row>
    <row r="3242" spans="1:12" ht="18" hidden="1" customHeight="1" x14ac:dyDescent="0.2">
      <c r="A3242" s="11" t="str">
        <f>IF(INPUT!M3237="","",INPUT!M3237)</f>
        <v/>
      </c>
      <c r="B3242" s="11" t="str">
        <f>IF(INPUT!M3237="","",INPUT!M3237-WEEKDAY(INPUT!M3237,2)+1)</f>
        <v/>
      </c>
      <c r="C3242" s="20">
        <f>IFERROR(_xlfn.ISOWEEKNUM(INPUT!M3237),"")</f>
        <v>52</v>
      </c>
      <c r="D3242" s="20">
        <f>IFERROR(YEAR(INPUT!M3237),"")</f>
        <v>1900</v>
      </c>
      <c r="E3242" t="str">
        <f>IF(INPUT!O3237="","",INPUT!O3237)</f>
        <v/>
      </c>
      <c r="F3242" t="str">
        <f>IF(INPUT!N3237="","",INPUT!N3237)</f>
        <v/>
      </c>
      <c r="G3242" cm="1">
        <f t="array" ref="G3242">IFERROR(VLOOKUP(INPUT!M3237&amp;INPUT!N3237,CHOOSE({1,2},INPUT!$A$3:$A$5000&amp;INPUT!$C$3:$C$5000,INPUT!$F$3:$F$5000),2,FALSE),"")</f>
        <v>0</v>
      </c>
      <c r="H3242" cm="1">
        <f t="array" ref="H3242">IFERROR(VLOOKUP(INPUT!M3237&amp;INPUT!N3237,CHOOSE({1,2},INPUT!$A$3:$A$5000&amp;INPUT!$C$3:$C$5000,INPUT!$D$3:$D$5000),2,FALSE),"")</f>
        <v>0</v>
      </c>
      <c r="I3242" s="46" t="str">
        <f>IF(INPUT!P3237="","",INPUT!P3237)</f>
        <v/>
      </c>
      <c r="J3242" s="46" t="str">
        <f>IF(INPUT!Q3237="","",INPUT!Q3237)</f>
        <v/>
      </c>
      <c r="K3242" s="46" t="str">
        <f>IFERROR(IF(OR(INPUT!P3237="",INPUT!Q3237=""),"",INPUT!P3237-INPUT!Q3237),"")</f>
        <v/>
      </c>
      <c r="L3242" s="48" t="str">
        <f>IFERROR(IF(OR(INPUT!P3237="",INPUT!Q3237="",INPUT!P3237=0),"",(INPUT!P3237-INPUT!Q3237)/INPUT!P3237),"")</f>
        <v/>
      </c>
    </row>
    <row r="3243" spans="1:12" ht="18" hidden="1" customHeight="1" x14ac:dyDescent="0.2">
      <c r="A3243" s="11" t="str">
        <f>IF(INPUT!M3238="","",INPUT!M3238)</f>
        <v/>
      </c>
      <c r="B3243" s="11" t="str">
        <f>IF(INPUT!M3238="","",INPUT!M3238-WEEKDAY(INPUT!M3238,2)+1)</f>
        <v/>
      </c>
      <c r="C3243" s="20">
        <f>IFERROR(_xlfn.ISOWEEKNUM(INPUT!M3238),"")</f>
        <v>52</v>
      </c>
      <c r="D3243" s="20">
        <f>IFERROR(YEAR(INPUT!M3238),"")</f>
        <v>1900</v>
      </c>
      <c r="E3243" t="str">
        <f>IF(INPUT!O3238="","",INPUT!O3238)</f>
        <v/>
      </c>
      <c r="F3243" t="str">
        <f>IF(INPUT!N3238="","",INPUT!N3238)</f>
        <v/>
      </c>
      <c r="G3243" cm="1">
        <f t="array" ref="G3243">IFERROR(VLOOKUP(INPUT!M3238&amp;INPUT!N3238,CHOOSE({1,2},INPUT!$A$3:$A$5000&amp;INPUT!$C$3:$C$5000,INPUT!$F$3:$F$5000),2,FALSE),"")</f>
        <v>0</v>
      </c>
      <c r="H3243" cm="1">
        <f t="array" ref="H3243">IFERROR(VLOOKUP(INPUT!M3238&amp;INPUT!N3238,CHOOSE({1,2},INPUT!$A$3:$A$5000&amp;INPUT!$C$3:$C$5000,INPUT!$D$3:$D$5000),2,FALSE),"")</f>
        <v>0</v>
      </c>
      <c r="I3243" s="46" t="str">
        <f>IF(INPUT!P3238="","",INPUT!P3238)</f>
        <v/>
      </c>
      <c r="J3243" s="46" t="str">
        <f>IF(INPUT!Q3238="","",INPUT!Q3238)</f>
        <v/>
      </c>
      <c r="K3243" s="46" t="str">
        <f>IFERROR(IF(OR(INPUT!P3238="",INPUT!Q3238=""),"",INPUT!P3238-INPUT!Q3238),"")</f>
        <v/>
      </c>
      <c r="L3243" s="48" t="str">
        <f>IFERROR(IF(OR(INPUT!P3238="",INPUT!Q3238="",INPUT!P3238=0),"",(INPUT!P3238-INPUT!Q3238)/INPUT!P3238),"")</f>
        <v/>
      </c>
    </row>
    <row r="3244" spans="1:12" ht="18" hidden="1" customHeight="1" x14ac:dyDescent="0.2">
      <c r="A3244" s="11" t="str">
        <f>IF(INPUT!M3239="","",INPUT!M3239)</f>
        <v/>
      </c>
      <c r="B3244" s="11" t="str">
        <f>IF(INPUT!M3239="","",INPUT!M3239-WEEKDAY(INPUT!M3239,2)+1)</f>
        <v/>
      </c>
      <c r="C3244" s="20">
        <f>IFERROR(_xlfn.ISOWEEKNUM(INPUT!M3239),"")</f>
        <v>52</v>
      </c>
      <c r="D3244" s="20">
        <f>IFERROR(YEAR(INPUT!M3239),"")</f>
        <v>1900</v>
      </c>
      <c r="E3244" t="str">
        <f>IF(INPUT!O3239="","",INPUT!O3239)</f>
        <v/>
      </c>
      <c r="F3244" t="str">
        <f>IF(INPUT!N3239="","",INPUT!N3239)</f>
        <v/>
      </c>
      <c r="G3244" cm="1">
        <f t="array" ref="G3244">IFERROR(VLOOKUP(INPUT!M3239&amp;INPUT!N3239,CHOOSE({1,2},INPUT!$A$3:$A$5000&amp;INPUT!$C$3:$C$5000,INPUT!$F$3:$F$5000),2,FALSE),"")</f>
        <v>0</v>
      </c>
      <c r="H3244" cm="1">
        <f t="array" ref="H3244">IFERROR(VLOOKUP(INPUT!M3239&amp;INPUT!N3239,CHOOSE({1,2},INPUT!$A$3:$A$5000&amp;INPUT!$C$3:$C$5000,INPUT!$D$3:$D$5000),2,FALSE),"")</f>
        <v>0</v>
      </c>
      <c r="I3244" s="46" t="str">
        <f>IF(INPUT!P3239="","",INPUT!P3239)</f>
        <v/>
      </c>
      <c r="J3244" s="46" t="str">
        <f>IF(INPUT!Q3239="","",INPUT!Q3239)</f>
        <v/>
      </c>
      <c r="K3244" s="46" t="str">
        <f>IFERROR(IF(OR(INPUT!P3239="",INPUT!Q3239=""),"",INPUT!P3239-INPUT!Q3239),"")</f>
        <v/>
      </c>
      <c r="L3244" s="48" t="str">
        <f>IFERROR(IF(OR(INPUT!P3239="",INPUT!Q3239="",INPUT!P3239=0),"",(INPUT!P3239-INPUT!Q3239)/INPUT!P3239),"")</f>
        <v/>
      </c>
    </row>
    <row r="3245" spans="1:12" ht="18" hidden="1" customHeight="1" x14ac:dyDescent="0.2">
      <c r="A3245" s="11" t="str">
        <f>IF(INPUT!M3240="","",INPUT!M3240)</f>
        <v/>
      </c>
      <c r="B3245" s="11" t="str">
        <f>IF(INPUT!M3240="","",INPUT!M3240-WEEKDAY(INPUT!M3240,2)+1)</f>
        <v/>
      </c>
      <c r="C3245" s="20">
        <f>IFERROR(_xlfn.ISOWEEKNUM(INPUT!M3240),"")</f>
        <v>52</v>
      </c>
      <c r="D3245" s="20">
        <f>IFERROR(YEAR(INPUT!M3240),"")</f>
        <v>1900</v>
      </c>
      <c r="E3245" t="str">
        <f>IF(INPUT!O3240="","",INPUT!O3240)</f>
        <v/>
      </c>
      <c r="F3245" t="str">
        <f>IF(INPUT!N3240="","",INPUT!N3240)</f>
        <v/>
      </c>
      <c r="G3245" cm="1">
        <f t="array" ref="G3245">IFERROR(VLOOKUP(INPUT!M3240&amp;INPUT!N3240,CHOOSE({1,2},INPUT!$A$3:$A$5000&amp;INPUT!$C$3:$C$5000,INPUT!$F$3:$F$5000),2,FALSE),"")</f>
        <v>0</v>
      </c>
      <c r="H3245" cm="1">
        <f t="array" ref="H3245">IFERROR(VLOOKUP(INPUT!M3240&amp;INPUT!N3240,CHOOSE({1,2},INPUT!$A$3:$A$5000&amp;INPUT!$C$3:$C$5000,INPUT!$D$3:$D$5000),2,FALSE),"")</f>
        <v>0</v>
      </c>
      <c r="I3245" s="46" t="str">
        <f>IF(INPUT!P3240="","",INPUT!P3240)</f>
        <v/>
      </c>
      <c r="J3245" s="46" t="str">
        <f>IF(INPUT!Q3240="","",INPUT!Q3240)</f>
        <v/>
      </c>
      <c r="K3245" s="46" t="str">
        <f>IFERROR(IF(OR(INPUT!P3240="",INPUT!Q3240=""),"",INPUT!P3240-INPUT!Q3240),"")</f>
        <v/>
      </c>
      <c r="L3245" s="48" t="str">
        <f>IFERROR(IF(OR(INPUT!P3240="",INPUT!Q3240="",INPUT!P3240=0),"",(INPUT!P3240-INPUT!Q3240)/INPUT!P3240),"")</f>
        <v/>
      </c>
    </row>
    <row r="3246" spans="1:12" ht="18" hidden="1" customHeight="1" x14ac:dyDescent="0.2">
      <c r="A3246" s="11" t="str">
        <f>IF(INPUT!M3241="","",INPUT!M3241)</f>
        <v/>
      </c>
      <c r="B3246" s="11" t="str">
        <f>IF(INPUT!M3241="","",INPUT!M3241-WEEKDAY(INPUT!M3241,2)+1)</f>
        <v/>
      </c>
      <c r="C3246" s="20">
        <f>IFERROR(_xlfn.ISOWEEKNUM(INPUT!M3241),"")</f>
        <v>52</v>
      </c>
      <c r="D3246" s="20">
        <f>IFERROR(YEAR(INPUT!M3241),"")</f>
        <v>1900</v>
      </c>
      <c r="E3246" t="str">
        <f>IF(INPUT!O3241="","",INPUT!O3241)</f>
        <v/>
      </c>
      <c r="F3246" t="str">
        <f>IF(INPUT!N3241="","",INPUT!N3241)</f>
        <v/>
      </c>
      <c r="G3246" cm="1">
        <f t="array" ref="G3246">IFERROR(VLOOKUP(INPUT!M3241&amp;INPUT!N3241,CHOOSE({1,2},INPUT!$A$3:$A$5000&amp;INPUT!$C$3:$C$5000,INPUT!$F$3:$F$5000),2,FALSE),"")</f>
        <v>0</v>
      </c>
      <c r="H3246" cm="1">
        <f t="array" ref="H3246">IFERROR(VLOOKUP(INPUT!M3241&amp;INPUT!N3241,CHOOSE({1,2},INPUT!$A$3:$A$5000&amp;INPUT!$C$3:$C$5000,INPUT!$D$3:$D$5000),2,FALSE),"")</f>
        <v>0</v>
      </c>
      <c r="I3246" s="46" t="str">
        <f>IF(INPUT!P3241="","",INPUT!P3241)</f>
        <v/>
      </c>
      <c r="J3246" s="46" t="str">
        <f>IF(INPUT!Q3241="","",INPUT!Q3241)</f>
        <v/>
      </c>
      <c r="K3246" s="46" t="str">
        <f>IFERROR(IF(OR(INPUT!P3241="",INPUT!Q3241=""),"",INPUT!P3241-INPUT!Q3241),"")</f>
        <v/>
      </c>
      <c r="L3246" s="48" t="str">
        <f>IFERROR(IF(OR(INPUT!P3241="",INPUT!Q3241="",INPUT!P3241=0),"",(INPUT!P3241-INPUT!Q3241)/INPUT!P3241),"")</f>
        <v/>
      </c>
    </row>
    <row r="3247" spans="1:12" ht="18" hidden="1" customHeight="1" x14ac:dyDescent="0.2">
      <c r="A3247" s="11" t="str">
        <f>IF(INPUT!M3242="","",INPUT!M3242)</f>
        <v/>
      </c>
      <c r="B3247" s="11" t="str">
        <f>IF(INPUT!M3242="","",INPUT!M3242-WEEKDAY(INPUT!M3242,2)+1)</f>
        <v/>
      </c>
      <c r="C3247" s="20">
        <f>IFERROR(_xlfn.ISOWEEKNUM(INPUT!M3242),"")</f>
        <v>52</v>
      </c>
      <c r="D3247" s="20">
        <f>IFERROR(YEAR(INPUT!M3242),"")</f>
        <v>1900</v>
      </c>
      <c r="E3247" t="str">
        <f>IF(INPUT!O3242="","",INPUT!O3242)</f>
        <v/>
      </c>
      <c r="F3247" t="str">
        <f>IF(INPUT!N3242="","",INPUT!N3242)</f>
        <v/>
      </c>
      <c r="G3247" cm="1">
        <f t="array" ref="G3247">IFERROR(VLOOKUP(INPUT!M3242&amp;INPUT!N3242,CHOOSE({1,2},INPUT!$A$3:$A$5000&amp;INPUT!$C$3:$C$5000,INPUT!$F$3:$F$5000),2,FALSE),"")</f>
        <v>0</v>
      </c>
      <c r="H3247" cm="1">
        <f t="array" ref="H3247">IFERROR(VLOOKUP(INPUT!M3242&amp;INPUT!N3242,CHOOSE({1,2},INPUT!$A$3:$A$5000&amp;INPUT!$C$3:$C$5000,INPUT!$D$3:$D$5000),2,FALSE),"")</f>
        <v>0</v>
      </c>
      <c r="I3247" s="46" t="str">
        <f>IF(INPUT!P3242="","",INPUT!P3242)</f>
        <v/>
      </c>
      <c r="J3247" s="46" t="str">
        <f>IF(INPUT!Q3242="","",INPUT!Q3242)</f>
        <v/>
      </c>
      <c r="K3247" s="46" t="str">
        <f>IFERROR(IF(OR(INPUT!P3242="",INPUT!Q3242=""),"",INPUT!P3242-INPUT!Q3242),"")</f>
        <v/>
      </c>
      <c r="L3247" s="48" t="str">
        <f>IFERROR(IF(OR(INPUT!P3242="",INPUT!Q3242="",INPUT!P3242=0),"",(INPUT!P3242-INPUT!Q3242)/INPUT!P3242),"")</f>
        <v/>
      </c>
    </row>
    <row r="3248" spans="1:12" ht="18" hidden="1" customHeight="1" x14ac:dyDescent="0.2">
      <c r="A3248" s="11" t="str">
        <f>IF(INPUT!M3243="","",INPUT!M3243)</f>
        <v/>
      </c>
      <c r="B3248" s="11" t="str">
        <f>IF(INPUT!M3243="","",INPUT!M3243-WEEKDAY(INPUT!M3243,2)+1)</f>
        <v/>
      </c>
      <c r="C3248" s="20">
        <f>IFERROR(_xlfn.ISOWEEKNUM(INPUT!M3243),"")</f>
        <v>52</v>
      </c>
      <c r="D3248" s="20">
        <f>IFERROR(YEAR(INPUT!M3243),"")</f>
        <v>1900</v>
      </c>
      <c r="E3248" t="str">
        <f>IF(INPUT!O3243="","",INPUT!O3243)</f>
        <v/>
      </c>
      <c r="F3248" t="str">
        <f>IF(INPUT!N3243="","",INPUT!N3243)</f>
        <v/>
      </c>
      <c r="G3248" cm="1">
        <f t="array" ref="G3248">IFERROR(VLOOKUP(INPUT!M3243&amp;INPUT!N3243,CHOOSE({1,2},INPUT!$A$3:$A$5000&amp;INPUT!$C$3:$C$5000,INPUT!$F$3:$F$5000),2,FALSE),"")</f>
        <v>0</v>
      </c>
      <c r="H3248" cm="1">
        <f t="array" ref="H3248">IFERROR(VLOOKUP(INPUT!M3243&amp;INPUT!N3243,CHOOSE({1,2},INPUT!$A$3:$A$5000&amp;INPUT!$C$3:$C$5000,INPUT!$D$3:$D$5000),2,FALSE),"")</f>
        <v>0</v>
      </c>
      <c r="I3248" s="46" t="str">
        <f>IF(INPUT!P3243="","",INPUT!P3243)</f>
        <v/>
      </c>
      <c r="J3248" s="46" t="str">
        <f>IF(INPUT!Q3243="","",INPUT!Q3243)</f>
        <v/>
      </c>
      <c r="K3248" s="46" t="str">
        <f>IFERROR(IF(OR(INPUT!P3243="",INPUT!Q3243=""),"",INPUT!P3243-INPUT!Q3243),"")</f>
        <v/>
      </c>
      <c r="L3248" s="48" t="str">
        <f>IFERROR(IF(OR(INPUT!P3243="",INPUT!Q3243="",INPUT!P3243=0),"",(INPUT!P3243-INPUT!Q3243)/INPUT!P3243),"")</f>
        <v/>
      </c>
    </row>
    <row r="3249" spans="1:12" ht="18" hidden="1" customHeight="1" x14ac:dyDescent="0.2">
      <c r="A3249" s="11" t="str">
        <f>IF(INPUT!M3244="","",INPUT!M3244)</f>
        <v/>
      </c>
      <c r="B3249" s="11" t="str">
        <f>IF(INPUT!M3244="","",INPUT!M3244-WEEKDAY(INPUT!M3244,2)+1)</f>
        <v/>
      </c>
      <c r="C3249" s="20">
        <f>IFERROR(_xlfn.ISOWEEKNUM(INPUT!M3244),"")</f>
        <v>52</v>
      </c>
      <c r="D3249" s="20">
        <f>IFERROR(YEAR(INPUT!M3244),"")</f>
        <v>1900</v>
      </c>
      <c r="E3249" t="str">
        <f>IF(INPUT!O3244="","",INPUT!O3244)</f>
        <v/>
      </c>
      <c r="F3249" t="str">
        <f>IF(INPUT!N3244="","",INPUT!N3244)</f>
        <v/>
      </c>
      <c r="G3249" cm="1">
        <f t="array" ref="G3249">IFERROR(VLOOKUP(INPUT!M3244&amp;INPUT!N3244,CHOOSE({1,2},INPUT!$A$3:$A$5000&amp;INPUT!$C$3:$C$5000,INPUT!$F$3:$F$5000),2,FALSE),"")</f>
        <v>0</v>
      </c>
      <c r="H3249" cm="1">
        <f t="array" ref="H3249">IFERROR(VLOOKUP(INPUT!M3244&amp;INPUT!N3244,CHOOSE({1,2},INPUT!$A$3:$A$5000&amp;INPUT!$C$3:$C$5000,INPUT!$D$3:$D$5000),2,FALSE),"")</f>
        <v>0</v>
      </c>
      <c r="I3249" s="46" t="str">
        <f>IF(INPUT!P3244="","",INPUT!P3244)</f>
        <v/>
      </c>
      <c r="J3249" s="46" t="str">
        <f>IF(INPUT!Q3244="","",INPUT!Q3244)</f>
        <v/>
      </c>
      <c r="K3249" s="46" t="str">
        <f>IFERROR(IF(OR(INPUT!P3244="",INPUT!Q3244=""),"",INPUT!P3244-INPUT!Q3244),"")</f>
        <v/>
      </c>
      <c r="L3249" s="48" t="str">
        <f>IFERROR(IF(OR(INPUT!P3244="",INPUT!Q3244="",INPUT!P3244=0),"",(INPUT!P3244-INPUT!Q3244)/INPUT!P3244),"")</f>
        <v/>
      </c>
    </row>
    <row r="3250" spans="1:12" ht="18" hidden="1" customHeight="1" x14ac:dyDescent="0.2">
      <c r="A3250" s="11" t="str">
        <f>IF(INPUT!M3245="","",INPUT!M3245)</f>
        <v/>
      </c>
      <c r="B3250" s="11" t="str">
        <f>IF(INPUT!M3245="","",INPUT!M3245-WEEKDAY(INPUT!M3245,2)+1)</f>
        <v/>
      </c>
      <c r="C3250" s="20">
        <f>IFERROR(_xlfn.ISOWEEKNUM(INPUT!M3245),"")</f>
        <v>52</v>
      </c>
      <c r="D3250" s="20">
        <f>IFERROR(YEAR(INPUT!M3245),"")</f>
        <v>1900</v>
      </c>
      <c r="E3250" t="str">
        <f>IF(INPUT!O3245="","",INPUT!O3245)</f>
        <v/>
      </c>
      <c r="F3250" t="str">
        <f>IF(INPUT!N3245="","",INPUT!N3245)</f>
        <v/>
      </c>
      <c r="G3250" cm="1">
        <f t="array" ref="G3250">IFERROR(VLOOKUP(INPUT!M3245&amp;INPUT!N3245,CHOOSE({1,2},INPUT!$A$3:$A$5000&amp;INPUT!$C$3:$C$5000,INPUT!$F$3:$F$5000),2,FALSE),"")</f>
        <v>0</v>
      </c>
      <c r="H3250" cm="1">
        <f t="array" ref="H3250">IFERROR(VLOOKUP(INPUT!M3245&amp;INPUT!N3245,CHOOSE({1,2},INPUT!$A$3:$A$5000&amp;INPUT!$C$3:$C$5000,INPUT!$D$3:$D$5000),2,FALSE),"")</f>
        <v>0</v>
      </c>
      <c r="I3250" s="46" t="str">
        <f>IF(INPUT!P3245="","",INPUT!P3245)</f>
        <v/>
      </c>
      <c r="J3250" s="46" t="str">
        <f>IF(INPUT!Q3245="","",INPUT!Q3245)</f>
        <v/>
      </c>
      <c r="K3250" s="46" t="str">
        <f>IFERROR(IF(OR(INPUT!P3245="",INPUT!Q3245=""),"",INPUT!P3245-INPUT!Q3245),"")</f>
        <v/>
      </c>
      <c r="L3250" s="48" t="str">
        <f>IFERROR(IF(OR(INPUT!P3245="",INPUT!Q3245="",INPUT!P3245=0),"",(INPUT!P3245-INPUT!Q3245)/INPUT!P3245),"")</f>
        <v/>
      </c>
    </row>
    <row r="3251" spans="1:12" ht="18" hidden="1" customHeight="1" x14ac:dyDescent="0.2">
      <c r="A3251" s="11" t="str">
        <f>IF(INPUT!M3246="","",INPUT!M3246)</f>
        <v/>
      </c>
      <c r="B3251" s="11" t="str">
        <f>IF(INPUT!M3246="","",INPUT!M3246-WEEKDAY(INPUT!M3246,2)+1)</f>
        <v/>
      </c>
      <c r="C3251" s="20">
        <f>IFERROR(_xlfn.ISOWEEKNUM(INPUT!M3246),"")</f>
        <v>52</v>
      </c>
      <c r="D3251" s="20">
        <f>IFERROR(YEAR(INPUT!M3246),"")</f>
        <v>1900</v>
      </c>
      <c r="E3251" t="str">
        <f>IF(INPUT!O3246="","",INPUT!O3246)</f>
        <v/>
      </c>
      <c r="F3251" t="str">
        <f>IF(INPUT!N3246="","",INPUT!N3246)</f>
        <v/>
      </c>
      <c r="G3251" cm="1">
        <f t="array" ref="G3251">IFERROR(VLOOKUP(INPUT!M3246&amp;INPUT!N3246,CHOOSE({1,2},INPUT!$A$3:$A$5000&amp;INPUT!$C$3:$C$5000,INPUT!$F$3:$F$5000),2,FALSE),"")</f>
        <v>0</v>
      </c>
      <c r="H3251" cm="1">
        <f t="array" ref="H3251">IFERROR(VLOOKUP(INPUT!M3246&amp;INPUT!N3246,CHOOSE({1,2},INPUT!$A$3:$A$5000&amp;INPUT!$C$3:$C$5000,INPUT!$D$3:$D$5000),2,FALSE),"")</f>
        <v>0</v>
      </c>
      <c r="I3251" s="46" t="str">
        <f>IF(INPUT!P3246="","",INPUT!P3246)</f>
        <v/>
      </c>
      <c r="J3251" s="46" t="str">
        <f>IF(INPUT!Q3246="","",INPUT!Q3246)</f>
        <v/>
      </c>
      <c r="K3251" s="46" t="str">
        <f>IFERROR(IF(OR(INPUT!P3246="",INPUT!Q3246=""),"",INPUT!P3246-INPUT!Q3246),"")</f>
        <v/>
      </c>
      <c r="L3251" s="48" t="str">
        <f>IFERROR(IF(OR(INPUT!P3246="",INPUT!Q3246="",INPUT!P3246=0),"",(INPUT!P3246-INPUT!Q3246)/INPUT!P3246),"")</f>
        <v/>
      </c>
    </row>
    <row r="3252" spans="1:12" ht="18" hidden="1" customHeight="1" x14ac:dyDescent="0.2">
      <c r="A3252" s="11" t="str">
        <f>IF(INPUT!M3247="","",INPUT!M3247)</f>
        <v/>
      </c>
      <c r="B3252" s="11" t="str">
        <f>IF(INPUT!M3247="","",INPUT!M3247-WEEKDAY(INPUT!M3247,2)+1)</f>
        <v/>
      </c>
      <c r="C3252" s="20">
        <f>IFERROR(_xlfn.ISOWEEKNUM(INPUT!M3247),"")</f>
        <v>52</v>
      </c>
      <c r="D3252" s="20">
        <f>IFERROR(YEAR(INPUT!M3247),"")</f>
        <v>1900</v>
      </c>
      <c r="E3252" t="str">
        <f>IF(INPUT!O3247="","",INPUT!O3247)</f>
        <v/>
      </c>
      <c r="F3252" t="str">
        <f>IF(INPUT!N3247="","",INPUT!N3247)</f>
        <v/>
      </c>
      <c r="G3252" cm="1">
        <f t="array" ref="G3252">IFERROR(VLOOKUP(INPUT!M3247&amp;INPUT!N3247,CHOOSE({1,2},INPUT!$A$3:$A$5000&amp;INPUT!$C$3:$C$5000,INPUT!$F$3:$F$5000),2,FALSE),"")</f>
        <v>0</v>
      </c>
      <c r="H3252" cm="1">
        <f t="array" ref="H3252">IFERROR(VLOOKUP(INPUT!M3247&amp;INPUT!N3247,CHOOSE({1,2},INPUT!$A$3:$A$5000&amp;INPUT!$C$3:$C$5000,INPUT!$D$3:$D$5000),2,FALSE),"")</f>
        <v>0</v>
      </c>
      <c r="I3252" s="46" t="str">
        <f>IF(INPUT!P3247="","",INPUT!P3247)</f>
        <v/>
      </c>
      <c r="J3252" s="46" t="str">
        <f>IF(INPUT!Q3247="","",INPUT!Q3247)</f>
        <v/>
      </c>
      <c r="K3252" s="46" t="str">
        <f>IFERROR(IF(OR(INPUT!P3247="",INPUT!Q3247=""),"",INPUT!P3247-INPUT!Q3247),"")</f>
        <v/>
      </c>
      <c r="L3252" s="48" t="str">
        <f>IFERROR(IF(OR(INPUT!P3247="",INPUT!Q3247="",INPUT!P3247=0),"",(INPUT!P3247-INPUT!Q3247)/INPUT!P3247),"")</f>
        <v/>
      </c>
    </row>
    <row r="3253" spans="1:12" ht="18" hidden="1" customHeight="1" x14ac:dyDescent="0.2">
      <c r="A3253" s="11" t="str">
        <f>IF(INPUT!M3248="","",INPUT!M3248)</f>
        <v/>
      </c>
      <c r="B3253" s="11" t="str">
        <f>IF(INPUT!M3248="","",INPUT!M3248-WEEKDAY(INPUT!M3248,2)+1)</f>
        <v/>
      </c>
      <c r="C3253" s="20">
        <f>IFERROR(_xlfn.ISOWEEKNUM(INPUT!M3248),"")</f>
        <v>52</v>
      </c>
      <c r="D3253" s="20">
        <f>IFERROR(YEAR(INPUT!M3248),"")</f>
        <v>1900</v>
      </c>
      <c r="E3253" t="str">
        <f>IF(INPUT!O3248="","",INPUT!O3248)</f>
        <v/>
      </c>
      <c r="F3253" t="str">
        <f>IF(INPUT!N3248="","",INPUT!N3248)</f>
        <v/>
      </c>
      <c r="G3253" cm="1">
        <f t="array" ref="G3253">IFERROR(VLOOKUP(INPUT!M3248&amp;INPUT!N3248,CHOOSE({1,2},INPUT!$A$3:$A$5000&amp;INPUT!$C$3:$C$5000,INPUT!$F$3:$F$5000),2,FALSE),"")</f>
        <v>0</v>
      </c>
      <c r="H3253" cm="1">
        <f t="array" ref="H3253">IFERROR(VLOOKUP(INPUT!M3248&amp;INPUT!N3248,CHOOSE({1,2},INPUT!$A$3:$A$5000&amp;INPUT!$C$3:$C$5000,INPUT!$D$3:$D$5000),2,FALSE),"")</f>
        <v>0</v>
      </c>
      <c r="I3253" s="46" t="str">
        <f>IF(INPUT!P3248="","",INPUT!P3248)</f>
        <v/>
      </c>
      <c r="J3253" s="46" t="str">
        <f>IF(INPUT!Q3248="","",INPUT!Q3248)</f>
        <v/>
      </c>
      <c r="K3253" s="46" t="str">
        <f>IFERROR(IF(OR(INPUT!P3248="",INPUT!Q3248=""),"",INPUT!P3248-INPUT!Q3248),"")</f>
        <v/>
      </c>
      <c r="L3253" s="48" t="str">
        <f>IFERROR(IF(OR(INPUT!P3248="",INPUT!Q3248="",INPUT!P3248=0),"",(INPUT!P3248-INPUT!Q3248)/INPUT!P3248),"")</f>
        <v/>
      </c>
    </row>
    <row r="3254" spans="1:12" ht="18" hidden="1" customHeight="1" x14ac:dyDescent="0.2">
      <c r="A3254" s="11" t="str">
        <f>IF(INPUT!M3249="","",INPUT!M3249)</f>
        <v/>
      </c>
      <c r="B3254" s="11" t="str">
        <f>IF(INPUT!M3249="","",INPUT!M3249-WEEKDAY(INPUT!M3249,2)+1)</f>
        <v/>
      </c>
      <c r="C3254" s="20">
        <f>IFERROR(_xlfn.ISOWEEKNUM(INPUT!M3249),"")</f>
        <v>52</v>
      </c>
      <c r="D3254" s="20">
        <f>IFERROR(YEAR(INPUT!M3249),"")</f>
        <v>1900</v>
      </c>
      <c r="E3254" t="str">
        <f>IF(INPUT!O3249="","",INPUT!O3249)</f>
        <v/>
      </c>
      <c r="F3254" t="str">
        <f>IF(INPUT!N3249="","",INPUT!N3249)</f>
        <v/>
      </c>
      <c r="G3254" cm="1">
        <f t="array" ref="G3254">IFERROR(VLOOKUP(INPUT!M3249&amp;INPUT!N3249,CHOOSE({1,2},INPUT!$A$3:$A$5000&amp;INPUT!$C$3:$C$5000,INPUT!$F$3:$F$5000),2,FALSE),"")</f>
        <v>0</v>
      </c>
      <c r="H3254" cm="1">
        <f t="array" ref="H3254">IFERROR(VLOOKUP(INPUT!M3249&amp;INPUT!N3249,CHOOSE({1,2},INPUT!$A$3:$A$5000&amp;INPUT!$C$3:$C$5000,INPUT!$D$3:$D$5000),2,FALSE),"")</f>
        <v>0</v>
      </c>
      <c r="I3254" s="46" t="str">
        <f>IF(INPUT!P3249="","",INPUT!P3249)</f>
        <v/>
      </c>
      <c r="J3254" s="46" t="str">
        <f>IF(INPUT!Q3249="","",INPUT!Q3249)</f>
        <v/>
      </c>
      <c r="K3254" s="46" t="str">
        <f>IFERROR(IF(OR(INPUT!P3249="",INPUT!Q3249=""),"",INPUT!P3249-INPUT!Q3249),"")</f>
        <v/>
      </c>
      <c r="L3254" s="48" t="str">
        <f>IFERROR(IF(OR(INPUT!P3249="",INPUT!Q3249="",INPUT!P3249=0),"",(INPUT!P3249-INPUT!Q3249)/INPUT!P3249),"")</f>
        <v/>
      </c>
    </row>
    <row r="3255" spans="1:12" ht="18" hidden="1" customHeight="1" x14ac:dyDescent="0.2">
      <c r="A3255" s="11" t="str">
        <f>IF(INPUT!M3250="","",INPUT!M3250)</f>
        <v/>
      </c>
      <c r="B3255" s="11" t="str">
        <f>IF(INPUT!M3250="","",INPUT!M3250-WEEKDAY(INPUT!M3250,2)+1)</f>
        <v/>
      </c>
      <c r="C3255" s="20">
        <f>IFERROR(_xlfn.ISOWEEKNUM(INPUT!M3250),"")</f>
        <v>52</v>
      </c>
      <c r="D3255" s="20">
        <f>IFERROR(YEAR(INPUT!M3250),"")</f>
        <v>1900</v>
      </c>
      <c r="E3255" t="str">
        <f>IF(INPUT!O3250="","",INPUT!O3250)</f>
        <v/>
      </c>
      <c r="F3255" t="str">
        <f>IF(INPUT!N3250="","",INPUT!N3250)</f>
        <v/>
      </c>
      <c r="G3255" cm="1">
        <f t="array" ref="G3255">IFERROR(VLOOKUP(INPUT!M3250&amp;INPUT!N3250,CHOOSE({1,2},INPUT!$A$3:$A$5000&amp;INPUT!$C$3:$C$5000,INPUT!$F$3:$F$5000),2,FALSE),"")</f>
        <v>0</v>
      </c>
      <c r="H3255" cm="1">
        <f t="array" ref="H3255">IFERROR(VLOOKUP(INPUT!M3250&amp;INPUT!N3250,CHOOSE({1,2},INPUT!$A$3:$A$5000&amp;INPUT!$C$3:$C$5000,INPUT!$D$3:$D$5000),2,FALSE),"")</f>
        <v>0</v>
      </c>
      <c r="I3255" s="46" t="str">
        <f>IF(INPUT!P3250="","",INPUT!P3250)</f>
        <v/>
      </c>
      <c r="J3255" s="46" t="str">
        <f>IF(INPUT!Q3250="","",INPUT!Q3250)</f>
        <v/>
      </c>
      <c r="K3255" s="46" t="str">
        <f>IFERROR(IF(OR(INPUT!P3250="",INPUT!Q3250=""),"",INPUT!P3250-INPUT!Q3250),"")</f>
        <v/>
      </c>
      <c r="L3255" s="48" t="str">
        <f>IFERROR(IF(OR(INPUT!P3250="",INPUT!Q3250="",INPUT!P3250=0),"",(INPUT!P3250-INPUT!Q3250)/INPUT!P3250),"")</f>
        <v/>
      </c>
    </row>
    <row r="3256" spans="1:12" ht="18" hidden="1" customHeight="1" x14ac:dyDescent="0.2">
      <c r="A3256" s="11" t="str">
        <f>IF(INPUT!M3251="","",INPUT!M3251)</f>
        <v/>
      </c>
      <c r="B3256" s="11" t="str">
        <f>IF(INPUT!M3251="","",INPUT!M3251-WEEKDAY(INPUT!M3251,2)+1)</f>
        <v/>
      </c>
      <c r="C3256" s="20">
        <f>IFERROR(_xlfn.ISOWEEKNUM(INPUT!M3251),"")</f>
        <v>52</v>
      </c>
      <c r="D3256" s="20">
        <f>IFERROR(YEAR(INPUT!M3251),"")</f>
        <v>1900</v>
      </c>
      <c r="E3256" t="str">
        <f>IF(INPUT!O3251="","",INPUT!O3251)</f>
        <v/>
      </c>
      <c r="F3256" t="str">
        <f>IF(INPUT!N3251="","",INPUT!N3251)</f>
        <v/>
      </c>
      <c r="G3256" cm="1">
        <f t="array" ref="G3256">IFERROR(VLOOKUP(INPUT!M3251&amp;INPUT!N3251,CHOOSE({1,2},INPUT!$A$3:$A$5000&amp;INPUT!$C$3:$C$5000,INPUT!$F$3:$F$5000),2,FALSE),"")</f>
        <v>0</v>
      </c>
      <c r="H3256" cm="1">
        <f t="array" ref="H3256">IFERROR(VLOOKUP(INPUT!M3251&amp;INPUT!N3251,CHOOSE({1,2},INPUT!$A$3:$A$5000&amp;INPUT!$C$3:$C$5000,INPUT!$D$3:$D$5000),2,FALSE),"")</f>
        <v>0</v>
      </c>
      <c r="I3256" s="46" t="str">
        <f>IF(INPUT!P3251="","",INPUT!P3251)</f>
        <v/>
      </c>
      <c r="J3256" s="46" t="str">
        <f>IF(INPUT!Q3251="","",INPUT!Q3251)</f>
        <v/>
      </c>
      <c r="K3256" s="46" t="str">
        <f>IFERROR(IF(OR(INPUT!P3251="",INPUT!Q3251=""),"",INPUT!P3251-INPUT!Q3251),"")</f>
        <v/>
      </c>
      <c r="L3256" s="48" t="str">
        <f>IFERROR(IF(OR(INPUT!P3251="",INPUT!Q3251="",INPUT!P3251=0),"",(INPUT!P3251-INPUT!Q3251)/INPUT!P3251),"")</f>
        <v/>
      </c>
    </row>
    <row r="3257" spans="1:12" ht="18" hidden="1" customHeight="1" x14ac:dyDescent="0.2">
      <c r="A3257" s="11" t="str">
        <f>IF(INPUT!M3252="","",INPUT!M3252)</f>
        <v/>
      </c>
      <c r="B3257" s="11" t="str">
        <f>IF(INPUT!M3252="","",INPUT!M3252-WEEKDAY(INPUT!M3252,2)+1)</f>
        <v/>
      </c>
      <c r="C3257" s="20">
        <f>IFERROR(_xlfn.ISOWEEKNUM(INPUT!M3252),"")</f>
        <v>52</v>
      </c>
      <c r="D3257" s="20">
        <f>IFERROR(YEAR(INPUT!M3252),"")</f>
        <v>1900</v>
      </c>
      <c r="E3257" t="str">
        <f>IF(INPUT!O3252="","",INPUT!O3252)</f>
        <v/>
      </c>
      <c r="F3257" t="str">
        <f>IF(INPUT!N3252="","",INPUT!N3252)</f>
        <v/>
      </c>
      <c r="G3257" cm="1">
        <f t="array" ref="G3257">IFERROR(VLOOKUP(INPUT!M3252&amp;INPUT!N3252,CHOOSE({1,2},INPUT!$A$3:$A$5000&amp;INPUT!$C$3:$C$5000,INPUT!$F$3:$F$5000),2,FALSE),"")</f>
        <v>0</v>
      </c>
      <c r="H3257" cm="1">
        <f t="array" ref="H3257">IFERROR(VLOOKUP(INPUT!M3252&amp;INPUT!N3252,CHOOSE({1,2},INPUT!$A$3:$A$5000&amp;INPUT!$C$3:$C$5000,INPUT!$D$3:$D$5000),2,FALSE),"")</f>
        <v>0</v>
      </c>
      <c r="I3257" s="46" t="str">
        <f>IF(INPUT!P3252="","",INPUT!P3252)</f>
        <v/>
      </c>
      <c r="J3257" s="46" t="str">
        <f>IF(INPUT!Q3252="","",INPUT!Q3252)</f>
        <v/>
      </c>
      <c r="K3257" s="46" t="str">
        <f>IFERROR(IF(OR(INPUT!P3252="",INPUT!Q3252=""),"",INPUT!P3252-INPUT!Q3252),"")</f>
        <v/>
      </c>
      <c r="L3257" s="48" t="str">
        <f>IFERROR(IF(OR(INPUT!P3252="",INPUT!Q3252="",INPUT!P3252=0),"",(INPUT!P3252-INPUT!Q3252)/INPUT!P3252),"")</f>
        <v/>
      </c>
    </row>
    <row r="3258" spans="1:12" ht="18" hidden="1" customHeight="1" x14ac:dyDescent="0.2">
      <c r="A3258" s="11" t="str">
        <f>IF(INPUT!M3253="","",INPUT!M3253)</f>
        <v/>
      </c>
      <c r="B3258" s="11" t="str">
        <f>IF(INPUT!M3253="","",INPUT!M3253-WEEKDAY(INPUT!M3253,2)+1)</f>
        <v/>
      </c>
      <c r="C3258" s="20">
        <f>IFERROR(_xlfn.ISOWEEKNUM(INPUT!M3253),"")</f>
        <v>52</v>
      </c>
      <c r="D3258" s="20">
        <f>IFERROR(YEAR(INPUT!M3253),"")</f>
        <v>1900</v>
      </c>
      <c r="E3258" t="str">
        <f>IF(INPUT!O3253="","",INPUT!O3253)</f>
        <v/>
      </c>
      <c r="F3258" t="str">
        <f>IF(INPUT!N3253="","",INPUT!N3253)</f>
        <v/>
      </c>
      <c r="G3258" cm="1">
        <f t="array" ref="G3258">IFERROR(VLOOKUP(INPUT!M3253&amp;INPUT!N3253,CHOOSE({1,2},INPUT!$A$3:$A$5000&amp;INPUT!$C$3:$C$5000,INPUT!$F$3:$F$5000),2,FALSE),"")</f>
        <v>0</v>
      </c>
      <c r="H3258" cm="1">
        <f t="array" ref="H3258">IFERROR(VLOOKUP(INPUT!M3253&amp;INPUT!N3253,CHOOSE({1,2},INPUT!$A$3:$A$5000&amp;INPUT!$C$3:$C$5000,INPUT!$D$3:$D$5000),2,FALSE),"")</f>
        <v>0</v>
      </c>
      <c r="I3258" s="46" t="str">
        <f>IF(INPUT!P3253="","",INPUT!P3253)</f>
        <v/>
      </c>
      <c r="J3258" s="46" t="str">
        <f>IF(INPUT!Q3253="","",INPUT!Q3253)</f>
        <v/>
      </c>
      <c r="K3258" s="46" t="str">
        <f>IFERROR(IF(OR(INPUT!P3253="",INPUT!Q3253=""),"",INPUT!P3253-INPUT!Q3253),"")</f>
        <v/>
      </c>
      <c r="L3258" s="48" t="str">
        <f>IFERROR(IF(OR(INPUT!P3253="",INPUT!Q3253="",INPUT!P3253=0),"",(INPUT!P3253-INPUT!Q3253)/INPUT!P3253),"")</f>
        <v/>
      </c>
    </row>
    <row r="3259" spans="1:12" ht="18" hidden="1" customHeight="1" x14ac:dyDescent="0.2">
      <c r="A3259" s="11" t="str">
        <f>IF(INPUT!M3254="","",INPUT!M3254)</f>
        <v/>
      </c>
      <c r="B3259" s="11" t="str">
        <f>IF(INPUT!M3254="","",INPUT!M3254-WEEKDAY(INPUT!M3254,2)+1)</f>
        <v/>
      </c>
      <c r="C3259" s="20">
        <f>IFERROR(_xlfn.ISOWEEKNUM(INPUT!M3254),"")</f>
        <v>52</v>
      </c>
      <c r="D3259" s="20">
        <f>IFERROR(YEAR(INPUT!M3254),"")</f>
        <v>1900</v>
      </c>
      <c r="E3259" t="str">
        <f>IF(INPUT!O3254="","",INPUT!O3254)</f>
        <v/>
      </c>
      <c r="F3259" t="str">
        <f>IF(INPUT!N3254="","",INPUT!N3254)</f>
        <v/>
      </c>
      <c r="G3259" cm="1">
        <f t="array" ref="G3259">IFERROR(VLOOKUP(INPUT!M3254&amp;INPUT!N3254,CHOOSE({1,2},INPUT!$A$3:$A$5000&amp;INPUT!$C$3:$C$5000,INPUT!$F$3:$F$5000),2,FALSE),"")</f>
        <v>0</v>
      </c>
      <c r="H3259" cm="1">
        <f t="array" ref="H3259">IFERROR(VLOOKUP(INPUT!M3254&amp;INPUT!N3254,CHOOSE({1,2},INPUT!$A$3:$A$5000&amp;INPUT!$C$3:$C$5000,INPUT!$D$3:$D$5000),2,FALSE),"")</f>
        <v>0</v>
      </c>
      <c r="I3259" s="46" t="str">
        <f>IF(INPUT!P3254="","",INPUT!P3254)</f>
        <v/>
      </c>
      <c r="J3259" s="46" t="str">
        <f>IF(INPUT!Q3254="","",INPUT!Q3254)</f>
        <v/>
      </c>
      <c r="K3259" s="46" t="str">
        <f>IFERROR(IF(OR(INPUT!P3254="",INPUT!Q3254=""),"",INPUT!P3254-INPUT!Q3254),"")</f>
        <v/>
      </c>
      <c r="L3259" s="48" t="str">
        <f>IFERROR(IF(OR(INPUT!P3254="",INPUT!Q3254="",INPUT!P3254=0),"",(INPUT!P3254-INPUT!Q3254)/INPUT!P3254),"")</f>
        <v/>
      </c>
    </row>
    <row r="3260" spans="1:12" ht="18" hidden="1" customHeight="1" x14ac:dyDescent="0.2">
      <c r="A3260" s="11" t="str">
        <f>IF(INPUT!M3255="","",INPUT!M3255)</f>
        <v/>
      </c>
      <c r="B3260" s="11" t="str">
        <f>IF(INPUT!M3255="","",INPUT!M3255-WEEKDAY(INPUT!M3255,2)+1)</f>
        <v/>
      </c>
      <c r="C3260" s="20">
        <f>IFERROR(_xlfn.ISOWEEKNUM(INPUT!M3255),"")</f>
        <v>52</v>
      </c>
      <c r="D3260" s="20">
        <f>IFERROR(YEAR(INPUT!M3255),"")</f>
        <v>1900</v>
      </c>
      <c r="E3260" t="str">
        <f>IF(INPUT!O3255="","",INPUT!O3255)</f>
        <v/>
      </c>
      <c r="F3260" t="str">
        <f>IF(INPUT!N3255="","",INPUT!N3255)</f>
        <v/>
      </c>
      <c r="G3260" cm="1">
        <f t="array" ref="G3260">IFERROR(VLOOKUP(INPUT!M3255&amp;INPUT!N3255,CHOOSE({1,2},INPUT!$A$3:$A$5000&amp;INPUT!$C$3:$C$5000,INPUT!$F$3:$F$5000),2,FALSE),"")</f>
        <v>0</v>
      </c>
      <c r="H3260" cm="1">
        <f t="array" ref="H3260">IFERROR(VLOOKUP(INPUT!M3255&amp;INPUT!N3255,CHOOSE({1,2},INPUT!$A$3:$A$5000&amp;INPUT!$C$3:$C$5000,INPUT!$D$3:$D$5000),2,FALSE),"")</f>
        <v>0</v>
      </c>
      <c r="I3260" s="46" t="str">
        <f>IF(INPUT!P3255="","",INPUT!P3255)</f>
        <v/>
      </c>
      <c r="J3260" s="46" t="str">
        <f>IF(INPUT!Q3255="","",INPUT!Q3255)</f>
        <v/>
      </c>
      <c r="K3260" s="46" t="str">
        <f>IFERROR(IF(OR(INPUT!P3255="",INPUT!Q3255=""),"",INPUT!P3255-INPUT!Q3255),"")</f>
        <v/>
      </c>
      <c r="L3260" s="48" t="str">
        <f>IFERROR(IF(OR(INPUT!P3255="",INPUT!Q3255="",INPUT!P3255=0),"",(INPUT!P3255-INPUT!Q3255)/INPUT!P3255),"")</f>
        <v/>
      </c>
    </row>
    <row r="3261" spans="1:12" ht="18" hidden="1" customHeight="1" x14ac:dyDescent="0.2">
      <c r="A3261" s="11" t="str">
        <f>IF(INPUT!M3256="","",INPUT!M3256)</f>
        <v/>
      </c>
      <c r="B3261" s="11" t="str">
        <f>IF(INPUT!M3256="","",INPUT!M3256-WEEKDAY(INPUT!M3256,2)+1)</f>
        <v/>
      </c>
      <c r="C3261" s="20">
        <f>IFERROR(_xlfn.ISOWEEKNUM(INPUT!M3256),"")</f>
        <v>52</v>
      </c>
      <c r="D3261" s="20">
        <f>IFERROR(YEAR(INPUT!M3256),"")</f>
        <v>1900</v>
      </c>
      <c r="E3261" t="str">
        <f>IF(INPUT!O3256="","",INPUT!O3256)</f>
        <v/>
      </c>
      <c r="F3261" t="str">
        <f>IF(INPUT!N3256="","",INPUT!N3256)</f>
        <v/>
      </c>
      <c r="G3261" cm="1">
        <f t="array" ref="G3261">IFERROR(VLOOKUP(INPUT!M3256&amp;INPUT!N3256,CHOOSE({1,2},INPUT!$A$3:$A$5000&amp;INPUT!$C$3:$C$5000,INPUT!$F$3:$F$5000),2,FALSE),"")</f>
        <v>0</v>
      </c>
      <c r="H3261" cm="1">
        <f t="array" ref="H3261">IFERROR(VLOOKUP(INPUT!M3256&amp;INPUT!N3256,CHOOSE({1,2},INPUT!$A$3:$A$5000&amp;INPUT!$C$3:$C$5000,INPUT!$D$3:$D$5000),2,FALSE),"")</f>
        <v>0</v>
      </c>
      <c r="I3261" s="46" t="str">
        <f>IF(INPUT!P3256="","",INPUT!P3256)</f>
        <v/>
      </c>
      <c r="J3261" s="46" t="str">
        <f>IF(INPUT!Q3256="","",INPUT!Q3256)</f>
        <v/>
      </c>
      <c r="K3261" s="46" t="str">
        <f>IFERROR(IF(OR(INPUT!P3256="",INPUT!Q3256=""),"",INPUT!P3256-INPUT!Q3256),"")</f>
        <v/>
      </c>
      <c r="L3261" s="48" t="str">
        <f>IFERROR(IF(OR(INPUT!P3256="",INPUT!Q3256="",INPUT!P3256=0),"",(INPUT!P3256-INPUT!Q3256)/INPUT!P3256),"")</f>
        <v/>
      </c>
    </row>
    <row r="3262" spans="1:12" ht="18" hidden="1" customHeight="1" x14ac:dyDescent="0.2">
      <c r="A3262" s="11" t="str">
        <f>IF(INPUT!M3257="","",INPUT!M3257)</f>
        <v/>
      </c>
      <c r="B3262" s="11" t="str">
        <f>IF(INPUT!M3257="","",INPUT!M3257-WEEKDAY(INPUT!M3257,2)+1)</f>
        <v/>
      </c>
      <c r="C3262" s="20">
        <f>IFERROR(_xlfn.ISOWEEKNUM(INPUT!M3257),"")</f>
        <v>52</v>
      </c>
      <c r="D3262" s="20">
        <f>IFERROR(YEAR(INPUT!M3257),"")</f>
        <v>1900</v>
      </c>
      <c r="E3262" t="str">
        <f>IF(INPUT!O3257="","",INPUT!O3257)</f>
        <v/>
      </c>
      <c r="F3262" t="str">
        <f>IF(INPUT!N3257="","",INPUT!N3257)</f>
        <v/>
      </c>
      <c r="G3262" cm="1">
        <f t="array" ref="G3262">IFERROR(VLOOKUP(INPUT!M3257&amp;INPUT!N3257,CHOOSE({1,2},INPUT!$A$3:$A$5000&amp;INPUT!$C$3:$C$5000,INPUT!$F$3:$F$5000),2,FALSE),"")</f>
        <v>0</v>
      </c>
      <c r="H3262" cm="1">
        <f t="array" ref="H3262">IFERROR(VLOOKUP(INPUT!M3257&amp;INPUT!N3257,CHOOSE({1,2},INPUT!$A$3:$A$5000&amp;INPUT!$C$3:$C$5000,INPUT!$D$3:$D$5000),2,FALSE),"")</f>
        <v>0</v>
      </c>
      <c r="I3262" s="46" t="str">
        <f>IF(INPUT!P3257="","",INPUT!P3257)</f>
        <v/>
      </c>
      <c r="J3262" s="46" t="str">
        <f>IF(INPUT!Q3257="","",INPUT!Q3257)</f>
        <v/>
      </c>
      <c r="K3262" s="46" t="str">
        <f>IFERROR(IF(OR(INPUT!P3257="",INPUT!Q3257=""),"",INPUT!P3257-INPUT!Q3257),"")</f>
        <v/>
      </c>
      <c r="L3262" s="48" t="str">
        <f>IFERROR(IF(OR(INPUT!P3257="",INPUT!Q3257="",INPUT!P3257=0),"",(INPUT!P3257-INPUT!Q3257)/INPUT!P3257),"")</f>
        <v/>
      </c>
    </row>
    <row r="3263" spans="1:12" ht="18" hidden="1" customHeight="1" x14ac:dyDescent="0.2">
      <c r="A3263" s="11" t="str">
        <f>IF(INPUT!M3258="","",INPUT!M3258)</f>
        <v/>
      </c>
      <c r="B3263" s="11" t="str">
        <f>IF(INPUT!M3258="","",INPUT!M3258-WEEKDAY(INPUT!M3258,2)+1)</f>
        <v/>
      </c>
      <c r="C3263" s="20">
        <f>IFERROR(_xlfn.ISOWEEKNUM(INPUT!M3258),"")</f>
        <v>52</v>
      </c>
      <c r="D3263" s="20">
        <f>IFERROR(YEAR(INPUT!M3258),"")</f>
        <v>1900</v>
      </c>
      <c r="E3263" t="str">
        <f>IF(INPUT!O3258="","",INPUT!O3258)</f>
        <v/>
      </c>
      <c r="F3263" t="str">
        <f>IF(INPUT!N3258="","",INPUT!N3258)</f>
        <v/>
      </c>
      <c r="G3263" cm="1">
        <f t="array" ref="G3263">IFERROR(VLOOKUP(INPUT!M3258&amp;INPUT!N3258,CHOOSE({1,2},INPUT!$A$3:$A$5000&amp;INPUT!$C$3:$C$5000,INPUT!$F$3:$F$5000),2,FALSE),"")</f>
        <v>0</v>
      </c>
      <c r="H3263" cm="1">
        <f t="array" ref="H3263">IFERROR(VLOOKUP(INPUT!M3258&amp;INPUT!N3258,CHOOSE({1,2},INPUT!$A$3:$A$5000&amp;INPUT!$C$3:$C$5000,INPUT!$D$3:$D$5000),2,FALSE),"")</f>
        <v>0</v>
      </c>
      <c r="I3263" s="46" t="str">
        <f>IF(INPUT!P3258="","",INPUT!P3258)</f>
        <v/>
      </c>
      <c r="J3263" s="46" t="str">
        <f>IF(INPUT!Q3258="","",INPUT!Q3258)</f>
        <v/>
      </c>
      <c r="K3263" s="46" t="str">
        <f>IFERROR(IF(OR(INPUT!P3258="",INPUT!Q3258=""),"",INPUT!P3258-INPUT!Q3258),"")</f>
        <v/>
      </c>
      <c r="L3263" s="48" t="str">
        <f>IFERROR(IF(OR(INPUT!P3258="",INPUT!Q3258="",INPUT!P3258=0),"",(INPUT!P3258-INPUT!Q3258)/INPUT!P3258),"")</f>
        <v/>
      </c>
    </row>
    <row r="3264" spans="1:12" ht="18" hidden="1" customHeight="1" x14ac:dyDescent="0.2">
      <c r="A3264" s="11" t="str">
        <f>IF(INPUT!M3259="","",INPUT!M3259)</f>
        <v/>
      </c>
      <c r="B3264" s="11" t="str">
        <f>IF(INPUT!M3259="","",INPUT!M3259-WEEKDAY(INPUT!M3259,2)+1)</f>
        <v/>
      </c>
      <c r="C3264" s="20">
        <f>IFERROR(_xlfn.ISOWEEKNUM(INPUT!M3259),"")</f>
        <v>52</v>
      </c>
      <c r="D3264" s="20">
        <f>IFERROR(YEAR(INPUT!M3259),"")</f>
        <v>1900</v>
      </c>
      <c r="E3264" t="str">
        <f>IF(INPUT!O3259="","",INPUT!O3259)</f>
        <v/>
      </c>
      <c r="F3264" t="str">
        <f>IF(INPUT!N3259="","",INPUT!N3259)</f>
        <v/>
      </c>
      <c r="G3264" cm="1">
        <f t="array" ref="G3264">IFERROR(VLOOKUP(INPUT!M3259&amp;INPUT!N3259,CHOOSE({1,2},INPUT!$A$3:$A$5000&amp;INPUT!$C$3:$C$5000,INPUT!$F$3:$F$5000),2,FALSE),"")</f>
        <v>0</v>
      </c>
      <c r="H3264" cm="1">
        <f t="array" ref="H3264">IFERROR(VLOOKUP(INPUT!M3259&amp;INPUT!N3259,CHOOSE({1,2},INPUT!$A$3:$A$5000&amp;INPUT!$C$3:$C$5000,INPUT!$D$3:$D$5000),2,FALSE),"")</f>
        <v>0</v>
      </c>
      <c r="I3264" s="46" t="str">
        <f>IF(INPUT!P3259="","",INPUT!P3259)</f>
        <v/>
      </c>
      <c r="J3264" s="46" t="str">
        <f>IF(INPUT!Q3259="","",INPUT!Q3259)</f>
        <v/>
      </c>
      <c r="K3264" s="46" t="str">
        <f>IFERROR(IF(OR(INPUT!P3259="",INPUT!Q3259=""),"",INPUT!P3259-INPUT!Q3259),"")</f>
        <v/>
      </c>
      <c r="L3264" s="48" t="str">
        <f>IFERROR(IF(OR(INPUT!P3259="",INPUT!Q3259="",INPUT!P3259=0),"",(INPUT!P3259-INPUT!Q3259)/INPUT!P3259),"")</f>
        <v/>
      </c>
    </row>
    <row r="3265" spans="1:12" ht="18" hidden="1" customHeight="1" x14ac:dyDescent="0.2">
      <c r="A3265" s="11" t="str">
        <f>IF(INPUT!M3260="","",INPUT!M3260)</f>
        <v/>
      </c>
      <c r="B3265" s="11" t="str">
        <f>IF(INPUT!M3260="","",INPUT!M3260-WEEKDAY(INPUT!M3260,2)+1)</f>
        <v/>
      </c>
      <c r="C3265" s="20">
        <f>IFERROR(_xlfn.ISOWEEKNUM(INPUT!M3260),"")</f>
        <v>52</v>
      </c>
      <c r="D3265" s="20">
        <f>IFERROR(YEAR(INPUT!M3260),"")</f>
        <v>1900</v>
      </c>
      <c r="E3265" t="str">
        <f>IF(INPUT!O3260="","",INPUT!O3260)</f>
        <v/>
      </c>
      <c r="F3265" t="str">
        <f>IF(INPUT!N3260="","",INPUT!N3260)</f>
        <v/>
      </c>
      <c r="G3265" cm="1">
        <f t="array" ref="G3265">IFERROR(VLOOKUP(INPUT!M3260&amp;INPUT!N3260,CHOOSE({1,2},INPUT!$A$3:$A$5000&amp;INPUT!$C$3:$C$5000,INPUT!$F$3:$F$5000),2,FALSE),"")</f>
        <v>0</v>
      </c>
      <c r="H3265" cm="1">
        <f t="array" ref="H3265">IFERROR(VLOOKUP(INPUT!M3260&amp;INPUT!N3260,CHOOSE({1,2},INPUT!$A$3:$A$5000&amp;INPUT!$C$3:$C$5000,INPUT!$D$3:$D$5000),2,FALSE),"")</f>
        <v>0</v>
      </c>
      <c r="I3265" s="46" t="str">
        <f>IF(INPUT!P3260="","",INPUT!P3260)</f>
        <v/>
      </c>
      <c r="J3265" s="46" t="str">
        <f>IF(INPUT!Q3260="","",INPUT!Q3260)</f>
        <v/>
      </c>
      <c r="K3265" s="46" t="str">
        <f>IFERROR(IF(OR(INPUT!P3260="",INPUT!Q3260=""),"",INPUT!P3260-INPUT!Q3260),"")</f>
        <v/>
      </c>
      <c r="L3265" s="48" t="str">
        <f>IFERROR(IF(OR(INPUT!P3260="",INPUT!Q3260="",INPUT!P3260=0),"",(INPUT!P3260-INPUT!Q3260)/INPUT!P3260),"")</f>
        <v/>
      </c>
    </row>
    <row r="3266" spans="1:12" ht="18" hidden="1" customHeight="1" x14ac:dyDescent="0.2">
      <c r="A3266" s="11" t="str">
        <f>IF(INPUT!M3261="","",INPUT!M3261)</f>
        <v/>
      </c>
      <c r="B3266" s="11" t="str">
        <f>IF(INPUT!M3261="","",INPUT!M3261-WEEKDAY(INPUT!M3261,2)+1)</f>
        <v/>
      </c>
      <c r="C3266" s="20">
        <f>IFERROR(_xlfn.ISOWEEKNUM(INPUT!M3261),"")</f>
        <v>52</v>
      </c>
      <c r="D3266" s="20">
        <f>IFERROR(YEAR(INPUT!M3261),"")</f>
        <v>1900</v>
      </c>
      <c r="E3266" t="str">
        <f>IF(INPUT!O3261="","",INPUT!O3261)</f>
        <v/>
      </c>
      <c r="F3266" t="str">
        <f>IF(INPUT!N3261="","",INPUT!N3261)</f>
        <v/>
      </c>
      <c r="G3266" cm="1">
        <f t="array" ref="G3266">IFERROR(VLOOKUP(INPUT!M3261&amp;INPUT!N3261,CHOOSE({1,2},INPUT!$A$3:$A$5000&amp;INPUT!$C$3:$C$5000,INPUT!$F$3:$F$5000),2,FALSE),"")</f>
        <v>0</v>
      </c>
      <c r="H3266" cm="1">
        <f t="array" ref="H3266">IFERROR(VLOOKUP(INPUT!M3261&amp;INPUT!N3261,CHOOSE({1,2},INPUT!$A$3:$A$5000&amp;INPUT!$C$3:$C$5000,INPUT!$D$3:$D$5000),2,FALSE),"")</f>
        <v>0</v>
      </c>
      <c r="I3266" s="46" t="str">
        <f>IF(INPUT!P3261="","",INPUT!P3261)</f>
        <v/>
      </c>
      <c r="J3266" s="46" t="str">
        <f>IF(INPUT!Q3261="","",INPUT!Q3261)</f>
        <v/>
      </c>
      <c r="K3266" s="46" t="str">
        <f>IFERROR(IF(OR(INPUT!P3261="",INPUT!Q3261=""),"",INPUT!P3261-INPUT!Q3261),"")</f>
        <v/>
      </c>
      <c r="L3266" s="48" t="str">
        <f>IFERROR(IF(OR(INPUT!P3261="",INPUT!Q3261="",INPUT!P3261=0),"",(INPUT!P3261-INPUT!Q3261)/INPUT!P3261),"")</f>
        <v/>
      </c>
    </row>
    <row r="3267" spans="1:12" ht="18" hidden="1" customHeight="1" x14ac:dyDescent="0.2">
      <c r="A3267" s="11" t="str">
        <f>IF(INPUT!M3262="","",INPUT!M3262)</f>
        <v/>
      </c>
      <c r="B3267" s="11" t="str">
        <f>IF(INPUT!M3262="","",INPUT!M3262-WEEKDAY(INPUT!M3262,2)+1)</f>
        <v/>
      </c>
      <c r="C3267" s="20">
        <f>IFERROR(_xlfn.ISOWEEKNUM(INPUT!M3262),"")</f>
        <v>52</v>
      </c>
      <c r="D3267" s="20">
        <f>IFERROR(YEAR(INPUT!M3262),"")</f>
        <v>1900</v>
      </c>
      <c r="E3267" t="str">
        <f>IF(INPUT!O3262="","",INPUT!O3262)</f>
        <v/>
      </c>
      <c r="F3267" t="str">
        <f>IF(INPUT!N3262="","",INPUT!N3262)</f>
        <v/>
      </c>
      <c r="G3267" cm="1">
        <f t="array" ref="G3267">IFERROR(VLOOKUP(INPUT!M3262&amp;INPUT!N3262,CHOOSE({1,2},INPUT!$A$3:$A$5000&amp;INPUT!$C$3:$C$5000,INPUT!$F$3:$F$5000),2,FALSE),"")</f>
        <v>0</v>
      </c>
      <c r="H3267" cm="1">
        <f t="array" ref="H3267">IFERROR(VLOOKUP(INPUT!M3262&amp;INPUT!N3262,CHOOSE({1,2},INPUT!$A$3:$A$5000&amp;INPUT!$C$3:$C$5000,INPUT!$D$3:$D$5000),2,FALSE),"")</f>
        <v>0</v>
      </c>
      <c r="I3267" s="46" t="str">
        <f>IF(INPUT!P3262="","",INPUT!P3262)</f>
        <v/>
      </c>
      <c r="J3267" s="46" t="str">
        <f>IF(INPUT!Q3262="","",INPUT!Q3262)</f>
        <v/>
      </c>
      <c r="K3267" s="46" t="str">
        <f>IFERROR(IF(OR(INPUT!P3262="",INPUT!Q3262=""),"",INPUT!P3262-INPUT!Q3262),"")</f>
        <v/>
      </c>
      <c r="L3267" s="48" t="str">
        <f>IFERROR(IF(OR(INPUT!P3262="",INPUT!Q3262="",INPUT!P3262=0),"",(INPUT!P3262-INPUT!Q3262)/INPUT!P3262),"")</f>
        <v/>
      </c>
    </row>
    <row r="3268" spans="1:12" ht="18" hidden="1" customHeight="1" x14ac:dyDescent="0.2">
      <c r="A3268" s="11" t="str">
        <f>IF(INPUT!M3263="","",INPUT!M3263)</f>
        <v/>
      </c>
      <c r="B3268" s="11" t="str">
        <f>IF(INPUT!M3263="","",INPUT!M3263-WEEKDAY(INPUT!M3263,2)+1)</f>
        <v/>
      </c>
      <c r="C3268" s="20">
        <f>IFERROR(_xlfn.ISOWEEKNUM(INPUT!M3263),"")</f>
        <v>52</v>
      </c>
      <c r="D3268" s="20">
        <f>IFERROR(YEAR(INPUT!M3263),"")</f>
        <v>1900</v>
      </c>
      <c r="E3268" t="str">
        <f>IF(INPUT!O3263="","",INPUT!O3263)</f>
        <v/>
      </c>
      <c r="F3268" t="str">
        <f>IF(INPUT!N3263="","",INPUT!N3263)</f>
        <v/>
      </c>
      <c r="G3268" cm="1">
        <f t="array" ref="G3268">IFERROR(VLOOKUP(INPUT!M3263&amp;INPUT!N3263,CHOOSE({1,2},INPUT!$A$3:$A$5000&amp;INPUT!$C$3:$C$5000,INPUT!$F$3:$F$5000),2,FALSE),"")</f>
        <v>0</v>
      </c>
      <c r="H3268" cm="1">
        <f t="array" ref="H3268">IFERROR(VLOOKUP(INPUT!M3263&amp;INPUT!N3263,CHOOSE({1,2},INPUT!$A$3:$A$5000&amp;INPUT!$C$3:$C$5000,INPUT!$D$3:$D$5000),2,FALSE),"")</f>
        <v>0</v>
      </c>
      <c r="I3268" s="46" t="str">
        <f>IF(INPUT!P3263="","",INPUT!P3263)</f>
        <v/>
      </c>
      <c r="J3268" s="46" t="str">
        <f>IF(INPUT!Q3263="","",INPUT!Q3263)</f>
        <v/>
      </c>
      <c r="K3268" s="46" t="str">
        <f>IFERROR(IF(OR(INPUT!P3263="",INPUT!Q3263=""),"",INPUT!P3263-INPUT!Q3263),"")</f>
        <v/>
      </c>
      <c r="L3268" s="48" t="str">
        <f>IFERROR(IF(OR(INPUT!P3263="",INPUT!Q3263="",INPUT!P3263=0),"",(INPUT!P3263-INPUT!Q3263)/INPUT!P3263),"")</f>
        <v/>
      </c>
    </row>
    <row r="3269" spans="1:12" ht="18" hidden="1" customHeight="1" x14ac:dyDescent="0.2">
      <c r="A3269" s="11" t="str">
        <f>IF(INPUT!M3264="","",INPUT!M3264)</f>
        <v/>
      </c>
      <c r="B3269" s="11" t="str">
        <f>IF(INPUT!M3264="","",INPUT!M3264-WEEKDAY(INPUT!M3264,2)+1)</f>
        <v/>
      </c>
      <c r="C3269" s="20">
        <f>IFERROR(_xlfn.ISOWEEKNUM(INPUT!M3264),"")</f>
        <v>52</v>
      </c>
      <c r="D3269" s="20">
        <f>IFERROR(YEAR(INPUT!M3264),"")</f>
        <v>1900</v>
      </c>
      <c r="E3269" t="str">
        <f>IF(INPUT!O3264="","",INPUT!O3264)</f>
        <v/>
      </c>
      <c r="F3269" t="str">
        <f>IF(INPUT!N3264="","",INPUT!N3264)</f>
        <v/>
      </c>
      <c r="G3269" cm="1">
        <f t="array" ref="G3269">IFERROR(VLOOKUP(INPUT!M3264&amp;INPUT!N3264,CHOOSE({1,2},INPUT!$A$3:$A$5000&amp;INPUT!$C$3:$C$5000,INPUT!$F$3:$F$5000),2,FALSE),"")</f>
        <v>0</v>
      </c>
      <c r="H3269" cm="1">
        <f t="array" ref="H3269">IFERROR(VLOOKUP(INPUT!M3264&amp;INPUT!N3264,CHOOSE({1,2},INPUT!$A$3:$A$5000&amp;INPUT!$C$3:$C$5000,INPUT!$D$3:$D$5000),2,FALSE),"")</f>
        <v>0</v>
      </c>
      <c r="I3269" s="46" t="str">
        <f>IF(INPUT!P3264="","",INPUT!P3264)</f>
        <v/>
      </c>
      <c r="J3269" s="46" t="str">
        <f>IF(INPUT!Q3264="","",INPUT!Q3264)</f>
        <v/>
      </c>
      <c r="K3269" s="46" t="str">
        <f>IFERROR(IF(OR(INPUT!P3264="",INPUT!Q3264=""),"",INPUT!P3264-INPUT!Q3264),"")</f>
        <v/>
      </c>
      <c r="L3269" s="48" t="str">
        <f>IFERROR(IF(OR(INPUT!P3264="",INPUT!Q3264="",INPUT!P3264=0),"",(INPUT!P3264-INPUT!Q3264)/INPUT!P3264),"")</f>
        <v/>
      </c>
    </row>
    <row r="3270" spans="1:12" ht="18" hidden="1" customHeight="1" x14ac:dyDescent="0.2">
      <c r="A3270" s="11" t="str">
        <f>IF(INPUT!M3265="","",INPUT!M3265)</f>
        <v/>
      </c>
      <c r="B3270" s="11" t="str">
        <f>IF(INPUT!M3265="","",INPUT!M3265-WEEKDAY(INPUT!M3265,2)+1)</f>
        <v/>
      </c>
      <c r="C3270" s="20">
        <f>IFERROR(_xlfn.ISOWEEKNUM(INPUT!M3265),"")</f>
        <v>52</v>
      </c>
      <c r="D3270" s="20">
        <f>IFERROR(YEAR(INPUT!M3265),"")</f>
        <v>1900</v>
      </c>
      <c r="E3270" t="str">
        <f>IF(INPUT!O3265="","",INPUT!O3265)</f>
        <v/>
      </c>
      <c r="F3270" t="str">
        <f>IF(INPUT!N3265="","",INPUT!N3265)</f>
        <v/>
      </c>
      <c r="G3270" cm="1">
        <f t="array" ref="G3270">IFERROR(VLOOKUP(INPUT!M3265&amp;INPUT!N3265,CHOOSE({1,2},INPUT!$A$3:$A$5000&amp;INPUT!$C$3:$C$5000,INPUT!$F$3:$F$5000),2,FALSE),"")</f>
        <v>0</v>
      </c>
      <c r="H3270" cm="1">
        <f t="array" ref="H3270">IFERROR(VLOOKUP(INPUT!M3265&amp;INPUT!N3265,CHOOSE({1,2},INPUT!$A$3:$A$5000&amp;INPUT!$C$3:$C$5000,INPUT!$D$3:$D$5000),2,FALSE),"")</f>
        <v>0</v>
      </c>
      <c r="I3270" s="46" t="str">
        <f>IF(INPUT!P3265="","",INPUT!P3265)</f>
        <v/>
      </c>
      <c r="J3270" s="46" t="str">
        <f>IF(INPUT!Q3265="","",INPUT!Q3265)</f>
        <v/>
      </c>
      <c r="K3270" s="46" t="str">
        <f>IFERROR(IF(OR(INPUT!P3265="",INPUT!Q3265=""),"",INPUT!P3265-INPUT!Q3265),"")</f>
        <v/>
      </c>
      <c r="L3270" s="48" t="str">
        <f>IFERROR(IF(OR(INPUT!P3265="",INPUT!Q3265="",INPUT!P3265=0),"",(INPUT!P3265-INPUT!Q3265)/INPUT!P3265),"")</f>
        <v/>
      </c>
    </row>
    <row r="3271" spans="1:12" ht="18" hidden="1" customHeight="1" x14ac:dyDescent="0.2">
      <c r="A3271" s="11" t="str">
        <f>IF(INPUT!M3266="","",INPUT!M3266)</f>
        <v/>
      </c>
      <c r="B3271" s="11" t="str">
        <f>IF(INPUT!M3266="","",INPUT!M3266-WEEKDAY(INPUT!M3266,2)+1)</f>
        <v/>
      </c>
      <c r="C3271" s="20">
        <f>IFERROR(_xlfn.ISOWEEKNUM(INPUT!M3266),"")</f>
        <v>52</v>
      </c>
      <c r="D3271" s="20">
        <f>IFERROR(YEAR(INPUT!M3266),"")</f>
        <v>1900</v>
      </c>
      <c r="E3271" t="str">
        <f>IF(INPUT!O3266="","",INPUT!O3266)</f>
        <v/>
      </c>
      <c r="F3271" t="str">
        <f>IF(INPUT!N3266="","",INPUT!N3266)</f>
        <v/>
      </c>
      <c r="G3271" cm="1">
        <f t="array" ref="G3271">IFERROR(VLOOKUP(INPUT!M3266&amp;INPUT!N3266,CHOOSE({1,2},INPUT!$A$3:$A$5000&amp;INPUT!$C$3:$C$5000,INPUT!$F$3:$F$5000),2,FALSE),"")</f>
        <v>0</v>
      </c>
      <c r="H3271" cm="1">
        <f t="array" ref="H3271">IFERROR(VLOOKUP(INPUT!M3266&amp;INPUT!N3266,CHOOSE({1,2},INPUT!$A$3:$A$5000&amp;INPUT!$C$3:$C$5000,INPUT!$D$3:$D$5000),2,FALSE),"")</f>
        <v>0</v>
      </c>
      <c r="I3271" s="46" t="str">
        <f>IF(INPUT!P3266="","",INPUT!P3266)</f>
        <v/>
      </c>
      <c r="J3271" s="46" t="str">
        <f>IF(INPUT!Q3266="","",INPUT!Q3266)</f>
        <v/>
      </c>
      <c r="K3271" s="46" t="str">
        <f>IFERROR(IF(OR(INPUT!P3266="",INPUT!Q3266=""),"",INPUT!P3266-INPUT!Q3266),"")</f>
        <v/>
      </c>
      <c r="L3271" s="48" t="str">
        <f>IFERROR(IF(OR(INPUT!P3266="",INPUT!Q3266="",INPUT!P3266=0),"",(INPUT!P3266-INPUT!Q3266)/INPUT!P3266),"")</f>
        <v/>
      </c>
    </row>
    <row r="3272" spans="1:12" ht="18" hidden="1" customHeight="1" x14ac:dyDescent="0.2">
      <c r="A3272" s="11" t="str">
        <f>IF(INPUT!M3267="","",INPUT!M3267)</f>
        <v/>
      </c>
      <c r="B3272" s="11" t="str">
        <f>IF(INPUT!M3267="","",INPUT!M3267-WEEKDAY(INPUT!M3267,2)+1)</f>
        <v/>
      </c>
      <c r="C3272" s="20">
        <f>IFERROR(_xlfn.ISOWEEKNUM(INPUT!M3267),"")</f>
        <v>52</v>
      </c>
      <c r="D3272" s="20">
        <f>IFERROR(YEAR(INPUT!M3267),"")</f>
        <v>1900</v>
      </c>
      <c r="E3272" t="str">
        <f>IF(INPUT!O3267="","",INPUT!O3267)</f>
        <v/>
      </c>
      <c r="F3272" t="str">
        <f>IF(INPUT!N3267="","",INPUT!N3267)</f>
        <v/>
      </c>
      <c r="G3272" cm="1">
        <f t="array" ref="G3272">IFERROR(VLOOKUP(INPUT!M3267&amp;INPUT!N3267,CHOOSE({1,2},INPUT!$A$3:$A$5000&amp;INPUT!$C$3:$C$5000,INPUT!$F$3:$F$5000),2,FALSE),"")</f>
        <v>0</v>
      </c>
      <c r="H3272" cm="1">
        <f t="array" ref="H3272">IFERROR(VLOOKUP(INPUT!M3267&amp;INPUT!N3267,CHOOSE({1,2},INPUT!$A$3:$A$5000&amp;INPUT!$C$3:$C$5000,INPUT!$D$3:$D$5000),2,FALSE),"")</f>
        <v>0</v>
      </c>
      <c r="I3272" s="46" t="str">
        <f>IF(INPUT!P3267="","",INPUT!P3267)</f>
        <v/>
      </c>
      <c r="J3272" s="46" t="str">
        <f>IF(INPUT!Q3267="","",INPUT!Q3267)</f>
        <v/>
      </c>
      <c r="K3272" s="46" t="str">
        <f>IFERROR(IF(OR(INPUT!P3267="",INPUT!Q3267=""),"",INPUT!P3267-INPUT!Q3267),"")</f>
        <v/>
      </c>
      <c r="L3272" s="48" t="str">
        <f>IFERROR(IF(OR(INPUT!P3267="",INPUT!Q3267="",INPUT!P3267=0),"",(INPUT!P3267-INPUT!Q3267)/INPUT!P3267),"")</f>
        <v/>
      </c>
    </row>
    <row r="3273" spans="1:12" ht="18" hidden="1" customHeight="1" x14ac:dyDescent="0.2">
      <c r="A3273" s="11" t="str">
        <f>IF(INPUT!M3268="","",INPUT!M3268)</f>
        <v/>
      </c>
      <c r="B3273" s="11" t="str">
        <f>IF(INPUT!M3268="","",INPUT!M3268-WEEKDAY(INPUT!M3268,2)+1)</f>
        <v/>
      </c>
      <c r="C3273" s="20">
        <f>IFERROR(_xlfn.ISOWEEKNUM(INPUT!M3268),"")</f>
        <v>52</v>
      </c>
      <c r="D3273" s="20">
        <f>IFERROR(YEAR(INPUT!M3268),"")</f>
        <v>1900</v>
      </c>
      <c r="E3273" t="str">
        <f>IF(INPUT!O3268="","",INPUT!O3268)</f>
        <v/>
      </c>
      <c r="F3273" t="str">
        <f>IF(INPUT!N3268="","",INPUT!N3268)</f>
        <v/>
      </c>
      <c r="G3273" cm="1">
        <f t="array" ref="G3273">IFERROR(VLOOKUP(INPUT!M3268&amp;INPUT!N3268,CHOOSE({1,2},INPUT!$A$3:$A$5000&amp;INPUT!$C$3:$C$5000,INPUT!$F$3:$F$5000),2,FALSE),"")</f>
        <v>0</v>
      </c>
      <c r="H3273" cm="1">
        <f t="array" ref="H3273">IFERROR(VLOOKUP(INPUT!M3268&amp;INPUT!N3268,CHOOSE({1,2},INPUT!$A$3:$A$5000&amp;INPUT!$C$3:$C$5000,INPUT!$D$3:$D$5000),2,FALSE),"")</f>
        <v>0</v>
      </c>
      <c r="I3273" s="46" t="str">
        <f>IF(INPUT!P3268="","",INPUT!P3268)</f>
        <v/>
      </c>
      <c r="J3273" s="46" t="str">
        <f>IF(INPUT!Q3268="","",INPUT!Q3268)</f>
        <v/>
      </c>
      <c r="K3273" s="46" t="str">
        <f>IFERROR(IF(OR(INPUT!P3268="",INPUT!Q3268=""),"",INPUT!P3268-INPUT!Q3268),"")</f>
        <v/>
      </c>
      <c r="L3273" s="48" t="str">
        <f>IFERROR(IF(OR(INPUT!P3268="",INPUT!Q3268="",INPUT!P3268=0),"",(INPUT!P3268-INPUT!Q3268)/INPUT!P3268),"")</f>
        <v/>
      </c>
    </row>
    <row r="3274" spans="1:12" ht="18" hidden="1" customHeight="1" x14ac:dyDescent="0.2">
      <c r="A3274" s="11" t="str">
        <f>IF(INPUT!M3269="","",INPUT!M3269)</f>
        <v/>
      </c>
      <c r="B3274" s="11" t="str">
        <f>IF(INPUT!M3269="","",INPUT!M3269-WEEKDAY(INPUT!M3269,2)+1)</f>
        <v/>
      </c>
      <c r="C3274" s="20">
        <f>IFERROR(_xlfn.ISOWEEKNUM(INPUT!M3269),"")</f>
        <v>52</v>
      </c>
      <c r="D3274" s="20">
        <f>IFERROR(YEAR(INPUT!M3269),"")</f>
        <v>1900</v>
      </c>
      <c r="E3274" t="str">
        <f>IF(INPUT!O3269="","",INPUT!O3269)</f>
        <v/>
      </c>
      <c r="F3274" t="str">
        <f>IF(INPUT!N3269="","",INPUT!N3269)</f>
        <v/>
      </c>
      <c r="G3274" cm="1">
        <f t="array" ref="G3274">IFERROR(VLOOKUP(INPUT!M3269&amp;INPUT!N3269,CHOOSE({1,2},INPUT!$A$3:$A$5000&amp;INPUT!$C$3:$C$5000,INPUT!$F$3:$F$5000),2,FALSE),"")</f>
        <v>0</v>
      </c>
      <c r="H3274" cm="1">
        <f t="array" ref="H3274">IFERROR(VLOOKUP(INPUT!M3269&amp;INPUT!N3269,CHOOSE({1,2},INPUT!$A$3:$A$5000&amp;INPUT!$C$3:$C$5000,INPUT!$D$3:$D$5000),2,FALSE),"")</f>
        <v>0</v>
      </c>
      <c r="I3274" s="46" t="str">
        <f>IF(INPUT!P3269="","",INPUT!P3269)</f>
        <v/>
      </c>
      <c r="J3274" s="46" t="str">
        <f>IF(INPUT!Q3269="","",INPUT!Q3269)</f>
        <v/>
      </c>
      <c r="K3274" s="46" t="str">
        <f>IFERROR(IF(OR(INPUT!P3269="",INPUT!Q3269=""),"",INPUT!P3269-INPUT!Q3269),"")</f>
        <v/>
      </c>
      <c r="L3274" s="48" t="str">
        <f>IFERROR(IF(OR(INPUT!P3269="",INPUT!Q3269="",INPUT!P3269=0),"",(INPUT!P3269-INPUT!Q3269)/INPUT!P3269),"")</f>
        <v/>
      </c>
    </row>
    <row r="3275" spans="1:12" ht="18" hidden="1" customHeight="1" x14ac:dyDescent="0.2">
      <c r="A3275" s="11" t="str">
        <f>IF(INPUT!M3270="","",INPUT!M3270)</f>
        <v/>
      </c>
      <c r="B3275" s="11" t="str">
        <f>IF(INPUT!M3270="","",INPUT!M3270-WEEKDAY(INPUT!M3270,2)+1)</f>
        <v/>
      </c>
      <c r="C3275" s="20">
        <f>IFERROR(_xlfn.ISOWEEKNUM(INPUT!M3270),"")</f>
        <v>52</v>
      </c>
      <c r="D3275" s="20">
        <f>IFERROR(YEAR(INPUT!M3270),"")</f>
        <v>1900</v>
      </c>
      <c r="E3275" t="str">
        <f>IF(INPUT!O3270="","",INPUT!O3270)</f>
        <v/>
      </c>
      <c r="F3275" t="str">
        <f>IF(INPUT!N3270="","",INPUT!N3270)</f>
        <v/>
      </c>
      <c r="G3275" cm="1">
        <f t="array" ref="G3275">IFERROR(VLOOKUP(INPUT!M3270&amp;INPUT!N3270,CHOOSE({1,2},INPUT!$A$3:$A$5000&amp;INPUT!$C$3:$C$5000,INPUT!$F$3:$F$5000),2,FALSE),"")</f>
        <v>0</v>
      </c>
      <c r="H3275" cm="1">
        <f t="array" ref="H3275">IFERROR(VLOOKUP(INPUT!M3270&amp;INPUT!N3270,CHOOSE({1,2},INPUT!$A$3:$A$5000&amp;INPUT!$C$3:$C$5000,INPUT!$D$3:$D$5000),2,FALSE),"")</f>
        <v>0</v>
      </c>
      <c r="I3275" s="46" t="str">
        <f>IF(INPUT!P3270="","",INPUT!P3270)</f>
        <v/>
      </c>
      <c r="J3275" s="46" t="str">
        <f>IF(INPUT!Q3270="","",INPUT!Q3270)</f>
        <v/>
      </c>
      <c r="K3275" s="46" t="str">
        <f>IFERROR(IF(OR(INPUT!P3270="",INPUT!Q3270=""),"",INPUT!P3270-INPUT!Q3270),"")</f>
        <v/>
      </c>
      <c r="L3275" s="48" t="str">
        <f>IFERROR(IF(OR(INPUT!P3270="",INPUT!Q3270="",INPUT!P3270=0),"",(INPUT!P3270-INPUT!Q3270)/INPUT!P3270),"")</f>
        <v/>
      </c>
    </row>
    <row r="3276" spans="1:12" ht="18" hidden="1" customHeight="1" x14ac:dyDescent="0.2">
      <c r="A3276" s="11" t="str">
        <f>IF(INPUT!M3271="","",INPUT!M3271)</f>
        <v/>
      </c>
      <c r="B3276" s="11" t="str">
        <f>IF(INPUT!M3271="","",INPUT!M3271-WEEKDAY(INPUT!M3271,2)+1)</f>
        <v/>
      </c>
      <c r="C3276" s="20">
        <f>IFERROR(_xlfn.ISOWEEKNUM(INPUT!M3271),"")</f>
        <v>52</v>
      </c>
      <c r="D3276" s="20">
        <f>IFERROR(YEAR(INPUT!M3271),"")</f>
        <v>1900</v>
      </c>
      <c r="E3276" t="str">
        <f>IF(INPUT!O3271="","",INPUT!O3271)</f>
        <v/>
      </c>
      <c r="F3276" t="str">
        <f>IF(INPUT!N3271="","",INPUT!N3271)</f>
        <v/>
      </c>
      <c r="G3276" cm="1">
        <f t="array" ref="G3276">IFERROR(VLOOKUP(INPUT!M3271&amp;INPUT!N3271,CHOOSE({1,2},INPUT!$A$3:$A$5000&amp;INPUT!$C$3:$C$5000,INPUT!$F$3:$F$5000),2,FALSE),"")</f>
        <v>0</v>
      </c>
      <c r="H3276" cm="1">
        <f t="array" ref="H3276">IFERROR(VLOOKUP(INPUT!M3271&amp;INPUT!N3271,CHOOSE({1,2},INPUT!$A$3:$A$5000&amp;INPUT!$C$3:$C$5000,INPUT!$D$3:$D$5000),2,FALSE),"")</f>
        <v>0</v>
      </c>
      <c r="I3276" s="46" t="str">
        <f>IF(INPUT!P3271="","",INPUT!P3271)</f>
        <v/>
      </c>
      <c r="J3276" s="46" t="str">
        <f>IF(INPUT!Q3271="","",INPUT!Q3271)</f>
        <v/>
      </c>
      <c r="K3276" s="46" t="str">
        <f>IFERROR(IF(OR(INPUT!P3271="",INPUT!Q3271=""),"",INPUT!P3271-INPUT!Q3271),"")</f>
        <v/>
      </c>
      <c r="L3276" s="48" t="str">
        <f>IFERROR(IF(OR(INPUT!P3271="",INPUT!Q3271="",INPUT!P3271=0),"",(INPUT!P3271-INPUT!Q3271)/INPUT!P3271),"")</f>
        <v/>
      </c>
    </row>
    <row r="3277" spans="1:12" ht="18" hidden="1" customHeight="1" x14ac:dyDescent="0.2">
      <c r="A3277" s="11" t="str">
        <f>IF(INPUT!M3272="","",INPUT!M3272)</f>
        <v/>
      </c>
      <c r="B3277" s="11" t="str">
        <f>IF(INPUT!M3272="","",INPUT!M3272-WEEKDAY(INPUT!M3272,2)+1)</f>
        <v/>
      </c>
      <c r="C3277" s="20">
        <f>IFERROR(_xlfn.ISOWEEKNUM(INPUT!M3272),"")</f>
        <v>52</v>
      </c>
      <c r="D3277" s="20">
        <f>IFERROR(YEAR(INPUT!M3272),"")</f>
        <v>1900</v>
      </c>
      <c r="E3277" t="str">
        <f>IF(INPUT!O3272="","",INPUT!O3272)</f>
        <v/>
      </c>
      <c r="F3277" t="str">
        <f>IF(INPUT!N3272="","",INPUT!N3272)</f>
        <v/>
      </c>
      <c r="G3277" cm="1">
        <f t="array" ref="G3277">IFERROR(VLOOKUP(INPUT!M3272&amp;INPUT!N3272,CHOOSE({1,2},INPUT!$A$3:$A$5000&amp;INPUT!$C$3:$C$5000,INPUT!$F$3:$F$5000),2,FALSE),"")</f>
        <v>0</v>
      </c>
      <c r="H3277" cm="1">
        <f t="array" ref="H3277">IFERROR(VLOOKUP(INPUT!M3272&amp;INPUT!N3272,CHOOSE({1,2},INPUT!$A$3:$A$5000&amp;INPUT!$C$3:$C$5000,INPUT!$D$3:$D$5000),2,FALSE),"")</f>
        <v>0</v>
      </c>
      <c r="I3277" s="46" t="str">
        <f>IF(INPUT!P3272="","",INPUT!P3272)</f>
        <v/>
      </c>
      <c r="J3277" s="46" t="str">
        <f>IF(INPUT!Q3272="","",INPUT!Q3272)</f>
        <v/>
      </c>
      <c r="K3277" s="46" t="str">
        <f>IFERROR(IF(OR(INPUT!P3272="",INPUT!Q3272=""),"",INPUT!P3272-INPUT!Q3272),"")</f>
        <v/>
      </c>
      <c r="L3277" s="48" t="str">
        <f>IFERROR(IF(OR(INPUT!P3272="",INPUT!Q3272="",INPUT!P3272=0),"",(INPUT!P3272-INPUT!Q3272)/INPUT!P3272),"")</f>
        <v/>
      </c>
    </row>
    <row r="3278" spans="1:12" ht="18" hidden="1" customHeight="1" x14ac:dyDescent="0.2">
      <c r="A3278" s="11" t="str">
        <f>IF(INPUT!M3273="","",INPUT!M3273)</f>
        <v/>
      </c>
      <c r="B3278" s="11" t="str">
        <f>IF(INPUT!M3273="","",INPUT!M3273-WEEKDAY(INPUT!M3273,2)+1)</f>
        <v/>
      </c>
      <c r="C3278" s="20">
        <f>IFERROR(_xlfn.ISOWEEKNUM(INPUT!M3273),"")</f>
        <v>52</v>
      </c>
      <c r="D3278" s="20">
        <f>IFERROR(YEAR(INPUT!M3273),"")</f>
        <v>1900</v>
      </c>
      <c r="E3278" t="str">
        <f>IF(INPUT!O3273="","",INPUT!O3273)</f>
        <v/>
      </c>
      <c r="F3278" t="str">
        <f>IF(INPUT!N3273="","",INPUT!N3273)</f>
        <v/>
      </c>
      <c r="G3278" cm="1">
        <f t="array" ref="G3278">IFERROR(VLOOKUP(INPUT!M3273&amp;INPUT!N3273,CHOOSE({1,2},INPUT!$A$3:$A$5000&amp;INPUT!$C$3:$C$5000,INPUT!$F$3:$F$5000),2,FALSE),"")</f>
        <v>0</v>
      </c>
      <c r="H3278" cm="1">
        <f t="array" ref="H3278">IFERROR(VLOOKUP(INPUT!M3273&amp;INPUT!N3273,CHOOSE({1,2},INPUT!$A$3:$A$5000&amp;INPUT!$C$3:$C$5000,INPUT!$D$3:$D$5000),2,FALSE),"")</f>
        <v>0</v>
      </c>
      <c r="I3278" s="46" t="str">
        <f>IF(INPUT!P3273="","",INPUT!P3273)</f>
        <v/>
      </c>
      <c r="J3278" s="46" t="str">
        <f>IF(INPUT!Q3273="","",INPUT!Q3273)</f>
        <v/>
      </c>
      <c r="K3278" s="46" t="str">
        <f>IFERROR(IF(OR(INPUT!P3273="",INPUT!Q3273=""),"",INPUT!P3273-INPUT!Q3273),"")</f>
        <v/>
      </c>
      <c r="L3278" s="48" t="str">
        <f>IFERROR(IF(OR(INPUT!P3273="",INPUT!Q3273="",INPUT!P3273=0),"",(INPUT!P3273-INPUT!Q3273)/INPUT!P3273),"")</f>
        <v/>
      </c>
    </row>
    <row r="3279" spans="1:12" ht="18" hidden="1" customHeight="1" x14ac:dyDescent="0.2">
      <c r="A3279" s="11" t="str">
        <f>IF(INPUT!M3274="","",INPUT!M3274)</f>
        <v/>
      </c>
      <c r="B3279" s="11" t="str">
        <f>IF(INPUT!M3274="","",INPUT!M3274-WEEKDAY(INPUT!M3274,2)+1)</f>
        <v/>
      </c>
      <c r="C3279" s="20">
        <f>IFERROR(_xlfn.ISOWEEKNUM(INPUT!M3274),"")</f>
        <v>52</v>
      </c>
      <c r="D3279" s="20">
        <f>IFERROR(YEAR(INPUT!M3274),"")</f>
        <v>1900</v>
      </c>
      <c r="E3279" t="str">
        <f>IF(INPUT!O3274="","",INPUT!O3274)</f>
        <v/>
      </c>
      <c r="F3279" t="str">
        <f>IF(INPUT!N3274="","",INPUT!N3274)</f>
        <v/>
      </c>
      <c r="G3279" cm="1">
        <f t="array" ref="G3279">IFERROR(VLOOKUP(INPUT!M3274&amp;INPUT!N3274,CHOOSE({1,2},INPUT!$A$3:$A$5000&amp;INPUT!$C$3:$C$5000,INPUT!$F$3:$F$5000),2,FALSE),"")</f>
        <v>0</v>
      </c>
      <c r="H3279" cm="1">
        <f t="array" ref="H3279">IFERROR(VLOOKUP(INPUT!M3274&amp;INPUT!N3274,CHOOSE({1,2},INPUT!$A$3:$A$5000&amp;INPUT!$C$3:$C$5000,INPUT!$D$3:$D$5000),2,FALSE),"")</f>
        <v>0</v>
      </c>
      <c r="I3279" s="46" t="str">
        <f>IF(INPUT!P3274="","",INPUT!P3274)</f>
        <v/>
      </c>
      <c r="J3279" s="46" t="str">
        <f>IF(INPUT!Q3274="","",INPUT!Q3274)</f>
        <v/>
      </c>
      <c r="K3279" s="46" t="str">
        <f>IFERROR(IF(OR(INPUT!P3274="",INPUT!Q3274=""),"",INPUT!P3274-INPUT!Q3274),"")</f>
        <v/>
      </c>
      <c r="L3279" s="48" t="str">
        <f>IFERROR(IF(OR(INPUT!P3274="",INPUT!Q3274="",INPUT!P3274=0),"",(INPUT!P3274-INPUT!Q3274)/INPUT!P3274),"")</f>
        <v/>
      </c>
    </row>
    <row r="3280" spans="1:12" ht="18" hidden="1" customHeight="1" x14ac:dyDescent="0.2">
      <c r="A3280" s="11" t="str">
        <f>IF(INPUT!M3275="","",INPUT!M3275)</f>
        <v/>
      </c>
      <c r="B3280" s="11" t="str">
        <f>IF(INPUT!M3275="","",INPUT!M3275-WEEKDAY(INPUT!M3275,2)+1)</f>
        <v/>
      </c>
      <c r="C3280" s="20">
        <f>IFERROR(_xlfn.ISOWEEKNUM(INPUT!M3275),"")</f>
        <v>52</v>
      </c>
      <c r="D3280" s="20">
        <f>IFERROR(YEAR(INPUT!M3275),"")</f>
        <v>1900</v>
      </c>
      <c r="E3280" t="str">
        <f>IF(INPUT!O3275="","",INPUT!O3275)</f>
        <v/>
      </c>
      <c r="F3280" t="str">
        <f>IF(INPUT!N3275="","",INPUT!N3275)</f>
        <v/>
      </c>
      <c r="G3280" cm="1">
        <f t="array" ref="G3280">IFERROR(VLOOKUP(INPUT!M3275&amp;INPUT!N3275,CHOOSE({1,2},INPUT!$A$3:$A$5000&amp;INPUT!$C$3:$C$5000,INPUT!$F$3:$F$5000),2,FALSE),"")</f>
        <v>0</v>
      </c>
      <c r="H3280" cm="1">
        <f t="array" ref="H3280">IFERROR(VLOOKUP(INPUT!M3275&amp;INPUT!N3275,CHOOSE({1,2},INPUT!$A$3:$A$5000&amp;INPUT!$C$3:$C$5000,INPUT!$D$3:$D$5000),2,FALSE),"")</f>
        <v>0</v>
      </c>
      <c r="I3280" s="46" t="str">
        <f>IF(INPUT!P3275="","",INPUT!P3275)</f>
        <v/>
      </c>
      <c r="J3280" s="46" t="str">
        <f>IF(INPUT!Q3275="","",INPUT!Q3275)</f>
        <v/>
      </c>
      <c r="K3280" s="46" t="str">
        <f>IFERROR(IF(OR(INPUT!P3275="",INPUT!Q3275=""),"",INPUT!P3275-INPUT!Q3275),"")</f>
        <v/>
      </c>
      <c r="L3280" s="48" t="str">
        <f>IFERROR(IF(OR(INPUT!P3275="",INPUT!Q3275="",INPUT!P3275=0),"",(INPUT!P3275-INPUT!Q3275)/INPUT!P3275),"")</f>
        <v/>
      </c>
    </row>
    <row r="3281" spans="1:12" ht="18" hidden="1" customHeight="1" x14ac:dyDescent="0.2">
      <c r="A3281" s="11" t="str">
        <f>IF(INPUT!M3276="","",INPUT!M3276)</f>
        <v/>
      </c>
      <c r="B3281" s="11" t="str">
        <f>IF(INPUT!M3276="","",INPUT!M3276-WEEKDAY(INPUT!M3276,2)+1)</f>
        <v/>
      </c>
      <c r="C3281" s="20">
        <f>IFERROR(_xlfn.ISOWEEKNUM(INPUT!M3276),"")</f>
        <v>52</v>
      </c>
      <c r="D3281" s="20">
        <f>IFERROR(YEAR(INPUT!M3276),"")</f>
        <v>1900</v>
      </c>
      <c r="E3281" t="str">
        <f>IF(INPUT!O3276="","",INPUT!O3276)</f>
        <v/>
      </c>
      <c r="F3281" t="str">
        <f>IF(INPUT!N3276="","",INPUT!N3276)</f>
        <v/>
      </c>
      <c r="G3281" cm="1">
        <f t="array" ref="G3281">IFERROR(VLOOKUP(INPUT!M3276&amp;INPUT!N3276,CHOOSE({1,2},INPUT!$A$3:$A$5000&amp;INPUT!$C$3:$C$5000,INPUT!$F$3:$F$5000),2,FALSE),"")</f>
        <v>0</v>
      </c>
      <c r="H3281" cm="1">
        <f t="array" ref="H3281">IFERROR(VLOOKUP(INPUT!M3276&amp;INPUT!N3276,CHOOSE({1,2},INPUT!$A$3:$A$5000&amp;INPUT!$C$3:$C$5000,INPUT!$D$3:$D$5000),2,FALSE),"")</f>
        <v>0</v>
      </c>
      <c r="I3281" s="46" t="str">
        <f>IF(INPUT!P3276="","",INPUT!P3276)</f>
        <v/>
      </c>
      <c r="J3281" s="46" t="str">
        <f>IF(INPUT!Q3276="","",INPUT!Q3276)</f>
        <v/>
      </c>
      <c r="K3281" s="46" t="str">
        <f>IFERROR(IF(OR(INPUT!P3276="",INPUT!Q3276=""),"",INPUT!P3276-INPUT!Q3276),"")</f>
        <v/>
      </c>
      <c r="L3281" s="48" t="str">
        <f>IFERROR(IF(OR(INPUT!P3276="",INPUT!Q3276="",INPUT!P3276=0),"",(INPUT!P3276-INPUT!Q3276)/INPUT!P3276),"")</f>
        <v/>
      </c>
    </row>
    <row r="3282" spans="1:12" ht="18" hidden="1" customHeight="1" x14ac:dyDescent="0.2">
      <c r="A3282" s="11" t="str">
        <f>IF(INPUT!M3277="","",INPUT!M3277)</f>
        <v/>
      </c>
      <c r="B3282" s="11" t="str">
        <f>IF(INPUT!M3277="","",INPUT!M3277-WEEKDAY(INPUT!M3277,2)+1)</f>
        <v/>
      </c>
      <c r="C3282" s="20">
        <f>IFERROR(_xlfn.ISOWEEKNUM(INPUT!M3277),"")</f>
        <v>52</v>
      </c>
      <c r="D3282" s="20">
        <f>IFERROR(YEAR(INPUT!M3277),"")</f>
        <v>1900</v>
      </c>
      <c r="E3282" t="str">
        <f>IF(INPUT!O3277="","",INPUT!O3277)</f>
        <v/>
      </c>
      <c r="F3282" t="str">
        <f>IF(INPUT!N3277="","",INPUT!N3277)</f>
        <v/>
      </c>
      <c r="G3282" cm="1">
        <f t="array" ref="G3282">IFERROR(VLOOKUP(INPUT!M3277&amp;INPUT!N3277,CHOOSE({1,2},INPUT!$A$3:$A$5000&amp;INPUT!$C$3:$C$5000,INPUT!$F$3:$F$5000),2,FALSE),"")</f>
        <v>0</v>
      </c>
      <c r="H3282" cm="1">
        <f t="array" ref="H3282">IFERROR(VLOOKUP(INPUT!M3277&amp;INPUT!N3277,CHOOSE({1,2},INPUT!$A$3:$A$5000&amp;INPUT!$C$3:$C$5000,INPUT!$D$3:$D$5000),2,FALSE),"")</f>
        <v>0</v>
      </c>
      <c r="I3282" s="46" t="str">
        <f>IF(INPUT!P3277="","",INPUT!P3277)</f>
        <v/>
      </c>
      <c r="J3282" s="46" t="str">
        <f>IF(INPUT!Q3277="","",INPUT!Q3277)</f>
        <v/>
      </c>
      <c r="K3282" s="46" t="str">
        <f>IFERROR(IF(OR(INPUT!P3277="",INPUT!Q3277=""),"",INPUT!P3277-INPUT!Q3277),"")</f>
        <v/>
      </c>
      <c r="L3282" s="48" t="str">
        <f>IFERROR(IF(OR(INPUT!P3277="",INPUT!Q3277="",INPUT!P3277=0),"",(INPUT!P3277-INPUT!Q3277)/INPUT!P3277),"")</f>
        <v/>
      </c>
    </row>
    <row r="3283" spans="1:12" ht="18" hidden="1" customHeight="1" x14ac:dyDescent="0.2">
      <c r="A3283" s="11" t="str">
        <f>IF(INPUT!M3278="","",INPUT!M3278)</f>
        <v/>
      </c>
      <c r="B3283" s="11" t="str">
        <f>IF(INPUT!M3278="","",INPUT!M3278-WEEKDAY(INPUT!M3278,2)+1)</f>
        <v/>
      </c>
      <c r="C3283" s="20">
        <f>IFERROR(_xlfn.ISOWEEKNUM(INPUT!M3278),"")</f>
        <v>52</v>
      </c>
      <c r="D3283" s="20">
        <f>IFERROR(YEAR(INPUT!M3278),"")</f>
        <v>1900</v>
      </c>
      <c r="E3283" t="str">
        <f>IF(INPUT!O3278="","",INPUT!O3278)</f>
        <v/>
      </c>
      <c r="F3283" t="str">
        <f>IF(INPUT!N3278="","",INPUT!N3278)</f>
        <v/>
      </c>
      <c r="G3283" cm="1">
        <f t="array" ref="G3283">IFERROR(VLOOKUP(INPUT!M3278&amp;INPUT!N3278,CHOOSE({1,2},INPUT!$A$3:$A$5000&amp;INPUT!$C$3:$C$5000,INPUT!$F$3:$F$5000),2,FALSE),"")</f>
        <v>0</v>
      </c>
      <c r="H3283" cm="1">
        <f t="array" ref="H3283">IFERROR(VLOOKUP(INPUT!M3278&amp;INPUT!N3278,CHOOSE({1,2},INPUT!$A$3:$A$5000&amp;INPUT!$C$3:$C$5000,INPUT!$D$3:$D$5000),2,FALSE),"")</f>
        <v>0</v>
      </c>
      <c r="I3283" s="46" t="str">
        <f>IF(INPUT!P3278="","",INPUT!P3278)</f>
        <v/>
      </c>
      <c r="J3283" s="46" t="str">
        <f>IF(INPUT!Q3278="","",INPUT!Q3278)</f>
        <v/>
      </c>
      <c r="K3283" s="46" t="str">
        <f>IFERROR(IF(OR(INPUT!P3278="",INPUT!Q3278=""),"",INPUT!P3278-INPUT!Q3278),"")</f>
        <v/>
      </c>
      <c r="L3283" s="48" t="str">
        <f>IFERROR(IF(OR(INPUT!P3278="",INPUT!Q3278="",INPUT!P3278=0),"",(INPUT!P3278-INPUT!Q3278)/INPUT!P3278),"")</f>
        <v/>
      </c>
    </row>
    <row r="3284" spans="1:12" ht="18" hidden="1" customHeight="1" x14ac:dyDescent="0.2">
      <c r="A3284" s="11" t="str">
        <f>IF(INPUT!M3279="","",INPUT!M3279)</f>
        <v/>
      </c>
      <c r="B3284" s="11" t="str">
        <f>IF(INPUT!M3279="","",INPUT!M3279-WEEKDAY(INPUT!M3279,2)+1)</f>
        <v/>
      </c>
      <c r="C3284" s="20">
        <f>IFERROR(_xlfn.ISOWEEKNUM(INPUT!M3279),"")</f>
        <v>52</v>
      </c>
      <c r="D3284" s="20">
        <f>IFERROR(YEAR(INPUT!M3279),"")</f>
        <v>1900</v>
      </c>
      <c r="E3284" t="str">
        <f>IF(INPUT!O3279="","",INPUT!O3279)</f>
        <v/>
      </c>
      <c r="F3284" t="str">
        <f>IF(INPUT!N3279="","",INPUT!N3279)</f>
        <v/>
      </c>
      <c r="G3284" cm="1">
        <f t="array" ref="G3284">IFERROR(VLOOKUP(INPUT!M3279&amp;INPUT!N3279,CHOOSE({1,2},INPUT!$A$3:$A$5000&amp;INPUT!$C$3:$C$5000,INPUT!$F$3:$F$5000),2,FALSE),"")</f>
        <v>0</v>
      </c>
      <c r="H3284" cm="1">
        <f t="array" ref="H3284">IFERROR(VLOOKUP(INPUT!M3279&amp;INPUT!N3279,CHOOSE({1,2},INPUT!$A$3:$A$5000&amp;INPUT!$C$3:$C$5000,INPUT!$D$3:$D$5000),2,FALSE),"")</f>
        <v>0</v>
      </c>
      <c r="I3284" s="46" t="str">
        <f>IF(INPUT!P3279="","",INPUT!P3279)</f>
        <v/>
      </c>
      <c r="J3284" s="46" t="str">
        <f>IF(INPUT!Q3279="","",INPUT!Q3279)</f>
        <v/>
      </c>
      <c r="K3284" s="46" t="str">
        <f>IFERROR(IF(OR(INPUT!P3279="",INPUT!Q3279=""),"",INPUT!P3279-INPUT!Q3279),"")</f>
        <v/>
      </c>
      <c r="L3284" s="48" t="str">
        <f>IFERROR(IF(OR(INPUT!P3279="",INPUT!Q3279="",INPUT!P3279=0),"",(INPUT!P3279-INPUT!Q3279)/INPUT!P3279),"")</f>
        <v/>
      </c>
    </row>
    <row r="3285" spans="1:12" ht="18" hidden="1" customHeight="1" x14ac:dyDescent="0.2">
      <c r="A3285" s="11" t="str">
        <f>IF(INPUT!M3280="","",INPUT!M3280)</f>
        <v/>
      </c>
      <c r="B3285" s="11" t="str">
        <f>IF(INPUT!M3280="","",INPUT!M3280-WEEKDAY(INPUT!M3280,2)+1)</f>
        <v/>
      </c>
      <c r="C3285" s="20">
        <f>IFERROR(_xlfn.ISOWEEKNUM(INPUT!M3280),"")</f>
        <v>52</v>
      </c>
      <c r="D3285" s="20">
        <f>IFERROR(YEAR(INPUT!M3280),"")</f>
        <v>1900</v>
      </c>
      <c r="E3285" t="str">
        <f>IF(INPUT!O3280="","",INPUT!O3280)</f>
        <v/>
      </c>
      <c r="F3285" t="str">
        <f>IF(INPUT!N3280="","",INPUT!N3280)</f>
        <v/>
      </c>
      <c r="G3285" cm="1">
        <f t="array" ref="G3285">IFERROR(VLOOKUP(INPUT!M3280&amp;INPUT!N3280,CHOOSE({1,2},INPUT!$A$3:$A$5000&amp;INPUT!$C$3:$C$5000,INPUT!$F$3:$F$5000),2,FALSE),"")</f>
        <v>0</v>
      </c>
      <c r="H3285" cm="1">
        <f t="array" ref="H3285">IFERROR(VLOOKUP(INPUT!M3280&amp;INPUT!N3280,CHOOSE({1,2},INPUT!$A$3:$A$5000&amp;INPUT!$C$3:$C$5000,INPUT!$D$3:$D$5000),2,FALSE),"")</f>
        <v>0</v>
      </c>
      <c r="I3285" s="46" t="str">
        <f>IF(INPUT!P3280="","",INPUT!P3280)</f>
        <v/>
      </c>
      <c r="J3285" s="46" t="str">
        <f>IF(INPUT!Q3280="","",INPUT!Q3280)</f>
        <v/>
      </c>
      <c r="K3285" s="46" t="str">
        <f>IFERROR(IF(OR(INPUT!P3280="",INPUT!Q3280=""),"",INPUT!P3280-INPUT!Q3280),"")</f>
        <v/>
      </c>
      <c r="L3285" s="48" t="str">
        <f>IFERROR(IF(OR(INPUT!P3280="",INPUT!Q3280="",INPUT!P3280=0),"",(INPUT!P3280-INPUT!Q3280)/INPUT!P3280),"")</f>
        <v/>
      </c>
    </row>
    <row r="3286" spans="1:12" ht="18" hidden="1" customHeight="1" x14ac:dyDescent="0.2">
      <c r="A3286" s="11" t="str">
        <f>IF(INPUT!M3281="","",INPUT!M3281)</f>
        <v/>
      </c>
      <c r="B3286" s="11" t="str">
        <f>IF(INPUT!M3281="","",INPUT!M3281-WEEKDAY(INPUT!M3281,2)+1)</f>
        <v/>
      </c>
      <c r="C3286" s="20">
        <f>IFERROR(_xlfn.ISOWEEKNUM(INPUT!M3281),"")</f>
        <v>52</v>
      </c>
      <c r="D3286" s="20">
        <f>IFERROR(YEAR(INPUT!M3281),"")</f>
        <v>1900</v>
      </c>
      <c r="E3286" t="str">
        <f>IF(INPUT!O3281="","",INPUT!O3281)</f>
        <v/>
      </c>
      <c r="F3286" t="str">
        <f>IF(INPUT!N3281="","",INPUT!N3281)</f>
        <v/>
      </c>
      <c r="G3286" cm="1">
        <f t="array" ref="G3286">IFERROR(VLOOKUP(INPUT!M3281&amp;INPUT!N3281,CHOOSE({1,2},INPUT!$A$3:$A$5000&amp;INPUT!$C$3:$C$5000,INPUT!$F$3:$F$5000),2,FALSE),"")</f>
        <v>0</v>
      </c>
      <c r="H3286" cm="1">
        <f t="array" ref="H3286">IFERROR(VLOOKUP(INPUT!M3281&amp;INPUT!N3281,CHOOSE({1,2},INPUT!$A$3:$A$5000&amp;INPUT!$C$3:$C$5000,INPUT!$D$3:$D$5000),2,FALSE),"")</f>
        <v>0</v>
      </c>
      <c r="I3286" s="46" t="str">
        <f>IF(INPUT!P3281="","",INPUT!P3281)</f>
        <v/>
      </c>
      <c r="J3286" s="46" t="str">
        <f>IF(INPUT!Q3281="","",INPUT!Q3281)</f>
        <v/>
      </c>
      <c r="K3286" s="46" t="str">
        <f>IFERROR(IF(OR(INPUT!P3281="",INPUT!Q3281=""),"",INPUT!P3281-INPUT!Q3281),"")</f>
        <v/>
      </c>
      <c r="L3286" s="48" t="str">
        <f>IFERROR(IF(OR(INPUT!P3281="",INPUT!Q3281="",INPUT!P3281=0),"",(INPUT!P3281-INPUT!Q3281)/INPUT!P3281),"")</f>
        <v/>
      </c>
    </row>
    <row r="3287" spans="1:12" ht="18" hidden="1" customHeight="1" x14ac:dyDescent="0.2">
      <c r="A3287" s="11" t="str">
        <f>IF(INPUT!M3282="","",INPUT!M3282)</f>
        <v/>
      </c>
      <c r="B3287" s="11" t="str">
        <f>IF(INPUT!M3282="","",INPUT!M3282-WEEKDAY(INPUT!M3282,2)+1)</f>
        <v/>
      </c>
      <c r="C3287" s="20">
        <f>IFERROR(_xlfn.ISOWEEKNUM(INPUT!M3282),"")</f>
        <v>52</v>
      </c>
      <c r="D3287" s="20">
        <f>IFERROR(YEAR(INPUT!M3282),"")</f>
        <v>1900</v>
      </c>
      <c r="E3287" t="str">
        <f>IF(INPUT!O3282="","",INPUT!O3282)</f>
        <v/>
      </c>
      <c r="F3287" t="str">
        <f>IF(INPUT!N3282="","",INPUT!N3282)</f>
        <v/>
      </c>
      <c r="G3287" cm="1">
        <f t="array" ref="G3287">IFERROR(VLOOKUP(INPUT!M3282&amp;INPUT!N3282,CHOOSE({1,2},INPUT!$A$3:$A$5000&amp;INPUT!$C$3:$C$5000,INPUT!$F$3:$F$5000),2,FALSE),"")</f>
        <v>0</v>
      </c>
      <c r="H3287" cm="1">
        <f t="array" ref="H3287">IFERROR(VLOOKUP(INPUT!M3282&amp;INPUT!N3282,CHOOSE({1,2},INPUT!$A$3:$A$5000&amp;INPUT!$C$3:$C$5000,INPUT!$D$3:$D$5000),2,FALSE),"")</f>
        <v>0</v>
      </c>
      <c r="I3287" s="46" t="str">
        <f>IF(INPUT!P3282="","",INPUT!P3282)</f>
        <v/>
      </c>
      <c r="J3287" s="46" t="str">
        <f>IF(INPUT!Q3282="","",INPUT!Q3282)</f>
        <v/>
      </c>
      <c r="K3287" s="46" t="str">
        <f>IFERROR(IF(OR(INPUT!P3282="",INPUT!Q3282=""),"",INPUT!P3282-INPUT!Q3282),"")</f>
        <v/>
      </c>
      <c r="L3287" s="48" t="str">
        <f>IFERROR(IF(OR(INPUT!P3282="",INPUT!Q3282="",INPUT!P3282=0),"",(INPUT!P3282-INPUT!Q3282)/INPUT!P3282),"")</f>
        <v/>
      </c>
    </row>
    <row r="3288" spans="1:12" ht="18" hidden="1" customHeight="1" x14ac:dyDescent="0.2">
      <c r="A3288" s="11" t="str">
        <f>IF(INPUT!M3283="","",INPUT!M3283)</f>
        <v/>
      </c>
      <c r="B3288" s="11" t="str">
        <f>IF(INPUT!M3283="","",INPUT!M3283-WEEKDAY(INPUT!M3283,2)+1)</f>
        <v/>
      </c>
      <c r="C3288" s="20">
        <f>IFERROR(_xlfn.ISOWEEKNUM(INPUT!M3283),"")</f>
        <v>52</v>
      </c>
      <c r="D3288" s="20">
        <f>IFERROR(YEAR(INPUT!M3283),"")</f>
        <v>1900</v>
      </c>
      <c r="E3288" t="str">
        <f>IF(INPUT!O3283="","",INPUT!O3283)</f>
        <v/>
      </c>
      <c r="F3288" t="str">
        <f>IF(INPUT!N3283="","",INPUT!N3283)</f>
        <v/>
      </c>
      <c r="G3288" cm="1">
        <f t="array" ref="G3288">IFERROR(VLOOKUP(INPUT!M3283&amp;INPUT!N3283,CHOOSE({1,2},INPUT!$A$3:$A$5000&amp;INPUT!$C$3:$C$5000,INPUT!$F$3:$F$5000),2,FALSE),"")</f>
        <v>0</v>
      </c>
      <c r="H3288" cm="1">
        <f t="array" ref="H3288">IFERROR(VLOOKUP(INPUT!M3283&amp;INPUT!N3283,CHOOSE({1,2},INPUT!$A$3:$A$5000&amp;INPUT!$C$3:$C$5000,INPUT!$D$3:$D$5000),2,FALSE),"")</f>
        <v>0</v>
      </c>
      <c r="I3288" s="46" t="str">
        <f>IF(INPUT!P3283="","",INPUT!P3283)</f>
        <v/>
      </c>
      <c r="J3288" s="46" t="str">
        <f>IF(INPUT!Q3283="","",INPUT!Q3283)</f>
        <v/>
      </c>
      <c r="K3288" s="46" t="str">
        <f>IFERROR(IF(OR(INPUT!P3283="",INPUT!Q3283=""),"",INPUT!P3283-INPUT!Q3283),"")</f>
        <v/>
      </c>
      <c r="L3288" s="48" t="str">
        <f>IFERROR(IF(OR(INPUT!P3283="",INPUT!Q3283="",INPUT!P3283=0),"",(INPUT!P3283-INPUT!Q3283)/INPUT!P3283),"")</f>
        <v/>
      </c>
    </row>
    <row r="3289" spans="1:12" ht="18" hidden="1" customHeight="1" x14ac:dyDescent="0.2">
      <c r="A3289" s="11" t="str">
        <f>IF(INPUT!M3284="","",INPUT!M3284)</f>
        <v/>
      </c>
      <c r="B3289" s="11" t="str">
        <f>IF(INPUT!M3284="","",INPUT!M3284-WEEKDAY(INPUT!M3284,2)+1)</f>
        <v/>
      </c>
      <c r="C3289" s="20">
        <f>IFERROR(_xlfn.ISOWEEKNUM(INPUT!M3284),"")</f>
        <v>52</v>
      </c>
      <c r="D3289" s="20">
        <f>IFERROR(YEAR(INPUT!M3284),"")</f>
        <v>1900</v>
      </c>
      <c r="E3289" t="str">
        <f>IF(INPUT!O3284="","",INPUT!O3284)</f>
        <v/>
      </c>
      <c r="F3289" t="str">
        <f>IF(INPUT!N3284="","",INPUT!N3284)</f>
        <v/>
      </c>
      <c r="G3289" cm="1">
        <f t="array" ref="G3289">IFERROR(VLOOKUP(INPUT!M3284&amp;INPUT!N3284,CHOOSE({1,2},INPUT!$A$3:$A$5000&amp;INPUT!$C$3:$C$5000,INPUT!$F$3:$F$5000),2,FALSE),"")</f>
        <v>0</v>
      </c>
      <c r="H3289" cm="1">
        <f t="array" ref="H3289">IFERROR(VLOOKUP(INPUT!M3284&amp;INPUT!N3284,CHOOSE({1,2},INPUT!$A$3:$A$5000&amp;INPUT!$C$3:$C$5000,INPUT!$D$3:$D$5000),2,FALSE),"")</f>
        <v>0</v>
      </c>
      <c r="I3289" s="46" t="str">
        <f>IF(INPUT!P3284="","",INPUT!P3284)</f>
        <v/>
      </c>
      <c r="J3289" s="46" t="str">
        <f>IF(INPUT!Q3284="","",INPUT!Q3284)</f>
        <v/>
      </c>
      <c r="K3289" s="46" t="str">
        <f>IFERROR(IF(OR(INPUT!P3284="",INPUT!Q3284=""),"",INPUT!P3284-INPUT!Q3284),"")</f>
        <v/>
      </c>
      <c r="L3289" s="48" t="str">
        <f>IFERROR(IF(OR(INPUT!P3284="",INPUT!Q3284="",INPUT!P3284=0),"",(INPUT!P3284-INPUT!Q3284)/INPUT!P3284),"")</f>
        <v/>
      </c>
    </row>
    <row r="3290" spans="1:12" ht="18" hidden="1" customHeight="1" x14ac:dyDescent="0.2">
      <c r="A3290" s="11" t="str">
        <f>IF(INPUT!M3285="","",INPUT!M3285)</f>
        <v/>
      </c>
      <c r="B3290" s="11" t="str">
        <f>IF(INPUT!M3285="","",INPUT!M3285-WEEKDAY(INPUT!M3285,2)+1)</f>
        <v/>
      </c>
      <c r="C3290" s="20">
        <f>IFERROR(_xlfn.ISOWEEKNUM(INPUT!M3285),"")</f>
        <v>52</v>
      </c>
      <c r="D3290" s="20">
        <f>IFERROR(YEAR(INPUT!M3285),"")</f>
        <v>1900</v>
      </c>
      <c r="E3290" t="str">
        <f>IF(INPUT!O3285="","",INPUT!O3285)</f>
        <v/>
      </c>
      <c r="F3290" t="str">
        <f>IF(INPUT!N3285="","",INPUT!N3285)</f>
        <v/>
      </c>
      <c r="G3290" cm="1">
        <f t="array" ref="G3290">IFERROR(VLOOKUP(INPUT!M3285&amp;INPUT!N3285,CHOOSE({1,2},INPUT!$A$3:$A$5000&amp;INPUT!$C$3:$C$5000,INPUT!$F$3:$F$5000),2,FALSE),"")</f>
        <v>0</v>
      </c>
      <c r="H3290" cm="1">
        <f t="array" ref="H3290">IFERROR(VLOOKUP(INPUT!M3285&amp;INPUT!N3285,CHOOSE({1,2},INPUT!$A$3:$A$5000&amp;INPUT!$C$3:$C$5000,INPUT!$D$3:$D$5000),2,FALSE),"")</f>
        <v>0</v>
      </c>
      <c r="I3290" s="46" t="str">
        <f>IF(INPUT!P3285="","",INPUT!P3285)</f>
        <v/>
      </c>
      <c r="J3290" s="46" t="str">
        <f>IF(INPUT!Q3285="","",INPUT!Q3285)</f>
        <v/>
      </c>
      <c r="K3290" s="46" t="str">
        <f>IFERROR(IF(OR(INPUT!P3285="",INPUT!Q3285=""),"",INPUT!P3285-INPUT!Q3285),"")</f>
        <v/>
      </c>
      <c r="L3290" s="48" t="str">
        <f>IFERROR(IF(OR(INPUT!P3285="",INPUT!Q3285="",INPUT!P3285=0),"",(INPUT!P3285-INPUT!Q3285)/INPUT!P3285),"")</f>
        <v/>
      </c>
    </row>
    <row r="3291" spans="1:12" ht="18" hidden="1" customHeight="1" x14ac:dyDescent="0.2">
      <c r="A3291" s="11" t="str">
        <f>IF(INPUT!M3286="","",INPUT!M3286)</f>
        <v/>
      </c>
      <c r="B3291" s="11" t="str">
        <f>IF(INPUT!M3286="","",INPUT!M3286-WEEKDAY(INPUT!M3286,2)+1)</f>
        <v/>
      </c>
      <c r="C3291" s="20">
        <f>IFERROR(_xlfn.ISOWEEKNUM(INPUT!M3286),"")</f>
        <v>52</v>
      </c>
      <c r="D3291" s="20">
        <f>IFERROR(YEAR(INPUT!M3286),"")</f>
        <v>1900</v>
      </c>
      <c r="E3291" t="str">
        <f>IF(INPUT!O3286="","",INPUT!O3286)</f>
        <v/>
      </c>
      <c r="F3291" t="str">
        <f>IF(INPUT!N3286="","",INPUT!N3286)</f>
        <v/>
      </c>
      <c r="G3291" cm="1">
        <f t="array" ref="G3291">IFERROR(VLOOKUP(INPUT!M3286&amp;INPUT!N3286,CHOOSE({1,2},INPUT!$A$3:$A$5000&amp;INPUT!$C$3:$C$5000,INPUT!$F$3:$F$5000),2,FALSE),"")</f>
        <v>0</v>
      </c>
      <c r="H3291" cm="1">
        <f t="array" ref="H3291">IFERROR(VLOOKUP(INPUT!M3286&amp;INPUT!N3286,CHOOSE({1,2},INPUT!$A$3:$A$5000&amp;INPUT!$C$3:$C$5000,INPUT!$D$3:$D$5000),2,FALSE),"")</f>
        <v>0</v>
      </c>
      <c r="I3291" s="46" t="str">
        <f>IF(INPUT!P3286="","",INPUT!P3286)</f>
        <v/>
      </c>
      <c r="J3291" s="46" t="str">
        <f>IF(INPUT!Q3286="","",INPUT!Q3286)</f>
        <v/>
      </c>
      <c r="K3291" s="46" t="str">
        <f>IFERROR(IF(OR(INPUT!P3286="",INPUT!Q3286=""),"",INPUT!P3286-INPUT!Q3286),"")</f>
        <v/>
      </c>
      <c r="L3291" s="48" t="str">
        <f>IFERROR(IF(OR(INPUT!P3286="",INPUT!Q3286="",INPUT!P3286=0),"",(INPUT!P3286-INPUT!Q3286)/INPUT!P3286),"")</f>
        <v/>
      </c>
    </row>
    <row r="3292" spans="1:12" ht="18" hidden="1" customHeight="1" x14ac:dyDescent="0.2">
      <c r="A3292" s="11" t="str">
        <f>IF(INPUT!M3287="","",INPUT!M3287)</f>
        <v/>
      </c>
      <c r="B3292" s="11" t="str">
        <f>IF(INPUT!M3287="","",INPUT!M3287-WEEKDAY(INPUT!M3287,2)+1)</f>
        <v/>
      </c>
      <c r="C3292" s="20">
        <f>IFERROR(_xlfn.ISOWEEKNUM(INPUT!M3287),"")</f>
        <v>52</v>
      </c>
      <c r="D3292" s="20">
        <f>IFERROR(YEAR(INPUT!M3287),"")</f>
        <v>1900</v>
      </c>
      <c r="E3292" t="str">
        <f>IF(INPUT!O3287="","",INPUT!O3287)</f>
        <v/>
      </c>
      <c r="F3292" t="str">
        <f>IF(INPUT!N3287="","",INPUT!N3287)</f>
        <v/>
      </c>
      <c r="G3292" cm="1">
        <f t="array" ref="G3292">IFERROR(VLOOKUP(INPUT!M3287&amp;INPUT!N3287,CHOOSE({1,2},INPUT!$A$3:$A$5000&amp;INPUT!$C$3:$C$5000,INPUT!$F$3:$F$5000),2,FALSE),"")</f>
        <v>0</v>
      </c>
      <c r="H3292" cm="1">
        <f t="array" ref="H3292">IFERROR(VLOOKUP(INPUT!M3287&amp;INPUT!N3287,CHOOSE({1,2},INPUT!$A$3:$A$5000&amp;INPUT!$C$3:$C$5000,INPUT!$D$3:$D$5000),2,FALSE),"")</f>
        <v>0</v>
      </c>
      <c r="I3292" s="46" t="str">
        <f>IF(INPUT!P3287="","",INPUT!P3287)</f>
        <v/>
      </c>
      <c r="J3292" s="46" t="str">
        <f>IF(INPUT!Q3287="","",INPUT!Q3287)</f>
        <v/>
      </c>
      <c r="K3292" s="46" t="str">
        <f>IFERROR(IF(OR(INPUT!P3287="",INPUT!Q3287=""),"",INPUT!P3287-INPUT!Q3287),"")</f>
        <v/>
      </c>
      <c r="L3292" s="48" t="str">
        <f>IFERROR(IF(OR(INPUT!P3287="",INPUT!Q3287="",INPUT!P3287=0),"",(INPUT!P3287-INPUT!Q3287)/INPUT!P3287),"")</f>
        <v/>
      </c>
    </row>
    <row r="3293" spans="1:12" ht="18" hidden="1" customHeight="1" x14ac:dyDescent="0.2">
      <c r="A3293" s="11" t="str">
        <f>IF(INPUT!M3288="","",INPUT!M3288)</f>
        <v/>
      </c>
      <c r="B3293" s="11" t="str">
        <f>IF(INPUT!M3288="","",INPUT!M3288-WEEKDAY(INPUT!M3288,2)+1)</f>
        <v/>
      </c>
      <c r="C3293" s="20">
        <f>IFERROR(_xlfn.ISOWEEKNUM(INPUT!M3288),"")</f>
        <v>52</v>
      </c>
      <c r="D3293" s="20">
        <f>IFERROR(YEAR(INPUT!M3288),"")</f>
        <v>1900</v>
      </c>
      <c r="E3293" t="str">
        <f>IF(INPUT!O3288="","",INPUT!O3288)</f>
        <v/>
      </c>
      <c r="F3293" t="str">
        <f>IF(INPUT!N3288="","",INPUT!N3288)</f>
        <v/>
      </c>
      <c r="G3293" cm="1">
        <f t="array" ref="G3293">IFERROR(VLOOKUP(INPUT!M3288&amp;INPUT!N3288,CHOOSE({1,2},INPUT!$A$3:$A$5000&amp;INPUT!$C$3:$C$5000,INPUT!$F$3:$F$5000),2,FALSE),"")</f>
        <v>0</v>
      </c>
      <c r="H3293" cm="1">
        <f t="array" ref="H3293">IFERROR(VLOOKUP(INPUT!M3288&amp;INPUT!N3288,CHOOSE({1,2},INPUT!$A$3:$A$5000&amp;INPUT!$C$3:$C$5000,INPUT!$D$3:$D$5000),2,FALSE),"")</f>
        <v>0</v>
      </c>
      <c r="I3293" s="46" t="str">
        <f>IF(INPUT!P3288="","",INPUT!P3288)</f>
        <v/>
      </c>
      <c r="J3293" s="46" t="str">
        <f>IF(INPUT!Q3288="","",INPUT!Q3288)</f>
        <v/>
      </c>
      <c r="K3293" s="46" t="str">
        <f>IFERROR(IF(OR(INPUT!P3288="",INPUT!Q3288=""),"",INPUT!P3288-INPUT!Q3288),"")</f>
        <v/>
      </c>
      <c r="L3293" s="48" t="str">
        <f>IFERROR(IF(OR(INPUT!P3288="",INPUT!Q3288="",INPUT!P3288=0),"",(INPUT!P3288-INPUT!Q3288)/INPUT!P3288),"")</f>
        <v/>
      </c>
    </row>
    <row r="3294" spans="1:12" ht="18" hidden="1" customHeight="1" x14ac:dyDescent="0.2">
      <c r="A3294" s="11" t="str">
        <f>IF(INPUT!M3289="","",INPUT!M3289)</f>
        <v/>
      </c>
      <c r="B3294" s="11" t="str">
        <f>IF(INPUT!M3289="","",INPUT!M3289-WEEKDAY(INPUT!M3289,2)+1)</f>
        <v/>
      </c>
      <c r="C3294" s="20">
        <f>IFERROR(_xlfn.ISOWEEKNUM(INPUT!M3289),"")</f>
        <v>52</v>
      </c>
      <c r="D3294" s="20">
        <f>IFERROR(YEAR(INPUT!M3289),"")</f>
        <v>1900</v>
      </c>
      <c r="E3294" t="str">
        <f>IF(INPUT!O3289="","",INPUT!O3289)</f>
        <v/>
      </c>
      <c r="F3294" t="str">
        <f>IF(INPUT!N3289="","",INPUT!N3289)</f>
        <v/>
      </c>
      <c r="G3294" cm="1">
        <f t="array" ref="G3294">IFERROR(VLOOKUP(INPUT!M3289&amp;INPUT!N3289,CHOOSE({1,2},INPUT!$A$3:$A$5000&amp;INPUT!$C$3:$C$5000,INPUT!$F$3:$F$5000),2,FALSE),"")</f>
        <v>0</v>
      </c>
      <c r="H3294" cm="1">
        <f t="array" ref="H3294">IFERROR(VLOOKUP(INPUT!M3289&amp;INPUT!N3289,CHOOSE({1,2},INPUT!$A$3:$A$5000&amp;INPUT!$C$3:$C$5000,INPUT!$D$3:$D$5000),2,FALSE),"")</f>
        <v>0</v>
      </c>
      <c r="I3294" s="46" t="str">
        <f>IF(INPUT!P3289="","",INPUT!P3289)</f>
        <v/>
      </c>
      <c r="J3294" s="46" t="str">
        <f>IF(INPUT!Q3289="","",INPUT!Q3289)</f>
        <v/>
      </c>
      <c r="K3294" s="46" t="str">
        <f>IFERROR(IF(OR(INPUT!P3289="",INPUT!Q3289=""),"",INPUT!P3289-INPUT!Q3289),"")</f>
        <v/>
      </c>
      <c r="L3294" s="48" t="str">
        <f>IFERROR(IF(OR(INPUT!P3289="",INPUT!Q3289="",INPUT!P3289=0),"",(INPUT!P3289-INPUT!Q3289)/INPUT!P3289),"")</f>
        <v/>
      </c>
    </row>
    <row r="3295" spans="1:12" ht="18" hidden="1" customHeight="1" x14ac:dyDescent="0.2">
      <c r="A3295" s="11" t="str">
        <f>IF(INPUT!M3290="","",INPUT!M3290)</f>
        <v/>
      </c>
      <c r="B3295" s="11" t="str">
        <f>IF(INPUT!M3290="","",INPUT!M3290-WEEKDAY(INPUT!M3290,2)+1)</f>
        <v/>
      </c>
      <c r="C3295" s="20">
        <f>IFERROR(_xlfn.ISOWEEKNUM(INPUT!M3290),"")</f>
        <v>52</v>
      </c>
      <c r="D3295" s="20">
        <f>IFERROR(YEAR(INPUT!M3290),"")</f>
        <v>1900</v>
      </c>
      <c r="E3295" t="str">
        <f>IF(INPUT!O3290="","",INPUT!O3290)</f>
        <v/>
      </c>
      <c r="F3295" t="str">
        <f>IF(INPUT!N3290="","",INPUT!N3290)</f>
        <v/>
      </c>
      <c r="G3295" cm="1">
        <f t="array" ref="G3295">IFERROR(VLOOKUP(INPUT!M3290&amp;INPUT!N3290,CHOOSE({1,2},INPUT!$A$3:$A$5000&amp;INPUT!$C$3:$C$5000,INPUT!$F$3:$F$5000),2,FALSE),"")</f>
        <v>0</v>
      </c>
      <c r="H3295" cm="1">
        <f t="array" ref="H3295">IFERROR(VLOOKUP(INPUT!M3290&amp;INPUT!N3290,CHOOSE({1,2},INPUT!$A$3:$A$5000&amp;INPUT!$C$3:$C$5000,INPUT!$D$3:$D$5000),2,FALSE),"")</f>
        <v>0</v>
      </c>
      <c r="I3295" s="46" t="str">
        <f>IF(INPUT!P3290="","",INPUT!P3290)</f>
        <v/>
      </c>
      <c r="J3295" s="46" t="str">
        <f>IF(INPUT!Q3290="","",INPUT!Q3290)</f>
        <v/>
      </c>
      <c r="K3295" s="46" t="str">
        <f>IFERROR(IF(OR(INPUT!P3290="",INPUT!Q3290=""),"",INPUT!P3290-INPUT!Q3290),"")</f>
        <v/>
      </c>
      <c r="L3295" s="48" t="str">
        <f>IFERROR(IF(OR(INPUT!P3290="",INPUT!Q3290="",INPUT!P3290=0),"",(INPUT!P3290-INPUT!Q3290)/INPUT!P3290),"")</f>
        <v/>
      </c>
    </row>
    <row r="3296" spans="1:12" ht="18" hidden="1" customHeight="1" x14ac:dyDescent="0.2">
      <c r="A3296" s="11" t="str">
        <f>IF(INPUT!M3291="","",INPUT!M3291)</f>
        <v/>
      </c>
      <c r="B3296" s="11" t="str">
        <f>IF(INPUT!M3291="","",INPUT!M3291-WEEKDAY(INPUT!M3291,2)+1)</f>
        <v/>
      </c>
      <c r="C3296" s="20">
        <f>IFERROR(_xlfn.ISOWEEKNUM(INPUT!M3291),"")</f>
        <v>52</v>
      </c>
      <c r="D3296" s="20">
        <f>IFERROR(YEAR(INPUT!M3291),"")</f>
        <v>1900</v>
      </c>
      <c r="E3296" t="str">
        <f>IF(INPUT!O3291="","",INPUT!O3291)</f>
        <v/>
      </c>
      <c r="F3296" t="str">
        <f>IF(INPUT!N3291="","",INPUT!N3291)</f>
        <v/>
      </c>
      <c r="G3296" cm="1">
        <f t="array" ref="G3296">IFERROR(VLOOKUP(INPUT!M3291&amp;INPUT!N3291,CHOOSE({1,2},INPUT!$A$3:$A$5000&amp;INPUT!$C$3:$C$5000,INPUT!$F$3:$F$5000),2,FALSE),"")</f>
        <v>0</v>
      </c>
      <c r="H3296" cm="1">
        <f t="array" ref="H3296">IFERROR(VLOOKUP(INPUT!M3291&amp;INPUT!N3291,CHOOSE({1,2},INPUT!$A$3:$A$5000&amp;INPUT!$C$3:$C$5000,INPUT!$D$3:$D$5000),2,FALSE),"")</f>
        <v>0</v>
      </c>
      <c r="I3296" s="46" t="str">
        <f>IF(INPUT!P3291="","",INPUT!P3291)</f>
        <v/>
      </c>
      <c r="J3296" s="46" t="str">
        <f>IF(INPUT!Q3291="","",INPUT!Q3291)</f>
        <v/>
      </c>
      <c r="K3296" s="46" t="str">
        <f>IFERROR(IF(OR(INPUT!P3291="",INPUT!Q3291=""),"",INPUT!P3291-INPUT!Q3291),"")</f>
        <v/>
      </c>
      <c r="L3296" s="48" t="str">
        <f>IFERROR(IF(OR(INPUT!P3291="",INPUT!Q3291="",INPUT!P3291=0),"",(INPUT!P3291-INPUT!Q3291)/INPUT!P3291),"")</f>
        <v/>
      </c>
    </row>
    <row r="3297" spans="1:12" ht="18" hidden="1" customHeight="1" x14ac:dyDescent="0.2">
      <c r="A3297" s="11" t="str">
        <f>IF(INPUT!M3292="","",INPUT!M3292)</f>
        <v/>
      </c>
      <c r="B3297" s="11" t="str">
        <f>IF(INPUT!M3292="","",INPUT!M3292-WEEKDAY(INPUT!M3292,2)+1)</f>
        <v/>
      </c>
      <c r="C3297" s="20">
        <f>IFERROR(_xlfn.ISOWEEKNUM(INPUT!M3292),"")</f>
        <v>52</v>
      </c>
      <c r="D3297" s="20">
        <f>IFERROR(YEAR(INPUT!M3292),"")</f>
        <v>1900</v>
      </c>
      <c r="E3297" t="str">
        <f>IF(INPUT!O3292="","",INPUT!O3292)</f>
        <v/>
      </c>
      <c r="F3297" t="str">
        <f>IF(INPUT!N3292="","",INPUT!N3292)</f>
        <v/>
      </c>
      <c r="G3297" cm="1">
        <f t="array" ref="G3297">IFERROR(VLOOKUP(INPUT!M3292&amp;INPUT!N3292,CHOOSE({1,2},INPUT!$A$3:$A$5000&amp;INPUT!$C$3:$C$5000,INPUT!$F$3:$F$5000),2,FALSE),"")</f>
        <v>0</v>
      </c>
      <c r="H3297" cm="1">
        <f t="array" ref="H3297">IFERROR(VLOOKUP(INPUT!M3292&amp;INPUT!N3292,CHOOSE({1,2},INPUT!$A$3:$A$5000&amp;INPUT!$C$3:$C$5000,INPUT!$D$3:$D$5000),2,FALSE),"")</f>
        <v>0</v>
      </c>
      <c r="I3297" s="46" t="str">
        <f>IF(INPUT!P3292="","",INPUT!P3292)</f>
        <v/>
      </c>
      <c r="J3297" s="46" t="str">
        <f>IF(INPUT!Q3292="","",INPUT!Q3292)</f>
        <v/>
      </c>
      <c r="K3297" s="46" t="str">
        <f>IFERROR(IF(OR(INPUT!P3292="",INPUT!Q3292=""),"",INPUT!P3292-INPUT!Q3292),"")</f>
        <v/>
      </c>
      <c r="L3297" s="48" t="str">
        <f>IFERROR(IF(OR(INPUT!P3292="",INPUT!Q3292="",INPUT!P3292=0),"",(INPUT!P3292-INPUT!Q3292)/INPUT!P3292),"")</f>
        <v/>
      </c>
    </row>
    <row r="3298" spans="1:12" ht="18" hidden="1" customHeight="1" x14ac:dyDescent="0.2">
      <c r="A3298" s="11" t="str">
        <f>IF(INPUT!M3293="","",INPUT!M3293)</f>
        <v/>
      </c>
      <c r="B3298" s="11" t="str">
        <f>IF(INPUT!M3293="","",INPUT!M3293-WEEKDAY(INPUT!M3293,2)+1)</f>
        <v/>
      </c>
      <c r="C3298" s="20">
        <f>IFERROR(_xlfn.ISOWEEKNUM(INPUT!M3293),"")</f>
        <v>52</v>
      </c>
      <c r="D3298" s="20">
        <f>IFERROR(YEAR(INPUT!M3293),"")</f>
        <v>1900</v>
      </c>
      <c r="E3298" t="str">
        <f>IF(INPUT!O3293="","",INPUT!O3293)</f>
        <v/>
      </c>
      <c r="F3298" t="str">
        <f>IF(INPUT!N3293="","",INPUT!N3293)</f>
        <v/>
      </c>
      <c r="G3298" cm="1">
        <f t="array" ref="G3298">IFERROR(VLOOKUP(INPUT!M3293&amp;INPUT!N3293,CHOOSE({1,2},INPUT!$A$3:$A$5000&amp;INPUT!$C$3:$C$5000,INPUT!$F$3:$F$5000),2,FALSE),"")</f>
        <v>0</v>
      </c>
      <c r="H3298" cm="1">
        <f t="array" ref="H3298">IFERROR(VLOOKUP(INPUT!M3293&amp;INPUT!N3293,CHOOSE({1,2},INPUT!$A$3:$A$5000&amp;INPUT!$C$3:$C$5000,INPUT!$D$3:$D$5000),2,FALSE),"")</f>
        <v>0</v>
      </c>
      <c r="I3298" s="46" t="str">
        <f>IF(INPUT!P3293="","",INPUT!P3293)</f>
        <v/>
      </c>
      <c r="J3298" s="46" t="str">
        <f>IF(INPUT!Q3293="","",INPUT!Q3293)</f>
        <v/>
      </c>
      <c r="K3298" s="46" t="str">
        <f>IFERROR(IF(OR(INPUT!P3293="",INPUT!Q3293=""),"",INPUT!P3293-INPUT!Q3293),"")</f>
        <v/>
      </c>
      <c r="L3298" s="48" t="str">
        <f>IFERROR(IF(OR(INPUT!P3293="",INPUT!Q3293="",INPUT!P3293=0),"",(INPUT!P3293-INPUT!Q3293)/INPUT!P3293),"")</f>
        <v/>
      </c>
    </row>
    <row r="3299" spans="1:12" ht="18" hidden="1" customHeight="1" x14ac:dyDescent="0.2">
      <c r="A3299" s="11" t="str">
        <f>IF(INPUT!M3294="","",INPUT!M3294)</f>
        <v/>
      </c>
      <c r="B3299" s="11" t="str">
        <f>IF(INPUT!M3294="","",INPUT!M3294-WEEKDAY(INPUT!M3294,2)+1)</f>
        <v/>
      </c>
      <c r="C3299" s="20">
        <f>IFERROR(_xlfn.ISOWEEKNUM(INPUT!M3294),"")</f>
        <v>52</v>
      </c>
      <c r="D3299" s="20">
        <f>IFERROR(YEAR(INPUT!M3294),"")</f>
        <v>1900</v>
      </c>
      <c r="E3299" t="str">
        <f>IF(INPUT!O3294="","",INPUT!O3294)</f>
        <v/>
      </c>
      <c r="F3299" t="str">
        <f>IF(INPUT!N3294="","",INPUT!N3294)</f>
        <v/>
      </c>
      <c r="G3299" cm="1">
        <f t="array" ref="G3299">IFERROR(VLOOKUP(INPUT!M3294&amp;INPUT!N3294,CHOOSE({1,2},INPUT!$A$3:$A$5000&amp;INPUT!$C$3:$C$5000,INPUT!$F$3:$F$5000),2,FALSE),"")</f>
        <v>0</v>
      </c>
      <c r="H3299" cm="1">
        <f t="array" ref="H3299">IFERROR(VLOOKUP(INPUT!M3294&amp;INPUT!N3294,CHOOSE({1,2},INPUT!$A$3:$A$5000&amp;INPUT!$C$3:$C$5000,INPUT!$D$3:$D$5000),2,FALSE),"")</f>
        <v>0</v>
      </c>
      <c r="I3299" s="46" t="str">
        <f>IF(INPUT!P3294="","",INPUT!P3294)</f>
        <v/>
      </c>
      <c r="J3299" s="46" t="str">
        <f>IF(INPUT!Q3294="","",INPUT!Q3294)</f>
        <v/>
      </c>
      <c r="K3299" s="46" t="str">
        <f>IFERROR(IF(OR(INPUT!P3294="",INPUT!Q3294=""),"",INPUT!P3294-INPUT!Q3294),"")</f>
        <v/>
      </c>
      <c r="L3299" s="48" t="str">
        <f>IFERROR(IF(OR(INPUT!P3294="",INPUT!Q3294="",INPUT!P3294=0),"",(INPUT!P3294-INPUT!Q3294)/INPUT!P3294),"")</f>
        <v/>
      </c>
    </row>
    <row r="3300" spans="1:12" ht="18" hidden="1" customHeight="1" x14ac:dyDescent="0.2">
      <c r="A3300" s="11" t="str">
        <f>IF(INPUT!M3295="","",INPUT!M3295)</f>
        <v/>
      </c>
      <c r="B3300" s="11" t="str">
        <f>IF(INPUT!M3295="","",INPUT!M3295-WEEKDAY(INPUT!M3295,2)+1)</f>
        <v/>
      </c>
      <c r="C3300" s="20">
        <f>IFERROR(_xlfn.ISOWEEKNUM(INPUT!M3295),"")</f>
        <v>52</v>
      </c>
      <c r="D3300" s="20">
        <f>IFERROR(YEAR(INPUT!M3295),"")</f>
        <v>1900</v>
      </c>
      <c r="E3300" t="str">
        <f>IF(INPUT!O3295="","",INPUT!O3295)</f>
        <v/>
      </c>
      <c r="F3300" t="str">
        <f>IF(INPUT!N3295="","",INPUT!N3295)</f>
        <v/>
      </c>
      <c r="G3300" cm="1">
        <f t="array" ref="G3300">IFERROR(VLOOKUP(INPUT!M3295&amp;INPUT!N3295,CHOOSE({1,2},INPUT!$A$3:$A$5000&amp;INPUT!$C$3:$C$5000,INPUT!$F$3:$F$5000),2,FALSE),"")</f>
        <v>0</v>
      </c>
      <c r="H3300" cm="1">
        <f t="array" ref="H3300">IFERROR(VLOOKUP(INPUT!M3295&amp;INPUT!N3295,CHOOSE({1,2},INPUT!$A$3:$A$5000&amp;INPUT!$C$3:$C$5000,INPUT!$D$3:$D$5000),2,FALSE),"")</f>
        <v>0</v>
      </c>
      <c r="I3300" s="46" t="str">
        <f>IF(INPUT!P3295="","",INPUT!P3295)</f>
        <v/>
      </c>
      <c r="J3300" s="46" t="str">
        <f>IF(INPUT!Q3295="","",INPUT!Q3295)</f>
        <v/>
      </c>
      <c r="K3300" s="46" t="str">
        <f>IFERROR(IF(OR(INPUT!P3295="",INPUT!Q3295=""),"",INPUT!P3295-INPUT!Q3295),"")</f>
        <v/>
      </c>
      <c r="L3300" s="48" t="str">
        <f>IFERROR(IF(OR(INPUT!P3295="",INPUT!Q3295="",INPUT!P3295=0),"",(INPUT!P3295-INPUT!Q3295)/INPUT!P3295),"")</f>
        <v/>
      </c>
    </row>
    <row r="3301" spans="1:12" ht="18" hidden="1" customHeight="1" x14ac:dyDescent="0.2">
      <c r="A3301" s="11" t="str">
        <f>IF(INPUT!M3296="","",INPUT!M3296)</f>
        <v/>
      </c>
      <c r="B3301" s="11" t="str">
        <f>IF(INPUT!M3296="","",INPUT!M3296-WEEKDAY(INPUT!M3296,2)+1)</f>
        <v/>
      </c>
      <c r="C3301" s="20">
        <f>IFERROR(_xlfn.ISOWEEKNUM(INPUT!M3296),"")</f>
        <v>52</v>
      </c>
      <c r="D3301" s="20">
        <f>IFERROR(YEAR(INPUT!M3296),"")</f>
        <v>1900</v>
      </c>
      <c r="E3301" t="str">
        <f>IF(INPUT!O3296="","",INPUT!O3296)</f>
        <v/>
      </c>
      <c r="F3301" t="str">
        <f>IF(INPUT!N3296="","",INPUT!N3296)</f>
        <v/>
      </c>
      <c r="G3301" cm="1">
        <f t="array" ref="G3301">IFERROR(VLOOKUP(INPUT!M3296&amp;INPUT!N3296,CHOOSE({1,2},INPUT!$A$3:$A$5000&amp;INPUT!$C$3:$C$5000,INPUT!$F$3:$F$5000),2,FALSE),"")</f>
        <v>0</v>
      </c>
      <c r="H3301" cm="1">
        <f t="array" ref="H3301">IFERROR(VLOOKUP(INPUT!M3296&amp;INPUT!N3296,CHOOSE({1,2},INPUT!$A$3:$A$5000&amp;INPUT!$C$3:$C$5000,INPUT!$D$3:$D$5000),2,FALSE),"")</f>
        <v>0</v>
      </c>
      <c r="I3301" s="46" t="str">
        <f>IF(INPUT!P3296="","",INPUT!P3296)</f>
        <v/>
      </c>
      <c r="J3301" s="46" t="str">
        <f>IF(INPUT!Q3296="","",INPUT!Q3296)</f>
        <v/>
      </c>
      <c r="K3301" s="46" t="str">
        <f>IFERROR(IF(OR(INPUT!P3296="",INPUT!Q3296=""),"",INPUT!P3296-INPUT!Q3296),"")</f>
        <v/>
      </c>
      <c r="L3301" s="48" t="str">
        <f>IFERROR(IF(OR(INPUT!P3296="",INPUT!Q3296="",INPUT!P3296=0),"",(INPUT!P3296-INPUT!Q3296)/INPUT!P3296),"")</f>
        <v/>
      </c>
    </row>
    <row r="3302" spans="1:12" ht="18" hidden="1" customHeight="1" x14ac:dyDescent="0.2">
      <c r="A3302" s="11" t="str">
        <f>IF(INPUT!M3297="","",INPUT!M3297)</f>
        <v/>
      </c>
      <c r="B3302" s="11" t="str">
        <f>IF(INPUT!M3297="","",INPUT!M3297-WEEKDAY(INPUT!M3297,2)+1)</f>
        <v/>
      </c>
      <c r="C3302" s="20">
        <f>IFERROR(_xlfn.ISOWEEKNUM(INPUT!M3297),"")</f>
        <v>52</v>
      </c>
      <c r="D3302" s="20">
        <f>IFERROR(YEAR(INPUT!M3297),"")</f>
        <v>1900</v>
      </c>
      <c r="E3302" t="str">
        <f>IF(INPUT!O3297="","",INPUT!O3297)</f>
        <v/>
      </c>
      <c r="F3302" t="str">
        <f>IF(INPUT!N3297="","",INPUT!N3297)</f>
        <v/>
      </c>
      <c r="G3302" cm="1">
        <f t="array" ref="G3302">IFERROR(VLOOKUP(INPUT!M3297&amp;INPUT!N3297,CHOOSE({1,2},INPUT!$A$3:$A$5000&amp;INPUT!$C$3:$C$5000,INPUT!$F$3:$F$5000),2,FALSE),"")</f>
        <v>0</v>
      </c>
      <c r="H3302" cm="1">
        <f t="array" ref="H3302">IFERROR(VLOOKUP(INPUT!M3297&amp;INPUT!N3297,CHOOSE({1,2},INPUT!$A$3:$A$5000&amp;INPUT!$C$3:$C$5000,INPUT!$D$3:$D$5000),2,FALSE),"")</f>
        <v>0</v>
      </c>
      <c r="I3302" s="46" t="str">
        <f>IF(INPUT!P3297="","",INPUT!P3297)</f>
        <v/>
      </c>
      <c r="J3302" s="46" t="str">
        <f>IF(INPUT!Q3297="","",INPUT!Q3297)</f>
        <v/>
      </c>
      <c r="K3302" s="46" t="str">
        <f>IFERROR(IF(OR(INPUT!P3297="",INPUT!Q3297=""),"",INPUT!P3297-INPUT!Q3297),"")</f>
        <v/>
      </c>
      <c r="L3302" s="48" t="str">
        <f>IFERROR(IF(OR(INPUT!P3297="",INPUT!Q3297="",INPUT!P3297=0),"",(INPUT!P3297-INPUT!Q3297)/INPUT!P3297),"")</f>
        <v/>
      </c>
    </row>
    <row r="3303" spans="1:12" ht="18" hidden="1" customHeight="1" x14ac:dyDescent="0.2">
      <c r="A3303" s="11" t="str">
        <f>IF(INPUT!M3298="","",INPUT!M3298)</f>
        <v/>
      </c>
      <c r="B3303" s="11" t="str">
        <f>IF(INPUT!M3298="","",INPUT!M3298-WEEKDAY(INPUT!M3298,2)+1)</f>
        <v/>
      </c>
      <c r="C3303" s="20">
        <f>IFERROR(_xlfn.ISOWEEKNUM(INPUT!M3298),"")</f>
        <v>52</v>
      </c>
      <c r="D3303" s="20">
        <f>IFERROR(YEAR(INPUT!M3298),"")</f>
        <v>1900</v>
      </c>
      <c r="E3303" t="str">
        <f>IF(INPUT!O3298="","",INPUT!O3298)</f>
        <v/>
      </c>
      <c r="F3303" t="str">
        <f>IF(INPUT!N3298="","",INPUT!N3298)</f>
        <v/>
      </c>
      <c r="G3303" cm="1">
        <f t="array" ref="G3303">IFERROR(VLOOKUP(INPUT!M3298&amp;INPUT!N3298,CHOOSE({1,2},INPUT!$A$3:$A$5000&amp;INPUT!$C$3:$C$5000,INPUT!$F$3:$F$5000),2,FALSE),"")</f>
        <v>0</v>
      </c>
      <c r="H3303" cm="1">
        <f t="array" ref="H3303">IFERROR(VLOOKUP(INPUT!M3298&amp;INPUT!N3298,CHOOSE({1,2},INPUT!$A$3:$A$5000&amp;INPUT!$C$3:$C$5000,INPUT!$D$3:$D$5000),2,FALSE),"")</f>
        <v>0</v>
      </c>
      <c r="I3303" s="46" t="str">
        <f>IF(INPUT!P3298="","",INPUT!P3298)</f>
        <v/>
      </c>
      <c r="J3303" s="46" t="str">
        <f>IF(INPUT!Q3298="","",INPUT!Q3298)</f>
        <v/>
      </c>
      <c r="K3303" s="46" t="str">
        <f>IFERROR(IF(OR(INPUT!P3298="",INPUT!Q3298=""),"",INPUT!P3298-INPUT!Q3298),"")</f>
        <v/>
      </c>
      <c r="L3303" s="48" t="str">
        <f>IFERROR(IF(OR(INPUT!P3298="",INPUT!Q3298="",INPUT!P3298=0),"",(INPUT!P3298-INPUT!Q3298)/INPUT!P3298),"")</f>
        <v/>
      </c>
    </row>
    <row r="3304" spans="1:12" ht="18" hidden="1" customHeight="1" x14ac:dyDescent="0.2">
      <c r="A3304" s="11" t="str">
        <f>IF(INPUT!M3299="","",INPUT!M3299)</f>
        <v/>
      </c>
      <c r="B3304" s="11" t="str">
        <f>IF(INPUT!M3299="","",INPUT!M3299-WEEKDAY(INPUT!M3299,2)+1)</f>
        <v/>
      </c>
      <c r="C3304" s="20">
        <f>IFERROR(_xlfn.ISOWEEKNUM(INPUT!M3299),"")</f>
        <v>52</v>
      </c>
      <c r="D3304" s="20">
        <f>IFERROR(YEAR(INPUT!M3299),"")</f>
        <v>1900</v>
      </c>
      <c r="E3304" t="str">
        <f>IF(INPUT!O3299="","",INPUT!O3299)</f>
        <v/>
      </c>
      <c r="F3304" t="str">
        <f>IF(INPUT!N3299="","",INPUT!N3299)</f>
        <v/>
      </c>
      <c r="G3304" cm="1">
        <f t="array" ref="G3304">IFERROR(VLOOKUP(INPUT!M3299&amp;INPUT!N3299,CHOOSE({1,2},INPUT!$A$3:$A$5000&amp;INPUT!$C$3:$C$5000,INPUT!$F$3:$F$5000),2,FALSE),"")</f>
        <v>0</v>
      </c>
      <c r="H3304" cm="1">
        <f t="array" ref="H3304">IFERROR(VLOOKUP(INPUT!M3299&amp;INPUT!N3299,CHOOSE({1,2},INPUT!$A$3:$A$5000&amp;INPUT!$C$3:$C$5000,INPUT!$D$3:$D$5000),2,FALSE),"")</f>
        <v>0</v>
      </c>
      <c r="I3304" s="46" t="str">
        <f>IF(INPUT!P3299="","",INPUT!P3299)</f>
        <v/>
      </c>
      <c r="J3304" s="46" t="str">
        <f>IF(INPUT!Q3299="","",INPUT!Q3299)</f>
        <v/>
      </c>
      <c r="K3304" s="46" t="str">
        <f>IFERROR(IF(OR(INPUT!P3299="",INPUT!Q3299=""),"",INPUT!P3299-INPUT!Q3299),"")</f>
        <v/>
      </c>
      <c r="L3304" s="48" t="str">
        <f>IFERROR(IF(OR(INPUT!P3299="",INPUT!Q3299="",INPUT!P3299=0),"",(INPUT!P3299-INPUT!Q3299)/INPUT!P3299),"")</f>
        <v/>
      </c>
    </row>
    <row r="3305" spans="1:12" ht="18" hidden="1" customHeight="1" x14ac:dyDescent="0.2">
      <c r="A3305" s="11" t="str">
        <f>IF(INPUT!M3300="","",INPUT!M3300)</f>
        <v/>
      </c>
      <c r="B3305" s="11" t="str">
        <f>IF(INPUT!M3300="","",INPUT!M3300-WEEKDAY(INPUT!M3300,2)+1)</f>
        <v/>
      </c>
      <c r="C3305" s="20">
        <f>IFERROR(_xlfn.ISOWEEKNUM(INPUT!M3300),"")</f>
        <v>52</v>
      </c>
      <c r="D3305" s="20">
        <f>IFERROR(YEAR(INPUT!M3300),"")</f>
        <v>1900</v>
      </c>
      <c r="E3305" t="str">
        <f>IF(INPUT!O3300="","",INPUT!O3300)</f>
        <v/>
      </c>
      <c r="F3305" t="str">
        <f>IF(INPUT!N3300="","",INPUT!N3300)</f>
        <v/>
      </c>
      <c r="G3305" cm="1">
        <f t="array" ref="G3305">IFERROR(VLOOKUP(INPUT!M3300&amp;INPUT!N3300,CHOOSE({1,2},INPUT!$A$3:$A$5000&amp;INPUT!$C$3:$C$5000,INPUT!$F$3:$F$5000),2,FALSE),"")</f>
        <v>0</v>
      </c>
      <c r="H3305" cm="1">
        <f t="array" ref="H3305">IFERROR(VLOOKUP(INPUT!M3300&amp;INPUT!N3300,CHOOSE({1,2},INPUT!$A$3:$A$5000&amp;INPUT!$C$3:$C$5000,INPUT!$D$3:$D$5000),2,FALSE),"")</f>
        <v>0</v>
      </c>
      <c r="I3305" s="46" t="str">
        <f>IF(INPUT!P3300="","",INPUT!P3300)</f>
        <v/>
      </c>
      <c r="J3305" s="46" t="str">
        <f>IF(INPUT!Q3300="","",INPUT!Q3300)</f>
        <v/>
      </c>
      <c r="K3305" s="46" t="str">
        <f>IFERROR(IF(OR(INPUT!P3300="",INPUT!Q3300=""),"",INPUT!P3300-INPUT!Q3300),"")</f>
        <v/>
      </c>
      <c r="L3305" s="48" t="str">
        <f>IFERROR(IF(OR(INPUT!P3300="",INPUT!Q3300="",INPUT!P3300=0),"",(INPUT!P3300-INPUT!Q3300)/INPUT!P3300),"")</f>
        <v/>
      </c>
    </row>
    <row r="3306" spans="1:12" ht="18" hidden="1" customHeight="1" x14ac:dyDescent="0.2">
      <c r="A3306" s="11" t="str">
        <f>IF(INPUT!M3301="","",INPUT!M3301)</f>
        <v/>
      </c>
      <c r="B3306" s="11" t="str">
        <f>IF(INPUT!M3301="","",INPUT!M3301-WEEKDAY(INPUT!M3301,2)+1)</f>
        <v/>
      </c>
      <c r="C3306" s="20">
        <f>IFERROR(_xlfn.ISOWEEKNUM(INPUT!M3301),"")</f>
        <v>52</v>
      </c>
      <c r="D3306" s="20">
        <f>IFERROR(YEAR(INPUT!M3301),"")</f>
        <v>1900</v>
      </c>
      <c r="E3306" t="str">
        <f>IF(INPUT!O3301="","",INPUT!O3301)</f>
        <v/>
      </c>
      <c r="F3306" t="str">
        <f>IF(INPUT!N3301="","",INPUT!N3301)</f>
        <v/>
      </c>
      <c r="G3306" cm="1">
        <f t="array" ref="G3306">IFERROR(VLOOKUP(INPUT!M3301&amp;INPUT!N3301,CHOOSE({1,2},INPUT!$A$3:$A$5000&amp;INPUT!$C$3:$C$5000,INPUT!$F$3:$F$5000),2,FALSE),"")</f>
        <v>0</v>
      </c>
      <c r="H3306" cm="1">
        <f t="array" ref="H3306">IFERROR(VLOOKUP(INPUT!M3301&amp;INPUT!N3301,CHOOSE({1,2},INPUT!$A$3:$A$5000&amp;INPUT!$C$3:$C$5000,INPUT!$D$3:$D$5000),2,FALSE),"")</f>
        <v>0</v>
      </c>
      <c r="I3306" s="46" t="str">
        <f>IF(INPUT!P3301="","",INPUT!P3301)</f>
        <v/>
      </c>
      <c r="J3306" s="46" t="str">
        <f>IF(INPUT!Q3301="","",INPUT!Q3301)</f>
        <v/>
      </c>
      <c r="K3306" s="46" t="str">
        <f>IFERROR(IF(OR(INPUT!P3301="",INPUT!Q3301=""),"",INPUT!P3301-INPUT!Q3301),"")</f>
        <v/>
      </c>
      <c r="L3306" s="48" t="str">
        <f>IFERROR(IF(OR(INPUT!P3301="",INPUT!Q3301="",INPUT!P3301=0),"",(INPUT!P3301-INPUT!Q3301)/INPUT!P3301),"")</f>
        <v/>
      </c>
    </row>
    <row r="3307" spans="1:12" ht="18" hidden="1" customHeight="1" x14ac:dyDescent="0.2">
      <c r="A3307" s="11" t="str">
        <f>IF(INPUT!M3302="","",INPUT!M3302)</f>
        <v/>
      </c>
      <c r="B3307" s="11" t="str">
        <f>IF(INPUT!M3302="","",INPUT!M3302-WEEKDAY(INPUT!M3302,2)+1)</f>
        <v/>
      </c>
      <c r="C3307" s="20">
        <f>IFERROR(_xlfn.ISOWEEKNUM(INPUT!M3302),"")</f>
        <v>52</v>
      </c>
      <c r="D3307" s="20">
        <f>IFERROR(YEAR(INPUT!M3302),"")</f>
        <v>1900</v>
      </c>
      <c r="E3307" t="str">
        <f>IF(INPUT!O3302="","",INPUT!O3302)</f>
        <v/>
      </c>
      <c r="F3307" t="str">
        <f>IF(INPUT!N3302="","",INPUT!N3302)</f>
        <v/>
      </c>
      <c r="G3307" cm="1">
        <f t="array" ref="G3307">IFERROR(VLOOKUP(INPUT!M3302&amp;INPUT!N3302,CHOOSE({1,2},INPUT!$A$3:$A$5000&amp;INPUT!$C$3:$C$5000,INPUT!$F$3:$F$5000),2,FALSE),"")</f>
        <v>0</v>
      </c>
      <c r="H3307" cm="1">
        <f t="array" ref="H3307">IFERROR(VLOOKUP(INPUT!M3302&amp;INPUT!N3302,CHOOSE({1,2},INPUT!$A$3:$A$5000&amp;INPUT!$C$3:$C$5000,INPUT!$D$3:$D$5000),2,FALSE),"")</f>
        <v>0</v>
      </c>
      <c r="I3307" s="46" t="str">
        <f>IF(INPUT!P3302="","",INPUT!P3302)</f>
        <v/>
      </c>
      <c r="J3307" s="46" t="str">
        <f>IF(INPUT!Q3302="","",INPUT!Q3302)</f>
        <v/>
      </c>
      <c r="K3307" s="46" t="str">
        <f>IFERROR(IF(OR(INPUT!P3302="",INPUT!Q3302=""),"",INPUT!P3302-INPUT!Q3302),"")</f>
        <v/>
      </c>
      <c r="L3307" s="48" t="str">
        <f>IFERROR(IF(OR(INPUT!P3302="",INPUT!Q3302="",INPUT!P3302=0),"",(INPUT!P3302-INPUT!Q3302)/INPUT!P3302),"")</f>
        <v/>
      </c>
    </row>
    <row r="3308" spans="1:12" ht="18" hidden="1" customHeight="1" x14ac:dyDescent="0.2">
      <c r="A3308" s="11" t="str">
        <f>IF(INPUT!M3303="","",INPUT!M3303)</f>
        <v/>
      </c>
      <c r="B3308" s="11" t="str">
        <f>IF(INPUT!M3303="","",INPUT!M3303-WEEKDAY(INPUT!M3303,2)+1)</f>
        <v/>
      </c>
      <c r="C3308" s="20">
        <f>IFERROR(_xlfn.ISOWEEKNUM(INPUT!M3303),"")</f>
        <v>52</v>
      </c>
      <c r="D3308" s="20">
        <f>IFERROR(YEAR(INPUT!M3303),"")</f>
        <v>1900</v>
      </c>
      <c r="E3308" t="str">
        <f>IF(INPUT!O3303="","",INPUT!O3303)</f>
        <v/>
      </c>
      <c r="F3308" t="str">
        <f>IF(INPUT!N3303="","",INPUT!N3303)</f>
        <v/>
      </c>
      <c r="G3308" cm="1">
        <f t="array" ref="G3308">IFERROR(VLOOKUP(INPUT!M3303&amp;INPUT!N3303,CHOOSE({1,2},INPUT!$A$3:$A$5000&amp;INPUT!$C$3:$C$5000,INPUT!$F$3:$F$5000),2,FALSE),"")</f>
        <v>0</v>
      </c>
      <c r="H3308" cm="1">
        <f t="array" ref="H3308">IFERROR(VLOOKUP(INPUT!M3303&amp;INPUT!N3303,CHOOSE({1,2},INPUT!$A$3:$A$5000&amp;INPUT!$C$3:$C$5000,INPUT!$D$3:$D$5000),2,FALSE),"")</f>
        <v>0</v>
      </c>
      <c r="I3308" s="46" t="str">
        <f>IF(INPUT!P3303="","",INPUT!P3303)</f>
        <v/>
      </c>
      <c r="J3308" s="46" t="str">
        <f>IF(INPUT!Q3303="","",INPUT!Q3303)</f>
        <v/>
      </c>
      <c r="K3308" s="46" t="str">
        <f>IFERROR(IF(OR(INPUT!P3303="",INPUT!Q3303=""),"",INPUT!P3303-INPUT!Q3303),"")</f>
        <v/>
      </c>
      <c r="L3308" s="48" t="str">
        <f>IFERROR(IF(OR(INPUT!P3303="",INPUT!Q3303="",INPUT!P3303=0),"",(INPUT!P3303-INPUT!Q3303)/INPUT!P3303),"")</f>
        <v/>
      </c>
    </row>
    <row r="3309" spans="1:12" ht="18" hidden="1" customHeight="1" x14ac:dyDescent="0.2">
      <c r="A3309" s="11" t="str">
        <f>IF(INPUT!M3304="","",INPUT!M3304)</f>
        <v/>
      </c>
      <c r="B3309" s="11" t="str">
        <f>IF(INPUT!M3304="","",INPUT!M3304-WEEKDAY(INPUT!M3304,2)+1)</f>
        <v/>
      </c>
      <c r="C3309" s="20">
        <f>IFERROR(_xlfn.ISOWEEKNUM(INPUT!M3304),"")</f>
        <v>52</v>
      </c>
      <c r="D3309" s="20">
        <f>IFERROR(YEAR(INPUT!M3304),"")</f>
        <v>1900</v>
      </c>
      <c r="E3309" t="str">
        <f>IF(INPUT!O3304="","",INPUT!O3304)</f>
        <v/>
      </c>
      <c r="F3309" t="str">
        <f>IF(INPUT!N3304="","",INPUT!N3304)</f>
        <v/>
      </c>
      <c r="G3309" cm="1">
        <f t="array" ref="G3309">IFERROR(VLOOKUP(INPUT!M3304&amp;INPUT!N3304,CHOOSE({1,2},INPUT!$A$3:$A$5000&amp;INPUT!$C$3:$C$5000,INPUT!$F$3:$F$5000),2,FALSE),"")</f>
        <v>0</v>
      </c>
      <c r="H3309" cm="1">
        <f t="array" ref="H3309">IFERROR(VLOOKUP(INPUT!M3304&amp;INPUT!N3304,CHOOSE({1,2},INPUT!$A$3:$A$5000&amp;INPUT!$C$3:$C$5000,INPUT!$D$3:$D$5000),2,FALSE),"")</f>
        <v>0</v>
      </c>
      <c r="I3309" s="46" t="str">
        <f>IF(INPUT!P3304="","",INPUT!P3304)</f>
        <v/>
      </c>
      <c r="J3309" s="46" t="str">
        <f>IF(INPUT!Q3304="","",INPUT!Q3304)</f>
        <v/>
      </c>
      <c r="K3309" s="46" t="str">
        <f>IFERROR(IF(OR(INPUT!P3304="",INPUT!Q3304=""),"",INPUT!P3304-INPUT!Q3304),"")</f>
        <v/>
      </c>
      <c r="L3309" s="48" t="str">
        <f>IFERROR(IF(OR(INPUT!P3304="",INPUT!Q3304="",INPUT!P3304=0),"",(INPUT!P3304-INPUT!Q3304)/INPUT!P3304),"")</f>
        <v/>
      </c>
    </row>
    <row r="3310" spans="1:12" ht="18" hidden="1" customHeight="1" x14ac:dyDescent="0.2">
      <c r="A3310" s="11" t="str">
        <f>IF(INPUT!M3305="","",INPUT!M3305)</f>
        <v/>
      </c>
      <c r="B3310" s="11" t="str">
        <f>IF(INPUT!M3305="","",INPUT!M3305-WEEKDAY(INPUT!M3305,2)+1)</f>
        <v/>
      </c>
      <c r="C3310" s="20">
        <f>IFERROR(_xlfn.ISOWEEKNUM(INPUT!M3305),"")</f>
        <v>52</v>
      </c>
      <c r="D3310" s="20">
        <f>IFERROR(YEAR(INPUT!M3305),"")</f>
        <v>1900</v>
      </c>
      <c r="E3310" t="str">
        <f>IF(INPUT!O3305="","",INPUT!O3305)</f>
        <v/>
      </c>
      <c r="F3310" t="str">
        <f>IF(INPUT!N3305="","",INPUT!N3305)</f>
        <v/>
      </c>
      <c r="G3310" cm="1">
        <f t="array" ref="G3310">IFERROR(VLOOKUP(INPUT!M3305&amp;INPUT!N3305,CHOOSE({1,2},INPUT!$A$3:$A$5000&amp;INPUT!$C$3:$C$5000,INPUT!$F$3:$F$5000),2,FALSE),"")</f>
        <v>0</v>
      </c>
      <c r="H3310" cm="1">
        <f t="array" ref="H3310">IFERROR(VLOOKUP(INPUT!M3305&amp;INPUT!N3305,CHOOSE({1,2},INPUT!$A$3:$A$5000&amp;INPUT!$C$3:$C$5000,INPUT!$D$3:$D$5000),2,FALSE),"")</f>
        <v>0</v>
      </c>
      <c r="I3310" s="46" t="str">
        <f>IF(INPUT!P3305="","",INPUT!P3305)</f>
        <v/>
      </c>
      <c r="J3310" s="46" t="str">
        <f>IF(INPUT!Q3305="","",INPUT!Q3305)</f>
        <v/>
      </c>
      <c r="K3310" s="46" t="str">
        <f>IFERROR(IF(OR(INPUT!P3305="",INPUT!Q3305=""),"",INPUT!P3305-INPUT!Q3305),"")</f>
        <v/>
      </c>
      <c r="L3310" s="48" t="str">
        <f>IFERROR(IF(OR(INPUT!P3305="",INPUT!Q3305="",INPUT!P3305=0),"",(INPUT!P3305-INPUT!Q3305)/INPUT!P3305),"")</f>
        <v/>
      </c>
    </row>
    <row r="3311" spans="1:12" ht="18" hidden="1" customHeight="1" x14ac:dyDescent="0.2">
      <c r="A3311" s="11" t="str">
        <f>IF(INPUT!M3306="","",INPUT!M3306)</f>
        <v/>
      </c>
      <c r="B3311" s="11" t="str">
        <f>IF(INPUT!M3306="","",INPUT!M3306-WEEKDAY(INPUT!M3306,2)+1)</f>
        <v/>
      </c>
      <c r="C3311" s="20">
        <f>IFERROR(_xlfn.ISOWEEKNUM(INPUT!M3306),"")</f>
        <v>52</v>
      </c>
      <c r="D3311" s="20">
        <f>IFERROR(YEAR(INPUT!M3306),"")</f>
        <v>1900</v>
      </c>
      <c r="E3311" t="str">
        <f>IF(INPUT!O3306="","",INPUT!O3306)</f>
        <v/>
      </c>
      <c r="F3311" t="str">
        <f>IF(INPUT!N3306="","",INPUT!N3306)</f>
        <v/>
      </c>
      <c r="G3311" cm="1">
        <f t="array" ref="G3311">IFERROR(VLOOKUP(INPUT!M3306&amp;INPUT!N3306,CHOOSE({1,2},INPUT!$A$3:$A$5000&amp;INPUT!$C$3:$C$5000,INPUT!$F$3:$F$5000),2,FALSE),"")</f>
        <v>0</v>
      </c>
      <c r="H3311" cm="1">
        <f t="array" ref="H3311">IFERROR(VLOOKUP(INPUT!M3306&amp;INPUT!N3306,CHOOSE({1,2},INPUT!$A$3:$A$5000&amp;INPUT!$C$3:$C$5000,INPUT!$D$3:$D$5000),2,FALSE),"")</f>
        <v>0</v>
      </c>
      <c r="I3311" s="46" t="str">
        <f>IF(INPUT!P3306="","",INPUT!P3306)</f>
        <v/>
      </c>
      <c r="J3311" s="46" t="str">
        <f>IF(INPUT!Q3306="","",INPUT!Q3306)</f>
        <v/>
      </c>
      <c r="K3311" s="46" t="str">
        <f>IFERROR(IF(OR(INPUT!P3306="",INPUT!Q3306=""),"",INPUT!P3306-INPUT!Q3306),"")</f>
        <v/>
      </c>
      <c r="L3311" s="48" t="str">
        <f>IFERROR(IF(OR(INPUT!P3306="",INPUT!Q3306="",INPUT!P3306=0),"",(INPUT!P3306-INPUT!Q3306)/INPUT!P3306),"")</f>
        <v/>
      </c>
    </row>
    <row r="3312" spans="1:12" ht="18" hidden="1" customHeight="1" x14ac:dyDescent="0.2">
      <c r="A3312" s="11" t="str">
        <f>IF(INPUT!M3307="","",INPUT!M3307)</f>
        <v/>
      </c>
      <c r="B3312" s="11" t="str">
        <f>IF(INPUT!M3307="","",INPUT!M3307-WEEKDAY(INPUT!M3307,2)+1)</f>
        <v/>
      </c>
      <c r="C3312" s="20">
        <f>IFERROR(_xlfn.ISOWEEKNUM(INPUT!M3307),"")</f>
        <v>52</v>
      </c>
      <c r="D3312" s="20">
        <f>IFERROR(YEAR(INPUT!M3307),"")</f>
        <v>1900</v>
      </c>
      <c r="E3312" t="str">
        <f>IF(INPUT!O3307="","",INPUT!O3307)</f>
        <v/>
      </c>
      <c r="F3312" t="str">
        <f>IF(INPUT!N3307="","",INPUT!N3307)</f>
        <v/>
      </c>
      <c r="G3312" cm="1">
        <f t="array" ref="G3312">IFERROR(VLOOKUP(INPUT!M3307&amp;INPUT!N3307,CHOOSE({1,2},INPUT!$A$3:$A$5000&amp;INPUT!$C$3:$C$5000,INPUT!$F$3:$F$5000),2,FALSE),"")</f>
        <v>0</v>
      </c>
      <c r="H3312" cm="1">
        <f t="array" ref="H3312">IFERROR(VLOOKUP(INPUT!M3307&amp;INPUT!N3307,CHOOSE({1,2},INPUT!$A$3:$A$5000&amp;INPUT!$C$3:$C$5000,INPUT!$D$3:$D$5000),2,FALSE),"")</f>
        <v>0</v>
      </c>
      <c r="I3312" s="46" t="str">
        <f>IF(INPUT!P3307="","",INPUT!P3307)</f>
        <v/>
      </c>
      <c r="J3312" s="46" t="str">
        <f>IF(INPUT!Q3307="","",INPUT!Q3307)</f>
        <v/>
      </c>
      <c r="K3312" s="46" t="str">
        <f>IFERROR(IF(OR(INPUT!P3307="",INPUT!Q3307=""),"",INPUT!P3307-INPUT!Q3307),"")</f>
        <v/>
      </c>
      <c r="L3312" s="48" t="str">
        <f>IFERROR(IF(OR(INPUT!P3307="",INPUT!Q3307="",INPUT!P3307=0),"",(INPUT!P3307-INPUT!Q3307)/INPUT!P3307),"")</f>
        <v/>
      </c>
    </row>
    <row r="3313" spans="1:12" ht="18" hidden="1" customHeight="1" x14ac:dyDescent="0.2">
      <c r="A3313" s="11" t="str">
        <f>IF(INPUT!M3308="","",INPUT!M3308)</f>
        <v/>
      </c>
      <c r="B3313" s="11" t="str">
        <f>IF(INPUT!M3308="","",INPUT!M3308-WEEKDAY(INPUT!M3308,2)+1)</f>
        <v/>
      </c>
      <c r="C3313" s="20">
        <f>IFERROR(_xlfn.ISOWEEKNUM(INPUT!M3308),"")</f>
        <v>52</v>
      </c>
      <c r="D3313" s="20">
        <f>IFERROR(YEAR(INPUT!M3308),"")</f>
        <v>1900</v>
      </c>
      <c r="E3313" t="str">
        <f>IF(INPUT!O3308="","",INPUT!O3308)</f>
        <v/>
      </c>
      <c r="F3313" t="str">
        <f>IF(INPUT!N3308="","",INPUT!N3308)</f>
        <v/>
      </c>
      <c r="G3313" cm="1">
        <f t="array" ref="G3313">IFERROR(VLOOKUP(INPUT!M3308&amp;INPUT!N3308,CHOOSE({1,2},INPUT!$A$3:$A$5000&amp;INPUT!$C$3:$C$5000,INPUT!$F$3:$F$5000),2,FALSE),"")</f>
        <v>0</v>
      </c>
      <c r="H3313" cm="1">
        <f t="array" ref="H3313">IFERROR(VLOOKUP(INPUT!M3308&amp;INPUT!N3308,CHOOSE({1,2},INPUT!$A$3:$A$5000&amp;INPUT!$C$3:$C$5000,INPUT!$D$3:$D$5000),2,FALSE),"")</f>
        <v>0</v>
      </c>
      <c r="I3313" s="46" t="str">
        <f>IF(INPUT!P3308="","",INPUT!P3308)</f>
        <v/>
      </c>
      <c r="J3313" s="46" t="str">
        <f>IF(INPUT!Q3308="","",INPUT!Q3308)</f>
        <v/>
      </c>
      <c r="K3313" s="46" t="str">
        <f>IFERROR(IF(OR(INPUT!P3308="",INPUT!Q3308=""),"",INPUT!P3308-INPUT!Q3308),"")</f>
        <v/>
      </c>
      <c r="L3313" s="48" t="str">
        <f>IFERROR(IF(OR(INPUT!P3308="",INPUT!Q3308="",INPUT!P3308=0),"",(INPUT!P3308-INPUT!Q3308)/INPUT!P3308),"")</f>
        <v/>
      </c>
    </row>
    <row r="3314" spans="1:12" ht="18" hidden="1" customHeight="1" x14ac:dyDescent="0.2">
      <c r="A3314" s="11" t="str">
        <f>IF(INPUT!M3309="","",INPUT!M3309)</f>
        <v/>
      </c>
      <c r="B3314" s="11" t="str">
        <f>IF(INPUT!M3309="","",INPUT!M3309-WEEKDAY(INPUT!M3309,2)+1)</f>
        <v/>
      </c>
      <c r="C3314" s="20">
        <f>IFERROR(_xlfn.ISOWEEKNUM(INPUT!M3309),"")</f>
        <v>52</v>
      </c>
      <c r="D3314" s="20">
        <f>IFERROR(YEAR(INPUT!M3309),"")</f>
        <v>1900</v>
      </c>
      <c r="E3314" t="str">
        <f>IF(INPUT!O3309="","",INPUT!O3309)</f>
        <v/>
      </c>
      <c r="F3314" t="str">
        <f>IF(INPUT!N3309="","",INPUT!N3309)</f>
        <v/>
      </c>
      <c r="G3314" cm="1">
        <f t="array" ref="G3314">IFERROR(VLOOKUP(INPUT!M3309&amp;INPUT!N3309,CHOOSE({1,2},INPUT!$A$3:$A$5000&amp;INPUT!$C$3:$C$5000,INPUT!$F$3:$F$5000),2,FALSE),"")</f>
        <v>0</v>
      </c>
      <c r="H3314" cm="1">
        <f t="array" ref="H3314">IFERROR(VLOOKUP(INPUT!M3309&amp;INPUT!N3309,CHOOSE({1,2},INPUT!$A$3:$A$5000&amp;INPUT!$C$3:$C$5000,INPUT!$D$3:$D$5000),2,FALSE),"")</f>
        <v>0</v>
      </c>
      <c r="I3314" s="46" t="str">
        <f>IF(INPUT!P3309="","",INPUT!P3309)</f>
        <v/>
      </c>
      <c r="J3314" s="46" t="str">
        <f>IF(INPUT!Q3309="","",INPUT!Q3309)</f>
        <v/>
      </c>
      <c r="K3314" s="46" t="str">
        <f>IFERROR(IF(OR(INPUT!P3309="",INPUT!Q3309=""),"",INPUT!P3309-INPUT!Q3309),"")</f>
        <v/>
      </c>
      <c r="L3314" s="48" t="str">
        <f>IFERROR(IF(OR(INPUT!P3309="",INPUT!Q3309="",INPUT!P3309=0),"",(INPUT!P3309-INPUT!Q3309)/INPUT!P3309),"")</f>
        <v/>
      </c>
    </row>
    <row r="3315" spans="1:12" ht="18" hidden="1" customHeight="1" x14ac:dyDescent="0.2">
      <c r="A3315" s="11" t="str">
        <f>IF(INPUT!M3310="","",INPUT!M3310)</f>
        <v/>
      </c>
      <c r="B3315" s="11" t="str">
        <f>IF(INPUT!M3310="","",INPUT!M3310-WEEKDAY(INPUT!M3310,2)+1)</f>
        <v/>
      </c>
      <c r="C3315" s="20">
        <f>IFERROR(_xlfn.ISOWEEKNUM(INPUT!M3310),"")</f>
        <v>52</v>
      </c>
      <c r="D3315" s="20">
        <f>IFERROR(YEAR(INPUT!M3310),"")</f>
        <v>1900</v>
      </c>
      <c r="E3315" t="str">
        <f>IF(INPUT!O3310="","",INPUT!O3310)</f>
        <v/>
      </c>
      <c r="F3315" t="str">
        <f>IF(INPUT!N3310="","",INPUT!N3310)</f>
        <v/>
      </c>
      <c r="G3315" cm="1">
        <f t="array" ref="G3315">IFERROR(VLOOKUP(INPUT!M3310&amp;INPUT!N3310,CHOOSE({1,2},INPUT!$A$3:$A$5000&amp;INPUT!$C$3:$C$5000,INPUT!$F$3:$F$5000),2,FALSE),"")</f>
        <v>0</v>
      </c>
      <c r="H3315" cm="1">
        <f t="array" ref="H3315">IFERROR(VLOOKUP(INPUT!M3310&amp;INPUT!N3310,CHOOSE({1,2},INPUT!$A$3:$A$5000&amp;INPUT!$C$3:$C$5000,INPUT!$D$3:$D$5000),2,FALSE),"")</f>
        <v>0</v>
      </c>
      <c r="I3315" s="46" t="str">
        <f>IF(INPUT!P3310="","",INPUT!P3310)</f>
        <v/>
      </c>
      <c r="J3315" s="46" t="str">
        <f>IF(INPUT!Q3310="","",INPUT!Q3310)</f>
        <v/>
      </c>
      <c r="K3315" s="46" t="str">
        <f>IFERROR(IF(OR(INPUT!P3310="",INPUT!Q3310=""),"",INPUT!P3310-INPUT!Q3310),"")</f>
        <v/>
      </c>
      <c r="L3315" s="48" t="str">
        <f>IFERROR(IF(OR(INPUT!P3310="",INPUT!Q3310="",INPUT!P3310=0),"",(INPUT!P3310-INPUT!Q3310)/INPUT!P3310),"")</f>
        <v/>
      </c>
    </row>
    <row r="3316" spans="1:12" ht="18" hidden="1" customHeight="1" x14ac:dyDescent="0.2">
      <c r="A3316" s="11" t="str">
        <f>IF(INPUT!M3311="","",INPUT!M3311)</f>
        <v/>
      </c>
      <c r="B3316" s="11" t="str">
        <f>IF(INPUT!M3311="","",INPUT!M3311-WEEKDAY(INPUT!M3311,2)+1)</f>
        <v/>
      </c>
      <c r="C3316" s="20">
        <f>IFERROR(_xlfn.ISOWEEKNUM(INPUT!M3311),"")</f>
        <v>52</v>
      </c>
      <c r="D3316" s="20">
        <f>IFERROR(YEAR(INPUT!M3311),"")</f>
        <v>1900</v>
      </c>
      <c r="E3316" t="str">
        <f>IF(INPUT!O3311="","",INPUT!O3311)</f>
        <v/>
      </c>
      <c r="F3316" t="str">
        <f>IF(INPUT!N3311="","",INPUT!N3311)</f>
        <v/>
      </c>
      <c r="G3316" cm="1">
        <f t="array" ref="G3316">IFERROR(VLOOKUP(INPUT!M3311&amp;INPUT!N3311,CHOOSE({1,2},INPUT!$A$3:$A$5000&amp;INPUT!$C$3:$C$5000,INPUT!$F$3:$F$5000),2,FALSE),"")</f>
        <v>0</v>
      </c>
      <c r="H3316" cm="1">
        <f t="array" ref="H3316">IFERROR(VLOOKUP(INPUT!M3311&amp;INPUT!N3311,CHOOSE({1,2},INPUT!$A$3:$A$5000&amp;INPUT!$C$3:$C$5000,INPUT!$D$3:$D$5000),2,FALSE),"")</f>
        <v>0</v>
      </c>
      <c r="I3316" s="46" t="str">
        <f>IF(INPUT!P3311="","",INPUT!P3311)</f>
        <v/>
      </c>
      <c r="J3316" s="46" t="str">
        <f>IF(INPUT!Q3311="","",INPUT!Q3311)</f>
        <v/>
      </c>
      <c r="K3316" s="46" t="str">
        <f>IFERROR(IF(OR(INPUT!P3311="",INPUT!Q3311=""),"",INPUT!P3311-INPUT!Q3311),"")</f>
        <v/>
      </c>
      <c r="L3316" s="48" t="str">
        <f>IFERROR(IF(OR(INPUT!P3311="",INPUT!Q3311="",INPUT!P3311=0),"",(INPUT!P3311-INPUT!Q3311)/INPUT!P3311),"")</f>
        <v/>
      </c>
    </row>
    <row r="3317" spans="1:12" ht="18" hidden="1" customHeight="1" x14ac:dyDescent="0.2">
      <c r="A3317" s="11" t="str">
        <f>IF(INPUT!M3312="","",INPUT!M3312)</f>
        <v/>
      </c>
      <c r="B3317" s="11" t="str">
        <f>IF(INPUT!M3312="","",INPUT!M3312-WEEKDAY(INPUT!M3312,2)+1)</f>
        <v/>
      </c>
      <c r="C3317" s="20">
        <f>IFERROR(_xlfn.ISOWEEKNUM(INPUT!M3312),"")</f>
        <v>52</v>
      </c>
      <c r="D3317" s="20">
        <f>IFERROR(YEAR(INPUT!M3312),"")</f>
        <v>1900</v>
      </c>
      <c r="E3317" t="str">
        <f>IF(INPUT!O3312="","",INPUT!O3312)</f>
        <v/>
      </c>
      <c r="F3317" t="str">
        <f>IF(INPUT!N3312="","",INPUT!N3312)</f>
        <v/>
      </c>
      <c r="G3317" cm="1">
        <f t="array" ref="G3317">IFERROR(VLOOKUP(INPUT!M3312&amp;INPUT!N3312,CHOOSE({1,2},INPUT!$A$3:$A$5000&amp;INPUT!$C$3:$C$5000,INPUT!$F$3:$F$5000),2,FALSE),"")</f>
        <v>0</v>
      </c>
      <c r="H3317" cm="1">
        <f t="array" ref="H3317">IFERROR(VLOOKUP(INPUT!M3312&amp;INPUT!N3312,CHOOSE({1,2},INPUT!$A$3:$A$5000&amp;INPUT!$C$3:$C$5000,INPUT!$D$3:$D$5000),2,FALSE),"")</f>
        <v>0</v>
      </c>
      <c r="I3317" s="46" t="str">
        <f>IF(INPUT!P3312="","",INPUT!P3312)</f>
        <v/>
      </c>
      <c r="J3317" s="46" t="str">
        <f>IF(INPUT!Q3312="","",INPUT!Q3312)</f>
        <v/>
      </c>
      <c r="K3317" s="46" t="str">
        <f>IFERROR(IF(OR(INPUT!P3312="",INPUT!Q3312=""),"",INPUT!P3312-INPUT!Q3312),"")</f>
        <v/>
      </c>
      <c r="L3317" s="48" t="str">
        <f>IFERROR(IF(OR(INPUT!P3312="",INPUT!Q3312="",INPUT!P3312=0),"",(INPUT!P3312-INPUT!Q3312)/INPUT!P3312),"")</f>
        <v/>
      </c>
    </row>
    <row r="3318" spans="1:12" ht="18" hidden="1" customHeight="1" x14ac:dyDescent="0.2">
      <c r="A3318" s="11" t="str">
        <f>IF(INPUT!M3313="","",INPUT!M3313)</f>
        <v/>
      </c>
      <c r="B3318" s="11" t="str">
        <f>IF(INPUT!M3313="","",INPUT!M3313-WEEKDAY(INPUT!M3313,2)+1)</f>
        <v/>
      </c>
      <c r="C3318" s="20">
        <f>IFERROR(_xlfn.ISOWEEKNUM(INPUT!M3313),"")</f>
        <v>52</v>
      </c>
      <c r="D3318" s="20">
        <f>IFERROR(YEAR(INPUT!M3313),"")</f>
        <v>1900</v>
      </c>
      <c r="E3318" t="str">
        <f>IF(INPUT!O3313="","",INPUT!O3313)</f>
        <v/>
      </c>
      <c r="F3318" t="str">
        <f>IF(INPUT!N3313="","",INPUT!N3313)</f>
        <v/>
      </c>
      <c r="G3318" cm="1">
        <f t="array" ref="G3318">IFERROR(VLOOKUP(INPUT!M3313&amp;INPUT!N3313,CHOOSE({1,2},INPUT!$A$3:$A$5000&amp;INPUT!$C$3:$C$5000,INPUT!$F$3:$F$5000),2,FALSE),"")</f>
        <v>0</v>
      </c>
      <c r="H3318" cm="1">
        <f t="array" ref="H3318">IFERROR(VLOOKUP(INPUT!M3313&amp;INPUT!N3313,CHOOSE({1,2},INPUT!$A$3:$A$5000&amp;INPUT!$C$3:$C$5000,INPUT!$D$3:$D$5000),2,FALSE),"")</f>
        <v>0</v>
      </c>
      <c r="I3318" s="46" t="str">
        <f>IF(INPUT!P3313="","",INPUT!P3313)</f>
        <v/>
      </c>
      <c r="J3318" s="46" t="str">
        <f>IF(INPUT!Q3313="","",INPUT!Q3313)</f>
        <v/>
      </c>
      <c r="K3318" s="46" t="str">
        <f>IFERROR(IF(OR(INPUT!P3313="",INPUT!Q3313=""),"",INPUT!P3313-INPUT!Q3313),"")</f>
        <v/>
      </c>
      <c r="L3318" s="48" t="str">
        <f>IFERROR(IF(OR(INPUT!P3313="",INPUT!Q3313="",INPUT!P3313=0),"",(INPUT!P3313-INPUT!Q3313)/INPUT!P3313),"")</f>
        <v/>
      </c>
    </row>
    <row r="3319" spans="1:12" ht="18" hidden="1" customHeight="1" x14ac:dyDescent="0.2">
      <c r="A3319" s="11" t="str">
        <f>IF(INPUT!M3314="","",INPUT!M3314)</f>
        <v/>
      </c>
      <c r="B3319" s="11" t="str">
        <f>IF(INPUT!M3314="","",INPUT!M3314-WEEKDAY(INPUT!M3314,2)+1)</f>
        <v/>
      </c>
      <c r="C3319" s="20">
        <f>IFERROR(_xlfn.ISOWEEKNUM(INPUT!M3314),"")</f>
        <v>52</v>
      </c>
      <c r="D3319" s="20">
        <f>IFERROR(YEAR(INPUT!M3314),"")</f>
        <v>1900</v>
      </c>
      <c r="E3319" t="str">
        <f>IF(INPUT!O3314="","",INPUT!O3314)</f>
        <v/>
      </c>
      <c r="F3319" t="str">
        <f>IF(INPUT!N3314="","",INPUT!N3314)</f>
        <v/>
      </c>
      <c r="G3319" cm="1">
        <f t="array" ref="G3319">IFERROR(VLOOKUP(INPUT!M3314&amp;INPUT!N3314,CHOOSE({1,2},INPUT!$A$3:$A$5000&amp;INPUT!$C$3:$C$5000,INPUT!$F$3:$F$5000),2,FALSE),"")</f>
        <v>0</v>
      </c>
      <c r="H3319" cm="1">
        <f t="array" ref="H3319">IFERROR(VLOOKUP(INPUT!M3314&amp;INPUT!N3314,CHOOSE({1,2},INPUT!$A$3:$A$5000&amp;INPUT!$C$3:$C$5000,INPUT!$D$3:$D$5000),2,FALSE),"")</f>
        <v>0</v>
      </c>
      <c r="I3319" s="46" t="str">
        <f>IF(INPUT!P3314="","",INPUT!P3314)</f>
        <v/>
      </c>
      <c r="J3319" s="46" t="str">
        <f>IF(INPUT!Q3314="","",INPUT!Q3314)</f>
        <v/>
      </c>
      <c r="K3319" s="46" t="str">
        <f>IFERROR(IF(OR(INPUT!P3314="",INPUT!Q3314=""),"",INPUT!P3314-INPUT!Q3314),"")</f>
        <v/>
      </c>
      <c r="L3319" s="48" t="str">
        <f>IFERROR(IF(OR(INPUT!P3314="",INPUT!Q3314="",INPUT!P3314=0),"",(INPUT!P3314-INPUT!Q3314)/INPUT!P3314),"")</f>
        <v/>
      </c>
    </row>
    <row r="3320" spans="1:12" ht="18" hidden="1" customHeight="1" x14ac:dyDescent="0.2">
      <c r="A3320" s="11" t="str">
        <f>IF(INPUT!M3315="","",INPUT!M3315)</f>
        <v/>
      </c>
      <c r="B3320" s="11" t="str">
        <f>IF(INPUT!M3315="","",INPUT!M3315-WEEKDAY(INPUT!M3315,2)+1)</f>
        <v/>
      </c>
      <c r="C3320" s="20">
        <f>IFERROR(_xlfn.ISOWEEKNUM(INPUT!M3315),"")</f>
        <v>52</v>
      </c>
      <c r="D3320" s="20">
        <f>IFERROR(YEAR(INPUT!M3315),"")</f>
        <v>1900</v>
      </c>
      <c r="E3320" t="str">
        <f>IF(INPUT!O3315="","",INPUT!O3315)</f>
        <v/>
      </c>
      <c r="F3320" t="str">
        <f>IF(INPUT!N3315="","",INPUT!N3315)</f>
        <v/>
      </c>
      <c r="G3320" cm="1">
        <f t="array" ref="G3320">IFERROR(VLOOKUP(INPUT!M3315&amp;INPUT!N3315,CHOOSE({1,2},INPUT!$A$3:$A$5000&amp;INPUT!$C$3:$C$5000,INPUT!$F$3:$F$5000),2,FALSE),"")</f>
        <v>0</v>
      </c>
      <c r="H3320" cm="1">
        <f t="array" ref="H3320">IFERROR(VLOOKUP(INPUT!M3315&amp;INPUT!N3315,CHOOSE({1,2},INPUT!$A$3:$A$5000&amp;INPUT!$C$3:$C$5000,INPUT!$D$3:$D$5000),2,FALSE),"")</f>
        <v>0</v>
      </c>
      <c r="I3320" s="46" t="str">
        <f>IF(INPUT!P3315="","",INPUT!P3315)</f>
        <v/>
      </c>
      <c r="J3320" s="46" t="str">
        <f>IF(INPUT!Q3315="","",INPUT!Q3315)</f>
        <v/>
      </c>
      <c r="K3320" s="46" t="str">
        <f>IFERROR(IF(OR(INPUT!P3315="",INPUT!Q3315=""),"",INPUT!P3315-INPUT!Q3315),"")</f>
        <v/>
      </c>
      <c r="L3320" s="48" t="str">
        <f>IFERROR(IF(OR(INPUT!P3315="",INPUT!Q3315="",INPUT!P3315=0),"",(INPUT!P3315-INPUT!Q3315)/INPUT!P3315),"")</f>
        <v/>
      </c>
    </row>
    <row r="3321" spans="1:12" ht="18" hidden="1" customHeight="1" x14ac:dyDescent="0.2">
      <c r="A3321" s="11" t="str">
        <f>IF(INPUT!M3316="","",INPUT!M3316)</f>
        <v/>
      </c>
      <c r="B3321" s="11" t="str">
        <f>IF(INPUT!M3316="","",INPUT!M3316-WEEKDAY(INPUT!M3316,2)+1)</f>
        <v/>
      </c>
      <c r="C3321" s="20">
        <f>IFERROR(_xlfn.ISOWEEKNUM(INPUT!M3316),"")</f>
        <v>52</v>
      </c>
      <c r="D3321" s="20">
        <f>IFERROR(YEAR(INPUT!M3316),"")</f>
        <v>1900</v>
      </c>
      <c r="E3321" t="str">
        <f>IF(INPUT!O3316="","",INPUT!O3316)</f>
        <v/>
      </c>
      <c r="F3321" t="str">
        <f>IF(INPUT!N3316="","",INPUT!N3316)</f>
        <v/>
      </c>
      <c r="G3321" cm="1">
        <f t="array" ref="G3321">IFERROR(VLOOKUP(INPUT!M3316&amp;INPUT!N3316,CHOOSE({1,2},INPUT!$A$3:$A$5000&amp;INPUT!$C$3:$C$5000,INPUT!$F$3:$F$5000),2,FALSE),"")</f>
        <v>0</v>
      </c>
      <c r="H3321" cm="1">
        <f t="array" ref="H3321">IFERROR(VLOOKUP(INPUT!M3316&amp;INPUT!N3316,CHOOSE({1,2},INPUT!$A$3:$A$5000&amp;INPUT!$C$3:$C$5000,INPUT!$D$3:$D$5000),2,FALSE),"")</f>
        <v>0</v>
      </c>
      <c r="I3321" s="46" t="str">
        <f>IF(INPUT!P3316="","",INPUT!P3316)</f>
        <v/>
      </c>
      <c r="J3321" s="46" t="str">
        <f>IF(INPUT!Q3316="","",INPUT!Q3316)</f>
        <v/>
      </c>
      <c r="K3321" s="46" t="str">
        <f>IFERROR(IF(OR(INPUT!P3316="",INPUT!Q3316=""),"",INPUT!P3316-INPUT!Q3316),"")</f>
        <v/>
      </c>
      <c r="L3321" s="48" t="str">
        <f>IFERROR(IF(OR(INPUT!P3316="",INPUT!Q3316="",INPUT!P3316=0),"",(INPUT!P3316-INPUT!Q3316)/INPUT!P3316),"")</f>
        <v/>
      </c>
    </row>
    <row r="3322" spans="1:12" ht="18" hidden="1" customHeight="1" x14ac:dyDescent="0.2">
      <c r="A3322" s="11" t="str">
        <f>IF(INPUT!M3317="","",INPUT!M3317)</f>
        <v/>
      </c>
      <c r="B3322" s="11" t="str">
        <f>IF(INPUT!M3317="","",INPUT!M3317-WEEKDAY(INPUT!M3317,2)+1)</f>
        <v/>
      </c>
      <c r="C3322" s="20">
        <f>IFERROR(_xlfn.ISOWEEKNUM(INPUT!M3317),"")</f>
        <v>52</v>
      </c>
      <c r="D3322" s="20">
        <f>IFERROR(YEAR(INPUT!M3317),"")</f>
        <v>1900</v>
      </c>
      <c r="E3322" t="str">
        <f>IF(INPUT!O3317="","",INPUT!O3317)</f>
        <v/>
      </c>
      <c r="F3322" t="str">
        <f>IF(INPUT!N3317="","",INPUT!N3317)</f>
        <v/>
      </c>
      <c r="G3322" cm="1">
        <f t="array" ref="G3322">IFERROR(VLOOKUP(INPUT!M3317&amp;INPUT!N3317,CHOOSE({1,2},INPUT!$A$3:$A$5000&amp;INPUT!$C$3:$C$5000,INPUT!$F$3:$F$5000),2,FALSE),"")</f>
        <v>0</v>
      </c>
      <c r="H3322" cm="1">
        <f t="array" ref="H3322">IFERROR(VLOOKUP(INPUT!M3317&amp;INPUT!N3317,CHOOSE({1,2},INPUT!$A$3:$A$5000&amp;INPUT!$C$3:$C$5000,INPUT!$D$3:$D$5000),2,FALSE),"")</f>
        <v>0</v>
      </c>
      <c r="I3322" s="46" t="str">
        <f>IF(INPUT!P3317="","",INPUT!P3317)</f>
        <v/>
      </c>
      <c r="J3322" s="46" t="str">
        <f>IF(INPUT!Q3317="","",INPUT!Q3317)</f>
        <v/>
      </c>
      <c r="K3322" s="46" t="str">
        <f>IFERROR(IF(OR(INPUT!P3317="",INPUT!Q3317=""),"",INPUT!P3317-INPUT!Q3317),"")</f>
        <v/>
      </c>
      <c r="L3322" s="48" t="str">
        <f>IFERROR(IF(OR(INPUT!P3317="",INPUT!Q3317="",INPUT!P3317=0),"",(INPUT!P3317-INPUT!Q3317)/INPUT!P3317),"")</f>
        <v/>
      </c>
    </row>
    <row r="3323" spans="1:12" ht="18" hidden="1" customHeight="1" x14ac:dyDescent="0.2">
      <c r="A3323" s="11" t="str">
        <f>IF(INPUT!M3318="","",INPUT!M3318)</f>
        <v/>
      </c>
      <c r="B3323" s="11" t="str">
        <f>IF(INPUT!M3318="","",INPUT!M3318-WEEKDAY(INPUT!M3318,2)+1)</f>
        <v/>
      </c>
      <c r="C3323" s="20">
        <f>IFERROR(_xlfn.ISOWEEKNUM(INPUT!M3318),"")</f>
        <v>52</v>
      </c>
      <c r="D3323" s="20">
        <f>IFERROR(YEAR(INPUT!M3318),"")</f>
        <v>1900</v>
      </c>
      <c r="E3323" t="str">
        <f>IF(INPUT!O3318="","",INPUT!O3318)</f>
        <v/>
      </c>
      <c r="F3323" t="str">
        <f>IF(INPUT!N3318="","",INPUT!N3318)</f>
        <v/>
      </c>
      <c r="G3323" cm="1">
        <f t="array" ref="G3323">IFERROR(VLOOKUP(INPUT!M3318&amp;INPUT!N3318,CHOOSE({1,2},INPUT!$A$3:$A$5000&amp;INPUT!$C$3:$C$5000,INPUT!$F$3:$F$5000),2,FALSE),"")</f>
        <v>0</v>
      </c>
      <c r="H3323" cm="1">
        <f t="array" ref="H3323">IFERROR(VLOOKUP(INPUT!M3318&amp;INPUT!N3318,CHOOSE({1,2},INPUT!$A$3:$A$5000&amp;INPUT!$C$3:$C$5000,INPUT!$D$3:$D$5000),2,FALSE),"")</f>
        <v>0</v>
      </c>
      <c r="I3323" s="46" t="str">
        <f>IF(INPUT!P3318="","",INPUT!P3318)</f>
        <v/>
      </c>
      <c r="J3323" s="46" t="str">
        <f>IF(INPUT!Q3318="","",INPUT!Q3318)</f>
        <v/>
      </c>
      <c r="K3323" s="46" t="str">
        <f>IFERROR(IF(OR(INPUT!P3318="",INPUT!Q3318=""),"",INPUT!P3318-INPUT!Q3318),"")</f>
        <v/>
      </c>
      <c r="L3323" s="48" t="str">
        <f>IFERROR(IF(OR(INPUT!P3318="",INPUT!Q3318="",INPUT!P3318=0),"",(INPUT!P3318-INPUT!Q3318)/INPUT!P3318),"")</f>
        <v/>
      </c>
    </row>
    <row r="3324" spans="1:12" ht="18" hidden="1" customHeight="1" x14ac:dyDescent="0.2">
      <c r="A3324" s="11" t="str">
        <f>IF(INPUT!M3319="","",INPUT!M3319)</f>
        <v/>
      </c>
      <c r="B3324" s="11" t="str">
        <f>IF(INPUT!M3319="","",INPUT!M3319-WEEKDAY(INPUT!M3319,2)+1)</f>
        <v/>
      </c>
      <c r="C3324" s="20">
        <f>IFERROR(_xlfn.ISOWEEKNUM(INPUT!M3319),"")</f>
        <v>52</v>
      </c>
      <c r="D3324" s="20">
        <f>IFERROR(YEAR(INPUT!M3319),"")</f>
        <v>1900</v>
      </c>
      <c r="E3324" t="str">
        <f>IF(INPUT!O3319="","",INPUT!O3319)</f>
        <v/>
      </c>
      <c r="F3324" t="str">
        <f>IF(INPUT!N3319="","",INPUT!N3319)</f>
        <v/>
      </c>
      <c r="G3324" cm="1">
        <f t="array" ref="G3324">IFERROR(VLOOKUP(INPUT!M3319&amp;INPUT!N3319,CHOOSE({1,2},INPUT!$A$3:$A$5000&amp;INPUT!$C$3:$C$5000,INPUT!$F$3:$F$5000),2,FALSE),"")</f>
        <v>0</v>
      </c>
      <c r="H3324" cm="1">
        <f t="array" ref="H3324">IFERROR(VLOOKUP(INPUT!M3319&amp;INPUT!N3319,CHOOSE({1,2},INPUT!$A$3:$A$5000&amp;INPUT!$C$3:$C$5000,INPUT!$D$3:$D$5000),2,FALSE),"")</f>
        <v>0</v>
      </c>
      <c r="I3324" s="46" t="str">
        <f>IF(INPUT!P3319="","",INPUT!P3319)</f>
        <v/>
      </c>
      <c r="J3324" s="46" t="str">
        <f>IF(INPUT!Q3319="","",INPUT!Q3319)</f>
        <v/>
      </c>
      <c r="K3324" s="46" t="str">
        <f>IFERROR(IF(OR(INPUT!P3319="",INPUT!Q3319=""),"",INPUT!P3319-INPUT!Q3319),"")</f>
        <v/>
      </c>
      <c r="L3324" s="48" t="str">
        <f>IFERROR(IF(OR(INPUT!P3319="",INPUT!Q3319="",INPUT!P3319=0),"",(INPUT!P3319-INPUT!Q3319)/INPUT!P3319),"")</f>
        <v/>
      </c>
    </row>
    <row r="3325" spans="1:12" ht="18" hidden="1" customHeight="1" x14ac:dyDescent="0.2">
      <c r="A3325" s="11" t="str">
        <f>IF(INPUT!M3320="","",INPUT!M3320)</f>
        <v/>
      </c>
      <c r="B3325" s="11" t="str">
        <f>IF(INPUT!M3320="","",INPUT!M3320-WEEKDAY(INPUT!M3320,2)+1)</f>
        <v/>
      </c>
      <c r="C3325" s="20">
        <f>IFERROR(_xlfn.ISOWEEKNUM(INPUT!M3320),"")</f>
        <v>52</v>
      </c>
      <c r="D3325" s="20">
        <f>IFERROR(YEAR(INPUT!M3320),"")</f>
        <v>1900</v>
      </c>
      <c r="E3325" t="str">
        <f>IF(INPUT!O3320="","",INPUT!O3320)</f>
        <v/>
      </c>
      <c r="F3325" t="str">
        <f>IF(INPUT!N3320="","",INPUT!N3320)</f>
        <v/>
      </c>
      <c r="G3325" cm="1">
        <f t="array" ref="G3325">IFERROR(VLOOKUP(INPUT!M3320&amp;INPUT!N3320,CHOOSE({1,2},INPUT!$A$3:$A$5000&amp;INPUT!$C$3:$C$5000,INPUT!$F$3:$F$5000),2,FALSE),"")</f>
        <v>0</v>
      </c>
      <c r="H3325" cm="1">
        <f t="array" ref="H3325">IFERROR(VLOOKUP(INPUT!M3320&amp;INPUT!N3320,CHOOSE({1,2},INPUT!$A$3:$A$5000&amp;INPUT!$C$3:$C$5000,INPUT!$D$3:$D$5000),2,FALSE),"")</f>
        <v>0</v>
      </c>
      <c r="I3325" s="46" t="str">
        <f>IF(INPUT!P3320="","",INPUT!P3320)</f>
        <v/>
      </c>
      <c r="J3325" s="46" t="str">
        <f>IF(INPUT!Q3320="","",INPUT!Q3320)</f>
        <v/>
      </c>
      <c r="K3325" s="46" t="str">
        <f>IFERROR(IF(OR(INPUT!P3320="",INPUT!Q3320=""),"",INPUT!P3320-INPUT!Q3320),"")</f>
        <v/>
      </c>
      <c r="L3325" s="48" t="str">
        <f>IFERROR(IF(OR(INPUT!P3320="",INPUT!Q3320="",INPUT!P3320=0),"",(INPUT!P3320-INPUT!Q3320)/INPUT!P3320),"")</f>
        <v/>
      </c>
    </row>
    <row r="3326" spans="1:12" ht="18" hidden="1" customHeight="1" x14ac:dyDescent="0.2">
      <c r="A3326" s="11" t="str">
        <f>IF(INPUT!M3321="","",INPUT!M3321)</f>
        <v/>
      </c>
      <c r="B3326" s="11" t="str">
        <f>IF(INPUT!M3321="","",INPUT!M3321-WEEKDAY(INPUT!M3321,2)+1)</f>
        <v/>
      </c>
      <c r="C3326" s="20">
        <f>IFERROR(_xlfn.ISOWEEKNUM(INPUT!M3321),"")</f>
        <v>52</v>
      </c>
      <c r="D3326" s="20">
        <f>IFERROR(YEAR(INPUT!M3321),"")</f>
        <v>1900</v>
      </c>
      <c r="E3326" t="str">
        <f>IF(INPUT!O3321="","",INPUT!O3321)</f>
        <v/>
      </c>
      <c r="F3326" t="str">
        <f>IF(INPUT!N3321="","",INPUT!N3321)</f>
        <v/>
      </c>
      <c r="G3326" cm="1">
        <f t="array" ref="G3326">IFERROR(VLOOKUP(INPUT!M3321&amp;INPUT!N3321,CHOOSE({1,2},INPUT!$A$3:$A$5000&amp;INPUT!$C$3:$C$5000,INPUT!$F$3:$F$5000),2,FALSE),"")</f>
        <v>0</v>
      </c>
      <c r="H3326" cm="1">
        <f t="array" ref="H3326">IFERROR(VLOOKUP(INPUT!M3321&amp;INPUT!N3321,CHOOSE({1,2},INPUT!$A$3:$A$5000&amp;INPUT!$C$3:$C$5000,INPUT!$D$3:$D$5000),2,FALSE),"")</f>
        <v>0</v>
      </c>
      <c r="I3326" s="46" t="str">
        <f>IF(INPUT!P3321="","",INPUT!P3321)</f>
        <v/>
      </c>
      <c r="J3326" s="46" t="str">
        <f>IF(INPUT!Q3321="","",INPUT!Q3321)</f>
        <v/>
      </c>
      <c r="K3326" s="46" t="str">
        <f>IFERROR(IF(OR(INPUT!P3321="",INPUT!Q3321=""),"",INPUT!P3321-INPUT!Q3321),"")</f>
        <v/>
      </c>
      <c r="L3326" s="48" t="str">
        <f>IFERROR(IF(OR(INPUT!P3321="",INPUT!Q3321="",INPUT!P3321=0),"",(INPUT!P3321-INPUT!Q3321)/INPUT!P3321),"")</f>
        <v/>
      </c>
    </row>
    <row r="3327" spans="1:12" ht="18" hidden="1" customHeight="1" x14ac:dyDescent="0.2">
      <c r="A3327" s="11" t="str">
        <f>IF(INPUT!M3322="","",INPUT!M3322)</f>
        <v/>
      </c>
      <c r="B3327" s="11" t="str">
        <f>IF(INPUT!M3322="","",INPUT!M3322-WEEKDAY(INPUT!M3322,2)+1)</f>
        <v/>
      </c>
      <c r="C3327" s="20">
        <f>IFERROR(_xlfn.ISOWEEKNUM(INPUT!M3322),"")</f>
        <v>52</v>
      </c>
      <c r="D3327" s="20">
        <f>IFERROR(YEAR(INPUT!M3322),"")</f>
        <v>1900</v>
      </c>
      <c r="E3327" t="str">
        <f>IF(INPUT!O3322="","",INPUT!O3322)</f>
        <v/>
      </c>
      <c r="F3327" t="str">
        <f>IF(INPUT!N3322="","",INPUT!N3322)</f>
        <v/>
      </c>
      <c r="G3327" cm="1">
        <f t="array" ref="G3327">IFERROR(VLOOKUP(INPUT!M3322&amp;INPUT!N3322,CHOOSE({1,2},INPUT!$A$3:$A$5000&amp;INPUT!$C$3:$C$5000,INPUT!$F$3:$F$5000),2,FALSE),"")</f>
        <v>0</v>
      </c>
      <c r="H3327" cm="1">
        <f t="array" ref="H3327">IFERROR(VLOOKUP(INPUT!M3322&amp;INPUT!N3322,CHOOSE({1,2},INPUT!$A$3:$A$5000&amp;INPUT!$C$3:$C$5000,INPUT!$D$3:$D$5000),2,FALSE),"")</f>
        <v>0</v>
      </c>
      <c r="I3327" s="46" t="str">
        <f>IF(INPUT!P3322="","",INPUT!P3322)</f>
        <v/>
      </c>
      <c r="J3327" s="46" t="str">
        <f>IF(INPUT!Q3322="","",INPUT!Q3322)</f>
        <v/>
      </c>
      <c r="K3327" s="46" t="str">
        <f>IFERROR(IF(OR(INPUT!P3322="",INPUT!Q3322=""),"",INPUT!P3322-INPUT!Q3322),"")</f>
        <v/>
      </c>
      <c r="L3327" s="48" t="str">
        <f>IFERROR(IF(OR(INPUT!P3322="",INPUT!Q3322="",INPUT!P3322=0),"",(INPUT!P3322-INPUT!Q3322)/INPUT!P3322),"")</f>
        <v/>
      </c>
    </row>
    <row r="3328" spans="1:12" ht="18" hidden="1" customHeight="1" x14ac:dyDescent="0.2">
      <c r="A3328" s="11" t="str">
        <f>IF(INPUT!M3323="","",INPUT!M3323)</f>
        <v/>
      </c>
      <c r="B3328" s="11" t="str">
        <f>IF(INPUT!M3323="","",INPUT!M3323-WEEKDAY(INPUT!M3323,2)+1)</f>
        <v/>
      </c>
      <c r="C3328" s="20">
        <f>IFERROR(_xlfn.ISOWEEKNUM(INPUT!M3323),"")</f>
        <v>52</v>
      </c>
      <c r="D3328" s="20">
        <f>IFERROR(YEAR(INPUT!M3323),"")</f>
        <v>1900</v>
      </c>
      <c r="E3328" t="str">
        <f>IF(INPUT!O3323="","",INPUT!O3323)</f>
        <v/>
      </c>
      <c r="F3328" t="str">
        <f>IF(INPUT!N3323="","",INPUT!N3323)</f>
        <v/>
      </c>
      <c r="G3328" cm="1">
        <f t="array" ref="G3328">IFERROR(VLOOKUP(INPUT!M3323&amp;INPUT!N3323,CHOOSE({1,2},INPUT!$A$3:$A$5000&amp;INPUT!$C$3:$C$5000,INPUT!$F$3:$F$5000),2,FALSE),"")</f>
        <v>0</v>
      </c>
      <c r="H3328" cm="1">
        <f t="array" ref="H3328">IFERROR(VLOOKUP(INPUT!M3323&amp;INPUT!N3323,CHOOSE({1,2},INPUT!$A$3:$A$5000&amp;INPUT!$C$3:$C$5000,INPUT!$D$3:$D$5000),2,FALSE),"")</f>
        <v>0</v>
      </c>
      <c r="I3328" s="46" t="str">
        <f>IF(INPUT!P3323="","",INPUT!P3323)</f>
        <v/>
      </c>
      <c r="J3328" s="46" t="str">
        <f>IF(INPUT!Q3323="","",INPUT!Q3323)</f>
        <v/>
      </c>
      <c r="K3328" s="46" t="str">
        <f>IFERROR(IF(OR(INPUT!P3323="",INPUT!Q3323=""),"",INPUT!P3323-INPUT!Q3323),"")</f>
        <v/>
      </c>
      <c r="L3328" s="48" t="str">
        <f>IFERROR(IF(OR(INPUT!P3323="",INPUT!Q3323="",INPUT!P3323=0),"",(INPUT!P3323-INPUT!Q3323)/INPUT!P3323),"")</f>
        <v/>
      </c>
    </row>
    <row r="3329" spans="1:12" ht="18" hidden="1" customHeight="1" x14ac:dyDescent="0.2">
      <c r="A3329" s="11" t="str">
        <f>IF(INPUT!M3324="","",INPUT!M3324)</f>
        <v/>
      </c>
      <c r="B3329" s="11" t="str">
        <f>IF(INPUT!M3324="","",INPUT!M3324-WEEKDAY(INPUT!M3324,2)+1)</f>
        <v/>
      </c>
      <c r="C3329" s="20">
        <f>IFERROR(_xlfn.ISOWEEKNUM(INPUT!M3324),"")</f>
        <v>52</v>
      </c>
      <c r="D3329" s="20">
        <f>IFERROR(YEAR(INPUT!M3324),"")</f>
        <v>1900</v>
      </c>
      <c r="E3329" t="str">
        <f>IF(INPUT!O3324="","",INPUT!O3324)</f>
        <v/>
      </c>
      <c r="F3329" t="str">
        <f>IF(INPUT!N3324="","",INPUT!N3324)</f>
        <v/>
      </c>
      <c r="G3329" cm="1">
        <f t="array" ref="G3329">IFERROR(VLOOKUP(INPUT!M3324&amp;INPUT!N3324,CHOOSE({1,2},INPUT!$A$3:$A$5000&amp;INPUT!$C$3:$C$5000,INPUT!$F$3:$F$5000),2,FALSE),"")</f>
        <v>0</v>
      </c>
      <c r="H3329" cm="1">
        <f t="array" ref="H3329">IFERROR(VLOOKUP(INPUT!M3324&amp;INPUT!N3324,CHOOSE({1,2},INPUT!$A$3:$A$5000&amp;INPUT!$C$3:$C$5000,INPUT!$D$3:$D$5000),2,FALSE),"")</f>
        <v>0</v>
      </c>
      <c r="I3329" s="46" t="str">
        <f>IF(INPUT!P3324="","",INPUT!P3324)</f>
        <v/>
      </c>
      <c r="J3329" s="46" t="str">
        <f>IF(INPUT!Q3324="","",INPUT!Q3324)</f>
        <v/>
      </c>
      <c r="K3329" s="46" t="str">
        <f>IFERROR(IF(OR(INPUT!P3324="",INPUT!Q3324=""),"",INPUT!P3324-INPUT!Q3324),"")</f>
        <v/>
      </c>
      <c r="L3329" s="48" t="str">
        <f>IFERROR(IF(OR(INPUT!P3324="",INPUT!Q3324="",INPUT!P3324=0),"",(INPUT!P3324-INPUT!Q3324)/INPUT!P3324),"")</f>
        <v/>
      </c>
    </row>
    <row r="3330" spans="1:12" ht="18" hidden="1" customHeight="1" x14ac:dyDescent="0.2">
      <c r="A3330" s="11" t="str">
        <f>IF(INPUT!M3325="","",INPUT!M3325)</f>
        <v/>
      </c>
      <c r="B3330" s="11" t="str">
        <f>IF(INPUT!M3325="","",INPUT!M3325-WEEKDAY(INPUT!M3325,2)+1)</f>
        <v/>
      </c>
      <c r="C3330" s="20">
        <f>IFERROR(_xlfn.ISOWEEKNUM(INPUT!M3325),"")</f>
        <v>52</v>
      </c>
      <c r="D3330" s="20">
        <f>IFERROR(YEAR(INPUT!M3325),"")</f>
        <v>1900</v>
      </c>
      <c r="E3330" t="str">
        <f>IF(INPUT!O3325="","",INPUT!O3325)</f>
        <v/>
      </c>
      <c r="F3330" t="str">
        <f>IF(INPUT!N3325="","",INPUT!N3325)</f>
        <v/>
      </c>
      <c r="G3330" cm="1">
        <f t="array" ref="G3330">IFERROR(VLOOKUP(INPUT!M3325&amp;INPUT!N3325,CHOOSE({1,2},INPUT!$A$3:$A$5000&amp;INPUT!$C$3:$C$5000,INPUT!$F$3:$F$5000),2,FALSE),"")</f>
        <v>0</v>
      </c>
      <c r="H3330" cm="1">
        <f t="array" ref="H3330">IFERROR(VLOOKUP(INPUT!M3325&amp;INPUT!N3325,CHOOSE({1,2},INPUT!$A$3:$A$5000&amp;INPUT!$C$3:$C$5000,INPUT!$D$3:$D$5000),2,FALSE),"")</f>
        <v>0</v>
      </c>
      <c r="I3330" s="46" t="str">
        <f>IF(INPUT!P3325="","",INPUT!P3325)</f>
        <v/>
      </c>
      <c r="J3330" s="46" t="str">
        <f>IF(INPUT!Q3325="","",INPUT!Q3325)</f>
        <v/>
      </c>
      <c r="K3330" s="46" t="str">
        <f>IFERROR(IF(OR(INPUT!P3325="",INPUT!Q3325=""),"",INPUT!P3325-INPUT!Q3325),"")</f>
        <v/>
      </c>
      <c r="L3330" s="48" t="str">
        <f>IFERROR(IF(OR(INPUT!P3325="",INPUT!Q3325="",INPUT!P3325=0),"",(INPUT!P3325-INPUT!Q3325)/INPUT!P3325),"")</f>
        <v/>
      </c>
    </row>
    <row r="3331" spans="1:12" ht="18" hidden="1" customHeight="1" x14ac:dyDescent="0.2">
      <c r="A3331" s="11" t="str">
        <f>IF(INPUT!M3326="","",INPUT!M3326)</f>
        <v/>
      </c>
      <c r="B3331" s="11" t="str">
        <f>IF(INPUT!M3326="","",INPUT!M3326-WEEKDAY(INPUT!M3326,2)+1)</f>
        <v/>
      </c>
      <c r="C3331" s="20">
        <f>IFERROR(_xlfn.ISOWEEKNUM(INPUT!M3326),"")</f>
        <v>52</v>
      </c>
      <c r="D3331" s="20">
        <f>IFERROR(YEAR(INPUT!M3326),"")</f>
        <v>1900</v>
      </c>
      <c r="E3331" t="str">
        <f>IF(INPUT!O3326="","",INPUT!O3326)</f>
        <v/>
      </c>
      <c r="F3331" t="str">
        <f>IF(INPUT!N3326="","",INPUT!N3326)</f>
        <v/>
      </c>
      <c r="G3331" cm="1">
        <f t="array" ref="G3331">IFERROR(VLOOKUP(INPUT!M3326&amp;INPUT!N3326,CHOOSE({1,2},INPUT!$A$3:$A$5000&amp;INPUT!$C$3:$C$5000,INPUT!$F$3:$F$5000),2,FALSE),"")</f>
        <v>0</v>
      </c>
      <c r="H3331" cm="1">
        <f t="array" ref="H3331">IFERROR(VLOOKUP(INPUT!M3326&amp;INPUT!N3326,CHOOSE({1,2},INPUT!$A$3:$A$5000&amp;INPUT!$C$3:$C$5000,INPUT!$D$3:$D$5000),2,FALSE),"")</f>
        <v>0</v>
      </c>
      <c r="I3331" s="46" t="str">
        <f>IF(INPUT!P3326="","",INPUT!P3326)</f>
        <v/>
      </c>
      <c r="J3331" s="46" t="str">
        <f>IF(INPUT!Q3326="","",INPUT!Q3326)</f>
        <v/>
      </c>
      <c r="K3331" s="46" t="str">
        <f>IFERROR(IF(OR(INPUT!P3326="",INPUT!Q3326=""),"",INPUT!P3326-INPUT!Q3326),"")</f>
        <v/>
      </c>
      <c r="L3331" s="48" t="str">
        <f>IFERROR(IF(OR(INPUT!P3326="",INPUT!Q3326="",INPUT!P3326=0),"",(INPUT!P3326-INPUT!Q3326)/INPUT!P3326),"")</f>
        <v/>
      </c>
    </row>
    <row r="3332" spans="1:12" ht="18" hidden="1" customHeight="1" x14ac:dyDescent="0.2">
      <c r="A3332" s="11" t="str">
        <f>IF(INPUT!M3327="","",INPUT!M3327)</f>
        <v/>
      </c>
      <c r="B3332" s="11" t="str">
        <f>IF(INPUT!M3327="","",INPUT!M3327-WEEKDAY(INPUT!M3327,2)+1)</f>
        <v/>
      </c>
      <c r="C3332" s="20">
        <f>IFERROR(_xlfn.ISOWEEKNUM(INPUT!M3327),"")</f>
        <v>52</v>
      </c>
      <c r="D3332" s="20">
        <f>IFERROR(YEAR(INPUT!M3327),"")</f>
        <v>1900</v>
      </c>
      <c r="E3332" t="str">
        <f>IF(INPUT!O3327="","",INPUT!O3327)</f>
        <v/>
      </c>
      <c r="F3332" t="str">
        <f>IF(INPUT!N3327="","",INPUT!N3327)</f>
        <v/>
      </c>
      <c r="G3332" cm="1">
        <f t="array" ref="G3332">IFERROR(VLOOKUP(INPUT!M3327&amp;INPUT!N3327,CHOOSE({1,2},INPUT!$A$3:$A$5000&amp;INPUT!$C$3:$C$5000,INPUT!$F$3:$F$5000),2,FALSE),"")</f>
        <v>0</v>
      </c>
      <c r="H3332" cm="1">
        <f t="array" ref="H3332">IFERROR(VLOOKUP(INPUT!M3327&amp;INPUT!N3327,CHOOSE({1,2},INPUT!$A$3:$A$5000&amp;INPUT!$C$3:$C$5000,INPUT!$D$3:$D$5000),2,FALSE),"")</f>
        <v>0</v>
      </c>
      <c r="I3332" s="46" t="str">
        <f>IF(INPUT!P3327="","",INPUT!P3327)</f>
        <v/>
      </c>
      <c r="J3332" s="46" t="str">
        <f>IF(INPUT!Q3327="","",INPUT!Q3327)</f>
        <v/>
      </c>
      <c r="K3332" s="46" t="str">
        <f>IFERROR(IF(OR(INPUT!P3327="",INPUT!Q3327=""),"",INPUT!P3327-INPUT!Q3327),"")</f>
        <v/>
      </c>
      <c r="L3332" s="48" t="str">
        <f>IFERROR(IF(OR(INPUT!P3327="",INPUT!Q3327="",INPUT!P3327=0),"",(INPUT!P3327-INPUT!Q3327)/INPUT!P3327),"")</f>
        <v/>
      </c>
    </row>
    <row r="3333" spans="1:12" ht="18" hidden="1" customHeight="1" x14ac:dyDescent="0.2">
      <c r="A3333" s="11" t="str">
        <f>IF(INPUT!M3328="","",INPUT!M3328)</f>
        <v/>
      </c>
      <c r="B3333" s="11" t="str">
        <f>IF(INPUT!M3328="","",INPUT!M3328-WEEKDAY(INPUT!M3328,2)+1)</f>
        <v/>
      </c>
      <c r="C3333" s="20">
        <f>IFERROR(_xlfn.ISOWEEKNUM(INPUT!M3328),"")</f>
        <v>52</v>
      </c>
      <c r="D3333" s="20">
        <f>IFERROR(YEAR(INPUT!M3328),"")</f>
        <v>1900</v>
      </c>
      <c r="E3333" t="str">
        <f>IF(INPUT!O3328="","",INPUT!O3328)</f>
        <v/>
      </c>
      <c r="F3333" t="str">
        <f>IF(INPUT!N3328="","",INPUT!N3328)</f>
        <v/>
      </c>
      <c r="G3333" cm="1">
        <f t="array" ref="G3333">IFERROR(VLOOKUP(INPUT!M3328&amp;INPUT!N3328,CHOOSE({1,2},INPUT!$A$3:$A$5000&amp;INPUT!$C$3:$C$5000,INPUT!$F$3:$F$5000),2,FALSE),"")</f>
        <v>0</v>
      </c>
      <c r="H3333" cm="1">
        <f t="array" ref="H3333">IFERROR(VLOOKUP(INPUT!M3328&amp;INPUT!N3328,CHOOSE({1,2},INPUT!$A$3:$A$5000&amp;INPUT!$C$3:$C$5000,INPUT!$D$3:$D$5000),2,FALSE),"")</f>
        <v>0</v>
      </c>
      <c r="I3333" s="46" t="str">
        <f>IF(INPUT!P3328="","",INPUT!P3328)</f>
        <v/>
      </c>
      <c r="J3333" s="46" t="str">
        <f>IF(INPUT!Q3328="","",INPUT!Q3328)</f>
        <v/>
      </c>
      <c r="K3333" s="46" t="str">
        <f>IFERROR(IF(OR(INPUT!P3328="",INPUT!Q3328=""),"",INPUT!P3328-INPUT!Q3328),"")</f>
        <v/>
      </c>
      <c r="L3333" s="48" t="str">
        <f>IFERROR(IF(OR(INPUT!P3328="",INPUT!Q3328="",INPUT!P3328=0),"",(INPUT!P3328-INPUT!Q3328)/INPUT!P3328),"")</f>
        <v/>
      </c>
    </row>
    <row r="3334" spans="1:12" ht="18" hidden="1" customHeight="1" x14ac:dyDescent="0.2">
      <c r="A3334" s="11" t="str">
        <f>IF(INPUT!M3329="","",INPUT!M3329)</f>
        <v/>
      </c>
      <c r="B3334" s="11" t="str">
        <f>IF(INPUT!M3329="","",INPUT!M3329-WEEKDAY(INPUT!M3329,2)+1)</f>
        <v/>
      </c>
      <c r="C3334" s="20">
        <f>IFERROR(_xlfn.ISOWEEKNUM(INPUT!M3329),"")</f>
        <v>52</v>
      </c>
      <c r="D3334" s="20">
        <f>IFERROR(YEAR(INPUT!M3329),"")</f>
        <v>1900</v>
      </c>
      <c r="E3334" t="str">
        <f>IF(INPUT!O3329="","",INPUT!O3329)</f>
        <v/>
      </c>
      <c r="F3334" t="str">
        <f>IF(INPUT!N3329="","",INPUT!N3329)</f>
        <v/>
      </c>
      <c r="G3334" cm="1">
        <f t="array" ref="G3334">IFERROR(VLOOKUP(INPUT!M3329&amp;INPUT!N3329,CHOOSE({1,2},INPUT!$A$3:$A$5000&amp;INPUT!$C$3:$C$5000,INPUT!$F$3:$F$5000),2,FALSE),"")</f>
        <v>0</v>
      </c>
      <c r="H3334" cm="1">
        <f t="array" ref="H3334">IFERROR(VLOOKUP(INPUT!M3329&amp;INPUT!N3329,CHOOSE({1,2},INPUT!$A$3:$A$5000&amp;INPUT!$C$3:$C$5000,INPUT!$D$3:$D$5000),2,FALSE),"")</f>
        <v>0</v>
      </c>
      <c r="I3334" s="46" t="str">
        <f>IF(INPUT!P3329="","",INPUT!P3329)</f>
        <v/>
      </c>
      <c r="J3334" s="46" t="str">
        <f>IF(INPUT!Q3329="","",INPUT!Q3329)</f>
        <v/>
      </c>
      <c r="K3334" s="46" t="str">
        <f>IFERROR(IF(OR(INPUT!P3329="",INPUT!Q3329=""),"",INPUT!P3329-INPUT!Q3329),"")</f>
        <v/>
      </c>
      <c r="L3334" s="48" t="str">
        <f>IFERROR(IF(OR(INPUT!P3329="",INPUT!Q3329="",INPUT!P3329=0),"",(INPUT!P3329-INPUT!Q3329)/INPUT!P3329),"")</f>
        <v/>
      </c>
    </row>
    <row r="3335" spans="1:12" ht="18" hidden="1" customHeight="1" x14ac:dyDescent="0.2">
      <c r="A3335" s="11" t="str">
        <f>IF(INPUT!M3330="","",INPUT!M3330)</f>
        <v/>
      </c>
      <c r="B3335" s="11" t="str">
        <f>IF(INPUT!M3330="","",INPUT!M3330-WEEKDAY(INPUT!M3330,2)+1)</f>
        <v/>
      </c>
      <c r="C3335" s="20">
        <f>IFERROR(_xlfn.ISOWEEKNUM(INPUT!M3330),"")</f>
        <v>52</v>
      </c>
      <c r="D3335" s="20">
        <f>IFERROR(YEAR(INPUT!M3330),"")</f>
        <v>1900</v>
      </c>
      <c r="E3335" t="str">
        <f>IF(INPUT!O3330="","",INPUT!O3330)</f>
        <v/>
      </c>
      <c r="F3335" t="str">
        <f>IF(INPUT!N3330="","",INPUT!N3330)</f>
        <v/>
      </c>
      <c r="G3335" cm="1">
        <f t="array" ref="G3335">IFERROR(VLOOKUP(INPUT!M3330&amp;INPUT!N3330,CHOOSE({1,2},INPUT!$A$3:$A$5000&amp;INPUT!$C$3:$C$5000,INPUT!$F$3:$F$5000),2,FALSE),"")</f>
        <v>0</v>
      </c>
      <c r="H3335" cm="1">
        <f t="array" ref="H3335">IFERROR(VLOOKUP(INPUT!M3330&amp;INPUT!N3330,CHOOSE({1,2},INPUT!$A$3:$A$5000&amp;INPUT!$C$3:$C$5000,INPUT!$D$3:$D$5000),2,FALSE),"")</f>
        <v>0</v>
      </c>
      <c r="I3335" s="46" t="str">
        <f>IF(INPUT!P3330="","",INPUT!P3330)</f>
        <v/>
      </c>
      <c r="J3335" s="46" t="str">
        <f>IF(INPUT!Q3330="","",INPUT!Q3330)</f>
        <v/>
      </c>
      <c r="K3335" s="46" t="str">
        <f>IFERROR(IF(OR(INPUT!P3330="",INPUT!Q3330=""),"",INPUT!P3330-INPUT!Q3330),"")</f>
        <v/>
      </c>
      <c r="L3335" s="48" t="str">
        <f>IFERROR(IF(OR(INPUT!P3330="",INPUT!Q3330="",INPUT!P3330=0),"",(INPUT!P3330-INPUT!Q3330)/INPUT!P3330),"")</f>
        <v/>
      </c>
    </row>
    <row r="3336" spans="1:12" ht="18" hidden="1" customHeight="1" x14ac:dyDescent="0.2">
      <c r="A3336" s="11" t="str">
        <f>IF(INPUT!M3331="","",INPUT!M3331)</f>
        <v/>
      </c>
      <c r="B3336" s="11" t="str">
        <f>IF(INPUT!M3331="","",INPUT!M3331-WEEKDAY(INPUT!M3331,2)+1)</f>
        <v/>
      </c>
      <c r="C3336" s="20">
        <f>IFERROR(_xlfn.ISOWEEKNUM(INPUT!M3331),"")</f>
        <v>52</v>
      </c>
      <c r="D3336" s="20">
        <f>IFERROR(YEAR(INPUT!M3331),"")</f>
        <v>1900</v>
      </c>
      <c r="E3336" t="str">
        <f>IF(INPUT!O3331="","",INPUT!O3331)</f>
        <v/>
      </c>
      <c r="F3336" t="str">
        <f>IF(INPUT!N3331="","",INPUT!N3331)</f>
        <v/>
      </c>
      <c r="G3336" cm="1">
        <f t="array" ref="G3336">IFERROR(VLOOKUP(INPUT!M3331&amp;INPUT!N3331,CHOOSE({1,2},INPUT!$A$3:$A$5000&amp;INPUT!$C$3:$C$5000,INPUT!$F$3:$F$5000),2,FALSE),"")</f>
        <v>0</v>
      </c>
      <c r="H3336" cm="1">
        <f t="array" ref="H3336">IFERROR(VLOOKUP(INPUT!M3331&amp;INPUT!N3331,CHOOSE({1,2},INPUT!$A$3:$A$5000&amp;INPUT!$C$3:$C$5000,INPUT!$D$3:$D$5000),2,FALSE),"")</f>
        <v>0</v>
      </c>
      <c r="I3336" s="46" t="str">
        <f>IF(INPUT!P3331="","",INPUT!P3331)</f>
        <v/>
      </c>
      <c r="J3336" s="46" t="str">
        <f>IF(INPUT!Q3331="","",INPUT!Q3331)</f>
        <v/>
      </c>
      <c r="K3336" s="46" t="str">
        <f>IFERROR(IF(OR(INPUT!P3331="",INPUT!Q3331=""),"",INPUT!P3331-INPUT!Q3331),"")</f>
        <v/>
      </c>
      <c r="L3336" s="48" t="str">
        <f>IFERROR(IF(OR(INPUT!P3331="",INPUT!Q3331="",INPUT!P3331=0),"",(INPUT!P3331-INPUT!Q3331)/INPUT!P3331),"")</f>
        <v/>
      </c>
    </row>
    <row r="3337" spans="1:12" ht="18" hidden="1" customHeight="1" x14ac:dyDescent="0.2">
      <c r="A3337" s="11" t="str">
        <f>IF(INPUT!M3332="","",INPUT!M3332)</f>
        <v/>
      </c>
      <c r="B3337" s="11" t="str">
        <f>IF(INPUT!M3332="","",INPUT!M3332-WEEKDAY(INPUT!M3332,2)+1)</f>
        <v/>
      </c>
      <c r="C3337" s="20">
        <f>IFERROR(_xlfn.ISOWEEKNUM(INPUT!M3332),"")</f>
        <v>52</v>
      </c>
      <c r="D3337" s="20">
        <f>IFERROR(YEAR(INPUT!M3332),"")</f>
        <v>1900</v>
      </c>
      <c r="E3337" t="str">
        <f>IF(INPUT!O3332="","",INPUT!O3332)</f>
        <v/>
      </c>
      <c r="F3337" t="str">
        <f>IF(INPUT!N3332="","",INPUT!N3332)</f>
        <v/>
      </c>
      <c r="G3337" cm="1">
        <f t="array" ref="G3337">IFERROR(VLOOKUP(INPUT!M3332&amp;INPUT!N3332,CHOOSE({1,2},INPUT!$A$3:$A$5000&amp;INPUT!$C$3:$C$5000,INPUT!$F$3:$F$5000),2,FALSE),"")</f>
        <v>0</v>
      </c>
      <c r="H3337" cm="1">
        <f t="array" ref="H3337">IFERROR(VLOOKUP(INPUT!M3332&amp;INPUT!N3332,CHOOSE({1,2},INPUT!$A$3:$A$5000&amp;INPUT!$C$3:$C$5000,INPUT!$D$3:$D$5000),2,FALSE),"")</f>
        <v>0</v>
      </c>
      <c r="I3337" s="46" t="str">
        <f>IF(INPUT!P3332="","",INPUT!P3332)</f>
        <v/>
      </c>
      <c r="J3337" s="46" t="str">
        <f>IF(INPUT!Q3332="","",INPUT!Q3332)</f>
        <v/>
      </c>
      <c r="K3337" s="46" t="str">
        <f>IFERROR(IF(OR(INPUT!P3332="",INPUT!Q3332=""),"",INPUT!P3332-INPUT!Q3332),"")</f>
        <v/>
      </c>
      <c r="L3337" s="48" t="str">
        <f>IFERROR(IF(OR(INPUT!P3332="",INPUT!Q3332="",INPUT!P3332=0),"",(INPUT!P3332-INPUT!Q3332)/INPUT!P3332),"")</f>
        <v/>
      </c>
    </row>
    <row r="3338" spans="1:12" ht="18" hidden="1" customHeight="1" x14ac:dyDescent="0.2">
      <c r="A3338" s="11" t="str">
        <f>IF(INPUT!M3333="","",INPUT!M3333)</f>
        <v/>
      </c>
      <c r="B3338" s="11" t="str">
        <f>IF(INPUT!M3333="","",INPUT!M3333-WEEKDAY(INPUT!M3333,2)+1)</f>
        <v/>
      </c>
      <c r="C3338" s="20">
        <f>IFERROR(_xlfn.ISOWEEKNUM(INPUT!M3333),"")</f>
        <v>52</v>
      </c>
      <c r="D3338" s="20">
        <f>IFERROR(YEAR(INPUT!M3333),"")</f>
        <v>1900</v>
      </c>
      <c r="E3338" t="str">
        <f>IF(INPUT!O3333="","",INPUT!O3333)</f>
        <v/>
      </c>
      <c r="F3338" t="str">
        <f>IF(INPUT!N3333="","",INPUT!N3333)</f>
        <v/>
      </c>
      <c r="G3338" cm="1">
        <f t="array" ref="G3338">IFERROR(VLOOKUP(INPUT!M3333&amp;INPUT!N3333,CHOOSE({1,2},INPUT!$A$3:$A$5000&amp;INPUT!$C$3:$C$5000,INPUT!$F$3:$F$5000),2,FALSE),"")</f>
        <v>0</v>
      </c>
      <c r="H3338" cm="1">
        <f t="array" ref="H3338">IFERROR(VLOOKUP(INPUT!M3333&amp;INPUT!N3333,CHOOSE({1,2},INPUT!$A$3:$A$5000&amp;INPUT!$C$3:$C$5000,INPUT!$D$3:$D$5000),2,FALSE),"")</f>
        <v>0</v>
      </c>
      <c r="I3338" s="46" t="str">
        <f>IF(INPUT!P3333="","",INPUT!P3333)</f>
        <v/>
      </c>
      <c r="J3338" s="46" t="str">
        <f>IF(INPUT!Q3333="","",INPUT!Q3333)</f>
        <v/>
      </c>
      <c r="K3338" s="46" t="str">
        <f>IFERROR(IF(OR(INPUT!P3333="",INPUT!Q3333=""),"",INPUT!P3333-INPUT!Q3333),"")</f>
        <v/>
      </c>
      <c r="L3338" s="48" t="str">
        <f>IFERROR(IF(OR(INPUT!P3333="",INPUT!Q3333="",INPUT!P3333=0),"",(INPUT!P3333-INPUT!Q3333)/INPUT!P3333),"")</f>
        <v/>
      </c>
    </row>
    <row r="3339" spans="1:12" ht="18" hidden="1" customHeight="1" x14ac:dyDescent="0.2">
      <c r="A3339" s="11" t="str">
        <f>IF(INPUT!M3334="","",INPUT!M3334)</f>
        <v/>
      </c>
      <c r="B3339" s="11" t="str">
        <f>IF(INPUT!M3334="","",INPUT!M3334-WEEKDAY(INPUT!M3334,2)+1)</f>
        <v/>
      </c>
      <c r="C3339" s="20">
        <f>IFERROR(_xlfn.ISOWEEKNUM(INPUT!M3334),"")</f>
        <v>52</v>
      </c>
      <c r="D3339" s="20">
        <f>IFERROR(YEAR(INPUT!M3334),"")</f>
        <v>1900</v>
      </c>
      <c r="E3339" t="str">
        <f>IF(INPUT!O3334="","",INPUT!O3334)</f>
        <v/>
      </c>
      <c r="F3339" t="str">
        <f>IF(INPUT!N3334="","",INPUT!N3334)</f>
        <v/>
      </c>
      <c r="G3339" cm="1">
        <f t="array" ref="G3339">IFERROR(VLOOKUP(INPUT!M3334&amp;INPUT!N3334,CHOOSE({1,2},INPUT!$A$3:$A$5000&amp;INPUT!$C$3:$C$5000,INPUT!$F$3:$F$5000),2,FALSE),"")</f>
        <v>0</v>
      </c>
      <c r="H3339" cm="1">
        <f t="array" ref="H3339">IFERROR(VLOOKUP(INPUT!M3334&amp;INPUT!N3334,CHOOSE({1,2},INPUT!$A$3:$A$5000&amp;INPUT!$C$3:$C$5000,INPUT!$D$3:$D$5000),2,FALSE),"")</f>
        <v>0</v>
      </c>
      <c r="I3339" s="46" t="str">
        <f>IF(INPUT!P3334="","",INPUT!P3334)</f>
        <v/>
      </c>
      <c r="J3339" s="46" t="str">
        <f>IF(INPUT!Q3334="","",INPUT!Q3334)</f>
        <v/>
      </c>
      <c r="K3339" s="46" t="str">
        <f>IFERROR(IF(OR(INPUT!P3334="",INPUT!Q3334=""),"",INPUT!P3334-INPUT!Q3334),"")</f>
        <v/>
      </c>
      <c r="L3339" s="48" t="str">
        <f>IFERROR(IF(OR(INPUT!P3334="",INPUT!Q3334="",INPUT!P3334=0),"",(INPUT!P3334-INPUT!Q3334)/INPUT!P3334),"")</f>
        <v/>
      </c>
    </row>
    <row r="3340" spans="1:12" ht="18" hidden="1" customHeight="1" x14ac:dyDescent="0.2">
      <c r="A3340" s="11" t="str">
        <f>IF(INPUT!M3335="","",INPUT!M3335)</f>
        <v/>
      </c>
      <c r="B3340" s="11" t="str">
        <f>IF(INPUT!M3335="","",INPUT!M3335-WEEKDAY(INPUT!M3335,2)+1)</f>
        <v/>
      </c>
      <c r="C3340" s="20">
        <f>IFERROR(_xlfn.ISOWEEKNUM(INPUT!M3335),"")</f>
        <v>52</v>
      </c>
      <c r="D3340" s="20">
        <f>IFERROR(YEAR(INPUT!M3335),"")</f>
        <v>1900</v>
      </c>
      <c r="E3340" t="str">
        <f>IF(INPUT!O3335="","",INPUT!O3335)</f>
        <v/>
      </c>
      <c r="F3340" t="str">
        <f>IF(INPUT!N3335="","",INPUT!N3335)</f>
        <v/>
      </c>
      <c r="G3340" cm="1">
        <f t="array" ref="G3340">IFERROR(VLOOKUP(INPUT!M3335&amp;INPUT!N3335,CHOOSE({1,2},INPUT!$A$3:$A$5000&amp;INPUT!$C$3:$C$5000,INPUT!$F$3:$F$5000),2,FALSE),"")</f>
        <v>0</v>
      </c>
      <c r="H3340" cm="1">
        <f t="array" ref="H3340">IFERROR(VLOOKUP(INPUT!M3335&amp;INPUT!N3335,CHOOSE({1,2},INPUT!$A$3:$A$5000&amp;INPUT!$C$3:$C$5000,INPUT!$D$3:$D$5000),2,FALSE),"")</f>
        <v>0</v>
      </c>
      <c r="I3340" s="46" t="str">
        <f>IF(INPUT!P3335="","",INPUT!P3335)</f>
        <v/>
      </c>
      <c r="J3340" s="46" t="str">
        <f>IF(INPUT!Q3335="","",INPUT!Q3335)</f>
        <v/>
      </c>
      <c r="K3340" s="46" t="str">
        <f>IFERROR(IF(OR(INPUT!P3335="",INPUT!Q3335=""),"",INPUT!P3335-INPUT!Q3335),"")</f>
        <v/>
      </c>
      <c r="L3340" s="48" t="str">
        <f>IFERROR(IF(OR(INPUT!P3335="",INPUT!Q3335="",INPUT!P3335=0),"",(INPUT!P3335-INPUT!Q3335)/INPUT!P3335),"")</f>
        <v/>
      </c>
    </row>
    <row r="3341" spans="1:12" ht="18" hidden="1" customHeight="1" x14ac:dyDescent="0.2">
      <c r="A3341" s="11" t="str">
        <f>IF(INPUT!M3336="","",INPUT!M3336)</f>
        <v/>
      </c>
      <c r="B3341" s="11" t="str">
        <f>IF(INPUT!M3336="","",INPUT!M3336-WEEKDAY(INPUT!M3336,2)+1)</f>
        <v/>
      </c>
      <c r="C3341" s="20">
        <f>IFERROR(_xlfn.ISOWEEKNUM(INPUT!M3336),"")</f>
        <v>52</v>
      </c>
      <c r="D3341" s="20">
        <f>IFERROR(YEAR(INPUT!M3336),"")</f>
        <v>1900</v>
      </c>
      <c r="E3341" t="str">
        <f>IF(INPUT!O3336="","",INPUT!O3336)</f>
        <v/>
      </c>
      <c r="F3341" t="str">
        <f>IF(INPUT!N3336="","",INPUT!N3336)</f>
        <v/>
      </c>
      <c r="G3341" cm="1">
        <f t="array" ref="G3341">IFERROR(VLOOKUP(INPUT!M3336&amp;INPUT!N3336,CHOOSE({1,2},INPUT!$A$3:$A$5000&amp;INPUT!$C$3:$C$5000,INPUT!$F$3:$F$5000),2,FALSE),"")</f>
        <v>0</v>
      </c>
      <c r="H3341" cm="1">
        <f t="array" ref="H3341">IFERROR(VLOOKUP(INPUT!M3336&amp;INPUT!N3336,CHOOSE({1,2},INPUT!$A$3:$A$5000&amp;INPUT!$C$3:$C$5000,INPUT!$D$3:$D$5000),2,FALSE),"")</f>
        <v>0</v>
      </c>
      <c r="I3341" s="46" t="str">
        <f>IF(INPUT!P3336="","",INPUT!P3336)</f>
        <v/>
      </c>
      <c r="J3341" s="46" t="str">
        <f>IF(INPUT!Q3336="","",INPUT!Q3336)</f>
        <v/>
      </c>
      <c r="K3341" s="46" t="str">
        <f>IFERROR(IF(OR(INPUT!P3336="",INPUT!Q3336=""),"",INPUT!P3336-INPUT!Q3336),"")</f>
        <v/>
      </c>
      <c r="L3341" s="48" t="str">
        <f>IFERROR(IF(OR(INPUT!P3336="",INPUT!Q3336="",INPUT!P3336=0),"",(INPUT!P3336-INPUT!Q3336)/INPUT!P3336),"")</f>
        <v/>
      </c>
    </row>
    <row r="3342" spans="1:12" ht="18" hidden="1" customHeight="1" x14ac:dyDescent="0.2">
      <c r="A3342" s="11" t="str">
        <f>IF(INPUT!M3337="","",INPUT!M3337)</f>
        <v/>
      </c>
      <c r="B3342" s="11" t="str">
        <f>IF(INPUT!M3337="","",INPUT!M3337-WEEKDAY(INPUT!M3337,2)+1)</f>
        <v/>
      </c>
      <c r="C3342" s="20">
        <f>IFERROR(_xlfn.ISOWEEKNUM(INPUT!M3337),"")</f>
        <v>52</v>
      </c>
      <c r="D3342" s="20">
        <f>IFERROR(YEAR(INPUT!M3337),"")</f>
        <v>1900</v>
      </c>
      <c r="E3342" t="str">
        <f>IF(INPUT!O3337="","",INPUT!O3337)</f>
        <v/>
      </c>
      <c r="F3342" t="str">
        <f>IF(INPUT!N3337="","",INPUT!N3337)</f>
        <v/>
      </c>
      <c r="G3342" cm="1">
        <f t="array" ref="G3342">IFERROR(VLOOKUP(INPUT!M3337&amp;INPUT!N3337,CHOOSE({1,2},INPUT!$A$3:$A$5000&amp;INPUT!$C$3:$C$5000,INPUT!$F$3:$F$5000),2,FALSE),"")</f>
        <v>0</v>
      </c>
      <c r="H3342" cm="1">
        <f t="array" ref="H3342">IFERROR(VLOOKUP(INPUT!M3337&amp;INPUT!N3337,CHOOSE({1,2},INPUT!$A$3:$A$5000&amp;INPUT!$C$3:$C$5000,INPUT!$D$3:$D$5000),2,FALSE),"")</f>
        <v>0</v>
      </c>
      <c r="I3342" s="46" t="str">
        <f>IF(INPUT!P3337="","",INPUT!P3337)</f>
        <v/>
      </c>
      <c r="J3342" s="46" t="str">
        <f>IF(INPUT!Q3337="","",INPUT!Q3337)</f>
        <v/>
      </c>
      <c r="K3342" s="46" t="str">
        <f>IFERROR(IF(OR(INPUT!P3337="",INPUT!Q3337=""),"",INPUT!P3337-INPUT!Q3337),"")</f>
        <v/>
      </c>
      <c r="L3342" s="48" t="str">
        <f>IFERROR(IF(OR(INPUT!P3337="",INPUT!Q3337="",INPUT!P3337=0),"",(INPUT!P3337-INPUT!Q3337)/INPUT!P3337),"")</f>
        <v/>
      </c>
    </row>
    <row r="3343" spans="1:12" ht="18" hidden="1" customHeight="1" x14ac:dyDescent="0.2">
      <c r="A3343" s="11" t="str">
        <f>IF(INPUT!M3338="","",INPUT!M3338)</f>
        <v/>
      </c>
      <c r="B3343" s="11" t="str">
        <f>IF(INPUT!M3338="","",INPUT!M3338-WEEKDAY(INPUT!M3338,2)+1)</f>
        <v/>
      </c>
      <c r="C3343" s="20">
        <f>IFERROR(_xlfn.ISOWEEKNUM(INPUT!M3338),"")</f>
        <v>52</v>
      </c>
      <c r="D3343" s="20">
        <f>IFERROR(YEAR(INPUT!M3338),"")</f>
        <v>1900</v>
      </c>
      <c r="E3343" t="str">
        <f>IF(INPUT!O3338="","",INPUT!O3338)</f>
        <v/>
      </c>
      <c r="F3343" t="str">
        <f>IF(INPUT!N3338="","",INPUT!N3338)</f>
        <v/>
      </c>
      <c r="G3343" cm="1">
        <f t="array" ref="G3343">IFERROR(VLOOKUP(INPUT!M3338&amp;INPUT!N3338,CHOOSE({1,2},INPUT!$A$3:$A$5000&amp;INPUT!$C$3:$C$5000,INPUT!$F$3:$F$5000),2,FALSE),"")</f>
        <v>0</v>
      </c>
      <c r="H3343" cm="1">
        <f t="array" ref="H3343">IFERROR(VLOOKUP(INPUT!M3338&amp;INPUT!N3338,CHOOSE({1,2},INPUT!$A$3:$A$5000&amp;INPUT!$C$3:$C$5000,INPUT!$D$3:$D$5000),2,FALSE),"")</f>
        <v>0</v>
      </c>
      <c r="I3343" s="46" t="str">
        <f>IF(INPUT!P3338="","",INPUT!P3338)</f>
        <v/>
      </c>
      <c r="J3343" s="46" t="str">
        <f>IF(INPUT!Q3338="","",INPUT!Q3338)</f>
        <v/>
      </c>
      <c r="K3343" s="46" t="str">
        <f>IFERROR(IF(OR(INPUT!P3338="",INPUT!Q3338=""),"",INPUT!P3338-INPUT!Q3338),"")</f>
        <v/>
      </c>
      <c r="L3343" s="48" t="str">
        <f>IFERROR(IF(OR(INPUT!P3338="",INPUT!Q3338="",INPUT!P3338=0),"",(INPUT!P3338-INPUT!Q3338)/INPUT!P3338),"")</f>
        <v/>
      </c>
    </row>
    <row r="3344" spans="1:12" ht="18" hidden="1" customHeight="1" x14ac:dyDescent="0.2">
      <c r="A3344" s="11" t="str">
        <f>IF(INPUT!M3339="","",INPUT!M3339)</f>
        <v/>
      </c>
      <c r="B3344" s="11" t="str">
        <f>IF(INPUT!M3339="","",INPUT!M3339-WEEKDAY(INPUT!M3339,2)+1)</f>
        <v/>
      </c>
      <c r="C3344" s="20">
        <f>IFERROR(_xlfn.ISOWEEKNUM(INPUT!M3339),"")</f>
        <v>52</v>
      </c>
      <c r="D3344" s="20">
        <f>IFERROR(YEAR(INPUT!M3339),"")</f>
        <v>1900</v>
      </c>
      <c r="E3344" t="str">
        <f>IF(INPUT!O3339="","",INPUT!O3339)</f>
        <v/>
      </c>
      <c r="F3344" t="str">
        <f>IF(INPUT!N3339="","",INPUT!N3339)</f>
        <v/>
      </c>
      <c r="G3344" cm="1">
        <f t="array" ref="G3344">IFERROR(VLOOKUP(INPUT!M3339&amp;INPUT!N3339,CHOOSE({1,2},INPUT!$A$3:$A$5000&amp;INPUT!$C$3:$C$5000,INPUT!$F$3:$F$5000),2,FALSE),"")</f>
        <v>0</v>
      </c>
      <c r="H3344" cm="1">
        <f t="array" ref="H3344">IFERROR(VLOOKUP(INPUT!M3339&amp;INPUT!N3339,CHOOSE({1,2},INPUT!$A$3:$A$5000&amp;INPUT!$C$3:$C$5000,INPUT!$D$3:$D$5000),2,FALSE),"")</f>
        <v>0</v>
      </c>
      <c r="I3344" s="46" t="str">
        <f>IF(INPUT!P3339="","",INPUT!P3339)</f>
        <v/>
      </c>
      <c r="J3344" s="46" t="str">
        <f>IF(INPUT!Q3339="","",INPUT!Q3339)</f>
        <v/>
      </c>
      <c r="K3344" s="46" t="str">
        <f>IFERROR(IF(OR(INPUT!P3339="",INPUT!Q3339=""),"",INPUT!P3339-INPUT!Q3339),"")</f>
        <v/>
      </c>
      <c r="L3344" s="48" t="str">
        <f>IFERROR(IF(OR(INPUT!P3339="",INPUT!Q3339="",INPUT!P3339=0),"",(INPUT!P3339-INPUT!Q3339)/INPUT!P3339),"")</f>
        <v/>
      </c>
    </row>
    <row r="3345" spans="1:12" ht="18" hidden="1" customHeight="1" x14ac:dyDescent="0.2">
      <c r="A3345" s="11" t="str">
        <f>IF(INPUT!M3340="","",INPUT!M3340)</f>
        <v/>
      </c>
      <c r="B3345" s="11" t="str">
        <f>IF(INPUT!M3340="","",INPUT!M3340-WEEKDAY(INPUT!M3340,2)+1)</f>
        <v/>
      </c>
      <c r="C3345" s="20">
        <f>IFERROR(_xlfn.ISOWEEKNUM(INPUT!M3340),"")</f>
        <v>52</v>
      </c>
      <c r="D3345" s="20">
        <f>IFERROR(YEAR(INPUT!M3340),"")</f>
        <v>1900</v>
      </c>
      <c r="E3345" t="str">
        <f>IF(INPUT!O3340="","",INPUT!O3340)</f>
        <v/>
      </c>
      <c r="F3345" t="str">
        <f>IF(INPUT!N3340="","",INPUT!N3340)</f>
        <v/>
      </c>
      <c r="G3345" cm="1">
        <f t="array" ref="G3345">IFERROR(VLOOKUP(INPUT!M3340&amp;INPUT!N3340,CHOOSE({1,2},INPUT!$A$3:$A$5000&amp;INPUT!$C$3:$C$5000,INPUT!$F$3:$F$5000),2,FALSE),"")</f>
        <v>0</v>
      </c>
      <c r="H3345" cm="1">
        <f t="array" ref="H3345">IFERROR(VLOOKUP(INPUT!M3340&amp;INPUT!N3340,CHOOSE({1,2},INPUT!$A$3:$A$5000&amp;INPUT!$C$3:$C$5000,INPUT!$D$3:$D$5000),2,FALSE),"")</f>
        <v>0</v>
      </c>
      <c r="I3345" s="46" t="str">
        <f>IF(INPUT!P3340="","",INPUT!P3340)</f>
        <v/>
      </c>
      <c r="J3345" s="46" t="str">
        <f>IF(INPUT!Q3340="","",INPUT!Q3340)</f>
        <v/>
      </c>
      <c r="K3345" s="46" t="str">
        <f>IFERROR(IF(OR(INPUT!P3340="",INPUT!Q3340=""),"",INPUT!P3340-INPUT!Q3340),"")</f>
        <v/>
      </c>
      <c r="L3345" s="48" t="str">
        <f>IFERROR(IF(OR(INPUT!P3340="",INPUT!Q3340="",INPUT!P3340=0),"",(INPUT!P3340-INPUT!Q3340)/INPUT!P3340),"")</f>
        <v/>
      </c>
    </row>
    <row r="3346" spans="1:12" ht="18" hidden="1" customHeight="1" x14ac:dyDescent="0.2">
      <c r="A3346" s="11" t="str">
        <f>IF(INPUT!M3341="","",INPUT!M3341)</f>
        <v/>
      </c>
      <c r="B3346" s="11" t="str">
        <f>IF(INPUT!M3341="","",INPUT!M3341-WEEKDAY(INPUT!M3341,2)+1)</f>
        <v/>
      </c>
      <c r="C3346" s="20">
        <f>IFERROR(_xlfn.ISOWEEKNUM(INPUT!M3341),"")</f>
        <v>52</v>
      </c>
      <c r="D3346" s="20">
        <f>IFERROR(YEAR(INPUT!M3341),"")</f>
        <v>1900</v>
      </c>
      <c r="E3346" t="str">
        <f>IF(INPUT!O3341="","",INPUT!O3341)</f>
        <v/>
      </c>
      <c r="F3346" t="str">
        <f>IF(INPUT!N3341="","",INPUT!N3341)</f>
        <v/>
      </c>
      <c r="G3346" cm="1">
        <f t="array" ref="G3346">IFERROR(VLOOKUP(INPUT!M3341&amp;INPUT!N3341,CHOOSE({1,2},INPUT!$A$3:$A$5000&amp;INPUT!$C$3:$C$5000,INPUT!$F$3:$F$5000),2,FALSE),"")</f>
        <v>0</v>
      </c>
      <c r="H3346" cm="1">
        <f t="array" ref="H3346">IFERROR(VLOOKUP(INPUT!M3341&amp;INPUT!N3341,CHOOSE({1,2},INPUT!$A$3:$A$5000&amp;INPUT!$C$3:$C$5000,INPUT!$D$3:$D$5000),2,FALSE),"")</f>
        <v>0</v>
      </c>
      <c r="I3346" s="46" t="str">
        <f>IF(INPUT!P3341="","",INPUT!P3341)</f>
        <v/>
      </c>
      <c r="J3346" s="46" t="str">
        <f>IF(INPUT!Q3341="","",INPUT!Q3341)</f>
        <v/>
      </c>
      <c r="K3346" s="46" t="str">
        <f>IFERROR(IF(OR(INPUT!P3341="",INPUT!Q3341=""),"",INPUT!P3341-INPUT!Q3341),"")</f>
        <v/>
      </c>
      <c r="L3346" s="48" t="str">
        <f>IFERROR(IF(OR(INPUT!P3341="",INPUT!Q3341="",INPUT!P3341=0),"",(INPUT!P3341-INPUT!Q3341)/INPUT!P3341),"")</f>
        <v/>
      </c>
    </row>
    <row r="3347" spans="1:12" ht="18" hidden="1" customHeight="1" x14ac:dyDescent="0.2">
      <c r="A3347" s="11" t="str">
        <f>IF(INPUT!M3342="","",INPUT!M3342)</f>
        <v/>
      </c>
      <c r="B3347" s="11" t="str">
        <f>IF(INPUT!M3342="","",INPUT!M3342-WEEKDAY(INPUT!M3342,2)+1)</f>
        <v/>
      </c>
      <c r="C3347" s="20">
        <f>IFERROR(_xlfn.ISOWEEKNUM(INPUT!M3342),"")</f>
        <v>52</v>
      </c>
      <c r="D3347" s="20">
        <f>IFERROR(YEAR(INPUT!M3342),"")</f>
        <v>1900</v>
      </c>
      <c r="E3347" t="str">
        <f>IF(INPUT!O3342="","",INPUT!O3342)</f>
        <v/>
      </c>
      <c r="F3347" t="str">
        <f>IF(INPUT!N3342="","",INPUT!N3342)</f>
        <v/>
      </c>
      <c r="G3347" cm="1">
        <f t="array" ref="G3347">IFERROR(VLOOKUP(INPUT!M3342&amp;INPUT!N3342,CHOOSE({1,2},INPUT!$A$3:$A$5000&amp;INPUT!$C$3:$C$5000,INPUT!$F$3:$F$5000),2,FALSE),"")</f>
        <v>0</v>
      </c>
      <c r="H3347" cm="1">
        <f t="array" ref="H3347">IFERROR(VLOOKUP(INPUT!M3342&amp;INPUT!N3342,CHOOSE({1,2},INPUT!$A$3:$A$5000&amp;INPUT!$C$3:$C$5000,INPUT!$D$3:$D$5000),2,FALSE),"")</f>
        <v>0</v>
      </c>
      <c r="I3347" s="46" t="str">
        <f>IF(INPUT!P3342="","",INPUT!P3342)</f>
        <v/>
      </c>
      <c r="J3347" s="46" t="str">
        <f>IF(INPUT!Q3342="","",INPUT!Q3342)</f>
        <v/>
      </c>
      <c r="K3347" s="46" t="str">
        <f>IFERROR(IF(OR(INPUT!P3342="",INPUT!Q3342=""),"",INPUT!P3342-INPUT!Q3342),"")</f>
        <v/>
      </c>
      <c r="L3347" s="48" t="str">
        <f>IFERROR(IF(OR(INPUT!P3342="",INPUT!Q3342="",INPUT!P3342=0),"",(INPUT!P3342-INPUT!Q3342)/INPUT!P3342),"")</f>
        <v/>
      </c>
    </row>
    <row r="3348" spans="1:12" ht="18" hidden="1" customHeight="1" x14ac:dyDescent="0.2">
      <c r="A3348" s="11" t="str">
        <f>IF(INPUT!M3343="","",INPUT!M3343)</f>
        <v/>
      </c>
      <c r="B3348" s="11" t="str">
        <f>IF(INPUT!M3343="","",INPUT!M3343-WEEKDAY(INPUT!M3343,2)+1)</f>
        <v/>
      </c>
      <c r="C3348" s="20">
        <f>IFERROR(_xlfn.ISOWEEKNUM(INPUT!M3343),"")</f>
        <v>52</v>
      </c>
      <c r="D3348" s="20">
        <f>IFERROR(YEAR(INPUT!M3343),"")</f>
        <v>1900</v>
      </c>
      <c r="E3348" t="str">
        <f>IF(INPUT!O3343="","",INPUT!O3343)</f>
        <v/>
      </c>
      <c r="F3348" t="str">
        <f>IF(INPUT!N3343="","",INPUT!N3343)</f>
        <v/>
      </c>
      <c r="G3348" cm="1">
        <f t="array" ref="G3348">IFERROR(VLOOKUP(INPUT!M3343&amp;INPUT!N3343,CHOOSE({1,2},INPUT!$A$3:$A$5000&amp;INPUT!$C$3:$C$5000,INPUT!$F$3:$F$5000),2,FALSE),"")</f>
        <v>0</v>
      </c>
      <c r="H3348" cm="1">
        <f t="array" ref="H3348">IFERROR(VLOOKUP(INPUT!M3343&amp;INPUT!N3343,CHOOSE({1,2},INPUT!$A$3:$A$5000&amp;INPUT!$C$3:$C$5000,INPUT!$D$3:$D$5000),2,FALSE),"")</f>
        <v>0</v>
      </c>
      <c r="I3348" s="46" t="str">
        <f>IF(INPUT!P3343="","",INPUT!P3343)</f>
        <v/>
      </c>
      <c r="J3348" s="46" t="str">
        <f>IF(INPUT!Q3343="","",INPUT!Q3343)</f>
        <v/>
      </c>
      <c r="K3348" s="46" t="str">
        <f>IFERROR(IF(OR(INPUT!P3343="",INPUT!Q3343=""),"",INPUT!P3343-INPUT!Q3343),"")</f>
        <v/>
      </c>
      <c r="L3348" s="48" t="str">
        <f>IFERROR(IF(OR(INPUT!P3343="",INPUT!Q3343="",INPUT!P3343=0),"",(INPUT!P3343-INPUT!Q3343)/INPUT!P3343),"")</f>
        <v/>
      </c>
    </row>
    <row r="3349" spans="1:12" ht="18" hidden="1" customHeight="1" x14ac:dyDescent="0.2">
      <c r="A3349" s="11" t="str">
        <f>IF(INPUT!M3344="","",INPUT!M3344)</f>
        <v/>
      </c>
      <c r="B3349" s="11" t="str">
        <f>IF(INPUT!M3344="","",INPUT!M3344-WEEKDAY(INPUT!M3344,2)+1)</f>
        <v/>
      </c>
      <c r="C3349" s="20">
        <f>IFERROR(_xlfn.ISOWEEKNUM(INPUT!M3344),"")</f>
        <v>52</v>
      </c>
      <c r="D3349" s="20">
        <f>IFERROR(YEAR(INPUT!M3344),"")</f>
        <v>1900</v>
      </c>
      <c r="E3349" t="str">
        <f>IF(INPUT!O3344="","",INPUT!O3344)</f>
        <v/>
      </c>
      <c r="F3349" t="str">
        <f>IF(INPUT!N3344="","",INPUT!N3344)</f>
        <v/>
      </c>
      <c r="G3349" cm="1">
        <f t="array" ref="G3349">IFERROR(VLOOKUP(INPUT!M3344&amp;INPUT!N3344,CHOOSE({1,2},INPUT!$A$3:$A$5000&amp;INPUT!$C$3:$C$5000,INPUT!$F$3:$F$5000),2,FALSE),"")</f>
        <v>0</v>
      </c>
      <c r="H3349" cm="1">
        <f t="array" ref="H3349">IFERROR(VLOOKUP(INPUT!M3344&amp;INPUT!N3344,CHOOSE({1,2},INPUT!$A$3:$A$5000&amp;INPUT!$C$3:$C$5000,INPUT!$D$3:$D$5000),2,FALSE),"")</f>
        <v>0</v>
      </c>
      <c r="I3349" s="46" t="str">
        <f>IF(INPUT!P3344="","",INPUT!P3344)</f>
        <v/>
      </c>
      <c r="J3349" s="46" t="str">
        <f>IF(INPUT!Q3344="","",INPUT!Q3344)</f>
        <v/>
      </c>
      <c r="K3349" s="46" t="str">
        <f>IFERROR(IF(OR(INPUT!P3344="",INPUT!Q3344=""),"",INPUT!P3344-INPUT!Q3344),"")</f>
        <v/>
      </c>
      <c r="L3349" s="48" t="str">
        <f>IFERROR(IF(OR(INPUT!P3344="",INPUT!Q3344="",INPUT!P3344=0),"",(INPUT!P3344-INPUT!Q3344)/INPUT!P3344),"")</f>
        <v/>
      </c>
    </row>
    <row r="3350" spans="1:12" ht="18" hidden="1" customHeight="1" x14ac:dyDescent="0.2">
      <c r="A3350" s="11" t="str">
        <f>IF(INPUT!M3345="","",INPUT!M3345)</f>
        <v/>
      </c>
      <c r="B3350" s="11" t="str">
        <f>IF(INPUT!M3345="","",INPUT!M3345-WEEKDAY(INPUT!M3345,2)+1)</f>
        <v/>
      </c>
      <c r="C3350" s="20">
        <f>IFERROR(_xlfn.ISOWEEKNUM(INPUT!M3345),"")</f>
        <v>52</v>
      </c>
      <c r="D3350" s="20">
        <f>IFERROR(YEAR(INPUT!M3345),"")</f>
        <v>1900</v>
      </c>
      <c r="E3350" t="str">
        <f>IF(INPUT!O3345="","",INPUT!O3345)</f>
        <v/>
      </c>
      <c r="F3350" t="str">
        <f>IF(INPUT!N3345="","",INPUT!N3345)</f>
        <v/>
      </c>
      <c r="G3350" cm="1">
        <f t="array" ref="G3350">IFERROR(VLOOKUP(INPUT!M3345&amp;INPUT!N3345,CHOOSE({1,2},INPUT!$A$3:$A$5000&amp;INPUT!$C$3:$C$5000,INPUT!$F$3:$F$5000),2,FALSE),"")</f>
        <v>0</v>
      </c>
      <c r="H3350" cm="1">
        <f t="array" ref="H3350">IFERROR(VLOOKUP(INPUT!M3345&amp;INPUT!N3345,CHOOSE({1,2},INPUT!$A$3:$A$5000&amp;INPUT!$C$3:$C$5000,INPUT!$D$3:$D$5000),2,FALSE),"")</f>
        <v>0</v>
      </c>
      <c r="I3350" s="46" t="str">
        <f>IF(INPUT!P3345="","",INPUT!P3345)</f>
        <v/>
      </c>
      <c r="J3350" s="46" t="str">
        <f>IF(INPUT!Q3345="","",INPUT!Q3345)</f>
        <v/>
      </c>
      <c r="K3350" s="46" t="str">
        <f>IFERROR(IF(OR(INPUT!P3345="",INPUT!Q3345=""),"",INPUT!P3345-INPUT!Q3345),"")</f>
        <v/>
      </c>
      <c r="L3350" s="48" t="str">
        <f>IFERROR(IF(OR(INPUT!P3345="",INPUT!Q3345="",INPUT!P3345=0),"",(INPUT!P3345-INPUT!Q3345)/INPUT!P3345),"")</f>
        <v/>
      </c>
    </row>
    <row r="3351" spans="1:12" ht="18" hidden="1" customHeight="1" x14ac:dyDescent="0.2">
      <c r="A3351" s="11" t="str">
        <f>IF(INPUT!M3346="","",INPUT!M3346)</f>
        <v/>
      </c>
      <c r="B3351" s="11" t="str">
        <f>IF(INPUT!M3346="","",INPUT!M3346-WEEKDAY(INPUT!M3346,2)+1)</f>
        <v/>
      </c>
      <c r="C3351" s="20">
        <f>IFERROR(_xlfn.ISOWEEKNUM(INPUT!M3346),"")</f>
        <v>52</v>
      </c>
      <c r="D3351" s="20">
        <f>IFERROR(YEAR(INPUT!M3346),"")</f>
        <v>1900</v>
      </c>
      <c r="E3351" t="str">
        <f>IF(INPUT!O3346="","",INPUT!O3346)</f>
        <v/>
      </c>
      <c r="F3351" t="str">
        <f>IF(INPUT!N3346="","",INPUT!N3346)</f>
        <v/>
      </c>
      <c r="G3351" cm="1">
        <f t="array" ref="G3351">IFERROR(VLOOKUP(INPUT!M3346&amp;INPUT!N3346,CHOOSE({1,2},INPUT!$A$3:$A$5000&amp;INPUT!$C$3:$C$5000,INPUT!$F$3:$F$5000),2,FALSE),"")</f>
        <v>0</v>
      </c>
      <c r="H3351" cm="1">
        <f t="array" ref="H3351">IFERROR(VLOOKUP(INPUT!M3346&amp;INPUT!N3346,CHOOSE({1,2},INPUT!$A$3:$A$5000&amp;INPUT!$C$3:$C$5000,INPUT!$D$3:$D$5000),2,FALSE),"")</f>
        <v>0</v>
      </c>
      <c r="I3351" s="46" t="str">
        <f>IF(INPUT!P3346="","",INPUT!P3346)</f>
        <v/>
      </c>
      <c r="J3351" s="46" t="str">
        <f>IF(INPUT!Q3346="","",INPUT!Q3346)</f>
        <v/>
      </c>
      <c r="K3351" s="46" t="str">
        <f>IFERROR(IF(OR(INPUT!P3346="",INPUT!Q3346=""),"",INPUT!P3346-INPUT!Q3346),"")</f>
        <v/>
      </c>
      <c r="L3351" s="48" t="str">
        <f>IFERROR(IF(OR(INPUT!P3346="",INPUT!Q3346="",INPUT!P3346=0),"",(INPUT!P3346-INPUT!Q3346)/INPUT!P3346),"")</f>
        <v/>
      </c>
    </row>
    <row r="3352" spans="1:12" ht="18" hidden="1" customHeight="1" x14ac:dyDescent="0.2">
      <c r="A3352" s="11" t="str">
        <f>IF(INPUT!M3347="","",INPUT!M3347)</f>
        <v/>
      </c>
      <c r="B3352" s="11" t="str">
        <f>IF(INPUT!M3347="","",INPUT!M3347-WEEKDAY(INPUT!M3347,2)+1)</f>
        <v/>
      </c>
      <c r="C3352" s="20">
        <f>IFERROR(_xlfn.ISOWEEKNUM(INPUT!M3347),"")</f>
        <v>52</v>
      </c>
      <c r="D3352" s="20">
        <f>IFERROR(YEAR(INPUT!M3347),"")</f>
        <v>1900</v>
      </c>
      <c r="E3352" t="str">
        <f>IF(INPUT!O3347="","",INPUT!O3347)</f>
        <v/>
      </c>
      <c r="F3352" t="str">
        <f>IF(INPUT!N3347="","",INPUT!N3347)</f>
        <v/>
      </c>
      <c r="G3352" cm="1">
        <f t="array" ref="G3352">IFERROR(VLOOKUP(INPUT!M3347&amp;INPUT!N3347,CHOOSE({1,2},INPUT!$A$3:$A$5000&amp;INPUT!$C$3:$C$5000,INPUT!$F$3:$F$5000),2,FALSE),"")</f>
        <v>0</v>
      </c>
      <c r="H3352" cm="1">
        <f t="array" ref="H3352">IFERROR(VLOOKUP(INPUT!M3347&amp;INPUT!N3347,CHOOSE({1,2},INPUT!$A$3:$A$5000&amp;INPUT!$C$3:$C$5000,INPUT!$D$3:$D$5000),2,FALSE),"")</f>
        <v>0</v>
      </c>
      <c r="I3352" s="46" t="str">
        <f>IF(INPUT!P3347="","",INPUT!P3347)</f>
        <v/>
      </c>
      <c r="J3352" s="46" t="str">
        <f>IF(INPUT!Q3347="","",INPUT!Q3347)</f>
        <v/>
      </c>
      <c r="K3352" s="46" t="str">
        <f>IFERROR(IF(OR(INPUT!P3347="",INPUT!Q3347=""),"",INPUT!P3347-INPUT!Q3347),"")</f>
        <v/>
      </c>
      <c r="L3352" s="48" t="str">
        <f>IFERROR(IF(OR(INPUT!P3347="",INPUT!Q3347="",INPUT!P3347=0),"",(INPUT!P3347-INPUT!Q3347)/INPUT!P3347),"")</f>
        <v/>
      </c>
    </row>
    <row r="3353" spans="1:12" ht="18" hidden="1" customHeight="1" x14ac:dyDescent="0.2">
      <c r="A3353" s="11" t="str">
        <f>IF(INPUT!M3348="","",INPUT!M3348)</f>
        <v/>
      </c>
      <c r="B3353" s="11" t="str">
        <f>IF(INPUT!M3348="","",INPUT!M3348-WEEKDAY(INPUT!M3348,2)+1)</f>
        <v/>
      </c>
      <c r="C3353" s="20">
        <f>IFERROR(_xlfn.ISOWEEKNUM(INPUT!M3348),"")</f>
        <v>52</v>
      </c>
      <c r="D3353" s="20">
        <f>IFERROR(YEAR(INPUT!M3348),"")</f>
        <v>1900</v>
      </c>
      <c r="E3353" t="str">
        <f>IF(INPUT!O3348="","",INPUT!O3348)</f>
        <v/>
      </c>
      <c r="F3353" t="str">
        <f>IF(INPUT!N3348="","",INPUT!N3348)</f>
        <v/>
      </c>
      <c r="G3353" cm="1">
        <f t="array" ref="G3353">IFERROR(VLOOKUP(INPUT!M3348&amp;INPUT!N3348,CHOOSE({1,2},INPUT!$A$3:$A$5000&amp;INPUT!$C$3:$C$5000,INPUT!$F$3:$F$5000),2,FALSE),"")</f>
        <v>0</v>
      </c>
      <c r="H3353" cm="1">
        <f t="array" ref="H3353">IFERROR(VLOOKUP(INPUT!M3348&amp;INPUT!N3348,CHOOSE({1,2},INPUT!$A$3:$A$5000&amp;INPUT!$C$3:$C$5000,INPUT!$D$3:$D$5000),2,FALSE),"")</f>
        <v>0</v>
      </c>
      <c r="I3353" s="46" t="str">
        <f>IF(INPUT!P3348="","",INPUT!P3348)</f>
        <v/>
      </c>
      <c r="J3353" s="46" t="str">
        <f>IF(INPUT!Q3348="","",INPUT!Q3348)</f>
        <v/>
      </c>
      <c r="K3353" s="46" t="str">
        <f>IFERROR(IF(OR(INPUT!P3348="",INPUT!Q3348=""),"",INPUT!P3348-INPUT!Q3348),"")</f>
        <v/>
      </c>
      <c r="L3353" s="48" t="str">
        <f>IFERROR(IF(OR(INPUT!P3348="",INPUT!Q3348="",INPUT!P3348=0),"",(INPUT!P3348-INPUT!Q3348)/INPUT!P3348),"")</f>
        <v/>
      </c>
    </row>
    <row r="3354" spans="1:12" ht="18" hidden="1" customHeight="1" x14ac:dyDescent="0.2">
      <c r="A3354" s="11" t="str">
        <f>IF(INPUT!M3349="","",INPUT!M3349)</f>
        <v/>
      </c>
      <c r="B3354" s="11" t="str">
        <f>IF(INPUT!M3349="","",INPUT!M3349-WEEKDAY(INPUT!M3349,2)+1)</f>
        <v/>
      </c>
      <c r="C3354" s="20">
        <f>IFERROR(_xlfn.ISOWEEKNUM(INPUT!M3349),"")</f>
        <v>52</v>
      </c>
      <c r="D3354" s="20">
        <f>IFERROR(YEAR(INPUT!M3349),"")</f>
        <v>1900</v>
      </c>
      <c r="E3354" t="str">
        <f>IF(INPUT!O3349="","",INPUT!O3349)</f>
        <v/>
      </c>
      <c r="F3354" t="str">
        <f>IF(INPUT!N3349="","",INPUT!N3349)</f>
        <v/>
      </c>
      <c r="G3354" cm="1">
        <f t="array" ref="G3354">IFERROR(VLOOKUP(INPUT!M3349&amp;INPUT!N3349,CHOOSE({1,2},INPUT!$A$3:$A$5000&amp;INPUT!$C$3:$C$5000,INPUT!$F$3:$F$5000),2,FALSE),"")</f>
        <v>0</v>
      </c>
      <c r="H3354" cm="1">
        <f t="array" ref="H3354">IFERROR(VLOOKUP(INPUT!M3349&amp;INPUT!N3349,CHOOSE({1,2},INPUT!$A$3:$A$5000&amp;INPUT!$C$3:$C$5000,INPUT!$D$3:$D$5000),2,FALSE),"")</f>
        <v>0</v>
      </c>
      <c r="I3354" s="46" t="str">
        <f>IF(INPUT!P3349="","",INPUT!P3349)</f>
        <v/>
      </c>
      <c r="J3354" s="46" t="str">
        <f>IF(INPUT!Q3349="","",INPUT!Q3349)</f>
        <v/>
      </c>
      <c r="K3354" s="46" t="str">
        <f>IFERROR(IF(OR(INPUT!P3349="",INPUT!Q3349=""),"",INPUT!P3349-INPUT!Q3349),"")</f>
        <v/>
      </c>
      <c r="L3354" s="48" t="str">
        <f>IFERROR(IF(OR(INPUT!P3349="",INPUT!Q3349="",INPUT!P3349=0),"",(INPUT!P3349-INPUT!Q3349)/INPUT!P3349),"")</f>
        <v/>
      </c>
    </row>
    <row r="3355" spans="1:12" ht="18" hidden="1" customHeight="1" x14ac:dyDescent="0.2">
      <c r="A3355" s="11" t="str">
        <f>IF(INPUT!M3350="","",INPUT!M3350)</f>
        <v/>
      </c>
      <c r="B3355" s="11" t="str">
        <f>IF(INPUT!M3350="","",INPUT!M3350-WEEKDAY(INPUT!M3350,2)+1)</f>
        <v/>
      </c>
      <c r="C3355" s="20">
        <f>IFERROR(_xlfn.ISOWEEKNUM(INPUT!M3350),"")</f>
        <v>52</v>
      </c>
      <c r="D3355" s="20">
        <f>IFERROR(YEAR(INPUT!M3350),"")</f>
        <v>1900</v>
      </c>
      <c r="E3355" t="str">
        <f>IF(INPUT!O3350="","",INPUT!O3350)</f>
        <v/>
      </c>
      <c r="F3355" t="str">
        <f>IF(INPUT!N3350="","",INPUT!N3350)</f>
        <v/>
      </c>
      <c r="G3355" cm="1">
        <f t="array" ref="G3355">IFERROR(VLOOKUP(INPUT!M3350&amp;INPUT!N3350,CHOOSE({1,2},INPUT!$A$3:$A$5000&amp;INPUT!$C$3:$C$5000,INPUT!$F$3:$F$5000),2,FALSE),"")</f>
        <v>0</v>
      </c>
      <c r="H3355" cm="1">
        <f t="array" ref="H3355">IFERROR(VLOOKUP(INPUT!M3350&amp;INPUT!N3350,CHOOSE({1,2},INPUT!$A$3:$A$5000&amp;INPUT!$C$3:$C$5000,INPUT!$D$3:$D$5000),2,FALSE),"")</f>
        <v>0</v>
      </c>
      <c r="I3355" s="46" t="str">
        <f>IF(INPUT!P3350="","",INPUT!P3350)</f>
        <v/>
      </c>
      <c r="J3355" s="46" t="str">
        <f>IF(INPUT!Q3350="","",INPUT!Q3350)</f>
        <v/>
      </c>
      <c r="K3355" s="46" t="str">
        <f>IFERROR(IF(OR(INPUT!P3350="",INPUT!Q3350=""),"",INPUT!P3350-INPUT!Q3350),"")</f>
        <v/>
      </c>
      <c r="L3355" s="48" t="str">
        <f>IFERROR(IF(OR(INPUT!P3350="",INPUT!Q3350="",INPUT!P3350=0),"",(INPUT!P3350-INPUT!Q3350)/INPUT!P3350),"")</f>
        <v/>
      </c>
    </row>
    <row r="3356" spans="1:12" ht="18" hidden="1" customHeight="1" x14ac:dyDescent="0.2">
      <c r="A3356" s="11" t="str">
        <f>IF(INPUT!M3351="","",INPUT!M3351)</f>
        <v/>
      </c>
      <c r="B3356" s="11" t="str">
        <f>IF(INPUT!M3351="","",INPUT!M3351-WEEKDAY(INPUT!M3351,2)+1)</f>
        <v/>
      </c>
      <c r="C3356" s="20">
        <f>IFERROR(_xlfn.ISOWEEKNUM(INPUT!M3351),"")</f>
        <v>52</v>
      </c>
      <c r="D3356" s="20">
        <f>IFERROR(YEAR(INPUT!M3351),"")</f>
        <v>1900</v>
      </c>
      <c r="E3356" t="str">
        <f>IF(INPUT!O3351="","",INPUT!O3351)</f>
        <v/>
      </c>
      <c r="F3356" t="str">
        <f>IF(INPUT!N3351="","",INPUT!N3351)</f>
        <v/>
      </c>
      <c r="G3356" cm="1">
        <f t="array" ref="G3356">IFERROR(VLOOKUP(INPUT!M3351&amp;INPUT!N3351,CHOOSE({1,2},INPUT!$A$3:$A$5000&amp;INPUT!$C$3:$C$5000,INPUT!$F$3:$F$5000),2,FALSE),"")</f>
        <v>0</v>
      </c>
      <c r="H3356" cm="1">
        <f t="array" ref="H3356">IFERROR(VLOOKUP(INPUT!M3351&amp;INPUT!N3351,CHOOSE({1,2},INPUT!$A$3:$A$5000&amp;INPUT!$C$3:$C$5000,INPUT!$D$3:$D$5000),2,FALSE),"")</f>
        <v>0</v>
      </c>
      <c r="I3356" s="46" t="str">
        <f>IF(INPUT!P3351="","",INPUT!P3351)</f>
        <v/>
      </c>
      <c r="J3356" s="46" t="str">
        <f>IF(INPUT!Q3351="","",INPUT!Q3351)</f>
        <v/>
      </c>
      <c r="K3356" s="46" t="str">
        <f>IFERROR(IF(OR(INPUT!P3351="",INPUT!Q3351=""),"",INPUT!P3351-INPUT!Q3351),"")</f>
        <v/>
      </c>
      <c r="L3356" s="48" t="str">
        <f>IFERROR(IF(OR(INPUT!P3351="",INPUT!Q3351="",INPUT!P3351=0),"",(INPUT!P3351-INPUT!Q3351)/INPUT!P3351),"")</f>
        <v/>
      </c>
    </row>
    <row r="3357" spans="1:12" ht="18" hidden="1" customHeight="1" x14ac:dyDescent="0.2">
      <c r="A3357" s="11" t="str">
        <f>IF(INPUT!M3352="","",INPUT!M3352)</f>
        <v/>
      </c>
      <c r="B3357" s="11" t="str">
        <f>IF(INPUT!M3352="","",INPUT!M3352-WEEKDAY(INPUT!M3352,2)+1)</f>
        <v/>
      </c>
      <c r="C3357" s="20">
        <f>IFERROR(_xlfn.ISOWEEKNUM(INPUT!M3352),"")</f>
        <v>52</v>
      </c>
      <c r="D3357" s="20">
        <f>IFERROR(YEAR(INPUT!M3352),"")</f>
        <v>1900</v>
      </c>
      <c r="E3357" t="str">
        <f>IF(INPUT!O3352="","",INPUT!O3352)</f>
        <v/>
      </c>
      <c r="F3357" t="str">
        <f>IF(INPUT!N3352="","",INPUT!N3352)</f>
        <v/>
      </c>
      <c r="G3357" cm="1">
        <f t="array" ref="G3357">IFERROR(VLOOKUP(INPUT!M3352&amp;INPUT!N3352,CHOOSE({1,2},INPUT!$A$3:$A$5000&amp;INPUT!$C$3:$C$5000,INPUT!$F$3:$F$5000),2,FALSE),"")</f>
        <v>0</v>
      </c>
      <c r="H3357" cm="1">
        <f t="array" ref="H3357">IFERROR(VLOOKUP(INPUT!M3352&amp;INPUT!N3352,CHOOSE({1,2},INPUT!$A$3:$A$5000&amp;INPUT!$C$3:$C$5000,INPUT!$D$3:$D$5000),2,FALSE),"")</f>
        <v>0</v>
      </c>
      <c r="I3357" s="46" t="str">
        <f>IF(INPUT!P3352="","",INPUT!P3352)</f>
        <v/>
      </c>
      <c r="J3357" s="46" t="str">
        <f>IF(INPUT!Q3352="","",INPUT!Q3352)</f>
        <v/>
      </c>
      <c r="K3357" s="46" t="str">
        <f>IFERROR(IF(OR(INPUT!P3352="",INPUT!Q3352=""),"",INPUT!P3352-INPUT!Q3352),"")</f>
        <v/>
      </c>
      <c r="L3357" s="48" t="str">
        <f>IFERROR(IF(OR(INPUT!P3352="",INPUT!Q3352="",INPUT!P3352=0),"",(INPUT!P3352-INPUT!Q3352)/INPUT!P3352),"")</f>
        <v/>
      </c>
    </row>
    <row r="3358" spans="1:12" ht="18" hidden="1" customHeight="1" x14ac:dyDescent="0.2">
      <c r="A3358" s="11" t="str">
        <f>IF(INPUT!M3353="","",INPUT!M3353)</f>
        <v/>
      </c>
      <c r="B3358" s="11" t="str">
        <f>IF(INPUT!M3353="","",INPUT!M3353-WEEKDAY(INPUT!M3353,2)+1)</f>
        <v/>
      </c>
      <c r="C3358" s="20">
        <f>IFERROR(_xlfn.ISOWEEKNUM(INPUT!M3353),"")</f>
        <v>52</v>
      </c>
      <c r="D3358" s="20">
        <f>IFERROR(YEAR(INPUT!M3353),"")</f>
        <v>1900</v>
      </c>
      <c r="E3358" t="str">
        <f>IF(INPUT!O3353="","",INPUT!O3353)</f>
        <v/>
      </c>
      <c r="F3358" t="str">
        <f>IF(INPUT!N3353="","",INPUT!N3353)</f>
        <v/>
      </c>
      <c r="G3358" cm="1">
        <f t="array" ref="G3358">IFERROR(VLOOKUP(INPUT!M3353&amp;INPUT!N3353,CHOOSE({1,2},INPUT!$A$3:$A$5000&amp;INPUT!$C$3:$C$5000,INPUT!$F$3:$F$5000),2,FALSE),"")</f>
        <v>0</v>
      </c>
      <c r="H3358" cm="1">
        <f t="array" ref="H3358">IFERROR(VLOOKUP(INPUT!M3353&amp;INPUT!N3353,CHOOSE({1,2},INPUT!$A$3:$A$5000&amp;INPUT!$C$3:$C$5000,INPUT!$D$3:$D$5000),2,FALSE),"")</f>
        <v>0</v>
      </c>
      <c r="I3358" s="46" t="str">
        <f>IF(INPUT!P3353="","",INPUT!P3353)</f>
        <v/>
      </c>
      <c r="J3358" s="46" t="str">
        <f>IF(INPUT!Q3353="","",INPUT!Q3353)</f>
        <v/>
      </c>
      <c r="K3358" s="46" t="str">
        <f>IFERROR(IF(OR(INPUT!P3353="",INPUT!Q3353=""),"",INPUT!P3353-INPUT!Q3353),"")</f>
        <v/>
      </c>
      <c r="L3358" s="48" t="str">
        <f>IFERROR(IF(OR(INPUT!P3353="",INPUT!Q3353="",INPUT!P3353=0),"",(INPUT!P3353-INPUT!Q3353)/INPUT!P3353),"")</f>
        <v/>
      </c>
    </row>
    <row r="3359" spans="1:12" ht="18" hidden="1" customHeight="1" x14ac:dyDescent="0.2">
      <c r="A3359" s="11" t="str">
        <f>IF(INPUT!M3354="","",INPUT!M3354)</f>
        <v/>
      </c>
      <c r="B3359" s="11" t="str">
        <f>IF(INPUT!M3354="","",INPUT!M3354-WEEKDAY(INPUT!M3354,2)+1)</f>
        <v/>
      </c>
      <c r="C3359" s="20">
        <f>IFERROR(_xlfn.ISOWEEKNUM(INPUT!M3354),"")</f>
        <v>52</v>
      </c>
      <c r="D3359" s="20">
        <f>IFERROR(YEAR(INPUT!M3354),"")</f>
        <v>1900</v>
      </c>
      <c r="E3359" t="str">
        <f>IF(INPUT!O3354="","",INPUT!O3354)</f>
        <v/>
      </c>
      <c r="F3359" t="str">
        <f>IF(INPUT!N3354="","",INPUT!N3354)</f>
        <v/>
      </c>
      <c r="G3359" cm="1">
        <f t="array" ref="G3359">IFERROR(VLOOKUP(INPUT!M3354&amp;INPUT!N3354,CHOOSE({1,2},INPUT!$A$3:$A$5000&amp;INPUT!$C$3:$C$5000,INPUT!$F$3:$F$5000),2,FALSE),"")</f>
        <v>0</v>
      </c>
      <c r="H3359" cm="1">
        <f t="array" ref="H3359">IFERROR(VLOOKUP(INPUT!M3354&amp;INPUT!N3354,CHOOSE({1,2},INPUT!$A$3:$A$5000&amp;INPUT!$C$3:$C$5000,INPUT!$D$3:$D$5000),2,FALSE),"")</f>
        <v>0</v>
      </c>
      <c r="I3359" s="46" t="str">
        <f>IF(INPUT!P3354="","",INPUT!P3354)</f>
        <v/>
      </c>
      <c r="J3359" s="46" t="str">
        <f>IF(INPUT!Q3354="","",INPUT!Q3354)</f>
        <v/>
      </c>
      <c r="K3359" s="46" t="str">
        <f>IFERROR(IF(OR(INPUT!P3354="",INPUT!Q3354=""),"",INPUT!P3354-INPUT!Q3354),"")</f>
        <v/>
      </c>
      <c r="L3359" s="48" t="str">
        <f>IFERROR(IF(OR(INPUT!P3354="",INPUT!Q3354="",INPUT!P3354=0),"",(INPUT!P3354-INPUT!Q3354)/INPUT!P3354),"")</f>
        <v/>
      </c>
    </row>
    <row r="3360" spans="1:12" ht="18" hidden="1" customHeight="1" x14ac:dyDescent="0.2">
      <c r="A3360" s="11" t="str">
        <f>IF(INPUT!M3355="","",INPUT!M3355)</f>
        <v/>
      </c>
      <c r="B3360" s="11" t="str">
        <f>IF(INPUT!M3355="","",INPUT!M3355-WEEKDAY(INPUT!M3355,2)+1)</f>
        <v/>
      </c>
      <c r="C3360" s="20">
        <f>IFERROR(_xlfn.ISOWEEKNUM(INPUT!M3355),"")</f>
        <v>52</v>
      </c>
      <c r="D3360" s="20">
        <f>IFERROR(YEAR(INPUT!M3355),"")</f>
        <v>1900</v>
      </c>
      <c r="E3360" t="str">
        <f>IF(INPUT!O3355="","",INPUT!O3355)</f>
        <v/>
      </c>
      <c r="F3360" t="str">
        <f>IF(INPUT!N3355="","",INPUT!N3355)</f>
        <v/>
      </c>
      <c r="G3360" cm="1">
        <f t="array" ref="G3360">IFERROR(VLOOKUP(INPUT!M3355&amp;INPUT!N3355,CHOOSE({1,2},INPUT!$A$3:$A$5000&amp;INPUT!$C$3:$C$5000,INPUT!$F$3:$F$5000),2,FALSE),"")</f>
        <v>0</v>
      </c>
      <c r="H3360" cm="1">
        <f t="array" ref="H3360">IFERROR(VLOOKUP(INPUT!M3355&amp;INPUT!N3355,CHOOSE({1,2},INPUT!$A$3:$A$5000&amp;INPUT!$C$3:$C$5000,INPUT!$D$3:$D$5000),2,FALSE),"")</f>
        <v>0</v>
      </c>
      <c r="I3360" s="46" t="str">
        <f>IF(INPUT!P3355="","",INPUT!P3355)</f>
        <v/>
      </c>
      <c r="J3360" s="46" t="str">
        <f>IF(INPUT!Q3355="","",INPUT!Q3355)</f>
        <v/>
      </c>
      <c r="K3360" s="46" t="str">
        <f>IFERROR(IF(OR(INPUT!P3355="",INPUT!Q3355=""),"",INPUT!P3355-INPUT!Q3355),"")</f>
        <v/>
      </c>
      <c r="L3360" s="48" t="str">
        <f>IFERROR(IF(OR(INPUT!P3355="",INPUT!Q3355="",INPUT!P3355=0),"",(INPUT!P3355-INPUT!Q3355)/INPUT!P3355),"")</f>
        <v/>
      </c>
    </row>
    <row r="3361" spans="1:12" ht="18" hidden="1" customHeight="1" x14ac:dyDescent="0.2">
      <c r="A3361" s="11" t="str">
        <f>IF(INPUT!M3356="","",INPUT!M3356)</f>
        <v/>
      </c>
      <c r="B3361" s="11" t="str">
        <f>IF(INPUT!M3356="","",INPUT!M3356-WEEKDAY(INPUT!M3356,2)+1)</f>
        <v/>
      </c>
      <c r="C3361" s="20">
        <f>IFERROR(_xlfn.ISOWEEKNUM(INPUT!M3356),"")</f>
        <v>52</v>
      </c>
      <c r="D3361" s="20">
        <f>IFERROR(YEAR(INPUT!M3356),"")</f>
        <v>1900</v>
      </c>
      <c r="E3361" t="str">
        <f>IF(INPUT!O3356="","",INPUT!O3356)</f>
        <v/>
      </c>
      <c r="F3361" t="str">
        <f>IF(INPUT!N3356="","",INPUT!N3356)</f>
        <v/>
      </c>
      <c r="G3361" cm="1">
        <f t="array" ref="G3361">IFERROR(VLOOKUP(INPUT!M3356&amp;INPUT!N3356,CHOOSE({1,2},INPUT!$A$3:$A$5000&amp;INPUT!$C$3:$C$5000,INPUT!$F$3:$F$5000),2,FALSE),"")</f>
        <v>0</v>
      </c>
      <c r="H3361" cm="1">
        <f t="array" ref="H3361">IFERROR(VLOOKUP(INPUT!M3356&amp;INPUT!N3356,CHOOSE({1,2},INPUT!$A$3:$A$5000&amp;INPUT!$C$3:$C$5000,INPUT!$D$3:$D$5000),2,FALSE),"")</f>
        <v>0</v>
      </c>
      <c r="I3361" s="46" t="str">
        <f>IF(INPUT!P3356="","",INPUT!P3356)</f>
        <v/>
      </c>
      <c r="J3361" s="46" t="str">
        <f>IF(INPUT!Q3356="","",INPUT!Q3356)</f>
        <v/>
      </c>
      <c r="K3361" s="46" t="str">
        <f>IFERROR(IF(OR(INPUT!P3356="",INPUT!Q3356=""),"",INPUT!P3356-INPUT!Q3356),"")</f>
        <v/>
      </c>
      <c r="L3361" s="48" t="str">
        <f>IFERROR(IF(OR(INPUT!P3356="",INPUT!Q3356="",INPUT!P3356=0),"",(INPUT!P3356-INPUT!Q3356)/INPUT!P3356),"")</f>
        <v/>
      </c>
    </row>
    <row r="3362" spans="1:12" ht="18" hidden="1" customHeight="1" x14ac:dyDescent="0.2">
      <c r="A3362" s="11" t="str">
        <f>IF(INPUT!M3357="","",INPUT!M3357)</f>
        <v/>
      </c>
      <c r="B3362" s="11" t="str">
        <f>IF(INPUT!M3357="","",INPUT!M3357-WEEKDAY(INPUT!M3357,2)+1)</f>
        <v/>
      </c>
      <c r="C3362" s="20">
        <f>IFERROR(_xlfn.ISOWEEKNUM(INPUT!M3357),"")</f>
        <v>52</v>
      </c>
      <c r="D3362" s="20">
        <f>IFERROR(YEAR(INPUT!M3357),"")</f>
        <v>1900</v>
      </c>
      <c r="E3362" t="str">
        <f>IF(INPUT!O3357="","",INPUT!O3357)</f>
        <v/>
      </c>
      <c r="F3362" t="str">
        <f>IF(INPUT!N3357="","",INPUT!N3357)</f>
        <v/>
      </c>
      <c r="G3362" cm="1">
        <f t="array" ref="G3362">IFERROR(VLOOKUP(INPUT!M3357&amp;INPUT!N3357,CHOOSE({1,2},INPUT!$A$3:$A$5000&amp;INPUT!$C$3:$C$5000,INPUT!$F$3:$F$5000),2,FALSE),"")</f>
        <v>0</v>
      </c>
      <c r="H3362" cm="1">
        <f t="array" ref="H3362">IFERROR(VLOOKUP(INPUT!M3357&amp;INPUT!N3357,CHOOSE({1,2},INPUT!$A$3:$A$5000&amp;INPUT!$C$3:$C$5000,INPUT!$D$3:$D$5000),2,FALSE),"")</f>
        <v>0</v>
      </c>
      <c r="I3362" s="46" t="str">
        <f>IF(INPUT!P3357="","",INPUT!P3357)</f>
        <v/>
      </c>
      <c r="J3362" s="46" t="str">
        <f>IF(INPUT!Q3357="","",INPUT!Q3357)</f>
        <v/>
      </c>
      <c r="K3362" s="46" t="str">
        <f>IFERROR(IF(OR(INPUT!P3357="",INPUT!Q3357=""),"",INPUT!P3357-INPUT!Q3357),"")</f>
        <v/>
      </c>
      <c r="L3362" s="48" t="str">
        <f>IFERROR(IF(OR(INPUT!P3357="",INPUT!Q3357="",INPUT!P3357=0),"",(INPUT!P3357-INPUT!Q3357)/INPUT!P3357),"")</f>
        <v/>
      </c>
    </row>
    <row r="3363" spans="1:12" ht="18" hidden="1" customHeight="1" x14ac:dyDescent="0.2">
      <c r="A3363" s="11" t="str">
        <f>IF(INPUT!M3358="","",INPUT!M3358)</f>
        <v/>
      </c>
      <c r="B3363" s="11" t="str">
        <f>IF(INPUT!M3358="","",INPUT!M3358-WEEKDAY(INPUT!M3358,2)+1)</f>
        <v/>
      </c>
      <c r="C3363" s="20">
        <f>IFERROR(_xlfn.ISOWEEKNUM(INPUT!M3358),"")</f>
        <v>52</v>
      </c>
      <c r="D3363" s="20">
        <f>IFERROR(YEAR(INPUT!M3358),"")</f>
        <v>1900</v>
      </c>
      <c r="E3363" t="str">
        <f>IF(INPUT!O3358="","",INPUT!O3358)</f>
        <v/>
      </c>
      <c r="F3363" t="str">
        <f>IF(INPUT!N3358="","",INPUT!N3358)</f>
        <v/>
      </c>
      <c r="G3363" cm="1">
        <f t="array" ref="G3363">IFERROR(VLOOKUP(INPUT!M3358&amp;INPUT!N3358,CHOOSE({1,2},INPUT!$A$3:$A$5000&amp;INPUT!$C$3:$C$5000,INPUT!$F$3:$F$5000),2,FALSE),"")</f>
        <v>0</v>
      </c>
      <c r="H3363" cm="1">
        <f t="array" ref="H3363">IFERROR(VLOOKUP(INPUT!M3358&amp;INPUT!N3358,CHOOSE({1,2},INPUT!$A$3:$A$5000&amp;INPUT!$C$3:$C$5000,INPUT!$D$3:$D$5000),2,FALSE),"")</f>
        <v>0</v>
      </c>
      <c r="I3363" s="46" t="str">
        <f>IF(INPUT!P3358="","",INPUT!P3358)</f>
        <v/>
      </c>
      <c r="J3363" s="46" t="str">
        <f>IF(INPUT!Q3358="","",INPUT!Q3358)</f>
        <v/>
      </c>
      <c r="K3363" s="46" t="str">
        <f>IFERROR(IF(OR(INPUT!P3358="",INPUT!Q3358=""),"",INPUT!P3358-INPUT!Q3358),"")</f>
        <v/>
      </c>
      <c r="L3363" s="48" t="str">
        <f>IFERROR(IF(OR(INPUT!P3358="",INPUT!Q3358="",INPUT!P3358=0),"",(INPUT!P3358-INPUT!Q3358)/INPUT!P3358),"")</f>
        <v/>
      </c>
    </row>
    <row r="3364" spans="1:12" ht="18" hidden="1" customHeight="1" x14ac:dyDescent="0.2">
      <c r="A3364" s="11" t="str">
        <f>IF(INPUT!M3359="","",INPUT!M3359)</f>
        <v/>
      </c>
      <c r="B3364" s="11" t="str">
        <f>IF(INPUT!M3359="","",INPUT!M3359-WEEKDAY(INPUT!M3359,2)+1)</f>
        <v/>
      </c>
      <c r="C3364" s="20">
        <f>IFERROR(_xlfn.ISOWEEKNUM(INPUT!M3359),"")</f>
        <v>52</v>
      </c>
      <c r="D3364" s="20">
        <f>IFERROR(YEAR(INPUT!M3359),"")</f>
        <v>1900</v>
      </c>
      <c r="E3364" t="str">
        <f>IF(INPUT!O3359="","",INPUT!O3359)</f>
        <v/>
      </c>
      <c r="F3364" t="str">
        <f>IF(INPUT!N3359="","",INPUT!N3359)</f>
        <v/>
      </c>
      <c r="G3364" cm="1">
        <f t="array" ref="G3364">IFERROR(VLOOKUP(INPUT!M3359&amp;INPUT!N3359,CHOOSE({1,2},INPUT!$A$3:$A$5000&amp;INPUT!$C$3:$C$5000,INPUT!$F$3:$F$5000),2,FALSE),"")</f>
        <v>0</v>
      </c>
      <c r="H3364" cm="1">
        <f t="array" ref="H3364">IFERROR(VLOOKUP(INPUT!M3359&amp;INPUT!N3359,CHOOSE({1,2},INPUT!$A$3:$A$5000&amp;INPUT!$C$3:$C$5000,INPUT!$D$3:$D$5000),2,FALSE),"")</f>
        <v>0</v>
      </c>
      <c r="I3364" s="46" t="str">
        <f>IF(INPUT!P3359="","",INPUT!P3359)</f>
        <v/>
      </c>
      <c r="J3364" s="46" t="str">
        <f>IF(INPUT!Q3359="","",INPUT!Q3359)</f>
        <v/>
      </c>
      <c r="K3364" s="46" t="str">
        <f>IFERROR(IF(OR(INPUT!P3359="",INPUT!Q3359=""),"",INPUT!P3359-INPUT!Q3359),"")</f>
        <v/>
      </c>
      <c r="L3364" s="48" t="str">
        <f>IFERROR(IF(OR(INPUT!P3359="",INPUT!Q3359="",INPUT!P3359=0),"",(INPUT!P3359-INPUT!Q3359)/INPUT!P3359),"")</f>
        <v/>
      </c>
    </row>
    <row r="3365" spans="1:12" ht="18" hidden="1" customHeight="1" x14ac:dyDescent="0.2">
      <c r="A3365" s="11" t="str">
        <f>IF(INPUT!M3360="","",INPUT!M3360)</f>
        <v/>
      </c>
      <c r="B3365" s="11" t="str">
        <f>IF(INPUT!M3360="","",INPUT!M3360-WEEKDAY(INPUT!M3360,2)+1)</f>
        <v/>
      </c>
      <c r="C3365" s="20">
        <f>IFERROR(_xlfn.ISOWEEKNUM(INPUT!M3360),"")</f>
        <v>52</v>
      </c>
      <c r="D3365" s="20">
        <f>IFERROR(YEAR(INPUT!M3360),"")</f>
        <v>1900</v>
      </c>
      <c r="E3365" t="str">
        <f>IF(INPUT!O3360="","",INPUT!O3360)</f>
        <v/>
      </c>
      <c r="F3365" t="str">
        <f>IF(INPUT!N3360="","",INPUT!N3360)</f>
        <v/>
      </c>
      <c r="G3365" cm="1">
        <f t="array" ref="G3365">IFERROR(VLOOKUP(INPUT!M3360&amp;INPUT!N3360,CHOOSE({1,2},INPUT!$A$3:$A$5000&amp;INPUT!$C$3:$C$5000,INPUT!$F$3:$F$5000),2,FALSE),"")</f>
        <v>0</v>
      </c>
      <c r="H3365" cm="1">
        <f t="array" ref="H3365">IFERROR(VLOOKUP(INPUT!M3360&amp;INPUT!N3360,CHOOSE({1,2},INPUT!$A$3:$A$5000&amp;INPUT!$C$3:$C$5000,INPUT!$D$3:$D$5000),2,FALSE),"")</f>
        <v>0</v>
      </c>
      <c r="I3365" s="46" t="str">
        <f>IF(INPUT!P3360="","",INPUT!P3360)</f>
        <v/>
      </c>
      <c r="J3365" s="46" t="str">
        <f>IF(INPUT!Q3360="","",INPUT!Q3360)</f>
        <v/>
      </c>
      <c r="K3365" s="46" t="str">
        <f>IFERROR(IF(OR(INPUT!P3360="",INPUT!Q3360=""),"",INPUT!P3360-INPUT!Q3360),"")</f>
        <v/>
      </c>
      <c r="L3365" s="48" t="str">
        <f>IFERROR(IF(OR(INPUT!P3360="",INPUT!Q3360="",INPUT!P3360=0),"",(INPUT!P3360-INPUT!Q3360)/INPUT!P3360),"")</f>
        <v/>
      </c>
    </row>
    <row r="3366" spans="1:12" ht="18" hidden="1" customHeight="1" x14ac:dyDescent="0.2">
      <c r="A3366" s="11" t="str">
        <f>IF(INPUT!M3361="","",INPUT!M3361)</f>
        <v/>
      </c>
      <c r="B3366" s="11" t="str">
        <f>IF(INPUT!M3361="","",INPUT!M3361-WEEKDAY(INPUT!M3361,2)+1)</f>
        <v/>
      </c>
      <c r="C3366" s="20">
        <f>IFERROR(_xlfn.ISOWEEKNUM(INPUT!M3361),"")</f>
        <v>52</v>
      </c>
      <c r="D3366" s="20">
        <f>IFERROR(YEAR(INPUT!M3361),"")</f>
        <v>1900</v>
      </c>
      <c r="E3366" t="str">
        <f>IF(INPUT!O3361="","",INPUT!O3361)</f>
        <v/>
      </c>
      <c r="F3366" t="str">
        <f>IF(INPUT!N3361="","",INPUT!N3361)</f>
        <v/>
      </c>
      <c r="G3366" cm="1">
        <f t="array" ref="G3366">IFERROR(VLOOKUP(INPUT!M3361&amp;INPUT!N3361,CHOOSE({1,2},INPUT!$A$3:$A$5000&amp;INPUT!$C$3:$C$5000,INPUT!$F$3:$F$5000),2,FALSE),"")</f>
        <v>0</v>
      </c>
      <c r="H3366" cm="1">
        <f t="array" ref="H3366">IFERROR(VLOOKUP(INPUT!M3361&amp;INPUT!N3361,CHOOSE({1,2},INPUT!$A$3:$A$5000&amp;INPUT!$C$3:$C$5000,INPUT!$D$3:$D$5000),2,FALSE),"")</f>
        <v>0</v>
      </c>
      <c r="I3366" s="46" t="str">
        <f>IF(INPUT!P3361="","",INPUT!P3361)</f>
        <v/>
      </c>
      <c r="J3366" s="46" t="str">
        <f>IF(INPUT!Q3361="","",INPUT!Q3361)</f>
        <v/>
      </c>
      <c r="K3366" s="46" t="str">
        <f>IFERROR(IF(OR(INPUT!P3361="",INPUT!Q3361=""),"",INPUT!P3361-INPUT!Q3361),"")</f>
        <v/>
      </c>
      <c r="L3366" s="48" t="str">
        <f>IFERROR(IF(OR(INPUT!P3361="",INPUT!Q3361="",INPUT!P3361=0),"",(INPUT!P3361-INPUT!Q3361)/INPUT!P3361),"")</f>
        <v/>
      </c>
    </row>
    <row r="3367" spans="1:12" ht="18" hidden="1" customHeight="1" x14ac:dyDescent="0.2">
      <c r="A3367" s="11" t="str">
        <f>IF(INPUT!M3362="","",INPUT!M3362)</f>
        <v/>
      </c>
      <c r="B3367" s="11" t="str">
        <f>IF(INPUT!M3362="","",INPUT!M3362-WEEKDAY(INPUT!M3362,2)+1)</f>
        <v/>
      </c>
      <c r="C3367" s="20">
        <f>IFERROR(_xlfn.ISOWEEKNUM(INPUT!M3362),"")</f>
        <v>52</v>
      </c>
      <c r="D3367" s="20">
        <f>IFERROR(YEAR(INPUT!M3362),"")</f>
        <v>1900</v>
      </c>
      <c r="E3367" t="str">
        <f>IF(INPUT!O3362="","",INPUT!O3362)</f>
        <v/>
      </c>
      <c r="F3367" t="str">
        <f>IF(INPUT!N3362="","",INPUT!N3362)</f>
        <v/>
      </c>
      <c r="G3367" cm="1">
        <f t="array" ref="G3367">IFERROR(VLOOKUP(INPUT!M3362&amp;INPUT!N3362,CHOOSE({1,2},INPUT!$A$3:$A$5000&amp;INPUT!$C$3:$C$5000,INPUT!$F$3:$F$5000),2,FALSE),"")</f>
        <v>0</v>
      </c>
      <c r="H3367" cm="1">
        <f t="array" ref="H3367">IFERROR(VLOOKUP(INPUT!M3362&amp;INPUT!N3362,CHOOSE({1,2},INPUT!$A$3:$A$5000&amp;INPUT!$C$3:$C$5000,INPUT!$D$3:$D$5000),2,FALSE),"")</f>
        <v>0</v>
      </c>
      <c r="I3367" s="46" t="str">
        <f>IF(INPUT!P3362="","",INPUT!P3362)</f>
        <v/>
      </c>
      <c r="J3367" s="46" t="str">
        <f>IF(INPUT!Q3362="","",INPUT!Q3362)</f>
        <v/>
      </c>
      <c r="K3367" s="46" t="str">
        <f>IFERROR(IF(OR(INPUT!P3362="",INPUT!Q3362=""),"",INPUT!P3362-INPUT!Q3362),"")</f>
        <v/>
      </c>
      <c r="L3367" s="48" t="str">
        <f>IFERROR(IF(OR(INPUT!P3362="",INPUT!Q3362="",INPUT!P3362=0),"",(INPUT!P3362-INPUT!Q3362)/INPUT!P3362),"")</f>
        <v/>
      </c>
    </row>
    <row r="3368" spans="1:12" ht="18" hidden="1" customHeight="1" x14ac:dyDescent="0.2">
      <c r="A3368" s="11" t="str">
        <f>IF(INPUT!M3363="","",INPUT!M3363)</f>
        <v/>
      </c>
      <c r="B3368" s="11" t="str">
        <f>IF(INPUT!M3363="","",INPUT!M3363-WEEKDAY(INPUT!M3363,2)+1)</f>
        <v/>
      </c>
      <c r="C3368" s="20">
        <f>IFERROR(_xlfn.ISOWEEKNUM(INPUT!M3363),"")</f>
        <v>52</v>
      </c>
      <c r="D3368" s="20">
        <f>IFERROR(YEAR(INPUT!M3363),"")</f>
        <v>1900</v>
      </c>
      <c r="E3368" t="str">
        <f>IF(INPUT!O3363="","",INPUT!O3363)</f>
        <v/>
      </c>
      <c r="F3368" t="str">
        <f>IF(INPUT!N3363="","",INPUT!N3363)</f>
        <v/>
      </c>
      <c r="G3368" cm="1">
        <f t="array" ref="G3368">IFERROR(VLOOKUP(INPUT!M3363&amp;INPUT!N3363,CHOOSE({1,2},INPUT!$A$3:$A$5000&amp;INPUT!$C$3:$C$5000,INPUT!$F$3:$F$5000),2,FALSE),"")</f>
        <v>0</v>
      </c>
      <c r="H3368" cm="1">
        <f t="array" ref="H3368">IFERROR(VLOOKUP(INPUT!M3363&amp;INPUT!N3363,CHOOSE({1,2},INPUT!$A$3:$A$5000&amp;INPUT!$C$3:$C$5000,INPUT!$D$3:$D$5000),2,FALSE),"")</f>
        <v>0</v>
      </c>
      <c r="I3368" s="46" t="str">
        <f>IF(INPUT!P3363="","",INPUT!P3363)</f>
        <v/>
      </c>
      <c r="J3368" s="46" t="str">
        <f>IF(INPUT!Q3363="","",INPUT!Q3363)</f>
        <v/>
      </c>
      <c r="K3368" s="46" t="str">
        <f>IFERROR(IF(OR(INPUT!P3363="",INPUT!Q3363=""),"",INPUT!P3363-INPUT!Q3363),"")</f>
        <v/>
      </c>
      <c r="L3368" s="48" t="str">
        <f>IFERROR(IF(OR(INPUT!P3363="",INPUT!Q3363="",INPUT!P3363=0),"",(INPUT!P3363-INPUT!Q3363)/INPUT!P3363),"")</f>
        <v/>
      </c>
    </row>
    <row r="3369" spans="1:12" ht="18" hidden="1" customHeight="1" x14ac:dyDescent="0.2">
      <c r="A3369" s="11" t="str">
        <f>IF(INPUT!M3364="","",INPUT!M3364)</f>
        <v/>
      </c>
      <c r="B3369" s="11" t="str">
        <f>IF(INPUT!M3364="","",INPUT!M3364-WEEKDAY(INPUT!M3364,2)+1)</f>
        <v/>
      </c>
      <c r="C3369" s="20">
        <f>IFERROR(_xlfn.ISOWEEKNUM(INPUT!M3364),"")</f>
        <v>52</v>
      </c>
      <c r="D3369" s="20">
        <f>IFERROR(YEAR(INPUT!M3364),"")</f>
        <v>1900</v>
      </c>
      <c r="E3369" t="str">
        <f>IF(INPUT!O3364="","",INPUT!O3364)</f>
        <v/>
      </c>
      <c r="F3369" t="str">
        <f>IF(INPUT!N3364="","",INPUT!N3364)</f>
        <v/>
      </c>
      <c r="G3369" cm="1">
        <f t="array" ref="G3369">IFERROR(VLOOKUP(INPUT!M3364&amp;INPUT!N3364,CHOOSE({1,2},INPUT!$A$3:$A$5000&amp;INPUT!$C$3:$C$5000,INPUT!$F$3:$F$5000),2,FALSE),"")</f>
        <v>0</v>
      </c>
      <c r="H3369" cm="1">
        <f t="array" ref="H3369">IFERROR(VLOOKUP(INPUT!M3364&amp;INPUT!N3364,CHOOSE({1,2},INPUT!$A$3:$A$5000&amp;INPUT!$C$3:$C$5000,INPUT!$D$3:$D$5000),2,FALSE),"")</f>
        <v>0</v>
      </c>
      <c r="I3369" s="46" t="str">
        <f>IF(INPUT!P3364="","",INPUT!P3364)</f>
        <v/>
      </c>
      <c r="J3369" s="46" t="str">
        <f>IF(INPUT!Q3364="","",INPUT!Q3364)</f>
        <v/>
      </c>
      <c r="K3369" s="46" t="str">
        <f>IFERROR(IF(OR(INPUT!P3364="",INPUT!Q3364=""),"",INPUT!P3364-INPUT!Q3364),"")</f>
        <v/>
      </c>
      <c r="L3369" s="48" t="str">
        <f>IFERROR(IF(OR(INPUT!P3364="",INPUT!Q3364="",INPUT!P3364=0),"",(INPUT!P3364-INPUT!Q3364)/INPUT!P3364),"")</f>
        <v/>
      </c>
    </row>
    <row r="3370" spans="1:12" ht="18" hidden="1" customHeight="1" x14ac:dyDescent="0.2">
      <c r="A3370" s="11" t="str">
        <f>IF(INPUT!M3365="","",INPUT!M3365)</f>
        <v/>
      </c>
      <c r="B3370" s="11" t="str">
        <f>IF(INPUT!M3365="","",INPUT!M3365-WEEKDAY(INPUT!M3365,2)+1)</f>
        <v/>
      </c>
      <c r="C3370" s="20">
        <f>IFERROR(_xlfn.ISOWEEKNUM(INPUT!M3365),"")</f>
        <v>52</v>
      </c>
      <c r="D3370" s="20">
        <f>IFERROR(YEAR(INPUT!M3365),"")</f>
        <v>1900</v>
      </c>
      <c r="E3370" t="str">
        <f>IF(INPUT!O3365="","",INPUT!O3365)</f>
        <v/>
      </c>
      <c r="F3370" t="str">
        <f>IF(INPUT!N3365="","",INPUT!N3365)</f>
        <v/>
      </c>
      <c r="G3370" cm="1">
        <f t="array" ref="G3370">IFERROR(VLOOKUP(INPUT!M3365&amp;INPUT!N3365,CHOOSE({1,2},INPUT!$A$3:$A$5000&amp;INPUT!$C$3:$C$5000,INPUT!$F$3:$F$5000),2,FALSE),"")</f>
        <v>0</v>
      </c>
      <c r="H3370" cm="1">
        <f t="array" ref="H3370">IFERROR(VLOOKUP(INPUT!M3365&amp;INPUT!N3365,CHOOSE({1,2},INPUT!$A$3:$A$5000&amp;INPUT!$C$3:$C$5000,INPUT!$D$3:$D$5000),2,FALSE),"")</f>
        <v>0</v>
      </c>
      <c r="I3370" s="46" t="str">
        <f>IF(INPUT!P3365="","",INPUT!P3365)</f>
        <v/>
      </c>
      <c r="J3370" s="46" t="str">
        <f>IF(INPUT!Q3365="","",INPUT!Q3365)</f>
        <v/>
      </c>
      <c r="K3370" s="46" t="str">
        <f>IFERROR(IF(OR(INPUT!P3365="",INPUT!Q3365=""),"",INPUT!P3365-INPUT!Q3365),"")</f>
        <v/>
      </c>
      <c r="L3370" s="48" t="str">
        <f>IFERROR(IF(OR(INPUT!P3365="",INPUT!Q3365="",INPUT!P3365=0),"",(INPUT!P3365-INPUT!Q3365)/INPUT!P3365),"")</f>
        <v/>
      </c>
    </row>
    <row r="3371" spans="1:12" ht="18" hidden="1" customHeight="1" x14ac:dyDescent="0.2">
      <c r="A3371" s="11" t="str">
        <f>IF(INPUT!M3366="","",INPUT!M3366)</f>
        <v/>
      </c>
      <c r="B3371" s="11" t="str">
        <f>IF(INPUT!M3366="","",INPUT!M3366-WEEKDAY(INPUT!M3366,2)+1)</f>
        <v/>
      </c>
      <c r="C3371" s="20">
        <f>IFERROR(_xlfn.ISOWEEKNUM(INPUT!M3366),"")</f>
        <v>52</v>
      </c>
      <c r="D3371" s="20">
        <f>IFERROR(YEAR(INPUT!M3366),"")</f>
        <v>1900</v>
      </c>
      <c r="E3371" t="str">
        <f>IF(INPUT!O3366="","",INPUT!O3366)</f>
        <v/>
      </c>
      <c r="F3371" t="str">
        <f>IF(INPUT!N3366="","",INPUT!N3366)</f>
        <v/>
      </c>
      <c r="G3371" cm="1">
        <f t="array" ref="G3371">IFERROR(VLOOKUP(INPUT!M3366&amp;INPUT!N3366,CHOOSE({1,2},INPUT!$A$3:$A$5000&amp;INPUT!$C$3:$C$5000,INPUT!$F$3:$F$5000),2,FALSE),"")</f>
        <v>0</v>
      </c>
      <c r="H3371" cm="1">
        <f t="array" ref="H3371">IFERROR(VLOOKUP(INPUT!M3366&amp;INPUT!N3366,CHOOSE({1,2},INPUT!$A$3:$A$5000&amp;INPUT!$C$3:$C$5000,INPUT!$D$3:$D$5000),2,FALSE),"")</f>
        <v>0</v>
      </c>
      <c r="I3371" s="46" t="str">
        <f>IF(INPUT!P3366="","",INPUT!P3366)</f>
        <v/>
      </c>
      <c r="J3371" s="46" t="str">
        <f>IF(INPUT!Q3366="","",INPUT!Q3366)</f>
        <v/>
      </c>
      <c r="K3371" s="46" t="str">
        <f>IFERROR(IF(OR(INPUT!P3366="",INPUT!Q3366=""),"",INPUT!P3366-INPUT!Q3366),"")</f>
        <v/>
      </c>
      <c r="L3371" s="48" t="str">
        <f>IFERROR(IF(OR(INPUT!P3366="",INPUT!Q3366="",INPUT!P3366=0),"",(INPUT!P3366-INPUT!Q3366)/INPUT!P3366),"")</f>
        <v/>
      </c>
    </row>
    <row r="3372" spans="1:12" ht="18" hidden="1" customHeight="1" x14ac:dyDescent="0.2">
      <c r="A3372" s="11" t="str">
        <f>IF(INPUT!M3367="","",INPUT!M3367)</f>
        <v/>
      </c>
      <c r="B3372" s="11" t="str">
        <f>IF(INPUT!M3367="","",INPUT!M3367-WEEKDAY(INPUT!M3367,2)+1)</f>
        <v/>
      </c>
      <c r="C3372" s="20">
        <f>IFERROR(_xlfn.ISOWEEKNUM(INPUT!M3367),"")</f>
        <v>52</v>
      </c>
      <c r="D3372" s="20">
        <f>IFERROR(YEAR(INPUT!M3367),"")</f>
        <v>1900</v>
      </c>
      <c r="E3372" t="str">
        <f>IF(INPUT!O3367="","",INPUT!O3367)</f>
        <v/>
      </c>
      <c r="F3372" t="str">
        <f>IF(INPUT!N3367="","",INPUT!N3367)</f>
        <v/>
      </c>
      <c r="G3372" cm="1">
        <f t="array" ref="G3372">IFERROR(VLOOKUP(INPUT!M3367&amp;INPUT!N3367,CHOOSE({1,2},INPUT!$A$3:$A$5000&amp;INPUT!$C$3:$C$5000,INPUT!$F$3:$F$5000),2,FALSE),"")</f>
        <v>0</v>
      </c>
      <c r="H3372" cm="1">
        <f t="array" ref="H3372">IFERROR(VLOOKUP(INPUT!M3367&amp;INPUT!N3367,CHOOSE({1,2},INPUT!$A$3:$A$5000&amp;INPUT!$C$3:$C$5000,INPUT!$D$3:$D$5000),2,FALSE),"")</f>
        <v>0</v>
      </c>
      <c r="I3372" s="46" t="str">
        <f>IF(INPUT!P3367="","",INPUT!P3367)</f>
        <v/>
      </c>
      <c r="J3372" s="46" t="str">
        <f>IF(INPUT!Q3367="","",INPUT!Q3367)</f>
        <v/>
      </c>
      <c r="K3372" s="46" t="str">
        <f>IFERROR(IF(OR(INPUT!P3367="",INPUT!Q3367=""),"",INPUT!P3367-INPUT!Q3367),"")</f>
        <v/>
      </c>
      <c r="L3372" s="48" t="str">
        <f>IFERROR(IF(OR(INPUT!P3367="",INPUT!Q3367="",INPUT!P3367=0),"",(INPUT!P3367-INPUT!Q3367)/INPUT!P3367),"")</f>
        <v/>
      </c>
    </row>
    <row r="3373" spans="1:12" ht="18" hidden="1" customHeight="1" x14ac:dyDescent="0.2">
      <c r="A3373" s="11" t="str">
        <f>IF(INPUT!M3368="","",INPUT!M3368)</f>
        <v/>
      </c>
      <c r="B3373" s="11" t="str">
        <f>IF(INPUT!M3368="","",INPUT!M3368-WEEKDAY(INPUT!M3368,2)+1)</f>
        <v/>
      </c>
      <c r="C3373" s="20">
        <f>IFERROR(_xlfn.ISOWEEKNUM(INPUT!M3368),"")</f>
        <v>52</v>
      </c>
      <c r="D3373" s="20">
        <f>IFERROR(YEAR(INPUT!M3368),"")</f>
        <v>1900</v>
      </c>
      <c r="E3373" t="str">
        <f>IF(INPUT!O3368="","",INPUT!O3368)</f>
        <v/>
      </c>
      <c r="F3373" t="str">
        <f>IF(INPUT!N3368="","",INPUT!N3368)</f>
        <v/>
      </c>
      <c r="G3373" cm="1">
        <f t="array" ref="G3373">IFERROR(VLOOKUP(INPUT!M3368&amp;INPUT!N3368,CHOOSE({1,2},INPUT!$A$3:$A$5000&amp;INPUT!$C$3:$C$5000,INPUT!$F$3:$F$5000),2,FALSE),"")</f>
        <v>0</v>
      </c>
      <c r="H3373" cm="1">
        <f t="array" ref="H3373">IFERROR(VLOOKUP(INPUT!M3368&amp;INPUT!N3368,CHOOSE({1,2},INPUT!$A$3:$A$5000&amp;INPUT!$C$3:$C$5000,INPUT!$D$3:$D$5000),2,FALSE),"")</f>
        <v>0</v>
      </c>
      <c r="I3373" s="46" t="str">
        <f>IF(INPUT!P3368="","",INPUT!P3368)</f>
        <v/>
      </c>
      <c r="J3373" s="46" t="str">
        <f>IF(INPUT!Q3368="","",INPUT!Q3368)</f>
        <v/>
      </c>
      <c r="K3373" s="46" t="str">
        <f>IFERROR(IF(OR(INPUT!P3368="",INPUT!Q3368=""),"",INPUT!P3368-INPUT!Q3368),"")</f>
        <v/>
      </c>
      <c r="L3373" s="48" t="str">
        <f>IFERROR(IF(OR(INPUT!P3368="",INPUT!Q3368="",INPUT!P3368=0),"",(INPUT!P3368-INPUT!Q3368)/INPUT!P3368),"")</f>
        <v/>
      </c>
    </row>
    <row r="3374" spans="1:12" ht="18" hidden="1" customHeight="1" x14ac:dyDescent="0.2">
      <c r="A3374" s="11" t="str">
        <f>IF(INPUT!M3369="","",INPUT!M3369)</f>
        <v/>
      </c>
      <c r="B3374" s="11" t="str">
        <f>IF(INPUT!M3369="","",INPUT!M3369-WEEKDAY(INPUT!M3369,2)+1)</f>
        <v/>
      </c>
      <c r="C3374" s="20">
        <f>IFERROR(_xlfn.ISOWEEKNUM(INPUT!M3369),"")</f>
        <v>52</v>
      </c>
      <c r="D3374" s="20">
        <f>IFERROR(YEAR(INPUT!M3369),"")</f>
        <v>1900</v>
      </c>
      <c r="E3374" t="str">
        <f>IF(INPUT!O3369="","",INPUT!O3369)</f>
        <v/>
      </c>
      <c r="F3374" t="str">
        <f>IF(INPUT!N3369="","",INPUT!N3369)</f>
        <v/>
      </c>
      <c r="G3374" cm="1">
        <f t="array" ref="G3374">IFERROR(VLOOKUP(INPUT!M3369&amp;INPUT!N3369,CHOOSE({1,2},INPUT!$A$3:$A$5000&amp;INPUT!$C$3:$C$5000,INPUT!$F$3:$F$5000),2,FALSE),"")</f>
        <v>0</v>
      </c>
      <c r="H3374" cm="1">
        <f t="array" ref="H3374">IFERROR(VLOOKUP(INPUT!M3369&amp;INPUT!N3369,CHOOSE({1,2},INPUT!$A$3:$A$5000&amp;INPUT!$C$3:$C$5000,INPUT!$D$3:$D$5000),2,FALSE),"")</f>
        <v>0</v>
      </c>
      <c r="I3374" s="46" t="str">
        <f>IF(INPUT!P3369="","",INPUT!P3369)</f>
        <v/>
      </c>
      <c r="J3374" s="46" t="str">
        <f>IF(INPUT!Q3369="","",INPUT!Q3369)</f>
        <v/>
      </c>
      <c r="K3374" s="46" t="str">
        <f>IFERROR(IF(OR(INPUT!P3369="",INPUT!Q3369=""),"",INPUT!P3369-INPUT!Q3369),"")</f>
        <v/>
      </c>
      <c r="L3374" s="48" t="str">
        <f>IFERROR(IF(OR(INPUT!P3369="",INPUT!Q3369="",INPUT!P3369=0),"",(INPUT!P3369-INPUT!Q3369)/INPUT!P3369),"")</f>
        <v/>
      </c>
    </row>
    <row r="3375" spans="1:12" ht="18" hidden="1" customHeight="1" x14ac:dyDescent="0.2">
      <c r="A3375" s="11" t="str">
        <f>IF(INPUT!M3370="","",INPUT!M3370)</f>
        <v/>
      </c>
      <c r="B3375" s="11" t="str">
        <f>IF(INPUT!M3370="","",INPUT!M3370-WEEKDAY(INPUT!M3370,2)+1)</f>
        <v/>
      </c>
      <c r="C3375" s="20">
        <f>IFERROR(_xlfn.ISOWEEKNUM(INPUT!M3370),"")</f>
        <v>52</v>
      </c>
      <c r="D3375" s="20">
        <f>IFERROR(YEAR(INPUT!M3370),"")</f>
        <v>1900</v>
      </c>
      <c r="E3375" t="str">
        <f>IF(INPUT!O3370="","",INPUT!O3370)</f>
        <v/>
      </c>
      <c r="F3375" t="str">
        <f>IF(INPUT!N3370="","",INPUT!N3370)</f>
        <v/>
      </c>
      <c r="G3375" cm="1">
        <f t="array" ref="G3375">IFERROR(VLOOKUP(INPUT!M3370&amp;INPUT!N3370,CHOOSE({1,2},INPUT!$A$3:$A$5000&amp;INPUT!$C$3:$C$5000,INPUT!$F$3:$F$5000),2,FALSE),"")</f>
        <v>0</v>
      </c>
      <c r="H3375" cm="1">
        <f t="array" ref="H3375">IFERROR(VLOOKUP(INPUT!M3370&amp;INPUT!N3370,CHOOSE({1,2},INPUT!$A$3:$A$5000&amp;INPUT!$C$3:$C$5000,INPUT!$D$3:$D$5000),2,FALSE),"")</f>
        <v>0</v>
      </c>
      <c r="I3375" s="46" t="str">
        <f>IF(INPUT!P3370="","",INPUT!P3370)</f>
        <v/>
      </c>
      <c r="J3375" s="46" t="str">
        <f>IF(INPUT!Q3370="","",INPUT!Q3370)</f>
        <v/>
      </c>
      <c r="K3375" s="46" t="str">
        <f>IFERROR(IF(OR(INPUT!P3370="",INPUT!Q3370=""),"",INPUT!P3370-INPUT!Q3370),"")</f>
        <v/>
      </c>
      <c r="L3375" s="48" t="str">
        <f>IFERROR(IF(OR(INPUT!P3370="",INPUT!Q3370="",INPUT!P3370=0),"",(INPUT!P3370-INPUT!Q3370)/INPUT!P3370),"")</f>
        <v/>
      </c>
    </row>
    <row r="3376" spans="1:12" ht="18" hidden="1" customHeight="1" x14ac:dyDescent="0.2">
      <c r="A3376" s="11" t="str">
        <f>IF(INPUT!M3371="","",INPUT!M3371)</f>
        <v/>
      </c>
      <c r="B3376" s="11" t="str">
        <f>IF(INPUT!M3371="","",INPUT!M3371-WEEKDAY(INPUT!M3371,2)+1)</f>
        <v/>
      </c>
      <c r="C3376" s="20">
        <f>IFERROR(_xlfn.ISOWEEKNUM(INPUT!M3371),"")</f>
        <v>52</v>
      </c>
      <c r="D3376" s="20">
        <f>IFERROR(YEAR(INPUT!M3371),"")</f>
        <v>1900</v>
      </c>
      <c r="E3376" t="str">
        <f>IF(INPUT!O3371="","",INPUT!O3371)</f>
        <v/>
      </c>
      <c r="F3376" t="str">
        <f>IF(INPUT!N3371="","",INPUT!N3371)</f>
        <v/>
      </c>
      <c r="G3376" cm="1">
        <f t="array" ref="G3376">IFERROR(VLOOKUP(INPUT!M3371&amp;INPUT!N3371,CHOOSE({1,2},INPUT!$A$3:$A$5000&amp;INPUT!$C$3:$C$5000,INPUT!$F$3:$F$5000),2,FALSE),"")</f>
        <v>0</v>
      </c>
      <c r="H3376" cm="1">
        <f t="array" ref="H3376">IFERROR(VLOOKUP(INPUT!M3371&amp;INPUT!N3371,CHOOSE({1,2},INPUT!$A$3:$A$5000&amp;INPUT!$C$3:$C$5000,INPUT!$D$3:$D$5000),2,FALSE),"")</f>
        <v>0</v>
      </c>
      <c r="I3376" s="46" t="str">
        <f>IF(INPUT!P3371="","",INPUT!P3371)</f>
        <v/>
      </c>
      <c r="J3376" s="46" t="str">
        <f>IF(INPUT!Q3371="","",INPUT!Q3371)</f>
        <v/>
      </c>
      <c r="K3376" s="46" t="str">
        <f>IFERROR(IF(OR(INPUT!P3371="",INPUT!Q3371=""),"",INPUT!P3371-INPUT!Q3371),"")</f>
        <v/>
      </c>
      <c r="L3376" s="48" t="str">
        <f>IFERROR(IF(OR(INPUT!P3371="",INPUT!Q3371="",INPUT!P3371=0),"",(INPUT!P3371-INPUT!Q3371)/INPUT!P3371),"")</f>
        <v/>
      </c>
    </row>
    <row r="3377" spans="1:12" ht="18" hidden="1" customHeight="1" x14ac:dyDescent="0.2">
      <c r="A3377" s="11" t="str">
        <f>IF(INPUT!M3372="","",INPUT!M3372)</f>
        <v/>
      </c>
      <c r="B3377" s="11" t="str">
        <f>IF(INPUT!M3372="","",INPUT!M3372-WEEKDAY(INPUT!M3372,2)+1)</f>
        <v/>
      </c>
      <c r="C3377" s="20">
        <f>IFERROR(_xlfn.ISOWEEKNUM(INPUT!M3372),"")</f>
        <v>52</v>
      </c>
      <c r="D3377" s="20">
        <f>IFERROR(YEAR(INPUT!M3372),"")</f>
        <v>1900</v>
      </c>
      <c r="E3377" t="str">
        <f>IF(INPUT!O3372="","",INPUT!O3372)</f>
        <v/>
      </c>
      <c r="F3377" t="str">
        <f>IF(INPUT!N3372="","",INPUT!N3372)</f>
        <v/>
      </c>
      <c r="G3377" cm="1">
        <f t="array" ref="G3377">IFERROR(VLOOKUP(INPUT!M3372&amp;INPUT!N3372,CHOOSE({1,2},INPUT!$A$3:$A$5000&amp;INPUT!$C$3:$C$5000,INPUT!$F$3:$F$5000),2,FALSE),"")</f>
        <v>0</v>
      </c>
      <c r="H3377" cm="1">
        <f t="array" ref="H3377">IFERROR(VLOOKUP(INPUT!M3372&amp;INPUT!N3372,CHOOSE({1,2},INPUT!$A$3:$A$5000&amp;INPUT!$C$3:$C$5000,INPUT!$D$3:$D$5000),2,FALSE),"")</f>
        <v>0</v>
      </c>
      <c r="I3377" s="46" t="str">
        <f>IF(INPUT!P3372="","",INPUT!P3372)</f>
        <v/>
      </c>
      <c r="J3377" s="46" t="str">
        <f>IF(INPUT!Q3372="","",INPUT!Q3372)</f>
        <v/>
      </c>
      <c r="K3377" s="46" t="str">
        <f>IFERROR(IF(OR(INPUT!P3372="",INPUT!Q3372=""),"",INPUT!P3372-INPUT!Q3372),"")</f>
        <v/>
      </c>
      <c r="L3377" s="48" t="str">
        <f>IFERROR(IF(OR(INPUT!P3372="",INPUT!Q3372="",INPUT!P3372=0),"",(INPUT!P3372-INPUT!Q3372)/INPUT!P3372),"")</f>
        <v/>
      </c>
    </row>
    <row r="3378" spans="1:12" ht="18" hidden="1" customHeight="1" x14ac:dyDescent="0.2">
      <c r="A3378" s="11" t="str">
        <f>IF(INPUT!M3373="","",INPUT!M3373)</f>
        <v/>
      </c>
      <c r="B3378" s="11" t="str">
        <f>IF(INPUT!M3373="","",INPUT!M3373-WEEKDAY(INPUT!M3373,2)+1)</f>
        <v/>
      </c>
      <c r="C3378" s="20">
        <f>IFERROR(_xlfn.ISOWEEKNUM(INPUT!M3373),"")</f>
        <v>52</v>
      </c>
      <c r="D3378" s="20">
        <f>IFERROR(YEAR(INPUT!M3373),"")</f>
        <v>1900</v>
      </c>
      <c r="E3378" t="str">
        <f>IF(INPUT!O3373="","",INPUT!O3373)</f>
        <v/>
      </c>
      <c r="F3378" t="str">
        <f>IF(INPUT!N3373="","",INPUT!N3373)</f>
        <v/>
      </c>
      <c r="G3378" cm="1">
        <f t="array" ref="G3378">IFERROR(VLOOKUP(INPUT!M3373&amp;INPUT!N3373,CHOOSE({1,2},INPUT!$A$3:$A$5000&amp;INPUT!$C$3:$C$5000,INPUT!$F$3:$F$5000),2,FALSE),"")</f>
        <v>0</v>
      </c>
      <c r="H3378" cm="1">
        <f t="array" ref="H3378">IFERROR(VLOOKUP(INPUT!M3373&amp;INPUT!N3373,CHOOSE({1,2},INPUT!$A$3:$A$5000&amp;INPUT!$C$3:$C$5000,INPUT!$D$3:$D$5000),2,FALSE),"")</f>
        <v>0</v>
      </c>
      <c r="I3378" s="46" t="str">
        <f>IF(INPUT!P3373="","",INPUT!P3373)</f>
        <v/>
      </c>
      <c r="J3378" s="46" t="str">
        <f>IF(INPUT!Q3373="","",INPUT!Q3373)</f>
        <v/>
      </c>
      <c r="K3378" s="46" t="str">
        <f>IFERROR(IF(OR(INPUT!P3373="",INPUT!Q3373=""),"",INPUT!P3373-INPUT!Q3373),"")</f>
        <v/>
      </c>
      <c r="L3378" s="48" t="str">
        <f>IFERROR(IF(OR(INPUT!P3373="",INPUT!Q3373="",INPUT!P3373=0),"",(INPUT!P3373-INPUT!Q3373)/INPUT!P3373),"")</f>
        <v/>
      </c>
    </row>
    <row r="3379" spans="1:12" ht="18" hidden="1" customHeight="1" x14ac:dyDescent="0.2">
      <c r="A3379" s="11" t="str">
        <f>IF(INPUT!M3374="","",INPUT!M3374)</f>
        <v/>
      </c>
      <c r="B3379" s="11" t="str">
        <f>IF(INPUT!M3374="","",INPUT!M3374-WEEKDAY(INPUT!M3374,2)+1)</f>
        <v/>
      </c>
      <c r="C3379" s="20">
        <f>IFERROR(_xlfn.ISOWEEKNUM(INPUT!M3374),"")</f>
        <v>52</v>
      </c>
      <c r="D3379" s="20">
        <f>IFERROR(YEAR(INPUT!M3374),"")</f>
        <v>1900</v>
      </c>
      <c r="E3379" t="str">
        <f>IF(INPUT!O3374="","",INPUT!O3374)</f>
        <v/>
      </c>
      <c r="F3379" t="str">
        <f>IF(INPUT!N3374="","",INPUT!N3374)</f>
        <v/>
      </c>
      <c r="G3379" cm="1">
        <f t="array" ref="G3379">IFERROR(VLOOKUP(INPUT!M3374&amp;INPUT!N3374,CHOOSE({1,2},INPUT!$A$3:$A$5000&amp;INPUT!$C$3:$C$5000,INPUT!$F$3:$F$5000),2,FALSE),"")</f>
        <v>0</v>
      </c>
      <c r="H3379" cm="1">
        <f t="array" ref="H3379">IFERROR(VLOOKUP(INPUT!M3374&amp;INPUT!N3374,CHOOSE({1,2},INPUT!$A$3:$A$5000&amp;INPUT!$C$3:$C$5000,INPUT!$D$3:$D$5000),2,FALSE),"")</f>
        <v>0</v>
      </c>
      <c r="I3379" s="46" t="str">
        <f>IF(INPUT!P3374="","",INPUT!P3374)</f>
        <v/>
      </c>
      <c r="J3379" s="46" t="str">
        <f>IF(INPUT!Q3374="","",INPUT!Q3374)</f>
        <v/>
      </c>
      <c r="K3379" s="46" t="str">
        <f>IFERROR(IF(OR(INPUT!P3374="",INPUT!Q3374=""),"",INPUT!P3374-INPUT!Q3374),"")</f>
        <v/>
      </c>
      <c r="L3379" s="48" t="str">
        <f>IFERROR(IF(OR(INPUT!P3374="",INPUT!Q3374="",INPUT!P3374=0),"",(INPUT!P3374-INPUT!Q3374)/INPUT!P3374),"")</f>
        <v/>
      </c>
    </row>
    <row r="3380" spans="1:12" ht="18" hidden="1" customHeight="1" x14ac:dyDescent="0.2">
      <c r="A3380" s="11" t="str">
        <f>IF(INPUT!M3375="","",INPUT!M3375)</f>
        <v/>
      </c>
      <c r="B3380" s="11" t="str">
        <f>IF(INPUT!M3375="","",INPUT!M3375-WEEKDAY(INPUT!M3375,2)+1)</f>
        <v/>
      </c>
      <c r="C3380" s="20">
        <f>IFERROR(_xlfn.ISOWEEKNUM(INPUT!M3375),"")</f>
        <v>52</v>
      </c>
      <c r="D3380" s="20">
        <f>IFERROR(YEAR(INPUT!M3375),"")</f>
        <v>1900</v>
      </c>
      <c r="E3380" t="str">
        <f>IF(INPUT!O3375="","",INPUT!O3375)</f>
        <v/>
      </c>
      <c r="F3380" t="str">
        <f>IF(INPUT!N3375="","",INPUT!N3375)</f>
        <v/>
      </c>
      <c r="G3380" cm="1">
        <f t="array" ref="G3380">IFERROR(VLOOKUP(INPUT!M3375&amp;INPUT!N3375,CHOOSE({1,2},INPUT!$A$3:$A$5000&amp;INPUT!$C$3:$C$5000,INPUT!$F$3:$F$5000),2,FALSE),"")</f>
        <v>0</v>
      </c>
      <c r="H3380" cm="1">
        <f t="array" ref="H3380">IFERROR(VLOOKUP(INPUT!M3375&amp;INPUT!N3375,CHOOSE({1,2},INPUT!$A$3:$A$5000&amp;INPUT!$C$3:$C$5000,INPUT!$D$3:$D$5000),2,FALSE),"")</f>
        <v>0</v>
      </c>
      <c r="I3380" s="46" t="str">
        <f>IF(INPUT!P3375="","",INPUT!P3375)</f>
        <v/>
      </c>
      <c r="J3380" s="46" t="str">
        <f>IF(INPUT!Q3375="","",INPUT!Q3375)</f>
        <v/>
      </c>
      <c r="K3380" s="46" t="str">
        <f>IFERROR(IF(OR(INPUT!P3375="",INPUT!Q3375=""),"",INPUT!P3375-INPUT!Q3375),"")</f>
        <v/>
      </c>
      <c r="L3380" s="48" t="str">
        <f>IFERROR(IF(OR(INPUT!P3375="",INPUT!Q3375="",INPUT!P3375=0),"",(INPUT!P3375-INPUT!Q3375)/INPUT!P3375),"")</f>
        <v/>
      </c>
    </row>
    <row r="3381" spans="1:12" ht="18" hidden="1" customHeight="1" x14ac:dyDescent="0.2">
      <c r="A3381" s="11" t="str">
        <f>IF(INPUT!M3376="","",INPUT!M3376)</f>
        <v/>
      </c>
      <c r="B3381" s="11" t="str">
        <f>IF(INPUT!M3376="","",INPUT!M3376-WEEKDAY(INPUT!M3376,2)+1)</f>
        <v/>
      </c>
      <c r="C3381" s="20">
        <f>IFERROR(_xlfn.ISOWEEKNUM(INPUT!M3376),"")</f>
        <v>52</v>
      </c>
      <c r="D3381" s="20">
        <f>IFERROR(YEAR(INPUT!M3376),"")</f>
        <v>1900</v>
      </c>
      <c r="E3381" t="str">
        <f>IF(INPUT!O3376="","",INPUT!O3376)</f>
        <v/>
      </c>
      <c r="F3381" t="str">
        <f>IF(INPUT!N3376="","",INPUT!N3376)</f>
        <v/>
      </c>
      <c r="G3381" cm="1">
        <f t="array" ref="G3381">IFERROR(VLOOKUP(INPUT!M3376&amp;INPUT!N3376,CHOOSE({1,2},INPUT!$A$3:$A$5000&amp;INPUT!$C$3:$C$5000,INPUT!$F$3:$F$5000),2,FALSE),"")</f>
        <v>0</v>
      </c>
      <c r="H3381" cm="1">
        <f t="array" ref="H3381">IFERROR(VLOOKUP(INPUT!M3376&amp;INPUT!N3376,CHOOSE({1,2},INPUT!$A$3:$A$5000&amp;INPUT!$C$3:$C$5000,INPUT!$D$3:$D$5000),2,FALSE),"")</f>
        <v>0</v>
      </c>
      <c r="I3381" s="46" t="str">
        <f>IF(INPUT!P3376="","",INPUT!P3376)</f>
        <v/>
      </c>
      <c r="J3381" s="46" t="str">
        <f>IF(INPUT!Q3376="","",INPUT!Q3376)</f>
        <v/>
      </c>
      <c r="K3381" s="46" t="str">
        <f>IFERROR(IF(OR(INPUT!P3376="",INPUT!Q3376=""),"",INPUT!P3376-INPUT!Q3376),"")</f>
        <v/>
      </c>
      <c r="L3381" s="48" t="str">
        <f>IFERROR(IF(OR(INPUT!P3376="",INPUT!Q3376="",INPUT!P3376=0),"",(INPUT!P3376-INPUT!Q3376)/INPUT!P3376),"")</f>
        <v/>
      </c>
    </row>
    <row r="3382" spans="1:12" ht="18" hidden="1" customHeight="1" x14ac:dyDescent="0.2">
      <c r="A3382" s="11" t="str">
        <f>IF(INPUT!M3377="","",INPUT!M3377)</f>
        <v/>
      </c>
      <c r="B3382" s="11" t="str">
        <f>IF(INPUT!M3377="","",INPUT!M3377-WEEKDAY(INPUT!M3377,2)+1)</f>
        <v/>
      </c>
      <c r="C3382" s="20">
        <f>IFERROR(_xlfn.ISOWEEKNUM(INPUT!M3377),"")</f>
        <v>52</v>
      </c>
      <c r="D3382" s="20">
        <f>IFERROR(YEAR(INPUT!M3377),"")</f>
        <v>1900</v>
      </c>
      <c r="E3382" t="str">
        <f>IF(INPUT!O3377="","",INPUT!O3377)</f>
        <v/>
      </c>
      <c r="F3382" t="str">
        <f>IF(INPUT!N3377="","",INPUT!N3377)</f>
        <v/>
      </c>
      <c r="G3382" cm="1">
        <f t="array" ref="G3382">IFERROR(VLOOKUP(INPUT!M3377&amp;INPUT!N3377,CHOOSE({1,2},INPUT!$A$3:$A$5000&amp;INPUT!$C$3:$C$5000,INPUT!$F$3:$F$5000),2,FALSE),"")</f>
        <v>0</v>
      </c>
      <c r="H3382" cm="1">
        <f t="array" ref="H3382">IFERROR(VLOOKUP(INPUT!M3377&amp;INPUT!N3377,CHOOSE({1,2},INPUT!$A$3:$A$5000&amp;INPUT!$C$3:$C$5000,INPUT!$D$3:$D$5000),2,FALSE),"")</f>
        <v>0</v>
      </c>
      <c r="I3382" s="46" t="str">
        <f>IF(INPUT!P3377="","",INPUT!P3377)</f>
        <v/>
      </c>
      <c r="J3382" s="46" t="str">
        <f>IF(INPUT!Q3377="","",INPUT!Q3377)</f>
        <v/>
      </c>
      <c r="K3382" s="46" t="str">
        <f>IFERROR(IF(OR(INPUT!P3377="",INPUT!Q3377=""),"",INPUT!P3377-INPUT!Q3377),"")</f>
        <v/>
      </c>
      <c r="L3382" s="48" t="str">
        <f>IFERROR(IF(OR(INPUT!P3377="",INPUT!Q3377="",INPUT!P3377=0),"",(INPUT!P3377-INPUT!Q3377)/INPUT!P3377),"")</f>
        <v/>
      </c>
    </row>
    <row r="3383" spans="1:12" ht="18" hidden="1" customHeight="1" x14ac:dyDescent="0.2">
      <c r="A3383" s="11" t="str">
        <f>IF(INPUT!M3378="","",INPUT!M3378)</f>
        <v/>
      </c>
      <c r="B3383" s="11" t="str">
        <f>IF(INPUT!M3378="","",INPUT!M3378-WEEKDAY(INPUT!M3378,2)+1)</f>
        <v/>
      </c>
      <c r="C3383" s="20">
        <f>IFERROR(_xlfn.ISOWEEKNUM(INPUT!M3378),"")</f>
        <v>52</v>
      </c>
      <c r="D3383" s="20">
        <f>IFERROR(YEAR(INPUT!M3378),"")</f>
        <v>1900</v>
      </c>
      <c r="E3383" t="str">
        <f>IF(INPUT!O3378="","",INPUT!O3378)</f>
        <v/>
      </c>
      <c r="F3383" t="str">
        <f>IF(INPUT!N3378="","",INPUT!N3378)</f>
        <v/>
      </c>
      <c r="G3383" cm="1">
        <f t="array" ref="G3383">IFERROR(VLOOKUP(INPUT!M3378&amp;INPUT!N3378,CHOOSE({1,2},INPUT!$A$3:$A$5000&amp;INPUT!$C$3:$C$5000,INPUT!$F$3:$F$5000),2,FALSE),"")</f>
        <v>0</v>
      </c>
      <c r="H3383" cm="1">
        <f t="array" ref="H3383">IFERROR(VLOOKUP(INPUT!M3378&amp;INPUT!N3378,CHOOSE({1,2},INPUT!$A$3:$A$5000&amp;INPUT!$C$3:$C$5000,INPUT!$D$3:$D$5000),2,FALSE),"")</f>
        <v>0</v>
      </c>
      <c r="I3383" s="46" t="str">
        <f>IF(INPUT!P3378="","",INPUT!P3378)</f>
        <v/>
      </c>
      <c r="J3383" s="46" t="str">
        <f>IF(INPUT!Q3378="","",INPUT!Q3378)</f>
        <v/>
      </c>
      <c r="K3383" s="46" t="str">
        <f>IFERROR(IF(OR(INPUT!P3378="",INPUT!Q3378=""),"",INPUT!P3378-INPUT!Q3378),"")</f>
        <v/>
      </c>
      <c r="L3383" s="48" t="str">
        <f>IFERROR(IF(OR(INPUT!P3378="",INPUT!Q3378="",INPUT!P3378=0),"",(INPUT!P3378-INPUT!Q3378)/INPUT!P3378),"")</f>
        <v/>
      </c>
    </row>
    <row r="3384" spans="1:12" ht="18" hidden="1" customHeight="1" x14ac:dyDescent="0.2">
      <c r="A3384" s="11" t="str">
        <f>IF(INPUT!M3379="","",INPUT!M3379)</f>
        <v/>
      </c>
      <c r="B3384" s="11" t="str">
        <f>IF(INPUT!M3379="","",INPUT!M3379-WEEKDAY(INPUT!M3379,2)+1)</f>
        <v/>
      </c>
      <c r="C3384" s="20">
        <f>IFERROR(_xlfn.ISOWEEKNUM(INPUT!M3379),"")</f>
        <v>52</v>
      </c>
      <c r="D3384" s="20">
        <f>IFERROR(YEAR(INPUT!M3379),"")</f>
        <v>1900</v>
      </c>
      <c r="E3384" t="str">
        <f>IF(INPUT!O3379="","",INPUT!O3379)</f>
        <v/>
      </c>
      <c r="F3384" t="str">
        <f>IF(INPUT!N3379="","",INPUT!N3379)</f>
        <v/>
      </c>
      <c r="G3384" cm="1">
        <f t="array" ref="G3384">IFERROR(VLOOKUP(INPUT!M3379&amp;INPUT!N3379,CHOOSE({1,2},INPUT!$A$3:$A$5000&amp;INPUT!$C$3:$C$5000,INPUT!$F$3:$F$5000),2,FALSE),"")</f>
        <v>0</v>
      </c>
      <c r="H3384" cm="1">
        <f t="array" ref="H3384">IFERROR(VLOOKUP(INPUT!M3379&amp;INPUT!N3379,CHOOSE({1,2},INPUT!$A$3:$A$5000&amp;INPUT!$C$3:$C$5000,INPUT!$D$3:$D$5000),2,FALSE),"")</f>
        <v>0</v>
      </c>
      <c r="I3384" s="46" t="str">
        <f>IF(INPUT!P3379="","",INPUT!P3379)</f>
        <v/>
      </c>
      <c r="J3384" s="46" t="str">
        <f>IF(INPUT!Q3379="","",INPUT!Q3379)</f>
        <v/>
      </c>
      <c r="K3384" s="46" t="str">
        <f>IFERROR(IF(OR(INPUT!P3379="",INPUT!Q3379=""),"",INPUT!P3379-INPUT!Q3379),"")</f>
        <v/>
      </c>
      <c r="L3384" s="48" t="str">
        <f>IFERROR(IF(OR(INPUT!P3379="",INPUT!Q3379="",INPUT!P3379=0),"",(INPUT!P3379-INPUT!Q3379)/INPUT!P3379),"")</f>
        <v/>
      </c>
    </row>
    <row r="3385" spans="1:12" ht="18" hidden="1" customHeight="1" x14ac:dyDescent="0.2">
      <c r="A3385" s="11" t="str">
        <f>IF(INPUT!M3380="","",INPUT!M3380)</f>
        <v/>
      </c>
      <c r="B3385" s="11" t="str">
        <f>IF(INPUT!M3380="","",INPUT!M3380-WEEKDAY(INPUT!M3380,2)+1)</f>
        <v/>
      </c>
      <c r="C3385" s="20">
        <f>IFERROR(_xlfn.ISOWEEKNUM(INPUT!M3380),"")</f>
        <v>52</v>
      </c>
      <c r="D3385" s="20">
        <f>IFERROR(YEAR(INPUT!M3380),"")</f>
        <v>1900</v>
      </c>
      <c r="E3385" t="str">
        <f>IF(INPUT!O3380="","",INPUT!O3380)</f>
        <v/>
      </c>
      <c r="F3385" t="str">
        <f>IF(INPUT!N3380="","",INPUT!N3380)</f>
        <v/>
      </c>
      <c r="G3385" cm="1">
        <f t="array" ref="G3385">IFERROR(VLOOKUP(INPUT!M3380&amp;INPUT!N3380,CHOOSE({1,2},INPUT!$A$3:$A$5000&amp;INPUT!$C$3:$C$5000,INPUT!$F$3:$F$5000),2,FALSE),"")</f>
        <v>0</v>
      </c>
      <c r="H3385" cm="1">
        <f t="array" ref="H3385">IFERROR(VLOOKUP(INPUT!M3380&amp;INPUT!N3380,CHOOSE({1,2},INPUT!$A$3:$A$5000&amp;INPUT!$C$3:$C$5000,INPUT!$D$3:$D$5000),2,FALSE),"")</f>
        <v>0</v>
      </c>
      <c r="I3385" s="46" t="str">
        <f>IF(INPUT!P3380="","",INPUT!P3380)</f>
        <v/>
      </c>
      <c r="J3385" s="46" t="str">
        <f>IF(INPUT!Q3380="","",INPUT!Q3380)</f>
        <v/>
      </c>
      <c r="K3385" s="46" t="str">
        <f>IFERROR(IF(OR(INPUT!P3380="",INPUT!Q3380=""),"",INPUT!P3380-INPUT!Q3380),"")</f>
        <v/>
      </c>
      <c r="L3385" s="48" t="str">
        <f>IFERROR(IF(OR(INPUT!P3380="",INPUT!Q3380="",INPUT!P3380=0),"",(INPUT!P3380-INPUT!Q3380)/INPUT!P3380),"")</f>
        <v/>
      </c>
    </row>
    <row r="3386" spans="1:12" ht="18" hidden="1" customHeight="1" x14ac:dyDescent="0.2">
      <c r="A3386" s="11" t="str">
        <f>IF(INPUT!M3381="","",INPUT!M3381)</f>
        <v/>
      </c>
      <c r="B3386" s="11" t="str">
        <f>IF(INPUT!M3381="","",INPUT!M3381-WEEKDAY(INPUT!M3381,2)+1)</f>
        <v/>
      </c>
      <c r="C3386" s="20">
        <f>IFERROR(_xlfn.ISOWEEKNUM(INPUT!M3381),"")</f>
        <v>52</v>
      </c>
      <c r="D3386" s="20">
        <f>IFERROR(YEAR(INPUT!M3381),"")</f>
        <v>1900</v>
      </c>
      <c r="E3386" t="str">
        <f>IF(INPUT!O3381="","",INPUT!O3381)</f>
        <v/>
      </c>
      <c r="F3386" t="str">
        <f>IF(INPUT!N3381="","",INPUT!N3381)</f>
        <v/>
      </c>
      <c r="G3386" cm="1">
        <f t="array" ref="G3386">IFERROR(VLOOKUP(INPUT!M3381&amp;INPUT!N3381,CHOOSE({1,2},INPUT!$A$3:$A$5000&amp;INPUT!$C$3:$C$5000,INPUT!$F$3:$F$5000),2,FALSE),"")</f>
        <v>0</v>
      </c>
      <c r="H3386" cm="1">
        <f t="array" ref="H3386">IFERROR(VLOOKUP(INPUT!M3381&amp;INPUT!N3381,CHOOSE({1,2},INPUT!$A$3:$A$5000&amp;INPUT!$C$3:$C$5000,INPUT!$D$3:$D$5000),2,FALSE),"")</f>
        <v>0</v>
      </c>
      <c r="I3386" s="46" t="str">
        <f>IF(INPUT!P3381="","",INPUT!P3381)</f>
        <v/>
      </c>
      <c r="J3386" s="46" t="str">
        <f>IF(INPUT!Q3381="","",INPUT!Q3381)</f>
        <v/>
      </c>
      <c r="K3386" s="46" t="str">
        <f>IFERROR(IF(OR(INPUT!P3381="",INPUT!Q3381=""),"",INPUT!P3381-INPUT!Q3381),"")</f>
        <v/>
      </c>
      <c r="L3386" s="48" t="str">
        <f>IFERROR(IF(OR(INPUT!P3381="",INPUT!Q3381="",INPUT!P3381=0),"",(INPUT!P3381-INPUT!Q3381)/INPUT!P3381),"")</f>
        <v/>
      </c>
    </row>
    <row r="3387" spans="1:12" ht="18" hidden="1" customHeight="1" x14ac:dyDescent="0.2">
      <c r="A3387" s="11" t="str">
        <f>IF(INPUT!M3382="","",INPUT!M3382)</f>
        <v/>
      </c>
      <c r="B3387" s="11" t="str">
        <f>IF(INPUT!M3382="","",INPUT!M3382-WEEKDAY(INPUT!M3382,2)+1)</f>
        <v/>
      </c>
      <c r="C3387" s="20">
        <f>IFERROR(_xlfn.ISOWEEKNUM(INPUT!M3382),"")</f>
        <v>52</v>
      </c>
      <c r="D3387" s="20">
        <f>IFERROR(YEAR(INPUT!M3382),"")</f>
        <v>1900</v>
      </c>
      <c r="E3387" t="str">
        <f>IF(INPUT!O3382="","",INPUT!O3382)</f>
        <v/>
      </c>
      <c r="F3387" t="str">
        <f>IF(INPUT!N3382="","",INPUT!N3382)</f>
        <v/>
      </c>
      <c r="G3387" cm="1">
        <f t="array" ref="G3387">IFERROR(VLOOKUP(INPUT!M3382&amp;INPUT!N3382,CHOOSE({1,2},INPUT!$A$3:$A$5000&amp;INPUT!$C$3:$C$5000,INPUT!$F$3:$F$5000),2,FALSE),"")</f>
        <v>0</v>
      </c>
      <c r="H3387" cm="1">
        <f t="array" ref="H3387">IFERROR(VLOOKUP(INPUT!M3382&amp;INPUT!N3382,CHOOSE({1,2},INPUT!$A$3:$A$5000&amp;INPUT!$C$3:$C$5000,INPUT!$D$3:$D$5000),2,FALSE),"")</f>
        <v>0</v>
      </c>
      <c r="I3387" s="46" t="str">
        <f>IF(INPUT!P3382="","",INPUT!P3382)</f>
        <v/>
      </c>
      <c r="J3387" s="46" t="str">
        <f>IF(INPUT!Q3382="","",INPUT!Q3382)</f>
        <v/>
      </c>
      <c r="K3387" s="46" t="str">
        <f>IFERROR(IF(OR(INPUT!P3382="",INPUT!Q3382=""),"",INPUT!P3382-INPUT!Q3382),"")</f>
        <v/>
      </c>
      <c r="L3387" s="48" t="str">
        <f>IFERROR(IF(OR(INPUT!P3382="",INPUT!Q3382="",INPUT!P3382=0),"",(INPUT!P3382-INPUT!Q3382)/INPUT!P3382),"")</f>
        <v/>
      </c>
    </row>
    <row r="3388" spans="1:12" ht="18" hidden="1" customHeight="1" x14ac:dyDescent="0.2">
      <c r="A3388" s="11" t="str">
        <f>IF(INPUT!M3383="","",INPUT!M3383)</f>
        <v/>
      </c>
      <c r="B3388" s="11" t="str">
        <f>IF(INPUT!M3383="","",INPUT!M3383-WEEKDAY(INPUT!M3383,2)+1)</f>
        <v/>
      </c>
      <c r="C3388" s="20">
        <f>IFERROR(_xlfn.ISOWEEKNUM(INPUT!M3383),"")</f>
        <v>52</v>
      </c>
      <c r="D3388" s="20">
        <f>IFERROR(YEAR(INPUT!M3383),"")</f>
        <v>1900</v>
      </c>
      <c r="E3388" t="str">
        <f>IF(INPUT!O3383="","",INPUT!O3383)</f>
        <v/>
      </c>
      <c r="F3388" t="str">
        <f>IF(INPUT!N3383="","",INPUT!N3383)</f>
        <v/>
      </c>
      <c r="G3388" cm="1">
        <f t="array" ref="G3388">IFERROR(VLOOKUP(INPUT!M3383&amp;INPUT!N3383,CHOOSE({1,2},INPUT!$A$3:$A$5000&amp;INPUT!$C$3:$C$5000,INPUT!$F$3:$F$5000),2,FALSE),"")</f>
        <v>0</v>
      </c>
      <c r="H3388" cm="1">
        <f t="array" ref="H3388">IFERROR(VLOOKUP(INPUT!M3383&amp;INPUT!N3383,CHOOSE({1,2},INPUT!$A$3:$A$5000&amp;INPUT!$C$3:$C$5000,INPUT!$D$3:$D$5000),2,FALSE),"")</f>
        <v>0</v>
      </c>
      <c r="I3388" s="46" t="str">
        <f>IF(INPUT!P3383="","",INPUT!P3383)</f>
        <v/>
      </c>
      <c r="J3388" s="46" t="str">
        <f>IF(INPUT!Q3383="","",INPUT!Q3383)</f>
        <v/>
      </c>
      <c r="K3388" s="46" t="str">
        <f>IFERROR(IF(OR(INPUT!P3383="",INPUT!Q3383=""),"",INPUT!P3383-INPUT!Q3383),"")</f>
        <v/>
      </c>
      <c r="L3388" s="48" t="str">
        <f>IFERROR(IF(OR(INPUT!P3383="",INPUT!Q3383="",INPUT!P3383=0),"",(INPUT!P3383-INPUT!Q3383)/INPUT!P3383),"")</f>
        <v/>
      </c>
    </row>
    <row r="3389" spans="1:12" ht="18" hidden="1" customHeight="1" x14ac:dyDescent="0.2">
      <c r="A3389" s="11" t="str">
        <f>IF(INPUT!M3384="","",INPUT!M3384)</f>
        <v/>
      </c>
      <c r="B3389" s="11" t="str">
        <f>IF(INPUT!M3384="","",INPUT!M3384-WEEKDAY(INPUT!M3384,2)+1)</f>
        <v/>
      </c>
      <c r="C3389" s="20">
        <f>IFERROR(_xlfn.ISOWEEKNUM(INPUT!M3384),"")</f>
        <v>52</v>
      </c>
      <c r="D3389" s="20">
        <f>IFERROR(YEAR(INPUT!M3384),"")</f>
        <v>1900</v>
      </c>
      <c r="E3389" t="str">
        <f>IF(INPUT!O3384="","",INPUT!O3384)</f>
        <v/>
      </c>
      <c r="F3389" t="str">
        <f>IF(INPUT!N3384="","",INPUT!N3384)</f>
        <v/>
      </c>
      <c r="G3389" cm="1">
        <f t="array" ref="G3389">IFERROR(VLOOKUP(INPUT!M3384&amp;INPUT!N3384,CHOOSE({1,2},INPUT!$A$3:$A$5000&amp;INPUT!$C$3:$C$5000,INPUT!$F$3:$F$5000),2,FALSE),"")</f>
        <v>0</v>
      </c>
      <c r="H3389" cm="1">
        <f t="array" ref="H3389">IFERROR(VLOOKUP(INPUT!M3384&amp;INPUT!N3384,CHOOSE({1,2},INPUT!$A$3:$A$5000&amp;INPUT!$C$3:$C$5000,INPUT!$D$3:$D$5000),2,FALSE),"")</f>
        <v>0</v>
      </c>
      <c r="I3389" s="46" t="str">
        <f>IF(INPUT!P3384="","",INPUT!P3384)</f>
        <v/>
      </c>
      <c r="J3389" s="46" t="str">
        <f>IF(INPUT!Q3384="","",INPUT!Q3384)</f>
        <v/>
      </c>
      <c r="K3389" s="46" t="str">
        <f>IFERROR(IF(OR(INPUT!P3384="",INPUT!Q3384=""),"",INPUT!P3384-INPUT!Q3384),"")</f>
        <v/>
      </c>
      <c r="L3389" s="48" t="str">
        <f>IFERROR(IF(OR(INPUT!P3384="",INPUT!Q3384="",INPUT!P3384=0),"",(INPUT!P3384-INPUT!Q3384)/INPUT!P3384),"")</f>
        <v/>
      </c>
    </row>
    <row r="3390" spans="1:12" ht="18" hidden="1" customHeight="1" x14ac:dyDescent="0.2">
      <c r="A3390" s="11" t="str">
        <f>IF(INPUT!M3385="","",INPUT!M3385)</f>
        <v/>
      </c>
      <c r="B3390" s="11" t="str">
        <f>IF(INPUT!M3385="","",INPUT!M3385-WEEKDAY(INPUT!M3385,2)+1)</f>
        <v/>
      </c>
      <c r="C3390" s="20">
        <f>IFERROR(_xlfn.ISOWEEKNUM(INPUT!M3385),"")</f>
        <v>52</v>
      </c>
      <c r="D3390" s="20">
        <f>IFERROR(YEAR(INPUT!M3385),"")</f>
        <v>1900</v>
      </c>
      <c r="E3390" t="str">
        <f>IF(INPUT!O3385="","",INPUT!O3385)</f>
        <v/>
      </c>
      <c r="F3390" t="str">
        <f>IF(INPUT!N3385="","",INPUT!N3385)</f>
        <v/>
      </c>
      <c r="G3390" cm="1">
        <f t="array" ref="G3390">IFERROR(VLOOKUP(INPUT!M3385&amp;INPUT!N3385,CHOOSE({1,2},INPUT!$A$3:$A$5000&amp;INPUT!$C$3:$C$5000,INPUT!$F$3:$F$5000),2,FALSE),"")</f>
        <v>0</v>
      </c>
      <c r="H3390" cm="1">
        <f t="array" ref="H3390">IFERROR(VLOOKUP(INPUT!M3385&amp;INPUT!N3385,CHOOSE({1,2},INPUT!$A$3:$A$5000&amp;INPUT!$C$3:$C$5000,INPUT!$D$3:$D$5000),2,FALSE),"")</f>
        <v>0</v>
      </c>
      <c r="I3390" s="46" t="str">
        <f>IF(INPUT!P3385="","",INPUT!P3385)</f>
        <v/>
      </c>
      <c r="J3390" s="46" t="str">
        <f>IF(INPUT!Q3385="","",INPUT!Q3385)</f>
        <v/>
      </c>
      <c r="K3390" s="46" t="str">
        <f>IFERROR(IF(OR(INPUT!P3385="",INPUT!Q3385=""),"",INPUT!P3385-INPUT!Q3385),"")</f>
        <v/>
      </c>
      <c r="L3390" s="48" t="str">
        <f>IFERROR(IF(OR(INPUT!P3385="",INPUT!Q3385="",INPUT!P3385=0),"",(INPUT!P3385-INPUT!Q3385)/INPUT!P3385),"")</f>
        <v/>
      </c>
    </row>
    <row r="3391" spans="1:12" ht="18" hidden="1" customHeight="1" x14ac:dyDescent="0.2">
      <c r="A3391" s="11" t="str">
        <f>IF(INPUT!M3386="","",INPUT!M3386)</f>
        <v/>
      </c>
      <c r="B3391" s="11" t="str">
        <f>IF(INPUT!M3386="","",INPUT!M3386-WEEKDAY(INPUT!M3386,2)+1)</f>
        <v/>
      </c>
      <c r="C3391" s="20">
        <f>IFERROR(_xlfn.ISOWEEKNUM(INPUT!M3386),"")</f>
        <v>52</v>
      </c>
      <c r="D3391" s="20">
        <f>IFERROR(YEAR(INPUT!M3386),"")</f>
        <v>1900</v>
      </c>
      <c r="E3391" t="str">
        <f>IF(INPUT!O3386="","",INPUT!O3386)</f>
        <v/>
      </c>
      <c r="F3391" t="str">
        <f>IF(INPUT!N3386="","",INPUT!N3386)</f>
        <v/>
      </c>
      <c r="G3391" cm="1">
        <f t="array" ref="G3391">IFERROR(VLOOKUP(INPUT!M3386&amp;INPUT!N3386,CHOOSE({1,2},INPUT!$A$3:$A$5000&amp;INPUT!$C$3:$C$5000,INPUT!$F$3:$F$5000),2,FALSE),"")</f>
        <v>0</v>
      </c>
      <c r="H3391" cm="1">
        <f t="array" ref="H3391">IFERROR(VLOOKUP(INPUT!M3386&amp;INPUT!N3386,CHOOSE({1,2},INPUT!$A$3:$A$5000&amp;INPUT!$C$3:$C$5000,INPUT!$D$3:$D$5000),2,FALSE),"")</f>
        <v>0</v>
      </c>
      <c r="I3391" s="46" t="str">
        <f>IF(INPUT!P3386="","",INPUT!P3386)</f>
        <v/>
      </c>
      <c r="J3391" s="46" t="str">
        <f>IF(INPUT!Q3386="","",INPUT!Q3386)</f>
        <v/>
      </c>
      <c r="K3391" s="46" t="str">
        <f>IFERROR(IF(OR(INPUT!P3386="",INPUT!Q3386=""),"",INPUT!P3386-INPUT!Q3386),"")</f>
        <v/>
      </c>
      <c r="L3391" s="48" t="str">
        <f>IFERROR(IF(OR(INPUT!P3386="",INPUT!Q3386="",INPUT!P3386=0),"",(INPUT!P3386-INPUT!Q3386)/INPUT!P3386),"")</f>
        <v/>
      </c>
    </row>
    <row r="3392" spans="1:12" ht="18" hidden="1" customHeight="1" x14ac:dyDescent="0.2">
      <c r="A3392" s="11" t="str">
        <f>IF(INPUT!M3387="","",INPUT!M3387)</f>
        <v/>
      </c>
      <c r="B3392" s="11" t="str">
        <f>IF(INPUT!M3387="","",INPUT!M3387-WEEKDAY(INPUT!M3387,2)+1)</f>
        <v/>
      </c>
      <c r="C3392" s="20">
        <f>IFERROR(_xlfn.ISOWEEKNUM(INPUT!M3387),"")</f>
        <v>52</v>
      </c>
      <c r="D3392" s="20">
        <f>IFERROR(YEAR(INPUT!M3387),"")</f>
        <v>1900</v>
      </c>
      <c r="E3392" t="str">
        <f>IF(INPUT!O3387="","",INPUT!O3387)</f>
        <v/>
      </c>
      <c r="F3392" t="str">
        <f>IF(INPUT!N3387="","",INPUT!N3387)</f>
        <v/>
      </c>
      <c r="G3392" cm="1">
        <f t="array" ref="G3392">IFERROR(VLOOKUP(INPUT!M3387&amp;INPUT!N3387,CHOOSE({1,2},INPUT!$A$3:$A$5000&amp;INPUT!$C$3:$C$5000,INPUT!$F$3:$F$5000),2,FALSE),"")</f>
        <v>0</v>
      </c>
      <c r="H3392" cm="1">
        <f t="array" ref="H3392">IFERROR(VLOOKUP(INPUT!M3387&amp;INPUT!N3387,CHOOSE({1,2},INPUT!$A$3:$A$5000&amp;INPUT!$C$3:$C$5000,INPUT!$D$3:$D$5000),2,FALSE),"")</f>
        <v>0</v>
      </c>
      <c r="I3392" s="46" t="str">
        <f>IF(INPUT!P3387="","",INPUT!P3387)</f>
        <v/>
      </c>
      <c r="J3392" s="46" t="str">
        <f>IF(INPUT!Q3387="","",INPUT!Q3387)</f>
        <v/>
      </c>
      <c r="K3392" s="46" t="str">
        <f>IFERROR(IF(OR(INPUT!P3387="",INPUT!Q3387=""),"",INPUT!P3387-INPUT!Q3387),"")</f>
        <v/>
      </c>
      <c r="L3392" s="48" t="str">
        <f>IFERROR(IF(OR(INPUT!P3387="",INPUT!Q3387="",INPUT!P3387=0),"",(INPUT!P3387-INPUT!Q3387)/INPUT!P3387),"")</f>
        <v/>
      </c>
    </row>
    <row r="3393" spans="1:12" ht="18" hidden="1" customHeight="1" x14ac:dyDescent="0.2">
      <c r="A3393" s="11" t="str">
        <f>IF(INPUT!M3388="","",INPUT!M3388)</f>
        <v/>
      </c>
      <c r="B3393" s="11" t="str">
        <f>IF(INPUT!M3388="","",INPUT!M3388-WEEKDAY(INPUT!M3388,2)+1)</f>
        <v/>
      </c>
      <c r="C3393" s="20">
        <f>IFERROR(_xlfn.ISOWEEKNUM(INPUT!M3388),"")</f>
        <v>52</v>
      </c>
      <c r="D3393" s="20">
        <f>IFERROR(YEAR(INPUT!M3388),"")</f>
        <v>1900</v>
      </c>
      <c r="E3393" t="str">
        <f>IF(INPUT!O3388="","",INPUT!O3388)</f>
        <v/>
      </c>
      <c r="F3393" t="str">
        <f>IF(INPUT!N3388="","",INPUT!N3388)</f>
        <v/>
      </c>
      <c r="G3393" cm="1">
        <f t="array" ref="G3393">IFERROR(VLOOKUP(INPUT!M3388&amp;INPUT!N3388,CHOOSE({1,2},INPUT!$A$3:$A$5000&amp;INPUT!$C$3:$C$5000,INPUT!$F$3:$F$5000),2,FALSE),"")</f>
        <v>0</v>
      </c>
      <c r="H3393" cm="1">
        <f t="array" ref="H3393">IFERROR(VLOOKUP(INPUT!M3388&amp;INPUT!N3388,CHOOSE({1,2},INPUT!$A$3:$A$5000&amp;INPUT!$C$3:$C$5000,INPUT!$D$3:$D$5000),2,FALSE),"")</f>
        <v>0</v>
      </c>
      <c r="I3393" s="46" t="str">
        <f>IF(INPUT!P3388="","",INPUT!P3388)</f>
        <v/>
      </c>
      <c r="J3393" s="46" t="str">
        <f>IF(INPUT!Q3388="","",INPUT!Q3388)</f>
        <v/>
      </c>
      <c r="K3393" s="46" t="str">
        <f>IFERROR(IF(OR(INPUT!P3388="",INPUT!Q3388=""),"",INPUT!P3388-INPUT!Q3388),"")</f>
        <v/>
      </c>
      <c r="L3393" s="48" t="str">
        <f>IFERROR(IF(OR(INPUT!P3388="",INPUT!Q3388="",INPUT!P3388=0),"",(INPUT!P3388-INPUT!Q3388)/INPUT!P3388),"")</f>
        <v/>
      </c>
    </row>
    <row r="3394" spans="1:12" ht="18" hidden="1" customHeight="1" x14ac:dyDescent="0.2">
      <c r="A3394" s="11" t="str">
        <f>IF(INPUT!M3389="","",INPUT!M3389)</f>
        <v/>
      </c>
      <c r="B3394" s="11" t="str">
        <f>IF(INPUT!M3389="","",INPUT!M3389-WEEKDAY(INPUT!M3389,2)+1)</f>
        <v/>
      </c>
      <c r="C3394" s="20">
        <f>IFERROR(_xlfn.ISOWEEKNUM(INPUT!M3389),"")</f>
        <v>52</v>
      </c>
      <c r="D3394" s="20">
        <f>IFERROR(YEAR(INPUT!M3389),"")</f>
        <v>1900</v>
      </c>
      <c r="E3394" t="str">
        <f>IF(INPUT!O3389="","",INPUT!O3389)</f>
        <v/>
      </c>
      <c r="F3394" t="str">
        <f>IF(INPUT!N3389="","",INPUT!N3389)</f>
        <v/>
      </c>
      <c r="G3394" cm="1">
        <f t="array" ref="G3394">IFERROR(VLOOKUP(INPUT!M3389&amp;INPUT!N3389,CHOOSE({1,2},INPUT!$A$3:$A$5000&amp;INPUT!$C$3:$C$5000,INPUT!$F$3:$F$5000),2,FALSE),"")</f>
        <v>0</v>
      </c>
      <c r="H3394" cm="1">
        <f t="array" ref="H3394">IFERROR(VLOOKUP(INPUT!M3389&amp;INPUT!N3389,CHOOSE({1,2},INPUT!$A$3:$A$5000&amp;INPUT!$C$3:$C$5000,INPUT!$D$3:$D$5000),2,FALSE),"")</f>
        <v>0</v>
      </c>
      <c r="I3394" s="46" t="str">
        <f>IF(INPUT!P3389="","",INPUT!P3389)</f>
        <v/>
      </c>
      <c r="J3394" s="46" t="str">
        <f>IF(INPUT!Q3389="","",INPUT!Q3389)</f>
        <v/>
      </c>
      <c r="K3394" s="46" t="str">
        <f>IFERROR(IF(OR(INPUT!P3389="",INPUT!Q3389=""),"",INPUT!P3389-INPUT!Q3389),"")</f>
        <v/>
      </c>
      <c r="L3394" s="48" t="str">
        <f>IFERROR(IF(OR(INPUT!P3389="",INPUT!Q3389="",INPUT!P3389=0),"",(INPUT!P3389-INPUT!Q3389)/INPUT!P3389),"")</f>
        <v/>
      </c>
    </row>
    <row r="3395" spans="1:12" ht="18" hidden="1" customHeight="1" x14ac:dyDescent="0.2">
      <c r="A3395" s="11" t="str">
        <f>IF(INPUT!M3390="","",INPUT!M3390)</f>
        <v/>
      </c>
      <c r="B3395" s="11" t="str">
        <f>IF(INPUT!M3390="","",INPUT!M3390-WEEKDAY(INPUT!M3390,2)+1)</f>
        <v/>
      </c>
      <c r="C3395" s="20">
        <f>IFERROR(_xlfn.ISOWEEKNUM(INPUT!M3390),"")</f>
        <v>52</v>
      </c>
      <c r="D3395" s="20">
        <f>IFERROR(YEAR(INPUT!M3390),"")</f>
        <v>1900</v>
      </c>
      <c r="E3395" t="str">
        <f>IF(INPUT!O3390="","",INPUT!O3390)</f>
        <v/>
      </c>
      <c r="F3395" t="str">
        <f>IF(INPUT!N3390="","",INPUT!N3390)</f>
        <v/>
      </c>
      <c r="G3395" cm="1">
        <f t="array" ref="G3395">IFERROR(VLOOKUP(INPUT!M3390&amp;INPUT!N3390,CHOOSE({1,2},INPUT!$A$3:$A$5000&amp;INPUT!$C$3:$C$5000,INPUT!$F$3:$F$5000),2,FALSE),"")</f>
        <v>0</v>
      </c>
      <c r="H3395" cm="1">
        <f t="array" ref="H3395">IFERROR(VLOOKUP(INPUT!M3390&amp;INPUT!N3390,CHOOSE({1,2},INPUT!$A$3:$A$5000&amp;INPUT!$C$3:$C$5000,INPUT!$D$3:$D$5000),2,FALSE),"")</f>
        <v>0</v>
      </c>
      <c r="I3395" s="46" t="str">
        <f>IF(INPUT!P3390="","",INPUT!P3390)</f>
        <v/>
      </c>
      <c r="J3395" s="46" t="str">
        <f>IF(INPUT!Q3390="","",INPUT!Q3390)</f>
        <v/>
      </c>
      <c r="K3395" s="46" t="str">
        <f>IFERROR(IF(OR(INPUT!P3390="",INPUT!Q3390=""),"",INPUT!P3390-INPUT!Q3390),"")</f>
        <v/>
      </c>
      <c r="L3395" s="48" t="str">
        <f>IFERROR(IF(OR(INPUT!P3390="",INPUT!Q3390="",INPUT!P3390=0),"",(INPUT!P3390-INPUT!Q3390)/INPUT!P3390),"")</f>
        <v/>
      </c>
    </row>
    <row r="3396" spans="1:12" ht="18" hidden="1" customHeight="1" x14ac:dyDescent="0.2">
      <c r="A3396" s="11" t="str">
        <f>IF(INPUT!M3391="","",INPUT!M3391)</f>
        <v/>
      </c>
      <c r="B3396" s="11" t="str">
        <f>IF(INPUT!M3391="","",INPUT!M3391-WEEKDAY(INPUT!M3391,2)+1)</f>
        <v/>
      </c>
      <c r="C3396" s="20">
        <f>IFERROR(_xlfn.ISOWEEKNUM(INPUT!M3391),"")</f>
        <v>52</v>
      </c>
      <c r="D3396" s="20">
        <f>IFERROR(YEAR(INPUT!M3391),"")</f>
        <v>1900</v>
      </c>
      <c r="E3396" t="str">
        <f>IF(INPUT!O3391="","",INPUT!O3391)</f>
        <v/>
      </c>
      <c r="F3396" t="str">
        <f>IF(INPUT!N3391="","",INPUT!N3391)</f>
        <v/>
      </c>
      <c r="G3396" cm="1">
        <f t="array" ref="G3396">IFERROR(VLOOKUP(INPUT!M3391&amp;INPUT!N3391,CHOOSE({1,2},INPUT!$A$3:$A$5000&amp;INPUT!$C$3:$C$5000,INPUT!$F$3:$F$5000),2,FALSE),"")</f>
        <v>0</v>
      </c>
      <c r="H3396" cm="1">
        <f t="array" ref="H3396">IFERROR(VLOOKUP(INPUT!M3391&amp;INPUT!N3391,CHOOSE({1,2},INPUT!$A$3:$A$5000&amp;INPUT!$C$3:$C$5000,INPUT!$D$3:$D$5000),2,FALSE),"")</f>
        <v>0</v>
      </c>
      <c r="I3396" s="46" t="str">
        <f>IF(INPUT!P3391="","",INPUT!P3391)</f>
        <v/>
      </c>
      <c r="J3396" s="46" t="str">
        <f>IF(INPUT!Q3391="","",INPUT!Q3391)</f>
        <v/>
      </c>
      <c r="K3396" s="46" t="str">
        <f>IFERROR(IF(OR(INPUT!P3391="",INPUT!Q3391=""),"",INPUT!P3391-INPUT!Q3391),"")</f>
        <v/>
      </c>
      <c r="L3396" s="48" t="str">
        <f>IFERROR(IF(OR(INPUT!P3391="",INPUT!Q3391="",INPUT!P3391=0),"",(INPUT!P3391-INPUT!Q3391)/INPUT!P3391),"")</f>
        <v/>
      </c>
    </row>
    <row r="3397" spans="1:12" ht="18" hidden="1" customHeight="1" x14ac:dyDescent="0.2">
      <c r="A3397" s="11" t="str">
        <f>IF(INPUT!M3392="","",INPUT!M3392)</f>
        <v/>
      </c>
      <c r="B3397" s="11" t="str">
        <f>IF(INPUT!M3392="","",INPUT!M3392-WEEKDAY(INPUT!M3392,2)+1)</f>
        <v/>
      </c>
      <c r="C3397" s="20">
        <f>IFERROR(_xlfn.ISOWEEKNUM(INPUT!M3392),"")</f>
        <v>52</v>
      </c>
      <c r="D3397" s="20">
        <f>IFERROR(YEAR(INPUT!M3392),"")</f>
        <v>1900</v>
      </c>
      <c r="E3397" t="str">
        <f>IF(INPUT!O3392="","",INPUT!O3392)</f>
        <v/>
      </c>
      <c r="F3397" t="str">
        <f>IF(INPUT!N3392="","",INPUT!N3392)</f>
        <v/>
      </c>
      <c r="G3397" cm="1">
        <f t="array" ref="G3397">IFERROR(VLOOKUP(INPUT!M3392&amp;INPUT!N3392,CHOOSE({1,2},INPUT!$A$3:$A$5000&amp;INPUT!$C$3:$C$5000,INPUT!$F$3:$F$5000),2,FALSE),"")</f>
        <v>0</v>
      </c>
      <c r="H3397" cm="1">
        <f t="array" ref="H3397">IFERROR(VLOOKUP(INPUT!M3392&amp;INPUT!N3392,CHOOSE({1,2},INPUT!$A$3:$A$5000&amp;INPUT!$C$3:$C$5000,INPUT!$D$3:$D$5000),2,FALSE),"")</f>
        <v>0</v>
      </c>
      <c r="I3397" s="46" t="str">
        <f>IF(INPUT!P3392="","",INPUT!P3392)</f>
        <v/>
      </c>
      <c r="J3397" s="46" t="str">
        <f>IF(INPUT!Q3392="","",INPUT!Q3392)</f>
        <v/>
      </c>
      <c r="K3397" s="46" t="str">
        <f>IFERROR(IF(OR(INPUT!P3392="",INPUT!Q3392=""),"",INPUT!P3392-INPUT!Q3392),"")</f>
        <v/>
      </c>
      <c r="L3397" s="48" t="str">
        <f>IFERROR(IF(OR(INPUT!P3392="",INPUT!Q3392="",INPUT!P3392=0),"",(INPUT!P3392-INPUT!Q3392)/INPUT!P3392),"")</f>
        <v/>
      </c>
    </row>
    <row r="3398" spans="1:12" ht="18" hidden="1" customHeight="1" x14ac:dyDescent="0.2">
      <c r="A3398" s="11" t="str">
        <f>IF(INPUT!M3393="","",INPUT!M3393)</f>
        <v/>
      </c>
      <c r="B3398" s="11" t="str">
        <f>IF(INPUT!M3393="","",INPUT!M3393-WEEKDAY(INPUT!M3393,2)+1)</f>
        <v/>
      </c>
      <c r="C3398" s="20">
        <f>IFERROR(_xlfn.ISOWEEKNUM(INPUT!M3393),"")</f>
        <v>52</v>
      </c>
      <c r="D3398" s="20">
        <f>IFERROR(YEAR(INPUT!M3393),"")</f>
        <v>1900</v>
      </c>
      <c r="E3398" t="str">
        <f>IF(INPUT!O3393="","",INPUT!O3393)</f>
        <v/>
      </c>
      <c r="F3398" t="str">
        <f>IF(INPUT!N3393="","",INPUT!N3393)</f>
        <v/>
      </c>
      <c r="G3398" cm="1">
        <f t="array" ref="G3398">IFERROR(VLOOKUP(INPUT!M3393&amp;INPUT!N3393,CHOOSE({1,2},INPUT!$A$3:$A$5000&amp;INPUT!$C$3:$C$5000,INPUT!$F$3:$F$5000),2,FALSE),"")</f>
        <v>0</v>
      </c>
      <c r="H3398" cm="1">
        <f t="array" ref="H3398">IFERROR(VLOOKUP(INPUT!M3393&amp;INPUT!N3393,CHOOSE({1,2},INPUT!$A$3:$A$5000&amp;INPUT!$C$3:$C$5000,INPUT!$D$3:$D$5000),2,FALSE),"")</f>
        <v>0</v>
      </c>
      <c r="I3398" s="46" t="str">
        <f>IF(INPUT!P3393="","",INPUT!P3393)</f>
        <v/>
      </c>
      <c r="J3398" s="46" t="str">
        <f>IF(INPUT!Q3393="","",INPUT!Q3393)</f>
        <v/>
      </c>
      <c r="K3398" s="46" t="str">
        <f>IFERROR(IF(OR(INPUT!P3393="",INPUT!Q3393=""),"",INPUT!P3393-INPUT!Q3393),"")</f>
        <v/>
      </c>
      <c r="L3398" s="48" t="str">
        <f>IFERROR(IF(OR(INPUT!P3393="",INPUT!Q3393="",INPUT!P3393=0),"",(INPUT!P3393-INPUT!Q3393)/INPUT!P3393),"")</f>
        <v/>
      </c>
    </row>
    <row r="3399" spans="1:12" ht="18" hidden="1" customHeight="1" x14ac:dyDescent="0.2">
      <c r="A3399" s="11" t="str">
        <f>IF(INPUT!M3394="","",INPUT!M3394)</f>
        <v/>
      </c>
      <c r="B3399" s="11" t="str">
        <f>IF(INPUT!M3394="","",INPUT!M3394-WEEKDAY(INPUT!M3394,2)+1)</f>
        <v/>
      </c>
      <c r="C3399" s="20">
        <f>IFERROR(_xlfn.ISOWEEKNUM(INPUT!M3394),"")</f>
        <v>52</v>
      </c>
      <c r="D3399" s="20">
        <f>IFERROR(YEAR(INPUT!M3394),"")</f>
        <v>1900</v>
      </c>
      <c r="E3399" t="str">
        <f>IF(INPUT!O3394="","",INPUT!O3394)</f>
        <v/>
      </c>
      <c r="F3399" t="str">
        <f>IF(INPUT!N3394="","",INPUT!N3394)</f>
        <v/>
      </c>
      <c r="G3399" cm="1">
        <f t="array" ref="G3399">IFERROR(VLOOKUP(INPUT!M3394&amp;INPUT!N3394,CHOOSE({1,2},INPUT!$A$3:$A$5000&amp;INPUT!$C$3:$C$5000,INPUT!$F$3:$F$5000),2,FALSE),"")</f>
        <v>0</v>
      </c>
      <c r="H3399" cm="1">
        <f t="array" ref="H3399">IFERROR(VLOOKUP(INPUT!M3394&amp;INPUT!N3394,CHOOSE({1,2},INPUT!$A$3:$A$5000&amp;INPUT!$C$3:$C$5000,INPUT!$D$3:$D$5000),2,FALSE),"")</f>
        <v>0</v>
      </c>
      <c r="I3399" s="46" t="str">
        <f>IF(INPUT!P3394="","",INPUT!P3394)</f>
        <v/>
      </c>
      <c r="J3399" s="46" t="str">
        <f>IF(INPUT!Q3394="","",INPUT!Q3394)</f>
        <v/>
      </c>
      <c r="K3399" s="46" t="str">
        <f>IFERROR(IF(OR(INPUT!P3394="",INPUT!Q3394=""),"",INPUT!P3394-INPUT!Q3394),"")</f>
        <v/>
      </c>
      <c r="L3399" s="48" t="str">
        <f>IFERROR(IF(OR(INPUT!P3394="",INPUT!Q3394="",INPUT!P3394=0),"",(INPUT!P3394-INPUT!Q3394)/INPUT!P3394),"")</f>
        <v/>
      </c>
    </row>
    <row r="3400" spans="1:12" ht="18" hidden="1" customHeight="1" x14ac:dyDescent="0.2">
      <c r="A3400" s="11" t="str">
        <f>IF(INPUT!M3395="","",INPUT!M3395)</f>
        <v/>
      </c>
      <c r="B3400" s="11" t="str">
        <f>IF(INPUT!M3395="","",INPUT!M3395-WEEKDAY(INPUT!M3395,2)+1)</f>
        <v/>
      </c>
      <c r="C3400" s="20">
        <f>IFERROR(_xlfn.ISOWEEKNUM(INPUT!M3395),"")</f>
        <v>52</v>
      </c>
      <c r="D3400" s="20">
        <f>IFERROR(YEAR(INPUT!M3395),"")</f>
        <v>1900</v>
      </c>
      <c r="E3400" t="str">
        <f>IF(INPUT!O3395="","",INPUT!O3395)</f>
        <v/>
      </c>
      <c r="F3400" t="str">
        <f>IF(INPUT!N3395="","",INPUT!N3395)</f>
        <v/>
      </c>
      <c r="G3400" cm="1">
        <f t="array" ref="G3400">IFERROR(VLOOKUP(INPUT!M3395&amp;INPUT!N3395,CHOOSE({1,2},INPUT!$A$3:$A$5000&amp;INPUT!$C$3:$C$5000,INPUT!$F$3:$F$5000),2,FALSE),"")</f>
        <v>0</v>
      </c>
      <c r="H3400" cm="1">
        <f t="array" ref="H3400">IFERROR(VLOOKUP(INPUT!M3395&amp;INPUT!N3395,CHOOSE({1,2},INPUT!$A$3:$A$5000&amp;INPUT!$C$3:$C$5000,INPUT!$D$3:$D$5000),2,FALSE),"")</f>
        <v>0</v>
      </c>
      <c r="I3400" s="46" t="str">
        <f>IF(INPUT!P3395="","",INPUT!P3395)</f>
        <v/>
      </c>
      <c r="J3400" s="46" t="str">
        <f>IF(INPUT!Q3395="","",INPUT!Q3395)</f>
        <v/>
      </c>
      <c r="K3400" s="46" t="str">
        <f>IFERROR(IF(OR(INPUT!P3395="",INPUT!Q3395=""),"",INPUT!P3395-INPUT!Q3395),"")</f>
        <v/>
      </c>
      <c r="L3400" s="48" t="str">
        <f>IFERROR(IF(OR(INPUT!P3395="",INPUT!Q3395="",INPUT!P3395=0),"",(INPUT!P3395-INPUT!Q3395)/INPUT!P3395),"")</f>
        <v/>
      </c>
    </row>
    <row r="3401" spans="1:12" ht="18" hidden="1" customHeight="1" x14ac:dyDescent="0.2">
      <c r="A3401" s="11" t="str">
        <f>IF(INPUT!M3396="","",INPUT!M3396)</f>
        <v/>
      </c>
      <c r="B3401" s="11" t="str">
        <f>IF(INPUT!M3396="","",INPUT!M3396-WEEKDAY(INPUT!M3396,2)+1)</f>
        <v/>
      </c>
      <c r="C3401" s="20">
        <f>IFERROR(_xlfn.ISOWEEKNUM(INPUT!M3396),"")</f>
        <v>52</v>
      </c>
      <c r="D3401" s="20">
        <f>IFERROR(YEAR(INPUT!M3396),"")</f>
        <v>1900</v>
      </c>
      <c r="E3401" t="str">
        <f>IF(INPUT!O3396="","",INPUT!O3396)</f>
        <v/>
      </c>
      <c r="F3401" t="str">
        <f>IF(INPUT!N3396="","",INPUT!N3396)</f>
        <v/>
      </c>
      <c r="G3401" cm="1">
        <f t="array" ref="G3401">IFERROR(VLOOKUP(INPUT!M3396&amp;INPUT!N3396,CHOOSE({1,2},INPUT!$A$3:$A$5000&amp;INPUT!$C$3:$C$5000,INPUT!$F$3:$F$5000),2,FALSE),"")</f>
        <v>0</v>
      </c>
      <c r="H3401" cm="1">
        <f t="array" ref="H3401">IFERROR(VLOOKUP(INPUT!M3396&amp;INPUT!N3396,CHOOSE({1,2},INPUT!$A$3:$A$5000&amp;INPUT!$C$3:$C$5000,INPUT!$D$3:$D$5000),2,FALSE),"")</f>
        <v>0</v>
      </c>
      <c r="I3401" s="46" t="str">
        <f>IF(INPUT!P3396="","",INPUT!P3396)</f>
        <v/>
      </c>
      <c r="J3401" s="46" t="str">
        <f>IF(INPUT!Q3396="","",INPUT!Q3396)</f>
        <v/>
      </c>
      <c r="K3401" s="46" t="str">
        <f>IFERROR(IF(OR(INPUT!P3396="",INPUT!Q3396=""),"",INPUT!P3396-INPUT!Q3396),"")</f>
        <v/>
      </c>
      <c r="L3401" s="48" t="str">
        <f>IFERROR(IF(OR(INPUT!P3396="",INPUT!Q3396="",INPUT!P3396=0),"",(INPUT!P3396-INPUT!Q3396)/INPUT!P3396),"")</f>
        <v/>
      </c>
    </row>
    <row r="3402" spans="1:12" ht="18" hidden="1" customHeight="1" x14ac:dyDescent="0.2">
      <c r="A3402" s="11" t="str">
        <f>IF(INPUT!M3397="","",INPUT!M3397)</f>
        <v/>
      </c>
      <c r="B3402" s="11" t="str">
        <f>IF(INPUT!M3397="","",INPUT!M3397-WEEKDAY(INPUT!M3397,2)+1)</f>
        <v/>
      </c>
      <c r="C3402" s="20">
        <f>IFERROR(_xlfn.ISOWEEKNUM(INPUT!M3397),"")</f>
        <v>52</v>
      </c>
      <c r="D3402" s="20">
        <f>IFERROR(YEAR(INPUT!M3397),"")</f>
        <v>1900</v>
      </c>
      <c r="E3402" t="str">
        <f>IF(INPUT!O3397="","",INPUT!O3397)</f>
        <v/>
      </c>
      <c r="F3402" t="str">
        <f>IF(INPUT!N3397="","",INPUT!N3397)</f>
        <v/>
      </c>
      <c r="G3402" cm="1">
        <f t="array" ref="G3402">IFERROR(VLOOKUP(INPUT!M3397&amp;INPUT!N3397,CHOOSE({1,2},INPUT!$A$3:$A$5000&amp;INPUT!$C$3:$C$5000,INPUT!$F$3:$F$5000),2,FALSE),"")</f>
        <v>0</v>
      </c>
      <c r="H3402" cm="1">
        <f t="array" ref="H3402">IFERROR(VLOOKUP(INPUT!M3397&amp;INPUT!N3397,CHOOSE({1,2},INPUT!$A$3:$A$5000&amp;INPUT!$C$3:$C$5000,INPUT!$D$3:$D$5000),2,FALSE),"")</f>
        <v>0</v>
      </c>
      <c r="I3402" s="46" t="str">
        <f>IF(INPUT!P3397="","",INPUT!P3397)</f>
        <v/>
      </c>
      <c r="J3402" s="46" t="str">
        <f>IF(INPUT!Q3397="","",INPUT!Q3397)</f>
        <v/>
      </c>
      <c r="K3402" s="46" t="str">
        <f>IFERROR(IF(OR(INPUT!P3397="",INPUT!Q3397=""),"",INPUT!P3397-INPUT!Q3397),"")</f>
        <v/>
      </c>
      <c r="L3402" s="48" t="str">
        <f>IFERROR(IF(OR(INPUT!P3397="",INPUT!Q3397="",INPUT!P3397=0),"",(INPUT!P3397-INPUT!Q3397)/INPUT!P3397),"")</f>
        <v/>
      </c>
    </row>
    <row r="3403" spans="1:12" ht="18" hidden="1" customHeight="1" x14ac:dyDescent="0.2">
      <c r="A3403" s="11" t="str">
        <f>IF(INPUT!M3398="","",INPUT!M3398)</f>
        <v/>
      </c>
      <c r="B3403" s="11" t="str">
        <f>IF(INPUT!M3398="","",INPUT!M3398-WEEKDAY(INPUT!M3398,2)+1)</f>
        <v/>
      </c>
      <c r="C3403" s="20">
        <f>IFERROR(_xlfn.ISOWEEKNUM(INPUT!M3398),"")</f>
        <v>52</v>
      </c>
      <c r="D3403" s="20">
        <f>IFERROR(YEAR(INPUT!M3398),"")</f>
        <v>1900</v>
      </c>
      <c r="E3403" t="str">
        <f>IF(INPUT!O3398="","",INPUT!O3398)</f>
        <v/>
      </c>
      <c r="F3403" t="str">
        <f>IF(INPUT!N3398="","",INPUT!N3398)</f>
        <v/>
      </c>
      <c r="G3403" cm="1">
        <f t="array" ref="G3403">IFERROR(VLOOKUP(INPUT!M3398&amp;INPUT!N3398,CHOOSE({1,2},INPUT!$A$3:$A$5000&amp;INPUT!$C$3:$C$5000,INPUT!$F$3:$F$5000),2,FALSE),"")</f>
        <v>0</v>
      </c>
      <c r="H3403" cm="1">
        <f t="array" ref="H3403">IFERROR(VLOOKUP(INPUT!M3398&amp;INPUT!N3398,CHOOSE({1,2},INPUT!$A$3:$A$5000&amp;INPUT!$C$3:$C$5000,INPUT!$D$3:$D$5000),2,FALSE),"")</f>
        <v>0</v>
      </c>
      <c r="I3403" s="46" t="str">
        <f>IF(INPUT!P3398="","",INPUT!P3398)</f>
        <v/>
      </c>
      <c r="J3403" s="46" t="str">
        <f>IF(INPUT!Q3398="","",INPUT!Q3398)</f>
        <v/>
      </c>
      <c r="K3403" s="46" t="str">
        <f>IFERROR(IF(OR(INPUT!P3398="",INPUT!Q3398=""),"",INPUT!P3398-INPUT!Q3398),"")</f>
        <v/>
      </c>
      <c r="L3403" s="48" t="str">
        <f>IFERROR(IF(OR(INPUT!P3398="",INPUT!Q3398="",INPUT!P3398=0),"",(INPUT!P3398-INPUT!Q3398)/INPUT!P3398),"")</f>
        <v/>
      </c>
    </row>
    <row r="3404" spans="1:12" ht="18" hidden="1" customHeight="1" x14ac:dyDescent="0.2">
      <c r="A3404" s="11" t="str">
        <f>IF(INPUT!M3399="","",INPUT!M3399)</f>
        <v/>
      </c>
      <c r="B3404" s="11" t="str">
        <f>IF(INPUT!M3399="","",INPUT!M3399-WEEKDAY(INPUT!M3399,2)+1)</f>
        <v/>
      </c>
      <c r="C3404" s="20">
        <f>IFERROR(_xlfn.ISOWEEKNUM(INPUT!M3399),"")</f>
        <v>52</v>
      </c>
      <c r="D3404" s="20">
        <f>IFERROR(YEAR(INPUT!M3399),"")</f>
        <v>1900</v>
      </c>
      <c r="E3404" t="str">
        <f>IF(INPUT!O3399="","",INPUT!O3399)</f>
        <v/>
      </c>
      <c r="F3404" t="str">
        <f>IF(INPUT!N3399="","",INPUT!N3399)</f>
        <v/>
      </c>
      <c r="G3404" cm="1">
        <f t="array" ref="G3404">IFERROR(VLOOKUP(INPUT!M3399&amp;INPUT!N3399,CHOOSE({1,2},INPUT!$A$3:$A$5000&amp;INPUT!$C$3:$C$5000,INPUT!$F$3:$F$5000),2,FALSE),"")</f>
        <v>0</v>
      </c>
      <c r="H3404" cm="1">
        <f t="array" ref="H3404">IFERROR(VLOOKUP(INPUT!M3399&amp;INPUT!N3399,CHOOSE({1,2},INPUT!$A$3:$A$5000&amp;INPUT!$C$3:$C$5000,INPUT!$D$3:$D$5000),2,FALSE),"")</f>
        <v>0</v>
      </c>
      <c r="I3404" s="46" t="str">
        <f>IF(INPUT!P3399="","",INPUT!P3399)</f>
        <v/>
      </c>
      <c r="J3404" s="46" t="str">
        <f>IF(INPUT!Q3399="","",INPUT!Q3399)</f>
        <v/>
      </c>
      <c r="K3404" s="46" t="str">
        <f>IFERROR(IF(OR(INPUT!P3399="",INPUT!Q3399=""),"",INPUT!P3399-INPUT!Q3399),"")</f>
        <v/>
      </c>
      <c r="L3404" s="48" t="str">
        <f>IFERROR(IF(OR(INPUT!P3399="",INPUT!Q3399="",INPUT!P3399=0),"",(INPUT!P3399-INPUT!Q3399)/INPUT!P3399),"")</f>
        <v/>
      </c>
    </row>
    <row r="3405" spans="1:12" ht="18" hidden="1" customHeight="1" x14ac:dyDescent="0.2">
      <c r="A3405" s="11" t="str">
        <f>IF(INPUT!M3400="","",INPUT!M3400)</f>
        <v/>
      </c>
      <c r="B3405" s="11" t="str">
        <f>IF(INPUT!M3400="","",INPUT!M3400-WEEKDAY(INPUT!M3400,2)+1)</f>
        <v/>
      </c>
      <c r="C3405" s="20">
        <f>IFERROR(_xlfn.ISOWEEKNUM(INPUT!M3400),"")</f>
        <v>52</v>
      </c>
      <c r="D3405" s="20">
        <f>IFERROR(YEAR(INPUT!M3400),"")</f>
        <v>1900</v>
      </c>
      <c r="E3405" t="str">
        <f>IF(INPUT!O3400="","",INPUT!O3400)</f>
        <v/>
      </c>
      <c r="F3405" t="str">
        <f>IF(INPUT!N3400="","",INPUT!N3400)</f>
        <v/>
      </c>
      <c r="G3405" cm="1">
        <f t="array" ref="G3405">IFERROR(VLOOKUP(INPUT!M3400&amp;INPUT!N3400,CHOOSE({1,2},INPUT!$A$3:$A$5000&amp;INPUT!$C$3:$C$5000,INPUT!$F$3:$F$5000),2,FALSE),"")</f>
        <v>0</v>
      </c>
      <c r="H3405" cm="1">
        <f t="array" ref="H3405">IFERROR(VLOOKUP(INPUT!M3400&amp;INPUT!N3400,CHOOSE({1,2},INPUT!$A$3:$A$5000&amp;INPUT!$C$3:$C$5000,INPUT!$D$3:$D$5000),2,FALSE),"")</f>
        <v>0</v>
      </c>
      <c r="I3405" s="46" t="str">
        <f>IF(INPUT!P3400="","",INPUT!P3400)</f>
        <v/>
      </c>
      <c r="J3405" s="46" t="str">
        <f>IF(INPUT!Q3400="","",INPUT!Q3400)</f>
        <v/>
      </c>
      <c r="K3405" s="46" t="str">
        <f>IFERROR(IF(OR(INPUT!P3400="",INPUT!Q3400=""),"",INPUT!P3400-INPUT!Q3400),"")</f>
        <v/>
      </c>
      <c r="L3405" s="48" t="str">
        <f>IFERROR(IF(OR(INPUT!P3400="",INPUT!Q3400="",INPUT!P3400=0),"",(INPUT!P3400-INPUT!Q3400)/INPUT!P3400),"")</f>
        <v/>
      </c>
    </row>
    <row r="3406" spans="1:12" ht="18" hidden="1" customHeight="1" x14ac:dyDescent="0.2">
      <c r="A3406" s="11" t="str">
        <f>IF(INPUT!M3401="","",INPUT!M3401)</f>
        <v/>
      </c>
      <c r="B3406" s="11" t="str">
        <f>IF(INPUT!M3401="","",INPUT!M3401-WEEKDAY(INPUT!M3401,2)+1)</f>
        <v/>
      </c>
      <c r="C3406" s="20">
        <f>IFERROR(_xlfn.ISOWEEKNUM(INPUT!M3401),"")</f>
        <v>52</v>
      </c>
      <c r="D3406" s="20">
        <f>IFERROR(YEAR(INPUT!M3401),"")</f>
        <v>1900</v>
      </c>
      <c r="E3406" t="str">
        <f>IF(INPUT!O3401="","",INPUT!O3401)</f>
        <v/>
      </c>
      <c r="F3406" t="str">
        <f>IF(INPUT!N3401="","",INPUT!N3401)</f>
        <v/>
      </c>
      <c r="G3406" cm="1">
        <f t="array" ref="G3406">IFERROR(VLOOKUP(INPUT!M3401&amp;INPUT!N3401,CHOOSE({1,2},INPUT!$A$3:$A$5000&amp;INPUT!$C$3:$C$5000,INPUT!$F$3:$F$5000),2,FALSE),"")</f>
        <v>0</v>
      </c>
      <c r="H3406" cm="1">
        <f t="array" ref="H3406">IFERROR(VLOOKUP(INPUT!M3401&amp;INPUT!N3401,CHOOSE({1,2},INPUT!$A$3:$A$5000&amp;INPUT!$C$3:$C$5000,INPUT!$D$3:$D$5000),2,FALSE),"")</f>
        <v>0</v>
      </c>
      <c r="I3406" s="46" t="str">
        <f>IF(INPUT!P3401="","",INPUT!P3401)</f>
        <v/>
      </c>
      <c r="J3406" s="46" t="str">
        <f>IF(INPUT!Q3401="","",INPUT!Q3401)</f>
        <v/>
      </c>
      <c r="K3406" s="46" t="str">
        <f>IFERROR(IF(OR(INPUT!P3401="",INPUT!Q3401=""),"",INPUT!P3401-INPUT!Q3401),"")</f>
        <v/>
      </c>
      <c r="L3406" s="48" t="str">
        <f>IFERROR(IF(OR(INPUT!P3401="",INPUT!Q3401="",INPUT!P3401=0),"",(INPUT!P3401-INPUT!Q3401)/INPUT!P3401),"")</f>
        <v/>
      </c>
    </row>
    <row r="3407" spans="1:12" ht="18" hidden="1" customHeight="1" x14ac:dyDescent="0.2">
      <c r="A3407" s="11" t="str">
        <f>IF(INPUT!M3402="","",INPUT!M3402)</f>
        <v/>
      </c>
      <c r="B3407" s="11" t="str">
        <f>IF(INPUT!M3402="","",INPUT!M3402-WEEKDAY(INPUT!M3402,2)+1)</f>
        <v/>
      </c>
      <c r="C3407" s="20">
        <f>IFERROR(_xlfn.ISOWEEKNUM(INPUT!M3402),"")</f>
        <v>52</v>
      </c>
      <c r="D3407" s="20">
        <f>IFERROR(YEAR(INPUT!M3402),"")</f>
        <v>1900</v>
      </c>
      <c r="E3407" t="str">
        <f>IF(INPUT!O3402="","",INPUT!O3402)</f>
        <v/>
      </c>
      <c r="F3407" t="str">
        <f>IF(INPUT!N3402="","",INPUT!N3402)</f>
        <v/>
      </c>
      <c r="G3407" cm="1">
        <f t="array" ref="G3407">IFERROR(VLOOKUP(INPUT!M3402&amp;INPUT!N3402,CHOOSE({1,2},INPUT!$A$3:$A$5000&amp;INPUT!$C$3:$C$5000,INPUT!$F$3:$F$5000),2,FALSE),"")</f>
        <v>0</v>
      </c>
      <c r="H3407" cm="1">
        <f t="array" ref="H3407">IFERROR(VLOOKUP(INPUT!M3402&amp;INPUT!N3402,CHOOSE({1,2},INPUT!$A$3:$A$5000&amp;INPUT!$C$3:$C$5000,INPUT!$D$3:$D$5000),2,FALSE),"")</f>
        <v>0</v>
      </c>
      <c r="I3407" s="46" t="str">
        <f>IF(INPUT!P3402="","",INPUT!P3402)</f>
        <v/>
      </c>
      <c r="J3407" s="46" t="str">
        <f>IF(INPUT!Q3402="","",INPUT!Q3402)</f>
        <v/>
      </c>
      <c r="K3407" s="46" t="str">
        <f>IFERROR(IF(OR(INPUT!P3402="",INPUT!Q3402=""),"",INPUT!P3402-INPUT!Q3402),"")</f>
        <v/>
      </c>
      <c r="L3407" s="48" t="str">
        <f>IFERROR(IF(OR(INPUT!P3402="",INPUT!Q3402="",INPUT!P3402=0),"",(INPUT!P3402-INPUT!Q3402)/INPUT!P3402),"")</f>
        <v/>
      </c>
    </row>
    <row r="3408" spans="1:12" ht="18" hidden="1" customHeight="1" x14ac:dyDescent="0.2">
      <c r="A3408" s="11" t="str">
        <f>IF(INPUT!M3403="","",INPUT!M3403)</f>
        <v/>
      </c>
      <c r="B3408" s="11" t="str">
        <f>IF(INPUT!M3403="","",INPUT!M3403-WEEKDAY(INPUT!M3403,2)+1)</f>
        <v/>
      </c>
      <c r="C3408" s="20">
        <f>IFERROR(_xlfn.ISOWEEKNUM(INPUT!M3403),"")</f>
        <v>52</v>
      </c>
      <c r="D3408" s="20">
        <f>IFERROR(YEAR(INPUT!M3403),"")</f>
        <v>1900</v>
      </c>
      <c r="E3408" t="str">
        <f>IF(INPUT!O3403="","",INPUT!O3403)</f>
        <v/>
      </c>
      <c r="F3408" t="str">
        <f>IF(INPUT!N3403="","",INPUT!N3403)</f>
        <v/>
      </c>
      <c r="G3408" cm="1">
        <f t="array" ref="G3408">IFERROR(VLOOKUP(INPUT!M3403&amp;INPUT!N3403,CHOOSE({1,2},INPUT!$A$3:$A$5000&amp;INPUT!$C$3:$C$5000,INPUT!$F$3:$F$5000),2,FALSE),"")</f>
        <v>0</v>
      </c>
      <c r="H3408" cm="1">
        <f t="array" ref="H3408">IFERROR(VLOOKUP(INPUT!M3403&amp;INPUT!N3403,CHOOSE({1,2},INPUT!$A$3:$A$5000&amp;INPUT!$C$3:$C$5000,INPUT!$D$3:$D$5000),2,FALSE),"")</f>
        <v>0</v>
      </c>
      <c r="I3408" s="46" t="str">
        <f>IF(INPUT!P3403="","",INPUT!P3403)</f>
        <v/>
      </c>
      <c r="J3408" s="46" t="str">
        <f>IF(INPUT!Q3403="","",INPUT!Q3403)</f>
        <v/>
      </c>
      <c r="K3408" s="46" t="str">
        <f>IFERROR(IF(OR(INPUT!P3403="",INPUT!Q3403=""),"",INPUT!P3403-INPUT!Q3403),"")</f>
        <v/>
      </c>
      <c r="L3408" s="48" t="str">
        <f>IFERROR(IF(OR(INPUT!P3403="",INPUT!Q3403="",INPUT!P3403=0),"",(INPUT!P3403-INPUT!Q3403)/INPUT!P3403),"")</f>
        <v/>
      </c>
    </row>
    <row r="3409" spans="1:12" ht="18" hidden="1" customHeight="1" x14ac:dyDescent="0.2">
      <c r="A3409" s="11" t="str">
        <f>IF(INPUT!M3404="","",INPUT!M3404)</f>
        <v/>
      </c>
      <c r="B3409" s="11" t="str">
        <f>IF(INPUT!M3404="","",INPUT!M3404-WEEKDAY(INPUT!M3404,2)+1)</f>
        <v/>
      </c>
      <c r="C3409" s="20">
        <f>IFERROR(_xlfn.ISOWEEKNUM(INPUT!M3404),"")</f>
        <v>52</v>
      </c>
      <c r="D3409" s="20">
        <f>IFERROR(YEAR(INPUT!M3404),"")</f>
        <v>1900</v>
      </c>
      <c r="E3409" t="str">
        <f>IF(INPUT!O3404="","",INPUT!O3404)</f>
        <v/>
      </c>
      <c r="F3409" t="str">
        <f>IF(INPUT!N3404="","",INPUT!N3404)</f>
        <v/>
      </c>
      <c r="G3409" cm="1">
        <f t="array" ref="G3409">IFERROR(VLOOKUP(INPUT!M3404&amp;INPUT!N3404,CHOOSE({1,2},INPUT!$A$3:$A$5000&amp;INPUT!$C$3:$C$5000,INPUT!$F$3:$F$5000),2,FALSE),"")</f>
        <v>0</v>
      </c>
      <c r="H3409" cm="1">
        <f t="array" ref="H3409">IFERROR(VLOOKUP(INPUT!M3404&amp;INPUT!N3404,CHOOSE({1,2},INPUT!$A$3:$A$5000&amp;INPUT!$C$3:$C$5000,INPUT!$D$3:$D$5000),2,FALSE),"")</f>
        <v>0</v>
      </c>
      <c r="I3409" s="46" t="str">
        <f>IF(INPUT!P3404="","",INPUT!P3404)</f>
        <v/>
      </c>
      <c r="J3409" s="46" t="str">
        <f>IF(INPUT!Q3404="","",INPUT!Q3404)</f>
        <v/>
      </c>
      <c r="K3409" s="46" t="str">
        <f>IFERROR(IF(OR(INPUT!P3404="",INPUT!Q3404=""),"",INPUT!P3404-INPUT!Q3404),"")</f>
        <v/>
      </c>
      <c r="L3409" s="48" t="str">
        <f>IFERROR(IF(OR(INPUT!P3404="",INPUT!Q3404="",INPUT!P3404=0),"",(INPUT!P3404-INPUT!Q3404)/INPUT!P3404),"")</f>
        <v/>
      </c>
    </row>
    <row r="3410" spans="1:12" ht="18" hidden="1" customHeight="1" x14ac:dyDescent="0.2">
      <c r="A3410" s="11" t="str">
        <f>IF(INPUT!M3405="","",INPUT!M3405)</f>
        <v/>
      </c>
      <c r="B3410" s="11" t="str">
        <f>IF(INPUT!M3405="","",INPUT!M3405-WEEKDAY(INPUT!M3405,2)+1)</f>
        <v/>
      </c>
      <c r="C3410" s="20">
        <f>IFERROR(_xlfn.ISOWEEKNUM(INPUT!M3405),"")</f>
        <v>52</v>
      </c>
      <c r="D3410" s="20">
        <f>IFERROR(YEAR(INPUT!M3405),"")</f>
        <v>1900</v>
      </c>
      <c r="E3410" t="str">
        <f>IF(INPUT!O3405="","",INPUT!O3405)</f>
        <v/>
      </c>
      <c r="F3410" t="str">
        <f>IF(INPUT!N3405="","",INPUT!N3405)</f>
        <v/>
      </c>
      <c r="G3410" cm="1">
        <f t="array" ref="G3410">IFERROR(VLOOKUP(INPUT!M3405&amp;INPUT!N3405,CHOOSE({1,2},INPUT!$A$3:$A$5000&amp;INPUT!$C$3:$C$5000,INPUT!$F$3:$F$5000),2,FALSE),"")</f>
        <v>0</v>
      </c>
      <c r="H3410" cm="1">
        <f t="array" ref="H3410">IFERROR(VLOOKUP(INPUT!M3405&amp;INPUT!N3405,CHOOSE({1,2},INPUT!$A$3:$A$5000&amp;INPUT!$C$3:$C$5000,INPUT!$D$3:$D$5000),2,FALSE),"")</f>
        <v>0</v>
      </c>
      <c r="I3410" s="46" t="str">
        <f>IF(INPUT!P3405="","",INPUT!P3405)</f>
        <v/>
      </c>
      <c r="J3410" s="46" t="str">
        <f>IF(INPUT!Q3405="","",INPUT!Q3405)</f>
        <v/>
      </c>
      <c r="K3410" s="46" t="str">
        <f>IFERROR(IF(OR(INPUT!P3405="",INPUT!Q3405=""),"",INPUT!P3405-INPUT!Q3405),"")</f>
        <v/>
      </c>
      <c r="L3410" s="48" t="str">
        <f>IFERROR(IF(OR(INPUT!P3405="",INPUT!Q3405="",INPUT!P3405=0),"",(INPUT!P3405-INPUT!Q3405)/INPUT!P3405),"")</f>
        <v/>
      </c>
    </row>
    <row r="3411" spans="1:12" ht="18" hidden="1" customHeight="1" x14ac:dyDescent="0.2">
      <c r="A3411" s="11" t="str">
        <f>IF(INPUT!M3406="","",INPUT!M3406)</f>
        <v/>
      </c>
      <c r="B3411" s="11" t="str">
        <f>IF(INPUT!M3406="","",INPUT!M3406-WEEKDAY(INPUT!M3406,2)+1)</f>
        <v/>
      </c>
      <c r="C3411" s="20">
        <f>IFERROR(_xlfn.ISOWEEKNUM(INPUT!M3406),"")</f>
        <v>52</v>
      </c>
      <c r="D3411" s="20">
        <f>IFERROR(YEAR(INPUT!M3406),"")</f>
        <v>1900</v>
      </c>
      <c r="E3411" t="str">
        <f>IF(INPUT!O3406="","",INPUT!O3406)</f>
        <v/>
      </c>
      <c r="F3411" t="str">
        <f>IF(INPUT!N3406="","",INPUT!N3406)</f>
        <v/>
      </c>
      <c r="G3411" cm="1">
        <f t="array" ref="G3411">IFERROR(VLOOKUP(INPUT!M3406&amp;INPUT!N3406,CHOOSE({1,2},INPUT!$A$3:$A$5000&amp;INPUT!$C$3:$C$5000,INPUT!$F$3:$F$5000),2,FALSE),"")</f>
        <v>0</v>
      </c>
      <c r="H3411" cm="1">
        <f t="array" ref="H3411">IFERROR(VLOOKUP(INPUT!M3406&amp;INPUT!N3406,CHOOSE({1,2},INPUT!$A$3:$A$5000&amp;INPUT!$C$3:$C$5000,INPUT!$D$3:$D$5000),2,FALSE),"")</f>
        <v>0</v>
      </c>
      <c r="I3411" s="46" t="str">
        <f>IF(INPUT!P3406="","",INPUT!P3406)</f>
        <v/>
      </c>
      <c r="J3411" s="46" t="str">
        <f>IF(INPUT!Q3406="","",INPUT!Q3406)</f>
        <v/>
      </c>
      <c r="K3411" s="46" t="str">
        <f>IFERROR(IF(OR(INPUT!P3406="",INPUT!Q3406=""),"",INPUT!P3406-INPUT!Q3406),"")</f>
        <v/>
      </c>
      <c r="L3411" s="48" t="str">
        <f>IFERROR(IF(OR(INPUT!P3406="",INPUT!Q3406="",INPUT!P3406=0),"",(INPUT!P3406-INPUT!Q3406)/INPUT!P3406),"")</f>
        <v/>
      </c>
    </row>
    <row r="3412" spans="1:12" ht="18" hidden="1" customHeight="1" x14ac:dyDescent="0.2">
      <c r="A3412" s="11" t="str">
        <f>IF(INPUT!M3407="","",INPUT!M3407)</f>
        <v/>
      </c>
      <c r="B3412" s="11" t="str">
        <f>IF(INPUT!M3407="","",INPUT!M3407-WEEKDAY(INPUT!M3407,2)+1)</f>
        <v/>
      </c>
      <c r="C3412" s="20">
        <f>IFERROR(_xlfn.ISOWEEKNUM(INPUT!M3407),"")</f>
        <v>52</v>
      </c>
      <c r="D3412" s="20">
        <f>IFERROR(YEAR(INPUT!M3407),"")</f>
        <v>1900</v>
      </c>
      <c r="E3412" t="str">
        <f>IF(INPUT!O3407="","",INPUT!O3407)</f>
        <v/>
      </c>
      <c r="F3412" t="str">
        <f>IF(INPUT!N3407="","",INPUT!N3407)</f>
        <v/>
      </c>
      <c r="G3412" cm="1">
        <f t="array" ref="G3412">IFERROR(VLOOKUP(INPUT!M3407&amp;INPUT!N3407,CHOOSE({1,2},INPUT!$A$3:$A$5000&amp;INPUT!$C$3:$C$5000,INPUT!$F$3:$F$5000),2,FALSE),"")</f>
        <v>0</v>
      </c>
      <c r="H3412" cm="1">
        <f t="array" ref="H3412">IFERROR(VLOOKUP(INPUT!M3407&amp;INPUT!N3407,CHOOSE({1,2},INPUT!$A$3:$A$5000&amp;INPUT!$C$3:$C$5000,INPUT!$D$3:$D$5000),2,FALSE),"")</f>
        <v>0</v>
      </c>
      <c r="I3412" s="46" t="str">
        <f>IF(INPUT!P3407="","",INPUT!P3407)</f>
        <v/>
      </c>
      <c r="J3412" s="46" t="str">
        <f>IF(INPUT!Q3407="","",INPUT!Q3407)</f>
        <v/>
      </c>
      <c r="K3412" s="46" t="str">
        <f>IFERROR(IF(OR(INPUT!P3407="",INPUT!Q3407=""),"",INPUT!P3407-INPUT!Q3407),"")</f>
        <v/>
      </c>
      <c r="L3412" s="48" t="str">
        <f>IFERROR(IF(OR(INPUT!P3407="",INPUT!Q3407="",INPUT!P3407=0),"",(INPUT!P3407-INPUT!Q3407)/INPUT!P3407),"")</f>
        <v/>
      </c>
    </row>
    <row r="3413" spans="1:12" ht="18" hidden="1" customHeight="1" x14ac:dyDescent="0.2">
      <c r="A3413" s="11" t="str">
        <f>IF(INPUT!M3408="","",INPUT!M3408)</f>
        <v/>
      </c>
      <c r="B3413" s="11" t="str">
        <f>IF(INPUT!M3408="","",INPUT!M3408-WEEKDAY(INPUT!M3408,2)+1)</f>
        <v/>
      </c>
      <c r="C3413" s="20">
        <f>IFERROR(_xlfn.ISOWEEKNUM(INPUT!M3408),"")</f>
        <v>52</v>
      </c>
      <c r="D3413" s="20">
        <f>IFERROR(YEAR(INPUT!M3408),"")</f>
        <v>1900</v>
      </c>
      <c r="E3413" t="str">
        <f>IF(INPUT!O3408="","",INPUT!O3408)</f>
        <v/>
      </c>
      <c r="F3413" t="str">
        <f>IF(INPUT!N3408="","",INPUT!N3408)</f>
        <v/>
      </c>
      <c r="G3413" cm="1">
        <f t="array" ref="G3413">IFERROR(VLOOKUP(INPUT!M3408&amp;INPUT!N3408,CHOOSE({1,2},INPUT!$A$3:$A$5000&amp;INPUT!$C$3:$C$5000,INPUT!$F$3:$F$5000),2,FALSE),"")</f>
        <v>0</v>
      </c>
      <c r="H3413" cm="1">
        <f t="array" ref="H3413">IFERROR(VLOOKUP(INPUT!M3408&amp;INPUT!N3408,CHOOSE({1,2},INPUT!$A$3:$A$5000&amp;INPUT!$C$3:$C$5000,INPUT!$D$3:$D$5000),2,FALSE),"")</f>
        <v>0</v>
      </c>
      <c r="I3413" s="46" t="str">
        <f>IF(INPUT!P3408="","",INPUT!P3408)</f>
        <v/>
      </c>
      <c r="J3413" s="46" t="str">
        <f>IF(INPUT!Q3408="","",INPUT!Q3408)</f>
        <v/>
      </c>
      <c r="K3413" s="46" t="str">
        <f>IFERROR(IF(OR(INPUT!P3408="",INPUT!Q3408=""),"",INPUT!P3408-INPUT!Q3408),"")</f>
        <v/>
      </c>
      <c r="L3413" s="48" t="str">
        <f>IFERROR(IF(OR(INPUT!P3408="",INPUT!Q3408="",INPUT!P3408=0),"",(INPUT!P3408-INPUT!Q3408)/INPUT!P3408),"")</f>
        <v/>
      </c>
    </row>
    <row r="3414" spans="1:12" ht="18" hidden="1" customHeight="1" x14ac:dyDescent="0.2">
      <c r="A3414" s="11" t="str">
        <f>IF(INPUT!M3409="","",INPUT!M3409)</f>
        <v/>
      </c>
      <c r="B3414" s="11" t="str">
        <f>IF(INPUT!M3409="","",INPUT!M3409-WEEKDAY(INPUT!M3409,2)+1)</f>
        <v/>
      </c>
      <c r="C3414" s="20">
        <f>IFERROR(_xlfn.ISOWEEKNUM(INPUT!M3409),"")</f>
        <v>52</v>
      </c>
      <c r="D3414" s="20">
        <f>IFERROR(YEAR(INPUT!M3409),"")</f>
        <v>1900</v>
      </c>
      <c r="E3414" t="str">
        <f>IF(INPUT!O3409="","",INPUT!O3409)</f>
        <v/>
      </c>
      <c r="F3414" t="str">
        <f>IF(INPUT!N3409="","",INPUT!N3409)</f>
        <v/>
      </c>
      <c r="G3414" cm="1">
        <f t="array" ref="G3414">IFERROR(VLOOKUP(INPUT!M3409&amp;INPUT!N3409,CHOOSE({1,2},INPUT!$A$3:$A$5000&amp;INPUT!$C$3:$C$5000,INPUT!$F$3:$F$5000),2,FALSE),"")</f>
        <v>0</v>
      </c>
      <c r="H3414" cm="1">
        <f t="array" ref="H3414">IFERROR(VLOOKUP(INPUT!M3409&amp;INPUT!N3409,CHOOSE({1,2},INPUT!$A$3:$A$5000&amp;INPUT!$C$3:$C$5000,INPUT!$D$3:$D$5000),2,FALSE),"")</f>
        <v>0</v>
      </c>
      <c r="I3414" s="46" t="str">
        <f>IF(INPUT!P3409="","",INPUT!P3409)</f>
        <v/>
      </c>
      <c r="J3414" s="46" t="str">
        <f>IF(INPUT!Q3409="","",INPUT!Q3409)</f>
        <v/>
      </c>
      <c r="K3414" s="46" t="str">
        <f>IFERROR(IF(OR(INPUT!P3409="",INPUT!Q3409=""),"",INPUT!P3409-INPUT!Q3409),"")</f>
        <v/>
      </c>
      <c r="L3414" s="48" t="str">
        <f>IFERROR(IF(OR(INPUT!P3409="",INPUT!Q3409="",INPUT!P3409=0),"",(INPUT!P3409-INPUT!Q3409)/INPUT!P3409),"")</f>
        <v/>
      </c>
    </row>
    <row r="3415" spans="1:12" ht="18" hidden="1" customHeight="1" x14ac:dyDescent="0.2">
      <c r="A3415" s="11" t="str">
        <f>IF(INPUT!M3410="","",INPUT!M3410)</f>
        <v/>
      </c>
      <c r="B3415" s="11" t="str">
        <f>IF(INPUT!M3410="","",INPUT!M3410-WEEKDAY(INPUT!M3410,2)+1)</f>
        <v/>
      </c>
      <c r="C3415" s="20">
        <f>IFERROR(_xlfn.ISOWEEKNUM(INPUT!M3410),"")</f>
        <v>52</v>
      </c>
      <c r="D3415" s="20">
        <f>IFERROR(YEAR(INPUT!M3410),"")</f>
        <v>1900</v>
      </c>
      <c r="E3415" t="str">
        <f>IF(INPUT!O3410="","",INPUT!O3410)</f>
        <v/>
      </c>
      <c r="F3415" t="str">
        <f>IF(INPUT!N3410="","",INPUT!N3410)</f>
        <v/>
      </c>
      <c r="G3415" cm="1">
        <f t="array" ref="G3415">IFERROR(VLOOKUP(INPUT!M3410&amp;INPUT!N3410,CHOOSE({1,2},INPUT!$A$3:$A$5000&amp;INPUT!$C$3:$C$5000,INPUT!$F$3:$F$5000),2,FALSE),"")</f>
        <v>0</v>
      </c>
      <c r="H3415" cm="1">
        <f t="array" ref="H3415">IFERROR(VLOOKUP(INPUT!M3410&amp;INPUT!N3410,CHOOSE({1,2},INPUT!$A$3:$A$5000&amp;INPUT!$C$3:$C$5000,INPUT!$D$3:$D$5000),2,FALSE),"")</f>
        <v>0</v>
      </c>
      <c r="I3415" s="46" t="str">
        <f>IF(INPUT!P3410="","",INPUT!P3410)</f>
        <v/>
      </c>
      <c r="J3415" s="46" t="str">
        <f>IF(INPUT!Q3410="","",INPUT!Q3410)</f>
        <v/>
      </c>
      <c r="K3415" s="46" t="str">
        <f>IFERROR(IF(OR(INPUT!P3410="",INPUT!Q3410=""),"",INPUT!P3410-INPUT!Q3410),"")</f>
        <v/>
      </c>
      <c r="L3415" s="48" t="str">
        <f>IFERROR(IF(OR(INPUT!P3410="",INPUT!Q3410="",INPUT!P3410=0),"",(INPUT!P3410-INPUT!Q3410)/INPUT!P3410),"")</f>
        <v/>
      </c>
    </row>
    <row r="3416" spans="1:12" ht="18" hidden="1" customHeight="1" x14ac:dyDescent="0.2">
      <c r="A3416" s="11" t="str">
        <f>IF(INPUT!M3411="","",INPUT!M3411)</f>
        <v/>
      </c>
      <c r="B3416" s="11" t="str">
        <f>IF(INPUT!M3411="","",INPUT!M3411-WEEKDAY(INPUT!M3411,2)+1)</f>
        <v/>
      </c>
      <c r="C3416" s="20">
        <f>IFERROR(_xlfn.ISOWEEKNUM(INPUT!M3411),"")</f>
        <v>52</v>
      </c>
      <c r="D3416" s="20">
        <f>IFERROR(YEAR(INPUT!M3411),"")</f>
        <v>1900</v>
      </c>
      <c r="E3416" t="str">
        <f>IF(INPUT!O3411="","",INPUT!O3411)</f>
        <v/>
      </c>
      <c r="F3416" t="str">
        <f>IF(INPUT!N3411="","",INPUT!N3411)</f>
        <v/>
      </c>
      <c r="G3416" cm="1">
        <f t="array" ref="G3416">IFERROR(VLOOKUP(INPUT!M3411&amp;INPUT!N3411,CHOOSE({1,2},INPUT!$A$3:$A$5000&amp;INPUT!$C$3:$C$5000,INPUT!$F$3:$F$5000),2,FALSE),"")</f>
        <v>0</v>
      </c>
      <c r="H3416" cm="1">
        <f t="array" ref="H3416">IFERROR(VLOOKUP(INPUT!M3411&amp;INPUT!N3411,CHOOSE({1,2},INPUT!$A$3:$A$5000&amp;INPUT!$C$3:$C$5000,INPUT!$D$3:$D$5000),2,FALSE),"")</f>
        <v>0</v>
      </c>
      <c r="I3416" s="46" t="str">
        <f>IF(INPUT!P3411="","",INPUT!P3411)</f>
        <v/>
      </c>
      <c r="J3416" s="46" t="str">
        <f>IF(INPUT!Q3411="","",INPUT!Q3411)</f>
        <v/>
      </c>
      <c r="K3416" s="46" t="str">
        <f>IFERROR(IF(OR(INPUT!P3411="",INPUT!Q3411=""),"",INPUT!P3411-INPUT!Q3411),"")</f>
        <v/>
      </c>
      <c r="L3416" s="48" t="str">
        <f>IFERROR(IF(OR(INPUT!P3411="",INPUT!Q3411="",INPUT!P3411=0),"",(INPUT!P3411-INPUT!Q3411)/INPUT!P3411),"")</f>
        <v/>
      </c>
    </row>
    <row r="3417" spans="1:12" ht="18" hidden="1" customHeight="1" x14ac:dyDescent="0.2">
      <c r="A3417" s="11" t="str">
        <f>IF(INPUT!M3412="","",INPUT!M3412)</f>
        <v/>
      </c>
      <c r="B3417" s="11" t="str">
        <f>IF(INPUT!M3412="","",INPUT!M3412-WEEKDAY(INPUT!M3412,2)+1)</f>
        <v/>
      </c>
      <c r="C3417" s="20">
        <f>IFERROR(_xlfn.ISOWEEKNUM(INPUT!M3412),"")</f>
        <v>52</v>
      </c>
      <c r="D3417" s="20">
        <f>IFERROR(YEAR(INPUT!M3412),"")</f>
        <v>1900</v>
      </c>
      <c r="E3417" t="str">
        <f>IF(INPUT!O3412="","",INPUT!O3412)</f>
        <v/>
      </c>
      <c r="F3417" t="str">
        <f>IF(INPUT!N3412="","",INPUT!N3412)</f>
        <v/>
      </c>
      <c r="G3417" cm="1">
        <f t="array" ref="G3417">IFERROR(VLOOKUP(INPUT!M3412&amp;INPUT!N3412,CHOOSE({1,2},INPUT!$A$3:$A$5000&amp;INPUT!$C$3:$C$5000,INPUT!$F$3:$F$5000),2,FALSE),"")</f>
        <v>0</v>
      </c>
      <c r="H3417" cm="1">
        <f t="array" ref="H3417">IFERROR(VLOOKUP(INPUT!M3412&amp;INPUT!N3412,CHOOSE({1,2},INPUT!$A$3:$A$5000&amp;INPUT!$C$3:$C$5000,INPUT!$D$3:$D$5000),2,FALSE),"")</f>
        <v>0</v>
      </c>
      <c r="I3417" s="46" t="str">
        <f>IF(INPUT!P3412="","",INPUT!P3412)</f>
        <v/>
      </c>
      <c r="J3417" s="46" t="str">
        <f>IF(INPUT!Q3412="","",INPUT!Q3412)</f>
        <v/>
      </c>
      <c r="K3417" s="46" t="str">
        <f>IFERROR(IF(OR(INPUT!P3412="",INPUT!Q3412=""),"",INPUT!P3412-INPUT!Q3412),"")</f>
        <v/>
      </c>
      <c r="L3417" s="48" t="str">
        <f>IFERROR(IF(OR(INPUT!P3412="",INPUT!Q3412="",INPUT!P3412=0),"",(INPUT!P3412-INPUT!Q3412)/INPUT!P3412),"")</f>
        <v/>
      </c>
    </row>
    <row r="3418" spans="1:12" ht="18" hidden="1" customHeight="1" x14ac:dyDescent="0.2">
      <c r="A3418" s="11" t="str">
        <f>IF(INPUT!M3413="","",INPUT!M3413)</f>
        <v/>
      </c>
      <c r="B3418" s="11" t="str">
        <f>IF(INPUT!M3413="","",INPUT!M3413-WEEKDAY(INPUT!M3413,2)+1)</f>
        <v/>
      </c>
      <c r="C3418" s="20">
        <f>IFERROR(_xlfn.ISOWEEKNUM(INPUT!M3413),"")</f>
        <v>52</v>
      </c>
      <c r="D3418" s="20">
        <f>IFERROR(YEAR(INPUT!M3413),"")</f>
        <v>1900</v>
      </c>
      <c r="E3418" t="str">
        <f>IF(INPUT!O3413="","",INPUT!O3413)</f>
        <v/>
      </c>
      <c r="F3418" t="str">
        <f>IF(INPUT!N3413="","",INPUT!N3413)</f>
        <v/>
      </c>
      <c r="G3418" cm="1">
        <f t="array" ref="G3418">IFERROR(VLOOKUP(INPUT!M3413&amp;INPUT!N3413,CHOOSE({1,2},INPUT!$A$3:$A$5000&amp;INPUT!$C$3:$C$5000,INPUT!$F$3:$F$5000),2,FALSE),"")</f>
        <v>0</v>
      </c>
      <c r="H3418" cm="1">
        <f t="array" ref="H3418">IFERROR(VLOOKUP(INPUT!M3413&amp;INPUT!N3413,CHOOSE({1,2},INPUT!$A$3:$A$5000&amp;INPUT!$C$3:$C$5000,INPUT!$D$3:$D$5000),2,FALSE),"")</f>
        <v>0</v>
      </c>
      <c r="I3418" s="46" t="str">
        <f>IF(INPUT!P3413="","",INPUT!P3413)</f>
        <v/>
      </c>
      <c r="J3418" s="46" t="str">
        <f>IF(INPUT!Q3413="","",INPUT!Q3413)</f>
        <v/>
      </c>
      <c r="K3418" s="46" t="str">
        <f>IFERROR(IF(OR(INPUT!P3413="",INPUT!Q3413=""),"",INPUT!P3413-INPUT!Q3413),"")</f>
        <v/>
      </c>
      <c r="L3418" s="48" t="str">
        <f>IFERROR(IF(OR(INPUT!P3413="",INPUT!Q3413="",INPUT!P3413=0),"",(INPUT!P3413-INPUT!Q3413)/INPUT!P3413),"")</f>
        <v/>
      </c>
    </row>
    <row r="3419" spans="1:12" ht="18" hidden="1" customHeight="1" x14ac:dyDescent="0.2">
      <c r="A3419" s="11" t="str">
        <f>IF(INPUT!M3414="","",INPUT!M3414)</f>
        <v/>
      </c>
      <c r="B3419" s="11" t="str">
        <f>IF(INPUT!M3414="","",INPUT!M3414-WEEKDAY(INPUT!M3414,2)+1)</f>
        <v/>
      </c>
      <c r="C3419" s="20">
        <f>IFERROR(_xlfn.ISOWEEKNUM(INPUT!M3414),"")</f>
        <v>52</v>
      </c>
      <c r="D3419" s="20">
        <f>IFERROR(YEAR(INPUT!M3414),"")</f>
        <v>1900</v>
      </c>
      <c r="E3419" t="str">
        <f>IF(INPUT!O3414="","",INPUT!O3414)</f>
        <v/>
      </c>
      <c r="F3419" t="str">
        <f>IF(INPUT!N3414="","",INPUT!N3414)</f>
        <v/>
      </c>
      <c r="G3419" cm="1">
        <f t="array" ref="G3419">IFERROR(VLOOKUP(INPUT!M3414&amp;INPUT!N3414,CHOOSE({1,2},INPUT!$A$3:$A$5000&amp;INPUT!$C$3:$C$5000,INPUT!$F$3:$F$5000),2,FALSE),"")</f>
        <v>0</v>
      </c>
      <c r="H3419" cm="1">
        <f t="array" ref="H3419">IFERROR(VLOOKUP(INPUT!M3414&amp;INPUT!N3414,CHOOSE({1,2},INPUT!$A$3:$A$5000&amp;INPUT!$C$3:$C$5000,INPUT!$D$3:$D$5000),2,FALSE),"")</f>
        <v>0</v>
      </c>
      <c r="I3419" s="46" t="str">
        <f>IF(INPUT!P3414="","",INPUT!P3414)</f>
        <v/>
      </c>
      <c r="J3419" s="46" t="str">
        <f>IF(INPUT!Q3414="","",INPUT!Q3414)</f>
        <v/>
      </c>
      <c r="K3419" s="46" t="str">
        <f>IFERROR(IF(OR(INPUT!P3414="",INPUT!Q3414=""),"",INPUT!P3414-INPUT!Q3414),"")</f>
        <v/>
      </c>
      <c r="L3419" s="48" t="str">
        <f>IFERROR(IF(OR(INPUT!P3414="",INPUT!Q3414="",INPUT!P3414=0),"",(INPUT!P3414-INPUT!Q3414)/INPUT!P3414),"")</f>
        <v/>
      </c>
    </row>
    <row r="3420" spans="1:12" ht="18" hidden="1" customHeight="1" x14ac:dyDescent="0.2">
      <c r="A3420" s="11" t="str">
        <f>IF(INPUT!M3415="","",INPUT!M3415)</f>
        <v/>
      </c>
      <c r="B3420" s="11" t="str">
        <f>IF(INPUT!M3415="","",INPUT!M3415-WEEKDAY(INPUT!M3415,2)+1)</f>
        <v/>
      </c>
      <c r="C3420" s="20">
        <f>IFERROR(_xlfn.ISOWEEKNUM(INPUT!M3415),"")</f>
        <v>52</v>
      </c>
      <c r="D3420" s="20">
        <f>IFERROR(YEAR(INPUT!M3415),"")</f>
        <v>1900</v>
      </c>
      <c r="E3420" t="str">
        <f>IF(INPUT!O3415="","",INPUT!O3415)</f>
        <v/>
      </c>
      <c r="F3420" t="str">
        <f>IF(INPUT!N3415="","",INPUT!N3415)</f>
        <v/>
      </c>
      <c r="G3420" cm="1">
        <f t="array" ref="G3420">IFERROR(VLOOKUP(INPUT!M3415&amp;INPUT!N3415,CHOOSE({1,2},INPUT!$A$3:$A$5000&amp;INPUT!$C$3:$C$5000,INPUT!$F$3:$F$5000),2,FALSE),"")</f>
        <v>0</v>
      </c>
      <c r="H3420" cm="1">
        <f t="array" ref="H3420">IFERROR(VLOOKUP(INPUT!M3415&amp;INPUT!N3415,CHOOSE({1,2},INPUT!$A$3:$A$5000&amp;INPUT!$C$3:$C$5000,INPUT!$D$3:$D$5000),2,FALSE),"")</f>
        <v>0</v>
      </c>
      <c r="I3420" s="46" t="str">
        <f>IF(INPUT!P3415="","",INPUT!P3415)</f>
        <v/>
      </c>
      <c r="J3420" s="46" t="str">
        <f>IF(INPUT!Q3415="","",INPUT!Q3415)</f>
        <v/>
      </c>
      <c r="K3420" s="46" t="str">
        <f>IFERROR(IF(OR(INPUT!P3415="",INPUT!Q3415=""),"",INPUT!P3415-INPUT!Q3415),"")</f>
        <v/>
      </c>
      <c r="L3420" s="48" t="str">
        <f>IFERROR(IF(OR(INPUT!P3415="",INPUT!Q3415="",INPUT!P3415=0),"",(INPUT!P3415-INPUT!Q3415)/INPUT!P3415),"")</f>
        <v/>
      </c>
    </row>
    <row r="3421" spans="1:12" ht="18" hidden="1" customHeight="1" x14ac:dyDescent="0.2">
      <c r="A3421" s="11" t="str">
        <f>IF(INPUT!M3416="","",INPUT!M3416)</f>
        <v/>
      </c>
      <c r="B3421" s="11" t="str">
        <f>IF(INPUT!M3416="","",INPUT!M3416-WEEKDAY(INPUT!M3416,2)+1)</f>
        <v/>
      </c>
      <c r="C3421" s="20">
        <f>IFERROR(_xlfn.ISOWEEKNUM(INPUT!M3416),"")</f>
        <v>52</v>
      </c>
      <c r="D3421" s="20">
        <f>IFERROR(YEAR(INPUT!M3416),"")</f>
        <v>1900</v>
      </c>
      <c r="E3421" t="str">
        <f>IF(INPUT!O3416="","",INPUT!O3416)</f>
        <v/>
      </c>
      <c r="F3421" t="str">
        <f>IF(INPUT!N3416="","",INPUT!N3416)</f>
        <v/>
      </c>
      <c r="G3421" cm="1">
        <f t="array" ref="G3421">IFERROR(VLOOKUP(INPUT!M3416&amp;INPUT!N3416,CHOOSE({1,2},INPUT!$A$3:$A$5000&amp;INPUT!$C$3:$C$5000,INPUT!$F$3:$F$5000),2,FALSE),"")</f>
        <v>0</v>
      </c>
      <c r="H3421" cm="1">
        <f t="array" ref="H3421">IFERROR(VLOOKUP(INPUT!M3416&amp;INPUT!N3416,CHOOSE({1,2},INPUT!$A$3:$A$5000&amp;INPUT!$C$3:$C$5000,INPUT!$D$3:$D$5000),2,FALSE),"")</f>
        <v>0</v>
      </c>
      <c r="I3421" s="46" t="str">
        <f>IF(INPUT!P3416="","",INPUT!P3416)</f>
        <v/>
      </c>
      <c r="J3421" s="46" t="str">
        <f>IF(INPUT!Q3416="","",INPUT!Q3416)</f>
        <v/>
      </c>
      <c r="K3421" s="46" t="str">
        <f>IFERROR(IF(OR(INPUT!P3416="",INPUT!Q3416=""),"",INPUT!P3416-INPUT!Q3416),"")</f>
        <v/>
      </c>
      <c r="L3421" s="48" t="str">
        <f>IFERROR(IF(OR(INPUT!P3416="",INPUT!Q3416="",INPUT!P3416=0),"",(INPUT!P3416-INPUT!Q3416)/INPUT!P3416),"")</f>
        <v/>
      </c>
    </row>
    <row r="3422" spans="1:12" ht="18" hidden="1" customHeight="1" x14ac:dyDescent="0.2">
      <c r="A3422" s="11" t="str">
        <f>IF(INPUT!M3417="","",INPUT!M3417)</f>
        <v/>
      </c>
      <c r="B3422" s="11" t="str">
        <f>IF(INPUT!M3417="","",INPUT!M3417-WEEKDAY(INPUT!M3417,2)+1)</f>
        <v/>
      </c>
      <c r="C3422" s="20">
        <f>IFERROR(_xlfn.ISOWEEKNUM(INPUT!M3417),"")</f>
        <v>52</v>
      </c>
      <c r="D3422" s="20">
        <f>IFERROR(YEAR(INPUT!M3417),"")</f>
        <v>1900</v>
      </c>
      <c r="E3422" t="str">
        <f>IF(INPUT!O3417="","",INPUT!O3417)</f>
        <v/>
      </c>
      <c r="F3422" t="str">
        <f>IF(INPUT!N3417="","",INPUT!N3417)</f>
        <v/>
      </c>
      <c r="G3422" cm="1">
        <f t="array" ref="G3422">IFERROR(VLOOKUP(INPUT!M3417&amp;INPUT!N3417,CHOOSE({1,2},INPUT!$A$3:$A$5000&amp;INPUT!$C$3:$C$5000,INPUT!$F$3:$F$5000),2,FALSE),"")</f>
        <v>0</v>
      </c>
      <c r="H3422" cm="1">
        <f t="array" ref="H3422">IFERROR(VLOOKUP(INPUT!M3417&amp;INPUT!N3417,CHOOSE({1,2},INPUT!$A$3:$A$5000&amp;INPUT!$C$3:$C$5000,INPUT!$D$3:$D$5000),2,FALSE),"")</f>
        <v>0</v>
      </c>
      <c r="I3422" s="46" t="str">
        <f>IF(INPUT!P3417="","",INPUT!P3417)</f>
        <v/>
      </c>
      <c r="J3422" s="46" t="str">
        <f>IF(INPUT!Q3417="","",INPUT!Q3417)</f>
        <v/>
      </c>
      <c r="K3422" s="46" t="str">
        <f>IFERROR(IF(OR(INPUT!P3417="",INPUT!Q3417=""),"",INPUT!P3417-INPUT!Q3417),"")</f>
        <v/>
      </c>
      <c r="L3422" s="48" t="str">
        <f>IFERROR(IF(OR(INPUT!P3417="",INPUT!Q3417="",INPUT!P3417=0),"",(INPUT!P3417-INPUT!Q3417)/INPUT!P3417),"")</f>
        <v/>
      </c>
    </row>
    <row r="3423" spans="1:12" ht="18" hidden="1" customHeight="1" x14ac:dyDescent="0.2">
      <c r="A3423" s="11" t="str">
        <f>IF(INPUT!M3418="","",INPUT!M3418)</f>
        <v/>
      </c>
      <c r="B3423" s="11" t="str">
        <f>IF(INPUT!M3418="","",INPUT!M3418-WEEKDAY(INPUT!M3418,2)+1)</f>
        <v/>
      </c>
      <c r="C3423" s="20">
        <f>IFERROR(_xlfn.ISOWEEKNUM(INPUT!M3418),"")</f>
        <v>52</v>
      </c>
      <c r="D3423" s="20">
        <f>IFERROR(YEAR(INPUT!M3418),"")</f>
        <v>1900</v>
      </c>
      <c r="E3423" t="str">
        <f>IF(INPUT!O3418="","",INPUT!O3418)</f>
        <v/>
      </c>
      <c r="F3423" t="str">
        <f>IF(INPUT!N3418="","",INPUT!N3418)</f>
        <v/>
      </c>
      <c r="G3423" cm="1">
        <f t="array" ref="G3423">IFERROR(VLOOKUP(INPUT!M3418&amp;INPUT!N3418,CHOOSE({1,2},INPUT!$A$3:$A$5000&amp;INPUT!$C$3:$C$5000,INPUT!$F$3:$F$5000),2,FALSE),"")</f>
        <v>0</v>
      </c>
      <c r="H3423" cm="1">
        <f t="array" ref="H3423">IFERROR(VLOOKUP(INPUT!M3418&amp;INPUT!N3418,CHOOSE({1,2},INPUT!$A$3:$A$5000&amp;INPUT!$C$3:$C$5000,INPUT!$D$3:$D$5000),2,FALSE),"")</f>
        <v>0</v>
      </c>
      <c r="I3423" s="46" t="str">
        <f>IF(INPUT!P3418="","",INPUT!P3418)</f>
        <v/>
      </c>
      <c r="J3423" s="46" t="str">
        <f>IF(INPUT!Q3418="","",INPUT!Q3418)</f>
        <v/>
      </c>
      <c r="K3423" s="46" t="str">
        <f>IFERROR(IF(OR(INPUT!P3418="",INPUT!Q3418=""),"",INPUT!P3418-INPUT!Q3418),"")</f>
        <v/>
      </c>
      <c r="L3423" s="48" t="str">
        <f>IFERROR(IF(OR(INPUT!P3418="",INPUT!Q3418="",INPUT!P3418=0),"",(INPUT!P3418-INPUT!Q3418)/INPUT!P3418),"")</f>
        <v/>
      </c>
    </row>
    <row r="3424" spans="1:12" ht="18" hidden="1" customHeight="1" x14ac:dyDescent="0.2">
      <c r="A3424" s="11" t="str">
        <f>IF(INPUT!M3419="","",INPUT!M3419)</f>
        <v/>
      </c>
      <c r="B3424" s="11" t="str">
        <f>IF(INPUT!M3419="","",INPUT!M3419-WEEKDAY(INPUT!M3419,2)+1)</f>
        <v/>
      </c>
      <c r="C3424" s="20">
        <f>IFERROR(_xlfn.ISOWEEKNUM(INPUT!M3419),"")</f>
        <v>52</v>
      </c>
      <c r="D3424" s="20">
        <f>IFERROR(YEAR(INPUT!M3419),"")</f>
        <v>1900</v>
      </c>
      <c r="E3424" t="str">
        <f>IF(INPUT!O3419="","",INPUT!O3419)</f>
        <v/>
      </c>
      <c r="F3424" t="str">
        <f>IF(INPUT!N3419="","",INPUT!N3419)</f>
        <v/>
      </c>
      <c r="G3424" cm="1">
        <f t="array" ref="G3424">IFERROR(VLOOKUP(INPUT!M3419&amp;INPUT!N3419,CHOOSE({1,2},INPUT!$A$3:$A$5000&amp;INPUT!$C$3:$C$5000,INPUT!$F$3:$F$5000),2,FALSE),"")</f>
        <v>0</v>
      </c>
      <c r="H3424" cm="1">
        <f t="array" ref="H3424">IFERROR(VLOOKUP(INPUT!M3419&amp;INPUT!N3419,CHOOSE({1,2},INPUT!$A$3:$A$5000&amp;INPUT!$C$3:$C$5000,INPUT!$D$3:$D$5000),2,FALSE),"")</f>
        <v>0</v>
      </c>
      <c r="I3424" s="46" t="str">
        <f>IF(INPUT!P3419="","",INPUT!P3419)</f>
        <v/>
      </c>
      <c r="J3424" s="46" t="str">
        <f>IF(INPUT!Q3419="","",INPUT!Q3419)</f>
        <v/>
      </c>
      <c r="K3424" s="46" t="str">
        <f>IFERROR(IF(OR(INPUT!P3419="",INPUT!Q3419=""),"",INPUT!P3419-INPUT!Q3419),"")</f>
        <v/>
      </c>
      <c r="L3424" s="48" t="str">
        <f>IFERROR(IF(OR(INPUT!P3419="",INPUT!Q3419="",INPUT!P3419=0),"",(INPUT!P3419-INPUT!Q3419)/INPUT!P3419),"")</f>
        <v/>
      </c>
    </row>
    <row r="3425" spans="1:12" ht="18" hidden="1" customHeight="1" x14ac:dyDescent="0.2">
      <c r="A3425" s="11" t="str">
        <f>IF(INPUT!M3420="","",INPUT!M3420)</f>
        <v/>
      </c>
      <c r="B3425" s="11" t="str">
        <f>IF(INPUT!M3420="","",INPUT!M3420-WEEKDAY(INPUT!M3420,2)+1)</f>
        <v/>
      </c>
      <c r="C3425" s="20">
        <f>IFERROR(_xlfn.ISOWEEKNUM(INPUT!M3420),"")</f>
        <v>52</v>
      </c>
      <c r="D3425" s="20">
        <f>IFERROR(YEAR(INPUT!M3420),"")</f>
        <v>1900</v>
      </c>
      <c r="E3425" t="str">
        <f>IF(INPUT!O3420="","",INPUT!O3420)</f>
        <v/>
      </c>
      <c r="F3425" t="str">
        <f>IF(INPUT!N3420="","",INPUT!N3420)</f>
        <v/>
      </c>
      <c r="G3425" cm="1">
        <f t="array" ref="G3425">IFERROR(VLOOKUP(INPUT!M3420&amp;INPUT!N3420,CHOOSE({1,2},INPUT!$A$3:$A$5000&amp;INPUT!$C$3:$C$5000,INPUT!$F$3:$F$5000),2,FALSE),"")</f>
        <v>0</v>
      </c>
      <c r="H3425" cm="1">
        <f t="array" ref="H3425">IFERROR(VLOOKUP(INPUT!M3420&amp;INPUT!N3420,CHOOSE({1,2},INPUT!$A$3:$A$5000&amp;INPUT!$C$3:$C$5000,INPUT!$D$3:$D$5000),2,FALSE),"")</f>
        <v>0</v>
      </c>
      <c r="I3425" s="46" t="str">
        <f>IF(INPUT!P3420="","",INPUT!P3420)</f>
        <v/>
      </c>
      <c r="J3425" s="46" t="str">
        <f>IF(INPUT!Q3420="","",INPUT!Q3420)</f>
        <v/>
      </c>
      <c r="K3425" s="46" t="str">
        <f>IFERROR(IF(OR(INPUT!P3420="",INPUT!Q3420=""),"",INPUT!P3420-INPUT!Q3420),"")</f>
        <v/>
      </c>
      <c r="L3425" s="48" t="str">
        <f>IFERROR(IF(OR(INPUT!P3420="",INPUT!Q3420="",INPUT!P3420=0),"",(INPUT!P3420-INPUT!Q3420)/INPUT!P3420),"")</f>
        <v/>
      </c>
    </row>
    <row r="3426" spans="1:12" ht="18" hidden="1" customHeight="1" x14ac:dyDescent="0.2">
      <c r="A3426" s="11" t="str">
        <f>IF(INPUT!M3421="","",INPUT!M3421)</f>
        <v/>
      </c>
      <c r="B3426" s="11" t="str">
        <f>IF(INPUT!M3421="","",INPUT!M3421-WEEKDAY(INPUT!M3421,2)+1)</f>
        <v/>
      </c>
      <c r="C3426" s="20">
        <f>IFERROR(_xlfn.ISOWEEKNUM(INPUT!M3421),"")</f>
        <v>52</v>
      </c>
      <c r="D3426" s="20">
        <f>IFERROR(YEAR(INPUT!M3421),"")</f>
        <v>1900</v>
      </c>
      <c r="E3426" t="str">
        <f>IF(INPUT!O3421="","",INPUT!O3421)</f>
        <v/>
      </c>
      <c r="F3426" t="str">
        <f>IF(INPUT!N3421="","",INPUT!N3421)</f>
        <v/>
      </c>
      <c r="G3426" cm="1">
        <f t="array" ref="G3426">IFERROR(VLOOKUP(INPUT!M3421&amp;INPUT!N3421,CHOOSE({1,2},INPUT!$A$3:$A$5000&amp;INPUT!$C$3:$C$5000,INPUT!$F$3:$F$5000),2,FALSE),"")</f>
        <v>0</v>
      </c>
      <c r="H3426" cm="1">
        <f t="array" ref="H3426">IFERROR(VLOOKUP(INPUT!M3421&amp;INPUT!N3421,CHOOSE({1,2},INPUT!$A$3:$A$5000&amp;INPUT!$C$3:$C$5000,INPUT!$D$3:$D$5000),2,FALSE),"")</f>
        <v>0</v>
      </c>
      <c r="I3426" s="46" t="str">
        <f>IF(INPUT!P3421="","",INPUT!P3421)</f>
        <v/>
      </c>
      <c r="J3426" s="46" t="str">
        <f>IF(INPUT!Q3421="","",INPUT!Q3421)</f>
        <v/>
      </c>
      <c r="K3426" s="46" t="str">
        <f>IFERROR(IF(OR(INPUT!P3421="",INPUT!Q3421=""),"",INPUT!P3421-INPUT!Q3421),"")</f>
        <v/>
      </c>
      <c r="L3426" s="48" t="str">
        <f>IFERROR(IF(OR(INPUT!P3421="",INPUT!Q3421="",INPUT!P3421=0),"",(INPUT!P3421-INPUT!Q3421)/INPUT!P3421),"")</f>
        <v/>
      </c>
    </row>
    <row r="3427" spans="1:12" ht="18" hidden="1" customHeight="1" x14ac:dyDescent="0.2">
      <c r="A3427" s="11" t="str">
        <f>IF(INPUT!M3422="","",INPUT!M3422)</f>
        <v/>
      </c>
      <c r="B3427" s="11" t="str">
        <f>IF(INPUT!M3422="","",INPUT!M3422-WEEKDAY(INPUT!M3422,2)+1)</f>
        <v/>
      </c>
      <c r="C3427" s="20">
        <f>IFERROR(_xlfn.ISOWEEKNUM(INPUT!M3422),"")</f>
        <v>52</v>
      </c>
      <c r="D3427" s="20">
        <f>IFERROR(YEAR(INPUT!M3422),"")</f>
        <v>1900</v>
      </c>
      <c r="E3427" t="str">
        <f>IF(INPUT!O3422="","",INPUT!O3422)</f>
        <v/>
      </c>
      <c r="F3427" t="str">
        <f>IF(INPUT!N3422="","",INPUT!N3422)</f>
        <v/>
      </c>
      <c r="G3427" cm="1">
        <f t="array" ref="G3427">IFERROR(VLOOKUP(INPUT!M3422&amp;INPUT!N3422,CHOOSE({1,2},INPUT!$A$3:$A$5000&amp;INPUT!$C$3:$C$5000,INPUT!$F$3:$F$5000),2,FALSE),"")</f>
        <v>0</v>
      </c>
      <c r="H3427" cm="1">
        <f t="array" ref="H3427">IFERROR(VLOOKUP(INPUT!M3422&amp;INPUT!N3422,CHOOSE({1,2},INPUT!$A$3:$A$5000&amp;INPUT!$C$3:$C$5000,INPUT!$D$3:$D$5000),2,FALSE),"")</f>
        <v>0</v>
      </c>
      <c r="I3427" s="46" t="str">
        <f>IF(INPUT!P3422="","",INPUT!P3422)</f>
        <v/>
      </c>
      <c r="J3427" s="46" t="str">
        <f>IF(INPUT!Q3422="","",INPUT!Q3422)</f>
        <v/>
      </c>
      <c r="K3427" s="46" t="str">
        <f>IFERROR(IF(OR(INPUT!P3422="",INPUT!Q3422=""),"",INPUT!P3422-INPUT!Q3422),"")</f>
        <v/>
      </c>
      <c r="L3427" s="48" t="str">
        <f>IFERROR(IF(OR(INPUT!P3422="",INPUT!Q3422="",INPUT!P3422=0),"",(INPUT!P3422-INPUT!Q3422)/INPUT!P3422),"")</f>
        <v/>
      </c>
    </row>
    <row r="3428" spans="1:12" ht="18" hidden="1" customHeight="1" x14ac:dyDescent="0.2">
      <c r="A3428" s="11" t="str">
        <f>IF(INPUT!M3423="","",INPUT!M3423)</f>
        <v/>
      </c>
      <c r="B3428" s="11" t="str">
        <f>IF(INPUT!M3423="","",INPUT!M3423-WEEKDAY(INPUT!M3423,2)+1)</f>
        <v/>
      </c>
      <c r="C3428" s="20">
        <f>IFERROR(_xlfn.ISOWEEKNUM(INPUT!M3423),"")</f>
        <v>52</v>
      </c>
      <c r="D3428" s="20">
        <f>IFERROR(YEAR(INPUT!M3423),"")</f>
        <v>1900</v>
      </c>
      <c r="E3428" t="str">
        <f>IF(INPUT!O3423="","",INPUT!O3423)</f>
        <v/>
      </c>
      <c r="F3428" t="str">
        <f>IF(INPUT!N3423="","",INPUT!N3423)</f>
        <v/>
      </c>
      <c r="G3428" cm="1">
        <f t="array" ref="G3428">IFERROR(VLOOKUP(INPUT!M3423&amp;INPUT!N3423,CHOOSE({1,2},INPUT!$A$3:$A$5000&amp;INPUT!$C$3:$C$5000,INPUT!$F$3:$F$5000),2,FALSE),"")</f>
        <v>0</v>
      </c>
      <c r="H3428" cm="1">
        <f t="array" ref="H3428">IFERROR(VLOOKUP(INPUT!M3423&amp;INPUT!N3423,CHOOSE({1,2},INPUT!$A$3:$A$5000&amp;INPUT!$C$3:$C$5000,INPUT!$D$3:$D$5000),2,FALSE),"")</f>
        <v>0</v>
      </c>
      <c r="I3428" s="46" t="str">
        <f>IF(INPUT!P3423="","",INPUT!P3423)</f>
        <v/>
      </c>
      <c r="J3428" s="46" t="str">
        <f>IF(INPUT!Q3423="","",INPUT!Q3423)</f>
        <v/>
      </c>
      <c r="K3428" s="46" t="str">
        <f>IFERROR(IF(OR(INPUT!P3423="",INPUT!Q3423=""),"",INPUT!P3423-INPUT!Q3423),"")</f>
        <v/>
      </c>
      <c r="L3428" s="48" t="str">
        <f>IFERROR(IF(OR(INPUT!P3423="",INPUT!Q3423="",INPUT!P3423=0),"",(INPUT!P3423-INPUT!Q3423)/INPUT!P3423),"")</f>
        <v/>
      </c>
    </row>
    <row r="3429" spans="1:12" ht="18" hidden="1" customHeight="1" x14ac:dyDescent="0.2">
      <c r="A3429" s="11" t="str">
        <f>IF(INPUT!M3424="","",INPUT!M3424)</f>
        <v/>
      </c>
      <c r="B3429" s="11" t="str">
        <f>IF(INPUT!M3424="","",INPUT!M3424-WEEKDAY(INPUT!M3424,2)+1)</f>
        <v/>
      </c>
      <c r="C3429" s="20">
        <f>IFERROR(_xlfn.ISOWEEKNUM(INPUT!M3424),"")</f>
        <v>52</v>
      </c>
      <c r="D3429" s="20">
        <f>IFERROR(YEAR(INPUT!M3424),"")</f>
        <v>1900</v>
      </c>
      <c r="E3429" t="str">
        <f>IF(INPUT!O3424="","",INPUT!O3424)</f>
        <v/>
      </c>
      <c r="F3429" t="str">
        <f>IF(INPUT!N3424="","",INPUT!N3424)</f>
        <v/>
      </c>
      <c r="G3429" cm="1">
        <f t="array" ref="G3429">IFERROR(VLOOKUP(INPUT!M3424&amp;INPUT!N3424,CHOOSE({1,2},INPUT!$A$3:$A$5000&amp;INPUT!$C$3:$C$5000,INPUT!$F$3:$F$5000),2,FALSE),"")</f>
        <v>0</v>
      </c>
      <c r="H3429" cm="1">
        <f t="array" ref="H3429">IFERROR(VLOOKUP(INPUT!M3424&amp;INPUT!N3424,CHOOSE({1,2},INPUT!$A$3:$A$5000&amp;INPUT!$C$3:$C$5000,INPUT!$D$3:$D$5000),2,FALSE),"")</f>
        <v>0</v>
      </c>
      <c r="I3429" s="46" t="str">
        <f>IF(INPUT!P3424="","",INPUT!P3424)</f>
        <v/>
      </c>
      <c r="J3429" s="46" t="str">
        <f>IF(INPUT!Q3424="","",INPUT!Q3424)</f>
        <v/>
      </c>
      <c r="K3429" s="46" t="str">
        <f>IFERROR(IF(OR(INPUT!P3424="",INPUT!Q3424=""),"",INPUT!P3424-INPUT!Q3424),"")</f>
        <v/>
      </c>
      <c r="L3429" s="48" t="str">
        <f>IFERROR(IF(OR(INPUT!P3424="",INPUT!Q3424="",INPUT!P3424=0),"",(INPUT!P3424-INPUT!Q3424)/INPUT!P3424),"")</f>
        <v/>
      </c>
    </row>
    <row r="3430" spans="1:12" ht="18" hidden="1" customHeight="1" x14ac:dyDescent="0.2">
      <c r="A3430" s="11" t="str">
        <f>IF(INPUT!M3425="","",INPUT!M3425)</f>
        <v/>
      </c>
      <c r="B3430" s="11" t="str">
        <f>IF(INPUT!M3425="","",INPUT!M3425-WEEKDAY(INPUT!M3425,2)+1)</f>
        <v/>
      </c>
      <c r="C3430" s="20">
        <f>IFERROR(_xlfn.ISOWEEKNUM(INPUT!M3425),"")</f>
        <v>52</v>
      </c>
      <c r="D3430" s="20">
        <f>IFERROR(YEAR(INPUT!M3425),"")</f>
        <v>1900</v>
      </c>
      <c r="E3430" t="str">
        <f>IF(INPUT!O3425="","",INPUT!O3425)</f>
        <v/>
      </c>
      <c r="F3430" t="str">
        <f>IF(INPUT!N3425="","",INPUT!N3425)</f>
        <v/>
      </c>
      <c r="G3430" cm="1">
        <f t="array" ref="G3430">IFERROR(VLOOKUP(INPUT!M3425&amp;INPUT!N3425,CHOOSE({1,2},INPUT!$A$3:$A$5000&amp;INPUT!$C$3:$C$5000,INPUT!$F$3:$F$5000),2,FALSE),"")</f>
        <v>0</v>
      </c>
      <c r="H3430" cm="1">
        <f t="array" ref="H3430">IFERROR(VLOOKUP(INPUT!M3425&amp;INPUT!N3425,CHOOSE({1,2},INPUT!$A$3:$A$5000&amp;INPUT!$C$3:$C$5000,INPUT!$D$3:$D$5000),2,FALSE),"")</f>
        <v>0</v>
      </c>
      <c r="I3430" s="46" t="str">
        <f>IF(INPUT!P3425="","",INPUT!P3425)</f>
        <v/>
      </c>
      <c r="J3430" s="46" t="str">
        <f>IF(INPUT!Q3425="","",INPUT!Q3425)</f>
        <v/>
      </c>
      <c r="K3430" s="46" t="str">
        <f>IFERROR(IF(OR(INPUT!P3425="",INPUT!Q3425=""),"",INPUT!P3425-INPUT!Q3425),"")</f>
        <v/>
      </c>
      <c r="L3430" s="48" t="str">
        <f>IFERROR(IF(OR(INPUT!P3425="",INPUT!Q3425="",INPUT!P3425=0),"",(INPUT!P3425-INPUT!Q3425)/INPUT!P3425),"")</f>
        <v/>
      </c>
    </row>
    <row r="3431" spans="1:12" ht="18" hidden="1" customHeight="1" x14ac:dyDescent="0.2">
      <c r="A3431" s="11" t="str">
        <f>IF(INPUT!M3426="","",INPUT!M3426)</f>
        <v/>
      </c>
      <c r="B3431" s="11" t="str">
        <f>IF(INPUT!M3426="","",INPUT!M3426-WEEKDAY(INPUT!M3426,2)+1)</f>
        <v/>
      </c>
      <c r="C3431" s="20">
        <f>IFERROR(_xlfn.ISOWEEKNUM(INPUT!M3426),"")</f>
        <v>52</v>
      </c>
      <c r="D3431" s="20">
        <f>IFERROR(YEAR(INPUT!M3426),"")</f>
        <v>1900</v>
      </c>
      <c r="E3431" t="str">
        <f>IF(INPUT!O3426="","",INPUT!O3426)</f>
        <v/>
      </c>
      <c r="F3431" t="str">
        <f>IF(INPUT!N3426="","",INPUT!N3426)</f>
        <v/>
      </c>
      <c r="G3431" cm="1">
        <f t="array" ref="G3431">IFERROR(VLOOKUP(INPUT!M3426&amp;INPUT!N3426,CHOOSE({1,2},INPUT!$A$3:$A$5000&amp;INPUT!$C$3:$C$5000,INPUT!$F$3:$F$5000),2,FALSE),"")</f>
        <v>0</v>
      </c>
      <c r="H3431" cm="1">
        <f t="array" ref="H3431">IFERROR(VLOOKUP(INPUT!M3426&amp;INPUT!N3426,CHOOSE({1,2},INPUT!$A$3:$A$5000&amp;INPUT!$C$3:$C$5000,INPUT!$D$3:$D$5000),2,FALSE),"")</f>
        <v>0</v>
      </c>
      <c r="I3431" s="46" t="str">
        <f>IF(INPUT!P3426="","",INPUT!P3426)</f>
        <v/>
      </c>
      <c r="J3431" s="46" t="str">
        <f>IF(INPUT!Q3426="","",INPUT!Q3426)</f>
        <v/>
      </c>
      <c r="K3431" s="46" t="str">
        <f>IFERROR(IF(OR(INPUT!P3426="",INPUT!Q3426=""),"",INPUT!P3426-INPUT!Q3426),"")</f>
        <v/>
      </c>
      <c r="L3431" s="48" t="str">
        <f>IFERROR(IF(OR(INPUT!P3426="",INPUT!Q3426="",INPUT!P3426=0),"",(INPUT!P3426-INPUT!Q3426)/INPUT!P3426),"")</f>
        <v/>
      </c>
    </row>
    <row r="3432" spans="1:12" ht="18" hidden="1" customHeight="1" x14ac:dyDescent="0.2">
      <c r="A3432" s="11" t="str">
        <f>IF(INPUT!M3427="","",INPUT!M3427)</f>
        <v/>
      </c>
      <c r="B3432" s="11" t="str">
        <f>IF(INPUT!M3427="","",INPUT!M3427-WEEKDAY(INPUT!M3427,2)+1)</f>
        <v/>
      </c>
      <c r="C3432" s="20">
        <f>IFERROR(_xlfn.ISOWEEKNUM(INPUT!M3427),"")</f>
        <v>52</v>
      </c>
      <c r="D3432" s="20">
        <f>IFERROR(YEAR(INPUT!M3427),"")</f>
        <v>1900</v>
      </c>
      <c r="E3432" t="str">
        <f>IF(INPUT!O3427="","",INPUT!O3427)</f>
        <v/>
      </c>
      <c r="F3432" t="str">
        <f>IF(INPUT!N3427="","",INPUT!N3427)</f>
        <v/>
      </c>
      <c r="G3432" cm="1">
        <f t="array" ref="G3432">IFERROR(VLOOKUP(INPUT!M3427&amp;INPUT!N3427,CHOOSE({1,2},INPUT!$A$3:$A$5000&amp;INPUT!$C$3:$C$5000,INPUT!$F$3:$F$5000),2,FALSE),"")</f>
        <v>0</v>
      </c>
      <c r="H3432" cm="1">
        <f t="array" ref="H3432">IFERROR(VLOOKUP(INPUT!M3427&amp;INPUT!N3427,CHOOSE({1,2},INPUT!$A$3:$A$5000&amp;INPUT!$C$3:$C$5000,INPUT!$D$3:$D$5000),2,FALSE),"")</f>
        <v>0</v>
      </c>
      <c r="I3432" s="46" t="str">
        <f>IF(INPUT!P3427="","",INPUT!P3427)</f>
        <v/>
      </c>
      <c r="J3432" s="46" t="str">
        <f>IF(INPUT!Q3427="","",INPUT!Q3427)</f>
        <v/>
      </c>
      <c r="K3432" s="46" t="str">
        <f>IFERROR(IF(OR(INPUT!P3427="",INPUT!Q3427=""),"",INPUT!P3427-INPUT!Q3427),"")</f>
        <v/>
      </c>
      <c r="L3432" s="48" t="str">
        <f>IFERROR(IF(OR(INPUT!P3427="",INPUT!Q3427="",INPUT!P3427=0),"",(INPUT!P3427-INPUT!Q3427)/INPUT!P3427),"")</f>
        <v/>
      </c>
    </row>
    <row r="3433" spans="1:12" ht="18" hidden="1" customHeight="1" x14ac:dyDescent="0.2">
      <c r="A3433" s="11" t="str">
        <f>IF(INPUT!M3428="","",INPUT!M3428)</f>
        <v/>
      </c>
      <c r="B3433" s="11" t="str">
        <f>IF(INPUT!M3428="","",INPUT!M3428-WEEKDAY(INPUT!M3428,2)+1)</f>
        <v/>
      </c>
      <c r="C3433" s="20">
        <f>IFERROR(_xlfn.ISOWEEKNUM(INPUT!M3428),"")</f>
        <v>52</v>
      </c>
      <c r="D3433" s="20">
        <f>IFERROR(YEAR(INPUT!M3428),"")</f>
        <v>1900</v>
      </c>
      <c r="E3433" t="str">
        <f>IF(INPUT!O3428="","",INPUT!O3428)</f>
        <v/>
      </c>
      <c r="F3433" t="str">
        <f>IF(INPUT!N3428="","",INPUT!N3428)</f>
        <v/>
      </c>
      <c r="G3433" cm="1">
        <f t="array" ref="G3433">IFERROR(VLOOKUP(INPUT!M3428&amp;INPUT!N3428,CHOOSE({1,2},INPUT!$A$3:$A$5000&amp;INPUT!$C$3:$C$5000,INPUT!$F$3:$F$5000),2,FALSE),"")</f>
        <v>0</v>
      </c>
      <c r="H3433" cm="1">
        <f t="array" ref="H3433">IFERROR(VLOOKUP(INPUT!M3428&amp;INPUT!N3428,CHOOSE({1,2},INPUT!$A$3:$A$5000&amp;INPUT!$C$3:$C$5000,INPUT!$D$3:$D$5000),2,FALSE),"")</f>
        <v>0</v>
      </c>
      <c r="I3433" s="46" t="str">
        <f>IF(INPUT!P3428="","",INPUT!P3428)</f>
        <v/>
      </c>
      <c r="J3433" s="46" t="str">
        <f>IF(INPUT!Q3428="","",INPUT!Q3428)</f>
        <v/>
      </c>
      <c r="K3433" s="46" t="str">
        <f>IFERROR(IF(OR(INPUT!P3428="",INPUT!Q3428=""),"",INPUT!P3428-INPUT!Q3428),"")</f>
        <v/>
      </c>
      <c r="L3433" s="48" t="str">
        <f>IFERROR(IF(OR(INPUT!P3428="",INPUT!Q3428="",INPUT!P3428=0),"",(INPUT!P3428-INPUT!Q3428)/INPUT!P3428),"")</f>
        <v/>
      </c>
    </row>
    <row r="3434" spans="1:12" ht="18" hidden="1" customHeight="1" x14ac:dyDescent="0.2">
      <c r="A3434" s="11" t="str">
        <f>IF(INPUT!M3429="","",INPUT!M3429)</f>
        <v/>
      </c>
      <c r="B3434" s="11" t="str">
        <f>IF(INPUT!M3429="","",INPUT!M3429-WEEKDAY(INPUT!M3429,2)+1)</f>
        <v/>
      </c>
      <c r="C3434" s="20">
        <f>IFERROR(_xlfn.ISOWEEKNUM(INPUT!M3429),"")</f>
        <v>52</v>
      </c>
      <c r="D3434" s="20">
        <f>IFERROR(YEAR(INPUT!M3429),"")</f>
        <v>1900</v>
      </c>
      <c r="E3434" t="str">
        <f>IF(INPUT!O3429="","",INPUT!O3429)</f>
        <v/>
      </c>
      <c r="F3434" t="str">
        <f>IF(INPUT!N3429="","",INPUT!N3429)</f>
        <v/>
      </c>
      <c r="G3434" cm="1">
        <f t="array" ref="G3434">IFERROR(VLOOKUP(INPUT!M3429&amp;INPUT!N3429,CHOOSE({1,2},INPUT!$A$3:$A$5000&amp;INPUT!$C$3:$C$5000,INPUT!$F$3:$F$5000),2,FALSE),"")</f>
        <v>0</v>
      </c>
      <c r="H3434" cm="1">
        <f t="array" ref="H3434">IFERROR(VLOOKUP(INPUT!M3429&amp;INPUT!N3429,CHOOSE({1,2},INPUT!$A$3:$A$5000&amp;INPUT!$C$3:$C$5000,INPUT!$D$3:$D$5000),2,FALSE),"")</f>
        <v>0</v>
      </c>
      <c r="I3434" s="46" t="str">
        <f>IF(INPUT!P3429="","",INPUT!P3429)</f>
        <v/>
      </c>
      <c r="J3434" s="46" t="str">
        <f>IF(INPUT!Q3429="","",INPUT!Q3429)</f>
        <v/>
      </c>
      <c r="K3434" s="46" t="str">
        <f>IFERROR(IF(OR(INPUT!P3429="",INPUT!Q3429=""),"",INPUT!P3429-INPUT!Q3429),"")</f>
        <v/>
      </c>
      <c r="L3434" s="48" t="str">
        <f>IFERROR(IF(OR(INPUT!P3429="",INPUT!Q3429="",INPUT!P3429=0),"",(INPUT!P3429-INPUT!Q3429)/INPUT!P3429),"")</f>
        <v/>
      </c>
    </row>
    <row r="3435" spans="1:12" ht="18" hidden="1" customHeight="1" x14ac:dyDescent="0.2">
      <c r="A3435" s="11" t="str">
        <f>IF(INPUT!M3430="","",INPUT!M3430)</f>
        <v/>
      </c>
      <c r="B3435" s="11" t="str">
        <f>IF(INPUT!M3430="","",INPUT!M3430-WEEKDAY(INPUT!M3430,2)+1)</f>
        <v/>
      </c>
      <c r="C3435" s="20">
        <f>IFERROR(_xlfn.ISOWEEKNUM(INPUT!M3430),"")</f>
        <v>52</v>
      </c>
      <c r="D3435" s="20">
        <f>IFERROR(YEAR(INPUT!M3430),"")</f>
        <v>1900</v>
      </c>
      <c r="E3435" t="str">
        <f>IF(INPUT!O3430="","",INPUT!O3430)</f>
        <v/>
      </c>
      <c r="F3435" t="str">
        <f>IF(INPUT!N3430="","",INPUT!N3430)</f>
        <v/>
      </c>
      <c r="G3435" cm="1">
        <f t="array" ref="G3435">IFERROR(VLOOKUP(INPUT!M3430&amp;INPUT!N3430,CHOOSE({1,2},INPUT!$A$3:$A$5000&amp;INPUT!$C$3:$C$5000,INPUT!$F$3:$F$5000),2,FALSE),"")</f>
        <v>0</v>
      </c>
      <c r="H3435" cm="1">
        <f t="array" ref="H3435">IFERROR(VLOOKUP(INPUT!M3430&amp;INPUT!N3430,CHOOSE({1,2},INPUT!$A$3:$A$5000&amp;INPUT!$C$3:$C$5000,INPUT!$D$3:$D$5000),2,FALSE),"")</f>
        <v>0</v>
      </c>
      <c r="I3435" s="46" t="str">
        <f>IF(INPUT!P3430="","",INPUT!P3430)</f>
        <v/>
      </c>
      <c r="J3435" s="46" t="str">
        <f>IF(INPUT!Q3430="","",INPUT!Q3430)</f>
        <v/>
      </c>
      <c r="K3435" s="46" t="str">
        <f>IFERROR(IF(OR(INPUT!P3430="",INPUT!Q3430=""),"",INPUT!P3430-INPUT!Q3430),"")</f>
        <v/>
      </c>
      <c r="L3435" s="48" t="str">
        <f>IFERROR(IF(OR(INPUT!P3430="",INPUT!Q3430="",INPUT!P3430=0),"",(INPUT!P3430-INPUT!Q3430)/INPUT!P3430),"")</f>
        <v/>
      </c>
    </row>
    <row r="3436" spans="1:12" ht="18" hidden="1" customHeight="1" x14ac:dyDescent="0.2">
      <c r="A3436" s="11" t="str">
        <f>IF(INPUT!M3431="","",INPUT!M3431)</f>
        <v/>
      </c>
      <c r="B3436" s="11" t="str">
        <f>IF(INPUT!M3431="","",INPUT!M3431-WEEKDAY(INPUT!M3431,2)+1)</f>
        <v/>
      </c>
      <c r="C3436" s="20">
        <f>IFERROR(_xlfn.ISOWEEKNUM(INPUT!M3431),"")</f>
        <v>52</v>
      </c>
      <c r="D3436" s="20">
        <f>IFERROR(YEAR(INPUT!M3431),"")</f>
        <v>1900</v>
      </c>
      <c r="E3436" t="str">
        <f>IF(INPUT!O3431="","",INPUT!O3431)</f>
        <v/>
      </c>
      <c r="F3436" t="str">
        <f>IF(INPUT!N3431="","",INPUT!N3431)</f>
        <v/>
      </c>
      <c r="G3436" cm="1">
        <f t="array" ref="G3436">IFERROR(VLOOKUP(INPUT!M3431&amp;INPUT!N3431,CHOOSE({1,2},INPUT!$A$3:$A$5000&amp;INPUT!$C$3:$C$5000,INPUT!$F$3:$F$5000),2,FALSE),"")</f>
        <v>0</v>
      </c>
      <c r="H3436" cm="1">
        <f t="array" ref="H3436">IFERROR(VLOOKUP(INPUT!M3431&amp;INPUT!N3431,CHOOSE({1,2},INPUT!$A$3:$A$5000&amp;INPUT!$C$3:$C$5000,INPUT!$D$3:$D$5000),2,FALSE),"")</f>
        <v>0</v>
      </c>
      <c r="I3436" s="46" t="str">
        <f>IF(INPUT!P3431="","",INPUT!P3431)</f>
        <v/>
      </c>
      <c r="J3436" s="46" t="str">
        <f>IF(INPUT!Q3431="","",INPUT!Q3431)</f>
        <v/>
      </c>
      <c r="K3436" s="46" t="str">
        <f>IFERROR(IF(OR(INPUT!P3431="",INPUT!Q3431=""),"",INPUT!P3431-INPUT!Q3431),"")</f>
        <v/>
      </c>
      <c r="L3436" s="48" t="str">
        <f>IFERROR(IF(OR(INPUT!P3431="",INPUT!Q3431="",INPUT!P3431=0),"",(INPUT!P3431-INPUT!Q3431)/INPUT!P3431),"")</f>
        <v/>
      </c>
    </row>
    <row r="3437" spans="1:12" ht="18" hidden="1" customHeight="1" x14ac:dyDescent="0.2">
      <c r="A3437" s="11" t="str">
        <f>IF(INPUT!M3432="","",INPUT!M3432)</f>
        <v/>
      </c>
      <c r="B3437" s="11" t="str">
        <f>IF(INPUT!M3432="","",INPUT!M3432-WEEKDAY(INPUT!M3432,2)+1)</f>
        <v/>
      </c>
      <c r="C3437" s="20">
        <f>IFERROR(_xlfn.ISOWEEKNUM(INPUT!M3432),"")</f>
        <v>52</v>
      </c>
      <c r="D3437" s="20">
        <f>IFERROR(YEAR(INPUT!M3432),"")</f>
        <v>1900</v>
      </c>
      <c r="E3437" t="str">
        <f>IF(INPUT!O3432="","",INPUT!O3432)</f>
        <v/>
      </c>
      <c r="F3437" t="str">
        <f>IF(INPUT!N3432="","",INPUT!N3432)</f>
        <v/>
      </c>
      <c r="G3437" cm="1">
        <f t="array" ref="G3437">IFERROR(VLOOKUP(INPUT!M3432&amp;INPUT!N3432,CHOOSE({1,2},INPUT!$A$3:$A$5000&amp;INPUT!$C$3:$C$5000,INPUT!$F$3:$F$5000),2,FALSE),"")</f>
        <v>0</v>
      </c>
      <c r="H3437" cm="1">
        <f t="array" ref="H3437">IFERROR(VLOOKUP(INPUT!M3432&amp;INPUT!N3432,CHOOSE({1,2},INPUT!$A$3:$A$5000&amp;INPUT!$C$3:$C$5000,INPUT!$D$3:$D$5000),2,FALSE),"")</f>
        <v>0</v>
      </c>
      <c r="I3437" s="46" t="str">
        <f>IF(INPUT!P3432="","",INPUT!P3432)</f>
        <v/>
      </c>
      <c r="J3437" s="46" t="str">
        <f>IF(INPUT!Q3432="","",INPUT!Q3432)</f>
        <v/>
      </c>
      <c r="K3437" s="46" t="str">
        <f>IFERROR(IF(OR(INPUT!P3432="",INPUT!Q3432=""),"",INPUT!P3432-INPUT!Q3432),"")</f>
        <v/>
      </c>
      <c r="L3437" s="48" t="str">
        <f>IFERROR(IF(OR(INPUT!P3432="",INPUT!Q3432="",INPUT!P3432=0),"",(INPUT!P3432-INPUT!Q3432)/INPUT!P3432),"")</f>
        <v/>
      </c>
    </row>
    <row r="3438" spans="1:12" ht="18" hidden="1" customHeight="1" x14ac:dyDescent="0.2">
      <c r="A3438" s="11" t="str">
        <f>IF(INPUT!M3433="","",INPUT!M3433)</f>
        <v/>
      </c>
      <c r="B3438" s="11" t="str">
        <f>IF(INPUT!M3433="","",INPUT!M3433-WEEKDAY(INPUT!M3433,2)+1)</f>
        <v/>
      </c>
      <c r="C3438" s="20">
        <f>IFERROR(_xlfn.ISOWEEKNUM(INPUT!M3433),"")</f>
        <v>52</v>
      </c>
      <c r="D3438" s="20">
        <f>IFERROR(YEAR(INPUT!M3433),"")</f>
        <v>1900</v>
      </c>
      <c r="E3438" t="str">
        <f>IF(INPUT!O3433="","",INPUT!O3433)</f>
        <v/>
      </c>
      <c r="F3438" t="str">
        <f>IF(INPUT!N3433="","",INPUT!N3433)</f>
        <v/>
      </c>
      <c r="G3438" cm="1">
        <f t="array" ref="G3438">IFERROR(VLOOKUP(INPUT!M3433&amp;INPUT!N3433,CHOOSE({1,2},INPUT!$A$3:$A$5000&amp;INPUT!$C$3:$C$5000,INPUT!$F$3:$F$5000),2,FALSE),"")</f>
        <v>0</v>
      </c>
      <c r="H3438" cm="1">
        <f t="array" ref="H3438">IFERROR(VLOOKUP(INPUT!M3433&amp;INPUT!N3433,CHOOSE({1,2},INPUT!$A$3:$A$5000&amp;INPUT!$C$3:$C$5000,INPUT!$D$3:$D$5000),2,FALSE),"")</f>
        <v>0</v>
      </c>
      <c r="I3438" s="46" t="str">
        <f>IF(INPUT!P3433="","",INPUT!P3433)</f>
        <v/>
      </c>
      <c r="J3438" s="46" t="str">
        <f>IF(INPUT!Q3433="","",INPUT!Q3433)</f>
        <v/>
      </c>
      <c r="K3438" s="46" t="str">
        <f>IFERROR(IF(OR(INPUT!P3433="",INPUT!Q3433=""),"",INPUT!P3433-INPUT!Q3433),"")</f>
        <v/>
      </c>
      <c r="L3438" s="48" t="str">
        <f>IFERROR(IF(OR(INPUT!P3433="",INPUT!Q3433="",INPUT!P3433=0),"",(INPUT!P3433-INPUT!Q3433)/INPUT!P3433),"")</f>
        <v/>
      </c>
    </row>
    <row r="3439" spans="1:12" ht="18" hidden="1" customHeight="1" x14ac:dyDescent="0.2">
      <c r="A3439" s="11" t="str">
        <f>IF(INPUT!M3434="","",INPUT!M3434)</f>
        <v/>
      </c>
      <c r="B3439" s="11" t="str">
        <f>IF(INPUT!M3434="","",INPUT!M3434-WEEKDAY(INPUT!M3434,2)+1)</f>
        <v/>
      </c>
      <c r="C3439" s="20">
        <f>IFERROR(_xlfn.ISOWEEKNUM(INPUT!M3434),"")</f>
        <v>52</v>
      </c>
      <c r="D3439" s="20">
        <f>IFERROR(YEAR(INPUT!M3434),"")</f>
        <v>1900</v>
      </c>
      <c r="E3439" t="str">
        <f>IF(INPUT!O3434="","",INPUT!O3434)</f>
        <v/>
      </c>
      <c r="F3439" t="str">
        <f>IF(INPUT!N3434="","",INPUT!N3434)</f>
        <v/>
      </c>
      <c r="G3439" cm="1">
        <f t="array" ref="G3439">IFERROR(VLOOKUP(INPUT!M3434&amp;INPUT!N3434,CHOOSE({1,2},INPUT!$A$3:$A$5000&amp;INPUT!$C$3:$C$5000,INPUT!$F$3:$F$5000),2,FALSE),"")</f>
        <v>0</v>
      </c>
      <c r="H3439" cm="1">
        <f t="array" ref="H3439">IFERROR(VLOOKUP(INPUT!M3434&amp;INPUT!N3434,CHOOSE({1,2},INPUT!$A$3:$A$5000&amp;INPUT!$C$3:$C$5000,INPUT!$D$3:$D$5000),2,FALSE),"")</f>
        <v>0</v>
      </c>
      <c r="I3439" s="46" t="str">
        <f>IF(INPUT!P3434="","",INPUT!P3434)</f>
        <v/>
      </c>
      <c r="J3439" s="46" t="str">
        <f>IF(INPUT!Q3434="","",INPUT!Q3434)</f>
        <v/>
      </c>
      <c r="K3439" s="46" t="str">
        <f>IFERROR(IF(OR(INPUT!P3434="",INPUT!Q3434=""),"",INPUT!P3434-INPUT!Q3434),"")</f>
        <v/>
      </c>
      <c r="L3439" s="48" t="str">
        <f>IFERROR(IF(OR(INPUT!P3434="",INPUT!Q3434="",INPUT!P3434=0),"",(INPUT!P3434-INPUT!Q3434)/INPUT!P3434),"")</f>
        <v/>
      </c>
    </row>
    <row r="3440" spans="1:12" ht="18" hidden="1" customHeight="1" x14ac:dyDescent="0.2">
      <c r="A3440" s="11" t="str">
        <f>IF(INPUT!M3435="","",INPUT!M3435)</f>
        <v/>
      </c>
      <c r="B3440" s="11" t="str">
        <f>IF(INPUT!M3435="","",INPUT!M3435-WEEKDAY(INPUT!M3435,2)+1)</f>
        <v/>
      </c>
      <c r="C3440" s="20">
        <f>IFERROR(_xlfn.ISOWEEKNUM(INPUT!M3435),"")</f>
        <v>52</v>
      </c>
      <c r="D3440" s="20">
        <f>IFERROR(YEAR(INPUT!M3435),"")</f>
        <v>1900</v>
      </c>
      <c r="E3440" t="str">
        <f>IF(INPUT!O3435="","",INPUT!O3435)</f>
        <v/>
      </c>
      <c r="F3440" t="str">
        <f>IF(INPUT!N3435="","",INPUT!N3435)</f>
        <v/>
      </c>
      <c r="G3440" cm="1">
        <f t="array" ref="G3440">IFERROR(VLOOKUP(INPUT!M3435&amp;INPUT!N3435,CHOOSE({1,2},INPUT!$A$3:$A$5000&amp;INPUT!$C$3:$C$5000,INPUT!$F$3:$F$5000),2,FALSE),"")</f>
        <v>0</v>
      </c>
      <c r="H3440" cm="1">
        <f t="array" ref="H3440">IFERROR(VLOOKUP(INPUT!M3435&amp;INPUT!N3435,CHOOSE({1,2},INPUT!$A$3:$A$5000&amp;INPUT!$C$3:$C$5000,INPUT!$D$3:$D$5000),2,FALSE),"")</f>
        <v>0</v>
      </c>
      <c r="I3440" s="46" t="str">
        <f>IF(INPUT!P3435="","",INPUT!P3435)</f>
        <v/>
      </c>
      <c r="J3440" s="46" t="str">
        <f>IF(INPUT!Q3435="","",INPUT!Q3435)</f>
        <v/>
      </c>
      <c r="K3440" s="46" t="str">
        <f>IFERROR(IF(OR(INPUT!P3435="",INPUT!Q3435=""),"",INPUT!P3435-INPUT!Q3435),"")</f>
        <v/>
      </c>
      <c r="L3440" s="48" t="str">
        <f>IFERROR(IF(OR(INPUT!P3435="",INPUT!Q3435="",INPUT!P3435=0),"",(INPUT!P3435-INPUT!Q3435)/INPUT!P3435),"")</f>
        <v/>
      </c>
    </row>
    <row r="3441" spans="1:12" ht="18" hidden="1" customHeight="1" x14ac:dyDescent="0.2">
      <c r="A3441" s="11" t="str">
        <f>IF(INPUT!M3436="","",INPUT!M3436)</f>
        <v/>
      </c>
      <c r="B3441" s="11" t="str">
        <f>IF(INPUT!M3436="","",INPUT!M3436-WEEKDAY(INPUT!M3436,2)+1)</f>
        <v/>
      </c>
      <c r="C3441" s="20">
        <f>IFERROR(_xlfn.ISOWEEKNUM(INPUT!M3436),"")</f>
        <v>52</v>
      </c>
      <c r="D3441" s="20">
        <f>IFERROR(YEAR(INPUT!M3436),"")</f>
        <v>1900</v>
      </c>
      <c r="E3441" t="str">
        <f>IF(INPUT!O3436="","",INPUT!O3436)</f>
        <v/>
      </c>
      <c r="F3441" t="str">
        <f>IF(INPUT!N3436="","",INPUT!N3436)</f>
        <v/>
      </c>
      <c r="G3441" cm="1">
        <f t="array" ref="G3441">IFERROR(VLOOKUP(INPUT!M3436&amp;INPUT!N3436,CHOOSE({1,2},INPUT!$A$3:$A$5000&amp;INPUT!$C$3:$C$5000,INPUT!$F$3:$F$5000),2,FALSE),"")</f>
        <v>0</v>
      </c>
      <c r="H3441" cm="1">
        <f t="array" ref="H3441">IFERROR(VLOOKUP(INPUT!M3436&amp;INPUT!N3436,CHOOSE({1,2},INPUT!$A$3:$A$5000&amp;INPUT!$C$3:$C$5000,INPUT!$D$3:$D$5000),2,FALSE),"")</f>
        <v>0</v>
      </c>
      <c r="I3441" s="46" t="str">
        <f>IF(INPUT!P3436="","",INPUT!P3436)</f>
        <v/>
      </c>
      <c r="J3441" s="46" t="str">
        <f>IF(INPUT!Q3436="","",INPUT!Q3436)</f>
        <v/>
      </c>
      <c r="K3441" s="46" t="str">
        <f>IFERROR(IF(OR(INPUT!P3436="",INPUT!Q3436=""),"",INPUT!P3436-INPUT!Q3436),"")</f>
        <v/>
      </c>
      <c r="L3441" s="48" t="str">
        <f>IFERROR(IF(OR(INPUT!P3436="",INPUT!Q3436="",INPUT!P3436=0),"",(INPUT!P3436-INPUT!Q3436)/INPUT!P3436),"")</f>
        <v/>
      </c>
    </row>
    <row r="3442" spans="1:12" ht="18" hidden="1" customHeight="1" x14ac:dyDescent="0.2">
      <c r="A3442" s="11" t="str">
        <f>IF(INPUT!M3437="","",INPUT!M3437)</f>
        <v/>
      </c>
      <c r="B3442" s="11" t="str">
        <f>IF(INPUT!M3437="","",INPUT!M3437-WEEKDAY(INPUT!M3437,2)+1)</f>
        <v/>
      </c>
      <c r="C3442" s="20">
        <f>IFERROR(_xlfn.ISOWEEKNUM(INPUT!M3437),"")</f>
        <v>52</v>
      </c>
      <c r="D3442" s="20">
        <f>IFERROR(YEAR(INPUT!M3437),"")</f>
        <v>1900</v>
      </c>
      <c r="E3442" t="str">
        <f>IF(INPUT!O3437="","",INPUT!O3437)</f>
        <v/>
      </c>
      <c r="F3442" t="str">
        <f>IF(INPUT!N3437="","",INPUT!N3437)</f>
        <v/>
      </c>
      <c r="G3442" cm="1">
        <f t="array" ref="G3442">IFERROR(VLOOKUP(INPUT!M3437&amp;INPUT!N3437,CHOOSE({1,2},INPUT!$A$3:$A$5000&amp;INPUT!$C$3:$C$5000,INPUT!$F$3:$F$5000),2,FALSE),"")</f>
        <v>0</v>
      </c>
      <c r="H3442" cm="1">
        <f t="array" ref="H3442">IFERROR(VLOOKUP(INPUT!M3437&amp;INPUT!N3437,CHOOSE({1,2},INPUT!$A$3:$A$5000&amp;INPUT!$C$3:$C$5000,INPUT!$D$3:$D$5000),2,FALSE),"")</f>
        <v>0</v>
      </c>
      <c r="I3442" s="46" t="str">
        <f>IF(INPUT!P3437="","",INPUT!P3437)</f>
        <v/>
      </c>
      <c r="J3442" s="46" t="str">
        <f>IF(INPUT!Q3437="","",INPUT!Q3437)</f>
        <v/>
      </c>
      <c r="K3442" s="46" t="str">
        <f>IFERROR(IF(OR(INPUT!P3437="",INPUT!Q3437=""),"",INPUT!P3437-INPUT!Q3437),"")</f>
        <v/>
      </c>
      <c r="L3442" s="48" t="str">
        <f>IFERROR(IF(OR(INPUT!P3437="",INPUT!Q3437="",INPUT!P3437=0),"",(INPUT!P3437-INPUT!Q3437)/INPUT!P3437),"")</f>
        <v/>
      </c>
    </row>
    <row r="3443" spans="1:12" ht="18" hidden="1" customHeight="1" x14ac:dyDescent="0.2">
      <c r="A3443" s="11" t="str">
        <f>IF(INPUT!M3438="","",INPUT!M3438)</f>
        <v/>
      </c>
      <c r="B3443" s="11" t="str">
        <f>IF(INPUT!M3438="","",INPUT!M3438-WEEKDAY(INPUT!M3438,2)+1)</f>
        <v/>
      </c>
      <c r="C3443" s="20">
        <f>IFERROR(_xlfn.ISOWEEKNUM(INPUT!M3438),"")</f>
        <v>52</v>
      </c>
      <c r="D3443" s="20">
        <f>IFERROR(YEAR(INPUT!M3438),"")</f>
        <v>1900</v>
      </c>
      <c r="E3443" t="str">
        <f>IF(INPUT!O3438="","",INPUT!O3438)</f>
        <v/>
      </c>
      <c r="F3443" t="str">
        <f>IF(INPUT!N3438="","",INPUT!N3438)</f>
        <v/>
      </c>
      <c r="G3443" cm="1">
        <f t="array" ref="G3443">IFERROR(VLOOKUP(INPUT!M3438&amp;INPUT!N3438,CHOOSE({1,2},INPUT!$A$3:$A$5000&amp;INPUT!$C$3:$C$5000,INPUT!$F$3:$F$5000),2,FALSE),"")</f>
        <v>0</v>
      </c>
      <c r="H3443" cm="1">
        <f t="array" ref="H3443">IFERROR(VLOOKUP(INPUT!M3438&amp;INPUT!N3438,CHOOSE({1,2},INPUT!$A$3:$A$5000&amp;INPUT!$C$3:$C$5000,INPUT!$D$3:$D$5000),2,FALSE),"")</f>
        <v>0</v>
      </c>
      <c r="I3443" s="46" t="str">
        <f>IF(INPUT!P3438="","",INPUT!P3438)</f>
        <v/>
      </c>
      <c r="J3443" s="46" t="str">
        <f>IF(INPUT!Q3438="","",INPUT!Q3438)</f>
        <v/>
      </c>
      <c r="K3443" s="46" t="str">
        <f>IFERROR(IF(OR(INPUT!P3438="",INPUT!Q3438=""),"",INPUT!P3438-INPUT!Q3438),"")</f>
        <v/>
      </c>
      <c r="L3443" s="48" t="str">
        <f>IFERROR(IF(OR(INPUT!P3438="",INPUT!Q3438="",INPUT!P3438=0),"",(INPUT!P3438-INPUT!Q3438)/INPUT!P3438),"")</f>
        <v/>
      </c>
    </row>
    <row r="3444" spans="1:12" ht="18" hidden="1" customHeight="1" x14ac:dyDescent="0.2">
      <c r="A3444" s="11" t="str">
        <f>IF(INPUT!M3439="","",INPUT!M3439)</f>
        <v/>
      </c>
      <c r="B3444" s="11" t="str">
        <f>IF(INPUT!M3439="","",INPUT!M3439-WEEKDAY(INPUT!M3439,2)+1)</f>
        <v/>
      </c>
      <c r="C3444" s="20">
        <f>IFERROR(_xlfn.ISOWEEKNUM(INPUT!M3439),"")</f>
        <v>52</v>
      </c>
      <c r="D3444" s="20">
        <f>IFERROR(YEAR(INPUT!M3439),"")</f>
        <v>1900</v>
      </c>
      <c r="E3444" t="str">
        <f>IF(INPUT!O3439="","",INPUT!O3439)</f>
        <v/>
      </c>
      <c r="F3444" t="str">
        <f>IF(INPUT!N3439="","",INPUT!N3439)</f>
        <v/>
      </c>
      <c r="G3444" cm="1">
        <f t="array" ref="G3444">IFERROR(VLOOKUP(INPUT!M3439&amp;INPUT!N3439,CHOOSE({1,2},INPUT!$A$3:$A$5000&amp;INPUT!$C$3:$C$5000,INPUT!$F$3:$F$5000),2,FALSE),"")</f>
        <v>0</v>
      </c>
      <c r="H3444" cm="1">
        <f t="array" ref="H3444">IFERROR(VLOOKUP(INPUT!M3439&amp;INPUT!N3439,CHOOSE({1,2},INPUT!$A$3:$A$5000&amp;INPUT!$C$3:$C$5000,INPUT!$D$3:$D$5000),2,FALSE),"")</f>
        <v>0</v>
      </c>
      <c r="I3444" s="46" t="str">
        <f>IF(INPUT!P3439="","",INPUT!P3439)</f>
        <v/>
      </c>
      <c r="J3444" s="46" t="str">
        <f>IF(INPUT!Q3439="","",INPUT!Q3439)</f>
        <v/>
      </c>
      <c r="K3444" s="46" t="str">
        <f>IFERROR(IF(OR(INPUT!P3439="",INPUT!Q3439=""),"",INPUT!P3439-INPUT!Q3439),"")</f>
        <v/>
      </c>
      <c r="L3444" s="48" t="str">
        <f>IFERROR(IF(OR(INPUT!P3439="",INPUT!Q3439="",INPUT!P3439=0),"",(INPUT!P3439-INPUT!Q3439)/INPUT!P3439),"")</f>
        <v/>
      </c>
    </row>
    <row r="3445" spans="1:12" ht="18" hidden="1" customHeight="1" x14ac:dyDescent="0.2">
      <c r="A3445" s="11" t="str">
        <f>IF(INPUT!M3440="","",INPUT!M3440)</f>
        <v/>
      </c>
      <c r="B3445" s="11" t="str">
        <f>IF(INPUT!M3440="","",INPUT!M3440-WEEKDAY(INPUT!M3440,2)+1)</f>
        <v/>
      </c>
      <c r="C3445" s="20">
        <f>IFERROR(_xlfn.ISOWEEKNUM(INPUT!M3440),"")</f>
        <v>52</v>
      </c>
      <c r="D3445" s="20">
        <f>IFERROR(YEAR(INPUT!M3440),"")</f>
        <v>1900</v>
      </c>
      <c r="E3445" t="str">
        <f>IF(INPUT!O3440="","",INPUT!O3440)</f>
        <v/>
      </c>
      <c r="F3445" t="str">
        <f>IF(INPUT!N3440="","",INPUT!N3440)</f>
        <v/>
      </c>
      <c r="G3445" cm="1">
        <f t="array" ref="G3445">IFERROR(VLOOKUP(INPUT!M3440&amp;INPUT!N3440,CHOOSE({1,2},INPUT!$A$3:$A$5000&amp;INPUT!$C$3:$C$5000,INPUT!$F$3:$F$5000),2,FALSE),"")</f>
        <v>0</v>
      </c>
      <c r="H3445" cm="1">
        <f t="array" ref="H3445">IFERROR(VLOOKUP(INPUT!M3440&amp;INPUT!N3440,CHOOSE({1,2},INPUT!$A$3:$A$5000&amp;INPUT!$C$3:$C$5000,INPUT!$D$3:$D$5000),2,FALSE),"")</f>
        <v>0</v>
      </c>
      <c r="I3445" s="46" t="str">
        <f>IF(INPUT!P3440="","",INPUT!P3440)</f>
        <v/>
      </c>
      <c r="J3445" s="46" t="str">
        <f>IF(INPUT!Q3440="","",INPUT!Q3440)</f>
        <v/>
      </c>
      <c r="K3445" s="46" t="str">
        <f>IFERROR(IF(OR(INPUT!P3440="",INPUT!Q3440=""),"",INPUT!P3440-INPUT!Q3440),"")</f>
        <v/>
      </c>
      <c r="L3445" s="48" t="str">
        <f>IFERROR(IF(OR(INPUT!P3440="",INPUT!Q3440="",INPUT!P3440=0),"",(INPUT!P3440-INPUT!Q3440)/INPUT!P3440),"")</f>
        <v/>
      </c>
    </row>
    <row r="3446" spans="1:12" ht="18" hidden="1" customHeight="1" x14ac:dyDescent="0.2">
      <c r="A3446" s="11" t="str">
        <f>IF(INPUT!M3441="","",INPUT!M3441)</f>
        <v/>
      </c>
      <c r="B3446" s="11" t="str">
        <f>IF(INPUT!M3441="","",INPUT!M3441-WEEKDAY(INPUT!M3441,2)+1)</f>
        <v/>
      </c>
      <c r="C3446" s="20">
        <f>IFERROR(_xlfn.ISOWEEKNUM(INPUT!M3441),"")</f>
        <v>52</v>
      </c>
      <c r="D3446" s="20">
        <f>IFERROR(YEAR(INPUT!M3441),"")</f>
        <v>1900</v>
      </c>
      <c r="E3446" t="str">
        <f>IF(INPUT!O3441="","",INPUT!O3441)</f>
        <v/>
      </c>
      <c r="F3446" t="str">
        <f>IF(INPUT!N3441="","",INPUT!N3441)</f>
        <v/>
      </c>
      <c r="G3446" cm="1">
        <f t="array" ref="G3446">IFERROR(VLOOKUP(INPUT!M3441&amp;INPUT!N3441,CHOOSE({1,2},INPUT!$A$3:$A$5000&amp;INPUT!$C$3:$C$5000,INPUT!$F$3:$F$5000),2,FALSE),"")</f>
        <v>0</v>
      </c>
      <c r="H3446" cm="1">
        <f t="array" ref="H3446">IFERROR(VLOOKUP(INPUT!M3441&amp;INPUT!N3441,CHOOSE({1,2},INPUT!$A$3:$A$5000&amp;INPUT!$C$3:$C$5000,INPUT!$D$3:$D$5000),2,FALSE),"")</f>
        <v>0</v>
      </c>
      <c r="I3446" s="46" t="str">
        <f>IF(INPUT!P3441="","",INPUT!P3441)</f>
        <v/>
      </c>
      <c r="J3446" s="46" t="str">
        <f>IF(INPUT!Q3441="","",INPUT!Q3441)</f>
        <v/>
      </c>
      <c r="K3446" s="46" t="str">
        <f>IFERROR(IF(OR(INPUT!P3441="",INPUT!Q3441=""),"",INPUT!P3441-INPUT!Q3441),"")</f>
        <v/>
      </c>
      <c r="L3446" s="48" t="str">
        <f>IFERROR(IF(OR(INPUT!P3441="",INPUT!Q3441="",INPUT!P3441=0),"",(INPUT!P3441-INPUT!Q3441)/INPUT!P3441),"")</f>
        <v/>
      </c>
    </row>
    <row r="3447" spans="1:12" ht="18" hidden="1" customHeight="1" x14ac:dyDescent="0.2">
      <c r="A3447" s="11" t="str">
        <f>IF(INPUT!M3442="","",INPUT!M3442)</f>
        <v/>
      </c>
      <c r="B3447" s="11" t="str">
        <f>IF(INPUT!M3442="","",INPUT!M3442-WEEKDAY(INPUT!M3442,2)+1)</f>
        <v/>
      </c>
      <c r="C3447" s="20">
        <f>IFERROR(_xlfn.ISOWEEKNUM(INPUT!M3442),"")</f>
        <v>52</v>
      </c>
      <c r="D3447" s="20">
        <f>IFERROR(YEAR(INPUT!M3442),"")</f>
        <v>1900</v>
      </c>
      <c r="E3447" t="str">
        <f>IF(INPUT!O3442="","",INPUT!O3442)</f>
        <v/>
      </c>
      <c r="F3447" t="str">
        <f>IF(INPUT!N3442="","",INPUT!N3442)</f>
        <v/>
      </c>
      <c r="G3447" cm="1">
        <f t="array" ref="G3447">IFERROR(VLOOKUP(INPUT!M3442&amp;INPUT!N3442,CHOOSE({1,2},INPUT!$A$3:$A$5000&amp;INPUT!$C$3:$C$5000,INPUT!$F$3:$F$5000),2,FALSE),"")</f>
        <v>0</v>
      </c>
      <c r="H3447" cm="1">
        <f t="array" ref="H3447">IFERROR(VLOOKUP(INPUT!M3442&amp;INPUT!N3442,CHOOSE({1,2},INPUT!$A$3:$A$5000&amp;INPUT!$C$3:$C$5000,INPUT!$D$3:$D$5000),2,FALSE),"")</f>
        <v>0</v>
      </c>
      <c r="I3447" s="46" t="str">
        <f>IF(INPUT!P3442="","",INPUT!P3442)</f>
        <v/>
      </c>
      <c r="J3447" s="46" t="str">
        <f>IF(INPUT!Q3442="","",INPUT!Q3442)</f>
        <v/>
      </c>
      <c r="K3447" s="46" t="str">
        <f>IFERROR(IF(OR(INPUT!P3442="",INPUT!Q3442=""),"",INPUT!P3442-INPUT!Q3442),"")</f>
        <v/>
      </c>
      <c r="L3447" s="48" t="str">
        <f>IFERROR(IF(OR(INPUT!P3442="",INPUT!Q3442="",INPUT!P3442=0),"",(INPUT!P3442-INPUT!Q3442)/INPUT!P3442),"")</f>
        <v/>
      </c>
    </row>
    <row r="3448" spans="1:12" ht="18" hidden="1" customHeight="1" x14ac:dyDescent="0.2">
      <c r="A3448" s="11" t="str">
        <f>IF(INPUT!M3443="","",INPUT!M3443)</f>
        <v/>
      </c>
      <c r="B3448" s="11" t="str">
        <f>IF(INPUT!M3443="","",INPUT!M3443-WEEKDAY(INPUT!M3443,2)+1)</f>
        <v/>
      </c>
      <c r="C3448" s="20">
        <f>IFERROR(_xlfn.ISOWEEKNUM(INPUT!M3443),"")</f>
        <v>52</v>
      </c>
      <c r="D3448" s="20">
        <f>IFERROR(YEAR(INPUT!M3443),"")</f>
        <v>1900</v>
      </c>
      <c r="E3448" t="str">
        <f>IF(INPUT!O3443="","",INPUT!O3443)</f>
        <v/>
      </c>
      <c r="F3448" t="str">
        <f>IF(INPUT!N3443="","",INPUT!N3443)</f>
        <v/>
      </c>
      <c r="G3448" cm="1">
        <f t="array" ref="G3448">IFERROR(VLOOKUP(INPUT!M3443&amp;INPUT!N3443,CHOOSE({1,2},INPUT!$A$3:$A$5000&amp;INPUT!$C$3:$C$5000,INPUT!$F$3:$F$5000),2,FALSE),"")</f>
        <v>0</v>
      </c>
      <c r="H3448" cm="1">
        <f t="array" ref="H3448">IFERROR(VLOOKUP(INPUT!M3443&amp;INPUT!N3443,CHOOSE({1,2},INPUT!$A$3:$A$5000&amp;INPUT!$C$3:$C$5000,INPUT!$D$3:$D$5000),2,FALSE),"")</f>
        <v>0</v>
      </c>
      <c r="I3448" s="46" t="str">
        <f>IF(INPUT!P3443="","",INPUT!P3443)</f>
        <v/>
      </c>
      <c r="J3448" s="46" t="str">
        <f>IF(INPUT!Q3443="","",INPUT!Q3443)</f>
        <v/>
      </c>
      <c r="K3448" s="46" t="str">
        <f>IFERROR(IF(OR(INPUT!P3443="",INPUT!Q3443=""),"",INPUT!P3443-INPUT!Q3443),"")</f>
        <v/>
      </c>
      <c r="L3448" s="48" t="str">
        <f>IFERROR(IF(OR(INPUT!P3443="",INPUT!Q3443="",INPUT!P3443=0),"",(INPUT!P3443-INPUT!Q3443)/INPUT!P3443),"")</f>
        <v/>
      </c>
    </row>
    <row r="3449" spans="1:12" ht="18" hidden="1" customHeight="1" x14ac:dyDescent="0.2">
      <c r="A3449" s="11" t="str">
        <f>IF(INPUT!M3444="","",INPUT!M3444)</f>
        <v/>
      </c>
      <c r="B3449" s="11" t="str">
        <f>IF(INPUT!M3444="","",INPUT!M3444-WEEKDAY(INPUT!M3444,2)+1)</f>
        <v/>
      </c>
      <c r="C3449" s="20">
        <f>IFERROR(_xlfn.ISOWEEKNUM(INPUT!M3444),"")</f>
        <v>52</v>
      </c>
      <c r="D3449" s="20">
        <f>IFERROR(YEAR(INPUT!M3444),"")</f>
        <v>1900</v>
      </c>
      <c r="E3449" t="str">
        <f>IF(INPUT!O3444="","",INPUT!O3444)</f>
        <v/>
      </c>
      <c r="F3449" t="str">
        <f>IF(INPUT!N3444="","",INPUT!N3444)</f>
        <v/>
      </c>
      <c r="G3449" cm="1">
        <f t="array" ref="G3449">IFERROR(VLOOKUP(INPUT!M3444&amp;INPUT!N3444,CHOOSE({1,2},INPUT!$A$3:$A$5000&amp;INPUT!$C$3:$C$5000,INPUT!$F$3:$F$5000),2,FALSE),"")</f>
        <v>0</v>
      </c>
      <c r="H3449" cm="1">
        <f t="array" ref="H3449">IFERROR(VLOOKUP(INPUT!M3444&amp;INPUT!N3444,CHOOSE({1,2},INPUT!$A$3:$A$5000&amp;INPUT!$C$3:$C$5000,INPUT!$D$3:$D$5000),2,FALSE),"")</f>
        <v>0</v>
      </c>
      <c r="I3449" s="46" t="str">
        <f>IF(INPUT!P3444="","",INPUT!P3444)</f>
        <v/>
      </c>
      <c r="J3449" s="46" t="str">
        <f>IF(INPUT!Q3444="","",INPUT!Q3444)</f>
        <v/>
      </c>
      <c r="K3449" s="46" t="str">
        <f>IFERROR(IF(OR(INPUT!P3444="",INPUT!Q3444=""),"",INPUT!P3444-INPUT!Q3444),"")</f>
        <v/>
      </c>
      <c r="L3449" s="48" t="str">
        <f>IFERROR(IF(OR(INPUT!P3444="",INPUT!Q3444="",INPUT!P3444=0),"",(INPUT!P3444-INPUT!Q3444)/INPUT!P3444),"")</f>
        <v/>
      </c>
    </row>
    <row r="3450" spans="1:12" ht="18" hidden="1" customHeight="1" x14ac:dyDescent="0.2">
      <c r="A3450" s="11" t="str">
        <f>IF(INPUT!M3445="","",INPUT!M3445)</f>
        <v/>
      </c>
      <c r="B3450" s="11" t="str">
        <f>IF(INPUT!M3445="","",INPUT!M3445-WEEKDAY(INPUT!M3445,2)+1)</f>
        <v/>
      </c>
      <c r="C3450" s="20">
        <f>IFERROR(_xlfn.ISOWEEKNUM(INPUT!M3445),"")</f>
        <v>52</v>
      </c>
      <c r="D3450" s="20">
        <f>IFERROR(YEAR(INPUT!M3445),"")</f>
        <v>1900</v>
      </c>
      <c r="E3450" t="str">
        <f>IF(INPUT!O3445="","",INPUT!O3445)</f>
        <v/>
      </c>
      <c r="F3450" t="str">
        <f>IF(INPUT!N3445="","",INPUT!N3445)</f>
        <v/>
      </c>
      <c r="G3450" cm="1">
        <f t="array" ref="G3450">IFERROR(VLOOKUP(INPUT!M3445&amp;INPUT!N3445,CHOOSE({1,2},INPUT!$A$3:$A$5000&amp;INPUT!$C$3:$C$5000,INPUT!$F$3:$F$5000),2,FALSE),"")</f>
        <v>0</v>
      </c>
      <c r="H3450" cm="1">
        <f t="array" ref="H3450">IFERROR(VLOOKUP(INPUT!M3445&amp;INPUT!N3445,CHOOSE({1,2},INPUT!$A$3:$A$5000&amp;INPUT!$C$3:$C$5000,INPUT!$D$3:$D$5000),2,FALSE),"")</f>
        <v>0</v>
      </c>
      <c r="I3450" s="46" t="str">
        <f>IF(INPUT!P3445="","",INPUT!P3445)</f>
        <v/>
      </c>
      <c r="J3450" s="46" t="str">
        <f>IF(INPUT!Q3445="","",INPUT!Q3445)</f>
        <v/>
      </c>
      <c r="K3450" s="46" t="str">
        <f>IFERROR(IF(OR(INPUT!P3445="",INPUT!Q3445=""),"",INPUT!P3445-INPUT!Q3445),"")</f>
        <v/>
      </c>
      <c r="L3450" s="48" t="str">
        <f>IFERROR(IF(OR(INPUT!P3445="",INPUT!Q3445="",INPUT!P3445=0),"",(INPUT!P3445-INPUT!Q3445)/INPUT!P3445),"")</f>
        <v/>
      </c>
    </row>
    <row r="3451" spans="1:12" ht="18" hidden="1" customHeight="1" x14ac:dyDescent="0.2">
      <c r="A3451" s="11" t="str">
        <f>IF(INPUT!M3446="","",INPUT!M3446)</f>
        <v/>
      </c>
      <c r="B3451" s="11" t="str">
        <f>IF(INPUT!M3446="","",INPUT!M3446-WEEKDAY(INPUT!M3446,2)+1)</f>
        <v/>
      </c>
      <c r="C3451" s="20">
        <f>IFERROR(_xlfn.ISOWEEKNUM(INPUT!M3446),"")</f>
        <v>52</v>
      </c>
      <c r="D3451" s="20">
        <f>IFERROR(YEAR(INPUT!M3446),"")</f>
        <v>1900</v>
      </c>
      <c r="E3451" t="str">
        <f>IF(INPUT!O3446="","",INPUT!O3446)</f>
        <v/>
      </c>
      <c r="F3451" t="str">
        <f>IF(INPUT!N3446="","",INPUT!N3446)</f>
        <v/>
      </c>
      <c r="G3451" cm="1">
        <f t="array" ref="G3451">IFERROR(VLOOKUP(INPUT!M3446&amp;INPUT!N3446,CHOOSE({1,2},INPUT!$A$3:$A$5000&amp;INPUT!$C$3:$C$5000,INPUT!$F$3:$F$5000),2,FALSE),"")</f>
        <v>0</v>
      </c>
      <c r="H3451" cm="1">
        <f t="array" ref="H3451">IFERROR(VLOOKUP(INPUT!M3446&amp;INPUT!N3446,CHOOSE({1,2},INPUT!$A$3:$A$5000&amp;INPUT!$C$3:$C$5000,INPUT!$D$3:$D$5000),2,FALSE),"")</f>
        <v>0</v>
      </c>
      <c r="I3451" s="46" t="str">
        <f>IF(INPUT!P3446="","",INPUT!P3446)</f>
        <v/>
      </c>
      <c r="J3451" s="46" t="str">
        <f>IF(INPUT!Q3446="","",INPUT!Q3446)</f>
        <v/>
      </c>
      <c r="K3451" s="46" t="str">
        <f>IFERROR(IF(OR(INPUT!P3446="",INPUT!Q3446=""),"",INPUT!P3446-INPUT!Q3446),"")</f>
        <v/>
      </c>
      <c r="L3451" s="48" t="str">
        <f>IFERROR(IF(OR(INPUT!P3446="",INPUT!Q3446="",INPUT!P3446=0),"",(INPUT!P3446-INPUT!Q3446)/INPUT!P3446),"")</f>
        <v/>
      </c>
    </row>
    <row r="3452" spans="1:12" ht="18" hidden="1" customHeight="1" x14ac:dyDescent="0.2">
      <c r="A3452" s="11" t="str">
        <f>IF(INPUT!M3447="","",INPUT!M3447)</f>
        <v/>
      </c>
      <c r="B3452" s="11" t="str">
        <f>IF(INPUT!M3447="","",INPUT!M3447-WEEKDAY(INPUT!M3447,2)+1)</f>
        <v/>
      </c>
      <c r="C3452" s="20">
        <f>IFERROR(_xlfn.ISOWEEKNUM(INPUT!M3447),"")</f>
        <v>52</v>
      </c>
      <c r="D3452" s="20">
        <f>IFERROR(YEAR(INPUT!M3447),"")</f>
        <v>1900</v>
      </c>
      <c r="E3452" t="str">
        <f>IF(INPUT!O3447="","",INPUT!O3447)</f>
        <v/>
      </c>
      <c r="F3452" t="str">
        <f>IF(INPUT!N3447="","",INPUT!N3447)</f>
        <v/>
      </c>
      <c r="G3452" cm="1">
        <f t="array" ref="G3452">IFERROR(VLOOKUP(INPUT!M3447&amp;INPUT!N3447,CHOOSE({1,2},INPUT!$A$3:$A$5000&amp;INPUT!$C$3:$C$5000,INPUT!$F$3:$F$5000),2,FALSE),"")</f>
        <v>0</v>
      </c>
      <c r="H3452" cm="1">
        <f t="array" ref="H3452">IFERROR(VLOOKUP(INPUT!M3447&amp;INPUT!N3447,CHOOSE({1,2},INPUT!$A$3:$A$5000&amp;INPUT!$C$3:$C$5000,INPUT!$D$3:$D$5000),2,FALSE),"")</f>
        <v>0</v>
      </c>
      <c r="I3452" s="46" t="str">
        <f>IF(INPUT!P3447="","",INPUT!P3447)</f>
        <v/>
      </c>
      <c r="J3452" s="46" t="str">
        <f>IF(INPUT!Q3447="","",INPUT!Q3447)</f>
        <v/>
      </c>
      <c r="K3452" s="46" t="str">
        <f>IFERROR(IF(OR(INPUT!P3447="",INPUT!Q3447=""),"",INPUT!P3447-INPUT!Q3447),"")</f>
        <v/>
      </c>
      <c r="L3452" s="48" t="str">
        <f>IFERROR(IF(OR(INPUT!P3447="",INPUT!Q3447="",INPUT!P3447=0),"",(INPUT!P3447-INPUT!Q3447)/INPUT!P3447),"")</f>
        <v/>
      </c>
    </row>
    <row r="3453" spans="1:12" ht="18" hidden="1" customHeight="1" x14ac:dyDescent="0.2">
      <c r="A3453" s="11" t="str">
        <f>IF(INPUT!M3448="","",INPUT!M3448)</f>
        <v/>
      </c>
      <c r="B3453" s="11" t="str">
        <f>IF(INPUT!M3448="","",INPUT!M3448-WEEKDAY(INPUT!M3448,2)+1)</f>
        <v/>
      </c>
      <c r="C3453" s="20">
        <f>IFERROR(_xlfn.ISOWEEKNUM(INPUT!M3448),"")</f>
        <v>52</v>
      </c>
      <c r="D3453" s="20">
        <f>IFERROR(YEAR(INPUT!M3448),"")</f>
        <v>1900</v>
      </c>
      <c r="E3453" t="str">
        <f>IF(INPUT!O3448="","",INPUT!O3448)</f>
        <v/>
      </c>
      <c r="F3453" t="str">
        <f>IF(INPUT!N3448="","",INPUT!N3448)</f>
        <v/>
      </c>
      <c r="G3453" cm="1">
        <f t="array" ref="G3453">IFERROR(VLOOKUP(INPUT!M3448&amp;INPUT!N3448,CHOOSE({1,2},INPUT!$A$3:$A$5000&amp;INPUT!$C$3:$C$5000,INPUT!$F$3:$F$5000),2,FALSE),"")</f>
        <v>0</v>
      </c>
      <c r="H3453" cm="1">
        <f t="array" ref="H3453">IFERROR(VLOOKUP(INPUT!M3448&amp;INPUT!N3448,CHOOSE({1,2},INPUT!$A$3:$A$5000&amp;INPUT!$C$3:$C$5000,INPUT!$D$3:$D$5000),2,FALSE),"")</f>
        <v>0</v>
      </c>
      <c r="I3453" s="46" t="str">
        <f>IF(INPUT!P3448="","",INPUT!P3448)</f>
        <v/>
      </c>
      <c r="J3453" s="46" t="str">
        <f>IF(INPUT!Q3448="","",INPUT!Q3448)</f>
        <v/>
      </c>
      <c r="K3453" s="46" t="str">
        <f>IFERROR(IF(OR(INPUT!P3448="",INPUT!Q3448=""),"",INPUT!P3448-INPUT!Q3448),"")</f>
        <v/>
      </c>
      <c r="L3453" s="48" t="str">
        <f>IFERROR(IF(OR(INPUT!P3448="",INPUT!Q3448="",INPUT!P3448=0),"",(INPUT!P3448-INPUT!Q3448)/INPUT!P3448),"")</f>
        <v/>
      </c>
    </row>
    <row r="3454" spans="1:12" ht="18" hidden="1" customHeight="1" x14ac:dyDescent="0.2">
      <c r="A3454" s="11" t="str">
        <f>IF(INPUT!M3449="","",INPUT!M3449)</f>
        <v/>
      </c>
      <c r="B3454" s="11" t="str">
        <f>IF(INPUT!M3449="","",INPUT!M3449-WEEKDAY(INPUT!M3449,2)+1)</f>
        <v/>
      </c>
      <c r="C3454" s="20">
        <f>IFERROR(_xlfn.ISOWEEKNUM(INPUT!M3449),"")</f>
        <v>52</v>
      </c>
      <c r="D3454" s="20">
        <f>IFERROR(YEAR(INPUT!M3449),"")</f>
        <v>1900</v>
      </c>
      <c r="E3454" t="str">
        <f>IF(INPUT!O3449="","",INPUT!O3449)</f>
        <v/>
      </c>
      <c r="F3454" t="str">
        <f>IF(INPUT!N3449="","",INPUT!N3449)</f>
        <v/>
      </c>
      <c r="G3454" cm="1">
        <f t="array" ref="G3454">IFERROR(VLOOKUP(INPUT!M3449&amp;INPUT!N3449,CHOOSE({1,2},INPUT!$A$3:$A$5000&amp;INPUT!$C$3:$C$5000,INPUT!$F$3:$F$5000),2,FALSE),"")</f>
        <v>0</v>
      </c>
      <c r="H3454" cm="1">
        <f t="array" ref="H3454">IFERROR(VLOOKUP(INPUT!M3449&amp;INPUT!N3449,CHOOSE({1,2},INPUT!$A$3:$A$5000&amp;INPUT!$C$3:$C$5000,INPUT!$D$3:$D$5000),2,FALSE),"")</f>
        <v>0</v>
      </c>
      <c r="I3454" s="46" t="str">
        <f>IF(INPUT!P3449="","",INPUT!P3449)</f>
        <v/>
      </c>
      <c r="J3454" s="46" t="str">
        <f>IF(INPUT!Q3449="","",INPUT!Q3449)</f>
        <v/>
      </c>
      <c r="K3454" s="46" t="str">
        <f>IFERROR(IF(OR(INPUT!P3449="",INPUT!Q3449=""),"",INPUT!P3449-INPUT!Q3449),"")</f>
        <v/>
      </c>
      <c r="L3454" s="48" t="str">
        <f>IFERROR(IF(OR(INPUT!P3449="",INPUT!Q3449="",INPUT!P3449=0),"",(INPUT!P3449-INPUT!Q3449)/INPUT!P3449),"")</f>
        <v/>
      </c>
    </row>
    <row r="3455" spans="1:12" ht="18" hidden="1" customHeight="1" x14ac:dyDescent="0.2">
      <c r="A3455" s="11" t="str">
        <f>IF(INPUT!M3450="","",INPUT!M3450)</f>
        <v/>
      </c>
      <c r="B3455" s="11" t="str">
        <f>IF(INPUT!M3450="","",INPUT!M3450-WEEKDAY(INPUT!M3450,2)+1)</f>
        <v/>
      </c>
      <c r="C3455" s="20">
        <f>IFERROR(_xlfn.ISOWEEKNUM(INPUT!M3450),"")</f>
        <v>52</v>
      </c>
      <c r="D3455" s="20">
        <f>IFERROR(YEAR(INPUT!M3450),"")</f>
        <v>1900</v>
      </c>
      <c r="E3455" t="str">
        <f>IF(INPUT!O3450="","",INPUT!O3450)</f>
        <v/>
      </c>
      <c r="F3455" t="str">
        <f>IF(INPUT!N3450="","",INPUT!N3450)</f>
        <v/>
      </c>
      <c r="G3455" cm="1">
        <f t="array" ref="G3455">IFERROR(VLOOKUP(INPUT!M3450&amp;INPUT!N3450,CHOOSE({1,2},INPUT!$A$3:$A$5000&amp;INPUT!$C$3:$C$5000,INPUT!$F$3:$F$5000),2,FALSE),"")</f>
        <v>0</v>
      </c>
      <c r="H3455" cm="1">
        <f t="array" ref="H3455">IFERROR(VLOOKUP(INPUT!M3450&amp;INPUT!N3450,CHOOSE({1,2},INPUT!$A$3:$A$5000&amp;INPUT!$C$3:$C$5000,INPUT!$D$3:$D$5000),2,FALSE),"")</f>
        <v>0</v>
      </c>
      <c r="I3455" s="46" t="str">
        <f>IF(INPUT!P3450="","",INPUT!P3450)</f>
        <v/>
      </c>
      <c r="J3455" s="46" t="str">
        <f>IF(INPUT!Q3450="","",INPUT!Q3450)</f>
        <v/>
      </c>
      <c r="K3455" s="46" t="str">
        <f>IFERROR(IF(OR(INPUT!P3450="",INPUT!Q3450=""),"",INPUT!P3450-INPUT!Q3450),"")</f>
        <v/>
      </c>
      <c r="L3455" s="48" t="str">
        <f>IFERROR(IF(OR(INPUT!P3450="",INPUT!Q3450="",INPUT!P3450=0),"",(INPUT!P3450-INPUT!Q3450)/INPUT!P3450),"")</f>
        <v/>
      </c>
    </row>
    <row r="3456" spans="1:12" ht="18" hidden="1" customHeight="1" x14ac:dyDescent="0.2">
      <c r="A3456" s="11" t="str">
        <f>IF(INPUT!M3451="","",INPUT!M3451)</f>
        <v/>
      </c>
      <c r="B3456" s="11" t="str">
        <f>IF(INPUT!M3451="","",INPUT!M3451-WEEKDAY(INPUT!M3451,2)+1)</f>
        <v/>
      </c>
      <c r="C3456" s="20">
        <f>IFERROR(_xlfn.ISOWEEKNUM(INPUT!M3451),"")</f>
        <v>52</v>
      </c>
      <c r="D3456" s="20">
        <f>IFERROR(YEAR(INPUT!M3451),"")</f>
        <v>1900</v>
      </c>
      <c r="E3456" t="str">
        <f>IF(INPUT!O3451="","",INPUT!O3451)</f>
        <v/>
      </c>
      <c r="F3456" t="str">
        <f>IF(INPUT!N3451="","",INPUT!N3451)</f>
        <v/>
      </c>
      <c r="G3456" cm="1">
        <f t="array" ref="G3456">IFERROR(VLOOKUP(INPUT!M3451&amp;INPUT!N3451,CHOOSE({1,2},INPUT!$A$3:$A$5000&amp;INPUT!$C$3:$C$5000,INPUT!$F$3:$F$5000),2,FALSE),"")</f>
        <v>0</v>
      </c>
      <c r="H3456" cm="1">
        <f t="array" ref="H3456">IFERROR(VLOOKUP(INPUT!M3451&amp;INPUT!N3451,CHOOSE({1,2},INPUT!$A$3:$A$5000&amp;INPUT!$C$3:$C$5000,INPUT!$D$3:$D$5000),2,FALSE),"")</f>
        <v>0</v>
      </c>
      <c r="I3456" s="46" t="str">
        <f>IF(INPUT!P3451="","",INPUT!P3451)</f>
        <v/>
      </c>
      <c r="J3456" s="46" t="str">
        <f>IF(INPUT!Q3451="","",INPUT!Q3451)</f>
        <v/>
      </c>
      <c r="K3456" s="46" t="str">
        <f>IFERROR(IF(OR(INPUT!P3451="",INPUT!Q3451=""),"",INPUT!P3451-INPUT!Q3451),"")</f>
        <v/>
      </c>
      <c r="L3456" s="48" t="str">
        <f>IFERROR(IF(OR(INPUT!P3451="",INPUT!Q3451="",INPUT!P3451=0),"",(INPUT!P3451-INPUT!Q3451)/INPUT!P3451),"")</f>
        <v/>
      </c>
    </row>
    <row r="3457" spans="1:12" ht="18" hidden="1" customHeight="1" x14ac:dyDescent="0.2">
      <c r="A3457" s="11" t="str">
        <f>IF(INPUT!M3452="","",INPUT!M3452)</f>
        <v/>
      </c>
      <c r="B3457" s="11" t="str">
        <f>IF(INPUT!M3452="","",INPUT!M3452-WEEKDAY(INPUT!M3452,2)+1)</f>
        <v/>
      </c>
      <c r="C3457" s="20">
        <f>IFERROR(_xlfn.ISOWEEKNUM(INPUT!M3452),"")</f>
        <v>52</v>
      </c>
      <c r="D3457" s="20">
        <f>IFERROR(YEAR(INPUT!M3452),"")</f>
        <v>1900</v>
      </c>
      <c r="E3457" t="str">
        <f>IF(INPUT!O3452="","",INPUT!O3452)</f>
        <v/>
      </c>
      <c r="F3457" t="str">
        <f>IF(INPUT!N3452="","",INPUT!N3452)</f>
        <v/>
      </c>
      <c r="G3457" cm="1">
        <f t="array" ref="G3457">IFERROR(VLOOKUP(INPUT!M3452&amp;INPUT!N3452,CHOOSE({1,2},INPUT!$A$3:$A$5000&amp;INPUT!$C$3:$C$5000,INPUT!$F$3:$F$5000),2,FALSE),"")</f>
        <v>0</v>
      </c>
      <c r="H3457" cm="1">
        <f t="array" ref="H3457">IFERROR(VLOOKUP(INPUT!M3452&amp;INPUT!N3452,CHOOSE({1,2},INPUT!$A$3:$A$5000&amp;INPUT!$C$3:$C$5000,INPUT!$D$3:$D$5000),2,FALSE),"")</f>
        <v>0</v>
      </c>
      <c r="I3457" s="46" t="str">
        <f>IF(INPUT!P3452="","",INPUT!P3452)</f>
        <v/>
      </c>
      <c r="J3457" s="46" t="str">
        <f>IF(INPUT!Q3452="","",INPUT!Q3452)</f>
        <v/>
      </c>
      <c r="K3457" s="46" t="str">
        <f>IFERROR(IF(OR(INPUT!P3452="",INPUT!Q3452=""),"",INPUT!P3452-INPUT!Q3452),"")</f>
        <v/>
      </c>
      <c r="L3457" s="48" t="str">
        <f>IFERROR(IF(OR(INPUT!P3452="",INPUT!Q3452="",INPUT!P3452=0),"",(INPUT!P3452-INPUT!Q3452)/INPUT!P3452),"")</f>
        <v/>
      </c>
    </row>
    <row r="3458" spans="1:12" ht="18" hidden="1" customHeight="1" x14ac:dyDescent="0.2">
      <c r="A3458" s="11" t="str">
        <f>IF(INPUT!M3453="","",INPUT!M3453)</f>
        <v/>
      </c>
      <c r="B3458" s="11" t="str">
        <f>IF(INPUT!M3453="","",INPUT!M3453-WEEKDAY(INPUT!M3453,2)+1)</f>
        <v/>
      </c>
      <c r="C3458" s="20">
        <f>IFERROR(_xlfn.ISOWEEKNUM(INPUT!M3453),"")</f>
        <v>52</v>
      </c>
      <c r="D3458" s="20">
        <f>IFERROR(YEAR(INPUT!M3453),"")</f>
        <v>1900</v>
      </c>
      <c r="E3458" t="str">
        <f>IF(INPUT!O3453="","",INPUT!O3453)</f>
        <v/>
      </c>
      <c r="F3458" t="str">
        <f>IF(INPUT!N3453="","",INPUT!N3453)</f>
        <v/>
      </c>
      <c r="G3458" cm="1">
        <f t="array" ref="G3458">IFERROR(VLOOKUP(INPUT!M3453&amp;INPUT!N3453,CHOOSE({1,2},INPUT!$A$3:$A$5000&amp;INPUT!$C$3:$C$5000,INPUT!$F$3:$F$5000),2,FALSE),"")</f>
        <v>0</v>
      </c>
      <c r="H3458" cm="1">
        <f t="array" ref="H3458">IFERROR(VLOOKUP(INPUT!M3453&amp;INPUT!N3453,CHOOSE({1,2},INPUT!$A$3:$A$5000&amp;INPUT!$C$3:$C$5000,INPUT!$D$3:$D$5000),2,FALSE),"")</f>
        <v>0</v>
      </c>
      <c r="I3458" s="46" t="str">
        <f>IF(INPUT!P3453="","",INPUT!P3453)</f>
        <v/>
      </c>
      <c r="J3458" s="46" t="str">
        <f>IF(INPUT!Q3453="","",INPUT!Q3453)</f>
        <v/>
      </c>
      <c r="K3458" s="46" t="str">
        <f>IFERROR(IF(OR(INPUT!P3453="",INPUT!Q3453=""),"",INPUT!P3453-INPUT!Q3453),"")</f>
        <v/>
      </c>
      <c r="L3458" s="48" t="str">
        <f>IFERROR(IF(OR(INPUT!P3453="",INPUT!Q3453="",INPUT!P3453=0),"",(INPUT!P3453-INPUT!Q3453)/INPUT!P3453),"")</f>
        <v/>
      </c>
    </row>
    <row r="3459" spans="1:12" ht="18" hidden="1" customHeight="1" x14ac:dyDescent="0.2">
      <c r="A3459" s="11" t="str">
        <f>IF(INPUT!M3454="","",INPUT!M3454)</f>
        <v/>
      </c>
      <c r="B3459" s="11" t="str">
        <f>IF(INPUT!M3454="","",INPUT!M3454-WEEKDAY(INPUT!M3454,2)+1)</f>
        <v/>
      </c>
      <c r="C3459" s="20">
        <f>IFERROR(_xlfn.ISOWEEKNUM(INPUT!M3454),"")</f>
        <v>52</v>
      </c>
      <c r="D3459" s="20">
        <f>IFERROR(YEAR(INPUT!M3454),"")</f>
        <v>1900</v>
      </c>
      <c r="E3459" t="str">
        <f>IF(INPUT!O3454="","",INPUT!O3454)</f>
        <v/>
      </c>
      <c r="F3459" t="str">
        <f>IF(INPUT!N3454="","",INPUT!N3454)</f>
        <v/>
      </c>
      <c r="G3459" cm="1">
        <f t="array" ref="G3459">IFERROR(VLOOKUP(INPUT!M3454&amp;INPUT!N3454,CHOOSE({1,2},INPUT!$A$3:$A$5000&amp;INPUT!$C$3:$C$5000,INPUT!$F$3:$F$5000),2,FALSE),"")</f>
        <v>0</v>
      </c>
      <c r="H3459" cm="1">
        <f t="array" ref="H3459">IFERROR(VLOOKUP(INPUT!M3454&amp;INPUT!N3454,CHOOSE({1,2},INPUT!$A$3:$A$5000&amp;INPUT!$C$3:$C$5000,INPUT!$D$3:$D$5000),2,FALSE),"")</f>
        <v>0</v>
      </c>
      <c r="I3459" s="46" t="str">
        <f>IF(INPUT!P3454="","",INPUT!P3454)</f>
        <v/>
      </c>
      <c r="J3459" s="46" t="str">
        <f>IF(INPUT!Q3454="","",INPUT!Q3454)</f>
        <v/>
      </c>
      <c r="K3459" s="46" t="str">
        <f>IFERROR(IF(OR(INPUT!P3454="",INPUT!Q3454=""),"",INPUT!P3454-INPUT!Q3454),"")</f>
        <v/>
      </c>
      <c r="L3459" s="48" t="str">
        <f>IFERROR(IF(OR(INPUT!P3454="",INPUT!Q3454="",INPUT!P3454=0),"",(INPUT!P3454-INPUT!Q3454)/INPUT!P3454),"")</f>
        <v/>
      </c>
    </row>
    <row r="3460" spans="1:12" ht="18" hidden="1" customHeight="1" x14ac:dyDescent="0.2">
      <c r="A3460" s="11" t="str">
        <f>IF(INPUT!M3455="","",INPUT!M3455)</f>
        <v/>
      </c>
      <c r="B3460" s="11" t="str">
        <f>IF(INPUT!M3455="","",INPUT!M3455-WEEKDAY(INPUT!M3455,2)+1)</f>
        <v/>
      </c>
      <c r="C3460" s="20">
        <f>IFERROR(_xlfn.ISOWEEKNUM(INPUT!M3455),"")</f>
        <v>52</v>
      </c>
      <c r="D3460" s="20">
        <f>IFERROR(YEAR(INPUT!M3455),"")</f>
        <v>1900</v>
      </c>
      <c r="E3460" t="str">
        <f>IF(INPUT!O3455="","",INPUT!O3455)</f>
        <v/>
      </c>
      <c r="F3460" t="str">
        <f>IF(INPUT!N3455="","",INPUT!N3455)</f>
        <v/>
      </c>
      <c r="G3460" cm="1">
        <f t="array" ref="G3460">IFERROR(VLOOKUP(INPUT!M3455&amp;INPUT!N3455,CHOOSE({1,2},INPUT!$A$3:$A$5000&amp;INPUT!$C$3:$C$5000,INPUT!$F$3:$F$5000),2,FALSE),"")</f>
        <v>0</v>
      </c>
      <c r="H3460" cm="1">
        <f t="array" ref="H3460">IFERROR(VLOOKUP(INPUT!M3455&amp;INPUT!N3455,CHOOSE({1,2},INPUT!$A$3:$A$5000&amp;INPUT!$C$3:$C$5000,INPUT!$D$3:$D$5000),2,FALSE),"")</f>
        <v>0</v>
      </c>
      <c r="I3460" s="46" t="str">
        <f>IF(INPUT!P3455="","",INPUT!P3455)</f>
        <v/>
      </c>
      <c r="J3460" s="46" t="str">
        <f>IF(INPUT!Q3455="","",INPUT!Q3455)</f>
        <v/>
      </c>
      <c r="K3460" s="46" t="str">
        <f>IFERROR(IF(OR(INPUT!P3455="",INPUT!Q3455=""),"",INPUT!P3455-INPUT!Q3455),"")</f>
        <v/>
      </c>
      <c r="L3460" s="48" t="str">
        <f>IFERROR(IF(OR(INPUT!P3455="",INPUT!Q3455="",INPUT!P3455=0),"",(INPUT!P3455-INPUT!Q3455)/INPUT!P3455),"")</f>
        <v/>
      </c>
    </row>
    <row r="3461" spans="1:12" ht="18" hidden="1" customHeight="1" x14ac:dyDescent="0.2">
      <c r="A3461" s="11" t="str">
        <f>IF(INPUT!M3456="","",INPUT!M3456)</f>
        <v/>
      </c>
      <c r="B3461" s="11" t="str">
        <f>IF(INPUT!M3456="","",INPUT!M3456-WEEKDAY(INPUT!M3456,2)+1)</f>
        <v/>
      </c>
      <c r="C3461" s="20">
        <f>IFERROR(_xlfn.ISOWEEKNUM(INPUT!M3456),"")</f>
        <v>52</v>
      </c>
      <c r="D3461" s="20">
        <f>IFERROR(YEAR(INPUT!M3456),"")</f>
        <v>1900</v>
      </c>
      <c r="E3461" t="str">
        <f>IF(INPUT!O3456="","",INPUT!O3456)</f>
        <v/>
      </c>
      <c r="F3461" t="str">
        <f>IF(INPUT!N3456="","",INPUT!N3456)</f>
        <v/>
      </c>
      <c r="G3461" cm="1">
        <f t="array" ref="G3461">IFERROR(VLOOKUP(INPUT!M3456&amp;INPUT!N3456,CHOOSE({1,2},INPUT!$A$3:$A$5000&amp;INPUT!$C$3:$C$5000,INPUT!$F$3:$F$5000),2,FALSE),"")</f>
        <v>0</v>
      </c>
      <c r="H3461" cm="1">
        <f t="array" ref="H3461">IFERROR(VLOOKUP(INPUT!M3456&amp;INPUT!N3456,CHOOSE({1,2},INPUT!$A$3:$A$5000&amp;INPUT!$C$3:$C$5000,INPUT!$D$3:$D$5000),2,FALSE),"")</f>
        <v>0</v>
      </c>
      <c r="I3461" s="46" t="str">
        <f>IF(INPUT!P3456="","",INPUT!P3456)</f>
        <v/>
      </c>
      <c r="J3461" s="46" t="str">
        <f>IF(INPUT!Q3456="","",INPUT!Q3456)</f>
        <v/>
      </c>
      <c r="K3461" s="46" t="str">
        <f>IFERROR(IF(OR(INPUT!P3456="",INPUT!Q3456=""),"",INPUT!P3456-INPUT!Q3456),"")</f>
        <v/>
      </c>
      <c r="L3461" s="48" t="str">
        <f>IFERROR(IF(OR(INPUT!P3456="",INPUT!Q3456="",INPUT!P3456=0),"",(INPUT!P3456-INPUT!Q3456)/INPUT!P3456),"")</f>
        <v/>
      </c>
    </row>
    <row r="3462" spans="1:12" ht="18" hidden="1" customHeight="1" x14ac:dyDescent="0.2">
      <c r="A3462" s="11" t="str">
        <f>IF(INPUT!M3457="","",INPUT!M3457)</f>
        <v/>
      </c>
      <c r="B3462" s="11" t="str">
        <f>IF(INPUT!M3457="","",INPUT!M3457-WEEKDAY(INPUT!M3457,2)+1)</f>
        <v/>
      </c>
      <c r="C3462" s="20">
        <f>IFERROR(_xlfn.ISOWEEKNUM(INPUT!M3457),"")</f>
        <v>52</v>
      </c>
      <c r="D3462" s="20">
        <f>IFERROR(YEAR(INPUT!M3457),"")</f>
        <v>1900</v>
      </c>
      <c r="E3462" t="str">
        <f>IF(INPUT!O3457="","",INPUT!O3457)</f>
        <v/>
      </c>
      <c r="F3462" t="str">
        <f>IF(INPUT!N3457="","",INPUT!N3457)</f>
        <v/>
      </c>
      <c r="G3462" cm="1">
        <f t="array" ref="G3462">IFERROR(VLOOKUP(INPUT!M3457&amp;INPUT!N3457,CHOOSE({1,2},INPUT!$A$3:$A$5000&amp;INPUT!$C$3:$C$5000,INPUT!$F$3:$F$5000),2,FALSE),"")</f>
        <v>0</v>
      </c>
      <c r="H3462" cm="1">
        <f t="array" ref="H3462">IFERROR(VLOOKUP(INPUT!M3457&amp;INPUT!N3457,CHOOSE({1,2},INPUT!$A$3:$A$5000&amp;INPUT!$C$3:$C$5000,INPUT!$D$3:$D$5000),2,FALSE),"")</f>
        <v>0</v>
      </c>
      <c r="I3462" s="46" t="str">
        <f>IF(INPUT!P3457="","",INPUT!P3457)</f>
        <v/>
      </c>
      <c r="J3462" s="46" t="str">
        <f>IF(INPUT!Q3457="","",INPUT!Q3457)</f>
        <v/>
      </c>
      <c r="K3462" s="46" t="str">
        <f>IFERROR(IF(OR(INPUT!P3457="",INPUT!Q3457=""),"",INPUT!P3457-INPUT!Q3457),"")</f>
        <v/>
      </c>
      <c r="L3462" s="48" t="str">
        <f>IFERROR(IF(OR(INPUT!P3457="",INPUT!Q3457="",INPUT!P3457=0),"",(INPUT!P3457-INPUT!Q3457)/INPUT!P3457),"")</f>
        <v/>
      </c>
    </row>
    <row r="3463" spans="1:12" ht="18" hidden="1" customHeight="1" x14ac:dyDescent="0.2">
      <c r="A3463" s="11" t="str">
        <f>IF(INPUT!M3458="","",INPUT!M3458)</f>
        <v/>
      </c>
      <c r="B3463" s="11" t="str">
        <f>IF(INPUT!M3458="","",INPUT!M3458-WEEKDAY(INPUT!M3458,2)+1)</f>
        <v/>
      </c>
      <c r="C3463" s="20">
        <f>IFERROR(_xlfn.ISOWEEKNUM(INPUT!M3458),"")</f>
        <v>52</v>
      </c>
      <c r="D3463" s="20">
        <f>IFERROR(YEAR(INPUT!M3458),"")</f>
        <v>1900</v>
      </c>
      <c r="E3463" t="str">
        <f>IF(INPUT!O3458="","",INPUT!O3458)</f>
        <v/>
      </c>
      <c r="F3463" t="str">
        <f>IF(INPUT!N3458="","",INPUT!N3458)</f>
        <v/>
      </c>
      <c r="G3463" cm="1">
        <f t="array" ref="G3463">IFERROR(VLOOKUP(INPUT!M3458&amp;INPUT!N3458,CHOOSE({1,2},INPUT!$A$3:$A$5000&amp;INPUT!$C$3:$C$5000,INPUT!$F$3:$F$5000),2,FALSE),"")</f>
        <v>0</v>
      </c>
      <c r="H3463" cm="1">
        <f t="array" ref="H3463">IFERROR(VLOOKUP(INPUT!M3458&amp;INPUT!N3458,CHOOSE({1,2},INPUT!$A$3:$A$5000&amp;INPUT!$C$3:$C$5000,INPUT!$D$3:$D$5000),2,FALSE),"")</f>
        <v>0</v>
      </c>
      <c r="I3463" s="46" t="str">
        <f>IF(INPUT!P3458="","",INPUT!P3458)</f>
        <v/>
      </c>
      <c r="J3463" s="46" t="str">
        <f>IF(INPUT!Q3458="","",INPUT!Q3458)</f>
        <v/>
      </c>
      <c r="K3463" s="46" t="str">
        <f>IFERROR(IF(OR(INPUT!P3458="",INPUT!Q3458=""),"",INPUT!P3458-INPUT!Q3458),"")</f>
        <v/>
      </c>
      <c r="L3463" s="48" t="str">
        <f>IFERROR(IF(OR(INPUT!P3458="",INPUT!Q3458="",INPUT!P3458=0),"",(INPUT!P3458-INPUT!Q3458)/INPUT!P3458),"")</f>
        <v/>
      </c>
    </row>
    <row r="3464" spans="1:12" ht="18" hidden="1" customHeight="1" x14ac:dyDescent="0.2">
      <c r="A3464" s="11" t="str">
        <f>IF(INPUT!M3459="","",INPUT!M3459)</f>
        <v/>
      </c>
      <c r="B3464" s="11" t="str">
        <f>IF(INPUT!M3459="","",INPUT!M3459-WEEKDAY(INPUT!M3459,2)+1)</f>
        <v/>
      </c>
      <c r="C3464" s="20">
        <f>IFERROR(_xlfn.ISOWEEKNUM(INPUT!M3459),"")</f>
        <v>52</v>
      </c>
      <c r="D3464" s="20">
        <f>IFERROR(YEAR(INPUT!M3459),"")</f>
        <v>1900</v>
      </c>
      <c r="E3464" t="str">
        <f>IF(INPUT!O3459="","",INPUT!O3459)</f>
        <v/>
      </c>
      <c r="F3464" t="str">
        <f>IF(INPUT!N3459="","",INPUT!N3459)</f>
        <v/>
      </c>
      <c r="G3464" cm="1">
        <f t="array" ref="G3464">IFERROR(VLOOKUP(INPUT!M3459&amp;INPUT!N3459,CHOOSE({1,2},INPUT!$A$3:$A$5000&amp;INPUT!$C$3:$C$5000,INPUT!$F$3:$F$5000),2,FALSE),"")</f>
        <v>0</v>
      </c>
      <c r="H3464" cm="1">
        <f t="array" ref="H3464">IFERROR(VLOOKUP(INPUT!M3459&amp;INPUT!N3459,CHOOSE({1,2},INPUT!$A$3:$A$5000&amp;INPUT!$C$3:$C$5000,INPUT!$D$3:$D$5000),2,FALSE),"")</f>
        <v>0</v>
      </c>
      <c r="I3464" s="46" t="str">
        <f>IF(INPUT!P3459="","",INPUT!P3459)</f>
        <v/>
      </c>
      <c r="J3464" s="46" t="str">
        <f>IF(INPUT!Q3459="","",INPUT!Q3459)</f>
        <v/>
      </c>
      <c r="K3464" s="46" t="str">
        <f>IFERROR(IF(OR(INPUT!P3459="",INPUT!Q3459=""),"",INPUT!P3459-INPUT!Q3459),"")</f>
        <v/>
      </c>
      <c r="L3464" s="48" t="str">
        <f>IFERROR(IF(OR(INPUT!P3459="",INPUT!Q3459="",INPUT!P3459=0),"",(INPUT!P3459-INPUT!Q3459)/INPUT!P3459),"")</f>
        <v/>
      </c>
    </row>
    <row r="3465" spans="1:12" ht="18" hidden="1" customHeight="1" x14ac:dyDescent="0.2">
      <c r="A3465" s="11" t="str">
        <f>IF(INPUT!M3460="","",INPUT!M3460)</f>
        <v/>
      </c>
      <c r="B3465" s="11" t="str">
        <f>IF(INPUT!M3460="","",INPUT!M3460-WEEKDAY(INPUT!M3460,2)+1)</f>
        <v/>
      </c>
      <c r="C3465" s="20">
        <f>IFERROR(_xlfn.ISOWEEKNUM(INPUT!M3460),"")</f>
        <v>52</v>
      </c>
      <c r="D3465" s="20">
        <f>IFERROR(YEAR(INPUT!M3460),"")</f>
        <v>1900</v>
      </c>
      <c r="E3465" t="str">
        <f>IF(INPUT!O3460="","",INPUT!O3460)</f>
        <v/>
      </c>
      <c r="F3465" t="str">
        <f>IF(INPUT!N3460="","",INPUT!N3460)</f>
        <v/>
      </c>
      <c r="G3465" cm="1">
        <f t="array" ref="G3465">IFERROR(VLOOKUP(INPUT!M3460&amp;INPUT!N3460,CHOOSE({1,2},INPUT!$A$3:$A$5000&amp;INPUT!$C$3:$C$5000,INPUT!$F$3:$F$5000),2,FALSE),"")</f>
        <v>0</v>
      </c>
      <c r="H3465" cm="1">
        <f t="array" ref="H3465">IFERROR(VLOOKUP(INPUT!M3460&amp;INPUT!N3460,CHOOSE({1,2},INPUT!$A$3:$A$5000&amp;INPUT!$C$3:$C$5000,INPUT!$D$3:$D$5000),2,FALSE),"")</f>
        <v>0</v>
      </c>
      <c r="I3465" s="46" t="str">
        <f>IF(INPUT!P3460="","",INPUT!P3460)</f>
        <v/>
      </c>
      <c r="J3465" s="46" t="str">
        <f>IF(INPUT!Q3460="","",INPUT!Q3460)</f>
        <v/>
      </c>
      <c r="K3465" s="46" t="str">
        <f>IFERROR(IF(OR(INPUT!P3460="",INPUT!Q3460=""),"",INPUT!P3460-INPUT!Q3460),"")</f>
        <v/>
      </c>
      <c r="L3465" s="48" t="str">
        <f>IFERROR(IF(OR(INPUT!P3460="",INPUT!Q3460="",INPUT!P3460=0),"",(INPUT!P3460-INPUT!Q3460)/INPUT!P3460),"")</f>
        <v/>
      </c>
    </row>
    <row r="3466" spans="1:12" ht="18" hidden="1" customHeight="1" x14ac:dyDescent="0.2">
      <c r="A3466" s="11" t="str">
        <f>IF(INPUT!M3461="","",INPUT!M3461)</f>
        <v/>
      </c>
      <c r="B3466" s="11" t="str">
        <f>IF(INPUT!M3461="","",INPUT!M3461-WEEKDAY(INPUT!M3461,2)+1)</f>
        <v/>
      </c>
      <c r="C3466" s="20">
        <f>IFERROR(_xlfn.ISOWEEKNUM(INPUT!M3461),"")</f>
        <v>52</v>
      </c>
      <c r="D3466" s="20">
        <f>IFERROR(YEAR(INPUT!M3461),"")</f>
        <v>1900</v>
      </c>
      <c r="E3466" t="str">
        <f>IF(INPUT!O3461="","",INPUT!O3461)</f>
        <v/>
      </c>
      <c r="F3466" t="str">
        <f>IF(INPUT!N3461="","",INPUT!N3461)</f>
        <v/>
      </c>
      <c r="G3466" cm="1">
        <f t="array" ref="G3466">IFERROR(VLOOKUP(INPUT!M3461&amp;INPUT!N3461,CHOOSE({1,2},INPUT!$A$3:$A$5000&amp;INPUT!$C$3:$C$5000,INPUT!$F$3:$F$5000),2,FALSE),"")</f>
        <v>0</v>
      </c>
      <c r="H3466" cm="1">
        <f t="array" ref="H3466">IFERROR(VLOOKUP(INPUT!M3461&amp;INPUT!N3461,CHOOSE({1,2},INPUT!$A$3:$A$5000&amp;INPUT!$C$3:$C$5000,INPUT!$D$3:$D$5000),2,FALSE),"")</f>
        <v>0</v>
      </c>
      <c r="I3466" s="46" t="str">
        <f>IF(INPUT!P3461="","",INPUT!P3461)</f>
        <v/>
      </c>
      <c r="J3466" s="46" t="str">
        <f>IF(INPUT!Q3461="","",INPUT!Q3461)</f>
        <v/>
      </c>
      <c r="K3466" s="46" t="str">
        <f>IFERROR(IF(OR(INPUT!P3461="",INPUT!Q3461=""),"",INPUT!P3461-INPUT!Q3461),"")</f>
        <v/>
      </c>
      <c r="L3466" s="48" t="str">
        <f>IFERROR(IF(OR(INPUT!P3461="",INPUT!Q3461="",INPUT!P3461=0),"",(INPUT!P3461-INPUT!Q3461)/INPUT!P3461),"")</f>
        <v/>
      </c>
    </row>
    <row r="3467" spans="1:12" ht="18" hidden="1" customHeight="1" x14ac:dyDescent="0.2">
      <c r="A3467" s="11" t="str">
        <f>IF(INPUT!M3462="","",INPUT!M3462)</f>
        <v/>
      </c>
      <c r="B3467" s="11" t="str">
        <f>IF(INPUT!M3462="","",INPUT!M3462-WEEKDAY(INPUT!M3462,2)+1)</f>
        <v/>
      </c>
      <c r="C3467" s="20">
        <f>IFERROR(_xlfn.ISOWEEKNUM(INPUT!M3462),"")</f>
        <v>52</v>
      </c>
      <c r="D3467" s="20">
        <f>IFERROR(YEAR(INPUT!M3462),"")</f>
        <v>1900</v>
      </c>
      <c r="E3467" t="str">
        <f>IF(INPUT!O3462="","",INPUT!O3462)</f>
        <v/>
      </c>
      <c r="F3467" t="str">
        <f>IF(INPUT!N3462="","",INPUT!N3462)</f>
        <v/>
      </c>
      <c r="G3467" cm="1">
        <f t="array" ref="G3467">IFERROR(VLOOKUP(INPUT!M3462&amp;INPUT!N3462,CHOOSE({1,2},INPUT!$A$3:$A$5000&amp;INPUT!$C$3:$C$5000,INPUT!$F$3:$F$5000),2,FALSE),"")</f>
        <v>0</v>
      </c>
      <c r="H3467" cm="1">
        <f t="array" ref="H3467">IFERROR(VLOOKUP(INPUT!M3462&amp;INPUT!N3462,CHOOSE({1,2},INPUT!$A$3:$A$5000&amp;INPUT!$C$3:$C$5000,INPUT!$D$3:$D$5000),2,FALSE),"")</f>
        <v>0</v>
      </c>
      <c r="I3467" s="46" t="str">
        <f>IF(INPUT!P3462="","",INPUT!P3462)</f>
        <v/>
      </c>
      <c r="J3467" s="46" t="str">
        <f>IF(INPUT!Q3462="","",INPUT!Q3462)</f>
        <v/>
      </c>
      <c r="K3467" s="46" t="str">
        <f>IFERROR(IF(OR(INPUT!P3462="",INPUT!Q3462=""),"",INPUT!P3462-INPUT!Q3462),"")</f>
        <v/>
      </c>
      <c r="L3467" s="48" t="str">
        <f>IFERROR(IF(OR(INPUT!P3462="",INPUT!Q3462="",INPUT!P3462=0),"",(INPUT!P3462-INPUT!Q3462)/INPUT!P3462),"")</f>
        <v/>
      </c>
    </row>
    <row r="3468" spans="1:12" ht="18" hidden="1" customHeight="1" x14ac:dyDescent="0.2">
      <c r="A3468" s="11" t="str">
        <f>IF(INPUT!M3463="","",INPUT!M3463)</f>
        <v/>
      </c>
      <c r="B3468" s="11" t="str">
        <f>IF(INPUT!M3463="","",INPUT!M3463-WEEKDAY(INPUT!M3463,2)+1)</f>
        <v/>
      </c>
      <c r="C3468" s="20">
        <f>IFERROR(_xlfn.ISOWEEKNUM(INPUT!M3463),"")</f>
        <v>52</v>
      </c>
      <c r="D3468" s="20">
        <f>IFERROR(YEAR(INPUT!M3463),"")</f>
        <v>1900</v>
      </c>
      <c r="E3468" t="str">
        <f>IF(INPUT!O3463="","",INPUT!O3463)</f>
        <v/>
      </c>
      <c r="F3468" t="str">
        <f>IF(INPUT!N3463="","",INPUT!N3463)</f>
        <v/>
      </c>
      <c r="G3468" cm="1">
        <f t="array" ref="G3468">IFERROR(VLOOKUP(INPUT!M3463&amp;INPUT!N3463,CHOOSE({1,2},INPUT!$A$3:$A$5000&amp;INPUT!$C$3:$C$5000,INPUT!$F$3:$F$5000),2,FALSE),"")</f>
        <v>0</v>
      </c>
      <c r="H3468" cm="1">
        <f t="array" ref="H3468">IFERROR(VLOOKUP(INPUT!M3463&amp;INPUT!N3463,CHOOSE({1,2},INPUT!$A$3:$A$5000&amp;INPUT!$C$3:$C$5000,INPUT!$D$3:$D$5000),2,FALSE),"")</f>
        <v>0</v>
      </c>
      <c r="I3468" s="46" t="str">
        <f>IF(INPUT!P3463="","",INPUT!P3463)</f>
        <v/>
      </c>
      <c r="J3468" s="46" t="str">
        <f>IF(INPUT!Q3463="","",INPUT!Q3463)</f>
        <v/>
      </c>
      <c r="K3468" s="46" t="str">
        <f>IFERROR(IF(OR(INPUT!P3463="",INPUT!Q3463=""),"",INPUT!P3463-INPUT!Q3463),"")</f>
        <v/>
      </c>
      <c r="L3468" s="48" t="str">
        <f>IFERROR(IF(OR(INPUT!P3463="",INPUT!Q3463="",INPUT!P3463=0),"",(INPUT!P3463-INPUT!Q3463)/INPUT!P3463),"")</f>
        <v/>
      </c>
    </row>
    <row r="3469" spans="1:12" ht="18" hidden="1" customHeight="1" x14ac:dyDescent="0.2">
      <c r="A3469" s="11" t="str">
        <f>IF(INPUT!M3464="","",INPUT!M3464)</f>
        <v/>
      </c>
      <c r="B3469" s="11" t="str">
        <f>IF(INPUT!M3464="","",INPUT!M3464-WEEKDAY(INPUT!M3464,2)+1)</f>
        <v/>
      </c>
      <c r="C3469" s="20">
        <f>IFERROR(_xlfn.ISOWEEKNUM(INPUT!M3464),"")</f>
        <v>52</v>
      </c>
      <c r="D3469" s="20">
        <f>IFERROR(YEAR(INPUT!M3464),"")</f>
        <v>1900</v>
      </c>
      <c r="E3469" t="str">
        <f>IF(INPUT!O3464="","",INPUT!O3464)</f>
        <v/>
      </c>
      <c r="F3469" t="str">
        <f>IF(INPUT!N3464="","",INPUT!N3464)</f>
        <v/>
      </c>
      <c r="G3469" cm="1">
        <f t="array" ref="G3469">IFERROR(VLOOKUP(INPUT!M3464&amp;INPUT!N3464,CHOOSE({1,2},INPUT!$A$3:$A$5000&amp;INPUT!$C$3:$C$5000,INPUT!$F$3:$F$5000),2,FALSE),"")</f>
        <v>0</v>
      </c>
      <c r="H3469" cm="1">
        <f t="array" ref="H3469">IFERROR(VLOOKUP(INPUT!M3464&amp;INPUT!N3464,CHOOSE({1,2},INPUT!$A$3:$A$5000&amp;INPUT!$C$3:$C$5000,INPUT!$D$3:$D$5000),2,FALSE),"")</f>
        <v>0</v>
      </c>
      <c r="I3469" s="46" t="str">
        <f>IF(INPUT!P3464="","",INPUT!P3464)</f>
        <v/>
      </c>
      <c r="J3469" s="46" t="str">
        <f>IF(INPUT!Q3464="","",INPUT!Q3464)</f>
        <v/>
      </c>
      <c r="K3469" s="46" t="str">
        <f>IFERROR(IF(OR(INPUT!P3464="",INPUT!Q3464=""),"",INPUT!P3464-INPUT!Q3464),"")</f>
        <v/>
      </c>
      <c r="L3469" s="48" t="str">
        <f>IFERROR(IF(OR(INPUT!P3464="",INPUT!Q3464="",INPUT!P3464=0),"",(INPUT!P3464-INPUT!Q3464)/INPUT!P3464),"")</f>
        <v/>
      </c>
    </row>
    <row r="3470" spans="1:12" ht="18" hidden="1" customHeight="1" x14ac:dyDescent="0.2">
      <c r="A3470" s="11" t="str">
        <f>IF(INPUT!M3465="","",INPUT!M3465)</f>
        <v/>
      </c>
      <c r="B3470" s="11" t="str">
        <f>IF(INPUT!M3465="","",INPUT!M3465-WEEKDAY(INPUT!M3465,2)+1)</f>
        <v/>
      </c>
      <c r="C3470" s="20">
        <f>IFERROR(_xlfn.ISOWEEKNUM(INPUT!M3465),"")</f>
        <v>52</v>
      </c>
      <c r="D3470" s="20">
        <f>IFERROR(YEAR(INPUT!M3465),"")</f>
        <v>1900</v>
      </c>
      <c r="E3470" t="str">
        <f>IF(INPUT!O3465="","",INPUT!O3465)</f>
        <v/>
      </c>
      <c r="F3470" t="str">
        <f>IF(INPUT!N3465="","",INPUT!N3465)</f>
        <v/>
      </c>
      <c r="G3470" cm="1">
        <f t="array" ref="G3470">IFERROR(VLOOKUP(INPUT!M3465&amp;INPUT!N3465,CHOOSE({1,2},INPUT!$A$3:$A$5000&amp;INPUT!$C$3:$C$5000,INPUT!$F$3:$F$5000),2,FALSE),"")</f>
        <v>0</v>
      </c>
      <c r="H3470" cm="1">
        <f t="array" ref="H3470">IFERROR(VLOOKUP(INPUT!M3465&amp;INPUT!N3465,CHOOSE({1,2},INPUT!$A$3:$A$5000&amp;INPUT!$C$3:$C$5000,INPUT!$D$3:$D$5000),2,FALSE),"")</f>
        <v>0</v>
      </c>
      <c r="I3470" s="46" t="str">
        <f>IF(INPUT!P3465="","",INPUT!P3465)</f>
        <v/>
      </c>
      <c r="J3470" s="46" t="str">
        <f>IF(INPUT!Q3465="","",INPUT!Q3465)</f>
        <v/>
      </c>
      <c r="K3470" s="46" t="str">
        <f>IFERROR(IF(OR(INPUT!P3465="",INPUT!Q3465=""),"",INPUT!P3465-INPUT!Q3465),"")</f>
        <v/>
      </c>
      <c r="L3470" s="48" t="str">
        <f>IFERROR(IF(OR(INPUT!P3465="",INPUT!Q3465="",INPUT!P3465=0),"",(INPUT!P3465-INPUT!Q3465)/INPUT!P3465),"")</f>
        <v/>
      </c>
    </row>
    <row r="3471" spans="1:12" ht="18" hidden="1" customHeight="1" x14ac:dyDescent="0.2">
      <c r="A3471" s="11" t="str">
        <f>IF(INPUT!M3466="","",INPUT!M3466)</f>
        <v/>
      </c>
      <c r="B3471" s="11" t="str">
        <f>IF(INPUT!M3466="","",INPUT!M3466-WEEKDAY(INPUT!M3466,2)+1)</f>
        <v/>
      </c>
      <c r="C3471" s="20">
        <f>IFERROR(_xlfn.ISOWEEKNUM(INPUT!M3466),"")</f>
        <v>52</v>
      </c>
      <c r="D3471" s="20">
        <f>IFERROR(YEAR(INPUT!M3466),"")</f>
        <v>1900</v>
      </c>
      <c r="E3471" t="str">
        <f>IF(INPUT!O3466="","",INPUT!O3466)</f>
        <v/>
      </c>
      <c r="F3471" t="str">
        <f>IF(INPUT!N3466="","",INPUT!N3466)</f>
        <v/>
      </c>
      <c r="G3471" cm="1">
        <f t="array" ref="G3471">IFERROR(VLOOKUP(INPUT!M3466&amp;INPUT!N3466,CHOOSE({1,2},INPUT!$A$3:$A$5000&amp;INPUT!$C$3:$C$5000,INPUT!$F$3:$F$5000),2,FALSE),"")</f>
        <v>0</v>
      </c>
      <c r="H3471" cm="1">
        <f t="array" ref="H3471">IFERROR(VLOOKUP(INPUT!M3466&amp;INPUT!N3466,CHOOSE({1,2},INPUT!$A$3:$A$5000&amp;INPUT!$C$3:$C$5000,INPUT!$D$3:$D$5000),2,FALSE),"")</f>
        <v>0</v>
      </c>
      <c r="I3471" s="46" t="str">
        <f>IF(INPUT!P3466="","",INPUT!P3466)</f>
        <v/>
      </c>
      <c r="J3471" s="46" t="str">
        <f>IF(INPUT!Q3466="","",INPUT!Q3466)</f>
        <v/>
      </c>
      <c r="K3471" s="46" t="str">
        <f>IFERROR(IF(OR(INPUT!P3466="",INPUT!Q3466=""),"",INPUT!P3466-INPUT!Q3466),"")</f>
        <v/>
      </c>
      <c r="L3471" s="48" t="str">
        <f>IFERROR(IF(OR(INPUT!P3466="",INPUT!Q3466="",INPUT!P3466=0),"",(INPUT!P3466-INPUT!Q3466)/INPUT!P3466),"")</f>
        <v/>
      </c>
    </row>
    <row r="3472" spans="1:12" ht="18" hidden="1" customHeight="1" x14ac:dyDescent="0.2">
      <c r="A3472" s="11" t="str">
        <f>IF(INPUT!M3467="","",INPUT!M3467)</f>
        <v/>
      </c>
      <c r="B3472" s="11" t="str">
        <f>IF(INPUT!M3467="","",INPUT!M3467-WEEKDAY(INPUT!M3467,2)+1)</f>
        <v/>
      </c>
      <c r="C3472" s="20">
        <f>IFERROR(_xlfn.ISOWEEKNUM(INPUT!M3467),"")</f>
        <v>52</v>
      </c>
      <c r="D3472" s="20">
        <f>IFERROR(YEAR(INPUT!M3467),"")</f>
        <v>1900</v>
      </c>
      <c r="E3472" t="str">
        <f>IF(INPUT!O3467="","",INPUT!O3467)</f>
        <v/>
      </c>
      <c r="F3472" t="str">
        <f>IF(INPUT!N3467="","",INPUT!N3467)</f>
        <v/>
      </c>
      <c r="G3472" cm="1">
        <f t="array" ref="G3472">IFERROR(VLOOKUP(INPUT!M3467&amp;INPUT!N3467,CHOOSE({1,2},INPUT!$A$3:$A$5000&amp;INPUT!$C$3:$C$5000,INPUT!$F$3:$F$5000),2,FALSE),"")</f>
        <v>0</v>
      </c>
      <c r="H3472" cm="1">
        <f t="array" ref="H3472">IFERROR(VLOOKUP(INPUT!M3467&amp;INPUT!N3467,CHOOSE({1,2},INPUT!$A$3:$A$5000&amp;INPUT!$C$3:$C$5000,INPUT!$D$3:$D$5000),2,FALSE),"")</f>
        <v>0</v>
      </c>
      <c r="I3472" s="46" t="str">
        <f>IF(INPUT!P3467="","",INPUT!P3467)</f>
        <v/>
      </c>
      <c r="J3472" s="46" t="str">
        <f>IF(INPUT!Q3467="","",INPUT!Q3467)</f>
        <v/>
      </c>
      <c r="K3472" s="46" t="str">
        <f>IFERROR(IF(OR(INPUT!P3467="",INPUT!Q3467=""),"",INPUT!P3467-INPUT!Q3467),"")</f>
        <v/>
      </c>
      <c r="L3472" s="48" t="str">
        <f>IFERROR(IF(OR(INPUT!P3467="",INPUT!Q3467="",INPUT!P3467=0),"",(INPUT!P3467-INPUT!Q3467)/INPUT!P3467),"")</f>
        <v/>
      </c>
    </row>
    <row r="3473" spans="1:12" ht="18" hidden="1" customHeight="1" x14ac:dyDescent="0.2">
      <c r="A3473" s="11" t="str">
        <f>IF(INPUT!M3468="","",INPUT!M3468)</f>
        <v/>
      </c>
      <c r="B3473" s="11" t="str">
        <f>IF(INPUT!M3468="","",INPUT!M3468-WEEKDAY(INPUT!M3468,2)+1)</f>
        <v/>
      </c>
      <c r="C3473" s="20">
        <f>IFERROR(_xlfn.ISOWEEKNUM(INPUT!M3468),"")</f>
        <v>52</v>
      </c>
      <c r="D3473" s="20">
        <f>IFERROR(YEAR(INPUT!M3468),"")</f>
        <v>1900</v>
      </c>
      <c r="E3473" t="str">
        <f>IF(INPUT!O3468="","",INPUT!O3468)</f>
        <v/>
      </c>
      <c r="F3473" t="str">
        <f>IF(INPUT!N3468="","",INPUT!N3468)</f>
        <v/>
      </c>
      <c r="G3473" cm="1">
        <f t="array" ref="G3473">IFERROR(VLOOKUP(INPUT!M3468&amp;INPUT!N3468,CHOOSE({1,2},INPUT!$A$3:$A$5000&amp;INPUT!$C$3:$C$5000,INPUT!$F$3:$F$5000),2,FALSE),"")</f>
        <v>0</v>
      </c>
      <c r="H3473" cm="1">
        <f t="array" ref="H3473">IFERROR(VLOOKUP(INPUT!M3468&amp;INPUT!N3468,CHOOSE({1,2},INPUT!$A$3:$A$5000&amp;INPUT!$C$3:$C$5000,INPUT!$D$3:$D$5000),2,FALSE),"")</f>
        <v>0</v>
      </c>
      <c r="I3473" s="46" t="str">
        <f>IF(INPUT!P3468="","",INPUT!P3468)</f>
        <v/>
      </c>
      <c r="J3473" s="46" t="str">
        <f>IF(INPUT!Q3468="","",INPUT!Q3468)</f>
        <v/>
      </c>
      <c r="K3473" s="46" t="str">
        <f>IFERROR(IF(OR(INPUT!P3468="",INPUT!Q3468=""),"",INPUT!P3468-INPUT!Q3468),"")</f>
        <v/>
      </c>
      <c r="L3473" s="48" t="str">
        <f>IFERROR(IF(OR(INPUT!P3468="",INPUT!Q3468="",INPUT!P3468=0),"",(INPUT!P3468-INPUT!Q3468)/INPUT!P3468),"")</f>
        <v/>
      </c>
    </row>
    <row r="3474" spans="1:12" ht="18" hidden="1" customHeight="1" x14ac:dyDescent="0.2">
      <c r="A3474" s="11" t="str">
        <f>IF(INPUT!M3469="","",INPUT!M3469)</f>
        <v/>
      </c>
      <c r="B3474" s="11" t="str">
        <f>IF(INPUT!M3469="","",INPUT!M3469-WEEKDAY(INPUT!M3469,2)+1)</f>
        <v/>
      </c>
      <c r="C3474" s="20">
        <f>IFERROR(_xlfn.ISOWEEKNUM(INPUT!M3469),"")</f>
        <v>52</v>
      </c>
      <c r="D3474" s="20">
        <f>IFERROR(YEAR(INPUT!M3469),"")</f>
        <v>1900</v>
      </c>
      <c r="E3474" t="str">
        <f>IF(INPUT!O3469="","",INPUT!O3469)</f>
        <v/>
      </c>
      <c r="F3474" t="str">
        <f>IF(INPUT!N3469="","",INPUT!N3469)</f>
        <v/>
      </c>
      <c r="G3474" cm="1">
        <f t="array" ref="G3474">IFERROR(VLOOKUP(INPUT!M3469&amp;INPUT!N3469,CHOOSE({1,2},INPUT!$A$3:$A$5000&amp;INPUT!$C$3:$C$5000,INPUT!$F$3:$F$5000),2,FALSE),"")</f>
        <v>0</v>
      </c>
      <c r="H3474" cm="1">
        <f t="array" ref="H3474">IFERROR(VLOOKUP(INPUT!M3469&amp;INPUT!N3469,CHOOSE({1,2},INPUT!$A$3:$A$5000&amp;INPUT!$C$3:$C$5000,INPUT!$D$3:$D$5000),2,FALSE),"")</f>
        <v>0</v>
      </c>
      <c r="I3474" s="46" t="str">
        <f>IF(INPUT!P3469="","",INPUT!P3469)</f>
        <v/>
      </c>
      <c r="J3474" s="46" t="str">
        <f>IF(INPUT!Q3469="","",INPUT!Q3469)</f>
        <v/>
      </c>
      <c r="K3474" s="46" t="str">
        <f>IFERROR(IF(OR(INPUT!P3469="",INPUT!Q3469=""),"",INPUT!P3469-INPUT!Q3469),"")</f>
        <v/>
      </c>
      <c r="L3474" s="48" t="str">
        <f>IFERROR(IF(OR(INPUT!P3469="",INPUT!Q3469="",INPUT!P3469=0),"",(INPUT!P3469-INPUT!Q3469)/INPUT!P3469),"")</f>
        <v/>
      </c>
    </row>
    <row r="3475" spans="1:12" ht="18" hidden="1" customHeight="1" x14ac:dyDescent="0.2">
      <c r="A3475" s="11" t="str">
        <f>IF(INPUT!M3470="","",INPUT!M3470)</f>
        <v/>
      </c>
      <c r="B3475" s="11" t="str">
        <f>IF(INPUT!M3470="","",INPUT!M3470-WEEKDAY(INPUT!M3470,2)+1)</f>
        <v/>
      </c>
      <c r="C3475" s="20">
        <f>IFERROR(_xlfn.ISOWEEKNUM(INPUT!M3470),"")</f>
        <v>52</v>
      </c>
      <c r="D3475" s="20">
        <f>IFERROR(YEAR(INPUT!M3470),"")</f>
        <v>1900</v>
      </c>
      <c r="E3475" t="str">
        <f>IF(INPUT!O3470="","",INPUT!O3470)</f>
        <v/>
      </c>
      <c r="F3475" t="str">
        <f>IF(INPUT!N3470="","",INPUT!N3470)</f>
        <v/>
      </c>
      <c r="G3475" cm="1">
        <f t="array" ref="G3475">IFERROR(VLOOKUP(INPUT!M3470&amp;INPUT!N3470,CHOOSE({1,2},INPUT!$A$3:$A$5000&amp;INPUT!$C$3:$C$5000,INPUT!$F$3:$F$5000),2,FALSE),"")</f>
        <v>0</v>
      </c>
      <c r="H3475" cm="1">
        <f t="array" ref="H3475">IFERROR(VLOOKUP(INPUT!M3470&amp;INPUT!N3470,CHOOSE({1,2},INPUT!$A$3:$A$5000&amp;INPUT!$C$3:$C$5000,INPUT!$D$3:$D$5000),2,FALSE),"")</f>
        <v>0</v>
      </c>
      <c r="I3475" s="46" t="str">
        <f>IF(INPUT!P3470="","",INPUT!P3470)</f>
        <v/>
      </c>
      <c r="J3475" s="46" t="str">
        <f>IF(INPUT!Q3470="","",INPUT!Q3470)</f>
        <v/>
      </c>
      <c r="K3475" s="46" t="str">
        <f>IFERROR(IF(OR(INPUT!P3470="",INPUT!Q3470=""),"",INPUT!P3470-INPUT!Q3470),"")</f>
        <v/>
      </c>
      <c r="L3475" s="48" t="str">
        <f>IFERROR(IF(OR(INPUT!P3470="",INPUT!Q3470="",INPUT!P3470=0),"",(INPUT!P3470-INPUT!Q3470)/INPUT!P3470),"")</f>
        <v/>
      </c>
    </row>
    <row r="3476" spans="1:12" ht="18" hidden="1" customHeight="1" x14ac:dyDescent="0.2">
      <c r="A3476" s="11" t="str">
        <f>IF(INPUT!M3471="","",INPUT!M3471)</f>
        <v/>
      </c>
      <c r="B3476" s="11" t="str">
        <f>IF(INPUT!M3471="","",INPUT!M3471-WEEKDAY(INPUT!M3471,2)+1)</f>
        <v/>
      </c>
      <c r="C3476" s="20">
        <f>IFERROR(_xlfn.ISOWEEKNUM(INPUT!M3471),"")</f>
        <v>52</v>
      </c>
      <c r="D3476" s="20">
        <f>IFERROR(YEAR(INPUT!M3471),"")</f>
        <v>1900</v>
      </c>
      <c r="E3476" t="str">
        <f>IF(INPUT!O3471="","",INPUT!O3471)</f>
        <v/>
      </c>
      <c r="F3476" t="str">
        <f>IF(INPUT!N3471="","",INPUT!N3471)</f>
        <v/>
      </c>
      <c r="G3476" cm="1">
        <f t="array" ref="G3476">IFERROR(VLOOKUP(INPUT!M3471&amp;INPUT!N3471,CHOOSE({1,2},INPUT!$A$3:$A$5000&amp;INPUT!$C$3:$C$5000,INPUT!$F$3:$F$5000),2,FALSE),"")</f>
        <v>0</v>
      </c>
      <c r="H3476" cm="1">
        <f t="array" ref="H3476">IFERROR(VLOOKUP(INPUT!M3471&amp;INPUT!N3471,CHOOSE({1,2},INPUT!$A$3:$A$5000&amp;INPUT!$C$3:$C$5000,INPUT!$D$3:$D$5000),2,FALSE),"")</f>
        <v>0</v>
      </c>
      <c r="I3476" s="46" t="str">
        <f>IF(INPUT!P3471="","",INPUT!P3471)</f>
        <v/>
      </c>
      <c r="J3476" s="46" t="str">
        <f>IF(INPUT!Q3471="","",INPUT!Q3471)</f>
        <v/>
      </c>
      <c r="K3476" s="46" t="str">
        <f>IFERROR(IF(OR(INPUT!P3471="",INPUT!Q3471=""),"",INPUT!P3471-INPUT!Q3471),"")</f>
        <v/>
      </c>
      <c r="L3476" s="48" t="str">
        <f>IFERROR(IF(OR(INPUT!P3471="",INPUT!Q3471="",INPUT!P3471=0),"",(INPUT!P3471-INPUT!Q3471)/INPUT!P3471),"")</f>
        <v/>
      </c>
    </row>
    <row r="3477" spans="1:12" ht="18" hidden="1" customHeight="1" x14ac:dyDescent="0.2">
      <c r="A3477" s="11" t="str">
        <f>IF(INPUT!M3472="","",INPUT!M3472)</f>
        <v/>
      </c>
      <c r="B3477" s="11" t="str">
        <f>IF(INPUT!M3472="","",INPUT!M3472-WEEKDAY(INPUT!M3472,2)+1)</f>
        <v/>
      </c>
      <c r="C3477" s="20">
        <f>IFERROR(_xlfn.ISOWEEKNUM(INPUT!M3472),"")</f>
        <v>52</v>
      </c>
      <c r="D3477" s="20">
        <f>IFERROR(YEAR(INPUT!M3472),"")</f>
        <v>1900</v>
      </c>
      <c r="E3477" t="str">
        <f>IF(INPUT!O3472="","",INPUT!O3472)</f>
        <v/>
      </c>
      <c r="F3477" t="str">
        <f>IF(INPUT!N3472="","",INPUT!N3472)</f>
        <v/>
      </c>
      <c r="G3477" cm="1">
        <f t="array" ref="G3477">IFERROR(VLOOKUP(INPUT!M3472&amp;INPUT!N3472,CHOOSE({1,2},INPUT!$A$3:$A$5000&amp;INPUT!$C$3:$C$5000,INPUT!$F$3:$F$5000),2,FALSE),"")</f>
        <v>0</v>
      </c>
      <c r="H3477" cm="1">
        <f t="array" ref="H3477">IFERROR(VLOOKUP(INPUT!M3472&amp;INPUT!N3472,CHOOSE({1,2},INPUT!$A$3:$A$5000&amp;INPUT!$C$3:$C$5000,INPUT!$D$3:$D$5000),2,FALSE),"")</f>
        <v>0</v>
      </c>
      <c r="I3477" s="46" t="str">
        <f>IF(INPUT!P3472="","",INPUT!P3472)</f>
        <v/>
      </c>
      <c r="J3477" s="46" t="str">
        <f>IF(INPUT!Q3472="","",INPUT!Q3472)</f>
        <v/>
      </c>
      <c r="K3477" s="46" t="str">
        <f>IFERROR(IF(OR(INPUT!P3472="",INPUT!Q3472=""),"",INPUT!P3472-INPUT!Q3472),"")</f>
        <v/>
      </c>
      <c r="L3477" s="48" t="str">
        <f>IFERROR(IF(OR(INPUT!P3472="",INPUT!Q3472="",INPUT!P3472=0),"",(INPUT!P3472-INPUT!Q3472)/INPUT!P3472),"")</f>
        <v/>
      </c>
    </row>
    <row r="3478" spans="1:12" ht="18" hidden="1" customHeight="1" x14ac:dyDescent="0.2">
      <c r="A3478" s="11" t="str">
        <f>IF(INPUT!M3473="","",INPUT!M3473)</f>
        <v/>
      </c>
      <c r="B3478" s="11" t="str">
        <f>IF(INPUT!M3473="","",INPUT!M3473-WEEKDAY(INPUT!M3473,2)+1)</f>
        <v/>
      </c>
      <c r="C3478" s="20">
        <f>IFERROR(_xlfn.ISOWEEKNUM(INPUT!M3473),"")</f>
        <v>52</v>
      </c>
      <c r="D3478" s="20">
        <f>IFERROR(YEAR(INPUT!M3473),"")</f>
        <v>1900</v>
      </c>
      <c r="E3478" t="str">
        <f>IF(INPUT!O3473="","",INPUT!O3473)</f>
        <v/>
      </c>
      <c r="F3478" t="str">
        <f>IF(INPUT!N3473="","",INPUT!N3473)</f>
        <v/>
      </c>
      <c r="G3478" cm="1">
        <f t="array" ref="G3478">IFERROR(VLOOKUP(INPUT!M3473&amp;INPUT!N3473,CHOOSE({1,2},INPUT!$A$3:$A$5000&amp;INPUT!$C$3:$C$5000,INPUT!$F$3:$F$5000),2,FALSE),"")</f>
        <v>0</v>
      </c>
      <c r="H3478" cm="1">
        <f t="array" ref="H3478">IFERROR(VLOOKUP(INPUT!M3473&amp;INPUT!N3473,CHOOSE({1,2},INPUT!$A$3:$A$5000&amp;INPUT!$C$3:$C$5000,INPUT!$D$3:$D$5000),2,FALSE),"")</f>
        <v>0</v>
      </c>
      <c r="I3478" s="46" t="str">
        <f>IF(INPUT!P3473="","",INPUT!P3473)</f>
        <v/>
      </c>
      <c r="J3478" s="46" t="str">
        <f>IF(INPUT!Q3473="","",INPUT!Q3473)</f>
        <v/>
      </c>
      <c r="K3478" s="46" t="str">
        <f>IFERROR(IF(OR(INPUT!P3473="",INPUT!Q3473=""),"",INPUT!P3473-INPUT!Q3473),"")</f>
        <v/>
      </c>
      <c r="L3478" s="48" t="str">
        <f>IFERROR(IF(OR(INPUT!P3473="",INPUT!Q3473="",INPUT!P3473=0),"",(INPUT!P3473-INPUT!Q3473)/INPUT!P3473),"")</f>
        <v/>
      </c>
    </row>
    <row r="3479" spans="1:12" ht="18" hidden="1" customHeight="1" x14ac:dyDescent="0.2">
      <c r="A3479" s="11" t="str">
        <f>IF(INPUT!M3474="","",INPUT!M3474)</f>
        <v/>
      </c>
      <c r="B3479" s="11" t="str">
        <f>IF(INPUT!M3474="","",INPUT!M3474-WEEKDAY(INPUT!M3474,2)+1)</f>
        <v/>
      </c>
      <c r="C3479" s="20">
        <f>IFERROR(_xlfn.ISOWEEKNUM(INPUT!M3474),"")</f>
        <v>52</v>
      </c>
      <c r="D3479" s="20">
        <f>IFERROR(YEAR(INPUT!M3474),"")</f>
        <v>1900</v>
      </c>
      <c r="E3479" t="str">
        <f>IF(INPUT!O3474="","",INPUT!O3474)</f>
        <v/>
      </c>
      <c r="F3479" t="str">
        <f>IF(INPUT!N3474="","",INPUT!N3474)</f>
        <v/>
      </c>
      <c r="G3479" cm="1">
        <f t="array" ref="G3479">IFERROR(VLOOKUP(INPUT!M3474&amp;INPUT!N3474,CHOOSE({1,2},INPUT!$A$3:$A$5000&amp;INPUT!$C$3:$C$5000,INPUT!$F$3:$F$5000),2,FALSE),"")</f>
        <v>0</v>
      </c>
      <c r="H3479" cm="1">
        <f t="array" ref="H3479">IFERROR(VLOOKUP(INPUT!M3474&amp;INPUT!N3474,CHOOSE({1,2},INPUT!$A$3:$A$5000&amp;INPUT!$C$3:$C$5000,INPUT!$D$3:$D$5000),2,FALSE),"")</f>
        <v>0</v>
      </c>
      <c r="I3479" s="46" t="str">
        <f>IF(INPUT!P3474="","",INPUT!P3474)</f>
        <v/>
      </c>
      <c r="J3479" s="46" t="str">
        <f>IF(INPUT!Q3474="","",INPUT!Q3474)</f>
        <v/>
      </c>
      <c r="K3479" s="46" t="str">
        <f>IFERROR(IF(OR(INPUT!P3474="",INPUT!Q3474=""),"",INPUT!P3474-INPUT!Q3474),"")</f>
        <v/>
      </c>
      <c r="L3479" s="48" t="str">
        <f>IFERROR(IF(OR(INPUT!P3474="",INPUT!Q3474="",INPUT!P3474=0),"",(INPUT!P3474-INPUT!Q3474)/INPUT!P3474),"")</f>
        <v/>
      </c>
    </row>
    <row r="3480" spans="1:12" ht="18" hidden="1" customHeight="1" x14ac:dyDescent="0.2">
      <c r="A3480" s="11" t="str">
        <f>IF(INPUT!M3475="","",INPUT!M3475)</f>
        <v/>
      </c>
      <c r="B3480" s="11" t="str">
        <f>IF(INPUT!M3475="","",INPUT!M3475-WEEKDAY(INPUT!M3475,2)+1)</f>
        <v/>
      </c>
      <c r="C3480" s="20">
        <f>IFERROR(_xlfn.ISOWEEKNUM(INPUT!M3475),"")</f>
        <v>52</v>
      </c>
      <c r="D3480" s="20">
        <f>IFERROR(YEAR(INPUT!M3475),"")</f>
        <v>1900</v>
      </c>
      <c r="E3480" t="str">
        <f>IF(INPUT!O3475="","",INPUT!O3475)</f>
        <v/>
      </c>
      <c r="F3480" t="str">
        <f>IF(INPUT!N3475="","",INPUT!N3475)</f>
        <v/>
      </c>
      <c r="G3480" cm="1">
        <f t="array" ref="G3480">IFERROR(VLOOKUP(INPUT!M3475&amp;INPUT!N3475,CHOOSE({1,2},INPUT!$A$3:$A$5000&amp;INPUT!$C$3:$C$5000,INPUT!$F$3:$F$5000),2,FALSE),"")</f>
        <v>0</v>
      </c>
      <c r="H3480" cm="1">
        <f t="array" ref="H3480">IFERROR(VLOOKUP(INPUT!M3475&amp;INPUT!N3475,CHOOSE({1,2},INPUT!$A$3:$A$5000&amp;INPUT!$C$3:$C$5000,INPUT!$D$3:$D$5000),2,FALSE),"")</f>
        <v>0</v>
      </c>
      <c r="I3480" s="46" t="str">
        <f>IF(INPUT!P3475="","",INPUT!P3475)</f>
        <v/>
      </c>
      <c r="J3480" s="46" t="str">
        <f>IF(INPUT!Q3475="","",INPUT!Q3475)</f>
        <v/>
      </c>
      <c r="K3480" s="46" t="str">
        <f>IFERROR(IF(OR(INPUT!P3475="",INPUT!Q3475=""),"",INPUT!P3475-INPUT!Q3475),"")</f>
        <v/>
      </c>
      <c r="L3480" s="48" t="str">
        <f>IFERROR(IF(OR(INPUT!P3475="",INPUT!Q3475="",INPUT!P3475=0),"",(INPUT!P3475-INPUT!Q3475)/INPUT!P3475),"")</f>
        <v/>
      </c>
    </row>
    <row r="3481" spans="1:12" ht="18" hidden="1" customHeight="1" x14ac:dyDescent="0.2">
      <c r="A3481" s="11" t="str">
        <f>IF(INPUT!M3476="","",INPUT!M3476)</f>
        <v/>
      </c>
      <c r="B3481" s="11" t="str">
        <f>IF(INPUT!M3476="","",INPUT!M3476-WEEKDAY(INPUT!M3476,2)+1)</f>
        <v/>
      </c>
      <c r="C3481" s="20">
        <f>IFERROR(_xlfn.ISOWEEKNUM(INPUT!M3476),"")</f>
        <v>52</v>
      </c>
      <c r="D3481" s="20">
        <f>IFERROR(YEAR(INPUT!M3476),"")</f>
        <v>1900</v>
      </c>
      <c r="E3481" t="str">
        <f>IF(INPUT!O3476="","",INPUT!O3476)</f>
        <v/>
      </c>
      <c r="F3481" t="str">
        <f>IF(INPUT!N3476="","",INPUT!N3476)</f>
        <v/>
      </c>
      <c r="G3481" cm="1">
        <f t="array" ref="G3481">IFERROR(VLOOKUP(INPUT!M3476&amp;INPUT!N3476,CHOOSE({1,2},INPUT!$A$3:$A$5000&amp;INPUT!$C$3:$C$5000,INPUT!$F$3:$F$5000),2,FALSE),"")</f>
        <v>0</v>
      </c>
      <c r="H3481" cm="1">
        <f t="array" ref="H3481">IFERROR(VLOOKUP(INPUT!M3476&amp;INPUT!N3476,CHOOSE({1,2},INPUT!$A$3:$A$5000&amp;INPUT!$C$3:$C$5000,INPUT!$D$3:$D$5000),2,FALSE),"")</f>
        <v>0</v>
      </c>
      <c r="I3481" s="46" t="str">
        <f>IF(INPUT!P3476="","",INPUT!P3476)</f>
        <v/>
      </c>
      <c r="J3481" s="46" t="str">
        <f>IF(INPUT!Q3476="","",INPUT!Q3476)</f>
        <v/>
      </c>
      <c r="K3481" s="46" t="str">
        <f>IFERROR(IF(OR(INPUT!P3476="",INPUT!Q3476=""),"",INPUT!P3476-INPUT!Q3476),"")</f>
        <v/>
      </c>
      <c r="L3481" s="48" t="str">
        <f>IFERROR(IF(OR(INPUT!P3476="",INPUT!Q3476="",INPUT!P3476=0),"",(INPUT!P3476-INPUT!Q3476)/INPUT!P3476),"")</f>
        <v/>
      </c>
    </row>
    <row r="3482" spans="1:12" ht="18" hidden="1" customHeight="1" x14ac:dyDescent="0.2">
      <c r="A3482" s="11" t="str">
        <f>IF(INPUT!M3477="","",INPUT!M3477)</f>
        <v/>
      </c>
      <c r="B3482" s="11" t="str">
        <f>IF(INPUT!M3477="","",INPUT!M3477-WEEKDAY(INPUT!M3477,2)+1)</f>
        <v/>
      </c>
      <c r="C3482" s="20">
        <f>IFERROR(_xlfn.ISOWEEKNUM(INPUT!M3477),"")</f>
        <v>52</v>
      </c>
      <c r="D3482" s="20">
        <f>IFERROR(YEAR(INPUT!M3477),"")</f>
        <v>1900</v>
      </c>
      <c r="E3482" t="str">
        <f>IF(INPUT!O3477="","",INPUT!O3477)</f>
        <v/>
      </c>
      <c r="F3482" t="str">
        <f>IF(INPUT!N3477="","",INPUT!N3477)</f>
        <v/>
      </c>
      <c r="G3482" cm="1">
        <f t="array" ref="G3482">IFERROR(VLOOKUP(INPUT!M3477&amp;INPUT!N3477,CHOOSE({1,2},INPUT!$A$3:$A$5000&amp;INPUT!$C$3:$C$5000,INPUT!$F$3:$F$5000),2,FALSE),"")</f>
        <v>0</v>
      </c>
      <c r="H3482" cm="1">
        <f t="array" ref="H3482">IFERROR(VLOOKUP(INPUT!M3477&amp;INPUT!N3477,CHOOSE({1,2},INPUT!$A$3:$A$5000&amp;INPUT!$C$3:$C$5000,INPUT!$D$3:$D$5000),2,FALSE),"")</f>
        <v>0</v>
      </c>
      <c r="I3482" s="46" t="str">
        <f>IF(INPUT!P3477="","",INPUT!P3477)</f>
        <v/>
      </c>
      <c r="J3482" s="46" t="str">
        <f>IF(INPUT!Q3477="","",INPUT!Q3477)</f>
        <v/>
      </c>
      <c r="K3482" s="46" t="str">
        <f>IFERROR(IF(OR(INPUT!P3477="",INPUT!Q3477=""),"",INPUT!P3477-INPUT!Q3477),"")</f>
        <v/>
      </c>
      <c r="L3482" s="48" t="str">
        <f>IFERROR(IF(OR(INPUT!P3477="",INPUT!Q3477="",INPUT!P3477=0),"",(INPUT!P3477-INPUT!Q3477)/INPUT!P3477),"")</f>
        <v/>
      </c>
    </row>
    <row r="3483" spans="1:12" ht="18" hidden="1" customHeight="1" x14ac:dyDescent="0.2">
      <c r="A3483" s="11" t="str">
        <f>IF(INPUT!M3478="","",INPUT!M3478)</f>
        <v/>
      </c>
      <c r="B3483" s="11" t="str">
        <f>IF(INPUT!M3478="","",INPUT!M3478-WEEKDAY(INPUT!M3478,2)+1)</f>
        <v/>
      </c>
      <c r="C3483" s="20">
        <f>IFERROR(_xlfn.ISOWEEKNUM(INPUT!M3478),"")</f>
        <v>52</v>
      </c>
      <c r="D3483" s="20">
        <f>IFERROR(YEAR(INPUT!M3478),"")</f>
        <v>1900</v>
      </c>
      <c r="E3483" t="str">
        <f>IF(INPUT!O3478="","",INPUT!O3478)</f>
        <v/>
      </c>
      <c r="F3483" t="str">
        <f>IF(INPUT!N3478="","",INPUT!N3478)</f>
        <v/>
      </c>
      <c r="G3483" cm="1">
        <f t="array" ref="G3483">IFERROR(VLOOKUP(INPUT!M3478&amp;INPUT!N3478,CHOOSE({1,2},INPUT!$A$3:$A$5000&amp;INPUT!$C$3:$C$5000,INPUT!$F$3:$F$5000),2,FALSE),"")</f>
        <v>0</v>
      </c>
      <c r="H3483" cm="1">
        <f t="array" ref="H3483">IFERROR(VLOOKUP(INPUT!M3478&amp;INPUT!N3478,CHOOSE({1,2},INPUT!$A$3:$A$5000&amp;INPUT!$C$3:$C$5000,INPUT!$D$3:$D$5000),2,FALSE),"")</f>
        <v>0</v>
      </c>
      <c r="I3483" s="46" t="str">
        <f>IF(INPUT!P3478="","",INPUT!P3478)</f>
        <v/>
      </c>
      <c r="J3483" s="46" t="str">
        <f>IF(INPUT!Q3478="","",INPUT!Q3478)</f>
        <v/>
      </c>
      <c r="K3483" s="46" t="str">
        <f>IFERROR(IF(OR(INPUT!P3478="",INPUT!Q3478=""),"",INPUT!P3478-INPUT!Q3478),"")</f>
        <v/>
      </c>
      <c r="L3483" s="48" t="str">
        <f>IFERROR(IF(OR(INPUT!P3478="",INPUT!Q3478="",INPUT!P3478=0),"",(INPUT!P3478-INPUT!Q3478)/INPUT!P3478),"")</f>
        <v/>
      </c>
    </row>
    <row r="3484" spans="1:12" ht="18" hidden="1" customHeight="1" x14ac:dyDescent="0.2">
      <c r="A3484" s="11" t="str">
        <f>IF(INPUT!M3479="","",INPUT!M3479)</f>
        <v/>
      </c>
      <c r="B3484" s="11" t="str">
        <f>IF(INPUT!M3479="","",INPUT!M3479-WEEKDAY(INPUT!M3479,2)+1)</f>
        <v/>
      </c>
      <c r="C3484" s="20">
        <f>IFERROR(_xlfn.ISOWEEKNUM(INPUT!M3479),"")</f>
        <v>52</v>
      </c>
      <c r="D3484" s="20">
        <f>IFERROR(YEAR(INPUT!M3479),"")</f>
        <v>1900</v>
      </c>
      <c r="E3484" t="str">
        <f>IF(INPUT!O3479="","",INPUT!O3479)</f>
        <v/>
      </c>
      <c r="F3484" t="str">
        <f>IF(INPUT!N3479="","",INPUT!N3479)</f>
        <v/>
      </c>
      <c r="G3484" cm="1">
        <f t="array" ref="G3484">IFERROR(VLOOKUP(INPUT!M3479&amp;INPUT!N3479,CHOOSE({1,2},INPUT!$A$3:$A$5000&amp;INPUT!$C$3:$C$5000,INPUT!$F$3:$F$5000),2,FALSE),"")</f>
        <v>0</v>
      </c>
      <c r="H3484" cm="1">
        <f t="array" ref="H3484">IFERROR(VLOOKUP(INPUT!M3479&amp;INPUT!N3479,CHOOSE({1,2},INPUT!$A$3:$A$5000&amp;INPUT!$C$3:$C$5000,INPUT!$D$3:$D$5000),2,FALSE),"")</f>
        <v>0</v>
      </c>
      <c r="I3484" s="46" t="str">
        <f>IF(INPUT!P3479="","",INPUT!P3479)</f>
        <v/>
      </c>
      <c r="J3484" s="46" t="str">
        <f>IF(INPUT!Q3479="","",INPUT!Q3479)</f>
        <v/>
      </c>
      <c r="K3484" s="46" t="str">
        <f>IFERROR(IF(OR(INPUT!P3479="",INPUT!Q3479=""),"",INPUT!P3479-INPUT!Q3479),"")</f>
        <v/>
      </c>
      <c r="L3484" s="48" t="str">
        <f>IFERROR(IF(OR(INPUT!P3479="",INPUT!Q3479="",INPUT!P3479=0),"",(INPUT!P3479-INPUT!Q3479)/INPUT!P3479),"")</f>
        <v/>
      </c>
    </row>
    <row r="3485" spans="1:12" ht="18" hidden="1" customHeight="1" x14ac:dyDescent="0.2">
      <c r="A3485" s="11" t="str">
        <f>IF(INPUT!M3480="","",INPUT!M3480)</f>
        <v/>
      </c>
      <c r="B3485" s="11" t="str">
        <f>IF(INPUT!M3480="","",INPUT!M3480-WEEKDAY(INPUT!M3480,2)+1)</f>
        <v/>
      </c>
      <c r="C3485" s="20">
        <f>IFERROR(_xlfn.ISOWEEKNUM(INPUT!M3480),"")</f>
        <v>52</v>
      </c>
      <c r="D3485" s="20">
        <f>IFERROR(YEAR(INPUT!M3480),"")</f>
        <v>1900</v>
      </c>
      <c r="E3485" t="str">
        <f>IF(INPUT!O3480="","",INPUT!O3480)</f>
        <v/>
      </c>
      <c r="F3485" t="str">
        <f>IF(INPUT!N3480="","",INPUT!N3480)</f>
        <v/>
      </c>
      <c r="G3485" cm="1">
        <f t="array" ref="G3485">IFERROR(VLOOKUP(INPUT!M3480&amp;INPUT!N3480,CHOOSE({1,2},INPUT!$A$3:$A$5000&amp;INPUT!$C$3:$C$5000,INPUT!$F$3:$F$5000),2,FALSE),"")</f>
        <v>0</v>
      </c>
      <c r="H3485" cm="1">
        <f t="array" ref="H3485">IFERROR(VLOOKUP(INPUT!M3480&amp;INPUT!N3480,CHOOSE({1,2},INPUT!$A$3:$A$5000&amp;INPUT!$C$3:$C$5000,INPUT!$D$3:$D$5000),2,FALSE),"")</f>
        <v>0</v>
      </c>
      <c r="I3485" s="46" t="str">
        <f>IF(INPUT!P3480="","",INPUT!P3480)</f>
        <v/>
      </c>
      <c r="J3485" s="46" t="str">
        <f>IF(INPUT!Q3480="","",INPUT!Q3480)</f>
        <v/>
      </c>
      <c r="K3485" s="46" t="str">
        <f>IFERROR(IF(OR(INPUT!P3480="",INPUT!Q3480=""),"",INPUT!P3480-INPUT!Q3480),"")</f>
        <v/>
      </c>
      <c r="L3485" s="48" t="str">
        <f>IFERROR(IF(OR(INPUT!P3480="",INPUT!Q3480="",INPUT!P3480=0),"",(INPUT!P3480-INPUT!Q3480)/INPUT!P3480),"")</f>
        <v/>
      </c>
    </row>
    <row r="3486" spans="1:12" ht="18" hidden="1" customHeight="1" x14ac:dyDescent="0.2">
      <c r="A3486" s="11" t="str">
        <f>IF(INPUT!M3481="","",INPUT!M3481)</f>
        <v/>
      </c>
      <c r="B3486" s="11" t="str">
        <f>IF(INPUT!M3481="","",INPUT!M3481-WEEKDAY(INPUT!M3481,2)+1)</f>
        <v/>
      </c>
      <c r="C3486" s="20">
        <f>IFERROR(_xlfn.ISOWEEKNUM(INPUT!M3481),"")</f>
        <v>52</v>
      </c>
      <c r="D3486" s="20">
        <f>IFERROR(YEAR(INPUT!M3481),"")</f>
        <v>1900</v>
      </c>
      <c r="E3486" t="str">
        <f>IF(INPUT!O3481="","",INPUT!O3481)</f>
        <v/>
      </c>
      <c r="F3486" t="str">
        <f>IF(INPUT!N3481="","",INPUT!N3481)</f>
        <v/>
      </c>
      <c r="G3486" cm="1">
        <f t="array" ref="G3486">IFERROR(VLOOKUP(INPUT!M3481&amp;INPUT!N3481,CHOOSE({1,2},INPUT!$A$3:$A$5000&amp;INPUT!$C$3:$C$5000,INPUT!$F$3:$F$5000),2,FALSE),"")</f>
        <v>0</v>
      </c>
      <c r="H3486" cm="1">
        <f t="array" ref="H3486">IFERROR(VLOOKUP(INPUT!M3481&amp;INPUT!N3481,CHOOSE({1,2},INPUT!$A$3:$A$5000&amp;INPUT!$C$3:$C$5000,INPUT!$D$3:$D$5000),2,FALSE),"")</f>
        <v>0</v>
      </c>
      <c r="I3486" s="46" t="str">
        <f>IF(INPUT!P3481="","",INPUT!P3481)</f>
        <v/>
      </c>
      <c r="J3486" s="46" t="str">
        <f>IF(INPUT!Q3481="","",INPUT!Q3481)</f>
        <v/>
      </c>
      <c r="K3486" s="46" t="str">
        <f>IFERROR(IF(OR(INPUT!P3481="",INPUT!Q3481=""),"",INPUT!P3481-INPUT!Q3481),"")</f>
        <v/>
      </c>
      <c r="L3486" s="48" t="str">
        <f>IFERROR(IF(OR(INPUT!P3481="",INPUT!Q3481="",INPUT!P3481=0),"",(INPUT!P3481-INPUT!Q3481)/INPUT!P3481),"")</f>
        <v/>
      </c>
    </row>
    <row r="3487" spans="1:12" ht="18" hidden="1" customHeight="1" x14ac:dyDescent="0.2">
      <c r="A3487" s="11" t="str">
        <f>IF(INPUT!M3482="","",INPUT!M3482)</f>
        <v/>
      </c>
      <c r="B3487" s="11" t="str">
        <f>IF(INPUT!M3482="","",INPUT!M3482-WEEKDAY(INPUT!M3482,2)+1)</f>
        <v/>
      </c>
      <c r="C3487" s="20">
        <f>IFERROR(_xlfn.ISOWEEKNUM(INPUT!M3482),"")</f>
        <v>52</v>
      </c>
      <c r="D3487" s="20">
        <f>IFERROR(YEAR(INPUT!M3482),"")</f>
        <v>1900</v>
      </c>
      <c r="E3487" t="str">
        <f>IF(INPUT!O3482="","",INPUT!O3482)</f>
        <v/>
      </c>
      <c r="F3487" t="str">
        <f>IF(INPUT!N3482="","",INPUT!N3482)</f>
        <v/>
      </c>
      <c r="G3487" cm="1">
        <f t="array" ref="G3487">IFERROR(VLOOKUP(INPUT!M3482&amp;INPUT!N3482,CHOOSE({1,2},INPUT!$A$3:$A$5000&amp;INPUT!$C$3:$C$5000,INPUT!$F$3:$F$5000),2,FALSE),"")</f>
        <v>0</v>
      </c>
      <c r="H3487" cm="1">
        <f t="array" ref="H3487">IFERROR(VLOOKUP(INPUT!M3482&amp;INPUT!N3482,CHOOSE({1,2},INPUT!$A$3:$A$5000&amp;INPUT!$C$3:$C$5000,INPUT!$D$3:$D$5000),2,FALSE),"")</f>
        <v>0</v>
      </c>
      <c r="I3487" s="46" t="str">
        <f>IF(INPUT!P3482="","",INPUT!P3482)</f>
        <v/>
      </c>
      <c r="J3487" s="46" t="str">
        <f>IF(INPUT!Q3482="","",INPUT!Q3482)</f>
        <v/>
      </c>
      <c r="K3487" s="46" t="str">
        <f>IFERROR(IF(OR(INPUT!P3482="",INPUT!Q3482=""),"",INPUT!P3482-INPUT!Q3482),"")</f>
        <v/>
      </c>
      <c r="L3487" s="48" t="str">
        <f>IFERROR(IF(OR(INPUT!P3482="",INPUT!Q3482="",INPUT!P3482=0),"",(INPUT!P3482-INPUT!Q3482)/INPUT!P3482),"")</f>
        <v/>
      </c>
    </row>
    <row r="3488" spans="1:12" ht="18" hidden="1" customHeight="1" x14ac:dyDescent="0.2">
      <c r="A3488" s="11" t="str">
        <f>IF(INPUT!M3483="","",INPUT!M3483)</f>
        <v/>
      </c>
      <c r="B3488" s="11" t="str">
        <f>IF(INPUT!M3483="","",INPUT!M3483-WEEKDAY(INPUT!M3483,2)+1)</f>
        <v/>
      </c>
      <c r="C3488" s="20">
        <f>IFERROR(_xlfn.ISOWEEKNUM(INPUT!M3483),"")</f>
        <v>52</v>
      </c>
      <c r="D3488" s="20">
        <f>IFERROR(YEAR(INPUT!M3483),"")</f>
        <v>1900</v>
      </c>
      <c r="E3488" t="str">
        <f>IF(INPUT!O3483="","",INPUT!O3483)</f>
        <v/>
      </c>
      <c r="F3488" t="str">
        <f>IF(INPUT!N3483="","",INPUT!N3483)</f>
        <v/>
      </c>
      <c r="G3488" cm="1">
        <f t="array" ref="G3488">IFERROR(VLOOKUP(INPUT!M3483&amp;INPUT!N3483,CHOOSE({1,2},INPUT!$A$3:$A$5000&amp;INPUT!$C$3:$C$5000,INPUT!$F$3:$F$5000),2,FALSE),"")</f>
        <v>0</v>
      </c>
      <c r="H3488" cm="1">
        <f t="array" ref="H3488">IFERROR(VLOOKUP(INPUT!M3483&amp;INPUT!N3483,CHOOSE({1,2},INPUT!$A$3:$A$5000&amp;INPUT!$C$3:$C$5000,INPUT!$D$3:$D$5000),2,FALSE),"")</f>
        <v>0</v>
      </c>
      <c r="I3488" s="46" t="str">
        <f>IF(INPUT!P3483="","",INPUT!P3483)</f>
        <v/>
      </c>
      <c r="J3488" s="46" t="str">
        <f>IF(INPUT!Q3483="","",INPUT!Q3483)</f>
        <v/>
      </c>
      <c r="K3488" s="46" t="str">
        <f>IFERROR(IF(OR(INPUT!P3483="",INPUT!Q3483=""),"",INPUT!P3483-INPUT!Q3483),"")</f>
        <v/>
      </c>
      <c r="L3488" s="48" t="str">
        <f>IFERROR(IF(OR(INPUT!P3483="",INPUT!Q3483="",INPUT!P3483=0),"",(INPUT!P3483-INPUT!Q3483)/INPUT!P3483),"")</f>
        <v/>
      </c>
    </row>
    <row r="3489" spans="1:12" ht="18" hidden="1" customHeight="1" x14ac:dyDescent="0.2">
      <c r="A3489" s="11" t="str">
        <f>IF(INPUT!M3484="","",INPUT!M3484)</f>
        <v/>
      </c>
      <c r="B3489" s="11" t="str">
        <f>IF(INPUT!M3484="","",INPUT!M3484-WEEKDAY(INPUT!M3484,2)+1)</f>
        <v/>
      </c>
      <c r="C3489" s="20">
        <f>IFERROR(_xlfn.ISOWEEKNUM(INPUT!M3484),"")</f>
        <v>52</v>
      </c>
      <c r="D3489" s="20">
        <f>IFERROR(YEAR(INPUT!M3484),"")</f>
        <v>1900</v>
      </c>
      <c r="E3489" t="str">
        <f>IF(INPUT!O3484="","",INPUT!O3484)</f>
        <v/>
      </c>
      <c r="F3489" t="str">
        <f>IF(INPUT!N3484="","",INPUT!N3484)</f>
        <v/>
      </c>
      <c r="G3489" cm="1">
        <f t="array" ref="G3489">IFERROR(VLOOKUP(INPUT!M3484&amp;INPUT!N3484,CHOOSE({1,2},INPUT!$A$3:$A$5000&amp;INPUT!$C$3:$C$5000,INPUT!$F$3:$F$5000),2,FALSE),"")</f>
        <v>0</v>
      </c>
      <c r="H3489" cm="1">
        <f t="array" ref="H3489">IFERROR(VLOOKUP(INPUT!M3484&amp;INPUT!N3484,CHOOSE({1,2},INPUT!$A$3:$A$5000&amp;INPUT!$C$3:$C$5000,INPUT!$D$3:$D$5000),2,FALSE),"")</f>
        <v>0</v>
      </c>
      <c r="I3489" s="46" t="str">
        <f>IF(INPUT!P3484="","",INPUT!P3484)</f>
        <v/>
      </c>
      <c r="J3489" s="46" t="str">
        <f>IF(INPUT!Q3484="","",INPUT!Q3484)</f>
        <v/>
      </c>
      <c r="K3489" s="46" t="str">
        <f>IFERROR(IF(OR(INPUT!P3484="",INPUT!Q3484=""),"",INPUT!P3484-INPUT!Q3484),"")</f>
        <v/>
      </c>
      <c r="L3489" s="48" t="str">
        <f>IFERROR(IF(OR(INPUT!P3484="",INPUT!Q3484="",INPUT!P3484=0),"",(INPUT!P3484-INPUT!Q3484)/INPUT!P3484),"")</f>
        <v/>
      </c>
    </row>
    <row r="3490" spans="1:12" ht="18" hidden="1" customHeight="1" x14ac:dyDescent="0.2">
      <c r="A3490" s="11" t="str">
        <f>IF(INPUT!M3485="","",INPUT!M3485)</f>
        <v/>
      </c>
      <c r="B3490" s="11" t="str">
        <f>IF(INPUT!M3485="","",INPUT!M3485-WEEKDAY(INPUT!M3485,2)+1)</f>
        <v/>
      </c>
      <c r="C3490" s="20">
        <f>IFERROR(_xlfn.ISOWEEKNUM(INPUT!M3485),"")</f>
        <v>52</v>
      </c>
      <c r="D3490" s="20">
        <f>IFERROR(YEAR(INPUT!M3485),"")</f>
        <v>1900</v>
      </c>
      <c r="E3490" t="str">
        <f>IF(INPUT!O3485="","",INPUT!O3485)</f>
        <v/>
      </c>
      <c r="F3490" t="str">
        <f>IF(INPUT!N3485="","",INPUT!N3485)</f>
        <v/>
      </c>
      <c r="G3490" cm="1">
        <f t="array" ref="G3490">IFERROR(VLOOKUP(INPUT!M3485&amp;INPUT!N3485,CHOOSE({1,2},INPUT!$A$3:$A$5000&amp;INPUT!$C$3:$C$5000,INPUT!$F$3:$F$5000),2,FALSE),"")</f>
        <v>0</v>
      </c>
      <c r="H3490" cm="1">
        <f t="array" ref="H3490">IFERROR(VLOOKUP(INPUT!M3485&amp;INPUT!N3485,CHOOSE({1,2},INPUT!$A$3:$A$5000&amp;INPUT!$C$3:$C$5000,INPUT!$D$3:$D$5000),2,FALSE),"")</f>
        <v>0</v>
      </c>
      <c r="I3490" s="46" t="str">
        <f>IF(INPUT!P3485="","",INPUT!P3485)</f>
        <v/>
      </c>
      <c r="J3490" s="46" t="str">
        <f>IF(INPUT!Q3485="","",INPUT!Q3485)</f>
        <v/>
      </c>
      <c r="K3490" s="46" t="str">
        <f>IFERROR(IF(OR(INPUT!P3485="",INPUT!Q3485=""),"",INPUT!P3485-INPUT!Q3485),"")</f>
        <v/>
      </c>
      <c r="L3490" s="48" t="str">
        <f>IFERROR(IF(OR(INPUT!P3485="",INPUT!Q3485="",INPUT!P3485=0),"",(INPUT!P3485-INPUT!Q3485)/INPUT!P3485),"")</f>
        <v/>
      </c>
    </row>
    <row r="3491" spans="1:12" ht="18" hidden="1" customHeight="1" x14ac:dyDescent="0.2">
      <c r="A3491" s="11" t="str">
        <f>IF(INPUT!M3486="","",INPUT!M3486)</f>
        <v/>
      </c>
      <c r="B3491" s="11" t="str">
        <f>IF(INPUT!M3486="","",INPUT!M3486-WEEKDAY(INPUT!M3486,2)+1)</f>
        <v/>
      </c>
      <c r="C3491" s="20">
        <f>IFERROR(_xlfn.ISOWEEKNUM(INPUT!M3486),"")</f>
        <v>52</v>
      </c>
      <c r="D3491" s="20">
        <f>IFERROR(YEAR(INPUT!M3486),"")</f>
        <v>1900</v>
      </c>
      <c r="E3491" t="str">
        <f>IF(INPUT!O3486="","",INPUT!O3486)</f>
        <v/>
      </c>
      <c r="F3491" t="str">
        <f>IF(INPUT!N3486="","",INPUT!N3486)</f>
        <v/>
      </c>
      <c r="G3491" cm="1">
        <f t="array" ref="G3491">IFERROR(VLOOKUP(INPUT!M3486&amp;INPUT!N3486,CHOOSE({1,2},INPUT!$A$3:$A$5000&amp;INPUT!$C$3:$C$5000,INPUT!$F$3:$F$5000),2,FALSE),"")</f>
        <v>0</v>
      </c>
      <c r="H3491" cm="1">
        <f t="array" ref="H3491">IFERROR(VLOOKUP(INPUT!M3486&amp;INPUT!N3486,CHOOSE({1,2},INPUT!$A$3:$A$5000&amp;INPUT!$C$3:$C$5000,INPUT!$D$3:$D$5000),2,FALSE),"")</f>
        <v>0</v>
      </c>
      <c r="I3491" s="46" t="str">
        <f>IF(INPUT!P3486="","",INPUT!P3486)</f>
        <v/>
      </c>
      <c r="J3491" s="46" t="str">
        <f>IF(INPUT!Q3486="","",INPUT!Q3486)</f>
        <v/>
      </c>
      <c r="K3491" s="46" t="str">
        <f>IFERROR(IF(OR(INPUT!P3486="",INPUT!Q3486=""),"",INPUT!P3486-INPUT!Q3486),"")</f>
        <v/>
      </c>
      <c r="L3491" s="48" t="str">
        <f>IFERROR(IF(OR(INPUT!P3486="",INPUT!Q3486="",INPUT!P3486=0),"",(INPUT!P3486-INPUT!Q3486)/INPUT!P3486),"")</f>
        <v/>
      </c>
    </row>
    <row r="3492" spans="1:12" ht="18" hidden="1" customHeight="1" x14ac:dyDescent="0.2">
      <c r="A3492" s="11" t="str">
        <f>IF(INPUT!M3487="","",INPUT!M3487)</f>
        <v/>
      </c>
      <c r="B3492" s="11" t="str">
        <f>IF(INPUT!M3487="","",INPUT!M3487-WEEKDAY(INPUT!M3487,2)+1)</f>
        <v/>
      </c>
      <c r="C3492" s="20">
        <f>IFERROR(_xlfn.ISOWEEKNUM(INPUT!M3487),"")</f>
        <v>52</v>
      </c>
      <c r="D3492" s="20">
        <f>IFERROR(YEAR(INPUT!M3487),"")</f>
        <v>1900</v>
      </c>
      <c r="E3492" t="str">
        <f>IF(INPUT!O3487="","",INPUT!O3487)</f>
        <v/>
      </c>
      <c r="F3492" t="str">
        <f>IF(INPUT!N3487="","",INPUT!N3487)</f>
        <v/>
      </c>
      <c r="G3492" cm="1">
        <f t="array" ref="G3492">IFERROR(VLOOKUP(INPUT!M3487&amp;INPUT!N3487,CHOOSE({1,2},INPUT!$A$3:$A$5000&amp;INPUT!$C$3:$C$5000,INPUT!$F$3:$F$5000),2,FALSE),"")</f>
        <v>0</v>
      </c>
      <c r="H3492" cm="1">
        <f t="array" ref="H3492">IFERROR(VLOOKUP(INPUT!M3487&amp;INPUT!N3487,CHOOSE({1,2},INPUT!$A$3:$A$5000&amp;INPUT!$C$3:$C$5000,INPUT!$D$3:$D$5000),2,FALSE),"")</f>
        <v>0</v>
      </c>
      <c r="I3492" s="46" t="str">
        <f>IF(INPUT!P3487="","",INPUT!P3487)</f>
        <v/>
      </c>
      <c r="J3492" s="46" t="str">
        <f>IF(INPUT!Q3487="","",INPUT!Q3487)</f>
        <v/>
      </c>
      <c r="K3492" s="46" t="str">
        <f>IFERROR(IF(OR(INPUT!P3487="",INPUT!Q3487=""),"",INPUT!P3487-INPUT!Q3487),"")</f>
        <v/>
      </c>
      <c r="L3492" s="48" t="str">
        <f>IFERROR(IF(OR(INPUT!P3487="",INPUT!Q3487="",INPUT!P3487=0),"",(INPUT!P3487-INPUT!Q3487)/INPUT!P3487),"")</f>
        <v/>
      </c>
    </row>
    <row r="3493" spans="1:12" ht="18" hidden="1" customHeight="1" x14ac:dyDescent="0.2">
      <c r="A3493" s="11" t="str">
        <f>IF(INPUT!M3488="","",INPUT!M3488)</f>
        <v/>
      </c>
      <c r="B3493" s="11" t="str">
        <f>IF(INPUT!M3488="","",INPUT!M3488-WEEKDAY(INPUT!M3488,2)+1)</f>
        <v/>
      </c>
      <c r="C3493" s="20">
        <f>IFERROR(_xlfn.ISOWEEKNUM(INPUT!M3488),"")</f>
        <v>52</v>
      </c>
      <c r="D3493" s="20">
        <f>IFERROR(YEAR(INPUT!M3488),"")</f>
        <v>1900</v>
      </c>
      <c r="E3493" t="str">
        <f>IF(INPUT!O3488="","",INPUT!O3488)</f>
        <v/>
      </c>
      <c r="F3493" t="str">
        <f>IF(INPUT!N3488="","",INPUT!N3488)</f>
        <v/>
      </c>
      <c r="G3493" cm="1">
        <f t="array" ref="G3493">IFERROR(VLOOKUP(INPUT!M3488&amp;INPUT!N3488,CHOOSE({1,2},INPUT!$A$3:$A$5000&amp;INPUT!$C$3:$C$5000,INPUT!$F$3:$F$5000),2,FALSE),"")</f>
        <v>0</v>
      </c>
      <c r="H3493" cm="1">
        <f t="array" ref="H3493">IFERROR(VLOOKUP(INPUT!M3488&amp;INPUT!N3488,CHOOSE({1,2},INPUT!$A$3:$A$5000&amp;INPUT!$C$3:$C$5000,INPUT!$D$3:$D$5000),2,FALSE),"")</f>
        <v>0</v>
      </c>
      <c r="I3493" s="46" t="str">
        <f>IF(INPUT!P3488="","",INPUT!P3488)</f>
        <v/>
      </c>
      <c r="J3493" s="46" t="str">
        <f>IF(INPUT!Q3488="","",INPUT!Q3488)</f>
        <v/>
      </c>
      <c r="K3493" s="46" t="str">
        <f>IFERROR(IF(OR(INPUT!P3488="",INPUT!Q3488=""),"",INPUT!P3488-INPUT!Q3488),"")</f>
        <v/>
      </c>
      <c r="L3493" s="48" t="str">
        <f>IFERROR(IF(OR(INPUT!P3488="",INPUT!Q3488="",INPUT!P3488=0),"",(INPUT!P3488-INPUT!Q3488)/INPUT!P3488),"")</f>
        <v/>
      </c>
    </row>
    <row r="3494" spans="1:12" ht="18" hidden="1" customHeight="1" x14ac:dyDescent="0.2">
      <c r="A3494" s="11" t="str">
        <f>IF(INPUT!M3489="","",INPUT!M3489)</f>
        <v/>
      </c>
      <c r="B3494" s="11" t="str">
        <f>IF(INPUT!M3489="","",INPUT!M3489-WEEKDAY(INPUT!M3489,2)+1)</f>
        <v/>
      </c>
      <c r="C3494" s="20">
        <f>IFERROR(_xlfn.ISOWEEKNUM(INPUT!M3489),"")</f>
        <v>52</v>
      </c>
      <c r="D3494" s="20">
        <f>IFERROR(YEAR(INPUT!M3489),"")</f>
        <v>1900</v>
      </c>
      <c r="E3494" t="str">
        <f>IF(INPUT!O3489="","",INPUT!O3489)</f>
        <v/>
      </c>
      <c r="F3494" t="str">
        <f>IF(INPUT!N3489="","",INPUT!N3489)</f>
        <v/>
      </c>
      <c r="G3494" cm="1">
        <f t="array" ref="G3494">IFERROR(VLOOKUP(INPUT!M3489&amp;INPUT!N3489,CHOOSE({1,2},INPUT!$A$3:$A$5000&amp;INPUT!$C$3:$C$5000,INPUT!$F$3:$F$5000),2,FALSE),"")</f>
        <v>0</v>
      </c>
      <c r="H3494" cm="1">
        <f t="array" ref="H3494">IFERROR(VLOOKUP(INPUT!M3489&amp;INPUT!N3489,CHOOSE({1,2},INPUT!$A$3:$A$5000&amp;INPUT!$C$3:$C$5000,INPUT!$D$3:$D$5000),2,FALSE),"")</f>
        <v>0</v>
      </c>
      <c r="I3494" s="46" t="str">
        <f>IF(INPUT!P3489="","",INPUT!P3489)</f>
        <v/>
      </c>
      <c r="J3494" s="46" t="str">
        <f>IF(INPUT!Q3489="","",INPUT!Q3489)</f>
        <v/>
      </c>
      <c r="K3494" s="46" t="str">
        <f>IFERROR(IF(OR(INPUT!P3489="",INPUT!Q3489=""),"",INPUT!P3489-INPUT!Q3489),"")</f>
        <v/>
      </c>
      <c r="L3494" s="48" t="str">
        <f>IFERROR(IF(OR(INPUT!P3489="",INPUT!Q3489="",INPUT!P3489=0),"",(INPUT!P3489-INPUT!Q3489)/INPUT!P3489),"")</f>
        <v/>
      </c>
    </row>
    <row r="3495" spans="1:12" ht="18" hidden="1" customHeight="1" x14ac:dyDescent="0.2">
      <c r="A3495" s="11" t="str">
        <f>IF(INPUT!M3490="","",INPUT!M3490)</f>
        <v/>
      </c>
      <c r="B3495" s="11" t="str">
        <f>IF(INPUT!M3490="","",INPUT!M3490-WEEKDAY(INPUT!M3490,2)+1)</f>
        <v/>
      </c>
      <c r="C3495" s="20">
        <f>IFERROR(_xlfn.ISOWEEKNUM(INPUT!M3490),"")</f>
        <v>52</v>
      </c>
      <c r="D3495" s="20">
        <f>IFERROR(YEAR(INPUT!M3490),"")</f>
        <v>1900</v>
      </c>
      <c r="E3495" t="str">
        <f>IF(INPUT!O3490="","",INPUT!O3490)</f>
        <v/>
      </c>
      <c r="F3495" t="str">
        <f>IF(INPUT!N3490="","",INPUT!N3490)</f>
        <v/>
      </c>
      <c r="G3495" cm="1">
        <f t="array" ref="G3495">IFERROR(VLOOKUP(INPUT!M3490&amp;INPUT!N3490,CHOOSE({1,2},INPUT!$A$3:$A$5000&amp;INPUT!$C$3:$C$5000,INPUT!$F$3:$F$5000),2,FALSE),"")</f>
        <v>0</v>
      </c>
      <c r="H3495" cm="1">
        <f t="array" ref="H3495">IFERROR(VLOOKUP(INPUT!M3490&amp;INPUT!N3490,CHOOSE({1,2},INPUT!$A$3:$A$5000&amp;INPUT!$C$3:$C$5000,INPUT!$D$3:$D$5000),2,FALSE),"")</f>
        <v>0</v>
      </c>
      <c r="I3495" s="46" t="str">
        <f>IF(INPUT!P3490="","",INPUT!P3490)</f>
        <v/>
      </c>
      <c r="J3495" s="46" t="str">
        <f>IF(INPUT!Q3490="","",INPUT!Q3490)</f>
        <v/>
      </c>
      <c r="K3495" s="46" t="str">
        <f>IFERROR(IF(OR(INPUT!P3490="",INPUT!Q3490=""),"",INPUT!P3490-INPUT!Q3490),"")</f>
        <v/>
      </c>
      <c r="L3495" s="48" t="str">
        <f>IFERROR(IF(OR(INPUT!P3490="",INPUT!Q3490="",INPUT!P3490=0),"",(INPUT!P3490-INPUT!Q3490)/INPUT!P3490),"")</f>
        <v/>
      </c>
    </row>
    <row r="3496" spans="1:12" ht="18" hidden="1" customHeight="1" x14ac:dyDescent="0.2">
      <c r="A3496" s="11" t="str">
        <f>IF(INPUT!M3491="","",INPUT!M3491)</f>
        <v/>
      </c>
      <c r="B3496" s="11" t="str">
        <f>IF(INPUT!M3491="","",INPUT!M3491-WEEKDAY(INPUT!M3491,2)+1)</f>
        <v/>
      </c>
      <c r="C3496" s="20">
        <f>IFERROR(_xlfn.ISOWEEKNUM(INPUT!M3491),"")</f>
        <v>52</v>
      </c>
      <c r="D3496" s="20">
        <f>IFERROR(YEAR(INPUT!M3491),"")</f>
        <v>1900</v>
      </c>
      <c r="E3496" t="str">
        <f>IF(INPUT!O3491="","",INPUT!O3491)</f>
        <v/>
      </c>
      <c r="F3496" t="str">
        <f>IF(INPUT!N3491="","",INPUT!N3491)</f>
        <v/>
      </c>
      <c r="G3496" cm="1">
        <f t="array" ref="G3496">IFERROR(VLOOKUP(INPUT!M3491&amp;INPUT!N3491,CHOOSE({1,2},INPUT!$A$3:$A$5000&amp;INPUT!$C$3:$C$5000,INPUT!$F$3:$F$5000),2,FALSE),"")</f>
        <v>0</v>
      </c>
      <c r="H3496" cm="1">
        <f t="array" ref="H3496">IFERROR(VLOOKUP(INPUT!M3491&amp;INPUT!N3491,CHOOSE({1,2},INPUT!$A$3:$A$5000&amp;INPUT!$C$3:$C$5000,INPUT!$D$3:$D$5000),2,FALSE),"")</f>
        <v>0</v>
      </c>
      <c r="I3496" s="46" t="str">
        <f>IF(INPUT!P3491="","",INPUT!P3491)</f>
        <v/>
      </c>
      <c r="J3496" s="46" t="str">
        <f>IF(INPUT!Q3491="","",INPUT!Q3491)</f>
        <v/>
      </c>
      <c r="K3496" s="46" t="str">
        <f>IFERROR(IF(OR(INPUT!P3491="",INPUT!Q3491=""),"",INPUT!P3491-INPUT!Q3491),"")</f>
        <v/>
      </c>
      <c r="L3496" s="48" t="str">
        <f>IFERROR(IF(OR(INPUT!P3491="",INPUT!Q3491="",INPUT!P3491=0),"",(INPUT!P3491-INPUT!Q3491)/INPUT!P3491),"")</f>
        <v/>
      </c>
    </row>
    <row r="3497" spans="1:12" ht="18" hidden="1" customHeight="1" x14ac:dyDescent="0.2">
      <c r="A3497" s="11" t="str">
        <f>IF(INPUT!M3492="","",INPUT!M3492)</f>
        <v/>
      </c>
      <c r="B3497" s="11" t="str">
        <f>IF(INPUT!M3492="","",INPUT!M3492-WEEKDAY(INPUT!M3492,2)+1)</f>
        <v/>
      </c>
      <c r="C3497" s="20">
        <f>IFERROR(_xlfn.ISOWEEKNUM(INPUT!M3492),"")</f>
        <v>52</v>
      </c>
      <c r="D3497" s="20">
        <f>IFERROR(YEAR(INPUT!M3492),"")</f>
        <v>1900</v>
      </c>
      <c r="E3497" t="str">
        <f>IF(INPUT!O3492="","",INPUT!O3492)</f>
        <v/>
      </c>
      <c r="F3497" t="str">
        <f>IF(INPUT!N3492="","",INPUT!N3492)</f>
        <v/>
      </c>
      <c r="G3497" cm="1">
        <f t="array" ref="G3497">IFERROR(VLOOKUP(INPUT!M3492&amp;INPUT!N3492,CHOOSE({1,2},INPUT!$A$3:$A$5000&amp;INPUT!$C$3:$C$5000,INPUT!$F$3:$F$5000),2,FALSE),"")</f>
        <v>0</v>
      </c>
      <c r="H3497" cm="1">
        <f t="array" ref="H3497">IFERROR(VLOOKUP(INPUT!M3492&amp;INPUT!N3492,CHOOSE({1,2},INPUT!$A$3:$A$5000&amp;INPUT!$C$3:$C$5000,INPUT!$D$3:$D$5000),2,FALSE),"")</f>
        <v>0</v>
      </c>
      <c r="I3497" s="46" t="str">
        <f>IF(INPUT!P3492="","",INPUT!P3492)</f>
        <v/>
      </c>
      <c r="J3497" s="46" t="str">
        <f>IF(INPUT!Q3492="","",INPUT!Q3492)</f>
        <v/>
      </c>
      <c r="K3497" s="46" t="str">
        <f>IFERROR(IF(OR(INPUT!P3492="",INPUT!Q3492=""),"",INPUT!P3492-INPUT!Q3492),"")</f>
        <v/>
      </c>
      <c r="L3497" s="48" t="str">
        <f>IFERROR(IF(OR(INPUT!P3492="",INPUT!Q3492="",INPUT!P3492=0),"",(INPUT!P3492-INPUT!Q3492)/INPUT!P3492),"")</f>
        <v/>
      </c>
    </row>
    <row r="3498" spans="1:12" ht="18" hidden="1" customHeight="1" x14ac:dyDescent="0.2">
      <c r="A3498" s="11" t="str">
        <f>IF(INPUT!M3493="","",INPUT!M3493)</f>
        <v/>
      </c>
      <c r="B3498" s="11" t="str">
        <f>IF(INPUT!M3493="","",INPUT!M3493-WEEKDAY(INPUT!M3493,2)+1)</f>
        <v/>
      </c>
      <c r="C3498" s="20">
        <f>IFERROR(_xlfn.ISOWEEKNUM(INPUT!M3493),"")</f>
        <v>52</v>
      </c>
      <c r="D3498" s="20">
        <f>IFERROR(YEAR(INPUT!M3493),"")</f>
        <v>1900</v>
      </c>
      <c r="E3498" t="str">
        <f>IF(INPUT!O3493="","",INPUT!O3493)</f>
        <v/>
      </c>
      <c r="F3498" t="str">
        <f>IF(INPUT!N3493="","",INPUT!N3493)</f>
        <v/>
      </c>
      <c r="G3498" cm="1">
        <f t="array" ref="G3498">IFERROR(VLOOKUP(INPUT!M3493&amp;INPUT!N3493,CHOOSE({1,2},INPUT!$A$3:$A$5000&amp;INPUT!$C$3:$C$5000,INPUT!$F$3:$F$5000),2,FALSE),"")</f>
        <v>0</v>
      </c>
      <c r="H3498" cm="1">
        <f t="array" ref="H3498">IFERROR(VLOOKUP(INPUT!M3493&amp;INPUT!N3493,CHOOSE({1,2},INPUT!$A$3:$A$5000&amp;INPUT!$C$3:$C$5000,INPUT!$D$3:$D$5000),2,FALSE),"")</f>
        <v>0</v>
      </c>
      <c r="I3498" s="46" t="str">
        <f>IF(INPUT!P3493="","",INPUT!P3493)</f>
        <v/>
      </c>
      <c r="J3498" s="46" t="str">
        <f>IF(INPUT!Q3493="","",INPUT!Q3493)</f>
        <v/>
      </c>
      <c r="K3498" s="46" t="str">
        <f>IFERROR(IF(OR(INPUT!P3493="",INPUT!Q3493=""),"",INPUT!P3493-INPUT!Q3493),"")</f>
        <v/>
      </c>
      <c r="L3498" s="48" t="str">
        <f>IFERROR(IF(OR(INPUT!P3493="",INPUT!Q3493="",INPUT!P3493=0),"",(INPUT!P3493-INPUT!Q3493)/INPUT!P3493),"")</f>
        <v/>
      </c>
    </row>
    <row r="3499" spans="1:12" ht="18" hidden="1" customHeight="1" x14ac:dyDescent="0.2">
      <c r="A3499" s="11" t="str">
        <f>IF(INPUT!M3494="","",INPUT!M3494)</f>
        <v/>
      </c>
      <c r="B3499" s="11" t="str">
        <f>IF(INPUT!M3494="","",INPUT!M3494-WEEKDAY(INPUT!M3494,2)+1)</f>
        <v/>
      </c>
      <c r="C3499" s="20">
        <f>IFERROR(_xlfn.ISOWEEKNUM(INPUT!M3494),"")</f>
        <v>52</v>
      </c>
      <c r="D3499" s="20">
        <f>IFERROR(YEAR(INPUT!M3494),"")</f>
        <v>1900</v>
      </c>
      <c r="E3499" t="str">
        <f>IF(INPUT!O3494="","",INPUT!O3494)</f>
        <v/>
      </c>
      <c r="F3499" t="str">
        <f>IF(INPUT!N3494="","",INPUT!N3494)</f>
        <v/>
      </c>
      <c r="G3499" cm="1">
        <f t="array" ref="G3499">IFERROR(VLOOKUP(INPUT!M3494&amp;INPUT!N3494,CHOOSE({1,2},INPUT!$A$3:$A$5000&amp;INPUT!$C$3:$C$5000,INPUT!$F$3:$F$5000),2,FALSE),"")</f>
        <v>0</v>
      </c>
      <c r="H3499" cm="1">
        <f t="array" ref="H3499">IFERROR(VLOOKUP(INPUT!M3494&amp;INPUT!N3494,CHOOSE({1,2},INPUT!$A$3:$A$5000&amp;INPUT!$C$3:$C$5000,INPUT!$D$3:$D$5000),2,FALSE),"")</f>
        <v>0</v>
      </c>
      <c r="I3499" s="46" t="str">
        <f>IF(INPUT!P3494="","",INPUT!P3494)</f>
        <v/>
      </c>
      <c r="J3499" s="46" t="str">
        <f>IF(INPUT!Q3494="","",INPUT!Q3494)</f>
        <v/>
      </c>
      <c r="K3499" s="46" t="str">
        <f>IFERROR(IF(OR(INPUT!P3494="",INPUT!Q3494=""),"",INPUT!P3494-INPUT!Q3494),"")</f>
        <v/>
      </c>
      <c r="L3499" s="48" t="str">
        <f>IFERROR(IF(OR(INPUT!P3494="",INPUT!Q3494="",INPUT!P3494=0),"",(INPUT!P3494-INPUT!Q3494)/INPUT!P3494),"")</f>
        <v/>
      </c>
    </row>
    <row r="3500" spans="1:12" ht="18" hidden="1" customHeight="1" x14ac:dyDescent="0.2">
      <c r="A3500" s="11" t="str">
        <f>IF(INPUT!M3495="","",INPUT!M3495)</f>
        <v/>
      </c>
      <c r="B3500" s="11" t="str">
        <f>IF(INPUT!M3495="","",INPUT!M3495-WEEKDAY(INPUT!M3495,2)+1)</f>
        <v/>
      </c>
      <c r="C3500" s="20">
        <f>IFERROR(_xlfn.ISOWEEKNUM(INPUT!M3495),"")</f>
        <v>52</v>
      </c>
      <c r="D3500" s="20">
        <f>IFERROR(YEAR(INPUT!M3495),"")</f>
        <v>1900</v>
      </c>
      <c r="E3500" t="str">
        <f>IF(INPUT!O3495="","",INPUT!O3495)</f>
        <v/>
      </c>
      <c r="F3500" t="str">
        <f>IF(INPUT!N3495="","",INPUT!N3495)</f>
        <v/>
      </c>
      <c r="G3500" cm="1">
        <f t="array" ref="G3500">IFERROR(VLOOKUP(INPUT!M3495&amp;INPUT!N3495,CHOOSE({1,2},INPUT!$A$3:$A$5000&amp;INPUT!$C$3:$C$5000,INPUT!$F$3:$F$5000),2,FALSE),"")</f>
        <v>0</v>
      </c>
      <c r="H3500" cm="1">
        <f t="array" ref="H3500">IFERROR(VLOOKUP(INPUT!M3495&amp;INPUT!N3495,CHOOSE({1,2},INPUT!$A$3:$A$5000&amp;INPUT!$C$3:$C$5000,INPUT!$D$3:$D$5000),2,FALSE),"")</f>
        <v>0</v>
      </c>
      <c r="I3500" s="46" t="str">
        <f>IF(INPUT!P3495="","",INPUT!P3495)</f>
        <v/>
      </c>
      <c r="J3500" s="46" t="str">
        <f>IF(INPUT!Q3495="","",INPUT!Q3495)</f>
        <v/>
      </c>
      <c r="K3500" s="46" t="str">
        <f>IFERROR(IF(OR(INPUT!P3495="",INPUT!Q3495=""),"",INPUT!P3495-INPUT!Q3495),"")</f>
        <v/>
      </c>
      <c r="L3500" s="48" t="str">
        <f>IFERROR(IF(OR(INPUT!P3495="",INPUT!Q3495="",INPUT!P3495=0),"",(INPUT!P3495-INPUT!Q3495)/INPUT!P3495),"")</f>
        <v/>
      </c>
    </row>
    <row r="3501" spans="1:12" ht="18" hidden="1" customHeight="1" x14ac:dyDescent="0.2">
      <c r="A3501" s="11" t="str">
        <f>IF(INPUT!M3496="","",INPUT!M3496)</f>
        <v/>
      </c>
      <c r="B3501" s="11" t="str">
        <f>IF(INPUT!M3496="","",INPUT!M3496-WEEKDAY(INPUT!M3496,2)+1)</f>
        <v/>
      </c>
      <c r="C3501" s="20">
        <f>IFERROR(_xlfn.ISOWEEKNUM(INPUT!M3496),"")</f>
        <v>52</v>
      </c>
      <c r="D3501" s="20">
        <f>IFERROR(YEAR(INPUT!M3496),"")</f>
        <v>1900</v>
      </c>
      <c r="E3501" t="str">
        <f>IF(INPUT!O3496="","",INPUT!O3496)</f>
        <v/>
      </c>
      <c r="F3501" t="str">
        <f>IF(INPUT!N3496="","",INPUT!N3496)</f>
        <v/>
      </c>
      <c r="G3501" cm="1">
        <f t="array" ref="G3501">IFERROR(VLOOKUP(INPUT!M3496&amp;INPUT!N3496,CHOOSE({1,2},INPUT!$A$3:$A$5000&amp;INPUT!$C$3:$C$5000,INPUT!$F$3:$F$5000),2,FALSE),"")</f>
        <v>0</v>
      </c>
      <c r="H3501" cm="1">
        <f t="array" ref="H3501">IFERROR(VLOOKUP(INPUT!M3496&amp;INPUT!N3496,CHOOSE({1,2},INPUT!$A$3:$A$5000&amp;INPUT!$C$3:$C$5000,INPUT!$D$3:$D$5000),2,FALSE),"")</f>
        <v>0</v>
      </c>
      <c r="I3501" s="46" t="str">
        <f>IF(INPUT!P3496="","",INPUT!P3496)</f>
        <v/>
      </c>
      <c r="J3501" s="46" t="str">
        <f>IF(INPUT!Q3496="","",INPUT!Q3496)</f>
        <v/>
      </c>
      <c r="K3501" s="46" t="str">
        <f>IFERROR(IF(OR(INPUT!P3496="",INPUT!Q3496=""),"",INPUT!P3496-INPUT!Q3496),"")</f>
        <v/>
      </c>
      <c r="L3501" s="48" t="str">
        <f>IFERROR(IF(OR(INPUT!P3496="",INPUT!Q3496="",INPUT!P3496=0),"",(INPUT!P3496-INPUT!Q3496)/INPUT!P3496),"")</f>
        <v/>
      </c>
    </row>
    <row r="3502" spans="1:12" ht="18" hidden="1" customHeight="1" x14ac:dyDescent="0.2">
      <c r="A3502" s="11" t="str">
        <f>IF(INPUT!M3497="","",INPUT!M3497)</f>
        <v/>
      </c>
      <c r="B3502" s="11" t="str">
        <f>IF(INPUT!M3497="","",INPUT!M3497-WEEKDAY(INPUT!M3497,2)+1)</f>
        <v/>
      </c>
      <c r="C3502" s="20">
        <f>IFERROR(_xlfn.ISOWEEKNUM(INPUT!M3497),"")</f>
        <v>52</v>
      </c>
      <c r="D3502" s="20">
        <f>IFERROR(YEAR(INPUT!M3497),"")</f>
        <v>1900</v>
      </c>
      <c r="E3502" t="str">
        <f>IF(INPUT!O3497="","",INPUT!O3497)</f>
        <v/>
      </c>
      <c r="F3502" t="str">
        <f>IF(INPUT!N3497="","",INPUT!N3497)</f>
        <v/>
      </c>
      <c r="G3502" cm="1">
        <f t="array" ref="G3502">IFERROR(VLOOKUP(INPUT!M3497&amp;INPUT!N3497,CHOOSE({1,2},INPUT!$A$3:$A$5000&amp;INPUT!$C$3:$C$5000,INPUT!$F$3:$F$5000),2,FALSE),"")</f>
        <v>0</v>
      </c>
      <c r="H3502" cm="1">
        <f t="array" ref="H3502">IFERROR(VLOOKUP(INPUT!M3497&amp;INPUT!N3497,CHOOSE({1,2},INPUT!$A$3:$A$5000&amp;INPUT!$C$3:$C$5000,INPUT!$D$3:$D$5000),2,FALSE),"")</f>
        <v>0</v>
      </c>
      <c r="I3502" s="46" t="str">
        <f>IF(INPUT!P3497="","",INPUT!P3497)</f>
        <v/>
      </c>
      <c r="J3502" s="46" t="str">
        <f>IF(INPUT!Q3497="","",INPUT!Q3497)</f>
        <v/>
      </c>
      <c r="K3502" s="46" t="str">
        <f>IFERROR(IF(OR(INPUT!P3497="",INPUT!Q3497=""),"",INPUT!P3497-INPUT!Q3497),"")</f>
        <v/>
      </c>
      <c r="L3502" s="48" t="str">
        <f>IFERROR(IF(OR(INPUT!P3497="",INPUT!Q3497="",INPUT!P3497=0),"",(INPUT!P3497-INPUT!Q3497)/INPUT!P3497),"")</f>
        <v/>
      </c>
    </row>
    <row r="3503" spans="1:12" ht="18" hidden="1" customHeight="1" x14ac:dyDescent="0.2">
      <c r="A3503" s="11" t="str">
        <f>IF(INPUT!M3498="","",INPUT!M3498)</f>
        <v/>
      </c>
      <c r="B3503" s="11" t="str">
        <f>IF(INPUT!M3498="","",INPUT!M3498-WEEKDAY(INPUT!M3498,2)+1)</f>
        <v/>
      </c>
      <c r="C3503" s="20">
        <f>IFERROR(_xlfn.ISOWEEKNUM(INPUT!M3498),"")</f>
        <v>52</v>
      </c>
      <c r="D3503" s="20">
        <f>IFERROR(YEAR(INPUT!M3498),"")</f>
        <v>1900</v>
      </c>
      <c r="E3503" t="str">
        <f>IF(INPUT!O3498="","",INPUT!O3498)</f>
        <v/>
      </c>
      <c r="F3503" t="str">
        <f>IF(INPUT!N3498="","",INPUT!N3498)</f>
        <v/>
      </c>
      <c r="G3503" cm="1">
        <f t="array" ref="G3503">IFERROR(VLOOKUP(INPUT!M3498&amp;INPUT!N3498,CHOOSE({1,2},INPUT!$A$3:$A$5000&amp;INPUT!$C$3:$C$5000,INPUT!$F$3:$F$5000),2,FALSE),"")</f>
        <v>0</v>
      </c>
      <c r="H3503" cm="1">
        <f t="array" ref="H3503">IFERROR(VLOOKUP(INPUT!M3498&amp;INPUT!N3498,CHOOSE({1,2},INPUT!$A$3:$A$5000&amp;INPUT!$C$3:$C$5000,INPUT!$D$3:$D$5000),2,FALSE),"")</f>
        <v>0</v>
      </c>
      <c r="I3503" s="46" t="str">
        <f>IF(INPUT!P3498="","",INPUT!P3498)</f>
        <v/>
      </c>
      <c r="J3503" s="46" t="str">
        <f>IF(INPUT!Q3498="","",INPUT!Q3498)</f>
        <v/>
      </c>
      <c r="K3503" s="46" t="str">
        <f>IFERROR(IF(OR(INPUT!P3498="",INPUT!Q3498=""),"",INPUT!P3498-INPUT!Q3498),"")</f>
        <v/>
      </c>
      <c r="L3503" s="48" t="str">
        <f>IFERROR(IF(OR(INPUT!P3498="",INPUT!Q3498="",INPUT!P3498=0),"",(INPUT!P3498-INPUT!Q3498)/INPUT!P3498),"")</f>
        <v/>
      </c>
    </row>
    <row r="3504" spans="1:12" ht="18" hidden="1" customHeight="1" x14ac:dyDescent="0.2">
      <c r="A3504" s="11" t="str">
        <f>IF(INPUT!M3499="","",INPUT!M3499)</f>
        <v/>
      </c>
      <c r="B3504" s="11" t="str">
        <f>IF(INPUT!M3499="","",INPUT!M3499-WEEKDAY(INPUT!M3499,2)+1)</f>
        <v/>
      </c>
      <c r="C3504" s="20">
        <f>IFERROR(_xlfn.ISOWEEKNUM(INPUT!M3499),"")</f>
        <v>52</v>
      </c>
      <c r="D3504" s="20">
        <f>IFERROR(YEAR(INPUT!M3499),"")</f>
        <v>1900</v>
      </c>
      <c r="E3504" t="str">
        <f>IF(INPUT!O3499="","",INPUT!O3499)</f>
        <v/>
      </c>
      <c r="F3504" t="str">
        <f>IF(INPUT!N3499="","",INPUT!N3499)</f>
        <v/>
      </c>
      <c r="G3504" cm="1">
        <f t="array" ref="G3504">IFERROR(VLOOKUP(INPUT!M3499&amp;INPUT!N3499,CHOOSE({1,2},INPUT!$A$3:$A$5000&amp;INPUT!$C$3:$C$5000,INPUT!$F$3:$F$5000),2,FALSE),"")</f>
        <v>0</v>
      </c>
      <c r="H3504" cm="1">
        <f t="array" ref="H3504">IFERROR(VLOOKUP(INPUT!M3499&amp;INPUT!N3499,CHOOSE({1,2},INPUT!$A$3:$A$5000&amp;INPUT!$C$3:$C$5000,INPUT!$D$3:$D$5000),2,FALSE),"")</f>
        <v>0</v>
      </c>
      <c r="I3504" s="46" t="str">
        <f>IF(INPUT!P3499="","",INPUT!P3499)</f>
        <v/>
      </c>
      <c r="J3504" s="46" t="str">
        <f>IF(INPUT!Q3499="","",INPUT!Q3499)</f>
        <v/>
      </c>
      <c r="K3504" s="46" t="str">
        <f>IFERROR(IF(OR(INPUT!P3499="",INPUT!Q3499=""),"",INPUT!P3499-INPUT!Q3499),"")</f>
        <v/>
      </c>
      <c r="L3504" s="48" t="str">
        <f>IFERROR(IF(OR(INPUT!P3499="",INPUT!Q3499="",INPUT!P3499=0),"",(INPUT!P3499-INPUT!Q3499)/INPUT!P3499),"")</f>
        <v/>
      </c>
    </row>
    <row r="3505" spans="1:12" ht="18" hidden="1" customHeight="1" x14ac:dyDescent="0.2">
      <c r="A3505" s="11" t="str">
        <f>IF(INPUT!M3500="","",INPUT!M3500)</f>
        <v/>
      </c>
      <c r="B3505" s="11" t="str">
        <f>IF(INPUT!M3500="","",INPUT!M3500-WEEKDAY(INPUT!M3500,2)+1)</f>
        <v/>
      </c>
      <c r="C3505" s="20">
        <f>IFERROR(_xlfn.ISOWEEKNUM(INPUT!M3500),"")</f>
        <v>52</v>
      </c>
      <c r="D3505" s="20">
        <f>IFERROR(YEAR(INPUT!M3500),"")</f>
        <v>1900</v>
      </c>
      <c r="E3505" t="str">
        <f>IF(INPUT!O3500="","",INPUT!O3500)</f>
        <v/>
      </c>
      <c r="F3505" t="str">
        <f>IF(INPUT!N3500="","",INPUT!N3500)</f>
        <v/>
      </c>
      <c r="G3505" cm="1">
        <f t="array" ref="G3505">IFERROR(VLOOKUP(INPUT!M3500&amp;INPUT!N3500,CHOOSE({1,2},INPUT!$A$3:$A$5000&amp;INPUT!$C$3:$C$5000,INPUT!$F$3:$F$5000),2,FALSE),"")</f>
        <v>0</v>
      </c>
      <c r="H3505" cm="1">
        <f t="array" ref="H3505">IFERROR(VLOOKUP(INPUT!M3500&amp;INPUT!N3500,CHOOSE({1,2},INPUT!$A$3:$A$5000&amp;INPUT!$C$3:$C$5000,INPUT!$D$3:$D$5000),2,FALSE),"")</f>
        <v>0</v>
      </c>
      <c r="I3505" s="46" t="str">
        <f>IF(INPUT!P3500="","",INPUT!P3500)</f>
        <v/>
      </c>
      <c r="J3505" s="46" t="str">
        <f>IF(INPUT!Q3500="","",INPUT!Q3500)</f>
        <v/>
      </c>
      <c r="K3505" s="46" t="str">
        <f>IFERROR(IF(OR(INPUT!P3500="",INPUT!Q3500=""),"",INPUT!P3500-INPUT!Q3500),"")</f>
        <v/>
      </c>
      <c r="L3505" s="48" t="str">
        <f>IFERROR(IF(OR(INPUT!P3500="",INPUT!Q3500="",INPUT!P3500=0),"",(INPUT!P3500-INPUT!Q3500)/INPUT!P3500),"")</f>
        <v/>
      </c>
    </row>
    <row r="3506" spans="1:12" ht="18" hidden="1" customHeight="1" x14ac:dyDescent="0.2">
      <c r="A3506" s="11" t="str">
        <f>IF(INPUT!M3501="","",INPUT!M3501)</f>
        <v/>
      </c>
      <c r="B3506" s="11" t="str">
        <f>IF(INPUT!M3501="","",INPUT!M3501-WEEKDAY(INPUT!M3501,2)+1)</f>
        <v/>
      </c>
      <c r="C3506" s="20">
        <f>IFERROR(_xlfn.ISOWEEKNUM(INPUT!M3501),"")</f>
        <v>52</v>
      </c>
      <c r="D3506" s="20">
        <f>IFERROR(YEAR(INPUT!M3501),"")</f>
        <v>1900</v>
      </c>
      <c r="E3506" t="str">
        <f>IF(INPUT!O3501="","",INPUT!O3501)</f>
        <v/>
      </c>
      <c r="F3506" t="str">
        <f>IF(INPUT!N3501="","",INPUT!N3501)</f>
        <v/>
      </c>
      <c r="G3506" cm="1">
        <f t="array" ref="G3506">IFERROR(VLOOKUP(INPUT!M3501&amp;INPUT!N3501,CHOOSE({1,2},INPUT!$A$3:$A$5000&amp;INPUT!$C$3:$C$5000,INPUT!$F$3:$F$5000),2,FALSE),"")</f>
        <v>0</v>
      </c>
      <c r="H3506" cm="1">
        <f t="array" ref="H3506">IFERROR(VLOOKUP(INPUT!M3501&amp;INPUT!N3501,CHOOSE({1,2},INPUT!$A$3:$A$5000&amp;INPUT!$C$3:$C$5000,INPUT!$D$3:$D$5000),2,FALSE),"")</f>
        <v>0</v>
      </c>
      <c r="I3506" s="46" t="str">
        <f>IF(INPUT!P3501="","",INPUT!P3501)</f>
        <v/>
      </c>
      <c r="J3506" s="46" t="str">
        <f>IF(INPUT!Q3501="","",INPUT!Q3501)</f>
        <v/>
      </c>
      <c r="K3506" s="46" t="str">
        <f>IFERROR(IF(OR(INPUT!P3501="",INPUT!Q3501=""),"",INPUT!P3501-INPUT!Q3501),"")</f>
        <v/>
      </c>
      <c r="L3506" s="48" t="str">
        <f>IFERROR(IF(OR(INPUT!P3501="",INPUT!Q3501="",INPUT!P3501=0),"",(INPUT!P3501-INPUT!Q3501)/INPUT!P3501),"")</f>
        <v/>
      </c>
    </row>
    <row r="3507" spans="1:12" ht="18" hidden="1" customHeight="1" x14ac:dyDescent="0.2">
      <c r="A3507" s="11" t="str">
        <f>IF(INPUT!M3502="","",INPUT!M3502)</f>
        <v/>
      </c>
      <c r="B3507" s="11" t="str">
        <f>IF(INPUT!M3502="","",INPUT!M3502-WEEKDAY(INPUT!M3502,2)+1)</f>
        <v/>
      </c>
      <c r="C3507" s="20">
        <f>IFERROR(_xlfn.ISOWEEKNUM(INPUT!M3502),"")</f>
        <v>52</v>
      </c>
      <c r="D3507" s="20">
        <f>IFERROR(YEAR(INPUT!M3502),"")</f>
        <v>1900</v>
      </c>
      <c r="E3507" t="str">
        <f>IF(INPUT!O3502="","",INPUT!O3502)</f>
        <v/>
      </c>
      <c r="F3507" t="str">
        <f>IF(INPUT!N3502="","",INPUT!N3502)</f>
        <v/>
      </c>
      <c r="G3507" cm="1">
        <f t="array" ref="G3507">IFERROR(VLOOKUP(INPUT!M3502&amp;INPUT!N3502,CHOOSE({1,2},INPUT!$A$3:$A$5000&amp;INPUT!$C$3:$C$5000,INPUT!$F$3:$F$5000),2,FALSE),"")</f>
        <v>0</v>
      </c>
      <c r="H3507" cm="1">
        <f t="array" ref="H3507">IFERROR(VLOOKUP(INPUT!M3502&amp;INPUT!N3502,CHOOSE({1,2},INPUT!$A$3:$A$5000&amp;INPUT!$C$3:$C$5000,INPUT!$D$3:$D$5000),2,FALSE),"")</f>
        <v>0</v>
      </c>
      <c r="I3507" s="46" t="str">
        <f>IF(INPUT!P3502="","",INPUT!P3502)</f>
        <v/>
      </c>
      <c r="J3507" s="46" t="str">
        <f>IF(INPUT!Q3502="","",INPUT!Q3502)</f>
        <v/>
      </c>
      <c r="K3507" s="46" t="str">
        <f>IFERROR(IF(OR(INPUT!P3502="",INPUT!Q3502=""),"",INPUT!P3502-INPUT!Q3502),"")</f>
        <v/>
      </c>
      <c r="L3507" s="48" t="str">
        <f>IFERROR(IF(OR(INPUT!P3502="",INPUT!Q3502="",INPUT!P3502=0),"",(INPUT!P3502-INPUT!Q3502)/INPUT!P3502),"")</f>
        <v/>
      </c>
    </row>
    <row r="3508" spans="1:12" ht="18" hidden="1" customHeight="1" x14ac:dyDescent="0.2">
      <c r="A3508" s="11" t="str">
        <f>IF(INPUT!M3503="","",INPUT!M3503)</f>
        <v/>
      </c>
      <c r="B3508" s="11" t="str">
        <f>IF(INPUT!M3503="","",INPUT!M3503-WEEKDAY(INPUT!M3503,2)+1)</f>
        <v/>
      </c>
      <c r="C3508" s="20">
        <f>IFERROR(_xlfn.ISOWEEKNUM(INPUT!M3503),"")</f>
        <v>52</v>
      </c>
      <c r="D3508" s="20">
        <f>IFERROR(YEAR(INPUT!M3503),"")</f>
        <v>1900</v>
      </c>
      <c r="E3508" t="str">
        <f>IF(INPUT!O3503="","",INPUT!O3503)</f>
        <v/>
      </c>
      <c r="F3508" t="str">
        <f>IF(INPUT!N3503="","",INPUT!N3503)</f>
        <v/>
      </c>
      <c r="G3508" cm="1">
        <f t="array" ref="G3508">IFERROR(VLOOKUP(INPUT!M3503&amp;INPUT!N3503,CHOOSE({1,2},INPUT!$A$3:$A$5000&amp;INPUT!$C$3:$C$5000,INPUT!$F$3:$F$5000),2,FALSE),"")</f>
        <v>0</v>
      </c>
      <c r="H3508" cm="1">
        <f t="array" ref="H3508">IFERROR(VLOOKUP(INPUT!M3503&amp;INPUT!N3503,CHOOSE({1,2},INPUT!$A$3:$A$5000&amp;INPUT!$C$3:$C$5000,INPUT!$D$3:$D$5000),2,FALSE),"")</f>
        <v>0</v>
      </c>
      <c r="I3508" s="46" t="str">
        <f>IF(INPUT!P3503="","",INPUT!P3503)</f>
        <v/>
      </c>
      <c r="J3508" s="46" t="str">
        <f>IF(INPUT!Q3503="","",INPUT!Q3503)</f>
        <v/>
      </c>
      <c r="K3508" s="46" t="str">
        <f>IFERROR(IF(OR(INPUT!P3503="",INPUT!Q3503=""),"",INPUT!P3503-INPUT!Q3503),"")</f>
        <v/>
      </c>
      <c r="L3508" s="48" t="str">
        <f>IFERROR(IF(OR(INPUT!P3503="",INPUT!Q3503="",INPUT!P3503=0),"",(INPUT!P3503-INPUT!Q3503)/INPUT!P3503),"")</f>
        <v/>
      </c>
    </row>
    <row r="3509" spans="1:12" ht="18" hidden="1" customHeight="1" x14ac:dyDescent="0.2">
      <c r="A3509" s="11" t="str">
        <f>IF(INPUT!M3504="","",INPUT!M3504)</f>
        <v/>
      </c>
      <c r="B3509" s="11" t="str">
        <f>IF(INPUT!M3504="","",INPUT!M3504-WEEKDAY(INPUT!M3504,2)+1)</f>
        <v/>
      </c>
      <c r="C3509" s="20">
        <f>IFERROR(_xlfn.ISOWEEKNUM(INPUT!M3504),"")</f>
        <v>52</v>
      </c>
      <c r="D3509" s="20">
        <f>IFERROR(YEAR(INPUT!M3504),"")</f>
        <v>1900</v>
      </c>
      <c r="E3509" t="str">
        <f>IF(INPUT!O3504="","",INPUT!O3504)</f>
        <v/>
      </c>
      <c r="F3509" t="str">
        <f>IF(INPUT!N3504="","",INPUT!N3504)</f>
        <v/>
      </c>
      <c r="G3509" cm="1">
        <f t="array" ref="G3509">IFERROR(VLOOKUP(INPUT!M3504&amp;INPUT!N3504,CHOOSE({1,2},INPUT!$A$3:$A$5000&amp;INPUT!$C$3:$C$5000,INPUT!$F$3:$F$5000),2,FALSE),"")</f>
        <v>0</v>
      </c>
      <c r="H3509" cm="1">
        <f t="array" ref="H3509">IFERROR(VLOOKUP(INPUT!M3504&amp;INPUT!N3504,CHOOSE({1,2},INPUT!$A$3:$A$5000&amp;INPUT!$C$3:$C$5000,INPUT!$D$3:$D$5000),2,FALSE),"")</f>
        <v>0</v>
      </c>
      <c r="I3509" s="46" t="str">
        <f>IF(INPUT!P3504="","",INPUT!P3504)</f>
        <v/>
      </c>
      <c r="J3509" s="46" t="str">
        <f>IF(INPUT!Q3504="","",INPUT!Q3504)</f>
        <v/>
      </c>
      <c r="K3509" s="46" t="str">
        <f>IFERROR(IF(OR(INPUT!P3504="",INPUT!Q3504=""),"",INPUT!P3504-INPUT!Q3504),"")</f>
        <v/>
      </c>
      <c r="L3509" s="48" t="str">
        <f>IFERROR(IF(OR(INPUT!P3504="",INPUT!Q3504="",INPUT!P3504=0),"",(INPUT!P3504-INPUT!Q3504)/INPUT!P3504),"")</f>
        <v/>
      </c>
    </row>
    <row r="3510" spans="1:12" ht="18" hidden="1" customHeight="1" x14ac:dyDescent="0.2">
      <c r="A3510" s="11" t="str">
        <f>IF(INPUT!M3505="","",INPUT!M3505)</f>
        <v/>
      </c>
      <c r="B3510" s="11" t="str">
        <f>IF(INPUT!M3505="","",INPUT!M3505-WEEKDAY(INPUT!M3505,2)+1)</f>
        <v/>
      </c>
      <c r="C3510" s="20">
        <f>IFERROR(_xlfn.ISOWEEKNUM(INPUT!M3505),"")</f>
        <v>52</v>
      </c>
      <c r="D3510" s="20">
        <f>IFERROR(YEAR(INPUT!M3505),"")</f>
        <v>1900</v>
      </c>
      <c r="E3510" t="str">
        <f>IF(INPUT!O3505="","",INPUT!O3505)</f>
        <v/>
      </c>
      <c r="F3510" t="str">
        <f>IF(INPUT!N3505="","",INPUT!N3505)</f>
        <v/>
      </c>
      <c r="G3510" cm="1">
        <f t="array" ref="G3510">IFERROR(VLOOKUP(INPUT!M3505&amp;INPUT!N3505,CHOOSE({1,2},INPUT!$A$3:$A$5000&amp;INPUT!$C$3:$C$5000,INPUT!$F$3:$F$5000),2,FALSE),"")</f>
        <v>0</v>
      </c>
      <c r="H3510" cm="1">
        <f t="array" ref="H3510">IFERROR(VLOOKUP(INPUT!M3505&amp;INPUT!N3505,CHOOSE({1,2},INPUT!$A$3:$A$5000&amp;INPUT!$C$3:$C$5000,INPUT!$D$3:$D$5000),2,FALSE),"")</f>
        <v>0</v>
      </c>
      <c r="I3510" s="46" t="str">
        <f>IF(INPUT!P3505="","",INPUT!P3505)</f>
        <v/>
      </c>
      <c r="J3510" s="46" t="str">
        <f>IF(INPUT!Q3505="","",INPUT!Q3505)</f>
        <v/>
      </c>
      <c r="K3510" s="46" t="str">
        <f>IFERROR(IF(OR(INPUT!P3505="",INPUT!Q3505=""),"",INPUT!P3505-INPUT!Q3505),"")</f>
        <v/>
      </c>
      <c r="L3510" s="48" t="str">
        <f>IFERROR(IF(OR(INPUT!P3505="",INPUT!Q3505="",INPUT!P3505=0),"",(INPUT!P3505-INPUT!Q3505)/INPUT!P3505),"")</f>
        <v/>
      </c>
    </row>
    <row r="3511" spans="1:12" ht="18" hidden="1" customHeight="1" x14ac:dyDescent="0.2">
      <c r="A3511" s="11" t="str">
        <f>IF(INPUT!M3506="","",INPUT!M3506)</f>
        <v/>
      </c>
      <c r="B3511" s="11" t="str">
        <f>IF(INPUT!M3506="","",INPUT!M3506-WEEKDAY(INPUT!M3506,2)+1)</f>
        <v/>
      </c>
      <c r="C3511" s="20">
        <f>IFERROR(_xlfn.ISOWEEKNUM(INPUT!M3506),"")</f>
        <v>52</v>
      </c>
      <c r="D3511" s="20">
        <f>IFERROR(YEAR(INPUT!M3506),"")</f>
        <v>1900</v>
      </c>
      <c r="E3511" t="str">
        <f>IF(INPUT!O3506="","",INPUT!O3506)</f>
        <v/>
      </c>
      <c r="F3511" t="str">
        <f>IF(INPUT!N3506="","",INPUT!N3506)</f>
        <v/>
      </c>
      <c r="G3511" cm="1">
        <f t="array" ref="G3511">IFERROR(VLOOKUP(INPUT!M3506&amp;INPUT!N3506,CHOOSE({1,2},INPUT!$A$3:$A$5000&amp;INPUT!$C$3:$C$5000,INPUT!$F$3:$F$5000),2,FALSE),"")</f>
        <v>0</v>
      </c>
      <c r="H3511" cm="1">
        <f t="array" ref="H3511">IFERROR(VLOOKUP(INPUT!M3506&amp;INPUT!N3506,CHOOSE({1,2},INPUT!$A$3:$A$5000&amp;INPUT!$C$3:$C$5000,INPUT!$D$3:$D$5000),2,FALSE),"")</f>
        <v>0</v>
      </c>
      <c r="I3511" s="46" t="str">
        <f>IF(INPUT!P3506="","",INPUT!P3506)</f>
        <v/>
      </c>
      <c r="J3511" s="46" t="str">
        <f>IF(INPUT!Q3506="","",INPUT!Q3506)</f>
        <v/>
      </c>
      <c r="K3511" s="46" t="str">
        <f>IFERROR(IF(OR(INPUT!P3506="",INPUT!Q3506=""),"",INPUT!P3506-INPUT!Q3506),"")</f>
        <v/>
      </c>
      <c r="L3511" s="48" t="str">
        <f>IFERROR(IF(OR(INPUT!P3506="",INPUT!Q3506="",INPUT!P3506=0),"",(INPUT!P3506-INPUT!Q3506)/INPUT!P3506),"")</f>
        <v/>
      </c>
    </row>
    <row r="3512" spans="1:12" ht="18" hidden="1" customHeight="1" x14ac:dyDescent="0.2">
      <c r="A3512" s="11" t="str">
        <f>IF(INPUT!M3507="","",INPUT!M3507)</f>
        <v/>
      </c>
      <c r="B3512" s="11" t="str">
        <f>IF(INPUT!M3507="","",INPUT!M3507-WEEKDAY(INPUT!M3507,2)+1)</f>
        <v/>
      </c>
      <c r="C3512" s="20">
        <f>IFERROR(_xlfn.ISOWEEKNUM(INPUT!M3507),"")</f>
        <v>52</v>
      </c>
      <c r="D3512" s="20">
        <f>IFERROR(YEAR(INPUT!M3507),"")</f>
        <v>1900</v>
      </c>
      <c r="E3512" t="str">
        <f>IF(INPUT!O3507="","",INPUT!O3507)</f>
        <v/>
      </c>
      <c r="F3512" t="str">
        <f>IF(INPUT!N3507="","",INPUT!N3507)</f>
        <v/>
      </c>
      <c r="G3512" cm="1">
        <f t="array" ref="G3512">IFERROR(VLOOKUP(INPUT!M3507&amp;INPUT!N3507,CHOOSE({1,2},INPUT!$A$3:$A$5000&amp;INPUT!$C$3:$C$5000,INPUT!$F$3:$F$5000),2,FALSE),"")</f>
        <v>0</v>
      </c>
      <c r="H3512" cm="1">
        <f t="array" ref="H3512">IFERROR(VLOOKUP(INPUT!M3507&amp;INPUT!N3507,CHOOSE({1,2},INPUT!$A$3:$A$5000&amp;INPUT!$C$3:$C$5000,INPUT!$D$3:$D$5000),2,FALSE),"")</f>
        <v>0</v>
      </c>
      <c r="I3512" s="46" t="str">
        <f>IF(INPUT!P3507="","",INPUT!P3507)</f>
        <v/>
      </c>
      <c r="J3512" s="46" t="str">
        <f>IF(INPUT!Q3507="","",INPUT!Q3507)</f>
        <v/>
      </c>
      <c r="K3512" s="46" t="str">
        <f>IFERROR(IF(OR(INPUT!P3507="",INPUT!Q3507=""),"",INPUT!P3507-INPUT!Q3507),"")</f>
        <v/>
      </c>
      <c r="L3512" s="48" t="str">
        <f>IFERROR(IF(OR(INPUT!P3507="",INPUT!Q3507="",INPUT!P3507=0),"",(INPUT!P3507-INPUT!Q3507)/INPUT!P3507),"")</f>
        <v/>
      </c>
    </row>
    <row r="3513" spans="1:12" ht="18" hidden="1" customHeight="1" x14ac:dyDescent="0.2">
      <c r="A3513" s="11" t="str">
        <f>IF(INPUT!M3508="","",INPUT!M3508)</f>
        <v/>
      </c>
      <c r="B3513" s="11" t="str">
        <f>IF(INPUT!M3508="","",INPUT!M3508-WEEKDAY(INPUT!M3508,2)+1)</f>
        <v/>
      </c>
      <c r="C3513" s="20">
        <f>IFERROR(_xlfn.ISOWEEKNUM(INPUT!M3508),"")</f>
        <v>52</v>
      </c>
      <c r="D3513" s="20">
        <f>IFERROR(YEAR(INPUT!M3508),"")</f>
        <v>1900</v>
      </c>
      <c r="E3513" t="str">
        <f>IF(INPUT!O3508="","",INPUT!O3508)</f>
        <v/>
      </c>
      <c r="F3513" t="str">
        <f>IF(INPUT!N3508="","",INPUT!N3508)</f>
        <v/>
      </c>
      <c r="G3513" cm="1">
        <f t="array" ref="G3513">IFERROR(VLOOKUP(INPUT!M3508&amp;INPUT!N3508,CHOOSE({1,2},INPUT!$A$3:$A$5000&amp;INPUT!$C$3:$C$5000,INPUT!$F$3:$F$5000),2,FALSE),"")</f>
        <v>0</v>
      </c>
      <c r="H3513" cm="1">
        <f t="array" ref="H3513">IFERROR(VLOOKUP(INPUT!M3508&amp;INPUT!N3508,CHOOSE({1,2},INPUT!$A$3:$A$5000&amp;INPUT!$C$3:$C$5000,INPUT!$D$3:$D$5000),2,FALSE),"")</f>
        <v>0</v>
      </c>
      <c r="I3513" s="46" t="str">
        <f>IF(INPUT!P3508="","",INPUT!P3508)</f>
        <v/>
      </c>
      <c r="J3513" s="46" t="str">
        <f>IF(INPUT!Q3508="","",INPUT!Q3508)</f>
        <v/>
      </c>
      <c r="K3513" s="46" t="str">
        <f>IFERROR(IF(OR(INPUT!P3508="",INPUT!Q3508=""),"",INPUT!P3508-INPUT!Q3508),"")</f>
        <v/>
      </c>
      <c r="L3513" s="48" t="str">
        <f>IFERROR(IF(OR(INPUT!P3508="",INPUT!Q3508="",INPUT!P3508=0),"",(INPUT!P3508-INPUT!Q3508)/INPUT!P3508),"")</f>
        <v/>
      </c>
    </row>
    <row r="3514" spans="1:12" ht="18" hidden="1" customHeight="1" x14ac:dyDescent="0.2">
      <c r="A3514" s="11" t="str">
        <f>IF(INPUT!M3509="","",INPUT!M3509)</f>
        <v/>
      </c>
      <c r="B3514" s="11" t="str">
        <f>IF(INPUT!M3509="","",INPUT!M3509-WEEKDAY(INPUT!M3509,2)+1)</f>
        <v/>
      </c>
      <c r="C3514" s="20">
        <f>IFERROR(_xlfn.ISOWEEKNUM(INPUT!M3509),"")</f>
        <v>52</v>
      </c>
      <c r="D3514" s="20">
        <f>IFERROR(YEAR(INPUT!M3509),"")</f>
        <v>1900</v>
      </c>
      <c r="E3514" t="str">
        <f>IF(INPUT!O3509="","",INPUT!O3509)</f>
        <v/>
      </c>
      <c r="F3514" t="str">
        <f>IF(INPUT!N3509="","",INPUT!N3509)</f>
        <v/>
      </c>
      <c r="G3514" cm="1">
        <f t="array" ref="G3514">IFERROR(VLOOKUP(INPUT!M3509&amp;INPUT!N3509,CHOOSE({1,2},INPUT!$A$3:$A$5000&amp;INPUT!$C$3:$C$5000,INPUT!$F$3:$F$5000),2,FALSE),"")</f>
        <v>0</v>
      </c>
      <c r="H3514" cm="1">
        <f t="array" ref="H3514">IFERROR(VLOOKUP(INPUT!M3509&amp;INPUT!N3509,CHOOSE({1,2},INPUT!$A$3:$A$5000&amp;INPUT!$C$3:$C$5000,INPUT!$D$3:$D$5000),2,FALSE),"")</f>
        <v>0</v>
      </c>
      <c r="I3514" s="46" t="str">
        <f>IF(INPUT!P3509="","",INPUT!P3509)</f>
        <v/>
      </c>
      <c r="J3514" s="46" t="str">
        <f>IF(INPUT!Q3509="","",INPUT!Q3509)</f>
        <v/>
      </c>
      <c r="K3514" s="46" t="str">
        <f>IFERROR(IF(OR(INPUT!P3509="",INPUT!Q3509=""),"",INPUT!P3509-INPUT!Q3509),"")</f>
        <v/>
      </c>
      <c r="L3514" s="48" t="str">
        <f>IFERROR(IF(OR(INPUT!P3509="",INPUT!Q3509="",INPUT!P3509=0),"",(INPUT!P3509-INPUT!Q3509)/INPUT!P3509),"")</f>
        <v/>
      </c>
    </row>
    <row r="3515" spans="1:12" ht="18" hidden="1" customHeight="1" x14ac:dyDescent="0.2">
      <c r="A3515" s="11" t="str">
        <f>IF(INPUT!M3510="","",INPUT!M3510)</f>
        <v/>
      </c>
      <c r="B3515" s="11" t="str">
        <f>IF(INPUT!M3510="","",INPUT!M3510-WEEKDAY(INPUT!M3510,2)+1)</f>
        <v/>
      </c>
      <c r="C3515" s="20">
        <f>IFERROR(_xlfn.ISOWEEKNUM(INPUT!M3510),"")</f>
        <v>52</v>
      </c>
      <c r="D3515" s="20">
        <f>IFERROR(YEAR(INPUT!M3510),"")</f>
        <v>1900</v>
      </c>
      <c r="E3515" t="str">
        <f>IF(INPUT!O3510="","",INPUT!O3510)</f>
        <v/>
      </c>
      <c r="F3515" t="str">
        <f>IF(INPUT!N3510="","",INPUT!N3510)</f>
        <v/>
      </c>
      <c r="G3515" cm="1">
        <f t="array" ref="G3515">IFERROR(VLOOKUP(INPUT!M3510&amp;INPUT!N3510,CHOOSE({1,2},INPUT!$A$3:$A$5000&amp;INPUT!$C$3:$C$5000,INPUT!$F$3:$F$5000),2,FALSE),"")</f>
        <v>0</v>
      </c>
      <c r="H3515" cm="1">
        <f t="array" ref="H3515">IFERROR(VLOOKUP(INPUT!M3510&amp;INPUT!N3510,CHOOSE({1,2},INPUT!$A$3:$A$5000&amp;INPUT!$C$3:$C$5000,INPUT!$D$3:$D$5000),2,FALSE),"")</f>
        <v>0</v>
      </c>
      <c r="I3515" s="46" t="str">
        <f>IF(INPUT!P3510="","",INPUT!P3510)</f>
        <v/>
      </c>
      <c r="J3515" s="46" t="str">
        <f>IF(INPUT!Q3510="","",INPUT!Q3510)</f>
        <v/>
      </c>
      <c r="K3515" s="46" t="str">
        <f>IFERROR(IF(OR(INPUT!P3510="",INPUT!Q3510=""),"",INPUT!P3510-INPUT!Q3510),"")</f>
        <v/>
      </c>
      <c r="L3515" s="48" t="str">
        <f>IFERROR(IF(OR(INPUT!P3510="",INPUT!Q3510="",INPUT!P3510=0),"",(INPUT!P3510-INPUT!Q3510)/INPUT!P3510),"")</f>
        <v/>
      </c>
    </row>
    <row r="3516" spans="1:12" ht="18" hidden="1" customHeight="1" x14ac:dyDescent="0.2">
      <c r="A3516" s="11" t="str">
        <f>IF(INPUT!M3511="","",INPUT!M3511)</f>
        <v/>
      </c>
      <c r="B3516" s="11" t="str">
        <f>IF(INPUT!M3511="","",INPUT!M3511-WEEKDAY(INPUT!M3511,2)+1)</f>
        <v/>
      </c>
      <c r="C3516" s="20">
        <f>IFERROR(_xlfn.ISOWEEKNUM(INPUT!M3511),"")</f>
        <v>52</v>
      </c>
      <c r="D3516" s="20">
        <f>IFERROR(YEAR(INPUT!M3511),"")</f>
        <v>1900</v>
      </c>
      <c r="E3516" t="str">
        <f>IF(INPUT!O3511="","",INPUT!O3511)</f>
        <v/>
      </c>
      <c r="F3516" t="str">
        <f>IF(INPUT!N3511="","",INPUT!N3511)</f>
        <v/>
      </c>
      <c r="G3516" cm="1">
        <f t="array" ref="G3516">IFERROR(VLOOKUP(INPUT!M3511&amp;INPUT!N3511,CHOOSE({1,2},INPUT!$A$3:$A$5000&amp;INPUT!$C$3:$C$5000,INPUT!$F$3:$F$5000),2,FALSE),"")</f>
        <v>0</v>
      </c>
      <c r="H3516" cm="1">
        <f t="array" ref="H3516">IFERROR(VLOOKUP(INPUT!M3511&amp;INPUT!N3511,CHOOSE({1,2},INPUT!$A$3:$A$5000&amp;INPUT!$C$3:$C$5000,INPUT!$D$3:$D$5000),2,FALSE),"")</f>
        <v>0</v>
      </c>
      <c r="I3516" s="46" t="str">
        <f>IF(INPUT!P3511="","",INPUT!P3511)</f>
        <v/>
      </c>
      <c r="J3516" s="46" t="str">
        <f>IF(INPUT!Q3511="","",INPUT!Q3511)</f>
        <v/>
      </c>
      <c r="K3516" s="46" t="str">
        <f>IFERROR(IF(OR(INPUT!P3511="",INPUT!Q3511=""),"",INPUT!P3511-INPUT!Q3511),"")</f>
        <v/>
      </c>
      <c r="L3516" s="48" t="str">
        <f>IFERROR(IF(OR(INPUT!P3511="",INPUT!Q3511="",INPUT!P3511=0),"",(INPUT!P3511-INPUT!Q3511)/INPUT!P3511),"")</f>
        <v/>
      </c>
    </row>
    <row r="3517" spans="1:12" ht="18" hidden="1" customHeight="1" x14ac:dyDescent="0.2">
      <c r="A3517" s="11" t="str">
        <f>IF(INPUT!M3512="","",INPUT!M3512)</f>
        <v/>
      </c>
      <c r="B3517" s="11" t="str">
        <f>IF(INPUT!M3512="","",INPUT!M3512-WEEKDAY(INPUT!M3512,2)+1)</f>
        <v/>
      </c>
      <c r="C3517" s="20">
        <f>IFERROR(_xlfn.ISOWEEKNUM(INPUT!M3512),"")</f>
        <v>52</v>
      </c>
      <c r="D3517" s="20">
        <f>IFERROR(YEAR(INPUT!M3512),"")</f>
        <v>1900</v>
      </c>
      <c r="E3517" t="str">
        <f>IF(INPUT!O3512="","",INPUT!O3512)</f>
        <v/>
      </c>
      <c r="F3517" t="str">
        <f>IF(INPUT!N3512="","",INPUT!N3512)</f>
        <v/>
      </c>
      <c r="G3517" cm="1">
        <f t="array" ref="G3517">IFERROR(VLOOKUP(INPUT!M3512&amp;INPUT!N3512,CHOOSE({1,2},INPUT!$A$3:$A$5000&amp;INPUT!$C$3:$C$5000,INPUT!$F$3:$F$5000),2,FALSE),"")</f>
        <v>0</v>
      </c>
      <c r="H3517" cm="1">
        <f t="array" ref="H3517">IFERROR(VLOOKUP(INPUT!M3512&amp;INPUT!N3512,CHOOSE({1,2},INPUT!$A$3:$A$5000&amp;INPUT!$C$3:$C$5000,INPUT!$D$3:$D$5000),2,FALSE),"")</f>
        <v>0</v>
      </c>
      <c r="I3517" s="46" t="str">
        <f>IF(INPUT!P3512="","",INPUT!P3512)</f>
        <v/>
      </c>
      <c r="J3517" s="46" t="str">
        <f>IF(INPUT!Q3512="","",INPUT!Q3512)</f>
        <v/>
      </c>
      <c r="K3517" s="46" t="str">
        <f>IFERROR(IF(OR(INPUT!P3512="",INPUT!Q3512=""),"",INPUT!P3512-INPUT!Q3512),"")</f>
        <v/>
      </c>
      <c r="L3517" s="48" t="str">
        <f>IFERROR(IF(OR(INPUT!P3512="",INPUT!Q3512="",INPUT!P3512=0),"",(INPUT!P3512-INPUT!Q3512)/INPUT!P3512),"")</f>
        <v/>
      </c>
    </row>
    <row r="3518" spans="1:12" ht="18" hidden="1" customHeight="1" x14ac:dyDescent="0.2">
      <c r="A3518" s="11" t="str">
        <f>IF(INPUT!M3513="","",INPUT!M3513)</f>
        <v/>
      </c>
      <c r="B3518" s="11" t="str">
        <f>IF(INPUT!M3513="","",INPUT!M3513-WEEKDAY(INPUT!M3513,2)+1)</f>
        <v/>
      </c>
      <c r="C3518" s="20">
        <f>IFERROR(_xlfn.ISOWEEKNUM(INPUT!M3513),"")</f>
        <v>52</v>
      </c>
      <c r="D3518" s="20">
        <f>IFERROR(YEAR(INPUT!M3513),"")</f>
        <v>1900</v>
      </c>
      <c r="E3518" t="str">
        <f>IF(INPUT!O3513="","",INPUT!O3513)</f>
        <v/>
      </c>
      <c r="F3518" t="str">
        <f>IF(INPUT!N3513="","",INPUT!N3513)</f>
        <v/>
      </c>
      <c r="G3518" cm="1">
        <f t="array" ref="G3518">IFERROR(VLOOKUP(INPUT!M3513&amp;INPUT!N3513,CHOOSE({1,2},INPUT!$A$3:$A$5000&amp;INPUT!$C$3:$C$5000,INPUT!$F$3:$F$5000),2,FALSE),"")</f>
        <v>0</v>
      </c>
      <c r="H3518" cm="1">
        <f t="array" ref="H3518">IFERROR(VLOOKUP(INPUT!M3513&amp;INPUT!N3513,CHOOSE({1,2},INPUT!$A$3:$A$5000&amp;INPUT!$C$3:$C$5000,INPUT!$D$3:$D$5000),2,FALSE),"")</f>
        <v>0</v>
      </c>
      <c r="I3518" s="46" t="str">
        <f>IF(INPUT!P3513="","",INPUT!P3513)</f>
        <v/>
      </c>
      <c r="J3518" s="46" t="str">
        <f>IF(INPUT!Q3513="","",INPUT!Q3513)</f>
        <v/>
      </c>
      <c r="K3518" s="46" t="str">
        <f>IFERROR(IF(OR(INPUT!P3513="",INPUT!Q3513=""),"",INPUT!P3513-INPUT!Q3513),"")</f>
        <v/>
      </c>
      <c r="L3518" s="48" t="str">
        <f>IFERROR(IF(OR(INPUT!P3513="",INPUT!Q3513="",INPUT!P3513=0),"",(INPUT!P3513-INPUT!Q3513)/INPUT!P3513),"")</f>
        <v/>
      </c>
    </row>
    <row r="3519" spans="1:12" ht="18" hidden="1" customHeight="1" x14ac:dyDescent="0.2">
      <c r="A3519" s="11" t="str">
        <f>IF(INPUT!M3514="","",INPUT!M3514)</f>
        <v/>
      </c>
      <c r="B3519" s="11" t="str">
        <f>IF(INPUT!M3514="","",INPUT!M3514-WEEKDAY(INPUT!M3514,2)+1)</f>
        <v/>
      </c>
      <c r="C3519" s="20">
        <f>IFERROR(_xlfn.ISOWEEKNUM(INPUT!M3514),"")</f>
        <v>52</v>
      </c>
      <c r="D3519" s="20">
        <f>IFERROR(YEAR(INPUT!M3514),"")</f>
        <v>1900</v>
      </c>
      <c r="E3519" t="str">
        <f>IF(INPUT!O3514="","",INPUT!O3514)</f>
        <v/>
      </c>
      <c r="F3519" t="str">
        <f>IF(INPUT!N3514="","",INPUT!N3514)</f>
        <v/>
      </c>
      <c r="G3519" cm="1">
        <f t="array" ref="G3519">IFERROR(VLOOKUP(INPUT!M3514&amp;INPUT!N3514,CHOOSE({1,2},INPUT!$A$3:$A$5000&amp;INPUT!$C$3:$C$5000,INPUT!$F$3:$F$5000),2,FALSE),"")</f>
        <v>0</v>
      </c>
      <c r="H3519" cm="1">
        <f t="array" ref="H3519">IFERROR(VLOOKUP(INPUT!M3514&amp;INPUT!N3514,CHOOSE({1,2},INPUT!$A$3:$A$5000&amp;INPUT!$C$3:$C$5000,INPUT!$D$3:$D$5000),2,FALSE),"")</f>
        <v>0</v>
      </c>
      <c r="I3519" s="46" t="str">
        <f>IF(INPUT!P3514="","",INPUT!P3514)</f>
        <v/>
      </c>
      <c r="J3519" s="46" t="str">
        <f>IF(INPUT!Q3514="","",INPUT!Q3514)</f>
        <v/>
      </c>
      <c r="K3519" s="46" t="str">
        <f>IFERROR(IF(OR(INPUT!P3514="",INPUT!Q3514=""),"",INPUT!P3514-INPUT!Q3514),"")</f>
        <v/>
      </c>
      <c r="L3519" s="48" t="str">
        <f>IFERROR(IF(OR(INPUT!P3514="",INPUT!Q3514="",INPUT!P3514=0),"",(INPUT!P3514-INPUT!Q3514)/INPUT!P3514),"")</f>
        <v/>
      </c>
    </row>
    <row r="3520" spans="1:12" ht="18" hidden="1" customHeight="1" x14ac:dyDescent="0.2">
      <c r="A3520" s="11" t="str">
        <f>IF(INPUT!M3515="","",INPUT!M3515)</f>
        <v/>
      </c>
      <c r="B3520" s="11" t="str">
        <f>IF(INPUT!M3515="","",INPUT!M3515-WEEKDAY(INPUT!M3515,2)+1)</f>
        <v/>
      </c>
      <c r="C3520" s="20">
        <f>IFERROR(_xlfn.ISOWEEKNUM(INPUT!M3515),"")</f>
        <v>52</v>
      </c>
      <c r="D3520" s="20">
        <f>IFERROR(YEAR(INPUT!M3515),"")</f>
        <v>1900</v>
      </c>
      <c r="E3520" t="str">
        <f>IF(INPUT!O3515="","",INPUT!O3515)</f>
        <v/>
      </c>
      <c r="F3520" t="str">
        <f>IF(INPUT!N3515="","",INPUT!N3515)</f>
        <v/>
      </c>
      <c r="G3520" cm="1">
        <f t="array" ref="G3520">IFERROR(VLOOKUP(INPUT!M3515&amp;INPUT!N3515,CHOOSE({1,2},INPUT!$A$3:$A$5000&amp;INPUT!$C$3:$C$5000,INPUT!$F$3:$F$5000),2,FALSE),"")</f>
        <v>0</v>
      </c>
      <c r="H3520" cm="1">
        <f t="array" ref="H3520">IFERROR(VLOOKUP(INPUT!M3515&amp;INPUT!N3515,CHOOSE({1,2},INPUT!$A$3:$A$5000&amp;INPUT!$C$3:$C$5000,INPUT!$D$3:$D$5000),2,FALSE),"")</f>
        <v>0</v>
      </c>
      <c r="I3520" s="46" t="str">
        <f>IF(INPUT!P3515="","",INPUT!P3515)</f>
        <v/>
      </c>
      <c r="J3520" s="46" t="str">
        <f>IF(INPUT!Q3515="","",INPUT!Q3515)</f>
        <v/>
      </c>
      <c r="K3520" s="46" t="str">
        <f>IFERROR(IF(OR(INPUT!P3515="",INPUT!Q3515=""),"",INPUT!P3515-INPUT!Q3515),"")</f>
        <v/>
      </c>
      <c r="L3520" s="48" t="str">
        <f>IFERROR(IF(OR(INPUT!P3515="",INPUT!Q3515="",INPUT!P3515=0),"",(INPUT!P3515-INPUT!Q3515)/INPUT!P3515),"")</f>
        <v/>
      </c>
    </row>
    <row r="3521" spans="1:12" ht="18" hidden="1" customHeight="1" x14ac:dyDescent="0.2">
      <c r="A3521" s="11" t="str">
        <f>IF(INPUT!M3516="","",INPUT!M3516)</f>
        <v/>
      </c>
      <c r="B3521" s="11" t="str">
        <f>IF(INPUT!M3516="","",INPUT!M3516-WEEKDAY(INPUT!M3516,2)+1)</f>
        <v/>
      </c>
      <c r="C3521" s="20">
        <f>IFERROR(_xlfn.ISOWEEKNUM(INPUT!M3516),"")</f>
        <v>52</v>
      </c>
      <c r="D3521" s="20">
        <f>IFERROR(YEAR(INPUT!M3516),"")</f>
        <v>1900</v>
      </c>
      <c r="E3521" t="str">
        <f>IF(INPUT!O3516="","",INPUT!O3516)</f>
        <v/>
      </c>
      <c r="F3521" t="str">
        <f>IF(INPUT!N3516="","",INPUT!N3516)</f>
        <v/>
      </c>
      <c r="G3521" cm="1">
        <f t="array" ref="G3521">IFERROR(VLOOKUP(INPUT!M3516&amp;INPUT!N3516,CHOOSE({1,2},INPUT!$A$3:$A$5000&amp;INPUT!$C$3:$C$5000,INPUT!$F$3:$F$5000),2,FALSE),"")</f>
        <v>0</v>
      </c>
      <c r="H3521" cm="1">
        <f t="array" ref="H3521">IFERROR(VLOOKUP(INPUT!M3516&amp;INPUT!N3516,CHOOSE({1,2},INPUT!$A$3:$A$5000&amp;INPUT!$C$3:$C$5000,INPUT!$D$3:$D$5000),2,FALSE),"")</f>
        <v>0</v>
      </c>
      <c r="I3521" s="46" t="str">
        <f>IF(INPUT!P3516="","",INPUT!P3516)</f>
        <v/>
      </c>
      <c r="J3521" s="46" t="str">
        <f>IF(INPUT!Q3516="","",INPUT!Q3516)</f>
        <v/>
      </c>
      <c r="K3521" s="46" t="str">
        <f>IFERROR(IF(OR(INPUT!P3516="",INPUT!Q3516=""),"",INPUT!P3516-INPUT!Q3516),"")</f>
        <v/>
      </c>
      <c r="L3521" s="48" t="str">
        <f>IFERROR(IF(OR(INPUT!P3516="",INPUT!Q3516="",INPUT!P3516=0),"",(INPUT!P3516-INPUT!Q3516)/INPUT!P3516),"")</f>
        <v/>
      </c>
    </row>
    <row r="3522" spans="1:12" ht="18" hidden="1" customHeight="1" x14ac:dyDescent="0.2">
      <c r="A3522" s="11" t="str">
        <f>IF(INPUT!M3517="","",INPUT!M3517)</f>
        <v/>
      </c>
      <c r="B3522" s="11" t="str">
        <f>IF(INPUT!M3517="","",INPUT!M3517-WEEKDAY(INPUT!M3517,2)+1)</f>
        <v/>
      </c>
      <c r="C3522" s="20">
        <f>IFERROR(_xlfn.ISOWEEKNUM(INPUT!M3517),"")</f>
        <v>52</v>
      </c>
      <c r="D3522" s="20">
        <f>IFERROR(YEAR(INPUT!M3517),"")</f>
        <v>1900</v>
      </c>
      <c r="E3522" t="str">
        <f>IF(INPUT!O3517="","",INPUT!O3517)</f>
        <v/>
      </c>
      <c r="F3522" t="str">
        <f>IF(INPUT!N3517="","",INPUT!N3517)</f>
        <v/>
      </c>
      <c r="G3522" cm="1">
        <f t="array" ref="G3522">IFERROR(VLOOKUP(INPUT!M3517&amp;INPUT!N3517,CHOOSE({1,2},INPUT!$A$3:$A$5000&amp;INPUT!$C$3:$C$5000,INPUT!$F$3:$F$5000),2,FALSE),"")</f>
        <v>0</v>
      </c>
      <c r="H3522" cm="1">
        <f t="array" ref="H3522">IFERROR(VLOOKUP(INPUT!M3517&amp;INPUT!N3517,CHOOSE({1,2},INPUT!$A$3:$A$5000&amp;INPUT!$C$3:$C$5000,INPUT!$D$3:$D$5000),2,FALSE),"")</f>
        <v>0</v>
      </c>
      <c r="I3522" s="46" t="str">
        <f>IF(INPUT!P3517="","",INPUT!P3517)</f>
        <v/>
      </c>
      <c r="J3522" s="46" t="str">
        <f>IF(INPUT!Q3517="","",INPUT!Q3517)</f>
        <v/>
      </c>
      <c r="K3522" s="46" t="str">
        <f>IFERROR(IF(OR(INPUT!P3517="",INPUT!Q3517=""),"",INPUT!P3517-INPUT!Q3517),"")</f>
        <v/>
      </c>
      <c r="L3522" s="48" t="str">
        <f>IFERROR(IF(OR(INPUT!P3517="",INPUT!Q3517="",INPUT!P3517=0),"",(INPUT!P3517-INPUT!Q3517)/INPUT!P3517),"")</f>
        <v/>
      </c>
    </row>
    <row r="3523" spans="1:12" ht="18" hidden="1" customHeight="1" x14ac:dyDescent="0.2">
      <c r="A3523" s="11" t="str">
        <f>IF(INPUT!M3518="","",INPUT!M3518)</f>
        <v/>
      </c>
      <c r="B3523" s="11" t="str">
        <f>IF(INPUT!M3518="","",INPUT!M3518-WEEKDAY(INPUT!M3518,2)+1)</f>
        <v/>
      </c>
      <c r="C3523" s="20">
        <f>IFERROR(_xlfn.ISOWEEKNUM(INPUT!M3518),"")</f>
        <v>52</v>
      </c>
      <c r="D3523" s="20">
        <f>IFERROR(YEAR(INPUT!M3518),"")</f>
        <v>1900</v>
      </c>
      <c r="E3523" t="str">
        <f>IF(INPUT!O3518="","",INPUT!O3518)</f>
        <v/>
      </c>
      <c r="F3523" t="str">
        <f>IF(INPUT!N3518="","",INPUT!N3518)</f>
        <v/>
      </c>
      <c r="G3523" cm="1">
        <f t="array" ref="G3523">IFERROR(VLOOKUP(INPUT!M3518&amp;INPUT!N3518,CHOOSE({1,2},INPUT!$A$3:$A$5000&amp;INPUT!$C$3:$C$5000,INPUT!$F$3:$F$5000),2,FALSE),"")</f>
        <v>0</v>
      </c>
      <c r="H3523" cm="1">
        <f t="array" ref="H3523">IFERROR(VLOOKUP(INPUT!M3518&amp;INPUT!N3518,CHOOSE({1,2},INPUT!$A$3:$A$5000&amp;INPUT!$C$3:$C$5000,INPUT!$D$3:$D$5000),2,FALSE),"")</f>
        <v>0</v>
      </c>
      <c r="I3523" s="46" t="str">
        <f>IF(INPUT!P3518="","",INPUT!P3518)</f>
        <v/>
      </c>
      <c r="J3523" s="46" t="str">
        <f>IF(INPUT!Q3518="","",INPUT!Q3518)</f>
        <v/>
      </c>
      <c r="K3523" s="46" t="str">
        <f>IFERROR(IF(OR(INPUT!P3518="",INPUT!Q3518=""),"",INPUT!P3518-INPUT!Q3518),"")</f>
        <v/>
      </c>
      <c r="L3523" s="48" t="str">
        <f>IFERROR(IF(OR(INPUT!P3518="",INPUT!Q3518="",INPUT!P3518=0),"",(INPUT!P3518-INPUT!Q3518)/INPUT!P3518),"")</f>
        <v/>
      </c>
    </row>
    <row r="3524" spans="1:12" ht="18" hidden="1" customHeight="1" x14ac:dyDescent="0.2">
      <c r="A3524" s="11" t="str">
        <f>IF(INPUT!M3519="","",INPUT!M3519)</f>
        <v/>
      </c>
      <c r="B3524" s="11" t="str">
        <f>IF(INPUT!M3519="","",INPUT!M3519-WEEKDAY(INPUT!M3519,2)+1)</f>
        <v/>
      </c>
      <c r="C3524" s="20">
        <f>IFERROR(_xlfn.ISOWEEKNUM(INPUT!M3519),"")</f>
        <v>52</v>
      </c>
      <c r="D3524" s="20">
        <f>IFERROR(YEAR(INPUT!M3519),"")</f>
        <v>1900</v>
      </c>
      <c r="E3524" t="str">
        <f>IF(INPUT!O3519="","",INPUT!O3519)</f>
        <v/>
      </c>
      <c r="F3524" t="str">
        <f>IF(INPUT!N3519="","",INPUT!N3519)</f>
        <v/>
      </c>
      <c r="G3524" cm="1">
        <f t="array" ref="G3524">IFERROR(VLOOKUP(INPUT!M3519&amp;INPUT!N3519,CHOOSE({1,2},INPUT!$A$3:$A$5000&amp;INPUT!$C$3:$C$5000,INPUT!$F$3:$F$5000),2,FALSE),"")</f>
        <v>0</v>
      </c>
      <c r="H3524" cm="1">
        <f t="array" ref="H3524">IFERROR(VLOOKUP(INPUT!M3519&amp;INPUT!N3519,CHOOSE({1,2},INPUT!$A$3:$A$5000&amp;INPUT!$C$3:$C$5000,INPUT!$D$3:$D$5000),2,FALSE),"")</f>
        <v>0</v>
      </c>
      <c r="I3524" s="46" t="str">
        <f>IF(INPUT!P3519="","",INPUT!P3519)</f>
        <v/>
      </c>
      <c r="J3524" s="46" t="str">
        <f>IF(INPUT!Q3519="","",INPUT!Q3519)</f>
        <v/>
      </c>
      <c r="K3524" s="46" t="str">
        <f>IFERROR(IF(OR(INPUT!P3519="",INPUT!Q3519=""),"",INPUT!P3519-INPUT!Q3519),"")</f>
        <v/>
      </c>
      <c r="L3524" s="48" t="str">
        <f>IFERROR(IF(OR(INPUT!P3519="",INPUT!Q3519="",INPUT!P3519=0),"",(INPUT!P3519-INPUT!Q3519)/INPUT!P3519),"")</f>
        <v/>
      </c>
    </row>
    <row r="3525" spans="1:12" ht="18" hidden="1" customHeight="1" x14ac:dyDescent="0.2">
      <c r="A3525" s="11" t="str">
        <f>IF(INPUT!M3520="","",INPUT!M3520)</f>
        <v/>
      </c>
      <c r="B3525" s="11" t="str">
        <f>IF(INPUT!M3520="","",INPUT!M3520-WEEKDAY(INPUT!M3520,2)+1)</f>
        <v/>
      </c>
      <c r="C3525" s="20">
        <f>IFERROR(_xlfn.ISOWEEKNUM(INPUT!M3520),"")</f>
        <v>52</v>
      </c>
      <c r="D3525" s="20">
        <f>IFERROR(YEAR(INPUT!M3520),"")</f>
        <v>1900</v>
      </c>
      <c r="E3525" t="str">
        <f>IF(INPUT!O3520="","",INPUT!O3520)</f>
        <v/>
      </c>
      <c r="F3525" t="str">
        <f>IF(INPUT!N3520="","",INPUT!N3520)</f>
        <v/>
      </c>
      <c r="G3525" cm="1">
        <f t="array" ref="G3525">IFERROR(VLOOKUP(INPUT!M3520&amp;INPUT!N3520,CHOOSE({1,2},INPUT!$A$3:$A$5000&amp;INPUT!$C$3:$C$5000,INPUT!$F$3:$F$5000),2,FALSE),"")</f>
        <v>0</v>
      </c>
      <c r="H3525" cm="1">
        <f t="array" ref="H3525">IFERROR(VLOOKUP(INPUT!M3520&amp;INPUT!N3520,CHOOSE({1,2},INPUT!$A$3:$A$5000&amp;INPUT!$C$3:$C$5000,INPUT!$D$3:$D$5000),2,FALSE),"")</f>
        <v>0</v>
      </c>
      <c r="I3525" s="46" t="str">
        <f>IF(INPUT!P3520="","",INPUT!P3520)</f>
        <v/>
      </c>
      <c r="J3525" s="46" t="str">
        <f>IF(INPUT!Q3520="","",INPUT!Q3520)</f>
        <v/>
      </c>
      <c r="K3525" s="46" t="str">
        <f>IFERROR(IF(OR(INPUT!P3520="",INPUT!Q3520=""),"",INPUT!P3520-INPUT!Q3520),"")</f>
        <v/>
      </c>
      <c r="L3525" s="48" t="str">
        <f>IFERROR(IF(OR(INPUT!P3520="",INPUT!Q3520="",INPUT!P3520=0),"",(INPUT!P3520-INPUT!Q3520)/INPUT!P3520),"")</f>
        <v/>
      </c>
    </row>
    <row r="3526" spans="1:12" ht="18" hidden="1" customHeight="1" x14ac:dyDescent="0.2">
      <c r="A3526" s="11" t="str">
        <f>IF(INPUT!M3521="","",INPUT!M3521)</f>
        <v/>
      </c>
      <c r="B3526" s="11" t="str">
        <f>IF(INPUT!M3521="","",INPUT!M3521-WEEKDAY(INPUT!M3521,2)+1)</f>
        <v/>
      </c>
      <c r="C3526" s="20">
        <f>IFERROR(_xlfn.ISOWEEKNUM(INPUT!M3521),"")</f>
        <v>52</v>
      </c>
      <c r="D3526" s="20">
        <f>IFERROR(YEAR(INPUT!M3521),"")</f>
        <v>1900</v>
      </c>
      <c r="E3526" t="str">
        <f>IF(INPUT!O3521="","",INPUT!O3521)</f>
        <v/>
      </c>
      <c r="F3526" t="str">
        <f>IF(INPUT!N3521="","",INPUT!N3521)</f>
        <v/>
      </c>
      <c r="G3526" cm="1">
        <f t="array" ref="G3526">IFERROR(VLOOKUP(INPUT!M3521&amp;INPUT!N3521,CHOOSE({1,2},INPUT!$A$3:$A$5000&amp;INPUT!$C$3:$C$5000,INPUT!$F$3:$F$5000),2,FALSE),"")</f>
        <v>0</v>
      </c>
      <c r="H3526" cm="1">
        <f t="array" ref="H3526">IFERROR(VLOOKUP(INPUT!M3521&amp;INPUT!N3521,CHOOSE({1,2},INPUT!$A$3:$A$5000&amp;INPUT!$C$3:$C$5000,INPUT!$D$3:$D$5000),2,FALSE),"")</f>
        <v>0</v>
      </c>
      <c r="I3526" s="46" t="str">
        <f>IF(INPUT!P3521="","",INPUT!P3521)</f>
        <v/>
      </c>
      <c r="J3526" s="46" t="str">
        <f>IF(INPUT!Q3521="","",INPUT!Q3521)</f>
        <v/>
      </c>
      <c r="K3526" s="46" t="str">
        <f>IFERROR(IF(OR(INPUT!P3521="",INPUT!Q3521=""),"",INPUT!P3521-INPUT!Q3521),"")</f>
        <v/>
      </c>
      <c r="L3526" s="48" t="str">
        <f>IFERROR(IF(OR(INPUT!P3521="",INPUT!Q3521="",INPUT!P3521=0),"",(INPUT!P3521-INPUT!Q3521)/INPUT!P3521),"")</f>
        <v/>
      </c>
    </row>
    <row r="3527" spans="1:12" ht="18" hidden="1" customHeight="1" x14ac:dyDescent="0.2">
      <c r="A3527" s="11" t="str">
        <f>IF(INPUT!M3522="","",INPUT!M3522)</f>
        <v/>
      </c>
      <c r="B3527" s="11" t="str">
        <f>IF(INPUT!M3522="","",INPUT!M3522-WEEKDAY(INPUT!M3522,2)+1)</f>
        <v/>
      </c>
      <c r="C3527" s="20">
        <f>IFERROR(_xlfn.ISOWEEKNUM(INPUT!M3522),"")</f>
        <v>52</v>
      </c>
      <c r="D3527" s="20">
        <f>IFERROR(YEAR(INPUT!M3522),"")</f>
        <v>1900</v>
      </c>
      <c r="E3527" t="str">
        <f>IF(INPUT!O3522="","",INPUT!O3522)</f>
        <v/>
      </c>
      <c r="F3527" t="str">
        <f>IF(INPUT!N3522="","",INPUT!N3522)</f>
        <v/>
      </c>
      <c r="G3527" cm="1">
        <f t="array" ref="G3527">IFERROR(VLOOKUP(INPUT!M3522&amp;INPUT!N3522,CHOOSE({1,2},INPUT!$A$3:$A$5000&amp;INPUT!$C$3:$C$5000,INPUT!$F$3:$F$5000),2,FALSE),"")</f>
        <v>0</v>
      </c>
      <c r="H3527" cm="1">
        <f t="array" ref="H3527">IFERROR(VLOOKUP(INPUT!M3522&amp;INPUT!N3522,CHOOSE({1,2},INPUT!$A$3:$A$5000&amp;INPUT!$C$3:$C$5000,INPUT!$D$3:$D$5000),2,FALSE),"")</f>
        <v>0</v>
      </c>
      <c r="I3527" s="46" t="str">
        <f>IF(INPUT!P3522="","",INPUT!P3522)</f>
        <v/>
      </c>
      <c r="J3527" s="46" t="str">
        <f>IF(INPUT!Q3522="","",INPUT!Q3522)</f>
        <v/>
      </c>
      <c r="K3527" s="46" t="str">
        <f>IFERROR(IF(OR(INPUT!P3522="",INPUT!Q3522=""),"",INPUT!P3522-INPUT!Q3522),"")</f>
        <v/>
      </c>
      <c r="L3527" s="48" t="str">
        <f>IFERROR(IF(OR(INPUT!P3522="",INPUT!Q3522="",INPUT!P3522=0),"",(INPUT!P3522-INPUT!Q3522)/INPUT!P3522),"")</f>
        <v/>
      </c>
    </row>
    <row r="3528" spans="1:12" ht="18" hidden="1" customHeight="1" x14ac:dyDescent="0.2">
      <c r="A3528" s="11" t="str">
        <f>IF(INPUT!M3523="","",INPUT!M3523)</f>
        <v/>
      </c>
      <c r="B3528" s="11" t="str">
        <f>IF(INPUT!M3523="","",INPUT!M3523-WEEKDAY(INPUT!M3523,2)+1)</f>
        <v/>
      </c>
      <c r="C3528" s="20">
        <f>IFERROR(_xlfn.ISOWEEKNUM(INPUT!M3523),"")</f>
        <v>52</v>
      </c>
      <c r="D3528" s="20">
        <f>IFERROR(YEAR(INPUT!M3523),"")</f>
        <v>1900</v>
      </c>
      <c r="E3528" t="str">
        <f>IF(INPUT!O3523="","",INPUT!O3523)</f>
        <v/>
      </c>
      <c r="F3528" t="str">
        <f>IF(INPUT!N3523="","",INPUT!N3523)</f>
        <v/>
      </c>
      <c r="G3528" cm="1">
        <f t="array" ref="G3528">IFERROR(VLOOKUP(INPUT!M3523&amp;INPUT!N3523,CHOOSE({1,2},INPUT!$A$3:$A$5000&amp;INPUT!$C$3:$C$5000,INPUT!$F$3:$F$5000),2,FALSE),"")</f>
        <v>0</v>
      </c>
      <c r="H3528" cm="1">
        <f t="array" ref="H3528">IFERROR(VLOOKUP(INPUT!M3523&amp;INPUT!N3523,CHOOSE({1,2},INPUT!$A$3:$A$5000&amp;INPUT!$C$3:$C$5000,INPUT!$D$3:$D$5000),2,FALSE),"")</f>
        <v>0</v>
      </c>
      <c r="I3528" s="46" t="str">
        <f>IF(INPUT!P3523="","",INPUT!P3523)</f>
        <v/>
      </c>
      <c r="J3528" s="46" t="str">
        <f>IF(INPUT!Q3523="","",INPUT!Q3523)</f>
        <v/>
      </c>
      <c r="K3528" s="46" t="str">
        <f>IFERROR(IF(OR(INPUT!P3523="",INPUT!Q3523=""),"",INPUT!P3523-INPUT!Q3523),"")</f>
        <v/>
      </c>
      <c r="L3528" s="48" t="str">
        <f>IFERROR(IF(OR(INPUT!P3523="",INPUT!Q3523="",INPUT!P3523=0),"",(INPUT!P3523-INPUT!Q3523)/INPUT!P3523),"")</f>
        <v/>
      </c>
    </row>
    <row r="3529" spans="1:12" ht="18" hidden="1" customHeight="1" x14ac:dyDescent="0.2">
      <c r="A3529" s="11" t="str">
        <f>IF(INPUT!M3524="","",INPUT!M3524)</f>
        <v/>
      </c>
      <c r="B3529" s="11" t="str">
        <f>IF(INPUT!M3524="","",INPUT!M3524-WEEKDAY(INPUT!M3524,2)+1)</f>
        <v/>
      </c>
      <c r="C3529" s="20">
        <f>IFERROR(_xlfn.ISOWEEKNUM(INPUT!M3524),"")</f>
        <v>52</v>
      </c>
      <c r="D3529" s="20">
        <f>IFERROR(YEAR(INPUT!M3524),"")</f>
        <v>1900</v>
      </c>
      <c r="E3529" t="str">
        <f>IF(INPUT!O3524="","",INPUT!O3524)</f>
        <v/>
      </c>
      <c r="F3529" t="str">
        <f>IF(INPUT!N3524="","",INPUT!N3524)</f>
        <v/>
      </c>
      <c r="G3529" cm="1">
        <f t="array" ref="G3529">IFERROR(VLOOKUP(INPUT!M3524&amp;INPUT!N3524,CHOOSE({1,2},INPUT!$A$3:$A$5000&amp;INPUT!$C$3:$C$5000,INPUT!$F$3:$F$5000),2,FALSE),"")</f>
        <v>0</v>
      </c>
      <c r="H3529" cm="1">
        <f t="array" ref="H3529">IFERROR(VLOOKUP(INPUT!M3524&amp;INPUT!N3524,CHOOSE({1,2},INPUT!$A$3:$A$5000&amp;INPUT!$C$3:$C$5000,INPUT!$D$3:$D$5000),2,FALSE),"")</f>
        <v>0</v>
      </c>
      <c r="I3529" s="46" t="str">
        <f>IF(INPUT!P3524="","",INPUT!P3524)</f>
        <v/>
      </c>
      <c r="J3529" s="46" t="str">
        <f>IF(INPUT!Q3524="","",INPUT!Q3524)</f>
        <v/>
      </c>
      <c r="K3529" s="46" t="str">
        <f>IFERROR(IF(OR(INPUT!P3524="",INPUT!Q3524=""),"",INPUT!P3524-INPUT!Q3524),"")</f>
        <v/>
      </c>
      <c r="L3529" s="48" t="str">
        <f>IFERROR(IF(OR(INPUT!P3524="",INPUT!Q3524="",INPUT!P3524=0),"",(INPUT!P3524-INPUT!Q3524)/INPUT!P3524),"")</f>
        <v/>
      </c>
    </row>
    <row r="3530" spans="1:12" ht="18" hidden="1" customHeight="1" x14ac:dyDescent="0.2">
      <c r="A3530" s="11" t="str">
        <f>IF(INPUT!M3525="","",INPUT!M3525)</f>
        <v/>
      </c>
      <c r="B3530" s="11" t="str">
        <f>IF(INPUT!M3525="","",INPUT!M3525-WEEKDAY(INPUT!M3525,2)+1)</f>
        <v/>
      </c>
      <c r="C3530" s="20">
        <f>IFERROR(_xlfn.ISOWEEKNUM(INPUT!M3525),"")</f>
        <v>52</v>
      </c>
      <c r="D3530" s="20">
        <f>IFERROR(YEAR(INPUT!M3525),"")</f>
        <v>1900</v>
      </c>
      <c r="E3530" t="str">
        <f>IF(INPUT!O3525="","",INPUT!O3525)</f>
        <v/>
      </c>
      <c r="F3530" t="str">
        <f>IF(INPUT!N3525="","",INPUT!N3525)</f>
        <v/>
      </c>
      <c r="G3530" cm="1">
        <f t="array" ref="G3530">IFERROR(VLOOKUP(INPUT!M3525&amp;INPUT!N3525,CHOOSE({1,2},INPUT!$A$3:$A$5000&amp;INPUT!$C$3:$C$5000,INPUT!$F$3:$F$5000),2,FALSE),"")</f>
        <v>0</v>
      </c>
      <c r="H3530" cm="1">
        <f t="array" ref="H3530">IFERROR(VLOOKUP(INPUT!M3525&amp;INPUT!N3525,CHOOSE({1,2},INPUT!$A$3:$A$5000&amp;INPUT!$C$3:$C$5000,INPUT!$D$3:$D$5000),2,FALSE),"")</f>
        <v>0</v>
      </c>
      <c r="I3530" s="46" t="str">
        <f>IF(INPUT!P3525="","",INPUT!P3525)</f>
        <v/>
      </c>
      <c r="J3530" s="46" t="str">
        <f>IF(INPUT!Q3525="","",INPUT!Q3525)</f>
        <v/>
      </c>
      <c r="K3530" s="46" t="str">
        <f>IFERROR(IF(OR(INPUT!P3525="",INPUT!Q3525=""),"",INPUT!P3525-INPUT!Q3525),"")</f>
        <v/>
      </c>
      <c r="L3530" s="48" t="str">
        <f>IFERROR(IF(OR(INPUT!P3525="",INPUT!Q3525="",INPUT!P3525=0),"",(INPUT!P3525-INPUT!Q3525)/INPUT!P3525),"")</f>
        <v/>
      </c>
    </row>
    <row r="3531" spans="1:12" ht="18" hidden="1" customHeight="1" x14ac:dyDescent="0.2">
      <c r="A3531" s="11" t="str">
        <f>IF(INPUT!M3526="","",INPUT!M3526)</f>
        <v/>
      </c>
      <c r="B3531" s="11" t="str">
        <f>IF(INPUT!M3526="","",INPUT!M3526-WEEKDAY(INPUT!M3526,2)+1)</f>
        <v/>
      </c>
      <c r="C3531" s="20">
        <f>IFERROR(_xlfn.ISOWEEKNUM(INPUT!M3526),"")</f>
        <v>52</v>
      </c>
      <c r="D3531" s="20">
        <f>IFERROR(YEAR(INPUT!M3526),"")</f>
        <v>1900</v>
      </c>
      <c r="E3531" t="str">
        <f>IF(INPUT!O3526="","",INPUT!O3526)</f>
        <v/>
      </c>
      <c r="F3531" t="str">
        <f>IF(INPUT!N3526="","",INPUT!N3526)</f>
        <v/>
      </c>
      <c r="G3531" cm="1">
        <f t="array" ref="G3531">IFERROR(VLOOKUP(INPUT!M3526&amp;INPUT!N3526,CHOOSE({1,2},INPUT!$A$3:$A$5000&amp;INPUT!$C$3:$C$5000,INPUT!$F$3:$F$5000),2,FALSE),"")</f>
        <v>0</v>
      </c>
      <c r="H3531" cm="1">
        <f t="array" ref="H3531">IFERROR(VLOOKUP(INPUT!M3526&amp;INPUT!N3526,CHOOSE({1,2},INPUT!$A$3:$A$5000&amp;INPUT!$C$3:$C$5000,INPUT!$D$3:$D$5000),2,FALSE),"")</f>
        <v>0</v>
      </c>
      <c r="I3531" s="46" t="str">
        <f>IF(INPUT!P3526="","",INPUT!P3526)</f>
        <v/>
      </c>
      <c r="J3531" s="46" t="str">
        <f>IF(INPUT!Q3526="","",INPUT!Q3526)</f>
        <v/>
      </c>
      <c r="K3531" s="46" t="str">
        <f>IFERROR(IF(OR(INPUT!P3526="",INPUT!Q3526=""),"",INPUT!P3526-INPUT!Q3526),"")</f>
        <v/>
      </c>
      <c r="L3531" s="48" t="str">
        <f>IFERROR(IF(OR(INPUT!P3526="",INPUT!Q3526="",INPUT!P3526=0),"",(INPUT!P3526-INPUT!Q3526)/INPUT!P3526),"")</f>
        <v/>
      </c>
    </row>
    <row r="3532" spans="1:12" ht="18" hidden="1" customHeight="1" x14ac:dyDescent="0.2">
      <c r="A3532" s="11" t="str">
        <f>IF(INPUT!M3527="","",INPUT!M3527)</f>
        <v/>
      </c>
      <c r="B3532" s="11" t="str">
        <f>IF(INPUT!M3527="","",INPUT!M3527-WEEKDAY(INPUT!M3527,2)+1)</f>
        <v/>
      </c>
      <c r="C3532" s="20">
        <f>IFERROR(_xlfn.ISOWEEKNUM(INPUT!M3527),"")</f>
        <v>52</v>
      </c>
      <c r="D3532" s="20">
        <f>IFERROR(YEAR(INPUT!M3527),"")</f>
        <v>1900</v>
      </c>
      <c r="E3532" t="str">
        <f>IF(INPUT!O3527="","",INPUT!O3527)</f>
        <v/>
      </c>
      <c r="F3532" t="str">
        <f>IF(INPUT!N3527="","",INPUT!N3527)</f>
        <v/>
      </c>
      <c r="G3532" cm="1">
        <f t="array" ref="G3532">IFERROR(VLOOKUP(INPUT!M3527&amp;INPUT!N3527,CHOOSE({1,2},INPUT!$A$3:$A$5000&amp;INPUT!$C$3:$C$5000,INPUT!$F$3:$F$5000),2,FALSE),"")</f>
        <v>0</v>
      </c>
      <c r="H3532" cm="1">
        <f t="array" ref="H3532">IFERROR(VLOOKUP(INPUT!M3527&amp;INPUT!N3527,CHOOSE({1,2},INPUT!$A$3:$A$5000&amp;INPUT!$C$3:$C$5000,INPUT!$D$3:$D$5000),2,FALSE),"")</f>
        <v>0</v>
      </c>
      <c r="I3532" s="46" t="str">
        <f>IF(INPUT!P3527="","",INPUT!P3527)</f>
        <v/>
      </c>
      <c r="J3532" s="46" t="str">
        <f>IF(INPUT!Q3527="","",INPUT!Q3527)</f>
        <v/>
      </c>
      <c r="K3532" s="46" t="str">
        <f>IFERROR(IF(OR(INPUT!P3527="",INPUT!Q3527=""),"",INPUT!P3527-INPUT!Q3527),"")</f>
        <v/>
      </c>
      <c r="L3532" s="48" t="str">
        <f>IFERROR(IF(OR(INPUT!P3527="",INPUT!Q3527="",INPUT!P3527=0),"",(INPUT!P3527-INPUT!Q3527)/INPUT!P3527),"")</f>
        <v/>
      </c>
    </row>
    <row r="3533" spans="1:12" ht="18" hidden="1" customHeight="1" x14ac:dyDescent="0.2">
      <c r="A3533" s="11" t="str">
        <f>IF(INPUT!M3528="","",INPUT!M3528)</f>
        <v/>
      </c>
      <c r="B3533" s="11" t="str">
        <f>IF(INPUT!M3528="","",INPUT!M3528-WEEKDAY(INPUT!M3528,2)+1)</f>
        <v/>
      </c>
      <c r="C3533" s="20">
        <f>IFERROR(_xlfn.ISOWEEKNUM(INPUT!M3528),"")</f>
        <v>52</v>
      </c>
      <c r="D3533" s="20">
        <f>IFERROR(YEAR(INPUT!M3528),"")</f>
        <v>1900</v>
      </c>
      <c r="E3533" t="str">
        <f>IF(INPUT!O3528="","",INPUT!O3528)</f>
        <v/>
      </c>
      <c r="F3533" t="str">
        <f>IF(INPUT!N3528="","",INPUT!N3528)</f>
        <v/>
      </c>
      <c r="G3533" cm="1">
        <f t="array" ref="G3533">IFERROR(VLOOKUP(INPUT!M3528&amp;INPUT!N3528,CHOOSE({1,2},INPUT!$A$3:$A$5000&amp;INPUT!$C$3:$C$5000,INPUT!$F$3:$F$5000),2,FALSE),"")</f>
        <v>0</v>
      </c>
      <c r="H3533" cm="1">
        <f t="array" ref="H3533">IFERROR(VLOOKUP(INPUT!M3528&amp;INPUT!N3528,CHOOSE({1,2},INPUT!$A$3:$A$5000&amp;INPUT!$C$3:$C$5000,INPUT!$D$3:$D$5000),2,FALSE),"")</f>
        <v>0</v>
      </c>
      <c r="I3533" s="46" t="str">
        <f>IF(INPUT!P3528="","",INPUT!P3528)</f>
        <v/>
      </c>
      <c r="J3533" s="46" t="str">
        <f>IF(INPUT!Q3528="","",INPUT!Q3528)</f>
        <v/>
      </c>
      <c r="K3533" s="46" t="str">
        <f>IFERROR(IF(OR(INPUT!P3528="",INPUT!Q3528=""),"",INPUT!P3528-INPUT!Q3528),"")</f>
        <v/>
      </c>
      <c r="L3533" s="48" t="str">
        <f>IFERROR(IF(OR(INPUT!P3528="",INPUT!Q3528="",INPUT!P3528=0),"",(INPUT!P3528-INPUT!Q3528)/INPUT!P3528),"")</f>
        <v/>
      </c>
    </row>
    <row r="3534" spans="1:12" ht="18" hidden="1" customHeight="1" x14ac:dyDescent="0.2">
      <c r="A3534" s="11" t="str">
        <f>IF(INPUT!M3529="","",INPUT!M3529)</f>
        <v/>
      </c>
      <c r="B3534" s="11" t="str">
        <f>IF(INPUT!M3529="","",INPUT!M3529-WEEKDAY(INPUT!M3529,2)+1)</f>
        <v/>
      </c>
      <c r="C3534" s="20">
        <f>IFERROR(_xlfn.ISOWEEKNUM(INPUT!M3529),"")</f>
        <v>52</v>
      </c>
      <c r="D3534" s="20">
        <f>IFERROR(YEAR(INPUT!M3529),"")</f>
        <v>1900</v>
      </c>
      <c r="E3534" t="str">
        <f>IF(INPUT!O3529="","",INPUT!O3529)</f>
        <v/>
      </c>
      <c r="F3534" t="str">
        <f>IF(INPUT!N3529="","",INPUT!N3529)</f>
        <v/>
      </c>
      <c r="G3534" cm="1">
        <f t="array" ref="G3534">IFERROR(VLOOKUP(INPUT!M3529&amp;INPUT!N3529,CHOOSE({1,2},INPUT!$A$3:$A$5000&amp;INPUT!$C$3:$C$5000,INPUT!$F$3:$F$5000),2,FALSE),"")</f>
        <v>0</v>
      </c>
      <c r="H3534" cm="1">
        <f t="array" ref="H3534">IFERROR(VLOOKUP(INPUT!M3529&amp;INPUT!N3529,CHOOSE({1,2},INPUT!$A$3:$A$5000&amp;INPUT!$C$3:$C$5000,INPUT!$D$3:$D$5000),2,FALSE),"")</f>
        <v>0</v>
      </c>
      <c r="I3534" s="46" t="str">
        <f>IF(INPUT!P3529="","",INPUT!P3529)</f>
        <v/>
      </c>
      <c r="J3534" s="46" t="str">
        <f>IF(INPUT!Q3529="","",INPUT!Q3529)</f>
        <v/>
      </c>
      <c r="K3534" s="46" t="str">
        <f>IFERROR(IF(OR(INPUT!P3529="",INPUT!Q3529=""),"",INPUT!P3529-INPUT!Q3529),"")</f>
        <v/>
      </c>
      <c r="L3534" s="48" t="str">
        <f>IFERROR(IF(OR(INPUT!P3529="",INPUT!Q3529="",INPUT!P3529=0),"",(INPUT!P3529-INPUT!Q3529)/INPUT!P3529),"")</f>
        <v/>
      </c>
    </row>
    <row r="3535" spans="1:12" ht="18" hidden="1" customHeight="1" x14ac:dyDescent="0.2">
      <c r="A3535" s="11" t="str">
        <f>IF(INPUT!M3530="","",INPUT!M3530)</f>
        <v/>
      </c>
      <c r="B3535" s="11" t="str">
        <f>IF(INPUT!M3530="","",INPUT!M3530-WEEKDAY(INPUT!M3530,2)+1)</f>
        <v/>
      </c>
      <c r="C3535" s="20">
        <f>IFERROR(_xlfn.ISOWEEKNUM(INPUT!M3530),"")</f>
        <v>52</v>
      </c>
      <c r="D3535" s="20">
        <f>IFERROR(YEAR(INPUT!M3530),"")</f>
        <v>1900</v>
      </c>
      <c r="E3535" t="str">
        <f>IF(INPUT!O3530="","",INPUT!O3530)</f>
        <v/>
      </c>
      <c r="F3535" t="str">
        <f>IF(INPUT!N3530="","",INPUT!N3530)</f>
        <v/>
      </c>
      <c r="G3535" cm="1">
        <f t="array" ref="G3535">IFERROR(VLOOKUP(INPUT!M3530&amp;INPUT!N3530,CHOOSE({1,2},INPUT!$A$3:$A$5000&amp;INPUT!$C$3:$C$5000,INPUT!$F$3:$F$5000),2,FALSE),"")</f>
        <v>0</v>
      </c>
      <c r="H3535" cm="1">
        <f t="array" ref="H3535">IFERROR(VLOOKUP(INPUT!M3530&amp;INPUT!N3530,CHOOSE({1,2},INPUT!$A$3:$A$5000&amp;INPUT!$C$3:$C$5000,INPUT!$D$3:$D$5000),2,FALSE),"")</f>
        <v>0</v>
      </c>
      <c r="I3535" s="46" t="str">
        <f>IF(INPUT!P3530="","",INPUT!P3530)</f>
        <v/>
      </c>
      <c r="J3535" s="46" t="str">
        <f>IF(INPUT!Q3530="","",INPUT!Q3530)</f>
        <v/>
      </c>
      <c r="K3535" s="46" t="str">
        <f>IFERROR(IF(OR(INPUT!P3530="",INPUT!Q3530=""),"",INPUT!P3530-INPUT!Q3530),"")</f>
        <v/>
      </c>
      <c r="L3535" s="48" t="str">
        <f>IFERROR(IF(OR(INPUT!P3530="",INPUT!Q3530="",INPUT!P3530=0),"",(INPUT!P3530-INPUT!Q3530)/INPUT!P3530),"")</f>
        <v/>
      </c>
    </row>
    <row r="3536" spans="1:12" ht="18" hidden="1" customHeight="1" x14ac:dyDescent="0.2">
      <c r="A3536" s="11" t="str">
        <f>IF(INPUT!M3531="","",INPUT!M3531)</f>
        <v/>
      </c>
      <c r="B3536" s="11" t="str">
        <f>IF(INPUT!M3531="","",INPUT!M3531-WEEKDAY(INPUT!M3531,2)+1)</f>
        <v/>
      </c>
      <c r="C3536" s="20">
        <f>IFERROR(_xlfn.ISOWEEKNUM(INPUT!M3531),"")</f>
        <v>52</v>
      </c>
      <c r="D3536" s="20">
        <f>IFERROR(YEAR(INPUT!M3531),"")</f>
        <v>1900</v>
      </c>
      <c r="E3536" t="str">
        <f>IF(INPUT!O3531="","",INPUT!O3531)</f>
        <v/>
      </c>
      <c r="F3536" t="str">
        <f>IF(INPUT!N3531="","",INPUT!N3531)</f>
        <v/>
      </c>
      <c r="G3536" cm="1">
        <f t="array" ref="G3536">IFERROR(VLOOKUP(INPUT!M3531&amp;INPUT!N3531,CHOOSE({1,2},INPUT!$A$3:$A$5000&amp;INPUT!$C$3:$C$5000,INPUT!$F$3:$F$5000),2,FALSE),"")</f>
        <v>0</v>
      </c>
      <c r="H3536" cm="1">
        <f t="array" ref="H3536">IFERROR(VLOOKUP(INPUT!M3531&amp;INPUT!N3531,CHOOSE({1,2},INPUT!$A$3:$A$5000&amp;INPUT!$C$3:$C$5000,INPUT!$D$3:$D$5000),2,FALSE),"")</f>
        <v>0</v>
      </c>
      <c r="I3536" s="46" t="str">
        <f>IF(INPUT!P3531="","",INPUT!P3531)</f>
        <v/>
      </c>
      <c r="J3536" s="46" t="str">
        <f>IF(INPUT!Q3531="","",INPUT!Q3531)</f>
        <v/>
      </c>
      <c r="K3536" s="46" t="str">
        <f>IFERROR(IF(OR(INPUT!P3531="",INPUT!Q3531=""),"",INPUT!P3531-INPUT!Q3531),"")</f>
        <v/>
      </c>
      <c r="L3536" s="48" t="str">
        <f>IFERROR(IF(OR(INPUT!P3531="",INPUT!Q3531="",INPUT!P3531=0),"",(INPUT!P3531-INPUT!Q3531)/INPUT!P3531),"")</f>
        <v/>
      </c>
    </row>
    <row r="3537" spans="1:12" ht="18" hidden="1" customHeight="1" x14ac:dyDescent="0.2">
      <c r="A3537" s="11" t="str">
        <f>IF(INPUT!M3532="","",INPUT!M3532)</f>
        <v/>
      </c>
      <c r="B3537" s="11" t="str">
        <f>IF(INPUT!M3532="","",INPUT!M3532-WEEKDAY(INPUT!M3532,2)+1)</f>
        <v/>
      </c>
      <c r="C3537" s="20">
        <f>IFERROR(_xlfn.ISOWEEKNUM(INPUT!M3532),"")</f>
        <v>52</v>
      </c>
      <c r="D3537" s="20">
        <f>IFERROR(YEAR(INPUT!M3532),"")</f>
        <v>1900</v>
      </c>
      <c r="E3537" t="str">
        <f>IF(INPUT!O3532="","",INPUT!O3532)</f>
        <v/>
      </c>
      <c r="F3537" t="str">
        <f>IF(INPUT!N3532="","",INPUT!N3532)</f>
        <v/>
      </c>
      <c r="G3537" cm="1">
        <f t="array" ref="G3537">IFERROR(VLOOKUP(INPUT!M3532&amp;INPUT!N3532,CHOOSE({1,2},INPUT!$A$3:$A$5000&amp;INPUT!$C$3:$C$5000,INPUT!$F$3:$F$5000),2,FALSE),"")</f>
        <v>0</v>
      </c>
      <c r="H3537" cm="1">
        <f t="array" ref="H3537">IFERROR(VLOOKUP(INPUT!M3532&amp;INPUT!N3532,CHOOSE({1,2},INPUT!$A$3:$A$5000&amp;INPUT!$C$3:$C$5000,INPUT!$D$3:$D$5000),2,FALSE),"")</f>
        <v>0</v>
      </c>
      <c r="I3537" s="46" t="str">
        <f>IF(INPUT!P3532="","",INPUT!P3532)</f>
        <v/>
      </c>
      <c r="J3537" s="46" t="str">
        <f>IF(INPUT!Q3532="","",INPUT!Q3532)</f>
        <v/>
      </c>
      <c r="K3537" s="46" t="str">
        <f>IFERROR(IF(OR(INPUT!P3532="",INPUT!Q3532=""),"",INPUT!P3532-INPUT!Q3532),"")</f>
        <v/>
      </c>
      <c r="L3537" s="48" t="str">
        <f>IFERROR(IF(OR(INPUT!P3532="",INPUT!Q3532="",INPUT!P3532=0),"",(INPUT!P3532-INPUT!Q3532)/INPUT!P3532),"")</f>
        <v/>
      </c>
    </row>
    <row r="3538" spans="1:12" ht="18" hidden="1" customHeight="1" x14ac:dyDescent="0.2">
      <c r="A3538" s="11" t="str">
        <f>IF(INPUT!M3533="","",INPUT!M3533)</f>
        <v/>
      </c>
      <c r="B3538" s="11" t="str">
        <f>IF(INPUT!M3533="","",INPUT!M3533-WEEKDAY(INPUT!M3533,2)+1)</f>
        <v/>
      </c>
      <c r="C3538" s="20">
        <f>IFERROR(_xlfn.ISOWEEKNUM(INPUT!M3533),"")</f>
        <v>52</v>
      </c>
      <c r="D3538" s="20">
        <f>IFERROR(YEAR(INPUT!M3533),"")</f>
        <v>1900</v>
      </c>
      <c r="E3538" t="str">
        <f>IF(INPUT!O3533="","",INPUT!O3533)</f>
        <v/>
      </c>
      <c r="F3538" t="str">
        <f>IF(INPUT!N3533="","",INPUT!N3533)</f>
        <v/>
      </c>
      <c r="G3538" cm="1">
        <f t="array" ref="G3538">IFERROR(VLOOKUP(INPUT!M3533&amp;INPUT!N3533,CHOOSE({1,2},INPUT!$A$3:$A$5000&amp;INPUT!$C$3:$C$5000,INPUT!$F$3:$F$5000),2,FALSE),"")</f>
        <v>0</v>
      </c>
      <c r="H3538" cm="1">
        <f t="array" ref="H3538">IFERROR(VLOOKUP(INPUT!M3533&amp;INPUT!N3533,CHOOSE({1,2},INPUT!$A$3:$A$5000&amp;INPUT!$C$3:$C$5000,INPUT!$D$3:$D$5000),2,FALSE),"")</f>
        <v>0</v>
      </c>
      <c r="I3538" s="46" t="str">
        <f>IF(INPUT!P3533="","",INPUT!P3533)</f>
        <v/>
      </c>
      <c r="J3538" s="46" t="str">
        <f>IF(INPUT!Q3533="","",INPUT!Q3533)</f>
        <v/>
      </c>
      <c r="K3538" s="46" t="str">
        <f>IFERROR(IF(OR(INPUT!P3533="",INPUT!Q3533=""),"",INPUT!P3533-INPUT!Q3533),"")</f>
        <v/>
      </c>
      <c r="L3538" s="48" t="str">
        <f>IFERROR(IF(OR(INPUT!P3533="",INPUT!Q3533="",INPUT!P3533=0),"",(INPUT!P3533-INPUT!Q3533)/INPUT!P3533),"")</f>
        <v/>
      </c>
    </row>
    <row r="3539" spans="1:12" ht="18" hidden="1" customHeight="1" x14ac:dyDescent="0.2">
      <c r="A3539" s="11" t="str">
        <f>IF(INPUT!M3534="","",INPUT!M3534)</f>
        <v/>
      </c>
      <c r="B3539" s="11" t="str">
        <f>IF(INPUT!M3534="","",INPUT!M3534-WEEKDAY(INPUT!M3534,2)+1)</f>
        <v/>
      </c>
      <c r="C3539" s="20">
        <f>IFERROR(_xlfn.ISOWEEKNUM(INPUT!M3534),"")</f>
        <v>52</v>
      </c>
      <c r="D3539" s="20">
        <f>IFERROR(YEAR(INPUT!M3534),"")</f>
        <v>1900</v>
      </c>
      <c r="E3539" t="str">
        <f>IF(INPUT!O3534="","",INPUT!O3534)</f>
        <v/>
      </c>
      <c r="F3539" t="str">
        <f>IF(INPUT!N3534="","",INPUT!N3534)</f>
        <v/>
      </c>
      <c r="G3539" cm="1">
        <f t="array" ref="G3539">IFERROR(VLOOKUP(INPUT!M3534&amp;INPUT!N3534,CHOOSE({1,2},INPUT!$A$3:$A$5000&amp;INPUT!$C$3:$C$5000,INPUT!$F$3:$F$5000),2,FALSE),"")</f>
        <v>0</v>
      </c>
      <c r="H3539" cm="1">
        <f t="array" ref="H3539">IFERROR(VLOOKUP(INPUT!M3534&amp;INPUT!N3534,CHOOSE({1,2},INPUT!$A$3:$A$5000&amp;INPUT!$C$3:$C$5000,INPUT!$D$3:$D$5000),2,FALSE),"")</f>
        <v>0</v>
      </c>
      <c r="I3539" s="46" t="str">
        <f>IF(INPUT!P3534="","",INPUT!P3534)</f>
        <v/>
      </c>
      <c r="J3539" s="46" t="str">
        <f>IF(INPUT!Q3534="","",INPUT!Q3534)</f>
        <v/>
      </c>
      <c r="K3539" s="46" t="str">
        <f>IFERROR(IF(OR(INPUT!P3534="",INPUT!Q3534=""),"",INPUT!P3534-INPUT!Q3534),"")</f>
        <v/>
      </c>
      <c r="L3539" s="48" t="str">
        <f>IFERROR(IF(OR(INPUT!P3534="",INPUT!Q3534="",INPUT!P3534=0),"",(INPUT!P3534-INPUT!Q3534)/INPUT!P3534),"")</f>
        <v/>
      </c>
    </row>
    <row r="3540" spans="1:12" ht="18" hidden="1" customHeight="1" x14ac:dyDescent="0.2">
      <c r="A3540" s="11" t="str">
        <f>IF(INPUT!M3535="","",INPUT!M3535)</f>
        <v/>
      </c>
      <c r="B3540" s="11" t="str">
        <f>IF(INPUT!M3535="","",INPUT!M3535-WEEKDAY(INPUT!M3535,2)+1)</f>
        <v/>
      </c>
      <c r="C3540" s="20">
        <f>IFERROR(_xlfn.ISOWEEKNUM(INPUT!M3535),"")</f>
        <v>52</v>
      </c>
      <c r="D3540" s="20">
        <f>IFERROR(YEAR(INPUT!M3535),"")</f>
        <v>1900</v>
      </c>
      <c r="E3540" t="str">
        <f>IF(INPUT!O3535="","",INPUT!O3535)</f>
        <v/>
      </c>
      <c r="F3540" t="str">
        <f>IF(INPUT!N3535="","",INPUT!N3535)</f>
        <v/>
      </c>
      <c r="G3540" cm="1">
        <f t="array" ref="G3540">IFERROR(VLOOKUP(INPUT!M3535&amp;INPUT!N3535,CHOOSE({1,2},INPUT!$A$3:$A$5000&amp;INPUT!$C$3:$C$5000,INPUT!$F$3:$F$5000),2,FALSE),"")</f>
        <v>0</v>
      </c>
      <c r="H3540" cm="1">
        <f t="array" ref="H3540">IFERROR(VLOOKUP(INPUT!M3535&amp;INPUT!N3535,CHOOSE({1,2},INPUT!$A$3:$A$5000&amp;INPUT!$C$3:$C$5000,INPUT!$D$3:$D$5000),2,FALSE),"")</f>
        <v>0</v>
      </c>
      <c r="I3540" s="46" t="str">
        <f>IF(INPUT!P3535="","",INPUT!P3535)</f>
        <v/>
      </c>
      <c r="J3540" s="46" t="str">
        <f>IF(INPUT!Q3535="","",INPUT!Q3535)</f>
        <v/>
      </c>
      <c r="K3540" s="46" t="str">
        <f>IFERROR(IF(OR(INPUT!P3535="",INPUT!Q3535=""),"",INPUT!P3535-INPUT!Q3535),"")</f>
        <v/>
      </c>
      <c r="L3540" s="48" t="str">
        <f>IFERROR(IF(OR(INPUT!P3535="",INPUT!Q3535="",INPUT!P3535=0),"",(INPUT!P3535-INPUT!Q3535)/INPUT!P3535),"")</f>
        <v/>
      </c>
    </row>
    <row r="3541" spans="1:12" ht="18" hidden="1" customHeight="1" x14ac:dyDescent="0.2">
      <c r="A3541" s="11" t="str">
        <f>IF(INPUT!M3536="","",INPUT!M3536)</f>
        <v/>
      </c>
      <c r="B3541" s="11" t="str">
        <f>IF(INPUT!M3536="","",INPUT!M3536-WEEKDAY(INPUT!M3536,2)+1)</f>
        <v/>
      </c>
      <c r="C3541" s="20">
        <f>IFERROR(_xlfn.ISOWEEKNUM(INPUT!M3536),"")</f>
        <v>52</v>
      </c>
      <c r="D3541" s="20">
        <f>IFERROR(YEAR(INPUT!M3536),"")</f>
        <v>1900</v>
      </c>
      <c r="E3541" t="str">
        <f>IF(INPUT!O3536="","",INPUT!O3536)</f>
        <v/>
      </c>
      <c r="F3541" t="str">
        <f>IF(INPUT!N3536="","",INPUT!N3536)</f>
        <v/>
      </c>
      <c r="G3541" cm="1">
        <f t="array" ref="G3541">IFERROR(VLOOKUP(INPUT!M3536&amp;INPUT!N3536,CHOOSE({1,2},INPUT!$A$3:$A$5000&amp;INPUT!$C$3:$C$5000,INPUT!$F$3:$F$5000),2,FALSE),"")</f>
        <v>0</v>
      </c>
      <c r="H3541" cm="1">
        <f t="array" ref="H3541">IFERROR(VLOOKUP(INPUT!M3536&amp;INPUT!N3536,CHOOSE({1,2},INPUT!$A$3:$A$5000&amp;INPUT!$C$3:$C$5000,INPUT!$D$3:$D$5000),2,FALSE),"")</f>
        <v>0</v>
      </c>
      <c r="I3541" s="46" t="str">
        <f>IF(INPUT!P3536="","",INPUT!P3536)</f>
        <v/>
      </c>
      <c r="J3541" s="46" t="str">
        <f>IF(INPUT!Q3536="","",INPUT!Q3536)</f>
        <v/>
      </c>
      <c r="K3541" s="46" t="str">
        <f>IFERROR(IF(OR(INPUT!P3536="",INPUT!Q3536=""),"",INPUT!P3536-INPUT!Q3536),"")</f>
        <v/>
      </c>
      <c r="L3541" s="48" t="str">
        <f>IFERROR(IF(OR(INPUT!P3536="",INPUT!Q3536="",INPUT!P3536=0),"",(INPUT!P3536-INPUT!Q3536)/INPUT!P3536),"")</f>
        <v/>
      </c>
    </row>
    <row r="3542" spans="1:12" ht="18" hidden="1" customHeight="1" x14ac:dyDescent="0.2">
      <c r="A3542" s="11" t="str">
        <f>IF(INPUT!M3537="","",INPUT!M3537)</f>
        <v/>
      </c>
      <c r="B3542" s="11" t="str">
        <f>IF(INPUT!M3537="","",INPUT!M3537-WEEKDAY(INPUT!M3537,2)+1)</f>
        <v/>
      </c>
      <c r="C3542" s="20">
        <f>IFERROR(_xlfn.ISOWEEKNUM(INPUT!M3537),"")</f>
        <v>52</v>
      </c>
      <c r="D3542" s="20">
        <f>IFERROR(YEAR(INPUT!M3537),"")</f>
        <v>1900</v>
      </c>
      <c r="E3542" t="str">
        <f>IF(INPUT!O3537="","",INPUT!O3537)</f>
        <v/>
      </c>
      <c r="F3542" t="str">
        <f>IF(INPUT!N3537="","",INPUT!N3537)</f>
        <v/>
      </c>
      <c r="G3542" cm="1">
        <f t="array" ref="G3542">IFERROR(VLOOKUP(INPUT!M3537&amp;INPUT!N3537,CHOOSE({1,2},INPUT!$A$3:$A$5000&amp;INPUT!$C$3:$C$5000,INPUT!$F$3:$F$5000),2,FALSE),"")</f>
        <v>0</v>
      </c>
      <c r="H3542" cm="1">
        <f t="array" ref="H3542">IFERROR(VLOOKUP(INPUT!M3537&amp;INPUT!N3537,CHOOSE({1,2},INPUT!$A$3:$A$5000&amp;INPUT!$C$3:$C$5000,INPUT!$D$3:$D$5000),2,FALSE),"")</f>
        <v>0</v>
      </c>
      <c r="I3542" s="46" t="str">
        <f>IF(INPUT!P3537="","",INPUT!P3537)</f>
        <v/>
      </c>
      <c r="J3542" s="46" t="str">
        <f>IF(INPUT!Q3537="","",INPUT!Q3537)</f>
        <v/>
      </c>
      <c r="K3542" s="46" t="str">
        <f>IFERROR(IF(OR(INPUT!P3537="",INPUT!Q3537=""),"",INPUT!P3537-INPUT!Q3537),"")</f>
        <v/>
      </c>
      <c r="L3542" s="48" t="str">
        <f>IFERROR(IF(OR(INPUT!P3537="",INPUT!Q3537="",INPUT!P3537=0),"",(INPUT!P3537-INPUT!Q3537)/INPUT!P3537),"")</f>
        <v/>
      </c>
    </row>
    <row r="3543" spans="1:12" ht="18" hidden="1" customHeight="1" x14ac:dyDescent="0.2">
      <c r="A3543" s="11" t="str">
        <f>IF(INPUT!M3538="","",INPUT!M3538)</f>
        <v/>
      </c>
      <c r="B3543" s="11" t="str">
        <f>IF(INPUT!M3538="","",INPUT!M3538-WEEKDAY(INPUT!M3538,2)+1)</f>
        <v/>
      </c>
      <c r="C3543" s="20">
        <f>IFERROR(_xlfn.ISOWEEKNUM(INPUT!M3538),"")</f>
        <v>52</v>
      </c>
      <c r="D3543" s="20">
        <f>IFERROR(YEAR(INPUT!M3538),"")</f>
        <v>1900</v>
      </c>
      <c r="E3543" t="str">
        <f>IF(INPUT!O3538="","",INPUT!O3538)</f>
        <v/>
      </c>
      <c r="F3543" t="str">
        <f>IF(INPUT!N3538="","",INPUT!N3538)</f>
        <v/>
      </c>
      <c r="G3543" cm="1">
        <f t="array" ref="G3543">IFERROR(VLOOKUP(INPUT!M3538&amp;INPUT!N3538,CHOOSE({1,2},INPUT!$A$3:$A$5000&amp;INPUT!$C$3:$C$5000,INPUT!$F$3:$F$5000),2,FALSE),"")</f>
        <v>0</v>
      </c>
      <c r="H3543" cm="1">
        <f t="array" ref="H3543">IFERROR(VLOOKUP(INPUT!M3538&amp;INPUT!N3538,CHOOSE({1,2},INPUT!$A$3:$A$5000&amp;INPUT!$C$3:$C$5000,INPUT!$D$3:$D$5000),2,FALSE),"")</f>
        <v>0</v>
      </c>
      <c r="I3543" s="46" t="str">
        <f>IF(INPUT!P3538="","",INPUT!P3538)</f>
        <v/>
      </c>
      <c r="J3543" s="46" t="str">
        <f>IF(INPUT!Q3538="","",INPUT!Q3538)</f>
        <v/>
      </c>
      <c r="K3543" s="46" t="str">
        <f>IFERROR(IF(OR(INPUT!P3538="",INPUT!Q3538=""),"",INPUT!P3538-INPUT!Q3538),"")</f>
        <v/>
      </c>
      <c r="L3543" s="48" t="str">
        <f>IFERROR(IF(OR(INPUT!P3538="",INPUT!Q3538="",INPUT!P3538=0),"",(INPUT!P3538-INPUT!Q3538)/INPUT!P3538),"")</f>
        <v/>
      </c>
    </row>
    <row r="3544" spans="1:12" ht="18" hidden="1" customHeight="1" x14ac:dyDescent="0.2">
      <c r="A3544" s="11" t="str">
        <f>IF(INPUT!M3539="","",INPUT!M3539)</f>
        <v/>
      </c>
      <c r="B3544" s="11" t="str">
        <f>IF(INPUT!M3539="","",INPUT!M3539-WEEKDAY(INPUT!M3539,2)+1)</f>
        <v/>
      </c>
      <c r="C3544" s="20">
        <f>IFERROR(_xlfn.ISOWEEKNUM(INPUT!M3539),"")</f>
        <v>52</v>
      </c>
      <c r="D3544" s="20">
        <f>IFERROR(YEAR(INPUT!M3539),"")</f>
        <v>1900</v>
      </c>
      <c r="E3544" t="str">
        <f>IF(INPUT!O3539="","",INPUT!O3539)</f>
        <v/>
      </c>
      <c r="F3544" t="str">
        <f>IF(INPUT!N3539="","",INPUT!N3539)</f>
        <v/>
      </c>
      <c r="G3544" cm="1">
        <f t="array" ref="G3544">IFERROR(VLOOKUP(INPUT!M3539&amp;INPUT!N3539,CHOOSE({1,2},INPUT!$A$3:$A$5000&amp;INPUT!$C$3:$C$5000,INPUT!$F$3:$F$5000),2,FALSE),"")</f>
        <v>0</v>
      </c>
      <c r="H3544" cm="1">
        <f t="array" ref="H3544">IFERROR(VLOOKUP(INPUT!M3539&amp;INPUT!N3539,CHOOSE({1,2},INPUT!$A$3:$A$5000&amp;INPUT!$C$3:$C$5000,INPUT!$D$3:$D$5000),2,FALSE),"")</f>
        <v>0</v>
      </c>
      <c r="I3544" s="46" t="str">
        <f>IF(INPUT!P3539="","",INPUT!P3539)</f>
        <v/>
      </c>
      <c r="J3544" s="46" t="str">
        <f>IF(INPUT!Q3539="","",INPUT!Q3539)</f>
        <v/>
      </c>
      <c r="K3544" s="46" t="str">
        <f>IFERROR(IF(OR(INPUT!P3539="",INPUT!Q3539=""),"",INPUT!P3539-INPUT!Q3539),"")</f>
        <v/>
      </c>
      <c r="L3544" s="48" t="str">
        <f>IFERROR(IF(OR(INPUT!P3539="",INPUT!Q3539="",INPUT!P3539=0),"",(INPUT!P3539-INPUT!Q3539)/INPUT!P3539),"")</f>
        <v/>
      </c>
    </row>
    <row r="3545" spans="1:12" ht="18" hidden="1" customHeight="1" x14ac:dyDescent="0.2">
      <c r="A3545" s="11" t="str">
        <f>IF(INPUT!M3540="","",INPUT!M3540)</f>
        <v/>
      </c>
      <c r="B3545" s="11" t="str">
        <f>IF(INPUT!M3540="","",INPUT!M3540-WEEKDAY(INPUT!M3540,2)+1)</f>
        <v/>
      </c>
      <c r="C3545" s="20">
        <f>IFERROR(_xlfn.ISOWEEKNUM(INPUT!M3540),"")</f>
        <v>52</v>
      </c>
      <c r="D3545" s="20">
        <f>IFERROR(YEAR(INPUT!M3540),"")</f>
        <v>1900</v>
      </c>
      <c r="E3545" t="str">
        <f>IF(INPUT!O3540="","",INPUT!O3540)</f>
        <v/>
      </c>
      <c r="F3545" t="str">
        <f>IF(INPUT!N3540="","",INPUT!N3540)</f>
        <v/>
      </c>
      <c r="G3545" cm="1">
        <f t="array" ref="G3545">IFERROR(VLOOKUP(INPUT!M3540&amp;INPUT!N3540,CHOOSE({1,2},INPUT!$A$3:$A$5000&amp;INPUT!$C$3:$C$5000,INPUT!$F$3:$F$5000),2,FALSE),"")</f>
        <v>0</v>
      </c>
      <c r="H3545" cm="1">
        <f t="array" ref="H3545">IFERROR(VLOOKUP(INPUT!M3540&amp;INPUT!N3540,CHOOSE({1,2},INPUT!$A$3:$A$5000&amp;INPUT!$C$3:$C$5000,INPUT!$D$3:$D$5000),2,FALSE),"")</f>
        <v>0</v>
      </c>
      <c r="I3545" s="46" t="str">
        <f>IF(INPUT!P3540="","",INPUT!P3540)</f>
        <v/>
      </c>
      <c r="J3545" s="46" t="str">
        <f>IF(INPUT!Q3540="","",INPUT!Q3540)</f>
        <v/>
      </c>
      <c r="K3545" s="46" t="str">
        <f>IFERROR(IF(OR(INPUT!P3540="",INPUT!Q3540=""),"",INPUT!P3540-INPUT!Q3540),"")</f>
        <v/>
      </c>
      <c r="L3545" s="48" t="str">
        <f>IFERROR(IF(OR(INPUT!P3540="",INPUT!Q3540="",INPUT!P3540=0),"",(INPUT!P3540-INPUT!Q3540)/INPUT!P3540),"")</f>
        <v/>
      </c>
    </row>
    <row r="3546" spans="1:12" ht="18" hidden="1" customHeight="1" x14ac:dyDescent="0.2">
      <c r="A3546" s="11" t="str">
        <f>IF(INPUT!M3541="","",INPUT!M3541)</f>
        <v/>
      </c>
      <c r="B3546" s="11" t="str">
        <f>IF(INPUT!M3541="","",INPUT!M3541-WEEKDAY(INPUT!M3541,2)+1)</f>
        <v/>
      </c>
      <c r="C3546" s="20">
        <f>IFERROR(_xlfn.ISOWEEKNUM(INPUT!M3541),"")</f>
        <v>52</v>
      </c>
      <c r="D3546" s="20">
        <f>IFERROR(YEAR(INPUT!M3541),"")</f>
        <v>1900</v>
      </c>
      <c r="E3546" t="str">
        <f>IF(INPUT!O3541="","",INPUT!O3541)</f>
        <v/>
      </c>
      <c r="F3546" t="str">
        <f>IF(INPUT!N3541="","",INPUT!N3541)</f>
        <v/>
      </c>
      <c r="G3546" cm="1">
        <f t="array" ref="G3546">IFERROR(VLOOKUP(INPUT!M3541&amp;INPUT!N3541,CHOOSE({1,2},INPUT!$A$3:$A$5000&amp;INPUT!$C$3:$C$5000,INPUT!$F$3:$F$5000),2,FALSE),"")</f>
        <v>0</v>
      </c>
      <c r="H3546" cm="1">
        <f t="array" ref="H3546">IFERROR(VLOOKUP(INPUT!M3541&amp;INPUT!N3541,CHOOSE({1,2},INPUT!$A$3:$A$5000&amp;INPUT!$C$3:$C$5000,INPUT!$D$3:$D$5000),2,FALSE),"")</f>
        <v>0</v>
      </c>
      <c r="I3546" s="46" t="str">
        <f>IF(INPUT!P3541="","",INPUT!P3541)</f>
        <v/>
      </c>
      <c r="J3546" s="46" t="str">
        <f>IF(INPUT!Q3541="","",INPUT!Q3541)</f>
        <v/>
      </c>
      <c r="K3546" s="46" t="str">
        <f>IFERROR(IF(OR(INPUT!P3541="",INPUT!Q3541=""),"",INPUT!P3541-INPUT!Q3541),"")</f>
        <v/>
      </c>
      <c r="L3546" s="48" t="str">
        <f>IFERROR(IF(OR(INPUT!P3541="",INPUT!Q3541="",INPUT!P3541=0),"",(INPUT!P3541-INPUT!Q3541)/INPUT!P3541),"")</f>
        <v/>
      </c>
    </row>
    <row r="3547" spans="1:12" ht="18" hidden="1" customHeight="1" x14ac:dyDescent="0.2">
      <c r="A3547" s="11" t="str">
        <f>IF(INPUT!M3542="","",INPUT!M3542)</f>
        <v/>
      </c>
      <c r="B3547" s="11" t="str">
        <f>IF(INPUT!M3542="","",INPUT!M3542-WEEKDAY(INPUT!M3542,2)+1)</f>
        <v/>
      </c>
      <c r="C3547" s="20">
        <f>IFERROR(_xlfn.ISOWEEKNUM(INPUT!M3542),"")</f>
        <v>52</v>
      </c>
      <c r="D3547" s="20">
        <f>IFERROR(YEAR(INPUT!M3542),"")</f>
        <v>1900</v>
      </c>
      <c r="E3547" t="str">
        <f>IF(INPUT!O3542="","",INPUT!O3542)</f>
        <v/>
      </c>
      <c r="F3547" t="str">
        <f>IF(INPUT!N3542="","",INPUT!N3542)</f>
        <v/>
      </c>
      <c r="G3547" cm="1">
        <f t="array" ref="G3547">IFERROR(VLOOKUP(INPUT!M3542&amp;INPUT!N3542,CHOOSE({1,2},INPUT!$A$3:$A$5000&amp;INPUT!$C$3:$C$5000,INPUT!$F$3:$F$5000),2,FALSE),"")</f>
        <v>0</v>
      </c>
      <c r="H3547" cm="1">
        <f t="array" ref="H3547">IFERROR(VLOOKUP(INPUT!M3542&amp;INPUT!N3542,CHOOSE({1,2},INPUT!$A$3:$A$5000&amp;INPUT!$C$3:$C$5000,INPUT!$D$3:$D$5000),2,FALSE),"")</f>
        <v>0</v>
      </c>
      <c r="I3547" s="46" t="str">
        <f>IF(INPUT!P3542="","",INPUT!P3542)</f>
        <v/>
      </c>
      <c r="J3547" s="46" t="str">
        <f>IF(INPUT!Q3542="","",INPUT!Q3542)</f>
        <v/>
      </c>
      <c r="K3547" s="46" t="str">
        <f>IFERROR(IF(OR(INPUT!P3542="",INPUT!Q3542=""),"",INPUT!P3542-INPUT!Q3542),"")</f>
        <v/>
      </c>
      <c r="L3547" s="48" t="str">
        <f>IFERROR(IF(OR(INPUT!P3542="",INPUT!Q3542="",INPUT!P3542=0),"",(INPUT!P3542-INPUT!Q3542)/INPUT!P3542),"")</f>
        <v/>
      </c>
    </row>
    <row r="3548" spans="1:12" ht="18" hidden="1" customHeight="1" x14ac:dyDescent="0.2">
      <c r="A3548" s="11" t="str">
        <f>IF(INPUT!M3543="","",INPUT!M3543)</f>
        <v/>
      </c>
      <c r="B3548" s="11" t="str">
        <f>IF(INPUT!M3543="","",INPUT!M3543-WEEKDAY(INPUT!M3543,2)+1)</f>
        <v/>
      </c>
      <c r="C3548" s="20">
        <f>IFERROR(_xlfn.ISOWEEKNUM(INPUT!M3543),"")</f>
        <v>52</v>
      </c>
      <c r="D3548" s="20">
        <f>IFERROR(YEAR(INPUT!M3543),"")</f>
        <v>1900</v>
      </c>
      <c r="E3548" t="str">
        <f>IF(INPUT!O3543="","",INPUT!O3543)</f>
        <v/>
      </c>
      <c r="F3548" t="str">
        <f>IF(INPUT!N3543="","",INPUT!N3543)</f>
        <v/>
      </c>
      <c r="G3548" cm="1">
        <f t="array" ref="G3548">IFERROR(VLOOKUP(INPUT!M3543&amp;INPUT!N3543,CHOOSE({1,2},INPUT!$A$3:$A$5000&amp;INPUT!$C$3:$C$5000,INPUT!$F$3:$F$5000),2,FALSE),"")</f>
        <v>0</v>
      </c>
      <c r="H3548" cm="1">
        <f t="array" ref="H3548">IFERROR(VLOOKUP(INPUT!M3543&amp;INPUT!N3543,CHOOSE({1,2},INPUT!$A$3:$A$5000&amp;INPUT!$C$3:$C$5000,INPUT!$D$3:$D$5000),2,FALSE),"")</f>
        <v>0</v>
      </c>
      <c r="I3548" s="46" t="str">
        <f>IF(INPUT!P3543="","",INPUT!P3543)</f>
        <v/>
      </c>
      <c r="J3548" s="46" t="str">
        <f>IF(INPUT!Q3543="","",INPUT!Q3543)</f>
        <v/>
      </c>
      <c r="K3548" s="46" t="str">
        <f>IFERROR(IF(OR(INPUT!P3543="",INPUT!Q3543=""),"",INPUT!P3543-INPUT!Q3543),"")</f>
        <v/>
      </c>
      <c r="L3548" s="48" t="str">
        <f>IFERROR(IF(OR(INPUT!P3543="",INPUT!Q3543="",INPUT!P3543=0),"",(INPUT!P3543-INPUT!Q3543)/INPUT!P3543),"")</f>
        <v/>
      </c>
    </row>
    <row r="3549" spans="1:12" ht="18" hidden="1" customHeight="1" x14ac:dyDescent="0.2">
      <c r="A3549" s="11" t="str">
        <f>IF(INPUT!M3544="","",INPUT!M3544)</f>
        <v/>
      </c>
      <c r="B3549" s="11" t="str">
        <f>IF(INPUT!M3544="","",INPUT!M3544-WEEKDAY(INPUT!M3544,2)+1)</f>
        <v/>
      </c>
      <c r="C3549" s="20">
        <f>IFERROR(_xlfn.ISOWEEKNUM(INPUT!M3544),"")</f>
        <v>52</v>
      </c>
      <c r="D3549" s="20">
        <f>IFERROR(YEAR(INPUT!M3544),"")</f>
        <v>1900</v>
      </c>
      <c r="E3549" t="str">
        <f>IF(INPUT!O3544="","",INPUT!O3544)</f>
        <v/>
      </c>
      <c r="F3549" t="str">
        <f>IF(INPUT!N3544="","",INPUT!N3544)</f>
        <v/>
      </c>
      <c r="G3549" cm="1">
        <f t="array" ref="G3549">IFERROR(VLOOKUP(INPUT!M3544&amp;INPUT!N3544,CHOOSE({1,2},INPUT!$A$3:$A$5000&amp;INPUT!$C$3:$C$5000,INPUT!$F$3:$F$5000),2,FALSE),"")</f>
        <v>0</v>
      </c>
      <c r="H3549" cm="1">
        <f t="array" ref="H3549">IFERROR(VLOOKUP(INPUT!M3544&amp;INPUT!N3544,CHOOSE({1,2},INPUT!$A$3:$A$5000&amp;INPUT!$C$3:$C$5000,INPUT!$D$3:$D$5000),2,FALSE),"")</f>
        <v>0</v>
      </c>
      <c r="I3549" s="46" t="str">
        <f>IF(INPUT!P3544="","",INPUT!P3544)</f>
        <v/>
      </c>
      <c r="J3549" s="46" t="str">
        <f>IF(INPUT!Q3544="","",INPUT!Q3544)</f>
        <v/>
      </c>
      <c r="K3549" s="46" t="str">
        <f>IFERROR(IF(OR(INPUT!P3544="",INPUT!Q3544=""),"",INPUT!P3544-INPUT!Q3544),"")</f>
        <v/>
      </c>
      <c r="L3549" s="48" t="str">
        <f>IFERROR(IF(OR(INPUT!P3544="",INPUT!Q3544="",INPUT!P3544=0),"",(INPUT!P3544-INPUT!Q3544)/INPUT!P3544),"")</f>
        <v/>
      </c>
    </row>
    <row r="3550" spans="1:12" ht="18" hidden="1" customHeight="1" x14ac:dyDescent="0.2">
      <c r="A3550" s="11" t="str">
        <f>IF(INPUT!M3545="","",INPUT!M3545)</f>
        <v/>
      </c>
      <c r="B3550" s="11" t="str">
        <f>IF(INPUT!M3545="","",INPUT!M3545-WEEKDAY(INPUT!M3545,2)+1)</f>
        <v/>
      </c>
      <c r="C3550" s="20">
        <f>IFERROR(_xlfn.ISOWEEKNUM(INPUT!M3545),"")</f>
        <v>52</v>
      </c>
      <c r="D3550" s="20">
        <f>IFERROR(YEAR(INPUT!M3545),"")</f>
        <v>1900</v>
      </c>
      <c r="E3550" t="str">
        <f>IF(INPUT!O3545="","",INPUT!O3545)</f>
        <v/>
      </c>
      <c r="F3550" t="str">
        <f>IF(INPUT!N3545="","",INPUT!N3545)</f>
        <v/>
      </c>
      <c r="G3550" cm="1">
        <f t="array" ref="G3550">IFERROR(VLOOKUP(INPUT!M3545&amp;INPUT!N3545,CHOOSE({1,2},INPUT!$A$3:$A$5000&amp;INPUT!$C$3:$C$5000,INPUT!$F$3:$F$5000),2,FALSE),"")</f>
        <v>0</v>
      </c>
      <c r="H3550" cm="1">
        <f t="array" ref="H3550">IFERROR(VLOOKUP(INPUT!M3545&amp;INPUT!N3545,CHOOSE({1,2},INPUT!$A$3:$A$5000&amp;INPUT!$C$3:$C$5000,INPUT!$D$3:$D$5000),2,FALSE),"")</f>
        <v>0</v>
      </c>
      <c r="I3550" s="46" t="str">
        <f>IF(INPUT!P3545="","",INPUT!P3545)</f>
        <v/>
      </c>
      <c r="J3550" s="46" t="str">
        <f>IF(INPUT!Q3545="","",INPUT!Q3545)</f>
        <v/>
      </c>
      <c r="K3550" s="46" t="str">
        <f>IFERROR(IF(OR(INPUT!P3545="",INPUT!Q3545=""),"",INPUT!P3545-INPUT!Q3545),"")</f>
        <v/>
      </c>
      <c r="L3550" s="48" t="str">
        <f>IFERROR(IF(OR(INPUT!P3545="",INPUT!Q3545="",INPUT!P3545=0),"",(INPUT!P3545-INPUT!Q3545)/INPUT!P3545),"")</f>
        <v/>
      </c>
    </row>
    <row r="3551" spans="1:12" ht="18" hidden="1" customHeight="1" x14ac:dyDescent="0.2">
      <c r="A3551" s="11" t="str">
        <f>IF(INPUT!M3546="","",INPUT!M3546)</f>
        <v/>
      </c>
      <c r="B3551" s="11" t="str">
        <f>IF(INPUT!M3546="","",INPUT!M3546-WEEKDAY(INPUT!M3546,2)+1)</f>
        <v/>
      </c>
      <c r="C3551" s="20">
        <f>IFERROR(_xlfn.ISOWEEKNUM(INPUT!M3546),"")</f>
        <v>52</v>
      </c>
      <c r="D3551" s="20">
        <f>IFERROR(YEAR(INPUT!M3546),"")</f>
        <v>1900</v>
      </c>
      <c r="E3551" t="str">
        <f>IF(INPUT!O3546="","",INPUT!O3546)</f>
        <v/>
      </c>
      <c r="F3551" t="str">
        <f>IF(INPUT!N3546="","",INPUT!N3546)</f>
        <v/>
      </c>
      <c r="G3551" cm="1">
        <f t="array" ref="G3551">IFERROR(VLOOKUP(INPUT!M3546&amp;INPUT!N3546,CHOOSE({1,2},INPUT!$A$3:$A$5000&amp;INPUT!$C$3:$C$5000,INPUT!$F$3:$F$5000),2,FALSE),"")</f>
        <v>0</v>
      </c>
      <c r="H3551" cm="1">
        <f t="array" ref="H3551">IFERROR(VLOOKUP(INPUT!M3546&amp;INPUT!N3546,CHOOSE({1,2},INPUT!$A$3:$A$5000&amp;INPUT!$C$3:$C$5000,INPUT!$D$3:$D$5000),2,FALSE),"")</f>
        <v>0</v>
      </c>
      <c r="I3551" s="46" t="str">
        <f>IF(INPUT!P3546="","",INPUT!P3546)</f>
        <v/>
      </c>
      <c r="J3551" s="46" t="str">
        <f>IF(INPUT!Q3546="","",INPUT!Q3546)</f>
        <v/>
      </c>
      <c r="K3551" s="46" t="str">
        <f>IFERROR(IF(OR(INPUT!P3546="",INPUT!Q3546=""),"",INPUT!P3546-INPUT!Q3546),"")</f>
        <v/>
      </c>
      <c r="L3551" s="48" t="str">
        <f>IFERROR(IF(OR(INPUT!P3546="",INPUT!Q3546="",INPUT!P3546=0),"",(INPUT!P3546-INPUT!Q3546)/INPUT!P3546),"")</f>
        <v/>
      </c>
    </row>
    <row r="3552" spans="1:12" ht="18" hidden="1" customHeight="1" x14ac:dyDescent="0.2">
      <c r="A3552" s="11" t="str">
        <f>IF(INPUT!M3547="","",INPUT!M3547)</f>
        <v/>
      </c>
      <c r="B3552" s="11" t="str">
        <f>IF(INPUT!M3547="","",INPUT!M3547-WEEKDAY(INPUT!M3547,2)+1)</f>
        <v/>
      </c>
      <c r="C3552" s="20">
        <f>IFERROR(_xlfn.ISOWEEKNUM(INPUT!M3547),"")</f>
        <v>52</v>
      </c>
      <c r="D3552" s="20">
        <f>IFERROR(YEAR(INPUT!M3547),"")</f>
        <v>1900</v>
      </c>
      <c r="E3552" t="str">
        <f>IF(INPUT!O3547="","",INPUT!O3547)</f>
        <v/>
      </c>
      <c r="F3552" t="str">
        <f>IF(INPUT!N3547="","",INPUT!N3547)</f>
        <v/>
      </c>
      <c r="G3552" cm="1">
        <f t="array" ref="G3552">IFERROR(VLOOKUP(INPUT!M3547&amp;INPUT!N3547,CHOOSE({1,2},INPUT!$A$3:$A$5000&amp;INPUT!$C$3:$C$5000,INPUT!$F$3:$F$5000),2,FALSE),"")</f>
        <v>0</v>
      </c>
      <c r="H3552" cm="1">
        <f t="array" ref="H3552">IFERROR(VLOOKUP(INPUT!M3547&amp;INPUT!N3547,CHOOSE({1,2},INPUT!$A$3:$A$5000&amp;INPUT!$C$3:$C$5000,INPUT!$D$3:$D$5000),2,FALSE),"")</f>
        <v>0</v>
      </c>
      <c r="I3552" s="46" t="str">
        <f>IF(INPUT!P3547="","",INPUT!P3547)</f>
        <v/>
      </c>
      <c r="J3552" s="46" t="str">
        <f>IF(INPUT!Q3547="","",INPUT!Q3547)</f>
        <v/>
      </c>
      <c r="K3552" s="46" t="str">
        <f>IFERROR(IF(OR(INPUT!P3547="",INPUT!Q3547=""),"",INPUT!P3547-INPUT!Q3547),"")</f>
        <v/>
      </c>
      <c r="L3552" s="48" t="str">
        <f>IFERROR(IF(OR(INPUT!P3547="",INPUT!Q3547="",INPUT!P3547=0),"",(INPUT!P3547-INPUT!Q3547)/INPUT!P3547),"")</f>
        <v/>
      </c>
    </row>
    <row r="3553" spans="1:12" ht="18" hidden="1" customHeight="1" x14ac:dyDescent="0.2">
      <c r="A3553" s="11" t="str">
        <f>IF(INPUT!M3548="","",INPUT!M3548)</f>
        <v/>
      </c>
      <c r="B3553" s="11" t="str">
        <f>IF(INPUT!M3548="","",INPUT!M3548-WEEKDAY(INPUT!M3548,2)+1)</f>
        <v/>
      </c>
      <c r="C3553" s="20">
        <f>IFERROR(_xlfn.ISOWEEKNUM(INPUT!M3548),"")</f>
        <v>52</v>
      </c>
      <c r="D3553" s="20">
        <f>IFERROR(YEAR(INPUT!M3548),"")</f>
        <v>1900</v>
      </c>
      <c r="E3553" t="str">
        <f>IF(INPUT!O3548="","",INPUT!O3548)</f>
        <v/>
      </c>
      <c r="F3553" t="str">
        <f>IF(INPUT!N3548="","",INPUT!N3548)</f>
        <v/>
      </c>
      <c r="G3553" cm="1">
        <f t="array" ref="G3553">IFERROR(VLOOKUP(INPUT!M3548&amp;INPUT!N3548,CHOOSE({1,2},INPUT!$A$3:$A$5000&amp;INPUT!$C$3:$C$5000,INPUT!$F$3:$F$5000),2,FALSE),"")</f>
        <v>0</v>
      </c>
      <c r="H3553" cm="1">
        <f t="array" ref="H3553">IFERROR(VLOOKUP(INPUT!M3548&amp;INPUT!N3548,CHOOSE({1,2},INPUT!$A$3:$A$5000&amp;INPUT!$C$3:$C$5000,INPUT!$D$3:$D$5000),2,FALSE),"")</f>
        <v>0</v>
      </c>
      <c r="I3553" s="46" t="str">
        <f>IF(INPUT!P3548="","",INPUT!P3548)</f>
        <v/>
      </c>
      <c r="J3553" s="46" t="str">
        <f>IF(INPUT!Q3548="","",INPUT!Q3548)</f>
        <v/>
      </c>
      <c r="K3553" s="46" t="str">
        <f>IFERROR(IF(OR(INPUT!P3548="",INPUT!Q3548=""),"",INPUT!P3548-INPUT!Q3548),"")</f>
        <v/>
      </c>
      <c r="L3553" s="48" t="str">
        <f>IFERROR(IF(OR(INPUT!P3548="",INPUT!Q3548="",INPUT!P3548=0),"",(INPUT!P3548-INPUT!Q3548)/INPUT!P3548),"")</f>
        <v/>
      </c>
    </row>
    <row r="3554" spans="1:12" ht="18" hidden="1" customHeight="1" x14ac:dyDescent="0.2">
      <c r="A3554" s="11" t="str">
        <f>IF(INPUT!M3549="","",INPUT!M3549)</f>
        <v/>
      </c>
      <c r="B3554" s="11" t="str">
        <f>IF(INPUT!M3549="","",INPUT!M3549-WEEKDAY(INPUT!M3549,2)+1)</f>
        <v/>
      </c>
      <c r="C3554" s="20">
        <f>IFERROR(_xlfn.ISOWEEKNUM(INPUT!M3549),"")</f>
        <v>52</v>
      </c>
      <c r="D3554" s="20">
        <f>IFERROR(YEAR(INPUT!M3549),"")</f>
        <v>1900</v>
      </c>
      <c r="E3554" t="str">
        <f>IF(INPUT!O3549="","",INPUT!O3549)</f>
        <v/>
      </c>
      <c r="F3554" t="str">
        <f>IF(INPUT!N3549="","",INPUT!N3549)</f>
        <v/>
      </c>
      <c r="G3554" cm="1">
        <f t="array" ref="G3554">IFERROR(VLOOKUP(INPUT!M3549&amp;INPUT!N3549,CHOOSE({1,2},INPUT!$A$3:$A$5000&amp;INPUT!$C$3:$C$5000,INPUT!$F$3:$F$5000),2,FALSE),"")</f>
        <v>0</v>
      </c>
      <c r="H3554" cm="1">
        <f t="array" ref="H3554">IFERROR(VLOOKUP(INPUT!M3549&amp;INPUT!N3549,CHOOSE({1,2},INPUT!$A$3:$A$5000&amp;INPUT!$C$3:$C$5000,INPUT!$D$3:$D$5000),2,FALSE),"")</f>
        <v>0</v>
      </c>
      <c r="I3554" s="46" t="str">
        <f>IF(INPUT!P3549="","",INPUT!P3549)</f>
        <v/>
      </c>
      <c r="J3554" s="46" t="str">
        <f>IF(INPUT!Q3549="","",INPUT!Q3549)</f>
        <v/>
      </c>
      <c r="K3554" s="46" t="str">
        <f>IFERROR(IF(OR(INPUT!P3549="",INPUT!Q3549=""),"",INPUT!P3549-INPUT!Q3549),"")</f>
        <v/>
      </c>
      <c r="L3554" s="48" t="str">
        <f>IFERROR(IF(OR(INPUT!P3549="",INPUT!Q3549="",INPUT!P3549=0),"",(INPUT!P3549-INPUT!Q3549)/INPUT!P3549),"")</f>
        <v/>
      </c>
    </row>
    <row r="3555" spans="1:12" ht="18" hidden="1" customHeight="1" x14ac:dyDescent="0.2">
      <c r="A3555" s="11" t="str">
        <f>IF(INPUT!M3550="","",INPUT!M3550)</f>
        <v/>
      </c>
      <c r="B3555" s="11" t="str">
        <f>IF(INPUT!M3550="","",INPUT!M3550-WEEKDAY(INPUT!M3550,2)+1)</f>
        <v/>
      </c>
      <c r="C3555" s="20">
        <f>IFERROR(_xlfn.ISOWEEKNUM(INPUT!M3550),"")</f>
        <v>52</v>
      </c>
      <c r="D3555" s="20">
        <f>IFERROR(YEAR(INPUT!M3550),"")</f>
        <v>1900</v>
      </c>
      <c r="E3555" t="str">
        <f>IF(INPUT!O3550="","",INPUT!O3550)</f>
        <v/>
      </c>
      <c r="F3555" t="str">
        <f>IF(INPUT!N3550="","",INPUT!N3550)</f>
        <v/>
      </c>
      <c r="G3555" cm="1">
        <f t="array" ref="G3555">IFERROR(VLOOKUP(INPUT!M3550&amp;INPUT!N3550,CHOOSE({1,2},INPUT!$A$3:$A$5000&amp;INPUT!$C$3:$C$5000,INPUT!$F$3:$F$5000),2,FALSE),"")</f>
        <v>0</v>
      </c>
      <c r="H3555" cm="1">
        <f t="array" ref="H3555">IFERROR(VLOOKUP(INPUT!M3550&amp;INPUT!N3550,CHOOSE({1,2},INPUT!$A$3:$A$5000&amp;INPUT!$C$3:$C$5000,INPUT!$D$3:$D$5000),2,FALSE),"")</f>
        <v>0</v>
      </c>
      <c r="I3555" s="46" t="str">
        <f>IF(INPUT!P3550="","",INPUT!P3550)</f>
        <v/>
      </c>
      <c r="J3555" s="46" t="str">
        <f>IF(INPUT!Q3550="","",INPUT!Q3550)</f>
        <v/>
      </c>
      <c r="K3555" s="46" t="str">
        <f>IFERROR(IF(OR(INPUT!P3550="",INPUT!Q3550=""),"",INPUT!P3550-INPUT!Q3550),"")</f>
        <v/>
      </c>
      <c r="L3555" s="48" t="str">
        <f>IFERROR(IF(OR(INPUT!P3550="",INPUT!Q3550="",INPUT!P3550=0),"",(INPUT!P3550-INPUT!Q3550)/INPUT!P3550),"")</f>
        <v/>
      </c>
    </row>
    <row r="3556" spans="1:12" ht="18" hidden="1" customHeight="1" x14ac:dyDescent="0.2">
      <c r="A3556" s="11" t="str">
        <f>IF(INPUT!M3551="","",INPUT!M3551)</f>
        <v/>
      </c>
      <c r="B3556" s="11" t="str">
        <f>IF(INPUT!M3551="","",INPUT!M3551-WEEKDAY(INPUT!M3551,2)+1)</f>
        <v/>
      </c>
      <c r="C3556" s="20">
        <f>IFERROR(_xlfn.ISOWEEKNUM(INPUT!M3551),"")</f>
        <v>52</v>
      </c>
      <c r="D3556" s="20">
        <f>IFERROR(YEAR(INPUT!M3551),"")</f>
        <v>1900</v>
      </c>
      <c r="E3556" t="str">
        <f>IF(INPUT!O3551="","",INPUT!O3551)</f>
        <v/>
      </c>
      <c r="F3556" t="str">
        <f>IF(INPUT!N3551="","",INPUT!N3551)</f>
        <v/>
      </c>
      <c r="G3556" cm="1">
        <f t="array" ref="G3556">IFERROR(VLOOKUP(INPUT!M3551&amp;INPUT!N3551,CHOOSE({1,2},INPUT!$A$3:$A$5000&amp;INPUT!$C$3:$C$5000,INPUT!$F$3:$F$5000),2,FALSE),"")</f>
        <v>0</v>
      </c>
      <c r="H3556" cm="1">
        <f t="array" ref="H3556">IFERROR(VLOOKUP(INPUT!M3551&amp;INPUT!N3551,CHOOSE({1,2},INPUT!$A$3:$A$5000&amp;INPUT!$C$3:$C$5000,INPUT!$D$3:$D$5000),2,FALSE),"")</f>
        <v>0</v>
      </c>
      <c r="I3556" s="46" t="str">
        <f>IF(INPUT!P3551="","",INPUT!P3551)</f>
        <v/>
      </c>
      <c r="J3556" s="46" t="str">
        <f>IF(INPUT!Q3551="","",INPUT!Q3551)</f>
        <v/>
      </c>
      <c r="K3556" s="46" t="str">
        <f>IFERROR(IF(OR(INPUT!P3551="",INPUT!Q3551=""),"",INPUT!P3551-INPUT!Q3551),"")</f>
        <v/>
      </c>
      <c r="L3556" s="48" t="str">
        <f>IFERROR(IF(OR(INPUT!P3551="",INPUT!Q3551="",INPUT!P3551=0),"",(INPUT!P3551-INPUT!Q3551)/INPUT!P3551),"")</f>
        <v/>
      </c>
    </row>
    <row r="3557" spans="1:12" ht="18" hidden="1" customHeight="1" x14ac:dyDescent="0.2">
      <c r="A3557" s="11" t="str">
        <f>IF(INPUT!M3552="","",INPUT!M3552)</f>
        <v/>
      </c>
      <c r="B3557" s="11" t="str">
        <f>IF(INPUT!M3552="","",INPUT!M3552-WEEKDAY(INPUT!M3552,2)+1)</f>
        <v/>
      </c>
      <c r="C3557" s="20">
        <f>IFERROR(_xlfn.ISOWEEKNUM(INPUT!M3552),"")</f>
        <v>52</v>
      </c>
      <c r="D3557" s="20">
        <f>IFERROR(YEAR(INPUT!M3552),"")</f>
        <v>1900</v>
      </c>
      <c r="E3557" t="str">
        <f>IF(INPUT!O3552="","",INPUT!O3552)</f>
        <v/>
      </c>
      <c r="F3557" t="str">
        <f>IF(INPUT!N3552="","",INPUT!N3552)</f>
        <v/>
      </c>
      <c r="G3557" cm="1">
        <f t="array" ref="G3557">IFERROR(VLOOKUP(INPUT!M3552&amp;INPUT!N3552,CHOOSE({1,2},INPUT!$A$3:$A$5000&amp;INPUT!$C$3:$C$5000,INPUT!$F$3:$F$5000),2,FALSE),"")</f>
        <v>0</v>
      </c>
      <c r="H3557" cm="1">
        <f t="array" ref="H3557">IFERROR(VLOOKUP(INPUT!M3552&amp;INPUT!N3552,CHOOSE({1,2},INPUT!$A$3:$A$5000&amp;INPUT!$C$3:$C$5000,INPUT!$D$3:$D$5000),2,FALSE),"")</f>
        <v>0</v>
      </c>
      <c r="I3557" s="46" t="str">
        <f>IF(INPUT!P3552="","",INPUT!P3552)</f>
        <v/>
      </c>
      <c r="J3557" s="46" t="str">
        <f>IF(INPUT!Q3552="","",INPUT!Q3552)</f>
        <v/>
      </c>
      <c r="K3557" s="46" t="str">
        <f>IFERROR(IF(OR(INPUT!P3552="",INPUT!Q3552=""),"",INPUT!P3552-INPUT!Q3552),"")</f>
        <v/>
      </c>
      <c r="L3557" s="48" t="str">
        <f>IFERROR(IF(OR(INPUT!P3552="",INPUT!Q3552="",INPUT!P3552=0),"",(INPUT!P3552-INPUT!Q3552)/INPUT!P3552),"")</f>
        <v/>
      </c>
    </row>
    <row r="3558" spans="1:12" ht="18" hidden="1" customHeight="1" x14ac:dyDescent="0.2">
      <c r="A3558" s="11" t="str">
        <f>IF(INPUT!M3553="","",INPUT!M3553)</f>
        <v/>
      </c>
      <c r="B3558" s="11" t="str">
        <f>IF(INPUT!M3553="","",INPUT!M3553-WEEKDAY(INPUT!M3553,2)+1)</f>
        <v/>
      </c>
      <c r="C3558" s="20">
        <f>IFERROR(_xlfn.ISOWEEKNUM(INPUT!M3553),"")</f>
        <v>52</v>
      </c>
      <c r="D3558" s="20">
        <f>IFERROR(YEAR(INPUT!M3553),"")</f>
        <v>1900</v>
      </c>
      <c r="E3558" t="str">
        <f>IF(INPUT!O3553="","",INPUT!O3553)</f>
        <v/>
      </c>
      <c r="F3558" t="str">
        <f>IF(INPUT!N3553="","",INPUT!N3553)</f>
        <v/>
      </c>
      <c r="G3558" cm="1">
        <f t="array" ref="G3558">IFERROR(VLOOKUP(INPUT!M3553&amp;INPUT!N3553,CHOOSE({1,2},INPUT!$A$3:$A$5000&amp;INPUT!$C$3:$C$5000,INPUT!$F$3:$F$5000),2,FALSE),"")</f>
        <v>0</v>
      </c>
      <c r="H3558" cm="1">
        <f t="array" ref="H3558">IFERROR(VLOOKUP(INPUT!M3553&amp;INPUT!N3553,CHOOSE({1,2},INPUT!$A$3:$A$5000&amp;INPUT!$C$3:$C$5000,INPUT!$D$3:$D$5000),2,FALSE),"")</f>
        <v>0</v>
      </c>
      <c r="I3558" s="46" t="str">
        <f>IF(INPUT!P3553="","",INPUT!P3553)</f>
        <v/>
      </c>
      <c r="J3558" s="46" t="str">
        <f>IF(INPUT!Q3553="","",INPUT!Q3553)</f>
        <v/>
      </c>
      <c r="K3558" s="46" t="str">
        <f>IFERROR(IF(OR(INPUT!P3553="",INPUT!Q3553=""),"",INPUT!P3553-INPUT!Q3553),"")</f>
        <v/>
      </c>
      <c r="L3558" s="48" t="str">
        <f>IFERROR(IF(OR(INPUT!P3553="",INPUT!Q3553="",INPUT!P3553=0),"",(INPUT!P3553-INPUT!Q3553)/INPUT!P3553),"")</f>
        <v/>
      </c>
    </row>
    <row r="3559" spans="1:12" ht="18" hidden="1" customHeight="1" x14ac:dyDescent="0.2">
      <c r="A3559" s="11" t="str">
        <f>IF(INPUT!M3554="","",INPUT!M3554)</f>
        <v/>
      </c>
      <c r="B3559" s="11" t="str">
        <f>IF(INPUT!M3554="","",INPUT!M3554-WEEKDAY(INPUT!M3554,2)+1)</f>
        <v/>
      </c>
      <c r="C3559" s="20">
        <f>IFERROR(_xlfn.ISOWEEKNUM(INPUT!M3554),"")</f>
        <v>52</v>
      </c>
      <c r="D3559" s="20">
        <f>IFERROR(YEAR(INPUT!M3554),"")</f>
        <v>1900</v>
      </c>
      <c r="E3559" t="str">
        <f>IF(INPUT!O3554="","",INPUT!O3554)</f>
        <v/>
      </c>
      <c r="F3559" t="str">
        <f>IF(INPUT!N3554="","",INPUT!N3554)</f>
        <v/>
      </c>
      <c r="G3559" cm="1">
        <f t="array" ref="G3559">IFERROR(VLOOKUP(INPUT!M3554&amp;INPUT!N3554,CHOOSE({1,2},INPUT!$A$3:$A$5000&amp;INPUT!$C$3:$C$5000,INPUT!$F$3:$F$5000),2,FALSE),"")</f>
        <v>0</v>
      </c>
      <c r="H3559" cm="1">
        <f t="array" ref="H3559">IFERROR(VLOOKUP(INPUT!M3554&amp;INPUT!N3554,CHOOSE({1,2},INPUT!$A$3:$A$5000&amp;INPUT!$C$3:$C$5000,INPUT!$D$3:$D$5000),2,FALSE),"")</f>
        <v>0</v>
      </c>
      <c r="I3559" s="46" t="str">
        <f>IF(INPUT!P3554="","",INPUT!P3554)</f>
        <v/>
      </c>
      <c r="J3559" s="46" t="str">
        <f>IF(INPUT!Q3554="","",INPUT!Q3554)</f>
        <v/>
      </c>
      <c r="K3559" s="46" t="str">
        <f>IFERROR(IF(OR(INPUT!P3554="",INPUT!Q3554=""),"",INPUT!P3554-INPUT!Q3554),"")</f>
        <v/>
      </c>
      <c r="L3559" s="48" t="str">
        <f>IFERROR(IF(OR(INPUT!P3554="",INPUT!Q3554="",INPUT!P3554=0),"",(INPUT!P3554-INPUT!Q3554)/INPUT!P3554),"")</f>
        <v/>
      </c>
    </row>
    <row r="3560" spans="1:12" ht="18" hidden="1" customHeight="1" x14ac:dyDescent="0.2">
      <c r="A3560" s="11" t="str">
        <f>IF(INPUT!M3555="","",INPUT!M3555)</f>
        <v/>
      </c>
      <c r="B3560" s="11" t="str">
        <f>IF(INPUT!M3555="","",INPUT!M3555-WEEKDAY(INPUT!M3555,2)+1)</f>
        <v/>
      </c>
      <c r="C3560" s="20">
        <f>IFERROR(_xlfn.ISOWEEKNUM(INPUT!M3555),"")</f>
        <v>52</v>
      </c>
      <c r="D3560" s="20">
        <f>IFERROR(YEAR(INPUT!M3555),"")</f>
        <v>1900</v>
      </c>
      <c r="E3560" t="str">
        <f>IF(INPUT!O3555="","",INPUT!O3555)</f>
        <v/>
      </c>
      <c r="F3560" t="str">
        <f>IF(INPUT!N3555="","",INPUT!N3555)</f>
        <v/>
      </c>
      <c r="G3560" cm="1">
        <f t="array" ref="G3560">IFERROR(VLOOKUP(INPUT!M3555&amp;INPUT!N3555,CHOOSE({1,2},INPUT!$A$3:$A$5000&amp;INPUT!$C$3:$C$5000,INPUT!$F$3:$F$5000),2,FALSE),"")</f>
        <v>0</v>
      </c>
      <c r="H3560" cm="1">
        <f t="array" ref="H3560">IFERROR(VLOOKUP(INPUT!M3555&amp;INPUT!N3555,CHOOSE({1,2},INPUT!$A$3:$A$5000&amp;INPUT!$C$3:$C$5000,INPUT!$D$3:$D$5000),2,FALSE),"")</f>
        <v>0</v>
      </c>
      <c r="I3560" s="46" t="str">
        <f>IF(INPUT!P3555="","",INPUT!P3555)</f>
        <v/>
      </c>
      <c r="J3560" s="46" t="str">
        <f>IF(INPUT!Q3555="","",INPUT!Q3555)</f>
        <v/>
      </c>
      <c r="K3560" s="46" t="str">
        <f>IFERROR(IF(OR(INPUT!P3555="",INPUT!Q3555=""),"",INPUT!P3555-INPUT!Q3555),"")</f>
        <v/>
      </c>
      <c r="L3560" s="48" t="str">
        <f>IFERROR(IF(OR(INPUT!P3555="",INPUT!Q3555="",INPUT!P3555=0),"",(INPUT!P3555-INPUT!Q3555)/INPUT!P3555),"")</f>
        <v/>
      </c>
    </row>
    <row r="3561" spans="1:12" ht="18" hidden="1" customHeight="1" x14ac:dyDescent="0.2">
      <c r="A3561" s="11" t="str">
        <f>IF(INPUT!M3556="","",INPUT!M3556)</f>
        <v/>
      </c>
      <c r="B3561" s="11" t="str">
        <f>IF(INPUT!M3556="","",INPUT!M3556-WEEKDAY(INPUT!M3556,2)+1)</f>
        <v/>
      </c>
      <c r="C3561" s="20">
        <f>IFERROR(_xlfn.ISOWEEKNUM(INPUT!M3556),"")</f>
        <v>52</v>
      </c>
      <c r="D3561" s="20">
        <f>IFERROR(YEAR(INPUT!M3556),"")</f>
        <v>1900</v>
      </c>
      <c r="E3561" t="str">
        <f>IF(INPUT!O3556="","",INPUT!O3556)</f>
        <v/>
      </c>
      <c r="F3561" t="str">
        <f>IF(INPUT!N3556="","",INPUT!N3556)</f>
        <v/>
      </c>
      <c r="G3561" cm="1">
        <f t="array" ref="G3561">IFERROR(VLOOKUP(INPUT!M3556&amp;INPUT!N3556,CHOOSE({1,2},INPUT!$A$3:$A$5000&amp;INPUT!$C$3:$C$5000,INPUT!$F$3:$F$5000),2,FALSE),"")</f>
        <v>0</v>
      </c>
      <c r="H3561" cm="1">
        <f t="array" ref="H3561">IFERROR(VLOOKUP(INPUT!M3556&amp;INPUT!N3556,CHOOSE({1,2},INPUT!$A$3:$A$5000&amp;INPUT!$C$3:$C$5000,INPUT!$D$3:$D$5000),2,FALSE),"")</f>
        <v>0</v>
      </c>
      <c r="I3561" s="46" t="str">
        <f>IF(INPUT!P3556="","",INPUT!P3556)</f>
        <v/>
      </c>
      <c r="J3561" s="46" t="str">
        <f>IF(INPUT!Q3556="","",INPUT!Q3556)</f>
        <v/>
      </c>
      <c r="K3561" s="46" t="str">
        <f>IFERROR(IF(OR(INPUT!P3556="",INPUT!Q3556=""),"",INPUT!P3556-INPUT!Q3556),"")</f>
        <v/>
      </c>
      <c r="L3561" s="48" t="str">
        <f>IFERROR(IF(OR(INPUT!P3556="",INPUT!Q3556="",INPUT!P3556=0),"",(INPUT!P3556-INPUT!Q3556)/INPUT!P3556),"")</f>
        <v/>
      </c>
    </row>
    <row r="3562" spans="1:12" ht="18" hidden="1" customHeight="1" x14ac:dyDescent="0.2">
      <c r="A3562" s="11" t="str">
        <f>IF(INPUT!M3557="","",INPUT!M3557)</f>
        <v/>
      </c>
      <c r="B3562" s="11" t="str">
        <f>IF(INPUT!M3557="","",INPUT!M3557-WEEKDAY(INPUT!M3557,2)+1)</f>
        <v/>
      </c>
      <c r="C3562" s="20">
        <f>IFERROR(_xlfn.ISOWEEKNUM(INPUT!M3557),"")</f>
        <v>52</v>
      </c>
      <c r="D3562" s="20">
        <f>IFERROR(YEAR(INPUT!M3557),"")</f>
        <v>1900</v>
      </c>
      <c r="E3562" t="str">
        <f>IF(INPUT!O3557="","",INPUT!O3557)</f>
        <v/>
      </c>
      <c r="F3562" t="str">
        <f>IF(INPUT!N3557="","",INPUT!N3557)</f>
        <v/>
      </c>
      <c r="G3562" cm="1">
        <f t="array" ref="G3562">IFERROR(VLOOKUP(INPUT!M3557&amp;INPUT!N3557,CHOOSE({1,2},INPUT!$A$3:$A$5000&amp;INPUT!$C$3:$C$5000,INPUT!$F$3:$F$5000),2,FALSE),"")</f>
        <v>0</v>
      </c>
      <c r="H3562" cm="1">
        <f t="array" ref="H3562">IFERROR(VLOOKUP(INPUT!M3557&amp;INPUT!N3557,CHOOSE({1,2},INPUT!$A$3:$A$5000&amp;INPUT!$C$3:$C$5000,INPUT!$D$3:$D$5000),2,FALSE),"")</f>
        <v>0</v>
      </c>
      <c r="I3562" s="46" t="str">
        <f>IF(INPUT!P3557="","",INPUT!P3557)</f>
        <v/>
      </c>
      <c r="J3562" s="46" t="str">
        <f>IF(INPUT!Q3557="","",INPUT!Q3557)</f>
        <v/>
      </c>
      <c r="K3562" s="46" t="str">
        <f>IFERROR(IF(OR(INPUT!P3557="",INPUT!Q3557=""),"",INPUT!P3557-INPUT!Q3557),"")</f>
        <v/>
      </c>
      <c r="L3562" s="48" t="str">
        <f>IFERROR(IF(OR(INPUT!P3557="",INPUT!Q3557="",INPUT!P3557=0),"",(INPUT!P3557-INPUT!Q3557)/INPUT!P3557),"")</f>
        <v/>
      </c>
    </row>
    <row r="3563" spans="1:12" ht="18" hidden="1" customHeight="1" x14ac:dyDescent="0.2">
      <c r="A3563" s="11" t="str">
        <f>IF(INPUT!M3558="","",INPUT!M3558)</f>
        <v/>
      </c>
      <c r="B3563" s="11" t="str">
        <f>IF(INPUT!M3558="","",INPUT!M3558-WEEKDAY(INPUT!M3558,2)+1)</f>
        <v/>
      </c>
      <c r="C3563" s="20">
        <f>IFERROR(_xlfn.ISOWEEKNUM(INPUT!M3558),"")</f>
        <v>52</v>
      </c>
      <c r="D3563" s="20">
        <f>IFERROR(YEAR(INPUT!M3558),"")</f>
        <v>1900</v>
      </c>
      <c r="E3563" t="str">
        <f>IF(INPUT!O3558="","",INPUT!O3558)</f>
        <v/>
      </c>
      <c r="F3563" t="str">
        <f>IF(INPUT!N3558="","",INPUT!N3558)</f>
        <v/>
      </c>
      <c r="G3563" cm="1">
        <f t="array" ref="G3563">IFERROR(VLOOKUP(INPUT!M3558&amp;INPUT!N3558,CHOOSE({1,2},INPUT!$A$3:$A$5000&amp;INPUT!$C$3:$C$5000,INPUT!$F$3:$F$5000),2,FALSE),"")</f>
        <v>0</v>
      </c>
      <c r="H3563" cm="1">
        <f t="array" ref="H3563">IFERROR(VLOOKUP(INPUT!M3558&amp;INPUT!N3558,CHOOSE({1,2},INPUT!$A$3:$A$5000&amp;INPUT!$C$3:$C$5000,INPUT!$D$3:$D$5000),2,FALSE),"")</f>
        <v>0</v>
      </c>
      <c r="I3563" s="46" t="str">
        <f>IF(INPUT!P3558="","",INPUT!P3558)</f>
        <v/>
      </c>
      <c r="J3563" s="46" t="str">
        <f>IF(INPUT!Q3558="","",INPUT!Q3558)</f>
        <v/>
      </c>
      <c r="K3563" s="46" t="str">
        <f>IFERROR(IF(OR(INPUT!P3558="",INPUT!Q3558=""),"",INPUT!P3558-INPUT!Q3558),"")</f>
        <v/>
      </c>
      <c r="L3563" s="48" t="str">
        <f>IFERROR(IF(OR(INPUT!P3558="",INPUT!Q3558="",INPUT!P3558=0),"",(INPUT!P3558-INPUT!Q3558)/INPUT!P3558),"")</f>
        <v/>
      </c>
    </row>
    <row r="3564" spans="1:12" ht="18" hidden="1" customHeight="1" x14ac:dyDescent="0.2">
      <c r="A3564" s="11" t="str">
        <f>IF(INPUT!M3559="","",INPUT!M3559)</f>
        <v/>
      </c>
      <c r="B3564" s="11" t="str">
        <f>IF(INPUT!M3559="","",INPUT!M3559-WEEKDAY(INPUT!M3559,2)+1)</f>
        <v/>
      </c>
      <c r="C3564" s="20">
        <f>IFERROR(_xlfn.ISOWEEKNUM(INPUT!M3559),"")</f>
        <v>52</v>
      </c>
      <c r="D3564" s="20">
        <f>IFERROR(YEAR(INPUT!M3559),"")</f>
        <v>1900</v>
      </c>
      <c r="E3564" t="str">
        <f>IF(INPUT!O3559="","",INPUT!O3559)</f>
        <v/>
      </c>
      <c r="F3564" t="str">
        <f>IF(INPUT!N3559="","",INPUT!N3559)</f>
        <v/>
      </c>
      <c r="G3564" cm="1">
        <f t="array" ref="G3564">IFERROR(VLOOKUP(INPUT!M3559&amp;INPUT!N3559,CHOOSE({1,2},INPUT!$A$3:$A$5000&amp;INPUT!$C$3:$C$5000,INPUT!$F$3:$F$5000),2,FALSE),"")</f>
        <v>0</v>
      </c>
      <c r="H3564" cm="1">
        <f t="array" ref="H3564">IFERROR(VLOOKUP(INPUT!M3559&amp;INPUT!N3559,CHOOSE({1,2},INPUT!$A$3:$A$5000&amp;INPUT!$C$3:$C$5000,INPUT!$D$3:$D$5000),2,FALSE),"")</f>
        <v>0</v>
      </c>
      <c r="I3564" s="46" t="str">
        <f>IF(INPUT!P3559="","",INPUT!P3559)</f>
        <v/>
      </c>
      <c r="J3564" s="46" t="str">
        <f>IF(INPUT!Q3559="","",INPUT!Q3559)</f>
        <v/>
      </c>
      <c r="K3564" s="46" t="str">
        <f>IFERROR(IF(OR(INPUT!P3559="",INPUT!Q3559=""),"",INPUT!P3559-INPUT!Q3559),"")</f>
        <v/>
      </c>
      <c r="L3564" s="48" t="str">
        <f>IFERROR(IF(OR(INPUT!P3559="",INPUT!Q3559="",INPUT!P3559=0),"",(INPUT!P3559-INPUT!Q3559)/INPUT!P3559),"")</f>
        <v/>
      </c>
    </row>
    <row r="3565" spans="1:12" ht="18" hidden="1" customHeight="1" x14ac:dyDescent="0.2">
      <c r="A3565" s="11" t="str">
        <f>IF(INPUT!M3560="","",INPUT!M3560)</f>
        <v/>
      </c>
      <c r="B3565" s="11" t="str">
        <f>IF(INPUT!M3560="","",INPUT!M3560-WEEKDAY(INPUT!M3560,2)+1)</f>
        <v/>
      </c>
      <c r="C3565" s="20">
        <f>IFERROR(_xlfn.ISOWEEKNUM(INPUT!M3560),"")</f>
        <v>52</v>
      </c>
      <c r="D3565" s="20">
        <f>IFERROR(YEAR(INPUT!M3560),"")</f>
        <v>1900</v>
      </c>
      <c r="E3565" t="str">
        <f>IF(INPUT!O3560="","",INPUT!O3560)</f>
        <v/>
      </c>
      <c r="F3565" t="str">
        <f>IF(INPUT!N3560="","",INPUT!N3560)</f>
        <v/>
      </c>
      <c r="G3565" cm="1">
        <f t="array" ref="G3565">IFERROR(VLOOKUP(INPUT!M3560&amp;INPUT!N3560,CHOOSE({1,2},INPUT!$A$3:$A$5000&amp;INPUT!$C$3:$C$5000,INPUT!$F$3:$F$5000),2,FALSE),"")</f>
        <v>0</v>
      </c>
      <c r="H3565" cm="1">
        <f t="array" ref="H3565">IFERROR(VLOOKUP(INPUT!M3560&amp;INPUT!N3560,CHOOSE({1,2},INPUT!$A$3:$A$5000&amp;INPUT!$C$3:$C$5000,INPUT!$D$3:$D$5000),2,FALSE),"")</f>
        <v>0</v>
      </c>
      <c r="I3565" s="46" t="str">
        <f>IF(INPUT!P3560="","",INPUT!P3560)</f>
        <v/>
      </c>
      <c r="J3565" s="46" t="str">
        <f>IF(INPUT!Q3560="","",INPUT!Q3560)</f>
        <v/>
      </c>
      <c r="K3565" s="46" t="str">
        <f>IFERROR(IF(OR(INPUT!P3560="",INPUT!Q3560=""),"",INPUT!P3560-INPUT!Q3560),"")</f>
        <v/>
      </c>
      <c r="L3565" s="48" t="str">
        <f>IFERROR(IF(OR(INPUT!P3560="",INPUT!Q3560="",INPUT!P3560=0),"",(INPUT!P3560-INPUT!Q3560)/INPUT!P3560),"")</f>
        <v/>
      </c>
    </row>
    <row r="3566" spans="1:12" ht="18" hidden="1" customHeight="1" x14ac:dyDescent="0.2">
      <c r="A3566" s="11" t="str">
        <f>IF(INPUT!M3561="","",INPUT!M3561)</f>
        <v/>
      </c>
      <c r="B3566" s="11" t="str">
        <f>IF(INPUT!M3561="","",INPUT!M3561-WEEKDAY(INPUT!M3561,2)+1)</f>
        <v/>
      </c>
      <c r="C3566" s="20">
        <f>IFERROR(_xlfn.ISOWEEKNUM(INPUT!M3561),"")</f>
        <v>52</v>
      </c>
      <c r="D3566" s="20">
        <f>IFERROR(YEAR(INPUT!M3561),"")</f>
        <v>1900</v>
      </c>
      <c r="E3566" t="str">
        <f>IF(INPUT!O3561="","",INPUT!O3561)</f>
        <v/>
      </c>
      <c r="F3566" t="str">
        <f>IF(INPUT!N3561="","",INPUT!N3561)</f>
        <v/>
      </c>
      <c r="G3566" cm="1">
        <f t="array" ref="G3566">IFERROR(VLOOKUP(INPUT!M3561&amp;INPUT!N3561,CHOOSE({1,2},INPUT!$A$3:$A$5000&amp;INPUT!$C$3:$C$5000,INPUT!$F$3:$F$5000),2,FALSE),"")</f>
        <v>0</v>
      </c>
      <c r="H3566" cm="1">
        <f t="array" ref="H3566">IFERROR(VLOOKUP(INPUT!M3561&amp;INPUT!N3561,CHOOSE({1,2},INPUT!$A$3:$A$5000&amp;INPUT!$C$3:$C$5000,INPUT!$D$3:$D$5000),2,FALSE),"")</f>
        <v>0</v>
      </c>
      <c r="I3566" s="46" t="str">
        <f>IF(INPUT!P3561="","",INPUT!P3561)</f>
        <v/>
      </c>
      <c r="J3566" s="46" t="str">
        <f>IF(INPUT!Q3561="","",INPUT!Q3561)</f>
        <v/>
      </c>
      <c r="K3566" s="46" t="str">
        <f>IFERROR(IF(OR(INPUT!P3561="",INPUT!Q3561=""),"",INPUT!P3561-INPUT!Q3561),"")</f>
        <v/>
      </c>
      <c r="L3566" s="48" t="str">
        <f>IFERROR(IF(OR(INPUT!P3561="",INPUT!Q3561="",INPUT!P3561=0),"",(INPUT!P3561-INPUT!Q3561)/INPUT!P3561),"")</f>
        <v/>
      </c>
    </row>
    <row r="3567" spans="1:12" ht="18" hidden="1" customHeight="1" x14ac:dyDescent="0.2">
      <c r="A3567" s="11" t="str">
        <f>IF(INPUT!M3562="","",INPUT!M3562)</f>
        <v/>
      </c>
      <c r="B3567" s="11" t="str">
        <f>IF(INPUT!M3562="","",INPUT!M3562-WEEKDAY(INPUT!M3562,2)+1)</f>
        <v/>
      </c>
      <c r="C3567" s="20">
        <f>IFERROR(_xlfn.ISOWEEKNUM(INPUT!M3562),"")</f>
        <v>52</v>
      </c>
      <c r="D3567" s="20">
        <f>IFERROR(YEAR(INPUT!M3562),"")</f>
        <v>1900</v>
      </c>
      <c r="E3567" t="str">
        <f>IF(INPUT!O3562="","",INPUT!O3562)</f>
        <v/>
      </c>
      <c r="F3567" t="str">
        <f>IF(INPUT!N3562="","",INPUT!N3562)</f>
        <v/>
      </c>
      <c r="G3567" cm="1">
        <f t="array" ref="G3567">IFERROR(VLOOKUP(INPUT!M3562&amp;INPUT!N3562,CHOOSE({1,2},INPUT!$A$3:$A$5000&amp;INPUT!$C$3:$C$5000,INPUT!$F$3:$F$5000),2,FALSE),"")</f>
        <v>0</v>
      </c>
      <c r="H3567" cm="1">
        <f t="array" ref="H3567">IFERROR(VLOOKUP(INPUT!M3562&amp;INPUT!N3562,CHOOSE({1,2},INPUT!$A$3:$A$5000&amp;INPUT!$C$3:$C$5000,INPUT!$D$3:$D$5000),2,FALSE),"")</f>
        <v>0</v>
      </c>
      <c r="I3567" s="46" t="str">
        <f>IF(INPUT!P3562="","",INPUT!P3562)</f>
        <v/>
      </c>
      <c r="J3567" s="46" t="str">
        <f>IF(INPUT!Q3562="","",INPUT!Q3562)</f>
        <v/>
      </c>
      <c r="K3567" s="46" t="str">
        <f>IFERROR(IF(OR(INPUT!P3562="",INPUT!Q3562=""),"",INPUT!P3562-INPUT!Q3562),"")</f>
        <v/>
      </c>
      <c r="L3567" s="48" t="str">
        <f>IFERROR(IF(OR(INPUT!P3562="",INPUT!Q3562="",INPUT!P3562=0),"",(INPUT!P3562-INPUT!Q3562)/INPUT!P3562),"")</f>
        <v/>
      </c>
    </row>
    <row r="3568" spans="1:12" ht="18" hidden="1" customHeight="1" x14ac:dyDescent="0.2">
      <c r="A3568" s="11" t="str">
        <f>IF(INPUT!M3563="","",INPUT!M3563)</f>
        <v/>
      </c>
      <c r="B3568" s="11" t="str">
        <f>IF(INPUT!M3563="","",INPUT!M3563-WEEKDAY(INPUT!M3563,2)+1)</f>
        <v/>
      </c>
      <c r="C3568" s="20">
        <f>IFERROR(_xlfn.ISOWEEKNUM(INPUT!M3563),"")</f>
        <v>52</v>
      </c>
      <c r="D3568" s="20">
        <f>IFERROR(YEAR(INPUT!M3563),"")</f>
        <v>1900</v>
      </c>
      <c r="E3568" t="str">
        <f>IF(INPUT!O3563="","",INPUT!O3563)</f>
        <v/>
      </c>
      <c r="F3568" t="str">
        <f>IF(INPUT!N3563="","",INPUT!N3563)</f>
        <v/>
      </c>
      <c r="G3568" cm="1">
        <f t="array" ref="G3568">IFERROR(VLOOKUP(INPUT!M3563&amp;INPUT!N3563,CHOOSE({1,2},INPUT!$A$3:$A$5000&amp;INPUT!$C$3:$C$5000,INPUT!$F$3:$F$5000),2,FALSE),"")</f>
        <v>0</v>
      </c>
      <c r="H3568" cm="1">
        <f t="array" ref="H3568">IFERROR(VLOOKUP(INPUT!M3563&amp;INPUT!N3563,CHOOSE({1,2},INPUT!$A$3:$A$5000&amp;INPUT!$C$3:$C$5000,INPUT!$D$3:$D$5000),2,FALSE),"")</f>
        <v>0</v>
      </c>
      <c r="I3568" s="46" t="str">
        <f>IF(INPUT!P3563="","",INPUT!P3563)</f>
        <v/>
      </c>
      <c r="J3568" s="46" t="str">
        <f>IF(INPUT!Q3563="","",INPUT!Q3563)</f>
        <v/>
      </c>
      <c r="K3568" s="46" t="str">
        <f>IFERROR(IF(OR(INPUT!P3563="",INPUT!Q3563=""),"",INPUT!P3563-INPUT!Q3563),"")</f>
        <v/>
      </c>
      <c r="L3568" s="48" t="str">
        <f>IFERROR(IF(OR(INPUT!P3563="",INPUT!Q3563="",INPUT!P3563=0),"",(INPUT!P3563-INPUT!Q3563)/INPUT!P3563),"")</f>
        <v/>
      </c>
    </row>
    <row r="3569" spans="1:12" ht="18" hidden="1" customHeight="1" x14ac:dyDescent="0.2">
      <c r="A3569" s="11" t="str">
        <f>IF(INPUT!M3564="","",INPUT!M3564)</f>
        <v/>
      </c>
      <c r="B3569" s="11" t="str">
        <f>IF(INPUT!M3564="","",INPUT!M3564-WEEKDAY(INPUT!M3564,2)+1)</f>
        <v/>
      </c>
      <c r="C3569" s="20">
        <f>IFERROR(_xlfn.ISOWEEKNUM(INPUT!M3564),"")</f>
        <v>52</v>
      </c>
      <c r="D3569" s="20">
        <f>IFERROR(YEAR(INPUT!M3564),"")</f>
        <v>1900</v>
      </c>
      <c r="E3569" t="str">
        <f>IF(INPUT!O3564="","",INPUT!O3564)</f>
        <v/>
      </c>
      <c r="F3569" t="str">
        <f>IF(INPUT!N3564="","",INPUT!N3564)</f>
        <v/>
      </c>
      <c r="G3569" cm="1">
        <f t="array" ref="G3569">IFERROR(VLOOKUP(INPUT!M3564&amp;INPUT!N3564,CHOOSE({1,2},INPUT!$A$3:$A$5000&amp;INPUT!$C$3:$C$5000,INPUT!$F$3:$F$5000),2,FALSE),"")</f>
        <v>0</v>
      </c>
      <c r="H3569" cm="1">
        <f t="array" ref="H3569">IFERROR(VLOOKUP(INPUT!M3564&amp;INPUT!N3564,CHOOSE({1,2},INPUT!$A$3:$A$5000&amp;INPUT!$C$3:$C$5000,INPUT!$D$3:$D$5000),2,FALSE),"")</f>
        <v>0</v>
      </c>
      <c r="I3569" s="46" t="str">
        <f>IF(INPUT!P3564="","",INPUT!P3564)</f>
        <v/>
      </c>
      <c r="J3569" s="46" t="str">
        <f>IF(INPUT!Q3564="","",INPUT!Q3564)</f>
        <v/>
      </c>
      <c r="K3569" s="46" t="str">
        <f>IFERROR(IF(OR(INPUT!P3564="",INPUT!Q3564=""),"",INPUT!P3564-INPUT!Q3564),"")</f>
        <v/>
      </c>
      <c r="L3569" s="48" t="str">
        <f>IFERROR(IF(OR(INPUT!P3564="",INPUT!Q3564="",INPUT!P3564=0),"",(INPUT!P3564-INPUT!Q3564)/INPUT!P3564),"")</f>
        <v/>
      </c>
    </row>
    <row r="3570" spans="1:12" ht="18" hidden="1" customHeight="1" x14ac:dyDescent="0.2">
      <c r="A3570" s="11" t="str">
        <f>IF(INPUT!M3565="","",INPUT!M3565)</f>
        <v/>
      </c>
      <c r="B3570" s="11" t="str">
        <f>IF(INPUT!M3565="","",INPUT!M3565-WEEKDAY(INPUT!M3565,2)+1)</f>
        <v/>
      </c>
      <c r="C3570" s="20">
        <f>IFERROR(_xlfn.ISOWEEKNUM(INPUT!M3565),"")</f>
        <v>52</v>
      </c>
      <c r="D3570" s="20">
        <f>IFERROR(YEAR(INPUT!M3565),"")</f>
        <v>1900</v>
      </c>
      <c r="E3570" t="str">
        <f>IF(INPUT!O3565="","",INPUT!O3565)</f>
        <v/>
      </c>
      <c r="F3570" t="str">
        <f>IF(INPUT!N3565="","",INPUT!N3565)</f>
        <v/>
      </c>
      <c r="G3570" cm="1">
        <f t="array" ref="G3570">IFERROR(VLOOKUP(INPUT!M3565&amp;INPUT!N3565,CHOOSE({1,2},INPUT!$A$3:$A$5000&amp;INPUT!$C$3:$C$5000,INPUT!$F$3:$F$5000),2,FALSE),"")</f>
        <v>0</v>
      </c>
      <c r="H3570" cm="1">
        <f t="array" ref="H3570">IFERROR(VLOOKUP(INPUT!M3565&amp;INPUT!N3565,CHOOSE({1,2},INPUT!$A$3:$A$5000&amp;INPUT!$C$3:$C$5000,INPUT!$D$3:$D$5000),2,FALSE),"")</f>
        <v>0</v>
      </c>
      <c r="I3570" s="46" t="str">
        <f>IF(INPUT!P3565="","",INPUT!P3565)</f>
        <v/>
      </c>
      <c r="J3570" s="46" t="str">
        <f>IF(INPUT!Q3565="","",INPUT!Q3565)</f>
        <v/>
      </c>
      <c r="K3570" s="46" t="str">
        <f>IFERROR(IF(OR(INPUT!P3565="",INPUT!Q3565=""),"",INPUT!P3565-INPUT!Q3565),"")</f>
        <v/>
      </c>
      <c r="L3570" s="48" t="str">
        <f>IFERROR(IF(OR(INPUT!P3565="",INPUT!Q3565="",INPUT!P3565=0),"",(INPUT!P3565-INPUT!Q3565)/INPUT!P3565),"")</f>
        <v/>
      </c>
    </row>
    <row r="3571" spans="1:12" ht="18" hidden="1" customHeight="1" x14ac:dyDescent="0.2">
      <c r="A3571" s="11" t="str">
        <f>IF(INPUT!M3566="","",INPUT!M3566)</f>
        <v/>
      </c>
      <c r="B3571" s="11" t="str">
        <f>IF(INPUT!M3566="","",INPUT!M3566-WEEKDAY(INPUT!M3566,2)+1)</f>
        <v/>
      </c>
      <c r="C3571" s="20">
        <f>IFERROR(_xlfn.ISOWEEKNUM(INPUT!M3566),"")</f>
        <v>52</v>
      </c>
      <c r="D3571" s="20">
        <f>IFERROR(YEAR(INPUT!M3566),"")</f>
        <v>1900</v>
      </c>
      <c r="E3571" t="str">
        <f>IF(INPUT!O3566="","",INPUT!O3566)</f>
        <v/>
      </c>
      <c r="F3571" t="str">
        <f>IF(INPUT!N3566="","",INPUT!N3566)</f>
        <v/>
      </c>
      <c r="G3571" cm="1">
        <f t="array" ref="G3571">IFERROR(VLOOKUP(INPUT!M3566&amp;INPUT!N3566,CHOOSE({1,2},INPUT!$A$3:$A$5000&amp;INPUT!$C$3:$C$5000,INPUT!$F$3:$F$5000),2,FALSE),"")</f>
        <v>0</v>
      </c>
      <c r="H3571" cm="1">
        <f t="array" ref="H3571">IFERROR(VLOOKUP(INPUT!M3566&amp;INPUT!N3566,CHOOSE({1,2},INPUT!$A$3:$A$5000&amp;INPUT!$C$3:$C$5000,INPUT!$D$3:$D$5000),2,FALSE),"")</f>
        <v>0</v>
      </c>
      <c r="I3571" s="46" t="str">
        <f>IF(INPUT!P3566="","",INPUT!P3566)</f>
        <v/>
      </c>
      <c r="J3571" s="46" t="str">
        <f>IF(INPUT!Q3566="","",INPUT!Q3566)</f>
        <v/>
      </c>
      <c r="K3571" s="46" t="str">
        <f>IFERROR(IF(OR(INPUT!P3566="",INPUT!Q3566=""),"",INPUT!P3566-INPUT!Q3566),"")</f>
        <v/>
      </c>
      <c r="L3571" s="48" t="str">
        <f>IFERROR(IF(OR(INPUT!P3566="",INPUT!Q3566="",INPUT!P3566=0),"",(INPUT!P3566-INPUT!Q3566)/INPUT!P3566),"")</f>
        <v/>
      </c>
    </row>
    <row r="3572" spans="1:12" ht="18" hidden="1" customHeight="1" x14ac:dyDescent="0.2">
      <c r="A3572" s="11" t="str">
        <f>IF(INPUT!M3567="","",INPUT!M3567)</f>
        <v/>
      </c>
      <c r="B3572" s="11" t="str">
        <f>IF(INPUT!M3567="","",INPUT!M3567-WEEKDAY(INPUT!M3567,2)+1)</f>
        <v/>
      </c>
      <c r="C3572" s="20">
        <f>IFERROR(_xlfn.ISOWEEKNUM(INPUT!M3567),"")</f>
        <v>52</v>
      </c>
      <c r="D3572" s="20">
        <f>IFERROR(YEAR(INPUT!M3567),"")</f>
        <v>1900</v>
      </c>
      <c r="E3572" t="str">
        <f>IF(INPUT!O3567="","",INPUT!O3567)</f>
        <v/>
      </c>
      <c r="F3572" t="str">
        <f>IF(INPUT!N3567="","",INPUT!N3567)</f>
        <v/>
      </c>
      <c r="G3572" cm="1">
        <f t="array" ref="G3572">IFERROR(VLOOKUP(INPUT!M3567&amp;INPUT!N3567,CHOOSE({1,2},INPUT!$A$3:$A$5000&amp;INPUT!$C$3:$C$5000,INPUT!$F$3:$F$5000),2,FALSE),"")</f>
        <v>0</v>
      </c>
      <c r="H3572" cm="1">
        <f t="array" ref="H3572">IFERROR(VLOOKUP(INPUT!M3567&amp;INPUT!N3567,CHOOSE({1,2},INPUT!$A$3:$A$5000&amp;INPUT!$C$3:$C$5000,INPUT!$D$3:$D$5000),2,FALSE),"")</f>
        <v>0</v>
      </c>
      <c r="I3572" s="46" t="str">
        <f>IF(INPUT!P3567="","",INPUT!P3567)</f>
        <v/>
      </c>
      <c r="J3572" s="46" t="str">
        <f>IF(INPUT!Q3567="","",INPUT!Q3567)</f>
        <v/>
      </c>
      <c r="K3572" s="46" t="str">
        <f>IFERROR(IF(OR(INPUT!P3567="",INPUT!Q3567=""),"",INPUT!P3567-INPUT!Q3567),"")</f>
        <v/>
      </c>
      <c r="L3572" s="48" t="str">
        <f>IFERROR(IF(OR(INPUT!P3567="",INPUT!Q3567="",INPUT!P3567=0),"",(INPUT!P3567-INPUT!Q3567)/INPUT!P3567),"")</f>
        <v/>
      </c>
    </row>
    <row r="3573" spans="1:12" ht="18" hidden="1" customHeight="1" x14ac:dyDescent="0.2">
      <c r="A3573" s="11" t="str">
        <f>IF(INPUT!M3568="","",INPUT!M3568)</f>
        <v/>
      </c>
      <c r="B3573" s="11" t="str">
        <f>IF(INPUT!M3568="","",INPUT!M3568-WEEKDAY(INPUT!M3568,2)+1)</f>
        <v/>
      </c>
      <c r="C3573" s="20">
        <f>IFERROR(_xlfn.ISOWEEKNUM(INPUT!M3568),"")</f>
        <v>52</v>
      </c>
      <c r="D3573" s="20">
        <f>IFERROR(YEAR(INPUT!M3568),"")</f>
        <v>1900</v>
      </c>
      <c r="E3573" t="str">
        <f>IF(INPUT!O3568="","",INPUT!O3568)</f>
        <v/>
      </c>
      <c r="F3573" t="str">
        <f>IF(INPUT!N3568="","",INPUT!N3568)</f>
        <v/>
      </c>
      <c r="G3573" cm="1">
        <f t="array" ref="G3573">IFERROR(VLOOKUP(INPUT!M3568&amp;INPUT!N3568,CHOOSE({1,2},INPUT!$A$3:$A$5000&amp;INPUT!$C$3:$C$5000,INPUT!$F$3:$F$5000),2,FALSE),"")</f>
        <v>0</v>
      </c>
      <c r="H3573" cm="1">
        <f t="array" ref="H3573">IFERROR(VLOOKUP(INPUT!M3568&amp;INPUT!N3568,CHOOSE({1,2},INPUT!$A$3:$A$5000&amp;INPUT!$C$3:$C$5000,INPUT!$D$3:$D$5000),2,FALSE),"")</f>
        <v>0</v>
      </c>
      <c r="I3573" s="46" t="str">
        <f>IF(INPUT!P3568="","",INPUT!P3568)</f>
        <v/>
      </c>
      <c r="J3573" s="46" t="str">
        <f>IF(INPUT!Q3568="","",INPUT!Q3568)</f>
        <v/>
      </c>
      <c r="K3573" s="46" t="str">
        <f>IFERROR(IF(OR(INPUT!P3568="",INPUT!Q3568=""),"",INPUT!P3568-INPUT!Q3568),"")</f>
        <v/>
      </c>
      <c r="L3573" s="48" t="str">
        <f>IFERROR(IF(OR(INPUT!P3568="",INPUT!Q3568="",INPUT!P3568=0),"",(INPUT!P3568-INPUT!Q3568)/INPUT!P3568),"")</f>
        <v/>
      </c>
    </row>
    <row r="3574" spans="1:12" ht="18" hidden="1" customHeight="1" x14ac:dyDescent="0.2">
      <c r="A3574" s="11" t="str">
        <f>IF(INPUT!M3569="","",INPUT!M3569)</f>
        <v/>
      </c>
      <c r="B3574" s="11" t="str">
        <f>IF(INPUT!M3569="","",INPUT!M3569-WEEKDAY(INPUT!M3569,2)+1)</f>
        <v/>
      </c>
      <c r="C3574" s="20">
        <f>IFERROR(_xlfn.ISOWEEKNUM(INPUT!M3569),"")</f>
        <v>52</v>
      </c>
      <c r="D3574" s="20">
        <f>IFERROR(YEAR(INPUT!M3569),"")</f>
        <v>1900</v>
      </c>
      <c r="E3574" t="str">
        <f>IF(INPUT!O3569="","",INPUT!O3569)</f>
        <v/>
      </c>
      <c r="F3574" t="str">
        <f>IF(INPUT!N3569="","",INPUT!N3569)</f>
        <v/>
      </c>
      <c r="G3574" cm="1">
        <f t="array" ref="G3574">IFERROR(VLOOKUP(INPUT!M3569&amp;INPUT!N3569,CHOOSE({1,2},INPUT!$A$3:$A$5000&amp;INPUT!$C$3:$C$5000,INPUT!$F$3:$F$5000),2,FALSE),"")</f>
        <v>0</v>
      </c>
      <c r="H3574" cm="1">
        <f t="array" ref="H3574">IFERROR(VLOOKUP(INPUT!M3569&amp;INPUT!N3569,CHOOSE({1,2},INPUT!$A$3:$A$5000&amp;INPUT!$C$3:$C$5000,INPUT!$D$3:$D$5000),2,FALSE),"")</f>
        <v>0</v>
      </c>
      <c r="I3574" s="46" t="str">
        <f>IF(INPUT!P3569="","",INPUT!P3569)</f>
        <v/>
      </c>
      <c r="J3574" s="46" t="str">
        <f>IF(INPUT!Q3569="","",INPUT!Q3569)</f>
        <v/>
      </c>
      <c r="K3574" s="46" t="str">
        <f>IFERROR(IF(OR(INPUT!P3569="",INPUT!Q3569=""),"",INPUT!P3569-INPUT!Q3569),"")</f>
        <v/>
      </c>
      <c r="L3574" s="48" t="str">
        <f>IFERROR(IF(OR(INPUT!P3569="",INPUT!Q3569="",INPUT!P3569=0),"",(INPUT!P3569-INPUT!Q3569)/INPUT!P3569),"")</f>
        <v/>
      </c>
    </row>
    <row r="3575" spans="1:12" ht="18" hidden="1" customHeight="1" x14ac:dyDescent="0.2">
      <c r="A3575" s="11" t="str">
        <f>IF(INPUT!M3570="","",INPUT!M3570)</f>
        <v/>
      </c>
      <c r="B3575" s="11" t="str">
        <f>IF(INPUT!M3570="","",INPUT!M3570-WEEKDAY(INPUT!M3570,2)+1)</f>
        <v/>
      </c>
      <c r="C3575" s="20">
        <f>IFERROR(_xlfn.ISOWEEKNUM(INPUT!M3570),"")</f>
        <v>52</v>
      </c>
      <c r="D3575" s="20">
        <f>IFERROR(YEAR(INPUT!M3570),"")</f>
        <v>1900</v>
      </c>
      <c r="E3575" t="str">
        <f>IF(INPUT!O3570="","",INPUT!O3570)</f>
        <v/>
      </c>
      <c r="F3575" t="str">
        <f>IF(INPUT!N3570="","",INPUT!N3570)</f>
        <v/>
      </c>
      <c r="G3575" cm="1">
        <f t="array" ref="G3575">IFERROR(VLOOKUP(INPUT!M3570&amp;INPUT!N3570,CHOOSE({1,2},INPUT!$A$3:$A$5000&amp;INPUT!$C$3:$C$5000,INPUT!$F$3:$F$5000),2,FALSE),"")</f>
        <v>0</v>
      </c>
      <c r="H3575" cm="1">
        <f t="array" ref="H3575">IFERROR(VLOOKUP(INPUT!M3570&amp;INPUT!N3570,CHOOSE({1,2},INPUT!$A$3:$A$5000&amp;INPUT!$C$3:$C$5000,INPUT!$D$3:$D$5000),2,FALSE),"")</f>
        <v>0</v>
      </c>
      <c r="I3575" s="46" t="str">
        <f>IF(INPUT!P3570="","",INPUT!P3570)</f>
        <v/>
      </c>
      <c r="J3575" s="46" t="str">
        <f>IF(INPUT!Q3570="","",INPUT!Q3570)</f>
        <v/>
      </c>
      <c r="K3575" s="46" t="str">
        <f>IFERROR(IF(OR(INPUT!P3570="",INPUT!Q3570=""),"",INPUT!P3570-INPUT!Q3570),"")</f>
        <v/>
      </c>
      <c r="L3575" s="48" t="str">
        <f>IFERROR(IF(OR(INPUT!P3570="",INPUT!Q3570="",INPUT!P3570=0),"",(INPUT!P3570-INPUT!Q3570)/INPUT!P3570),"")</f>
        <v/>
      </c>
    </row>
    <row r="3576" spans="1:12" ht="18" hidden="1" customHeight="1" x14ac:dyDescent="0.2">
      <c r="A3576" s="11" t="str">
        <f>IF(INPUT!M3571="","",INPUT!M3571)</f>
        <v/>
      </c>
      <c r="B3576" s="11" t="str">
        <f>IF(INPUT!M3571="","",INPUT!M3571-WEEKDAY(INPUT!M3571,2)+1)</f>
        <v/>
      </c>
      <c r="C3576" s="20">
        <f>IFERROR(_xlfn.ISOWEEKNUM(INPUT!M3571),"")</f>
        <v>52</v>
      </c>
      <c r="D3576" s="20">
        <f>IFERROR(YEAR(INPUT!M3571),"")</f>
        <v>1900</v>
      </c>
      <c r="E3576" t="str">
        <f>IF(INPUT!O3571="","",INPUT!O3571)</f>
        <v/>
      </c>
      <c r="F3576" t="str">
        <f>IF(INPUT!N3571="","",INPUT!N3571)</f>
        <v/>
      </c>
      <c r="G3576" cm="1">
        <f t="array" ref="G3576">IFERROR(VLOOKUP(INPUT!M3571&amp;INPUT!N3571,CHOOSE({1,2},INPUT!$A$3:$A$5000&amp;INPUT!$C$3:$C$5000,INPUT!$F$3:$F$5000),2,FALSE),"")</f>
        <v>0</v>
      </c>
      <c r="H3576" cm="1">
        <f t="array" ref="H3576">IFERROR(VLOOKUP(INPUT!M3571&amp;INPUT!N3571,CHOOSE({1,2},INPUT!$A$3:$A$5000&amp;INPUT!$C$3:$C$5000,INPUT!$D$3:$D$5000),2,FALSE),"")</f>
        <v>0</v>
      </c>
      <c r="I3576" s="46" t="str">
        <f>IF(INPUT!P3571="","",INPUT!P3571)</f>
        <v/>
      </c>
      <c r="J3576" s="46" t="str">
        <f>IF(INPUT!Q3571="","",INPUT!Q3571)</f>
        <v/>
      </c>
      <c r="K3576" s="46" t="str">
        <f>IFERROR(IF(OR(INPUT!P3571="",INPUT!Q3571=""),"",INPUT!P3571-INPUT!Q3571),"")</f>
        <v/>
      </c>
      <c r="L3576" s="48" t="str">
        <f>IFERROR(IF(OR(INPUT!P3571="",INPUT!Q3571="",INPUT!P3571=0),"",(INPUT!P3571-INPUT!Q3571)/INPUT!P3571),"")</f>
        <v/>
      </c>
    </row>
    <row r="3577" spans="1:12" ht="18" hidden="1" customHeight="1" x14ac:dyDescent="0.2">
      <c r="A3577" s="11" t="str">
        <f>IF(INPUT!M3572="","",INPUT!M3572)</f>
        <v/>
      </c>
      <c r="B3577" s="11" t="str">
        <f>IF(INPUT!M3572="","",INPUT!M3572-WEEKDAY(INPUT!M3572,2)+1)</f>
        <v/>
      </c>
      <c r="C3577" s="20">
        <f>IFERROR(_xlfn.ISOWEEKNUM(INPUT!M3572),"")</f>
        <v>52</v>
      </c>
      <c r="D3577" s="20">
        <f>IFERROR(YEAR(INPUT!M3572),"")</f>
        <v>1900</v>
      </c>
      <c r="E3577" t="str">
        <f>IF(INPUT!O3572="","",INPUT!O3572)</f>
        <v/>
      </c>
      <c r="F3577" t="str">
        <f>IF(INPUT!N3572="","",INPUT!N3572)</f>
        <v/>
      </c>
      <c r="G3577" cm="1">
        <f t="array" ref="G3577">IFERROR(VLOOKUP(INPUT!M3572&amp;INPUT!N3572,CHOOSE({1,2},INPUT!$A$3:$A$5000&amp;INPUT!$C$3:$C$5000,INPUT!$F$3:$F$5000),2,FALSE),"")</f>
        <v>0</v>
      </c>
      <c r="H3577" cm="1">
        <f t="array" ref="H3577">IFERROR(VLOOKUP(INPUT!M3572&amp;INPUT!N3572,CHOOSE({1,2},INPUT!$A$3:$A$5000&amp;INPUT!$C$3:$C$5000,INPUT!$D$3:$D$5000),2,FALSE),"")</f>
        <v>0</v>
      </c>
      <c r="I3577" s="46" t="str">
        <f>IF(INPUT!P3572="","",INPUT!P3572)</f>
        <v/>
      </c>
      <c r="J3577" s="46" t="str">
        <f>IF(INPUT!Q3572="","",INPUT!Q3572)</f>
        <v/>
      </c>
      <c r="K3577" s="46" t="str">
        <f>IFERROR(IF(OR(INPUT!P3572="",INPUT!Q3572=""),"",INPUT!P3572-INPUT!Q3572),"")</f>
        <v/>
      </c>
      <c r="L3577" s="48" t="str">
        <f>IFERROR(IF(OR(INPUT!P3572="",INPUT!Q3572="",INPUT!P3572=0),"",(INPUT!P3572-INPUT!Q3572)/INPUT!P3572),"")</f>
        <v/>
      </c>
    </row>
    <row r="3578" spans="1:12" ht="18" hidden="1" customHeight="1" x14ac:dyDescent="0.2">
      <c r="A3578" s="11" t="str">
        <f>IF(INPUT!M3573="","",INPUT!M3573)</f>
        <v/>
      </c>
      <c r="B3578" s="11" t="str">
        <f>IF(INPUT!M3573="","",INPUT!M3573-WEEKDAY(INPUT!M3573,2)+1)</f>
        <v/>
      </c>
      <c r="C3578" s="20">
        <f>IFERROR(_xlfn.ISOWEEKNUM(INPUT!M3573),"")</f>
        <v>52</v>
      </c>
      <c r="D3578" s="20">
        <f>IFERROR(YEAR(INPUT!M3573),"")</f>
        <v>1900</v>
      </c>
      <c r="E3578" t="str">
        <f>IF(INPUT!O3573="","",INPUT!O3573)</f>
        <v/>
      </c>
      <c r="F3578" t="str">
        <f>IF(INPUT!N3573="","",INPUT!N3573)</f>
        <v/>
      </c>
      <c r="G3578" cm="1">
        <f t="array" ref="G3578">IFERROR(VLOOKUP(INPUT!M3573&amp;INPUT!N3573,CHOOSE({1,2},INPUT!$A$3:$A$5000&amp;INPUT!$C$3:$C$5000,INPUT!$F$3:$F$5000),2,FALSE),"")</f>
        <v>0</v>
      </c>
      <c r="H3578" cm="1">
        <f t="array" ref="H3578">IFERROR(VLOOKUP(INPUT!M3573&amp;INPUT!N3573,CHOOSE({1,2},INPUT!$A$3:$A$5000&amp;INPUT!$C$3:$C$5000,INPUT!$D$3:$D$5000),2,FALSE),"")</f>
        <v>0</v>
      </c>
      <c r="I3578" s="46" t="str">
        <f>IF(INPUT!P3573="","",INPUT!P3573)</f>
        <v/>
      </c>
      <c r="J3578" s="46" t="str">
        <f>IF(INPUT!Q3573="","",INPUT!Q3573)</f>
        <v/>
      </c>
      <c r="K3578" s="46" t="str">
        <f>IFERROR(IF(OR(INPUT!P3573="",INPUT!Q3573=""),"",INPUT!P3573-INPUT!Q3573),"")</f>
        <v/>
      </c>
      <c r="L3578" s="48" t="str">
        <f>IFERROR(IF(OR(INPUT!P3573="",INPUT!Q3573="",INPUT!P3573=0),"",(INPUT!P3573-INPUT!Q3573)/INPUT!P3573),"")</f>
        <v/>
      </c>
    </row>
    <row r="3579" spans="1:12" ht="18" hidden="1" customHeight="1" x14ac:dyDescent="0.2">
      <c r="A3579" s="11" t="str">
        <f>IF(INPUT!M3574="","",INPUT!M3574)</f>
        <v/>
      </c>
      <c r="B3579" s="11" t="str">
        <f>IF(INPUT!M3574="","",INPUT!M3574-WEEKDAY(INPUT!M3574,2)+1)</f>
        <v/>
      </c>
      <c r="C3579" s="20">
        <f>IFERROR(_xlfn.ISOWEEKNUM(INPUT!M3574),"")</f>
        <v>52</v>
      </c>
      <c r="D3579" s="20">
        <f>IFERROR(YEAR(INPUT!M3574),"")</f>
        <v>1900</v>
      </c>
      <c r="E3579" t="str">
        <f>IF(INPUT!O3574="","",INPUT!O3574)</f>
        <v/>
      </c>
      <c r="F3579" t="str">
        <f>IF(INPUT!N3574="","",INPUT!N3574)</f>
        <v/>
      </c>
      <c r="G3579" cm="1">
        <f t="array" ref="G3579">IFERROR(VLOOKUP(INPUT!M3574&amp;INPUT!N3574,CHOOSE({1,2},INPUT!$A$3:$A$5000&amp;INPUT!$C$3:$C$5000,INPUT!$F$3:$F$5000),2,FALSE),"")</f>
        <v>0</v>
      </c>
      <c r="H3579" cm="1">
        <f t="array" ref="H3579">IFERROR(VLOOKUP(INPUT!M3574&amp;INPUT!N3574,CHOOSE({1,2},INPUT!$A$3:$A$5000&amp;INPUT!$C$3:$C$5000,INPUT!$D$3:$D$5000),2,FALSE),"")</f>
        <v>0</v>
      </c>
      <c r="I3579" s="46" t="str">
        <f>IF(INPUT!P3574="","",INPUT!P3574)</f>
        <v/>
      </c>
      <c r="J3579" s="46" t="str">
        <f>IF(INPUT!Q3574="","",INPUT!Q3574)</f>
        <v/>
      </c>
      <c r="K3579" s="46" t="str">
        <f>IFERROR(IF(OR(INPUT!P3574="",INPUT!Q3574=""),"",INPUT!P3574-INPUT!Q3574),"")</f>
        <v/>
      </c>
      <c r="L3579" s="48" t="str">
        <f>IFERROR(IF(OR(INPUT!P3574="",INPUT!Q3574="",INPUT!P3574=0),"",(INPUT!P3574-INPUT!Q3574)/INPUT!P3574),"")</f>
        <v/>
      </c>
    </row>
    <row r="3580" spans="1:12" ht="18" hidden="1" customHeight="1" x14ac:dyDescent="0.2">
      <c r="A3580" s="11" t="str">
        <f>IF(INPUT!M3575="","",INPUT!M3575)</f>
        <v/>
      </c>
      <c r="B3580" s="11" t="str">
        <f>IF(INPUT!M3575="","",INPUT!M3575-WEEKDAY(INPUT!M3575,2)+1)</f>
        <v/>
      </c>
      <c r="C3580" s="20">
        <f>IFERROR(_xlfn.ISOWEEKNUM(INPUT!M3575),"")</f>
        <v>52</v>
      </c>
      <c r="D3580" s="20">
        <f>IFERROR(YEAR(INPUT!M3575),"")</f>
        <v>1900</v>
      </c>
      <c r="E3580" t="str">
        <f>IF(INPUT!O3575="","",INPUT!O3575)</f>
        <v/>
      </c>
      <c r="F3580" t="str">
        <f>IF(INPUT!N3575="","",INPUT!N3575)</f>
        <v/>
      </c>
      <c r="G3580" cm="1">
        <f t="array" ref="G3580">IFERROR(VLOOKUP(INPUT!M3575&amp;INPUT!N3575,CHOOSE({1,2},INPUT!$A$3:$A$5000&amp;INPUT!$C$3:$C$5000,INPUT!$F$3:$F$5000),2,FALSE),"")</f>
        <v>0</v>
      </c>
      <c r="H3580" cm="1">
        <f t="array" ref="H3580">IFERROR(VLOOKUP(INPUT!M3575&amp;INPUT!N3575,CHOOSE({1,2},INPUT!$A$3:$A$5000&amp;INPUT!$C$3:$C$5000,INPUT!$D$3:$D$5000),2,FALSE),"")</f>
        <v>0</v>
      </c>
      <c r="I3580" s="46" t="str">
        <f>IF(INPUT!P3575="","",INPUT!P3575)</f>
        <v/>
      </c>
      <c r="J3580" s="46" t="str">
        <f>IF(INPUT!Q3575="","",INPUT!Q3575)</f>
        <v/>
      </c>
      <c r="K3580" s="46" t="str">
        <f>IFERROR(IF(OR(INPUT!P3575="",INPUT!Q3575=""),"",INPUT!P3575-INPUT!Q3575),"")</f>
        <v/>
      </c>
      <c r="L3580" s="48" t="str">
        <f>IFERROR(IF(OR(INPUT!P3575="",INPUT!Q3575="",INPUT!P3575=0),"",(INPUT!P3575-INPUT!Q3575)/INPUT!P3575),"")</f>
        <v/>
      </c>
    </row>
    <row r="3581" spans="1:12" ht="18" hidden="1" customHeight="1" x14ac:dyDescent="0.2">
      <c r="A3581" s="11" t="str">
        <f>IF(INPUT!M3576="","",INPUT!M3576)</f>
        <v/>
      </c>
      <c r="B3581" s="11" t="str">
        <f>IF(INPUT!M3576="","",INPUT!M3576-WEEKDAY(INPUT!M3576,2)+1)</f>
        <v/>
      </c>
      <c r="C3581" s="20">
        <f>IFERROR(_xlfn.ISOWEEKNUM(INPUT!M3576),"")</f>
        <v>52</v>
      </c>
      <c r="D3581" s="20">
        <f>IFERROR(YEAR(INPUT!M3576),"")</f>
        <v>1900</v>
      </c>
      <c r="E3581" t="str">
        <f>IF(INPUT!O3576="","",INPUT!O3576)</f>
        <v/>
      </c>
      <c r="F3581" t="str">
        <f>IF(INPUT!N3576="","",INPUT!N3576)</f>
        <v/>
      </c>
      <c r="G3581" cm="1">
        <f t="array" ref="G3581">IFERROR(VLOOKUP(INPUT!M3576&amp;INPUT!N3576,CHOOSE({1,2},INPUT!$A$3:$A$5000&amp;INPUT!$C$3:$C$5000,INPUT!$F$3:$F$5000),2,FALSE),"")</f>
        <v>0</v>
      </c>
      <c r="H3581" cm="1">
        <f t="array" ref="H3581">IFERROR(VLOOKUP(INPUT!M3576&amp;INPUT!N3576,CHOOSE({1,2},INPUT!$A$3:$A$5000&amp;INPUT!$C$3:$C$5000,INPUT!$D$3:$D$5000),2,FALSE),"")</f>
        <v>0</v>
      </c>
      <c r="I3581" s="46" t="str">
        <f>IF(INPUT!P3576="","",INPUT!P3576)</f>
        <v/>
      </c>
      <c r="J3581" s="46" t="str">
        <f>IF(INPUT!Q3576="","",INPUT!Q3576)</f>
        <v/>
      </c>
      <c r="K3581" s="46" t="str">
        <f>IFERROR(IF(OR(INPUT!P3576="",INPUT!Q3576=""),"",INPUT!P3576-INPUT!Q3576),"")</f>
        <v/>
      </c>
      <c r="L3581" s="48" t="str">
        <f>IFERROR(IF(OR(INPUT!P3576="",INPUT!Q3576="",INPUT!P3576=0),"",(INPUT!P3576-INPUT!Q3576)/INPUT!P3576),"")</f>
        <v/>
      </c>
    </row>
    <row r="3582" spans="1:12" ht="18" hidden="1" customHeight="1" x14ac:dyDescent="0.2">
      <c r="A3582" s="11" t="str">
        <f>IF(INPUT!M3577="","",INPUT!M3577)</f>
        <v/>
      </c>
      <c r="B3582" s="11" t="str">
        <f>IF(INPUT!M3577="","",INPUT!M3577-WEEKDAY(INPUT!M3577,2)+1)</f>
        <v/>
      </c>
      <c r="C3582" s="20">
        <f>IFERROR(_xlfn.ISOWEEKNUM(INPUT!M3577),"")</f>
        <v>52</v>
      </c>
      <c r="D3582" s="20">
        <f>IFERROR(YEAR(INPUT!M3577),"")</f>
        <v>1900</v>
      </c>
      <c r="E3582" t="str">
        <f>IF(INPUT!O3577="","",INPUT!O3577)</f>
        <v/>
      </c>
      <c r="F3582" t="str">
        <f>IF(INPUT!N3577="","",INPUT!N3577)</f>
        <v/>
      </c>
      <c r="G3582" cm="1">
        <f t="array" ref="G3582">IFERROR(VLOOKUP(INPUT!M3577&amp;INPUT!N3577,CHOOSE({1,2},INPUT!$A$3:$A$5000&amp;INPUT!$C$3:$C$5000,INPUT!$F$3:$F$5000),2,FALSE),"")</f>
        <v>0</v>
      </c>
      <c r="H3582" cm="1">
        <f t="array" ref="H3582">IFERROR(VLOOKUP(INPUT!M3577&amp;INPUT!N3577,CHOOSE({1,2},INPUT!$A$3:$A$5000&amp;INPUT!$C$3:$C$5000,INPUT!$D$3:$D$5000),2,FALSE),"")</f>
        <v>0</v>
      </c>
      <c r="I3582" s="46" t="str">
        <f>IF(INPUT!P3577="","",INPUT!P3577)</f>
        <v/>
      </c>
      <c r="J3582" s="46" t="str">
        <f>IF(INPUT!Q3577="","",INPUT!Q3577)</f>
        <v/>
      </c>
      <c r="K3582" s="46" t="str">
        <f>IFERROR(IF(OR(INPUT!P3577="",INPUT!Q3577=""),"",INPUT!P3577-INPUT!Q3577),"")</f>
        <v/>
      </c>
      <c r="L3582" s="48" t="str">
        <f>IFERROR(IF(OR(INPUT!P3577="",INPUT!Q3577="",INPUT!P3577=0),"",(INPUT!P3577-INPUT!Q3577)/INPUT!P3577),"")</f>
        <v/>
      </c>
    </row>
    <row r="3583" spans="1:12" ht="18" hidden="1" customHeight="1" x14ac:dyDescent="0.2">
      <c r="A3583" s="11" t="str">
        <f>IF(INPUT!M3578="","",INPUT!M3578)</f>
        <v/>
      </c>
      <c r="B3583" s="11" t="str">
        <f>IF(INPUT!M3578="","",INPUT!M3578-WEEKDAY(INPUT!M3578,2)+1)</f>
        <v/>
      </c>
      <c r="C3583" s="20">
        <f>IFERROR(_xlfn.ISOWEEKNUM(INPUT!M3578),"")</f>
        <v>52</v>
      </c>
      <c r="D3583" s="20">
        <f>IFERROR(YEAR(INPUT!M3578),"")</f>
        <v>1900</v>
      </c>
      <c r="E3583" t="str">
        <f>IF(INPUT!O3578="","",INPUT!O3578)</f>
        <v/>
      </c>
      <c r="F3583" t="str">
        <f>IF(INPUT!N3578="","",INPUT!N3578)</f>
        <v/>
      </c>
      <c r="G3583" cm="1">
        <f t="array" ref="G3583">IFERROR(VLOOKUP(INPUT!M3578&amp;INPUT!N3578,CHOOSE({1,2},INPUT!$A$3:$A$5000&amp;INPUT!$C$3:$C$5000,INPUT!$F$3:$F$5000),2,FALSE),"")</f>
        <v>0</v>
      </c>
      <c r="H3583" cm="1">
        <f t="array" ref="H3583">IFERROR(VLOOKUP(INPUT!M3578&amp;INPUT!N3578,CHOOSE({1,2},INPUT!$A$3:$A$5000&amp;INPUT!$C$3:$C$5000,INPUT!$D$3:$D$5000),2,FALSE),"")</f>
        <v>0</v>
      </c>
      <c r="I3583" s="46" t="str">
        <f>IF(INPUT!P3578="","",INPUT!P3578)</f>
        <v/>
      </c>
      <c r="J3583" s="46" t="str">
        <f>IF(INPUT!Q3578="","",INPUT!Q3578)</f>
        <v/>
      </c>
      <c r="K3583" s="46" t="str">
        <f>IFERROR(IF(OR(INPUT!P3578="",INPUT!Q3578=""),"",INPUT!P3578-INPUT!Q3578),"")</f>
        <v/>
      </c>
      <c r="L3583" s="48" t="str">
        <f>IFERROR(IF(OR(INPUT!P3578="",INPUT!Q3578="",INPUT!P3578=0),"",(INPUT!P3578-INPUT!Q3578)/INPUT!P3578),"")</f>
        <v/>
      </c>
    </row>
    <row r="3584" spans="1:12" ht="18" hidden="1" customHeight="1" x14ac:dyDescent="0.2">
      <c r="A3584" s="11" t="str">
        <f>IF(INPUT!M3579="","",INPUT!M3579)</f>
        <v/>
      </c>
      <c r="B3584" s="11" t="str">
        <f>IF(INPUT!M3579="","",INPUT!M3579-WEEKDAY(INPUT!M3579,2)+1)</f>
        <v/>
      </c>
      <c r="C3584" s="20">
        <f>IFERROR(_xlfn.ISOWEEKNUM(INPUT!M3579),"")</f>
        <v>52</v>
      </c>
      <c r="D3584" s="20">
        <f>IFERROR(YEAR(INPUT!M3579),"")</f>
        <v>1900</v>
      </c>
      <c r="E3584" t="str">
        <f>IF(INPUT!O3579="","",INPUT!O3579)</f>
        <v/>
      </c>
      <c r="F3584" t="str">
        <f>IF(INPUT!N3579="","",INPUT!N3579)</f>
        <v/>
      </c>
      <c r="G3584" cm="1">
        <f t="array" ref="G3584">IFERROR(VLOOKUP(INPUT!M3579&amp;INPUT!N3579,CHOOSE({1,2},INPUT!$A$3:$A$5000&amp;INPUT!$C$3:$C$5000,INPUT!$F$3:$F$5000),2,FALSE),"")</f>
        <v>0</v>
      </c>
      <c r="H3584" cm="1">
        <f t="array" ref="H3584">IFERROR(VLOOKUP(INPUT!M3579&amp;INPUT!N3579,CHOOSE({1,2},INPUT!$A$3:$A$5000&amp;INPUT!$C$3:$C$5000,INPUT!$D$3:$D$5000),2,FALSE),"")</f>
        <v>0</v>
      </c>
      <c r="I3584" s="46" t="str">
        <f>IF(INPUT!P3579="","",INPUT!P3579)</f>
        <v/>
      </c>
      <c r="J3584" s="46" t="str">
        <f>IF(INPUT!Q3579="","",INPUT!Q3579)</f>
        <v/>
      </c>
      <c r="K3584" s="46" t="str">
        <f>IFERROR(IF(OR(INPUT!P3579="",INPUT!Q3579=""),"",INPUT!P3579-INPUT!Q3579),"")</f>
        <v/>
      </c>
      <c r="L3584" s="48" t="str">
        <f>IFERROR(IF(OR(INPUT!P3579="",INPUT!Q3579="",INPUT!P3579=0),"",(INPUT!P3579-INPUT!Q3579)/INPUT!P3579),"")</f>
        <v/>
      </c>
    </row>
    <row r="3585" spans="1:12" ht="18" hidden="1" customHeight="1" x14ac:dyDescent="0.2">
      <c r="A3585" s="11" t="str">
        <f>IF(INPUT!M3580="","",INPUT!M3580)</f>
        <v/>
      </c>
      <c r="B3585" s="11" t="str">
        <f>IF(INPUT!M3580="","",INPUT!M3580-WEEKDAY(INPUT!M3580,2)+1)</f>
        <v/>
      </c>
      <c r="C3585" s="20">
        <f>IFERROR(_xlfn.ISOWEEKNUM(INPUT!M3580),"")</f>
        <v>52</v>
      </c>
      <c r="D3585" s="20">
        <f>IFERROR(YEAR(INPUT!M3580),"")</f>
        <v>1900</v>
      </c>
      <c r="E3585" t="str">
        <f>IF(INPUT!O3580="","",INPUT!O3580)</f>
        <v/>
      </c>
      <c r="F3585" t="str">
        <f>IF(INPUT!N3580="","",INPUT!N3580)</f>
        <v/>
      </c>
      <c r="G3585" cm="1">
        <f t="array" ref="G3585">IFERROR(VLOOKUP(INPUT!M3580&amp;INPUT!N3580,CHOOSE({1,2},INPUT!$A$3:$A$5000&amp;INPUT!$C$3:$C$5000,INPUT!$F$3:$F$5000),2,FALSE),"")</f>
        <v>0</v>
      </c>
      <c r="H3585" cm="1">
        <f t="array" ref="H3585">IFERROR(VLOOKUP(INPUT!M3580&amp;INPUT!N3580,CHOOSE({1,2},INPUT!$A$3:$A$5000&amp;INPUT!$C$3:$C$5000,INPUT!$D$3:$D$5000),2,FALSE),"")</f>
        <v>0</v>
      </c>
      <c r="I3585" s="46" t="str">
        <f>IF(INPUT!P3580="","",INPUT!P3580)</f>
        <v/>
      </c>
      <c r="J3585" s="46" t="str">
        <f>IF(INPUT!Q3580="","",INPUT!Q3580)</f>
        <v/>
      </c>
      <c r="K3585" s="46" t="str">
        <f>IFERROR(IF(OR(INPUT!P3580="",INPUT!Q3580=""),"",INPUT!P3580-INPUT!Q3580),"")</f>
        <v/>
      </c>
      <c r="L3585" s="48" t="str">
        <f>IFERROR(IF(OR(INPUT!P3580="",INPUT!Q3580="",INPUT!P3580=0),"",(INPUT!P3580-INPUT!Q3580)/INPUT!P3580),"")</f>
        <v/>
      </c>
    </row>
    <row r="3586" spans="1:12" ht="18" hidden="1" customHeight="1" x14ac:dyDescent="0.2">
      <c r="A3586" s="11" t="str">
        <f>IF(INPUT!M3581="","",INPUT!M3581)</f>
        <v/>
      </c>
      <c r="B3586" s="11" t="str">
        <f>IF(INPUT!M3581="","",INPUT!M3581-WEEKDAY(INPUT!M3581,2)+1)</f>
        <v/>
      </c>
      <c r="C3586" s="20">
        <f>IFERROR(_xlfn.ISOWEEKNUM(INPUT!M3581),"")</f>
        <v>52</v>
      </c>
      <c r="D3586" s="20">
        <f>IFERROR(YEAR(INPUT!M3581),"")</f>
        <v>1900</v>
      </c>
      <c r="E3586" t="str">
        <f>IF(INPUT!O3581="","",INPUT!O3581)</f>
        <v/>
      </c>
      <c r="F3586" t="str">
        <f>IF(INPUT!N3581="","",INPUT!N3581)</f>
        <v/>
      </c>
      <c r="G3586" cm="1">
        <f t="array" ref="G3586">IFERROR(VLOOKUP(INPUT!M3581&amp;INPUT!N3581,CHOOSE({1,2},INPUT!$A$3:$A$5000&amp;INPUT!$C$3:$C$5000,INPUT!$F$3:$F$5000),2,FALSE),"")</f>
        <v>0</v>
      </c>
      <c r="H3586" cm="1">
        <f t="array" ref="H3586">IFERROR(VLOOKUP(INPUT!M3581&amp;INPUT!N3581,CHOOSE({1,2},INPUT!$A$3:$A$5000&amp;INPUT!$C$3:$C$5000,INPUT!$D$3:$D$5000),2,FALSE),"")</f>
        <v>0</v>
      </c>
      <c r="I3586" s="46" t="str">
        <f>IF(INPUT!P3581="","",INPUT!P3581)</f>
        <v/>
      </c>
      <c r="J3586" s="46" t="str">
        <f>IF(INPUT!Q3581="","",INPUT!Q3581)</f>
        <v/>
      </c>
      <c r="K3586" s="46" t="str">
        <f>IFERROR(IF(OR(INPUT!P3581="",INPUT!Q3581=""),"",INPUT!P3581-INPUT!Q3581),"")</f>
        <v/>
      </c>
      <c r="L3586" s="48" t="str">
        <f>IFERROR(IF(OR(INPUT!P3581="",INPUT!Q3581="",INPUT!P3581=0),"",(INPUT!P3581-INPUT!Q3581)/INPUT!P3581),"")</f>
        <v/>
      </c>
    </row>
    <row r="3587" spans="1:12" ht="18" hidden="1" customHeight="1" x14ac:dyDescent="0.2">
      <c r="A3587" s="11" t="str">
        <f>IF(INPUT!M3582="","",INPUT!M3582)</f>
        <v/>
      </c>
      <c r="B3587" s="11" t="str">
        <f>IF(INPUT!M3582="","",INPUT!M3582-WEEKDAY(INPUT!M3582,2)+1)</f>
        <v/>
      </c>
      <c r="C3587" s="20">
        <f>IFERROR(_xlfn.ISOWEEKNUM(INPUT!M3582),"")</f>
        <v>52</v>
      </c>
      <c r="D3587" s="20">
        <f>IFERROR(YEAR(INPUT!M3582),"")</f>
        <v>1900</v>
      </c>
      <c r="E3587" t="str">
        <f>IF(INPUT!O3582="","",INPUT!O3582)</f>
        <v/>
      </c>
      <c r="F3587" t="str">
        <f>IF(INPUT!N3582="","",INPUT!N3582)</f>
        <v/>
      </c>
      <c r="G3587" cm="1">
        <f t="array" ref="G3587">IFERROR(VLOOKUP(INPUT!M3582&amp;INPUT!N3582,CHOOSE({1,2},INPUT!$A$3:$A$5000&amp;INPUT!$C$3:$C$5000,INPUT!$F$3:$F$5000),2,FALSE),"")</f>
        <v>0</v>
      </c>
      <c r="H3587" cm="1">
        <f t="array" ref="H3587">IFERROR(VLOOKUP(INPUT!M3582&amp;INPUT!N3582,CHOOSE({1,2},INPUT!$A$3:$A$5000&amp;INPUT!$C$3:$C$5000,INPUT!$D$3:$D$5000),2,FALSE),"")</f>
        <v>0</v>
      </c>
      <c r="I3587" s="46" t="str">
        <f>IF(INPUT!P3582="","",INPUT!P3582)</f>
        <v/>
      </c>
      <c r="J3587" s="46" t="str">
        <f>IF(INPUT!Q3582="","",INPUT!Q3582)</f>
        <v/>
      </c>
      <c r="K3587" s="46" t="str">
        <f>IFERROR(IF(OR(INPUT!P3582="",INPUT!Q3582=""),"",INPUT!P3582-INPUT!Q3582),"")</f>
        <v/>
      </c>
      <c r="L3587" s="48" t="str">
        <f>IFERROR(IF(OR(INPUT!P3582="",INPUT!Q3582="",INPUT!P3582=0),"",(INPUT!P3582-INPUT!Q3582)/INPUT!P3582),"")</f>
        <v/>
      </c>
    </row>
    <row r="3588" spans="1:12" ht="18" hidden="1" customHeight="1" x14ac:dyDescent="0.2">
      <c r="A3588" s="11" t="str">
        <f>IF(INPUT!M3583="","",INPUT!M3583)</f>
        <v/>
      </c>
      <c r="B3588" s="11" t="str">
        <f>IF(INPUT!M3583="","",INPUT!M3583-WEEKDAY(INPUT!M3583,2)+1)</f>
        <v/>
      </c>
      <c r="C3588" s="20">
        <f>IFERROR(_xlfn.ISOWEEKNUM(INPUT!M3583),"")</f>
        <v>52</v>
      </c>
      <c r="D3588" s="20">
        <f>IFERROR(YEAR(INPUT!M3583),"")</f>
        <v>1900</v>
      </c>
      <c r="E3588" t="str">
        <f>IF(INPUT!O3583="","",INPUT!O3583)</f>
        <v/>
      </c>
      <c r="F3588" t="str">
        <f>IF(INPUT!N3583="","",INPUT!N3583)</f>
        <v/>
      </c>
      <c r="G3588" cm="1">
        <f t="array" ref="G3588">IFERROR(VLOOKUP(INPUT!M3583&amp;INPUT!N3583,CHOOSE({1,2},INPUT!$A$3:$A$5000&amp;INPUT!$C$3:$C$5000,INPUT!$F$3:$F$5000),2,FALSE),"")</f>
        <v>0</v>
      </c>
      <c r="H3588" cm="1">
        <f t="array" ref="H3588">IFERROR(VLOOKUP(INPUT!M3583&amp;INPUT!N3583,CHOOSE({1,2},INPUT!$A$3:$A$5000&amp;INPUT!$C$3:$C$5000,INPUT!$D$3:$D$5000),2,FALSE),"")</f>
        <v>0</v>
      </c>
      <c r="I3588" s="46" t="str">
        <f>IF(INPUT!P3583="","",INPUT!P3583)</f>
        <v/>
      </c>
      <c r="J3588" s="46" t="str">
        <f>IF(INPUT!Q3583="","",INPUT!Q3583)</f>
        <v/>
      </c>
      <c r="K3588" s="46" t="str">
        <f>IFERROR(IF(OR(INPUT!P3583="",INPUT!Q3583=""),"",INPUT!P3583-INPUT!Q3583),"")</f>
        <v/>
      </c>
      <c r="L3588" s="48" t="str">
        <f>IFERROR(IF(OR(INPUT!P3583="",INPUT!Q3583="",INPUT!P3583=0),"",(INPUT!P3583-INPUT!Q3583)/INPUT!P3583),"")</f>
        <v/>
      </c>
    </row>
    <row r="3589" spans="1:12" ht="18" hidden="1" customHeight="1" x14ac:dyDescent="0.2">
      <c r="A3589" s="11" t="str">
        <f>IF(INPUT!M3584="","",INPUT!M3584)</f>
        <v/>
      </c>
      <c r="B3589" s="11" t="str">
        <f>IF(INPUT!M3584="","",INPUT!M3584-WEEKDAY(INPUT!M3584,2)+1)</f>
        <v/>
      </c>
      <c r="C3589" s="20">
        <f>IFERROR(_xlfn.ISOWEEKNUM(INPUT!M3584),"")</f>
        <v>52</v>
      </c>
      <c r="D3589" s="20">
        <f>IFERROR(YEAR(INPUT!M3584),"")</f>
        <v>1900</v>
      </c>
      <c r="E3589" t="str">
        <f>IF(INPUT!O3584="","",INPUT!O3584)</f>
        <v/>
      </c>
      <c r="F3589" t="str">
        <f>IF(INPUT!N3584="","",INPUT!N3584)</f>
        <v/>
      </c>
      <c r="G3589" cm="1">
        <f t="array" ref="G3589">IFERROR(VLOOKUP(INPUT!M3584&amp;INPUT!N3584,CHOOSE({1,2},INPUT!$A$3:$A$5000&amp;INPUT!$C$3:$C$5000,INPUT!$F$3:$F$5000),2,FALSE),"")</f>
        <v>0</v>
      </c>
      <c r="H3589" cm="1">
        <f t="array" ref="H3589">IFERROR(VLOOKUP(INPUT!M3584&amp;INPUT!N3584,CHOOSE({1,2},INPUT!$A$3:$A$5000&amp;INPUT!$C$3:$C$5000,INPUT!$D$3:$D$5000),2,FALSE),"")</f>
        <v>0</v>
      </c>
      <c r="I3589" s="46" t="str">
        <f>IF(INPUT!P3584="","",INPUT!P3584)</f>
        <v/>
      </c>
      <c r="J3589" s="46" t="str">
        <f>IF(INPUT!Q3584="","",INPUT!Q3584)</f>
        <v/>
      </c>
      <c r="K3589" s="46" t="str">
        <f>IFERROR(IF(OR(INPUT!P3584="",INPUT!Q3584=""),"",INPUT!P3584-INPUT!Q3584),"")</f>
        <v/>
      </c>
      <c r="L3589" s="48" t="str">
        <f>IFERROR(IF(OR(INPUT!P3584="",INPUT!Q3584="",INPUT!P3584=0),"",(INPUT!P3584-INPUT!Q3584)/INPUT!P3584),"")</f>
        <v/>
      </c>
    </row>
    <row r="3590" spans="1:12" ht="18" hidden="1" customHeight="1" x14ac:dyDescent="0.2">
      <c r="A3590" s="11" t="str">
        <f>IF(INPUT!M3585="","",INPUT!M3585)</f>
        <v/>
      </c>
      <c r="B3590" s="11" t="str">
        <f>IF(INPUT!M3585="","",INPUT!M3585-WEEKDAY(INPUT!M3585,2)+1)</f>
        <v/>
      </c>
      <c r="C3590" s="20">
        <f>IFERROR(_xlfn.ISOWEEKNUM(INPUT!M3585),"")</f>
        <v>52</v>
      </c>
      <c r="D3590" s="20">
        <f>IFERROR(YEAR(INPUT!M3585),"")</f>
        <v>1900</v>
      </c>
      <c r="E3590" t="str">
        <f>IF(INPUT!O3585="","",INPUT!O3585)</f>
        <v/>
      </c>
      <c r="F3590" t="str">
        <f>IF(INPUT!N3585="","",INPUT!N3585)</f>
        <v/>
      </c>
      <c r="G3590" cm="1">
        <f t="array" ref="G3590">IFERROR(VLOOKUP(INPUT!M3585&amp;INPUT!N3585,CHOOSE({1,2},INPUT!$A$3:$A$5000&amp;INPUT!$C$3:$C$5000,INPUT!$F$3:$F$5000),2,FALSE),"")</f>
        <v>0</v>
      </c>
      <c r="H3590" cm="1">
        <f t="array" ref="H3590">IFERROR(VLOOKUP(INPUT!M3585&amp;INPUT!N3585,CHOOSE({1,2},INPUT!$A$3:$A$5000&amp;INPUT!$C$3:$C$5000,INPUT!$D$3:$D$5000),2,FALSE),"")</f>
        <v>0</v>
      </c>
      <c r="I3590" s="46" t="str">
        <f>IF(INPUT!P3585="","",INPUT!P3585)</f>
        <v/>
      </c>
      <c r="J3590" s="46" t="str">
        <f>IF(INPUT!Q3585="","",INPUT!Q3585)</f>
        <v/>
      </c>
      <c r="K3590" s="46" t="str">
        <f>IFERROR(IF(OR(INPUT!P3585="",INPUT!Q3585=""),"",INPUT!P3585-INPUT!Q3585),"")</f>
        <v/>
      </c>
      <c r="L3590" s="48" t="str">
        <f>IFERROR(IF(OR(INPUT!P3585="",INPUT!Q3585="",INPUT!P3585=0),"",(INPUT!P3585-INPUT!Q3585)/INPUT!P3585),"")</f>
        <v/>
      </c>
    </row>
    <row r="3591" spans="1:12" ht="18" hidden="1" customHeight="1" x14ac:dyDescent="0.2">
      <c r="A3591" s="11" t="str">
        <f>IF(INPUT!M3586="","",INPUT!M3586)</f>
        <v/>
      </c>
      <c r="B3591" s="11" t="str">
        <f>IF(INPUT!M3586="","",INPUT!M3586-WEEKDAY(INPUT!M3586,2)+1)</f>
        <v/>
      </c>
      <c r="C3591" s="20">
        <f>IFERROR(_xlfn.ISOWEEKNUM(INPUT!M3586),"")</f>
        <v>52</v>
      </c>
      <c r="D3591" s="20">
        <f>IFERROR(YEAR(INPUT!M3586),"")</f>
        <v>1900</v>
      </c>
      <c r="E3591" t="str">
        <f>IF(INPUT!O3586="","",INPUT!O3586)</f>
        <v/>
      </c>
      <c r="F3591" t="str">
        <f>IF(INPUT!N3586="","",INPUT!N3586)</f>
        <v/>
      </c>
      <c r="G3591" cm="1">
        <f t="array" ref="G3591">IFERROR(VLOOKUP(INPUT!M3586&amp;INPUT!N3586,CHOOSE({1,2},INPUT!$A$3:$A$5000&amp;INPUT!$C$3:$C$5000,INPUT!$F$3:$F$5000),2,FALSE),"")</f>
        <v>0</v>
      </c>
      <c r="H3591" cm="1">
        <f t="array" ref="H3591">IFERROR(VLOOKUP(INPUT!M3586&amp;INPUT!N3586,CHOOSE({1,2},INPUT!$A$3:$A$5000&amp;INPUT!$C$3:$C$5000,INPUT!$D$3:$D$5000),2,FALSE),"")</f>
        <v>0</v>
      </c>
      <c r="I3591" s="46" t="str">
        <f>IF(INPUT!P3586="","",INPUT!P3586)</f>
        <v/>
      </c>
      <c r="J3591" s="46" t="str">
        <f>IF(INPUT!Q3586="","",INPUT!Q3586)</f>
        <v/>
      </c>
      <c r="K3591" s="46" t="str">
        <f>IFERROR(IF(OR(INPUT!P3586="",INPUT!Q3586=""),"",INPUT!P3586-INPUT!Q3586),"")</f>
        <v/>
      </c>
      <c r="L3591" s="48" t="str">
        <f>IFERROR(IF(OR(INPUT!P3586="",INPUT!Q3586="",INPUT!P3586=0),"",(INPUT!P3586-INPUT!Q3586)/INPUT!P3586),"")</f>
        <v/>
      </c>
    </row>
    <row r="3592" spans="1:12" ht="18" hidden="1" customHeight="1" x14ac:dyDescent="0.2">
      <c r="A3592" s="11" t="str">
        <f>IF(INPUT!M3587="","",INPUT!M3587)</f>
        <v/>
      </c>
      <c r="B3592" s="11" t="str">
        <f>IF(INPUT!M3587="","",INPUT!M3587-WEEKDAY(INPUT!M3587,2)+1)</f>
        <v/>
      </c>
      <c r="C3592" s="20">
        <f>IFERROR(_xlfn.ISOWEEKNUM(INPUT!M3587),"")</f>
        <v>52</v>
      </c>
      <c r="D3592" s="20">
        <f>IFERROR(YEAR(INPUT!M3587),"")</f>
        <v>1900</v>
      </c>
      <c r="E3592" t="str">
        <f>IF(INPUT!O3587="","",INPUT!O3587)</f>
        <v/>
      </c>
      <c r="F3592" t="str">
        <f>IF(INPUT!N3587="","",INPUT!N3587)</f>
        <v/>
      </c>
      <c r="G3592" cm="1">
        <f t="array" ref="G3592">IFERROR(VLOOKUP(INPUT!M3587&amp;INPUT!N3587,CHOOSE({1,2},INPUT!$A$3:$A$5000&amp;INPUT!$C$3:$C$5000,INPUT!$F$3:$F$5000),2,FALSE),"")</f>
        <v>0</v>
      </c>
      <c r="H3592" cm="1">
        <f t="array" ref="H3592">IFERROR(VLOOKUP(INPUT!M3587&amp;INPUT!N3587,CHOOSE({1,2},INPUT!$A$3:$A$5000&amp;INPUT!$C$3:$C$5000,INPUT!$D$3:$D$5000),2,FALSE),"")</f>
        <v>0</v>
      </c>
      <c r="I3592" s="46" t="str">
        <f>IF(INPUT!P3587="","",INPUT!P3587)</f>
        <v/>
      </c>
      <c r="J3592" s="46" t="str">
        <f>IF(INPUT!Q3587="","",INPUT!Q3587)</f>
        <v/>
      </c>
      <c r="K3592" s="46" t="str">
        <f>IFERROR(IF(OR(INPUT!P3587="",INPUT!Q3587=""),"",INPUT!P3587-INPUT!Q3587),"")</f>
        <v/>
      </c>
      <c r="L3592" s="48" t="str">
        <f>IFERROR(IF(OR(INPUT!P3587="",INPUT!Q3587="",INPUT!P3587=0),"",(INPUT!P3587-INPUT!Q3587)/INPUT!P3587),"")</f>
        <v/>
      </c>
    </row>
    <row r="3593" spans="1:12" ht="18" hidden="1" customHeight="1" x14ac:dyDescent="0.2">
      <c r="A3593" s="11" t="str">
        <f>IF(INPUT!M3588="","",INPUT!M3588)</f>
        <v/>
      </c>
      <c r="B3593" s="11" t="str">
        <f>IF(INPUT!M3588="","",INPUT!M3588-WEEKDAY(INPUT!M3588,2)+1)</f>
        <v/>
      </c>
      <c r="C3593" s="20">
        <f>IFERROR(_xlfn.ISOWEEKNUM(INPUT!M3588),"")</f>
        <v>52</v>
      </c>
      <c r="D3593" s="20">
        <f>IFERROR(YEAR(INPUT!M3588),"")</f>
        <v>1900</v>
      </c>
      <c r="E3593" t="str">
        <f>IF(INPUT!O3588="","",INPUT!O3588)</f>
        <v/>
      </c>
      <c r="F3593" t="str">
        <f>IF(INPUT!N3588="","",INPUT!N3588)</f>
        <v/>
      </c>
      <c r="G3593" cm="1">
        <f t="array" ref="G3593">IFERROR(VLOOKUP(INPUT!M3588&amp;INPUT!N3588,CHOOSE({1,2},INPUT!$A$3:$A$5000&amp;INPUT!$C$3:$C$5000,INPUT!$F$3:$F$5000),2,FALSE),"")</f>
        <v>0</v>
      </c>
      <c r="H3593" cm="1">
        <f t="array" ref="H3593">IFERROR(VLOOKUP(INPUT!M3588&amp;INPUT!N3588,CHOOSE({1,2},INPUT!$A$3:$A$5000&amp;INPUT!$C$3:$C$5000,INPUT!$D$3:$D$5000),2,FALSE),"")</f>
        <v>0</v>
      </c>
      <c r="I3593" s="46" t="str">
        <f>IF(INPUT!P3588="","",INPUT!P3588)</f>
        <v/>
      </c>
      <c r="J3593" s="46" t="str">
        <f>IF(INPUT!Q3588="","",INPUT!Q3588)</f>
        <v/>
      </c>
      <c r="K3593" s="46" t="str">
        <f>IFERROR(IF(OR(INPUT!P3588="",INPUT!Q3588=""),"",INPUT!P3588-INPUT!Q3588),"")</f>
        <v/>
      </c>
      <c r="L3593" s="48" t="str">
        <f>IFERROR(IF(OR(INPUT!P3588="",INPUT!Q3588="",INPUT!P3588=0),"",(INPUT!P3588-INPUT!Q3588)/INPUT!P3588),"")</f>
        <v/>
      </c>
    </row>
    <row r="3594" spans="1:12" ht="18" hidden="1" customHeight="1" x14ac:dyDescent="0.2">
      <c r="A3594" s="11" t="str">
        <f>IF(INPUT!M3589="","",INPUT!M3589)</f>
        <v/>
      </c>
      <c r="B3594" s="11" t="str">
        <f>IF(INPUT!M3589="","",INPUT!M3589-WEEKDAY(INPUT!M3589,2)+1)</f>
        <v/>
      </c>
      <c r="C3594" s="20">
        <f>IFERROR(_xlfn.ISOWEEKNUM(INPUT!M3589),"")</f>
        <v>52</v>
      </c>
      <c r="D3594" s="20">
        <f>IFERROR(YEAR(INPUT!M3589),"")</f>
        <v>1900</v>
      </c>
      <c r="E3594" t="str">
        <f>IF(INPUT!O3589="","",INPUT!O3589)</f>
        <v/>
      </c>
      <c r="F3594" t="str">
        <f>IF(INPUT!N3589="","",INPUT!N3589)</f>
        <v/>
      </c>
      <c r="G3594" cm="1">
        <f t="array" ref="G3594">IFERROR(VLOOKUP(INPUT!M3589&amp;INPUT!N3589,CHOOSE({1,2},INPUT!$A$3:$A$5000&amp;INPUT!$C$3:$C$5000,INPUT!$F$3:$F$5000),2,FALSE),"")</f>
        <v>0</v>
      </c>
      <c r="H3594" cm="1">
        <f t="array" ref="H3594">IFERROR(VLOOKUP(INPUT!M3589&amp;INPUT!N3589,CHOOSE({1,2},INPUT!$A$3:$A$5000&amp;INPUT!$C$3:$C$5000,INPUT!$D$3:$D$5000),2,FALSE),"")</f>
        <v>0</v>
      </c>
      <c r="I3594" s="46" t="str">
        <f>IF(INPUT!P3589="","",INPUT!P3589)</f>
        <v/>
      </c>
      <c r="J3594" s="46" t="str">
        <f>IF(INPUT!Q3589="","",INPUT!Q3589)</f>
        <v/>
      </c>
      <c r="K3594" s="46" t="str">
        <f>IFERROR(IF(OR(INPUT!P3589="",INPUT!Q3589=""),"",INPUT!P3589-INPUT!Q3589),"")</f>
        <v/>
      </c>
      <c r="L3594" s="48" t="str">
        <f>IFERROR(IF(OR(INPUT!P3589="",INPUT!Q3589="",INPUT!P3589=0),"",(INPUT!P3589-INPUT!Q3589)/INPUT!P3589),"")</f>
        <v/>
      </c>
    </row>
    <row r="3595" spans="1:12" ht="18" hidden="1" customHeight="1" x14ac:dyDescent="0.2">
      <c r="A3595" s="11" t="str">
        <f>IF(INPUT!M3590="","",INPUT!M3590)</f>
        <v/>
      </c>
      <c r="B3595" s="11" t="str">
        <f>IF(INPUT!M3590="","",INPUT!M3590-WEEKDAY(INPUT!M3590,2)+1)</f>
        <v/>
      </c>
      <c r="C3595" s="20">
        <f>IFERROR(_xlfn.ISOWEEKNUM(INPUT!M3590),"")</f>
        <v>52</v>
      </c>
      <c r="D3595" s="20">
        <f>IFERROR(YEAR(INPUT!M3590),"")</f>
        <v>1900</v>
      </c>
      <c r="E3595" t="str">
        <f>IF(INPUT!O3590="","",INPUT!O3590)</f>
        <v/>
      </c>
      <c r="F3595" t="str">
        <f>IF(INPUT!N3590="","",INPUT!N3590)</f>
        <v/>
      </c>
      <c r="G3595" cm="1">
        <f t="array" ref="G3595">IFERROR(VLOOKUP(INPUT!M3590&amp;INPUT!N3590,CHOOSE({1,2},INPUT!$A$3:$A$5000&amp;INPUT!$C$3:$C$5000,INPUT!$F$3:$F$5000),2,FALSE),"")</f>
        <v>0</v>
      </c>
      <c r="H3595" cm="1">
        <f t="array" ref="H3595">IFERROR(VLOOKUP(INPUT!M3590&amp;INPUT!N3590,CHOOSE({1,2},INPUT!$A$3:$A$5000&amp;INPUT!$C$3:$C$5000,INPUT!$D$3:$D$5000),2,FALSE),"")</f>
        <v>0</v>
      </c>
      <c r="I3595" s="46" t="str">
        <f>IF(INPUT!P3590="","",INPUT!P3590)</f>
        <v/>
      </c>
      <c r="J3595" s="46" t="str">
        <f>IF(INPUT!Q3590="","",INPUT!Q3590)</f>
        <v/>
      </c>
      <c r="K3595" s="46" t="str">
        <f>IFERROR(IF(OR(INPUT!P3590="",INPUT!Q3590=""),"",INPUT!P3590-INPUT!Q3590),"")</f>
        <v/>
      </c>
      <c r="L3595" s="48" t="str">
        <f>IFERROR(IF(OR(INPUT!P3590="",INPUT!Q3590="",INPUT!P3590=0),"",(INPUT!P3590-INPUT!Q3590)/INPUT!P3590),"")</f>
        <v/>
      </c>
    </row>
    <row r="3596" spans="1:12" ht="18" hidden="1" customHeight="1" x14ac:dyDescent="0.2">
      <c r="A3596" s="11" t="str">
        <f>IF(INPUT!M3591="","",INPUT!M3591)</f>
        <v/>
      </c>
      <c r="B3596" s="11" t="str">
        <f>IF(INPUT!M3591="","",INPUT!M3591-WEEKDAY(INPUT!M3591,2)+1)</f>
        <v/>
      </c>
      <c r="C3596" s="20">
        <f>IFERROR(_xlfn.ISOWEEKNUM(INPUT!M3591),"")</f>
        <v>52</v>
      </c>
      <c r="D3596" s="20">
        <f>IFERROR(YEAR(INPUT!M3591),"")</f>
        <v>1900</v>
      </c>
      <c r="E3596" t="str">
        <f>IF(INPUT!O3591="","",INPUT!O3591)</f>
        <v/>
      </c>
      <c r="F3596" t="str">
        <f>IF(INPUT!N3591="","",INPUT!N3591)</f>
        <v/>
      </c>
      <c r="G3596" cm="1">
        <f t="array" ref="G3596">IFERROR(VLOOKUP(INPUT!M3591&amp;INPUT!N3591,CHOOSE({1,2},INPUT!$A$3:$A$5000&amp;INPUT!$C$3:$C$5000,INPUT!$F$3:$F$5000),2,FALSE),"")</f>
        <v>0</v>
      </c>
      <c r="H3596" cm="1">
        <f t="array" ref="H3596">IFERROR(VLOOKUP(INPUT!M3591&amp;INPUT!N3591,CHOOSE({1,2},INPUT!$A$3:$A$5000&amp;INPUT!$C$3:$C$5000,INPUT!$D$3:$D$5000),2,FALSE),"")</f>
        <v>0</v>
      </c>
      <c r="I3596" s="46" t="str">
        <f>IF(INPUT!P3591="","",INPUT!P3591)</f>
        <v/>
      </c>
      <c r="J3596" s="46" t="str">
        <f>IF(INPUT!Q3591="","",INPUT!Q3591)</f>
        <v/>
      </c>
      <c r="K3596" s="46" t="str">
        <f>IFERROR(IF(OR(INPUT!P3591="",INPUT!Q3591=""),"",INPUT!P3591-INPUT!Q3591),"")</f>
        <v/>
      </c>
      <c r="L3596" s="48" t="str">
        <f>IFERROR(IF(OR(INPUT!P3591="",INPUT!Q3591="",INPUT!P3591=0),"",(INPUT!P3591-INPUT!Q3591)/INPUT!P3591),"")</f>
        <v/>
      </c>
    </row>
    <row r="3597" spans="1:12" ht="18" hidden="1" customHeight="1" x14ac:dyDescent="0.2">
      <c r="A3597" s="11" t="str">
        <f>IF(INPUT!M3592="","",INPUT!M3592)</f>
        <v/>
      </c>
      <c r="B3597" s="11" t="str">
        <f>IF(INPUT!M3592="","",INPUT!M3592-WEEKDAY(INPUT!M3592,2)+1)</f>
        <v/>
      </c>
      <c r="C3597" s="20">
        <f>IFERROR(_xlfn.ISOWEEKNUM(INPUT!M3592),"")</f>
        <v>52</v>
      </c>
      <c r="D3597" s="20">
        <f>IFERROR(YEAR(INPUT!M3592),"")</f>
        <v>1900</v>
      </c>
      <c r="E3597" t="str">
        <f>IF(INPUT!O3592="","",INPUT!O3592)</f>
        <v/>
      </c>
      <c r="F3597" t="str">
        <f>IF(INPUT!N3592="","",INPUT!N3592)</f>
        <v/>
      </c>
      <c r="G3597" cm="1">
        <f t="array" ref="G3597">IFERROR(VLOOKUP(INPUT!M3592&amp;INPUT!N3592,CHOOSE({1,2},INPUT!$A$3:$A$5000&amp;INPUT!$C$3:$C$5000,INPUT!$F$3:$F$5000),2,FALSE),"")</f>
        <v>0</v>
      </c>
      <c r="H3597" cm="1">
        <f t="array" ref="H3597">IFERROR(VLOOKUP(INPUT!M3592&amp;INPUT!N3592,CHOOSE({1,2},INPUT!$A$3:$A$5000&amp;INPUT!$C$3:$C$5000,INPUT!$D$3:$D$5000),2,FALSE),"")</f>
        <v>0</v>
      </c>
      <c r="I3597" s="46" t="str">
        <f>IF(INPUT!P3592="","",INPUT!P3592)</f>
        <v/>
      </c>
      <c r="J3597" s="46" t="str">
        <f>IF(INPUT!Q3592="","",INPUT!Q3592)</f>
        <v/>
      </c>
      <c r="K3597" s="46" t="str">
        <f>IFERROR(IF(OR(INPUT!P3592="",INPUT!Q3592=""),"",INPUT!P3592-INPUT!Q3592),"")</f>
        <v/>
      </c>
      <c r="L3597" s="48" t="str">
        <f>IFERROR(IF(OR(INPUT!P3592="",INPUT!Q3592="",INPUT!P3592=0),"",(INPUT!P3592-INPUT!Q3592)/INPUT!P3592),"")</f>
        <v/>
      </c>
    </row>
    <row r="3598" spans="1:12" ht="18" hidden="1" customHeight="1" x14ac:dyDescent="0.2">
      <c r="A3598" s="11" t="str">
        <f>IF(INPUT!M3593="","",INPUT!M3593)</f>
        <v/>
      </c>
      <c r="B3598" s="11" t="str">
        <f>IF(INPUT!M3593="","",INPUT!M3593-WEEKDAY(INPUT!M3593,2)+1)</f>
        <v/>
      </c>
      <c r="C3598" s="20">
        <f>IFERROR(_xlfn.ISOWEEKNUM(INPUT!M3593),"")</f>
        <v>52</v>
      </c>
      <c r="D3598" s="20">
        <f>IFERROR(YEAR(INPUT!M3593),"")</f>
        <v>1900</v>
      </c>
      <c r="E3598" t="str">
        <f>IF(INPUT!O3593="","",INPUT!O3593)</f>
        <v/>
      </c>
      <c r="F3598" t="str">
        <f>IF(INPUT!N3593="","",INPUT!N3593)</f>
        <v/>
      </c>
      <c r="G3598" cm="1">
        <f t="array" ref="G3598">IFERROR(VLOOKUP(INPUT!M3593&amp;INPUT!N3593,CHOOSE({1,2},INPUT!$A$3:$A$5000&amp;INPUT!$C$3:$C$5000,INPUT!$F$3:$F$5000),2,FALSE),"")</f>
        <v>0</v>
      </c>
      <c r="H3598" cm="1">
        <f t="array" ref="H3598">IFERROR(VLOOKUP(INPUT!M3593&amp;INPUT!N3593,CHOOSE({1,2},INPUT!$A$3:$A$5000&amp;INPUT!$C$3:$C$5000,INPUT!$D$3:$D$5000),2,FALSE),"")</f>
        <v>0</v>
      </c>
      <c r="I3598" s="46" t="str">
        <f>IF(INPUT!P3593="","",INPUT!P3593)</f>
        <v/>
      </c>
      <c r="J3598" s="46" t="str">
        <f>IF(INPUT!Q3593="","",INPUT!Q3593)</f>
        <v/>
      </c>
      <c r="K3598" s="46" t="str">
        <f>IFERROR(IF(OR(INPUT!P3593="",INPUT!Q3593=""),"",INPUT!P3593-INPUT!Q3593),"")</f>
        <v/>
      </c>
      <c r="L3598" s="48" t="str">
        <f>IFERROR(IF(OR(INPUT!P3593="",INPUT!Q3593="",INPUT!P3593=0),"",(INPUT!P3593-INPUT!Q3593)/INPUT!P3593),"")</f>
        <v/>
      </c>
    </row>
    <row r="3599" spans="1:12" ht="18" hidden="1" customHeight="1" x14ac:dyDescent="0.2">
      <c r="A3599" s="11" t="str">
        <f>IF(INPUT!M3594="","",INPUT!M3594)</f>
        <v/>
      </c>
      <c r="B3599" s="11" t="str">
        <f>IF(INPUT!M3594="","",INPUT!M3594-WEEKDAY(INPUT!M3594,2)+1)</f>
        <v/>
      </c>
      <c r="C3599" s="20">
        <f>IFERROR(_xlfn.ISOWEEKNUM(INPUT!M3594),"")</f>
        <v>52</v>
      </c>
      <c r="D3599" s="20">
        <f>IFERROR(YEAR(INPUT!M3594),"")</f>
        <v>1900</v>
      </c>
      <c r="E3599" t="str">
        <f>IF(INPUT!O3594="","",INPUT!O3594)</f>
        <v/>
      </c>
      <c r="F3599" t="str">
        <f>IF(INPUT!N3594="","",INPUT!N3594)</f>
        <v/>
      </c>
      <c r="G3599" cm="1">
        <f t="array" ref="G3599">IFERROR(VLOOKUP(INPUT!M3594&amp;INPUT!N3594,CHOOSE({1,2},INPUT!$A$3:$A$5000&amp;INPUT!$C$3:$C$5000,INPUT!$F$3:$F$5000),2,FALSE),"")</f>
        <v>0</v>
      </c>
      <c r="H3599" cm="1">
        <f t="array" ref="H3599">IFERROR(VLOOKUP(INPUT!M3594&amp;INPUT!N3594,CHOOSE({1,2},INPUT!$A$3:$A$5000&amp;INPUT!$C$3:$C$5000,INPUT!$D$3:$D$5000),2,FALSE),"")</f>
        <v>0</v>
      </c>
      <c r="I3599" s="46" t="str">
        <f>IF(INPUT!P3594="","",INPUT!P3594)</f>
        <v/>
      </c>
      <c r="J3599" s="46" t="str">
        <f>IF(INPUT!Q3594="","",INPUT!Q3594)</f>
        <v/>
      </c>
      <c r="K3599" s="46" t="str">
        <f>IFERROR(IF(OR(INPUT!P3594="",INPUT!Q3594=""),"",INPUT!P3594-INPUT!Q3594),"")</f>
        <v/>
      </c>
      <c r="L3599" s="48" t="str">
        <f>IFERROR(IF(OR(INPUT!P3594="",INPUT!Q3594="",INPUT!P3594=0),"",(INPUT!P3594-INPUT!Q3594)/INPUT!P3594),"")</f>
        <v/>
      </c>
    </row>
    <row r="3600" spans="1:12" ht="18" hidden="1" customHeight="1" x14ac:dyDescent="0.2">
      <c r="A3600" s="11" t="str">
        <f>IF(INPUT!M3595="","",INPUT!M3595)</f>
        <v/>
      </c>
      <c r="B3600" s="11" t="str">
        <f>IF(INPUT!M3595="","",INPUT!M3595-WEEKDAY(INPUT!M3595,2)+1)</f>
        <v/>
      </c>
      <c r="C3600" s="20">
        <f>IFERROR(_xlfn.ISOWEEKNUM(INPUT!M3595),"")</f>
        <v>52</v>
      </c>
      <c r="D3600" s="20">
        <f>IFERROR(YEAR(INPUT!M3595),"")</f>
        <v>1900</v>
      </c>
      <c r="E3600" t="str">
        <f>IF(INPUT!O3595="","",INPUT!O3595)</f>
        <v/>
      </c>
      <c r="F3600" t="str">
        <f>IF(INPUT!N3595="","",INPUT!N3595)</f>
        <v/>
      </c>
      <c r="G3600" cm="1">
        <f t="array" ref="G3600">IFERROR(VLOOKUP(INPUT!M3595&amp;INPUT!N3595,CHOOSE({1,2},INPUT!$A$3:$A$5000&amp;INPUT!$C$3:$C$5000,INPUT!$F$3:$F$5000),2,FALSE),"")</f>
        <v>0</v>
      </c>
      <c r="H3600" cm="1">
        <f t="array" ref="H3600">IFERROR(VLOOKUP(INPUT!M3595&amp;INPUT!N3595,CHOOSE({1,2},INPUT!$A$3:$A$5000&amp;INPUT!$C$3:$C$5000,INPUT!$D$3:$D$5000),2,FALSE),"")</f>
        <v>0</v>
      </c>
      <c r="I3600" s="46" t="str">
        <f>IF(INPUT!P3595="","",INPUT!P3595)</f>
        <v/>
      </c>
      <c r="J3600" s="46" t="str">
        <f>IF(INPUT!Q3595="","",INPUT!Q3595)</f>
        <v/>
      </c>
      <c r="K3600" s="46" t="str">
        <f>IFERROR(IF(OR(INPUT!P3595="",INPUT!Q3595=""),"",INPUT!P3595-INPUT!Q3595),"")</f>
        <v/>
      </c>
      <c r="L3600" s="48" t="str">
        <f>IFERROR(IF(OR(INPUT!P3595="",INPUT!Q3595="",INPUT!P3595=0),"",(INPUT!P3595-INPUT!Q3595)/INPUT!P3595),"")</f>
        <v/>
      </c>
    </row>
    <row r="3601" spans="1:12" ht="18" hidden="1" customHeight="1" x14ac:dyDescent="0.2">
      <c r="A3601" s="11" t="str">
        <f>IF(INPUT!M3596="","",INPUT!M3596)</f>
        <v/>
      </c>
      <c r="B3601" s="11" t="str">
        <f>IF(INPUT!M3596="","",INPUT!M3596-WEEKDAY(INPUT!M3596,2)+1)</f>
        <v/>
      </c>
      <c r="C3601" s="20">
        <f>IFERROR(_xlfn.ISOWEEKNUM(INPUT!M3596),"")</f>
        <v>52</v>
      </c>
      <c r="D3601" s="20">
        <f>IFERROR(YEAR(INPUT!M3596),"")</f>
        <v>1900</v>
      </c>
      <c r="E3601" t="str">
        <f>IF(INPUT!O3596="","",INPUT!O3596)</f>
        <v/>
      </c>
      <c r="F3601" t="str">
        <f>IF(INPUT!N3596="","",INPUT!N3596)</f>
        <v/>
      </c>
      <c r="G3601" cm="1">
        <f t="array" ref="G3601">IFERROR(VLOOKUP(INPUT!M3596&amp;INPUT!N3596,CHOOSE({1,2},INPUT!$A$3:$A$5000&amp;INPUT!$C$3:$C$5000,INPUT!$F$3:$F$5000),2,FALSE),"")</f>
        <v>0</v>
      </c>
      <c r="H3601" cm="1">
        <f t="array" ref="H3601">IFERROR(VLOOKUP(INPUT!M3596&amp;INPUT!N3596,CHOOSE({1,2},INPUT!$A$3:$A$5000&amp;INPUT!$C$3:$C$5000,INPUT!$D$3:$D$5000),2,FALSE),"")</f>
        <v>0</v>
      </c>
      <c r="I3601" s="46" t="str">
        <f>IF(INPUT!P3596="","",INPUT!P3596)</f>
        <v/>
      </c>
      <c r="J3601" s="46" t="str">
        <f>IF(INPUT!Q3596="","",INPUT!Q3596)</f>
        <v/>
      </c>
      <c r="K3601" s="46" t="str">
        <f>IFERROR(IF(OR(INPUT!P3596="",INPUT!Q3596=""),"",INPUT!P3596-INPUT!Q3596),"")</f>
        <v/>
      </c>
      <c r="L3601" s="48" t="str">
        <f>IFERROR(IF(OR(INPUT!P3596="",INPUT!Q3596="",INPUT!P3596=0),"",(INPUT!P3596-INPUT!Q3596)/INPUT!P3596),"")</f>
        <v/>
      </c>
    </row>
    <row r="3602" spans="1:12" ht="18" hidden="1" customHeight="1" x14ac:dyDescent="0.2">
      <c r="A3602" s="11" t="str">
        <f>IF(INPUT!M3597="","",INPUT!M3597)</f>
        <v/>
      </c>
      <c r="B3602" s="11" t="str">
        <f>IF(INPUT!M3597="","",INPUT!M3597-WEEKDAY(INPUT!M3597,2)+1)</f>
        <v/>
      </c>
      <c r="C3602" s="20">
        <f>IFERROR(_xlfn.ISOWEEKNUM(INPUT!M3597),"")</f>
        <v>52</v>
      </c>
      <c r="D3602" s="20">
        <f>IFERROR(YEAR(INPUT!M3597),"")</f>
        <v>1900</v>
      </c>
      <c r="E3602" t="str">
        <f>IF(INPUT!O3597="","",INPUT!O3597)</f>
        <v/>
      </c>
      <c r="F3602" t="str">
        <f>IF(INPUT!N3597="","",INPUT!N3597)</f>
        <v/>
      </c>
      <c r="G3602" cm="1">
        <f t="array" ref="G3602">IFERROR(VLOOKUP(INPUT!M3597&amp;INPUT!N3597,CHOOSE({1,2},INPUT!$A$3:$A$5000&amp;INPUT!$C$3:$C$5000,INPUT!$F$3:$F$5000),2,FALSE),"")</f>
        <v>0</v>
      </c>
      <c r="H3602" cm="1">
        <f t="array" ref="H3602">IFERROR(VLOOKUP(INPUT!M3597&amp;INPUT!N3597,CHOOSE({1,2},INPUT!$A$3:$A$5000&amp;INPUT!$C$3:$C$5000,INPUT!$D$3:$D$5000),2,FALSE),"")</f>
        <v>0</v>
      </c>
      <c r="I3602" s="46" t="str">
        <f>IF(INPUT!P3597="","",INPUT!P3597)</f>
        <v/>
      </c>
      <c r="J3602" s="46" t="str">
        <f>IF(INPUT!Q3597="","",INPUT!Q3597)</f>
        <v/>
      </c>
      <c r="K3602" s="46" t="str">
        <f>IFERROR(IF(OR(INPUT!P3597="",INPUT!Q3597=""),"",INPUT!P3597-INPUT!Q3597),"")</f>
        <v/>
      </c>
      <c r="L3602" s="48" t="str">
        <f>IFERROR(IF(OR(INPUT!P3597="",INPUT!Q3597="",INPUT!P3597=0),"",(INPUT!P3597-INPUT!Q3597)/INPUT!P3597),"")</f>
        <v/>
      </c>
    </row>
    <row r="3603" spans="1:12" ht="18" hidden="1" customHeight="1" x14ac:dyDescent="0.2">
      <c r="A3603" s="11" t="str">
        <f>IF(INPUT!M3598="","",INPUT!M3598)</f>
        <v/>
      </c>
      <c r="B3603" s="11" t="str">
        <f>IF(INPUT!M3598="","",INPUT!M3598-WEEKDAY(INPUT!M3598,2)+1)</f>
        <v/>
      </c>
      <c r="C3603" s="20">
        <f>IFERROR(_xlfn.ISOWEEKNUM(INPUT!M3598),"")</f>
        <v>52</v>
      </c>
      <c r="D3603" s="20">
        <f>IFERROR(YEAR(INPUT!M3598),"")</f>
        <v>1900</v>
      </c>
      <c r="E3603" t="str">
        <f>IF(INPUT!O3598="","",INPUT!O3598)</f>
        <v/>
      </c>
      <c r="F3603" t="str">
        <f>IF(INPUT!N3598="","",INPUT!N3598)</f>
        <v/>
      </c>
      <c r="G3603" cm="1">
        <f t="array" ref="G3603">IFERROR(VLOOKUP(INPUT!M3598&amp;INPUT!N3598,CHOOSE({1,2},INPUT!$A$3:$A$5000&amp;INPUT!$C$3:$C$5000,INPUT!$F$3:$F$5000),2,FALSE),"")</f>
        <v>0</v>
      </c>
      <c r="H3603" cm="1">
        <f t="array" ref="H3603">IFERROR(VLOOKUP(INPUT!M3598&amp;INPUT!N3598,CHOOSE({1,2},INPUT!$A$3:$A$5000&amp;INPUT!$C$3:$C$5000,INPUT!$D$3:$D$5000),2,FALSE),"")</f>
        <v>0</v>
      </c>
      <c r="I3603" s="46" t="str">
        <f>IF(INPUT!P3598="","",INPUT!P3598)</f>
        <v/>
      </c>
      <c r="J3603" s="46" t="str">
        <f>IF(INPUT!Q3598="","",INPUT!Q3598)</f>
        <v/>
      </c>
      <c r="K3603" s="46" t="str">
        <f>IFERROR(IF(OR(INPUT!P3598="",INPUT!Q3598=""),"",INPUT!P3598-INPUT!Q3598),"")</f>
        <v/>
      </c>
      <c r="L3603" s="48" t="str">
        <f>IFERROR(IF(OR(INPUT!P3598="",INPUT!Q3598="",INPUT!P3598=0),"",(INPUT!P3598-INPUT!Q3598)/INPUT!P3598),"")</f>
        <v/>
      </c>
    </row>
    <row r="3604" spans="1:12" ht="18" hidden="1" customHeight="1" x14ac:dyDescent="0.2">
      <c r="A3604" s="11" t="str">
        <f>IF(INPUT!M3599="","",INPUT!M3599)</f>
        <v/>
      </c>
      <c r="B3604" s="11" t="str">
        <f>IF(INPUT!M3599="","",INPUT!M3599-WEEKDAY(INPUT!M3599,2)+1)</f>
        <v/>
      </c>
      <c r="C3604" s="20">
        <f>IFERROR(_xlfn.ISOWEEKNUM(INPUT!M3599),"")</f>
        <v>52</v>
      </c>
      <c r="D3604" s="20">
        <f>IFERROR(YEAR(INPUT!M3599),"")</f>
        <v>1900</v>
      </c>
      <c r="E3604" t="str">
        <f>IF(INPUT!O3599="","",INPUT!O3599)</f>
        <v/>
      </c>
      <c r="F3604" t="str">
        <f>IF(INPUT!N3599="","",INPUT!N3599)</f>
        <v/>
      </c>
      <c r="G3604" cm="1">
        <f t="array" ref="G3604">IFERROR(VLOOKUP(INPUT!M3599&amp;INPUT!N3599,CHOOSE({1,2},INPUT!$A$3:$A$5000&amp;INPUT!$C$3:$C$5000,INPUT!$F$3:$F$5000),2,FALSE),"")</f>
        <v>0</v>
      </c>
      <c r="H3604" cm="1">
        <f t="array" ref="H3604">IFERROR(VLOOKUP(INPUT!M3599&amp;INPUT!N3599,CHOOSE({1,2},INPUT!$A$3:$A$5000&amp;INPUT!$C$3:$C$5000,INPUT!$D$3:$D$5000),2,FALSE),"")</f>
        <v>0</v>
      </c>
      <c r="I3604" s="46" t="str">
        <f>IF(INPUT!P3599="","",INPUT!P3599)</f>
        <v/>
      </c>
      <c r="J3604" s="46" t="str">
        <f>IF(INPUT!Q3599="","",INPUT!Q3599)</f>
        <v/>
      </c>
      <c r="K3604" s="46" t="str">
        <f>IFERROR(IF(OR(INPUT!P3599="",INPUT!Q3599=""),"",INPUT!P3599-INPUT!Q3599),"")</f>
        <v/>
      </c>
      <c r="L3604" s="48" t="str">
        <f>IFERROR(IF(OR(INPUT!P3599="",INPUT!Q3599="",INPUT!P3599=0),"",(INPUT!P3599-INPUT!Q3599)/INPUT!P3599),"")</f>
        <v/>
      </c>
    </row>
    <row r="3605" spans="1:12" ht="18" hidden="1" customHeight="1" x14ac:dyDescent="0.2">
      <c r="A3605" s="11" t="str">
        <f>IF(INPUT!M3600="","",INPUT!M3600)</f>
        <v/>
      </c>
      <c r="B3605" s="11" t="str">
        <f>IF(INPUT!M3600="","",INPUT!M3600-WEEKDAY(INPUT!M3600,2)+1)</f>
        <v/>
      </c>
      <c r="C3605" s="20">
        <f>IFERROR(_xlfn.ISOWEEKNUM(INPUT!M3600),"")</f>
        <v>52</v>
      </c>
      <c r="D3605" s="20">
        <f>IFERROR(YEAR(INPUT!M3600),"")</f>
        <v>1900</v>
      </c>
      <c r="E3605" t="str">
        <f>IF(INPUT!O3600="","",INPUT!O3600)</f>
        <v/>
      </c>
      <c r="F3605" t="str">
        <f>IF(INPUT!N3600="","",INPUT!N3600)</f>
        <v/>
      </c>
      <c r="G3605" cm="1">
        <f t="array" ref="G3605">IFERROR(VLOOKUP(INPUT!M3600&amp;INPUT!N3600,CHOOSE({1,2},INPUT!$A$3:$A$5000&amp;INPUT!$C$3:$C$5000,INPUT!$F$3:$F$5000),2,FALSE),"")</f>
        <v>0</v>
      </c>
      <c r="H3605" cm="1">
        <f t="array" ref="H3605">IFERROR(VLOOKUP(INPUT!M3600&amp;INPUT!N3600,CHOOSE({1,2},INPUT!$A$3:$A$5000&amp;INPUT!$C$3:$C$5000,INPUT!$D$3:$D$5000),2,FALSE),"")</f>
        <v>0</v>
      </c>
      <c r="I3605" s="46" t="str">
        <f>IF(INPUT!P3600="","",INPUT!P3600)</f>
        <v/>
      </c>
      <c r="J3605" s="46" t="str">
        <f>IF(INPUT!Q3600="","",INPUT!Q3600)</f>
        <v/>
      </c>
      <c r="K3605" s="46" t="str">
        <f>IFERROR(IF(OR(INPUT!P3600="",INPUT!Q3600=""),"",INPUT!P3600-INPUT!Q3600),"")</f>
        <v/>
      </c>
      <c r="L3605" s="48" t="str">
        <f>IFERROR(IF(OR(INPUT!P3600="",INPUT!Q3600="",INPUT!P3600=0),"",(INPUT!P3600-INPUT!Q3600)/INPUT!P3600),"")</f>
        <v/>
      </c>
    </row>
    <row r="3606" spans="1:12" ht="18" hidden="1" customHeight="1" x14ac:dyDescent="0.2">
      <c r="A3606" s="11" t="str">
        <f>IF(INPUT!M3601="","",INPUT!M3601)</f>
        <v/>
      </c>
      <c r="B3606" s="11" t="str">
        <f>IF(INPUT!M3601="","",INPUT!M3601-WEEKDAY(INPUT!M3601,2)+1)</f>
        <v/>
      </c>
      <c r="C3606" s="20">
        <f>IFERROR(_xlfn.ISOWEEKNUM(INPUT!M3601),"")</f>
        <v>52</v>
      </c>
      <c r="D3606" s="20">
        <f>IFERROR(YEAR(INPUT!M3601),"")</f>
        <v>1900</v>
      </c>
      <c r="E3606" t="str">
        <f>IF(INPUT!O3601="","",INPUT!O3601)</f>
        <v/>
      </c>
      <c r="F3606" t="str">
        <f>IF(INPUT!N3601="","",INPUT!N3601)</f>
        <v/>
      </c>
      <c r="G3606" cm="1">
        <f t="array" ref="G3606">IFERROR(VLOOKUP(INPUT!M3601&amp;INPUT!N3601,CHOOSE({1,2},INPUT!$A$3:$A$5000&amp;INPUT!$C$3:$C$5000,INPUT!$F$3:$F$5000),2,FALSE),"")</f>
        <v>0</v>
      </c>
      <c r="H3606" cm="1">
        <f t="array" ref="H3606">IFERROR(VLOOKUP(INPUT!M3601&amp;INPUT!N3601,CHOOSE({1,2},INPUT!$A$3:$A$5000&amp;INPUT!$C$3:$C$5000,INPUT!$D$3:$D$5000),2,FALSE),"")</f>
        <v>0</v>
      </c>
      <c r="I3606" s="46" t="str">
        <f>IF(INPUT!P3601="","",INPUT!P3601)</f>
        <v/>
      </c>
      <c r="J3606" s="46" t="str">
        <f>IF(INPUT!Q3601="","",INPUT!Q3601)</f>
        <v/>
      </c>
      <c r="K3606" s="46" t="str">
        <f>IFERROR(IF(OR(INPUT!P3601="",INPUT!Q3601=""),"",INPUT!P3601-INPUT!Q3601),"")</f>
        <v/>
      </c>
      <c r="L3606" s="48" t="str">
        <f>IFERROR(IF(OR(INPUT!P3601="",INPUT!Q3601="",INPUT!P3601=0),"",(INPUT!P3601-INPUT!Q3601)/INPUT!P3601),"")</f>
        <v/>
      </c>
    </row>
    <row r="3607" spans="1:12" ht="18" hidden="1" customHeight="1" x14ac:dyDescent="0.2">
      <c r="A3607" s="11" t="str">
        <f>IF(INPUT!M3602="","",INPUT!M3602)</f>
        <v/>
      </c>
      <c r="B3607" s="11" t="str">
        <f>IF(INPUT!M3602="","",INPUT!M3602-WEEKDAY(INPUT!M3602,2)+1)</f>
        <v/>
      </c>
      <c r="C3607" s="20">
        <f>IFERROR(_xlfn.ISOWEEKNUM(INPUT!M3602),"")</f>
        <v>52</v>
      </c>
      <c r="D3607" s="20">
        <f>IFERROR(YEAR(INPUT!M3602),"")</f>
        <v>1900</v>
      </c>
      <c r="E3607" t="str">
        <f>IF(INPUT!O3602="","",INPUT!O3602)</f>
        <v/>
      </c>
      <c r="F3607" t="str">
        <f>IF(INPUT!N3602="","",INPUT!N3602)</f>
        <v/>
      </c>
      <c r="G3607" cm="1">
        <f t="array" ref="G3607">IFERROR(VLOOKUP(INPUT!M3602&amp;INPUT!N3602,CHOOSE({1,2},INPUT!$A$3:$A$5000&amp;INPUT!$C$3:$C$5000,INPUT!$F$3:$F$5000),2,FALSE),"")</f>
        <v>0</v>
      </c>
      <c r="H3607" cm="1">
        <f t="array" ref="H3607">IFERROR(VLOOKUP(INPUT!M3602&amp;INPUT!N3602,CHOOSE({1,2},INPUT!$A$3:$A$5000&amp;INPUT!$C$3:$C$5000,INPUT!$D$3:$D$5000),2,FALSE),"")</f>
        <v>0</v>
      </c>
      <c r="I3607" s="46" t="str">
        <f>IF(INPUT!P3602="","",INPUT!P3602)</f>
        <v/>
      </c>
      <c r="J3607" s="46" t="str">
        <f>IF(INPUT!Q3602="","",INPUT!Q3602)</f>
        <v/>
      </c>
      <c r="K3607" s="46" t="str">
        <f>IFERROR(IF(OR(INPUT!P3602="",INPUT!Q3602=""),"",INPUT!P3602-INPUT!Q3602),"")</f>
        <v/>
      </c>
      <c r="L3607" s="48" t="str">
        <f>IFERROR(IF(OR(INPUT!P3602="",INPUT!Q3602="",INPUT!P3602=0),"",(INPUT!P3602-INPUT!Q3602)/INPUT!P3602),"")</f>
        <v/>
      </c>
    </row>
    <row r="3608" spans="1:12" ht="18" hidden="1" customHeight="1" x14ac:dyDescent="0.2">
      <c r="A3608" s="11" t="str">
        <f>IF(INPUT!M3603="","",INPUT!M3603)</f>
        <v/>
      </c>
      <c r="B3608" s="11" t="str">
        <f>IF(INPUT!M3603="","",INPUT!M3603-WEEKDAY(INPUT!M3603,2)+1)</f>
        <v/>
      </c>
      <c r="C3608" s="20">
        <f>IFERROR(_xlfn.ISOWEEKNUM(INPUT!M3603),"")</f>
        <v>52</v>
      </c>
      <c r="D3608" s="20">
        <f>IFERROR(YEAR(INPUT!M3603),"")</f>
        <v>1900</v>
      </c>
      <c r="E3608" t="str">
        <f>IF(INPUT!O3603="","",INPUT!O3603)</f>
        <v/>
      </c>
      <c r="F3608" t="str">
        <f>IF(INPUT!N3603="","",INPUT!N3603)</f>
        <v/>
      </c>
      <c r="G3608" cm="1">
        <f t="array" ref="G3608">IFERROR(VLOOKUP(INPUT!M3603&amp;INPUT!N3603,CHOOSE({1,2},INPUT!$A$3:$A$5000&amp;INPUT!$C$3:$C$5000,INPUT!$F$3:$F$5000),2,FALSE),"")</f>
        <v>0</v>
      </c>
      <c r="H3608" cm="1">
        <f t="array" ref="H3608">IFERROR(VLOOKUP(INPUT!M3603&amp;INPUT!N3603,CHOOSE({1,2},INPUT!$A$3:$A$5000&amp;INPUT!$C$3:$C$5000,INPUT!$D$3:$D$5000),2,FALSE),"")</f>
        <v>0</v>
      </c>
      <c r="I3608" s="46" t="str">
        <f>IF(INPUT!P3603="","",INPUT!P3603)</f>
        <v/>
      </c>
      <c r="J3608" s="46" t="str">
        <f>IF(INPUT!Q3603="","",INPUT!Q3603)</f>
        <v/>
      </c>
      <c r="K3608" s="46" t="str">
        <f>IFERROR(IF(OR(INPUT!P3603="",INPUT!Q3603=""),"",INPUT!P3603-INPUT!Q3603),"")</f>
        <v/>
      </c>
      <c r="L3608" s="48" t="str">
        <f>IFERROR(IF(OR(INPUT!P3603="",INPUT!Q3603="",INPUT!P3603=0),"",(INPUT!P3603-INPUT!Q3603)/INPUT!P3603),"")</f>
        <v/>
      </c>
    </row>
    <row r="3609" spans="1:12" ht="18" hidden="1" customHeight="1" x14ac:dyDescent="0.2">
      <c r="A3609" s="11" t="str">
        <f>IF(INPUT!M3604="","",INPUT!M3604)</f>
        <v/>
      </c>
      <c r="B3609" s="11" t="str">
        <f>IF(INPUT!M3604="","",INPUT!M3604-WEEKDAY(INPUT!M3604,2)+1)</f>
        <v/>
      </c>
      <c r="C3609" s="20">
        <f>IFERROR(_xlfn.ISOWEEKNUM(INPUT!M3604),"")</f>
        <v>52</v>
      </c>
      <c r="D3609" s="20">
        <f>IFERROR(YEAR(INPUT!M3604),"")</f>
        <v>1900</v>
      </c>
      <c r="E3609" t="str">
        <f>IF(INPUT!O3604="","",INPUT!O3604)</f>
        <v/>
      </c>
      <c r="F3609" t="str">
        <f>IF(INPUT!N3604="","",INPUT!N3604)</f>
        <v/>
      </c>
      <c r="G3609" cm="1">
        <f t="array" ref="G3609">IFERROR(VLOOKUP(INPUT!M3604&amp;INPUT!N3604,CHOOSE({1,2},INPUT!$A$3:$A$5000&amp;INPUT!$C$3:$C$5000,INPUT!$F$3:$F$5000),2,FALSE),"")</f>
        <v>0</v>
      </c>
      <c r="H3609" cm="1">
        <f t="array" ref="H3609">IFERROR(VLOOKUP(INPUT!M3604&amp;INPUT!N3604,CHOOSE({1,2},INPUT!$A$3:$A$5000&amp;INPUT!$C$3:$C$5000,INPUT!$D$3:$D$5000),2,FALSE),"")</f>
        <v>0</v>
      </c>
      <c r="I3609" s="46" t="str">
        <f>IF(INPUT!P3604="","",INPUT!P3604)</f>
        <v/>
      </c>
      <c r="J3609" s="46" t="str">
        <f>IF(INPUT!Q3604="","",INPUT!Q3604)</f>
        <v/>
      </c>
      <c r="K3609" s="46" t="str">
        <f>IFERROR(IF(OR(INPUT!P3604="",INPUT!Q3604=""),"",INPUT!P3604-INPUT!Q3604),"")</f>
        <v/>
      </c>
      <c r="L3609" s="48" t="str">
        <f>IFERROR(IF(OR(INPUT!P3604="",INPUT!Q3604="",INPUT!P3604=0),"",(INPUT!P3604-INPUT!Q3604)/INPUT!P3604),"")</f>
        <v/>
      </c>
    </row>
    <row r="3610" spans="1:12" ht="18" hidden="1" customHeight="1" x14ac:dyDescent="0.2">
      <c r="A3610" s="11" t="str">
        <f>IF(INPUT!M3605="","",INPUT!M3605)</f>
        <v/>
      </c>
      <c r="B3610" s="11" t="str">
        <f>IF(INPUT!M3605="","",INPUT!M3605-WEEKDAY(INPUT!M3605,2)+1)</f>
        <v/>
      </c>
      <c r="C3610" s="20">
        <f>IFERROR(_xlfn.ISOWEEKNUM(INPUT!M3605),"")</f>
        <v>52</v>
      </c>
      <c r="D3610" s="20">
        <f>IFERROR(YEAR(INPUT!M3605),"")</f>
        <v>1900</v>
      </c>
      <c r="E3610" t="str">
        <f>IF(INPUT!O3605="","",INPUT!O3605)</f>
        <v/>
      </c>
      <c r="F3610" t="str">
        <f>IF(INPUT!N3605="","",INPUT!N3605)</f>
        <v/>
      </c>
      <c r="G3610" cm="1">
        <f t="array" ref="G3610">IFERROR(VLOOKUP(INPUT!M3605&amp;INPUT!N3605,CHOOSE({1,2},INPUT!$A$3:$A$5000&amp;INPUT!$C$3:$C$5000,INPUT!$F$3:$F$5000),2,FALSE),"")</f>
        <v>0</v>
      </c>
      <c r="H3610" cm="1">
        <f t="array" ref="H3610">IFERROR(VLOOKUP(INPUT!M3605&amp;INPUT!N3605,CHOOSE({1,2},INPUT!$A$3:$A$5000&amp;INPUT!$C$3:$C$5000,INPUT!$D$3:$D$5000),2,FALSE),"")</f>
        <v>0</v>
      </c>
      <c r="I3610" s="46" t="str">
        <f>IF(INPUT!P3605="","",INPUT!P3605)</f>
        <v/>
      </c>
      <c r="J3610" s="46" t="str">
        <f>IF(INPUT!Q3605="","",INPUT!Q3605)</f>
        <v/>
      </c>
      <c r="K3610" s="46" t="str">
        <f>IFERROR(IF(OR(INPUT!P3605="",INPUT!Q3605=""),"",INPUT!P3605-INPUT!Q3605),"")</f>
        <v/>
      </c>
      <c r="L3610" s="48" t="str">
        <f>IFERROR(IF(OR(INPUT!P3605="",INPUT!Q3605="",INPUT!P3605=0),"",(INPUT!P3605-INPUT!Q3605)/INPUT!P3605),"")</f>
        <v/>
      </c>
    </row>
    <row r="3611" spans="1:12" ht="18" hidden="1" customHeight="1" x14ac:dyDescent="0.2">
      <c r="A3611" s="11" t="str">
        <f>IF(INPUT!M3606="","",INPUT!M3606)</f>
        <v/>
      </c>
      <c r="B3611" s="11" t="str">
        <f>IF(INPUT!M3606="","",INPUT!M3606-WEEKDAY(INPUT!M3606,2)+1)</f>
        <v/>
      </c>
      <c r="C3611" s="20">
        <f>IFERROR(_xlfn.ISOWEEKNUM(INPUT!M3606),"")</f>
        <v>52</v>
      </c>
      <c r="D3611" s="20">
        <f>IFERROR(YEAR(INPUT!M3606),"")</f>
        <v>1900</v>
      </c>
      <c r="E3611" t="str">
        <f>IF(INPUT!O3606="","",INPUT!O3606)</f>
        <v/>
      </c>
      <c r="F3611" t="str">
        <f>IF(INPUT!N3606="","",INPUT!N3606)</f>
        <v/>
      </c>
      <c r="G3611" cm="1">
        <f t="array" ref="G3611">IFERROR(VLOOKUP(INPUT!M3606&amp;INPUT!N3606,CHOOSE({1,2},INPUT!$A$3:$A$5000&amp;INPUT!$C$3:$C$5000,INPUT!$F$3:$F$5000),2,FALSE),"")</f>
        <v>0</v>
      </c>
      <c r="H3611" cm="1">
        <f t="array" ref="H3611">IFERROR(VLOOKUP(INPUT!M3606&amp;INPUT!N3606,CHOOSE({1,2},INPUT!$A$3:$A$5000&amp;INPUT!$C$3:$C$5000,INPUT!$D$3:$D$5000),2,FALSE),"")</f>
        <v>0</v>
      </c>
      <c r="I3611" s="46" t="str">
        <f>IF(INPUT!P3606="","",INPUT!P3606)</f>
        <v/>
      </c>
      <c r="J3611" s="46" t="str">
        <f>IF(INPUT!Q3606="","",INPUT!Q3606)</f>
        <v/>
      </c>
      <c r="K3611" s="46" t="str">
        <f>IFERROR(IF(OR(INPUT!P3606="",INPUT!Q3606=""),"",INPUT!P3606-INPUT!Q3606),"")</f>
        <v/>
      </c>
      <c r="L3611" s="48" t="str">
        <f>IFERROR(IF(OR(INPUT!P3606="",INPUT!Q3606="",INPUT!P3606=0),"",(INPUT!P3606-INPUT!Q3606)/INPUT!P3606),"")</f>
        <v/>
      </c>
    </row>
    <row r="3612" spans="1:12" ht="18" hidden="1" customHeight="1" x14ac:dyDescent="0.2">
      <c r="A3612" s="11" t="str">
        <f>IF(INPUT!M3607="","",INPUT!M3607)</f>
        <v/>
      </c>
      <c r="B3612" s="11" t="str">
        <f>IF(INPUT!M3607="","",INPUT!M3607-WEEKDAY(INPUT!M3607,2)+1)</f>
        <v/>
      </c>
      <c r="C3612" s="20">
        <f>IFERROR(_xlfn.ISOWEEKNUM(INPUT!M3607),"")</f>
        <v>52</v>
      </c>
      <c r="D3612" s="20">
        <f>IFERROR(YEAR(INPUT!M3607),"")</f>
        <v>1900</v>
      </c>
      <c r="E3612" t="str">
        <f>IF(INPUT!O3607="","",INPUT!O3607)</f>
        <v/>
      </c>
      <c r="F3612" t="str">
        <f>IF(INPUT!N3607="","",INPUT!N3607)</f>
        <v/>
      </c>
      <c r="G3612" cm="1">
        <f t="array" ref="G3612">IFERROR(VLOOKUP(INPUT!M3607&amp;INPUT!N3607,CHOOSE({1,2},INPUT!$A$3:$A$5000&amp;INPUT!$C$3:$C$5000,INPUT!$F$3:$F$5000),2,FALSE),"")</f>
        <v>0</v>
      </c>
      <c r="H3612" cm="1">
        <f t="array" ref="H3612">IFERROR(VLOOKUP(INPUT!M3607&amp;INPUT!N3607,CHOOSE({1,2},INPUT!$A$3:$A$5000&amp;INPUT!$C$3:$C$5000,INPUT!$D$3:$D$5000),2,FALSE),"")</f>
        <v>0</v>
      </c>
      <c r="I3612" s="46" t="str">
        <f>IF(INPUT!P3607="","",INPUT!P3607)</f>
        <v/>
      </c>
      <c r="J3612" s="46" t="str">
        <f>IF(INPUT!Q3607="","",INPUT!Q3607)</f>
        <v/>
      </c>
      <c r="K3612" s="46" t="str">
        <f>IFERROR(IF(OR(INPUT!P3607="",INPUT!Q3607=""),"",INPUT!P3607-INPUT!Q3607),"")</f>
        <v/>
      </c>
      <c r="L3612" s="48" t="str">
        <f>IFERROR(IF(OR(INPUT!P3607="",INPUT!Q3607="",INPUT!P3607=0),"",(INPUT!P3607-INPUT!Q3607)/INPUT!P3607),"")</f>
        <v/>
      </c>
    </row>
    <row r="3613" spans="1:12" ht="18" hidden="1" customHeight="1" x14ac:dyDescent="0.2">
      <c r="A3613" s="11" t="str">
        <f>IF(INPUT!M3608="","",INPUT!M3608)</f>
        <v/>
      </c>
      <c r="B3613" s="11" t="str">
        <f>IF(INPUT!M3608="","",INPUT!M3608-WEEKDAY(INPUT!M3608,2)+1)</f>
        <v/>
      </c>
      <c r="C3613" s="20">
        <f>IFERROR(_xlfn.ISOWEEKNUM(INPUT!M3608),"")</f>
        <v>52</v>
      </c>
      <c r="D3613" s="20">
        <f>IFERROR(YEAR(INPUT!M3608),"")</f>
        <v>1900</v>
      </c>
      <c r="E3613" t="str">
        <f>IF(INPUT!O3608="","",INPUT!O3608)</f>
        <v/>
      </c>
      <c r="F3613" t="str">
        <f>IF(INPUT!N3608="","",INPUT!N3608)</f>
        <v/>
      </c>
      <c r="G3613" cm="1">
        <f t="array" ref="G3613">IFERROR(VLOOKUP(INPUT!M3608&amp;INPUT!N3608,CHOOSE({1,2},INPUT!$A$3:$A$5000&amp;INPUT!$C$3:$C$5000,INPUT!$F$3:$F$5000),2,FALSE),"")</f>
        <v>0</v>
      </c>
      <c r="H3613" cm="1">
        <f t="array" ref="H3613">IFERROR(VLOOKUP(INPUT!M3608&amp;INPUT!N3608,CHOOSE({1,2},INPUT!$A$3:$A$5000&amp;INPUT!$C$3:$C$5000,INPUT!$D$3:$D$5000),2,FALSE),"")</f>
        <v>0</v>
      </c>
      <c r="I3613" s="46" t="str">
        <f>IF(INPUT!P3608="","",INPUT!P3608)</f>
        <v/>
      </c>
      <c r="J3613" s="46" t="str">
        <f>IF(INPUT!Q3608="","",INPUT!Q3608)</f>
        <v/>
      </c>
      <c r="K3613" s="46" t="str">
        <f>IFERROR(IF(OR(INPUT!P3608="",INPUT!Q3608=""),"",INPUT!P3608-INPUT!Q3608),"")</f>
        <v/>
      </c>
      <c r="L3613" s="48" t="str">
        <f>IFERROR(IF(OR(INPUT!P3608="",INPUT!Q3608="",INPUT!P3608=0),"",(INPUT!P3608-INPUT!Q3608)/INPUT!P3608),"")</f>
        <v/>
      </c>
    </row>
    <row r="3614" spans="1:12" ht="18" hidden="1" customHeight="1" x14ac:dyDescent="0.2">
      <c r="A3614" s="11" t="str">
        <f>IF(INPUT!M3609="","",INPUT!M3609)</f>
        <v/>
      </c>
      <c r="B3614" s="11" t="str">
        <f>IF(INPUT!M3609="","",INPUT!M3609-WEEKDAY(INPUT!M3609,2)+1)</f>
        <v/>
      </c>
      <c r="C3614" s="20">
        <f>IFERROR(_xlfn.ISOWEEKNUM(INPUT!M3609),"")</f>
        <v>52</v>
      </c>
      <c r="D3614" s="20">
        <f>IFERROR(YEAR(INPUT!M3609),"")</f>
        <v>1900</v>
      </c>
      <c r="E3614" t="str">
        <f>IF(INPUT!O3609="","",INPUT!O3609)</f>
        <v/>
      </c>
      <c r="F3614" t="str">
        <f>IF(INPUT!N3609="","",INPUT!N3609)</f>
        <v/>
      </c>
      <c r="G3614" cm="1">
        <f t="array" ref="G3614">IFERROR(VLOOKUP(INPUT!M3609&amp;INPUT!N3609,CHOOSE({1,2},INPUT!$A$3:$A$5000&amp;INPUT!$C$3:$C$5000,INPUT!$F$3:$F$5000),2,FALSE),"")</f>
        <v>0</v>
      </c>
      <c r="H3614" cm="1">
        <f t="array" ref="H3614">IFERROR(VLOOKUP(INPUT!M3609&amp;INPUT!N3609,CHOOSE({1,2},INPUT!$A$3:$A$5000&amp;INPUT!$C$3:$C$5000,INPUT!$D$3:$D$5000),2,FALSE),"")</f>
        <v>0</v>
      </c>
      <c r="I3614" s="46" t="str">
        <f>IF(INPUT!P3609="","",INPUT!P3609)</f>
        <v/>
      </c>
      <c r="J3614" s="46" t="str">
        <f>IF(INPUT!Q3609="","",INPUT!Q3609)</f>
        <v/>
      </c>
      <c r="K3614" s="46" t="str">
        <f>IFERROR(IF(OR(INPUT!P3609="",INPUT!Q3609=""),"",INPUT!P3609-INPUT!Q3609),"")</f>
        <v/>
      </c>
      <c r="L3614" s="48" t="str">
        <f>IFERROR(IF(OR(INPUT!P3609="",INPUT!Q3609="",INPUT!P3609=0),"",(INPUT!P3609-INPUT!Q3609)/INPUT!P3609),"")</f>
        <v/>
      </c>
    </row>
    <row r="3615" spans="1:12" ht="18" hidden="1" customHeight="1" x14ac:dyDescent="0.2">
      <c r="A3615" s="11" t="str">
        <f>IF(INPUT!M3610="","",INPUT!M3610)</f>
        <v/>
      </c>
      <c r="B3615" s="11" t="str">
        <f>IF(INPUT!M3610="","",INPUT!M3610-WEEKDAY(INPUT!M3610,2)+1)</f>
        <v/>
      </c>
      <c r="C3615" s="20">
        <f>IFERROR(_xlfn.ISOWEEKNUM(INPUT!M3610),"")</f>
        <v>52</v>
      </c>
      <c r="D3615" s="20">
        <f>IFERROR(YEAR(INPUT!M3610),"")</f>
        <v>1900</v>
      </c>
      <c r="E3615" t="str">
        <f>IF(INPUT!O3610="","",INPUT!O3610)</f>
        <v/>
      </c>
      <c r="F3615" t="str">
        <f>IF(INPUT!N3610="","",INPUT!N3610)</f>
        <v/>
      </c>
      <c r="G3615" cm="1">
        <f t="array" ref="G3615">IFERROR(VLOOKUP(INPUT!M3610&amp;INPUT!N3610,CHOOSE({1,2},INPUT!$A$3:$A$5000&amp;INPUT!$C$3:$C$5000,INPUT!$F$3:$F$5000),2,FALSE),"")</f>
        <v>0</v>
      </c>
      <c r="H3615" cm="1">
        <f t="array" ref="H3615">IFERROR(VLOOKUP(INPUT!M3610&amp;INPUT!N3610,CHOOSE({1,2},INPUT!$A$3:$A$5000&amp;INPUT!$C$3:$C$5000,INPUT!$D$3:$D$5000),2,FALSE),"")</f>
        <v>0</v>
      </c>
      <c r="I3615" s="46" t="str">
        <f>IF(INPUT!P3610="","",INPUT!P3610)</f>
        <v/>
      </c>
      <c r="J3615" s="46" t="str">
        <f>IF(INPUT!Q3610="","",INPUT!Q3610)</f>
        <v/>
      </c>
      <c r="K3615" s="46" t="str">
        <f>IFERROR(IF(OR(INPUT!P3610="",INPUT!Q3610=""),"",INPUT!P3610-INPUT!Q3610),"")</f>
        <v/>
      </c>
      <c r="L3615" s="48" t="str">
        <f>IFERROR(IF(OR(INPUT!P3610="",INPUT!Q3610="",INPUT!P3610=0),"",(INPUT!P3610-INPUT!Q3610)/INPUT!P3610),"")</f>
        <v/>
      </c>
    </row>
    <row r="3616" spans="1:12" ht="18" hidden="1" customHeight="1" x14ac:dyDescent="0.2">
      <c r="A3616" s="11" t="str">
        <f>IF(INPUT!M3611="","",INPUT!M3611)</f>
        <v/>
      </c>
      <c r="B3616" s="11" t="str">
        <f>IF(INPUT!M3611="","",INPUT!M3611-WEEKDAY(INPUT!M3611,2)+1)</f>
        <v/>
      </c>
      <c r="C3616" s="20">
        <f>IFERROR(_xlfn.ISOWEEKNUM(INPUT!M3611),"")</f>
        <v>52</v>
      </c>
      <c r="D3616" s="20">
        <f>IFERROR(YEAR(INPUT!M3611),"")</f>
        <v>1900</v>
      </c>
      <c r="E3616" t="str">
        <f>IF(INPUT!O3611="","",INPUT!O3611)</f>
        <v/>
      </c>
      <c r="F3616" t="str">
        <f>IF(INPUT!N3611="","",INPUT!N3611)</f>
        <v/>
      </c>
      <c r="G3616" cm="1">
        <f t="array" ref="G3616">IFERROR(VLOOKUP(INPUT!M3611&amp;INPUT!N3611,CHOOSE({1,2},INPUT!$A$3:$A$5000&amp;INPUT!$C$3:$C$5000,INPUT!$F$3:$F$5000),2,FALSE),"")</f>
        <v>0</v>
      </c>
      <c r="H3616" cm="1">
        <f t="array" ref="H3616">IFERROR(VLOOKUP(INPUT!M3611&amp;INPUT!N3611,CHOOSE({1,2},INPUT!$A$3:$A$5000&amp;INPUT!$C$3:$C$5000,INPUT!$D$3:$D$5000),2,FALSE),"")</f>
        <v>0</v>
      </c>
      <c r="I3616" s="46" t="str">
        <f>IF(INPUT!P3611="","",INPUT!P3611)</f>
        <v/>
      </c>
      <c r="J3616" s="46" t="str">
        <f>IF(INPUT!Q3611="","",INPUT!Q3611)</f>
        <v/>
      </c>
      <c r="K3616" s="46" t="str">
        <f>IFERROR(IF(OR(INPUT!P3611="",INPUT!Q3611=""),"",INPUT!P3611-INPUT!Q3611),"")</f>
        <v/>
      </c>
      <c r="L3616" s="48" t="str">
        <f>IFERROR(IF(OR(INPUT!P3611="",INPUT!Q3611="",INPUT!P3611=0),"",(INPUT!P3611-INPUT!Q3611)/INPUT!P3611),"")</f>
        <v/>
      </c>
    </row>
    <row r="3617" spans="1:12" ht="18" hidden="1" customHeight="1" x14ac:dyDescent="0.2">
      <c r="A3617" s="11" t="str">
        <f>IF(INPUT!M3612="","",INPUT!M3612)</f>
        <v/>
      </c>
      <c r="B3617" s="11" t="str">
        <f>IF(INPUT!M3612="","",INPUT!M3612-WEEKDAY(INPUT!M3612,2)+1)</f>
        <v/>
      </c>
      <c r="C3617" s="20">
        <f>IFERROR(_xlfn.ISOWEEKNUM(INPUT!M3612),"")</f>
        <v>52</v>
      </c>
      <c r="D3617" s="20">
        <f>IFERROR(YEAR(INPUT!M3612),"")</f>
        <v>1900</v>
      </c>
      <c r="E3617" t="str">
        <f>IF(INPUT!O3612="","",INPUT!O3612)</f>
        <v/>
      </c>
      <c r="F3617" t="str">
        <f>IF(INPUT!N3612="","",INPUT!N3612)</f>
        <v/>
      </c>
      <c r="G3617" cm="1">
        <f t="array" ref="G3617">IFERROR(VLOOKUP(INPUT!M3612&amp;INPUT!N3612,CHOOSE({1,2},INPUT!$A$3:$A$5000&amp;INPUT!$C$3:$C$5000,INPUT!$F$3:$F$5000),2,FALSE),"")</f>
        <v>0</v>
      </c>
      <c r="H3617" cm="1">
        <f t="array" ref="H3617">IFERROR(VLOOKUP(INPUT!M3612&amp;INPUT!N3612,CHOOSE({1,2},INPUT!$A$3:$A$5000&amp;INPUT!$C$3:$C$5000,INPUT!$D$3:$D$5000),2,FALSE),"")</f>
        <v>0</v>
      </c>
      <c r="I3617" s="46" t="str">
        <f>IF(INPUT!P3612="","",INPUT!P3612)</f>
        <v/>
      </c>
      <c r="J3617" s="46" t="str">
        <f>IF(INPUT!Q3612="","",INPUT!Q3612)</f>
        <v/>
      </c>
      <c r="K3617" s="46" t="str">
        <f>IFERROR(IF(OR(INPUT!P3612="",INPUT!Q3612=""),"",INPUT!P3612-INPUT!Q3612),"")</f>
        <v/>
      </c>
      <c r="L3617" s="48" t="str">
        <f>IFERROR(IF(OR(INPUT!P3612="",INPUT!Q3612="",INPUT!P3612=0),"",(INPUT!P3612-INPUT!Q3612)/INPUT!P3612),"")</f>
        <v/>
      </c>
    </row>
    <row r="3618" spans="1:12" ht="18" hidden="1" customHeight="1" x14ac:dyDescent="0.2">
      <c r="A3618" s="11" t="str">
        <f>IF(INPUT!M3613="","",INPUT!M3613)</f>
        <v/>
      </c>
      <c r="B3618" s="11" t="str">
        <f>IF(INPUT!M3613="","",INPUT!M3613-WEEKDAY(INPUT!M3613,2)+1)</f>
        <v/>
      </c>
      <c r="C3618" s="20">
        <f>IFERROR(_xlfn.ISOWEEKNUM(INPUT!M3613),"")</f>
        <v>52</v>
      </c>
      <c r="D3618" s="20">
        <f>IFERROR(YEAR(INPUT!M3613),"")</f>
        <v>1900</v>
      </c>
      <c r="E3618" t="str">
        <f>IF(INPUT!O3613="","",INPUT!O3613)</f>
        <v/>
      </c>
      <c r="F3618" t="str">
        <f>IF(INPUT!N3613="","",INPUT!N3613)</f>
        <v/>
      </c>
      <c r="G3618" cm="1">
        <f t="array" ref="G3618">IFERROR(VLOOKUP(INPUT!M3613&amp;INPUT!N3613,CHOOSE({1,2},INPUT!$A$3:$A$5000&amp;INPUT!$C$3:$C$5000,INPUT!$F$3:$F$5000),2,FALSE),"")</f>
        <v>0</v>
      </c>
      <c r="H3618" cm="1">
        <f t="array" ref="H3618">IFERROR(VLOOKUP(INPUT!M3613&amp;INPUT!N3613,CHOOSE({1,2},INPUT!$A$3:$A$5000&amp;INPUT!$C$3:$C$5000,INPUT!$D$3:$D$5000),2,FALSE),"")</f>
        <v>0</v>
      </c>
      <c r="I3618" s="46" t="str">
        <f>IF(INPUT!P3613="","",INPUT!P3613)</f>
        <v/>
      </c>
      <c r="J3618" s="46" t="str">
        <f>IF(INPUT!Q3613="","",INPUT!Q3613)</f>
        <v/>
      </c>
      <c r="K3618" s="46" t="str">
        <f>IFERROR(IF(OR(INPUT!P3613="",INPUT!Q3613=""),"",INPUT!P3613-INPUT!Q3613),"")</f>
        <v/>
      </c>
      <c r="L3618" s="48" t="str">
        <f>IFERROR(IF(OR(INPUT!P3613="",INPUT!Q3613="",INPUT!P3613=0),"",(INPUT!P3613-INPUT!Q3613)/INPUT!P3613),"")</f>
        <v/>
      </c>
    </row>
    <row r="3619" spans="1:12" ht="18" hidden="1" customHeight="1" x14ac:dyDescent="0.2">
      <c r="A3619" s="11" t="str">
        <f>IF(INPUT!M3614="","",INPUT!M3614)</f>
        <v/>
      </c>
      <c r="B3619" s="11" t="str">
        <f>IF(INPUT!M3614="","",INPUT!M3614-WEEKDAY(INPUT!M3614,2)+1)</f>
        <v/>
      </c>
      <c r="C3619" s="20">
        <f>IFERROR(_xlfn.ISOWEEKNUM(INPUT!M3614),"")</f>
        <v>52</v>
      </c>
      <c r="D3619" s="20">
        <f>IFERROR(YEAR(INPUT!M3614),"")</f>
        <v>1900</v>
      </c>
      <c r="E3619" t="str">
        <f>IF(INPUT!O3614="","",INPUT!O3614)</f>
        <v/>
      </c>
      <c r="F3619" t="str">
        <f>IF(INPUT!N3614="","",INPUT!N3614)</f>
        <v/>
      </c>
      <c r="G3619" cm="1">
        <f t="array" ref="G3619">IFERROR(VLOOKUP(INPUT!M3614&amp;INPUT!N3614,CHOOSE({1,2},INPUT!$A$3:$A$5000&amp;INPUT!$C$3:$C$5000,INPUT!$F$3:$F$5000),2,FALSE),"")</f>
        <v>0</v>
      </c>
      <c r="H3619" cm="1">
        <f t="array" ref="H3619">IFERROR(VLOOKUP(INPUT!M3614&amp;INPUT!N3614,CHOOSE({1,2},INPUT!$A$3:$A$5000&amp;INPUT!$C$3:$C$5000,INPUT!$D$3:$D$5000),2,FALSE),"")</f>
        <v>0</v>
      </c>
      <c r="I3619" s="46" t="str">
        <f>IF(INPUT!P3614="","",INPUT!P3614)</f>
        <v/>
      </c>
      <c r="J3619" s="46" t="str">
        <f>IF(INPUT!Q3614="","",INPUT!Q3614)</f>
        <v/>
      </c>
      <c r="K3619" s="46" t="str">
        <f>IFERROR(IF(OR(INPUT!P3614="",INPUT!Q3614=""),"",INPUT!P3614-INPUT!Q3614),"")</f>
        <v/>
      </c>
      <c r="L3619" s="48" t="str">
        <f>IFERROR(IF(OR(INPUT!P3614="",INPUT!Q3614="",INPUT!P3614=0),"",(INPUT!P3614-INPUT!Q3614)/INPUT!P3614),"")</f>
        <v/>
      </c>
    </row>
    <row r="3620" spans="1:12" ht="18" hidden="1" customHeight="1" x14ac:dyDescent="0.2">
      <c r="A3620" s="11" t="str">
        <f>IF(INPUT!M3615="","",INPUT!M3615)</f>
        <v/>
      </c>
      <c r="B3620" s="11" t="str">
        <f>IF(INPUT!M3615="","",INPUT!M3615-WEEKDAY(INPUT!M3615,2)+1)</f>
        <v/>
      </c>
      <c r="C3620" s="20">
        <f>IFERROR(_xlfn.ISOWEEKNUM(INPUT!M3615),"")</f>
        <v>52</v>
      </c>
      <c r="D3620" s="20">
        <f>IFERROR(YEAR(INPUT!M3615),"")</f>
        <v>1900</v>
      </c>
      <c r="E3620" t="str">
        <f>IF(INPUT!O3615="","",INPUT!O3615)</f>
        <v/>
      </c>
      <c r="F3620" t="str">
        <f>IF(INPUT!N3615="","",INPUT!N3615)</f>
        <v/>
      </c>
      <c r="G3620" cm="1">
        <f t="array" ref="G3620">IFERROR(VLOOKUP(INPUT!M3615&amp;INPUT!N3615,CHOOSE({1,2},INPUT!$A$3:$A$5000&amp;INPUT!$C$3:$C$5000,INPUT!$F$3:$F$5000),2,FALSE),"")</f>
        <v>0</v>
      </c>
      <c r="H3620" cm="1">
        <f t="array" ref="H3620">IFERROR(VLOOKUP(INPUT!M3615&amp;INPUT!N3615,CHOOSE({1,2},INPUT!$A$3:$A$5000&amp;INPUT!$C$3:$C$5000,INPUT!$D$3:$D$5000),2,FALSE),"")</f>
        <v>0</v>
      </c>
      <c r="I3620" s="46" t="str">
        <f>IF(INPUT!P3615="","",INPUT!P3615)</f>
        <v/>
      </c>
      <c r="J3620" s="46" t="str">
        <f>IF(INPUT!Q3615="","",INPUT!Q3615)</f>
        <v/>
      </c>
      <c r="K3620" s="46" t="str">
        <f>IFERROR(IF(OR(INPUT!P3615="",INPUT!Q3615=""),"",INPUT!P3615-INPUT!Q3615),"")</f>
        <v/>
      </c>
      <c r="L3620" s="48" t="str">
        <f>IFERROR(IF(OR(INPUT!P3615="",INPUT!Q3615="",INPUT!P3615=0),"",(INPUT!P3615-INPUT!Q3615)/INPUT!P3615),"")</f>
        <v/>
      </c>
    </row>
    <row r="3621" spans="1:12" ht="18" hidden="1" customHeight="1" x14ac:dyDescent="0.2">
      <c r="A3621" s="11" t="str">
        <f>IF(INPUT!M3616="","",INPUT!M3616)</f>
        <v/>
      </c>
      <c r="B3621" s="11" t="str">
        <f>IF(INPUT!M3616="","",INPUT!M3616-WEEKDAY(INPUT!M3616,2)+1)</f>
        <v/>
      </c>
      <c r="C3621" s="20">
        <f>IFERROR(_xlfn.ISOWEEKNUM(INPUT!M3616),"")</f>
        <v>52</v>
      </c>
      <c r="D3621" s="20">
        <f>IFERROR(YEAR(INPUT!M3616),"")</f>
        <v>1900</v>
      </c>
      <c r="E3621" t="str">
        <f>IF(INPUT!O3616="","",INPUT!O3616)</f>
        <v/>
      </c>
      <c r="F3621" t="str">
        <f>IF(INPUT!N3616="","",INPUT!N3616)</f>
        <v/>
      </c>
      <c r="G3621" cm="1">
        <f t="array" ref="G3621">IFERROR(VLOOKUP(INPUT!M3616&amp;INPUT!N3616,CHOOSE({1,2},INPUT!$A$3:$A$5000&amp;INPUT!$C$3:$C$5000,INPUT!$F$3:$F$5000),2,FALSE),"")</f>
        <v>0</v>
      </c>
      <c r="H3621" cm="1">
        <f t="array" ref="H3621">IFERROR(VLOOKUP(INPUT!M3616&amp;INPUT!N3616,CHOOSE({1,2},INPUT!$A$3:$A$5000&amp;INPUT!$C$3:$C$5000,INPUT!$D$3:$D$5000),2,FALSE),"")</f>
        <v>0</v>
      </c>
      <c r="I3621" s="46" t="str">
        <f>IF(INPUT!P3616="","",INPUT!P3616)</f>
        <v/>
      </c>
      <c r="J3621" s="46" t="str">
        <f>IF(INPUT!Q3616="","",INPUT!Q3616)</f>
        <v/>
      </c>
      <c r="K3621" s="46" t="str">
        <f>IFERROR(IF(OR(INPUT!P3616="",INPUT!Q3616=""),"",INPUT!P3616-INPUT!Q3616),"")</f>
        <v/>
      </c>
      <c r="L3621" s="48" t="str">
        <f>IFERROR(IF(OR(INPUT!P3616="",INPUT!Q3616="",INPUT!P3616=0),"",(INPUT!P3616-INPUT!Q3616)/INPUT!P3616),"")</f>
        <v/>
      </c>
    </row>
    <row r="3622" spans="1:12" ht="18" hidden="1" customHeight="1" x14ac:dyDescent="0.2">
      <c r="A3622" s="11" t="str">
        <f>IF(INPUT!M3617="","",INPUT!M3617)</f>
        <v/>
      </c>
      <c r="B3622" s="11" t="str">
        <f>IF(INPUT!M3617="","",INPUT!M3617-WEEKDAY(INPUT!M3617,2)+1)</f>
        <v/>
      </c>
      <c r="C3622" s="20">
        <f>IFERROR(_xlfn.ISOWEEKNUM(INPUT!M3617),"")</f>
        <v>52</v>
      </c>
      <c r="D3622" s="20">
        <f>IFERROR(YEAR(INPUT!M3617),"")</f>
        <v>1900</v>
      </c>
      <c r="E3622" t="str">
        <f>IF(INPUT!O3617="","",INPUT!O3617)</f>
        <v/>
      </c>
      <c r="F3622" t="str">
        <f>IF(INPUT!N3617="","",INPUT!N3617)</f>
        <v/>
      </c>
      <c r="G3622" cm="1">
        <f t="array" ref="G3622">IFERROR(VLOOKUP(INPUT!M3617&amp;INPUT!N3617,CHOOSE({1,2},INPUT!$A$3:$A$5000&amp;INPUT!$C$3:$C$5000,INPUT!$F$3:$F$5000),2,FALSE),"")</f>
        <v>0</v>
      </c>
      <c r="H3622" cm="1">
        <f t="array" ref="H3622">IFERROR(VLOOKUP(INPUT!M3617&amp;INPUT!N3617,CHOOSE({1,2},INPUT!$A$3:$A$5000&amp;INPUT!$C$3:$C$5000,INPUT!$D$3:$D$5000),2,FALSE),"")</f>
        <v>0</v>
      </c>
      <c r="I3622" s="46" t="str">
        <f>IF(INPUT!P3617="","",INPUT!P3617)</f>
        <v/>
      </c>
      <c r="J3622" s="46" t="str">
        <f>IF(INPUT!Q3617="","",INPUT!Q3617)</f>
        <v/>
      </c>
      <c r="K3622" s="46" t="str">
        <f>IFERROR(IF(OR(INPUT!P3617="",INPUT!Q3617=""),"",INPUT!P3617-INPUT!Q3617),"")</f>
        <v/>
      </c>
      <c r="L3622" s="48" t="str">
        <f>IFERROR(IF(OR(INPUT!P3617="",INPUT!Q3617="",INPUT!P3617=0),"",(INPUT!P3617-INPUT!Q3617)/INPUT!P3617),"")</f>
        <v/>
      </c>
    </row>
    <row r="3623" spans="1:12" ht="18" hidden="1" customHeight="1" x14ac:dyDescent="0.2">
      <c r="A3623" s="11" t="str">
        <f>IF(INPUT!M3618="","",INPUT!M3618)</f>
        <v/>
      </c>
      <c r="B3623" s="11" t="str">
        <f>IF(INPUT!M3618="","",INPUT!M3618-WEEKDAY(INPUT!M3618,2)+1)</f>
        <v/>
      </c>
      <c r="C3623" s="20">
        <f>IFERROR(_xlfn.ISOWEEKNUM(INPUT!M3618),"")</f>
        <v>52</v>
      </c>
      <c r="D3623" s="20">
        <f>IFERROR(YEAR(INPUT!M3618),"")</f>
        <v>1900</v>
      </c>
      <c r="E3623" t="str">
        <f>IF(INPUT!O3618="","",INPUT!O3618)</f>
        <v/>
      </c>
      <c r="F3623" t="str">
        <f>IF(INPUT!N3618="","",INPUT!N3618)</f>
        <v/>
      </c>
      <c r="G3623" cm="1">
        <f t="array" ref="G3623">IFERROR(VLOOKUP(INPUT!M3618&amp;INPUT!N3618,CHOOSE({1,2},INPUT!$A$3:$A$5000&amp;INPUT!$C$3:$C$5000,INPUT!$F$3:$F$5000),2,FALSE),"")</f>
        <v>0</v>
      </c>
      <c r="H3623" cm="1">
        <f t="array" ref="H3623">IFERROR(VLOOKUP(INPUT!M3618&amp;INPUT!N3618,CHOOSE({1,2},INPUT!$A$3:$A$5000&amp;INPUT!$C$3:$C$5000,INPUT!$D$3:$D$5000),2,FALSE),"")</f>
        <v>0</v>
      </c>
      <c r="I3623" s="46" t="str">
        <f>IF(INPUT!P3618="","",INPUT!P3618)</f>
        <v/>
      </c>
      <c r="J3623" s="46" t="str">
        <f>IF(INPUT!Q3618="","",INPUT!Q3618)</f>
        <v/>
      </c>
      <c r="K3623" s="46" t="str">
        <f>IFERROR(IF(OR(INPUT!P3618="",INPUT!Q3618=""),"",INPUT!P3618-INPUT!Q3618),"")</f>
        <v/>
      </c>
      <c r="L3623" s="48" t="str">
        <f>IFERROR(IF(OR(INPUT!P3618="",INPUT!Q3618="",INPUT!P3618=0),"",(INPUT!P3618-INPUT!Q3618)/INPUT!P3618),"")</f>
        <v/>
      </c>
    </row>
    <row r="3624" spans="1:12" ht="18" hidden="1" customHeight="1" x14ac:dyDescent="0.2">
      <c r="A3624" s="11" t="str">
        <f>IF(INPUT!M3619="","",INPUT!M3619)</f>
        <v/>
      </c>
      <c r="B3624" s="11" t="str">
        <f>IF(INPUT!M3619="","",INPUT!M3619-WEEKDAY(INPUT!M3619,2)+1)</f>
        <v/>
      </c>
      <c r="C3624" s="20">
        <f>IFERROR(_xlfn.ISOWEEKNUM(INPUT!M3619),"")</f>
        <v>52</v>
      </c>
      <c r="D3624" s="20">
        <f>IFERROR(YEAR(INPUT!M3619),"")</f>
        <v>1900</v>
      </c>
      <c r="E3624" t="str">
        <f>IF(INPUT!O3619="","",INPUT!O3619)</f>
        <v/>
      </c>
      <c r="F3624" t="str">
        <f>IF(INPUT!N3619="","",INPUT!N3619)</f>
        <v/>
      </c>
      <c r="G3624" cm="1">
        <f t="array" ref="G3624">IFERROR(VLOOKUP(INPUT!M3619&amp;INPUT!N3619,CHOOSE({1,2},INPUT!$A$3:$A$5000&amp;INPUT!$C$3:$C$5000,INPUT!$F$3:$F$5000),2,FALSE),"")</f>
        <v>0</v>
      </c>
      <c r="H3624" cm="1">
        <f t="array" ref="H3624">IFERROR(VLOOKUP(INPUT!M3619&amp;INPUT!N3619,CHOOSE({1,2},INPUT!$A$3:$A$5000&amp;INPUT!$C$3:$C$5000,INPUT!$D$3:$D$5000),2,FALSE),"")</f>
        <v>0</v>
      </c>
      <c r="I3624" s="46" t="str">
        <f>IF(INPUT!P3619="","",INPUT!P3619)</f>
        <v/>
      </c>
      <c r="J3624" s="46" t="str">
        <f>IF(INPUT!Q3619="","",INPUT!Q3619)</f>
        <v/>
      </c>
      <c r="K3624" s="46" t="str">
        <f>IFERROR(IF(OR(INPUT!P3619="",INPUT!Q3619=""),"",INPUT!P3619-INPUT!Q3619),"")</f>
        <v/>
      </c>
      <c r="L3624" s="48" t="str">
        <f>IFERROR(IF(OR(INPUT!P3619="",INPUT!Q3619="",INPUT!P3619=0),"",(INPUT!P3619-INPUT!Q3619)/INPUT!P3619),"")</f>
        <v/>
      </c>
    </row>
    <row r="3625" spans="1:12" ht="18" hidden="1" customHeight="1" x14ac:dyDescent="0.2">
      <c r="A3625" s="11" t="str">
        <f>IF(INPUT!M3620="","",INPUT!M3620)</f>
        <v/>
      </c>
      <c r="B3625" s="11" t="str">
        <f>IF(INPUT!M3620="","",INPUT!M3620-WEEKDAY(INPUT!M3620,2)+1)</f>
        <v/>
      </c>
      <c r="C3625" s="20">
        <f>IFERROR(_xlfn.ISOWEEKNUM(INPUT!M3620),"")</f>
        <v>52</v>
      </c>
      <c r="D3625" s="20">
        <f>IFERROR(YEAR(INPUT!M3620),"")</f>
        <v>1900</v>
      </c>
      <c r="E3625" t="str">
        <f>IF(INPUT!O3620="","",INPUT!O3620)</f>
        <v/>
      </c>
      <c r="F3625" t="str">
        <f>IF(INPUT!N3620="","",INPUT!N3620)</f>
        <v/>
      </c>
      <c r="G3625" cm="1">
        <f t="array" ref="G3625">IFERROR(VLOOKUP(INPUT!M3620&amp;INPUT!N3620,CHOOSE({1,2},INPUT!$A$3:$A$5000&amp;INPUT!$C$3:$C$5000,INPUT!$F$3:$F$5000),2,FALSE),"")</f>
        <v>0</v>
      </c>
      <c r="H3625" cm="1">
        <f t="array" ref="H3625">IFERROR(VLOOKUP(INPUT!M3620&amp;INPUT!N3620,CHOOSE({1,2},INPUT!$A$3:$A$5000&amp;INPUT!$C$3:$C$5000,INPUT!$D$3:$D$5000),2,FALSE),"")</f>
        <v>0</v>
      </c>
      <c r="I3625" s="46" t="str">
        <f>IF(INPUT!P3620="","",INPUT!P3620)</f>
        <v/>
      </c>
      <c r="J3625" s="46" t="str">
        <f>IF(INPUT!Q3620="","",INPUT!Q3620)</f>
        <v/>
      </c>
      <c r="K3625" s="46" t="str">
        <f>IFERROR(IF(OR(INPUT!P3620="",INPUT!Q3620=""),"",INPUT!P3620-INPUT!Q3620),"")</f>
        <v/>
      </c>
      <c r="L3625" s="48" t="str">
        <f>IFERROR(IF(OR(INPUT!P3620="",INPUT!Q3620="",INPUT!P3620=0),"",(INPUT!P3620-INPUT!Q3620)/INPUT!P3620),"")</f>
        <v/>
      </c>
    </row>
    <row r="3626" spans="1:12" ht="18" hidden="1" customHeight="1" x14ac:dyDescent="0.2">
      <c r="A3626" s="11" t="str">
        <f>IF(INPUT!M3621="","",INPUT!M3621)</f>
        <v/>
      </c>
      <c r="B3626" s="11" t="str">
        <f>IF(INPUT!M3621="","",INPUT!M3621-WEEKDAY(INPUT!M3621,2)+1)</f>
        <v/>
      </c>
      <c r="C3626" s="20">
        <f>IFERROR(_xlfn.ISOWEEKNUM(INPUT!M3621),"")</f>
        <v>52</v>
      </c>
      <c r="D3626" s="20">
        <f>IFERROR(YEAR(INPUT!M3621),"")</f>
        <v>1900</v>
      </c>
      <c r="E3626" t="str">
        <f>IF(INPUT!O3621="","",INPUT!O3621)</f>
        <v/>
      </c>
      <c r="F3626" t="str">
        <f>IF(INPUT!N3621="","",INPUT!N3621)</f>
        <v/>
      </c>
      <c r="G3626" cm="1">
        <f t="array" ref="G3626">IFERROR(VLOOKUP(INPUT!M3621&amp;INPUT!N3621,CHOOSE({1,2},INPUT!$A$3:$A$5000&amp;INPUT!$C$3:$C$5000,INPUT!$F$3:$F$5000),2,FALSE),"")</f>
        <v>0</v>
      </c>
      <c r="H3626" cm="1">
        <f t="array" ref="H3626">IFERROR(VLOOKUP(INPUT!M3621&amp;INPUT!N3621,CHOOSE({1,2},INPUT!$A$3:$A$5000&amp;INPUT!$C$3:$C$5000,INPUT!$D$3:$D$5000),2,FALSE),"")</f>
        <v>0</v>
      </c>
      <c r="I3626" s="46" t="str">
        <f>IF(INPUT!P3621="","",INPUT!P3621)</f>
        <v/>
      </c>
      <c r="J3626" s="46" t="str">
        <f>IF(INPUT!Q3621="","",INPUT!Q3621)</f>
        <v/>
      </c>
      <c r="K3626" s="46" t="str">
        <f>IFERROR(IF(OR(INPUT!P3621="",INPUT!Q3621=""),"",INPUT!P3621-INPUT!Q3621),"")</f>
        <v/>
      </c>
      <c r="L3626" s="48" t="str">
        <f>IFERROR(IF(OR(INPUT!P3621="",INPUT!Q3621="",INPUT!P3621=0),"",(INPUT!P3621-INPUT!Q3621)/INPUT!P3621),"")</f>
        <v/>
      </c>
    </row>
    <row r="3627" spans="1:12" ht="18" hidden="1" customHeight="1" x14ac:dyDescent="0.2">
      <c r="A3627" s="11" t="str">
        <f>IF(INPUT!M3622="","",INPUT!M3622)</f>
        <v/>
      </c>
      <c r="B3627" s="11" t="str">
        <f>IF(INPUT!M3622="","",INPUT!M3622-WEEKDAY(INPUT!M3622,2)+1)</f>
        <v/>
      </c>
      <c r="C3627" s="20">
        <f>IFERROR(_xlfn.ISOWEEKNUM(INPUT!M3622),"")</f>
        <v>52</v>
      </c>
      <c r="D3627" s="20">
        <f>IFERROR(YEAR(INPUT!M3622),"")</f>
        <v>1900</v>
      </c>
      <c r="E3627" t="str">
        <f>IF(INPUT!O3622="","",INPUT!O3622)</f>
        <v/>
      </c>
      <c r="F3627" t="str">
        <f>IF(INPUT!N3622="","",INPUT!N3622)</f>
        <v/>
      </c>
      <c r="G3627" cm="1">
        <f t="array" ref="G3627">IFERROR(VLOOKUP(INPUT!M3622&amp;INPUT!N3622,CHOOSE({1,2},INPUT!$A$3:$A$5000&amp;INPUT!$C$3:$C$5000,INPUT!$F$3:$F$5000),2,FALSE),"")</f>
        <v>0</v>
      </c>
      <c r="H3627" cm="1">
        <f t="array" ref="H3627">IFERROR(VLOOKUP(INPUT!M3622&amp;INPUT!N3622,CHOOSE({1,2},INPUT!$A$3:$A$5000&amp;INPUT!$C$3:$C$5000,INPUT!$D$3:$D$5000),2,FALSE),"")</f>
        <v>0</v>
      </c>
      <c r="I3627" s="46" t="str">
        <f>IF(INPUT!P3622="","",INPUT!P3622)</f>
        <v/>
      </c>
      <c r="J3627" s="46" t="str">
        <f>IF(INPUT!Q3622="","",INPUT!Q3622)</f>
        <v/>
      </c>
      <c r="K3627" s="46" t="str">
        <f>IFERROR(IF(OR(INPUT!P3622="",INPUT!Q3622=""),"",INPUT!P3622-INPUT!Q3622),"")</f>
        <v/>
      </c>
      <c r="L3627" s="48" t="str">
        <f>IFERROR(IF(OR(INPUT!P3622="",INPUT!Q3622="",INPUT!P3622=0),"",(INPUT!P3622-INPUT!Q3622)/INPUT!P3622),"")</f>
        <v/>
      </c>
    </row>
    <row r="3628" spans="1:12" ht="18" hidden="1" customHeight="1" x14ac:dyDescent="0.2">
      <c r="A3628" s="11" t="str">
        <f>IF(INPUT!M3623="","",INPUT!M3623)</f>
        <v/>
      </c>
      <c r="B3628" s="11" t="str">
        <f>IF(INPUT!M3623="","",INPUT!M3623-WEEKDAY(INPUT!M3623,2)+1)</f>
        <v/>
      </c>
      <c r="C3628" s="20">
        <f>IFERROR(_xlfn.ISOWEEKNUM(INPUT!M3623),"")</f>
        <v>52</v>
      </c>
      <c r="D3628" s="20">
        <f>IFERROR(YEAR(INPUT!M3623),"")</f>
        <v>1900</v>
      </c>
      <c r="E3628" t="str">
        <f>IF(INPUT!O3623="","",INPUT!O3623)</f>
        <v/>
      </c>
      <c r="F3628" t="str">
        <f>IF(INPUT!N3623="","",INPUT!N3623)</f>
        <v/>
      </c>
      <c r="G3628" cm="1">
        <f t="array" ref="G3628">IFERROR(VLOOKUP(INPUT!M3623&amp;INPUT!N3623,CHOOSE({1,2},INPUT!$A$3:$A$5000&amp;INPUT!$C$3:$C$5000,INPUT!$F$3:$F$5000),2,FALSE),"")</f>
        <v>0</v>
      </c>
      <c r="H3628" cm="1">
        <f t="array" ref="H3628">IFERROR(VLOOKUP(INPUT!M3623&amp;INPUT!N3623,CHOOSE({1,2},INPUT!$A$3:$A$5000&amp;INPUT!$C$3:$C$5000,INPUT!$D$3:$D$5000),2,FALSE),"")</f>
        <v>0</v>
      </c>
      <c r="I3628" s="46" t="str">
        <f>IF(INPUT!P3623="","",INPUT!P3623)</f>
        <v/>
      </c>
      <c r="J3628" s="46" t="str">
        <f>IF(INPUT!Q3623="","",INPUT!Q3623)</f>
        <v/>
      </c>
      <c r="K3628" s="46" t="str">
        <f>IFERROR(IF(OR(INPUT!P3623="",INPUT!Q3623=""),"",INPUT!P3623-INPUT!Q3623),"")</f>
        <v/>
      </c>
      <c r="L3628" s="48" t="str">
        <f>IFERROR(IF(OR(INPUT!P3623="",INPUT!Q3623="",INPUT!P3623=0),"",(INPUT!P3623-INPUT!Q3623)/INPUT!P3623),"")</f>
        <v/>
      </c>
    </row>
    <row r="3629" spans="1:12" ht="18" hidden="1" customHeight="1" x14ac:dyDescent="0.2">
      <c r="A3629" s="11" t="str">
        <f>IF(INPUT!M3624="","",INPUT!M3624)</f>
        <v/>
      </c>
      <c r="B3629" s="11" t="str">
        <f>IF(INPUT!M3624="","",INPUT!M3624-WEEKDAY(INPUT!M3624,2)+1)</f>
        <v/>
      </c>
      <c r="C3629" s="20">
        <f>IFERROR(_xlfn.ISOWEEKNUM(INPUT!M3624),"")</f>
        <v>52</v>
      </c>
      <c r="D3629" s="20">
        <f>IFERROR(YEAR(INPUT!M3624),"")</f>
        <v>1900</v>
      </c>
      <c r="E3629" t="str">
        <f>IF(INPUT!O3624="","",INPUT!O3624)</f>
        <v/>
      </c>
      <c r="F3629" t="str">
        <f>IF(INPUT!N3624="","",INPUT!N3624)</f>
        <v/>
      </c>
      <c r="G3629" cm="1">
        <f t="array" ref="G3629">IFERROR(VLOOKUP(INPUT!M3624&amp;INPUT!N3624,CHOOSE({1,2},INPUT!$A$3:$A$5000&amp;INPUT!$C$3:$C$5000,INPUT!$F$3:$F$5000),2,FALSE),"")</f>
        <v>0</v>
      </c>
      <c r="H3629" cm="1">
        <f t="array" ref="H3629">IFERROR(VLOOKUP(INPUT!M3624&amp;INPUT!N3624,CHOOSE({1,2},INPUT!$A$3:$A$5000&amp;INPUT!$C$3:$C$5000,INPUT!$D$3:$D$5000),2,FALSE),"")</f>
        <v>0</v>
      </c>
      <c r="I3629" s="46" t="str">
        <f>IF(INPUT!P3624="","",INPUT!P3624)</f>
        <v/>
      </c>
      <c r="J3629" s="46" t="str">
        <f>IF(INPUT!Q3624="","",INPUT!Q3624)</f>
        <v/>
      </c>
      <c r="K3629" s="46" t="str">
        <f>IFERROR(IF(OR(INPUT!P3624="",INPUT!Q3624=""),"",INPUT!P3624-INPUT!Q3624),"")</f>
        <v/>
      </c>
      <c r="L3629" s="48" t="str">
        <f>IFERROR(IF(OR(INPUT!P3624="",INPUT!Q3624="",INPUT!P3624=0),"",(INPUT!P3624-INPUT!Q3624)/INPUT!P3624),"")</f>
        <v/>
      </c>
    </row>
    <row r="3630" spans="1:12" ht="18" hidden="1" customHeight="1" x14ac:dyDescent="0.2">
      <c r="A3630" s="11" t="str">
        <f>IF(INPUT!M3625="","",INPUT!M3625)</f>
        <v/>
      </c>
      <c r="B3630" s="11" t="str">
        <f>IF(INPUT!M3625="","",INPUT!M3625-WEEKDAY(INPUT!M3625,2)+1)</f>
        <v/>
      </c>
      <c r="C3630" s="20">
        <f>IFERROR(_xlfn.ISOWEEKNUM(INPUT!M3625),"")</f>
        <v>52</v>
      </c>
      <c r="D3630" s="20">
        <f>IFERROR(YEAR(INPUT!M3625),"")</f>
        <v>1900</v>
      </c>
      <c r="E3630" t="str">
        <f>IF(INPUT!O3625="","",INPUT!O3625)</f>
        <v/>
      </c>
      <c r="F3630" t="str">
        <f>IF(INPUT!N3625="","",INPUT!N3625)</f>
        <v/>
      </c>
      <c r="G3630" cm="1">
        <f t="array" ref="G3630">IFERROR(VLOOKUP(INPUT!M3625&amp;INPUT!N3625,CHOOSE({1,2},INPUT!$A$3:$A$5000&amp;INPUT!$C$3:$C$5000,INPUT!$F$3:$F$5000),2,FALSE),"")</f>
        <v>0</v>
      </c>
      <c r="H3630" cm="1">
        <f t="array" ref="H3630">IFERROR(VLOOKUP(INPUT!M3625&amp;INPUT!N3625,CHOOSE({1,2},INPUT!$A$3:$A$5000&amp;INPUT!$C$3:$C$5000,INPUT!$D$3:$D$5000),2,FALSE),"")</f>
        <v>0</v>
      </c>
      <c r="I3630" s="46" t="str">
        <f>IF(INPUT!P3625="","",INPUT!P3625)</f>
        <v/>
      </c>
      <c r="J3630" s="46" t="str">
        <f>IF(INPUT!Q3625="","",INPUT!Q3625)</f>
        <v/>
      </c>
      <c r="K3630" s="46" t="str">
        <f>IFERROR(IF(OR(INPUT!P3625="",INPUT!Q3625=""),"",INPUT!P3625-INPUT!Q3625),"")</f>
        <v/>
      </c>
      <c r="L3630" s="48" t="str">
        <f>IFERROR(IF(OR(INPUT!P3625="",INPUT!Q3625="",INPUT!P3625=0),"",(INPUT!P3625-INPUT!Q3625)/INPUT!P3625),"")</f>
        <v/>
      </c>
    </row>
    <row r="3631" spans="1:12" ht="18" hidden="1" customHeight="1" x14ac:dyDescent="0.2">
      <c r="A3631" s="11" t="str">
        <f>IF(INPUT!M3626="","",INPUT!M3626)</f>
        <v/>
      </c>
      <c r="B3631" s="11" t="str">
        <f>IF(INPUT!M3626="","",INPUT!M3626-WEEKDAY(INPUT!M3626,2)+1)</f>
        <v/>
      </c>
      <c r="C3631" s="20">
        <f>IFERROR(_xlfn.ISOWEEKNUM(INPUT!M3626),"")</f>
        <v>52</v>
      </c>
      <c r="D3631" s="20">
        <f>IFERROR(YEAR(INPUT!M3626),"")</f>
        <v>1900</v>
      </c>
      <c r="E3631" t="str">
        <f>IF(INPUT!O3626="","",INPUT!O3626)</f>
        <v/>
      </c>
      <c r="F3631" t="str">
        <f>IF(INPUT!N3626="","",INPUT!N3626)</f>
        <v/>
      </c>
      <c r="G3631" cm="1">
        <f t="array" ref="G3631">IFERROR(VLOOKUP(INPUT!M3626&amp;INPUT!N3626,CHOOSE({1,2},INPUT!$A$3:$A$5000&amp;INPUT!$C$3:$C$5000,INPUT!$F$3:$F$5000),2,FALSE),"")</f>
        <v>0</v>
      </c>
      <c r="H3631" cm="1">
        <f t="array" ref="H3631">IFERROR(VLOOKUP(INPUT!M3626&amp;INPUT!N3626,CHOOSE({1,2},INPUT!$A$3:$A$5000&amp;INPUT!$C$3:$C$5000,INPUT!$D$3:$D$5000),2,FALSE),"")</f>
        <v>0</v>
      </c>
      <c r="I3631" s="46" t="str">
        <f>IF(INPUT!P3626="","",INPUT!P3626)</f>
        <v/>
      </c>
      <c r="J3631" s="46" t="str">
        <f>IF(INPUT!Q3626="","",INPUT!Q3626)</f>
        <v/>
      </c>
      <c r="K3631" s="46" t="str">
        <f>IFERROR(IF(OR(INPUT!P3626="",INPUT!Q3626=""),"",INPUT!P3626-INPUT!Q3626),"")</f>
        <v/>
      </c>
      <c r="L3631" s="48" t="str">
        <f>IFERROR(IF(OR(INPUT!P3626="",INPUT!Q3626="",INPUT!P3626=0),"",(INPUT!P3626-INPUT!Q3626)/INPUT!P3626),"")</f>
        <v/>
      </c>
    </row>
    <row r="3632" spans="1:12" ht="18" hidden="1" customHeight="1" x14ac:dyDescent="0.2">
      <c r="A3632" s="11" t="str">
        <f>IF(INPUT!M3627="","",INPUT!M3627)</f>
        <v/>
      </c>
      <c r="B3632" s="11" t="str">
        <f>IF(INPUT!M3627="","",INPUT!M3627-WEEKDAY(INPUT!M3627,2)+1)</f>
        <v/>
      </c>
      <c r="C3632" s="20">
        <f>IFERROR(_xlfn.ISOWEEKNUM(INPUT!M3627),"")</f>
        <v>52</v>
      </c>
      <c r="D3632" s="20">
        <f>IFERROR(YEAR(INPUT!M3627),"")</f>
        <v>1900</v>
      </c>
      <c r="E3632" t="str">
        <f>IF(INPUT!O3627="","",INPUT!O3627)</f>
        <v/>
      </c>
      <c r="F3632" t="str">
        <f>IF(INPUT!N3627="","",INPUT!N3627)</f>
        <v/>
      </c>
      <c r="G3632" cm="1">
        <f t="array" ref="G3632">IFERROR(VLOOKUP(INPUT!M3627&amp;INPUT!N3627,CHOOSE({1,2},INPUT!$A$3:$A$5000&amp;INPUT!$C$3:$C$5000,INPUT!$F$3:$F$5000),2,FALSE),"")</f>
        <v>0</v>
      </c>
      <c r="H3632" cm="1">
        <f t="array" ref="H3632">IFERROR(VLOOKUP(INPUT!M3627&amp;INPUT!N3627,CHOOSE({1,2},INPUT!$A$3:$A$5000&amp;INPUT!$C$3:$C$5000,INPUT!$D$3:$D$5000),2,FALSE),"")</f>
        <v>0</v>
      </c>
      <c r="I3632" s="46" t="str">
        <f>IF(INPUT!P3627="","",INPUT!P3627)</f>
        <v/>
      </c>
      <c r="J3632" s="46" t="str">
        <f>IF(INPUT!Q3627="","",INPUT!Q3627)</f>
        <v/>
      </c>
      <c r="K3632" s="46" t="str">
        <f>IFERROR(IF(OR(INPUT!P3627="",INPUT!Q3627=""),"",INPUT!P3627-INPUT!Q3627),"")</f>
        <v/>
      </c>
      <c r="L3632" s="48" t="str">
        <f>IFERROR(IF(OR(INPUT!P3627="",INPUT!Q3627="",INPUT!P3627=0),"",(INPUT!P3627-INPUT!Q3627)/INPUT!P3627),"")</f>
        <v/>
      </c>
    </row>
    <row r="3633" spans="1:12" ht="18" hidden="1" customHeight="1" x14ac:dyDescent="0.2">
      <c r="A3633" s="11" t="str">
        <f>IF(INPUT!M3628="","",INPUT!M3628)</f>
        <v/>
      </c>
      <c r="B3633" s="11" t="str">
        <f>IF(INPUT!M3628="","",INPUT!M3628-WEEKDAY(INPUT!M3628,2)+1)</f>
        <v/>
      </c>
      <c r="C3633" s="20">
        <f>IFERROR(_xlfn.ISOWEEKNUM(INPUT!M3628),"")</f>
        <v>52</v>
      </c>
      <c r="D3633" s="20">
        <f>IFERROR(YEAR(INPUT!M3628),"")</f>
        <v>1900</v>
      </c>
      <c r="E3633" t="str">
        <f>IF(INPUT!O3628="","",INPUT!O3628)</f>
        <v/>
      </c>
      <c r="F3633" t="str">
        <f>IF(INPUT!N3628="","",INPUT!N3628)</f>
        <v/>
      </c>
      <c r="G3633" cm="1">
        <f t="array" ref="G3633">IFERROR(VLOOKUP(INPUT!M3628&amp;INPUT!N3628,CHOOSE({1,2},INPUT!$A$3:$A$5000&amp;INPUT!$C$3:$C$5000,INPUT!$F$3:$F$5000),2,FALSE),"")</f>
        <v>0</v>
      </c>
      <c r="H3633" cm="1">
        <f t="array" ref="H3633">IFERROR(VLOOKUP(INPUT!M3628&amp;INPUT!N3628,CHOOSE({1,2},INPUT!$A$3:$A$5000&amp;INPUT!$C$3:$C$5000,INPUT!$D$3:$D$5000),2,FALSE),"")</f>
        <v>0</v>
      </c>
      <c r="I3633" s="46" t="str">
        <f>IF(INPUT!P3628="","",INPUT!P3628)</f>
        <v/>
      </c>
      <c r="J3633" s="46" t="str">
        <f>IF(INPUT!Q3628="","",INPUT!Q3628)</f>
        <v/>
      </c>
      <c r="K3633" s="46" t="str">
        <f>IFERROR(IF(OR(INPUT!P3628="",INPUT!Q3628=""),"",INPUT!P3628-INPUT!Q3628),"")</f>
        <v/>
      </c>
      <c r="L3633" s="48" t="str">
        <f>IFERROR(IF(OR(INPUT!P3628="",INPUT!Q3628="",INPUT!P3628=0),"",(INPUT!P3628-INPUT!Q3628)/INPUT!P3628),"")</f>
        <v/>
      </c>
    </row>
    <row r="3634" spans="1:12" ht="18" hidden="1" customHeight="1" x14ac:dyDescent="0.2">
      <c r="A3634" s="11" t="str">
        <f>IF(INPUT!M3629="","",INPUT!M3629)</f>
        <v/>
      </c>
      <c r="B3634" s="11" t="str">
        <f>IF(INPUT!M3629="","",INPUT!M3629-WEEKDAY(INPUT!M3629,2)+1)</f>
        <v/>
      </c>
      <c r="C3634" s="20">
        <f>IFERROR(_xlfn.ISOWEEKNUM(INPUT!M3629),"")</f>
        <v>52</v>
      </c>
      <c r="D3634" s="20">
        <f>IFERROR(YEAR(INPUT!M3629),"")</f>
        <v>1900</v>
      </c>
      <c r="E3634" t="str">
        <f>IF(INPUT!O3629="","",INPUT!O3629)</f>
        <v/>
      </c>
      <c r="F3634" t="str">
        <f>IF(INPUT!N3629="","",INPUT!N3629)</f>
        <v/>
      </c>
      <c r="G3634" cm="1">
        <f t="array" ref="G3634">IFERROR(VLOOKUP(INPUT!M3629&amp;INPUT!N3629,CHOOSE({1,2},INPUT!$A$3:$A$5000&amp;INPUT!$C$3:$C$5000,INPUT!$F$3:$F$5000),2,FALSE),"")</f>
        <v>0</v>
      </c>
      <c r="H3634" cm="1">
        <f t="array" ref="H3634">IFERROR(VLOOKUP(INPUT!M3629&amp;INPUT!N3629,CHOOSE({1,2},INPUT!$A$3:$A$5000&amp;INPUT!$C$3:$C$5000,INPUT!$D$3:$D$5000),2,FALSE),"")</f>
        <v>0</v>
      </c>
      <c r="I3634" s="46" t="str">
        <f>IF(INPUT!P3629="","",INPUT!P3629)</f>
        <v/>
      </c>
      <c r="J3634" s="46" t="str">
        <f>IF(INPUT!Q3629="","",INPUT!Q3629)</f>
        <v/>
      </c>
      <c r="K3634" s="46" t="str">
        <f>IFERROR(IF(OR(INPUT!P3629="",INPUT!Q3629=""),"",INPUT!P3629-INPUT!Q3629),"")</f>
        <v/>
      </c>
      <c r="L3634" s="48" t="str">
        <f>IFERROR(IF(OR(INPUT!P3629="",INPUT!Q3629="",INPUT!P3629=0),"",(INPUT!P3629-INPUT!Q3629)/INPUT!P3629),"")</f>
        <v/>
      </c>
    </row>
    <row r="3635" spans="1:12" ht="18" hidden="1" customHeight="1" x14ac:dyDescent="0.2">
      <c r="A3635" s="11" t="str">
        <f>IF(INPUT!M3630="","",INPUT!M3630)</f>
        <v/>
      </c>
      <c r="B3635" s="11" t="str">
        <f>IF(INPUT!M3630="","",INPUT!M3630-WEEKDAY(INPUT!M3630,2)+1)</f>
        <v/>
      </c>
      <c r="C3635" s="20">
        <f>IFERROR(_xlfn.ISOWEEKNUM(INPUT!M3630),"")</f>
        <v>52</v>
      </c>
      <c r="D3635" s="20">
        <f>IFERROR(YEAR(INPUT!M3630),"")</f>
        <v>1900</v>
      </c>
      <c r="E3635" t="str">
        <f>IF(INPUT!O3630="","",INPUT!O3630)</f>
        <v/>
      </c>
      <c r="F3635" t="str">
        <f>IF(INPUT!N3630="","",INPUT!N3630)</f>
        <v/>
      </c>
      <c r="G3635" cm="1">
        <f t="array" ref="G3635">IFERROR(VLOOKUP(INPUT!M3630&amp;INPUT!N3630,CHOOSE({1,2},INPUT!$A$3:$A$5000&amp;INPUT!$C$3:$C$5000,INPUT!$F$3:$F$5000),2,FALSE),"")</f>
        <v>0</v>
      </c>
      <c r="H3635" cm="1">
        <f t="array" ref="H3635">IFERROR(VLOOKUP(INPUT!M3630&amp;INPUT!N3630,CHOOSE({1,2},INPUT!$A$3:$A$5000&amp;INPUT!$C$3:$C$5000,INPUT!$D$3:$D$5000),2,FALSE),"")</f>
        <v>0</v>
      </c>
      <c r="I3635" s="46" t="str">
        <f>IF(INPUT!P3630="","",INPUT!P3630)</f>
        <v/>
      </c>
      <c r="J3635" s="46" t="str">
        <f>IF(INPUT!Q3630="","",INPUT!Q3630)</f>
        <v/>
      </c>
      <c r="K3635" s="46" t="str">
        <f>IFERROR(IF(OR(INPUT!P3630="",INPUT!Q3630=""),"",INPUT!P3630-INPUT!Q3630),"")</f>
        <v/>
      </c>
      <c r="L3635" s="48" t="str">
        <f>IFERROR(IF(OR(INPUT!P3630="",INPUT!Q3630="",INPUT!P3630=0),"",(INPUT!P3630-INPUT!Q3630)/INPUT!P3630),"")</f>
        <v/>
      </c>
    </row>
    <row r="3636" spans="1:12" ht="18" hidden="1" customHeight="1" x14ac:dyDescent="0.2">
      <c r="A3636" s="11" t="str">
        <f>IF(INPUT!M3631="","",INPUT!M3631)</f>
        <v/>
      </c>
      <c r="B3636" s="11" t="str">
        <f>IF(INPUT!M3631="","",INPUT!M3631-WEEKDAY(INPUT!M3631,2)+1)</f>
        <v/>
      </c>
      <c r="C3636" s="20">
        <f>IFERROR(_xlfn.ISOWEEKNUM(INPUT!M3631),"")</f>
        <v>52</v>
      </c>
      <c r="D3636" s="20">
        <f>IFERROR(YEAR(INPUT!M3631),"")</f>
        <v>1900</v>
      </c>
      <c r="E3636" t="str">
        <f>IF(INPUT!O3631="","",INPUT!O3631)</f>
        <v/>
      </c>
      <c r="F3636" t="str">
        <f>IF(INPUT!N3631="","",INPUT!N3631)</f>
        <v/>
      </c>
      <c r="G3636" cm="1">
        <f t="array" ref="G3636">IFERROR(VLOOKUP(INPUT!M3631&amp;INPUT!N3631,CHOOSE({1,2},INPUT!$A$3:$A$5000&amp;INPUT!$C$3:$C$5000,INPUT!$F$3:$F$5000),2,FALSE),"")</f>
        <v>0</v>
      </c>
      <c r="H3636" cm="1">
        <f t="array" ref="H3636">IFERROR(VLOOKUP(INPUT!M3631&amp;INPUT!N3631,CHOOSE({1,2},INPUT!$A$3:$A$5000&amp;INPUT!$C$3:$C$5000,INPUT!$D$3:$D$5000),2,FALSE),"")</f>
        <v>0</v>
      </c>
      <c r="I3636" s="46" t="str">
        <f>IF(INPUT!P3631="","",INPUT!P3631)</f>
        <v/>
      </c>
      <c r="J3636" s="46" t="str">
        <f>IF(INPUT!Q3631="","",INPUT!Q3631)</f>
        <v/>
      </c>
      <c r="K3636" s="46" t="str">
        <f>IFERROR(IF(OR(INPUT!P3631="",INPUT!Q3631=""),"",INPUT!P3631-INPUT!Q3631),"")</f>
        <v/>
      </c>
      <c r="L3636" s="48" t="str">
        <f>IFERROR(IF(OR(INPUT!P3631="",INPUT!Q3631="",INPUT!P3631=0),"",(INPUT!P3631-INPUT!Q3631)/INPUT!P3631),"")</f>
        <v/>
      </c>
    </row>
    <row r="3637" spans="1:12" ht="18" hidden="1" customHeight="1" x14ac:dyDescent="0.2">
      <c r="A3637" s="11" t="str">
        <f>IF(INPUT!M3632="","",INPUT!M3632)</f>
        <v/>
      </c>
      <c r="B3637" s="11" t="str">
        <f>IF(INPUT!M3632="","",INPUT!M3632-WEEKDAY(INPUT!M3632,2)+1)</f>
        <v/>
      </c>
      <c r="C3637" s="20">
        <f>IFERROR(_xlfn.ISOWEEKNUM(INPUT!M3632),"")</f>
        <v>52</v>
      </c>
      <c r="D3637" s="20">
        <f>IFERROR(YEAR(INPUT!M3632),"")</f>
        <v>1900</v>
      </c>
      <c r="E3637" t="str">
        <f>IF(INPUT!O3632="","",INPUT!O3632)</f>
        <v/>
      </c>
      <c r="F3637" t="str">
        <f>IF(INPUT!N3632="","",INPUT!N3632)</f>
        <v/>
      </c>
      <c r="G3637" cm="1">
        <f t="array" ref="G3637">IFERROR(VLOOKUP(INPUT!M3632&amp;INPUT!N3632,CHOOSE({1,2},INPUT!$A$3:$A$5000&amp;INPUT!$C$3:$C$5000,INPUT!$F$3:$F$5000),2,FALSE),"")</f>
        <v>0</v>
      </c>
      <c r="H3637" cm="1">
        <f t="array" ref="H3637">IFERROR(VLOOKUP(INPUT!M3632&amp;INPUT!N3632,CHOOSE({1,2},INPUT!$A$3:$A$5000&amp;INPUT!$C$3:$C$5000,INPUT!$D$3:$D$5000),2,FALSE),"")</f>
        <v>0</v>
      </c>
      <c r="I3637" s="46" t="str">
        <f>IF(INPUT!P3632="","",INPUT!P3632)</f>
        <v/>
      </c>
      <c r="J3637" s="46" t="str">
        <f>IF(INPUT!Q3632="","",INPUT!Q3632)</f>
        <v/>
      </c>
      <c r="K3637" s="46" t="str">
        <f>IFERROR(IF(OR(INPUT!P3632="",INPUT!Q3632=""),"",INPUT!P3632-INPUT!Q3632),"")</f>
        <v/>
      </c>
      <c r="L3637" s="48" t="str">
        <f>IFERROR(IF(OR(INPUT!P3632="",INPUT!Q3632="",INPUT!P3632=0),"",(INPUT!P3632-INPUT!Q3632)/INPUT!P3632),"")</f>
        <v/>
      </c>
    </row>
    <row r="3638" spans="1:12" ht="18" hidden="1" customHeight="1" x14ac:dyDescent="0.2">
      <c r="A3638" s="11" t="str">
        <f>IF(INPUT!M3633="","",INPUT!M3633)</f>
        <v/>
      </c>
      <c r="B3638" s="11" t="str">
        <f>IF(INPUT!M3633="","",INPUT!M3633-WEEKDAY(INPUT!M3633,2)+1)</f>
        <v/>
      </c>
      <c r="C3638" s="20">
        <f>IFERROR(_xlfn.ISOWEEKNUM(INPUT!M3633),"")</f>
        <v>52</v>
      </c>
      <c r="D3638" s="20">
        <f>IFERROR(YEAR(INPUT!M3633),"")</f>
        <v>1900</v>
      </c>
      <c r="E3638" t="str">
        <f>IF(INPUT!O3633="","",INPUT!O3633)</f>
        <v/>
      </c>
      <c r="F3638" t="str">
        <f>IF(INPUT!N3633="","",INPUT!N3633)</f>
        <v/>
      </c>
      <c r="G3638" cm="1">
        <f t="array" ref="G3638">IFERROR(VLOOKUP(INPUT!M3633&amp;INPUT!N3633,CHOOSE({1,2},INPUT!$A$3:$A$5000&amp;INPUT!$C$3:$C$5000,INPUT!$F$3:$F$5000),2,FALSE),"")</f>
        <v>0</v>
      </c>
      <c r="H3638" cm="1">
        <f t="array" ref="H3638">IFERROR(VLOOKUP(INPUT!M3633&amp;INPUT!N3633,CHOOSE({1,2},INPUT!$A$3:$A$5000&amp;INPUT!$C$3:$C$5000,INPUT!$D$3:$D$5000),2,FALSE),"")</f>
        <v>0</v>
      </c>
      <c r="I3638" s="46" t="str">
        <f>IF(INPUT!P3633="","",INPUT!P3633)</f>
        <v/>
      </c>
      <c r="J3638" s="46" t="str">
        <f>IF(INPUT!Q3633="","",INPUT!Q3633)</f>
        <v/>
      </c>
      <c r="K3638" s="46" t="str">
        <f>IFERROR(IF(OR(INPUT!P3633="",INPUT!Q3633=""),"",INPUT!P3633-INPUT!Q3633),"")</f>
        <v/>
      </c>
      <c r="L3638" s="48" t="str">
        <f>IFERROR(IF(OR(INPUT!P3633="",INPUT!Q3633="",INPUT!P3633=0),"",(INPUT!P3633-INPUT!Q3633)/INPUT!P3633),"")</f>
        <v/>
      </c>
    </row>
    <row r="3639" spans="1:12" ht="18" hidden="1" customHeight="1" x14ac:dyDescent="0.2">
      <c r="A3639" s="11" t="str">
        <f>IF(INPUT!M3634="","",INPUT!M3634)</f>
        <v/>
      </c>
      <c r="B3639" s="11" t="str">
        <f>IF(INPUT!M3634="","",INPUT!M3634-WEEKDAY(INPUT!M3634,2)+1)</f>
        <v/>
      </c>
      <c r="C3639" s="20">
        <f>IFERROR(_xlfn.ISOWEEKNUM(INPUT!M3634),"")</f>
        <v>52</v>
      </c>
      <c r="D3639" s="20">
        <f>IFERROR(YEAR(INPUT!M3634),"")</f>
        <v>1900</v>
      </c>
      <c r="E3639" t="str">
        <f>IF(INPUT!O3634="","",INPUT!O3634)</f>
        <v/>
      </c>
      <c r="F3639" t="str">
        <f>IF(INPUT!N3634="","",INPUT!N3634)</f>
        <v/>
      </c>
      <c r="G3639" cm="1">
        <f t="array" ref="G3639">IFERROR(VLOOKUP(INPUT!M3634&amp;INPUT!N3634,CHOOSE({1,2},INPUT!$A$3:$A$5000&amp;INPUT!$C$3:$C$5000,INPUT!$F$3:$F$5000),2,FALSE),"")</f>
        <v>0</v>
      </c>
      <c r="H3639" cm="1">
        <f t="array" ref="H3639">IFERROR(VLOOKUP(INPUT!M3634&amp;INPUT!N3634,CHOOSE({1,2},INPUT!$A$3:$A$5000&amp;INPUT!$C$3:$C$5000,INPUT!$D$3:$D$5000),2,FALSE),"")</f>
        <v>0</v>
      </c>
      <c r="I3639" s="46" t="str">
        <f>IF(INPUT!P3634="","",INPUT!P3634)</f>
        <v/>
      </c>
      <c r="J3639" s="46" t="str">
        <f>IF(INPUT!Q3634="","",INPUT!Q3634)</f>
        <v/>
      </c>
      <c r="K3639" s="46" t="str">
        <f>IFERROR(IF(OR(INPUT!P3634="",INPUT!Q3634=""),"",INPUT!P3634-INPUT!Q3634),"")</f>
        <v/>
      </c>
      <c r="L3639" s="48" t="str">
        <f>IFERROR(IF(OR(INPUT!P3634="",INPUT!Q3634="",INPUT!P3634=0),"",(INPUT!P3634-INPUT!Q3634)/INPUT!P3634),"")</f>
        <v/>
      </c>
    </row>
    <row r="3640" spans="1:12" ht="18" hidden="1" customHeight="1" x14ac:dyDescent="0.2">
      <c r="A3640" s="11" t="str">
        <f>IF(INPUT!M3635="","",INPUT!M3635)</f>
        <v/>
      </c>
      <c r="B3640" s="11" t="str">
        <f>IF(INPUT!M3635="","",INPUT!M3635-WEEKDAY(INPUT!M3635,2)+1)</f>
        <v/>
      </c>
      <c r="C3640" s="20">
        <f>IFERROR(_xlfn.ISOWEEKNUM(INPUT!M3635),"")</f>
        <v>52</v>
      </c>
      <c r="D3640" s="20">
        <f>IFERROR(YEAR(INPUT!M3635),"")</f>
        <v>1900</v>
      </c>
      <c r="E3640" t="str">
        <f>IF(INPUT!O3635="","",INPUT!O3635)</f>
        <v/>
      </c>
      <c r="F3640" t="str">
        <f>IF(INPUT!N3635="","",INPUT!N3635)</f>
        <v/>
      </c>
      <c r="G3640" cm="1">
        <f t="array" ref="G3640">IFERROR(VLOOKUP(INPUT!M3635&amp;INPUT!N3635,CHOOSE({1,2},INPUT!$A$3:$A$5000&amp;INPUT!$C$3:$C$5000,INPUT!$F$3:$F$5000),2,FALSE),"")</f>
        <v>0</v>
      </c>
      <c r="H3640" cm="1">
        <f t="array" ref="H3640">IFERROR(VLOOKUP(INPUT!M3635&amp;INPUT!N3635,CHOOSE({1,2},INPUT!$A$3:$A$5000&amp;INPUT!$C$3:$C$5000,INPUT!$D$3:$D$5000),2,FALSE),"")</f>
        <v>0</v>
      </c>
      <c r="I3640" s="46" t="str">
        <f>IF(INPUT!P3635="","",INPUT!P3635)</f>
        <v/>
      </c>
      <c r="J3640" s="46" t="str">
        <f>IF(INPUT!Q3635="","",INPUT!Q3635)</f>
        <v/>
      </c>
      <c r="K3640" s="46" t="str">
        <f>IFERROR(IF(OR(INPUT!P3635="",INPUT!Q3635=""),"",INPUT!P3635-INPUT!Q3635),"")</f>
        <v/>
      </c>
      <c r="L3640" s="48" t="str">
        <f>IFERROR(IF(OR(INPUT!P3635="",INPUT!Q3635="",INPUT!P3635=0),"",(INPUT!P3635-INPUT!Q3635)/INPUT!P3635),"")</f>
        <v/>
      </c>
    </row>
    <row r="3641" spans="1:12" ht="18" hidden="1" customHeight="1" x14ac:dyDescent="0.2">
      <c r="A3641" s="11" t="str">
        <f>IF(INPUT!M3636="","",INPUT!M3636)</f>
        <v/>
      </c>
      <c r="B3641" s="11" t="str">
        <f>IF(INPUT!M3636="","",INPUT!M3636-WEEKDAY(INPUT!M3636,2)+1)</f>
        <v/>
      </c>
      <c r="C3641" s="20">
        <f>IFERROR(_xlfn.ISOWEEKNUM(INPUT!M3636),"")</f>
        <v>52</v>
      </c>
      <c r="D3641" s="20">
        <f>IFERROR(YEAR(INPUT!M3636),"")</f>
        <v>1900</v>
      </c>
      <c r="E3641" t="str">
        <f>IF(INPUT!O3636="","",INPUT!O3636)</f>
        <v/>
      </c>
      <c r="F3641" t="str">
        <f>IF(INPUT!N3636="","",INPUT!N3636)</f>
        <v/>
      </c>
      <c r="G3641" cm="1">
        <f t="array" ref="G3641">IFERROR(VLOOKUP(INPUT!M3636&amp;INPUT!N3636,CHOOSE({1,2},INPUT!$A$3:$A$5000&amp;INPUT!$C$3:$C$5000,INPUT!$F$3:$F$5000),2,FALSE),"")</f>
        <v>0</v>
      </c>
      <c r="H3641" cm="1">
        <f t="array" ref="H3641">IFERROR(VLOOKUP(INPUT!M3636&amp;INPUT!N3636,CHOOSE({1,2},INPUT!$A$3:$A$5000&amp;INPUT!$C$3:$C$5000,INPUT!$D$3:$D$5000),2,FALSE),"")</f>
        <v>0</v>
      </c>
      <c r="I3641" s="46" t="str">
        <f>IF(INPUT!P3636="","",INPUT!P3636)</f>
        <v/>
      </c>
      <c r="J3641" s="46" t="str">
        <f>IF(INPUT!Q3636="","",INPUT!Q3636)</f>
        <v/>
      </c>
      <c r="K3641" s="46" t="str">
        <f>IFERROR(IF(OR(INPUT!P3636="",INPUT!Q3636=""),"",INPUT!P3636-INPUT!Q3636),"")</f>
        <v/>
      </c>
      <c r="L3641" s="48" t="str">
        <f>IFERROR(IF(OR(INPUT!P3636="",INPUT!Q3636="",INPUT!P3636=0),"",(INPUT!P3636-INPUT!Q3636)/INPUT!P3636),"")</f>
        <v/>
      </c>
    </row>
    <row r="3642" spans="1:12" ht="18" hidden="1" customHeight="1" x14ac:dyDescent="0.2">
      <c r="A3642" s="11" t="str">
        <f>IF(INPUT!M3637="","",INPUT!M3637)</f>
        <v/>
      </c>
      <c r="B3642" s="11" t="str">
        <f>IF(INPUT!M3637="","",INPUT!M3637-WEEKDAY(INPUT!M3637,2)+1)</f>
        <v/>
      </c>
      <c r="C3642" s="20">
        <f>IFERROR(_xlfn.ISOWEEKNUM(INPUT!M3637),"")</f>
        <v>52</v>
      </c>
      <c r="D3642" s="20">
        <f>IFERROR(YEAR(INPUT!M3637),"")</f>
        <v>1900</v>
      </c>
      <c r="E3642" t="str">
        <f>IF(INPUT!O3637="","",INPUT!O3637)</f>
        <v/>
      </c>
      <c r="F3642" t="str">
        <f>IF(INPUT!N3637="","",INPUT!N3637)</f>
        <v/>
      </c>
      <c r="G3642" cm="1">
        <f t="array" ref="G3642">IFERROR(VLOOKUP(INPUT!M3637&amp;INPUT!N3637,CHOOSE({1,2},INPUT!$A$3:$A$5000&amp;INPUT!$C$3:$C$5000,INPUT!$F$3:$F$5000),2,FALSE),"")</f>
        <v>0</v>
      </c>
      <c r="H3642" cm="1">
        <f t="array" ref="H3642">IFERROR(VLOOKUP(INPUT!M3637&amp;INPUT!N3637,CHOOSE({1,2},INPUT!$A$3:$A$5000&amp;INPUT!$C$3:$C$5000,INPUT!$D$3:$D$5000),2,FALSE),"")</f>
        <v>0</v>
      </c>
      <c r="I3642" s="46" t="str">
        <f>IF(INPUT!P3637="","",INPUT!P3637)</f>
        <v/>
      </c>
      <c r="J3642" s="46" t="str">
        <f>IF(INPUT!Q3637="","",INPUT!Q3637)</f>
        <v/>
      </c>
      <c r="K3642" s="46" t="str">
        <f>IFERROR(IF(OR(INPUT!P3637="",INPUT!Q3637=""),"",INPUT!P3637-INPUT!Q3637),"")</f>
        <v/>
      </c>
      <c r="L3642" s="48" t="str">
        <f>IFERROR(IF(OR(INPUT!P3637="",INPUT!Q3637="",INPUT!P3637=0),"",(INPUT!P3637-INPUT!Q3637)/INPUT!P3637),"")</f>
        <v/>
      </c>
    </row>
    <row r="3643" spans="1:12" ht="18" hidden="1" customHeight="1" x14ac:dyDescent="0.2">
      <c r="A3643" s="11" t="str">
        <f>IF(INPUT!M3638="","",INPUT!M3638)</f>
        <v/>
      </c>
      <c r="B3643" s="11" t="str">
        <f>IF(INPUT!M3638="","",INPUT!M3638-WEEKDAY(INPUT!M3638,2)+1)</f>
        <v/>
      </c>
      <c r="C3643" s="20">
        <f>IFERROR(_xlfn.ISOWEEKNUM(INPUT!M3638),"")</f>
        <v>52</v>
      </c>
      <c r="D3643" s="20">
        <f>IFERROR(YEAR(INPUT!M3638),"")</f>
        <v>1900</v>
      </c>
      <c r="E3643" t="str">
        <f>IF(INPUT!O3638="","",INPUT!O3638)</f>
        <v/>
      </c>
      <c r="F3643" t="str">
        <f>IF(INPUT!N3638="","",INPUT!N3638)</f>
        <v/>
      </c>
      <c r="G3643" cm="1">
        <f t="array" ref="G3643">IFERROR(VLOOKUP(INPUT!M3638&amp;INPUT!N3638,CHOOSE({1,2},INPUT!$A$3:$A$5000&amp;INPUT!$C$3:$C$5000,INPUT!$F$3:$F$5000),2,FALSE),"")</f>
        <v>0</v>
      </c>
      <c r="H3643" cm="1">
        <f t="array" ref="H3643">IFERROR(VLOOKUP(INPUT!M3638&amp;INPUT!N3638,CHOOSE({1,2},INPUT!$A$3:$A$5000&amp;INPUT!$C$3:$C$5000,INPUT!$D$3:$D$5000),2,FALSE),"")</f>
        <v>0</v>
      </c>
      <c r="I3643" s="46" t="str">
        <f>IF(INPUT!P3638="","",INPUT!P3638)</f>
        <v/>
      </c>
      <c r="J3643" s="46" t="str">
        <f>IF(INPUT!Q3638="","",INPUT!Q3638)</f>
        <v/>
      </c>
      <c r="K3643" s="46" t="str">
        <f>IFERROR(IF(OR(INPUT!P3638="",INPUT!Q3638=""),"",INPUT!P3638-INPUT!Q3638),"")</f>
        <v/>
      </c>
      <c r="L3643" s="48" t="str">
        <f>IFERROR(IF(OR(INPUT!P3638="",INPUT!Q3638="",INPUT!P3638=0),"",(INPUT!P3638-INPUT!Q3638)/INPUT!P3638),"")</f>
        <v/>
      </c>
    </row>
    <row r="3644" spans="1:12" ht="18" hidden="1" customHeight="1" x14ac:dyDescent="0.2">
      <c r="A3644" s="11" t="str">
        <f>IF(INPUT!M3639="","",INPUT!M3639)</f>
        <v/>
      </c>
      <c r="B3644" s="11" t="str">
        <f>IF(INPUT!M3639="","",INPUT!M3639-WEEKDAY(INPUT!M3639,2)+1)</f>
        <v/>
      </c>
      <c r="C3644" s="20">
        <f>IFERROR(_xlfn.ISOWEEKNUM(INPUT!M3639),"")</f>
        <v>52</v>
      </c>
      <c r="D3644" s="20">
        <f>IFERROR(YEAR(INPUT!M3639),"")</f>
        <v>1900</v>
      </c>
      <c r="E3644" t="str">
        <f>IF(INPUT!O3639="","",INPUT!O3639)</f>
        <v/>
      </c>
      <c r="F3644" t="str">
        <f>IF(INPUT!N3639="","",INPUT!N3639)</f>
        <v/>
      </c>
      <c r="G3644" cm="1">
        <f t="array" ref="G3644">IFERROR(VLOOKUP(INPUT!M3639&amp;INPUT!N3639,CHOOSE({1,2},INPUT!$A$3:$A$5000&amp;INPUT!$C$3:$C$5000,INPUT!$F$3:$F$5000),2,FALSE),"")</f>
        <v>0</v>
      </c>
      <c r="H3644" cm="1">
        <f t="array" ref="H3644">IFERROR(VLOOKUP(INPUT!M3639&amp;INPUT!N3639,CHOOSE({1,2},INPUT!$A$3:$A$5000&amp;INPUT!$C$3:$C$5000,INPUT!$D$3:$D$5000),2,FALSE),"")</f>
        <v>0</v>
      </c>
      <c r="I3644" s="46" t="str">
        <f>IF(INPUT!P3639="","",INPUT!P3639)</f>
        <v/>
      </c>
      <c r="J3644" s="46" t="str">
        <f>IF(INPUT!Q3639="","",INPUT!Q3639)</f>
        <v/>
      </c>
      <c r="K3644" s="46" t="str">
        <f>IFERROR(IF(OR(INPUT!P3639="",INPUT!Q3639=""),"",INPUT!P3639-INPUT!Q3639),"")</f>
        <v/>
      </c>
      <c r="L3644" s="48" t="str">
        <f>IFERROR(IF(OR(INPUT!P3639="",INPUT!Q3639="",INPUT!P3639=0),"",(INPUT!P3639-INPUT!Q3639)/INPUT!P3639),"")</f>
        <v/>
      </c>
    </row>
    <row r="3645" spans="1:12" ht="18" hidden="1" customHeight="1" x14ac:dyDescent="0.2">
      <c r="A3645" s="11" t="str">
        <f>IF(INPUT!M3640="","",INPUT!M3640)</f>
        <v/>
      </c>
      <c r="B3645" s="11" t="str">
        <f>IF(INPUT!M3640="","",INPUT!M3640-WEEKDAY(INPUT!M3640,2)+1)</f>
        <v/>
      </c>
      <c r="C3645" s="20">
        <f>IFERROR(_xlfn.ISOWEEKNUM(INPUT!M3640),"")</f>
        <v>52</v>
      </c>
      <c r="D3645" s="20">
        <f>IFERROR(YEAR(INPUT!M3640),"")</f>
        <v>1900</v>
      </c>
      <c r="E3645" t="str">
        <f>IF(INPUT!O3640="","",INPUT!O3640)</f>
        <v/>
      </c>
      <c r="F3645" t="str">
        <f>IF(INPUT!N3640="","",INPUT!N3640)</f>
        <v/>
      </c>
      <c r="G3645" cm="1">
        <f t="array" ref="G3645">IFERROR(VLOOKUP(INPUT!M3640&amp;INPUT!N3640,CHOOSE({1,2},INPUT!$A$3:$A$5000&amp;INPUT!$C$3:$C$5000,INPUT!$F$3:$F$5000),2,FALSE),"")</f>
        <v>0</v>
      </c>
      <c r="H3645" cm="1">
        <f t="array" ref="H3645">IFERROR(VLOOKUP(INPUT!M3640&amp;INPUT!N3640,CHOOSE({1,2},INPUT!$A$3:$A$5000&amp;INPUT!$C$3:$C$5000,INPUT!$D$3:$D$5000),2,FALSE),"")</f>
        <v>0</v>
      </c>
      <c r="I3645" s="46" t="str">
        <f>IF(INPUT!P3640="","",INPUT!P3640)</f>
        <v/>
      </c>
      <c r="J3645" s="46" t="str">
        <f>IF(INPUT!Q3640="","",INPUT!Q3640)</f>
        <v/>
      </c>
      <c r="K3645" s="46" t="str">
        <f>IFERROR(IF(OR(INPUT!P3640="",INPUT!Q3640=""),"",INPUT!P3640-INPUT!Q3640),"")</f>
        <v/>
      </c>
      <c r="L3645" s="48" t="str">
        <f>IFERROR(IF(OR(INPUT!P3640="",INPUT!Q3640="",INPUT!P3640=0),"",(INPUT!P3640-INPUT!Q3640)/INPUT!P3640),"")</f>
        <v/>
      </c>
    </row>
    <row r="3646" spans="1:12" ht="18" hidden="1" customHeight="1" x14ac:dyDescent="0.2">
      <c r="A3646" s="11" t="str">
        <f>IF(INPUT!M3641="","",INPUT!M3641)</f>
        <v/>
      </c>
      <c r="B3646" s="11" t="str">
        <f>IF(INPUT!M3641="","",INPUT!M3641-WEEKDAY(INPUT!M3641,2)+1)</f>
        <v/>
      </c>
      <c r="C3646" s="20">
        <f>IFERROR(_xlfn.ISOWEEKNUM(INPUT!M3641),"")</f>
        <v>52</v>
      </c>
      <c r="D3646" s="20">
        <f>IFERROR(YEAR(INPUT!M3641),"")</f>
        <v>1900</v>
      </c>
      <c r="E3646" t="str">
        <f>IF(INPUT!O3641="","",INPUT!O3641)</f>
        <v/>
      </c>
      <c r="F3646" t="str">
        <f>IF(INPUT!N3641="","",INPUT!N3641)</f>
        <v/>
      </c>
      <c r="G3646" cm="1">
        <f t="array" ref="G3646">IFERROR(VLOOKUP(INPUT!M3641&amp;INPUT!N3641,CHOOSE({1,2},INPUT!$A$3:$A$5000&amp;INPUT!$C$3:$C$5000,INPUT!$F$3:$F$5000),2,FALSE),"")</f>
        <v>0</v>
      </c>
      <c r="H3646" cm="1">
        <f t="array" ref="H3646">IFERROR(VLOOKUP(INPUT!M3641&amp;INPUT!N3641,CHOOSE({1,2},INPUT!$A$3:$A$5000&amp;INPUT!$C$3:$C$5000,INPUT!$D$3:$D$5000),2,FALSE),"")</f>
        <v>0</v>
      </c>
      <c r="I3646" s="46" t="str">
        <f>IF(INPUT!P3641="","",INPUT!P3641)</f>
        <v/>
      </c>
      <c r="J3646" s="46" t="str">
        <f>IF(INPUT!Q3641="","",INPUT!Q3641)</f>
        <v/>
      </c>
      <c r="K3646" s="46" t="str">
        <f>IFERROR(IF(OR(INPUT!P3641="",INPUT!Q3641=""),"",INPUT!P3641-INPUT!Q3641),"")</f>
        <v/>
      </c>
      <c r="L3646" s="48" t="str">
        <f>IFERROR(IF(OR(INPUT!P3641="",INPUT!Q3641="",INPUT!P3641=0),"",(INPUT!P3641-INPUT!Q3641)/INPUT!P3641),"")</f>
        <v/>
      </c>
    </row>
    <row r="3647" spans="1:12" ht="18" hidden="1" customHeight="1" x14ac:dyDescent="0.2">
      <c r="A3647" s="11" t="str">
        <f>IF(INPUT!M3642="","",INPUT!M3642)</f>
        <v/>
      </c>
      <c r="B3647" s="11" t="str">
        <f>IF(INPUT!M3642="","",INPUT!M3642-WEEKDAY(INPUT!M3642,2)+1)</f>
        <v/>
      </c>
      <c r="C3647" s="20">
        <f>IFERROR(_xlfn.ISOWEEKNUM(INPUT!M3642),"")</f>
        <v>52</v>
      </c>
      <c r="D3647" s="20">
        <f>IFERROR(YEAR(INPUT!M3642),"")</f>
        <v>1900</v>
      </c>
      <c r="E3647" t="str">
        <f>IF(INPUT!O3642="","",INPUT!O3642)</f>
        <v/>
      </c>
      <c r="F3647" t="str">
        <f>IF(INPUT!N3642="","",INPUT!N3642)</f>
        <v/>
      </c>
      <c r="G3647" cm="1">
        <f t="array" ref="G3647">IFERROR(VLOOKUP(INPUT!M3642&amp;INPUT!N3642,CHOOSE({1,2},INPUT!$A$3:$A$5000&amp;INPUT!$C$3:$C$5000,INPUT!$F$3:$F$5000),2,FALSE),"")</f>
        <v>0</v>
      </c>
      <c r="H3647" cm="1">
        <f t="array" ref="H3647">IFERROR(VLOOKUP(INPUT!M3642&amp;INPUT!N3642,CHOOSE({1,2},INPUT!$A$3:$A$5000&amp;INPUT!$C$3:$C$5000,INPUT!$D$3:$D$5000),2,FALSE),"")</f>
        <v>0</v>
      </c>
      <c r="I3647" s="46" t="str">
        <f>IF(INPUT!P3642="","",INPUT!P3642)</f>
        <v/>
      </c>
      <c r="J3647" s="46" t="str">
        <f>IF(INPUT!Q3642="","",INPUT!Q3642)</f>
        <v/>
      </c>
      <c r="K3647" s="46" t="str">
        <f>IFERROR(IF(OR(INPUT!P3642="",INPUT!Q3642=""),"",INPUT!P3642-INPUT!Q3642),"")</f>
        <v/>
      </c>
      <c r="L3647" s="48" t="str">
        <f>IFERROR(IF(OR(INPUT!P3642="",INPUT!Q3642="",INPUT!P3642=0),"",(INPUT!P3642-INPUT!Q3642)/INPUT!P3642),"")</f>
        <v/>
      </c>
    </row>
    <row r="3648" spans="1:12" ht="18" hidden="1" customHeight="1" x14ac:dyDescent="0.2">
      <c r="A3648" s="11" t="str">
        <f>IF(INPUT!M3643="","",INPUT!M3643)</f>
        <v/>
      </c>
      <c r="B3648" s="11" t="str">
        <f>IF(INPUT!M3643="","",INPUT!M3643-WEEKDAY(INPUT!M3643,2)+1)</f>
        <v/>
      </c>
      <c r="C3648" s="20">
        <f>IFERROR(_xlfn.ISOWEEKNUM(INPUT!M3643),"")</f>
        <v>52</v>
      </c>
      <c r="D3648" s="20">
        <f>IFERROR(YEAR(INPUT!M3643),"")</f>
        <v>1900</v>
      </c>
      <c r="E3648" t="str">
        <f>IF(INPUT!O3643="","",INPUT!O3643)</f>
        <v/>
      </c>
      <c r="F3648" t="str">
        <f>IF(INPUT!N3643="","",INPUT!N3643)</f>
        <v/>
      </c>
      <c r="G3648" cm="1">
        <f t="array" ref="G3648">IFERROR(VLOOKUP(INPUT!M3643&amp;INPUT!N3643,CHOOSE({1,2},INPUT!$A$3:$A$5000&amp;INPUT!$C$3:$C$5000,INPUT!$F$3:$F$5000),2,FALSE),"")</f>
        <v>0</v>
      </c>
      <c r="H3648" cm="1">
        <f t="array" ref="H3648">IFERROR(VLOOKUP(INPUT!M3643&amp;INPUT!N3643,CHOOSE({1,2},INPUT!$A$3:$A$5000&amp;INPUT!$C$3:$C$5000,INPUT!$D$3:$D$5000),2,FALSE),"")</f>
        <v>0</v>
      </c>
      <c r="I3648" s="46" t="str">
        <f>IF(INPUT!P3643="","",INPUT!P3643)</f>
        <v/>
      </c>
      <c r="J3648" s="46" t="str">
        <f>IF(INPUT!Q3643="","",INPUT!Q3643)</f>
        <v/>
      </c>
      <c r="K3648" s="46" t="str">
        <f>IFERROR(IF(OR(INPUT!P3643="",INPUT!Q3643=""),"",INPUT!P3643-INPUT!Q3643),"")</f>
        <v/>
      </c>
      <c r="L3648" s="48" t="str">
        <f>IFERROR(IF(OR(INPUT!P3643="",INPUT!Q3643="",INPUT!P3643=0),"",(INPUT!P3643-INPUT!Q3643)/INPUT!P3643),"")</f>
        <v/>
      </c>
    </row>
    <row r="3649" spans="1:12" ht="18" hidden="1" customHeight="1" x14ac:dyDescent="0.2">
      <c r="A3649" s="11" t="str">
        <f>IF(INPUT!M3644="","",INPUT!M3644)</f>
        <v/>
      </c>
      <c r="B3649" s="11" t="str">
        <f>IF(INPUT!M3644="","",INPUT!M3644-WEEKDAY(INPUT!M3644,2)+1)</f>
        <v/>
      </c>
      <c r="C3649" s="20">
        <f>IFERROR(_xlfn.ISOWEEKNUM(INPUT!M3644),"")</f>
        <v>52</v>
      </c>
      <c r="D3649" s="20">
        <f>IFERROR(YEAR(INPUT!M3644),"")</f>
        <v>1900</v>
      </c>
      <c r="E3649" t="str">
        <f>IF(INPUT!O3644="","",INPUT!O3644)</f>
        <v/>
      </c>
      <c r="F3649" t="str">
        <f>IF(INPUT!N3644="","",INPUT!N3644)</f>
        <v/>
      </c>
      <c r="G3649" cm="1">
        <f t="array" ref="G3649">IFERROR(VLOOKUP(INPUT!M3644&amp;INPUT!N3644,CHOOSE({1,2},INPUT!$A$3:$A$5000&amp;INPUT!$C$3:$C$5000,INPUT!$F$3:$F$5000),2,FALSE),"")</f>
        <v>0</v>
      </c>
      <c r="H3649" cm="1">
        <f t="array" ref="H3649">IFERROR(VLOOKUP(INPUT!M3644&amp;INPUT!N3644,CHOOSE({1,2},INPUT!$A$3:$A$5000&amp;INPUT!$C$3:$C$5000,INPUT!$D$3:$D$5000),2,FALSE),"")</f>
        <v>0</v>
      </c>
      <c r="I3649" s="46" t="str">
        <f>IF(INPUT!P3644="","",INPUT!P3644)</f>
        <v/>
      </c>
      <c r="J3649" s="46" t="str">
        <f>IF(INPUT!Q3644="","",INPUT!Q3644)</f>
        <v/>
      </c>
      <c r="K3649" s="46" t="str">
        <f>IFERROR(IF(OR(INPUT!P3644="",INPUT!Q3644=""),"",INPUT!P3644-INPUT!Q3644),"")</f>
        <v/>
      </c>
      <c r="L3649" s="48" t="str">
        <f>IFERROR(IF(OR(INPUT!P3644="",INPUT!Q3644="",INPUT!P3644=0),"",(INPUT!P3644-INPUT!Q3644)/INPUT!P3644),"")</f>
        <v/>
      </c>
    </row>
    <row r="3650" spans="1:12" ht="18" hidden="1" customHeight="1" x14ac:dyDescent="0.2">
      <c r="A3650" s="11" t="str">
        <f>IF(INPUT!M3645="","",INPUT!M3645)</f>
        <v/>
      </c>
      <c r="B3650" s="11" t="str">
        <f>IF(INPUT!M3645="","",INPUT!M3645-WEEKDAY(INPUT!M3645,2)+1)</f>
        <v/>
      </c>
      <c r="C3650" s="20">
        <f>IFERROR(_xlfn.ISOWEEKNUM(INPUT!M3645),"")</f>
        <v>52</v>
      </c>
      <c r="D3650" s="20">
        <f>IFERROR(YEAR(INPUT!M3645),"")</f>
        <v>1900</v>
      </c>
      <c r="E3650" t="str">
        <f>IF(INPUT!O3645="","",INPUT!O3645)</f>
        <v/>
      </c>
      <c r="F3650" t="str">
        <f>IF(INPUT!N3645="","",INPUT!N3645)</f>
        <v/>
      </c>
      <c r="G3650" cm="1">
        <f t="array" ref="G3650">IFERROR(VLOOKUP(INPUT!M3645&amp;INPUT!N3645,CHOOSE({1,2},INPUT!$A$3:$A$5000&amp;INPUT!$C$3:$C$5000,INPUT!$F$3:$F$5000),2,FALSE),"")</f>
        <v>0</v>
      </c>
      <c r="H3650" cm="1">
        <f t="array" ref="H3650">IFERROR(VLOOKUP(INPUT!M3645&amp;INPUT!N3645,CHOOSE({1,2},INPUT!$A$3:$A$5000&amp;INPUT!$C$3:$C$5000,INPUT!$D$3:$D$5000),2,FALSE),"")</f>
        <v>0</v>
      </c>
      <c r="I3650" s="46" t="str">
        <f>IF(INPUT!P3645="","",INPUT!P3645)</f>
        <v/>
      </c>
      <c r="J3650" s="46" t="str">
        <f>IF(INPUT!Q3645="","",INPUT!Q3645)</f>
        <v/>
      </c>
      <c r="K3650" s="46" t="str">
        <f>IFERROR(IF(OR(INPUT!P3645="",INPUT!Q3645=""),"",INPUT!P3645-INPUT!Q3645),"")</f>
        <v/>
      </c>
      <c r="L3650" s="48" t="str">
        <f>IFERROR(IF(OR(INPUT!P3645="",INPUT!Q3645="",INPUT!P3645=0),"",(INPUT!P3645-INPUT!Q3645)/INPUT!P3645),"")</f>
        <v/>
      </c>
    </row>
    <row r="3651" spans="1:12" ht="18" hidden="1" customHeight="1" x14ac:dyDescent="0.2">
      <c r="A3651" s="11" t="str">
        <f>IF(INPUT!M3646="","",INPUT!M3646)</f>
        <v/>
      </c>
      <c r="B3651" s="11" t="str">
        <f>IF(INPUT!M3646="","",INPUT!M3646-WEEKDAY(INPUT!M3646,2)+1)</f>
        <v/>
      </c>
      <c r="C3651" s="20">
        <f>IFERROR(_xlfn.ISOWEEKNUM(INPUT!M3646),"")</f>
        <v>52</v>
      </c>
      <c r="D3651" s="20">
        <f>IFERROR(YEAR(INPUT!M3646),"")</f>
        <v>1900</v>
      </c>
      <c r="E3651" t="str">
        <f>IF(INPUT!O3646="","",INPUT!O3646)</f>
        <v/>
      </c>
      <c r="F3651" t="str">
        <f>IF(INPUT!N3646="","",INPUT!N3646)</f>
        <v/>
      </c>
      <c r="G3651" cm="1">
        <f t="array" ref="G3651">IFERROR(VLOOKUP(INPUT!M3646&amp;INPUT!N3646,CHOOSE({1,2},INPUT!$A$3:$A$5000&amp;INPUT!$C$3:$C$5000,INPUT!$F$3:$F$5000),2,FALSE),"")</f>
        <v>0</v>
      </c>
      <c r="H3651" cm="1">
        <f t="array" ref="H3651">IFERROR(VLOOKUP(INPUT!M3646&amp;INPUT!N3646,CHOOSE({1,2},INPUT!$A$3:$A$5000&amp;INPUT!$C$3:$C$5000,INPUT!$D$3:$D$5000),2,FALSE),"")</f>
        <v>0</v>
      </c>
      <c r="I3651" s="46" t="str">
        <f>IF(INPUT!P3646="","",INPUT!P3646)</f>
        <v/>
      </c>
      <c r="J3651" s="46" t="str">
        <f>IF(INPUT!Q3646="","",INPUT!Q3646)</f>
        <v/>
      </c>
      <c r="K3651" s="46" t="str">
        <f>IFERROR(IF(OR(INPUT!P3646="",INPUT!Q3646=""),"",INPUT!P3646-INPUT!Q3646),"")</f>
        <v/>
      </c>
      <c r="L3651" s="48" t="str">
        <f>IFERROR(IF(OR(INPUT!P3646="",INPUT!Q3646="",INPUT!P3646=0),"",(INPUT!P3646-INPUT!Q3646)/INPUT!P3646),"")</f>
        <v/>
      </c>
    </row>
    <row r="3652" spans="1:12" ht="18" hidden="1" customHeight="1" x14ac:dyDescent="0.2">
      <c r="A3652" s="11" t="str">
        <f>IF(INPUT!M3647="","",INPUT!M3647)</f>
        <v/>
      </c>
      <c r="B3652" s="11" t="str">
        <f>IF(INPUT!M3647="","",INPUT!M3647-WEEKDAY(INPUT!M3647,2)+1)</f>
        <v/>
      </c>
      <c r="C3652" s="20">
        <f>IFERROR(_xlfn.ISOWEEKNUM(INPUT!M3647),"")</f>
        <v>52</v>
      </c>
      <c r="D3652" s="20">
        <f>IFERROR(YEAR(INPUT!M3647),"")</f>
        <v>1900</v>
      </c>
      <c r="E3652" t="str">
        <f>IF(INPUT!O3647="","",INPUT!O3647)</f>
        <v/>
      </c>
      <c r="F3652" t="str">
        <f>IF(INPUT!N3647="","",INPUT!N3647)</f>
        <v/>
      </c>
      <c r="G3652" cm="1">
        <f t="array" ref="G3652">IFERROR(VLOOKUP(INPUT!M3647&amp;INPUT!N3647,CHOOSE({1,2},INPUT!$A$3:$A$5000&amp;INPUT!$C$3:$C$5000,INPUT!$F$3:$F$5000),2,FALSE),"")</f>
        <v>0</v>
      </c>
      <c r="H3652" cm="1">
        <f t="array" ref="H3652">IFERROR(VLOOKUP(INPUT!M3647&amp;INPUT!N3647,CHOOSE({1,2},INPUT!$A$3:$A$5000&amp;INPUT!$C$3:$C$5000,INPUT!$D$3:$D$5000),2,FALSE),"")</f>
        <v>0</v>
      </c>
      <c r="I3652" s="46" t="str">
        <f>IF(INPUT!P3647="","",INPUT!P3647)</f>
        <v/>
      </c>
      <c r="J3652" s="46" t="str">
        <f>IF(INPUT!Q3647="","",INPUT!Q3647)</f>
        <v/>
      </c>
      <c r="K3652" s="46" t="str">
        <f>IFERROR(IF(OR(INPUT!P3647="",INPUT!Q3647=""),"",INPUT!P3647-INPUT!Q3647),"")</f>
        <v/>
      </c>
      <c r="L3652" s="48" t="str">
        <f>IFERROR(IF(OR(INPUT!P3647="",INPUT!Q3647="",INPUT!P3647=0),"",(INPUT!P3647-INPUT!Q3647)/INPUT!P3647),"")</f>
        <v/>
      </c>
    </row>
    <row r="3653" spans="1:12" ht="18" hidden="1" customHeight="1" x14ac:dyDescent="0.2">
      <c r="A3653" s="11" t="str">
        <f>IF(INPUT!M3648="","",INPUT!M3648)</f>
        <v/>
      </c>
      <c r="B3653" s="11" t="str">
        <f>IF(INPUT!M3648="","",INPUT!M3648-WEEKDAY(INPUT!M3648,2)+1)</f>
        <v/>
      </c>
      <c r="C3653" s="20">
        <f>IFERROR(_xlfn.ISOWEEKNUM(INPUT!M3648),"")</f>
        <v>52</v>
      </c>
      <c r="D3653" s="20">
        <f>IFERROR(YEAR(INPUT!M3648),"")</f>
        <v>1900</v>
      </c>
      <c r="E3653" t="str">
        <f>IF(INPUT!O3648="","",INPUT!O3648)</f>
        <v/>
      </c>
      <c r="F3653" t="str">
        <f>IF(INPUT!N3648="","",INPUT!N3648)</f>
        <v/>
      </c>
      <c r="G3653" cm="1">
        <f t="array" ref="G3653">IFERROR(VLOOKUP(INPUT!M3648&amp;INPUT!N3648,CHOOSE({1,2},INPUT!$A$3:$A$5000&amp;INPUT!$C$3:$C$5000,INPUT!$F$3:$F$5000),2,FALSE),"")</f>
        <v>0</v>
      </c>
      <c r="H3653" cm="1">
        <f t="array" ref="H3653">IFERROR(VLOOKUP(INPUT!M3648&amp;INPUT!N3648,CHOOSE({1,2},INPUT!$A$3:$A$5000&amp;INPUT!$C$3:$C$5000,INPUT!$D$3:$D$5000),2,FALSE),"")</f>
        <v>0</v>
      </c>
      <c r="I3653" s="46" t="str">
        <f>IF(INPUT!P3648="","",INPUT!P3648)</f>
        <v/>
      </c>
      <c r="J3653" s="46" t="str">
        <f>IF(INPUT!Q3648="","",INPUT!Q3648)</f>
        <v/>
      </c>
      <c r="K3653" s="46" t="str">
        <f>IFERROR(IF(OR(INPUT!P3648="",INPUT!Q3648=""),"",INPUT!P3648-INPUT!Q3648),"")</f>
        <v/>
      </c>
      <c r="L3653" s="48" t="str">
        <f>IFERROR(IF(OR(INPUT!P3648="",INPUT!Q3648="",INPUT!P3648=0),"",(INPUT!P3648-INPUT!Q3648)/INPUT!P3648),"")</f>
        <v/>
      </c>
    </row>
    <row r="3654" spans="1:12" ht="18" hidden="1" customHeight="1" x14ac:dyDescent="0.2">
      <c r="A3654" s="11" t="str">
        <f>IF(INPUT!M3649="","",INPUT!M3649)</f>
        <v/>
      </c>
      <c r="B3654" s="11" t="str">
        <f>IF(INPUT!M3649="","",INPUT!M3649-WEEKDAY(INPUT!M3649,2)+1)</f>
        <v/>
      </c>
      <c r="C3654" s="20">
        <f>IFERROR(_xlfn.ISOWEEKNUM(INPUT!M3649),"")</f>
        <v>52</v>
      </c>
      <c r="D3654" s="20">
        <f>IFERROR(YEAR(INPUT!M3649),"")</f>
        <v>1900</v>
      </c>
      <c r="E3654" t="str">
        <f>IF(INPUT!O3649="","",INPUT!O3649)</f>
        <v/>
      </c>
      <c r="F3654" t="str">
        <f>IF(INPUT!N3649="","",INPUT!N3649)</f>
        <v/>
      </c>
      <c r="G3654" cm="1">
        <f t="array" ref="G3654">IFERROR(VLOOKUP(INPUT!M3649&amp;INPUT!N3649,CHOOSE({1,2},INPUT!$A$3:$A$5000&amp;INPUT!$C$3:$C$5000,INPUT!$F$3:$F$5000),2,FALSE),"")</f>
        <v>0</v>
      </c>
      <c r="H3654" cm="1">
        <f t="array" ref="H3654">IFERROR(VLOOKUP(INPUT!M3649&amp;INPUT!N3649,CHOOSE({1,2},INPUT!$A$3:$A$5000&amp;INPUT!$C$3:$C$5000,INPUT!$D$3:$D$5000),2,FALSE),"")</f>
        <v>0</v>
      </c>
      <c r="I3654" s="46" t="str">
        <f>IF(INPUT!P3649="","",INPUT!P3649)</f>
        <v/>
      </c>
      <c r="J3654" s="46" t="str">
        <f>IF(INPUT!Q3649="","",INPUT!Q3649)</f>
        <v/>
      </c>
      <c r="K3654" s="46" t="str">
        <f>IFERROR(IF(OR(INPUT!P3649="",INPUT!Q3649=""),"",INPUT!P3649-INPUT!Q3649),"")</f>
        <v/>
      </c>
      <c r="L3654" s="48" t="str">
        <f>IFERROR(IF(OR(INPUT!P3649="",INPUT!Q3649="",INPUT!P3649=0),"",(INPUT!P3649-INPUT!Q3649)/INPUT!P3649),"")</f>
        <v/>
      </c>
    </row>
    <row r="3655" spans="1:12" ht="18" hidden="1" customHeight="1" x14ac:dyDescent="0.2">
      <c r="A3655" s="11" t="str">
        <f>IF(INPUT!M3650="","",INPUT!M3650)</f>
        <v/>
      </c>
      <c r="B3655" s="11" t="str">
        <f>IF(INPUT!M3650="","",INPUT!M3650-WEEKDAY(INPUT!M3650,2)+1)</f>
        <v/>
      </c>
      <c r="C3655" s="20">
        <f>IFERROR(_xlfn.ISOWEEKNUM(INPUT!M3650),"")</f>
        <v>52</v>
      </c>
      <c r="D3655" s="20">
        <f>IFERROR(YEAR(INPUT!M3650),"")</f>
        <v>1900</v>
      </c>
      <c r="E3655" t="str">
        <f>IF(INPUT!O3650="","",INPUT!O3650)</f>
        <v/>
      </c>
      <c r="F3655" t="str">
        <f>IF(INPUT!N3650="","",INPUT!N3650)</f>
        <v/>
      </c>
      <c r="G3655" cm="1">
        <f t="array" ref="G3655">IFERROR(VLOOKUP(INPUT!M3650&amp;INPUT!N3650,CHOOSE({1,2},INPUT!$A$3:$A$5000&amp;INPUT!$C$3:$C$5000,INPUT!$F$3:$F$5000),2,FALSE),"")</f>
        <v>0</v>
      </c>
      <c r="H3655" cm="1">
        <f t="array" ref="H3655">IFERROR(VLOOKUP(INPUT!M3650&amp;INPUT!N3650,CHOOSE({1,2},INPUT!$A$3:$A$5000&amp;INPUT!$C$3:$C$5000,INPUT!$D$3:$D$5000),2,FALSE),"")</f>
        <v>0</v>
      </c>
      <c r="I3655" s="46" t="str">
        <f>IF(INPUT!P3650="","",INPUT!P3650)</f>
        <v/>
      </c>
      <c r="J3655" s="46" t="str">
        <f>IF(INPUT!Q3650="","",INPUT!Q3650)</f>
        <v/>
      </c>
      <c r="K3655" s="46" t="str">
        <f>IFERROR(IF(OR(INPUT!P3650="",INPUT!Q3650=""),"",INPUT!P3650-INPUT!Q3650),"")</f>
        <v/>
      </c>
      <c r="L3655" s="48" t="str">
        <f>IFERROR(IF(OR(INPUT!P3650="",INPUT!Q3650="",INPUT!P3650=0),"",(INPUT!P3650-INPUT!Q3650)/INPUT!P3650),"")</f>
        <v/>
      </c>
    </row>
    <row r="3656" spans="1:12" ht="18" hidden="1" customHeight="1" x14ac:dyDescent="0.2">
      <c r="A3656" s="11" t="str">
        <f>IF(INPUT!M3651="","",INPUT!M3651)</f>
        <v/>
      </c>
      <c r="B3656" s="11" t="str">
        <f>IF(INPUT!M3651="","",INPUT!M3651-WEEKDAY(INPUT!M3651,2)+1)</f>
        <v/>
      </c>
      <c r="C3656" s="20">
        <f>IFERROR(_xlfn.ISOWEEKNUM(INPUT!M3651),"")</f>
        <v>52</v>
      </c>
      <c r="D3656" s="20">
        <f>IFERROR(YEAR(INPUT!M3651),"")</f>
        <v>1900</v>
      </c>
      <c r="E3656" t="str">
        <f>IF(INPUT!O3651="","",INPUT!O3651)</f>
        <v/>
      </c>
      <c r="F3656" t="str">
        <f>IF(INPUT!N3651="","",INPUT!N3651)</f>
        <v/>
      </c>
      <c r="G3656" cm="1">
        <f t="array" ref="G3656">IFERROR(VLOOKUP(INPUT!M3651&amp;INPUT!N3651,CHOOSE({1,2},INPUT!$A$3:$A$5000&amp;INPUT!$C$3:$C$5000,INPUT!$F$3:$F$5000),2,FALSE),"")</f>
        <v>0</v>
      </c>
      <c r="H3656" cm="1">
        <f t="array" ref="H3656">IFERROR(VLOOKUP(INPUT!M3651&amp;INPUT!N3651,CHOOSE({1,2},INPUT!$A$3:$A$5000&amp;INPUT!$C$3:$C$5000,INPUT!$D$3:$D$5000),2,FALSE),"")</f>
        <v>0</v>
      </c>
      <c r="I3656" s="46" t="str">
        <f>IF(INPUT!P3651="","",INPUT!P3651)</f>
        <v/>
      </c>
      <c r="J3656" s="46" t="str">
        <f>IF(INPUT!Q3651="","",INPUT!Q3651)</f>
        <v/>
      </c>
      <c r="K3656" s="46" t="str">
        <f>IFERROR(IF(OR(INPUT!P3651="",INPUT!Q3651=""),"",INPUT!P3651-INPUT!Q3651),"")</f>
        <v/>
      </c>
      <c r="L3656" s="48" t="str">
        <f>IFERROR(IF(OR(INPUT!P3651="",INPUT!Q3651="",INPUT!P3651=0),"",(INPUT!P3651-INPUT!Q3651)/INPUT!P3651),"")</f>
        <v/>
      </c>
    </row>
    <row r="3657" spans="1:12" ht="18" hidden="1" customHeight="1" x14ac:dyDescent="0.2">
      <c r="A3657" s="11" t="str">
        <f>IF(INPUT!M3652="","",INPUT!M3652)</f>
        <v/>
      </c>
      <c r="B3657" s="11" t="str">
        <f>IF(INPUT!M3652="","",INPUT!M3652-WEEKDAY(INPUT!M3652,2)+1)</f>
        <v/>
      </c>
      <c r="C3657" s="20">
        <f>IFERROR(_xlfn.ISOWEEKNUM(INPUT!M3652),"")</f>
        <v>52</v>
      </c>
      <c r="D3657" s="20">
        <f>IFERROR(YEAR(INPUT!M3652),"")</f>
        <v>1900</v>
      </c>
      <c r="E3657" t="str">
        <f>IF(INPUT!O3652="","",INPUT!O3652)</f>
        <v/>
      </c>
      <c r="F3657" t="str">
        <f>IF(INPUT!N3652="","",INPUT!N3652)</f>
        <v/>
      </c>
      <c r="G3657" cm="1">
        <f t="array" ref="G3657">IFERROR(VLOOKUP(INPUT!M3652&amp;INPUT!N3652,CHOOSE({1,2},INPUT!$A$3:$A$5000&amp;INPUT!$C$3:$C$5000,INPUT!$F$3:$F$5000),2,FALSE),"")</f>
        <v>0</v>
      </c>
      <c r="H3657" cm="1">
        <f t="array" ref="H3657">IFERROR(VLOOKUP(INPUT!M3652&amp;INPUT!N3652,CHOOSE({1,2},INPUT!$A$3:$A$5000&amp;INPUT!$C$3:$C$5000,INPUT!$D$3:$D$5000),2,FALSE),"")</f>
        <v>0</v>
      </c>
      <c r="I3657" s="46" t="str">
        <f>IF(INPUT!P3652="","",INPUT!P3652)</f>
        <v/>
      </c>
      <c r="J3657" s="46" t="str">
        <f>IF(INPUT!Q3652="","",INPUT!Q3652)</f>
        <v/>
      </c>
      <c r="K3657" s="46" t="str">
        <f>IFERROR(IF(OR(INPUT!P3652="",INPUT!Q3652=""),"",INPUT!P3652-INPUT!Q3652),"")</f>
        <v/>
      </c>
      <c r="L3657" s="48" t="str">
        <f>IFERROR(IF(OR(INPUT!P3652="",INPUT!Q3652="",INPUT!P3652=0),"",(INPUT!P3652-INPUT!Q3652)/INPUT!P3652),"")</f>
        <v/>
      </c>
    </row>
    <row r="3658" spans="1:12" ht="18" hidden="1" customHeight="1" x14ac:dyDescent="0.2">
      <c r="A3658" s="11" t="str">
        <f>IF(INPUT!M3653="","",INPUT!M3653)</f>
        <v/>
      </c>
      <c r="B3658" s="11" t="str">
        <f>IF(INPUT!M3653="","",INPUT!M3653-WEEKDAY(INPUT!M3653,2)+1)</f>
        <v/>
      </c>
      <c r="C3658" s="20">
        <f>IFERROR(_xlfn.ISOWEEKNUM(INPUT!M3653),"")</f>
        <v>52</v>
      </c>
      <c r="D3658" s="20">
        <f>IFERROR(YEAR(INPUT!M3653),"")</f>
        <v>1900</v>
      </c>
      <c r="E3658" t="str">
        <f>IF(INPUT!O3653="","",INPUT!O3653)</f>
        <v/>
      </c>
      <c r="F3658" t="str">
        <f>IF(INPUT!N3653="","",INPUT!N3653)</f>
        <v/>
      </c>
      <c r="G3658" cm="1">
        <f t="array" ref="G3658">IFERROR(VLOOKUP(INPUT!M3653&amp;INPUT!N3653,CHOOSE({1,2},INPUT!$A$3:$A$5000&amp;INPUT!$C$3:$C$5000,INPUT!$F$3:$F$5000),2,FALSE),"")</f>
        <v>0</v>
      </c>
      <c r="H3658" cm="1">
        <f t="array" ref="H3658">IFERROR(VLOOKUP(INPUT!M3653&amp;INPUT!N3653,CHOOSE({1,2},INPUT!$A$3:$A$5000&amp;INPUT!$C$3:$C$5000,INPUT!$D$3:$D$5000),2,FALSE),"")</f>
        <v>0</v>
      </c>
      <c r="I3658" s="46" t="str">
        <f>IF(INPUT!P3653="","",INPUT!P3653)</f>
        <v/>
      </c>
      <c r="J3658" s="46" t="str">
        <f>IF(INPUT!Q3653="","",INPUT!Q3653)</f>
        <v/>
      </c>
      <c r="K3658" s="46" t="str">
        <f>IFERROR(IF(OR(INPUT!P3653="",INPUT!Q3653=""),"",INPUT!P3653-INPUT!Q3653),"")</f>
        <v/>
      </c>
      <c r="L3658" s="48" t="str">
        <f>IFERROR(IF(OR(INPUT!P3653="",INPUT!Q3653="",INPUT!P3653=0),"",(INPUT!P3653-INPUT!Q3653)/INPUT!P3653),"")</f>
        <v/>
      </c>
    </row>
    <row r="3659" spans="1:12" ht="18" hidden="1" customHeight="1" x14ac:dyDescent="0.2">
      <c r="A3659" s="11" t="str">
        <f>IF(INPUT!M3654="","",INPUT!M3654)</f>
        <v/>
      </c>
      <c r="B3659" s="11" t="str">
        <f>IF(INPUT!M3654="","",INPUT!M3654-WEEKDAY(INPUT!M3654,2)+1)</f>
        <v/>
      </c>
      <c r="C3659" s="20">
        <f>IFERROR(_xlfn.ISOWEEKNUM(INPUT!M3654),"")</f>
        <v>52</v>
      </c>
      <c r="D3659" s="20">
        <f>IFERROR(YEAR(INPUT!M3654),"")</f>
        <v>1900</v>
      </c>
      <c r="E3659" t="str">
        <f>IF(INPUT!O3654="","",INPUT!O3654)</f>
        <v/>
      </c>
      <c r="F3659" t="str">
        <f>IF(INPUT!N3654="","",INPUT!N3654)</f>
        <v/>
      </c>
      <c r="G3659" cm="1">
        <f t="array" ref="G3659">IFERROR(VLOOKUP(INPUT!M3654&amp;INPUT!N3654,CHOOSE({1,2},INPUT!$A$3:$A$5000&amp;INPUT!$C$3:$C$5000,INPUT!$F$3:$F$5000),2,FALSE),"")</f>
        <v>0</v>
      </c>
      <c r="H3659" cm="1">
        <f t="array" ref="H3659">IFERROR(VLOOKUP(INPUT!M3654&amp;INPUT!N3654,CHOOSE({1,2},INPUT!$A$3:$A$5000&amp;INPUT!$C$3:$C$5000,INPUT!$D$3:$D$5000),2,FALSE),"")</f>
        <v>0</v>
      </c>
      <c r="I3659" s="46" t="str">
        <f>IF(INPUT!P3654="","",INPUT!P3654)</f>
        <v/>
      </c>
      <c r="J3659" s="46" t="str">
        <f>IF(INPUT!Q3654="","",INPUT!Q3654)</f>
        <v/>
      </c>
      <c r="K3659" s="46" t="str">
        <f>IFERROR(IF(OR(INPUT!P3654="",INPUT!Q3654=""),"",INPUT!P3654-INPUT!Q3654),"")</f>
        <v/>
      </c>
      <c r="L3659" s="48" t="str">
        <f>IFERROR(IF(OR(INPUT!P3654="",INPUT!Q3654="",INPUT!P3654=0),"",(INPUT!P3654-INPUT!Q3654)/INPUT!P3654),"")</f>
        <v/>
      </c>
    </row>
    <row r="3660" spans="1:12" ht="18" hidden="1" customHeight="1" x14ac:dyDescent="0.2">
      <c r="A3660" s="11" t="str">
        <f>IF(INPUT!M3655="","",INPUT!M3655)</f>
        <v/>
      </c>
      <c r="B3660" s="11" t="str">
        <f>IF(INPUT!M3655="","",INPUT!M3655-WEEKDAY(INPUT!M3655,2)+1)</f>
        <v/>
      </c>
      <c r="C3660" s="20">
        <f>IFERROR(_xlfn.ISOWEEKNUM(INPUT!M3655),"")</f>
        <v>52</v>
      </c>
      <c r="D3660" s="20">
        <f>IFERROR(YEAR(INPUT!M3655),"")</f>
        <v>1900</v>
      </c>
      <c r="E3660" t="str">
        <f>IF(INPUT!O3655="","",INPUT!O3655)</f>
        <v/>
      </c>
      <c r="F3660" t="str">
        <f>IF(INPUT!N3655="","",INPUT!N3655)</f>
        <v/>
      </c>
      <c r="G3660" cm="1">
        <f t="array" ref="G3660">IFERROR(VLOOKUP(INPUT!M3655&amp;INPUT!N3655,CHOOSE({1,2},INPUT!$A$3:$A$5000&amp;INPUT!$C$3:$C$5000,INPUT!$F$3:$F$5000),2,FALSE),"")</f>
        <v>0</v>
      </c>
      <c r="H3660" cm="1">
        <f t="array" ref="H3660">IFERROR(VLOOKUP(INPUT!M3655&amp;INPUT!N3655,CHOOSE({1,2},INPUT!$A$3:$A$5000&amp;INPUT!$C$3:$C$5000,INPUT!$D$3:$D$5000),2,FALSE),"")</f>
        <v>0</v>
      </c>
      <c r="I3660" s="46" t="str">
        <f>IF(INPUT!P3655="","",INPUT!P3655)</f>
        <v/>
      </c>
      <c r="J3660" s="46" t="str">
        <f>IF(INPUT!Q3655="","",INPUT!Q3655)</f>
        <v/>
      </c>
      <c r="K3660" s="46" t="str">
        <f>IFERROR(IF(OR(INPUT!P3655="",INPUT!Q3655=""),"",INPUT!P3655-INPUT!Q3655),"")</f>
        <v/>
      </c>
      <c r="L3660" s="48" t="str">
        <f>IFERROR(IF(OR(INPUT!P3655="",INPUT!Q3655="",INPUT!P3655=0),"",(INPUT!P3655-INPUT!Q3655)/INPUT!P3655),"")</f>
        <v/>
      </c>
    </row>
    <row r="3661" spans="1:12" ht="18" hidden="1" customHeight="1" x14ac:dyDescent="0.2">
      <c r="A3661" s="11" t="str">
        <f>IF(INPUT!M3656="","",INPUT!M3656)</f>
        <v/>
      </c>
      <c r="B3661" s="11" t="str">
        <f>IF(INPUT!M3656="","",INPUT!M3656-WEEKDAY(INPUT!M3656,2)+1)</f>
        <v/>
      </c>
      <c r="C3661" s="20">
        <f>IFERROR(_xlfn.ISOWEEKNUM(INPUT!M3656),"")</f>
        <v>52</v>
      </c>
      <c r="D3661" s="20">
        <f>IFERROR(YEAR(INPUT!M3656),"")</f>
        <v>1900</v>
      </c>
      <c r="E3661" t="str">
        <f>IF(INPUT!O3656="","",INPUT!O3656)</f>
        <v/>
      </c>
      <c r="F3661" t="str">
        <f>IF(INPUT!N3656="","",INPUT!N3656)</f>
        <v/>
      </c>
      <c r="G3661" cm="1">
        <f t="array" ref="G3661">IFERROR(VLOOKUP(INPUT!M3656&amp;INPUT!N3656,CHOOSE({1,2},INPUT!$A$3:$A$5000&amp;INPUT!$C$3:$C$5000,INPUT!$F$3:$F$5000),2,FALSE),"")</f>
        <v>0</v>
      </c>
      <c r="H3661" cm="1">
        <f t="array" ref="H3661">IFERROR(VLOOKUP(INPUT!M3656&amp;INPUT!N3656,CHOOSE({1,2},INPUT!$A$3:$A$5000&amp;INPUT!$C$3:$C$5000,INPUT!$D$3:$D$5000),2,FALSE),"")</f>
        <v>0</v>
      </c>
      <c r="I3661" s="46" t="str">
        <f>IF(INPUT!P3656="","",INPUT!P3656)</f>
        <v/>
      </c>
      <c r="J3661" s="46" t="str">
        <f>IF(INPUT!Q3656="","",INPUT!Q3656)</f>
        <v/>
      </c>
      <c r="K3661" s="46" t="str">
        <f>IFERROR(IF(OR(INPUT!P3656="",INPUT!Q3656=""),"",INPUT!P3656-INPUT!Q3656),"")</f>
        <v/>
      </c>
      <c r="L3661" s="48" t="str">
        <f>IFERROR(IF(OR(INPUT!P3656="",INPUT!Q3656="",INPUT!P3656=0),"",(INPUT!P3656-INPUT!Q3656)/INPUT!P3656),"")</f>
        <v/>
      </c>
    </row>
    <row r="3662" spans="1:12" ht="18" hidden="1" customHeight="1" x14ac:dyDescent="0.2">
      <c r="A3662" s="11" t="str">
        <f>IF(INPUT!M3657="","",INPUT!M3657)</f>
        <v/>
      </c>
      <c r="B3662" s="11" t="str">
        <f>IF(INPUT!M3657="","",INPUT!M3657-WEEKDAY(INPUT!M3657,2)+1)</f>
        <v/>
      </c>
      <c r="C3662" s="20">
        <f>IFERROR(_xlfn.ISOWEEKNUM(INPUT!M3657),"")</f>
        <v>52</v>
      </c>
      <c r="D3662" s="20">
        <f>IFERROR(YEAR(INPUT!M3657),"")</f>
        <v>1900</v>
      </c>
      <c r="E3662" t="str">
        <f>IF(INPUT!O3657="","",INPUT!O3657)</f>
        <v/>
      </c>
      <c r="F3662" t="str">
        <f>IF(INPUT!N3657="","",INPUT!N3657)</f>
        <v/>
      </c>
      <c r="G3662" cm="1">
        <f t="array" ref="G3662">IFERROR(VLOOKUP(INPUT!M3657&amp;INPUT!N3657,CHOOSE({1,2},INPUT!$A$3:$A$5000&amp;INPUT!$C$3:$C$5000,INPUT!$F$3:$F$5000),2,FALSE),"")</f>
        <v>0</v>
      </c>
      <c r="H3662" cm="1">
        <f t="array" ref="H3662">IFERROR(VLOOKUP(INPUT!M3657&amp;INPUT!N3657,CHOOSE({1,2},INPUT!$A$3:$A$5000&amp;INPUT!$C$3:$C$5000,INPUT!$D$3:$D$5000),2,FALSE),"")</f>
        <v>0</v>
      </c>
      <c r="I3662" s="46" t="str">
        <f>IF(INPUT!P3657="","",INPUT!P3657)</f>
        <v/>
      </c>
      <c r="J3662" s="46" t="str">
        <f>IF(INPUT!Q3657="","",INPUT!Q3657)</f>
        <v/>
      </c>
      <c r="K3662" s="46" t="str">
        <f>IFERROR(IF(OR(INPUT!P3657="",INPUT!Q3657=""),"",INPUT!P3657-INPUT!Q3657),"")</f>
        <v/>
      </c>
      <c r="L3662" s="48" t="str">
        <f>IFERROR(IF(OR(INPUT!P3657="",INPUT!Q3657="",INPUT!P3657=0),"",(INPUT!P3657-INPUT!Q3657)/INPUT!P3657),"")</f>
        <v/>
      </c>
    </row>
    <row r="3663" spans="1:12" ht="18" hidden="1" customHeight="1" x14ac:dyDescent="0.2">
      <c r="A3663" s="11" t="str">
        <f>IF(INPUT!M3658="","",INPUT!M3658)</f>
        <v/>
      </c>
      <c r="B3663" s="11" t="str">
        <f>IF(INPUT!M3658="","",INPUT!M3658-WEEKDAY(INPUT!M3658,2)+1)</f>
        <v/>
      </c>
      <c r="C3663" s="20">
        <f>IFERROR(_xlfn.ISOWEEKNUM(INPUT!M3658),"")</f>
        <v>52</v>
      </c>
      <c r="D3663" s="20">
        <f>IFERROR(YEAR(INPUT!M3658),"")</f>
        <v>1900</v>
      </c>
      <c r="E3663" t="str">
        <f>IF(INPUT!O3658="","",INPUT!O3658)</f>
        <v/>
      </c>
      <c r="F3663" t="str">
        <f>IF(INPUT!N3658="","",INPUT!N3658)</f>
        <v/>
      </c>
      <c r="G3663" cm="1">
        <f t="array" ref="G3663">IFERROR(VLOOKUP(INPUT!M3658&amp;INPUT!N3658,CHOOSE({1,2},INPUT!$A$3:$A$5000&amp;INPUT!$C$3:$C$5000,INPUT!$F$3:$F$5000),2,FALSE),"")</f>
        <v>0</v>
      </c>
      <c r="H3663" cm="1">
        <f t="array" ref="H3663">IFERROR(VLOOKUP(INPUT!M3658&amp;INPUT!N3658,CHOOSE({1,2},INPUT!$A$3:$A$5000&amp;INPUT!$C$3:$C$5000,INPUT!$D$3:$D$5000),2,FALSE),"")</f>
        <v>0</v>
      </c>
      <c r="I3663" s="46" t="str">
        <f>IF(INPUT!P3658="","",INPUT!P3658)</f>
        <v/>
      </c>
      <c r="J3663" s="46" t="str">
        <f>IF(INPUT!Q3658="","",INPUT!Q3658)</f>
        <v/>
      </c>
      <c r="K3663" s="46" t="str">
        <f>IFERROR(IF(OR(INPUT!P3658="",INPUT!Q3658=""),"",INPUT!P3658-INPUT!Q3658),"")</f>
        <v/>
      </c>
      <c r="L3663" s="48" t="str">
        <f>IFERROR(IF(OR(INPUT!P3658="",INPUT!Q3658="",INPUT!P3658=0),"",(INPUT!P3658-INPUT!Q3658)/INPUT!P3658),"")</f>
        <v/>
      </c>
    </row>
    <row r="3664" spans="1:12" ht="18" hidden="1" customHeight="1" x14ac:dyDescent="0.2">
      <c r="A3664" s="11" t="str">
        <f>IF(INPUT!M3659="","",INPUT!M3659)</f>
        <v/>
      </c>
      <c r="B3664" s="11" t="str">
        <f>IF(INPUT!M3659="","",INPUT!M3659-WEEKDAY(INPUT!M3659,2)+1)</f>
        <v/>
      </c>
      <c r="C3664" s="20">
        <f>IFERROR(_xlfn.ISOWEEKNUM(INPUT!M3659),"")</f>
        <v>52</v>
      </c>
      <c r="D3664" s="20">
        <f>IFERROR(YEAR(INPUT!M3659),"")</f>
        <v>1900</v>
      </c>
      <c r="E3664" t="str">
        <f>IF(INPUT!O3659="","",INPUT!O3659)</f>
        <v/>
      </c>
      <c r="F3664" t="str">
        <f>IF(INPUT!N3659="","",INPUT!N3659)</f>
        <v/>
      </c>
      <c r="G3664" cm="1">
        <f t="array" ref="G3664">IFERROR(VLOOKUP(INPUT!M3659&amp;INPUT!N3659,CHOOSE({1,2},INPUT!$A$3:$A$5000&amp;INPUT!$C$3:$C$5000,INPUT!$F$3:$F$5000),2,FALSE),"")</f>
        <v>0</v>
      </c>
      <c r="H3664" cm="1">
        <f t="array" ref="H3664">IFERROR(VLOOKUP(INPUT!M3659&amp;INPUT!N3659,CHOOSE({1,2},INPUT!$A$3:$A$5000&amp;INPUT!$C$3:$C$5000,INPUT!$D$3:$D$5000),2,FALSE),"")</f>
        <v>0</v>
      </c>
      <c r="I3664" s="46" t="str">
        <f>IF(INPUT!P3659="","",INPUT!P3659)</f>
        <v/>
      </c>
      <c r="J3664" s="46" t="str">
        <f>IF(INPUT!Q3659="","",INPUT!Q3659)</f>
        <v/>
      </c>
      <c r="K3664" s="46" t="str">
        <f>IFERROR(IF(OR(INPUT!P3659="",INPUT!Q3659=""),"",INPUT!P3659-INPUT!Q3659),"")</f>
        <v/>
      </c>
      <c r="L3664" s="48" t="str">
        <f>IFERROR(IF(OR(INPUT!P3659="",INPUT!Q3659="",INPUT!P3659=0),"",(INPUT!P3659-INPUT!Q3659)/INPUT!P3659),"")</f>
        <v/>
      </c>
    </row>
    <row r="3665" spans="1:12" ht="18" hidden="1" customHeight="1" x14ac:dyDescent="0.2">
      <c r="A3665" s="11" t="str">
        <f>IF(INPUT!M3660="","",INPUT!M3660)</f>
        <v/>
      </c>
      <c r="B3665" s="11" t="str">
        <f>IF(INPUT!M3660="","",INPUT!M3660-WEEKDAY(INPUT!M3660,2)+1)</f>
        <v/>
      </c>
      <c r="C3665" s="20">
        <f>IFERROR(_xlfn.ISOWEEKNUM(INPUT!M3660),"")</f>
        <v>52</v>
      </c>
      <c r="D3665" s="20">
        <f>IFERROR(YEAR(INPUT!M3660),"")</f>
        <v>1900</v>
      </c>
      <c r="E3665" t="str">
        <f>IF(INPUT!O3660="","",INPUT!O3660)</f>
        <v/>
      </c>
      <c r="F3665" t="str">
        <f>IF(INPUT!N3660="","",INPUT!N3660)</f>
        <v/>
      </c>
      <c r="G3665" cm="1">
        <f t="array" ref="G3665">IFERROR(VLOOKUP(INPUT!M3660&amp;INPUT!N3660,CHOOSE({1,2},INPUT!$A$3:$A$5000&amp;INPUT!$C$3:$C$5000,INPUT!$F$3:$F$5000),2,FALSE),"")</f>
        <v>0</v>
      </c>
      <c r="H3665" cm="1">
        <f t="array" ref="H3665">IFERROR(VLOOKUP(INPUT!M3660&amp;INPUT!N3660,CHOOSE({1,2},INPUT!$A$3:$A$5000&amp;INPUT!$C$3:$C$5000,INPUT!$D$3:$D$5000),2,FALSE),"")</f>
        <v>0</v>
      </c>
      <c r="I3665" s="46" t="str">
        <f>IF(INPUT!P3660="","",INPUT!P3660)</f>
        <v/>
      </c>
      <c r="J3665" s="46" t="str">
        <f>IF(INPUT!Q3660="","",INPUT!Q3660)</f>
        <v/>
      </c>
      <c r="K3665" s="46" t="str">
        <f>IFERROR(IF(OR(INPUT!P3660="",INPUT!Q3660=""),"",INPUT!P3660-INPUT!Q3660),"")</f>
        <v/>
      </c>
      <c r="L3665" s="48" t="str">
        <f>IFERROR(IF(OR(INPUT!P3660="",INPUT!Q3660="",INPUT!P3660=0),"",(INPUT!P3660-INPUT!Q3660)/INPUT!P3660),"")</f>
        <v/>
      </c>
    </row>
    <row r="3666" spans="1:12" ht="18" hidden="1" customHeight="1" x14ac:dyDescent="0.2">
      <c r="A3666" s="11" t="str">
        <f>IF(INPUT!M3661="","",INPUT!M3661)</f>
        <v/>
      </c>
      <c r="B3666" s="11" t="str">
        <f>IF(INPUT!M3661="","",INPUT!M3661-WEEKDAY(INPUT!M3661,2)+1)</f>
        <v/>
      </c>
      <c r="C3666" s="20">
        <f>IFERROR(_xlfn.ISOWEEKNUM(INPUT!M3661),"")</f>
        <v>52</v>
      </c>
      <c r="D3666" s="20">
        <f>IFERROR(YEAR(INPUT!M3661),"")</f>
        <v>1900</v>
      </c>
      <c r="E3666" t="str">
        <f>IF(INPUT!O3661="","",INPUT!O3661)</f>
        <v/>
      </c>
      <c r="F3666" t="str">
        <f>IF(INPUT!N3661="","",INPUT!N3661)</f>
        <v/>
      </c>
      <c r="G3666" cm="1">
        <f t="array" ref="G3666">IFERROR(VLOOKUP(INPUT!M3661&amp;INPUT!N3661,CHOOSE({1,2},INPUT!$A$3:$A$5000&amp;INPUT!$C$3:$C$5000,INPUT!$F$3:$F$5000),2,FALSE),"")</f>
        <v>0</v>
      </c>
      <c r="H3666" cm="1">
        <f t="array" ref="H3666">IFERROR(VLOOKUP(INPUT!M3661&amp;INPUT!N3661,CHOOSE({1,2},INPUT!$A$3:$A$5000&amp;INPUT!$C$3:$C$5000,INPUT!$D$3:$D$5000),2,FALSE),"")</f>
        <v>0</v>
      </c>
      <c r="I3666" s="46" t="str">
        <f>IF(INPUT!P3661="","",INPUT!P3661)</f>
        <v/>
      </c>
      <c r="J3666" s="46" t="str">
        <f>IF(INPUT!Q3661="","",INPUT!Q3661)</f>
        <v/>
      </c>
      <c r="K3666" s="46" t="str">
        <f>IFERROR(IF(OR(INPUT!P3661="",INPUT!Q3661=""),"",INPUT!P3661-INPUT!Q3661),"")</f>
        <v/>
      </c>
      <c r="L3666" s="48" t="str">
        <f>IFERROR(IF(OR(INPUT!P3661="",INPUT!Q3661="",INPUT!P3661=0),"",(INPUT!P3661-INPUT!Q3661)/INPUT!P3661),"")</f>
        <v/>
      </c>
    </row>
    <row r="3667" spans="1:12" ht="18" hidden="1" customHeight="1" x14ac:dyDescent="0.2">
      <c r="A3667" s="11" t="str">
        <f>IF(INPUT!M3662="","",INPUT!M3662)</f>
        <v/>
      </c>
      <c r="B3667" s="11" t="str">
        <f>IF(INPUT!M3662="","",INPUT!M3662-WEEKDAY(INPUT!M3662,2)+1)</f>
        <v/>
      </c>
      <c r="C3667" s="20">
        <f>IFERROR(_xlfn.ISOWEEKNUM(INPUT!M3662),"")</f>
        <v>52</v>
      </c>
      <c r="D3667" s="20">
        <f>IFERROR(YEAR(INPUT!M3662),"")</f>
        <v>1900</v>
      </c>
      <c r="E3667" t="str">
        <f>IF(INPUT!O3662="","",INPUT!O3662)</f>
        <v/>
      </c>
      <c r="F3667" t="str">
        <f>IF(INPUT!N3662="","",INPUT!N3662)</f>
        <v/>
      </c>
      <c r="G3667" cm="1">
        <f t="array" ref="G3667">IFERROR(VLOOKUP(INPUT!M3662&amp;INPUT!N3662,CHOOSE({1,2},INPUT!$A$3:$A$5000&amp;INPUT!$C$3:$C$5000,INPUT!$F$3:$F$5000),2,FALSE),"")</f>
        <v>0</v>
      </c>
      <c r="H3667" cm="1">
        <f t="array" ref="H3667">IFERROR(VLOOKUP(INPUT!M3662&amp;INPUT!N3662,CHOOSE({1,2},INPUT!$A$3:$A$5000&amp;INPUT!$C$3:$C$5000,INPUT!$D$3:$D$5000),2,FALSE),"")</f>
        <v>0</v>
      </c>
      <c r="I3667" s="46" t="str">
        <f>IF(INPUT!P3662="","",INPUT!P3662)</f>
        <v/>
      </c>
      <c r="J3667" s="46" t="str">
        <f>IF(INPUT!Q3662="","",INPUT!Q3662)</f>
        <v/>
      </c>
      <c r="K3667" s="46" t="str">
        <f>IFERROR(IF(OR(INPUT!P3662="",INPUT!Q3662=""),"",INPUT!P3662-INPUT!Q3662),"")</f>
        <v/>
      </c>
      <c r="L3667" s="48" t="str">
        <f>IFERROR(IF(OR(INPUT!P3662="",INPUT!Q3662="",INPUT!P3662=0),"",(INPUT!P3662-INPUT!Q3662)/INPUT!P3662),"")</f>
        <v/>
      </c>
    </row>
    <row r="3668" spans="1:12" ht="18" hidden="1" customHeight="1" x14ac:dyDescent="0.2">
      <c r="A3668" s="11" t="str">
        <f>IF(INPUT!M3663="","",INPUT!M3663)</f>
        <v/>
      </c>
      <c r="B3668" s="11" t="str">
        <f>IF(INPUT!M3663="","",INPUT!M3663-WEEKDAY(INPUT!M3663,2)+1)</f>
        <v/>
      </c>
      <c r="C3668" s="20">
        <f>IFERROR(_xlfn.ISOWEEKNUM(INPUT!M3663),"")</f>
        <v>52</v>
      </c>
      <c r="D3668" s="20">
        <f>IFERROR(YEAR(INPUT!M3663),"")</f>
        <v>1900</v>
      </c>
      <c r="E3668" t="str">
        <f>IF(INPUT!O3663="","",INPUT!O3663)</f>
        <v/>
      </c>
      <c r="F3668" t="str">
        <f>IF(INPUT!N3663="","",INPUT!N3663)</f>
        <v/>
      </c>
      <c r="G3668" cm="1">
        <f t="array" ref="G3668">IFERROR(VLOOKUP(INPUT!M3663&amp;INPUT!N3663,CHOOSE({1,2},INPUT!$A$3:$A$5000&amp;INPUT!$C$3:$C$5000,INPUT!$F$3:$F$5000),2,FALSE),"")</f>
        <v>0</v>
      </c>
      <c r="H3668" cm="1">
        <f t="array" ref="H3668">IFERROR(VLOOKUP(INPUT!M3663&amp;INPUT!N3663,CHOOSE({1,2},INPUT!$A$3:$A$5000&amp;INPUT!$C$3:$C$5000,INPUT!$D$3:$D$5000),2,FALSE),"")</f>
        <v>0</v>
      </c>
      <c r="I3668" s="46" t="str">
        <f>IF(INPUT!P3663="","",INPUT!P3663)</f>
        <v/>
      </c>
      <c r="J3668" s="46" t="str">
        <f>IF(INPUT!Q3663="","",INPUT!Q3663)</f>
        <v/>
      </c>
      <c r="K3668" s="46" t="str">
        <f>IFERROR(IF(OR(INPUT!P3663="",INPUT!Q3663=""),"",INPUT!P3663-INPUT!Q3663),"")</f>
        <v/>
      </c>
      <c r="L3668" s="48" t="str">
        <f>IFERROR(IF(OR(INPUT!P3663="",INPUT!Q3663="",INPUT!P3663=0),"",(INPUT!P3663-INPUT!Q3663)/INPUT!P3663),"")</f>
        <v/>
      </c>
    </row>
    <row r="3669" spans="1:12" ht="18" hidden="1" customHeight="1" x14ac:dyDescent="0.2">
      <c r="A3669" s="11" t="str">
        <f>IF(INPUT!M3664="","",INPUT!M3664)</f>
        <v/>
      </c>
      <c r="B3669" s="11" t="str">
        <f>IF(INPUT!M3664="","",INPUT!M3664-WEEKDAY(INPUT!M3664,2)+1)</f>
        <v/>
      </c>
      <c r="C3669" s="20">
        <f>IFERROR(_xlfn.ISOWEEKNUM(INPUT!M3664),"")</f>
        <v>52</v>
      </c>
      <c r="D3669" s="20">
        <f>IFERROR(YEAR(INPUT!M3664),"")</f>
        <v>1900</v>
      </c>
      <c r="E3669" t="str">
        <f>IF(INPUT!O3664="","",INPUT!O3664)</f>
        <v/>
      </c>
      <c r="F3669" t="str">
        <f>IF(INPUT!N3664="","",INPUT!N3664)</f>
        <v/>
      </c>
      <c r="G3669" cm="1">
        <f t="array" ref="G3669">IFERROR(VLOOKUP(INPUT!M3664&amp;INPUT!N3664,CHOOSE({1,2},INPUT!$A$3:$A$5000&amp;INPUT!$C$3:$C$5000,INPUT!$F$3:$F$5000),2,FALSE),"")</f>
        <v>0</v>
      </c>
      <c r="H3669" cm="1">
        <f t="array" ref="H3669">IFERROR(VLOOKUP(INPUT!M3664&amp;INPUT!N3664,CHOOSE({1,2},INPUT!$A$3:$A$5000&amp;INPUT!$C$3:$C$5000,INPUT!$D$3:$D$5000),2,FALSE),"")</f>
        <v>0</v>
      </c>
      <c r="I3669" s="46" t="str">
        <f>IF(INPUT!P3664="","",INPUT!P3664)</f>
        <v/>
      </c>
      <c r="J3669" s="46" t="str">
        <f>IF(INPUT!Q3664="","",INPUT!Q3664)</f>
        <v/>
      </c>
      <c r="K3669" s="46" t="str">
        <f>IFERROR(IF(OR(INPUT!P3664="",INPUT!Q3664=""),"",INPUT!P3664-INPUT!Q3664),"")</f>
        <v/>
      </c>
      <c r="L3669" s="48" t="str">
        <f>IFERROR(IF(OR(INPUT!P3664="",INPUT!Q3664="",INPUT!P3664=0),"",(INPUT!P3664-INPUT!Q3664)/INPUT!P3664),"")</f>
        <v/>
      </c>
    </row>
    <row r="3670" spans="1:12" ht="18" hidden="1" customHeight="1" x14ac:dyDescent="0.2">
      <c r="A3670" s="11" t="str">
        <f>IF(INPUT!M3665="","",INPUT!M3665)</f>
        <v/>
      </c>
      <c r="B3670" s="11" t="str">
        <f>IF(INPUT!M3665="","",INPUT!M3665-WEEKDAY(INPUT!M3665,2)+1)</f>
        <v/>
      </c>
      <c r="C3670" s="20">
        <f>IFERROR(_xlfn.ISOWEEKNUM(INPUT!M3665),"")</f>
        <v>52</v>
      </c>
      <c r="D3670" s="20">
        <f>IFERROR(YEAR(INPUT!M3665),"")</f>
        <v>1900</v>
      </c>
      <c r="E3670" t="str">
        <f>IF(INPUT!O3665="","",INPUT!O3665)</f>
        <v/>
      </c>
      <c r="F3670" t="str">
        <f>IF(INPUT!N3665="","",INPUT!N3665)</f>
        <v/>
      </c>
      <c r="G3670" cm="1">
        <f t="array" ref="G3670">IFERROR(VLOOKUP(INPUT!M3665&amp;INPUT!N3665,CHOOSE({1,2},INPUT!$A$3:$A$5000&amp;INPUT!$C$3:$C$5000,INPUT!$F$3:$F$5000),2,FALSE),"")</f>
        <v>0</v>
      </c>
      <c r="H3670" cm="1">
        <f t="array" ref="H3670">IFERROR(VLOOKUP(INPUT!M3665&amp;INPUT!N3665,CHOOSE({1,2},INPUT!$A$3:$A$5000&amp;INPUT!$C$3:$C$5000,INPUT!$D$3:$D$5000),2,FALSE),"")</f>
        <v>0</v>
      </c>
      <c r="I3670" s="46" t="str">
        <f>IF(INPUT!P3665="","",INPUT!P3665)</f>
        <v/>
      </c>
      <c r="J3670" s="46" t="str">
        <f>IF(INPUT!Q3665="","",INPUT!Q3665)</f>
        <v/>
      </c>
      <c r="K3670" s="46" t="str">
        <f>IFERROR(IF(OR(INPUT!P3665="",INPUT!Q3665=""),"",INPUT!P3665-INPUT!Q3665),"")</f>
        <v/>
      </c>
      <c r="L3670" s="48" t="str">
        <f>IFERROR(IF(OR(INPUT!P3665="",INPUT!Q3665="",INPUT!P3665=0),"",(INPUT!P3665-INPUT!Q3665)/INPUT!P3665),"")</f>
        <v/>
      </c>
    </row>
    <row r="3671" spans="1:12" ht="18" hidden="1" customHeight="1" x14ac:dyDescent="0.2">
      <c r="A3671" s="11" t="str">
        <f>IF(INPUT!M3666="","",INPUT!M3666)</f>
        <v/>
      </c>
      <c r="B3671" s="11" t="str">
        <f>IF(INPUT!M3666="","",INPUT!M3666-WEEKDAY(INPUT!M3666,2)+1)</f>
        <v/>
      </c>
      <c r="C3671" s="20">
        <f>IFERROR(_xlfn.ISOWEEKNUM(INPUT!M3666),"")</f>
        <v>52</v>
      </c>
      <c r="D3671" s="20">
        <f>IFERROR(YEAR(INPUT!M3666),"")</f>
        <v>1900</v>
      </c>
      <c r="E3671" t="str">
        <f>IF(INPUT!O3666="","",INPUT!O3666)</f>
        <v/>
      </c>
      <c r="F3671" t="str">
        <f>IF(INPUT!N3666="","",INPUT!N3666)</f>
        <v/>
      </c>
      <c r="G3671" cm="1">
        <f t="array" ref="G3671">IFERROR(VLOOKUP(INPUT!M3666&amp;INPUT!N3666,CHOOSE({1,2},INPUT!$A$3:$A$5000&amp;INPUT!$C$3:$C$5000,INPUT!$F$3:$F$5000),2,FALSE),"")</f>
        <v>0</v>
      </c>
      <c r="H3671" cm="1">
        <f t="array" ref="H3671">IFERROR(VLOOKUP(INPUT!M3666&amp;INPUT!N3666,CHOOSE({1,2},INPUT!$A$3:$A$5000&amp;INPUT!$C$3:$C$5000,INPUT!$D$3:$D$5000),2,FALSE),"")</f>
        <v>0</v>
      </c>
      <c r="I3671" s="46" t="str">
        <f>IF(INPUT!P3666="","",INPUT!P3666)</f>
        <v/>
      </c>
      <c r="J3671" s="46" t="str">
        <f>IF(INPUT!Q3666="","",INPUT!Q3666)</f>
        <v/>
      </c>
      <c r="K3671" s="46" t="str">
        <f>IFERROR(IF(OR(INPUT!P3666="",INPUT!Q3666=""),"",INPUT!P3666-INPUT!Q3666),"")</f>
        <v/>
      </c>
      <c r="L3671" s="48" t="str">
        <f>IFERROR(IF(OR(INPUT!P3666="",INPUT!Q3666="",INPUT!P3666=0),"",(INPUT!P3666-INPUT!Q3666)/INPUT!P3666),"")</f>
        <v/>
      </c>
    </row>
    <row r="3672" spans="1:12" ht="18" hidden="1" customHeight="1" x14ac:dyDescent="0.2">
      <c r="A3672" s="11" t="str">
        <f>IF(INPUT!M3667="","",INPUT!M3667)</f>
        <v/>
      </c>
      <c r="B3672" s="11" t="str">
        <f>IF(INPUT!M3667="","",INPUT!M3667-WEEKDAY(INPUT!M3667,2)+1)</f>
        <v/>
      </c>
      <c r="C3672" s="20">
        <f>IFERROR(_xlfn.ISOWEEKNUM(INPUT!M3667),"")</f>
        <v>52</v>
      </c>
      <c r="D3672" s="20">
        <f>IFERROR(YEAR(INPUT!M3667),"")</f>
        <v>1900</v>
      </c>
      <c r="E3672" t="str">
        <f>IF(INPUT!O3667="","",INPUT!O3667)</f>
        <v/>
      </c>
      <c r="F3672" t="str">
        <f>IF(INPUT!N3667="","",INPUT!N3667)</f>
        <v/>
      </c>
      <c r="G3672" cm="1">
        <f t="array" ref="G3672">IFERROR(VLOOKUP(INPUT!M3667&amp;INPUT!N3667,CHOOSE({1,2},INPUT!$A$3:$A$5000&amp;INPUT!$C$3:$C$5000,INPUT!$F$3:$F$5000),2,FALSE),"")</f>
        <v>0</v>
      </c>
      <c r="H3672" cm="1">
        <f t="array" ref="H3672">IFERROR(VLOOKUP(INPUT!M3667&amp;INPUT!N3667,CHOOSE({1,2},INPUT!$A$3:$A$5000&amp;INPUT!$C$3:$C$5000,INPUT!$D$3:$D$5000),2,FALSE),"")</f>
        <v>0</v>
      </c>
      <c r="I3672" s="46" t="str">
        <f>IF(INPUT!P3667="","",INPUT!P3667)</f>
        <v/>
      </c>
      <c r="J3672" s="46" t="str">
        <f>IF(INPUT!Q3667="","",INPUT!Q3667)</f>
        <v/>
      </c>
      <c r="K3672" s="46" t="str">
        <f>IFERROR(IF(OR(INPUT!P3667="",INPUT!Q3667=""),"",INPUT!P3667-INPUT!Q3667),"")</f>
        <v/>
      </c>
      <c r="L3672" s="48" t="str">
        <f>IFERROR(IF(OR(INPUT!P3667="",INPUT!Q3667="",INPUT!P3667=0),"",(INPUT!P3667-INPUT!Q3667)/INPUT!P3667),"")</f>
        <v/>
      </c>
    </row>
    <row r="3673" spans="1:12" ht="18" hidden="1" customHeight="1" x14ac:dyDescent="0.2">
      <c r="A3673" s="11" t="str">
        <f>IF(INPUT!M3668="","",INPUT!M3668)</f>
        <v/>
      </c>
      <c r="B3673" s="11" t="str">
        <f>IF(INPUT!M3668="","",INPUT!M3668-WEEKDAY(INPUT!M3668,2)+1)</f>
        <v/>
      </c>
      <c r="C3673" s="20">
        <f>IFERROR(_xlfn.ISOWEEKNUM(INPUT!M3668),"")</f>
        <v>52</v>
      </c>
      <c r="D3673" s="20">
        <f>IFERROR(YEAR(INPUT!M3668),"")</f>
        <v>1900</v>
      </c>
      <c r="E3673" t="str">
        <f>IF(INPUT!O3668="","",INPUT!O3668)</f>
        <v/>
      </c>
      <c r="F3673" t="str">
        <f>IF(INPUT!N3668="","",INPUT!N3668)</f>
        <v/>
      </c>
      <c r="G3673" cm="1">
        <f t="array" ref="G3673">IFERROR(VLOOKUP(INPUT!M3668&amp;INPUT!N3668,CHOOSE({1,2},INPUT!$A$3:$A$5000&amp;INPUT!$C$3:$C$5000,INPUT!$F$3:$F$5000),2,FALSE),"")</f>
        <v>0</v>
      </c>
      <c r="H3673" cm="1">
        <f t="array" ref="H3673">IFERROR(VLOOKUP(INPUT!M3668&amp;INPUT!N3668,CHOOSE({1,2},INPUT!$A$3:$A$5000&amp;INPUT!$C$3:$C$5000,INPUT!$D$3:$D$5000),2,FALSE),"")</f>
        <v>0</v>
      </c>
      <c r="I3673" s="46" t="str">
        <f>IF(INPUT!P3668="","",INPUT!P3668)</f>
        <v/>
      </c>
      <c r="J3673" s="46" t="str">
        <f>IF(INPUT!Q3668="","",INPUT!Q3668)</f>
        <v/>
      </c>
      <c r="K3673" s="46" t="str">
        <f>IFERROR(IF(OR(INPUT!P3668="",INPUT!Q3668=""),"",INPUT!P3668-INPUT!Q3668),"")</f>
        <v/>
      </c>
      <c r="L3673" s="48" t="str">
        <f>IFERROR(IF(OR(INPUT!P3668="",INPUT!Q3668="",INPUT!P3668=0),"",(INPUT!P3668-INPUT!Q3668)/INPUT!P3668),"")</f>
        <v/>
      </c>
    </row>
    <row r="3674" spans="1:12" ht="18" hidden="1" customHeight="1" x14ac:dyDescent="0.2">
      <c r="A3674" s="11" t="str">
        <f>IF(INPUT!M3669="","",INPUT!M3669)</f>
        <v/>
      </c>
      <c r="B3674" s="11" t="str">
        <f>IF(INPUT!M3669="","",INPUT!M3669-WEEKDAY(INPUT!M3669,2)+1)</f>
        <v/>
      </c>
      <c r="C3674" s="20">
        <f>IFERROR(_xlfn.ISOWEEKNUM(INPUT!M3669),"")</f>
        <v>52</v>
      </c>
      <c r="D3674" s="20">
        <f>IFERROR(YEAR(INPUT!M3669),"")</f>
        <v>1900</v>
      </c>
      <c r="E3674" t="str">
        <f>IF(INPUT!O3669="","",INPUT!O3669)</f>
        <v/>
      </c>
      <c r="F3674" t="str">
        <f>IF(INPUT!N3669="","",INPUT!N3669)</f>
        <v/>
      </c>
      <c r="G3674" cm="1">
        <f t="array" ref="G3674">IFERROR(VLOOKUP(INPUT!M3669&amp;INPUT!N3669,CHOOSE({1,2},INPUT!$A$3:$A$5000&amp;INPUT!$C$3:$C$5000,INPUT!$F$3:$F$5000),2,FALSE),"")</f>
        <v>0</v>
      </c>
      <c r="H3674" cm="1">
        <f t="array" ref="H3674">IFERROR(VLOOKUP(INPUT!M3669&amp;INPUT!N3669,CHOOSE({1,2},INPUT!$A$3:$A$5000&amp;INPUT!$C$3:$C$5000,INPUT!$D$3:$D$5000),2,FALSE),"")</f>
        <v>0</v>
      </c>
      <c r="I3674" s="46" t="str">
        <f>IF(INPUT!P3669="","",INPUT!P3669)</f>
        <v/>
      </c>
      <c r="J3674" s="46" t="str">
        <f>IF(INPUT!Q3669="","",INPUT!Q3669)</f>
        <v/>
      </c>
      <c r="K3674" s="46" t="str">
        <f>IFERROR(IF(OR(INPUT!P3669="",INPUT!Q3669=""),"",INPUT!P3669-INPUT!Q3669),"")</f>
        <v/>
      </c>
      <c r="L3674" s="48" t="str">
        <f>IFERROR(IF(OR(INPUT!P3669="",INPUT!Q3669="",INPUT!P3669=0),"",(INPUT!P3669-INPUT!Q3669)/INPUT!P3669),"")</f>
        <v/>
      </c>
    </row>
    <row r="3675" spans="1:12" ht="18" hidden="1" customHeight="1" x14ac:dyDescent="0.2">
      <c r="A3675" s="11" t="str">
        <f>IF(INPUT!M3670="","",INPUT!M3670)</f>
        <v/>
      </c>
      <c r="B3675" s="11" t="str">
        <f>IF(INPUT!M3670="","",INPUT!M3670-WEEKDAY(INPUT!M3670,2)+1)</f>
        <v/>
      </c>
      <c r="C3675" s="20">
        <f>IFERROR(_xlfn.ISOWEEKNUM(INPUT!M3670),"")</f>
        <v>52</v>
      </c>
      <c r="D3675" s="20">
        <f>IFERROR(YEAR(INPUT!M3670),"")</f>
        <v>1900</v>
      </c>
      <c r="E3675" t="str">
        <f>IF(INPUT!O3670="","",INPUT!O3670)</f>
        <v/>
      </c>
      <c r="F3675" t="str">
        <f>IF(INPUT!N3670="","",INPUT!N3670)</f>
        <v/>
      </c>
      <c r="G3675" cm="1">
        <f t="array" ref="G3675">IFERROR(VLOOKUP(INPUT!M3670&amp;INPUT!N3670,CHOOSE({1,2},INPUT!$A$3:$A$5000&amp;INPUT!$C$3:$C$5000,INPUT!$F$3:$F$5000),2,FALSE),"")</f>
        <v>0</v>
      </c>
      <c r="H3675" cm="1">
        <f t="array" ref="H3675">IFERROR(VLOOKUP(INPUT!M3670&amp;INPUT!N3670,CHOOSE({1,2},INPUT!$A$3:$A$5000&amp;INPUT!$C$3:$C$5000,INPUT!$D$3:$D$5000),2,FALSE),"")</f>
        <v>0</v>
      </c>
      <c r="I3675" s="46" t="str">
        <f>IF(INPUT!P3670="","",INPUT!P3670)</f>
        <v/>
      </c>
      <c r="J3675" s="46" t="str">
        <f>IF(INPUT!Q3670="","",INPUT!Q3670)</f>
        <v/>
      </c>
      <c r="K3675" s="46" t="str">
        <f>IFERROR(IF(OR(INPUT!P3670="",INPUT!Q3670=""),"",INPUT!P3670-INPUT!Q3670),"")</f>
        <v/>
      </c>
      <c r="L3675" s="48" t="str">
        <f>IFERROR(IF(OR(INPUT!P3670="",INPUT!Q3670="",INPUT!P3670=0),"",(INPUT!P3670-INPUT!Q3670)/INPUT!P3670),"")</f>
        <v/>
      </c>
    </row>
    <row r="3676" spans="1:12" ht="18" hidden="1" customHeight="1" x14ac:dyDescent="0.2">
      <c r="A3676" s="11" t="str">
        <f>IF(INPUT!M3671="","",INPUT!M3671)</f>
        <v/>
      </c>
      <c r="B3676" s="11" t="str">
        <f>IF(INPUT!M3671="","",INPUT!M3671-WEEKDAY(INPUT!M3671,2)+1)</f>
        <v/>
      </c>
      <c r="C3676" s="20">
        <f>IFERROR(_xlfn.ISOWEEKNUM(INPUT!M3671),"")</f>
        <v>52</v>
      </c>
      <c r="D3676" s="20">
        <f>IFERROR(YEAR(INPUT!M3671),"")</f>
        <v>1900</v>
      </c>
      <c r="E3676" t="str">
        <f>IF(INPUT!O3671="","",INPUT!O3671)</f>
        <v/>
      </c>
      <c r="F3676" t="str">
        <f>IF(INPUT!N3671="","",INPUT!N3671)</f>
        <v/>
      </c>
      <c r="G3676" cm="1">
        <f t="array" ref="G3676">IFERROR(VLOOKUP(INPUT!M3671&amp;INPUT!N3671,CHOOSE({1,2},INPUT!$A$3:$A$5000&amp;INPUT!$C$3:$C$5000,INPUT!$F$3:$F$5000),2,FALSE),"")</f>
        <v>0</v>
      </c>
      <c r="H3676" cm="1">
        <f t="array" ref="H3676">IFERROR(VLOOKUP(INPUT!M3671&amp;INPUT!N3671,CHOOSE({1,2},INPUT!$A$3:$A$5000&amp;INPUT!$C$3:$C$5000,INPUT!$D$3:$D$5000),2,FALSE),"")</f>
        <v>0</v>
      </c>
      <c r="I3676" s="46" t="str">
        <f>IF(INPUT!P3671="","",INPUT!P3671)</f>
        <v/>
      </c>
      <c r="J3676" s="46" t="str">
        <f>IF(INPUT!Q3671="","",INPUT!Q3671)</f>
        <v/>
      </c>
      <c r="K3676" s="46" t="str">
        <f>IFERROR(IF(OR(INPUT!P3671="",INPUT!Q3671=""),"",INPUT!P3671-INPUT!Q3671),"")</f>
        <v/>
      </c>
      <c r="L3676" s="48" t="str">
        <f>IFERROR(IF(OR(INPUT!P3671="",INPUT!Q3671="",INPUT!P3671=0),"",(INPUT!P3671-INPUT!Q3671)/INPUT!P3671),"")</f>
        <v/>
      </c>
    </row>
    <row r="3677" spans="1:12" ht="18" hidden="1" customHeight="1" x14ac:dyDescent="0.2">
      <c r="A3677" s="11" t="str">
        <f>IF(INPUT!M3672="","",INPUT!M3672)</f>
        <v/>
      </c>
      <c r="B3677" s="11" t="str">
        <f>IF(INPUT!M3672="","",INPUT!M3672-WEEKDAY(INPUT!M3672,2)+1)</f>
        <v/>
      </c>
      <c r="C3677" s="20">
        <f>IFERROR(_xlfn.ISOWEEKNUM(INPUT!M3672),"")</f>
        <v>52</v>
      </c>
      <c r="D3677" s="20">
        <f>IFERROR(YEAR(INPUT!M3672),"")</f>
        <v>1900</v>
      </c>
      <c r="E3677" t="str">
        <f>IF(INPUT!O3672="","",INPUT!O3672)</f>
        <v/>
      </c>
      <c r="F3677" t="str">
        <f>IF(INPUT!N3672="","",INPUT!N3672)</f>
        <v/>
      </c>
      <c r="G3677" cm="1">
        <f t="array" ref="G3677">IFERROR(VLOOKUP(INPUT!M3672&amp;INPUT!N3672,CHOOSE({1,2},INPUT!$A$3:$A$5000&amp;INPUT!$C$3:$C$5000,INPUT!$F$3:$F$5000),2,FALSE),"")</f>
        <v>0</v>
      </c>
      <c r="H3677" cm="1">
        <f t="array" ref="H3677">IFERROR(VLOOKUP(INPUT!M3672&amp;INPUT!N3672,CHOOSE({1,2},INPUT!$A$3:$A$5000&amp;INPUT!$C$3:$C$5000,INPUT!$D$3:$D$5000),2,FALSE),"")</f>
        <v>0</v>
      </c>
      <c r="I3677" s="46" t="str">
        <f>IF(INPUT!P3672="","",INPUT!P3672)</f>
        <v/>
      </c>
      <c r="J3677" s="46" t="str">
        <f>IF(INPUT!Q3672="","",INPUT!Q3672)</f>
        <v/>
      </c>
      <c r="K3677" s="46" t="str">
        <f>IFERROR(IF(OR(INPUT!P3672="",INPUT!Q3672=""),"",INPUT!P3672-INPUT!Q3672),"")</f>
        <v/>
      </c>
      <c r="L3677" s="48" t="str">
        <f>IFERROR(IF(OR(INPUT!P3672="",INPUT!Q3672="",INPUT!P3672=0),"",(INPUT!P3672-INPUT!Q3672)/INPUT!P3672),"")</f>
        <v/>
      </c>
    </row>
    <row r="3678" spans="1:12" ht="18" hidden="1" customHeight="1" x14ac:dyDescent="0.2">
      <c r="A3678" s="11" t="str">
        <f>IF(INPUT!M3673="","",INPUT!M3673)</f>
        <v/>
      </c>
      <c r="B3678" s="11" t="str">
        <f>IF(INPUT!M3673="","",INPUT!M3673-WEEKDAY(INPUT!M3673,2)+1)</f>
        <v/>
      </c>
      <c r="C3678" s="20">
        <f>IFERROR(_xlfn.ISOWEEKNUM(INPUT!M3673),"")</f>
        <v>52</v>
      </c>
      <c r="D3678" s="20">
        <f>IFERROR(YEAR(INPUT!M3673),"")</f>
        <v>1900</v>
      </c>
      <c r="E3678" t="str">
        <f>IF(INPUT!O3673="","",INPUT!O3673)</f>
        <v/>
      </c>
      <c r="F3678" t="str">
        <f>IF(INPUT!N3673="","",INPUT!N3673)</f>
        <v/>
      </c>
      <c r="G3678" cm="1">
        <f t="array" ref="G3678">IFERROR(VLOOKUP(INPUT!M3673&amp;INPUT!N3673,CHOOSE({1,2},INPUT!$A$3:$A$5000&amp;INPUT!$C$3:$C$5000,INPUT!$F$3:$F$5000),2,FALSE),"")</f>
        <v>0</v>
      </c>
      <c r="H3678" cm="1">
        <f t="array" ref="H3678">IFERROR(VLOOKUP(INPUT!M3673&amp;INPUT!N3673,CHOOSE({1,2},INPUT!$A$3:$A$5000&amp;INPUT!$C$3:$C$5000,INPUT!$D$3:$D$5000),2,FALSE),"")</f>
        <v>0</v>
      </c>
      <c r="I3678" s="46" t="str">
        <f>IF(INPUT!P3673="","",INPUT!P3673)</f>
        <v/>
      </c>
      <c r="J3678" s="46" t="str">
        <f>IF(INPUT!Q3673="","",INPUT!Q3673)</f>
        <v/>
      </c>
      <c r="K3678" s="46" t="str">
        <f>IFERROR(IF(OR(INPUT!P3673="",INPUT!Q3673=""),"",INPUT!P3673-INPUT!Q3673),"")</f>
        <v/>
      </c>
      <c r="L3678" s="48" t="str">
        <f>IFERROR(IF(OR(INPUT!P3673="",INPUT!Q3673="",INPUT!P3673=0),"",(INPUT!P3673-INPUT!Q3673)/INPUT!P3673),"")</f>
        <v/>
      </c>
    </row>
    <row r="3679" spans="1:12" ht="18" hidden="1" customHeight="1" x14ac:dyDescent="0.2">
      <c r="A3679" s="11" t="str">
        <f>IF(INPUT!M3674="","",INPUT!M3674)</f>
        <v/>
      </c>
      <c r="B3679" s="11" t="str">
        <f>IF(INPUT!M3674="","",INPUT!M3674-WEEKDAY(INPUT!M3674,2)+1)</f>
        <v/>
      </c>
      <c r="C3679" s="20">
        <f>IFERROR(_xlfn.ISOWEEKNUM(INPUT!M3674),"")</f>
        <v>52</v>
      </c>
      <c r="D3679" s="20">
        <f>IFERROR(YEAR(INPUT!M3674),"")</f>
        <v>1900</v>
      </c>
      <c r="E3679" t="str">
        <f>IF(INPUT!O3674="","",INPUT!O3674)</f>
        <v/>
      </c>
      <c r="F3679" t="str">
        <f>IF(INPUT!N3674="","",INPUT!N3674)</f>
        <v/>
      </c>
      <c r="G3679" cm="1">
        <f t="array" ref="G3679">IFERROR(VLOOKUP(INPUT!M3674&amp;INPUT!N3674,CHOOSE({1,2},INPUT!$A$3:$A$5000&amp;INPUT!$C$3:$C$5000,INPUT!$F$3:$F$5000),2,FALSE),"")</f>
        <v>0</v>
      </c>
      <c r="H3679" cm="1">
        <f t="array" ref="H3679">IFERROR(VLOOKUP(INPUT!M3674&amp;INPUT!N3674,CHOOSE({1,2},INPUT!$A$3:$A$5000&amp;INPUT!$C$3:$C$5000,INPUT!$D$3:$D$5000),2,FALSE),"")</f>
        <v>0</v>
      </c>
      <c r="I3679" s="46" t="str">
        <f>IF(INPUT!P3674="","",INPUT!P3674)</f>
        <v/>
      </c>
      <c r="J3679" s="46" t="str">
        <f>IF(INPUT!Q3674="","",INPUT!Q3674)</f>
        <v/>
      </c>
      <c r="K3679" s="46" t="str">
        <f>IFERROR(IF(OR(INPUT!P3674="",INPUT!Q3674=""),"",INPUT!P3674-INPUT!Q3674),"")</f>
        <v/>
      </c>
      <c r="L3679" s="48" t="str">
        <f>IFERROR(IF(OR(INPUT!P3674="",INPUT!Q3674="",INPUT!P3674=0),"",(INPUT!P3674-INPUT!Q3674)/INPUT!P3674),"")</f>
        <v/>
      </c>
    </row>
    <row r="3680" spans="1:12" ht="18" hidden="1" customHeight="1" x14ac:dyDescent="0.2">
      <c r="A3680" s="11" t="str">
        <f>IF(INPUT!M3675="","",INPUT!M3675)</f>
        <v/>
      </c>
      <c r="B3680" s="11" t="str">
        <f>IF(INPUT!M3675="","",INPUT!M3675-WEEKDAY(INPUT!M3675,2)+1)</f>
        <v/>
      </c>
      <c r="C3680" s="20">
        <f>IFERROR(_xlfn.ISOWEEKNUM(INPUT!M3675),"")</f>
        <v>52</v>
      </c>
      <c r="D3680" s="20">
        <f>IFERROR(YEAR(INPUT!M3675),"")</f>
        <v>1900</v>
      </c>
      <c r="E3680" t="str">
        <f>IF(INPUT!O3675="","",INPUT!O3675)</f>
        <v/>
      </c>
      <c r="F3680" t="str">
        <f>IF(INPUT!N3675="","",INPUT!N3675)</f>
        <v/>
      </c>
      <c r="G3680" cm="1">
        <f t="array" ref="G3680">IFERROR(VLOOKUP(INPUT!M3675&amp;INPUT!N3675,CHOOSE({1,2},INPUT!$A$3:$A$5000&amp;INPUT!$C$3:$C$5000,INPUT!$F$3:$F$5000),2,FALSE),"")</f>
        <v>0</v>
      </c>
      <c r="H3680" cm="1">
        <f t="array" ref="H3680">IFERROR(VLOOKUP(INPUT!M3675&amp;INPUT!N3675,CHOOSE({1,2},INPUT!$A$3:$A$5000&amp;INPUT!$C$3:$C$5000,INPUT!$D$3:$D$5000),2,FALSE),"")</f>
        <v>0</v>
      </c>
      <c r="I3680" s="46" t="str">
        <f>IF(INPUT!P3675="","",INPUT!P3675)</f>
        <v/>
      </c>
      <c r="J3680" s="46" t="str">
        <f>IF(INPUT!Q3675="","",INPUT!Q3675)</f>
        <v/>
      </c>
      <c r="K3680" s="46" t="str">
        <f>IFERROR(IF(OR(INPUT!P3675="",INPUT!Q3675=""),"",INPUT!P3675-INPUT!Q3675),"")</f>
        <v/>
      </c>
      <c r="L3680" s="48" t="str">
        <f>IFERROR(IF(OR(INPUT!P3675="",INPUT!Q3675="",INPUT!P3675=0),"",(INPUT!P3675-INPUT!Q3675)/INPUT!P3675),"")</f>
        <v/>
      </c>
    </row>
    <row r="3681" spans="1:12" ht="18" hidden="1" customHeight="1" x14ac:dyDescent="0.2">
      <c r="A3681" s="11" t="str">
        <f>IF(INPUT!M3676="","",INPUT!M3676)</f>
        <v/>
      </c>
      <c r="B3681" s="11" t="str">
        <f>IF(INPUT!M3676="","",INPUT!M3676-WEEKDAY(INPUT!M3676,2)+1)</f>
        <v/>
      </c>
      <c r="C3681" s="20">
        <f>IFERROR(_xlfn.ISOWEEKNUM(INPUT!M3676),"")</f>
        <v>52</v>
      </c>
      <c r="D3681" s="20">
        <f>IFERROR(YEAR(INPUT!M3676),"")</f>
        <v>1900</v>
      </c>
      <c r="E3681" t="str">
        <f>IF(INPUT!O3676="","",INPUT!O3676)</f>
        <v/>
      </c>
      <c r="F3681" t="str">
        <f>IF(INPUT!N3676="","",INPUT!N3676)</f>
        <v/>
      </c>
      <c r="G3681" cm="1">
        <f t="array" ref="G3681">IFERROR(VLOOKUP(INPUT!M3676&amp;INPUT!N3676,CHOOSE({1,2},INPUT!$A$3:$A$5000&amp;INPUT!$C$3:$C$5000,INPUT!$F$3:$F$5000),2,FALSE),"")</f>
        <v>0</v>
      </c>
      <c r="H3681" cm="1">
        <f t="array" ref="H3681">IFERROR(VLOOKUP(INPUT!M3676&amp;INPUT!N3676,CHOOSE({1,2},INPUT!$A$3:$A$5000&amp;INPUT!$C$3:$C$5000,INPUT!$D$3:$D$5000),2,FALSE),"")</f>
        <v>0</v>
      </c>
      <c r="I3681" s="46" t="str">
        <f>IF(INPUT!P3676="","",INPUT!P3676)</f>
        <v/>
      </c>
      <c r="J3681" s="46" t="str">
        <f>IF(INPUT!Q3676="","",INPUT!Q3676)</f>
        <v/>
      </c>
      <c r="K3681" s="46" t="str">
        <f>IFERROR(IF(OR(INPUT!P3676="",INPUT!Q3676=""),"",INPUT!P3676-INPUT!Q3676),"")</f>
        <v/>
      </c>
      <c r="L3681" s="48" t="str">
        <f>IFERROR(IF(OR(INPUT!P3676="",INPUT!Q3676="",INPUT!P3676=0),"",(INPUT!P3676-INPUT!Q3676)/INPUT!P3676),"")</f>
        <v/>
      </c>
    </row>
    <row r="3682" spans="1:12" ht="18" hidden="1" customHeight="1" x14ac:dyDescent="0.2">
      <c r="A3682" s="11" t="str">
        <f>IF(INPUT!M3677="","",INPUT!M3677)</f>
        <v/>
      </c>
      <c r="B3682" s="11" t="str">
        <f>IF(INPUT!M3677="","",INPUT!M3677-WEEKDAY(INPUT!M3677,2)+1)</f>
        <v/>
      </c>
      <c r="C3682" s="20">
        <f>IFERROR(_xlfn.ISOWEEKNUM(INPUT!M3677),"")</f>
        <v>52</v>
      </c>
      <c r="D3682" s="20">
        <f>IFERROR(YEAR(INPUT!M3677),"")</f>
        <v>1900</v>
      </c>
      <c r="E3682" t="str">
        <f>IF(INPUT!O3677="","",INPUT!O3677)</f>
        <v/>
      </c>
      <c r="F3682" t="str">
        <f>IF(INPUT!N3677="","",INPUT!N3677)</f>
        <v/>
      </c>
      <c r="G3682" cm="1">
        <f t="array" ref="G3682">IFERROR(VLOOKUP(INPUT!M3677&amp;INPUT!N3677,CHOOSE({1,2},INPUT!$A$3:$A$5000&amp;INPUT!$C$3:$C$5000,INPUT!$F$3:$F$5000),2,FALSE),"")</f>
        <v>0</v>
      </c>
      <c r="H3682" cm="1">
        <f t="array" ref="H3682">IFERROR(VLOOKUP(INPUT!M3677&amp;INPUT!N3677,CHOOSE({1,2},INPUT!$A$3:$A$5000&amp;INPUT!$C$3:$C$5000,INPUT!$D$3:$D$5000),2,FALSE),"")</f>
        <v>0</v>
      </c>
      <c r="I3682" s="46" t="str">
        <f>IF(INPUT!P3677="","",INPUT!P3677)</f>
        <v/>
      </c>
      <c r="J3682" s="46" t="str">
        <f>IF(INPUT!Q3677="","",INPUT!Q3677)</f>
        <v/>
      </c>
      <c r="K3682" s="46" t="str">
        <f>IFERROR(IF(OR(INPUT!P3677="",INPUT!Q3677=""),"",INPUT!P3677-INPUT!Q3677),"")</f>
        <v/>
      </c>
      <c r="L3682" s="48" t="str">
        <f>IFERROR(IF(OR(INPUT!P3677="",INPUT!Q3677="",INPUT!P3677=0),"",(INPUT!P3677-INPUT!Q3677)/INPUT!P3677),"")</f>
        <v/>
      </c>
    </row>
    <row r="3683" spans="1:12" ht="18" hidden="1" customHeight="1" x14ac:dyDescent="0.2">
      <c r="A3683" s="11" t="str">
        <f>IF(INPUT!M3678="","",INPUT!M3678)</f>
        <v/>
      </c>
      <c r="B3683" s="11" t="str">
        <f>IF(INPUT!M3678="","",INPUT!M3678-WEEKDAY(INPUT!M3678,2)+1)</f>
        <v/>
      </c>
      <c r="C3683" s="20">
        <f>IFERROR(_xlfn.ISOWEEKNUM(INPUT!M3678),"")</f>
        <v>52</v>
      </c>
      <c r="D3683" s="20">
        <f>IFERROR(YEAR(INPUT!M3678),"")</f>
        <v>1900</v>
      </c>
      <c r="E3683" t="str">
        <f>IF(INPUT!O3678="","",INPUT!O3678)</f>
        <v/>
      </c>
      <c r="F3683" t="str">
        <f>IF(INPUT!N3678="","",INPUT!N3678)</f>
        <v/>
      </c>
      <c r="G3683" cm="1">
        <f t="array" ref="G3683">IFERROR(VLOOKUP(INPUT!M3678&amp;INPUT!N3678,CHOOSE({1,2},INPUT!$A$3:$A$5000&amp;INPUT!$C$3:$C$5000,INPUT!$F$3:$F$5000),2,FALSE),"")</f>
        <v>0</v>
      </c>
      <c r="H3683" cm="1">
        <f t="array" ref="H3683">IFERROR(VLOOKUP(INPUT!M3678&amp;INPUT!N3678,CHOOSE({1,2},INPUT!$A$3:$A$5000&amp;INPUT!$C$3:$C$5000,INPUT!$D$3:$D$5000),2,FALSE),"")</f>
        <v>0</v>
      </c>
      <c r="I3683" s="46" t="str">
        <f>IF(INPUT!P3678="","",INPUT!P3678)</f>
        <v/>
      </c>
      <c r="J3683" s="46" t="str">
        <f>IF(INPUT!Q3678="","",INPUT!Q3678)</f>
        <v/>
      </c>
      <c r="K3683" s="46" t="str">
        <f>IFERROR(IF(OR(INPUT!P3678="",INPUT!Q3678=""),"",INPUT!P3678-INPUT!Q3678),"")</f>
        <v/>
      </c>
      <c r="L3683" s="48" t="str">
        <f>IFERROR(IF(OR(INPUT!P3678="",INPUT!Q3678="",INPUT!P3678=0),"",(INPUT!P3678-INPUT!Q3678)/INPUT!P3678),"")</f>
        <v/>
      </c>
    </row>
    <row r="3684" spans="1:12" ht="18" hidden="1" customHeight="1" x14ac:dyDescent="0.2">
      <c r="A3684" s="11" t="str">
        <f>IF(INPUT!M3679="","",INPUT!M3679)</f>
        <v/>
      </c>
      <c r="B3684" s="11" t="str">
        <f>IF(INPUT!M3679="","",INPUT!M3679-WEEKDAY(INPUT!M3679,2)+1)</f>
        <v/>
      </c>
      <c r="C3684" s="20">
        <f>IFERROR(_xlfn.ISOWEEKNUM(INPUT!M3679),"")</f>
        <v>52</v>
      </c>
      <c r="D3684" s="20">
        <f>IFERROR(YEAR(INPUT!M3679),"")</f>
        <v>1900</v>
      </c>
      <c r="E3684" t="str">
        <f>IF(INPUT!O3679="","",INPUT!O3679)</f>
        <v/>
      </c>
      <c r="F3684" t="str">
        <f>IF(INPUT!N3679="","",INPUT!N3679)</f>
        <v/>
      </c>
      <c r="G3684" cm="1">
        <f t="array" ref="G3684">IFERROR(VLOOKUP(INPUT!M3679&amp;INPUT!N3679,CHOOSE({1,2},INPUT!$A$3:$A$5000&amp;INPUT!$C$3:$C$5000,INPUT!$F$3:$F$5000),2,FALSE),"")</f>
        <v>0</v>
      </c>
      <c r="H3684" cm="1">
        <f t="array" ref="H3684">IFERROR(VLOOKUP(INPUT!M3679&amp;INPUT!N3679,CHOOSE({1,2},INPUT!$A$3:$A$5000&amp;INPUT!$C$3:$C$5000,INPUT!$D$3:$D$5000),2,FALSE),"")</f>
        <v>0</v>
      </c>
      <c r="I3684" s="46" t="str">
        <f>IF(INPUT!P3679="","",INPUT!P3679)</f>
        <v/>
      </c>
      <c r="J3684" s="46" t="str">
        <f>IF(INPUT!Q3679="","",INPUT!Q3679)</f>
        <v/>
      </c>
      <c r="K3684" s="46" t="str">
        <f>IFERROR(IF(OR(INPUT!P3679="",INPUT!Q3679=""),"",INPUT!P3679-INPUT!Q3679),"")</f>
        <v/>
      </c>
      <c r="L3684" s="48" t="str">
        <f>IFERROR(IF(OR(INPUT!P3679="",INPUT!Q3679="",INPUT!P3679=0),"",(INPUT!P3679-INPUT!Q3679)/INPUT!P3679),"")</f>
        <v/>
      </c>
    </row>
    <row r="3685" spans="1:12" ht="18" hidden="1" customHeight="1" x14ac:dyDescent="0.2">
      <c r="A3685" s="11" t="str">
        <f>IF(INPUT!M3680="","",INPUT!M3680)</f>
        <v/>
      </c>
      <c r="B3685" s="11" t="str">
        <f>IF(INPUT!M3680="","",INPUT!M3680-WEEKDAY(INPUT!M3680,2)+1)</f>
        <v/>
      </c>
      <c r="C3685" s="20">
        <f>IFERROR(_xlfn.ISOWEEKNUM(INPUT!M3680),"")</f>
        <v>52</v>
      </c>
      <c r="D3685" s="20">
        <f>IFERROR(YEAR(INPUT!M3680),"")</f>
        <v>1900</v>
      </c>
      <c r="E3685" t="str">
        <f>IF(INPUT!O3680="","",INPUT!O3680)</f>
        <v/>
      </c>
      <c r="F3685" t="str">
        <f>IF(INPUT!N3680="","",INPUT!N3680)</f>
        <v/>
      </c>
      <c r="G3685" cm="1">
        <f t="array" ref="G3685">IFERROR(VLOOKUP(INPUT!M3680&amp;INPUT!N3680,CHOOSE({1,2},INPUT!$A$3:$A$5000&amp;INPUT!$C$3:$C$5000,INPUT!$F$3:$F$5000),2,FALSE),"")</f>
        <v>0</v>
      </c>
      <c r="H3685" cm="1">
        <f t="array" ref="H3685">IFERROR(VLOOKUP(INPUT!M3680&amp;INPUT!N3680,CHOOSE({1,2},INPUT!$A$3:$A$5000&amp;INPUT!$C$3:$C$5000,INPUT!$D$3:$D$5000),2,FALSE),"")</f>
        <v>0</v>
      </c>
      <c r="I3685" s="46" t="str">
        <f>IF(INPUT!P3680="","",INPUT!P3680)</f>
        <v/>
      </c>
      <c r="J3685" s="46" t="str">
        <f>IF(INPUT!Q3680="","",INPUT!Q3680)</f>
        <v/>
      </c>
      <c r="K3685" s="46" t="str">
        <f>IFERROR(IF(OR(INPUT!P3680="",INPUT!Q3680=""),"",INPUT!P3680-INPUT!Q3680),"")</f>
        <v/>
      </c>
      <c r="L3685" s="48" t="str">
        <f>IFERROR(IF(OR(INPUT!P3680="",INPUT!Q3680="",INPUT!P3680=0),"",(INPUT!P3680-INPUT!Q3680)/INPUT!P3680),"")</f>
        <v/>
      </c>
    </row>
    <row r="3686" spans="1:12" ht="18" hidden="1" customHeight="1" x14ac:dyDescent="0.2">
      <c r="A3686" s="11" t="str">
        <f>IF(INPUT!M3681="","",INPUT!M3681)</f>
        <v/>
      </c>
      <c r="B3686" s="11" t="str">
        <f>IF(INPUT!M3681="","",INPUT!M3681-WEEKDAY(INPUT!M3681,2)+1)</f>
        <v/>
      </c>
      <c r="C3686" s="20">
        <f>IFERROR(_xlfn.ISOWEEKNUM(INPUT!M3681),"")</f>
        <v>52</v>
      </c>
      <c r="D3686" s="20">
        <f>IFERROR(YEAR(INPUT!M3681),"")</f>
        <v>1900</v>
      </c>
      <c r="E3686" t="str">
        <f>IF(INPUT!O3681="","",INPUT!O3681)</f>
        <v/>
      </c>
      <c r="F3686" t="str">
        <f>IF(INPUT!N3681="","",INPUT!N3681)</f>
        <v/>
      </c>
      <c r="G3686" cm="1">
        <f t="array" ref="G3686">IFERROR(VLOOKUP(INPUT!M3681&amp;INPUT!N3681,CHOOSE({1,2},INPUT!$A$3:$A$5000&amp;INPUT!$C$3:$C$5000,INPUT!$F$3:$F$5000),2,FALSE),"")</f>
        <v>0</v>
      </c>
      <c r="H3686" cm="1">
        <f t="array" ref="H3686">IFERROR(VLOOKUP(INPUT!M3681&amp;INPUT!N3681,CHOOSE({1,2},INPUT!$A$3:$A$5000&amp;INPUT!$C$3:$C$5000,INPUT!$D$3:$D$5000),2,FALSE),"")</f>
        <v>0</v>
      </c>
      <c r="I3686" s="46" t="str">
        <f>IF(INPUT!P3681="","",INPUT!P3681)</f>
        <v/>
      </c>
      <c r="J3686" s="46" t="str">
        <f>IF(INPUT!Q3681="","",INPUT!Q3681)</f>
        <v/>
      </c>
      <c r="K3686" s="46" t="str">
        <f>IFERROR(IF(OR(INPUT!P3681="",INPUT!Q3681=""),"",INPUT!P3681-INPUT!Q3681),"")</f>
        <v/>
      </c>
      <c r="L3686" s="48" t="str">
        <f>IFERROR(IF(OR(INPUT!P3681="",INPUT!Q3681="",INPUT!P3681=0),"",(INPUT!P3681-INPUT!Q3681)/INPUT!P3681),"")</f>
        <v/>
      </c>
    </row>
    <row r="3687" spans="1:12" ht="18" hidden="1" customHeight="1" x14ac:dyDescent="0.2">
      <c r="A3687" s="11" t="str">
        <f>IF(INPUT!M3682="","",INPUT!M3682)</f>
        <v/>
      </c>
      <c r="B3687" s="11" t="str">
        <f>IF(INPUT!M3682="","",INPUT!M3682-WEEKDAY(INPUT!M3682,2)+1)</f>
        <v/>
      </c>
      <c r="C3687" s="20">
        <f>IFERROR(_xlfn.ISOWEEKNUM(INPUT!M3682),"")</f>
        <v>52</v>
      </c>
      <c r="D3687" s="20">
        <f>IFERROR(YEAR(INPUT!M3682),"")</f>
        <v>1900</v>
      </c>
      <c r="E3687" t="str">
        <f>IF(INPUT!O3682="","",INPUT!O3682)</f>
        <v/>
      </c>
      <c r="F3687" t="str">
        <f>IF(INPUT!N3682="","",INPUT!N3682)</f>
        <v/>
      </c>
      <c r="G3687" cm="1">
        <f t="array" ref="G3687">IFERROR(VLOOKUP(INPUT!M3682&amp;INPUT!N3682,CHOOSE({1,2},INPUT!$A$3:$A$5000&amp;INPUT!$C$3:$C$5000,INPUT!$F$3:$F$5000),2,FALSE),"")</f>
        <v>0</v>
      </c>
      <c r="H3687" cm="1">
        <f t="array" ref="H3687">IFERROR(VLOOKUP(INPUT!M3682&amp;INPUT!N3682,CHOOSE({1,2},INPUT!$A$3:$A$5000&amp;INPUT!$C$3:$C$5000,INPUT!$D$3:$D$5000),2,FALSE),"")</f>
        <v>0</v>
      </c>
      <c r="I3687" s="46" t="str">
        <f>IF(INPUT!P3682="","",INPUT!P3682)</f>
        <v/>
      </c>
      <c r="J3687" s="46" t="str">
        <f>IF(INPUT!Q3682="","",INPUT!Q3682)</f>
        <v/>
      </c>
      <c r="K3687" s="46" t="str">
        <f>IFERROR(IF(OR(INPUT!P3682="",INPUT!Q3682=""),"",INPUT!P3682-INPUT!Q3682),"")</f>
        <v/>
      </c>
      <c r="L3687" s="48" t="str">
        <f>IFERROR(IF(OR(INPUT!P3682="",INPUT!Q3682="",INPUT!P3682=0),"",(INPUT!P3682-INPUT!Q3682)/INPUT!P3682),"")</f>
        <v/>
      </c>
    </row>
    <row r="3688" spans="1:12" ht="18" hidden="1" customHeight="1" x14ac:dyDescent="0.2">
      <c r="A3688" s="11" t="str">
        <f>IF(INPUT!M3683="","",INPUT!M3683)</f>
        <v/>
      </c>
      <c r="B3688" s="11" t="str">
        <f>IF(INPUT!M3683="","",INPUT!M3683-WEEKDAY(INPUT!M3683,2)+1)</f>
        <v/>
      </c>
      <c r="C3688" s="20">
        <f>IFERROR(_xlfn.ISOWEEKNUM(INPUT!M3683),"")</f>
        <v>52</v>
      </c>
      <c r="D3688" s="20">
        <f>IFERROR(YEAR(INPUT!M3683),"")</f>
        <v>1900</v>
      </c>
      <c r="E3688" t="str">
        <f>IF(INPUT!O3683="","",INPUT!O3683)</f>
        <v/>
      </c>
      <c r="F3688" t="str">
        <f>IF(INPUT!N3683="","",INPUT!N3683)</f>
        <v/>
      </c>
      <c r="G3688" cm="1">
        <f t="array" ref="G3688">IFERROR(VLOOKUP(INPUT!M3683&amp;INPUT!N3683,CHOOSE({1,2},INPUT!$A$3:$A$5000&amp;INPUT!$C$3:$C$5000,INPUT!$F$3:$F$5000),2,FALSE),"")</f>
        <v>0</v>
      </c>
      <c r="H3688" cm="1">
        <f t="array" ref="H3688">IFERROR(VLOOKUP(INPUT!M3683&amp;INPUT!N3683,CHOOSE({1,2},INPUT!$A$3:$A$5000&amp;INPUT!$C$3:$C$5000,INPUT!$D$3:$D$5000),2,FALSE),"")</f>
        <v>0</v>
      </c>
      <c r="I3688" s="46" t="str">
        <f>IF(INPUT!P3683="","",INPUT!P3683)</f>
        <v/>
      </c>
      <c r="J3688" s="46" t="str">
        <f>IF(INPUT!Q3683="","",INPUT!Q3683)</f>
        <v/>
      </c>
      <c r="K3688" s="46" t="str">
        <f>IFERROR(IF(OR(INPUT!P3683="",INPUT!Q3683=""),"",INPUT!P3683-INPUT!Q3683),"")</f>
        <v/>
      </c>
      <c r="L3688" s="48" t="str">
        <f>IFERROR(IF(OR(INPUT!P3683="",INPUT!Q3683="",INPUT!P3683=0),"",(INPUT!P3683-INPUT!Q3683)/INPUT!P3683),"")</f>
        <v/>
      </c>
    </row>
    <row r="3689" spans="1:12" ht="18" hidden="1" customHeight="1" x14ac:dyDescent="0.2">
      <c r="A3689" s="11" t="str">
        <f>IF(INPUT!M3684="","",INPUT!M3684)</f>
        <v/>
      </c>
      <c r="B3689" s="11" t="str">
        <f>IF(INPUT!M3684="","",INPUT!M3684-WEEKDAY(INPUT!M3684,2)+1)</f>
        <v/>
      </c>
      <c r="C3689" s="20">
        <f>IFERROR(_xlfn.ISOWEEKNUM(INPUT!M3684),"")</f>
        <v>52</v>
      </c>
      <c r="D3689" s="20">
        <f>IFERROR(YEAR(INPUT!M3684),"")</f>
        <v>1900</v>
      </c>
      <c r="E3689" t="str">
        <f>IF(INPUT!O3684="","",INPUT!O3684)</f>
        <v/>
      </c>
      <c r="F3689" t="str">
        <f>IF(INPUT!N3684="","",INPUT!N3684)</f>
        <v/>
      </c>
      <c r="G3689" cm="1">
        <f t="array" ref="G3689">IFERROR(VLOOKUP(INPUT!M3684&amp;INPUT!N3684,CHOOSE({1,2},INPUT!$A$3:$A$5000&amp;INPUT!$C$3:$C$5000,INPUT!$F$3:$F$5000),2,FALSE),"")</f>
        <v>0</v>
      </c>
      <c r="H3689" cm="1">
        <f t="array" ref="H3689">IFERROR(VLOOKUP(INPUT!M3684&amp;INPUT!N3684,CHOOSE({1,2},INPUT!$A$3:$A$5000&amp;INPUT!$C$3:$C$5000,INPUT!$D$3:$D$5000),2,FALSE),"")</f>
        <v>0</v>
      </c>
      <c r="I3689" s="46" t="str">
        <f>IF(INPUT!P3684="","",INPUT!P3684)</f>
        <v/>
      </c>
      <c r="J3689" s="46" t="str">
        <f>IF(INPUT!Q3684="","",INPUT!Q3684)</f>
        <v/>
      </c>
      <c r="K3689" s="46" t="str">
        <f>IFERROR(IF(OR(INPUT!P3684="",INPUT!Q3684=""),"",INPUT!P3684-INPUT!Q3684),"")</f>
        <v/>
      </c>
      <c r="L3689" s="48" t="str">
        <f>IFERROR(IF(OR(INPUT!P3684="",INPUT!Q3684="",INPUT!P3684=0),"",(INPUT!P3684-INPUT!Q3684)/INPUT!P3684),"")</f>
        <v/>
      </c>
    </row>
    <row r="3690" spans="1:12" ht="18" hidden="1" customHeight="1" x14ac:dyDescent="0.2">
      <c r="A3690" s="11" t="str">
        <f>IF(INPUT!M3685="","",INPUT!M3685)</f>
        <v/>
      </c>
      <c r="B3690" s="11" t="str">
        <f>IF(INPUT!M3685="","",INPUT!M3685-WEEKDAY(INPUT!M3685,2)+1)</f>
        <v/>
      </c>
      <c r="C3690" s="20">
        <f>IFERROR(_xlfn.ISOWEEKNUM(INPUT!M3685),"")</f>
        <v>52</v>
      </c>
      <c r="D3690" s="20">
        <f>IFERROR(YEAR(INPUT!M3685),"")</f>
        <v>1900</v>
      </c>
      <c r="E3690" t="str">
        <f>IF(INPUT!O3685="","",INPUT!O3685)</f>
        <v/>
      </c>
      <c r="F3690" t="str">
        <f>IF(INPUT!N3685="","",INPUT!N3685)</f>
        <v/>
      </c>
      <c r="G3690" cm="1">
        <f t="array" ref="G3690">IFERROR(VLOOKUP(INPUT!M3685&amp;INPUT!N3685,CHOOSE({1,2},INPUT!$A$3:$A$5000&amp;INPUT!$C$3:$C$5000,INPUT!$F$3:$F$5000),2,FALSE),"")</f>
        <v>0</v>
      </c>
      <c r="H3690" cm="1">
        <f t="array" ref="H3690">IFERROR(VLOOKUP(INPUT!M3685&amp;INPUT!N3685,CHOOSE({1,2},INPUT!$A$3:$A$5000&amp;INPUT!$C$3:$C$5000,INPUT!$D$3:$D$5000),2,FALSE),"")</f>
        <v>0</v>
      </c>
      <c r="I3690" s="46" t="str">
        <f>IF(INPUT!P3685="","",INPUT!P3685)</f>
        <v/>
      </c>
      <c r="J3690" s="46" t="str">
        <f>IF(INPUT!Q3685="","",INPUT!Q3685)</f>
        <v/>
      </c>
      <c r="K3690" s="46" t="str">
        <f>IFERROR(IF(OR(INPUT!P3685="",INPUT!Q3685=""),"",INPUT!P3685-INPUT!Q3685),"")</f>
        <v/>
      </c>
      <c r="L3690" s="48" t="str">
        <f>IFERROR(IF(OR(INPUT!P3685="",INPUT!Q3685="",INPUT!P3685=0),"",(INPUT!P3685-INPUT!Q3685)/INPUT!P3685),"")</f>
        <v/>
      </c>
    </row>
    <row r="3691" spans="1:12" ht="18" hidden="1" customHeight="1" x14ac:dyDescent="0.2">
      <c r="A3691" s="11" t="str">
        <f>IF(INPUT!M3686="","",INPUT!M3686)</f>
        <v/>
      </c>
      <c r="B3691" s="11" t="str">
        <f>IF(INPUT!M3686="","",INPUT!M3686-WEEKDAY(INPUT!M3686,2)+1)</f>
        <v/>
      </c>
      <c r="C3691" s="20">
        <f>IFERROR(_xlfn.ISOWEEKNUM(INPUT!M3686),"")</f>
        <v>52</v>
      </c>
      <c r="D3691" s="20">
        <f>IFERROR(YEAR(INPUT!M3686),"")</f>
        <v>1900</v>
      </c>
      <c r="E3691" t="str">
        <f>IF(INPUT!O3686="","",INPUT!O3686)</f>
        <v/>
      </c>
      <c r="F3691" t="str">
        <f>IF(INPUT!N3686="","",INPUT!N3686)</f>
        <v/>
      </c>
      <c r="G3691" cm="1">
        <f t="array" ref="G3691">IFERROR(VLOOKUP(INPUT!M3686&amp;INPUT!N3686,CHOOSE({1,2},INPUT!$A$3:$A$5000&amp;INPUT!$C$3:$C$5000,INPUT!$F$3:$F$5000),2,FALSE),"")</f>
        <v>0</v>
      </c>
      <c r="H3691" cm="1">
        <f t="array" ref="H3691">IFERROR(VLOOKUP(INPUT!M3686&amp;INPUT!N3686,CHOOSE({1,2},INPUT!$A$3:$A$5000&amp;INPUT!$C$3:$C$5000,INPUT!$D$3:$D$5000),2,FALSE),"")</f>
        <v>0</v>
      </c>
      <c r="I3691" s="46" t="str">
        <f>IF(INPUT!P3686="","",INPUT!P3686)</f>
        <v/>
      </c>
      <c r="J3691" s="46" t="str">
        <f>IF(INPUT!Q3686="","",INPUT!Q3686)</f>
        <v/>
      </c>
      <c r="K3691" s="46" t="str">
        <f>IFERROR(IF(OR(INPUT!P3686="",INPUT!Q3686=""),"",INPUT!P3686-INPUT!Q3686),"")</f>
        <v/>
      </c>
      <c r="L3691" s="48" t="str">
        <f>IFERROR(IF(OR(INPUT!P3686="",INPUT!Q3686="",INPUT!P3686=0),"",(INPUT!P3686-INPUT!Q3686)/INPUT!P3686),"")</f>
        <v/>
      </c>
    </row>
    <row r="3692" spans="1:12" ht="18" hidden="1" customHeight="1" x14ac:dyDescent="0.2">
      <c r="A3692" s="11" t="str">
        <f>IF(INPUT!M3687="","",INPUT!M3687)</f>
        <v/>
      </c>
      <c r="B3692" s="11" t="str">
        <f>IF(INPUT!M3687="","",INPUT!M3687-WEEKDAY(INPUT!M3687,2)+1)</f>
        <v/>
      </c>
      <c r="C3692" s="20">
        <f>IFERROR(_xlfn.ISOWEEKNUM(INPUT!M3687),"")</f>
        <v>52</v>
      </c>
      <c r="D3692" s="20">
        <f>IFERROR(YEAR(INPUT!M3687),"")</f>
        <v>1900</v>
      </c>
      <c r="E3692" t="str">
        <f>IF(INPUT!O3687="","",INPUT!O3687)</f>
        <v/>
      </c>
      <c r="F3692" t="str">
        <f>IF(INPUT!N3687="","",INPUT!N3687)</f>
        <v/>
      </c>
      <c r="G3692" cm="1">
        <f t="array" ref="G3692">IFERROR(VLOOKUP(INPUT!M3687&amp;INPUT!N3687,CHOOSE({1,2},INPUT!$A$3:$A$5000&amp;INPUT!$C$3:$C$5000,INPUT!$F$3:$F$5000),2,FALSE),"")</f>
        <v>0</v>
      </c>
      <c r="H3692" cm="1">
        <f t="array" ref="H3692">IFERROR(VLOOKUP(INPUT!M3687&amp;INPUT!N3687,CHOOSE({1,2},INPUT!$A$3:$A$5000&amp;INPUT!$C$3:$C$5000,INPUT!$D$3:$D$5000),2,FALSE),"")</f>
        <v>0</v>
      </c>
      <c r="I3692" s="46" t="str">
        <f>IF(INPUT!P3687="","",INPUT!P3687)</f>
        <v/>
      </c>
      <c r="J3692" s="46" t="str">
        <f>IF(INPUT!Q3687="","",INPUT!Q3687)</f>
        <v/>
      </c>
      <c r="K3692" s="46" t="str">
        <f>IFERROR(IF(OR(INPUT!P3687="",INPUT!Q3687=""),"",INPUT!P3687-INPUT!Q3687),"")</f>
        <v/>
      </c>
      <c r="L3692" s="48" t="str">
        <f>IFERROR(IF(OR(INPUT!P3687="",INPUT!Q3687="",INPUT!P3687=0),"",(INPUT!P3687-INPUT!Q3687)/INPUT!P3687),"")</f>
        <v/>
      </c>
    </row>
    <row r="3693" spans="1:12" ht="18" hidden="1" customHeight="1" x14ac:dyDescent="0.2">
      <c r="A3693" s="11" t="str">
        <f>IF(INPUT!M3688="","",INPUT!M3688)</f>
        <v/>
      </c>
      <c r="B3693" s="11" t="str">
        <f>IF(INPUT!M3688="","",INPUT!M3688-WEEKDAY(INPUT!M3688,2)+1)</f>
        <v/>
      </c>
      <c r="C3693" s="20">
        <f>IFERROR(_xlfn.ISOWEEKNUM(INPUT!M3688),"")</f>
        <v>52</v>
      </c>
      <c r="D3693" s="20">
        <f>IFERROR(YEAR(INPUT!M3688),"")</f>
        <v>1900</v>
      </c>
      <c r="E3693" t="str">
        <f>IF(INPUT!O3688="","",INPUT!O3688)</f>
        <v/>
      </c>
      <c r="F3693" t="str">
        <f>IF(INPUT!N3688="","",INPUT!N3688)</f>
        <v/>
      </c>
      <c r="G3693" cm="1">
        <f t="array" ref="G3693">IFERROR(VLOOKUP(INPUT!M3688&amp;INPUT!N3688,CHOOSE({1,2},INPUT!$A$3:$A$5000&amp;INPUT!$C$3:$C$5000,INPUT!$F$3:$F$5000),2,FALSE),"")</f>
        <v>0</v>
      </c>
      <c r="H3693" cm="1">
        <f t="array" ref="H3693">IFERROR(VLOOKUP(INPUT!M3688&amp;INPUT!N3688,CHOOSE({1,2},INPUT!$A$3:$A$5000&amp;INPUT!$C$3:$C$5000,INPUT!$D$3:$D$5000),2,FALSE),"")</f>
        <v>0</v>
      </c>
      <c r="I3693" s="46" t="str">
        <f>IF(INPUT!P3688="","",INPUT!P3688)</f>
        <v/>
      </c>
      <c r="J3693" s="46" t="str">
        <f>IF(INPUT!Q3688="","",INPUT!Q3688)</f>
        <v/>
      </c>
      <c r="K3693" s="46" t="str">
        <f>IFERROR(IF(OR(INPUT!P3688="",INPUT!Q3688=""),"",INPUT!P3688-INPUT!Q3688),"")</f>
        <v/>
      </c>
      <c r="L3693" s="48" t="str">
        <f>IFERROR(IF(OR(INPUT!P3688="",INPUT!Q3688="",INPUT!P3688=0),"",(INPUT!P3688-INPUT!Q3688)/INPUT!P3688),"")</f>
        <v/>
      </c>
    </row>
    <row r="3694" spans="1:12" ht="18" hidden="1" customHeight="1" x14ac:dyDescent="0.2">
      <c r="A3694" s="11" t="str">
        <f>IF(INPUT!M3689="","",INPUT!M3689)</f>
        <v/>
      </c>
      <c r="B3694" s="11" t="str">
        <f>IF(INPUT!M3689="","",INPUT!M3689-WEEKDAY(INPUT!M3689,2)+1)</f>
        <v/>
      </c>
      <c r="C3694" s="20">
        <f>IFERROR(_xlfn.ISOWEEKNUM(INPUT!M3689),"")</f>
        <v>52</v>
      </c>
      <c r="D3694" s="20">
        <f>IFERROR(YEAR(INPUT!M3689),"")</f>
        <v>1900</v>
      </c>
      <c r="E3694" t="str">
        <f>IF(INPUT!O3689="","",INPUT!O3689)</f>
        <v/>
      </c>
      <c r="F3694" t="str">
        <f>IF(INPUT!N3689="","",INPUT!N3689)</f>
        <v/>
      </c>
      <c r="G3694" cm="1">
        <f t="array" ref="G3694">IFERROR(VLOOKUP(INPUT!M3689&amp;INPUT!N3689,CHOOSE({1,2},INPUT!$A$3:$A$5000&amp;INPUT!$C$3:$C$5000,INPUT!$F$3:$F$5000),2,FALSE),"")</f>
        <v>0</v>
      </c>
      <c r="H3694" cm="1">
        <f t="array" ref="H3694">IFERROR(VLOOKUP(INPUT!M3689&amp;INPUT!N3689,CHOOSE({1,2},INPUT!$A$3:$A$5000&amp;INPUT!$C$3:$C$5000,INPUT!$D$3:$D$5000),2,FALSE),"")</f>
        <v>0</v>
      </c>
      <c r="I3694" s="46" t="str">
        <f>IF(INPUT!P3689="","",INPUT!P3689)</f>
        <v/>
      </c>
      <c r="J3694" s="46" t="str">
        <f>IF(INPUT!Q3689="","",INPUT!Q3689)</f>
        <v/>
      </c>
      <c r="K3694" s="46" t="str">
        <f>IFERROR(IF(OR(INPUT!P3689="",INPUT!Q3689=""),"",INPUT!P3689-INPUT!Q3689),"")</f>
        <v/>
      </c>
      <c r="L3694" s="48" t="str">
        <f>IFERROR(IF(OR(INPUT!P3689="",INPUT!Q3689="",INPUT!P3689=0),"",(INPUT!P3689-INPUT!Q3689)/INPUT!P3689),"")</f>
        <v/>
      </c>
    </row>
    <row r="3695" spans="1:12" ht="18" hidden="1" customHeight="1" x14ac:dyDescent="0.2">
      <c r="A3695" s="11" t="str">
        <f>IF(INPUT!M3690="","",INPUT!M3690)</f>
        <v/>
      </c>
      <c r="B3695" s="11" t="str">
        <f>IF(INPUT!M3690="","",INPUT!M3690-WEEKDAY(INPUT!M3690,2)+1)</f>
        <v/>
      </c>
      <c r="C3695" s="20">
        <f>IFERROR(_xlfn.ISOWEEKNUM(INPUT!M3690),"")</f>
        <v>52</v>
      </c>
      <c r="D3695" s="20">
        <f>IFERROR(YEAR(INPUT!M3690),"")</f>
        <v>1900</v>
      </c>
      <c r="E3695" t="str">
        <f>IF(INPUT!O3690="","",INPUT!O3690)</f>
        <v/>
      </c>
      <c r="F3695" t="str">
        <f>IF(INPUT!N3690="","",INPUT!N3690)</f>
        <v/>
      </c>
      <c r="G3695" cm="1">
        <f t="array" ref="G3695">IFERROR(VLOOKUP(INPUT!M3690&amp;INPUT!N3690,CHOOSE({1,2},INPUT!$A$3:$A$5000&amp;INPUT!$C$3:$C$5000,INPUT!$F$3:$F$5000),2,FALSE),"")</f>
        <v>0</v>
      </c>
      <c r="H3695" cm="1">
        <f t="array" ref="H3695">IFERROR(VLOOKUP(INPUT!M3690&amp;INPUT!N3690,CHOOSE({1,2},INPUT!$A$3:$A$5000&amp;INPUT!$C$3:$C$5000,INPUT!$D$3:$D$5000),2,FALSE),"")</f>
        <v>0</v>
      </c>
      <c r="I3695" s="46" t="str">
        <f>IF(INPUT!P3690="","",INPUT!P3690)</f>
        <v/>
      </c>
      <c r="J3695" s="46" t="str">
        <f>IF(INPUT!Q3690="","",INPUT!Q3690)</f>
        <v/>
      </c>
      <c r="K3695" s="46" t="str">
        <f>IFERROR(IF(OR(INPUT!P3690="",INPUT!Q3690=""),"",INPUT!P3690-INPUT!Q3690),"")</f>
        <v/>
      </c>
      <c r="L3695" s="48" t="str">
        <f>IFERROR(IF(OR(INPUT!P3690="",INPUT!Q3690="",INPUT!P3690=0),"",(INPUT!P3690-INPUT!Q3690)/INPUT!P3690),"")</f>
        <v/>
      </c>
    </row>
    <row r="3696" spans="1:12" ht="18" hidden="1" customHeight="1" x14ac:dyDescent="0.2">
      <c r="A3696" s="11" t="str">
        <f>IF(INPUT!M3691="","",INPUT!M3691)</f>
        <v/>
      </c>
      <c r="B3696" s="11" t="str">
        <f>IF(INPUT!M3691="","",INPUT!M3691-WEEKDAY(INPUT!M3691,2)+1)</f>
        <v/>
      </c>
      <c r="C3696" s="20">
        <f>IFERROR(_xlfn.ISOWEEKNUM(INPUT!M3691),"")</f>
        <v>52</v>
      </c>
      <c r="D3696" s="20">
        <f>IFERROR(YEAR(INPUT!M3691),"")</f>
        <v>1900</v>
      </c>
      <c r="E3696" t="str">
        <f>IF(INPUT!O3691="","",INPUT!O3691)</f>
        <v/>
      </c>
      <c r="F3696" t="str">
        <f>IF(INPUT!N3691="","",INPUT!N3691)</f>
        <v/>
      </c>
      <c r="G3696" cm="1">
        <f t="array" ref="G3696">IFERROR(VLOOKUP(INPUT!M3691&amp;INPUT!N3691,CHOOSE({1,2},INPUT!$A$3:$A$5000&amp;INPUT!$C$3:$C$5000,INPUT!$F$3:$F$5000),2,FALSE),"")</f>
        <v>0</v>
      </c>
      <c r="H3696" cm="1">
        <f t="array" ref="H3696">IFERROR(VLOOKUP(INPUT!M3691&amp;INPUT!N3691,CHOOSE({1,2},INPUT!$A$3:$A$5000&amp;INPUT!$C$3:$C$5000,INPUT!$D$3:$D$5000),2,FALSE),"")</f>
        <v>0</v>
      </c>
      <c r="I3696" s="46" t="str">
        <f>IF(INPUT!P3691="","",INPUT!P3691)</f>
        <v/>
      </c>
      <c r="J3696" s="46" t="str">
        <f>IF(INPUT!Q3691="","",INPUT!Q3691)</f>
        <v/>
      </c>
      <c r="K3696" s="46" t="str">
        <f>IFERROR(IF(OR(INPUT!P3691="",INPUT!Q3691=""),"",INPUT!P3691-INPUT!Q3691),"")</f>
        <v/>
      </c>
      <c r="L3696" s="48" t="str">
        <f>IFERROR(IF(OR(INPUT!P3691="",INPUT!Q3691="",INPUT!P3691=0),"",(INPUT!P3691-INPUT!Q3691)/INPUT!P3691),"")</f>
        <v/>
      </c>
    </row>
    <row r="3697" spans="1:12" ht="18" hidden="1" customHeight="1" x14ac:dyDescent="0.2">
      <c r="A3697" s="11" t="str">
        <f>IF(INPUT!M3692="","",INPUT!M3692)</f>
        <v/>
      </c>
      <c r="B3697" s="11" t="str">
        <f>IF(INPUT!M3692="","",INPUT!M3692-WEEKDAY(INPUT!M3692,2)+1)</f>
        <v/>
      </c>
      <c r="C3697" s="20">
        <f>IFERROR(_xlfn.ISOWEEKNUM(INPUT!M3692),"")</f>
        <v>52</v>
      </c>
      <c r="D3697" s="20">
        <f>IFERROR(YEAR(INPUT!M3692),"")</f>
        <v>1900</v>
      </c>
      <c r="E3697" t="str">
        <f>IF(INPUT!O3692="","",INPUT!O3692)</f>
        <v/>
      </c>
      <c r="F3697" t="str">
        <f>IF(INPUT!N3692="","",INPUT!N3692)</f>
        <v/>
      </c>
      <c r="G3697" cm="1">
        <f t="array" ref="G3697">IFERROR(VLOOKUP(INPUT!M3692&amp;INPUT!N3692,CHOOSE({1,2},INPUT!$A$3:$A$5000&amp;INPUT!$C$3:$C$5000,INPUT!$F$3:$F$5000),2,FALSE),"")</f>
        <v>0</v>
      </c>
      <c r="H3697" cm="1">
        <f t="array" ref="H3697">IFERROR(VLOOKUP(INPUT!M3692&amp;INPUT!N3692,CHOOSE({1,2},INPUT!$A$3:$A$5000&amp;INPUT!$C$3:$C$5000,INPUT!$D$3:$D$5000),2,FALSE),"")</f>
        <v>0</v>
      </c>
      <c r="I3697" s="46" t="str">
        <f>IF(INPUT!P3692="","",INPUT!P3692)</f>
        <v/>
      </c>
      <c r="J3697" s="46" t="str">
        <f>IF(INPUT!Q3692="","",INPUT!Q3692)</f>
        <v/>
      </c>
      <c r="K3697" s="46" t="str">
        <f>IFERROR(IF(OR(INPUT!P3692="",INPUT!Q3692=""),"",INPUT!P3692-INPUT!Q3692),"")</f>
        <v/>
      </c>
      <c r="L3697" s="48" t="str">
        <f>IFERROR(IF(OR(INPUT!P3692="",INPUT!Q3692="",INPUT!P3692=0),"",(INPUT!P3692-INPUT!Q3692)/INPUT!P3692),"")</f>
        <v/>
      </c>
    </row>
    <row r="3698" spans="1:12" ht="18" hidden="1" customHeight="1" x14ac:dyDescent="0.2">
      <c r="A3698" s="11" t="str">
        <f>IF(INPUT!M3693="","",INPUT!M3693)</f>
        <v/>
      </c>
      <c r="B3698" s="11" t="str">
        <f>IF(INPUT!M3693="","",INPUT!M3693-WEEKDAY(INPUT!M3693,2)+1)</f>
        <v/>
      </c>
      <c r="C3698" s="20">
        <f>IFERROR(_xlfn.ISOWEEKNUM(INPUT!M3693),"")</f>
        <v>52</v>
      </c>
      <c r="D3698" s="20">
        <f>IFERROR(YEAR(INPUT!M3693),"")</f>
        <v>1900</v>
      </c>
      <c r="E3698" t="str">
        <f>IF(INPUT!O3693="","",INPUT!O3693)</f>
        <v/>
      </c>
      <c r="F3698" t="str">
        <f>IF(INPUT!N3693="","",INPUT!N3693)</f>
        <v/>
      </c>
      <c r="G3698" cm="1">
        <f t="array" ref="G3698">IFERROR(VLOOKUP(INPUT!M3693&amp;INPUT!N3693,CHOOSE({1,2},INPUT!$A$3:$A$5000&amp;INPUT!$C$3:$C$5000,INPUT!$F$3:$F$5000),2,FALSE),"")</f>
        <v>0</v>
      </c>
      <c r="H3698" cm="1">
        <f t="array" ref="H3698">IFERROR(VLOOKUP(INPUT!M3693&amp;INPUT!N3693,CHOOSE({1,2},INPUT!$A$3:$A$5000&amp;INPUT!$C$3:$C$5000,INPUT!$D$3:$D$5000),2,FALSE),"")</f>
        <v>0</v>
      </c>
      <c r="I3698" s="46" t="str">
        <f>IF(INPUT!P3693="","",INPUT!P3693)</f>
        <v/>
      </c>
      <c r="J3698" s="46" t="str">
        <f>IF(INPUT!Q3693="","",INPUT!Q3693)</f>
        <v/>
      </c>
      <c r="K3698" s="46" t="str">
        <f>IFERROR(IF(OR(INPUT!P3693="",INPUT!Q3693=""),"",INPUT!P3693-INPUT!Q3693),"")</f>
        <v/>
      </c>
      <c r="L3698" s="48" t="str">
        <f>IFERROR(IF(OR(INPUT!P3693="",INPUT!Q3693="",INPUT!P3693=0),"",(INPUT!P3693-INPUT!Q3693)/INPUT!P3693),"")</f>
        <v/>
      </c>
    </row>
    <row r="3699" spans="1:12" ht="18" hidden="1" customHeight="1" x14ac:dyDescent="0.2">
      <c r="A3699" s="11" t="str">
        <f>IF(INPUT!M3694="","",INPUT!M3694)</f>
        <v/>
      </c>
      <c r="B3699" s="11" t="str">
        <f>IF(INPUT!M3694="","",INPUT!M3694-WEEKDAY(INPUT!M3694,2)+1)</f>
        <v/>
      </c>
      <c r="C3699" s="20">
        <f>IFERROR(_xlfn.ISOWEEKNUM(INPUT!M3694),"")</f>
        <v>52</v>
      </c>
      <c r="D3699" s="20">
        <f>IFERROR(YEAR(INPUT!M3694),"")</f>
        <v>1900</v>
      </c>
      <c r="E3699" t="str">
        <f>IF(INPUT!O3694="","",INPUT!O3694)</f>
        <v/>
      </c>
      <c r="F3699" t="str">
        <f>IF(INPUT!N3694="","",INPUT!N3694)</f>
        <v/>
      </c>
      <c r="G3699" cm="1">
        <f t="array" ref="G3699">IFERROR(VLOOKUP(INPUT!M3694&amp;INPUT!N3694,CHOOSE({1,2},INPUT!$A$3:$A$5000&amp;INPUT!$C$3:$C$5000,INPUT!$F$3:$F$5000),2,FALSE),"")</f>
        <v>0</v>
      </c>
      <c r="H3699" cm="1">
        <f t="array" ref="H3699">IFERROR(VLOOKUP(INPUT!M3694&amp;INPUT!N3694,CHOOSE({1,2},INPUT!$A$3:$A$5000&amp;INPUT!$C$3:$C$5000,INPUT!$D$3:$D$5000),2,FALSE),"")</f>
        <v>0</v>
      </c>
      <c r="I3699" s="46" t="str">
        <f>IF(INPUT!P3694="","",INPUT!P3694)</f>
        <v/>
      </c>
      <c r="J3699" s="46" t="str">
        <f>IF(INPUT!Q3694="","",INPUT!Q3694)</f>
        <v/>
      </c>
      <c r="K3699" s="46" t="str">
        <f>IFERROR(IF(OR(INPUT!P3694="",INPUT!Q3694=""),"",INPUT!P3694-INPUT!Q3694),"")</f>
        <v/>
      </c>
      <c r="L3699" s="48" t="str">
        <f>IFERROR(IF(OR(INPUT!P3694="",INPUT!Q3694="",INPUT!P3694=0),"",(INPUT!P3694-INPUT!Q3694)/INPUT!P3694),"")</f>
        <v/>
      </c>
    </row>
    <row r="3700" spans="1:12" ht="18" hidden="1" customHeight="1" x14ac:dyDescent="0.2">
      <c r="A3700" s="11" t="str">
        <f>IF(INPUT!M3695="","",INPUT!M3695)</f>
        <v/>
      </c>
      <c r="B3700" s="11" t="str">
        <f>IF(INPUT!M3695="","",INPUT!M3695-WEEKDAY(INPUT!M3695,2)+1)</f>
        <v/>
      </c>
      <c r="C3700" s="20">
        <f>IFERROR(_xlfn.ISOWEEKNUM(INPUT!M3695),"")</f>
        <v>52</v>
      </c>
      <c r="D3700" s="20">
        <f>IFERROR(YEAR(INPUT!M3695),"")</f>
        <v>1900</v>
      </c>
      <c r="E3700" t="str">
        <f>IF(INPUT!O3695="","",INPUT!O3695)</f>
        <v/>
      </c>
      <c r="F3700" t="str">
        <f>IF(INPUT!N3695="","",INPUT!N3695)</f>
        <v/>
      </c>
      <c r="G3700" cm="1">
        <f t="array" ref="G3700">IFERROR(VLOOKUP(INPUT!M3695&amp;INPUT!N3695,CHOOSE({1,2},INPUT!$A$3:$A$5000&amp;INPUT!$C$3:$C$5000,INPUT!$F$3:$F$5000),2,FALSE),"")</f>
        <v>0</v>
      </c>
      <c r="H3700" cm="1">
        <f t="array" ref="H3700">IFERROR(VLOOKUP(INPUT!M3695&amp;INPUT!N3695,CHOOSE({1,2},INPUT!$A$3:$A$5000&amp;INPUT!$C$3:$C$5000,INPUT!$D$3:$D$5000),2,FALSE),"")</f>
        <v>0</v>
      </c>
      <c r="I3700" s="46" t="str">
        <f>IF(INPUT!P3695="","",INPUT!P3695)</f>
        <v/>
      </c>
      <c r="J3700" s="46" t="str">
        <f>IF(INPUT!Q3695="","",INPUT!Q3695)</f>
        <v/>
      </c>
      <c r="K3700" s="46" t="str">
        <f>IFERROR(IF(OR(INPUT!P3695="",INPUT!Q3695=""),"",INPUT!P3695-INPUT!Q3695),"")</f>
        <v/>
      </c>
      <c r="L3700" s="48" t="str">
        <f>IFERROR(IF(OR(INPUT!P3695="",INPUT!Q3695="",INPUT!P3695=0),"",(INPUT!P3695-INPUT!Q3695)/INPUT!P3695),"")</f>
        <v/>
      </c>
    </row>
    <row r="3701" spans="1:12" ht="18" hidden="1" customHeight="1" x14ac:dyDescent="0.2">
      <c r="A3701" s="11" t="str">
        <f>IF(INPUT!M3696="","",INPUT!M3696)</f>
        <v/>
      </c>
      <c r="B3701" s="11" t="str">
        <f>IF(INPUT!M3696="","",INPUT!M3696-WEEKDAY(INPUT!M3696,2)+1)</f>
        <v/>
      </c>
      <c r="C3701" s="20">
        <f>IFERROR(_xlfn.ISOWEEKNUM(INPUT!M3696),"")</f>
        <v>52</v>
      </c>
      <c r="D3701" s="20">
        <f>IFERROR(YEAR(INPUT!M3696),"")</f>
        <v>1900</v>
      </c>
      <c r="E3701" t="str">
        <f>IF(INPUT!O3696="","",INPUT!O3696)</f>
        <v/>
      </c>
      <c r="F3701" t="str">
        <f>IF(INPUT!N3696="","",INPUT!N3696)</f>
        <v/>
      </c>
      <c r="G3701" cm="1">
        <f t="array" ref="G3701">IFERROR(VLOOKUP(INPUT!M3696&amp;INPUT!N3696,CHOOSE({1,2},INPUT!$A$3:$A$5000&amp;INPUT!$C$3:$C$5000,INPUT!$F$3:$F$5000),2,FALSE),"")</f>
        <v>0</v>
      </c>
      <c r="H3701" cm="1">
        <f t="array" ref="H3701">IFERROR(VLOOKUP(INPUT!M3696&amp;INPUT!N3696,CHOOSE({1,2},INPUT!$A$3:$A$5000&amp;INPUT!$C$3:$C$5000,INPUT!$D$3:$D$5000),2,FALSE),"")</f>
        <v>0</v>
      </c>
      <c r="I3701" s="46" t="str">
        <f>IF(INPUT!P3696="","",INPUT!P3696)</f>
        <v/>
      </c>
      <c r="J3701" s="46" t="str">
        <f>IF(INPUT!Q3696="","",INPUT!Q3696)</f>
        <v/>
      </c>
      <c r="K3701" s="46" t="str">
        <f>IFERROR(IF(OR(INPUT!P3696="",INPUT!Q3696=""),"",INPUT!P3696-INPUT!Q3696),"")</f>
        <v/>
      </c>
      <c r="L3701" s="48" t="str">
        <f>IFERROR(IF(OR(INPUT!P3696="",INPUT!Q3696="",INPUT!P3696=0),"",(INPUT!P3696-INPUT!Q3696)/INPUT!P3696),"")</f>
        <v/>
      </c>
    </row>
    <row r="3702" spans="1:12" ht="18" hidden="1" customHeight="1" x14ac:dyDescent="0.2">
      <c r="A3702" s="11" t="str">
        <f>IF(INPUT!M3697="","",INPUT!M3697)</f>
        <v/>
      </c>
      <c r="B3702" s="11" t="str">
        <f>IF(INPUT!M3697="","",INPUT!M3697-WEEKDAY(INPUT!M3697,2)+1)</f>
        <v/>
      </c>
      <c r="C3702" s="20">
        <f>IFERROR(_xlfn.ISOWEEKNUM(INPUT!M3697),"")</f>
        <v>52</v>
      </c>
      <c r="D3702" s="20">
        <f>IFERROR(YEAR(INPUT!M3697),"")</f>
        <v>1900</v>
      </c>
      <c r="E3702" t="str">
        <f>IF(INPUT!O3697="","",INPUT!O3697)</f>
        <v/>
      </c>
      <c r="F3702" t="str">
        <f>IF(INPUT!N3697="","",INPUT!N3697)</f>
        <v/>
      </c>
      <c r="G3702" cm="1">
        <f t="array" ref="G3702">IFERROR(VLOOKUP(INPUT!M3697&amp;INPUT!N3697,CHOOSE({1,2},INPUT!$A$3:$A$5000&amp;INPUT!$C$3:$C$5000,INPUT!$F$3:$F$5000),2,FALSE),"")</f>
        <v>0</v>
      </c>
      <c r="H3702" cm="1">
        <f t="array" ref="H3702">IFERROR(VLOOKUP(INPUT!M3697&amp;INPUT!N3697,CHOOSE({1,2},INPUT!$A$3:$A$5000&amp;INPUT!$C$3:$C$5000,INPUT!$D$3:$D$5000),2,FALSE),"")</f>
        <v>0</v>
      </c>
      <c r="I3702" s="46" t="str">
        <f>IF(INPUT!P3697="","",INPUT!P3697)</f>
        <v/>
      </c>
      <c r="J3702" s="46" t="str">
        <f>IF(INPUT!Q3697="","",INPUT!Q3697)</f>
        <v/>
      </c>
      <c r="K3702" s="46" t="str">
        <f>IFERROR(IF(OR(INPUT!P3697="",INPUT!Q3697=""),"",INPUT!P3697-INPUT!Q3697),"")</f>
        <v/>
      </c>
      <c r="L3702" s="48" t="str">
        <f>IFERROR(IF(OR(INPUT!P3697="",INPUT!Q3697="",INPUT!P3697=0),"",(INPUT!P3697-INPUT!Q3697)/INPUT!P3697),"")</f>
        <v/>
      </c>
    </row>
    <row r="3703" spans="1:12" ht="18" hidden="1" customHeight="1" x14ac:dyDescent="0.2">
      <c r="A3703" s="11" t="str">
        <f>IF(INPUT!M3698="","",INPUT!M3698)</f>
        <v/>
      </c>
      <c r="B3703" s="11" t="str">
        <f>IF(INPUT!M3698="","",INPUT!M3698-WEEKDAY(INPUT!M3698,2)+1)</f>
        <v/>
      </c>
      <c r="C3703" s="20">
        <f>IFERROR(_xlfn.ISOWEEKNUM(INPUT!M3698),"")</f>
        <v>52</v>
      </c>
      <c r="D3703" s="20">
        <f>IFERROR(YEAR(INPUT!M3698),"")</f>
        <v>1900</v>
      </c>
      <c r="E3703" t="str">
        <f>IF(INPUT!O3698="","",INPUT!O3698)</f>
        <v/>
      </c>
      <c r="F3703" t="str">
        <f>IF(INPUT!N3698="","",INPUT!N3698)</f>
        <v/>
      </c>
      <c r="G3703" cm="1">
        <f t="array" ref="G3703">IFERROR(VLOOKUP(INPUT!M3698&amp;INPUT!N3698,CHOOSE({1,2},INPUT!$A$3:$A$5000&amp;INPUT!$C$3:$C$5000,INPUT!$F$3:$F$5000),2,FALSE),"")</f>
        <v>0</v>
      </c>
      <c r="H3703" cm="1">
        <f t="array" ref="H3703">IFERROR(VLOOKUP(INPUT!M3698&amp;INPUT!N3698,CHOOSE({1,2},INPUT!$A$3:$A$5000&amp;INPUT!$C$3:$C$5000,INPUT!$D$3:$D$5000),2,FALSE),"")</f>
        <v>0</v>
      </c>
      <c r="I3703" s="46" t="str">
        <f>IF(INPUT!P3698="","",INPUT!P3698)</f>
        <v/>
      </c>
      <c r="J3703" s="46" t="str">
        <f>IF(INPUT!Q3698="","",INPUT!Q3698)</f>
        <v/>
      </c>
      <c r="K3703" s="46" t="str">
        <f>IFERROR(IF(OR(INPUT!P3698="",INPUT!Q3698=""),"",INPUT!P3698-INPUT!Q3698),"")</f>
        <v/>
      </c>
      <c r="L3703" s="48" t="str">
        <f>IFERROR(IF(OR(INPUT!P3698="",INPUT!Q3698="",INPUT!P3698=0),"",(INPUT!P3698-INPUT!Q3698)/INPUT!P3698),"")</f>
        <v/>
      </c>
    </row>
    <row r="3704" spans="1:12" ht="18" hidden="1" customHeight="1" x14ac:dyDescent="0.2">
      <c r="A3704" s="11" t="str">
        <f>IF(INPUT!M3699="","",INPUT!M3699)</f>
        <v/>
      </c>
      <c r="B3704" s="11" t="str">
        <f>IF(INPUT!M3699="","",INPUT!M3699-WEEKDAY(INPUT!M3699,2)+1)</f>
        <v/>
      </c>
      <c r="C3704" s="20">
        <f>IFERROR(_xlfn.ISOWEEKNUM(INPUT!M3699),"")</f>
        <v>52</v>
      </c>
      <c r="D3704" s="20">
        <f>IFERROR(YEAR(INPUT!M3699),"")</f>
        <v>1900</v>
      </c>
      <c r="E3704" t="str">
        <f>IF(INPUT!O3699="","",INPUT!O3699)</f>
        <v/>
      </c>
      <c r="F3704" t="str">
        <f>IF(INPUT!N3699="","",INPUT!N3699)</f>
        <v/>
      </c>
      <c r="G3704" cm="1">
        <f t="array" ref="G3704">IFERROR(VLOOKUP(INPUT!M3699&amp;INPUT!N3699,CHOOSE({1,2},INPUT!$A$3:$A$5000&amp;INPUT!$C$3:$C$5000,INPUT!$F$3:$F$5000),2,FALSE),"")</f>
        <v>0</v>
      </c>
      <c r="H3704" cm="1">
        <f t="array" ref="H3704">IFERROR(VLOOKUP(INPUT!M3699&amp;INPUT!N3699,CHOOSE({1,2},INPUT!$A$3:$A$5000&amp;INPUT!$C$3:$C$5000,INPUT!$D$3:$D$5000),2,FALSE),"")</f>
        <v>0</v>
      </c>
      <c r="I3704" s="46" t="str">
        <f>IF(INPUT!P3699="","",INPUT!P3699)</f>
        <v/>
      </c>
      <c r="J3704" s="46" t="str">
        <f>IF(INPUT!Q3699="","",INPUT!Q3699)</f>
        <v/>
      </c>
      <c r="K3704" s="46" t="str">
        <f>IFERROR(IF(OR(INPUT!P3699="",INPUT!Q3699=""),"",INPUT!P3699-INPUT!Q3699),"")</f>
        <v/>
      </c>
      <c r="L3704" s="48" t="str">
        <f>IFERROR(IF(OR(INPUT!P3699="",INPUT!Q3699="",INPUT!P3699=0),"",(INPUT!P3699-INPUT!Q3699)/INPUT!P3699),"")</f>
        <v/>
      </c>
    </row>
    <row r="3705" spans="1:12" ht="18" hidden="1" customHeight="1" x14ac:dyDescent="0.2">
      <c r="A3705" s="11" t="str">
        <f>IF(INPUT!M3700="","",INPUT!M3700)</f>
        <v/>
      </c>
      <c r="B3705" s="11" t="str">
        <f>IF(INPUT!M3700="","",INPUT!M3700-WEEKDAY(INPUT!M3700,2)+1)</f>
        <v/>
      </c>
      <c r="C3705" s="20">
        <f>IFERROR(_xlfn.ISOWEEKNUM(INPUT!M3700),"")</f>
        <v>52</v>
      </c>
      <c r="D3705" s="20">
        <f>IFERROR(YEAR(INPUT!M3700),"")</f>
        <v>1900</v>
      </c>
      <c r="E3705" t="str">
        <f>IF(INPUT!O3700="","",INPUT!O3700)</f>
        <v/>
      </c>
      <c r="F3705" t="str">
        <f>IF(INPUT!N3700="","",INPUT!N3700)</f>
        <v/>
      </c>
      <c r="G3705" cm="1">
        <f t="array" ref="G3705">IFERROR(VLOOKUP(INPUT!M3700&amp;INPUT!N3700,CHOOSE({1,2},INPUT!$A$3:$A$5000&amp;INPUT!$C$3:$C$5000,INPUT!$F$3:$F$5000),2,FALSE),"")</f>
        <v>0</v>
      </c>
      <c r="H3705" cm="1">
        <f t="array" ref="H3705">IFERROR(VLOOKUP(INPUT!M3700&amp;INPUT!N3700,CHOOSE({1,2},INPUT!$A$3:$A$5000&amp;INPUT!$C$3:$C$5000,INPUT!$D$3:$D$5000),2,FALSE),"")</f>
        <v>0</v>
      </c>
      <c r="I3705" s="46" t="str">
        <f>IF(INPUT!P3700="","",INPUT!P3700)</f>
        <v/>
      </c>
      <c r="J3705" s="46" t="str">
        <f>IF(INPUT!Q3700="","",INPUT!Q3700)</f>
        <v/>
      </c>
      <c r="K3705" s="46" t="str">
        <f>IFERROR(IF(OR(INPUT!P3700="",INPUT!Q3700=""),"",INPUT!P3700-INPUT!Q3700),"")</f>
        <v/>
      </c>
      <c r="L3705" s="48" t="str">
        <f>IFERROR(IF(OR(INPUT!P3700="",INPUT!Q3700="",INPUT!P3700=0),"",(INPUT!P3700-INPUT!Q3700)/INPUT!P3700),"")</f>
        <v/>
      </c>
    </row>
    <row r="3706" spans="1:12" ht="18" hidden="1" customHeight="1" x14ac:dyDescent="0.2">
      <c r="A3706" s="11" t="str">
        <f>IF(INPUT!M3701="","",INPUT!M3701)</f>
        <v/>
      </c>
      <c r="B3706" s="11" t="str">
        <f>IF(INPUT!M3701="","",INPUT!M3701-WEEKDAY(INPUT!M3701,2)+1)</f>
        <v/>
      </c>
      <c r="C3706" s="20">
        <f>IFERROR(_xlfn.ISOWEEKNUM(INPUT!M3701),"")</f>
        <v>52</v>
      </c>
      <c r="D3706" s="20">
        <f>IFERROR(YEAR(INPUT!M3701),"")</f>
        <v>1900</v>
      </c>
      <c r="E3706" t="str">
        <f>IF(INPUT!O3701="","",INPUT!O3701)</f>
        <v/>
      </c>
      <c r="F3706" t="str">
        <f>IF(INPUT!N3701="","",INPUT!N3701)</f>
        <v/>
      </c>
      <c r="G3706" cm="1">
        <f t="array" ref="G3706">IFERROR(VLOOKUP(INPUT!M3701&amp;INPUT!N3701,CHOOSE({1,2},INPUT!$A$3:$A$5000&amp;INPUT!$C$3:$C$5000,INPUT!$F$3:$F$5000),2,FALSE),"")</f>
        <v>0</v>
      </c>
      <c r="H3706" cm="1">
        <f t="array" ref="H3706">IFERROR(VLOOKUP(INPUT!M3701&amp;INPUT!N3701,CHOOSE({1,2},INPUT!$A$3:$A$5000&amp;INPUT!$C$3:$C$5000,INPUT!$D$3:$D$5000),2,FALSE),"")</f>
        <v>0</v>
      </c>
      <c r="I3706" s="46" t="str">
        <f>IF(INPUT!P3701="","",INPUT!P3701)</f>
        <v/>
      </c>
      <c r="J3706" s="46" t="str">
        <f>IF(INPUT!Q3701="","",INPUT!Q3701)</f>
        <v/>
      </c>
      <c r="K3706" s="46" t="str">
        <f>IFERROR(IF(OR(INPUT!P3701="",INPUT!Q3701=""),"",INPUT!P3701-INPUT!Q3701),"")</f>
        <v/>
      </c>
      <c r="L3706" s="48" t="str">
        <f>IFERROR(IF(OR(INPUT!P3701="",INPUT!Q3701="",INPUT!P3701=0),"",(INPUT!P3701-INPUT!Q3701)/INPUT!P3701),"")</f>
        <v/>
      </c>
    </row>
    <row r="3707" spans="1:12" ht="18" hidden="1" customHeight="1" x14ac:dyDescent="0.2">
      <c r="A3707" s="11" t="str">
        <f>IF(INPUT!M3702="","",INPUT!M3702)</f>
        <v/>
      </c>
      <c r="B3707" s="11" t="str">
        <f>IF(INPUT!M3702="","",INPUT!M3702-WEEKDAY(INPUT!M3702,2)+1)</f>
        <v/>
      </c>
      <c r="C3707" s="20">
        <f>IFERROR(_xlfn.ISOWEEKNUM(INPUT!M3702),"")</f>
        <v>52</v>
      </c>
      <c r="D3707" s="20">
        <f>IFERROR(YEAR(INPUT!M3702),"")</f>
        <v>1900</v>
      </c>
      <c r="E3707" t="str">
        <f>IF(INPUT!O3702="","",INPUT!O3702)</f>
        <v/>
      </c>
      <c r="F3707" t="str">
        <f>IF(INPUT!N3702="","",INPUT!N3702)</f>
        <v/>
      </c>
      <c r="G3707" cm="1">
        <f t="array" ref="G3707">IFERROR(VLOOKUP(INPUT!M3702&amp;INPUT!N3702,CHOOSE({1,2},INPUT!$A$3:$A$5000&amp;INPUT!$C$3:$C$5000,INPUT!$F$3:$F$5000),2,FALSE),"")</f>
        <v>0</v>
      </c>
      <c r="H3707" cm="1">
        <f t="array" ref="H3707">IFERROR(VLOOKUP(INPUT!M3702&amp;INPUT!N3702,CHOOSE({1,2},INPUT!$A$3:$A$5000&amp;INPUT!$C$3:$C$5000,INPUT!$D$3:$D$5000),2,FALSE),"")</f>
        <v>0</v>
      </c>
      <c r="I3707" s="46" t="str">
        <f>IF(INPUT!P3702="","",INPUT!P3702)</f>
        <v/>
      </c>
      <c r="J3707" s="46" t="str">
        <f>IF(INPUT!Q3702="","",INPUT!Q3702)</f>
        <v/>
      </c>
      <c r="K3707" s="46" t="str">
        <f>IFERROR(IF(OR(INPUT!P3702="",INPUT!Q3702=""),"",INPUT!P3702-INPUT!Q3702),"")</f>
        <v/>
      </c>
      <c r="L3707" s="48" t="str">
        <f>IFERROR(IF(OR(INPUT!P3702="",INPUT!Q3702="",INPUT!P3702=0),"",(INPUT!P3702-INPUT!Q3702)/INPUT!P3702),"")</f>
        <v/>
      </c>
    </row>
    <row r="3708" spans="1:12" ht="18" hidden="1" customHeight="1" x14ac:dyDescent="0.2">
      <c r="A3708" s="11" t="str">
        <f>IF(INPUT!M3703="","",INPUT!M3703)</f>
        <v/>
      </c>
      <c r="B3708" s="11" t="str">
        <f>IF(INPUT!M3703="","",INPUT!M3703-WEEKDAY(INPUT!M3703,2)+1)</f>
        <v/>
      </c>
      <c r="C3708" s="20">
        <f>IFERROR(_xlfn.ISOWEEKNUM(INPUT!M3703),"")</f>
        <v>52</v>
      </c>
      <c r="D3708" s="20">
        <f>IFERROR(YEAR(INPUT!M3703),"")</f>
        <v>1900</v>
      </c>
      <c r="E3708" t="str">
        <f>IF(INPUT!O3703="","",INPUT!O3703)</f>
        <v/>
      </c>
      <c r="F3708" t="str">
        <f>IF(INPUT!N3703="","",INPUT!N3703)</f>
        <v/>
      </c>
      <c r="G3708" cm="1">
        <f t="array" ref="G3708">IFERROR(VLOOKUP(INPUT!M3703&amp;INPUT!N3703,CHOOSE({1,2},INPUT!$A$3:$A$5000&amp;INPUT!$C$3:$C$5000,INPUT!$F$3:$F$5000),2,FALSE),"")</f>
        <v>0</v>
      </c>
      <c r="H3708" cm="1">
        <f t="array" ref="H3708">IFERROR(VLOOKUP(INPUT!M3703&amp;INPUT!N3703,CHOOSE({1,2},INPUT!$A$3:$A$5000&amp;INPUT!$C$3:$C$5000,INPUT!$D$3:$D$5000),2,FALSE),"")</f>
        <v>0</v>
      </c>
      <c r="I3708" s="46" t="str">
        <f>IF(INPUT!P3703="","",INPUT!P3703)</f>
        <v/>
      </c>
      <c r="J3708" s="46" t="str">
        <f>IF(INPUT!Q3703="","",INPUT!Q3703)</f>
        <v/>
      </c>
      <c r="K3708" s="46" t="str">
        <f>IFERROR(IF(OR(INPUT!P3703="",INPUT!Q3703=""),"",INPUT!P3703-INPUT!Q3703),"")</f>
        <v/>
      </c>
      <c r="L3708" s="48" t="str">
        <f>IFERROR(IF(OR(INPUT!P3703="",INPUT!Q3703="",INPUT!P3703=0),"",(INPUT!P3703-INPUT!Q3703)/INPUT!P3703),"")</f>
        <v/>
      </c>
    </row>
    <row r="3709" spans="1:12" ht="18" hidden="1" customHeight="1" x14ac:dyDescent="0.2">
      <c r="A3709" s="11" t="str">
        <f>IF(INPUT!M3704="","",INPUT!M3704)</f>
        <v/>
      </c>
      <c r="B3709" s="11" t="str">
        <f>IF(INPUT!M3704="","",INPUT!M3704-WEEKDAY(INPUT!M3704,2)+1)</f>
        <v/>
      </c>
      <c r="C3709" s="20">
        <f>IFERROR(_xlfn.ISOWEEKNUM(INPUT!M3704),"")</f>
        <v>52</v>
      </c>
      <c r="D3709" s="20">
        <f>IFERROR(YEAR(INPUT!M3704),"")</f>
        <v>1900</v>
      </c>
      <c r="E3709" t="str">
        <f>IF(INPUT!O3704="","",INPUT!O3704)</f>
        <v/>
      </c>
      <c r="F3709" t="str">
        <f>IF(INPUT!N3704="","",INPUT!N3704)</f>
        <v/>
      </c>
      <c r="G3709" cm="1">
        <f t="array" ref="G3709">IFERROR(VLOOKUP(INPUT!M3704&amp;INPUT!N3704,CHOOSE({1,2},INPUT!$A$3:$A$5000&amp;INPUT!$C$3:$C$5000,INPUT!$F$3:$F$5000),2,FALSE),"")</f>
        <v>0</v>
      </c>
      <c r="H3709" cm="1">
        <f t="array" ref="H3709">IFERROR(VLOOKUP(INPUT!M3704&amp;INPUT!N3704,CHOOSE({1,2},INPUT!$A$3:$A$5000&amp;INPUT!$C$3:$C$5000,INPUT!$D$3:$D$5000),2,FALSE),"")</f>
        <v>0</v>
      </c>
      <c r="I3709" s="46" t="str">
        <f>IF(INPUT!P3704="","",INPUT!P3704)</f>
        <v/>
      </c>
      <c r="J3709" s="46" t="str">
        <f>IF(INPUT!Q3704="","",INPUT!Q3704)</f>
        <v/>
      </c>
      <c r="K3709" s="46" t="str">
        <f>IFERROR(IF(OR(INPUT!P3704="",INPUT!Q3704=""),"",INPUT!P3704-INPUT!Q3704),"")</f>
        <v/>
      </c>
      <c r="L3709" s="48" t="str">
        <f>IFERROR(IF(OR(INPUT!P3704="",INPUT!Q3704="",INPUT!P3704=0),"",(INPUT!P3704-INPUT!Q3704)/INPUT!P3704),"")</f>
        <v/>
      </c>
    </row>
    <row r="3710" spans="1:12" ht="18" hidden="1" customHeight="1" x14ac:dyDescent="0.2">
      <c r="A3710" s="11" t="str">
        <f>IF(INPUT!M3705="","",INPUT!M3705)</f>
        <v/>
      </c>
      <c r="B3710" s="11" t="str">
        <f>IF(INPUT!M3705="","",INPUT!M3705-WEEKDAY(INPUT!M3705,2)+1)</f>
        <v/>
      </c>
      <c r="C3710" s="20">
        <f>IFERROR(_xlfn.ISOWEEKNUM(INPUT!M3705),"")</f>
        <v>52</v>
      </c>
      <c r="D3710" s="20">
        <f>IFERROR(YEAR(INPUT!M3705),"")</f>
        <v>1900</v>
      </c>
      <c r="E3710" t="str">
        <f>IF(INPUT!O3705="","",INPUT!O3705)</f>
        <v/>
      </c>
      <c r="F3710" t="str">
        <f>IF(INPUT!N3705="","",INPUT!N3705)</f>
        <v/>
      </c>
      <c r="G3710" cm="1">
        <f t="array" ref="G3710">IFERROR(VLOOKUP(INPUT!M3705&amp;INPUT!N3705,CHOOSE({1,2},INPUT!$A$3:$A$5000&amp;INPUT!$C$3:$C$5000,INPUT!$F$3:$F$5000),2,FALSE),"")</f>
        <v>0</v>
      </c>
      <c r="H3710" cm="1">
        <f t="array" ref="H3710">IFERROR(VLOOKUP(INPUT!M3705&amp;INPUT!N3705,CHOOSE({1,2},INPUT!$A$3:$A$5000&amp;INPUT!$C$3:$C$5000,INPUT!$D$3:$D$5000),2,FALSE),"")</f>
        <v>0</v>
      </c>
      <c r="I3710" s="46" t="str">
        <f>IF(INPUT!P3705="","",INPUT!P3705)</f>
        <v/>
      </c>
      <c r="J3710" s="46" t="str">
        <f>IF(INPUT!Q3705="","",INPUT!Q3705)</f>
        <v/>
      </c>
      <c r="K3710" s="46" t="str">
        <f>IFERROR(IF(OR(INPUT!P3705="",INPUT!Q3705=""),"",INPUT!P3705-INPUT!Q3705),"")</f>
        <v/>
      </c>
      <c r="L3710" s="48" t="str">
        <f>IFERROR(IF(OR(INPUT!P3705="",INPUT!Q3705="",INPUT!P3705=0),"",(INPUT!P3705-INPUT!Q3705)/INPUT!P3705),"")</f>
        <v/>
      </c>
    </row>
    <row r="3711" spans="1:12" ht="18" hidden="1" customHeight="1" x14ac:dyDescent="0.2">
      <c r="A3711" s="11" t="str">
        <f>IF(INPUT!M3706="","",INPUT!M3706)</f>
        <v/>
      </c>
      <c r="B3711" s="11" t="str">
        <f>IF(INPUT!M3706="","",INPUT!M3706-WEEKDAY(INPUT!M3706,2)+1)</f>
        <v/>
      </c>
      <c r="C3711" s="20">
        <f>IFERROR(_xlfn.ISOWEEKNUM(INPUT!M3706),"")</f>
        <v>52</v>
      </c>
      <c r="D3711" s="20">
        <f>IFERROR(YEAR(INPUT!M3706),"")</f>
        <v>1900</v>
      </c>
      <c r="E3711" t="str">
        <f>IF(INPUT!O3706="","",INPUT!O3706)</f>
        <v/>
      </c>
      <c r="F3711" t="str">
        <f>IF(INPUT!N3706="","",INPUT!N3706)</f>
        <v/>
      </c>
      <c r="G3711" cm="1">
        <f t="array" ref="G3711">IFERROR(VLOOKUP(INPUT!M3706&amp;INPUT!N3706,CHOOSE({1,2},INPUT!$A$3:$A$5000&amp;INPUT!$C$3:$C$5000,INPUT!$F$3:$F$5000),2,FALSE),"")</f>
        <v>0</v>
      </c>
      <c r="H3711" cm="1">
        <f t="array" ref="H3711">IFERROR(VLOOKUP(INPUT!M3706&amp;INPUT!N3706,CHOOSE({1,2},INPUT!$A$3:$A$5000&amp;INPUT!$C$3:$C$5000,INPUT!$D$3:$D$5000),2,FALSE),"")</f>
        <v>0</v>
      </c>
      <c r="I3711" s="46" t="str">
        <f>IF(INPUT!P3706="","",INPUT!P3706)</f>
        <v/>
      </c>
      <c r="J3711" s="46" t="str">
        <f>IF(INPUT!Q3706="","",INPUT!Q3706)</f>
        <v/>
      </c>
      <c r="K3711" s="46" t="str">
        <f>IFERROR(IF(OR(INPUT!P3706="",INPUT!Q3706=""),"",INPUT!P3706-INPUT!Q3706),"")</f>
        <v/>
      </c>
      <c r="L3711" s="48" t="str">
        <f>IFERROR(IF(OR(INPUT!P3706="",INPUT!Q3706="",INPUT!P3706=0),"",(INPUT!P3706-INPUT!Q3706)/INPUT!P3706),"")</f>
        <v/>
      </c>
    </row>
    <row r="3712" spans="1:12" ht="18" hidden="1" customHeight="1" x14ac:dyDescent="0.2">
      <c r="A3712" s="11" t="str">
        <f>IF(INPUT!M3707="","",INPUT!M3707)</f>
        <v/>
      </c>
      <c r="B3712" s="11" t="str">
        <f>IF(INPUT!M3707="","",INPUT!M3707-WEEKDAY(INPUT!M3707,2)+1)</f>
        <v/>
      </c>
      <c r="C3712" s="20">
        <f>IFERROR(_xlfn.ISOWEEKNUM(INPUT!M3707),"")</f>
        <v>52</v>
      </c>
      <c r="D3712" s="20">
        <f>IFERROR(YEAR(INPUT!M3707),"")</f>
        <v>1900</v>
      </c>
      <c r="E3712" t="str">
        <f>IF(INPUT!O3707="","",INPUT!O3707)</f>
        <v/>
      </c>
      <c r="F3712" t="str">
        <f>IF(INPUT!N3707="","",INPUT!N3707)</f>
        <v/>
      </c>
      <c r="G3712" cm="1">
        <f t="array" ref="G3712">IFERROR(VLOOKUP(INPUT!M3707&amp;INPUT!N3707,CHOOSE({1,2},INPUT!$A$3:$A$5000&amp;INPUT!$C$3:$C$5000,INPUT!$F$3:$F$5000),2,FALSE),"")</f>
        <v>0</v>
      </c>
      <c r="H3712" cm="1">
        <f t="array" ref="H3712">IFERROR(VLOOKUP(INPUT!M3707&amp;INPUT!N3707,CHOOSE({1,2},INPUT!$A$3:$A$5000&amp;INPUT!$C$3:$C$5000,INPUT!$D$3:$D$5000),2,FALSE),"")</f>
        <v>0</v>
      </c>
      <c r="I3712" s="46" t="str">
        <f>IF(INPUT!P3707="","",INPUT!P3707)</f>
        <v/>
      </c>
      <c r="J3712" s="46" t="str">
        <f>IF(INPUT!Q3707="","",INPUT!Q3707)</f>
        <v/>
      </c>
      <c r="K3712" s="46" t="str">
        <f>IFERROR(IF(OR(INPUT!P3707="",INPUT!Q3707=""),"",INPUT!P3707-INPUT!Q3707),"")</f>
        <v/>
      </c>
      <c r="L3712" s="48" t="str">
        <f>IFERROR(IF(OR(INPUT!P3707="",INPUT!Q3707="",INPUT!P3707=0),"",(INPUT!P3707-INPUT!Q3707)/INPUT!P3707),"")</f>
        <v/>
      </c>
    </row>
    <row r="3713" spans="1:12" ht="18" hidden="1" customHeight="1" x14ac:dyDescent="0.2">
      <c r="A3713" s="11" t="str">
        <f>IF(INPUT!M3708="","",INPUT!M3708)</f>
        <v/>
      </c>
      <c r="B3713" s="11" t="str">
        <f>IF(INPUT!M3708="","",INPUT!M3708-WEEKDAY(INPUT!M3708,2)+1)</f>
        <v/>
      </c>
      <c r="C3713" s="20">
        <f>IFERROR(_xlfn.ISOWEEKNUM(INPUT!M3708),"")</f>
        <v>52</v>
      </c>
      <c r="D3713" s="20">
        <f>IFERROR(YEAR(INPUT!M3708),"")</f>
        <v>1900</v>
      </c>
      <c r="E3713" t="str">
        <f>IF(INPUT!O3708="","",INPUT!O3708)</f>
        <v/>
      </c>
      <c r="F3713" t="str">
        <f>IF(INPUT!N3708="","",INPUT!N3708)</f>
        <v/>
      </c>
      <c r="G3713" cm="1">
        <f t="array" ref="G3713">IFERROR(VLOOKUP(INPUT!M3708&amp;INPUT!N3708,CHOOSE({1,2},INPUT!$A$3:$A$5000&amp;INPUT!$C$3:$C$5000,INPUT!$F$3:$F$5000),2,FALSE),"")</f>
        <v>0</v>
      </c>
      <c r="H3713" cm="1">
        <f t="array" ref="H3713">IFERROR(VLOOKUP(INPUT!M3708&amp;INPUT!N3708,CHOOSE({1,2},INPUT!$A$3:$A$5000&amp;INPUT!$C$3:$C$5000,INPUT!$D$3:$D$5000),2,FALSE),"")</f>
        <v>0</v>
      </c>
      <c r="I3713" s="46" t="str">
        <f>IF(INPUT!P3708="","",INPUT!P3708)</f>
        <v/>
      </c>
      <c r="J3713" s="46" t="str">
        <f>IF(INPUT!Q3708="","",INPUT!Q3708)</f>
        <v/>
      </c>
      <c r="K3713" s="46" t="str">
        <f>IFERROR(IF(OR(INPUT!P3708="",INPUT!Q3708=""),"",INPUT!P3708-INPUT!Q3708),"")</f>
        <v/>
      </c>
      <c r="L3713" s="48" t="str">
        <f>IFERROR(IF(OR(INPUT!P3708="",INPUT!Q3708="",INPUT!P3708=0),"",(INPUT!P3708-INPUT!Q3708)/INPUT!P3708),"")</f>
        <v/>
      </c>
    </row>
    <row r="3714" spans="1:12" ht="18" hidden="1" customHeight="1" x14ac:dyDescent="0.2">
      <c r="A3714" s="11" t="str">
        <f>IF(INPUT!M3709="","",INPUT!M3709)</f>
        <v/>
      </c>
      <c r="B3714" s="11" t="str">
        <f>IF(INPUT!M3709="","",INPUT!M3709-WEEKDAY(INPUT!M3709,2)+1)</f>
        <v/>
      </c>
      <c r="C3714" s="20">
        <f>IFERROR(_xlfn.ISOWEEKNUM(INPUT!M3709),"")</f>
        <v>52</v>
      </c>
      <c r="D3714" s="20">
        <f>IFERROR(YEAR(INPUT!M3709),"")</f>
        <v>1900</v>
      </c>
      <c r="E3714" t="str">
        <f>IF(INPUT!O3709="","",INPUT!O3709)</f>
        <v/>
      </c>
      <c r="F3714" t="str">
        <f>IF(INPUT!N3709="","",INPUT!N3709)</f>
        <v/>
      </c>
      <c r="G3714" cm="1">
        <f t="array" ref="G3714">IFERROR(VLOOKUP(INPUT!M3709&amp;INPUT!N3709,CHOOSE({1,2},INPUT!$A$3:$A$5000&amp;INPUT!$C$3:$C$5000,INPUT!$F$3:$F$5000),2,FALSE),"")</f>
        <v>0</v>
      </c>
      <c r="H3714" cm="1">
        <f t="array" ref="H3714">IFERROR(VLOOKUP(INPUT!M3709&amp;INPUT!N3709,CHOOSE({1,2},INPUT!$A$3:$A$5000&amp;INPUT!$C$3:$C$5000,INPUT!$D$3:$D$5000),2,FALSE),"")</f>
        <v>0</v>
      </c>
      <c r="I3714" s="46" t="str">
        <f>IF(INPUT!P3709="","",INPUT!P3709)</f>
        <v/>
      </c>
      <c r="J3714" s="46" t="str">
        <f>IF(INPUT!Q3709="","",INPUT!Q3709)</f>
        <v/>
      </c>
      <c r="K3714" s="46" t="str">
        <f>IFERROR(IF(OR(INPUT!P3709="",INPUT!Q3709=""),"",INPUT!P3709-INPUT!Q3709),"")</f>
        <v/>
      </c>
      <c r="L3714" s="48" t="str">
        <f>IFERROR(IF(OR(INPUT!P3709="",INPUT!Q3709="",INPUT!P3709=0),"",(INPUT!P3709-INPUT!Q3709)/INPUT!P3709),"")</f>
        <v/>
      </c>
    </row>
    <row r="3715" spans="1:12" ht="18" hidden="1" customHeight="1" x14ac:dyDescent="0.2">
      <c r="A3715" s="11" t="str">
        <f>IF(INPUT!M3710="","",INPUT!M3710)</f>
        <v/>
      </c>
      <c r="B3715" s="11" t="str">
        <f>IF(INPUT!M3710="","",INPUT!M3710-WEEKDAY(INPUT!M3710,2)+1)</f>
        <v/>
      </c>
      <c r="C3715" s="20">
        <f>IFERROR(_xlfn.ISOWEEKNUM(INPUT!M3710),"")</f>
        <v>52</v>
      </c>
      <c r="D3715" s="20">
        <f>IFERROR(YEAR(INPUT!M3710),"")</f>
        <v>1900</v>
      </c>
      <c r="E3715" t="str">
        <f>IF(INPUT!O3710="","",INPUT!O3710)</f>
        <v/>
      </c>
      <c r="F3715" t="str">
        <f>IF(INPUT!N3710="","",INPUT!N3710)</f>
        <v/>
      </c>
      <c r="G3715" cm="1">
        <f t="array" ref="G3715">IFERROR(VLOOKUP(INPUT!M3710&amp;INPUT!N3710,CHOOSE({1,2},INPUT!$A$3:$A$5000&amp;INPUT!$C$3:$C$5000,INPUT!$F$3:$F$5000),2,FALSE),"")</f>
        <v>0</v>
      </c>
      <c r="H3715" cm="1">
        <f t="array" ref="H3715">IFERROR(VLOOKUP(INPUT!M3710&amp;INPUT!N3710,CHOOSE({1,2},INPUT!$A$3:$A$5000&amp;INPUT!$C$3:$C$5000,INPUT!$D$3:$D$5000),2,FALSE),"")</f>
        <v>0</v>
      </c>
      <c r="I3715" s="46" t="str">
        <f>IF(INPUT!P3710="","",INPUT!P3710)</f>
        <v/>
      </c>
      <c r="J3715" s="46" t="str">
        <f>IF(INPUT!Q3710="","",INPUT!Q3710)</f>
        <v/>
      </c>
      <c r="K3715" s="46" t="str">
        <f>IFERROR(IF(OR(INPUT!P3710="",INPUT!Q3710=""),"",INPUT!P3710-INPUT!Q3710),"")</f>
        <v/>
      </c>
      <c r="L3715" s="48" t="str">
        <f>IFERROR(IF(OR(INPUT!P3710="",INPUT!Q3710="",INPUT!P3710=0),"",(INPUT!P3710-INPUT!Q3710)/INPUT!P3710),"")</f>
        <v/>
      </c>
    </row>
    <row r="3716" spans="1:12" ht="18" hidden="1" customHeight="1" x14ac:dyDescent="0.2">
      <c r="A3716" s="11" t="str">
        <f>IF(INPUT!M3711="","",INPUT!M3711)</f>
        <v/>
      </c>
      <c r="B3716" s="11" t="str">
        <f>IF(INPUT!M3711="","",INPUT!M3711-WEEKDAY(INPUT!M3711,2)+1)</f>
        <v/>
      </c>
      <c r="C3716" s="20">
        <f>IFERROR(_xlfn.ISOWEEKNUM(INPUT!M3711),"")</f>
        <v>52</v>
      </c>
      <c r="D3716" s="20">
        <f>IFERROR(YEAR(INPUT!M3711),"")</f>
        <v>1900</v>
      </c>
      <c r="E3716" t="str">
        <f>IF(INPUT!O3711="","",INPUT!O3711)</f>
        <v/>
      </c>
      <c r="F3716" t="str">
        <f>IF(INPUT!N3711="","",INPUT!N3711)</f>
        <v/>
      </c>
      <c r="G3716" cm="1">
        <f t="array" ref="G3716">IFERROR(VLOOKUP(INPUT!M3711&amp;INPUT!N3711,CHOOSE({1,2},INPUT!$A$3:$A$5000&amp;INPUT!$C$3:$C$5000,INPUT!$F$3:$F$5000),2,FALSE),"")</f>
        <v>0</v>
      </c>
      <c r="H3716" cm="1">
        <f t="array" ref="H3716">IFERROR(VLOOKUP(INPUT!M3711&amp;INPUT!N3711,CHOOSE({1,2},INPUT!$A$3:$A$5000&amp;INPUT!$C$3:$C$5000,INPUT!$D$3:$D$5000),2,FALSE),"")</f>
        <v>0</v>
      </c>
      <c r="I3716" s="46" t="str">
        <f>IF(INPUT!P3711="","",INPUT!P3711)</f>
        <v/>
      </c>
      <c r="J3716" s="46" t="str">
        <f>IF(INPUT!Q3711="","",INPUT!Q3711)</f>
        <v/>
      </c>
      <c r="K3716" s="46" t="str">
        <f>IFERROR(IF(OR(INPUT!P3711="",INPUT!Q3711=""),"",INPUT!P3711-INPUT!Q3711),"")</f>
        <v/>
      </c>
      <c r="L3716" s="48" t="str">
        <f>IFERROR(IF(OR(INPUT!P3711="",INPUT!Q3711="",INPUT!P3711=0),"",(INPUT!P3711-INPUT!Q3711)/INPUT!P3711),"")</f>
        <v/>
      </c>
    </row>
    <row r="3717" spans="1:12" ht="18" hidden="1" customHeight="1" x14ac:dyDescent="0.2">
      <c r="A3717" s="11" t="str">
        <f>IF(INPUT!M3712="","",INPUT!M3712)</f>
        <v/>
      </c>
      <c r="B3717" s="11" t="str">
        <f>IF(INPUT!M3712="","",INPUT!M3712-WEEKDAY(INPUT!M3712,2)+1)</f>
        <v/>
      </c>
      <c r="C3717" s="20">
        <f>IFERROR(_xlfn.ISOWEEKNUM(INPUT!M3712),"")</f>
        <v>52</v>
      </c>
      <c r="D3717" s="20">
        <f>IFERROR(YEAR(INPUT!M3712),"")</f>
        <v>1900</v>
      </c>
      <c r="E3717" t="str">
        <f>IF(INPUT!O3712="","",INPUT!O3712)</f>
        <v/>
      </c>
      <c r="F3717" t="str">
        <f>IF(INPUT!N3712="","",INPUT!N3712)</f>
        <v/>
      </c>
      <c r="G3717" cm="1">
        <f t="array" ref="G3717">IFERROR(VLOOKUP(INPUT!M3712&amp;INPUT!N3712,CHOOSE({1,2},INPUT!$A$3:$A$5000&amp;INPUT!$C$3:$C$5000,INPUT!$F$3:$F$5000),2,FALSE),"")</f>
        <v>0</v>
      </c>
      <c r="H3717" cm="1">
        <f t="array" ref="H3717">IFERROR(VLOOKUP(INPUT!M3712&amp;INPUT!N3712,CHOOSE({1,2},INPUT!$A$3:$A$5000&amp;INPUT!$C$3:$C$5000,INPUT!$D$3:$D$5000),2,FALSE),"")</f>
        <v>0</v>
      </c>
      <c r="I3717" s="46" t="str">
        <f>IF(INPUT!P3712="","",INPUT!P3712)</f>
        <v/>
      </c>
      <c r="J3717" s="46" t="str">
        <f>IF(INPUT!Q3712="","",INPUT!Q3712)</f>
        <v/>
      </c>
      <c r="K3717" s="46" t="str">
        <f>IFERROR(IF(OR(INPUT!P3712="",INPUT!Q3712=""),"",INPUT!P3712-INPUT!Q3712),"")</f>
        <v/>
      </c>
      <c r="L3717" s="48" t="str">
        <f>IFERROR(IF(OR(INPUT!P3712="",INPUT!Q3712="",INPUT!P3712=0),"",(INPUT!P3712-INPUT!Q3712)/INPUT!P3712),"")</f>
        <v/>
      </c>
    </row>
    <row r="3718" spans="1:12" ht="18" hidden="1" customHeight="1" x14ac:dyDescent="0.2">
      <c r="A3718" s="11" t="str">
        <f>IF(INPUT!M3713="","",INPUT!M3713)</f>
        <v/>
      </c>
      <c r="B3718" s="11" t="str">
        <f>IF(INPUT!M3713="","",INPUT!M3713-WEEKDAY(INPUT!M3713,2)+1)</f>
        <v/>
      </c>
      <c r="C3718" s="20">
        <f>IFERROR(_xlfn.ISOWEEKNUM(INPUT!M3713),"")</f>
        <v>52</v>
      </c>
      <c r="D3718" s="20">
        <f>IFERROR(YEAR(INPUT!M3713),"")</f>
        <v>1900</v>
      </c>
      <c r="E3718" t="str">
        <f>IF(INPUT!O3713="","",INPUT!O3713)</f>
        <v/>
      </c>
      <c r="F3718" t="str">
        <f>IF(INPUT!N3713="","",INPUT!N3713)</f>
        <v/>
      </c>
      <c r="G3718" cm="1">
        <f t="array" ref="G3718">IFERROR(VLOOKUP(INPUT!M3713&amp;INPUT!N3713,CHOOSE({1,2},INPUT!$A$3:$A$5000&amp;INPUT!$C$3:$C$5000,INPUT!$F$3:$F$5000),2,FALSE),"")</f>
        <v>0</v>
      </c>
      <c r="H3718" cm="1">
        <f t="array" ref="H3718">IFERROR(VLOOKUP(INPUT!M3713&amp;INPUT!N3713,CHOOSE({1,2},INPUT!$A$3:$A$5000&amp;INPUT!$C$3:$C$5000,INPUT!$D$3:$D$5000),2,FALSE),"")</f>
        <v>0</v>
      </c>
      <c r="I3718" s="46" t="str">
        <f>IF(INPUT!P3713="","",INPUT!P3713)</f>
        <v/>
      </c>
      <c r="J3718" s="46" t="str">
        <f>IF(INPUT!Q3713="","",INPUT!Q3713)</f>
        <v/>
      </c>
      <c r="K3718" s="46" t="str">
        <f>IFERROR(IF(OR(INPUT!P3713="",INPUT!Q3713=""),"",INPUT!P3713-INPUT!Q3713),"")</f>
        <v/>
      </c>
      <c r="L3718" s="48" t="str">
        <f>IFERROR(IF(OR(INPUT!P3713="",INPUT!Q3713="",INPUT!P3713=0),"",(INPUT!P3713-INPUT!Q3713)/INPUT!P3713),"")</f>
        <v/>
      </c>
    </row>
    <row r="3719" spans="1:12" ht="18" hidden="1" customHeight="1" x14ac:dyDescent="0.2">
      <c r="A3719" s="11" t="str">
        <f>IF(INPUT!M3714="","",INPUT!M3714)</f>
        <v/>
      </c>
      <c r="B3719" s="11" t="str">
        <f>IF(INPUT!M3714="","",INPUT!M3714-WEEKDAY(INPUT!M3714,2)+1)</f>
        <v/>
      </c>
      <c r="C3719" s="20">
        <f>IFERROR(_xlfn.ISOWEEKNUM(INPUT!M3714),"")</f>
        <v>52</v>
      </c>
      <c r="D3719" s="20">
        <f>IFERROR(YEAR(INPUT!M3714),"")</f>
        <v>1900</v>
      </c>
      <c r="E3719" t="str">
        <f>IF(INPUT!O3714="","",INPUT!O3714)</f>
        <v/>
      </c>
      <c r="F3719" t="str">
        <f>IF(INPUT!N3714="","",INPUT!N3714)</f>
        <v/>
      </c>
      <c r="G3719" cm="1">
        <f t="array" ref="G3719">IFERROR(VLOOKUP(INPUT!M3714&amp;INPUT!N3714,CHOOSE({1,2},INPUT!$A$3:$A$5000&amp;INPUT!$C$3:$C$5000,INPUT!$F$3:$F$5000),2,FALSE),"")</f>
        <v>0</v>
      </c>
      <c r="H3719" cm="1">
        <f t="array" ref="H3719">IFERROR(VLOOKUP(INPUT!M3714&amp;INPUT!N3714,CHOOSE({1,2},INPUT!$A$3:$A$5000&amp;INPUT!$C$3:$C$5000,INPUT!$D$3:$D$5000),2,FALSE),"")</f>
        <v>0</v>
      </c>
      <c r="I3719" s="46" t="str">
        <f>IF(INPUT!P3714="","",INPUT!P3714)</f>
        <v/>
      </c>
      <c r="J3719" s="46" t="str">
        <f>IF(INPUT!Q3714="","",INPUT!Q3714)</f>
        <v/>
      </c>
      <c r="K3719" s="46" t="str">
        <f>IFERROR(IF(OR(INPUT!P3714="",INPUT!Q3714=""),"",INPUT!P3714-INPUT!Q3714),"")</f>
        <v/>
      </c>
      <c r="L3719" s="48" t="str">
        <f>IFERROR(IF(OR(INPUT!P3714="",INPUT!Q3714="",INPUT!P3714=0),"",(INPUT!P3714-INPUT!Q3714)/INPUT!P3714),"")</f>
        <v/>
      </c>
    </row>
    <row r="3720" spans="1:12" ht="18" hidden="1" customHeight="1" x14ac:dyDescent="0.2">
      <c r="A3720" s="11" t="str">
        <f>IF(INPUT!M3715="","",INPUT!M3715)</f>
        <v/>
      </c>
      <c r="B3720" s="11" t="str">
        <f>IF(INPUT!M3715="","",INPUT!M3715-WEEKDAY(INPUT!M3715,2)+1)</f>
        <v/>
      </c>
      <c r="C3720" s="20">
        <f>IFERROR(_xlfn.ISOWEEKNUM(INPUT!M3715),"")</f>
        <v>52</v>
      </c>
      <c r="D3720" s="20">
        <f>IFERROR(YEAR(INPUT!M3715),"")</f>
        <v>1900</v>
      </c>
      <c r="E3720" t="str">
        <f>IF(INPUT!O3715="","",INPUT!O3715)</f>
        <v/>
      </c>
      <c r="F3720" t="str">
        <f>IF(INPUT!N3715="","",INPUT!N3715)</f>
        <v/>
      </c>
      <c r="G3720" cm="1">
        <f t="array" ref="G3720">IFERROR(VLOOKUP(INPUT!M3715&amp;INPUT!N3715,CHOOSE({1,2},INPUT!$A$3:$A$5000&amp;INPUT!$C$3:$C$5000,INPUT!$F$3:$F$5000),2,FALSE),"")</f>
        <v>0</v>
      </c>
      <c r="H3720" cm="1">
        <f t="array" ref="H3720">IFERROR(VLOOKUP(INPUT!M3715&amp;INPUT!N3715,CHOOSE({1,2},INPUT!$A$3:$A$5000&amp;INPUT!$C$3:$C$5000,INPUT!$D$3:$D$5000),2,FALSE),"")</f>
        <v>0</v>
      </c>
      <c r="I3720" s="46" t="str">
        <f>IF(INPUT!P3715="","",INPUT!P3715)</f>
        <v/>
      </c>
      <c r="J3720" s="46" t="str">
        <f>IF(INPUT!Q3715="","",INPUT!Q3715)</f>
        <v/>
      </c>
      <c r="K3720" s="46" t="str">
        <f>IFERROR(IF(OR(INPUT!P3715="",INPUT!Q3715=""),"",INPUT!P3715-INPUT!Q3715),"")</f>
        <v/>
      </c>
      <c r="L3720" s="48" t="str">
        <f>IFERROR(IF(OR(INPUT!P3715="",INPUT!Q3715="",INPUT!P3715=0),"",(INPUT!P3715-INPUT!Q3715)/INPUT!P3715),"")</f>
        <v/>
      </c>
    </row>
    <row r="3721" spans="1:12" ht="18" hidden="1" customHeight="1" x14ac:dyDescent="0.2">
      <c r="A3721" s="11" t="str">
        <f>IF(INPUT!M3716="","",INPUT!M3716)</f>
        <v/>
      </c>
      <c r="B3721" s="11" t="str">
        <f>IF(INPUT!M3716="","",INPUT!M3716-WEEKDAY(INPUT!M3716,2)+1)</f>
        <v/>
      </c>
      <c r="C3721" s="20">
        <f>IFERROR(_xlfn.ISOWEEKNUM(INPUT!M3716),"")</f>
        <v>52</v>
      </c>
      <c r="D3721" s="20">
        <f>IFERROR(YEAR(INPUT!M3716),"")</f>
        <v>1900</v>
      </c>
      <c r="E3721" t="str">
        <f>IF(INPUT!O3716="","",INPUT!O3716)</f>
        <v/>
      </c>
      <c r="F3721" t="str">
        <f>IF(INPUT!N3716="","",INPUT!N3716)</f>
        <v/>
      </c>
      <c r="G3721" cm="1">
        <f t="array" ref="G3721">IFERROR(VLOOKUP(INPUT!M3716&amp;INPUT!N3716,CHOOSE({1,2},INPUT!$A$3:$A$5000&amp;INPUT!$C$3:$C$5000,INPUT!$F$3:$F$5000),2,FALSE),"")</f>
        <v>0</v>
      </c>
      <c r="H3721" cm="1">
        <f t="array" ref="H3721">IFERROR(VLOOKUP(INPUT!M3716&amp;INPUT!N3716,CHOOSE({1,2},INPUT!$A$3:$A$5000&amp;INPUT!$C$3:$C$5000,INPUT!$D$3:$D$5000),2,FALSE),"")</f>
        <v>0</v>
      </c>
      <c r="I3721" s="46" t="str">
        <f>IF(INPUT!P3716="","",INPUT!P3716)</f>
        <v/>
      </c>
      <c r="J3721" s="46" t="str">
        <f>IF(INPUT!Q3716="","",INPUT!Q3716)</f>
        <v/>
      </c>
      <c r="K3721" s="46" t="str">
        <f>IFERROR(IF(OR(INPUT!P3716="",INPUT!Q3716=""),"",INPUT!P3716-INPUT!Q3716),"")</f>
        <v/>
      </c>
      <c r="L3721" s="48" t="str">
        <f>IFERROR(IF(OR(INPUT!P3716="",INPUT!Q3716="",INPUT!P3716=0),"",(INPUT!P3716-INPUT!Q3716)/INPUT!P3716),"")</f>
        <v/>
      </c>
    </row>
    <row r="3722" spans="1:12" ht="18" hidden="1" customHeight="1" x14ac:dyDescent="0.2">
      <c r="A3722" s="11" t="str">
        <f>IF(INPUT!M3717="","",INPUT!M3717)</f>
        <v/>
      </c>
      <c r="B3722" s="11" t="str">
        <f>IF(INPUT!M3717="","",INPUT!M3717-WEEKDAY(INPUT!M3717,2)+1)</f>
        <v/>
      </c>
      <c r="C3722" s="20">
        <f>IFERROR(_xlfn.ISOWEEKNUM(INPUT!M3717),"")</f>
        <v>52</v>
      </c>
      <c r="D3722" s="20">
        <f>IFERROR(YEAR(INPUT!M3717),"")</f>
        <v>1900</v>
      </c>
      <c r="E3722" t="str">
        <f>IF(INPUT!O3717="","",INPUT!O3717)</f>
        <v/>
      </c>
      <c r="F3722" t="str">
        <f>IF(INPUT!N3717="","",INPUT!N3717)</f>
        <v/>
      </c>
      <c r="G3722" cm="1">
        <f t="array" ref="G3722">IFERROR(VLOOKUP(INPUT!M3717&amp;INPUT!N3717,CHOOSE({1,2},INPUT!$A$3:$A$5000&amp;INPUT!$C$3:$C$5000,INPUT!$F$3:$F$5000),2,FALSE),"")</f>
        <v>0</v>
      </c>
      <c r="H3722" cm="1">
        <f t="array" ref="H3722">IFERROR(VLOOKUP(INPUT!M3717&amp;INPUT!N3717,CHOOSE({1,2},INPUT!$A$3:$A$5000&amp;INPUT!$C$3:$C$5000,INPUT!$D$3:$D$5000),2,FALSE),"")</f>
        <v>0</v>
      </c>
      <c r="I3722" s="46" t="str">
        <f>IF(INPUT!P3717="","",INPUT!P3717)</f>
        <v/>
      </c>
      <c r="J3722" s="46" t="str">
        <f>IF(INPUT!Q3717="","",INPUT!Q3717)</f>
        <v/>
      </c>
      <c r="K3722" s="46" t="str">
        <f>IFERROR(IF(OR(INPUT!P3717="",INPUT!Q3717=""),"",INPUT!P3717-INPUT!Q3717),"")</f>
        <v/>
      </c>
      <c r="L3722" s="48" t="str">
        <f>IFERROR(IF(OR(INPUT!P3717="",INPUT!Q3717="",INPUT!P3717=0),"",(INPUT!P3717-INPUT!Q3717)/INPUT!P3717),"")</f>
        <v/>
      </c>
    </row>
    <row r="3723" spans="1:12" ht="18" hidden="1" customHeight="1" x14ac:dyDescent="0.2">
      <c r="A3723" s="11" t="str">
        <f>IF(INPUT!M3718="","",INPUT!M3718)</f>
        <v/>
      </c>
      <c r="B3723" s="11" t="str">
        <f>IF(INPUT!M3718="","",INPUT!M3718-WEEKDAY(INPUT!M3718,2)+1)</f>
        <v/>
      </c>
      <c r="C3723" s="20">
        <f>IFERROR(_xlfn.ISOWEEKNUM(INPUT!M3718),"")</f>
        <v>52</v>
      </c>
      <c r="D3723" s="20">
        <f>IFERROR(YEAR(INPUT!M3718),"")</f>
        <v>1900</v>
      </c>
      <c r="E3723" t="str">
        <f>IF(INPUT!O3718="","",INPUT!O3718)</f>
        <v/>
      </c>
      <c r="F3723" t="str">
        <f>IF(INPUT!N3718="","",INPUT!N3718)</f>
        <v/>
      </c>
      <c r="G3723" cm="1">
        <f t="array" ref="G3723">IFERROR(VLOOKUP(INPUT!M3718&amp;INPUT!N3718,CHOOSE({1,2},INPUT!$A$3:$A$5000&amp;INPUT!$C$3:$C$5000,INPUT!$F$3:$F$5000),2,FALSE),"")</f>
        <v>0</v>
      </c>
      <c r="H3723" cm="1">
        <f t="array" ref="H3723">IFERROR(VLOOKUP(INPUT!M3718&amp;INPUT!N3718,CHOOSE({1,2},INPUT!$A$3:$A$5000&amp;INPUT!$C$3:$C$5000,INPUT!$D$3:$D$5000),2,FALSE),"")</f>
        <v>0</v>
      </c>
      <c r="I3723" s="46" t="str">
        <f>IF(INPUT!P3718="","",INPUT!P3718)</f>
        <v/>
      </c>
      <c r="J3723" s="46" t="str">
        <f>IF(INPUT!Q3718="","",INPUT!Q3718)</f>
        <v/>
      </c>
      <c r="K3723" s="46" t="str">
        <f>IFERROR(IF(OR(INPUT!P3718="",INPUT!Q3718=""),"",INPUT!P3718-INPUT!Q3718),"")</f>
        <v/>
      </c>
      <c r="L3723" s="48" t="str">
        <f>IFERROR(IF(OR(INPUT!P3718="",INPUT!Q3718="",INPUT!P3718=0),"",(INPUT!P3718-INPUT!Q3718)/INPUT!P3718),"")</f>
        <v/>
      </c>
    </row>
    <row r="3724" spans="1:12" ht="18" hidden="1" customHeight="1" x14ac:dyDescent="0.2">
      <c r="A3724" s="11" t="str">
        <f>IF(INPUT!M3719="","",INPUT!M3719)</f>
        <v/>
      </c>
      <c r="B3724" s="11" t="str">
        <f>IF(INPUT!M3719="","",INPUT!M3719-WEEKDAY(INPUT!M3719,2)+1)</f>
        <v/>
      </c>
      <c r="C3724" s="20">
        <f>IFERROR(_xlfn.ISOWEEKNUM(INPUT!M3719),"")</f>
        <v>52</v>
      </c>
      <c r="D3724" s="20">
        <f>IFERROR(YEAR(INPUT!M3719),"")</f>
        <v>1900</v>
      </c>
      <c r="E3724" t="str">
        <f>IF(INPUT!O3719="","",INPUT!O3719)</f>
        <v/>
      </c>
      <c r="F3724" t="str">
        <f>IF(INPUT!N3719="","",INPUT!N3719)</f>
        <v/>
      </c>
      <c r="G3724" cm="1">
        <f t="array" ref="G3724">IFERROR(VLOOKUP(INPUT!M3719&amp;INPUT!N3719,CHOOSE({1,2},INPUT!$A$3:$A$5000&amp;INPUT!$C$3:$C$5000,INPUT!$F$3:$F$5000),2,FALSE),"")</f>
        <v>0</v>
      </c>
      <c r="H3724" cm="1">
        <f t="array" ref="H3724">IFERROR(VLOOKUP(INPUT!M3719&amp;INPUT!N3719,CHOOSE({1,2},INPUT!$A$3:$A$5000&amp;INPUT!$C$3:$C$5000,INPUT!$D$3:$D$5000),2,FALSE),"")</f>
        <v>0</v>
      </c>
      <c r="I3724" s="46" t="str">
        <f>IF(INPUT!P3719="","",INPUT!P3719)</f>
        <v/>
      </c>
      <c r="J3724" s="46" t="str">
        <f>IF(INPUT!Q3719="","",INPUT!Q3719)</f>
        <v/>
      </c>
      <c r="K3724" s="46" t="str">
        <f>IFERROR(IF(OR(INPUT!P3719="",INPUT!Q3719=""),"",INPUT!P3719-INPUT!Q3719),"")</f>
        <v/>
      </c>
      <c r="L3724" s="48" t="str">
        <f>IFERROR(IF(OR(INPUT!P3719="",INPUT!Q3719="",INPUT!P3719=0),"",(INPUT!P3719-INPUT!Q3719)/INPUT!P3719),"")</f>
        <v/>
      </c>
    </row>
    <row r="3725" spans="1:12" ht="18" hidden="1" customHeight="1" x14ac:dyDescent="0.2">
      <c r="A3725" s="11" t="str">
        <f>IF(INPUT!M3720="","",INPUT!M3720)</f>
        <v/>
      </c>
      <c r="B3725" s="11" t="str">
        <f>IF(INPUT!M3720="","",INPUT!M3720-WEEKDAY(INPUT!M3720,2)+1)</f>
        <v/>
      </c>
      <c r="C3725" s="20">
        <f>IFERROR(_xlfn.ISOWEEKNUM(INPUT!M3720),"")</f>
        <v>52</v>
      </c>
      <c r="D3725" s="20">
        <f>IFERROR(YEAR(INPUT!M3720),"")</f>
        <v>1900</v>
      </c>
      <c r="E3725" t="str">
        <f>IF(INPUT!O3720="","",INPUT!O3720)</f>
        <v/>
      </c>
      <c r="F3725" t="str">
        <f>IF(INPUT!N3720="","",INPUT!N3720)</f>
        <v/>
      </c>
      <c r="G3725" cm="1">
        <f t="array" ref="G3725">IFERROR(VLOOKUP(INPUT!M3720&amp;INPUT!N3720,CHOOSE({1,2},INPUT!$A$3:$A$5000&amp;INPUT!$C$3:$C$5000,INPUT!$F$3:$F$5000),2,FALSE),"")</f>
        <v>0</v>
      </c>
      <c r="H3725" cm="1">
        <f t="array" ref="H3725">IFERROR(VLOOKUP(INPUT!M3720&amp;INPUT!N3720,CHOOSE({1,2},INPUT!$A$3:$A$5000&amp;INPUT!$C$3:$C$5000,INPUT!$D$3:$D$5000),2,FALSE),"")</f>
        <v>0</v>
      </c>
      <c r="I3725" s="46" t="str">
        <f>IF(INPUT!P3720="","",INPUT!P3720)</f>
        <v/>
      </c>
      <c r="J3725" s="46" t="str">
        <f>IF(INPUT!Q3720="","",INPUT!Q3720)</f>
        <v/>
      </c>
      <c r="K3725" s="46" t="str">
        <f>IFERROR(IF(OR(INPUT!P3720="",INPUT!Q3720=""),"",INPUT!P3720-INPUT!Q3720),"")</f>
        <v/>
      </c>
      <c r="L3725" s="48" t="str">
        <f>IFERROR(IF(OR(INPUT!P3720="",INPUT!Q3720="",INPUT!P3720=0),"",(INPUT!P3720-INPUT!Q3720)/INPUT!P3720),"")</f>
        <v/>
      </c>
    </row>
    <row r="3726" spans="1:12" ht="18" hidden="1" customHeight="1" x14ac:dyDescent="0.2">
      <c r="A3726" s="11" t="str">
        <f>IF(INPUT!M3721="","",INPUT!M3721)</f>
        <v/>
      </c>
      <c r="B3726" s="11" t="str">
        <f>IF(INPUT!M3721="","",INPUT!M3721-WEEKDAY(INPUT!M3721,2)+1)</f>
        <v/>
      </c>
      <c r="C3726" s="20">
        <f>IFERROR(_xlfn.ISOWEEKNUM(INPUT!M3721),"")</f>
        <v>52</v>
      </c>
      <c r="D3726" s="20">
        <f>IFERROR(YEAR(INPUT!M3721),"")</f>
        <v>1900</v>
      </c>
      <c r="E3726" t="str">
        <f>IF(INPUT!O3721="","",INPUT!O3721)</f>
        <v/>
      </c>
      <c r="F3726" t="str">
        <f>IF(INPUT!N3721="","",INPUT!N3721)</f>
        <v/>
      </c>
      <c r="G3726" cm="1">
        <f t="array" ref="G3726">IFERROR(VLOOKUP(INPUT!M3721&amp;INPUT!N3721,CHOOSE({1,2},INPUT!$A$3:$A$5000&amp;INPUT!$C$3:$C$5000,INPUT!$F$3:$F$5000),2,FALSE),"")</f>
        <v>0</v>
      </c>
      <c r="H3726" cm="1">
        <f t="array" ref="H3726">IFERROR(VLOOKUP(INPUT!M3721&amp;INPUT!N3721,CHOOSE({1,2},INPUT!$A$3:$A$5000&amp;INPUT!$C$3:$C$5000,INPUT!$D$3:$D$5000),2,FALSE),"")</f>
        <v>0</v>
      </c>
      <c r="I3726" s="46" t="str">
        <f>IF(INPUT!P3721="","",INPUT!P3721)</f>
        <v/>
      </c>
      <c r="J3726" s="46" t="str">
        <f>IF(INPUT!Q3721="","",INPUT!Q3721)</f>
        <v/>
      </c>
      <c r="K3726" s="46" t="str">
        <f>IFERROR(IF(OR(INPUT!P3721="",INPUT!Q3721=""),"",INPUT!P3721-INPUT!Q3721),"")</f>
        <v/>
      </c>
      <c r="L3726" s="48" t="str">
        <f>IFERROR(IF(OR(INPUT!P3721="",INPUT!Q3721="",INPUT!P3721=0),"",(INPUT!P3721-INPUT!Q3721)/INPUT!P3721),"")</f>
        <v/>
      </c>
    </row>
    <row r="3727" spans="1:12" ht="18" hidden="1" customHeight="1" x14ac:dyDescent="0.2">
      <c r="A3727" s="11" t="str">
        <f>IF(INPUT!M3722="","",INPUT!M3722)</f>
        <v/>
      </c>
      <c r="B3727" s="11" t="str">
        <f>IF(INPUT!M3722="","",INPUT!M3722-WEEKDAY(INPUT!M3722,2)+1)</f>
        <v/>
      </c>
      <c r="C3727" s="20">
        <f>IFERROR(_xlfn.ISOWEEKNUM(INPUT!M3722),"")</f>
        <v>52</v>
      </c>
      <c r="D3727" s="20">
        <f>IFERROR(YEAR(INPUT!M3722),"")</f>
        <v>1900</v>
      </c>
      <c r="E3727" t="str">
        <f>IF(INPUT!O3722="","",INPUT!O3722)</f>
        <v/>
      </c>
      <c r="F3727" t="str">
        <f>IF(INPUT!N3722="","",INPUT!N3722)</f>
        <v/>
      </c>
      <c r="G3727" cm="1">
        <f t="array" ref="G3727">IFERROR(VLOOKUP(INPUT!M3722&amp;INPUT!N3722,CHOOSE({1,2},INPUT!$A$3:$A$5000&amp;INPUT!$C$3:$C$5000,INPUT!$F$3:$F$5000),2,FALSE),"")</f>
        <v>0</v>
      </c>
      <c r="H3727" cm="1">
        <f t="array" ref="H3727">IFERROR(VLOOKUP(INPUT!M3722&amp;INPUT!N3722,CHOOSE({1,2},INPUT!$A$3:$A$5000&amp;INPUT!$C$3:$C$5000,INPUT!$D$3:$D$5000),2,FALSE),"")</f>
        <v>0</v>
      </c>
      <c r="I3727" s="46" t="str">
        <f>IF(INPUT!P3722="","",INPUT!P3722)</f>
        <v/>
      </c>
      <c r="J3727" s="46" t="str">
        <f>IF(INPUT!Q3722="","",INPUT!Q3722)</f>
        <v/>
      </c>
      <c r="K3727" s="46" t="str">
        <f>IFERROR(IF(OR(INPUT!P3722="",INPUT!Q3722=""),"",INPUT!P3722-INPUT!Q3722),"")</f>
        <v/>
      </c>
      <c r="L3727" s="48" t="str">
        <f>IFERROR(IF(OR(INPUT!P3722="",INPUT!Q3722="",INPUT!P3722=0),"",(INPUT!P3722-INPUT!Q3722)/INPUT!P3722),"")</f>
        <v/>
      </c>
    </row>
    <row r="3728" spans="1:12" ht="18" hidden="1" customHeight="1" x14ac:dyDescent="0.2">
      <c r="A3728" s="11" t="str">
        <f>IF(INPUT!M3723="","",INPUT!M3723)</f>
        <v/>
      </c>
      <c r="B3728" s="11" t="str">
        <f>IF(INPUT!M3723="","",INPUT!M3723-WEEKDAY(INPUT!M3723,2)+1)</f>
        <v/>
      </c>
      <c r="C3728" s="20">
        <f>IFERROR(_xlfn.ISOWEEKNUM(INPUT!M3723),"")</f>
        <v>52</v>
      </c>
      <c r="D3728" s="20">
        <f>IFERROR(YEAR(INPUT!M3723),"")</f>
        <v>1900</v>
      </c>
      <c r="E3728" t="str">
        <f>IF(INPUT!O3723="","",INPUT!O3723)</f>
        <v/>
      </c>
      <c r="F3728" t="str">
        <f>IF(INPUT!N3723="","",INPUT!N3723)</f>
        <v/>
      </c>
      <c r="G3728" cm="1">
        <f t="array" ref="G3728">IFERROR(VLOOKUP(INPUT!M3723&amp;INPUT!N3723,CHOOSE({1,2},INPUT!$A$3:$A$5000&amp;INPUT!$C$3:$C$5000,INPUT!$F$3:$F$5000),2,FALSE),"")</f>
        <v>0</v>
      </c>
      <c r="H3728" cm="1">
        <f t="array" ref="H3728">IFERROR(VLOOKUP(INPUT!M3723&amp;INPUT!N3723,CHOOSE({1,2},INPUT!$A$3:$A$5000&amp;INPUT!$C$3:$C$5000,INPUT!$D$3:$D$5000),2,FALSE),"")</f>
        <v>0</v>
      </c>
      <c r="I3728" s="46" t="str">
        <f>IF(INPUT!P3723="","",INPUT!P3723)</f>
        <v/>
      </c>
      <c r="J3728" s="46" t="str">
        <f>IF(INPUT!Q3723="","",INPUT!Q3723)</f>
        <v/>
      </c>
      <c r="K3728" s="46" t="str">
        <f>IFERROR(IF(OR(INPUT!P3723="",INPUT!Q3723=""),"",INPUT!P3723-INPUT!Q3723),"")</f>
        <v/>
      </c>
      <c r="L3728" s="48" t="str">
        <f>IFERROR(IF(OR(INPUT!P3723="",INPUT!Q3723="",INPUT!P3723=0),"",(INPUT!P3723-INPUT!Q3723)/INPUT!P3723),"")</f>
        <v/>
      </c>
    </row>
    <row r="3729" spans="1:12" ht="18" hidden="1" customHeight="1" x14ac:dyDescent="0.2">
      <c r="A3729" s="11" t="str">
        <f>IF(INPUT!M3724="","",INPUT!M3724)</f>
        <v/>
      </c>
      <c r="B3729" s="11" t="str">
        <f>IF(INPUT!M3724="","",INPUT!M3724-WEEKDAY(INPUT!M3724,2)+1)</f>
        <v/>
      </c>
      <c r="C3729" s="20">
        <f>IFERROR(_xlfn.ISOWEEKNUM(INPUT!M3724),"")</f>
        <v>52</v>
      </c>
      <c r="D3729" s="20">
        <f>IFERROR(YEAR(INPUT!M3724),"")</f>
        <v>1900</v>
      </c>
      <c r="E3729" t="str">
        <f>IF(INPUT!O3724="","",INPUT!O3724)</f>
        <v/>
      </c>
      <c r="F3729" t="str">
        <f>IF(INPUT!N3724="","",INPUT!N3724)</f>
        <v/>
      </c>
      <c r="G3729" cm="1">
        <f t="array" ref="G3729">IFERROR(VLOOKUP(INPUT!M3724&amp;INPUT!N3724,CHOOSE({1,2},INPUT!$A$3:$A$5000&amp;INPUT!$C$3:$C$5000,INPUT!$F$3:$F$5000),2,FALSE),"")</f>
        <v>0</v>
      </c>
      <c r="H3729" cm="1">
        <f t="array" ref="H3729">IFERROR(VLOOKUP(INPUT!M3724&amp;INPUT!N3724,CHOOSE({1,2},INPUT!$A$3:$A$5000&amp;INPUT!$C$3:$C$5000,INPUT!$D$3:$D$5000),2,FALSE),"")</f>
        <v>0</v>
      </c>
      <c r="I3729" s="46" t="str">
        <f>IF(INPUT!P3724="","",INPUT!P3724)</f>
        <v/>
      </c>
      <c r="J3729" s="46" t="str">
        <f>IF(INPUT!Q3724="","",INPUT!Q3724)</f>
        <v/>
      </c>
      <c r="K3729" s="46" t="str">
        <f>IFERROR(IF(OR(INPUT!P3724="",INPUT!Q3724=""),"",INPUT!P3724-INPUT!Q3724),"")</f>
        <v/>
      </c>
      <c r="L3729" s="48" t="str">
        <f>IFERROR(IF(OR(INPUT!P3724="",INPUT!Q3724="",INPUT!P3724=0),"",(INPUT!P3724-INPUT!Q3724)/INPUT!P3724),"")</f>
        <v/>
      </c>
    </row>
    <row r="3730" spans="1:12" ht="18" hidden="1" customHeight="1" x14ac:dyDescent="0.2">
      <c r="A3730" s="11" t="str">
        <f>IF(INPUT!M3725="","",INPUT!M3725)</f>
        <v/>
      </c>
      <c r="B3730" s="11" t="str">
        <f>IF(INPUT!M3725="","",INPUT!M3725-WEEKDAY(INPUT!M3725,2)+1)</f>
        <v/>
      </c>
      <c r="C3730" s="20">
        <f>IFERROR(_xlfn.ISOWEEKNUM(INPUT!M3725),"")</f>
        <v>52</v>
      </c>
      <c r="D3730" s="20">
        <f>IFERROR(YEAR(INPUT!M3725),"")</f>
        <v>1900</v>
      </c>
      <c r="E3730" t="str">
        <f>IF(INPUT!O3725="","",INPUT!O3725)</f>
        <v/>
      </c>
      <c r="F3730" t="str">
        <f>IF(INPUT!N3725="","",INPUT!N3725)</f>
        <v/>
      </c>
      <c r="G3730" cm="1">
        <f t="array" ref="G3730">IFERROR(VLOOKUP(INPUT!M3725&amp;INPUT!N3725,CHOOSE({1,2},INPUT!$A$3:$A$5000&amp;INPUT!$C$3:$C$5000,INPUT!$F$3:$F$5000),2,FALSE),"")</f>
        <v>0</v>
      </c>
      <c r="H3730" cm="1">
        <f t="array" ref="H3730">IFERROR(VLOOKUP(INPUT!M3725&amp;INPUT!N3725,CHOOSE({1,2},INPUT!$A$3:$A$5000&amp;INPUT!$C$3:$C$5000,INPUT!$D$3:$D$5000),2,FALSE),"")</f>
        <v>0</v>
      </c>
      <c r="I3730" s="46" t="str">
        <f>IF(INPUT!P3725="","",INPUT!P3725)</f>
        <v/>
      </c>
      <c r="J3730" s="46" t="str">
        <f>IF(INPUT!Q3725="","",INPUT!Q3725)</f>
        <v/>
      </c>
      <c r="K3730" s="46" t="str">
        <f>IFERROR(IF(OR(INPUT!P3725="",INPUT!Q3725=""),"",INPUT!P3725-INPUT!Q3725),"")</f>
        <v/>
      </c>
      <c r="L3730" s="48" t="str">
        <f>IFERROR(IF(OR(INPUT!P3725="",INPUT!Q3725="",INPUT!P3725=0),"",(INPUT!P3725-INPUT!Q3725)/INPUT!P3725),"")</f>
        <v/>
      </c>
    </row>
    <row r="3731" spans="1:12" ht="18" hidden="1" customHeight="1" x14ac:dyDescent="0.2">
      <c r="A3731" s="11" t="str">
        <f>IF(INPUT!M3726="","",INPUT!M3726)</f>
        <v/>
      </c>
      <c r="B3731" s="11" t="str">
        <f>IF(INPUT!M3726="","",INPUT!M3726-WEEKDAY(INPUT!M3726,2)+1)</f>
        <v/>
      </c>
      <c r="C3731" s="20">
        <f>IFERROR(_xlfn.ISOWEEKNUM(INPUT!M3726),"")</f>
        <v>52</v>
      </c>
      <c r="D3731" s="20">
        <f>IFERROR(YEAR(INPUT!M3726),"")</f>
        <v>1900</v>
      </c>
      <c r="E3731" t="str">
        <f>IF(INPUT!O3726="","",INPUT!O3726)</f>
        <v/>
      </c>
      <c r="F3731" t="str">
        <f>IF(INPUT!N3726="","",INPUT!N3726)</f>
        <v/>
      </c>
      <c r="G3731" cm="1">
        <f t="array" ref="G3731">IFERROR(VLOOKUP(INPUT!M3726&amp;INPUT!N3726,CHOOSE({1,2},INPUT!$A$3:$A$5000&amp;INPUT!$C$3:$C$5000,INPUT!$F$3:$F$5000),2,FALSE),"")</f>
        <v>0</v>
      </c>
      <c r="H3731" cm="1">
        <f t="array" ref="H3731">IFERROR(VLOOKUP(INPUT!M3726&amp;INPUT!N3726,CHOOSE({1,2},INPUT!$A$3:$A$5000&amp;INPUT!$C$3:$C$5000,INPUT!$D$3:$D$5000),2,FALSE),"")</f>
        <v>0</v>
      </c>
      <c r="I3731" s="46" t="str">
        <f>IF(INPUT!P3726="","",INPUT!P3726)</f>
        <v/>
      </c>
      <c r="J3731" s="46" t="str">
        <f>IF(INPUT!Q3726="","",INPUT!Q3726)</f>
        <v/>
      </c>
      <c r="K3731" s="46" t="str">
        <f>IFERROR(IF(OR(INPUT!P3726="",INPUT!Q3726=""),"",INPUT!P3726-INPUT!Q3726),"")</f>
        <v/>
      </c>
      <c r="L3731" s="48" t="str">
        <f>IFERROR(IF(OR(INPUT!P3726="",INPUT!Q3726="",INPUT!P3726=0),"",(INPUT!P3726-INPUT!Q3726)/INPUT!P3726),"")</f>
        <v/>
      </c>
    </row>
    <row r="3732" spans="1:12" ht="18" hidden="1" customHeight="1" x14ac:dyDescent="0.2">
      <c r="A3732" s="11" t="str">
        <f>IF(INPUT!M3727="","",INPUT!M3727)</f>
        <v/>
      </c>
      <c r="B3732" s="11" t="str">
        <f>IF(INPUT!M3727="","",INPUT!M3727-WEEKDAY(INPUT!M3727,2)+1)</f>
        <v/>
      </c>
      <c r="C3732" s="20">
        <f>IFERROR(_xlfn.ISOWEEKNUM(INPUT!M3727),"")</f>
        <v>52</v>
      </c>
      <c r="D3732" s="20">
        <f>IFERROR(YEAR(INPUT!M3727),"")</f>
        <v>1900</v>
      </c>
      <c r="E3732" t="str">
        <f>IF(INPUT!O3727="","",INPUT!O3727)</f>
        <v/>
      </c>
      <c r="F3732" t="str">
        <f>IF(INPUT!N3727="","",INPUT!N3727)</f>
        <v/>
      </c>
      <c r="G3732" cm="1">
        <f t="array" ref="G3732">IFERROR(VLOOKUP(INPUT!M3727&amp;INPUT!N3727,CHOOSE({1,2},INPUT!$A$3:$A$5000&amp;INPUT!$C$3:$C$5000,INPUT!$F$3:$F$5000),2,FALSE),"")</f>
        <v>0</v>
      </c>
      <c r="H3732" cm="1">
        <f t="array" ref="H3732">IFERROR(VLOOKUP(INPUT!M3727&amp;INPUT!N3727,CHOOSE({1,2},INPUT!$A$3:$A$5000&amp;INPUT!$C$3:$C$5000,INPUT!$D$3:$D$5000),2,FALSE),"")</f>
        <v>0</v>
      </c>
      <c r="I3732" s="46" t="str">
        <f>IF(INPUT!P3727="","",INPUT!P3727)</f>
        <v/>
      </c>
      <c r="J3732" s="46" t="str">
        <f>IF(INPUT!Q3727="","",INPUT!Q3727)</f>
        <v/>
      </c>
      <c r="K3732" s="46" t="str">
        <f>IFERROR(IF(OR(INPUT!P3727="",INPUT!Q3727=""),"",INPUT!P3727-INPUT!Q3727),"")</f>
        <v/>
      </c>
      <c r="L3732" s="48" t="str">
        <f>IFERROR(IF(OR(INPUT!P3727="",INPUT!Q3727="",INPUT!P3727=0),"",(INPUT!P3727-INPUT!Q3727)/INPUT!P3727),"")</f>
        <v/>
      </c>
    </row>
    <row r="3733" spans="1:12" ht="18" hidden="1" customHeight="1" x14ac:dyDescent="0.2">
      <c r="A3733" s="11" t="str">
        <f>IF(INPUT!M3728="","",INPUT!M3728)</f>
        <v/>
      </c>
      <c r="B3733" s="11" t="str">
        <f>IF(INPUT!M3728="","",INPUT!M3728-WEEKDAY(INPUT!M3728,2)+1)</f>
        <v/>
      </c>
      <c r="C3733" s="20">
        <f>IFERROR(_xlfn.ISOWEEKNUM(INPUT!M3728),"")</f>
        <v>52</v>
      </c>
      <c r="D3733" s="20">
        <f>IFERROR(YEAR(INPUT!M3728),"")</f>
        <v>1900</v>
      </c>
      <c r="E3733" t="str">
        <f>IF(INPUT!O3728="","",INPUT!O3728)</f>
        <v/>
      </c>
      <c r="F3733" t="str">
        <f>IF(INPUT!N3728="","",INPUT!N3728)</f>
        <v/>
      </c>
      <c r="G3733" cm="1">
        <f t="array" ref="G3733">IFERROR(VLOOKUP(INPUT!M3728&amp;INPUT!N3728,CHOOSE({1,2},INPUT!$A$3:$A$5000&amp;INPUT!$C$3:$C$5000,INPUT!$F$3:$F$5000),2,FALSE),"")</f>
        <v>0</v>
      </c>
      <c r="H3733" cm="1">
        <f t="array" ref="H3733">IFERROR(VLOOKUP(INPUT!M3728&amp;INPUT!N3728,CHOOSE({1,2},INPUT!$A$3:$A$5000&amp;INPUT!$C$3:$C$5000,INPUT!$D$3:$D$5000),2,FALSE),"")</f>
        <v>0</v>
      </c>
      <c r="I3733" s="46" t="str">
        <f>IF(INPUT!P3728="","",INPUT!P3728)</f>
        <v/>
      </c>
      <c r="J3733" s="46" t="str">
        <f>IF(INPUT!Q3728="","",INPUT!Q3728)</f>
        <v/>
      </c>
      <c r="K3733" s="46" t="str">
        <f>IFERROR(IF(OR(INPUT!P3728="",INPUT!Q3728=""),"",INPUT!P3728-INPUT!Q3728),"")</f>
        <v/>
      </c>
      <c r="L3733" s="48" t="str">
        <f>IFERROR(IF(OR(INPUT!P3728="",INPUT!Q3728="",INPUT!P3728=0),"",(INPUT!P3728-INPUT!Q3728)/INPUT!P3728),"")</f>
        <v/>
      </c>
    </row>
    <row r="3734" spans="1:12" ht="18" hidden="1" customHeight="1" x14ac:dyDescent="0.2">
      <c r="A3734" s="11" t="str">
        <f>IF(INPUT!M3729="","",INPUT!M3729)</f>
        <v/>
      </c>
      <c r="B3734" s="11" t="str">
        <f>IF(INPUT!M3729="","",INPUT!M3729-WEEKDAY(INPUT!M3729,2)+1)</f>
        <v/>
      </c>
      <c r="C3734" s="20">
        <f>IFERROR(_xlfn.ISOWEEKNUM(INPUT!M3729),"")</f>
        <v>52</v>
      </c>
      <c r="D3734" s="20">
        <f>IFERROR(YEAR(INPUT!M3729),"")</f>
        <v>1900</v>
      </c>
      <c r="E3734" t="str">
        <f>IF(INPUT!O3729="","",INPUT!O3729)</f>
        <v/>
      </c>
      <c r="F3734" t="str">
        <f>IF(INPUT!N3729="","",INPUT!N3729)</f>
        <v/>
      </c>
      <c r="G3734" cm="1">
        <f t="array" ref="G3734">IFERROR(VLOOKUP(INPUT!M3729&amp;INPUT!N3729,CHOOSE({1,2},INPUT!$A$3:$A$5000&amp;INPUT!$C$3:$C$5000,INPUT!$F$3:$F$5000),2,FALSE),"")</f>
        <v>0</v>
      </c>
      <c r="H3734" cm="1">
        <f t="array" ref="H3734">IFERROR(VLOOKUP(INPUT!M3729&amp;INPUT!N3729,CHOOSE({1,2},INPUT!$A$3:$A$5000&amp;INPUT!$C$3:$C$5000,INPUT!$D$3:$D$5000),2,FALSE),"")</f>
        <v>0</v>
      </c>
      <c r="I3734" s="46" t="str">
        <f>IF(INPUT!P3729="","",INPUT!P3729)</f>
        <v/>
      </c>
      <c r="J3734" s="46" t="str">
        <f>IF(INPUT!Q3729="","",INPUT!Q3729)</f>
        <v/>
      </c>
      <c r="K3734" s="46" t="str">
        <f>IFERROR(IF(OR(INPUT!P3729="",INPUT!Q3729=""),"",INPUT!P3729-INPUT!Q3729),"")</f>
        <v/>
      </c>
      <c r="L3734" s="48" t="str">
        <f>IFERROR(IF(OR(INPUT!P3729="",INPUT!Q3729="",INPUT!P3729=0),"",(INPUT!P3729-INPUT!Q3729)/INPUT!P3729),"")</f>
        <v/>
      </c>
    </row>
    <row r="3735" spans="1:12" ht="18" hidden="1" customHeight="1" x14ac:dyDescent="0.2">
      <c r="A3735" s="11" t="str">
        <f>IF(INPUT!M3730="","",INPUT!M3730)</f>
        <v/>
      </c>
      <c r="B3735" s="11" t="str">
        <f>IF(INPUT!M3730="","",INPUT!M3730-WEEKDAY(INPUT!M3730,2)+1)</f>
        <v/>
      </c>
      <c r="C3735" s="20">
        <f>IFERROR(_xlfn.ISOWEEKNUM(INPUT!M3730),"")</f>
        <v>52</v>
      </c>
      <c r="D3735" s="20">
        <f>IFERROR(YEAR(INPUT!M3730),"")</f>
        <v>1900</v>
      </c>
      <c r="E3735" t="str">
        <f>IF(INPUT!O3730="","",INPUT!O3730)</f>
        <v/>
      </c>
      <c r="F3735" t="str">
        <f>IF(INPUT!N3730="","",INPUT!N3730)</f>
        <v/>
      </c>
      <c r="G3735" cm="1">
        <f t="array" ref="G3735">IFERROR(VLOOKUP(INPUT!M3730&amp;INPUT!N3730,CHOOSE({1,2},INPUT!$A$3:$A$5000&amp;INPUT!$C$3:$C$5000,INPUT!$F$3:$F$5000),2,FALSE),"")</f>
        <v>0</v>
      </c>
      <c r="H3735" cm="1">
        <f t="array" ref="H3735">IFERROR(VLOOKUP(INPUT!M3730&amp;INPUT!N3730,CHOOSE({1,2},INPUT!$A$3:$A$5000&amp;INPUT!$C$3:$C$5000,INPUT!$D$3:$D$5000),2,FALSE),"")</f>
        <v>0</v>
      </c>
      <c r="I3735" s="46" t="str">
        <f>IF(INPUT!P3730="","",INPUT!P3730)</f>
        <v/>
      </c>
      <c r="J3735" s="46" t="str">
        <f>IF(INPUT!Q3730="","",INPUT!Q3730)</f>
        <v/>
      </c>
      <c r="K3735" s="46" t="str">
        <f>IFERROR(IF(OR(INPUT!P3730="",INPUT!Q3730=""),"",INPUT!P3730-INPUT!Q3730),"")</f>
        <v/>
      </c>
      <c r="L3735" s="48" t="str">
        <f>IFERROR(IF(OR(INPUT!P3730="",INPUT!Q3730="",INPUT!P3730=0),"",(INPUT!P3730-INPUT!Q3730)/INPUT!P3730),"")</f>
        <v/>
      </c>
    </row>
    <row r="3736" spans="1:12" ht="18" hidden="1" customHeight="1" x14ac:dyDescent="0.2">
      <c r="A3736" s="11" t="str">
        <f>IF(INPUT!M3731="","",INPUT!M3731)</f>
        <v/>
      </c>
      <c r="B3736" s="11" t="str">
        <f>IF(INPUT!M3731="","",INPUT!M3731-WEEKDAY(INPUT!M3731,2)+1)</f>
        <v/>
      </c>
      <c r="C3736" s="20">
        <f>IFERROR(_xlfn.ISOWEEKNUM(INPUT!M3731),"")</f>
        <v>52</v>
      </c>
      <c r="D3736" s="20">
        <f>IFERROR(YEAR(INPUT!M3731),"")</f>
        <v>1900</v>
      </c>
      <c r="E3736" t="str">
        <f>IF(INPUT!O3731="","",INPUT!O3731)</f>
        <v/>
      </c>
      <c r="F3736" t="str">
        <f>IF(INPUT!N3731="","",INPUT!N3731)</f>
        <v/>
      </c>
      <c r="G3736" cm="1">
        <f t="array" ref="G3736">IFERROR(VLOOKUP(INPUT!M3731&amp;INPUT!N3731,CHOOSE({1,2},INPUT!$A$3:$A$5000&amp;INPUT!$C$3:$C$5000,INPUT!$F$3:$F$5000),2,FALSE),"")</f>
        <v>0</v>
      </c>
      <c r="H3736" cm="1">
        <f t="array" ref="H3736">IFERROR(VLOOKUP(INPUT!M3731&amp;INPUT!N3731,CHOOSE({1,2},INPUT!$A$3:$A$5000&amp;INPUT!$C$3:$C$5000,INPUT!$D$3:$D$5000),2,FALSE),"")</f>
        <v>0</v>
      </c>
      <c r="I3736" s="46" t="str">
        <f>IF(INPUT!P3731="","",INPUT!P3731)</f>
        <v/>
      </c>
      <c r="J3736" s="46" t="str">
        <f>IF(INPUT!Q3731="","",INPUT!Q3731)</f>
        <v/>
      </c>
      <c r="K3736" s="46" t="str">
        <f>IFERROR(IF(OR(INPUT!P3731="",INPUT!Q3731=""),"",INPUT!P3731-INPUT!Q3731),"")</f>
        <v/>
      </c>
      <c r="L3736" s="48" t="str">
        <f>IFERROR(IF(OR(INPUT!P3731="",INPUT!Q3731="",INPUT!P3731=0),"",(INPUT!P3731-INPUT!Q3731)/INPUT!P3731),"")</f>
        <v/>
      </c>
    </row>
    <row r="3737" spans="1:12" ht="18" hidden="1" customHeight="1" x14ac:dyDescent="0.2">
      <c r="A3737" s="11" t="str">
        <f>IF(INPUT!M3732="","",INPUT!M3732)</f>
        <v/>
      </c>
      <c r="B3737" s="11" t="str">
        <f>IF(INPUT!M3732="","",INPUT!M3732-WEEKDAY(INPUT!M3732,2)+1)</f>
        <v/>
      </c>
      <c r="C3737" s="20">
        <f>IFERROR(_xlfn.ISOWEEKNUM(INPUT!M3732),"")</f>
        <v>52</v>
      </c>
      <c r="D3737" s="20">
        <f>IFERROR(YEAR(INPUT!M3732),"")</f>
        <v>1900</v>
      </c>
      <c r="E3737" t="str">
        <f>IF(INPUT!O3732="","",INPUT!O3732)</f>
        <v/>
      </c>
      <c r="F3737" t="str">
        <f>IF(INPUT!N3732="","",INPUT!N3732)</f>
        <v/>
      </c>
      <c r="G3737" cm="1">
        <f t="array" ref="G3737">IFERROR(VLOOKUP(INPUT!M3732&amp;INPUT!N3732,CHOOSE({1,2},INPUT!$A$3:$A$5000&amp;INPUT!$C$3:$C$5000,INPUT!$F$3:$F$5000),2,FALSE),"")</f>
        <v>0</v>
      </c>
      <c r="H3737" cm="1">
        <f t="array" ref="H3737">IFERROR(VLOOKUP(INPUT!M3732&amp;INPUT!N3732,CHOOSE({1,2},INPUT!$A$3:$A$5000&amp;INPUT!$C$3:$C$5000,INPUT!$D$3:$D$5000),2,FALSE),"")</f>
        <v>0</v>
      </c>
      <c r="I3737" s="46" t="str">
        <f>IF(INPUT!P3732="","",INPUT!P3732)</f>
        <v/>
      </c>
      <c r="J3737" s="46" t="str">
        <f>IF(INPUT!Q3732="","",INPUT!Q3732)</f>
        <v/>
      </c>
      <c r="K3737" s="46" t="str">
        <f>IFERROR(IF(OR(INPUT!P3732="",INPUT!Q3732=""),"",INPUT!P3732-INPUT!Q3732),"")</f>
        <v/>
      </c>
      <c r="L3737" s="48" t="str">
        <f>IFERROR(IF(OR(INPUT!P3732="",INPUT!Q3732="",INPUT!P3732=0),"",(INPUT!P3732-INPUT!Q3732)/INPUT!P3732),"")</f>
        <v/>
      </c>
    </row>
    <row r="3738" spans="1:12" ht="18" hidden="1" customHeight="1" x14ac:dyDescent="0.2">
      <c r="A3738" s="11" t="str">
        <f>IF(INPUT!M3733="","",INPUT!M3733)</f>
        <v/>
      </c>
      <c r="B3738" s="11" t="str">
        <f>IF(INPUT!M3733="","",INPUT!M3733-WEEKDAY(INPUT!M3733,2)+1)</f>
        <v/>
      </c>
      <c r="C3738" s="20">
        <f>IFERROR(_xlfn.ISOWEEKNUM(INPUT!M3733),"")</f>
        <v>52</v>
      </c>
      <c r="D3738" s="20">
        <f>IFERROR(YEAR(INPUT!M3733),"")</f>
        <v>1900</v>
      </c>
      <c r="E3738" t="str">
        <f>IF(INPUT!O3733="","",INPUT!O3733)</f>
        <v/>
      </c>
      <c r="F3738" t="str">
        <f>IF(INPUT!N3733="","",INPUT!N3733)</f>
        <v/>
      </c>
      <c r="G3738" cm="1">
        <f t="array" ref="G3738">IFERROR(VLOOKUP(INPUT!M3733&amp;INPUT!N3733,CHOOSE({1,2},INPUT!$A$3:$A$5000&amp;INPUT!$C$3:$C$5000,INPUT!$F$3:$F$5000),2,FALSE),"")</f>
        <v>0</v>
      </c>
      <c r="H3738" cm="1">
        <f t="array" ref="H3738">IFERROR(VLOOKUP(INPUT!M3733&amp;INPUT!N3733,CHOOSE({1,2},INPUT!$A$3:$A$5000&amp;INPUT!$C$3:$C$5000,INPUT!$D$3:$D$5000),2,FALSE),"")</f>
        <v>0</v>
      </c>
      <c r="I3738" s="46" t="str">
        <f>IF(INPUT!P3733="","",INPUT!P3733)</f>
        <v/>
      </c>
      <c r="J3738" s="46" t="str">
        <f>IF(INPUT!Q3733="","",INPUT!Q3733)</f>
        <v/>
      </c>
      <c r="K3738" s="46" t="str">
        <f>IFERROR(IF(OR(INPUT!P3733="",INPUT!Q3733=""),"",INPUT!P3733-INPUT!Q3733),"")</f>
        <v/>
      </c>
      <c r="L3738" s="48" t="str">
        <f>IFERROR(IF(OR(INPUT!P3733="",INPUT!Q3733="",INPUT!P3733=0),"",(INPUT!P3733-INPUT!Q3733)/INPUT!P3733),"")</f>
        <v/>
      </c>
    </row>
    <row r="3739" spans="1:12" ht="18" hidden="1" customHeight="1" x14ac:dyDescent="0.2">
      <c r="A3739" s="11" t="str">
        <f>IF(INPUT!M3734="","",INPUT!M3734)</f>
        <v/>
      </c>
      <c r="B3739" s="11" t="str">
        <f>IF(INPUT!M3734="","",INPUT!M3734-WEEKDAY(INPUT!M3734,2)+1)</f>
        <v/>
      </c>
      <c r="C3739" s="20">
        <f>IFERROR(_xlfn.ISOWEEKNUM(INPUT!M3734),"")</f>
        <v>52</v>
      </c>
      <c r="D3739" s="20">
        <f>IFERROR(YEAR(INPUT!M3734),"")</f>
        <v>1900</v>
      </c>
      <c r="E3739" t="str">
        <f>IF(INPUT!O3734="","",INPUT!O3734)</f>
        <v/>
      </c>
      <c r="F3739" t="str">
        <f>IF(INPUT!N3734="","",INPUT!N3734)</f>
        <v/>
      </c>
      <c r="G3739" cm="1">
        <f t="array" ref="G3739">IFERROR(VLOOKUP(INPUT!M3734&amp;INPUT!N3734,CHOOSE({1,2},INPUT!$A$3:$A$5000&amp;INPUT!$C$3:$C$5000,INPUT!$F$3:$F$5000),2,FALSE),"")</f>
        <v>0</v>
      </c>
      <c r="H3739" cm="1">
        <f t="array" ref="H3739">IFERROR(VLOOKUP(INPUT!M3734&amp;INPUT!N3734,CHOOSE({1,2},INPUT!$A$3:$A$5000&amp;INPUT!$C$3:$C$5000,INPUT!$D$3:$D$5000),2,FALSE),"")</f>
        <v>0</v>
      </c>
      <c r="I3739" s="46" t="str">
        <f>IF(INPUT!P3734="","",INPUT!P3734)</f>
        <v/>
      </c>
      <c r="J3739" s="46" t="str">
        <f>IF(INPUT!Q3734="","",INPUT!Q3734)</f>
        <v/>
      </c>
      <c r="K3739" s="46" t="str">
        <f>IFERROR(IF(OR(INPUT!P3734="",INPUT!Q3734=""),"",INPUT!P3734-INPUT!Q3734),"")</f>
        <v/>
      </c>
      <c r="L3739" s="48" t="str">
        <f>IFERROR(IF(OR(INPUT!P3734="",INPUT!Q3734="",INPUT!P3734=0),"",(INPUT!P3734-INPUT!Q3734)/INPUT!P3734),"")</f>
        <v/>
      </c>
    </row>
    <row r="3740" spans="1:12" ht="18" hidden="1" customHeight="1" x14ac:dyDescent="0.2">
      <c r="A3740" s="11" t="str">
        <f>IF(INPUT!M3735="","",INPUT!M3735)</f>
        <v/>
      </c>
      <c r="B3740" s="11" t="str">
        <f>IF(INPUT!M3735="","",INPUT!M3735-WEEKDAY(INPUT!M3735,2)+1)</f>
        <v/>
      </c>
      <c r="C3740" s="20">
        <f>IFERROR(_xlfn.ISOWEEKNUM(INPUT!M3735),"")</f>
        <v>52</v>
      </c>
      <c r="D3740" s="20">
        <f>IFERROR(YEAR(INPUT!M3735),"")</f>
        <v>1900</v>
      </c>
      <c r="E3740" t="str">
        <f>IF(INPUT!O3735="","",INPUT!O3735)</f>
        <v/>
      </c>
      <c r="F3740" t="str">
        <f>IF(INPUT!N3735="","",INPUT!N3735)</f>
        <v/>
      </c>
      <c r="G3740" cm="1">
        <f t="array" ref="G3740">IFERROR(VLOOKUP(INPUT!M3735&amp;INPUT!N3735,CHOOSE({1,2},INPUT!$A$3:$A$5000&amp;INPUT!$C$3:$C$5000,INPUT!$F$3:$F$5000),2,FALSE),"")</f>
        <v>0</v>
      </c>
      <c r="H3740" cm="1">
        <f t="array" ref="H3740">IFERROR(VLOOKUP(INPUT!M3735&amp;INPUT!N3735,CHOOSE({1,2},INPUT!$A$3:$A$5000&amp;INPUT!$C$3:$C$5000,INPUT!$D$3:$D$5000),2,FALSE),"")</f>
        <v>0</v>
      </c>
      <c r="I3740" s="46" t="str">
        <f>IF(INPUT!P3735="","",INPUT!P3735)</f>
        <v/>
      </c>
      <c r="J3740" s="46" t="str">
        <f>IF(INPUT!Q3735="","",INPUT!Q3735)</f>
        <v/>
      </c>
      <c r="K3740" s="46" t="str">
        <f>IFERROR(IF(OR(INPUT!P3735="",INPUT!Q3735=""),"",INPUT!P3735-INPUT!Q3735),"")</f>
        <v/>
      </c>
      <c r="L3740" s="48" t="str">
        <f>IFERROR(IF(OR(INPUT!P3735="",INPUT!Q3735="",INPUT!P3735=0),"",(INPUT!P3735-INPUT!Q3735)/INPUT!P3735),"")</f>
        <v/>
      </c>
    </row>
    <row r="3741" spans="1:12" ht="18" hidden="1" customHeight="1" x14ac:dyDescent="0.2">
      <c r="A3741" s="11" t="str">
        <f>IF(INPUT!M3736="","",INPUT!M3736)</f>
        <v/>
      </c>
      <c r="B3741" s="11" t="str">
        <f>IF(INPUT!M3736="","",INPUT!M3736-WEEKDAY(INPUT!M3736,2)+1)</f>
        <v/>
      </c>
      <c r="C3741" s="20">
        <f>IFERROR(_xlfn.ISOWEEKNUM(INPUT!M3736),"")</f>
        <v>52</v>
      </c>
      <c r="D3741" s="20">
        <f>IFERROR(YEAR(INPUT!M3736),"")</f>
        <v>1900</v>
      </c>
      <c r="E3741" t="str">
        <f>IF(INPUT!O3736="","",INPUT!O3736)</f>
        <v/>
      </c>
      <c r="F3741" t="str">
        <f>IF(INPUT!N3736="","",INPUT!N3736)</f>
        <v/>
      </c>
      <c r="G3741" cm="1">
        <f t="array" ref="G3741">IFERROR(VLOOKUP(INPUT!M3736&amp;INPUT!N3736,CHOOSE({1,2},INPUT!$A$3:$A$5000&amp;INPUT!$C$3:$C$5000,INPUT!$F$3:$F$5000),2,FALSE),"")</f>
        <v>0</v>
      </c>
      <c r="H3741" cm="1">
        <f t="array" ref="H3741">IFERROR(VLOOKUP(INPUT!M3736&amp;INPUT!N3736,CHOOSE({1,2},INPUT!$A$3:$A$5000&amp;INPUT!$C$3:$C$5000,INPUT!$D$3:$D$5000),2,FALSE),"")</f>
        <v>0</v>
      </c>
      <c r="I3741" s="46" t="str">
        <f>IF(INPUT!P3736="","",INPUT!P3736)</f>
        <v/>
      </c>
      <c r="J3741" s="46" t="str">
        <f>IF(INPUT!Q3736="","",INPUT!Q3736)</f>
        <v/>
      </c>
      <c r="K3741" s="46" t="str">
        <f>IFERROR(IF(OR(INPUT!P3736="",INPUT!Q3736=""),"",INPUT!P3736-INPUT!Q3736),"")</f>
        <v/>
      </c>
      <c r="L3741" s="48" t="str">
        <f>IFERROR(IF(OR(INPUT!P3736="",INPUT!Q3736="",INPUT!P3736=0),"",(INPUT!P3736-INPUT!Q3736)/INPUT!P3736),"")</f>
        <v/>
      </c>
    </row>
    <row r="3742" spans="1:12" ht="18" hidden="1" customHeight="1" x14ac:dyDescent="0.2">
      <c r="A3742" s="11" t="str">
        <f>IF(INPUT!M3737="","",INPUT!M3737)</f>
        <v/>
      </c>
      <c r="B3742" s="11" t="str">
        <f>IF(INPUT!M3737="","",INPUT!M3737-WEEKDAY(INPUT!M3737,2)+1)</f>
        <v/>
      </c>
      <c r="C3742" s="20">
        <f>IFERROR(_xlfn.ISOWEEKNUM(INPUT!M3737),"")</f>
        <v>52</v>
      </c>
      <c r="D3742" s="20">
        <f>IFERROR(YEAR(INPUT!M3737),"")</f>
        <v>1900</v>
      </c>
      <c r="E3742" t="str">
        <f>IF(INPUT!O3737="","",INPUT!O3737)</f>
        <v/>
      </c>
      <c r="F3742" t="str">
        <f>IF(INPUT!N3737="","",INPUT!N3737)</f>
        <v/>
      </c>
      <c r="G3742" cm="1">
        <f t="array" ref="G3742">IFERROR(VLOOKUP(INPUT!M3737&amp;INPUT!N3737,CHOOSE({1,2},INPUT!$A$3:$A$5000&amp;INPUT!$C$3:$C$5000,INPUT!$F$3:$F$5000),2,FALSE),"")</f>
        <v>0</v>
      </c>
      <c r="H3742" cm="1">
        <f t="array" ref="H3742">IFERROR(VLOOKUP(INPUT!M3737&amp;INPUT!N3737,CHOOSE({1,2},INPUT!$A$3:$A$5000&amp;INPUT!$C$3:$C$5000,INPUT!$D$3:$D$5000),2,FALSE),"")</f>
        <v>0</v>
      </c>
      <c r="I3742" s="46" t="str">
        <f>IF(INPUT!P3737="","",INPUT!P3737)</f>
        <v/>
      </c>
      <c r="J3742" s="46" t="str">
        <f>IF(INPUT!Q3737="","",INPUT!Q3737)</f>
        <v/>
      </c>
      <c r="K3742" s="46" t="str">
        <f>IFERROR(IF(OR(INPUT!P3737="",INPUT!Q3737=""),"",INPUT!P3737-INPUT!Q3737),"")</f>
        <v/>
      </c>
      <c r="L3742" s="48" t="str">
        <f>IFERROR(IF(OR(INPUT!P3737="",INPUT!Q3737="",INPUT!P3737=0),"",(INPUT!P3737-INPUT!Q3737)/INPUT!P3737),"")</f>
        <v/>
      </c>
    </row>
    <row r="3743" spans="1:12" ht="18" hidden="1" customHeight="1" x14ac:dyDescent="0.2">
      <c r="A3743" s="11" t="str">
        <f>IF(INPUT!M3738="","",INPUT!M3738)</f>
        <v/>
      </c>
      <c r="B3743" s="11" t="str">
        <f>IF(INPUT!M3738="","",INPUT!M3738-WEEKDAY(INPUT!M3738,2)+1)</f>
        <v/>
      </c>
      <c r="C3743" s="20">
        <f>IFERROR(_xlfn.ISOWEEKNUM(INPUT!M3738),"")</f>
        <v>52</v>
      </c>
      <c r="D3743" s="20">
        <f>IFERROR(YEAR(INPUT!M3738),"")</f>
        <v>1900</v>
      </c>
      <c r="E3743" t="str">
        <f>IF(INPUT!O3738="","",INPUT!O3738)</f>
        <v/>
      </c>
      <c r="F3743" t="str">
        <f>IF(INPUT!N3738="","",INPUT!N3738)</f>
        <v/>
      </c>
      <c r="G3743" cm="1">
        <f t="array" ref="G3743">IFERROR(VLOOKUP(INPUT!M3738&amp;INPUT!N3738,CHOOSE({1,2},INPUT!$A$3:$A$5000&amp;INPUT!$C$3:$C$5000,INPUT!$F$3:$F$5000),2,FALSE),"")</f>
        <v>0</v>
      </c>
      <c r="H3743" cm="1">
        <f t="array" ref="H3743">IFERROR(VLOOKUP(INPUT!M3738&amp;INPUT!N3738,CHOOSE({1,2},INPUT!$A$3:$A$5000&amp;INPUT!$C$3:$C$5000,INPUT!$D$3:$D$5000),2,FALSE),"")</f>
        <v>0</v>
      </c>
      <c r="I3743" s="46" t="str">
        <f>IF(INPUT!P3738="","",INPUT!P3738)</f>
        <v/>
      </c>
      <c r="J3743" s="46" t="str">
        <f>IF(INPUT!Q3738="","",INPUT!Q3738)</f>
        <v/>
      </c>
      <c r="K3743" s="46" t="str">
        <f>IFERROR(IF(OR(INPUT!P3738="",INPUT!Q3738=""),"",INPUT!P3738-INPUT!Q3738),"")</f>
        <v/>
      </c>
      <c r="L3743" s="48" t="str">
        <f>IFERROR(IF(OR(INPUT!P3738="",INPUT!Q3738="",INPUT!P3738=0),"",(INPUT!P3738-INPUT!Q3738)/INPUT!P3738),"")</f>
        <v/>
      </c>
    </row>
    <row r="3744" spans="1:12" ht="18" hidden="1" customHeight="1" x14ac:dyDescent="0.2">
      <c r="A3744" s="11" t="str">
        <f>IF(INPUT!M3739="","",INPUT!M3739)</f>
        <v/>
      </c>
      <c r="B3744" s="11" t="str">
        <f>IF(INPUT!M3739="","",INPUT!M3739-WEEKDAY(INPUT!M3739,2)+1)</f>
        <v/>
      </c>
      <c r="C3744" s="20">
        <f>IFERROR(_xlfn.ISOWEEKNUM(INPUT!M3739),"")</f>
        <v>52</v>
      </c>
      <c r="D3744" s="20">
        <f>IFERROR(YEAR(INPUT!M3739),"")</f>
        <v>1900</v>
      </c>
      <c r="E3744" t="str">
        <f>IF(INPUT!O3739="","",INPUT!O3739)</f>
        <v/>
      </c>
      <c r="F3744" t="str">
        <f>IF(INPUT!N3739="","",INPUT!N3739)</f>
        <v/>
      </c>
      <c r="G3744" cm="1">
        <f t="array" ref="G3744">IFERROR(VLOOKUP(INPUT!M3739&amp;INPUT!N3739,CHOOSE({1,2},INPUT!$A$3:$A$5000&amp;INPUT!$C$3:$C$5000,INPUT!$F$3:$F$5000),2,FALSE),"")</f>
        <v>0</v>
      </c>
      <c r="H3744" cm="1">
        <f t="array" ref="H3744">IFERROR(VLOOKUP(INPUT!M3739&amp;INPUT!N3739,CHOOSE({1,2},INPUT!$A$3:$A$5000&amp;INPUT!$C$3:$C$5000,INPUT!$D$3:$D$5000),2,FALSE),"")</f>
        <v>0</v>
      </c>
      <c r="I3744" s="46" t="str">
        <f>IF(INPUT!P3739="","",INPUT!P3739)</f>
        <v/>
      </c>
      <c r="J3744" s="46" t="str">
        <f>IF(INPUT!Q3739="","",INPUT!Q3739)</f>
        <v/>
      </c>
      <c r="K3744" s="46" t="str">
        <f>IFERROR(IF(OR(INPUT!P3739="",INPUT!Q3739=""),"",INPUT!P3739-INPUT!Q3739),"")</f>
        <v/>
      </c>
      <c r="L3744" s="48" t="str">
        <f>IFERROR(IF(OR(INPUT!P3739="",INPUT!Q3739="",INPUT!P3739=0),"",(INPUT!P3739-INPUT!Q3739)/INPUT!P3739),"")</f>
        <v/>
      </c>
    </row>
    <row r="3745" spans="1:12" ht="18" hidden="1" customHeight="1" x14ac:dyDescent="0.2">
      <c r="A3745" s="11" t="str">
        <f>IF(INPUT!M3740="","",INPUT!M3740)</f>
        <v/>
      </c>
      <c r="B3745" s="11" t="str">
        <f>IF(INPUT!M3740="","",INPUT!M3740-WEEKDAY(INPUT!M3740,2)+1)</f>
        <v/>
      </c>
      <c r="C3745" s="20">
        <f>IFERROR(_xlfn.ISOWEEKNUM(INPUT!M3740),"")</f>
        <v>52</v>
      </c>
      <c r="D3745" s="20">
        <f>IFERROR(YEAR(INPUT!M3740),"")</f>
        <v>1900</v>
      </c>
      <c r="E3745" t="str">
        <f>IF(INPUT!O3740="","",INPUT!O3740)</f>
        <v/>
      </c>
      <c r="F3745" t="str">
        <f>IF(INPUT!N3740="","",INPUT!N3740)</f>
        <v/>
      </c>
      <c r="G3745" cm="1">
        <f t="array" ref="G3745">IFERROR(VLOOKUP(INPUT!M3740&amp;INPUT!N3740,CHOOSE({1,2},INPUT!$A$3:$A$5000&amp;INPUT!$C$3:$C$5000,INPUT!$F$3:$F$5000),2,FALSE),"")</f>
        <v>0</v>
      </c>
      <c r="H3745" cm="1">
        <f t="array" ref="H3745">IFERROR(VLOOKUP(INPUT!M3740&amp;INPUT!N3740,CHOOSE({1,2},INPUT!$A$3:$A$5000&amp;INPUT!$C$3:$C$5000,INPUT!$D$3:$D$5000),2,FALSE),"")</f>
        <v>0</v>
      </c>
      <c r="I3745" s="46" t="str">
        <f>IF(INPUT!P3740="","",INPUT!P3740)</f>
        <v/>
      </c>
      <c r="J3745" s="46" t="str">
        <f>IF(INPUT!Q3740="","",INPUT!Q3740)</f>
        <v/>
      </c>
      <c r="K3745" s="46" t="str">
        <f>IFERROR(IF(OR(INPUT!P3740="",INPUT!Q3740=""),"",INPUT!P3740-INPUT!Q3740),"")</f>
        <v/>
      </c>
      <c r="L3745" s="48" t="str">
        <f>IFERROR(IF(OR(INPUT!P3740="",INPUT!Q3740="",INPUT!P3740=0),"",(INPUT!P3740-INPUT!Q3740)/INPUT!P3740),"")</f>
        <v/>
      </c>
    </row>
    <row r="3746" spans="1:12" ht="18" hidden="1" customHeight="1" x14ac:dyDescent="0.2">
      <c r="A3746" s="11" t="str">
        <f>IF(INPUT!M3741="","",INPUT!M3741)</f>
        <v/>
      </c>
      <c r="B3746" s="11" t="str">
        <f>IF(INPUT!M3741="","",INPUT!M3741-WEEKDAY(INPUT!M3741,2)+1)</f>
        <v/>
      </c>
      <c r="C3746" s="20">
        <f>IFERROR(_xlfn.ISOWEEKNUM(INPUT!M3741),"")</f>
        <v>52</v>
      </c>
      <c r="D3746" s="20">
        <f>IFERROR(YEAR(INPUT!M3741),"")</f>
        <v>1900</v>
      </c>
      <c r="E3746" t="str">
        <f>IF(INPUT!O3741="","",INPUT!O3741)</f>
        <v/>
      </c>
      <c r="F3746" t="str">
        <f>IF(INPUT!N3741="","",INPUT!N3741)</f>
        <v/>
      </c>
      <c r="G3746" cm="1">
        <f t="array" ref="G3746">IFERROR(VLOOKUP(INPUT!M3741&amp;INPUT!N3741,CHOOSE({1,2},INPUT!$A$3:$A$5000&amp;INPUT!$C$3:$C$5000,INPUT!$F$3:$F$5000),2,FALSE),"")</f>
        <v>0</v>
      </c>
      <c r="H3746" cm="1">
        <f t="array" ref="H3746">IFERROR(VLOOKUP(INPUT!M3741&amp;INPUT!N3741,CHOOSE({1,2},INPUT!$A$3:$A$5000&amp;INPUT!$C$3:$C$5000,INPUT!$D$3:$D$5000),2,FALSE),"")</f>
        <v>0</v>
      </c>
      <c r="I3746" s="46" t="str">
        <f>IF(INPUT!P3741="","",INPUT!P3741)</f>
        <v/>
      </c>
      <c r="J3746" s="46" t="str">
        <f>IF(INPUT!Q3741="","",INPUT!Q3741)</f>
        <v/>
      </c>
      <c r="K3746" s="46" t="str">
        <f>IFERROR(IF(OR(INPUT!P3741="",INPUT!Q3741=""),"",INPUT!P3741-INPUT!Q3741),"")</f>
        <v/>
      </c>
      <c r="L3746" s="48" t="str">
        <f>IFERROR(IF(OR(INPUT!P3741="",INPUT!Q3741="",INPUT!P3741=0),"",(INPUT!P3741-INPUT!Q3741)/INPUT!P3741),"")</f>
        <v/>
      </c>
    </row>
    <row r="3747" spans="1:12" ht="18" hidden="1" customHeight="1" x14ac:dyDescent="0.2">
      <c r="A3747" s="11" t="str">
        <f>IF(INPUT!M3742="","",INPUT!M3742)</f>
        <v/>
      </c>
      <c r="B3747" s="11" t="str">
        <f>IF(INPUT!M3742="","",INPUT!M3742-WEEKDAY(INPUT!M3742,2)+1)</f>
        <v/>
      </c>
      <c r="C3747" s="20">
        <f>IFERROR(_xlfn.ISOWEEKNUM(INPUT!M3742),"")</f>
        <v>52</v>
      </c>
      <c r="D3747" s="20">
        <f>IFERROR(YEAR(INPUT!M3742),"")</f>
        <v>1900</v>
      </c>
      <c r="E3747" t="str">
        <f>IF(INPUT!O3742="","",INPUT!O3742)</f>
        <v/>
      </c>
      <c r="F3747" t="str">
        <f>IF(INPUT!N3742="","",INPUT!N3742)</f>
        <v/>
      </c>
      <c r="G3747" cm="1">
        <f t="array" ref="G3747">IFERROR(VLOOKUP(INPUT!M3742&amp;INPUT!N3742,CHOOSE({1,2},INPUT!$A$3:$A$5000&amp;INPUT!$C$3:$C$5000,INPUT!$F$3:$F$5000),2,FALSE),"")</f>
        <v>0</v>
      </c>
      <c r="H3747" cm="1">
        <f t="array" ref="H3747">IFERROR(VLOOKUP(INPUT!M3742&amp;INPUT!N3742,CHOOSE({1,2},INPUT!$A$3:$A$5000&amp;INPUT!$C$3:$C$5000,INPUT!$D$3:$D$5000),2,FALSE),"")</f>
        <v>0</v>
      </c>
      <c r="I3747" s="46" t="str">
        <f>IF(INPUT!P3742="","",INPUT!P3742)</f>
        <v/>
      </c>
      <c r="J3747" s="46" t="str">
        <f>IF(INPUT!Q3742="","",INPUT!Q3742)</f>
        <v/>
      </c>
      <c r="K3747" s="46" t="str">
        <f>IFERROR(IF(OR(INPUT!P3742="",INPUT!Q3742=""),"",INPUT!P3742-INPUT!Q3742),"")</f>
        <v/>
      </c>
      <c r="L3747" s="48" t="str">
        <f>IFERROR(IF(OR(INPUT!P3742="",INPUT!Q3742="",INPUT!P3742=0),"",(INPUT!P3742-INPUT!Q3742)/INPUT!P3742),"")</f>
        <v/>
      </c>
    </row>
    <row r="3748" spans="1:12" ht="18" hidden="1" customHeight="1" x14ac:dyDescent="0.2">
      <c r="A3748" s="11" t="str">
        <f>IF(INPUT!M3743="","",INPUT!M3743)</f>
        <v/>
      </c>
      <c r="B3748" s="11" t="str">
        <f>IF(INPUT!M3743="","",INPUT!M3743-WEEKDAY(INPUT!M3743,2)+1)</f>
        <v/>
      </c>
      <c r="C3748" s="20">
        <f>IFERROR(_xlfn.ISOWEEKNUM(INPUT!M3743),"")</f>
        <v>52</v>
      </c>
      <c r="D3748" s="20">
        <f>IFERROR(YEAR(INPUT!M3743),"")</f>
        <v>1900</v>
      </c>
      <c r="E3748" t="str">
        <f>IF(INPUT!O3743="","",INPUT!O3743)</f>
        <v/>
      </c>
      <c r="F3748" t="str">
        <f>IF(INPUT!N3743="","",INPUT!N3743)</f>
        <v/>
      </c>
      <c r="G3748" cm="1">
        <f t="array" ref="G3748">IFERROR(VLOOKUP(INPUT!M3743&amp;INPUT!N3743,CHOOSE({1,2},INPUT!$A$3:$A$5000&amp;INPUT!$C$3:$C$5000,INPUT!$F$3:$F$5000),2,FALSE),"")</f>
        <v>0</v>
      </c>
      <c r="H3748" cm="1">
        <f t="array" ref="H3748">IFERROR(VLOOKUP(INPUT!M3743&amp;INPUT!N3743,CHOOSE({1,2},INPUT!$A$3:$A$5000&amp;INPUT!$C$3:$C$5000,INPUT!$D$3:$D$5000),2,FALSE),"")</f>
        <v>0</v>
      </c>
      <c r="I3748" s="46" t="str">
        <f>IF(INPUT!P3743="","",INPUT!P3743)</f>
        <v/>
      </c>
      <c r="J3748" s="46" t="str">
        <f>IF(INPUT!Q3743="","",INPUT!Q3743)</f>
        <v/>
      </c>
      <c r="K3748" s="46" t="str">
        <f>IFERROR(IF(OR(INPUT!P3743="",INPUT!Q3743=""),"",INPUT!P3743-INPUT!Q3743),"")</f>
        <v/>
      </c>
      <c r="L3748" s="48" t="str">
        <f>IFERROR(IF(OR(INPUT!P3743="",INPUT!Q3743="",INPUT!P3743=0),"",(INPUT!P3743-INPUT!Q3743)/INPUT!P3743),"")</f>
        <v/>
      </c>
    </row>
    <row r="3749" spans="1:12" ht="18" hidden="1" customHeight="1" x14ac:dyDescent="0.2">
      <c r="A3749" s="11" t="str">
        <f>IF(INPUT!M3744="","",INPUT!M3744)</f>
        <v/>
      </c>
      <c r="B3749" s="11" t="str">
        <f>IF(INPUT!M3744="","",INPUT!M3744-WEEKDAY(INPUT!M3744,2)+1)</f>
        <v/>
      </c>
      <c r="C3749" s="20">
        <f>IFERROR(_xlfn.ISOWEEKNUM(INPUT!M3744),"")</f>
        <v>52</v>
      </c>
      <c r="D3749" s="20">
        <f>IFERROR(YEAR(INPUT!M3744),"")</f>
        <v>1900</v>
      </c>
      <c r="E3749" t="str">
        <f>IF(INPUT!O3744="","",INPUT!O3744)</f>
        <v/>
      </c>
      <c r="F3749" t="str">
        <f>IF(INPUT!N3744="","",INPUT!N3744)</f>
        <v/>
      </c>
      <c r="G3749" cm="1">
        <f t="array" ref="G3749">IFERROR(VLOOKUP(INPUT!M3744&amp;INPUT!N3744,CHOOSE({1,2},INPUT!$A$3:$A$5000&amp;INPUT!$C$3:$C$5000,INPUT!$F$3:$F$5000),2,FALSE),"")</f>
        <v>0</v>
      </c>
      <c r="H3749" cm="1">
        <f t="array" ref="H3749">IFERROR(VLOOKUP(INPUT!M3744&amp;INPUT!N3744,CHOOSE({1,2},INPUT!$A$3:$A$5000&amp;INPUT!$C$3:$C$5000,INPUT!$D$3:$D$5000),2,FALSE),"")</f>
        <v>0</v>
      </c>
      <c r="I3749" s="46" t="str">
        <f>IF(INPUT!P3744="","",INPUT!P3744)</f>
        <v/>
      </c>
      <c r="J3749" s="46" t="str">
        <f>IF(INPUT!Q3744="","",INPUT!Q3744)</f>
        <v/>
      </c>
      <c r="K3749" s="46" t="str">
        <f>IFERROR(IF(OR(INPUT!P3744="",INPUT!Q3744=""),"",INPUT!P3744-INPUT!Q3744),"")</f>
        <v/>
      </c>
      <c r="L3749" s="48" t="str">
        <f>IFERROR(IF(OR(INPUT!P3744="",INPUT!Q3744="",INPUT!P3744=0),"",(INPUT!P3744-INPUT!Q3744)/INPUT!P3744),"")</f>
        <v/>
      </c>
    </row>
    <row r="3750" spans="1:12" ht="18" hidden="1" customHeight="1" x14ac:dyDescent="0.2">
      <c r="A3750" s="11" t="str">
        <f>IF(INPUT!M3745="","",INPUT!M3745)</f>
        <v/>
      </c>
      <c r="B3750" s="11" t="str">
        <f>IF(INPUT!M3745="","",INPUT!M3745-WEEKDAY(INPUT!M3745,2)+1)</f>
        <v/>
      </c>
      <c r="C3750" s="20">
        <f>IFERROR(_xlfn.ISOWEEKNUM(INPUT!M3745),"")</f>
        <v>52</v>
      </c>
      <c r="D3750" s="20">
        <f>IFERROR(YEAR(INPUT!M3745),"")</f>
        <v>1900</v>
      </c>
      <c r="E3750" t="str">
        <f>IF(INPUT!O3745="","",INPUT!O3745)</f>
        <v/>
      </c>
      <c r="F3750" t="str">
        <f>IF(INPUT!N3745="","",INPUT!N3745)</f>
        <v/>
      </c>
      <c r="G3750" cm="1">
        <f t="array" ref="G3750">IFERROR(VLOOKUP(INPUT!M3745&amp;INPUT!N3745,CHOOSE({1,2},INPUT!$A$3:$A$5000&amp;INPUT!$C$3:$C$5000,INPUT!$F$3:$F$5000),2,FALSE),"")</f>
        <v>0</v>
      </c>
      <c r="H3750" cm="1">
        <f t="array" ref="H3750">IFERROR(VLOOKUP(INPUT!M3745&amp;INPUT!N3745,CHOOSE({1,2},INPUT!$A$3:$A$5000&amp;INPUT!$C$3:$C$5000,INPUT!$D$3:$D$5000),2,FALSE),"")</f>
        <v>0</v>
      </c>
      <c r="I3750" s="46" t="str">
        <f>IF(INPUT!P3745="","",INPUT!P3745)</f>
        <v/>
      </c>
      <c r="J3750" s="46" t="str">
        <f>IF(INPUT!Q3745="","",INPUT!Q3745)</f>
        <v/>
      </c>
      <c r="K3750" s="46" t="str">
        <f>IFERROR(IF(OR(INPUT!P3745="",INPUT!Q3745=""),"",INPUT!P3745-INPUT!Q3745),"")</f>
        <v/>
      </c>
      <c r="L3750" s="48" t="str">
        <f>IFERROR(IF(OR(INPUT!P3745="",INPUT!Q3745="",INPUT!P3745=0),"",(INPUT!P3745-INPUT!Q3745)/INPUT!P3745),"")</f>
        <v/>
      </c>
    </row>
    <row r="3751" spans="1:12" ht="18" hidden="1" customHeight="1" x14ac:dyDescent="0.2">
      <c r="A3751" s="11" t="str">
        <f>IF(INPUT!M3746="","",INPUT!M3746)</f>
        <v/>
      </c>
      <c r="B3751" s="11" t="str">
        <f>IF(INPUT!M3746="","",INPUT!M3746-WEEKDAY(INPUT!M3746,2)+1)</f>
        <v/>
      </c>
      <c r="C3751" s="20">
        <f>IFERROR(_xlfn.ISOWEEKNUM(INPUT!M3746),"")</f>
        <v>52</v>
      </c>
      <c r="D3751" s="20">
        <f>IFERROR(YEAR(INPUT!M3746),"")</f>
        <v>1900</v>
      </c>
      <c r="E3751" t="str">
        <f>IF(INPUT!O3746="","",INPUT!O3746)</f>
        <v/>
      </c>
      <c r="F3751" t="str">
        <f>IF(INPUT!N3746="","",INPUT!N3746)</f>
        <v/>
      </c>
      <c r="G3751" cm="1">
        <f t="array" ref="G3751">IFERROR(VLOOKUP(INPUT!M3746&amp;INPUT!N3746,CHOOSE({1,2},INPUT!$A$3:$A$5000&amp;INPUT!$C$3:$C$5000,INPUT!$F$3:$F$5000),2,FALSE),"")</f>
        <v>0</v>
      </c>
      <c r="H3751" cm="1">
        <f t="array" ref="H3751">IFERROR(VLOOKUP(INPUT!M3746&amp;INPUT!N3746,CHOOSE({1,2},INPUT!$A$3:$A$5000&amp;INPUT!$C$3:$C$5000,INPUT!$D$3:$D$5000),2,FALSE),"")</f>
        <v>0</v>
      </c>
      <c r="I3751" s="46" t="str">
        <f>IF(INPUT!P3746="","",INPUT!P3746)</f>
        <v/>
      </c>
      <c r="J3751" s="46" t="str">
        <f>IF(INPUT!Q3746="","",INPUT!Q3746)</f>
        <v/>
      </c>
      <c r="K3751" s="46" t="str">
        <f>IFERROR(IF(OR(INPUT!P3746="",INPUT!Q3746=""),"",INPUT!P3746-INPUT!Q3746),"")</f>
        <v/>
      </c>
      <c r="L3751" s="48" t="str">
        <f>IFERROR(IF(OR(INPUT!P3746="",INPUT!Q3746="",INPUT!P3746=0),"",(INPUT!P3746-INPUT!Q3746)/INPUT!P3746),"")</f>
        <v/>
      </c>
    </row>
    <row r="3752" spans="1:12" ht="18" hidden="1" customHeight="1" x14ac:dyDescent="0.2">
      <c r="A3752" s="11" t="str">
        <f>IF(INPUT!M3747="","",INPUT!M3747)</f>
        <v/>
      </c>
      <c r="B3752" s="11" t="str">
        <f>IF(INPUT!M3747="","",INPUT!M3747-WEEKDAY(INPUT!M3747,2)+1)</f>
        <v/>
      </c>
      <c r="C3752" s="20">
        <f>IFERROR(_xlfn.ISOWEEKNUM(INPUT!M3747),"")</f>
        <v>52</v>
      </c>
      <c r="D3752" s="20">
        <f>IFERROR(YEAR(INPUT!M3747),"")</f>
        <v>1900</v>
      </c>
      <c r="E3752" t="str">
        <f>IF(INPUT!O3747="","",INPUT!O3747)</f>
        <v/>
      </c>
      <c r="F3752" t="str">
        <f>IF(INPUT!N3747="","",INPUT!N3747)</f>
        <v/>
      </c>
      <c r="G3752" cm="1">
        <f t="array" ref="G3752">IFERROR(VLOOKUP(INPUT!M3747&amp;INPUT!N3747,CHOOSE({1,2},INPUT!$A$3:$A$5000&amp;INPUT!$C$3:$C$5000,INPUT!$F$3:$F$5000),2,FALSE),"")</f>
        <v>0</v>
      </c>
      <c r="H3752" cm="1">
        <f t="array" ref="H3752">IFERROR(VLOOKUP(INPUT!M3747&amp;INPUT!N3747,CHOOSE({1,2},INPUT!$A$3:$A$5000&amp;INPUT!$C$3:$C$5000,INPUT!$D$3:$D$5000),2,FALSE),"")</f>
        <v>0</v>
      </c>
      <c r="I3752" s="46" t="str">
        <f>IF(INPUT!P3747="","",INPUT!P3747)</f>
        <v/>
      </c>
      <c r="J3752" s="46" t="str">
        <f>IF(INPUT!Q3747="","",INPUT!Q3747)</f>
        <v/>
      </c>
      <c r="K3752" s="46" t="str">
        <f>IFERROR(IF(OR(INPUT!P3747="",INPUT!Q3747=""),"",INPUT!P3747-INPUT!Q3747),"")</f>
        <v/>
      </c>
      <c r="L3752" s="48" t="str">
        <f>IFERROR(IF(OR(INPUT!P3747="",INPUT!Q3747="",INPUT!P3747=0),"",(INPUT!P3747-INPUT!Q3747)/INPUT!P3747),"")</f>
        <v/>
      </c>
    </row>
    <row r="3753" spans="1:12" ht="18" hidden="1" customHeight="1" x14ac:dyDescent="0.2">
      <c r="A3753" s="11" t="str">
        <f>IF(INPUT!M3748="","",INPUT!M3748)</f>
        <v/>
      </c>
      <c r="B3753" s="11" t="str">
        <f>IF(INPUT!M3748="","",INPUT!M3748-WEEKDAY(INPUT!M3748,2)+1)</f>
        <v/>
      </c>
      <c r="C3753" s="20">
        <f>IFERROR(_xlfn.ISOWEEKNUM(INPUT!M3748),"")</f>
        <v>52</v>
      </c>
      <c r="D3753" s="20">
        <f>IFERROR(YEAR(INPUT!M3748),"")</f>
        <v>1900</v>
      </c>
      <c r="E3753" t="str">
        <f>IF(INPUT!O3748="","",INPUT!O3748)</f>
        <v/>
      </c>
      <c r="F3753" t="str">
        <f>IF(INPUT!N3748="","",INPUT!N3748)</f>
        <v/>
      </c>
      <c r="G3753" cm="1">
        <f t="array" ref="G3753">IFERROR(VLOOKUP(INPUT!M3748&amp;INPUT!N3748,CHOOSE({1,2},INPUT!$A$3:$A$5000&amp;INPUT!$C$3:$C$5000,INPUT!$F$3:$F$5000),2,FALSE),"")</f>
        <v>0</v>
      </c>
      <c r="H3753" cm="1">
        <f t="array" ref="H3753">IFERROR(VLOOKUP(INPUT!M3748&amp;INPUT!N3748,CHOOSE({1,2},INPUT!$A$3:$A$5000&amp;INPUT!$C$3:$C$5000,INPUT!$D$3:$D$5000),2,FALSE),"")</f>
        <v>0</v>
      </c>
      <c r="I3753" s="46" t="str">
        <f>IF(INPUT!P3748="","",INPUT!P3748)</f>
        <v/>
      </c>
      <c r="J3753" s="46" t="str">
        <f>IF(INPUT!Q3748="","",INPUT!Q3748)</f>
        <v/>
      </c>
      <c r="K3753" s="46" t="str">
        <f>IFERROR(IF(OR(INPUT!P3748="",INPUT!Q3748=""),"",INPUT!P3748-INPUT!Q3748),"")</f>
        <v/>
      </c>
      <c r="L3753" s="48" t="str">
        <f>IFERROR(IF(OR(INPUT!P3748="",INPUT!Q3748="",INPUT!P3748=0),"",(INPUT!P3748-INPUT!Q3748)/INPUT!P3748),"")</f>
        <v/>
      </c>
    </row>
    <row r="3754" spans="1:12" ht="18" hidden="1" customHeight="1" x14ac:dyDescent="0.2">
      <c r="A3754" s="11" t="str">
        <f>IF(INPUT!M3749="","",INPUT!M3749)</f>
        <v/>
      </c>
      <c r="B3754" s="11" t="str">
        <f>IF(INPUT!M3749="","",INPUT!M3749-WEEKDAY(INPUT!M3749,2)+1)</f>
        <v/>
      </c>
      <c r="C3754" s="20">
        <f>IFERROR(_xlfn.ISOWEEKNUM(INPUT!M3749),"")</f>
        <v>52</v>
      </c>
      <c r="D3754" s="20">
        <f>IFERROR(YEAR(INPUT!M3749),"")</f>
        <v>1900</v>
      </c>
      <c r="E3754" t="str">
        <f>IF(INPUT!O3749="","",INPUT!O3749)</f>
        <v/>
      </c>
      <c r="F3754" t="str">
        <f>IF(INPUT!N3749="","",INPUT!N3749)</f>
        <v/>
      </c>
      <c r="G3754" cm="1">
        <f t="array" ref="G3754">IFERROR(VLOOKUP(INPUT!M3749&amp;INPUT!N3749,CHOOSE({1,2},INPUT!$A$3:$A$5000&amp;INPUT!$C$3:$C$5000,INPUT!$F$3:$F$5000),2,FALSE),"")</f>
        <v>0</v>
      </c>
      <c r="H3754" cm="1">
        <f t="array" ref="H3754">IFERROR(VLOOKUP(INPUT!M3749&amp;INPUT!N3749,CHOOSE({1,2},INPUT!$A$3:$A$5000&amp;INPUT!$C$3:$C$5000,INPUT!$D$3:$D$5000),2,FALSE),"")</f>
        <v>0</v>
      </c>
      <c r="I3754" s="46" t="str">
        <f>IF(INPUT!P3749="","",INPUT!P3749)</f>
        <v/>
      </c>
      <c r="J3754" s="46" t="str">
        <f>IF(INPUT!Q3749="","",INPUT!Q3749)</f>
        <v/>
      </c>
      <c r="K3754" s="46" t="str">
        <f>IFERROR(IF(OR(INPUT!P3749="",INPUT!Q3749=""),"",INPUT!P3749-INPUT!Q3749),"")</f>
        <v/>
      </c>
      <c r="L3754" s="48" t="str">
        <f>IFERROR(IF(OR(INPUT!P3749="",INPUT!Q3749="",INPUT!P3749=0),"",(INPUT!P3749-INPUT!Q3749)/INPUT!P3749),"")</f>
        <v/>
      </c>
    </row>
    <row r="3755" spans="1:12" ht="18" hidden="1" customHeight="1" x14ac:dyDescent="0.2">
      <c r="A3755" s="11" t="str">
        <f>IF(INPUT!M3750="","",INPUT!M3750)</f>
        <v/>
      </c>
      <c r="B3755" s="11" t="str">
        <f>IF(INPUT!M3750="","",INPUT!M3750-WEEKDAY(INPUT!M3750,2)+1)</f>
        <v/>
      </c>
      <c r="C3755" s="20">
        <f>IFERROR(_xlfn.ISOWEEKNUM(INPUT!M3750),"")</f>
        <v>52</v>
      </c>
      <c r="D3755" s="20">
        <f>IFERROR(YEAR(INPUT!M3750),"")</f>
        <v>1900</v>
      </c>
      <c r="E3755" t="str">
        <f>IF(INPUT!O3750="","",INPUT!O3750)</f>
        <v/>
      </c>
      <c r="F3755" t="str">
        <f>IF(INPUT!N3750="","",INPUT!N3750)</f>
        <v/>
      </c>
      <c r="G3755" cm="1">
        <f t="array" ref="G3755">IFERROR(VLOOKUP(INPUT!M3750&amp;INPUT!N3750,CHOOSE({1,2},INPUT!$A$3:$A$5000&amp;INPUT!$C$3:$C$5000,INPUT!$F$3:$F$5000),2,FALSE),"")</f>
        <v>0</v>
      </c>
      <c r="H3755" cm="1">
        <f t="array" ref="H3755">IFERROR(VLOOKUP(INPUT!M3750&amp;INPUT!N3750,CHOOSE({1,2},INPUT!$A$3:$A$5000&amp;INPUT!$C$3:$C$5000,INPUT!$D$3:$D$5000),2,FALSE),"")</f>
        <v>0</v>
      </c>
      <c r="I3755" s="46" t="str">
        <f>IF(INPUT!P3750="","",INPUT!P3750)</f>
        <v/>
      </c>
      <c r="J3755" s="46" t="str">
        <f>IF(INPUT!Q3750="","",INPUT!Q3750)</f>
        <v/>
      </c>
      <c r="K3755" s="46" t="str">
        <f>IFERROR(IF(OR(INPUT!P3750="",INPUT!Q3750=""),"",INPUT!P3750-INPUT!Q3750),"")</f>
        <v/>
      </c>
      <c r="L3755" s="48" t="str">
        <f>IFERROR(IF(OR(INPUT!P3750="",INPUT!Q3750="",INPUT!P3750=0),"",(INPUT!P3750-INPUT!Q3750)/INPUT!P3750),"")</f>
        <v/>
      </c>
    </row>
    <row r="3756" spans="1:12" ht="18" hidden="1" customHeight="1" x14ac:dyDescent="0.2">
      <c r="A3756" s="11" t="str">
        <f>IF(INPUT!M3751="","",INPUT!M3751)</f>
        <v/>
      </c>
      <c r="B3756" s="11" t="str">
        <f>IF(INPUT!M3751="","",INPUT!M3751-WEEKDAY(INPUT!M3751,2)+1)</f>
        <v/>
      </c>
      <c r="C3756" s="20">
        <f>IFERROR(_xlfn.ISOWEEKNUM(INPUT!M3751),"")</f>
        <v>52</v>
      </c>
      <c r="D3756" s="20">
        <f>IFERROR(YEAR(INPUT!M3751),"")</f>
        <v>1900</v>
      </c>
      <c r="E3756" t="str">
        <f>IF(INPUT!O3751="","",INPUT!O3751)</f>
        <v/>
      </c>
      <c r="F3756" t="str">
        <f>IF(INPUT!N3751="","",INPUT!N3751)</f>
        <v/>
      </c>
      <c r="G3756" cm="1">
        <f t="array" ref="G3756">IFERROR(VLOOKUP(INPUT!M3751&amp;INPUT!N3751,CHOOSE({1,2},INPUT!$A$3:$A$5000&amp;INPUT!$C$3:$C$5000,INPUT!$F$3:$F$5000),2,FALSE),"")</f>
        <v>0</v>
      </c>
      <c r="H3756" cm="1">
        <f t="array" ref="H3756">IFERROR(VLOOKUP(INPUT!M3751&amp;INPUT!N3751,CHOOSE({1,2},INPUT!$A$3:$A$5000&amp;INPUT!$C$3:$C$5000,INPUT!$D$3:$D$5000),2,FALSE),"")</f>
        <v>0</v>
      </c>
      <c r="I3756" s="46" t="str">
        <f>IF(INPUT!P3751="","",INPUT!P3751)</f>
        <v/>
      </c>
      <c r="J3756" s="46" t="str">
        <f>IF(INPUT!Q3751="","",INPUT!Q3751)</f>
        <v/>
      </c>
      <c r="K3756" s="46" t="str">
        <f>IFERROR(IF(OR(INPUT!P3751="",INPUT!Q3751=""),"",INPUT!P3751-INPUT!Q3751),"")</f>
        <v/>
      </c>
      <c r="L3756" s="48" t="str">
        <f>IFERROR(IF(OR(INPUT!P3751="",INPUT!Q3751="",INPUT!P3751=0),"",(INPUT!P3751-INPUT!Q3751)/INPUT!P3751),"")</f>
        <v/>
      </c>
    </row>
    <row r="3757" spans="1:12" ht="18" hidden="1" customHeight="1" x14ac:dyDescent="0.2">
      <c r="A3757" s="11" t="str">
        <f>IF(INPUT!M3752="","",INPUT!M3752)</f>
        <v/>
      </c>
      <c r="B3757" s="11" t="str">
        <f>IF(INPUT!M3752="","",INPUT!M3752-WEEKDAY(INPUT!M3752,2)+1)</f>
        <v/>
      </c>
      <c r="C3757" s="20">
        <f>IFERROR(_xlfn.ISOWEEKNUM(INPUT!M3752),"")</f>
        <v>52</v>
      </c>
      <c r="D3757" s="20">
        <f>IFERROR(YEAR(INPUT!M3752),"")</f>
        <v>1900</v>
      </c>
      <c r="E3757" t="str">
        <f>IF(INPUT!O3752="","",INPUT!O3752)</f>
        <v/>
      </c>
      <c r="F3757" t="str">
        <f>IF(INPUT!N3752="","",INPUT!N3752)</f>
        <v/>
      </c>
      <c r="G3757" cm="1">
        <f t="array" ref="G3757">IFERROR(VLOOKUP(INPUT!M3752&amp;INPUT!N3752,CHOOSE({1,2},INPUT!$A$3:$A$5000&amp;INPUT!$C$3:$C$5000,INPUT!$F$3:$F$5000),2,FALSE),"")</f>
        <v>0</v>
      </c>
      <c r="H3757" cm="1">
        <f t="array" ref="H3757">IFERROR(VLOOKUP(INPUT!M3752&amp;INPUT!N3752,CHOOSE({1,2},INPUT!$A$3:$A$5000&amp;INPUT!$C$3:$C$5000,INPUT!$D$3:$D$5000),2,FALSE),"")</f>
        <v>0</v>
      </c>
      <c r="I3757" s="46" t="str">
        <f>IF(INPUT!P3752="","",INPUT!P3752)</f>
        <v/>
      </c>
      <c r="J3757" s="46" t="str">
        <f>IF(INPUT!Q3752="","",INPUT!Q3752)</f>
        <v/>
      </c>
      <c r="K3757" s="46" t="str">
        <f>IFERROR(IF(OR(INPUT!P3752="",INPUT!Q3752=""),"",INPUT!P3752-INPUT!Q3752),"")</f>
        <v/>
      </c>
      <c r="L3757" s="48" t="str">
        <f>IFERROR(IF(OR(INPUT!P3752="",INPUT!Q3752="",INPUT!P3752=0),"",(INPUT!P3752-INPUT!Q3752)/INPUT!P3752),"")</f>
        <v/>
      </c>
    </row>
    <row r="3758" spans="1:12" ht="18" hidden="1" customHeight="1" x14ac:dyDescent="0.2">
      <c r="A3758" s="11" t="str">
        <f>IF(INPUT!M3753="","",INPUT!M3753)</f>
        <v/>
      </c>
      <c r="B3758" s="11" t="str">
        <f>IF(INPUT!M3753="","",INPUT!M3753-WEEKDAY(INPUT!M3753,2)+1)</f>
        <v/>
      </c>
      <c r="C3758" s="20">
        <f>IFERROR(_xlfn.ISOWEEKNUM(INPUT!M3753),"")</f>
        <v>52</v>
      </c>
      <c r="D3758" s="20">
        <f>IFERROR(YEAR(INPUT!M3753),"")</f>
        <v>1900</v>
      </c>
      <c r="E3758" t="str">
        <f>IF(INPUT!O3753="","",INPUT!O3753)</f>
        <v/>
      </c>
      <c r="F3758" t="str">
        <f>IF(INPUT!N3753="","",INPUT!N3753)</f>
        <v/>
      </c>
      <c r="G3758" cm="1">
        <f t="array" ref="G3758">IFERROR(VLOOKUP(INPUT!M3753&amp;INPUT!N3753,CHOOSE({1,2},INPUT!$A$3:$A$5000&amp;INPUT!$C$3:$C$5000,INPUT!$F$3:$F$5000),2,FALSE),"")</f>
        <v>0</v>
      </c>
      <c r="H3758" cm="1">
        <f t="array" ref="H3758">IFERROR(VLOOKUP(INPUT!M3753&amp;INPUT!N3753,CHOOSE({1,2},INPUT!$A$3:$A$5000&amp;INPUT!$C$3:$C$5000,INPUT!$D$3:$D$5000),2,FALSE),"")</f>
        <v>0</v>
      </c>
      <c r="I3758" s="46" t="str">
        <f>IF(INPUT!P3753="","",INPUT!P3753)</f>
        <v/>
      </c>
      <c r="J3758" s="46" t="str">
        <f>IF(INPUT!Q3753="","",INPUT!Q3753)</f>
        <v/>
      </c>
      <c r="K3758" s="46" t="str">
        <f>IFERROR(IF(OR(INPUT!P3753="",INPUT!Q3753=""),"",INPUT!P3753-INPUT!Q3753),"")</f>
        <v/>
      </c>
      <c r="L3758" s="48" t="str">
        <f>IFERROR(IF(OR(INPUT!P3753="",INPUT!Q3753="",INPUT!P3753=0),"",(INPUT!P3753-INPUT!Q3753)/INPUT!P3753),"")</f>
        <v/>
      </c>
    </row>
    <row r="3759" spans="1:12" ht="18" hidden="1" customHeight="1" x14ac:dyDescent="0.2">
      <c r="A3759" s="11" t="str">
        <f>IF(INPUT!M3754="","",INPUT!M3754)</f>
        <v/>
      </c>
      <c r="B3759" s="11" t="str">
        <f>IF(INPUT!M3754="","",INPUT!M3754-WEEKDAY(INPUT!M3754,2)+1)</f>
        <v/>
      </c>
      <c r="C3759" s="20">
        <f>IFERROR(_xlfn.ISOWEEKNUM(INPUT!M3754),"")</f>
        <v>52</v>
      </c>
      <c r="D3759" s="20">
        <f>IFERROR(YEAR(INPUT!M3754),"")</f>
        <v>1900</v>
      </c>
      <c r="E3759" t="str">
        <f>IF(INPUT!O3754="","",INPUT!O3754)</f>
        <v/>
      </c>
      <c r="F3759" t="str">
        <f>IF(INPUT!N3754="","",INPUT!N3754)</f>
        <v/>
      </c>
      <c r="G3759" cm="1">
        <f t="array" ref="G3759">IFERROR(VLOOKUP(INPUT!M3754&amp;INPUT!N3754,CHOOSE({1,2},INPUT!$A$3:$A$5000&amp;INPUT!$C$3:$C$5000,INPUT!$F$3:$F$5000),2,FALSE),"")</f>
        <v>0</v>
      </c>
      <c r="H3759" cm="1">
        <f t="array" ref="H3759">IFERROR(VLOOKUP(INPUT!M3754&amp;INPUT!N3754,CHOOSE({1,2},INPUT!$A$3:$A$5000&amp;INPUT!$C$3:$C$5000,INPUT!$D$3:$D$5000),2,FALSE),"")</f>
        <v>0</v>
      </c>
      <c r="I3759" s="46" t="str">
        <f>IF(INPUT!P3754="","",INPUT!P3754)</f>
        <v/>
      </c>
      <c r="J3759" s="46" t="str">
        <f>IF(INPUT!Q3754="","",INPUT!Q3754)</f>
        <v/>
      </c>
      <c r="K3759" s="46" t="str">
        <f>IFERROR(IF(OR(INPUT!P3754="",INPUT!Q3754=""),"",INPUT!P3754-INPUT!Q3754),"")</f>
        <v/>
      </c>
      <c r="L3759" s="48" t="str">
        <f>IFERROR(IF(OR(INPUT!P3754="",INPUT!Q3754="",INPUT!P3754=0),"",(INPUT!P3754-INPUT!Q3754)/INPUT!P3754),"")</f>
        <v/>
      </c>
    </row>
    <row r="3760" spans="1:12" ht="18" hidden="1" customHeight="1" x14ac:dyDescent="0.2">
      <c r="A3760" s="11" t="str">
        <f>IF(INPUT!M3755="","",INPUT!M3755)</f>
        <v/>
      </c>
      <c r="B3760" s="11" t="str">
        <f>IF(INPUT!M3755="","",INPUT!M3755-WEEKDAY(INPUT!M3755,2)+1)</f>
        <v/>
      </c>
      <c r="C3760" s="20">
        <f>IFERROR(_xlfn.ISOWEEKNUM(INPUT!M3755),"")</f>
        <v>52</v>
      </c>
      <c r="D3760" s="20">
        <f>IFERROR(YEAR(INPUT!M3755),"")</f>
        <v>1900</v>
      </c>
      <c r="E3760" t="str">
        <f>IF(INPUT!O3755="","",INPUT!O3755)</f>
        <v/>
      </c>
      <c r="F3760" t="str">
        <f>IF(INPUT!N3755="","",INPUT!N3755)</f>
        <v/>
      </c>
      <c r="G3760" cm="1">
        <f t="array" ref="G3760">IFERROR(VLOOKUP(INPUT!M3755&amp;INPUT!N3755,CHOOSE({1,2},INPUT!$A$3:$A$5000&amp;INPUT!$C$3:$C$5000,INPUT!$F$3:$F$5000),2,FALSE),"")</f>
        <v>0</v>
      </c>
      <c r="H3760" cm="1">
        <f t="array" ref="H3760">IFERROR(VLOOKUP(INPUT!M3755&amp;INPUT!N3755,CHOOSE({1,2},INPUT!$A$3:$A$5000&amp;INPUT!$C$3:$C$5000,INPUT!$D$3:$D$5000),2,FALSE),"")</f>
        <v>0</v>
      </c>
      <c r="I3760" s="46" t="str">
        <f>IF(INPUT!P3755="","",INPUT!P3755)</f>
        <v/>
      </c>
      <c r="J3760" s="46" t="str">
        <f>IF(INPUT!Q3755="","",INPUT!Q3755)</f>
        <v/>
      </c>
      <c r="K3760" s="46" t="str">
        <f>IFERROR(IF(OR(INPUT!P3755="",INPUT!Q3755=""),"",INPUT!P3755-INPUT!Q3755),"")</f>
        <v/>
      </c>
      <c r="L3760" s="48" t="str">
        <f>IFERROR(IF(OR(INPUT!P3755="",INPUT!Q3755="",INPUT!P3755=0),"",(INPUT!P3755-INPUT!Q3755)/INPUT!P3755),"")</f>
        <v/>
      </c>
    </row>
    <row r="3761" spans="1:12" ht="18" hidden="1" customHeight="1" x14ac:dyDescent="0.2">
      <c r="A3761" s="11" t="str">
        <f>IF(INPUT!M3756="","",INPUT!M3756)</f>
        <v/>
      </c>
      <c r="B3761" s="11" t="str">
        <f>IF(INPUT!M3756="","",INPUT!M3756-WEEKDAY(INPUT!M3756,2)+1)</f>
        <v/>
      </c>
      <c r="C3761" s="20">
        <f>IFERROR(_xlfn.ISOWEEKNUM(INPUT!M3756),"")</f>
        <v>52</v>
      </c>
      <c r="D3761" s="20">
        <f>IFERROR(YEAR(INPUT!M3756),"")</f>
        <v>1900</v>
      </c>
      <c r="E3761" t="str">
        <f>IF(INPUT!O3756="","",INPUT!O3756)</f>
        <v/>
      </c>
      <c r="F3761" t="str">
        <f>IF(INPUT!N3756="","",INPUT!N3756)</f>
        <v/>
      </c>
      <c r="G3761" cm="1">
        <f t="array" ref="G3761">IFERROR(VLOOKUP(INPUT!M3756&amp;INPUT!N3756,CHOOSE({1,2},INPUT!$A$3:$A$5000&amp;INPUT!$C$3:$C$5000,INPUT!$F$3:$F$5000),2,FALSE),"")</f>
        <v>0</v>
      </c>
      <c r="H3761" cm="1">
        <f t="array" ref="H3761">IFERROR(VLOOKUP(INPUT!M3756&amp;INPUT!N3756,CHOOSE({1,2},INPUT!$A$3:$A$5000&amp;INPUT!$C$3:$C$5000,INPUT!$D$3:$D$5000),2,FALSE),"")</f>
        <v>0</v>
      </c>
      <c r="I3761" s="46" t="str">
        <f>IF(INPUT!P3756="","",INPUT!P3756)</f>
        <v/>
      </c>
      <c r="J3761" s="46" t="str">
        <f>IF(INPUT!Q3756="","",INPUT!Q3756)</f>
        <v/>
      </c>
      <c r="K3761" s="46" t="str">
        <f>IFERROR(IF(OR(INPUT!P3756="",INPUT!Q3756=""),"",INPUT!P3756-INPUT!Q3756),"")</f>
        <v/>
      </c>
      <c r="L3761" s="48" t="str">
        <f>IFERROR(IF(OR(INPUT!P3756="",INPUT!Q3756="",INPUT!P3756=0),"",(INPUT!P3756-INPUT!Q3756)/INPUT!P3756),"")</f>
        <v/>
      </c>
    </row>
    <row r="3762" spans="1:12" ht="18" hidden="1" customHeight="1" x14ac:dyDescent="0.2">
      <c r="A3762" s="11" t="str">
        <f>IF(INPUT!M3757="","",INPUT!M3757)</f>
        <v/>
      </c>
      <c r="B3762" s="11" t="str">
        <f>IF(INPUT!M3757="","",INPUT!M3757-WEEKDAY(INPUT!M3757,2)+1)</f>
        <v/>
      </c>
      <c r="C3762" s="20">
        <f>IFERROR(_xlfn.ISOWEEKNUM(INPUT!M3757),"")</f>
        <v>52</v>
      </c>
      <c r="D3762" s="20">
        <f>IFERROR(YEAR(INPUT!M3757),"")</f>
        <v>1900</v>
      </c>
      <c r="E3762" t="str">
        <f>IF(INPUT!O3757="","",INPUT!O3757)</f>
        <v/>
      </c>
      <c r="F3762" t="str">
        <f>IF(INPUT!N3757="","",INPUT!N3757)</f>
        <v/>
      </c>
      <c r="G3762" cm="1">
        <f t="array" ref="G3762">IFERROR(VLOOKUP(INPUT!M3757&amp;INPUT!N3757,CHOOSE({1,2},INPUT!$A$3:$A$5000&amp;INPUT!$C$3:$C$5000,INPUT!$F$3:$F$5000),2,FALSE),"")</f>
        <v>0</v>
      </c>
      <c r="H3762" cm="1">
        <f t="array" ref="H3762">IFERROR(VLOOKUP(INPUT!M3757&amp;INPUT!N3757,CHOOSE({1,2},INPUT!$A$3:$A$5000&amp;INPUT!$C$3:$C$5000,INPUT!$D$3:$D$5000),2,FALSE),"")</f>
        <v>0</v>
      </c>
      <c r="I3762" s="46" t="str">
        <f>IF(INPUT!P3757="","",INPUT!P3757)</f>
        <v/>
      </c>
      <c r="J3762" s="46" t="str">
        <f>IF(INPUT!Q3757="","",INPUT!Q3757)</f>
        <v/>
      </c>
      <c r="K3762" s="46" t="str">
        <f>IFERROR(IF(OR(INPUT!P3757="",INPUT!Q3757=""),"",INPUT!P3757-INPUT!Q3757),"")</f>
        <v/>
      </c>
      <c r="L3762" s="48" t="str">
        <f>IFERROR(IF(OR(INPUT!P3757="",INPUT!Q3757="",INPUT!P3757=0),"",(INPUT!P3757-INPUT!Q3757)/INPUT!P3757),"")</f>
        <v/>
      </c>
    </row>
    <row r="3763" spans="1:12" ht="18" hidden="1" customHeight="1" x14ac:dyDescent="0.2">
      <c r="A3763" s="11" t="str">
        <f>IF(INPUT!M3758="","",INPUT!M3758)</f>
        <v/>
      </c>
      <c r="B3763" s="11" t="str">
        <f>IF(INPUT!M3758="","",INPUT!M3758-WEEKDAY(INPUT!M3758,2)+1)</f>
        <v/>
      </c>
      <c r="C3763" s="20">
        <f>IFERROR(_xlfn.ISOWEEKNUM(INPUT!M3758),"")</f>
        <v>52</v>
      </c>
      <c r="D3763" s="20">
        <f>IFERROR(YEAR(INPUT!M3758),"")</f>
        <v>1900</v>
      </c>
      <c r="E3763" t="str">
        <f>IF(INPUT!O3758="","",INPUT!O3758)</f>
        <v/>
      </c>
      <c r="F3763" t="str">
        <f>IF(INPUT!N3758="","",INPUT!N3758)</f>
        <v/>
      </c>
      <c r="G3763" cm="1">
        <f t="array" ref="G3763">IFERROR(VLOOKUP(INPUT!M3758&amp;INPUT!N3758,CHOOSE({1,2},INPUT!$A$3:$A$5000&amp;INPUT!$C$3:$C$5000,INPUT!$F$3:$F$5000),2,FALSE),"")</f>
        <v>0</v>
      </c>
      <c r="H3763" cm="1">
        <f t="array" ref="H3763">IFERROR(VLOOKUP(INPUT!M3758&amp;INPUT!N3758,CHOOSE({1,2},INPUT!$A$3:$A$5000&amp;INPUT!$C$3:$C$5000,INPUT!$D$3:$D$5000),2,FALSE),"")</f>
        <v>0</v>
      </c>
      <c r="I3763" s="46" t="str">
        <f>IF(INPUT!P3758="","",INPUT!P3758)</f>
        <v/>
      </c>
      <c r="J3763" s="46" t="str">
        <f>IF(INPUT!Q3758="","",INPUT!Q3758)</f>
        <v/>
      </c>
      <c r="K3763" s="46" t="str">
        <f>IFERROR(IF(OR(INPUT!P3758="",INPUT!Q3758=""),"",INPUT!P3758-INPUT!Q3758),"")</f>
        <v/>
      </c>
      <c r="L3763" s="48" t="str">
        <f>IFERROR(IF(OR(INPUT!P3758="",INPUT!Q3758="",INPUT!P3758=0),"",(INPUT!P3758-INPUT!Q3758)/INPUT!P3758),"")</f>
        <v/>
      </c>
    </row>
    <row r="3764" spans="1:12" ht="18" hidden="1" customHeight="1" x14ac:dyDescent="0.2">
      <c r="A3764" s="11" t="str">
        <f>IF(INPUT!M3759="","",INPUT!M3759)</f>
        <v/>
      </c>
      <c r="B3764" s="11" t="str">
        <f>IF(INPUT!M3759="","",INPUT!M3759-WEEKDAY(INPUT!M3759,2)+1)</f>
        <v/>
      </c>
      <c r="C3764" s="20">
        <f>IFERROR(_xlfn.ISOWEEKNUM(INPUT!M3759),"")</f>
        <v>52</v>
      </c>
      <c r="D3764" s="20">
        <f>IFERROR(YEAR(INPUT!M3759),"")</f>
        <v>1900</v>
      </c>
      <c r="E3764" t="str">
        <f>IF(INPUT!O3759="","",INPUT!O3759)</f>
        <v/>
      </c>
      <c r="F3764" t="str">
        <f>IF(INPUT!N3759="","",INPUT!N3759)</f>
        <v/>
      </c>
      <c r="G3764" cm="1">
        <f t="array" ref="G3764">IFERROR(VLOOKUP(INPUT!M3759&amp;INPUT!N3759,CHOOSE({1,2},INPUT!$A$3:$A$5000&amp;INPUT!$C$3:$C$5000,INPUT!$F$3:$F$5000),2,FALSE),"")</f>
        <v>0</v>
      </c>
      <c r="H3764" cm="1">
        <f t="array" ref="H3764">IFERROR(VLOOKUP(INPUT!M3759&amp;INPUT!N3759,CHOOSE({1,2},INPUT!$A$3:$A$5000&amp;INPUT!$C$3:$C$5000,INPUT!$D$3:$D$5000),2,FALSE),"")</f>
        <v>0</v>
      </c>
      <c r="I3764" s="46" t="str">
        <f>IF(INPUT!P3759="","",INPUT!P3759)</f>
        <v/>
      </c>
      <c r="J3764" s="46" t="str">
        <f>IF(INPUT!Q3759="","",INPUT!Q3759)</f>
        <v/>
      </c>
      <c r="K3764" s="46" t="str">
        <f>IFERROR(IF(OR(INPUT!P3759="",INPUT!Q3759=""),"",INPUT!P3759-INPUT!Q3759),"")</f>
        <v/>
      </c>
      <c r="L3764" s="48" t="str">
        <f>IFERROR(IF(OR(INPUT!P3759="",INPUT!Q3759="",INPUT!P3759=0),"",(INPUT!P3759-INPUT!Q3759)/INPUT!P3759),"")</f>
        <v/>
      </c>
    </row>
    <row r="3765" spans="1:12" ht="18" hidden="1" customHeight="1" x14ac:dyDescent="0.2">
      <c r="A3765" s="11" t="str">
        <f>IF(INPUT!M3760="","",INPUT!M3760)</f>
        <v/>
      </c>
      <c r="B3765" s="11" t="str">
        <f>IF(INPUT!M3760="","",INPUT!M3760-WEEKDAY(INPUT!M3760,2)+1)</f>
        <v/>
      </c>
      <c r="C3765" s="20">
        <f>IFERROR(_xlfn.ISOWEEKNUM(INPUT!M3760),"")</f>
        <v>52</v>
      </c>
      <c r="D3765" s="20">
        <f>IFERROR(YEAR(INPUT!M3760),"")</f>
        <v>1900</v>
      </c>
      <c r="E3765" t="str">
        <f>IF(INPUT!O3760="","",INPUT!O3760)</f>
        <v/>
      </c>
      <c r="F3765" t="str">
        <f>IF(INPUT!N3760="","",INPUT!N3760)</f>
        <v/>
      </c>
      <c r="G3765" cm="1">
        <f t="array" ref="G3765">IFERROR(VLOOKUP(INPUT!M3760&amp;INPUT!N3760,CHOOSE({1,2},INPUT!$A$3:$A$5000&amp;INPUT!$C$3:$C$5000,INPUT!$F$3:$F$5000),2,FALSE),"")</f>
        <v>0</v>
      </c>
      <c r="H3765" cm="1">
        <f t="array" ref="H3765">IFERROR(VLOOKUP(INPUT!M3760&amp;INPUT!N3760,CHOOSE({1,2},INPUT!$A$3:$A$5000&amp;INPUT!$C$3:$C$5000,INPUT!$D$3:$D$5000),2,FALSE),"")</f>
        <v>0</v>
      </c>
      <c r="I3765" s="46" t="str">
        <f>IF(INPUT!P3760="","",INPUT!P3760)</f>
        <v/>
      </c>
      <c r="J3765" s="46" t="str">
        <f>IF(INPUT!Q3760="","",INPUT!Q3760)</f>
        <v/>
      </c>
      <c r="K3765" s="46" t="str">
        <f>IFERROR(IF(OR(INPUT!P3760="",INPUT!Q3760=""),"",INPUT!P3760-INPUT!Q3760),"")</f>
        <v/>
      </c>
      <c r="L3765" s="48" t="str">
        <f>IFERROR(IF(OR(INPUT!P3760="",INPUT!Q3760="",INPUT!P3760=0),"",(INPUT!P3760-INPUT!Q3760)/INPUT!P3760),"")</f>
        <v/>
      </c>
    </row>
    <row r="3766" spans="1:12" ht="18" hidden="1" customHeight="1" x14ac:dyDescent="0.2">
      <c r="A3766" s="11" t="str">
        <f>IF(INPUT!M3761="","",INPUT!M3761)</f>
        <v/>
      </c>
      <c r="B3766" s="11" t="str">
        <f>IF(INPUT!M3761="","",INPUT!M3761-WEEKDAY(INPUT!M3761,2)+1)</f>
        <v/>
      </c>
      <c r="C3766" s="20">
        <f>IFERROR(_xlfn.ISOWEEKNUM(INPUT!M3761),"")</f>
        <v>52</v>
      </c>
      <c r="D3766" s="20">
        <f>IFERROR(YEAR(INPUT!M3761),"")</f>
        <v>1900</v>
      </c>
      <c r="E3766" t="str">
        <f>IF(INPUT!O3761="","",INPUT!O3761)</f>
        <v/>
      </c>
      <c r="F3766" t="str">
        <f>IF(INPUT!N3761="","",INPUT!N3761)</f>
        <v/>
      </c>
      <c r="G3766" cm="1">
        <f t="array" ref="G3766">IFERROR(VLOOKUP(INPUT!M3761&amp;INPUT!N3761,CHOOSE({1,2},INPUT!$A$3:$A$5000&amp;INPUT!$C$3:$C$5000,INPUT!$F$3:$F$5000),2,FALSE),"")</f>
        <v>0</v>
      </c>
      <c r="H3766" cm="1">
        <f t="array" ref="H3766">IFERROR(VLOOKUP(INPUT!M3761&amp;INPUT!N3761,CHOOSE({1,2},INPUT!$A$3:$A$5000&amp;INPUT!$C$3:$C$5000,INPUT!$D$3:$D$5000),2,FALSE),"")</f>
        <v>0</v>
      </c>
      <c r="I3766" s="46" t="str">
        <f>IF(INPUT!P3761="","",INPUT!P3761)</f>
        <v/>
      </c>
      <c r="J3766" s="46" t="str">
        <f>IF(INPUT!Q3761="","",INPUT!Q3761)</f>
        <v/>
      </c>
      <c r="K3766" s="46" t="str">
        <f>IFERROR(IF(OR(INPUT!P3761="",INPUT!Q3761=""),"",INPUT!P3761-INPUT!Q3761),"")</f>
        <v/>
      </c>
      <c r="L3766" s="48" t="str">
        <f>IFERROR(IF(OR(INPUT!P3761="",INPUT!Q3761="",INPUT!P3761=0),"",(INPUT!P3761-INPUT!Q3761)/INPUT!P3761),"")</f>
        <v/>
      </c>
    </row>
    <row r="3767" spans="1:12" ht="18" hidden="1" customHeight="1" x14ac:dyDescent="0.2">
      <c r="A3767" s="11" t="str">
        <f>IF(INPUT!M3762="","",INPUT!M3762)</f>
        <v/>
      </c>
      <c r="B3767" s="11" t="str">
        <f>IF(INPUT!M3762="","",INPUT!M3762-WEEKDAY(INPUT!M3762,2)+1)</f>
        <v/>
      </c>
      <c r="C3767" s="20">
        <f>IFERROR(_xlfn.ISOWEEKNUM(INPUT!M3762),"")</f>
        <v>52</v>
      </c>
      <c r="D3767" s="20">
        <f>IFERROR(YEAR(INPUT!M3762),"")</f>
        <v>1900</v>
      </c>
      <c r="E3767" t="str">
        <f>IF(INPUT!O3762="","",INPUT!O3762)</f>
        <v/>
      </c>
      <c r="F3767" t="str">
        <f>IF(INPUT!N3762="","",INPUT!N3762)</f>
        <v/>
      </c>
      <c r="G3767" cm="1">
        <f t="array" ref="G3767">IFERROR(VLOOKUP(INPUT!M3762&amp;INPUT!N3762,CHOOSE({1,2},INPUT!$A$3:$A$5000&amp;INPUT!$C$3:$C$5000,INPUT!$F$3:$F$5000),2,FALSE),"")</f>
        <v>0</v>
      </c>
      <c r="H3767" cm="1">
        <f t="array" ref="H3767">IFERROR(VLOOKUP(INPUT!M3762&amp;INPUT!N3762,CHOOSE({1,2},INPUT!$A$3:$A$5000&amp;INPUT!$C$3:$C$5000,INPUT!$D$3:$D$5000),2,FALSE),"")</f>
        <v>0</v>
      </c>
      <c r="I3767" s="46" t="str">
        <f>IF(INPUT!P3762="","",INPUT!P3762)</f>
        <v/>
      </c>
      <c r="J3767" s="46" t="str">
        <f>IF(INPUT!Q3762="","",INPUT!Q3762)</f>
        <v/>
      </c>
      <c r="K3767" s="46" t="str">
        <f>IFERROR(IF(OR(INPUT!P3762="",INPUT!Q3762=""),"",INPUT!P3762-INPUT!Q3762),"")</f>
        <v/>
      </c>
      <c r="L3767" s="48" t="str">
        <f>IFERROR(IF(OR(INPUT!P3762="",INPUT!Q3762="",INPUT!P3762=0),"",(INPUT!P3762-INPUT!Q3762)/INPUT!P3762),"")</f>
        <v/>
      </c>
    </row>
    <row r="3768" spans="1:12" ht="18" hidden="1" customHeight="1" x14ac:dyDescent="0.2">
      <c r="A3768" s="11" t="str">
        <f>IF(INPUT!M3763="","",INPUT!M3763)</f>
        <v/>
      </c>
      <c r="B3768" s="11" t="str">
        <f>IF(INPUT!M3763="","",INPUT!M3763-WEEKDAY(INPUT!M3763,2)+1)</f>
        <v/>
      </c>
      <c r="C3768" s="20">
        <f>IFERROR(_xlfn.ISOWEEKNUM(INPUT!M3763),"")</f>
        <v>52</v>
      </c>
      <c r="D3768" s="20">
        <f>IFERROR(YEAR(INPUT!M3763),"")</f>
        <v>1900</v>
      </c>
      <c r="E3768" t="str">
        <f>IF(INPUT!O3763="","",INPUT!O3763)</f>
        <v/>
      </c>
      <c r="F3768" t="str">
        <f>IF(INPUT!N3763="","",INPUT!N3763)</f>
        <v/>
      </c>
      <c r="G3768" cm="1">
        <f t="array" ref="G3768">IFERROR(VLOOKUP(INPUT!M3763&amp;INPUT!N3763,CHOOSE({1,2},INPUT!$A$3:$A$5000&amp;INPUT!$C$3:$C$5000,INPUT!$F$3:$F$5000),2,FALSE),"")</f>
        <v>0</v>
      </c>
      <c r="H3768" cm="1">
        <f t="array" ref="H3768">IFERROR(VLOOKUP(INPUT!M3763&amp;INPUT!N3763,CHOOSE({1,2},INPUT!$A$3:$A$5000&amp;INPUT!$C$3:$C$5000,INPUT!$D$3:$D$5000),2,FALSE),"")</f>
        <v>0</v>
      </c>
      <c r="I3768" s="46" t="str">
        <f>IF(INPUT!P3763="","",INPUT!P3763)</f>
        <v/>
      </c>
      <c r="J3768" s="46" t="str">
        <f>IF(INPUT!Q3763="","",INPUT!Q3763)</f>
        <v/>
      </c>
      <c r="K3768" s="46" t="str">
        <f>IFERROR(IF(OR(INPUT!P3763="",INPUT!Q3763=""),"",INPUT!P3763-INPUT!Q3763),"")</f>
        <v/>
      </c>
      <c r="L3768" s="48" t="str">
        <f>IFERROR(IF(OR(INPUT!P3763="",INPUT!Q3763="",INPUT!P3763=0),"",(INPUT!P3763-INPUT!Q3763)/INPUT!P3763),"")</f>
        <v/>
      </c>
    </row>
    <row r="3769" spans="1:12" ht="18" hidden="1" customHeight="1" x14ac:dyDescent="0.2">
      <c r="A3769" s="11" t="str">
        <f>IF(INPUT!M3764="","",INPUT!M3764)</f>
        <v/>
      </c>
      <c r="B3769" s="11" t="str">
        <f>IF(INPUT!M3764="","",INPUT!M3764-WEEKDAY(INPUT!M3764,2)+1)</f>
        <v/>
      </c>
      <c r="C3769" s="20">
        <f>IFERROR(_xlfn.ISOWEEKNUM(INPUT!M3764),"")</f>
        <v>52</v>
      </c>
      <c r="D3769" s="20">
        <f>IFERROR(YEAR(INPUT!M3764),"")</f>
        <v>1900</v>
      </c>
      <c r="E3769" t="str">
        <f>IF(INPUT!O3764="","",INPUT!O3764)</f>
        <v/>
      </c>
      <c r="F3769" t="str">
        <f>IF(INPUT!N3764="","",INPUT!N3764)</f>
        <v/>
      </c>
      <c r="G3769" cm="1">
        <f t="array" ref="G3769">IFERROR(VLOOKUP(INPUT!M3764&amp;INPUT!N3764,CHOOSE({1,2},INPUT!$A$3:$A$5000&amp;INPUT!$C$3:$C$5000,INPUT!$F$3:$F$5000),2,FALSE),"")</f>
        <v>0</v>
      </c>
      <c r="H3769" cm="1">
        <f t="array" ref="H3769">IFERROR(VLOOKUP(INPUT!M3764&amp;INPUT!N3764,CHOOSE({1,2},INPUT!$A$3:$A$5000&amp;INPUT!$C$3:$C$5000,INPUT!$D$3:$D$5000),2,FALSE),"")</f>
        <v>0</v>
      </c>
      <c r="I3769" s="46" t="str">
        <f>IF(INPUT!P3764="","",INPUT!P3764)</f>
        <v/>
      </c>
      <c r="J3769" s="46" t="str">
        <f>IF(INPUT!Q3764="","",INPUT!Q3764)</f>
        <v/>
      </c>
      <c r="K3769" s="46" t="str">
        <f>IFERROR(IF(OR(INPUT!P3764="",INPUT!Q3764=""),"",INPUT!P3764-INPUT!Q3764),"")</f>
        <v/>
      </c>
      <c r="L3769" s="48" t="str">
        <f>IFERROR(IF(OR(INPUT!P3764="",INPUT!Q3764="",INPUT!P3764=0),"",(INPUT!P3764-INPUT!Q3764)/INPUT!P3764),"")</f>
        <v/>
      </c>
    </row>
    <row r="3770" spans="1:12" ht="18" hidden="1" customHeight="1" x14ac:dyDescent="0.2">
      <c r="A3770" s="11" t="str">
        <f>IF(INPUT!M3765="","",INPUT!M3765)</f>
        <v/>
      </c>
      <c r="B3770" s="11" t="str">
        <f>IF(INPUT!M3765="","",INPUT!M3765-WEEKDAY(INPUT!M3765,2)+1)</f>
        <v/>
      </c>
      <c r="C3770" s="20">
        <f>IFERROR(_xlfn.ISOWEEKNUM(INPUT!M3765),"")</f>
        <v>52</v>
      </c>
      <c r="D3770" s="20">
        <f>IFERROR(YEAR(INPUT!M3765),"")</f>
        <v>1900</v>
      </c>
      <c r="E3770" t="str">
        <f>IF(INPUT!O3765="","",INPUT!O3765)</f>
        <v/>
      </c>
      <c r="F3770" t="str">
        <f>IF(INPUT!N3765="","",INPUT!N3765)</f>
        <v/>
      </c>
      <c r="G3770" cm="1">
        <f t="array" ref="G3770">IFERROR(VLOOKUP(INPUT!M3765&amp;INPUT!N3765,CHOOSE({1,2},INPUT!$A$3:$A$5000&amp;INPUT!$C$3:$C$5000,INPUT!$F$3:$F$5000),2,FALSE),"")</f>
        <v>0</v>
      </c>
      <c r="H3770" cm="1">
        <f t="array" ref="H3770">IFERROR(VLOOKUP(INPUT!M3765&amp;INPUT!N3765,CHOOSE({1,2},INPUT!$A$3:$A$5000&amp;INPUT!$C$3:$C$5000,INPUT!$D$3:$D$5000),2,FALSE),"")</f>
        <v>0</v>
      </c>
      <c r="I3770" s="46" t="str">
        <f>IF(INPUT!P3765="","",INPUT!P3765)</f>
        <v/>
      </c>
      <c r="J3770" s="46" t="str">
        <f>IF(INPUT!Q3765="","",INPUT!Q3765)</f>
        <v/>
      </c>
      <c r="K3770" s="46" t="str">
        <f>IFERROR(IF(OR(INPUT!P3765="",INPUT!Q3765=""),"",INPUT!P3765-INPUT!Q3765),"")</f>
        <v/>
      </c>
      <c r="L3770" s="48" t="str">
        <f>IFERROR(IF(OR(INPUT!P3765="",INPUT!Q3765="",INPUT!P3765=0),"",(INPUT!P3765-INPUT!Q3765)/INPUT!P3765),"")</f>
        <v/>
      </c>
    </row>
    <row r="3771" spans="1:12" ht="18" hidden="1" customHeight="1" x14ac:dyDescent="0.2">
      <c r="A3771" s="11" t="str">
        <f>IF(INPUT!M3766="","",INPUT!M3766)</f>
        <v/>
      </c>
      <c r="B3771" s="11" t="str">
        <f>IF(INPUT!M3766="","",INPUT!M3766-WEEKDAY(INPUT!M3766,2)+1)</f>
        <v/>
      </c>
      <c r="C3771" s="20">
        <f>IFERROR(_xlfn.ISOWEEKNUM(INPUT!M3766),"")</f>
        <v>52</v>
      </c>
      <c r="D3771" s="20">
        <f>IFERROR(YEAR(INPUT!M3766),"")</f>
        <v>1900</v>
      </c>
      <c r="E3771" t="str">
        <f>IF(INPUT!O3766="","",INPUT!O3766)</f>
        <v/>
      </c>
      <c r="F3771" t="str">
        <f>IF(INPUT!N3766="","",INPUT!N3766)</f>
        <v/>
      </c>
      <c r="G3771" cm="1">
        <f t="array" ref="G3771">IFERROR(VLOOKUP(INPUT!M3766&amp;INPUT!N3766,CHOOSE({1,2},INPUT!$A$3:$A$5000&amp;INPUT!$C$3:$C$5000,INPUT!$F$3:$F$5000),2,FALSE),"")</f>
        <v>0</v>
      </c>
      <c r="H3771" cm="1">
        <f t="array" ref="H3771">IFERROR(VLOOKUP(INPUT!M3766&amp;INPUT!N3766,CHOOSE({1,2},INPUT!$A$3:$A$5000&amp;INPUT!$C$3:$C$5000,INPUT!$D$3:$D$5000),2,FALSE),"")</f>
        <v>0</v>
      </c>
      <c r="I3771" s="46" t="str">
        <f>IF(INPUT!P3766="","",INPUT!P3766)</f>
        <v/>
      </c>
      <c r="J3771" s="46" t="str">
        <f>IF(INPUT!Q3766="","",INPUT!Q3766)</f>
        <v/>
      </c>
      <c r="K3771" s="46" t="str">
        <f>IFERROR(IF(OR(INPUT!P3766="",INPUT!Q3766=""),"",INPUT!P3766-INPUT!Q3766),"")</f>
        <v/>
      </c>
      <c r="L3771" s="48" t="str">
        <f>IFERROR(IF(OR(INPUT!P3766="",INPUT!Q3766="",INPUT!P3766=0),"",(INPUT!P3766-INPUT!Q3766)/INPUT!P3766),"")</f>
        <v/>
      </c>
    </row>
    <row r="3772" spans="1:12" ht="18" hidden="1" customHeight="1" x14ac:dyDescent="0.2">
      <c r="A3772" s="11" t="str">
        <f>IF(INPUT!M3767="","",INPUT!M3767)</f>
        <v/>
      </c>
      <c r="B3772" s="11" t="str">
        <f>IF(INPUT!M3767="","",INPUT!M3767-WEEKDAY(INPUT!M3767,2)+1)</f>
        <v/>
      </c>
      <c r="C3772" s="20">
        <f>IFERROR(_xlfn.ISOWEEKNUM(INPUT!M3767),"")</f>
        <v>52</v>
      </c>
      <c r="D3772" s="20">
        <f>IFERROR(YEAR(INPUT!M3767),"")</f>
        <v>1900</v>
      </c>
      <c r="E3772" t="str">
        <f>IF(INPUT!O3767="","",INPUT!O3767)</f>
        <v/>
      </c>
      <c r="F3772" t="str">
        <f>IF(INPUT!N3767="","",INPUT!N3767)</f>
        <v/>
      </c>
      <c r="G3772" cm="1">
        <f t="array" ref="G3772">IFERROR(VLOOKUP(INPUT!M3767&amp;INPUT!N3767,CHOOSE({1,2},INPUT!$A$3:$A$5000&amp;INPUT!$C$3:$C$5000,INPUT!$F$3:$F$5000),2,FALSE),"")</f>
        <v>0</v>
      </c>
      <c r="H3772" cm="1">
        <f t="array" ref="H3772">IFERROR(VLOOKUP(INPUT!M3767&amp;INPUT!N3767,CHOOSE({1,2},INPUT!$A$3:$A$5000&amp;INPUT!$C$3:$C$5000,INPUT!$D$3:$D$5000),2,FALSE),"")</f>
        <v>0</v>
      </c>
      <c r="I3772" s="46" t="str">
        <f>IF(INPUT!P3767="","",INPUT!P3767)</f>
        <v/>
      </c>
      <c r="J3772" s="46" t="str">
        <f>IF(INPUT!Q3767="","",INPUT!Q3767)</f>
        <v/>
      </c>
      <c r="K3772" s="46" t="str">
        <f>IFERROR(IF(OR(INPUT!P3767="",INPUT!Q3767=""),"",INPUT!P3767-INPUT!Q3767),"")</f>
        <v/>
      </c>
      <c r="L3772" s="48" t="str">
        <f>IFERROR(IF(OR(INPUT!P3767="",INPUT!Q3767="",INPUT!P3767=0),"",(INPUT!P3767-INPUT!Q3767)/INPUT!P3767),"")</f>
        <v/>
      </c>
    </row>
    <row r="3773" spans="1:12" ht="18" hidden="1" customHeight="1" x14ac:dyDescent="0.2">
      <c r="A3773" s="11" t="str">
        <f>IF(INPUT!M3768="","",INPUT!M3768)</f>
        <v/>
      </c>
      <c r="B3773" s="11" t="str">
        <f>IF(INPUT!M3768="","",INPUT!M3768-WEEKDAY(INPUT!M3768,2)+1)</f>
        <v/>
      </c>
      <c r="C3773" s="20">
        <f>IFERROR(_xlfn.ISOWEEKNUM(INPUT!M3768),"")</f>
        <v>52</v>
      </c>
      <c r="D3773" s="20">
        <f>IFERROR(YEAR(INPUT!M3768),"")</f>
        <v>1900</v>
      </c>
      <c r="E3773" t="str">
        <f>IF(INPUT!O3768="","",INPUT!O3768)</f>
        <v/>
      </c>
      <c r="F3773" t="str">
        <f>IF(INPUT!N3768="","",INPUT!N3768)</f>
        <v/>
      </c>
      <c r="G3773" cm="1">
        <f t="array" ref="G3773">IFERROR(VLOOKUP(INPUT!M3768&amp;INPUT!N3768,CHOOSE({1,2},INPUT!$A$3:$A$5000&amp;INPUT!$C$3:$C$5000,INPUT!$F$3:$F$5000),2,FALSE),"")</f>
        <v>0</v>
      </c>
      <c r="H3773" cm="1">
        <f t="array" ref="H3773">IFERROR(VLOOKUP(INPUT!M3768&amp;INPUT!N3768,CHOOSE({1,2},INPUT!$A$3:$A$5000&amp;INPUT!$C$3:$C$5000,INPUT!$D$3:$D$5000),2,FALSE),"")</f>
        <v>0</v>
      </c>
      <c r="I3773" s="46" t="str">
        <f>IF(INPUT!P3768="","",INPUT!P3768)</f>
        <v/>
      </c>
      <c r="J3773" s="46" t="str">
        <f>IF(INPUT!Q3768="","",INPUT!Q3768)</f>
        <v/>
      </c>
      <c r="K3773" s="46" t="str">
        <f>IFERROR(IF(OR(INPUT!P3768="",INPUT!Q3768=""),"",INPUT!P3768-INPUT!Q3768),"")</f>
        <v/>
      </c>
      <c r="L3773" s="48" t="str">
        <f>IFERROR(IF(OR(INPUT!P3768="",INPUT!Q3768="",INPUT!P3768=0),"",(INPUT!P3768-INPUT!Q3768)/INPUT!P3768),"")</f>
        <v/>
      </c>
    </row>
    <row r="3774" spans="1:12" ht="18" hidden="1" customHeight="1" x14ac:dyDescent="0.2">
      <c r="A3774" s="11" t="str">
        <f>IF(INPUT!M3769="","",INPUT!M3769)</f>
        <v/>
      </c>
      <c r="B3774" s="11" t="str">
        <f>IF(INPUT!M3769="","",INPUT!M3769-WEEKDAY(INPUT!M3769,2)+1)</f>
        <v/>
      </c>
      <c r="C3774" s="20">
        <f>IFERROR(_xlfn.ISOWEEKNUM(INPUT!M3769),"")</f>
        <v>52</v>
      </c>
      <c r="D3774" s="20">
        <f>IFERROR(YEAR(INPUT!M3769),"")</f>
        <v>1900</v>
      </c>
      <c r="E3774" t="str">
        <f>IF(INPUT!O3769="","",INPUT!O3769)</f>
        <v/>
      </c>
      <c r="F3774" t="str">
        <f>IF(INPUT!N3769="","",INPUT!N3769)</f>
        <v/>
      </c>
      <c r="G3774" cm="1">
        <f t="array" ref="G3774">IFERROR(VLOOKUP(INPUT!M3769&amp;INPUT!N3769,CHOOSE({1,2},INPUT!$A$3:$A$5000&amp;INPUT!$C$3:$C$5000,INPUT!$F$3:$F$5000),2,FALSE),"")</f>
        <v>0</v>
      </c>
      <c r="H3774" cm="1">
        <f t="array" ref="H3774">IFERROR(VLOOKUP(INPUT!M3769&amp;INPUT!N3769,CHOOSE({1,2},INPUT!$A$3:$A$5000&amp;INPUT!$C$3:$C$5000,INPUT!$D$3:$D$5000),2,FALSE),"")</f>
        <v>0</v>
      </c>
      <c r="I3774" s="46" t="str">
        <f>IF(INPUT!P3769="","",INPUT!P3769)</f>
        <v/>
      </c>
      <c r="J3774" s="46" t="str">
        <f>IF(INPUT!Q3769="","",INPUT!Q3769)</f>
        <v/>
      </c>
      <c r="K3774" s="46" t="str">
        <f>IFERROR(IF(OR(INPUT!P3769="",INPUT!Q3769=""),"",INPUT!P3769-INPUT!Q3769),"")</f>
        <v/>
      </c>
      <c r="L3774" s="48" t="str">
        <f>IFERROR(IF(OR(INPUT!P3769="",INPUT!Q3769="",INPUT!P3769=0),"",(INPUT!P3769-INPUT!Q3769)/INPUT!P3769),"")</f>
        <v/>
      </c>
    </row>
    <row r="3775" spans="1:12" ht="18" hidden="1" customHeight="1" x14ac:dyDescent="0.2">
      <c r="A3775" s="11" t="str">
        <f>IF(INPUT!M3770="","",INPUT!M3770)</f>
        <v/>
      </c>
      <c r="B3775" s="11" t="str">
        <f>IF(INPUT!M3770="","",INPUT!M3770-WEEKDAY(INPUT!M3770,2)+1)</f>
        <v/>
      </c>
      <c r="C3775" s="20">
        <f>IFERROR(_xlfn.ISOWEEKNUM(INPUT!M3770),"")</f>
        <v>52</v>
      </c>
      <c r="D3775" s="20">
        <f>IFERROR(YEAR(INPUT!M3770),"")</f>
        <v>1900</v>
      </c>
      <c r="E3775" t="str">
        <f>IF(INPUT!O3770="","",INPUT!O3770)</f>
        <v/>
      </c>
      <c r="F3775" t="str">
        <f>IF(INPUT!N3770="","",INPUT!N3770)</f>
        <v/>
      </c>
      <c r="G3775" cm="1">
        <f t="array" ref="G3775">IFERROR(VLOOKUP(INPUT!M3770&amp;INPUT!N3770,CHOOSE({1,2},INPUT!$A$3:$A$5000&amp;INPUT!$C$3:$C$5000,INPUT!$F$3:$F$5000),2,FALSE),"")</f>
        <v>0</v>
      </c>
      <c r="H3775" cm="1">
        <f t="array" ref="H3775">IFERROR(VLOOKUP(INPUT!M3770&amp;INPUT!N3770,CHOOSE({1,2},INPUT!$A$3:$A$5000&amp;INPUT!$C$3:$C$5000,INPUT!$D$3:$D$5000),2,FALSE),"")</f>
        <v>0</v>
      </c>
      <c r="I3775" s="46" t="str">
        <f>IF(INPUT!P3770="","",INPUT!P3770)</f>
        <v/>
      </c>
      <c r="J3775" s="46" t="str">
        <f>IF(INPUT!Q3770="","",INPUT!Q3770)</f>
        <v/>
      </c>
      <c r="K3775" s="46" t="str">
        <f>IFERROR(IF(OR(INPUT!P3770="",INPUT!Q3770=""),"",INPUT!P3770-INPUT!Q3770),"")</f>
        <v/>
      </c>
      <c r="L3775" s="48" t="str">
        <f>IFERROR(IF(OR(INPUT!P3770="",INPUT!Q3770="",INPUT!P3770=0),"",(INPUT!P3770-INPUT!Q3770)/INPUT!P3770),"")</f>
        <v/>
      </c>
    </row>
    <row r="3776" spans="1:12" ht="18" hidden="1" customHeight="1" x14ac:dyDescent="0.2">
      <c r="A3776" s="11" t="str">
        <f>IF(INPUT!M3771="","",INPUT!M3771)</f>
        <v/>
      </c>
      <c r="B3776" s="11" t="str">
        <f>IF(INPUT!M3771="","",INPUT!M3771-WEEKDAY(INPUT!M3771,2)+1)</f>
        <v/>
      </c>
      <c r="C3776" s="20">
        <f>IFERROR(_xlfn.ISOWEEKNUM(INPUT!M3771),"")</f>
        <v>52</v>
      </c>
      <c r="D3776" s="20">
        <f>IFERROR(YEAR(INPUT!M3771),"")</f>
        <v>1900</v>
      </c>
      <c r="E3776" t="str">
        <f>IF(INPUT!O3771="","",INPUT!O3771)</f>
        <v/>
      </c>
      <c r="F3776" t="str">
        <f>IF(INPUT!N3771="","",INPUT!N3771)</f>
        <v/>
      </c>
      <c r="G3776" cm="1">
        <f t="array" ref="G3776">IFERROR(VLOOKUP(INPUT!M3771&amp;INPUT!N3771,CHOOSE({1,2},INPUT!$A$3:$A$5000&amp;INPUT!$C$3:$C$5000,INPUT!$F$3:$F$5000),2,FALSE),"")</f>
        <v>0</v>
      </c>
      <c r="H3776" cm="1">
        <f t="array" ref="H3776">IFERROR(VLOOKUP(INPUT!M3771&amp;INPUT!N3771,CHOOSE({1,2},INPUT!$A$3:$A$5000&amp;INPUT!$C$3:$C$5000,INPUT!$D$3:$D$5000),2,FALSE),"")</f>
        <v>0</v>
      </c>
      <c r="I3776" s="46" t="str">
        <f>IF(INPUT!P3771="","",INPUT!P3771)</f>
        <v/>
      </c>
      <c r="J3776" s="46" t="str">
        <f>IF(INPUT!Q3771="","",INPUT!Q3771)</f>
        <v/>
      </c>
      <c r="K3776" s="46" t="str">
        <f>IFERROR(IF(OR(INPUT!P3771="",INPUT!Q3771=""),"",INPUT!P3771-INPUT!Q3771),"")</f>
        <v/>
      </c>
      <c r="L3776" s="48" t="str">
        <f>IFERROR(IF(OR(INPUT!P3771="",INPUT!Q3771="",INPUT!P3771=0),"",(INPUT!P3771-INPUT!Q3771)/INPUT!P3771),"")</f>
        <v/>
      </c>
    </row>
    <row r="3777" spans="1:12" ht="18" hidden="1" customHeight="1" x14ac:dyDescent="0.2">
      <c r="A3777" s="11" t="str">
        <f>IF(INPUT!M3772="","",INPUT!M3772)</f>
        <v/>
      </c>
      <c r="B3777" s="11" t="str">
        <f>IF(INPUT!M3772="","",INPUT!M3772-WEEKDAY(INPUT!M3772,2)+1)</f>
        <v/>
      </c>
      <c r="C3777" s="20">
        <f>IFERROR(_xlfn.ISOWEEKNUM(INPUT!M3772),"")</f>
        <v>52</v>
      </c>
      <c r="D3777" s="20">
        <f>IFERROR(YEAR(INPUT!M3772),"")</f>
        <v>1900</v>
      </c>
      <c r="E3777" t="str">
        <f>IF(INPUT!O3772="","",INPUT!O3772)</f>
        <v/>
      </c>
      <c r="F3777" t="str">
        <f>IF(INPUT!N3772="","",INPUT!N3772)</f>
        <v/>
      </c>
      <c r="G3777" cm="1">
        <f t="array" ref="G3777">IFERROR(VLOOKUP(INPUT!M3772&amp;INPUT!N3772,CHOOSE({1,2},INPUT!$A$3:$A$5000&amp;INPUT!$C$3:$C$5000,INPUT!$F$3:$F$5000),2,FALSE),"")</f>
        <v>0</v>
      </c>
      <c r="H3777" cm="1">
        <f t="array" ref="H3777">IFERROR(VLOOKUP(INPUT!M3772&amp;INPUT!N3772,CHOOSE({1,2},INPUT!$A$3:$A$5000&amp;INPUT!$C$3:$C$5000,INPUT!$D$3:$D$5000),2,FALSE),"")</f>
        <v>0</v>
      </c>
      <c r="I3777" s="46" t="str">
        <f>IF(INPUT!P3772="","",INPUT!P3772)</f>
        <v/>
      </c>
      <c r="J3777" s="46" t="str">
        <f>IF(INPUT!Q3772="","",INPUT!Q3772)</f>
        <v/>
      </c>
      <c r="K3777" s="46" t="str">
        <f>IFERROR(IF(OR(INPUT!P3772="",INPUT!Q3772=""),"",INPUT!P3772-INPUT!Q3772),"")</f>
        <v/>
      </c>
      <c r="L3777" s="48" t="str">
        <f>IFERROR(IF(OR(INPUT!P3772="",INPUT!Q3772="",INPUT!P3772=0),"",(INPUT!P3772-INPUT!Q3772)/INPUT!P3772),"")</f>
        <v/>
      </c>
    </row>
    <row r="3778" spans="1:12" ht="18" hidden="1" customHeight="1" x14ac:dyDescent="0.2">
      <c r="A3778" s="11" t="str">
        <f>IF(INPUT!M3773="","",INPUT!M3773)</f>
        <v/>
      </c>
      <c r="B3778" s="11" t="str">
        <f>IF(INPUT!M3773="","",INPUT!M3773-WEEKDAY(INPUT!M3773,2)+1)</f>
        <v/>
      </c>
      <c r="C3778" s="20">
        <f>IFERROR(_xlfn.ISOWEEKNUM(INPUT!M3773),"")</f>
        <v>52</v>
      </c>
      <c r="D3778" s="20">
        <f>IFERROR(YEAR(INPUT!M3773),"")</f>
        <v>1900</v>
      </c>
      <c r="E3778" t="str">
        <f>IF(INPUT!O3773="","",INPUT!O3773)</f>
        <v/>
      </c>
      <c r="F3778" t="str">
        <f>IF(INPUT!N3773="","",INPUT!N3773)</f>
        <v/>
      </c>
      <c r="G3778" cm="1">
        <f t="array" ref="G3778">IFERROR(VLOOKUP(INPUT!M3773&amp;INPUT!N3773,CHOOSE({1,2},INPUT!$A$3:$A$5000&amp;INPUT!$C$3:$C$5000,INPUT!$F$3:$F$5000),2,FALSE),"")</f>
        <v>0</v>
      </c>
      <c r="H3778" cm="1">
        <f t="array" ref="H3778">IFERROR(VLOOKUP(INPUT!M3773&amp;INPUT!N3773,CHOOSE({1,2},INPUT!$A$3:$A$5000&amp;INPUT!$C$3:$C$5000,INPUT!$D$3:$D$5000),2,FALSE),"")</f>
        <v>0</v>
      </c>
      <c r="I3778" s="46" t="str">
        <f>IF(INPUT!P3773="","",INPUT!P3773)</f>
        <v/>
      </c>
      <c r="J3778" s="46" t="str">
        <f>IF(INPUT!Q3773="","",INPUT!Q3773)</f>
        <v/>
      </c>
      <c r="K3778" s="46" t="str">
        <f>IFERROR(IF(OR(INPUT!P3773="",INPUT!Q3773=""),"",INPUT!P3773-INPUT!Q3773),"")</f>
        <v/>
      </c>
      <c r="L3778" s="48" t="str">
        <f>IFERROR(IF(OR(INPUT!P3773="",INPUT!Q3773="",INPUT!P3773=0),"",(INPUT!P3773-INPUT!Q3773)/INPUT!P3773),"")</f>
        <v/>
      </c>
    </row>
    <row r="3779" spans="1:12" ht="18" hidden="1" customHeight="1" x14ac:dyDescent="0.2">
      <c r="A3779" s="11" t="str">
        <f>IF(INPUT!M3774="","",INPUT!M3774)</f>
        <v/>
      </c>
      <c r="B3779" s="11" t="str">
        <f>IF(INPUT!M3774="","",INPUT!M3774-WEEKDAY(INPUT!M3774,2)+1)</f>
        <v/>
      </c>
      <c r="C3779" s="20">
        <f>IFERROR(_xlfn.ISOWEEKNUM(INPUT!M3774),"")</f>
        <v>52</v>
      </c>
      <c r="D3779" s="20">
        <f>IFERROR(YEAR(INPUT!M3774),"")</f>
        <v>1900</v>
      </c>
      <c r="E3779" t="str">
        <f>IF(INPUT!O3774="","",INPUT!O3774)</f>
        <v/>
      </c>
      <c r="F3779" t="str">
        <f>IF(INPUT!N3774="","",INPUT!N3774)</f>
        <v/>
      </c>
      <c r="G3779" cm="1">
        <f t="array" ref="G3779">IFERROR(VLOOKUP(INPUT!M3774&amp;INPUT!N3774,CHOOSE({1,2},INPUT!$A$3:$A$5000&amp;INPUT!$C$3:$C$5000,INPUT!$F$3:$F$5000),2,FALSE),"")</f>
        <v>0</v>
      </c>
      <c r="H3779" cm="1">
        <f t="array" ref="H3779">IFERROR(VLOOKUP(INPUT!M3774&amp;INPUT!N3774,CHOOSE({1,2},INPUT!$A$3:$A$5000&amp;INPUT!$C$3:$C$5000,INPUT!$D$3:$D$5000),2,FALSE),"")</f>
        <v>0</v>
      </c>
      <c r="I3779" s="46" t="str">
        <f>IF(INPUT!P3774="","",INPUT!P3774)</f>
        <v/>
      </c>
      <c r="J3779" s="46" t="str">
        <f>IF(INPUT!Q3774="","",INPUT!Q3774)</f>
        <v/>
      </c>
      <c r="K3779" s="46" t="str">
        <f>IFERROR(IF(OR(INPUT!P3774="",INPUT!Q3774=""),"",INPUT!P3774-INPUT!Q3774),"")</f>
        <v/>
      </c>
      <c r="L3779" s="48" t="str">
        <f>IFERROR(IF(OR(INPUT!P3774="",INPUT!Q3774="",INPUT!P3774=0),"",(INPUT!P3774-INPUT!Q3774)/INPUT!P3774),"")</f>
        <v/>
      </c>
    </row>
    <row r="3780" spans="1:12" ht="18" hidden="1" customHeight="1" x14ac:dyDescent="0.2">
      <c r="A3780" s="11" t="str">
        <f>IF(INPUT!M3775="","",INPUT!M3775)</f>
        <v/>
      </c>
      <c r="B3780" s="11" t="str">
        <f>IF(INPUT!M3775="","",INPUT!M3775-WEEKDAY(INPUT!M3775,2)+1)</f>
        <v/>
      </c>
      <c r="C3780" s="20">
        <f>IFERROR(_xlfn.ISOWEEKNUM(INPUT!M3775),"")</f>
        <v>52</v>
      </c>
      <c r="D3780" s="20">
        <f>IFERROR(YEAR(INPUT!M3775),"")</f>
        <v>1900</v>
      </c>
      <c r="E3780" t="str">
        <f>IF(INPUT!O3775="","",INPUT!O3775)</f>
        <v/>
      </c>
      <c r="F3780" t="str">
        <f>IF(INPUT!N3775="","",INPUT!N3775)</f>
        <v/>
      </c>
      <c r="G3780" cm="1">
        <f t="array" ref="G3780">IFERROR(VLOOKUP(INPUT!M3775&amp;INPUT!N3775,CHOOSE({1,2},INPUT!$A$3:$A$5000&amp;INPUT!$C$3:$C$5000,INPUT!$F$3:$F$5000),2,FALSE),"")</f>
        <v>0</v>
      </c>
      <c r="H3780" cm="1">
        <f t="array" ref="H3780">IFERROR(VLOOKUP(INPUT!M3775&amp;INPUT!N3775,CHOOSE({1,2},INPUT!$A$3:$A$5000&amp;INPUT!$C$3:$C$5000,INPUT!$D$3:$D$5000),2,FALSE),"")</f>
        <v>0</v>
      </c>
      <c r="I3780" s="46" t="str">
        <f>IF(INPUT!P3775="","",INPUT!P3775)</f>
        <v/>
      </c>
      <c r="J3780" s="46" t="str">
        <f>IF(INPUT!Q3775="","",INPUT!Q3775)</f>
        <v/>
      </c>
      <c r="K3780" s="46" t="str">
        <f>IFERROR(IF(OR(INPUT!P3775="",INPUT!Q3775=""),"",INPUT!P3775-INPUT!Q3775),"")</f>
        <v/>
      </c>
      <c r="L3780" s="48" t="str">
        <f>IFERROR(IF(OR(INPUT!P3775="",INPUT!Q3775="",INPUT!P3775=0),"",(INPUT!P3775-INPUT!Q3775)/INPUT!P3775),"")</f>
        <v/>
      </c>
    </row>
    <row r="3781" spans="1:12" ht="18" hidden="1" customHeight="1" x14ac:dyDescent="0.2">
      <c r="A3781" s="11" t="str">
        <f>IF(INPUT!M3776="","",INPUT!M3776)</f>
        <v/>
      </c>
      <c r="B3781" s="11" t="str">
        <f>IF(INPUT!M3776="","",INPUT!M3776-WEEKDAY(INPUT!M3776,2)+1)</f>
        <v/>
      </c>
      <c r="C3781" s="20">
        <f>IFERROR(_xlfn.ISOWEEKNUM(INPUT!M3776),"")</f>
        <v>52</v>
      </c>
      <c r="D3781" s="20">
        <f>IFERROR(YEAR(INPUT!M3776),"")</f>
        <v>1900</v>
      </c>
      <c r="E3781" t="str">
        <f>IF(INPUT!O3776="","",INPUT!O3776)</f>
        <v/>
      </c>
      <c r="F3781" t="str">
        <f>IF(INPUT!N3776="","",INPUT!N3776)</f>
        <v/>
      </c>
      <c r="G3781" cm="1">
        <f t="array" ref="G3781">IFERROR(VLOOKUP(INPUT!M3776&amp;INPUT!N3776,CHOOSE({1,2},INPUT!$A$3:$A$5000&amp;INPUT!$C$3:$C$5000,INPUT!$F$3:$F$5000),2,FALSE),"")</f>
        <v>0</v>
      </c>
      <c r="H3781" cm="1">
        <f t="array" ref="H3781">IFERROR(VLOOKUP(INPUT!M3776&amp;INPUT!N3776,CHOOSE({1,2},INPUT!$A$3:$A$5000&amp;INPUT!$C$3:$C$5000,INPUT!$D$3:$D$5000),2,FALSE),"")</f>
        <v>0</v>
      </c>
      <c r="I3781" s="46" t="str">
        <f>IF(INPUT!P3776="","",INPUT!P3776)</f>
        <v/>
      </c>
      <c r="J3781" s="46" t="str">
        <f>IF(INPUT!Q3776="","",INPUT!Q3776)</f>
        <v/>
      </c>
      <c r="K3781" s="46" t="str">
        <f>IFERROR(IF(OR(INPUT!P3776="",INPUT!Q3776=""),"",INPUT!P3776-INPUT!Q3776),"")</f>
        <v/>
      </c>
      <c r="L3781" s="48" t="str">
        <f>IFERROR(IF(OR(INPUT!P3776="",INPUT!Q3776="",INPUT!P3776=0),"",(INPUT!P3776-INPUT!Q3776)/INPUT!P3776),"")</f>
        <v/>
      </c>
    </row>
    <row r="3782" spans="1:12" ht="18" hidden="1" customHeight="1" x14ac:dyDescent="0.2">
      <c r="A3782" s="11" t="str">
        <f>IF(INPUT!M3777="","",INPUT!M3777)</f>
        <v/>
      </c>
      <c r="B3782" s="11" t="str">
        <f>IF(INPUT!M3777="","",INPUT!M3777-WEEKDAY(INPUT!M3777,2)+1)</f>
        <v/>
      </c>
      <c r="C3782" s="20">
        <f>IFERROR(_xlfn.ISOWEEKNUM(INPUT!M3777),"")</f>
        <v>52</v>
      </c>
      <c r="D3782" s="20">
        <f>IFERROR(YEAR(INPUT!M3777),"")</f>
        <v>1900</v>
      </c>
      <c r="E3782" t="str">
        <f>IF(INPUT!O3777="","",INPUT!O3777)</f>
        <v/>
      </c>
      <c r="F3782" t="str">
        <f>IF(INPUT!N3777="","",INPUT!N3777)</f>
        <v/>
      </c>
      <c r="G3782" cm="1">
        <f t="array" ref="G3782">IFERROR(VLOOKUP(INPUT!M3777&amp;INPUT!N3777,CHOOSE({1,2},INPUT!$A$3:$A$5000&amp;INPUT!$C$3:$C$5000,INPUT!$F$3:$F$5000),2,FALSE),"")</f>
        <v>0</v>
      </c>
      <c r="H3782" cm="1">
        <f t="array" ref="H3782">IFERROR(VLOOKUP(INPUT!M3777&amp;INPUT!N3777,CHOOSE({1,2},INPUT!$A$3:$A$5000&amp;INPUT!$C$3:$C$5000,INPUT!$D$3:$D$5000),2,FALSE),"")</f>
        <v>0</v>
      </c>
      <c r="I3782" s="46" t="str">
        <f>IF(INPUT!P3777="","",INPUT!P3777)</f>
        <v/>
      </c>
      <c r="J3782" s="46" t="str">
        <f>IF(INPUT!Q3777="","",INPUT!Q3777)</f>
        <v/>
      </c>
      <c r="K3782" s="46" t="str">
        <f>IFERROR(IF(OR(INPUT!P3777="",INPUT!Q3777=""),"",INPUT!P3777-INPUT!Q3777),"")</f>
        <v/>
      </c>
      <c r="L3782" s="48" t="str">
        <f>IFERROR(IF(OR(INPUT!P3777="",INPUT!Q3777="",INPUT!P3777=0),"",(INPUT!P3777-INPUT!Q3777)/INPUT!P3777),"")</f>
        <v/>
      </c>
    </row>
    <row r="3783" spans="1:12" ht="18" hidden="1" customHeight="1" x14ac:dyDescent="0.2">
      <c r="A3783" s="11" t="str">
        <f>IF(INPUT!M3778="","",INPUT!M3778)</f>
        <v/>
      </c>
      <c r="B3783" s="11" t="str">
        <f>IF(INPUT!M3778="","",INPUT!M3778-WEEKDAY(INPUT!M3778,2)+1)</f>
        <v/>
      </c>
      <c r="C3783" s="20">
        <f>IFERROR(_xlfn.ISOWEEKNUM(INPUT!M3778),"")</f>
        <v>52</v>
      </c>
      <c r="D3783" s="20">
        <f>IFERROR(YEAR(INPUT!M3778),"")</f>
        <v>1900</v>
      </c>
      <c r="E3783" t="str">
        <f>IF(INPUT!O3778="","",INPUT!O3778)</f>
        <v/>
      </c>
      <c r="F3783" t="str">
        <f>IF(INPUT!N3778="","",INPUT!N3778)</f>
        <v/>
      </c>
      <c r="G3783" cm="1">
        <f t="array" ref="G3783">IFERROR(VLOOKUP(INPUT!M3778&amp;INPUT!N3778,CHOOSE({1,2},INPUT!$A$3:$A$5000&amp;INPUT!$C$3:$C$5000,INPUT!$F$3:$F$5000),2,FALSE),"")</f>
        <v>0</v>
      </c>
      <c r="H3783" cm="1">
        <f t="array" ref="H3783">IFERROR(VLOOKUP(INPUT!M3778&amp;INPUT!N3778,CHOOSE({1,2},INPUT!$A$3:$A$5000&amp;INPUT!$C$3:$C$5000,INPUT!$D$3:$D$5000),2,FALSE),"")</f>
        <v>0</v>
      </c>
      <c r="I3783" s="46" t="str">
        <f>IF(INPUT!P3778="","",INPUT!P3778)</f>
        <v/>
      </c>
      <c r="J3783" s="46" t="str">
        <f>IF(INPUT!Q3778="","",INPUT!Q3778)</f>
        <v/>
      </c>
      <c r="K3783" s="46" t="str">
        <f>IFERROR(IF(OR(INPUT!P3778="",INPUT!Q3778=""),"",INPUT!P3778-INPUT!Q3778),"")</f>
        <v/>
      </c>
      <c r="L3783" s="48" t="str">
        <f>IFERROR(IF(OR(INPUT!P3778="",INPUT!Q3778="",INPUT!P3778=0),"",(INPUT!P3778-INPUT!Q3778)/INPUT!P3778),"")</f>
        <v/>
      </c>
    </row>
    <row r="3784" spans="1:12" ht="18" hidden="1" customHeight="1" x14ac:dyDescent="0.2">
      <c r="A3784" s="11" t="str">
        <f>IF(INPUT!M3779="","",INPUT!M3779)</f>
        <v/>
      </c>
      <c r="B3784" s="11" t="str">
        <f>IF(INPUT!M3779="","",INPUT!M3779-WEEKDAY(INPUT!M3779,2)+1)</f>
        <v/>
      </c>
      <c r="C3784" s="20">
        <f>IFERROR(_xlfn.ISOWEEKNUM(INPUT!M3779),"")</f>
        <v>52</v>
      </c>
      <c r="D3784" s="20">
        <f>IFERROR(YEAR(INPUT!M3779),"")</f>
        <v>1900</v>
      </c>
      <c r="E3784" t="str">
        <f>IF(INPUT!O3779="","",INPUT!O3779)</f>
        <v/>
      </c>
      <c r="F3784" t="str">
        <f>IF(INPUT!N3779="","",INPUT!N3779)</f>
        <v/>
      </c>
      <c r="G3784" cm="1">
        <f t="array" ref="G3784">IFERROR(VLOOKUP(INPUT!M3779&amp;INPUT!N3779,CHOOSE({1,2},INPUT!$A$3:$A$5000&amp;INPUT!$C$3:$C$5000,INPUT!$F$3:$F$5000),2,FALSE),"")</f>
        <v>0</v>
      </c>
      <c r="H3784" cm="1">
        <f t="array" ref="H3784">IFERROR(VLOOKUP(INPUT!M3779&amp;INPUT!N3779,CHOOSE({1,2},INPUT!$A$3:$A$5000&amp;INPUT!$C$3:$C$5000,INPUT!$D$3:$D$5000),2,FALSE),"")</f>
        <v>0</v>
      </c>
      <c r="I3784" s="46" t="str">
        <f>IF(INPUT!P3779="","",INPUT!P3779)</f>
        <v/>
      </c>
      <c r="J3784" s="46" t="str">
        <f>IF(INPUT!Q3779="","",INPUT!Q3779)</f>
        <v/>
      </c>
      <c r="K3784" s="46" t="str">
        <f>IFERROR(IF(OR(INPUT!P3779="",INPUT!Q3779=""),"",INPUT!P3779-INPUT!Q3779),"")</f>
        <v/>
      </c>
      <c r="L3784" s="48" t="str">
        <f>IFERROR(IF(OR(INPUT!P3779="",INPUT!Q3779="",INPUT!P3779=0),"",(INPUT!P3779-INPUT!Q3779)/INPUT!P3779),"")</f>
        <v/>
      </c>
    </row>
    <row r="3785" spans="1:12" ht="18" hidden="1" customHeight="1" x14ac:dyDescent="0.2">
      <c r="A3785" s="11" t="str">
        <f>IF(INPUT!M3780="","",INPUT!M3780)</f>
        <v/>
      </c>
      <c r="B3785" s="11" t="str">
        <f>IF(INPUT!M3780="","",INPUT!M3780-WEEKDAY(INPUT!M3780,2)+1)</f>
        <v/>
      </c>
      <c r="C3785" s="20">
        <f>IFERROR(_xlfn.ISOWEEKNUM(INPUT!M3780),"")</f>
        <v>52</v>
      </c>
      <c r="D3785" s="20">
        <f>IFERROR(YEAR(INPUT!M3780),"")</f>
        <v>1900</v>
      </c>
      <c r="E3785" t="str">
        <f>IF(INPUT!O3780="","",INPUT!O3780)</f>
        <v/>
      </c>
      <c r="F3785" t="str">
        <f>IF(INPUT!N3780="","",INPUT!N3780)</f>
        <v/>
      </c>
      <c r="G3785" cm="1">
        <f t="array" ref="G3785">IFERROR(VLOOKUP(INPUT!M3780&amp;INPUT!N3780,CHOOSE({1,2},INPUT!$A$3:$A$5000&amp;INPUT!$C$3:$C$5000,INPUT!$F$3:$F$5000),2,FALSE),"")</f>
        <v>0</v>
      </c>
      <c r="H3785" cm="1">
        <f t="array" ref="H3785">IFERROR(VLOOKUP(INPUT!M3780&amp;INPUT!N3780,CHOOSE({1,2},INPUT!$A$3:$A$5000&amp;INPUT!$C$3:$C$5000,INPUT!$D$3:$D$5000),2,FALSE),"")</f>
        <v>0</v>
      </c>
      <c r="I3785" s="46" t="str">
        <f>IF(INPUT!P3780="","",INPUT!P3780)</f>
        <v/>
      </c>
      <c r="J3785" s="46" t="str">
        <f>IF(INPUT!Q3780="","",INPUT!Q3780)</f>
        <v/>
      </c>
      <c r="K3785" s="46" t="str">
        <f>IFERROR(IF(OR(INPUT!P3780="",INPUT!Q3780=""),"",INPUT!P3780-INPUT!Q3780),"")</f>
        <v/>
      </c>
      <c r="L3785" s="48" t="str">
        <f>IFERROR(IF(OR(INPUT!P3780="",INPUT!Q3780="",INPUT!P3780=0),"",(INPUT!P3780-INPUT!Q3780)/INPUT!P3780),"")</f>
        <v/>
      </c>
    </row>
    <row r="3786" spans="1:12" ht="18" hidden="1" customHeight="1" x14ac:dyDescent="0.2">
      <c r="A3786" s="11" t="str">
        <f>IF(INPUT!M3781="","",INPUT!M3781)</f>
        <v/>
      </c>
      <c r="B3786" s="11" t="str">
        <f>IF(INPUT!M3781="","",INPUT!M3781-WEEKDAY(INPUT!M3781,2)+1)</f>
        <v/>
      </c>
      <c r="C3786" s="20">
        <f>IFERROR(_xlfn.ISOWEEKNUM(INPUT!M3781),"")</f>
        <v>52</v>
      </c>
      <c r="D3786" s="20">
        <f>IFERROR(YEAR(INPUT!M3781),"")</f>
        <v>1900</v>
      </c>
      <c r="E3786" t="str">
        <f>IF(INPUT!O3781="","",INPUT!O3781)</f>
        <v/>
      </c>
      <c r="F3786" t="str">
        <f>IF(INPUT!N3781="","",INPUT!N3781)</f>
        <v/>
      </c>
      <c r="G3786" cm="1">
        <f t="array" ref="G3786">IFERROR(VLOOKUP(INPUT!M3781&amp;INPUT!N3781,CHOOSE({1,2},INPUT!$A$3:$A$5000&amp;INPUT!$C$3:$C$5000,INPUT!$F$3:$F$5000),2,FALSE),"")</f>
        <v>0</v>
      </c>
      <c r="H3786" cm="1">
        <f t="array" ref="H3786">IFERROR(VLOOKUP(INPUT!M3781&amp;INPUT!N3781,CHOOSE({1,2},INPUT!$A$3:$A$5000&amp;INPUT!$C$3:$C$5000,INPUT!$D$3:$D$5000),2,FALSE),"")</f>
        <v>0</v>
      </c>
      <c r="I3786" s="46" t="str">
        <f>IF(INPUT!P3781="","",INPUT!P3781)</f>
        <v/>
      </c>
      <c r="J3786" s="46" t="str">
        <f>IF(INPUT!Q3781="","",INPUT!Q3781)</f>
        <v/>
      </c>
      <c r="K3786" s="46" t="str">
        <f>IFERROR(IF(OR(INPUT!P3781="",INPUT!Q3781=""),"",INPUT!P3781-INPUT!Q3781),"")</f>
        <v/>
      </c>
      <c r="L3786" s="48" t="str">
        <f>IFERROR(IF(OR(INPUT!P3781="",INPUT!Q3781="",INPUT!P3781=0),"",(INPUT!P3781-INPUT!Q3781)/INPUT!P3781),"")</f>
        <v/>
      </c>
    </row>
    <row r="3787" spans="1:12" ht="18" hidden="1" customHeight="1" x14ac:dyDescent="0.2">
      <c r="A3787" s="11" t="str">
        <f>IF(INPUT!M3782="","",INPUT!M3782)</f>
        <v/>
      </c>
      <c r="B3787" s="11" t="str">
        <f>IF(INPUT!M3782="","",INPUT!M3782-WEEKDAY(INPUT!M3782,2)+1)</f>
        <v/>
      </c>
      <c r="C3787" s="20">
        <f>IFERROR(_xlfn.ISOWEEKNUM(INPUT!M3782),"")</f>
        <v>52</v>
      </c>
      <c r="D3787" s="20">
        <f>IFERROR(YEAR(INPUT!M3782),"")</f>
        <v>1900</v>
      </c>
      <c r="E3787" t="str">
        <f>IF(INPUT!O3782="","",INPUT!O3782)</f>
        <v/>
      </c>
      <c r="F3787" t="str">
        <f>IF(INPUT!N3782="","",INPUT!N3782)</f>
        <v/>
      </c>
      <c r="G3787" cm="1">
        <f t="array" ref="G3787">IFERROR(VLOOKUP(INPUT!M3782&amp;INPUT!N3782,CHOOSE({1,2},INPUT!$A$3:$A$5000&amp;INPUT!$C$3:$C$5000,INPUT!$F$3:$F$5000),2,FALSE),"")</f>
        <v>0</v>
      </c>
      <c r="H3787" cm="1">
        <f t="array" ref="H3787">IFERROR(VLOOKUP(INPUT!M3782&amp;INPUT!N3782,CHOOSE({1,2},INPUT!$A$3:$A$5000&amp;INPUT!$C$3:$C$5000,INPUT!$D$3:$D$5000),2,FALSE),"")</f>
        <v>0</v>
      </c>
      <c r="I3787" s="46" t="str">
        <f>IF(INPUT!P3782="","",INPUT!P3782)</f>
        <v/>
      </c>
      <c r="J3787" s="46" t="str">
        <f>IF(INPUT!Q3782="","",INPUT!Q3782)</f>
        <v/>
      </c>
      <c r="K3787" s="46" t="str">
        <f>IFERROR(IF(OR(INPUT!P3782="",INPUT!Q3782=""),"",INPUT!P3782-INPUT!Q3782),"")</f>
        <v/>
      </c>
      <c r="L3787" s="48" t="str">
        <f>IFERROR(IF(OR(INPUT!P3782="",INPUT!Q3782="",INPUT!P3782=0),"",(INPUT!P3782-INPUT!Q3782)/INPUT!P3782),"")</f>
        <v/>
      </c>
    </row>
    <row r="3788" spans="1:12" ht="18" hidden="1" customHeight="1" x14ac:dyDescent="0.2">
      <c r="A3788" s="11" t="str">
        <f>IF(INPUT!M3783="","",INPUT!M3783)</f>
        <v/>
      </c>
      <c r="B3788" s="11" t="str">
        <f>IF(INPUT!M3783="","",INPUT!M3783-WEEKDAY(INPUT!M3783,2)+1)</f>
        <v/>
      </c>
      <c r="C3788" s="20">
        <f>IFERROR(_xlfn.ISOWEEKNUM(INPUT!M3783),"")</f>
        <v>52</v>
      </c>
      <c r="D3788" s="20">
        <f>IFERROR(YEAR(INPUT!M3783),"")</f>
        <v>1900</v>
      </c>
      <c r="E3788" t="str">
        <f>IF(INPUT!O3783="","",INPUT!O3783)</f>
        <v/>
      </c>
      <c r="F3788" t="str">
        <f>IF(INPUT!N3783="","",INPUT!N3783)</f>
        <v/>
      </c>
      <c r="G3788" cm="1">
        <f t="array" ref="G3788">IFERROR(VLOOKUP(INPUT!M3783&amp;INPUT!N3783,CHOOSE({1,2},INPUT!$A$3:$A$5000&amp;INPUT!$C$3:$C$5000,INPUT!$F$3:$F$5000),2,FALSE),"")</f>
        <v>0</v>
      </c>
      <c r="H3788" cm="1">
        <f t="array" ref="H3788">IFERROR(VLOOKUP(INPUT!M3783&amp;INPUT!N3783,CHOOSE({1,2},INPUT!$A$3:$A$5000&amp;INPUT!$C$3:$C$5000,INPUT!$D$3:$D$5000),2,FALSE),"")</f>
        <v>0</v>
      </c>
      <c r="I3788" s="46" t="str">
        <f>IF(INPUT!P3783="","",INPUT!P3783)</f>
        <v/>
      </c>
      <c r="J3788" s="46" t="str">
        <f>IF(INPUT!Q3783="","",INPUT!Q3783)</f>
        <v/>
      </c>
      <c r="K3788" s="46" t="str">
        <f>IFERROR(IF(OR(INPUT!P3783="",INPUT!Q3783=""),"",INPUT!P3783-INPUT!Q3783),"")</f>
        <v/>
      </c>
      <c r="L3788" s="48" t="str">
        <f>IFERROR(IF(OR(INPUT!P3783="",INPUT!Q3783="",INPUT!P3783=0),"",(INPUT!P3783-INPUT!Q3783)/INPUT!P3783),"")</f>
        <v/>
      </c>
    </row>
    <row r="3789" spans="1:12" ht="18" hidden="1" customHeight="1" x14ac:dyDescent="0.2">
      <c r="A3789" s="11" t="str">
        <f>IF(INPUT!M3784="","",INPUT!M3784)</f>
        <v/>
      </c>
      <c r="B3789" s="11" t="str">
        <f>IF(INPUT!M3784="","",INPUT!M3784-WEEKDAY(INPUT!M3784,2)+1)</f>
        <v/>
      </c>
      <c r="C3789" s="20">
        <f>IFERROR(_xlfn.ISOWEEKNUM(INPUT!M3784),"")</f>
        <v>52</v>
      </c>
      <c r="D3789" s="20">
        <f>IFERROR(YEAR(INPUT!M3784),"")</f>
        <v>1900</v>
      </c>
      <c r="E3789" t="str">
        <f>IF(INPUT!O3784="","",INPUT!O3784)</f>
        <v/>
      </c>
      <c r="F3789" t="str">
        <f>IF(INPUT!N3784="","",INPUT!N3784)</f>
        <v/>
      </c>
      <c r="G3789" cm="1">
        <f t="array" ref="G3789">IFERROR(VLOOKUP(INPUT!M3784&amp;INPUT!N3784,CHOOSE({1,2},INPUT!$A$3:$A$5000&amp;INPUT!$C$3:$C$5000,INPUT!$F$3:$F$5000),2,FALSE),"")</f>
        <v>0</v>
      </c>
      <c r="H3789" cm="1">
        <f t="array" ref="H3789">IFERROR(VLOOKUP(INPUT!M3784&amp;INPUT!N3784,CHOOSE({1,2},INPUT!$A$3:$A$5000&amp;INPUT!$C$3:$C$5000,INPUT!$D$3:$D$5000),2,FALSE),"")</f>
        <v>0</v>
      </c>
      <c r="I3789" s="46" t="str">
        <f>IF(INPUT!P3784="","",INPUT!P3784)</f>
        <v/>
      </c>
      <c r="J3789" s="46" t="str">
        <f>IF(INPUT!Q3784="","",INPUT!Q3784)</f>
        <v/>
      </c>
      <c r="K3789" s="46" t="str">
        <f>IFERROR(IF(OR(INPUT!P3784="",INPUT!Q3784=""),"",INPUT!P3784-INPUT!Q3784),"")</f>
        <v/>
      </c>
      <c r="L3789" s="48" t="str">
        <f>IFERROR(IF(OR(INPUT!P3784="",INPUT!Q3784="",INPUT!P3784=0),"",(INPUT!P3784-INPUT!Q3784)/INPUT!P3784),"")</f>
        <v/>
      </c>
    </row>
    <row r="3790" spans="1:12" ht="18" hidden="1" customHeight="1" x14ac:dyDescent="0.2">
      <c r="A3790" s="11" t="str">
        <f>IF(INPUT!M3785="","",INPUT!M3785)</f>
        <v/>
      </c>
      <c r="B3790" s="11" t="str">
        <f>IF(INPUT!M3785="","",INPUT!M3785-WEEKDAY(INPUT!M3785,2)+1)</f>
        <v/>
      </c>
      <c r="C3790" s="20">
        <f>IFERROR(_xlfn.ISOWEEKNUM(INPUT!M3785),"")</f>
        <v>52</v>
      </c>
      <c r="D3790" s="20">
        <f>IFERROR(YEAR(INPUT!M3785),"")</f>
        <v>1900</v>
      </c>
      <c r="E3790" t="str">
        <f>IF(INPUT!O3785="","",INPUT!O3785)</f>
        <v/>
      </c>
      <c r="F3790" t="str">
        <f>IF(INPUT!N3785="","",INPUT!N3785)</f>
        <v/>
      </c>
      <c r="G3790" cm="1">
        <f t="array" ref="G3790">IFERROR(VLOOKUP(INPUT!M3785&amp;INPUT!N3785,CHOOSE({1,2},INPUT!$A$3:$A$5000&amp;INPUT!$C$3:$C$5000,INPUT!$F$3:$F$5000),2,FALSE),"")</f>
        <v>0</v>
      </c>
      <c r="H3790" cm="1">
        <f t="array" ref="H3790">IFERROR(VLOOKUP(INPUT!M3785&amp;INPUT!N3785,CHOOSE({1,2},INPUT!$A$3:$A$5000&amp;INPUT!$C$3:$C$5000,INPUT!$D$3:$D$5000),2,FALSE),"")</f>
        <v>0</v>
      </c>
      <c r="I3790" s="46" t="str">
        <f>IF(INPUT!P3785="","",INPUT!P3785)</f>
        <v/>
      </c>
      <c r="J3790" s="46" t="str">
        <f>IF(INPUT!Q3785="","",INPUT!Q3785)</f>
        <v/>
      </c>
      <c r="K3790" s="46" t="str">
        <f>IFERROR(IF(OR(INPUT!P3785="",INPUT!Q3785=""),"",INPUT!P3785-INPUT!Q3785),"")</f>
        <v/>
      </c>
      <c r="L3790" s="48" t="str">
        <f>IFERROR(IF(OR(INPUT!P3785="",INPUT!Q3785="",INPUT!P3785=0),"",(INPUT!P3785-INPUT!Q3785)/INPUT!P3785),"")</f>
        <v/>
      </c>
    </row>
    <row r="3791" spans="1:12" ht="18" hidden="1" customHeight="1" x14ac:dyDescent="0.2">
      <c r="A3791" s="11" t="str">
        <f>IF(INPUT!M3786="","",INPUT!M3786)</f>
        <v/>
      </c>
      <c r="B3791" s="11" t="str">
        <f>IF(INPUT!M3786="","",INPUT!M3786-WEEKDAY(INPUT!M3786,2)+1)</f>
        <v/>
      </c>
      <c r="C3791" s="20">
        <f>IFERROR(_xlfn.ISOWEEKNUM(INPUT!M3786),"")</f>
        <v>52</v>
      </c>
      <c r="D3791" s="20">
        <f>IFERROR(YEAR(INPUT!M3786),"")</f>
        <v>1900</v>
      </c>
      <c r="E3791" t="str">
        <f>IF(INPUT!O3786="","",INPUT!O3786)</f>
        <v/>
      </c>
      <c r="F3791" t="str">
        <f>IF(INPUT!N3786="","",INPUT!N3786)</f>
        <v/>
      </c>
      <c r="G3791" cm="1">
        <f t="array" ref="G3791">IFERROR(VLOOKUP(INPUT!M3786&amp;INPUT!N3786,CHOOSE({1,2},INPUT!$A$3:$A$5000&amp;INPUT!$C$3:$C$5000,INPUT!$F$3:$F$5000),2,FALSE),"")</f>
        <v>0</v>
      </c>
      <c r="H3791" cm="1">
        <f t="array" ref="H3791">IFERROR(VLOOKUP(INPUT!M3786&amp;INPUT!N3786,CHOOSE({1,2},INPUT!$A$3:$A$5000&amp;INPUT!$C$3:$C$5000,INPUT!$D$3:$D$5000),2,FALSE),"")</f>
        <v>0</v>
      </c>
      <c r="I3791" s="46" t="str">
        <f>IF(INPUT!P3786="","",INPUT!P3786)</f>
        <v/>
      </c>
      <c r="J3791" s="46" t="str">
        <f>IF(INPUT!Q3786="","",INPUT!Q3786)</f>
        <v/>
      </c>
      <c r="K3791" s="46" t="str">
        <f>IFERROR(IF(OR(INPUT!P3786="",INPUT!Q3786=""),"",INPUT!P3786-INPUT!Q3786),"")</f>
        <v/>
      </c>
      <c r="L3791" s="48" t="str">
        <f>IFERROR(IF(OR(INPUT!P3786="",INPUT!Q3786="",INPUT!P3786=0),"",(INPUT!P3786-INPUT!Q3786)/INPUT!P3786),"")</f>
        <v/>
      </c>
    </row>
    <row r="3792" spans="1:12" ht="18" hidden="1" customHeight="1" x14ac:dyDescent="0.2">
      <c r="A3792" s="11" t="str">
        <f>IF(INPUT!M3787="","",INPUT!M3787)</f>
        <v/>
      </c>
      <c r="B3792" s="11" t="str">
        <f>IF(INPUT!M3787="","",INPUT!M3787-WEEKDAY(INPUT!M3787,2)+1)</f>
        <v/>
      </c>
      <c r="C3792" s="20">
        <f>IFERROR(_xlfn.ISOWEEKNUM(INPUT!M3787),"")</f>
        <v>52</v>
      </c>
      <c r="D3792" s="20">
        <f>IFERROR(YEAR(INPUT!M3787),"")</f>
        <v>1900</v>
      </c>
      <c r="E3792" t="str">
        <f>IF(INPUT!O3787="","",INPUT!O3787)</f>
        <v/>
      </c>
      <c r="F3792" t="str">
        <f>IF(INPUT!N3787="","",INPUT!N3787)</f>
        <v/>
      </c>
      <c r="G3792" cm="1">
        <f t="array" ref="G3792">IFERROR(VLOOKUP(INPUT!M3787&amp;INPUT!N3787,CHOOSE({1,2},INPUT!$A$3:$A$5000&amp;INPUT!$C$3:$C$5000,INPUT!$F$3:$F$5000),2,FALSE),"")</f>
        <v>0</v>
      </c>
      <c r="H3792" cm="1">
        <f t="array" ref="H3792">IFERROR(VLOOKUP(INPUT!M3787&amp;INPUT!N3787,CHOOSE({1,2},INPUT!$A$3:$A$5000&amp;INPUT!$C$3:$C$5000,INPUT!$D$3:$D$5000),2,FALSE),"")</f>
        <v>0</v>
      </c>
      <c r="I3792" s="46" t="str">
        <f>IF(INPUT!P3787="","",INPUT!P3787)</f>
        <v/>
      </c>
      <c r="J3792" s="46" t="str">
        <f>IF(INPUT!Q3787="","",INPUT!Q3787)</f>
        <v/>
      </c>
      <c r="K3792" s="46" t="str">
        <f>IFERROR(IF(OR(INPUT!P3787="",INPUT!Q3787=""),"",INPUT!P3787-INPUT!Q3787),"")</f>
        <v/>
      </c>
      <c r="L3792" s="48" t="str">
        <f>IFERROR(IF(OR(INPUT!P3787="",INPUT!Q3787="",INPUT!P3787=0),"",(INPUT!P3787-INPUT!Q3787)/INPUT!P3787),"")</f>
        <v/>
      </c>
    </row>
    <row r="3793" spans="1:12" ht="18" hidden="1" customHeight="1" x14ac:dyDescent="0.2">
      <c r="A3793" s="11" t="str">
        <f>IF(INPUT!M3788="","",INPUT!M3788)</f>
        <v/>
      </c>
      <c r="B3793" s="11" t="str">
        <f>IF(INPUT!M3788="","",INPUT!M3788-WEEKDAY(INPUT!M3788,2)+1)</f>
        <v/>
      </c>
      <c r="C3793" s="20">
        <f>IFERROR(_xlfn.ISOWEEKNUM(INPUT!M3788),"")</f>
        <v>52</v>
      </c>
      <c r="D3793" s="20">
        <f>IFERROR(YEAR(INPUT!M3788),"")</f>
        <v>1900</v>
      </c>
      <c r="E3793" t="str">
        <f>IF(INPUT!O3788="","",INPUT!O3788)</f>
        <v/>
      </c>
      <c r="F3793" t="str">
        <f>IF(INPUT!N3788="","",INPUT!N3788)</f>
        <v/>
      </c>
      <c r="G3793" cm="1">
        <f t="array" ref="G3793">IFERROR(VLOOKUP(INPUT!M3788&amp;INPUT!N3788,CHOOSE({1,2},INPUT!$A$3:$A$5000&amp;INPUT!$C$3:$C$5000,INPUT!$F$3:$F$5000),2,FALSE),"")</f>
        <v>0</v>
      </c>
      <c r="H3793" cm="1">
        <f t="array" ref="H3793">IFERROR(VLOOKUP(INPUT!M3788&amp;INPUT!N3788,CHOOSE({1,2},INPUT!$A$3:$A$5000&amp;INPUT!$C$3:$C$5000,INPUT!$D$3:$D$5000),2,FALSE),"")</f>
        <v>0</v>
      </c>
      <c r="I3793" s="46" t="str">
        <f>IF(INPUT!P3788="","",INPUT!P3788)</f>
        <v/>
      </c>
      <c r="J3793" s="46" t="str">
        <f>IF(INPUT!Q3788="","",INPUT!Q3788)</f>
        <v/>
      </c>
      <c r="K3793" s="46" t="str">
        <f>IFERROR(IF(OR(INPUT!P3788="",INPUT!Q3788=""),"",INPUT!P3788-INPUT!Q3788),"")</f>
        <v/>
      </c>
      <c r="L3793" s="48" t="str">
        <f>IFERROR(IF(OR(INPUT!P3788="",INPUT!Q3788="",INPUT!P3788=0),"",(INPUT!P3788-INPUT!Q3788)/INPUT!P3788),"")</f>
        <v/>
      </c>
    </row>
    <row r="3794" spans="1:12" ht="18" hidden="1" customHeight="1" x14ac:dyDescent="0.2">
      <c r="A3794" s="11" t="str">
        <f>IF(INPUT!M3789="","",INPUT!M3789)</f>
        <v/>
      </c>
      <c r="B3794" s="11" t="str">
        <f>IF(INPUT!M3789="","",INPUT!M3789-WEEKDAY(INPUT!M3789,2)+1)</f>
        <v/>
      </c>
      <c r="C3794" s="20">
        <f>IFERROR(_xlfn.ISOWEEKNUM(INPUT!M3789),"")</f>
        <v>52</v>
      </c>
      <c r="D3794" s="20">
        <f>IFERROR(YEAR(INPUT!M3789),"")</f>
        <v>1900</v>
      </c>
      <c r="E3794" t="str">
        <f>IF(INPUT!O3789="","",INPUT!O3789)</f>
        <v/>
      </c>
      <c r="F3794" t="str">
        <f>IF(INPUT!N3789="","",INPUT!N3789)</f>
        <v/>
      </c>
      <c r="G3794" cm="1">
        <f t="array" ref="G3794">IFERROR(VLOOKUP(INPUT!M3789&amp;INPUT!N3789,CHOOSE({1,2},INPUT!$A$3:$A$5000&amp;INPUT!$C$3:$C$5000,INPUT!$F$3:$F$5000),2,FALSE),"")</f>
        <v>0</v>
      </c>
      <c r="H3794" cm="1">
        <f t="array" ref="H3794">IFERROR(VLOOKUP(INPUT!M3789&amp;INPUT!N3789,CHOOSE({1,2},INPUT!$A$3:$A$5000&amp;INPUT!$C$3:$C$5000,INPUT!$D$3:$D$5000),2,FALSE),"")</f>
        <v>0</v>
      </c>
      <c r="I3794" s="46" t="str">
        <f>IF(INPUT!P3789="","",INPUT!P3789)</f>
        <v/>
      </c>
      <c r="J3794" s="46" t="str">
        <f>IF(INPUT!Q3789="","",INPUT!Q3789)</f>
        <v/>
      </c>
      <c r="K3794" s="46" t="str">
        <f>IFERROR(IF(OR(INPUT!P3789="",INPUT!Q3789=""),"",INPUT!P3789-INPUT!Q3789),"")</f>
        <v/>
      </c>
      <c r="L3794" s="48" t="str">
        <f>IFERROR(IF(OR(INPUT!P3789="",INPUT!Q3789="",INPUT!P3789=0),"",(INPUT!P3789-INPUT!Q3789)/INPUT!P3789),"")</f>
        <v/>
      </c>
    </row>
    <row r="3795" spans="1:12" ht="18" hidden="1" customHeight="1" x14ac:dyDescent="0.2">
      <c r="A3795" s="11" t="str">
        <f>IF(INPUT!M3790="","",INPUT!M3790)</f>
        <v/>
      </c>
      <c r="B3795" s="11" t="str">
        <f>IF(INPUT!M3790="","",INPUT!M3790-WEEKDAY(INPUT!M3790,2)+1)</f>
        <v/>
      </c>
      <c r="C3795" s="20">
        <f>IFERROR(_xlfn.ISOWEEKNUM(INPUT!M3790),"")</f>
        <v>52</v>
      </c>
      <c r="D3795" s="20">
        <f>IFERROR(YEAR(INPUT!M3790),"")</f>
        <v>1900</v>
      </c>
      <c r="E3795" t="str">
        <f>IF(INPUT!O3790="","",INPUT!O3790)</f>
        <v/>
      </c>
      <c r="F3795" t="str">
        <f>IF(INPUT!N3790="","",INPUT!N3790)</f>
        <v/>
      </c>
      <c r="G3795" cm="1">
        <f t="array" ref="G3795">IFERROR(VLOOKUP(INPUT!M3790&amp;INPUT!N3790,CHOOSE({1,2},INPUT!$A$3:$A$5000&amp;INPUT!$C$3:$C$5000,INPUT!$F$3:$F$5000),2,FALSE),"")</f>
        <v>0</v>
      </c>
      <c r="H3795" cm="1">
        <f t="array" ref="H3795">IFERROR(VLOOKUP(INPUT!M3790&amp;INPUT!N3790,CHOOSE({1,2},INPUT!$A$3:$A$5000&amp;INPUT!$C$3:$C$5000,INPUT!$D$3:$D$5000),2,FALSE),"")</f>
        <v>0</v>
      </c>
      <c r="I3795" s="46" t="str">
        <f>IF(INPUT!P3790="","",INPUT!P3790)</f>
        <v/>
      </c>
      <c r="J3795" s="46" t="str">
        <f>IF(INPUT!Q3790="","",INPUT!Q3790)</f>
        <v/>
      </c>
      <c r="K3795" s="46" t="str">
        <f>IFERROR(IF(OR(INPUT!P3790="",INPUT!Q3790=""),"",INPUT!P3790-INPUT!Q3790),"")</f>
        <v/>
      </c>
      <c r="L3795" s="48" t="str">
        <f>IFERROR(IF(OR(INPUT!P3790="",INPUT!Q3790="",INPUT!P3790=0),"",(INPUT!P3790-INPUT!Q3790)/INPUT!P3790),"")</f>
        <v/>
      </c>
    </row>
    <row r="3796" spans="1:12" ht="18" hidden="1" customHeight="1" x14ac:dyDescent="0.2">
      <c r="A3796" s="11" t="str">
        <f>IF(INPUT!M3791="","",INPUT!M3791)</f>
        <v/>
      </c>
      <c r="B3796" s="11" t="str">
        <f>IF(INPUT!M3791="","",INPUT!M3791-WEEKDAY(INPUT!M3791,2)+1)</f>
        <v/>
      </c>
      <c r="C3796" s="20">
        <f>IFERROR(_xlfn.ISOWEEKNUM(INPUT!M3791),"")</f>
        <v>52</v>
      </c>
      <c r="D3796" s="20">
        <f>IFERROR(YEAR(INPUT!M3791),"")</f>
        <v>1900</v>
      </c>
      <c r="E3796" t="str">
        <f>IF(INPUT!O3791="","",INPUT!O3791)</f>
        <v/>
      </c>
      <c r="F3796" t="str">
        <f>IF(INPUT!N3791="","",INPUT!N3791)</f>
        <v/>
      </c>
      <c r="G3796" cm="1">
        <f t="array" ref="G3796">IFERROR(VLOOKUP(INPUT!M3791&amp;INPUT!N3791,CHOOSE({1,2},INPUT!$A$3:$A$5000&amp;INPUT!$C$3:$C$5000,INPUT!$F$3:$F$5000),2,FALSE),"")</f>
        <v>0</v>
      </c>
      <c r="H3796" cm="1">
        <f t="array" ref="H3796">IFERROR(VLOOKUP(INPUT!M3791&amp;INPUT!N3791,CHOOSE({1,2},INPUT!$A$3:$A$5000&amp;INPUT!$C$3:$C$5000,INPUT!$D$3:$D$5000),2,FALSE),"")</f>
        <v>0</v>
      </c>
      <c r="I3796" s="46" t="str">
        <f>IF(INPUT!P3791="","",INPUT!P3791)</f>
        <v/>
      </c>
      <c r="J3796" s="46" t="str">
        <f>IF(INPUT!Q3791="","",INPUT!Q3791)</f>
        <v/>
      </c>
      <c r="K3796" s="46" t="str">
        <f>IFERROR(IF(OR(INPUT!P3791="",INPUT!Q3791=""),"",INPUT!P3791-INPUT!Q3791),"")</f>
        <v/>
      </c>
      <c r="L3796" s="48" t="str">
        <f>IFERROR(IF(OR(INPUT!P3791="",INPUT!Q3791="",INPUT!P3791=0),"",(INPUT!P3791-INPUT!Q3791)/INPUT!P3791),"")</f>
        <v/>
      </c>
    </row>
    <row r="3797" spans="1:12" ht="18" hidden="1" customHeight="1" x14ac:dyDescent="0.2">
      <c r="A3797" s="11" t="str">
        <f>IF(INPUT!M3792="","",INPUT!M3792)</f>
        <v/>
      </c>
      <c r="B3797" s="11" t="str">
        <f>IF(INPUT!M3792="","",INPUT!M3792-WEEKDAY(INPUT!M3792,2)+1)</f>
        <v/>
      </c>
      <c r="C3797" s="20">
        <f>IFERROR(_xlfn.ISOWEEKNUM(INPUT!M3792),"")</f>
        <v>52</v>
      </c>
      <c r="D3797" s="20">
        <f>IFERROR(YEAR(INPUT!M3792),"")</f>
        <v>1900</v>
      </c>
      <c r="E3797" t="str">
        <f>IF(INPUT!O3792="","",INPUT!O3792)</f>
        <v/>
      </c>
      <c r="F3797" t="str">
        <f>IF(INPUT!N3792="","",INPUT!N3792)</f>
        <v/>
      </c>
      <c r="G3797" cm="1">
        <f t="array" ref="G3797">IFERROR(VLOOKUP(INPUT!M3792&amp;INPUT!N3792,CHOOSE({1,2},INPUT!$A$3:$A$5000&amp;INPUT!$C$3:$C$5000,INPUT!$F$3:$F$5000),2,FALSE),"")</f>
        <v>0</v>
      </c>
      <c r="H3797" cm="1">
        <f t="array" ref="H3797">IFERROR(VLOOKUP(INPUT!M3792&amp;INPUT!N3792,CHOOSE({1,2},INPUT!$A$3:$A$5000&amp;INPUT!$C$3:$C$5000,INPUT!$D$3:$D$5000),2,FALSE),"")</f>
        <v>0</v>
      </c>
      <c r="I3797" s="46" t="str">
        <f>IF(INPUT!P3792="","",INPUT!P3792)</f>
        <v/>
      </c>
      <c r="J3797" s="46" t="str">
        <f>IF(INPUT!Q3792="","",INPUT!Q3792)</f>
        <v/>
      </c>
      <c r="K3797" s="46" t="str">
        <f>IFERROR(IF(OR(INPUT!P3792="",INPUT!Q3792=""),"",INPUT!P3792-INPUT!Q3792),"")</f>
        <v/>
      </c>
      <c r="L3797" s="48" t="str">
        <f>IFERROR(IF(OR(INPUT!P3792="",INPUT!Q3792="",INPUT!P3792=0),"",(INPUT!P3792-INPUT!Q3792)/INPUT!P3792),"")</f>
        <v/>
      </c>
    </row>
    <row r="3798" spans="1:12" ht="18" hidden="1" customHeight="1" x14ac:dyDescent="0.2">
      <c r="A3798" s="11" t="str">
        <f>IF(INPUT!M3793="","",INPUT!M3793)</f>
        <v/>
      </c>
      <c r="B3798" s="11" t="str">
        <f>IF(INPUT!M3793="","",INPUT!M3793-WEEKDAY(INPUT!M3793,2)+1)</f>
        <v/>
      </c>
      <c r="C3798" s="20">
        <f>IFERROR(_xlfn.ISOWEEKNUM(INPUT!M3793),"")</f>
        <v>52</v>
      </c>
      <c r="D3798" s="20">
        <f>IFERROR(YEAR(INPUT!M3793),"")</f>
        <v>1900</v>
      </c>
      <c r="E3798" t="str">
        <f>IF(INPUT!O3793="","",INPUT!O3793)</f>
        <v/>
      </c>
      <c r="F3798" t="str">
        <f>IF(INPUT!N3793="","",INPUT!N3793)</f>
        <v/>
      </c>
      <c r="G3798" cm="1">
        <f t="array" ref="G3798">IFERROR(VLOOKUP(INPUT!M3793&amp;INPUT!N3793,CHOOSE({1,2},INPUT!$A$3:$A$5000&amp;INPUT!$C$3:$C$5000,INPUT!$F$3:$F$5000),2,FALSE),"")</f>
        <v>0</v>
      </c>
      <c r="H3798" cm="1">
        <f t="array" ref="H3798">IFERROR(VLOOKUP(INPUT!M3793&amp;INPUT!N3793,CHOOSE({1,2},INPUT!$A$3:$A$5000&amp;INPUT!$C$3:$C$5000,INPUT!$D$3:$D$5000),2,FALSE),"")</f>
        <v>0</v>
      </c>
      <c r="I3798" s="46" t="str">
        <f>IF(INPUT!P3793="","",INPUT!P3793)</f>
        <v/>
      </c>
      <c r="J3798" s="46" t="str">
        <f>IF(INPUT!Q3793="","",INPUT!Q3793)</f>
        <v/>
      </c>
      <c r="K3798" s="46" t="str">
        <f>IFERROR(IF(OR(INPUT!P3793="",INPUT!Q3793=""),"",INPUT!P3793-INPUT!Q3793),"")</f>
        <v/>
      </c>
      <c r="L3798" s="48" t="str">
        <f>IFERROR(IF(OR(INPUT!P3793="",INPUT!Q3793="",INPUT!P3793=0),"",(INPUT!P3793-INPUT!Q3793)/INPUT!P3793),"")</f>
        <v/>
      </c>
    </row>
    <row r="3799" spans="1:12" ht="18" hidden="1" customHeight="1" x14ac:dyDescent="0.2">
      <c r="A3799" s="11" t="str">
        <f>IF(INPUT!M3794="","",INPUT!M3794)</f>
        <v/>
      </c>
      <c r="B3799" s="11" t="str">
        <f>IF(INPUT!M3794="","",INPUT!M3794-WEEKDAY(INPUT!M3794,2)+1)</f>
        <v/>
      </c>
      <c r="C3799" s="20">
        <f>IFERROR(_xlfn.ISOWEEKNUM(INPUT!M3794),"")</f>
        <v>52</v>
      </c>
      <c r="D3799" s="20">
        <f>IFERROR(YEAR(INPUT!M3794),"")</f>
        <v>1900</v>
      </c>
      <c r="E3799" t="str">
        <f>IF(INPUT!O3794="","",INPUT!O3794)</f>
        <v/>
      </c>
      <c r="F3799" t="str">
        <f>IF(INPUT!N3794="","",INPUT!N3794)</f>
        <v/>
      </c>
      <c r="G3799" cm="1">
        <f t="array" ref="G3799">IFERROR(VLOOKUP(INPUT!M3794&amp;INPUT!N3794,CHOOSE({1,2},INPUT!$A$3:$A$5000&amp;INPUT!$C$3:$C$5000,INPUT!$F$3:$F$5000),2,FALSE),"")</f>
        <v>0</v>
      </c>
      <c r="H3799" cm="1">
        <f t="array" ref="H3799">IFERROR(VLOOKUP(INPUT!M3794&amp;INPUT!N3794,CHOOSE({1,2},INPUT!$A$3:$A$5000&amp;INPUT!$C$3:$C$5000,INPUT!$D$3:$D$5000),2,FALSE),"")</f>
        <v>0</v>
      </c>
      <c r="I3799" s="46" t="str">
        <f>IF(INPUT!P3794="","",INPUT!P3794)</f>
        <v/>
      </c>
      <c r="J3799" s="46" t="str">
        <f>IF(INPUT!Q3794="","",INPUT!Q3794)</f>
        <v/>
      </c>
      <c r="K3799" s="46" t="str">
        <f>IFERROR(IF(OR(INPUT!P3794="",INPUT!Q3794=""),"",INPUT!P3794-INPUT!Q3794),"")</f>
        <v/>
      </c>
      <c r="L3799" s="48" t="str">
        <f>IFERROR(IF(OR(INPUT!P3794="",INPUT!Q3794="",INPUT!P3794=0),"",(INPUT!P3794-INPUT!Q3794)/INPUT!P3794),"")</f>
        <v/>
      </c>
    </row>
    <row r="3800" spans="1:12" ht="18" hidden="1" customHeight="1" x14ac:dyDescent="0.2">
      <c r="A3800" s="11" t="str">
        <f>IF(INPUT!M3795="","",INPUT!M3795)</f>
        <v/>
      </c>
      <c r="B3800" s="11" t="str">
        <f>IF(INPUT!M3795="","",INPUT!M3795-WEEKDAY(INPUT!M3795,2)+1)</f>
        <v/>
      </c>
      <c r="C3800" s="20">
        <f>IFERROR(_xlfn.ISOWEEKNUM(INPUT!M3795),"")</f>
        <v>52</v>
      </c>
      <c r="D3800" s="20">
        <f>IFERROR(YEAR(INPUT!M3795),"")</f>
        <v>1900</v>
      </c>
      <c r="E3800" t="str">
        <f>IF(INPUT!O3795="","",INPUT!O3795)</f>
        <v/>
      </c>
      <c r="F3800" t="str">
        <f>IF(INPUT!N3795="","",INPUT!N3795)</f>
        <v/>
      </c>
      <c r="G3800" cm="1">
        <f t="array" ref="G3800">IFERROR(VLOOKUP(INPUT!M3795&amp;INPUT!N3795,CHOOSE({1,2},INPUT!$A$3:$A$5000&amp;INPUT!$C$3:$C$5000,INPUT!$F$3:$F$5000),2,FALSE),"")</f>
        <v>0</v>
      </c>
      <c r="H3800" cm="1">
        <f t="array" ref="H3800">IFERROR(VLOOKUP(INPUT!M3795&amp;INPUT!N3795,CHOOSE({1,2},INPUT!$A$3:$A$5000&amp;INPUT!$C$3:$C$5000,INPUT!$D$3:$D$5000),2,FALSE),"")</f>
        <v>0</v>
      </c>
      <c r="I3800" s="46" t="str">
        <f>IF(INPUT!P3795="","",INPUT!P3795)</f>
        <v/>
      </c>
      <c r="J3800" s="46" t="str">
        <f>IF(INPUT!Q3795="","",INPUT!Q3795)</f>
        <v/>
      </c>
      <c r="K3800" s="46" t="str">
        <f>IFERROR(IF(OR(INPUT!P3795="",INPUT!Q3795=""),"",INPUT!P3795-INPUT!Q3795),"")</f>
        <v/>
      </c>
      <c r="L3800" s="48" t="str">
        <f>IFERROR(IF(OR(INPUT!P3795="",INPUT!Q3795="",INPUT!P3795=0),"",(INPUT!P3795-INPUT!Q3795)/INPUT!P3795),"")</f>
        <v/>
      </c>
    </row>
    <row r="3801" spans="1:12" ht="18" hidden="1" customHeight="1" x14ac:dyDescent="0.2">
      <c r="A3801" s="11" t="str">
        <f>IF(INPUT!M3796="","",INPUT!M3796)</f>
        <v/>
      </c>
      <c r="B3801" s="11" t="str">
        <f>IF(INPUT!M3796="","",INPUT!M3796-WEEKDAY(INPUT!M3796,2)+1)</f>
        <v/>
      </c>
      <c r="C3801" s="20">
        <f>IFERROR(_xlfn.ISOWEEKNUM(INPUT!M3796),"")</f>
        <v>52</v>
      </c>
      <c r="D3801" s="20">
        <f>IFERROR(YEAR(INPUT!M3796),"")</f>
        <v>1900</v>
      </c>
      <c r="E3801" t="str">
        <f>IF(INPUT!O3796="","",INPUT!O3796)</f>
        <v/>
      </c>
      <c r="F3801" t="str">
        <f>IF(INPUT!N3796="","",INPUT!N3796)</f>
        <v/>
      </c>
      <c r="G3801" cm="1">
        <f t="array" ref="G3801">IFERROR(VLOOKUP(INPUT!M3796&amp;INPUT!N3796,CHOOSE({1,2},INPUT!$A$3:$A$5000&amp;INPUT!$C$3:$C$5000,INPUT!$F$3:$F$5000),2,FALSE),"")</f>
        <v>0</v>
      </c>
      <c r="H3801" cm="1">
        <f t="array" ref="H3801">IFERROR(VLOOKUP(INPUT!M3796&amp;INPUT!N3796,CHOOSE({1,2},INPUT!$A$3:$A$5000&amp;INPUT!$C$3:$C$5000,INPUT!$D$3:$D$5000),2,FALSE),"")</f>
        <v>0</v>
      </c>
      <c r="I3801" s="46" t="str">
        <f>IF(INPUT!P3796="","",INPUT!P3796)</f>
        <v/>
      </c>
      <c r="J3801" s="46" t="str">
        <f>IF(INPUT!Q3796="","",INPUT!Q3796)</f>
        <v/>
      </c>
      <c r="K3801" s="46" t="str">
        <f>IFERROR(IF(OR(INPUT!P3796="",INPUT!Q3796=""),"",INPUT!P3796-INPUT!Q3796),"")</f>
        <v/>
      </c>
      <c r="L3801" s="48" t="str">
        <f>IFERROR(IF(OR(INPUT!P3796="",INPUT!Q3796="",INPUT!P3796=0),"",(INPUT!P3796-INPUT!Q3796)/INPUT!P3796),"")</f>
        <v/>
      </c>
    </row>
    <row r="3802" spans="1:12" ht="18" hidden="1" customHeight="1" x14ac:dyDescent="0.2">
      <c r="A3802" s="11" t="str">
        <f>IF(INPUT!M3797="","",INPUT!M3797)</f>
        <v/>
      </c>
      <c r="B3802" s="11" t="str">
        <f>IF(INPUT!M3797="","",INPUT!M3797-WEEKDAY(INPUT!M3797,2)+1)</f>
        <v/>
      </c>
      <c r="C3802" s="20">
        <f>IFERROR(_xlfn.ISOWEEKNUM(INPUT!M3797),"")</f>
        <v>52</v>
      </c>
      <c r="D3802" s="20">
        <f>IFERROR(YEAR(INPUT!M3797),"")</f>
        <v>1900</v>
      </c>
      <c r="E3802" t="str">
        <f>IF(INPUT!O3797="","",INPUT!O3797)</f>
        <v/>
      </c>
      <c r="F3802" t="str">
        <f>IF(INPUT!N3797="","",INPUT!N3797)</f>
        <v/>
      </c>
      <c r="G3802" cm="1">
        <f t="array" ref="G3802">IFERROR(VLOOKUP(INPUT!M3797&amp;INPUT!N3797,CHOOSE({1,2},INPUT!$A$3:$A$5000&amp;INPUT!$C$3:$C$5000,INPUT!$F$3:$F$5000),2,FALSE),"")</f>
        <v>0</v>
      </c>
      <c r="H3802" cm="1">
        <f t="array" ref="H3802">IFERROR(VLOOKUP(INPUT!M3797&amp;INPUT!N3797,CHOOSE({1,2},INPUT!$A$3:$A$5000&amp;INPUT!$C$3:$C$5000,INPUT!$D$3:$D$5000),2,FALSE),"")</f>
        <v>0</v>
      </c>
      <c r="I3802" s="46" t="str">
        <f>IF(INPUT!P3797="","",INPUT!P3797)</f>
        <v/>
      </c>
      <c r="J3802" s="46" t="str">
        <f>IF(INPUT!Q3797="","",INPUT!Q3797)</f>
        <v/>
      </c>
      <c r="K3802" s="46" t="str">
        <f>IFERROR(IF(OR(INPUT!P3797="",INPUT!Q3797=""),"",INPUT!P3797-INPUT!Q3797),"")</f>
        <v/>
      </c>
      <c r="L3802" s="48" t="str">
        <f>IFERROR(IF(OR(INPUT!P3797="",INPUT!Q3797="",INPUT!P3797=0),"",(INPUT!P3797-INPUT!Q3797)/INPUT!P3797),"")</f>
        <v/>
      </c>
    </row>
    <row r="3803" spans="1:12" ht="18" hidden="1" customHeight="1" x14ac:dyDescent="0.2">
      <c r="A3803" s="11" t="str">
        <f>IF(INPUT!M3798="","",INPUT!M3798)</f>
        <v/>
      </c>
      <c r="B3803" s="11" t="str">
        <f>IF(INPUT!M3798="","",INPUT!M3798-WEEKDAY(INPUT!M3798,2)+1)</f>
        <v/>
      </c>
      <c r="C3803" s="20">
        <f>IFERROR(_xlfn.ISOWEEKNUM(INPUT!M3798),"")</f>
        <v>52</v>
      </c>
      <c r="D3803" s="20">
        <f>IFERROR(YEAR(INPUT!M3798),"")</f>
        <v>1900</v>
      </c>
      <c r="E3803" t="str">
        <f>IF(INPUT!O3798="","",INPUT!O3798)</f>
        <v/>
      </c>
      <c r="F3803" t="str">
        <f>IF(INPUT!N3798="","",INPUT!N3798)</f>
        <v/>
      </c>
      <c r="G3803" cm="1">
        <f t="array" ref="G3803">IFERROR(VLOOKUP(INPUT!M3798&amp;INPUT!N3798,CHOOSE({1,2},INPUT!$A$3:$A$5000&amp;INPUT!$C$3:$C$5000,INPUT!$F$3:$F$5000),2,FALSE),"")</f>
        <v>0</v>
      </c>
      <c r="H3803" cm="1">
        <f t="array" ref="H3803">IFERROR(VLOOKUP(INPUT!M3798&amp;INPUT!N3798,CHOOSE({1,2},INPUT!$A$3:$A$5000&amp;INPUT!$C$3:$C$5000,INPUT!$D$3:$D$5000),2,FALSE),"")</f>
        <v>0</v>
      </c>
      <c r="I3803" s="46" t="str">
        <f>IF(INPUT!P3798="","",INPUT!P3798)</f>
        <v/>
      </c>
      <c r="J3803" s="46" t="str">
        <f>IF(INPUT!Q3798="","",INPUT!Q3798)</f>
        <v/>
      </c>
      <c r="K3803" s="46" t="str">
        <f>IFERROR(IF(OR(INPUT!P3798="",INPUT!Q3798=""),"",INPUT!P3798-INPUT!Q3798),"")</f>
        <v/>
      </c>
      <c r="L3803" s="48" t="str">
        <f>IFERROR(IF(OR(INPUT!P3798="",INPUT!Q3798="",INPUT!P3798=0),"",(INPUT!P3798-INPUT!Q3798)/INPUT!P3798),"")</f>
        <v/>
      </c>
    </row>
    <row r="3804" spans="1:12" ht="18" hidden="1" customHeight="1" x14ac:dyDescent="0.2">
      <c r="A3804" s="11" t="str">
        <f>IF(INPUT!M3799="","",INPUT!M3799)</f>
        <v/>
      </c>
      <c r="B3804" s="11" t="str">
        <f>IF(INPUT!M3799="","",INPUT!M3799-WEEKDAY(INPUT!M3799,2)+1)</f>
        <v/>
      </c>
      <c r="C3804" s="20">
        <f>IFERROR(_xlfn.ISOWEEKNUM(INPUT!M3799),"")</f>
        <v>52</v>
      </c>
      <c r="D3804" s="20">
        <f>IFERROR(YEAR(INPUT!M3799),"")</f>
        <v>1900</v>
      </c>
      <c r="E3804" t="str">
        <f>IF(INPUT!O3799="","",INPUT!O3799)</f>
        <v/>
      </c>
      <c r="F3804" t="str">
        <f>IF(INPUT!N3799="","",INPUT!N3799)</f>
        <v/>
      </c>
      <c r="G3804" cm="1">
        <f t="array" ref="G3804">IFERROR(VLOOKUP(INPUT!M3799&amp;INPUT!N3799,CHOOSE({1,2},INPUT!$A$3:$A$5000&amp;INPUT!$C$3:$C$5000,INPUT!$F$3:$F$5000),2,FALSE),"")</f>
        <v>0</v>
      </c>
      <c r="H3804" cm="1">
        <f t="array" ref="H3804">IFERROR(VLOOKUP(INPUT!M3799&amp;INPUT!N3799,CHOOSE({1,2},INPUT!$A$3:$A$5000&amp;INPUT!$C$3:$C$5000,INPUT!$D$3:$D$5000),2,FALSE),"")</f>
        <v>0</v>
      </c>
      <c r="I3804" s="46" t="str">
        <f>IF(INPUT!P3799="","",INPUT!P3799)</f>
        <v/>
      </c>
      <c r="J3804" s="46" t="str">
        <f>IF(INPUT!Q3799="","",INPUT!Q3799)</f>
        <v/>
      </c>
      <c r="K3804" s="46" t="str">
        <f>IFERROR(IF(OR(INPUT!P3799="",INPUT!Q3799=""),"",INPUT!P3799-INPUT!Q3799),"")</f>
        <v/>
      </c>
      <c r="L3804" s="48" t="str">
        <f>IFERROR(IF(OR(INPUT!P3799="",INPUT!Q3799="",INPUT!P3799=0),"",(INPUT!P3799-INPUT!Q3799)/INPUT!P3799),"")</f>
        <v/>
      </c>
    </row>
    <row r="3805" spans="1:12" ht="18" hidden="1" customHeight="1" x14ac:dyDescent="0.2">
      <c r="A3805" s="11" t="str">
        <f>IF(INPUT!M3800="","",INPUT!M3800)</f>
        <v/>
      </c>
      <c r="B3805" s="11" t="str">
        <f>IF(INPUT!M3800="","",INPUT!M3800-WEEKDAY(INPUT!M3800,2)+1)</f>
        <v/>
      </c>
      <c r="C3805" s="20">
        <f>IFERROR(_xlfn.ISOWEEKNUM(INPUT!M3800),"")</f>
        <v>52</v>
      </c>
      <c r="D3805" s="20">
        <f>IFERROR(YEAR(INPUT!M3800),"")</f>
        <v>1900</v>
      </c>
      <c r="E3805" t="str">
        <f>IF(INPUT!O3800="","",INPUT!O3800)</f>
        <v/>
      </c>
      <c r="F3805" t="str">
        <f>IF(INPUT!N3800="","",INPUT!N3800)</f>
        <v/>
      </c>
      <c r="G3805" cm="1">
        <f t="array" ref="G3805">IFERROR(VLOOKUP(INPUT!M3800&amp;INPUT!N3800,CHOOSE({1,2},INPUT!$A$3:$A$5000&amp;INPUT!$C$3:$C$5000,INPUT!$F$3:$F$5000),2,FALSE),"")</f>
        <v>0</v>
      </c>
      <c r="H3805" cm="1">
        <f t="array" ref="H3805">IFERROR(VLOOKUP(INPUT!M3800&amp;INPUT!N3800,CHOOSE({1,2},INPUT!$A$3:$A$5000&amp;INPUT!$C$3:$C$5000,INPUT!$D$3:$D$5000),2,FALSE),"")</f>
        <v>0</v>
      </c>
      <c r="I3805" s="46" t="str">
        <f>IF(INPUT!P3800="","",INPUT!P3800)</f>
        <v/>
      </c>
      <c r="J3805" s="46" t="str">
        <f>IF(INPUT!Q3800="","",INPUT!Q3800)</f>
        <v/>
      </c>
      <c r="K3805" s="46" t="str">
        <f>IFERROR(IF(OR(INPUT!P3800="",INPUT!Q3800=""),"",INPUT!P3800-INPUT!Q3800),"")</f>
        <v/>
      </c>
      <c r="L3805" s="48" t="str">
        <f>IFERROR(IF(OR(INPUT!P3800="",INPUT!Q3800="",INPUT!P3800=0),"",(INPUT!P3800-INPUT!Q3800)/INPUT!P3800),"")</f>
        <v/>
      </c>
    </row>
    <row r="3806" spans="1:12" ht="18" hidden="1" customHeight="1" x14ac:dyDescent="0.2">
      <c r="A3806" s="11" t="str">
        <f>IF(INPUT!M3801="","",INPUT!M3801)</f>
        <v/>
      </c>
      <c r="B3806" s="11" t="str">
        <f>IF(INPUT!M3801="","",INPUT!M3801-WEEKDAY(INPUT!M3801,2)+1)</f>
        <v/>
      </c>
      <c r="C3806" s="20">
        <f>IFERROR(_xlfn.ISOWEEKNUM(INPUT!M3801),"")</f>
        <v>52</v>
      </c>
      <c r="D3806" s="20">
        <f>IFERROR(YEAR(INPUT!M3801),"")</f>
        <v>1900</v>
      </c>
      <c r="E3806" t="str">
        <f>IF(INPUT!O3801="","",INPUT!O3801)</f>
        <v/>
      </c>
      <c r="F3806" t="str">
        <f>IF(INPUT!N3801="","",INPUT!N3801)</f>
        <v/>
      </c>
      <c r="G3806" cm="1">
        <f t="array" ref="G3806">IFERROR(VLOOKUP(INPUT!M3801&amp;INPUT!N3801,CHOOSE({1,2},INPUT!$A$3:$A$5000&amp;INPUT!$C$3:$C$5000,INPUT!$F$3:$F$5000),2,FALSE),"")</f>
        <v>0</v>
      </c>
      <c r="H3806" cm="1">
        <f t="array" ref="H3806">IFERROR(VLOOKUP(INPUT!M3801&amp;INPUT!N3801,CHOOSE({1,2},INPUT!$A$3:$A$5000&amp;INPUT!$C$3:$C$5000,INPUT!$D$3:$D$5000),2,FALSE),"")</f>
        <v>0</v>
      </c>
      <c r="I3806" s="46" t="str">
        <f>IF(INPUT!P3801="","",INPUT!P3801)</f>
        <v/>
      </c>
      <c r="J3806" s="46" t="str">
        <f>IF(INPUT!Q3801="","",INPUT!Q3801)</f>
        <v/>
      </c>
      <c r="K3806" s="46" t="str">
        <f>IFERROR(IF(OR(INPUT!P3801="",INPUT!Q3801=""),"",INPUT!P3801-INPUT!Q3801),"")</f>
        <v/>
      </c>
      <c r="L3806" s="48" t="str">
        <f>IFERROR(IF(OR(INPUT!P3801="",INPUT!Q3801="",INPUT!P3801=0),"",(INPUT!P3801-INPUT!Q3801)/INPUT!P3801),"")</f>
        <v/>
      </c>
    </row>
    <row r="3807" spans="1:12" ht="18" hidden="1" customHeight="1" x14ac:dyDescent="0.2">
      <c r="A3807" s="11" t="str">
        <f>IF(INPUT!M3802="","",INPUT!M3802)</f>
        <v/>
      </c>
      <c r="B3807" s="11" t="str">
        <f>IF(INPUT!M3802="","",INPUT!M3802-WEEKDAY(INPUT!M3802,2)+1)</f>
        <v/>
      </c>
      <c r="C3807" s="20">
        <f>IFERROR(_xlfn.ISOWEEKNUM(INPUT!M3802),"")</f>
        <v>52</v>
      </c>
      <c r="D3807" s="20">
        <f>IFERROR(YEAR(INPUT!M3802),"")</f>
        <v>1900</v>
      </c>
      <c r="E3807" t="str">
        <f>IF(INPUT!O3802="","",INPUT!O3802)</f>
        <v/>
      </c>
      <c r="F3807" t="str">
        <f>IF(INPUT!N3802="","",INPUT!N3802)</f>
        <v/>
      </c>
      <c r="G3807" cm="1">
        <f t="array" ref="G3807">IFERROR(VLOOKUP(INPUT!M3802&amp;INPUT!N3802,CHOOSE({1,2},INPUT!$A$3:$A$5000&amp;INPUT!$C$3:$C$5000,INPUT!$F$3:$F$5000),2,FALSE),"")</f>
        <v>0</v>
      </c>
      <c r="H3807" cm="1">
        <f t="array" ref="H3807">IFERROR(VLOOKUP(INPUT!M3802&amp;INPUT!N3802,CHOOSE({1,2},INPUT!$A$3:$A$5000&amp;INPUT!$C$3:$C$5000,INPUT!$D$3:$D$5000),2,FALSE),"")</f>
        <v>0</v>
      </c>
      <c r="I3807" s="46" t="str">
        <f>IF(INPUT!P3802="","",INPUT!P3802)</f>
        <v/>
      </c>
      <c r="J3807" s="46" t="str">
        <f>IF(INPUT!Q3802="","",INPUT!Q3802)</f>
        <v/>
      </c>
      <c r="K3807" s="46" t="str">
        <f>IFERROR(IF(OR(INPUT!P3802="",INPUT!Q3802=""),"",INPUT!P3802-INPUT!Q3802),"")</f>
        <v/>
      </c>
      <c r="L3807" s="48" t="str">
        <f>IFERROR(IF(OR(INPUT!P3802="",INPUT!Q3802="",INPUT!P3802=0),"",(INPUT!P3802-INPUT!Q3802)/INPUT!P3802),"")</f>
        <v/>
      </c>
    </row>
    <row r="3808" spans="1:12" ht="18" hidden="1" customHeight="1" x14ac:dyDescent="0.2">
      <c r="A3808" s="11" t="str">
        <f>IF(INPUT!M3803="","",INPUT!M3803)</f>
        <v/>
      </c>
      <c r="B3808" s="11" t="str">
        <f>IF(INPUT!M3803="","",INPUT!M3803-WEEKDAY(INPUT!M3803,2)+1)</f>
        <v/>
      </c>
      <c r="C3808" s="20">
        <f>IFERROR(_xlfn.ISOWEEKNUM(INPUT!M3803),"")</f>
        <v>52</v>
      </c>
      <c r="D3808" s="20">
        <f>IFERROR(YEAR(INPUT!M3803),"")</f>
        <v>1900</v>
      </c>
      <c r="E3808" t="str">
        <f>IF(INPUT!O3803="","",INPUT!O3803)</f>
        <v/>
      </c>
      <c r="F3808" t="str">
        <f>IF(INPUT!N3803="","",INPUT!N3803)</f>
        <v/>
      </c>
      <c r="G3808" cm="1">
        <f t="array" ref="G3808">IFERROR(VLOOKUP(INPUT!M3803&amp;INPUT!N3803,CHOOSE({1,2},INPUT!$A$3:$A$5000&amp;INPUT!$C$3:$C$5000,INPUT!$F$3:$F$5000),2,FALSE),"")</f>
        <v>0</v>
      </c>
      <c r="H3808" cm="1">
        <f t="array" ref="H3808">IFERROR(VLOOKUP(INPUT!M3803&amp;INPUT!N3803,CHOOSE({1,2},INPUT!$A$3:$A$5000&amp;INPUT!$C$3:$C$5000,INPUT!$D$3:$D$5000),2,FALSE),"")</f>
        <v>0</v>
      </c>
      <c r="I3808" s="46" t="str">
        <f>IF(INPUT!P3803="","",INPUT!P3803)</f>
        <v/>
      </c>
      <c r="J3808" s="46" t="str">
        <f>IF(INPUT!Q3803="","",INPUT!Q3803)</f>
        <v/>
      </c>
      <c r="K3808" s="46" t="str">
        <f>IFERROR(IF(OR(INPUT!P3803="",INPUT!Q3803=""),"",INPUT!P3803-INPUT!Q3803),"")</f>
        <v/>
      </c>
      <c r="L3808" s="48" t="str">
        <f>IFERROR(IF(OR(INPUT!P3803="",INPUT!Q3803="",INPUT!P3803=0),"",(INPUT!P3803-INPUT!Q3803)/INPUT!P3803),"")</f>
        <v/>
      </c>
    </row>
    <row r="3809" spans="1:12" ht="18" hidden="1" customHeight="1" x14ac:dyDescent="0.2">
      <c r="A3809" s="11" t="str">
        <f>IF(INPUT!M3804="","",INPUT!M3804)</f>
        <v/>
      </c>
      <c r="B3809" s="11" t="str">
        <f>IF(INPUT!M3804="","",INPUT!M3804-WEEKDAY(INPUT!M3804,2)+1)</f>
        <v/>
      </c>
      <c r="C3809" s="20">
        <f>IFERROR(_xlfn.ISOWEEKNUM(INPUT!M3804),"")</f>
        <v>52</v>
      </c>
      <c r="D3809" s="20">
        <f>IFERROR(YEAR(INPUT!M3804),"")</f>
        <v>1900</v>
      </c>
      <c r="E3809" t="str">
        <f>IF(INPUT!O3804="","",INPUT!O3804)</f>
        <v/>
      </c>
      <c r="F3809" t="str">
        <f>IF(INPUT!N3804="","",INPUT!N3804)</f>
        <v/>
      </c>
      <c r="G3809" cm="1">
        <f t="array" ref="G3809">IFERROR(VLOOKUP(INPUT!M3804&amp;INPUT!N3804,CHOOSE({1,2},INPUT!$A$3:$A$5000&amp;INPUT!$C$3:$C$5000,INPUT!$F$3:$F$5000),2,FALSE),"")</f>
        <v>0</v>
      </c>
      <c r="H3809" cm="1">
        <f t="array" ref="H3809">IFERROR(VLOOKUP(INPUT!M3804&amp;INPUT!N3804,CHOOSE({1,2},INPUT!$A$3:$A$5000&amp;INPUT!$C$3:$C$5000,INPUT!$D$3:$D$5000),2,FALSE),"")</f>
        <v>0</v>
      </c>
      <c r="I3809" s="46" t="str">
        <f>IF(INPUT!P3804="","",INPUT!P3804)</f>
        <v/>
      </c>
      <c r="J3809" s="46" t="str">
        <f>IF(INPUT!Q3804="","",INPUT!Q3804)</f>
        <v/>
      </c>
      <c r="K3809" s="46" t="str">
        <f>IFERROR(IF(OR(INPUT!P3804="",INPUT!Q3804=""),"",INPUT!P3804-INPUT!Q3804),"")</f>
        <v/>
      </c>
      <c r="L3809" s="48" t="str">
        <f>IFERROR(IF(OR(INPUT!P3804="",INPUT!Q3804="",INPUT!P3804=0),"",(INPUT!P3804-INPUT!Q3804)/INPUT!P3804),"")</f>
        <v/>
      </c>
    </row>
    <row r="3810" spans="1:12" ht="18" hidden="1" customHeight="1" x14ac:dyDescent="0.2">
      <c r="A3810" s="11" t="str">
        <f>IF(INPUT!M3805="","",INPUT!M3805)</f>
        <v/>
      </c>
      <c r="B3810" s="11" t="str">
        <f>IF(INPUT!M3805="","",INPUT!M3805-WEEKDAY(INPUT!M3805,2)+1)</f>
        <v/>
      </c>
      <c r="C3810" s="20">
        <f>IFERROR(_xlfn.ISOWEEKNUM(INPUT!M3805),"")</f>
        <v>52</v>
      </c>
      <c r="D3810" s="20">
        <f>IFERROR(YEAR(INPUT!M3805),"")</f>
        <v>1900</v>
      </c>
      <c r="E3810" t="str">
        <f>IF(INPUT!O3805="","",INPUT!O3805)</f>
        <v/>
      </c>
      <c r="F3810" t="str">
        <f>IF(INPUT!N3805="","",INPUT!N3805)</f>
        <v/>
      </c>
      <c r="G3810" cm="1">
        <f t="array" ref="G3810">IFERROR(VLOOKUP(INPUT!M3805&amp;INPUT!N3805,CHOOSE({1,2},INPUT!$A$3:$A$5000&amp;INPUT!$C$3:$C$5000,INPUT!$F$3:$F$5000),2,FALSE),"")</f>
        <v>0</v>
      </c>
      <c r="H3810" cm="1">
        <f t="array" ref="H3810">IFERROR(VLOOKUP(INPUT!M3805&amp;INPUT!N3805,CHOOSE({1,2},INPUT!$A$3:$A$5000&amp;INPUT!$C$3:$C$5000,INPUT!$D$3:$D$5000),2,FALSE),"")</f>
        <v>0</v>
      </c>
      <c r="I3810" s="46" t="str">
        <f>IF(INPUT!P3805="","",INPUT!P3805)</f>
        <v/>
      </c>
      <c r="J3810" s="46" t="str">
        <f>IF(INPUT!Q3805="","",INPUT!Q3805)</f>
        <v/>
      </c>
      <c r="K3810" s="46" t="str">
        <f>IFERROR(IF(OR(INPUT!P3805="",INPUT!Q3805=""),"",INPUT!P3805-INPUT!Q3805),"")</f>
        <v/>
      </c>
      <c r="L3810" s="48" t="str">
        <f>IFERROR(IF(OR(INPUT!P3805="",INPUT!Q3805="",INPUT!P3805=0),"",(INPUT!P3805-INPUT!Q3805)/INPUT!P3805),"")</f>
        <v/>
      </c>
    </row>
    <row r="3811" spans="1:12" ht="18" hidden="1" customHeight="1" x14ac:dyDescent="0.2">
      <c r="A3811" s="11" t="str">
        <f>IF(INPUT!M3806="","",INPUT!M3806)</f>
        <v/>
      </c>
      <c r="B3811" s="11" t="str">
        <f>IF(INPUT!M3806="","",INPUT!M3806-WEEKDAY(INPUT!M3806,2)+1)</f>
        <v/>
      </c>
      <c r="C3811" s="20">
        <f>IFERROR(_xlfn.ISOWEEKNUM(INPUT!M3806),"")</f>
        <v>52</v>
      </c>
      <c r="D3811" s="20">
        <f>IFERROR(YEAR(INPUT!M3806),"")</f>
        <v>1900</v>
      </c>
      <c r="E3811" t="str">
        <f>IF(INPUT!O3806="","",INPUT!O3806)</f>
        <v/>
      </c>
      <c r="F3811" t="str">
        <f>IF(INPUT!N3806="","",INPUT!N3806)</f>
        <v/>
      </c>
      <c r="G3811" cm="1">
        <f t="array" ref="G3811">IFERROR(VLOOKUP(INPUT!M3806&amp;INPUT!N3806,CHOOSE({1,2},INPUT!$A$3:$A$5000&amp;INPUT!$C$3:$C$5000,INPUT!$F$3:$F$5000),2,FALSE),"")</f>
        <v>0</v>
      </c>
      <c r="H3811" cm="1">
        <f t="array" ref="H3811">IFERROR(VLOOKUP(INPUT!M3806&amp;INPUT!N3806,CHOOSE({1,2},INPUT!$A$3:$A$5000&amp;INPUT!$C$3:$C$5000,INPUT!$D$3:$D$5000),2,FALSE),"")</f>
        <v>0</v>
      </c>
      <c r="I3811" s="46" t="str">
        <f>IF(INPUT!P3806="","",INPUT!P3806)</f>
        <v/>
      </c>
      <c r="J3811" s="46" t="str">
        <f>IF(INPUT!Q3806="","",INPUT!Q3806)</f>
        <v/>
      </c>
      <c r="K3811" s="46" t="str">
        <f>IFERROR(IF(OR(INPUT!P3806="",INPUT!Q3806=""),"",INPUT!P3806-INPUT!Q3806),"")</f>
        <v/>
      </c>
      <c r="L3811" s="48" t="str">
        <f>IFERROR(IF(OR(INPUT!P3806="",INPUT!Q3806="",INPUT!P3806=0),"",(INPUT!P3806-INPUT!Q3806)/INPUT!P3806),"")</f>
        <v/>
      </c>
    </row>
    <row r="3812" spans="1:12" ht="18" hidden="1" customHeight="1" x14ac:dyDescent="0.2">
      <c r="A3812" s="11" t="str">
        <f>IF(INPUT!M3807="","",INPUT!M3807)</f>
        <v/>
      </c>
      <c r="B3812" s="11" t="str">
        <f>IF(INPUT!M3807="","",INPUT!M3807-WEEKDAY(INPUT!M3807,2)+1)</f>
        <v/>
      </c>
      <c r="C3812" s="20">
        <f>IFERROR(_xlfn.ISOWEEKNUM(INPUT!M3807),"")</f>
        <v>52</v>
      </c>
      <c r="D3812" s="20">
        <f>IFERROR(YEAR(INPUT!M3807),"")</f>
        <v>1900</v>
      </c>
      <c r="E3812" t="str">
        <f>IF(INPUT!O3807="","",INPUT!O3807)</f>
        <v/>
      </c>
      <c r="F3812" t="str">
        <f>IF(INPUT!N3807="","",INPUT!N3807)</f>
        <v/>
      </c>
      <c r="G3812" cm="1">
        <f t="array" ref="G3812">IFERROR(VLOOKUP(INPUT!M3807&amp;INPUT!N3807,CHOOSE({1,2},INPUT!$A$3:$A$5000&amp;INPUT!$C$3:$C$5000,INPUT!$F$3:$F$5000),2,FALSE),"")</f>
        <v>0</v>
      </c>
      <c r="H3812" cm="1">
        <f t="array" ref="H3812">IFERROR(VLOOKUP(INPUT!M3807&amp;INPUT!N3807,CHOOSE({1,2},INPUT!$A$3:$A$5000&amp;INPUT!$C$3:$C$5000,INPUT!$D$3:$D$5000),2,FALSE),"")</f>
        <v>0</v>
      </c>
      <c r="I3812" s="46" t="str">
        <f>IF(INPUT!P3807="","",INPUT!P3807)</f>
        <v/>
      </c>
      <c r="J3812" s="46" t="str">
        <f>IF(INPUT!Q3807="","",INPUT!Q3807)</f>
        <v/>
      </c>
      <c r="K3812" s="46" t="str">
        <f>IFERROR(IF(OR(INPUT!P3807="",INPUT!Q3807=""),"",INPUT!P3807-INPUT!Q3807),"")</f>
        <v/>
      </c>
      <c r="L3812" s="48" t="str">
        <f>IFERROR(IF(OR(INPUT!P3807="",INPUT!Q3807="",INPUT!P3807=0),"",(INPUT!P3807-INPUT!Q3807)/INPUT!P3807),"")</f>
        <v/>
      </c>
    </row>
    <row r="3813" spans="1:12" ht="18" hidden="1" customHeight="1" x14ac:dyDescent="0.2">
      <c r="A3813" s="11" t="str">
        <f>IF(INPUT!M3808="","",INPUT!M3808)</f>
        <v/>
      </c>
      <c r="B3813" s="11" t="str">
        <f>IF(INPUT!M3808="","",INPUT!M3808-WEEKDAY(INPUT!M3808,2)+1)</f>
        <v/>
      </c>
      <c r="C3813" s="20">
        <f>IFERROR(_xlfn.ISOWEEKNUM(INPUT!M3808),"")</f>
        <v>52</v>
      </c>
      <c r="D3813" s="20">
        <f>IFERROR(YEAR(INPUT!M3808),"")</f>
        <v>1900</v>
      </c>
      <c r="E3813" t="str">
        <f>IF(INPUT!O3808="","",INPUT!O3808)</f>
        <v/>
      </c>
      <c r="F3813" t="str">
        <f>IF(INPUT!N3808="","",INPUT!N3808)</f>
        <v/>
      </c>
      <c r="G3813" cm="1">
        <f t="array" ref="G3813">IFERROR(VLOOKUP(INPUT!M3808&amp;INPUT!N3808,CHOOSE({1,2},INPUT!$A$3:$A$5000&amp;INPUT!$C$3:$C$5000,INPUT!$F$3:$F$5000),2,FALSE),"")</f>
        <v>0</v>
      </c>
      <c r="H3813" cm="1">
        <f t="array" ref="H3813">IFERROR(VLOOKUP(INPUT!M3808&amp;INPUT!N3808,CHOOSE({1,2},INPUT!$A$3:$A$5000&amp;INPUT!$C$3:$C$5000,INPUT!$D$3:$D$5000),2,FALSE),"")</f>
        <v>0</v>
      </c>
      <c r="I3813" s="46" t="str">
        <f>IF(INPUT!P3808="","",INPUT!P3808)</f>
        <v/>
      </c>
      <c r="J3813" s="46" t="str">
        <f>IF(INPUT!Q3808="","",INPUT!Q3808)</f>
        <v/>
      </c>
      <c r="K3813" s="46" t="str">
        <f>IFERROR(IF(OR(INPUT!P3808="",INPUT!Q3808=""),"",INPUT!P3808-INPUT!Q3808),"")</f>
        <v/>
      </c>
      <c r="L3813" s="48" t="str">
        <f>IFERROR(IF(OR(INPUT!P3808="",INPUT!Q3808="",INPUT!P3808=0),"",(INPUT!P3808-INPUT!Q3808)/INPUT!P3808),"")</f>
        <v/>
      </c>
    </row>
    <row r="3814" spans="1:12" ht="18" hidden="1" customHeight="1" x14ac:dyDescent="0.2">
      <c r="A3814" s="11" t="str">
        <f>IF(INPUT!M3809="","",INPUT!M3809)</f>
        <v/>
      </c>
      <c r="B3814" s="11" t="str">
        <f>IF(INPUT!M3809="","",INPUT!M3809-WEEKDAY(INPUT!M3809,2)+1)</f>
        <v/>
      </c>
      <c r="C3814" s="20">
        <f>IFERROR(_xlfn.ISOWEEKNUM(INPUT!M3809),"")</f>
        <v>52</v>
      </c>
      <c r="D3814" s="20">
        <f>IFERROR(YEAR(INPUT!M3809),"")</f>
        <v>1900</v>
      </c>
      <c r="E3814" t="str">
        <f>IF(INPUT!O3809="","",INPUT!O3809)</f>
        <v/>
      </c>
      <c r="F3814" t="str">
        <f>IF(INPUT!N3809="","",INPUT!N3809)</f>
        <v/>
      </c>
      <c r="G3814" cm="1">
        <f t="array" ref="G3814">IFERROR(VLOOKUP(INPUT!M3809&amp;INPUT!N3809,CHOOSE({1,2},INPUT!$A$3:$A$5000&amp;INPUT!$C$3:$C$5000,INPUT!$F$3:$F$5000),2,FALSE),"")</f>
        <v>0</v>
      </c>
      <c r="H3814" cm="1">
        <f t="array" ref="H3814">IFERROR(VLOOKUP(INPUT!M3809&amp;INPUT!N3809,CHOOSE({1,2},INPUT!$A$3:$A$5000&amp;INPUT!$C$3:$C$5000,INPUT!$D$3:$D$5000),2,FALSE),"")</f>
        <v>0</v>
      </c>
      <c r="I3814" s="46" t="str">
        <f>IF(INPUT!P3809="","",INPUT!P3809)</f>
        <v/>
      </c>
      <c r="J3814" s="46" t="str">
        <f>IF(INPUT!Q3809="","",INPUT!Q3809)</f>
        <v/>
      </c>
      <c r="K3814" s="46" t="str">
        <f>IFERROR(IF(OR(INPUT!P3809="",INPUT!Q3809=""),"",INPUT!P3809-INPUT!Q3809),"")</f>
        <v/>
      </c>
      <c r="L3814" s="48" t="str">
        <f>IFERROR(IF(OR(INPUT!P3809="",INPUT!Q3809="",INPUT!P3809=0),"",(INPUT!P3809-INPUT!Q3809)/INPUT!P3809),"")</f>
        <v/>
      </c>
    </row>
    <row r="3815" spans="1:12" ht="18" hidden="1" customHeight="1" x14ac:dyDescent="0.2">
      <c r="A3815" s="11" t="str">
        <f>IF(INPUT!M3810="","",INPUT!M3810)</f>
        <v/>
      </c>
      <c r="B3815" s="11" t="str">
        <f>IF(INPUT!M3810="","",INPUT!M3810-WEEKDAY(INPUT!M3810,2)+1)</f>
        <v/>
      </c>
      <c r="C3815" s="20">
        <f>IFERROR(_xlfn.ISOWEEKNUM(INPUT!M3810),"")</f>
        <v>52</v>
      </c>
      <c r="D3815" s="20">
        <f>IFERROR(YEAR(INPUT!M3810),"")</f>
        <v>1900</v>
      </c>
      <c r="E3815" t="str">
        <f>IF(INPUT!O3810="","",INPUT!O3810)</f>
        <v/>
      </c>
      <c r="F3815" t="str">
        <f>IF(INPUT!N3810="","",INPUT!N3810)</f>
        <v/>
      </c>
      <c r="G3815" cm="1">
        <f t="array" ref="G3815">IFERROR(VLOOKUP(INPUT!M3810&amp;INPUT!N3810,CHOOSE({1,2},INPUT!$A$3:$A$5000&amp;INPUT!$C$3:$C$5000,INPUT!$F$3:$F$5000),2,FALSE),"")</f>
        <v>0</v>
      </c>
      <c r="H3815" cm="1">
        <f t="array" ref="H3815">IFERROR(VLOOKUP(INPUT!M3810&amp;INPUT!N3810,CHOOSE({1,2},INPUT!$A$3:$A$5000&amp;INPUT!$C$3:$C$5000,INPUT!$D$3:$D$5000),2,FALSE),"")</f>
        <v>0</v>
      </c>
      <c r="I3815" s="46" t="str">
        <f>IF(INPUT!P3810="","",INPUT!P3810)</f>
        <v/>
      </c>
      <c r="J3815" s="46" t="str">
        <f>IF(INPUT!Q3810="","",INPUT!Q3810)</f>
        <v/>
      </c>
      <c r="K3815" s="46" t="str">
        <f>IFERROR(IF(OR(INPUT!P3810="",INPUT!Q3810=""),"",INPUT!P3810-INPUT!Q3810),"")</f>
        <v/>
      </c>
      <c r="L3815" s="48" t="str">
        <f>IFERROR(IF(OR(INPUT!P3810="",INPUT!Q3810="",INPUT!P3810=0),"",(INPUT!P3810-INPUT!Q3810)/INPUT!P3810),"")</f>
        <v/>
      </c>
    </row>
    <row r="3816" spans="1:12" ht="18" hidden="1" customHeight="1" x14ac:dyDescent="0.2">
      <c r="A3816" s="11" t="str">
        <f>IF(INPUT!M3811="","",INPUT!M3811)</f>
        <v/>
      </c>
      <c r="B3816" s="11" t="str">
        <f>IF(INPUT!M3811="","",INPUT!M3811-WEEKDAY(INPUT!M3811,2)+1)</f>
        <v/>
      </c>
      <c r="C3816" s="20">
        <f>IFERROR(_xlfn.ISOWEEKNUM(INPUT!M3811),"")</f>
        <v>52</v>
      </c>
      <c r="D3816" s="20">
        <f>IFERROR(YEAR(INPUT!M3811),"")</f>
        <v>1900</v>
      </c>
      <c r="E3816" t="str">
        <f>IF(INPUT!O3811="","",INPUT!O3811)</f>
        <v/>
      </c>
      <c r="F3816" t="str">
        <f>IF(INPUT!N3811="","",INPUT!N3811)</f>
        <v/>
      </c>
      <c r="G3816" cm="1">
        <f t="array" ref="G3816">IFERROR(VLOOKUP(INPUT!M3811&amp;INPUT!N3811,CHOOSE({1,2},INPUT!$A$3:$A$5000&amp;INPUT!$C$3:$C$5000,INPUT!$F$3:$F$5000),2,FALSE),"")</f>
        <v>0</v>
      </c>
      <c r="H3816" cm="1">
        <f t="array" ref="H3816">IFERROR(VLOOKUP(INPUT!M3811&amp;INPUT!N3811,CHOOSE({1,2},INPUT!$A$3:$A$5000&amp;INPUT!$C$3:$C$5000,INPUT!$D$3:$D$5000),2,FALSE),"")</f>
        <v>0</v>
      </c>
      <c r="I3816" s="46" t="str">
        <f>IF(INPUT!P3811="","",INPUT!P3811)</f>
        <v/>
      </c>
      <c r="J3816" s="46" t="str">
        <f>IF(INPUT!Q3811="","",INPUT!Q3811)</f>
        <v/>
      </c>
      <c r="K3816" s="46" t="str">
        <f>IFERROR(IF(OR(INPUT!P3811="",INPUT!Q3811=""),"",INPUT!P3811-INPUT!Q3811),"")</f>
        <v/>
      </c>
      <c r="L3816" s="48" t="str">
        <f>IFERROR(IF(OR(INPUT!P3811="",INPUT!Q3811="",INPUT!P3811=0),"",(INPUT!P3811-INPUT!Q3811)/INPUT!P3811),"")</f>
        <v/>
      </c>
    </row>
    <row r="3817" spans="1:12" ht="18" hidden="1" customHeight="1" x14ac:dyDescent="0.2">
      <c r="A3817" s="11" t="str">
        <f>IF(INPUT!M3812="","",INPUT!M3812)</f>
        <v/>
      </c>
      <c r="B3817" s="11" t="str">
        <f>IF(INPUT!M3812="","",INPUT!M3812-WEEKDAY(INPUT!M3812,2)+1)</f>
        <v/>
      </c>
      <c r="C3817" s="20">
        <f>IFERROR(_xlfn.ISOWEEKNUM(INPUT!M3812),"")</f>
        <v>52</v>
      </c>
      <c r="D3817" s="20">
        <f>IFERROR(YEAR(INPUT!M3812),"")</f>
        <v>1900</v>
      </c>
      <c r="E3817" t="str">
        <f>IF(INPUT!O3812="","",INPUT!O3812)</f>
        <v/>
      </c>
      <c r="F3817" t="str">
        <f>IF(INPUT!N3812="","",INPUT!N3812)</f>
        <v/>
      </c>
      <c r="G3817" cm="1">
        <f t="array" ref="G3817">IFERROR(VLOOKUP(INPUT!M3812&amp;INPUT!N3812,CHOOSE({1,2},INPUT!$A$3:$A$5000&amp;INPUT!$C$3:$C$5000,INPUT!$F$3:$F$5000),2,FALSE),"")</f>
        <v>0</v>
      </c>
      <c r="H3817" cm="1">
        <f t="array" ref="H3817">IFERROR(VLOOKUP(INPUT!M3812&amp;INPUT!N3812,CHOOSE({1,2},INPUT!$A$3:$A$5000&amp;INPUT!$C$3:$C$5000,INPUT!$D$3:$D$5000),2,FALSE),"")</f>
        <v>0</v>
      </c>
      <c r="I3817" s="46" t="str">
        <f>IF(INPUT!P3812="","",INPUT!P3812)</f>
        <v/>
      </c>
      <c r="J3817" s="46" t="str">
        <f>IF(INPUT!Q3812="","",INPUT!Q3812)</f>
        <v/>
      </c>
      <c r="K3817" s="46" t="str">
        <f>IFERROR(IF(OR(INPUT!P3812="",INPUT!Q3812=""),"",INPUT!P3812-INPUT!Q3812),"")</f>
        <v/>
      </c>
      <c r="L3817" s="48" t="str">
        <f>IFERROR(IF(OR(INPUT!P3812="",INPUT!Q3812="",INPUT!P3812=0),"",(INPUT!P3812-INPUT!Q3812)/INPUT!P3812),"")</f>
        <v/>
      </c>
    </row>
    <row r="3818" spans="1:12" ht="18" hidden="1" customHeight="1" x14ac:dyDescent="0.2">
      <c r="A3818" s="11" t="str">
        <f>IF(INPUT!M3813="","",INPUT!M3813)</f>
        <v/>
      </c>
      <c r="B3818" s="11" t="str">
        <f>IF(INPUT!M3813="","",INPUT!M3813-WEEKDAY(INPUT!M3813,2)+1)</f>
        <v/>
      </c>
      <c r="C3818" s="20">
        <f>IFERROR(_xlfn.ISOWEEKNUM(INPUT!M3813),"")</f>
        <v>52</v>
      </c>
      <c r="D3818" s="20">
        <f>IFERROR(YEAR(INPUT!M3813),"")</f>
        <v>1900</v>
      </c>
      <c r="E3818" t="str">
        <f>IF(INPUT!O3813="","",INPUT!O3813)</f>
        <v/>
      </c>
      <c r="F3818" t="str">
        <f>IF(INPUT!N3813="","",INPUT!N3813)</f>
        <v/>
      </c>
      <c r="G3818" cm="1">
        <f t="array" ref="G3818">IFERROR(VLOOKUP(INPUT!M3813&amp;INPUT!N3813,CHOOSE({1,2},INPUT!$A$3:$A$5000&amp;INPUT!$C$3:$C$5000,INPUT!$F$3:$F$5000),2,FALSE),"")</f>
        <v>0</v>
      </c>
      <c r="H3818" cm="1">
        <f t="array" ref="H3818">IFERROR(VLOOKUP(INPUT!M3813&amp;INPUT!N3813,CHOOSE({1,2},INPUT!$A$3:$A$5000&amp;INPUT!$C$3:$C$5000,INPUT!$D$3:$D$5000),2,FALSE),"")</f>
        <v>0</v>
      </c>
      <c r="I3818" s="46" t="str">
        <f>IF(INPUT!P3813="","",INPUT!P3813)</f>
        <v/>
      </c>
      <c r="J3818" s="46" t="str">
        <f>IF(INPUT!Q3813="","",INPUT!Q3813)</f>
        <v/>
      </c>
      <c r="K3818" s="46" t="str">
        <f>IFERROR(IF(OR(INPUT!P3813="",INPUT!Q3813=""),"",INPUT!P3813-INPUT!Q3813),"")</f>
        <v/>
      </c>
      <c r="L3818" s="48" t="str">
        <f>IFERROR(IF(OR(INPUT!P3813="",INPUT!Q3813="",INPUT!P3813=0),"",(INPUT!P3813-INPUT!Q3813)/INPUT!P3813),"")</f>
        <v/>
      </c>
    </row>
    <row r="3819" spans="1:12" ht="18" hidden="1" customHeight="1" x14ac:dyDescent="0.2">
      <c r="A3819" s="11" t="str">
        <f>IF(INPUT!M3814="","",INPUT!M3814)</f>
        <v/>
      </c>
      <c r="B3819" s="11" t="str">
        <f>IF(INPUT!M3814="","",INPUT!M3814-WEEKDAY(INPUT!M3814,2)+1)</f>
        <v/>
      </c>
      <c r="C3819" s="20">
        <f>IFERROR(_xlfn.ISOWEEKNUM(INPUT!M3814),"")</f>
        <v>52</v>
      </c>
      <c r="D3819" s="20">
        <f>IFERROR(YEAR(INPUT!M3814),"")</f>
        <v>1900</v>
      </c>
      <c r="E3819" t="str">
        <f>IF(INPUT!O3814="","",INPUT!O3814)</f>
        <v/>
      </c>
      <c r="F3819" t="str">
        <f>IF(INPUT!N3814="","",INPUT!N3814)</f>
        <v/>
      </c>
      <c r="G3819" cm="1">
        <f t="array" ref="G3819">IFERROR(VLOOKUP(INPUT!M3814&amp;INPUT!N3814,CHOOSE({1,2},INPUT!$A$3:$A$5000&amp;INPUT!$C$3:$C$5000,INPUT!$F$3:$F$5000),2,FALSE),"")</f>
        <v>0</v>
      </c>
      <c r="H3819" cm="1">
        <f t="array" ref="H3819">IFERROR(VLOOKUP(INPUT!M3814&amp;INPUT!N3814,CHOOSE({1,2},INPUT!$A$3:$A$5000&amp;INPUT!$C$3:$C$5000,INPUT!$D$3:$D$5000),2,FALSE),"")</f>
        <v>0</v>
      </c>
      <c r="I3819" s="46" t="str">
        <f>IF(INPUT!P3814="","",INPUT!P3814)</f>
        <v/>
      </c>
      <c r="J3819" s="46" t="str">
        <f>IF(INPUT!Q3814="","",INPUT!Q3814)</f>
        <v/>
      </c>
      <c r="K3819" s="46" t="str">
        <f>IFERROR(IF(OR(INPUT!P3814="",INPUT!Q3814=""),"",INPUT!P3814-INPUT!Q3814),"")</f>
        <v/>
      </c>
      <c r="L3819" s="48" t="str">
        <f>IFERROR(IF(OR(INPUT!P3814="",INPUT!Q3814="",INPUT!P3814=0),"",(INPUT!P3814-INPUT!Q3814)/INPUT!P3814),"")</f>
        <v/>
      </c>
    </row>
    <row r="3820" spans="1:12" ht="18" hidden="1" customHeight="1" x14ac:dyDescent="0.2">
      <c r="A3820" s="11" t="str">
        <f>IF(INPUT!M3815="","",INPUT!M3815)</f>
        <v/>
      </c>
      <c r="B3820" s="11" t="str">
        <f>IF(INPUT!M3815="","",INPUT!M3815-WEEKDAY(INPUT!M3815,2)+1)</f>
        <v/>
      </c>
      <c r="C3820" s="20">
        <f>IFERROR(_xlfn.ISOWEEKNUM(INPUT!M3815),"")</f>
        <v>52</v>
      </c>
      <c r="D3820" s="20">
        <f>IFERROR(YEAR(INPUT!M3815),"")</f>
        <v>1900</v>
      </c>
      <c r="E3820" t="str">
        <f>IF(INPUT!O3815="","",INPUT!O3815)</f>
        <v/>
      </c>
      <c r="F3820" t="str">
        <f>IF(INPUT!N3815="","",INPUT!N3815)</f>
        <v/>
      </c>
      <c r="G3820" cm="1">
        <f t="array" ref="G3820">IFERROR(VLOOKUP(INPUT!M3815&amp;INPUT!N3815,CHOOSE({1,2},INPUT!$A$3:$A$5000&amp;INPUT!$C$3:$C$5000,INPUT!$F$3:$F$5000),2,FALSE),"")</f>
        <v>0</v>
      </c>
      <c r="H3820" cm="1">
        <f t="array" ref="H3820">IFERROR(VLOOKUP(INPUT!M3815&amp;INPUT!N3815,CHOOSE({1,2},INPUT!$A$3:$A$5000&amp;INPUT!$C$3:$C$5000,INPUT!$D$3:$D$5000),2,FALSE),"")</f>
        <v>0</v>
      </c>
      <c r="I3820" s="46" t="str">
        <f>IF(INPUT!P3815="","",INPUT!P3815)</f>
        <v/>
      </c>
      <c r="J3820" s="46" t="str">
        <f>IF(INPUT!Q3815="","",INPUT!Q3815)</f>
        <v/>
      </c>
      <c r="K3820" s="46" t="str">
        <f>IFERROR(IF(OR(INPUT!P3815="",INPUT!Q3815=""),"",INPUT!P3815-INPUT!Q3815),"")</f>
        <v/>
      </c>
      <c r="L3820" s="48" t="str">
        <f>IFERROR(IF(OR(INPUT!P3815="",INPUT!Q3815="",INPUT!P3815=0),"",(INPUT!P3815-INPUT!Q3815)/INPUT!P3815),"")</f>
        <v/>
      </c>
    </row>
    <row r="3821" spans="1:12" ht="18" hidden="1" customHeight="1" x14ac:dyDescent="0.2">
      <c r="A3821" s="11" t="str">
        <f>IF(INPUT!M3816="","",INPUT!M3816)</f>
        <v/>
      </c>
      <c r="B3821" s="11" t="str">
        <f>IF(INPUT!M3816="","",INPUT!M3816-WEEKDAY(INPUT!M3816,2)+1)</f>
        <v/>
      </c>
      <c r="C3821" s="20">
        <f>IFERROR(_xlfn.ISOWEEKNUM(INPUT!M3816),"")</f>
        <v>52</v>
      </c>
      <c r="D3821" s="20">
        <f>IFERROR(YEAR(INPUT!M3816),"")</f>
        <v>1900</v>
      </c>
      <c r="E3821" t="str">
        <f>IF(INPUT!O3816="","",INPUT!O3816)</f>
        <v/>
      </c>
      <c r="F3821" t="str">
        <f>IF(INPUT!N3816="","",INPUT!N3816)</f>
        <v/>
      </c>
      <c r="G3821" cm="1">
        <f t="array" ref="G3821">IFERROR(VLOOKUP(INPUT!M3816&amp;INPUT!N3816,CHOOSE({1,2},INPUT!$A$3:$A$5000&amp;INPUT!$C$3:$C$5000,INPUT!$F$3:$F$5000),2,FALSE),"")</f>
        <v>0</v>
      </c>
      <c r="H3821" cm="1">
        <f t="array" ref="H3821">IFERROR(VLOOKUP(INPUT!M3816&amp;INPUT!N3816,CHOOSE({1,2},INPUT!$A$3:$A$5000&amp;INPUT!$C$3:$C$5000,INPUT!$D$3:$D$5000),2,FALSE),"")</f>
        <v>0</v>
      </c>
      <c r="I3821" s="46" t="str">
        <f>IF(INPUT!P3816="","",INPUT!P3816)</f>
        <v/>
      </c>
      <c r="J3821" s="46" t="str">
        <f>IF(INPUT!Q3816="","",INPUT!Q3816)</f>
        <v/>
      </c>
      <c r="K3821" s="46" t="str">
        <f>IFERROR(IF(OR(INPUT!P3816="",INPUT!Q3816=""),"",INPUT!P3816-INPUT!Q3816),"")</f>
        <v/>
      </c>
      <c r="L3821" s="48" t="str">
        <f>IFERROR(IF(OR(INPUT!P3816="",INPUT!Q3816="",INPUT!P3816=0),"",(INPUT!P3816-INPUT!Q3816)/INPUT!P3816),"")</f>
        <v/>
      </c>
    </row>
    <row r="3822" spans="1:12" ht="18" hidden="1" customHeight="1" x14ac:dyDescent="0.2">
      <c r="A3822" s="11" t="str">
        <f>IF(INPUT!M3817="","",INPUT!M3817)</f>
        <v/>
      </c>
      <c r="B3822" s="11" t="str">
        <f>IF(INPUT!M3817="","",INPUT!M3817-WEEKDAY(INPUT!M3817,2)+1)</f>
        <v/>
      </c>
      <c r="C3822" s="20">
        <f>IFERROR(_xlfn.ISOWEEKNUM(INPUT!M3817),"")</f>
        <v>52</v>
      </c>
      <c r="D3822" s="20">
        <f>IFERROR(YEAR(INPUT!M3817),"")</f>
        <v>1900</v>
      </c>
      <c r="E3822" t="str">
        <f>IF(INPUT!O3817="","",INPUT!O3817)</f>
        <v/>
      </c>
      <c r="F3822" t="str">
        <f>IF(INPUT!N3817="","",INPUT!N3817)</f>
        <v/>
      </c>
      <c r="G3822" cm="1">
        <f t="array" ref="G3822">IFERROR(VLOOKUP(INPUT!M3817&amp;INPUT!N3817,CHOOSE({1,2},INPUT!$A$3:$A$5000&amp;INPUT!$C$3:$C$5000,INPUT!$F$3:$F$5000),2,FALSE),"")</f>
        <v>0</v>
      </c>
      <c r="H3822" cm="1">
        <f t="array" ref="H3822">IFERROR(VLOOKUP(INPUT!M3817&amp;INPUT!N3817,CHOOSE({1,2},INPUT!$A$3:$A$5000&amp;INPUT!$C$3:$C$5000,INPUT!$D$3:$D$5000),2,FALSE),"")</f>
        <v>0</v>
      </c>
      <c r="I3822" s="46" t="str">
        <f>IF(INPUT!P3817="","",INPUT!P3817)</f>
        <v/>
      </c>
      <c r="J3822" s="46" t="str">
        <f>IF(INPUT!Q3817="","",INPUT!Q3817)</f>
        <v/>
      </c>
      <c r="K3822" s="46" t="str">
        <f>IFERROR(IF(OR(INPUT!P3817="",INPUT!Q3817=""),"",INPUT!P3817-INPUT!Q3817),"")</f>
        <v/>
      </c>
      <c r="L3822" s="48" t="str">
        <f>IFERROR(IF(OR(INPUT!P3817="",INPUT!Q3817="",INPUT!P3817=0),"",(INPUT!P3817-INPUT!Q3817)/INPUT!P3817),"")</f>
        <v/>
      </c>
    </row>
    <row r="3823" spans="1:12" ht="18" hidden="1" customHeight="1" x14ac:dyDescent="0.2">
      <c r="A3823" s="11" t="str">
        <f>IF(INPUT!M3818="","",INPUT!M3818)</f>
        <v/>
      </c>
      <c r="B3823" s="11" t="str">
        <f>IF(INPUT!M3818="","",INPUT!M3818-WEEKDAY(INPUT!M3818,2)+1)</f>
        <v/>
      </c>
      <c r="C3823" s="20">
        <f>IFERROR(_xlfn.ISOWEEKNUM(INPUT!M3818),"")</f>
        <v>52</v>
      </c>
      <c r="D3823" s="20">
        <f>IFERROR(YEAR(INPUT!M3818),"")</f>
        <v>1900</v>
      </c>
      <c r="E3823" t="str">
        <f>IF(INPUT!O3818="","",INPUT!O3818)</f>
        <v/>
      </c>
      <c r="F3823" t="str">
        <f>IF(INPUT!N3818="","",INPUT!N3818)</f>
        <v/>
      </c>
      <c r="G3823" cm="1">
        <f t="array" ref="G3823">IFERROR(VLOOKUP(INPUT!M3818&amp;INPUT!N3818,CHOOSE({1,2},INPUT!$A$3:$A$5000&amp;INPUT!$C$3:$C$5000,INPUT!$F$3:$F$5000),2,FALSE),"")</f>
        <v>0</v>
      </c>
      <c r="H3823" cm="1">
        <f t="array" ref="H3823">IFERROR(VLOOKUP(INPUT!M3818&amp;INPUT!N3818,CHOOSE({1,2},INPUT!$A$3:$A$5000&amp;INPUT!$C$3:$C$5000,INPUT!$D$3:$D$5000),2,FALSE),"")</f>
        <v>0</v>
      </c>
      <c r="I3823" s="46" t="str">
        <f>IF(INPUT!P3818="","",INPUT!P3818)</f>
        <v/>
      </c>
      <c r="J3823" s="46" t="str">
        <f>IF(INPUT!Q3818="","",INPUT!Q3818)</f>
        <v/>
      </c>
      <c r="K3823" s="46" t="str">
        <f>IFERROR(IF(OR(INPUT!P3818="",INPUT!Q3818=""),"",INPUT!P3818-INPUT!Q3818),"")</f>
        <v/>
      </c>
      <c r="L3823" s="48" t="str">
        <f>IFERROR(IF(OR(INPUT!P3818="",INPUT!Q3818="",INPUT!P3818=0),"",(INPUT!P3818-INPUT!Q3818)/INPUT!P3818),"")</f>
        <v/>
      </c>
    </row>
    <row r="3824" spans="1:12" ht="18" hidden="1" customHeight="1" x14ac:dyDescent="0.2">
      <c r="A3824" s="11" t="str">
        <f>IF(INPUT!M3819="","",INPUT!M3819)</f>
        <v/>
      </c>
      <c r="B3824" s="11" t="str">
        <f>IF(INPUT!M3819="","",INPUT!M3819-WEEKDAY(INPUT!M3819,2)+1)</f>
        <v/>
      </c>
      <c r="C3824" s="20">
        <f>IFERROR(_xlfn.ISOWEEKNUM(INPUT!M3819),"")</f>
        <v>52</v>
      </c>
      <c r="D3824" s="20">
        <f>IFERROR(YEAR(INPUT!M3819),"")</f>
        <v>1900</v>
      </c>
      <c r="E3824" t="str">
        <f>IF(INPUT!O3819="","",INPUT!O3819)</f>
        <v/>
      </c>
      <c r="F3824" t="str">
        <f>IF(INPUT!N3819="","",INPUT!N3819)</f>
        <v/>
      </c>
      <c r="G3824" cm="1">
        <f t="array" ref="G3824">IFERROR(VLOOKUP(INPUT!M3819&amp;INPUT!N3819,CHOOSE({1,2},INPUT!$A$3:$A$5000&amp;INPUT!$C$3:$C$5000,INPUT!$F$3:$F$5000),2,FALSE),"")</f>
        <v>0</v>
      </c>
      <c r="H3824" cm="1">
        <f t="array" ref="H3824">IFERROR(VLOOKUP(INPUT!M3819&amp;INPUT!N3819,CHOOSE({1,2},INPUT!$A$3:$A$5000&amp;INPUT!$C$3:$C$5000,INPUT!$D$3:$D$5000),2,FALSE),"")</f>
        <v>0</v>
      </c>
      <c r="I3824" s="46" t="str">
        <f>IF(INPUT!P3819="","",INPUT!P3819)</f>
        <v/>
      </c>
      <c r="J3824" s="46" t="str">
        <f>IF(INPUT!Q3819="","",INPUT!Q3819)</f>
        <v/>
      </c>
      <c r="K3824" s="46" t="str">
        <f>IFERROR(IF(OR(INPUT!P3819="",INPUT!Q3819=""),"",INPUT!P3819-INPUT!Q3819),"")</f>
        <v/>
      </c>
      <c r="L3824" s="48" t="str">
        <f>IFERROR(IF(OR(INPUT!P3819="",INPUT!Q3819="",INPUT!P3819=0),"",(INPUT!P3819-INPUT!Q3819)/INPUT!P3819),"")</f>
        <v/>
      </c>
    </row>
    <row r="3825" spans="1:12" ht="18" hidden="1" customHeight="1" x14ac:dyDescent="0.2">
      <c r="A3825" s="11" t="str">
        <f>IF(INPUT!M3820="","",INPUT!M3820)</f>
        <v/>
      </c>
      <c r="B3825" s="11" t="str">
        <f>IF(INPUT!M3820="","",INPUT!M3820-WEEKDAY(INPUT!M3820,2)+1)</f>
        <v/>
      </c>
      <c r="C3825" s="20">
        <f>IFERROR(_xlfn.ISOWEEKNUM(INPUT!M3820),"")</f>
        <v>52</v>
      </c>
      <c r="D3825" s="20">
        <f>IFERROR(YEAR(INPUT!M3820),"")</f>
        <v>1900</v>
      </c>
      <c r="E3825" t="str">
        <f>IF(INPUT!O3820="","",INPUT!O3820)</f>
        <v/>
      </c>
      <c r="F3825" t="str">
        <f>IF(INPUT!N3820="","",INPUT!N3820)</f>
        <v/>
      </c>
      <c r="G3825" cm="1">
        <f t="array" ref="G3825">IFERROR(VLOOKUP(INPUT!M3820&amp;INPUT!N3820,CHOOSE({1,2},INPUT!$A$3:$A$5000&amp;INPUT!$C$3:$C$5000,INPUT!$F$3:$F$5000),2,FALSE),"")</f>
        <v>0</v>
      </c>
      <c r="H3825" cm="1">
        <f t="array" ref="H3825">IFERROR(VLOOKUP(INPUT!M3820&amp;INPUT!N3820,CHOOSE({1,2},INPUT!$A$3:$A$5000&amp;INPUT!$C$3:$C$5000,INPUT!$D$3:$D$5000),2,FALSE),"")</f>
        <v>0</v>
      </c>
      <c r="I3825" s="46" t="str">
        <f>IF(INPUT!P3820="","",INPUT!P3820)</f>
        <v/>
      </c>
      <c r="J3825" s="46" t="str">
        <f>IF(INPUT!Q3820="","",INPUT!Q3820)</f>
        <v/>
      </c>
      <c r="K3825" s="46" t="str">
        <f>IFERROR(IF(OR(INPUT!P3820="",INPUT!Q3820=""),"",INPUT!P3820-INPUT!Q3820),"")</f>
        <v/>
      </c>
      <c r="L3825" s="48" t="str">
        <f>IFERROR(IF(OR(INPUT!P3820="",INPUT!Q3820="",INPUT!P3820=0),"",(INPUT!P3820-INPUT!Q3820)/INPUT!P3820),"")</f>
        <v/>
      </c>
    </row>
    <row r="3826" spans="1:12" ht="18" hidden="1" customHeight="1" x14ac:dyDescent="0.2">
      <c r="A3826" s="11" t="str">
        <f>IF(INPUT!M3821="","",INPUT!M3821)</f>
        <v/>
      </c>
      <c r="B3826" s="11" t="str">
        <f>IF(INPUT!M3821="","",INPUT!M3821-WEEKDAY(INPUT!M3821,2)+1)</f>
        <v/>
      </c>
      <c r="C3826" s="20">
        <f>IFERROR(_xlfn.ISOWEEKNUM(INPUT!M3821),"")</f>
        <v>52</v>
      </c>
      <c r="D3826" s="20">
        <f>IFERROR(YEAR(INPUT!M3821),"")</f>
        <v>1900</v>
      </c>
      <c r="E3826" t="str">
        <f>IF(INPUT!O3821="","",INPUT!O3821)</f>
        <v/>
      </c>
      <c r="F3826" t="str">
        <f>IF(INPUT!N3821="","",INPUT!N3821)</f>
        <v/>
      </c>
      <c r="G3826" cm="1">
        <f t="array" ref="G3826">IFERROR(VLOOKUP(INPUT!M3821&amp;INPUT!N3821,CHOOSE({1,2},INPUT!$A$3:$A$5000&amp;INPUT!$C$3:$C$5000,INPUT!$F$3:$F$5000),2,FALSE),"")</f>
        <v>0</v>
      </c>
      <c r="H3826" cm="1">
        <f t="array" ref="H3826">IFERROR(VLOOKUP(INPUT!M3821&amp;INPUT!N3821,CHOOSE({1,2},INPUT!$A$3:$A$5000&amp;INPUT!$C$3:$C$5000,INPUT!$D$3:$D$5000),2,FALSE),"")</f>
        <v>0</v>
      </c>
      <c r="I3826" s="46" t="str">
        <f>IF(INPUT!P3821="","",INPUT!P3821)</f>
        <v/>
      </c>
      <c r="J3826" s="46" t="str">
        <f>IF(INPUT!Q3821="","",INPUT!Q3821)</f>
        <v/>
      </c>
      <c r="K3826" s="46" t="str">
        <f>IFERROR(IF(OR(INPUT!P3821="",INPUT!Q3821=""),"",INPUT!P3821-INPUT!Q3821),"")</f>
        <v/>
      </c>
      <c r="L3826" s="48" t="str">
        <f>IFERROR(IF(OR(INPUT!P3821="",INPUT!Q3821="",INPUT!P3821=0),"",(INPUT!P3821-INPUT!Q3821)/INPUT!P3821),"")</f>
        <v/>
      </c>
    </row>
    <row r="3827" spans="1:12" ht="18" hidden="1" customHeight="1" x14ac:dyDescent="0.2">
      <c r="A3827" s="11" t="str">
        <f>IF(INPUT!M3822="","",INPUT!M3822)</f>
        <v/>
      </c>
      <c r="B3827" s="11" t="str">
        <f>IF(INPUT!M3822="","",INPUT!M3822-WEEKDAY(INPUT!M3822,2)+1)</f>
        <v/>
      </c>
      <c r="C3827" s="20">
        <f>IFERROR(_xlfn.ISOWEEKNUM(INPUT!M3822),"")</f>
        <v>52</v>
      </c>
      <c r="D3827" s="20">
        <f>IFERROR(YEAR(INPUT!M3822),"")</f>
        <v>1900</v>
      </c>
      <c r="E3827" t="str">
        <f>IF(INPUT!O3822="","",INPUT!O3822)</f>
        <v/>
      </c>
      <c r="F3827" t="str">
        <f>IF(INPUT!N3822="","",INPUT!N3822)</f>
        <v/>
      </c>
      <c r="G3827" cm="1">
        <f t="array" ref="G3827">IFERROR(VLOOKUP(INPUT!M3822&amp;INPUT!N3822,CHOOSE({1,2},INPUT!$A$3:$A$5000&amp;INPUT!$C$3:$C$5000,INPUT!$F$3:$F$5000),2,FALSE),"")</f>
        <v>0</v>
      </c>
      <c r="H3827" cm="1">
        <f t="array" ref="H3827">IFERROR(VLOOKUP(INPUT!M3822&amp;INPUT!N3822,CHOOSE({1,2},INPUT!$A$3:$A$5000&amp;INPUT!$C$3:$C$5000,INPUT!$D$3:$D$5000),2,FALSE),"")</f>
        <v>0</v>
      </c>
      <c r="I3827" s="46" t="str">
        <f>IF(INPUT!P3822="","",INPUT!P3822)</f>
        <v/>
      </c>
      <c r="J3827" s="46" t="str">
        <f>IF(INPUT!Q3822="","",INPUT!Q3822)</f>
        <v/>
      </c>
      <c r="K3827" s="46" t="str">
        <f>IFERROR(IF(OR(INPUT!P3822="",INPUT!Q3822=""),"",INPUT!P3822-INPUT!Q3822),"")</f>
        <v/>
      </c>
      <c r="L3827" s="48" t="str">
        <f>IFERROR(IF(OR(INPUT!P3822="",INPUT!Q3822="",INPUT!P3822=0),"",(INPUT!P3822-INPUT!Q3822)/INPUT!P3822),"")</f>
        <v/>
      </c>
    </row>
    <row r="3828" spans="1:12" ht="18" hidden="1" customHeight="1" x14ac:dyDescent="0.2">
      <c r="A3828" s="11" t="str">
        <f>IF(INPUT!M3823="","",INPUT!M3823)</f>
        <v/>
      </c>
      <c r="B3828" s="11" t="str">
        <f>IF(INPUT!M3823="","",INPUT!M3823-WEEKDAY(INPUT!M3823,2)+1)</f>
        <v/>
      </c>
      <c r="C3828" s="20">
        <f>IFERROR(_xlfn.ISOWEEKNUM(INPUT!M3823),"")</f>
        <v>52</v>
      </c>
      <c r="D3828" s="20">
        <f>IFERROR(YEAR(INPUT!M3823),"")</f>
        <v>1900</v>
      </c>
      <c r="E3828" t="str">
        <f>IF(INPUT!O3823="","",INPUT!O3823)</f>
        <v/>
      </c>
      <c r="F3828" t="str">
        <f>IF(INPUT!N3823="","",INPUT!N3823)</f>
        <v/>
      </c>
      <c r="G3828" cm="1">
        <f t="array" ref="G3828">IFERROR(VLOOKUP(INPUT!M3823&amp;INPUT!N3823,CHOOSE({1,2},INPUT!$A$3:$A$5000&amp;INPUT!$C$3:$C$5000,INPUT!$F$3:$F$5000),2,FALSE),"")</f>
        <v>0</v>
      </c>
      <c r="H3828" cm="1">
        <f t="array" ref="H3828">IFERROR(VLOOKUP(INPUT!M3823&amp;INPUT!N3823,CHOOSE({1,2},INPUT!$A$3:$A$5000&amp;INPUT!$C$3:$C$5000,INPUT!$D$3:$D$5000),2,FALSE),"")</f>
        <v>0</v>
      </c>
      <c r="I3828" s="46" t="str">
        <f>IF(INPUT!P3823="","",INPUT!P3823)</f>
        <v/>
      </c>
      <c r="J3828" s="46" t="str">
        <f>IF(INPUT!Q3823="","",INPUT!Q3823)</f>
        <v/>
      </c>
      <c r="K3828" s="46" t="str">
        <f>IFERROR(IF(OR(INPUT!P3823="",INPUT!Q3823=""),"",INPUT!P3823-INPUT!Q3823),"")</f>
        <v/>
      </c>
      <c r="L3828" s="48" t="str">
        <f>IFERROR(IF(OR(INPUT!P3823="",INPUT!Q3823="",INPUT!P3823=0),"",(INPUT!P3823-INPUT!Q3823)/INPUT!P3823),"")</f>
        <v/>
      </c>
    </row>
    <row r="3829" spans="1:12" ht="18" hidden="1" customHeight="1" x14ac:dyDescent="0.2">
      <c r="A3829" s="11" t="str">
        <f>IF(INPUT!M3824="","",INPUT!M3824)</f>
        <v/>
      </c>
      <c r="B3829" s="11" t="str">
        <f>IF(INPUT!M3824="","",INPUT!M3824-WEEKDAY(INPUT!M3824,2)+1)</f>
        <v/>
      </c>
      <c r="C3829" s="20">
        <f>IFERROR(_xlfn.ISOWEEKNUM(INPUT!M3824),"")</f>
        <v>52</v>
      </c>
      <c r="D3829" s="20">
        <f>IFERROR(YEAR(INPUT!M3824),"")</f>
        <v>1900</v>
      </c>
      <c r="E3829" t="str">
        <f>IF(INPUT!O3824="","",INPUT!O3824)</f>
        <v/>
      </c>
      <c r="F3829" t="str">
        <f>IF(INPUT!N3824="","",INPUT!N3824)</f>
        <v/>
      </c>
      <c r="G3829" cm="1">
        <f t="array" ref="G3829">IFERROR(VLOOKUP(INPUT!M3824&amp;INPUT!N3824,CHOOSE({1,2},INPUT!$A$3:$A$5000&amp;INPUT!$C$3:$C$5000,INPUT!$F$3:$F$5000),2,FALSE),"")</f>
        <v>0</v>
      </c>
      <c r="H3829" cm="1">
        <f t="array" ref="H3829">IFERROR(VLOOKUP(INPUT!M3824&amp;INPUT!N3824,CHOOSE({1,2},INPUT!$A$3:$A$5000&amp;INPUT!$C$3:$C$5000,INPUT!$D$3:$D$5000),2,FALSE),"")</f>
        <v>0</v>
      </c>
      <c r="I3829" s="46" t="str">
        <f>IF(INPUT!P3824="","",INPUT!P3824)</f>
        <v/>
      </c>
      <c r="J3829" s="46" t="str">
        <f>IF(INPUT!Q3824="","",INPUT!Q3824)</f>
        <v/>
      </c>
      <c r="K3829" s="46" t="str">
        <f>IFERROR(IF(OR(INPUT!P3824="",INPUT!Q3824=""),"",INPUT!P3824-INPUT!Q3824),"")</f>
        <v/>
      </c>
      <c r="L3829" s="48" t="str">
        <f>IFERROR(IF(OR(INPUT!P3824="",INPUT!Q3824="",INPUT!P3824=0),"",(INPUT!P3824-INPUT!Q3824)/INPUT!P3824),"")</f>
        <v/>
      </c>
    </row>
    <row r="3830" spans="1:12" ht="18" hidden="1" customHeight="1" x14ac:dyDescent="0.2">
      <c r="A3830" s="11" t="str">
        <f>IF(INPUT!M3825="","",INPUT!M3825)</f>
        <v/>
      </c>
      <c r="B3830" s="11" t="str">
        <f>IF(INPUT!M3825="","",INPUT!M3825-WEEKDAY(INPUT!M3825,2)+1)</f>
        <v/>
      </c>
      <c r="C3830" s="20">
        <f>IFERROR(_xlfn.ISOWEEKNUM(INPUT!M3825),"")</f>
        <v>52</v>
      </c>
      <c r="D3830" s="20">
        <f>IFERROR(YEAR(INPUT!M3825),"")</f>
        <v>1900</v>
      </c>
      <c r="E3830" t="str">
        <f>IF(INPUT!O3825="","",INPUT!O3825)</f>
        <v/>
      </c>
      <c r="F3830" t="str">
        <f>IF(INPUT!N3825="","",INPUT!N3825)</f>
        <v/>
      </c>
      <c r="G3830" cm="1">
        <f t="array" ref="G3830">IFERROR(VLOOKUP(INPUT!M3825&amp;INPUT!N3825,CHOOSE({1,2},INPUT!$A$3:$A$5000&amp;INPUT!$C$3:$C$5000,INPUT!$F$3:$F$5000),2,FALSE),"")</f>
        <v>0</v>
      </c>
      <c r="H3830" cm="1">
        <f t="array" ref="H3830">IFERROR(VLOOKUP(INPUT!M3825&amp;INPUT!N3825,CHOOSE({1,2},INPUT!$A$3:$A$5000&amp;INPUT!$C$3:$C$5000,INPUT!$D$3:$D$5000),2,FALSE),"")</f>
        <v>0</v>
      </c>
      <c r="I3830" s="46" t="str">
        <f>IF(INPUT!P3825="","",INPUT!P3825)</f>
        <v/>
      </c>
      <c r="J3830" s="46" t="str">
        <f>IF(INPUT!Q3825="","",INPUT!Q3825)</f>
        <v/>
      </c>
      <c r="K3830" s="46" t="str">
        <f>IFERROR(IF(OR(INPUT!P3825="",INPUT!Q3825=""),"",INPUT!P3825-INPUT!Q3825),"")</f>
        <v/>
      </c>
      <c r="L3830" s="48" t="str">
        <f>IFERROR(IF(OR(INPUT!P3825="",INPUT!Q3825="",INPUT!P3825=0),"",(INPUT!P3825-INPUT!Q3825)/INPUT!P3825),"")</f>
        <v/>
      </c>
    </row>
    <row r="3831" spans="1:12" ht="18" hidden="1" customHeight="1" x14ac:dyDescent="0.2">
      <c r="A3831" s="11" t="str">
        <f>IF(INPUT!M3826="","",INPUT!M3826)</f>
        <v/>
      </c>
      <c r="B3831" s="11" t="str">
        <f>IF(INPUT!M3826="","",INPUT!M3826-WEEKDAY(INPUT!M3826,2)+1)</f>
        <v/>
      </c>
      <c r="C3831" s="20">
        <f>IFERROR(_xlfn.ISOWEEKNUM(INPUT!M3826),"")</f>
        <v>52</v>
      </c>
      <c r="D3831" s="20">
        <f>IFERROR(YEAR(INPUT!M3826),"")</f>
        <v>1900</v>
      </c>
      <c r="E3831" t="str">
        <f>IF(INPUT!O3826="","",INPUT!O3826)</f>
        <v/>
      </c>
      <c r="F3831" t="str">
        <f>IF(INPUT!N3826="","",INPUT!N3826)</f>
        <v/>
      </c>
      <c r="G3831" cm="1">
        <f t="array" ref="G3831">IFERROR(VLOOKUP(INPUT!M3826&amp;INPUT!N3826,CHOOSE({1,2},INPUT!$A$3:$A$5000&amp;INPUT!$C$3:$C$5000,INPUT!$F$3:$F$5000),2,FALSE),"")</f>
        <v>0</v>
      </c>
      <c r="H3831" cm="1">
        <f t="array" ref="H3831">IFERROR(VLOOKUP(INPUT!M3826&amp;INPUT!N3826,CHOOSE({1,2},INPUT!$A$3:$A$5000&amp;INPUT!$C$3:$C$5000,INPUT!$D$3:$D$5000),2,FALSE),"")</f>
        <v>0</v>
      </c>
      <c r="I3831" s="46" t="str">
        <f>IF(INPUT!P3826="","",INPUT!P3826)</f>
        <v/>
      </c>
      <c r="J3831" s="46" t="str">
        <f>IF(INPUT!Q3826="","",INPUT!Q3826)</f>
        <v/>
      </c>
      <c r="K3831" s="46" t="str">
        <f>IFERROR(IF(OR(INPUT!P3826="",INPUT!Q3826=""),"",INPUT!P3826-INPUT!Q3826),"")</f>
        <v/>
      </c>
      <c r="L3831" s="48" t="str">
        <f>IFERROR(IF(OR(INPUT!P3826="",INPUT!Q3826="",INPUT!P3826=0),"",(INPUT!P3826-INPUT!Q3826)/INPUT!P3826),"")</f>
        <v/>
      </c>
    </row>
    <row r="3832" spans="1:12" ht="18" hidden="1" customHeight="1" x14ac:dyDescent="0.2">
      <c r="A3832" s="11" t="str">
        <f>IF(INPUT!M3827="","",INPUT!M3827)</f>
        <v/>
      </c>
      <c r="B3832" s="11" t="str">
        <f>IF(INPUT!M3827="","",INPUT!M3827-WEEKDAY(INPUT!M3827,2)+1)</f>
        <v/>
      </c>
      <c r="C3832" s="20">
        <f>IFERROR(_xlfn.ISOWEEKNUM(INPUT!M3827),"")</f>
        <v>52</v>
      </c>
      <c r="D3832" s="20">
        <f>IFERROR(YEAR(INPUT!M3827),"")</f>
        <v>1900</v>
      </c>
      <c r="E3832" t="str">
        <f>IF(INPUT!O3827="","",INPUT!O3827)</f>
        <v/>
      </c>
      <c r="F3832" t="str">
        <f>IF(INPUT!N3827="","",INPUT!N3827)</f>
        <v/>
      </c>
      <c r="G3832" cm="1">
        <f t="array" ref="G3832">IFERROR(VLOOKUP(INPUT!M3827&amp;INPUT!N3827,CHOOSE({1,2},INPUT!$A$3:$A$5000&amp;INPUT!$C$3:$C$5000,INPUT!$F$3:$F$5000),2,FALSE),"")</f>
        <v>0</v>
      </c>
      <c r="H3832" cm="1">
        <f t="array" ref="H3832">IFERROR(VLOOKUP(INPUT!M3827&amp;INPUT!N3827,CHOOSE({1,2},INPUT!$A$3:$A$5000&amp;INPUT!$C$3:$C$5000,INPUT!$D$3:$D$5000),2,FALSE),"")</f>
        <v>0</v>
      </c>
      <c r="I3832" s="46" t="str">
        <f>IF(INPUT!P3827="","",INPUT!P3827)</f>
        <v/>
      </c>
      <c r="J3832" s="46" t="str">
        <f>IF(INPUT!Q3827="","",INPUT!Q3827)</f>
        <v/>
      </c>
      <c r="K3832" s="46" t="str">
        <f>IFERROR(IF(OR(INPUT!P3827="",INPUT!Q3827=""),"",INPUT!P3827-INPUT!Q3827),"")</f>
        <v/>
      </c>
      <c r="L3832" s="48" t="str">
        <f>IFERROR(IF(OR(INPUT!P3827="",INPUT!Q3827="",INPUT!P3827=0),"",(INPUT!P3827-INPUT!Q3827)/INPUT!P3827),"")</f>
        <v/>
      </c>
    </row>
    <row r="3833" spans="1:12" ht="18" hidden="1" customHeight="1" x14ac:dyDescent="0.2">
      <c r="A3833" s="11" t="str">
        <f>IF(INPUT!M3828="","",INPUT!M3828)</f>
        <v/>
      </c>
      <c r="B3833" s="11" t="str">
        <f>IF(INPUT!M3828="","",INPUT!M3828-WEEKDAY(INPUT!M3828,2)+1)</f>
        <v/>
      </c>
      <c r="C3833" s="20">
        <f>IFERROR(_xlfn.ISOWEEKNUM(INPUT!M3828),"")</f>
        <v>52</v>
      </c>
      <c r="D3833" s="20">
        <f>IFERROR(YEAR(INPUT!M3828),"")</f>
        <v>1900</v>
      </c>
      <c r="E3833" t="str">
        <f>IF(INPUT!O3828="","",INPUT!O3828)</f>
        <v/>
      </c>
      <c r="F3833" t="str">
        <f>IF(INPUT!N3828="","",INPUT!N3828)</f>
        <v/>
      </c>
      <c r="G3833" cm="1">
        <f t="array" ref="G3833">IFERROR(VLOOKUP(INPUT!M3828&amp;INPUT!N3828,CHOOSE({1,2},INPUT!$A$3:$A$5000&amp;INPUT!$C$3:$C$5000,INPUT!$F$3:$F$5000),2,FALSE),"")</f>
        <v>0</v>
      </c>
      <c r="H3833" cm="1">
        <f t="array" ref="H3833">IFERROR(VLOOKUP(INPUT!M3828&amp;INPUT!N3828,CHOOSE({1,2},INPUT!$A$3:$A$5000&amp;INPUT!$C$3:$C$5000,INPUT!$D$3:$D$5000),2,FALSE),"")</f>
        <v>0</v>
      </c>
      <c r="I3833" s="46" t="str">
        <f>IF(INPUT!P3828="","",INPUT!P3828)</f>
        <v/>
      </c>
      <c r="J3833" s="46" t="str">
        <f>IF(INPUT!Q3828="","",INPUT!Q3828)</f>
        <v/>
      </c>
      <c r="K3833" s="46" t="str">
        <f>IFERROR(IF(OR(INPUT!P3828="",INPUT!Q3828=""),"",INPUT!P3828-INPUT!Q3828),"")</f>
        <v/>
      </c>
      <c r="L3833" s="48" t="str">
        <f>IFERROR(IF(OR(INPUT!P3828="",INPUT!Q3828="",INPUT!P3828=0),"",(INPUT!P3828-INPUT!Q3828)/INPUT!P3828),"")</f>
        <v/>
      </c>
    </row>
    <row r="3834" spans="1:12" ht="18" hidden="1" customHeight="1" x14ac:dyDescent="0.2">
      <c r="A3834" s="11" t="str">
        <f>IF(INPUT!M3829="","",INPUT!M3829)</f>
        <v/>
      </c>
      <c r="B3834" s="11" t="str">
        <f>IF(INPUT!M3829="","",INPUT!M3829-WEEKDAY(INPUT!M3829,2)+1)</f>
        <v/>
      </c>
      <c r="C3834" s="20">
        <f>IFERROR(_xlfn.ISOWEEKNUM(INPUT!M3829),"")</f>
        <v>52</v>
      </c>
      <c r="D3834" s="20">
        <f>IFERROR(YEAR(INPUT!M3829),"")</f>
        <v>1900</v>
      </c>
      <c r="E3834" t="str">
        <f>IF(INPUT!O3829="","",INPUT!O3829)</f>
        <v/>
      </c>
      <c r="F3834" t="str">
        <f>IF(INPUT!N3829="","",INPUT!N3829)</f>
        <v/>
      </c>
      <c r="G3834" cm="1">
        <f t="array" ref="G3834">IFERROR(VLOOKUP(INPUT!M3829&amp;INPUT!N3829,CHOOSE({1,2},INPUT!$A$3:$A$5000&amp;INPUT!$C$3:$C$5000,INPUT!$F$3:$F$5000),2,FALSE),"")</f>
        <v>0</v>
      </c>
      <c r="H3834" cm="1">
        <f t="array" ref="H3834">IFERROR(VLOOKUP(INPUT!M3829&amp;INPUT!N3829,CHOOSE({1,2},INPUT!$A$3:$A$5000&amp;INPUT!$C$3:$C$5000,INPUT!$D$3:$D$5000),2,FALSE),"")</f>
        <v>0</v>
      </c>
      <c r="I3834" s="46" t="str">
        <f>IF(INPUT!P3829="","",INPUT!P3829)</f>
        <v/>
      </c>
      <c r="J3834" s="46" t="str">
        <f>IF(INPUT!Q3829="","",INPUT!Q3829)</f>
        <v/>
      </c>
      <c r="K3834" s="46" t="str">
        <f>IFERROR(IF(OR(INPUT!P3829="",INPUT!Q3829=""),"",INPUT!P3829-INPUT!Q3829),"")</f>
        <v/>
      </c>
      <c r="L3834" s="48" t="str">
        <f>IFERROR(IF(OR(INPUT!P3829="",INPUT!Q3829="",INPUT!P3829=0),"",(INPUT!P3829-INPUT!Q3829)/INPUT!P3829),"")</f>
        <v/>
      </c>
    </row>
    <row r="3835" spans="1:12" ht="18" hidden="1" customHeight="1" x14ac:dyDescent="0.2">
      <c r="A3835" s="11" t="str">
        <f>IF(INPUT!M3830="","",INPUT!M3830)</f>
        <v/>
      </c>
      <c r="B3835" s="11" t="str">
        <f>IF(INPUT!M3830="","",INPUT!M3830-WEEKDAY(INPUT!M3830,2)+1)</f>
        <v/>
      </c>
      <c r="C3835" s="20">
        <f>IFERROR(_xlfn.ISOWEEKNUM(INPUT!M3830),"")</f>
        <v>52</v>
      </c>
      <c r="D3835" s="20">
        <f>IFERROR(YEAR(INPUT!M3830),"")</f>
        <v>1900</v>
      </c>
      <c r="E3835" t="str">
        <f>IF(INPUT!O3830="","",INPUT!O3830)</f>
        <v/>
      </c>
      <c r="F3835" t="str">
        <f>IF(INPUT!N3830="","",INPUT!N3830)</f>
        <v/>
      </c>
      <c r="G3835" cm="1">
        <f t="array" ref="G3835">IFERROR(VLOOKUP(INPUT!M3830&amp;INPUT!N3830,CHOOSE({1,2},INPUT!$A$3:$A$5000&amp;INPUT!$C$3:$C$5000,INPUT!$F$3:$F$5000),2,FALSE),"")</f>
        <v>0</v>
      </c>
      <c r="H3835" cm="1">
        <f t="array" ref="H3835">IFERROR(VLOOKUP(INPUT!M3830&amp;INPUT!N3830,CHOOSE({1,2},INPUT!$A$3:$A$5000&amp;INPUT!$C$3:$C$5000,INPUT!$D$3:$D$5000),2,FALSE),"")</f>
        <v>0</v>
      </c>
      <c r="I3835" s="46" t="str">
        <f>IF(INPUT!P3830="","",INPUT!P3830)</f>
        <v/>
      </c>
      <c r="J3835" s="46" t="str">
        <f>IF(INPUT!Q3830="","",INPUT!Q3830)</f>
        <v/>
      </c>
      <c r="K3835" s="46" t="str">
        <f>IFERROR(IF(OR(INPUT!P3830="",INPUT!Q3830=""),"",INPUT!P3830-INPUT!Q3830),"")</f>
        <v/>
      </c>
      <c r="L3835" s="48" t="str">
        <f>IFERROR(IF(OR(INPUT!P3830="",INPUT!Q3830="",INPUT!P3830=0),"",(INPUT!P3830-INPUT!Q3830)/INPUT!P3830),"")</f>
        <v/>
      </c>
    </row>
    <row r="3836" spans="1:12" ht="18" hidden="1" customHeight="1" x14ac:dyDescent="0.2">
      <c r="A3836" s="11" t="str">
        <f>IF(INPUT!M3831="","",INPUT!M3831)</f>
        <v/>
      </c>
      <c r="B3836" s="11" t="str">
        <f>IF(INPUT!M3831="","",INPUT!M3831-WEEKDAY(INPUT!M3831,2)+1)</f>
        <v/>
      </c>
      <c r="C3836" s="20">
        <f>IFERROR(_xlfn.ISOWEEKNUM(INPUT!M3831),"")</f>
        <v>52</v>
      </c>
      <c r="D3836" s="20">
        <f>IFERROR(YEAR(INPUT!M3831),"")</f>
        <v>1900</v>
      </c>
      <c r="E3836" t="str">
        <f>IF(INPUT!O3831="","",INPUT!O3831)</f>
        <v/>
      </c>
      <c r="F3836" t="str">
        <f>IF(INPUT!N3831="","",INPUT!N3831)</f>
        <v/>
      </c>
      <c r="G3836" cm="1">
        <f t="array" ref="G3836">IFERROR(VLOOKUP(INPUT!M3831&amp;INPUT!N3831,CHOOSE({1,2},INPUT!$A$3:$A$5000&amp;INPUT!$C$3:$C$5000,INPUT!$F$3:$F$5000),2,FALSE),"")</f>
        <v>0</v>
      </c>
      <c r="H3836" cm="1">
        <f t="array" ref="H3836">IFERROR(VLOOKUP(INPUT!M3831&amp;INPUT!N3831,CHOOSE({1,2},INPUT!$A$3:$A$5000&amp;INPUT!$C$3:$C$5000,INPUT!$D$3:$D$5000),2,FALSE),"")</f>
        <v>0</v>
      </c>
      <c r="I3836" s="46" t="str">
        <f>IF(INPUT!P3831="","",INPUT!P3831)</f>
        <v/>
      </c>
      <c r="J3836" s="46" t="str">
        <f>IF(INPUT!Q3831="","",INPUT!Q3831)</f>
        <v/>
      </c>
      <c r="K3836" s="46" t="str">
        <f>IFERROR(IF(OR(INPUT!P3831="",INPUT!Q3831=""),"",INPUT!P3831-INPUT!Q3831),"")</f>
        <v/>
      </c>
      <c r="L3836" s="48" t="str">
        <f>IFERROR(IF(OR(INPUT!P3831="",INPUT!Q3831="",INPUT!P3831=0),"",(INPUT!P3831-INPUT!Q3831)/INPUT!P3831),"")</f>
        <v/>
      </c>
    </row>
    <row r="3837" spans="1:12" ht="18" hidden="1" customHeight="1" x14ac:dyDescent="0.2">
      <c r="A3837" s="11" t="str">
        <f>IF(INPUT!M3832="","",INPUT!M3832)</f>
        <v/>
      </c>
      <c r="B3837" s="11" t="str">
        <f>IF(INPUT!M3832="","",INPUT!M3832-WEEKDAY(INPUT!M3832,2)+1)</f>
        <v/>
      </c>
      <c r="C3837" s="20">
        <f>IFERROR(_xlfn.ISOWEEKNUM(INPUT!M3832),"")</f>
        <v>52</v>
      </c>
      <c r="D3837" s="20">
        <f>IFERROR(YEAR(INPUT!M3832),"")</f>
        <v>1900</v>
      </c>
      <c r="E3837" t="str">
        <f>IF(INPUT!O3832="","",INPUT!O3832)</f>
        <v/>
      </c>
      <c r="F3837" t="str">
        <f>IF(INPUT!N3832="","",INPUT!N3832)</f>
        <v/>
      </c>
      <c r="G3837" cm="1">
        <f t="array" ref="G3837">IFERROR(VLOOKUP(INPUT!M3832&amp;INPUT!N3832,CHOOSE({1,2},INPUT!$A$3:$A$5000&amp;INPUT!$C$3:$C$5000,INPUT!$F$3:$F$5000),2,FALSE),"")</f>
        <v>0</v>
      </c>
      <c r="H3837" cm="1">
        <f t="array" ref="H3837">IFERROR(VLOOKUP(INPUT!M3832&amp;INPUT!N3832,CHOOSE({1,2},INPUT!$A$3:$A$5000&amp;INPUT!$C$3:$C$5000,INPUT!$D$3:$D$5000),2,FALSE),"")</f>
        <v>0</v>
      </c>
      <c r="I3837" s="46" t="str">
        <f>IF(INPUT!P3832="","",INPUT!P3832)</f>
        <v/>
      </c>
      <c r="J3837" s="46" t="str">
        <f>IF(INPUT!Q3832="","",INPUT!Q3832)</f>
        <v/>
      </c>
      <c r="K3837" s="46" t="str">
        <f>IFERROR(IF(OR(INPUT!P3832="",INPUT!Q3832=""),"",INPUT!P3832-INPUT!Q3832),"")</f>
        <v/>
      </c>
      <c r="L3837" s="48" t="str">
        <f>IFERROR(IF(OR(INPUT!P3832="",INPUT!Q3832="",INPUT!P3832=0),"",(INPUT!P3832-INPUT!Q3832)/INPUT!P3832),"")</f>
        <v/>
      </c>
    </row>
    <row r="3838" spans="1:12" ht="18" hidden="1" customHeight="1" x14ac:dyDescent="0.2">
      <c r="A3838" s="11" t="str">
        <f>IF(INPUT!M3833="","",INPUT!M3833)</f>
        <v/>
      </c>
      <c r="B3838" s="11" t="str">
        <f>IF(INPUT!M3833="","",INPUT!M3833-WEEKDAY(INPUT!M3833,2)+1)</f>
        <v/>
      </c>
      <c r="C3838" s="20">
        <f>IFERROR(_xlfn.ISOWEEKNUM(INPUT!M3833),"")</f>
        <v>52</v>
      </c>
      <c r="D3838" s="20">
        <f>IFERROR(YEAR(INPUT!M3833),"")</f>
        <v>1900</v>
      </c>
      <c r="E3838" t="str">
        <f>IF(INPUT!O3833="","",INPUT!O3833)</f>
        <v/>
      </c>
      <c r="F3838" t="str">
        <f>IF(INPUT!N3833="","",INPUT!N3833)</f>
        <v/>
      </c>
      <c r="G3838" cm="1">
        <f t="array" ref="G3838">IFERROR(VLOOKUP(INPUT!M3833&amp;INPUT!N3833,CHOOSE({1,2},INPUT!$A$3:$A$5000&amp;INPUT!$C$3:$C$5000,INPUT!$F$3:$F$5000),2,FALSE),"")</f>
        <v>0</v>
      </c>
      <c r="H3838" cm="1">
        <f t="array" ref="H3838">IFERROR(VLOOKUP(INPUT!M3833&amp;INPUT!N3833,CHOOSE({1,2},INPUT!$A$3:$A$5000&amp;INPUT!$C$3:$C$5000,INPUT!$D$3:$D$5000),2,FALSE),"")</f>
        <v>0</v>
      </c>
      <c r="I3838" s="46" t="str">
        <f>IF(INPUT!P3833="","",INPUT!P3833)</f>
        <v/>
      </c>
      <c r="J3838" s="46" t="str">
        <f>IF(INPUT!Q3833="","",INPUT!Q3833)</f>
        <v/>
      </c>
      <c r="K3838" s="46" t="str">
        <f>IFERROR(IF(OR(INPUT!P3833="",INPUT!Q3833=""),"",INPUT!P3833-INPUT!Q3833),"")</f>
        <v/>
      </c>
      <c r="L3838" s="48" t="str">
        <f>IFERROR(IF(OR(INPUT!P3833="",INPUT!Q3833="",INPUT!P3833=0),"",(INPUT!P3833-INPUT!Q3833)/INPUT!P3833),"")</f>
        <v/>
      </c>
    </row>
    <row r="3839" spans="1:12" ht="18" hidden="1" customHeight="1" x14ac:dyDescent="0.2">
      <c r="A3839" s="11" t="str">
        <f>IF(INPUT!M3834="","",INPUT!M3834)</f>
        <v/>
      </c>
      <c r="B3839" s="11" t="str">
        <f>IF(INPUT!M3834="","",INPUT!M3834-WEEKDAY(INPUT!M3834,2)+1)</f>
        <v/>
      </c>
      <c r="C3839" s="20">
        <f>IFERROR(_xlfn.ISOWEEKNUM(INPUT!M3834),"")</f>
        <v>52</v>
      </c>
      <c r="D3839" s="20">
        <f>IFERROR(YEAR(INPUT!M3834),"")</f>
        <v>1900</v>
      </c>
      <c r="E3839" t="str">
        <f>IF(INPUT!O3834="","",INPUT!O3834)</f>
        <v/>
      </c>
      <c r="F3839" t="str">
        <f>IF(INPUT!N3834="","",INPUT!N3834)</f>
        <v/>
      </c>
      <c r="G3839" cm="1">
        <f t="array" ref="G3839">IFERROR(VLOOKUP(INPUT!M3834&amp;INPUT!N3834,CHOOSE({1,2},INPUT!$A$3:$A$5000&amp;INPUT!$C$3:$C$5000,INPUT!$F$3:$F$5000),2,FALSE),"")</f>
        <v>0</v>
      </c>
      <c r="H3839" cm="1">
        <f t="array" ref="H3839">IFERROR(VLOOKUP(INPUT!M3834&amp;INPUT!N3834,CHOOSE({1,2},INPUT!$A$3:$A$5000&amp;INPUT!$C$3:$C$5000,INPUT!$D$3:$D$5000),2,FALSE),"")</f>
        <v>0</v>
      </c>
      <c r="I3839" s="46" t="str">
        <f>IF(INPUT!P3834="","",INPUT!P3834)</f>
        <v/>
      </c>
      <c r="J3839" s="46" t="str">
        <f>IF(INPUT!Q3834="","",INPUT!Q3834)</f>
        <v/>
      </c>
      <c r="K3839" s="46" t="str">
        <f>IFERROR(IF(OR(INPUT!P3834="",INPUT!Q3834=""),"",INPUT!P3834-INPUT!Q3834),"")</f>
        <v/>
      </c>
      <c r="L3839" s="48" t="str">
        <f>IFERROR(IF(OR(INPUT!P3834="",INPUT!Q3834="",INPUT!P3834=0),"",(INPUT!P3834-INPUT!Q3834)/INPUT!P3834),"")</f>
        <v/>
      </c>
    </row>
    <row r="3840" spans="1:12" ht="18" hidden="1" customHeight="1" x14ac:dyDescent="0.2">
      <c r="A3840" s="11" t="str">
        <f>IF(INPUT!M3835="","",INPUT!M3835)</f>
        <v/>
      </c>
      <c r="B3840" s="11" t="str">
        <f>IF(INPUT!M3835="","",INPUT!M3835-WEEKDAY(INPUT!M3835,2)+1)</f>
        <v/>
      </c>
      <c r="C3840" s="20">
        <f>IFERROR(_xlfn.ISOWEEKNUM(INPUT!M3835),"")</f>
        <v>52</v>
      </c>
      <c r="D3840" s="20">
        <f>IFERROR(YEAR(INPUT!M3835),"")</f>
        <v>1900</v>
      </c>
      <c r="E3840" t="str">
        <f>IF(INPUT!O3835="","",INPUT!O3835)</f>
        <v/>
      </c>
      <c r="F3840" t="str">
        <f>IF(INPUT!N3835="","",INPUT!N3835)</f>
        <v/>
      </c>
      <c r="G3840" cm="1">
        <f t="array" ref="G3840">IFERROR(VLOOKUP(INPUT!M3835&amp;INPUT!N3835,CHOOSE({1,2},INPUT!$A$3:$A$5000&amp;INPUT!$C$3:$C$5000,INPUT!$F$3:$F$5000),2,FALSE),"")</f>
        <v>0</v>
      </c>
      <c r="H3840" cm="1">
        <f t="array" ref="H3840">IFERROR(VLOOKUP(INPUT!M3835&amp;INPUT!N3835,CHOOSE({1,2},INPUT!$A$3:$A$5000&amp;INPUT!$C$3:$C$5000,INPUT!$D$3:$D$5000),2,FALSE),"")</f>
        <v>0</v>
      </c>
      <c r="I3840" s="46" t="str">
        <f>IF(INPUT!P3835="","",INPUT!P3835)</f>
        <v/>
      </c>
      <c r="J3840" s="46" t="str">
        <f>IF(INPUT!Q3835="","",INPUT!Q3835)</f>
        <v/>
      </c>
      <c r="K3840" s="46" t="str">
        <f>IFERROR(IF(OR(INPUT!P3835="",INPUT!Q3835=""),"",INPUT!P3835-INPUT!Q3835),"")</f>
        <v/>
      </c>
      <c r="L3840" s="48" t="str">
        <f>IFERROR(IF(OR(INPUT!P3835="",INPUT!Q3835="",INPUT!P3835=0),"",(INPUT!P3835-INPUT!Q3835)/INPUT!P3835),"")</f>
        <v/>
      </c>
    </row>
    <row r="3841" spans="1:12" ht="18" hidden="1" customHeight="1" x14ac:dyDescent="0.2">
      <c r="A3841" s="11" t="str">
        <f>IF(INPUT!M3836="","",INPUT!M3836)</f>
        <v/>
      </c>
      <c r="B3841" s="11" t="str">
        <f>IF(INPUT!M3836="","",INPUT!M3836-WEEKDAY(INPUT!M3836,2)+1)</f>
        <v/>
      </c>
      <c r="C3841" s="20">
        <f>IFERROR(_xlfn.ISOWEEKNUM(INPUT!M3836),"")</f>
        <v>52</v>
      </c>
      <c r="D3841" s="20">
        <f>IFERROR(YEAR(INPUT!M3836),"")</f>
        <v>1900</v>
      </c>
      <c r="E3841" t="str">
        <f>IF(INPUT!O3836="","",INPUT!O3836)</f>
        <v/>
      </c>
      <c r="F3841" t="str">
        <f>IF(INPUT!N3836="","",INPUT!N3836)</f>
        <v/>
      </c>
      <c r="G3841" cm="1">
        <f t="array" ref="G3841">IFERROR(VLOOKUP(INPUT!M3836&amp;INPUT!N3836,CHOOSE({1,2},INPUT!$A$3:$A$5000&amp;INPUT!$C$3:$C$5000,INPUT!$F$3:$F$5000),2,FALSE),"")</f>
        <v>0</v>
      </c>
      <c r="H3841" cm="1">
        <f t="array" ref="H3841">IFERROR(VLOOKUP(INPUT!M3836&amp;INPUT!N3836,CHOOSE({1,2},INPUT!$A$3:$A$5000&amp;INPUT!$C$3:$C$5000,INPUT!$D$3:$D$5000),2,FALSE),"")</f>
        <v>0</v>
      </c>
      <c r="I3841" s="46" t="str">
        <f>IF(INPUT!P3836="","",INPUT!P3836)</f>
        <v/>
      </c>
      <c r="J3841" s="46" t="str">
        <f>IF(INPUT!Q3836="","",INPUT!Q3836)</f>
        <v/>
      </c>
      <c r="K3841" s="46" t="str">
        <f>IFERROR(IF(OR(INPUT!P3836="",INPUT!Q3836=""),"",INPUT!P3836-INPUT!Q3836),"")</f>
        <v/>
      </c>
      <c r="L3841" s="48" t="str">
        <f>IFERROR(IF(OR(INPUT!P3836="",INPUT!Q3836="",INPUT!P3836=0),"",(INPUT!P3836-INPUT!Q3836)/INPUT!P3836),"")</f>
        <v/>
      </c>
    </row>
    <row r="3842" spans="1:12" ht="18" hidden="1" customHeight="1" x14ac:dyDescent="0.2">
      <c r="A3842" s="11" t="str">
        <f>IF(INPUT!M3837="","",INPUT!M3837)</f>
        <v/>
      </c>
      <c r="B3842" s="11" t="str">
        <f>IF(INPUT!M3837="","",INPUT!M3837-WEEKDAY(INPUT!M3837,2)+1)</f>
        <v/>
      </c>
      <c r="C3842" s="20">
        <f>IFERROR(_xlfn.ISOWEEKNUM(INPUT!M3837),"")</f>
        <v>52</v>
      </c>
      <c r="D3842" s="20">
        <f>IFERROR(YEAR(INPUT!M3837),"")</f>
        <v>1900</v>
      </c>
      <c r="E3842" t="str">
        <f>IF(INPUT!O3837="","",INPUT!O3837)</f>
        <v/>
      </c>
      <c r="F3842" t="str">
        <f>IF(INPUT!N3837="","",INPUT!N3837)</f>
        <v/>
      </c>
      <c r="G3842" cm="1">
        <f t="array" ref="G3842">IFERROR(VLOOKUP(INPUT!M3837&amp;INPUT!N3837,CHOOSE({1,2},INPUT!$A$3:$A$5000&amp;INPUT!$C$3:$C$5000,INPUT!$F$3:$F$5000),2,FALSE),"")</f>
        <v>0</v>
      </c>
      <c r="H3842" cm="1">
        <f t="array" ref="H3842">IFERROR(VLOOKUP(INPUT!M3837&amp;INPUT!N3837,CHOOSE({1,2},INPUT!$A$3:$A$5000&amp;INPUT!$C$3:$C$5000,INPUT!$D$3:$D$5000),2,FALSE),"")</f>
        <v>0</v>
      </c>
      <c r="I3842" s="46" t="str">
        <f>IF(INPUT!P3837="","",INPUT!P3837)</f>
        <v/>
      </c>
      <c r="J3842" s="46" t="str">
        <f>IF(INPUT!Q3837="","",INPUT!Q3837)</f>
        <v/>
      </c>
      <c r="K3842" s="46" t="str">
        <f>IFERROR(IF(OR(INPUT!P3837="",INPUT!Q3837=""),"",INPUT!P3837-INPUT!Q3837),"")</f>
        <v/>
      </c>
      <c r="L3842" s="48" t="str">
        <f>IFERROR(IF(OR(INPUT!P3837="",INPUT!Q3837="",INPUT!P3837=0),"",(INPUT!P3837-INPUT!Q3837)/INPUT!P3837),"")</f>
        <v/>
      </c>
    </row>
    <row r="3843" spans="1:12" ht="18" hidden="1" customHeight="1" x14ac:dyDescent="0.2">
      <c r="A3843" s="11" t="str">
        <f>IF(INPUT!M3838="","",INPUT!M3838)</f>
        <v/>
      </c>
      <c r="B3843" s="11" t="str">
        <f>IF(INPUT!M3838="","",INPUT!M3838-WEEKDAY(INPUT!M3838,2)+1)</f>
        <v/>
      </c>
      <c r="C3843" s="20">
        <f>IFERROR(_xlfn.ISOWEEKNUM(INPUT!M3838),"")</f>
        <v>52</v>
      </c>
      <c r="D3843" s="20">
        <f>IFERROR(YEAR(INPUT!M3838),"")</f>
        <v>1900</v>
      </c>
      <c r="E3843" t="str">
        <f>IF(INPUT!O3838="","",INPUT!O3838)</f>
        <v/>
      </c>
      <c r="F3843" t="str">
        <f>IF(INPUT!N3838="","",INPUT!N3838)</f>
        <v/>
      </c>
      <c r="G3843" cm="1">
        <f t="array" ref="G3843">IFERROR(VLOOKUP(INPUT!M3838&amp;INPUT!N3838,CHOOSE({1,2},INPUT!$A$3:$A$5000&amp;INPUT!$C$3:$C$5000,INPUT!$F$3:$F$5000),2,FALSE),"")</f>
        <v>0</v>
      </c>
      <c r="H3843" cm="1">
        <f t="array" ref="H3843">IFERROR(VLOOKUP(INPUT!M3838&amp;INPUT!N3838,CHOOSE({1,2},INPUT!$A$3:$A$5000&amp;INPUT!$C$3:$C$5000,INPUT!$D$3:$D$5000),2,FALSE),"")</f>
        <v>0</v>
      </c>
      <c r="I3843" s="46" t="str">
        <f>IF(INPUT!P3838="","",INPUT!P3838)</f>
        <v/>
      </c>
      <c r="J3843" s="46" t="str">
        <f>IF(INPUT!Q3838="","",INPUT!Q3838)</f>
        <v/>
      </c>
      <c r="K3843" s="46" t="str">
        <f>IFERROR(IF(OR(INPUT!P3838="",INPUT!Q3838=""),"",INPUT!P3838-INPUT!Q3838),"")</f>
        <v/>
      </c>
      <c r="L3843" s="48" t="str">
        <f>IFERROR(IF(OR(INPUT!P3838="",INPUT!Q3838="",INPUT!P3838=0),"",(INPUT!P3838-INPUT!Q3838)/INPUT!P3838),"")</f>
        <v/>
      </c>
    </row>
    <row r="3844" spans="1:12" ht="18" hidden="1" customHeight="1" x14ac:dyDescent="0.2">
      <c r="A3844" s="11" t="str">
        <f>IF(INPUT!M3839="","",INPUT!M3839)</f>
        <v/>
      </c>
      <c r="B3844" s="11" t="str">
        <f>IF(INPUT!M3839="","",INPUT!M3839-WEEKDAY(INPUT!M3839,2)+1)</f>
        <v/>
      </c>
      <c r="C3844" s="20">
        <f>IFERROR(_xlfn.ISOWEEKNUM(INPUT!M3839),"")</f>
        <v>52</v>
      </c>
      <c r="D3844" s="20">
        <f>IFERROR(YEAR(INPUT!M3839),"")</f>
        <v>1900</v>
      </c>
      <c r="E3844" t="str">
        <f>IF(INPUT!O3839="","",INPUT!O3839)</f>
        <v/>
      </c>
      <c r="F3844" t="str">
        <f>IF(INPUT!N3839="","",INPUT!N3839)</f>
        <v/>
      </c>
      <c r="G3844" cm="1">
        <f t="array" ref="G3844">IFERROR(VLOOKUP(INPUT!M3839&amp;INPUT!N3839,CHOOSE({1,2},INPUT!$A$3:$A$5000&amp;INPUT!$C$3:$C$5000,INPUT!$F$3:$F$5000),2,FALSE),"")</f>
        <v>0</v>
      </c>
      <c r="H3844" cm="1">
        <f t="array" ref="H3844">IFERROR(VLOOKUP(INPUT!M3839&amp;INPUT!N3839,CHOOSE({1,2},INPUT!$A$3:$A$5000&amp;INPUT!$C$3:$C$5000,INPUT!$D$3:$D$5000),2,FALSE),"")</f>
        <v>0</v>
      </c>
      <c r="I3844" s="46" t="str">
        <f>IF(INPUT!P3839="","",INPUT!P3839)</f>
        <v/>
      </c>
      <c r="J3844" s="46" t="str">
        <f>IF(INPUT!Q3839="","",INPUT!Q3839)</f>
        <v/>
      </c>
      <c r="K3844" s="46" t="str">
        <f>IFERROR(IF(OR(INPUT!P3839="",INPUT!Q3839=""),"",INPUT!P3839-INPUT!Q3839),"")</f>
        <v/>
      </c>
      <c r="L3844" s="48" t="str">
        <f>IFERROR(IF(OR(INPUT!P3839="",INPUT!Q3839="",INPUT!P3839=0),"",(INPUT!P3839-INPUT!Q3839)/INPUT!P3839),"")</f>
        <v/>
      </c>
    </row>
    <row r="3845" spans="1:12" ht="18" hidden="1" customHeight="1" x14ac:dyDescent="0.2">
      <c r="A3845" s="11" t="str">
        <f>IF(INPUT!M3840="","",INPUT!M3840)</f>
        <v/>
      </c>
      <c r="B3845" s="11" t="str">
        <f>IF(INPUT!M3840="","",INPUT!M3840-WEEKDAY(INPUT!M3840,2)+1)</f>
        <v/>
      </c>
      <c r="C3845" s="20">
        <f>IFERROR(_xlfn.ISOWEEKNUM(INPUT!M3840),"")</f>
        <v>52</v>
      </c>
      <c r="D3845" s="20">
        <f>IFERROR(YEAR(INPUT!M3840),"")</f>
        <v>1900</v>
      </c>
      <c r="E3845" t="str">
        <f>IF(INPUT!O3840="","",INPUT!O3840)</f>
        <v/>
      </c>
      <c r="F3845" t="str">
        <f>IF(INPUT!N3840="","",INPUT!N3840)</f>
        <v/>
      </c>
      <c r="G3845" cm="1">
        <f t="array" ref="G3845">IFERROR(VLOOKUP(INPUT!M3840&amp;INPUT!N3840,CHOOSE({1,2},INPUT!$A$3:$A$5000&amp;INPUT!$C$3:$C$5000,INPUT!$F$3:$F$5000),2,FALSE),"")</f>
        <v>0</v>
      </c>
      <c r="H3845" cm="1">
        <f t="array" ref="H3845">IFERROR(VLOOKUP(INPUT!M3840&amp;INPUT!N3840,CHOOSE({1,2},INPUT!$A$3:$A$5000&amp;INPUT!$C$3:$C$5000,INPUT!$D$3:$D$5000),2,FALSE),"")</f>
        <v>0</v>
      </c>
      <c r="I3845" s="46" t="str">
        <f>IF(INPUT!P3840="","",INPUT!P3840)</f>
        <v/>
      </c>
      <c r="J3845" s="46" t="str">
        <f>IF(INPUT!Q3840="","",INPUT!Q3840)</f>
        <v/>
      </c>
      <c r="K3845" s="46" t="str">
        <f>IFERROR(IF(OR(INPUT!P3840="",INPUT!Q3840=""),"",INPUT!P3840-INPUT!Q3840),"")</f>
        <v/>
      </c>
      <c r="L3845" s="48" t="str">
        <f>IFERROR(IF(OR(INPUT!P3840="",INPUT!Q3840="",INPUT!P3840=0),"",(INPUT!P3840-INPUT!Q3840)/INPUT!P3840),"")</f>
        <v/>
      </c>
    </row>
    <row r="3846" spans="1:12" ht="18" hidden="1" customHeight="1" x14ac:dyDescent="0.2">
      <c r="A3846" s="11" t="str">
        <f>IF(INPUT!M3841="","",INPUT!M3841)</f>
        <v/>
      </c>
      <c r="B3846" s="11" t="str">
        <f>IF(INPUT!M3841="","",INPUT!M3841-WEEKDAY(INPUT!M3841,2)+1)</f>
        <v/>
      </c>
      <c r="C3846" s="20">
        <f>IFERROR(_xlfn.ISOWEEKNUM(INPUT!M3841),"")</f>
        <v>52</v>
      </c>
      <c r="D3846" s="20">
        <f>IFERROR(YEAR(INPUT!M3841),"")</f>
        <v>1900</v>
      </c>
      <c r="E3846" t="str">
        <f>IF(INPUT!O3841="","",INPUT!O3841)</f>
        <v/>
      </c>
      <c r="F3846" t="str">
        <f>IF(INPUT!N3841="","",INPUT!N3841)</f>
        <v/>
      </c>
      <c r="G3846" cm="1">
        <f t="array" ref="G3846">IFERROR(VLOOKUP(INPUT!M3841&amp;INPUT!N3841,CHOOSE({1,2},INPUT!$A$3:$A$5000&amp;INPUT!$C$3:$C$5000,INPUT!$F$3:$F$5000),2,FALSE),"")</f>
        <v>0</v>
      </c>
      <c r="H3846" cm="1">
        <f t="array" ref="H3846">IFERROR(VLOOKUP(INPUT!M3841&amp;INPUT!N3841,CHOOSE({1,2},INPUT!$A$3:$A$5000&amp;INPUT!$C$3:$C$5000,INPUT!$D$3:$D$5000),2,FALSE),"")</f>
        <v>0</v>
      </c>
      <c r="I3846" s="46" t="str">
        <f>IF(INPUT!P3841="","",INPUT!P3841)</f>
        <v/>
      </c>
      <c r="J3846" s="46" t="str">
        <f>IF(INPUT!Q3841="","",INPUT!Q3841)</f>
        <v/>
      </c>
      <c r="K3846" s="46" t="str">
        <f>IFERROR(IF(OR(INPUT!P3841="",INPUT!Q3841=""),"",INPUT!P3841-INPUT!Q3841),"")</f>
        <v/>
      </c>
      <c r="L3846" s="48" t="str">
        <f>IFERROR(IF(OR(INPUT!P3841="",INPUT!Q3841="",INPUT!P3841=0),"",(INPUT!P3841-INPUT!Q3841)/INPUT!P3841),"")</f>
        <v/>
      </c>
    </row>
    <row r="3847" spans="1:12" ht="18" hidden="1" customHeight="1" x14ac:dyDescent="0.2">
      <c r="A3847" s="11" t="str">
        <f>IF(INPUT!M3842="","",INPUT!M3842)</f>
        <v/>
      </c>
      <c r="B3847" s="11" t="str">
        <f>IF(INPUT!M3842="","",INPUT!M3842-WEEKDAY(INPUT!M3842,2)+1)</f>
        <v/>
      </c>
      <c r="C3847" s="20">
        <f>IFERROR(_xlfn.ISOWEEKNUM(INPUT!M3842),"")</f>
        <v>52</v>
      </c>
      <c r="D3847" s="20">
        <f>IFERROR(YEAR(INPUT!M3842),"")</f>
        <v>1900</v>
      </c>
      <c r="E3847" t="str">
        <f>IF(INPUT!O3842="","",INPUT!O3842)</f>
        <v/>
      </c>
      <c r="F3847" t="str">
        <f>IF(INPUT!N3842="","",INPUT!N3842)</f>
        <v/>
      </c>
      <c r="G3847" cm="1">
        <f t="array" ref="G3847">IFERROR(VLOOKUP(INPUT!M3842&amp;INPUT!N3842,CHOOSE({1,2},INPUT!$A$3:$A$5000&amp;INPUT!$C$3:$C$5000,INPUT!$F$3:$F$5000),2,FALSE),"")</f>
        <v>0</v>
      </c>
      <c r="H3847" cm="1">
        <f t="array" ref="H3847">IFERROR(VLOOKUP(INPUT!M3842&amp;INPUT!N3842,CHOOSE({1,2},INPUT!$A$3:$A$5000&amp;INPUT!$C$3:$C$5000,INPUT!$D$3:$D$5000),2,FALSE),"")</f>
        <v>0</v>
      </c>
      <c r="I3847" s="46" t="str">
        <f>IF(INPUT!P3842="","",INPUT!P3842)</f>
        <v/>
      </c>
      <c r="J3847" s="46" t="str">
        <f>IF(INPUT!Q3842="","",INPUT!Q3842)</f>
        <v/>
      </c>
      <c r="K3847" s="46" t="str">
        <f>IFERROR(IF(OR(INPUT!P3842="",INPUT!Q3842=""),"",INPUT!P3842-INPUT!Q3842),"")</f>
        <v/>
      </c>
      <c r="L3847" s="48" t="str">
        <f>IFERROR(IF(OR(INPUT!P3842="",INPUT!Q3842="",INPUT!P3842=0),"",(INPUT!P3842-INPUT!Q3842)/INPUT!P3842),"")</f>
        <v/>
      </c>
    </row>
    <row r="3848" spans="1:12" ht="18" hidden="1" customHeight="1" x14ac:dyDescent="0.2">
      <c r="A3848" s="11" t="str">
        <f>IF(INPUT!M3843="","",INPUT!M3843)</f>
        <v/>
      </c>
      <c r="B3848" s="11" t="str">
        <f>IF(INPUT!M3843="","",INPUT!M3843-WEEKDAY(INPUT!M3843,2)+1)</f>
        <v/>
      </c>
      <c r="C3848" s="20">
        <f>IFERROR(_xlfn.ISOWEEKNUM(INPUT!M3843),"")</f>
        <v>52</v>
      </c>
      <c r="D3848" s="20">
        <f>IFERROR(YEAR(INPUT!M3843),"")</f>
        <v>1900</v>
      </c>
      <c r="E3848" t="str">
        <f>IF(INPUT!O3843="","",INPUT!O3843)</f>
        <v/>
      </c>
      <c r="F3848" t="str">
        <f>IF(INPUT!N3843="","",INPUT!N3843)</f>
        <v/>
      </c>
      <c r="G3848" cm="1">
        <f t="array" ref="G3848">IFERROR(VLOOKUP(INPUT!M3843&amp;INPUT!N3843,CHOOSE({1,2},INPUT!$A$3:$A$5000&amp;INPUT!$C$3:$C$5000,INPUT!$F$3:$F$5000),2,FALSE),"")</f>
        <v>0</v>
      </c>
      <c r="H3848" cm="1">
        <f t="array" ref="H3848">IFERROR(VLOOKUP(INPUT!M3843&amp;INPUT!N3843,CHOOSE({1,2},INPUT!$A$3:$A$5000&amp;INPUT!$C$3:$C$5000,INPUT!$D$3:$D$5000),2,FALSE),"")</f>
        <v>0</v>
      </c>
      <c r="I3848" s="46" t="str">
        <f>IF(INPUT!P3843="","",INPUT!P3843)</f>
        <v/>
      </c>
      <c r="J3848" s="46" t="str">
        <f>IF(INPUT!Q3843="","",INPUT!Q3843)</f>
        <v/>
      </c>
      <c r="K3848" s="46" t="str">
        <f>IFERROR(IF(OR(INPUT!P3843="",INPUT!Q3843=""),"",INPUT!P3843-INPUT!Q3843),"")</f>
        <v/>
      </c>
      <c r="L3848" s="48" t="str">
        <f>IFERROR(IF(OR(INPUT!P3843="",INPUT!Q3843="",INPUT!P3843=0),"",(INPUT!P3843-INPUT!Q3843)/INPUT!P3843),"")</f>
        <v/>
      </c>
    </row>
    <row r="3849" spans="1:12" ht="18" hidden="1" customHeight="1" x14ac:dyDescent="0.2">
      <c r="A3849" s="11" t="str">
        <f>IF(INPUT!M3844="","",INPUT!M3844)</f>
        <v/>
      </c>
      <c r="B3849" s="11" t="str">
        <f>IF(INPUT!M3844="","",INPUT!M3844-WEEKDAY(INPUT!M3844,2)+1)</f>
        <v/>
      </c>
      <c r="C3849" s="20">
        <f>IFERROR(_xlfn.ISOWEEKNUM(INPUT!M3844),"")</f>
        <v>52</v>
      </c>
      <c r="D3849" s="20">
        <f>IFERROR(YEAR(INPUT!M3844),"")</f>
        <v>1900</v>
      </c>
      <c r="E3849" t="str">
        <f>IF(INPUT!O3844="","",INPUT!O3844)</f>
        <v/>
      </c>
      <c r="F3849" t="str">
        <f>IF(INPUT!N3844="","",INPUT!N3844)</f>
        <v/>
      </c>
      <c r="G3849" cm="1">
        <f t="array" ref="G3849">IFERROR(VLOOKUP(INPUT!M3844&amp;INPUT!N3844,CHOOSE({1,2},INPUT!$A$3:$A$5000&amp;INPUT!$C$3:$C$5000,INPUT!$F$3:$F$5000),2,FALSE),"")</f>
        <v>0</v>
      </c>
      <c r="H3849" cm="1">
        <f t="array" ref="H3849">IFERROR(VLOOKUP(INPUT!M3844&amp;INPUT!N3844,CHOOSE({1,2},INPUT!$A$3:$A$5000&amp;INPUT!$C$3:$C$5000,INPUT!$D$3:$D$5000),2,FALSE),"")</f>
        <v>0</v>
      </c>
      <c r="I3849" s="46" t="str">
        <f>IF(INPUT!P3844="","",INPUT!P3844)</f>
        <v/>
      </c>
      <c r="J3849" s="46" t="str">
        <f>IF(INPUT!Q3844="","",INPUT!Q3844)</f>
        <v/>
      </c>
      <c r="K3849" s="46" t="str">
        <f>IFERROR(IF(OR(INPUT!P3844="",INPUT!Q3844=""),"",INPUT!P3844-INPUT!Q3844),"")</f>
        <v/>
      </c>
      <c r="L3849" s="48" t="str">
        <f>IFERROR(IF(OR(INPUT!P3844="",INPUT!Q3844="",INPUT!P3844=0),"",(INPUT!P3844-INPUT!Q3844)/INPUT!P3844),"")</f>
        <v/>
      </c>
    </row>
    <row r="3850" spans="1:12" ht="18" hidden="1" customHeight="1" x14ac:dyDescent="0.2">
      <c r="A3850" s="11" t="str">
        <f>IF(INPUT!M3845="","",INPUT!M3845)</f>
        <v/>
      </c>
      <c r="B3850" s="11" t="str">
        <f>IF(INPUT!M3845="","",INPUT!M3845-WEEKDAY(INPUT!M3845,2)+1)</f>
        <v/>
      </c>
      <c r="C3850" s="20">
        <f>IFERROR(_xlfn.ISOWEEKNUM(INPUT!M3845),"")</f>
        <v>52</v>
      </c>
      <c r="D3850" s="20">
        <f>IFERROR(YEAR(INPUT!M3845),"")</f>
        <v>1900</v>
      </c>
      <c r="E3850" t="str">
        <f>IF(INPUT!O3845="","",INPUT!O3845)</f>
        <v/>
      </c>
      <c r="F3850" t="str">
        <f>IF(INPUT!N3845="","",INPUT!N3845)</f>
        <v/>
      </c>
      <c r="G3850" cm="1">
        <f t="array" ref="G3850">IFERROR(VLOOKUP(INPUT!M3845&amp;INPUT!N3845,CHOOSE({1,2},INPUT!$A$3:$A$5000&amp;INPUT!$C$3:$C$5000,INPUT!$F$3:$F$5000),2,FALSE),"")</f>
        <v>0</v>
      </c>
      <c r="H3850" cm="1">
        <f t="array" ref="H3850">IFERROR(VLOOKUP(INPUT!M3845&amp;INPUT!N3845,CHOOSE({1,2},INPUT!$A$3:$A$5000&amp;INPUT!$C$3:$C$5000,INPUT!$D$3:$D$5000),2,FALSE),"")</f>
        <v>0</v>
      </c>
      <c r="I3850" s="46" t="str">
        <f>IF(INPUT!P3845="","",INPUT!P3845)</f>
        <v/>
      </c>
      <c r="J3850" s="46" t="str">
        <f>IF(INPUT!Q3845="","",INPUT!Q3845)</f>
        <v/>
      </c>
      <c r="K3850" s="46" t="str">
        <f>IFERROR(IF(OR(INPUT!P3845="",INPUT!Q3845=""),"",INPUT!P3845-INPUT!Q3845),"")</f>
        <v/>
      </c>
      <c r="L3850" s="48" t="str">
        <f>IFERROR(IF(OR(INPUT!P3845="",INPUT!Q3845="",INPUT!P3845=0),"",(INPUT!P3845-INPUT!Q3845)/INPUT!P3845),"")</f>
        <v/>
      </c>
    </row>
    <row r="3851" spans="1:12" ht="18" hidden="1" customHeight="1" x14ac:dyDescent="0.2">
      <c r="A3851" s="11" t="str">
        <f>IF(INPUT!M3846="","",INPUT!M3846)</f>
        <v/>
      </c>
      <c r="B3851" s="11" t="str">
        <f>IF(INPUT!M3846="","",INPUT!M3846-WEEKDAY(INPUT!M3846,2)+1)</f>
        <v/>
      </c>
      <c r="C3851" s="20">
        <f>IFERROR(_xlfn.ISOWEEKNUM(INPUT!M3846),"")</f>
        <v>52</v>
      </c>
      <c r="D3851" s="20">
        <f>IFERROR(YEAR(INPUT!M3846),"")</f>
        <v>1900</v>
      </c>
      <c r="E3851" t="str">
        <f>IF(INPUT!O3846="","",INPUT!O3846)</f>
        <v/>
      </c>
      <c r="F3851" t="str">
        <f>IF(INPUT!N3846="","",INPUT!N3846)</f>
        <v/>
      </c>
      <c r="G3851" cm="1">
        <f t="array" ref="G3851">IFERROR(VLOOKUP(INPUT!M3846&amp;INPUT!N3846,CHOOSE({1,2},INPUT!$A$3:$A$5000&amp;INPUT!$C$3:$C$5000,INPUT!$F$3:$F$5000),2,FALSE),"")</f>
        <v>0</v>
      </c>
      <c r="H3851" cm="1">
        <f t="array" ref="H3851">IFERROR(VLOOKUP(INPUT!M3846&amp;INPUT!N3846,CHOOSE({1,2},INPUT!$A$3:$A$5000&amp;INPUT!$C$3:$C$5000,INPUT!$D$3:$D$5000),2,FALSE),"")</f>
        <v>0</v>
      </c>
      <c r="I3851" s="46" t="str">
        <f>IF(INPUT!P3846="","",INPUT!P3846)</f>
        <v/>
      </c>
      <c r="J3851" s="46" t="str">
        <f>IF(INPUT!Q3846="","",INPUT!Q3846)</f>
        <v/>
      </c>
      <c r="K3851" s="46" t="str">
        <f>IFERROR(IF(OR(INPUT!P3846="",INPUT!Q3846=""),"",INPUT!P3846-INPUT!Q3846),"")</f>
        <v/>
      </c>
      <c r="L3851" s="48" t="str">
        <f>IFERROR(IF(OR(INPUT!P3846="",INPUT!Q3846="",INPUT!P3846=0),"",(INPUT!P3846-INPUT!Q3846)/INPUT!P3846),"")</f>
        <v/>
      </c>
    </row>
    <row r="3852" spans="1:12" ht="18" hidden="1" customHeight="1" x14ac:dyDescent="0.2">
      <c r="A3852" s="11" t="str">
        <f>IF(INPUT!M3847="","",INPUT!M3847)</f>
        <v/>
      </c>
      <c r="B3852" s="11" t="str">
        <f>IF(INPUT!M3847="","",INPUT!M3847-WEEKDAY(INPUT!M3847,2)+1)</f>
        <v/>
      </c>
      <c r="C3852" s="20">
        <f>IFERROR(_xlfn.ISOWEEKNUM(INPUT!M3847),"")</f>
        <v>52</v>
      </c>
      <c r="D3852" s="20">
        <f>IFERROR(YEAR(INPUT!M3847),"")</f>
        <v>1900</v>
      </c>
      <c r="E3852" t="str">
        <f>IF(INPUT!O3847="","",INPUT!O3847)</f>
        <v/>
      </c>
      <c r="F3852" t="str">
        <f>IF(INPUT!N3847="","",INPUT!N3847)</f>
        <v/>
      </c>
      <c r="G3852" cm="1">
        <f t="array" ref="G3852">IFERROR(VLOOKUP(INPUT!M3847&amp;INPUT!N3847,CHOOSE({1,2},INPUT!$A$3:$A$5000&amp;INPUT!$C$3:$C$5000,INPUT!$F$3:$F$5000),2,FALSE),"")</f>
        <v>0</v>
      </c>
      <c r="H3852" cm="1">
        <f t="array" ref="H3852">IFERROR(VLOOKUP(INPUT!M3847&amp;INPUT!N3847,CHOOSE({1,2},INPUT!$A$3:$A$5000&amp;INPUT!$C$3:$C$5000,INPUT!$D$3:$D$5000),2,FALSE),"")</f>
        <v>0</v>
      </c>
      <c r="I3852" s="46" t="str">
        <f>IF(INPUT!P3847="","",INPUT!P3847)</f>
        <v/>
      </c>
      <c r="J3852" s="46" t="str">
        <f>IF(INPUT!Q3847="","",INPUT!Q3847)</f>
        <v/>
      </c>
      <c r="K3852" s="46" t="str">
        <f>IFERROR(IF(OR(INPUT!P3847="",INPUT!Q3847=""),"",INPUT!P3847-INPUT!Q3847),"")</f>
        <v/>
      </c>
      <c r="L3852" s="48" t="str">
        <f>IFERROR(IF(OR(INPUT!P3847="",INPUT!Q3847="",INPUT!P3847=0),"",(INPUT!P3847-INPUT!Q3847)/INPUT!P3847),"")</f>
        <v/>
      </c>
    </row>
    <row r="3853" spans="1:12" ht="18" hidden="1" customHeight="1" x14ac:dyDescent="0.2">
      <c r="A3853" s="11" t="str">
        <f>IF(INPUT!M3848="","",INPUT!M3848)</f>
        <v/>
      </c>
      <c r="B3853" s="11" t="str">
        <f>IF(INPUT!M3848="","",INPUT!M3848-WEEKDAY(INPUT!M3848,2)+1)</f>
        <v/>
      </c>
      <c r="C3853" s="20">
        <f>IFERROR(_xlfn.ISOWEEKNUM(INPUT!M3848),"")</f>
        <v>52</v>
      </c>
      <c r="D3853" s="20">
        <f>IFERROR(YEAR(INPUT!M3848),"")</f>
        <v>1900</v>
      </c>
      <c r="E3853" t="str">
        <f>IF(INPUT!O3848="","",INPUT!O3848)</f>
        <v/>
      </c>
      <c r="F3853" t="str">
        <f>IF(INPUT!N3848="","",INPUT!N3848)</f>
        <v/>
      </c>
      <c r="G3853" cm="1">
        <f t="array" ref="G3853">IFERROR(VLOOKUP(INPUT!M3848&amp;INPUT!N3848,CHOOSE({1,2},INPUT!$A$3:$A$5000&amp;INPUT!$C$3:$C$5000,INPUT!$F$3:$F$5000),2,FALSE),"")</f>
        <v>0</v>
      </c>
      <c r="H3853" cm="1">
        <f t="array" ref="H3853">IFERROR(VLOOKUP(INPUT!M3848&amp;INPUT!N3848,CHOOSE({1,2},INPUT!$A$3:$A$5000&amp;INPUT!$C$3:$C$5000,INPUT!$D$3:$D$5000),2,FALSE),"")</f>
        <v>0</v>
      </c>
      <c r="I3853" s="46" t="str">
        <f>IF(INPUT!P3848="","",INPUT!P3848)</f>
        <v/>
      </c>
      <c r="J3853" s="46" t="str">
        <f>IF(INPUT!Q3848="","",INPUT!Q3848)</f>
        <v/>
      </c>
      <c r="K3853" s="46" t="str">
        <f>IFERROR(IF(OR(INPUT!P3848="",INPUT!Q3848=""),"",INPUT!P3848-INPUT!Q3848),"")</f>
        <v/>
      </c>
      <c r="L3853" s="48" t="str">
        <f>IFERROR(IF(OR(INPUT!P3848="",INPUT!Q3848="",INPUT!P3848=0),"",(INPUT!P3848-INPUT!Q3848)/INPUT!P3848),"")</f>
        <v/>
      </c>
    </row>
    <row r="3854" spans="1:12" ht="18" hidden="1" customHeight="1" x14ac:dyDescent="0.2">
      <c r="A3854" s="11" t="str">
        <f>IF(INPUT!M3849="","",INPUT!M3849)</f>
        <v/>
      </c>
      <c r="B3854" s="11" t="str">
        <f>IF(INPUT!M3849="","",INPUT!M3849-WEEKDAY(INPUT!M3849,2)+1)</f>
        <v/>
      </c>
      <c r="C3854" s="20">
        <f>IFERROR(_xlfn.ISOWEEKNUM(INPUT!M3849),"")</f>
        <v>52</v>
      </c>
      <c r="D3854" s="20">
        <f>IFERROR(YEAR(INPUT!M3849),"")</f>
        <v>1900</v>
      </c>
      <c r="E3854" t="str">
        <f>IF(INPUT!O3849="","",INPUT!O3849)</f>
        <v/>
      </c>
      <c r="F3854" t="str">
        <f>IF(INPUT!N3849="","",INPUT!N3849)</f>
        <v/>
      </c>
      <c r="G3854" cm="1">
        <f t="array" ref="G3854">IFERROR(VLOOKUP(INPUT!M3849&amp;INPUT!N3849,CHOOSE({1,2},INPUT!$A$3:$A$5000&amp;INPUT!$C$3:$C$5000,INPUT!$F$3:$F$5000),2,FALSE),"")</f>
        <v>0</v>
      </c>
      <c r="H3854" cm="1">
        <f t="array" ref="H3854">IFERROR(VLOOKUP(INPUT!M3849&amp;INPUT!N3849,CHOOSE({1,2},INPUT!$A$3:$A$5000&amp;INPUT!$C$3:$C$5000,INPUT!$D$3:$D$5000),2,FALSE),"")</f>
        <v>0</v>
      </c>
      <c r="I3854" s="46" t="str">
        <f>IF(INPUT!P3849="","",INPUT!P3849)</f>
        <v/>
      </c>
      <c r="J3854" s="46" t="str">
        <f>IF(INPUT!Q3849="","",INPUT!Q3849)</f>
        <v/>
      </c>
      <c r="K3854" s="46" t="str">
        <f>IFERROR(IF(OR(INPUT!P3849="",INPUT!Q3849=""),"",INPUT!P3849-INPUT!Q3849),"")</f>
        <v/>
      </c>
      <c r="L3854" s="48" t="str">
        <f>IFERROR(IF(OR(INPUT!P3849="",INPUT!Q3849="",INPUT!P3849=0),"",(INPUT!P3849-INPUT!Q3849)/INPUT!P3849),"")</f>
        <v/>
      </c>
    </row>
    <row r="3855" spans="1:12" ht="18" hidden="1" customHeight="1" x14ac:dyDescent="0.2">
      <c r="A3855" s="11" t="str">
        <f>IF(INPUT!M3850="","",INPUT!M3850)</f>
        <v/>
      </c>
      <c r="B3855" s="11" t="str">
        <f>IF(INPUT!M3850="","",INPUT!M3850-WEEKDAY(INPUT!M3850,2)+1)</f>
        <v/>
      </c>
      <c r="C3855" s="20">
        <f>IFERROR(_xlfn.ISOWEEKNUM(INPUT!M3850),"")</f>
        <v>52</v>
      </c>
      <c r="D3855" s="20">
        <f>IFERROR(YEAR(INPUT!M3850),"")</f>
        <v>1900</v>
      </c>
      <c r="E3855" t="str">
        <f>IF(INPUT!O3850="","",INPUT!O3850)</f>
        <v/>
      </c>
      <c r="F3855" t="str">
        <f>IF(INPUT!N3850="","",INPUT!N3850)</f>
        <v/>
      </c>
      <c r="G3855" cm="1">
        <f t="array" ref="G3855">IFERROR(VLOOKUP(INPUT!M3850&amp;INPUT!N3850,CHOOSE({1,2},INPUT!$A$3:$A$5000&amp;INPUT!$C$3:$C$5000,INPUT!$F$3:$F$5000),2,FALSE),"")</f>
        <v>0</v>
      </c>
      <c r="H3855" cm="1">
        <f t="array" ref="H3855">IFERROR(VLOOKUP(INPUT!M3850&amp;INPUT!N3850,CHOOSE({1,2},INPUT!$A$3:$A$5000&amp;INPUT!$C$3:$C$5000,INPUT!$D$3:$D$5000),2,FALSE),"")</f>
        <v>0</v>
      </c>
      <c r="I3855" s="46" t="str">
        <f>IF(INPUT!P3850="","",INPUT!P3850)</f>
        <v/>
      </c>
      <c r="J3855" s="46" t="str">
        <f>IF(INPUT!Q3850="","",INPUT!Q3850)</f>
        <v/>
      </c>
      <c r="K3855" s="46" t="str">
        <f>IFERROR(IF(OR(INPUT!P3850="",INPUT!Q3850=""),"",INPUT!P3850-INPUT!Q3850),"")</f>
        <v/>
      </c>
      <c r="L3855" s="48" t="str">
        <f>IFERROR(IF(OR(INPUT!P3850="",INPUT!Q3850="",INPUT!P3850=0),"",(INPUT!P3850-INPUT!Q3850)/INPUT!P3850),"")</f>
        <v/>
      </c>
    </row>
    <row r="3856" spans="1:12" ht="18" hidden="1" customHeight="1" x14ac:dyDescent="0.2">
      <c r="A3856" s="11" t="str">
        <f>IF(INPUT!M3851="","",INPUT!M3851)</f>
        <v/>
      </c>
      <c r="B3856" s="11" t="str">
        <f>IF(INPUT!M3851="","",INPUT!M3851-WEEKDAY(INPUT!M3851,2)+1)</f>
        <v/>
      </c>
      <c r="C3856" s="20">
        <f>IFERROR(_xlfn.ISOWEEKNUM(INPUT!M3851),"")</f>
        <v>52</v>
      </c>
      <c r="D3856" s="20">
        <f>IFERROR(YEAR(INPUT!M3851),"")</f>
        <v>1900</v>
      </c>
      <c r="E3856" t="str">
        <f>IF(INPUT!O3851="","",INPUT!O3851)</f>
        <v/>
      </c>
      <c r="F3856" t="str">
        <f>IF(INPUT!N3851="","",INPUT!N3851)</f>
        <v/>
      </c>
      <c r="G3856" cm="1">
        <f t="array" ref="G3856">IFERROR(VLOOKUP(INPUT!M3851&amp;INPUT!N3851,CHOOSE({1,2},INPUT!$A$3:$A$5000&amp;INPUT!$C$3:$C$5000,INPUT!$F$3:$F$5000),2,FALSE),"")</f>
        <v>0</v>
      </c>
      <c r="H3856" cm="1">
        <f t="array" ref="H3856">IFERROR(VLOOKUP(INPUT!M3851&amp;INPUT!N3851,CHOOSE({1,2},INPUT!$A$3:$A$5000&amp;INPUT!$C$3:$C$5000,INPUT!$D$3:$D$5000),2,FALSE),"")</f>
        <v>0</v>
      </c>
      <c r="I3856" s="46" t="str">
        <f>IF(INPUT!P3851="","",INPUT!P3851)</f>
        <v/>
      </c>
      <c r="J3856" s="46" t="str">
        <f>IF(INPUT!Q3851="","",INPUT!Q3851)</f>
        <v/>
      </c>
      <c r="K3856" s="46" t="str">
        <f>IFERROR(IF(OR(INPUT!P3851="",INPUT!Q3851=""),"",INPUT!P3851-INPUT!Q3851),"")</f>
        <v/>
      </c>
      <c r="L3856" s="48" t="str">
        <f>IFERROR(IF(OR(INPUT!P3851="",INPUT!Q3851="",INPUT!P3851=0),"",(INPUT!P3851-INPUT!Q3851)/INPUT!P3851),"")</f>
        <v/>
      </c>
    </row>
    <row r="3857" spans="1:12" ht="18" hidden="1" customHeight="1" x14ac:dyDescent="0.2">
      <c r="A3857" s="11" t="str">
        <f>IF(INPUT!M3852="","",INPUT!M3852)</f>
        <v/>
      </c>
      <c r="B3857" s="11" t="str">
        <f>IF(INPUT!M3852="","",INPUT!M3852-WEEKDAY(INPUT!M3852,2)+1)</f>
        <v/>
      </c>
      <c r="C3857" s="20">
        <f>IFERROR(_xlfn.ISOWEEKNUM(INPUT!M3852),"")</f>
        <v>52</v>
      </c>
      <c r="D3857" s="20">
        <f>IFERROR(YEAR(INPUT!M3852),"")</f>
        <v>1900</v>
      </c>
      <c r="E3857" t="str">
        <f>IF(INPUT!O3852="","",INPUT!O3852)</f>
        <v/>
      </c>
      <c r="F3857" t="str">
        <f>IF(INPUT!N3852="","",INPUT!N3852)</f>
        <v/>
      </c>
      <c r="G3857" cm="1">
        <f t="array" ref="G3857">IFERROR(VLOOKUP(INPUT!M3852&amp;INPUT!N3852,CHOOSE({1,2},INPUT!$A$3:$A$5000&amp;INPUT!$C$3:$C$5000,INPUT!$F$3:$F$5000),2,FALSE),"")</f>
        <v>0</v>
      </c>
      <c r="H3857" cm="1">
        <f t="array" ref="H3857">IFERROR(VLOOKUP(INPUT!M3852&amp;INPUT!N3852,CHOOSE({1,2},INPUT!$A$3:$A$5000&amp;INPUT!$C$3:$C$5000,INPUT!$D$3:$D$5000),2,FALSE),"")</f>
        <v>0</v>
      </c>
      <c r="I3857" s="46" t="str">
        <f>IF(INPUT!P3852="","",INPUT!P3852)</f>
        <v/>
      </c>
      <c r="J3857" s="46" t="str">
        <f>IF(INPUT!Q3852="","",INPUT!Q3852)</f>
        <v/>
      </c>
      <c r="K3857" s="46" t="str">
        <f>IFERROR(IF(OR(INPUT!P3852="",INPUT!Q3852=""),"",INPUT!P3852-INPUT!Q3852),"")</f>
        <v/>
      </c>
      <c r="L3857" s="48" t="str">
        <f>IFERROR(IF(OR(INPUT!P3852="",INPUT!Q3852="",INPUT!P3852=0),"",(INPUT!P3852-INPUT!Q3852)/INPUT!P3852),"")</f>
        <v/>
      </c>
    </row>
    <row r="3858" spans="1:12" ht="18" hidden="1" customHeight="1" x14ac:dyDescent="0.2">
      <c r="A3858" s="11" t="str">
        <f>IF(INPUT!M3853="","",INPUT!M3853)</f>
        <v/>
      </c>
      <c r="B3858" s="11" t="str">
        <f>IF(INPUT!M3853="","",INPUT!M3853-WEEKDAY(INPUT!M3853,2)+1)</f>
        <v/>
      </c>
      <c r="C3858" s="20">
        <f>IFERROR(_xlfn.ISOWEEKNUM(INPUT!M3853),"")</f>
        <v>52</v>
      </c>
      <c r="D3858" s="20">
        <f>IFERROR(YEAR(INPUT!M3853),"")</f>
        <v>1900</v>
      </c>
      <c r="E3858" t="str">
        <f>IF(INPUT!O3853="","",INPUT!O3853)</f>
        <v/>
      </c>
      <c r="F3858" t="str">
        <f>IF(INPUT!N3853="","",INPUT!N3853)</f>
        <v/>
      </c>
      <c r="G3858" cm="1">
        <f t="array" ref="G3858">IFERROR(VLOOKUP(INPUT!M3853&amp;INPUT!N3853,CHOOSE({1,2},INPUT!$A$3:$A$5000&amp;INPUT!$C$3:$C$5000,INPUT!$F$3:$F$5000),2,FALSE),"")</f>
        <v>0</v>
      </c>
      <c r="H3858" cm="1">
        <f t="array" ref="H3858">IFERROR(VLOOKUP(INPUT!M3853&amp;INPUT!N3853,CHOOSE({1,2},INPUT!$A$3:$A$5000&amp;INPUT!$C$3:$C$5000,INPUT!$D$3:$D$5000),2,FALSE),"")</f>
        <v>0</v>
      </c>
      <c r="I3858" s="46" t="str">
        <f>IF(INPUT!P3853="","",INPUT!P3853)</f>
        <v/>
      </c>
      <c r="J3858" s="46" t="str">
        <f>IF(INPUT!Q3853="","",INPUT!Q3853)</f>
        <v/>
      </c>
      <c r="K3858" s="46" t="str">
        <f>IFERROR(IF(OR(INPUT!P3853="",INPUT!Q3853=""),"",INPUT!P3853-INPUT!Q3853),"")</f>
        <v/>
      </c>
      <c r="L3858" s="48" t="str">
        <f>IFERROR(IF(OR(INPUT!P3853="",INPUT!Q3853="",INPUT!P3853=0),"",(INPUT!P3853-INPUT!Q3853)/INPUT!P3853),"")</f>
        <v/>
      </c>
    </row>
    <row r="3859" spans="1:12" ht="18" hidden="1" customHeight="1" x14ac:dyDescent="0.2">
      <c r="A3859" s="11" t="str">
        <f>IF(INPUT!M3854="","",INPUT!M3854)</f>
        <v/>
      </c>
      <c r="B3859" s="11" t="str">
        <f>IF(INPUT!M3854="","",INPUT!M3854-WEEKDAY(INPUT!M3854,2)+1)</f>
        <v/>
      </c>
      <c r="C3859" s="20">
        <f>IFERROR(_xlfn.ISOWEEKNUM(INPUT!M3854),"")</f>
        <v>52</v>
      </c>
      <c r="D3859" s="20">
        <f>IFERROR(YEAR(INPUT!M3854),"")</f>
        <v>1900</v>
      </c>
      <c r="E3859" t="str">
        <f>IF(INPUT!O3854="","",INPUT!O3854)</f>
        <v/>
      </c>
      <c r="F3859" t="str">
        <f>IF(INPUT!N3854="","",INPUT!N3854)</f>
        <v/>
      </c>
      <c r="G3859" cm="1">
        <f t="array" ref="G3859">IFERROR(VLOOKUP(INPUT!M3854&amp;INPUT!N3854,CHOOSE({1,2},INPUT!$A$3:$A$5000&amp;INPUT!$C$3:$C$5000,INPUT!$F$3:$F$5000),2,FALSE),"")</f>
        <v>0</v>
      </c>
      <c r="H3859" cm="1">
        <f t="array" ref="H3859">IFERROR(VLOOKUP(INPUT!M3854&amp;INPUT!N3854,CHOOSE({1,2},INPUT!$A$3:$A$5000&amp;INPUT!$C$3:$C$5000,INPUT!$D$3:$D$5000),2,FALSE),"")</f>
        <v>0</v>
      </c>
      <c r="I3859" s="46" t="str">
        <f>IF(INPUT!P3854="","",INPUT!P3854)</f>
        <v/>
      </c>
      <c r="J3859" s="46" t="str">
        <f>IF(INPUT!Q3854="","",INPUT!Q3854)</f>
        <v/>
      </c>
      <c r="K3859" s="46" t="str">
        <f>IFERROR(IF(OR(INPUT!P3854="",INPUT!Q3854=""),"",INPUT!P3854-INPUT!Q3854),"")</f>
        <v/>
      </c>
      <c r="L3859" s="48" t="str">
        <f>IFERROR(IF(OR(INPUT!P3854="",INPUT!Q3854="",INPUT!P3854=0),"",(INPUT!P3854-INPUT!Q3854)/INPUT!P3854),"")</f>
        <v/>
      </c>
    </row>
    <row r="3860" spans="1:12" ht="18" hidden="1" customHeight="1" x14ac:dyDescent="0.2">
      <c r="A3860" s="11" t="str">
        <f>IF(INPUT!M3855="","",INPUT!M3855)</f>
        <v/>
      </c>
      <c r="B3860" s="11" t="str">
        <f>IF(INPUT!M3855="","",INPUT!M3855-WEEKDAY(INPUT!M3855,2)+1)</f>
        <v/>
      </c>
      <c r="C3860" s="20">
        <f>IFERROR(_xlfn.ISOWEEKNUM(INPUT!M3855),"")</f>
        <v>52</v>
      </c>
      <c r="D3860" s="20">
        <f>IFERROR(YEAR(INPUT!M3855),"")</f>
        <v>1900</v>
      </c>
      <c r="E3860" t="str">
        <f>IF(INPUT!O3855="","",INPUT!O3855)</f>
        <v/>
      </c>
      <c r="F3860" t="str">
        <f>IF(INPUT!N3855="","",INPUT!N3855)</f>
        <v/>
      </c>
      <c r="G3860" cm="1">
        <f t="array" ref="G3860">IFERROR(VLOOKUP(INPUT!M3855&amp;INPUT!N3855,CHOOSE({1,2},INPUT!$A$3:$A$5000&amp;INPUT!$C$3:$C$5000,INPUT!$F$3:$F$5000),2,FALSE),"")</f>
        <v>0</v>
      </c>
      <c r="H3860" cm="1">
        <f t="array" ref="H3860">IFERROR(VLOOKUP(INPUT!M3855&amp;INPUT!N3855,CHOOSE({1,2},INPUT!$A$3:$A$5000&amp;INPUT!$C$3:$C$5000,INPUT!$D$3:$D$5000),2,FALSE),"")</f>
        <v>0</v>
      </c>
      <c r="I3860" s="46" t="str">
        <f>IF(INPUT!P3855="","",INPUT!P3855)</f>
        <v/>
      </c>
      <c r="J3860" s="46" t="str">
        <f>IF(INPUT!Q3855="","",INPUT!Q3855)</f>
        <v/>
      </c>
      <c r="K3860" s="46" t="str">
        <f>IFERROR(IF(OR(INPUT!P3855="",INPUT!Q3855=""),"",INPUT!P3855-INPUT!Q3855),"")</f>
        <v/>
      </c>
      <c r="L3860" s="48" t="str">
        <f>IFERROR(IF(OR(INPUT!P3855="",INPUT!Q3855="",INPUT!P3855=0),"",(INPUT!P3855-INPUT!Q3855)/INPUT!P3855),"")</f>
        <v/>
      </c>
    </row>
    <row r="3861" spans="1:12" ht="18" hidden="1" customHeight="1" x14ac:dyDescent="0.2">
      <c r="A3861" s="11" t="str">
        <f>IF(INPUT!M3856="","",INPUT!M3856)</f>
        <v/>
      </c>
      <c r="B3861" s="11" t="str">
        <f>IF(INPUT!M3856="","",INPUT!M3856-WEEKDAY(INPUT!M3856,2)+1)</f>
        <v/>
      </c>
      <c r="C3861" s="20">
        <f>IFERROR(_xlfn.ISOWEEKNUM(INPUT!M3856),"")</f>
        <v>52</v>
      </c>
      <c r="D3861" s="20">
        <f>IFERROR(YEAR(INPUT!M3856),"")</f>
        <v>1900</v>
      </c>
      <c r="E3861" t="str">
        <f>IF(INPUT!O3856="","",INPUT!O3856)</f>
        <v/>
      </c>
      <c r="F3861" t="str">
        <f>IF(INPUT!N3856="","",INPUT!N3856)</f>
        <v/>
      </c>
      <c r="G3861" cm="1">
        <f t="array" ref="G3861">IFERROR(VLOOKUP(INPUT!M3856&amp;INPUT!N3856,CHOOSE({1,2},INPUT!$A$3:$A$5000&amp;INPUT!$C$3:$C$5000,INPUT!$F$3:$F$5000),2,FALSE),"")</f>
        <v>0</v>
      </c>
      <c r="H3861" cm="1">
        <f t="array" ref="H3861">IFERROR(VLOOKUP(INPUT!M3856&amp;INPUT!N3856,CHOOSE({1,2},INPUT!$A$3:$A$5000&amp;INPUT!$C$3:$C$5000,INPUT!$D$3:$D$5000),2,FALSE),"")</f>
        <v>0</v>
      </c>
      <c r="I3861" s="46" t="str">
        <f>IF(INPUT!P3856="","",INPUT!P3856)</f>
        <v/>
      </c>
      <c r="J3861" s="46" t="str">
        <f>IF(INPUT!Q3856="","",INPUT!Q3856)</f>
        <v/>
      </c>
      <c r="K3861" s="46" t="str">
        <f>IFERROR(IF(OR(INPUT!P3856="",INPUT!Q3856=""),"",INPUT!P3856-INPUT!Q3856),"")</f>
        <v/>
      </c>
      <c r="L3861" s="48" t="str">
        <f>IFERROR(IF(OR(INPUT!P3856="",INPUT!Q3856="",INPUT!P3856=0),"",(INPUT!P3856-INPUT!Q3856)/INPUT!P3856),"")</f>
        <v/>
      </c>
    </row>
    <row r="3862" spans="1:12" ht="18" hidden="1" customHeight="1" x14ac:dyDescent="0.2">
      <c r="A3862" s="11" t="str">
        <f>IF(INPUT!M3857="","",INPUT!M3857)</f>
        <v/>
      </c>
      <c r="B3862" s="11" t="str">
        <f>IF(INPUT!M3857="","",INPUT!M3857-WEEKDAY(INPUT!M3857,2)+1)</f>
        <v/>
      </c>
      <c r="C3862" s="20">
        <f>IFERROR(_xlfn.ISOWEEKNUM(INPUT!M3857),"")</f>
        <v>52</v>
      </c>
      <c r="D3862" s="20">
        <f>IFERROR(YEAR(INPUT!M3857),"")</f>
        <v>1900</v>
      </c>
      <c r="E3862" t="str">
        <f>IF(INPUT!O3857="","",INPUT!O3857)</f>
        <v/>
      </c>
      <c r="F3862" t="str">
        <f>IF(INPUT!N3857="","",INPUT!N3857)</f>
        <v/>
      </c>
      <c r="G3862" cm="1">
        <f t="array" ref="G3862">IFERROR(VLOOKUP(INPUT!M3857&amp;INPUT!N3857,CHOOSE({1,2},INPUT!$A$3:$A$5000&amp;INPUT!$C$3:$C$5000,INPUT!$F$3:$F$5000),2,FALSE),"")</f>
        <v>0</v>
      </c>
      <c r="H3862" cm="1">
        <f t="array" ref="H3862">IFERROR(VLOOKUP(INPUT!M3857&amp;INPUT!N3857,CHOOSE({1,2},INPUT!$A$3:$A$5000&amp;INPUT!$C$3:$C$5000,INPUT!$D$3:$D$5000),2,FALSE),"")</f>
        <v>0</v>
      </c>
      <c r="I3862" s="46" t="str">
        <f>IF(INPUT!P3857="","",INPUT!P3857)</f>
        <v/>
      </c>
      <c r="J3862" s="46" t="str">
        <f>IF(INPUT!Q3857="","",INPUT!Q3857)</f>
        <v/>
      </c>
      <c r="K3862" s="46" t="str">
        <f>IFERROR(IF(OR(INPUT!P3857="",INPUT!Q3857=""),"",INPUT!P3857-INPUT!Q3857),"")</f>
        <v/>
      </c>
      <c r="L3862" s="48" t="str">
        <f>IFERROR(IF(OR(INPUT!P3857="",INPUT!Q3857="",INPUT!P3857=0),"",(INPUT!P3857-INPUT!Q3857)/INPUT!P3857),"")</f>
        <v/>
      </c>
    </row>
    <row r="3863" spans="1:12" ht="18" hidden="1" customHeight="1" x14ac:dyDescent="0.2">
      <c r="A3863" s="11" t="str">
        <f>IF(INPUT!M3858="","",INPUT!M3858)</f>
        <v/>
      </c>
      <c r="B3863" s="11" t="str">
        <f>IF(INPUT!M3858="","",INPUT!M3858-WEEKDAY(INPUT!M3858,2)+1)</f>
        <v/>
      </c>
      <c r="C3863" s="20">
        <f>IFERROR(_xlfn.ISOWEEKNUM(INPUT!M3858),"")</f>
        <v>52</v>
      </c>
      <c r="D3863" s="20">
        <f>IFERROR(YEAR(INPUT!M3858),"")</f>
        <v>1900</v>
      </c>
      <c r="E3863" t="str">
        <f>IF(INPUT!O3858="","",INPUT!O3858)</f>
        <v/>
      </c>
      <c r="F3863" t="str">
        <f>IF(INPUT!N3858="","",INPUT!N3858)</f>
        <v/>
      </c>
      <c r="G3863" cm="1">
        <f t="array" ref="G3863">IFERROR(VLOOKUP(INPUT!M3858&amp;INPUT!N3858,CHOOSE({1,2},INPUT!$A$3:$A$5000&amp;INPUT!$C$3:$C$5000,INPUT!$F$3:$F$5000),2,FALSE),"")</f>
        <v>0</v>
      </c>
      <c r="H3863" cm="1">
        <f t="array" ref="H3863">IFERROR(VLOOKUP(INPUT!M3858&amp;INPUT!N3858,CHOOSE({1,2},INPUT!$A$3:$A$5000&amp;INPUT!$C$3:$C$5000,INPUT!$D$3:$D$5000),2,FALSE),"")</f>
        <v>0</v>
      </c>
      <c r="I3863" s="46" t="str">
        <f>IF(INPUT!P3858="","",INPUT!P3858)</f>
        <v/>
      </c>
      <c r="J3863" s="46" t="str">
        <f>IF(INPUT!Q3858="","",INPUT!Q3858)</f>
        <v/>
      </c>
      <c r="K3863" s="46" t="str">
        <f>IFERROR(IF(OR(INPUT!P3858="",INPUT!Q3858=""),"",INPUT!P3858-INPUT!Q3858),"")</f>
        <v/>
      </c>
      <c r="L3863" s="48" t="str">
        <f>IFERROR(IF(OR(INPUT!P3858="",INPUT!Q3858="",INPUT!P3858=0),"",(INPUT!P3858-INPUT!Q3858)/INPUT!P3858),"")</f>
        <v/>
      </c>
    </row>
    <row r="3864" spans="1:12" ht="18" hidden="1" customHeight="1" x14ac:dyDescent="0.2">
      <c r="A3864" s="11" t="str">
        <f>IF(INPUT!M3859="","",INPUT!M3859)</f>
        <v/>
      </c>
      <c r="B3864" s="11" t="str">
        <f>IF(INPUT!M3859="","",INPUT!M3859-WEEKDAY(INPUT!M3859,2)+1)</f>
        <v/>
      </c>
      <c r="C3864" s="20">
        <f>IFERROR(_xlfn.ISOWEEKNUM(INPUT!M3859),"")</f>
        <v>52</v>
      </c>
      <c r="D3864" s="20">
        <f>IFERROR(YEAR(INPUT!M3859),"")</f>
        <v>1900</v>
      </c>
      <c r="E3864" t="str">
        <f>IF(INPUT!O3859="","",INPUT!O3859)</f>
        <v/>
      </c>
      <c r="F3864" t="str">
        <f>IF(INPUT!N3859="","",INPUT!N3859)</f>
        <v/>
      </c>
      <c r="G3864" cm="1">
        <f t="array" ref="G3864">IFERROR(VLOOKUP(INPUT!M3859&amp;INPUT!N3859,CHOOSE({1,2},INPUT!$A$3:$A$5000&amp;INPUT!$C$3:$C$5000,INPUT!$F$3:$F$5000),2,FALSE),"")</f>
        <v>0</v>
      </c>
      <c r="H3864" cm="1">
        <f t="array" ref="H3864">IFERROR(VLOOKUP(INPUT!M3859&amp;INPUT!N3859,CHOOSE({1,2},INPUT!$A$3:$A$5000&amp;INPUT!$C$3:$C$5000,INPUT!$D$3:$D$5000),2,FALSE),"")</f>
        <v>0</v>
      </c>
      <c r="I3864" s="46" t="str">
        <f>IF(INPUT!P3859="","",INPUT!P3859)</f>
        <v/>
      </c>
      <c r="J3864" s="46" t="str">
        <f>IF(INPUT!Q3859="","",INPUT!Q3859)</f>
        <v/>
      </c>
      <c r="K3864" s="46" t="str">
        <f>IFERROR(IF(OR(INPUT!P3859="",INPUT!Q3859=""),"",INPUT!P3859-INPUT!Q3859),"")</f>
        <v/>
      </c>
      <c r="L3864" s="48" t="str">
        <f>IFERROR(IF(OR(INPUT!P3859="",INPUT!Q3859="",INPUT!P3859=0),"",(INPUT!P3859-INPUT!Q3859)/INPUT!P3859),"")</f>
        <v/>
      </c>
    </row>
    <row r="3865" spans="1:12" ht="18" hidden="1" customHeight="1" x14ac:dyDescent="0.2">
      <c r="A3865" s="11" t="str">
        <f>IF(INPUT!M3860="","",INPUT!M3860)</f>
        <v/>
      </c>
      <c r="B3865" s="11" t="str">
        <f>IF(INPUT!M3860="","",INPUT!M3860-WEEKDAY(INPUT!M3860,2)+1)</f>
        <v/>
      </c>
      <c r="C3865" s="20">
        <f>IFERROR(_xlfn.ISOWEEKNUM(INPUT!M3860),"")</f>
        <v>52</v>
      </c>
      <c r="D3865" s="20">
        <f>IFERROR(YEAR(INPUT!M3860),"")</f>
        <v>1900</v>
      </c>
      <c r="E3865" t="str">
        <f>IF(INPUT!O3860="","",INPUT!O3860)</f>
        <v/>
      </c>
      <c r="F3865" t="str">
        <f>IF(INPUT!N3860="","",INPUT!N3860)</f>
        <v/>
      </c>
      <c r="G3865" cm="1">
        <f t="array" ref="G3865">IFERROR(VLOOKUP(INPUT!M3860&amp;INPUT!N3860,CHOOSE({1,2},INPUT!$A$3:$A$5000&amp;INPUT!$C$3:$C$5000,INPUT!$F$3:$F$5000),2,FALSE),"")</f>
        <v>0</v>
      </c>
      <c r="H3865" cm="1">
        <f t="array" ref="H3865">IFERROR(VLOOKUP(INPUT!M3860&amp;INPUT!N3860,CHOOSE({1,2},INPUT!$A$3:$A$5000&amp;INPUT!$C$3:$C$5000,INPUT!$D$3:$D$5000),2,FALSE),"")</f>
        <v>0</v>
      </c>
      <c r="I3865" s="46" t="str">
        <f>IF(INPUT!P3860="","",INPUT!P3860)</f>
        <v/>
      </c>
      <c r="J3865" s="46" t="str">
        <f>IF(INPUT!Q3860="","",INPUT!Q3860)</f>
        <v/>
      </c>
      <c r="K3865" s="46" t="str">
        <f>IFERROR(IF(OR(INPUT!P3860="",INPUT!Q3860=""),"",INPUT!P3860-INPUT!Q3860),"")</f>
        <v/>
      </c>
      <c r="L3865" s="48" t="str">
        <f>IFERROR(IF(OR(INPUT!P3860="",INPUT!Q3860="",INPUT!P3860=0),"",(INPUT!P3860-INPUT!Q3860)/INPUT!P3860),"")</f>
        <v/>
      </c>
    </row>
    <row r="3866" spans="1:12" ht="18" hidden="1" customHeight="1" x14ac:dyDescent="0.2">
      <c r="A3866" s="11" t="str">
        <f>IF(INPUT!M3861="","",INPUT!M3861)</f>
        <v/>
      </c>
      <c r="B3866" s="11" t="str">
        <f>IF(INPUT!M3861="","",INPUT!M3861-WEEKDAY(INPUT!M3861,2)+1)</f>
        <v/>
      </c>
      <c r="C3866" s="20">
        <f>IFERROR(_xlfn.ISOWEEKNUM(INPUT!M3861),"")</f>
        <v>52</v>
      </c>
      <c r="D3866" s="20">
        <f>IFERROR(YEAR(INPUT!M3861),"")</f>
        <v>1900</v>
      </c>
      <c r="E3866" t="str">
        <f>IF(INPUT!O3861="","",INPUT!O3861)</f>
        <v/>
      </c>
      <c r="F3866" t="str">
        <f>IF(INPUT!N3861="","",INPUT!N3861)</f>
        <v/>
      </c>
      <c r="G3866" cm="1">
        <f t="array" ref="G3866">IFERROR(VLOOKUP(INPUT!M3861&amp;INPUT!N3861,CHOOSE({1,2},INPUT!$A$3:$A$5000&amp;INPUT!$C$3:$C$5000,INPUT!$F$3:$F$5000),2,FALSE),"")</f>
        <v>0</v>
      </c>
      <c r="H3866" cm="1">
        <f t="array" ref="H3866">IFERROR(VLOOKUP(INPUT!M3861&amp;INPUT!N3861,CHOOSE({1,2},INPUT!$A$3:$A$5000&amp;INPUT!$C$3:$C$5000,INPUT!$D$3:$D$5000),2,FALSE),"")</f>
        <v>0</v>
      </c>
      <c r="I3866" s="46" t="str">
        <f>IF(INPUT!P3861="","",INPUT!P3861)</f>
        <v/>
      </c>
      <c r="J3866" s="46" t="str">
        <f>IF(INPUT!Q3861="","",INPUT!Q3861)</f>
        <v/>
      </c>
      <c r="K3866" s="46" t="str">
        <f>IFERROR(IF(OR(INPUT!P3861="",INPUT!Q3861=""),"",INPUT!P3861-INPUT!Q3861),"")</f>
        <v/>
      </c>
      <c r="L3866" s="48" t="str">
        <f>IFERROR(IF(OR(INPUT!P3861="",INPUT!Q3861="",INPUT!P3861=0),"",(INPUT!P3861-INPUT!Q3861)/INPUT!P3861),"")</f>
        <v/>
      </c>
    </row>
    <row r="3867" spans="1:12" ht="18" hidden="1" customHeight="1" x14ac:dyDescent="0.2">
      <c r="A3867" s="11" t="str">
        <f>IF(INPUT!M3862="","",INPUT!M3862)</f>
        <v/>
      </c>
      <c r="B3867" s="11" t="str">
        <f>IF(INPUT!M3862="","",INPUT!M3862-WEEKDAY(INPUT!M3862,2)+1)</f>
        <v/>
      </c>
      <c r="C3867" s="20">
        <f>IFERROR(_xlfn.ISOWEEKNUM(INPUT!M3862),"")</f>
        <v>52</v>
      </c>
      <c r="D3867" s="20">
        <f>IFERROR(YEAR(INPUT!M3862),"")</f>
        <v>1900</v>
      </c>
      <c r="E3867" t="str">
        <f>IF(INPUT!O3862="","",INPUT!O3862)</f>
        <v/>
      </c>
      <c r="F3867" t="str">
        <f>IF(INPUT!N3862="","",INPUT!N3862)</f>
        <v/>
      </c>
      <c r="G3867" cm="1">
        <f t="array" ref="G3867">IFERROR(VLOOKUP(INPUT!M3862&amp;INPUT!N3862,CHOOSE({1,2},INPUT!$A$3:$A$5000&amp;INPUT!$C$3:$C$5000,INPUT!$F$3:$F$5000),2,FALSE),"")</f>
        <v>0</v>
      </c>
      <c r="H3867" cm="1">
        <f t="array" ref="H3867">IFERROR(VLOOKUP(INPUT!M3862&amp;INPUT!N3862,CHOOSE({1,2},INPUT!$A$3:$A$5000&amp;INPUT!$C$3:$C$5000,INPUT!$D$3:$D$5000),2,FALSE),"")</f>
        <v>0</v>
      </c>
      <c r="I3867" s="46" t="str">
        <f>IF(INPUT!P3862="","",INPUT!P3862)</f>
        <v/>
      </c>
      <c r="J3867" s="46" t="str">
        <f>IF(INPUT!Q3862="","",INPUT!Q3862)</f>
        <v/>
      </c>
      <c r="K3867" s="46" t="str">
        <f>IFERROR(IF(OR(INPUT!P3862="",INPUT!Q3862=""),"",INPUT!P3862-INPUT!Q3862),"")</f>
        <v/>
      </c>
      <c r="L3867" s="48" t="str">
        <f>IFERROR(IF(OR(INPUT!P3862="",INPUT!Q3862="",INPUT!P3862=0),"",(INPUT!P3862-INPUT!Q3862)/INPUT!P3862),"")</f>
        <v/>
      </c>
    </row>
    <row r="3868" spans="1:12" ht="18" hidden="1" customHeight="1" x14ac:dyDescent="0.2">
      <c r="A3868" s="11" t="str">
        <f>IF(INPUT!M3863="","",INPUT!M3863)</f>
        <v/>
      </c>
      <c r="B3868" s="11" t="str">
        <f>IF(INPUT!M3863="","",INPUT!M3863-WEEKDAY(INPUT!M3863,2)+1)</f>
        <v/>
      </c>
      <c r="C3868" s="20">
        <f>IFERROR(_xlfn.ISOWEEKNUM(INPUT!M3863),"")</f>
        <v>52</v>
      </c>
      <c r="D3868" s="20">
        <f>IFERROR(YEAR(INPUT!M3863),"")</f>
        <v>1900</v>
      </c>
      <c r="E3868" t="str">
        <f>IF(INPUT!O3863="","",INPUT!O3863)</f>
        <v/>
      </c>
      <c r="F3868" t="str">
        <f>IF(INPUT!N3863="","",INPUT!N3863)</f>
        <v/>
      </c>
      <c r="G3868" cm="1">
        <f t="array" ref="G3868">IFERROR(VLOOKUP(INPUT!M3863&amp;INPUT!N3863,CHOOSE({1,2},INPUT!$A$3:$A$5000&amp;INPUT!$C$3:$C$5000,INPUT!$F$3:$F$5000),2,FALSE),"")</f>
        <v>0</v>
      </c>
      <c r="H3868" cm="1">
        <f t="array" ref="H3868">IFERROR(VLOOKUP(INPUT!M3863&amp;INPUT!N3863,CHOOSE({1,2},INPUT!$A$3:$A$5000&amp;INPUT!$C$3:$C$5000,INPUT!$D$3:$D$5000),2,FALSE),"")</f>
        <v>0</v>
      </c>
      <c r="I3868" s="46" t="str">
        <f>IF(INPUT!P3863="","",INPUT!P3863)</f>
        <v/>
      </c>
      <c r="J3868" s="46" t="str">
        <f>IF(INPUT!Q3863="","",INPUT!Q3863)</f>
        <v/>
      </c>
      <c r="K3868" s="46" t="str">
        <f>IFERROR(IF(OR(INPUT!P3863="",INPUT!Q3863=""),"",INPUT!P3863-INPUT!Q3863),"")</f>
        <v/>
      </c>
      <c r="L3868" s="48" t="str">
        <f>IFERROR(IF(OR(INPUT!P3863="",INPUT!Q3863="",INPUT!P3863=0),"",(INPUT!P3863-INPUT!Q3863)/INPUT!P3863),"")</f>
        <v/>
      </c>
    </row>
    <row r="3869" spans="1:12" ht="18" hidden="1" customHeight="1" x14ac:dyDescent="0.2">
      <c r="A3869" s="11" t="str">
        <f>IF(INPUT!M3864="","",INPUT!M3864)</f>
        <v/>
      </c>
      <c r="B3869" s="11" t="str">
        <f>IF(INPUT!M3864="","",INPUT!M3864-WEEKDAY(INPUT!M3864,2)+1)</f>
        <v/>
      </c>
      <c r="C3869" s="20">
        <f>IFERROR(_xlfn.ISOWEEKNUM(INPUT!M3864),"")</f>
        <v>52</v>
      </c>
      <c r="D3869" s="20">
        <f>IFERROR(YEAR(INPUT!M3864),"")</f>
        <v>1900</v>
      </c>
      <c r="E3869" t="str">
        <f>IF(INPUT!O3864="","",INPUT!O3864)</f>
        <v/>
      </c>
      <c r="F3869" t="str">
        <f>IF(INPUT!N3864="","",INPUT!N3864)</f>
        <v/>
      </c>
      <c r="G3869" cm="1">
        <f t="array" ref="G3869">IFERROR(VLOOKUP(INPUT!M3864&amp;INPUT!N3864,CHOOSE({1,2},INPUT!$A$3:$A$5000&amp;INPUT!$C$3:$C$5000,INPUT!$F$3:$F$5000),2,FALSE),"")</f>
        <v>0</v>
      </c>
      <c r="H3869" cm="1">
        <f t="array" ref="H3869">IFERROR(VLOOKUP(INPUT!M3864&amp;INPUT!N3864,CHOOSE({1,2},INPUT!$A$3:$A$5000&amp;INPUT!$C$3:$C$5000,INPUT!$D$3:$D$5000),2,FALSE),"")</f>
        <v>0</v>
      </c>
      <c r="I3869" s="46" t="str">
        <f>IF(INPUT!P3864="","",INPUT!P3864)</f>
        <v/>
      </c>
      <c r="J3869" s="46" t="str">
        <f>IF(INPUT!Q3864="","",INPUT!Q3864)</f>
        <v/>
      </c>
      <c r="K3869" s="46" t="str">
        <f>IFERROR(IF(OR(INPUT!P3864="",INPUT!Q3864=""),"",INPUT!P3864-INPUT!Q3864),"")</f>
        <v/>
      </c>
      <c r="L3869" s="48" t="str">
        <f>IFERROR(IF(OR(INPUT!P3864="",INPUT!Q3864="",INPUT!P3864=0),"",(INPUT!P3864-INPUT!Q3864)/INPUT!P3864),"")</f>
        <v/>
      </c>
    </row>
    <row r="3870" spans="1:12" ht="18" hidden="1" customHeight="1" x14ac:dyDescent="0.2">
      <c r="A3870" s="11" t="str">
        <f>IF(INPUT!M3865="","",INPUT!M3865)</f>
        <v/>
      </c>
      <c r="B3870" s="11" t="str">
        <f>IF(INPUT!M3865="","",INPUT!M3865-WEEKDAY(INPUT!M3865,2)+1)</f>
        <v/>
      </c>
      <c r="C3870" s="20">
        <f>IFERROR(_xlfn.ISOWEEKNUM(INPUT!M3865),"")</f>
        <v>52</v>
      </c>
      <c r="D3870" s="20">
        <f>IFERROR(YEAR(INPUT!M3865),"")</f>
        <v>1900</v>
      </c>
      <c r="E3870" t="str">
        <f>IF(INPUT!O3865="","",INPUT!O3865)</f>
        <v/>
      </c>
      <c r="F3870" t="str">
        <f>IF(INPUT!N3865="","",INPUT!N3865)</f>
        <v/>
      </c>
      <c r="G3870" cm="1">
        <f t="array" ref="G3870">IFERROR(VLOOKUP(INPUT!M3865&amp;INPUT!N3865,CHOOSE({1,2},INPUT!$A$3:$A$5000&amp;INPUT!$C$3:$C$5000,INPUT!$F$3:$F$5000),2,FALSE),"")</f>
        <v>0</v>
      </c>
      <c r="H3870" cm="1">
        <f t="array" ref="H3870">IFERROR(VLOOKUP(INPUT!M3865&amp;INPUT!N3865,CHOOSE({1,2},INPUT!$A$3:$A$5000&amp;INPUT!$C$3:$C$5000,INPUT!$D$3:$D$5000),2,FALSE),"")</f>
        <v>0</v>
      </c>
      <c r="I3870" s="46" t="str">
        <f>IF(INPUT!P3865="","",INPUT!P3865)</f>
        <v/>
      </c>
      <c r="J3870" s="46" t="str">
        <f>IF(INPUT!Q3865="","",INPUT!Q3865)</f>
        <v/>
      </c>
      <c r="K3870" s="46" t="str">
        <f>IFERROR(IF(OR(INPUT!P3865="",INPUT!Q3865=""),"",INPUT!P3865-INPUT!Q3865),"")</f>
        <v/>
      </c>
      <c r="L3870" s="48" t="str">
        <f>IFERROR(IF(OR(INPUT!P3865="",INPUT!Q3865="",INPUT!P3865=0),"",(INPUT!P3865-INPUT!Q3865)/INPUT!P3865),"")</f>
        <v/>
      </c>
    </row>
    <row r="3871" spans="1:12" ht="18" hidden="1" customHeight="1" x14ac:dyDescent="0.2">
      <c r="A3871" s="11" t="str">
        <f>IF(INPUT!M3866="","",INPUT!M3866)</f>
        <v/>
      </c>
      <c r="B3871" s="11" t="str">
        <f>IF(INPUT!M3866="","",INPUT!M3866-WEEKDAY(INPUT!M3866,2)+1)</f>
        <v/>
      </c>
      <c r="C3871" s="20">
        <f>IFERROR(_xlfn.ISOWEEKNUM(INPUT!M3866),"")</f>
        <v>52</v>
      </c>
      <c r="D3871" s="20">
        <f>IFERROR(YEAR(INPUT!M3866),"")</f>
        <v>1900</v>
      </c>
      <c r="E3871" t="str">
        <f>IF(INPUT!O3866="","",INPUT!O3866)</f>
        <v/>
      </c>
      <c r="F3871" t="str">
        <f>IF(INPUT!N3866="","",INPUT!N3866)</f>
        <v/>
      </c>
      <c r="G3871" cm="1">
        <f t="array" ref="G3871">IFERROR(VLOOKUP(INPUT!M3866&amp;INPUT!N3866,CHOOSE({1,2},INPUT!$A$3:$A$5000&amp;INPUT!$C$3:$C$5000,INPUT!$F$3:$F$5000),2,FALSE),"")</f>
        <v>0</v>
      </c>
      <c r="H3871" cm="1">
        <f t="array" ref="H3871">IFERROR(VLOOKUP(INPUT!M3866&amp;INPUT!N3866,CHOOSE({1,2},INPUT!$A$3:$A$5000&amp;INPUT!$C$3:$C$5000,INPUT!$D$3:$D$5000),2,FALSE),"")</f>
        <v>0</v>
      </c>
      <c r="I3871" s="46" t="str">
        <f>IF(INPUT!P3866="","",INPUT!P3866)</f>
        <v/>
      </c>
      <c r="J3871" s="46" t="str">
        <f>IF(INPUT!Q3866="","",INPUT!Q3866)</f>
        <v/>
      </c>
      <c r="K3871" s="46" t="str">
        <f>IFERROR(IF(OR(INPUT!P3866="",INPUT!Q3866=""),"",INPUT!P3866-INPUT!Q3866),"")</f>
        <v/>
      </c>
      <c r="L3871" s="48" t="str">
        <f>IFERROR(IF(OR(INPUT!P3866="",INPUT!Q3866="",INPUT!P3866=0),"",(INPUT!P3866-INPUT!Q3866)/INPUT!P3866),"")</f>
        <v/>
      </c>
    </row>
    <row r="3872" spans="1:12" ht="18" hidden="1" customHeight="1" x14ac:dyDescent="0.2">
      <c r="A3872" s="11" t="str">
        <f>IF(INPUT!M3867="","",INPUT!M3867)</f>
        <v/>
      </c>
      <c r="B3872" s="11" t="str">
        <f>IF(INPUT!M3867="","",INPUT!M3867-WEEKDAY(INPUT!M3867,2)+1)</f>
        <v/>
      </c>
      <c r="C3872" s="20">
        <f>IFERROR(_xlfn.ISOWEEKNUM(INPUT!M3867),"")</f>
        <v>52</v>
      </c>
      <c r="D3872" s="20">
        <f>IFERROR(YEAR(INPUT!M3867),"")</f>
        <v>1900</v>
      </c>
      <c r="E3872" t="str">
        <f>IF(INPUT!O3867="","",INPUT!O3867)</f>
        <v/>
      </c>
      <c r="F3872" t="str">
        <f>IF(INPUT!N3867="","",INPUT!N3867)</f>
        <v/>
      </c>
      <c r="G3872" cm="1">
        <f t="array" ref="G3872">IFERROR(VLOOKUP(INPUT!M3867&amp;INPUT!N3867,CHOOSE({1,2},INPUT!$A$3:$A$5000&amp;INPUT!$C$3:$C$5000,INPUT!$F$3:$F$5000),2,FALSE),"")</f>
        <v>0</v>
      </c>
      <c r="H3872" cm="1">
        <f t="array" ref="H3872">IFERROR(VLOOKUP(INPUT!M3867&amp;INPUT!N3867,CHOOSE({1,2},INPUT!$A$3:$A$5000&amp;INPUT!$C$3:$C$5000,INPUT!$D$3:$D$5000),2,FALSE),"")</f>
        <v>0</v>
      </c>
      <c r="I3872" s="46" t="str">
        <f>IF(INPUT!P3867="","",INPUT!P3867)</f>
        <v/>
      </c>
      <c r="J3872" s="46" t="str">
        <f>IF(INPUT!Q3867="","",INPUT!Q3867)</f>
        <v/>
      </c>
      <c r="K3872" s="46" t="str">
        <f>IFERROR(IF(OR(INPUT!P3867="",INPUT!Q3867=""),"",INPUT!P3867-INPUT!Q3867),"")</f>
        <v/>
      </c>
      <c r="L3872" s="48" t="str">
        <f>IFERROR(IF(OR(INPUT!P3867="",INPUT!Q3867="",INPUT!P3867=0),"",(INPUT!P3867-INPUT!Q3867)/INPUT!P3867),"")</f>
        <v/>
      </c>
    </row>
    <row r="3873" spans="1:12" ht="18" hidden="1" customHeight="1" x14ac:dyDescent="0.2">
      <c r="A3873" s="11" t="str">
        <f>IF(INPUT!M3868="","",INPUT!M3868)</f>
        <v/>
      </c>
      <c r="B3873" s="11" t="str">
        <f>IF(INPUT!M3868="","",INPUT!M3868-WEEKDAY(INPUT!M3868,2)+1)</f>
        <v/>
      </c>
      <c r="C3873" s="20">
        <f>IFERROR(_xlfn.ISOWEEKNUM(INPUT!M3868),"")</f>
        <v>52</v>
      </c>
      <c r="D3873" s="20">
        <f>IFERROR(YEAR(INPUT!M3868),"")</f>
        <v>1900</v>
      </c>
      <c r="E3873" t="str">
        <f>IF(INPUT!O3868="","",INPUT!O3868)</f>
        <v/>
      </c>
      <c r="F3873" t="str">
        <f>IF(INPUT!N3868="","",INPUT!N3868)</f>
        <v/>
      </c>
      <c r="G3873" cm="1">
        <f t="array" ref="G3873">IFERROR(VLOOKUP(INPUT!M3868&amp;INPUT!N3868,CHOOSE({1,2},INPUT!$A$3:$A$5000&amp;INPUT!$C$3:$C$5000,INPUT!$F$3:$F$5000),2,FALSE),"")</f>
        <v>0</v>
      </c>
      <c r="H3873" cm="1">
        <f t="array" ref="H3873">IFERROR(VLOOKUP(INPUT!M3868&amp;INPUT!N3868,CHOOSE({1,2},INPUT!$A$3:$A$5000&amp;INPUT!$C$3:$C$5000,INPUT!$D$3:$D$5000),2,FALSE),"")</f>
        <v>0</v>
      </c>
      <c r="I3873" s="46" t="str">
        <f>IF(INPUT!P3868="","",INPUT!P3868)</f>
        <v/>
      </c>
      <c r="J3873" s="46" t="str">
        <f>IF(INPUT!Q3868="","",INPUT!Q3868)</f>
        <v/>
      </c>
      <c r="K3873" s="46" t="str">
        <f>IFERROR(IF(OR(INPUT!P3868="",INPUT!Q3868=""),"",INPUT!P3868-INPUT!Q3868),"")</f>
        <v/>
      </c>
      <c r="L3873" s="48" t="str">
        <f>IFERROR(IF(OR(INPUT!P3868="",INPUT!Q3868="",INPUT!P3868=0),"",(INPUT!P3868-INPUT!Q3868)/INPUT!P3868),"")</f>
        <v/>
      </c>
    </row>
    <row r="3874" spans="1:12" ht="18" hidden="1" customHeight="1" x14ac:dyDescent="0.2">
      <c r="A3874" s="11" t="str">
        <f>IF(INPUT!M3869="","",INPUT!M3869)</f>
        <v/>
      </c>
      <c r="B3874" s="11" t="str">
        <f>IF(INPUT!M3869="","",INPUT!M3869-WEEKDAY(INPUT!M3869,2)+1)</f>
        <v/>
      </c>
      <c r="C3874" s="20">
        <f>IFERROR(_xlfn.ISOWEEKNUM(INPUT!M3869),"")</f>
        <v>52</v>
      </c>
      <c r="D3874" s="20">
        <f>IFERROR(YEAR(INPUT!M3869),"")</f>
        <v>1900</v>
      </c>
      <c r="E3874" t="str">
        <f>IF(INPUT!O3869="","",INPUT!O3869)</f>
        <v/>
      </c>
      <c r="F3874" t="str">
        <f>IF(INPUT!N3869="","",INPUT!N3869)</f>
        <v/>
      </c>
      <c r="G3874" cm="1">
        <f t="array" ref="G3874">IFERROR(VLOOKUP(INPUT!M3869&amp;INPUT!N3869,CHOOSE({1,2},INPUT!$A$3:$A$5000&amp;INPUT!$C$3:$C$5000,INPUT!$F$3:$F$5000),2,FALSE),"")</f>
        <v>0</v>
      </c>
      <c r="H3874" cm="1">
        <f t="array" ref="H3874">IFERROR(VLOOKUP(INPUT!M3869&amp;INPUT!N3869,CHOOSE({1,2},INPUT!$A$3:$A$5000&amp;INPUT!$C$3:$C$5000,INPUT!$D$3:$D$5000),2,FALSE),"")</f>
        <v>0</v>
      </c>
      <c r="I3874" s="46" t="str">
        <f>IF(INPUT!P3869="","",INPUT!P3869)</f>
        <v/>
      </c>
      <c r="J3874" s="46" t="str">
        <f>IF(INPUT!Q3869="","",INPUT!Q3869)</f>
        <v/>
      </c>
      <c r="K3874" s="46" t="str">
        <f>IFERROR(IF(OR(INPUT!P3869="",INPUT!Q3869=""),"",INPUT!P3869-INPUT!Q3869),"")</f>
        <v/>
      </c>
      <c r="L3874" s="48" t="str">
        <f>IFERROR(IF(OR(INPUT!P3869="",INPUT!Q3869="",INPUT!P3869=0),"",(INPUT!P3869-INPUT!Q3869)/INPUT!P3869),"")</f>
        <v/>
      </c>
    </row>
    <row r="3875" spans="1:12" ht="18" hidden="1" customHeight="1" x14ac:dyDescent="0.2">
      <c r="A3875" s="11" t="str">
        <f>IF(INPUT!M3870="","",INPUT!M3870)</f>
        <v/>
      </c>
      <c r="B3875" s="11" t="str">
        <f>IF(INPUT!M3870="","",INPUT!M3870-WEEKDAY(INPUT!M3870,2)+1)</f>
        <v/>
      </c>
      <c r="C3875" s="20">
        <f>IFERROR(_xlfn.ISOWEEKNUM(INPUT!M3870),"")</f>
        <v>52</v>
      </c>
      <c r="D3875" s="20">
        <f>IFERROR(YEAR(INPUT!M3870),"")</f>
        <v>1900</v>
      </c>
      <c r="E3875" t="str">
        <f>IF(INPUT!O3870="","",INPUT!O3870)</f>
        <v/>
      </c>
      <c r="F3875" t="str">
        <f>IF(INPUT!N3870="","",INPUT!N3870)</f>
        <v/>
      </c>
      <c r="G3875" cm="1">
        <f t="array" ref="G3875">IFERROR(VLOOKUP(INPUT!M3870&amp;INPUT!N3870,CHOOSE({1,2},INPUT!$A$3:$A$5000&amp;INPUT!$C$3:$C$5000,INPUT!$F$3:$F$5000),2,FALSE),"")</f>
        <v>0</v>
      </c>
      <c r="H3875" cm="1">
        <f t="array" ref="H3875">IFERROR(VLOOKUP(INPUT!M3870&amp;INPUT!N3870,CHOOSE({1,2},INPUT!$A$3:$A$5000&amp;INPUT!$C$3:$C$5000,INPUT!$D$3:$D$5000),2,FALSE),"")</f>
        <v>0</v>
      </c>
      <c r="I3875" s="46" t="str">
        <f>IF(INPUT!P3870="","",INPUT!P3870)</f>
        <v/>
      </c>
      <c r="J3875" s="46" t="str">
        <f>IF(INPUT!Q3870="","",INPUT!Q3870)</f>
        <v/>
      </c>
      <c r="K3875" s="46" t="str">
        <f>IFERROR(IF(OR(INPUT!P3870="",INPUT!Q3870=""),"",INPUT!P3870-INPUT!Q3870),"")</f>
        <v/>
      </c>
      <c r="L3875" s="48" t="str">
        <f>IFERROR(IF(OR(INPUT!P3870="",INPUT!Q3870="",INPUT!P3870=0),"",(INPUT!P3870-INPUT!Q3870)/INPUT!P3870),"")</f>
        <v/>
      </c>
    </row>
    <row r="3876" spans="1:12" ht="18" hidden="1" customHeight="1" x14ac:dyDescent="0.2">
      <c r="A3876" s="11" t="str">
        <f>IF(INPUT!M3871="","",INPUT!M3871)</f>
        <v/>
      </c>
      <c r="B3876" s="11" t="str">
        <f>IF(INPUT!M3871="","",INPUT!M3871-WEEKDAY(INPUT!M3871,2)+1)</f>
        <v/>
      </c>
      <c r="C3876" s="20">
        <f>IFERROR(_xlfn.ISOWEEKNUM(INPUT!M3871),"")</f>
        <v>52</v>
      </c>
      <c r="D3876" s="20">
        <f>IFERROR(YEAR(INPUT!M3871),"")</f>
        <v>1900</v>
      </c>
      <c r="E3876" t="str">
        <f>IF(INPUT!O3871="","",INPUT!O3871)</f>
        <v/>
      </c>
      <c r="F3876" t="str">
        <f>IF(INPUT!N3871="","",INPUT!N3871)</f>
        <v/>
      </c>
      <c r="G3876" cm="1">
        <f t="array" ref="G3876">IFERROR(VLOOKUP(INPUT!M3871&amp;INPUT!N3871,CHOOSE({1,2},INPUT!$A$3:$A$5000&amp;INPUT!$C$3:$C$5000,INPUT!$F$3:$F$5000),2,FALSE),"")</f>
        <v>0</v>
      </c>
      <c r="H3876" cm="1">
        <f t="array" ref="H3876">IFERROR(VLOOKUP(INPUT!M3871&amp;INPUT!N3871,CHOOSE({1,2},INPUT!$A$3:$A$5000&amp;INPUT!$C$3:$C$5000,INPUT!$D$3:$D$5000),2,FALSE),"")</f>
        <v>0</v>
      </c>
      <c r="I3876" s="46" t="str">
        <f>IF(INPUT!P3871="","",INPUT!P3871)</f>
        <v/>
      </c>
      <c r="J3876" s="46" t="str">
        <f>IF(INPUT!Q3871="","",INPUT!Q3871)</f>
        <v/>
      </c>
      <c r="K3876" s="46" t="str">
        <f>IFERROR(IF(OR(INPUT!P3871="",INPUT!Q3871=""),"",INPUT!P3871-INPUT!Q3871),"")</f>
        <v/>
      </c>
      <c r="L3876" s="48" t="str">
        <f>IFERROR(IF(OR(INPUT!P3871="",INPUT!Q3871="",INPUT!P3871=0),"",(INPUT!P3871-INPUT!Q3871)/INPUT!P3871),"")</f>
        <v/>
      </c>
    </row>
    <row r="3877" spans="1:12" ht="18" hidden="1" customHeight="1" x14ac:dyDescent="0.2">
      <c r="A3877" s="11" t="str">
        <f>IF(INPUT!M3872="","",INPUT!M3872)</f>
        <v/>
      </c>
      <c r="B3877" s="11" t="str">
        <f>IF(INPUT!M3872="","",INPUT!M3872-WEEKDAY(INPUT!M3872,2)+1)</f>
        <v/>
      </c>
      <c r="C3877" s="20">
        <f>IFERROR(_xlfn.ISOWEEKNUM(INPUT!M3872),"")</f>
        <v>52</v>
      </c>
      <c r="D3877" s="20">
        <f>IFERROR(YEAR(INPUT!M3872),"")</f>
        <v>1900</v>
      </c>
      <c r="E3877" t="str">
        <f>IF(INPUT!O3872="","",INPUT!O3872)</f>
        <v/>
      </c>
      <c r="F3877" t="str">
        <f>IF(INPUT!N3872="","",INPUT!N3872)</f>
        <v/>
      </c>
      <c r="G3877" cm="1">
        <f t="array" ref="G3877">IFERROR(VLOOKUP(INPUT!M3872&amp;INPUT!N3872,CHOOSE({1,2},INPUT!$A$3:$A$5000&amp;INPUT!$C$3:$C$5000,INPUT!$F$3:$F$5000),2,FALSE),"")</f>
        <v>0</v>
      </c>
      <c r="H3877" cm="1">
        <f t="array" ref="H3877">IFERROR(VLOOKUP(INPUT!M3872&amp;INPUT!N3872,CHOOSE({1,2},INPUT!$A$3:$A$5000&amp;INPUT!$C$3:$C$5000,INPUT!$D$3:$D$5000),2,FALSE),"")</f>
        <v>0</v>
      </c>
      <c r="I3877" s="46" t="str">
        <f>IF(INPUT!P3872="","",INPUT!P3872)</f>
        <v/>
      </c>
      <c r="J3877" s="46" t="str">
        <f>IF(INPUT!Q3872="","",INPUT!Q3872)</f>
        <v/>
      </c>
      <c r="K3877" s="46" t="str">
        <f>IFERROR(IF(OR(INPUT!P3872="",INPUT!Q3872=""),"",INPUT!P3872-INPUT!Q3872),"")</f>
        <v/>
      </c>
      <c r="L3877" s="48" t="str">
        <f>IFERROR(IF(OR(INPUT!P3872="",INPUT!Q3872="",INPUT!P3872=0),"",(INPUT!P3872-INPUT!Q3872)/INPUT!P3872),"")</f>
        <v/>
      </c>
    </row>
    <row r="3878" spans="1:12" ht="18" hidden="1" customHeight="1" x14ac:dyDescent="0.2">
      <c r="A3878" s="11" t="str">
        <f>IF(INPUT!M3873="","",INPUT!M3873)</f>
        <v/>
      </c>
      <c r="B3878" s="11" t="str">
        <f>IF(INPUT!M3873="","",INPUT!M3873-WEEKDAY(INPUT!M3873,2)+1)</f>
        <v/>
      </c>
      <c r="C3878" s="20">
        <f>IFERROR(_xlfn.ISOWEEKNUM(INPUT!M3873),"")</f>
        <v>52</v>
      </c>
      <c r="D3878" s="20">
        <f>IFERROR(YEAR(INPUT!M3873),"")</f>
        <v>1900</v>
      </c>
      <c r="E3878" t="str">
        <f>IF(INPUT!O3873="","",INPUT!O3873)</f>
        <v/>
      </c>
      <c r="F3878" t="str">
        <f>IF(INPUT!N3873="","",INPUT!N3873)</f>
        <v/>
      </c>
      <c r="G3878" cm="1">
        <f t="array" ref="G3878">IFERROR(VLOOKUP(INPUT!M3873&amp;INPUT!N3873,CHOOSE({1,2},INPUT!$A$3:$A$5000&amp;INPUT!$C$3:$C$5000,INPUT!$F$3:$F$5000),2,FALSE),"")</f>
        <v>0</v>
      </c>
      <c r="H3878" cm="1">
        <f t="array" ref="H3878">IFERROR(VLOOKUP(INPUT!M3873&amp;INPUT!N3873,CHOOSE({1,2},INPUT!$A$3:$A$5000&amp;INPUT!$C$3:$C$5000,INPUT!$D$3:$D$5000),2,FALSE),"")</f>
        <v>0</v>
      </c>
      <c r="I3878" s="46" t="str">
        <f>IF(INPUT!P3873="","",INPUT!P3873)</f>
        <v/>
      </c>
      <c r="J3878" s="46" t="str">
        <f>IF(INPUT!Q3873="","",INPUT!Q3873)</f>
        <v/>
      </c>
      <c r="K3878" s="46" t="str">
        <f>IFERROR(IF(OR(INPUT!P3873="",INPUT!Q3873=""),"",INPUT!P3873-INPUT!Q3873),"")</f>
        <v/>
      </c>
      <c r="L3878" s="48" t="str">
        <f>IFERROR(IF(OR(INPUT!P3873="",INPUT!Q3873="",INPUT!P3873=0),"",(INPUT!P3873-INPUT!Q3873)/INPUT!P3873),"")</f>
        <v/>
      </c>
    </row>
    <row r="3879" spans="1:12" ht="18" hidden="1" customHeight="1" x14ac:dyDescent="0.2">
      <c r="A3879" s="11" t="str">
        <f>IF(INPUT!M3874="","",INPUT!M3874)</f>
        <v/>
      </c>
      <c r="B3879" s="11" t="str">
        <f>IF(INPUT!M3874="","",INPUT!M3874-WEEKDAY(INPUT!M3874,2)+1)</f>
        <v/>
      </c>
      <c r="C3879" s="20">
        <f>IFERROR(_xlfn.ISOWEEKNUM(INPUT!M3874),"")</f>
        <v>52</v>
      </c>
      <c r="D3879" s="20">
        <f>IFERROR(YEAR(INPUT!M3874),"")</f>
        <v>1900</v>
      </c>
      <c r="E3879" t="str">
        <f>IF(INPUT!O3874="","",INPUT!O3874)</f>
        <v/>
      </c>
      <c r="F3879" t="str">
        <f>IF(INPUT!N3874="","",INPUT!N3874)</f>
        <v/>
      </c>
      <c r="G3879" cm="1">
        <f t="array" ref="G3879">IFERROR(VLOOKUP(INPUT!M3874&amp;INPUT!N3874,CHOOSE({1,2},INPUT!$A$3:$A$5000&amp;INPUT!$C$3:$C$5000,INPUT!$F$3:$F$5000),2,FALSE),"")</f>
        <v>0</v>
      </c>
      <c r="H3879" cm="1">
        <f t="array" ref="H3879">IFERROR(VLOOKUP(INPUT!M3874&amp;INPUT!N3874,CHOOSE({1,2},INPUT!$A$3:$A$5000&amp;INPUT!$C$3:$C$5000,INPUT!$D$3:$D$5000),2,FALSE),"")</f>
        <v>0</v>
      </c>
      <c r="I3879" s="46" t="str">
        <f>IF(INPUT!P3874="","",INPUT!P3874)</f>
        <v/>
      </c>
      <c r="J3879" s="46" t="str">
        <f>IF(INPUT!Q3874="","",INPUT!Q3874)</f>
        <v/>
      </c>
      <c r="K3879" s="46" t="str">
        <f>IFERROR(IF(OR(INPUT!P3874="",INPUT!Q3874=""),"",INPUT!P3874-INPUT!Q3874),"")</f>
        <v/>
      </c>
      <c r="L3879" s="48" t="str">
        <f>IFERROR(IF(OR(INPUT!P3874="",INPUT!Q3874="",INPUT!P3874=0),"",(INPUT!P3874-INPUT!Q3874)/INPUT!P3874),"")</f>
        <v/>
      </c>
    </row>
    <row r="3880" spans="1:12" ht="18" hidden="1" customHeight="1" x14ac:dyDescent="0.2">
      <c r="A3880" s="11" t="str">
        <f>IF(INPUT!M3875="","",INPUT!M3875)</f>
        <v/>
      </c>
      <c r="B3880" s="11" t="str">
        <f>IF(INPUT!M3875="","",INPUT!M3875-WEEKDAY(INPUT!M3875,2)+1)</f>
        <v/>
      </c>
      <c r="C3880" s="20">
        <f>IFERROR(_xlfn.ISOWEEKNUM(INPUT!M3875),"")</f>
        <v>52</v>
      </c>
      <c r="D3880" s="20">
        <f>IFERROR(YEAR(INPUT!M3875),"")</f>
        <v>1900</v>
      </c>
      <c r="E3880" t="str">
        <f>IF(INPUT!O3875="","",INPUT!O3875)</f>
        <v/>
      </c>
      <c r="F3880" t="str">
        <f>IF(INPUT!N3875="","",INPUT!N3875)</f>
        <v/>
      </c>
      <c r="G3880" cm="1">
        <f t="array" ref="G3880">IFERROR(VLOOKUP(INPUT!M3875&amp;INPUT!N3875,CHOOSE({1,2},INPUT!$A$3:$A$5000&amp;INPUT!$C$3:$C$5000,INPUT!$F$3:$F$5000),2,FALSE),"")</f>
        <v>0</v>
      </c>
      <c r="H3880" cm="1">
        <f t="array" ref="H3880">IFERROR(VLOOKUP(INPUT!M3875&amp;INPUT!N3875,CHOOSE({1,2},INPUT!$A$3:$A$5000&amp;INPUT!$C$3:$C$5000,INPUT!$D$3:$D$5000),2,FALSE),"")</f>
        <v>0</v>
      </c>
      <c r="I3880" s="46" t="str">
        <f>IF(INPUT!P3875="","",INPUT!P3875)</f>
        <v/>
      </c>
      <c r="J3880" s="46" t="str">
        <f>IF(INPUT!Q3875="","",INPUT!Q3875)</f>
        <v/>
      </c>
      <c r="K3880" s="46" t="str">
        <f>IFERROR(IF(OR(INPUT!P3875="",INPUT!Q3875=""),"",INPUT!P3875-INPUT!Q3875),"")</f>
        <v/>
      </c>
      <c r="L3880" s="48" t="str">
        <f>IFERROR(IF(OR(INPUT!P3875="",INPUT!Q3875="",INPUT!P3875=0),"",(INPUT!P3875-INPUT!Q3875)/INPUT!P3875),"")</f>
        <v/>
      </c>
    </row>
    <row r="3881" spans="1:12" ht="18" hidden="1" customHeight="1" x14ac:dyDescent="0.2">
      <c r="A3881" s="11" t="str">
        <f>IF(INPUT!M3876="","",INPUT!M3876)</f>
        <v/>
      </c>
      <c r="B3881" s="11" t="str">
        <f>IF(INPUT!M3876="","",INPUT!M3876-WEEKDAY(INPUT!M3876,2)+1)</f>
        <v/>
      </c>
      <c r="C3881" s="20">
        <f>IFERROR(_xlfn.ISOWEEKNUM(INPUT!M3876),"")</f>
        <v>52</v>
      </c>
      <c r="D3881" s="20">
        <f>IFERROR(YEAR(INPUT!M3876),"")</f>
        <v>1900</v>
      </c>
      <c r="E3881" t="str">
        <f>IF(INPUT!O3876="","",INPUT!O3876)</f>
        <v/>
      </c>
      <c r="F3881" t="str">
        <f>IF(INPUT!N3876="","",INPUT!N3876)</f>
        <v/>
      </c>
      <c r="G3881" cm="1">
        <f t="array" ref="G3881">IFERROR(VLOOKUP(INPUT!M3876&amp;INPUT!N3876,CHOOSE({1,2},INPUT!$A$3:$A$5000&amp;INPUT!$C$3:$C$5000,INPUT!$F$3:$F$5000),2,FALSE),"")</f>
        <v>0</v>
      </c>
      <c r="H3881" cm="1">
        <f t="array" ref="H3881">IFERROR(VLOOKUP(INPUT!M3876&amp;INPUT!N3876,CHOOSE({1,2},INPUT!$A$3:$A$5000&amp;INPUT!$C$3:$C$5000,INPUT!$D$3:$D$5000),2,FALSE),"")</f>
        <v>0</v>
      </c>
      <c r="I3881" s="46" t="str">
        <f>IF(INPUT!P3876="","",INPUT!P3876)</f>
        <v/>
      </c>
      <c r="J3881" s="46" t="str">
        <f>IF(INPUT!Q3876="","",INPUT!Q3876)</f>
        <v/>
      </c>
      <c r="K3881" s="46" t="str">
        <f>IFERROR(IF(OR(INPUT!P3876="",INPUT!Q3876=""),"",INPUT!P3876-INPUT!Q3876),"")</f>
        <v/>
      </c>
      <c r="L3881" s="48" t="str">
        <f>IFERROR(IF(OR(INPUT!P3876="",INPUT!Q3876="",INPUT!P3876=0),"",(INPUT!P3876-INPUT!Q3876)/INPUT!P3876),"")</f>
        <v/>
      </c>
    </row>
    <row r="3882" spans="1:12" ht="18" hidden="1" customHeight="1" x14ac:dyDescent="0.2">
      <c r="A3882" s="11" t="str">
        <f>IF(INPUT!M3877="","",INPUT!M3877)</f>
        <v/>
      </c>
      <c r="B3882" s="11" t="str">
        <f>IF(INPUT!M3877="","",INPUT!M3877-WEEKDAY(INPUT!M3877,2)+1)</f>
        <v/>
      </c>
      <c r="C3882" s="20">
        <f>IFERROR(_xlfn.ISOWEEKNUM(INPUT!M3877),"")</f>
        <v>52</v>
      </c>
      <c r="D3882" s="20">
        <f>IFERROR(YEAR(INPUT!M3877),"")</f>
        <v>1900</v>
      </c>
      <c r="E3882" t="str">
        <f>IF(INPUT!O3877="","",INPUT!O3877)</f>
        <v/>
      </c>
      <c r="F3882" t="str">
        <f>IF(INPUT!N3877="","",INPUT!N3877)</f>
        <v/>
      </c>
      <c r="G3882" cm="1">
        <f t="array" ref="G3882">IFERROR(VLOOKUP(INPUT!M3877&amp;INPUT!N3877,CHOOSE({1,2},INPUT!$A$3:$A$5000&amp;INPUT!$C$3:$C$5000,INPUT!$F$3:$F$5000),2,FALSE),"")</f>
        <v>0</v>
      </c>
      <c r="H3882" cm="1">
        <f t="array" ref="H3882">IFERROR(VLOOKUP(INPUT!M3877&amp;INPUT!N3877,CHOOSE({1,2},INPUT!$A$3:$A$5000&amp;INPUT!$C$3:$C$5000,INPUT!$D$3:$D$5000),2,FALSE),"")</f>
        <v>0</v>
      </c>
      <c r="I3882" s="46" t="str">
        <f>IF(INPUT!P3877="","",INPUT!P3877)</f>
        <v/>
      </c>
      <c r="J3882" s="46" t="str">
        <f>IF(INPUT!Q3877="","",INPUT!Q3877)</f>
        <v/>
      </c>
      <c r="K3882" s="46" t="str">
        <f>IFERROR(IF(OR(INPUT!P3877="",INPUT!Q3877=""),"",INPUT!P3877-INPUT!Q3877),"")</f>
        <v/>
      </c>
      <c r="L3882" s="48" t="str">
        <f>IFERROR(IF(OR(INPUT!P3877="",INPUT!Q3877="",INPUT!P3877=0),"",(INPUT!P3877-INPUT!Q3877)/INPUT!P3877),"")</f>
        <v/>
      </c>
    </row>
    <row r="3883" spans="1:12" ht="18" hidden="1" customHeight="1" x14ac:dyDescent="0.2">
      <c r="A3883" s="11" t="str">
        <f>IF(INPUT!M3878="","",INPUT!M3878)</f>
        <v/>
      </c>
      <c r="B3883" s="11" t="str">
        <f>IF(INPUT!M3878="","",INPUT!M3878-WEEKDAY(INPUT!M3878,2)+1)</f>
        <v/>
      </c>
      <c r="C3883" s="20">
        <f>IFERROR(_xlfn.ISOWEEKNUM(INPUT!M3878),"")</f>
        <v>52</v>
      </c>
      <c r="D3883" s="20">
        <f>IFERROR(YEAR(INPUT!M3878),"")</f>
        <v>1900</v>
      </c>
      <c r="E3883" t="str">
        <f>IF(INPUT!O3878="","",INPUT!O3878)</f>
        <v/>
      </c>
      <c r="F3883" t="str">
        <f>IF(INPUT!N3878="","",INPUT!N3878)</f>
        <v/>
      </c>
      <c r="G3883" cm="1">
        <f t="array" ref="G3883">IFERROR(VLOOKUP(INPUT!M3878&amp;INPUT!N3878,CHOOSE({1,2},INPUT!$A$3:$A$5000&amp;INPUT!$C$3:$C$5000,INPUT!$F$3:$F$5000),2,FALSE),"")</f>
        <v>0</v>
      </c>
      <c r="H3883" cm="1">
        <f t="array" ref="H3883">IFERROR(VLOOKUP(INPUT!M3878&amp;INPUT!N3878,CHOOSE({1,2},INPUT!$A$3:$A$5000&amp;INPUT!$C$3:$C$5000,INPUT!$D$3:$D$5000),2,FALSE),"")</f>
        <v>0</v>
      </c>
      <c r="I3883" s="46" t="str">
        <f>IF(INPUT!P3878="","",INPUT!P3878)</f>
        <v/>
      </c>
      <c r="J3883" s="46" t="str">
        <f>IF(INPUT!Q3878="","",INPUT!Q3878)</f>
        <v/>
      </c>
      <c r="K3883" s="46" t="str">
        <f>IFERROR(IF(OR(INPUT!P3878="",INPUT!Q3878=""),"",INPUT!P3878-INPUT!Q3878),"")</f>
        <v/>
      </c>
      <c r="L3883" s="48" t="str">
        <f>IFERROR(IF(OR(INPUT!P3878="",INPUT!Q3878="",INPUT!P3878=0),"",(INPUT!P3878-INPUT!Q3878)/INPUT!P3878),"")</f>
        <v/>
      </c>
    </row>
    <row r="3884" spans="1:12" ht="18" hidden="1" customHeight="1" x14ac:dyDescent="0.2">
      <c r="A3884" s="11" t="str">
        <f>IF(INPUT!M3879="","",INPUT!M3879)</f>
        <v/>
      </c>
      <c r="B3884" s="11" t="str">
        <f>IF(INPUT!M3879="","",INPUT!M3879-WEEKDAY(INPUT!M3879,2)+1)</f>
        <v/>
      </c>
      <c r="C3884" s="20">
        <f>IFERROR(_xlfn.ISOWEEKNUM(INPUT!M3879),"")</f>
        <v>52</v>
      </c>
      <c r="D3884" s="20">
        <f>IFERROR(YEAR(INPUT!M3879),"")</f>
        <v>1900</v>
      </c>
      <c r="E3884" t="str">
        <f>IF(INPUT!O3879="","",INPUT!O3879)</f>
        <v/>
      </c>
      <c r="F3884" t="str">
        <f>IF(INPUT!N3879="","",INPUT!N3879)</f>
        <v/>
      </c>
      <c r="G3884" cm="1">
        <f t="array" ref="G3884">IFERROR(VLOOKUP(INPUT!M3879&amp;INPUT!N3879,CHOOSE({1,2},INPUT!$A$3:$A$5000&amp;INPUT!$C$3:$C$5000,INPUT!$F$3:$F$5000),2,FALSE),"")</f>
        <v>0</v>
      </c>
      <c r="H3884" cm="1">
        <f t="array" ref="H3884">IFERROR(VLOOKUP(INPUT!M3879&amp;INPUT!N3879,CHOOSE({1,2},INPUT!$A$3:$A$5000&amp;INPUT!$C$3:$C$5000,INPUT!$D$3:$D$5000),2,FALSE),"")</f>
        <v>0</v>
      </c>
      <c r="I3884" s="46" t="str">
        <f>IF(INPUT!P3879="","",INPUT!P3879)</f>
        <v/>
      </c>
      <c r="J3884" s="46" t="str">
        <f>IF(INPUT!Q3879="","",INPUT!Q3879)</f>
        <v/>
      </c>
      <c r="K3884" s="46" t="str">
        <f>IFERROR(IF(OR(INPUT!P3879="",INPUT!Q3879=""),"",INPUT!P3879-INPUT!Q3879),"")</f>
        <v/>
      </c>
      <c r="L3884" s="48" t="str">
        <f>IFERROR(IF(OR(INPUT!P3879="",INPUT!Q3879="",INPUT!P3879=0),"",(INPUT!P3879-INPUT!Q3879)/INPUT!P3879),"")</f>
        <v/>
      </c>
    </row>
    <row r="3885" spans="1:12" ht="18" hidden="1" customHeight="1" x14ac:dyDescent="0.2">
      <c r="A3885" s="11" t="str">
        <f>IF(INPUT!M3880="","",INPUT!M3880)</f>
        <v/>
      </c>
      <c r="B3885" s="11" t="str">
        <f>IF(INPUT!M3880="","",INPUT!M3880-WEEKDAY(INPUT!M3880,2)+1)</f>
        <v/>
      </c>
      <c r="C3885" s="20">
        <f>IFERROR(_xlfn.ISOWEEKNUM(INPUT!M3880),"")</f>
        <v>52</v>
      </c>
      <c r="D3885" s="20">
        <f>IFERROR(YEAR(INPUT!M3880),"")</f>
        <v>1900</v>
      </c>
      <c r="E3885" t="str">
        <f>IF(INPUT!O3880="","",INPUT!O3880)</f>
        <v/>
      </c>
      <c r="F3885" t="str">
        <f>IF(INPUT!N3880="","",INPUT!N3880)</f>
        <v/>
      </c>
      <c r="G3885" cm="1">
        <f t="array" ref="G3885">IFERROR(VLOOKUP(INPUT!M3880&amp;INPUT!N3880,CHOOSE({1,2},INPUT!$A$3:$A$5000&amp;INPUT!$C$3:$C$5000,INPUT!$F$3:$F$5000),2,FALSE),"")</f>
        <v>0</v>
      </c>
      <c r="H3885" cm="1">
        <f t="array" ref="H3885">IFERROR(VLOOKUP(INPUT!M3880&amp;INPUT!N3880,CHOOSE({1,2},INPUT!$A$3:$A$5000&amp;INPUT!$C$3:$C$5000,INPUT!$D$3:$D$5000),2,FALSE),"")</f>
        <v>0</v>
      </c>
      <c r="I3885" s="46" t="str">
        <f>IF(INPUT!P3880="","",INPUT!P3880)</f>
        <v/>
      </c>
      <c r="J3885" s="46" t="str">
        <f>IF(INPUT!Q3880="","",INPUT!Q3880)</f>
        <v/>
      </c>
      <c r="K3885" s="46" t="str">
        <f>IFERROR(IF(OR(INPUT!P3880="",INPUT!Q3880=""),"",INPUT!P3880-INPUT!Q3880),"")</f>
        <v/>
      </c>
      <c r="L3885" s="48" t="str">
        <f>IFERROR(IF(OR(INPUT!P3880="",INPUT!Q3880="",INPUT!P3880=0),"",(INPUT!P3880-INPUT!Q3880)/INPUT!P3880),"")</f>
        <v/>
      </c>
    </row>
    <row r="3886" spans="1:12" ht="18" hidden="1" customHeight="1" x14ac:dyDescent="0.2">
      <c r="A3886" s="11" t="str">
        <f>IF(INPUT!M3881="","",INPUT!M3881)</f>
        <v/>
      </c>
      <c r="B3886" s="11" t="str">
        <f>IF(INPUT!M3881="","",INPUT!M3881-WEEKDAY(INPUT!M3881,2)+1)</f>
        <v/>
      </c>
      <c r="C3886" s="20">
        <f>IFERROR(_xlfn.ISOWEEKNUM(INPUT!M3881),"")</f>
        <v>52</v>
      </c>
      <c r="D3886" s="20">
        <f>IFERROR(YEAR(INPUT!M3881),"")</f>
        <v>1900</v>
      </c>
      <c r="E3886" t="str">
        <f>IF(INPUT!O3881="","",INPUT!O3881)</f>
        <v/>
      </c>
      <c r="F3886" t="str">
        <f>IF(INPUT!N3881="","",INPUT!N3881)</f>
        <v/>
      </c>
      <c r="G3886" cm="1">
        <f t="array" ref="G3886">IFERROR(VLOOKUP(INPUT!M3881&amp;INPUT!N3881,CHOOSE({1,2},INPUT!$A$3:$A$5000&amp;INPUT!$C$3:$C$5000,INPUT!$F$3:$F$5000),2,FALSE),"")</f>
        <v>0</v>
      </c>
      <c r="H3886" cm="1">
        <f t="array" ref="H3886">IFERROR(VLOOKUP(INPUT!M3881&amp;INPUT!N3881,CHOOSE({1,2},INPUT!$A$3:$A$5000&amp;INPUT!$C$3:$C$5000,INPUT!$D$3:$D$5000),2,FALSE),"")</f>
        <v>0</v>
      </c>
      <c r="I3886" s="46" t="str">
        <f>IF(INPUT!P3881="","",INPUT!P3881)</f>
        <v/>
      </c>
      <c r="J3886" s="46" t="str">
        <f>IF(INPUT!Q3881="","",INPUT!Q3881)</f>
        <v/>
      </c>
      <c r="K3886" s="46" t="str">
        <f>IFERROR(IF(OR(INPUT!P3881="",INPUT!Q3881=""),"",INPUT!P3881-INPUT!Q3881),"")</f>
        <v/>
      </c>
      <c r="L3886" s="48" t="str">
        <f>IFERROR(IF(OR(INPUT!P3881="",INPUT!Q3881="",INPUT!P3881=0),"",(INPUT!P3881-INPUT!Q3881)/INPUT!P3881),"")</f>
        <v/>
      </c>
    </row>
    <row r="3887" spans="1:12" ht="18" hidden="1" customHeight="1" x14ac:dyDescent="0.2">
      <c r="A3887" s="11" t="str">
        <f>IF(INPUT!M3882="","",INPUT!M3882)</f>
        <v/>
      </c>
      <c r="B3887" s="11" t="str">
        <f>IF(INPUT!M3882="","",INPUT!M3882-WEEKDAY(INPUT!M3882,2)+1)</f>
        <v/>
      </c>
      <c r="C3887" s="20">
        <f>IFERROR(_xlfn.ISOWEEKNUM(INPUT!M3882),"")</f>
        <v>52</v>
      </c>
      <c r="D3887" s="20">
        <f>IFERROR(YEAR(INPUT!M3882),"")</f>
        <v>1900</v>
      </c>
      <c r="E3887" t="str">
        <f>IF(INPUT!O3882="","",INPUT!O3882)</f>
        <v/>
      </c>
      <c r="F3887" t="str">
        <f>IF(INPUT!N3882="","",INPUT!N3882)</f>
        <v/>
      </c>
      <c r="G3887" cm="1">
        <f t="array" ref="G3887">IFERROR(VLOOKUP(INPUT!M3882&amp;INPUT!N3882,CHOOSE({1,2},INPUT!$A$3:$A$5000&amp;INPUT!$C$3:$C$5000,INPUT!$F$3:$F$5000),2,FALSE),"")</f>
        <v>0</v>
      </c>
      <c r="H3887" cm="1">
        <f t="array" ref="H3887">IFERROR(VLOOKUP(INPUT!M3882&amp;INPUT!N3882,CHOOSE({1,2},INPUT!$A$3:$A$5000&amp;INPUT!$C$3:$C$5000,INPUT!$D$3:$D$5000),2,FALSE),"")</f>
        <v>0</v>
      </c>
      <c r="I3887" s="46" t="str">
        <f>IF(INPUT!P3882="","",INPUT!P3882)</f>
        <v/>
      </c>
      <c r="J3887" s="46" t="str">
        <f>IF(INPUT!Q3882="","",INPUT!Q3882)</f>
        <v/>
      </c>
      <c r="K3887" s="46" t="str">
        <f>IFERROR(IF(OR(INPUT!P3882="",INPUT!Q3882=""),"",INPUT!P3882-INPUT!Q3882),"")</f>
        <v/>
      </c>
      <c r="L3887" s="48" t="str">
        <f>IFERROR(IF(OR(INPUT!P3882="",INPUT!Q3882="",INPUT!P3882=0),"",(INPUT!P3882-INPUT!Q3882)/INPUT!P3882),"")</f>
        <v/>
      </c>
    </row>
    <row r="3888" spans="1:12" ht="18" hidden="1" customHeight="1" x14ac:dyDescent="0.2">
      <c r="A3888" s="11" t="str">
        <f>IF(INPUT!M3883="","",INPUT!M3883)</f>
        <v/>
      </c>
      <c r="B3888" s="11" t="str">
        <f>IF(INPUT!M3883="","",INPUT!M3883-WEEKDAY(INPUT!M3883,2)+1)</f>
        <v/>
      </c>
      <c r="C3888" s="20">
        <f>IFERROR(_xlfn.ISOWEEKNUM(INPUT!M3883),"")</f>
        <v>52</v>
      </c>
      <c r="D3888" s="20">
        <f>IFERROR(YEAR(INPUT!M3883),"")</f>
        <v>1900</v>
      </c>
      <c r="E3888" t="str">
        <f>IF(INPUT!O3883="","",INPUT!O3883)</f>
        <v/>
      </c>
      <c r="F3888" t="str">
        <f>IF(INPUT!N3883="","",INPUT!N3883)</f>
        <v/>
      </c>
      <c r="G3888" cm="1">
        <f t="array" ref="G3888">IFERROR(VLOOKUP(INPUT!M3883&amp;INPUT!N3883,CHOOSE({1,2},INPUT!$A$3:$A$5000&amp;INPUT!$C$3:$C$5000,INPUT!$F$3:$F$5000),2,FALSE),"")</f>
        <v>0</v>
      </c>
      <c r="H3888" cm="1">
        <f t="array" ref="H3888">IFERROR(VLOOKUP(INPUT!M3883&amp;INPUT!N3883,CHOOSE({1,2},INPUT!$A$3:$A$5000&amp;INPUT!$C$3:$C$5000,INPUT!$D$3:$D$5000),2,FALSE),"")</f>
        <v>0</v>
      </c>
      <c r="I3888" s="46" t="str">
        <f>IF(INPUT!P3883="","",INPUT!P3883)</f>
        <v/>
      </c>
      <c r="J3888" s="46" t="str">
        <f>IF(INPUT!Q3883="","",INPUT!Q3883)</f>
        <v/>
      </c>
      <c r="K3888" s="46" t="str">
        <f>IFERROR(IF(OR(INPUT!P3883="",INPUT!Q3883=""),"",INPUT!P3883-INPUT!Q3883),"")</f>
        <v/>
      </c>
      <c r="L3888" s="48" t="str">
        <f>IFERROR(IF(OR(INPUT!P3883="",INPUT!Q3883="",INPUT!P3883=0),"",(INPUT!P3883-INPUT!Q3883)/INPUT!P3883),"")</f>
        <v/>
      </c>
    </row>
    <row r="3889" spans="1:12" ht="18" hidden="1" customHeight="1" x14ac:dyDescent="0.2">
      <c r="A3889" s="11" t="str">
        <f>IF(INPUT!M3884="","",INPUT!M3884)</f>
        <v/>
      </c>
      <c r="B3889" s="11" t="str">
        <f>IF(INPUT!M3884="","",INPUT!M3884-WEEKDAY(INPUT!M3884,2)+1)</f>
        <v/>
      </c>
      <c r="C3889" s="20">
        <f>IFERROR(_xlfn.ISOWEEKNUM(INPUT!M3884),"")</f>
        <v>52</v>
      </c>
      <c r="D3889" s="20">
        <f>IFERROR(YEAR(INPUT!M3884),"")</f>
        <v>1900</v>
      </c>
      <c r="E3889" t="str">
        <f>IF(INPUT!O3884="","",INPUT!O3884)</f>
        <v/>
      </c>
      <c r="F3889" t="str">
        <f>IF(INPUT!N3884="","",INPUT!N3884)</f>
        <v/>
      </c>
      <c r="G3889" cm="1">
        <f t="array" ref="G3889">IFERROR(VLOOKUP(INPUT!M3884&amp;INPUT!N3884,CHOOSE({1,2},INPUT!$A$3:$A$5000&amp;INPUT!$C$3:$C$5000,INPUT!$F$3:$F$5000),2,FALSE),"")</f>
        <v>0</v>
      </c>
      <c r="H3889" cm="1">
        <f t="array" ref="H3889">IFERROR(VLOOKUP(INPUT!M3884&amp;INPUT!N3884,CHOOSE({1,2},INPUT!$A$3:$A$5000&amp;INPUT!$C$3:$C$5000,INPUT!$D$3:$D$5000),2,FALSE),"")</f>
        <v>0</v>
      </c>
      <c r="I3889" s="46" t="str">
        <f>IF(INPUT!P3884="","",INPUT!P3884)</f>
        <v/>
      </c>
      <c r="J3889" s="46" t="str">
        <f>IF(INPUT!Q3884="","",INPUT!Q3884)</f>
        <v/>
      </c>
      <c r="K3889" s="46" t="str">
        <f>IFERROR(IF(OR(INPUT!P3884="",INPUT!Q3884=""),"",INPUT!P3884-INPUT!Q3884),"")</f>
        <v/>
      </c>
      <c r="L3889" s="48" t="str">
        <f>IFERROR(IF(OR(INPUT!P3884="",INPUT!Q3884="",INPUT!P3884=0),"",(INPUT!P3884-INPUT!Q3884)/INPUT!P3884),"")</f>
        <v/>
      </c>
    </row>
    <row r="3890" spans="1:12" ht="18" hidden="1" customHeight="1" x14ac:dyDescent="0.2">
      <c r="A3890" s="11" t="str">
        <f>IF(INPUT!M3885="","",INPUT!M3885)</f>
        <v/>
      </c>
      <c r="B3890" s="11" t="str">
        <f>IF(INPUT!M3885="","",INPUT!M3885-WEEKDAY(INPUT!M3885,2)+1)</f>
        <v/>
      </c>
      <c r="C3890" s="20">
        <f>IFERROR(_xlfn.ISOWEEKNUM(INPUT!M3885),"")</f>
        <v>52</v>
      </c>
      <c r="D3890" s="20">
        <f>IFERROR(YEAR(INPUT!M3885),"")</f>
        <v>1900</v>
      </c>
      <c r="E3890" t="str">
        <f>IF(INPUT!O3885="","",INPUT!O3885)</f>
        <v/>
      </c>
      <c r="F3890" t="str">
        <f>IF(INPUT!N3885="","",INPUT!N3885)</f>
        <v/>
      </c>
      <c r="G3890" cm="1">
        <f t="array" ref="G3890">IFERROR(VLOOKUP(INPUT!M3885&amp;INPUT!N3885,CHOOSE({1,2},INPUT!$A$3:$A$5000&amp;INPUT!$C$3:$C$5000,INPUT!$F$3:$F$5000),2,FALSE),"")</f>
        <v>0</v>
      </c>
      <c r="H3890" cm="1">
        <f t="array" ref="H3890">IFERROR(VLOOKUP(INPUT!M3885&amp;INPUT!N3885,CHOOSE({1,2},INPUT!$A$3:$A$5000&amp;INPUT!$C$3:$C$5000,INPUT!$D$3:$D$5000),2,FALSE),"")</f>
        <v>0</v>
      </c>
      <c r="I3890" s="46" t="str">
        <f>IF(INPUT!P3885="","",INPUT!P3885)</f>
        <v/>
      </c>
      <c r="J3890" s="46" t="str">
        <f>IF(INPUT!Q3885="","",INPUT!Q3885)</f>
        <v/>
      </c>
      <c r="K3890" s="46" t="str">
        <f>IFERROR(IF(OR(INPUT!P3885="",INPUT!Q3885=""),"",INPUT!P3885-INPUT!Q3885),"")</f>
        <v/>
      </c>
      <c r="L3890" s="48" t="str">
        <f>IFERROR(IF(OR(INPUT!P3885="",INPUT!Q3885="",INPUT!P3885=0),"",(INPUT!P3885-INPUT!Q3885)/INPUT!P3885),"")</f>
        <v/>
      </c>
    </row>
    <row r="3891" spans="1:12" ht="18" hidden="1" customHeight="1" x14ac:dyDescent="0.2">
      <c r="A3891" s="11" t="str">
        <f>IF(INPUT!M3886="","",INPUT!M3886)</f>
        <v/>
      </c>
      <c r="B3891" s="11" t="str">
        <f>IF(INPUT!M3886="","",INPUT!M3886-WEEKDAY(INPUT!M3886,2)+1)</f>
        <v/>
      </c>
      <c r="C3891" s="20">
        <f>IFERROR(_xlfn.ISOWEEKNUM(INPUT!M3886),"")</f>
        <v>52</v>
      </c>
      <c r="D3891" s="20">
        <f>IFERROR(YEAR(INPUT!M3886),"")</f>
        <v>1900</v>
      </c>
      <c r="E3891" t="str">
        <f>IF(INPUT!O3886="","",INPUT!O3886)</f>
        <v/>
      </c>
      <c r="F3891" t="str">
        <f>IF(INPUT!N3886="","",INPUT!N3886)</f>
        <v/>
      </c>
      <c r="G3891" cm="1">
        <f t="array" ref="G3891">IFERROR(VLOOKUP(INPUT!M3886&amp;INPUT!N3886,CHOOSE({1,2},INPUT!$A$3:$A$5000&amp;INPUT!$C$3:$C$5000,INPUT!$F$3:$F$5000),2,FALSE),"")</f>
        <v>0</v>
      </c>
      <c r="H3891" cm="1">
        <f t="array" ref="H3891">IFERROR(VLOOKUP(INPUT!M3886&amp;INPUT!N3886,CHOOSE({1,2},INPUT!$A$3:$A$5000&amp;INPUT!$C$3:$C$5000,INPUT!$D$3:$D$5000),2,FALSE),"")</f>
        <v>0</v>
      </c>
      <c r="I3891" s="46" t="str">
        <f>IF(INPUT!P3886="","",INPUT!P3886)</f>
        <v/>
      </c>
      <c r="J3891" s="46" t="str">
        <f>IF(INPUT!Q3886="","",INPUT!Q3886)</f>
        <v/>
      </c>
      <c r="K3891" s="46" t="str">
        <f>IFERROR(IF(OR(INPUT!P3886="",INPUT!Q3886=""),"",INPUT!P3886-INPUT!Q3886),"")</f>
        <v/>
      </c>
      <c r="L3891" s="48" t="str">
        <f>IFERROR(IF(OR(INPUT!P3886="",INPUT!Q3886="",INPUT!P3886=0),"",(INPUT!P3886-INPUT!Q3886)/INPUT!P3886),"")</f>
        <v/>
      </c>
    </row>
    <row r="3892" spans="1:12" ht="18" hidden="1" customHeight="1" x14ac:dyDescent="0.2">
      <c r="A3892" s="11" t="str">
        <f>IF(INPUT!M3887="","",INPUT!M3887)</f>
        <v/>
      </c>
      <c r="B3892" s="11" t="str">
        <f>IF(INPUT!M3887="","",INPUT!M3887-WEEKDAY(INPUT!M3887,2)+1)</f>
        <v/>
      </c>
      <c r="C3892" s="20">
        <f>IFERROR(_xlfn.ISOWEEKNUM(INPUT!M3887),"")</f>
        <v>52</v>
      </c>
      <c r="D3892" s="20">
        <f>IFERROR(YEAR(INPUT!M3887),"")</f>
        <v>1900</v>
      </c>
      <c r="E3892" t="str">
        <f>IF(INPUT!O3887="","",INPUT!O3887)</f>
        <v/>
      </c>
      <c r="F3892" t="str">
        <f>IF(INPUT!N3887="","",INPUT!N3887)</f>
        <v/>
      </c>
      <c r="G3892" cm="1">
        <f t="array" ref="G3892">IFERROR(VLOOKUP(INPUT!M3887&amp;INPUT!N3887,CHOOSE({1,2},INPUT!$A$3:$A$5000&amp;INPUT!$C$3:$C$5000,INPUT!$F$3:$F$5000),2,FALSE),"")</f>
        <v>0</v>
      </c>
      <c r="H3892" cm="1">
        <f t="array" ref="H3892">IFERROR(VLOOKUP(INPUT!M3887&amp;INPUT!N3887,CHOOSE({1,2},INPUT!$A$3:$A$5000&amp;INPUT!$C$3:$C$5000,INPUT!$D$3:$D$5000),2,FALSE),"")</f>
        <v>0</v>
      </c>
      <c r="I3892" s="46" t="str">
        <f>IF(INPUT!P3887="","",INPUT!P3887)</f>
        <v/>
      </c>
      <c r="J3892" s="46" t="str">
        <f>IF(INPUT!Q3887="","",INPUT!Q3887)</f>
        <v/>
      </c>
      <c r="K3892" s="46" t="str">
        <f>IFERROR(IF(OR(INPUT!P3887="",INPUT!Q3887=""),"",INPUT!P3887-INPUT!Q3887),"")</f>
        <v/>
      </c>
      <c r="L3892" s="48" t="str">
        <f>IFERROR(IF(OR(INPUT!P3887="",INPUT!Q3887="",INPUT!P3887=0),"",(INPUT!P3887-INPUT!Q3887)/INPUT!P3887),"")</f>
        <v/>
      </c>
    </row>
    <row r="3893" spans="1:12" ht="18" hidden="1" customHeight="1" x14ac:dyDescent="0.2">
      <c r="A3893" s="11" t="str">
        <f>IF(INPUT!M3888="","",INPUT!M3888)</f>
        <v/>
      </c>
      <c r="B3893" s="11" t="str">
        <f>IF(INPUT!M3888="","",INPUT!M3888-WEEKDAY(INPUT!M3888,2)+1)</f>
        <v/>
      </c>
      <c r="C3893" s="20">
        <f>IFERROR(_xlfn.ISOWEEKNUM(INPUT!M3888),"")</f>
        <v>52</v>
      </c>
      <c r="D3893" s="20">
        <f>IFERROR(YEAR(INPUT!M3888),"")</f>
        <v>1900</v>
      </c>
      <c r="E3893" t="str">
        <f>IF(INPUT!O3888="","",INPUT!O3888)</f>
        <v/>
      </c>
      <c r="F3893" t="str">
        <f>IF(INPUT!N3888="","",INPUT!N3888)</f>
        <v/>
      </c>
      <c r="G3893" cm="1">
        <f t="array" ref="G3893">IFERROR(VLOOKUP(INPUT!M3888&amp;INPUT!N3888,CHOOSE({1,2},INPUT!$A$3:$A$5000&amp;INPUT!$C$3:$C$5000,INPUT!$F$3:$F$5000),2,FALSE),"")</f>
        <v>0</v>
      </c>
      <c r="H3893" cm="1">
        <f t="array" ref="H3893">IFERROR(VLOOKUP(INPUT!M3888&amp;INPUT!N3888,CHOOSE({1,2},INPUT!$A$3:$A$5000&amp;INPUT!$C$3:$C$5000,INPUT!$D$3:$D$5000),2,FALSE),"")</f>
        <v>0</v>
      </c>
      <c r="I3893" s="46" t="str">
        <f>IF(INPUT!P3888="","",INPUT!P3888)</f>
        <v/>
      </c>
      <c r="J3893" s="46" t="str">
        <f>IF(INPUT!Q3888="","",INPUT!Q3888)</f>
        <v/>
      </c>
      <c r="K3893" s="46" t="str">
        <f>IFERROR(IF(OR(INPUT!P3888="",INPUT!Q3888=""),"",INPUT!P3888-INPUT!Q3888),"")</f>
        <v/>
      </c>
      <c r="L3893" s="48" t="str">
        <f>IFERROR(IF(OR(INPUT!P3888="",INPUT!Q3888="",INPUT!P3888=0),"",(INPUT!P3888-INPUT!Q3888)/INPUT!P3888),"")</f>
        <v/>
      </c>
    </row>
    <row r="3894" spans="1:12" ht="18" hidden="1" customHeight="1" x14ac:dyDescent="0.2">
      <c r="A3894" s="11" t="str">
        <f>IF(INPUT!M3889="","",INPUT!M3889)</f>
        <v/>
      </c>
      <c r="B3894" s="11" t="str">
        <f>IF(INPUT!M3889="","",INPUT!M3889-WEEKDAY(INPUT!M3889,2)+1)</f>
        <v/>
      </c>
      <c r="C3894" s="20">
        <f>IFERROR(_xlfn.ISOWEEKNUM(INPUT!M3889),"")</f>
        <v>52</v>
      </c>
      <c r="D3894" s="20">
        <f>IFERROR(YEAR(INPUT!M3889),"")</f>
        <v>1900</v>
      </c>
      <c r="E3894" t="str">
        <f>IF(INPUT!O3889="","",INPUT!O3889)</f>
        <v/>
      </c>
      <c r="F3894" t="str">
        <f>IF(INPUT!N3889="","",INPUT!N3889)</f>
        <v/>
      </c>
      <c r="G3894" cm="1">
        <f t="array" ref="G3894">IFERROR(VLOOKUP(INPUT!M3889&amp;INPUT!N3889,CHOOSE({1,2},INPUT!$A$3:$A$5000&amp;INPUT!$C$3:$C$5000,INPUT!$F$3:$F$5000),2,FALSE),"")</f>
        <v>0</v>
      </c>
      <c r="H3894" cm="1">
        <f t="array" ref="H3894">IFERROR(VLOOKUP(INPUT!M3889&amp;INPUT!N3889,CHOOSE({1,2},INPUT!$A$3:$A$5000&amp;INPUT!$C$3:$C$5000,INPUT!$D$3:$D$5000),2,FALSE),"")</f>
        <v>0</v>
      </c>
      <c r="I3894" s="46" t="str">
        <f>IF(INPUT!P3889="","",INPUT!P3889)</f>
        <v/>
      </c>
      <c r="J3894" s="46" t="str">
        <f>IF(INPUT!Q3889="","",INPUT!Q3889)</f>
        <v/>
      </c>
      <c r="K3894" s="46" t="str">
        <f>IFERROR(IF(OR(INPUT!P3889="",INPUT!Q3889=""),"",INPUT!P3889-INPUT!Q3889),"")</f>
        <v/>
      </c>
      <c r="L3894" s="48" t="str">
        <f>IFERROR(IF(OR(INPUT!P3889="",INPUT!Q3889="",INPUT!P3889=0),"",(INPUT!P3889-INPUT!Q3889)/INPUT!P3889),"")</f>
        <v/>
      </c>
    </row>
    <row r="3895" spans="1:12" ht="18" hidden="1" customHeight="1" x14ac:dyDescent="0.2">
      <c r="A3895" s="11" t="str">
        <f>IF(INPUT!M3890="","",INPUT!M3890)</f>
        <v/>
      </c>
      <c r="B3895" s="11" t="str">
        <f>IF(INPUT!M3890="","",INPUT!M3890-WEEKDAY(INPUT!M3890,2)+1)</f>
        <v/>
      </c>
      <c r="C3895" s="20">
        <f>IFERROR(_xlfn.ISOWEEKNUM(INPUT!M3890),"")</f>
        <v>52</v>
      </c>
      <c r="D3895" s="20">
        <f>IFERROR(YEAR(INPUT!M3890),"")</f>
        <v>1900</v>
      </c>
      <c r="E3895" t="str">
        <f>IF(INPUT!O3890="","",INPUT!O3890)</f>
        <v/>
      </c>
      <c r="F3895" t="str">
        <f>IF(INPUT!N3890="","",INPUT!N3890)</f>
        <v/>
      </c>
      <c r="G3895" cm="1">
        <f t="array" ref="G3895">IFERROR(VLOOKUP(INPUT!M3890&amp;INPUT!N3890,CHOOSE({1,2},INPUT!$A$3:$A$5000&amp;INPUT!$C$3:$C$5000,INPUT!$F$3:$F$5000),2,FALSE),"")</f>
        <v>0</v>
      </c>
      <c r="H3895" cm="1">
        <f t="array" ref="H3895">IFERROR(VLOOKUP(INPUT!M3890&amp;INPUT!N3890,CHOOSE({1,2},INPUT!$A$3:$A$5000&amp;INPUT!$C$3:$C$5000,INPUT!$D$3:$D$5000),2,FALSE),"")</f>
        <v>0</v>
      </c>
      <c r="I3895" s="46" t="str">
        <f>IF(INPUT!P3890="","",INPUT!P3890)</f>
        <v/>
      </c>
      <c r="J3895" s="46" t="str">
        <f>IF(INPUT!Q3890="","",INPUT!Q3890)</f>
        <v/>
      </c>
      <c r="K3895" s="46" t="str">
        <f>IFERROR(IF(OR(INPUT!P3890="",INPUT!Q3890=""),"",INPUT!P3890-INPUT!Q3890),"")</f>
        <v/>
      </c>
      <c r="L3895" s="48" t="str">
        <f>IFERROR(IF(OR(INPUT!P3890="",INPUT!Q3890="",INPUT!P3890=0),"",(INPUT!P3890-INPUT!Q3890)/INPUT!P3890),"")</f>
        <v/>
      </c>
    </row>
    <row r="3896" spans="1:12" ht="18" hidden="1" customHeight="1" x14ac:dyDescent="0.2">
      <c r="A3896" s="11" t="str">
        <f>IF(INPUT!M3891="","",INPUT!M3891)</f>
        <v/>
      </c>
      <c r="B3896" s="11" t="str">
        <f>IF(INPUT!M3891="","",INPUT!M3891-WEEKDAY(INPUT!M3891,2)+1)</f>
        <v/>
      </c>
      <c r="C3896" s="20">
        <f>IFERROR(_xlfn.ISOWEEKNUM(INPUT!M3891),"")</f>
        <v>52</v>
      </c>
      <c r="D3896" s="20">
        <f>IFERROR(YEAR(INPUT!M3891),"")</f>
        <v>1900</v>
      </c>
      <c r="E3896" t="str">
        <f>IF(INPUT!O3891="","",INPUT!O3891)</f>
        <v/>
      </c>
      <c r="F3896" t="str">
        <f>IF(INPUT!N3891="","",INPUT!N3891)</f>
        <v/>
      </c>
      <c r="G3896" cm="1">
        <f t="array" ref="G3896">IFERROR(VLOOKUP(INPUT!M3891&amp;INPUT!N3891,CHOOSE({1,2},INPUT!$A$3:$A$5000&amp;INPUT!$C$3:$C$5000,INPUT!$F$3:$F$5000),2,FALSE),"")</f>
        <v>0</v>
      </c>
      <c r="H3896" cm="1">
        <f t="array" ref="H3896">IFERROR(VLOOKUP(INPUT!M3891&amp;INPUT!N3891,CHOOSE({1,2},INPUT!$A$3:$A$5000&amp;INPUT!$C$3:$C$5000,INPUT!$D$3:$D$5000),2,FALSE),"")</f>
        <v>0</v>
      </c>
      <c r="I3896" s="46" t="str">
        <f>IF(INPUT!P3891="","",INPUT!P3891)</f>
        <v/>
      </c>
      <c r="J3896" s="46" t="str">
        <f>IF(INPUT!Q3891="","",INPUT!Q3891)</f>
        <v/>
      </c>
      <c r="K3896" s="46" t="str">
        <f>IFERROR(IF(OR(INPUT!P3891="",INPUT!Q3891=""),"",INPUT!P3891-INPUT!Q3891),"")</f>
        <v/>
      </c>
      <c r="L3896" s="48" t="str">
        <f>IFERROR(IF(OR(INPUT!P3891="",INPUT!Q3891="",INPUT!P3891=0),"",(INPUT!P3891-INPUT!Q3891)/INPUT!P3891),"")</f>
        <v/>
      </c>
    </row>
    <row r="3897" spans="1:12" ht="18" hidden="1" customHeight="1" x14ac:dyDescent="0.2">
      <c r="A3897" s="11" t="str">
        <f>IF(INPUT!M3892="","",INPUT!M3892)</f>
        <v/>
      </c>
      <c r="B3897" s="11" t="str">
        <f>IF(INPUT!M3892="","",INPUT!M3892-WEEKDAY(INPUT!M3892,2)+1)</f>
        <v/>
      </c>
      <c r="C3897" s="20">
        <f>IFERROR(_xlfn.ISOWEEKNUM(INPUT!M3892),"")</f>
        <v>52</v>
      </c>
      <c r="D3897" s="20">
        <f>IFERROR(YEAR(INPUT!M3892),"")</f>
        <v>1900</v>
      </c>
      <c r="E3897" t="str">
        <f>IF(INPUT!O3892="","",INPUT!O3892)</f>
        <v/>
      </c>
      <c r="F3897" t="str">
        <f>IF(INPUT!N3892="","",INPUT!N3892)</f>
        <v/>
      </c>
      <c r="G3897" cm="1">
        <f t="array" ref="G3897">IFERROR(VLOOKUP(INPUT!M3892&amp;INPUT!N3892,CHOOSE({1,2},INPUT!$A$3:$A$5000&amp;INPUT!$C$3:$C$5000,INPUT!$F$3:$F$5000),2,FALSE),"")</f>
        <v>0</v>
      </c>
      <c r="H3897" cm="1">
        <f t="array" ref="H3897">IFERROR(VLOOKUP(INPUT!M3892&amp;INPUT!N3892,CHOOSE({1,2},INPUT!$A$3:$A$5000&amp;INPUT!$C$3:$C$5000,INPUT!$D$3:$D$5000),2,FALSE),"")</f>
        <v>0</v>
      </c>
      <c r="I3897" s="46" t="str">
        <f>IF(INPUT!P3892="","",INPUT!P3892)</f>
        <v/>
      </c>
      <c r="J3897" s="46" t="str">
        <f>IF(INPUT!Q3892="","",INPUT!Q3892)</f>
        <v/>
      </c>
      <c r="K3897" s="46" t="str">
        <f>IFERROR(IF(OR(INPUT!P3892="",INPUT!Q3892=""),"",INPUT!P3892-INPUT!Q3892),"")</f>
        <v/>
      </c>
      <c r="L3897" s="48" t="str">
        <f>IFERROR(IF(OR(INPUT!P3892="",INPUT!Q3892="",INPUT!P3892=0),"",(INPUT!P3892-INPUT!Q3892)/INPUT!P3892),"")</f>
        <v/>
      </c>
    </row>
    <row r="3898" spans="1:12" ht="18" hidden="1" customHeight="1" x14ac:dyDescent="0.2">
      <c r="A3898" s="11" t="str">
        <f>IF(INPUT!M3893="","",INPUT!M3893)</f>
        <v/>
      </c>
      <c r="B3898" s="11" t="str">
        <f>IF(INPUT!M3893="","",INPUT!M3893-WEEKDAY(INPUT!M3893,2)+1)</f>
        <v/>
      </c>
      <c r="C3898" s="20">
        <f>IFERROR(_xlfn.ISOWEEKNUM(INPUT!M3893),"")</f>
        <v>52</v>
      </c>
      <c r="D3898" s="20">
        <f>IFERROR(YEAR(INPUT!M3893),"")</f>
        <v>1900</v>
      </c>
      <c r="E3898" t="str">
        <f>IF(INPUT!O3893="","",INPUT!O3893)</f>
        <v/>
      </c>
      <c r="F3898" t="str">
        <f>IF(INPUT!N3893="","",INPUT!N3893)</f>
        <v/>
      </c>
      <c r="G3898" cm="1">
        <f t="array" ref="G3898">IFERROR(VLOOKUP(INPUT!M3893&amp;INPUT!N3893,CHOOSE({1,2},INPUT!$A$3:$A$5000&amp;INPUT!$C$3:$C$5000,INPUT!$F$3:$F$5000),2,FALSE),"")</f>
        <v>0</v>
      </c>
      <c r="H3898" cm="1">
        <f t="array" ref="H3898">IFERROR(VLOOKUP(INPUT!M3893&amp;INPUT!N3893,CHOOSE({1,2},INPUT!$A$3:$A$5000&amp;INPUT!$C$3:$C$5000,INPUT!$D$3:$D$5000),2,FALSE),"")</f>
        <v>0</v>
      </c>
      <c r="I3898" s="46" t="str">
        <f>IF(INPUT!P3893="","",INPUT!P3893)</f>
        <v/>
      </c>
      <c r="J3898" s="46" t="str">
        <f>IF(INPUT!Q3893="","",INPUT!Q3893)</f>
        <v/>
      </c>
      <c r="K3898" s="46" t="str">
        <f>IFERROR(IF(OR(INPUT!P3893="",INPUT!Q3893=""),"",INPUT!P3893-INPUT!Q3893),"")</f>
        <v/>
      </c>
      <c r="L3898" s="48" t="str">
        <f>IFERROR(IF(OR(INPUT!P3893="",INPUT!Q3893="",INPUT!P3893=0),"",(INPUT!P3893-INPUT!Q3893)/INPUT!P3893),"")</f>
        <v/>
      </c>
    </row>
    <row r="3899" spans="1:12" ht="18" hidden="1" customHeight="1" x14ac:dyDescent="0.2">
      <c r="A3899" s="11" t="str">
        <f>IF(INPUT!M3894="","",INPUT!M3894)</f>
        <v/>
      </c>
      <c r="B3899" s="11" t="str">
        <f>IF(INPUT!M3894="","",INPUT!M3894-WEEKDAY(INPUT!M3894,2)+1)</f>
        <v/>
      </c>
      <c r="C3899" s="20">
        <f>IFERROR(_xlfn.ISOWEEKNUM(INPUT!M3894),"")</f>
        <v>52</v>
      </c>
      <c r="D3899" s="20">
        <f>IFERROR(YEAR(INPUT!M3894),"")</f>
        <v>1900</v>
      </c>
      <c r="E3899" t="str">
        <f>IF(INPUT!O3894="","",INPUT!O3894)</f>
        <v/>
      </c>
      <c r="F3899" t="str">
        <f>IF(INPUT!N3894="","",INPUT!N3894)</f>
        <v/>
      </c>
      <c r="G3899" cm="1">
        <f t="array" ref="G3899">IFERROR(VLOOKUP(INPUT!M3894&amp;INPUT!N3894,CHOOSE({1,2},INPUT!$A$3:$A$5000&amp;INPUT!$C$3:$C$5000,INPUT!$F$3:$F$5000),2,FALSE),"")</f>
        <v>0</v>
      </c>
      <c r="H3899" cm="1">
        <f t="array" ref="H3899">IFERROR(VLOOKUP(INPUT!M3894&amp;INPUT!N3894,CHOOSE({1,2},INPUT!$A$3:$A$5000&amp;INPUT!$C$3:$C$5000,INPUT!$D$3:$D$5000),2,FALSE),"")</f>
        <v>0</v>
      </c>
      <c r="I3899" s="46" t="str">
        <f>IF(INPUT!P3894="","",INPUT!P3894)</f>
        <v/>
      </c>
      <c r="J3899" s="46" t="str">
        <f>IF(INPUT!Q3894="","",INPUT!Q3894)</f>
        <v/>
      </c>
      <c r="K3899" s="46" t="str">
        <f>IFERROR(IF(OR(INPUT!P3894="",INPUT!Q3894=""),"",INPUT!P3894-INPUT!Q3894),"")</f>
        <v/>
      </c>
      <c r="L3899" s="48" t="str">
        <f>IFERROR(IF(OR(INPUT!P3894="",INPUT!Q3894="",INPUT!P3894=0),"",(INPUT!P3894-INPUT!Q3894)/INPUT!P3894),"")</f>
        <v/>
      </c>
    </row>
    <row r="3900" spans="1:12" ht="18" hidden="1" customHeight="1" x14ac:dyDescent="0.2">
      <c r="A3900" s="11" t="str">
        <f>IF(INPUT!M3895="","",INPUT!M3895)</f>
        <v/>
      </c>
      <c r="B3900" s="11" t="str">
        <f>IF(INPUT!M3895="","",INPUT!M3895-WEEKDAY(INPUT!M3895,2)+1)</f>
        <v/>
      </c>
      <c r="C3900" s="20">
        <f>IFERROR(_xlfn.ISOWEEKNUM(INPUT!M3895),"")</f>
        <v>52</v>
      </c>
      <c r="D3900" s="20">
        <f>IFERROR(YEAR(INPUT!M3895),"")</f>
        <v>1900</v>
      </c>
      <c r="E3900" t="str">
        <f>IF(INPUT!O3895="","",INPUT!O3895)</f>
        <v/>
      </c>
      <c r="F3900" t="str">
        <f>IF(INPUT!N3895="","",INPUT!N3895)</f>
        <v/>
      </c>
      <c r="G3900" cm="1">
        <f t="array" ref="G3900">IFERROR(VLOOKUP(INPUT!M3895&amp;INPUT!N3895,CHOOSE({1,2},INPUT!$A$3:$A$5000&amp;INPUT!$C$3:$C$5000,INPUT!$F$3:$F$5000),2,FALSE),"")</f>
        <v>0</v>
      </c>
      <c r="H3900" cm="1">
        <f t="array" ref="H3900">IFERROR(VLOOKUP(INPUT!M3895&amp;INPUT!N3895,CHOOSE({1,2},INPUT!$A$3:$A$5000&amp;INPUT!$C$3:$C$5000,INPUT!$D$3:$D$5000),2,FALSE),"")</f>
        <v>0</v>
      </c>
      <c r="I3900" s="46" t="str">
        <f>IF(INPUT!P3895="","",INPUT!P3895)</f>
        <v/>
      </c>
      <c r="J3900" s="46" t="str">
        <f>IF(INPUT!Q3895="","",INPUT!Q3895)</f>
        <v/>
      </c>
      <c r="K3900" s="46" t="str">
        <f>IFERROR(IF(OR(INPUT!P3895="",INPUT!Q3895=""),"",INPUT!P3895-INPUT!Q3895),"")</f>
        <v/>
      </c>
      <c r="L3900" s="48" t="str">
        <f>IFERROR(IF(OR(INPUT!P3895="",INPUT!Q3895="",INPUT!P3895=0),"",(INPUT!P3895-INPUT!Q3895)/INPUT!P3895),"")</f>
        <v/>
      </c>
    </row>
    <row r="3901" spans="1:12" ht="18" hidden="1" customHeight="1" x14ac:dyDescent="0.2">
      <c r="A3901" s="11" t="str">
        <f>IF(INPUT!M3896="","",INPUT!M3896)</f>
        <v/>
      </c>
      <c r="B3901" s="11" t="str">
        <f>IF(INPUT!M3896="","",INPUT!M3896-WEEKDAY(INPUT!M3896,2)+1)</f>
        <v/>
      </c>
      <c r="C3901" s="20">
        <f>IFERROR(_xlfn.ISOWEEKNUM(INPUT!M3896),"")</f>
        <v>52</v>
      </c>
      <c r="D3901" s="20">
        <f>IFERROR(YEAR(INPUT!M3896),"")</f>
        <v>1900</v>
      </c>
      <c r="E3901" t="str">
        <f>IF(INPUT!O3896="","",INPUT!O3896)</f>
        <v/>
      </c>
      <c r="F3901" t="str">
        <f>IF(INPUT!N3896="","",INPUT!N3896)</f>
        <v/>
      </c>
      <c r="G3901" cm="1">
        <f t="array" ref="G3901">IFERROR(VLOOKUP(INPUT!M3896&amp;INPUT!N3896,CHOOSE({1,2},INPUT!$A$3:$A$5000&amp;INPUT!$C$3:$C$5000,INPUT!$F$3:$F$5000),2,FALSE),"")</f>
        <v>0</v>
      </c>
      <c r="H3901" cm="1">
        <f t="array" ref="H3901">IFERROR(VLOOKUP(INPUT!M3896&amp;INPUT!N3896,CHOOSE({1,2},INPUT!$A$3:$A$5000&amp;INPUT!$C$3:$C$5000,INPUT!$D$3:$D$5000),2,FALSE),"")</f>
        <v>0</v>
      </c>
      <c r="I3901" s="46" t="str">
        <f>IF(INPUT!P3896="","",INPUT!P3896)</f>
        <v/>
      </c>
      <c r="J3901" s="46" t="str">
        <f>IF(INPUT!Q3896="","",INPUT!Q3896)</f>
        <v/>
      </c>
      <c r="K3901" s="46" t="str">
        <f>IFERROR(IF(OR(INPUT!P3896="",INPUT!Q3896=""),"",INPUT!P3896-INPUT!Q3896),"")</f>
        <v/>
      </c>
      <c r="L3901" s="48" t="str">
        <f>IFERROR(IF(OR(INPUT!P3896="",INPUT!Q3896="",INPUT!P3896=0),"",(INPUT!P3896-INPUT!Q3896)/INPUT!P3896),"")</f>
        <v/>
      </c>
    </row>
    <row r="3902" spans="1:12" ht="18" hidden="1" customHeight="1" x14ac:dyDescent="0.2">
      <c r="A3902" s="11" t="str">
        <f>IF(INPUT!M3897="","",INPUT!M3897)</f>
        <v/>
      </c>
      <c r="B3902" s="11" t="str">
        <f>IF(INPUT!M3897="","",INPUT!M3897-WEEKDAY(INPUT!M3897,2)+1)</f>
        <v/>
      </c>
      <c r="C3902" s="20">
        <f>IFERROR(_xlfn.ISOWEEKNUM(INPUT!M3897),"")</f>
        <v>52</v>
      </c>
      <c r="D3902" s="20">
        <f>IFERROR(YEAR(INPUT!M3897),"")</f>
        <v>1900</v>
      </c>
      <c r="E3902" t="str">
        <f>IF(INPUT!O3897="","",INPUT!O3897)</f>
        <v/>
      </c>
      <c r="F3902" t="str">
        <f>IF(INPUT!N3897="","",INPUT!N3897)</f>
        <v/>
      </c>
      <c r="G3902" cm="1">
        <f t="array" ref="G3902">IFERROR(VLOOKUP(INPUT!M3897&amp;INPUT!N3897,CHOOSE({1,2},INPUT!$A$3:$A$5000&amp;INPUT!$C$3:$C$5000,INPUT!$F$3:$F$5000),2,FALSE),"")</f>
        <v>0</v>
      </c>
      <c r="H3902" cm="1">
        <f t="array" ref="H3902">IFERROR(VLOOKUP(INPUT!M3897&amp;INPUT!N3897,CHOOSE({1,2},INPUT!$A$3:$A$5000&amp;INPUT!$C$3:$C$5000,INPUT!$D$3:$D$5000),2,FALSE),"")</f>
        <v>0</v>
      </c>
      <c r="I3902" s="46" t="str">
        <f>IF(INPUT!P3897="","",INPUT!P3897)</f>
        <v/>
      </c>
      <c r="J3902" s="46" t="str">
        <f>IF(INPUT!Q3897="","",INPUT!Q3897)</f>
        <v/>
      </c>
      <c r="K3902" s="46" t="str">
        <f>IFERROR(IF(OR(INPUT!P3897="",INPUT!Q3897=""),"",INPUT!P3897-INPUT!Q3897),"")</f>
        <v/>
      </c>
      <c r="L3902" s="48" t="str">
        <f>IFERROR(IF(OR(INPUT!P3897="",INPUT!Q3897="",INPUT!P3897=0),"",(INPUT!P3897-INPUT!Q3897)/INPUT!P3897),"")</f>
        <v/>
      </c>
    </row>
    <row r="3903" spans="1:12" ht="18" hidden="1" customHeight="1" x14ac:dyDescent="0.2">
      <c r="A3903" s="11" t="str">
        <f>IF(INPUT!M3898="","",INPUT!M3898)</f>
        <v/>
      </c>
      <c r="B3903" s="11" t="str">
        <f>IF(INPUT!M3898="","",INPUT!M3898-WEEKDAY(INPUT!M3898,2)+1)</f>
        <v/>
      </c>
      <c r="C3903" s="20">
        <f>IFERROR(_xlfn.ISOWEEKNUM(INPUT!M3898),"")</f>
        <v>52</v>
      </c>
      <c r="D3903" s="20">
        <f>IFERROR(YEAR(INPUT!M3898),"")</f>
        <v>1900</v>
      </c>
      <c r="E3903" t="str">
        <f>IF(INPUT!O3898="","",INPUT!O3898)</f>
        <v/>
      </c>
      <c r="F3903" t="str">
        <f>IF(INPUT!N3898="","",INPUT!N3898)</f>
        <v/>
      </c>
      <c r="G3903" cm="1">
        <f t="array" ref="G3903">IFERROR(VLOOKUP(INPUT!M3898&amp;INPUT!N3898,CHOOSE({1,2},INPUT!$A$3:$A$5000&amp;INPUT!$C$3:$C$5000,INPUT!$F$3:$F$5000),2,FALSE),"")</f>
        <v>0</v>
      </c>
      <c r="H3903" cm="1">
        <f t="array" ref="H3903">IFERROR(VLOOKUP(INPUT!M3898&amp;INPUT!N3898,CHOOSE({1,2},INPUT!$A$3:$A$5000&amp;INPUT!$C$3:$C$5000,INPUT!$D$3:$D$5000),2,FALSE),"")</f>
        <v>0</v>
      </c>
      <c r="I3903" s="46" t="str">
        <f>IF(INPUT!P3898="","",INPUT!P3898)</f>
        <v/>
      </c>
      <c r="J3903" s="46" t="str">
        <f>IF(INPUT!Q3898="","",INPUT!Q3898)</f>
        <v/>
      </c>
      <c r="K3903" s="46" t="str">
        <f>IFERROR(IF(OR(INPUT!P3898="",INPUT!Q3898=""),"",INPUT!P3898-INPUT!Q3898),"")</f>
        <v/>
      </c>
      <c r="L3903" s="48" t="str">
        <f>IFERROR(IF(OR(INPUT!P3898="",INPUT!Q3898="",INPUT!P3898=0),"",(INPUT!P3898-INPUT!Q3898)/INPUT!P3898),"")</f>
        <v/>
      </c>
    </row>
    <row r="3904" spans="1:12" ht="18" hidden="1" customHeight="1" x14ac:dyDescent="0.2">
      <c r="A3904" s="11" t="str">
        <f>IF(INPUT!M3899="","",INPUT!M3899)</f>
        <v/>
      </c>
      <c r="B3904" s="11" t="str">
        <f>IF(INPUT!M3899="","",INPUT!M3899-WEEKDAY(INPUT!M3899,2)+1)</f>
        <v/>
      </c>
      <c r="C3904" s="20">
        <f>IFERROR(_xlfn.ISOWEEKNUM(INPUT!M3899),"")</f>
        <v>52</v>
      </c>
      <c r="D3904" s="20">
        <f>IFERROR(YEAR(INPUT!M3899),"")</f>
        <v>1900</v>
      </c>
      <c r="E3904" t="str">
        <f>IF(INPUT!O3899="","",INPUT!O3899)</f>
        <v/>
      </c>
      <c r="F3904" t="str">
        <f>IF(INPUT!N3899="","",INPUT!N3899)</f>
        <v/>
      </c>
      <c r="G3904" cm="1">
        <f t="array" ref="G3904">IFERROR(VLOOKUP(INPUT!M3899&amp;INPUT!N3899,CHOOSE({1,2},INPUT!$A$3:$A$5000&amp;INPUT!$C$3:$C$5000,INPUT!$F$3:$F$5000),2,FALSE),"")</f>
        <v>0</v>
      </c>
      <c r="H3904" cm="1">
        <f t="array" ref="H3904">IFERROR(VLOOKUP(INPUT!M3899&amp;INPUT!N3899,CHOOSE({1,2},INPUT!$A$3:$A$5000&amp;INPUT!$C$3:$C$5000,INPUT!$D$3:$D$5000),2,FALSE),"")</f>
        <v>0</v>
      </c>
      <c r="I3904" s="46" t="str">
        <f>IF(INPUT!P3899="","",INPUT!P3899)</f>
        <v/>
      </c>
      <c r="J3904" s="46" t="str">
        <f>IF(INPUT!Q3899="","",INPUT!Q3899)</f>
        <v/>
      </c>
      <c r="K3904" s="46" t="str">
        <f>IFERROR(IF(OR(INPUT!P3899="",INPUT!Q3899=""),"",INPUT!P3899-INPUT!Q3899),"")</f>
        <v/>
      </c>
      <c r="L3904" s="48" t="str">
        <f>IFERROR(IF(OR(INPUT!P3899="",INPUT!Q3899="",INPUT!P3899=0),"",(INPUT!P3899-INPUT!Q3899)/INPUT!P3899),"")</f>
        <v/>
      </c>
    </row>
    <row r="3905" spans="1:12" ht="18" hidden="1" customHeight="1" x14ac:dyDescent="0.2">
      <c r="A3905" s="11" t="str">
        <f>IF(INPUT!M3900="","",INPUT!M3900)</f>
        <v/>
      </c>
      <c r="B3905" s="11" t="str">
        <f>IF(INPUT!M3900="","",INPUT!M3900-WEEKDAY(INPUT!M3900,2)+1)</f>
        <v/>
      </c>
      <c r="C3905" s="20">
        <f>IFERROR(_xlfn.ISOWEEKNUM(INPUT!M3900),"")</f>
        <v>52</v>
      </c>
      <c r="D3905" s="20">
        <f>IFERROR(YEAR(INPUT!M3900),"")</f>
        <v>1900</v>
      </c>
      <c r="E3905" t="str">
        <f>IF(INPUT!O3900="","",INPUT!O3900)</f>
        <v/>
      </c>
      <c r="F3905" t="str">
        <f>IF(INPUT!N3900="","",INPUT!N3900)</f>
        <v/>
      </c>
      <c r="G3905" cm="1">
        <f t="array" ref="G3905">IFERROR(VLOOKUP(INPUT!M3900&amp;INPUT!N3900,CHOOSE({1,2},INPUT!$A$3:$A$5000&amp;INPUT!$C$3:$C$5000,INPUT!$F$3:$F$5000),2,FALSE),"")</f>
        <v>0</v>
      </c>
      <c r="H3905" cm="1">
        <f t="array" ref="H3905">IFERROR(VLOOKUP(INPUT!M3900&amp;INPUT!N3900,CHOOSE({1,2},INPUT!$A$3:$A$5000&amp;INPUT!$C$3:$C$5000,INPUT!$D$3:$D$5000),2,FALSE),"")</f>
        <v>0</v>
      </c>
      <c r="I3905" s="46" t="str">
        <f>IF(INPUT!P3900="","",INPUT!P3900)</f>
        <v/>
      </c>
      <c r="J3905" s="46" t="str">
        <f>IF(INPUT!Q3900="","",INPUT!Q3900)</f>
        <v/>
      </c>
      <c r="K3905" s="46" t="str">
        <f>IFERROR(IF(OR(INPUT!P3900="",INPUT!Q3900=""),"",INPUT!P3900-INPUT!Q3900),"")</f>
        <v/>
      </c>
      <c r="L3905" s="48" t="str">
        <f>IFERROR(IF(OR(INPUT!P3900="",INPUT!Q3900="",INPUT!P3900=0),"",(INPUT!P3900-INPUT!Q3900)/INPUT!P3900),"")</f>
        <v/>
      </c>
    </row>
    <row r="3906" spans="1:12" ht="18" hidden="1" customHeight="1" x14ac:dyDescent="0.2">
      <c r="A3906" s="11" t="str">
        <f>IF(INPUT!M3901="","",INPUT!M3901)</f>
        <v/>
      </c>
      <c r="B3906" s="11" t="str">
        <f>IF(INPUT!M3901="","",INPUT!M3901-WEEKDAY(INPUT!M3901,2)+1)</f>
        <v/>
      </c>
      <c r="C3906" s="20">
        <f>IFERROR(_xlfn.ISOWEEKNUM(INPUT!M3901),"")</f>
        <v>52</v>
      </c>
      <c r="D3906" s="20">
        <f>IFERROR(YEAR(INPUT!M3901),"")</f>
        <v>1900</v>
      </c>
      <c r="E3906" t="str">
        <f>IF(INPUT!O3901="","",INPUT!O3901)</f>
        <v/>
      </c>
      <c r="F3906" t="str">
        <f>IF(INPUT!N3901="","",INPUT!N3901)</f>
        <v/>
      </c>
      <c r="G3906" cm="1">
        <f t="array" ref="G3906">IFERROR(VLOOKUP(INPUT!M3901&amp;INPUT!N3901,CHOOSE({1,2},INPUT!$A$3:$A$5000&amp;INPUT!$C$3:$C$5000,INPUT!$F$3:$F$5000),2,FALSE),"")</f>
        <v>0</v>
      </c>
      <c r="H3906" cm="1">
        <f t="array" ref="H3906">IFERROR(VLOOKUP(INPUT!M3901&amp;INPUT!N3901,CHOOSE({1,2},INPUT!$A$3:$A$5000&amp;INPUT!$C$3:$C$5000,INPUT!$D$3:$D$5000),2,FALSE),"")</f>
        <v>0</v>
      </c>
      <c r="I3906" s="46" t="str">
        <f>IF(INPUT!P3901="","",INPUT!P3901)</f>
        <v/>
      </c>
      <c r="J3906" s="46" t="str">
        <f>IF(INPUT!Q3901="","",INPUT!Q3901)</f>
        <v/>
      </c>
      <c r="K3906" s="46" t="str">
        <f>IFERROR(IF(OR(INPUT!P3901="",INPUT!Q3901=""),"",INPUT!P3901-INPUT!Q3901),"")</f>
        <v/>
      </c>
      <c r="L3906" s="48" t="str">
        <f>IFERROR(IF(OR(INPUT!P3901="",INPUT!Q3901="",INPUT!P3901=0),"",(INPUT!P3901-INPUT!Q3901)/INPUT!P3901),"")</f>
        <v/>
      </c>
    </row>
    <row r="3907" spans="1:12" ht="18" hidden="1" customHeight="1" x14ac:dyDescent="0.2">
      <c r="A3907" s="11" t="str">
        <f>IF(INPUT!M3902="","",INPUT!M3902)</f>
        <v/>
      </c>
      <c r="B3907" s="11" t="str">
        <f>IF(INPUT!M3902="","",INPUT!M3902-WEEKDAY(INPUT!M3902,2)+1)</f>
        <v/>
      </c>
      <c r="C3907" s="20">
        <f>IFERROR(_xlfn.ISOWEEKNUM(INPUT!M3902),"")</f>
        <v>52</v>
      </c>
      <c r="D3907" s="20">
        <f>IFERROR(YEAR(INPUT!M3902),"")</f>
        <v>1900</v>
      </c>
      <c r="E3907" t="str">
        <f>IF(INPUT!O3902="","",INPUT!O3902)</f>
        <v/>
      </c>
      <c r="F3907" t="str">
        <f>IF(INPUT!N3902="","",INPUT!N3902)</f>
        <v/>
      </c>
      <c r="G3907" cm="1">
        <f t="array" ref="G3907">IFERROR(VLOOKUP(INPUT!M3902&amp;INPUT!N3902,CHOOSE({1,2},INPUT!$A$3:$A$5000&amp;INPUT!$C$3:$C$5000,INPUT!$F$3:$F$5000),2,FALSE),"")</f>
        <v>0</v>
      </c>
      <c r="H3907" cm="1">
        <f t="array" ref="H3907">IFERROR(VLOOKUP(INPUT!M3902&amp;INPUT!N3902,CHOOSE({1,2},INPUT!$A$3:$A$5000&amp;INPUT!$C$3:$C$5000,INPUT!$D$3:$D$5000),2,FALSE),"")</f>
        <v>0</v>
      </c>
      <c r="I3907" s="46" t="str">
        <f>IF(INPUT!P3902="","",INPUT!P3902)</f>
        <v/>
      </c>
      <c r="J3907" s="46" t="str">
        <f>IF(INPUT!Q3902="","",INPUT!Q3902)</f>
        <v/>
      </c>
      <c r="K3907" s="46" t="str">
        <f>IFERROR(IF(OR(INPUT!P3902="",INPUT!Q3902=""),"",INPUT!P3902-INPUT!Q3902),"")</f>
        <v/>
      </c>
      <c r="L3907" s="48" t="str">
        <f>IFERROR(IF(OR(INPUT!P3902="",INPUT!Q3902="",INPUT!P3902=0),"",(INPUT!P3902-INPUT!Q3902)/INPUT!P3902),"")</f>
        <v/>
      </c>
    </row>
    <row r="3908" spans="1:12" ht="18" hidden="1" customHeight="1" x14ac:dyDescent="0.2">
      <c r="A3908" s="11" t="str">
        <f>IF(INPUT!M3903="","",INPUT!M3903)</f>
        <v/>
      </c>
      <c r="B3908" s="11" t="str">
        <f>IF(INPUT!M3903="","",INPUT!M3903-WEEKDAY(INPUT!M3903,2)+1)</f>
        <v/>
      </c>
      <c r="C3908" s="20">
        <f>IFERROR(_xlfn.ISOWEEKNUM(INPUT!M3903),"")</f>
        <v>52</v>
      </c>
      <c r="D3908" s="20">
        <f>IFERROR(YEAR(INPUT!M3903),"")</f>
        <v>1900</v>
      </c>
      <c r="E3908" t="str">
        <f>IF(INPUT!O3903="","",INPUT!O3903)</f>
        <v/>
      </c>
      <c r="F3908" t="str">
        <f>IF(INPUT!N3903="","",INPUT!N3903)</f>
        <v/>
      </c>
      <c r="G3908" cm="1">
        <f t="array" ref="G3908">IFERROR(VLOOKUP(INPUT!M3903&amp;INPUT!N3903,CHOOSE({1,2},INPUT!$A$3:$A$5000&amp;INPUT!$C$3:$C$5000,INPUT!$F$3:$F$5000),2,FALSE),"")</f>
        <v>0</v>
      </c>
      <c r="H3908" cm="1">
        <f t="array" ref="H3908">IFERROR(VLOOKUP(INPUT!M3903&amp;INPUT!N3903,CHOOSE({1,2},INPUT!$A$3:$A$5000&amp;INPUT!$C$3:$C$5000,INPUT!$D$3:$D$5000),2,FALSE),"")</f>
        <v>0</v>
      </c>
      <c r="I3908" s="46" t="str">
        <f>IF(INPUT!P3903="","",INPUT!P3903)</f>
        <v/>
      </c>
      <c r="J3908" s="46" t="str">
        <f>IF(INPUT!Q3903="","",INPUT!Q3903)</f>
        <v/>
      </c>
      <c r="K3908" s="46" t="str">
        <f>IFERROR(IF(OR(INPUT!P3903="",INPUT!Q3903=""),"",INPUT!P3903-INPUT!Q3903),"")</f>
        <v/>
      </c>
      <c r="L3908" s="48" t="str">
        <f>IFERROR(IF(OR(INPUT!P3903="",INPUT!Q3903="",INPUT!P3903=0),"",(INPUT!P3903-INPUT!Q3903)/INPUT!P3903),"")</f>
        <v/>
      </c>
    </row>
    <row r="3909" spans="1:12" ht="18" hidden="1" customHeight="1" x14ac:dyDescent="0.2">
      <c r="A3909" s="11" t="str">
        <f>IF(INPUT!M3904="","",INPUT!M3904)</f>
        <v/>
      </c>
      <c r="B3909" s="11" t="str">
        <f>IF(INPUT!M3904="","",INPUT!M3904-WEEKDAY(INPUT!M3904,2)+1)</f>
        <v/>
      </c>
      <c r="C3909" s="20">
        <f>IFERROR(_xlfn.ISOWEEKNUM(INPUT!M3904),"")</f>
        <v>52</v>
      </c>
      <c r="D3909" s="20">
        <f>IFERROR(YEAR(INPUT!M3904),"")</f>
        <v>1900</v>
      </c>
      <c r="E3909" t="str">
        <f>IF(INPUT!O3904="","",INPUT!O3904)</f>
        <v/>
      </c>
      <c r="F3909" t="str">
        <f>IF(INPUT!N3904="","",INPUT!N3904)</f>
        <v/>
      </c>
      <c r="G3909" cm="1">
        <f t="array" ref="G3909">IFERROR(VLOOKUP(INPUT!M3904&amp;INPUT!N3904,CHOOSE({1,2},INPUT!$A$3:$A$5000&amp;INPUT!$C$3:$C$5000,INPUT!$F$3:$F$5000),2,FALSE),"")</f>
        <v>0</v>
      </c>
      <c r="H3909" cm="1">
        <f t="array" ref="H3909">IFERROR(VLOOKUP(INPUT!M3904&amp;INPUT!N3904,CHOOSE({1,2},INPUT!$A$3:$A$5000&amp;INPUT!$C$3:$C$5000,INPUT!$D$3:$D$5000),2,FALSE),"")</f>
        <v>0</v>
      </c>
      <c r="I3909" s="46" t="str">
        <f>IF(INPUT!P3904="","",INPUT!P3904)</f>
        <v/>
      </c>
      <c r="J3909" s="46" t="str">
        <f>IF(INPUT!Q3904="","",INPUT!Q3904)</f>
        <v/>
      </c>
      <c r="K3909" s="46" t="str">
        <f>IFERROR(IF(OR(INPUT!P3904="",INPUT!Q3904=""),"",INPUT!P3904-INPUT!Q3904),"")</f>
        <v/>
      </c>
      <c r="L3909" s="48" t="str">
        <f>IFERROR(IF(OR(INPUT!P3904="",INPUT!Q3904="",INPUT!P3904=0),"",(INPUT!P3904-INPUT!Q3904)/INPUT!P3904),"")</f>
        <v/>
      </c>
    </row>
    <row r="3910" spans="1:12" ht="18" hidden="1" customHeight="1" x14ac:dyDescent="0.2">
      <c r="A3910" s="11" t="str">
        <f>IF(INPUT!M3905="","",INPUT!M3905)</f>
        <v/>
      </c>
      <c r="B3910" s="11" t="str">
        <f>IF(INPUT!M3905="","",INPUT!M3905-WEEKDAY(INPUT!M3905,2)+1)</f>
        <v/>
      </c>
      <c r="C3910" s="20">
        <f>IFERROR(_xlfn.ISOWEEKNUM(INPUT!M3905),"")</f>
        <v>52</v>
      </c>
      <c r="D3910" s="20">
        <f>IFERROR(YEAR(INPUT!M3905),"")</f>
        <v>1900</v>
      </c>
      <c r="E3910" t="str">
        <f>IF(INPUT!O3905="","",INPUT!O3905)</f>
        <v/>
      </c>
      <c r="F3910" t="str">
        <f>IF(INPUT!N3905="","",INPUT!N3905)</f>
        <v/>
      </c>
      <c r="G3910" cm="1">
        <f t="array" ref="G3910">IFERROR(VLOOKUP(INPUT!M3905&amp;INPUT!N3905,CHOOSE({1,2},INPUT!$A$3:$A$5000&amp;INPUT!$C$3:$C$5000,INPUT!$F$3:$F$5000),2,FALSE),"")</f>
        <v>0</v>
      </c>
      <c r="H3910" cm="1">
        <f t="array" ref="H3910">IFERROR(VLOOKUP(INPUT!M3905&amp;INPUT!N3905,CHOOSE({1,2},INPUT!$A$3:$A$5000&amp;INPUT!$C$3:$C$5000,INPUT!$D$3:$D$5000),2,FALSE),"")</f>
        <v>0</v>
      </c>
      <c r="I3910" s="46" t="str">
        <f>IF(INPUT!P3905="","",INPUT!P3905)</f>
        <v/>
      </c>
      <c r="J3910" s="46" t="str">
        <f>IF(INPUT!Q3905="","",INPUT!Q3905)</f>
        <v/>
      </c>
      <c r="K3910" s="46" t="str">
        <f>IFERROR(IF(OR(INPUT!P3905="",INPUT!Q3905=""),"",INPUT!P3905-INPUT!Q3905),"")</f>
        <v/>
      </c>
      <c r="L3910" s="48" t="str">
        <f>IFERROR(IF(OR(INPUT!P3905="",INPUT!Q3905="",INPUT!P3905=0),"",(INPUT!P3905-INPUT!Q3905)/INPUT!P3905),"")</f>
        <v/>
      </c>
    </row>
    <row r="3911" spans="1:12" ht="18" hidden="1" customHeight="1" x14ac:dyDescent="0.2">
      <c r="A3911" s="11" t="str">
        <f>IF(INPUT!M3906="","",INPUT!M3906)</f>
        <v/>
      </c>
      <c r="B3911" s="11" t="str">
        <f>IF(INPUT!M3906="","",INPUT!M3906-WEEKDAY(INPUT!M3906,2)+1)</f>
        <v/>
      </c>
      <c r="C3911" s="20">
        <f>IFERROR(_xlfn.ISOWEEKNUM(INPUT!M3906),"")</f>
        <v>52</v>
      </c>
      <c r="D3911" s="20">
        <f>IFERROR(YEAR(INPUT!M3906),"")</f>
        <v>1900</v>
      </c>
      <c r="E3911" t="str">
        <f>IF(INPUT!O3906="","",INPUT!O3906)</f>
        <v/>
      </c>
      <c r="F3911" t="str">
        <f>IF(INPUT!N3906="","",INPUT!N3906)</f>
        <v/>
      </c>
      <c r="G3911" cm="1">
        <f t="array" ref="G3911">IFERROR(VLOOKUP(INPUT!M3906&amp;INPUT!N3906,CHOOSE({1,2},INPUT!$A$3:$A$5000&amp;INPUT!$C$3:$C$5000,INPUT!$F$3:$F$5000),2,FALSE),"")</f>
        <v>0</v>
      </c>
      <c r="H3911" cm="1">
        <f t="array" ref="H3911">IFERROR(VLOOKUP(INPUT!M3906&amp;INPUT!N3906,CHOOSE({1,2},INPUT!$A$3:$A$5000&amp;INPUT!$C$3:$C$5000,INPUT!$D$3:$D$5000),2,FALSE),"")</f>
        <v>0</v>
      </c>
      <c r="I3911" s="46" t="str">
        <f>IF(INPUT!P3906="","",INPUT!P3906)</f>
        <v/>
      </c>
      <c r="J3911" s="46" t="str">
        <f>IF(INPUT!Q3906="","",INPUT!Q3906)</f>
        <v/>
      </c>
      <c r="K3911" s="46" t="str">
        <f>IFERROR(IF(OR(INPUT!P3906="",INPUT!Q3906=""),"",INPUT!P3906-INPUT!Q3906),"")</f>
        <v/>
      </c>
      <c r="L3911" s="48" t="str">
        <f>IFERROR(IF(OR(INPUT!P3906="",INPUT!Q3906="",INPUT!P3906=0),"",(INPUT!P3906-INPUT!Q3906)/INPUT!P3906),"")</f>
        <v/>
      </c>
    </row>
    <row r="3912" spans="1:12" ht="18" hidden="1" customHeight="1" x14ac:dyDescent="0.2">
      <c r="A3912" s="11" t="str">
        <f>IF(INPUT!M3907="","",INPUT!M3907)</f>
        <v/>
      </c>
      <c r="B3912" s="11" t="str">
        <f>IF(INPUT!M3907="","",INPUT!M3907-WEEKDAY(INPUT!M3907,2)+1)</f>
        <v/>
      </c>
      <c r="C3912" s="20">
        <f>IFERROR(_xlfn.ISOWEEKNUM(INPUT!M3907),"")</f>
        <v>52</v>
      </c>
      <c r="D3912" s="20">
        <f>IFERROR(YEAR(INPUT!M3907),"")</f>
        <v>1900</v>
      </c>
      <c r="E3912" t="str">
        <f>IF(INPUT!O3907="","",INPUT!O3907)</f>
        <v/>
      </c>
      <c r="F3912" t="str">
        <f>IF(INPUT!N3907="","",INPUT!N3907)</f>
        <v/>
      </c>
      <c r="G3912" cm="1">
        <f t="array" ref="G3912">IFERROR(VLOOKUP(INPUT!M3907&amp;INPUT!N3907,CHOOSE({1,2},INPUT!$A$3:$A$5000&amp;INPUT!$C$3:$C$5000,INPUT!$F$3:$F$5000),2,FALSE),"")</f>
        <v>0</v>
      </c>
      <c r="H3912" cm="1">
        <f t="array" ref="H3912">IFERROR(VLOOKUP(INPUT!M3907&amp;INPUT!N3907,CHOOSE({1,2},INPUT!$A$3:$A$5000&amp;INPUT!$C$3:$C$5000,INPUT!$D$3:$D$5000),2,FALSE),"")</f>
        <v>0</v>
      </c>
      <c r="I3912" s="46" t="str">
        <f>IF(INPUT!P3907="","",INPUT!P3907)</f>
        <v/>
      </c>
      <c r="J3912" s="46" t="str">
        <f>IF(INPUT!Q3907="","",INPUT!Q3907)</f>
        <v/>
      </c>
      <c r="K3912" s="46" t="str">
        <f>IFERROR(IF(OR(INPUT!P3907="",INPUT!Q3907=""),"",INPUT!P3907-INPUT!Q3907),"")</f>
        <v/>
      </c>
      <c r="L3912" s="48" t="str">
        <f>IFERROR(IF(OR(INPUT!P3907="",INPUT!Q3907="",INPUT!P3907=0),"",(INPUT!P3907-INPUT!Q3907)/INPUT!P3907),"")</f>
        <v/>
      </c>
    </row>
    <row r="3913" spans="1:12" ht="18" hidden="1" customHeight="1" x14ac:dyDescent="0.2">
      <c r="A3913" s="11" t="str">
        <f>IF(INPUT!M3908="","",INPUT!M3908)</f>
        <v/>
      </c>
      <c r="B3913" s="11" t="str">
        <f>IF(INPUT!M3908="","",INPUT!M3908-WEEKDAY(INPUT!M3908,2)+1)</f>
        <v/>
      </c>
      <c r="C3913" s="20">
        <f>IFERROR(_xlfn.ISOWEEKNUM(INPUT!M3908),"")</f>
        <v>52</v>
      </c>
      <c r="D3913" s="20">
        <f>IFERROR(YEAR(INPUT!M3908),"")</f>
        <v>1900</v>
      </c>
      <c r="E3913" t="str">
        <f>IF(INPUT!O3908="","",INPUT!O3908)</f>
        <v/>
      </c>
      <c r="F3913" t="str">
        <f>IF(INPUT!N3908="","",INPUT!N3908)</f>
        <v/>
      </c>
      <c r="G3913" cm="1">
        <f t="array" ref="G3913">IFERROR(VLOOKUP(INPUT!M3908&amp;INPUT!N3908,CHOOSE({1,2},INPUT!$A$3:$A$5000&amp;INPUT!$C$3:$C$5000,INPUT!$F$3:$F$5000),2,FALSE),"")</f>
        <v>0</v>
      </c>
      <c r="H3913" cm="1">
        <f t="array" ref="H3913">IFERROR(VLOOKUP(INPUT!M3908&amp;INPUT!N3908,CHOOSE({1,2},INPUT!$A$3:$A$5000&amp;INPUT!$C$3:$C$5000,INPUT!$D$3:$D$5000),2,FALSE),"")</f>
        <v>0</v>
      </c>
      <c r="I3913" s="46" t="str">
        <f>IF(INPUT!P3908="","",INPUT!P3908)</f>
        <v/>
      </c>
      <c r="J3913" s="46" t="str">
        <f>IF(INPUT!Q3908="","",INPUT!Q3908)</f>
        <v/>
      </c>
      <c r="K3913" s="46" t="str">
        <f>IFERROR(IF(OR(INPUT!P3908="",INPUT!Q3908=""),"",INPUT!P3908-INPUT!Q3908),"")</f>
        <v/>
      </c>
      <c r="L3913" s="48" t="str">
        <f>IFERROR(IF(OR(INPUT!P3908="",INPUT!Q3908="",INPUT!P3908=0),"",(INPUT!P3908-INPUT!Q3908)/INPUT!P3908),"")</f>
        <v/>
      </c>
    </row>
    <row r="3914" spans="1:12" ht="18" hidden="1" customHeight="1" x14ac:dyDescent="0.2">
      <c r="A3914" s="11" t="str">
        <f>IF(INPUT!M3909="","",INPUT!M3909)</f>
        <v/>
      </c>
      <c r="B3914" s="11" t="str">
        <f>IF(INPUT!M3909="","",INPUT!M3909-WEEKDAY(INPUT!M3909,2)+1)</f>
        <v/>
      </c>
      <c r="C3914" s="20">
        <f>IFERROR(_xlfn.ISOWEEKNUM(INPUT!M3909),"")</f>
        <v>52</v>
      </c>
      <c r="D3914" s="20">
        <f>IFERROR(YEAR(INPUT!M3909),"")</f>
        <v>1900</v>
      </c>
      <c r="E3914" t="str">
        <f>IF(INPUT!O3909="","",INPUT!O3909)</f>
        <v/>
      </c>
      <c r="F3914" t="str">
        <f>IF(INPUT!N3909="","",INPUT!N3909)</f>
        <v/>
      </c>
      <c r="G3914" cm="1">
        <f t="array" ref="G3914">IFERROR(VLOOKUP(INPUT!M3909&amp;INPUT!N3909,CHOOSE({1,2},INPUT!$A$3:$A$5000&amp;INPUT!$C$3:$C$5000,INPUT!$F$3:$F$5000),2,FALSE),"")</f>
        <v>0</v>
      </c>
      <c r="H3914" cm="1">
        <f t="array" ref="H3914">IFERROR(VLOOKUP(INPUT!M3909&amp;INPUT!N3909,CHOOSE({1,2},INPUT!$A$3:$A$5000&amp;INPUT!$C$3:$C$5000,INPUT!$D$3:$D$5000),2,FALSE),"")</f>
        <v>0</v>
      </c>
      <c r="I3914" s="46" t="str">
        <f>IF(INPUT!P3909="","",INPUT!P3909)</f>
        <v/>
      </c>
      <c r="J3914" s="46" t="str">
        <f>IF(INPUT!Q3909="","",INPUT!Q3909)</f>
        <v/>
      </c>
      <c r="K3914" s="46" t="str">
        <f>IFERROR(IF(OR(INPUT!P3909="",INPUT!Q3909=""),"",INPUT!P3909-INPUT!Q3909),"")</f>
        <v/>
      </c>
      <c r="L3914" s="48" t="str">
        <f>IFERROR(IF(OR(INPUT!P3909="",INPUT!Q3909="",INPUT!P3909=0),"",(INPUT!P3909-INPUT!Q3909)/INPUT!P3909),"")</f>
        <v/>
      </c>
    </row>
    <row r="3915" spans="1:12" ht="18" hidden="1" customHeight="1" x14ac:dyDescent="0.2">
      <c r="A3915" s="11" t="str">
        <f>IF(INPUT!M3910="","",INPUT!M3910)</f>
        <v/>
      </c>
      <c r="B3915" s="11" t="str">
        <f>IF(INPUT!M3910="","",INPUT!M3910-WEEKDAY(INPUT!M3910,2)+1)</f>
        <v/>
      </c>
      <c r="C3915" s="20">
        <f>IFERROR(_xlfn.ISOWEEKNUM(INPUT!M3910),"")</f>
        <v>52</v>
      </c>
      <c r="D3915" s="20">
        <f>IFERROR(YEAR(INPUT!M3910),"")</f>
        <v>1900</v>
      </c>
      <c r="E3915" t="str">
        <f>IF(INPUT!O3910="","",INPUT!O3910)</f>
        <v/>
      </c>
      <c r="F3915" t="str">
        <f>IF(INPUT!N3910="","",INPUT!N3910)</f>
        <v/>
      </c>
      <c r="G3915" cm="1">
        <f t="array" ref="G3915">IFERROR(VLOOKUP(INPUT!M3910&amp;INPUT!N3910,CHOOSE({1,2},INPUT!$A$3:$A$5000&amp;INPUT!$C$3:$C$5000,INPUT!$F$3:$F$5000),2,FALSE),"")</f>
        <v>0</v>
      </c>
      <c r="H3915" cm="1">
        <f t="array" ref="H3915">IFERROR(VLOOKUP(INPUT!M3910&amp;INPUT!N3910,CHOOSE({1,2},INPUT!$A$3:$A$5000&amp;INPUT!$C$3:$C$5000,INPUT!$D$3:$D$5000),2,FALSE),"")</f>
        <v>0</v>
      </c>
      <c r="I3915" s="46" t="str">
        <f>IF(INPUT!P3910="","",INPUT!P3910)</f>
        <v/>
      </c>
      <c r="J3915" s="46" t="str">
        <f>IF(INPUT!Q3910="","",INPUT!Q3910)</f>
        <v/>
      </c>
      <c r="K3915" s="46" t="str">
        <f>IFERROR(IF(OR(INPUT!P3910="",INPUT!Q3910=""),"",INPUT!P3910-INPUT!Q3910),"")</f>
        <v/>
      </c>
      <c r="L3915" s="48" t="str">
        <f>IFERROR(IF(OR(INPUT!P3910="",INPUT!Q3910="",INPUT!P3910=0),"",(INPUT!P3910-INPUT!Q3910)/INPUT!P3910),"")</f>
        <v/>
      </c>
    </row>
    <row r="3916" spans="1:12" ht="18" hidden="1" customHeight="1" x14ac:dyDescent="0.2">
      <c r="A3916" s="11" t="str">
        <f>IF(INPUT!M3911="","",INPUT!M3911)</f>
        <v/>
      </c>
      <c r="B3916" s="11" t="str">
        <f>IF(INPUT!M3911="","",INPUT!M3911-WEEKDAY(INPUT!M3911,2)+1)</f>
        <v/>
      </c>
      <c r="C3916" s="20">
        <f>IFERROR(_xlfn.ISOWEEKNUM(INPUT!M3911),"")</f>
        <v>52</v>
      </c>
      <c r="D3916" s="20">
        <f>IFERROR(YEAR(INPUT!M3911),"")</f>
        <v>1900</v>
      </c>
      <c r="E3916" t="str">
        <f>IF(INPUT!O3911="","",INPUT!O3911)</f>
        <v/>
      </c>
      <c r="F3916" t="str">
        <f>IF(INPUT!N3911="","",INPUT!N3911)</f>
        <v/>
      </c>
      <c r="G3916" cm="1">
        <f t="array" ref="G3916">IFERROR(VLOOKUP(INPUT!M3911&amp;INPUT!N3911,CHOOSE({1,2},INPUT!$A$3:$A$5000&amp;INPUT!$C$3:$C$5000,INPUT!$F$3:$F$5000),2,FALSE),"")</f>
        <v>0</v>
      </c>
      <c r="H3916" cm="1">
        <f t="array" ref="H3916">IFERROR(VLOOKUP(INPUT!M3911&amp;INPUT!N3911,CHOOSE({1,2},INPUT!$A$3:$A$5000&amp;INPUT!$C$3:$C$5000,INPUT!$D$3:$D$5000),2,FALSE),"")</f>
        <v>0</v>
      </c>
      <c r="I3916" s="46" t="str">
        <f>IF(INPUT!P3911="","",INPUT!P3911)</f>
        <v/>
      </c>
      <c r="J3916" s="46" t="str">
        <f>IF(INPUT!Q3911="","",INPUT!Q3911)</f>
        <v/>
      </c>
      <c r="K3916" s="46" t="str">
        <f>IFERROR(IF(OR(INPUT!P3911="",INPUT!Q3911=""),"",INPUT!P3911-INPUT!Q3911),"")</f>
        <v/>
      </c>
      <c r="L3916" s="48" t="str">
        <f>IFERROR(IF(OR(INPUT!P3911="",INPUT!Q3911="",INPUT!P3911=0),"",(INPUT!P3911-INPUT!Q3911)/INPUT!P3911),"")</f>
        <v/>
      </c>
    </row>
    <row r="3917" spans="1:12" ht="18" hidden="1" customHeight="1" x14ac:dyDescent="0.2">
      <c r="A3917" s="11" t="str">
        <f>IF(INPUT!M3912="","",INPUT!M3912)</f>
        <v/>
      </c>
      <c r="B3917" s="11" t="str">
        <f>IF(INPUT!M3912="","",INPUT!M3912-WEEKDAY(INPUT!M3912,2)+1)</f>
        <v/>
      </c>
      <c r="C3917" s="20">
        <f>IFERROR(_xlfn.ISOWEEKNUM(INPUT!M3912),"")</f>
        <v>52</v>
      </c>
      <c r="D3917" s="20">
        <f>IFERROR(YEAR(INPUT!M3912),"")</f>
        <v>1900</v>
      </c>
      <c r="E3917" t="str">
        <f>IF(INPUT!O3912="","",INPUT!O3912)</f>
        <v/>
      </c>
      <c r="F3917" t="str">
        <f>IF(INPUT!N3912="","",INPUT!N3912)</f>
        <v/>
      </c>
      <c r="G3917" cm="1">
        <f t="array" ref="G3917">IFERROR(VLOOKUP(INPUT!M3912&amp;INPUT!N3912,CHOOSE({1,2},INPUT!$A$3:$A$5000&amp;INPUT!$C$3:$C$5000,INPUT!$F$3:$F$5000),2,FALSE),"")</f>
        <v>0</v>
      </c>
      <c r="H3917" cm="1">
        <f t="array" ref="H3917">IFERROR(VLOOKUP(INPUT!M3912&amp;INPUT!N3912,CHOOSE({1,2},INPUT!$A$3:$A$5000&amp;INPUT!$C$3:$C$5000,INPUT!$D$3:$D$5000),2,FALSE),"")</f>
        <v>0</v>
      </c>
      <c r="I3917" s="46" t="str">
        <f>IF(INPUT!P3912="","",INPUT!P3912)</f>
        <v/>
      </c>
      <c r="J3917" s="46" t="str">
        <f>IF(INPUT!Q3912="","",INPUT!Q3912)</f>
        <v/>
      </c>
      <c r="K3917" s="46" t="str">
        <f>IFERROR(IF(OR(INPUT!P3912="",INPUT!Q3912=""),"",INPUT!P3912-INPUT!Q3912),"")</f>
        <v/>
      </c>
      <c r="L3917" s="48" t="str">
        <f>IFERROR(IF(OR(INPUT!P3912="",INPUT!Q3912="",INPUT!P3912=0),"",(INPUT!P3912-INPUT!Q3912)/INPUT!P3912),"")</f>
        <v/>
      </c>
    </row>
    <row r="3918" spans="1:12" ht="18" hidden="1" customHeight="1" x14ac:dyDescent="0.2">
      <c r="A3918" s="11" t="str">
        <f>IF(INPUT!M3913="","",INPUT!M3913)</f>
        <v/>
      </c>
      <c r="B3918" s="11" t="str">
        <f>IF(INPUT!M3913="","",INPUT!M3913-WEEKDAY(INPUT!M3913,2)+1)</f>
        <v/>
      </c>
      <c r="C3918" s="20">
        <f>IFERROR(_xlfn.ISOWEEKNUM(INPUT!M3913),"")</f>
        <v>52</v>
      </c>
      <c r="D3918" s="20">
        <f>IFERROR(YEAR(INPUT!M3913),"")</f>
        <v>1900</v>
      </c>
      <c r="E3918" t="str">
        <f>IF(INPUT!O3913="","",INPUT!O3913)</f>
        <v/>
      </c>
      <c r="F3918" t="str">
        <f>IF(INPUT!N3913="","",INPUT!N3913)</f>
        <v/>
      </c>
      <c r="G3918" cm="1">
        <f t="array" ref="G3918">IFERROR(VLOOKUP(INPUT!M3913&amp;INPUT!N3913,CHOOSE({1,2},INPUT!$A$3:$A$5000&amp;INPUT!$C$3:$C$5000,INPUT!$F$3:$F$5000),2,FALSE),"")</f>
        <v>0</v>
      </c>
      <c r="H3918" cm="1">
        <f t="array" ref="H3918">IFERROR(VLOOKUP(INPUT!M3913&amp;INPUT!N3913,CHOOSE({1,2},INPUT!$A$3:$A$5000&amp;INPUT!$C$3:$C$5000,INPUT!$D$3:$D$5000),2,FALSE),"")</f>
        <v>0</v>
      </c>
      <c r="I3918" s="46" t="str">
        <f>IF(INPUT!P3913="","",INPUT!P3913)</f>
        <v/>
      </c>
      <c r="J3918" s="46" t="str">
        <f>IF(INPUT!Q3913="","",INPUT!Q3913)</f>
        <v/>
      </c>
      <c r="K3918" s="46" t="str">
        <f>IFERROR(IF(OR(INPUT!P3913="",INPUT!Q3913=""),"",INPUT!P3913-INPUT!Q3913),"")</f>
        <v/>
      </c>
      <c r="L3918" s="48" t="str">
        <f>IFERROR(IF(OR(INPUT!P3913="",INPUT!Q3913="",INPUT!P3913=0),"",(INPUT!P3913-INPUT!Q3913)/INPUT!P3913),"")</f>
        <v/>
      </c>
    </row>
    <row r="3919" spans="1:12" ht="18" hidden="1" customHeight="1" x14ac:dyDescent="0.2">
      <c r="A3919" s="11" t="str">
        <f>IF(INPUT!M3914="","",INPUT!M3914)</f>
        <v/>
      </c>
      <c r="B3919" s="11" t="str">
        <f>IF(INPUT!M3914="","",INPUT!M3914-WEEKDAY(INPUT!M3914,2)+1)</f>
        <v/>
      </c>
      <c r="C3919" s="20">
        <f>IFERROR(_xlfn.ISOWEEKNUM(INPUT!M3914),"")</f>
        <v>52</v>
      </c>
      <c r="D3919" s="20">
        <f>IFERROR(YEAR(INPUT!M3914),"")</f>
        <v>1900</v>
      </c>
      <c r="E3919" t="str">
        <f>IF(INPUT!O3914="","",INPUT!O3914)</f>
        <v/>
      </c>
      <c r="F3919" t="str">
        <f>IF(INPUT!N3914="","",INPUT!N3914)</f>
        <v/>
      </c>
      <c r="G3919" cm="1">
        <f t="array" ref="G3919">IFERROR(VLOOKUP(INPUT!M3914&amp;INPUT!N3914,CHOOSE({1,2},INPUT!$A$3:$A$5000&amp;INPUT!$C$3:$C$5000,INPUT!$F$3:$F$5000),2,FALSE),"")</f>
        <v>0</v>
      </c>
      <c r="H3919" cm="1">
        <f t="array" ref="H3919">IFERROR(VLOOKUP(INPUT!M3914&amp;INPUT!N3914,CHOOSE({1,2},INPUT!$A$3:$A$5000&amp;INPUT!$C$3:$C$5000,INPUT!$D$3:$D$5000),2,FALSE),"")</f>
        <v>0</v>
      </c>
      <c r="I3919" s="46" t="str">
        <f>IF(INPUT!P3914="","",INPUT!P3914)</f>
        <v/>
      </c>
      <c r="J3919" s="46" t="str">
        <f>IF(INPUT!Q3914="","",INPUT!Q3914)</f>
        <v/>
      </c>
      <c r="K3919" s="46" t="str">
        <f>IFERROR(IF(OR(INPUT!P3914="",INPUT!Q3914=""),"",INPUT!P3914-INPUT!Q3914),"")</f>
        <v/>
      </c>
      <c r="L3919" s="48" t="str">
        <f>IFERROR(IF(OR(INPUT!P3914="",INPUT!Q3914="",INPUT!P3914=0),"",(INPUT!P3914-INPUT!Q3914)/INPUT!P3914),"")</f>
        <v/>
      </c>
    </row>
    <row r="3920" spans="1:12" ht="18" hidden="1" customHeight="1" x14ac:dyDescent="0.2">
      <c r="A3920" s="11" t="str">
        <f>IF(INPUT!M3915="","",INPUT!M3915)</f>
        <v/>
      </c>
      <c r="B3920" s="11" t="str">
        <f>IF(INPUT!M3915="","",INPUT!M3915-WEEKDAY(INPUT!M3915,2)+1)</f>
        <v/>
      </c>
      <c r="C3920" s="20">
        <f>IFERROR(_xlfn.ISOWEEKNUM(INPUT!M3915),"")</f>
        <v>52</v>
      </c>
      <c r="D3920" s="20">
        <f>IFERROR(YEAR(INPUT!M3915),"")</f>
        <v>1900</v>
      </c>
      <c r="E3920" t="str">
        <f>IF(INPUT!O3915="","",INPUT!O3915)</f>
        <v/>
      </c>
      <c r="F3920" t="str">
        <f>IF(INPUT!N3915="","",INPUT!N3915)</f>
        <v/>
      </c>
      <c r="G3920" cm="1">
        <f t="array" ref="G3920">IFERROR(VLOOKUP(INPUT!M3915&amp;INPUT!N3915,CHOOSE({1,2},INPUT!$A$3:$A$5000&amp;INPUT!$C$3:$C$5000,INPUT!$F$3:$F$5000),2,FALSE),"")</f>
        <v>0</v>
      </c>
      <c r="H3920" cm="1">
        <f t="array" ref="H3920">IFERROR(VLOOKUP(INPUT!M3915&amp;INPUT!N3915,CHOOSE({1,2},INPUT!$A$3:$A$5000&amp;INPUT!$C$3:$C$5000,INPUT!$D$3:$D$5000),2,FALSE),"")</f>
        <v>0</v>
      </c>
      <c r="I3920" s="46" t="str">
        <f>IF(INPUT!P3915="","",INPUT!P3915)</f>
        <v/>
      </c>
      <c r="J3920" s="46" t="str">
        <f>IF(INPUT!Q3915="","",INPUT!Q3915)</f>
        <v/>
      </c>
      <c r="K3920" s="46" t="str">
        <f>IFERROR(IF(OR(INPUT!P3915="",INPUT!Q3915=""),"",INPUT!P3915-INPUT!Q3915),"")</f>
        <v/>
      </c>
      <c r="L3920" s="48" t="str">
        <f>IFERROR(IF(OR(INPUT!P3915="",INPUT!Q3915="",INPUT!P3915=0),"",(INPUT!P3915-INPUT!Q3915)/INPUT!P3915),"")</f>
        <v/>
      </c>
    </row>
    <row r="3921" spans="1:12" ht="18" hidden="1" customHeight="1" x14ac:dyDescent="0.2">
      <c r="A3921" s="11" t="str">
        <f>IF(INPUT!M3916="","",INPUT!M3916)</f>
        <v/>
      </c>
      <c r="B3921" s="11" t="str">
        <f>IF(INPUT!M3916="","",INPUT!M3916-WEEKDAY(INPUT!M3916,2)+1)</f>
        <v/>
      </c>
      <c r="C3921" s="20">
        <f>IFERROR(_xlfn.ISOWEEKNUM(INPUT!M3916),"")</f>
        <v>52</v>
      </c>
      <c r="D3921" s="20">
        <f>IFERROR(YEAR(INPUT!M3916),"")</f>
        <v>1900</v>
      </c>
      <c r="E3921" t="str">
        <f>IF(INPUT!O3916="","",INPUT!O3916)</f>
        <v/>
      </c>
      <c r="F3921" t="str">
        <f>IF(INPUT!N3916="","",INPUT!N3916)</f>
        <v/>
      </c>
      <c r="G3921" cm="1">
        <f t="array" ref="G3921">IFERROR(VLOOKUP(INPUT!M3916&amp;INPUT!N3916,CHOOSE({1,2},INPUT!$A$3:$A$5000&amp;INPUT!$C$3:$C$5000,INPUT!$F$3:$F$5000),2,FALSE),"")</f>
        <v>0</v>
      </c>
      <c r="H3921" cm="1">
        <f t="array" ref="H3921">IFERROR(VLOOKUP(INPUT!M3916&amp;INPUT!N3916,CHOOSE({1,2},INPUT!$A$3:$A$5000&amp;INPUT!$C$3:$C$5000,INPUT!$D$3:$D$5000),2,FALSE),"")</f>
        <v>0</v>
      </c>
      <c r="I3921" s="46" t="str">
        <f>IF(INPUT!P3916="","",INPUT!P3916)</f>
        <v/>
      </c>
      <c r="J3921" s="46" t="str">
        <f>IF(INPUT!Q3916="","",INPUT!Q3916)</f>
        <v/>
      </c>
      <c r="K3921" s="46" t="str">
        <f>IFERROR(IF(OR(INPUT!P3916="",INPUT!Q3916=""),"",INPUT!P3916-INPUT!Q3916),"")</f>
        <v/>
      </c>
      <c r="L3921" s="48" t="str">
        <f>IFERROR(IF(OR(INPUT!P3916="",INPUT!Q3916="",INPUT!P3916=0),"",(INPUT!P3916-INPUT!Q3916)/INPUT!P3916),"")</f>
        <v/>
      </c>
    </row>
    <row r="3922" spans="1:12" ht="18" hidden="1" customHeight="1" x14ac:dyDescent="0.2">
      <c r="A3922" s="11" t="str">
        <f>IF(INPUT!M3917="","",INPUT!M3917)</f>
        <v/>
      </c>
      <c r="B3922" s="11" t="str">
        <f>IF(INPUT!M3917="","",INPUT!M3917-WEEKDAY(INPUT!M3917,2)+1)</f>
        <v/>
      </c>
      <c r="C3922" s="20">
        <f>IFERROR(_xlfn.ISOWEEKNUM(INPUT!M3917),"")</f>
        <v>52</v>
      </c>
      <c r="D3922" s="20">
        <f>IFERROR(YEAR(INPUT!M3917),"")</f>
        <v>1900</v>
      </c>
      <c r="E3922" t="str">
        <f>IF(INPUT!O3917="","",INPUT!O3917)</f>
        <v/>
      </c>
      <c r="F3922" t="str">
        <f>IF(INPUT!N3917="","",INPUT!N3917)</f>
        <v/>
      </c>
      <c r="G3922" cm="1">
        <f t="array" ref="G3922">IFERROR(VLOOKUP(INPUT!M3917&amp;INPUT!N3917,CHOOSE({1,2},INPUT!$A$3:$A$5000&amp;INPUT!$C$3:$C$5000,INPUT!$F$3:$F$5000),2,FALSE),"")</f>
        <v>0</v>
      </c>
      <c r="H3922" cm="1">
        <f t="array" ref="H3922">IFERROR(VLOOKUP(INPUT!M3917&amp;INPUT!N3917,CHOOSE({1,2},INPUT!$A$3:$A$5000&amp;INPUT!$C$3:$C$5000,INPUT!$D$3:$D$5000),2,FALSE),"")</f>
        <v>0</v>
      </c>
      <c r="I3922" s="46" t="str">
        <f>IF(INPUT!P3917="","",INPUT!P3917)</f>
        <v/>
      </c>
      <c r="J3922" s="46" t="str">
        <f>IF(INPUT!Q3917="","",INPUT!Q3917)</f>
        <v/>
      </c>
      <c r="K3922" s="46" t="str">
        <f>IFERROR(IF(OR(INPUT!P3917="",INPUT!Q3917=""),"",INPUT!P3917-INPUT!Q3917),"")</f>
        <v/>
      </c>
      <c r="L3922" s="48" t="str">
        <f>IFERROR(IF(OR(INPUT!P3917="",INPUT!Q3917="",INPUT!P3917=0),"",(INPUT!P3917-INPUT!Q3917)/INPUT!P3917),"")</f>
        <v/>
      </c>
    </row>
    <row r="3923" spans="1:12" ht="18" hidden="1" customHeight="1" x14ac:dyDescent="0.2">
      <c r="A3923" s="11" t="str">
        <f>IF(INPUT!M3918="","",INPUT!M3918)</f>
        <v/>
      </c>
      <c r="B3923" s="11" t="str">
        <f>IF(INPUT!M3918="","",INPUT!M3918-WEEKDAY(INPUT!M3918,2)+1)</f>
        <v/>
      </c>
      <c r="C3923" s="20">
        <f>IFERROR(_xlfn.ISOWEEKNUM(INPUT!M3918),"")</f>
        <v>52</v>
      </c>
      <c r="D3923" s="20">
        <f>IFERROR(YEAR(INPUT!M3918),"")</f>
        <v>1900</v>
      </c>
      <c r="E3923" t="str">
        <f>IF(INPUT!O3918="","",INPUT!O3918)</f>
        <v/>
      </c>
      <c r="F3923" t="str">
        <f>IF(INPUT!N3918="","",INPUT!N3918)</f>
        <v/>
      </c>
      <c r="G3923" cm="1">
        <f t="array" ref="G3923">IFERROR(VLOOKUP(INPUT!M3918&amp;INPUT!N3918,CHOOSE({1,2},INPUT!$A$3:$A$5000&amp;INPUT!$C$3:$C$5000,INPUT!$F$3:$F$5000),2,FALSE),"")</f>
        <v>0</v>
      </c>
      <c r="H3923" cm="1">
        <f t="array" ref="H3923">IFERROR(VLOOKUP(INPUT!M3918&amp;INPUT!N3918,CHOOSE({1,2},INPUT!$A$3:$A$5000&amp;INPUT!$C$3:$C$5000,INPUT!$D$3:$D$5000),2,FALSE),"")</f>
        <v>0</v>
      </c>
      <c r="I3923" s="46" t="str">
        <f>IF(INPUT!P3918="","",INPUT!P3918)</f>
        <v/>
      </c>
      <c r="J3923" s="46" t="str">
        <f>IF(INPUT!Q3918="","",INPUT!Q3918)</f>
        <v/>
      </c>
      <c r="K3923" s="46" t="str">
        <f>IFERROR(IF(OR(INPUT!P3918="",INPUT!Q3918=""),"",INPUT!P3918-INPUT!Q3918),"")</f>
        <v/>
      </c>
      <c r="L3923" s="48" t="str">
        <f>IFERROR(IF(OR(INPUT!P3918="",INPUT!Q3918="",INPUT!P3918=0),"",(INPUT!P3918-INPUT!Q3918)/INPUT!P3918),"")</f>
        <v/>
      </c>
    </row>
    <row r="3924" spans="1:12" ht="18" hidden="1" customHeight="1" x14ac:dyDescent="0.2">
      <c r="A3924" s="11" t="str">
        <f>IF(INPUT!M3919="","",INPUT!M3919)</f>
        <v/>
      </c>
      <c r="B3924" s="11" t="str">
        <f>IF(INPUT!M3919="","",INPUT!M3919-WEEKDAY(INPUT!M3919,2)+1)</f>
        <v/>
      </c>
      <c r="C3924" s="20">
        <f>IFERROR(_xlfn.ISOWEEKNUM(INPUT!M3919),"")</f>
        <v>52</v>
      </c>
      <c r="D3924" s="20">
        <f>IFERROR(YEAR(INPUT!M3919),"")</f>
        <v>1900</v>
      </c>
      <c r="E3924" t="str">
        <f>IF(INPUT!O3919="","",INPUT!O3919)</f>
        <v/>
      </c>
      <c r="F3924" t="str">
        <f>IF(INPUT!N3919="","",INPUT!N3919)</f>
        <v/>
      </c>
      <c r="G3924" cm="1">
        <f t="array" ref="G3924">IFERROR(VLOOKUP(INPUT!M3919&amp;INPUT!N3919,CHOOSE({1,2},INPUT!$A$3:$A$5000&amp;INPUT!$C$3:$C$5000,INPUT!$F$3:$F$5000),2,FALSE),"")</f>
        <v>0</v>
      </c>
      <c r="H3924" cm="1">
        <f t="array" ref="H3924">IFERROR(VLOOKUP(INPUT!M3919&amp;INPUT!N3919,CHOOSE({1,2},INPUT!$A$3:$A$5000&amp;INPUT!$C$3:$C$5000,INPUT!$D$3:$D$5000),2,FALSE),"")</f>
        <v>0</v>
      </c>
      <c r="I3924" s="46" t="str">
        <f>IF(INPUT!P3919="","",INPUT!P3919)</f>
        <v/>
      </c>
      <c r="J3924" s="46" t="str">
        <f>IF(INPUT!Q3919="","",INPUT!Q3919)</f>
        <v/>
      </c>
      <c r="K3924" s="46" t="str">
        <f>IFERROR(IF(OR(INPUT!P3919="",INPUT!Q3919=""),"",INPUT!P3919-INPUT!Q3919),"")</f>
        <v/>
      </c>
      <c r="L3924" s="48" t="str">
        <f>IFERROR(IF(OR(INPUT!P3919="",INPUT!Q3919="",INPUT!P3919=0),"",(INPUT!P3919-INPUT!Q3919)/INPUT!P3919),"")</f>
        <v/>
      </c>
    </row>
    <row r="3925" spans="1:12" ht="18" hidden="1" customHeight="1" x14ac:dyDescent="0.2">
      <c r="A3925" s="11" t="str">
        <f>IF(INPUT!M3920="","",INPUT!M3920)</f>
        <v/>
      </c>
      <c r="B3925" s="11" t="str">
        <f>IF(INPUT!M3920="","",INPUT!M3920-WEEKDAY(INPUT!M3920,2)+1)</f>
        <v/>
      </c>
      <c r="C3925" s="20">
        <f>IFERROR(_xlfn.ISOWEEKNUM(INPUT!M3920),"")</f>
        <v>52</v>
      </c>
      <c r="D3925" s="20">
        <f>IFERROR(YEAR(INPUT!M3920),"")</f>
        <v>1900</v>
      </c>
      <c r="E3925" t="str">
        <f>IF(INPUT!O3920="","",INPUT!O3920)</f>
        <v/>
      </c>
      <c r="F3925" t="str">
        <f>IF(INPUT!N3920="","",INPUT!N3920)</f>
        <v/>
      </c>
      <c r="G3925" cm="1">
        <f t="array" ref="G3925">IFERROR(VLOOKUP(INPUT!M3920&amp;INPUT!N3920,CHOOSE({1,2},INPUT!$A$3:$A$5000&amp;INPUT!$C$3:$C$5000,INPUT!$F$3:$F$5000),2,FALSE),"")</f>
        <v>0</v>
      </c>
      <c r="H3925" cm="1">
        <f t="array" ref="H3925">IFERROR(VLOOKUP(INPUT!M3920&amp;INPUT!N3920,CHOOSE({1,2},INPUT!$A$3:$A$5000&amp;INPUT!$C$3:$C$5000,INPUT!$D$3:$D$5000),2,FALSE),"")</f>
        <v>0</v>
      </c>
      <c r="I3925" s="46" t="str">
        <f>IF(INPUT!P3920="","",INPUT!P3920)</f>
        <v/>
      </c>
      <c r="J3925" s="46" t="str">
        <f>IF(INPUT!Q3920="","",INPUT!Q3920)</f>
        <v/>
      </c>
      <c r="K3925" s="46" t="str">
        <f>IFERROR(IF(OR(INPUT!P3920="",INPUT!Q3920=""),"",INPUT!P3920-INPUT!Q3920),"")</f>
        <v/>
      </c>
      <c r="L3925" s="48" t="str">
        <f>IFERROR(IF(OR(INPUT!P3920="",INPUT!Q3920="",INPUT!P3920=0),"",(INPUT!P3920-INPUT!Q3920)/INPUT!P3920),"")</f>
        <v/>
      </c>
    </row>
    <row r="3926" spans="1:12" ht="18" hidden="1" customHeight="1" x14ac:dyDescent="0.2">
      <c r="A3926" s="11" t="str">
        <f>IF(INPUT!M3921="","",INPUT!M3921)</f>
        <v/>
      </c>
      <c r="B3926" s="11" t="str">
        <f>IF(INPUT!M3921="","",INPUT!M3921-WEEKDAY(INPUT!M3921,2)+1)</f>
        <v/>
      </c>
      <c r="C3926" s="20">
        <f>IFERROR(_xlfn.ISOWEEKNUM(INPUT!M3921),"")</f>
        <v>52</v>
      </c>
      <c r="D3926" s="20">
        <f>IFERROR(YEAR(INPUT!M3921),"")</f>
        <v>1900</v>
      </c>
      <c r="E3926" t="str">
        <f>IF(INPUT!O3921="","",INPUT!O3921)</f>
        <v/>
      </c>
      <c r="F3926" t="str">
        <f>IF(INPUT!N3921="","",INPUT!N3921)</f>
        <v/>
      </c>
      <c r="G3926" cm="1">
        <f t="array" ref="G3926">IFERROR(VLOOKUP(INPUT!M3921&amp;INPUT!N3921,CHOOSE({1,2},INPUT!$A$3:$A$5000&amp;INPUT!$C$3:$C$5000,INPUT!$F$3:$F$5000),2,FALSE),"")</f>
        <v>0</v>
      </c>
      <c r="H3926" cm="1">
        <f t="array" ref="H3926">IFERROR(VLOOKUP(INPUT!M3921&amp;INPUT!N3921,CHOOSE({1,2},INPUT!$A$3:$A$5000&amp;INPUT!$C$3:$C$5000,INPUT!$D$3:$D$5000),2,FALSE),"")</f>
        <v>0</v>
      </c>
      <c r="I3926" s="46" t="str">
        <f>IF(INPUT!P3921="","",INPUT!P3921)</f>
        <v/>
      </c>
      <c r="J3926" s="46" t="str">
        <f>IF(INPUT!Q3921="","",INPUT!Q3921)</f>
        <v/>
      </c>
      <c r="K3926" s="46" t="str">
        <f>IFERROR(IF(OR(INPUT!P3921="",INPUT!Q3921=""),"",INPUT!P3921-INPUT!Q3921),"")</f>
        <v/>
      </c>
      <c r="L3926" s="48" t="str">
        <f>IFERROR(IF(OR(INPUT!P3921="",INPUT!Q3921="",INPUT!P3921=0),"",(INPUT!P3921-INPUT!Q3921)/INPUT!P3921),"")</f>
        <v/>
      </c>
    </row>
    <row r="3927" spans="1:12" ht="18" hidden="1" customHeight="1" x14ac:dyDescent="0.2">
      <c r="A3927" s="11" t="str">
        <f>IF(INPUT!M3922="","",INPUT!M3922)</f>
        <v/>
      </c>
      <c r="B3927" s="11" t="str">
        <f>IF(INPUT!M3922="","",INPUT!M3922-WEEKDAY(INPUT!M3922,2)+1)</f>
        <v/>
      </c>
      <c r="C3927" s="20">
        <f>IFERROR(_xlfn.ISOWEEKNUM(INPUT!M3922),"")</f>
        <v>52</v>
      </c>
      <c r="D3927" s="20">
        <f>IFERROR(YEAR(INPUT!M3922),"")</f>
        <v>1900</v>
      </c>
      <c r="E3927" t="str">
        <f>IF(INPUT!O3922="","",INPUT!O3922)</f>
        <v/>
      </c>
      <c r="F3927" t="str">
        <f>IF(INPUT!N3922="","",INPUT!N3922)</f>
        <v/>
      </c>
      <c r="G3927" cm="1">
        <f t="array" ref="G3927">IFERROR(VLOOKUP(INPUT!M3922&amp;INPUT!N3922,CHOOSE({1,2},INPUT!$A$3:$A$5000&amp;INPUT!$C$3:$C$5000,INPUT!$F$3:$F$5000),2,FALSE),"")</f>
        <v>0</v>
      </c>
      <c r="H3927" cm="1">
        <f t="array" ref="H3927">IFERROR(VLOOKUP(INPUT!M3922&amp;INPUT!N3922,CHOOSE({1,2},INPUT!$A$3:$A$5000&amp;INPUT!$C$3:$C$5000,INPUT!$D$3:$D$5000),2,FALSE),"")</f>
        <v>0</v>
      </c>
      <c r="I3927" s="46" t="str">
        <f>IF(INPUT!P3922="","",INPUT!P3922)</f>
        <v/>
      </c>
      <c r="J3927" s="46" t="str">
        <f>IF(INPUT!Q3922="","",INPUT!Q3922)</f>
        <v/>
      </c>
      <c r="K3927" s="46" t="str">
        <f>IFERROR(IF(OR(INPUT!P3922="",INPUT!Q3922=""),"",INPUT!P3922-INPUT!Q3922),"")</f>
        <v/>
      </c>
      <c r="L3927" s="48" t="str">
        <f>IFERROR(IF(OR(INPUT!P3922="",INPUT!Q3922="",INPUT!P3922=0),"",(INPUT!P3922-INPUT!Q3922)/INPUT!P3922),"")</f>
        <v/>
      </c>
    </row>
    <row r="3928" spans="1:12" ht="18" hidden="1" customHeight="1" x14ac:dyDescent="0.2">
      <c r="A3928" s="11" t="str">
        <f>IF(INPUT!M3923="","",INPUT!M3923)</f>
        <v/>
      </c>
      <c r="B3928" s="11" t="str">
        <f>IF(INPUT!M3923="","",INPUT!M3923-WEEKDAY(INPUT!M3923,2)+1)</f>
        <v/>
      </c>
      <c r="C3928" s="20">
        <f>IFERROR(_xlfn.ISOWEEKNUM(INPUT!M3923),"")</f>
        <v>52</v>
      </c>
      <c r="D3928" s="20">
        <f>IFERROR(YEAR(INPUT!M3923),"")</f>
        <v>1900</v>
      </c>
      <c r="E3928" t="str">
        <f>IF(INPUT!O3923="","",INPUT!O3923)</f>
        <v/>
      </c>
      <c r="F3928" t="str">
        <f>IF(INPUT!N3923="","",INPUT!N3923)</f>
        <v/>
      </c>
      <c r="G3928" cm="1">
        <f t="array" ref="G3928">IFERROR(VLOOKUP(INPUT!M3923&amp;INPUT!N3923,CHOOSE({1,2},INPUT!$A$3:$A$5000&amp;INPUT!$C$3:$C$5000,INPUT!$F$3:$F$5000),2,FALSE),"")</f>
        <v>0</v>
      </c>
      <c r="H3928" cm="1">
        <f t="array" ref="H3928">IFERROR(VLOOKUP(INPUT!M3923&amp;INPUT!N3923,CHOOSE({1,2},INPUT!$A$3:$A$5000&amp;INPUT!$C$3:$C$5000,INPUT!$D$3:$D$5000),2,FALSE),"")</f>
        <v>0</v>
      </c>
      <c r="I3928" s="46" t="str">
        <f>IF(INPUT!P3923="","",INPUT!P3923)</f>
        <v/>
      </c>
      <c r="J3928" s="46" t="str">
        <f>IF(INPUT!Q3923="","",INPUT!Q3923)</f>
        <v/>
      </c>
      <c r="K3928" s="46" t="str">
        <f>IFERROR(IF(OR(INPUT!P3923="",INPUT!Q3923=""),"",INPUT!P3923-INPUT!Q3923),"")</f>
        <v/>
      </c>
      <c r="L3928" s="48" t="str">
        <f>IFERROR(IF(OR(INPUT!P3923="",INPUT!Q3923="",INPUT!P3923=0),"",(INPUT!P3923-INPUT!Q3923)/INPUT!P3923),"")</f>
        <v/>
      </c>
    </row>
    <row r="3929" spans="1:12" ht="18" hidden="1" customHeight="1" x14ac:dyDescent="0.2">
      <c r="A3929" s="11" t="str">
        <f>IF(INPUT!M3924="","",INPUT!M3924)</f>
        <v/>
      </c>
      <c r="B3929" s="11" t="str">
        <f>IF(INPUT!M3924="","",INPUT!M3924-WEEKDAY(INPUT!M3924,2)+1)</f>
        <v/>
      </c>
      <c r="C3929" s="20">
        <f>IFERROR(_xlfn.ISOWEEKNUM(INPUT!M3924),"")</f>
        <v>52</v>
      </c>
      <c r="D3929" s="20">
        <f>IFERROR(YEAR(INPUT!M3924),"")</f>
        <v>1900</v>
      </c>
      <c r="E3929" t="str">
        <f>IF(INPUT!O3924="","",INPUT!O3924)</f>
        <v/>
      </c>
      <c r="F3929" t="str">
        <f>IF(INPUT!N3924="","",INPUT!N3924)</f>
        <v/>
      </c>
      <c r="G3929" cm="1">
        <f t="array" ref="G3929">IFERROR(VLOOKUP(INPUT!M3924&amp;INPUT!N3924,CHOOSE({1,2},INPUT!$A$3:$A$5000&amp;INPUT!$C$3:$C$5000,INPUT!$F$3:$F$5000),2,FALSE),"")</f>
        <v>0</v>
      </c>
      <c r="H3929" cm="1">
        <f t="array" ref="H3929">IFERROR(VLOOKUP(INPUT!M3924&amp;INPUT!N3924,CHOOSE({1,2},INPUT!$A$3:$A$5000&amp;INPUT!$C$3:$C$5000,INPUT!$D$3:$D$5000),2,FALSE),"")</f>
        <v>0</v>
      </c>
      <c r="I3929" s="46" t="str">
        <f>IF(INPUT!P3924="","",INPUT!P3924)</f>
        <v/>
      </c>
      <c r="J3929" s="46" t="str">
        <f>IF(INPUT!Q3924="","",INPUT!Q3924)</f>
        <v/>
      </c>
      <c r="K3929" s="46" t="str">
        <f>IFERROR(IF(OR(INPUT!P3924="",INPUT!Q3924=""),"",INPUT!P3924-INPUT!Q3924),"")</f>
        <v/>
      </c>
      <c r="L3929" s="48" t="str">
        <f>IFERROR(IF(OR(INPUT!P3924="",INPUT!Q3924="",INPUT!P3924=0),"",(INPUT!P3924-INPUT!Q3924)/INPUT!P3924),"")</f>
        <v/>
      </c>
    </row>
    <row r="3930" spans="1:12" ht="18" hidden="1" customHeight="1" x14ac:dyDescent="0.2">
      <c r="A3930" s="11" t="str">
        <f>IF(INPUT!M3925="","",INPUT!M3925)</f>
        <v/>
      </c>
      <c r="B3930" s="11" t="str">
        <f>IF(INPUT!M3925="","",INPUT!M3925-WEEKDAY(INPUT!M3925,2)+1)</f>
        <v/>
      </c>
      <c r="C3930" s="20">
        <f>IFERROR(_xlfn.ISOWEEKNUM(INPUT!M3925),"")</f>
        <v>52</v>
      </c>
      <c r="D3930" s="20">
        <f>IFERROR(YEAR(INPUT!M3925),"")</f>
        <v>1900</v>
      </c>
      <c r="E3930" t="str">
        <f>IF(INPUT!O3925="","",INPUT!O3925)</f>
        <v/>
      </c>
      <c r="F3930" t="str">
        <f>IF(INPUT!N3925="","",INPUT!N3925)</f>
        <v/>
      </c>
      <c r="G3930" cm="1">
        <f t="array" ref="G3930">IFERROR(VLOOKUP(INPUT!M3925&amp;INPUT!N3925,CHOOSE({1,2},INPUT!$A$3:$A$5000&amp;INPUT!$C$3:$C$5000,INPUT!$F$3:$F$5000),2,FALSE),"")</f>
        <v>0</v>
      </c>
      <c r="H3930" cm="1">
        <f t="array" ref="H3930">IFERROR(VLOOKUP(INPUT!M3925&amp;INPUT!N3925,CHOOSE({1,2},INPUT!$A$3:$A$5000&amp;INPUT!$C$3:$C$5000,INPUT!$D$3:$D$5000),2,FALSE),"")</f>
        <v>0</v>
      </c>
      <c r="I3930" s="46" t="str">
        <f>IF(INPUT!P3925="","",INPUT!P3925)</f>
        <v/>
      </c>
      <c r="J3930" s="46" t="str">
        <f>IF(INPUT!Q3925="","",INPUT!Q3925)</f>
        <v/>
      </c>
      <c r="K3930" s="46" t="str">
        <f>IFERROR(IF(OR(INPUT!P3925="",INPUT!Q3925=""),"",INPUT!P3925-INPUT!Q3925),"")</f>
        <v/>
      </c>
      <c r="L3930" s="48" t="str">
        <f>IFERROR(IF(OR(INPUT!P3925="",INPUT!Q3925="",INPUT!P3925=0),"",(INPUT!P3925-INPUT!Q3925)/INPUT!P3925),"")</f>
        <v/>
      </c>
    </row>
    <row r="3931" spans="1:12" ht="18" hidden="1" customHeight="1" x14ac:dyDescent="0.2">
      <c r="A3931" s="11" t="str">
        <f>IF(INPUT!M3926="","",INPUT!M3926)</f>
        <v/>
      </c>
      <c r="B3931" s="11" t="str">
        <f>IF(INPUT!M3926="","",INPUT!M3926-WEEKDAY(INPUT!M3926,2)+1)</f>
        <v/>
      </c>
      <c r="C3931" s="20">
        <f>IFERROR(_xlfn.ISOWEEKNUM(INPUT!M3926),"")</f>
        <v>52</v>
      </c>
      <c r="D3931" s="20">
        <f>IFERROR(YEAR(INPUT!M3926),"")</f>
        <v>1900</v>
      </c>
      <c r="E3931" t="str">
        <f>IF(INPUT!O3926="","",INPUT!O3926)</f>
        <v/>
      </c>
      <c r="F3931" t="str">
        <f>IF(INPUT!N3926="","",INPUT!N3926)</f>
        <v/>
      </c>
      <c r="G3931" cm="1">
        <f t="array" ref="G3931">IFERROR(VLOOKUP(INPUT!M3926&amp;INPUT!N3926,CHOOSE({1,2},INPUT!$A$3:$A$5000&amp;INPUT!$C$3:$C$5000,INPUT!$F$3:$F$5000),2,FALSE),"")</f>
        <v>0</v>
      </c>
      <c r="H3931" cm="1">
        <f t="array" ref="H3931">IFERROR(VLOOKUP(INPUT!M3926&amp;INPUT!N3926,CHOOSE({1,2},INPUT!$A$3:$A$5000&amp;INPUT!$C$3:$C$5000,INPUT!$D$3:$D$5000),2,FALSE),"")</f>
        <v>0</v>
      </c>
      <c r="I3931" s="46" t="str">
        <f>IF(INPUT!P3926="","",INPUT!P3926)</f>
        <v/>
      </c>
      <c r="J3931" s="46" t="str">
        <f>IF(INPUT!Q3926="","",INPUT!Q3926)</f>
        <v/>
      </c>
      <c r="K3931" s="46" t="str">
        <f>IFERROR(IF(OR(INPUT!P3926="",INPUT!Q3926=""),"",INPUT!P3926-INPUT!Q3926),"")</f>
        <v/>
      </c>
      <c r="L3931" s="48" t="str">
        <f>IFERROR(IF(OR(INPUT!P3926="",INPUT!Q3926="",INPUT!P3926=0),"",(INPUT!P3926-INPUT!Q3926)/INPUT!P3926),"")</f>
        <v/>
      </c>
    </row>
    <row r="3932" spans="1:12" ht="18" hidden="1" customHeight="1" x14ac:dyDescent="0.2">
      <c r="A3932" s="11" t="str">
        <f>IF(INPUT!M3927="","",INPUT!M3927)</f>
        <v/>
      </c>
      <c r="B3932" s="11" t="str">
        <f>IF(INPUT!M3927="","",INPUT!M3927-WEEKDAY(INPUT!M3927,2)+1)</f>
        <v/>
      </c>
      <c r="C3932" s="20">
        <f>IFERROR(_xlfn.ISOWEEKNUM(INPUT!M3927),"")</f>
        <v>52</v>
      </c>
      <c r="D3932" s="20">
        <f>IFERROR(YEAR(INPUT!M3927),"")</f>
        <v>1900</v>
      </c>
      <c r="E3932" t="str">
        <f>IF(INPUT!O3927="","",INPUT!O3927)</f>
        <v/>
      </c>
      <c r="F3932" t="str">
        <f>IF(INPUT!N3927="","",INPUT!N3927)</f>
        <v/>
      </c>
      <c r="G3932" cm="1">
        <f t="array" ref="G3932">IFERROR(VLOOKUP(INPUT!M3927&amp;INPUT!N3927,CHOOSE({1,2},INPUT!$A$3:$A$5000&amp;INPUT!$C$3:$C$5000,INPUT!$F$3:$F$5000),2,FALSE),"")</f>
        <v>0</v>
      </c>
      <c r="H3932" cm="1">
        <f t="array" ref="H3932">IFERROR(VLOOKUP(INPUT!M3927&amp;INPUT!N3927,CHOOSE({1,2},INPUT!$A$3:$A$5000&amp;INPUT!$C$3:$C$5000,INPUT!$D$3:$D$5000),2,FALSE),"")</f>
        <v>0</v>
      </c>
      <c r="I3932" s="46" t="str">
        <f>IF(INPUT!P3927="","",INPUT!P3927)</f>
        <v/>
      </c>
      <c r="J3932" s="46" t="str">
        <f>IF(INPUT!Q3927="","",INPUT!Q3927)</f>
        <v/>
      </c>
      <c r="K3932" s="46" t="str">
        <f>IFERROR(IF(OR(INPUT!P3927="",INPUT!Q3927=""),"",INPUT!P3927-INPUT!Q3927),"")</f>
        <v/>
      </c>
      <c r="L3932" s="48" t="str">
        <f>IFERROR(IF(OR(INPUT!P3927="",INPUT!Q3927="",INPUT!P3927=0),"",(INPUT!P3927-INPUT!Q3927)/INPUT!P3927),"")</f>
        <v/>
      </c>
    </row>
    <row r="3933" spans="1:12" ht="18" hidden="1" customHeight="1" x14ac:dyDescent="0.2">
      <c r="A3933" s="11" t="str">
        <f>IF(INPUT!M3928="","",INPUT!M3928)</f>
        <v/>
      </c>
      <c r="B3933" s="11" t="str">
        <f>IF(INPUT!M3928="","",INPUT!M3928-WEEKDAY(INPUT!M3928,2)+1)</f>
        <v/>
      </c>
      <c r="C3933" s="20">
        <f>IFERROR(_xlfn.ISOWEEKNUM(INPUT!M3928),"")</f>
        <v>52</v>
      </c>
      <c r="D3933" s="20">
        <f>IFERROR(YEAR(INPUT!M3928),"")</f>
        <v>1900</v>
      </c>
      <c r="E3933" t="str">
        <f>IF(INPUT!O3928="","",INPUT!O3928)</f>
        <v/>
      </c>
      <c r="F3933" t="str">
        <f>IF(INPUT!N3928="","",INPUT!N3928)</f>
        <v/>
      </c>
      <c r="G3933" cm="1">
        <f t="array" ref="G3933">IFERROR(VLOOKUP(INPUT!M3928&amp;INPUT!N3928,CHOOSE({1,2},INPUT!$A$3:$A$5000&amp;INPUT!$C$3:$C$5000,INPUT!$F$3:$F$5000),2,FALSE),"")</f>
        <v>0</v>
      </c>
      <c r="H3933" cm="1">
        <f t="array" ref="H3933">IFERROR(VLOOKUP(INPUT!M3928&amp;INPUT!N3928,CHOOSE({1,2},INPUT!$A$3:$A$5000&amp;INPUT!$C$3:$C$5000,INPUT!$D$3:$D$5000),2,FALSE),"")</f>
        <v>0</v>
      </c>
      <c r="I3933" s="46" t="str">
        <f>IF(INPUT!P3928="","",INPUT!P3928)</f>
        <v/>
      </c>
      <c r="J3933" s="46" t="str">
        <f>IF(INPUT!Q3928="","",INPUT!Q3928)</f>
        <v/>
      </c>
      <c r="K3933" s="46" t="str">
        <f>IFERROR(IF(OR(INPUT!P3928="",INPUT!Q3928=""),"",INPUT!P3928-INPUT!Q3928),"")</f>
        <v/>
      </c>
      <c r="L3933" s="48" t="str">
        <f>IFERROR(IF(OR(INPUT!P3928="",INPUT!Q3928="",INPUT!P3928=0),"",(INPUT!P3928-INPUT!Q3928)/INPUT!P3928),"")</f>
        <v/>
      </c>
    </row>
    <row r="3934" spans="1:12" ht="18" hidden="1" customHeight="1" x14ac:dyDescent="0.2">
      <c r="A3934" s="11" t="str">
        <f>IF(INPUT!M3929="","",INPUT!M3929)</f>
        <v/>
      </c>
      <c r="B3934" s="11" t="str">
        <f>IF(INPUT!M3929="","",INPUT!M3929-WEEKDAY(INPUT!M3929,2)+1)</f>
        <v/>
      </c>
      <c r="C3934" s="20">
        <f>IFERROR(_xlfn.ISOWEEKNUM(INPUT!M3929),"")</f>
        <v>52</v>
      </c>
      <c r="D3934" s="20">
        <f>IFERROR(YEAR(INPUT!M3929),"")</f>
        <v>1900</v>
      </c>
      <c r="E3934" t="str">
        <f>IF(INPUT!O3929="","",INPUT!O3929)</f>
        <v/>
      </c>
      <c r="F3934" t="str">
        <f>IF(INPUT!N3929="","",INPUT!N3929)</f>
        <v/>
      </c>
      <c r="G3934" cm="1">
        <f t="array" ref="G3934">IFERROR(VLOOKUP(INPUT!M3929&amp;INPUT!N3929,CHOOSE({1,2},INPUT!$A$3:$A$5000&amp;INPUT!$C$3:$C$5000,INPUT!$F$3:$F$5000),2,FALSE),"")</f>
        <v>0</v>
      </c>
      <c r="H3934" cm="1">
        <f t="array" ref="H3934">IFERROR(VLOOKUP(INPUT!M3929&amp;INPUT!N3929,CHOOSE({1,2},INPUT!$A$3:$A$5000&amp;INPUT!$C$3:$C$5000,INPUT!$D$3:$D$5000),2,FALSE),"")</f>
        <v>0</v>
      </c>
      <c r="I3934" s="46" t="str">
        <f>IF(INPUT!P3929="","",INPUT!P3929)</f>
        <v/>
      </c>
      <c r="J3934" s="46" t="str">
        <f>IF(INPUT!Q3929="","",INPUT!Q3929)</f>
        <v/>
      </c>
      <c r="K3934" s="46" t="str">
        <f>IFERROR(IF(OR(INPUT!P3929="",INPUT!Q3929=""),"",INPUT!P3929-INPUT!Q3929),"")</f>
        <v/>
      </c>
      <c r="L3934" s="48" t="str">
        <f>IFERROR(IF(OR(INPUT!P3929="",INPUT!Q3929="",INPUT!P3929=0),"",(INPUT!P3929-INPUT!Q3929)/INPUT!P3929),"")</f>
        <v/>
      </c>
    </row>
    <row r="3935" spans="1:12" ht="18" hidden="1" customHeight="1" x14ac:dyDescent="0.2">
      <c r="A3935" s="11" t="str">
        <f>IF(INPUT!M3930="","",INPUT!M3930)</f>
        <v/>
      </c>
      <c r="B3935" s="11" t="str">
        <f>IF(INPUT!M3930="","",INPUT!M3930-WEEKDAY(INPUT!M3930,2)+1)</f>
        <v/>
      </c>
      <c r="C3935" s="20">
        <f>IFERROR(_xlfn.ISOWEEKNUM(INPUT!M3930),"")</f>
        <v>52</v>
      </c>
      <c r="D3935" s="20">
        <f>IFERROR(YEAR(INPUT!M3930),"")</f>
        <v>1900</v>
      </c>
      <c r="E3935" t="str">
        <f>IF(INPUT!O3930="","",INPUT!O3930)</f>
        <v/>
      </c>
      <c r="F3935" t="str">
        <f>IF(INPUT!N3930="","",INPUT!N3930)</f>
        <v/>
      </c>
      <c r="G3935" cm="1">
        <f t="array" ref="G3935">IFERROR(VLOOKUP(INPUT!M3930&amp;INPUT!N3930,CHOOSE({1,2},INPUT!$A$3:$A$5000&amp;INPUT!$C$3:$C$5000,INPUT!$F$3:$F$5000),2,FALSE),"")</f>
        <v>0</v>
      </c>
      <c r="H3935" cm="1">
        <f t="array" ref="H3935">IFERROR(VLOOKUP(INPUT!M3930&amp;INPUT!N3930,CHOOSE({1,2},INPUT!$A$3:$A$5000&amp;INPUT!$C$3:$C$5000,INPUT!$D$3:$D$5000),2,FALSE),"")</f>
        <v>0</v>
      </c>
      <c r="I3935" s="46" t="str">
        <f>IF(INPUT!P3930="","",INPUT!P3930)</f>
        <v/>
      </c>
      <c r="J3935" s="46" t="str">
        <f>IF(INPUT!Q3930="","",INPUT!Q3930)</f>
        <v/>
      </c>
      <c r="K3935" s="46" t="str">
        <f>IFERROR(IF(OR(INPUT!P3930="",INPUT!Q3930=""),"",INPUT!P3930-INPUT!Q3930),"")</f>
        <v/>
      </c>
      <c r="L3935" s="48" t="str">
        <f>IFERROR(IF(OR(INPUT!P3930="",INPUT!Q3930="",INPUT!P3930=0),"",(INPUT!P3930-INPUT!Q3930)/INPUT!P3930),"")</f>
        <v/>
      </c>
    </row>
    <row r="3936" spans="1:12" ht="18" hidden="1" customHeight="1" x14ac:dyDescent="0.2">
      <c r="A3936" s="11" t="str">
        <f>IF(INPUT!M3931="","",INPUT!M3931)</f>
        <v/>
      </c>
      <c r="B3936" s="11" t="str">
        <f>IF(INPUT!M3931="","",INPUT!M3931-WEEKDAY(INPUT!M3931,2)+1)</f>
        <v/>
      </c>
      <c r="C3936" s="20">
        <f>IFERROR(_xlfn.ISOWEEKNUM(INPUT!M3931),"")</f>
        <v>52</v>
      </c>
      <c r="D3936" s="20">
        <f>IFERROR(YEAR(INPUT!M3931),"")</f>
        <v>1900</v>
      </c>
      <c r="E3936" t="str">
        <f>IF(INPUT!O3931="","",INPUT!O3931)</f>
        <v/>
      </c>
      <c r="F3936" t="str">
        <f>IF(INPUT!N3931="","",INPUT!N3931)</f>
        <v/>
      </c>
      <c r="G3936" cm="1">
        <f t="array" ref="G3936">IFERROR(VLOOKUP(INPUT!M3931&amp;INPUT!N3931,CHOOSE({1,2},INPUT!$A$3:$A$5000&amp;INPUT!$C$3:$C$5000,INPUT!$F$3:$F$5000),2,FALSE),"")</f>
        <v>0</v>
      </c>
      <c r="H3936" cm="1">
        <f t="array" ref="H3936">IFERROR(VLOOKUP(INPUT!M3931&amp;INPUT!N3931,CHOOSE({1,2},INPUT!$A$3:$A$5000&amp;INPUT!$C$3:$C$5000,INPUT!$D$3:$D$5000),2,FALSE),"")</f>
        <v>0</v>
      </c>
      <c r="I3936" s="46" t="str">
        <f>IF(INPUT!P3931="","",INPUT!P3931)</f>
        <v/>
      </c>
      <c r="J3936" s="46" t="str">
        <f>IF(INPUT!Q3931="","",INPUT!Q3931)</f>
        <v/>
      </c>
      <c r="K3936" s="46" t="str">
        <f>IFERROR(IF(OR(INPUT!P3931="",INPUT!Q3931=""),"",INPUT!P3931-INPUT!Q3931),"")</f>
        <v/>
      </c>
      <c r="L3936" s="48" t="str">
        <f>IFERROR(IF(OR(INPUT!P3931="",INPUT!Q3931="",INPUT!P3931=0),"",(INPUT!P3931-INPUT!Q3931)/INPUT!P3931),"")</f>
        <v/>
      </c>
    </row>
    <row r="3937" spans="1:12" ht="18" hidden="1" customHeight="1" x14ac:dyDescent="0.2">
      <c r="A3937" s="11" t="str">
        <f>IF(INPUT!M3932="","",INPUT!M3932)</f>
        <v/>
      </c>
      <c r="B3937" s="11" t="str">
        <f>IF(INPUT!M3932="","",INPUT!M3932-WEEKDAY(INPUT!M3932,2)+1)</f>
        <v/>
      </c>
      <c r="C3937" s="20">
        <f>IFERROR(_xlfn.ISOWEEKNUM(INPUT!M3932),"")</f>
        <v>52</v>
      </c>
      <c r="D3937" s="20">
        <f>IFERROR(YEAR(INPUT!M3932),"")</f>
        <v>1900</v>
      </c>
      <c r="E3937" t="str">
        <f>IF(INPUT!O3932="","",INPUT!O3932)</f>
        <v/>
      </c>
      <c r="F3937" t="str">
        <f>IF(INPUT!N3932="","",INPUT!N3932)</f>
        <v/>
      </c>
      <c r="G3937" cm="1">
        <f t="array" ref="G3937">IFERROR(VLOOKUP(INPUT!M3932&amp;INPUT!N3932,CHOOSE({1,2},INPUT!$A$3:$A$5000&amp;INPUT!$C$3:$C$5000,INPUT!$F$3:$F$5000),2,FALSE),"")</f>
        <v>0</v>
      </c>
      <c r="H3937" cm="1">
        <f t="array" ref="H3937">IFERROR(VLOOKUP(INPUT!M3932&amp;INPUT!N3932,CHOOSE({1,2},INPUT!$A$3:$A$5000&amp;INPUT!$C$3:$C$5000,INPUT!$D$3:$D$5000),2,FALSE),"")</f>
        <v>0</v>
      </c>
      <c r="I3937" s="46" t="str">
        <f>IF(INPUT!P3932="","",INPUT!P3932)</f>
        <v/>
      </c>
      <c r="J3937" s="46" t="str">
        <f>IF(INPUT!Q3932="","",INPUT!Q3932)</f>
        <v/>
      </c>
      <c r="K3937" s="46" t="str">
        <f>IFERROR(IF(OR(INPUT!P3932="",INPUT!Q3932=""),"",INPUT!P3932-INPUT!Q3932),"")</f>
        <v/>
      </c>
      <c r="L3937" s="48" t="str">
        <f>IFERROR(IF(OR(INPUT!P3932="",INPUT!Q3932="",INPUT!P3932=0),"",(INPUT!P3932-INPUT!Q3932)/INPUT!P3932),"")</f>
        <v/>
      </c>
    </row>
    <row r="3938" spans="1:12" ht="18" hidden="1" customHeight="1" x14ac:dyDescent="0.2">
      <c r="A3938" s="11" t="str">
        <f>IF(INPUT!M3933="","",INPUT!M3933)</f>
        <v/>
      </c>
      <c r="B3938" s="11" t="str">
        <f>IF(INPUT!M3933="","",INPUT!M3933-WEEKDAY(INPUT!M3933,2)+1)</f>
        <v/>
      </c>
      <c r="C3938" s="20">
        <f>IFERROR(_xlfn.ISOWEEKNUM(INPUT!M3933),"")</f>
        <v>52</v>
      </c>
      <c r="D3938" s="20">
        <f>IFERROR(YEAR(INPUT!M3933),"")</f>
        <v>1900</v>
      </c>
      <c r="E3938" t="str">
        <f>IF(INPUT!O3933="","",INPUT!O3933)</f>
        <v/>
      </c>
      <c r="F3938" t="str">
        <f>IF(INPUT!N3933="","",INPUT!N3933)</f>
        <v/>
      </c>
      <c r="G3938" cm="1">
        <f t="array" ref="G3938">IFERROR(VLOOKUP(INPUT!M3933&amp;INPUT!N3933,CHOOSE({1,2},INPUT!$A$3:$A$5000&amp;INPUT!$C$3:$C$5000,INPUT!$F$3:$F$5000),2,FALSE),"")</f>
        <v>0</v>
      </c>
      <c r="H3938" cm="1">
        <f t="array" ref="H3938">IFERROR(VLOOKUP(INPUT!M3933&amp;INPUT!N3933,CHOOSE({1,2},INPUT!$A$3:$A$5000&amp;INPUT!$C$3:$C$5000,INPUT!$D$3:$D$5000),2,FALSE),"")</f>
        <v>0</v>
      </c>
      <c r="I3938" s="46" t="str">
        <f>IF(INPUT!P3933="","",INPUT!P3933)</f>
        <v/>
      </c>
      <c r="J3938" s="46" t="str">
        <f>IF(INPUT!Q3933="","",INPUT!Q3933)</f>
        <v/>
      </c>
      <c r="K3938" s="46" t="str">
        <f>IFERROR(IF(OR(INPUT!P3933="",INPUT!Q3933=""),"",INPUT!P3933-INPUT!Q3933),"")</f>
        <v/>
      </c>
      <c r="L3938" s="48" t="str">
        <f>IFERROR(IF(OR(INPUT!P3933="",INPUT!Q3933="",INPUT!P3933=0),"",(INPUT!P3933-INPUT!Q3933)/INPUT!P3933),"")</f>
        <v/>
      </c>
    </row>
    <row r="3939" spans="1:12" ht="18" hidden="1" customHeight="1" x14ac:dyDescent="0.2">
      <c r="A3939" s="11" t="str">
        <f>IF(INPUT!M3934="","",INPUT!M3934)</f>
        <v/>
      </c>
      <c r="B3939" s="11" t="str">
        <f>IF(INPUT!M3934="","",INPUT!M3934-WEEKDAY(INPUT!M3934,2)+1)</f>
        <v/>
      </c>
      <c r="C3939" s="20">
        <f>IFERROR(_xlfn.ISOWEEKNUM(INPUT!M3934),"")</f>
        <v>52</v>
      </c>
      <c r="D3939" s="20">
        <f>IFERROR(YEAR(INPUT!M3934),"")</f>
        <v>1900</v>
      </c>
      <c r="E3939" t="str">
        <f>IF(INPUT!O3934="","",INPUT!O3934)</f>
        <v/>
      </c>
      <c r="F3939" t="str">
        <f>IF(INPUT!N3934="","",INPUT!N3934)</f>
        <v/>
      </c>
      <c r="G3939" cm="1">
        <f t="array" ref="G3939">IFERROR(VLOOKUP(INPUT!M3934&amp;INPUT!N3934,CHOOSE({1,2},INPUT!$A$3:$A$5000&amp;INPUT!$C$3:$C$5000,INPUT!$F$3:$F$5000),2,FALSE),"")</f>
        <v>0</v>
      </c>
      <c r="H3939" cm="1">
        <f t="array" ref="H3939">IFERROR(VLOOKUP(INPUT!M3934&amp;INPUT!N3934,CHOOSE({1,2},INPUT!$A$3:$A$5000&amp;INPUT!$C$3:$C$5000,INPUT!$D$3:$D$5000),2,FALSE),"")</f>
        <v>0</v>
      </c>
      <c r="I3939" s="46" t="str">
        <f>IF(INPUT!P3934="","",INPUT!P3934)</f>
        <v/>
      </c>
      <c r="J3939" s="46" t="str">
        <f>IF(INPUT!Q3934="","",INPUT!Q3934)</f>
        <v/>
      </c>
      <c r="K3939" s="46" t="str">
        <f>IFERROR(IF(OR(INPUT!P3934="",INPUT!Q3934=""),"",INPUT!P3934-INPUT!Q3934),"")</f>
        <v/>
      </c>
      <c r="L3939" s="48" t="str">
        <f>IFERROR(IF(OR(INPUT!P3934="",INPUT!Q3934="",INPUT!P3934=0),"",(INPUT!P3934-INPUT!Q3934)/INPUT!P3934),"")</f>
        <v/>
      </c>
    </row>
    <row r="3940" spans="1:12" ht="18" hidden="1" customHeight="1" x14ac:dyDescent="0.2">
      <c r="A3940" s="11" t="str">
        <f>IF(INPUT!M3935="","",INPUT!M3935)</f>
        <v/>
      </c>
      <c r="B3940" s="11" t="str">
        <f>IF(INPUT!M3935="","",INPUT!M3935-WEEKDAY(INPUT!M3935,2)+1)</f>
        <v/>
      </c>
      <c r="C3940" s="20">
        <f>IFERROR(_xlfn.ISOWEEKNUM(INPUT!M3935),"")</f>
        <v>52</v>
      </c>
      <c r="D3940" s="20">
        <f>IFERROR(YEAR(INPUT!M3935),"")</f>
        <v>1900</v>
      </c>
      <c r="E3940" t="str">
        <f>IF(INPUT!O3935="","",INPUT!O3935)</f>
        <v/>
      </c>
      <c r="F3940" t="str">
        <f>IF(INPUT!N3935="","",INPUT!N3935)</f>
        <v/>
      </c>
      <c r="G3940" cm="1">
        <f t="array" ref="G3940">IFERROR(VLOOKUP(INPUT!M3935&amp;INPUT!N3935,CHOOSE({1,2},INPUT!$A$3:$A$5000&amp;INPUT!$C$3:$C$5000,INPUT!$F$3:$F$5000),2,FALSE),"")</f>
        <v>0</v>
      </c>
      <c r="H3940" cm="1">
        <f t="array" ref="H3940">IFERROR(VLOOKUP(INPUT!M3935&amp;INPUT!N3935,CHOOSE({1,2},INPUT!$A$3:$A$5000&amp;INPUT!$C$3:$C$5000,INPUT!$D$3:$D$5000),2,FALSE),"")</f>
        <v>0</v>
      </c>
      <c r="I3940" s="46" t="str">
        <f>IF(INPUT!P3935="","",INPUT!P3935)</f>
        <v/>
      </c>
      <c r="J3940" s="46" t="str">
        <f>IF(INPUT!Q3935="","",INPUT!Q3935)</f>
        <v/>
      </c>
      <c r="K3940" s="46" t="str">
        <f>IFERROR(IF(OR(INPUT!P3935="",INPUT!Q3935=""),"",INPUT!P3935-INPUT!Q3935),"")</f>
        <v/>
      </c>
      <c r="L3940" s="48" t="str">
        <f>IFERROR(IF(OR(INPUT!P3935="",INPUT!Q3935="",INPUT!P3935=0),"",(INPUT!P3935-INPUT!Q3935)/INPUT!P3935),"")</f>
        <v/>
      </c>
    </row>
    <row r="3941" spans="1:12" ht="18" hidden="1" customHeight="1" x14ac:dyDescent="0.2">
      <c r="A3941" s="11" t="str">
        <f>IF(INPUT!M3936="","",INPUT!M3936)</f>
        <v/>
      </c>
      <c r="B3941" s="11" t="str">
        <f>IF(INPUT!M3936="","",INPUT!M3936-WEEKDAY(INPUT!M3936,2)+1)</f>
        <v/>
      </c>
      <c r="C3941" s="20">
        <f>IFERROR(_xlfn.ISOWEEKNUM(INPUT!M3936),"")</f>
        <v>52</v>
      </c>
      <c r="D3941" s="20">
        <f>IFERROR(YEAR(INPUT!M3936),"")</f>
        <v>1900</v>
      </c>
      <c r="E3941" t="str">
        <f>IF(INPUT!O3936="","",INPUT!O3936)</f>
        <v/>
      </c>
      <c r="F3941" t="str">
        <f>IF(INPUT!N3936="","",INPUT!N3936)</f>
        <v/>
      </c>
      <c r="G3941" cm="1">
        <f t="array" ref="G3941">IFERROR(VLOOKUP(INPUT!M3936&amp;INPUT!N3936,CHOOSE({1,2},INPUT!$A$3:$A$5000&amp;INPUT!$C$3:$C$5000,INPUT!$F$3:$F$5000),2,FALSE),"")</f>
        <v>0</v>
      </c>
      <c r="H3941" cm="1">
        <f t="array" ref="H3941">IFERROR(VLOOKUP(INPUT!M3936&amp;INPUT!N3936,CHOOSE({1,2},INPUT!$A$3:$A$5000&amp;INPUT!$C$3:$C$5000,INPUT!$D$3:$D$5000),2,FALSE),"")</f>
        <v>0</v>
      </c>
      <c r="I3941" s="46" t="str">
        <f>IF(INPUT!P3936="","",INPUT!P3936)</f>
        <v/>
      </c>
      <c r="J3941" s="46" t="str">
        <f>IF(INPUT!Q3936="","",INPUT!Q3936)</f>
        <v/>
      </c>
      <c r="K3941" s="46" t="str">
        <f>IFERROR(IF(OR(INPUT!P3936="",INPUT!Q3936=""),"",INPUT!P3936-INPUT!Q3936),"")</f>
        <v/>
      </c>
      <c r="L3941" s="48" t="str">
        <f>IFERROR(IF(OR(INPUT!P3936="",INPUT!Q3936="",INPUT!P3936=0),"",(INPUT!P3936-INPUT!Q3936)/INPUT!P3936),"")</f>
        <v/>
      </c>
    </row>
    <row r="3942" spans="1:12" ht="18" hidden="1" customHeight="1" x14ac:dyDescent="0.2">
      <c r="A3942" s="11" t="str">
        <f>IF(INPUT!M3937="","",INPUT!M3937)</f>
        <v/>
      </c>
      <c r="B3942" s="11" t="str">
        <f>IF(INPUT!M3937="","",INPUT!M3937-WEEKDAY(INPUT!M3937,2)+1)</f>
        <v/>
      </c>
      <c r="C3942" s="20">
        <f>IFERROR(_xlfn.ISOWEEKNUM(INPUT!M3937),"")</f>
        <v>52</v>
      </c>
      <c r="D3942" s="20">
        <f>IFERROR(YEAR(INPUT!M3937),"")</f>
        <v>1900</v>
      </c>
      <c r="E3942" t="str">
        <f>IF(INPUT!O3937="","",INPUT!O3937)</f>
        <v/>
      </c>
      <c r="F3942" t="str">
        <f>IF(INPUT!N3937="","",INPUT!N3937)</f>
        <v/>
      </c>
      <c r="G3942" cm="1">
        <f t="array" ref="G3942">IFERROR(VLOOKUP(INPUT!M3937&amp;INPUT!N3937,CHOOSE({1,2},INPUT!$A$3:$A$5000&amp;INPUT!$C$3:$C$5000,INPUT!$F$3:$F$5000),2,FALSE),"")</f>
        <v>0</v>
      </c>
      <c r="H3942" cm="1">
        <f t="array" ref="H3942">IFERROR(VLOOKUP(INPUT!M3937&amp;INPUT!N3937,CHOOSE({1,2},INPUT!$A$3:$A$5000&amp;INPUT!$C$3:$C$5000,INPUT!$D$3:$D$5000),2,FALSE),"")</f>
        <v>0</v>
      </c>
      <c r="I3942" s="46" t="str">
        <f>IF(INPUT!P3937="","",INPUT!P3937)</f>
        <v/>
      </c>
      <c r="J3942" s="46" t="str">
        <f>IF(INPUT!Q3937="","",INPUT!Q3937)</f>
        <v/>
      </c>
      <c r="K3942" s="46" t="str">
        <f>IFERROR(IF(OR(INPUT!P3937="",INPUT!Q3937=""),"",INPUT!P3937-INPUT!Q3937),"")</f>
        <v/>
      </c>
      <c r="L3942" s="48" t="str">
        <f>IFERROR(IF(OR(INPUT!P3937="",INPUT!Q3937="",INPUT!P3937=0),"",(INPUT!P3937-INPUT!Q3937)/INPUT!P3937),"")</f>
        <v/>
      </c>
    </row>
    <row r="3943" spans="1:12" ht="18" hidden="1" customHeight="1" x14ac:dyDescent="0.2">
      <c r="A3943" s="11" t="str">
        <f>IF(INPUT!M3938="","",INPUT!M3938)</f>
        <v/>
      </c>
      <c r="B3943" s="11" t="str">
        <f>IF(INPUT!M3938="","",INPUT!M3938-WEEKDAY(INPUT!M3938,2)+1)</f>
        <v/>
      </c>
      <c r="C3943" s="20">
        <f>IFERROR(_xlfn.ISOWEEKNUM(INPUT!M3938),"")</f>
        <v>52</v>
      </c>
      <c r="D3943" s="20">
        <f>IFERROR(YEAR(INPUT!M3938),"")</f>
        <v>1900</v>
      </c>
      <c r="E3943" t="str">
        <f>IF(INPUT!O3938="","",INPUT!O3938)</f>
        <v/>
      </c>
      <c r="F3943" t="str">
        <f>IF(INPUT!N3938="","",INPUT!N3938)</f>
        <v/>
      </c>
      <c r="G3943" cm="1">
        <f t="array" ref="G3943">IFERROR(VLOOKUP(INPUT!M3938&amp;INPUT!N3938,CHOOSE({1,2},INPUT!$A$3:$A$5000&amp;INPUT!$C$3:$C$5000,INPUT!$F$3:$F$5000),2,FALSE),"")</f>
        <v>0</v>
      </c>
      <c r="H3943" cm="1">
        <f t="array" ref="H3943">IFERROR(VLOOKUP(INPUT!M3938&amp;INPUT!N3938,CHOOSE({1,2},INPUT!$A$3:$A$5000&amp;INPUT!$C$3:$C$5000,INPUT!$D$3:$D$5000),2,FALSE),"")</f>
        <v>0</v>
      </c>
      <c r="I3943" s="46" t="str">
        <f>IF(INPUT!P3938="","",INPUT!P3938)</f>
        <v/>
      </c>
      <c r="J3943" s="46" t="str">
        <f>IF(INPUT!Q3938="","",INPUT!Q3938)</f>
        <v/>
      </c>
      <c r="K3943" s="46" t="str">
        <f>IFERROR(IF(OR(INPUT!P3938="",INPUT!Q3938=""),"",INPUT!P3938-INPUT!Q3938),"")</f>
        <v/>
      </c>
      <c r="L3943" s="48" t="str">
        <f>IFERROR(IF(OR(INPUT!P3938="",INPUT!Q3938="",INPUT!P3938=0),"",(INPUT!P3938-INPUT!Q3938)/INPUT!P3938),"")</f>
        <v/>
      </c>
    </row>
    <row r="3944" spans="1:12" ht="18" hidden="1" customHeight="1" x14ac:dyDescent="0.2">
      <c r="A3944" s="11" t="str">
        <f>IF(INPUT!M3939="","",INPUT!M3939)</f>
        <v/>
      </c>
      <c r="B3944" s="11" t="str">
        <f>IF(INPUT!M3939="","",INPUT!M3939-WEEKDAY(INPUT!M3939,2)+1)</f>
        <v/>
      </c>
      <c r="C3944" s="20">
        <f>IFERROR(_xlfn.ISOWEEKNUM(INPUT!M3939),"")</f>
        <v>52</v>
      </c>
      <c r="D3944" s="20">
        <f>IFERROR(YEAR(INPUT!M3939),"")</f>
        <v>1900</v>
      </c>
      <c r="E3944" t="str">
        <f>IF(INPUT!O3939="","",INPUT!O3939)</f>
        <v/>
      </c>
      <c r="F3944" t="str">
        <f>IF(INPUT!N3939="","",INPUT!N3939)</f>
        <v/>
      </c>
      <c r="G3944" cm="1">
        <f t="array" ref="G3944">IFERROR(VLOOKUP(INPUT!M3939&amp;INPUT!N3939,CHOOSE({1,2},INPUT!$A$3:$A$5000&amp;INPUT!$C$3:$C$5000,INPUT!$F$3:$F$5000),2,FALSE),"")</f>
        <v>0</v>
      </c>
      <c r="H3944" cm="1">
        <f t="array" ref="H3944">IFERROR(VLOOKUP(INPUT!M3939&amp;INPUT!N3939,CHOOSE({1,2},INPUT!$A$3:$A$5000&amp;INPUT!$C$3:$C$5000,INPUT!$D$3:$D$5000),2,FALSE),"")</f>
        <v>0</v>
      </c>
      <c r="I3944" s="46" t="str">
        <f>IF(INPUT!P3939="","",INPUT!P3939)</f>
        <v/>
      </c>
      <c r="J3944" s="46" t="str">
        <f>IF(INPUT!Q3939="","",INPUT!Q3939)</f>
        <v/>
      </c>
      <c r="K3944" s="46" t="str">
        <f>IFERROR(IF(OR(INPUT!P3939="",INPUT!Q3939=""),"",INPUT!P3939-INPUT!Q3939),"")</f>
        <v/>
      </c>
      <c r="L3944" s="48" t="str">
        <f>IFERROR(IF(OR(INPUT!P3939="",INPUT!Q3939="",INPUT!P3939=0),"",(INPUT!P3939-INPUT!Q3939)/INPUT!P3939),"")</f>
        <v/>
      </c>
    </row>
    <row r="3945" spans="1:12" ht="18" hidden="1" customHeight="1" x14ac:dyDescent="0.2">
      <c r="A3945" s="11" t="str">
        <f>IF(INPUT!M3940="","",INPUT!M3940)</f>
        <v/>
      </c>
      <c r="B3945" s="11" t="str">
        <f>IF(INPUT!M3940="","",INPUT!M3940-WEEKDAY(INPUT!M3940,2)+1)</f>
        <v/>
      </c>
      <c r="C3945" s="20">
        <f>IFERROR(_xlfn.ISOWEEKNUM(INPUT!M3940),"")</f>
        <v>52</v>
      </c>
      <c r="D3945" s="20">
        <f>IFERROR(YEAR(INPUT!M3940),"")</f>
        <v>1900</v>
      </c>
      <c r="E3945" t="str">
        <f>IF(INPUT!O3940="","",INPUT!O3940)</f>
        <v/>
      </c>
      <c r="F3945" t="str">
        <f>IF(INPUT!N3940="","",INPUT!N3940)</f>
        <v/>
      </c>
      <c r="G3945" cm="1">
        <f t="array" ref="G3945">IFERROR(VLOOKUP(INPUT!M3940&amp;INPUT!N3940,CHOOSE({1,2},INPUT!$A$3:$A$5000&amp;INPUT!$C$3:$C$5000,INPUT!$F$3:$F$5000),2,FALSE),"")</f>
        <v>0</v>
      </c>
      <c r="H3945" cm="1">
        <f t="array" ref="H3945">IFERROR(VLOOKUP(INPUT!M3940&amp;INPUT!N3940,CHOOSE({1,2},INPUT!$A$3:$A$5000&amp;INPUT!$C$3:$C$5000,INPUT!$D$3:$D$5000),2,FALSE),"")</f>
        <v>0</v>
      </c>
      <c r="I3945" s="46" t="str">
        <f>IF(INPUT!P3940="","",INPUT!P3940)</f>
        <v/>
      </c>
      <c r="J3945" s="46" t="str">
        <f>IF(INPUT!Q3940="","",INPUT!Q3940)</f>
        <v/>
      </c>
      <c r="K3945" s="46" t="str">
        <f>IFERROR(IF(OR(INPUT!P3940="",INPUT!Q3940=""),"",INPUT!P3940-INPUT!Q3940),"")</f>
        <v/>
      </c>
      <c r="L3945" s="48" t="str">
        <f>IFERROR(IF(OR(INPUT!P3940="",INPUT!Q3940="",INPUT!P3940=0),"",(INPUT!P3940-INPUT!Q3940)/INPUT!P3940),"")</f>
        <v/>
      </c>
    </row>
    <row r="3946" spans="1:12" ht="18" hidden="1" customHeight="1" x14ac:dyDescent="0.2">
      <c r="A3946" s="11" t="str">
        <f>IF(INPUT!M3941="","",INPUT!M3941)</f>
        <v/>
      </c>
      <c r="B3946" s="11" t="str">
        <f>IF(INPUT!M3941="","",INPUT!M3941-WEEKDAY(INPUT!M3941,2)+1)</f>
        <v/>
      </c>
      <c r="C3946" s="20">
        <f>IFERROR(_xlfn.ISOWEEKNUM(INPUT!M3941),"")</f>
        <v>52</v>
      </c>
      <c r="D3946" s="20">
        <f>IFERROR(YEAR(INPUT!M3941),"")</f>
        <v>1900</v>
      </c>
      <c r="E3946" t="str">
        <f>IF(INPUT!O3941="","",INPUT!O3941)</f>
        <v/>
      </c>
      <c r="F3946" t="str">
        <f>IF(INPUT!N3941="","",INPUT!N3941)</f>
        <v/>
      </c>
      <c r="G3946" cm="1">
        <f t="array" ref="G3946">IFERROR(VLOOKUP(INPUT!M3941&amp;INPUT!N3941,CHOOSE({1,2},INPUT!$A$3:$A$5000&amp;INPUT!$C$3:$C$5000,INPUT!$F$3:$F$5000),2,FALSE),"")</f>
        <v>0</v>
      </c>
      <c r="H3946" cm="1">
        <f t="array" ref="H3946">IFERROR(VLOOKUP(INPUT!M3941&amp;INPUT!N3941,CHOOSE({1,2},INPUT!$A$3:$A$5000&amp;INPUT!$C$3:$C$5000,INPUT!$D$3:$D$5000),2,FALSE),"")</f>
        <v>0</v>
      </c>
      <c r="I3946" s="46" t="str">
        <f>IF(INPUT!P3941="","",INPUT!P3941)</f>
        <v/>
      </c>
      <c r="J3946" s="46" t="str">
        <f>IF(INPUT!Q3941="","",INPUT!Q3941)</f>
        <v/>
      </c>
      <c r="K3946" s="46" t="str">
        <f>IFERROR(IF(OR(INPUT!P3941="",INPUT!Q3941=""),"",INPUT!P3941-INPUT!Q3941),"")</f>
        <v/>
      </c>
      <c r="L3946" s="48" t="str">
        <f>IFERROR(IF(OR(INPUT!P3941="",INPUT!Q3941="",INPUT!P3941=0),"",(INPUT!P3941-INPUT!Q3941)/INPUT!P3941),"")</f>
        <v/>
      </c>
    </row>
    <row r="3947" spans="1:12" ht="18" hidden="1" customHeight="1" x14ac:dyDescent="0.2">
      <c r="A3947" s="11" t="str">
        <f>IF(INPUT!M3942="","",INPUT!M3942)</f>
        <v/>
      </c>
      <c r="B3947" s="11" t="str">
        <f>IF(INPUT!M3942="","",INPUT!M3942-WEEKDAY(INPUT!M3942,2)+1)</f>
        <v/>
      </c>
      <c r="C3947" s="20">
        <f>IFERROR(_xlfn.ISOWEEKNUM(INPUT!M3942),"")</f>
        <v>52</v>
      </c>
      <c r="D3947" s="20">
        <f>IFERROR(YEAR(INPUT!M3942),"")</f>
        <v>1900</v>
      </c>
      <c r="E3947" t="str">
        <f>IF(INPUT!O3942="","",INPUT!O3942)</f>
        <v/>
      </c>
      <c r="F3947" t="str">
        <f>IF(INPUT!N3942="","",INPUT!N3942)</f>
        <v/>
      </c>
      <c r="G3947" cm="1">
        <f t="array" ref="G3947">IFERROR(VLOOKUP(INPUT!M3942&amp;INPUT!N3942,CHOOSE({1,2},INPUT!$A$3:$A$5000&amp;INPUT!$C$3:$C$5000,INPUT!$F$3:$F$5000),2,FALSE),"")</f>
        <v>0</v>
      </c>
      <c r="H3947" cm="1">
        <f t="array" ref="H3947">IFERROR(VLOOKUP(INPUT!M3942&amp;INPUT!N3942,CHOOSE({1,2},INPUT!$A$3:$A$5000&amp;INPUT!$C$3:$C$5000,INPUT!$D$3:$D$5000),2,FALSE),"")</f>
        <v>0</v>
      </c>
      <c r="I3947" s="46" t="str">
        <f>IF(INPUT!P3942="","",INPUT!P3942)</f>
        <v/>
      </c>
      <c r="J3947" s="46" t="str">
        <f>IF(INPUT!Q3942="","",INPUT!Q3942)</f>
        <v/>
      </c>
      <c r="K3947" s="46" t="str">
        <f>IFERROR(IF(OR(INPUT!P3942="",INPUT!Q3942=""),"",INPUT!P3942-INPUT!Q3942),"")</f>
        <v/>
      </c>
      <c r="L3947" s="48" t="str">
        <f>IFERROR(IF(OR(INPUT!P3942="",INPUT!Q3942="",INPUT!P3942=0),"",(INPUT!P3942-INPUT!Q3942)/INPUT!P3942),"")</f>
        <v/>
      </c>
    </row>
    <row r="3948" spans="1:12" ht="18" hidden="1" customHeight="1" x14ac:dyDescent="0.2">
      <c r="A3948" s="11" t="str">
        <f>IF(INPUT!M3943="","",INPUT!M3943)</f>
        <v/>
      </c>
      <c r="B3948" s="11" t="str">
        <f>IF(INPUT!M3943="","",INPUT!M3943-WEEKDAY(INPUT!M3943,2)+1)</f>
        <v/>
      </c>
      <c r="C3948" s="20">
        <f>IFERROR(_xlfn.ISOWEEKNUM(INPUT!M3943),"")</f>
        <v>52</v>
      </c>
      <c r="D3948" s="20">
        <f>IFERROR(YEAR(INPUT!M3943),"")</f>
        <v>1900</v>
      </c>
      <c r="E3948" t="str">
        <f>IF(INPUT!O3943="","",INPUT!O3943)</f>
        <v/>
      </c>
      <c r="F3948" t="str">
        <f>IF(INPUT!N3943="","",INPUT!N3943)</f>
        <v/>
      </c>
      <c r="G3948" cm="1">
        <f t="array" ref="G3948">IFERROR(VLOOKUP(INPUT!M3943&amp;INPUT!N3943,CHOOSE({1,2},INPUT!$A$3:$A$5000&amp;INPUT!$C$3:$C$5000,INPUT!$F$3:$F$5000),2,FALSE),"")</f>
        <v>0</v>
      </c>
      <c r="H3948" cm="1">
        <f t="array" ref="H3948">IFERROR(VLOOKUP(INPUT!M3943&amp;INPUT!N3943,CHOOSE({1,2},INPUT!$A$3:$A$5000&amp;INPUT!$C$3:$C$5000,INPUT!$D$3:$D$5000),2,FALSE),"")</f>
        <v>0</v>
      </c>
      <c r="I3948" s="46" t="str">
        <f>IF(INPUT!P3943="","",INPUT!P3943)</f>
        <v/>
      </c>
      <c r="J3948" s="46" t="str">
        <f>IF(INPUT!Q3943="","",INPUT!Q3943)</f>
        <v/>
      </c>
      <c r="K3948" s="46" t="str">
        <f>IFERROR(IF(OR(INPUT!P3943="",INPUT!Q3943=""),"",INPUT!P3943-INPUT!Q3943),"")</f>
        <v/>
      </c>
      <c r="L3948" s="48" t="str">
        <f>IFERROR(IF(OR(INPUT!P3943="",INPUT!Q3943="",INPUT!P3943=0),"",(INPUT!P3943-INPUT!Q3943)/INPUT!P3943),"")</f>
        <v/>
      </c>
    </row>
    <row r="3949" spans="1:12" ht="18" hidden="1" customHeight="1" x14ac:dyDescent="0.2">
      <c r="A3949" s="11" t="str">
        <f>IF(INPUT!M3944="","",INPUT!M3944)</f>
        <v/>
      </c>
      <c r="B3949" s="11" t="str">
        <f>IF(INPUT!M3944="","",INPUT!M3944-WEEKDAY(INPUT!M3944,2)+1)</f>
        <v/>
      </c>
      <c r="C3949" s="20">
        <f>IFERROR(_xlfn.ISOWEEKNUM(INPUT!M3944),"")</f>
        <v>52</v>
      </c>
      <c r="D3949" s="20">
        <f>IFERROR(YEAR(INPUT!M3944),"")</f>
        <v>1900</v>
      </c>
      <c r="E3949" t="str">
        <f>IF(INPUT!O3944="","",INPUT!O3944)</f>
        <v/>
      </c>
      <c r="F3949" t="str">
        <f>IF(INPUT!N3944="","",INPUT!N3944)</f>
        <v/>
      </c>
      <c r="G3949" cm="1">
        <f t="array" ref="G3949">IFERROR(VLOOKUP(INPUT!M3944&amp;INPUT!N3944,CHOOSE({1,2},INPUT!$A$3:$A$5000&amp;INPUT!$C$3:$C$5000,INPUT!$F$3:$F$5000),2,FALSE),"")</f>
        <v>0</v>
      </c>
      <c r="H3949" cm="1">
        <f t="array" ref="H3949">IFERROR(VLOOKUP(INPUT!M3944&amp;INPUT!N3944,CHOOSE({1,2},INPUT!$A$3:$A$5000&amp;INPUT!$C$3:$C$5000,INPUT!$D$3:$D$5000),2,FALSE),"")</f>
        <v>0</v>
      </c>
      <c r="I3949" s="46" t="str">
        <f>IF(INPUT!P3944="","",INPUT!P3944)</f>
        <v/>
      </c>
      <c r="J3949" s="46" t="str">
        <f>IF(INPUT!Q3944="","",INPUT!Q3944)</f>
        <v/>
      </c>
      <c r="K3949" s="46" t="str">
        <f>IFERROR(IF(OR(INPUT!P3944="",INPUT!Q3944=""),"",INPUT!P3944-INPUT!Q3944),"")</f>
        <v/>
      </c>
      <c r="L3949" s="48" t="str">
        <f>IFERROR(IF(OR(INPUT!P3944="",INPUT!Q3944="",INPUT!P3944=0),"",(INPUT!P3944-INPUT!Q3944)/INPUT!P3944),"")</f>
        <v/>
      </c>
    </row>
    <row r="3950" spans="1:12" ht="18" hidden="1" customHeight="1" x14ac:dyDescent="0.2">
      <c r="A3950" s="11" t="str">
        <f>IF(INPUT!M3945="","",INPUT!M3945)</f>
        <v/>
      </c>
      <c r="B3950" s="11" t="str">
        <f>IF(INPUT!M3945="","",INPUT!M3945-WEEKDAY(INPUT!M3945,2)+1)</f>
        <v/>
      </c>
      <c r="C3950" s="20">
        <f>IFERROR(_xlfn.ISOWEEKNUM(INPUT!M3945),"")</f>
        <v>52</v>
      </c>
      <c r="D3950" s="20">
        <f>IFERROR(YEAR(INPUT!M3945),"")</f>
        <v>1900</v>
      </c>
      <c r="E3950" t="str">
        <f>IF(INPUT!O3945="","",INPUT!O3945)</f>
        <v/>
      </c>
      <c r="F3950" t="str">
        <f>IF(INPUT!N3945="","",INPUT!N3945)</f>
        <v/>
      </c>
      <c r="G3950" cm="1">
        <f t="array" ref="G3950">IFERROR(VLOOKUP(INPUT!M3945&amp;INPUT!N3945,CHOOSE({1,2},INPUT!$A$3:$A$5000&amp;INPUT!$C$3:$C$5000,INPUT!$F$3:$F$5000),2,FALSE),"")</f>
        <v>0</v>
      </c>
      <c r="H3950" cm="1">
        <f t="array" ref="H3950">IFERROR(VLOOKUP(INPUT!M3945&amp;INPUT!N3945,CHOOSE({1,2},INPUT!$A$3:$A$5000&amp;INPUT!$C$3:$C$5000,INPUT!$D$3:$D$5000),2,FALSE),"")</f>
        <v>0</v>
      </c>
      <c r="I3950" s="46" t="str">
        <f>IF(INPUT!P3945="","",INPUT!P3945)</f>
        <v/>
      </c>
      <c r="J3950" s="46" t="str">
        <f>IF(INPUT!Q3945="","",INPUT!Q3945)</f>
        <v/>
      </c>
      <c r="K3950" s="46" t="str">
        <f>IFERROR(IF(OR(INPUT!P3945="",INPUT!Q3945=""),"",INPUT!P3945-INPUT!Q3945),"")</f>
        <v/>
      </c>
      <c r="L3950" s="48" t="str">
        <f>IFERROR(IF(OR(INPUT!P3945="",INPUT!Q3945="",INPUT!P3945=0),"",(INPUT!P3945-INPUT!Q3945)/INPUT!P3945),"")</f>
        <v/>
      </c>
    </row>
    <row r="3951" spans="1:12" ht="18" hidden="1" customHeight="1" x14ac:dyDescent="0.2">
      <c r="A3951" s="11" t="str">
        <f>IF(INPUT!M3946="","",INPUT!M3946)</f>
        <v/>
      </c>
      <c r="B3951" s="11" t="str">
        <f>IF(INPUT!M3946="","",INPUT!M3946-WEEKDAY(INPUT!M3946,2)+1)</f>
        <v/>
      </c>
      <c r="C3951" s="20">
        <f>IFERROR(_xlfn.ISOWEEKNUM(INPUT!M3946),"")</f>
        <v>52</v>
      </c>
      <c r="D3951" s="20">
        <f>IFERROR(YEAR(INPUT!M3946),"")</f>
        <v>1900</v>
      </c>
      <c r="E3951" t="str">
        <f>IF(INPUT!O3946="","",INPUT!O3946)</f>
        <v/>
      </c>
      <c r="F3951" t="str">
        <f>IF(INPUT!N3946="","",INPUT!N3946)</f>
        <v/>
      </c>
      <c r="G3951" cm="1">
        <f t="array" ref="G3951">IFERROR(VLOOKUP(INPUT!M3946&amp;INPUT!N3946,CHOOSE({1,2},INPUT!$A$3:$A$5000&amp;INPUT!$C$3:$C$5000,INPUT!$F$3:$F$5000),2,FALSE),"")</f>
        <v>0</v>
      </c>
      <c r="H3951" cm="1">
        <f t="array" ref="H3951">IFERROR(VLOOKUP(INPUT!M3946&amp;INPUT!N3946,CHOOSE({1,2},INPUT!$A$3:$A$5000&amp;INPUT!$C$3:$C$5000,INPUT!$D$3:$D$5000),2,FALSE),"")</f>
        <v>0</v>
      </c>
      <c r="I3951" s="46" t="str">
        <f>IF(INPUT!P3946="","",INPUT!P3946)</f>
        <v/>
      </c>
      <c r="J3951" s="46" t="str">
        <f>IF(INPUT!Q3946="","",INPUT!Q3946)</f>
        <v/>
      </c>
      <c r="K3951" s="46" t="str">
        <f>IFERROR(IF(OR(INPUT!P3946="",INPUT!Q3946=""),"",INPUT!P3946-INPUT!Q3946),"")</f>
        <v/>
      </c>
      <c r="L3951" s="48" t="str">
        <f>IFERROR(IF(OR(INPUT!P3946="",INPUT!Q3946="",INPUT!P3946=0),"",(INPUT!P3946-INPUT!Q3946)/INPUT!P3946),"")</f>
        <v/>
      </c>
    </row>
    <row r="3952" spans="1:12" ht="18" hidden="1" customHeight="1" x14ac:dyDescent="0.2">
      <c r="A3952" s="11" t="str">
        <f>IF(INPUT!M3947="","",INPUT!M3947)</f>
        <v/>
      </c>
      <c r="B3952" s="11" t="str">
        <f>IF(INPUT!M3947="","",INPUT!M3947-WEEKDAY(INPUT!M3947,2)+1)</f>
        <v/>
      </c>
      <c r="C3952" s="20">
        <f>IFERROR(_xlfn.ISOWEEKNUM(INPUT!M3947),"")</f>
        <v>52</v>
      </c>
      <c r="D3952" s="20">
        <f>IFERROR(YEAR(INPUT!M3947),"")</f>
        <v>1900</v>
      </c>
      <c r="E3952" t="str">
        <f>IF(INPUT!O3947="","",INPUT!O3947)</f>
        <v/>
      </c>
      <c r="F3952" t="str">
        <f>IF(INPUT!N3947="","",INPUT!N3947)</f>
        <v/>
      </c>
      <c r="G3952" cm="1">
        <f t="array" ref="G3952">IFERROR(VLOOKUP(INPUT!M3947&amp;INPUT!N3947,CHOOSE({1,2},INPUT!$A$3:$A$5000&amp;INPUT!$C$3:$C$5000,INPUT!$F$3:$F$5000),2,FALSE),"")</f>
        <v>0</v>
      </c>
      <c r="H3952" cm="1">
        <f t="array" ref="H3952">IFERROR(VLOOKUP(INPUT!M3947&amp;INPUT!N3947,CHOOSE({1,2},INPUT!$A$3:$A$5000&amp;INPUT!$C$3:$C$5000,INPUT!$D$3:$D$5000),2,FALSE),"")</f>
        <v>0</v>
      </c>
      <c r="I3952" s="46" t="str">
        <f>IF(INPUT!P3947="","",INPUT!P3947)</f>
        <v/>
      </c>
      <c r="J3952" s="46" t="str">
        <f>IF(INPUT!Q3947="","",INPUT!Q3947)</f>
        <v/>
      </c>
      <c r="K3952" s="46" t="str">
        <f>IFERROR(IF(OR(INPUT!P3947="",INPUT!Q3947=""),"",INPUT!P3947-INPUT!Q3947),"")</f>
        <v/>
      </c>
      <c r="L3952" s="48" t="str">
        <f>IFERROR(IF(OR(INPUT!P3947="",INPUT!Q3947="",INPUT!P3947=0),"",(INPUT!P3947-INPUT!Q3947)/INPUT!P3947),"")</f>
        <v/>
      </c>
    </row>
    <row r="3953" spans="1:12" ht="18" hidden="1" customHeight="1" x14ac:dyDescent="0.2">
      <c r="A3953" s="11" t="str">
        <f>IF(INPUT!M3948="","",INPUT!M3948)</f>
        <v/>
      </c>
      <c r="B3953" s="11" t="str">
        <f>IF(INPUT!M3948="","",INPUT!M3948-WEEKDAY(INPUT!M3948,2)+1)</f>
        <v/>
      </c>
      <c r="C3953" s="20">
        <f>IFERROR(_xlfn.ISOWEEKNUM(INPUT!M3948),"")</f>
        <v>52</v>
      </c>
      <c r="D3953" s="20">
        <f>IFERROR(YEAR(INPUT!M3948),"")</f>
        <v>1900</v>
      </c>
      <c r="E3953" t="str">
        <f>IF(INPUT!O3948="","",INPUT!O3948)</f>
        <v/>
      </c>
      <c r="F3953" t="str">
        <f>IF(INPUT!N3948="","",INPUT!N3948)</f>
        <v/>
      </c>
      <c r="G3953" cm="1">
        <f t="array" ref="G3953">IFERROR(VLOOKUP(INPUT!M3948&amp;INPUT!N3948,CHOOSE({1,2},INPUT!$A$3:$A$5000&amp;INPUT!$C$3:$C$5000,INPUT!$F$3:$F$5000),2,FALSE),"")</f>
        <v>0</v>
      </c>
      <c r="H3953" cm="1">
        <f t="array" ref="H3953">IFERROR(VLOOKUP(INPUT!M3948&amp;INPUT!N3948,CHOOSE({1,2},INPUT!$A$3:$A$5000&amp;INPUT!$C$3:$C$5000,INPUT!$D$3:$D$5000),2,FALSE),"")</f>
        <v>0</v>
      </c>
      <c r="I3953" s="46" t="str">
        <f>IF(INPUT!P3948="","",INPUT!P3948)</f>
        <v/>
      </c>
      <c r="J3953" s="46" t="str">
        <f>IF(INPUT!Q3948="","",INPUT!Q3948)</f>
        <v/>
      </c>
      <c r="K3953" s="46" t="str">
        <f>IFERROR(IF(OR(INPUT!P3948="",INPUT!Q3948=""),"",INPUT!P3948-INPUT!Q3948),"")</f>
        <v/>
      </c>
      <c r="L3953" s="48" t="str">
        <f>IFERROR(IF(OR(INPUT!P3948="",INPUT!Q3948="",INPUT!P3948=0),"",(INPUT!P3948-INPUT!Q3948)/INPUT!P3948),"")</f>
        <v/>
      </c>
    </row>
    <row r="3954" spans="1:12" ht="18" hidden="1" customHeight="1" x14ac:dyDescent="0.2">
      <c r="A3954" s="11" t="str">
        <f>IF(INPUT!M3949="","",INPUT!M3949)</f>
        <v/>
      </c>
      <c r="B3954" s="11" t="str">
        <f>IF(INPUT!M3949="","",INPUT!M3949-WEEKDAY(INPUT!M3949,2)+1)</f>
        <v/>
      </c>
      <c r="C3954" s="20">
        <f>IFERROR(_xlfn.ISOWEEKNUM(INPUT!M3949),"")</f>
        <v>52</v>
      </c>
      <c r="D3954" s="20">
        <f>IFERROR(YEAR(INPUT!M3949),"")</f>
        <v>1900</v>
      </c>
      <c r="E3954" t="str">
        <f>IF(INPUT!O3949="","",INPUT!O3949)</f>
        <v/>
      </c>
      <c r="F3954" t="str">
        <f>IF(INPUT!N3949="","",INPUT!N3949)</f>
        <v/>
      </c>
      <c r="G3954" cm="1">
        <f t="array" ref="G3954">IFERROR(VLOOKUP(INPUT!M3949&amp;INPUT!N3949,CHOOSE({1,2},INPUT!$A$3:$A$5000&amp;INPUT!$C$3:$C$5000,INPUT!$F$3:$F$5000),2,FALSE),"")</f>
        <v>0</v>
      </c>
      <c r="H3954" cm="1">
        <f t="array" ref="H3954">IFERROR(VLOOKUP(INPUT!M3949&amp;INPUT!N3949,CHOOSE({1,2},INPUT!$A$3:$A$5000&amp;INPUT!$C$3:$C$5000,INPUT!$D$3:$D$5000),2,FALSE),"")</f>
        <v>0</v>
      </c>
      <c r="I3954" s="46" t="str">
        <f>IF(INPUT!P3949="","",INPUT!P3949)</f>
        <v/>
      </c>
      <c r="J3954" s="46" t="str">
        <f>IF(INPUT!Q3949="","",INPUT!Q3949)</f>
        <v/>
      </c>
      <c r="K3954" s="46" t="str">
        <f>IFERROR(IF(OR(INPUT!P3949="",INPUT!Q3949=""),"",INPUT!P3949-INPUT!Q3949),"")</f>
        <v/>
      </c>
      <c r="L3954" s="48" t="str">
        <f>IFERROR(IF(OR(INPUT!P3949="",INPUT!Q3949="",INPUT!P3949=0),"",(INPUT!P3949-INPUT!Q3949)/INPUT!P3949),"")</f>
        <v/>
      </c>
    </row>
    <row r="3955" spans="1:12" ht="18" hidden="1" customHeight="1" x14ac:dyDescent="0.2">
      <c r="A3955" s="11" t="str">
        <f>IF(INPUT!M3950="","",INPUT!M3950)</f>
        <v/>
      </c>
      <c r="B3955" s="11" t="str">
        <f>IF(INPUT!M3950="","",INPUT!M3950-WEEKDAY(INPUT!M3950,2)+1)</f>
        <v/>
      </c>
      <c r="C3955" s="20">
        <f>IFERROR(_xlfn.ISOWEEKNUM(INPUT!M3950),"")</f>
        <v>52</v>
      </c>
      <c r="D3955" s="20">
        <f>IFERROR(YEAR(INPUT!M3950),"")</f>
        <v>1900</v>
      </c>
      <c r="E3955" t="str">
        <f>IF(INPUT!O3950="","",INPUT!O3950)</f>
        <v/>
      </c>
      <c r="F3955" t="str">
        <f>IF(INPUT!N3950="","",INPUT!N3950)</f>
        <v/>
      </c>
      <c r="G3955" cm="1">
        <f t="array" ref="G3955">IFERROR(VLOOKUP(INPUT!M3950&amp;INPUT!N3950,CHOOSE({1,2},INPUT!$A$3:$A$5000&amp;INPUT!$C$3:$C$5000,INPUT!$F$3:$F$5000),2,FALSE),"")</f>
        <v>0</v>
      </c>
      <c r="H3955" cm="1">
        <f t="array" ref="H3955">IFERROR(VLOOKUP(INPUT!M3950&amp;INPUT!N3950,CHOOSE({1,2},INPUT!$A$3:$A$5000&amp;INPUT!$C$3:$C$5000,INPUT!$D$3:$D$5000),2,FALSE),"")</f>
        <v>0</v>
      </c>
      <c r="I3955" s="46" t="str">
        <f>IF(INPUT!P3950="","",INPUT!P3950)</f>
        <v/>
      </c>
      <c r="J3955" s="46" t="str">
        <f>IF(INPUT!Q3950="","",INPUT!Q3950)</f>
        <v/>
      </c>
      <c r="K3955" s="46" t="str">
        <f>IFERROR(IF(OR(INPUT!P3950="",INPUT!Q3950=""),"",INPUT!P3950-INPUT!Q3950),"")</f>
        <v/>
      </c>
      <c r="L3955" s="48" t="str">
        <f>IFERROR(IF(OR(INPUT!P3950="",INPUT!Q3950="",INPUT!P3950=0),"",(INPUT!P3950-INPUT!Q3950)/INPUT!P3950),"")</f>
        <v/>
      </c>
    </row>
    <row r="3956" spans="1:12" ht="18" hidden="1" customHeight="1" x14ac:dyDescent="0.2">
      <c r="A3956" s="11" t="str">
        <f>IF(INPUT!M3951="","",INPUT!M3951)</f>
        <v/>
      </c>
      <c r="B3956" s="11" t="str">
        <f>IF(INPUT!M3951="","",INPUT!M3951-WEEKDAY(INPUT!M3951,2)+1)</f>
        <v/>
      </c>
      <c r="C3956" s="20">
        <f>IFERROR(_xlfn.ISOWEEKNUM(INPUT!M3951),"")</f>
        <v>52</v>
      </c>
      <c r="D3956" s="20">
        <f>IFERROR(YEAR(INPUT!M3951),"")</f>
        <v>1900</v>
      </c>
      <c r="E3956" t="str">
        <f>IF(INPUT!O3951="","",INPUT!O3951)</f>
        <v/>
      </c>
      <c r="F3956" t="str">
        <f>IF(INPUT!N3951="","",INPUT!N3951)</f>
        <v/>
      </c>
      <c r="G3956" cm="1">
        <f t="array" ref="G3956">IFERROR(VLOOKUP(INPUT!M3951&amp;INPUT!N3951,CHOOSE({1,2},INPUT!$A$3:$A$5000&amp;INPUT!$C$3:$C$5000,INPUT!$F$3:$F$5000),2,FALSE),"")</f>
        <v>0</v>
      </c>
      <c r="H3956" cm="1">
        <f t="array" ref="H3956">IFERROR(VLOOKUP(INPUT!M3951&amp;INPUT!N3951,CHOOSE({1,2},INPUT!$A$3:$A$5000&amp;INPUT!$C$3:$C$5000,INPUT!$D$3:$D$5000),2,FALSE),"")</f>
        <v>0</v>
      </c>
      <c r="I3956" s="46" t="str">
        <f>IF(INPUT!P3951="","",INPUT!P3951)</f>
        <v/>
      </c>
      <c r="J3956" s="46" t="str">
        <f>IF(INPUT!Q3951="","",INPUT!Q3951)</f>
        <v/>
      </c>
      <c r="K3956" s="46" t="str">
        <f>IFERROR(IF(OR(INPUT!P3951="",INPUT!Q3951=""),"",INPUT!P3951-INPUT!Q3951),"")</f>
        <v/>
      </c>
      <c r="L3956" s="48" t="str">
        <f>IFERROR(IF(OR(INPUT!P3951="",INPUT!Q3951="",INPUT!P3951=0),"",(INPUT!P3951-INPUT!Q3951)/INPUT!P3951),"")</f>
        <v/>
      </c>
    </row>
    <row r="3957" spans="1:12" ht="18" hidden="1" customHeight="1" x14ac:dyDescent="0.2">
      <c r="A3957" s="11" t="str">
        <f>IF(INPUT!M3952="","",INPUT!M3952)</f>
        <v/>
      </c>
      <c r="B3957" s="11" t="str">
        <f>IF(INPUT!M3952="","",INPUT!M3952-WEEKDAY(INPUT!M3952,2)+1)</f>
        <v/>
      </c>
      <c r="C3957" s="20">
        <f>IFERROR(_xlfn.ISOWEEKNUM(INPUT!M3952),"")</f>
        <v>52</v>
      </c>
      <c r="D3957" s="20">
        <f>IFERROR(YEAR(INPUT!M3952),"")</f>
        <v>1900</v>
      </c>
      <c r="E3957" t="str">
        <f>IF(INPUT!O3952="","",INPUT!O3952)</f>
        <v/>
      </c>
      <c r="F3957" t="str">
        <f>IF(INPUT!N3952="","",INPUT!N3952)</f>
        <v/>
      </c>
      <c r="G3957" cm="1">
        <f t="array" ref="G3957">IFERROR(VLOOKUP(INPUT!M3952&amp;INPUT!N3952,CHOOSE({1,2},INPUT!$A$3:$A$5000&amp;INPUT!$C$3:$C$5000,INPUT!$F$3:$F$5000),2,FALSE),"")</f>
        <v>0</v>
      </c>
      <c r="H3957" cm="1">
        <f t="array" ref="H3957">IFERROR(VLOOKUP(INPUT!M3952&amp;INPUT!N3952,CHOOSE({1,2},INPUT!$A$3:$A$5000&amp;INPUT!$C$3:$C$5000,INPUT!$D$3:$D$5000),2,FALSE),"")</f>
        <v>0</v>
      </c>
      <c r="I3957" s="46" t="str">
        <f>IF(INPUT!P3952="","",INPUT!P3952)</f>
        <v/>
      </c>
      <c r="J3957" s="46" t="str">
        <f>IF(INPUT!Q3952="","",INPUT!Q3952)</f>
        <v/>
      </c>
      <c r="K3957" s="46" t="str">
        <f>IFERROR(IF(OR(INPUT!P3952="",INPUT!Q3952=""),"",INPUT!P3952-INPUT!Q3952),"")</f>
        <v/>
      </c>
      <c r="L3957" s="48" t="str">
        <f>IFERROR(IF(OR(INPUT!P3952="",INPUT!Q3952="",INPUT!P3952=0),"",(INPUT!P3952-INPUT!Q3952)/INPUT!P3952),"")</f>
        <v/>
      </c>
    </row>
    <row r="3958" spans="1:12" ht="18" hidden="1" customHeight="1" x14ac:dyDescent="0.2">
      <c r="A3958" s="11" t="str">
        <f>IF(INPUT!M3953="","",INPUT!M3953)</f>
        <v/>
      </c>
      <c r="B3958" s="11" t="str">
        <f>IF(INPUT!M3953="","",INPUT!M3953-WEEKDAY(INPUT!M3953,2)+1)</f>
        <v/>
      </c>
      <c r="C3958" s="20">
        <f>IFERROR(_xlfn.ISOWEEKNUM(INPUT!M3953),"")</f>
        <v>52</v>
      </c>
      <c r="D3958" s="20">
        <f>IFERROR(YEAR(INPUT!M3953),"")</f>
        <v>1900</v>
      </c>
      <c r="E3958" t="str">
        <f>IF(INPUT!O3953="","",INPUT!O3953)</f>
        <v/>
      </c>
      <c r="F3958" t="str">
        <f>IF(INPUT!N3953="","",INPUT!N3953)</f>
        <v/>
      </c>
      <c r="G3958" cm="1">
        <f t="array" ref="G3958">IFERROR(VLOOKUP(INPUT!M3953&amp;INPUT!N3953,CHOOSE({1,2},INPUT!$A$3:$A$5000&amp;INPUT!$C$3:$C$5000,INPUT!$F$3:$F$5000),2,FALSE),"")</f>
        <v>0</v>
      </c>
      <c r="H3958" cm="1">
        <f t="array" ref="H3958">IFERROR(VLOOKUP(INPUT!M3953&amp;INPUT!N3953,CHOOSE({1,2},INPUT!$A$3:$A$5000&amp;INPUT!$C$3:$C$5000,INPUT!$D$3:$D$5000),2,FALSE),"")</f>
        <v>0</v>
      </c>
      <c r="I3958" s="46" t="str">
        <f>IF(INPUT!P3953="","",INPUT!P3953)</f>
        <v/>
      </c>
      <c r="J3958" s="46" t="str">
        <f>IF(INPUT!Q3953="","",INPUT!Q3953)</f>
        <v/>
      </c>
      <c r="K3958" s="46" t="str">
        <f>IFERROR(IF(OR(INPUT!P3953="",INPUT!Q3953=""),"",INPUT!P3953-INPUT!Q3953),"")</f>
        <v/>
      </c>
      <c r="L3958" s="48" t="str">
        <f>IFERROR(IF(OR(INPUT!P3953="",INPUT!Q3953="",INPUT!P3953=0),"",(INPUT!P3953-INPUT!Q3953)/INPUT!P3953),"")</f>
        <v/>
      </c>
    </row>
    <row r="3959" spans="1:12" ht="18" hidden="1" customHeight="1" x14ac:dyDescent="0.2">
      <c r="A3959" s="11" t="str">
        <f>IF(INPUT!M3954="","",INPUT!M3954)</f>
        <v/>
      </c>
      <c r="B3959" s="11" t="str">
        <f>IF(INPUT!M3954="","",INPUT!M3954-WEEKDAY(INPUT!M3954,2)+1)</f>
        <v/>
      </c>
      <c r="C3959" s="20">
        <f>IFERROR(_xlfn.ISOWEEKNUM(INPUT!M3954),"")</f>
        <v>52</v>
      </c>
      <c r="D3959" s="20">
        <f>IFERROR(YEAR(INPUT!M3954),"")</f>
        <v>1900</v>
      </c>
      <c r="E3959" t="str">
        <f>IF(INPUT!O3954="","",INPUT!O3954)</f>
        <v/>
      </c>
      <c r="F3959" t="str">
        <f>IF(INPUT!N3954="","",INPUT!N3954)</f>
        <v/>
      </c>
      <c r="G3959" cm="1">
        <f t="array" ref="G3959">IFERROR(VLOOKUP(INPUT!M3954&amp;INPUT!N3954,CHOOSE({1,2},INPUT!$A$3:$A$5000&amp;INPUT!$C$3:$C$5000,INPUT!$F$3:$F$5000),2,FALSE),"")</f>
        <v>0</v>
      </c>
      <c r="H3959" cm="1">
        <f t="array" ref="H3959">IFERROR(VLOOKUP(INPUT!M3954&amp;INPUT!N3954,CHOOSE({1,2},INPUT!$A$3:$A$5000&amp;INPUT!$C$3:$C$5000,INPUT!$D$3:$D$5000),2,FALSE),"")</f>
        <v>0</v>
      </c>
      <c r="I3959" s="46" t="str">
        <f>IF(INPUT!P3954="","",INPUT!P3954)</f>
        <v/>
      </c>
      <c r="J3959" s="46" t="str">
        <f>IF(INPUT!Q3954="","",INPUT!Q3954)</f>
        <v/>
      </c>
      <c r="K3959" s="46" t="str">
        <f>IFERROR(IF(OR(INPUT!P3954="",INPUT!Q3954=""),"",INPUT!P3954-INPUT!Q3954),"")</f>
        <v/>
      </c>
      <c r="L3959" s="48" t="str">
        <f>IFERROR(IF(OR(INPUT!P3954="",INPUT!Q3954="",INPUT!P3954=0),"",(INPUT!P3954-INPUT!Q3954)/INPUT!P3954),"")</f>
        <v/>
      </c>
    </row>
    <row r="3960" spans="1:12" ht="18" hidden="1" customHeight="1" x14ac:dyDescent="0.2">
      <c r="A3960" s="11" t="str">
        <f>IF(INPUT!M3955="","",INPUT!M3955)</f>
        <v/>
      </c>
      <c r="B3960" s="11" t="str">
        <f>IF(INPUT!M3955="","",INPUT!M3955-WEEKDAY(INPUT!M3955,2)+1)</f>
        <v/>
      </c>
      <c r="C3960" s="20">
        <f>IFERROR(_xlfn.ISOWEEKNUM(INPUT!M3955),"")</f>
        <v>52</v>
      </c>
      <c r="D3960" s="20">
        <f>IFERROR(YEAR(INPUT!M3955),"")</f>
        <v>1900</v>
      </c>
      <c r="E3960" t="str">
        <f>IF(INPUT!O3955="","",INPUT!O3955)</f>
        <v/>
      </c>
      <c r="F3960" t="str">
        <f>IF(INPUT!N3955="","",INPUT!N3955)</f>
        <v/>
      </c>
      <c r="G3960" cm="1">
        <f t="array" ref="G3960">IFERROR(VLOOKUP(INPUT!M3955&amp;INPUT!N3955,CHOOSE({1,2},INPUT!$A$3:$A$5000&amp;INPUT!$C$3:$C$5000,INPUT!$F$3:$F$5000),2,FALSE),"")</f>
        <v>0</v>
      </c>
      <c r="H3960" cm="1">
        <f t="array" ref="H3960">IFERROR(VLOOKUP(INPUT!M3955&amp;INPUT!N3955,CHOOSE({1,2},INPUT!$A$3:$A$5000&amp;INPUT!$C$3:$C$5000,INPUT!$D$3:$D$5000),2,FALSE),"")</f>
        <v>0</v>
      </c>
      <c r="I3960" s="46" t="str">
        <f>IF(INPUT!P3955="","",INPUT!P3955)</f>
        <v/>
      </c>
      <c r="J3960" s="46" t="str">
        <f>IF(INPUT!Q3955="","",INPUT!Q3955)</f>
        <v/>
      </c>
      <c r="K3960" s="46" t="str">
        <f>IFERROR(IF(OR(INPUT!P3955="",INPUT!Q3955=""),"",INPUT!P3955-INPUT!Q3955),"")</f>
        <v/>
      </c>
      <c r="L3960" s="48" t="str">
        <f>IFERROR(IF(OR(INPUT!P3955="",INPUT!Q3955="",INPUT!P3955=0),"",(INPUT!P3955-INPUT!Q3955)/INPUT!P3955),"")</f>
        <v/>
      </c>
    </row>
    <row r="3961" spans="1:12" ht="18" hidden="1" customHeight="1" x14ac:dyDescent="0.2">
      <c r="A3961" s="11" t="str">
        <f>IF(INPUT!M3956="","",INPUT!M3956)</f>
        <v/>
      </c>
      <c r="B3961" s="11" t="str">
        <f>IF(INPUT!M3956="","",INPUT!M3956-WEEKDAY(INPUT!M3956,2)+1)</f>
        <v/>
      </c>
      <c r="C3961" s="20">
        <f>IFERROR(_xlfn.ISOWEEKNUM(INPUT!M3956),"")</f>
        <v>52</v>
      </c>
      <c r="D3961" s="20">
        <f>IFERROR(YEAR(INPUT!M3956),"")</f>
        <v>1900</v>
      </c>
      <c r="E3961" t="str">
        <f>IF(INPUT!O3956="","",INPUT!O3956)</f>
        <v/>
      </c>
      <c r="F3961" t="str">
        <f>IF(INPUT!N3956="","",INPUT!N3956)</f>
        <v/>
      </c>
      <c r="G3961" cm="1">
        <f t="array" ref="G3961">IFERROR(VLOOKUP(INPUT!M3956&amp;INPUT!N3956,CHOOSE({1,2},INPUT!$A$3:$A$5000&amp;INPUT!$C$3:$C$5000,INPUT!$F$3:$F$5000),2,FALSE),"")</f>
        <v>0</v>
      </c>
      <c r="H3961" cm="1">
        <f t="array" ref="H3961">IFERROR(VLOOKUP(INPUT!M3956&amp;INPUT!N3956,CHOOSE({1,2},INPUT!$A$3:$A$5000&amp;INPUT!$C$3:$C$5000,INPUT!$D$3:$D$5000),2,FALSE),"")</f>
        <v>0</v>
      </c>
      <c r="I3961" s="46" t="str">
        <f>IF(INPUT!P3956="","",INPUT!P3956)</f>
        <v/>
      </c>
      <c r="J3961" s="46" t="str">
        <f>IF(INPUT!Q3956="","",INPUT!Q3956)</f>
        <v/>
      </c>
      <c r="K3961" s="46" t="str">
        <f>IFERROR(IF(OR(INPUT!P3956="",INPUT!Q3956=""),"",INPUT!P3956-INPUT!Q3956),"")</f>
        <v/>
      </c>
      <c r="L3961" s="48" t="str">
        <f>IFERROR(IF(OR(INPUT!P3956="",INPUT!Q3956="",INPUT!P3956=0),"",(INPUT!P3956-INPUT!Q3956)/INPUT!P3956),"")</f>
        <v/>
      </c>
    </row>
    <row r="3962" spans="1:12" ht="18" hidden="1" customHeight="1" x14ac:dyDescent="0.2">
      <c r="A3962" s="11" t="str">
        <f>IF(INPUT!M3957="","",INPUT!M3957)</f>
        <v/>
      </c>
      <c r="B3962" s="11" t="str">
        <f>IF(INPUT!M3957="","",INPUT!M3957-WEEKDAY(INPUT!M3957,2)+1)</f>
        <v/>
      </c>
      <c r="C3962" s="20">
        <f>IFERROR(_xlfn.ISOWEEKNUM(INPUT!M3957),"")</f>
        <v>52</v>
      </c>
      <c r="D3962" s="20">
        <f>IFERROR(YEAR(INPUT!M3957),"")</f>
        <v>1900</v>
      </c>
      <c r="E3962" t="str">
        <f>IF(INPUT!O3957="","",INPUT!O3957)</f>
        <v/>
      </c>
      <c r="F3962" t="str">
        <f>IF(INPUT!N3957="","",INPUT!N3957)</f>
        <v/>
      </c>
      <c r="G3962" cm="1">
        <f t="array" ref="G3962">IFERROR(VLOOKUP(INPUT!M3957&amp;INPUT!N3957,CHOOSE({1,2},INPUT!$A$3:$A$5000&amp;INPUT!$C$3:$C$5000,INPUT!$F$3:$F$5000),2,FALSE),"")</f>
        <v>0</v>
      </c>
      <c r="H3962" cm="1">
        <f t="array" ref="H3962">IFERROR(VLOOKUP(INPUT!M3957&amp;INPUT!N3957,CHOOSE({1,2},INPUT!$A$3:$A$5000&amp;INPUT!$C$3:$C$5000,INPUT!$D$3:$D$5000),2,FALSE),"")</f>
        <v>0</v>
      </c>
      <c r="I3962" s="46" t="str">
        <f>IF(INPUT!P3957="","",INPUT!P3957)</f>
        <v/>
      </c>
      <c r="J3962" s="46" t="str">
        <f>IF(INPUT!Q3957="","",INPUT!Q3957)</f>
        <v/>
      </c>
      <c r="K3962" s="46" t="str">
        <f>IFERROR(IF(OR(INPUT!P3957="",INPUT!Q3957=""),"",INPUT!P3957-INPUT!Q3957),"")</f>
        <v/>
      </c>
      <c r="L3962" s="48" t="str">
        <f>IFERROR(IF(OR(INPUT!P3957="",INPUT!Q3957="",INPUT!P3957=0),"",(INPUT!P3957-INPUT!Q3957)/INPUT!P3957),"")</f>
        <v/>
      </c>
    </row>
    <row r="3963" spans="1:12" ht="18" hidden="1" customHeight="1" x14ac:dyDescent="0.2">
      <c r="A3963" s="11" t="str">
        <f>IF(INPUT!M3958="","",INPUT!M3958)</f>
        <v/>
      </c>
      <c r="B3963" s="11" t="str">
        <f>IF(INPUT!M3958="","",INPUT!M3958-WEEKDAY(INPUT!M3958,2)+1)</f>
        <v/>
      </c>
      <c r="C3963" s="20">
        <f>IFERROR(_xlfn.ISOWEEKNUM(INPUT!M3958),"")</f>
        <v>52</v>
      </c>
      <c r="D3963" s="20">
        <f>IFERROR(YEAR(INPUT!M3958),"")</f>
        <v>1900</v>
      </c>
      <c r="E3963" t="str">
        <f>IF(INPUT!O3958="","",INPUT!O3958)</f>
        <v/>
      </c>
      <c r="F3963" t="str">
        <f>IF(INPUT!N3958="","",INPUT!N3958)</f>
        <v/>
      </c>
      <c r="G3963" cm="1">
        <f t="array" ref="G3963">IFERROR(VLOOKUP(INPUT!M3958&amp;INPUT!N3958,CHOOSE({1,2},INPUT!$A$3:$A$5000&amp;INPUT!$C$3:$C$5000,INPUT!$F$3:$F$5000),2,FALSE),"")</f>
        <v>0</v>
      </c>
      <c r="H3963" cm="1">
        <f t="array" ref="H3963">IFERROR(VLOOKUP(INPUT!M3958&amp;INPUT!N3958,CHOOSE({1,2},INPUT!$A$3:$A$5000&amp;INPUT!$C$3:$C$5000,INPUT!$D$3:$D$5000),2,FALSE),"")</f>
        <v>0</v>
      </c>
      <c r="I3963" s="46" t="str">
        <f>IF(INPUT!P3958="","",INPUT!P3958)</f>
        <v/>
      </c>
      <c r="J3963" s="46" t="str">
        <f>IF(INPUT!Q3958="","",INPUT!Q3958)</f>
        <v/>
      </c>
      <c r="K3963" s="46" t="str">
        <f>IFERROR(IF(OR(INPUT!P3958="",INPUT!Q3958=""),"",INPUT!P3958-INPUT!Q3958),"")</f>
        <v/>
      </c>
      <c r="L3963" s="48" t="str">
        <f>IFERROR(IF(OR(INPUT!P3958="",INPUT!Q3958="",INPUT!P3958=0),"",(INPUT!P3958-INPUT!Q3958)/INPUT!P3958),"")</f>
        <v/>
      </c>
    </row>
    <row r="3964" spans="1:12" ht="18" hidden="1" customHeight="1" x14ac:dyDescent="0.2">
      <c r="A3964" s="11" t="str">
        <f>IF(INPUT!M3959="","",INPUT!M3959)</f>
        <v/>
      </c>
      <c r="B3964" s="11" t="str">
        <f>IF(INPUT!M3959="","",INPUT!M3959-WEEKDAY(INPUT!M3959,2)+1)</f>
        <v/>
      </c>
      <c r="C3964" s="20">
        <f>IFERROR(_xlfn.ISOWEEKNUM(INPUT!M3959),"")</f>
        <v>52</v>
      </c>
      <c r="D3964" s="20">
        <f>IFERROR(YEAR(INPUT!M3959),"")</f>
        <v>1900</v>
      </c>
      <c r="E3964" t="str">
        <f>IF(INPUT!O3959="","",INPUT!O3959)</f>
        <v/>
      </c>
      <c r="F3964" t="str">
        <f>IF(INPUT!N3959="","",INPUT!N3959)</f>
        <v/>
      </c>
      <c r="G3964" cm="1">
        <f t="array" ref="G3964">IFERROR(VLOOKUP(INPUT!M3959&amp;INPUT!N3959,CHOOSE({1,2},INPUT!$A$3:$A$5000&amp;INPUT!$C$3:$C$5000,INPUT!$F$3:$F$5000),2,FALSE),"")</f>
        <v>0</v>
      </c>
      <c r="H3964" cm="1">
        <f t="array" ref="H3964">IFERROR(VLOOKUP(INPUT!M3959&amp;INPUT!N3959,CHOOSE({1,2},INPUT!$A$3:$A$5000&amp;INPUT!$C$3:$C$5000,INPUT!$D$3:$D$5000),2,FALSE),"")</f>
        <v>0</v>
      </c>
      <c r="I3964" s="46" t="str">
        <f>IF(INPUT!P3959="","",INPUT!P3959)</f>
        <v/>
      </c>
      <c r="J3964" s="46" t="str">
        <f>IF(INPUT!Q3959="","",INPUT!Q3959)</f>
        <v/>
      </c>
      <c r="K3964" s="46" t="str">
        <f>IFERROR(IF(OR(INPUT!P3959="",INPUT!Q3959=""),"",INPUT!P3959-INPUT!Q3959),"")</f>
        <v/>
      </c>
      <c r="L3964" s="48" t="str">
        <f>IFERROR(IF(OR(INPUT!P3959="",INPUT!Q3959="",INPUT!P3959=0),"",(INPUT!P3959-INPUT!Q3959)/INPUT!P3959),"")</f>
        <v/>
      </c>
    </row>
    <row r="3965" spans="1:12" ht="18" hidden="1" customHeight="1" x14ac:dyDescent="0.2">
      <c r="A3965" s="11" t="str">
        <f>IF(INPUT!M3960="","",INPUT!M3960)</f>
        <v/>
      </c>
      <c r="B3965" s="11" t="str">
        <f>IF(INPUT!M3960="","",INPUT!M3960-WEEKDAY(INPUT!M3960,2)+1)</f>
        <v/>
      </c>
      <c r="C3965" s="20">
        <f>IFERROR(_xlfn.ISOWEEKNUM(INPUT!M3960),"")</f>
        <v>52</v>
      </c>
      <c r="D3965" s="20">
        <f>IFERROR(YEAR(INPUT!M3960),"")</f>
        <v>1900</v>
      </c>
      <c r="E3965" t="str">
        <f>IF(INPUT!O3960="","",INPUT!O3960)</f>
        <v/>
      </c>
      <c r="F3965" t="str">
        <f>IF(INPUT!N3960="","",INPUT!N3960)</f>
        <v/>
      </c>
      <c r="G3965" cm="1">
        <f t="array" ref="G3965">IFERROR(VLOOKUP(INPUT!M3960&amp;INPUT!N3960,CHOOSE({1,2},INPUT!$A$3:$A$5000&amp;INPUT!$C$3:$C$5000,INPUT!$F$3:$F$5000),2,FALSE),"")</f>
        <v>0</v>
      </c>
      <c r="H3965" cm="1">
        <f t="array" ref="H3965">IFERROR(VLOOKUP(INPUT!M3960&amp;INPUT!N3960,CHOOSE({1,2},INPUT!$A$3:$A$5000&amp;INPUT!$C$3:$C$5000,INPUT!$D$3:$D$5000),2,FALSE),"")</f>
        <v>0</v>
      </c>
      <c r="I3965" s="46" t="str">
        <f>IF(INPUT!P3960="","",INPUT!P3960)</f>
        <v/>
      </c>
      <c r="J3965" s="46" t="str">
        <f>IF(INPUT!Q3960="","",INPUT!Q3960)</f>
        <v/>
      </c>
      <c r="K3965" s="46" t="str">
        <f>IFERROR(IF(OR(INPUT!P3960="",INPUT!Q3960=""),"",INPUT!P3960-INPUT!Q3960),"")</f>
        <v/>
      </c>
      <c r="L3965" s="48" t="str">
        <f>IFERROR(IF(OR(INPUT!P3960="",INPUT!Q3960="",INPUT!P3960=0),"",(INPUT!P3960-INPUT!Q3960)/INPUT!P3960),"")</f>
        <v/>
      </c>
    </row>
    <row r="3966" spans="1:12" ht="18" hidden="1" customHeight="1" x14ac:dyDescent="0.2">
      <c r="A3966" s="11" t="str">
        <f>IF(INPUT!M3961="","",INPUT!M3961)</f>
        <v/>
      </c>
      <c r="B3966" s="11" t="str">
        <f>IF(INPUT!M3961="","",INPUT!M3961-WEEKDAY(INPUT!M3961,2)+1)</f>
        <v/>
      </c>
      <c r="C3966" s="20">
        <f>IFERROR(_xlfn.ISOWEEKNUM(INPUT!M3961),"")</f>
        <v>52</v>
      </c>
      <c r="D3966" s="20">
        <f>IFERROR(YEAR(INPUT!M3961),"")</f>
        <v>1900</v>
      </c>
      <c r="E3966" t="str">
        <f>IF(INPUT!O3961="","",INPUT!O3961)</f>
        <v/>
      </c>
      <c r="F3966" t="str">
        <f>IF(INPUT!N3961="","",INPUT!N3961)</f>
        <v/>
      </c>
      <c r="G3966" cm="1">
        <f t="array" ref="G3966">IFERROR(VLOOKUP(INPUT!M3961&amp;INPUT!N3961,CHOOSE({1,2},INPUT!$A$3:$A$5000&amp;INPUT!$C$3:$C$5000,INPUT!$F$3:$F$5000),2,FALSE),"")</f>
        <v>0</v>
      </c>
      <c r="H3966" cm="1">
        <f t="array" ref="H3966">IFERROR(VLOOKUP(INPUT!M3961&amp;INPUT!N3961,CHOOSE({1,2},INPUT!$A$3:$A$5000&amp;INPUT!$C$3:$C$5000,INPUT!$D$3:$D$5000),2,FALSE),"")</f>
        <v>0</v>
      </c>
      <c r="I3966" s="46" t="str">
        <f>IF(INPUT!P3961="","",INPUT!P3961)</f>
        <v/>
      </c>
      <c r="J3966" s="46" t="str">
        <f>IF(INPUT!Q3961="","",INPUT!Q3961)</f>
        <v/>
      </c>
      <c r="K3966" s="46" t="str">
        <f>IFERROR(IF(OR(INPUT!P3961="",INPUT!Q3961=""),"",INPUT!P3961-INPUT!Q3961),"")</f>
        <v/>
      </c>
      <c r="L3966" s="48" t="str">
        <f>IFERROR(IF(OR(INPUT!P3961="",INPUT!Q3961="",INPUT!P3961=0),"",(INPUT!P3961-INPUT!Q3961)/INPUT!P3961),"")</f>
        <v/>
      </c>
    </row>
    <row r="3967" spans="1:12" ht="18" hidden="1" customHeight="1" x14ac:dyDescent="0.2">
      <c r="A3967" s="11" t="str">
        <f>IF(INPUT!M3962="","",INPUT!M3962)</f>
        <v/>
      </c>
      <c r="B3967" s="11" t="str">
        <f>IF(INPUT!M3962="","",INPUT!M3962-WEEKDAY(INPUT!M3962,2)+1)</f>
        <v/>
      </c>
      <c r="C3967" s="20">
        <f>IFERROR(_xlfn.ISOWEEKNUM(INPUT!M3962),"")</f>
        <v>52</v>
      </c>
      <c r="D3967" s="20">
        <f>IFERROR(YEAR(INPUT!M3962),"")</f>
        <v>1900</v>
      </c>
      <c r="E3967" t="str">
        <f>IF(INPUT!O3962="","",INPUT!O3962)</f>
        <v/>
      </c>
      <c r="F3967" t="str">
        <f>IF(INPUT!N3962="","",INPUT!N3962)</f>
        <v/>
      </c>
      <c r="G3967" cm="1">
        <f t="array" ref="G3967">IFERROR(VLOOKUP(INPUT!M3962&amp;INPUT!N3962,CHOOSE({1,2},INPUT!$A$3:$A$5000&amp;INPUT!$C$3:$C$5000,INPUT!$F$3:$F$5000),2,FALSE),"")</f>
        <v>0</v>
      </c>
      <c r="H3967" cm="1">
        <f t="array" ref="H3967">IFERROR(VLOOKUP(INPUT!M3962&amp;INPUT!N3962,CHOOSE({1,2},INPUT!$A$3:$A$5000&amp;INPUT!$C$3:$C$5000,INPUT!$D$3:$D$5000),2,FALSE),"")</f>
        <v>0</v>
      </c>
      <c r="I3967" s="46" t="str">
        <f>IF(INPUT!P3962="","",INPUT!P3962)</f>
        <v/>
      </c>
      <c r="J3967" s="46" t="str">
        <f>IF(INPUT!Q3962="","",INPUT!Q3962)</f>
        <v/>
      </c>
      <c r="K3967" s="46" t="str">
        <f>IFERROR(IF(OR(INPUT!P3962="",INPUT!Q3962=""),"",INPUT!P3962-INPUT!Q3962),"")</f>
        <v/>
      </c>
      <c r="L3967" s="48" t="str">
        <f>IFERROR(IF(OR(INPUT!P3962="",INPUT!Q3962="",INPUT!P3962=0),"",(INPUT!P3962-INPUT!Q3962)/INPUT!P3962),"")</f>
        <v/>
      </c>
    </row>
    <row r="3968" spans="1:12" ht="18" hidden="1" customHeight="1" x14ac:dyDescent="0.2">
      <c r="A3968" s="11" t="str">
        <f>IF(INPUT!M3963="","",INPUT!M3963)</f>
        <v/>
      </c>
      <c r="B3968" s="11" t="str">
        <f>IF(INPUT!M3963="","",INPUT!M3963-WEEKDAY(INPUT!M3963,2)+1)</f>
        <v/>
      </c>
      <c r="C3968" s="20">
        <f>IFERROR(_xlfn.ISOWEEKNUM(INPUT!M3963),"")</f>
        <v>52</v>
      </c>
      <c r="D3968" s="20">
        <f>IFERROR(YEAR(INPUT!M3963),"")</f>
        <v>1900</v>
      </c>
      <c r="E3968" t="str">
        <f>IF(INPUT!O3963="","",INPUT!O3963)</f>
        <v/>
      </c>
      <c r="F3968" t="str">
        <f>IF(INPUT!N3963="","",INPUT!N3963)</f>
        <v/>
      </c>
      <c r="G3968" cm="1">
        <f t="array" ref="G3968">IFERROR(VLOOKUP(INPUT!M3963&amp;INPUT!N3963,CHOOSE({1,2},INPUT!$A$3:$A$5000&amp;INPUT!$C$3:$C$5000,INPUT!$F$3:$F$5000),2,FALSE),"")</f>
        <v>0</v>
      </c>
      <c r="H3968" cm="1">
        <f t="array" ref="H3968">IFERROR(VLOOKUP(INPUT!M3963&amp;INPUT!N3963,CHOOSE({1,2},INPUT!$A$3:$A$5000&amp;INPUT!$C$3:$C$5000,INPUT!$D$3:$D$5000),2,FALSE),"")</f>
        <v>0</v>
      </c>
      <c r="I3968" s="46" t="str">
        <f>IF(INPUT!P3963="","",INPUT!P3963)</f>
        <v/>
      </c>
      <c r="J3968" s="46" t="str">
        <f>IF(INPUT!Q3963="","",INPUT!Q3963)</f>
        <v/>
      </c>
      <c r="K3968" s="46" t="str">
        <f>IFERROR(IF(OR(INPUT!P3963="",INPUT!Q3963=""),"",INPUT!P3963-INPUT!Q3963),"")</f>
        <v/>
      </c>
      <c r="L3968" s="48" t="str">
        <f>IFERROR(IF(OR(INPUT!P3963="",INPUT!Q3963="",INPUT!P3963=0),"",(INPUT!P3963-INPUT!Q3963)/INPUT!P3963),"")</f>
        <v/>
      </c>
    </row>
    <row r="3969" spans="1:12" ht="18" hidden="1" customHeight="1" x14ac:dyDescent="0.2">
      <c r="A3969" s="11" t="str">
        <f>IF(INPUT!M3964="","",INPUT!M3964)</f>
        <v/>
      </c>
      <c r="B3969" s="11" t="str">
        <f>IF(INPUT!M3964="","",INPUT!M3964-WEEKDAY(INPUT!M3964,2)+1)</f>
        <v/>
      </c>
      <c r="C3969" s="20">
        <f>IFERROR(_xlfn.ISOWEEKNUM(INPUT!M3964),"")</f>
        <v>52</v>
      </c>
      <c r="D3969" s="20">
        <f>IFERROR(YEAR(INPUT!M3964),"")</f>
        <v>1900</v>
      </c>
      <c r="E3969" t="str">
        <f>IF(INPUT!O3964="","",INPUT!O3964)</f>
        <v/>
      </c>
      <c r="F3969" t="str">
        <f>IF(INPUT!N3964="","",INPUT!N3964)</f>
        <v/>
      </c>
      <c r="G3969" cm="1">
        <f t="array" ref="G3969">IFERROR(VLOOKUP(INPUT!M3964&amp;INPUT!N3964,CHOOSE({1,2},INPUT!$A$3:$A$5000&amp;INPUT!$C$3:$C$5000,INPUT!$F$3:$F$5000),2,FALSE),"")</f>
        <v>0</v>
      </c>
      <c r="H3969" cm="1">
        <f t="array" ref="H3969">IFERROR(VLOOKUP(INPUT!M3964&amp;INPUT!N3964,CHOOSE({1,2},INPUT!$A$3:$A$5000&amp;INPUT!$C$3:$C$5000,INPUT!$D$3:$D$5000),2,FALSE),"")</f>
        <v>0</v>
      </c>
      <c r="I3969" s="46" t="str">
        <f>IF(INPUT!P3964="","",INPUT!P3964)</f>
        <v/>
      </c>
      <c r="J3969" s="46" t="str">
        <f>IF(INPUT!Q3964="","",INPUT!Q3964)</f>
        <v/>
      </c>
      <c r="K3969" s="46" t="str">
        <f>IFERROR(IF(OR(INPUT!P3964="",INPUT!Q3964=""),"",INPUT!P3964-INPUT!Q3964),"")</f>
        <v/>
      </c>
      <c r="L3969" s="48" t="str">
        <f>IFERROR(IF(OR(INPUT!P3964="",INPUT!Q3964="",INPUT!P3964=0),"",(INPUT!P3964-INPUT!Q3964)/INPUT!P3964),"")</f>
        <v/>
      </c>
    </row>
    <row r="3970" spans="1:12" ht="18" hidden="1" customHeight="1" x14ac:dyDescent="0.2">
      <c r="A3970" s="11" t="str">
        <f>IF(INPUT!M3965="","",INPUT!M3965)</f>
        <v/>
      </c>
      <c r="B3970" s="11" t="str">
        <f>IF(INPUT!M3965="","",INPUT!M3965-WEEKDAY(INPUT!M3965,2)+1)</f>
        <v/>
      </c>
      <c r="C3970" s="20">
        <f>IFERROR(_xlfn.ISOWEEKNUM(INPUT!M3965),"")</f>
        <v>52</v>
      </c>
      <c r="D3970" s="20">
        <f>IFERROR(YEAR(INPUT!M3965),"")</f>
        <v>1900</v>
      </c>
      <c r="E3970" t="str">
        <f>IF(INPUT!O3965="","",INPUT!O3965)</f>
        <v/>
      </c>
      <c r="F3970" t="str">
        <f>IF(INPUT!N3965="","",INPUT!N3965)</f>
        <v/>
      </c>
      <c r="G3970" cm="1">
        <f t="array" ref="G3970">IFERROR(VLOOKUP(INPUT!M3965&amp;INPUT!N3965,CHOOSE({1,2},INPUT!$A$3:$A$5000&amp;INPUT!$C$3:$C$5000,INPUT!$F$3:$F$5000),2,FALSE),"")</f>
        <v>0</v>
      </c>
      <c r="H3970" cm="1">
        <f t="array" ref="H3970">IFERROR(VLOOKUP(INPUT!M3965&amp;INPUT!N3965,CHOOSE({1,2},INPUT!$A$3:$A$5000&amp;INPUT!$C$3:$C$5000,INPUT!$D$3:$D$5000),2,FALSE),"")</f>
        <v>0</v>
      </c>
      <c r="I3970" s="46" t="str">
        <f>IF(INPUT!P3965="","",INPUT!P3965)</f>
        <v/>
      </c>
      <c r="J3970" s="46" t="str">
        <f>IF(INPUT!Q3965="","",INPUT!Q3965)</f>
        <v/>
      </c>
      <c r="K3970" s="46" t="str">
        <f>IFERROR(IF(OR(INPUT!P3965="",INPUT!Q3965=""),"",INPUT!P3965-INPUT!Q3965),"")</f>
        <v/>
      </c>
      <c r="L3970" s="48" t="str">
        <f>IFERROR(IF(OR(INPUT!P3965="",INPUT!Q3965="",INPUT!P3965=0),"",(INPUT!P3965-INPUT!Q3965)/INPUT!P3965),"")</f>
        <v/>
      </c>
    </row>
    <row r="3971" spans="1:12" ht="18" hidden="1" customHeight="1" x14ac:dyDescent="0.2">
      <c r="A3971" s="11" t="str">
        <f>IF(INPUT!M3966="","",INPUT!M3966)</f>
        <v/>
      </c>
      <c r="B3971" s="11" t="str">
        <f>IF(INPUT!M3966="","",INPUT!M3966-WEEKDAY(INPUT!M3966,2)+1)</f>
        <v/>
      </c>
      <c r="C3971" s="20">
        <f>IFERROR(_xlfn.ISOWEEKNUM(INPUT!M3966),"")</f>
        <v>52</v>
      </c>
      <c r="D3971" s="20">
        <f>IFERROR(YEAR(INPUT!M3966),"")</f>
        <v>1900</v>
      </c>
      <c r="E3971" t="str">
        <f>IF(INPUT!O3966="","",INPUT!O3966)</f>
        <v/>
      </c>
      <c r="F3971" t="str">
        <f>IF(INPUT!N3966="","",INPUT!N3966)</f>
        <v/>
      </c>
      <c r="G3971" cm="1">
        <f t="array" ref="G3971">IFERROR(VLOOKUP(INPUT!M3966&amp;INPUT!N3966,CHOOSE({1,2},INPUT!$A$3:$A$5000&amp;INPUT!$C$3:$C$5000,INPUT!$F$3:$F$5000),2,FALSE),"")</f>
        <v>0</v>
      </c>
      <c r="H3971" cm="1">
        <f t="array" ref="H3971">IFERROR(VLOOKUP(INPUT!M3966&amp;INPUT!N3966,CHOOSE({1,2},INPUT!$A$3:$A$5000&amp;INPUT!$C$3:$C$5000,INPUT!$D$3:$D$5000),2,FALSE),"")</f>
        <v>0</v>
      </c>
      <c r="I3971" s="46" t="str">
        <f>IF(INPUT!P3966="","",INPUT!P3966)</f>
        <v/>
      </c>
      <c r="J3971" s="46" t="str">
        <f>IF(INPUT!Q3966="","",INPUT!Q3966)</f>
        <v/>
      </c>
      <c r="K3971" s="46" t="str">
        <f>IFERROR(IF(OR(INPUT!P3966="",INPUT!Q3966=""),"",INPUT!P3966-INPUT!Q3966),"")</f>
        <v/>
      </c>
      <c r="L3971" s="48" t="str">
        <f>IFERROR(IF(OR(INPUT!P3966="",INPUT!Q3966="",INPUT!P3966=0),"",(INPUT!P3966-INPUT!Q3966)/INPUT!P3966),"")</f>
        <v/>
      </c>
    </row>
    <row r="3972" spans="1:12" ht="18" hidden="1" customHeight="1" x14ac:dyDescent="0.2">
      <c r="A3972" s="11" t="str">
        <f>IF(INPUT!M3967="","",INPUT!M3967)</f>
        <v/>
      </c>
      <c r="B3972" s="11" t="str">
        <f>IF(INPUT!M3967="","",INPUT!M3967-WEEKDAY(INPUT!M3967,2)+1)</f>
        <v/>
      </c>
      <c r="C3972" s="20">
        <f>IFERROR(_xlfn.ISOWEEKNUM(INPUT!M3967),"")</f>
        <v>52</v>
      </c>
      <c r="D3972" s="20">
        <f>IFERROR(YEAR(INPUT!M3967),"")</f>
        <v>1900</v>
      </c>
      <c r="E3972" t="str">
        <f>IF(INPUT!O3967="","",INPUT!O3967)</f>
        <v/>
      </c>
      <c r="F3972" t="str">
        <f>IF(INPUT!N3967="","",INPUT!N3967)</f>
        <v/>
      </c>
      <c r="G3972" cm="1">
        <f t="array" ref="G3972">IFERROR(VLOOKUP(INPUT!M3967&amp;INPUT!N3967,CHOOSE({1,2},INPUT!$A$3:$A$5000&amp;INPUT!$C$3:$C$5000,INPUT!$F$3:$F$5000),2,FALSE),"")</f>
        <v>0</v>
      </c>
      <c r="H3972" cm="1">
        <f t="array" ref="H3972">IFERROR(VLOOKUP(INPUT!M3967&amp;INPUT!N3967,CHOOSE({1,2},INPUT!$A$3:$A$5000&amp;INPUT!$C$3:$C$5000,INPUT!$D$3:$D$5000),2,FALSE),"")</f>
        <v>0</v>
      </c>
      <c r="I3972" s="46" t="str">
        <f>IF(INPUT!P3967="","",INPUT!P3967)</f>
        <v/>
      </c>
      <c r="J3972" s="46" t="str">
        <f>IF(INPUT!Q3967="","",INPUT!Q3967)</f>
        <v/>
      </c>
      <c r="K3972" s="46" t="str">
        <f>IFERROR(IF(OR(INPUT!P3967="",INPUT!Q3967=""),"",INPUT!P3967-INPUT!Q3967),"")</f>
        <v/>
      </c>
      <c r="L3972" s="48" t="str">
        <f>IFERROR(IF(OR(INPUT!P3967="",INPUT!Q3967="",INPUT!P3967=0),"",(INPUT!P3967-INPUT!Q3967)/INPUT!P3967),"")</f>
        <v/>
      </c>
    </row>
    <row r="3973" spans="1:12" ht="18" hidden="1" customHeight="1" x14ac:dyDescent="0.2">
      <c r="A3973" s="11" t="str">
        <f>IF(INPUT!M3968="","",INPUT!M3968)</f>
        <v/>
      </c>
      <c r="B3973" s="11" t="str">
        <f>IF(INPUT!M3968="","",INPUT!M3968-WEEKDAY(INPUT!M3968,2)+1)</f>
        <v/>
      </c>
      <c r="C3973" s="20">
        <f>IFERROR(_xlfn.ISOWEEKNUM(INPUT!M3968),"")</f>
        <v>52</v>
      </c>
      <c r="D3973" s="20">
        <f>IFERROR(YEAR(INPUT!M3968),"")</f>
        <v>1900</v>
      </c>
      <c r="E3973" t="str">
        <f>IF(INPUT!O3968="","",INPUT!O3968)</f>
        <v/>
      </c>
      <c r="F3973" t="str">
        <f>IF(INPUT!N3968="","",INPUT!N3968)</f>
        <v/>
      </c>
      <c r="G3973" cm="1">
        <f t="array" ref="G3973">IFERROR(VLOOKUP(INPUT!M3968&amp;INPUT!N3968,CHOOSE({1,2},INPUT!$A$3:$A$5000&amp;INPUT!$C$3:$C$5000,INPUT!$F$3:$F$5000),2,FALSE),"")</f>
        <v>0</v>
      </c>
      <c r="H3973" cm="1">
        <f t="array" ref="H3973">IFERROR(VLOOKUP(INPUT!M3968&amp;INPUT!N3968,CHOOSE({1,2},INPUT!$A$3:$A$5000&amp;INPUT!$C$3:$C$5000,INPUT!$D$3:$D$5000),2,FALSE),"")</f>
        <v>0</v>
      </c>
      <c r="I3973" s="46" t="str">
        <f>IF(INPUT!P3968="","",INPUT!P3968)</f>
        <v/>
      </c>
      <c r="J3973" s="46" t="str">
        <f>IF(INPUT!Q3968="","",INPUT!Q3968)</f>
        <v/>
      </c>
      <c r="K3973" s="46" t="str">
        <f>IFERROR(IF(OR(INPUT!P3968="",INPUT!Q3968=""),"",INPUT!P3968-INPUT!Q3968),"")</f>
        <v/>
      </c>
      <c r="L3973" s="48" t="str">
        <f>IFERROR(IF(OR(INPUT!P3968="",INPUT!Q3968="",INPUT!P3968=0),"",(INPUT!P3968-INPUT!Q3968)/INPUT!P3968),"")</f>
        <v/>
      </c>
    </row>
    <row r="3974" spans="1:12" ht="18" hidden="1" customHeight="1" x14ac:dyDescent="0.2">
      <c r="A3974" s="11" t="str">
        <f>IF(INPUT!M3969="","",INPUT!M3969)</f>
        <v/>
      </c>
      <c r="B3974" s="11" t="str">
        <f>IF(INPUT!M3969="","",INPUT!M3969-WEEKDAY(INPUT!M3969,2)+1)</f>
        <v/>
      </c>
      <c r="C3974" s="20">
        <f>IFERROR(_xlfn.ISOWEEKNUM(INPUT!M3969),"")</f>
        <v>52</v>
      </c>
      <c r="D3974" s="20">
        <f>IFERROR(YEAR(INPUT!M3969),"")</f>
        <v>1900</v>
      </c>
      <c r="E3974" t="str">
        <f>IF(INPUT!O3969="","",INPUT!O3969)</f>
        <v/>
      </c>
      <c r="F3974" t="str">
        <f>IF(INPUT!N3969="","",INPUT!N3969)</f>
        <v/>
      </c>
      <c r="G3974" cm="1">
        <f t="array" ref="G3974">IFERROR(VLOOKUP(INPUT!M3969&amp;INPUT!N3969,CHOOSE({1,2},INPUT!$A$3:$A$5000&amp;INPUT!$C$3:$C$5000,INPUT!$F$3:$F$5000),2,FALSE),"")</f>
        <v>0</v>
      </c>
      <c r="H3974" cm="1">
        <f t="array" ref="H3974">IFERROR(VLOOKUP(INPUT!M3969&amp;INPUT!N3969,CHOOSE({1,2},INPUT!$A$3:$A$5000&amp;INPUT!$C$3:$C$5000,INPUT!$D$3:$D$5000),2,FALSE),"")</f>
        <v>0</v>
      </c>
      <c r="I3974" s="46" t="str">
        <f>IF(INPUT!P3969="","",INPUT!P3969)</f>
        <v/>
      </c>
      <c r="J3974" s="46" t="str">
        <f>IF(INPUT!Q3969="","",INPUT!Q3969)</f>
        <v/>
      </c>
      <c r="K3974" s="46" t="str">
        <f>IFERROR(IF(OR(INPUT!P3969="",INPUT!Q3969=""),"",INPUT!P3969-INPUT!Q3969),"")</f>
        <v/>
      </c>
      <c r="L3974" s="48" t="str">
        <f>IFERROR(IF(OR(INPUT!P3969="",INPUT!Q3969="",INPUT!P3969=0),"",(INPUT!P3969-INPUT!Q3969)/INPUT!P3969),"")</f>
        <v/>
      </c>
    </row>
    <row r="3975" spans="1:12" ht="18" hidden="1" customHeight="1" x14ac:dyDescent="0.2">
      <c r="A3975" s="11" t="str">
        <f>IF(INPUT!M3970="","",INPUT!M3970)</f>
        <v/>
      </c>
      <c r="B3975" s="11" t="str">
        <f>IF(INPUT!M3970="","",INPUT!M3970-WEEKDAY(INPUT!M3970,2)+1)</f>
        <v/>
      </c>
      <c r="C3975" s="20">
        <f>IFERROR(_xlfn.ISOWEEKNUM(INPUT!M3970),"")</f>
        <v>52</v>
      </c>
      <c r="D3975" s="20">
        <f>IFERROR(YEAR(INPUT!M3970),"")</f>
        <v>1900</v>
      </c>
      <c r="E3975" t="str">
        <f>IF(INPUT!O3970="","",INPUT!O3970)</f>
        <v/>
      </c>
      <c r="F3975" t="str">
        <f>IF(INPUT!N3970="","",INPUT!N3970)</f>
        <v/>
      </c>
      <c r="G3975" cm="1">
        <f t="array" ref="G3975">IFERROR(VLOOKUP(INPUT!M3970&amp;INPUT!N3970,CHOOSE({1,2},INPUT!$A$3:$A$5000&amp;INPUT!$C$3:$C$5000,INPUT!$F$3:$F$5000),2,FALSE),"")</f>
        <v>0</v>
      </c>
      <c r="H3975" cm="1">
        <f t="array" ref="H3975">IFERROR(VLOOKUP(INPUT!M3970&amp;INPUT!N3970,CHOOSE({1,2},INPUT!$A$3:$A$5000&amp;INPUT!$C$3:$C$5000,INPUT!$D$3:$D$5000),2,FALSE),"")</f>
        <v>0</v>
      </c>
      <c r="I3975" s="46" t="str">
        <f>IF(INPUT!P3970="","",INPUT!P3970)</f>
        <v/>
      </c>
      <c r="J3975" s="46" t="str">
        <f>IF(INPUT!Q3970="","",INPUT!Q3970)</f>
        <v/>
      </c>
      <c r="K3975" s="46" t="str">
        <f>IFERROR(IF(OR(INPUT!P3970="",INPUT!Q3970=""),"",INPUT!P3970-INPUT!Q3970),"")</f>
        <v/>
      </c>
      <c r="L3975" s="48" t="str">
        <f>IFERROR(IF(OR(INPUT!P3970="",INPUT!Q3970="",INPUT!P3970=0),"",(INPUT!P3970-INPUT!Q3970)/INPUT!P3970),"")</f>
        <v/>
      </c>
    </row>
    <row r="3976" spans="1:12" ht="18" hidden="1" customHeight="1" x14ac:dyDescent="0.2">
      <c r="A3976" s="11" t="str">
        <f>IF(INPUT!M3971="","",INPUT!M3971)</f>
        <v/>
      </c>
      <c r="B3976" s="11" t="str">
        <f>IF(INPUT!M3971="","",INPUT!M3971-WEEKDAY(INPUT!M3971,2)+1)</f>
        <v/>
      </c>
      <c r="C3976" s="20">
        <f>IFERROR(_xlfn.ISOWEEKNUM(INPUT!M3971),"")</f>
        <v>52</v>
      </c>
      <c r="D3976" s="20">
        <f>IFERROR(YEAR(INPUT!M3971),"")</f>
        <v>1900</v>
      </c>
      <c r="E3976" t="str">
        <f>IF(INPUT!O3971="","",INPUT!O3971)</f>
        <v/>
      </c>
      <c r="F3976" t="str">
        <f>IF(INPUT!N3971="","",INPUT!N3971)</f>
        <v/>
      </c>
      <c r="G3976" cm="1">
        <f t="array" ref="G3976">IFERROR(VLOOKUP(INPUT!M3971&amp;INPUT!N3971,CHOOSE({1,2},INPUT!$A$3:$A$5000&amp;INPUT!$C$3:$C$5000,INPUT!$F$3:$F$5000),2,FALSE),"")</f>
        <v>0</v>
      </c>
      <c r="H3976" cm="1">
        <f t="array" ref="H3976">IFERROR(VLOOKUP(INPUT!M3971&amp;INPUT!N3971,CHOOSE({1,2},INPUT!$A$3:$A$5000&amp;INPUT!$C$3:$C$5000,INPUT!$D$3:$D$5000),2,FALSE),"")</f>
        <v>0</v>
      </c>
      <c r="I3976" s="46" t="str">
        <f>IF(INPUT!P3971="","",INPUT!P3971)</f>
        <v/>
      </c>
      <c r="J3976" s="46" t="str">
        <f>IF(INPUT!Q3971="","",INPUT!Q3971)</f>
        <v/>
      </c>
      <c r="K3976" s="46" t="str">
        <f>IFERROR(IF(OR(INPUT!P3971="",INPUT!Q3971=""),"",INPUT!P3971-INPUT!Q3971),"")</f>
        <v/>
      </c>
      <c r="L3976" s="48" t="str">
        <f>IFERROR(IF(OR(INPUT!P3971="",INPUT!Q3971="",INPUT!P3971=0),"",(INPUT!P3971-INPUT!Q3971)/INPUT!P3971),"")</f>
        <v/>
      </c>
    </row>
    <row r="3977" spans="1:12" ht="18" hidden="1" customHeight="1" x14ac:dyDescent="0.2">
      <c r="A3977" s="11" t="str">
        <f>IF(INPUT!M3972="","",INPUT!M3972)</f>
        <v/>
      </c>
      <c r="B3977" s="11" t="str">
        <f>IF(INPUT!M3972="","",INPUT!M3972-WEEKDAY(INPUT!M3972,2)+1)</f>
        <v/>
      </c>
      <c r="C3977" s="20">
        <f>IFERROR(_xlfn.ISOWEEKNUM(INPUT!M3972),"")</f>
        <v>52</v>
      </c>
      <c r="D3977" s="20">
        <f>IFERROR(YEAR(INPUT!M3972),"")</f>
        <v>1900</v>
      </c>
      <c r="E3977" t="str">
        <f>IF(INPUT!O3972="","",INPUT!O3972)</f>
        <v/>
      </c>
      <c r="F3977" t="str">
        <f>IF(INPUT!N3972="","",INPUT!N3972)</f>
        <v/>
      </c>
      <c r="G3977" cm="1">
        <f t="array" ref="G3977">IFERROR(VLOOKUP(INPUT!M3972&amp;INPUT!N3972,CHOOSE({1,2},INPUT!$A$3:$A$5000&amp;INPUT!$C$3:$C$5000,INPUT!$F$3:$F$5000),2,FALSE),"")</f>
        <v>0</v>
      </c>
      <c r="H3977" cm="1">
        <f t="array" ref="H3977">IFERROR(VLOOKUP(INPUT!M3972&amp;INPUT!N3972,CHOOSE({1,2},INPUT!$A$3:$A$5000&amp;INPUT!$C$3:$C$5000,INPUT!$D$3:$D$5000),2,FALSE),"")</f>
        <v>0</v>
      </c>
      <c r="I3977" s="46" t="str">
        <f>IF(INPUT!P3972="","",INPUT!P3972)</f>
        <v/>
      </c>
      <c r="J3977" s="46" t="str">
        <f>IF(INPUT!Q3972="","",INPUT!Q3972)</f>
        <v/>
      </c>
      <c r="K3977" s="46" t="str">
        <f>IFERROR(IF(OR(INPUT!P3972="",INPUT!Q3972=""),"",INPUT!P3972-INPUT!Q3972),"")</f>
        <v/>
      </c>
      <c r="L3977" s="48" t="str">
        <f>IFERROR(IF(OR(INPUT!P3972="",INPUT!Q3972="",INPUT!P3972=0),"",(INPUT!P3972-INPUT!Q3972)/INPUT!P3972),"")</f>
        <v/>
      </c>
    </row>
    <row r="3978" spans="1:12" ht="18" hidden="1" customHeight="1" x14ac:dyDescent="0.2">
      <c r="A3978" s="11" t="str">
        <f>IF(INPUT!M3973="","",INPUT!M3973)</f>
        <v/>
      </c>
      <c r="B3978" s="11" t="str">
        <f>IF(INPUT!M3973="","",INPUT!M3973-WEEKDAY(INPUT!M3973,2)+1)</f>
        <v/>
      </c>
      <c r="C3978" s="20">
        <f>IFERROR(_xlfn.ISOWEEKNUM(INPUT!M3973),"")</f>
        <v>52</v>
      </c>
      <c r="D3978" s="20">
        <f>IFERROR(YEAR(INPUT!M3973),"")</f>
        <v>1900</v>
      </c>
      <c r="E3978" t="str">
        <f>IF(INPUT!O3973="","",INPUT!O3973)</f>
        <v/>
      </c>
      <c r="F3978" t="str">
        <f>IF(INPUT!N3973="","",INPUT!N3973)</f>
        <v/>
      </c>
      <c r="G3978" cm="1">
        <f t="array" ref="G3978">IFERROR(VLOOKUP(INPUT!M3973&amp;INPUT!N3973,CHOOSE({1,2},INPUT!$A$3:$A$5000&amp;INPUT!$C$3:$C$5000,INPUT!$F$3:$F$5000),2,FALSE),"")</f>
        <v>0</v>
      </c>
      <c r="H3978" cm="1">
        <f t="array" ref="H3978">IFERROR(VLOOKUP(INPUT!M3973&amp;INPUT!N3973,CHOOSE({1,2},INPUT!$A$3:$A$5000&amp;INPUT!$C$3:$C$5000,INPUT!$D$3:$D$5000),2,FALSE),"")</f>
        <v>0</v>
      </c>
      <c r="I3978" s="46" t="str">
        <f>IF(INPUT!P3973="","",INPUT!P3973)</f>
        <v/>
      </c>
      <c r="J3978" s="46" t="str">
        <f>IF(INPUT!Q3973="","",INPUT!Q3973)</f>
        <v/>
      </c>
      <c r="K3978" s="46" t="str">
        <f>IFERROR(IF(OR(INPUT!P3973="",INPUT!Q3973=""),"",INPUT!P3973-INPUT!Q3973),"")</f>
        <v/>
      </c>
      <c r="L3978" s="48" t="str">
        <f>IFERROR(IF(OR(INPUT!P3973="",INPUT!Q3973="",INPUT!P3973=0),"",(INPUT!P3973-INPUT!Q3973)/INPUT!P3973),"")</f>
        <v/>
      </c>
    </row>
    <row r="3979" spans="1:12" ht="18" hidden="1" customHeight="1" x14ac:dyDescent="0.2">
      <c r="A3979" s="11" t="str">
        <f>IF(INPUT!M3974="","",INPUT!M3974)</f>
        <v/>
      </c>
      <c r="B3979" s="11" t="str">
        <f>IF(INPUT!M3974="","",INPUT!M3974-WEEKDAY(INPUT!M3974,2)+1)</f>
        <v/>
      </c>
      <c r="C3979" s="20">
        <f>IFERROR(_xlfn.ISOWEEKNUM(INPUT!M3974),"")</f>
        <v>52</v>
      </c>
      <c r="D3979" s="20">
        <f>IFERROR(YEAR(INPUT!M3974),"")</f>
        <v>1900</v>
      </c>
      <c r="E3979" t="str">
        <f>IF(INPUT!O3974="","",INPUT!O3974)</f>
        <v/>
      </c>
      <c r="F3979" t="str">
        <f>IF(INPUT!N3974="","",INPUT!N3974)</f>
        <v/>
      </c>
      <c r="G3979" cm="1">
        <f t="array" ref="G3979">IFERROR(VLOOKUP(INPUT!M3974&amp;INPUT!N3974,CHOOSE({1,2},INPUT!$A$3:$A$5000&amp;INPUT!$C$3:$C$5000,INPUT!$F$3:$F$5000),2,FALSE),"")</f>
        <v>0</v>
      </c>
      <c r="H3979" cm="1">
        <f t="array" ref="H3979">IFERROR(VLOOKUP(INPUT!M3974&amp;INPUT!N3974,CHOOSE({1,2},INPUT!$A$3:$A$5000&amp;INPUT!$C$3:$C$5000,INPUT!$D$3:$D$5000),2,FALSE),"")</f>
        <v>0</v>
      </c>
      <c r="I3979" s="46" t="str">
        <f>IF(INPUT!P3974="","",INPUT!P3974)</f>
        <v/>
      </c>
      <c r="J3979" s="46" t="str">
        <f>IF(INPUT!Q3974="","",INPUT!Q3974)</f>
        <v/>
      </c>
      <c r="K3979" s="46" t="str">
        <f>IFERROR(IF(OR(INPUT!P3974="",INPUT!Q3974=""),"",INPUT!P3974-INPUT!Q3974),"")</f>
        <v/>
      </c>
      <c r="L3979" s="48" t="str">
        <f>IFERROR(IF(OR(INPUT!P3974="",INPUT!Q3974="",INPUT!P3974=0),"",(INPUT!P3974-INPUT!Q3974)/INPUT!P3974),"")</f>
        <v/>
      </c>
    </row>
    <row r="3980" spans="1:12" ht="18" hidden="1" customHeight="1" x14ac:dyDescent="0.2">
      <c r="A3980" s="11" t="str">
        <f>IF(INPUT!M3975="","",INPUT!M3975)</f>
        <v/>
      </c>
      <c r="B3980" s="11" t="str">
        <f>IF(INPUT!M3975="","",INPUT!M3975-WEEKDAY(INPUT!M3975,2)+1)</f>
        <v/>
      </c>
      <c r="C3980" s="20">
        <f>IFERROR(_xlfn.ISOWEEKNUM(INPUT!M3975),"")</f>
        <v>52</v>
      </c>
      <c r="D3980" s="20">
        <f>IFERROR(YEAR(INPUT!M3975),"")</f>
        <v>1900</v>
      </c>
      <c r="E3980" t="str">
        <f>IF(INPUT!O3975="","",INPUT!O3975)</f>
        <v/>
      </c>
      <c r="F3980" t="str">
        <f>IF(INPUT!N3975="","",INPUT!N3975)</f>
        <v/>
      </c>
      <c r="G3980" cm="1">
        <f t="array" ref="G3980">IFERROR(VLOOKUP(INPUT!M3975&amp;INPUT!N3975,CHOOSE({1,2},INPUT!$A$3:$A$5000&amp;INPUT!$C$3:$C$5000,INPUT!$F$3:$F$5000),2,FALSE),"")</f>
        <v>0</v>
      </c>
      <c r="H3980" cm="1">
        <f t="array" ref="H3980">IFERROR(VLOOKUP(INPUT!M3975&amp;INPUT!N3975,CHOOSE({1,2},INPUT!$A$3:$A$5000&amp;INPUT!$C$3:$C$5000,INPUT!$D$3:$D$5000),2,FALSE),"")</f>
        <v>0</v>
      </c>
      <c r="I3980" s="46" t="str">
        <f>IF(INPUT!P3975="","",INPUT!P3975)</f>
        <v/>
      </c>
      <c r="J3980" s="46" t="str">
        <f>IF(INPUT!Q3975="","",INPUT!Q3975)</f>
        <v/>
      </c>
      <c r="K3980" s="46" t="str">
        <f>IFERROR(IF(OR(INPUT!P3975="",INPUT!Q3975=""),"",INPUT!P3975-INPUT!Q3975),"")</f>
        <v/>
      </c>
      <c r="L3980" s="48" t="str">
        <f>IFERROR(IF(OR(INPUT!P3975="",INPUT!Q3975="",INPUT!P3975=0),"",(INPUT!P3975-INPUT!Q3975)/INPUT!P3975),"")</f>
        <v/>
      </c>
    </row>
    <row r="3981" spans="1:12" ht="18" hidden="1" customHeight="1" x14ac:dyDescent="0.2">
      <c r="A3981" s="11" t="str">
        <f>IF(INPUT!M3976="","",INPUT!M3976)</f>
        <v/>
      </c>
      <c r="B3981" s="11" t="str">
        <f>IF(INPUT!M3976="","",INPUT!M3976-WEEKDAY(INPUT!M3976,2)+1)</f>
        <v/>
      </c>
      <c r="C3981" s="20">
        <f>IFERROR(_xlfn.ISOWEEKNUM(INPUT!M3976),"")</f>
        <v>52</v>
      </c>
      <c r="D3981" s="20">
        <f>IFERROR(YEAR(INPUT!M3976),"")</f>
        <v>1900</v>
      </c>
      <c r="E3981" t="str">
        <f>IF(INPUT!O3976="","",INPUT!O3976)</f>
        <v/>
      </c>
      <c r="F3981" t="str">
        <f>IF(INPUT!N3976="","",INPUT!N3976)</f>
        <v/>
      </c>
      <c r="G3981" cm="1">
        <f t="array" ref="G3981">IFERROR(VLOOKUP(INPUT!M3976&amp;INPUT!N3976,CHOOSE({1,2},INPUT!$A$3:$A$5000&amp;INPUT!$C$3:$C$5000,INPUT!$F$3:$F$5000),2,FALSE),"")</f>
        <v>0</v>
      </c>
      <c r="H3981" cm="1">
        <f t="array" ref="H3981">IFERROR(VLOOKUP(INPUT!M3976&amp;INPUT!N3976,CHOOSE({1,2},INPUT!$A$3:$A$5000&amp;INPUT!$C$3:$C$5000,INPUT!$D$3:$D$5000),2,FALSE),"")</f>
        <v>0</v>
      </c>
      <c r="I3981" s="46" t="str">
        <f>IF(INPUT!P3976="","",INPUT!P3976)</f>
        <v/>
      </c>
      <c r="J3981" s="46" t="str">
        <f>IF(INPUT!Q3976="","",INPUT!Q3976)</f>
        <v/>
      </c>
      <c r="K3981" s="46" t="str">
        <f>IFERROR(IF(OR(INPUT!P3976="",INPUT!Q3976=""),"",INPUT!P3976-INPUT!Q3976),"")</f>
        <v/>
      </c>
      <c r="L3981" s="48" t="str">
        <f>IFERROR(IF(OR(INPUT!P3976="",INPUT!Q3976="",INPUT!P3976=0),"",(INPUT!P3976-INPUT!Q3976)/INPUT!P3976),"")</f>
        <v/>
      </c>
    </row>
    <row r="3982" spans="1:12" ht="18" hidden="1" customHeight="1" x14ac:dyDescent="0.2">
      <c r="A3982" s="11" t="str">
        <f>IF(INPUT!M3977="","",INPUT!M3977)</f>
        <v/>
      </c>
      <c r="B3982" s="11" t="str">
        <f>IF(INPUT!M3977="","",INPUT!M3977-WEEKDAY(INPUT!M3977,2)+1)</f>
        <v/>
      </c>
      <c r="C3982" s="20">
        <f>IFERROR(_xlfn.ISOWEEKNUM(INPUT!M3977),"")</f>
        <v>52</v>
      </c>
      <c r="D3982" s="20">
        <f>IFERROR(YEAR(INPUT!M3977),"")</f>
        <v>1900</v>
      </c>
      <c r="E3982" t="str">
        <f>IF(INPUT!O3977="","",INPUT!O3977)</f>
        <v/>
      </c>
      <c r="F3982" t="str">
        <f>IF(INPUT!N3977="","",INPUT!N3977)</f>
        <v/>
      </c>
      <c r="G3982" cm="1">
        <f t="array" ref="G3982">IFERROR(VLOOKUP(INPUT!M3977&amp;INPUT!N3977,CHOOSE({1,2},INPUT!$A$3:$A$5000&amp;INPUT!$C$3:$C$5000,INPUT!$F$3:$F$5000),2,FALSE),"")</f>
        <v>0</v>
      </c>
      <c r="H3982" cm="1">
        <f t="array" ref="H3982">IFERROR(VLOOKUP(INPUT!M3977&amp;INPUT!N3977,CHOOSE({1,2},INPUT!$A$3:$A$5000&amp;INPUT!$C$3:$C$5000,INPUT!$D$3:$D$5000),2,FALSE),"")</f>
        <v>0</v>
      </c>
      <c r="I3982" s="46" t="str">
        <f>IF(INPUT!P3977="","",INPUT!P3977)</f>
        <v/>
      </c>
      <c r="J3982" s="46" t="str">
        <f>IF(INPUT!Q3977="","",INPUT!Q3977)</f>
        <v/>
      </c>
      <c r="K3982" s="46" t="str">
        <f>IFERROR(IF(OR(INPUT!P3977="",INPUT!Q3977=""),"",INPUT!P3977-INPUT!Q3977),"")</f>
        <v/>
      </c>
      <c r="L3982" s="48" t="str">
        <f>IFERROR(IF(OR(INPUT!P3977="",INPUT!Q3977="",INPUT!P3977=0),"",(INPUT!P3977-INPUT!Q3977)/INPUT!P3977),"")</f>
        <v/>
      </c>
    </row>
    <row r="3983" spans="1:12" ht="18" hidden="1" customHeight="1" x14ac:dyDescent="0.2">
      <c r="A3983" s="11" t="str">
        <f>IF(INPUT!M3978="","",INPUT!M3978)</f>
        <v/>
      </c>
      <c r="B3983" s="11" t="str">
        <f>IF(INPUT!M3978="","",INPUT!M3978-WEEKDAY(INPUT!M3978,2)+1)</f>
        <v/>
      </c>
      <c r="C3983" s="20">
        <f>IFERROR(_xlfn.ISOWEEKNUM(INPUT!M3978),"")</f>
        <v>52</v>
      </c>
      <c r="D3983" s="20">
        <f>IFERROR(YEAR(INPUT!M3978),"")</f>
        <v>1900</v>
      </c>
      <c r="E3983" t="str">
        <f>IF(INPUT!O3978="","",INPUT!O3978)</f>
        <v/>
      </c>
      <c r="F3983" t="str">
        <f>IF(INPUT!N3978="","",INPUT!N3978)</f>
        <v/>
      </c>
      <c r="G3983" cm="1">
        <f t="array" ref="G3983">IFERROR(VLOOKUP(INPUT!M3978&amp;INPUT!N3978,CHOOSE({1,2},INPUT!$A$3:$A$5000&amp;INPUT!$C$3:$C$5000,INPUT!$F$3:$F$5000),2,FALSE),"")</f>
        <v>0</v>
      </c>
      <c r="H3983" cm="1">
        <f t="array" ref="H3983">IFERROR(VLOOKUP(INPUT!M3978&amp;INPUT!N3978,CHOOSE({1,2},INPUT!$A$3:$A$5000&amp;INPUT!$C$3:$C$5000,INPUT!$D$3:$D$5000),2,FALSE),"")</f>
        <v>0</v>
      </c>
      <c r="I3983" s="46" t="str">
        <f>IF(INPUT!P3978="","",INPUT!P3978)</f>
        <v/>
      </c>
      <c r="J3983" s="46" t="str">
        <f>IF(INPUT!Q3978="","",INPUT!Q3978)</f>
        <v/>
      </c>
      <c r="K3983" s="46" t="str">
        <f>IFERROR(IF(OR(INPUT!P3978="",INPUT!Q3978=""),"",INPUT!P3978-INPUT!Q3978),"")</f>
        <v/>
      </c>
      <c r="L3983" s="48" t="str">
        <f>IFERROR(IF(OR(INPUT!P3978="",INPUT!Q3978="",INPUT!P3978=0),"",(INPUT!P3978-INPUT!Q3978)/INPUT!P3978),"")</f>
        <v/>
      </c>
    </row>
    <row r="3984" spans="1:12" ht="18" hidden="1" customHeight="1" x14ac:dyDescent="0.2">
      <c r="A3984" s="11" t="str">
        <f>IF(INPUT!M3979="","",INPUT!M3979)</f>
        <v/>
      </c>
      <c r="B3984" s="11" t="str">
        <f>IF(INPUT!M3979="","",INPUT!M3979-WEEKDAY(INPUT!M3979,2)+1)</f>
        <v/>
      </c>
      <c r="C3984" s="20">
        <f>IFERROR(_xlfn.ISOWEEKNUM(INPUT!M3979),"")</f>
        <v>52</v>
      </c>
      <c r="D3984" s="20">
        <f>IFERROR(YEAR(INPUT!M3979),"")</f>
        <v>1900</v>
      </c>
      <c r="E3984" t="str">
        <f>IF(INPUT!O3979="","",INPUT!O3979)</f>
        <v/>
      </c>
      <c r="F3984" t="str">
        <f>IF(INPUT!N3979="","",INPUT!N3979)</f>
        <v/>
      </c>
      <c r="G3984" cm="1">
        <f t="array" ref="G3984">IFERROR(VLOOKUP(INPUT!M3979&amp;INPUT!N3979,CHOOSE({1,2},INPUT!$A$3:$A$5000&amp;INPUT!$C$3:$C$5000,INPUT!$F$3:$F$5000),2,FALSE),"")</f>
        <v>0</v>
      </c>
      <c r="H3984" cm="1">
        <f t="array" ref="H3984">IFERROR(VLOOKUP(INPUT!M3979&amp;INPUT!N3979,CHOOSE({1,2},INPUT!$A$3:$A$5000&amp;INPUT!$C$3:$C$5000,INPUT!$D$3:$D$5000),2,FALSE),"")</f>
        <v>0</v>
      </c>
      <c r="I3984" s="46" t="str">
        <f>IF(INPUT!P3979="","",INPUT!P3979)</f>
        <v/>
      </c>
      <c r="J3984" s="46" t="str">
        <f>IF(INPUT!Q3979="","",INPUT!Q3979)</f>
        <v/>
      </c>
      <c r="K3984" s="46" t="str">
        <f>IFERROR(IF(OR(INPUT!P3979="",INPUT!Q3979=""),"",INPUT!P3979-INPUT!Q3979),"")</f>
        <v/>
      </c>
      <c r="L3984" s="48" t="str">
        <f>IFERROR(IF(OR(INPUT!P3979="",INPUT!Q3979="",INPUT!P3979=0),"",(INPUT!P3979-INPUT!Q3979)/INPUT!P3979),"")</f>
        <v/>
      </c>
    </row>
    <row r="3985" spans="1:12" ht="18" hidden="1" customHeight="1" x14ac:dyDescent="0.2">
      <c r="A3985" s="11" t="str">
        <f>IF(INPUT!M3980="","",INPUT!M3980)</f>
        <v/>
      </c>
      <c r="B3985" s="11" t="str">
        <f>IF(INPUT!M3980="","",INPUT!M3980-WEEKDAY(INPUT!M3980,2)+1)</f>
        <v/>
      </c>
      <c r="C3985" s="20">
        <f>IFERROR(_xlfn.ISOWEEKNUM(INPUT!M3980),"")</f>
        <v>52</v>
      </c>
      <c r="D3985" s="20">
        <f>IFERROR(YEAR(INPUT!M3980),"")</f>
        <v>1900</v>
      </c>
      <c r="E3985" t="str">
        <f>IF(INPUT!O3980="","",INPUT!O3980)</f>
        <v/>
      </c>
      <c r="F3985" t="str">
        <f>IF(INPUT!N3980="","",INPUT!N3980)</f>
        <v/>
      </c>
      <c r="G3985" cm="1">
        <f t="array" ref="G3985">IFERROR(VLOOKUP(INPUT!M3980&amp;INPUT!N3980,CHOOSE({1,2},INPUT!$A$3:$A$5000&amp;INPUT!$C$3:$C$5000,INPUT!$F$3:$F$5000),2,FALSE),"")</f>
        <v>0</v>
      </c>
      <c r="H3985" cm="1">
        <f t="array" ref="H3985">IFERROR(VLOOKUP(INPUT!M3980&amp;INPUT!N3980,CHOOSE({1,2},INPUT!$A$3:$A$5000&amp;INPUT!$C$3:$C$5000,INPUT!$D$3:$D$5000),2,FALSE),"")</f>
        <v>0</v>
      </c>
      <c r="I3985" s="46" t="str">
        <f>IF(INPUT!P3980="","",INPUT!P3980)</f>
        <v/>
      </c>
      <c r="J3985" s="46" t="str">
        <f>IF(INPUT!Q3980="","",INPUT!Q3980)</f>
        <v/>
      </c>
      <c r="K3985" s="46" t="str">
        <f>IFERROR(IF(OR(INPUT!P3980="",INPUT!Q3980=""),"",INPUT!P3980-INPUT!Q3980),"")</f>
        <v/>
      </c>
      <c r="L3985" s="48" t="str">
        <f>IFERROR(IF(OR(INPUT!P3980="",INPUT!Q3980="",INPUT!P3980=0),"",(INPUT!P3980-INPUT!Q3980)/INPUT!P3980),"")</f>
        <v/>
      </c>
    </row>
    <row r="3986" spans="1:12" ht="18" hidden="1" customHeight="1" x14ac:dyDescent="0.2">
      <c r="A3986" s="11" t="str">
        <f>IF(INPUT!M3981="","",INPUT!M3981)</f>
        <v/>
      </c>
      <c r="B3986" s="11" t="str">
        <f>IF(INPUT!M3981="","",INPUT!M3981-WEEKDAY(INPUT!M3981,2)+1)</f>
        <v/>
      </c>
      <c r="C3986" s="20">
        <f>IFERROR(_xlfn.ISOWEEKNUM(INPUT!M3981),"")</f>
        <v>52</v>
      </c>
      <c r="D3986" s="20">
        <f>IFERROR(YEAR(INPUT!M3981),"")</f>
        <v>1900</v>
      </c>
      <c r="E3986" t="str">
        <f>IF(INPUT!O3981="","",INPUT!O3981)</f>
        <v/>
      </c>
      <c r="F3986" t="str">
        <f>IF(INPUT!N3981="","",INPUT!N3981)</f>
        <v/>
      </c>
      <c r="G3986" cm="1">
        <f t="array" ref="G3986">IFERROR(VLOOKUP(INPUT!M3981&amp;INPUT!N3981,CHOOSE({1,2},INPUT!$A$3:$A$5000&amp;INPUT!$C$3:$C$5000,INPUT!$F$3:$F$5000),2,FALSE),"")</f>
        <v>0</v>
      </c>
      <c r="H3986" cm="1">
        <f t="array" ref="H3986">IFERROR(VLOOKUP(INPUT!M3981&amp;INPUT!N3981,CHOOSE({1,2},INPUT!$A$3:$A$5000&amp;INPUT!$C$3:$C$5000,INPUT!$D$3:$D$5000),2,FALSE),"")</f>
        <v>0</v>
      </c>
      <c r="I3986" s="46" t="str">
        <f>IF(INPUT!P3981="","",INPUT!P3981)</f>
        <v/>
      </c>
      <c r="J3986" s="46" t="str">
        <f>IF(INPUT!Q3981="","",INPUT!Q3981)</f>
        <v/>
      </c>
      <c r="K3986" s="46" t="str">
        <f>IFERROR(IF(OR(INPUT!P3981="",INPUT!Q3981=""),"",INPUT!P3981-INPUT!Q3981),"")</f>
        <v/>
      </c>
      <c r="L3986" s="48" t="str">
        <f>IFERROR(IF(OR(INPUT!P3981="",INPUT!Q3981="",INPUT!P3981=0),"",(INPUT!P3981-INPUT!Q3981)/INPUT!P3981),"")</f>
        <v/>
      </c>
    </row>
    <row r="3987" spans="1:12" ht="18" hidden="1" customHeight="1" x14ac:dyDescent="0.2">
      <c r="A3987" s="11" t="str">
        <f>IF(INPUT!M3982="","",INPUT!M3982)</f>
        <v/>
      </c>
      <c r="B3987" s="11" t="str">
        <f>IF(INPUT!M3982="","",INPUT!M3982-WEEKDAY(INPUT!M3982,2)+1)</f>
        <v/>
      </c>
      <c r="C3987" s="20">
        <f>IFERROR(_xlfn.ISOWEEKNUM(INPUT!M3982),"")</f>
        <v>52</v>
      </c>
      <c r="D3987" s="20">
        <f>IFERROR(YEAR(INPUT!M3982),"")</f>
        <v>1900</v>
      </c>
      <c r="E3987" t="str">
        <f>IF(INPUT!O3982="","",INPUT!O3982)</f>
        <v/>
      </c>
      <c r="F3987" t="str">
        <f>IF(INPUT!N3982="","",INPUT!N3982)</f>
        <v/>
      </c>
      <c r="G3987" cm="1">
        <f t="array" ref="G3987">IFERROR(VLOOKUP(INPUT!M3982&amp;INPUT!N3982,CHOOSE({1,2},INPUT!$A$3:$A$5000&amp;INPUT!$C$3:$C$5000,INPUT!$F$3:$F$5000),2,FALSE),"")</f>
        <v>0</v>
      </c>
      <c r="H3987" cm="1">
        <f t="array" ref="H3987">IFERROR(VLOOKUP(INPUT!M3982&amp;INPUT!N3982,CHOOSE({1,2},INPUT!$A$3:$A$5000&amp;INPUT!$C$3:$C$5000,INPUT!$D$3:$D$5000),2,FALSE),"")</f>
        <v>0</v>
      </c>
      <c r="I3987" s="46" t="str">
        <f>IF(INPUT!P3982="","",INPUT!P3982)</f>
        <v/>
      </c>
      <c r="J3987" s="46" t="str">
        <f>IF(INPUT!Q3982="","",INPUT!Q3982)</f>
        <v/>
      </c>
      <c r="K3987" s="46" t="str">
        <f>IFERROR(IF(OR(INPUT!P3982="",INPUT!Q3982=""),"",INPUT!P3982-INPUT!Q3982),"")</f>
        <v/>
      </c>
      <c r="L3987" s="48" t="str">
        <f>IFERROR(IF(OR(INPUT!P3982="",INPUT!Q3982="",INPUT!P3982=0),"",(INPUT!P3982-INPUT!Q3982)/INPUT!P3982),"")</f>
        <v/>
      </c>
    </row>
    <row r="3988" spans="1:12" ht="18" hidden="1" customHeight="1" x14ac:dyDescent="0.2">
      <c r="A3988" s="11" t="str">
        <f>IF(INPUT!M3983="","",INPUT!M3983)</f>
        <v/>
      </c>
      <c r="B3988" s="11" t="str">
        <f>IF(INPUT!M3983="","",INPUT!M3983-WEEKDAY(INPUT!M3983,2)+1)</f>
        <v/>
      </c>
      <c r="C3988" s="20">
        <f>IFERROR(_xlfn.ISOWEEKNUM(INPUT!M3983),"")</f>
        <v>52</v>
      </c>
      <c r="D3988" s="20">
        <f>IFERROR(YEAR(INPUT!M3983),"")</f>
        <v>1900</v>
      </c>
      <c r="E3988" t="str">
        <f>IF(INPUT!O3983="","",INPUT!O3983)</f>
        <v/>
      </c>
      <c r="F3988" t="str">
        <f>IF(INPUT!N3983="","",INPUT!N3983)</f>
        <v/>
      </c>
      <c r="G3988" cm="1">
        <f t="array" ref="G3988">IFERROR(VLOOKUP(INPUT!M3983&amp;INPUT!N3983,CHOOSE({1,2},INPUT!$A$3:$A$5000&amp;INPUT!$C$3:$C$5000,INPUT!$F$3:$F$5000),2,FALSE),"")</f>
        <v>0</v>
      </c>
      <c r="H3988" cm="1">
        <f t="array" ref="H3988">IFERROR(VLOOKUP(INPUT!M3983&amp;INPUT!N3983,CHOOSE({1,2},INPUT!$A$3:$A$5000&amp;INPUT!$C$3:$C$5000,INPUT!$D$3:$D$5000),2,FALSE),"")</f>
        <v>0</v>
      </c>
      <c r="I3988" s="46" t="str">
        <f>IF(INPUT!P3983="","",INPUT!P3983)</f>
        <v/>
      </c>
      <c r="J3988" s="46" t="str">
        <f>IF(INPUT!Q3983="","",INPUT!Q3983)</f>
        <v/>
      </c>
      <c r="K3988" s="46" t="str">
        <f>IFERROR(IF(OR(INPUT!P3983="",INPUT!Q3983=""),"",INPUT!P3983-INPUT!Q3983),"")</f>
        <v/>
      </c>
      <c r="L3988" s="48" t="str">
        <f>IFERROR(IF(OR(INPUT!P3983="",INPUT!Q3983="",INPUT!P3983=0),"",(INPUT!P3983-INPUT!Q3983)/INPUT!P3983),"")</f>
        <v/>
      </c>
    </row>
    <row r="3989" spans="1:12" ht="18" hidden="1" customHeight="1" x14ac:dyDescent="0.2">
      <c r="A3989" s="11" t="str">
        <f>IF(INPUT!M3984="","",INPUT!M3984)</f>
        <v/>
      </c>
      <c r="B3989" s="11" t="str">
        <f>IF(INPUT!M3984="","",INPUT!M3984-WEEKDAY(INPUT!M3984,2)+1)</f>
        <v/>
      </c>
      <c r="C3989" s="20">
        <f>IFERROR(_xlfn.ISOWEEKNUM(INPUT!M3984),"")</f>
        <v>52</v>
      </c>
      <c r="D3989" s="20">
        <f>IFERROR(YEAR(INPUT!M3984),"")</f>
        <v>1900</v>
      </c>
      <c r="E3989" t="str">
        <f>IF(INPUT!O3984="","",INPUT!O3984)</f>
        <v/>
      </c>
      <c r="F3989" t="str">
        <f>IF(INPUT!N3984="","",INPUT!N3984)</f>
        <v/>
      </c>
      <c r="G3989" cm="1">
        <f t="array" ref="G3989">IFERROR(VLOOKUP(INPUT!M3984&amp;INPUT!N3984,CHOOSE({1,2},INPUT!$A$3:$A$5000&amp;INPUT!$C$3:$C$5000,INPUT!$F$3:$F$5000),2,FALSE),"")</f>
        <v>0</v>
      </c>
      <c r="H3989" cm="1">
        <f t="array" ref="H3989">IFERROR(VLOOKUP(INPUT!M3984&amp;INPUT!N3984,CHOOSE({1,2},INPUT!$A$3:$A$5000&amp;INPUT!$C$3:$C$5000,INPUT!$D$3:$D$5000),2,FALSE),"")</f>
        <v>0</v>
      </c>
      <c r="I3989" s="46" t="str">
        <f>IF(INPUT!P3984="","",INPUT!P3984)</f>
        <v/>
      </c>
      <c r="J3989" s="46" t="str">
        <f>IF(INPUT!Q3984="","",INPUT!Q3984)</f>
        <v/>
      </c>
      <c r="K3989" s="46" t="str">
        <f>IFERROR(IF(OR(INPUT!P3984="",INPUT!Q3984=""),"",INPUT!P3984-INPUT!Q3984),"")</f>
        <v/>
      </c>
      <c r="L3989" s="48" t="str">
        <f>IFERROR(IF(OR(INPUT!P3984="",INPUT!Q3984="",INPUT!P3984=0),"",(INPUT!P3984-INPUT!Q3984)/INPUT!P3984),"")</f>
        <v/>
      </c>
    </row>
    <row r="3990" spans="1:12" ht="18" hidden="1" customHeight="1" x14ac:dyDescent="0.2">
      <c r="A3990" s="11" t="str">
        <f>IF(INPUT!M3985="","",INPUT!M3985)</f>
        <v/>
      </c>
      <c r="B3990" s="11" t="str">
        <f>IF(INPUT!M3985="","",INPUT!M3985-WEEKDAY(INPUT!M3985,2)+1)</f>
        <v/>
      </c>
      <c r="C3990" s="20">
        <f>IFERROR(_xlfn.ISOWEEKNUM(INPUT!M3985),"")</f>
        <v>52</v>
      </c>
      <c r="D3990" s="20">
        <f>IFERROR(YEAR(INPUT!M3985),"")</f>
        <v>1900</v>
      </c>
      <c r="E3990" t="str">
        <f>IF(INPUT!O3985="","",INPUT!O3985)</f>
        <v/>
      </c>
      <c r="F3990" t="str">
        <f>IF(INPUT!N3985="","",INPUT!N3985)</f>
        <v/>
      </c>
      <c r="G3990" cm="1">
        <f t="array" ref="G3990">IFERROR(VLOOKUP(INPUT!M3985&amp;INPUT!N3985,CHOOSE({1,2},INPUT!$A$3:$A$5000&amp;INPUT!$C$3:$C$5000,INPUT!$F$3:$F$5000),2,FALSE),"")</f>
        <v>0</v>
      </c>
      <c r="H3990" cm="1">
        <f t="array" ref="H3990">IFERROR(VLOOKUP(INPUT!M3985&amp;INPUT!N3985,CHOOSE({1,2},INPUT!$A$3:$A$5000&amp;INPUT!$C$3:$C$5000,INPUT!$D$3:$D$5000),2,FALSE),"")</f>
        <v>0</v>
      </c>
      <c r="I3990" s="46" t="str">
        <f>IF(INPUT!P3985="","",INPUT!P3985)</f>
        <v/>
      </c>
      <c r="J3990" s="46" t="str">
        <f>IF(INPUT!Q3985="","",INPUT!Q3985)</f>
        <v/>
      </c>
      <c r="K3990" s="46" t="str">
        <f>IFERROR(IF(OR(INPUT!P3985="",INPUT!Q3985=""),"",INPUT!P3985-INPUT!Q3985),"")</f>
        <v/>
      </c>
      <c r="L3990" s="48" t="str">
        <f>IFERROR(IF(OR(INPUT!P3985="",INPUT!Q3985="",INPUT!P3985=0),"",(INPUT!P3985-INPUT!Q3985)/INPUT!P3985),"")</f>
        <v/>
      </c>
    </row>
    <row r="3991" spans="1:12" ht="18" hidden="1" customHeight="1" x14ac:dyDescent="0.2">
      <c r="A3991" s="11" t="str">
        <f>IF(INPUT!M3986="","",INPUT!M3986)</f>
        <v/>
      </c>
      <c r="B3991" s="11" t="str">
        <f>IF(INPUT!M3986="","",INPUT!M3986-WEEKDAY(INPUT!M3986,2)+1)</f>
        <v/>
      </c>
      <c r="C3991" s="20">
        <f>IFERROR(_xlfn.ISOWEEKNUM(INPUT!M3986),"")</f>
        <v>52</v>
      </c>
      <c r="D3991" s="20">
        <f>IFERROR(YEAR(INPUT!M3986),"")</f>
        <v>1900</v>
      </c>
      <c r="E3991" t="str">
        <f>IF(INPUT!O3986="","",INPUT!O3986)</f>
        <v/>
      </c>
      <c r="F3991" t="str">
        <f>IF(INPUT!N3986="","",INPUT!N3986)</f>
        <v/>
      </c>
      <c r="G3991" cm="1">
        <f t="array" ref="G3991">IFERROR(VLOOKUP(INPUT!M3986&amp;INPUT!N3986,CHOOSE({1,2},INPUT!$A$3:$A$5000&amp;INPUT!$C$3:$C$5000,INPUT!$F$3:$F$5000),2,FALSE),"")</f>
        <v>0</v>
      </c>
      <c r="H3991" cm="1">
        <f t="array" ref="H3991">IFERROR(VLOOKUP(INPUT!M3986&amp;INPUT!N3986,CHOOSE({1,2},INPUT!$A$3:$A$5000&amp;INPUT!$C$3:$C$5000,INPUT!$D$3:$D$5000),2,FALSE),"")</f>
        <v>0</v>
      </c>
      <c r="I3991" s="46" t="str">
        <f>IF(INPUT!P3986="","",INPUT!P3986)</f>
        <v/>
      </c>
      <c r="J3991" s="46" t="str">
        <f>IF(INPUT!Q3986="","",INPUT!Q3986)</f>
        <v/>
      </c>
      <c r="K3991" s="46" t="str">
        <f>IFERROR(IF(OR(INPUT!P3986="",INPUT!Q3986=""),"",INPUT!P3986-INPUT!Q3986),"")</f>
        <v/>
      </c>
      <c r="L3991" s="48" t="str">
        <f>IFERROR(IF(OR(INPUT!P3986="",INPUT!Q3986="",INPUT!P3986=0),"",(INPUT!P3986-INPUT!Q3986)/INPUT!P3986),"")</f>
        <v/>
      </c>
    </row>
    <row r="3992" spans="1:12" ht="18" hidden="1" customHeight="1" x14ac:dyDescent="0.2">
      <c r="A3992" s="11" t="str">
        <f>IF(INPUT!M3987="","",INPUT!M3987)</f>
        <v/>
      </c>
      <c r="B3992" s="11" t="str">
        <f>IF(INPUT!M3987="","",INPUT!M3987-WEEKDAY(INPUT!M3987,2)+1)</f>
        <v/>
      </c>
      <c r="C3992" s="20">
        <f>IFERROR(_xlfn.ISOWEEKNUM(INPUT!M3987),"")</f>
        <v>52</v>
      </c>
      <c r="D3992" s="20">
        <f>IFERROR(YEAR(INPUT!M3987),"")</f>
        <v>1900</v>
      </c>
      <c r="E3992" t="str">
        <f>IF(INPUT!O3987="","",INPUT!O3987)</f>
        <v/>
      </c>
      <c r="F3992" t="str">
        <f>IF(INPUT!N3987="","",INPUT!N3987)</f>
        <v/>
      </c>
      <c r="G3992" cm="1">
        <f t="array" ref="G3992">IFERROR(VLOOKUP(INPUT!M3987&amp;INPUT!N3987,CHOOSE({1,2},INPUT!$A$3:$A$5000&amp;INPUT!$C$3:$C$5000,INPUT!$F$3:$F$5000),2,FALSE),"")</f>
        <v>0</v>
      </c>
      <c r="H3992" cm="1">
        <f t="array" ref="H3992">IFERROR(VLOOKUP(INPUT!M3987&amp;INPUT!N3987,CHOOSE({1,2},INPUT!$A$3:$A$5000&amp;INPUT!$C$3:$C$5000,INPUT!$D$3:$D$5000),2,FALSE),"")</f>
        <v>0</v>
      </c>
      <c r="I3992" s="46" t="str">
        <f>IF(INPUT!P3987="","",INPUT!P3987)</f>
        <v/>
      </c>
      <c r="J3992" s="46" t="str">
        <f>IF(INPUT!Q3987="","",INPUT!Q3987)</f>
        <v/>
      </c>
      <c r="K3992" s="46" t="str">
        <f>IFERROR(IF(OR(INPUT!P3987="",INPUT!Q3987=""),"",INPUT!P3987-INPUT!Q3987),"")</f>
        <v/>
      </c>
      <c r="L3992" s="48" t="str">
        <f>IFERROR(IF(OR(INPUT!P3987="",INPUT!Q3987="",INPUT!P3987=0),"",(INPUT!P3987-INPUT!Q3987)/INPUT!P3987),"")</f>
        <v/>
      </c>
    </row>
    <row r="3993" spans="1:12" ht="18" hidden="1" customHeight="1" x14ac:dyDescent="0.2">
      <c r="A3993" s="11" t="str">
        <f>IF(INPUT!M3988="","",INPUT!M3988)</f>
        <v/>
      </c>
      <c r="B3993" s="11" t="str">
        <f>IF(INPUT!M3988="","",INPUT!M3988-WEEKDAY(INPUT!M3988,2)+1)</f>
        <v/>
      </c>
      <c r="C3993" s="20">
        <f>IFERROR(_xlfn.ISOWEEKNUM(INPUT!M3988),"")</f>
        <v>52</v>
      </c>
      <c r="D3993" s="20">
        <f>IFERROR(YEAR(INPUT!M3988),"")</f>
        <v>1900</v>
      </c>
      <c r="E3993" t="str">
        <f>IF(INPUT!O3988="","",INPUT!O3988)</f>
        <v/>
      </c>
      <c r="F3993" t="str">
        <f>IF(INPUT!N3988="","",INPUT!N3988)</f>
        <v/>
      </c>
      <c r="G3993" cm="1">
        <f t="array" ref="G3993">IFERROR(VLOOKUP(INPUT!M3988&amp;INPUT!N3988,CHOOSE({1,2},INPUT!$A$3:$A$5000&amp;INPUT!$C$3:$C$5000,INPUT!$F$3:$F$5000),2,FALSE),"")</f>
        <v>0</v>
      </c>
      <c r="H3993" cm="1">
        <f t="array" ref="H3993">IFERROR(VLOOKUP(INPUT!M3988&amp;INPUT!N3988,CHOOSE({1,2},INPUT!$A$3:$A$5000&amp;INPUT!$C$3:$C$5000,INPUT!$D$3:$D$5000),2,FALSE),"")</f>
        <v>0</v>
      </c>
      <c r="I3993" s="46" t="str">
        <f>IF(INPUT!P3988="","",INPUT!P3988)</f>
        <v/>
      </c>
      <c r="J3993" s="46" t="str">
        <f>IF(INPUT!Q3988="","",INPUT!Q3988)</f>
        <v/>
      </c>
      <c r="K3993" s="46" t="str">
        <f>IFERROR(IF(OR(INPUT!P3988="",INPUT!Q3988=""),"",INPUT!P3988-INPUT!Q3988),"")</f>
        <v/>
      </c>
      <c r="L3993" s="48" t="str">
        <f>IFERROR(IF(OR(INPUT!P3988="",INPUT!Q3988="",INPUT!P3988=0),"",(INPUT!P3988-INPUT!Q3988)/INPUT!P3988),"")</f>
        <v/>
      </c>
    </row>
    <row r="3994" spans="1:12" ht="18" hidden="1" customHeight="1" x14ac:dyDescent="0.2">
      <c r="A3994" s="11" t="str">
        <f>IF(INPUT!M3989="","",INPUT!M3989)</f>
        <v/>
      </c>
      <c r="B3994" s="11" t="str">
        <f>IF(INPUT!M3989="","",INPUT!M3989-WEEKDAY(INPUT!M3989,2)+1)</f>
        <v/>
      </c>
      <c r="C3994" s="20">
        <f>IFERROR(_xlfn.ISOWEEKNUM(INPUT!M3989),"")</f>
        <v>52</v>
      </c>
      <c r="D3994" s="20">
        <f>IFERROR(YEAR(INPUT!M3989),"")</f>
        <v>1900</v>
      </c>
      <c r="E3994" t="str">
        <f>IF(INPUT!O3989="","",INPUT!O3989)</f>
        <v/>
      </c>
      <c r="F3994" t="str">
        <f>IF(INPUT!N3989="","",INPUT!N3989)</f>
        <v/>
      </c>
      <c r="G3994" cm="1">
        <f t="array" ref="G3994">IFERROR(VLOOKUP(INPUT!M3989&amp;INPUT!N3989,CHOOSE({1,2},INPUT!$A$3:$A$5000&amp;INPUT!$C$3:$C$5000,INPUT!$F$3:$F$5000),2,FALSE),"")</f>
        <v>0</v>
      </c>
      <c r="H3994" cm="1">
        <f t="array" ref="H3994">IFERROR(VLOOKUP(INPUT!M3989&amp;INPUT!N3989,CHOOSE({1,2},INPUT!$A$3:$A$5000&amp;INPUT!$C$3:$C$5000,INPUT!$D$3:$D$5000),2,FALSE),"")</f>
        <v>0</v>
      </c>
      <c r="I3994" s="46" t="str">
        <f>IF(INPUT!P3989="","",INPUT!P3989)</f>
        <v/>
      </c>
      <c r="J3994" s="46" t="str">
        <f>IF(INPUT!Q3989="","",INPUT!Q3989)</f>
        <v/>
      </c>
      <c r="K3994" s="46" t="str">
        <f>IFERROR(IF(OR(INPUT!P3989="",INPUT!Q3989=""),"",INPUT!P3989-INPUT!Q3989),"")</f>
        <v/>
      </c>
      <c r="L3994" s="48" t="str">
        <f>IFERROR(IF(OR(INPUT!P3989="",INPUT!Q3989="",INPUT!P3989=0),"",(INPUT!P3989-INPUT!Q3989)/INPUT!P3989),"")</f>
        <v/>
      </c>
    </row>
    <row r="3995" spans="1:12" ht="18" hidden="1" customHeight="1" x14ac:dyDescent="0.2">
      <c r="A3995" s="11" t="str">
        <f>IF(INPUT!M3990="","",INPUT!M3990)</f>
        <v/>
      </c>
      <c r="B3995" s="11" t="str">
        <f>IF(INPUT!M3990="","",INPUT!M3990-WEEKDAY(INPUT!M3990,2)+1)</f>
        <v/>
      </c>
      <c r="C3995" s="20">
        <f>IFERROR(_xlfn.ISOWEEKNUM(INPUT!M3990),"")</f>
        <v>52</v>
      </c>
      <c r="D3995" s="20">
        <f>IFERROR(YEAR(INPUT!M3990),"")</f>
        <v>1900</v>
      </c>
      <c r="E3995" t="str">
        <f>IF(INPUT!O3990="","",INPUT!O3990)</f>
        <v/>
      </c>
      <c r="F3995" t="str">
        <f>IF(INPUT!N3990="","",INPUT!N3990)</f>
        <v/>
      </c>
      <c r="G3995" cm="1">
        <f t="array" ref="G3995">IFERROR(VLOOKUP(INPUT!M3990&amp;INPUT!N3990,CHOOSE({1,2},INPUT!$A$3:$A$5000&amp;INPUT!$C$3:$C$5000,INPUT!$F$3:$F$5000),2,FALSE),"")</f>
        <v>0</v>
      </c>
      <c r="H3995" cm="1">
        <f t="array" ref="H3995">IFERROR(VLOOKUP(INPUT!M3990&amp;INPUT!N3990,CHOOSE({1,2},INPUT!$A$3:$A$5000&amp;INPUT!$C$3:$C$5000,INPUT!$D$3:$D$5000),2,FALSE),"")</f>
        <v>0</v>
      </c>
      <c r="I3995" s="46" t="str">
        <f>IF(INPUT!P3990="","",INPUT!P3990)</f>
        <v/>
      </c>
      <c r="J3995" s="46" t="str">
        <f>IF(INPUT!Q3990="","",INPUT!Q3990)</f>
        <v/>
      </c>
      <c r="K3995" s="46" t="str">
        <f>IFERROR(IF(OR(INPUT!P3990="",INPUT!Q3990=""),"",INPUT!P3990-INPUT!Q3990),"")</f>
        <v/>
      </c>
      <c r="L3995" s="48" t="str">
        <f>IFERROR(IF(OR(INPUT!P3990="",INPUT!Q3990="",INPUT!P3990=0),"",(INPUT!P3990-INPUT!Q3990)/INPUT!P3990),"")</f>
        <v/>
      </c>
    </row>
    <row r="3996" spans="1:12" ht="18" hidden="1" customHeight="1" x14ac:dyDescent="0.2">
      <c r="A3996" s="11" t="str">
        <f>IF(INPUT!M3991="","",INPUT!M3991)</f>
        <v/>
      </c>
      <c r="B3996" s="11" t="str">
        <f>IF(INPUT!M3991="","",INPUT!M3991-WEEKDAY(INPUT!M3991,2)+1)</f>
        <v/>
      </c>
      <c r="C3996" s="20">
        <f>IFERROR(_xlfn.ISOWEEKNUM(INPUT!M3991),"")</f>
        <v>52</v>
      </c>
      <c r="D3996" s="20">
        <f>IFERROR(YEAR(INPUT!M3991),"")</f>
        <v>1900</v>
      </c>
      <c r="E3996" t="str">
        <f>IF(INPUT!O3991="","",INPUT!O3991)</f>
        <v/>
      </c>
      <c r="F3996" t="str">
        <f>IF(INPUT!N3991="","",INPUT!N3991)</f>
        <v/>
      </c>
      <c r="G3996" cm="1">
        <f t="array" ref="G3996">IFERROR(VLOOKUP(INPUT!M3991&amp;INPUT!N3991,CHOOSE({1,2},INPUT!$A$3:$A$5000&amp;INPUT!$C$3:$C$5000,INPUT!$F$3:$F$5000),2,FALSE),"")</f>
        <v>0</v>
      </c>
      <c r="H3996" cm="1">
        <f t="array" ref="H3996">IFERROR(VLOOKUP(INPUT!M3991&amp;INPUT!N3991,CHOOSE({1,2},INPUT!$A$3:$A$5000&amp;INPUT!$C$3:$C$5000,INPUT!$D$3:$D$5000),2,FALSE),"")</f>
        <v>0</v>
      </c>
      <c r="I3996" s="46" t="str">
        <f>IF(INPUT!P3991="","",INPUT!P3991)</f>
        <v/>
      </c>
      <c r="J3996" s="46" t="str">
        <f>IF(INPUT!Q3991="","",INPUT!Q3991)</f>
        <v/>
      </c>
      <c r="K3996" s="46" t="str">
        <f>IFERROR(IF(OR(INPUT!P3991="",INPUT!Q3991=""),"",INPUT!P3991-INPUT!Q3991),"")</f>
        <v/>
      </c>
      <c r="L3996" s="48" t="str">
        <f>IFERROR(IF(OR(INPUT!P3991="",INPUT!Q3991="",INPUT!P3991=0),"",(INPUT!P3991-INPUT!Q3991)/INPUT!P3991),"")</f>
        <v/>
      </c>
    </row>
    <row r="3997" spans="1:12" ht="18" hidden="1" customHeight="1" x14ac:dyDescent="0.2">
      <c r="A3997" s="11" t="str">
        <f>IF(INPUT!M3992="","",INPUT!M3992)</f>
        <v/>
      </c>
      <c r="B3997" s="11" t="str">
        <f>IF(INPUT!M3992="","",INPUT!M3992-WEEKDAY(INPUT!M3992,2)+1)</f>
        <v/>
      </c>
      <c r="C3997" s="20">
        <f>IFERROR(_xlfn.ISOWEEKNUM(INPUT!M3992),"")</f>
        <v>52</v>
      </c>
      <c r="D3997" s="20">
        <f>IFERROR(YEAR(INPUT!M3992),"")</f>
        <v>1900</v>
      </c>
      <c r="E3997" t="str">
        <f>IF(INPUT!O3992="","",INPUT!O3992)</f>
        <v/>
      </c>
      <c r="F3997" t="str">
        <f>IF(INPUT!N3992="","",INPUT!N3992)</f>
        <v/>
      </c>
      <c r="G3997" cm="1">
        <f t="array" ref="G3997">IFERROR(VLOOKUP(INPUT!M3992&amp;INPUT!N3992,CHOOSE({1,2},INPUT!$A$3:$A$5000&amp;INPUT!$C$3:$C$5000,INPUT!$F$3:$F$5000),2,FALSE),"")</f>
        <v>0</v>
      </c>
      <c r="H3997" cm="1">
        <f t="array" ref="H3997">IFERROR(VLOOKUP(INPUT!M3992&amp;INPUT!N3992,CHOOSE({1,2},INPUT!$A$3:$A$5000&amp;INPUT!$C$3:$C$5000,INPUT!$D$3:$D$5000),2,FALSE),"")</f>
        <v>0</v>
      </c>
      <c r="I3997" s="46" t="str">
        <f>IF(INPUT!P3992="","",INPUT!P3992)</f>
        <v/>
      </c>
      <c r="J3997" s="46" t="str">
        <f>IF(INPUT!Q3992="","",INPUT!Q3992)</f>
        <v/>
      </c>
      <c r="K3997" s="46" t="str">
        <f>IFERROR(IF(OR(INPUT!P3992="",INPUT!Q3992=""),"",INPUT!P3992-INPUT!Q3992),"")</f>
        <v/>
      </c>
      <c r="L3997" s="48" t="str">
        <f>IFERROR(IF(OR(INPUT!P3992="",INPUT!Q3992="",INPUT!P3992=0),"",(INPUT!P3992-INPUT!Q3992)/INPUT!P3992),"")</f>
        <v/>
      </c>
    </row>
    <row r="3998" spans="1:12" ht="18" hidden="1" customHeight="1" x14ac:dyDescent="0.2">
      <c r="A3998" s="11" t="str">
        <f>IF(INPUT!M3993="","",INPUT!M3993)</f>
        <v/>
      </c>
      <c r="B3998" s="11" t="str">
        <f>IF(INPUT!M3993="","",INPUT!M3993-WEEKDAY(INPUT!M3993,2)+1)</f>
        <v/>
      </c>
      <c r="C3998" s="20">
        <f>IFERROR(_xlfn.ISOWEEKNUM(INPUT!M3993),"")</f>
        <v>52</v>
      </c>
      <c r="D3998" s="20">
        <f>IFERROR(YEAR(INPUT!M3993),"")</f>
        <v>1900</v>
      </c>
      <c r="E3998" t="str">
        <f>IF(INPUT!O3993="","",INPUT!O3993)</f>
        <v/>
      </c>
      <c r="F3998" t="str">
        <f>IF(INPUT!N3993="","",INPUT!N3993)</f>
        <v/>
      </c>
      <c r="G3998" cm="1">
        <f t="array" ref="G3998">IFERROR(VLOOKUP(INPUT!M3993&amp;INPUT!N3993,CHOOSE({1,2},INPUT!$A$3:$A$5000&amp;INPUT!$C$3:$C$5000,INPUT!$F$3:$F$5000),2,FALSE),"")</f>
        <v>0</v>
      </c>
      <c r="H3998" cm="1">
        <f t="array" ref="H3998">IFERROR(VLOOKUP(INPUT!M3993&amp;INPUT!N3993,CHOOSE({1,2},INPUT!$A$3:$A$5000&amp;INPUT!$C$3:$C$5000,INPUT!$D$3:$D$5000),2,FALSE),"")</f>
        <v>0</v>
      </c>
      <c r="I3998" s="46" t="str">
        <f>IF(INPUT!P3993="","",INPUT!P3993)</f>
        <v/>
      </c>
      <c r="J3998" s="46" t="str">
        <f>IF(INPUT!Q3993="","",INPUT!Q3993)</f>
        <v/>
      </c>
      <c r="K3998" s="46" t="str">
        <f>IFERROR(IF(OR(INPUT!P3993="",INPUT!Q3993=""),"",INPUT!P3993-INPUT!Q3993),"")</f>
        <v/>
      </c>
      <c r="L3998" s="48" t="str">
        <f>IFERROR(IF(OR(INPUT!P3993="",INPUT!Q3993="",INPUT!P3993=0),"",(INPUT!P3993-INPUT!Q3993)/INPUT!P3993),"")</f>
        <v/>
      </c>
    </row>
    <row r="3999" spans="1:12" ht="18" hidden="1" customHeight="1" x14ac:dyDescent="0.2">
      <c r="A3999" s="11" t="str">
        <f>IF(INPUT!M3994="","",INPUT!M3994)</f>
        <v/>
      </c>
      <c r="B3999" s="11" t="str">
        <f>IF(INPUT!M3994="","",INPUT!M3994-WEEKDAY(INPUT!M3994,2)+1)</f>
        <v/>
      </c>
      <c r="C3999" s="20">
        <f>IFERROR(_xlfn.ISOWEEKNUM(INPUT!M3994),"")</f>
        <v>52</v>
      </c>
      <c r="D3999" s="20">
        <f>IFERROR(YEAR(INPUT!M3994),"")</f>
        <v>1900</v>
      </c>
      <c r="E3999" t="str">
        <f>IF(INPUT!O3994="","",INPUT!O3994)</f>
        <v/>
      </c>
      <c r="F3999" t="str">
        <f>IF(INPUT!N3994="","",INPUT!N3994)</f>
        <v/>
      </c>
      <c r="G3999" cm="1">
        <f t="array" ref="G3999">IFERROR(VLOOKUP(INPUT!M3994&amp;INPUT!N3994,CHOOSE({1,2},INPUT!$A$3:$A$5000&amp;INPUT!$C$3:$C$5000,INPUT!$F$3:$F$5000),2,FALSE),"")</f>
        <v>0</v>
      </c>
      <c r="H3999" cm="1">
        <f t="array" ref="H3999">IFERROR(VLOOKUP(INPUT!M3994&amp;INPUT!N3994,CHOOSE({1,2},INPUT!$A$3:$A$5000&amp;INPUT!$C$3:$C$5000,INPUT!$D$3:$D$5000),2,FALSE),"")</f>
        <v>0</v>
      </c>
      <c r="I3999" s="46" t="str">
        <f>IF(INPUT!P3994="","",INPUT!P3994)</f>
        <v/>
      </c>
      <c r="J3999" s="46" t="str">
        <f>IF(INPUT!Q3994="","",INPUT!Q3994)</f>
        <v/>
      </c>
      <c r="K3999" s="46" t="str">
        <f>IFERROR(IF(OR(INPUT!P3994="",INPUT!Q3994=""),"",INPUT!P3994-INPUT!Q3994),"")</f>
        <v/>
      </c>
      <c r="L3999" s="48" t="str">
        <f>IFERROR(IF(OR(INPUT!P3994="",INPUT!Q3994="",INPUT!P3994=0),"",(INPUT!P3994-INPUT!Q3994)/INPUT!P3994),"")</f>
        <v/>
      </c>
    </row>
    <row r="4000" spans="1:12" ht="18" hidden="1" customHeight="1" x14ac:dyDescent="0.2">
      <c r="A4000" s="11" t="str">
        <f>IF(INPUT!M3995="","",INPUT!M3995)</f>
        <v/>
      </c>
      <c r="B4000" s="11" t="str">
        <f>IF(INPUT!M3995="","",INPUT!M3995-WEEKDAY(INPUT!M3995,2)+1)</f>
        <v/>
      </c>
      <c r="C4000" s="20">
        <f>IFERROR(_xlfn.ISOWEEKNUM(INPUT!M3995),"")</f>
        <v>52</v>
      </c>
      <c r="D4000" s="20">
        <f>IFERROR(YEAR(INPUT!M3995),"")</f>
        <v>1900</v>
      </c>
      <c r="E4000" t="str">
        <f>IF(INPUT!O3995="","",INPUT!O3995)</f>
        <v/>
      </c>
      <c r="F4000" t="str">
        <f>IF(INPUT!N3995="","",INPUT!N3995)</f>
        <v/>
      </c>
      <c r="G4000" cm="1">
        <f t="array" ref="G4000">IFERROR(VLOOKUP(INPUT!M3995&amp;INPUT!N3995,CHOOSE({1,2},INPUT!$A$3:$A$5000&amp;INPUT!$C$3:$C$5000,INPUT!$F$3:$F$5000),2,FALSE),"")</f>
        <v>0</v>
      </c>
      <c r="H4000" cm="1">
        <f t="array" ref="H4000">IFERROR(VLOOKUP(INPUT!M3995&amp;INPUT!N3995,CHOOSE({1,2},INPUT!$A$3:$A$5000&amp;INPUT!$C$3:$C$5000,INPUT!$D$3:$D$5000),2,FALSE),"")</f>
        <v>0</v>
      </c>
      <c r="I4000" s="46" t="str">
        <f>IF(INPUT!P3995="","",INPUT!P3995)</f>
        <v/>
      </c>
      <c r="J4000" s="46" t="str">
        <f>IF(INPUT!Q3995="","",INPUT!Q3995)</f>
        <v/>
      </c>
      <c r="K4000" s="46" t="str">
        <f>IFERROR(IF(OR(INPUT!P3995="",INPUT!Q3995=""),"",INPUT!P3995-INPUT!Q3995),"")</f>
        <v/>
      </c>
      <c r="L4000" s="48" t="str">
        <f>IFERROR(IF(OR(INPUT!P3995="",INPUT!Q3995="",INPUT!P3995=0),"",(INPUT!P3995-INPUT!Q3995)/INPUT!P3995),"")</f>
        <v/>
      </c>
    </row>
    <row r="4001" spans="1:12" ht="18" hidden="1" customHeight="1" x14ac:dyDescent="0.2">
      <c r="A4001" s="11" t="str">
        <f>IF(INPUT!M3996="","",INPUT!M3996)</f>
        <v/>
      </c>
      <c r="B4001" s="11" t="str">
        <f>IF(INPUT!M3996="","",INPUT!M3996-WEEKDAY(INPUT!M3996,2)+1)</f>
        <v/>
      </c>
      <c r="C4001" s="20">
        <f>IFERROR(_xlfn.ISOWEEKNUM(INPUT!M3996),"")</f>
        <v>52</v>
      </c>
      <c r="D4001" s="20">
        <f>IFERROR(YEAR(INPUT!M3996),"")</f>
        <v>1900</v>
      </c>
      <c r="E4001" t="str">
        <f>IF(INPUT!O3996="","",INPUT!O3996)</f>
        <v/>
      </c>
      <c r="F4001" t="str">
        <f>IF(INPUT!N3996="","",INPUT!N3996)</f>
        <v/>
      </c>
      <c r="G4001" cm="1">
        <f t="array" ref="G4001">IFERROR(VLOOKUP(INPUT!M3996&amp;INPUT!N3996,CHOOSE({1,2},INPUT!$A$3:$A$5000&amp;INPUT!$C$3:$C$5000,INPUT!$F$3:$F$5000),2,FALSE),"")</f>
        <v>0</v>
      </c>
      <c r="H4001" cm="1">
        <f t="array" ref="H4001">IFERROR(VLOOKUP(INPUT!M3996&amp;INPUT!N3996,CHOOSE({1,2},INPUT!$A$3:$A$5000&amp;INPUT!$C$3:$C$5000,INPUT!$D$3:$D$5000),2,FALSE),"")</f>
        <v>0</v>
      </c>
      <c r="I4001" s="46" t="str">
        <f>IF(INPUT!P3996="","",INPUT!P3996)</f>
        <v/>
      </c>
      <c r="J4001" s="46" t="str">
        <f>IF(INPUT!Q3996="","",INPUT!Q3996)</f>
        <v/>
      </c>
      <c r="K4001" s="46" t="str">
        <f>IFERROR(IF(OR(INPUT!P3996="",INPUT!Q3996=""),"",INPUT!P3996-INPUT!Q3996),"")</f>
        <v/>
      </c>
      <c r="L4001" s="48" t="str">
        <f>IFERROR(IF(OR(INPUT!P3996="",INPUT!Q3996="",INPUT!P3996=0),"",(INPUT!P3996-INPUT!Q3996)/INPUT!P3996),"")</f>
        <v/>
      </c>
    </row>
    <row r="4002" spans="1:12" ht="18" hidden="1" customHeight="1" x14ac:dyDescent="0.2">
      <c r="A4002" s="11" t="str">
        <f>IF(INPUT!M3997="","",INPUT!M3997)</f>
        <v/>
      </c>
      <c r="B4002" s="11" t="str">
        <f>IF(INPUT!M3997="","",INPUT!M3997-WEEKDAY(INPUT!M3997,2)+1)</f>
        <v/>
      </c>
      <c r="C4002" s="20">
        <f>IFERROR(_xlfn.ISOWEEKNUM(INPUT!M3997),"")</f>
        <v>52</v>
      </c>
      <c r="D4002" s="20">
        <f>IFERROR(YEAR(INPUT!M3997),"")</f>
        <v>1900</v>
      </c>
      <c r="E4002" t="str">
        <f>IF(INPUT!O3997="","",INPUT!O3997)</f>
        <v/>
      </c>
      <c r="F4002" t="str">
        <f>IF(INPUT!N3997="","",INPUT!N3997)</f>
        <v/>
      </c>
      <c r="G4002" cm="1">
        <f t="array" ref="G4002">IFERROR(VLOOKUP(INPUT!M3997&amp;INPUT!N3997,CHOOSE({1,2},INPUT!$A$3:$A$5000&amp;INPUT!$C$3:$C$5000,INPUT!$F$3:$F$5000),2,FALSE),"")</f>
        <v>0</v>
      </c>
      <c r="H4002" cm="1">
        <f t="array" ref="H4002">IFERROR(VLOOKUP(INPUT!M3997&amp;INPUT!N3997,CHOOSE({1,2},INPUT!$A$3:$A$5000&amp;INPUT!$C$3:$C$5000,INPUT!$D$3:$D$5000),2,FALSE),"")</f>
        <v>0</v>
      </c>
      <c r="I4002" s="46" t="str">
        <f>IF(INPUT!P3997="","",INPUT!P3997)</f>
        <v/>
      </c>
      <c r="J4002" s="46" t="str">
        <f>IF(INPUT!Q3997="","",INPUT!Q3997)</f>
        <v/>
      </c>
      <c r="K4002" s="46" t="str">
        <f>IFERROR(IF(OR(INPUT!P3997="",INPUT!Q3997=""),"",INPUT!P3997-INPUT!Q3997),"")</f>
        <v/>
      </c>
      <c r="L4002" s="48" t="str">
        <f>IFERROR(IF(OR(INPUT!P3997="",INPUT!Q3997="",INPUT!P3997=0),"",(INPUT!P3997-INPUT!Q3997)/INPUT!P3997),"")</f>
        <v/>
      </c>
    </row>
    <row r="4003" spans="1:12" ht="18" hidden="1" customHeight="1" x14ac:dyDescent="0.2">
      <c r="A4003" s="11" t="str">
        <f>IF(INPUT!M3998="","",INPUT!M3998)</f>
        <v/>
      </c>
      <c r="B4003" s="11" t="str">
        <f>IF(INPUT!M3998="","",INPUT!M3998-WEEKDAY(INPUT!M3998,2)+1)</f>
        <v/>
      </c>
      <c r="C4003" s="20">
        <f>IFERROR(_xlfn.ISOWEEKNUM(INPUT!M3998),"")</f>
        <v>52</v>
      </c>
      <c r="D4003" s="20">
        <f>IFERROR(YEAR(INPUT!M3998),"")</f>
        <v>1900</v>
      </c>
      <c r="E4003" t="str">
        <f>IF(INPUT!O3998="","",INPUT!O3998)</f>
        <v/>
      </c>
      <c r="F4003" t="str">
        <f>IF(INPUT!N3998="","",INPUT!N3998)</f>
        <v/>
      </c>
      <c r="G4003" cm="1">
        <f t="array" ref="G4003">IFERROR(VLOOKUP(INPUT!M3998&amp;INPUT!N3998,CHOOSE({1,2},INPUT!$A$3:$A$5000&amp;INPUT!$C$3:$C$5000,INPUT!$F$3:$F$5000),2,FALSE),"")</f>
        <v>0</v>
      </c>
      <c r="H4003" cm="1">
        <f t="array" ref="H4003">IFERROR(VLOOKUP(INPUT!M3998&amp;INPUT!N3998,CHOOSE({1,2},INPUT!$A$3:$A$5000&amp;INPUT!$C$3:$C$5000,INPUT!$D$3:$D$5000),2,FALSE),"")</f>
        <v>0</v>
      </c>
      <c r="I4003" s="46" t="str">
        <f>IF(INPUT!P3998="","",INPUT!P3998)</f>
        <v/>
      </c>
      <c r="J4003" s="46" t="str">
        <f>IF(INPUT!Q3998="","",INPUT!Q3998)</f>
        <v/>
      </c>
      <c r="K4003" s="46" t="str">
        <f>IFERROR(IF(OR(INPUT!P3998="",INPUT!Q3998=""),"",INPUT!P3998-INPUT!Q3998),"")</f>
        <v/>
      </c>
      <c r="L4003" s="48" t="str">
        <f>IFERROR(IF(OR(INPUT!P3998="",INPUT!Q3998="",INPUT!P3998=0),"",(INPUT!P3998-INPUT!Q3998)/INPUT!P3998),"")</f>
        <v/>
      </c>
    </row>
    <row r="4004" spans="1:12" ht="18" hidden="1" customHeight="1" x14ac:dyDescent="0.2">
      <c r="A4004" s="11" t="str">
        <f>IF(INPUT!M3999="","",INPUT!M3999)</f>
        <v/>
      </c>
      <c r="B4004" s="11" t="str">
        <f>IF(INPUT!M3999="","",INPUT!M3999-WEEKDAY(INPUT!M3999,2)+1)</f>
        <v/>
      </c>
      <c r="C4004" s="20">
        <f>IFERROR(_xlfn.ISOWEEKNUM(INPUT!M3999),"")</f>
        <v>52</v>
      </c>
      <c r="D4004" s="20">
        <f>IFERROR(YEAR(INPUT!M3999),"")</f>
        <v>1900</v>
      </c>
      <c r="E4004" t="str">
        <f>IF(INPUT!O3999="","",INPUT!O3999)</f>
        <v/>
      </c>
      <c r="F4004" t="str">
        <f>IF(INPUT!N3999="","",INPUT!N3999)</f>
        <v/>
      </c>
      <c r="G4004" cm="1">
        <f t="array" ref="G4004">IFERROR(VLOOKUP(INPUT!M3999&amp;INPUT!N3999,CHOOSE({1,2},INPUT!$A$3:$A$5000&amp;INPUT!$C$3:$C$5000,INPUT!$F$3:$F$5000),2,FALSE),"")</f>
        <v>0</v>
      </c>
      <c r="H4004" cm="1">
        <f t="array" ref="H4004">IFERROR(VLOOKUP(INPUT!M3999&amp;INPUT!N3999,CHOOSE({1,2},INPUT!$A$3:$A$5000&amp;INPUT!$C$3:$C$5000,INPUT!$D$3:$D$5000),2,FALSE),"")</f>
        <v>0</v>
      </c>
      <c r="I4004" s="46" t="str">
        <f>IF(INPUT!P3999="","",INPUT!P3999)</f>
        <v/>
      </c>
      <c r="J4004" s="46" t="str">
        <f>IF(INPUT!Q3999="","",INPUT!Q3999)</f>
        <v/>
      </c>
      <c r="K4004" s="46" t="str">
        <f>IFERROR(IF(OR(INPUT!P3999="",INPUT!Q3999=""),"",INPUT!P3999-INPUT!Q3999),"")</f>
        <v/>
      </c>
      <c r="L4004" s="48" t="str">
        <f>IFERROR(IF(OR(INPUT!P3999="",INPUT!Q3999="",INPUT!P3999=0),"",(INPUT!P3999-INPUT!Q3999)/INPUT!P3999),"")</f>
        <v/>
      </c>
    </row>
    <row r="4005" spans="1:12" ht="18" hidden="1" customHeight="1" x14ac:dyDescent="0.2">
      <c r="A4005" s="11" t="str">
        <f>IF(INPUT!M4000="","",INPUT!M4000)</f>
        <v/>
      </c>
      <c r="B4005" s="11" t="str">
        <f>IF(INPUT!M4000="","",INPUT!M4000-WEEKDAY(INPUT!M4000,2)+1)</f>
        <v/>
      </c>
      <c r="C4005" s="20">
        <f>IFERROR(_xlfn.ISOWEEKNUM(INPUT!M4000),"")</f>
        <v>52</v>
      </c>
      <c r="D4005" s="20">
        <f>IFERROR(YEAR(INPUT!M4000),"")</f>
        <v>1900</v>
      </c>
      <c r="E4005" t="str">
        <f>IF(INPUT!O4000="","",INPUT!O4000)</f>
        <v/>
      </c>
      <c r="F4005" t="str">
        <f>IF(INPUT!N4000="","",INPUT!N4000)</f>
        <v/>
      </c>
      <c r="G4005" cm="1">
        <f t="array" ref="G4005">IFERROR(VLOOKUP(INPUT!M4000&amp;INPUT!N4000,CHOOSE({1,2},INPUT!$A$3:$A$5000&amp;INPUT!$C$3:$C$5000,INPUT!$F$3:$F$5000),2,FALSE),"")</f>
        <v>0</v>
      </c>
      <c r="H4005" cm="1">
        <f t="array" ref="H4005">IFERROR(VLOOKUP(INPUT!M4000&amp;INPUT!N4000,CHOOSE({1,2},INPUT!$A$3:$A$5000&amp;INPUT!$C$3:$C$5000,INPUT!$D$3:$D$5000),2,FALSE),"")</f>
        <v>0</v>
      </c>
      <c r="I4005" s="46" t="str">
        <f>IF(INPUT!P4000="","",INPUT!P4000)</f>
        <v/>
      </c>
      <c r="J4005" s="46" t="str">
        <f>IF(INPUT!Q4000="","",INPUT!Q4000)</f>
        <v/>
      </c>
      <c r="K4005" s="46" t="str">
        <f>IFERROR(IF(OR(INPUT!P4000="",INPUT!Q4000=""),"",INPUT!P4000-INPUT!Q4000),"")</f>
        <v/>
      </c>
      <c r="L4005" s="48" t="str">
        <f>IFERROR(IF(OR(INPUT!P4000="",INPUT!Q4000="",INPUT!P4000=0),"",(INPUT!P4000-INPUT!Q4000)/INPUT!P4000),"")</f>
        <v/>
      </c>
    </row>
    <row r="4006" spans="1:12" ht="18" hidden="1" customHeight="1" x14ac:dyDescent="0.2">
      <c r="A4006" s="11" t="str">
        <f>IF(INPUT!M4001="","",INPUT!M4001)</f>
        <v/>
      </c>
      <c r="B4006" s="11" t="str">
        <f>IF(INPUT!M4001="","",INPUT!M4001-WEEKDAY(INPUT!M4001,2)+1)</f>
        <v/>
      </c>
      <c r="C4006" s="20">
        <f>IFERROR(_xlfn.ISOWEEKNUM(INPUT!M4001),"")</f>
        <v>52</v>
      </c>
      <c r="D4006" s="20">
        <f>IFERROR(YEAR(INPUT!M4001),"")</f>
        <v>1900</v>
      </c>
      <c r="E4006" t="str">
        <f>IF(INPUT!O4001="","",INPUT!O4001)</f>
        <v/>
      </c>
      <c r="F4006" t="str">
        <f>IF(INPUT!N4001="","",INPUT!N4001)</f>
        <v/>
      </c>
      <c r="G4006" cm="1">
        <f t="array" ref="G4006">IFERROR(VLOOKUP(INPUT!M4001&amp;INPUT!N4001,CHOOSE({1,2},INPUT!$A$3:$A$5000&amp;INPUT!$C$3:$C$5000,INPUT!$F$3:$F$5000),2,FALSE),"")</f>
        <v>0</v>
      </c>
      <c r="H4006" cm="1">
        <f t="array" ref="H4006">IFERROR(VLOOKUP(INPUT!M4001&amp;INPUT!N4001,CHOOSE({1,2},INPUT!$A$3:$A$5000&amp;INPUT!$C$3:$C$5000,INPUT!$D$3:$D$5000),2,FALSE),"")</f>
        <v>0</v>
      </c>
      <c r="I4006" s="46" t="str">
        <f>IF(INPUT!P4001="","",INPUT!P4001)</f>
        <v/>
      </c>
      <c r="J4006" s="46" t="str">
        <f>IF(INPUT!Q4001="","",INPUT!Q4001)</f>
        <v/>
      </c>
      <c r="K4006" s="46" t="str">
        <f>IFERROR(IF(OR(INPUT!P4001="",INPUT!Q4001=""),"",INPUT!P4001-INPUT!Q4001),"")</f>
        <v/>
      </c>
      <c r="L4006" s="48" t="str">
        <f>IFERROR(IF(OR(INPUT!P4001="",INPUT!Q4001="",INPUT!P4001=0),"",(INPUT!P4001-INPUT!Q4001)/INPUT!P4001),"")</f>
        <v/>
      </c>
    </row>
    <row r="4007" spans="1:12" ht="18" hidden="1" customHeight="1" x14ac:dyDescent="0.2">
      <c r="A4007" s="11" t="str">
        <f>IF(INPUT!M4002="","",INPUT!M4002)</f>
        <v/>
      </c>
      <c r="B4007" s="11" t="str">
        <f>IF(INPUT!M4002="","",INPUT!M4002-WEEKDAY(INPUT!M4002,2)+1)</f>
        <v/>
      </c>
      <c r="C4007" s="20">
        <f>IFERROR(_xlfn.ISOWEEKNUM(INPUT!M4002),"")</f>
        <v>52</v>
      </c>
      <c r="D4007" s="20">
        <f>IFERROR(YEAR(INPUT!M4002),"")</f>
        <v>1900</v>
      </c>
      <c r="E4007" t="str">
        <f>IF(INPUT!O4002="","",INPUT!O4002)</f>
        <v/>
      </c>
      <c r="F4007" t="str">
        <f>IF(INPUT!N4002="","",INPUT!N4002)</f>
        <v/>
      </c>
      <c r="G4007" cm="1">
        <f t="array" ref="G4007">IFERROR(VLOOKUP(INPUT!M4002&amp;INPUT!N4002,CHOOSE({1,2},INPUT!$A$3:$A$5000&amp;INPUT!$C$3:$C$5000,INPUT!$F$3:$F$5000),2,FALSE),"")</f>
        <v>0</v>
      </c>
      <c r="H4007" cm="1">
        <f t="array" ref="H4007">IFERROR(VLOOKUP(INPUT!M4002&amp;INPUT!N4002,CHOOSE({1,2},INPUT!$A$3:$A$5000&amp;INPUT!$C$3:$C$5000,INPUT!$D$3:$D$5000),2,FALSE),"")</f>
        <v>0</v>
      </c>
      <c r="I4007" s="46" t="str">
        <f>IF(INPUT!P4002="","",INPUT!P4002)</f>
        <v/>
      </c>
      <c r="J4007" s="46" t="str">
        <f>IF(INPUT!Q4002="","",INPUT!Q4002)</f>
        <v/>
      </c>
      <c r="K4007" s="46" t="str">
        <f>IFERROR(IF(OR(INPUT!P4002="",INPUT!Q4002=""),"",INPUT!P4002-INPUT!Q4002),"")</f>
        <v/>
      </c>
      <c r="L4007" s="48" t="str">
        <f>IFERROR(IF(OR(INPUT!P4002="",INPUT!Q4002="",INPUT!P4002=0),"",(INPUT!P4002-INPUT!Q4002)/INPUT!P4002),"")</f>
        <v/>
      </c>
    </row>
    <row r="4008" spans="1:12" ht="18" hidden="1" customHeight="1" x14ac:dyDescent="0.2">
      <c r="A4008" s="11" t="str">
        <f>IF(INPUT!M4003="","",INPUT!M4003)</f>
        <v/>
      </c>
      <c r="B4008" s="11" t="str">
        <f>IF(INPUT!M4003="","",INPUT!M4003-WEEKDAY(INPUT!M4003,2)+1)</f>
        <v/>
      </c>
      <c r="C4008" s="20">
        <f>IFERROR(_xlfn.ISOWEEKNUM(INPUT!M4003),"")</f>
        <v>52</v>
      </c>
      <c r="D4008" s="20">
        <f>IFERROR(YEAR(INPUT!M4003),"")</f>
        <v>1900</v>
      </c>
      <c r="E4008" t="str">
        <f>IF(INPUT!O4003="","",INPUT!O4003)</f>
        <v/>
      </c>
      <c r="F4008" t="str">
        <f>IF(INPUT!N4003="","",INPUT!N4003)</f>
        <v/>
      </c>
      <c r="G4008" cm="1">
        <f t="array" ref="G4008">IFERROR(VLOOKUP(INPUT!M4003&amp;INPUT!N4003,CHOOSE({1,2},INPUT!$A$3:$A$5000&amp;INPUT!$C$3:$C$5000,INPUT!$F$3:$F$5000),2,FALSE),"")</f>
        <v>0</v>
      </c>
      <c r="H4008" cm="1">
        <f t="array" ref="H4008">IFERROR(VLOOKUP(INPUT!M4003&amp;INPUT!N4003,CHOOSE({1,2},INPUT!$A$3:$A$5000&amp;INPUT!$C$3:$C$5000,INPUT!$D$3:$D$5000),2,FALSE),"")</f>
        <v>0</v>
      </c>
      <c r="I4008" s="46" t="str">
        <f>IF(INPUT!P4003="","",INPUT!P4003)</f>
        <v/>
      </c>
      <c r="J4008" s="46" t="str">
        <f>IF(INPUT!Q4003="","",INPUT!Q4003)</f>
        <v/>
      </c>
      <c r="K4008" s="46" t="str">
        <f>IFERROR(IF(OR(INPUT!P4003="",INPUT!Q4003=""),"",INPUT!P4003-INPUT!Q4003),"")</f>
        <v/>
      </c>
      <c r="L4008" s="48" t="str">
        <f>IFERROR(IF(OR(INPUT!P4003="",INPUT!Q4003="",INPUT!P4003=0),"",(INPUT!P4003-INPUT!Q4003)/INPUT!P4003),"")</f>
        <v/>
      </c>
    </row>
    <row r="4009" spans="1:12" ht="18" hidden="1" customHeight="1" x14ac:dyDescent="0.2">
      <c r="A4009" s="11" t="str">
        <f>IF(INPUT!M4004="","",INPUT!M4004)</f>
        <v/>
      </c>
      <c r="B4009" s="11" t="str">
        <f>IF(INPUT!M4004="","",INPUT!M4004-WEEKDAY(INPUT!M4004,2)+1)</f>
        <v/>
      </c>
      <c r="C4009" s="20">
        <f>IFERROR(_xlfn.ISOWEEKNUM(INPUT!M4004),"")</f>
        <v>52</v>
      </c>
      <c r="D4009" s="20">
        <f>IFERROR(YEAR(INPUT!M4004),"")</f>
        <v>1900</v>
      </c>
      <c r="E4009" t="str">
        <f>IF(INPUT!O4004="","",INPUT!O4004)</f>
        <v/>
      </c>
      <c r="F4009" t="str">
        <f>IF(INPUT!N4004="","",INPUT!N4004)</f>
        <v/>
      </c>
      <c r="G4009" cm="1">
        <f t="array" ref="G4009">IFERROR(VLOOKUP(INPUT!M4004&amp;INPUT!N4004,CHOOSE({1,2},INPUT!$A$3:$A$5000&amp;INPUT!$C$3:$C$5000,INPUT!$F$3:$F$5000),2,FALSE),"")</f>
        <v>0</v>
      </c>
      <c r="H4009" cm="1">
        <f t="array" ref="H4009">IFERROR(VLOOKUP(INPUT!M4004&amp;INPUT!N4004,CHOOSE({1,2},INPUT!$A$3:$A$5000&amp;INPUT!$C$3:$C$5000,INPUT!$D$3:$D$5000),2,FALSE),"")</f>
        <v>0</v>
      </c>
      <c r="I4009" s="46" t="str">
        <f>IF(INPUT!P4004="","",INPUT!P4004)</f>
        <v/>
      </c>
      <c r="J4009" s="46" t="str">
        <f>IF(INPUT!Q4004="","",INPUT!Q4004)</f>
        <v/>
      </c>
      <c r="K4009" s="46" t="str">
        <f>IFERROR(IF(OR(INPUT!P4004="",INPUT!Q4004=""),"",INPUT!P4004-INPUT!Q4004),"")</f>
        <v/>
      </c>
      <c r="L4009" s="48" t="str">
        <f>IFERROR(IF(OR(INPUT!P4004="",INPUT!Q4004="",INPUT!P4004=0),"",(INPUT!P4004-INPUT!Q4004)/INPUT!P4004),"")</f>
        <v/>
      </c>
    </row>
    <row r="4010" spans="1:12" ht="18" hidden="1" customHeight="1" x14ac:dyDescent="0.2">
      <c r="A4010" s="11" t="str">
        <f>IF(INPUT!M4005="","",INPUT!M4005)</f>
        <v/>
      </c>
      <c r="B4010" s="11" t="str">
        <f>IF(INPUT!M4005="","",INPUT!M4005-WEEKDAY(INPUT!M4005,2)+1)</f>
        <v/>
      </c>
      <c r="C4010" s="20">
        <f>IFERROR(_xlfn.ISOWEEKNUM(INPUT!M4005),"")</f>
        <v>52</v>
      </c>
      <c r="D4010" s="20">
        <f>IFERROR(YEAR(INPUT!M4005),"")</f>
        <v>1900</v>
      </c>
      <c r="E4010" t="str">
        <f>IF(INPUT!O4005="","",INPUT!O4005)</f>
        <v/>
      </c>
      <c r="F4010" t="str">
        <f>IF(INPUT!N4005="","",INPUT!N4005)</f>
        <v/>
      </c>
      <c r="G4010" cm="1">
        <f t="array" ref="G4010">IFERROR(VLOOKUP(INPUT!M4005&amp;INPUT!N4005,CHOOSE({1,2},INPUT!$A$3:$A$5000&amp;INPUT!$C$3:$C$5000,INPUT!$F$3:$F$5000),2,FALSE),"")</f>
        <v>0</v>
      </c>
      <c r="H4010" cm="1">
        <f t="array" ref="H4010">IFERROR(VLOOKUP(INPUT!M4005&amp;INPUT!N4005,CHOOSE({1,2},INPUT!$A$3:$A$5000&amp;INPUT!$C$3:$C$5000,INPUT!$D$3:$D$5000),2,FALSE),"")</f>
        <v>0</v>
      </c>
      <c r="I4010" s="46" t="str">
        <f>IF(INPUT!P4005="","",INPUT!P4005)</f>
        <v/>
      </c>
      <c r="J4010" s="46" t="str">
        <f>IF(INPUT!Q4005="","",INPUT!Q4005)</f>
        <v/>
      </c>
      <c r="K4010" s="46" t="str">
        <f>IFERROR(IF(OR(INPUT!P4005="",INPUT!Q4005=""),"",INPUT!P4005-INPUT!Q4005),"")</f>
        <v/>
      </c>
      <c r="L4010" s="48" t="str">
        <f>IFERROR(IF(OR(INPUT!P4005="",INPUT!Q4005="",INPUT!P4005=0),"",(INPUT!P4005-INPUT!Q4005)/INPUT!P4005),"")</f>
        <v/>
      </c>
    </row>
    <row r="4011" spans="1:12" ht="18" hidden="1" customHeight="1" x14ac:dyDescent="0.2">
      <c r="A4011" s="11" t="str">
        <f>IF(INPUT!M4006="","",INPUT!M4006)</f>
        <v/>
      </c>
      <c r="B4011" s="11" t="str">
        <f>IF(INPUT!M4006="","",INPUT!M4006-WEEKDAY(INPUT!M4006,2)+1)</f>
        <v/>
      </c>
      <c r="C4011" s="20">
        <f>IFERROR(_xlfn.ISOWEEKNUM(INPUT!M4006),"")</f>
        <v>52</v>
      </c>
      <c r="D4011" s="20">
        <f>IFERROR(YEAR(INPUT!M4006),"")</f>
        <v>1900</v>
      </c>
      <c r="E4011" t="str">
        <f>IF(INPUT!O4006="","",INPUT!O4006)</f>
        <v/>
      </c>
      <c r="F4011" t="str">
        <f>IF(INPUT!N4006="","",INPUT!N4006)</f>
        <v/>
      </c>
      <c r="G4011" cm="1">
        <f t="array" ref="G4011">IFERROR(VLOOKUP(INPUT!M4006&amp;INPUT!N4006,CHOOSE({1,2},INPUT!$A$3:$A$5000&amp;INPUT!$C$3:$C$5000,INPUT!$F$3:$F$5000),2,FALSE),"")</f>
        <v>0</v>
      </c>
      <c r="H4011" cm="1">
        <f t="array" ref="H4011">IFERROR(VLOOKUP(INPUT!M4006&amp;INPUT!N4006,CHOOSE({1,2},INPUT!$A$3:$A$5000&amp;INPUT!$C$3:$C$5000,INPUT!$D$3:$D$5000),2,FALSE),"")</f>
        <v>0</v>
      </c>
      <c r="I4011" s="46" t="str">
        <f>IF(INPUT!P4006="","",INPUT!P4006)</f>
        <v/>
      </c>
      <c r="J4011" s="46" t="str">
        <f>IF(INPUT!Q4006="","",INPUT!Q4006)</f>
        <v/>
      </c>
      <c r="K4011" s="46" t="str">
        <f>IFERROR(IF(OR(INPUT!P4006="",INPUT!Q4006=""),"",INPUT!P4006-INPUT!Q4006),"")</f>
        <v/>
      </c>
      <c r="L4011" s="48" t="str">
        <f>IFERROR(IF(OR(INPUT!P4006="",INPUT!Q4006="",INPUT!P4006=0),"",(INPUT!P4006-INPUT!Q4006)/INPUT!P4006),"")</f>
        <v/>
      </c>
    </row>
    <row r="4012" spans="1:12" ht="18" hidden="1" customHeight="1" x14ac:dyDescent="0.2">
      <c r="A4012" s="11" t="str">
        <f>IF(INPUT!M4007="","",INPUT!M4007)</f>
        <v/>
      </c>
      <c r="B4012" s="11" t="str">
        <f>IF(INPUT!M4007="","",INPUT!M4007-WEEKDAY(INPUT!M4007,2)+1)</f>
        <v/>
      </c>
      <c r="C4012" s="20">
        <f>IFERROR(_xlfn.ISOWEEKNUM(INPUT!M4007),"")</f>
        <v>52</v>
      </c>
      <c r="D4012" s="20">
        <f>IFERROR(YEAR(INPUT!M4007),"")</f>
        <v>1900</v>
      </c>
      <c r="E4012" t="str">
        <f>IF(INPUT!O4007="","",INPUT!O4007)</f>
        <v/>
      </c>
      <c r="F4012" t="str">
        <f>IF(INPUT!N4007="","",INPUT!N4007)</f>
        <v/>
      </c>
      <c r="G4012" cm="1">
        <f t="array" ref="G4012">IFERROR(VLOOKUP(INPUT!M4007&amp;INPUT!N4007,CHOOSE({1,2},INPUT!$A$3:$A$5000&amp;INPUT!$C$3:$C$5000,INPUT!$F$3:$F$5000),2,FALSE),"")</f>
        <v>0</v>
      </c>
      <c r="H4012" cm="1">
        <f t="array" ref="H4012">IFERROR(VLOOKUP(INPUT!M4007&amp;INPUT!N4007,CHOOSE({1,2},INPUT!$A$3:$A$5000&amp;INPUT!$C$3:$C$5000,INPUT!$D$3:$D$5000),2,FALSE),"")</f>
        <v>0</v>
      </c>
      <c r="I4012" s="46" t="str">
        <f>IF(INPUT!P4007="","",INPUT!P4007)</f>
        <v/>
      </c>
      <c r="J4012" s="46" t="str">
        <f>IF(INPUT!Q4007="","",INPUT!Q4007)</f>
        <v/>
      </c>
      <c r="K4012" s="46" t="str">
        <f>IFERROR(IF(OR(INPUT!P4007="",INPUT!Q4007=""),"",INPUT!P4007-INPUT!Q4007),"")</f>
        <v/>
      </c>
      <c r="L4012" s="48" t="str">
        <f>IFERROR(IF(OR(INPUT!P4007="",INPUT!Q4007="",INPUT!P4007=0),"",(INPUT!P4007-INPUT!Q4007)/INPUT!P4007),"")</f>
        <v/>
      </c>
    </row>
    <row r="4013" spans="1:12" ht="18" hidden="1" customHeight="1" x14ac:dyDescent="0.2">
      <c r="A4013" s="11" t="str">
        <f>IF(INPUT!M4008="","",INPUT!M4008)</f>
        <v/>
      </c>
      <c r="B4013" s="11" t="str">
        <f>IF(INPUT!M4008="","",INPUT!M4008-WEEKDAY(INPUT!M4008,2)+1)</f>
        <v/>
      </c>
      <c r="C4013" s="20">
        <f>IFERROR(_xlfn.ISOWEEKNUM(INPUT!M4008),"")</f>
        <v>52</v>
      </c>
      <c r="D4013" s="20">
        <f>IFERROR(YEAR(INPUT!M4008),"")</f>
        <v>1900</v>
      </c>
      <c r="E4013" t="str">
        <f>IF(INPUT!O4008="","",INPUT!O4008)</f>
        <v/>
      </c>
      <c r="F4013" t="str">
        <f>IF(INPUT!N4008="","",INPUT!N4008)</f>
        <v/>
      </c>
      <c r="G4013" cm="1">
        <f t="array" ref="G4013">IFERROR(VLOOKUP(INPUT!M4008&amp;INPUT!N4008,CHOOSE({1,2},INPUT!$A$3:$A$5000&amp;INPUT!$C$3:$C$5000,INPUT!$F$3:$F$5000),2,FALSE),"")</f>
        <v>0</v>
      </c>
      <c r="H4013" cm="1">
        <f t="array" ref="H4013">IFERROR(VLOOKUP(INPUT!M4008&amp;INPUT!N4008,CHOOSE({1,2},INPUT!$A$3:$A$5000&amp;INPUT!$C$3:$C$5000,INPUT!$D$3:$D$5000),2,FALSE),"")</f>
        <v>0</v>
      </c>
      <c r="I4013" s="46" t="str">
        <f>IF(INPUT!P4008="","",INPUT!P4008)</f>
        <v/>
      </c>
      <c r="J4013" s="46" t="str">
        <f>IF(INPUT!Q4008="","",INPUT!Q4008)</f>
        <v/>
      </c>
      <c r="K4013" s="46" t="str">
        <f>IFERROR(IF(OR(INPUT!P4008="",INPUT!Q4008=""),"",INPUT!P4008-INPUT!Q4008),"")</f>
        <v/>
      </c>
      <c r="L4013" s="48" t="str">
        <f>IFERROR(IF(OR(INPUT!P4008="",INPUT!Q4008="",INPUT!P4008=0),"",(INPUT!P4008-INPUT!Q4008)/INPUT!P4008),"")</f>
        <v/>
      </c>
    </row>
    <row r="4014" spans="1:12" ht="18" hidden="1" customHeight="1" x14ac:dyDescent="0.2">
      <c r="A4014" s="11" t="str">
        <f>IF(INPUT!M4009="","",INPUT!M4009)</f>
        <v/>
      </c>
      <c r="B4014" s="11" t="str">
        <f>IF(INPUT!M4009="","",INPUT!M4009-WEEKDAY(INPUT!M4009,2)+1)</f>
        <v/>
      </c>
      <c r="C4014" s="20">
        <f>IFERROR(_xlfn.ISOWEEKNUM(INPUT!M4009),"")</f>
        <v>52</v>
      </c>
      <c r="D4014" s="20">
        <f>IFERROR(YEAR(INPUT!M4009),"")</f>
        <v>1900</v>
      </c>
      <c r="E4014" t="str">
        <f>IF(INPUT!O4009="","",INPUT!O4009)</f>
        <v/>
      </c>
      <c r="F4014" t="str">
        <f>IF(INPUT!N4009="","",INPUT!N4009)</f>
        <v/>
      </c>
      <c r="G4014" cm="1">
        <f t="array" ref="G4014">IFERROR(VLOOKUP(INPUT!M4009&amp;INPUT!N4009,CHOOSE({1,2},INPUT!$A$3:$A$5000&amp;INPUT!$C$3:$C$5000,INPUT!$F$3:$F$5000),2,FALSE),"")</f>
        <v>0</v>
      </c>
      <c r="H4014" cm="1">
        <f t="array" ref="H4014">IFERROR(VLOOKUP(INPUT!M4009&amp;INPUT!N4009,CHOOSE({1,2},INPUT!$A$3:$A$5000&amp;INPUT!$C$3:$C$5000,INPUT!$D$3:$D$5000),2,FALSE),"")</f>
        <v>0</v>
      </c>
      <c r="I4014" s="46" t="str">
        <f>IF(INPUT!P4009="","",INPUT!P4009)</f>
        <v/>
      </c>
      <c r="J4014" s="46" t="str">
        <f>IF(INPUT!Q4009="","",INPUT!Q4009)</f>
        <v/>
      </c>
      <c r="K4014" s="46" t="str">
        <f>IFERROR(IF(OR(INPUT!P4009="",INPUT!Q4009=""),"",INPUT!P4009-INPUT!Q4009),"")</f>
        <v/>
      </c>
      <c r="L4014" s="48" t="str">
        <f>IFERROR(IF(OR(INPUT!P4009="",INPUT!Q4009="",INPUT!P4009=0),"",(INPUT!P4009-INPUT!Q4009)/INPUT!P4009),"")</f>
        <v/>
      </c>
    </row>
    <row r="4015" spans="1:12" ht="18" hidden="1" customHeight="1" x14ac:dyDescent="0.2">
      <c r="A4015" s="11" t="str">
        <f>IF(INPUT!M4010="","",INPUT!M4010)</f>
        <v/>
      </c>
      <c r="B4015" s="11" t="str">
        <f>IF(INPUT!M4010="","",INPUT!M4010-WEEKDAY(INPUT!M4010,2)+1)</f>
        <v/>
      </c>
      <c r="C4015" s="20">
        <f>IFERROR(_xlfn.ISOWEEKNUM(INPUT!M4010),"")</f>
        <v>52</v>
      </c>
      <c r="D4015" s="20">
        <f>IFERROR(YEAR(INPUT!M4010),"")</f>
        <v>1900</v>
      </c>
      <c r="E4015" t="str">
        <f>IF(INPUT!O4010="","",INPUT!O4010)</f>
        <v/>
      </c>
      <c r="F4015" t="str">
        <f>IF(INPUT!N4010="","",INPUT!N4010)</f>
        <v/>
      </c>
      <c r="G4015" cm="1">
        <f t="array" ref="G4015">IFERROR(VLOOKUP(INPUT!M4010&amp;INPUT!N4010,CHOOSE({1,2},INPUT!$A$3:$A$5000&amp;INPUT!$C$3:$C$5000,INPUT!$F$3:$F$5000),2,FALSE),"")</f>
        <v>0</v>
      </c>
      <c r="H4015" cm="1">
        <f t="array" ref="H4015">IFERROR(VLOOKUP(INPUT!M4010&amp;INPUT!N4010,CHOOSE({1,2},INPUT!$A$3:$A$5000&amp;INPUT!$C$3:$C$5000,INPUT!$D$3:$D$5000),2,FALSE),"")</f>
        <v>0</v>
      </c>
      <c r="I4015" s="46" t="str">
        <f>IF(INPUT!P4010="","",INPUT!P4010)</f>
        <v/>
      </c>
      <c r="J4015" s="46" t="str">
        <f>IF(INPUT!Q4010="","",INPUT!Q4010)</f>
        <v/>
      </c>
      <c r="K4015" s="46" t="str">
        <f>IFERROR(IF(OR(INPUT!P4010="",INPUT!Q4010=""),"",INPUT!P4010-INPUT!Q4010),"")</f>
        <v/>
      </c>
      <c r="L4015" s="48" t="str">
        <f>IFERROR(IF(OR(INPUT!P4010="",INPUT!Q4010="",INPUT!P4010=0),"",(INPUT!P4010-INPUT!Q4010)/INPUT!P4010),"")</f>
        <v/>
      </c>
    </row>
    <row r="4016" spans="1:12" ht="18" hidden="1" customHeight="1" x14ac:dyDescent="0.2">
      <c r="A4016" s="11" t="str">
        <f>IF(INPUT!M4011="","",INPUT!M4011)</f>
        <v/>
      </c>
      <c r="B4016" s="11" t="str">
        <f>IF(INPUT!M4011="","",INPUT!M4011-WEEKDAY(INPUT!M4011,2)+1)</f>
        <v/>
      </c>
      <c r="C4016" s="20">
        <f>IFERROR(_xlfn.ISOWEEKNUM(INPUT!M4011),"")</f>
        <v>52</v>
      </c>
      <c r="D4016" s="20">
        <f>IFERROR(YEAR(INPUT!M4011),"")</f>
        <v>1900</v>
      </c>
      <c r="E4016" t="str">
        <f>IF(INPUT!O4011="","",INPUT!O4011)</f>
        <v/>
      </c>
      <c r="F4016" t="str">
        <f>IF(INPUT!N4011="","",INPUT!N4011)</f>
        <v/>
      </c>
      <c r="G4016" cm="1">
        <f t="array" ref="G4016">IFERROR(VLOOKUP(INPUT!M4011&amp;INPUT!N4011,CHOOSE({1,2},INPUT!$A$3:$A$5000&amp;INPUT!$C$3:$C$5000,INPUT!$F$3:$F$5000),2,FALSE),"")</f>
        <v>0</v>
      </c>
      <c r="H4016" cm="1">
        <f t="array" ref="H4016">IFERROR(VLOOKUP(INPUT!M4011&amp;INPUT!N4011,CHOOSE({1,2},INPUT!$A$3:$A$5000&amp;INPUT!$C$3:$C$5000,INPUT!$D$3:$D$5000),2,FALSE),"")</f>
        <v>0</v>
      </c>
      <c r="I4016" s="46" t="str">
        <f>IF(INPUT!P4011="","",INPUT!P4011)</f>
        <v/>
      </c>
      <c r="J4016" s="46" t="str">
        <f>IF(INPUT!Q4011="","",INPUT!Q4011)</f>
        <v/>
      </c>
      <c r="K4016" s="46" t="str">
        <f>IFERROR(IF(OR(INPUT!P4011="",INPUT!Q4011=""),"",INPUT!P4011-INPUT!Q4011),"")</f>
        <v/>
      </c>
      <c r="L4016" s="48" t="str">
        <f>IFERROR(IF(OR(INPUT!P4011="",INPUT!Q4011="",INPUT!P4011=0),"",(INPUT!P4011-INPUT!Q4011)/INPUT!P4011),"")</f>
        <v/>
      </c>
    </row>
    <row r="4017" spans="1:12" ht="18" hidden="1" customHeight="1" x14ac:dyDescent="0.2">
      <c r="A4017" s="11" t="str">
        <f>IF(INPUT!M4012="","",INPUT!M4012)</f>
        <v/>
      </c>
      <c r="B4017" s="11" t="str">
        <f>IF(INPUT!M4012="","",INPUT!M4012-WEEKDAY(INPUT!M4012,2)+1)</f>
        <v/>
      </c>
      <c r="C4017" s="20">
        <f>IFERROR(_xlfn.ISOWEEKNUM(INPUT!M4012),"")</f>
        <v>52</v>
      </c>
      <c r="D4017" s="20">
        <f>IFERROR(YEAR(INPUT!M4012),"")</f>
        <v>1900</v>
      </c>
      <c r="E4017" t="str">
        <f>IF(INPUT!O4012="","",INPUT!O4012)</f>
        <v/>
      </c>
      <c r="F4017" t="str">
        <f>IF(INPUT!N4012="","",INPUT!N4012)</f>
        <v/>
      </c>
      <c r="G4017" cm="1">
        <f t="array" ref="G4017">IFERROR(VLOOKUP(INPUT!M4012&amp;INPUT!N4012,CHOOSE({1,2},INPUT!$A$3:$A$5000&amp;INPUT!$C$3:$C$5000,INPUT!$F$3:$F$5000),2,FALSE),"")</f>
        <v>0</v>
      </c>
      <c r="H4017" cm="1">
        <f t="array" ref="H4017">IFERROR(VLOOKUP(INPUT!M4012&amp;INPUT!N4012,CHOOSE({1,2},INPUT!$A$3:$A$5000&amp;INPUT!$C$3:$C$5000,INPUT!$D$3:$D$5000),2,FALSE),"")</f>
        <v>0</v>
      </c>
      <c r="I4017" s="46" t="str">
        <f>IF(INPUT!P4012="","",INPUT!P4012)</f>
        <v/>
      </c>
      <c r="J4017" s="46" t="str">
        <f>IF(INPUT!Q4012="","",INPUT!Q4012)</f>
        <v/>
      </c>
      <c r="K4017" s="46" t="str">
        <f>IFERROR(IF(OR(INPUT!P4012="",INPUT!Q4012=""),"",INPUT!P4012-INPUT!Q4012),"")</f>
        <v/>
      </c>
      <c r="L4017" s="48" t="str">
        <f>IFERROR(IF(OR(INPUT!P4012="",INPUT!Q4012="",INPUT!P4012=0),"",(INPUT!P4012-INPUT!Q4012)/INPUT!P4012),"")</f>
        <v/>
      </c>
    </row>
    <row r="4018" spans="1:12" ht="18" hidden="1" customHeight="1" x14ac:dyDescent="0.2">
      <c r="A4018" s="11" t="str">
        <f>IF(INPUT!M4013="","",INPUT!M4013)</f>
        <v/>
      </c>
      <c r="B4018" s="11" t="str">
        <f>IF(INPUT!M4013="","",INPUT!M4013-WEEKDAY(INPUT!M4013,2)+1)</f>
        <v/>
      </c>
      <c r="C4018" s="20">
        <f>IFERROR(_xlfn.ISOWEEKNUM(INPUT!M4013),"")</f>
        <v>52</v>
      </c>
      <c r="D4018" s="20">
        <f>IFERROR(YEAR(INPUT!M4013),"")</f>
        <v>1900</v>
      </c>
      <c r="E4018" t="str">
        <f>IF(INPUT!O4013="","",INPUT!O4013)</f>
        <v/>
      </c>
      <c r="F4018" t="str">
        <f>IF(INPUT!N4013="","",INPUT!N4013)</f>
        <v/>
      </c>
      <c r="G4018" cm="1">
        <f t="array" ref="G4018">IFERROR(VLOOKUP(INPUT!M4013&amp;INPUT!N4013,CHOOSE({1,2},INPUT!$A$3:$A$5000&amp;INPUT!$C$3:$C$5000,INPUT!$F$3:$F$5000),2,FALSE),"")</f>
        <v>0</v>
      </c>
      <c r="H4018" cm="1">
        <f t="array" ref="H4018">IFERROR(VLOOKUP(INPUT!M4013&amp;INPUT!N4013,CHOOSE({1,2},INPUT!$A$3:$A$5000&amp;INPUT!$C$3:$C$5000,INPUT!$D$3:$D$5000),2,FALSE),"")</f>
        <v>0</v>
      </c>
      <c r="I4018" s="46" t="str">
        <f>IF(INPUT!P4013="","",INPUT!P4013)</f>
        <v/>
      </c>
      <c r="J4018" s="46" t="str">
        <f>IF(INPUT!Q4013="","",INPUT!Q4013)</f>
        <v/>
      </c>
      <c r="K4018" s="46" t="str">
        <f>IFERROR(IF(OR(INPUT!P4013="",INPUT!Q4013=""),"",INPUT!P4013-INPUT!Q4013),"")</f>
        <v/>
      </c>
      <c r="L4018" s="48" t="str">
        <f>IFERROR(IF(OR(INPUT!P4013="",INPUT!Q4013="",INPUT!P4013=0),"",(INPUT!P4013-INPUT!Q4013)/INPUT!P4013),"")</f>
        <v/>
      </c>
    </row>
    <row r="4019" spans="1:12" ht="18" hidden="1" customHeight="1" x14ac:dyDescent="0.2">
      <c r="A4019" s="11" t="str">
        <f>IF(INPUT!M4014="","",INPUT!M4014)</f>
        <v/>
      </c>
      <c r="B4019" s="11" t="str">
        <f>IF(INPUT!M4014="","",INPUT!M4014-WEEKDAY(INPUT!M4014,2)+1)</f>
        <v/>
      </c>
      <c r="C4019" s="20">
        <f>IFERROR(_xlfn.ISOWEEKNUM(INPUT!M4014),"")</f>
        <v>52</v>
      </c>
      <c r="D4019" s="20">
        <f>IFERROR(YEAR(INPUT!M4014),"")</f>
        <v>1900</v>
      </c>
      <c r="E4019" t="str">
        <f>IF(INPUT!O4014="","",INPUT!O4014)</f>
        <v/>
      </c>
      <c r="F4019" t="str">
        <f>IF(INPUT!N4014="","",INPUT!N4014)</f>
        <v/>
      </c>
      <c r="G4019" cm="1">
        <f t="array" ref="G4019">IFERROR(VLOOKUP(INPUT!M4014&amp;INPUT!N4014,CHOOSE({1,2},INPUT!$A$3:$A$5000&amp;INPUT!$C$3:$C$5000,INPUT!$F$3:$F$5000),2,FALSE),"")</f>
        <v>0</v>
      </c>
      <c r="H4019" cm="1">
        <f t="array" ref="H4019">IFERROR(VLOOKUP(INPUT!M4014&amp;INPUT!N4014,CHOOSE({1,2},INPUT!$A$3:$A$5000&amp;INPUT!$C$3:$C$5000,INPUT!$D$3:$D$5000),2,FALSE),"")</f>
        <v>0</v>
      </c>
      <c r="I4019" s="46" t="str">
        <f>IF(INPUT!P4014="","",INPUT!P4014)</f>
        <v/>
      </c>
      <c r="J4019" s="46" t="str">
        <f>IF(INPUT!Q4014="","",INPUT!Q4014)</f>
        <v/>
      </c>
      <c r="K4019" s="46" t="str">
        <f>IFERROR(IF(OR(INPUT!P4014="",INPUT!Q4014=""),"",INPUT!P4014-INPUT!Q4014),"")</f>
        <v/>
      </c>
      <c r="L4019" s="48" t="str">
        <f>IFERROR(IF(OR(INPUT!P4014="",INPUT!Q4014="",INPUT!P4014=0),"",(INPUT!P4014-INPUT!Q4014)/INPUT!P4014),"")</f>
        <v/>
      </c>
    </row>
    <row r="4020" spans="1:12" ht="18" hidden="1" customHeight="1" x14ac:dyDescent="0.2">
      <c r="A4020" s="11" t="str">
        <f>IF(INPUT!M4015="","",INPUT!M4015)</f>
        <v/>
      </c>
      <c r="B4020" s="11" t="str">
        <f>IF(INPUT!M4015="","",INPUT!M4015-WEEKDAY(INPUT!M4015,2)+1)</f>
        <v/>
      </c>
      <c r="C4020" s="20">
        <f>IFERROR(_xlfn.ISOWEEKNUM(INPUT!M4015),"")</f>
        <v>52</v>
      </c>
      <c r="D4020" s="20">
        <f>IFERROR(YEAR(INPUT!M4015),"")</f>
        <v>1900</v>
      </c>
      <c r="E4020" t="str">
        <f>IF(INPUT!O4015="","",INPUT!O4015)</f>
        <v/>
      </c>
      <c r="F4020" t="str">
        <f>IF(INPUT!N4015="","",INPUT!N4015)</f>
        <v/>
      </c>
      <c r="G4020" cm="1">
        <f t="array" ref="G4020">IFERROR(VLOOKUP(INPUT!M4015&amp;INPUT!N4015,CHOOSE({1,2},INPUT!$A$3:$A$5000&amp;INPUT!$C$3:$C$5000,INPUT!$F$3:$F$5000),2,FALSE),"")</f>
        <v>0</v>
      </c>
      <c r="H4020" cm="1">
        <f t="array" ref="H4020">IFERROR(VLOOKUP(INPUT!M4015&amp;INPUT!N4015,CHOOSE({1,2},INPUT!$A$3:$A$5000&amp;INPUT!$C$3:$C$5000,INPUT!$D$3:$D$5000),2,FALSE),"")</f>
        <v>0</v>
      </c>
      <c r="I4020" s="46" t="str">
        <f>IF(INPUT!P4015="","",INPUT!P4015)</f>
        <v/>
      </c>
      <c r="J4020" s="46" t="str">
        <f>IF(INPUT!Q4015="","",INPUT!Q4015)</f>
        <v/>
      </c>
      <c r="K4020" s="46" t="str">
        <f>IFERROR(IF(OR(INPUT!P4015="",INPUT!Q4015=""),"",INPUT!P4015-INPUT!Q4015),"")</f>
        <v/>
      </c>
      <c r="L4020" s="48" t="str">
        <f>IFERROR(IF(OR(INPUT!P4015="",INPUT!Q4015="",INPUT!P4015=0),"",(INPUT!P4015-INPUT!Q4015)/INPUT!P4015),"")</f>
        <v/>
      </c>
    </row>
    <row r="4021" spans="1:12" ht="18" hidden="1" customHeight="1" x14ac:dyDescent="0.2">
      <c r="A4021" s="11" t="str">
        <f>IF(INPUT!M4016="","",INPUT!M4016)</f>
        <v/>
      </c>
      <c r="B4021" s="11" t="str">
        <f>IF(INPUT!M4016="","",INPUT!M4016-WEEKDAY(INPUT!M4016,2)+1)</f>
        <v/>
      </c>
      <c r="C4021" s="20">
        <f>IFERROR(_xlfn.ISOWEEKNUM(INPUT!M4016),"")</f>
        <v>52</v>
      </c>
      <c r="D4021" s="20">
        <f>IFERROR(YEAR(INPUT!M4016),"")</f>
        <v>1900</v>
      </c>
      <c r="E4021" t="str">
        <f>IF(INPUT!O4016="","",INPUT!O4016)</f>
        <v/>
      </c>
      <c r="F4021" t="str">
        <f>IF(INPUT!N4016="","",INPUT!N4016)</f>
        <v/>
      </c>
      <c r="G4021" cm="1">
        <f t="array" ref="G4021">IFERROR(VLOOKUP(INPUT!M4016&amp;INPUT!N4016,CHOOSE({1,2},INPUT!$A$3:$A$5000&amp;INPUT!$C$3:$C$5000,INPUT!$F$3:$F$5000),2,FALSE),"")</f>
        <v>0</v>
      </c>
      <c r="H4021" cm="1">
        <f t="array" ref="H4021">IFERROR(VLOOKUP(INPUT!M4016&amp;INPUT!N4016,CHOOSE({1,2},INPUT!$A$3:$A$5000&amp;INPUT!$C$3:$C$5000,INPUT!$D$3:$D$5000),2,FALSE),"")</f>
        <v>0</v>
      </c>
      <c r="I4021" s="46" t="str">
        <f>IF(INPUT!P4016="","",INPUT!P4016)</f>
        <v/>
      </c>
      <c r="J4021" s="46" t="str">
        <f>IF(INPUT!Q4016="","",INPUT!Q4016)</f>
        <v/>
      </c>
      <c r="K4021" s="46" t="str">
        <f>IFERROR(IF(OR(INPUT!P4016="",INPUT!Q4016=""),"",INPUT!P4016-INPUT!Q4016),"")</f>
        <v/>
      </c>
      <c r="L4021" s="48" t="str">
        <f>IFERROR(IF(OR(INPUT!P4016="",INPUT!Q4016="",INPUT!P4016=0),"",(INPUT!P4016-INPUT!Q4016)/INPUT!P4016),"")</f>
        <v/>
      </c>
    </row>
    <row r="4022" spans="1:12" ht="18" hidden="1" customHeight="1" x14ac:dyDescent="0.2">
      <c r="A4022" s="11" t="str">
        <f>IF(INPUT!M4017="","",INPUT!M4017)</f>
        <v/>
      </c>
      <c r="B4022" s="11" t="str">
        <f>IF(INPUT!M4017="","",INPUT!M4017-WEEKDAY(INPUT!M4017,2)+1)</f>
        <v/>
      </c>
      <c r="C4022" s="20">
        <f>IFERROR(_xlfn.ISOWEEKNUM(INPUT!M4017),"")</f>
        <v>52</v>
      </c>
      <c r="D4022" s="20">
        <f>IFERROR(YEAR(INPUT!M4017),"")</f>
        <v>1900</v>
      </c>
      <c r="E4022" t="str">
        <f>IF(INPUT!O4017="","",INPUT!O4017)</f>
        <v/>
      </c>
      <c r="F4022" t="str">
        <f>IF(INPUT!N4017="","",INPUT!N4017)</f>
        <v/>
      </c>
      <c r="G4022" cm="1">
        <f t="array" ref="G4022">IFERROR(VLOOKUP(INPUT!M4017&amp;INPUT!N4017,CHOOSE({1,2},INPUT!$A$3:$A$5000&amp;INPUT!$C$3:$C$5000,INPUT!$F$3:$F$5000),2,FALSE),"")</f>
        <v>0</v>
      </c>
      <c r="H4022" cm="1">
        <f t="array" ref="H4022">IFERROR(VLOOKUP(INPUT!M4017&amp;INPUT!N4017,CHOOSE({1,2},INPUT!$A$3:$A$5000&amp;INPUT!$C$3:$C$5000,INPUT!$D$3:$D$5000),2,FALSE),"")</f>
        <v>0</v>
      </c>
      <c r="I4022" s="46" t="str">
        <f>IF(INPUT!P4017="","",INPUT!P4017)</f>
        <v/>
      </c>
      <c r="J4022" s="46" t="str">
        <f>IF(INPUT!Q4017="","",INPUT!Q4017)</f>
        <v/>
      </c>
      <c r="K4022" s="46" t="str">
        <f>IFERROR(IF(OR(INPUT!P4017="",INPUT!Q4017=""),"",INPUT!P4017-INPUT!Q4017),"")</f>
        <v/>
      </c>
      <c r="L4022" s="48" t="str">
        <f>IFERROR(IF(OR(INPUT!P4017="",INPUT!Q4017="",INPUT!P4017=0),"",(INPUT!P4017-INPUT!Q4017)/INPUT!P4017),"")</f>
        <v/>
      </c>
    </row>
    <row r="4023" spans="1:12" ht="18" hidden="1" customHeight="1" x14ac:dyDescent="0.2">
      <c r="A4023" s="11" t="str">
        <f>IF(INPUT!M4018="","",INPUT!M4018)</f>
        <v/>
      </c>
      <c r="B4023" s="11" t="str">
        <f>IF(INPUT!M4018="","",INPUT!M4018-WEEKDAY(INPUT!M4018,2)+1)</f>
        <v/>
      </c>
      <c r="C4023" s="20">
        <f>IFERROR(_xlfn.ISOWEEKNUM(INPUT!M4018),"")</f>
        <v>52</v>
      </c>
      <c r="D4023" s="20">
        <f>IFERROR(YEAR(INPUT!M4018),"")</f>
        <v>1900</v>
      </c>
      <c r="E4023" t="str">
        <f>IF(INPUT!O4018="","",INPUT!O4018)</f>
        <v/>
      </c>
      <c r="F4023" t="str">
        <f>IF(INPUT!N4018="","",INPUT!N4018)</f>
        <v/>
      </c>
      <c r="G4023" cm="1">
        <f t="array" ref="G4023">IFERROR(VLOOKUP(INPUT!M4018&amp;INPUT!N4018,CHOOSE({1,2},INPUT!$A$3:$A$5000&amp;INPUT!$C$3:$C$5000,INPUT!$F$3:$F$5000),2,FALSE),"")</f>
        <v>0</v>
      </c>
      <c r="H4023" cm="1">
        <f t="array" ref="H4023">IFERROR(VLOOKUP(INPUT!M4018&amp;INPUT!N4018,CHOOSE({1,2},INPUT!$A$3:$A$5000&amp;INPUT!$C$3:$C$5000,INPUT!$D$3:$D$5000),2,FALSE),"")</f>
        <v>0</v>
      </c>
      <c r="I4023" s="46" t="str">
        <f>IF(INPUT!P4018="","",INPUT!P4018)</f>
        <v/>
      </c>
      <c r="J4023" s="46" t="str">
        <f>IF(INPUT!Q4018="","",INPUT!Q4018)</f>
        <v/>
      </c>
      <c r="K4023" s="46" t="str">
        <f>IFERROR(IF(OR(INPUT!P4018="",INPUT!Q4018=""),"",INPUT!P4018-INPUT!Q4018),"")</f>
        <v/>
      </c>
      <c r="L4023" s="48" t="str">
        <f>IFERROR(IF(OR(INPUT!P4018="",INPUT!Q4018="",INPUT!P4018=0),"",(INPUT!P4018-INPUT!Q4018)/INPUT!P4018),"")</f>
        <v/>
      </c>
    </row>
    <row r="4024" spans="1:12" ht="18" hidden="1" customHeight="1" x14ac:dyDescent="0.2">
      <c r="A4024" s="11" t="str">
        <f>IF(INPUT!M4019="","",INPUT!M4019)</f>
        <v/>
      </c>
      <c r="B4024" s="11" t="str">
        <f>IF(INPUT!M4019="","",INPUT!M4019-WEEKDAY(INPUT!M4019,2)+1)</f>
        <v/>
      </c>
      <c r="C4024" s="20">
        <f>IFERROR(_xlfn.ISOWEEKNUM(INPUT!M4019),"")</f>
        <v>52</v>
      </c>
      <c r="D4024" s="20">
        <f>IFERROR(YEAR(INPUT!M4019),"")</f>
        <v>1900</v>
      </c>
      <c r="E4024" t="str">
        <f>IF(INPUT!O4019="","",INPUT!O4019)</f>
        <v/>
      </c>
      <c r="F4024" t="str">
        <f>IF(INPUT!N4019="","",INPUT!N4019)</f>
        <v/>
      </c>
      <c r="G4024" cm="1">
        <f t="array" ref="G4024">IFERROR(VLOOKUP(INPUT!M4019&amp;INPUT!N4019,CHOOSE({1,2},INPUT!$A$3:$A$5000&amp;INPUT!$C$3:$C$5000,INPUT!$F$3:$F$5000),2,FALSE),"")</f>
        <v>0</v>
      </c>
      <c r="H4024" cm="1">
        <f t="array" ref="H4024">IFERROR(VLOOKUP(INPUT!M4019&amp;INPUT!N4019,CHOOSE({1,2},INPUT!$A$3:$A$5000&amp;INPUT!$C$3:$C$5000,INPUT!$D$3:$D$5000),2,FALSE),"")</f>
        <v>0</v>
      </c>
      <c r="I4024" s="46" t="str">
        <f>IF(INPUT!P4019="","",INPUT!P4019)</f>
        <v/>
      </c>
      <c r="J4024" s="46" t="str">
        <f>IF(INPUT!Q4019="","",INPUT!Q4019)</f>
        <v/>
      </c>
      <c r="K4024" s="46" t="str">
        <f>IFERROR(IF(OR(INPUT!P4019="",INPUT!Q4019=""),"",INPUT!P4019-INPUT!Q4019),"")</f>
        <v/>
      </c>
      <c r="L4024" s="48" t="str">
        <f>IFERROR(IF(OR(INPUT!P4019="",INPUT!Q4019="",INPUT!P4019=0),"",(INPUT!P4019-INPUT!Q4019)/INPUT!P4019),"")</f>
        <v/>
      </c>
    </row>
    <row r="4025" spans="1:12" ht="18" hidden="1" customHeight="1" x14ac:dyDescent="0.2">
      <c r="A4025" s="11" t="str">
        <f>IF(INPUT!M4020="","",INPUT!M4020)</f>
        <v/>
      </c>
      <c r="B4025" s="11" t="str">
        <f>IF(INPUT!M4020="","",INPUT!M4020-WEEKDAY(INPUT!M4020,2)+1)</f>
        <v/>
      </c>
      <c r="C4025" s="20">
        <f>IFERROR(_xlfn.ISOWEEKNUM(INPUT!M4020),"")</f>
        <v>52</v>
      </c>
      <c r="D4025" s="20">
        <f>IFERROR(YEAR(INPUT!M4020),"")</f>
        <v>1900</v>
      </c>
      <c r="E4025" t="str">
        <f>IF(INPUT!O4020="","",INPUT!O4020)</f>
        <v/>
      </c>
      <c r="F4025" t="str">
        <f>IF(INPUT!N4020="","",INPUT!N4020)</f>
        <v/>
      </c>
      <c r="G4025" cm="1">
        <f t="array" ref="G4025">IFERROR(VLOOKUP(INPUT!M4020&amp;INPUT!N4020,CHOOSE({1,2},INPUT!$A$3:$A$5000&amp;INPUT!$C$3:$C$5000,INPUT!$F$3:$F$5000),2,FALSE),"")</f>
        <v>0</v>
      </c>
      <c r="H4025" cm="1">
        <f t="array" ref="H4025">IFERROR(VLOOKUP(INPUT!M4020&amp;INPUT!N4020,CHOOSE({1,2},INPUT!$A$3:$A$5000&amp;INPUT!$C$3:$C$5000,INPUT!$D$3:$D$5000),2,FALSE),"")</f>
        <v>0</v>
      </c>
      <c r="I4025" s="46" t="str">
        <f>IF(INPUT!P4020="","",INPUT!P4020)</f>
        <v/>
      </c>
      <c r="J4025" s="46" t="str">
        <f>IF(INPUT!Q4020="","",INPUT!Q4020)</f>
        <v/>
      </c>
      <c r="K4025" s="46" t="str">
        <f>IFERROR(IF(OR(INPUT!P4020="",INPUT!Q4020=""),"",INPUT!P4020-INPUT!Q4020),"")</f>
        <v/>
      </c>
      <c r="L4025" s="48" t="str">
        <f>IFERROR(IF(OR(INPUT!P4020="",INPUT!Q4020="",INPUT!P4020=0),"",(INPUT!P4020-INPUT!Q4020)/INPUT!P4020),"")</f>
        <v/>
      </c>
    </row>
    <row r="4026" spans="1:12" ht="18" hidden="1" customHeight="1" x14ac:dyDescent="0.2">
      <c r="A4026" s="11" t="str">
        <f>IF(INPUT!M4021="","",INPUT!M4021)</f>
        <v/>
      </c>
      <c r="B4026" s="11" t="str">
        <f>IF(INPUT!M4021="","",INPUT!M4021-WEEKDAY(INPUT!M4021,2)+1)</f>
        <v/>
      </c>
      <c r="C4026" s="20">
        <f>IFERROR(_xlfn.ISOWEEKNUM(INPUT!M4021),"")</f>
        <v>52</v>
      </c>
      <c r="D4026" s="20">
        <f>IFERROR(YEAR(INPUT!M4021),"")</f>
        <v>1900</v>
      </c>
      <c r="E4026" t="str">
        <f>IF(INPUT!O4021="","",INPUT!O4021)</f>
        <v/>
      </c>
      <c r="F4026" t="str">
        <f>IF(INPUT!N4021="","",INPUT!N4021)</f>
        <v/>
      </c>
      <c r="G4026" cm="1">
        <f t="array" ref="G4026">IFERROR(VLOOKUP(INPUT!M4021&amp;INPUT!N4021,CHOOSE({1,2},INPUT!$A$3:$A$5000&amp;INPUT!$C$3:$C$5000,INPUT!$F$3:$F$5000),2,FALSE),"")</f>
        <v>0</v>
      </c>
      <c r="H4026" cm="1">
        <f t="array" ref="H4026">IFERROR(VLOOKUP(INPUT!M4021&amp;INPUT!N4021,CHOOSE({1,2},INPUT!$A$3:$A$5000&amp;INPUT!$C$3:$C$5000,INPUT!$D$3:$D$5000),2,FALSE),"")</f>
        <v>0</v>
      </c>
      <c r="I4026" s="46" t="str">
        <f>IF(INPUT!P4021="","",INPUT!P4021)</f>
        <v/>
      </c>
      <c r="J4026" s="46" t="str">
        <f>IF(INPUT!Q4021="","",INPUT!Q4021)</f>
        <v/>
      </c>
      <c r="K4026" s="46" t="str">
        <f>IFERROR(IF(OR(INPUT!P4021="",INPUT!Q4021=""),"",INPUT!P4021-INPUT!Q4021),"")</f>
        <v/>
      </c>
      <c r="L4026" s="48" t="str">
        <f>IFERROR(IF(OR(INPUT!P4021="",INPUT!Q4021="",INPUT!P4021=0),"",(INPUT!P4021-INPUT!Q4021)/INPUT!P4021),"")</f>
        <v/>
      </c>
    </row>
    <row r="4027" spans="1:12" ht="18" hidden="1" customHeight="1" x14ac:dyDescent="0.2">
      <c r="A4027" s="11" t="str">
        <f>IF(INPUT!M4022="","",INPUT!M4022)</f>
        <v/>
      </c>
      <c r="B4027" s="11" t="str">
        <f>IF(INPUT!M4022="","",INPUT!M4022-WEEKDAY(INPUT!M4022,2)+1)</f>
        <v/>
      </c>
      <c r="C4027" s="20">
        <f>IFERROR(_xlfn.ISOWEEKNUM(INPUT!M4022),"")</f>
        <v>52</v>
      </c>
      <c r="D4027" s="20">
        <f>IFERROR(YEAR(INPUT!M4022),"")</f>
        <v>1900</v>
      </c>
      <c r="E4027" t="str">
        <f>IF(INPUT!O4022="","",INPUT!O4022)</f>
        <v/>
      </c>
      <c r="F4027" t="str">
        <f>IF(INPUT!N4022="","",INPUT!N4022)</f>
        <v/>
      </c>
      <c r="G4027" cm="1">
        <f t="array" ref="G4027">IFERROR(VLOOKUP(INPUT!M4022&amp;INPUT!N4022,CHOOSE({1,2},INPUT!$A$3:$A$5000&amp;INPUT!$C$3:$C$5000,INPUT!$F$3:$F$5000),2,FALSE),"")</f>
        <v>0</v>
      </c>
      <c r="H4027" cm="1">
        <f t="array" ref="H4027">IFERROR(VLOOKUP(INPUT!M4022&amp;INPUT!N4022,CHOOSE({1,2},INPUT!$A$3:$A$5000&amp;INPUT!$C$3:$C$5000,INPUT!$D$3:$D$5000),2,FALSE),"")</f>
        <v>0</v>
      </c>
      <c r="I4027" s="46" t="str">
        <f>IF(INPUT!P4022="","",INPUT!P4022)</f>
        <v/>
      </c>
      <c r="J4027" s="46" t="str">
        <f>IF(INPUT!Q4022="","",INPUT!Q4022)</f>
        <v/>
      </c>
      <c r="K4027" s="46" t="str">
        <f>IFERROR(IF(OR(INPUT!P4022="",INPUT!Q4022=""),"",INPUT!P4022-INPUT!Q4022),"")</f>
        <v/>
      </c>
      <c r="L4027" s="48" t="str">
        <f>IFERROR(IF(OR(INPUT!P4022="",INPUT!Q4022="",INPUT!P4022=0),"",(INPUT!P4022-INPUT!Q4022)/INPUT!P4022),"")</f>
        <v/>
      </c>
    </row>
    <row r="4028" spans="1:12" ht="18" hidden="1" customHeight="1" x14ac:dyDescent="0.2">
      <c r="A4028" s="11" t="str">
        <f>IF(INPUT!M4023="","",INPUT!M4023)</f>
        <v/>
      </c>
      <c r="B4028" s="11" t="str">
        <f>IF(INPUT!M4023="","",INPUT!M4023-WEEKDAY(INPUT!M4023,2)+1)</f>
        <v/>
      </c>
      <c r="C4028" s="20">
        <f>IFERROR(_xlfn.ISOWEEKNUM(INPUT!M4023),"")</f>
        <v>52</v>
      </c>
      <c r="D4028" s="20">
        <f>IFERROR(YEAR(INPUT!M4023),"")</f>
        <v>1900</v>
      </c>
      <c r="E4028" t="str">
        <f>IF(INPUT!O4023="","",INPUT!O4023)</f>
        <v/>
      </c>
      <c r="F4028" t="str">
        <f>IF(INPUT!N4023="","",INPUT!N4023)</f>
        <v/>
      </c>
      <c r="G4028" cm="1">
        <f t="array" ref="G4028">IFERROR(VLOOKUP(INPUT!M4023&amp;INPUT!N4023,CHOOSE({1,2},INPUT!$A$3:$A$5000&amp;INPUT!$C$3:$C$5000,INPUT!$F$3:$F$5000),2,FALSE),"")</f>
        <v>0</v>
      </c>
      <c r="H4028" cm="1">
        <f t="array" ref="H4028">IFERROR(VLOOKUP(INPUT!M4023&amp;INPUT!N4023,CHOOSE({1,2},INPUT!$A$3:$A$5000&amp;INPUT!$C$3:$C$5000,INPUT!$D$3:$D$5000),2,FALSE),"")</f>
        <v>0</v>
      </c>
      <c r="I4028" s="46" t="str">
        <f>IF(INPUT!P4023="","",INPUT!P4023)</f>
        <v/>
      </c>
      <c r="J4028" s="46" t="str">
        <f>IF(INPUT!Q4023="","",INPUT!Q4023)</f>
        <v/>
      </c>
      <c r="K4028" s="46" t="str">
        <f>IFERROR(IF(OR(INPUT!P4023="",INPUT!Q4023=""),"",INPUT!P4023-INPUT!Q4023),"")</f>
        <v/>
      </c>
      <c r="L4028" s="48" t="str">
        <f>IFERROR(IF(OR(INPUT!P4023="",INPUT!Q4023="",INPUT!P4023=0),"",(INPUT!P4023-INPUT!Q4023)/INPUT!P4023),"")</f>
        <v/>
      </c>
    </row>
    <row r="4029" spans="1:12" ht="18" hidden="1" customHeight="1" x14ac:dyDescent="0.2">
      <c r="A4029" s="11" t="str">
        <f>IF(INPUT!M4024="","",INPUT!M4024)</f>
        <v/>
      </c>
      <c r="B4029" s="11" t="str">
        <f>IF(INPUT!M4024="","",INPUT!M4024-WEEKDAY(INPUT!M4024,2)+1)</f>
        <v/>
      </c>
      <c r="C4029" s="20">
        <f>IFERROR(_xlfn.ISOWEEKNUM(INPUT!M4024),"")</f>
        <v>52</v>
      </c>
      <c r="D4029" s="20">
        <f>IFERROR(YEAR(INPUT!M4024),"")</f>
        <v>1900</v>
      </c>
      <c r="E4029" t="str">
        <f>IF(INPUT!O4024="","",INPUT!O4024)</f>
        <v/>
      </c>
      <c r="F4029" t="str">
        <f>IF(INPUT!N4024="","",INPUT!N4024)</f>
        <v/>
      </c>
      <c r="G4029" cm="1">
        <f t="array" ref="G4029">IFERROR(VLOOKUP(INPUT!M4024&amp;INPUT!N4024,CHOOSE({1,2},INPUT!$A$3:$A$5000&amp;INPUT!$C$3:$C$5000,INPUT!$F$3:$F$5000),2,FALSE),"")</f>
        <v>0</v>
      </c>
      <c r="H4029" cm="1">
        <f t="array" ref="H4029">IFERROR(VLOOKUP(INPUT!M4024&amp;INPUT!N4024,CHOOSE({1,2},INPUT!$A$3:$A$5000&amp;INPUT!$C$3:$C$5000,INPUT!$D$3:$D$5000),2,FALSE),"")</f>
        <v>0</v>
      </c>
      <c r="I4029" s="46" t="str">
        <f>IF(INPUT!P4024="","",INPUT!P4024)</f>
        <v/>
      </c>
      <c r="J4029" s="46" t="str">
        <f>IF(INPUT!Q4024="","",INPUT!Q4024)</f>
        <v/>
      </c>
      <c r="K4029" s="46" t="str">
        <f>IFERROR(IF(OR(INPUT!P4024="",INPUT!Q4024=""),"",INPUT!P4024-INPUT!Q4024),"")</f>
        <v/>
      </c>
      <c r="L4029" s="48" t="str">
        <f>IFERROR(IF(OR(INPUT!P4024="",INPUT!Q4024="",INPUT!P4024=0),"",(INPUT!P4024-INPUT!Q4024)/INPUT!P4024),"")</f>
        <v/>
      </c>
    </row>
    <row r="4030" spans="1:12" ht="18" hidden="1" customHeight="1" x14ac:dyDescent="0.2">
      <c r="A4030" s="11" t="str">
        <f>IF(INPUT!M4025="","",INPUT!M4025)</f>
        <v/>
      </c>
      <c r="B4030" s="11" t="str">
        <f>IF(INPUT!M4025="","",INPUT!M4025-WEEKDAY(INPUT!M4025,2)+1)</f>
        <v/>
      </c>
      <c r="C4030" s="20">
        <f>IFERROR(_xlfn.ISOWEEKNUM(INPUT!M4025),"")</f>
        <v>52</v>
      </c>
      <c r="D4030" s="20">
        <f>IFERROR(YEAR(INPUT!M4025),"")</f>
        <v>1900</v>
      </c>
      <c r="E4030" t="str">
        <f>IF(INPUT!O4025="","",INPUT!O4025)</f>
        <v/>
      </c>
      <c r="F4030" t="str">
        <f>IF(INPUT!N4025="","",INPUT!N4025)</f>
        <v/>
      </c>
      <c r="G4030" cm="1">
        <f t="array" ref="G4030">IFERROR(VLOOKUP(INPUT!M4025&amp;INPUT!N4025,CHOOSE({1,2},INPUT!$A$3:$A$5000&amp;INPUT!$C$3:$C$5000,INPUT!$F$3:$F$5000),2,FALSE),"")</f>
        <v>0</v>
      </c>
      <c r="H4030" cm="1">
        <f t="array" ref="H4030">IFERROR(VLOOKUP(INPUT!M4025&amp;INPUT!N4025,CHOOSE({1,2},INPUT!$A$3:$A$5000&amp;INPUT!$C$3:$C$5000,INPUT!$D$3:$D$5000),2,FALSE),"")</f>
        <v>0</v>
      </c>
      <c r="I4030" s="46" t="str">
        <f>IF(INPUT!P4025="","",INPUT!P4025)</f>
        <v/>
      </c>
      <c r="J4030" s="46" t="str">
        <f>IF(INPUT!Q4025="","",INPUT!Q4025)</f>
        <v/>
      </c>
      <c r="K4030" s="46" t="str">
        <f>IFERROR(IF(OR(INPUT!P4025="",INPUT!Q4025=""),"",INPUT!P4025-INPUT!Q4025),"")</f>
        <v/>
      </c>
      <c r="L4030" s="48" t="str">
        <f>IFERROR(IF(OR(INPUT!P4025="",INPUT!Q4025="",INPUT!P4025=0),"",(INPUT!P4025-INPUT!Q4025)/INPUT!P4025),"")</f>
        <v/>
      </c>
    </row>
    <row r="4031" spans="1:12" ht="18" hidden="1" customHeight="1" x14ac:dyDescent="0.2">
      <c r="A4031" s="11" t="str">
        <f>IF(INPUT!M4026="","",INPUT!M4026)</f>
        <v/>
      </c>
      <c r="B4031" s="11" t="str">
        <f>IF(INPUT!M4026="","",INPUT!M4026-WEEKDAY(INPUT!M4026,2)+1)</f>
        <v/>
      </c>
      <c r="C4031" s="20">
        <f>IFERROR(_xlfn.ISOWEEKNUM(INPUT!M4026),"")</f>
        <v>52</v>
      </c>
      <c r="D4031" s="20">
        <f>IFERROR(YEAR(INPUT!M4026),"")</f>
        <v>1900</v>
      </c>
      <c r="E4031" t="str">
        <f>IF(INPUT!O4026="","",INPUT!O4026)</f>
        <v/>
      </c>
      <c r="F4031" t="str">
        <f>IF(INPUT!N4026="","",INPUT!N4026)</f>
        <v/>
      </c>
      <c r="G4031" cm="1">
        <f t="array" ref="G4031">IFERROR(VLOOKUP(INPUT!M4026&amp;INPUT!N4026,CHOOSE({1,2},INPUT!$A$3:$A$5000&amp;INPUT!$C$3:$C$5000,INPUT!$F$3:$F$5000),2,FALSE),"")</f>
        <v>0</v>
      </c>
      <c r="H4031" cm="1">
        <f t="array" ref="H4031">IFERROR(VLOOKUP(INPUT!M4026&amp;INPUT!N4026,CHOOSE({1,2},INPUT!$A$3:$A$5000&amp;INPUT!$C$3:$C$5000,INPUT!$D$3:$D$5000),2,FALSE),"")</f>
        <v>0</v>
      </c>
      <c r="I4031" s="46" t="str">
        <f>IF(INPUT!P4026="","",INPUT!P4026)</f>
        <v/>
      </c>
      <c r="J4031" s="46" t="str">
        <f>IF(INPUT!Q4026="","",INPUT!Q4026)</f>
        <v/>
      </c>
      <c r="K4031" s="46" t="str">
        <f>IFERROR(IF(OR(INPUT!P4026="",INPUT!Q4026=""),"",INPUT!P4026-INPUT!Q4026),"")</f>
        <v/>
      </c>
      <c r="L4031" s="48" t="str">
        <f>IFERROR(IF(OR(INPUT!P4026="",INPUT!Q4026="",INPUT!P4026=0),"",(INPUT!P4026-INPUT!Q4026)/INPUT!P4026),"")</f>
        <v/>
      </c>
    </row>
    <row r="4032" spans="1:12" ht="18" hidden="1" customHeight="1" x14ac:dyDescent="0.2">
      <c r="A4032" s="11" t="str">
        <f>IF(INPUT!M4027="","",INPUT!M4027)</f>
        <v/>
      </c>
      <c r="B4032" s="11" t="str">
        <f>IF(INPUT!M4027="","",INPUT!M4027-WEEKDAY(INPUT!M4027,2)+1)</f>
        <v/>
      </c>
      <c r="C4032" s="20">
        <f>IFERROR(_xlfn.ISOWEEKNUM(INPUT!M4027),"")</f>
        <v>52</v>
      </c>
      <c r="D4032" s="20">
        <f>IFERROR(YEAR(INPUT!M4027),"")</f>
        <v>1900</v>
      </c>
      <c r="E4032" t="str">
        <f>IF(INPUT!O4027="","",INPUT!O4027)</f>
        <v/>
      </c>
      <c r="F4032" t="str">
        <f>IF(INPUT!N4027="","",INPUT!N4027)</f>
        <v/>
      </c>
      <c r="G4032" cm="1">
        <f t="array" ref="G4032">IFERROR(VLOOKUP(INPUT!M4027&amp;INPUT!N4027,CHOOSE({1,2},INPUT!$A$3:$A$5000&amp;INPUT!$C$3:$C$5000,INPUT!$F$3:$F$5000),2,FALSE),"")</f>
        <v>0</v>
      </c>
      <c r="H4032" cm="1">
        <f t="array" ref="H4032">IFERROR(VLOOKUP(INPUT!M4027&amp;INPUT!N4027,CHOOSE({1,2},INPUT!$A$3:$A$5000&amp;INPUT!$C$3:$C$5000,INPUT!$D$3:$D$5000),2,FALSE),"")</f>
        <v>0</v>
      </c>
      <c r="I4032" s="46" t="str">
        <f>IF(INPUT!P4027="","",INPUT!P4027)</f>
        <v/>
      </c>
      <c r="J4032" s="46" t="str">
        <f>IF(INPUT!Q4027="","",INPUT!Q4027)</f>
        <v/>
      </c>
      <c r="K4032" s="46" t="str">
        <f>IFERROR(IF(OR(INPUT!P4027="",INPUT!Q4027=""),"",INPUT!P4027-INPUT!Q4027),"")</f>
        <v/>
      </c>
      <c r="L4032" s="48" t="str">
        <f>IFERROR(IF(OR(INPUT!P4027="",INPUT!Q4027="",INPUT!P4027=0),"",(INPUT!P4027-INPUT!Q4027)/INPUT!P4027),"")</f>
        <v/>
      </c>
    </row>
    <row r="4033" spans="1:12" ht="18" hidden="1" customHeight="1" x14ac:dyDescent="0.2">
      <c r="A4033" s="11" t="str">
        <f>IF(INPUT!M4028="","",INPUT!M4028)</f>
        <v/>
      </c>
      <c r="B4033" s="11" t="str">
        <f>IF(INPUT!M4028="","",INPUT!M4028-WEEKDAY(INPUT!M4028,2)+1)</f>
        <v/>
      </c>
      <c r="C4033" s="20">
        <f>IFERROR(_xlfn.ISOWEEKNUM(INPUT!M4028),"")</f>
        <v>52</v>
      </c>
      <c r="D4033" s="20">
        <f>IFERROR(YEAR(INPUT!M4028),"")</f>
        <v>1900</v>
      </c>
      <c r="E4033" t="str">
        <f>IF(INPUT!O4028="","",INPUT!O4028)</f>
        <v/>
      </c>
      <c r="F4033" t="str">
        <f>IF(INPUT!N4028="","",INPUT!N4028)</f>
        <v/>
      </c>
      <c r="G4033" cm="1">
        <f t="array" ref="G4033">IFERROR(VLOOKUP(INPUT!M4028&amp;INPUT!N4028,CHOOSE({1,2},INPUT!$A$3:$A$5000&amp;INPUT!$C$3:$C$5000,INPUT!$F$3:$F$5000),2,FALSE),"")</f>
        <v>0</v>
      </c>
      <c r="H4033" cm="1">
        <f t="array" ref="H4033">IFERROR(VLOOKUP(INPUT!M4028&amp;INPUT!N4028,CHOOSE({1,2},INPUT!$A$3:$A$5000&amp;INPUT!$C$3:$C$5000,INPUT!$D$3:$D$5000),2,FALSE),"")</f>
        <v>0</v>
      </c>
      <c r="I4033" s="46" t="str">
        <f>IF(INPUT!P4028="","",INPUT!P4028)</f>
        <v/>
      </c>
      <c r="J4033" s="46" t="str">
        <f>IF(INPUT!Q4028="","",INPUT!Q4028)</f>
        <v/>
      </c>
      <c r="K4033" s="46" t="str">
        <f>IFERROR(IF(OR(INPUT!P4028="",INPUT!Q4028=""),"",INPUT!P4028-INPUT!Q4028),"")</f>
        <v/>
      </c>
      <c r="L4033" s="48" t="str">
        <f>IFERROR(IF(OR(INPUT!P4028="",INPUT!Q4028="",INPUT!P4028=0),"",(INPUT!P4028-INPUT!Q4028)/INPUT!P4028),"")</f>
        <v/>
      </c>
    </row>
    <row r="4034" spans="1:12" ht="18" hidden="1" customHeight="1" x14ac:dyDescent="0.2">
      <c r="A4034" s="11" t="str">
        <f>IF(INPUT!M4029="","",INPUT!M4029)</f>
        <v/>
      </c>
      <c r="B4034" s="11" t="str">
        <f>IF(INPUT!M4029="","",INPUT!M4029-WEEKDAY(INPUT!M4029,2)+1)</f>
        <v/>
      </c>
      <c r="C4034" s="20">
        <f>IFERROR(_xlfn.ISOWEEKNUM(INPUT!M4029),"")</f>
        <v>52</v>
      </c>
      <c r="D4034" s="20">
        <f>IFERROR(YEAR(INPUT!M4029),"")</f>
        <v>1900</v>
      </c>
      <c r="E4034" t="str">
        <f>IF(INPUT!O4029="","",INPUT!O4029)</f>
        <v/>
      </c>
      <c r="F4034" t="str">
        <f>IF(INPUT!N4029="","",INPUT!N4029)</f>
        <v/>
      </c>
      <c r="G4034" cm="1">
        <f t="array" ref="G4034">IFERROR(VLOOKUP(INPUT!M4029&amp;INPUT!N4029,CHOOSE({1,2},INPUT!$A$3:$A$5000&amp;INPUT!$C$3:$C$5000,INPUT!$F$3:$F$5000),2,FALSE),"")</f>
        <v>0</v>
      </c>
      <c r="H4034" cm="1">
        <f t="array" ref="H4034">IFERROR(VLOOKUP(INPUT!M4029&amp;INPUT!N4029,CHOOSE({1,2},INPUT!$A$3:$A$5000&amp;INPUT!$C$3:$C$5000,INPUT!$D$3:$D$5000),2,FALSE),"")</f>
        <v>0</v>
      </c>
      <c r="I4034" s="46" t="str">
        <f>IF(INPUT!P4029="","",INPUT!P4029)</f>
        <v/>
      </c>
      <c r="J4034" s="46" t="str">
        <f>IF(INPUT!Q4029="","",INPUT!Q4029)</f>
        <v/>
      </c>
      <c r="K4034" s="46" t="str">
        <f>IFERROR(IF(OR(INPUT!P4029="",INPUT!Q4029=""),"",INPUT!P4029-INPUT!Q4029),"")</f>
        <v/>
      </c>
      <c r="L4034" s="48" t="str">
        <f>IFERROR(IF(OR(INPUT!P4029="",INPUT!Q4029="",INPUT!P4029=0),"",(INPUT!P4029-INPUT!Q4029)/INPUT!P4029),"")</f>
        <v/>
      </c>
    </row>
    <row r="4035" spans="1:12" ht="18" hidden="1" customHeight="1" x14ac:dyDescent="0.2">
      <c r="A4035" s="11" t="str">
        <f>IF(INPUT!M4030="","",INPUT!M4030)</f>
        <v/>
      </c>
      <c r="B4035" s="11" t="str">
        <f>IF(INPUT!M4030="","",INPUT!M4030-WEEKDAY(INPUT!M4030,2)+1)</f>
        <v/>
      </c>
      <c r="C4035" s="20">
        <f>IFERROR(_xlfn.ISOWEEKNUM(INPUT!M4030),"")</f>
        <v>52</v>
      </c>
      <c r="D4035" s="20">
        <f>IFERROR(YEAR(INPUT!M4030),"")</f>
        <v>1900</v>
      </c>
      <c r="E4035" t="str">
        <f>IF(INPUT!O4030="","",INPUT!O4030)</f>
        <v/>
      </c>
      <c r="F4035" t="str">
        <f>IF(INPUT!N4030="","",INPUT!N4030)</f>
        <v/>
      </c>
      <c r="G4035" cm="1">
        <f t="array" ref="G4035">IFERROR(VLOOKUP(INPUT!M4030&amp;INPUT!N4030,CHOOSE({1,2},INPUT!$A$3:$A$5000&amp;INPUT!$C$3:$C$5000,INPUT!$F$3:$F$5000),2,FALSE),"")</f>
        <v>0</v>
      </c>
      <c r="H4035" cm="1">
        <f t="array" ref="H4035">IFERROR(VLOOKUP(INPUT!M4030&amp;INPUT!N4030,CHOOSE({1,2},INPUT!$A$3:$A$5000&amp;INPUT!$C$3:$C$5000,INPUT!$D$3:$D$5000),2,FALSE),"")</f>
        <v>0</v>
      </c>
      <c r="I4035" s="46" t="str">
        <f>IF(INPUT!P4030="","",INPUT!P4030)</f>
        <v/>
      </c>
      <c r="J4035" s="46" t="str">
        <f>IF(INPUT!Q4030="","",INPUT!Q4030)</f>
        <v/>
      </c>
      <c r="K4035" s="46" t="str">
        <f>IFERROR(IF(OR(INPUT!P4030="",INPUT!Q4030=""),"",INPUT!P4030-INPUT!Q4030),"")</f>
        <v/>
      </c>
      <c r="L4035" s="48" t="str">
        <f>IFERROR(IF(OR(INPUT!P4030="",INPUT!Q4030="",INPUT!P4030=0),"",(INPUT!P4030-INPUT!Q4030)/INPUT!P4030),"")</f>
        <v/>
      </c>
    </row>
    <row r="4036" spans="1:12" ht="18" hidden="1" customHeight="1" x14ac:dyDescent="0.2">
      <c r="A4036" s="11" t="str">
        <f>IF(INPUT!M4031="","",INPUT!M4031)</f>
        <v/>
      </c>
      <c r="B4036" s="11" t="str">
        <f>IF(INPUT!M4031="","",INPUT!M4031-WEEKDAY(INPUT!M4031,2)+1)</f>
        <v/>
      </c>
      <c r="C4036" s="20">
        <f>IFERROR(_xlfn.ISOWEEKNUM(INPUT!M4031),"")</f>
        <v>52</v>
      </c>
      <c r="D4036" s="20">
        <f>IFERROR(YEAR(INPUT!M4031),"")</f>
        <v>1900</v>
      </c>
      <c r="E4036" t="str">
        <f>IF(INPUT!O4031="","",INPUT!O4031)</f>
        <v/>
      </c>
      <c r="F4036" t="str">
        <f>IF(INPUT!N4031="","",INPUT!N4031)</f>
        <v/>
      </c>
      <c r="G4036" cm="1">
        <f t="array" ref="G4036">IFERROR(VLOOKUP(INPUT!M4031&amp;INPUT!N4031,CHOOSE({1,2},INPUT!$A$3:$A$5000&amp;INPUT!$C$3:$C$5000,INPUT!$F$3:$F$5000),2,FALSE),"")</f>
        <v>0</v>
      </c>
      <c r="H4036" cm="1">
        <f t="array" ref="H4036">IFERROR(VLOOKUP(INPUT!M4031&amp;INPUT!N4031,CHOOSE({1,2},INPUT!$A$3:$A$5000&amp;INPUT!$C$3:$C$5000,INPUT!$D$3:$D$5000),2,FALSE),"")</f>
        <v>0</v>
      </c>
      <c r="I4036" s="46" t="str">
        <f>IF(INPUT!P4031="","",INPUT!P4031)</f>
        <v/>
      </c>
      <c r="J4036" s="46" t="str">
        <f>IF(INPUT!Q4031="","",INPUT!Q4031)</f>
        <v/>
      </c>
      <c r="K4036" s="46" t="str">
        <f>IFERROR(IF(OR(INPUT!P4031="",INPUT!Q4031=""),"",INPUT!P4031-INPUT!Q4031),"")</f>
        <v/>
      </c>
      <c r="L4036" s="48" t="str">
        <f>IFERROR(IF(OR(INPUT!P4031="",INPUT!Q4031="",INPUT!P4031=0),"",(INPUT!P4031-INPUT!Q4031)/INPUT!P4031),"")</f>
        <v/>
      </c>
    </row>
    <row r="4037" spans="1:12" ht="18" hidden="1" customHeight="1" x14ac:dyDescent="0.2">
      <c r="A4037" s="11" t="str">
        <f>IF(INPUT!M4032="","",INPUT!M4032)</f>
        <v/>
      </c>
      <c r="B4037" s="11" t="str">
        <f>IF(INPUT!M4032="","",INPUT!M4032-WEEKDAY(INPUT!M4032,2)+1)</f>
        <v/>
      </c>
      <c r="C4037" s="20">
        <f>IFERROR(_xlfn.ISOWEEKNUM(INPUT!M4032),"")</f>
        <v>52</v>
      </c>
      <c r="D4037" s="20">
        <f>IFERROR(YEAR(INPUT!M4032),"")</f>
        <v>1900</v>
      </c>
      <c r="E4037" t="str">
        <f>IF(INPUT!O4032="","",INPUT!O4032)</f>
        <v/>
      </c>
      <c r="F4037" t="str">
        <f>IF(INPUT!N4032="","",INPUT!N4032)</f>
        <v/>
      </c>
      <c r="G4037" cm="1">
        <f t="array" ref="G4037">IFERROR(VLOOKUP(INPUT!M4032&amp;INPUT!N4032,CHOOSE({1,2},INPUT!$A$3:$A$5000&amp;INPUT!$C$3:$C$5000,INPUT!$F$3:$F$5000),2,FALSE),"")</f>
        <v>0</v>
      </c>
      <c r="H4037" cm="1">
        <f t="array" ref="H4037">IFERROR(VLOOKUP(INPUT!M4032&amp;INPUT!N4032,CHOOSE({1,2},INPUT!$A$3:$A$5000&amp;INPUT!$C$3:$C$5000,INPUT!$D$3:$D$5000),2,FALSE),"")</f>
        <v>0</v>
      </c>
      <c r="I4037" s="46" t="str">
        <f>IF(INPUT!P4032="","",INPUT!P4032)</f>
        <v/>
      </c>
      <c r="J4037" s="46" t="str">
        <f>IF(INPUT!Q4032="","",INPUT!Q4032)</f>
        <v/>
      </c>
      <c r="K4037" s="46" t="str">
        <f>IFERROR(IF(OR(INPUT!P4032="",INPUT!Q4032=""),"",INPUT!P4032-INPUT!Q4032),"")</f>
        <v/>
      </c>
      <c r="L4037" s="48" t="str">
        <f>IFERROR(IF(OR(INPUT!P4032="",INPUT!Q4032="",INPUT!P4032=0),"",(INPUT!P4032-INPUT!Q4032)/INPUT!P4032),"")</f>
        <v/>
      </c>
    </row>
    <row r="4038" spans="1:12" ht="18" hidden="1" customHeight="1" x14ac:dyDescent="0.2">
      <c r="A4038" s="11" t="str">
        <f>IF(INPUT!M4033="","",INPUT!M4033)</f>
        <v/>
      </c>
      <c r="B4038" s="11" t="str">
        <f>IF(INPUT!M4033="","",INPUT!M4033-WEEKDAY(INPUT!M4033,2)+1)</f>
        <v/>
      </c>
      <c r="C4038" s="20">
        <f>IFERROR(_xlfn.ISOWEEKNUM(INPUT!M4033),"")</f>
        <v>52</v>
      </c>
      <c r="D4038" s="20">
        <f>IFERROR(YEAR(INPUT!M4033),"")</f>
        <v>1900</v>
      </c>
      <c r="E4038" t="str">
        <f>IF(INPUT!O4033="","",INPUT!O4033)</f>
        <v/>
      </c>
      <c r="F4038" t="str">
        <f>IF(INPUT!N4033="","",INPUT!N4033)</f>
        <v/>
      </c>
      <c r="G4038" cm="1">
        <f t="array" ref="G4038">IFERROR(VLOOKUP(INPUT!M4033&amp;INPUT!N4033,CHOOSE({1,2},INPUT!$A$3:$A$5000&amp;INPUT!$C$3:$C$5000,INPUT!$F$3:$F$5000),2,FALSE),"")</f>
        <v>0</v>
      </c>
      <c r="H4038" cm="1">
        <f t="array" ref="H4038">IFERROR(VLOOKUP(INPUT!M4033&amp;INPUT!N4033,CHOOSE({1,2},INPUT!$A$3:$A$5000&amp;INPUT!$C$3:$C$5000,INPUT!$D$3:$D$5000),2,FALSE),"")</f>
        <v>0</v>
      </c>
      <c r="I4038" s="46" t="str">
        <f>IF(INPUT!P4033="","",INPUT!P4033)</f>
        <v/>
      </c>
      <c r="J4038" s="46" t="str">
        <f>IF(INPUT!Q4033="","",INPUT!Q4033)</f>
        <v/>
      </c>
      <c r="K4038" s="46" t="str">
        <f>IFERROR(IF(OR(INPUT!P4033="",INPUT!Q4033=""),"",INPUT!P4033-INPUT!Q4033),"")</f>
        <v/>
      </c>
      <c r="L4038" s="48" t="str">
        <f>IFERROR(IF(OR(INPUT!P4033="",INPUT!Q4033="",INPUT!P4033=0),"",(INPUT!P4033-INPUT!Q4033)/INPUT!P4033),"")</f>
        <v/>
      </c>
    </row>
    <row r="4039" spans="1:12" ht="18" hidden="1" customHeight="1" x14ac:dyDescent="0.2">
      <c r="A4039" s="11" t="str">
        <f>IF(INPUT!M4034="","",INPUT!M4034)</f>
        <v/>
      </c>
      <c r="B4039" s="11" t="str">
        <f>IF(INPUT!M4034="","",INPUT!M4034-WEEKDAY(INPUT!M4034,2)+1)</f>
        <v/>
      </c>
      <c r="C4039" s="20">
        <f>IFERROR(_xlfn.ISOWEEKNUM(INPUT!M4034),"")</f>
        <v>52</v>
      </c>
      <c r="D4039" s="20">
        <f>IFERROR(YEAR(INPUT!M4034),"")</f>
        <v>1900</v>
      </c>
      <c r="E4039" t="str">
        <f>IF(INPUT!O4034="","",INPUT!O4034)</f>
        <v/>
      </c>
      <c r="F4039" t="str">
        <f>IF(INPUT!N4034="","",INPUT!N4034)</f>
        <v/>
      </c>
      <c r="G4039" cm="1">
        <f t="array" ref="G4039">IFERROR(VLOOKUP(INPUT!M4034&amp;INPUT!N4034,CHOOSE({1,2},INPUT!$A$3:$A$5000&amp;INPUT!$C$3:$C$5000,INPUT!$F$3:$F$5000),2,FALSE),"")</f>
        <v>0</v>
      </c>
      <c r="H4039" cm="1">
        <f t="array" ref="H4039">IFERROR(VLOOKUP(INPUT!M4034&amp;INPUT!N4034,CHOOSE({1,2},INPUT!$A$3:$A$5000&amp;INPUT!$C$3:$C$5000,INPUT!$D$3:$D$5000),2,FALSE),"")</f>
        <v>0</v>
      </c>
      <c r="I4039" s="46" t="str">
        <f>IF(INPUT!P4034="","",INPUT!P4034)</f>
        <v/>
      </c>
      <c r="J4039" s="46" t="str">
        <f>IF(INPUT!Q4034="","",INPUT!Q4034)</f>
        <v/>
      </c>
      <c r="K4039" s="46" t="str">
        <f>IFERROR(IF(OR(INPUT!P4034="",INPUT!Q4034=""),"",INPUT!P4034-INPUT!Q4034),"")</f>
        <v/>
      </c>
      <c r="L4039" s="48" t="str">
        <f>IFERROR(IF(OR(INPUT!P4034="",INPUT!Q4034="",INPUT!P4034=0),"",(INPUT!P4034-INPUT!Q4034)/INPUT!P4034),"")</f>
        <v/>
      </c>
    </row>
    <row r="4040" spans="1:12" ht="18" hidden="1" customHeight="1" x14ac:dyDescent="0.2">
      <c r="A4040" s="11" t="str">
        <f>IF(INPUT!M4035="","",INPUT!M4035)</f>
        <v/>
      </c>
      <c r="B4040" s="11" t="str">
        <f>IF(INPUT!M4035="","",INPUT!M4035-WEEKDAY(INPUT!M4035,2)+1)</f>
        <v/>
      </c>
      <c r="C4040" s="20">
        <f>IFERROR(_xlfn.ISOWEEKNUM(INPUT!M4035),"")</f>
        <v>52</v>
      </c>
      <c r="D4040" s="20">
        <f>IFERROR(YEAR(INPUT!M4035),"")</f>
        <v>1900</v>
      </c>
      <c r="E4040" t="str">
        <f>IF(INPUT!O4035="","",INPUT!O4035)</f>
        <v/>
      </c>
      <c r="F4040" t="str">
        <f>IF(INPUT!N4035="","",INPUT!N4035)</f>
        <v/>
      </c>
      <c r="G4040" cm="1">
        <f t="array" ref="G4040">IFERROR(VLOOKUP(INPUT!M4035&amp;INPUT!N4035,CHOOSE({1,2},INPUT!$A$3:$A$5000&amp;INPUT!$C$3:$C$5000,INPUT!$F$3:$F$5000),2,FALSE),"")</f>
        <v>0</v>
      </c>
      <c r="H4040" cm="1">
        <f t="array" ref="H4040">IFERROR(VLOOKUP(INPUT!M4035&amp;INPUT!N4035,CHOOSE({1,2},INPUT!$A$3:$A$5000&amp;INPUT!$C$3:$C$5000,INPUT!$D$3:$D$5000),2,FALSE),"")</f>
        <v>0</v>
      </c>
      <c r="I4040" s="46" t="str">
        <f>IF(INPUT!P4035="","",INPUT!P4035)</f>
        <v/>
      </c>
      <c r="J4040" s="46" t="str">
        <f>IF(INPUT!Q4035="","",INPUT!Q4035)</f>
        <v/>
      </c>
      <c r="K4040" s="46" t="str">
        <f>IFERROR(IF(OR(INPUT!P4035="",INPUT!Q4035=""),"",INPUT!P4035-INPUT!Q4035),"")</f>
        <v/>
      </c>
      <c r="L4040" s="48" t="str">
        <f>IFERROR(IF(OR(INPUT!P4035="",INPUT!Q4035="",INPUT!P4035=0),"",(INPUT!P4035-INPUT!Q4035)/INPUT!P4035),"")</f>
        <v/>
      </c>
    </row>
    <row r="4041" spans="1:12" ht="18" hidden="1" customHeight="1" x14ac:dyDescent="0.2">
      <c r="A4041" s="11" t="str">
        <f>IF(INPUT!M4036="","",INPUT!M4036)</f>
        <v/>
      </c>
      <c r="B4041" s="11" t="str">
        <f>IF(INPUT!M4036="","",INPUT!M4036-WEEKDAY(INPUT!M4036,2)+1)</f>
        <v/>
      </c>
      <c r="C4041" s="20">
        <f>IFERROR(_xlfn.ISOWEEKNUM(INPUT!M4036),"")</f>
        <v>52</v>
      </c>
      <c r="D4041" s="20">
        <f>IFERROR(YEAR(INPUT!M4036),"")</f>
        <v>1900</v>
      </c>
      <c r="E4041" t="str">
        <f>IF(INPUT!O4036="","",INPUT!O4036)</f>
        <v/>
      </c>
      <c r="F4041" t="str">
        <f>IF(INPUT!N4036="","",INPUT!N4036)</f>
        <v/>
      </c>
      <c r="G4041" cm="1">
        <f t="array" ref="G4041">IFERROR(VLOOKUP(INPUT!M4036&amp;INPUT!N4036,CHOOSE({1,2},INPUT!$A$3:$A$5000&amp;INPUT!$C$3:$C$5000,INPUT!$F$3:$F$5000),2,FALSE),"")</f>
        <v>0</v>
      </c>
      <c r="H4041" cm="1">
        <f t="array" ref="H4041">IFERROR(VLOOKUP(INPUT!M4036&amp;INPUT!N4036,CHOOSE({1,2},INPUT!$A$3:$A$5000&amp;INPUT!$C$3:$C$5000,INPUT!$D$3:$D$5000),2,FALSE),"")</f>
        <v>0</v>
      </c>
      <c r="I4041" s="46" t="str">
        <f>IF(INPUT!P4036="","",INPUT!P4036)</f>
        <v/>
      </c>
      <c r="J4041" s="46" t="str">
        <f>IF(INPUT!Q4036="","",INPUT!Q4036)</f>
        <v/>
      </c>
      <c r="K4041" s="46" t="str">
        <f>IFERROR(IF(OR(INPUT!P4036="",INPUT!Q4036=""),"",INPUT!P4036-INPUT!Q4036),"")</f>
        <v/>
      </c>
      <c r="L4041" s="48" t="str">
        <f>IFERROR(IF(OR(INPUT!P4036="",INPUT!Q4036="",INPUT!P4036=0),"",(INPUT!P4036-INPUT!Q4036)/INPUT!P4036),"")</f>
        <v/>
      </c>
    </row>
    <row r="4042" spans="1:12" ht="18" hidden="1" customHeight="1" x14ac:dyDescent="0.2">
      <c r="A4042" s="11" t="str">
        <f>IF(INPUT!M4037="","",INPUT!M4037)</f>
        <v/>
      </c>
      <c r="B4042" s="11" t="str">
        <f>IF(INPUT!M4037="","",INPUT!M4037-WEEKDAY(INPUT!M4037,2)+1)</f>
        <v/>
      </c>
      <c r="C4042" s="20">
        <f>IFERROR(_xlfn.ISOWEEKNUM(INPUT!M4037),"")</f>
        <v>52</v>
      </c>
      <c r="D4042" s="20">
        <f>IFERROR(YEAR(INPUT!M4037),"")</f>
        <v>1900</v>
      </c>
      <c r="E4042" t="str">
        <f>IF(INPUT!O4037="","",INPUT!O4037)</f>
        <v/>
      </c>
      <c r="F4042" t="str">
        <f>IF(INPUT!N4037="","",INPUT!N4037)</f>
        <v/>
      </c>
      <c r="G4042" cm="1">
        <f t="array" ref="G4042">IFERROR(VLOOKUP(INPUT!M4037&amp;INPUT!N4037,CHOOSE({1,2},INPUT!$A$3:$A$5000&amp;INPUT!$C$3:$C$5000,INPUT!$F$3:$F$5000),2,FALSE),"")</f>
        <v>0</v>
      </c>
      <c r="H4042" cm="1">
        <f t="array" ref="H4042">IFERROR(VLOOKUP(INPUT!M4037&amp;INPUT!N4037,CHOOSE({1,2},INPUT!$A$3:$A$5000&amp;INPUT!$C$3:$C$5000,INPUT!$D$3:$D$5000),2,FALSE),"")</f>
        <v>0</v>
      </c>
      <c r="I4042" s="46" t="str">
        <f>IF(INPUT!P4037="","",INPUT!P4037)</f>
        <v/>
      </c>
      <c r="J4042" s="46" t="str">
        <f>IF(INPUT!Q4037="","",INPUT!Q4037)</f>
        <v/>
      </c>
      <c r="K4042" s="46" t="str">
        <f>IFERROR(IF(OR(INPUT!P4037="",INPUT!Q4037=""),"",INPUT!P4037-INPUT!Q4037),"")</f>
        <v/>
      </c>
      <c r="L4042" s="48" t="str">
        <f>IFERROR(IF(OR(INPUT!P4037="",INPUT!Q4037="",INPUT!P4037=0),"",(INPUT!P4037-INPUT!Q4037)/INPUT!P4037),"")</f>
        <v/>
      </c>
    </row>
    <row r="4043" spans="1:12" ht="18" hidden="1" customHeight="1" x14ac:dyDescent="0.2">
      <c r="A4043" s="11" t="str">
        <f>IF(INPUT!M4038="","",INPUT!M4038)</f>
        <v/>
      </c>
      <c r="B4043" s="11" t="str">
        <f>IF(INPUT!M4038="","",INPUT!M4038-WEEKDAY(INPUT!M4038,2)+1)</f>
        <v/>
      </c>
      <c r="C4043" s="20">
        <f>IFERROR(_xlfn.ISOWEEKNUM(INPUT!M4038),"")</f>
        <v>52</v>
      </c>
      <c r="D4043" s="20">
        <f>IFERROR(YEAR(INPUT!M4038),"")</f>
        <v>1900</v>
      </c>
      <c r="E4043" t="str">
        <f>IF(INPUT!O4038="","",INPUT!O4038)</f>
        <v/>
      </c>
      <c r="F4043" t="str">
        <f>IF(INPUT!N4038="","",INPUT!N4038)</f>
        <v/>
      </c>
      <c r="G4043" cm="1">
        <f t="array" ref="G4043">IFERROR(VLOOKUP(INPUT!M4038&amp;INPUT!N4038,CHOOSE({1,2},INPUT!$A$3:$A$5000&amp;INPUT!$C$3:$C$5000,INPUT!$F$3:$F$5000),2,FALSE),"")</f>
        <v>0</v>
      </c>
      <c r="H4043" cm="1">
        <f t="array" ref="H4043">IFERROR(VLOOKUP(INPUT!M4038&amp;INPUT!N4038,CHOOSE({1,2},INPUT!$A$3:$A$5000&amp;INPUT!$C$3:$C$5000,INPUT!$D$3:$D$5000),2,FALSE),"")</f>
        <v>0</v>
      </c>
      <c r="I4043" s="46" t="str">
        <f>IF(INPUT!P4038="","",INPUT!P4038)</f>
        <v/>
      </c>
      <c r="J4043" s="46" t="str">
        <f>IF(INPUT!Q4038="","",INPUT!Q4038)</f>
        <v/>
      </c>
      <c r="K4043" s="46" t="str">
        <f>IFERROR(IF(OR(INPUT!P4038="",INPUT!Q4038=""),"",INPUT!P4038-INPUT!Q4038),"")</f>
        <v/>
      </c>
      <c r="L4043" s="48" t="str">
        <f>IFERROR(IF(OR(INPUT!P4038="",INPUT!Q4038="",INPUT!P4038=0),"",(INPUT!P4038-INPUT!Q4038)/INPUT!P4038),"")</f>
        <v/>
      </c>
    </row>
    <row r="4044" spans="1:12" ht="18" hidden="1" customHeight="1" x14ac:dyDescent="0.2">
      <c r="A4044" s="11" t="str">
        <f>IF(INPUT!M4039="","",INPUT!M4039)</f>
        <v/>
      </c>
      <c r="B4044" s="11" t="str">
        <f>IF(INPUT!M4039="","",INPUT!M4039-WEEKDAY(INPUT!M4039,2)+1)</f>
        <v/>
      </c>
      <c r="C4044" s="20">
        <f>IFERROR(_xlfn.ISOWEEKNUM(INPUT!M4039),"")</f>
        <v>52</v>
      </c>
      <c r="D4044" s="20">
        <f>IFERROR(YEAR(INPUT!M4039),"")</f>
        <v>1900</v>
      </c>
      <c r="E4044" t="str">
        <f>IF(INPUT!O4039="","",INPUT!O4039)</f>
        <v/>
      </c>
      <c r="F4044" t="str">
        <f>IF(INPUT!N4039="","",INPUT!N4039)</f>
        <v/>
      </c>
      <c r="G4044" cm="1">
        <f t="array" ref="G4044">IFERROR(VLOOKUP(INPUT!M4039&amp;INPUT!N4039,CHOOSE({1,2},INPUT!$A$3:$A$5000&amp;INPUT!$C$3:$C$5000,INPUT!$F$3:$F$5000),2,FALSE),"")</f>
        <v>0</v>
      </c>
      <c r="H4044" cm="1">
        <f t="array" ref="H4044">IFERROR(VLOOKUP(INPUT!M4039&amp;INPUT!N4039,CHOOSE({1,2},INPUT!$A$3:$A$5000&amp;INPUT!$C$3:$C$5000,INPUT!$D$3:$D$5000),2,FALSE),"")</f>
        <v>0</v>
      </c>
      <c r="I4044" s="46" t="str">
        <f>IF(INPUT!P4039="","",INPUT!P4039)</f>
        <v/>
      </c>
      <c r="J4044" s="46" t="str">
        <f>IF(INPUT!Q4039="","",INPUT!Q4039)</f>
        <v/>
      </c>
      <c r="K4044" s="46" t="str">
        <f>IFERROR(IF(OR(INPUT!P4039="",INPUT!Q4039=""),"",INPUT!P4039-INPUT!Q4039),"")</f>
        <v/>
      </c>
      <c r="L4044" s="48" t="str">
        <f>IFERROR(IF(OR(INPUT!P4039="",INPUT!Q4039="",INPUT!P4039=0),"",(INPUT!P4039-INPUT!Q4039)/INPUT!P4039),"")</f>
        <v/>
      </c>
    </row>
    <row r="4045" spans="1:12" ht="18" hidden="1" customHeight="1" x14ac:dyDescent="0.2">
      <c r="A4045" s="11" t="str">
        <f>IF(INPUT!M4040="","",INPUT!M4040)</f>
        <v/>
      </c>
      <c r="B4045" s="11" t="str">
        <f>IF(INPUT!M4040="","",INPUT!M4040-WEEKDAY(INPUT!M4040,2)+1)</f>
        <v/>
      </c>
      <c r="C4045" s="20">
        <f>IFERROR(_xlfn.ISOWEEKNUM(INPUT!M4040),"")</f>
        <v>52</v>
      </c>
      <c r="D4045" s="20">
        <f>IFERROR(YEAR(INPUT!M4040),"")</f>
        <v>1900</v>
      </c>
      <c r="E4045" t="str">
        <f>IF(INPUT!O4040="","",INPUT!O4040)</f>
        <v/>
      </c>
      <c r="F4045" t="str">
        <f>IF(INPUT!N4040="","",INPUT!N4040)</f>
        <v/>
      </c>
      <c r="G4045" cm="1">
        <f t="array" ref="G4045">IFERROR(VLOOKUP(INPUT!M4040&amp;INPUT!N4040,CHOOSE({1,2},INPUT!$A$3:$A$5000&amp;INPUT!$C$3:$C$5000,INPUT!$F$3:$F$5000),2,FALSE),"")</f>
        <v>0</v>
      </c>
      <c r="H4045" cm="1">
        <f t="array" ref="H4045">IFERROR(VLOOKUP(INPUT!M4040&amp;INPUT!N4040,CHOOSE({1,2},INPUT!$A$3:$A$5000&amp;INPUT!$C$3:$C$5000,INPUT!$D$3:$D$5000),2,FALSE),"")</f>
        <v>0</v>
      </c>
      <c r="I4045" s="46" t="str">
        <f>IF(INPUT!P4040="","",INPUT!P4040)</f>
        <v/>
      </c>
      <c r="J4045" s="46" t="str">
        <f>IF(INPUT!Q4040="","",INPUT!Q4040)</f>
        <v/>
      </c>
      <c r="K4045" s="46" t="str">
        <f>IFERROR(IF(OR(INPUT!P4040="",INPUT!Q4040=""),"",INPUT!P4040-INPUT!Q4040),"")</f>
        <v/>
      </c>
      <c r="L4045" s="48" t="str">
        <f>IFERROR(IF(OR(INPUT!P4040="",INPUT!Q4040="",INPUT!P4040=0),"",(INPUT!P4040-INPUT!Q4040)/INPUT!P4040),"")</f>
        <v/>
      </c>
    </row>
    <row r="4046" spans="1:12" ht="18" hidden="1" customHeight="1" x14ac:dyDescent="0.2">
      <c r="A4046" s="11" t="str">
        <f>IF(INPUT!M4041="","",INPUT!M4041)</f>
        <v/>
      </c>
      <c r="B4046" s="11" t="str">
        <f>IF(INPUT!M4041="","",INPUT!M4041-WEEKDAY(INPUT!M4041,2)+1)</f>
        <v/>
      </c>
      <c r="C4046" s="20">
        <f>IFERROR(_xlfn.ISOWEEKNUM(INPUT!M4041),"")</f>
        <v>52</v>
      </c>
      <c r="D4046" s="20">
        <f>IFERROR(YEAR(INPUT!M4041),"")</f>
        <v>1900</v>
      </c>
      <c r="E4046" t="str">
        <f>IF(INPUT!O4041="","",INPUT!O4041)</f>
        <v/>
      </c>
      <c r="F4046" t="str">
        <f>IF(INPUT!N4041="","",INPUT!N4041)</f>
        <v/>
      </c>
      <c r="G4046" cm="1">
        <f t="array" ref="G4046">IFERROR(VLOOKUP(INPUT!M4041&amp;INPUT!N4041,CHOOSE({1,2},INPUT!$A$3:$A$5000&amp;INPUT!$C$3:$C$5000,INPUT!$F$3:$F$5000),2,FALSE),"")</f>
        <v>0</v>
      </c>
      <c r="H4046" cm="1">
        <f t="array" ref="H4046">IFERROR(VLOOKUP(INPUT!M4041&amp;INPUT!N4041,CHOOSE({1,2},INPUT!$A$3:$A$5000&amp;INPUT!$C$3:$C$5000,INPUT!$D$3:$D$5000),2,FALSE),"")</f>
        <v>0</v>
      </c>
      <c r="I4046" s="46" t="str">
        <f>IF(INPUT!P4041="","",INPUT!P4041)</f>
        <v/>
      </c>
      <c r="J4046" s="46" t="str">
        <f>IF(INPUT!Q4041="","",INPUT!Q4041)</f>
        <v/>
      </c>
      <c r="K4046" s="46" t="str">
        <f>IFERROR(IF(OR(INPUT!P4041="",INPUT!Q4041=""),"",INPUT!P4041-INPUT!Q4041),"")</f>
        <v/>
      </c>
      <c r="L4046" s="48" t="str">
        <f>IFERROR(IF(OR(INPUT!P4041="",INPUT!Q4041="",INPUT!P4041=0),"",(INPUT!P4041-INPUT!Q4041)/INPUT!P4041),"")</f>
        <v/>
      </c>
    </row>
    <row r="4047" spans="1:12" ht="18" hidden="1" customHeight="1" x14ac:dyDescent="0.2">
      <c r="A4047" s="11" t="str">
        <f>IF(INPUT!M4042="","",INPUT!M4042)</f>
        <v/>
      </c>
      <c r="B4047" s="11" t="str">
        <f>IF(INPUT!M4042="","",INPUT!M4042-WEEKDAY(INPUT!M4042,2)+1)</f>
        <v/>
      </c>
      <c r="C4047" s="20">
        <f>IFERROR(_xlfn.ISOWEEKNUM(INPUT!M4042),"")</f>
        <v>52</v>
      </c>
      <c r="D4047" s="20">
        <f>IFERROR(YEAR(INPUT!M4042),"")</f>
        <v>1900</v>
      </c>
      <c r="E4047" t="str">
        <f>IF(INPUT!O4042="","",INPUT!O4042)</f>
        <v/>
      </c>
      <c r="F4047" t="str">
        <f>IF(INPUT!N4042="","",INPUT!N4042)</f>
        <v/>
      </c>
      <c r="G4047" cm="1">
        <f t="array" ref="G4047">IFERROR(VLOOKUP(INPUT!M4042&amp;INPUT!N4042,CHOOSE({1,2},INPUT!$A$3:$A$5000&amp;INPUT!$C$3:$C$5000,INPUT!$F$3:$F$5000),2,FALSE),"")</f>
        <v>0</v>
      </c>
      <c r="H4047" cm="1">
        <f t="array" ref="H4047">IFERROR(VLOOKUP(INPUT!M4042&amp;INPUT!N4042,CHOOSE({1,2},INPUT!$A$3:$A$5000&amp;INPUT!$C$3:$C$5000,INPUT!$D$3:$D$5000),2,FALSE),"")</f>
        <v>0</v>
      </c>
      <c r="I4047" s="46" t="str">
        <f>IF(INPUT!P4042="","",INPUT!P4042)</f>
        <v/>
      </c>
      <c r="J4047" s="46" t="str">
        <f>IF(INPUT!Q4042="","",INPUT!Q4042)</f>
        <v/>
      </c>
      <c r="K4047" s="46" t="str">
        <f>IFERROR(IF(OR(INPUT!P4042="",INPUT!Q4042=""),"",INPUT!P4042-INPUT!Q4042),"")</f>
        <v/>
      </c>
      <c r="L4047" s="48" t="str">
        <f>IFERROR(IF(OR(INPUT!P4042="",INPUT!Q4042="",INPUT!P4042=0),"",(INPUT!P4042-INPUT!Q4042)/INPUT!P4042),"")</f>
        <v/>
      </c>
    </row>
    <row r="4048" spans="1:12" ht="18" hidden="1" customHeight="1" x14ac:dyDescent="0.2">
      <c r="A4048" s="11" t="str">
        <f>IF(INPUT!M4043="","",INPUT!M4043)</f>
        <v/>
      </c>
      <c r="B4048" s="11" t="str">
        <f>IF(INPUT!M4043="","",INPUT!M4043-WEEKDAY(INPUT!M4043,2)+1)</f>
        <v/>
      </c>
      <c r="C4048" s="20">
        <f>IFERROR(_xlfn.ISOWEEKNUM(INPUT!M4043),"")</f>
        <v>52</v>
      </c>
      <c r="D4048" s="20">
        <f>IFERROR(YEAR(INPUT!M4043),"")</f>
        <v>1900</v>
      </c>
      <c r="E4048" t="str">
        <f>IF(INPUT!O4043="","",INPUT!O4043)</f>
        <v/>
      </c>
      <c r="F4048" t="str">
        <f>IF(INPUT!N4043="","",INPUT!N4043)</f>
        <v/>
      </c>
      <c r="G4048" cm="1">
        <f t="array" ref="G4048">IFERROR(VLOOKUP(INPUT!M4043&amp;INPUT!N4043,CHOOSE({1,2},INPUT!$A$3:$A$5000&amp;INPUT!$C$3:$C$5000,INPUT!$F$3:$F$5000),2,FALSE),"")</f>
        <v>0</v>
      </c>
      <c r="H4048" cm="1">
        <f t="array" ref="H4048">IFERROR(VLOOKUP(INPUT!M4043&amp;INPUT!N4043,CHOOSE({1,2},INPUT!$A$3:$A$5000&amp;INPUT!$C$3:$C$5000,INPUT!$D$3:$D$5000),2,FALSE),"")</f>
        <v>0</v>
      </c>
      <c r="I4048" s="46" t="str">
        <f>IF(INPUT!P4043="","",INPUT!P4043)</f>
        <v/>
      </c>
      <c r="J4048" s="46" t="str">
        <f>IF(INPUT!Q4043="","",INPUT!Q4043)</f>
        <v/>
      </c>
      <c r="K4048" s="46" t="str">
        <f>IFERROR(IF(OR(INPUT!P4043="",INPUT!Q4043=""),"",INPUT!P4043-INPUT!Q4043),"")</f>
        <v/>
      </c>
      <c r="L4048" s="48" t="str">
        <f>IFERROR(IF(OR(INPUT!P4043="",INPUT!Q4043="",INPUT!P4043=0),"",(INPUT!P4043-INPUT!Q4043)/INPUT!P4043),"")</f>
        <v/>
      </c>
    </row>
    <row r="4049" spans="1:12" ht="18" hidden="1" customHeight="1" x14ac:dyDescent="0.2">
      <c r="A4049" s="11" t="str">
        <f>IF(INPUT!M4044="","",INPUT!M4044)</f>
        <v/>
      </c>
      <c r="B4049" s="11" t="str">
        <f>IF(INPUT!M4044="","",INPUT!M4044-WEEKDAY(INPUT!M4044,2)+1)</f>
        <v/>
      </c>
      <c r="C4049" s="20">
        <f>IFERROR(_xlfn.ISOWEEKNUM(INPUT!M4044),"")</f>
        <v>52</v>
      </c>
      <c r="D4049" s="20">
        <f>IFERROR(YEAR(INPUT!M4044),"")</f>
        <v>1900</v>
      </c>
      <c r="E4049" t="str">
        <f>IF(INPUT!O4044="","",INPUT!O4044)</f>
        <v/>
      </c>
      <c r="F4049" t="str">
        <f>IF(INPUT!N4044="","",INPUT!N4044)</f>
        <v/>
      </c>
      <c r="G4049" cm="1">
        <f t="array" ref="G4049">IFERROR(VLOOKUP(INPUT!M4044&amp;INPUT!N4044,CHOOSE({1,2},INPUT!$A$3:$A$5000&amp;INPUT!$C$3:$C$5000,INPUT!$F$3:$F$5000),2,FALSE),"")</f>
        <v>0</v>
      </c>
      <c r="H4049" cm="1">
        <f t="array" ref="H4049">IFERROR(VLOOKUP(INPUT!M4044&amp;INPUT!N4044,CHOOSE({1,2},INPUT!$A$3:$A$5000&amp;INPUT!$C$3:$C$5000,INPUT!$D$3:$D$5000),2,FALSE),"")</f>
        <v>0</v>
      </c>
      <c r="I4049" s="46" t="str">
        <f>IF(INPUT!P4044="","",INPUT!P4044)</f>
        <v/>
      </c>
      <c r="J4049" s="46" t="str">
        <f>IF(INPUT!Q4044="","",INPUT!Q4044)</f>
        <v/>
      </c>
      <c r="K4049" s="46" t="str">
        <f>IFERROR(IF(OR(INPUT!P4044="",INPUT!Q4044=""),"",INPUT!P4044-INPUT!Q4044),"")</f>
        <v/>
      </c>
      <c r="L4049" s="48" t="str">
        <f>IFERROR(IF(OR(INPUT!P4044="",INPUT!Q4044="",INPUT!P4044=0),"",(INPUT!P4044-INPUT!Q4044)/INPUT!P4044),"")</f>
        <v/>
      </c>
    </row>
    <row r="4050" spans="1:12" ht="18" hidden="1" customHeight="1" x14ac:dyDescent="0.2">
      <c r="A4050" s="11" t="str">
        <f>IF(INPUT!M4045="","",INPUT!M4045)</f>
        <v/>
      </c>
      <c r="B4050" s="11" t="str">
        <f>IF(INPUT!M4045="","",INPUT!M4045-WEEKDAY(INPUT!M4045,2)+1)</f>
        <v/>
      </c>
      <c r="C4050" s="20">
        <f>IFERROR(_xlfn.ISOWEEKNUM(INPUT!M4045),"")</f>
        <v>52</v>
      </c>
      <c r="D4050" s="20">
        <f>IFERROR(YEAR(INPUT!M4045),"")</f>
        <v>1900</v>
      </c>
      <c r="E4050" t="str">
        <f>IF(INPUT!O4045="","",INPUT!O4045)</f>
        <v/>
      </c>
      <c r="F4050" t="str">
        <f>IF(INPUT!N4045="","",INPUT!N4045)</f>
        <v/>
      </c>
      <c r="G4050" cm="1">
        <f t="array" ref="G4050">IFERROR(VLOOKUP(INPUT!M4045&amp;INPUT!N4045,CHOOSE({1,2},INPUT!$A$3:$A$5000&amp;INPUT!$C$3:$C$5000,INPUT!$F$3:$F$5000),2,FALSE),"")</f>
        <v>0</v>
      </c>
      <c r="H4050" cm="1">
        <f t="array" ref="H4050">IFERROR(VLOOKUP(INPUT!M4045&amp;INPUT!N4045,CHOOSE({1,2},INPUT!$A$3:$A$5000&amp;INPUT!$C$3:$C$5000,INPUT!$D$3:$D$5000),2,FALSE),"")</f>
        <v>0</v>
      </c>
      <c r="I4050" s="46" t="str">
        <f>IF(INPUT!P4045="","",INPUT!P4045)</f>
        <v/>
      </c>
      <c r="J4050" s="46" t="str">
        <f>IF(INPUT!Q4045="","",INPUT!Q4045)</f>
        <v/>
      </c>
      <c r="K4050" s="46" t="str">
        <f>IFERROR(IF(OR(INPUT!P4045="",INPUT!Q4045=""),"",INPUT!P4045-INPUT!Q4045),"")</f>
        <v/>
      </c>
      <c r="L4050" s="48" t="str">
        <f>IFERROR(IF(OR(INPUT!P4045="",INPUT!Q4045="",INPUT!P4045=0),"",(INPUT!P4045-INPUT!Q4045)/INPUT!P4045),"")</f>
        <v/>
      </c>
    </row>
    <row r="4051" spans="1:12" ht="18" hidden="1" customHeight="1" x14ac:dyDescent="0.2">
      <c r="A4051" s="11" t="str">
        <f>IF(INPUT!M4046="","",INPUT!M4046)</f>
        <v/>
      </c>
      <c r="B4051" s="11" t="str">
        <f>IF(INPUT!M4046="","",INPUT!M4046-WEEKDAY(INPUT!M4046,2)+1)</f>
        <v/>
      </c>
      <c r="C4051" s="20">
        <f>IFERROR(_xlfn.ISOWEEKNUM(INPUT!M4046),"")</f>
        <v>52</v>
      </c>
      <c r="D4051" s="20">
        <f>IFERROR(YEAR(INPUT!M4046),"")</f>
        <v>1900</v>
      </c>
      <c r="E4051" t="str">
        <f>IF(INPUT!O4046="","",INPUT!O4046)</f>
        <v/>
      </c>
      <c r="F4051" t="str">
        <f>IF(INPUT!N4046="","",INPUT!N4046)</f>
        <v/>
      </c>
      <c r="G4051" cm="1">
        <f t="array" ref="G4051">IFERROR(VLOOKUP(INPUT!M4046&amp;INPUT!N4046,CHOOSE({1,2},INPUT!$A$3:$A$5000&amp;INPUT!$C$3:$C$5000,INPUT!$F$3:$F$5000),2,FALSE),"")</f>
        <v>0</v>
      </c>
      <c r="H4051" cm="1">
        <f t="array" ref="H4051">IFERROR(VLOOKUP(INPUT!M4046&amp;INPUT!N4046,CHOOSE({1,2},INPUT!$A$3:$A$5000&amp;INPUT!$C$3:$C$5000,INPUT!$D$3:$D$5000),2,FALSE),"")</f>
        <v>0</v>
      </c>
      <c r="I4051" s="46" t="str">
        <f>IF(INPUT!P4046="","",INPUT!P4046)</f>
        <v/>
      </c>
      <c r="J4051" s="46" t="str">
        <f>IF(INPUT!Q4046="","",INPUT!Q4046)</f>
        <v/>
      </c>
      <c r="K4051" s="46" t="str">
        <f>IFERROR(IF(OR(INPUT!P4046="",INPUT!Q4046=""),"",INPUT!P4046-INPUT!Q4046),"")</f>
        <v/>
      </c>
      <c r="L4051" s="48" t="str">
        <f>IFERROR(IF(OR(INPUT!P4046="",INPUT!Q4046="",INPUT!P4046=0),"",(INPUT!P4046-INPUT!Q4046)/INPUT!P4046),"")</f>
        <v/>
      </c>
    </row>
    <row r="4052" spans="1:12" ht="18" hidden="1" customHeight="1" x14ac:dyDescent="0.2">
      <c r="A4052" s="11" t="str">
        <f>IF(INPUT!M4047="","",INPUT!M4047)</f>
        <v/>
      </c>
      <c r="B4052" s="11" t="str">
        <f>IF(INPUT!M4047="","",INPUT!M4047-WEEKDAY(INPUT!M4047,2)+1)</f>
        <v/>
      </c>
      <c r="C4052" s="20">
        <f>IFERROR(_xlfn.ISOWEEKNUM(INPUT!M4047),"")</f>
        <v>52</v>
      </c>
      <c r="D4052" s="20">
        <f>IFERROR(YEAR(INPUT!M4047),"")</f>
        <v>1900</v>
      </c>
      <c r="E4052" t="str">
        <f>IF(INPUT!O4047="","",INPUT!O4047)</f>
        <v/>
      </c>
      <c r="F4052" t="str">
        <f>IF(INPUT!N4047="","",INPUT!N4047)</f>
        <v/>
      </c>
      <c r="G4052" cm="1">
        <f t="array" ref="G4052">IFERROR(VLOOKUP(INPUT!M4047&amp;INPUT!N4047,CHOOSE({1,2},INPUT!$A$3:$A$5000&amp;INPUT!$C$3:$C$5000,INPUT!$F$3:$F$5000),2,FALSE),"")</f>
        <v>0</v>
      </c>
      <c r="H4052" cm="1">
        <f t="array" ref="H4052">IFERROR(VLOOKUP(INPUT!M4047&amp;INPUT!N4047,CHOOSE({1,2},INPUT!$A$3:$A$5000&amp;INPUT!$C$3:$C$5000,INPUT!$D$3:$D$5000),2,FALSE),"")</f>
        <v>0</v>
      </c>
      <c r="I4052" s="46" t="str">
        <f>IF(INPUT!P4047="","",INPUT!P4047)</f>
        <v/>
      </c>
      <c r="J4052" s="46" t="str">
        <f>IF(INPUT!Q4047="","",INPUT!Q4047)</f>
        <v/>
      </c>
      <c r="K4052" s="46" t="str">
        <f>IFERROR(IF(OR(INPUT!P4047="",INPUT!Q4047=""),"",INPUT!P4047-INPUT!Q4047),"")</f>
        <v/>
      </c>
      <c r="L4052" s="48" t="str">
        <f>IFERROR(IF(OR(INPUT!P4047="",INPUT!Q4047="",INPUT!P4047=0),"",(INPUT!P4047-INPUT!Q4047)/INPUT!P4047),"")</f>
        <v/>
      </c>
    </row>
    <row r="4053" spans="1:12" ht="18" hidden="1" customHeight="1" x14ac:dyDescent="0.2">
      <c r="A4053" s="11" t="str">
        <f>IF(INPUT!M4048="","",INPUT!M4048)</f>
        <v/>
      </c>
      <c r="B4053" s="11" t="str">
        <f>IF(INPUT!M4048="","",INPUT!M4048-WEEKDAY(INPUT!M4048,2)+1)</f>
        <v/>
      </c>
      <c r="C4053" s="20">
        <f>IFERROR(_xlfn.ISOWEEKNUM(INPUT!M4048),"")</f>
        <v>52</v>
      </c>
      <c r="D4053" s="20">
        <f>IFERROR(YEAR(INPUT!M4048),"")</f>
        <v>1900</v>
      </c>
      <c r="E4053" t="str">
        <f>IF(INPUT!O4048="","",INPUT!O4048)</f>
        <v/>
      </c>
      <c r="F4053" t="str">
        <f>IF(INPUT!N4048="","",INPUT!N4048)</f>
        <v/>
      </c>
      <c r="G4053" cm="1">
        <f t="array" ref="G4053">IFERROR(VLOOKUP(INPUT!M4048&amp;INPUT!N4048,CHOOSE({1,2},INPUT!$A$3:$A$5000&amp;INPUT!$C$3:$C$5000,INPUT!$F$3:$F$5000),2,FALSE),"")</f>
        <v>0</v>
      </c>
      <c r="H4053" cm="1">
        <f t="array" ref="H4053">IFERROR(VLOOKUP(INPUT!M4048&amp;INPUT!N4048,CHOOSE({1,2},INPUT!$A$3:$A$5000&amp;INPUT!$C$3:$C$5000,INPUT!$D$3:$D$5000),2,FALSE),"")</f>
        <v>0</v>
      </c>
      <c r="I4053" s="46" t="str">
        <f>IF(INPUT!P4048="","",INPUT!P4048)</f>
        <v/>
      </c>
      <c r="J4053" s="46" t="str">
        <f>IF(INPUT!Q4048="","",INPUT!Q4048)</f>
        <v/>
      </c>
      <c r="K4053" s="46" t="str">
        <f>IFERROR(IF(OR(INPUT!P4048="",INPUT!Q4048=""),"",INPUT!P4048-INPUT!Q4048),"")</f>
        <v/>
      </c>
      <c r="L4053" s="48" t="str">
        <f>IFERROR(IF(OR(INPUT!P4048="",INPUT!Q4048="",INPUT!P4048=0),"",(INPUT!P4048-INPUT!Q4048)/INPUT!P4048),"")</f>
        <v/>
      </c>
    </row>
    <row r="4054" spans="1:12" ht="18" hidden="1" customHeight="1" x14ac:dyDescent="0.2">
      <c r="A4054" s="11" t="str">
        <f>IF(INPUT!M4049="","",INPUT!M4049)</f>
        <v/>
      </c>
      <c r="B4054" s="11" t="str">
        <f>IF(INPUT!M4049="","",INPUT!M4049-WEEKDAY(INPUT!M4049,2)+1)</f>
        <v/>
      </c>
      <c r="C4054" s="20">
        <f>IFERROR(_xlfn.ISOWEEKNUM(INPUT!M4049),"")</f>
        <v>52</v>
      </c>
      <c r="D4054" s="20">
        <f>IFERROR(YEAR(INPUT!M4049),"")</f>
        <v>1900</v>
      </c>
      <c r="E4054" t="str">
        <f>IF(INPUT!O4049="","",INPUT!O4049)</f>
        <v/>
      </c>
      <c r="F4054" t="str">
        <f>IF(INPUT!N4049="","",INPUT!N4049)</f>
        <v/>
      </c>
      <c r="G4054" cm="1">
        <f t="array" ref="G4054">IFERROR(VLOOKUP(INPUT!M4049&amp;INPUT!N4049,CHOOSE({1,2},INPUT!$A$3:$A$5000&amp;INPUT!$C$3:$C$5000,INPUT!$F$3:$F$5000),2,FALSE),"")</f>
        <v>0</v>
      </c>
      <c r="H4054" cm="1">
        <f t="array" ref="H4054">IFERROR(VLOOKUP(INPUT!M4049&amp;INPUT!N4049,CHOOSE({1,2},INPUT!$A$3:$A$5000&amp;INPUT!$C$3:$C$5000,INPUT!$D$3:$D$5000),2,FALSE),"")</f>
        <v>0</v>
      </c>
      <c r="I4054" s="46" t="str">
        <f>IF(INPUT!P4049="","",INPUT!P4049)</f>
        <v/>
      </c>
      <c r="J4054" s="46" t="str">
        <f>IF(INPUT!Q4049="","",INPUT!Q4049)</f>
        <v/>
      </c>
      <c r="K4054" s="46" t="str">
        <f>IFERROR(IF(OR(INPUT!P4049="",INPUT!Q4049=""),"",INPUT!P4049-INPUT!Q4049),"")</f>
        <v/>
      </c>
      <c r="L4054" s="48" t="str">
        <f>IFERROR(IF(OR(INPUT!P4049="",INPUT!Q4049="",INPUT!P4049=0),"",(INPUT!P4049-INPUT!Q4049)/INPUT!P4049),"")</f>
        <v/>
      </c>
    </row>
    <row r="4055" spans="1:12" ht="18" hidden="1" customHeight="1" x14ac:dyDescent="0.2">
      <c r="A4055" s="11" t="str">
        <f>IF(INPUT!M4050="","",INPUT!M4050)</f>
        <v/>
      </c>
      <c r="B4055" s="11" t="str">
        <f>IF(INPUT!M4050="","",INPUT!M4050-WEEKDAY(INPUT!M4050,2)+1)</f>
        <v/>
      </c>
      <c r="C4055" s="20">
        <f>IFERROR(_xlfn.ISOWEEKNUM(INPUT!M4050),"")</f>
        <v>52</v>
      </c>
      <c r="D4055" s="20">
        <f>IFERROR(YEAR(INPUT!M4050),"")</f>
        <v>1900</v>
      </c>
      <c r="E4055" t="str">
        <f>IF(INPUT!O4050="","",INPUT!O4050)</f>
        <v/>
      </c>
      <c r="F4055" t="str">
        <f>IF(INPUT!N4050="","",INPUT!N4050)</f>
        <v/>
      </c>
      <c r="G4055" cm="1">
        <f t="array" ref="G4055">IFERROR(VLOOKUP(INPUT!M4050&amp;INPUT!N4050,CHOOSE({1,2},INPUT!$A$3:$A$5000&amp;INPUT!$C$3:$C$5000,INPUT!$F$3:$F$5000),2,FALSE),"")</f>
        <v>0</v>
      </c>
      <c r="H4055" cm="1">
        <f t="array" ref="H4055">IFERROR(VLOOKUP(INPUT!M4050&amp;INPUT!N4050,CHOOSE({1,2},INPUT!$A$3:$A$5000&amp;INPUT!$C$3:$C$5000,INPUT!$D$3:$D$5000),2,FALSE),"")</f>
        <v>0</v>
      </c>
      <c r="I4055" s="46" t="str">
        <f>IF(INPUT!P4050="","",INPUT!P4050)</f>
        <v/>
      </c>
      <c r="J4055" s="46" t="str">
        <f>IF(INPUT!Q4050="","",INPUT!Q4050)</f>
        <v/>
      </c>
      <c r="K4055" s="46" t="str">
        <f>IFERROR(IF(OR(INPUT!P4050="",INPUT!Q4050=""),"",INPUT!P4050-INPUT!Q4050),"")</f>
        <v/>
      </c>
      <c r="L4055" s="48" t="str">
        <f>IFERROR(IF(OR(INPUT!P4050="",INPUT!Q4050="",INPUT!P4050=0),"",(INPUT!P4050-INPUT!Q4050)/INPUT!P4050),"")</f>
        <v/>
      </c>
    </row>
    <row r="4056" spans="1:12" ht="18" hidden="1" customHeight="1" x14ac:dyDescent="0.2">
      <c r="A4056" s="11" t="str">
        <f>IF(INPUT!M4051="","",INPUT!M4051)</f>
        <v/>
      </c>
      <c r="B4056" s="11" t="str">
        <f>IF(INPUT!M4051="","",INPUT!M4051-WEEKDAY(INPUT!M4051,2)+1)</f>
        <v/>
      </c>
      <c r="C4056" s="20">
        <f>IFERROR(_xlfn.ISOWEEKNUM(INPUT!M4051),"")</f>
        <v>52</v>
      </c>
      <c r="D4056" s="20">
        <f>IFERROR(YEAR(INPUT!M4051),"")</f>
        <v>1900</v>
      </c>
      <c r="E4056" t="str">
        <f>IF(INPUT!O4051="","",INPUT!O4051)</f>
        <v/>
      </c>
      <c r="F4056" t="str">
        <f>IF(INPUT!N4051="","",INPUT!N4051)</f>
        <v/>
      </c>
      <c r="G4056" cm="1">
        <f t="array" ref="G4056">IFERROR(VLOOKUP(INPUT!M4051&amp;INPUT!N4051,CHOOSE({1,2},INPUT!$A$3:$A$5000&amp;INPUT!$C$3:$C$5000,INPUT!$F$3:$F$5000),2,FALSE),"")</f>
        <v>0</v>
      </c>
      <c r="H4056" cm="1">
        <f t="array" ref="H4056">IFERROR(VLOOKUP(INPUT!M4051&amp;INPUT!N4051,CHOOSE({1,2},INPUT!$A$3:$A$5000&amp;INPUT!$C$3:$C$5000,INPUT!$D$3:$D$5000),2,FALSE),"")</f>
        <v>0</v>
      </c>
      <c r="I4056" s="46" t="str">
        <f>IF(INPUT!P4051="","",INPUT!P4051)</f>
        <v/>
      </c>
      <c r="J4056" s="46" t="str">
        <f>IF(INPUT!Q4051="","",INPUT!Q4051)</f>
        <v/>
      </c>
      <c r="K4056" s="46" t="str">
        <f>IFERROR(IF(OR(INPUT!P4051="",INPUT!Q4051=""),"",INPUT!P4051-INPUT!Q4051),"")</f>
        <v/>
      </c>
      <c r="L4056" s="48" t="str">
        <f>IFERROR(IF(OR(INPUT!P4051="",INPUT!Q4051="",INPUT!P4051=0),"",(INPUT!P4051-INPUT!Q4051)/INPUT!P4051),"")</f>
        <v/>
      </c>
    </row>
    <row r="4057" spans="1:12" ht="18" hidden="1" customHeight="1" x14ac:dyDescent="0.2">
      <c r="A4057" s="11" t="str">
        <f>IF(INPUT!M4052="","",INPUT!M4052)</f>
        <v/>
      </c>
      <c r="B4057" s="11" t="str">
        <f>IF(INPUT!M4052="","",INPUT!M4052-WEEKDAY(INPUT!M4052,2)+1)</f>
        <v/>
      </c>
      <c r="C4057" s="20">
        <f>IFERROR(_xlfn.ISOWEEKNUM(INPUT!M4052),"")</f>
        <v>52</v>
      </c>
      <c r="D4057" s="20">
        <f>IFERROR(YEAR(INPUT!M4052),"")</f>
        <v>1900</v>
      </c>
      <c r="E4057" t="str">
        <f>IF(INPUT!O4052="","",INPUT!O4052)</f>
        <v/>
      </c>
      <c r="F4057" t="str">
        <f>IF(INPUT!N4052="","",INPUT!N4052)</f>
        <v/>
      </c>
      <c r="G4057" cm="1">
        <f t="array" ref="G4057">IFERROR(VLOOKUP(INPUT!M4052&amp;INPUT!N4052,CHOOSE({1,2},INPUT!$A$3:$A$5000&amp;INPUT!$C$3:$C$5000,INPUT!$F$3:$F$5000),2,FALSE),"")</f>
        <v>0</v>
      </c>
      <c r="H4057" cm="1">
        <f t="array" ref="H4057">IFERROR(VLOOKUP(INPUT!M4052&amp;INPUT!N4052,CHOOSE({1,2},INPUT!$A$3:$A$5000&amp;INPUT!$C$3:$C$5000,INPUT!$D$3:$D$5000),2,FALSE),"")</f>
        <v>0</v>
      </c>
      <c r="I4057" s="46" t="str">
        <f>IF(INPUT!P4052="","",INPUT!P4052)</f>
        <v/>
      </c>
      <c r="J4057" s="46" t="str">
        <f>IF(INPUT!Q4052="","",INPUT!Q4052)</f>
        <v/>
      </c>
      <c r="K4057" s="46" t="str">
        <f>IFERROR(IF(OR(INPUT!P4052="",INPUT!Q4052=""),"",INPUT!P4052-INPUT!Q4052),"")</f>
        <v/>
      </c>
      <c r="L4057" s="48" t="str">
        <f>IFERROR(IF(OR(INPUT!P4052="",INPUT!Q4052="",INPUT!P4052=0),"",(INPUT!P4052-INPUT!Q4052)/INPUT!P4052),"")</f>
        <v/>
      </c>
    </row>
    <row r="4058" spans="1:12" ht="18" hidden="1" customHeight="1" x14ac:dyDescent="0.2">
      <c r="A4058" s="11" t="str">
        <f>IF(INPUT!M4053="","",INPUT!M4053)</f>
        <v/>
      </c>
      <c r="B4058" s="11" t="str">
        <f>IF(INPUT!M4053="","",INPUT!M4053-WEEKDAY(INPUT!M4053,2)+1)</f>
        <v/>
      </c>
      <c r="C4058" s="20">
        <f>IFERROR(_xlfn.ISOWEEKNUM(INPUT!M4053),"")</f>
        <v>52</v>
      </c>
      <c r="D4058" s="20">
        <f>IFERROR(YEAR(INPUT!M4053),"")</f>
        <v>1900</v>
      </c>
      <c r="E4058" t="str">
        <f>IF(INPUT!O4053="","",INPUT!O4053)</f>
        <v/>
      </c>
      <c r="F4058" t="str">
        <f>IF(INPUT!N4053="","",INPUT!N4053)</f>
        <v/>
      </c>
      <c r="G4058" cm="1">
        <f t="array" ref="G4058">IFERROR(VLOOKUP(INPUT!M4053&amp;INPUT!N4053,CHOOSE({1,2},INPUT!$A$3:$A$5000&amp;INPUT!$C$3:$C$5000,INPUT!$F$3:$F$5000),2,FALSE),"")</f>
        <v>0</v>
      </c>
      <c r="H4058" cm="1">
        <f t="array" ref="H4058">IFERROR(VLOOKUP(INPUT!M4053&amp;INPUT!N4053,CHOOSE({1,2},INPUT!$A$3:$A$5000&amp;INPUT!$C$3:$C$5000,INPUT!$D$3:$D$5000),2,FALSE),"")</f>
        <v>0</v>
      </c>
      <c r="I4058" s="46" t="str">
        <f>IF(INPUT!P4053="","",INPUT!P4053)</f>
        <v/>
      </c>
      <c r="J4058" s="46" t="str">
        <f>IF(INPUT!Q4053="","",INPUT!Q4053)</f>
        <v/>
      </c>
      <c r="K4058" s="46" t="str">
        <f>IFERROR(IF(OR(INPUT!P4053="",INPUT!Q4053=""),"",INPUT!P4053-INPUT!Q4053),"")</f>
        <v/>
      </c>
      <c r="L4058" s="48" t="str">
        <f>IFERROR(IF(OR(INPUT!P4053="",INPUT!Q4053="",INPUT!P4053=0),"",(INPUT!P4053-INPUT!Q4053)/INPUT!P4053),"")</f>
        <v/>
      </c>
    </row>
    <row r="4059" spans="1:12" ht="18" hidden="1" customHeight="1" x14ac:dyDescent="0.2">
      <c r="A4059" s="11" t="str">
        <f>IF(INPUT!M4054="","",INPUT!M4054)</f>
        <v/>
      </c>
      <c r="B4059" s="11" t="str">
        <f>IF(INPUT!M4054="","",INPUT!M4054-WEEKDAY(INPUT!M4054,2)+1)</f>
        <v/>
      </c>
      <c r="C4059" s="20">
        <f>IFERROR(_xlfn.ISOWEEKNUM(INPUT!M4054),"")</f>
        <v>52</v>
      </c>
      <c r="D4059" s="20">
        <f>IFERROR(YEAR(INPUT!M4054),"")</f>
        <v>1900</v>
      </c>
      <c r="E4059" t="str">
        <f>IF(INPUT!O4054="","",INPUT!O4054)</f>
        <v/>
      </c>
      <c r="F4059" t="str">
        <f>IF(INPUT!N4054="","",INPUT!N4054)</f>
        <v/>
      </c>
      <c r="G4059" cm="1">
        <f t="array" ref="G4059">IFERROR(VLOOKUP(INPUT!M4054&amp;INPUT!N4054,CHOOSE({1,2},INPUT!$A$3:$A$5000&amp;INPUT!$C$3:$C$5000,INPUT!$F$3:$F$5000),2,FALSE),"")</f>
        <v>0</v>
      </c>
      <c r="H4059" cm="1">
        <f t="array" ref="H4059">IFERROR(VLOOKUP(INPUT!M4054&amp;INPUT!N4054,CHOOSE({1,2},INPUT!$A$3:$A$5000&amp;INPUT!$C$3:$C$5000,INPUT!$D$3:$D$5000),2,FALSE),"")</f>
        <v>0</v>
      </c>
      <c r="I4059" s="46" t="str">
        <f>IF(INPUT!P4054="","",INPUT!P4054)</f>
        <v/>
      </c>
      <c r="J4059" s="46" t="str">
        <f>IF(INPUT!Q4054="","",INPUT!Q4054)</f>
        <v/>
      </c>
      <c r="K4059" s="46" t="str">
        <f>IFERROR(IF(OR(INPUT!P4054="",INPUT!Q4054=""),"",INPUT!P4054-INPUT!Q4054),"")</f>
        <v/>
      </c>
      <c r="L4059" s="48" t="str">
        <f>IFERROR(IF(OR(INPUT!P4054="",INPUT!Q4054="",INPUT!P4054=0),"",(INPUT!P4054-INPUT!Q4054)/INPUT!P4054),"")</f>
        <v/>
      </c>
    </row>
    <row r="4060" spans="1:12" ht="18" hidden="1" customHeight="1" x14ac:dyDescent="0.2">
      <c r="A4060" s="11" t="str">
        <f>IF(INPUT!M4055="","",INPUT!M4055)</f>
        <v/>
      </c>
      <c r="B4060" s="11" t="str">
        <f>IF(INPUT!M4055="","",INPUT!M4055-WEEKDAY(INPUT!M4055,2)+1)</f>
        <v/>
      </c>
      <c r="C4060" s="20">
        <f>IFERROR(_xlfn.ISOWEEKNUM(INPUT!M4055),"")</f>
        <v>52</v>
      </c>
      <c r="D4060" s="20">
        <f>IFERROR(YEAR(INPUT!M4055),"")</f>
        <v>1900</v>
      </c>
      <c r="E4060" t="str">
        <f>IF(INPUT!O4055="","",INPUT!O4055)</f>
        <v/>
      </c>
      <c r="F4060" t="str">
        <f>IF(INPUT!N4055="","",INPUT!N4055)</f>
        <v/>
      </c>
      <c r="G4060" cm="1">
        <f t="array" ref="G4060">IFERROR(VLOOKUP(INPUT!M4055&amp;INPUT!N4055,CHOOSE({1,2},INPUT!$A$3:$A$5000&amp;INPUT!$C$3:$C$5000,INPUT!$F$3:$F$5000),2,FALSE),"")</f>
        <v>0</v>
      </c>
      <c r="H4060" cm="1">
        <f t="array" ref="H4060">IFERROR(VLOOKUP(INPUT!M4055&amp;INPUT!N4055,CHOOSE({1,2},INPUT!$A$3:$A$5000&amp;INPUT!$C$3:$C$5000,INPUT!$D$3:$D$5000),2,FALSE),"")</f>
        <v>0</v>
      </c>
      <c r="I4060" s="46" t="str">
        <f>IF(INPUT!P4055="","",INPUT!P4055)</f>
        <v/>
      </c>
      <c r="J4060" s="46" t="str">
        <f>IF(INPUT!Q4055="","",INPUT!Q4055)</f>
        <v/>
      </c>
      <c r="K4060" s="46" t="str">
        <f>IFERROR(IF(OR(INPUT!P4055="",INPUT!Q4055=""),"",INPUT!P4055-INPUT!Q4055),"")</f>
        <v/>
      </c>
      <c r="L4060" s="48" t="str">
        <f>IFERROR(IF(OR(INPUT!P4055="",INPUT!Q4055="",INPUT!P4055=0),"",(INPUT!P4055-INPUT!Q4055)/INPUT!P4055),"")</f>
        <v/>
      </c>
    </row>
    <row r="4061" spans="1:12" ht="18" hidden="1" customHeight="1" x14ac:dyDescent="0.2">
      <c r="A4061" s="11" t="str">
        <f>IF(INPUT!M4056="","",INPUT!M4056)</f>
        <v/>
      </c>
      <c r="B4061" s="11" t="str">
        <f>IF(INPUT!M4056="","",INPUT!M4056-WEEKDAY(INPUT!M4056,2)+1)</f>
        <v/>
      </c>
      <c r="C4061" s="20">
        <f>IFERROR(_xlfn.ISOWEEKNUM(INPUT!M4056),"")</f>
        <v>52</v>
      </c>
      <c r="D4061" s="20">
        <f>IFERROR(YEAR(INPUT!M4056),"")</f>
        <v>1900</v>
      </c>
      <c r="E4061" t="str">
        <f>IF(INPUT!O4056="","",INPUT!O4056)</f>
        <v/>
      </c>
      <c r="F4061" t="str">
        <f>IF(INPUT!N4056="","",INPUT!N4056)</f>
        <v/>
      </c>
      <c r="G4061" cm="1">
        <f t="array" ref="G4061">IFERROR(VLOOKUP(INPUT!M4056&amp;INPUT!N4056,CHOOSE({1,2},INPUT!$A$3:$A$5000&amp;INPUT!$C$3:$C$5000,INPUT!$F$3:$F$5000),2,FALSE),"")</f>
        <v>0</v>
      </c>
      <c r="H4061" cm="1">
        <f t="array" ref="H4061">IFERROR(VLOOKUP(INPUT!M4056&amp;INPUT!N4056,CHOOSE({1,2},INPUT!$A$3:$A$5000&amp;INPUT!$C$3:$C$5000,INPUT!$D$3:$D$5000),2,FALSE),"")</f>
        <v>0</v>
      </c>
      <c r="I4061" s="46" t="str">
        <f>IF(INPUT!P4056="","",INPUT!P4056)</f>
        <v/>
      </c>
      <c r="J4061" s="46" t="str">
        <f>IF(INPUT!Q4056="","",INPUT!Q4056)</f>
        <v/>
      </c>
      <c r="K4061" s="46" t="str">
        <f>IFERROR(IF(OR(INPUT!P4056="",INPUT!Q4056=""),"",INPUT!P4056-INPUT!Q4056),"")</f>
        <v/>
      </c>
      <c r="L4061" s="48" t="str">
        <f>IFERROR(IF(OR(INPUT!P4056="",INPUT!Q4056="",INPUT!P4056=0),"",(INPUT!P4056-INPUT!Q4056)/INPUT!P4056),"")</f>
        <v/>
      </c>
    </row>
    <row r="4062" spans="1:12" ht="18" hidden="1" customHeight="1" x14ac:dyDescent="0.2">
      <c r="A4062" s="11" t="str">
        <f>IF(INPUT!M4057="","",INPUT!M4057)</f>
        <v/>
      </c>
      <c r="B4062" s="11" t="str">
        <f>IF(INPUT!M4057="","",INPUT!M4057-WEEKDAY(INPUT!M4057,2)+1)</f>
        <v/>
      </c>
      <c r="C4062" s="20">
        <f>IFERROR(_xlfn.ISOWEEKNUM(INPUT!M4057),"")</f>
        <v>52</v>
      </c>
      <c r="D4062" s="20">
        <f>IFERROR(YEAR(INPUT!M4057),"")</f>
        <v>1900</v>
      </c>
      <c r="E4062" t="str">
        <f>IF(INPUT!O4057="","",INPUT!O4057)</f>
        <v/>
      </c>
      <c r="F4062" t="str">
        <f>IF(INPUT!N4057="","",INPUT!N4057)</f>
        <v/>
      </c>
      <c r="G4062" cm="1">
        <f t="array" ref="G4062">IFERROR(VLOOKUP(INPUT!M4057&amp;INPUT!N4057,CHOOSE({1,2},INPUT!$A$3:$A$5000&amp;INPUT!$C$3:$C$5000,INPUT!$F$3:$F$5000),2,FALSE),"")</f>
        <v>0</v>
      </c>
      <c r="H4062" cm="1">
        <f t="array" ref="H4062">IFERROR(VLOOKUP(INPUT!M4057&amp;INPUT!N4057,CHOOSE({1,2},INPUT!$A$3:$A$5000&amp;INPUT!$C$3:$C$5000,INPUT!$D$3:$D$5000),2,FALSE),"")</f>
        <v>0</v>
      </c>
      <c r="I4062" s="46" t="str">
        <f>IF(INPUT!P4057="","",INPUT!P4057)</f>
        <v/>
      </c>
      <c r="J4062" s="46" t="str">
        <f>IF(INPUT!Q4057="","",INPUT!Q4057)</f>
        <v/>
      </c>
      <c r="K4062" s="46" t="str">
        <f>IFERROR(IF(OR(INPUT!P4057="",INPUT!Q4057=""),"",INPUT!P4057-INPUT!Q4057),"")</f>
        <v/>
      </c>
      <c r="L4062" s="48" t="str">
        <f>IFERROR(IF(OR(INPUT!P4057="",INPUT!Q4057="",INPUT!P4057=0),"",(INPUT!P4057-INPUT!Q4057)/INPUT!P4057),"")</f>
        <v/>
      </c>
    </row>
    <row r="4063" spans="1:12" ht="18" hidden="1" customHeight="1" x14ac:dyDescent="0.2">
      <c r="A4063" s="11" t="str">
        <f>IF(INPUT!M4058="","",INPUT!M4058)</f>
        <v/>
      </c>
      <c r="B4063" s="11" t="str">
        <f>IF(INPUT!M4058="","",INPUT!M4058-WEEKDAY(INPUT!M4058,2)+1)</f>
        <v/>
      </c>
      <c r="C4063" s="20">
        <f>IFERROR(_xlfn.ISOWEEKNUM(INPUT!M4058),"")</f>
        <v>52</v>
      </c>
      <c r="D4063" s="20">
        <f>IFERROR(YEAR(INPUT!M4058),"")</f>
        <v>1900</v>
      </c>
      <c r="E4063" t="str">
        <f>IF(INPUT!O4058="","",INPUT!O4058)</f>
        <v/>
      </c>
      <c r="F4063" t="str">
        <f>IF(INPUT!N4058="","",INPUT!N4058)</f>
        <v/>
      </c>
      <c r="G4063" cm="1">
        <f t="array" ref="G4063">IFERROR(VLOOKUP(INPUT!M4058&amp;INPUT!N4058,CHOOSE({1,2},INPUT!$A$3:$A$5000&amp;INPUT!$C$3:$C$5000,INPUT!$F$3:$F$5000),2,FALSE),"")</f>
        <v>0</v>
      </c>
      <c r="H4063" cm="1">
        <f t="array" ref="H4063">IFERROR(VLOOKUP(INPUT!M4058&amp;INPUT!N4058,CHOOSE({1,2},INPUT!$A$3:$A$5000&amp;INPUT!$C$3:$C$5000,INPUT!$D$3:$D$5000),2,FALSE),"")</f>
        <v>0</v>
      </c>
      <c r="I4063" s="46" t="str">
        <f>IF(INPUT!P4058="","",INPUT!P4058)</f>
        <v/>
      </c>
      <c r="J4063" s="46" t="str">
        <f>IF(INPUT!Q4058="","",INPUT!Q4058)</f>
        <v/>
      </c>
      <c r="K4063" s="46" t="str">
        <f>IFERROR(IF(OR(INPUT!P4058="",INPUT!Q4058=""),"",INPUT!P4058-INPUT!Q4058),"")</f>
        <v/>
      </c>
      <c r="L4063" s="48" t="str">
        <f>IFERROR(IF(OR(INPUT!P4058="",INPUT!Q4058="",INPUT!P4058=0),"",(INPUT!P4058-INPUT!Q4058)/INPUT!P4058),"")</f>
        <v/>
      </c>
    </row>
    <row r="4064" spans="1:12" ht="18" hidden="1" customHeight="1" x14ac:dyDescent="0.2">
      <c r="A4064" s="11" t="str">
        <f>IF(INPUT!M4059="","",INPUT!M4059)</f>
        <v/>
      </c>
      <c r="B4064" s="11" t="str">
        <f>IF(INPUT!M4059="","",INPUT!M4059-WEEKDAY(INPUT!M4059,2)+1)</f>
        <v/>
      </c>
      <c r="C4064" s="20">
        <f>IFERROR(_xlfn.ISOWEEKNUM(INPUT!M4059),"")</f>
        <v>52</v>
      </c>
      <c r="D4064" s="20">
        <f>IFERROR(YEAR(INPUT!M4059),"")</f>
        <v>1900</v>
      </c>
      <c r="E4064" t="str">
        <f>IF(INPUT!O4059="","",INPUT!O4059)</f>
        <v/>
      </c>
      <c r="F4064" t="str">
        <f>IF(INPUT!N4059="","",INPUT!N4059)</f>
        <v/>
      </c>
      <c r="G4064" cm="1">
        <f t="array" ref="G4064">IFERROR(VLOOKUP(INPUT!M4059&amp;INPUT!N4059,CHOOSE({1,2},INPUT!$A$3:$A$5000&amp;INPUT!$C$3:$C$5000,INPUT!$F$3:$F$5000),2,FALSE),"")</f>
        <v>0</v>
      </c>
      <c r="H4064" cm="1">
        <f t="array" ref="H4064">IFERROR(VLOOKUP(INPUT!M4059&amp;INPUT!N4059,CHOOSE({1,2},INPUT!$A$3:$A$5000&amp;INPUT!$C$3:$C$5000,INPUT!$D$3:$D$5000),2,FALSE),"")</f>
        <v>0</v>
      </c>
      <c r="I4064" s="46" t="str">
        <f>IF(INPUT!P4059="","",INPUT!P4059)</f>
        <v/>
      </c>
      <c r="J4064" s="46" t="str">
        <f>IF(INPUT!Q4059="","",INPUT!Q4059)</f>
        <v/>
      </c>
      <c r="K4064" s="46" t="str">
        <f>IFERROR(IF(OR(INPUT!P4059="",INPUT!Q4059=""),"",INPUT!P4059-INPUT!Q4059),"")</f>
        <v/>
      </c>
      <c r="L4064" s="48" t="str">
        <f>IFERROR(IF(OR(INPUT!P4059="",INPUT!Q4059="",INPUT!P4059=0),"",(INPUT!P4059-INPUT!Q4059)/INPUT!P4059),"")</f>
        <v/>
      </c>
    </row>
    <row r="4065" spans="1:12" ht="18" hidden="1" customHeight="1" x14ac:dyDescent="0.2">
      <c r="A4065" s="11" t="str">
        <f>IF(INPUT!M4060="","",INPUT!M4060)</f>
        <v/>
      </c>
      <c r="B4065" s="11" t="str">
        <f>IF(INPUT!M4060="","",INPUT!M4060-WEEKDAY(INPUT!M4060,2)+1)</f>
        <v/>
      </c>
      <c r="C4065" s="20">
        <f>IFERROR(_xlfn.ISOWEEKNUM(INPUT!M4060),"")</f>
        <v>52</v>
      </c>
      <c r="D4065" s="20">
        <f>IFERROR(YEAR(INPUT!M4060),"")</f>
        <v>1900</v>
      </c>
      <c r="E4065" t="str">
        <f>IF(INPUT!O4060="","",INPUT!O4060)</f>
        <v/>
      </c>
      <c r="F4065" t="str">
        <f>IF(INPUT!N4060="","",INPUT!N4060)</f>
        <v/>
      </c>
      <c r="G4065" cm="1">
        <f t="array" ref="G4065">IFERROR(VLOOKUP(INPUT!M4060&amp;INPUT!N4060,CHOOSE({1,2},INPUT!$A$3:$A$5000&amp;INPUT!$C$3:$C$5000,INPUT!$F$3:$F$5000),2,FALSE),"")</f>
        <v>0</v>
      </c>
      <c r="H4065" cm="1">
        <f t="array" ref="H4065">IFERROR(VLOOKUP(INPUT!M4060&amp;INPUT!N4060,CHOOSE({1,2},INPUT!$A$3:$A$5000&amp;INPUT!$C$3:$C$5000,INPUT!$D$3:$D$5000),2,FALSE),"")</f>
        <v>0</v>
      </c>
      <c r="I4065" s="46" t="str">
        <f>IF(INPUT!P4060="","",INPUT!P4060)</f>
        <v/>
      </c>
      <c r="J4065" s="46" t="str">
        <f>IF(INPUT!Q4060="","",INPUT!Q4060)</f>
        <v/>
      </c>
      <c r="K4065" s="46" t="str">
        <f>IFERROR(IF(OR(INPUT!P4060="",INPUT!Q4060=""),"",INPUT!P4060-INPUT!Q4060),"")</f>
        <v/>
      </c>
      <c r="L4065" s="48" t="str">
        <f>IFERROR(IF(OR(INPUT!P4060="",INPUT!Q4060="",INPUT!P4060=0),"",(INPUT!P4060-INPUT!Q4060)/INPUT!P4060),"")</f>
        <v/>
      </c>
    </row>
    <row r="4066" spans="1:12" ht="18" hidden="1" customHeight="1" x14ac:dyDescent="0.2">
      <c r="A4066" s="11" t="str">
        <f>IF(INPUT!M4061="","",INPUT!M4061)</f>
        <v/>
      </c>
      <c r="B4066" s="11" t="str">
        <f>IF(INPUT!M4061="","",INPUT!M4061-WEEKDAY(INPUT!M4061,2)+1)</f>
        <v/>
      </c>
      <c r="C4066" s="20">
        <f>IFERROR(_xlfn.ISOWEEKNUM(INPUT!M4061),"")</f>
        <v>52</v>
      </c>
      <c r="D4066" s="20">
        <f>IFERROR(YEAR(INPUT!M4061),"")</f>
        <v>1900</v>
      </c>
      <c r="E4066" t="str">
        <f>IF(INPUT!O4061="","",INPUT!O4061)</f>
        <v/>
      </c>
      <c r="F4066" t="str">
        <f>IF(INPUT!N4061="","",INPUT!N4061)</f>
        <v/>
      </c>
      <c r="G4066" cm="1">
        <f t="array" ref="G4066">IFERROR(VLOOKUP(INPUT!M4061&amp;INPUT!N4061,CHOOSE({1,2},INPUT!$A$3:$A$5000&amp;INPUT!$C$3:$C$5000,INPUT!$F$3:$F$5000),2,FALSE),"")</f>
        <v>0</v>
      </c>
      <c r="H4066" cm="1">
        <f t="array" ref="H4066">IFERROR(VLOOKUP(INPUT!M4061&amp;INPUT!N4061,CHOOSE({1,2},INPUT!$A$3:$A$5000&amp;INPUT!$C$3:$C$5000,INPUT!$D$3:$D$5000),2,FALSE),"")</f>
        <v>0</v>
      </c>
      <c r="I4066" s="46" t="str">
        <f>IF(INPUT!P4061="","",INPUT!P4061)</f>
        <v/>
      </c>
      <c r="J4066" s="46" t="str">
        <f>IF(INPUT!Q4061="","",INPUT!Q4061)</f>
        <v/>
      </c>
      <c r="K4066" s="46" t="str">
        <f>IFERROR(IF(OR(INPUT!P4061="",INPUT!Q4061=""),"",INPUT!P4061-INPUT!Q4061),"")</f>
        <v/>
      </c>
      <c r="L4066" s="48" t="str">
        <f>IFERROR(IF(OR(INPUT!P4061="",INPUT!Q4061="",INPUT!P4061=0),"",(INPUT!P4061-INPUT!Q4061)/INPUT!P4061),"")</f>
        <v/>
      </c>
    </row>
    <row r="4067" spans="1:12" ht="18" hidden="1" customHeight="1" x14ac:dyDescent="0.2">
      <c r="A4067" s="11" t="str">
        <f>IF(INPUT!M4062="","",INPUT!M4062)</f>
        <v/>
      </c>
      <c r="B4067" s="11" t="str">
        <f>IF(INPUT!M4062="","",INPUT!M4062-WEEKDAY(INPUT!M4062,2)+1)</f>
        <v/>
      </c>
      <c r="C4067" s="20">
        <f>IFERROR(_xlfn.ISOWEEKNUM(INPUT!M4062),"")</f>
        <v>52</v>
      </c>
      <c r="D4067" s="20">
        <f>IFERROR(YEAR(INPUT!M4062),"")</f>
        <v>1900</v>
      </c>
      <c r="E4067" t="str">
        <f>IF(INPUT!O4062="","",INPUT!O4062)</f>
        <v/>
      </c>
      <c r="F4067" t="str">
        <f>IF(INPUT!N4062="","",INPUT!N4062)</f>
        <v/>
      </c>
      <c r="G4067" cm="1">
        <f t="array" ref="G4067">IFERROR(VLOOKUP(INPUT!M4062&amp;INPUT!N4062,CHOOSE({1,2},INPUT!$A$3:$A$5000&amp;INPUT!$C$3:$C$5000,INPUT!$F$3:$F$5000),2,FALSE),"")</f>
        <v>0</v>
      </c>
      <c r="H4067" cm="1">
        <f t="array" ref="H4067">IFERROR(VLOOKUP(INPUT!M4062&amp;INPUT!N4062,CHOOSE({1,2},INPUT!$A$3:$A$5000&amp;INPUT!$C$3:$C$5000,INPUT!$D$3:$D$5000),2,FALSE),"")</f>
        <v>0</v>
      </c>
      <c r="I4067" s="46" t="str">
        <f>IF(INPUT!P4062="","",INPUT!P4062)</f>
        <v/>
      </c>
      <c r="J4067" s="46" t="str">
        <f>IF(INPUT!Q4062="","",INPUT!Q4062)</f>
        <v/>
      </c>
      <c r="K4067" s="46" t="str">
        <f>IFERROR(IF(OR(INPUT!P4062="",INPUT!Q4062=""),"",INPUT!P4062-INPUT!Q4062),"")</f>
        <v/>
      </c>
      <c r="L4067" s="48" t="str">
        <f>IFERROR(IF(OR(INPUT!P4062="",INPUT!Q4062="",INPUT!P4062=0),"",(INPUT!P4062-INPUT!Q4062)/INPUT!P4062),"")</f>
        <v/>
      </c>
    </row>
    <row r="4068" spans="1:12" ht="18" hidden="1" customHeight="1" x14ac:dyDescent="0.2">
      <c r="A4068" s="11" t="str">
        <f>IF(INPUT!M4063="","",INPUT!M4063)</f>
        <v/>
      </c>
      <c r="B4068" s="11" t="str">
        <f>IF(INPUT!M4063="","",INPUT!M4063-WEEKDAY(INPUT!M4063,2)+1)</f>
        <v/>
      </c>
      <c r="C4068" s="20">
        <f>IFERROR(_xlfn.ISOWEEKNUM(INPUT!M4063),"")</f>
        <v>52</v>
      </c>
      <c r="D4068" s="20">
        <f>IFERROR(YEAR(INPUT!M4063),"")</f>
        <v>1900</v>
      </c>
      <c r="E4068" t="str">
        <f>IF(INPUT!O4063="","",INPUT!O4063)</f>
        <v/>
      </c>
      <c r="F4068" t="str">
        <f>IF(INPUT!N4063="","",INPUT!N4063)</f>
        <v/>
      </c>
      <c r="G4068" cm="1">
        <f t="array" ref="G4068">IFERROR(VLOOKUP(INPUT!M4063&amp;INPUT!N4063,CHOOSE({1,2},INPUT!$A$3:$A$5000&amp;INPUT!$C$3:$C$5000,INPUT!$F$3:$F$5000),2,FALSE),"")</f>
        <v>0</v>
      </c>
      <c r="H4068" cm="1">
        <f t="array" ref="H4068">IFERROR(VLOOKUP(INPUT!M4063&amp;INPUT!N4063,CHOOSE({1,2},INPUT!$A$3:$A$5000&amp;INPUT!$C$3:$C$5000,INPUT!$D$3:$D$5000),2,FALSE),"")</f>
        <v>0</v>
      </c>
      <c r="I4068" s="46" t="str">
        <f>IF(INPUT!P4063="","",INPUT!P4063)</f>
        <v/>
      </c>
      <c r="J4068" s="46" t="str">
        <f>IF(INPUT!Q4063="","",INPUT!Q4063)</f>
        <v/>
      </c>
      <c r="K4068" s="46" t="str">
        <f>IFERROR(IF(OR(INPUT!P4063="",INPUT!Q4063=""),"",INPUT!P4063-INPUT!Q4063),"")</f>
        <v/>
      </c>
      <c r="L4068" s="48" t="str">
        <f>IFERROR(IF(OR(INPUT!P4063="",INPUT!Q4063="",INPUT!P4063=0),"",(INPUT!P4063-INPUT!Q4063)/INPUT!P4063),"")</f>
        <v/>
      </c>
    </row>
    <row r="4069" spans="1:12" ht="18" hidden="1" customHeight="1" x14ac:dyDescent="0.2">
      <c r="A4069" s="11" t="str">
        <f>IF(INPUT!M4064="","",INPUT!M4064)</f>
        <v/>
      </c>
      <c r="B4069" s="11" t="str">
        <f>IF(INPUT!M4064="","",INPUT!M4064-WEEKDAY(INPUT!M4064,2)+1)</f>
        <v/>
      </c>
      <c r="C4069" s="20">
        <f>IFERROR(_xlfn.ISOWEEKNUM(INPUT!M4064),"")</f>
        <v>52</v>
      </c>
      <c r="D4069" s="20">
        <f>IFERROR(YEAR(INPUT!M4064),"")</f>
        <v>1900</v>
      </c>
      <c r="E4069" t="str">
        <f>IF(INPUT!O4064="","",INPUT!O4064)</f>
        <v/>
      </c>
      <c r="F4069" t="str">
        <f>IF(INPUT!N4064="","",INPUT!N4064)</f>
        <v/>
      </c>
      <c r="G4069" cm="1">
        <f t="array" ref="G4069">IFERROR(VLOOKUP(INPUT!M4064&amp;INPUT!N4064,CHOOSE({1,2},INPUT!$A$3:$A$5000&amp;INPUT!$C$3:$C$5000,INPUT!$F$3:$F$5000),2,FALSE),"")</f>
        <v>0</v>
      </c>
      <c r="H4069" cm="1">
        <f t="array" ref="H4069">IFERROR(VLOOKUP(INPUT!M4064&amp;INPUT!N4064,CHOOSE({1,2},INPUT!$A$3:$A$5000&amp;INPUT!$C$3:$C$5000,INPUT!$D$3:$D$5000),2,FALSE),"")</f>
        <v>0</v>
      </c>
      <c r="I4069" s="46" t="str">
        <f>IF(INPUT!P4064="","",INPUT!P4064)</f>
        <v/>
      </c>
      <c r="J4069" s="46" t="str">
        <f>IF(INPUT!Q4064="","",INPUT!Q4064)</f>
        <v/>
      </c>
      <c r="K4069" s="46" t="str">
        <f>IFERROR(IF(OR(INPUT!P4064="",INPUT!Q4064=""),"",INPUT!P4064-INPUT!Q4064),"")</f>
        <v/>
      </c>
      <c r="L4069" s="48" t="str">
        <f>IFERROR(IF(OR(INPUT!P4064="",INPUT!Q4064="",INPUT!P4064=0),"",(INPUT!P4064-INPUT!Q4064)/INPUT!P4064),"")</f>
        <v/>
      </c>
    </row>
    <row r="4070" spans="1:12" ht="18" hidden="1" customHeight="1" x14ac:dyDescent="0.2">
      <c r="A4070" s="11" t="str">
        <f>IF(INPUT!M4065="","",INPUT!M4065)</f>
        <v/>
      </c>
      <c r="B4070" s="11" t="str">
        <f>IF(INPUT!M4065="","",INPUT!M4065-WEEKDAY(INPUT!M4065,2)+1)</f>
        <v/>
      </c>
      <c r="C4070" s="20">
        <f>IFERROR(_xlfn.ISOWEEKNUM(INPUT!M4065),"")</f>
        <v>52</v>
      </c>
      <c r="D4070" s="20">
        <f>IFERROR(YEAR(INPUT!M4065),"")</f>
        <v>1900</v>
      </c>
      <c r="E4070" t="str">
        <f>IF(INPUT!O4065="","",INPUT!O4065)</f>
        <v/>
      </c>
      <c r="F4070" t="str">
        <f>IF(INPUT!N4065="","",INPUT!N4065)</f>
        <v/>
      </c>
      <c r="G4070" cm="1">
        <f t="array" ref="G4070">IFERROR(VLOOKUP(INPUT!M4065&amp;INPUT!N4065,CHOOSE({1,2},INPUT!$A$3:$A$5000&amp;INPUT!$C$3:$C$5000,INPUT!$F$3:$F$5000),2,FALSE),"")</f>
        <v>0</v>
      </c>
      <c r="H4070" cm="1">
        <f t="array" ref="H4070">IFERROR(VLOOKUP(INPUT!M4065&amp;INPUT!N4065,CHOOSE({1,2},INPUT!$A$3:$A$5000&amp;INPUT!$C$3:$C$5000,INPUT!$D$3:$D$5000),2,FALSE),"")</f>
        <v>0</v>
      </c>
      <c r="I4070" s="46" t="str">
        <f>IF(INPUT!P4065="","",INPUT!P4065)</f>
        <v/>
      </c>
      <c r="J4070" s="46" t="str">
        <f>IF(INPUT!Q4065="","",INPUT!Q4065)</f>
        <v/>
      </c>
      <c r="K4070" s="46" t="str">
        <f>IFERROR(IF(OR(INPUT!P4065="",INPUT!Q4065=""),"",INPUT!P4065-INPUT!Q4065),"")</f>
        <v/>
      </c>
      <c r="L4070" s="48" t="str">
        <f>IFERROR(IF(OR(INPUT!P4065="",INPUT!Q4065="",INPUT!P4065=0),"",(INPUT!P4065-INPUT!Q4065)/INPUT!P4065),"")</f>
        <v/>
      </c>
    </row>
    <row r="4071" spans="1:12" ht="18" hidden="1" customHeight="1" x14ac:dyDescent="0.2">
      <c r="A4071" s="11" t="str">
        <f>IF(INPUT!M4066="","",INPUT!M4066)</f>
        <v/>
      </c>
      <c r="B4071" s="11" t="str">
        <f>IF(INPUT!M4066="","",INPUT!M4066-WEEKDAY(INPUT!M4066,2)+1)</f>
        <v/>
      </c>
      <c r="C4071" s="20">
        <f>IFERROR(_xlfn.ISOWEEKNUM(INPUT!M4066),"")</f>
        <v>52</v>
      </c>
      <c r="D4071" s="20">
        <f>IFERROR(YEAR(INPUT!M4066),"")</f>
        <v>1900</v>
      </c>
      <c r="E4071" t="str">
        <f>IF(INPUT!O4066="","",INPUT!O4066)</f>
        <v/>
      </c>
      <c r="F4071" t="str">
        <f>IF(INPUT!N4066="","",INPUT!N4066)</f>
        <v/>
      </c>
      <c r="G4071" cm="1">
        <f t="array" ref="G4071">IFERROR(VLOOKUP(INPUT!M4066&amp;INPUT!N4066,CHOOSE({1,2},INPUT!$A$3:$A$5000&amp;INPUT!$C$3:$C$5000,INPUT!$F$3:$F$5000),2,FALSE),"")</f>
        <v>0</v>
      </c>
      <c r="H4071" cm="1">
        <f t="array" ref="H4071">IFERROR(VLOOKUP(INPUT!M4066&amp;INPUT!N4066,CHOOSE({1,2},INPUT!$A$3:$A$5000&amp;INPUT!$C$3:$C$5000,INPUT!$D$3:$D$5000),2,FALSE),"")</f>
        <v>0</v>
      </c>
      <c r="I4071" s="46" t="str">
        <f>IF(INPUT!P4066="","",INPUT!P4066)</f>
        <v/>
      </c>
      <c r="J4071" s="46" t="str">
        <f>IF(INPUT!Q4066="","",INPUT!Q4066)</f>
        <v/>
      </c>
      <c r="K4071" s="46" t="str">
        <f>IFERROR(IF(OR(INPUT!P4066="",INPUT!Q4066=""),"",INPUT!P4066-INPUT!Q4066),"")</f>
        <v/>
      </c>
      <c r="L4071" s="48" t="str">
        <f>IFERROR(IF(OR(INPUT!P4066="",INPUT!Q4066="",INPUT!P4066=0),"",(INPUT!P4066-INPUT!Q4066)/INPUT!P4066),"")</f>
        <v/>
      </c>
    </row>
    <row r="4072" spans="1:12" ht="18" hidden="1" customHeight="1" x14ac:dyDescent="0.2">
      <c r="A4072" s="11" t="str">
        <f>IF(INPUT!M4067="","",INPUT!M4067)</f>
        <v/>
      </c>
      <c r="B4072" s="11" t="str">
        <f>IF(INPUT!M4067="","",INPUT!M4067-WEEKDAY(INPUT!M4067,2)+1)</f>
        <v/>
      </c>
      <c r="C4072" s="20">
        <f>IFERROR(_xlfn.ISOWEEKNUM(INPUT!M4067),"")</f>
        <v>52</v>
      </c>
      <c r="D4072" s="20">
        <f>IFERROR(YEAR(INPUT!M4067),"")</f>
        <v>1900</v>
      </c>
      <c r="E4072" t="str">
        <f>IF(INPUT!O4067="","",INPUT!O4067)</f>
        <v/>
      </c>
      <c r="F4072" t="str">
        <f>IF(INPUT!N4067="","",INPUT!N4067)</f>
        <v/>
      </c>
      <c r="G4072" cm="1">
        <f t="array" ref="G4072">IFERROR(VLOOKUP(INPUT!M4067&amp;INPUT!N4067,CHOOSE({1,2},INPUT!$A$3:$A$5000&amp;INPUT!$C$3:$C$5000,INPUT!$F$3:$F$5000),2,FALSE),"")</f>
        <v>0</v>
      </c>
      <c r="H4072" cm="1">
        <f t="array" ref="H4072">IFERROR(VLOOKUP(INPUT!M4067&amp;INPUT!N4067,CHOOSE({1,2},INPUT!$A$3:$A$5000&amp;INPUT!$C$3:$C$5000,INPUT!$D$3:$D$5000),2,FALSE),"")</f>
        <v>0</v>
      </c>
      <c r="I4072" s="46" t="str">
        <f>IF(INPUT!P4067="","",INPUT!P4067)</f>
        <v/>
      </c>
      <c r="J4072" s="46" t="str">
        <f>IF(INPUT!Q4067="","",INPUT!Q4067)</f>
        <v/>
      </c>
      <c r="K4072" s="46" t="str">
        <f>IFERROR(IF(OR(INPUT!P4067="",INPUT!Q4067=""),"",INPUT!P4067-INPUT!Q4067),"")</f>
        <v/>
      </c>
      <c r="L4072" s="48" t="str">
        <f>IFERROR(IF(OR(INPUT!P4067="",INPUT!Q4067="",INPUT!P4067=0),"",(INPUT!P4067-INPUT!Q4067)/INPUT!P4067),"")</f>
        <v/>
      </c>
    </row>
    <row r="4073" spans="1:12" ht="18" hidden="1" customHeight="1" x14ac:dyDescent="0.2">
      <c r="A4073" s="11" t="str">
        <f>IF(INPUT!M4068="","",INPUT!M4068)</f>
        <v/>
      </c>
      <c r="B4073" s="11" t="str">
        <f>IF(INPUT!M4068="","",INPUT!M4068-WEEKDAY(INPUT!M4068,2)+1)</f>
        <v/>
      </c>
      <c r="C4073" s="20">
        <f>IFERROR(_xlfn.ISOWEEKNUM(INPUT!M4068),"")</f>
        <v>52</v>
      </c>
      <c r="D4073" s="20">
        <f>IFERROR(YEAR(INPUT!M4068),"")</f>
        <v>1900</v>
      </c>
      <c r="E4073" t="str">
        <f>IF(INPUT!O4068="","",INPUT!O4068)</f>
        <v/>
      </c>
      <c r="F4073" t="str">
        <f>IF(INPUT!N4068="","",INPUT!N4068)</f>
        <v/>
      </c>
      <c r="G4073" cm="1">
        <f t="array" ref="G4073">IFERROR(VLOOKUP(INPUT!M4068&amp;INPUT!N4068,CHOOSE({1,2},INPUT!$A$3:$A$5000&amp;INPUT!$C$3:$C$5000,INPUT!$F$3:$F$5000),2,FALSE),"")</f>
        <v>0</v>
      </c>
      <c r="H4073" cm="1">
        <f t="array" ref="H4073">IFERROR(VLOOKUP(INPUT!M4068&amp;INPUT!N4068,CHOOSE({1,2},INPUT!$A$3:$A$5000&amp;INPUT!$C$3:$C$5000,INPUT!$D$3:$D$5000),2,FALSE),"")</f>
        <v>0</v>
      </c>
      <c r="I4073" s="46" t="str">
        <f>IF(INPUT!P4068="","",INPUT!P4068)</f>
        <v/>
      </c>
      <c r="J4073" s="46" t="str">
        <f>IF(INPUT!Q4068="","",INPUT!Q4068)</f>
        <v/>
      </c>
      <c r="K4073" s="46" t="str">
        <f>IFERROR(IF(OR(INPUT!P4068="",INPUT!Q4068=""),"",INPUT!P4068-INPUT!Q4068),"")</f>
        <v/>
      </c>
      <c r="L4073" s="48" t="str">
        <f>IFERROR(IF(OR(INPUT!P4068="",INPUT!Q4068="",INPUT!P4068=0),"",(INPUT!P4068-INPUT!Q4068)/INPUT!P4068),"")</f>
        <v/>
      </c>
    </row>
    <row r="4074" spans="1:12" ht="18" hidden="1" customHeight="1" x14ac:dyDescent="0.2">
      <c r="A4074" s="11" t="str">
        <f>IF(INPUT!M4069="","",INPUT!M4069)</f>
        <v/>
      </c>
      <c r="B4074" s="11" t="str">
        <f>IF(INPUT!M4069="","",INPUT!M4069-WEEKDAY(INPUT!M4069,2)+1)</f>
        <v/>
      </c>
      <c r="C4074" s="20">
        <f>IFERROR(_xlfn.ISOWEEKNUM(INPUT!M4069),"")</f>
        <v>52</v>
      </c>
      <c r="D4074" s="20">
        <f>IFERROR(YEAR(INPUT!M4069),"")</f>
        <v>1900</v>
      </c>
      <c r="E4074" t="str">
        <f>IF(INPUT!O4069="","",INPUT!O4069)</f>
        <v/>
      </c>
      <c r="F4074" t="str">
        <f>IF(INPUT!N4069="","",INPUT!N4069)</f>
        <v/>
      </c>
      <c r="G4074" cm="1">
        <f t="array" ref="G4074">IFERROR(VLOOKUP(INPUT!M4069&amp;INPUT!N4069,CHOOSE({1,2},INPUT!$A$3:$A$5000&amp;INPUT!$C$3:$C$5000,INPUT!$F$3:$F$5000),2,FALSE),"")</f>
        <v>0</v>
      </c>
      <c r="H4074" cm="1">
        <f t="array" ref="H4074">IFERROR(VLOOKUP(INPUT!M4069&amp;INPUT!N4069,CHOOSE({1,2},INPUT!$A$3:$A$5000&amp;INPUT!$C$3:$C$5000,INPUT!$D$3:$D$5000),2,FALSE),"")</f>
        <v>0</v>
      </c>
      <c r="I4074" s="46" t="str">
        <f>IF(INPUT!P4069="","",INPUT!P4069)</f>
        <v/>
      </c>
      <c r="J4074" s="46" t="str">
        <f>IF(INPUT!Q4069="","",INPUT!Q4069)</f>
        <v/>
      </c>
      <c r="K4074" s="46" t="str">
        <f>IFERROR(IF(OR(INPUT!P4069="",INPUT!Q4069=""),"",INPUT!P4069-INPUT!Q4069),"")</f>
        <v/>
      </c>
      <c r="L4074" s="48" t="str">
        <f>IFERROR(IF(OR(INPUT!P4069="",INPUT!Q4069="",INPUT!P4069=0),"",(INPUT!P4069-INPUT!Q4069)/INPUT!P4069),"")</f>
        <v/>
      </c>
    </row>
    <row r="4075" spans="1:12" ht="18" hidden="1" customHeight="1" x14ac:dyDescent="0.2">
      <c r="A4075" s="11" t="str">
        <f>IF(INPUT!M4070="","",INPUT!M4070)</f>
        <v/>
      </c>
      <c r="B4075" s="11" t="str">
        <f>IF(INPUT!M4070="","",INPUT!M4070-WEEKDAY(INPUT!M4070,2)+1)</f>
        <v/>
      </c>
      <c r="C4075" s="20">
        <f>IFERROR(_xlfn.ISOWEEKNUM(INPUT!M4070),"")</f>
        <v>52</v>
      </c>
      <c r="D4075" s="20">
        <f>IFERROR(YEAR(INPUT!M4070),"")</f>
        <v>1900</v>
      </c>
      <c r="E4075" t="str">
        <f>IF(INPUT!O4070="","",INPUT!O4070)</f>
        <v/>
      </c>
      <c r="F4075" t="str">
        <f>IF(INPUT!N4070="","",INPUT!N4070)</f>
        <v/>
      </c>
      <c r="G4075" cm="1">
        <f t="array" ref="G4075">IFERROR(VLOOKUP(INPUT!M4070&amp;INPUT!N4070,CHOOSE({1,2},INPUT!$A$3:$A$5000&amp;INPUT!$C$3:$C$5000,INPUT!$F$3:$F$5000),2,FALSE),"")</f>
        <v>0</v>
      </c>
      <c r="H4075" cm="1">
        <f t="array" ref="H4075">IFERROR(VLOOKUP(INPUT!M4070&amp;INPUT!N4070,CHOOSE({1,2},INPUT!$A$3:$A$5000&amp;INPUT!$C$3:$C$5000,INPUT!$D$3:$D$5000),2,FALSE),"")</f>
        <v>0</v>
      </c>
      <c r="I4075" s="46" t="str">
        <f>IF(INPUT!P4070="","",INPUT!P4070)</f>
        <v/>
      </c>
      <c r="J4075" s="46" t="str">
        <f>IF(INPUT!Q4070="","",INPUT!Q4070)</f>
        <v/>
      </c>
      <c r="K4075" s="46" t="str">
        <f>IFERROR(IF(OR(INPUT!P4070="",INPUT!Q4070=""),"",INPUT!P4070-INPUT!Q4070),"")</f>
        <v/>
      </c>
      <c r="L4075" s="48" t="str">
        <f>IFERROR(IF(OR(INPUT!P4070="",INPUT!Q4070="",INPUT!P4070=0),"",(INPUT!P4070-INPUT!Q4070)/INPUT!P4070),"")</f>
        <v/>
      </c>
    </row>
    <row r="4076" spans="1:12" ht="18" hidden="1" customHeight="1" x14ac:dyDescent="0.2">
      <c r="A4076" s="11" t="str">
        <f>IF(INPUT!M4071="","",INPUT!M4071)</f>
        <v/>
      </c>
      <c r="B4076" s="11" t="str">
        <f>IF(INPUT!M4071="","",INPUT!M4071-WEEKDAY(INPUT!M4071,2)+1)</f>
        <v/>
      </c>
      <c r="C4076" s="20">
        <f>IFERROR(_xlfn.ISOWEEKNUM(INPUT!M4071),"")</f>
        <v>52</v>
      </c>
      <c r="D4076" s="20">
        <f>IFERROR(YEAR(INPUT!M4071),"")</f>
        <v>1900</v>
      </c>
      <c r="E4076" t="str">
        <f>IF(INPUT!O4071="","",INPUT!O4071)</f>
        <v/>
      </c>
      <c r="F4076" t="str">
        <f>IF(INPUT!N4071="","",INPUT!N4071)</f>
        <v/>
      </c>
      <c r="G4076" cm="1">
        <f t="array" ref="G4076">IFERROR(VLOOKUP(INPUT!M4071&amp;INPUT!N4071,CHOOSE({1,2},INPUT!$A$3:$A$5000&amp;INPUT!$C$3:$C$5000,INPUT!$F$3:$F$5000),2,FALSE),"")</f>
        <v>0</v>
      </c>
      <c r="H4076" cm="1">
        <f t="array" ref="H4076">IFERROR(VLOOKUP(INPUT!M4071&amp;INPUT!N4071,CHOOSE({1,2},INPUT!$A$3:$A$5000&amp;INPUT!$C$3:$C$5000,INPUT!$D$3:$D$5000),2,FALSE),"")</f>
        <v>0</v>
      </c>
      <c r="I4076" s="46" t="str">
        <f>IF(INPUT!P4071="","",INPUT!P4071)</f>
        <v/>
      </c>
      <c r="J4076" s="46" t="str">
        <f>IF(INPUT!Q4071="","",INPUT!Q4071)</f>
        <v/>
      </c>
      <c r="K4076" s="46" t="str">
        <f>IFERROR(IF(OR(INPUT!P4071="",INPUT!Q4071=""),"",INPUT!P4071-INPUT!Q4071),"")</f>
        <v/>
      </c>
      <c r="L4076" s="48" t="str">
        <f>IFERROR(IF(OR(INPUT!P4071="",INPUT!Q4071="",INPUT!P4071=0),"",(INPUT!P4071-INPUT!Q4071)/INPUT!P4071),"")</f>
        <v/>
      </c>
    </row>
    <row r="4077" spans="1:12" ht="18" hidden="1" customHeight="1" x14ac:dyDescent="0.2">
      <c r="A4077" s="11" t="str">
        <f>IF(INPUT!M4072="","",INPUT!M4072)</f>
        <v/>
      </c>
      <c r="B4077" s="11" t="str">
        <f>IF(INPUT!M4072="","",INPUT!M4072-WEEKDAY(INPUT!M4072,2)+1)</f>
        <v/>
      </c>
      <c r="C4077" s="20">
        <f>IFERROR(_xlfn.ISOWEEKNUM(INPUT!M4072),"")</f>
        <v>52</v>
      </c>
      <c r="D4077" s="20">
        <f>IFERROR(YEAR(INPUT!M4072),"")</f>
        <v>1900</v>
      </c>
      <c r="E4077" t="str">
        <f>IF(INPUT!O4072="","",INPUT!O4072)</f>
        <v/>
      </c>
      <c r="F4077" t="str">
        <f>IF(INPUT!N4072="","",INPUT!N4072)</f>
        <v/>
      </c>
      <c r="G4077" cm="1">
        <f t="array" ref="G4077">IFERROR(VLOOKUP(INPUT!M4072&amp;INPUT!N4072,CHOOSE({1,2},INPUT!$A$3:$A$5000&amp;INPUT!$C$3:$C$5000,INPUT!$F$3:$F$5000),2,FALSE),"")</f>
        <v>0</v>
      </c>
      <c r="H4077" cm="1">
        <f t="array" ref="H4077">IFERROR(VLOOKUP(INPUT!M4072&amp;INPUT!N4072,CHOOSE({1,2},INPUT!$A$3:$A$5000&amp;INPUT!$C$3:$C$5000,INPUT!$D$3:$D$5000),2,FALSE),"")</f>
        <v>0</v>
      </c>
      <c r="I4077" s="46" t="str">
        <f>IF(INPUT!P4072="","",INPUT!P4072)</f>
        <v/>
      </c>
      <c r="J4077" s="46" t="str">
        <f>IF(INPUT!Q4072="","",INPUT!Q4072)</f>
        <v/>
      </c>
      <c r="K4077" s="46" t="str">
        <f>IFERROR(IF(OR(INPUT!P4072="",INPUT!Q4072=""),"",INPUT!P4072-INPUT!Q4072),"")</f>
        <v/>
      </c>
      <c r="L4077" s="48" t="str">
        <f>IFERROR(IF(OR(INPUT!P4072="",INPUT!Q4072="",INPUT!P4072=0),"",(INPUT!P4072-INPUT!Q4072)/INPUT!P4072),"")</f>
        <v/>
      </c>
    </row>
    <row r="4078" spans="1:12" ht="18" hidden="1" customHeight="1" x14ac:dyDescent="0.2">
      <c r="A4078" s="11" t="str">
        <f>IF(INPUT!M4073="","",INPUT!M4073)</f>
        <v/>
      </c>
      <c r="B4078" s="11" t="str">
        <f>IF(INPUT!M4073="","",INPUT!M4073-WEEKDAY(INPUT!M4073,2)+1)</f>
        <v/>
      </c>
      <c r="C4078" s="20">
        <f>IFERROR(_xlfn.ISOWEEKNUM(INPUT!M4073),"")</f>
        <v>52</v>
      </c>
      <c r="D4078" s="20">
        <f>IFERROR(YEAR(INPUT!M4073),"")</f>
        <v>1900</v>
      </c>
      <c r="E4078" t="str">
        <f>IF(INPUT!O4073="","",INPUT!O4073)</f>
        <v/>
      </c>
      <c r="F4078" t="str">
        <f>IF(INPUT!N4073="","",INPUT!N4073)</f>
        <v/>
      </c>
      <c r="G4078" cm="1">
        <f t="array" ref="G4078">IFERROR(VLOOKUP(INPUT!M4073&amp;INPUT!N4073,CHOOSE({1,2},INPUT!$A$3:$A$5000&amp;INPUT!$C$3:$C$5000,INPUT!$F$3:$F$5000),2,FALSE),"")</f>
        <v>0</v>
      </c>
      <c r="H4078" cm="1">
        <f t="array" ref="H4078">IFERROR(VLOOKUP(INPUT!M4073&amp;INPUT!N4073,CHOOSE({1,2},INPUT!$A$3:$A$5000&amp;INPUT!$C$3:$C$5000,INPUT!$D$3:$D$5000),2,FALSE),"")</f>
        <v>0</v>
      </c>
      <c r="I4078" s="46" t="str">
        <f>IF(INPUT!P4073="","",INPUT!P4073)</f>
        <v/>
      </c>
      <c r="J4078" s="46" t="str">
        <f>IF(INPUT!Q4073="","",INPUT!Q4073)</f>
        <v/>
      </c>
      <c r="K4078" s="46" t="str">
        <f>IFERROR(IF(OR(INPUT!P4073="",INPUT!Q4073=""),"",INPUT!P4073-INPUT!Q4073),"")</f>
        <v/>
      </c>
      <c r="L4078" s="48" t="str">
        <f>IFERROR(IF(OR(INPUT!P4073="",INPUT!Q4073="",INPUT!P4073=0),"",(INPUT!P4073-INPUT!Q4073)/INPUT!P4073),"")</f>
        <v/>
      </c>
    </row>
    <row r="4079" spans="1:12" ht="18" hidden="1" customHeight="1" x14ac:dyDescent="0.2">
      <c r="A4079" s="11" t="str">
        <f>IF(INPUT!M4074="","",INPUT!M4074)</f>
        <v/>
      </c>
      <c r="B4079" s="11" t="str">
        <f>IF(INPUT!M4074="","",INPUT!M4074-WEEKDAY(INPUT!M4074,2)+1)</f>
        <v/>
      </c>
      <c r="C4079" s="20">
        <f>IFERROR(_xlfn.ISOWEEKNUM(INPUT!M4074),"")</f>
        <v>52</v>
      </c>
      <c r="D4079" s="20">
        <f>IFERROR(YEAR(INPUT!M4074),"")</f>
        <v>1900</v>
      </c>
      <c r="E4079" t="str">
        <f>IF(INPUT!O4074="","",INPUT!O4074)</f>
        <v/>
      </c>
      <c r="F4079" t="str">
        <f>IF(INPUT!N4074="","",INPUT!N4074)</f>
        <v/>
      </c>
      <c r="G4079" cm="1">
        <f t="array" ref="G4079">IFERROR(VLOOKUP(INPUT!M4074&amp;INPUT!N4074,CHOOSE({1,2},INPUT!$A$3:$A$5000&amp;INPUT!$C$3:$C$5000,INPUT!$F$3:$F$5000),2,FALSE),"")</f>
        <v>0</v>
      </c>
      <c r="H4079" cm="1">
        <f t="array" ref="H4079">IFERROR(VLOOKUP(INPUT!M4074&amp;INPUT!N4074,CHOOSE({1,2},INPUT!$A$3:$A$5000&amp;INPUT!$C$3:$C$5000,INPUT!$D$3:$D$5000),2,FALSE),"")</f>
        <v>0</v>
      </c>
      <c r="I4079" s="46" t="str">
        <f>IF(INPUT!P4074="","",INPUT!P4074)</f>
        <v/>
      </c>
      <c r="J4079" s="46" t="str">
        <f>IF(INPUT!Q4074="","",INPUT!Q4074)</f>
        <v/>
      </c>
      <c r="K4079" s="46" t="str">
        <f>IFERROR(IF(OR(INPUT!P4074="",INPUT!Q4074=""),"",INPUT!P4074-INPUT!Q4074),"")</f>
        <v/>
      </c>
      <c r="L4079" s="48" t="str">
        <f>IFERROR(IF(OR(INPUT!P4074="",INPUT!Q4074="",INPUT!P4074=0),"",(INPUT!P4074-INPUT!Q4074)/INPUT!P4074),"")</f>
        <v/>
      </c>
    </row>
    <row r="4080" spans="1:12" ht="18" hidden="1" customHeight="1" x14ac:dyDescent="0.2">
      <c r="A4080" s="11" t="str">
        <f>IF(INPUT!M4075="","",INPUT!M4075)</f>
        <v/>
      </c>
      <c r="B4080" s="11" t="str">
        <f>IF(INPUT!M4075="","",INPUT!M4075-WEEKDAY(INPUT!M4075,2)+1)</f>
        <v/>
      </c>
      <c r="C4080" s="20">
        <f>IFERROR(_xlfn.ISOWEEKNUM(INPUT!M4075),"")</f>
        <v>52</v>
      </c>
      <c r="D4080" s="20">
        <f>IFERROR(YEAR(INPUT!M4075),"")</f>
        <v>1900</v>
      </c>
      <c r="E4080" t="str">
        <f>IF(INPUT!O4075="","",INPUT!O4075)</f>
        <v/>
      </c>
      <c r="F4080" t="str">
        <f>IF(INPUT!N4075="","",INPUT!N4075)</f>
        <v/>
      </c>
      <c r="G4080" cm="1">
        <f t="array" ref="G4080">IFERROR(VLOOKUP(INPUT!M4075&amp;INPUT!N4075,CHOOSE({1,2},INPUT!$A$3:$A$5000&amp;INPUT!$C$3:$C$5000,INPUT!$F$3:$F$5000),2,FALSE),"")</f>
        <v>0</v>
      </c>
      <c r="H4080" cm="1">
        <f t="array" ref="H4080">IFERROR(VLOOKUP(INPUT!M4075&amp;INPUT!N4075,CHOOSE({1,2},INPUT!$A$3:$A$5000&amp;INPUT!$C$3:$C$5000,INPUT!$D$3:$D$5000),2,FALSE),"")</f>
        <v>0</v>
      </c>
      <c r="I4080" s="46" t="str">
        <f>IF(INPUT!P4075="","",INPUT!P4075)</f>
        <v/>
      </c>
      <c r="J4080" s="46" t="str">
        <f>IF(INPUT!Q4075="","",INPUT!Q4075)</f>
        <v/>
      </c>
      <c r="K4080" s="46" t="str">
        <f>IFERROR(IF(OR(INPUT!P4075="",INPUT!Q4075=""),"",INPUT!P4075-INPUT!Q4075),"")</f>
        <v/>
      </c>
      <c r="L4080" s="48" t="str">
        <f>IFERROR(IF(OR(INPUT!P4075="",INPUT!Q4075="",INPUT!P4075=0),"",(INPUT!P4075-INPUT!Q4075)/INPUT!P4075),"")</f>
        <v/>
      </c>
    </row>
    <row r="4081" spans="1:12" ht="18" hidden="1" customHeight="1" x14ac:dyDescent="0.2">
      <c r="A4081" s="11" t="str">
        <f>IF(INPUT!M4076="","",INPUT!M4076)</f>
        <v/>
      </c>
      <c r="B4081" s="11" t="str">
        <f>IF(INPUT!M4076="","",INPUT!M4076-WEEKDAY(INPUT!M4076,2)+1)</f>
        <v/>
      </c>
      <c r="C4081" s="20">
        <f>IFERROR(_xlfn.ISOWEEKNUM(INPUT!M4076),"")</f>
        <v>52</v>
      </c>
      <c r="D4081" s="20">
        <f>IFERROR(YEAR(INPUT!M4076),"")</f>
        <v>1900</v>
      </c>
      <c r="E4081" t="str">
        <f>IF(INPUT!O4076="","",INPUT!O4076)</f>
        <v/>
      </c>
      <c r="F4081" t="str">
        <f>IF(INPUT!N4076="","",INPUT!N4076)</f>
        <v/>
      </c>
      <c r="G4081" cm="1">
        <f t="array" ref="G4081">IFERROR(VLOOKUP(INPUT!M4076&amp;INPUT!N4076,CHOOSE({1,2},INPUT!$A$3:$A$5000&amp;INPUT!$C$3:$C$5000,INPUT!$F$3:$F$5000),2,FALSE),"")</f>
        <v>0</v>
      </c>
      <c r="H4081" cm="1">
        <f t="array" ref="H4081">IFERROR(VLOOKUP(INPUT!M4076&amp;INPUT!N4076,CHOOSE({1,2},INPUT!$A$3:$A$5000&amp;INPUT!$C$3:$C$5000,INPUT!$D$3:$D$5000),2,FALSE),"")</f>
        <v>0</v>
      </c>
      <c r="I4081" s="46" t="str">
        <f>IF(INPUT!P4076="","",INPUT!P4076)</f>
        <v/>
      </c>
      <c r="J4081" s="46" t="str">
        <f>IF(INPUT!Q4076="","",INPUT!Q4076)</f>
        <v/>
      </c>
      <c r="K4081" s="46" t="str">
        <f>IFERROR(IF(OR(INPUT!P4076="",INPUT!Q4076=""),"",INPUT!P4076-INPUT!Q4076),"")</f>
        <v/>
      </c>
      <c r="L4081" s="48" t="str">
        <f>IFERROR(IF(OR(INPUT!P4076="",INPUT!Q4076="",INPUT!P4076=0),"",(INPUT!P4076-INPUT!Q4076)/INPUT!P4076),"")</f>
        <v/>
      </c>
    </row>
    <row r="4082" spans="1:12" ht="18" hidden="1" customHeight="1" x14ac:dyDescent="0.2">
      <c r="A4082" s="11" t="str">
        <f>IF(INPUT!M4077="","",INPUT!M4077)</f>
        <v/>
      </c>
      <c r="B4082" s="11" t="str">
        <f>IF(INPUT!M4077="","",INPUT!M4077-WEEKDAY(INPUT!M4077,2)+1)</f>
        <v/>
      </c>
      <c r="C4082" s="20">
        <f>IFERROR(_xlfn.ISOWEEKNUM(INPUT!M4077),"")</f>
        <v>52</v>
      </c>
      <c r="D4082" s="20">
        <f>IFERROR(YEAR(INPUT!M4077),"")</f>
        <v>1900</v>
      </c>
      <c r="E4082" t="str">
        <f>IF(INPUT!O4077="","",INPUT!O4077)</f>
        <v/>
      </c>
      <c r="F4082" t="str">
        <f>IF(INPUT!N4077="","",INPUT!N4077)</f>
        <v/>
      </c>
      <c r="G4082" cm="1">
        <f t="array" ref="G4082">IFERROR(VLOOKUP(INPUT!M4077&amp;INPUT!N4077,CHOOSE({1,2},INPUT!$A$3:$A$5000&amp;INPUT!$C$3:$C$5000,INPUT!$F$3:$F$5000),2,FALSE),"")</f>
        <v>0</v>
      </c>
      <c r="H4082" cm="1">
        <f t="array" ref="H4082">IFERROR(VLOOKUP(INPUT!M4077&amp;INPUT!N4077,CHOOSE({1,2},INPUT!$A$3:$A$5000&amp;INPUT!$C$3:$C$5000,INPUT!$D$3:$D$5000),2,FALSE),"")</f>
        <v>0</v>
      </c>
      <c r="I4082" s="46" t="str">
        <f>IF(INPUT!P4077="","",INPUT!P4077)</f>
        <v/>
      </c>
      <c r="J4082" s="46" t="str">
        <f>IF(INPUT!Q4077="","",INPUT!Q4077)</f>
        <v/>
      </c>
      <c r="K4082" s="46" t="str">
        <f>IFERROR(IF(OR(INPUT!P4077="",INPUT!Q4077=""),"",INPUT!P4077-INPUT!Q4077),"")</f>
        <v/>
      </c>
      <c r="L4082" s="48" t="str">
        <f>IFERROR(IF(OR(INPUT!P4077="",INPUT!Q4077="",INPUT!P4077=0),"",(INPUT!P4077-INPUT!Q4077)/INPUT!P4077),"")</f>
        <v/>
      </c>
    </row>
    <row r="4083" spans="1:12" ht="18" hidden="1" customHeight="1" x14ac:dyDescent="0.2">
      <c r="A4083" s="11" t="str">
        <f>IF(INPUT!M4078="","",INPUT!M4078)</f>
        <v/>
      </c>
      <c r="B4083" s="11" t="str">
        <f>IF(INPUT!M4078="","",INPUT!M4078-WEEKDAY(INPUT!M4078,2)+1)</f>
        <v/>
      </c>
      <c r="C4083" s="20">
        <f>IFERROR(_xlfn.ISOWEEKNUM(INPUT!M4078),"")</f>
        <v>52</v>
      </c>
      <c r="D4083" s="20">
        <f>IFERROR(YEAR(INPUT!M4078),"")</f>
        <v>1900</v>
      </c>
      <c r="E4083" t="str">
        <f>IF(INPUT!O4078="","",INPUT!O4078)</f>
        <v/>
      </c>
      <c r="F4083" t="str">
        <f>IF(INPUT!N4078="","",INPUT!N4078)</f>
        <v/>
      </c>
      <c r="G4083" cm="1">
        <f t="array" ref="G4083">IFERROR(VLOOKUP(INPUT!M4078&amp;INPUT!N4078,CHOOSE({1,2},INPUT!$A$3:$A$5000&amp;INPUT!$C$3:$C$5000,INPUT!$F$3:$F$5000),2,FALSE),"")</f>
        <v>0</v>
      </c>
      <c r="H4083" cm="1">
        <f t="array" ref="H4083">IFERROR(VLOOKUP(INPUT!M4078&amp;INPUT!N4078,CHOOSE({1,2},INPUT!$A$3:$A$5000&amp;INPUT!$C$3:$C$5000,INPUT!$D$3:$D$5000),2,FALSE),"")</f>
        <v>0</v>
      </c>
      <c r="I4083" s="46" t="str">
        <f>IF(INPUT!P4078="","",INPUT!P4078)</f>
        <v/>
      </c>
      <c r="J4083" s="46" t="str">
        <f>IF(INPUT!Q4078="","",INPUT!Q4078)</f>
        <v/>
      </c>
      <c r="K4083" s="46" t="str">
        <f>IFERROR(IF(OR(INPUT!P4078="",INPUT!Q4078=""),"",INPUT!P4078-INPUT!Q4078),"")</f>
        <v/>
      </c>
      <c r="L4083" s="48" t="str">
        <f>IFERROR(IF(OR(INPUT!P4078="",INPUT!Q4078="",INPUT!P4078=0),"",(INPUT!P4078-INPUT!Q4078)/INPUT!P4078),"")</f>
        <v/>
      </c>
    </row>
    <row r="4084" spans="1:12" ht="18" hidden="1" customHeight="1" x14ac:dyDescent="0.2">
      <c r="A4084" s="11" t="str">
        <f>IF(INPUT!M4079="","",INPUT!M4079)</f>
        <v/>
      </c>
      <c r="B4084" s="11" t="str">
        <f>IF(INPUT!M4079="","",INPUT!M4079-WEEKDAY(INPUT!M4079,2)+1)</f>
        <v/>
      </c>
      <c r="C4084" s="20">
        <f>IFERROR(_xlfn.ISOWEEKNUM(INPUT!M4079),"")</f>
        <v>52</v>
      </c>
      <c r="D4084" s="20">
        <f>IFERROR(YEAR(INPUT!M4079),"")</f>
        <v>1900</v>
      </c>
      <c r="E4084" t="str">
        <f>IF(INPUT!O4079="","",INPUT!O4079)</f>
        <v/>
      </c>
      <c r="F4084" t="str">
        <f>IF(INPUT!N4079="","",INPUT!N4079)</f>
        <v/>
      </c>
      <c r="G4084" cm="1">
        <f t="array" ref="G4084">IFERROR(VLOOKUP(INPUT!M4079&amp;INPUT!N4079,CHOOSE({1,2},INPUT!$A$3:$A$5000&amp;INPUT!$C$3:$C$5000,INPUT!$F$3:$F$5000),2,FALSE),"")</f>
        <v>0</v>
      </c>
      <c r="H4084" cm="1">
        <f t="array" ref="H4084">IFERROR(VLOOKUP(INPUT!M4079&amp;INPUT!N4079,CHOOSE({1,2},INPUT!$A$3:$A$5000&amp;INPUT!$C$3:$C$5000,INPUT!$D$3:$D$5000),2,FALSE),"")</f>
        <v>0</v>
      </c>
      <c r="I4084" s="46" t="str">
        <f>IF(INPUT!P4079="","",INPUT!P4079)</f>
        <v/>
      </c>
      <c r="J4084" s="46" t="str">
        <f>IF(INPUT!Q4079="","",INPUT!Q4079)</f>
        <v/>
      </c>
      <c r="K4084" s="46" t="str">
        <f>IFERROR(IF(OR(INPUT!P4079="",INPUT!Q4079=""),"",INPUT!P4079-INPUT!Q4079),"")</f>
        <v/>
      </c>
      <c r="L4084" s="48" t="str">
        <f>IFERROR(IF(OR(INPUT!P4079="",INPUT!Q4079="",INPUT!P4079=0),"",(INPUT!P4079-INPUT!Q4079)/INPUT!P4079),"")</f>
        <v/>
      </c>
    </row>
    <row r="4085" spans="1:12" ht="18" hidden="1" customHeight="1" x14ac:dyDescent="0.2">
      <c r="A4085" s="11" t="str">
        <f>IF(INPUT!M4080="","",INPUT!M4080)</f>
        <v/>
      </c>
      <c r="B4085" s="11" t="str">
        <f>IF(INPUT!M4080="","",INPUT!M4080-WEEKDAY(INPUT!M4080,2)+1)</f>
        <v/>
      </c>
      <c r="C4085" s="20">
        <f>IFERROR(_xlfn.ISOWEEKNUM(INPUT!M4080),"")</f>
        <v>52</v>
      </c>
      <c r="D4085" s="20">
        <f>IFERROR(YEAR(INPUT!M4080),"")</f>
        <v>1900</v>
      </c>
      <c r="E4085" t="str">
        <f>IF(INPUT!O4080="","",INPUT!O4080)</f>
        <v/>
      </c>
      <c r="F4085" t="str">
        <f>IF(INPUT!N4080="","",INPUT!N4080)</f>
        <v/>
      </c>
      <c r="G4085" cm="1">
        <f t="array" ref="G4085">IFERROR(VLOOKUP(INPUT!M4080&amp;INPUT!N4080,CHOOSE({1,2},INPUT!$A$3:$A$5000&amp;INPUT!$C$3:$C$5000,INPUT!$F$3:$F$5000),2,FALSE),"")</f>
        <v>0</v>
      </c>
      <c r="H4085" cm="1">
        <f t="array" ref="H4085">IFERROR(VLOOKUP(INPUT!M4080&amp;INPUT!N4080,CHOOSE({1,2},INPUT!$A$3:$A$5000&amp;INPUT!$C$3:$C$5000,INPUT!$D$3:$D$5000),2,FALSE),"")</f>
        <v>0</v>
      </c>
      <c r="I4085" s="46" t="str">
        <f>IF(INPUT!P4080="","",INPUT!P4080)</f>
        <v/>
      </c>
      <c r="J4085" s="46" t="str">
        <f>IF(INPUT!Q4080="","",INPUT!Q4080)</f>
        <v/>
      </c>
      <c r="K4085" s="46" t="str">
        <f>IFERROR(IF(OR(INPUT!P4080="",INPUT!Q4080=""),"",INPUT!P4080-INPUT!Q4080),"")</f>
        <v/>
      </c>
      <c r="L4085" s="48" t="str">
        <f>IFERROR(IF(OR(INPUT!P4080="",INPUT!Q4080="",INPUT!P4080=0),"",(INPUT!P4080-INPUT!Q4080)/INPUT!P4080),"")</f>
        <v/>
      </c>
    </row>
    <row r="4086" spans="1:12" ht="18" hidden="1" customHeight="1" x14ac:dyDescent="0.2">
      <c r="A4086" s="11" t="str">
        <f>IF(INPUT!M4081="","",INPUT!M4081)</f>
        <v/>
      </c>
      <c r="B4086" s="11" t="str">
        <f>IF(INPUT!M4081="","",INPUT!M4081-WEEKDAY(INPUT!M4081,2)+1)</f>
        <v/>
      </c>
      <c r="C4086" s="20">
        <f>IFERROR(_xlfn.ISOWEEKNUM(INPUT!M4081),"")</f>
        <v>52</v>
      </c>
      <c r="D4086" s="20">
        <f>IFERROR(YEAR(INPUT!M4081),"")</f>
        <v>1900</v>
      </c>
      <c r="E4086" t="str">
        <f>IF(INPUT!O4081="","",INPUT!O4081)</f>
        <v/>
      </c>
      <c r="F4086" t="str">
        <f>IF(INPUT!N4081="","",INPUT!N4081)</f>
        <v/>
      </c>
      <c r="G4086" cm="1">
        <f t="array" ref="G4086">IFERROR(VLOOKUP(INPUT!M4081&amp;INPUT!N4081,CHOOSE({1,2},INPUT!$A$3:$A$5000&amp;INPUT!$C$3:$C$5000,INPUT!$F$3:$F$5000),2,FALSE),"")</f>
        <v>0</v>
      </c>
      <c r="H4086" cm="1">
        <f t="array" ref="H4086">IFERROR(VLOOKUP(INPUT!M4081&amp;INPUT!N4081,CHOOSE({1,2},INPUT!$A$3:$A$5000&amp;INPUT!$C$3:$C$5000,INPUT!$D$3:$D$5000),2,FALSE),"")</f>
        <v>0</v>
      </c>
      <c r="I4086" s="46" t="str">
        <f>IF(INPUT!P4081="","",INPUT!P4081)</f>
        <v/>
      </c>
      <c r="J4086" s="46" t="str">
        <f>IF(INPUT!Q4081="","",INPUT!Q4081)</f>
        <v/>
      </c>
      <c r="K4086" s="46" t="str">
        <f>IFERROR(IF(OR(INPUT!P4081="",INPUT!Q4081=""),"",INPUT!P4081-INPUT!Q4081),"")</f>
        <v/>
      </c>
      <c r="L4086" s="48" t="str">
        <f>IFERROR(IF(OR(INPUT!P4081="",INPUT!Q4081="",INPUT!P4081=0),"",(INPUT!P4081-INPUT!Q4081)/INPUT!P4081),"")</f>
        <v/>
      </c>
    </row>
    <row r="4087" spans="1:12" ht="18" hidden="1" customHeight="1" x14ac:dyDescent="0.2">
      <c r="A4087" s="11" t="str">
        <f>IF(INPUT!M4082="","",INPUT!M4082)</f>
        <v/>
      </c>
      <c r="B4087" s="11" t="str">
        <f>IF(INPUT!M4082="","",INPUT!M4082-WEEKDAY(INPUT!M4082,2)+1)</f>
        <v/>
      </c>
      <c r="C4087" s="20">
        <f>IFERROR(_xlfn.ISOWEEKNUM(INPUT!M4082),"")</f>
        <v>52</v>
      </c>
      <c r="D4087" s="20">
        <f>IFERROR(YEAR(INPUT!M4082),"")</f>
        <v>1900</v>
      </c>
      <c r="E4087" t="str">
        <f>IF(INPUT!O4082="","",INPUT!O4082)</f>
        <v/>
      </c>
      <c r="F4087" t="str">
        <f>IF(INPUT!N4082="","",INPUT!N4082)</f>
        <v/>
      </c>
      <c r="G4087" cm="1">
        <f t="array" ref="G4087">IFERROR(VLOOKUP(INPUT!M4082&amp;INPUT!N4082,CHOOSE({1,2},INPUT!$A$3:$A$5000&amp;INPUT!$C$3:$C$5000,INPUT!$F$3:$F$5000),2,FALSE),"")</f>
        <v>0</v>
      </c>
      <c r="H4087" cm="1">
        <f t="array" ref="H4087">IFERROR(VLOOKUP(INPUT!M4082&amp;INPUT!N4082,CHOOSE({1,2},INPUT!$A$3:$A$5000&amp;INPUT!$C$3:$C$5000,INPUT!$D$3:$D$5000),2,FALSE),"")</f>
        <v>0</v>
      </c>
      <c r="I4087" s="46" t="str">
        <f>IF(INPUT!P4082="","",INPUT!P4082)</f>
        <v/>
      </c>
      <c r="J4087" s="46" t="str">
        <f>IF(INPUT!Q4082="","",INPUT!Q4082)</f>
        <v/>
      </c>
      <c r="K4087" s="46" t="str">
        <f>IFERROR(IF(OR(INPUT!P4082="",INPUT!Q4082=""),"",INPUT!P4082-INPUT!Q4082),"")</f>
        <v/>
      </c>
      <c r="L4087" s="48" t="str">
        <f>IFERROR(IF(OR(INPUT!P4082="",INPUT!Q4082="",INPUT!P4082=0),"",(INPUT!P4082-INPUT!Q4082)/INPUT!P4082),"")</f>
        <v/>
      </c>
    </row>
    <row r="4088" spans="1:12" ht="18" hidden="1" customHeight="1" x14ac:dyDescent="0.2">
      <c r="A4088" s="11" t="str">
        <f>IF(INPUT!M4083="","",INPUT!M4083)</f>
        <v/>
      </c>
      <c r="B4088" s="11" t="str">
        <f>IF(INPUT!M4083="","",INPUT!M4083-WEEKDAY(INPUT!M4083,2)+1)</f>
        <v/>
      </c>
      <c r="C4088" s="20">
        <f>IFERROR(_xlfn.ISOWEEKNUM(INPUT!M4083),"")</f>
        <v>52</v>
      </c>
      <c r="D4088" s="20">
        <f>IFERROR(YEAR(INPUT!M4083),"")</f>
        <v>1900</v>
      </c>
      <c r="E4088" t="str">
        <f>IF(INPUT!O4083="","",INPUT!O4083)</f>
        <v/>
      </c>
      <c r="F4088" t="str">
        <f>IF(INPUT!N4083="","",INPUT!N4083)</f>
        <v/>
      </c>
      <c r="G4088" cm="1">
        <f t="array" ref="G4088">IFERROR(VLOOKUP(INPUT!M4083&amp;INPUT!N4083,CHOOSE({1,2},INPUT!$A$3:$A$5000&amp;INPUT!$C$3:$C$5000,INPUT!$F$3:$F$5000),2,FALSE),"")</f>
        <v>0</v>
      </c>
      <c r="H4088" cm="1">
        <f t="array" ref="H4088">IFERROR(VLOOKUP(INPUT!M4083&amp;INPUT!N4083,CHOOSE({1,2},INPUT!$A$3:$A$5000&amp;INPUT!$C$3:$C$5000,INPUT!$D$3:$D$5000),2,FALSE),"")</f>
        <v>0</v>
      </c>
      <c r="I4088" s="46" t="str">
        <f>IF(INPUT!P4083="","",INPUT!P4083)</f>
        <v/>
      </c>
      <c r="J4088" s="46" t="str">
        <f>IF(INPUT!Q4083="","",INPUT!Q4083)</f>
        <v/>
      </c>
      <c r="K4088" s="46" t="str">
        <f>IFERROR(IF(OR(INPUT!P4083="",INPUT!Q4083=""),"",INPUT!P4083-INPUT!Q4083),"")</f>
        <v/>
      </c>
      <c r="L4088" s="48" t="str">
        <f>IFERROR(IF(OR(INPUT!P4083="",INPUT!Q4083="",INPUT!P4083=0),"",(INPUT!P4083-INPUT!Q4083)/INPUT!P4083),"")</f>
        <v/>
      </c>
    </row>
    <row r="4089" spans="1:12" ht="18" hidden="1" customHeight="1" x14ac:dyDescent="0.2">
      <c r="A4089" s="11" t="str">
        <f>IF(INPUT!M4084="","",INPUT!M4084)</f>
        <v/>
      </c>
      <c r="B4089" s="11" t="str">
        <f>IF(INPUT!M4084="","",INPUT!M4084-WEEKDAY(INPUT!M4084,2)+1)</f>
        <v/>
      </c>
      <c r="C4089" s="20">
        <f>IFERROR(_xlfn.ISOWEEKNUM(INPUT!M4084),"")</f>
        <v>52</v>
      </c>
      <c r="D4089" s="20">
        <f>IFERROR(YEAR(INPUT!M4084),"")</f>
        <v>1900</v>
      </c>
      <c r="E4089" t="str">
        <f>IF(INPUT!O4084="","",INPUT!O4084)</f>
        <v/>
      </c>
      <c r="F4089" t="str">
        <f>IF(INPUT!N4084="","",INPUT!N4084)</f>
        <v/>
      </c>
      <c r="G4089" cm="1">
        <f t="array" ref="G4089">IFERROR(VLOOKUP(INPUT!M4084&amp;INPUT!N4084,CHOOSE({1,2},INPUT!$A$3:$A$5000&amp;INPUT!$C$3:$C$5000,INPUT!$F$3:$F$5000),2,FALSE),"")</f>
        <v>0</v>
      </c>
      <c r="H4089" cm="1">
        <f t="array" ref="H4089">IFERROR(VLOOKUP(INPUT!M4084&amp;INPUT!N4084,CHOOSE({1,2},INPUT!$A$3:$A$5000&amp;INPUT!$C$3:$C$5000,INPUT!$D$3:$D$5000),2,FALSE),"")</f>
        <v>0</v>
      </c>
      <c r="I4089" s="46" t="str">
        <f>IF(INPUT!P4084="","",INPUT!P4084)</f>
        <v/>
      </c>
      <c r="J4089" s="46" t="str">
        <f>IF(INPUT!Q4084="","",INPUT!Q4084)</f>
        <v/>
      </c>
      <c r="K4089" s="46" t="str">
        <f>IFERROR(IF(OR(INPUT!P4084="",INPUT!Q4084=""),"",INPUT!P4084-INPUT!Q4084),"")</f>
        <v/>
      </c>
      <c r="L4089" s="48" t="str">
        <f>IFERROR(IF(OR(INPUT!P4084="",INPUT!Q4084="",INPUT!P4084=0),"",(INPUT!P4084-INPUT!Q4084)/INPUT!P4084),"")</f>
        <v/>
      </c>
    </row>
    <row r="4090" spans="1:12" ht="18" hidden="1" customHeight="1" x14ac:dyDescent="0.2">
      <c r="A4090" s="11" t="str">
        <f>IF(INPUT!M4085="","",INPUT!M4085)</f>
        <v/>
      </c>
      <c r="B4090" s="11" t="str">
        <f>IF(INPUT!M4085="","",INPUT!M4085-WEEKDAY(INPUT!M4085,2)+1)</f>
        <v/>
      </c>
      <c r="C4090" s="20">
        <f>IFERROR(_xlfn.ISOWEEKNUM(INPUT!M4085),"")</f>
        <v>52</v>
      </c>
      <c r="D4090" s="20">
        <f>IFERROR(YEAR(INPUT!M4085),"")</f>
        <v>1900</v>
      </c>
      <c r="E4090" t="str">
        <f>IF(INPUT!O4085="","",INPUT!O4085)</f>
        <v/>
      </c>
      <c r="F4090" t="str">
        <f>IF(INPUT!N4085="","",INPUT!N4085)</f>
        <v/>
      </c>
      <c r="G4090" cm="1">
        <f t="array" ref="G4090">IFERROR(VLOOKUP(INPUT!M4085&amp;INPUT!N4085,CHOOSE({1,2},INPUT!$A$3:$A$5000&amp;INPUT!$C$3:$C$5000,INPUT!$F$3:$F$5000),2,FALSE),"")</f>
        <v>0</v>
      </c>
      <c r="H4090" cm="1">
        <f t="array" ref="H4090">IFERROR(VLOOKUP(INPUT!M4085&amp;INPUT!N4085,CHOOSE({1,2},INPUT!$A$3:$A$5000&amp;INPUT!$C$3:$C$5000,INPUT!$D$3:$D$5000),2,FALSE),"")</f>
        <v>0</v>
      </c>
      <c r="I4090" s="46" t="str">
        <f>IF(INPUT!P4085="","",INPUT!P4085)</f>
        <v/>
      </c>
      <c r="J4090" s="46" t="str">
        <f>IF(INPUT!Q4085="","",INPUT!Q4085)</f>
        <v/>
      </c>
      <c r="K4090" s="46" t="str">
        <f>IFERROR(IF(OR(INPUT!P4085="",INPUT!Q4085=""),"",INPUT!P4085-INPUT!Q4085),"")</f>
        <v/>
      </c>
      <c r="L4090" s="48" t="str">
        <f>IFERROR(IF(OR(INPUT!P4085="",INPUT!Q4085="",INPUT!P4085=0),"",(INPUT!P4085-INPUT!Q4085)/INPUT!P4085),"")</f>
        <v/>
      </c>
    </row>
    <row r="4091" spans="1:12" ht="18" hidden="1" customHeight="1" x14ac:dyDescent="0.2">
      <c r="A4091" s="11" t="str">
        <f>IF(INPUT!M4086="","",INPUT!M4086)</f>
        <v/>
      </c>
      <c r="B4091" s="11" t="str">
        <f>IF(INPUT!M4086="","",INPUT!M4086-WEEKDAY(INPUT!M4086,2)+1)</f>
        <v/>
      </c>
      <c r="C4091" s="20">
        <f>IFERROR(_xlfn.ISOWEEKNUM(INPUT!M4086),"")</f>
        <v>52</v>
      </c>
      <c r="D4091" s="20">
        <f>IFERROR(YEAR(INPUT!M4086),"")</f>
        <v>1900</v>
      </c>
      <c r="E4091" t="str">
        <f>IF(INPUT!O4086="","",INPUT!O4086)</f>
        <v/>
      </c>
      <c r="F4091" t="str">
        <f>IF(INPUT!N4086="","",INPUT!N4086)</f>
        <v/>
      </c>
      <c r="G4091" cm="1">
        <f t="array" ref="G4091">IFERROR(VLOOKUP(INPUT!M4086&amp;INPUT!N4086,CHOOSE({1,2},INPUT!$A$3:$A$5000&amp;INPUT!$C$3:$C$5000,INPUT!$F$3:$F$5000),2,FALSE),"")</f>
        <v>0</v>
      </c>
      <c r="H4091" cm="1">
        <f t="array" ref="H4091">IFERROR(VLOOKUP(INPUT!M4086&amp;INPUT!N4086,CHOOSE({1,2},INPUT!$A$3:$A$5000&amp;INPUT!$C$3:$C$5000,INPUT!$D$3:$D$5000),2,FALSE),"")</f>
        <v>0</v>
      </c>
      <c r="I4091" s="46" t="str">
        <f>IF(INPUT!P4086="","",INPUT!P4086)</f>
        <v/>
      </c>
      <c r="J4091" s="46" t="str">
        <f>IF(INPUT!Q4086="","",INPUT!Q4086)</f>
        <v/>
      </c>
      <c r="K4091" s="46" t="str">
        <f>IFERROR(IF(OR(INPUT!P4086="",INPUT!Q4086=""),"",INPUT!P4086-INPUT!Q4086),"")</f>
        <v/>
      </c>
      <c r="L4091" s="48" t="str">
        <f>IFERROR(IF(OR(INPUT!P4086="",INPUT!Q4086="",INPUT!P4086=0),"",(INPUT!P4086-INPUT!Q4086)/INPUT!P4086),"")</f>
        <v/>
      </c>
    </row>
    <row r="4092" spans="1:12" ht="18" hidden="1" customHeight="1" x14ac:dyDescent="0.2">
      <c r="A4092" s="11" t="str">
        <f>IF(INPUT!M4087="","",INPUT!M4087)</f>
        <v/>
      </c>
      <c r="B4092" s="11" t="str">
        <f>IF(INPUT!M4087="","",INPUT!M4087-WEEKDAY(INPUT!M4087,2)+1)</f>
        <v/>
      </c>
      <c r="C4092" s="20">
        <f>IFERROR(_xlfn.ISOWEEKNUM(INPUT!M4087),"")</f>
        <v>52</v>
      </c>
      <c r="D4092" s="20">
        <f>IFERROR(YEAR(INPUT!M4087),"")</f>
        <v>1900</v>
      </c>
      <c r="E4092" t="str">
        <f>IF(INPUT!O4087="","",INPUT!O4087)</f>
        <v/>
      </c>
      <c r="F4092" t="str">
        <f>IF(INPUT!N4087="","",INPUT!N4087)</f>
        <v/>
      </c>
      <c r="G4092" cm="1">
        <f t="array" ref="G4092">IFERROR(VLOOKUP(INPUT!M4087&amp;INPUT!N4087,CHOOSE({1,2},INPUT!$A$3:$A$5000&amp;INPUT!$C$3:$C$5000,INPUT!$F$3:$F$5000),2,FALSE),"")</f>
        <v>0</v>
      </c>
      <c r="H4092" cm="1">
        <f t="array" ref="H4092">IFERROR(VLOOKUP(INPUT!M4087&amp;INPUT!N4087,CHOOSE({1,2},INPUT!$A$3:$A$5000&amp;INPUT!$C$3:$C$5000,INPUT!$D$3:$D$5000),2,FALSE),"")</f>
        <v>0</v>
      </c>
      <c r="I4092" s="46" t="str">
        <f>IF(INPUT!P4087="","",INPUT!P4087)</f>
        <v/>
      </c>
      <c r="J4092" s="46" t="str">
        <f>IF(INPUT!Q4087="","",INPUT!Q4087)</f>
        <v/>
      </c>
      <c r="K4092" s="46" t="str">
        <f>IFERROR(IF(OR(INPUT!P4087="",INPUT!Q4087=""),"",INPUT!P4087-INPUT!Q4087),"")</f>
        <v/>
      </c>
      <c r="L4092" s="48" t="str">
        <f>IFERROR(IF(OR(INPUT!P4087="",INPUT!Q4087="",INPUT!P4087=0),"",(INPUT!P4087-INPUT!Q4087)/INPUT!P4087),"")</f>
        <v/>
      </c>
    </row>
    <row r="4093" spans="1:12" ht="18" hidden="1" customHeight="1" x14ac:dyDescent="0.2">
      <c r="A4093" s="11" t="str">
        <f>IF(INPUT!M4088="","",INPUT!M4088)</f>
        <v/>
      </c>
      <c r="B4093" s="11" t="str">
        <f>IF(INPUT!M4088="","",INPUT!M4088-WEEKDAY(INPUT!M4088,2)+1)</f>
        <v/>
      </c>
      <c r="C4093" s="20">
        <f>IFERROR(_xlfn.ISOWEEKNUM(INPUT!M4088),"")</f>
        <v>52</v>
      </c>
      <c r="D4093" s="20">
        <f>IFERROR(YEAR(INPUT!M4088),"")</f>
        <v>1900</v>
      </c>
      <c r="E4093" t="str">
        <f>IF(INPUT!O4088="","",INPUT!O4088)</f>
        <v/>
      </c>
      <c r="F4093" t="str">
        <f>IF(INPUT!N4088="","",INPUT!N4088)</f>
        <v/>
      </c>
      <c r="G4093" cm="1">
        <f t="array" ref="G4093">IFERROR(VLOOKUP(INPUT!M4088&amp;INPUT!N4088,CHOOSE({1,2},INPUT!$A$3:$A$5000&amp;INPUT!$C$3:$C$5000,INPUT!$F$3:$F$5000),2,FALSE),"")</f>
        <v>0</v>
      </c>
      <c r="H4093" cm="1">
        <f t="array" ref="H4093">IFERROR(VLOOKUP(INPUT!M4088&amp;INPUT!N4088,CHOOSE({1,2},INPUT!$A$3:$A$5000&amp;INPUT!$C$3:$C$5000,INPUT!$D$3:$D$5000),2,FALSE),"")</f>
        <v>0</v>
      </c>
      <c r="I4093" s="46" t="str">
        <f>IF(INPUT!P4088="","",INPUT!P4088)</f>
        <v/>
      </c>
      <c r="J4093" s="46" t="str">
        <f>IF(INPUT!Q4088="","",INPUT!Q4088)</f>
        <v/>
      </c>
      <c r="K4093" s="46" t="str">
        <f>IFERROR(IF(OR(INPUT!P4088="",INPUT!Q4088=""),"",INPUT!P4088-INPUT!Q4088),"")</f>
        <v/>
      </c>
      <c r="L4093" s="48" t="str">
        <f>IFERROR(IF(OR(INPUT!P4088="",INPUT!Q4088="",INPUT!P4088=0),"",(INPUT!P4088-INPUT!Q4088)/INPUT!P4088),"")</f>
        <v/>
      </c>
    </row>
    <row r="4094" spans="1:12" ht="18" hidden="1" customHeight="1" x14ac:dyDescent="0.2">
      <c r="A4094" s="11" t="str">
        <f>IF(INPUT!M4089="","",INPUT!M4089)</f>
        <v/>
      </c>
      <c r="B4094" s="11" t="str">
        <f>IF(INPUT!M4089="","",INPUT!M4089-WEEKDAY(INPUT!M4089,2)+1)</f>
        <v/>
      </c>
      <c r="C4094" s="20">
        <f>IFERROR(_xlfn.ISOWEEKNUM(INPUT!M4089),"")</f>
        <v>52</v>
      </c>
      <c r="D4094" s="20">
        <f>IFERROR(YEAR(INPUT!M4089),"")</f>
        <v>1900</v>
      </c>
      <c r="E4094" t="str">
        <f>IF(INPUT!O4089="","",INPUT!O4089)</f>
        <v/>
      </c>
      <c r="F4094" t="str">
        <f>IF(INPUT!N4089="","",INPUT!N4089)</f>
        <v/>
      </c>
      <c r="G4094" cm="1">
        <f t="array" ref="G4094">IFERROR(VLOOKUP(INPUT!M4089&amp;INPUT!N4089,CHOOSE({1,2},INPUT!$A$3:$A$5000&amp;INPUT!$C$3:$C$5000,INPUT!$F$3:$F$5000),2,FALSE),"")</f>
        <v>0</v>
      </c>
      <c r="H4094" cm="1">
        <f t="array" ref="H4094">IFERROR(VLOOKUP(INPUT!M4089&amp;INPUT!N4089,CHOOSE({1,2},INPUT!$A$3:$A$5000&amp;INPUT!$C$3:$C$5000,INPUT!$D$3:$D$5000),2,FALSE),"")</f>
        <v>0</v>
      </c>
      <c r="I4094" s="46" t="str">
        <f>IF(INPUT!P4089="","",INPUT!P4089)</f>
        <v/>
      </c>
      <c r="J4094" s="46" t="str">
        <f>IF(INPUT!Q4089="","",INPUT!Q4089)</f>
        <v/>
      </c>
      <c r="K4094" s="46" t="str">
        <f>IFERROR(IF(OR(INPUT!P4089="",INPUT!Q4089=""),"",INPUT!P4089-INPUT!Q4089),"")</f>
        <v/>
      </c>
      <c r="L4094" s="48" t="str">
        <f>IFERROR(IF(OR(INPUT!P4089="",INPUT!Q4089="",INPUT!P4089=0),"",(INPUT!P4089-INPUT!Q4089)/INPUT!P4089),"")</f>
        <v/>
      </c>
    </row>
    <row r="4095" spans="1:12" ht="18" hidden="1" customHeight="1" x14ac:dyDescent="0.2">
      <c r="A4095" s="11" t="str">
        <f>IF(INPUT!M4090="","",INPUT!M4090)</f>
        <v/>
      </c>
      <c r="B4095" s="11" t="str">
        <f>IF(INPUT!M4090="","",INPUT!M4090-WEEKDAY(INPUT!M4090,2)+1)</f>
        <v/>
      </c>
      <c r="C4095" s="20">
        <f>IFERROR(_xlfn.ISOWEEKNUM(INPUT!M4090),"")</f>
        <v>52</v>
      </c>
      <c r="D4095" s="20">
        <f>IFERROR(YEAR(INPUT!M4090),"")</f>
        <v>1900</v>
      </c>
      <c r="E4095" t="str">
        <f>IF(INPUT!O4090="","",INPUT!O4090)</f>
        <v/>
      </c>
      <c r="F4095" t="str">
        <f>IF(INPUT!N4090="","",INPUT!N4090)</f>
        <v/>
      </c>
      <c r="G4095" cm="1">
        <f t="array" ref="G4095">IFERROR(VLOOKUP(INPUT!M4090&amp;INPUT!N4090,CHOOSE({1,2},INPUT!$A$3:$A$5000&amp;INPUT!$C$3:$C$5000,INPUT!$F$3:$F$5000),2,FALSE),"")</f>
        <v>0</v>
      </c>
      <c r="H4095" cm="1">
        <f t="array" ref="H4095">IFERROR(VLOOKUP(INPUT!M4090&amp;INPUT!N4090,CHOOSE({1,2},INPUT!$A$3:$A$5000&amp;INPUT!$C$3:$C$5000,INPUT!$D$3:$D$5000),2,FALSE),"")</f>
        <v>0</v>
      </c>
      <c r="I4095" s="46" t="str">
        <f>IF(INPUT!P4090="","",INPUT!P4090)</f>
        <v/>
      </c>
      <c r="J4095" s="46" t="str">
        <f>IF(INPUT!Q4090="","",INPUT!Q4090)</f>
        <v/>
      </c>
      <c r="K4095" s="46" t="str">
        <f>IFERROR(IF(OR(INPUT!P4090="",INPUT!Q4090=""),"",INPUT!P4090-INPUT!Q4090),"")</f>
        <v/>
      </c>
      <c r="L4095" s="48" t="str">
        <f>IFERROR(IF(OR(INPUT!P4090="",INPUT!Q4090="",INPUT!P4090=0),"",(INPUT!P4090-INPUT!Q4090)/INPUT!P4090),"")</f>
        <v/>
      </c>
    </row>
    <row r="4096" spans="1:12" ht="18" hidden="1" customHeight="1" x14ac:dyDescent="0.2">
      <c r="A4096" s="11" t="str">
        <f>IF(INPUT!M4091="","",INPUT!M4091)</f>
        <v/>
      </c>
      <c r="B4096" s="11" t="str">
        <f>IF(INPUT!M4091="","",INPUT!M4091-WEEKDAY(INPUT!M4091,2)+1)</f>
        <v/>
      </c>
      <c r="C4096" s="20">
        <f>IFERROR(_xlfn.ISOWEEKNUM(INPUT!M4091),"")</f>
        <v>52</v>
      </c>
      <c r="D4096" s="20">
        <f>IFERROR(YEAR(INPUT!M4091),"")</f>
        <v>1900</v>
      </c>
      <c r="E4096" t="str">
        <f>IF(INPUT!O4091="","",INPUT!O4091)</f>
        <v/>
      </c>
      <c r="F4096" t="str">
        <f>IF(INPUT!N4091="","",INPUT!N4091)</f>
        <v/>
      </c>
      <c r="G4096" cm="1">
        <f t="array" ref="G4096">IFERROR(VLOOKUP(INPUT!M4091&amp;INPUT!N4091,CHOOSE({1,2},INPUT!$A$3:$A$5000&amp;INPUT!$C$3:$C$5000,INPUT!$F$3:$F$5000),2,FALSE),"")</f>
        <v>0</v>
      </c>
      <c r="H4096" cm="1">
        <f t="array" ref="H4096">IFERROR(VLOOKUP(INPUT!M4091&amp;INPUT!N4091,CHOOSE({1,2},INPUT!$A$3:$A$5000&amp;INPUT!$C$3:$C$5000,INPUT!$D$3:$D$5000),2,FALSE),"")</f>
        <v>0</v>
      </c>
      <c r="I4096" s="46" t="str">
        <f>IF(INPUT!P4091="","",INPUT!P4091)</f>
        <v/>
      </c>
      <c r="J4096" s="46" t="str">
        <f>IF(INPUT!Q4091="","",INPUT!Q4091)</f>
        <v/>
      </c>
      <c r="K4096" s="46" t="str">
        <f>IFERROR(IF(OR(INPUT!P4091="",INPUT!Q4091=""),"",INPUT!P4091-INPUT!Q4091),"")</f>
        <v/>
      </c>
      <c r="L4096" s="48" t="str">
        <f>IFERROR(IF(OR(INPUT!P4091="",INPUT!Q4091="",INPUT!P4091=0),"",(INPUT!P4091-INPUT!Q4091)/INPUT!P4091),"")</f>
        <v/>
      </c>
    </row>
    <row r="4097" spans="1:12" ht="18" hidden="1" customHeight="1" x14ac:dyDescent="0.2">
      <c r="A4097" s="11" t="str">
        <f>IF(INPUT!M4092="","",INPUT!M4092)</f>
        <v/>
      </c>
      <c r="B4097" s="11" t="str">
        <f>IF(INPUT!M4092="","",INPUT!M4092-WEEKDAY(INPUT!M4092,2)+1)</f>
        <v/>
      </c>
      <c r="C4097" s="20">
        <f>IFERROR(_xlfn.ISOWEEKNUM(INPUT!M4092),"")</f>
        <v>52</v>
      </c>
      <c r="D4097" s="20">
        <f>IFERROR(YEAR(INPUT!M4092),"")</f>
        <v>1900</v>
      </c>
      <c r="E4097" t="str">
        <f>IF(INPUT!O4092="","",INPUT!O4092)</f>
        <v/>
      </c>
      <c r="F4097" t="str">
        <f>IF(INPUT!N4092="","",INPUT!N4092)</f>
        <v/>
      </c>
      <c r="G4097" cm="1">
        <f t="array" ref="G4097">IFERROR(VLOOKUP(INPUT!M4092&amp;INPUT!N4092,CHOOSE({1,2},INPUT!$A$3:$A$5000&amp;INPUT!$C$3:$C$5000,INPUT!$F$3:$F$5000),2,FALSE),"")</f>
        <v>0</v>
      </c>
      <c r="H4097" cm="1">
        <f t="array" ref="H4097">IFERROR(VLOOKUP(INPUT!M4092&amp;INPUT!N4092,CHOOSE({1,2},INPUT!$A$3:$A$5000&amp;INPUT!$C$3:$C$5000,INPUT!$D$3:$D$5000),2,FALSE),"")</f>
        <v>0</v>
      </c>
      <c r="I4097" s="46" t="str">
        <f>IF(INPUT!P4092="","",INPUT!P4092)</f>
        <v/>
      </c>
      <c r="J4097" s="46" t="str">
        <f>IF(INPUT!Q4092="","",INPUT!Q4092)</f>
        <v/>
      </c>
      <c r="K4097" s="46" t="str">
        <f>IFERROR(IF(OR(INPUT!P4092="",INPUT!Q4092=""),"",INPUT!P4092-INPUT!Q4092),"")</f>
        <v/>
      </c>
      <c r="L4097" s="48" t="str">
        <f>IFERROR(IF(OR(INPUT!P4092="",INPUT!Q4092="",INPUT!P4092=0),"",(INPUT!P4092-INPUT!Q4092)/INPUT!P4092),"")</f>
        <v/>
      </c>
    </row>
    <row r="4098" spans="1:12" ht="18" hidden="1" customHeight="1" x14ac:dyDescent="0.2">
      <c r="A4098" s="11" t="str">
        <f>IF(INPUT!M4093="","",INPUT!M4093)</f>
        <v/>
      </c>
      <c r="B4098" s="11" t="str">
        <f>IF(INPUT!M4093="","",INPUT!M4093-WEEKDAY(INPUT!M4093,2)+1)</f>
        <v/>
      </c>
      <c r="C4098" s="20">
        <f>IFERROR(_xlfn.ISOWEEKNUM(INPUT!M4093),"")</f>
        <v>52</v>
      </c>
      <c r="D4098" s="20">
        <f>IFERROR(YEAR(INPUT!M4093),"")</f>
        <v>1900</v>
      </c>
      <c r="E4098" t="str">
        <f>IF(INPUT!O4093="","",INPUT!O4093)</f>
        <v/>
      </c>
      <c r="F4098" t="str">
        <f>IF(INPUT!N4093="","",INPUT!N4093)</f>
        <v/>
      </c>
      <c r="G4098" cm="1">
        <f t="array" ref="G4098">IFERROR(VLOOKUP(INPUT!M4093&amp;INPUT!N4093,CHOOSE({1,2},INPUT!$A$3:$A$5000&amp;INPUT!$C$3:$C$5000,INPUT!$F$3:$F$5000),2,FALSE),"")</f>
        <v>0</v>
      </c>
      <c r="H4098" cm="1">
        <f t="array" ref="H4098">IFERROR(VLOOKUP(INPUT!M4093&amp;INPUT!N4093,CHOOSE({1,2},INPUT!$A$3:$A$5000&amp;INPUT!$C$3:$C$5000,INPUT!$D$3:$D$5000),2,FALSE),"")</f>
        <v>0</v>
      </c>
      <c r="I4098" s="46" t="str">
        <f>IF(INPUT!P4093="","",INPUT!P4093)</f>
        <v/>
      </c>
      <c r="J4098" s="46" t="str">
        <f>IF(INPUT!Q4093="","",INPUT!Q4093)</f>
        <v/>
      </c>
      <c r="K4098" s="46" t="str">
        <f>IFERROR(IF(OR(INPUT!P4093="",INPUT!Q4093=""),"",INPUT!P4093-INPUT!Q4093),"")</f>
        <v/>
      </c>
      <c r="L4098" s="48" t="str">
        <f>IFERROR(IF(OR(INPUT!P4093="",INPUT!Q4093="",INPUT!P4093=0),"",(INPUT!P4093-INPUT!Q4093)/INPUT!P4093),"")</f>
        <v/>
      </c>
    </row>
    <row r="4099" spans="1:12" ht="18" hidden="1" customHeight="1" x14ac:dyDescent="0.2">
      <c r="A4099" s="11" t="str">
        <f>IF(INPUT!M4094="","",INPUT!M4094)</f>
        <v/>
      </c>
      <c r="B4099" s="11" t="str">
        <f>IF(INPUT!M4094="","",INPUT!M4094-WEEKDAY(INPUT!M4094,2)+1)</f>
        <v/>
      </c>
      <c r="C4099" s="20">
        <f>IFERROR(_xlfn.ISOWEEKNUM(INPUT!M4094),"")</f>
        <v>52</v>
      </c>
      <c r="D4099" s="20">
        <f>IFERROR(YEAR(INPUT!M4094),"")</f>
        <v>1900</v>
      </c>
      <c r="E4099" t="str">
        <f>IF(INPUT!O4094="","",INPUT!O4094)</f>
        <v/>
      </c>
      <c r="F4099" t="str">
        <f>IF(INPUT!N4094="","",INPUT!N4094)</f>
        <v/>
      </c>
      <c r="G4099" cm="1">
        <f t="array" ref="G4099">IFERROR(VLOOKUP(INPUT!M4094&amp;INPUT!N4094,CHOOSE({1,2},INPUT!$A$3:$A$5000&amp;INPUT!$C$3:$C$5000,INPUT!$F$3:$F$5000),2,FALSE),"")</f>
        <v>0</v>
      </c>
      <c r="H4099" cm="1">
        <f t="array" ref="H4099">IFERROR(VLOOKUP(INPUT!M4094&amp;INPUT!N4094,CHOOSE({1,2},INPUT!$A$3:$A$5000&amp;INPUT!$C$3:$C$5000,INPUT!$D$3:$D$5000),2,FALSE),"")</f>
        <v>0</v>
      </c>
      <c r="I4099" s="46" t="str">
        <f>IF(INPUT!P4094="","",INPUT!P4094)</f>
        <v/>
      </c>
      <c r="J4099" s="46" t="str">
        <f>IF(INPUT!Q4094="","",INPUT!Q4094)</f>
        <v/>
      </c>
      <c r="K4099" s="46" t="str">
        <f>IFERROR(IF(OR(INPUT!P4094="",INPUT!Q4094=""),"",INPUT!P4094-INPUT!Q4094),"")</f>
        <v/>
      </c>
      <c r="L4099" s="48" t="str">
        <f>IFERROR(IF(OR(INPUT!P4094="",INPUT!Q4094="",INPUT!P4094=0),"",(INPUT!P4094-INPUT!Q4094)/INPUT!P4094),"")</f>
        <v/>
      </c>
    </row>
    <row r="4100" spans="1:12" ht="18" hidden="1" customHeight="1" x14ac:dyDescent="0.2">
      <c r="A4100" s="11" t="str">
        <f>IF(INPUT!M4095="","",INPUT!M4095)</f>
        <v/>
      </c>
      <c r="B4100" s="11" t="str">
        <f>IF(INPUT!M4095="","",INPUT!M4095-WEEKDAY(INPUT!M4095,2)+1)</f>
        <v/>
      </c>
      <c r="C4100" s="20">
        <f>IFERROR(_xlfn.ISOWEEKNUM(INPUT!M4095),"")</f>
        <v>52</v>
      </c>
      <c r="D4100" s="20">
        <f>IFERROR(YEAR(INPUT!M4095),"")</f>
        <v>1900</v>
      </c>
      <c r="E4100" t="str">
        <f>IF(INPUT!O4095="","",INPUT!O4095)</f>
        <v/>
      </c>
      <c r="F4100" t="str">
        <f>IF(INPUT!N4095="","",INPUT!N4095)</f>
        <v/>
      </c>
      <c r="G4100" cm="1">
        <f t="array" ref="G4100">IFERROR(VLOOKUP(INPUT!M4095&amp;INPUT!N4095,CHOOSE({1,2},INPUT!$A$3:$A$5000&amp;INPUT!$C$3:$C$5000,INPUT!$F$3:$F$5000),2,FALSE),"")</f>
        <v>0</v>
      </c>
      <c r="H4100" cm="1">
        <f t="array" ref="H4100">IFERROR(VLOOKUP(INPUT!M4095&amp;INPUT!N4095,CHOOSE({1,2},INPUT!$A$3:$A$5000&amp;INPUT!$C$3:$C$5000,INPUT!$D$3:$D$5000),2,FALSE),"")</f>
        <v>0</v>
      </c>
      <c r="I4100" s="46" t="str">
        <f>IF(INPUT!P4095="","",INPUT!P4095)</f>
        <v/>
      </c>
      <c r="J4100" s="46" t="str">
        <f>IF(INPUT!Q4095="","",INPUT!Q4095)</f>
        <v/>
      </c>
      <c r="K4100" s="46" t="str">
        <f>IFERROR(IF(OR(INPUT!P4095="",INPUT!Q4095=""),"",INPUT!P4095-INPUT!Q4095),"")</f>
        <v/>
      </c>
      <c r="L4100" s="48" t="str">
        <f>IFERROR(IF(OR(INPUT!P4095="",INPUT!Q4095="",INPUT!P4095=0),"",(INPUT!P4095-INPUT!Q4095)/INPUT!P4095),"")</f>
        <v/>
      </c>
    </row>
    <row r="4101" spans="1:12" ht="18" hidden="1" customHeight="1" x14ac:dyDescent="0.2">
      <c r="A4101" s="11" t="str">
        <f>IF(INPUT!M4096="","",INPUT!M4096)</f>
        <v/>
      </c>
      <c r="B4101" s="11" t="str">
        <f>IF(INPUT!M4096="","",INPUT!M4096-WEEKDAY(INPUT!M4096,2)+1)</f>
        <v/>
      </c>
      <c r="C4101" s="20">
        <f>IFERROR(_xlfn.ISOWEEKNUM(INPUT!M4096),"")</f>
        <v>52</v>
      </c>
      <c r="D4101" s="20">
        <f>IFERROR(YEAR(INPUT!M4096),"")</f>
        <v>1900</v>
      </c>
      <c r="E4101" t="str">
        <f>IF(INPUT!O4096="","",INPUT!O4096)</f>
        <v/>
      </c>
      <c r="F4101" t="str">
        <f>IF(INPUT!N4096="","",INPUT!N4096)</f>
        <v/>
      </c>
      <c r="G4101" cm="1">
        <f t="array" ref="G4101">IFERROR(VLOOKUP(INPUT!M4096&amp;INPUT!N4096,CHOOSE({1,2},INPUT!$A$3:$A$5000&amp;INPUT!$C$3:$C$5000,INPUT!$F$3:$F$5000),2,FALSE),"")</f>
        <v>0</v>
      </c>
      <c r="H4101" cm="1">
        <f t="array" ref="H4101">IFERROR(VLOOKUP(INPUT!M4096&amp;INPUT!N4096,CHOOSE({1,2},INPUT!$A$3:$A$5000&amp;INPUT!$C$3:$C$5000,INPUT!$D$3:$D$5000),2,FALSE),"")</f>
        <v>0</v>
      </c>
      <c r="I4101" s="46" t="str">
        <f>IF(INPUT!P4096="","",INPUT!P4096)</f>
        <v/>
      </c>
      <c r="J4101" s="46" t="str">
        <f>IF(INPUT!Q4096="","",INPUT!Q4096)</f>
        <v/>
      </c>
      <c r="K4101" s="46" t="str">
        <f>IFERROR(IF(OR(INPUT!P4096="",INPUT!Q4096=""),"",INPUT!P4096-INPUT!Q4096),"")</f>
        <v/>
      </c>
      <c r="L4101" s="48" t="str">
        <f>IFERROR(IF(OR(INPUT!P4096="",INPUT!Q4096="",INPUT!P4096=0),"",(INPUT!P4096-INPUT!Q4096)/INPUT!P4096),"")</f>
        <v/>
      </c>
    </row>
    <row r="4102" spans="1:12" ht="18" hidden="1" customHeight="1" x14ac:dyDescent="0.2">
      <c r="A4102" s="11" t="str">
        <f>IF(INPUT!M4097="","",INPUT!M4097)</f>
        <v/>
      </c>
      <c r="B4102" s="11" t="str">
        <f>IF(INPUT!M4097="","",INPUT!M4097-WEEKDAY(INPUT!M4097,2)+1)</f>
        <v/>
      </c>
      <c r="C4102" s="20">
        <f>IFERROR(_xlfn.ISOWEEKNUM(INPUT!M4097),"")</f>
        <v>52</v>
      </c>
      <c r="D4102" s="20">
        <f>IFERROR(YEAR(INPUT!M4097),"")</f>
        <v>1900</v>
      </c>
      <c r="E4102" t="str">
        <f>IF(INPUT!O4097="","",INPUT!O4097)</f>
        <v/>
      </c>
      <c r="F4102" t="str">
        <f>IF(INPUT!N4097="","",INPUT!N4097)</f>
        <v/>
      </c>
      <c r="G4102" cm="1">
        <f t="array" ref="G4102">IFERROR(VLOOKUP(INPUT!M4097&amp;INPUT!N4097,CHOOSE({1,2},INPUT!$A$3:$A$5000&amp;INPUT!$C$3:$C$5000,INPUT!$F$3:$F$5000),2,FALSE),"")</f>
        <v>0</v>
      </c>
      <c r="H4102" cm="1">
        <f t="array" ref="H4102">IFERROR(VLOOKUP(INPUT!M4097&amp;INPUT!N4097,CHOOSE({1,2},INPUT!$A$3:$A$5000&amp;INPUT!$C$3:$C$5000,INPUT!$D$3:$D$5000),2,FALSE),"")</f>
        <v>0</v>
      </c>
      <c r="I4102" s="46" t="str">
        <f>IF(INPUT!P4097="","",INPUT!P4097)</f>
        <v/>
      </c>
      <c r="J4102" s="46" t="str">
        <f>IF(INPUT!Q4097="","",INPUT!Q4097)</f>
        <v/>
      </c>
      <c r="K4102" s="46" t="str">
        <f>IFERROR(IF(OR(INPUT!P4097="",INPUT!Q4097=""),"",INPUT!P4097-INPUT!Q4097),"")</f>
        <v/>
      </c>
      <c r="L4102" s="48" t="str">
        <f>IFERROR(IF(OR(INPUT!P4097="",INPUT!Q4097="",INPUT!P4097=0),"",(INPUT!P4097-INPUT!Q4097)/INPUT!P4097),"")</f>
        <v/>
      </c>
    </row>
    <row r="4103" spans="1:12" ht="18" hidden="1" customHeight="1" x14ac:dyDescent="0.2">
      <c r="A4103" s="11" t="str">
        <f>IF(INPUT!M4098="","",INPUT!M4098)</f>
        <v/>
      </c>
      <c r="B4103" s="11" t="str">
        <f>IF(INPUT!M4098="","",INPUT!M4098-WEEKDAY(INPUT!M4098,2)+1)</f>
        <v/>
      </c>
      <c r="C4103" s="20">
        <f>IFERROR(_xlfn.ISOWEEKNUM(INPUT!M4098),"")</f>
        <v>52</v>
      </c>
      <c r="D4103" s="20">
        <f>IFERROR(YEAR(INPUT!M4098),"")</f>
        <v>1900</v>
      </c>
      <c r="E4103" t="str">
        <f>IF(INPUT!O4098="","",INPUT!O4098)</f>
        <v/>
      </c>
      <c r="F4103" t="str">
        <f>IF(INPUT!N4098="","",INPUT!N4098)</f>
        <v/>
      </c>
      <c r="G4103" cm="1">
        <f t="array" ref="G4103">IFERROR(VLOOKUP(INPUT!M4098&amp;INPUT!N4098,CHOOSE({1,2},INPUT!$A$3:$A$5000&amp;INPUT!$C$3:$C$5000,INPUT!$F$3:$F$5000),2,FALSE),"")</f>
        <v>0</v>
      </c>
      <c r="H4103" cm="1">
        <f t="array" ref="H4103">IFERROR(VLOOKUP(INPUT!M4098&amp;INPUT!N4098,CHOOSE({1,2},INPUT!$A$3:$A$5000&amp;INPUT!$C$3:$C$5000,INPUT!$D$3:$D$5000),2,FALSE),"")</f>
        <v>0</v>
      </c>
      <c r="I4103" s="46" t="str">
        <f>IF(INPUT!P4098="","",INPUT!P4098)</f>
        <v/>
      </c>
      <c r="J4103" s="46" t="str">
        <f>IF(INPUT!Q4098="","",INPUT!Q4098)</f>
        <v/>
      </c>
      <c r="K4103" s="46" t="str">
        <f>IFERROR(IF(OR(INPUT!P4098="",INPUT!Q4098=""),"",INPUT!P4098-INPUT!Q4098),"")</f>
        <v/>
      </c>
      <c r="L4103" s="48" t="str">
        <f>IFERROR(IF(OR(INPUT!P4098="",INPUT!Q4098="",INPUT!P4098=0),"",(INPUT!P4098-INPUT!Q4098)/INPUT!P4098),"")</f>
        <v/>
      </c>
    </row>
    <row r="4104" spans="1:12" ht="18" hidden="1" customHeight="1" x14ac:dyDescent="0.2">
      <c r="A4104" s="11" t="str">
        <f>IF(INPUT!M4099="","",INPUT!M4099)</f>
        <v/>
      </c>
      <c r="B4104" s="11" t="str">
        <f>IF(INPUT!M4099="","",INPUT!M4099-WEEKDAY(INPUT!M4099,2)+1)</f>
        <v/>
      </c>
      <c r="C4104" s="20">
        <f>IFERROR(_xlfn.ISOWEEKNUM(INPUT!M4099),"")</f>
        <v>52</v>
      </c>
      <c r="D4104" s="20">
        <f>IFERROR(YEAR(INPUT!M4099),"")</f>
        <v>1900</v>
      </c>
      <c r="E4104" t="str">
        <f>IF(INPUT!O4099="","",INPUT!O4099)</f>
        <v/>
      </c>
      <c r="F4104" t="str">
        <f>IF(INPUT!N4099="","",INPUT!N4099)</f>
        <v/>
      </c>
      <c r="G4104" cm="1">
        <f t="array" ref="G4104">IFERROR(VLOOKUP(INPUT!M4099&amp;INPUT!N4099,CHOOSE({1,2},INPUT!$A$3:$A$5000&amp;INPUT!$C$3:$C$5000,INPUT!$F$3:$F$5000),2,FALSE),"")</f>
        <v>0</v>
      </c>
      <c r="H4104" cm="1">
        <f t="array" ref="H4104">IFERROR(VLOOKUP(INPUT!M4099&amp;INPUT!N4099,CHOOSE({1,2},INPUT!$A$3:$A$5000&amp;INPUT!$C$3:$C$5000,INPUT!$D$3:$D$5000),2,FALSE),"")</f>
        <v>0</v>
      </c>
      <c r="I4104" s="46" t="str">
        <f>IF(INPUT!P4099="","",INPUT!P4099)</f>
        <v/>
      </c>
      <c r="J4104" s="46" t="str">
        <f>IF(INPUT!Q4099="","",INPUT!Q4099)</f>
        <v/>
      </c>
      <c r="K4104" s="46" t="str">
        <f>IFERROR(IF(OR(INPUT!P4099="",INPUT!Q4099=""),"",INPUT!P4099-INPUT!Q4099),"")</f>
        <v/>
      </c>
      <c r="L4104" s="48" t="str">
        <f>IFERROR(IF(OR(INPUT!P4099="",INPUT!Q4099="",INPUT!P4099=0),"",(INPUT!P4099-INPUT!Q4099)/INPUT!P4099),"")</f>
        <v/>
      </c>
    </row>
    <row r="4105" spans="1:12" ht="18" hidden="1" customHeight="1" x14ac:dyDescent="0.2">
      <c r="A4105" s="11" t="str">
        <f>IF(INPUT!M4100="","",INPUT!M4100)</f>
        <v/>
      </c>
      <c r="B4105" s="11" t="str">
        <f>IF(INPUT!M4100="","",INPUT!M4100-WEEKDAY(INPUT!M4100,2)+1)</f>
        <v/>
      </c>
      <c r="C4105" s="20">
        <f>IFERROR(_xlfn.ISOWEEKNUM(INPUT!M4100),"")</f>
        <v>52</v>
      </c>
      <c r="D4105" s="20">
        <f>IFERROR(YEAR(INPUT!M4100),"")</f>
        <v>1900</v>
      </c>
      <c r="E4105" t="str">
        <f>IF(INPUT!O4100="","",INPUT!O4100)</f>
        <v/>
      </c>
      <c r="F4105" t="str">
        <f>IF(INPUT!N4100="","",INPUT!N4100)</f>
        <v/>
      </c>
      <c r="G4105" cm="1">
        <f t="array" ref="G4105">IFERROR(VLOOKUP(INPUT!M4100&amp;INPUT!N4100,CHOOSE({1,2},INPUT!$A$3:$A$5000&amp;INPUT!$C$3:$C$5000,INPUT!$F$3:$F$5000),2,FALSE),"")</f>
        <v>0</v>
      </c>
      <c r="H4105" cm="1">
        <f t="array" ref="H4105">IFERROR(VLOOKUP(INPUT!M4100&amp;INPUT!N4100,CHOOSE({1,2},INPUT!$A$3:$A$5000&amp;INPUT!$C$3:$C$5000,INPUT!$D$3:$D$5000),2,FALSE),"")</f>
        <v>0</v>
      </c>
      <c r="I4105" s="46" t="str">
        <f>IF(INPUT!P4100="","",INPUT!P4100)</f>
        <v/>
      </c>
      <c r="J4105" s="46" t="str">
        <f>IF(INPUT!Q4100="","",INPUT!Q4100)</f>
        <v/>
      </c>
      <c r="K4105" s="46" t="str">
        <f>IFERROR(IF(OR(INPUT!P4100="",INPUT!Q4100=""),"",INPUT!P4100-INPUT!Q4100),"")</f>
        <v/>
      </c>
      <c r="L4105" s="48" t="str">
        <f>IFERROR(IF(OR(INPUT!P4100="",INPUT!Q4100="",INPUT!P4100=0),"",(INPUT!P4100-INPUT!Q4100)/INPUT!P4100),"")</f>
        <v/>
      </c>
    </row>
    <row r="4106" spans="1:12" ht="18" hidden="1" customHeight="1" x14ac:dyDescent="0.2">
      <c r="A4106" s="11" t="str">
        <f>IF(INPUT!M4101="","",INPUT!M4101)</f>
        <v/>
      </c>
      <c r="B4106" s="11" t="str">
        <f>IF(INPUT!M4101="","",INPUT!M4101-WEEKDAY(INPUT!M4101,2)+1)</f>
        <v/>
      </c>
      <c r="C4106" s="20">
        <f>IFERROR(_xlfn.ISOWEEKNUM(INPUT!M4101),"")</f>
        <v>52</v>
      </c>
      <c r="D4106" s="20">
        <f>IFERROR(YEAR(INPUT!M4101),"")</f>
        <v>1900</v>
      </c>
      <c r="E4106" t="str">
        <f>IF(INPUT!O4101="","",INPUT!O4101)</f>
        <v/>
      </c>
      <c r="F4106" t="str">
        <f>IF(INPUT!N4101="","",INPUT!N4101)</f>
        <v/>
      </c>
      <c r="G4106" cm="1">
        <f t="array" ref="G4106">IFERROR(VLOOKUP(INPUT!M4101&amp;INPUT!N4101,CHOOSE({1,2},INPUT!$A$3:$A$5000&amp;INPUT!$C$3:$C$5000,INPUT!$F$3:$F$5000),2,FALSE),"")</f>
        <v>0</v>
      </c>
      <c r="H4106" cm="1">
        <f t="array" ref="H4106">IFERROR(VLOOKUP(INPUT!M4101&amp;INPUT!N4101,CHOOSE({1,2},INPUT!$A$3:$A$5000&amp;INPUT!$C$3:$C$5000,INPUT!$D$3:$D$5000),2,FALSE),"")</f>
        <v>0</v>
      </c>
      <c r="I4106" s="46" t="str">
        <f>IF(INPUT!P4101="","",INPUT!P4101)</f>
        <v/>
      </c>
      <c r="J4106" s="46" t="str">
        <f>IF(INPUT!Q4101="","",INPUT!Q4101)</f>
        <v/>
      </c>
      <c r="K4106" s="46" t="str">
        <f>IFERROR(IF(OR(INPUT!P4101="",INPUT!Q4101=""),"",INPUT!P4101-INPUT!Q4101),"")</f>
        <v/>
      </c>
      <c r="L4106" s="48" t="str">
        <f>IFERROR(IF(OR(INPUT!P4101="",INPUT!Q4101="",INPUT!P4101=0),"",(INPUT!P4101-INPUT!Q4101)/INPUT!P4101),"")</f>
        <v/>
      </c>
    </row>
    <row r="4107" spans="1:12" ht="18" hidden="1" customHeight="1" x14ac:dyDescent="0.2">
      <c r="A4107" s="11" t="str">
        <f>IF(INPUT!M4102="","",INPUT!M4102)</f>
        <v/>
      </c>
      <c r="B4107" s="11" t="str">
        <f>IF(INPUT!M4102="","",INPUT!M4102-WEEKDAY(INPUT!M4102,2)+1)</f>
        <v/>
      </c>
      <c r="C4107" s="20">
        <f>IFERROR(_xlfn.ISOWEEKNUM(INPUT!M4102),"")</f>
        <v>52</v>
      </c>
      <c r="D4107" s="20">
        <f>IFERROR(YEAR(INPUT!M4102),"")</f>
        <v>1900</v>
      </c>
      <c r="E4107" t="str">
        <f>IF(INPUT!O4102="","",INPUT!O4102)</f>
        <v/>
      </c>
      <c r="F4107" t="str">
        <f>IF(INPUT!N4102="","",INPUT!N4102)</f>
        <v/>
      </c>
      <c r="G4107" cm="1">
        <f t="array" ref="G4107">IFERROR(VLOOKUP(INPUT!M4102&amp;INPUT!N4102,CHOOSE({1,2},INPUT!$A$3:$A$5000&amp;INPUT!$C$3:$C$5000,INPUT!$F$3:$F$5000),2,FALSE),"")</f>
        <v>0</v>
      </c>
      <c r="H4107" cm="1">
        <f t="array" ref="H4107">IFERROR(VLOOKUP(INPUT!M4102&amp;INPUT!N4102,CHOOSE({1,2},INPUT!$A$3:$A$5000&amp;INPUT!$C$3:$C$5000,INPUT!$D$3:$D$5000),2,FALSE),"")</f>
        <v>0</v>
      </c>
      <c r="I4107" s="46" t="str">
        <f>IF(INPUT!P4102="","",INPUT!P4102)</f>
        <v/>
      </c>
      <c r="J4107" s="46" t="str">
        <f>IF(INPUT!Q4102="","",INPUT!Q4102)</f>
        <v/>
      </c>
      <c r="K4107" s="46" t="str">
        <f>IFERROR(IF(OR(INPUT!P4102="",INPUT!Q4102=""),"",INPUT!P4102-INPUT!Q4102),"")</f>
        <v/>
      </c>
      <c r="L4107" s="48" t="str">
        <f>IFERROR(IF(OR(INPUT!P4102="",INPUT!Q4102="",INPUT!P4102=0),"",(INPUT!P4102-INPUT!Q4102)/INPUT!P4102),"")</f>
        <v/>
      </c>
    </row>
    <row r="4108" spans="1:12" ht="18" hidden="1" customHeight="1" x14ac:dyDescent="0.2">
      <c r="A4108" s="11" t="str">
        <f>IF(INPUT!M4103="","",INPUT!M4103)</f>
        <v/>
      </c>
      <c r="B4108" s="11" t="str">
        <f>IF(INPUT!M4103="","",INPUT!M4103-WEEKDAY(INPUT!M4103,2)+1)</f>
        <v/>
      </c>
      <c r="C4108" s="20">
        <f>IFERROR(_xlfn.ISOWEEKNUM(INPUT!M4103),"")</f>
        <v>52</v>
      </c>
      <c r="D4108" s="20">
        <f>IFERROR(YEAR(INPUT!M4103),"")</f>
        <v>1900</v>
      </c>
      <c r="E4108" t="str">
        <f>IF(INPUT!O4103="","",INPUT!O4103)</f>
        <v/>
      </c>
      <c r="F4108" t="str">
        <f>IF(INPUT!N4103="","",INPUT!N4103)</f>
        <v/>
      </c>
      <c r="G4108" cm="1">
        <f t="array" ref="G4108">IFERROR(VLOOKUP(INPUT!M4103&amp;INPUT!N4103,CHOOSE({1,2},INPUT!$A$3:$A$5000&amp;INPUT!$C$3:$C$5000,INPUT!$F$3:$F$5000),2,FALSE),"")</f>
        <v>0</v>
      </c>
      <c r="H4108" cm="1">
        <f t="array" ref="H4108">IFERROR(VLOOKUP(INPUT!M4103&amp;INPUT!N4103,CHOOSE({1,2},INPUT!$A$3:$A$5000&amp;INPUT!$C$3:$C$5000,INPUT!$D$3:$D$5000),2,FALSE),"")</f>
        <v>0</v>
      </c>
      <c r="I4108" s="46" t="str">
        <f>IF(INPUT!P4103="","",INPUT!P4103)</f>
        <v/>
      </c>
      <c r="J4108" s="46" t="str">
        <f>IF(INPUT!Q4103="","",INPUT!Q4103)</f>
        <v/>
      </c>
      <c r="K4108" s="46" t="str">
        <f>IFERROR(IF(OR(INPUT!P4103="",INPUT!Q4103=""),"",INPUT!P4103-INPUT!Q4103),"")</f>
        <v/>
      </c>
      <c r="L4108" s="48" t="str">
        <f>IFERROR(IF(OR(INPUT!P4103="",INPUT!Q4103="",INPUT!P4103=0),"",(INPUT!P4103-INPUT!Q4103)/INPUT!P4103),"")</f>
        <v/>
      </c>
    </row>
    <row r="4109" spans="1:12" ht="18" hidden="1" customHeight="1" x14ac:dyDescent="0.2">
      <c r="A4109" s="11" t="str">
        <f>IF(INPUT!M4104="","",INPUT!M4104)</f>
        <v/>
      </c>
      <c r="B4109" s="11" t="str">
        <f>IF(INPUT!M4104="","",INPUT!M4104-WEEKDAY(INPUT!M4104,2)+1)</f>
        <v/>
      </c>
      <c r="C4109" s="20">
        <f>IFERROR(_xlfn.ISOWEEKNUM(INPUT!M4104),"")</f>
        <v>52</v>
      </c>
      <c r="D4109" s="20">
        <f>IFERROR(YEAR(INPUT!M4104),"")</f>
        <v>1900</v>
      </c>
      <c r="E4109" t="str">
        <f>IF(INPUT!O4104="","",INPUT!O4104)</f>
        <v/>
      </c>
      <c r="F4109" t="str">
        <f>IF(INPUT!N4104="","",INPUT!N4104)</f>
        <v/>
      </c>
      <c r="G4109" cm="1">
        <f t="array" ref="G4109">IFERROR(VLOOKUP(INPUT!M4104&amp;INPUT!N4104,CHOOSE({1,2},INPUT!$A$3:$A$5000&amp;INPUT!$C$3:$C$5000,INPUT!$F$3:$F$5000),2,FALSE),"")</f>
        <v>0</v>
      </c>
      <c r="H4109" cm="1">
        <f t="array" ref="H4109">IFERROR(VLOOKUP(INPUT!M4104&amp;INPUT!N4104,CHOOSE({1,2},INPUT!$A$3:$A$5000&amp;INPUT!$C$3:$C$5000,INPUT!$D$3:$D$5000),2,FALSE),"")</f>
        <v>0</v>
      </c>
      <c r="I4109" s="46" t="str">
        <f>IF(INPUT!P4104="","",INPUT!P4104)</f>
        <v/>
      </c>
      <c r="J4109" s="46" t="str">
        <f>IF(INPUT!Q4104="","",INPUT!Q4104)</f>
        <v/>
      </c>
      <c r="K4109" s="46" t="str">
        <f>IFERROR(IF(OR(INPUT!P4104="",INPUT!Q4104=""),"",INPUT!P4104-INPUT!Q4104),"")</f>
        <v/>
      </c>
      <c r="L4109" s="48" t="str">
        <f>IFERROR(IF(OR(INPUT!P4104="",INPUT!Q4104="",INPUT!P4104=0),"",(INPUT!P4104-INPUT!Q4104)/INPUT!P4104),"")</f>
        <v/>
      </c>
    </row>
    <row r="4110" spans="1:12" ht="18" hidden="1" customHeight="1" x14ac:dyDescent="0.2">
      <c r="A4110" s="11" t="str">
        <f>IF(INPUT!M4105="","",INPUT!M4105)</f>
        <v/>
      </c>
      <c r="B4110" s="11" t="str">
        <f>IF(INPUT!M4105="","",INPUT!M4105-WEEKDAY(INPUT!M4105,2)+1)</f>
        <v/>
      </c>
      <c r="C4110" s="20">
        <f>IFERROR(_xlfn.ISOWEEKNUM(INPUT!M4105),"")</f>
        <v>52</v>
      </c>
      <c r="D4110" s="20">
        <f>IFERROR(YEAR(INPUT!M4105),"")</f>
        <v>1900</v>
      </c>
      <c r="E4110" t="str">
        <f>IF(INPUT!O4105="","",INPUT!O4105)</f>
        <v/>
      </c>
      <c r="F4110" t="str">
        <f>IF(INPUT!N4105="","",INPUT!N4105)</f>
        <v/>
      </c>
      <c r="G4110" cm="1">
        <f t="array" ref="G4110">IFERROR(VLOOKUP(INPUT!M4105&amp;INPUT!N4105,CHOOSE({1,2},INPUT!$A$3:$A$5000&amp;INPUT!$C$3:$C$5000,INPUT!$F$3:$F$5000),2,FALSE),"")</f>
        <v>0</v>
      </c>
      <c r="H4110" cm="1">
        <f t="array" ref="H4110">IFERROR(VLOOKUP(INPUT!M4105&amp;INPUT!N4105,CHOOSE({1,2},INPUT!$A$3:$A$5000&amp;INPUT!$C$3:$C$5000,INPUT!$D$3:$D$5000),2,FALSE),"")</f>
        <v>0</v>
      </c>
      <c r="I4110" s="46" t="str">
        <f>IF(INPUT!P4105="","",INPUT!P4105)</f>
        <v/>
      </c>
      <c r="J4110" s="46" t="str">
        <f>IF(INPUT!Q4105="","",INPUT!Q4105)</f>
        <v/>
      </c>
      <c r="K4110" s="46" t="str">
        <f>IFERROR(IF(OR(INPUT!P4105="",INPUT!Q4105=""),"",INPUT!P4105-INPUT!Q4105),"")</f>
        <v/>
      </c>
      <c r="L4110" s="48" t="str">
        <f>IFERROR(IF(OR(INPUT!P4105="",INPUT!Q4105="",INPUT!P4105=0),"",(INPUT!P4105-INPUT!Q4105)/INPUT!P4105),"")</f>
        <v/>
      </c>
    </row>
    <row r="4111" spans="1:12" ht="18" hidden="1" customHeight="1" x14ac:dyDescent="0.2">
      <c r="A4111" s="11" t="str">
        <f>IF(INPUT!M4106="","",INPUT!M4106)</f>
        <v/>
      </c>
      <c r="B4111" s="11" t="str">
        <f>IF(INPUT!M4106="","",INPUT!M4106-WEEKDAY(INPUT!M4106,2)+1)</f>
        <v/>
      </c>
      <c r="C4111" s="20">
        <f>IFERROR(_xlfn.ISOWEEKNUM(INPUT!M4106),"")</f>
        <v>52</v>
      </c>
      <c r="D4111" s="20">
        <f>IFERROR(YEAR(INPUT!M4106),"")</f>
        <v>1900</v>
      </c>
      <c r="E4111" t="str">
        <f>IF(INPUT!O4106="","",INPUT!O4106)</f>
        <v/>
      </c>
      <c r="F4111" t="str">
        <f>IF(INPUT!N4106="","",INPUT!N4106)</f>
        <v/>
      </c>
      <c r="G4111" cm="1">
        <f t="array" ref="G4111">IFERROR(VLOOKUP(INPUT!M4106&amp;INPUT!N4106,CHOOSE({1,2},INPUT!$A$3:$A$5000&amp;INPUT!$C$3:$C$5000,INPUT!$F$3:$F$5000),2,FALSE),"")</f>
        <v>0</v>
      </c>
      <c r="H4111" cm="1">
        <f t="array" ref="H4111">IFERROR(VLOOKUP(INPUT!M4106&amp;INPUT!N4106,CHOOSE({1,2},INPUT!$A$3:$A$5000&amp;INPUT!$C$3:$C$5000,INPUT!$D$3:$D$5000),2,FALSE),"")</f>
        <v>0</v>
      </c>
      <c r="I4111" s="46" t="str">
        <f>IF(INPUT!P4106="","",INPUT!P4106)</f>
        <v/>
      </c>
      <c r="J4111" s="46" t="str">
        <f>IF(INPUT!Q4106="","",INPUT!Q4106)</f>
        <v/>
      </c>
      <c r="K4111" s="46" t="str">
        <f>IFERROR(IF(OR(INPUT!P4106="",INPUT!Q4106=""),"",INPUT!P4106-INPUT!Q4106),"")</f>
        <v/>
      </c>
      <c r="L4111" s="48" t="str">
        <f>IFERROR(IF(OR(INPUT!P4106="",INPUT!Q4106="",INPUT!P4106=0),"",(INPUT!P4106-INPUT!Q4106)/INPUT!P4106),"")</f>
        <v/>
      </c>
    </row>
    <row r="4112" spans="1:12" ht="18" hidden="1" customHeight="1" x14ac:dyDescent="0.2">
      <c r="A4112" s="11" t="str">
        <f>IF(INPUT!M4107="","",INPUT!M4107)</f>
        <v/>
      </c>
      <c r="B4112" s="11" t="str">
        <f>IF(INPUT!M4107="","",INPUT!M4107-WEEKDAY(INPUT!M4107,2)+1)</f>
        <v/>
      </c>
      <c r="C4112" s="20">
        <f>IFERROR(_xlfn.ISOWEEKNUM(INPUT!M4107),"")</f>
        <v>52</v>
      </c>
      <c r="D4112" s="20">
        <f>IFERROR(YEAR(INPUT!M4107),"")</f>
        <v>1900</v>
      </c>
      <c r="E4112" t="str">
        <f>IF(INPUT!O4107="","",INPUT!O4107)</f>
        <v/>
      </c>
      <c r="F4112" t="str">
        <f>IF(INPUT!N4107="","",INPUT!N4107)</f>
        <v/>
      </c>
      <c r="G4112" cm="1">
        <f t="array" ref="G4112">IFERROR(VLOOKUP(INPUT!M4107&amp;INPUT!N4107,CHOOSE({1,2},INPUT!$A$3:$A$5000&amp;INPUT!$C$3:$C$5000,INPUT!$F$3:$F$5000),2,FALSE),"")</f>
        <v>0</v>
      </c>
      <c r="H4112" cm="1">
        <f t="array" ref="H4112">IFERROR(VLOOKUP(INPUT!M4107&amp;INPUT!N4107,CHOOSE({1,2},INPUT!$A$3:$A$5000&amp;INPUT!$C$3:$C$5000,INPUT!$D$3:$D$5000),2,FALSE),"")</f>
        <v>0</v>
      </c>
      <c r="I4112" s="46" t="str">
        <f>IF(INPUT!P4107="","",INPUT!P4107)</f>
        <v/>
      </c>
      <c r="J4112" s="46" t="str">
        <f>IF(INPUT!Q4107="","",INPUT!Q4107)</f>
        <v/>
      </c>
      <c r="K4112" s="46" t="str">
        <f>IFERROR(IF(OR(INPUT!P4107="",INPUT!Q4107=""),"",INPUT!P4107-INPUT!Q4107),"")</f>
        <v/>
      </c>
      <c r="L4112" s="48" t="str">
        <f>IFERROR(IF(OR(INPUT!P4107="",INPUT!Q4107="",INPUT!P4107=0),"",(INPUT!P4107-INPUT!Q4107)/INPUT!P4107),"")</f>
        <v/>
      </c>
    </row>
    <row r="4113" spans="1:12" ht="18" hidden="1" customHeight="1" x14ac:dyDescent="0.2">
      <c r="A4113" s="11" t="str">
        <f>IF(INPUT!M4108="","",INPUT!M4108)</f>
        <v/>
      </c>
      <c r="B4113" s="11" t="str">
        <f>IF(INPUT!M4108="","",INPUT!M4108-WEEKDAY(INPUT!M4108,2)+1)</f>
        <v/>
      </c>
      <c r="C4113" s="20">
        <f>IFERROR(_xlfn.ISOWEEKNUM(INPUT!M4108),"")</f>
        <v>52</v>
      </c>
      <c r="D4113" s="20">
        <f>IFERROR(YEAR(INPUT!M4108),"")</f>
        <v>1900</v>
      </c>
      <c r="E4113" t="str">
        <f>IF(INPUT!O4108="","",INPUT!O4108)</f>
        <v/>
      </c>
      <c r="F4113" t="str">
        <f>IF(INPUT!N4108="","",INPUT!N4108)</f>
        <v/>
      </c>
      <c r="G4113" cm="1">
        <f t="array" ref="G4113">IFERROR(VLOOKUP(INPUT!M4108&amp;INPUT!N4108,CHOOSE({1,2},INPUT!$A$3:$A$5000&amp;INPUT!$C$3:$C$5000,INPUT!$F$3:$F$5000),2,FALSE),"")</f>
        <v>0</v>
      </c>
      <c r="H4113" cm="1">
        <f t="array" ref="H4113">IFERROR(VLOOKUP(INPUT!M4108&amp;INPUT!N4108,CHOOSE({1,2},INPUT!$A$3:$A$5000&amp;INPUT!$C$3:$C$5000,INPUT!$D$3:$D$5000),2,FALSE),"")</f>
        <v>0</v>
      </c>
      <c r="I4113" s="46" t="str">
        <f>IF(INPUT!P4108="","",INPUT!P4108)</f>
        <v/>
      </c>
      <c r="J4113" s="46" t="str">
        <f>IF(INPUT!Q4108="","",INPUT!Q4108)</f>
        <v/>
      </c>
      <c r="K4113" s="46" t="str">
        <f>IFERROR(IF(OR(INPUT!P4108="",INPUT!Q4108=""),"",INPUT!P4108-INPUT!Q4108),"")</f>
        <v/>
      </c>
      <c r="L4113" s="48" t="str">
        <f>IFERROR(IF(OR(INPUT!P4108="",INPUT!Q4108="",INPUT!P4108=0),"",(INPUT!P4108-INPUT!Q4108)/INPUT!P4108),"")</f>
        <v/>
      </c>
    </row>
    <row r="4114" spans="1:12" ht="18" hidden="1" customHeight="1" x14ac:dyDescent="0.2">
      <c r="A4114" s="11" t="str">
        <f>IF(INPUT!M4109="","",INPUT!M4109)</f>
        <v/>
      </c>
      <c r="B4114" s="11" t="str">
        <f>IF(INPUT!M4109="","",INPUT!M4109-WEEKDAY(INPUT!M4109,2)+1)</f>
        <v/>
      </c>
      <c r="C4114" s="20">
        <f>IFERROR(_xlfn.ISOWEEKNUM(INPUT!M4109),"")</f>
        <v>52</v>
      </c>
      <c r="D4114" s="20">
        <f>IFERROR(YEAR(INPUT!M4109),"")</f>
        <v>1900</v>
      </c>
      <c r="E4114" t="str">
        <f>IF(INPUT!O4109="","",INPUT!O4109)</f>
        <v/>
      </c>
      <c r="F4114" t="str">
        <f>IF(INPUT!N4109="","",INPUT!N4109)</f>
        <v/>
      </c>
      <c r="G4114" cm="1">
        <f t="array" ref="G4114">IFERROR(VLOOKUP(INPUT!M4109&amp;INPUT!N4109,CHOOSE({1,2},INPUT!$A$3:$A$5000&amp;INPUT!$C$3:$C$5000,INPUT!$F$3:$F$5000),2,FALSE),"")</f>
        <v>0</v>
      </c>
      <c r="H4114" cm="1">
        <f t="array" ref="H4114">IFERROR(VLOOKUP(INPUT!M4109&amp;INPUT!N4109,CHOOSE({1,2},INPUT!$A$3:$A$5000&amp;INPUT!$C$3:$C$5000,INPUT!$D$3:$D$5000),2,FALSE),"")</f>
        <v>0</v>
      </c>
      <c r="I4114" s="46" t="str">
        <f>IF(INPUT!P4109="","",INPUT!P4109)</f>
        <v/>
      </c>
      <c r="J4114" s="46" t="str">
        <f>IF(INPUT!Q4109="","",INPUT!Q4109)</f>
        <v/>
      </c>
      <c r="K4114" s="46" t="str">
        <f>IFERROR(IF(OR(INPUT!P4109="",INPUT!Q4109=""),"",INPUT!P4109-INPUT!Q4109),"")</f>
        <v/>
      </c>
      <c r="L4114" s="48" t="str">
        <f>IFERROR(IF(OR(INPUT!P4109="",INPUT!Q4109="",INPUT!P4109=0),"",(INPUT!P4109-INPUT!Q4109)/INPUT!P4109),"")</f>
        <v/>
      </c>
    </row>
    <row r="4115" spans="1:12" ht="18" hidden="1" customHeight="1" x14ac:dyDescent="0.2">
      <c r="A4115" s="11" t="str">
        <f>IF(INPUT!M4110="","",INPUT!M4110)</f>
        <v/>
      </c>
      <c r="B4115" s="11" t="str">
        <f>IF(INPUT!M4110="","",INPUT!M4110-WEEKDAY(INPUT!M4110,2)+1)</f>
        <v/>
      </c>
      <c r="C4115" s="20">
        <f>IFERROR(_xlfn.ISOWEEKNUM(INPUT!M4110),"")</f>
        <v>52</v>
      </c>
      <c r="D4115" s="20">
        <f>IFERROR(YEAR(INPUT!M4110),"")</f>
        <v>1900</v>
      </c>
      <c r="E4115" t="str">
        <f>IF(INPUT!O4110="","",INPUT!O4110)</f>
        <v/>
      </c>
      <c r="F4115" t="str">
        <f>IF(INPUT!N4110="","",INPUT!N4110)</f>
        <v/>
      </c>
      <c r="G4115" cm="1">
        <f t="array" ref="G4115">IFERROR(VLOOKUP(INPUT!M4110&amp;INPUT!N4110,CHOOSE({1,2},INPUT!$A$3:$A$5000&amp;INPUT!$C$3:$C$5000,INPUT!$F$3:$F$5000),2,FALSE),"")</f>
        <v>0</v>
      </c>
      <c r="H4115" cm="1">
        <f t="array" ref="H4115">IFERROR(VLOOKUP(INPUT!M4110&amp;INPUT!N4110,CHOOSE({1,2},INPUT!$A$3:$A$5000&amp;INPUT!$C$3:$C$5000,INPUT!$D$3:$D$5000),2,FALSE),"")</f>
        <v>0</v>
      </c>
      <c r="I4115" s="46" t="str">
        <f>IF(INPUT!P4110="","",INPUT!P4110)</f>
        <v/>
      </c>
      <c r="J4115" s="46" t="str">
        <f>IF(INPUT!Q4110="","",INPUT!Q4110)</f>
        <v/>
      </c>
      <c r="K4115" s="46" t="str">
        <f>IFERROR(IF(OR(INPUT!P4110="",INPUT!Q4110=""),"",INPUT!P4110-INPUT!Q4110),"")</f>
        <v/>
      </c>
      <c r="L4115" s="48" t="str">
        <f>IFERROR(IF(OR(INPUT!P4110="",INPUT!Q4110="",INPUT!P4110=0),"",(INPUT!P4110-INPUT!Q4110)/INPUT!P4110),"")</f>
        <v/>
      </c>
    </row>
    <row r="4116" spans="1:12" ht="18" hidden="1" customHeight="1" x14ac:dyDescent="0.2">
      <c r="A4116" s="11" t="str">
        <f>IF(INPUT!M4111="","",INPUT!M4111)</f>
        <v/>
      </c>
      <c r="B4116" s="11" t="str">
        <f>IF(INPUT!M4111="","",INPUT!M4111-WEEKDAY(INPUT!M4111,2)+1)</f>
        <v/>
      </c>
      <c r="C4116" s="20">
        <f>IFERROR(_xlfn.ISOWEEKNUM(INPUT!M4111),"")</f>
        <v>52</v>
      </c>
      <c r="D4116" s="20">
        <f>IFERROR(YEAR(INPUT!M4111),"")</f>
        <v>1900</v>
      </c>
      <c r="E4116" t="str">
        <f>IF(INPUT!O4111="","",INPUT!O4111)</f>
        <v/>
      </c>
      <c r="F4116" t="str">
        <f>IF(INPUT!N4111="","",INPUT!N4111)</f>
        <v/>
      </c>
      <c r="G4116" cm="1">
        <f t="array" ref="G4116">IFERROR(VLOOKUP(INPUT!M4111&amp;INPUT!N4111,CHOOSE({1,2},INPUT!$A$3:$A$5000&amp;INPUT!$C$3:$C$5000,INPUT!$F$3:$F$5000),2,FALSE),"")</f>
        <v>0</v>
      </c>
      <c r="H4116" cm="1">
        <f t="array" ref="H4116">IFERROR(VLOOKUP(INPUT!M4111&amp;INPUT!N4111,CHOOSE({1,2},INPUT!$A$3:$A$5000&amp;INPUT!$C$3:$C$5000,INPUT!$D$3:$D$5000),2,FALSE),"")</f>
        <v>0</v>
      </c>
      <c r="I4116" s="46" t="str">
        <f>IF(INPUT!P4111="","",INPUT!P4111)</f>
        <v/>
      </c>
      <c r="J4116" s="46" t="str">
        <f>IF(INPUT!Q4111="","",INPUT!Q4111)</f>
        <v/>
      </c>
      <c r="K4116" s="46" t="str">
        <f>IFERROR(IF(OR(INPUT!P4111="",INPUT!Q4111=""),"",INPUT!P4111-INPUT!Q4111),"")</f>
        <v/>
      </c>
      <c r="L4116" s="48" t="str">
        <f>IFERROR(IF(OR(INPUT!P4111="",INPUT!Q4111="",INPUT!P4111=0),"",(INPUT!P4111-INPUT!Q4111)/INPUT!P4111),"")</f>
        <v/>
      </c>
    </row>
    <row r="4117" spans="1:12" ht="18" hidden="1" customHeight="1" x14ac:dyDescent="0.2">
      <c r="A4117" s="11" t="str">
        <f>IF(INPUT!M4112="","",INPUT!M4112)</f>
        <v/>
      </c>
      <c r="B4117" s="11" t="str">
        <f>IF(INPUT!M4112="","",INPUT!M4112-WEEKDAY(INPUT!M4112,2)+1)</f>
        <v/>
      </c>
      <c r="C4117" s="20">
        <f>IFERROR(_xlfn.ISOWEEKNUM(INPUT!M4112),"")</f>
        <v>52</v>
      </c>
      <c r="D4117" s="20">
        <f>IFERROR(YEAR(INPUT!M4112),"")</f>
        <v>1900</v>
      </c>
      <c r="E4117" t="str">
        <f>IF(INPUT!O4112="","",INPUT!O4112)</f>
        <v/>
      </c>
      <c r="F4117" t="str">
        <f>IF(INPUT!N4112="","",INPUT!N4112)</f>
        <v/>
      </c>
      <c r="G4117" cm="1">
        <f t="array" ref="G4117">IFERROR(VLOOKUP(INPUT!M4112&amp;INPUT!N4112,CHOOSE({1,2},INPUT!$A$3:$A$5000&amp;INPUT!$C$3:$C$5000,INPUT!$F$3:$F$5000),2,FALSE),"")</f>
        <v>0</v>
      </c>
      <c r="H4117" cm="1">
        <f t="array" ref="H4117">IFERROR(VLOOKUP(INPUT!M4112&amp;INPUT!N4112,CHOOSE({1,2},INPUT!$A$3:$A$5000&amp;INPUT!$C$3:$C$5000,INPUT!$D$3:$D$5000),2,FALSE),"")</f>
        <v>0</v>
      </c>
      <c r="I4117" s="46" t="str">
        <f>IF(INPUT!P4112="","",INPUT!P4112)</f>
        <v/>
      </c>
      <c r="J4117" s="46" t="str">
        <f>IF(INPUT!Q4112="","",INPUT!Q4112)</f>
        <v/>
      </c>
      <c r="K4117" s="46" t="str">
        <f>IFERROR(IF(OR(INPUT!P4112="",INPUT!Q4112=""),"",INPUT!P4112-INPUT!Q4112),"")</f>
        <v/>
      </c>
      <c r="L4117" s="48" t="str">
        <f>IFERROR(IF(OR(INPUT!P4112="",INPUT!Q4112="",INPUT!P4112=0),"",(INPUT!P4112-INPUT!Q4112)/INPUT!P4112),"")</f>
        <v/>
      </c>
    </row>
    <row r="4118" spans="1:12" ht="18" hidden="1" customHeight="1" x14ac:dyDescent="0.2">
      <c r="A4118" s="11" t="str">
        <f>IF(INPUT!M4113="","",INPUT!M4113)</f>
        <v/>
      </c>
      <c r="B4118" s="11" t="str">
        <f>IF(INPUT!M4113="","",INPUT!M4113-WEEKDAY(INPUT!M4113,2)+1)</f>
        <v/>
      </c>
      <c r="C4118" s="20">
        <f>IFERROR(_xlfn.ISOWEEKNUM(INPUT!M4113),"")</f>
        <v>52</v>
      </c>
      <c r="D4118" s="20">
        <f>IFERROR(YEAR(INPUT!M4113),"")</f>
        <v>1900</v>
      </c>
      <c r="E4118" t="str">
        <f>IF(INPUT!O4113="","",INPUT!O4113)</f>
        <v/>
      </c>
      <c r="F4118" t="str">
        <f>IF(INPUT!N4113="","",INPUT!N4113)</f>
        <v/>
      </c>
      <c r="G4118" cm="1">
        <f t="array" ref="G4118">IFERROR(VLOOKUP(INPUT!M4113&amp;INPUT!N4113,CHOOSE({1,2},INPUT!$A$3:$A$5000&amp;INPUT!$C$3:$C$5000,INPUT!$F$3:$F$5000),2,FALSE),"")</f>
        <v>0</v>
      </c>
      <c r="H4118" cm="1">
        <f t="array" ref="H4118">IFERROR(VLOOKUP(INPUT!M4113&amp;INPUT!N4113,CHOOSE({1,2},INPUT!$A$3:$A$5000&amp;INPUT!$C$3:$C$5000,INPUT!$D$3:$D$5000),2,FALSE),"")</f>
        <v>0</v>
      </c>
      <c r="I4118" s="46" t="str">
        <f>IF(INPUT!P4113="","",INPUT!P4113)</f>
        <v/>
      </c>
      <c r="J4118" s="46" t="str">
        <f>IF(INPUT!Q4113="","",INPUT!Q4113)</f>
        <v/>
      </c>
      <c r="K4118" s="46" t="str">
        <f>IFERROR(IF(OR(INPUT!P4113="",INPUT!Q4113=""),"",INPUT!P4113-INPUT!Q4113),"")</f>
        <v/>
      </c>
      <c r="L4118" s="48" t="str">
        <f>IFERROR(IF(OR(INPUT!P4113="",INPUT!Q4113="",INPUT!P4113=0),"",(INPUT!P4113-INPUT!Q4113)/INPUT!P4113),"")</f>
        <v/>
      </c>
    </row>
    <row r="4119" spans="1:12" ht="18" hidden="1" customHeight="1" x14ac:dyDescent="0.2">
      <c r="A4119" s="11" t="str">
        <f>IF(INPUT!M4114="","",INPUT!M4114)</f>
        <v/>
      </c>
      <c r="B4119" s="11" t="str">
        <f>IF(INPUT!M4114="","",INPUT!M4114-WEEKDAY(INPUT!M4114,2)+1)</f>
        <v/>
      </c>
      <c r="C4119" s="20">
        <f>IFERROR(_xlfn.ISOWEEKNUM(INPUT!M4114),"")</f>
        <v>52</v>
      </c>
      <c r="D4119" s="20">
        <f>IFERROR(YEAR(INPUT!M4114),"")</f>
        <v>1900</v>
      </c>
      <c r="E4119" t="str">
        <f>IF(INPUT!O4114="","",INPUT!O4114)</f>
        <v/>
      </c>
      <c r="F4119" t="str">
        <f>IF(INPUT!N4114="","",INPUT!N4114)</f>
        <v/>
      </c>
      <c r="G4119" cm="1">
        <f t="array" ref="G4119">IFERROR(VLOOKUP(INPUT!M4114&amp;INPUT!N4114,CHOOSE({1,2},INPUT!$A$3:$A$5000&amp;INPUT!$C$3:$C$5000,INPUT!$F$3:$F$5000),2,FALSE),"")</f>
        <v>0</v>
      </c>
      <c r="H4119" cm="1">
        <f t="array" ref="H4119">IFERROR(VLOOKUP(INPUT!M4114&amp;INPUT!N4114,CHOOSE({1,2},INPUT!$A$3:$A$5000&amp;INPUT!$C$3:$C$5000,INPUT!$D$3:$D$5000),2,FALSE),"")</f>
        <v>0</v>
      </c>
      <c r="I4119" s="46" t="str">
        <f>IF(INPUT!P4114="","",INPUT!P4114)</f>
        <v/>
      </c>
      <c r="J4119" s="46" t="str">
        <f>IF(INPUT!Q4114="","",INPUT!Q4114)</f>
        <v/>
      </c>
      <c r="K4119" s="46" t="str">
        <f>IFERROR(IF(OR(INPUT!P4114="",INPUT!Q4114=""),"",INPUT!P4114-INPUT!Q4114),"")</f>
        <v/>
      </c>
      <c r="L4119" s="48" t="str">
        <f>IFERROR(IF(OR(INPUT!P4114="",INPUT!Q4114="",INPUT!P4114=0),"",(INPUT!P4114-INPUT!Q4114)/INPUT!P4114),"")</f>
        <v/>
      </c>
    </row>
    <row r="4120" spans="1:12" ht="18" hidden="1" customHeight="1" x14ac:dyDescent="0.2">
      <c r="A4120" s="11" t="str">
        <f>IF(INPUT!M4115="","",INPUT!M4115)</f>
        <v/>
      </c>
      <c r="B4120" s="11" t="str">
        <f>IF(INPUT!M4115="","",INPUT!M4115-WEEKDAY(INPUT!M4115,2)+1)</f>
        <v/>
      </c>
      <c r="C4120" s="20">
        <f>IFERROR(_xlfn.ISOWEEKNUM(INPUT!M4115),"")</f>
        <v>52</v>
      </c>
      <c r="D4120" s="20">
        <f>IFERROR(YEAR(INPUT!M4115),"")</f>
        <v>1900</v>
      </c>
      <c r="E4120" t="str">
        <f>IF(INPUT!O4115="","",INPUT!O4115)</f>
        <v/>
      </c>
      <c r="F4120" t="str">
        <f>IF(INPUT!N4115="","",INPUT!N4115)</f>
        <v/>
      </c>
      <c r="G4120" cm="1">
        <f t="array" ref="G4120">IFERROR(VLOOKUP(INPUT!M4115&amp;INPUT!N4115,CHOOSE({1,2},INPUT!$A$3:$A$5000&amp;INPUT!$C$3:$C$5000,INPUT!$F$3:$F$5000),2,FALSE),"")</f>
        <v>0</v>
      </c>
      <c r="H4120" cm="1">
        <f t="array" ref="H4120">IFERROR(VLOOKUP(INPUT!M4115&amp;INPUT!N4115,CHOOSE({1,2},INPUT!$A$3:$A$5000&amp;INPUT!$C$3:$C$5000,INPUT!$D$3:$D$5000),2,FALSE),"")</f>
        <v>0</v>
      </c>
      <c r="I4120" s="46" t="str">
        <f>IF(INPUT!P4115="","",INPUT!P4115)</f>
        <v/>
      </c>
      <c r="J4120" s="46" t="str">
        <f>IF(INPUT!Q4115="","",INPUT!Q4115)</f>
        <v/>
      </c>
      <c r="K4120" s="46" t="str">
        <f>IFERROR(IF(OR(INPUT!P4115="",INPUT!Q4115=""),"",INPUT!P4115-INPUT!Q4115),"")</f>
        <v/>
      </c>
      <c r="L4120" s="48" t="str">
        <f>IFERROR(IF(OR(INPUT!P4115="",INPUT!Q4115="",INPUT!P4115=0),"",(INPUT!P4115-INPUT!Q4115)/INPUT!P4115),"")</f>
        <v/>
      </c>
    </row>
    <row r="4121" spans="1:12" ht="18" hidden="1" customHeight="1" x14ac:dyDescent="0.2">
      <c r="A4121" s="11" t="str">
        <f>IF(INPUT!M4116="","",INPUT!M4116)</f>
        <v/>
      </c>
      <c r="B4121" s="11" t="str">
        <f>IF(INPUT!M4116="","",INPUT!M4116-WEEKDAY(INPUT!M4116,2)+1)</f>
        <v/>
      </c>
      <c r="C4121" s="20">
        <f>IFERROR(_xlfn.ISOWEEKNUM(INPUT!M4116),"")</f>
        <v>52</v>
      </c>
      <c r="D4121" s="20">
        <f>IFERROR(YEAR(INPUT!M4116),"")</f>
        <v>1900</v>
      </c>
      <c r="E4121" t="str">
        <f>IF(INPUT!O4116="","",INPUT!O4116)</f>
        <v/>
      </c>
      <c r="F4121" t="str">
        <f>IF(INPUT!N4116="","",INPUT!N4116)</f>
        <v/>
      </c>
      <c r="G4121" cm="1">
        <f t="array" ref="G4121">IFERROR(VLOOKUP(INPUT!M4116&amp;INPUT!N4116,CHOOSE({1,2},INPUT!$A$3:$A$5000&amp;INPUT!$C$3:$C$5000,INPUT!$F$3:$F$5000),2,FALSE),"")</f>
        <v>0</v>
      </c>
      <c r="H4121" cm="1">
        <f t="array" ref="H4121">IFERROR(VLOOKUP(INPUT!M4116&amp;INPUT!N4116,CHOOSE({1,2},INPUT!$A$3:$A$5000&amp;INPUT!$C$3:$C$5000,INPUT!$D$3:$D$5000),2,FALSE),"")</f>
        <v>0</v>
      </c>
      <c r="I4121" s="46" t="str">
        <f>IF(INPUT!P4116="","",INPUT!P4116)</f>
        <v/>
      </c>
      <c r="J4121" s="46" t="str">
        <f>IF(INPUT!Q4116="","",INPUT!Q4116)</f>
        <v/>
      </c>
      <c r="K4121" s="46" t="str">
        <f>IFERROR(IF(OR(INPUT!P4116="",INPUT!Q4116=""),"",INPUT!P4116-INPUT!Q4116),"")</f>
        <v/>
      </c>
      <c r="L4121" s="48" t="str">
        <f>IFERROR(IF(OR(INPUT!P4116="",INPUT!Q4116="",INPUT!P4116=0),"",(INPUT!P4116-INPUT!Q4116)/INPUT!P4116),"")</f>
        <v/>
      </c>
    </row>
    <row r="4122" spans="1:12" ht="18" hidden="1" customHeight="1" x14ac:dyDescent="0.2">
      <c r="A4122" s="11" t="str">
        <f>IF(INPUT!M4117="","",INPUT!M4117)</f>
        <v/>
      </c>
      <c r="B4122" s="11" t="str">
        <f>IF(INPUT!M4117="","",INPUT!M4117-WEEKDAY(INPUT!M4117,2)+1)</f>
        <v/>
      </c>
      <c r="C4122" s="20">
        <f>IFERROR(_xlfn.ISOWEEKNUM(INPUT!M4117),"")</f>
        <v>52</v>
      </c>
      <c r="D4122" s="20">
        <f>IFERROR(YEAR(INPUT!M4117),"")</f>
        <v>1900</v>
      </c>
      <c r="E4122" t="str">
        <f>IF(INPUT!O4117="","",INPUT!O4117)</f>
        <v/>
      </c>
      <c r="F4122" t="str">
        <f>IF(INPUT!N4117="","",INPUT!N4117)</f>
        <v/>
      </c>
      <c r="G4122" cm="1">
        <f t="array" ref="G4122">IFERROR(VLOOKUP(INPUT!M4117&amp;INPUT!N4117,CHOOSE({1,2},INPUT!$A$3:$A$5000&amp;INPUT!$C$3:$C$5000,INPUT!$F$3:$F$5000),2,FALSE),"")</f>
        <v>0</v>
      </c>
      <c r="H4122" cm="1">
        <f t="array" ref="H4122">IFERROR(VLOOKUP(INPUT!M4117&amp;INPUT!N4117,CHOOSE({1,2},INPUT!$A$3:$A$5000&amp;INPUT!$C$3:$C$5000,INPUT!$D$3:$D$5000),2,FALSE),"")</f>
        <v>0</v>
      </c>
      <c r="I4122" s="46" t="str">
        <f>IF(INPUT!P4117="","",INPUT!P4117)</f>
        <v/>
      </c>
      <c r="J4122" s="46" t="str">
        <f>IF(INPUT!Q4117="","",INPUT!Q4117)</f>
        <v/>
      </c>
      <c r="K4122" s="46" t="str">
        <f>IFERROR(IF(OR(INPUT!P4117="",INPUT!Q4117=""),"",INPUT!P4117-INPUT!Q4117),"")</f>
        <v/>
      </c>
      <c r="L4122" s="48" t="str">
        <f>IFERROR(IF(OR(INPUT!P4117="",INPUT!Q4117="",INPUT!P4117=0),"",(INPUT!P4117-INPUT!Q4117)/INPUT!P4117),"")</f>
        <v/>
      </c>
    </row>
    <row r="4123" spans="1:12" ht="18" hidden="1" customHeight="1" x14ac:dyDescent="0.2">
      <c r="A4123" s="11" t="str">
        <f>IF(INPUT!M4118="","",INPUT!M4118)</f>
        <v/>
      </c>
      <c r="B4123" s="11" t="str">
        <f>IF(INPUT!M4118="","",INPUT!M4118-WEEKDAY(INPUT!M4118,2)+1)</f>
        <v/>
      </c>
      <c r="C4123" s="20">
        <f>IFERROR(_xlfn.ISOWEEKNUM(INPUT!M4118),"")</f>
        <v>52</v>
      </c>
      <c r="D4123" s="20">
        <f>IFERROR(YEAR(INPUT!M4118),"")</f>
        <v>1900</v>
      </c>
      <c r="E4123" t="str">
        <f>IF(INPUT!O4118="","",INPUT!O4118)</f>
        <v/>
      </c>
      <c r="F4123" t="str">
        <f>IF(INPUT!N4118="","",INPUT!N4118)</f>
        <v/>
      </c>
      <c r="G4123" cm="1">
        <f t="array" ref="G4123">IFERROR(VLOOKUP(INPUT!M4118&amp;INPUT!N4118,CHOOSE({1,2},INPUT!$A$3:$A$5000&amp;INPUT!$C$3:$C$5000,INPUT!$F$3:$F$5000),2,FALSE),"")</f>
        <v>0</v>
      </c>
      <c r="H4123" cm="1">
        <f t="array" ref="H4123">IFERROR(VLOOKUP(INPUT!M4118&amp;INPUT!N4118,CHOOSE({1,2},INPUT!$A$3:$A$5000&amp;INPUT!$C$3:$C$5000,INPUT!$D$3:$D$5000),2,FALSE),"")</f>
        <v>0</v>
      </c>
      <c r="I4123" s="46" t="str">
        <f>IF(INPUT!P4118="","",INPUT!P4118)</f>
        <v/>
      </c>
      <c r="J4123" s="46" t="str">
        <f>IF(INPUT!Q4118="","",INPUT!Q4118)</f>
        <v/>
      </c>
      <c r="K4123" s="46" t="str">
        <f>IFERROR(IF(OR(INPUT!P4118="",INPUT!Q4118=""),"",INPUT!P4118-INPUT!Q4118),"")</f>
        <v/>
      </c>
      <c r="L4123" s="48" t="str">
        <f>IFERROR(IF(OR(INPUT!P4118="",INPUT!Q4118="",INPUT!P4118=0),"",(INPUT!P4118-INPUT!Q4118)/INPUT!P4118),"")</f>
        <v/>
      </c>
    </row>
    <row r="4124" spans="1:12" ht="18" hidden="1" customHeight="1" x14ac:dyDescent="0.2">
      <c r="A4124" s="11" t="str">
        <f>IF(INPUT!M4119="","",INPUT!M4119)</f>
        <v/>
      </c>
      <c r="B4124" s="11" t="str">
        <f>IF(INPUT!M4119="","",INPUT!M4119-WEEKDAY(INPUT!M4119,2)+1)</f>
        <v/>
      </c>
      <c r="C4124" s="20">
        <f>IFERROR(_xlfn.ISOWEEKNUM(INPUT!M4119),"")</f>
        <v>52</v>
      </c>
      <c r="D4124" s="20">
        <f>IFERROR(YEAR(INPUT!M4119),"")</f>
        <v>1900</v>
      </c>
      <c r="E4124" t="str">
        <f>IF(INPUT!O4119="","",INPUT!O4119)</f>
        <v/>
      </c>
      <c r="F4124" t="str">
        <f>IF(INPUT!N4119="","",INPUT!N4119)</f>
        <v/>
      </c>
      <c r="G4124" cm="1">
        <f t="array" ref="G4124">IFERROR(VLOOKUP(INPUT!M4119&amp;INPUT!N4119,CHOOSE({1,2},INPUT!$A$3:$A$5000&amp;INPUT!$C$3:$C$5000,INPUT!$F$3:$F$5000),2,FALSE),"")</f>
        <v>0</v>
      </c>
      <c r="H4124" cm="1">
        <f t="array" ref="H4124">IFERROR(VLOOKUP(INPUT!M4119&amp;INPUT!N4119,CHOOSE({1,2},INPUT!$A$3:$A$5000&amp;INPUT!$C$3:$C$5000,INPUT!$D$3:$D$5000),2,FALSE),"")</f>
        <v>0</v>
      </c>
      <c r="I4124" s="46" t="str">
        <f>IF(INPUT!P4119="","",INPUT!P4119)</f>
        <v/>
      </c>
      <c r="J4124" s="46" t="str">
        <f>IF(INPUT!Q4119="","",INPUT!Q4119)</f>
        <v/>
      </c>
      <c r="K4124" s="46" t="str">
        <f>IFERROR(IF(OR(INPUT!P4119="",INPUT!Q4119=""),"",INPUT!P4119-INPUT!Q4119),"")</f>
        <v/>
      </c>
      <c r="L4124" s="48" t="str">
        <f>IFERROR(IF(OR(INPUT!P4119="",INPUT!Q4119="",INPUT!P4119=0),"",(INPUT!P4119-INPUT!Q4119)/INPUT!P4119),"")</f>
        <v/>
      </c>
    </row>
    <row r="4125" spans="1:12" ht="18" hidden="1" customHeight="1" x14ac:dyDescent="0.2">
      <c r="A4125" s="11" t="str">
        <f>IF(INPUT!M4120="","",INPUT!M4120)</f>
        <v/>
      </c>
      <c r="B4125" s="11" t="str">
        <f>IF(INPUT!M4120="","",INPUT!M4120-WEEKDAY(INPUT!M4120,2)+1)</f>
        <v/>
      </c>
      <c r="C4125" s="20">
        <f>IFERROR(_xlfn.ISOWEEKNUM(INPUT!M4120),"")</f>
        <v>52</v>
      </c>
      <c r="D4125" s="20">
        <f>IFERROR(YEAR(INPUT!M4120),"")</f>
        <v>1900</v>
      </c>
      <c r="E4125" t="str">
        <f>IF(INPUT!O4120="","",INPUT!O4120)</f>
        <v/>
      </c>
      <c r="F4125" t="str">
        <f>IF(INPUT!N4120="","",INPUT!N4120)</f>
        <v/>
      </c>
      <c r="G4125" cm="1">
        <f t="array" ref="G4125">IFERROR(VLOOKUP(INPUT!M4120&amp;INPUT!N4120,CHOOSE({1,2},INPUT!$A$3:$A$5000&amp;INPUT!$C$3:$C$5000,INPUT!$F$3:$F$5000),2,FALSE),"")</f>
        <v>0</v>
      </c>
      <c r="H4125" cm="1">
        <f t="array" ref="H4125">IFERROR(VLOOKUP(INPUT!M4120&amp;INPUT!N4120,CHOOSE({1,2},INPUT!$A$3:$A$5000&amp;INPUT!$C$3:$C$5000,INPUT!$D$3:$D$5000),2,FALSE),"")</f>
        <v>0</v>
      </c>
      <c r="I4125" s="46" t="str">
        <f>IF(INPUT!P4120="","",INPUT!P4120)</f>
        <v/>
      </c>
      <c r="J4125" s="46" t="str">
        <f>IF(INPUT!Q4120="","",INPUT!Q4120)</f>
        <v/>
      </c>
      <c r="K4125" s="46" t="str">
        <f>IFERROR(IF(OR(INPUT!P4120="",INPUT!Q4120=""),"",INPUT!P4120-INPUT!Q4120),"")</f>
        <v/>
      </c>
      <c r="L4125" s="48" t="str">
        <f>IFERROR(IF(OR(INPUT!P4120="",INPUT!Q4120="",INPUT!P4120=0),"",(INPUT!P4120-INPUT!Q4120)/INPUT!P4120),"")</f>
        <v/>
      </c>
    </row>
    <row r="4126" spans="1:12" ht="18" hidden="1" customHeight="1" x14ac:dyDescent="0.2">
      <c r="A4126" s="11" t="str">
        <f>IF(INPUT!M4121="","",INPUT!M4121)</f>
        <v/>
      </c>
      <c r="B4126" s="11" t="str">
        <f>IF(INPUT!M4121="","",INPUT!M4121-WEEKDAY(INPUT!M4121,2)+1)</f>
        <v/>
      </c>
      <c r="C4126" s="20">
        <f>IFERROR(_xlfn.ISOWEEKNUM(INPUT!M4121),"")</f>
        <v>52</v>
      </c>
      <c r="D4126" s="20">
        <f>IFERROR(YEAR(INPUT!M4121),"")</f>
        <v>1900</v>
      </c>
      <c r="E4126" t="str">
        <f>IF(INPUT!O4121="","",INPUT!O4121)</f>
        <v/>
      </c>
      <c r="F4126" t="str">
        <f>IF(INPUT!N4121="","",INPUT!N4121)</f>
        <v/>
      </c>
      <c r="G4126" cm="1">
        <f t="array" ref="G4126">IFERROR(VLOOKUP(INPUT!M4121&amp;INPUT!N4121,CHOOSE({1,2},INPUT!$A$3:$A$5000&amp;INPUT!$C$3:$C$5000,INPUT!$F$3:$F$5000),2,FALSE),"")</f>
        <v>0</v>
      </c>
      <c r="H4126" cm="1">
        <f t="array" ref="H4126">IFERROR(VLOOKUP(INPUT!M4121&amp;INPUT!N4121,CHOOSE({1,2},INPUT!$A$3:$A$5000&amp;INPUT!$C$3:$C$5000,INPUT!$D$3:$D$5000),2,FALSE),"")</f>
        <v>0</v>
      </c>
      <c r="I4126" s="46" t="str">
        <f>IF(INPUT!P4121="","",INPUT!P4121)</f>
        <v/>
      </c>
      <c r="J4126" s="46" t="str">
        <f>IF(INPUT!Q4121="","",INPUT!Q4121)</f>
        <v/>
      </c>
      <c r="K4126" s="46" t="str">
        <f>IFERROR(IF(OR(INPUT!P4121="",INPUT!Q4121=""),"",INPUT!P4121-INPUT!Q4121),"")</f>
        <v/>
      </c>
      <c r="L4126" s="48" t="str">
        <f>IFERROR(IF(OR(INPUT!P4121="",INPUT!Q4121="",INPUT!P4121=0),"",(INPUT!P4121-INPUT!Q4121)/INPUT!P4121),"")</f>
        <v/>
      </c>
    </row>
    <row r="4127" spans="1:12" ht="18" hidden="1" customHeight="1" x14ac:dyDescent="0.2">
      <c r="A4127" s="11" t="str">
        <f>IF(INPUT!M4122="","",INPUT!M4122)</f>
        <v/>
      </c>
      <c r="B4127" s="11" t="str">
        <f>IF(INPUT!M4122="","",INPUT!M4122-WEEKDAY(INPUT!M4122,2)+1)</f>
        <v/>
      </c>
      <c r="C4127" s="20">
        <f>IFERROR(_xlfn.ISOWEEKNUM(INPUT!M4122),"")</f>
        <v>52</v>
      </c>
      <c r="D4127" s="20">
        <f>IFERROR(YEAR(INPUT!M4122),"")</f>
        <v>1900</v>
      </c>
      <c r="E4127" t="str">
        <f>IF(INPUT!O4122="","",INPUT!O4122)</f>
        <v/>
      </c>
      <c r="F4127" t="str">
        <f>IF(INPUT!N4122="","",INPUT!N4122)</f>
        <v/>
      </c>
      <c r="G4127" cm="1">
        <f t="array" ref="G4127">IFERROR(VLOOKUP(INPUT!M4122&amp;INPUT!N4122,CHOOSE({1,2},INPUT!$A$3:$A$5000&amp;INPUT!$C$3:$C$5000,INPUT!$F$3:$F$5000),2,FALSE),"")</f>
        <v>0</v>
      </c>
      <c r="H4127" cm="1">
        <f t="array" ref="H4127">IFERROR(VLOOKUP(INPUT!M4122&amp;INPUT!N4122,CHOOSE({1,2},INPUT!$A$3:$A$5000&amp;INPUT!$C$3:$C$5000,INPUT!$D$3:$D$5000),2,FALSE),"")</f>
        <v>0</v>
      </c>
      <c r="I4127" s="46" t="str">
        <f>IF(INPUT!P4122="","",INPUT!P4122)</f>
        <v/>
      </c>
      <c r="J4127" s="46" t="str">
        <f>IF(INPUT!Q4122="","",INPUT!Q4122)</f>
        <v/>
      </c>
      <c r="K4127" s="46" t="str">
        <f>IFERROR(IF(OR(INPUT!P4122="",INPUT!Q4122=""),"",INPUT!P4122-INPUT!Q4122),"")</f>
        <v/>
      </c>
      <c r="L4127" s="48" t="str">
        <f>IFERROR(IF(OR(INPUT!P4122="",INPUT!Q4122="",INPUT!P4122=0),"",(INPUT!P4122-INPUT!Q4122)/INPUT!P4122),"")</f>
        <v/>
      </c>
    </row>
    <row r="4128" spans="1:12" ht="18" hidden="1" customHeight="1" x14ac:dyDescent="0.2">
      <c r="A4128" s="11" t="str">
        <f>IF(INPUT!M4123="","",INPUT!M4123)</f>
        <v/>
      </c>
      <c r="B4128" s="11" t="str">
        <f>IF(INPUT!M4123="","",INPUT!M4123-WEEKDAY(INPUT!M4123,2)+1)</f>
        <v/>
      </c>
      <c r="C4128" s="20">
        <f>IFERROR(_xlfn.ISOWEEKNUM(INPUT!M4123),"")</f>
        <v>52</v>
      </c>
      <c r="D4128" s="20">
        <f>IFERROR(YEAR(INPUT!M4123),"")</f>
        <v>1900</v>
      </c>
      <c r="E4128" t="str">
        <f>IF(INPUT!O4123="","",INPUT!O4123)</f>
        <v/>
      </c>
      <c r="F4128" t="str">
        <f>IF(INPUT!N4123="","",INPUT!N4123)</f>
        <v/>
      </c>
      <c r="G4128" cm="1">
        <f t="array" ref="G4128">IFERROR(VLOOKUP(INPUT!M4123&amp;INPUT!N4123,CHOOSE({1,2},INPUT!$A$3:$A$5000&amp;INPUT!$C$3:$C$5000,INPUT!$F$3:$F$5000),2,FALSE),"")</f>
        <v>0</v>
      </c>
      <c r="H4128" cm="1">
        <f t="array" ref="H4128">IFERROR(VLOOKUP(INPUT!M4123&amp;INPUT!N4123,CHOOSE({1,2},INPUT!$A$3:$A$5000&amp;INPUT!$C$3:$C$5000,INPUT!$D$3:$D$5000),2,FALSE),"")</f>
        <v>0</v>
      </c>
      <c r="I4128" s="46" t="str">
        <f>IF(INPUT!P4123="","",INPUT!P4123)</f>
        <v/>
      </c>
      <c r="J4128" s="46" t="str">
        <f>IF(INPUT!Q4123="","",INPUT!Q4123)</f>
        <v/>
      </c>
      <c r="K4128" s="46" t="str">
        <f>IFERROR(IF(OR(INPUT!P4123="",INPUT!Q4123=""),"",INPUT!P4123-INPUT!Q4123),"")</f>
        <v/>
      </c>
      <c r="L4128" s="48" t="str">
        <f>IFERROR(IF(OR(INPUT!P4123="",INPUT!Q4123="",INPUT!P4123=0),"",(INPUT!P4123-INPUT!Q4123)/INPUT!P4123),"")</f>
        <v/>
      </c>
    </row>
    <row r="4129" spans="1:12" ht="18" hidden="1" customHeight="1" x14ac:dyDescent="0.2">
      <c r="A4129" s="11" t="str">
        <f>IF(INPUT!M4124="","",INPUT!M4124)</f>
        <v/>
      </c>
      <c r="B4129" s="11" t="str">
        <f>IF(INPUT!M4124="","",INPUT!M4124-WEEKDAY(INPUT!M4124,2)+1)</f>
        <v/>
      </c>
      <c r="C4129" s="20">
        <f>IFERROR(_xlfn.ISOWEEKNUM(INPUT!M4124),"")</f>
        <v>52</v>
      </c>
      <c r="D4129" s="20">
        <f>IFERROR(YEAR(INPUT!M4124),"")</f>
        <v>1900</v>
      </c>
      <c r="E4129" t="str">
        <f>IF(INPUT!O4124="","",INPUT!O4124)</f>
        <v/>
      </c>
      <c r="F4129" t="str">
        <f>IF(INPUT!N4124="","",INPUT!N4124)</f>
        <v/>
      </c>
      <c r="G4129" cm="1">
        <f t="array" ref="G4129">IFERROR(VLOOKUP(INPUT!M4124&amp;INPUT!N4124,CHOOSE({1,2},INPUT!$A$3:$A$5000&amp;INPUT!$C$3:$C$5000,INPUT!$F$3:$F$5000),2,FALSE),"")</f>
        <v>0</v>
      </c>
      <c r="H4129" cm="1">
        <f t="array" ref="H4129">IFERROR(VLOOKUP(INPUT!M4124&amp;INPUT!N4124,CHOOSE({1,2},INPUT!$A$3:$A$5000&amp;INPUT!$C$3:$C$5000,INPUT!$D$3:$D$5000),2,FALSE),"")</f>
        <v>0</v>
      </c>
      <c r="I4129" s="46" t="str">
        <f>IF(INPUT!P4124="","",INPUT!P4124)</f>
        <v/>
      </c>
      <c r="J4129" s="46" t="str">
        <f>IF(INPUT!Q4124="","",INPUT!Q4124)</f>
        <v/>
      </c>
      <c r="K4129" s="46" t="str">
        <f>IFERROR(IF(OR(INPUT!P4124="",INPUT!Q4124=""),"",INPUT!P4124-INPUT!Q4124),"")</f>
        <v/>
      </c>
      <c r="L4129" s="48" t="str">
        <f>IFERROR(IF(OR(INPUT!P4124="",INPUT!Q4124="",INPUT!P4124=0),"",(INPUT!P4124-INPUT!Q4124)/INPUT!P4124),"")</f>
        <v/>
      </c>
    </row>
    <row r="4130" spans="1:12" ht="18" hidden="1" customHeight="1" x14ac:dyDescent="0.2">
      <c r="A4130" s="11" t="str">
        <f>IF(INPUT!M4125="","",INPUT!M4125)</f>
        <v/>
      </c>
      <c r="B4130" s="11" t="str">
        <f>IF(INPUT!M4125="","",INPUT!M4125-WEEKDAY(INPUT!M4125,2)+1)</f>
        <v/>
      </c>
      <c r="C4130" s="20">
        <f>IFERROR(_xlfn.ISOWEEKNUM(INPUT!M4125),"")</f>
        <v>52</v>
      </c>
      <c r="D4130" s="20">
        <f>IFERROR(YEAR(INPUT!M4125),"")</f>
        <v>1900</v>
      </c>
      <c r="E4130" t="str">
        <f>IF(INPUT!O4125="","",INPUT!O4125)</f>
        <v/>
      </c>
      <c r="F4130" t="str">
        <f>IF(INPUT!N4125="","",INPUT!N4125)</f>
        <v/>
      </c>
      <c r="G4130" cm="1">
        <f t="array" ref="G4130">IFERROR(VLOOKUP(INPUT!M4125&amp;INPUT!N4125,CHOOSE({1,2},INPUT!$A$3:$A$5000&amp;INPUT!$C$3:$C$5000,INPUT!$F$3:$F$5000),2,FALSE),"")</f>
        <v>0</v>
      </c>
      <c r="H4130" cm="1">
        <f t="array" ref="H4130">IFERROR(VLOOKUP(INPUT!M4125&amp;INPUT!N4125,CHOOSE({1,2},INPUT!$A$3:$A$5000&amp;INPUT!$C$3:$C$5000,INPUT!$D$3:$D$5000),2,FALSE),"")</f>
        <v>0</v>
      </c>
      <c r="I4130" s="46" t="str">
        <f>IF(INPUT!P4125="","",INPUT!P4125)</f>
        <v/>
      </c>
      <c r="J4130" s="46" t="str">
        <f>IF(INPUT!Q4125="","",INPUT!Q4125)</f>
        <v/>
      </c>
      <c r="K4130" s="46" t="str">
        <f>IFERROR(IF(OR(INPUT!P4125="",INPUT!Q4125=""),"",INPUT!P4125-INPUT!Q4125),"")</f>
        <v/>
      </c>
      <c r="L4130" s="48" t="str">
        <f>IFERROR(IF(OR(INPUT!P4125="",INPUT!Q4125="",INPUT!P4125=0),"",(INPUT!P4125-INPUT!Q4125)/INPUT!P4125),"")</f>
        <v/>
      </c>
    </row>
    <row r="4131" spans="1:12" ht="18" hidden="1" customHeight="1" x14ac:dyDescent="0.2">
      <c r="A4131" s="11" t="str">
        <f>IF(INPUT!M4126="","",INPUT!M4126)</f>
        <v/>
      </c>
      <c r="B4131" s="11" t="str">
        <f>IF(INPUT!M4126="","",INPUT!M4126-WEEKDAY(INPUT!M4126,2)+1)</f>
        <v/>
      </c>
      <c r="C4131" s="20">
        <f>IFERROR(_xlfn.ISOWEEKNUM(INPUT!M4126),"")</f>
        <v>52</v>
      </c>
      <c r="D4131" s="20">
        <f>IFERROR(YEAR(INPUT!M4126),"")</f>
        <v>1900</v>
      </c>
      <c r="E4131" t="str">
        <f>IF(INPUT!O4126="","",INPUT!O4126)</f>
        <v/>
      </c>
      <c r="F4131" t="str">
        <f>IF(INPUT!N4126="","",INPUT!N4126)</f>
        <v/>
      </c>
      <c r="G4131" cm="1">
        <f t="array" ref="G4131">IFERROR(VLOOKUP(INPUT!M4126&amp;INPUT!N4126,CHOOSE({1,2},INPUT!$A$3:$A$5000&amp;INPUT!$C$3:$C$5000,INPUT!$F$3:$F$5000),2,FALSE),"")</f>
        <v>0</v>
      </c>
      <c r="H4131" cm="1">
        <f t="array" ref="H4131">IFERROR(VLOOKUP(INPUT!M4126&amp;INPUT!N4126,CHOOSE({1,2},INPUT!$A$3:$A$5000&amp;INPUT!$C$3:$C$5000,INPUT!$D$3:$D$5000),2,FALSE),"")</f>
        <v>0</v>
      </c>
      <c r="I4131" s="46" t="str">
        <f>IF(INPUT!P4126="","",INPUT!P4126)</f>
        <v/>
      </c>
      <c r="J4131" s="46" t="str">
        <f>IF(INPUT!Q4126="","",INPUT!Q4126)</f>
        <v/>
      </c>
      <c r="K4131" s="46" t="str">
        <f>IFERROR(IF(OR(INPUT!P4126="",INPUT!Q4126=""),"",INPUT!P4126-INPUT!Q4126),"")</f>
        <v/>
      </c>
      <c r="L4131" s="48" t="str">
        <f>IFERROR(IF(OR(INPUT!P4126="",INPUT!Q4126="",INPUT!P4126=0),"",(INPUT!P4126-INPUT!Q4126)/INPUT!P4126),"")</f>
        <v/>
      </c>
    </row>
    <row r="4132" spans="1:12" ht="18" hidden="1" customHeight="1" x14ac:dyDescent="0.2">
      <c r="A4132" s="11" t="str">
        <f>IF(INPUT!M4127="","",INPUT!M4127)</f>
        <v/>
      </c>
      <c r="B4132" s="11" t="str">
        <f>IF(INPUT!M4127="","",INPUT!M4127-WEEKDAY(INPUT!M4127,2)+1)</f>
        <v/>
      </c>
      <c r="C4132" s="20">
        <f>IFERROR(_xlfn.ISOWEEKNUM(INPUT!M4127),"")</f>
        <v>52</v>
      </c>
      <c r="D4132" s="20">
        <f>IFERROR(YEAR(INPUT!M4127),"")</f>
        <v>1900</v>
      </c>
      <c r="E4132" t="str">
        <f>IF(INPUT!O4127="","",INPUT!O4127)</f>
        <v/>
      </c>
      <c r="F4132" t="str">
        <f>IF(INPUT!N4127="","",INPUT!N4127)</f>
        <v/>
      </c>
      <c r="G4132" cm="1">
        <f t="array" ref="G4132">IFERROR(VLOOKUP(INPUT!M4127&amp;INPUT!N4127,CHOOSE({1,2},INPUT!$A$3:$A$5000&amp;INPUT!$C$3:$C$5000,INPUT!$F$3:$F$5000),2,FALSE),"")</f>
        <v>0</v>
      </c>
      <c r="H4132" cm="1">
        <f t="array" ref="H4132">IFERROR(VLOOKUP(INPUT!M4127&amp;INPUT!N4127,CHOOSE({1,2},INPUT!$A$3:$A$5000&amp;INPUT!$C$3:$C$5000,INPUT!$D$3:$D$5000),2,FALSE),"")</f>
        <v>0</v>
      </c>
      <c r="I4132" s="46" t="str">
        <f>IF(INPUT!P4127="","",INPUT!P4127)</f>
        <v/>
      </c>
      <c r="J4132" s="46" t="str">
        <f>IF(INPUT!Q4127="","",INPUT!Q4127)</f>
        <v/>
      </c>
      <c r="K4132" s="46" t="str">
        <f>IFERROR(IF(OR(INPUT!P4127="",INPUT!Q4127=""),"",INPUT!P4127-INPUT!Q4127),"")</f>
        <v/>
      </c>
      <c r="L4132" s="48" t="str">
        <f>IFERROR(IF(OR(INPUT!P4127="",INPUT!Q4127="",INPUT!P4127=0),"",(INPUT!P4127-INPUT!Q4127)/INPUT!P4127),"")</f>
        <v/>
      </c>
    </row>
    <row r="4133" spans="1:12" ht="18" hidden="1" customHeight="1" x14ac:dyDescent="0.2">
      <c r="A4133" s="11" t="str">
        <f>IF(INPUT!M4128="","",INPUT!M4128)</f>
        <v/>
      </c>
      <c r="B4133" s="11" t="str">
        <f>IF(INPUT!M4128="","",INPUT!M4128-WEEKDAY(INPUT!M4128,2)+1)</f>
        <v/>
      </c>
      <c r="C4133" s="20">
        <f>IFERROR(_xlfn.ISOWEEKNUM(INPUT!M4128),"")</f>
        <v>52</v>
      </c>
      <c r="D4133" s="20">
        <f>IFERROR(YEAR(INPUT!M4128),"")</f>
        <v>1900</v>
      </c>
      <c r="E4133" t="str">
        <f>IF(INPUT!O4128="","",INPUT!O4128)</f>
        <v/>
      </c>
      <c r="F4133" t="str">
        <f>IF(INPUT!N4128="","",INPUT!N4128)</f>
        <v/>
      </c>
      <c r="G4133" cm="1">
        <f t="array" ref="G4133">IFERROR(VLOOKUP(INPUT!M4128&amp;INPUT!N4128,CHOOSE({1,2},INPUT!$A$3:$A$5000&amp;INPUT!$C$3:$C$5000,INPUT!$F$3:$F$5000),2,FALSE),"")</f>
        <v>0</v>
      </c>
      <c r="H4133" cm="1">
        <f t="array" ref="H4133">IFERROR(VLOOKUP(INPUT!M4128&amp;INPUT!N4128,CHOOSE({1,2},INPUT!$A$3:$A$5000&amp;INPUT!$C$3:$C$5000,INPUT!$D$3:$D$5000),2,FALSE),"")</f>
        <v>0</v>
      </c>
      <c r="I4133" s="46" t="str">
        <f>IF(INPUT!P4128="","",INPUT!P4128)</f>
        <v/>
      </c>
      <c r="J4133" s="46" t="str">
        <f>IF(INPUT!Q4128="","",INPUT!Q4128)</f>
        <v/>
      </c>
      <c r="K4133" s="46" t="str">
        <f>IFERROR(IF(OR(INPUT!P4128="",INPUT!Q4128=""),"",INPUT!P4128-INPUT!Q4128),"")</f>
        <v/>
      </c>
      <c r="L4133" s="48" t="str">
        <f>IFERROR(IF(OR(INPUT!P4128="",INPUT!Q4128="",INPUT!P4128=0),"",(INPUT!P4128-INPUT!Q4128)/INPUT!P4128),"")</f>
        <v/>
      </c>
    </row>
    <row r="4134" spans="1:12" ht="18" hidden="1" customHeight="1" x14ac:dyDescent="0.2">
      <c r="A4134" s="11" t="str">
        <f>IF(INPUT!M4129="","",INPUT!M4129)</f>
        <v/>
      </c>
      <c r="B4134" s="11" t="str">
        <f>IF(INPUT!M4129="","",INPUT!M4129-WEEKDAY(INPUT!M4129,2)+1)</f>
        <v/>
      </c>
      <c r="C4134" s="20">
        <f>IFERROR(_xlfn.ISOWEEKNUM(INPUT!M4129),"")</f>
        <v>52</v>
      </c>
      <c r="D4134" s="20">
        <f>IFERROR(YEAR(INPUT!M4129),"")</f>
        <v>1900</v>
      </c>
      <c r="E4134" t="str">
        <f>IF(INPUT!O4129="","",INPUT!O4129)</f>
        <v/>
      </c>
      <c r="F4134" t="str">
        <f>IF(INPUT!N4129="","",INPUT!N4129)</f>
        <v/>
      </c>
      <c r="G4134" cm="1">
        <f t="array" ref="G4134">IFERROR(VLOOKUP(INPUT!M4129&amp;INPUT!N4129,CHOOSE({1,2},INPUT!$A$3:$A$5000&amp;INPUT!$C$3:$C$5000,INPUT!$F$3:$F$5000),2,FALSE),"")</f>
        <v>0</v>
      </c>
      <c r="H4134" cm="1">
        <f t="array" ref="H4134">IFERROR(VLOOKUP(INPUT!M4129&amp;INPUT!N4129,CHOOSE({1,2},INPUT!$A$3:$A$5000&amp;INPUT!$C$3:$C$5000,INPUT!$D$3:$D$5000),2,FALSE),"")</f>
        <v>0</v>
      </c>
      <c r="I4134" s="46" t="str">
        <f>IF(INPUT!P4129="","",INPUT!P4129)</f>
        <v/>
      </c>
      <c r="J4134" s="46" t="str">
        <f>IF(INPUT!Q4129="","",INPUT!Q4129)</f>
        <v/>
      </c>
      <c r="K4134" s="46" t="str">
        <f>IFERROR(IF(OR(INPUT!P4129="",INPUT!Q4129=""),"",INPUT!P4129-INPUT!Q4129),"")</f>
        <v/>
      </c>
      <c r="L4134" s="48" t="str">
        <f>IFERROR(IF(OR(INPUT!P4129="",INPUT!Q4129="",INPUT!P4129=0),"",(INPUT!P4129-INPUT!Q4129)/INPUT!P4129),"")</f>
        <v/>
      </c>
    </row>
    <row r="4135" spans="1:12" ht="18" hidden="1" customHeight="1" x14ac:dyDescent="0.2">
      <c r="A4135" s="11" t="str">
        <f>IF(INPUT!M4130="","",INPUT!M4130)</f>
        <v/>
      </c>
      <c r="B4135" s="11" t="str">
        <f>IF(INPUT!M4130="","",INPUT!M4130-WEEKDAY(INPUT!M4130,2)+1)</f>
        <v/>
      </c>
      <c r="C4135" s="20">
        <f>IFERROR(_xlfn.ISOWEEKNUM(INPUT!M4130),"")</f>
        <v>52</v>
      </c>
      <c r="D4135" s="20">
        <f>IFERROR(YEAR(INPUT!M4130),"")</f>
        <v>1900</v>
      </c>
      <c r="E4135" t="str">
        <f>IF(INPUT!O4130="","",INPUT!O4130)</f>
        <v/>
      </c>
      <c r="F4135" t="str">
        <f>IF(INPUT!N4130="","",INPUT!N4130)</f>
        <v/>
      </c>
      <c r="G4135" cm="1">
        <f t="array" ref="G4135">IFERROR(VLOOKUP(INPUT!M4130&amp;INPUT!N4130,CHOOSE({1,2},INPUT!$A$3:$A$5000&amp;INPUT!$C$3:$C$5000,INPUT!$F$3:$F$5000),2,FALSE),"")</f>
        <v>0</v>
      </c>
      <c r="H4135" cm="1">
        <f t="array" ref="H4135">IFERROR(VLOOKUP(INPUT!M4130&amp;INPUT!N4130,CHOOSE({1,2},INPUT!$A$3:$A$5000&amp;INPUT!$C$3:$C$5000,INPUT!$D$3:$D$5000),2,FALSE),"")</f>
        <v>0</v>
      </c>
      <c r="I4135" s="46" t="str">
        <f>IF(INPUT!P4130="","",INPUT!P4130)</f>
        <v/>
      </c>
      <c r="J4135" s="46" t="str">
        <f>IF(INPUT!Q4130="","",INPUT!Q4130)</f>
        <v/>
      </c>
      <c r="K4135" s="46" t="str">
        <f>IFERROR(IF(OR(INPUT!P4130="",INPUT!Q4130=""),"",INPUT!P4130-INPUT!Q4130),"")</f>
        <v/>
      </c>
      <c r="L4135" s="48" t="str">
        <f>IFERROR(IF(OR(INPUT!P4130="",INPUT!Q4130="",INPUT!P4130=0),"",(INPUT!P4130-INPUT!Q4130)/INPUT!P4130),"")</f>
        <v/>
      </c>
    </row>
    <row r="4136" spans="1:12" ht="18" hidden="1" customHeight="1" x14ac:dyDescent="0.2">
      <c r="A4136" s="11" t="str">
        <f>IF(INPUT!M4131="","",INPUT!M4131)</f>
        <v/>
      </c>
      <c r="B4136" s="11" t="str">
        <f>IF(INPUT!M4131="","",INPUT!M4131-WEEKDAY(INPUT!M4131,2)+1)</f>
        <v/>
      </c>
      <c r="C4136" s="20">
        <f>IFERROR(_xlfn.ISOWEEKNUM(INPUT!M4131),"")</f>
        <v>52</v>
      </c>
      <c r="D4136" s="20">
        <f>IFERROR(YEAR(INPUT!M4131),"")</f>
        <v>1900</v>
      </c>
      <c r="E4136" t="str">
        <f>IF(INPUT!O4131="","",INPUT!O4131)</f>
        <v/>
      </c>
      <c r="F4136" t="str">
        <f>IF(INPUT!N4131="","",INPUT!N4131)</f>
        <v/>
      </c>
      <c r="G4136" cm="1">
        <f t="array" ref="G4136">IFERROR(VLOOKUP(INPUT!M4131&amp;INPUT!N4131,CHOOSE({1,2},INPUT!$A$3:$A$5000&amp;INPUT!$C$3:$C$5000,INPUT!$F$3:$F$5000),2,FALSE),"")</f>
        <v>0</v>
      </c>
      <c r="H4136" cm="1">
        <f t="array" ref="H4136">IFERROR(VLOOKUP(INPUT!M4131&amp;INPUT!N4131,CHOOSE({1,2},INPUT!$A$3:$A$5000&amp;INPUT!$C$3:$C$5000,INPUT!$D$3:$D$5000),2,FALSE),"")</f>
        <v>0</v>
      </c>
      <c r="I4136" s="46" t="str">
        <f>IF(INPUT!P4131="","",INPUT!P4131)</f>
        <v/>
      </c>
      <c r="J4136" s="46" t="str">
        <f>IF(INPUT!Q4131="","",INPUT!Q4131)</f>
        <v/>
      </c>
      <c r="K4136" s="46" t="str">
        <f>IFERROR(IF(OR(INPUT!P4131="",INPUT!Q4131=""),"",INPUT!P4131-INPUT!Q4131),"")</f>
        <v/>
      </c>
      <c r="L4136" s="48" t="str">
        <f>IFERROR(IF(OR(INPUT!P4131="",INPUT!Q4131="",INPUT!P4131=0),"",(INPUT!P4131-INPUT!Q4131)/INPUT!P4131),"")</f>
        <v/>
      </c>
    </row>
    <row r="4137" spans="1:12" ht="18" hidden="1" customHeight="1" x14ac:dyDescent="0.2">
      <c r="A4137" s="11" t="str">
        <f>IF(INPUT!M4132="","",INPUT!M4132)</f>
        <v/>
      </c>
      <c r="B4137" s="11" t="str">
        <f>IF(INPUT!M4132="","",INPUT!M4132-WEEKDAY(INPUT!M4132,2)+1)</f>
        <v/>
      </c>
      <c r="C4137" s="20">
        <f>IFERROR(_xlfn.ISOWEEKNUM(INPUT!M4132),"")</f>
        <v>52</v>
      </c>
      <c r="D4137" s="20">
        <f>IFERROR(YEAR(INPUT!M4132),"")</f>
        <v>1900</v>
      </c>
      <c r="E4137" t="str">
        <f>IF(INPUT!O4132="","",INPUT!O4132)</f>
        <v/>
      </c>
      <c r="F4137" t="str">
        <f>IF(INPUT!N4132="","",INPUT!N4132)</f>
        <v/>
      </c>
      <c r="G4137" cm="1">
        <f t="array" ref="G4137">IFERROR(VLOOKUP(INPUT!M4132&amp;INPUT!N4132,CHOOSE({1,2},INPUT!$A$3:$A$5000&amp;INPUT!$C$3:$C$5000,INPUT!$F$3:$F$5000),2,FALSE),"")</f>
        <v>0</v>
      </c>
      <c r="H4137" cm="1">
        <f t="array" ref="H4137">IFERROR(VLOOKUP(INPUT!M4132&amp;INPUT!N4132,CHOOSE({1,2},INPUT!$A$3:$A$5000&amp;INPUT!$C$3:$C$5000,INPUT!$D$3:$D$5000),2,FALSE),"")</f>
        <v>0</v>
      </c>
      <c r="I4137" s="46" t="str">
        <f>IF(INPUT!P4132="","",INPUT!P4132)</f>
        <v/>
      </c>
      <c r="J4137" s="46" t="str">
        <f>IF(INPUT!Q4132="","",INPUT!Q4132)</f>
        <v/>
      </c>
      <c r="K4137" s="46" t="str">
        <f>IFERROR(IF(OR(INPUT!P4132="",INPUT!Q4132=""),"",INPUT!P4132-INPUT!Q4132),"")</f>
        <v/>
      </c>
      <c r="L4137" s="48" t="str">
        <f>IFERROR(IF(OR(INPUT!P4132="",INPUT!Q4132="",INPUT!P4132=0),"",(INPUT!P4132-INPUT!Q4132)/INPUT!P4132),"")</f>
        <v/>
      </c>
    </row>
    <row r="4138" spans="1:12" ht="18" hidden="1" customHeight="1" x14ac:dyDescent="0.2">
      <c r="A4138" s="11" t="str">
        <f>IF(INPUT!M4133="","",INPUT!M4133)</f>
        <v/>
      </c>
      <c r="B4138" s="11" t="str">
        <f>IF(INPUT!M4133="","",INPUT!M4133-WEEKDAY(INPUT!M4133,2)+1)</f>
        <v/>
      </c>
      <c r="C4138" s="20">
        <f>IFERROR(_xlfn.ISOWEEKNUM(INPUT!M4133),"")</f>
        <v>52</v>
      </c>
      <c r="D4138" s="20">
        <f>IFERROR(YEAR(INPUT!M4133),"")</f>
        <v>1900</v>
      </c>
      <c r="E4138" t="str">
        <f>IF(INPUT!O4133="","",INPUT!O4133)</f>
        <v/>
      </c>
      <c r="F4138" t="str">
        <f>IF(INPUT!N4133="","",INPUT!N4133)</f>
        <v/>
      </c>
      <c r="G4138" cm="1">
        <f t="array" ref="G4138">IFERROR(VLOOKUP(INPUT!M4133&amp;INPUT!N4133,CHOOSE({1,2},INPUT!$A$3:$A$5000&amp;INPUT!$C$3:$C$5000,INPUT!$F$3:$F$5000),2,FALSE),"")</f>
        <v>0</v>
      </c>
      <c r="H4138" cm="1">
        <f t="array" ref="H4138">IFERROR(VLOOKUP(INPUT!M4133&amp;INPUT!N4133,CHOOSE({1,2},INPUT!$A$3:$A$5000&amp;INPUT!$C$3:$C$5000,INPUT!$D$3:$D$5000),2,FALSE),"")</f>
        <v>0</v>
      </c>
      <c r="I4138" s="46" t="str">
        <f>IF(INPUT!P4133="","",INPUT!P4133)</f>
        <v/>
      </c>
      <c r="J4138" s="46" t="str">
        <f>IF(INPUT!Q4133="","",INPUT!Q4133)</f>
        <v/>
      </c>
      <c r="K4138" s="46" t="str">
        <f>IFERROR(IF(OR(INPUT!P4133="",INPUT!Q4133=""),"",INPUT!P4133-INPUT!Q4133),"")</f>
        <v/>
      </c>
      <c r="L4138" s="48" t="str">
        <f>IFERROR(IF(OR(INPUT!P4133="",INPUT!Q4133="",INPUT!P4133=0),"",(INPUT!P4133-INPUT!Q4133)/INPUT!P4133),"")</f>
        <v/>
      </c>
    </row>
    <row r="4139" spans="1:12" ht="18" hidden="1" customHeight="1" x14ac:dyDescent="0.2">
      <c r="A4139" s="11" t="str">
        <f>IF(INPUT!M4134="","",INPUT!M4134)</f>
        <v/>
      </c>
      <c r="B4139" s="11" t="str">
        <f>IF(INPUT!M4134="","",INPUT!M4134-WEEKDAY(INPUT!M4134,2)+1)</f>
        <v/>
      </c>
      <c r="C4139" s="20">
        <f>IFERROR(_xlfn.ISOWEEKNUM(INPUT!M4134),"")</f>
        <v>52</v>
      </c>
      <c r="D4139" s="20">
        <f>IFERROR(YEAR(INPUT!M4134),"")</f>
        <v>1900</v>
      </c>
      <c r="E4139" t="str">
        <f>IF(INPUT!O4134="","",INPUT!O4134)</f>
        <v/>
      </c>
      <c r="F4139" t="str">
        <f>IF(INPUT!N4134="","",INPUT!N4134)</f>
        <v/>
      </c>
      <c r="G4139" cm="1">
        <f t="array" ref="G4139">IFERROR(VLOOKUP(INPUT!M4134&amp;INPUT!N4134,CHOOSE({1,2},INPUT!$A$3:$A$5000&amp;INPUT!$C$3:$C$5000,INPUT!$F$3:$F$5000),2,FALSE),"")</f>
        <v>0</v>
      </c>
      <c r="H4139" cm="1">
        <f t="array" ref="H4139">IFERROR(VLOOKUP(INPUT!M4134&amp;INPUT!N4134,CHOOSE({1,2},INPUT!$A$3:$A$5000&amp;INPUT!$C$3:$C$5000,INPUT!$D$3:$D$5000),2,FALSE),"")</f>
        <v>0</v>
      </c>
      <c r="I4139" s="46" t="str">
        <f>IF(INPUT!P4134="","",INPUT!P4134)</f>
        <v/>
      </c>
      <c r="J4139" s="46" t="str">
        <f>IF(INPUT!Q4134="","",INPUT!Q4134)</f>
        <v/>
      </c>
      <c r="K4139" s="46" t="str">
        <f>IFERROR(IF(OR(INPUT!P4134="",INPUT!Q4134=""),"",INPUT!P4134-INPUT!Q4134),"")</f>
        <v/>
      </c>
      <c r="L4139" s="48" t="str">
        <f>IFERROR(IF(OR(INPUT!P4134="",INPUT!Q4134="",INPUT!P4134=0),"",(INPUT!P4134-INPUT!Q4134)/INPUT!P4134),"")</f>
        <v/>
      </c>
    </row>
    <row r="4140" spans="1:12" ht="18" hidden="1" customHeight="1" x14ac:dyDescent="0.2">
      <c r="A4140" s="11" t="str">
        <f>IF(INPUT!M4135="","",INPUT!M4135)</f>
        <v/>
      </c>
      <c r="B4140" s="11" t="str">
        <f>IF(INPUT!M4135="","",INPUT!M4135-WEEKDAY(INPUT!M4135,2)+1)</f>
        <v/>
      </c>
      <c r="C4140" s="20">
        <f>IFERROR(_xlfn.ISOWEEKNUM(INPUT!M4135),"")</f>
        <v>52</v>
      </c>
      <c r="D4140" s="20">
        <f>IFERROR(YEAR(INPUT!M4135),"")</f>
        <v>1900</v>
      </c>
      <c r="E4140" t="str">
        <f>IF(INPUT!O4135="","",INPUT!O4135)</f>
        <v/>
      </c>
      <c r="F4140" t="str">
        <f>IF(INPUT!N4135="","",INPUT!N4135)</f>
        <v/>
      </c>
      <c r="G4140" cm="1">
        <f t="array" ref="G4140">IFERROR(VLOOKUP(INPUT!M4135&amp;INPUT!N4135,CHOOSE({1,2},INPUT!$A$3:$A$5000&amp;INPUT!$C$3:$C$5000,INPUT!$F$3:$F$5000),2,FALSE),"")</f>
        <v>0</v>
      </c>
      <c r="H4140" cm="1">
        <f t="array" ref="H4140">IFERROR(VLOOKUP(INPUT!M4135&amp;INPUT!N4135,CHOOSE({1,2},INPUT!$A$3:$A$5000&amp;INPUT!$C$3:$C$5000,INPUT!$D$3:$D$5000),2,FALSE),"")</f>
        <v>0</v>
      </c>
      <c r="I4140" s="46" t="str">
        <f>IF(INPUT!P4135="","",INPUT!P4135)</f>
        <v/>
      </c>
      <c r="J4140" s="46" t="str">
        <f>IF(INPUT!Q4135="","",INPUT!Q4135)</f>
        <v/>
      </c>
      <c r="K4140" s="46" t="str">
        <f>IFERROR(IF(OR(INPUT!P4135="",INPUT!Q4135=""),"",INPUT!P4135-INPUT!Q4135),"")</f>
        <v/>
      </c>
      <c r="L4140" s="48" t="str">
        <f>IFERROR(IF(OR(INPUT!P4135="",INPUT!Q4135="",INPUT!P4135=0),"",(INPUT!P4135-INPUT!Q4135)/INPUT!P4135),"")</f>
        <v/>
      </c>
    </row>
    <row r="4141" spans="1:12" ht="18" hidden="1" customHeight="1" x14ac:dyDescent="0.2">
      <c r="A4141" s="11" t="str">
        <f>IF(INPUT!M4136="","",INPUT!M4136)</f>
        <v/>
      </c>
      <c r="B4141" s="11" t="str">
        <f>IF(INPUT!M4136="","",INPUT!M4136-WEEKDAY(INPUT!M4136,2)+1)</f>
        <v/>
      </c>
      <c r="C4141" s="20">
        <f>IFERROR(_xlfn.ISOWEEKNUM(INPUT!M4136),"")</f>
        <v>52</v>
      </c>
      <c r="D4141" s="20">
        <f>IFERROR(YEAR(INPUT!M4136),"")</f>
        <v>1900</v>
      </c>
      <c r="E4141" t="str">
        <f>IF(INPUT!O4136="","",INPUT!O4136)</f>
        <v/>
      </c>
      <c r="F4141" t="str">
        <f>IF(INPUT!N4136="","",INPUT!N4136)</f>
        <v/>
      </c>
      <c r="G4141" cm="1">
        <f t="array" ref="G4141">IFERROR(VLOOKUP(INPUT!M4136&amp;INPUT!N4136,CHOOSE({1,2},INPUT!$A$3:$A$5000&amp;INPUT!$C$3:$C$5000,INPUT!$F$3:$F$5000),2,FALSE),"")</f>
        <v>0</v>
      </c>
      <c r="H4141" cm="1">
        <f t="array" ref="H4141">IFERROR(VLOOKUP(INPUT!M4136&amp;INPUT!N4136,CHOOSE({1,2},INPUT!$A$3:$A$5000&amp;INPUT!$C$3:$C$5000,INPUT!$D$3:$D$5000),2,FALSE),"")</f>
        <v>0</v>
      </c>
      <c r="I4141" s="46" t="str">
        <f>IF(INPUT!P4136="","",INPUT!P4136)</f>
        <v/>
      </c>
      <c r="J4141" s="46" t="str">
        <f>IF(INPUT!Q4136="","",INPUT!Q4136)</f>
        <v/>
      </c>
      <c r="K4141" s="46" t="str">
        <f>IFERROR(IF(OR(INPUT!P4136="",INPUT!Q4136=""),"",INPUT!P4136-INPUT!Q4136),"")</f>
        <v/>
      </c>
      <c r="L4141" s="48" t="str">
        <f>IFERROR(IF(OR(INPUT!P4136="",INPUT!Q4136="",INPUT!P4136=0),"",(INPUT!P4136-INPUT!Q4136)/INPUT!P4136),"")</f>
        <v/>
      </c>
    </row>
    <row r="4142" spans="1:12" ht="18" hidden="1" customHeight="1" x14ac:dyDescent="0.2">
      <c r="A4142" s="11" t="str">
        <f>IF(INPUT!M4137="","",INPUT!M4137)</f>
        <v/>
      </c>
      <c r="B4142" s="11" t="str">
        <f>IF(INPUT!M4137="","",INPUT!M4137-WEEKDAY(INPUT!M4137,2)+1)</f>
        <v/>
      </c>
      <c r="C4142" s="20">
        <f>IFERROR(_xlfn.ISOWEEKNUM(INPUT!M4137),"")</f>
        <v>52</v>
      </c>
      <c r="D4142" s="20">
        <f>IFERROR(YEAR(INPUT!M4137),"")</f>
        <v>1900</v>
      </c>
      <c r="E4142" t="str">
        <f>IF(INPUT!O4137="","",INPUT!O4137)</f>
        <v/>
      </c>
      <c r="F4142" t="str">
        <f>IF(INPUT!N4137="","",INPUT!N4137)</f>
        <v/>
      </c>
      <c r="G4142" cm="1">
        <f t="array" ref="G4142">IFERROR(VLOOKUP(INPUT!M4137&amp;INPUT!N4137,CHOOSE({1,2},INPUT!$A$3:$A$5000&amp;INPUT!$C$3:$C$5000,INPUT!$F$3:$F$5000),2,FALSE),"")</f>
        <v>0</v>
      </c>
      <c r="H4142" cm="1">
        <f t="array" ref="H4142">IFERROR(VLOOKUP(INPUT!M4137&amp;INPUT!N4137,CHOOSE({1,2},INPUT!$A$3:$A$5000&amp;INPUT!$C$3:$C$5000,INPUT!$D$3:$D$5000),2,FALSE),"")</f>
        <v>0</v>
      </c>
      <c r="I4142" s="46" t="str">
        <f>IF(INPUT!P4137="","",INPUT!P4137)</f>
        <v/>
      </c>
      <c r="J4142" s="46" t="str">
        <f>IF(INPUT!Q4137="","",INPUT!Q4137)</f>
        <v/>
      </c>
      <c r="K4142" s="46" t="str">
        <f>IFERROR(IF(OR(INPUT!P4137="",INPUT!Q4137=""),"",INPUT!P4137-INPUT!Q4137),"")</f>
        <v/>
      </c>
      <c r="L4142" s="48" t="str">
        <f>IFERROR(IF(OR(INPUT!P4137="",INPUT!Q4137="",INPUT!P4137=0),"",(INPUT!P4137-INPUT!Q4137)/INPUT!P4137),"")</f>
        <v/>
      </c>
    </row>
    <row r="4143" spans="1:12" ht="18" hidden="1" customHeight="1" x14ac:dyDescent="0.2">
      <c r="A4143" s="11" t="str">
        <f>IF(INPUT!M4138="","",INPUT!M4138)</f>
        <v/>
      </c>
      <c r="B4143" s="11" t="str">
        <f>IF(INPUT!M4138="","",INPUT!M4138-WEEKDAY(INPUT!M4138,2)+1)</f>
        <v/>
      </c>
      <c r="C4143" s="20">
        <f>IFERROR(_xlfn.ISOWEEKNUM(INPUT!M4138),"")</f>
        <v>52</v>
      </c>
      <c r="D4143" s="20">
        <f>IFERROR(YEAR(INPUT!M4138),"")</f>
        <v>1900</v>
      </c>
      <c r="E4143" t="str">
        <f>IF(INPUT!O4138="","",INPUT!O4138)</f>
        <v/>
      </c>
      <c r="F4143" t="str">
        <f>IF(INPUT!N4138="","",INPUT!N4138)</f>
        <v/>
      </c>
      <c r="G4143" cm="1">
        <f t="array" ref="G4143">IFERROR(VLOOKUP(INPUT!M4138&amp;INPUT!N4138,CHOOSE({1,2},INPUT!$A$3:$A$5000&amp;INPUT!$C$3:$C$5000,INPUT!$F$3:$F$5000),2,FALSE),"")</f>
        <v>0</v>
      </c>
      <c r="H4143" cm="1">
        <f t="array" ref="H4143">IFERROR(VLOOKUP(INPUT!M4138&amp;INPUT!N4138,CHOOSE({1,2},INPUT!$A$3:$A$5000&amp;INPUT!$C$3:$C$5000,INPUT!$D$3:$D$5000),2,FALSE),"")</f>
        <v>0</v>
      </c>
      <c r="I4143" s="46" t="str">
        <f>IF(INPUT!P4138="","",INPUT!P4138)</f>
        <v/>
      </c>
      <c r="J4143" s="46" t="str">
        <f>IF(INPUT!Q4138="","",INPUT!Q4138)</f>
        <v/>
      </c>
      <c r="K4143" s="46" t="str">
        <f>IFERROR(IF(OR(INPUT!P4138="",INPUT!Q4138=""),"",INPUT!P4138-INPUT!Q4138),"")</f>
        <v/>
      </c>
      <c r="L4143" s="48" t="str">
        <f>IFERROR(IF(OR(INPUT!P4138="",INPUT!Q4138="",INPUT!P4138=0),"",(INPUT!P4138-INPUT!Q4138)/INPUT!P4138),"")</f>
        <v/>
      </c>
    </row>
    <row r="4144" spans="1:12" ht="18" hidden="1" customHeight="1" x14ac:dyDescent="0.2">
      <c r="A4144" s="11" t="str">
        <f>IF(INPUT!M4139="","",INPUT!M4139)</f>
        <v/>
      </c>
      <c r="B4144" s="11" t="str">
        <f>IF(INPUT!M4139="","",INPUT!M4139-WEEKDAY(INPUT!M4139,2)+1)</f>
        <v/>
      </c>
      <c r="C4144" s="20">
        <f>IFERROR(_xlfn.ISOWEEKNUM(INPUT!M4139),"")</f>
        <v>52</v>
      </c>
      <c r="D4144" s="20">
        <f>IFERROR(YEAR(INPUT!M4139),"")</f>
        <v>1900</v>
      </c>
      <c r="E4144" t="str">
        <f>IF(INPUT!O4139="","",INPUT!O4139)</f>
        <v/>
      </c>
      <c r="F4144" t="str">
        <f>IF(INPUT!N4139="","",INPUT!N4139)</f>
        <v/>
      </c>
      <c r="G4144" cm="1">
        <f t="array" ref="G4144">IFERROR(VLOOKUP(INPUT!M4139&amp;INPUT!N4139,CHOOSE({1,2},INPUT!$A$3:$A$5000&amp;INPUT!$C$3:$C$5000,INPUT!$F$3:$F$5000),2,FALSE),"")</f>
        <v>0</v>
      </c>
      <c r="H4144" cm="1">
        <f t="array" ref="H4144">IFERROR(VLOOKUP(INPUT!M4139&amp;INPUT!N4139,CHOOSE({1,2},INPUT!$A$3:$A$5000&amp;INPUT!$C$3:$C$5000,INPUT!$D$3:$D$5000),2,FALSE),"")</f>
        <v>0</v>
      </c>
      <c r="I4144" s="46" t="str">
        <f>IF(INPUT!P4139="","",INPUT!P4139)</f>
        <v/>
      </c>
      <c r="J4144" s="46" t="str">
        <f>IF(INPUT!Q4139="","",INPUT!Q4139)</f>
        <v/>
      </c>
      <c r="K4144" s="46" t="str">
        <f>IFERROR(IF(OR(INPUT!P4139="",INPUT!Q4139=""),"",INPUT!P4139-INPUT!Q4139),"")</f>
        <v/>
      </c>
      <c r="L4144" s="48" t="str">
        <f>IFERROR(IF(OR(INPUT!P4139="",INPUT!Q4139="",INPUT!P4139=0),"",(INPUT!P4139-INPUT!Q4139)/INPUT!P4139),"")</f>
        <v/>
      </c>
    </row>
    <row r="4145" spans="1:12" ht="18" hidden="1" customHeight="1" x14ac:dyDescent="0.2">
      <c r="A4145" s="11" t="str">
        <f>IF(INPUT!M4140="","",INPUT!M4140)</f>
        <v/>
      </c>
      <c r="B4145" s="11" t="str">
        <f>IF(INPUT!M4140="","",INPUT!M4140-WEEKDAY(INPUT!M4140,2)+1)</f>
        <v/>
      </c>
      <c r="C4145" s="20">
        <f>IFERROR(_xlfn.ISOWEEKNUM(INPUT!M4140),"")</f>
        <v>52</v>
      </c>
      <c r="D4145" s="20">
        <f>IFERROR(YEAR(INPUT!M4140),"")</f>
        <v>1900</v>
      </c>
      <c r="E4145" t="str">
        <f>IF(INPUT!O4140="","",INPUT!O4140)</f>
        <v/>
      </c>
      <c r="F4145" t="str">
        <f>IF(INPUT!N4140="","",INPUT!N4140)</f>
        <v/>
      </c>
      <c r="G4145" cm="1">
        <f t="array" ref="G4145">IFERROR(VLOOKUP(INPUT!M4140&amp;INPUT!N4140,CHOOSE({1,2},INPUT!$A$3:$A$5000&amp;INPUT!$C$3:$C$5000,INPUT!$F$3:$F$5000),2,FALSE),"")</f>
        <v>0</v>
      </c>
      <c r="H4145" cm="1">
        <f t="array" ref="H4145">IFERROR(VLOOKUP(INPUT!M4140&amp;INPUT!N4140,CHOOSE({1,2},INPUT!$A$3:$A$5000&amp;INPUT!$C$3:$C$5000,INPUT!$D$3:$D$5000),2,FALSE),"")</f>
        <v>0</v>
      </c>
      <c r="I4145" s="46" t="str">
        <f>IF(INPUT!P4140="","",INPUT!P4140)</f>
        <v/>
      </c>
      <c r="J4145" s="46" t="str">
        <f>IF(INPUT!Q4140="","",INPUT!Q4140)</f>
        <v/>
      </c>
      <c r="K4145" s="46" t="str">
        <f>IFERROR(IF(OR(INPUT!P4140="",INPUT!Q4140=""),"",INPUT!P4140-INPUT!Q4140),"")</f>
        <v/>
      </c>
      <c r="L4145" s="48" t="str">
        <f>IFERROR(IF(OR(INPUT!P4140="",INPUT!Q4140="",INPUT!P4140=0),"",(INPUT!P4140-INPUT!Q4140)/INPUT!P4140),"")</f>
        <v/>
      </c>
    </row>
    <row r="4146" spans="1:12" ht="18" hidden="1" customHeight="1" x14ac:dyDescent="0.2">
      <c r="A4146" s="11" t="str">
        <f>IF(INPUT!M4141="","",INPUT!M4141)</f>
        <v/>
      </c>
      <c r="B4146" s="11" t="str">
        <f>IF(INPUT!M4141="","",INPUT!M4141-WEEKDAY(INPUT!M4141,2)+1)</f>
        <v/>
      </c>
      <c r="C4146" s="20">
        <f>IFERROR(_xlfn.ISOWEEKNUM(INPUT!M4141),"")</f>
        <v>52</v>
      </c>
      <c r="D4146" s="20">
        <f>IFERROR(YEAR(INPUT!M4141),"")</f>
        <v>1900</v>
      </c>
      <c r="E4146" t="str">
        <f>IF(INPUT!O4141="","",INPUT!O4141)</f>
        <v/>
      </c>
      <c r="F4146" t="str">
        <f>IF(INPUT!N4141="","",INPUT!N4141)</f>
        <v/>
      </c>
      <c r="G4146" cm="1">
        <f t="array" ref="G4146">IFERROR(VLOOKUP(INPUT!M4141&amp;INPUT!N4141,CHOOSE({1,2},INPUT!$A$3:$A$5000&amp;INPUT!$C$3:$C$5000,INPUT!$F$3:$F$5000),2,FALSE),"")</f>
        <v>0</v>
      </c>
      <c r="H4146" cm="1">
        <f t="array" ref="H4146">IFERROR(VLOOKUP(INPUT!M4141&amp;INPUT!N4141,CHOOSE({1,2},INPUT!$A$3:$A$5000&amp;INPUT!$C$3:$C$5000,INPUT!$D$3:$D$5000),2,FALSE),"")</f>
        <v>0</v>
      </c>
      <c r="I4146" s="46" t="str">
        <f>IF(INPUT!P4141="","",INPUT!P4141)</f>
        <v/>
      </c>
      <c r="J4146" s="46" t="str">
        <f>IF(INPUT!Q4141="","",INPUT!Q4141)</f>
        <v/>
      </c>
      <c r="K4146" s="46" t="str">
        <f>IFERROR(IF(OR(INPUT!P4141="",INPUT!Q4141=""),"",INPUT!P4141-INPUT!Q4141),"")</f>
        <v/>
      </c>
      <c r="L4146" s="48" t="str">
        <f>IFERROR(IF(OR(INPUT!P4141="",INPUT!Q4141="",INPUT!P4141=0),"",(INPUT!P4141-INPUT!Q4141)/INPUT!P4141),"")</f>
        <v/>
      </c>
    </row>
    <row r="4147" spans="1:12" ht="18" hidden="1" customHeight="1" x14ac:dyDescent="0.2">
      <c r="A4147" s="11" t="str">
        <f>IF(INPUT!M4142="","",INPUT!M4142)</f>
        <v/>
      </c>
      <c r="B4147" s="11" t="str">
        <f>IF(INPUT!M4142="","",INPUT!M4142-WEEKDAY(INPUT!M4142,2)+1)</f>
        <v/>
      </c>
      <c r="C4147" s="20">
        <f>IFERROR(_xlfn.ISOWEEKNUM(INPUT!M4142),"")</f>
        <v>52</v>
      </c>
      <c r="D4147" s="20">
        <f>IFERROR(YEAR(INPUT!M4142),"")</f>
        <v>1900</v>
      </c>
      <c r="E4147" t="str">
        <f>IF(INPUT!O4142="","",INPUT!O4142)</f>
        <v/>
      </c>
      <c r="F4147" t="str">
        <f>IF(INPUT!N4142="","",INPUT!N4142)</f>
        <v/>
      </c>
      <c r="G4147" cm="1">
        <f t="array" ref="G4147">IFERROR(VLOOKUP(INPUT!M4142&amp;INPUT!N4142,CHOOSE({1,2},INPUT!$A$3:$A$5000&amp;INPUT!$C$3:$C$5000,INPUT!$F$3:$F$5000),2,FALSE),"")</f>
        <v>0</v>
      </c>
      <c r="H4147" cm="1">
        <f t="array" ref="H4147">IFERROR(VLOOKUP(INPUT!M4142&amp;INPUT!N4142,CHOOSE({1,2},INPUT!$A$3:$A$5000&amp;INPUT!$C$3:$C$5000,INPUT!$D$3:$D$5000),2,FALSE),"")</f>
        <v>0</v>
      </c>
      <c r="I4147" s="46" t="str">
        <f>IF(INPUT!P4142="","",INPUT!P4142)</f>
        <v/>
      </c>
      <c r="J4147" s="46" t="str">
        <f>IF(INPUT!Q4142="","",INPUT!Q4142)</f>
        <v/>
      </c>
      <c r="K4147" s="46" t="str">
        <f>IFERROR(IF(OR(INPUT!P4142="",INPUT!Q4142=""),"",INPUT!P4142-INPUT!Q4142),"")</f>
        <v/>
      </c>
      <c r="L4147" s="48" t="str">
        <f>IFERROR(IF(OR(INPUT!P4142="",INPUT!Q4142="",INPUT!P4142=0),"",(INPUT!P4142-INPUT!Q4142)/INPUT!P4142),"")</f>
        <v/>
      </c>
    </row>
    <row r="4148" spans="1:12" ht="18" hidden="1" customHeight="1" x14ac:dyDescent="0.2">
      <c r="A4148" s="11" t="str">
        <f>IF(INPUT!M4143="","",INPUT!M4143)</f>
        <v/>
      </c>
      <c r="B4148" s="11" t="str">
        <f>IF(INPUT!M4143="","",INPUT!M4143-WEEKDAY(INPUT!M4143,2)+1)</f>
        <v/>
      </c>
      <c r="C4148" s="20">
        <f>IFERROR(_xlfn.ISOWEEKNUM(INPUT!M4143),"")</f>
        <v>52</v>
      </c>
      <c r="D4148" s="20">
        <f>IFERROR(YEAR(INPUT!M4143),"")</f>
        <v>1900</v>
      </c>
      <c r="E4148" t="str">
        <f>IF(INPUT!O4143="","",INPUT!O4143)</f>
        <v/>
      </c>
      <c r="F4148" t="str">
        <f>IF(INPUT!N4143="","",INPUT!N4143)</f>
        <v/>
      </c>
      <c r="G4148" cm="1">
        <f t="array" ref="G4148">IFERROR(VLOOKUP(INPUT!M4143&amp;INPUT!N4143,CHOOSE({1,2},INPUT!$A$3:$A$5000&amp;INPUT!$C$3:$C$5000,INPUT!$F$3:$F$5000),2,FALSE),"")</f>
        <v>0</v>
      </c>
      <c r="H4148" cm="1">
        <f t="array" ref="H4148">IFERROR(VLOOKUP(INPUT!M4143&amp;INPUT!N4143,CHOOSE({1,2},INPUT!$A$3:$A$5000&amp;INPUT!$C$3:$C$5000,INPUT!$D$3:$D$5000),2,FALSE),"")</f>
        <v>0</v>
      </c>
      <c r="I4148" s="46" t="str">
        <f>IF(INPUT!P4143="","",INPUT!P4143)</f>
        <v/>
      </c>
      <c r="J4148" s="46" t="str">
        <f>IF(INPUT!Q4143="","",INPUT!Q4143)</f>
        <v/>
      </c>
      <c r="K4148" s="46" t="str">
        <f>IFERROR(IF(OR(INPUT!P4143="",INPUT!Q4143=""),"",INPUT!P4143-INPUT!Q4143),"")</f>
        <v/>
      </c>
      <c r="L4148" s="48" t="str">
        <f>IFERROR(IF(OR(INPUT!P4143="",INPUT!Q4143="",INPUT!P4143=0),"",(INPUT!P4143-INPUT!Q4143)/INPUT!P4143),"")</f>
        <v/>
      </c>
    </row>
    <row r="4149" spans="1:12" ht="18" hidden="1" customHeight="1" x14ac:dyDescent="0.2">
      <c r="A4149" s="11" t="str">
        <f>IF(INPUT!M4144="","",INPUT!M4144)</f>
        <v/>
      </c>
      <c r="B4149" s="11" t="str">
        <f>IF(INPUT!M4144="","",INPUT!M4144-WEEKDAY(INPUT!M4144,2)+1)</f>
        <v/>
      </c>
      <c r="C4149" s="20">
        <f>IFERROR(_xlfn.ISOWEEKNUM(INPUT!M4144),"")</f>
        <v>52</v>
      </c>
      <c r="D4149" s="20">
        <f>IFERROR(YEAR(INPUT!M4144),"")</f>
        <v>1900</v>
      </c>
      <c r="E4149" t="str">
        <f>IF(INPUT!O4144="","",INPUT!O4144)</f>
        <v/>
      </c>
      <c r="F4149" t="str">
        <f>IF(INPUT!N4144="","",INPUT!N4144)</f>
        <v/>
      </c>
      <c r="G4149" cm="1">
        <f t="array" ref="G4149">IFERROR(VLOOKUP(INPUT!M4144&amp;INPUT!N4144,CHOOSE({1,2},INPUT!$A$3:$A$5000&amp;INPUT!$C$3:$C$5000,INPUT!$F$3:$F$5000),2,FALSE),"")</f>
        <v>0</v>
      </c>
      <c r="H4149" cm="1">
        <f t="array" ref="H4149">IFERROR(VLOOKUP(INPUT!M4144&amp;INPUT!N4144,CHOOSE({1,2},INPUT!$A$3:$A$5000&amp;INPUT!$C$3:$C$5000,INPUT!$D$3:$D$5000),2,FALSE),"")</f>
        <v>0</v>
      </c>
      <c r="I4149" s="46" t="str">
        <f>IF(INPUT!P4144="","",INPUT!P4144)</f>
        <v/>
      </c>
      <c r="J4149" s="46" t="str">
        <f>IF(INPUT!Q4144="","",INPUT!Q4144)</f>
        <v/>
      </c>
      <c r="K4149" s="46" t="str">
        <f>IFERROR(IF(OR(INPUT!P4144="",INPUT!Q4144=""),"",INPUT!P4144-INPUT!Q4144),"")</f>
        <v/>
      </c>
      <c r="L4149" s="48" t="str">
        <f>IFERROR(IF(OR(INPUT!P4144="",INPUT!Q4144="",INPUT!P4144=0),"",(INPUT!P4144-INPUT!Q4144)/INPUT!P4144),"")</f>
        <v/>
      </c>
    </row>
    <row r="4150" spans="1:12" ht="18" hidden="1" customHeight="1" x14ac:dyDescent="0.2">
      <c r="A4150" s="11" t="str">
        <f>IF(INPUT!M4145="","",INPUT!M4145)</f>
        <v/>
      </c>
      <c r="B4150" s="11" t="str">
        <f>IF(INPUT!M4145="","",INPUT!M4145-WEEKDAY(INPUT!M4145,2)+1)</f>
        <v/>
      </c>
      <c r="C4150" s="20">
        <f>IFERROR(_xlfn.ISOWEEKNUM(INPUT!M4145),"")</f>
        <v>52</v>
      </c>
      <c r="D4150" s="20">
        <f>IFERROR(YEAR(INPUT!M4145),"")</f>
        <v>1900</v>
      </c>
      <c r="E4150" t="str">
        <f>IF(INPUT!O4145="","",INPUT!O4145)</f>
        <v/>
      </c>
      <c r="F4150" t="str">
        <f>IF(INPUT!N4145="","",INPUT!N4145)</f>
        <v/>
      </c>
      <c r="G4150" cm="1">
        <f t="array" ref="G4150">IFERROR(VLOOKUP(INPUT!M4145&amp;INPUT!N4145,CHOOSE({1,2},INPUT!$A$3:$A$5000&amp;INPUT!$C$3:$C$5000,INPUT!$F$3:$F$5000),2,FALSE),"")</f>
        <v>0</v>
      </c>
      <c r="H4150" cm="1">
        <f t="array" ref="H4150">IFERROR(VLOOKUP(INPUT!M4145&amp;INPUT!N4145,CHOOSE({1,2},INPUT!$A$3:$A$5000&amp;INPUT!$C$3:$C$5000,INPUT!$D$3:$D$5000),2,FALSE),"")</f>
        <v>0</v>
      </c>
      <c r="I4150" s="46" t="str">
        <f>IF(INPUT!P4145="","",INPUT!P4145)</f>
        <v/>
      </c>
      <c r="J4150" s="46" t="str">
        <f>IF(INPUT!Q4145="","",INPUT!Q4145)</f>
        <v/>
      </c>
      <c r="K4150" s="46" t="str">
        <f>IFERROR(IF(OR(INPUT!P4145="",INPUT!Q4145=""),"",INPUT!P4145-INPUT!Q4145),"")</f>
        <v/>
      </c>
      <c r="L4150" s="48" t="str">
        <f>IFERROR(IF(OR(INPUT!P4145="",INPUT!Q4145="",INPUT!P4145=0),"",(INPUT!P4145-INPUT!Q4145)/INPUT!P4145),"")</f>
        <v/>
      </c>
    </row>
    <row r="4151" spans="1:12" ht="18" hidden="1" customHeight="1" x14ac:dyDescent="0.2">
      <c r="A4151" s="11" t="str">
        <f>IF(INPUT!M4146="","",INPUT!M4146)</f>
        <v/>
      </c>
      <c r="B4151" s="11" t="str">
        <f>IF(INPUT!M4146="","",INPUT!M4146-WEEKDAY(INPUT!M4146,2)+1)</f>
        <v/>
      </c>
      <c r="C4151" s="20">
        <f>IFERROR(_xlfn.ISOWEEKNUM(INPUT!M4146),"")</f>
        <v>52</v>
      </c>
      <c r="D4151" s="20">
        <f>IFERROR(YEAR(INPUT!M4146),"")</f>
        <v>1900</v>
      </c>
      <c r="E4151" t="str">
        <f>IF(INPUT!O4146="","",INPUT!O4146)</f>
        <v/>
      </c>
      <c r="F4151" t="str">
        <f>IF(INPUT!N4146="","",INPUT!N4146)</f>
        <v/>
      </c>
      <c r="G4151" cm="1">
        <f t="array" ref="G4151">IFERROR(VLOOKUP(INPUT!M4146&amp;INPUT!N4146,CHOOSE({1,2},INPUT!$A$3:$A$5000&amp;INPUT!$C$3:$C$5000,INPUT!$F$3:$F$5000),2,FALSE),"")</f>
        <v>0</v>
      </c>
      <c r="H4151" cm="1">
        <f t="array" ref="H4151">IFERROR(VLOOKUP(INPUT!M4146&amp;INPUT!N4146,CHOOSE({1,2},INPUT!$A$3:$A$5000&amp;INPUT!$C$3:$C$5000,INPUT!$D$3:$D$5000),2,FALSE),"")</f>
        <v>0</v>
      </c>
      <c r="I4151" s="46" t="str">
        <f>IF(INPUT!P4146="","",INPUT!P4146)</f>
        <v/>
      </c>
      <c r="J4151" s="46" t="str">
        <f>IF(INPUT!Q4146="","",INPUT!Q4146)</f>
        <v/>
      </c>
      <c r="K4151" s="46" t="str">
        <f>IFERROR(IF(OR(INPUT!P4146="",INPUT!Q4146=""),"",INPUT!P4146-INPUT!Q4146),"")</f>
        <v/>
      </c>
      <c r="L4151" s="48" t="str">
        <f>IFERROR(IF(OR(INPUT!P4146="",INPUT!Q4146="",INPUT!P4146=0),"",(INPUT!P4146-INPUT!Q4146)/INPUT!P4146),"")</f>
        <v/>
      </c>
    </row>
    <row r="4152" spans="1:12" ht="18" hidden="1" customHeight="1" x14ac:dyDescent="0.2">
      <c r="A4152" s="11" t="str">
        <f>IF(INPUT!M4147="","",INPUT!M4147)</f>
        <v/>
      </c>
      <c r="B4152" s="11" t="str">
        <f>IF(INPUT!M4147="","",INPUT!M4147-WEEKDAY(INPUT!M4147,2)+1)</f>
        <v/>
      </c>
      <c r="C4152" s="20">
        <f>IFERROR(_xlfn.ISOWEEKNUM(INPUT!M4147),"")</f>
        <v>52</v>
      </c>
      <c r="D4152" s="20">
        <f>IFERROR(YEAR(INPUT!M4147),"")</f>
        <v>1900</v>
      </c>
      <c r="E4152" t="str">
        <f>IF(INPUT!O4147="","",INPUT!O4147)</f>
        <v/>
      </c>
      <c r="F4152" t="str">
        <f>IF(INPUT!N4147="","",INPUT!N4147)</f>
        <v/>
      </c>
      <c r="G4152" cm="1">
        <f t="array" ref="G4152">IFERROR(VLOOKUP(INPUT!M4147&amp;INPUT!N4147,CHOOSE({1,2},INPUT!$A$3:$A$5000&amp;INPUT!$C$3:$C$5000,INPUT!$F$3:$F$5000),2,FALSE),"")</f>
        <v>0</v>
      </c>
      <c r="H4152" cm="1">
        <f t="array" ref="H4152">IFERROR(VLOOKUP(INPUT!M4147&amp;INPUT!N4147,CHOOSE({1,2},INPUT!$A$3:$A$5000&amp;INPUT!$C$3:$C$5000,INPUT!$D$3:$D$5000),2,FALSE),"")</f>
        <v>0</v>
      </c>
      <c r="I4152" s="46" t="str">
        <f>IF(INPUT!P4147="","",INPUT!P4147)</f>
        <v/>
      </c>
      <c r="J4152" s="46" t="str">
        <f>IF(INPUT!Q4147="","",INPUT!Q4147)</f>
        <v/>
      </c>
      <c r="K4152" s="46" t="str">
        <f>IFERROR(IF(OR(INPUT!P4147="",INPUT!Q4147=""),"",INPUT!P4147-INPUT!Q4147),"")</f>
        <v/>
      </c>
      <c r="L4152" s="48" t="str">
        <f>IFERROR(IF(OR(INPUT!P4147="",INPUT!Q4147="",INPUT!P4147=0),"",(INPUT!P4147-INPUT!Q4147)/INPUT!P4147),"")</f>
        <v/>
      </c>
    </row>
    <row r="4153" spans="1:12" ht="18" hidden="1" customHeight="1" x14ac:dyDescent="0.2">
      <c r="A4153" s="11" t="str">
        <f>IF(INPUT!M4148="","",INPUT!M4148)</f>
        <v/>
      </c>
      <c r="B4153" s="11" t="str">
        <f>IF(INPUT!M4148="","",INPUT!M4148-WEEKDAY(INPUT!M4148,2)+1)</f>
        <v/>
      </c>
      <c r="C4153" s="20">
        <f>IFERROR(_xlfn.ISOWEEKNUM(INPUT!M4148),"")</f>
        <v>52</v>
      </c>
      <c r="D4153" s="20">
        <f>IFERROR(YEAR(INPUT!M4148),"")</f>
        <v>1900</v>
      </c>
      <c r="E4153" t="str">
        <f>IF(INPUT!O4148="","",INPUT!O4148)</f>
        <v/>
      </c>
      <c r="F4153" t="str">
        <f>IF(INPUT!N4148="","",INPUT!N4148)</f>
        <v/>
      </c>
      <c r="G4153" cm="1">
        <f t="array" ref="G4153">IFERROR(VLOOKUP(INPUT!M4148&amp;INPUT!N4148,CHOOSE({1,2},INPUT!$A$3:$A$5000&amp;INPUT!$C$3:$C$5000,INPUT!$F$3:$F$5000),2,FALSE),"")</f>
        <v>0</v>
      </c>
      <c r="H4153" cm="1">
        <f t="array" ref="H4153">IFERROR(VLOOKUP(INPUT!M4148&amp;INPUT!N4148,CHOOSE({1,2},INPUT!$A$3:$A$5000&amp;INPUT!$C$3:$C$5000,INPUT!$D$3:$D$5000),2,FALSE),"")</f>
        <v>0</v>
      </c>
      <c r="I4153" s="46" t="str">
        <f>IF(INPUT!P4148="","",INPUT!P4148)</f>
        <v/>
      </c>
      <c r="J4153" s="46" t="str">
        <f>IF(INPUT!Q4148="","",INPUT!Q4148)</f>
        <v/>
      </c>
      <c r="K4153" s="46" t="str">
        <f>IFERROR(IF(OR(INPUT!P4148="",INPUT!Q4148=""),"",INPUT!P4148-INPUT!Q4148),"")</f>
        <v/>
      </c>
      <c r="L4153" s="48" t="str">
        <f>IFERROR(IF(OR(INPUT!P4148="",INPUT!Q4148="",INPUT!P4148=0),"",(INPUT!P4148-INPUT!Q4148)/INPUT!P4148),"")</f>
        <v/>
      </c>
    </row>
    <row r="4154" spans="1:12" ht="18" hidden="1" customHeight="1" x14ac:dyDescent="0.2">
      <c r="A4154" s="11" t="str">
        <f>IF(INPUT!M4149="","",INPUT!M4149)</f>
        <v/>
      </c>
      <c r="B4154" s="11" t="str">
        <f>IF(INPUT!M4149="","",INPUT!M4149-WEEKDAY(INPUT!M4149,2)+1)</f>
        <v/>
      </c>
      <c r="C4154" s="20">
        <f>IFERROR(_xlfn.ISOWEEKNUM(INPUT!M4149),"")</f>
        <v>52</v>
      </c>
      <c r="D4154" s="20">
        <f>IFERROR(YEAR(INPUT!M4149),"")</f>
        <v>1900</v>
      </c>
      <c r="E4154" t="str">
        <f>IF(INPUT!O4149="","",INPUT!O4149)</f>
        <v/>
      </c>
      <c r="F4154" t="str">
        <f>IF(INPUT!N4149="","",INPUT!N4149)</f>
        <v/>
      </c>
      <c r="G4154" cm="1">
        <f t="array" ref="G4154">IFERROR(VLOOKUP(INPUT!M4149&amp;INPUT!N4149,CHOOSE({1,2},INPUT!$A$3:$A$5000&amp;INPUT!$C$3:$C$5000,INPUT!$F$3:$F$5000),2,FALSE),"")</f>
        <v>0</v>
      </c>
      <c r="H4154" cm="1">
        <f t="array" ref="H4154">IFERROR(VLOOKUP(INPUT!M4149&amp;INPUT!N4149,CHOOSE({1,2},INPUT!$A$3:$A$5000&amp;INPUT!$C$3:$C$5000,INPUT!$D$3:$D$5000),2,FALSE),"")</f>
        <v>0</v>
      </c>
      <c r="I4154" s="46" t="str">
        <f>IF(INPUT!P4149="","",INPUT!P4149)</f>
        <v/>
      </c>
      <c r="J4154" s="46" t="str">
        <f>IF(INPUT!Q4149="","",INPUT!Q4149)</f>
        <v/>
      </c>
      <c r="K4154" s="46" t="str">
        <f>IFERROR(IF(OR(INPUT!P4149="",INPUT!Q4149=""),"",INPUT!P4149-INPUT!Q4149),"")</f>
        <v/>
      </c>
      <c r="L4154" s="48" t="str">
        <f>IFERROR(IF(OR(INPUT!P4149="",INPUT!Q4149="",INPUT!P4149=0),"",(INPUT!P4149-INPUT!Q4149)/INPUT!P4149),"")</f>
        <v/>
      </c>
    </row>
    <row r="4155" spans="1:12" ht="18" hidden="1" customHeight="1" x14ac:dyDescent="0.2">
      <c r="A4155" s="11" t="str">
        <f>IF(INPUT!M4150="","",INPUT!M4150)</f>
        <v/>
      </c>
      <c r="B4155" s="11" t="str">
        <f>IF(INPUT!M4150="","",INPUT!M4150-WEEKDAY(INPUT!M4150,2)+1)</f>
        <v/>
      </c>
      <c r="C4155" s="20">
        <f>IFERROR(_xlfn.ISOWEEKNUM(INPUT!M4150),"")</f>
        <v>52</v>
      </c>
      <c r="D4155" s="20">
        <f>IFERROR(YEAR(INPUT!M4150),"")</f>
        <v>1900</v>
      </c>
      <c r="E4155" t="str">
        <f>IF(INPUT!O4150="","",INPUT!O4150)</f>
        <v/>
      </c>
      <c r="F4155" t="str">
        <f>IF(INPUT!N4150="","",INPUT!N4150)</f>
        <v/>
      </c>
      <c r="G4155" cm="1">
        <f t="array" ref="G4155">IFERROR(VLOOKUP(INPUT!M4150&amp;INPUT!N4150,CHOOSE({1,2},INPUT!$A$3:$A$5000&amp;INPUT!$C$3:$C$5000,INPUT!$F$3:$F$5000),2,FALSE),"")</f>
        <v>0</v>
      </c>
      <c r="H4155" cm="1">
        <f t="array" ref="H4155">IFERROR(VLOOKUP(INPUT!M4150&amp;INPUT!N4150,CHOOSE({1,2},INPUT!$A$3:$A$5000&amp;INPUT!$C$3:$C$5000,INPUT!$D$3:$D$5000),2,FALSE),"")</f>
        <v>0</v>
      </c>
      <c r="I4155" s="46" t="str">
        <f>IF(INPUT!P4150="","",INPUT!P4150)</f>
        <v/>
      </c>
      <c r="J4155" s="46" t="str">
        <f>IF(INPUT!Q4150="","",INPUT!Q4150)</f>
        <v/>
      </c>
      <c r="K4155" s="46" t="str">
        <f>IFERROR(IF(OR(INPUT!P4150="",INPUT!Q4150=""),"",INPUT!P4150-INPUT!Q4150),"")</f>
        <v/>
      </c>
      <c r="L4155" s="48" t="str">
        <f>IFERROR(IF(OR(INPUT!P4150="",INPUT!Q4150="",INPUT!P4150=0),"",(INPUT!P4150-INPUT!Q4150)/INPUT!P4150),"")</f>
        <v/>
      </c>
    </row>
    <row r="4156" spans="1:12" ht="18" hidden="1" customHeight="1" x14ac:dyDescent="0.2">
      <c r="A4156" s="11" t="str">
        <f>IF(INPUT!M4151="","",INPUT!M4151)</f>
        <v/>
      </c>
      <c r="B4156" s="11" t="str">
        <f>IF(INPUT!M4151="","",INPUT!M4151-WEEKDAY(INPUT!M4151,2)+1)</f>
        <v/>
      </c>
      <c r="C4156" s="20">
        <f>IFERROR(_xlfn.ISOWEEKNUM(INPUT!M4151),"")</f>
        <v>52</v>
      </c>
      <c r="D4156" s="20">
        <f>IFERROR(YEAR(INPUT!M4151),"")</f>
        <v>1900</v>
      </c>
      <c r="E4156" t="str">
        <f>IF(INPUT!O4151="","",INPUT!O4151)</f>
        <v/>
      </c>
      <c r="F4156" t="str">
        <f>IF(INPUT!N4151="","",INPUT!N4151)</f>
        <v/>
      </c>
      <c r="G4156" cm="1">
        <f t="array" ref="G4156">IFERROR(VLOOKUP(INPUT!M4151&amp;INPUT!N4151,CHOOSE({1,2},INPUT!$A$3:$A$5000&amp;INPUT!$C$3:$C$5000,INPUT!$F$3:$F$5000),2,FALSE),"")</f>
        <v>0</v>
      </c>
      <c r="H4156" cm="1">
        <f t="array" ref="H4156">IFERROR(VLOOKUP(INPUT!M4151&amp;INPUT!N4151,CHOOSE({1,2},INPUT!$A$3:$A$5000&amp;INPUT!$C$3:$C$5000,INPUT!$D$3:$D$5000),2,FALSE),"")</f>
        <v>0</v>
      </c>
      <c r="I4156" s="46" t="str">
        <f>IF(INPUT!P4151="","",INPUT!P4151)</f>
        <v/>
      </c>
      <c r="J4156" s="46" t="str">
        <f>IF(INPUT!Q4151="","",INPUT!Q4151)</f>
        <v/>
      </c>
      <c r="K4156" s="46" t="str">
        <f>IFERROR(IF(OR(INPUT!P4151="",INPUT!Q4151=""),"",INPUT!P4151-INPUT!Q4151),"")</f>
        <v/>
      </c>
      <c r="L4156" s="48" t="str">
        <f>IFERROR(IF(OR(INPUT!P4151="",INPUT!Q4151="",INPUT!P4151=0),"",(INPUT!P4151-INPUT!Q4151)/INPUT!P4151),"")</f>
        <v/>
      </c>
    </row>
    <row r="4157" spans="1:12" ht="18" hidden="1" customHeight="1" x14ac:dyDescent="0.2">
      <c r="A4157" s="11" t="str">
        <f>IF(INPUT!M4152="","",INPUT!M4152)</f>
        <v/>
      </c>
      <c r="B4157" s="11" t="str">
        <f>IF(INPUT!M4152="","",INPUT!M4152-WEEKDAY(INPUT!M4152,2)+1)</f>
        <v/>
      </c>
      <c r="C4157" s="20">
        <f>IFERROR(_xlfn.ISOWEEKNUM(INPUT!M4152),"")</f>
        <v>52</v>
      </c>
      <c r="D4157" s="20">
        <f>IFERROR(YEAR(INPUT!M4152),"")</f>
        <v>1900</v>
      </c>
      <c r="E4157" t="str">
        <f>IF(INPUT!O4152="","",INPUT!O4152)</f>
        <v/>
      </c>
      <c r="F4157" t="str">
        <f>IF(INPUT!N4152="","",INPUT!N4152)</f>
        <v/>
      </c>
      <c r="G4157" cm="1">
        <f t="array" ref="G4157">IFERROR(VLOOKUP(INPUT!M4152&amp;INPUT!N4152,CHOOSE({1,2},INPUT!$A$3:$A$5000&amp;INPUT!$C$3:$C$5000,INPUT!$F$3:$F$5000),2,FALSE),"")</f>
        <v>0</v>
      </c>
      <c r="H4157" cm="1">
        <f t="array" ref="H4157">IFERROR(VLOOKUP(INPUT!M4152&amp;INPUT!N4152,CHOOSE({1,2},INPUT!$A$3:$A$5000&amp;INPUT!$C$3:$C$5000,INPUT!$D$3:$D$5000),2,FALSE),"")</f>
        <v>0</v>
      </c>
      <c r="I4157" s="46" t="str">
        <f>IF(INPUT!P4152="","",INPUT!P4152)</f>
        <v/>
      </c>
      <c r="J4157" s="46" t="str">
        <f>IF(INPUT!Q4152="","",INPUT!Q4152)</f>
        <v/>
      </c>
      <c r="K4157" s="46" t="str">
        <f>IFERROR(IF(OR(INPUT!P4152="",INPUT!Q4152=""),"",INPUT!P4152-INPUT!Q4152),"")</f>
        <v/>
      </c>
      <c r="L4157" s="48" t="str">
        <f>IFERROR(IF(OR(INPUT!P4152="",INPUT!Q4152="",INPUT!P4152=0),"",(INPUT!P4152-INPUT!Q4152)/INPUT!P4152),"")</f>
        <v/>
      </c>
    </row>
    <row r="4158" spans="1:12" ht="18" hidden="1" customHeight="1" x14ac:dyDescent="0.2">
      <c r="A4158" s="11" t="str">
        <f>IF(INPUT!M4153="","",INPUT!M4153)</f>
        <v/>
      </c>
      <c r="B4158" s="11" t="str">
        <f>IF(INPUT!M4153="","",INPUT!M4153-WEEKDAY(INPUT!M4153,2)+1)</f>
        <v/>
      </c>
      <c r="C4158" s="20">
        <f>IFERROR(_xlfn.ISOWEEKNUM(INPUT!M4153),"")</f>
        <v>52</v>
      </c>
      <c r="D4158" s="20">
        <f>IFERROR(YEAR(INPUT!M4153),"")</f>
        <v>1900</v>
      </c>
      <c r="E4158" t="str">
        <f>IF(INPUT!O4153="","",INPUT!O4153)</f>
        <v/>
      </c>
      <c r="F4158" t="str">
        <f>IF(INPUT!N4153="","",INPUT!N4153)</f>
        <v/>
      </c>
      <c r="G4158" cm="1">
        <f t="array" ref="G4158">IFERROR(VLOOKUP(INPUT!M4153&amp;INPUT!N4153,CHOOSE({1,2},INPUT!$A$3:$A$5000&amp;INPUT!$C$3:$C$5000,INPUT!$F$3:$F$5000),2,FALSE),"")</f>
        <v>0</v>
      </c>
      <c r="H4158" cm="1">
        <f t="array" ref="H4158">IFERROR(VLOOKUP(INPUT!M4153&amp;INPUT!N4153,CHOOSE({1,2},INPUT!$A$3:$A$5000&amp;INPUT!$C$3:$C$5000,INPUT!$D$3:$D$5000),2,FALSE),"")</f>
        <v>0</v>
      </c>
      <c r="I4158" s="46" t="str">
        <f>IF(INPUT!P4153="","",INPUT!P4153)</f>
        <v/>
      </c>
      <c r="J4158" s="46" t="str">
        <f>IF(INPUT!Q4153="","",INPUT!Q4153)</f>
        <v/>
      </c>
      <c r="K4158" s="46" t="str">
        <f>IFERROR(IF(OR(INPUT!P4153="",INPUT!Q4153=""),"",INPUT!P4153-INPUT!Q4153),"")</f>
        <v/>
      </c>
      <c r="L4158" s="48" t="str">
        <f>IFERROR(IF(OR(INPUT!P4153="",INPUT!Q4153="",INPUT!P4153=0),"",(INPUT!P4153-INPUT!Q4153)/INPUT!P4153),"")</f>
        <v/>
      </c>
    </row>
    <row r="4159" spans="1:12" ht="18" hidden="1" customHeight="1" x14ac:dyDescent="0.2">
      <c r="A4159" s="11" t="str">
        <f>IF(INPUT!M4154="","",INPUT!M4154)</f>
        <v/>
      </c>
      <c r="B4159" s="11" t="str">
        <f>IF(INPUT!M4154="","",INPUT!M4154-WEEKDAY(INPUT!M4154,2)+1)</f>
        <v/>
      </c>
      <c r="C4159" s="20">
        <f>IFERROR(_xlfn.ISOWEEKNUM(INPUT!M4154),"")</f>
        <v>52</v>
      </c>
      <c r="D4159" s="20">
        <f>IFERROR(YEAR(INPUT!M4154),"")</f>
        <v>1900</v>
      </c>
      <c r="E4159" t="str">
        <f>IF(INPUT!O4154="","",INPUT!O4154)</f>
        <v/>
      </c>
      <c r="F4159" t="str">
        <f>IF(INPUT!N4154="","",INPUT!N4154)</f>
        <v/>
      </c>
      <c r="G4159" cm="1">
        <f t="array" ref="G4159">IFERROR(VLOOKUP(INPUT!M4154&amp;INPUT!N4154,CHOOSE({1,2},INPUT!$A$3:$A$5000&amp;INPUT!$C$3:$C$5000,INPUT!$F$3:$F$5000),2,FALSE),"")</f>
        <v>0</v>
      </c>
      <c r="H4159" cm="1">
        <f t="array" ref="H4159">IFERROR(VLOOKUP(INPUT!M4154&amp;INPUT!N4154,CHOOSE({1,2},INPUT!$A$3:$A$5000&amp;INPUT!$C$3:$C$5000,INPUT!$D$3:$D$5000),2,FALSE),"")</f>
        <v>0</v>
      </c>
      <c r="I4159" s="46" t="str">
        <f>IF(INPUT!P4154="","",INPUT!P4154)</f>
        <v/>
      </c>
      <c r="J4159" s="46" t="str">
        <f>IF(INPUT!Q4154="","",INPUT!Q4154)</f>
        <v/>
      </c>
      <c r="K4159" s="46" t="str">
        <f>IFERROR(IF(OR(INPUT!P4154="",INPUT!Q4154=""),"",INPUT!P4154-INPUT!Q4154),"")</f>
        <v/>
      </c>
      <c r="L4159" s="48" t="str">
        <f>IFERROR(IF(OR(INPUT!P4154="",INPUT!Q4154="",INPUT!P4154=0),"",(INPUT!P4154-INPUT!Q4154)/INPUT!P4154),"")</f>
        <v/>
      </c>
    </row>
    <row r="4160" spans="1:12" ht="18" hidden="1" customHeight="1" x14ac:dyDescent="0.2">
      <c r="A4160" s="11" t="str">
        <f>IF(INPUT!M4155="","",INPUT!M4155)</f>
        <v/>
      </c>
      <c r="B4160" s="11" t="str">
        <f>IF(INPUT!M4155="","",INPUT!M4155-WEEKDAY(INPUT!M4155,2)+1)</f>
        <v/>
      </c>
      <c r="C4160" s="20">
        <f>IFERROR(_xlfn.ISOWEEKNUM(INPUT!M4155),"")</f>
        <v>52</v>
      </c>
      <c r="D4160" s="20">
        <f>IFERROR(YEAR(INPUT!M4155),"")</f>
        <v>1900</v>
      </c>
      <c r="E4160" t="str">
        <f>IF(INPUT!O4155="","",INPUT!O4155)</f>
        <v/>
      </c>
      <c r="F4160" t="str">
        <f>IF(INPUT!N4155="","",INPUT!N4155)</f>
        <v/>
      </c>
      <c r="G4160" cm="1">
        <f t="array" ref="G4160">IFERROR(VLOOKUP(INPUT!M4155&amp;INPUT!N4155,CHOOSE({1,2},INPUT!$A$3:$A$5000&amp;INPUT!$C$3:$C$5000,INPUT!$F$3:$F$5000),2,FALSE),"")</f>
        <v>0</v>
      </c>
      <c r="H4160" cm="1">
        <f t="array" ref="H4160">IFERROR(VLOOKUP(INPUT!M4155&amp;INPUT!N4155,CHOOSE({1,2},INPUT!$A$3:$A$5000&amp;INPUT!$C$3:$C$5000,INPUT!$D$3:$D$5000),2,FALSE),"")</f>
        <v>0</v>
      </c>
      <c r="I4160" s="46" t="str">
        <f>IF(INPUT!P4155="","",INPUT!P4155)</f>
        <v/>
      </c>
      <c r="J4160" s="46" t="str">
        <f>IF(INPUT!Q4155="","",INPUT!Q4155)</f>
        <v/>
      </c>
      <c r="K4160" s="46" t="str">
        <f>IFERROR(IF(OR(INPUT!P4155="",INPUT!Q4155=""),"",INPUT!P4155-INPUT!Q4155),"")</f>
        <v/>
      </c>
      <c r="L4160" s="48" t="str">
        <f>IFERROR(IF(OR(INPUT!P4155="",INPUT!Q4155="",INPUT!P4155=0),"",(INPUT!P4155-INPUT!Q4155)/INPUT!P4155),"")</f>
        <v/>
      </c>
    </row>
    <row r="4161" spans="1:12" ht="18" hidden="1" customHeight="1" x14ac:dyDescent="0.2">
      <c r="A4161" s="11" t="str">
        <f>IF(INPUT!M4156="","",INPUT!M4156)</f>
        <v/>
      </c>
      <c r="B4161" s="11" t="str">
        <f>IF(INPUT!M4156="","",INPUT!M4156-WEEKDAY(INPUT!M4156,2)+1)</f>
        <v/>
      </c>
      <c r="C4161" s="20">
        <f>IFERROR(_xlfn.ISOWEEKNUM(INPUT!M4156),"")</f>
        <v>52</v>
      </c>
      <c r="D4161" s="20">
        <f>IFERROR(YEAR(INPUT!M4156),"")</f>
        <v>1900</v>
      </c>
      <c r="E4161" t="str">
        <f>IF(INPUT!O4156="","",INPUT!O4156)</f>
        <v/>
      </c>
      <c r="F4161" t="str">
        <f>IF(INPUT!N4156="","",INPUT!N4156)</f>
        <v/>
      </c>
      <c r="G4161" cm="1">
        <f t="array" ref="G4161">IFERROR(VLOOKUP(INPUT!M4156&amp;INPUT!N4156,CHOOSE({1,2},INPUT!$A$3:$A$5000&amp;INPUT!$C$3:$C$5000,INPUT!$F$3:$F$5000),2,FALSE),"")</f>
        <v>0</v>
      </c>
      <c r="H4161" cm="1">
        <f t="array" ref="H4161">IFERROR(VLOOKUP(INPUT!M4156&amp;INPUT!N4156,CHOOSE({1,2},INPUT!$A$3:$A$5000&amp;INPUT!$C$3:$C$5000,INPUT!$D$3:$D$5000),2,FALSE),"")</f>
        <v>0</v>
      </c>
      <c r="I4161" s="46" t="str">
        <f>IF(INPUT!P4156="","",INPUT!P4156)</f>
        <v/>
      </c>
      <c r="J4161" s="46" t="str">
        <f>IF(INPUT!Q4156="","",INPUT!Q4156)</f>
        <v/>
      </c>
      <c r="K4161" s="46" t="str">
        <f>IFERROR(IF(OR(INPUT!P4156="",INPUT!Q4156=""),"",INPUT!P4156-INPUT!Q4156),"")</f>
        <v/>
      </c>
      <c r="L4161" s="48" t="str">
        <f>IFERROR(IF(OR(INPUT!P4156="",INPUT!Q4156="",INPUT!P4156=0),"",(INPUT!P4156-INPUT!Q4156)/INPUT!P4156),"")</f>
        <v/>
      </c>
    </row>
    <row r="4162" spans="1:12" ht="18" hidden="1" customHeight="1" x14ac:dyDescent="0.2">
      <c r="A4162" s="11" t="str">
        <f>IF(INPUT!M4157="","",INPUT!M4157)</f>
        <v/>
      </c>
      <c r="B4162" s="11" t="str">
        <f>IF(INPUT!M4157="","",INPUT!M4157-WEEKDAY(INPUT!M4157,2)+1)</f>
        <v/>
      </c>
      <c r="C4162" s="20">
        <f>IFERROR(_xlfn.ISOWEEKNUM(INPUT!M4157),"")</f>
        <v>52</v>
      </c>
      <c r="D4162" s="20">
        <f>IFERROR(YEAR(INPUT!M4157),"")</f>
        <v>1900</v>
      </c>
      <c r="E4162" t="str">
        <f>IF(INPUT!O4157="","",INPUT!O4157)</f>
        <v/>
      </c>
      <c r="F4162" t="str">
        <f>IF(INPUT!N4157="","",INPUT!N4157)</f>
        <v/>
      </c>
      <c r="G4162" cm="1">
        <f t="array" ref="G4162">IFERROR(VLOOKUP(INPUT!M4157&amp;INPUT!N4157,CHOOSE({1,2},INPUT!$A$3:$A$5000&amp;INPUT!$C$3:$C$5000,INPUT!$F$3:$F$5000),2,FALSE),"")</f>
        <v>0</v>
      </c>
      <c r="H4162" cm="1">
        <f t="array" ref="H4162">IFERROR(VLOOKUP(INPUT!M4157&amp;INPUT!N4157,CHOOSE({1,2},INPUT!$A$3:$A$5000&amp;INPUT!$C$3:$C$5000,INPUT!$D$3:$D$5000),2,FALSE),"")</f>
        <v>0</v>
      </c>
      <c r="I4162" s="46" t="str">
        <f>IF(INPUT!P4157="","",INPUT!P4157)</f>
        <v/>
      </c>
      <c r="J4162" s="46" t="str">
        <f>IF(INPUT!Q4157="","",INPUT!Q4157)</f>
        <v/>
      </c>
      <c r="K4162" s="46" t="str">
        <f>IFERROR(IF(OR(INPUT!P4157="",INPUT!Q4157=""),"",INPUT!P4157-INPUT!Q4157),"")</f>
        <v/>
      </c>
      <c r="L4162" s="48" t="str">
        <f>IFERROR(IF(OR(INPUT!P4157="",INPUT!Q4157="",INPUT!P4157=0),"",(INPUT!P4157-INPUT!Q4157)/INPUT!P4157),"")</f>
        <v/>
      </c>
    </row>
    <row r="4163" spans="1:12" ht="18" hidden="1" customHeight="1" x14ac:dyDescent="0.2">
      <c r="A4163" s="11" t="str">
        <f>IF(INPUT!M4158="","",INPUT!M4158)</f>
        <v/>
      </c>
      <c r="B4163" s="11" t="str">
        <f>IF(INPUT!M4158="","",INPUT!M4158-WEEKDAY(INPUT!M4158,2)+1)</f>
        <v/>
      </c>
      <c r="C4163" s="20">
        <f>IFERROR(_xlfn.ISOWEEKNUM(INPUT!M4158),"")</f>
        <v>52</v>
      </c>
      <c r="D4163" s="20">
        <f>IFERROR(YEAR(INPUT!M4158),"")</f>
        <v>1900</v>
      </c>
      <c r="E4163" t="str">
        <f>IF(INPUT!O4158="","",INPUT!O4158)</f>
        <v/>
      </c>
      <c r="F4163" t="str">
        <f>IF(INPUT!N4158="","",INPUT!N4158)</f>
        <v/>
      </c>
      <c r="G4163" cm="1">
        <f t="array" ref="G4163">IFERROR(VLOOKUP(INPUT!M4158&amp;INPUT!N4158,CHOOSE({1,2},INPUT!$A$3:$A$5000&amp;INPUT!$C$3:$C$5000,INPUT!$F$3:$F$5000),2,FALSE),"")</f>
        <v>0</v>
      </c>
      <c r="H4163" cm="1">
        <f t="array" ref="H4163">IFERROR(VLOOKUP(INPUT!M4158&amp;INPUT!N4158,CHOOSE({1,2},INPUT!$A$3:$A$5000&amp;INPUT!$C$3:$C$5000,INPUT!$D$3:$D$5000),2,FALSE),"")</f>
        <v>0</v>
      </c>
      <c r="I4163" s="46" t="str">
        <f>IF(INPUT!P4158="","",INPUT!P4158)</f>
        <v/>
      </c>
      <c r="J4163" s="46" t="str">
        <f>IF(INPUT!Q4158="","",INPUT!Q4158)</f>
        <v/>
      </c>
      <c r="K4163" s="46" t="str">
        <f>IFERROR(IF(OR(INPUT!P4158="",INPUT!Q4158=""),"",INPUT!P4158-INPUT!Q4158),"")</f>
        <v/>
      </c>
      <c r="L4163" s="48" t="str">
        <f>IFERROR(IF(OR(INPUT!P4158="",INPUT!Q4158="",INPUT!P4158=0),"",(INPUT!P4158-INPUT!Q4158)/INPUT!P4158),"")</f>
        <v/>
      </c>
    </row>
    <row r="4164" spans="1:12" ht="18" hidden="1" customHeight="1" x14ac:dyDescent="0.2">
      <c r="A4164" s="11" t="str">
        <f>IF(INPUT!M4159="","",INPUT!M4159)</f>
        <v/>
      </c>
      <c r="B4164" s="11" t="str">
        <f>IF(INPUT!M4159="","",INPUT!M4159-WEEKDAY(INPUT!M4159,2)+1)</f>
        <v/>
      </c>
      <c r="C4164" s="20">
        <f>IFERROR(_xlfn.ISOWEEKNUM(INPUT!M4159),"")</f>
        <v>52</v>
      </c>
      <c r="D4164" s="20">
        <f>IFERROR(YEAR(INPUT!M4159),"")</f>
        <v>1900</v>
      </c>
      <c r="E4164" t="str">
        <f>IF(INPUT!O4159="","",INPUT!O4159)</f>
        <v/>
      </c>
      <c r="F4164" t="str">
        <f>IF(INPUT!N4159="","",INPUT!N4159)</f>
        <v/>
      </c>
      <c r="G4164" cm="1">
        <f t="array" ref="G4164">IFERROR(VLOOKUP(INPUT!M4159&amp;INPUT!N4159,CHOOSE({1,2},INPUT!$A$3:$A$5000&amp;INPUT!$C$3:$C$5000,INPUT!$F$3:$F$5000),2,FALSE),"")</f>
        <v>0</v>
      </c>
      <c r="H4164" cm="1">
        <f t="array" ref="H4164">IFERROR(VLOOKUP(INPUT!M4159&amp;INPUT!N4159,CHOOSE({1,2},INPUT!$A$3:$A$5000&amp;INPUT!$C$3:$C$5000,INPUT!$D$3:$D$5000),2,FALSE),"")</f>
        <v>0</v>
      </c>
      <c r="I4164" s="46" t="str">
        <f>IF(INPUT!P4159="","",INPUT!P4159)</f>
        <v/>
      </c>
      <c r="J4164" s="46" t="str">
        <f>IF(INPUT!Q4159="","",INPUT!Q4159)</f>
        <v/>
      </c>
      <c r="K4164" s="46" t="str">
        <f>IFERROR(IF(OR(INPUT!P4159="",INPUT!Q4159=""),"",INPUT!P4159-INPUT!Q4159),"")</f>
        <v/>
      </c>
      <c r="L4164" s="48" t="str">
        <f>IFERROR(IF(OR(INPUT!P4159="",INPUT!Q4159="",INPUT!P4159=0),"",(INPUT!P4159-INPUT!Q4159)/INPUT!P4159),"")</f>
        <v/>
      </c>
    </row>
    <row r="4165" spans="1:12" ht="18" hidden="1" customHeight="1" x14ac:dyDescent="0.2">
      <c r="A4165" s="11" t="str">
        <f>IF(INPUT!M4160="","",INPUT!M4160)</f>
        <v/>
      </c>
      <c r="B4165" s="11" t="str">
        <f>IF(INPUT!M4160="","",INPUT!M4160-WEEKDAY(INPUT!M4160,2)+1)</f>
        <v/>
      </c>
      <c r="C4165" s="20">
        <f>IFERROR(_xlfn.ISOWEEKNUM(INPUT!M4160),"")</f>
        <v>52</v>
      </c>
      <c r="D4165" s="20">
        <f>IFERROR(YEAR(INPUT!M4160),"")</f>
        <v>1900</v>
      </c>
      <c r="E4165" t="str">
        <f>IF(INPUT!O4160="","",INPUT!O4160)</f>
        <v/>
      </c>
      <c r="F4165" t="str">
        <f>IF(INPUT!N4160="","",INPUT!N4160)</f>
        <v/>
      </c>
      <c r="G4165" cm="1">
        <f t="array" ref="G4165">IFERROR(VLOOKUP(INPUT!M4160&amp;INPUT!N4160,CHOOSE({1,2},INPUT!$A$3:$A$5000&amp;INPUT!$C$3:$C$5000,INPUT!$F$3:$F$5000),2,FALSE),"")</f>
        <v>0</v>
      </c>
      <c r="H4165" cm="1">
        <f t="array" ref="H4165">IFERROR(VLOOKUP(INPUT!M4160&amp;INPUT!N4160,CHOOSE({1,2},INPUT!$A$3:$A$5000&amp;INPUT!$C$3:$C$5000,INPUT!$D$3:$D$5000),2,FALSE),"")</f>
        <v>0</v>
      </c>
      <c r="I4165" s="46" t="str">
        <f>IF(INPUT!P4160="","",INPUT!P4160)</f>
        <v/>
      </c>
      <c r="J4165" s="46" t="str">
        <f>IF(INPUT!Q4160="","",INPUT!Q4160)</f>
        <v/>
      </c>
      <c r="K4165" s="46" t="str">
        <f>IFERROR(IF(OR(INPUT!P4160="",INPUT!Q4160=""),"",INPUT!P4160-INPUT!Q4160),"")</f>
        <v/>
      </c>
      <c r="L4165" s="48" t="str">
        <f>IFERROR(IF(OR(INPUT!P4160="",INPUT!Q4160="",INPUT!P4160=0),"",(INPUT!P4160-INPUT!Q4160)/INPUT!P4160),"")</f>
        <v/>
      </c>
    </row>
    <row r="4166" spans="1:12" ht="18" hidden="1" customHeight="1" x14ac:dyDescent="0.2">
      <c r="A4166" s="11" t="str">
        <f>IF(INPUT!M4161="","",INPUT!M4161)</f>
        <v/>
      </c>
      <c r="B4166" s="11" t="str">
        <f>IF(INPUT!M4161="","",INPUT!M4161-WEEKDAY(INPUT!M4161,2)+1)</f>
        <v/>
      </c>
      <c r="C4166" s="20">
        <f>IFERROR(_xlfn.ISOWEEKNUM(INPUT!M4161),"")</f>
        <v>52</v>
      </c>
      <c r="D4166" s="20">
        <f>IFERROR(YEAR(INPUT!M4161),"")</f>
        <v>1900</v>
      </c>
      <c r="E4166" t="str">
        <f>IF(INPUT!O4161="","",INPUT!O4161)</f>
        <v/>
      </c>
      <c r="F4166" t="str">
        <f>IF(INPUT!N4161="","",INPUT!N4161)</f>
        <v/>
      </c>
      <c r="G4166" cm="1">
        <f t="array" ref="G4166">IFERROR(VLOOKUP(INPUT!M4161&amp;INPUT!N4161,CHOOSE({1,2},INPUT!$A$3:$A$5000&amp;INPUT!$C$3:$C$5000,INPUT!$F$3:$F$5000),2,FALSE),"")</f>
        <v>0</v>
      </c>
      <c r="H4166" cm="1">
        <f t="array" ref="H4166">IFERROR(VLOOKUP(INPUT!M4161&amp;INPUT!N4161,CHOOSE({1,2},INPUT!$A$3:$A$5000&amp;INPUT!$C$3:$C$5000,INPUT!$D$3:$D$5000),2,FALSE),"")</f>
        <v>0</v>
      </c>
      <c r="I4166" s="46" t="str">
        <f>IF(INPUT!P4161="","",INPUT!P4161)</f>
        <v/>
      </c>
      <c r="J4166" s="46" t="str">
        <f>IF(INPUT!Q4161="","",INPUT!Q4161)</f>
        <v/>
      </c>
      <c r="K4166" s="46" t="str">
        <f>IFERROR(IF(OR(INPUT!P4161="",INPUT!Q4161=""),"",INPUT!P4161-INPUT!Q4161),"")</f>
        <v/>
      </c>
      <c r="L4166" s="48" t="str">
        <f>IFERROR(IF(OR(INPUT!P4161="",INPUT!Q4161="",INPUT!P4161=0),"",(INPUT!P4161-INPUT!Q4161)/INPUT!P4161),"")</f>
        <v/>
      </c>
    </row>
    <row r="4167" spans="1:12" ht="18" hidden="1" customHeight="1" x14ac:dyDescent="0.2">
      <c r="A4167" s="11" t="str">
        <f>IF(INPUT!M4162="","",INPUT!M4162)</f>
        <v/>
      </c>
      <c r="B4167" s="11" t="str">
        <f>IF(INPUT!M4162="","",INPUT!M4162-WEEKDAY(INPUT!M4162,2)+1)</f>
        <v/>
      </c>
      <c r="C4167" s="20">
        <f>IFERROR(_xlfn.ISOWEEKNUM(INPUT!M4162),"")</f>
        <v>52</v>
      </c>
      <c r="D4167" s="20">
        <f>IFERROR(YEAR(INPUT!M4162),"")</f>
        <v>1900</v>
      </c>
      <c r="E4167" t="str">
        <f>IF(INPUT!O4162="","",INPUT!O4162)</f>
        <v/>
      </c>
      <c r="F4167" t="str">
        <f>IF(INPUT!N4162="","",INPUT!N4162)</f>
        <v/>
      </c>
      <c r="G4167" cm="1">
        <f t="array" ref="G4167">IFERROR(VLOOKUP(INPUT!M4162&amp;INPUT!N4162,CHOOSE({1,2},INPUT!$A$3:$A$5000&amp;INPUT!$C$3:$C$5000,INPUT!$F$3:$F$5000),2,FALSE),"")</f>
        <v>0</v>
      </c>
      <c r="H4167" cm="1">
        <f t="array" ref="H4167">IFERROR(VLOOKUP(INPUT!M4162&amp;INPUT!N4162,CHOOSE({1,2},INPUT!$A$3:$A$5000&amp;INPUT!$C$3:$C$5000,INPUT!$D$3:$D$5000),2,FALSE),"")</f>
        <v>0</v>
      </c>
      <c r="I4167" s="46" t="str">
        <f>IF(INPUT!P4162="","",INPUT!P4162)</f>
        <v/>
      </c>
      <c r="J4167" s="46" t="str">
        <f>IF(INPUT!Q4162="","",INPUT!Q4162)</f>
        <v/>
      </c>
      <c r="K4167" s="46" t="str">
        <f>IFERROR(IF(OR(INPUT!P4162="",INPUT!Q4162=""),"",INPUT!P4162-INPUT!Q4162),"")</f>
        <v/>
      </c>
      <c r="L4167" s="48" t="str">
        <f>IFERROR(IF(OR(INPUT!P4162="",INPUT!Q4162="",INPUT!P4162=0),"",(INPUT!P4162-INPUT!Q4162)/INPUT!P4162),"")</f>
        <v/>
      </c>
    </row>
    <row r="4168" spans="1:12" ht="18" hidden="1" customHeight="1" x14ac:dyDescent="0.2">
      <c r="A4168" s="11" t="str">
        <f>IF(INPUT!M4163="","",INPUT!M4163)</f>
        <v/>
      </c>
      <c r="B4168" s="11" t="str">
        <f>IF(INPUT!M4163="","",INPUT!M4163-WEEKDAY(INPUT!M4163,2)+1)</f>
        <v/>
      </c>
      <c r="C4168" s="20">
        <f>IFERROR(_xlfn.ISOWEEKNUM(INPUT!M4163),"")</f>
        <v>52</v>
      </c>
      <c r="D4168" s="20">
        <f>IFERROR(YEAR(INPUT!M4163),"")</f>
        <v>1900</v>
      </c>
      <c r="E4168" t="str">
        <f>IF(INPUT!O4163="","",INPUT!O4163)</f>
        <v/>
      </c>
      <c r="F4168" t="str">
        <f>IF(INPUT!N4163="","",INPUT!N4163)</f>
        <v/>
      </c>
      <c r="G4168" cm="1">
        <f t="array" ref="G4168">IFERROR(VLOOKUP(INPUT!M4163&amp;INPUT!N4163,CHOOSE({1,2},INPUT!$A$3:$A$5000&amp;INPUT!$C$3:$C$5000,INPUT!$F$3:$F$5000),2,FALSE),"")</f>
        <v>0</v>
      </c>
      <c r="H4168" cm="1">
        <f t="array" ref="H4168">IFERROR(VLOOKUP(INPUT!M4163&amp;INPUT!N4163,CHOOSE({1,2},INPUT!$A$3:$A$5000&amp;INPUT!$C$3:$C$5000,INPUT!$D$3:$D$5000),2,FALSE),"")</f>
        <v>0</v>
      </c>
      <c r="I4168" s="46" t="str">
        <f>IF(INPUT!P4163="","",INPUT!P4163)</f>
        <v/>
      </c>
      <c r="J4168" s="46" t="str">
        <f>IF(INPUT!Q4163="","",INPUT!Q4163)</f>
        <v/>
      </c>
      <c r="K4168" s="46" t="str">
        <f>IFERROR(IF(OR(INPUT!P4163="",INPUT!Q4163=""),"",INPUT!P4163-INPUT!Q4163),"")</f>
        <v/>
      </c>
      <c r="L4168" s="48" t="str">
        <f>IFERROR(IF(OR(INPUT!P4163="",INPUT!Q4163="",INPUT!P4163=0),"",(INPUT!P4163-INPUT!Q4163)/INPUT!P4163),"")</f>
        <v/>
      </c>
    </row>
    <row r="4169" spans="1:12" ht="18" hidden="1" customHeight="1" x14ac:dyDescent="0.2">
      <c r="A4169" s="11" t="str">
        <f>IF(INPUT!M4164="","",INPUT!M4164)</f>
        <v/>
      </c>
      <c r="B4169" s="11" t="str">
        <f>IF(INPUT!M4164="","",INPUT!M4164-WEEKDAY(INPUT!M4164,2)+1)</f>
        <v/>
      </c>
      <c r="C4169" s="20">
        <f>IFERROR(_xlfn.ISOWEEKNUM(INPUT!M4164),"")</f>
        <v>52</v>
      </c>
      <c r="D4169" s="20">
        <f>IFERROR(YEAR(INPUT!M4164),"")</f>
        <v>1900</v>
      </c>
      <c r="E4169" t="str">
        <f>IF(INPUT!O4164="","",INPUT!O4164)</f>
        <v/>
      </c>
      <c r="F4169" t="str">
        <f>IF(INPUT!N4164="","",INPUT!N4164)</f>
        <v/>
      </c>
      <c r="G4169" cm="1">
        <f t="array" ref="G4169">IFERROR(VLOOKUP(INPUT!M4164&amp;INPUT!N4164,CHOOSE({1,2},INPUT!$A$3:$A$5000&amp;INPUT!$C$3:$C$5000,INPUT!$F$3:$F$5000),2,FALSE),"")</f>
        <v>0</v>
      </c>
      <c r="H4169" cm="1">
        <f t="array" ref="H4169">IFERROR(VLOOKUP(INPUT!M4164&amp;INPUT!N4164,CHOOSE({1,2},INPUT!$A$3:$A$5000&amp;INPUT!$C$3:$C$5000,INPUT!$D$3:$D$5000),2,FALSE),"")</f>
        <v>0</v>
      </c>
      <c r="I4169" s="46" t="str">
        <f>IF(INPUT!P4164="","",INPUT!P4164)</f>
        <v/>
      </c>
      <c r="J4169" s="46" t="str">
        <f>IF(INPUT!Q4164="","",INPUT!Q4164)</f>
        <v/>
      </c>
      <c r="K4169" s="46" t="str">
        <f>IFERROR(IF(OR(INPUT!P4164="",INPUT!Q4164=""),"",INPUT!P4164-INPUT!Q4164),"")</f>
        <v/>
      </c>
      <c r="L4169" s="48" t="str">
        <f>IFERROR(IF(OR(INPUT!P4164="",INPUT!Q4164="",INPUT!P4164=0),"",(INPUT!P4164-INPUT!Q4164)/INPUT!P4164),"")</f>
        <v/>
      </c>
    </row>
    <row r="4170" spans="1:12" ht="18" hidden="1" customHeight="1" x14ac:dyDescent="0.2">
      <c r="A4170" s="11" t="str">
        <f>IF(INPUT!M4165="","",INPUT!M4165)</f>
        <v/>
      </c>
      <c r="B4170" s="11" t="str">
        <f>IF(INPUT!M4165="","",INPUT!M4165-WEEKDAY(INPUT!M4165,2)+1)</f>
        <v/>
      </c>
      <c r="C4170" s="20">
        <f>IFERROR(_xlfn.ISOWEEKNUM(INPUT!M4165),"")</f>
        <v>52</v>
      </c>
      <c r="D4170" s="20">
        <f>IFERROR(YEAR(INPUT!M4165),"")</f>
        <v>1900</v>
      </c>
      <c r="E4170" t="str">
        <f>IF(INPUT!O4165="","",INPUT!O4165)</f>
        <v/>
      </c>
      <c r="F4170" t="str">
        <f>IF(INPUT!N4165="","",INPUT!N4165)</f>
        <v/>
      </c>
      <c r="G4170" cm="1">
        <f t="array" ref="G4170">IFERROR(VLOOKUP(INPUT!M4165&amp;INPUT!N4165,CHOOSE({1,2},INPUT!$A$3:$A$5000&amp;INPUT!$C$3:$C$5000,INPUT!$F$3:$F$5000),2,FALSE),"")</f>
        <v>0</v>
      </c>
      <c r="H4170" cm="1">
        <f t="array" ref="H4170">IFERROR(VLOOKUP(INPUT!M4165&amp;INPUT!N4165,CHOOSE({1,2},INPUT!$A$3:$A$5000&amp;INPUT!$C$3:$C$5000,INPUT!$D$3:$D$5000),2,FALSE),"")</f>
        <v>0</v>
      </c>
      <c r="I4170" s="46" t="str">
        <f>IF(INPUT!P4165="","",INPUT!P4165)</f>
        <v/>
      </c>
      <c r="J4170" s="46" t="str">
        <f>IF(INPUT!Q4165="","",INPUT!Q4165)</f>
        <v/>
      </c>
      <c r="K4170" s="46" t="str">
        <f>IFERROR(IF(OR(INPUT!P4165="",INPUT!Q4165=""),"",INPUT!P4165-INPUT!Q4165),"")</f>
        <v/>
      </c>
      <c r="L4170" s="48" t="str">
        <f>IFERROR(IF(OR(INPUT!P4165="",INPUT!Q4165="",INPUT!P4165=0),"",(INPUT!P4165-INPUT!Q4165)/INPUT!P4165),"")</f>
        <v/>
      </c>
    </row>
    <row r="4171" spans="1:12" ht="18" hidden="1" customHeight="1" x14ac:dyDescent="0.2">
      <c r="A4171" s="11" t="str">
        <f>IF(INPUT!M4166="","",INPUT!M4166)</f>
        <v/>
      </c>
      <c r="B4171" s="11" t="str">
        <f>IF(INPUT!M4166="","",INPUT!M4166-WEEKDAY(INPUT!M4166,2)+1)</f>
        <v/>
      </c>
      <c r="C4171" s="20">
        <f>IFERROR(_xlfn.ISOWEEKNUM(INPUT!M4166),"")</f>
        <v>52</v>
      </c>
      <c r="D4171" s="20">
        <f>IFERROR(YEAR(INPUT!M4166),"")</f>
        <v>1900</v>
      </c>
      <c r="E4171" t="str">
        <f>IF(INPUT!O4166="","",INPUT!O4166)</f>
        <v/>
      </c>
      <c r="F4171" t="str">
        <f>IF(INPUT!N4166="","",INPUT!N4166)</f>
        <v/>
      </c>
      <c r="G4171" cm="1">
        <f t="array" ref="G4171">IFERROR(VLOOKUP(INPUT!M4166&amp;INPUT!N4166,CHOOSE({1,2},INPUT!$A$3:$A$5000&amp;INPUT!$C$3:$C$5000,INPUT!$F$3:$F$5000),2,FALSE),"")</f>
        <v>0</v>
      </c>
      <c r="H4171" cm="1">
        <f t="array" ref="H4171">IFERROR(VLOOKUP(INPUT!M4166&amp;INPUT!N4166,CHOOSE({1,2},INPUT!$A$3:$A$5000&amp;INPUT!$C$3:$C$5000,INPUT!$D$3:$D$5000),2,FALSE),"")</f>
        <v>0</v>
      </c>
      <c r="I4171" s="46" t="str">
        <f>IF(INPUT!P4166="","",INPUT!P4166)</f>
        <v/>
      </c>
      <c r="J4171" s="46" t="str">
        <f>IF(INPUT!Q4166="","",INPUT!Q4166)</f>
        <v/>
      </c>
      <c r="K4171" s="46" t="str">
        <f>IFERROR(IF(OR(INPUT!P4166="",INPUT!Q4166=""),"",INPUT!P4166-INPUT!Q4166),"")</f>
        <v/>
      </c>
      <c r="L4171" s="48" t="str">
        <f>IFERROR(IF(OR(INPUT!P4166="",INPUT!Q4166="",INPUT!P4166=0),"",(INPUT!P4166-INPUT!Q4166)/INPUT!P4166),"")</f>
        <v/>
      </c>
    </row>
    <row r="4172" spans="1:12" ht="18" hidden="1" customHeight="1" x14ac:dyDescent="0.2">
      <c r="A4172" s="11" t="str">
        <f>IF(INPUT!M4167="","",INPUT!M4167)</f>
        <v/>
      </c>
      <c r="B4172" s="11" t="str">
        <f>IF(INPUT!M4167="","",INPUT!M4167-WEEKDAY(INPUT!M4167,2)+1)</f>
        <v/>
      </c>
      <c r="C4172" s="20">
        <f>IFERROR(_xlfn.ISOWEEKNUM(INPUT!M4167),"")</f>
        <v>52</v>
      </c>
      <c r="D4172" s="20">
        <f>IFERROR(YEAR(INPUT!M4167),"")</f>
        <v>1900</v>
      </c>
      <c r="E4172" t="str">
        <f>IF(INPUT!O4167="","",INPUT!O4167)</f>
        <v/>
      </c>
      <c r="F4172" t="str">
        <f>IF(INPUT!N4167="","",INPUT!N4167)</f>
        <v/>
      </c>
      <c r="G4172" cm="1">
        <f t="array" ref="G4172">IFERROR(VLOOKUP(INPUT!M4167&amp;INPUT!N4167,CHOOSE({1,2},INPUT!$A$3:$A$5000&amp;INPUT!$C$3:$C$5000,INPUT!$F$3:$F$5000),2,FALSE),"")</f>
        <v>0</v>
      </c>
      <c r="H4172" cm="1">
        <f t="array" ref="H4172">IFERROR(VLOOKUP(INPUT!M4167&amp;INPUT!N4167,CHOOSE({1,2},INPUT!$A$3:$A$5000&amp;INPUT!$C$3:$C$5000,INPUT!$D$3:$D$5000),2,FALSE),"")</f>
        <v>0</v>
      </c>
      <c r="I4172" s="46" t="str">
        <f>IF(INPUT!P4167="","",INPUT!P4167)</f>
        <v/>
      </c>
      <c r="J4172" s="46" t="str">
        <f>IF(INPUT!Q4167="","",INPUT!Q4167)</f>
        <v/>
      </c>
      <c r="K4172" s="46" t="str">
        <f>IFERROR(IF(OR(INPUT!P4167="",INPUT!Q4167=""),"",INPUT!P4167-INPUT!Q4167),"")</f>
        <v/>
      </c>
      <c r="L4172" s="48" t="str">
        <f>IFERROR(IF(OR(INPUT!P4167="",INPUT!Q4167="",INPUT!P4167=0),"",(INPUT!P4167-INPUT!Q4167)/INPUT!P4167),"")</f>
        <v/>
      </c>
    </row>
    <row r="4173" spans="1:12" ht="18" hidden="1" customHeight="1" x14ac:dyDescent="0.2">
      <c r="A4173" s="11" t="str">
        <f>IF(INPUT!M4168="","",INPUT!M4168)</f>
        <v/>
      </c>
      <c r="B4173" s="11" t="str">
        <f>IF(INPUT!M4168="","",INPUT!M4168-WEEKDAY(INPUT!M4168,2)+1)</f>
        <v/>
      </c>
      <c r="C4173" s="20">
        <f>IFERROR(_xlfn.ISOWEEKNUM(INPUT!M4168),"")</f>
        <v>52</v>
      </c>
      <c r="D4173" s="20">
        <f>IFERROR(YEAR(INPUT!M4168),"")</f>
        <v>1900</v>
      </c>
      <c r="E4173" t="str">
        <f>IF(INPUT!O4168="","",INPUT!O4168)</f>
        <v/>
      </c>
      <c r="F4173" t="str">
        <f>IF(INPUT!N4168="","",INPUT!N4168)</f>
        <v/>
      </c>
      <c r="G4173" cm="1">
        <f t="array" ref="G4173">IFERROR(VLOOKUP(INPUT!M4168&amp;INPUT!N4168,CHOOSE({1,2},INPUT!$A$3:$A$5000&amp;INPUT!$C$3:$C$5000,INPUT!$F$3:$F$5000),2,FALSE),"")</f>
        <v>0</v>
      </c>
      <c r="H4173" cm="1">
        <f t="array" ref="H4173">IFERROR(VLOOKUP(INPUT!M4168&amp;INPUT!N4168,CHOOSE({1,2},INPUT!$A$3:$A$5000&amp;INPUT!$C$3:$C$5000,INPUT!$D$3:$D$5000),2,FALSE),"")</f>
        <v>0</v>
      </c>
      <c r="I4173" s="46" t="str">
        <f>IF(INPUT!P4168="","",INPUT!P4168)</f>
        <v/>
      </c>
      <c r="J4173" s="46" t="str">
        <f>IF(INPUT!Q4168="","",INPUT!Q4168)</f>
        <v/>
      </c>
      <c r="K4173" s="46" t="str">
        <f>IFERROR(IF(OR(INPUT!P4168="",INPUT!Q4168=""),"",INPUT!P4168-INPUT!Q4168),"")</f>
        <v/>
      </c>
      <c r="L4173" s="48" t="str">
        <f>IFERROR(IF(OR(INPUT!P4168="",INPUT!Q4168="",INPUT!P4168=0),"",(INPUT!P4168-INPUT!Q4168)/INPUT!P4168),"")</f>
        <v/>
      </c>
    </row>
    <row r="4174" spans="1:12" ht="18" hidden="1" customHeight="1" x14ac:dyDescent="0.2">
      <c r="A4174" s="11" t="str">
        <f>IF(INPUT!M4169="","",INPUT!M4169)</f>
        <v/>
      </c>
      <c r="B4174" s="11" t="str">
        <f>IF(INPUT!M4169="","",INPUT!M4169-WEEKDAY(INPUT!M4169,2)+1)</f>
        <v/>
      </c>
      <c r="C4174" s="20">
        <f>IFERROR(_xlfn.ISOWEEKNUM(INPUT!M4169),"")</f>
        <v>52</v>
      </c>
      <c r="D4174" s="20">
        <f>IFERROR(YEAR(INPUT!M4169),"")</f>
        <v>1900</v>
      </c>
      <c r="E4174" t="str">
        <f>IF(INPUT!O4169="","",INPUT!O4169)</f>
        <v/>
      </c>
      <c r="F4174" t="str">
        <f>IF(INPUT!N4169="","",INPUT!N4169)</f>
        <v/>
      </c>
      <c r="G4174" cm="1">
        <f t="array" ref="G4174">IFERROR(VLOOKUP(INPUT!M4169&amp;INPUT!N4169,CHOOSE({1,2},INPUT!$A$3:$A$5000&amp;INPUT!$C$3:$C$5000,INPUT!$F$3:$F$5000),2,FALSE),"")</f>
        <v>0</v>
      </c>
      <c r="H4174" cm="1">
        <f t="array" ref="H4174">IFERROR(VLOOKUP(INPUT!M4169&amp;INPUT!N4169,CHOOSE({1,2},INPUT!$A$3:$A$5000&amp;INPUT!$C$3:$C$5000,INPUT!$D$3:$D$5000),2,FALSE),"")</f>
        <v>0</v>
      </c>
      <c r="I4174" s="46" t="str">
        <f>IF(INPUT!P4169="","",INPUT!P4169)</f>
        <v/>
      </c>
      <c r="J4174" s="46" t="str">
        <f>IF(INPUT!Q4169="","",INPUT!Q4169)</f>
        <v/>
      </c>
      <c r="K4174" s="46" t="str">
        <f>IFERROR(IF(OR(INPUT!P4169="",INPUT!Q4169=""),"",INPUT!P4169-INPUT!Q4169),"")</f>
        <v/>
      </c>
      <c r="L4174" s="48" t="str">
        <f>IFERROR(IF(OR(INPUT!P4169="",INPUT!Q4169="",INPUT!P4169=0),"",(INPUT!P4169-INPUT!Q4169)/INPUT!P4169),"")</f>
        <v/>
      </c>
    </row>
    <row r="4175" spans="1:12" ht="18" hidden="1" customHeight="1" x14ac:dyDescent="0.2">
      <c r="A4175" s="11" t="str">
        <f>IF(INPUT!M4170="","",INPUT!M4170)</f>
        <v/>
      </c>
      <c r="B4175" s="11" t="str">
        <f>IF(INPUT!M4170="","",INPUT!M4170-WEEKDAY(INPUT!M4170,2)+1)</f>
        <v/>
      </c>
      <c r="C4175" s="20">
        <f>IFERROR(_xlfn.ISOWEEKNUM(INPUT!M4170),"")</f>
        <v>52</v>
      </c>
      <c r="D4175" s="20">
        <f>IFERROR(YEAR(INPUT!M4170),"")</f>
        <v>1900</v>
      </c>
      <c r="E4175" t="str">
        <f>IF(INPUT!O4170="","",INPUT!O4170)</f>
        <v/>
      </c>
      <c r="F4175" t="str">
        <f>IF(INPUT!N4170="","",INPUT!N4170)</f>
        <v/>
      </c>
      <c r="G4175" cm="1">
        <f t="array" ref="G4175">IFERROR(VLOOKUP(INPUT!M4170&amp;INPUT!N4170,CHOOSE({1,2},INPUT!$A$3:$A$5000&amp;INPUT!$C$3:$C$5000,INPUT!$F$3:$F$5000),2,FALSE),"")</f>
        <v>0</v>
      </c>
      <c r="H4175" cm="1">
        <f t="array" ref="H4175">IFERROR(VLOOKUP(INPUT!M4170&amp;INPUT!N4170,CHOOSE({1,2},INPUT!$A$3:$A$5000&amp;INPUT!$C$3:$C$5000,INPUT!$D$3:$D$5000),2,FALSE),"")</f>
        <v>0</v>
      </c>
      <c r="I4175" s="46" t="str">
        <f>IF(INPUT!P4170="","",INPUT!P4170)</f>
        <v/>
      </c>
      <c r="J4175" s="46" t="str">
        <f>IF(INPUT!Q4170="","",INPUT!Q4170)</f>
        <v/>
      </c>
      <c r="K4175" s="46" t="str">
        <f>IFERROR(IF(OR(INPUT!P4170="",INPUT!Q4170=""),"",INPUT!P4170-INPUT!Q4170),"")</f>
        <v/>
      </c>
      <c r="L4175" s="48" t="str">
        <f>IFERROR(IF(OR(INPUT!P4170="",INPUT!Q4170="",INPUT!P4170=0),"",(INPUT!P4170-INPUT!Q4170)/INPUT!P4170),"")</f>
        <v/>
      </c>
    </row>
    <row r="4176" spans="1:12" ht="18" hidden="1" customHeight="1" x14ac:dyDescent="0.2">
      <c r="A4176" s="11" t="str">
        <f>IF(INPUT!M4171="","",INPUT!M4171)</f>
        <v/>
      </c>
      <c r="B4176" s="11" t="str">
        <f>IF(INPUT!M4171="","",INPUT!M4171-WEEKDAY(INPUT!M4171,2)+1)</f>
        <v/>
      </c>
      <c r="C4176" s="20">
        <f>IFERROR(_xlfn.ISOWEEKNUM(INPUT!M4171),"")</f>
        <v>52</v>
      </c>
      <c r="D4176" s="20">
        <f>IFERROR(YEAR(INPUT!M4171),"")</f>
        <v>1900</v>
      </c>
      <c r="E4176" t="str">
        <f>IF(INPUT!O4171="","",INPUT!O4171)</f>
        <v/>
      </c>
      <c r="F4176" t="str">
        <f>IF(INPUT!N4171="","",INPUT!N4171)</f>
        <v/>
      </c>
      <c r="G4176" cm="1">
        <f t="array" ref="G4176">IFERROR(VLOOKUP(INPUT!M4171&amp;INPUT!N4171,CHOOSE({1,2},INPUT!$A$3:$A$5000&amp;INPUT!$C$3:$C$5000,INPUT!$F$3:$F$5000),2,FALSE),"")</f>
        <v>0</v>
      </c>
      <c r="H4176" cm="1">
        <f t="array" ref="H4176">IFERROR(VLOOKUP(INPUT!M4171&amp;INPUT!N4171,CHOOSE({1,2},INPUT!$A$3:$A$5000&amp;INPUT!$C$3:$C$5000,INPUT!$D$3:$D$5000),2,FALSE),"")</f>
        <v>0</v>
      </c>
      <c r="I4176" s="46" t="str">
        <f>IF(INPUT!P4171="","",INPUT!P4171)</f>
        <v/>
      </c>
      <c r="J4176" s="46" t="str">
        <f>IF(INPUT!Q4171="","",INPUT!Q4171)</f>
        <v/>
      </c>
      <c r="K4176" s="46" t="str">
        <f>IFERROR(IF(OR(INPUT!P4171="",INPUT!Q4171=""),"",INPUT!P4171-INPUT!Q4171),"")</f>
        <v/>
      </c>
      <c r="L4176" s="48" t="str">
        <f>IFERROR(IF(OR(INPUT!P4171="",INPUT!Q4171="",INPUT!P4171=0),"",(INPUT!P4171-INPUT!Q4171)/INPUT!P4171),"")</f>
        <v/>
      </c>
    </row>
    <row r="4177" spans="1:12" ht="18" hidden="1" customHeight="1" x14ac:dyDescent="0.2">
      <c r="A4177" s="11" t="str">
        <f>IF(INPUT!M4172="","",INPUT!M4172)</f>
        <v/>
      </c>
      <c r="B4177" s="11" t="str">
        <f>IF(INPUT!M4172="","",INPUT!M4172-WEEKDAY(INPUT!M4172,2)+1)</f>
        <v/>
      </c>
      <c r="C4177" s="20">
        <f>IFERROR(_xlfn.ISOWEEKNUM(INPUT!M4172),"")</f>
        <v>52</v>
      </c>
      <c r="D4177" s="20">
        <f>IFERROR(YEAR(INPUT!M4172),"")</f>
        <v>1900</v>
      </c>
      <c r="E4177" t="str">
        <f>IF(INPUT!O4172="","",INPUT!O4172)</f>
        <v/>
      </c>
      <c r="F4177" t="str">
        <f>IF(INPUT!N4172="","",INPUT!N4172)</f>
        <v/>
      </c>
      <c r="G4177" cm="1">
        <f t="array" ref="G4177">IFERROR(VLOOKUP(INPUT!M4172&amp;INPUT!N4172,CHOOSE({1,2},INPUT!$A$3:$A$5000&amp;INPUT!$C$3:$C$5000,INPUT!$F$3:$F$5000),2,FALSE),"")</f>
        <v>0</v>
      </c>
      <c r="H4177" cm="1">
        <f t="array" ref="H4177">IFERROR(VLOOKUP(INPUT!M4172&amp;INPUT!N4172,CHOOSE({1,2},INPUT!$A$3:$A$5000&amp;INPUT!$C$3:$C$5000,INPUT!$D$3:$D$5000),2,FALSE),"")</f>
        <v>0</v>
      </c>
      <c r="I4177" s="46" t="str">
        <f>IF(INPUT!P4172="","",INPUT!P4172)</f>
        <v/>
      </c>
      <c r="J4177" s="46" t="str">
        <f>IF(INPUT!Q4172="","",INPUT!Q4172)</f>
        <v/>
      </c>
      <c r="K4177" s="46" t="str">
        <f>IFERROR(IF(OR(INPUT!P4172="",INPUT!Q4172=""),"",INPUT!P4172-INPUT!Q4172),"")</f>
        <v/>
      </c>
      <c r="L4177" s="48" t="str">
        <f>IFERROR(IF(OR(INPUT!P4172="",INPUT!Q4172="",INPUT!P4172=0),"",(INPUT!P4172-INPUT!Q4172)/INPUT!P4172),"")</f>
        <v/>
      </c>
    </row>
    <row r="4178" spans="1:12" ht="18" hidden="1" customHeight="1" x14ac:dyDescent="0.2">
      <c r="A4178" s="11" t="str">
        <f>IF(INPUT!M4173="","",INPUT!M4173)</f>
        <v/>
      </c>
      <c r="B4178" s="11" t="str">
        <f>IF(INPUT!M4173="","",INPUT!M4173-WEEKDAY(INPUT!M4173,2)+1)</f>
        <v/>
      </c>
      <c r="C4178" s="20">
        <f>IFERROR(_xlfn.ISOWEEKNUM(INPUT!M4173),"")</f>
        <v>52</v>
      </c>
      <c r="D4178" s="20">
        <f>IFERROR(YEAR(INPUT!M4173),"")</f>
        <v>1900</v>
      </c>
      <c r="E4178" t="str">
        <f>IF(INPUT!O4173="","",INPUT!O4173)</f>
        <v/>
      </c>
      <c r="F4178" t="str">
        <f>IF(INPUT!N4173="","",INPUT!N4173)</f>
        <v/>
      </c>
      <c r="G4178" cm="1">
        <f t="array" ref="G4178">IFERROR(VLOOKUP(INPUT!M4173&amp;INPUT!N4173,CHOOSE({1,2},INPUT!$A$3:$A$5000&amp;INPUT!$C$3:$C$5000,INPUT!$F$3:$F$5000),2,FALSE),"")</f>
        <v>0</v>
      </c>
      <c r="H4178" cm="1">
        <f t="array" ref="H4178">IFERROR(VLOOKUP(INPUT!M4173&amp;INPUT!N4173,CHOOSE({1,2},INPUT!$A$3:$A$5000&amp;INPUT!$C$3:$C$5000,INPUT!$D$3:$D$5000),2,FALSE),"")</f>
        <v>0</v>
      </c>
      <c r="I4178" s="46" t="str">
        <f>IF(INPUT!P4173="","",INPUT!P4173)</f>
        <v/>
      </c>
      <c r="J4178" s="46" t="str">
        <f>IF(INPUT!Q4173="","",INPUT!Q4173)</f>
        <v/>
      </c>
      <c r="K4178" s="46" t="str">
        <f>IFERROR(IF(OR(INPUT!P4173="",INPUT!Q4173=""),"",INPUT!P4173-INPUT!Q4173),"")</f>
        <v/>
      </c>
      <c r="L4178" s="48" t="str">
        <f>IFERROR(IF(OR(INPUT!P4173="",INPUT!Q4173="",INPUT!P4173=0),"",(INPUT!P4173-INPUT!Q4173)/INPUT!P4173),"")</f>
        <v/>
      </c>
    </row>
    <row r="4179" spans="1:12" ht="18" hidden="1" customHeight="1" x14ac:dyDescent="0.2">
      <c r="A4179" s="11" t="str">
        <f>IF(INPUT!M4174="","",INPUT!M4174)</f>
        <v/>
      </c>
      <c r="B4179" s="11" t="str">
        <f>IF(INPUT!M4174="","",INPUT!M4174-WEEKDAY(INPUT!M4174,2)+1)</f>
        <v/>
      </c>
      <c r="C4179" s="20">
        <f>IFERROR(_xlfn.ISOWEEKNUM(INPUT!M4174),"")</f>
        <v>52</v>
      </c>
      <c r="D4179" s="20">
        <f>IFERROR(YEAR(INPUT!M4174),"")</f>
        <v>1900</v>
      </c>
      <c r="E4179" t="str">
        <f>IF(INPUT!O4174="","",INPUT!O4174)</f>
        <v/>
      </c>
      <c r="F4179" t="str">
        <f>IF(INPUT!N4174="","",INPUT!N4174)</f>
        <v/>
      </c>
      <c r="G4179" cm="1">
        <f t="array" ref="G4179">IFERROR(VLOOKUP(INPUT!M4174&amp;INPUT!N4174,CHOOSE({1,2},INPUT!$A$3:$A$5000&amp;INPUT!$C$3:$C$5000,INPUT!$F$3:$F$5000),2,FALSE),"")</f>
        <v>0</v>
      </c>
      <c r="H4179" cm="1">
        <f t="array" ref="H4179">IFERROR(VLOOKUP(INPUT!M4174&amp;INPUT!N4174,CHOOSE({1,2},INPUT!$A$3:$A$5000&amp;INPUT!$C$3:$C$5000,INPUT!$D$3:$D$5000),2,FALSE),"")</f>
        <v>0</v>
      </c>
      <c r="I4179" s="46" t="str">
        <f>IF(INPUT!P4174="","",INPUT!P4174)</f>
        <v/>
      </c>
      <c r="J4179" s="46" t="str">
        <f>IF(INPUT!Q4174="","",INPUT!Q4174)</f>
        <v/>
      </c>
      <c r="K4179" s="46" t="str">
        <f>IFERROR(IF(OR(INPUT!P4174="",INPUT!Q4174=""),"",INPUT!P4174-INPUT!Q4174),"")</f>
        <v/>
      </c>
      <c r="L4179" s="48" t="str">
        <f>IFERROR(IF(OR(INPUT!P4174="",INPUT!Q4174="",INPUT!P4174=0),"",(INPUT!P4174-INPUT!Q4174)/INPUT!P4174),"")</f>
        <v/>
      </c>
    </row>
    <row r="4180" spans="1:12" ht="18" hidden="1" customHeight="1" x14ac:dyDescent="0.2">
      <c r="A4180" s="11" t="str">
        <f>IF(INPUT!M4175="","",INPUT!M4175)</f>
        <v/>
      </c>
      <c r="B4180" s="11" t="str">
        <f>IF(INPUT!M4175="","",INPUT!M4175-WEEKDAY(INPUT!M4175,2)+1)</f>
        <v/>
      </c>
      <c r="C4180" s="20">
        <f>IFERROR(_xlfn.ISOWEEKNUM(INPUT!M4175),"")</f>
        <v>52</v>
      </c>
      <c r="D4180" s="20">
        <f>IFERROR(YEAR(INPUT!M4175),"")</f>
        <v>1900</v>
      </c>
      <c r="E4180" t="str">
        <f>IF(INPUT!O4175="","",INPUT!O4175)</f>
        <v/>
      </c>
      <c r="F4180" t="str">
        <f>IF(INPUT!N4175="","",INPUT!N4175)</f>
        <v/>
      </c>
      <c r="G4180" cm="1">
        <f t="array" ref="G4180">IFERROR(VLOOKUP(INPUT!M4175&amp;INPUT!N4175,CHOOSE({1,2},INPUT!$A$3:$A$5000&amp;INPUT!$C$3:$C$5000,INPUT!$F$3:$F$5000),2,FALSE),"")</f>
        <v>0</v>
      </c>
      <c r="H4180" cm="1">
        <f t="array" ref="H4180">IFERROR(VLOOKUP(INPUT!M4175&amp;INPUT!N4175,CHOOSE({1,2},INPUT!$A$3:$A$5000&amp;INPUT!$C$3:$C$5000,INPUT!$D$3:$D$5000),2,FALSE),"")</f>
        <v>0</v>
      </c>
      <c r="I4180" s="46" t="str">
        <f>IF(INPUT!P4175="","",INPUT!P4175)</f>
        <v/>
      </c>
      <c r="J4180" s="46" t="str">
        <f>IF(INPUT!Q4175="","",INPUT!Q4175)</f>
        <v/>
      </c>
      <c r="K4180" s="46" t="str">
        <f>IFERROR(IF(OR(INPUT!P4175="",INPUT!Q4175=""),"",INPUT!P4175-INPUT!Q4175),"")</f>
        <v/>
      </c>
      <c r="L4180" s="48" t="str">
        <f>IFERROR(IF(OR(INPUT!P4175="",INPUT!Q4175="",INPUT!P4175=0),"",(INPUT!P4175-INPUT!Q4175)/INPUT!P4175),"")</f>
        <v/>
      </c>
    </row>
    <row r="4181" spans="1:12" ht="18" hidden="1" customHeight="1" x14ac:dyDescent="0.2">
      <c r="A4181" s="11" t="str">
        <f>IF(INPUT!M4176="","",INPUT!M4176)</f>
        <v/>
      </c>
      <c r="B4181" s="11" t="str">
        <f>IF(INPUT!M4176="","",INPUT!M4176-WEEKDAY(INPUT!M4176,2)+1)</f>
        <v/>
      </c>
      <c r="C4181" s="20">
        <f>IFERROR(_xlfn.ISOWEEKNUM(INPUT!M4176),"")</f>
        <v>52</v>
      </c>
      <c r="D4181" s="20">
        <f>IFERROR(YEAR(INPUT!M4176),"")</f>
        <v>1900</v>
      </c>
      <c r="E4181" t="str">
        <f>IF(INPUT!O4176="","",INPUT!O4176)</f>
        <v/>
      </c>
      <c r="F4181" t="str">
        <f>IF(INPUT!N4176="","",INPUT!N4176)</f>
        <v/>
      </c>
      <c r="G4181" cm="1">
        <f t="array" ref="G4181">IFERROR(VLOOKUP(INPUT!M4176&amp;INPUT!N4176,CHOOSE({1,2},INPUT!$A$3:$A$5000&amp;INPUT!$C$3:$C$5000,INPUT!$F$3:$F$5000),2,FALSE),"")</f>
        <v>0</v>
      </c>
      <c r="H4181" cm="1">
        <f t="array" ref="H4181">IFERROR(VLOOKUP(INPUT!M4176&amp;INPUT!N4176,CHOOSE({1,2},INPUT!$A$3:$A$5000&amp;INPUT!$C$3:$C$5000,INPUT!$D$3:$D$5000),2,FALSE),"")</f>
        <v>0</v>
      </c>
      <c r="I4181" s="46" t="str">
        <f>IF(INPUT!P4176="","",INPUT!P4176)</f>
        <v/>
      </c>
      <c r="J4181" s="46" t="str">
        <f>IF(INPUT!Q4176="","",INPUT!Q4176)</f>
        <v/>
      </c>
      <c r="K4181" s="46" t="str">
        <f>IFERROR(IF(OR(INPUT!P4176="",INPUT!Q4176=""),"",INPUT!P4176-INPUT!Q4176),"")</f>
        <v/>
      </c>
      <c r="L4181" s="48" t="str">
        <f>IFERROR(IF(OR(INPUT!P4176="",INPUT!Q4176="",INPUT!P4176=0),"",(INPUT!P4176-INPUT!Q4176)/INPUT!P4176),"")</f>
        <v/>
      </c>
    </row>
    <row r="4182" spans="1:12" ht="18" hidden="1" customHeight="1" x14ac:dyDescent="0.2">
      <c r="A4182" s="11" t="str">
        <f>IF(INPUT!M4177="","",INPUT!M4177)</f>
        <v/>
      </c>
      <c r="B4182" s="11" t="str">
        <f>IF(INPUT!M4177="","",INPUT!M4177-WEEKDAY(INPUT!M4177,2)+1)</f>
        <v/>
      </c>
      <c r="C4182" s="20">
        <f>IFERROR(_xlfn.ISOWEEKNUM(INPUT!M4177),"")</f>
        <v>52</v>
      </c>
      <c r="D4182" s="20">
        <f>IFERROR(YEAR(INPUT!M4177),"")</f>
        <v>1900</v>
      </c>
      <c r="E4182" t="str">
        <f>IF(INPUT!O4177="","",INPUT!O4177)</f>
        <v/>
      </c>
      <c r="F4182" t="str">
        <f>IF(INPUT!N4177="","",INPUT!N4177)</f>
        <v/>
      </c>
      <c r="G4182" cm="1">
        <f t="array" ref="G4182">IFERROR(VLOOKUP(INPUT!M4177&amp;INPUT!N4177,CHOOSE({1,2},INPUT!$A$3:$A$5000&amp;INPUT!$C$3:$C$5000,INPUT!$F$3:$F$5000),2,FALSE),"")</f>
        <v>0</v>
      </c>
      <c r="H4182" cm="1">
        <f t="array" ref="H4182">IFERROR(VLOOKUP(INPUT!M4177&amp;INPUT!N4177,CHOOSE({1,2},INPUT!$A$3:$A$5000&amp;INPUT!$C$3:$C$5000,INPUT!$D$3:$D$5000),2,FALSE),"")</f>
        <v>0</v>
      </c>
      <c r="I4182" s="46" t="str">
        <f>IF(INPUT!P4177="","",INPUT!P4177)</f>
        <v/>
      </c>
      <c r="J4182" s="46" t="str">
        <f>IF(INPUT!Q4177="","",INPUT!Q4177)</f>
        <v/>
      </c>
      <c r="K4182" s="46" t="str">
        <f>IFERROR(IF(OR(INPUT!P4177="",INPUT!Q4177=""),"",INPUT!P4177-INPUT!Q4177),"")</f>
        <v/>
      </c>
      <c r="L4182" s="48" t="str">
        <f>IFERROR(IF(OR(INPUT!P4177="",INPUT!Q4177="",INPUT!P4177=0),"",(INPUT!P4177-INPUT!Q4177)/INPUT!P4177),"")</f>
        <v/>
      </c>
    </row>
    <row r="4183" spans="1:12" ht="18" hidden="1" customHeight="1" x14ac:dyDescent="0.2">
      <c r="A4183" s="11" t="str">
        <f>IF(INPUT!M4178="","",INPUT!M4178)</f>
        <v/>
      </c>
      <c r="B4183" s="11" t="str">
        <f>IF(INPUT!M4178="","",INPUT!M4178-WEEKDAY(INPUT!M4178,2)+1)</f>
        <v/>
      </c>
      <c r="C4183" s="20">
        <f>IFERROR(_xlfn.ISOWEEKNUM(INPUT!M4178),"")</f>
        <v>52</v>
      </c>
      <c r="D4183" s="20">
        <f>IFERROR(YEAR(INPUT!M4178),"")</f>
        <v>1900</v>
      </c>
      <c r="E4183" t="str">
        <f>IF(INPUT!O4178="","",INPUT!O4178)</f>
        <v/>
      </c>
      <c r="F4183" t="str">
        <f>IF(INPUT!N4178="","",INPUT!N4178)</f>
        <v/>
      </c>
      <c r="G4183" cm="1">
        <f t="array" ref="G4183">IFERROR(VLOOKUP(INPUT!M4178&amp;INPUT!N4178,CHOOSE({1,2},INPUT!$A$3:$A$5000&amp;INPUT!$C$3:$C$5000,INPUT!$F$3:$F$5000),2,FALSE),"")</f>
        <v>0</v>
      </c>
      <c r="H4183" cm="1">
        <f t="array" ref="H4183">IFERROR(VLOOKUP(INPUT!M4178&amp;INPUT!N4178,CHOOSE({1,2},INPUT!$A$3:$A$5000&amp;INPUT!$C$3:$C$5000,INPUT!$D$3:$D$5000),2,FALSE),"")</f>
        <v>0</v>
      </c>
      <c r="I4183" s="46" t="str">
        <f>IF(INPUT!P4178="","",INPUT!P4178)</f>
        <v/>
      </c>
      <c r="J4183" s="46" t="str">
        <f>IF(INPUT!Q4178="","",INPUT!Q4178)</f>
        <v/>
      </c>
      <c r="K4183" s="46" t="str">
        <f>IFERROR(IF(OR(INPUT!P4178="",INPUT!Q4178=""),"",INPUT!P4178-INPUT!Q4178),"")</f>
        <v/>
      </c>
      <c r="L4183" s="48" t="str">
        <f>IFERROR(IF(OR(INPUT!P4178="",INPUT!Q4178="",INPUT!P4178=0),"",(INPUT!P4178-INPUT!Q4178)/INPUT!P4178),"")</f>
        <v/>
      </c>
    </row>
    <row r="4184" spans="1:12" ht="18" hidden="1" customHeight="1" x14ac:dyDescent="0.2">
      <c r="A4184" s="11" t="str">
        <f>IF(INPUT!M4179="","",INPUT!M4179)</f>
        <v/>
      </c>
      <c r="B4184" s="11" t="str">
        <f>IF(INPUT!M4179="","",INPUT!M4179-WEEKDAY(INPUT!M4179,2)+1)</f>
        <v/>
      </c>
      <c r="C4184" s="20">
        <f>IFERROR(_xlfn.ISOWEEKNUM(INPUT!M4179),"")</f>
        <v>52</v>
      </c>
      <c r="D4184" s="20">
        <f>IFERROR(YEAR(INPUT!M4179),"")</f>
        <v>1900</v>
      </c>
      <c r="E4184" t="str">
        <f>IF(INPUT!O4179="","",INPUT!O4179)</f>
        <v/>
      </c>
      <c r="F4184" t="str">
        <f>IF(INPUT!N4179="","",INPUT!N4179)</f>
        <v/>
      </c>
      <c r="G4184" cm="1">
        <f t="array" ref="G4184">IFERROR(VLOOKUP(INPUT!M4179&amp;INPUT!N4179,CHOOSE({1,2},INPUT!$A$3:$A$5000&amp;INPUT!$C$3:$C$5000,INPUT!$F$3:$F$5000),2,FALSE),"")</f>
        <v>0</v>
      </c>
      <c r="H4184" cm="1">
        <f t="array" ref="H4184">IFERROR(VLOOKUP(INPUT!M4179&amp;INPUT!N4179,CHOOSE({1,2},INPUT!$A$3:$A$5000&amp;INPUT!$C$3:$C$5000,INPUT!$D$3:$D$5000),2,FALSE),"")</f>
        <v>0</v>
      </c>
      <c r="I4184" s="46" t="str">
        <f>IF(INPUT!P4179="","",INPUT!P4179)</f>
        <v/>
      </c>
      <c r="J4184" s="46" t="str">
        <f>IF(INPUT!Q4179="","",INPUT!Q4179)</f>
        <v/>
      </c>
      <c r="K4184" s="46" t="str">
        <f>IFERROR(IF(OR(INPUT!P4179="",INPUT!Q4179=""),"",INPUT!P4179-INPUT!Q4179),"")</f>
        <v/>
      </c>
      <c r="L4184" s="48" t="str">
        <f>IFERROR(IF(OR(INPUT!P4179="",INPUT!Q4179="",INPUT!P4179=0),"",(INPUT!P4179-INPUT!Q4179)/INPUT!P4179),"")</f>
        <v/>
      </c>
    </row>
    <row r="4185" spans="1:12" ht="18" hidden="1" customHeight="1" x14ac:dyDescent="0.2">
      <c r="A4185" s="11" t="str">
        <f>IF(INPUT!M4180="","",INPUT!M4180)</f>
        <v/>
      </c>
      <c r="B4185" s="11" t="str">
        <f>IF(INPUT!M4180="","",INPUT!M4180-WEEKDAY(INPUT!M4180,2)+1)</f>
        <v/>
      </c>
      <c r="C4185" s="20">
        <f>IFERROR(_xlfn.ISOWEEKNUM(INPUT!M4180),"")</f>
        <v>52</v>
      </c>
      <c r="D4185" s="20">
        <f>IFERROR(YEAR(INPUT!M4180),"")</f>
        <v>1900</v>
      </c>
      <c r="E4185" t="str">
        <f>IF(INPUT!O4180="","",INPUT!O4180)</f>
        <v/>
      </c>
      <c r="F4185" t="str">
        <f>IF(INPUT!N4180="","",INPUT!N4180)</f>
        <v/>
      </c>
      <c r="G4185" cm="1">
        <f t="array" ref="G4185">IFERROR(VLOOKUP(INPUT!M4180&amp;INPUT!N4180,CHOOSE({1,2},INPUT!$A$3:$A$5000&amp;INPUT!$C$3:$C$5000,INPUT!$F$3:$F$5000),2,FALSE),"")</f>
        <v>0</v>
      </c>
      <c r="H4185" cm="1">
        <f t="array" ref="H4185">IFERROR(VLOOKUP(INPUT!M4180&amp;INPUT!N4180,CHOOSE({1,2},INPUT!$A$3:$A$5000&amp;INPUT!$C$3:$C$5000,INPUT!$D$3:$D$5000),2,FALSE),"")</f>
        <v>0</v>
      </c>
      <c r="I4185" s="46" t="str">
        <f>IF(INPUT!P4180="","",INPUT!P4180)</f>
        <v/>
      </c>
      <c r="J4185" s="46" t="str">
        <f>IF(INPUT!Q4180="","",INPUT!Q4180)</f>
        <v/>
      </c>
      <c r="K4185" s="46" t="str">
        <f>IFERROR(IF(OR(INPUT!P4180="",INPUT!Q4180=""),"",INPUT!P4180-INPUT!Q4180),"")</f>
        <v/>
      </c>
      <c r="L4185" s="48" t="str">
        <f>IFERROR(IF(OR(INPUT!P4180="",INPUT!Q4180="",INPUT!P4180=0),"",(INPUT!P4180-INPUT!Q4180)/INPUT!P4180),"")</f>
        <v/>
      </c>
    </row>
    <row r="4186" spans="1:12" ht="18" hidden="1" customHeight="1" x14ac:dyDescent="0.2">
      <c r="A4186" s="11" t="str">
        <f>IF(INPUT!M4181="","",INPUT!M4181)</f>
        <v/>
      </c>
      <c r="B4186" s="11" t="str">
        <f>IF(INPUT!M4181="","",INPUT!M4181-WEEKDAY(INPUT!M4181,2)+1)</f>
        <v/>
      </c>
      <c r="C4186" s="20">
        <f>IFERROR(_xlfn.ISOWEEKNUM(INPUT!M4181),"")</f>
        <v>52</v>
      </c>
      <c r="D4186" s="20">
        <f>IFERROR(YEAR(INPUT!M4181),"")</f>
        <v>1900</v>
      </c>
      <c r="E4186" t="str">
        <f>IF(INPUT!O4181="","",INPUT!O4181)</f>
        <v/>
      </c>
      <c r="F4186" t="str">
        <f>IF(INPUT!N4181="","",INPUT!N4181)</f>
        <v/>
      </c>
      <c r="G4186" cm="1">
        <f t="array" ref="G4186">IFERROR(VLOOKUP(INPUT!M4181&amp;INPUT!N4181,CHOOSE({1,2},INPUT!$A$3:$A$5000&amp;INPUT!$C$3:$C$5000,INPUT!$F$3:$F$5000),2,FALSE),"")</f>
        <v>0</v>
      </c>
      <c r="H4186" cm="1">
        <f t="array" ref="H4186">IFERROR(VLOOKUP(INPUT!M4181&amp;INPUT!N4181,CHOOSE({1,2},INPUT!$A$3:$A$5000&amp;INPUT!$C$3:$C$5000,INPUT!$D$3:$D$5000),2,FALSE),"")</f>
        <v>0</v>
      </c>
      <c r="I4186" s="46" t="str">
        <f>IF(INPUT!P4181="","",INPUT!P4181)</f>
        <v/>
      </c>
      <c r="J4186" s="46" t="str">
        <f>IF(INPUT!Q4181="","",INPUT!Q4181)</f>
        <v/>
      </c>
      <c r="K4186" s="46" t="str">
        <f>IFERROR(IF(OR(INPUT!P4181="",INPUT!Q4181=""),"",INPUT!P4181-INPUT!Q4181),"")</f>
        <v/>
      </c>
      <c r="L4186" s="48" t="str">
        <f>IFERROR(IF(OR(INPUT!P4181="",INPUT!Q4181="",INPUT!P4181=0),"",(INPUT!P4181-INPUT!Q4181)/INPUT!P4181),"")</f>
        <v/>
      </c>
    </row>
    <row r="4187" spans="1:12" ht="18" hidden="1" customHeight="1" x14ac:dyDescent="0.2">
      <c r="A4187" s="11" t="str">
        <f>IF(INPUT!M4182="","",INPUT!M4182)</f>
        <v/>
      </c>
      <c r="B4187" s="11" t="str">
        <f>IF(INPUT!M4182="","",INPUT!M4182-WEEKDAY(INPUT!M4182,2)+1)</f>
        <v/>
      </c>
      <c r="C4187" s="20">
        <f>IFERROR(_xlfn.ISOWEEKNUM(INPUT!M4182),"")</f>
        <v>52</v>
      </c>
      <c r="D4187" s="20">
        <f>IFERROR(YEAR(INPUT!M4182),"")</f>
        <v>1900</v>
      </c>
      <c r="E4187" t="str">
        <f>IF(INPUT!O4182="","",INPUT!O4182)</f>
        <v/>
      </c>
      <c r="F4187" t="str">
        <f>IF(INPUT!N4182="","",INPUT!N4182)</f>
        <v/>
      </c>
      <c r="G4187" cm="1">
        <f t="array" ref="G4187">IFERROR(VLOOKUP(INPUT!M4182&amp;INPUT!N4182,CHOOSE({1,2},INPUT!$A$3:$A$5000&amp;INPUT!$C$3:$C$5000,INPUT!$F$3:$F$5000),2,FALSE),"")</f>
        <v>0</v>
      </c>
      <c r="H4187" cm="1">
        <f t="array" ref="H4187">IFERROR(VLOOKUP(INPUT!M4182&amp;INPUT!N4182,CHOOSE({1,2},INPUT!$A$3:$A$5000&amp;INPUT!$C$3:$C$5000,INPUT!$D$3:$D$5000),2,FALSE),"")</f>
        <v>0</v>
      </c>
      <c r="I4187" s="46" t="str">
        <f>IF(INPUT!P4182="","",INPUT!P4182)</f>
        <v/>
      </c>
      <c r="J4187" s="46" t="str">
        <f>IF(INPUT!Q4182="","",INPUT!Q4182)</f>
        <v/>
      </c>
      <c r="K4187" s="46" t="str">
        <f>IFERROR(IF(OR(INPUT!P4182="",INPUT!Q4182=""),"",INPUT!P4182-INPUT!Q4182),"")</f>
        <v/>
      </c>
      <c r="L4187" s="48" t="str">
        <f>IFERROR(IF(OR(INPUT!P4182="",INPUT!Q4182="",INPUT!P4182=0),"",(INPUT!P4182-INPUT!Q4182)/INPUT!P4182),"")</f>
        <v/>
      </c>
    </row>
    <row r="4188" spans="1:12" ht="18" hidden="1" customHeight="1" x14ac:dyDescent="0.2">
      <c r="A4188" s="11" t="str">
        <f>IF(INPUT!M4183="","",INPUT!M4183)</f>
        <v/>
      </c>
      <c r="B4188" s="11" t="str">
        <f>IF(INPUT!M4183="","",INPUT!M4183-WEEKDAY(INPUT!M4183,2)+1)</f>
        <v/>
      </c>
      <c r="C4188" s="20">
        <f>IFERROR(_xlfn.ISOWEEKNUM(INPUT!M4183),"")</f>
        <v>52</v>
      </c>
      <c r="D4188" s="20">
        <f>IFERROR(YEAR(INPUT!M4183),"")</f>
        <v>1900</v>
      </c>
      <c r="E4188" t="str">
        <f>IF(INPUT!O4183="","",INPUT!O4183)</f>
        <v/>
      </c>
      <c r="F4188" t="str">
        <f>IF(INPUT!N4183="","",INPUT!N4183)</f>
        <v/>
      </c>
      <c r="G4188" cm="1">
        <f t="array" ref="G4188">IFERROR(VLOOKUP(INPUT!M4183&amp;INPUT!N4183,CHOOSE({1,2},INPUT!$A$3:$A$5000&amp;INPUT!$C$3:$C$5000,INPUT!$F$3:$F$5000),2,FALSE),"")</f>
        <v>0</v>
      </c>
      <c r="H4188" cm="1">
        <f t="array" ref="H4188">IFERROR(VLOOKUP(INPUT!M4183&amp;INPUT!N4183,CHOOSE({1,2},INPUT!$A$3:$A$5000&amp;INPUT!$C$3:$C$5000,INPUT!$D$3:$D$5000),2,FALSE),"")</f>
        <v>0</v>
      </c>
      <c r="I4188" s="46" t="str">
        <f>IF(INPUT!P4183="","",INPUT!P4183)</f>
        <v/>
      </c>
      <c r="J4188" s="46" t="str">
        <f>IF(INPUT!Q4183="","",INPUT!Q4183)</f>
        <v/>
      </c>
      <c r="K4188" s="46" t="str">
        <f>IFERROR(IF(OR(INPUT!P4183="",INPUT!Q4183=""),"",INPUT!P4183-INPUT!Q4183),"")</f>
        <v/>
      </c>
      <c r="L4188" s="48" t="str">
        <f>IFERROR(IF(OR(INPUT!P4183="",INPUT!Q4183="",INPUT!P4183=0),"",(INPUT!P4183-INPUT!Q4183)/INPUT!P4183),"")</f>
        <v/>
      </c>
    </row>
    <row r="4189" spans="1:12" ht="18" hidden="1" customHeight="1" x14ac:dyDescent="0.2">
      <c r="A4189" s="11" t="str">
        <f>IF(INPUT!M4184="","",INPUT!M4184)</f>
        <v/>
      </c>
      <c r="B4189" s="11" t="str">
        <f>IF(INPUT!M4184="","",INPUT!M4184-WEEKDAY(INPUT!M4184,2)+1)</f>
        <v/>
      </c>
      <c r="C4189" s="20">
        <f>IFERROR(_xlfn.ISOWEEKNUM(INPUT!M4184),"")</f>
        <v>52</v>
      </c>
      <c r="D4189" s="20">
        <f>IFERROR(YEAR(INPUT!M4184),"")</f>
        <v>1900</v>
      </c>
      <c r="E4189" t="str">
        <f>IF(INPUT!O4184="","",INPUT!O4184)</f>
        <v/>
      </c>
      <c r="F4189" t="str">
        <f>IF(INPUT!N4184="","",INPUT!N4184)</f>
        <v/>
      </c>
      <c r="G4189" cm="1">
        <f t="array" ref="G4189">IFERROR(VLOOKUP(INPUT!M4184&amp;INPUT!N4184,CHOOSE({1,2},INPUT!$A$3:$A$5000&amp;INPUT!$C$3:$C$5000,INPUT!$F$3:$F$5000),2,FALSE),"")</f>
        <v>0</v>
      </c>
      <c r="H4189" cm="1">
        <f t="array" ref="H4189">IFERROR(VLOOKUP(INPUT!M4184&amp;INPUT!N4184,CHOOSE({1,2},INPUT!$A$3:$A$5000&amp;INPUT!$C$3:$C$5000,INPUT!$D$3:$D$5000),2,FALSE),"")</f>
        <v>0</v>
      </c>
      <c r="I4189" s="46" t="str">
        <f>IF(INPUT!P4184="","",INPUT!P4184)</f>
        <v/>
      </c>
      <c r="J4189" s="46" t="str">
        <f>IF(INPUT!Q4184="","",INPUT!Q4184)</f>
        <v/>
      </c>
      <c r="K4189" s="46" t="str">
        <f>IFERROR(IF(OR(INPUT!P4184="",INPUT!Q4184=""),"",INPUT!P4184-INPUT!Q4184),"")</f>
        <v/>
      </c>
      <c r="L4189" s="48" t="str">
        <f>IFERROR(IF(OR(INPUT!P4184="",INPUT!Q4184="",INPUT!P4184=0),"",(INPUT!P4184-INPUT!Q4184)/INPUT!P4184),"")</f>
        <v/>
      </c>
    </row>
    <row r="4190" spans="1:12" ht="18" hidden="1" customHeight="1" x14ac:dyDescent="0.2">
      <c r="A4190" s="11" t="str">
        <f>IF(INPUT!M4185="","",INPUT!M4185)</f>
        <v/>
      </c>
      <c r="B4190" s="11" t="str">
        <f>IF(INPUT!M4185="","",INPUT!M4185-WEEKDAY(INPUT!M4185,2)+1)</f>
        <v/>
      </c>
      <c r="C4190" s="20">
        <f>IFERROR(_xlfn.ISOWEEKNUM(INPUT!M4185),"")</f>
        <v>52</v>
      </c>
      <c r="D4190" s="20">
        <f>IFERROR(YEAR(INPUT!M4185),"")</f>
        <v>1900</v>
      </c>
      <c r="E4190" t="str">
        <f>IF(INPUT!O4185="","",INPUT!O4185)</f>
        <v/>
      </c>
      <c r="F4190" t="str">
        <f>IF(INPUT!N4185="","",INPUT!N4185)</f>
        <v/>
      </c>
      <c r="G4190" cm="1">
        <f t="array" ref="G4190">IFERROR(VLOOKUP(INPUT!M4185&amp;INPUT!N4185,CHOOSE({1,2},INPUT!$A$3:$A$5000&amp;INPUT!$C$3:$C$5000,INPUT!$F$3:$F$5000),2,FALSE),"")</f>
        <v>0</v>
      </c>
      <c r="H4190" cm="1">
        <f t="array" ref="H4190">IFERROR(VLOOKUP(INPUT!M4185&amp;INPUT!N4185,CHOOSE({1,2},INPUT!$A$3:$A$5000&amp;INPUT!$C$3:$C$5000,INPUT!$D$3:$D$5000),2,FALSE),"")</f>
        <v>0</v>
      </c>
      <c r="I4190" s="46" t="str">
        <f>IF(INPUT!P4185="","",INPUT!P4185)</f>
        <v/>
      </c>
      <c r="J4190" s="46" t="str">
        <f>IF(INPUT!Q4185="","",INPUT!Q4185)</f>
        <v/>
      </c>
      <c r="K4190" s="46" t="str">
        <f>IFERROR(IF(OR(INPUT!P4185="",INPUT!Q4185=""),"",INPUT!P4185-INPUT!Q4185),"")</f>
        <v/>
      </c>
      <c r="L4190" s="48" t="str">
        <f>IFERROR(IF(OR(INPUT!P4185="",INPUT!Q4185="",INPUT!P4185=0),"",(INPUT!P4185-INPUT!Q4185)/INPUT!P4185),"")</f>
        <v/>
      </c>
    </row>
    <row r="4191" spans="1:12" ht="18" hidden="1" customHeight="1" x14ac:dyDescent="0.2">
      <c r="A4191" s="11" t="str">
        <f>IF(INPUT!M4186="","",INPUT!M4186)</f>
        <v/>
      </c>
      <c r="B4191" s="11" t="str">
        <f>IF(INPUT!M4186="","",INPUT!M4186-WEEKDAY(INPUT!M4186,2)+1)</f>
        <v/>
      </c>
      <c r="C4191" s="20">
        <f>IFERROR(_xlfn.ISOWEEKNUM(INPUT!M4186),"")</f>
        <v>52</v>
      </c>
      <c r="D4191" s="20">
        <f>IFERROR(YEAR(INPUT!M4186),"")</f>
        <v>1900</v>
      </c>
      <c r="E4191" t="str">
        <f>IF(INPUT!O4186="","",INPUT!O4186)</f>
        <v/>
      </c>
      <c r="F4191" t="str">
        <f>IF(INPUT!N4186="","",INPUT!N4186)</f>
        <v/>
      </c>
      <c r="G4191" cm="1">
        <f t="array" ref="G4191">IFERROR(VLOOKUP(INPUT!M4186&amp;INPUT!N4186,CHOOSE({1,2},INPUT!$A$3:$A$5000&amp;INPUT!$C$3:$C$5000,INPUT!$F$3:$F$5000),2,FALSE),"")</f>
        <v>0</v>
      </c>
      <c r="H4191" cm="1">
        <f t="array" ref="H4191">IFERROR(VLOOKUP(INPUT!M4186&amp;INPUT!N4186,CHOOSE({1,2},INPUT!$A$3:$A$5000&amp;INPUT!$C$3:$C$5000,INPUT!$D$3:$D$5000),2,FALSE),"")</f>
        <v>0</v>
      </c>
      <c r="I4191" s="46" t="str">
        <f>IF(INPUT!P4186="","",INPUT!P4186)</f>
        <v/>
      </c>
      <c r="J4191" s="46" t="str">
        <f>IF(INPUT!Q4186="","",INPUT!Q4186)</f>
        <v/>
      </c>
      <c r="K4191" s="46" t="str">
        <f>IFERROR(IF(OR(INPUT!P4186="",INPUT!Q4186=""),"",INPUT!P4186-INPUT!Q4186),"")</f>
        <v/>
      </c>
      <c r="L4191" s="48" t="str">
        <f>IFERROR(IF(OR(INPUT!P4186="",INPUT!Q4186="",INPUT!P4186=0),"",(INPUT!P4186-INPUT!Q4186)/INPUT!P4186),"")</f>
        <v/>
      </c>
    </row>
    <row r="4192" spans="1:12" ht="18" hidden="1" customHeight="1" x14ac:dyDescent="0.2">
      <c r="A4192" s="11" t="str">
        <f>IF(INPUT!M4187="","",INPUT!M4187)</f>
        <v/>
      </c>
      <c r="B4192" s="11" t="str">
        <f>IF(INPUT!M4187="","",INPUT!M4187-WEEKDAY(INPUT!M4187,2)+1)</f>
        <v/>
      </c>
      <c r="C4192" s="20">
        <f>IFERROR(_xlfn.ISOWEEKNUM(INPUT!M4187),"")</f>
        <v>52</v>
      </c>
      <c r="D4192" s="20">
        <f>IFERROR(YEAR(INPUT!M4187),"")</f>
        <v>1900</v>
      </c>
      <c r="E4192" t="str">
        <f>IF(INPUT!O4187="","",INPUT!O4187)</f>
        <v/>
      </c>
      <c r="F4192" t="str">
        <f>IF(INPUT!N4187="","",INPUT!N4187)</f>
        <v/>
      </c>
      <c r="G4192" cm="1">
        <f t="array" ref="G4192">IFERROR(VLOOKUP(INPUT!M4187&amp;INPUT!N4187,CHOOSE({1,2},INPUT!$A$3:$A$5000&amp;INPUT!$C$3:$C$5000,INPUT!$F$3:$F$5000),2,FALSE),"")</f>
        <v>0</v>
      </c>
      <c r="H4192" cm="1">
        <f t="array" ref="H4192">IFERROR(VLOOKUP(INPUT!M4187&amp;INPUT!N4187,CHOOSE({1,2},INPUT!$A$3:$A$5000&amp;INPUT!$C$3:$C$5000,INPUT!$D$3:$D$5000),2,FALSE),"")</f>
        <v>0</v>
      </c>
      <c r="I4192" s="46" t="str">
        <f>IF(INPUT!P4187="","",INPUT!P4187)</f>
        <v/>
      </c>
      <c r="J4192" s="46" t="str">
        <f>IF(INPUT!Q4187="","",INPUT!Q4187)</f>
        <v/>
      </c>
      <c r="K4192" s="46" t="str">
        <f>IFERROR(IF(OR(INPUT!P4187="",INPUT!Q4187=""),"",INPUT!P4187-INPUT!Q4187),"")</f>
        <v/>
      </c>
      <c r="L4192" s="48" t="str">
        <f>IFERROR(IF(OR(INPUT!P4187="",INPUT!Q4187="",INPUT!P4187=0),"",(INPUT!P4187-INPUT!Q4187)/INPUT!P4187),"")</f>
        <v/>
      </c>
    </row>
    <row r="4193" spans="1:12" ht="18" hidden="1" customHeight="1" x14ac:dyDescent="0.2">
      <c r="A4193" s="11" t="str">
        <f>IF(INPUT!M4188="","",INPUT!M4188)</f>
        <v/>
      </c>
      <c r="B4193" s="11" t="str">
        <f>IF(INPUT!M4188="","",INPUT!M4188-WEEKDAY(INPUT!M4188,2)+1)</f>
        <v/>
      </c>
      <c r="C4193" s="20">
        <f>IFERROR(_xlfn.ISOWEEKNUM(INPUT!M4188),"")</f>
        <v>52</v>
      </c>
      <c r="D4193" s="20">
        <f>IFERROR(YEAR(INPUT!M4188),"")</f>
        <v>1900</v>
      </c>
      <c r="E4193" t="str">
        <f>IF(INPUT!O4188="","",INPUT!O4188)</f>
        <v/>
      </c>
      <c r="F4193" t="str">
        <f>IF(INPUT!N4188="","",INPUT!N4188)</f>
        <v/>
      </c>
      <c r="G4193" cm="1">
        <f t="array" ref="G4193">IFERROR(VLOOKUP(INPUT!M4188&amp;INPUT!N4188,CHOOSE({1,2},INPUT!$A$3:$A$5000&amp;INPUT!$C$3:$C$5000,INPUT!$F$3:$F$5000),2,FALSE),"")</f>
        <v>0</v>
      </c>
      <c r="H4193" cm="1">
        <f t="array" ref="H4193">IFERROR(VLOOKUP(INPUT!M4188&amp;INPUT!N4188,CHOOSE({1,2},INPUT!$A$3:$A$5000&amp;INPUT!$C$3:$C$5000,INPUT!$D$3:$D$5000),2,FALSE),"")</f>
        <v>0</v>
      </c>
      <c r="I4193" s="46" t="str">
        <f>IF(INPUT!P4188="","",INPUT!P4188)</f>
        <v/>
      </c>
      <c r="J4193" s="46" t="str">
        <f>IF(INPUT!Q4188="","",INPUT!Q4188)</f>
        <v/>
      </c>
      <c r="K4193" s="46" t="str">
        <f>IFERROR(IF(OR(INPUT!P4188="",INPUT!Q4188=""),"",INPUT!P4188-INPUT!Q4188),"")</f>
        <v/>
      </c>
      <c r="L4193" s="48" t="str">
        <f>IFERROR(IF(OR(INPUT!P4188="",INPUT!Q4188="",INPUT!P4188=0),"",(INPUT!P4188-INPUT!Q4188)/INPUT!P4188),"")</f>
        <v/>
      </c>
    </row>
    <row r="4194" spans="1:12" ht="18" hidden="1" customHeight="1" x14ac:dyDescent="0.2">
      <c r="A4194" s="11" t="str">
        <f>IF(INPUT!M4189="","",INPUT!M4189)</f>
        <v/>
      </c>
      <c r="B4194" s="11" t="str">
        <f>IF(INPUT!M4189="","",INPUT!M4189-WEEKDAY(INPUT!M4189,2)+1)</f>
        <v/>
      </c>
      <c r="C4194" s="20">
        <f>IFERROR(_xlfn.ISOWEEKNUM(INPUT!M4189),"")</f>
        <v>52</v>
      </c>
      <c r="D4194" s="20">
        <f>IFERROR(YEAR(INPUT!M4189),"")</f>
        <v>1900</v>
      </c>
      <c r="E4194" t="str">
        <f>IF(INPUT!O4189="","",INPUT!O4189)</f>
        <v/>
      </c>
      <c r="F4194" t="str">
        <f>IF(INPUT!N4189="","",INPUT!N4189)</f>
        <v/>
      </c>
      <c r="G4194" cm="1">
        <f t="array" ref="G4194">IFERROR(VLOOKUP(INPUT!M4189&amp;INPUT!N4189,CHOOSE({1,2},INPUT!$A$3:$A$5000&amp;INPUT!$C$3:$C$5000,INPUT!$F$3:$F$5000),2,FALSE),"")</f>
        <v>0</v>
      </c>
      <c r="H4194" cm="1">
        <f t="array" ref="H4194">IFERROR(VLOOKUP(INPUT!M4189&amp;INPUT!N4189,CHOOSE({1,2},INPUT!$A$3:$A$5000&amp;INPUT!$C$3:$C$5000,INPUT!$D$3:$D$5000),2,FALSE),"")</f>
        <v>0</v>
      </c>
      <c r="I4194" s="46" t="str">
        <f>IF(INPUT!P4189="","",INPUT!P4189)</f>
        <v/>
      </c>
      <c r="J4194" s="46" t="str">
        <f>IF(INPUT!Q4189="","",INPUT!Q4189)</f>
        <v/>
      </c>
      <c r="K4194" s="46" t="str">
        <f>IFERROR(IF(OR(INPUT!P4189="",INPUT!Q4189=""),"",INPUT!P4189-INPUT!Q4189),"")</f>
        <v/>
      </c>
      <c r="L4194" s="48" t="str">
        <f>IFERROR(IF(OR(INPUT!P4189="",INPUT!Q4189="",INPUT!P4189=0),"",(INPUT!P4189-INPUT!Q4189)/INPUT!P4189),"")</f>
        <v/>
      </c>
    </row>
    <row r="4195" spans="1:12" ht="18" hidden="1" customHeight="1" x14ac:dyDescent="0.2">
      <c r="A4195" s="11" t="str">
        <f>IF(INPUT!M4190="","",INPUT!M4190)</f>
        <v/>
      </c>
      <c r="B4195" s="11" t="str">
        <f>IF(INPUT!M4190="","",INPUT!M4190-WEEKDAY(INPUT!M4190,2)+1)</f>
        <v/>
      </c>
      <c r="C4195" s="20">
        <f>IFERROR(_xlfn.ISOWEEKNUM(INPUT!M4190),"")</f>
        <v>52</v>
      </c>
      <c r="D4195" s="20">
        <f>IFERROR(YEAR(INPUT!M4190),"")</f>
        <v>1900</v>
      </c>
      <c r="E4195" t="str">
        <f>IF(INPUT!O4190="","",INPUT!O4190)</f>
        <v/>
      </c>
      <c r="F4195" t="str">
        <f>IF(INPUT!N4190="","",INPUT!N4190)</f>
        <v/>
      </c>
      <c r="G4195" cm="1">
        <f t="array" ref="G4195">IFERROR(VLOOKUP(INPUT!M4190&amp;INPUT!N4190,CHOOSE({1,2},INPUT!$A$3:$A$5000&amp;INPUT!$C$3:$C$5000,INPUT!$F$3:$F$5000),2,FALSE),"")</f>
        <v>0</v>
      </c>
      <c r="H4195" cm="1">
        <f t="array" ref="H4195">IFERROR(VLOOKUP(INPUT!M4190&amp;INPUT!N4190,CHOOSE({1,2},INPUT!$A$3:$A$5000&amp;INPUT!$C$3:$C$5000,INPUT!$D$3:$D$5000),2,FALSE),"")</f>
        <v>0</v>
      </c>
      <c r="I4195" s="46" t="str">
        <f>IF(INPUT!P4190="","",INPUT!P4190)</f>
        <v/>
      </c>
      <c r="J4195" s="46" t="str">
        <f>IF(INPUT!Q4190="","",INPUT!Q4190)</f>
        <v/>
      </c>
      <c r="K4195" s="46" t="str">
        <f>IFERROR(IF(OR(INPUT!P4190="",INPUT!Q4190=""),"",INPUT!P4190-INPUT!Q4190),"")</f>
        <v/>
      </c>
      <c r="L4195" s="48" t="str">
        <f>IFERROR(IF(OR(INPUT!P4190="",INPUT!Q4190="",INPUT!P4190=0),"",(INPUT!P4190-INPUT!Q4190)/INPUT!P4190),"")</f>
        <v/>
      </c>
    </row>
    <row r="4196" spans="1:12" ht="18" hidden="1" customHeight="1" x14ac:dyDescent="0.2">
      <c r="A4196" s="11" t="str">
        <f>IF(INPUT!M4191="","",INPUT!M4191)</f>
        <v/>
      </c>
      <c r="B4196" s="11" t="str">
        <f>IF(INPUT!M4191="","",INPUT!M4191-WEEKDAY(INPUT!M4191,2)+1)</f>
        <v/>
      </c>
      <c r="C4196" s="20">
        <f>IFERROR(_xlfn.ISOWEEKNUM(INPUT!M4191),"")</f>
        <v>52</v>
      </c>
      <c r="D4196" s="20">
        <f>IFERROR(YEAR(INPUT!M4191),"")</f>
        <v>1900</v>
      </c>
      <c r="E4196" t="str">
        <f>IF(INPUT!O4191="","",INPUT!O4191)</f>
        <v/>
      </c>
      <c r="F4196" t="str">
        <f>IF(INPUT!N4191="","",INPUT!N4191)</f>
        <v/>
      </c>
      <c r="G4196" cm="1">
        <f t="array" ref="G4196">IFERROR(VLOOKUP(INPUT!M4191&amp;INPUT!N4191,CHOOSE({1,2},INPUT!$A$3:$A$5000&amp;INPUT!$C$3:$C$5000,INPUT!$F$3:$F$5000),2,FALSE),"")</f>
        <v>0</v>
      </c>
      <c r="H4196" cm="1">
        <f t="array" ref="H4196">IFERROR(VLOOKUP(INPUT!M4191&amp;INPUT!N4191,CHOOSE({1,2},INPUT!$A$3:$A$5000&amp;INPUT!$C$3:$C$5000,INPUT!$D$3:$D$5000),2,FALSE),"")</f>
        <v>0</v>
      </c>
      <c r="I4196" s="46" t="str">
        <f>IF(INPUT!P4191="","",INPUT!P4191)</f>
        <v/>
      </c>
      <c r="J4196" s="46" t="str">
        <f>IF(INPUT!Q4191="","",INPUT!Q4191)</f>
        <v/>
      </c>
      <c r="K4196" s="46" t="str">
        <f>IFERROR(IF(OR(INPUT!P4191="",INPUT!Q4191=""),"",INPUT!P4191-INPUT!Q4191),"")</f>
        <v/>
      </c>
      <c r="L4196" s="48" t="str">
        <f>IFERROR(IF(OR(INPUT!P4191="",INPUT!Q4191="",INPUT!P4191=0),"",(INPUT!P4191-INPUT!Q4191)/INPUT!P4191),"")</f>
        <v/>
      </c>
    </row>
    <row r="4197" spans="1:12" ht="18" hidden="1" customHeight="1" x14ac:dyDescent="0.2">
      <c r="A4197" s="11" t="str">
        <f>IF(INPUT!M4192="","",INPUT!M4192)</f>
        <v/>
      </c>
      <c r="B4197" s="11" t="str">
        <f>IF(INPUT!M4192="","",INPUT!M4192-WEEKDAY(INPUT!M4192,2)+1)</f>
        <v/>
      </c>
      <c r="C4197" s="20">
        <f>IFERROR(_xlfn.ISOWEEKNUM(INPUT!M4192),"")</f>
        <v>52</v>
      </c>
      <c r="D4197" s="20">
        <f>IFERROR(YEAR(INPUT!M4192),"")</f>
        <v>1900</v>
      </c>
      <c r="E4197" t="str">
        <f>IF(INPUT!O4192="","",INPUT!O4192)</f>
        <v/>
      </c>
      <c r="F4197" t="str">
        <f>IF(INPUT!N4192="","",INPUT!N4192)</f>
        <v/>
      </c>
      <c r="G4197" cm="1">
        <f t="array" ref="G4197">IFERROR(VLOOKUP(INPUT!M4192&amp;INPUT!N4192,CHOOSE({1,2},INPUT!$A$3:$A$5000&amp;INPUT!$C$3:$C$5000,INPUT!$F$3:$F$5000),2,FALSE),"")</f>
        <v>0</v>
      </c>
      <c r="H4197" cm="1">
        <f t="array" ref="H4197">IFERROR(VLOOKUP(INPUT!M4192&amp;INPUT!N4192,CHOOSE({1,2},INPUT!$A$3:$A$5000&amp;INPUT!$C$3:$C$5000,INPUT!$D$3:$D$5000),2,FALSE),"")</f>
        <v>0</v>
      </c>
      <c r="I4197" s="46" t="str">
        <f>IF(INPUT!P4192="","",INPUT!P4192)</f>
        <v/>
      </c>
      <c r="J4197" s="46" t="str">
        <f>IF(INPUT!Q4192="","",INPUT!Q4192)</f>
        <v/>
      </c>
      <c r="K4197" s="46" t="str">
        <f>IFERROR(IF(OR(INPUT!P4192="",INPUT!Q4192=""),"",INPUT!P4192-INPUT!Q4192),"")</f>
        <v/>
      </c>
      <c r="L4197" s="48" t="str">
        <f>IFERROR(IF(OR(INPUT!P4192="",INPUT!Q4192="",INPUT!P4192=0),"",(INPUT!P4192-INPUT!Q4192)/INPUT!P4192),"")</f>
        <v/>
      </c>
    </row>
    <row r="4198" spans="1:12" ht="18" hidden="1" customHeight="1" x14ac:dyDescent="0.2">
      <c r="A4198" s="11" t="str">
        <f>IF(INPUT!M4193="","",INPUT!M4193)</f>
        <v/>
      </c>
      <c r="B4198" s="11" t="str">
        <f>IF(INPUT!M4193="","",INPUT!M4193-WEEKDAY(INPUT!M4193,2)+1)</f>
        <v/>
      </c>
      <c r="C4198" s="20">
        <f>IFERROR(_xlfn.ISOWEEKNUM(INPUT!M4193),"")</f>
        <v>52</v>
      </c>
      <c r="D4198" s="20">
        <f>IFERROR(YEAR(INPUT!M4193),"")</f>
        <v>1900</v>
      </c>
      <c r="E4198" t="str">
        <f>IF(INPUT!O4193="","",INPUT!O4193)</f>
        <v/>
      </c>
      <c r="F4198" t="str">
        <f>IF(INPUT!N4193="","",INPUT!N4193)</f>
        <v/>
      </c>
      <c r="G4198" cm="1">
        <f t="array" ref="G4198">IFERROR(VLOOKUP(INPUT!M4193&amp;INPUT!N4193,CHOOSE({1,2},INPUT!$A$3:$A$5000&amp;INPUT!$C$3:$C$5000,INPUT!$F$3:$F$5000),2,FALSE),"")</f>
        <v>0</v>
      </c>
      <c r="H4198" cm="1">
        <f t="array" ref="H4198">IFERROR(VLOOKUP(INPUT!M4193&amp;INPUT!N4193,CHOOSE({1,2},INPUT!$A$3:$A$5000&amp;INPUT!$C$3:$C$5000,INPUT!$D$3:$D$5000),2,FALSE),"")</f>
        <v>0</v>
      </c>
      <c r="I4198" s="46" t="str">
        <f>IF(INPUT!P4193="","",INPUT!P4193)</f>
        <v/>
      </c>
      <c r="J4198" s="46" t="str">
        <f>IF(INPUT!Q4193="","",INPUT!Q4193)</f>
        <v/>
      </c>
      <c r="K4198" s="46" t="str">
        <f>IFERROR(IF(OR(INPUT!P4193="",INPUT!Q4193=""),"",INPUT!P4193-INPUT!Q4193),"")</f>
        <v/>
      </c>
      <c r="L4198" s="48" t="str">
        <f>IFERROR(IF(OR(INPUT!P4193="",INPUT!Q4193="",INPUT!P4193=0),"",(INPUT!P4193-INPUT!Q4193)/INPUT!P4193),"")</f>
        <v/>
      </c>
    </row>
    <row r="4199" spans="1:12" ht="18" hidden="1" customHeight="1" x14ac:dyDescent="0.2">
      <c r="A4199" s="11" t="str">
        <f>IF(INPUT!M4194="","",INPUT!M4194)</f>
        <v/>
      </c>
      <c r="B4199" s="11" t="str">
        <f>IF(INPUT!M4194="","",INPUT!M4194-WEEKDAY(INPUT!M4194,2)+1)</f>
        <v/>
      </c>
      <c r="C4199" s="20">
        <f>IFERROR(_xlfn.ISOWEEKNUM(INPUT!M4194),"")</f>
        <v>52</v>
      </c>
      <c r="D4199" s="20">
        <f>IFERROR(YEAR(INPUT!M4194),"")</f>
        <v>1900</v>
      </c>
      <c r="E4199" t="str">
        <f>IF(INPUT!O4194="","",INPUT!O4194)</f>
        <v/>
      </c>
      <c r="F4199" t="str">
        <f>IF(INPUT!N4194="","",INPUT!N4194)</f>
        <v/>
      </c>
      <c r="G4199" cm="1">
        <f t="array" ref="G4199">IFERROR(VLOOKUP(INPUT!M4194&amp;INPUT!N4194,CHOOSE({1,2},INPUT!$A$3:$A$5000&amp;INPUT!$C$3:$C$5000,INPUT!$F$3:$F$5000),2,FALSE),"")</f>
        <v>0</v>
      </c>
      <c r="H4199" cm="1">
        <f t="array" ref="H4199">IFERROR(VLOOKUP(INPUT!M4194&amp;INPUT!N4194,CHOOSE({1,2},INPUT!$A$3:$A$5000&amp;INPUT!$C$3:$C$5000,INPUT!$D$3:$D$5000),2,FALSE),"")</f>
        <v>0</v>
      </c>
      <c r="I4199" s="46" t="str">
        <f>IF(INPUT!P4194="","",INPUT!P4194)</f>
        <v/>
      </c>
      <c r="J4199" s="46" t="str">
        <f>IF(INPUT!Q4194="","",INPUT!Q4194)</f>
        <v/>
      </c>
      <c r="K4199" s="46" t="str">
        <f>IFERROR(IF(OR(INPUT!P4194="",INPUT!Q4194=""),"",INPUT!P4194-INPUT!Q4194),"")</f>
        <v/>
      </c>
      <c r="L4199" s="48" t="str">
        <f>IFERROR(IF(OR(INPUT!P4194="",INPUT!Q4194="",INPUT!P4194=0),"",(INPUT!P4194-INPUT!Q4194)/INPUT!P4194),"")</f>
        <v/>
      </c>
    </row>
    <row r="4200" spans="1:12" ht="18" hidden="1" customHeight="1" x14ac:dyDescent="0.2">
      <c r="A4200" s="11" t="str">
        <f>IF(INPUT!M4195="","",INPUT!M4195)</f>
        <v/>
      </c>
      <c r="B4200" s="11" t="str">
        <f>IF(INPUT!M4195="","",INPUT!M4195-WEEKDAY(INPUT!M4195,2)+1)</f>
        <v/>
      </c>
      <c r="C4200" s="20">
        <f>IFERROR(_xlfn.ISOWEEKNUM(INPUT!M4195),"")</f>
        <v>52</v>
      </c>
      <c r="D4200" s="20">
        <f>IFERROR(YEAR(INPUT!M4195),"")</f>
        <v>1900</v>
      </c>
      <c r="E4200" t="str">
        <f>IF(INPUT!O4195="","",INPUT!O4195)</f>
        <v/>
      </c>
      <c r="F4200" t="str">
        <f>IF(INPUT!N4195="","",INPUT!N4195)</f>
        <v/>
      </c>
      <c r="G4200" cm="1">
        <f t="array" ref="G4200">IFERROR(VLOOKUP(INPUT!M4195&amp;INPUT!N4195,CHOOSE({1,2},INPUT!$A$3:$A$5000&amp;INPUT!$C$3:$C$5000,INPUT!$F$3:$F$5000),2,FALSE),"")</f>
        <v>0</v>
      </c>
      <c r="H4200" cm="1">
        <f t="array" ref="H4200">IFERROR(VLOOKUP(INPUT!M4195&amp;INPUT!N4195,CHOOSE({1,2},INPUT!$A$3:$A$5000&amp;INPUT!$C$3:$C$5000,INPUT!$D$3:$D$5000),2,FALSE),"")</f>
        <v>0</v>
      </c>
      <c r="I4200" s="46" t="str">
        <f>IF(INPUT!P4195="","",INPUT!P4195)</f>
        <v/>
      </c>
      <c r="J4200" s="46" t="str">
        <f>IF(INPUT!Q4195="","",INPUT!Q4195)</f>
        <v/>
      </c>
      <c r="K4200" s="46" t="str">
        <f>IFERROR(IF(OR(INPUT!P4195="",INPUT!Q4195=""),"",INPUT!P4195-INPUT!Q4195),"")</f>
        <v/>
      </c>
      <c r="L4200" s="48" t="str">
        <f>IFERROR(IF(OR(INPUT!P4195="",INPUT!Q4195="",INPUT!P4195=0),"",(INPUT!P4195-INPUT!Q4195)/INPUT!P4195),"")</f>
        <v/>
      </c>
    </row>
    <row r="4201" spans="1:12" ht="18" hidden="1" customHeight="1" x14ac:dyDescent="0.2">
      <c r="A4201" s="11" t="str">
        <f>IF(INPUT!M4196="","",INPUT!M4196)</f>
        <v/>
      </c>
      <c r="B4201" s="11" t="str">
        <f>IF(INPUT!M4196="","",INPUT!M4196-WEEKDAY(INPUT!M4196,2)+1)</f>
        <v/>
      </c>
      <c r="C4201" s="20">
        <f>IFERROR(_xlfn.ISOWEEKNUM(INPUT!M4196),"")</f>
        <v>52</v>
      </c>
      <c r="D4201" s="20">
        <f>IFERROR(YEAR(INPUT!M4196),"")</f>
        <v>1900</v>
      </c>
      <c r="E4201" t="str">
        <f>IF(INPUT!O4196="","",INPUT!O4196)</f>
        <v/>
      </c>
      <c r="F4201" t="str">
        <f>IF(INPUT!N4196="","",INPUT!N4196)</f>
        <v/>
      </c>
      <c r="G4201" cm="1">
        <f t="array" ref="G4201">IFERROR(VLOOKUP(INPUT!M4196&amp;INPUT!N4196,CHOOSE({1,2},INPUT!$A$3:$A$5000&amp;INPUT!$C$3:$C$5000,INPUT!$F$3:$F$5000),2,FALSE),"")</f>
        <v>0</v>
      </c>
      <c r="H4201" cm="1">
        <f t="array" ref="H4201">IFERROR(VLOOKUP(INPUT!M4196&amp;INPUT!N4196,CHOOSE({1,2},INPUT!$A$3:$A$5000&amp;INPUT!$C$3:$C$5000,INPUT!$D$3:$D$5000),2,FALSE),"")</f>
        <v>0</v>
      </c>
      <c r="I4201" s="46" t="str">
        <f>IF(INPUT!P4196="","",INPUT!P4196)</f>
        <v/>
      </c>
      <c r="J4201" s="46" t="str">
        <f>IF(INPUT!Q4196="","",INPUT!Q4196)</f>
        <v/>
      </c>
      <c r="K4201" s="46" t="str">
        <f>IFERROR(IF(OR(INPUT!P4196="",INPUT!Q4196=""),"",INPUT!P4196-INPUT!Q4196),"")</f>
        <v/>
      </c>
      <c r="L4201" s="48" t="str">
        <f>IFERROR(IF(OR(INPUT!P4196="",INPUT!Q4196="",INPUT!P4196=0),"",(INPUT!P4196-INPUT!Q4196)/INPUT!P4196),"")</f>
        <v/>
      </c>
    </row>
    <row r="4202" spans="1:12" ht="18" hidden="1" customHeight="1" x14ac:dyDescent="0.2">
      <c r="A4202" s="11" t="str">
        <f>IF(INPUT!M4197="","",INPUT!M4197)</f>
        <v/>
      </c>
      <c r="B4202" s="11" t="str">
        <f>IF(INPUT!M4197="","",INPUT!M4197-WEEKDAY(INPUT!M4197,2)+1)</f>
        <v/>
      </c>
      <c r="C4202" s="20">
        <f>IFERROR(_xlfn.ISOWEEKNUM(INPUT!M4197),"")</f>
        <v>52</v>
      </c>
      <c r="D4202" s="20">
        <f>IFERROR(YEAR(INPUT!M4197),"")</f>
        <v>1900</v>
      </c>
      <c r="E4202" t="str">
        <f>IF(INPUT!O4197="","",INPUT!O4197)</f>
        <v/>
      </c>
      <c r="F4202" t="str">
        <f>IF(INPUT!N4197="","",INPUT!N4197)</f>
        <v/>
      </c>
      <c r="G4202" cm="1">
        <f t="array" ref="G4202">IFERROR(VLOOKUP(INPUT!M4197&amp;INPUT!N4197,CHOOSE({1,2},INPUT!$A$3:$A$5000&amp;INPUT!$C$3:$C$5000,INPUT!$F$3:$F$5000),2,FALSE),"")</f>
        <v>0</v>
      </c>
      <c r="H4202" cm="1">
        <f t="array" ref="H4202">IFERROR(VLOOKUP(INPUT!M4197&amp;INPUT!N4197,CHOOSE({1,2},INPUT!$A$3:$A$5000&amp;INPUT!$C$3:$C$5000,INPUT!$D$3:$D$5000),2,FALSE),"")</f>
        <v>0</v>
      </c>
      <c r="I4202" s="46" t="str">
        <f>IF(INPUT!P4197="","",INPUT!P4197)</f>
        <v/>
      </c>
      <c r="J4202" s="46" t="str">
        <f>IF(INPUT!Q4197="","",INPUT!Q4197)</f>
        <v/>
      </c>
      <c r="K4202" s="46" t="str">
        <f>IFERROR(IF(OR(INPUT!P4197="",INPUT!Q4197=""),"",INPUT!P4197-INPUT!Q4197),"")</f>
        <v/>
      </c>
      <c r="L4202" s="48" t="str">
        <f>IFERROR(IF(OR(INPUT!P4197="",INPUT!Q4197="",INPUT!P4197=0),"",(INPUT!P4197-INPUT!Q4197)/INPUT!P4197),"")</f>
        <v/>
      </c>
    </row>
    <row r="4203" spans="1:12" ht="18" hidden="1" customHeight="1" x14ac:dyDescent="0.2">
      <c r="A4203" s="11" t="str">
        <f>IF(INPUT!M4198="","",INPUT!M4198)</f>
        <v/>
      </c>
      <c r="B4203" s="11" t="str">
        <f>IF(INPUT!M4198="","",INPUT!M4198-WEEKDAY(INPUT!M4198,2)+1)</f>
        <v/>
      </c>
      <c r="C4203" s="20">
        <f>IFERROR(_xlfn.ISOWEEKNUM(INPUT!M4198),"")</f>
        <v>52</v>
      </c>
      <c r="D4203" s="20">
        <f>IFERROR(YEAR(INPUT!M4198),"")</f>
        <v>1900</v>
      </c>
      <c r="E4203" t="str">
        <f>IF(INPUT!O4198="","",INPUT!O4198)</f>
        <v/>
      </c>
      <c r="F4203" t="str">
        <f>IF(INPUT!N4198="","",INPUT!N4198)</f>
        <v/>
      </c>
      <c r="G4203" cm="1">
        <f t="array" ref="G4203">IFERROR(VLOOKUP(INPUT!M4198&amp;INPUT!N4198,CHOOSE({1,2},INPUT!$A$3:$A$5000&amp;INPUT!$C$3:$C$5000,INPUT!$F$3:$F$5000),2,FALSE),"")</f>
        <v>0</v>
      </c>
      <c r="H4203" cm="1">
        <f t="array" ref="H4203">IFERROR(VLOOKUP(INPUT!M4198&amp;INPUT!N4198,CHOOSE({1,2},INPUT!$A$3:$A$5000&amp;INPUT!$C$3:$C$5000,INPUT!$D$3:$D$5000),2,FALSE),"")</f>
        <v>0</v>
      </c>
      <c r="I4203" s="46" t="str">
        <f>IF(INPUT!P4198="","",INPUT!P4198)</f>
        <v/>
      </c>
      <c r="J4203" s="46" t="str">
        <f>IF(INPUT!Q4198="","",INPUT!Q4198)</f>
        <v/>
      </c>
      <c r="K4203" s="46" t="str">
        <f>IFERROR(IF(OR(INPUT!P4198="",INPUT!Q4198=""),"",INPUT!P4198-INPUT!Q4198),"")</f>
        <v/>
      </c>
      <c r="L4203" s="48" t="str">
        <f>IFERROR(IF(OR(INPUT!P4198="",INPUT!Q4198="",INPUT!P4198=0),"",(INPUT!P4198-INPUT!Q4198)/INPUT!P4198),"")</f>
        <v/>
      </c>
    </row>
    <row r="4204" spans="1:12" ht="18" hidden="1" customHeight="1" x14ac:dyDescent="0.2">
      <c r="A4204" s="11" t="str">
        <f>IF(INPUT!M4199="","",INPUT!M4199)</f>
        <v/>
      </c>
      <c r="B4204" s="11" t="str">
        <f>IF(INPUT!M4199="","",INPUT!M4199-WEEKDAY(INPUT!M4199,2)+1)</f>
        <v/>
      </c>
      <c r="C4204" s="20">
        <f>IFERROR(_xlfn.ISOWEEKNUM(INPUT!M4199),"")</f>
        <v>52</v>
      </c>
      <c r="D4204" s="20">
        <f>IFERROR(YEAR(INPUT!M4199),"")</f>
        <v>1900</v>
      </c>
      <c r="E4204" t="str">
        <f>IF(INPUT!O4199="","",INPUT!O4199)</f>
        <v/>
      </c>
      <c r="F4204" t="str">
        <f>IF(INPUT!N4199="","",INPUT!N4199)</f>
        <v/>
      </c>
      <c r="G4204" cm="1">
        <f t="array" ref="G4204">IFERROR(VLOOKUP(INPUT!M4199&amp;INPUT!N4199,CHOOSE({1,2},INPUT!$A$3:$A$5000&amp;INPUT!$C$3:$C$5000,INPUT!$F$3:$F$5000),2,FALSE),"")</f>
        <v>0</v>
      </c>
      <c r="H4204" cm="1">
        <f t="array" ref="H4204">IFERROR(VLOOKUP(INPUT!M4199&amp;INPUT!N4199,CHOOSE({1,2},INPUT!$A$3:$A$5000&amp;INPUT!$C$3:$C$5000,INPUT!$D$3:$D$5000),2,FALSE),"")</f>
        <v>0</v>
      </c>
      <c r="I4204" s="46" t="str">
        <f>IF(INPUT!P4199="","",INPUT!P4199)</f>
        <v/>
      </c>
      <c r="J4204" s="46" t="str">
        <f>IF(INPUT!Q4199="","",INPUT!Q4199)</f>
        <v/>
      </c>
      <c r="K4204" s="46" t="str">
        <f>IFERROR(IF(OR(INPUT!P4199="",INPUT!Q4199=""),"",INPUT!P4199-INPUT!Q4199),"")</f>
        <v/>
      </c>
      <c r="L4204" s="48" t="str">
        <f>IFERROR(IF(OR(INPUT!P4199="",INPUT!Q4199="",INPUT!P4199=0),"",(INPUT!P4199-INPUT!Q4199)/INPUT!P4199),"")</f>
        <v/>
      </c>
    </row>
    <row r="4205" spans="1:12" ht="18" hidden="1" customHeight="1" x14ac:dyDescent="0.2">
      <c r="A4205" s="11" t="str">
        <f>IF(INPUT!M4200="","",INPUT!M4200)</f>
        <v/>
      </c>
      <c r="B4205" s="11" t="str">
        <f>IF(INPUT!M4200="","",INPUT!M4200-WEEKDAY(INPUT!M4200,2)+1)</f>
        <v/>
      </c>
      <c r="C4205" s="20">
        <f>IFERROR(_xlfn.ISOWEEKNUM(INPUT!M4200),"")</f>
        <v>52</v>
      </c>
      <c r="D4205" s="20">
        <f>IFERROR(YEAR(INPUT!M4200),"")</f>
        <v>1900</v>
      </c>
      <c r="E4205" t="str">
        <f>IF(INPUT!O4200="","",INPUT!O4200)</f>
        <v/>
      </c>
      <c r="F4205" t="str">
        <f>IF(INPUT!N4200="","",INPUT!N4200)</f>
        <v/>
      </c>
      <c r="G4205" cm="1">
        <f t="array" ref="G4205">IFERROR(VLOOKUP(INPUT!M4200&amp;INPUT!N4200,CHOOSE({1,2},INPUT!$A$3:$A$5000&amp;INPUT!$C$3:$C$5000,INPUT!$F$3:$F$5000),2,FALSE),"")</f>
        <v>0</v>
      </c>
      <c r="H4205" cm="1">
        <f t="array" ref="H4205">IFERROR(VLOOKUP(INPUT!M4200&amp;INPUT!N4200,CHOOSE({1,2},INPUT!$A$3:$A$5000&amp;INPUT!$C$3:$C$5000,INPUT!$D$3:$D$5000),2,FALSE),"")</f>
        <v>0</v>
      </c>
      <c r="I4205" s="46" t="str">
        <f>IF(INPUT!P4200="","",INPUT!P4200)</f>
        <v/>
      </c>
      <c r="J4205" s="46" t="str">
        <f>IF(INPUT!Q4200="","",INPUT!Q4200)</f>
        <v/>
      </c>
      <c r="K4205" s="46" t="str">
        <f>IFERROR(IF(OR(INPUT!P4200="",INPUT!Q4200=""),"",INPUT!P4200-INPUT!Q4200),"")</f>
        <v/>
      </c>
      <c r="L4205" s="48" t="str">
        <f>IFERROR(IF(OR(INPUT!P4200="",INPUT!Q4200="",INPUT!P4200=0),"",(INPUT!P4200-INPUT!Q4200)/INPUT!P4200),"")</f>
        <v/>
      </c>
    </row>
    <row r="4206" spans="1:12" ht="18" hidden="1" customHeight="1" x14ac:dyDescent="0.2">
      <c r="A4206" s="11" t="str">
        <f>IF(INPUT!M4201="","",INPUT!M4201)</f>
        <v/>
      </c>
      <c r="B4206" s="11" t="str">
        <f>IF(INPUT!M4201="","",INPUT!M4201-WEEKDAY(INPUT!M4201,2)+1)</f>
        <v/>
      </c>
      <c r="C4206" s="20">
        <f>IFERROR(_xlfn.ISOWEEKNUM(INPUT!M4201),"")</f>
        <v>52</v>
      </c>
      <c r="D4206" s="20">
        <f>IFERROR(YEAR(INPUT!M4201),"")</f>
        <v>1900</v>
      </c>
      <c r="E4206" t="str">
        <f>IF(INPUT!O4201="","",INPUT!O4201)</f>
        <v/>
      </c>
      <c r="F4206" t="str">
        <f>IF(INPUT!N4201="","",INPUT!N4201)</f>
        <v/>
      </c>
      <c r="G4206" cm="1">
        <f t="array" ref="G4206">IFERROR(VLOOKUP(INPUT!M4201&amp;INPUT!N4201,CHOOSE({1,2},INPUT!$A$3:$A$5000&amp;INPUT!$C$3:$C$5000,INPUT!$F$3:$F$5000),2,FALSE),"")</f>
        <v>0</v>
      </c>
      <c r="H4206" cm="1">
        <f t="array" ref="H4206">IFERROR(VLOOKUP(INPUT!M4201&amp;INPUT!N4201,CHOOSE({1,2},INPUT!$A$3:$A$5000&amp;INPUT!$C$3:$C$5000,INPUT!$D$3:$D$5000),2,FALSE),"")</f>
        <v>0</v>
      </c>
      <c r="I4206" s="46" t="str">
        <f>IF(INPUT!P4201="","",INPUT!P4201)</f>
        <v/>
      </c>
      <c r="J4206" s="46" t="str">
        <f>IF(INPUT!Q4201="","",INPUT!Q4201)</f>
        <v/>
      </c>
      <c r="K4206" s="46" t="str">
        <f>IFERROR(IF(OR(INPUT!P4201="",INPUT!Q4201=""),"",INPUT!P4201-INPUT!Q4201),"")</f>
        <v/>
      </c>
      <c r="L4206" s="48" t="str">
        <f>IFERROR(IF(OR(INPUT!P4201="",INPUT!Q4201="",INPUT!P4201=0),"",(INPUT!P4201-INPUT!Q4201)/INPUT!P4201),"")</f>
        <v/>
      </c>
    </row>
    <row r="4207" spans="1:12" ht="18" hidden="1" customHeight="1" x14ac:dyDescent="0.2">
      <c r="A4207" s="11" t="str">
        <f>IF(INPUT!M4202="","",INPUT!M4202)</f>
        <v/>
      </c>
      <c r="B4207" s="11" t="str">
        <f>IF(INPUT!M4202="","",INPUT!M4202-WEEKDAY(INPUT!M4202,2)+1)</f>
        <v/>
      </c>
      <c r="C4207" s="20">
        <f>IFERROR(_xlfn.ISOWEEKNUM(INPUT!M4202),"")</f>
        <v>52</v>
      </c>
      <c r="D4207" s="20">
        <f>IFERROR(YEAR(INPUT!M4202),"")</f>
        <v>1900</v>
      </c>
      <c r="E4207" t="str">
        <f>IF(INPUT!O4202="","",INPUT!O4202)</f>
        <v/>
      </c>
      <c r="F4207" t="str">
        <f>IF(INPUT!N4202="","",INPUT!N4202)</f>
        <v/>
      </c>
      <c r="G4207" cm="1">
        <f t="array" ref="G4207">IFERROR(VLOOKUP(INPUT!M4202&amp;INPUT!N4202,CHOOSE({1,2},INPUT!$A$3:$A$5000&amp;INPUT!$C$3:$C$5000,INPUT!$F$3:$F$5000),2,FALSE),"")</f>
        <v>0</v>
      </c>
      <c r="H4207" cm="1">
        <f t="array" ref="H4207">IFERROR(VLOOKUP(INPUT!M4202&amp;INPUT!N4202,CHOOSE({1,2},INPUT!$A$3:$A$5000&amp;INPUT!$C$3:$C$5000,INPUT!$D$3:$D$5000),2,FALSE),"")</f>
        <v>0</v>
      </c>
      <c r="I4207" s="46" t="str">
        <f>IF(INPUT!P4202="","",INPUT!P4202)</f>
        <v/>
      </c>
      <c r="J4207" s="46" t="str">
        <f>IF(INPUT!Q4202="","",INPUT!Q4202)</f>
        <v/>
      </c>
      <c r="K4207" s="46" t="str">
        <f>IFERROR(IF(OR(INPUT!P4202="",INPUT!Q4202=""),"",INPUT!P4202-INPUT!Q4202),"")</f>
        <v/>
      </c>
      <c r="L4207" s="48" t="str">
        <f>IFERROR(IF(OR(INPUT!P4202="",INPUT!Q4202="",INPUT!P4202=0),"",(INPUT!P4202-INPUT!Q4202)/INPUT!P4202),"")</f>
        <v/>
      </c>
    </row>
    <row r="4208" spans="1:12" ht="18" hidden="1" customHeight="1" x14ac:dyDescent="0.2">
      <c r="A4208" s="11" t="str">
        <f>IF(INPUT!M4203="","",INPUT!M4203)</f>
        <v/>
      </c>
      <c r="B4208" s="11" t="str">
        <f>IF(INPUT!M4203="","",INPUT!M4203-WEEKDAY(INPUT!M4203,2)+1)</f>
        <v/>
      </c>
      <c r="C4208" s="20">
        <f>IFERROR(_xlfn.ISOWEEKNUM(INPUT!M4203),"")</f>
        <v>52</v>
      </c>
      <c r="D4208" s="20">
        <f>IFERROR(YEAR(INPUT!M4203),"")</f>
        <v>1900</v>
      </c>
      <c r="E4208" t="str">
        <f>IF(INPUT!O4203="","",INPUT!O4203)</f>
        <v/>
      </c>
      <c r="F4208" t="str">
        <f>IF(INPUT!N4203="","",INPUT!N4203)</f>
        <v/>
      </c>
      <c r="G4208" cm="1">
        <f t="array" ref="G4208">IFERROR(VLOOKUP(INPUT!M4203&amp;INPUT!N4203,CHOOSE({1,2},INPUT!$A$3:$A$5000&amp;INPUT!$C$3:$C$5000,INPUT!$F$3:$F$5000),2,FALSE),"")</f>
        <v>0</v>
      </c>
      <c r="H4208" cm="1">
        <f t="array" ref="H4208">IFERROR(VLOOKUP(INPUT!M4203&amp;INPUT!N4203,CHOOSE({1,2},INPUT!$A$3:$A$5000&amp;INPUT!$C$3:$C$5000,INPUT!$D$3:$D$5000),2,FALSE),"")</f>
        <v>0</v>
      </c>
      <c r="I4208" s="46" t="str">
        <f>IF(INPUT!P4203="","",INPUT!P4203)</f>
        <v/>
      </c>
      <c r="J4208" s="46" t="str">
        <f>IF(INPUT!Q4203="","",INPUT!Q4203)</f>
        <v/>
      </c>
      <c r="K4208" s="46" t="str">
        <f>IFERROR(IF(OR(INPUT!P4203="",INPUT!Q4203=""),"",INPUT!P4203-INPUT!Q4203),"")</f>
        <v/>
      </c>
      <c r="L4208" s="48" t="str">
        <f>IFERROR(IF(OR(INPUT!P4203="",INPUT!Q4203="",INPUT!P4203=0),"",(INPUT!P4203-INPUT!Q4203)/INPUT!P4203),"")</f>
        <v/>
      </c>
    </row>
    <row r="4209" spans="1:12" ht="18" hidden="1" customHeight="1" x14ac:dyDescent="0.2">
      <c r="A4209" s="11" t="str">
        <f>IF(INPUT!M4204="","",INPUT!M4204)</f>
        <v/>
      </c>
      <c r="B4209" s="11" t="str">
        <f>IF(INPUT!M4204="","",INPUT!M4204-WEEKDAY(INPUT!M4204,2)+1)</f>
        <v/>
      </c>
      <c r="C4209" s="20">
        <f>IFERROR(_xlfn.ISOWEEKNUM(INPUT!M4204),"")</f>
        <v>52</v>
      </c>
      <c r="D4209" s="20">
        <f>IFERROR(YEAR(INPUT!M4204),"")</f>
        <v>1900</v>
      </c>
      <c r="E4209" t="str">
        <f>IF(INPUT!O4204="","",INPUT!O4204)</f>
        <v/>
      </c>
      <c r="F4209" t="str">
        <f>IF(INPUT!N4204="","",INPUT!N4204)</f>
        <v/>
      </c>
      <c r="G4209" cm="1">
        <f t="array" ref="G4209">IFERROR(VLOOKUP(INPUT!M4204&amp;INPUT!N4204,CHOOSE({1,2},INPUT!$A$3:$A$5000&amp;INPUT!$C$3:$C$5000,INPUT!$F$3:$F$5000),2,FALSE),"")</f>
        <v>0</v>
      </c>
      <c r="H4209" cm="1">
        <f t="array" ref="H4209">IFERROR(VLOOKUP(INPUT!M4204&amp;INPUT!N4204,CHOOSE({1,2},INPUT!$A$3:$A$5000&amp;INPUT!$C$3:$C$5000,INPUT!$D$3:$D$5000),2,FALSE),"")</f>
        <v>0</v>
      </c>
      <c r="I4209" s="46" t="str">
        <f>IF(INPUT!P4204="","",INPUT!P4204)</f>
        <v/>
      </c>
      <c r="J4209" s="46" t="str">
        <f>IF(INPUT!Q4204="","",INPUT!Q4204)</f>
        <v/>
      </c>
      <c r="K4209" s="46" t="str">
        <f>IFERROR(IF(OR(INPUT!P4204="",INPUT!Q4204=""),"",INPUT!P4204-INPUT!Q4204),"")</f>
        <v/>
      </c>
      <c r="L4209" s="48" t="str">
        <f>IFERROR(IF(OR(INPUT!P4204="",INPUT!Q4204="",INPUT!P4204=0),"",(INPUT!P4204-INPUT!Q4204)/INPUT!P4204),"")</f>
        <v/>
      </c>
    </row>
    <row r="4210" spans="1:12" ht="18" hidden="1" customHeight="1" x14ac:dyDescent="0.2">
      <c r="A4210" s="11" t="str">
        <f>IF(INPUT!M4205="","",INPUT!M4205)</f>
        <v/>
      </c>
      <c r="B4210" s="11" t="str">
        <f>IF(INPUT!M4205="","",INPUT!M4205-WEEKDAY(INPUT!M4205,2)+1)</f>
        <v/>
      </c>
      <c r="C4210" s="20">
        <f>IFERROR(_xlfn.ISOWEEKNUM(INPUT!M4205),"")</f>
        <v>52</v>
      </c>
      <c r="D4210" s="20">
        <f>IFERROR(YEAR(INPUT!M4205),"")</f>
        <v>1900</v>
      </c>
      <c r="E4210" t="str">
        <f>IF(INPUT!O4205="","",INPUT!O4205)</f>
        <v/>
      </c>
      <c r="F4210" t="str">
        <f>IF(INPUT!N4205="","",INPUT!N4205)</f>
        <v/>
      </c>
      <c r="G4210" cm="1">
        <f t="array" ref="G4210">IFERROR(VLOOKUP(INPUT!M4205&amp;INPUT!N4205,CHOOSE({1,2},INPUT!$A$3:$A$5000&amp;INPUT!$C$3:$C$5000,INPUT!$F$3:$F$5000),2,FALSE),"")</f>
        <v>0</v>
      </c>
      <c r="H4210" cm="1">
        <f t="array" ref="H4210">IFERROR(VLOOKUP(INPUT!M4205&amp;INPUT!N4205,CHOOSE({1,2},INPUT!$A$3:$A$5000&amp;INPUT!$C$3:$C$5000,INPUT!$D$3:$D$5000),2,FALSE),"")</f>
        <v>0</v>
      </c>
      <c r="I4210" s="46" t="str">
        <f>IF(INPUT!P4205="","",INPUT!P4205)</f>
        <v/>
      </c>
      <c r="J4210" s="46" t="str">
        <f>IF(INPUT!Q4205="","",INPUT!Q4205)</f>
        <v/>
      </c>
      <c r="K4210" s="46" t="str">
        <f>IFERROR(IF(OR(INPUT!P4205="",INPUT!Q4205=""),"",INPUT!P4205-INPUT!Q4205),"")</f>
        <v/>
      </c>
      <c r="L4210" s="48" t="str">
        <f>IFERROR(IF(OR(INPUT!P4205="",INPUT!Q4205="",INPUT!P4205=0),"",(INPUT!P4205-INPUT!Q4205)/INPUT!P4205),"")</f>
        <v/>
      </c>
    </row>
    <row r="4211" spans="1:12" ht="18" hidden="1" customHeight="1" x14ac:dyDescent="0.2">
      <c r="A4211" s="11" t="str">
        <f>IF(INPUT!M4206="","",INPUT!M4206)</f>
        <v/>
      </c>
      <c r="B4211" s="11" t="str">
        <f>IF(INPUT!M4206="","",INPUT!M4206-WEEKDAY(INPUT!M4206,2)+1)</f>
        <v/>
      </c>
      <c r="C4211" s="20">
        <f>IFERROR(_xlfn.ISOWEEKNUM(INPUT!M4206),"")</f>
        <v>52</v>
      </c>
      <c r="D4211" s="20">
        <f>IFERROR(YEAR(INPUT!M4206),"")</f>
        <v>1900</v>
      </c>
      <c r="E4211" t="str">
        <f>IF(INPUT!O4206="","",INPUT!O4206)</f>
        <v/>
      </c>
      <c r="F4211" t="str">
        <f>IF(INPUT!N4206="","",INPUT!N4206)</f>
        <v/>
      </c>
      <c r="G4211" cm="1">
        <f t="array" ref="G4211">IFERROR(VLOOKUP(INPUT!M4206&amp;INPUT!N4206,CHOOSE({1,2},INPUT!$A$3:$A$5000&amp;INPUT!$C$3:$C$5000,INPUT!$F$3:$F$5000),2,FALSE),"")</f>
        <v>0</v>
      </c>
      <c r="H4211" cm="1">
        <f t="array" ref="H4211">IFERROR(VLOOKUP(INPUT!M4206&amp;INPUT!N4206,CHOOSE({1,2},INPUT!$A$3:$A$5000&amp;INPUT!$C$3:$C$5000,INPUT!$D$3:$D$5000),2,FALSE),"")</f>
        <v>0</v>
      </c>
      <c r="I4211" s="46" t="str">
        <f>IF(INPUT!P4206="","",INPUT!P4206)</f>
        <v/>
      </c>
      <c r="J4211" s="46" t="str">
        <f>IF(INPUT!Q4206="","",INPUT!Q4206)</f>
        <v/>
      </c>
      <c r="K4211" s="46" t="str">
        <f>IFERROR(IF(OR(INPUT!P4206="",INPUT!Q4206=""),"",INPUT!P4206-INPUT!Q4206),"")</f>
        <v/>
      </c>
      <c r="L4211" s="48" t="str">
        <f>IFERROR(IF(OR(INPUT!P4206="",INPUT!Q4206="",INPUT!P4206=0),"",(INPUT!P4206-INPUT!Q4206)/INPUT!P4206),"")</f>
        <v/>
      </c>
    </row>
    <row r="4212" spans="1:12" ht="18" hidden="1" customHeight="1" x14ac:dyDescent="0.2">
      <c r="A4212" s="11" t="str">
        <f>IF(INPUT!M4207="","",INPUT!M4207)</f>
        <v/>
      </c>
      <c r="B4212" s="11" t="str">
        <f>IF(INPUT!M4207="","",INPUT!M4207-WEEKDAY(INPUT!M4207,2)+1)</f>
        <v/>
      </c>
      <c r="C4212" s="20">
        <f>IFERROR(_xlfn.ISOWEEKNUM(INPUT!M4207),"")</f>
        <v>52</v>
      </c>
      <c r="D4212" s="20">
        <f>IFERROR(YEAR(INPUT!M4207),"")</f>
        <v>1900</v>
      </c>
      <c r="E4212" t="str">
        <f>IF(INPUT!O4207="","",INPUT!O4207)</f>
        <v/>
      </c>
      <c r="F4212" t="str">
        <f>IF(INPUT!N4207="","",INPUT!N4207)</f>
        <v/>
      </c>
      <c r="G4212" cm="1">
        <f t="array" ref="G4212">IFERROR(VLOOKUP(INPUT!M4207&amp;INPUT!N4207,CHOOSE({1,2},INPUT!$A$3:$A$5000&amp;INPUT!$C$3:$C$5000,INPUT!$F$3:$F$5000),2,FALSE),"")</f>
        <v>0</v>
      </c>
      <c r="H4212" cm="1">
        <f t="array" ref="H4212">IFERROR(VLOOKUP(INPUT!M4207&amp;INPUT!N4207,CHOOSE({1,2},INPUT!$A$3:$A$5000&amp;INPUT!$C$3:$C$5000,INPUT!$D$3:$D$5000),2,FALSE),"")</f>
        <v>0</v>
      </c>
      <c r="I4212" s="46" t="str">
        <f>IF(INPUT!P4207="","",INPUT!P4207)</f>
        <v/>
      </c>
      <c r="J4212" s="46" t="str">
        <f>IF(INPUT!Q4207="","",INPUT!Q4207)</f>
        <v/>
      </c>
      <c r="K4212" s="46" t="str">
        <f>IFERROR(IF(OR(INPUT!P4207="",INPUT!Q4207=""),"",INPUT!P4207-INPUT!Q4207),"")</f>
        <v/>
      </c>
      <c r="L4212" s="48" t="str">
        <f>IFERROR(IF(OR(INPUT!P4207="",INPUT!Q4207="",INPUT!P4207=0),"",(INPUT!P4207-INPUT!Q4207)/INPUT!P4207),"")</f>
        <v/>
      </c>
    </row>
    <row r="4213" spans="1:12" ht="18" hidden="1" customHeight="1" x14ac:dyDescent="0.2">
      <c r="A4213" s="11" t="str">
        <f>IF(INPUT!M4208="","",INPUT!M4208)</f>
        <v/>
      </c>
      <c r="B4213" s="11" t="str">
        <f>IF(INPUT!M4208="","",INPUT!M4208-WEEKDAY(INPUT!M4208,2)+1)</f>
        <v/>
      </c>
      <c r="C4213" s="20">
        <f>IFERROR(_xlfn.ISOWEEKNUM(INPUT!M4208),"")</f>
        <v>52</v>
      </c>
      <c r="D4213" s="20">
        <f>IFERROR(YEAR(INPUT!M4208),"")</f>
        <v>1900</v>
      </c>
      <c r="E4213" t="str">
        <f>IF(INPUT!O4208="","",INPUT!O4208)</f>
        <v/>
      </c>
      <c r="F4213" t="str">
        <f>IF(INPUT!N4208="","",INPUT!N4208)</f>
        <v/>
      </c>
      <c r="G4213" cm="1">
        <f t="array" ref="G4213">IFERROR(VLOOKUP(INPUT!M4208&amp;INPUT!N4208,CHOOSE({1,2},INPUT!$A$3:$A$5000&amp;INPUT!$C$3:$C$5000,INPUT!$F$3:$F$5000),2,FALSE),"")</f>
        <v>0</v>
      </c>
      <c r="H4213" cm="1">
        <f t="array" ref="H4213">IFERROR(VLOOKUP(INPUT!M4208&amp;INPUT!N4208,CHOOSE({1,2},INPUT!$A$3:$A$5000&amp;INPUT!$C$3:$C$5000,INPUT!$D$3:$D$5000),2,FALSE),"")</f>
        <v>0</v>
      </c>
      <c r="I4213" s="46" t="str">
        <f>IF(INPUT!P4208="","",INPUT!P4208)</f>
        <v/>
      </c>
      <c r="J4213" s="46" t="str">
        <f>IF(INPUT!Q4208="","",INPUT!Q4208)</f>
        <v/>
      </c>
      <c r="K4213" s="46" t="str">
        <f>IFERROR(IF(OR(INPUT!P4208="",INPUT!Q4208=""),"",INPUT!P4208-INPUT!Q4208),"")</f>
        <v/>
      </c>
      <c r="L4213" s="48" t="str">
        <f>IFERROR(IF(OR(INPUT!P4208="",INPUT!Q4208="",INPUT!P4208=0),"",(INPUT!P4208-INPUT!Q4208)/INPUT!P4208),"")</f>
        <v/>
      </c>
    </row>
    <row r="4214" spans="1:12" ht="18" hidden="1" customHeight="1" x14ac:dyDescent="0.2">
      <c r="A4214" s="11" t="str">
        <f>IF(INPUT!M4209="","",INPUT!M4209)</f>
        <v/>
      </c>
      <c r="B4214" s="11" t="str">
        <f>IF(INPUT!M4209="","",INPUT!M4209-WEEKDAY(INPUT!M4209,2)+1)</f>
        <v/>
      </c>
      <c r="C4214" s="20">
        <f>IFERROR(_xlfn.ISOWEEKNUM(INPUT!M4209),"")</f>
        <v>52</v>
      </c>
      <c r="D4214" s="20">
        <f>IFERROR(YEAR(INPUT!M4209),"")</f>
        <v>1900</v>
      </c>
      <c r="E4214" t="str">
        <f>IF(INPUT!O4209="","",INPUT!O4209)</f>
        <v/>
      </c>
      <c r="F4214" t="str">
        <f>IF(INPUT!N4209="","",INPUT!N4209)</f>
        <v/>
      </c>
      <c r="G4214" cm="1">
        <f t="array" ref="G4214">IFERROR(VLOOKUP(INPUT!M4209&amp;INPUT!N4209,CHOOSE({1,2},INPUT!$A$3:$A$5000&amp;INPUT!$C$3:$C$5000,INPUT!$F$3:$F$5000),2,FALSE),"")</f>
        <v>0</v>
      </c>
      <c r="H4214" cm="1">
        <f t="array" ref="H4214">IFERROR(VLOOKUP(INPUT!M4209&amp;INPUT!N4209,CHOOSE({1,2},INPUT!$A$3:$A$5000&amp;INPUT!$C$3:$C$5000,INPUT!$D$3:$D$5000),2,FALSE),"")</f>
        <v>0</v>
      </c>
      <c r="I4214" s="46" t="str">
        <f>IF(INPUT!P4209="","",INPUT!P4209)</f>
        <v/>
      </c>
      <c r="J4214" s="46" t="str">
        <f>IF(INPUT!Q4209="","",INPUT!Q4209)</f>
        <v/>
      </c>
      <c r="K4214" s="46" t="str">
        <f>IFERROR(IF(OR(INPUT!P4209="",INPUT!Q4209=""),"",INPUT!P4209-INPUT!Q4209),"")</f>
        <v/>
      </c>
      <c r="L4214" s="48" t="str">
        <f>IFERROR(IF(OR(INPUT!P4209="",INPUT!Q4209="",INPUT!P4209=0),"",(INPUT!P4209-INPUT!Q4209)/INPUT!P4209),"")</f>
        <v/>
      </c>
    </row>
    <row r="4215" spans="1:12" ht="18" hidden="1" customHeight="1" x14ac:dyDescent="0.2">
      <c r="A4215" s="11" t="str">
        <f>IF(INPUT!M4210="","",INPUT!M4210)</f>
        <v/>
      </c>
      <c r="B4215" s="11" t="str">
        <f>IF(INPUT!M4210="","",INPUT!M4210-WEEKDAY(INPUT!M4210,2)+1)</f>
        <v/>
      </c>
      <c r="C4215" s="20">
        <f>IFERROR(_xlfn.ISOWEEKNUM(INPUT!M4210),"")</f>
        <v>52</v>
      </c>
      <c r="D4215" s="20">
        <f>IFERROR(YEAR(INPUT!M4210),"")</f>
        <v>1900</v>
      </c>
      <c r="E4215" t="str">
        <f>IF(INPUT!O4210="","",INPUT!O4210)</f>
        <v/>
      </c>
      <c r="F4215" t="str">
        <f>IF(INPUT!N4210="","",INPUT!N4210)</f>
        <v/>
      </c>
      <c r="G4215" cm="1">
        <f t="array" ref="G4215">IFERROR(VLOOKUP(INPUT!M4210&amp;INPUT!N4210,CHOOSE({1,2},INPUT!$A$3:$A$5000&amp;INPUT!$C$3:$C$5000,INPUT!$F$3:$F$5000),2,FALSE),"")</f>
        <v>0</v>
      </c>
      <c r="H4215" cm="1">
        <f t="array" ref="H4215">IFERROR(VLOOKUP(INPUT!M4210&amp;INPUT!N4210,CHOOSE({1,2},INPUT!$A$3:$A$5000&amp;INPUT!$C$3:$C$5000,INPUT!$D$3:$D$5000),2,FALSE),"")</f>
        <v>0</v>
      </c>
      <c r="I4215" s="46" t="str">
        <f>IF(INPUT!P4210="","",INPUT!P4210)</f>
        <v/>
      </c>
      <c r="J4215" s="46" t="str">
        <f>IF(INPUT!Q4210="","",INPUT!Q4210)</f>
        <v/>
      </c>
      <c r="K4215" s="46" t="str">
        <f>IFERROR(IF(OR(INPUT!P4210="",INPUT!Q4210=""),"",INPUT!P4210-INPUT!Q4210),"")</f>
        <v/>
      </c>
      <c r="L4215" s="48" t="str">
        <f>IFERROR(IF(OR(INPUT!P4210="",INPUT!Q4210="",INPUT!P4210=0),"",(INPUT!P4210-INPUT!Q4210)/INPUT!P4210),"")</f>
        <v/>
      </c>
    </row>
    <row r="4216" spans="1:12" ht="18" hidden="1" customHeight="1" x14ac:dyDescent="0.2">
      <c r="A4216" s="11" t="str">
        <f>IF(INPUT!M4211="","",INPUT!M4211)</f>
        <v/>
      </c>
      <c r="B4216" s="11" t="str">
        <f>IF(INPUT!M4211="","",INPUT!M4211-WEEKDAY(INPUT!M4211,2)+1)</f>
        <v/>
      </c>
      <c r="C4216" s="20">
        <f>IFERROR(_xlfn.ISOWEEKNUM(INPUT!M4211),"")</f>
        <v>52</v>
      </c>
      <c r="D4216" s="20">
        <f>IFERROR(YEAR(INPUT!M4211),"")</f>
        <v>1900</v>
      </c>
      <c r="E4216" t="str">
        <f>IF(INPUT!O4211="","",INPUT!O4211)</f>
        <v/>
      </c>
      <c r="F4216" t="str">
        <f>IF(INPUT!N4211="","",INPUT!N4211)</f>
        <v/>
      </c>
      <c r="G4216" cm="1">
        <f t="array" ref="G4216">IFERROR(VLOOKUP(INPUT!M4211&amp;INPUT!N4211,CHOOSE({1,2},INPUT!$A$3:$A$5000&amp;INPUT!$C$3:$C$5000,INPUT!$F$3:$F$5000),2,FALSE),"")</f>
        <v>0</v>
      </c>
      <c r="H4216" cm="1">
        <f t="array" ref="H4216">IFERROR(VLOOKUP(INPUT!M4211&amp;INPUT!N4211,CHOOSE({1,2},INPUT!$A$3:$A$5000&amp;INPUT!$C$3:$C$5000,INPUT!$D$3:$D$5000),2,FALSE),"")</f>
        <v>0</v>
      </c>
      <c r="I4216" s="46" t="str">
        <f>IF(INPUT!P4211="","",INPUT!P4211)</f>
        <v/>
      </c>
      <c r="J4216" s="46" t="str">
        <f>IF(INPUT!Q4211="","",INPUT!Q4211)</f>
        <v/>
      </c>
      <c r="K4216" s="46" t="str">
        <f>IFERROR(IF(OR(INPUT!P4211="",INPUT!Q4211=""),"",INPUT!P4211-INPUT!Q4211),"")</f>
        <v/>
      </c>
      <c r="L4216" s="48" t="str">
        <f>IFERROR(IF(OR(INPUT!P4211="",INPUT!Q4211="",INPUT!P4211=0),"",(INPUT!P4211-INPUT!Q4211)/INPUT!P4211),"")</f>
        <v/>
      </c>
    </row>
    <row r="4217" spans="1:12" ht="18" hidden="1" customHeight="1" x14ac:dyDescent="0.2">
      <c r="A4217" s="11" t="str">
        <f>IF(INPUT!M4212="","",INPUT!M4212)</f>
        <v/>
      </c>
      <c r="B4217" s="11" t="str">
        <f>IF(INPUT!M4212="","",INPUT!M4212-WEEKDAY(INPUT!M4212,2)+1)</f>
        <v/>
      </c>
      <c r="C4217" s="20">
        <f>IFERROR(_xlfn.ISOWEEKNUM(INPUT!M4212),"")</f>
        <v>52</v>
      </c>
      <c r="D4217" s="20">
        <f>IFERROR(YEAR(INPUT!M4212),"")</f>
        <v>1900</v>
      </c>
      <c r="E4217" t="str">
        <f>IF(INPUT!O4212="","",INPUT!O4212)</f>
        <v/>
      </c>
      <c r="F4217" t="str">
        <f>IF(INPUT!N4212="","",INPUT!N4212)</f>
        <v/>
      </c>
      <c r="G4217" cm="1">
        <f t="array" ref="G4217">IFERROR(VLOOKUP(INPUT!M4212&amp;INPUT!N4212,CHOOSE({1,2},INPUT!$A$3:$A$5000&amp;INPUT!$C$3:$C$5000,INPUT!$F$3:$F$5000),2,FALSE),"")</f>
        <v>0</v>
      </c>
      <c r="H4217" cm="1">
        <f t="array" ref="H4217">IFERROR(VLOOKUP(INPUT!M4212&amp;INPUT!N4212,CHOOSE({1,2},INPUT!$A$3:$A$5000&amp;INPUT!$C$3:$C$5000,INPUT!$D$3:$D$5000),2,FALSE),"")</f>
        <v>0</v>
      </c>
      <c r="I4217" s="46" t="str">
        <f>IF(INPUT!P4212="","",INPUT!P4212)</f>
        <v/>
      </c>
      <c r="J4217" s="46" t="str">
        <f>IF(INPUT!Q4212="","",INPUT!Q4212)</f>
        <v/>
      </c>
      <c r="K4217" s="46" t="str">
        <f>IFERROR(IF(OR(INPUT!P4212="",INPUT!Q4212=""),"",INPUT!P4212-INPUT!Q4212),"")</f>
        <v/>
      </c>
      <c r="L4217" s="48" t="str">
        <f>IFERROR(IF(OR(INPUT!P4212="",INPUT!Q4212="",INPUT!P4212=0),"",(INPUT!P4212-INPUT!Q4212)/INPUT!P4212),"")</f>
        <v/>
      </c>
    </row>
    <row r="4218" spans="1:12" ht="18" hidden="1" customHeight="1" x14ac:dyDescent="0.2">
      <c r="A4218" s="11" t="str">
        <f>IF(INPUT!M4213="","",INPUT!M4213)</f>
        <v/>
      </c>
      <c r="B4218" s="11" t="str">
        <f>IF(INPUT!M4213="","",INPUT!M4213-WEEKDAY(INPUT!M4213,2)+1)</f>
        <v/>
      </c>
      <c r="C4218" s="20">
        <f>IFERROR(_xlfn.ISOWEEKNUM(INPUT!M4213),"")</f>
        <v>52</v>
      </c>
      <c r="D4218" s="20">
        <f>IFERROR(YEAR(INPUT!M4213),"")</f>
        <v>1900</v>
      </c>
      <c r="E4218" t="str">
        <f>IF(INPUT!O4213="","",INPUT!O4213)</f>
        <v/>
      </c>
      <c r="F4218" t="str">
        <f>IF(INPUT!N4213="","",INPUT!N4213)</f>
        <v/>
      </c>
      <c r="G4218" cm="1">
        <f t="array" ref="G4218">IFERROR(VLOOKUP(INPUT!M4213&amp;INPUT!N4213,CHOOSE({1,2},INPUT!$A$3:$A$5000&amp;INPUT!$C$3:$C$5000,INPUT!$F$3:$F$5000),2,FALSE),"")</f>
        <v>0</v>
      </c>
      <c r="H4218" cm="1">
        <f t="array" ref="H4218">IFERROR(VLOOKUP(INPUT!M4213&amp;INPUT!N4213,CHOOSE({1,2},INPUT!$A$3:$A$5000&amp;INPUT!$C$3:$C$5000,INPUT!$D$3:$D$5000),2,FALSE),"")</f>
        <v>0</v>
      </c>
      <c r="I4218" s="46" t="str">
        <f>IF(INPUT!P4213="","",INPUT!P4213)</f>
        <v/>
      </c>
      <c r="J4218" s="46" t="str">
        <f>IF(INPUT!Q4213="","",INPUT!Q4213)</f>
        <v/>
      </c>
      <c r="K4218" s="46" t="str">
        <f>IFERROR(IF(OR(INPUT!P4213="",INPUT!Q4213=""),"",INPUT!P4213-INPUT!Q4213),"")</f>
        <v/>
      </c>
      <c r="L4218" s="48" t="str">
        <f>IFERROR(IF(OR(INPUT!P4213="",INPUT!Q4213="",INPUT!P4213=0),"",(INPUT!P4213-INPUT!Q4213)/INPUT!P4213),"")</f>
        <v/>
      </c>
    </row>
    <row r="4219" spans="1:12" ht="18" hidden="1" customHeight="1" x14ac:dyDescent="0.2">
      <c r="A4219" s="11" t="str">
        <f>IF(INPUT!M4214="","",INPUT!M4214)</f>
        <v/>
      </c>
      <c r="B4219" s="11" t="str">
        <f>IF(INPUT!M4214="","",INPUT!M4214-WEEKDAY(INPUT!M4214,2)+1)</f>
        <v/>
      </c>
      <c r="C4219" s="20">
        <f>IFERROR(_xlfn.ISOWEEKNUM(INPUT!M4214),"")</f>
        <v>52</v>
      </c>
      <c r="D4219" s="20">
        <f>IFERROR(YEAR(INPUT!M4214),"")</f>
        <v>1900</v>
      </c>
      <c r="E4219" t="str">
        <f>IF(INPUT!O4214="","",INPUT!O4214)</f>
        <v/>
      </c>
      <c r="F4219" t="str">
        <f>IF(INPUT!N4214="","",INPUT!N4214)</f>
        <v/>
      </c>
      <c r="G4219" cm="1">
        <f t="array" ref="G4219">IFERROR(VLOOKUP(INPUT!M4214&amp;INPUT!N4214,CHOOSE({1,2},INPUT!$A$3:$A$5000&amp;INPUT!$C$3:$C$5000,INPUT!$F$3:$F$5000),2,FALSE),"")</f>
        <v>0</v>
      </c>
      <c r="H4219" cm="1">
        <f t="array" ref="H4219">IFERROR(VLOOKUP(INPUT!M4214&amp;INPUT!N4214,CHOOSE({1,2},INPUT!$A$3:$A$5000&amp;INPUT!$C$3:$C$5000,INPUT!$D$3:$D$5000),2,FALSE),"")</f>
        <v>0</v>
      </c>
      <c r="I4219" s="46" t="str">
        <f>IF(INPUT!P4214="","",INPUT!P4214)</f>
        <v/>
      </c>
      <c r="J4219" s="46" t="str">
        <f>IF(INPUT!Q4214="","",INPUT!Q4214)</f>
        <v/>
      </c>
      <c r="K4219" s="46" t="str">
        <f>IFERROR(IF(OR(INPUT!P4214="",INPUT!Q4214=""),"",INPUT!P4214-INPUT!Q4214),"")</f>
        <v/>
      </c>
      <c r="L4219" s="48" t="str">
        <f>IFERROR(IF(OR(INPUT!P4214="",INPUT!Q4214="",INPUT!P4214=0),"",(INPUT!P4214-INPUT!Q4214)/INPUT!P4214),"")</f>
        <v/>
      </c>
    </row>
    <row r="4220" spans="1:12" ht="18" hidden="1" customHeight="1" x14ac:dyDescent="0.2">
      <c r="A4220" s="11" t="str">
        <f>IF(INPUT!M4215="","",INPUT!M4215)</f>
        <v/>
      </c>
      <c r="B4220" s="11" t="str">
        <f>IF(INPUT!M4215="","",INPUT!M4215-WEEKDAY(INPUT!M4215,2)+1)</f>
        <v/>
      </c>
      <c r="C4220" s="20">
        <f>IFERROR(_xlfn.ISOWEEKNUM(INPUT!M4215),"")</f>
        <v>52</v>
      </c>
      <c r="D4220" s="20">
        <f>IFERROR(YEAR(INPUT!M4215),"")</f>
        <v>1900</v>
      </c>
      <c r="E4220" t="str">
        <f>IF(INPUT!O4215="","",INPUT!O4215)</f>
        <v/>
      </c>
      <c r="F4220" t="str">
        <f>IF(INPUT!N4215="","",INPUT!N4215)</f>
        <v/>
      </c>
      <c r="G4220" cm="1">
        <f t="array" ref="G4220">IFERROR(VLOOKUP(INPUT!M4215&amp;INPUT!N4215,CHOOSE({1,2},INPUT!$A$3:$A$5000&amp;INPUT!$C$3:$C$5000,INPUT!$F$3:$F$5000),2,FALSE),"")</f>
        <v>0</v>
      </c>
      <c r="H4220" cm="1">
        <f t="array" ref="H4220">IFERROR(VLOOKUP(INPUT!M4215&amp;INPUT!N4215,CHOOSE({1,2},INPUT!$A$3:$A$5000&amp;INPUT!$C$3:$C$5000,INPUT!$D$3:$D$5000),2,FALSE),"")</f>
        <v>0</v>
      </c>
      <c r="I4220" s="46" t="str">
        <f>IF(INPUT!P4215="","",INPUT!P4215)</f>
        <v/>
      </c>
      <c r="J4220" s="46" t="str">
        <f>IF(INPUT!Q4215="","",INPUT!Q4215)</f>
        <v/>
      </c>
      <c r="K4220" s="46" t="str">
        <f>IFERROR(IF(OR(INPUT!P4215="",INPUT!Q4215=""),"",INPUT!P4215-INPUT!Q4215),"")</f>
        <v/>
      </c>
      <c r="L4220" s="48" t="str">
        <f>IFERROR(IF(OR(INPUT!P4215="",INPUT!Q4215="",INPUT!P4215=0),"",(INPUT!P4215-INPUT!Q4215)/INPUT!P4215),"")</f>
        <v/>
      </c>
    </row>
    <row r="4221" spans="1:12" ht="18" hidden="1" customHeight="1" x14ac:dyDescent="0.2">
      <c r="A4221" s="11" t="str">
        <f>IF(INPUT!M4216="","",INPUT!M4216)</f>
        <v/>
      </c>
      <c r="B4221" s="11" t="str">
        <f>IF(INPUT!M4216="","",INPUT!M4216-WEEKDAY(INPUT!M4216,2)+1)</f>
        <v/>
      </c>
      <c r="C4221" s="20">
        <f>IFERROR(_xlfn.ISOWEEKNUM(INPUT!M4216),"")</f>
        <v>52</v>
      </c>
      <c r="D4221" s="20">
        <f>IFERROR(YEAR(INPUT!M4216),"")</f>
        <v>1900</v>
      </c>
      <c r="E4221" t="str">
        <f>IF(INPUT!O4216="","",INPUT!O4216)</f>
        <v/>
      </c>
      <c r="F4221" t="str">
        <f>IF(INPUT!N4216="","",INPUT!N4216)</f>
        <v/>
      </c>
      <c r="G4221" cm="1">
        <f t="array" ref="G4221">IFERROR(VLOOKUP(INPUT!M4216&amp;INPUT!N4216,CHOOSE({1,2},INPUT!$A$3:$A$5000&amp;INPUT!$C$3:$C$5000,INPUT!$F$3:$F$5000),2,FALSE),"")</f>
        <v>0</v>
      </c>
      <c r="H4221" cm="1">
        <f t="array" ref="H4221">IFERROR(VLOOKUP(INPUT!M4216&amp;INPUT!N4216,CHOOSE({1,2},INPUT!$A$3:$A$5000&amp;INPUT!$C$3:$C$5000,INPUT!$D$3:$D$5000),2,FALSE),"")</f>
        <v>0</v>
      </c>
      <c r="I4221" s="46" t="str">
        <f>IF(INPUT!P4216="","",INPUT!P4216)</f>
        <v/>
      </c>
      <c r="J4221" s="46" t="str">
        <f>IF(INPUT!Q4216="","",INPUT!Q4216)</f>
        <v/>
      </c>
      <c r="K4221" s="46" t="str">
        <f>IFERROR(IF(OR(INPUT!P4216="",INPUT!Q4216=""),"",INPUT!P4216-INPUT!Q4216),"")</f>
        <v/>
      </c>
      <c r="L4221" s="48" t="str">
        <f>IFERROR(IF(OR(INPUT!P4216="",INPUT!Q4216="",INPUT!P4216=0),"",(INPUT!P4216-INPUT!Q4216)/INPUT!P4216),"")</f>
        <v/>
      </c>
    </row>
    <row r="4222" spans="1:12" ht="18" hidden="1" customHeight="1" x14ac:dyDescent="0.2">
      <c r="A4222" s="11" t="str">
        <f>IF(INPUT!M4217="","",INPUT!M4217)</f>
        <v/>
      </c>
      <c r="B4222" s="11" t="str">
        <f>IF(INPUT!M4217="","",INPUT!M4217-WEEKDAY(INPUT!M4217,2)+1)</f>
        <v/>
      </c>
      <c r="C4222" s="20">
        <f>IFERROR(_xlfn.ISOWEEKNUM(INPUT!M4217),"")</f>
        <v>52</v>
      </c>
      <c r="D4222" s="20">
        <f>IFERROR(YEAR(INPUT!M4217),"")</f>
        <v>1900</v>
      </c>
      <c r="E4222" t="str">
        <f>IF(INPUT!O4217="","",INPUT!O4217)</f>
        <v/>
      </c>
      <c r="F4222" t="str">
        <f>IF(INPUT!N4217="","",INPUT!N4217)</f>
        <v/>
      </c>
      <c r="G4222" cm="1">
        <f t="array" ref="G4222">IFERROR(VLOOKUP(INPUT!M4217&amp;INPUT!N4217,CHOOSE({1,2},INPUT!$A$3:$A$5000&amp;INPUT!$C$3:$C$5000,INPUT!$F$3:$F$5000),2,FALSE),"")</f>
        <v>0</v>
      </c>
      <c r="H4222" cm="1">
        <f t="array" ref="H4222">IFERROR(VLOOKUP(INPUT!M4217&amp;INPUT!N4217,CHOOSE({1,2},INPUT!$A$3:$A$5000&amp;INPUT!$C$3:$C$5000,INPUT!$D$3:$D$5000),2,FALSE),"")</f>
        <v>0</v>
      </c>
      <c r="I4222" s="46" t="str">
        <f>IF(INPUT!P4217="","",INPUT!P4217)</f>
        <v/>
      </c>
      <c r="J4222" s="46" t="str">
        <f>IF(INPUT!Q4217="","",INPUT!Q4217)</f>
        <v/>
      </c>
      <c r="K4222" s="46" t="str">
        <f>IFERROR(IF(OR(INPUT!P4217="",INPUT!Q4217=""),"",INPUT!P4217-INPUT!Q4217),"")</f>
        <v/>
      </c>
      <c r="L4222" s="48" t="str">
        <f>IFERROR(IF(OR(INPUT!P4217="",INPUT!Q4217="",INPUT!P4217=0),"",(INPUT!P4217-INPUT!Q4217)/INPUT!P4217),"")</f>
        <v/>
      </c>
    </row>
    <row r="4223" spans="1:12" ht="18" hidden="1" customHeight="1" x14ac:dyDescent="0.2">
      <c r="A4223" s="11" t="str">
        <f>IF(INPUT!M4218="","",INPUT!M4218)</f>
        <v/>
      </c>
      <c r="B4223" s="11" t="str">
        <f>IF(INPUT!M4218="","",INPUT!M4218-WEEKDAY(INPUT!M4218,2)+1)</f>
        <v/>
      </c>
      <c r="C4223" s="20">
        <f>IFERROR(_xlfn.ISOWEEKNUM(INPUT!M4218),"")</f>
        <v>52</v>
      </c>
      <c r="D4223" s="20">
        <f>IFERROR(YEAR(INPUT!M4218),"")</f>
        <v>1900</v>
      </c>
      <c r="E4223" t="str">
        <f>IF(INPUT!O4218="","",INPUT!O4218)</f>
        <v/>
      </c>
      <c r="F4223" t="str">
        <f>IF(INPUT!N4218="","",INPUT!N4218)</f>
        <v/>
      </c>
      <c r="G4223" cm="1">
        <f t="array" ref="G4223">IFERROR(VLOOKUP(INPUT!M4218&amp;INPUT!N4218,CHOOSE({1,2},INPUT!$A$3:$A$5000&amp;INPUT!$C$3:$C$5000,INPUT!$F$3:$F$5000),2,FALSE),"")</f>
        <v>0</v>
      </c>
      <c r="H4223" cm="1">
        <f t="array" ref="H4223">IFERROR(VLOOKUP(INPUT!M4218&amp;INPUT!N4218,CHOOSE({1,2},INPUT!$A$3:$A$5000&amp;INPUT!$C$3:$C$5000,INPUT!$D$3:$D$5000),2,FALSE),"")</f>
        <v>0</v>
      </c>
      <c r="I4223" s="46" t="str">
        <f>IF(INPUT!P4218="","",INPUT!P4218)</f>
        <v/>
      </c>
      <c r="J4223" s="46" t="str">
        <f>IF(INPUT!Q4218="","",INPUT!Q4218)</f>
        <v/>
      </c>
      <c r="K4223" s="46" t="str">
        <f>IFERROR(IF(OR(INPUT!P4218="",INPUT!Q4218=""),"",INPUT!P4218-INPUT!Q4218),"")</f>
        <v/>
      </c>
      <c r="L4223" s="48" t="str">
        <f>IFERROR(IF(OR(INPUT!P4218="",INPUT!Q4218="",INPUT!P4218=0),"",(INPUT!P4218-INPUT!Q4218)/INPUT!P4218),"")</f>
        <v/>
      </c>
    </row>
    <row r="4224" spans="1:12" ht="18" hidden="1" customHeight="1" x14ac:dyDescent="0.2">
      <c r="A4224" s="11" t="str">
        <f>IF(INPUT!M4219="","",INPUT!M4219)</f>
        <v/>
      </c>
      <c r="B4224" s="11" t="str">
        <f>IF(INPUT!M4219="","",INPUT!M4219-WEEKDAY(INPUT!M4219,2)+1)</f>
        <v/>
      </c>
      <c r="C4224" s="20">
        <f>IFERROR(_xlfn.ISOWEEKNUM(INPUT!M4219),"")</f>
        <v>52</v>
      </c>
      <c r="D4224" s="20">
        <f>IFERROR(YEAR(INPUT!M4219),"")</f>
        <v>1900</v>
      </c>
      <c r="E4224" t="str">
        <f>IF(INPUT!O4219="","",INPUT!O4219)</f>
        <v/>
      </c>
      <c r="F4224" t="str">
        <f>IF(INPUT!N4219="","",INPUT!N4219)</f>
        <v/>
      </c>
      <c r="G4224" cm="1">
        <f t="array" ref="G4224">IFERROR(VLOOKUP(INPUT!M4219&amp;INPUT!N4219,CHOOSE({1,2},INPUT!$A$3:$A$5000&amp;INPUT!$C$3:$C$5000,INPUT!$F$3:$F$5000),2,FALSE),"")</f>
        <v>0</v>
      </c>
      <c r="H4224" cm="1">
        <f t="array" ref="H4224">IFERROR(VLOOKUP(INPUT!M4219&amp;INPUT!N4219,CHOOSE({1,2},INPUT!$A$3:$A$5000&amp;INPUT!$C$3:$C$5000,INPUT!$D$3:$D$5000),2,FALSE),"")</f>
        <v>0</v>
      </c>
      <c r="I4224" s="46" t="str">
        <f>IF(INPUT!P4219="","",INPUT!P4219)</f>
        <v/>
      </c>
      <c r="J4224" s="46" t="str">
        <f>IF(INPUT!Q4219="","",INPUT!Q4219)</f>
        <v/>
      </c>
      <c r="K4224" s="46" t="str">
        <f>IFERROR(IF(OR(INPUT!P4219="",INPUT!Q4219=""),"",INPUT!P4219-INPUT!Q4219),"")</f>
        <v/>
      </c>
      <c r="L4224" s="48" t="str">
        <f>IFERROR(IF(OR(INPUT!P4219="",INPUT!Q4219="",INPUT!P4219=0),"",(INPUT!P4219-INPUT!Q4219)/INPUT!P4219),"")</f>
        <v/>
      </c>
    </row>
    <row r="4225" spans="1:12" ht="18" hidden="1" customHeight="1" x14ac:dyDescent="0.2">
      <c r="A4225" s="11" t="str">
        <f>IF(INPUT!M4220="","",INPUT!M4220)</f>
        <v/>
      </c>
      <c r="B4225" s="11" t="str">
        <f>IF(INPUT!M4220="","",INPUT!M4220-WEEKDAY(INPUT!M4220,2)+1)</f>
        <v/>
      </c>
      <c r="C4225" s="20">
        <f>IFERROR(_xlfn.ISOWEEKNUM(INPUT!M4220),"")</f>
        <v>52</v>
      </c>
      <c r="D4225" s="20">
        <f>IFERROR(YEAR(INPUT!M4220),"")</f>
        <v>1900</v>
      </c>
      <c r="E4225" t="str">
        <f>IF(INPUT!O4220="","",INPUT!O4220)</f>
        <v/>
      </c>
      <c r="F4225" t="str">
        <f>IF(INPUT!N4220="","",INPUT!N4220)</f>
        <v/>
      </c>
      <c r="G4225" cm="1">
        <f t="array" ref="G4225">IFERROR(VLOOKUP(INPUT!M4220&amp;INPUT!N4220,CHOOSE({1,2},INPUT!$A$3:$A$5000&amp;INPUT!$C$3:$C$5000,INPUT!$F$3:$F$5000),2,FALSE),"")</f>
        <v>0</v>
      </c>
      <c r="H4225" cm="1">
        <f t="array" ref="H4225">IFERROR(VLOOKUP(INPUT!M4220&amp;INPUT!N4220,CHOOSE({1,2},INPUT!$A$3:$A$5000&amp;INPUT!$C$3:$C$5000,INPUT!$D$3:$D$5000),2,FALSE),"")</f>
        <v>0</v>
      </c>
      <c r="I4225" s="46" t="str">
        <f>IF(INPUT!P4220="","",INPUT!P4220)</f>
        <v/>
      </c>
      <c r="J4225" s="46" t="str">
        <f>IF(INPUT!Q4220="","",INPUT!Q4220)</f>
        <v/>
      </c>
      <c r="K4225" s="46" t="str">
        <f>IFERROR(IF(OR(INPUT!P4220="",INPUT!Q4220=""),"",INPUT!P4220-INPUT!Q4220),"")</f>
        <v/>
      </c>
      <c r="L4225" s="48" t="str">
        <f>IFERROR(IF(OR(INPUT!P4220="",INPUT!Q4220="",INPUT!P4220=0),"",(INPUT!P4220-INPUT!Q4220)/INPUT!P4220),"")</f>
        <v/>
      </c>
    </row>
    <row r="4226" spans="1:12" ht="18" hidden="1" customHeight="1" x14ac:dyDescent="0.2">
      <c r="A4226" s="11" t="str">
        <f>IF(INPUT!M4221="","",INPUT!M4221)</f>
        <v/>
      </c>
      <c r="B4226" s="11" t="str">
        <f>IF(INPUT!M4221="","",INPUT!M4221-WEEKDAY(INPUT!M4221,2)+1)</f>
        <v/>
      </c>
      <c r="C4226" s="20">
        <f>IFERROR(_xlfn.ISOWEEKNUM(INPUT!M4221),"")</f>
        <v>52</v>
      </c>
      <c r="D4226" s="20">
        <f>IFERROR(YEAR(INPUT!M4221),"")</f>
        <v>1900</v>
      </c>
      <c r="E4226" t="str">
        <f>IF(INPUT!O4221="","",INPUT!O4221)</f>
        <v/>
      </c>
      <c r="F4226" t="str">
        <f>IF(INPUT!N4221="","",INPUT!N4221)</f>
        <v/>
      </c>
      <c r="G4226" cm="1">
        <f t="array" ref="G4226">IFERROR(VLOOKUP(INPUT!M4221&amp;INPUT!N4221,CHOOSE({1,2},INPUT!$A$3:$A$5000&amp;INPUT!$C$3:$C$5000,INPUT!$F$3:$F$5000),2,FALSE),"")</f>
        <v>0</v>
      </c>
      <c r="H4226" cm="1">
        <f t="array" ref="H4226">IFERROR(VLOOKUP(INPUT!M4221&amp;INPUT!N4221,CHOOSE({1,2},INPUT!$A$3:$A$5000&amp;INPUT!$C$3:$C$5000,INPUT!$D$3:$D$5000),2,FALSE),"")</f>
        <v>0</v>
      </c>
      <c r="I4226" s="46" t="str">
        <f>IF(INPUT!P4221="","",INPUT!P4221)</f>
        <v/>
      </c>
      <c r="J4226" s="46" t="str">
        <f>IF(INPUT!Q4221="","",INPUT!Q4221)</f>
        <v/>
      </c>
      <c r="K4226" s="46" t="str">
        <f>IFERROR(IF(OR(INPUT!P4221="",INPUT!Q4221=""),"",INPUT!P4221-INPUT!Q4221),"")</f>
        <v/>
      </c>
      <c r="L4226" s="48" t="str">
        <f>IFERROR(IF(OR(INPUT!P4221="",INPUT!Q4221="",INPUT!P4221=0),"",(INPUT!P4221-INPUT!Q4221)/INPUT!P4221),"")</f>
        <v/>
      </c>
    </row>
    <row r="4227" spans="1:12" ht="18" hidden="1" customHeight="1" x14ac:dyDescent="0.2">
      <c r="A4227" s="11" t="str">
        <f>IF(INPUT!M4222="","",INPUT!M4222)</f>
        <v/>
      </c>
      <c r="B4227" s="11" t="str">
        <f>IF(INPUT!M4222="","",INPUT!M4222-WEEKDAY(INPUT!M4222,2)+1)</f>
        <v/>
      </c>
      <c r="C4227" s="20">
        <f>IFERROR(_xlfn.ISOWEEKNUM(INPUT!M4222),"")</f>
        <v>52</v>
      </c>
      <c r="D4227" s="20">
        <f>IFERROR(YEAR(INPUT!M4222),"")</f>
        <v>1900</v>
      </c>
      <c r="E4227" t="str">
        <f>IF(INPUT!O4222="","",INPUT!O4222)</f>
        <v/>
      </c>
      <c r="F4227" t="str">
        <f>IF(INPUT!N4222="","",INPUT!N4222)</f>
        <v/>
      </c>
      <c r="G4227" cm="1">
        <f t="array" ref="G4227">IFERROR(VLOOKUP(INPUT!M4222&amp;INPUT!N4222,CHOOSE({1,2},INPUT!$A$3:$A$5000&amp;INPUT!$C$3:$C$5000,INPUT!$F$3:$F$5000),2,FALSE),"")</f>
        <v>0</v>
      </c>
      <c r="H4227" cm="1">
        <f t="array" ref="H4227">IFERROR(VLOOKUP(INPUT!M4222&amp;INPUT!N4222,CHOOSE({1,2},INPUT!$A$3:$A$5000&amp;INPUT!$C$3:$C$5000,INPUT!$D$3:$D$5000),2,FALSE),"")</f>
        <v>0</v>
      </c>
      <c r="I4227" s="46" t="str">
        <f>IF(INPUT!P4222="","",INPUT!P4222)</f>
        <v/>
      </c>
      <c r="J4227" s="46" t="str">
        <f>IF(INPUT!Q4222="","",INPUT!Q4222)</f>
        <v/>
      </c>
      <c r="K4227" s="46" t="str">
        <f>IFERROR(IF(OR(INPUT!P4222="",INPUT!Q4222=""),"",INPUT!P4222-INPUT!Q4222),"")</f>
        <v/>
      </c>
      <c r="L4227" s="48" t="str">
        <f>IFERROR(IF(OR(INPUT!P4222="",INPUT!Q4222="",INPUT!P4222=0),"",(INPUT!P4222-INPUT!Q4222)/INPUT!P4222),"")</f>
        <v/>
      </c>
    </row>
    <row r="4228" spans="1:12" ht="18" hidden="1" customHeight="1" x14ac:dyDescent="0.2">
      <c r="A4228" s="11" t="str">
        <f>IF(INPUT!M4223="","",INPUT!M4223)</f>
        <v/>
      </c>
      <c r="B4228" s="11" t="str">
        <f>IF(INPUT!M4223="","",INPUT!M4223-WEEKDAY(INPUT!M4223,2)+1)</f>
        <v/>
      </c>
      <c r="C4228" s="20">
        <f>IFERROR(_xlfn.ISOWEEKNUM(INPUT!M4223),"")</f>
        <v>52</v>
      </c>
      <c r="D4228" s="20">
        <f>IFERROR(YEAR(INPUT!M4223),"")</f>
        <v>1900</v>
      </c>
      <c r="E4228" t="str">
        <f>IF(INPUT!O4223="","",INPUT!O4223)</f>
        <v/>
      </c>
      <c r="F4228" t="str">
        <f>IF(INPUT!N4223="","",INPUT!N4223)</f>
        <v/>
      </c>
      <c r="G4228" cm="1">
        <f t="array" ref="G4228">IFERROR(VLOOKUP(INPUT!M4223&amp;INPUT!N4223,CHOOSE({1,2},INPUT!$A$3:$A$5000&amp;INPUT!$C$3:$C$5000,INPUT!$F$3:$F$5000),2,FALSE),"")</f>
        <v>0</v>
      </c>
      <c r="H4228" cm="1">
        <f t="array" ref="H4228">IFERROR(VLOOKUP(INPUT!M4223&amp;INPUT!N4223,CHOOSE({1,2},INPUT!$A$3:$A$5000&amp;INPUT!$C$3:$C$5000,INPUT!$D$3:$D$5000),2,FALSE),"")</f>
        <v>0</v>
      </c>
      <c r="I4228" s="46" t="str">
        <f>IF(INPUT!P4223="","",INPUT!P4223)</f>
        <v/>
      </c>
      <c r="J4228" s="46" t="str">
        <f>IF(INPUT!Q4223="","",INPUT!Q4223)</f>
        <v/>
      </c>
      <c r="K4228" s="46" t="str">
        <f>IFERROR(IF(OR(INPUT!P4223="",INPUT!Q4223=""),"",INPUT!P4223-INPUT!Q4223),"")</f>
        <v/>
      </c>
      <c r="L4228" s="48" t="str">
        <f>IFERROR(IF(OR(INPUT!P4223="",INPUT!Q4223="",INPUT!P4223=0),"",(INPUT!P4223-INPUT!Q4223)/INPUT!P4223),"")</f>
        <v/>
      </c>
    </row>
    <row r="4229" spans="1:12" ht="18" hidden="1" customHeight="1" x14ac:dyDescent="0.2">
      <c r="A4229" s="11" t="str">
        <f>IF(INPUT!M4224="","",INPUT!M4224)</f>
        <v/>
      </c>
      <c r="B4229" s="11" t="str">
        <f>IF(INPUT!M4224="","",INPUT!M4224-WEEKDAY(INPUT!M4224,2)+1)</f>
        <v/>
      </c>
      <c r="C4229" s="20">
        <f>IFERROR(_xlfn.ISOWEEKNUM(INPUT!M4224),"")</f>
        <v>52</v>
      </c>
      <c r="D4229" s="20">
        <f>IFERROR(YEAR(INPUT!M4224),"")</f>
        <v>1900</v>
      </c>
      <c r="E4229" t="str">
        <f>IF(INPUT!O4224="","",INPUT!O4224)</f>
        <v/>
      </c>
      <c r="F4229" t="str">
        <f>IF(INPUT!N4224="","",INPUT!N4224)</f>
        <v/>
      </c>
      <c r="G4229" cm="1">
        <f t="array" ref="G4229">IFERROR(VLOOKUP(INPUT!M4224&amp;INPUT!N4224,CHOOSE({1,2},INPUT!$A$3:$A$5000&amp;INPUT!$C$3:$C$5000,INPUT!$F$3:$F$5000),2,FALSE),"")</f>
        <v>0</v>
      </c>
      <c r="H4229" cm="1">
        <f t="array" ref="H4229">IFERROR(VLOOKUP(INPUT!M4224&amp;INPUT!N4224,CHOOSE({1,2},INPUT!$A$3:$A$5000&amp;INPUT!$C$3:$C$5000,INPUT!$D$3:$D$5000),2,FALSE),"")</f>
        <v>0</v>
      </c>
      <c r="I4229" s="46" t="str">
        <f>IF(INPUT!P4224="","",INPUT!P4224)</f>
        <v/>
      </c>
      <c r="J4229" s="46" t="str">
        <f>IF(INPUT!Q4224="","",INPUT!Q4224)</f>
        <v/>
      </c>
      <c r="K4229" s="46" t="str">
        <f>IFERROR(IF(OR(INPUT!P4224="",INPUT!Q4224=""),"",INPUT!P4224-INPUT!Q4224),"")</f>
        <v/>
      </c>
      <c r="L4229" s="48" t="str">
        <f>IFERROR(IF(OR(INPUT!P4224="",INPUT!Q4224="",INPUT!P4224=0),"",(INPUT!P4224-INPUT!Q4224)/INPUT!P4224),"")</f>
        <v/>
      </c>
    </row>
    <row r="4230" spans="1:12" ht="18" hidden="1" customHeight="1" x14ac:dyDescent="0.2">
      <c r="A4230" s="11" t="str">
        <f>IF(INPUT!M4225="","",INPUT!M4225)</f>
        <v/>
      </c>
      <c r="B4230" s="11" t="str">
        <f>IF(INPUT!M4225="","",INPUT!M4225-WEEKDAY(INPUT!M4225,2)+1)</f>
        <v/>
      </c>
      <c r="C4230" s="20">
        <f>IFERROR(_xlfn.ISOWEEKNUM(INPUT!M4225),"")</f>
        <v>52</v>
      </c>
      <c r="D4230" s="20">
        <f>IFERROR(YEAR(INPUT!M4225),"")</f>
        <v>1900</v>
      </c>
      <c r="E4230" t="str">
        <f>IF(INPUT!O4225="","",INPUT!O4225)</f>
        <v/>
      </c>
      <c r="F4230" t="str">
        <f>IF(INPUT!N4225="","",INPUT!N4225)</f>
        <v/>
      </c>
      <c r="G4230" cm="1">
        <f t="array" ref="G4230">IFERROR(VLOOKUP(INPUT!M4225&amp;INPUT!N4225,CHOOSE({1,2},INPUT!$A$3:$A$5000&amp;INPUT!$C$3:$C$5000,INPUT!$F$3:$F$5000),2,FALSE),"")</f>
        <v>0</v>
      </c>
      <c r="H4230" cm="1">
        <f t="array" ref="H4230">IFERROR(VLOOKUP(INPUT!M4225&amp;INPUT!N4225,CHOOSE({1,2},INPUT!$A$3:$A$5000&amp;INPUT!$C$3:$C$5000,INPUT!$D$3:$D$5000),2,FALSE),"")</f>
        <v>0</v>
      </c>
      <c r="I4230" s="46" t="str">
        <f>IF(INPUT!P4225="","",INPUT!P4225)</f>
        <v/>
      </c>
      <c r="J4230" s="46" t="str">
        <f>IF(INPUT!Q4225="","",INPUT!Q4225)</f>
        <v/>
      </c>
      <c r="K4230" s="46" t="str">
        <f>IFERROR(IF(OR(INPUT!P4225="",INPUT!Q4225=""),"",INPUT!P4225-INPUT!Q4225),"")</f>
        <v/>
      </c>
      <c r="L4230" s="48" t="str">
        <f>IFERROR(IF(OR(INPUT!P4225="",INPUT!Q4225="",INPUT!P4225=0),"",(INPUT!P4225-INPUT!Q4225)/INPUT!P4225),"")</f>
        <v/>
      </c>
    </row>
    <row r="4231" spans="1:12" ht="18" hidden="1" customHeight="1" x14ac:dyDescent="0.2">
      <c r="A4231" s="11" t="str">
        <f>IF(INPUT!M4226="","",INPUT!M4226)</f>
        <v/>
      </c>
      <c r="B4231" s="11" t="str">
        <f>IF(INPUT!M4226="","",INPUT!M4226-WEEKDAY(INPUT!M4226,2)+1)</f>
        <v/>
      </c>
      <c r="C4231" s="20">
        <f>IFERROR(_xlfn.ISOWEEKNUM(INPUT!M4226),"")</f>
        <v>52</v>
      </c>
      <c r="D4231" s="20">
        <f>IFERROR(YEAR(INPUT!M4226),"")</f>
        <v>1900</v>
      </c>
      <c r="E4231" t="str">
        <f>IF(INPUT!O4226="","",INPUT!O4226)</f>
        <v/>
      </c>
      <c r="F4231" t="str">
        <f>IF(INPUT!N4226="","",INPUT!N4226)</f>
        <v/>
      </c>
      <c r="G4231" cm="1">
        <f t="array" ref="G4231">IFERROR(VLOOKUP(INPUT!M4226&amp;INPUT!N4226,CHOOSE({1,2},INPUT!$A$3:$A$5000&amp;INPUT!$C$3:$C$5000,INPUT!$F$3:$F$5000),2,FALSE),"")</f>
        <v>0</v>
      </c>
      <c r="H4231" cm="1">
        <f t="array" ref="H4231">IFERROR(VLOOKUP(INPUT!M4226&amp;INPUT!N4226,CHOOSE({1,2},INPUT!$A$3:$A$5000&amp;INPUT!$C$3:$C$5000,INPUT!$D$3:$D$5000),2,FALSE),"")</f>
        <v>0</v>
      </c>
      <c r="I4231" s="46" t="str">
        <f>IF(INPUT!P4226="","",INPUT!P4226)</f>
        <v/>
      </c>
      <c r="J4231" s="46" t="str">
        <f>IF(INPUT!Q4226="","",INPUT!Q4226)</f>
        <v/>
      </c>
      <c r="K4231" s="46" t="str">
        <f>IFERROR(IF(OR(INPUT!P4226="",INPUT!Q4226=""),"",INPUT!P4226-INPUT!Q4226),"")</f>
        <v/>
      </c>
      <c r="L4231" s="48" t="str">
        <f>IFERROR(IF(OR(INPUT!P4226="",INPUT!Q4226="",INPUT!P4226=0),"",(INPUT!P4226-INPUT!Q4226)/INPUT!P4226),"")</f>
        <v/>
      </c>
    </row>
    <row r="4232" spans="1:12" ht="18" hidden="1" customHeight="1" x14ac:dyDescent="0.2">
      <c r="A4232" s="11" t="str">
        <f>IF(INPUT!M4227="","",INPUT!M4227)</f>
        <v/>
      </c>
      <c r="B4232" s="11" t="str">
        <f>IF(INPUT!M4227="","",INPUT!M4227-WEEKDAY(INPUT!M4227,2)+1)</f>
        <v/>
      </c>
      <c r="C4232" s="20">
        <f>IFERROR(_xlfn.ISOWEEKNUM(INPUT!M4227),"")</f>
        <v>52</v>
      </c>
      <c r="D4232" s="20">
        <f>IFERROR(YEAR(INPUT!M4227),"")</f>
        <v>1900</v>
      </c>
      <c r="E4232" t="str">
        <f>IF(INPUT!O4227="","",INPUT!O4227)</f>
        <v/>
      </c>
      <c r="F4232" t="str">
        <f>IF(INPUT!N4227="","",INPUT!N4227)</f>
        <v/>
      </c>
      <c r="G4232" cm="1">
        <f t="array" ref="G4232">IFERROR(VLOOKUP(INPUT!M4227&amp;INPUT!N4227,CHOOSE({1,2},INPUT!$A$3:$A$5000&amp;INPUT!$C$3:$C$5000,INPUT!$F$3:$F$5000),2,FALSE),"")</f>
        <v>0</v>
      </c>
      <c r="H4232" cm="1">
        <f t="array" ref="H4232">IFERROR(VLOOKUP(INPUT!M4227&amp;INPUT!N4227,CHOOSE({1,2},INPUT!$A$3:$A$5000&amp;INPUT!$C$3:$C$5000,INPUT!$D$3:$D$5000),2,FALSE),"")</f>
        <v>0</v>
      </c>
      <c r="I4232" s="46" t="str">
        <f>IF(INPUT!P4227="","",INPUT!P4227)</f>
        <v/>
      </c>
      <c r="J4232" s="46" t="str">
        <f>IF(INPUT!Q4227="","",INPUT!Q4227)</f>
        <v/>
      </c>
      <c r="K4232" s="46" t="str">
        <f>IFERROR(IF(OR(INPUT!P4227="",INPUT!Q4227=""),"",INPUT!P4227-INPUT!Q4227),"")</f>
        <v/>
      </c>
      <c r="L4232" s="48" t="str">
        <f>IFERROR(IF(OR(INPUT!P4227="",INPUT!Q4227="",INPUT!P4227=0),"",(INPUT!P4227-INPUT!Q4227)/INPUT!P4227),"")</f>
        <v/>
      </c>
    </row>
    <row r="4233" spans="1:12" ht="18" hidden="1" customHeight="1" x14ac:dyDescent="0.2">
      <c r="A4233" s="11" t="str">
        <f>IF(INPUT!M4228="","",INPUT!M4228)</f>
        <v/>
      </c>
      <c r="B4233" s="11" t="str">
        <f>IF(INPUT!M4228="","",INPUT!M4228-WEEKDAY(INPUT!M4228,2)+1)</f>
        <v/>
      </c>
      <c r="C4233" s="20">
        <f>IFERROR(_xlfn.ISOWEEKNUM(INPUT!M4228),"")</f>
        <v>52</v>
      </c>
      <c r="D4233" s="20">
        <f>IFERROR(YEAR(INPUT!M4228),"")</f>
        <v>1900</v>
      </c>
      <c r="E4233" t="str">
        <f>IF(INPUT!O4228="","",INPUT!O4228)</f>
        <v/>
      </c>
      <c r="F4233" t="str">
        <f>IF(INPUT!N4228="","",INPUT!N4228)</f>
        <v/>
      </c>
      <c r="G4233" cm="1">
        <f t="array" ref="G4233">IFERROR(VLOOKUP(INPUT!M4228&amp;INPUT!N4228,CHOOSE({1,2},INPUT!$A$3:$A$5000&amp;INPUT!$C$3:$C$5000,INPUT!$F$3:$F$5000),2,FALSE),"")</f>
        <v>0</v>
      </c>
      <c r="H4233" cm="1">
        <f t="array" ref="H4233">IFERROR(VLOOKUP(INPUT!M4228&amp;INPUT!N4228,CHOOSE({1,2},INPUT!$A$3:$A$5000&amp;INPUT!$C$3:$C$5000,INPUT!$D$3:$D$5000),2,FALSE),"")</f>
        <v>0</v>
      </c>
      <c r="I4233" s="46" t="str">
        <f>IF(INPUT!P4228="","",INPUT!P4228)</f>
        <v/>
      </c>
      <c r="J4233" s="46" t="str">
        <f>IF(INPUT!Q4228="","",INPUT!Q4228)</f>
        <v/>
      </c>
      <c r="K4233" s="46" t="str">
        <f>IFERROR(IF(OR(INPUT!P4228="",INPUT!Q4228=""),"",INPUT!P4228-INPUT!Q4228),"")</f>
        <v/>
      </c>
      <c r="L4233" s="48" t="str">
        <f>IFERROR(IF(OR(INPUT!P4228="",INPUT!Q4228="",INPUT!P4228=0),"",(INPUT!P4228-INPUT!Q4228)/INPUT!P4228),"")</f>
        <v/>
      </c>
    </row>
    <row r="4234" spans="1:12" ht="18" hidden="1" customHeight="1" x14ac:dyDescent="0.2">
      <c r="A4234" s="11" t="str">
        <f>IF(INPUT!M4229="","",INPUT!M4229)</f>
        <v/>
      </c>
      <c r="B4234" s="11" t="str">
        <f>IF(INPUT!M4229="","",INPUT!M4229-WEEKDAY(INPUT!M4229,2)+1)</f>
        <v/>
      </c>
      <c r="C4234" s="20">
        <f>IFERROR(_xlfn.ISOWEEKNUM(INPUT!M4229),"")</f>
        <v>52</v>
      </c>
      <c r="D4234" s="20">
        <f>IFERROR(YEAR(INPUT!M4229),"")</f>
        <v>1900</v>
      </c>
      <c r="E4234" t="str">
        <f>IF(INPUT!O4229="","",INPUT!O4229)</f>
        <v/>
      </c>
      <c r="F4234" t="str">
        <f>IF(INPUT!N4229="","",INPUT!N4229)</f>
        <v/>
      </c>
      <c r="G4234" cm="1">
        <f t="array" ref="G4234">IFERROR(VLOOKUP(INPUT!M4229&amp;INPUT!N4229,CHOOSE({1,2},INPUT!$A$3:$A$5000&amp;INPUT!$C$3:$C$5000,INPUT!$F$3:$F$5000),2,FALSE),"")</f>
        <v>0</v>
      </c>
      <c r="H4234" cm="1">
        <f t="array" ref="H4234">IFERROR(VLOOKUP(INPUT!M4229&amp;INPUT!N4229,CHOOSE({1,2},INPUT!$A$3:$A$5000&amp;INPUT!$C$3:$C$5000,INPUT!$D$3:$D$5000),2,FALSE),"")</f>
        <v>0</v>
      </c>
      <c r="I4234" s="46" t="str">
        <f>IF(INPUT!P4229="","",INPUT!P4229)</f>
        <v/>
      </c>
      <c r="J4234" s="46" t="str">
        <f>IF(INPUT!Q4229="","",INPUT!Q4229)</f>
        <v/>
      </c>
      <c r="K4234" s="46" t="str">
        <f>IFERROR(IF(OR(INPUT!P4229="",INPUT!Q4229=""),"",INPUT!P4229-INPUT!Q4229),"")</f>
        <v/>
      </c>
      <c r="L4234" s="48" t="str">
        <f>IFERROR(IF(OR(INPUT!P4229="",INPUT!Q4229="",INPUT!P4229=0),"",(INPUT!P4229-INPUT!Q4229)/INPUT!P4229),"")</f>
        <v/>
      </c>
    </row>
    <row r="4235" spans="1:12" ht="18" hidden="1" customHeight="1" x14ac:dyDescent="0.2">
      <c r="A4235" s="11" t="str">
        <f>IF(INPUT!M4230="","",INPUT!M4230)</f>
        <v/>
      </c>
      <c r="B4235" s="11" t="str">
        <f>IF(INPUT!M4230="","",INPUT!M4230-WEEKDAY(INPUT!M4230,2)+1)</f>
        <v/>
      </c>
      <c r="C4235" s="20">
        <f>IFERROR(_xlfn.ISOWEEKNUM(INPUT!M4230),"")</f>
        <v>52</v>
      </c>
      <c r="D4235" s="20">
        <f>IFERROR(YEAR(INPUT!M4230),"")</f>
        <v>1900</v>
      </c>
      <c r="E4235" t="str">
        <f>IF(INPUT!O4230="","",INPUT!O4230)</f>
        <v/>
      </c>
      <c r="F4235" t="str">
        <f>IF(INPUT!N4230="","",INPUT!N4230)</f>
        <v/>
      </c>
      <c r="G4235" cm="1">
        <f t="array" ref="G4235">IFERROR(VLOOKUP(INPUT!M4230&amp;INPUT!N4230,CHOOSE({1,2},INPUT!$A$3:$A$5000&amp;INPUT!$C$3:$C$5000,INPUT!$F$3:$F$5000),2,FALSE),"")</f>
        <v>0</v>
      </c>
      <c r="H4235" cm="1">
        <f t="array" ref="H4235">IFERROR(VLOOKUP(INPUT!M4230&amp;INPUT!N4230,CHOOSE({1,2},INPUT!$A$3:$A$5000&amp;INPUT!$C$3:$C$5000,INPUT!$D$3:$D$5000),2,FALSE),"")</f>
        <v>0</v>
      </c>
      <c r="I4235" s="46" t="str">
        <f>IF(INPUT!P4230="","",INPUT!P4230)</f>
        <v/>
      </c>
      <c r="J4235" s="46" t="str">
        <f>IF(INPUT!Q4230="","",INPUT!Q4230)</f>
        <v/>
      </c>
      <c r="K4235" s="46" t="str">
        <f>IFERROR(IF(OR(INPUT!P4230="",INPUT!Q4230=""),"",INPUT!P4230-INPUT!Q4230),"")</f>
        <v/>
      </c>
      <c r="L4235" s="48" t="str">
        <f>IFERROR(IF(OR(INPUT!P4230="",INPUT!Q4230="",INPUT!P4230=0),"",(INPUT!P4230-INPUT!Q4230)/INPUT!P4230),"")</f>
        <v/>
      </c>
    </row>
    <row r="4236" spans="1:12" ht="18" hidden="1" customHeight="1" x14ac:dyDescent="0.2">
      <c r="A4236" s="11" t="str">
        <f>IF(INPUT!M4231="","",INPUT!M4231)</f>
        <v/>
      </c>
      <c r="B4236" s="11" t="str">
        <f>IF(INPUT!M4231="","",INPUT!M4231-WEEKDAY(INPUT!M4231,2)+1)</f>
        <v/>
      </c>
      <c r="C4236" s="20">
        <f>IFERROR(_xlfn.ISOWEEKNUM(INPUT!M4231),"")</f>
        <v>52</v>
      </c>
      <c r="D4236" s="20">
        <f>IFERROR(YEAR(INPUT!M4231),"")</f>
        <v>1900</v>
      </c>
      <c r="E4236" t="str">
        <f>IF(INPUT!O4231="","",INPUT!O4231)</f>
        <v/>
      </c>
      <c r="F4236" t="str">
        <f>IF(INPUT!N4231="","",INPUT!N4231)</f>
        <v/>
      </c>
      <c r="G4236" cm="1">
        <f t="array" ref="G4236">IFERROR(VLOOKUP(INPUT!M4231&amp;INPUT!N4231,CHOOSE({1,2},INPUT!$A$3:$A$5000&amp;INPUT!$C$3:$C$5000,INPUT!$F$3:$F$5000),2,FALSE),"")</f>
        <v>0</v>
      </c>
      <c r="H4236" cm="1">
        <f t="array" ref="H4236">IFERROR(VLOOKUP(INPUT!M4231&amp;INPUT!N4231,CHOOSE({1,2},INPUT!$A$3:$A$5000&amp;INPUT!$C$3:$C$5000,INPUT!$D$3:$D$5000),2,FALSE),"")</f>
        <v>0</v>
      </c>
      <c r="I4236" s="46" t="str">
        <f>IF(INPUT!P4231="","",INPUT!P4231)</f>
        <v/>
      </c>
      <c r="J4236" s="46" t="str">
        <f>IF(INPUT!Q4231="","",INPUT!Q4231)</f>
        <v/>
      </c>
      <c r="K4236" s="46" t="str">
        <f>IFERROR(IF(OR(INPUT!P4231="",INPUT!Q4231=""),"",INPUT!P4231-INPUT!Q4231),"")</f>
        <v/>
      </c>
      <c r="L4236" s="48" t="str">
        <f>IFERROR(IF(OR(INPUT!P4231="",INPUT!Q4231="",INPUT!P4231=0),"",(INPUT!P4231-INPUT!Q4231)/INPUT!P4231),"")</f>
        <v/>
      </c>
    </row>
    <row r="4237" spans="1:12" ht="18" hidden="1" customHeight="1" x14ac:dyDescent="0.2">
      <c r="A4237" s="11" t="str">
        <f>IF(INPUT!M4232="","",INPUT!M4232)</f>
        <v/>
      </c>
      <c r="B4237" s="11" t="str">
        <f>IF(INPUT!M4232="","",INPUT!M4232-WEEKDAY(INPUT!M4232,2)+1)</f>
        <v/>
      </c>
      <c r="C4237" s="20">
        <f>IFERROR(_xlfn.ISOWEEKNUM(INPUT!M4232),"")</f>
        <v>52</v>
      </c>
      <c r="D4237" s="20">
        <f>IFERROR(YEAR(INPUT!M4232),"")</f>
        <v>1900</v>
      </c>
      <c r="E4237" t="str">
        <f>IF(INPUT!O4232="","",INPUT!O4232)</f>
        <v/>
      </c>
      <c r="F4237" t="str">
        <f>IF(INPUT!N4232="","",INPUT!N4232)</f>
        <v/>
      </c>
      <c r="G4237" cm="1">
        <f t="array" ref="G4237">IFERROR(VLOOKUP(INPUT!M4232&amp;INPUT!N4232,CHOOSE({1,2},INPUT!$A$3:$A$5000&amp;INPUT!$C$3:$C$5000,INPUT!$F$3:$F$5000),2,FALSE),"")</f>
        <v>0</v>
      </c>
      <c r="H4237" cm="1">
        <f t="array" ref="H4237">IFERROR(VLOOKUP(INPUT!M4232&amp;INPUT!N4232,CHOOSE({1,2},INPUT!$A$3:$A$5000&amp;INPUT!$C$3:$C$5000,INPUT!$D$3:$D$5000),2,FALSE),"")</f>
        <v>0</v>
      </c>
      <c r="I4237" s="46" t="str">
        <f>IF(INPUT!P4232="","",INPUT!P4232)</f>
        <v/>
      </c>
      <c r="J4237" s="46" t="str">
        <f>IF(INPUT!Q4232="","",INPUT!Q4232)</f>
        <v/>
      </c>
      <c r="K4237" s="46" t="str">
        <f>IFERROR(IF(OR(INPUT!P4232="",INPUT!Q4232=""),"",INPUT!P4232-INPUT!Q4232),"")</f>
        <v/>
      </c>
      <c r="L4237" s="48" t="str">
        <f>IFERROR(IF(OR(INPUT!P4232="",INPUT!Q4232="",INPUT!P4232=0),"",(INPUT!P4232-INPUT!Q4232)/INPUT!P4232),"")</f>
        <v/>
      </c>
    </row>
    <row r="4238" spans="1:12" ht="18" hidden="1" customHeight="1" x14ac:dyDescent="0.2">
      <c r="A4238" s="11" t="str">
        <f>IF(INPUT!M4233="","",INPUT!M4233)</f>
        <v/>
      </c>
      <c r="B4238" s="11" t="str">
        <f>IF(INPUT!M4233="","",INPUT!M4233-WEEKDAY(INPUT!M4233,2)+1)</f>
        <v/>
      </c>
      <c r="C4238" s="20">
        <f>IFERROR(_xlfn.ISOWEEKNUM(INPUT!M4233),"")</f>
        <v>52</v>
      </c>
      <c r="D4238" s="20">
        <f>IFERROR(YEAR(INPUT!M4233),"")</f>
        <v>1900</v>
      </c>
      <c r="E4238" t="str">
        <f>IF(INPUT!O4233="","",INPUT!O4233)</f>
        <v/>
      </c>
      <c r="F4238" t="str">
        <f>IF(INPUT!N4233="","",INPUT!N4233)</f>
        <v/>
      </c>
      <c r="G4238" cm="1">
        <f t="array" ref="G4238">IFERROR(VLOOKUP(INPUT!M4233&amp;INPUT!N4233,CHOOSE({1,2},INPUT!$A$3:$A$5000&amp;INPUT!$C$3:$C$5000,INPUT!$F$3:$F$5000),2,FALSE),"")</f>
        <v>0</v>
      </c>
      <c r="H4238" cm="1">
        <f t="array" ref="H4238">IFERROR(VLOOKUP(INPUT!M4233&amp;INPUT!N4233,CHOOSE({1,2},INPUT!$A$3:$A$5000&amp;INPUT!$C$3:$C$5000,INPUT!$D$3:$D$5000),2,FALSE),"")</f>
        <v>0</v>
      </c>
      <c r="I4238" s="46" t="str">
        <f>IF(INPUT!P4233="","",INPUT!P4233)</f>
        <v/>
      </c>
      <c r="J4238" s="46" t="str">
        <f>IF(INPUT!Q4233="","",INPUT!Q4233)</f>
        <v/>
      </c>
      <c r="K4238" s="46" t="str">
        <f>IFERROR(IF(OR(INPUT!P4233="",INPUT!Q4233=""),"",INPUT!P4233-INPUT!Q4233),"")</f>
        <v/>
      </c>
      <c r="L4238" s="48" t="str">
        <f>IFERROR(IF(OR(INPUT!P4233="",INPUT!Q4233="",INPUT!P4233=0),"",(INPUT!P4233-INPUT!Q4233)/INPUT!P4233),"")</f>
        <v/>
      </c>
    </row>
    <row r="4239" spans="1:12" ht="18" hidden="1" customHeight="1" x14ac:dyDescent="0.2">
      <c r="A4239" s="11" t="str">
        <f>IF(INPUT!M4234="","",INPUT!M4234)</f>
        <v/>
      </c>
      <c r="B4239" s="11" t="str">
        <f>IF(INPUT!M4234="","",INPUT!M4234-WEEKDAY(INPUT!M4234,2)+1)</f>
        <v/>
      </c>
      <c r="C4239" s="20">
        <f>IFERROR(_xlfn.ISOWEEKNUM(INPUT!M4234),"")</f>
        <v>52</v>
      </c>
      <c r="D4239" s="20">
        <f>IFERROR(YEAR(INPUT!M4234),"")</f>
        <v>1900</v>
      </c>
      <c r="E4239" t="str">
        <f>IF(INPUT!O4234="","",INPUT!O4234)</f>
        <v/>
      </c>
      <c r="F4239" t="str">
        <f>IF(INPUT!N4234="","",INPUT!N4234)</f>
        <v/>
      </c>
      <c r="G4239" cm="1">
        <f t="array" ref="G4239">IFERROR(VLOOKUP(INPUT!M4234&amp;INPUT!N4234,CHOOSE({1,2},INPUT!$A$3:$A$5000&amp;INPUT!$C$3:$C$5000,INPUT!$F$3:$F$5000),2,FALSE),"")</f>
        <v>0</v>
      </c>
      <c r="H4239" cm="1">
        <f t="array" ref="H4239">IFERROR(VLOOKUP(INPUT!M4234&amp;INPUT!N4234,CHOOSE({1,2},INPUT!$A$3:$A$5000&amp;INPUT!$C$3:$C$5000,INPUT!$D$3:$D$5000),2,FALSE),"")</f>
        <v>0</v>
      </c>
      <c r="I4239" s="46" t="str">
        <f>IF(INPUT!P4234="","",INPUT!P4234)</f>
        <v/>
      </c>
      <c r="J4239" s="46" t="str">
        <f>IF(INPUT!Q4234="","",INPUT!Q4234)</f>
        <v/>
      </c>
      <c r="K4239" s="46" t="str">
        <f>IFERROR(IF(OR(INPUT!P4234="",INPUT!Q4234=""),"",INPUT!P4234-INPUT!Q4234),"")</f>
        <v/>
      </c>
      <c r="L4239" s="48" t="str">
        <f>IFERROR(IF(OR(INPUT!P4234="",INPUT!Q4234="",INPUT!P4234=0),"",(INPUT!P4234-INPUT!Q4234)/INPUT!P4234),"")</f>
        <v/>
      </c>
    </row>
    <row r="4240" spans="1:12" ht="18" hidden="1" customHeight="1" x14ac:dyDescent="0.2">
      <c r="A4240" s="11" t="str">
        <f>IF(INPUT!M4235="","",INPUT!M4235)</f>
        <v/>
      </c>
      <c r="B4240" s="11" t="str">
        <f>IF(INPUT!M4235="","",INPUT!M4235-WEEKDAY(INPUT!M4235,2)+1)</f>
        <v/>
      </c>
      <c r="C4240" s="20">
        <f>IFERROR(_xlfn.ISOWEEKNUM(INPUT!M4235),"")</f>
        <v>52</v>
      </c>
      <c r="D4240" s="20">
        <f>IFERROR(YEAR(INPUT!M4235),"")</f>
        <v>1900</v>
      </c>
      <c r="E4240" t="str">
        <f>IF(INPUT!O4235="","",INPUT!O4235)</f>
        <v/>
      </c>
      <c r="F4240" t="str">
        <f>IF(INPUT!N4235="","",INPUT!N4235)</f>
        <v/>
      </c>
      <c r="G4240" cm="1">
        <f t="array" ref="G4240">IFERROR(VLOOKUP(INPUT!M4235&amp;INPUT!N4235,CHOOSE({1,2},INPUT!$A$3:$A$5000&amp;INPUT!$C$3:$C$5000,INPUT!$F$3:$F$5000),2,FALSE),"")</f>
        <v>0</v>
      </c>
      <c r="H4240" cm="1">
        <f t="array" ref="H4240">IFERROR(VLOOKUP(INPUT!M4235&amp;INPUT!N4235,CHOOSE({1,2},INPUT!$A$3:$A$5000&amp;INPUT!$C$3:$C$5000,INPUT!$D$3:$D$5000),2,FALSE),"")</f>
        <v>0</v>
      </c>
      <c r="I4240" s="46" t="str">
        <f>IF(INPUT!P4235="","",INPUT!P4235)</f>
        <v/>
      </c>
      <c r="J4240" s="46" t="str">
        <f>IF(INPUT!Q4235="","",INPUT!Q4235)</f>
        <v/>
      </c>
      <c r="K4240" s="46" t="str">
        <f>IFERROR(IF(OR(INPUT!P4235="",INPUT!Q4235=""),"",INPUT!P4235-INPUT!Q4235),"")</f>
        <v/>
      </c>
      <c r="L4240" s="48" t="str">
        <f>IFERROR(IF(OR(INPUT!P4235="",INPUT!Q4235="",INPUT!P4235=0),"",(INPUT!P4235-INPUT!Q4235)/INPUT!P4235),"")</f>
        <v/>
      </c>
    </row>
    <row r="4241" spans="1:12" ht="18" hidden="1" customHeight="1" x14ac:dyDescent="0.2">
      <c r="A4241" s="11" t="str">
        <f>IF(INPUT!M4236="","",INPUT!M4236)</f>
        <v/>
      </c>
      <c r="B4241" s="11" t="str">
        <f>IF(INPUT!M4236="","",INPUT!M4236-WEEKDAY(INPUT!M4236,2)+1)</f>
        <v/>
      </c>
      <c r="C4241" s="20">
        <f>IFERROR(_xlfn.ISOWEEKNUM(INPUT!M4236),"")</f>
        <v>52</v>
      </c>
      <c r="D4241" s="20">
        <f>IFERROR(YEAR(INPUT!M4236),"")</f>
        <v>1900</v>
      </c>
      <c r="E4241" t="str">
        <f>IF(INPUT!O4236="","",INPUT!O4236)</f>
        <v/>
      </c>
      <c r="F4241" t="str">
        <f>IF(INPUT!N4236="","",INPUT!N4236)</f>
        <v/>
      </c>
      <c r="G4241" cm="1">
        <f t="array" ref="G4241">IFERROR(VLOOKUP(INPUT!M4236&amp;INPUT!N4236,CHOOSE({1,2},INPUT!$A$3:$A$5000&amp;INPUT!$C$3:$C$5000,INPUT!$F$3:$F$5000),2,FALSE),"")</f>
        <v>0</v>
      </c>
      <c r="H4241" cm="1">
        <f t="array" ref="H4241">IFERROR(VLOOKUP(INPUT!M4236&amp;INPUT!N4236,CHOOSE({1,2},INPUT!$A$3:$A$5000&amp;INPUT!$C$3:$C$5000,INPUT!$D$3:$D$5000),2,FALSE),"")</f>
        <v>0</v>
      </c>
      <c r="I4241" s="46" t="str">
        <f>IF(INPUT!P4236="","",INPUT!P4236)</f>
        <v/>
      </c>
      <c r="J4241" s="46" t="str">
        <f>IF(INPUT!Q4236="","",INPUT!Q4236)</f>
        <v/>
      </c>
      <c r="K4241" s="46" t="str">
        <f>IFERROR(IF(OR(INPUT!P4236="",INPUT!Q4236=""),"",INPUT!P4236-INPUT!Q4236),"")</f>
        <v/>
      </c>
      <c r="L4241" s="48" t="str">
        <f>IFERROR(IF(OR(INPUT!P4236="",INPUT!Q4236="",INPUT!P4236=0),"",(INPUT!P4236-INPUT!Q4236)/INPUT!P4236),"")</f>
        <v/>
      </c>
    </row>
    <row r="4242" spans="1:12" ht="18" hidden="1" customHeight="1" x14ac:dyDescent="0.2">
      <c r="A4242" s="11" t="str">
        <f>IF(INPUT!M4237="","",INPUT!M4237)</f>
        <v/>
      </c>
      <c r="B4242" s="11" t="str">
        <f>IF(INPUT!M4237="","",INPUT!M4237-WEEKDAY(INPUT!M4237,2)+1)</f>
        <v/>
      </c>
      <c r="C4242" s="20">
        <f>IFERROR(_xlfn.ISOWEEKNUM(INPUT!M4237),"")</f>
        <v>52</v>
      </c>
      <c r="D4242" s="20">
        <f>IFERROR(YEAR(INPUT!M4237),"")</f>
        <v>1900</v>
      </c>
      <c r="E4242" t="str">
        <f>IF(INPUT!O4237="","",INPUT!O4237)</f>
        <v/>
      </c>
      <c r="F4242" t="str">
        <f>IF(INPUT!N4237="","",INPUT!N4237)</f>
        <v/>
      </c>
      <c r="G4242" cm="1">
        <f t="array" ref="G4242">IFERROR(VLOOKUP(INPUT!M4237&amp;INPUT!N4237,CHOOSE({1,2},INPUT!$A$3:$A$5000&amp;INPUT!$C$3:$C$5000,INPUT!$F$3:$F$5000),2,FALSE),"")</f>
        <v>0</v>
      </c>
      <c r="H4242" cm="1">
        <f t="array" ref="H4242">IFERROR(VLOOKUP(INPUT!M4237&amp;INPUT!N4237,CHOOSE({1,2},INPUT!$A$3:$A$5000&amp;INPUT!$C$3:$C$5000,INPUT!$D$3:$D$5000),2,FALSE),"")</f>
        <v>0</v>
      </c>
      <c r="I4242" s="46" t="str">
        <f>IF(INPUT!P4237="","",INPUT!P4237)</f>
        <v/>
      </c>
      <c r="J4242" s="46" t="str">
        <f>IF(INPUT!Q4237="","",INPUT!Q4237)</f>
        <v/>
      </c>
      <c r="K4242" s="46" t="str">
        <f>IFERROR(IF(OR(INPUT!P4237="",INPUT!Q4237=""),"",INPUT!P4237-INPUT!Q4237),"")</f>
        <v/>
      </c>
      <c r="L4242" s="48" t="str">
        <f>IFERROR(IF(OR(INPUT!P4237="",INPUT!Q4237="",INPUT!P4237=0),"",(INPUT!P4237-INPUT!Q4237)/INPUT!P4237),"")</f>
        <v/>
      </c>
    </row>
    <row r="4243" spans="1:12" ht="18" hidden="1" customHeight="1" x14ac:dyDescent="0.2">
      <c r="A4243" s="11" t="str">
        <f>IF(INPUT!M4238="","",INPUT!M4238)</f>
        <v/>
      </c>
      <c r="B4243" s="11" t="str">
        <f>IF(INPUT!M4238="","",INPUT!M4238-WEEKDAY(INPUT!M4238,2)+1)</f>
        <v/>
      </c>
      <c r="C4243" s="20">
        <f>IFERROR(_xlfn.ISOWEEKNUM(INPUT!M4238),"")</f>
        <v>52</v>
      </c>
      <c r="D4243" s="20">
        <f>IFERROR(YEAR(INPUT!M4238),"")</f>
        <v>1900</v>
      </c>
      <c r="E4243" t="str">
        <f>IF(INPUT!O4238="","",INPUT!O4238)</f>
        <v/>
      </c>
      <c r="F4243" t="str">
        <f>IF(INPUT!N4238="","",INPUT!N4238)</f>
        <v/>
      </c>
      <c r="G4243" cm="1">
        <f t="array" ref="G4243">IFERROR(VLOOKUP(INPUT!M4238&amp;INPUT!N4238,CHOOSE({1,2},INPUT!$A$3:$A$5000&amp;INPUT!$C$3:$C$5000,INPUT!$F$3:$F$5000),2,FALSE),"")</f>
        <v>0</v>
      </c>
      <c r="H4243" cm="1">
        <f t="array" ref="H4243">IFERROR(VLOOKUP(INPUT!M4238&amp;INPUT!N4238,CHOOSE({1,2},INPUT!$A$3:$A$5000&amp;INPUT!$C$3:$C$5000,INPUT!$D$3:$D$5000),2,FALSE),"")</f>
        <v>0</v>
      </c>
      <c r="I4243" s="46" t="str">
        <f>IF(INPUT!P4238="","",INPUT!P4238)</f>
        <v/>
      </c>
      <c r="J4243" s="46" t="str">
        <f>IF(INPUT!Q4238="","",INPUT!Q4238)</f>
        <v/>
      </c>
      <c r="K4243" s="46" t="str">
        <f>IFERROR(IF(OR(INPUT!P4238="",INPUT!Q4238=""),"",INPUT!P4238-INPUT!Q4238),"")</f>
        <v/>
      </c>
      <c r="L4243" s="48" t="str">
        <f>IFERROR(IF(OR(INPUT!P4238="",INPUT!Q4238="",INPUT!P4238=0),"",(INPUT!P4238-INPUT!Q4238)/INPUT!P4238),"")</f>
        <v/>
      </c>
    </row>
    <row r="4244" spans="1:12" ht="18" hidden="1" customHeight="1" x14ac:dyDescent="0.2">
      <c r="A4244" s="11" t="str">
        <f>IF(INPUT!M4239="","",INPUT!M4239)</f>
        <v/>
      </c>
      <c r="B4244" s="11" t="str">
        <f>IF(INPUT!M4239="","",INPUT!M4239-WEEKDAY(INPUT!M4239,2)+1)</f>
        <v/>
      </c>
      <c r="C4244" s="20">
        <f>IFERROR(_xlfn.ISOWEEKNUM(INPUT!M4239),"")</f>
        <v>52</v>
      </c>
      <c r="D4244" s="20">
        <f>IFERROR(YEAR(INPUT!M4239),"")</f>
        <v>1900</v>
      </c>
      <c r="E4244" t="str">
        <f>IF(INPUT!O4239="","",INPUT!O4239)</f>
        <v/>
      </c>
      <c r="F4244" t="str">
        <f>IF(INPUT!N4239="","",INPUT!N4239)</f>
        <v/>
      </c>
      <c r="G4244" cm="1">
        <f t="array" ref="G4244">IFERROR(VLOOKUP(INPUT!M4239&amp;INPUT!N4239,CHOOSE({1,2},INPUT!$A$3:$A$5000&amp;INPUT!$C$3:$C$5000,INPUT!$F$3:$F$5000),2,FALSE),"")</f>
        <v>0</v>
      </c>
      <c r="H4244" cm="1">
        <f t="array" ref="H4244">IFERROR(VLOOKUP(INPUT!M4239&amp;INPUT!N4239,CHOOSE({1,2},INPUT!$A$3:$A$5000&amp;INPUT!$C$3:$C$5000,INPUT!$D$3:$D$5000),2,FALSE),"")</f>
        <v>0</v>
      </c>
      <c r="I4244" s="46" t="str">
        <f>IF(INPUT!P4239="","",INPUT!P4239)</f>
        <v/>
      </c>
      <c r="J4244" s="46" t="str">
        <f>IF(INPUT!Q4239="","",INPUT!Q4239)</f>
        <v/>
      </c>
      <c r="K4244" s="46" t="str">
        <f>IFERROR(IF(OR(INPUT!P4239="",INPUT!Q4239=""),"",INPUT!P4239-INPUT!Q4239),"")</f>
        <v/>
      </c>
      <c r="L4244" s="48" t="str">
        <f>IFERROR(IF(OR(INPUT!P4239="",INPUT!Q4239="",INPUT!P4239=0),"",(INPUT!P4239-INPUT!Q4239)/INPUT!P4239),"")</f>
        <v/>
      </c>
    </row>
    <row r="4245" spans="1:12" ht="18" hidden="1" customHeight="1" x14ac:dyDescent="0.2">
      <c r="A4245" s="11" t="str">
        <f>IF(INPUT!M4240="","",INPUT!M4240)</f>
        <v/>
      </c>
      <c r="B4245" s="11" t="str">
        <f>IF(INPUT!M4240="","",INPUT!M4240-WEEKDAY(INPUT!M4240,2)+1)</f>
        <v/>
      </c>
      <c r="C4245" s="20">
        <f>IFERROR(_xlfn.ISOWEEKNUM(INPUT!M4240),"")</f>
        <v>52</v>
      </c>
      <c r="D4245" s="20">
        <f>IFERROR(YEAR(INPUT!M4240),"")</f>
        <v>1900</v>
      </c>
      <c r="E4245" t="str">
        <f>IF(INPUT!O4240="","",INPUT!O4240)</f>
        <v/>
      </c>
      <c r="F4245" t="str">
        <f>IF(INPUT!N4240="","",INPUT!N4240)</f>
        <v/>
      </c>
      <c r="G4245" cm="1">
        <f t="array" ref="G4245">IFERROR(VLOOKUP(INPUT!M4240&amp;INPUT!N4240,CHOOSE({1,2},INPUT!$A$3:$A$5000&amp;INPUT!$C$3:$C$5000,INPUT!$F$3:$F$5000),2,FALSE),"")</f>
        <v>0</v>
      </c>
      <c r="H4245" cm="1">
        <f t="array" ref="H4245">IFERROR(VLOOKUP(INPUT!M4240&amp;INPUT!N4240,CHOOSE({1,2},INPUT!$A$3:$A$5000&amp;INPUT!$C$3:$C$5000,INPUT!$D$3:$D$5000),2,FALSE),"")</f>
        <v>0</v>
      </c>
      <c r="I4245" s="46" t="str">
        <f>IF(INPUT!P4240="","",INPUT!P4240)</f>
        <v/>
      </c>
      <c r="J4245" s="46" t="str">
        <f>IF(INPUT!Q4240="","",INPUT!Q4240)</f>
        <v/>
      </c>
      <c r="K4245" s="46" t="str">
        <f>IFERROR(IF(OR(INPUT!P4240="",INPUT!Q4240=""),"",INPUT!P4240-INPUT!Q4240),"")</f>
        <v/>
      </c>
      <c r="L4245" s="48" t="str">
        <f>IFERROR(IF(OR(INPUT!P4240="",INPUT!Q4240="",INPUT!P4240=0),"",(INPUT!P4240-INPUT!Q4240)/INPUT!P4240),"")</f>
        <v/>
      </c>
    </row>
    <row r="4246" spans="1:12" ht="18" hidden="1" customHeight="1" x14ac:dyDescent="0.2">
      <c r="A4246" s="11" t="str">
        <f>IF(INPUT!M4241="","",INPUT!M4241)</f>
        <v/>
      </c>
      <c r="B4246" s="11" t="str">
        <f>IF(INPUT!M4241="","",INPUT!M4241-WEEKDAY(INPUT!M4241,2)+1)</f>
        <v/>
      </c>
      <c r="C4246" s="20">
        <f>IFERROR(_xlfn.ISOWEEKNUM(INPUT!M4241),"")</f>
        <v>52</v>
      </c>
      <c r="D4246" s="20">
        <f>IFERROR(YEAR(INPUT!M4241),"")</f>
        <v>1900</v>
      </c>
      <c r="E4246" t="str">
        <f>IF(INPUT!O4241="","",INPUT!O4241)</f>
        <v/>
      </c>
      <c r="F4246" t="str">
        <f>IF(INPUT!N4241="","",INPUT!N4241)</f>
        <v/>
      </c>
      <c r="G4246" cm="1">
        <f t="array" ref="G4246">IFERROR(VLOOKUP(INPUT!M4241&amp;INPUT!N4241,CHOOSE({1,2},INPUT!$A$3:$A$5000&amp;INPUT!$C$3:$C$5000,INPUT!$F$3:$F$5000),2,FALSE),"")</f>
        <v>0</v>
      </c>
      <c r="H4246" cm="1">
        <f t="array" ref="H4246">IFERROR(VLOOKUP(INPUT!M4241&amp;INPUT!N4241,CHOOSE({1,2},INPUT!$A$3:$A$5000&amp;INPUT!$C$3:$C$5000,INPUT!$D$3:$D$5000),2,FALSE),"")</f>
        <v>0</v>
      </c>
      <c r="I4246" s="46" t="str">
        <f>IF(INPUT!P4241="","",INPUT!P4241)</f>
        <v/>
      </c>
      <c r="J4246" s="46" t="str">
        <f>IF(INPUT!Q4241="","",INPUT!Q4241)</f>
        <v/>
      </c>
      <c r="K4246" s="46" t="str">
        <f>IFERROR(IF(OR(INPUT!P4241="",INPUT!Q4241=""),"",INPUT!P4241-INPUT!Q4241),"")</f>
        <v/>
      </c>
      <c r="L4246" s="48" t="str">
        <f>IFERROR(IF(OR(INPUT!P4241="",INPUT!Q4241="",INPUT!P4241=0),"",(INPUT!P4241-INPUT!Q4241)/INPUT!P4241),"")</f>
        <v/>
      </c>
    </row>
    <row r="4247" spans="1:12" ht="18" hidden="1" customHeight="1" x14ac:dyDescent="0.2">
      <c r="A4247" s="11" t="str">
        <f>IF(INPUT!M4242="","",INPUT!M4242)</f>
        <v/>
      </c>
      <c r="B4247" s="11" t="str">
        <f>IF(INPUT!M4242="","",INPUT!M4242-WEEKDAY(INPUT!M4242,2)+1)</f>
        <v/>
      </c>
      <c r="C4247" s="20">
        <f>IFERROR(_xlfn.ISOWEEKNUM(INPUT!M4242),"")</f>
        <v>52</v>
      </c>
      <c r="D4247" s="20">
        <f>IFERROR(YEAR(INPUT!M4242),"")</f>
        <v>1900</v>
      </c>
      <c r="E4247" t="str">
        <f>IF(INPUT!O4242="","",INPUT!O4242)</f>
        <v/>
      </c>
      <c r="F4247" t="str">
        <f>IF(INPUT!N4242="","",INPUT!N4242)</f>
        <v/>
      </c>
      <c r="G4247" cm="1">
        <f t="array" ref="G4247">IFERROR(VLOOKUP(INPUT!M4242&amp;INPUT!N4242,CHOOSE({1,2},INPUT!$A$3:$A$5000&amp;INPUT!$C$3:$C$5000,INPUT!$F$3:$F$5000),2,FALSE),"")</f>
        <v>0</v>
      </c>
      <c r="H4247" cm="1">
        <f t="array" ref="H4247">IFERROR(VLOOKUP(INPUT!M4242&amp;INPUT!N4242,CHOOSE({1,2},INPUT!$A$3:$A$5000&amp;INPUT!$C$3:$C$5000,INPUT!$D$3:$D$5000),2,FALSE),"")</f>
        <v>0</v>
      </c>
      <c r="I4247" s="46" t="str">
        <f>IF(INPUT!P4242="","",INPUT!P4242)</f>
        <v/>
      </c>
      <c r="J4247" s="46" t="str">
        <f>IF(INPUT!Q4242="","",INPUT!Q4242)</f>
        <v/>
      </c>
      <c r="K4247" s="46" t="str">
        <f>IFERROR(IF(OR(INPUT!P4242="",INPUT!Q4242=""),"",INPUT!P4242-INPUT!Q4242),"")</f>
        <v/>
      </c>
      <c r="L4247" s="48" t="str">
        <f>IFERROR(IF(OR(INPUT!P4242="",INPUT!Q4242="",INPUT!P4242=0),"",(INPUT!P4242-INPUT!Q4242)/INPUT!P4242),"")</f>
        <v/>
      </c>
    </row>
    <row r="4248" spans="1:12" ht="18" hidden="1" customHeight="1" x14ac:dyDescent="0.2">
      <c r="A4248" s="11" t="str">
        <f>IF(INPUT!M4243="","",INPUT!M4243)</f>
        <v/>
      </c>
      <c r="B4248" s="11" t="str">
        <f>IF(INPUT!M4243="","",INPUT!M4243-WEEKDAY(INPUT!M4243,2)+1)</f>
        <v/>
      </c>
      <c r="C4248" s="20">
        <f>IFERROR(_xlfn.ISOWEEKNUM(INPUT!M4243),"")</f>
        <v>52</v>
      </c>
      <c r="D4248" s="20">
        <f>IFERROR(YEAR(INPUT!M4243),"")</f>
        <v>1900</v>
      </c>
      <c r="E4248" t="str">
        <f>IF(INPUT!O4243="","",INPUT!O4243)</f>
        <v/>
      </c>
      <c r="F4248" t="str">
        <f>IF(INPUT!N4243="","",INPUT!N4243)</f>
        <v/>
      </c>
      <c r="G4248" cm="1">
        <f t="array" ref="G4248">IFERROR(VLOOKUP(INPUT!M4243&amp;INPUT!N4243,CHOOSE({1,2},INPUT!$A$3:$A$5000&amp;INPUT!$C$3:$C$5000,INPUT!$F$3:$F$5000),2,FALSE),"")</f>
        <v>0</v>
      </c>
      <c r="H4248" cm="1">
        <f t="array" ref="H4248">IFERROR(VLOOKUP(INPUT!M4243&amp;INPUT!N4243,CHOOSE({1,2},INPUT!$A$3:$A$5000&amp;INPUT!$C$3:$C$5000,INPUT!$D$3:$D$5000),2,FALSE),"")</f>
        <v>0</v>
      </c>
      <c r="I4248" s="46" t="str">
        <f>IF(INPUT!P4243="","",INPUT!P4243)</f>
        <v/>
      </c>
      <c r="J4248" s="46" t="str">
        <f>IF(INPUT!Q4243="","",INPUT!Q4243)</f>
        <v/>
      </c>
      <c r="K4248" s="46" t="str">
        <f>IFERROR(IF(OR(INPUT!P4243="",INPUT!Q4243=""),"",INPUT!P4243-INPUT!Q4243),"")</f>
        <v/>
      </c>
      <c r="L4248" s="48" t="str">
        <f>IFERROR(IF(OR(INPUT!P4243="",INPUT!Q4243="",INPUT!P4243=0),"",(INPUT!P4243-INPUT!Q4243)/INPUT!P4243),"")</f>
        <v/>
      </c>
    </row>
    <row r="4249" spans="1:12" ht="18" hidden="1" customHeight="1" x14ac:dyDescent="0.2">
      <c r="A4249" s="11" t="str">
        <f>IF(INPUT!M4244="","",INPUT!M4244)</f>
        <v/>
      </c>
      <c r="B4249" s="11" t="str">
        <f>IF(INPUT!M4244="","",INPUT!M4244-WEEKDAY(INPUT!M4244,2)+1)</f>
        <v/>
      </c>
      <c r="C4249" s="20">
        <f>IFERROR(_xlfn.ISOWEEKNUM(INPUT!M4244),"")</f>
        <v>52</v>
      </c>
      <c r="D4249" s="20">
        <f>IFERROR(YEAR(INPUT!M4244),"")</f>
        <v>1900</v>
      </c>
      <c r="E4249" t="str">
        <f>IF(INPUT!O4244="","",INPUT!O4244)</f>
        <v/>
      </c>
      <c r="F4249" t="str">
        <f>IF(INPUT!N4244="","",INPUT!N4244)</f>
        <v/>
      </c>
      <c r="G4249" cm="1">
        <f t="array" ref="G4249">IFERROR(VLOOKUP(INPUT!M4244&amp;INPUT!N4244,CHOOSE({1,2},INPUT!$A$3:$A$5000&amp;INPUT!$C$3:$C$5000,INPUT!$F$3:$F$5000),2,FALSE),"")</f>
        <v>0</v>
      </c>
      <c r="H4249" cm="1">
        <f t="array" ref="H4249">IFERROR(VLOOKUP(INPUT!M4244&amp;INPUT!N4244,CHOOSE({1,2},INPUT!$A$3:$A$5000&amp;INPUT!$C$3:$C$5000,INPUT!$D$3:$D$5000),2,FALSE),"")</f>
        <v>0</v>
      </c>
      <c r="I4249" s="46" t="str">
        <f>IF(INPUT!P4244="","",INPUT!P4244)</f>
        <v/>
      </c>
      <c r="J4249" s="46" t="str">
        <f>IF(INPUT!Q4244="","",INPUT!Q4244)</f>
        <v/>
      </c>
      <c r="K4249" s="46" t="str">
        <f>IFERROR(IF(OR(INPUT!P4244="",INPUT!Q4244=""),"",INPUT!P4244-INPUT!Q4244),"")</f>
        <v/>
      </c>
      <c r="L4249" s="48" t="str">
        <f>IFERROR(IF(OR(INPUT!P4244="",INPUT!Q4244="",INPUT!P4244=0),"",(INPUT!P4244-INPUT!Q4244)/INPUT!P4244),"")</f>
        <v/>
      </c>
    </row>
    <row r="4250" spans="1:12" ht="18" hidden="1" customHeight="1" x14ac:dyDescent="0.2">
      <c r="A4250" s="11" t="str">
        <f>IF(INPUT!M4245="","",INPUT!M4245)</f>
        <v/>
      </c>
      <c r="B4250" s="11" t="str">
        <f>IF(INPUT!M4245="","",INPUT!M4245-WEEKDAY(INPUT!M4245,2)+1)</f>
        <v/>
      </c>
      <c r="C4250" s="20">
        <f>IFERROR(_xlfn.ISOWEEKNUM(INPUT!M4245),"")</f>
        <v>52</v>
      </c>
      <c r="D4250" s="20">
        <f>IFERROR(YEAR(INPUT!M4245),"")</f>
        <v>1900</v>
      </c>
      <c r="E4250" t="str">
        <f>IF(INPUT!O4245="","",INPUT!O4245)</f>
        <v/>
      </c>
      <c r="F4250" t="str">
        <f>IF(INPUT!N4245="","",INPUT!N4245)</f>
        <v/>
      </c>
      <c r="G4250" cm="1">
        <f t="array" ref="G4250">IFERROR(VLOOKUP(INPUT!M4245&amp;INPUT!N4245,CHOOSE({1,2},INPUT!$A$3:$A$5000&amp;INPUT!$C$3:$C$5000,INPUT!$F$3:$F$5000),2,FALSE),"")</f>
        <v>0</v>
      </c>
      <c r="H4250" cm="1">
        <f t="array" ref="H4250">IFERROR(VLOOKUP(INPUT!M4245&amp;INPUT!N4245,CHOOSE({1,2},INPUT!$A$3:$A$5000&amp;INPUT!$C$3:$C$5000,INPUT!$D$3:$D$5000),2,FALSE),"")</f>
        <v>0</v>
      </c>
      <c r="I4250" s="46" t="str">
        <f>IF(INPUT!P4245="","",INPUT!P4245)</f>
        <v/>
      </c>
      <c r="J4250" s="46" t="str">
        <f>IF(INPUT!Q4245="","",INPUT!Q4245)</f>
        <v/>
      </c>
      <c r="K4250" s="46" t="str">
        <f>IFERROR(IF(OR(INPUT!P4245="",INPUT!Q4245=""),"",INPUT!P4245-INPUT!Q4245),"")</f>
        <v/>
      </c>
      <c r="L4250" s="48" t="str">
        <f>IFERROR(IF(OR(INPUT!P4245="",INPUT!Q4245="",INPUT!P4245=0),"",(INPUT!P4245-INPUT!Q4245)/INPUT!P4245),"")</f>
        <v/>
      </c>
    </row>
    <row r="4251" spans="1:12" ht="18" hidden="1" customHeight="1" x14ac:dyDescent="0.2">
      <c r="A4251" s="11" t="str">
        <f>IF(INPUT!M4246="","",INPUT!M4246)</f>
        <v/>
      </c>
      <c r="B4251" s="11" t="str">
        <f>IF(INPUT!M4246="","",INPUT!M4246-WEEKDAY(INPUT!M4246,2)+1)</f>
        <v/>
      </c>
      <c r="C4251" s="20">
        <f>IFERROR(_xlfn.ISOWEEKNUM(INPUT!M4246),"")</f>
        <v>52</v>
      </c>
      <c r="D4251" s="20">
        <f>IFERROR(YEAR(INPUT!M4246),"")</f>
        <v>1900</v>
      </c>
      <c r="E4251" t="str">
        <f>IF(INPUT!O4246="","",INPUT!O4246)</f>
        <v/>
      </c>
      <c r="F4251" t="str">
        <f>IF(INPUT!N4246="","",INPUT!N4246)</f>
        <v/>
      </c>
      <c r="G4251" cm="1">
        <f t="array" ref="G4251">IFERROR(VLOOKUP(INPUT!M4246&amp;INPUT!N4246,CHOOSE({1,2},INPUT!$A$3:$A$5000&amp;INPUT!$C$3:$C$5000,INPUT!$F$3:$F$5000),2,FALSE),"")</f>
        <v>0</v>
      </c>
      <c r="H4251" cm="1">
        <f t="array" ref="H4251">IFERROR(VLOOKUP(INPUT!M4246&amp;INPUT!N4246,CHOOSE({1,2},INPUT!$A$3:$A$5000&amp;INPUT!$C$3:$C$5000,INPUT!$D$3:$D$5000),2,FALSE),"")</f>
        <v>0</v>
      </c>
      <c r="I4251" s="46" t="str">
        <f>IF(INPUT!P4246="","",INPUT!P4246)</f>
        <v/>
      </c>
      <c r="J4251" s="46" t="str">
        <f>IF(INPUT!Q4246="","",INPUT!Q4246)</f>
        <v/>
      </c>
      <c r="K4251" s="46" t="str">
        <f>IFERROR(IF(OR(INPUT!P4246="",INPUT!Q4246=""),"",INPUT!P4246-INPUT!Q4246),"")</f>
        <v/>
      </c>
      <c r="L4251" s="48" t="str">
        <f>IFERROR(IF(OR(INPUT!P4246="",INPUT!Q4246="",INPUT!P4246=0),"",(INPUT!P4246-INPUT!Q4246)/INPUT!P4246),"")</f>
        <v/>
      </c>
    </row>
    <row r="4252" spans="1:12" ht="18" hidden="1" customHeight="1" x14ac:dyDescent="0.2">
      <c r="A4252" s="11" t="str">
        <f>IF(INPUT!M4247="","",INPUT!M4247)</f>
        <v/>
      </c>
      <c r="B4252" s="11" t="str">
        <f>IF(INPUT!M4247="","",INPUT!M4247-WEEKDAY(INPUT!M4247,2)+1)</f>
        <v/>
      </c>
      <c r="C4252" s="20">
        <f>IFERROR(_xlfn.ISOWEEKNUM(INPUT!M4247),"")</f>
        <v>52</v>
      </c>
      <c r="D4252" s="20">
        <f>IFERROR(YEAR(INPUT!M4247),"")</f>
        <v>1900</v>
      </c>
      <c r="E4252" t="str">
        <f>IF(INPUT!O4247="","",INPUT!O4247)</f>
        <v/>
      </c>
      <c r="F4252" t="str">
        <f>IF(INPUT!N4247="","",INPUT!N4247)</f>
        <v/>
      </c>
      <c r="G4252" cm="1">
        <f t="array" ref="G4252">IFERROR(VLOOKUP(INPUT!M4247&amp;INPUT!N4247,CHOOSE({1,2},INPUT!$A$3:$A$5000&amp;INPUT!$C$3:$C$5000,INPUT!$F$3:$F$5000),2,FALSE),"")</f>
        <v>0</v>
      </c>
      <c r="H4252" cm="1">
        <f t="array" ref="H4252">IFERROR(VLOOKUP(INPUT!M4247&amp;INPUT!N4247,CHOOSE({1,2},INPUT!$A$3:$A$5000&amp;INPUT!$C$3:$C$5000,INPUT!$D$3:$D$5000),2,FALSE),"")</f>
        <v>0</v>
      </c>
      <c r="I4252" s="46" t="str">
        <f>IF(INPUT!P4247="","",INPUT!P4247)</f>
        <v/>
      </c>
      <c r="J4252" s="46" t="str">
        <f>IF(INPUT!Q4247="","",INPUT!Q4247)</f>
        <v/>
      </c>
      <c r="K4252" s="46" t="str">
        <f>IFERROR(IF(OR(INPUT!P4247="",INPUT!Q4247=""),"",INPUT!P4247-INPUT!Q4247),"")</f>
        <v/>
      </c>
      <c r="L4252" s="48" t="str">
        <f>IFERROR(IF(OR(INPUT!P4247="",INPUT!Q4247="",INPUT!P4247=0),"",(INPUT!P4247-INPUT!Q4247)/INPUT!P4247),"")</f>
        <v/>
      </c>
    </row>
    <row r="4253" spans="1:12" ht="18" hidden="1" customHeight="1" x14ac:dyDescent="0.2">
      <c r="A4253" s="11" t="str">
        <f>IF(INPUT!M4248="","",INPUT!M4248)</f>
        <v/>
      </c>
      <c r="B4253" s="11" t="str">
        <f>IF(INPUT!M4248="","",INPUT!M4248-WEEKDAY(INPUT!M4248,2)+1)</f>
        <v/>
      </c>
      <c r="C4253" s="20">
        <f>IFERROR(_xlfn.ISOWEEKNUM(INPUT!M4248),"")</f>
        <v>52</v>
      </c>
      <c r="D4253" s="20">
        <f>IFERROR(YEAR(INPUT!M4248),"")</f>
        <v>1900</v>
      </c>
      <c r="E4253" t="str">
        <f>IF(INPUT!O4248="","",INPUT!O4248)</f>
        <v/>
      </c>
      <c r="F4253" t="str">
        <f>IF(INPUT!N4248="","",INPUT!N4248)</f>
        <v/>
      </c>
      <c r="G4253" cm="1">
        <f t="array" ref="G4253">IFERROR(VLOOKUP(INPUT!M4248&amp;INPUT!N4248,CHOOSE({1,2},INPUT!$A$3:$A$5000&amp;INPUT!$C$3:$C$5000,INPUT!$F$3:$F$5000),2,FALSE),"")</f>
        <v>0</v>
      </c>
      <c r="H4253" cm="1">
        <f t="array" ref="H4253">IFERROR(VLOOKUP(INPUT!M4248&amp;INPUT!N4248,CHOOSE({1,2},INPUT!$A$3:$A$5000&amp;INPUT!$C$3:$C$5000,INPUT!$D$3:$D$5000),2,FALSE),"")</f>
        <v>0</v>
      </c>
      <c r="I4253" s="46" t="str">
        <f>IF(INPUT!P4248="","",INPUT!P4248)</f>
        <v/>
      </c>
      <c r="J4253" s="46" t="str">
        <f>IF(INPUT!Q4248="","",INPUT!Q4248)</f>
        <v/>
      </c>
      <c r="K4253" s="46" t="str">
        <f>IFERROR(IF(OR(INPUT!P4248="",INPUT!Q4248=""),"",INPUT!P4248-INPUT!Q4248),"")</f>
        <v/>
      </c>
      <c r="L4253" s="48" t="str">
        <f>IFERROR(IF(OR(INPUT!P4248="",INPUT!Q4248="",INPUT!P4248=0),"",(INPUT!P4248-INPUT!Q4248)/INPUT!P4248),"")</f>
        <v/>
      </c>
    </row>
    <row r="4254" spans="1:12" ht="18" hidden="1" customHeight="1" x14ac:dyDescent="0.2">
      <c r="A4254" s="11" t="str">
        <f>IF(INPUT!M4249="","",INPUT!M4249)</f>
        <v/>
      </c>
      <c r="B4254" s="11" t="str">
        <f>IF(INPUT!M4249="","",INPUT!M4249-WEEKDAY(INPUT!M4249,2)+1)</f>
        <v/>
      </c>
      <c r="C4254" s="20">
        <f>IFERROR(_xlfn.ISOWEEKNUM(INPUT!M4249),"")</f>
        <v>52</v>
      </c>
      <c r="D4254" s="20">
        <f>IFERROR(YEAR(INPUT!M4249),"")</f>
        <v>1900</v>
      </c>
      <c r="E4254" t="str">
        <f>IF(INPUT!O4249="","",INPUT!O4249)</f>
        <v/>
      </c>
      <c r="F4254" t="str">
        <f>IF(INPUT!N4249="","",INPUT!N4249)</f>
        <v/>
      </c>
      <c r="G4254" cm="1">
        <f t="array" ref="G4254">IFERROR(VLOOKUP(INPUT!M4249&amp;INPUT!N4249,CHOOSE({1,2},INPUT!$A$3:$A$5000&amp;INPUT!$C$3:$C$5000,INPUT!$F$3:$F$5000),2,FALSE),"")</f>
        <v>0</v>
      </c>
      <c r="H4254" cm="1">
        <f t="array" ref="H4254">IFERROR(VLOOKUP(INPUT!M4249&amp;INPUT!N4249,CHOOSE({1,2},INPUT!$A$3:$A$5000&amp;INPUT!$C$3:$C$5000,INPUT!$D$3:$D$5000),2,FALSE),"")</f>
        <v>0</v>
      </c>
      <c r="I4254" s="46" t="str">
        <f>IF(INPUT!P4249="","",INPUT!P4249)</f>
        <v/>
      </c>
      <c r="J4254" s="46" t="str">
        <f>IF(INPUT!Q4249="","",INPUT!Q4249)</f>
        <v/>
      </c>
      <c r="K4254" s="46" t="str">
        <f>IFERROR(IF(OR(INPUT!P4249="",INPUT!Q4249=""),"",INPUT!P4249-INPUT!Q4249),"")</f>
        <v/>
      </c>
      <c r="L4254" s="48" t="str">
        <f>IFERROR(IF(OR(INPUT!P4249="",INPUT!Q4249="",INPUT!P4249=0),"",(INPUT!P4249-INPUT!Q4249)/INPUT!P4249),"")</f>
        <v/>
      </c>
    </row>
    <row r="4255" spans="1:12" ht="18" hidden="1" customHeight="1" x14ac:dyDescent="0.2">
      <c r="A4255" s="11" t="str">
        <f>IF(INPUT!M4250="","",INPUT!M4250)</f>
        <v/>
      </c>
      <c r="B4255" s="11" t="str">
        <f>IF(INPUT!M4250="","",INPUT!M4250-WEEKDAY(INPUT!M4250,2)+1)</f>
        <v/>
      </c>
      <c r="C4255" s="20">
        <f>IFERROR(_xlfn.ISOWEEKNUM(INPUT!M4250),"")</f>
        <v>52</v>
      </c>
      <c r="D4255" s="20">
        <f>IFERROR(YEAR(INPUT!M4250),"")</f>
        <v>1900</v>
      </c>
      <c r="E4255" t="str">
        <f>IF(INPUT!O4250="","",INPUT!O4250)</f>
        <v/>
      </c>
      <c r="F4255" t="str">
        <f>IF(INPUT!N4250="","",INPUT!N4250)</f>
        <v/>
      </c>
      <c r="G4255" cm="1">
        <f t="array" ref="G4255">IFERROR(VLOOKUP(INPUT!M4250&amp;INPUT!N4250,CHOOSE({1,2},INPUT!$A$3:$A$5000&amp;INPUT!$C$3:$C$5000,INPUT!$F$3:$F$5000),2,FALSE),"")</f>
        <v>0</v>
      </c>
      <c r="H4255" cm="1">
        <f t="array" ref="H4255">IFERROR(VLOOKUP(INPUT!M4250&amp;INPUT!N4250,CHOOSE({1,2},INPUT!$A$3:$A$5000&amp;INPUT!$C$3:$C$5000,INPUT!$D$3:$D$5000),2,FALSE),"")</f>
        <v>0</v>
      </c>
      <c r="I4255" s="46" t="str">
        <f>IF(INPUT!P4250="","",INPUT!P4250)</f>
        <v/>
      </c>
      <c r="J4255" s="46" t="str">
        <f>IF(INPUT!Q4250="","",INPUT!Q4250)</f>
        <v/>
      </c>
      <c r="K4255" s="46" t="str">
        <f>IFERROR(IF(OR(INPUT!P4250="",INPUT!Q4250=""),"",INPUT!P4250-INPUT!Q4250),"")</f>
        <v/>
      </c>
      <c r="L4255" s="48" t="str">
        <f>IFERROR(IF(OR(INPUT!P4250="",INPUT!Q4250="",INPUT!P4250=0),"",(INPUT!P4250-INPUT!Q4250)/INPUT!P4250),"")</f>
        <v/>
      </c>
    </row>
    <row r="4256" spans="1:12" ht="18" hidden="1" customHeight="1" x14ac:dyDescent="0.2">
      <c r="A4256" s="11" t="str">
        <f>IF(INPUT!M4251="","",INPUT!M4251)</f>
        <v/>
      </c>
      <c r="B4256" s="11" t="str">
        <f>IF(INPUT!M4251="","",INPUT!M4251-WEEKDAY(INPUT!M4251,2)+1)</f>
        <v/>
      </c>
      <c r="C4256" s="20">
        <f>IFERROR(_xlfn.ISOWEEKNUM(INPUT!M4251),"")</f>
        <v>52</v>
      </c>
      <c r="D4256" s="20">
        <f>IFERROR(YEAR(INPUT!M4251),"")</f>
        <v>1900</v>
      </c>
      <c r="E4256" t="str">
        <f>IF(INPUT!O4251="","",INPUT!O4251)</f>
        <v/>
      </c>
      <c r="F4256" t="str">
        <f>IF(INPUT!N4251="","",INPUT!N4251)</f>
        <v/>
      </c>
      <c r="G4256" cm="1">
        <f t="array" ref="G4256">IFERROR(VLOOKUP(INPUT!M4251&amp;INPUT!N4251,CHOOSE({1,2},INPUT!$A$3:$A$5000&amp;INPUT!$C$3:$C$5000,INPUT!$F$3:$F$5000),2,FALSE),"")</f>
        <v>0</v>
      </c>
      <c r="H4256" cm="1">
        <f t="array" ref="H4256">IFERROR(VLOOKUP(INPUT!M4251&amp;INPUT!N4251,CHOOSE({1,2},INPUT!$A$3:$A$5000&amp;INPUT!$C$3:$C$5000,INPUT!$D$3:$D$5000),2,FALSE),"")</f>
        <v>0</v>
      </c>
      <c r="I4256" s="46" t="str">
        <f>IF(INPUT!P4251="","",INPUT!P4251)</f>
        <v/>
      </c>
      <c r="J4256" s="46" t="str">
        <f>IF(INPUT!Q4251="","",INPUT!Q4251)</f>
        <v/>
      </c>
      <c r="K4256" s="46" t="str">
        <f>IFERROR(IF(OR(INPUT!P4251="",INPUT!Q4251=""),"",INPUT!P4251-INPUT!Q4251),"")</f>
        <v/>
      </c>
      <c r="L4256" s="48" t="str">
        <f>IFERROR(IF(OR(INPUT!P4251="",INPUT!Q4251="",INPUT!P4251=0),"",(INPUT!P4251-INPUT!Q4251)/INPUT!P4251),"")</f>
        <v/>
      </c>
    </row>
    <row r="4257" spans="1:12" ht="18" hidden="1" customHeight="1" x14ac:dyDescent="0.2">
      <c r="A4257" s="11" t="str">
        <f>IF(INPUT!M4252="","",INPUT!M4252)</f>
        <v/>
      </c>
      <c r="B4257" s="11" t="str">
        <f>IF(INPUT!M4252="","",INPUT!M4252-WEEKDAY(INPUT!M4252,2)+1)</f>
        <v/>
      </c>
      <c r="C4257" s="20">
        <f>IFERROR(_xlfn.ISOWEEKNUM(INPUT!M4252),"")</f>
        <v>52</v>
      </c>
      <c r="D4257" s="20">
        <f>IFERROR(YEAR(INPUT!M4252),"")</f>
        <v>1900</v>
      </c>
      <c r="E4257" t="str">
        <f>IF(INPUT!O4252="","",INPUT!O4252)</f>
        <v/>
      </c>
      <c r="F4257" t="str">
        <f>IF(INPUT!N4252="","",INPUT!N4252)</f>
        <v/>
      </c>
      <c r="G4257" cm="1">
        <f t="array" ref="G4257">IFERROR(VLOOKUP(INPUT!M4252&amp;INPUT!N4252,CHOOSE({1,2},INPUT!$A$3:$A$5000&amp;INPUT!$C$3:$C$5000,INPUT!$F$3:$F$5000),2,FALSE),"")</f>
        <v>0</v>
      </c>
      <c r="H4257" cm="1">
        <f t="array" ref="H4257">IFERROR(VLOOKUP(INPUT!M4252&amp;INPUT!N4252,CHOOSE({1,2},INPUT!$A$3:$A$5000&amp;INPUT!$C$3:$C$5000,INPUT!$D$3:$D$5000),2,FALSE),"")</f>
        <v>0</v>
      </c>
      <c r="I4257" s="46" t="str">
        <f>IF(INPUT!P4252="","",INPUT!P4252)</f>
        <v/>
      </c>
      <c r="J4257" s="46" t="str">
        <f>IF(INPUT!Q4252="","",INPUT!Q4252)</f>
        <v/>
      </c>
      <c r="K4257" s="46" t="str">
        <f>IFERROR(IF(OR(INPUT!P4252="",INPUT!Q4252=""),"",INPUT!P4252-INPUT!Q4252),"")</f>
        <v/>
      </c>
      <c r="L4257" s="48" t="str">
        <f>IFERROR(IF(OR(INPUT!P4252="",INPUT!Q4252="",INPUT!P4252=0),"",(INPUT!P4252-INPUT!Q4252)/INPUT!P4252),"")</f>
        <v/>
      </c>
    </row>
    <row r="4258" spans="1:12" ht="18" hidden="1" customHeight="1" x14ac:dyDescent="0.2">
      <c r="A4258" s="11" t="str">
        <f>IF(INPUT!M4253="","",INPUT!M4253)</f>
        <v/>
      </c>
      <c r="B4258" s="11" t="str">
        <f>IF(INPUT!M4253="","",INPUT!M4253-WEEKDAY(INPUT!M4253,2)+1)</f>
        <v/>
      </c>
      <c r="C4258" s="20">
        <f>IFERROR(_xlfn.ISOWEEKNUM(INPUT!M4253),"")</f>
        <v>52</v>
      </c>
      <c r="D4258" s="20">
        <f>IFERROR(YEAR(INPUT!M4253),"")</f>
        <v>1900</v>
      </c>
      <c r="E4258" t="str">
        <f>IF(INPUT!O4253="","",INPUT!O4253)</f>
        <v/>
      </c>
      <c r="F4258" t="str">
        <f>IF(INPUT!N4253="","",INPUT!N4253)</f>
        <v/>
      </c>
      <c r="G4258" cm="1">
        <f t="array" ref="G4258">IFERROR(VLOOKUP(INPUT!M4253&amp;INPUT!N4253,CHOOSE({1,2},INPUT!$A$3:$A$5000&amp;INPUT!$C$3:$C$5000,INPUT!$F$3:$F$5000),2,FALSE),"")</f>
        <v>0</v>
      </c>
      <c r="H4258" cm="1">
        <f t="array" ref="H4258">IFERROR(VLOOKUP(INPUT!M4253&amp;INPUT!N4253,CHOOSE({1,2},INPUT!$A$3:$A$5000&amp;INPUT!$C$3:$C$5000,INPUT!$D$3:$D$5000),2,FALSE),"")</f>
        <v>0</v>
      </c>
      <c r="I4258" s="46" t="str">
        <f>IF(INPUT!P4253="","",INPUT!P4253)</f>
        <v/>
      </c>
      <c r="J4258" s="46" t="str">
        <f>IF(INPUT!Q4253="","",INPUT!Q4253)</f>
        <v/>
      </c>
      <c r="K4258" s="46" t="str">
        <f>IFERROR(IF(OR(INPUT!P4253="",INPUT!Q4253=""),"",INPUT!P4253-INPUT!Q4253),"")</f>
        <v/>
      </c>
      <c r="L4258" s="48" t="str">
        <f>IFERROR(IF(OR(INPUT!P4253="",INPUT!Q4253="",INPUT!P4253=0),"",(INPUT!P4253-INPUT!Q4253)/INPUT!P4253),"")</f>
        <v/>
      </c>
    </row>
    <row r="4259" spans="1:12" ht="18" hidden="1" customHeight="1" x14ac:dyDescent="0.2">
      <c r="A4259" s="11" t="str">
        <f>IF(INPUT!M4254="","",INPUT!M4254)</f>
        <v/>
      </c>
      <c r="B4259" s="11" t="str">
        <f>IF(INPUT!M4254="","",INPUT!M4254-WEEKDAY(INPUT!M4254,2)+1)</f>
        <v/>
      </c>
      <c r="C4259" s="20">
        <f>IFERROR(_xlfn.ISOWEEKNUM(INPUT!M4254),"")</f>
        <v>52</v>
      </c>
      <c r="D4259" s="20">
        <f>IFERROR(YEAR(INPUT!M4254),"")</f>
        <v>1900</v>
      </c>
      <c r="E4259" t="str">
        <f>IF(INPUT!O4254="","",INPUT!O4254)</f>
        <v/>
      </c>
      <c r="F4259" t="str">
        <f>IF(INPUT!N4254="","",INPUT!N4254)</f>
        <v/>
      </c>
      <c r="G4259" cm="1">
        <f t="array" ref="G4259">IFERROR(VLOOKUP(INPUT!M4254&amp;INPUT!N4254,CHOOSE({1,2},INPUT!$A$3:$A$5000&amp;INPUT!$C$3:$C$5000,INPUT!$F$3:$F$5000),2,FALSE),"")</f>
        <v>0</v>
      </c>
      <c r="H4259" cm="1">
        <f t="array" ref="H4259">IFERROR(VLOOKUP(INPUT!M4254&amp;INPUT!N4254,CHOOSE({1,2},INPUT!$A$3:$A$5000&amp;INPUT!$C$3:$C$5000,INPUT!$D$3:$D$5000),2,FALSE),"")</f>
        <v>0</v>
      </c>
      <c r="I4259" s="46" t="str">
        <f>IF(INPUT!P4254="","",INPUT!P4254)</f>
        <v/>
      </c>
      <c r="J4259" s="46" t="str">
        <f>IF(INPUT!Q4254="","",INPUT!Q4254)</f>
        <v/>
      </c>
      <c r="K4259" s="46" t="str">
        <f>IFERROR(IF(OR(INPUT!P4254="",INPUT!Q4254=""),"",INPUT!P4254-INPUT!Q4254),"")</f>
        <v/>
      </c>
      <c r="L4259" s="48" t="str">
        <f>IFERROR(IF(OR(INPUT!P4254="",INPUT!Q4254="",INPUT!P4254=0),"",(INPUT!P4254-INPUT!Q4254)/INPUT!P4254),"")</f>
        <v/>
      </c>
    </row>
    <row r="4260" spans="1:12" ht="18" hidden="1" customHeight="1" x14ac:dyDescent="0.2">
      <c r="A4260" s="11" t="str">
        <f>IF(INPUT!M4255="","",INPUT!M4255)</f>
        <v/>
      </c>
      <c r="B4260" s="11" t="str">
        <f>IF(INPUT!M4255="","",INPUT!M4255-WEEKDAY(INPUT!M4255,2)+1)</f>
        <v/>
      </c>
      <c r="C4260" s="20">
        <f>IFERROR(_xlfn.ISOWEEKNUM(INPUT!M4255),"")</f>
        <v>52</v>
      </c>
      <c r="D4260" s="20">
        <f>IFERROR(YEAR(INPUT!M4255),"")</f>
        <v>1900</v>
      </c>
      <c r="E4260" t="str">
        <f>IF(INPUT!O4255="","",INPUT!O4255)</f>
        <v/>
      </c>
      <c r="F4260" t="str">
        <f>IF(INPUT!N4255="","",INPUT!N4255)</f>
        <v/>
      </c>
      <c r="G4260" cm="1">
        <f t="array" ref="G4260">IFERROR(VLOOKUP(INPUT!M4255&amp;INPUT!N4255,CHOOSE({1,2},INPUT!$A$3:$A$5000&amp;INPUT!$C$3:$C$5000,INPUT!$F$3:$F$5000),2,FALSE),"")</f>
        <v>0</v>
      </c>
      <c r="H4260" cm="1">
        <f t="array" ref="H4260">IFERROR(VLOOKUP(INPUT!M4255&amp;INPUT!N4255,CHOOSE({1,2},INPUT!$A$3:$A$5000&amp;INPUT!$C$3:$C$5000,INPUT!$D$3:$D$5000),2,FALSE),"")</f>
        <v>0</v>
      </c>
      <c r="I4260" s="46" t="str">
        <f>IF(INPUT!P4255="","",INPUT!P4255)</f>
        <v/>
      </c>
      <c r="J4260" s="46" t="str">
        <f>IF(INPUT!Q4255="","",INPUT!Q4255)</f>
        <v/>
      </c>
      <c r="K4260" s="46" t="str">
        <f>IFERROR(IF(OR(INPUT!P4255="",INPUT!Q4255=""),"",INPUT!P4255-INPUT!Q4255),"")</f>
        <v/>
      </c>
      <c r="L4260" s="48" t="str">
        <f>IFERROR(IF(OR(INPUT!P4255="",INPUT!Q4255="",INPUT!P4255=0),"",(INPUT!P4255-INPUT!Q4255)/INPUT!P4255),"")</f>
        <v/>
      </c>
    </row>
    <row r="4261" spans="1:12" ht="18" hidden="1" customHeight="1" x14ac:dyDescent="0.2">
      <c r="A4261" s="11" t="str">
        <f>IF(INPUT!M4256="","",INPUT!M4256)</f>
        <v/>
      </c>
      <c r="B4261" s="11" t="str">
        <f>IF(INPUT!M4256="","",INPUT!M4256-WEEKDAY(INPUT!M4256,2)+1)</f>
        <v/>
      </c>
      <c r="C4261" s="20">
        <f>IFERROR(_xlfn.ISOWEEKNUM(INPUT!M4256),"")</f>
        <v>52</v>
      </c>
      <c r="D4261" s="20">
        <f>IFERROR(YEAR(INPUT!M4256),"")</f>
        <v>1900</v>
      </c>
      <c r="E4261" t="str">
        <f>IF(INPUT!O4256="","",INPUT!O4256)</f>
        <v/>
      </c>
      <c r="F4261" t="str">
        <f>IF(INPUT!N4256="","",INPUT!N4256)</f>
        <v/>
      </c>
      <c r="G4261" cm="1">
        <f t="array" ref="G4261">IFERROR(VLOOKUP(INPUT!M4256&amp;INPUT!N4256,CHOOSE({1,2},INPUT!$A$3:$A$5000&amp;INPUT!$C$3:$C$5000,INPUT!$F$3:$F$5000),2,FALSE),"")</f>
        <v>0</v>
      </c>
      <c r="H4261" cm="1">
        <f t="array" ref="H4261">IFERROR(VLOOKUP(INPUT!M4256&amp;INPUT!N4256,CHOOSE({1,2},INPUT!$A$3:$A$5000&amp;INPUT!$C$3:$C$5000,INPUT!$D$3:$D$5000),2,FALSE),"")</f>
        <v>0</v>
      </c>
      <c r="I4261" s="46" t="str">
        <f>IF(INPUT!P4256="","",INPUT!P4256)</f>
        <v/>
      </c>
      <c r="J4261" s="46" t="str">
        <f>IF(INPUT!Q4256="","",INPUT!Q4256)</f>
        <v/>
      </c>
      <c r="K4261" s="46" t="str">
        <f>IFERROR(IF(OR(INPUT!P4256="",INPUT!Q4256=""),"",INPUT!P4256-INPUT!Q4256),"")</f>
        <v/>
      </c>
      <c r="L4261" s="48" t="str">
        <f>IFERROR(IF(OR(INPUT!P4256="",INPUT!Q4256="",INPUT!P4256=0),"",(INPUT!P4256-INPUT!Q4256)/INPUT!P4256),"")</f>
        <v/>
      </c>
    </row>
    <row r="4262" spans="1:12" ht="18" hidden="1" customHeight="1" x14ac:dyDescent="0.2">
      <c r="A4262" s="11" t="str">
        <f>IF(INPUT!M4257="","",INPUT!M4257)</f>
        <v/>
      </c>
      <c r="B4262" s="11" t="str">
        <f>IF(INPUT!M4257="","",INPUT!M4257-WEEKDAY(INPUT!M4257,2)+1)</f>
        <v/>
      </c>
      <c r="C4262" s="20">
        <f>IFERROR(_xlfn.ISOWEEKNUM(INPUT!M4257),"")</f>
        <v>52</v>
      </c>
      <c r="D4262" s="20">
        <f>IFERROR(YEAR(INPUT!M4257),"")</f>
        <v>1900</v>
      </c>
      <c r="E4262" t="str">
        <f>IF(INPUT!O4257="","",INPUT!O4257)</f>
        <v/>
      </c>
      <c r="F4262" t="str">
        <f>IF(INPUT!N4257="","",INPUT!N4257)</f>
        <v/>
      </c>
      <c r="G4262" cm="1">
        <f t="array" ref="G4262">IFERROR(VLOOKUP(INPUT!M4257&amp;INPUT!N4257,CHOOSE({1,2},INPUT!$A$3:$A$5000&amp;INPUT!$C$3:$C$5000,INPUT!$F$3:$F$5000),2,FALSE),"")</f>
        <v>0</v>
      </c>
      <c r="H4262" cm="1">
        <f t="array" ref="H4262">IFERROR(VLOOKUP(INPUT!M4257&amp;INPUT!N4257,CHOOSE({1,2},INPUT!$A$3:$A$5000&amp;INPUT!$C$3:$C$5000,INPUT!$D$3:$D$5000),2,FALSE),"")</f>
        <v>0</v>
      </c>
      <c r="I4262" s="46" t="str">
        <f>IF(INPUT!P4257="","",INPUT!P4257)</f>
        <v/>
      </c>
      <c r="J4262" s="46" t="str">
        <f>IF(INPUT!Q4257="","",INPUT!Q4257)</f>
        <v/>
      </c>
      <c r="K4262" s="46" t="str">
        <f>IFERROR(IF(OR(INPUT!P4257="",INPUT!Q4257=""),"",INPUT!P4257-INPUT!Q4257),"")</f>
        <v/>
      </c>
      <c r="L4262" s="48" t="str">
        <f>IFERROR(IF(OR(INPUT!P4257="",INPUT!Q4257="",INPUT!P4257=0),"",(INPUT!P4257-INPUT!Q4257)/INPUT!P4257),"")</f>
        <v/>
      </c>
    </row>
    <row r="4263" spans="1:12" ht="18" hidden="1" customHeight="1" x14ac:dyDescent="0.2">
      <c r="A4263" s="11" t="str">
        <f>IF(INPUT!M4258="","",INPUT!M4258)</f>
        <v/>
      </c>
      <c r="B4263" s="11" t="str">
        <f>IF(INPUT!M4258="","",INPUT!M4258-WEEKDAY(INPUT!M4258,2)+1)</f>
        <v/>
      </c>
      <c r="C4263" s="20">
        <f>IFERROR(_xlfn.ISOWEEKNUM(INPUT!M4258),"")</f>
        <v>52</v>
      </c>
      <c r="D4263" s="20">
        <f>IFERROR(YEAR(INPUT!M4258),"")</f>
        <v>1900</v>
      </c>
      <c r="E4263" t="str">
        <f>IF(INPUT!O4258="","",INPUT!O4258)</f>
        <v/>
      </c>
      <c r="F4263" t="str">
        <f>IF(INPUT!N4258="","",INPUT!N4258)</f>
        <v/>
      </c>
      <c r="G4263" cm="1">
        <f t="array" ref="G4263">IFERROR(VLOOKUP(INPUT!M4258&amp;INPUT!N4258,CHOOSE({1,2},INPUT!$A$3:$A$5000&amp;INPUT!$C$3:$C$5000,INPUT!$F$3:$F$5000),2,FALSE),"")</f>
        <v>0</v>
      </c>
      <c r="H4263" cm="1">
        <f t="array" ref="H4263">IFERROR(VLOOKUP(INPUT!M4258&amp;INPUT!N4258,CHOOSE({1,2},INPUT!$A$3:$A$5000&amp;INPUT!$C$3:$C$5000,INPUT!$D$3:$D$5000),2,FALSE),"")</f>
        <v>0</v>
      </c>
      <c r="I4263" s="46" t="str">
        <f>IF(INPUT!P4258="","",INPUT!P4258)</f>
        <v/>
      </c>
      <c r="J4263" s="46" t="str">
        <f>IF(INPUT!Q4258="","",INPUT!Q4258)</f>
        <v/>
      </c>
      <c r="K4263" s="46" t="str">
        <f>IFERROR(IF(OR(INPUT!P4258="",INPUT!Q4258=""),"",INPUT!P4258-INPUT!Q4258),"")</f>
        <v/>
      </c>
      <c r="L4263" s="48" t="str">
        <f>IFERROR(IF(OR(INPUT!P4258="",INPUT!Q4258="",INPUT!P4258=0),"",(INPUT!P4258-INPUT!Q4258)/INPUT!P4258),"")</f>
        <v/>
      </c>
    </row>
    <row r="4264" spans="1:12" ht="18" hidden="1" customHeight="1" x14ac:dyDescent="0.2">
      <c r="A4264" s="11" t="str">
        <f>IF(INPUT!M4259="","",INPUT!M4259)</f>
        <v/>
      </c>
      <c r="B4264" s="11" t="str">
        <f>IF(INPUT!M4259="","",INPUT!M4259-WEEKDAY(INPUT!M4259,2)+1)</f>
        <v/>
      </c>
      <c r="C4264" s="20">
        <f>IFERROR(_xlfn.ISOWEEKNUM(INPUT!M4259),"")</f>
        <v>52</v>
      </c>
      <c r="D4264" s="20">
        <f>IFERROR(YEAR(INPUT!M4259),"")</f>
        <v>1900</v>
      </c>
      <c r="E4264" t="str">
        <f>IF(INPUT!O4259="","",INPUT!O4259)</f>
        <v/>
      </c>
      <c r="F4264" t="str">
        <f>IF(INPUT!N4259="","",INPUT!N4259)</f>
        <v/>
      </c>
      <c r="G4264" cm="1">
        <f t="array" ref="G4264">IFERROR(VLOOKUP(INPUT!M4259&amp;INPUT!N4259,CHOOSE({1,2},INPUT!$A$3:$A$5000&amp;INPUT!$C$3:$C$5000,INPUT!$F$3:$F$5000),2,FALSE),"")</f>
        <v>0</v>
      </c>
      <c r="H4264" cm="1">
        <f t="array" ref="H4264">IFERROR(VLOOKUP(INPUT!M4259&amp;INPUT!N4259,CHOOSE({1,2},INPUT!$A$3:$A$5000&amp;INPUT!$C$3:$C$5000,INPUT!$D$3:$D$5000),2,FALSE),"")</f>
        <v>0</v>
      </c>
      <c r="I4264" s="46" t="str">
        <f>IF(INPUT!P4259="","",INPUT!P4259)</f>
        <v/>
      </c>
      <c r="J4264" s="46" t="str">
        <f>IF(INPUT!Q4259="","",INPUT!Q4259)</f>
        <v/>
      </c>
      <c r="K4264" s="46" t="str">
        <f>IFERROR(IF(OR(INPUT!P4259="",INPUT!Q4259=""),"",INPUT!P4259-INPUT!Q4259),"")</f>
        <v/>
      </c>
      <c r="L4264" s="48" t="str">
        <f>IFERROR(IF(OR(INPUT!P4259="",INPUT!Q4259="",INPUT!P4259=0),"",(INPUT!P4259-INPUT!Q4259)/INPUT!P4259),"")</f>
        <v/>
      </c>
    </row>
    <row r="4265" spans="1:12" ht="18" hidden="1" customHeight="1" x14ac:dyDescent="0.2">
      <c r="A4265" s="11" t="str">
        <f>IF(INPUT!M4260="","",INPUT!M4260)</f>
        <v/>
      </c>
      <c r="B4265" s="11" t="str">
        <f>IF(INPUT!M4260="","",INPUT!M4260-WEEKDAY(INPUT!M4260,2)+1)</f>
        <v/>
      </c>
      <c r="C4265" s="20">
        <f>IFERROR(_xlfn.ISOWEEKNUM(INPUT!M4260),"")</f>
        <v>52</v>
      </c>
      <c r="D4265" s="20">
        <f>IFERROR(YEAR(INPUT!M4260),"")</f>
        <v>1900</v>
      </c>
      <c r="E4265" t="str">
        <f>IF(INPUT!O4260="","",INPUT!O4260)</f>
        <v/>
      </c>
      <c r="F4265" t="str">
        <f>IF(INPUT!N4260="","",INPUT!N4260)</f>
        <v/>
      </c>
      <c r="G4265" cm="1">
        <f t="array" ref="G4265">IFERROR(VLOOKUP(INPUT!M4260&amp;INPUT!N4260,CHOOSE({1,2},INPUT!$A$3:$A$5000&amp;INPUT!$C$3:$C$5000,INPUT!$F$3:$F$5000),2,FALSE),"")</f>
        <v>0</v>
      </c>
      <c r="H4265" cm="1">
        <f t="array" ref="H4265">IFERROR(VLOOKUP(INPUT!M4260&amp;INPUT!N4260,CHOOSE({1,2},INPUT!$A$3:$A$5000&amp;INPUT!$C$3:$C$5000,INPUT!$D$3:$D$5000),2,FALSE),"")</f>
        <v>0</v>
      </c>
      <c r="I4265" s="46" t="str">
        <f>IF(INPUT!P4260="","",INPUT!P4260)</f>
        <v/>
      </c>
      <c r="J4265" s="46" t="str">
        <f>IF(INPUT!Q4260="","",INPUT!Q4260)</f>
        <v/>
      </c>
      <c r="K4265" s="46" t="str">
        <f>IFERROR(IF(OR(INPUT!P4260="",INPUT!Q4260=""),"",INPUT!P4260-INPUT!Q4260),"")</f>
        <v/>
      </c>
      <c r="L4265" s="48" t="str">
        <f>IFERROR(IF(OR(INPUT!P4260="",INPUT!Q4260="",INPUT!P4260=0),"",(INPUT!P4260-INPUT!Q4260)/INPUT!P4260),"")</f>
        <v/>
      </c>
    </row>
    <row r="4266" spans="1:12" ht="18" hidden="1" customHeight="1" x14ac:dyDescent="0.2">
      <c r="A4266" s="11" t="str">
        <f>IF(INPUT!M4261="","",INPUT!M4261)</f>
        <v/>
      </c>
      <c r="B4266" s="11" t="str">
        <f>IF(INPUT!M4261="","",INPUT!M4261-WEEKDAY(INPUT!M4261,2)+1)</f>
        <v/>
      </c>
      <c r="C4266" s="20">
        <f>IFERROR(_xlfn.ISOWEEKNUM(INPUT!M4261),"")</f>
        <v>52</v>
      </c>
      <c r="D4266" s="20">
        <f>IFERROR(YEAR(INPUT!M4261),"")</f>
        <v>1900</v>
      </c>
      <c r="E4266" t="str">
        <f>IF(INPUT!O4261="","",INPUT!O4261)</f>
        <v/>
      </c>
      <c r="F4266" t="str">
        <f>IF(INPUT!N4261="","",INPUT!N4261)</f>
        <v/>
      </c>
      <c r="G4266" cm="1">
        <f t="array" ref="G4266">IFERROR(VLOOKUP(INPUT!M4261&amp;INPUT!N4261,CHOOSE({1,2},INPUT!$A$3:$A$5000&amp;INPUT!$C$3:$C$5000,INPUT!$F$3:$F$5000),2,FALSE),"")</f>
        <v>0</v>
      </c>
      <c r="H4266" cm="1">
        <f t="array" ref="H4266">IFERROR(VLOOKUP(INPUT!M4261&amp;INPUT!N4261,CHOOSE({1,2},INPUT!$A$3:$A$5000&amp;INPUT!$C$3:$C$5000,INPUT!$D$3:$D$5000),2,FALSE),"")</f>
        <v>0</v>
      </c>
      <c r="I4266" s="46" t="str">
        <f>IF(INPUT!P4261="","",INPUT!P4261)</f>
        <v/>
      </c>
      <c r="J4266" s="46" t="str">
        <f>IF(INPUT!Q4261="","",INPUT!Q4261)</f>
        <v/>
      </c>
      <c r="K4266" s="46" t="str">
        <f>IFERROR(IF(OR(INPUT!P4261="",INPUT!Q4261=""),"",INPUT!P4261-INPUT!Q4261),"")</f>
        <v/>
      </c>
      <c r="L4266" s="48" t="str">
        <f>IFERROR(IF(OR(INPUT!P4261="",INPUT!Q4261="",INPUT!P4261=0),"",(INPUT!P4261-INPUT!Q4261)/INPUT!P4261),"")</f>
        <v/>
      </c>
    </row>
    <row r="4267" spans="1:12" ht="18" hidden="1" customHeight="1" x14ac:dyDescent="0.2">
      <c r="A4267" s="11" t="str">
        <f>IF(INPUT!M4262="","",INPUT!M4262)</f>
        <v/>
      </c>
      <c r="B4267" s="11" t="str">
        <f>IF(INPUT!M4262="","",INPUT!M4262-WEEKDAY(INPUT!M4262,2)+1)</f>
        <v/>
      </c>
      <c r="C4267" s="20">
        <f>IFERROR(_xlfn.ISOWEEKNUM(INPUT!M4262),"")</f>
        <v>52</v>
      </c>
      <c r="D4267" s="20">
        <f>IFERROR(YEAR(INPUT!M4262),"")</f>
        <v>1900</v>
      </c>
      <c r="E4267" t="str">
        <f>IF(INPUT!O4262="","",INPUT!O4262)</f>
        <v/>
      </c>
      <c r="F4267" t="str">
        <f>IF(INPUT!N4262="","",INPUT!N4262)</f>
        <v/>
      </c>
      <c r="G4267" cm="1">
        <f t="array" ref="G4267">IFERROR(VLOOKUP(INPUT!M4262&amp;INPUT!N4262,CHOOSE({1,2},INPUT!$A$3:$A$5000&amp;INPUT!$C$3:$C$5000,INPUT!$F$3:$F$5000),2,FALSE),"")</f>
        <v>0</v>
      </c>
      <c r="H4267" cm="1">
        <f t="array" ref="H4267">IFERROR(VLOOKUP(INPUT!M4262&amp;INPUT!N4262,CHOOSE({1,2},INPUT!$A$3:$A$5000&amp;INPUT!$C$3:$C$5000,INPUT!$D$3:$D$5000),2,FALSE),"")</f>
        <v>0</v>
      </c>
      <c r="I4267" s="46" t="str">
        <f>IF(INPUT!P4262="","",INPUT!P4262)</f>
        <v/>
      </c>
      <c r="J4267" s="46" t="str">
        <f>IF(INPUT!Q4262="","",INPUT!Q4262)</f>
        <v/>
      </c>
      <c r="K4267" s="46" t="str">
        <f>IFERROR(IF(OR(INPUT!P4262="",INPUT!Q4262=""),"",INPUT!P4262-INPUT!Q4262),"")</f>
        <v/>
      </c>
      <c r="L4267" s="48" t="str">
        <f>IFERROR(IF(OR(INPUT!P4262="",INPUT!Q4262="",INPUT!P4262=0),"",(INPUT!P4262-INPUT!Q4262)/INPUT!P4262),"")</f>
        <v/>
      </c>
    </row>
    <row r="4268" spans="1:12" ht="18" hidden="1" customHeight="1" x14ac:dyDescent="0.2">
      <c r="A4268" s="11" t="str">
        <f>IF(INPUT!M4263="","",INPUT!M4263)</f>
        <v/>
      </c>
      <c r="B4268" s="11" t="str">
        <f>IF(INPUT!M4263="","",INPUT!M4263-WEEKDAY(INPUT!M4263,2)+1)</f>
        <v/>
      </c>
      <c r="C4268" s="20">
        <f>IFERROR(_xlfn.ISOWEEKNUM(INPUT!M4263),"")</f>
        <v>52</v>
      </c>
      <c r="D4268" s="20">
        <f>IFERROR(YEAR(INPUT!M4263),"")</f>
        <v>1900</v>
      </c>
      <c r="E4268" t="str">
        <f>IF(INPUT!O4263="","",INPUT!O4263)</f>
        <v/>
      </c>
      <c r="F4268" t="str">
        <f>IF(INPUT!N4263="","",INPUT!N4263)</f>
        <v/>
      </c>
      <c r="G4268" cm="1">
        <f t="array" ref="G4268">IFERROR(VLOOKUP(INPUT!M4263&amp;INPUT!N4263,CHOOSE({1,2},INPUT!$A$3:$A$5000&amp;INPUT!$C$3:$C$5000,INPUT!$F$3:$F$5000),2,FALSE),"")</f>
        <v>0</v>
      </c>
      <c r="H4268" cm="1">
        <f t="array" ref="H4268">IFERROR(VLOOKUP(INPUT!M4263&amp;INPUT!N4263,CHOOSE({1,2},INPUT!$A$3:$A$5000&amp;INPUT!$C$3:$C$5000,INPUT!$D$3:$D$5000),2,FALSE),"")</f>
        <v>0</v>
      </c>
      <c r="I4268" s="46" t="str">
        <f>IF(INPUT!P4263="","",INPUT!P4263)</f>
        <v/>
      </c>
      <c r="J4268" s="46" t="str">
        <f>IF(INPUT!Q4263="","",INPUT!Q4263)</f>
        <v/>
      </c>
      <c r="K4268" s="46" t="str">
        <f>IFERROR(IF(OR(INPUT!P4263="",INPUT!Q4263=""),"",INPUT!P4263-INPUT!Q4263),"")</f>
        <v/>
      </c>
      <c r="L4268" s="48" t="str">
        <f>IFERROR(IF(OR(INPUT!P4263="",INPUT!Q4263="",INPUT!P4263=0),"",(INPUT!P4263-INPUT!Q4263)/INPUT!P4263),"")</f>
        <v/>
      </c>
    </row>
    <row r="4269" spans="1:12" ht="18" hidden="1" customHeight="1" x14ac:dyDescent="0.2">
      <c r="A4269" s="11" t="str">
        <f>IF(INPUT!M4264="","",INPUT!M4264)</f>
        <v/>
      </c>
      <c r="B4269" s="11" t="str">
        <f>IF(INPUT!M4264="","",INPUT!M4264-WEEKDAY(INPUT!M4264,2)+1)</f>
        <v/>
      </c>
      <c r="C4269" s="20">
        <f>IFERROR(_xlfn.ISOWEEKNUM(INPUT!M4264),"")</f>
        <v>52</v>
      </c>
      <c r="D4269" s="20">
        <f>IFERROR(YEAR(INPUT!M4264),"")</f>
        <v>1900</v>
      </c>
      <c r="E4269" t="str">
        <f>IF(INPUT!O4264="","",INPUT!O4264)</f>
        <v/>
      </c>
      <c r="F4269" t="str">
        <f>IF(INPUT!N4264="","",INPUT!N4264)</f>
        <v/>
      </c>
      <c r="G4269" cm="1">
        <f t="array" ref="G4269">IFERROR(VLOOKUP(INPUT!M4264&amp;INPUT!N4264,CHOOSE({1,2},INPUT!$A$3:$A$5000&amp;INPUT!$C$3:$C$5000,INPUT!$F$3:$F$5000),2,FALSE),"")</f>
        <v>0</v>
      </c>
      <c r="H4269" cm="1">
        <f t="array" ref="H4269">IFERROR(VLOOKUP(INPUT!M4264&amp;INPUT!N4264,CHOOSE({1,2},INPUT!$A$3:$A$5000&amp;INPUT!$C$3:$C$5000,INPUT!$D$3:$D$5000),2,FALSE),"")</f>
        <v>0</v>
      </c>
      <c r="I4269" s="46" t="str">
        <f>IF(INPUT!P4264="","",INPUT!P4264)</f>
        <v/>
      </c>
      <c r="J4269" s="46" t="str">
        <f>IF(INPUT!Q4264="","",INPUT!Q4264)</f>
        <v/>
      </c>
      <c r="K4269" s="46" t="str">
        <f>IFERROR(IF(OR(INPUT!P4264="",INPUT!Q4264=""),"",INPUT!P4264-INPUT!Q4264),"")</f>
        <v/>
      </c>
      <c r="L4269" s="48" t="str">
        <f>IFERROR(IF(OR(INPUT!P4264="",INPUT!Q4264="",INPUT!P4264=0),"",(INPUT!P4264-INPUT!Q4264)/INPUT!P4264),"")</f>
        <v/>
      </c>
    </row>
    <row r="4270" spans="1:12" ht="18" hidden="1" customHeight="1" x14ac:dyDescent="0.2">
      <c r="A4270" s="11" t="str">
        <f>IF(INPUT!M4265="","",INPUT!M4265)</f>
        <v/>
      </c>
      <c r="B4270" s="11" t="str">
        <f>IF(INPUT!M4265="","",INPUT!M4265-WEEKDAY(INPUT!M4265,2)+1)</f>
        <v/>
      </c>
      <c r="C4270" s="20">
        <f>IFERROR(_xlfn.ISOWEEKNUM(INPUT!M4265),"")</f>
        <v>52</v>
      </c>
      <c r="D4270" s="20">
        <f>IFERROR(YEAR(INPUT!M4265),"")</f>
        <v>1900</v>
      </c>
      <c r="E4270" t="str">
        <f>IF(INPUT!O4265="","",INPUT!O4265)</f>
        <v/>
      </c>
      <c r="F4270" t="str">
        <f>IF(INPUT!N4265="","",INPUT!N4265)</f>
        <v/>
      </c>
      <c r="G4270" cm="1">
        <f t="array" ref="G4270">IFERROR(VLOOKUP(INPUT!M4265&amp;INPUT!N4265,CHOOSE({1,2},INPUT!$A$3:$A$5000&amp;INPUT!$C$3:$C$5000,INPUT!$F$3:$F$5000),2,FALSE),"")</f>
        <v>0</v>
      </c>
      <c r="H4270" cm="1">
        <f t="array" ref="H4270">IFERROR(VLOOKUP(INPUT!M4265&amp;INPUT!N4265,CHOOSE({1,2},INPUT!$A$3:$A$5000&amp;INPUT!$C$3:$C$5000,INPUT!$D$3:$D$5000),2,FALSE),"")</f>
        <v>0</v>
      </c>
      <c r="I4270" s="46" t="str">
        <f>IF(INPUT!P4265="","",INPUT!P4265)</f>
        <v/>
      </c>
      <c r="J4270" s="46" t="str">
        <f>IF(INPUT!Q4265="","",INPUT!Q4265)</f>
        <v/>
      </c>
      <c r="K4270" s="46" t="str">
        <f>IFERROR(IF(OR(INPUT!P4265="",INPUT!Q4265=""),"",INPUT!P4265-INPUT!Q4265),"")</f>
        <v/>
      </c>
      <c r="L4270" s="48" t="str">
        <f>IFERROR(IF(OR(INPUT!P4265="",INPUT!Q4265="",INPUT!P4265=0),"",(INPUT!P4265-INPUT!Q4265)/INPUT!P4265),"")</f>
        <v/>
      </c>
    </row>
    <row r="4271" spans="1:12" ht="18" hidden="1" customHeight="1" x14ac:dyDescent="0.2">
      <c r="A4271" s="11" t="str">
        <f>IF(INPUT!M4266="","",INPUT!M4266)</f>
        <v/>
      </c>
      <c r="B4271" s="11" t="str">
        <f>IF(INPUT!M4266="","",INPUT!M4266-WEEKDAY(INPUT!M4266,2)+1)</f>
        <v/>
      </c>
      <c r="C4271" s="20">
        <f>IFERROR(_xlfn.ISOWEEKNUM(INPUT!M4266),"")</f>
        <v>52</v>
      </c>
      <c r="D4271" s="20">
        <f>IFERROR(YEAR(INPUT!M4266),"")</f>
        <v>1900</v>
      </c>
      <c r="E4271" t="str">
        <f>IF(INPUT!O4266="","",INPUT!O4266)</f>
        <v/>
      </c>
      <c r="F4271" t="str">
        <f>IF(INPUT!N4266="","",INPUT!N4266)</f>
        <v/>
      </c>
      <c r="G4271" cm="1">
        <f t="array" ref="G4271">IFERROR(VLOOKUP(INPUT!M4266&amp;INPUT!N4266,CHOOSE({1,2},INPUT!$A$3:$A$5000&amp;INPUT!$C$3:$C$5000,INPUT!$F$3:$F$5000),2,FALSE),"")</f>
        <v>0</v>
      </c>
      <c r="H4271" cm="1">
        <f t="array" ref="H4271">IFERROR(VLOOKUP(INPUT!M4266&amp;INPUT!N4266,CHOOSE({1,2},INPUT!$A$3:$A$5000&amp;INPUT!$C$3:$C$5000,INPUT!$D$3:$D$5000),2,FALSE),"")</f>
        <v>0</v>
      </c>
      <c r="I4271" s="46" t="str">
        <f>IF(INPUT!P4266="","",INPUT!P4266)</f>
        <v/>
      </c>
      <c r="J4271" s="46" t="str">
        <f>IF(INPUT!Q4266="","",INPUT!Q4266)</f>
        <v/>
      </c>
      <c r="K4271" s="46" t="str">
        <f>IFERROR(IF(OR(INPUT!P4266="",INPUT!Q4266=""),"",INPUT!P4266-INPUT!Q4266),"")</f>
        <v/>
      </c>
      <c r="L4271" s="48" t="str">
        <f>IFERROR(IF(OR(INPUT!P4266="",INPUT!Q4266="",INPUT!P4266=0),"",(INPUT!P4266-INPUT!Q4266)/INPUT!P4266),"")</f>
        <v/>
      </c>
    </row>
    <row r="4272" spans="1:12" ht="18" hidden="1" customHeight="1" x14ac:dyDescent="0.2">
      <c r="A4272" s="11" t="str">
        <f>IF(INPUT!M4267="","",INPUT!M4267)</f>
        <v/>
      </c>
      <c r="B4272" s="11" t="str">
        <f>IF(INPUT!M4267="","",INPUT!M4267-WEEKDAY(INPUT!M4267,2)+1)</f>
        <v/>
      </c>
      <c r="C4272" s="20">
        <f>IFERROR(_xlfn.ISOWEEKNUM(INPUT!M4267),"")</f>
        <v>52</v>
      </c>
      <c r="D4272" s="20">
        <f>IFERROR(YEAR(INPUT!M4267),"")</f>
        <v>1900</v>
      </c>
      <c r="E4272" t="str">
        <f>IF(INPUT!O4267="","",INPUT!O4267)</f>
        <v/>
      </c>
      <c r="F4272" t="str">
        <f>IF(INPUT!N4267="","",INPUT!N4267)</f>
        <v/>
      </c>
      <c r="G4272" cm="1">
        <f t="array" ref="G4272">IFERROR(VLOOKUP(INPUT!M4267&amp;INPUT!N4267,CHOOSE({1,2},INPUT!$A$3:$A$5000&amp;INPUT!$C$3:$C$5000,INPUT!$F$3:$F$5000),2,FALSE),"")</f>
        <v>0</v>
      </c>
      <c r="H4272" cm="1">
        <f t="array" ref="H4272">IFERROR(VLOOKUP(INPUT!M4267&amp;INPUT!N4267,CHOOSE({1,2},INPUT!$A$3:$A$5000&amp;INPUT!$C$3:$C$5000,INPUT!$D$3:$D$5000),2,FALSE),"")</f>
        <v>0</v>
      </c>
      <c r="I4272" s="46" t="str">
        <f>IF(INPUT!P4267="","",INPUT!P4267)</f>
        <v/>
      </c>
      <c r="J4272" s="46" t="str">
        <f>IF(INPUT!Q4267="","",INPUT!Q4267)</f>
        <v/>
      </c>
      <c r="K4272" s="46" t="str">
        <f>IFERROR(IF(OR(INPUT!P4267="",INPUT!Q4267=""),"",INPUT!P4267-INPUT!Q4267),"")</f>
        <v/>
      </c>
      <c r="L4272" s="48" t="str">
        <f>IFERROR(IF(OR(INPUT!P4267="",INPUT!Q4267="",INPUT!P4267=0),"",(INPUT!P4267-INPUT!Q4267)/INPUT!P4267),"")</f>
        <v/>
      </c>
    </row>
    <row r="4273" spans="1:12" ht="18" hidden="1" customHeight="1" x14ac:dyDescent="0.2">
      <c r="A4273" s="11" t="str">
        <f>IF(INPUT!M4268="","",INPUT!M4268)</f>
        <v/>
      </c>
      <c r="B4273" s="11" t="str">
        <f>IF(INPUT!M4268="","",INPUT!M4268-WEEKDAY(INPUT!M4268,2)+1)</f>
        <v/>
      </c>
      <c r="C4273" s="20">
        <f>IFERROR(_xlfn.ISOWEEKNUM(INPUT!M4268),"")</f>
        <v>52</v>
      </c>
      <c r="D4273" s="20">
        <f>IFERROR(YEAR(INPUT!M4268),"")</f>
        <v>1900</v>
      </c>
      <c r="E4273" t="str">
        <f>IF(INPUT!O4268="","",INPUT!O4268)</f>
        <v/>
      </c>
      <c r="F4273" t="str">
        <f>IF(INPUT!N4268="","",INPUT!N4268)</f>
        <v/>
      </c>
      <c r="G4273" cm="1">
        <f t="array" ref="G4273">IFERROR(VLOOKUP(INPUT!M4268&amp;INPUT!N4268,CHOOSE({1,2},INPUT!$A$3:$A$5000&amp;INPUT!$C$3:$C$5000,INPUT!$F$3:$F$5000),2,FALSE),"")</f>
        <v>0</v>
      </c>
      <c r="H4273" cm="1">
        <f t="array" ref="H4273">IFERROR(VLOOKUP(INPUT!M4268&amp;INPUT!N4268,CHOOSE({1,2},INPUT!$A$3:$A$5000&amp;INPUT!$C$3:$C$5000,INPUT!$D$3:$D$5000),2,FALSE),"")</f>
        <v>0</v>
      </c>
      <c r="I4273" s="46" t="str">
        <f>IF(INPUT!P4268="","",INPUT!P4268)</f>
        <v/>
      </c>
      <c r="J4273" s="46" t="str">
        <f>IF(INPUT!Q4268="","",INPUT!Q4268)</f>
        <v/>
      </c>
      <c r="K4273" s="46" t="str">
        <f>IFERROR(IF(OR(INPUT!P4268="",INPUT!Q4268=""),"",INPUT!P4268-INPUT!Q4268),"")</f>
        <v/>
      </c>
      <c r="L4273" s="48" t="str">
        <f>IFERROR(IF(OR(INPUT!P4268="",INPUT!Q4268="",INPUT!P4268=0),"",(INPUT!P4268-INPUT!Q4268)/INPUT!P4268),"")</f>
        <v/>
      </c>
    </row>
    <row r="4274" spans="1:12" ht="18" hidden="1" customHeight="1" x14ac:dyDescent="0.2">
      <c r="A4274" s="11" t="str">
        <f>IF(INPUT!M4269="","",INPUT!M4269)</f>
        <v/>
      </c>
      <c r="B4274" s="11" t="str">
        <f>IF(INPUT!M4269="","",INPUT!M4269-WEEKDAY(INPUT!M4269,2)+1)</f>
        <v/>
      </c>
      <c r="C4274" s="20">
        <f>IFERROR(_xlfn.ISOWEEKNUM(INPUT!M4269),"")</f>
        <v>52</v>
      </c>
      <c r="D4274" s="20">
        <f>IFERROR(YEAR(INPUT!M4269),"")</f>
        <v>1900</v>
      </c>
      <c r="E4274" t="str">
        <f>IF(INPUT!O4269="","",INPUT!O4269)</f>
        <v/>
      </c>
      <c r="F4274" t="str">
        <f>IF(INPUT!N4269="","",INPUT!N4269)</f>
        <v/>
      </c>
      <c r="G4274" cm="1">
        <f t="array" ref="G4274">IFERROR(VLOOKUP(INPUT!M4269&amp;INPUT!N4269,CHOOSE({1,2},INPUT!$A$3:$A$5000&amp;INPUT!$C$3:$C$5000,INPUT!$F$3:$F$5000),2,FALSE),"")</f>
        <v>0</v>
      </c>
      <c r="H4274" cm="1">
        <f t="array" ref="H4274">IFERROR(VLOOKUP(INPUT!M4269&amp;INPUT!N4269,CHOOSE({1,2},INPUT!$A$3:$A$5000&amp;INPUT!$C$3:$C$5000,INPUT!$D$3:$D$5000),2,FALSE),"")</f>
        <v>0</v>
      </c>
      <c r="I4274" s="46" t="str">
        <f>IF(INPUT!P4269="","",INPUT!P4269)</f>
        <v/>
      </c>
      <c r="J4274" s="46" t="str">
        <f>IF(INPUT!Q4269="","",INPUT!Q4269)</f>
        <v/>
      </c>
      <c r="K4274" s="46" t="str">
        <f>IFERROR(IF(OR(INPUT!P4269="",INPUT!Q4269=""),"",INPUT!P4269-INPUT!Q4269),"")</f>
        <v/>
      </c>
      <c r="L4274" s="48" t="str">
        <f>IFERROR(IF(OR(INPUT!P4269="",INPUT!Q4269="",INPUT!P4269=0),"",(INPUT!P4269-INPUT!Q4269)/INPUT!P4269),"")</f>
        <v/>
      </c>
    </row>
    <row r="4275" spans="1:12" ht="18" hidden="1" customHeight="1" x14ac:dyDescent="0.2">
      <c r="A4275" s="11" t="str">
        <f>IF(INPUT!M4270="","",INPUT!M4270)</f>
        <v/>
      </c>
      <c r="B4275" s="11" t="str">
        <f>IF(INPUT!M4270="","",INPUT!M4270-WEEKDAY(INPUT!M4270,2)+1)</f>
        <v/>
      </c>
      <c r="C4275" s="20">
        <f>IFERROR(_xlfn.ISOWEEKNUM(INPUT!M4270),"")</f>
        <v>52</v>
      </c>
      <c r="D4275" s="20">
        <f>IFERROR(YEAR(INPUT!M4270),"")</f>
        <v>1900</v>
      </c>
      <c r="E4275" t="str">
        <f>IF(INPUT!O4270="","",INPUT!O4270)</f>
        <v/>
      </c>
      <c r="F4275" t="str">
        <f>IF(INPUT!N4270="","",INPUT!N4270)</f>
        <v/>
      </c>
      <c r="G4275" cm="1">
        <f t="array" ref="G4275">IFERROR(VLOOKUP(INPUT!M4270&amp;INPUT!N4270,CHOOSE({1,2},INPUT!$A$3:$A$5000&amp;INPUT!$C$3:$C$5000,INPUT!$F$3:$F$5000),2,FALSE),"")</f>
        <v>0</v>
      </c>
      <c r="H4275" cm="1">
        <f t="array" ref="H4275">IFERROR(VLOOKUP(INPUT!M4270&amp;INPUT!N4270,CHOOSE({1,2},INPUT!$A$3:$A$5000&amp;INPUT!$C$3:$C$5000,INPUT!$D$3:$D$5000),2,FALSE),"")</f>
        <v>0</v>
      </c>
      <c r="I4275" s="46" t="str">
        <f>IF(INPUT!P4270="","",INPUT!P4270)</f>
        <v/>
      </c>
      <c r="J4275" s="46" t="str">
        <f>IF(INPUT!Q4270="","",INPUT!Q4270)</f>
        <v/>
      </c>
      <c r="K4275" s="46" t="str">
        <f>IFERROR(IF(OR(INPUT!P4270="",INPUT!Q4270=""),"",INPUT!P4270-INPUT!Q4270),"")</f>
        <v/>
      </c>
      <c r="L4275" s="48" t="str">
        <f>IFERROR(IF(OR(INPUT!P4270="",INPUT!Q4270="",INPUT!P4270=0),"",(INPUT!P4270-INPUT!Q4270)/INPUT!P4270),"")</f>
        <v/>
      </c>
    </row>
    <row r="4276" spans="1:12" ht="18" hidden="1" customHeight="1" x14ac:dyDescent="0.2">
      <c r="A4276" s="11" t="str">
        <f>IF(INPUT!M4271="","",INPUT!M4271)</f>
        <v/>
      </c>
      <c r="B4276" s="11" t="str">
        <f>IF(INPUT!M4271="","",INPUT!M4271-WEEKDAY(INPUT!M4271,2)+1)</f>
        <v/>
      </c>
      <c r="C4276" s="20">
        <f>IFERROR(_xlfn.ISOWEEKNUM(INPUT!M4271),"")</f>
        <v>52</v>
      </c>
      <c r="D4276" s="20">
        <f>IFERROR(YEAR(INPUT!M4271),"")</f>
        <v>1900</v>
      </c>
      <c r="E4276" t="str">
        <f>IF(INPUT!O4271="","",INPUT!O4271)</f>
        <v/>
      </c>
      <c r="F4276" t="str">
        <f>IF(INPUT!N4271="","",INPUT!N4271)</f>
        <v/>
      </c>
      <c r="G4276" cm="1">
        <f t="array" ref="G4276">IFERROR(VLOOKUP(INPUT!M4271&amp;INPUT!N4271,CHOOSE({1,2},INPUT!$A$3:$A$5000&amp;INPUT!$C$3:$C$5000,INPUT!$F$3:$F$5000),2,FALSE),"")</f>
        <v>0</v>
      </c>
      <c r="H4276" cm="1">
        <f t="array" ref="H4276">IFERROR(VLOOKUP(INPUT!M4271&amp;INPUT!N4271,CHOOSE({1,2},INPUT!$A$3:$A$5000&amp;INPUT!$C$3:$C$5000,INPUT!$D$3:$D$5000),2,FALSE),"")</f>
        <v>0</v>
      </c>
      <c r="I4276" s="46" t="str">
        <f>IF(INPUT!P4271="","",INPUT!P4271)</f>
        <v/>
      </c>
      <c r="J4276" s="46" t="str">
        <f>IF(INPUT!Q4271="","",INPUT!Q4271)</f>
        <v/>
      </c>
      <c r="K4276" s="46" t="str">
        <f>IFERROR(IF(OR(INPUT!P4271="",INPUT!Q4271=""),"",INPUT!P4271-INPUT!Q4271),"")</f>
        <v/>
      </c>
      <c r="L4276" s="48" t="str">
        <f>IFERROR(IF(OR(INPUT!P4271="",INPUT!Q4271="",INPUT!P4271=0),"",(INPUT!P4271-INPUT!Q4271)/INPUT!P4271),"")</f>
        <v/>
      </c>
    </row>
    <row r="4277" spans="1:12" ht="18" hidden="1" customHeight="1" x14ac:dyDescent="0.2">
      <c r="A4277" s="11" t="str">
        <f>IF(INPUT!M4272="","",INPUT!M4272)</f>
        <v/>
      </c>
      <c r="B4277" s="11" t="str">
        <f>IF(INPUT!M4272="","",INPUT!M4272-WEEKDAY(INPUT!M4272,2)+1)</f>
        <v/>
      </c>
      <c r="C4277" s="20">
        <f>IFERROR(_xlfn.ISOWEEKNUM(INPUT!M4272),"")</f>
        <v>52</v>
      </c>
      <c r="D4277" s="20">
        <f>IFERROR(YEAR(INPUT!M4272),"")</f>
        <v>1900</v>
      </c>
      <c r="E4277" t="str">
        <f>IF(INPUT!O4272="","",INPUT!O4272)</f>
        <v/>
      </c>
      <c r="F4277" t="str">
        <f>IF(INPUT!N4272="","",INPUT!N4272)</f>
        <v/>
      </c>
      <c r="G4277" cm="1">
        <f t="array" ref="G4277">IFERROR(VLOOKUP(INPUT!M4272&amp;INPUT!N4272,CHOOSE({1,2},INPUT!$A$3:$A$5000&amp;INPUT!$C$3:$C$5000,INPUT!$F$3:$F$5000),2,FALSE),"")</f>
        <v>0</v>
      </c>
      <c r="H4277" cm="1">
        <f t="array" ref="H4277">IFERROR(VLOOKUP(INPUT!M4272&amp;INPUT!N4272,CHOOSE({1,2},INPUT!$A$3:$A$5000&amp;INPUT!$C$3:$C$5000,INPUT!$D$3:$D$5000),2,FALSE),"")</f>
        <v>0</v>
      </c>
      <c r="I4277" s="46" t="str">
        <f>IF(INPUT!P4272="","",INPUT!P4272)</f>
        <v/>
      </c>
      <c r="J4277" s="46" t="str">
        <f>IF(INPUT!Q4272="","",INPUT!Q4272)</f>
        <v/>
      </c>
      <c r="K4277" s="46" t="str">
        <f>IFERROR(IF(OR(INPUT!P4272="",INPUT!Q4272=""),"",INPUT!P4272-INPUT!Q4272),"")</f>
        <v/>
      </c>
      <c r="L4277" s="48" t="str">
        <f>IFERROR(IF(OR(INPUT!P4272="",INPUT!Q4272="",INPUT!P4272=0),"",(INPUT!P4272-INPUT!Q4272)/INPUT!P4272),"")</f>
        <v/>
      </c>
    </row>
    <row r="4278" spans="1:12" ht="18" hidden="1" customHeight="1" x14ac:dyDescent="0.2">
      <c r="A4278" s="11" t="str">
        <f>IF(INPUT!M4273="","",INPUT!M4273)</f>
        <v/>
      </c>
      <c r="B4278" s="11" t="str">
        <f>IF(INPUT!M4273="","",INPUT!M4273-WEEKDAY(INPUT!M4273,2)+1)</f>
        <v/>
      </c>
      <c r="C4278" s="20">
        <f>IFERROR(_xlfn.ISOWEEKNUM(INPUT!M4273),"")</f>
        <v>52</v>
      </c>
      <c r="D4278" s="20">
        <f>IFERROR(YEAR(INPUT!M4273),"")</f>
        <v>1900</v>
      </c>
      <c r="E4278" t="str">
        <f>IF(INPUT!O4273="","",INPUT!O4273)</f>
        <v/>
      </c>
      <c r="F4278" t="str">
        <f>IF(INPUT!N4273="","",INPUT!N4273)</f>
        <v/>
      </c>
      <c r="G4278" cm="1">
        <f t="array" ref="G4278">IFERROR(VLOOKUP(INPUT!M4273&amp;INPUT!N4273,CHOOSE({1,2},INPUT!$A$3:$A$5000&amp;INPUT!$C$3:$C$5000,INPUT!$F$3:$F$5000),2,FALSE),"")</f>
        <v>0</v>
      </c>
      <c r="H4278" cm="1">
        <f t="array" ref="H4278">IFERROR(VLOOKUP(INPUT!M4273&amp;INPUT!N4273,CHOOSE({1,2},INPUT!$A$3:$A$5000&amp;INPUT!$C$3:$C$5000,INPUT!$D$3:$D$5000),2,FALSE),"")</f>
        <v>0</v>
      </c>
      <c r="I4278" s="46" t="str">
        <f>IF(INPUT!P4273="","",INPUT!P4273)</f>
        <v/>
      </c>
      <c r="J4278" s="46" t="str">
        <f>IF(INPUT!Q4273="","",INPUT!Q4273)</f>
        <v/>
      </c>
      <c r="K4278" s="46" t="str">
        <f>IFERROR(IF(OR(INPUT!P4273="",INPUT!Q4273=""),"",INPUT!P4273-INPUT!Q4273),"")</f>
        <v/>
      </c>
      <c r="L4278" s="48" t="str">
        <f>IFERROR(IF(OR(INPUT!P4273="",INPUT!Q4273="",INPUT!P4273=0),"",(INPUT!P4273-INPUT!Q4273)/INPUT!P4273),"")</f>
        <v/>
      </c>
    </row>
    <row r="4279" spans="1:12" ht="18" hidden="1" customHeight="1" x14ac:dyDescent="0.2">
      <c r="A4279" s="11" t="str">
        <f>IF(INPUT!M4274="","",INPUT!M4274)</f>
        <v/>
      </c>
      <c r="B4279" s="11" t="str">
        <f>IF(INPUT!M4274="","",INPUT!M4274-WEEKDAY(INPUT!M4274,2)+1)</f>
        <v/>
      </c>
      <c r="C4279" s="20">
        <f>IFERROR(_xlfn.ISOWEEKNUM(INPUT!M4274),"")</f>
        <v>52</v>
      </c>
      <c r="D4279" s="20">
        <f>IFERROR(YEAR(INPUT!M4274),"")</f>
        <v>1900</v>
      </c>
      <c r="E4279" t="str">
        <f>IF(INPUT!O4274="","",INPUT!O4274)</f>
        <v/>
      </c>
      <c r="F4279" t="str">
        <f>IF(INPUT!N4274="","",INPUT!N4274)</f>
        <v/>
      </c>
      <c r="G4279" cm="1">
        <f t="array" ref="G4279">IFERROR(VLOOKUP(INPUT!M4274&amp;INPUT!N4274,CHOOSE({1,2},INPUT!$A$3:$A$5000&amp;INPUT!$C$3:$C$5000,INPUT!$F$3:$F$5000),2,FALSE),"")</f>
        <v>0</v>
      </c>
      <c r="H4279" cm="1">
        <f t="array" ref="H4279">IFERROR(VLOOKUP(INPUT!M4274&amp;INPUT!N4274,CHOOSE({1,2},INPUT!$A$3:$A$5000&amp;INPUT!$C$3:$C$5000,INPUT!$D$3:$D$5000),2,FALSE),"")</f>
        <v>0</v>
      </c>
      <c r="I4279" s="46" t="str">
        <f>IF(INPUT!P4274="","",INPUT!P4274)</f>
        <v/>
      </c>
      <c r="J4279" s="46" t="str">
        <f>IF(INPUT!Q4274="","",INPUT!Q4274)</f>
        <v/>
      </c>
      <c r="K4279" s="46" t="str">
        <f>IFERROR(IF(OR(INPUT!P4274="",INPUT!Q4274=""),"",INPUT!P4274-INPUT!Q4274),"")</f>
        <v/>
      </c>
      <c r="L4279" s="48" t="str">
        <f>IFERROR(IF(OR(INPUT!P4274="",INPUT!Q4274="",INPUT!P4274=0),"",(INPUT!P4274-INPUT!Q4274)/INPUT!P4274),"")</f>
        <v/>
      </c>
    </row>
    <row r="4280" spans="1:12" ht="18" hidden="1" customHeight="1" x14ac:dyDescent="0.2">
      <c r="A4280" s="11" t="str">
        <f>IF(INPUT!M4275="","",INPUT!M4275)</f>
        <v/>
      </c>
      <c r="B4280" s="11" t="str">
        <f>IF(INPUT!M4275="","",INPUT!M4275-WEEKDAY(INPUT!M4275,2)+1)</f>
        <v/>
      </c>
      <c r="C4280" s="20">
        <f>IFERROR(_xlfn.ISOWEEKNUM(INPUT!M4275),"")</f>
        <v>52</v>
      </c>
      <c r="D4280" s="20">
        <f>IFERROR(YEAR(INPUT!M4275),"")</f>
        <v>1900</v>
      </c>
      <c r="E4280" t="str">
        <f>IF(INPUT!O4275="","",INPUT!O4275)</f>
        <v/>
      </c>
      <c r="F4280" t="str">
        <f>IF(INPUT!N4275="","",INPUT!N4275)</f>
        <v/>
      </c>
      <c r="G4280" cm="1">
        <f t="array" ref="G4280">IFERROR(VLOOKUP(INPUT!M4275&amp;INPUT!N4275,CHOOSE({1,2},INPUT!$A$3:$A$5000&amp;INPUT!$C$3:$C$5000,INPUT!$F$3:$F$5000),2,FALSE),"")</f>
        <v>0</v>
      </c>
      <c r="H4280" cm="1">
        <f t="array" ref="H4280">IFERROR(VLOOKUP(INPUT!M4275&amp;INPUT!N4275,CHOOSE({1,2},INPUT!$A$3:$A$5000&amp;INPUT!$C$3:$C$5000,INPUT!$D$3:$D$5000),2,FALSE),"")</f>
        <v>0</v>
      </c>
      <c r="I4280" s="46" t="str">
        <f>IF(INPUT!P4275="","",INPUT!P4275)</f>
        <v/>
      </c>
      <c r="J4280" s="46" t="str">
        <f>IF(INPUT!Q4275="","",INPUT!Q4275)</f>
        <v/>
      </c>
      <c r="K4280" s="46" t="str">
        <f>IFERROR(IF(OR(INPUT!P4275="",INPUT!Q4275=""),"",INPUT!P4275-INPUT!Q4275),"")</f>
        <v/>
      </c>
      <c r="L4280" s="48" t="str">
        <f>IFERROR(IF(OR(INPUT!P4275="",INPUT!Q4275="",INPUT!P4275=0),"",(INPUT!P4275-INPUT!Q4275)/INPUT!P4275),"")</f>
        <v/>
      </c>
    </row>
    <row r="4281" spans="1:12" ht="18" hidden="1" customHeight="1" x14ac:dyDescent="0.2">
      <c r="A4281" s="11" t="str">
        <f>IF(INPUT!M4276="","",INPUT!M4276)</f>
        <v/>
      </c>
      <c r="B4281" s="11" t="str">
        <f>IF(INPUT!M4276="","",INPUT!M4276-WEEKDAY(INPUT!M4276,2)+1)</f>
        <v/>
      </c>
      <c r="C4281" s="20">
        <f>IFERROR(_xlfn.ISOWEEKNUM(INPUT!M4276),"")</f>
        <v>52</v>
      </c>
      <c r="D4281" s="20">
        <f>IFERROR(YEAR(INPUT!M4276),"")</f>
        <v>1900</v>
      </c>
      <c r="E4281" t="str">
        <f>IF(INPUT!O4276="","",INPUT!O4276)</f>
        <v/>
      </c>
      <c r="F4281" t="str">
        <f>IF(INPUT!N4276="","",INPUT!N4276)</f>
        <v/>
      </c>
      <c r="G4281" cm="1">
        <f t="array" ref="G4281">IFERROR(VLOOKUP(INPUT!M4276&amp;INPUT!N4276,CHOOSE({1,2},INPUT!$A$3:$A$5000&amp;INPUT!$C$3:$C$5000,INPUT!$F$3:$F$5000),2,FALSE),"")</f>
        <v>0</v>
      </c>
      <c r="H4281" cm="1">
        <f t="array" ref="H4281">IFERROR(VLOOKUP(INPUT!M4276&amp;INPUT!N4276,CHOOSE({1,2},INPUT!$A$3:$A$5000&amp;INPUT!$C$3:$C$5000,INPUT!$D$3:$D$5000),2,FALSE),"")</f>
        <v>0</v>
      </c>
      <c r="I4281" s="46" t="str">
        <f>IF(INPUT!P4276="","",INPUT!P4276)</f>
        <v/>
      </c>
      <c r="J4281" s="46" t="str">
        <f>IF(INPUT!Q4276="","",INPUT!Q4276)</f>
        <v/>
      </c>
      <c r="K4281" s="46" t="str">
        <f>IFERROR(IF(OR(INPUT!P4276="",INPUT!Q4276=""),"",INPUT!P4276-INPUT!Q4276),"")</f>
        <v/>
      </c>
      <c r="L4281" s="48" t="str">
        <f>IFERROR(IF(OR(INPUT!P4276="",INPUT!Q4276="",INPUT!P4276=0),"",(INPUT!P4276-INPUT!Q4276)/INPUT!P4276),"")</f>
        <v/>
      </c>
    </row>
    <row r="4282" spans="1:12" ht="18" hidden="1" customHeight="1" x14ac:dyDescent="0.2">
      <c r="A4282" s="11" t="str">
        <f>IF(INPUT!M4277="","",INPUT!M4277)</f>
        <v/>
      </c>
      <c r="B4282" s="11" t="str">
        <f>IF(INPUT!M4277="","",INPUT!M4277-WEEKDAY(INPUT!M4277,2)+1)</f>
        <v/>
      </c>
      <c r="C4282" s="20">
        <f>IFERROR(_xlfn.ISOWEEKNUM(INPUT!M4277),"")</f>
        <v>52</v>
      </c>
      <c r="D4282" s="20">
        <f>IFERROR(YEAR(INPUT!M4277),"")</f>
        <v>1900</v>
      </c>
      <c r="E4282" t="str">
        <f>IF(INPUT!O4277="","",INPUT!O4277)</f>
        <v/>
      </c>
      <c r="F4282" t="str">
        <f>IF(INPUT!N4277="","",INPUT!N4277)</f>
        <v/>
      </c>
      <c r="G4282" cm="1">
        <f t="array" ref="G4282">IFERROR(VLOOKUP(INPUT!M4277&amp;INPUT!N4277,CHOOSE({1,2},INPUT!$A$3:$A$5000&amp;INPUT!$C$3:$C$5000,INPUT!$F$3:$F$5000),2,FALSE),"")</f>
        <v>0</v>
      </c>
      <c r="H4282" cm="1">
        <f t="array" ref="H4282">IFERROR(VLOOKUP(INPUT!M4277&amp;INPUT!N4277,CHOOSE({1,2},INPUT!$A$3:$A$5000&amp;INPUT!$C$3:$C$5000,INPUT!$D$3:$D$5000),2,FALSE),"")</f>
        <v>0</v>
      </c>
      <c r="I4282" s="46" t="str">
        <f>IF(INPUT!P4277="","",INPUT!P4277)</f>
        <v/>
      </c>
      <c r="J4282" s="46" t="str">
        <f>IF(INPUT!Q4277="","",INPUT!Q4277)</f>
        <v/>
      </c>
      <c r="K4282" s="46" t="str">
        <f>IFERROR(IF(OR(INPUT!P4277="",INPUT!Q4277=""),"",INPUT!P4277-INPUT!Q4277),"")</f>
        <v/>
      </c>
      <c r="L4282" s="48" t="str">
        <f>IFERROR(IF(OR(INPUT!P4277="",INPUT!Q4277="",INPUT!P4277=0),"",(INPUT!P4277-INPUT!Q4277)/INPUT!P4277),"")</f>
        <v/>
      </c>
    </row>
    <row r="4283" spans="1:12" ht="18" hidden="1" customHeight="1" x14ac:dyDescent="0.2">
      <c r="A4283" s="11" t="str">
        <f>IF(INPUT!M4278="","",INPUT!M4278)</f>
        <v/>
      </c>
      <c r="B4283" s="11" t="str">
        <f>IF(INPUT!M4278="","",INPUT!M4278-WEEKDAY(INPUT!M4278,2)+1)</f>
        <v/>
      </c>
      <c r="C4283" s="20">
        <f>IFERROR(_xlfn.ISOWEEKNUM(INPUT!M4278),"")</f>
        <v>52</v>
      </c>
      <c r="D4283" s="20">
        <f>IFERROR(YEAR(INPUT!M4278),"")</f>
        <v>1900</v>
      </c>
      <c r="E4283" t="str">
        <f>IF(INPUT!O4278="","",INPUT!O4278)</f>
        <v/>
      </c>
      <c r="F4283" t="str">
        <f>IF(INPUT!N4278="","",INPUT!N4278)</f>
        <v/>
      </c>
      <c r="G4283" cm="1">
        <f t="array" ref="G4283">IFERROR(VLOOKUP(INPUT!M4278&amp;INPUT!N4278,CHOOSE({1,2},INPUT!$A$3:$A$5000&amp;INPUT!$C$3:$C$5000,INPUT!$F$3:$F$5000),2,FALSE),"")</f>
        <v>0</v>
      </c>
      <c r="H4283" cm="1">
        <f t="array" ref="H4283">IFERROR(VLOOKUP(INPUT!M4278&amp;INPUT!N4278,CHOOSE({1,2},INPUT!$A$3:$A$5000&amp;INPUT!$C$3:$C$5000,INPUT!$D$3:$D$5000),2,FALSE),"")</f>
        <v>0</v>
      </c>
      <c r="I4283" s="46" t="str">
        <f>IF(INPUT!P4278="","",INPUT!P4278)</f>
        <v/>
      </c>
      <c r="J4283" s="46" t="str">
        <f>IF(INPUT!Q4278="","",INPUT!Q4278)</f>
        <v/>
      </c>
      <c r="K4283" s="46" t="str">
        <f>IFERROR(IF(OR(INPUT!P4278="",INPUT!Q4278=""),"",INPUT!P4278-INPUT!Q4278),"")</f>
        <v/>
      </c>
      <c r="L4283" s="48" t="str">
        <f>IFERROR(IF(OR(INPUT!P4278="",INPUT!Q4278="",INPUT!P4278=0),"",(INPUT!P4278-INPUT!Q4278)/INPUT!P4278),"")</f>
        <v/>
      </c>
    </row>
    <row r="4284" spans="1:12" ht="18" hidden="1" customHeight="1" x14ac:dyDescent="0.2">
      <c r="A4284" s="11" t="str">
        <f>IF(INPUT!M4279="","",INPUT!M4279)</f>
        <v/>
      </c>
      <c r="B4284" s="11" t="str">
        <f>IF(INPUT!M4279="","",INPUT!M4279-WEEKDAY(INPUT!M4279,2)+1)</f>
        <v/>
      </c>
      <c r="C4284" s="20">
        <f>IFERROR(_xlfn.ISOWEEKNUM(INPUT!M4279),"")</f>
        <v>52</v>
      </c>
      <c r="D4284" s="20">
        <f>IFERROR(YEAR(INPUT!M4279),"")</f>
        <v>1900</v>
      </c>
      <c r="E4284" t="str">
        <f>IF(INPUT!O4279="","",INPUT!O4279)</f>
        <v/>
      </c>
      <c r="F4284" t="str">
        <f>IF(INPUT!N4279="","",INPUT!N4279)</f>
        <v/>
      </c>
      <c r="G4284" cm="1">
        <f t="array" ref="G4284">IFERROR(VLOOKUP(INPUT!M4279&amp;INPUT!N4279,CHOOSE({1,2},INPUT!$A$3:$A$5000&amp;INPUT!$C$3:$C$5000,INPUT!$F$3:$F$5000),2,FALSE),"")</f>
        <v>0</v>
      </c>
      <c r="H4284" cm="1">
        <f t="array" ref="H4284">IFERROR(VLOOKUP(INPUT!M4279&amp;INPUT!N4279,CHOOSE({1,2},INPUT!$A$3:$A$5000&amp;INPUT!$C$3:$C$5000,INPUT!$D$3:$D$5000),2,FALSE),"")</f>
        <v>0</v>
      </c>
      <c r="I4284" s="46" t="str">
        <f>IF(INPUT!P4279="","",INPUT!P4279)</f>
        <v/>
      </c>
      <c r="J4284" s="46" t="str">
        <f>IF(INPUT!Q4279="","",INPUT!Q4279)</f>
        <v/>
      </c>
      <c r="K4284" s="46" t="str">
        <f>IFERROR(IF(OR(INPUT!P4279="",INPUT!Q4279=""),"",INPUT!P4279-INPUT!Q4279),"")</f>
        <v/>
      </c>
      <c r="L4284" s="48" t="str">
        <f>IFERROR(IF(OR(INPUT!P4279="",INPUT!Q4279="",INPUT!P4279=0),"",(INPUT!P4279-INPUT!Q4279)/INPUT!P4279),"")</f>
        <v/>
      </c>
    </row>
    <row r="4285" spans="1:12" ht="18" hidden="1" customHeight="1" x14ac:dyDescent="0.2">
      <c r="A4285" s="11" t="str">
        <f>IF(INPUT!M4280="","",INPUT!M4280)</f>
        <v/>
      </c>
      <c r="B4285" s="11" t="str">
        <f>IF(INPUT!M4280="","",INPUT!M4280-WEEKDAY(INPUT!M4280,2)+1)</f>
        <v/>
      </c>
      <c r="C4285" s="20">
        <f>IFERROR(_xlfn.ISOWEEKNUM(INPUT!M4280),"")</f>
        <v>52</v>
      </c>
      <c r="D4285" s="20">
        <f>IFERROR(YEAR(INPUT!M4280),"")</f>
        <v>1900</v>
      </c>
      <c r="E4285" t="str">
        <f>IF(INPUT!O4280="","",INPUT!O4280)</f>
        <v/>
      </c>
      <c r="F4285" t="str">
        <f>IF(INPUT!N4280="","",INPUT!N4280)</f>
        <v/>
      </c>
      <c r="G4285" cm="1">
        <f t="array" ref="G4285">IFERROR(VLOOKUP(INPUT!M4280&amp;INPUT!N4280,CHOOSE({1,2},INPUT!$A$3:$A$5000&amp;INPUT!$C$3:$C$5000,INPUT!$F$3:$F$5000),2,FALSE),"")</f>
        <v>0</v>
      </c>
      <c r="H4285" cm="1">
        <f t="array" ref="H4285">IFERROR(VLOOKUP(INPUT!M4280&amp;INPUT!N4280,CHOOSE({1,2},INPUT!$A$3:$A$5000&amp;INPUT!$C$3:$C$5000,INPUT!$D$3:$D$5000),2,FALSE),"")</f>
        <v>0</v>
      </c>
      <c r="I4285" s="46" t="str">
        <f>IF(INPUT!P4280="","",INPUT!P4280)</f>
        <v/>
      </c>
      <c r="J4285" s="46" t="str">
        <f>IF(INPUT!Q4280="","",INPUT!Q4280)</f>
        <v/>
      </c>
      <c r="K4285" s="46" t="str">
        <f>IFERROR(IF(OR(INPUT!P4280="",INPUT!Q4280=""),"",INPUT!P4280-INPUT!Q4280),"")</f>
        <v/>
      </c>
      <c r="L4285" s="48" t="str">
        <f>IFERROR(IF(OR(INPUT!P4280="",INPUT!Q4280="",INPUT!P4280=0),"",(INPUT!P4280-INPUT!Q4280)/INPUT!P4280),"")</f>
        <v/>
      </c>
    </row>
    <row r="4286" spans="1:12" ht="18" hidden="1" customHeight="1" x14ac:dyDescent="0.2">
      <c r="A4286" s="11" t="str">
        <f>IF(INPUT!M4281="","",INPUT!M4281)</f>
        <v/>
      </c>
      <c r="B4286" s="11" t="str">
        <f>IF(INPUT!M4281="","",INPUT!M4281-WEEKDAY(INPUT!M4281,2)+1)</f>
        <v/>
      </c>
      <c r="C4286" s="20">
        <f>IFERROR(_xlfn.ISOWEEKNUM(INPUT!M4281),"")</f>
        <v>52</v>
      </c>
      <c r="D4286" s="20">
        <f>IFERROR(YEAR(INPUT!M4281),"")</f>
        <v>1900</v>
      </c>
      <c r="E4286" t="str">
        <f>IF(INPUT!O4281="","",INPUT!O4281)</f>
        <v/>
      </c>
      <c r="F4286" t="str">
        <f>IF(INPUT!N4281="","",INPUT!N4281)</f>
        <v/>
      </c>
      <c r="G4286" cm="1">
        <f t="array" ref="G4286">IFERROR(VLOOKUP(INPUT!M4281&amp;INPUT!N4281,CHOOSE({1,2},INPUT!$A$3:$A$5000&amp;INPUT!$C$3:$C$5000,INPUT!$F$3:$F$5000),2,FALSE),"")</f>
        <v>0</v>
      </c>
      <c r="H4286" cm="1">
        <f t="array" ref="H4286">IFERROR(VLOOKUP(INPUT!M4281&amp;INPUT!N4281,CHOOSE({1,2},INPUT!$A$3:$A$5000&amp;INPUT!$C$3:$C$5000,INPUT!$D$3:$D$5000),2,FALSE),"")</f>
        <v>0</v>
      </c>
      <c r="I4286" s="46" t="str">
        <f>IF(INPUT!P4281="","",INPUT!P4281)</f>
        <v/>
      </c>
      <c r="J4286" s="46" t="str">
        <f>IF(INPUT!Q4281="","",INPUT!Q4281)</f>
        <v/>
      </c>
      <c r="K4286" s="46" t="str">
        <f>IFERROR(IF(OR(INPUT!P4281="",INPUT!Q4281=""),"",INPUT!P4281-INPUT!Q4281),"")</f>
        <v/>
      </c>
      <c r="L4286" s="48" t="str">
        <f>IFERROR(IF(OR(INPUT!P4281="",INPUT!Q4281="",INPUT!P4281=0),"",(INPUT!P4281-INPUT!Q4281)/INPUT!P4281),"")</f>
        <v/>
      </c>
    </row>
    <row r="4287" spans="1:12" ht="18" hidden="1" customHeight="1" x14ac:dyDescent="0.2">
      <c r="A4287" s="11" t="str">
        <f>IF(INPUT!M4282="","",INPUT!M4282)</f>
        <v/>
      </c>
      <c r="B4287" s="11" t="str">
        <f>IF(INPUT!M4282="","",INPUT!M4282-WEEKDAY(INPUT!M4282,2)+1)</f>
        <v/>
      </c>
      <c r="C4287" s="20">
        <f>IFERROR(_xlfn.ISOWEEKNUM(INPUT!M4282),"")</f>
        <v>52</v>
      </c>
      <c r="D4287" s="20">
        <f>IFERROR(YEAR(INPUT!M4282),"")</f>
        <v>1900</v>
      </c>
      <c r="E4287" t="str">
        <f>IF(INPUT!O4282="","",INPUT!O4282)</f>
        <v/>
      </c>
      <c r="F4287" t="str">
        <f>IF(INPUT!N4282="","",INPUT!N4282)</f>
        <v/>
      </c>
      <c r="G4287" cm="1">
        <f t="array" ref="G4287">IFERROR(VLOOKUP(INPUT!M4282&amp;INPUT!N4282,CHOOSE({1,2},INPUT!$A$3:$A$5000&amp;INPUT!$C$3:$C$5000,INPUT!$F$3:$F$5000),2,FALSE),"")</f>
        <v>0</v>
      </c>
      <c r="H4287" cm="1">
        <f t="array" ref="H4287">IFERROR(VLOOKUP(INPUT!M4282&amp;INPUT!N4282,CHOOSE({1,2},INPUT!$A$3:$A$5000&amp;INPUT!$C$3:$C$5000,INPUT!$D$3:$D$5000),2,FALSE),"")</f>
        <v>0</v>
      </c>
      <c r="I4287" s="46" t="str">
        <f>IF(INPUT!P4282="","",INPUT!P4282)</f>
        <v/>
      </c>
      <c r="J4287" s="46" t="str">
        <f>IF(INPUT!Q4282="","",INPUT!Q4282)</f>
        <v/>
      </c>
      <c r="K4287" s="46" t="str">
        <f>IFERROR(IF(OR(INPUT!P4282="",INPUT!Q4282=""),"",INPUT!P4282-INPUT!Q4282),"")</f>
        <v/>
      </c>
      <c r="L4287" s="48" t="str">
        <f>IFERROR(IF(OR(INPUT!P4282="",INPUT!Q4282="",INPUT!P4282=0),"",(INPUT!P4282-INPUT!Q4282)/INPUT!P4282),"")</f>
        <v/>
      </c>
    </row>
    <row r="4288" spans="1:12" ht="18" hidden="1" customHeight="1" x14ac:dyDescent="0.2">
      <c r="A4288" s="11" t="str">
        <f>IF(INPUT!M4283="","",INPUT!M4283)</f>
        <v/>
      </c>
      <c r="B4288" s="11" t="str">
        <f>IF(INPUT!M4283="","",INPUT!M4283-WEEKDAY(INPUT!M4283,2)+1)</f>
        <v/>
      </c>
      <c r="C4288" s="20">
        <f>IFERROR(_xlfn.ISOWEEKNUM(INPUT!M4283),"")</f>
        <v>52</v>
      </c>
      <c r="D4288" s="20">
        <f>IFERROR(YEAR(INPUT!M4283),"")</f>
        <v>1900</v>
      </c>
      <c r="E4288" t="str">
        <f>IF(INPUT!O4283="","",INPUT!O4283)</f>
        <v/>
      </c>
      <c r="F4288" t="str">
        <f>IF(INPUT!N4283="","",INPUT!N4283)</f>
        <v/>
      </c>
      <c r="G4288" cm="1">
        <f t="array" ref="G4288">IFERROR(VLOOKUP(INPUT!M4283&amp;INPUT!N4283,CHOOSE({1,2},INPUT!$A$3:$A$5000&amp;INPUT!$C$3:$C$5000,INPUT!$F$3:$F$5000),2,FALSE),"")</f>
        <v>0</v>
      </c>
      <c r="H4288" cm="1">
        <f t="array" ref="H4288">IFERROR(VLOOKUP(INPUT!M4283&amp;INPUT!N4283,CHOOSE({1,2},INPUT!$A$3:$A$5000&amp;INPUT!$C$3:$C$5000,INPUT!$D$3:$D$5000),2,FALSE),"")</f>
        <v>0</v>
      </c>
      <c r="I4288" s="46" t="str">
        <f>IF(INPUT!P4283="","",INPUT!P4283)</f>
        <v/>
      </c>
      <c r="J4288" s="46" t="str">
        <f>IF(INPUT!Q4283="","",INPUT!Q4283)</f>
        <v/>
      </c>
      <c r="K4288" s="46" t="str">
        <f>IFERROR(IF(OR(INPUT!P4283="",INPUT!Q4283=""),"",INPUT!P4283-INPUT!Q4283),"")</f>
        <v/>
      </c>
      <c r="L4288" s="48" t="str">
        <f>IFERROR(IF(OR(INPUT!P4283="",INPUT!Q4283="",INPUT!P4283=0),"",(INPUT!P4283-INPUT!Q4283)/INPUT!P4283),"")</f>
        <v/>
      </c>
    </row>
    <row r="4289" spans="1:12" ht="18" hidden="1" customHeight="1" x14ac:dyDescent="0.2">
      <c r="A4289" s="11" t="str">
        <f>IF(INPUT!M4284="","",INPUT!M4284)</f>
        <v/>
      </c>
      <c r="B4289" s="11" t="str">
        <f>IF(INPUT!M4284="","",INPUT!M4284-WEEKDAY(INPUT!M4284,2)+1)</f>
        <v/>
      </c>
      <c r="C4289" s="20">
        <f>IFERROR(_xlfn.ISOWEEKNUM(INPUT!M4284),"")</f>
        <v>52</v>
      </c>
      <c r="D4289" s="20">
        <f>IFERROR(YEAR(INPUT!M4284),"")</f>
        <v>1900</v>
      </c>
      <c r="E4289" t="str">
        <f>IF(INPUT!O4284="","",INPUT!O4284)</f>
        <v/>
      </c>
      <c r="F4289" t="str">
        <f>IF(INPUT!N4284="","",INPUT!N4284)</f>
        <v/>
      </c>
      <c r="G4289" cm="1">
        <f t="array" ref="G4289">IFERROR(VLOOKUP(INPUT!M4284&amp;INPUT!N4284,CHOOSE({1,2},INPUT!$A$3:$A$5000&amp;INPUT!$C$3:$C$5000,INPUT!$F$3:$F$5000),2,FALSE),"")</f>
        <v>0</v>
      </c>
      <c r="H4289" cm="1">
        <f t="array" ref="H4289">IFERROR(VLOOKUP(INPUT!M4284&amp;INPUT!N4284,CHOOSE({1,2},INPUT!$A$3:$A$5000&amp;INPUT!$C$3:$C$5000,INPUT!$D$3:$D$5000),2,FALSE),"")</f>
        <v>0</v>
      </c>
      <c r="I4289" s="46" t="str">
        <f>IF(INPUT!P4284="","",INPUT!P4284)</f>
        <v/>
      </c>
      <c r="J4289" s="46" t="str">
        <f>IF(INPUT!Q4284="","",INPUT!Q4284)</f>
        <v/>
      </c>
      <c r="K4289" s="46" t="str">
        <f>IFERROR(IF(OR(INPUT!P4284="",INPUT!Q4284=""),"",INPUT!P4284-INPUT!Q4284),"")</f>
        <v/>
      </c>
      <c r="L4289" s="48" t="str">
        <f>IFERROR(IF(OR(INPUT!P4284="",INPUT!Q4284="",INPUT!P4284=0),"",(INPUT!P4284-INPUT!Q4284)/INPUT!P4284),"")</f>
        <v/>
      </c>
    </row>
    <row r="4290" spans="1:12" ht="18" hidden="1" customHeight="1" x14ac:dyDescent="0.2">
      <c r="A4290" s="11" t="str">
        <f>IF(INPUT!M4285="","",INPUT!M4285)</f>
        <v/>
      </c>
      <c r="B4290" s="11" t="str">
        <f>IF(INPUT!M4285="","",INPUT!M4285-WEEKDAY(INPUT!M4285,2)+1)</f>
        <v/>
      </c>
      <c r="C4290" s="20">
        <f>IFERROR(_xlfn.ISOWEEKNUM(INPUT!M4285),"")</f>
        <v>52</v>
      </c>
      <c r="D4290" s="20">
        <f>IFERROR(YEAR(INPUT!M4285),"")</f>
        <v>1900</v>
      </c>
      <c r="E4290" t="str">
        <f>IF(INPUT!O4285="","",INPUT!O4285)</f>
        <v/>
      </c>
      <c r="F4290" t="str">
        <f>IF(INPUT!N4285="","",INPUT!N4285)</f>
        <v/>
      </c>
      <c r="G4290" cm="1">
        <f t="array" ref="G4290">IFERROR(VLOOKUP(INPUT!M4285&amp;INPUT!N4285,CHOOSE({1,2},INPUT!$A$3:$A$5000&amp;INPUT!$C$3:$C$5000,INPUT!$F$3:$F$5000),2,FALSE),"")</f>
        <v>0</v>
      </c>
      <c r="H4290" cm="1">
        <f t="array" ref="H4290">IFERROR(VLOOKUP(INPUT!M4285&amp;INPUT!N4285,CHOOSE({1,2},INPUT!$A$3:$A$5000&amp;INPUT!$C$3:$C$5000,INPUT!$D$3:$D$5000),2,FALSE),"")</f>
        <v>0</v>
      </c>
      <c r="I4290" s="46" t="str">
        <f>IF(INPUT!P4285="","",INPUT!P4285)</f>
        <v/>
      </c>
      <c r="J4290" s="46" t="str">
        <f>IF(INPUT!Q4285="","",INPUT!Q4285)</f>
        <v/>
      </c>
      <c r="K4290" s="46" t="str">
        <f>IFERROR(IF(OR(INPUT!P4285="",INPUT!Q4285=""),"",INPUT!P4285-INPUT!Q4285),"")</f>
        <v/>
      </c>
      <c r="L4290" s="48" t="str">
        <f>IFERROR(IF(OR(INPUT!P4285="",INPUT!Q4285="",INPUT!P4285=0),"",(INPUT!P4285-INPUT!Q4285)/INPUT!P4285),"")</f>
        <v/>
      </c>
    </row>
    <row r="4291" spans="1:12" ht="18" hidden="1" customHeight="1" x14ac:dyDescent="0.2">
      <c r="A4291" s="11" t="str">
        <f>IF(INPUT!M4286="","",INPUT!M4286)</f>
        <v/>
      </c>
      <c r="B4291" s="11" t="str">
        <f>IF(INPUT!M4286="","",INPUT!M4286-WEEKDAY(INPUT!M4286,2)+1)</f>
        <v/>
      </c>
      <c r="C4291" s="20">
        <f>IFERROR(_xlfn.ISOWEEKNUM(INPUT!M4286),"")</f>
        <v>52</v>
      </c>
      <c r="D4291" s="20">
        <f>IFERROR(YEAR(INPUT!M4286),"")</f>
        <v>1900</v>
      </c>
      <c r="E4291" t="str">
        <f>IF(INPUT!O4286="","",INPUT!O4286)</f>
        <v/>
      </c>
      <c r="F4291" t="str">
        <f>IF(INPUT!N4286="","",INPUT!N4286)</f>
        <v/>
      </c>
      <c r="G4291" cm="1">
        <f t="array" ref="G4291">IFERROR(VLOOKUP(INPUT!M4286&amp;INPUT!N4286,CHOOSE({1,2},INPUT!$A$3:$A$5000&amp;INPUT!$C$3:$C$5000,INPUT!$F$3:$F$5000),2,FALSE),"")</f>
        <v>0</v>
      </c>
      <c r="H4291" cm="1">
        <f t="array" ref="H4291">IFERROR(VLOOKUP(INPUT!M4286&amp;INPUT!N4286,CHOOSE({1,2},INPUT!$A$3:$A$5000&amp;INPUT!$C$3:$C$5000,INPUT!$D$3:$D$5000),2,FALSE),"")</f>
        <v>0</v>
      </c>
      <c r="I4291" s="46" t="str">
        <f>IF(INPUT!P4286="","",INPUT!P4286)</f>
        <v/>
      </c>
      <c r="J4291" s="46" t="str">
        <f>IF(INPUT!Q4286="","",INPUT!Q4286)</f>
        <v/>
      </c>
      <c r="K4291" s="46" t="str">
        <f>IFERROR(IF(OR(INPUT!P4286="",INPUT!Q4286=""),"",INPUT!P4286-INPUT!Q4286),"")</f>
        <v/>
      </c>
      <c r="L4291" s="48" t="str">
        <f>IFERROR(IF(OR(INPUT!P4286="",INPUT!Q4286="",INPUT!P4286=0),"",(INPUT!P4286-INPUT!Q4286)/INPUT!P4286),"")</f>
        <v/>
      </c>
    </row>
    <row r="4292" spans="1:12" ht="18" hidden="1" customHeight="1" x14ac:dyDescent="0.2">
      <c r="A4292" s="11" t="str">
        <f>IF(INPUT!M4287="","",INPUT!M4287)</f>
        <v/>
      </c>
      <c r="B4292" s="11" t="str">
        <f>IF(INPUT!M4287="","",INPUT!M4287-WEEKDAY(INPUT!M4287,2)+1)</f>
        <v/>
      </c>
      <c r="C4292" s="20">
        <f>IFERROR(_xlfn.ISOWEEKNUM(INPUT!M4287),"")</f>
        <v>52</v>
      </c>
      <c r="D4292" s="20">
        <f>IFERROR(YEAR(INPUT!M4287),"")</f>
        <v>1900</v>
      </c>
      <c r="E4292" t="str">
        <f>IF(INPUT!O4287="","",INPUT!O4287)</f>
        <v/>
      </c>
      <c r="F4292" t="str">
        <f>IF(INPUT!N4287="","",INPUT!N4287)</f>
        <v/>
      </c>
      <c r="G4292" cm="1">
        <f t="array" ref="G4292">IFERROR(VLOOKUP(INPUT!M4287&amp;INPUT!N4287,CHOOSE({1,2},INPUT!$A$3:$A$5000&amp;INPUT!$C$3:$C$5000,INPUT!$F$3:$F$5000),2,FALSE),"")</f>
        <v>0</v>
      </c>
      <c r="H4292" cm="1">
        <f t="array" ref="H4292">IFERROR(VLOOKUP(INPUT!M4287&amp;INPUT!N4287,CHOOSE({1,2},INPUT!$A$3:$A$5000&amp;INPUT!$C$3:$C$5000,INPUT!$D$3:$D$5000),2,FALSE),"")</f>
        <v>0</v>
      </c>
      <c r="I4292" s="46" t="str">
        <f>IF(INPUT!P4287="","",INPUT!P4287)</f>
        <v/>
      </c>
      <c r="J4292" s="46" t="str">
        <f>IF(INPUT!Q4287="","",INPUT!Q4287)</f>
        <v/>
      </c>
      <c r="K4292" s="46" t="str">
        <f>IFERROR(IF(OR(INPUT!P4287="",INPUT!Q4287=""),"",INPUT!P4287-INPUT!Q4287),"")</f>
        <v/>
      </c>
      <c r="L4292" s="48" t="str">
        <f>IFERROR(IF(OR(INPUT!P4287="",INPUT!Q4287="",INPUT!P4287=0),"",(INPUT!P4287-INPUT!Q4287)/INPUT!P4287),"")</f>
        <v/>
      </c>
    </row>
    <row r="4293" spans="1:12" ht="18" hidden="1" customHeight="1" x14ac:dyDescent="0.2">
      <c r="A4293" s="11" t="str">
        <f>IF(INPUT!M4288="","",INPUT!M4288)</f>
        <v/>
      </c>
      <c r="B4293" s="11" t="str">
        <f>IF(INPUT!M4288="","",INPUT!M4288-WEEKDAY(INPUT!M4288,2)+1)</f>
        <v/>
      </c>
      <c r="C4293" s="20">
        <f>IFERROR(_xlfn.ISOWEEKNUM(INPUT!M4288),"")</f>
        <v>52</v>
      </c>
      <c r="D4293" s="20">
        <f>IFERROR(YEAR(INPUT!M4288),"")</f>
        <v>1900</v>
      </c>
      <c r="E4293" t="str">
        <f>IF(INPUT!O4288="","",INPUT!O4288)</f>
        <v/>
      </c>
      <c r="F4293" t="str">
        <f>IF(INPUT!N4288="","",INPUT!N4288)</f>
        <v/>
      </c>
      <c r="G4293" cm="1">
        <f t="array" ref="G4293">IFERROR(VLOOKUP(INPUT!M4288&amp;INPUT!N4288,CHOOSE({1,2},INPUT!$A$3:$A$5000&amp;INPUT!$C$3:$C$5000,INPUT!$F$3:$F$5000),2,FALSE),"")</f>
        <v>0</v>
      </c>
      <c r="H4293" cm="1">
        <f t="array" ref="H4293">IFERROR(VLOOKUP(INPUT!M4288&amp;INPUT!N4288,CHOOSE({1,2},INPUT!$A$3:$A$5000&amp;INPUT!$C$3:$C$5000,INPUT!$D$3:$D$5000),2,FALSE),"")</f>
        <v>0</v>
      </c>
      <c r="I4293" s="46" t="str">
        <f>IF(INPUT!P4288="","",INPUT!P4288)</f>
        <v/>
      </c>
      <c r="J4293" s="46" t="str">
        <f>IF(INPUT!Q4288="","",INPUT!Q4288)</f>
        <v/>
      </c>
      <c r="K4293" s="46" t="str">
        <f>IFERROR(IF(OR(INPUT!P4288="",INPUT!Q4288=""),"",INPUT!P4288-INPUT!Q4288),"")</f>
        <v/>
      </c>
      <c r="L4293" s="48" t="str">
        <f>IFERROR(IF(OR(INPUT!P4288="",INPUT!Q4288="",INPUT!P4288=0),"",(INPUT!P4288-INPUT!Q4288)/INPUT!P4288),"")</f>
        <v/>
      </c>
    </row>
    <row r="4294" spans="1:12" ht="18" hidden="1" customHeight="1" x14ac:dyDescent="0.2">
      <c r="A4294" s="11" t="str">
        <f>IF(INPUT!M4289="","",INPUT!M4289)</f>
        <v/>
      </c>
      <c r="B4294" s="11" t="str">
        <f>IF(INPUT!M4289="","",INPUT!M4289-WEEKDAY(INPUT!M4289,2)+1)</f>
        <v/>
      </c>
      <c r="C4294" s="20">
        <f>IFERROR(_xlfn.ISOWEEKNUM(INPUT!M4289),"")</f>
        <v>52</v>
      </c>
      <c r="D4294" s="20">
        <f>IFERROR(YEAR(INPUT!M4289),"")</f>
        <v>1900</v>
      </c>
      <c r="E4294" t="str">
        <f>IF(INPUT!O4289="","",INPUT!O4289)</f>
        <v/>
      </c>
      <c r="F4294" t="str">
        <f>IF(INPUT!N4289="","",INPUT!N4289)</f>
        <v/>
      </c>
      <c r="G4294" cm="1">
        <f t="array" ref="G4294">IFERROR(VLOOKUP(INPUT!M4289&amp;INPUT!N4289,CHOOSE({1,2},INPUT!$A$3:$A$5000&amp;INPUT!$C$3:$C$5000,INPUT!$F$3:$F$5000),2,FALSE),"")</f>
        <v>0</v>
      </c>
      <c r="H4294" cm="1">
        <f t="array" ref="H4294">IFERROR(VLOOKUP(INPUT!M4289&amp;INPUT!N4289,CHOOSE({1,2},INPUT!$A$3:$A$5000&amp;INPUT!$C$3:$C$5000,INPUT!$D$3:$D$5000),2,FALSE),"")</f>
        <v>0</v>
      </c>
      <c r="I4294" s="46" t="str">
        <f>IF(INPUT!P4289="","",INPUT!P4289)</f>
        <v/>
      </c>
      <c r="J4294" s="46" t="str">
        <f>IF(INPUT!Q4289="","",INPUT!Q4289)</f>
        <v/>
      </c>
      <c r="K4294" s="46" t="str">
        <f>IFERROR(IF(OR(INPUT!P4289="",INPUT!Q4289=""),"",INPUT!P4289-INPUT!Q4289),"")</f>
        <v/>
      </c>
      <c r="L4294" s="48" t="str">
        <f>IFERROR(IF(OR(INPUT!P4289="",INPUT!Q4289="",INPUT!P4289=0),"",(INPUT!P4289-INPUT!Q4289)/INPUT!P4289),"")</f>
        <v/>
      </c>
    </row>
    <row r="4295" spans="1:12" ht="18" hidden="1" customHeight="1" x14ac:dyDescent="0.2">
      <c r="A4295" s="11" t="str">
        <f>IF(INPUT!M4290="","",INPUT!M4290)</f>
        <v/>
      </c>
      <c r="B4295" s="11" t="str">
        <f>IF(INPUT!M4290="","",INPUT!M4290-WEEKDAY(INPUT!M4290,2)+1)</f>
        <v/>
      </c>
      <c r="C4295" s="20">
        <f>IFERROR(_xlfn.ISOWEEKNUM(INPUT!M4290),"")</f>
        <v>52</v>
      </c>
      <c r="D4295" s="20">
        <f>IFERROR(YEAR(INPUT!M4290),"")</f>
        <v>1900</v>
      </c>
      <c r="E4295" t="str">
        <f>IF(INPUT!O4290="","",INPUT!O4290)</f>
        <v/>
      </c>
      <c r="F4295" t="str">
        <f>IF(INPUT!N4290="","",INPUT!N4290)</f>
        <v/>
      </c>
      <c r="G4295" cm="1">
        <f t="array" ref="G4295">IFERROR(VLOOKUP(INPUT!M4290&amp;INPUT!N4290,CHOOSE({1,2},INPUT!$A$3:$A$5000&amp;INPUT!$C$3:$C$5000,INPUT!$F$3:$F$5000),2,FALSE),"")</f>
        <v>0</v>
      </c>
      <c r="H4295" cm="1">
        <f t="array" ref="H4295">IFERROR(VLOOKUP(INPUT!M4290&amp;INPUT!N4290,CHOOSE({1,2},INPUT!$A$3:$A$5000&amp;INPUT!$C$3:$C$5000,INPUT!$D$3:$D$5000),2,FALSE),"")</f>
        <v>0</v>
      </c>
      <c r="I4295" s="46" t="str">
        <f>IF(INPUT!P4290="","",INPUT!P4290)</f>
        <v/>
      </c>
      <c r="J4295" s="46" t="str">
        <f>IF(INPUT!Q4290="","",INPUT!Q4290)</f>
        <v/>
      </c>
      <c r="K4295" s="46" t="str">
        <f>IFERROR(IF(OR(INPUT!P4290="",INPUT!Q4290=""),"",INPUT!P4290-INPUT!Q4290),"")</f>
        <v/>
      </c>
      <c r="L4295" s="48" t="str">
        <f>IFERROR(IF(OR(INPUT!P4290="",INPUT!Q4290="",INPUT!P4290=0),"",(INPUT!P4290-INPUT!Q4290)/INPUT!P4290),"")</f>
        <v/>
      </c>
    </row>
    <row r="4296" spans="1:12" ht="18" hidden="1" customHeight="1" x14ac:dyDescent="0.2">
      <c r="A4296" s="11" t="str">
        <f>IF(INPUT!M4291="","",INPUT!M4291)</f>
        <v/>
      </c>
      <c r="B4296" s="11" t="str">
        <f>IF(INPUT!M4291="","",INPUT!M4291-WEEKDAY(INPUT!M4291,2)+1)</f>
        <v/>
      </c>
      <c r="C4296" s="20">
        <f>IFERROR(_xlfn.ISOWEEKNUM(INPUT!M4291),"")</f>
        <v>52</v>
      </c>
      <c r="D4296" s="20">
        <f>IFERROR(YEAR(INPUT!M4291),"")</f>
        <v>1900</v>
      </c>
      <c r="E4296" t="str">
        <f>IF(INPUT!O4291="","",INPUT!O4291)</f>
        <v/>
      </c>
      <c r="F4296" t="str">
        <f>IF(INPUT!N4291="","",INPUT!N4291)</f>
        <v/>
      </c>
      <c r="G4296" cm="1">
        <f t="array" ref="G4296">IFERROR(VLOOKUP(INPUT!M4291&amp;INPUT!N4291,CHOOSE({1,2},INPUT!$A$3:$A$5000&amp;INPUT!$C$3:$C$5000,INPUT!$F$3:$F$5000),2,FALSE),"")</f>
        <v>0</v>
      </c>
      <c r="H4296" cm="1">
        <f t="array" ref="H4296">IFERROR(VLOOKUP(INPUT!M4291&amp;INPUT!N4291,CHOOSE({1,2},INPUT!$A$3:$A$5000&amp;INPUT!$C$3:$C$5000,INPUT!$D$3:$D$5000),2,FALSE),"")</f>
        <v>0</v>
      </c>
      <c r="I4296" s="46" t="str">
        <f>IF(INPUT!P4291="","",INPUT!P4291)</f>
        <v/>
      </c>
      <c r="J4296" s="46" t="str">
        <f>IF(INPUT!Q4291="","",INPUT!Q4291)</f>
        <v/>
      </c>
      <c r="K4296" s="46" t="str">
        <f>IFERROR(IF(OR(INPUT!P4291="",INPUT!Q4291=""),"",INPUT!P4291-INPUT!Q4291),"")</f>
        <v/>
      </c>
      <c r="L4296" s="48" t="str">
        <f>IFERROR(IF(OR(INPUT!P4291="",INPUT!Q4291="",INPUT!P4291=0),"",(INPUT!P4291-INPUT!Q4291)/INPUT!P4291),"")</f>
        <v/>
      </c>
    </row>
    <row r="4297" spans="1:12" ht="18" hidden="1" customHeight="1" x14ac:dyDescent="0.2">
      <c r="A4297" s="11" t="str">
        <f>IF(INPUT!M4292="","",INPUT!M4292)</f>
        <v/>
      </c>
      <c r="B4297" s="11" t="str">
        <f>IF(INPUT!M4292="","",INPUT!M4292-WEEKDAY(INPUT!M4292,2)+1)</f>
        <v/>
      </c>
      <c r="C4297" s="20">
        <f>IFERROR(_xlfn.ISOWEEKNUM(INPUT!M4292),"")</f>
        <v>52</v>
      </c>
      <c r="D4297" s="20">
        <f>IFERROR(YEAR(INPUT!M4292),"")</f>
        <v>1900</v>
      </c>
      <c r="E4297" t="str">
        <f>IF(INPUT!O4292="","",INPUT!O4292)</f>
        <v/>
      </c>
      <c r="F4297" t="str">
        <f>IF(INPUT!N4292="","",INPUT!N4292)</f>
        <v/>
      </c>
      <c r="G4297" cm="1">
        <f t="array" ref="G4297">IFERROR(VLOOKUP(INPUT!M4292&amp;INPUT!N4292,CHOOSE({1,2},INPUT!$A$3:$A$5000&amp;INPUT!$C$3:$C$5000,INPUT!$F$3:$F$5000),2,FALSE),"")</f>
        <v>0</v>
      </c>
      <c r="H4297" cm="1">
        <f t="array" ref="H4297">IFERROR(VLOOKUP(INPUT!M4292&amp;INPUT!N4292,CHOOSE({1,2},INPUT!$A$3:$A$5000&amp;INPUT!$C$3:$C$5000,INPUT!$D$3:$D$5000),2,FALSE),"")</f>
        <v>0</v>
      </c>
      <c r="I4297" s="46" t="str">
        <f>IF(INPUT!P4292="","",INPUT!P4292)</f>
        <v/>
      </c>
      <c r="J4297" s="46" t="str">
        <f>IF(INPUT!Q4292="","",INPUT!Q4292)</f>
        <v/>
      </c>
      <c r="K4297" s="46" t="str">
        <f>IFERROR(IF(OR(INPUT!P4292="",INPUT!Q4292=""),"",INPUT!P4292-INPUT!Q4292),"")</f>
        <v/>
      </c>
      <c r="L4297" s="48" t="str">
        <f>IFERROR(IF(OR(INPUT!P4292="",INPUT!Q4292="",INPUT!P4292=0),"",(INPUT!P4292-INPUT!Q4292)/INPUT!P4292),"")</f>
        <v/>
      </c>
    </row>
    <row r="4298" spans="1:12" ht="18" hidden="1" customHeight="1" x14ac:dyDescent="0.2">
      <c r="A4298" s="11" t="str">
        <f>IF(INPUT!M4293="","",INPUT!M4293)</f>
        <v/>
      </c>
      <c r="B4298" s="11" t="str">
        <f>IF(INPUT!M4293="","",INPUT!M4293-WEEKDAY(INPUT!M4293,2)+1)</f>
        <v/>
      </c>
      <c r="C4298" s="20">
        <f>IFERROR(_xlfn.ISOWEEKNUM(INPUT!M4293),"")</f>
        <v>52</v>
      </c>
      <c r="D4298" s="20">
        <f>IFERROR(YEAR(INPUT!M4293),"")</f>
        <v>1900</v>
      </c>
      <c r="E4298" t="str">
        <f>IF(INPUT!O4293="","",INPUT!O4293)</f>
        <v/>
      </c>
      <c r="F4298" t="str">
        <f>IF(INPUT!N4293="","",INPUT!N4293)</f>
        <v/>
      </c>
      <c r="G4298" cm="1">
        <f t="array" ref="G4298">IFERROR(VLOOKUP(INPUT!M4293&amp;INPUT!N4293,CHOOSE({1,2},INPUT!$A$3:$A$5000&amp;INPUT!$C$3:$C$5000,INPUT!$F$3:$F$5000),2,FALSE),"")</f>
        <v>0</v>
      </c>
      <c r="H4298" cm="1">
        <f t="array" ref="H4298">IFERROR(VLOOKUP(INPUT!M4293&amp;INPUT!N4293,CHOOSE({1,2},INPUT!$A$3:$A$5000&amp;INPUT!$C$3:$C$5000,INPUT!$D$3:$D$5000),2,FALSE),"")</f>
        <v>0</v>
      </c>
      <c r="I4298" s="46" t="str">
        <f>IF(INPUT!P4293="","",INPUT!P4293)</f>
        <v/>
      </c>
      <c r="J4298" s="46" t="str">
        <f>IF(INPUT!Q4293="","",INPUT!Q4293)</f>
        <v/>
      </c>
      <c r="K4298" s="46" t="str">
        <f>IFERROR(IF(OR(INPUT!P4293="",INPUT!Q4293=""),"",INPUT!P4293-INPUT!Q4293),"")</f>
        <v/>
      </c>
      <c r="L4298" s="48" t="str">
        <f>IFERROR(IF(OR(INPUT!P4293="",INPUT!Q4293="",INPUT!P4293=0),"",(INPUT!P4293-INPUT!Q4293)/INPUT!P4293),"")</f>
        <v/>
      </c>
    </row>
    <row r="4299" spans="1:12" ht="18" hidden="1" customHeight="1" x14ac:dyDescent="0.2">
      <c r="A4299" s="11" t="str">
        <f>IF(INPUT!M4294="","",INPUT!M4294)</f>
        <v/>
      </c>
      <c r="B4299" s="11" t="str">
        <f>IF(INPUT!M4294="","",INPUT!M4294-WEEKDAY(INPUT!M4294,2)+1)</f>
        <v/>
      </c>
      <c r="C4299" s="20">
        <f>IFERROR(_xlfn.ISOWEEKNUM(INPUT!M4294),"")</f>
        <v>52</v>
      </c>
      <c r="D4299" s="20">
        <f>IFERROR(YEAR(INPUT!M4294),"")</f>
        <v>1900</v>
      </c>
      <c r="E4299" t="str">
        <f>IF(INPUT!O4294="","",INPUT!O4294)</f>
        <v/>
      </c>
      <c r="F4299" t="str">
        <f>IF(INPUT!N4294="","",INPUT!N4294)</f>
        <v/>
      </c>
      <c r="G4299" cm="1">
        <f t="array" ref="G4299">IFERROR(VLOOKUP(INPUT!M4294&amp;INPUT!N4294,CHOOSE({1,2},INPUT!$A$3:$A$5000&amp;INPUT!$C$3:$C$5000,INPUT!$F$3:$F$5000),2,FALSE),"")</f>
        <v>0</v>
      </c>
      <c r="H4299" cm="1">
        <f t="array" ref="H4299">IFERROR(VLOOKUP(INPUT!M4294&amp;INPUT!N4294,CHOOSE({1,2},INPUT!$A$3:$A$5000&amp;INPUT!$C$3:$C$5000,INPUT!$D$3:$D$5000),2,FALSE),"")</f>
        <v>0</v>
      </c>
      <c r="I4299" s="46" t="str">
        <f>IF(INPUT!P4294="","",INPUT!P4294)</f>
        <v/>
      </c>
      <c r="J4299" s="46" t="str">
        <f>IF(INPUT!Q4294="","",INPUT!Q4294)</f>
        <v/>
      </c>
      <c r="K4299" s="46" t="str">
        <f>IFERROR(IF(OR(INPUT!P4294="",INPUT!Q4294=""),"",INPUT!P4294-INPUT!Q4294),"")</f>
        <v/>
      </c>
      <c r="L4299" s="48" t="str">
        <f>IFERROR(IF(OR(INPUT!P4294="",INPUT!Q4294="",INPUT!P4294=0),"",(INPUT!P4294-INPUT!Q4294)/INPUT!P4294),"")</f>
        <v/>
      </c>
    </row>
    <row r="4300" spans="1:12" ht="18" hidden="1" customHeight="1" x14ac:dyDescent="0.2">
      <c r="A4300" s="11" t="str">
        <f>IF(INPUT!M4295="","",INPUT!M4295)</f>
        <v/>
      </c>
      <c r="B4300" s="11" t="str">
        <f>IF(INPUT!M4295="","",INPUT!M4295-WEEKDAY(INPUT!M4295,2)+1)</f>
        <v/>
      </c>
      <c r="C4300" s="20">
        <f>IFERROR(_xlfn.ISOWEEKNUM(INPUT!M4295),"")</f>
        <v>52</v>
      </c>
      <c r="D4300" s="20">
        <f>IFERROR(YEAR(INPUT!M4295),"")</f>
        <v>1900</v>
      </c>
      <c r="E4300" t="str">
        <f>IF(INPUT!O4295="","",INPUT!O4295)</f>
        <v/>
      </c>
      <c r="F4300" t="str">
        <f>IF(INPUT!N4295="","",INPUT!N4295)</f>
        <v/>
      </c>
      <c r="G4300" cm="1">
        <f t="array" ref="G4300">IFERROR(VLOOKUP(INPUT!M4295&amp;INPUT!N4295,CHOOSE({1,2},INPUT!$A$3:$A$5000&amp;INPUT!$C$3:$C$5000,INPUT!$F$3:$F$5000),2,FALSE),"")</f>
        <v>0</v>
      </c>
      <c r="H4300" cm="1">
        <f t="array" ref="H4300">IFERROR(VLOOKUP(INPUT!M4295&amp;INPUT!N4295,CHOOSE({1,2},INPUT!$A$3:$A$5000&amp;INPUT!$C$3:$C$5000,INPUT!$D$3:$D$5000),2,FALSE),"")</f>
        <v>0</v>
      </c>
      <c r="I4300" s="46" t="str">
        <f>IF(INPUT!P4295="","",INPUT!P4295)</f>
        <v/>
      </c>
      <c r="J4300" s="46" t="str">
        <f>IF(INPUT!Q4295="","",INPUT!Q4295)</f>
        <v/>
      </c>
      <c r="K4300" s="46" t="str">
        <f>IFERROR(IF(OR(INPUT!P4295="",INPUT!Q4295=""),"",INPUT!P4295-INPUT!Q4295),"")</f>
        <v/>
      </c>
      <c r="L4300" s="48" t="str">
        <f>IFERROR(IF(OR(INPUT!P4295="",INPUT!Q4295="",INPUT!P4295=0),"",(INPUT!P4295-INPUT!Q4295)/INPUT!P4295),"")</f>
        <v/>
      </c>
    </row>
    <row r="4301" spans="1:12" ht="18" hidden="1" customHeight="1" x14ac:dyDescent="0.2">
      <c r="A4301" s="11" t="str">
        <f>IF(INPUT!M4296="","",INPUT!M4296)</f>
        <v/>
      </c>
      <c r="B4301" s="11" t="str">
        <f>IF(INPUT!M4296="","",INPUT!M4296-WEEKDAY(INPUT!M4296,2)+1)</f>
        <v/>
      </c>
      <c r="C4301" s="20">
        <f>IFERROR(_xlfn.ISOWEEKNUM(INPUT!M4296),"")</f>
        <v>52</v>
      </c>
      <c r="D4301" s="20">
        <f>IFERROR(YEAR(INPUT!M4296),"")</f>
        <v>1900</v>
      </c>
      <c r="E4301" t="str">
        <f>IF(INPUT!O4296="","",INPUT!O4296)</f>
        <v/>
      </c>
      <c r="F4301" t="str">
        <f>IF(INPUT!N4296="","",INPUT!N4296)</f>
        <v/>
      </c>
      <c r="G4301" cm="1">
        <f t="array" ref="G4301">IFERROR(VLOOKUP(INPUT!M4296&amp;INPUT!N4296,CHOOSE({1,2},INPUT!$A$3:$A$5000&amp;INPUT!$C$3:$C$5000,INPUT!$F$3:$F$5000),2,FALSE),"")</f>
        <v>0</v>
      </c>
      <c r="H4301" cm="1">
        <f t="array" ref="H4301">IFERROR(VLOOKUP(INPUT!M4296&amp;INPUT!N4296,CHOOSE({1,2},INPUT!$A$3:$A$5000&amp;INPUT!$C$3:$C$5000,INPUT!$D$3:$D$5000),2,FALSE),"")</f>
        <v>0</v>
      </c>
      <c r="I4301" s="46" t="str">
        <f>IF(INPUT!P4296="","",INPUT!P4296)</f>
        <v/>
      </c>
      <c r="J4301" s="46" t="str">
        <f>IF(INPUT!Q4296="","",INPUT!Q4296)</f>
        <v/>
      </c>
      <c r="K4301" s="46" t="str">
        <f>IFERROR(IF(OR(INPUT!P4296="",INPUT!Q4296=""),"",INPUT!P4296-INPUT!Q4296),"")</f>
        <v/>
      </c>
      <c r="L4301" s="48" t="str">
        <f>IFERROR(IF(OR(INPUT!P4296="",INPUT!Q4296="",INPUT!P4296=0),"",(INPUT!P4296-INPUT!Q4296)/INPUT!P4296),"")</f>
        <v/>
      </c>
    </row>
    <row r="4302" spans="1:12" ht="18" hidden="1" customHeight="1" x14ac:dyDescent="0.2">
      <c r="A4302" s="11" t="str">
        <f>IF(INPUT!M4297="","",INPUT!M4297)</f>
        <v/>
      </c>
      <c r="B4302" s="11" t="str">
        <f>IF(INPUT!M4297="","",INPUT!M4297-WEEKDAY(INPUT!M4297,2)+1)</f>
        <v/>
      </c>
      <c r="C4302" s="20">
        <f>IFERROR(_xlfn.ISOWEEKNUM(INPUT!M4297),"")</f>
        <v>52</v>
      </c>
      <c r="D4302" s="20">
        <f>IFERROR(YEAR(INPUT!M4297),"")</f>
        <v>1900</v>
      </c>
      <c r="E4302" t="str">
        <f>IF(INPUT!O4297="","",INPUT!O4297)</f>
        <v/>
      </c>
      <c r="F4302" t="str">
        <f>IF(INPUT!N4297="","",INPUT!N4297)</f>
        <v/>
      </c>
      <c r="G4302" cm="1">
        <f t="array" ref="G4302">IFERROR(VLOOKUP(INPUT!M4297&amp;INPUT!N4297,CHOOSE({1,2},INPUT!$A$3:$A$5000&amp;INPUT!$C$3:$C$5000,INPUT!$F$3:$F$5000),2,FALSE),"")</f>
        <v>0</v>
      </c>
      <c r="H4302" cm="1">
        <f t="array" ref="H4302">IFERROR(VLOOKUP(INPUT!M4297&amp;INPUT!N4297,CHOOSE({1,2},INPUT!$A$3:$A$5000&amp;INPUT!$C$3:$C$5000,INPUT!$D$3:$D$5000),2,FALSE),"")</f>
        <v>0</v>
      </c>
      <c r="I4302" s="46" t="str">
        <f>IF(INPUT!P4297="","",INPUT!P4297)</f>
        <v/>
      </c>
      <c r="J4302" s="46" t="str">
        <f>IF(INPUT!Q4297="","",INPUT!Q4297)</f>
        <v/>
      </c>
      <c r="K4302" s="46" t="str">
        <f>IFERROR(IF(OR(INPUT!P4297="",INPUT!Q4297=""),"",INPUT!P4297-INPUT!Q4297),"")</f>
        <v/>
      </c>
      <c r="L4302" s="48" t="str">
        <f>IFERROR(IF(OR(INPUT!P4297="",INPUT!Q4297="",INPUT!P4297=0),"",(INPUT!P4297-INPUT!Q4297)/INPUT!P4297),"")</f>
        <v/>
      </c>
    </row>
    <row r="4303" spans="1:12" ht="18" hidden="1" customHeight="1" x14ac:dyDescent="0.2">
      <c r="A4303" s="11" t="str">
        <f>IF(INPUT!M4298="","",INPUT!M4298)</f>
        <v/>
      </c>
      <c r="B4303" s="11" t="str">
        <f>IF(INPUT!M4298="","",INPUT!M4298-WEEKDAY(INPUT!M4298,2)+1)</f>
        <v/>
      </c>
      <c r="C4303" s="20">
        <f>IFERROR(_xlfn.ISOWEEKNUM(INPUT!M4298),"")</f>
        <v>52</v>
      </c>
      <c r="D4303" s="20">
        <f>IFERROR(YEAR(INPUT!M4298),"")</f>
        <v>1900</v>
      </c>
      <c r="E4303" t="str">
        <f>IF(INPUT!O4298="","",INPUT!O4298)</f>
        <v/>
      </c>
      <c r="F4303" t="str">
        <f>IF(INPUT!N4298="","",INPUT!N4298)</f>
        <v/>
      </c>
      <c r="G4303" cm="1">
        <f t="array" ref="G4303">IFERROR(VLOOKUP(INPUT!M4298&amp;INPUT!N4298,CHOOSE({1,2},INPUT!$A$3:$A$5000&amp;INPUT!$C$3:$C$5000,INPUT!$F$3:$F$5000),2,FALSE),"")</f>
        <v>0</v>
      </c>
      <c r="H4303" cm="1">
        <f t="array" ref="H4303">IFERROR(VLOOKUP(INPUT!M4298&amp;INPUT!N4298,CHOOSE({1,2},INPUT!$A$3:$A$5000&amp;INPUT!$C$3:$C$5000,INPUT!$D$3:$D$5000),2,FALSE),"")</f>
        <v>0</v>
      </c>
      <c r="I4303" s="46" t="str">
        <f>IF(INPUT!P4298="","",INPUT!P4298)</f>
        <v/>
      </c>
      <c r="J4303" s="46" t="str">
        <f>IF(INPUT!Q4298="","",INPUT!Q4298)</f>
        <v/>
      </c>
      <c r="K4303" s="46" t="str">
        <f>IFERROR(IF(OR(INPUT!P4298="",INPUT!Q4298=""),"",INPUT!P4298-INPUT!Q4298),"")</f>
        <v/>
      </c>
      <c r="L4303" s="48" t="str">
        <f>IFERROR(IF(OR(INPUT!P4298="",INPUT!Q4298="",INPUT!P4298=0),"",(INPUT!P4298-INPUT!Q4298)/INPUT!P4298),"")</f>
        <v/>
      </c>
    </row>
    <row r="4304" spans="1:12" ht="18" hidden="1" customHeight="1" x14ac:dyDescent="0.2">
      <c r="A4304" s="11" t="str">
        <f>IF(INPUT!M4299="","",INPUT!M4299)</f>
        <v/>
      </c>
      <c r="B4304" s="11" t="str">
        <f>IF(INPUT!M4299="","",INPUT!M4299-WEEKDAY(INPUT!M4299,2)+1)</f>
        <v/>
      </c>
      <c r="C4304" s="20">
        <f>IFERROR(_xlfn.ISOWEEKNUM(INPUT!M4299),"")</f>
        <v>52</v>
      </c>
      <c r="D4304" s="20">
        <f>IFERROR(YEAR(INPUT!M4299),"")</f>
        <v>1900</v>
      </c>
      <c r="E4304" t="str">
        <f>IF(INPUT!O4299="","",INPUT!O4299)</f>
        <v/>
      </c>
      <c r="F4304" t="str">
        <f>IF(INPUT!N4299="","",INPUT!N4299)</f>
        <v/>
      </c>
      <c r="G4304" cm="1">
        <f t="array" ref="G4304">IFERROR(VLOOKUP(INPUT!M4299&amp;INPUT!N4299,CHOOSE({1,2},INPUT!$A$3:$A$5000&amp;INPUT!$C$3:$C$5000,INPUT!$F$3:$F$5000),2,FALSE),"")</f>
        <v>0</v>
      </c>
      <c r="H4304" cm="1">
        <f t="array" ref="H4304">IFERROR(VLOOKUP(INPUT!M4299&amp;INPUT!N4299,CHOOSE({1,2},INPUT!$A$3:$A$5000&amp;INPUT!$C$3:$C$5000,INPUT!$D$3:$D$5000),2,FALSE),"")</f>
        <v>0</v>
      </c>
      <c r="I4304" s="46" t="str">
        <f>IF(INPUT!P4299="","",INPUT!P4299)</f>
        <v/>
      </c>
      <c r="J4304" s="46" t="str">
        <f>IF(INPUT!Q4299="","",INPUT!Q4299)</f>
        <v/>
      </c>
      <c r="K4304" s="46" t="str">
        <f>IFERROR(IF(OR(INPUT!P4299="",INPUT!Q4299=""),"",INPUT!P4299-INPUT!Q4299),"")</f>
        <v/>
      </c>
      <c r="L4304" s="48" t="str">
        <f>IFERROR(IF(OR(INPUT!P4299="",INPUT!Q4299="",INPUT!P4299=0),"",(INPUT!P4299-INPUT!Q4299)/INPUT!P4299),"")</f>
        <v/>
      </c>
    </row>
    <row r="4305" spans="1:12" ht="18" hidden="1" customHeight="1" x14ac:dyDescent="0.2">
      <c r="A4305" s="11" t="str">
        <f>IF(INPUT!M4300="","",INPUT!M4300)</f>
        <v/>
      </c>
      <c r="B4305" s="11" t="str">
        <f>IF(INPUT!M4300="","",INPUT!M4300-WEEKDAY(INPUT!M4300,2)+1)</f>
        <v/>
      </c>
      <c r="C4305" s="20">
        <f>IFERROR(_xlfn.ISOWEEKNUM(INPUT!M4300),"")</f>
        <v>52</v>
      </c>
      <c r="D4305" s="20">
        <f>IFERROR(YEAR(INPUT!M4300),"")</f>
        <v>1900</v>
      </c>
      <c r="E4305" t="str">
        <f>IF(INPUT!O4300="","",INPUT!O4300)</f>
        <v/>
      </c>
      <c r="F4305" t="str">
        <f>IF(INPUT!N4300="","",INPUT!N4300)</f>
        <v/>
      </c>
      <c r="G4305" cm="1">
        <f t="array" ref="G4305">IFERROR(VLOOKUP(INPUT!M4300&amp;INPUT!N4300,CHOOSE({1,2},INPUT!$A$3:$A$5000&amp;INPUT!$C$3:$C$5000,INPUT!$F$3:$F$5000),2,FALSE),"")</f>
        <v>0</v>
      </c>
      <c r="H4305" cm="1">
        <f t="array" ref="H4305">IFERROR(VLOOKUP(INPUT!M4300&amp;INPUT!N4300,CHOOSE({1,2},INPUT!$A$3:$A$5000&amp;INPUT!$C$3:$C$5000,INPUT!$D$3:$D$5000),2,FALSE),"")</f>
        <v>0</v>
      </c>
      <c r="I4305" s="46" t="str">
        <f>IF(INPUT!P4300="","",INPUT!P4300)</f>
        <v/>
      </c>
      <c r="J4305" s="46" t="str">
        <f>IF(INPUT!Q4300="","",INPUT!Q4300)</f>
        <v/>
      </c>
      <c r="K4305" s="46" t="str">
        <f>IFERROR(IF(OR(INPUT!P4300="",INPUT!Q4300=""),"",INPUT!P4300-INPUT!Q4300),"")</f>
        <v/>
      </c>
      <c r="L4305" s="48" t="str">
        <f>IFERROR(IF(OR(INPUT!P4300="",INPUT!Q4300="",INPUT!P4300=0),"",(INPUT!P4300-INPUT!Q4300)/INPUT!P4300),"")</f>
        <v/>
      </c>
    </row>
    <row r="4306" spans="1:12" ht="18" hidden="1" customHeight="1" x14ac:dyDescent="0.2">
      <c r="A4306" s="11" t="str">
        <f>IF(INPUT!M4301="","",INPUT!M4301)</f>
        <v/>
      </c>
      <c r="B4306" s="11" t="str">
        <f>IF(INPUT!M4301="","",INPUT!M4301-WEEKDAY(INPUT!M4301,2)+1)</f>
        <v/>
      </c>
      <c r="C4306" s="20">
        <f>IFERROR(_xlfn.ISOWEEKNUM(INPUT!M4301),"")</f>
        <v>52</v>
      </c>
      <c r="D4306" s="20">
        <f>IFERROR(YEAR(INPUT!M4301),"")</f>
        <v>1900</v>
      </c>
      <c r="E4306" t="str">
        <f>IF(INPUT!O4301="","",INPUT!O4301)</f>
        <v/>
      </c>
      <c r="F4306" t="str">
        <f>IF(INPUT!N4301="","",INPUT!N4301)</f>
        <v/>
      </c>
      <c r="G4306" cm="1">
        <f t="array" ref="G4306">IFERROR(VLOOKUP(INPUT!M4301&amp;INPUT!N4301,CHOOSE({1,2},INPUT!$A$3:$A$5000&amp;INPUT!$C$3:$C$5000,INPUT!$F$3:$F$5000),2,FALSE),"")</f>
        <v>0</v>
      </c>
      <c r="H4306" cm="1">
        <f t="array" ref="H4306">IFERROR(VLOOKUP(INPUT!M4301&amp;INPUT!N4301,CHOOSE({1,2},INPUT!$A$3:$A$5000&amp;INPUT!$C$3:$C$5000,INPUT!$D$3:$D$5000),2,FALSE),"")</f>
        <v>0</v>
      </c>
      <c r="I4306" s="46" t="str">
        <f>IF(INPUT!P4301="","",INPUT!P4301)</f>
        <v/>
      </c>
      <c r="J4306" s="46" t="str">
        <f>IF(INPUT!Q4301="","",INPUT!Q4301)</f>
        <v/>
      </c>
      <c r="K4306" s="46" t="str">
        <f>IFERROR(IF(OR(INPUT!P4301="",INPUT!Q4301=""),"",INPUT!P4301-INPUT!Q4301),"")</f>
        <v/>
      </c>
      <c r="L4306" s="48" t="str">
        <f>IFERROR(IF(OR(INPUT!P4301="",INPUT!Q4301="",INPUT!P4301=0),"",(INPUT!P4301-INPUT!Q4301)/INPUT!P4301),"")</f>
        <v/>
      </c>
    </row>
    <row r="4307" spans="1:12" ht="18" hidden="1" customHeight="1" x14ac:dyDescent="0.2">
      <c r="A4307" s="11" t="str">
        <f>IF(INPUT!M4302="","",INPUT!M4302)</f>
        <v/>
      </c>
      <c r="B4307" s="11" t="str">
        <f>IF(INPUT!M4302="","",INPUT!M4302-WEEKDAY(INPUT!M4302,2)+1)</f>
        <v/>
      </c>
      <c r="C4307" s="20">
        <f>IFERROR(_xlfn.ISOWEEKNUM(INPUT!M4302),"")</f>
        <v>52</v>
      </c>
      <c r="D4307" s="20">
        <f>IFERROR(YEAR(INPUT!M4302),"")</f>
        <v>1900</v>
      </c>
      <c r="E4307" t="str">
        <f>IF(INPUT!O4302="","",INPUT!O4302)</f>
        <v/>
      </c>
      <c r="F4307" t="str">
        <f>IF(INPUT!N4302="","",INPUT!N4302)</f>
        <v/>
      </c>
      <c r="G4307" cm="1">
        <f t="array" ref="G4307">IFERROR(VLOOKUP(INPUT!M4302&amp;INPUT!N4302,CHOOSE({1,2},INPUT!$A$3:$A$5000&amp;INPUT!$C$3:$C$5000,INPUT!$F$3:$F$5000),2,FALSE),"")</f>
        <v>0</v>
      </c>
      <c r="H4307" cm="1">
        <f t="array" ref="H4307">IFERROR(VLOOKUP(INPUT!M4302&amp;INPUT!N4302,CHOOSE({1,2},INPUT!$A$3:$A$5000&amp;INPUT!$C$3:$C$5000,INPUT!$D$3:$D$5000),2,FALSE),"")</f>
        <v>0</v>
      </c>
      <c r="I4307" s="46" t="str">
        <f>IF(INPUT!P4302="","",INPUT!P4302)</f>
        <v/>
      </c>
      <c r="J4307" s="46" t="str">
        <f>IF(INPUT!Q4302="","",INPUT!Q4302)</f>
        <v/>
      </c>
      <c r="K4307" s="46" t="str">
        <f>IFERROR(IF(OR(INPUT!P4302="",INPUT!Q4302=""),"",INPUT!P4302-INPUT!Q4302),"")</f>
        <v/>
      </c>
      <c r="L4307" s="48" t="str">
        <f>IFERROR(IF(OR(INPUT!P4302="",INPUT!Q4302="",INPUT!P4302=0),"",(INPUT!P4302-INPUT!Q4302)/INPUT!P4302),"")</f>
        <v/>
      </c>
    </row>
    <row r="4308" spans="1:12" ht="18" hidden="1" customHeight="1" x14ac:dyDescent="0.2">
      <c r="A4308" s="11" t="str">
        <f>IF(INPUT!M4303="","",INPUT!M4303)</f>
        <v/>
      </c>
      <c r="B4308" s="11" t="str">
        <f>IF(INPUT!M4303="","",INPUT!M4303-WEEKDAY(INPUT!M4303,2)+1)</f>
        <v/>
      </c>
      <c r="C4308" s="20">
        <f>IFERROR(_xlfn.ISOWEEKNUM(INPUT!M4303),"")</f>
        <v>52</v>
      </c>
      <c r="D4308" s="20">
        <f>IFERROR(YEAR(INPUT!M4303),"")</f>
        <v>1900</v>
      </c>
      <c r="E4308" t="str">
        <f>IF(INPUT!O4303="","",INPUT!O4303)</f>
        <v/>
      </c>
      <c r="F4308" t="str">
        <f>IF(INPUT!N4303="","",INPUT!N4303)</f>
        <v/>
      </c>
      <c r="G4308" cm="1">
        <f t="array" ref="G4308">IFERROR(VLOOKUP(INPUT!M4303&amp;INPUT!N4303,CHOOSE({1,2},INPUT!$A$3:$A$5000&amp;INPUT!$C$3:$C$5000,INPUT!$F$3:$F$5000),2,FALSE),"")</f>
        <v>0</v>
      </c>
      <c r="H4308" cm="1">
        <f t="array" ref="H4308">IFERROR(VLOOKUP(INPUT!M4303&amp;INPUT!N4303,CHOOSE({1,2},INPUT!$A$3:$A$5000&amp;INPUT!$C$3:$C$5000,INPUT!$D$3:$D$5000),2,FALSE),"")</f>
        <v>0</v>
      </c>
      <c r="I4308" s="46" t="str">
        <f>IF(INPUT!P4303="","",INPUT!P4303)</f>
        <v/>
      </c>
      <c r="J4308" s="46" t="str">
        <f>IF(INPUT!Q4303="","",INPUT!Q4303)</f>
        <v/>
      </c>
      <c r="K4308" s="46" t="str">
        <f>IFERROR(IF(OR(INPUT!P4303="",INPUT!Q4303=""),"",INPUT!P4303-INPUT!Q4303),"")</f>
        <v/>
      </c>
      <c r="L4308" s="48" t="str">
        <f>IFERROR(IF(OR(INPUT!P4303="",INPUT!Q4303="",INPUT!P4303=0),"",(INPUT!P4303-INPUT!Q4303)/INPUT!P4303),"")</f>
        <v/>
      </c>
    </row>
    <row r="4309" spans="1:12" ht="18" hidden="1" customHeight="1" x14ac:dyDescent="0.2">
      <c r="A4309" s="11" t="str">
        <f>IF(INPUT!M4304="","",INPUT!M4304)</f>
        <v/>
      </c>
      <c r="B4309" s="11" t="str">
        <f>IF(INPUT!M4304="","",INPUT!M4304-WEEKDAY(INPUT!M4304,2)+1)</f>
        <v/>
      </c>
      <c r="C4309" s="20">
        <f>IFERROR(_xlfn.ISOWEEKNUM(INPUT!M4304),"")</f>
        <v>52</v>
      </c>
      <c r="D4309" s="20">
        <f>IFERROR(YEAR(INPUT!M4304),"")</f>
        <v>1900</v>
      </c>
      <c r="E4309" t="str">
        <f>IF(INPUT!O4304="","",INPUT!O4304)</f>
        <v/>
      </c>
      <c r="F4309" t="str">
        <f>IF(INPUT!N4304="","",INPUT!N4304)</f>
        <v/>
      </c>
      <c r="G4309" cm="1">
        <f t="array" ref="G4309">IFERROR(VLOOKUP(INPUT!M4304&amp;INPUT!N4304,CHOOSE({1,2},INPUT!$A$3:$A$5000&amp;INPUT!$C$3:$C$5000,INPUT!$F$3:$F$5000),2,FALSE),"")</f>
        <v>0</v>
      </c>
      <c r="H4309" cm="1">
        <f t="array" ref="H4309">IFERROR(VLOOKUP(INPUT!M4304&amp;INPUT!N4304,CHOOSE({1,2},INPUT!$A$3:$A$5000&amp;INPUT!$C$3:$C$5000,INPUT!$D$3:$D$5000),2,FALSE),"")</f>
        <v>0</v>
      </c>
      <c r="I4309" s="46" t="str">
        <f>IF(INPUT!P4304="","",INPUT!P4304)</f>
        <v/>
      </c>
      <c r="J4309" s="46" t="str">
        <f>IF(INPUT!Q4304="","",INPUT!Q4304)</f>
        <v/>
      </c>
      <c r="K4309" s="46" t="str">
        <f>IFERROR(IF(OR(INPUT!P4304="",INPUT!Q4304=""),"",INPUT!P4304-INPUT!Q4304),"")</f>
        <v/>
      </c>
      <c r="L4309" s="48" t="str">
        <f>IFERROR(IF(OR(INPUT!P4304="",INPUT!Q4304="",INPUT!P4304=0),"",(INPUT!P4304-INPUT!Q4304)/INPUT!P4304),"")</f>
        <v/>
      </c>
    </row>
    <row r="4310" spans="1:12" ht="18" hidden="1" customHeight="1" x14ac:dyDescent="0.2">
      <c r="A4310" s="11" t="str">
        <f>IF(INPUT!M4305="","",INPUT!M4305)</f>
        <v/>
      </c>
      <c r="B4310" s="11" t="str">
        <f>IF(INPUT!M4305="","",INPUT!M4305-WEEKDAY(INPUT!M4305,2)+1)</f>
        <v/>
      </c>
      <c r="C4310" s="20">
        <f>IFERROR(_xlfn.ISOWEEKNUM(INPUT!M4305),"")</f>
        <v>52</v>
      </c>
      <c r="D4310" s="20">
        <f>IFERROR(YEAR(INPUT!M4305),"")</f>
        <v>1900</v>
      </c>
      <c r="E4310" t="str">
        <f>IF(INPUT!O4305="","",INPUT!O4305)</f>
        <v/>
      </c>
      <c r="F4310" t="str">
        <f>IF(INPUT!N4305="","",INPUT!N4305)</f>
        <v/>
      </c>
      <c r="G4310" cm="1">
        <f t="array" ref="G4310">IFERROR(VLOOKUP(INPUT!M4305&amp;INPUT!N4305,CHOOSE({1,2},INPUT!$A$3:$A$5000&amp;INPUT!$C$3:$C$5000,INPUT!$F$3:$F$5000),2,FALSE),"")</f>
        <v>0</v>
      </c>
      <c r="H4310" cm="1">
        <f t="array" ref="H4310">IFERROR(VLOOKUP(INPUT!M4305&amp;INPUT!N4305,CHOOSE({1,2},INPUT!$A$3:$A$5000&amp;INPUT!$C$3:$C$5000,INPUT!$D$3:$D$5000),2,FALSE),"")</f>
        <v>0</v>
      </c>
      <c r="I4310" s="46" t="str">
        <f>IF(INPUT!P4305="","",INPUT!P4305)</f>
        <v/>
      </c>
      <c r="J4310" s="46" t="str">
        <f>IF(INPUT!Q4305="","",INPUT!Q4305)</f>
        <v/>
      </c>
      <c r="K4310" s="46" t="str">
        <f>IFERROR(IF(OR(INPUT!P4305="",INPUT!Q4305=""),"",INPUT!P4305-INPUT!Q4305),"")</f>
        <v/>
      </c>
      <c r="L4310" s="48" t="str">
        <f>IFERROR(IF(OR(INPUT!P4305="",INPUT!Q4305="",INPUT!P4305=0),"",(INPUT!P4305-INPUT!Q4305)/INPUT!P4305),"")</f>
        <v/>
      </c>
    </row>
    <row r="4311" spans="1:12" ht="18" hidden="1" customHeight="1" x14ac:dyDescent="0.2">
      <c r="A4311" s="11" t="str">
        <f>IF(INPUT!M4306="","",INPUT!M4306)</f>
        <v/>
      </c>
      <c r="B4311" s="11" t="str">
        <f>IF(INPUT!M4306="","",INPUT!M4306-WEEKDAY(INPUT!M4306,2)+1)</f>
        <v/>
      </c>
      <c r="C4311" s="20">
        <f>IFERROR(_xlfn.ISOWEEKNUM(INPUT!M4306),"")</f>
        <v>52</v>
      </c>
      <c r="D4311" s="20">
        <f>IFERROR(YEAR(INPUT!M4306),"")</f>
        <v>1900</v>
      </c>
      <c r="E4311" t="str">
        <f>IF(INPUT!O4306="","",INPUT!O4306)</f>
        <v/>
      </c>
      <c r="F4311" t="str">
        <f>IF(INPUT!N4306="","",INPUT!N4306)</f>
        <v/>
      </c>
      <c r="G4311" cm="1">
        <f t="array" ref="G4311">IFERROR(VLOOKUP(INPUT!M4306&amp;INPUT!N4306,CHOOSE({1,2},INPUT!$A$3:$A$5000&amp;INPUT!$C$3:$C$5000,INPUT!$F$3:$F$5000),2,FALSE),"")</f>
        <v>0</v>
      </c>
      <c r="H4311" cm="1">
        <f t="array" ref="H4311">IFERROR(VLOOKUP(INPUT!M4306&amp;INPUT!N4306,CHOOSE({1,2},INPUT!$A$3:$A$5000&amp;INPUT!$C$3:$C$5000,INPUT!$D$3:$D$5000),2,FALSE),"")</f>
        <v>0</v>
      </c>
      <c r="I4311" s="46" t="str">
        <f>IF(INPUT!P4306="","",INPUT!P4306)</f>
        <v/>
      </c>
      <c r="J4311" s="46" t="str">
        <f>IF(INPUT!Q4306="","",INPUT!Q4306)</f>
        <v/>
      </c>
      <c r="K4311" s="46" t="str">
        <f>IFERROR(IF(OR(INPUT!P4306="",INPUT!Q4306=""),"",INPUT!P4306-INPUT!Q4306),"")</f>
        <v/>
      </c>
      <c r="L4311" s="48" t="str">
        <f>IFERROR(IF(OR(INPUT!P4306="",INPUT!Q4306="",INPUT!P4306=0),"",(INPUT!P4306-INPUT!Q4306)/INPUT!P4306),"")</f>
        <v/>
      </c>
    </row>
    <row r="4312" spans="1:12" ht="18" hidden="1" customHeight="1" x14ac:dyDescent="0.2">
      <c r="A4312" s="11" t="str">
        <f>IF(INPUT!M4307="","",INPUT!M4307)</f>
        <v/>
      </c>
      <c r="B4312" s="11" t="str">
        <f>IF(INPUT!M4307="","",INPUT!M4307-WEEKDAY(INPUT!M4307,2)+1)</f>
        <v/>
      </c>
      <c r="C4312" s="20">
        <f>IFERROR(_xlfn.ISOWEEKNUM(INPUT!M4307),"")</f>
        <v>52</v>
      </c>
      <c r="D4312" s="20">
        <f>IFERROR(YEAR(INPUT!M4307),"")</f>
        <v>1900</v>
      </c>
      <c r="E4312" t="str">
        <f>IF(INPUT!O4307="","",INPUT!O4307)</f>
        <v/>
      </c>
      <c r="F4312" t="str">
        <f>IF(INPUT!N4307="","",INPUT!N4307)</f>
        <v/>
      </c>
      <c r="G4312" cm="1">
        <f t="array" ref="G4312">IFERROR(VLOOKUP(INPUT!M4307&amp;INPUT!N4307,CHOOSE({1,2},INPUT!$A$3:$A$5000&amp;INPUT!$C$3:$C$5000,INPUT!$F$3:$F$5000),2,FALSE),"")</f>
        <v>0</v>
      </c>
      <c r="H4312" cm="1">
        <f t="array" ref="H4312">IFERROR(VLOOKUP(INPUT!M4307&amp;INPUT!N4307,CHOOSE({1,2},INPUT!$A$3:$A$5000&amp;INPUT!$C$3:$C$5000,INPUT!$D$3:$D$5000),2,FALSE),"")</f>
        <v>0</v>
      </c>
      <c r="I4312" s="46" t="str">
        <f>IF(INPUT!P4307="","",INPUT!P4307)</f>
        <v/>
      </c>
      <c r="J4312" s="46" t="str">
        <f>IF(INPUT!Q4307="","",INPUT!Q4307)</f>
        <v/>
      </c>
      <c r="K4312" s="46" t="str">
        <f>IFERROR(IF(OR(INPUT!P4307="",INPUT!Q4307=""),"",INPUT!P4307-INPUT!Q4307),"")</f>
        <v/>
      </c>
      <c r="L4312" s="48" t="str">
        <f>IFERROR(IF(OR(INPUT!P4307="",INPUT!Q4307="",INPUT!P4307=0),"",(INPUT!P4307-INPUT!Q4307)/INPUT!P4307),"")</f>
        <v/>
      </c>
    </row>
    <row r="4313" spans="1:12" ht="18" hidden="1" customHeight="1" x14ac:dyDescent="0.2">
      <c r="A4313" s="11" t="str">
        <f>IF(INPUT!M4308="","",INPUT!M4308)</f>
        <v/>
      </c>
      <c r="B4313" s="11" t="str">
        <f>IF(INPUT!M4308="","",INPUT!M4308-WEEKDAY(INPUT!M4308,2)+1)</f>
        <v/>
      </c>
      <c r="C4313" s="20">
        <f>IFERROR(_xlfn.ISOWEEKNUM(INPUT!M4308),"")</f>
        <v>52</v>
      </c>
      <c r="D4313" s="20">
        <f>IFERROR(YEAR(INPUT!M4308),"")</f>
        <v>1900</v>
      </c>
      <c r="E4313" t="str">
        <f>IF(INPUT!O4308="","",INPUT!O4308)</f>
        <v/>
      </c>
      <c r="F4313" t="str">
        <f>IF(INPUT!N4308="","",INPUT!N4308)</f>
        <v/>
      </c>
      <c r="G4313" cm="1">
        <f t="array" ref="G4313">IFERROR(VLOOKUP(INPUT!M4308&amp;INPUT!N4308,CHOOSE({1,2},INPUT!$A$3:$A$5000&amp;INPUT!$C$3:$C$5000,INPUT!$F$3:$F$5000),2,FALSE),"")</f>
        <v>0</v>
      </c>
      <c r="H4313" cm="1">
        <f t="array" ref="H4313">IFERROR(VLOOKUP(INPUT!M4308&amp;INPUT!N4308,CHOOSE({1,2},INPUT!$A$3:$A$5000&amp;INPUT!$C$3:$C$5000,INPUT!$D$3:$D$5000),2,FALSE),"")</f>
        <v>0</v>
      </c>
      <c r="I4313" s="46" t="str">
        <f>IF(INPUT!P4308="","",INPUT!P4308)</f>
        <v/>
      </c>
      <c r="J4313" s="46" t="str">
        <f>IF(INPUT!Q4308="","",INPUT!Q4308)</f>
        <v/>
      </c>
      <c r="K4313" s="46" t="str">
        <f>IFERROR(IF(OR(INPUT!P4308="",INPUT!Q4308=""),"",INPUT!P4308-INPUT!Q4308),"")</f>
        <v/>
      </c>
      <c r="L4313" s="48" t="str">
        <f>IFERROR(IF(OR(INPUT!P4308="",INPUT!Q4308="",INPUT!P4308=0),"",(INPUT!P4308-INPUT!Q4308)/INPUT!P4308),"")</f>
        <v/>
      </c>
    </row>
    <row r="4314" spans="1:12" ht="18" hidden="1" customHeight="1" x14ac:dyDescent="0.2">
      <c r="A4314" s="11" t="str">
        <f>IF(INPUT!M4309="","",INPUT!M4309)</f>
        <v/>
      </c>
      <c r="B4314" s="11" t="str">
        <f>IF(INPUT!M4309="","",INPUT!M4309-WEEKDAY(INPUT!M4309,2)+1)</f>
        <v/>
      </c>
      <c r="C4314" s="20">
        <f>IFERROR(_xlfn.ISOWEEKNUM(INPUT!M4309),"")</f>
        <v>52</v>
      </c>
      <c r="D4314" s="20">
        <f>IFERROR(YEAR(INPUT!M4309),"")</f>
        <v>1900</v>
      </c>
      <c r="E4314" t="str">
        <f>IF(INPUT!O4309="","",INPUT!O4309)</f>
        <v/>
      </c>
      <c r="F4314" t="str">
        <f>IF(INPUT!N4309="","",INPUT!N4309)</f>
        <v/>
      </c>
      <c r="G4314" cm="1">
        <f t="array" ref="G4314">IFERROR(VLOOKUP(INPUT!M4309&amp;INPUT!N4309,CHOOSE({1,2},INPUT!$A$3:$A$5000&amp;INPUT!$C$3:$C$5000,INPUT!$F$3:$F$5000),2,FALSE),"")</f>
        <v>0</v>
      </c>
      <c r="H4314" cm="1">
        <f t="array" ref="H4314">IFERROR(VLOOKUP(INPUT!M4309&amp;INPUT!N4309,CHOOSE({1,2},INPUT!$A$3:$A$5000&amp;INPUT!$C$3:$C$5000,INPUT!$D$3:$D$5000),2,FALSE),"")</f>
        <v>0</v>
      </c>
      <c r="I4314" s="46" t="str">
        <f>IF(INPUT!P4309="","",INPUT!P4309)</f>
        <v/>
      </c>
      <c r="J4314" s="46" t="str">
        <f>IF(INPUT!Q4309="","",INPUT!Q4309)</f>
        <v/>
      </c>
      <c r="K4314" s="46" t="str">
        <f>IFERROR(IF(OR(INPUT!P4309="",INPUT!Q4309=""),"",INPUT!P4309-INPUT!Q4309),"")</f>
        <v/>
      </c>
      <c r="L4314" s="48" t="str">
        <f>IFERROR(IF(OR(INPUT!P4309="",INPUT!Q4309="",INPUT!P4309=0),"",(INPUT!P4309-INPUT!Q4309)/INPUT!P4309),"")</f>
        <v/>
      </c>
    </row>
    <row r="4315" spans="1:12" ht="18" hidden="1" customHeight="1" x14ac:dyDescent="0.2">
      <c r="A4315" s="11" t="str">
        <f>IF(INPUT!M4310="","",INPUT!M4310)</f>
        <v/>
      </c>
      <c r="B4315" s="11" t="str">
        <f>IF(INPUT!M4310="","",INPUT!M4310-WEEKDAY(INPUT!M4310,2)+1)</f>
        <v/>
      </c>
      <c r="C4315" s="20">
        <f>IFERROR(_xlfn.ISOWEEKNUM(INPUT!M4310),"")</f>
        <v>52</v>
      </c>
      <c r="D4315" s="20">
        <f>IFERROR(YEAR(INPUT!M4310),"")</f>
        <v>1900</v>
      </c>
      <c r="E4315" t="str">
        <f>IF(INPUT!O4310="","",INPUT!O4310)</f>
        <v/>
      </c>
      <c r="F4315" t="str">
        <f>IF(INPUT!N4310="","",INPUT!N4310)</f>
        <v/>
      </c>
      <c r="G4315" cm="1">
        <f t="array" ref="G4315">IFERROR(VLOOKUP(INPUT!M4310&amp;INPUT!N4310,CHOOSE({1,2},INPUT!$A$3:$A$5000&amp;INPUT!$C$3:$C$5000,INPUT!$F$3:$F$5000),2,FALSE),"")</f>
        <v>0</v>
      </c>
      <c r="H4315" cm="1">
        <f t="array" ref="H4315">IFERROR(VLOOKUP(INPUT!M4310&amp;INPUT!N4310,CHOOSE({1,2},INPUT!$A$3:$A$5000&amp;INPUT!$C$3:$C$5000,INPUT!$D$3:$D$5000),2,FALSE),"")</f>
        <v>0</v>
      </c>
      <c r="I4315" s="46" t="str">
        <f>IF(INPUT!P4310="","",INPUT!P4310)</f>
        <v/>
      </c>
      <c r="J4315" s="46" t="str">
        <f>IF(INPUT!Q4310="","",INPUT!Q4310)</f>
        <v/>
      </c>
      <c r="K4315" s="46" t="str">
        <f>IFERROR(IF(OR(INPUT!P4310="",INPUT!Q4310=""),"",INPUT!P4310-INPUT!Q4310),"")</f>
        <v/>
      </c>
      <c r="L4315" s="48" t="str">
        <f>IFERROR(IF(OR(INPUT!P4310="",INPUT!Q4310="",INPUT!P4310=0),"",(INPUT!P4310-INPUT!Q4310)/INPUT!P4310),"")</f>
        <v/>
      </c>
    </row>
    <row r="4316" spans="1:12" ht="18" hidden="1" customHeight="1" x14ac:dyDescent="0.2">
      <c r="A4316" s="11" t="str">
        <f>IF(INPUT!M4311="","",INPUT!M4311)</f>
        <v/>
      </c>
      <c r="B4316" s="11" t="str">
        <f>IF(INPUT!M4311="","",INPUT!M4311-WEEKDAY(INPUT!M4311,2)+1)</f>
        <v/>
      </c>
      <c r="C4316" s="20">
        <f>IFERROR(_xlfn.ISOWEEKNUM(INPUT!M4311),"")</f>
        <v>52</v>
      </c>
      <c r="D4316" s="20">
        <f>IFERROR(YEAR(INPUT!M4311),"")</f>
        <v>1900</v>
      </c>
      <c r="E4316" t="str">
        <f>IF(INPUT!O4311="","",INPUT!O4311)</f>
        <v/>
      </c>
      <c r="F4316" t="str">
        <f>IF(INPUT!N4311="","",INPUT!N4311)</f>
        <v/>
      </c>
      <c r="G4316" cm="1">
        <f t="array" ref="G4316">IFERROR(VLOOKUP(INPUT!M4311&amp;INPUT!N4311,CHOOSE({1,2},INPUT!$A$3:$A$5000&amp;INPUT!$C$3:$C$5000,INPUT!$F$3:$F$5000),2,FALSE),"")</f>
        <v>0</v>
      </c>
      <c r="H4316" cm="1">
        <f t="array" ref="H4316">IFERROR(VLOOKUP(INPUT!M4311&amp;INPUT!N4311,CHOOSE({1,2},INPUT!$A$3:$A$5000&amp;INPUT!$C$3:$C$5000,INPUT!$D$3:$D$5000),2,FALSE),"")</f>
        <v>0</v>
      </c>
      <c r="I4316" s="46" t="str">
        <f>IF(INPUT!P4311="","",INPUT!P4311)</f>
        <v/>
      </c>
      <c r="J4316" s="46" t="str">
        <f>IF(INPUT!Q4311="","",INPUT!Q4311)</f>
        <v/>
      </c>
      <c r="K4316" s="46" t="str">
        <f>IFERROR(IF(OR(INPUT!P4311="",INPUT!Q4311=""),"",INPUT!P4311-INPUT!Q4311),"")</f>
        <v/>
      </c>
      <c r="L4316" s="48" t="str">
        <f>IFERROR(IF(OR(INPUT!P4311="",INPUT!Q4311="",INPUT!P4311=0),"",(INPUT!P4311-INPUT!Q4311)/INPUT!P4311),"")</f>
        <v/>
      </c>
    </row>
    <row r="4317" spans="1:12" ht="18" hidden="1" customHeight="1" x14ac:dyDescent="0.2">
      <c r="A4317" s="11" t="str">
        <f>IF(INPUT!M4312="","",INPUT!M4312)</f>
        <v/>
      </c>
      <c r="B4317" s="11" t="str">
        <f>IF(INPUT!M4312="","",INPUT!M4312-WEEKDAY(INPUT!M4312,2)+1)</f>
        <v/>
      </c>
      <c r="C4317" s="20">
        <f>IFERROR(_xlfn.ISOWEEKNUM(INPUT!M4312),"")</f>
        <v>52</v>
      </c>
      <c r="D4317" s="20">
        <f>IFERROR(YEAR(INPUT!M4312),"")</f>
        <v>1900</v>
      </c>
      <c r="E4317" t="str">
        <f>IF(INPUT!O4312="","",INPUT!O4312)</f>
        <v/>
      </c>
      <c r="F4317" t="str">
        <f>IF(INPUT!N4312="","",INPUT!N4312)</f>
        <v/>
      </c>
      <c r="G4317" cm="1">
        <f t="array" ref="G4317">IFERROR(VLOOKUP(INPUT!M4312&amp;INPUT!N4312,CHOOSE({1,2},INPUT!$A$3:$A$5000&amp;INPUT!$C$3:$C$5000,INPUT!$F$3:$F$5000),2,FALSE),"")</f>
        <v>0</v>
      </c>
      <c r="H4317" cm="1">
        <f t="array" ref="H4317">IFERROR(VLOOKUP(INPUT!M4312&amp;INPUT!N4312,CHOOSE({1,2},INPUT!$A$3:$A$5000&amp;INPUT!$C$3:$C$5000,INPUT!$D$3:$D$5000),2,FALSE),"")</f>
        <v>0</v>
      </c>
      <c r="I4317" s="46" t="str">
        <f>IF(INPUT!P4312="","",INPUT!P4312)</f>
        <v/>
      </c>
      <c r="J4317" s="46" t="str">
        <f>IF(INPUT!Q4312="","",INPUT!Q4312)</f>
        <v/>
      </c>
      <c r="K4317" s="46" t="str">
        <f>IFERROR(IF(OR(INPUT!P4312="",INPUT!Q4312=""),"",INPUT!P4312-INPUT!Q4312),"")</f>
        <v/>
      </c>
      <c r="L4317" s="48" t="str">
        <f>IFERROR(IF(OR(INPUT!P4312="",INPUT!Q4312="",INPUT!P4312=0),"",(INPUT!P4312-INPUT!Q4312)/INPUT!P4312),"")</f>
        <v/>
      </c>
    </row>
    <row r="4318" spans="1:12" ht="18" hidden="1" customHeight="1" x14ac:dyDescent="0.2">
      <c r="A4318" s="11" t="str">
        <f>IF(INPUT!M4313="","",INPUT!M4313)</f>
        <v/>
      </c>
      <c r="B4318" s="11" t="str">
        <f>IF(INPUT!M4313="","",INPUT!M4313-WEEKDAY(INPUT!M4313,2)+1)</f>
        <v/>
      </c>
      <c r="C4318" s="20">
        <f>IFERROR(_xlfn.ISOWEEKNUM(INPUT!M4313),"")</f>
        <v>52</v>
      </c>
      <c r="D4318" s="20">
        <f>IFERROR(YEAR(INPUT!M4313),"")</f>
        <v>1900</v>
      </c>
      <c r="E4318" t="str">
        <f>IF(INPUT!O4313="","",INPUT!O4313)</f>
        <v/>
      </c>
      <c r="F4318" t="str">
        <f>IF(INPUT!N4313="","",INPUT!N4313)</f>
        <v/>
      </c>
      <c r="G4318" cm="1">
        <f t="array" ref="G4318">IFERROR(VLOOKUP(INPUT!M4313&amp;INPUT!N4313,CHOOSE({1,2},INPUT!$A$3:$A$5000&amp;INPUT!$C$3:$C$5000,INPUT!$F$3:$F$5000),2,FALSE),"")</f>
        <v>0</v>
      </c>
      <c r="H4318" cm="1">
        <f t="array" ref="H4318">IFERROR(VLOOKUP(INPUT!M4313&amp;INPUT!N4313,CHOOSE({1,2},INPUT!$A$3:$A$5000&amp;INPUT!$C$3:$C$5000,INPUT!$D$3:$D$5000),2,FALSE),"")</f>
        <v>0</v>
      </c>
      <c r="I4318" s="46" t="str">
        <f>IF(INPUT!P4313="","",INPUT!P4313)</f>
        <v/>
      </c>
      <c r="J4318" s="46" t="str">
        <f>IF(INPUT!Q4313="","",INPUT!Q4313)</f>
        <v/>
      </c>
      <c r="K4318" s="46" t="str">
        <f>IFERROR(IF(OR(INPUT!P4313="",INPUT!Q4313=""),"",INPUT!P4313-INPUT!Q4313),"")</f>
        <v/>
      </c>
      <c r="L4318" s="48" t="str">
        <f>IFERROR(IF(OR(INPUT!P4313="",INPUT!Q4313="",INPUT!P4313=0),"",(INPUT!P4313-INPUT!Q4313)/INPUT!P4313),"")</f>
        <v/>
      </c>
    </row>
    <row r="4319" spans="1:12" ht="18" hidden="1" customHeight="1" x14ac:dyDescent="0.2">
      <c r="A4319" s="11" t="str">
        <f>IF(INPUT!M4314="","",INPUT!M4314)</f>
        <v/>
      </c>
      <c r="B4319" s="11" t="str">
        <f>IF(INPUT!M4314="","",INPUT!M4314-WEEKDAY(INPUT!M4314,2)+1)</f>
        <v/>
      </c>
      <c r="C4319" s="20">
        <f>IFERROR(_xlfn.ISOWEEKNUM(INPUT!M4314),"")</f>
        <v>52</v>
      </c>
      <c r="D4319" s="20">
        <f>IFERROR(YEAR(INPUT!M4314),"")</f>
        <v>1900</v>
      </c>
      <c r="E4319" t="str">
        <f>IF(INPUT!O4314="","",INPUT!O4314)</f>
        <v/>
      </c>
      <c r="F4319" t="str">
        <f>IF(INPUT!N4314="","",INPUT!N4314)</f>
        <v/>
      </c>
      <c r="G4319" cm="1">
        <f t="array" ref="G4319">IFERROR(VLOOKUP(INPUT!M4314&amp;INPUT!N4314,CHOOSE({1,2},INPUT!$A$3:$A$5000&amp;INPUT!$C$3:$C$5000,INPUT!$F$3:$F$5000),2,FALSE),"")</f>
        <v>0</v>
      </c>
      <c r="H4319" cm="1">
        <f t="array" ref="H4319">IFERROR(VLOOKUP(INPUT!M4314&amp;INPUT!N4314,CHOOSE({1,2},INPUT!$A$3:$A$5000&amp;INPUT!$C$3:$C$5000,INPUT!$D$3:$D$5000),2,FALSE),"")</f>
        <v>0</v>
      </c>
      <c r="I4319" s="46" t="str">
        <f>IF(INPUT!P4314="","",INPUT!P4314)</f>
        <v/>
      </c>
      <c r="J4319" s="46" t="str">
        <f>IF(INPUT!Q4314="","",INPUT!Q4314)</f>
        <v/>
      </c>
      <c r="K4319" s="46" t="str">
        <f>IFERROR(IF(OR(INPUT!P4314="",INPUT!Q4314=""),"",INPUT!P4314-INPUT!Q4314),"")</f>
        <v/>
      </c>
      <c r="L4319" s="48" t="str">
        <f>IFERROR(IF(OR(INPUT!P4314="",INPUT!Q4314="",INPUT!P4314=0),"",(INPUT!P4314-INPUT!Q4314)/INPUT!P4314),"")</f>
        <v/>
      </c>
    </row>
    <row r="4320" spans="1:12" ht="18" hidden="1" customHeight="1" x14ac:dyDescent="0.2">
      <c r="A4320" s="11" t="str">
        <f>IF(INPUT!M4315="","",INPUT!M4315)</f>
        <v/>
      </c>
      <c r="B4320" s="11" t="str">
        <f>IF(INPUT!M4315="","",INPUT!M4315-WEEKDAY(INPUT!M4315,2)+1)</f>
        <v/>
      </c>
      <c r="C4320" s="20">
        <f>IFERROR(_xlfn.ISOWEEKNUM(INPUT!M4315),"")</f>
        <v>52</v>
      </c>
      <c r="D4320" s="20">
        <f>IFERROR(YEAR(INPUT!M4315),"")</f>
        <v>1900</v>
      </c>
      <c r="E4320" t="str">
        <f>IF(INPUT!O4315="","",INPUT!O4315)</f>
        <v/>
      </c>
      <c r="F4320" t="str">
        <f>IF(INPUT!N4315="","",INPUT!N4315)</f>
        <v/>
      </c>
      <c r="G4320" cm="1">
        <f t="array" ref="G4320">IFERROR(VLOOKUP(INPUT!M4315&amp;INPUT!N4315,CHOOSE({1,2},INPUT!$A$3:$A$5000&amp;INPUT!$C$3:$C$5000,INPUT!$F$3:$F$5000),2,FALSE),"")</f>
        <v>0</v>
      </c>
      <c r="H4320" cm="1">
        <f t="array" ref="H4320">IFERROR(VLOOKUP(INPUT!M4315&amp;INPUT!N4315,CHOOSE({1,2},INPUT!$A$3:$A$5000&amp;INPUT!$C$3:$C$5000,INPUT!$D$3:$D$5000),2,FALSE),"")</f>
        <v>0</v>
      </c>
      <c r="I4320" s="46" t="str">
        <f>IF(INPUT!P4315="","",INPUT!P4315)</f>
        <v/>
      </c>
      <c r="J4320" s="46" t="str">
        <f>IF(INPUT!Q4315="","",INPUT!Q4315)</f>
        <v/>
      </c>
      <c r="K4320" s="46" t="str">
        <f>IFERROR(IF(OR(INPUT!P4315="",INPUT!Q4315=""),"",INPUT!P4315-INPUT!Q4315),"")</f>
        <v/>
      </c>
      <c r="L4320" s="48" t="str">
        <f>IFERROR(IF(OR(INPUT!P4315="",INPUT!Q4315="",INPUT!P4315=0),"",(INPUT!P4315-INPUT!Q4315)/INPUT!P4315),"")</f>
        <v/>
      </c>
    </row>
    <row r="4321" spans="1:12" ht="18" hidden="1" customHeight="1" x14ac:dyDescent="0.2">
      <c r="A4321" s="11" t="str">
        <f>IF(INPUT!M4316="","",INPUT!M4316)</f>
        <v/>
      </c>
      <c r="B4321" s="11" t="str">
        <f>IF(INPUT!M4316="","",INPUT!M4316-WEEKDAY(INPUT!M4316,2)+1)</f>
        <v/>
      </c>
      <c r="C4321" s="20">
        <f>IFERROR(_xlfn.ISOWEEKNUM(INPUT!M4316),"")</f>
        <v>52</v>
      </c>
      <c r="D4321" s="20">
        <f>IFERROR(YEAR(INPUT!M4316),"")</f>
        <v>1900</v>
      </c>
      <c r="E4321" t="str">
        <f>IF(INPUT!O4316="","",INPUT!O4316)</f>
        <v/>
      </c>
      <c r="F4321" t="str">
        <f>IF(INPUT!N4316="","",INPUT!N4316)</f>
        <v/>
      </c>
      <c r="G4321" cm="1">
        <f t="array" ref="G4321">IFERROR(VLOOKUP(INPUT!M4316&amp;INPUT!N4316,CHOOSE({1,2},INPUT!$A$3:$A$5000&amp;INPUT!$C$3:$C$5000,INPUT!$F$3:$F$5000),2,FALSE),"")</f>
        <v>0</v>
      </c>
      <c r="H4321" cm="1">
        <f t="array" ref="H4321">IFERROR(VLOOKUP(INPUT!M4316&amp;INPUT!N4316,CHOOSE({1,2},INPUT!$A$3:$A$5000&amp;INPUT!$C$3:$C$5000,INPUT!$D$3:$D$5000),2,FALSE),"")</f>
        <v>0</v>
      </c>
      <c r="I4321" s="46" t="str">
        <f>IF(INPUT!P4316="","",INPUT!P4316)</f>
        <v/>
      </c>
      <c r="J4321" s="46" t="str">
        <f>IF(INPUT!Q4316="","",INPUT!Q4316)</f>
        <v/>
      </c>
      <c r="K4321" s="46" t="str">
        <f>IFERROR(IF(OR(INPUT!P4316="",INPUT!Q4316=""),"",INPUT!P4316-INPUT!Q4316),"")</f>
        <v/>
      </c>
      <c r="L4321" s="48" t="str">
        <f>IFERROR(IF(OR(INPUT!P4316="",INPUT!Q4316="",INPUT!P4316=0),"",(INPUT!P4316-INPUT!Q4316)/INPUT!P4316),"")</f>
        <v/>
      </c>
    </row>
    <row r="4322" spans="1:12" ht="18" hidden="1" customHeight="1" x14ac:dyDescent="0.2">
      <c r="A4322" s="11" t="str">
        <f>IF(INPUT!M4317="","",INPUT!M4317)</f>
        <v/>
      </c>
      <c r="B4322" s="11" t="str">
        <f>IF(INPUT!M4317="","",INPUT!M4317-WEEKDAY(INPUT!M4317,2)+1)</f>
        <v/>
      </c>
      <c r="C4322" s="20">
        <f>IFERROR(_xlfn.ISOWEEKNUM(INPUT!M4317),"")</f>
        <v>52</v>
      </c>
      <c r="D4322" s="20">
        <f>IFERROR(YEAR(INPUT!M4317),"")</f>
        <v>1900</v>
      </c>
      <c r="E4322" t="str">
        <f>IF(INPUT!O4317="","",INPUT!O4317)</f>
        <v/>
      </c>
      <c r="F4322" t="str">
        <f>IF(INPUT!N4317="","",INPUT!N4317)</f>
        <v/>
      </c>
      <c r="G4322" cm="1">
        <f t="array" ref="G4322">IFERROR(VLOOKUP(INPUT!M4317&amp;INPUT!N4317,CHOOSE({1,2},INPUT!$A$3:$A$5000&amp;INPUT!$C$3:$C$5000,INPUT!$F$3:$F$5000),2,FALSE),"")</f>
        <v>0</v>
      </c>
      <c r="H4322" cm="1">
        <f t="array" ref="H4322">IFERROR(VLOOKUP(INPUT!M4317&amp;INPUT!N4317,CHOOSE({1,2},INPUT!$A$3:$A$5000&amp;INPUT!$C$3:$C$5000,INPUT!$D$3:$D$5000),2,FALSE),"")</f>
        <v>0</v>
      </c>
      <c r="I4322" s="46" t="str">
        <f>IF(INPUT!P4317="","",INPUT!P4317)</f>
        <v/>
      </c>
      <c r="J4322" s="46" t="str">
        <f>IF(INPUT!Q4317="","",INPUT!Q4317)</f>
        <v/>
      </c>
      <c r="K4322" s="46" t="str">
        <f>IFERROR(IF(OR(INPUT!P4317="",INPUT!Q4317=""),"",INPUT!P4317-INPUT!Q4317),"")</f>
        <v/>
      </c>
      <c r="L4322" s="48" t="str">
        <f>IFERROR(IF(OR(INPUT!P4317="",INPUT!Q4317="",INPUT!P4317=0),"",(INPUT!P4317-INPUT!Q4317)/INPUT!P4317),"")</f>
        <v/>
      </c>
    </row>
    <row r="4323" spans="1:12" ht="18" hidden="1" customHeight="1" x14ac:dyDescent="0.2">
      <c r="A4323" s="11" t="str">
        <f>IF(INPUT!M4318="","",INPUT!M4318)</f>
        <v/>
      </c>
      <c r="B4323" s="11" t="str">
        <f>IF(INPUT!M4318="","",INPUT!M4318-WEEKDAY(INPUT!M4318,2)+1)</f>
        <v/>
      </c>
      <c r="C4323" s="20">
        <f>IFERROR(_xlfn.ISOWEEKNUM(INPUT!M4318),"")</f>
        <v>52</v>
      </c>
      <c r="D4323" s="20">
        <f>IFERROR(YEAR(INPUT!M4318),"")</f>
        <v>1900</v>
      </c>
      <c r="E4323" t="str">
        <f>IF(INPUT!O4318="","",INPUT!O4318)</f>
        <v/>
      </c>
      <c r="F4323" t="str">
        <f>IF(INPUT!N4318="","",INPUT!N4318)</f>
        <v/>
      </c>
      <c r="G4323" cm="1">
        <f t="array" ref="G4323">IFERROR(VLOOKUP(INPUT!M4318&amp;INPUT!N4318,CHOOSE({1,2},INPUT!$A$3:$A$5000&amp;INPUT!$C$3:$C$5000,INPUT!$F$3:$F$5000),2,FALSE),"")</f>
        <v>0</v>
      </c>
      <c r="H4323" cm="1">
        <f t="array" ref="H4323">IFERROR(VLOOKUP(INPUT!M4318&amp;INPUT!N4318,CHOOSE({1,2},INPUT!$A$3:$A$5000&amp;INPUT!$C$3:$C$5000,INPUT!$D$3:$D$5000),2,FALSE),"")</f>
        <v>0</v>
      </c>
      <c r="I4323" s="46" t="str">
        <f>IF(INPUT!P4318="","",INPUT!P4318)</f>
        <v/>
      </c>
      <c r="J4323" s="46" t="str">
        <f>IF(INPUT!Q4318="","",INPUT!Q4318)</f>
        <v/>
      </c>
      <c r="K4323" s="46" t="str">
        <f>IFERROR(IF(OR(INPUT!P4318="",INPUT!Q4318=""),"",INPUT!P4318-INPUT!Q4318),"")</f>
        <v/>
      </c>
      <c r="L4323" s="48" t="str">
        <f>IFERROR(IF(OR(INPUT!P4318="",INPUT!Q4318="",INPUT!P4318=0),"",(INPUT!P4318-INPUT!Q4318)/INPUT!P4318),"")</f>
        <v/>
      </c>
    </row>
    <row r="4324" spans="1:12" ht="18" hidden="1" customHeight="1" x14ac:dyDescent="0.2">
      <c r="A4324" s="11" t="str">
        <f>IF(INPUT!M4319="","",INPUT!M4319)</f>
        <v/>
      </c>
      <c r="B4324" s="11" t="str">
        <f>IF(INPUT!M4319="","",INPUT!M4319-WEEKDAY(INPUT!M4319,2)+1)</f>
        <v/>
      </c>
      <c r="C4324" s="20">
        <f>IFERROR(_xlfn.ISOWEEKNUM(INPUT!M4319),"")</f>
        <v>52</v>
      </c>
      <c r="D4324" s="20">
        <f>IFERROR(YEAR(INPUT!M4319),"")</f>
        <v>1900</v>
      </c>
      <c r="E4324" t="str">
        <f>IF(INPUT!O4319="","",INPUT!O4319)</f>
        <v/>
      </c>
      <c r="F4324" t="str">
        <f>IF(INPUT!N4319="","",INPUT!N4319)</f>
        <v/>
      </c>
      <c r="G4324" cm="1">
        <f t="array" ref="G4324">IFERROR(VLOOKUP(INPUT!M4319&amp;INPUT!N4319,CHOOSE({1,2},INPUT!$A$3:$A$5000&amp;INPUT!$C$3:$C$5000,INPUT!$F$3:$F$5000),2,FALSE),"")</f>
        <v>0</v>
      </c>
      <c r="H4324" cm="1">
        <f t="array" ref="H4324">IFERROR(VLOOKUP(INPUT!M4319&amp;INPUT!N4319,CHOOSE({1,2},INPUT!$A$3:$A$5000&amp;INPUT!$C$3:$C$5000,INPUT!$D$3:$D$5000),2,FALSE),"")</f>
        <v>0</v>
      </c>
      <c r="I4324" s="46" t="str">
        <f>IF(INPUT!P4319="","",INPUT!P4319)</f>
        <v/>
      </c>
      <c r="J4324" s="46" t="str">
        <f>IF(INPUT!Q4319="","",INPUT!Q4319)</f>
        <v/>
      </c>
      <c r="K4324" s="46" t="str">
        <f>IFERROR(IF(OR(INPUT!P4319="",INPUT!Q4319=""),"",INPUT!P4319-INPUT!Q4319),"")</f>
        <v/>
      </c>
      <c r="L4324" s="48" t="str">
        <f>IFERROR(IF(OR(INPUT!P4319="",INPUT!Q4319="",INPUT!P4319=0),"",(INPUT!P4319-INPUT!Q4319)/INPUT!P4319),"")</f>
        <v/>
      </c>
    </row>
    <row r="4325" spans="1:12" ht="18" hidden="1" customHeight="1" x14ac:dyDescent="0.2">
      <c r="A4325" s="11" t="str">
        <f>IF(INPUT!M4320="","",INPUT!M4320)</f>
        <v/>
      </c>
      <c r="B4325" s="11" t="str">
        <f>IF(INPUT!M4320="","",INPUT!M4320-WEEKDAY(INPUT!M4320,2)+1)</f>
        <v/>
      </c>
      <c r="C4325" s="20">
        <f>IFERROR(_xlfn.ISOWEEKNUM(INPUT!M4320),"")</f>
        <v>52</v>
      </c>
      <c r="D4325" s="20">
        <f>IFERROR(YEAR(INPUT!M4320),"")</f>
        <v>1900</v>
      </c>
      <c r="E4325" t="str">
        <f>IF(INPUT!O4320="","",INPUT!O4320)</f>
        <v/>
      </c>
      <c r="F4325" t="str">
        <f>IF(INPUT!N4320="","",INPUT!N4320)</f>
        <v/>
      </c>
      <c r="G4325" cm="1">
        <f t="array" ref="G4325">IFERROR(VLOOKUP(INPUT!M4320&amp;INPUT!N4320,CHOOSE({1,2},INPUT!$A$3:$A$5000&amp;INPUT!$C$3:$C$5000,INPUT!$F$3:$F$5000),2,FALSE),"")</f>
        <v>0</v>
      </c>
      <c r="H4325" cm="1">
        <f t="array" ref="H4325">IFERROR(VLOOKUP(INPUT!M4320&amp;INPUT!N4320,CHOOSE({1,2},INPUT!$A$3:$A$5000&amp;INPUT!$C$3:$C$5000,INPUT!$D$3:$D$5000),2,FALSE),"")</f>
        <v>0</v>
      </c>
      <c r="I4325" s="46" t="str">
        <f>IF(INPUT!P4320="","",INPUT!P4320)</f>
        <v/>
      </c>
      <c r="J4325" s="46" t="str">
        <f>IF(INPUT!Q4320="","",INPUT!Q4320)</f>
        <v/>
      </c>
      <c r="K4325" s="46" t="str">
        <f>IFERROR(IF(OR(INPUT!P4320="",INPUT!Q4320=""),"",INPUT!P4320-INPUT!Q4320),"")</f>
        <v/>
      </c>
      <c r="L4325" s="48" t="str">
        <f>IFERROR(IF(OR(INPUT!P4320="",INPUT!Q4320="",INPUT!P4320=0),"",(INPUT!P4320-INPUT!Q4320)/INPUT!P4320),"")</f>
        <v/>
      </c>
    </row>
    <row r="4326" spans="1:12" ht="18" hidden="1" customHeight="1" x14ac:dyDescent="0.2">
      <c r="A4326" s="11" t="str">
        <f>IF(INPUT!M4321="","",INPUT!M4321)</f>
        <v/>
      </c>
      <c r="B4326" s="11" t="str">
        <f>IF(INPUT!M4321="","",INPUT!M4321-WEEKDAY(INPUT!M4321,2)+1)</f>
        <v/>
      </c>
      <c r="C4326" s="20">
        <f>IFERROR(_xlfn.ISOWEEKNUM(INPUT!M4321),"")</f>
        <v>52</v>
      </c>
      <c r="D4326" s="20">
        <f>IFERROR(YEAR(INPUT!M4321),"")</f>
        <v>1900</v>
      </c>
      <c r="E4326" t="str">
        <f>IF(INPUT!O4321="","",INPUT!O4321)</f>
        <v/>
      </c>
      <c r="F4326" t="str">
        <f>IF(INPUT!N4321="","",INPUT!N4321)</f>
        <v/>
      </c>
      <c r="G4326" cm="1">
        <f t="array" ref="G4326">IFERROR(VLOOKUP(INPUT!M4321&amp;INPUT!N4321,CHOOSE({1,2},INPUT!$A$3:$A$5000&amp;INPUT!$C$3:$C$5000,INPUT!$F$3:$F$5000),2,FALSE),"")</f>
        <v>0</v>
      </c>
      <c r="H4326" cm="1">
        <f t="array" ref="H4326">IFERROR(VLOOKUP(INPUT!M4321&amp;INPUT!N4321,CHOOSE({1,2},INPUT!$A$3:$A$5000&amp;INPUT!$C$3:$C$5000,INPUT!$D$3:$D$5000),2,FALSE),"")</f>
        <v>0</v>
      </c>
      <c r="I4326" s="46" t="str">
        <f>IF(INPUT!P4321="","",INPUT!P4321)</f>
        <v/>
      </c>
      <c r="J4326" s="46" t="str">
        <f>IF(INPUT!Q4321="","",INPUT!Q4321)</f>
        <v/>
      </c>
      <c r="K4326" s="46" t="str">
        <f>IFERROR(IF(OR(INPUT!P4321="",INPUT!Q4321=""),"",INPUT!P4321-INPUT!Q4321),"")</f>
        <v/>
      </c>
      <c r="L4326" s="48" t="str">
        <f>IFERROR(IF(OR(INPUT!P4321="",INPUT!Q4321="",INPUT!P4321=0),"",(INPUT!P4321-INPUT!Q4321)/INPUT!P4321),"")</f>
        <v/>
      </c>
    </row>
    <row r="4327" spans="1:12" ht="18" hidden="1" customHeight="1" x14ac:dyDescent="0.2">
      <c r="A4327" s="11" t="str">
        <f>IF(INPUT!M4322="","",INPUT!M4322)</f>
        <v/>
      </c>
      <c r="B4327" s="11" t="str">
        <f>IF(INPUT!M4322="","",INPUT!M4322-WEEKDAY(INPUT!M4322,2)+1)</f>
        <v/>
      </c>
      <c r="C4327" s="20">
        <f>IFERROR(_xlfn.ISOWEEKNUM(INPUT!M4322),"")</f>
        <v>52</v>
      </c>
      <c r="D4327" s="20">
        <f>IFERROR(YEAR(INPUT!M4322),"")</f>
        <v>1900</v>
      </c>
      <c r="E4327" t="str">
        <f>IF(INPUT!O4322="","",INPUT!O4322)</f>
        <v/>
      </c>
      <c r="F4327" t="str">
        <f>IF(INPUT!N4322="","",INPUT!N4322)</f>
        <v/>
      </c>
      <c r="G4327" cm="1">
        <f t="array" ref="G4327">IFERROR(VLOOKUP(INPUT!M4322&amp;INPUT!N4322,CHOOSE({1,2},INPUT!$A$3:$A$5000&amp;INPUT!$C$3:$C$5000,INPUT!$F$3:$F$5000),2,FALSE),"")</f>
        <v>0</v>
      </c>
      <c r="H4327" cm="1">
        <f t="array" ref="H4327">IFERROR(VLOOKUP(INPUT!M4322&amp;INPUT!N4322,CHOOSE({1,2},INPUT!$A$3:$A$5000&amp;INPUT!$C$3:$C$5000,INPUT!$D$3:$D$5000),2,FALSE),"")</f>
        <v>0</v>
      </c>
      <c r="I4327" s="46" t="str">
        <f>IF(INPUT!P4322="","",INPUT!P4322)</f>
        <v/>
      </c>
      <c r="J4327" s="46" t="str">
        <f>IF(INPUT!Q4322="","",INPUT!Q4322)</f>
        <v/>
      </c>
      <c r="K4327" s="46" t="str">
        <f>IFERROR(IF(OR(INPUT!P4322="",INPUT!Q4322=""),"",INPUT!P4322-INPUT!Q4322),"")</f>
        <v/>
      </c>
      <c r="L4327" s="48" t="str">
        <f>IFERROR(IF(OR(INPUT!P4322="",INPUT!Q4322="",INPUT!P4322=0),"",(INPUT!P4322-INPUT!Q4322)/INPUT!P4322),"")</f>
        <v/>
      </c>
    </row>
    <row r="4328" spans="1:12" ht="18" hidden="1" customHeight="1" x14ac:dyDescent="0.2">
      <c r="A4328" s="11" t="str">
        <f>IF(INPUT!M4323="","",INPUT!M4323)</f>
        <v/>
      </c>
      <c r="B4328" s="11" t="str">
        <f>IF(INPUT!M4323="","",INPUT!M4323-WEEKDAY(INPUT!M4323,2)+1)</f>
        <v/>
      </c>
      <c r="C4328" s="20">
        <f>IFERROR(_xlfn.ISOWEEKNUM(INPUT!M4323),"")</f>
        <v>52</v>
      </c>
      <c r="D4328" s="20">
        <f>IFERROR(YEAR(INPUT!M4323),"")</f>
        <v>1900</v>
      </c>
      <c r="E4328" t="str">
        <f>IF(INPUT!O4323="","",INPUT!O4323)</f>
        <v/>
      </c>
      <c r="F4328" t="str">
        <f>IF(INPUT!N4323="","",INPUT!N4323)</f>
        <v/>
      </c>
      <c r="G4328" cm="1">
        <f t="array" ref="G4328">IFERROR(VLOOKUP(INPUT!M4323&amp;INPUT!N4323,CHOOSE({1,2},INPUT!$A$3:$A$5000&amp;INPUT!$C$3:$C$5000,INPUT!$F$3:$F$5000),2,FALSE),"")</f>
        <v>0</v>
      </c>
      <c r="H4328" cm="1">
        <f t="array" ref="H4328">IFERROR(VLOOKUP(INPUT!M4323&amp;INPUT!N4323,CHOOSE({1,2},INPUT!$A$3:$A$5000&amp;INPUT!$C$3:$C$5000,INPUT!$D$3:$D$5000),2,FALSE),"")</f>
        <v>0</v>
      </c>
      <c r="I4328" s="46" t="str">
        <f>IF(INPUT!P4323="","",INPUT!P4323)</f>
        <v/>
      </c>
      <c r="J4328" s="46" t="str">
        <f>IF(INPUT!Q4323="","",INPUT!Q4323)</f>
        <v/>
      </c>
      <c r="K4328" s="46" t="str">
        <f>IFERROR(IF(OR(INPUT!P4323="",INPUT!Q4323=""),"",INPUT!P4323-INPUT!Q4323),"")</f>
        <v/>
      </c>
      <c r="L4328" s="48" t="str">
        <f>IFERROR(IF(OR(INPUT!P4323="",INPUT!Q4323="",INPUT!P4323=0),"",(INPUT!P4323-INPUT!Q4323)/INPUT!P4323),"")</f>
        <v/>
      </c>
    </row>
    <row r="4329" spans="1:12" ht="18" hidden="1" customHeight="1" x14ac:dyDescent="0.2">
      <c r="A4329" s="11" t="str">
        <f>IF(INPUT!M4324="","",INPUT!M4324)</f>
        <v/>
      </c>
      <c r="B4329" s="11" t="str">
        <f>IF(INPUT!M4324="","",INPUT!M4324-WEEKDAY(INPUT!M4324,2)+1)</f>
        <v/>
      </c>
      <c r="C4329" s="20">
        <f>IFERROR(_xlfn.ISOWEEKNUM(INPUT!M4324),"")</f>
        <v>52</v>
      </c>
      <c r="D4329" s="20">
        <f>IFERROR(YEAR(INPUT!M4324),"")</f>
        <v>1900</v>
      </c>
      <c r="E4329" t="str">
        <f>IF(INPUT!O4324="","",INPUT!O4324)</f>
        <v/>
      </c>
      <c r="F4329" t="str">
        <f>IF(INPUT!N4324="","",INPUT!N4324)</f>
        <v/>
      </c>
      <c r="G4329" cm="1">
        <f t="array" ref="G4329">IFERROR(VLOOKUP(INPUT!M4324&amp;INPUT!N4324,CHOOSE({1,2},INPUT!$A$3:$A$5000&amp;INPUT!$C$3:$C$5000,INPUT!$F$3:$F$5000),2,FALSE),"")</f>
        <v>0</v>
      </c>
      <c r="H4329" cm="1">
        <f t="array" ref="H4329">IFERROR(VLOOKUP(INPUT!M4324&amp;INPUT!N4324,CHOOSE({1,2},INPUT!$A$3:$A$5000&amp;INPUT!$C$3:$C$5000,INPUT!$D$3:$D$5000),2,FALSE),"")</f>
        <v>0</v>
      </c>
      <c r="I4329" s="46" t="str">
        <f>IF(INPUT!P4324="","",INPUT!P4324)</f>
        <v/>
      </c>
      <c r="J4329" s="46" t="str">
        <f>IF(INPUT!Q4324="","",INPUT!Q4324)</f>
        <v/>
      </c>
      <c r="K4329" s="46" t="str">
        <f>IFERROR(IF(OR(INPUT!P4324="",INPUT!Q4324=""),"",INPUT!P4324-INPUT!Q4324),"")</f>
        <v/>
      </c>
      <c r="L4329" s="48" t="str">
        <f>IFERROR(IF(OR(INPUT!P4324="",INPUT!Q4324="",INPUT!P4324=0),"",(INPUT!P4324-INPUT!Q4324)/INPUT!P4324),"")</f>
        <v/>
      </c>
    </row>
    <row r="4330" spans="1:12" ht="18" hidden="1" customHeight="1" x14ac:dyDescent="0.2">
      <c r="A4330" s="11" t="str">
        <f>IF(INPUT!M4325="","",INPUT!M4325)</f>
        <v/>
      </c>
      <c r="B4330" s="11" t="str">
        <f>IF(INPUT!M4325="","",INPUT!M4325-WEEKDAY(INPUT!M4325,2)+1)</f>
        <v/>
      </c>
      <c r="C4330" s="20">
        <f>IFERROR(_xlfn.ISOWEEKNUM(INPUT!M4325),"")</f>
        <v>52</v>
      </c>
      <c r="D4330" s="20">
        <f>IFERROR(YEAR(INPUT!M4325),"")</f>
        <v>1900</v>
      </c>
      <c r="E4330" t="str">
        <f>IF(INPUT!O4325="","",INPUT!O4325)</f>
        <v/>
      </c>
      <c r="F4330" t="str">
        <f>IF(INPUT!N4325="","",INPUT!N4325)</f>
        <v/>
      </c>
      <c r="G4330" cm="1">
        <f t="array" ref="G4330">IFERROR(VLOOKUP(INPUT!M4325&amp;INPUT!N4325,CHOOSE({1,2},INPUT!$A$3:$A$5000&amp;INPUT!$C$3:$C$5000,INPUT!$F$3:$F$5000),2,FALSE),"")</f>
        <v>0</v>
      </c>
      <c r="H4330" cm="1">
        <f t="array" ref="H4330">IFERROR(VLOOKUP(INPUT!M4325&amp;INPUT!N4325,CHOOSE({1,2},INPUT!$A$3:$A$5000&amp;INPUT!$C$3:$C$5000,INPUT!$D$3:$D$5000),2,FALSE),"")</f>
        <v>0</v>
      </c>
      <c r="I4330" s="46" t="str">
        <f>IF(INPUT!P4325="","",INPUT!P4325)</f>
        <v/>
      </c>
      <c r="J4330" s="46" t="str">
        <f>IF(INPUT!Q4325="","",INPUT!Q4325)</f>
        <v/>
      </c>
      <c r="K4330" s="46" t="str">
        <f>IFERROR(IF(OR(INPUT!P4325="",INPUT!Q4325=""),"",INPUT!P4325-INPUT!Q4325),"")</f>
        <v/>
      </c>
      <c r="L4330" s="48" t="str">
        <f>IFERROR(IF(OR(INPUT!P4325="",INPUT!Q4325="",INPUT!P4325=0),"",(INPUT!P4325-INPUT!Q4325)/INPUT!P4325),"")</f>
        <v/>
      </c>
    </row>
    <row r="4331" spans="1:12" ht="18" hidden="1" customHeight="1" x14ac:dyDescent="0.2">
      <c r="A4331" s="11" t="str">
        <f>IF(INPUT!M4326="","",INPUT!M4326)</f>
        <v/>
      </c>
      <c r="B4331" s="11" t="str">
        <f>IF(INPUT!M4326="","",INPUT!M4326-WEEKDAY(INPUT!M4326,2)+1)</f>
        <v/>
      </c>
      <c r="C4331" s="20">
        <f>IFERROR(_xlfn.ISOWEEKNUM(INPUT!M4326),"")</f>
        <v>52</v>
      </c>
      <c r="D4331" s="20">
        <f>IFERROR(YEAR(INPUT!M4326),"")</f>
        <v>1900</v>
      </c>
      <c r="E4331" t="str">
        <f>IF(INPUT!O4326="","",INPUT!O4326)</f>
        <v/>
      </c>
      <c r="F4331" t="str">
        <f>IF(INPUT!N4326="","",INPUT!N4326)</f>
        <v/>
      </c>
      <c r="G4331" cm="1">
        <f t="array" ref="G4331">IFERROR(VLOOKUP(INPUT!M4326&amp;INPUT!N4326,CHOOSE({1,2},INPUT!$A$3:$A$5000&amp;INPUT!$C$3:$C$5000,INPUT!$F$3:$F$5000),2,FALSE),"")</f>
        <v>0</v>
      </c>
      <c r="H4331" cm="1">
        <f t="array" ref="H4331">IFERROR(VLOOKUP(INPUT!M4326&amp;INPUT!N4326,CHOOSE({1,2},INPUT!$A$3:$A$5000&amp;INPUT!$C$3:$C$5000,INPUT!$D$3:$D$5000),2,FALSE),"")</f>
        <v>0</v>
      </c>
      <c r="I4331" s="46" t="str">
        <f>IF(INPUT!P4326="","",INPUT!P4326)</f>
        <v/>
      </c>
      <c r="J4331" s="46" t="str">
        <f>IF(INPUT!Q4326="","",INPUT!Q4326)</f>
        <v/>
      </c>
      <c r="K4331" s="46" t="str">
        <f>IFERROR(IF(OR(INPUT!P4326="",INPUT!Q4326=""),"",INPUT!P4326-INPUT!Q4326),"")</f>
        <v/>
      </c>
      <c r="L4331" s="48" t="str">
        <f>IFERROR(IF(OR(INPUT!P4326="",INPUT!Q4326="",INPUT!P4326=0),"",(INPUT!P4326-INPUT!Q4326)/INPUT!P4326),"")</f>
        <v/>
      </c>
    </row>
    <row r="4332" spans="1:12" ht="18" hidden="1" customHeight="1" x14ac:dyDescent="0.2">
      <c r="A4332" s="11" t="str">
        <f>IF(INPUT!M4327="","",INPUT!M4327)</f>
        <v/>
      </c>
      <c r="B4332" s="11" t="str">
        <f>IF(INPUT!M4327="","",INPUT!M4327-WEEKDAY(INPUT!M4327,2)+1)</f>
        <v/>
      </c>
      <c r="C4332" s="20">
        <f>IFERROR(_xlfn.ISOWEEKNUM(INPUT!M4327),"")</f>
        <v>52</v>
      </c>
      <c r="D4332" s="20">
        <f>IFERROR(YEAR(INPUT!M4327),"")</f>
        <v>1900</v>
      </c>
      <c r="E4332" t="str">
        <f>IF(INPUT!O4327="","",INPUT!O4327)</f>
        <v/>
      </c>
      <c r="F4332" t="str">
        <f>IF(INPUT!N4327="","",INPUT!N4327)</f>
        <v/>
      </c>
      <c r="G4332" cm="1">
        <f t="array" ref="G4332">IFERROR(VLOOKUP(INPUT!M4327&amp;INPUT!N4327,CHOOSE({1,2},INPUT!$A$3:$A$5000&amp;INPUT!$C$3:$C$5000,INPUT!$F$3:$F$5000),2,FALSE),"")</f>
        <v>0</v>
      </c>
      <c r="H4332" cm="1">
        <f t="array" ref="H4332">IFERROR(VLOOKUP(INPUT!M4327&amp;INPUT!N4327,CHOOSE({1,2},INPUT!$A$3:$A$5000&amp;INPUT!$C$3:$C$5000,INPUT!$D$3:$D$5000),2,FALSE),"")</f>
        <v>0</v>
      </c>
      <c r="I4332" s="46" t="str">
        <f>IF(INPUT!P4327="","",INPUT!P4327)</f>
        <v/>
      </c>
      <c r="J4332" s="46" t="str">
        <f>IF(INPUT!Q4327="","",INPUT!Q4327)</f>
        <v/>
      </c>
      <c r="K4332" s="46" t="str">
        <f>IFERROR(IF(OR(INPUT!P4327="",INPUT!Q4327=""),"",INPUT!P4327-INPUT!Q4327),"")</f>
        <v/>
      </c>
      <c r="L4332" s="48" t="str">
        <f>IFERROR(IF(OR(INPUT!P4327="",INPUT!Q4327="",INPUT!P4327=0),"",(INPUT!P4327-INPUT!Q4327)/INPUT!P4327),"")</f>
        <v/>
      </c>
    </row>
    <row r="4333" spans="1:12" ht="18" hidden="1" customHeight="1" x14ac:dyDescent="0.2">
      <c r="A4333" s="11" t="str">
        <f>IF(INPUT!M4328="","",INPUT!M4328)</f>
        <v/>
      </c>
      <c r="B4333" s="11" t="str">
        <f>IF(INPUT!M4328="","",INPUT!M4328-WEEKDAY(INPUT!M4328,2)+1)</f>
        <v/>
      </c>
      <c r="C4333" s="20">
        <f>IFERROR(_xlfn.ISOWEEKNUM(INPUT!M4328),"")</f>
        <v>52</v>
      </c>
      <c r="D4333" s="20">
        <f>IFERROR(YEAR(INPUT!M4328),"")</f>
        <v>1900</v>
      </c>
      <c r="E4333" t="str">
        <f>IF(INPUT!O4328="","",INPUT!O4328)</f>
        <v/>
      </c>
      <c r="F4333" t="str">
        <f>IF(INPUT!N4328="","",INPUT!N4328)</f>
        <v/>
      </c>
      <c r="G4333" cm="1">
        <f t="array" ref="G4333">IFERROR(VLOOKUP(INPUT!M4328&amp;INPUT!N4328,CHOOSE({1,2},INPUT!$A$3:$A$5000&amp;INPUT!$C$3:$C$5000,INPUT!$F$3:$F$5000),2,FALSE),"")</f>
        <v>0</v>
      </c>
      <c r="H4333" cm="1">
        <f t="array" ref="H4333">IFERROR(VLOOKUP(INPUT!M4328&amp;INPUT!N4328,CHOOSE({1,2},INPUT!$A$3:$A$5000&amp;INPUT!$C$3:$C$5000,INPUT!$D$3:$D$5000),2,FALSE),"")</f>
        <v>0</v>
      </c>
      <c r="I4333" s="46" t="str">
        <f>IF(INPUT!P4328="","",INPUT!P4328)</f>
        <v/>
      </c>
      <c r="J4333" s="46" t="str">
        <f>IF(INPUT!Q4328="","",INPUT!Q4328)</f>
        <v/>
      </c>
      <c r="K4333" s="46" t="str">
        <f>IFERROR(IF(OR(INPUT!P4328="",INPUT!Q4328=""),"",INPUT!P4328-INPUT!Q4328),"")</f>
        <v/>
      </c>
      <c r="L4333" s="48" t="str">
        <f>IFERROR(IF(OR(INPUT!P4328="",INPUT!Q4328="",INPUT!P4328=0),"",(INPUT!P4328-INPUT!Q4328)/INPUT!P4328),"")</f>
        <v/>
      </c>
    </row>
    <row r="4334" spans="1:12" ht="18" hidden="1" customHeight="1" x14ac:dyDescent="0.2">
      <c r="A4334" s="11" t="str">
        <f>IF(INPUT!M4329="","",INPUT!M4329)</f>
        <v/>
      </c>
      <c r="B4334" s="11" t="str">
        <f>IF(INPUT!M4329="","",INPUT!M4329-WEEKDAY(INPUT!M4329,2)+1)</f>
        <v/>
      </c>
      <c r="C4334" s="20">
        <f>IFERROR(_xlfn.ISOWEEKNUM(INPUT!M4329),"")</f>
        <v>52</v>
      </c>
      <c r="D4334" s="20">
        <f>IFERROR(YEAR(INPUT!M4329),"")</f>
        <v>1900</v>
      </c>
      <c r="E4334" t="str">
        <f>IF(INPUT!O4329="","",INPUT!O4329)</f>
        <v/>
      </c>
      <c r="F4334" t="str">
        <f>IF(INPUT!N4329="","",INPUT!N4329)</f>
        <v/>
      </c>
      <c r="G4334" cm="1">
        <f t="array" ref="G4334">IFERROR(VLOOKUP(INPUT!M4329&amp;INPUT!N4329,CHOOSE({1,2},INPUT!$A$3:$A$5000&amp;INPUT!$C$3:$C$5000,INPUT!$F$3:$F$5000),2,FALSE),"")</f>
        <v>0</v>
      </c>
      <c r="H4334" cm="1">
        <f t="array" ref="H4334">IFERROR(VLOOKUP(INPUT!M4329&amp;INPUT!N4329,CHOOSE({1,2},INPUT!$A$3:$A$5000&amp;INPUT!$C$3:$C$5000,INPUT!$D$3:$D$5000),2,FALSE),"")</f>
        <v>0</v>
      </c>
      <c r="I4334" s="46" t="str">
        <f>IF(INPUT!P4329="","",INPUT!P4329)</f>
        <v/>
      </c>
      <c r="J4334" s="46" t="str">
        <f>IF(INPUT!Q4329="","",INPUT!Q4329)</f>
        <v/>
      </c>
      <c r="K4334" s="46" t="str">
        <f>IFERROR(IF(OR(INPUT!P4329="",INPUT!Q4329=""),"",INPUT!P4329-INPUT!Q4329),"")</f>
        <v/>
      </c>
      <c r="L4334" s="48" t="str">
        <f>IFERROR(IF(OR(INPUT!P4329="",INPUT!Q4329="",INPUT!P4329=0),"",(INPUT!P4329-INPUT!Q4329)/INPUT!P4329),"")</f>
        <v/>
      </c>
    </row>
    <row r="4335" spans="1:12" ht="18" hidden="1" customHeight="1" x14ac:dyDescent="0.2">
      <c r="A4335" s="11" t="str">
        <f>IF(INPUT!M4330="","",INPUT!M4330)</f>
        <v/>
      </c>
      <c r="B4335" s="11" t="str">
        <f>IF(INPUT!M4330="","",INPUT!M4330-WEEKDAY(INPUT!M4330,2)+1)</f>
        <v/>
      </c>
      <c r="C4335" s="20">
        <f>IFERROR(_xlfn.ISOWEEKNUM(INPUT!M4330),"")</f>
        <v>52</v>
      </c>
      <c r="D4335" s="20">
        <f>IFERROR(YEAR(INPUT!M4330),"")</f>
        <v>1900</v>
      </c>
      <c r="E4335" t="str">
        <f>IF(INPUT!O4330="","",INPUT!O4330)</f>
        <v/>
      </c>
      <c r="F4335" t="str">
        <f>IF(INPUT!N4330="","",INPUT!N4330)</f>
        <v/>
      </c>
      <c r="G4335" cm="1">
        <f t="array" ref="G4335">IFERROR(VLOOKUP(INPUT!M4330&amp;INPUT!N4330,CHOOSE({1,2},INPUT!$A$3:$A$5000&amp;INPUT!$C$3:$C$5000,INPUT!$F$3:$F$5000),2,FALSE),"")</f>
        <v>0</v>
      </c>
      <c r="H4335" cm="1">
        <f t="array" ref="H4335">IFERROR(VLOOKUP(INPUT!M4330&amp;INPUT!N4330,CHOOSE({1,2},INPUT!$A$3:$A$5000&amp;INPUT!$C$3:$C$5000,INPUT!$D$3:$D$5000),2,FALSE),"")</f>
        <v>0</v>
      </c>
      <c r="I4335" s="46" t="str">
        <f>IF(INPUT!P4330="","",INPUT!P4330)</f>
        <v/>
      </c>
      <c r="J4335" s="46" t="str">
        <f>IF(INPUT!Q4330="","",INPUT!Q4330)</f>
        <v/>
      </c>
      <c r="K4335" s="46" t="str">
        <f>IFERROR(IF(OR(INPUT!P4330="",INPUT!Q4330=""),"",INPUT!P4330-INPUT!Q4330),"")</f>
        <v/>
      </c>
      <c r="L4335" s="48" t="str">
        <f>IFERROR(IF(OR(INPUT!P4330="",INPUT!Q4330="",INPUT!P4330=0),"",(INPUT!P4330-INPUT!Q4330)/INPUT!P4330),"")</f>
        <v/>
      </c>
    </row>
    <row r="4336" spans="1:12" ht="18" hidden="1" customHeight="1" x14ac:dyDescent="0.2">
      <c r="A4336" s="11" t="str">
        <f>IF(INPUT!M4331="","",INPUT!M4331)</f>
        <v/>
      </c>
      <c r="B4336" s="11" t="str">
        <f>IF(INPUT!M4331="","",INPUT!M4331-WEEKDAY(INPUT!M4331,2)+1)</f>
        <v/>
      </c>
      <c r="C4336" s="20">
        <f>IFERROR(_xlfn.ISOWEEKNUM(INPUT!M4331),"")</f>
        <v>52</v>
      </c>
      <c r="D4336" s="20">
        <f>IFERROR(YEAR(INPUT!M4331),"")</f>
        <v>1900</v>
      </c>
      <c r="E4336" t="str">
        <f>IF(INPUT!O4331="","",INPUT!O4331)</f>
        <v/>
      </c>
      <c r="F4336" t="str">
        <f>IF(INPUT!N4331="","",INPUT!N4331)</f>
        <v/>
      </c>
      <c r="G4336" cm="1">
        <f t="array" ref="G4336">IFERROR(VLOOKUP(INPUT!M4331&amp;INPUT!N4331,CHOOSE({1,2},INPUT!$A$3:$A$5000&amp;INPUT!$C$3:$C$5000,INPUT!$F$3:$F$5000),2,FALSE),"")</f>
        <v>0</v>
      </c>
      <c r="H4336" cm="1">
        <f t="array" ref="H4336">IFERROR(VLOOKUP(INPUT!M4331&amp;INPUT!N4331,CHOOSE({1,2},INPUT!$A$3:$A$5000&amp;INPUT!$C$3:$C$5000,INPUT!$D$3:$D$5000),2,FALSE),"")</f>
        <v>0</v>
      </c>
      <c r="I4336" s="46" t="str">
        <f>IF(INPUT!P4331="","",INPUT!P4331)</f>
        <v/>
      </c>
      <c r="J4336" s="46" t="str">
        <f>IF(INPUT!Q4331="","",INPUT!Q4331)</f>
        <v/>
      </c>
      <c r="K4336" s="46" t="str">
        <f>IFERROR(IF(OR(INPUT!P4331="",INPUT!Q4331=""),"",INPUT!P4331-INPUT!Q4331),"")</f>
        <v/>
      </c>
      <c r="L4336" s="48" t="str">
        <f>IFERROR(IF(OR(INPUT!P4331="",INPUT!Q4331="",INPUT!P4331=0),"",(INPUT!P4331-INPUT!Q4331)/INPUT!P4331),"")</f>
        <v/>
      </c>
    </row>
    <row r="4337" spans="1:12" ht="18" hidden="1" customHeight="1" x14ac:dyDescent="0.2">
      <c r="A4337" s="11" t="str">
        <f>IF(INPUT!M4332="","",INPUT!M4332)</f>
        <v/>
      </c>
      <c r="B4337" s="11" t="str">
        <f>IF(INPUT!M4332="","",INPUT!M4332-WEEKDAY(INPUT!M4332,2)+1)</f>
        <v/>
      </c>
      <c r="C4337" s="20">
        <f>IFERROR(_xlfn.ISOWEEKNUM(INPUT!M4332),"")</f>
        <v>52</v>
      </c>
      <c r="D4337" s="20">
        <f>IFERROR(YEAR(INPUT!M4332),"")</f>
        <v>1900</v>
      </c>
      <c r="E4337" t="str">
        <f>IF(INPUT!O4332="","",INPUT!O4332)</f>
        <v/>
      </c>
      <c r="F4337" t="str">
        <f>IF(INPUT!N4332="","",INPUT!N4332)</f>
        <v/>
      </c>
      <c r="G4337" cm="1">
        <f t="array" ref="G4337">IFERROR(VLOOKUP(INPUT!M4332&amp;INPUT!N4332,CHOOSE({1,2},INPUT!$A$3:$A$5000&amp;INPUT!$C$3:$C$5000,INPUT!$F$3:$F$5000),2,FALSE),"")</f>
        <v>0</v>
      </c>
      <c r="H4337" cm="1">
        <f t="array" ref="H4337">IFERROR(VLOOKUP(INPUT!M4332&amp;INPUT!N4332,CHOOSE({1,2},INPUT!$A$3:$A$5000&amp;INPUT!$C$3:$C$5000,INPUT!$D$3:$D$5000),2,FALSE),"")</f>
        <v>0</v>
      </c>
      <c r="I4337" s="46" t="str">
        <f>IF(INPUT!P4332="","",INPUT!P4332)</f>
        <v/>
      </c>
      <c r="J4337" s="46" t="str">
        <f>IF(INPUT!Q4332="","",INPUT!Q4332)</f>
        <v/>
      </c>
      <c r="K4337" s="46" t="str">
        <f>IFERROR(IF(OR(INPUT!P4332="",INPUT!Q4332=""),"",INPUT!P4332-INPUT!Q4332),"")</f>
        <v/>
      </c>
      <c r="L4337" s="48" t="str">
        <f>IFERROR(IF(OR(INPUT!P4332="",INPUT!Q4332="",INPUT!P4332=0),"",(INPUT!P4332-INPUT!Q4332)/INPUT!P4332),"")</f>
        <v/>
      </c>
    </row>
    <row r="4338" spans="1:12" ht="18" hidden="1" customHeight="1" x14ac:dyDescent="0.2">
      <c r="A4338" s="11" t="str">
        <f>IF(INPUT!M4333="","",INPUT!M4333)</f>
        <v/>
      </c>
      <c r="B4338" s="11" t="str">
        <f>IF(INPUT!M4333="","",INPUT!M4333-WEEKDAY(INPUT!M4333,2)+1)</f>
        <v/>
      </c>
      <c r="C4338" s="20">
        <f>IFERROR(_xlfn.ISOWEEKNUM(INPUT!M4333),"")</f>
        <v>52</v>
      </c>
      <c r="D4338" s="20">
        <f>IFERROR(YEAR(INPUT!M4333),"")</f>
        <v>1900</v>
      </c>
      <c r="E4338" t="str">
        <f>IF(INPUT!O4333="","",INPUT!O4333)</f>
        <v/>
      </c>
      <c r="F4338" t="str">
        <f>IF(INPUT!N4333="","",INPUT!N4333)</f>
        <v/>
      </c>
      <c r="G4338" cm="1">
        <f t="array" ref="G4338">IFERROR(VLOOKUP(INPUT!M4333&amp;INPUT!N4333,CHOOSE({1,2},INPUT!$A$3:$A$5000&amp;INPUT!$C$3:$C$5000,INPUT!$F$3:$F$5000),2,FALSE),"")</f>
        <v>0</v>
      </c>
      <c r="H4338" cm="1">
        <f t="array" ref="H4338">IFERROR(VLOOKUP(INPUT!M4333&amp;INPUT!N4333,CHOOSE({1,2},INPUT!$A$3:$A$5000&amp;INPUT!$C$3:$C$5000,INPUT!$D$3:$D$5000),2,FALSE),"")</f>
        <v>0</v>
      </c>
      <c r="I4338" s="46" t="str">
        <f>IF(INPUT!P4333="","",INPUT!P4333)</f>
        <v/>
      </c>
      <c r="J4338" s="46" t="str">
        <f>IF(INPUT!Q4333="","",INPUT!Q4333)</f>
        <v/>
      </c>
      <c r="K4338" s="46" t="str">
        <f>IFERROR(IF(OR(INPUT!P4333="",INPUT!Q4333=""),"",INPUT!P4333-INPUT!Q4333),"")</f>
        <v/>
      </c>
      <c r="L4338" s="48" t="str">
        <f>IFERROR(IF(OR(INPUT!P4333="",INPUT!Q4333="",INPUT!P4333=0),"",(INPUT!P4333-INPUT!Q4333)/INPUT!P4333),"")</f>
        <v/>
      </c>
    </row>
    <row r="4339" spans="1:12" ht="18" hidden="1" customHeight="1" x14ac:dyDescent="0.2">
      <c r="A4339" s="11" t="str">
        <f>IF(INPUT!M4334="","",INPUT!M4334)</f>
        <v/>
      </c>
      <c r="B4339" s="11" t="str">
        <f>IF(INPUT!M4334="","",INPUT!M4334-WEEKDAY(INPUT!M4334,2)+1)</f>
        <v/>
      </c>
      <c r="C4339" s="20">
        <f>IFERROR(_xlfn.ISOWEEKNUM(INPUT!M4334),"")</f>
        <v>52</v>
      </c>
      <c r="D4339" s="20">
        <f>IFERROR(YEAR(INPUT!M4334),"")</f>
        <v>1900</v>
      </c>
      <c r="E4339" t="str">
        <f>IF(INPUT!O4334="","",INPUT!O4334)</f>
        <v/>
      </c>
      <c r="F4339" t="str">
        <f>IF(INPUT!N4334="","",INPUT!N4334)</f>
        <v/>
      </c>
      <c r="G4339" cm="1">
        <f t="array" ref="G4339">IFERROR(VLOOKUP(INPUT!M4334&amp;INPUT!N4334,CHOOSE({1,2},INPUT!$A$3:$A$5000&amp;INPUT!$C$3:$C$5000,INPUT!$F$3:$F$5000),2,FALSE),"")</f>
        <v>0</v>
      </c>
      <c r="H4339" cm="1">
        <f t="array" ref="H4339">IFERROR(VLOOKUP(INPUT!M4334&amp;INPUT!N4334,CHOOSE({1,2},INPUT!$A$3:$A$5000&amp;INPUT!$C$3:$C$5000,INPUT!$D$3:$D$5000),2,FALSE),"")</f>
        <v>0</v>
      </c>
      <c r="I4339" s="46" t="str">
        <f>IF(INPUT!P4334="","",INPUT!P4334)</f>
        <v/>
      </c>
      <c r="J4339" s="46" t="str">
        <f>IF(INPUT!Q4334="","",INPUT!Q4334)</f>
        <v/>
      </c>
      <c r="K4339" s="46" t="str">
        <f>IFERROR(IF(OR(INPUT!P4334="",INPUT!Q4334=""),"",INPUT!P4334-INPUT!Q4334),"")</f>
        <v/>
      </c>
      <c r="L4339" s="48" t="str">
        <f>IFERROR(IF(OR(INPUT!P4334="",INPUT!Q4334="",INPUT!P4334=0),"",(INPUT!P4334-INPUT!Q4334)/INPUT!P4334),"")</f>
        <v/>
      </c>
    </row>
    <row r="4340" spans="1:12" ht="18" hidden="1" customHeight="1" x14ac:dyDescent="0.2">
      <c r="A4340" s="11" t="str">
        <f>IF(INPUT!M4335="","",INPUT!M4335)</f>
        <v/>
      </c>
      <c r="B4340" s="11" t="str">
        <f>IF(INPUT!M4335="","",INPUT!M4335-WEEKDAY(INPUT!M4335,2)+1)</f>
        <v/>
      </c>
      <c r="C4340" s="20">
        <f>IFERROR(_xlfn.ISOWEEKNUM(INPUT!M4335),"")</f>
        <v>52</v>
      </c>
      <c r="D4340" s="20">
        <f>IFERROR(YEAR(INPUT!M4335),"")</f>
        <v>1900</v>
      </c>
      <c r="E4340" t="str">
        <f>IF(INPUT!O4335="","",INPUT!O4335)</f>
        <v/>
      </c>
      <c r="F4340" t="str">
        <f>IF(INPUT!N4335="","",INPUT!N4335)</f>
        <v/>
      </c>
      <c r="G4340" cm="1">
        <f t="array" ref="G4340">IFERROR(VLOOKUP(INPUT!M4335&amp;INPUT!N4335,CHOOSE({1,2},INPUT!$A$3:$A$5000&amp;INPUT!$C$3:$C$5000,INPUT!$F$3:$F$5000),2,FALSE),"")</f>
        <v>0</v>
      </c>
      <c r="H4340" cm="1">
        <f t="array" ref="H4340">IFERROR(VLOOKUP(INPUT!M4335&amp;INPUT!N4335,CHOOSE({1,2},INPUT!$A$3:$A$5000&amp;INPUT!$C$3:$C$5000,INPUT!$D$3:$D$5000),2,FALSE),"")</f>
        <v>0</v>
      </c>
      <c r="I4340" s="46" t="str">
        <f>IF(INPUT!P4335="","",INPUT!P4335)</f>
        <v/>
      </c>
      <c r="J4340" s="46" t="str">
        <f>IF(INPUT!Q4335="","",INPUT!Q4335)</f>
        <v/>
      </c>
      <c r="K4340" s="46" t="str">
        <f>IFERROR(IF(OR(INPUT!P4335="",INPUT!Q4335=""),"",INPUT!P4335-INPUT!Q4335),"")</f>
        <v/>
      </c>
      <c r="L4340" s="48" t="str">
        <f>IFERROR(IF(OR(INPUT!P4335="",INPUT!Q4335="",INPUT!P4335=0),"",(INPUT!P4335-INPUT!Q4335)/INPUT!P4335),"")</f>
        <v/>
      </c>
    </row>
    <row r="4341" spans="1:12" ht="18" hidden="1" customHeight="1" x14ac:dyDescent="0.2">
      <c r="A4341" s="11" t="str">
        <f>IF(INPUT!M4336="","",INPUT!M4336)</f>
        <v/>
      </c>
      <c r="B4341" s="11" t="str">
        <f>IF(INPUT!M4336="","",INPUT!M4336-WEEKDAY(INPUT!M4336,2)+1)</f>
        <v/>
      </c>
      <c r="C4341" s="20">
        <f>IFERROR(_xlfn.ISOWEEKNUM(INPUT!M4336),"")</f>
        <v>52</v>
      </c>
      <c r="D4341" s="20">
        <f>IFERROR(YEAR(INPUT!M4336),"")</f>
        <v>1900</v>
      </c>
      <c r="E4341" t="str">
        <f>IF(INPUT!O4336="","",INPUT!O4336)</f>
        <v/>
      </c>
      <c r="F4341" t="str">
        <f>IF(INPUT!N4336="","",INPUT!N4336)</f>
        <v/>
      </c>
      <c r="G4341" cm="1">
        <f t="array" ref="G4341">IFERROR(VLOOKUP(INPUT!M4336&amp;INPUT!N4336,CHOOSE({1,2},INPUT!$A$3:$A$5000&amp;INPUT!$C$3:$C$5000,INPUT!$F$3:$F$5000),2,FALSE),"")</f>
        <v>0</v>
      </c>
      <c r="H4341" cm="1">
        <f t="array" ref="H4341">IFERROR(VLOOKUP(INPUT!M4336&amp;INPUT!N4336,CHOOSE({1,2},INPUT!$A$3:$A$5000&amp;INPUT!$C$3:$C$5000,INPUT!$D$3:$D$5000),2,FALSE),"")</f>
        <v>0</v>
      </c>
      <c r="I4341" s="46" t="str">
        <f>IF(INPUT!P4336="","",INPUT!P4336)</f>
        <v/>
      </c>
      <c r="J4341" s="46" t="str">
        <f>IF(INPUT!Q4336="","",INPUT!Q4336)</f>
        <v/>
      </c>
      <c r="K4341" s="46" t="str">
        <f>IFERROR(IF(OR(INPUT!P4336="",INPUT!Q4336=""),"",INPUT!P4336-INPUT!Q4336),"")</f>
        <v/>
      </c>
      <c r="L4341" s="48" t="str">
        <f>IFERROR(IF(OR(INPUT!P4336="",INPUT!Q4336="",INPUT!P4336=0),"",(INPUT!P4336-INPUT!Q4336)/INPUT!P4336),"")</f>
        <v/>
      </c>
    </row>
    <row r="4342" spans="1:12" ht="18" hidden="1" customHeight="1" x14ac:dyDescent="0.2">
      <c r="A4342" s="11" t="str">
        <f>IF(INPUT!M4337="","",INPUT!M4337)</f>
        <v/>
      </c>
      <c r="B4342" s="11" t="str">
        <f>IF(INPUT!M4337="","",INPUT!M4337-WEEKDAY(INPUT!M4337,2)+1)</f>
        <v/>
      </c>
      <c r="C4342" s="20">
        <f>IFERROR(_xlfn.ISOWEEKNUM(INPUT!M4337),"")</f>
        <v>52</v>
      </c>
      <c r="D4342" s="20">
        <f>IFERROR(YEAR(INPUT!M4337),"")</f>
        <v>1900</v>
      </c>
      <c r="E4342" t="str">
        <f>IF(INPUT!O4337="","",INPUT!O4337)</f>
        <v/>
      </c>
      <c r="F4342" t="str">
        <f>IF(INPUT!N4337="","",INPUT!N4337)</f>
        <v/>
      </c>
      <c r="G4342" cm="1">
        <f t="array" ref="G4342">IFERROR(VLOOKUP(INPUT!M4337&amp;INPUT!N4337,CHOOSE({1,2},INPUT!$A$3:$A$5000&amp;INPUT!$C$3:$C$5000,INPUT!$F$3:$F$5000),2,FALSE),"")</f>
        <v>0</v>
      </c>
      <c r="H4342" cm="1">
        <f t="array" ref="H4342">IFERROR(VLOOKUP(INPUT!M4337&amp;INPUT!N4337,CHOOSE({1,2},INPUT!$A$3:$A$5000&amp;INPUT!$C$3:$C$5000,INPUT!$D$3:$D$5000),2,FALSE),"")</f>
        <v>0</v>
      </c>
      <c r="I4342" s="46" t="str">
        <f>IF(INPUT!P4337="","",INPUT!P4337)</f>
        <v/>
      </c>
      <c r="J4342" s="46" t="str">
        <f>IF(INPUT!Q4337="","",INPUT!Q4337)</f>
        <v/>
      </c>
      <c r="K4342" s="46" t="str">
        <f>IFERROR(IF(OR(INPUT!P4337="",INPUT!Q4337=""),"",INPUT!P4337-INPUT!Q4337),"")</f>
        <v/>
      </c>
      <c r="L4342" s="48" t="str">
        <f>IFERROR(IF(OR(INPUT!P4337="",INPUT!Q4337="",INPUT!P4337=0),"",(INPUT!P4337-INPUT!Q4337)/INPUT!P4337),"")</f>
        <v/>
      </c>
    </row>
    <row r="4343" spans="1:12" ht="18" hidden="1" customHeight="1" x14ac:dyDescent="0.2">
      <c r="A4343" s="11" t="str">
        <f>IF(INPUT!M4338="","",INPUT!M4338)</f>
        <v/>
      </c>
      <c r="B4343" s="11" t="str">
        <f>IF(INPUT!M4338="","",INPUT!M4338-WEEKDAY(INPUT!M4338,2)+1)</f>
        <v/>
      </c>
      <c r="C4343" s="20">
        <f>IFERROR(_xlfn.ISOWEEKNUM(INPUT!M4338),"")</f>
        <v>52</v>
      </c>
      <c r="D4343" s="20">
        <f>IFERROR(YEAR(INPUT!M4338),"")</f>
        <v>1900</v>
      </c>
      <c r="E4343" t="str">
        <f>IF(INPUT!O4338="","",INPUT!O4338)</f>
        <v/>
      </c>
      <c r="F4343" t="str">
        <f>IF(INPUT!N4338="","",INPUT!N4338)</f>
        <v/>
      </c>
      <c r="G4343" cm="1">
        <f t="array" ref="G4343">IFERROR(VLOOKUP(INPUT!M4338&amp;INPUT!N4338,CHOOSE({1,2},INPUT!$A$3:$A$5000&amp;INPUT!$C$3:$C$5000,INPUT!$F$3:$F$5000),2,FALSE),"")</f>
        <v>0</v>
      </c>
      <c r="H4343" cm="1">
        <f t="array" ref="H4343">IFERROR(VLOOKUP(INPUT!M4338&amp;INPUT!N4338,CHOOSE({1,2},INPUT!$A$3:$A$5000&amp;INPUT!$C$3:$C$5000,INPUT!$D$3:$D$5000),2,FALSE),"")</f>
        <v>0</v>
      </c>
      <c r="I4343" s="46" t="str">
        <f>IF(INPUT!P4338="","",INPUT!P4338)</f>
        <v/>
      </c>
      <c r="J4343" s="46" t="str">
        <f>IF(INPUT!Q4338="","",INPUT!Q4338)</f>
        <v/>
      </c>
      <c r="K4343" s="46" t="str">
        <f>IFERROR(IF(OR(INPUT!P4338="",INPUT!Q4338=""),"",INPUT!P4338-INPUT!Q4338),"")</f>
        <v/>
      </c>
      <c r="L4343" s="48" t="str">
        <f>IFERROR(IF(OR(INPUT!P4338="",INPUT!Q4338="",INPUT!P4338=0),"",(INPUT!P4338-INPUT!Q4338)/INPUT!P4338),"")</f>
        <v/>
      </c>
    </row>
    <row r="4344" spans="1:12" ht="18" hidden="1" customHeight="1" x14ac:dyDescent="0.2">
      <c r="A4344" s="11" t="str">
        <f>IF(INPUT!M4339="","",INPUT!M4339)</f>
        <v/>
      </c>
      <c r="B4344" s="11" t="str">
        <f>IF(INPUT!M4339="","",INPUT!M4339-WEEKDAY(INPUT!M4339,2)+1)</f>
        <v/>
      </c>
      <c r="C4344" s="20">
        <f>IFERROR(_xlfn.ISOWEEKNUM(INPUT!M4339),"")</f>
        <v>52</v>
      </c>
      <c r="D4344" s="20">
        <f>IFERROR(YEAR(INPUT!M4339),"")</f>
        <v>1900</v>
      </c>
      <c r="E4344" t="str">
        <f>IF(INPUT!O4339="","",INPUT!O4339)</f>
        <v/>
      </c>
      <c r="F4344" t="str">
        <f>IF(INPUT!N4339="","",INPUT!N4339)</f>
        <v/>
      </c>
      <c r="G4344" cm="1">
        <f t="array" ref="G4344">IFERROR(VLOOKUP(INPUT!M4339&amp;INPUT!N4339,CHOOSE({1,2},INPUT!$A$3:$A$5000&amp;INPUT!$C$3:$C$5000,INPUT!$F$3:$F$5000),2,FALSE),"")</f>
        <v>0</v>
      </c>
      <c r="H4344" cm="1">
        <f t="array" ref="H4344">IFERROR(VLOOKUP(INPUT!M4339&amp;INPUT!N4339,CHOOSE({1,2},INPUT!$A$3:$A$5000&amp;INPUT!$C$3:$C$5000,INPUT!$D$3:$D$5000),2,FALSE),"")</f>
        <v>0</v>
      </c>
      <c r="I4344" s="46" t="str">
        <f>IF(INPUT!P4339="","",INPUT!P4339)</f>
        <v/>
      </c>
      <c r="J4344" s="46" t="str">
        <f>IF(INPUT!Q4339="","",INPUT!Q4339)</f>
        <v/>
      </c>
      <c r="K4344" s="46" t="str">
        <f>IFERROR(IF(OR(INPUT!P4339="",INPUT!Q4339=""),"",INPUT!P4339-INPUT!Q4339),"")</f>
        <v/>
      </c>
      <c r="L4344" s="48" t="str">
        <f>IFERROR(IF(OR(INPUT!P4339="",INPUT!Q4339="",INPUT!P4339=0),"",(INPUT!P4339-INPUT!Q4339)/INPUT!P4339),"")</f>
        <v/>
      </c>
    </row>
    <row r="4345" spans="1:12" ht="18" hidden="1" customHeight="1" x14ac:dyDescent="0.2">
      <c r="A4345" s="11" t="str">
        <f>IF(INPUT!M4340="","",INPUT!M4340)</f>
        <v/>
      </c>
      <c r="B4345" s="11" t="str">
        <f>IF(INPUT!M4340="","",INPUT!M4340-WEEKDAY(INPUT!M4340,2)+1)</f>
        <v/>
      </c>
      <c r="C4345" s="20">
        <f>IFERROR(_xlfn.ISOWEEKNUM(INPUT!M4340),"")</f>
        <v>52</v>
      </c>
      <c r="D4345" s="20">
        <f>IFERROR(YEAR(INPUT!M4340),"")</f>
        <v>1900</v>
      </c>
      <c r="E4345" t="str">
        <f>IF(INPUT!O4340="","",INPUT!O4340)</f>
        <v/>
      </c>
      <c r="F4345" t="str">
        <f>IF(INPUT!N4340="","",INPUT!N4340)</f>
        <v/>
      </c>
      <c r="G4345" cm="1">
        <f t="array" ref="G4345">IFERROR(VLOOKUP(INPUT!M4340&amp;INPUT!N4340,CHOOSE({1,2},INPUT!$A$3:$A$5000&amp;INPUT!$C$3:$C$5000,INPUT!$F$3:$F$5000),2,FALSE),"")</f>
        <v>0</v>
      </c>
      <c r="H4345" cm="1">
        <f t="array" ref="H4345">IFERROR(VLOOKUP(INPUT!M4340&amp;INPUT!N4340,CHOOSE({1,2},INPUT!$A$3:$A$5000&amp;INPUT!$C$3:$C$5000,INPUT!$D$3:$D$5000),2,FALSE),"")</f>
        <v>0</v>
      </c>
      <c r="I4345" s="46" t="str">
        <f>IF(INPUT!P4340="","",INPUT!P4340)</f>
        <v/>
      </c>
      <c r="J4345" s="46" t="str">
        <f>IF(INPUT!Q4340="","",INPUT!Q4340)</f>
        <v/>
      </c>
      <c r="K4345" s="46" t="str">
        <f>IFERROR(IF(OR(INPUT!P4340="",INPUT!Q4340=""),"",INPUT!P4340-INPUT!Q4340),"")</f>
        <v/>
      </c>
      <c r="L4345" s="48" t="str">
        <f>IFERROR(IF(OR(INPUT!P4340="",INPUT!Q4340="",INPUT!P4340=0),"",(INPUT!P4340-INPUT!Q4340)/INPUT!P4340),"")</f>
        <v/>
      </c>
    </row>
    <row r="4346" spans="1:12" ht="18" hidden="1" customHeight="1" x14ac:dyDescent="0.2">
      <c r="A4346" s="11" t="str">
        <f>IF(INPUT!M4341="","",INPUT!M4341)</f>
        <v/>
      </c>
      <c r="B4346" s="11" t="str">
        <f>IF(INPUT!M4341="","",INPUT!M4341-WEEKDAY(INPUT!M4341,2)+1)</f>
        <v/>
      </c>
      <c r="C4346" s="20">
        <f>IFERROR(_xlfn.ISOWEEKNUM(INPUT!M4341),"")</f>
        <v>52</v>
      </c>
      <c r="D4346" s="20">
        <f>IFERROR(YEAR(INPUT!M4341),"")</f>
        <v>1900</v>
      </c>
      <c r="E4346" t="str">
        <f>IF(INPUT!O4341="","",INPUT!O4341)</f>
        <v/>
      </c>
      <c r="F4346" t="str">
        <f>IF(INPUT!N4341="","",INPUT!N4341)</f>
        <v/>
      </c>
      <c r="G4346" cm="1">
        <f t="array" ref="G4346">IFERROR(VLOOKUP(INPUT!M4341&amp;INPUT!N4341,CHOOSE({1,2},INPUT!$A$3:$A$5000&amp;INPUT!$C$3:$C$5000,INPUT!$F$3:$F$5000),2,FALSE),"")</f>
        <v>0</v>
      </c>
      <c r="H4346" cm="1">
        <f t="array" ref="H4346">IFERROR(VLOOKUP(INPUT!M4341&amp;INPUT!N4341,CHOOSE({1,2},INPUT!$A$3:$A$5000&amp;INPUT!$C$3:$C$5000,INPUT!$D$3:$D$5000),2,FALSE),"")</f>
        <v>0</v>
      </c>
      <c r="I4346" s="46" t="str">
        <f>IF(INPUT!P4341="","",INPUT!P4341)</f>
        <v/>
      </c>
      <c r="J4346" s="46" t="str">
        <f>IF(INPUT!Q4341="","",INPUT!Q4341)</f>
        <v/>
      </c>
      <c r="K4346" s="46" t="str">
        <f>IFERROR(IF(OR(INPUT!P4341="",INPUT!Q4341=""),"",INPUT!P4341-INPUT!Q4341),"")</f>
        <v/>
      </c>
      <c r="L4346" s="48" t="str">
        <f>IFERROR(IF(OR(INPUT!P4341="",INPUT!Q4341="",INPUT!P4341=0),"",(INPUT!P4341-INPUT!Q4341)/INPUT!P4341),"")</f>
        <v/>
      </c>
    </row>
    <row r="4347" spans="1:12" ht="18" hidden="1" customHeight="1" x14ac:dyDescent="0.2">
      <c r="A4347" s="11" t="str">
        <f>IF(INPUT!M4342="","",INPUT!M4342)</f>
        <v/>
      </c>
      <c r="B4347" s="11" t="str">
        <f>IF(INPUT!M4342="","",INPUT!M4342-WEEKDAY(INPUT!M4342,2)+1)</f>
        <v/>
      </c>
      <c r="C4347" s="20">
        <f>IFERROR(_xlfn.ISOWEEKNUM(INPUT!M4342),"")</f>
        <v>52</v>
      </c>
      <c r="D4347" s="20">
        <f>IFERROR(YEAR(INPUT!M4342),"")</f>
        <v>1900</v>
      </c>
      <c r="E4347" t="str">
        <f>IF(INPUT!O4342="","",INPUT!O4342)</f>
        <v/>
      </c>
      <c r="F4347" t="str">
        <f>IF(INPUT!N4342="","",INPUT!N4342)</f>
        <v/>
      </c>
      <c r="G4347" cm="1">
        <f t="array" ref="G4347">IFERROR(VLOOKUP(INPUT!M4342&amp;INPUT!N4342,CHOOSE({1,2},INPUT!$A$3:$A$5000&amp;INPUT!$C$3:$C$5000,INPUT!$F$3:$F$5000),2,FALSE),"")</f>
        <v>0</v>
      </c>
      <c r="H4347" cm="1">
        <f t="array" ref="H4347">IFERROR(VLOOKUP(INPUT!M4342&amp;INPUT!N4342,CHOOSE({1,2},INPUT!$A$3:$A$5000&amp;INPUT!$C$3:$C$5000,INPUT!$D$3:$D$5000),2,FALSE),"")</f>
        <v>0</v>
      </c>
      <c r="I4347" s="46" t="str">
        <f>IF(INPUT!P4342="","",INPUT!P4342)</f>
        <v/>
      </c>
      <c r="J4347" s="46" t="str">
        <f>IF(INPUT!Q4342="","",INPUT!Q4342)</f>
        <v/>
      </c>
      <c r="K4347" s="46" t="str">
        <f>IFERROR(IF(OR(INPUT!P4342="",INPUT!Q4342=""),"",INPUT!P4342-INPUT!Q4342),"")</f>
        <v/>
      </c>
      <c r="L4347" s="48" t="str">
        <f>IFERROR(IF(OR(INPUT!P4342="",INPUT!Q4342="",INPUT!P4342=0),"",(INPUT!P4342-INPUT!Q4342)/INPUT!P4342),"")</f>
        <v/>
      </c>
    </row>
    <row r="4348" spans="1:12" ht="18" hidden="1" customHeight="1" x14ac:dyDescent="0.2">
      <c r="A4348" s="11" t="str">
        <f>IF(INPUT!M4343="","",INPUT!M4343)</f>
        <v/>
      </c>
      <c r="B4348" s="11" t="str">
        <f>IF(INPUT!M4343="","",INPUT!M4343-WEEKDAY(INPUT!M4343,2)+1)</f>
        <v/>
      </c>
      <c r="C4348" s="20">
        <f>IFERROR(_xlfn.ISOWEEKNUM(INPUT!M4343),"")</f>
        <v>52</v>
      </c>
      <c r="D4348" s="20">
        <f>IFERROR(YEAR(INPUT!M4343),"")</f>
        <v>1900</v>
      </c>
      <c r="E4348" t="str">
        <f>IF(INPUT!O4343="","",INPUT!O4343)</f>
        <v/>
      </c>
      <c r="F4348" t="str">
        <f>IF(INPUT!N4343="","",INPUT!N4343)</f>
        <v/>
      </c>
      <c r="G4348" cm="1">
        <f t="array" ref="G4348">IFERROR(VLOOKUP(INPUT!M4343&amp;INPUT!N4343,CHOOSE({1,2},INPUT!$A$3:$A$5000&amp;INPUT!$C$3:$C$5000,INPUT!$F$3:$F$5000),2,FALSE),"")</f>
        <v>0</v>
      </c>
      <c r="H4348" cm="1">
        <f t="array" ref="H4348">IFERROR(VLOOKUP(INPUT!M4343&amp;INPUT!N4343,CHOOSE({1,2},INPUT!$A$3:$A$5000&amp;INPUT!$C$3:$C$5000,INPUT!$D$3:$D$5000),2,FALSE),"")</f>
        <v>0</v>
      </c>
      <c r="I4348" s="46" t="str">
        <f>IF(INPUT!P4343="","",INPUT!P4343)</f>
        <v/>
      </c>
      <c r="J4348" s="46" t="str">
        <f>IF(INPUT!Q4343="","",INPUT!Q4343)</f>
        <v/>
      </c>
      <c r="K4348" s="46" t="str">
        <f>IFERROR(IF(OR(INPUT!P4343="",INPUT!Q4343=""),"",INPUT!P4343-INPUT!Q4343),"")</f>
        <v/>
      </c>
      <c r="L4348" s="48" t="str">
        <f>IFERROR(IF(OR(INPUT!P4343="",INPUT!Q4343="",INPUT!P4343=0),"",(INPUT!P4343-INPUT!Q4343)/INPUT!P4343),"")</f>
        <v/>
      </c>
    </row>
    <row r="4349" spans="1:12" ht="18" hidden="1" customHeight="1" x14ac:dyDescent="0.2">
      <c r="A4349" s="11" t="str">
        <f>IF(INPUT!M4344="","",INPUT!M4344)</f>
        <v/>
      </c>
      <c r="B4349" s="11" t="str">
        <f>IF(INPUT!M4344="","",INPUT!M4344-WEEKDAY(INPUT!M4344,2)+1)</f>
        <v/>
      </c>
      <c r="C4349" s="20">
        <f>IFERROR(_xlfn.ISOWEEKNUM(INPUT!M4344),"")</f>
        <v>52</v>
      </c>
      <c r="D4349" s="20">
        <f>IFERROR(YEAR(INPUT!M4344),"")</f>
        <v>1900</v>
      </c>
      <c r="E4349" t="str">
        <f>IF(INPUT!O4344="","",INPUT!O4344)</f>
        <v/>
      </c>
      <c r="F4349" t="str">
        <f>IF(INPUT!N4344="","",INPUT!N4344)</f>
        <v/>
      </c>
      <c r="G4349" cm="1">
        <f t="array" ref="G4349">IFERROR(VLOOKUP(INPUT!M4344&amp;INPUT!N4344,CHOOSE({1,2},INPUT!$A$3:$A$5000&amp;INPUT!$C$3:$C$5000,INPUT!$F$3:$F$5000),2,FALSE),"")</f>
        <v>0</v>
      </c>
      <c r="H4349" cm="1">
        <f t="array" ref="H4349">IFERROR(VLOOKUP(INPUT!M4344&amp;INPUT!N4344,CHOOSE({1,2},INPUT!$A$3:$A$5000&amp;INPUT!$C$3:$C$5000,INPUT!$D$3:$D$5000),2,FALSE),"")</f>
        <v>0</v>
      </c>
      <c r="I4349" s="46" t="str">
        <f>IF(INPUT!P4344="","",INPUT!P4344)</f>
        <v/>
      </c>
      <c r="J4349" s="46" t="str">
        <f>IF(INPUT!Q4344="","",INPUT!Q4344)</f>
        <v/>
      </c>
      <c r="K4349" s="46" t="str">
        <f>IFERROR(IF(OR(INPUT!P4344="",INPUT!Q4344=""),"",INPUT!P4344-INPUT!Q4344),"")</f>
        <v/>
      </c>
      <c r="L4349" s="48" t="str">
        <f>IFERROR(IF(OR(INPUT!P4344="",INPUT!Q4344="",INPUT!P4344=0),"",(INPUT!P4344-INPUT!Q4344)/INPUT!P4344),"")</f>
        <v/>
      </c>
    </row>
    <row r="4350" spans="1:12" ht="18" hidden="1" customHeight="1" x14ac:dyDescent="0.2">
      <c r="A4350" s="11" t="str">
        <f>IF(INPUT!M4345="","",INPUT!M4345)</f>
        <v/>
      </c>
      <c r="B4350" s="11" t="str">
        <f>IF(INPUT!M4345="","",INPUT!M4345-WEEKDAY(INPUT!M4345,2)+1)</f>
        <v/>
      </c>
      <c r="C4350" s="20">
        <f>IFERROR(_xlfn.ISOWEEKNUM(INPUT!M4345),"")</f>
        <v>52</v>
      </c>
      <c r="D4350" s="20">
        <f>IFERROR(YEAR(INPUT!M4345),"")</f>
        <v>1900</v>
      </c>
      <c r="E4350" t="str">
        <f>IF(INPUT!O4345="","",INPUT!O4345)</f>
        <v/>
      </c>
      <c r="F4350" t="str">
        <f>IF(INPUT!N4345="","",INPUT!N4345)</f>
        <v/>
      </c>
      <c r="G4350" cm="1">
        <f t="array" ref="G4350">IFERROR(VLOOKUP(INPUT!M4345&amp;INPUT!N4345,CHOOSE({1,2},INPUT!$A$3:$A$5000&amp;INPUT!$C$3:$C$5000,INPUT!$F$3:$F$5000),2,FALSE),"")</f>
        <v>0</v>
      </c>
      <c r="H4350" cm="1">
        <f t="array" ref="H4350">IFERROR(VLOOKUP(INPUT!M4345&amp;INPUT!N4345,CHOOSE({1,2},INPUT!$A$3:$A$5000&amp;INPUT!$C$3:$C$5000,INPUT!$D$3:$D$5000),2,FALSE),"")</f>
        <v>0</v>
      </c>
      <c r="I4350" s="46" t="str">
        <f>IF(INPUT!P4345="","",INPUT!P4345)</f>
        <v/>
      </c>
      <c r="J4350" s="46" t="str">
        <f>IF(INPUT!Q4345="","",INPUT!Q4345)</f>
        <v/>
      </c>
      <c r="K4350" s="46" t="str">
        <f>IFERROR(IF(OR(INPUT!P4345="",INPUT!Q4345=""),"",INPUT!P4345-INPUT!Q4345),"")</f>
        <v/>
      </c>
      <c r="L4350" s="48" t="str">
        <f>IFERROR(IF(OR(INPUT!P4345="",INPUT!Q4345="",INPUT!P4345=0),"",(INPUT!P4345-INPUT!Q4345)/INPUT!P4345),"")</f>
        <v/>
      </c>
    </row>
    <row r="4351" spans="1:12" ht="18" hidden="1" customHeight="1" x14ac:dyDescent="0.2">
      <c r="A4351" s="11" t="str">
        <f>IF(INPUT!M4346="","",INPUT!M4346)</f>
        <v/>
      </c>
      <c r="B4351" s="11" t="str">
        <f>IF(INPUT!M4346="","",INPUT!M4346-WEEKDAY(INPUT!M4346,2)+1)</f>
        <v/>
      </c>
      <c r="C4351" s="20">
        <f>IFERROR(_xlfn.ISOWEEKNUM(INPUT!M4346),"")</f>
        <v>52</v>
      </c>
      <c r="D4351" s="20">
        <f>IFERROR(YEAR(INPUT!M4346),"")</f>
        <v>1900</v>
      </c>
      <c r="E4351" t="str">
        <f>IF(INPUT!O4346="","",INPUT!O4346)</f>
        <v/>
      </c>
      <c r="F4351" t="str">
        <f>IF(INPUT!N4346="","",INPUT!N4346)</f>
        <v/>
      </c>
      <c r="G4351" cm="1">
        <f t="array" ref="G4351">IFERROR(VLOOKUP(INPUT!M4346&amp;INPUT!N4346,CHOOSE({1,2},INPUT!$A$3:$A$5000&amp;INPUT!$C$3:$C$5000,INPUT!$F$3:$F$5000),2,FALSE),"")</f>
        <v>0</v>
      </c>
      <c r="H4351" cm="1">
        <f t="array" ref="H4351">IFERROR(VLOOKUP(INPUT!M4346&amp;INPUT!N4346,CHOOSE({1,2},INPUT!$A$3:$A$5000&amp;INPUT!$C$3:$C$5000,INPUT!$D$3:$D$5000),2,FALSE),"")</f>
        <v>0</v>
      </c>
      <c r="I4351" s="46" t="str">
        <f>IF(INPUT!P4346="","",INPUT!P4346)</f>
        <v/>
      </c>
      <c r="J4351" s="46" t="str">
        <f>IF(INPUT!Q4346="","",INPUT!Q4346)</f>
        <v/>
      </c>
      <c r="K4351" s="46" t="str">
        <f>IFERROR(IF(OR(INPUT!P4346="",INPUT!Q4346=""),"",INPUT!P4346-INPUT!Q4346),"")</f>
        <v/>
      </c>
      <c r="L4351" s="48" t="str">
        <f>IFERROR(IF(OR(INPUT!P4346="",INPUT!Q4346="",INPUT!P4346=0),"",(INPUT!P4346-INPUT!Q4346)/INPUT!P4346),"")</f>
        <v/>
      </c>
    </row>
    <row r="4352" spans="1:12" ht="18" hidden="1" customHeight="1" x14ac:dyDescent="0.2">
      <c r="A4352" s="11" t="str">
        <f>IF(INPUT!M4347="","",INPUT!M4347)</f>
        <v/>
      </c>
      <c r="B4352" s="11" t="str">
        <f>IF(INPUT!M4347="","",INPUT!M4347-WEEKDAY(INPUT!M4347,2)+1)</f>
        <v/>
      </c>
      <c r="C4352" s="20">
        <f>IFERROR(_xlfn.ISOWEEKNUM(INPUT!M4347),"")</f>
        <v>52</v>
      </c>
      <c r="D4352" s="20">
        <f>IFERROR(YEAR(INPUT!M4347),"")</f>
        <v>1900</v>
      </c>
      <c r="E4352" t="str">
        <f>IF(INPUT!O4347="","",INPUT!O4347)</f>
        <v/>
      </c>
      <c r="F4352" t="str">
        <f>IF(INPUT!N4347="","",INPUT!N4347)</f>
        <v/>
      </c>
      <c r="G4352" cm="1">
        <f t="array" ref="G4352">IFERROR(VLOOKUP(INPUT!M4347&amp;INPUT!N4347,CHOOSE({1,2},INPUT!$A$3:$A$5000&amp;INPUT!$C$3:$C$5000,INPUT!$F$3:$F$5000),2,FALSE),"")</f>
        <v>0</v>
      </c>
      <c r="H4352" cm="1">
        <f t="array" ref="H4352">IFERROR(VLOOKUP(INPUT!M4347&amp;INPUT!N4347,CHOOSE({1,2},INPUT!$A$3:$A$5000&amp;INPUT!$C$3:$C$5000,INPUT!$D$3:$D$5000),2,FALSE),"")</f>
        <v>0</v>
      </c>
      <c r="I4352" s="46" t="str">
        <f>IF(INPUT!P4347="","",INPUT!P4347)</f>
        <v/>
      </c>
      <c r="J4352" s="46" t="str">
        <f>IF(INPUT!Q4347="","",INPUT!Q4347)</f>
        <v/>
      </c>
      <c r="K4352" s="46" t="str">
        <f>IFERROR(IF(OR(INPUT!P4347="",INPUT!Q4347=""),"",INPUT!P4347-INPUT!Q4347),"")</f>
        <v/>
      </c>
      <c r="L4352" s="48" t="str">
        <f>IFERROR(IF(OR(INPUT!P4347="",INPUT!Q4347="",INPUT!P4347=0),"",(INPUT!P4347-INPUT!Q4347)/INPUT!P4347),"")</f>
        <v/>
      </c>
    </row>
    <row r="4353" spans="1:12" ht="18" hidden="1" customHeight="1" x14ac:dyDescent="0.2">
      <c r="A4353" s="11" t="str">
        <f>IF(INPUT!M4348="","",INPUT!M4348)</f>
        <v/>
      </c>
      <c r="B4353" s="11" t="str">
        <f>IF(INPUT!M4348="","",INPUT!M4348-WEEKDAY(INPUT!M4348,2)+1)</f>
        <v/>
      </c>
      <c r="C4353" s="20">
        <f>IFERROR(_xlfn.ISOWEEKNUM(INPUT!M4348),"")</f>
        <v>52</v>
      </c>
      <c r="D4353" s="20">
        <f>IFERROR(YEAR(INPUT!M4348),"")</f>
        <v>1900</v>
      </c>
      <c r="E4353" t="str">
        <f>IF(INPUT!O4348="","",INPUT!O4348)</f>
        <v/>
      </c>
      <c r="F4353" t="str">
        <f>IF(INPUT!N4348="","",INPUT!N4348)</f>
        <v/>
      </c>
      <c r="G4353" cm="1">
        <f t="array" ref="G4353">IFERROR(VLOOKUP(INPUT!M4348&amp;INPUT!N4348,CHOOSE({1,2},INPUT!$A$3:$A$5000&amp;INPUT!$C$3:$C$5000,INPUT!$F$3:$F$5000),2,FALSE),"")</f>
        <v>0</v>
      </c>
      <c r="H4353" cm="1">
        <f t="array" ref="H4353">IFERROR(VLOOKUP(INPUT!M4348&amp;INPUT!N4348,CHOOSE({1,2},INPUT!$A$3:$A$5000&amp;INPUT!$C$3:$C$5000,INPUT!$D$3:$D$5000),2,FALSE),"")</f>
        <v>0</v>
      </c>
      <c r="I4353" s="46" t="str">
        <f>IF(INPUT!P4348="","",INPUT!P4348)</f>
        <v/>
      </c>
      <c r="J4353" s="46" t="str">
        <f>IF(INPUT!Q4348="","",INPUT!Q4348)</f>
        <v/>
      </c>
      <c r="K4353" s="46" t="str">
        <f>IFERROR(IF(OR(INPUT!P4348="",INPUT!Q4348=""),"",INPUT!P4348-INPUT!Q4348),"")</f>
        <v/>
      </c>
      <c r="L4353" s="48" t="str">
        <f>IFERROR(IF(OR(INPUT!P4348="",INPUT!Q4348="",INPUT!P4348=0),"",(INPUT!P4348-INPUT!Q4348)/INPUT!P4348),"")</f>
        <v/>
      </c>
    </row>
    <row r="4354" spans="1:12" ht="18" hidden="1" customHeight="1" x14ac:dyDescent="0.2">
      <c r="A4354" s="11" t="str">
        <f>IF(INPUT!M4349="","",INPUT!M4349)</f>
        <v/>
      </c>
      <c r="B4354" s="11" t="str">
        <f>IF(INPUT!M4349="","",INPUT!M4349-WEEKDAY(INPUT!M4349,2)+1)</f>
        <v/>
      </c>
      <c r="C4354" s="20">
        <f>IFERROR(_xlfn.ISOWEEKNUM(INPUT!M4349),"")</f>
        <v>52</v>
      </c>
      <c r="D4354" s="20">
        <f>IFERROR(YEAR(INPUT!M4349),"")</f>
        <v>1900</v>
      </c>
      <c r="E4354" t="str">
        <f>IF(INPUT!O4349="","",INPUT!O4349)</f>
        <v/>
      </c>
      <c r="F4354" t="str">
        <f>IF(INPUT!N4349="","",INPUT!N4349)</f>
        <v/>
      </c>
      <c r="G4354" cm="1">
        <f t="array" ref="G4354">IFERROR(VLOOKUP(INPUT!M4349&amp;INPUT!N4349,CHOOSE({1,2},INPUT!$A$3:$A$5000&amp;INPUT!$C$3:$C$5000,INPUT!$F$3:$F$5000),2,FALSE),"")</f>
        <v>0</v>
      </c>
      <c r="H4354" cm="1">
        <f t="array" ref="H4354">IFERROR(VLOOKUP(INPUT!M4349&amp;INPUT!N4349,CHOOSE({1,2},INPUT!$A$3:$A$5000&amp;INPUT!$C$3:$C$5000,INPUT!$D$3:$D$5000),2,FALSE),"")</f>
        <v>0</v>
      </c>
      <c r="I4354" s="46" t="str">
        <f>IF(INPUT!P4349="","",INPUT!P4349)</f>
        <v/>
      </c>
      <c r="J4354" s="46" t="str">
        <f>IF(INPUT!Q4349="","",INPUT!Q4349)</f>
        <v/>
      </c>
      <c r="K4354" s="46" t="str">
        <f>IFERROR(IF(OR(INPUT!P4349="",INPUT!Q4349=""),"",INPUT!P4349-INPUT!Q4349),"")</f>
        <v/>
      </c>
      <c r="L4354" s="48" t="str">
        <f>IFERROR(IF(OR(INPUT!P4349="",INPUT!Q4349="",INPUT!P4349=0),"",(INPUT!P4349-INPUT!Q4349)/INPUT!P4349),"")</f>
        <v/>
      </c>
    </row>
    <row r="4355" spans="1:12" ht="18" hidden="1" customHeight="1" x14ac:dyDescent="0.2">
      <c r="A4355" s="11" t="str">
        <f>IF(INPUT!M4350="","",INPUT!M4350)</f>
        <v/>
      </c>
      <c r="B4355" s="11" t="str">
        <f>IF(INPUT!M4350="","",INPUT!M4350-WEEKDAY(INPUT!M4350,2)+1)</f>
        <v/>
      </c>
      <c r="C4355" s="20">
        <f>IFERROR(_xlfn.ISOWEEKNUM(INPUT!M4350),"")</f>
        <v>52</v>
      </c>
      <c r="D4355" s="20">
        <f>IFERROR(YEAR(INPUT!M4350),"")</f>
        <v>1900</v>
      </c>
      <c r="E4355" t="str">
        <f>IF(INPUT!O4350="","",INPUT!O4350)</f>
        <v/>
      </c>
      <c r="F4355" t="str">
        <f>IF(INPUT!N4350="","",INPUT!N4350)</f>
        <v/>
      </c>
      <c r="G4355" cm="1">
        <f t="array" ref="G4355">IFERROR(VLOOKUP(INPUT!M4350&amp;INPUT!N4350,CHOOSE({1,2},INPUT!$A$3:$A$5000&amp;INPUT!$C$3:$C$5000,INPUT!$F$3:$F$5000),2,FALSE),"")</f>
        <v>0</v>
      </c>
      <c r="H4355" cm="1">
        <f t="array" ref="H4355">IFERROR(VLOOKUP(INPUT!M4350&amp;INPUT!N4350,CHOOSE({1,2},INPUT!$A$3:$A$5000&amp;INPUT!$C$3:$C$5000,INPUT!$D$3:$D$5000),2,FALSE),"")</f>
        <v>0</v>
      </c>
      <c r="I4355" s="46" t="str">
        <f>IF(INPUT!P4350="","",INPUT!P4350)</f>
        <v/>
      </c>
      <c r="J4355" s="46" t="str">
        <f>IF(INPUT!Q4350="","",INPUT!Q4350)</f>
        <v/>
      </c>
      <c r="K4355" s="46" t="str">
        <f>IFERROR(IF(OR(INPUT!P4350="",INPUT!Q4350=""),"",INPUT!P4350-INPUT!Q4350),"")</f>
        <v/>
      </c>
      <c r="L4355" s="48" t="str">
        <f>IFERROR(IF(OR(INPUT!P4350="",INPUT!Q4350="",INPUT!P4350=0),"",(INPUT!P4350-INPUT!Q4350)/INPUT!P4350),"")</f>
        <v/>
      </c>
    </row>
    <row r="4356" spans="1:12" ht="18" hidden="1" customHeight="1" x14ac:dyDescent="0.2">
      <c r="A4356" s="11" t="str">
        <f>IF(INPUT!M4351="","",INPUT!M4351)</f>
        <v/>
      </c>
      <c r="B4356" s="11" t="str">
        <f>IF(INPUT!M4351="","",INPUT!M4351-WEEKDAY(INPUT!M4351,2)+1)</f>
        <v/>
      </c>
      <c r="C4356" s="20">
        <f>IFERROR(_xlfn.ISOWEEKNUM(INPUT!M4351),"")</f>
        <v>52</v>
      </c>
      <c r="D4356" s="20">
        <f>IFERROR(YEAR(INPUT!M4351),"")</f>
        <v>1900</v>
      </c>
      <c r="E4356" t="str">
        <f>IF(INPUT!O4351="","",INPUT!O4351)</f>
        <v/>
      </c>
      <c r="F4356" t="str">
        <f>IF(INPUT!N4351="","",INPUT!N4351)</f>
        <v/>
      </c>
      <c r="G4356" cm="1">
        <f t="array" ref="G4356">IFERROR(VLOOKUP(INPUT!M4351&amp;INPUT!N4351,CHOOSE({1,2},INPUT!$A$3:$A$5000&amp;INPUT!$C$3:$C$5000,INPUT!$F$3:$F$5000),2,FALSE),"")</f>
        <v>0</v>
      </c>
      <c r="H4356" cm="1">
        <f t="array" ref="H4356">IFERROR(VLOOKUP(INPUT!M4351&amp;INPUT!N4351,CHOOSE({1,2},INPUT!$A$3:$A$5000&amp;INPUT!$C$3:$C$5000,INPUT!$D$3:$D$5000),2,FALSE),"")</f>
        <v>0</v>
      </c>
      <c r="I4356" s="46" t="str">
        <f>IF(INPUT!P4351="","",INPUT!P4351)</f>
        <v/>
      </c>
      <c r="J4356" s="46" t="str">
        <f>IF(INPUT!Q4351="","",INPUT!Q4351)</f>
        <v/>
      </c>
      <c r="K4356" s="46" t="str">
        <f>IFERROR(IF(OR(INPUT!P4351="",INPUT!Q4351=""),"",INPUT!P4351-INPUT!Q4351),"")</f>
        <v/>
      </c>
      <c r="L4356" s="48" t="str">
        <f>IFERROR(IF(OR(INPUT!P4351="",INPUT!Q4351="",INPUT!P4351=0),"",(INPUT!P4351-INPUT!Q4351)/INPUT!P4351),"")</f>
        <v/>
      </c>
    </row>
    <row r="4357" spans="1:12" ht="18" hidden="1" customHeight="1" x14ac:dyDescent="0.2">
      <c r="A4357" s="11" t="str">
        <f>IF(INPUT!M4352="","",INPUT!M4352)</f>
        <v/>
      </c>
      <c r="B4357" s="11" t="str">
        <f>IF(INPUT!M4352="","",INPUT!M4352-WEEKDAY(INPUT!M4352,2)+1)</f>
        <v/>
      </c>
      <c r="C4357" s="20">
        <f>IFERROR(_xlfn.ISOWEEKNUM(INPUT!M4352),"")</f>
        <v>52</v>
      </c>
      <c r="D4357" s="20">
        <f>IFERROR(YEAR(INPUT!M4352),"")</f>
        <v>1900</v>
      </c>
      <c r="E4357" t="str">
        <f>IF(INPUT!O4352="","",INPUT!O4352)</f>
        <v/>
      </c>
      <c r="F4357" t="str">
        <f>IF(INPUT!N4352="","",INPUT!N4352)</f>
        <v/>
      </c>
      <c r="G4357" cm="1">
        <f t="array" ref="G4357">IFERROR(VLOOKUP(INPUT!M4352&amp;INPUT!N4352,CHOOSE({1,2},INPUT!$A$3:$A$5000&amp;INPUT!$C$3:$C$5000,INPUT!$F$3:$F$5000),2,FALSE),"")</f>
        <v>0</v>
      </c>
      <c r="H4357" cm="1">
        <f t="array" ref="H4357">IFERROR(VLOOKUP(INPUT!M4352&amp;INPUT!N4352,CHOOSE({1,2},INPUT!$A$3:$A$5000&amp;INPUT!$C$3:$C$5000,INPUT!$D$3:$D$5000),2,FALSE),"")</f>
        <v>0</v>
      </c>
      <c r="I4357" s="46" t="str">
        <f>IF(INPUT!P4352="","",INPUT!P4352)</f>
        <v/>
      </c>
      <c r="J4357" s="46" t="str">
        <f>IF(INPUT!Q4352="","",INPUT!Q4352)</f>
        <v/>
      </c>
      <c r="K4357" s="46" t="str">
        <f>IFERROR(IF(OR(INPUT!P4352="",INPUT!Q4352=""),"",INPUT!P4352-INPUT!Q4352),"")</f>
        <v/>
      </c>
      <c r="L4357" s="48" t="str">
        <f>IFERROR(IF(OR(INPUT!P4352="",INPUT!Q4352="",INPUT!P4352=0),"",(INPUT!P4352-INPUT!Q4352)/INPUT!P4352),"")</f>
        <v/>
      </c>
    </row>
    <row r="4358" spans="1:12" ht="18" hidden="1" customHeight="1" x14ac:dyDescent="0.2">
      <c r="A4358" s="11" t="str">
        <f>IF(INPUT!M4353="","",INPUT!M4353)</f>
        <v/>
      </c>
      <c r="B4358" s="11" t="str">
        <f>IF(INPUT!M4353="","",INPUT!M4353-WEEKDAY(INPUT!M4353,2)+1)</f>
        <v/>
      </c>
      <c r="C4358" s="20">
        <f>IFERROR(_xlfn.ISOWEEKNUM(INPUT!M4353),"")</f>
        <v>52</v>
      </c>
      <c r="D4358" s="20">
        <f>IFERROR(YEAR(INPUT!M4353),"")</f>
        <v>1900</v>
      </c>
      <c r="E4358" t="str">
        <f>IF(INPUT!O4353="","",INPUT!O4353)</f>
        <v/>
      </c>
      <c r="F4358" t="str">
        <f>IF(INPUT!N4353="","",INPUT!N4353)</f>
        <v/>
      </c>
      <c r="G4358" cm="1">
        <f t="array" ref="G4358">IFERROR(VLOOKUP(INPUT!M4353&amp;INPUT!N4353,CHOOSE({1,2},INPUT!$A$3:$A$5000&amp;INPUT!$C$3:$C$5000,INPUT!$F$3:$F$5000),2,FALSE),"")</f>
        <v>0</v>
      </c>
      <c r="H4358" cm="1">
        <f t="array" ref="H4358">IFERROR(VLOOKUP(INPUT!M4353&amp;INPUT!N4353,CHOOSE({1,2},INPUT!$A$3:$A$5000&amp;INPUT!$C$3:$C$5000,INPUT!$D$3:$D$5000),2,FALSE),"")</f>
        <v>0</v>
      </c>
      <c r="I4358" s="46" t="str">
        <f>IF(INPUT!P4353="","",INPUT!P4353)</f>
        <v/>
      </c>
      <c r="J4358" s="46" t="str">
        <f>IF(INPUT!Q4353="","",INPUT!Q4353)</f>
        <v/>
      </c>
      <c r="K4358" s="46" t="str">
        <f>IFERROR(IF(OR(INPUT!P4353="",INPUT!Q4353=""),"",INPUT!P4353-INPUT!Q4353),"")</f>
        <v/>
      </c>
      <c r="L4358" s="48" t="str">
        <f>IFERROR(IF(OR(INPUT!P4353="",INPUT!Q4353="",INPUT!P4353=0),"",(INPUT!P4353-INPUT!Q4353)/INPUT!P4353),"")</f>
        <v/>
      </c>
    </row>
    <row r="4359" spans="1:12" ht="18" hidden="1" customHeight="1" x14ac:dyDescent="0.2">
      <c r="A4359" s="11" t="str">
        <f>IF(INPUT!M4354="","",INPUT!M4354)</f>
        <v/>
      </c>
      <c r="B4359" s="11" t="str">
        <f>IF(INPUT!M4354="","",INPUT!M4354-WEEKDAY(INPUT!M4354,2)+1)</f>
        <v/>
      </c>
      <c r="C4359" s="20">
        <f>IFERROR(_xlfn.ISOWEEKNUM(INPUT!M4354),"")</f>
        <v>52</v>
      </c>
      <c r="D4359" s="20">
        <f>IFERROR(YEAR(INPUT!M4354),"")</f>
        <v>1900</v>
      </c>
      <c r="E4359" t="str">
        <f>IF(INPUT!O4354="","",INPUT!O4354)</f>
        <v/>
      </c>
      <c r="F4359" t="str">
        <f>IF(INPUT!N4354="","",INPUT!N4354)</f>
        <v/>
      </c>
      <c r="G4359" cm="1">
        <f t="array" ref="G4359">IFERROR(VLOOKUP(INPUT!M4354&amp;INPUT!N4354,CHOOSE({1,2},INPUT!$A$3:$A$5000&amp;INPUT!$C$3:$C$5000,INPUT!$F$3:$F$5000),2,FALSE),"")</f>
        <v>0</v>
      </c>
      <c r="H4359" cm="1">
        <f t="array" ref="H4359">IFERROR(VLOOKUP(INPUT!M4354&amp;INPUT!N4354,CHOOSE({1,2},INPUT!$A$3:$A$5000&amp;INPUT!$C$3:$C$5000,INPUT!$D$3:$D$5000),2,FALSE),"")</f>
        <v>0</v>
      </c>
      <c r="I4359" s="46" t="str">
        <f>IF(INPUT!P4354="","",INPUT!P4354)</f>
        <v/>
      </c>
      <c r="J4359" s="46" t="str">
        <f>IF(INPUT!Q4354="","",INPUT!Q4354)</f>
        <v/>
      </c>
      <c r="K4359" s="46" t="str">
        <f>IFERROR(IF(OR(INPUT!P4354="",INPUT!Q4354=""),"",INPUT!P4354-INPUT!Q4354),"")</f>
        <v/>
      </c>
      <c r="L4359" s="48" t="str">
        <f>IFERROR(IF(OR(INPUT!P4354="",INPUT!Q4354="",INPUT!P4354=0),"",(INPUT!P4354-INPUT!Q4354)/INPUT!P4354),"")</f>
        <v/>
      </c>
    </row>
    <row r="4360" spans="1:12" ht="18" hidden="1" customHeight="1" x14ac:dyDescent="0.2">
      <c r="A4360" s="11" t="str">
        <f>IF(INPUT!M4355="","",INPUT!M4355)</f>
        <v/>
      </c>
      <c r="B4360" s="11" t="str">
        <f>IF(INPUT!M4355="","",INPUT!M4355-WEEKDAY(INPUT!M4355,2)+1)</f>
        <v/>
      </c>
      <c r="C4360" s="20">
        <f>IFERROR(_xlfn.ISOWEEKNUM(INPUT!M4355),"")</f>
        <v>52</v>
      </c>
      <c r="D4360" s="20">
        <f>IFERROR(YEAR(INPUT!M4355),"")</f>
        <v>1900</v>
      </c>
      <c r="E4360" t="str">
        <f>IF(INPUT!O4355="","",INPUT!O4355)</f>
        <v/>
      </c>
      <c r="F4360" t="str">
        <f>IF(INPUT!N4355="","",INPUT!N4355)</f>
        <v/>
      </c>
      <c r="G4360" cm="1">
        <f t="array" ref="G4360">IFERROR(VLOOKUP(INPUT!M4355&amp;INPUT!N4355,CHOOSE({1,2},INPUT!$A$3:$A$5000&amp;INPUT!$C$3:$C$5000,INPUT!$F$3:$F$5000),2,FALSE),"")</f>
        <v>0</v>
      </c>
      <c r="H4360" cm="1">
        <f t="array" ref="H4360">IFERROR(VLOOKUP(INPUT!M4355&amp;INPUT!N4355,CHOOSE({1,2},INPUT!$A$3:$A$5000&amp;INPUT!$C$3:$C$5000,INPUT!$D$3:$D$5000),2,FALSE),"")</f>
        <v>0</v>
      </c>
      <c r="I4360" s="46" t="str">
        <f>IF(INPUT!P4355="","",INPUT!P4355)</f>
        <v/>
      </c>
      <c r="J4360" s="46" t="str">
        <f>IF(INPUT!Q4355="","",INPUT!Q4355)</f>
        <v/>
      </c>
      <c r="K4360" s="46" t="str">
        <f>IFERROR(IF(OR(INPUT!P4355="",INPUT!Q4355=""),"",INPUT!P4355-INPUT!Q4355),"")</f>
        <v/>
      </c>
      <c r="L4360" s="48" t="str">
        <f>IFERROR(IF(OR(INPUT!P4355="",INPUT!Q4355="",INPUT!P4355=0),"",(INPUT!P4355-INPUT!Q4355)/INPUT!P4355),"")</f>
        <v/>
      </c>
    </row>
    <row r="4361" spans="1:12" ht="18" hidden="1" customHeight="1" x14ac:dyDescent="0.2">
      <c r="A4361" s="11" t="str">
        <f>IF(INPUT!M4356="","",INPUT!M4356)</f>
        <v/>
      </c>
      <c r="B4361" s="11" t="str">
        <f>IF(INPUT!M4356="","",INPUT!M4356-WEEKDAY(INPUT!M4356,2)+1)</f>
        <v/>
      </c>
      <c r="C4361" s="20">
        <f>IFERROR(_xlfn.ISOWEEKNUM(INPUT!M4356),"")</f>
        <v>52</v>
      </c>
      <c r="D4361" s="20">
        <f>IFERROR(YEAR(INPUT!M4356),"")</f>
        <v>1900</v>
      </c>
      <c r="E4361" t="str">
        <f>IF(INPUT!O4356="","",INPUT!O4356)</f>
        <v/>
      </c>
      <c r="F4361" t="str">
        <f>IF(INPUT!N4356="","",INPUT!N4356)</f>
        <v/>
      </c>
      <c r="G4361" cm="1">
        <f t="array" ref="G4361">IFERROR(VLOOKUP(INPUT!M4356&amp;INPUT!N4356,CHOOSE({1,2},INPUT!$A$3:$A$5000&amp;INPUT!$C$3:$C$5000,INPUT!$F$3:$F$5000),2,FALSE),"")</f>
        <v>0</v>
      </c>
      <c r="H4361" cm="1">
        <f t="array" ref="H4361">IFERROR(VLOOKUP(INPUT!M4356&amp;INPUT!N4356,CHOOSE({1,2},INPUT!$A$3:$A$5000&amp;INPUT!$C$3:$C$5000,INPUT!$D$3:$D$5000),2,FALSE),"")</f>
        <v>0</v>
      </c>
      <c r="I4361" s="46" t="str">
        <f>IF(INPUT!P4356="","",INPUT!P4356)</f>
        <v/>
      </c>
      <c r="J4361" s="46" t="str">
        <f>IF(INPUT!Q4356="","",INPUT!Q4356)</f>
        <v/>
      </c>
      <c r="K4361" s="46" t="str">
        <f>IFERROR(IF(OR(INPUT!P4356="",INPUT!Q4356=""),"",INPUT!P4356-INPUT!Q4356),"")</f>
        <v/>
      </c>
      <c r="L4361" s="48" t="str">
        <f>IFERROR(IF(OR(INPUT!P4356="",INPUT!Q4356="",INPUT!P4356=0),"",(INPUT!P4356-INPUT!Q4356)/INPUT!P4356),"")</f>
        <v/>
      </c>
    </row>
    <row r="4362" spans="1:12" ht="18" hidden="1" customHeight="1" x14ac:dyDescent="0.2">
      <c r="A4362" s="11" t="str">
        <f>IF(INPUT!M4357="","",INPUT!M4357)</f>
        <v/>
      </c>
      <c r="B4362" s="11" t="str">
        <f>IF(INPUT!M4357="","",INPUT!M4357-WEEKDAY(INPUT!M4357,2)+1)</f>
        <v/>
      </c>
      <c r="C4362" s="20">
        <f>IFERROR(_xlfn.ISOWEEKNUM(INPUT!M4357),"")</f>
        <v>52</v>
      </c>
      <c r="D4362" s="20">
        <f>IFERROR(YEAR(INPUT!M4357),"")</f>
        <v>1900</v>
      </c>
      <c r="E4362" t="str">
        <f>IF(INPUT!O4357="","",INPUT!O4357)</f>
        <v/>
      </c>
      <c r="F4362" t="str">
        <f>IF(INPUT!N4357="","",INPUT!N4357)</f>
        <v/>
      </c>
      <c r="G4362" cm="1">
        <f t="array" ref="G4362">IFERROR(VLOOKUP(INPUT!M4357&amp;INPUT!N4357,CHOOSE({1,2},INPUT!$A$3:$A$5000&amp;INPUT!$C$3:$C$5000,INPUT!$F$3:$F$5000),2,FALSE),"")</f>
        <v>0</v>
      </c>
      <c r="H4362" cm="1">
        <f t="array" ref="H4362">IFERROR(VLOOKUP(INPUT!M4357&amp;INPUT!N4357,CHOOSE({1,2},INPUT!$A$3:$A$5000&amp;INPUT!$C$3:$C$5000,INPUT!$D$3:$D$5000),2,FALSE),"")</f>
        <v>0</v>
      </c>
      <c r="I4362" s="46" t="str">
        <f>IF(INPUT!P4357="","",INPUT!P4357)</f>
        <v/>
      </c>
      <c r="J4362" s="46" t="str">
        <f>IF(INPUT!Q4357="","",INPUT!Q4357)</f>
        <v/>
      </c>
      <c r="K4362" s="46" t="str">
        <f>IFERROR(IF(OR(INPUT!P4357="",INPUT!Q4357=""),"",INPUT!P4357-INPUT!Q4357),"")</f>
        <v/>
      </c>
      <c r="L4362" s="48" t="str">
        <f>IFERROR(IF(OR(INPUT!P4357="",INPUT!Q4357="",INPUT!P4357=0),"",(INPUT!P4357-INPUT!Q4357)/INPUT!P4357),"")</f>
        <v/>
      </c>
    </row>
    <row r="4363" spans="1:12" ht="18" hidden="1" customHeight="1" x14ac:dyDescent="0.2">
      <c r="A4363" s="11" t="str">
        <f>IF(INPUT!M4358="","",INPUT!M4358)</f>
        <v/>
      </c>
      <c r="B4363" s="11" t="str">
        <f>IF(INPUT!M4358="","",INPUT!M4358-WEEKDAY(INPUT!M4358,2)+1)</f>
        <v/>
      </c>
      <c r="C4363" s="20">
        <f>IFERROR(_xlfn.ISOWEEKNUM(INPUT!M4358),"")</f>
        <v>52</v>
      </c>
      <c r="D4363" s="20">
        <f>IFERROR(YEAR(INPUT!M4358),"")</f>
        <v>1900</v>
      </c>
      <c r="E4363" t="str">
        <f>IF(INPUT!O4358="","",INPUT!O4358)</f>
        <v/>
      </c>
      <c r="F4363" t="str">
        <f>IF(INPUT!N4358="","",INPUT!N4358)</f>
        <v/>
      </c>
      <c r="G4363" cm="1">
        <f t="array" ref="G4363">IFERROR(VLOOKUP(INPUT!M4358&amp;INPUT!N4358,CHOOSE({1,2},INPUT!$A$3:$A$5000&amp;INPUT!$C$3:$C$5000,INPUT!$F$3:$F$5000),2,FALSE),"")</f>
        <v>0</v>
      </c>
      <c r="H4363" cm="1">
        <f t="array" ref="H4363">IFERROR(VLOOKUP(INPUT!M4358&amp;INPUT!N4358,CHOOSE({1,2},INPUT!$A$3:$A$5000&amp;INPUT!$C$3:$C$5000,INPUT!$D$3:$D$5000),2,FALSE),"")</f>
        <v>0</v>
      </c>
      <c r="I4363" s="46" t="str">
        <f>IF(INPUT!P4358="","",INPUT!P4358)</f>
        <v/>
      </c>
      <c r="J4363" s="46" t="str">
        <f>IF(INPUT!Q4358="","",INPUT!Q4358)</f>
        <v/>
      </c>
      <c r="K4363" s="46" t="str">
        <f>IFERROR(IF(OR(INPUT!P4358="",INPUT!Q4358=""),"",INPUT!P4358-INPUT!Q4358),"")</f>
        <v/>
      </c>
      <c r="L4363" s="48" t="str">
        <f>IFERROR(IF(OR(INPUT!P4358="",INPUT!Q4358="",INPUT!P4358=0),"",(INPUT!P4358-INPUT!Q4358)/INPUT!P4358),"")</f>
        <v/>
      </c>
    </row>
    <row r="4364" spans="1:12" ht="18" hidden="1" customHeight="1" x14ac:dyDescent="0.2">
      <c r="A4364" s="11" t="str">
        <f>IF(INPUT!M4359="","",INPUT!M4359)</f>
        <v/>
      </c>
      <c r="B4364" s="11" t="str">
        <f>IF(INPUT!M4359="","",INPUT!M4359-WEEKDAY(INPUT!M4359,2)+1)</f>
        <v/>
      </c>
      <c r="C4364" s="20">
        <f>IFERROR(_xlfn.ISOWEEKNUM(INPUT!M4359),"")</f>
        <v>52</v>
      </c>
      <c r="D4364" s="20">
        <f>IFERROR(YEAR(INPUT!M4359),"")</f>
        <v>1900</v>
      </c>
      <c r="E4364" t="str">
        <f>IF(INPUT!O4359="","",INPUT!O4359)</f>
        <v/>
      </c>
      <c r="F4364" t="str">
        <f>IF(INPUT!N4359="","",INPUT!N4359)</f>
        <v/>
      </c>
      <c r="G4364" cm="1">
        <f t="array" ref="G4364">IFERROR(VLOOKUP(INPUT!M4359&amp;INPUT!N4359,CHOOSE({1,2},INPUT!$A$3:$A$5000&amp;INPUT!$C$3:$C$5000,INPUT!$F$3:$F$5000),2,FALSE),"")</f>
        <v>0</v>
      </c>
      <c r="H4364" cm="1">
        <f t="array" ref="H4364">IFERROR(VLOOKUP(INPUT!M4359&amp;INPUT!N4359,CHOOSE({1,2},INPUT!$A$3:$A$5000&amp;INPUT!$C$3:$C$5000,INPUT!$D$3:$D$5000),2,FALSE),"")</f>
        <v>0</v>
      </c>
      <c r="I4364" s="46" t="str">
        <f>IF(INPUT!P4359="","",INPUT!P4359)</f>
        <v/>
      </c>
      <c r="J4364" s="46" t="str">
        <f>IF(INPUT!Q4359="","",INPUT!Q4359)</f>
        <v/>
      </c>
      <c r="K4364" s="46" t="str">
        <f>IFERROR(IF(OR(INPUT!P4359="",INPUT!Q4359=""),"",INPUT!P4359-INPUT!Q4359),"")</f>
        <v/>
      </c>
      <c r="L4364" s="48" t="str">
        <f>IFERROR(IF(OR(INPUT!P4359="",INPUT!Q4359="",INPUT!P4359=0),"",(INPUT!P4359-INPUT!Q4359)/INPUT!P4359),"")</f>
        <v/>
      </c>
    </row>
    <row r="4365" spans="1:12" ht="18" hidden="1" customHeight="1" x14ac:dyDescent="0.2">
      <c r="A4365" s="11" t="str">
        <f>IF(INPUT!M4360="","",INPUT!M4360)</f>
        <v/>
      </c>
      <c r="B4365" s="11" t="str">
        <f>IF(INPUT!M4360="","",INPUT!M4360-WEEKDAY(INPUT!M4360,2)+1)</f>
        <v/>
      </c>
      <c r="C4365" s="20">
        <f>IFERROR(_xlfn.ISOWEEKNUM(INPUT!M4360),"")</f>
        <v>52</v>
      </c>
      <c r="D4365" s="20">
        <f>IFERROR(YEAR(INPUT!M4360),"")</f>
        <v>1900</v>
      </c>
      <c r="E4365" t="str">
        <f>IF(INPUT!O4360="","",INPUT!O4360)</f>
        <v/>
      </c>
      <c r="F4365" t="str">
        <f>IF(INPUT!N4360="","",INPUT!N4360)</f>
        <v/>
      </c>
      <c r="G4365" cm="1">
        <f t="array" ref="G4365">IFERROR(VLOOKUP(INPUT!M4360&amp;INPUT!N4360,CHOOSE({1,2},INPUT!$A$3:$A$5000&amp;INPUT!$C$3:$C$5000,INPUT!$F$3:$F$5000),2,FALSE),"")</f>
        <v>0</v>
      </c>
      <c r="H4365" cm="1">
        <f t="array" ref="H4365">IFERROR(VLOOKUP(INPUT!M4360&amp;INPUT!N4360,CHOOSE({1,2},INPUT!$A$3:$A$5000&amp;INPUT!$C$3:$C$5000,INPUT!$D$3:$D$5000),2,FALSE),"")</f>
        <v>0</v>
      </c>
      <c r="I4365" s="46" t="str">
        <f>IF(INPUT!P4360="","",INPUT!P4360)</f>
        <v/>
      </c>
      <c r="J4365" s="46" t="str">
        <f>IF(INPUT!Q4360="","",INPUT!Q4360)</f>
        <v/>
      </c>
      <c r="K4365" s="46" t="str">
        <f>IFERROR(IF(OR(INPUT!P4360="",INPUT!Q4360=""),"",INPUT!P4360-INPUT!Q4360),"")</f>
        <v/>
      </c>
      <c r="L4365" s="48" t="str">
        <f>IFERROR(IF(OR(INPUT!P4360="",INPUT!Q4360="",INPUT!P4360=0),"",(INPUT!P4360-INPUT!Q4360)/INPUT!P4360),"")</f>
        <v/>
      </c>
    </row>
    <row r="4366" spans="1:12" ht="18" hidden="1" customHeight="1" x14ac:dyDescent="0.2">
      <c r="A4366" s="11" t="str">
        <f>IF(INPUT!M4361="","",INPUT!M4361)</f>
        <v/>
      </c>
      <c r="B4366" s="11" t="str">
        <f>IF(INPUT!M4361="","",INPUT!M4361-WEEKDAY(INPUT!M4361,2)+1)</f>
        <v/>
      </c>
      <c r="C4366" s="20">
        <f>IFERROR(_xlfn.ISOWEEKNUM(INPUT!M4361),"")</f>
        <v>52</v>
      </c>
      <c r="D4366" s="20">
        <f>IFERROR(YEAR(INPUT!M4361),"")</f>
        <v>1900</v>
      </c>
      <c r="E4366" t="str">
        <f>IF(INPUT!O4361="","",INPUT!O4361)</f>
        <v/>
      </c>
      <c r="F4366" t="str">
        <f>IF(INPUT!N4361="","",INPUT!N4361)</f>
        <v/>
      </c>
      <c r="G4366" cm="1">
        <f t="array" ref="G4366">IFERROR(VLOOKUP(INPUT!M4361&amp;INPUT!N4361,CHOOSE({1,2},INPUT!$A$3:$A$5000&amp;INPUT!$C$3:$C$5000,INPUT!$F$3:$F$5000),2,FALSE),"")</f>
        <v>0</v>
      </c>
      <c r="H4366" cm="1">
        <f t="array" ref="H4366">IFERROR(VLOOKUP(INPUT!M4361&amp;INPUT!N4361,CHOOSE({1,2},INPUT!$A$3:$A$5000&amp;INPUT!$C$3:$C$5000,INPUT!$D$3:$D$5000),2,FALSE),"")</f>
        <v>0</v>
      </c>
      <c r="I4366" s="46" t="str">
        <f>IF(INPUT!P4361="","",INPUT!P4361)</f>
        <v/>
      </c>
      <c r="J4366" s="46" t="str">
        <f>IF(INPUT!Q4361="","",INPUT!Q4361)</f>
        <v/>
      </c>
      <c r="K4366" s="46" t="str">
        <f>IFERROR(IF(OR(INPUT!P4361="",INPUT!Q4361=""),"",INPUT!P4361-INPUT!Q4361),"")</f>
        <v/>
      </c>
      <c r="L4366" s="48" t="str">
        <f>IFERROR(IF(OR(INPUT!P4361="",INPUT!Q4361="",INPUT!P4361=0),"",(INPUT!P4361-INPUT!Q4361)/INPUT!P4361),"")</f>
        <v/>
      </c>
    </row>
    <row r="4367" spans="1:12" ht="18" hidden="1" customHeight="1" x14ac:dyDescent="0.2">
      <c r="A4367" s="11" t="str">
        <f>IF(INPUT!M4362="","",INPUT!M4362)</f>
        <v/>
      </c>
      <c r="B4367" s="11" t="str">
        <f>IF(INPUT!M4362="","",INPUT!M4362-WEEKDAY(INPUT!M4362,2)+1)</f>
        <v/>
      </c>
      <c r="C4367" s="20">
        <f>IFERROR(_xlfn.ISOWEEKNUM(INPUT!M4362),"")</f>
        <v>52</v>
      </c>
      <c r="D4367" s="20">
        <f>IFERROR(YEAR(INPUT!M4362),"")</f>
        <v>1900</v>
      </c>
      <c r="E4367" t="str">
        <f>IF(INPUT!O4362="","",INPUT!O4362)</f>
        <v/>
      </c>
      <c r="F4367" t="str">
        <f>IF(INPUT!N4362="","",INPUT!N4362)</f>
        <v/>
      </c>
      <c r="G4367" cm="1">
        <f t="array" ref="G4367">IFERROR(VLOOKUP(INPUT!M4362&amp;INPUT!N4362,CHOOSE({1,2},INPUT!$A$3:$A$5000&amp;INPUT!$C$3:$C$5000,INPUT!$F$3:$F$5000),2,FALSE),"")</f>
        <v>0</v>
      </c>
      <c r="H4367" cm="1">
        <f t="array" ref="H4367">IFERROR(VLOOKUP(INPUT!M4362&amp;INPUT!N4362,CHOOSE({1,2},INPUT!$A$3:$A$5000&amp;INPUT!$C$3:$C$5000,INPUT!$D$3:$D$5000),2,FALSE),"")</f>
        <v>0</v>
      </c>
      <c r="I4367" s="46" t="str">
        <f>IF(INPUT!P4362="","",INPUT!P4362)</f>
        <v/>
      </c>
      <c r="J4367" s="46" t="str">
        <f>IF(INPUT!Q4362="","",INPUT!Q4362)</f>
        <v/>
      </c>
      <c r="K4367" s="46" t="str">
        <f>IFERROR(IF(OR(INPUT!P4362="",INPUT!Q4362=""),"",INPUT!P4362-INPUT!Q4362),"")</f>
        <v/>
      </c>
      <c r="L4367" s="48" t="str">
        <f>IFERROR(IF(OR(INPUT!P4362="",INPUT!Q4362="",INPUT!P4362=0),"",(INPUT!P4362-INPUT!Q4362)/INPUT!P4362),"")</f>
        <v/>
      </c>
    </row>
    <row r="4368" spans="1:12" ht="18" hidden="1" customHeight="1" x14ac:dyDescent="0.2">
      <c r="A4368" s="11" t="str">
        <f>IF(INPUT!M4363="","",INPUT!M4363)</f>
        <v/>
      </c>
      <c r="B4368" s="11" t="str">
        <f>IF(INPUT!M4363="","",INPUT!M4363-WEEKDAY(INPUT!M4363,2)+1)</f>
        <v/>
      </c>
      <c r="C4368" s="20">
        <f>IFERROR(_xlfn.ISOWEEKNUM(INPUT!M4363),"")</f>
        <v>52</v>
      </c>
      <c r="D4368" s="20">
        <f>IFERROR(YEAR(INPUT!M4363),"")</f>
        <v>1900</v>
      </c>
      <c r="E4368" t="str">
        <f>IF(INPUT!O4363="","",INPUT!O4363)</f>
        <v/>
      </c>
      <c r="F4368" t="str">
        <f>IF(INPUT!N4363="","",INPUT!N4363)</f>
        <v/>
      </c>
      <c r="G4368" cm="1">
        <f t="array" ref="G4368">IFERROR(VLOOKUP(INPUT!M4363&amp;INPUT!N4363,CHOOSE({1,2},INPUT!$A$3:$A$5000&amp;INPUT!$C$3:$C$5000,INPUT!$F$3:$F$5000),2,FALSE),"")</f>
        <v>0</v>
      </c>
      <c r="H4368" cm="1">
        <f t="array" ref="H4368">IFERROR(VLOOKUP(INPUT!M4363&amp;INPUT!N4363,CHOOSE({1,2},INPUT!$A$3:$A$5000&amp;INPUT!$C$3:$C$5000,INPUT!$D$3:$D$5000),2,FALSE),"")</f>
        <v>0</v>
      </c>
      <c r="I4368" s="46" t="str">
        <f>IF(INPUT!P4363="","",INPUT!P4363)</f>
        <v/>
      </c>
      <c r="J4368" s="46" t="str">
        <f>IF(INPUT!Q4363="","",INPUT!Q4363)</f>
        <v/>
      </c>
      <c r="K4368" s="46" t="str">
        <f>IFERROR(IF(OR(INPUT!P4363="",INPUT!Q4363=""),"",INPUT!P4363-INPUT!Q4363),"")</f>
        <v/>
      </c>
      <c r="L4368" s="48" t="str">
        <f>IFERROR(IF(OR(INPUT!P4363="",INPUT!Q4363="",INPUT!P4363=0),"",(INPUT!P4363-INPUT!Q4363)/INPUT!P4363),"")</f>
        <v/>
      </c>
    </row>
    <row r="4369" spans="1:12" ht="18" hidden="1" customHeight="1" x14ac:dyDescent="0.2">
      <c r="A4369" s="11" t="str">
        <f>IF(INPUT!M4364="","",INPUT!M4364)</f>
        <v/>
      </c>
      <c r="B4369" s="11" t="str">
        <f>IF(INPUT!M4364="","",INPUT!M4364-WEEKDAY(INPUT!M4364,2)+1)</f>
        <v/>
      </c>
      <c r="C4369" s="20">
        <f>IFERROR(_xlfn.ISOWEEKNUM(INPUT!M4364),"")</f>
        <v>52</v>
      </c>
      <c r="D4369" s="20">
        <f>IFERROR(YEAR(INPUT!M4364),"")</f>
        <v>1900</v>
      </c>
      <c r="E4369" t="str">
        <f>IF(INPUT!O4364="","",INPUT!O4364)</f>
        <v/>
      </c>
      <c r="F4369" t="str">
        <f>IF(INPUT!N4364="","",INPUT!N4364)</f>
        <v/>
      </c>
      <c r="G4369" cm="1">
        <f t="array" ref="G4369">IFERROR(VLOOKUP(INPUT!M4364&amp;INPUT!N4364,CHOOSE({1,2},INPUT!$A$3:$A$5000&amp;INPUT!$C$3:$C$5000,INPUT!$F$3:$F$5000),2,FALSE),"")</f>
        <v>0</v>
      </c>
      <c r="H4369" cm="1">
        <f t="array" ref="H4369">IFERROR(VLOOKUP(INPUT!M4364&amp;INPUT!N4364,CHOOSE({1,2},INPUT!$A$3:$A$5000&amp;INPUT!$C$3:$C$5000,INPUT!$D$3:$D$5000),2,FALSE),"")</f>
        <v>0</v>
      </c>
      <c r="I4369" s="46" t="str">
        <f>IF(INPUT!P4364="","",INPUT!P4364)</f>
        <v/>
      </c>
      <c r="J4369" s="46" t="str">
        <f>IF(INPUT!Q4364="","",INPUT!Q4364)</f>
        <v/>
      </c>
      <c r="K4369" s="46" t="str">
        <f>IFERROR(IF(OR(INPUT!P4364="",INPUT!Q4364=""),"",INPUT!P4364-INPUT!Q4364),"")</f>
        <v/>
      </c>
      <c r="L4369" s="48" t="str">
        <f>IFERROR(IF(OR(INPUT!P4364="",INPUT!Q4364="",INPUT!P4364=0),"",(INPUT!P4364-INPUT!Q4364)/INPUT!P4364),"")</f>
        <v/>
      </c>
    </row>
    <row r="4370" spans="1:12" ht="18" hidden="1" customHeight="1" x14ac:dyDescent="0.2">
      <c r="A4370" s="11" t="str">
        <f>IF(INPUT!M4365="","",INPUT!M4365)</f>
        <v/>
      </c>
      <c r="B4370" s="11" t="str">
        <f>IF(INPUT!M4365="","",INPUT!M4365-WEEKDAY(INPUT!M4365,2)+1)</f>
        <v/>
      </c>
      <c r="C4370" s="20">
        <f>IFERROR(_xlfn.ISOWEEKNUM(INPUT!M4365),"")</f>
        <v>52</v>
      </c>
      <c r="D4370" s="20">
        <f>IFERROR(YEAR(INPUT!M4365),"")</f>
        <v>1900</v>
      </c>
      <c r="E4370" t="str">
        <f>IF(INPUT!O4365="","",INPUT!O4365)</f>
        <v/>
      </c>
      <c r="F4370" t="str">
        <f>IF(INPUT!N4365="","",INPUT!N4365)</f>
        <v/>
      </c>
      <c r="G4370" cm="1">
        <f t="array" ref="G4370">IFERROR(VLOOKUP(INPUT!M4365&amp;INPUT!N4365,CHOOSE({1,2},INPUT!$A$3:$A$5000&amp;INPUT!$C$3:$C$5000,INPUT!$F$3:$F$5000),2,FALSE),"")</f>
        <v>0</v>
      </c>
      <c r="H4370" cm="1">
        <f t="array" ref="H4370">IFERROR(VLOOKUP(INPUT!M4365&amp;INPUT!N4365,CHOOSE({1,2},INPUT!$A$3:$A$5000&amp;INPUT!$C$3:$C$5000,INPUT!$D$3:$D$5000),2,FALSE),"")</f>
        <v>0</v>
      </c>
      <c r="I4370" s="46" t="str">
        <f>IF(INPUT!P4365="","",INPUT!P4365)</f>
        <v/>
      </c>
      <c r="J4370" s="46" t="str">
        <f>IF(INPUT!Q4365="","",INPUT!Q4365)</f>
        <v/>
      </c>
      <c r="K4370" s="46" t="str">
        <f>IFERROR(IF(OR(INPUT!P4365="",INPUT!Q4365=""),"",INPUT!P4365-INPUT!Q4365),"")</f>
        <v/>
      </c>
      <c r="L4370" s="48" t="str">
        <f>IFERROR(IF(OR(INPUT!P4365="",INPUT!Q4365="",INPUT!P4365=0),"",(INPUT!P4365-INPUT!Q4365)/INPUT!P4365),"")</f>
        <v/>
      </c>
    </row>
    <row r="4371" spans="1:12" ht="18" hidden="1" customHeight="1" x14ac:dyDescent="0.2">
      <c r="A4371" s="11" t="str">
        <f>IF(INPUT!M4366="","",INPUT!M4366)</f>
        <v/>
      </c>
      <c r="B4371" s="11" t="str">
        <f>IF(INPUT!M4366="","",INPUT!M4366-WEEKDAY(INPUT!M4366,2)+1)</f>
        <v/>
      </c>
      <c r="C4371" s="20">
        <f>IFERROR(_xlfn.ISOWEEKNUM(INPUT!M4366),"")</f>
        <v>52</v>
      </c>
      <c r="D4371" s="20">
        <f>IFERROR(YEAR(INPUT!M4366),"")</f>
        <v>1900</v>
      </c>
      <c r="E4371" t="str">
        <f>IF(INPUT!O4366="","",INPUT!O4366)</f>
        <v/>
      </c>
      <c r="F4371" t="str">
        <f>IF(INPUT!N4366="","",INPUT!N4366)</f>
        <v/>
      </c>
      <c r="G4371" cm="1">
        <f t="array" ref="G4371">IFERROR(VLOOKUP(INPUT!M4366&amp;INPUT!N4366,CHOOSE({1,2},INPUT!$A$3:$A$5000&amp;INPUT!$C$3:$C$5000,INPUT!$F$3:$F$5000),2,FALSE),"")</f>
        <v>0</v>
      </c>
      <c r="H4371" cm="1">
        <f t="array" ref="H4371">IFERROR(VLOOKUP(INPUT!M4366&amp;INPUT!N4366,CHOOSE({1,2},INPUT!$A$3:$A$5000&amp;INPUT!$C$3:$C$5000,INPUT!$D$3:$D$5000),2,FALSE),"")</f>
        <v>0</v>
      </c>
      <c r="I4371" s="46" t="str">
        <f>IF(INPUT!P4366="","",INPUT!P4366)</f>
        <v/>
      </c>
      <c r="J4371" s="46" t="str">
        <f>IF(INPUT!Q4366="","",INPUT!Q4366)</f>
        <v/>
      </c>
      <c r="K4371" s="46" t="str">
        <f>IFERROR(IF(OR(INPUT!P4366="",INPUT!Q4366=""),"",INPUT!P4366-INPUT!Q4366),"")</f>
        <v/>
      </c>
      <c r="L4371" s="48" t="str">
        <f>IFERROR(IF(OR(INPUT!P4366="",INPUT!Q4366="",INPUT!P4366=0),"",(INPUT!P4366-INPUT!Q4366)/INPUT!P4366),"")</f>
        <v/>
      </c>
    </row>
    <row r="4372" spans="1:12" ht="18" hidden="1" customHeight="1" x14ac:dyDescent="0.2">
      <c r="A4372" s="11" t="str">
        <f>IF(INPUT!M4367="","",INPUT!M4367)</f>
        <v/>
      </c>
      <c r="B4372" s="11" t="str">
        <f>IF(INPUT!M4367="","",INPUT!M4367-WEEKDAY(INPUT!M4367,2)+1)</f>
        <v/>
      </c>
      <c r="C4372" s="20">
        <f>IFERROR(_xlfn.ISOWEEKNUM(INPUT!M4367),"")</f>
        <v>52</v>
      </c>
      <c r="D4372" s="20">
        <f>IFERROR(YEAR(INPUT!M4367),"")</f>
        <v>1900</v>
      </c>
      <c r="E4372" t="str">
        <f>IF(INPUT!O4367="","",INPUT!O4367)</f>
        <v/>
      </c>
      <c r="F4372" t="str">
        <f>IF(INPUT!N4367="","",INPUT!N4367)</f>
        <v/>
      </c>
      <c r="G4372" cm="1">
        <f t="array" ref="G4372">IFERROR(VLOOKUP(INPUT!M4367&amp;INPUT!N4367,CHOOSE({1,2},INPUT!$A$3:$A$5000&amp;INPUT!$C$3:$C$5000,INPUT!$F$3:$F$5000),2,FALSE),"")</f>
        <v>0</v>
      </c>
      <c r="H4372" cm="1">
        <f t="array" ref="H4372">IFERROR(VLOOKUP(INPUT!M4367&amp;INPUT!N4367,CHOOSE({1,2},INPUT!$A$3:$A$5000&amp;INPUT!$C$3:$C$5000,INPUT!$D$3:$D$5000),2,FALSE),"")</f>
        <v>0</v>
      </c>
      <c r="I4372" s="46" t="str">
        <f>IF(INPUT!P4367="","",INPUT!P4367)</f>
        <v/>
      </c>
      <c r="J4372" s="46" t="str">
        <f>IF(INPUT!Q4367="","",INPUT!Q4367)</f>
        <v/>
      </c>
      <c r="K4372" s="46" t="str">
        <f>IFERROR(IF(OR(INPUT!P4367="",INPUT!Q4367=""),"",INPUT!P4367-INPUT!Q4367),"")</f>
        <v/>
      </c>
      <c r="L4372" s="48" t="str">
        <f>IFERROR(IF(OR(INPUT!P4367="",INPUT!Q4367="",INPUT!P4367=0),"",(INPUT!P4367-INPUT!Q4367)/INPUT!P4367),"")</f>
        <v/>
      </c>
    </row>
    <row r="4373" spans="1:12" ht="18" hidden="1" customHeight="1" x14ac:dyDescent="0.2">
      <c r="A4373" s="11" t="str">
        <f>IF(INPUT!M4368="","",INPUT!M4368)</f>
        <v/>
      </c>
      <c r="B4373" s="11" t="str">
        <f>IF(INPUT!M4368="","",INPUT!M4368-WEEKDAY(INPUT!M4368,2)+1)</f>
        <v/>
      </c>
      <c r="C4373" s="20">
        <f>IFERROR(_xlfn.ISOWEEKNUM(INPUT!M4368),"")</f>
        <v>52</v>
      </c>
      <c r="D4373" s="20">
        <f>IFERROR(YEAR(INPUT!M4368),"")</f>
        <v>1900</v>
      </c>
      <c r="E4373" t="str">
        <f>IF(INPUT!O4368="","",INPUT!O4368)</f>
        <v/>
      </c>
      <c r="F4373" t="str">
        <f>IF(INPUT!N4368="","",INPUT!N4368)</f>
        <v/>
      </c>
      <c r="G4373" cm="1">
        <f t="array" ref="G4373">IFERROR(VLOOKUP(INPUT!M4368&amp;INPUT!N4368,CHOOSE({1,2},INPUT!$A$3:$A$5000&amp;INPUT!$C$3:$C$5000,INPUT!$F$3:$F$5000),2,FALSE),"")</f>
        <v>0</v>
      </c>
      <c r="H4373" cm="1">
        <f t="array" ref="H4373">IFERROR(VLOOKUP(INPUT!M4368&amp;INPUT!N4368,CHOOSE({1,2},INPUT!$A$3:$A$5000&amp;INPUT!$C$3:$C$5000,INPUT!$D$3:$D$5000),2,FALSE),"")</f>
        <v>0</v>
      </c>
      <c r="I4373" s="46" t="str">
        <f>IF(INPUT!P4368="","",INPUT!P4368)</f>
        <v/>
      </c>
      <c r="J4373" s="46" t="str">
        <f>IF(INPUT!Q4368="","",INPUT!Q4368)</f>
        <v/>
      </c>
      <c r="K4373" s="46" t="str">
        <f>IFERROR(IF(OR(INPUT!P4368="",INPUT!Q4368=""),"",INPUT!P4368-INPUT!Q4368),"")</f>
        <v/>
      </c>
      <c r="L4373" s="48" t="str">
        <f>IFERROR(IF(OR(INPUT!P4368="",INPUT!Q4368="",INPUT!P4368=0),"",(INPUT!P4368-INPUT!Q4368)/INPUT!P4368),"")</f>
        <v/>
      </c>
    </row>
    <row r="4374" spans="1:12" ht="18" hidden="1" customHeight="1" x14ac:dyDescent="0.2">
      <c r="A4374" s="11" t="str">
        <f>IF(INPUT!M4369="","",INPUT!M4369)</f>
        <v/>
      </c>
      <c r="B4374" s="11" t="str">
        <f>IF(INPUT!M4369="","",INPUT!M4369-WEEKDAY(INPUT!M4369,2)+1)</f>
        <v/>
      </c>
      <c r="C4374" s="20">
        <f>IFERROR(_xlfn.ISOWEEKNUM(INPUT!M4369),"")</f>
        <v>52</v>
      </c>
      <c r="D4374" s="20">
        <f>IFERROR(YEAR(INPUT!M4369),"")</f>
        <v>1900</v>
      </c>
      <c r="E4374" t="str">
        <f>IF(INPUT!O4369="","",INPUT!O4369)</f>
        <v/>
      </c>
      <c r="F4374" t="str">
        <f>IF(INPUT!N4369="","",INPUT!N4369)</f>
        <v/>
      </c>
      <c r="G4374" cm="1">
        <f t="array" ref="G4374">IFERROR(VLOOKUP(INPUT!M4369&amp;INPUT!N4369,CHOOSE({1,2},INPUT!$A$3:$A$5000&amp;INPUT!$C$3:$C$5000,INPUT!$F$3:$F$5000),2,FALSE),"")</f>
        <v>0</v>
      </c>
      <c r="H4374" cm="1">
        <f t="array" ref="H4374">IFERROR(VLOOKUP(INPUT!M4369&amp;INPUT!N4369,CHOOSE({1,2},INPUT!$A$3:$A$5000&amp;INPUT!$C$3:$C$5000,INPUT!$D$3:$D$5000),2,FALSE),"")</f>
        <v>0</v>
      </c>
      <c r="I4374" s="46" t="str">
        <f>IF(INPUT!P4369="","",INPUT!P4369)</f>
        <v/>
      </c>
      <c r="J4374" s="46" t="str">
        <f>IF(INPUT!Q4369="","",INPUT!Q4369)</f>
        <v/>
      </c>
      <c r="K4374" s="46" t="str">
        <f>IFERROR(IF(OR(INPUT!P4369="",INPUT!Q4369=""),"",INPUT!P4369-INPUT!Q4369),"")</f>
        <v/>
      </c>
      <c r="L4374" s="48" t="str">
        <f>IFERROR(IF(OR(INPUT!P4369="",INPUT!Q4369="",INPUT!P4369=0),"",(INPUT!P4369-INPUT!Q4369)/INPUT!P4369),"")</f>
        <v/>
      </c>
    </row>
    <row r="4375" spans="1:12" ht="18" hidden="1" customHeight="1" x14ac:dyDescent="0.2">
      <c r="A4375" s="11" t="str">
        <f>IF(INPUT!M4370="","",INPUT!M4370)</f>
        <v/>
      </c>
      <c r="B4375" s="11" t="str">
        <f>IF(INPUT!M4370="","",INPUT!M4370-WEEKDAY(INPUT!M4370,2)+1)</f>
        <v/>
      </c>
      <c r="C4375" s="20">
        <f>IFERROR(_xlfn.ISOWEEKNUM(INPUT!M4370),"")</f>
        <v>52</v>
      </c>
      <c r="D4375" s="20">
        <f>IFERROR(YEAR(INPUT!M4370),"")</f>
        <v>1900</v>
      </c>
      <c r="E4375" t="str">
        <f>IF(INPUT!O4370="","",INPUT!O4370)</f>
        <v/>
      </c>
      <c r="F4375" t="str">
        <f>IF(INPUT!N4370="","",INPUT!N4370)</f>
        <v/>
      </c>
      <c r="G4375" cm="1">
        <f t="array" ref="G4375">IFERROR(VLOOKUP(INPUT!M4370&amp;INPUT!N4370,CHOOSE({1,2},INPUT!$A$3:$A$5000&amp;INPUT!$C$3:$C$5000,INPUT!$F$3:$F$5000),2,FALSE),"")</f>
        <v>0</v>
      </c>
      <c r="H4375" cm="1">
        <f t="array" ref="H4375">IFERROR(VLOOKUP(INPUT!M4370&amp;INPUT!N4370,CHOOSE({1,2},INPUT!$A$3:$A$5000&amp;INPUT!$C$3:$C$5000,INPUT!$D$3:$D$5000),2,FALSE),"")</f>
        <v>0</v>
      </c>
      <c r="I4375" s="46" t="str">
        <f>IF(INPUT!P4370="","",INPUT!P4370)</f>
        <v/>
      </c>
      <c r="J4375" s="46" t="str">
        <f>IF(INPUT!Q4370="","",INPUT!Q4370)</f>
        <v/>
      </c>
      <c r="K4375" s="46" t="str">
        <f>IFERROR(IF(OR(INPUT!P4370="",INPUT!Q4370=""),"",INPUT!P4370-INPUT!Q4370),"")</f>
        <v/>
      </c>
      <c r="L4375" s="48" t="str">
        <f>IFERROR(IF(OR(INPUT!P4370="",INPUT!Q4370="",INPUT!P4370=0),"",(INPUT!P4370-INPUT!Q4370)/INPUT!P4370),"")</f>
        <v/>
      </c>
    </row>
    <row r="4376" spans="1:12" ht="18" hidden="1" customHeight="1" x14ac:dyDescent="0.2">
      <c r="A4376" s="11" t="str">
        <f>IF(INPUT!M4371="","",INPUT!M4371)</f>
        <v/>
      </c>
      <c r="B4376" s="11" t="str">
        <f>IF(INPUT!M4371="","",INPUT!M4371-WEEKDAY(INPUT!M4371,2)+1)</f>
        <v/>
      </c>
      <c r="C4376" s="20">
        <f>IFERROR(_xlfn.ISOWEEKNUM(INPUT!M4371),"")</f>
        <v>52</v>
      </c>
      <c r="D4376" s="20">
        <f>IFERROR(YEAR(INPUT!M4371),"")</f>
        <v>1900</v>
      </c>
      <c r="E4376" t="str">
        <f>IF(INPUT!O4371="","",INPUT!O4371)</f>
        <v/>
      </c>
      <c r="F4376" t="str">
        <f>IF(INPUT!N4371="","",INPUT!N4371)</f>
        <v/>
      </c>
      <c r="G4376" cm="1">
        <f t="array" ref="G4376">IFERROR(VLOOKUP(INPUT!M4371&amp;INPUT!N4371,CHOOSE({1,2},INPUT!$A$3:$A$5000&amp;INPUT!$C$3:$C$5000,INPUT!$F$3:$F$5000),2,FALSE),"")</f>
        <v>0</v>
      </c>
      <c r="H4376" cm="1">
        <f t="array" ref="H4376">IFERROR(VLOOKUP(INPUT!M4371&amp;INPUT!N4371,CHOOSE({1,2},INPUT!$A$3:$A$5000&amp;INPUT!$C$3:$C$5000,INPUT!$D$3:$D$5000),2,FALSE),"")</f>
        <v>0</v>
      </c>
      <c r="I4376" s="46" t="str">
        <f>IF(INPUT!P4371="","",INPUT!P4371)</f>
        <v/>
      </c>
      <c r="J4376" s="46" t="str">
        <f>IF(INPUT!Q4371="","",INPUT!Q4371)</f>
        <v/>
      </c>
      <c r="K4376" s="46" t="str">
        <f>IFERROR(IF(OR(INPUT!P4371="",INPUT!Q4371=""),"",INPUT!P4371-INPUT!Q4371),"")</f>
        <v/>
      </c>
      <c r="L4376" s="48" t="str">
        <f>IFERROR(IF(OR(INPUT!P4371="",INPUT!Q4371="",INPUT!P4371=0),"",(INPUT!P4371-INPUT!Q4371)/INPUT!P4371),"")</f>
        <v/>
      </c>
    </row>
    <row r="4377" spans="1:12" ht="18" hidden="1" customHeight="1" x14ac:dyDescent="0.2">
      <c r="A4377" s="11" t="str">
        <f>IF(INPUT!M4372="","",INPUT!M4372)</f>
        <v/>
      </c>
      <c r="B4377" s="11" t="str">
        <f>IF(INPUT!M4372="","",INPUT!M4372-WEEKDAY(INPUT!M4372,2)+1)</f>
        <v/>
      </c>
      <c r="C4377" s="20">
        <f>IFERROR(_xlfn.ISOWEEKNUM(INPUT!M4372),"")</f>
        <v>52</v>
      </c>
      <c r="D4377" s="20">
        <f>IFERROR(YEAR(INPUT!M4372),"")</f>
        <v>1900</v>
      </c>
      <c r="E4377" t="str">
        <f>IF(INPUT!O4372="","",INPUT!O4372)</f>
        <v/>
      </c>
      <c r="F4377" t="str">
        <f>IF(INPUT!N4372="","",INPUT!N4372)</f>
        <v/>
      </c>
      <c r="G4377" cm="1">
        <f t="array" ref="G4377">IFERROR(VLOOKUP(INPUT!M4372&amp;INPUT!N4372,CHOOSE({1,2},INPUT!$A$3:$A$5000&amp;INPUT!$C$3:$C$5000,INPUT!$F$3:$F$5000),2,FALSE),"")</f>
        <v>0</v>
      </c>
      <c r="H4377" cm="1">
        <f t="array" ref="H4377">IFERROR(VLOOKUP(INPUT!M4372&amp;INPUT!N4372,CHOOSE({1,2},INPUT!$A$3:$A$5000&amp;INPUT!$C$3:$C$5000,INPUT!$D$3:$D$5000),2,FALSE),"")</f>
        <v>0</v>
      </c>
      <c r="I4377" s="46" t="str">
        <f>IF(INPUT!P4372="","",INPUT!P4372)</f>
        <v/>
      </c>
      <c r="J4377" s="46" t="str">
        <f>IF(INPUT!Q4372="","",INPUT!Q4372)</f>
        <v/>
      </c>
      <c r="K4377" s="46" t="str">
        <f>IFERROR(IF(OR(INPUT!P4372="",INPUT!Q4372=""),"",INPUT!P4372-INPUT!Q4372),"")</f>
        <v/>
      </c>
      <c r="L4377" s="48" t="str">
        <f>IFERROR(IF(OR(INPUT!P4372="",INPUT!Q4372="",INPUT!P4372=0),"",(INPUT!P4372-INPUT!Q4372)/INPUT!P4372),"")</f>
        <v/>
      </c>
    </row>
    <row r="4378" spans="1:12" ht="18" hidden="1" customHeight="1" x14ac:dyDescent="0.2">
      <c r="A4378" s="11" t="str">
        <f>IF(INPUT!M4373="","",INPUT!M4373)</f>
        <v/>
      </c>
      <c r="B4378" s="11" t="str">
        <f>IF(INPUT!M4373="","",INPUT!M4373-WEEKDAY(INPUT!M4373,2)+1)</f>
        <v/>
      </c>
      <c r="C4378" s="20">
        <f>IFERROR(_xlfn.ISOWEEKNUM(INPUT!M4373),"")</f>
        <v>52</v>
      </c>
      <c r="D4378" s="20">
        <f>IFERROR(YEAR(INPUT!M4373),"")</f>
        <v>1900</v>
      </c>
      <c r="E4378" t="str">
        <f>IF(INPUT!O4373="","",INPUT!O4373)</f>
        <v/>
      </c>
      <c r="F4378" t="str">
        <f>IF(INPUT!N4373="","",INPUT!N4373)</f>
        <v/>
      </c>
      <c r="G4378" cm="1">
        <f t="array" ref="G4378">IFERROR(VLOOKUP(INPUT!M4373&amp;INPUT!N4373,CHOOSE({1,2},INPUT!$A$3:$A$5000&amp;INPUT!$C$3:$C$5000,INPUT!$F$3:$F$5000),2,FALSE),"")</f>
        <v>0</v>
      </c>
      <c r="H4378" cm="1">
        <f t="array" ref="H4378">IFERROR(VLOOKUP(INPUT!M4373&amp;INPUT!N4373,CHOOSE({1,2},INPUT!$A$3:$A$5000&amp;INPUT!$C$3:$C$5000,INPUT!$D$3:$D$5000),2,FALSE),"")</f>
        <v>0</v>
      </c>
      <c r="I4378" s="46" t="str">
        <f>IF(INPUT!P4373="","",INPUT!P4373)</f>
        <v/>
      </c>
      <c r="J4378" s="46" t="str">
        <f>IF(INPUT!Q4373="","",INPUT!Q4373)</f>
        <v/>
      </c>
      <c r="K4378" s="46" t="str">
        <f>IFERROR(IF(OR(INPUT!P4373="",INPUT!Q4373=""),"",INPUT!P4373-INPUT!Q4373),"")</f>
        <v/>
      </c>
      <c r="L4378" s="48" t="str">
        <f>IFERROR(IF(OR(INPUT!P4373="",INPUT!Q4373="",INPUT!P4373=0),"",(INPUT!P4373-INPUT!Q4373)/INPUT!P4373),"")</f>
        <v/>
      </c>
    </row>
    <row r="4379" spans="1:12" ht="18" hidden="1" customHeight="1" x14ac:dyDescent="0.2">
      <c r="A4379" s="11" t="str">
        <f>IF(INPUT!M4374="","",INPUT!M4374)</f>
        <v/>
      </c>
      <c r="B4379" s="11" t="str">
        <f>IF(INPUT!M4374="","",INPUT!M4374-WEEKDAY(INPUT!M4374,2)+1)</f>
        <v/>
      </c>
      <c r="C4379" s="20">
        <f>IFERROR(_xlfn.ISOWEEKNUM(INPUT!M4374),"")</f>
        <v>52</v>
      </c>
      <c r="D4379" s="20">
        <f>IFERROR(YEAR(INPUT!M4374),"")</f>
        <v>1900</v>
      </c>
      <c r="E4379" t="str">
        <f>IF(INPUT!O4374="","",INPUT!O4374)</f>
        <v/>
      </c>
      <c r="F4379" t="str">
        <f>IF(INPUT!N4374="","",INPUT!N4374)</f>
        <v/>
      </c>
      <c r="G4379" cm="1">
        <f t="array" ref="G4379">IFERROR(VLOOKUP(INPUT!M4374&amp;INPUT!N4374,CHOOSE({1,2},INPUT!$A$3:$A$5000&amp;INPUT!$C$3:$C$5000,INPUT!$F$3:$F$5000),2,FALSE),"")</f>
        <v>0</v>
      </c>
      <c r="H4379" cm="1">
        <f t="array" ref="H4379">IFERROR(VLOOKUP(INPUT!M4374&amp;INPUT!N4374,CHOOSE({1,2},INPUT!$A$3:$A$5000&amp;INPUT!$C$3:$C$5000,INPUT!$D$3:$D$5000),2,FALSE),"")</f>
        <v>0</v>
      </c>
      <c r="I4379" s="46" t="str">
        <f>IF(INPUT!P4374="","",INPUT!P4374)</f>
        <v/>
      </c>
      <c r="J4379" s="46" t="str">
        <f>IF(INPUT!Q4374="","",INPUT!Q4374)</f>
        <v/>
      </c>
      <c r="K4379" s="46" t="str">
        <f>IFERROR(IF(OR(INPUT!P4374="",INPUT!Q4374=""),"",INPUT!P4374-INPUT!Q4374),"")</f>
        <v/>
      </c>
      <c r="L4379" s="48" t="str">
        <f>IFERROR(IF(OR(INPUT!P4374="",INPUT!Q4374="",INPUT!P4374=0),"",(INPUT!P4374-INPUT!Q4374)/INPUT!P4374),"")</f>
        <v/>
      </c>
    </row>
    <row r="4380" spans="1:12" ht="18" hidden="1" customHeight="1" x14ac:dyDescent="0.2">
      <c r="A4380" s="11" t="str">
        <f>IF(INPUT!M4375="","",INPUT!M4375)</f>
        <v/>
      </c>
      <c r="B4380" s="11" t="str">
        <f>IF(INPUT!M4375="","",INPUT!M4375-WEEKDAY(INPUT!M4375,2)+1)</f>
        <v/>
      </c>
      <c r="C4380" s="20">
        <f>IFERROR(_xlfn.ISOWEEKNUM(INPUT!M4375),"")</f>
        <v>52</v>
      </c>
      <c r="D4380" s="20">
        <f>IFERROR(YEAR(INPUT!M4375),"")</f>
        <v>1900</v>
      </c>
      <c r="E4380" t="str">
        <f>IF(INPUT!O4375="","",INPUT!O4375)</f>
        <v/>
      </c>
      <c r="F4380" t="str">
        <f>IF(INPUT!N4375="","",INPUT!N4375)</f>
        <v/>
      </c>
      <c r="G4380" cm="1">
        <f t="array" ref="G4380">IFERROR(VLOOKUP(INPUT!M4375&amp;INPUT!N4375,CHOOSE({1,2},INPUT!$A$3:$A$5000&amp;INPUT!$C$3:$C$5000,INPUT!$F$3:$F$5000),2,FALSE),"")</f>
        <v>0</v>
      </c>
      <c r="H4380" cm="1">
        <f t="array" ref="H4380">IFERROR(VLOOKUP(INPUT!M4375&amp;INPUT!N4375,CHOOSE({1,2},INPUT!$A$3:$A$5000&amp;INPUT!$C$3:$C$5000,INPUT!$D$3:$D$5000),2,FALSE),"")</f>
        <v>0</v>
      </c>
      <c r="I4380" s="46" t="str">
        <f>IF(INPUT!P4375="","",INPUT!P4375)</f>
        <v/>
      </c>
      <c r="J4380" s="46" t="str">
        <f>IF(INPUT!Q4375="","",INPUT!Q4375)</f>
        <v/>
      </c>
      <c r="K4380" s="46" t="str">
        <f>IFERROR(IF(OR(INPUT!P4375="",INPUT!Q4375=""),"",INPUT!P4375-INPUT!Q4375),"")</f>
        <v/>
      </c>
      <c r="L4380" s="48" t="str">
        <f>IFERROR(IF(OR(INPUT!P4375="",INPUT!Q4375="",INPUT!P4375=0),"",(INPUT!P4375-INPUT!Q4375)/INPUT!P4375),"")</f>
        <v/>
      </c>
    </row>
    <row r="4381" spans="1:12" ht="18" hidden="1" customHeight="1" x14ac:dyDescent="0.2">
      <c r="A4381" s="11" t="str">
        <f>IF(INPUT!M4376="","",INPUT!M4376)</f>
        <v/>
      </c>
      <c r="B4381" s="11" t="str">
        <f>IF(INPUT!M4376="","",INPUT!M4376-WEEKDAY(INPUT!M4376,2)+1)</f>
        <v/>
      </c>
      <c r="C4381" s="20">
        <f>IFERROR(_xlfn.ISOWEEKNUM(INPUT!M4376),"")</f>
        <v>52</v>
      </c>
      <c r="D4381" s="20">
        <f>IFERROR(YEAR(INPUT!M4376),"")</f>
        <v>1900</v>
      </c>
      <c r="E4381" t="str">
        <f>IF(INPUT!O4376="","",INPUT!O4376)</f>
        <v/>
      </c>
      <c r="F4381" t="str">
        <f>IF(INPUT!N4376="","",INPUT!N4376)</f>
        <v/>
      </c>
      <c r="G4381" cm="1">
        <f t="array" ref="G4381">IFERROR(VLOOKUP(INPUT!M4376&amp;INPUT!N4376,CHOOSE({1,2},INPUT!$A$3:$A$5000&amp;INPUT!$C$3:$C$5000,INPUT!$F$3:$F$5000),2,FALSE),"")</f>
        <v>0</v>
      </c>
      <c r="H4381" cm="1">
        <f t="array" ref="H4381">IFERROR(VLOOKUP(INPUT!M4376&amp;INPUT!N4376,CHOOSE({1,2},INPUT!$A$3:$A$5000&amp;INPUT!$C$3:$C$5000,INPUT!$D$3:$D$5000),2,FALSE),"")</f>
        <v>0</v>
      </c>
      <c r="I4381" s="46" t="str">
        <f>IF(INPUT!P4376="","",INPUT!P4376)</f>
        <v/>
      </c>
      <c r="J4381" s="46" t="str">
        <f>IF(INPUT!Q4376="","",INPUT!Q4376)</f>
        <v/>
      </c>
      <c r="K4381" s="46" t="str">
        <f>IFERROR(IF(OR(INPUT!P4376="",INPUT!Q4376=""),"",INPUT!P4376-INPUT!Q4376),"")</f>
        <v/>
      </c>
      <c r="L4381" s="48" t="str">
        <f>IFERROR(IF(OR(INPUT!P4376="",INPUT!Q4376="",INPUT!P4376=0),"",(INPUT!P4376-INPUT!Q4376)/INPUT!P4376),"")</f>
        <v/>
      </c>
    </row>
    <row r="4382" spans="1:12" ht="18" hidden="1" customHeight="1" x14ac:dyDescent="0.2">
      <c r="A4382" s="11" t="str">
        <f>IF(INPUT!M4377="","",INPUT!M4377)</f>
        <v/>
      </c>
      <c r="B4382" s="11" t="str">
        <f>IF(INPUT!M4377="","",INPUT!M4377-WEEKDAY(INPUT!M4377,2)+1)</f>
        <v/>
      </c>
      <c r="C4382" s="20">
        <f>IFERROR(_xlfn.ISOWEEKNUM(INPUT!M4377),"")</f>
        <v>52</v>
      </c>
      <c r="D4382" s="20">
        <f>IFERROR(YEAR(INPUT!M4377),"")</f>
        <v>1900</v>
      </c>
      <c r="E4382" t="str">
        <f>IF(INPUT!O4377="","",INPUT!O4377)</f>
        <v/>
      </c>
      <c r="F4382" t="str">
        <f>IF(INPUT!N4377="","",INPUT!N4377)</f>
        <v/>
      </c>
      <c r="G4382" cm="1">
        <f t="array" ref="G4382">IFERROR(VLOOKUP(INPUT!M4377&amp;INPUT!N4377,CHOOSE({1,2},INPUT!$A$3:$A$5000&amp;INPUT!$C$3:$C$5000,INPUT!$F$3:$F$5000),2,FALSE),"")</f>
        <v>0</v>
      </c>
      <c r="H4382" cm="1">
        <f t="array" ref="H4382">IFERROR(VLOOKUP(INPUT!M4377&amp;INPUT!N4377,CHOOSE({1,2},INPUT!$A$3:$A$5000&amp;INPUT!$C$3:$C$5000,INPUT!$D$3:$D$5000),2,FALSE),"")</f>
        <v>0</v>
      </c>
      <c r="I4382" s="46" t="str">
        <f>IF(INPUT!P4377="","",INPUT!P4377)</f>
        <v/>
      </c>
      <c r="J4382" s="46" t="str">
        <f>IF(INPUT!Q4377="","",INPUT!Q4377)</f>
        <v/>
      </c>
      <c r="K4382" s="46" t="str">
        <f>IFERROR(IF(OR(INPUT!P4377="",INPUT!Q4377=""),"",INPUT!P4377-INPUT!Q4377),"")</f>
        <v/>
      </c>
      <c r="L4382" s="48" t="str">
        <f>IFERROR(IF(OR(INPUT!P4377="",INPUT!Q4377="",INPUT!P4377=0),"",(INPUT!P4377-INPUT!Q4377)/INPUT!P4377),"")</f>
        <v/>
      </c>
    </row>
    <row r="4383" spans="1:12" ht="18" hidden="1" customHeight="1" x14ac:dyDescent="0.2">
      <c r="A4383" s="11" t="str">
        <f>IF(INPUT!M4378="","",INPUT!M4378)</f>
        <v/>
      </c>
      <c r="B4383" s="11" t="str">
        <f>IF(INPUT!M4378="","",INPUT!M4378-WEEKDAY(INPUT!M4378,2)+1)</f>
        <v/>
      </c>
      <c r="C4383" s="20">
        <f>IFERROR(_xlfn.ISOWEEKNUM(INPUT!M4378),"")</f>
        <v>52</v>
      </c>
      <c r="D4383" s="20">
        <f>IFERROR(YEAR(INPUT!M4378),"")</f>
        <v>1900</v>
      </c>
      <c r="E4383" t="str">
        <f>IF(INPUT!O4378="","",INPUT!O4378)</f>
        <v/>
      </c>
      <c r="F4383" t="str">
        <f>IF(INPUT!N4378="","",INPUT!N4378)</f>
        <v/>
      </c>
      <c r="G4383" cm="1">
        <f t="array" ref="G4383">IFERROR(VLOOKUP(INPUT!M4378&amp;INPUT!N4378,CHOOSE({1,2},INPUT!$A$3:$A$5000&amp;INPUT!$C$3:$C$5000,INPUT!$F$3:$F$5000),2,FALSE),"")</f>
        <v>0</v>
      </c>
      <c r="H4383" cm="1">
        <f t="array" ref="H4383">IFERROR(VLOOKUP(INPUT!M4378&amp;INPUT!N4378,CHOOSE({1,2},INPUT!$A$3:$A$5000&amp;INPUT!$C$3:$C$5000,INPUT!$D$3:$D$5000),2,FALSE),"")</f>
        <v>0</v>
      </c>
      <c r="I4383" s="46" t="str">
        <f>IF(INPUT!P4378="","",INPUT!P4378)</f>
        <v/>
      </c>
      <c r="J4383" s="46" t="str">
        <f>IF(INPUT!Q4378="","",INPUT!Q4378)</f>
        <v/>
      </c>
      <c r="K4383" s="46" t="str">
        <f>IFERROR(IF(OR(INPUT!P4378="",INPUT!Q4378=""),"",INPUT!P4378-INPUT!Q4378),"")</f>
        <v/>
      </c>
      <c r="L4383" s="48" t="str">
        <f>IFERROR(IF(OR(INPUT!P4378="",INPUT!Q4378="",INPUT!P4378=0),"",(INPUT!P4378-INPUT!Q4378)/INPUT!P4378),"")</f>
        <v/>
      </c>
    </row>
    <row r="4384" spans="1:12" ht="18" hidden="1" customHeight="1" x14ac:dyDescent="0.2">
      <c r="A4384" s="11" t="str">
        <f>IF(INPUT!M4379="","",INPUT!M4379)</f>
        <v/>
      </c>
      <c r="B4384" s="11" t="str">
        <f>IF(INPUT!M4379="","",INPUT!M4379-WEEKDAY(INPUT!M4379,2)+1)</f>
        <v/>
      </c>
      <c r="C4384" s="20">
        <f>IFERROR(_xlfn.ISOWEEKNUM(INPUT!M4379),"")</f>
        <v>52</v>
      </c>
      <c r="D4384" s="20">
        <f>IFERROR(YEAR(INPUT!M4379),"")</f>
        <v>1900</v>
      </c>
      <c r="E4384" t="str">
        <f>IF(INPUT!O4379="","",INPUT!O4379)</f>
        <v/>
      </c>
      <c r="F4384" t="str">
        <f>IF(INPUT!N4379="","",INPUT!N4379)</f>
        <v/>
      </c>
      <c r="G4384" cm="1">
        <f t="array" ref="G4384">IFERROR(VLOOKUP(INPUT!M4379&amp;INPUT!N4379,CHOOSE({1,2},INPUT!$A$3:$A$5000&amp;INPUT!$C$3:$C$5000,INPUT!$F$3:$F$5000),2,FALSE),"")</f>
        <v>0</v>
      </c>
      <c r="H4384" cm="1">
        <f t="array" ref="H4384">IFERROR(VLOOKUP(INPUT!M4379&amp;INPUT!N4379,CHOOSE({1,2},INPUT!$A$3:$A$5000&amp;INPUT!$C$3:$C$5000,INPUT!$D$3:$D$5000),2,FALSE),"")</f>
        <v>0</v>
      </c>
      <c r="I4384" s="46" t="str">
        <f>IF(INPUT!P4379="","",INPUT!P4379)</f>
        <v/>
      </c>
      <c r="J4384" s="46" t="str">
        <f>IF(INPUT!Q4379="","",INPUT!Q4379)</f>
        <v/>
      </c>
      <c r="K4384" s="46" t="str">
        <f>IFERROR(IF(OR(INPUT!P4379="",INPUT!Q4379=""),"",INPUT!P4379-INPUT!Q4379),"")</f>
        <v/>
      </c>
      <c r="L4384" s="48" t="str">
        <f>IFERROR(IF(OR(INPUT!P4379="",INPUT!Q4379="",INPUT!P4379=0),"",(INPUT!P4379-INPUT!Q4379)/INPUT!P4379),"")</f>
        <v/>
      </c>
    </row>
    <row r="4385" spans="1:12" ht="18" hidden="1" customHeight="1" x14ac:dyDescent="0.2">
      <c r="A4385" s="11" t="str">
        <f>IF(INPUT!M4380="","",INPUT!M4380)</f>
        <v/>
      </c>
      <c r="B4385" s="11" t="str">
        <f>IF(INPUT!M4380="","",INPUT!M4380-WEEKDAY(INPUT!M4380,2)+1)</f>
        <v/>
      </c>
      <c r="C4385" s="20">
        <f>IFERROR(_xlfn.ISOWEEKNUM(INPUT!M4380),"")</f>
        <v>52</v>
      </c>
      <c r="D4385" s="20">
        <f>IFERROR(YEAR(INPUT!M4380),"")</f>
        <v>1900</v>
      </c>
      <c r="E4385" t="str">
        <f>IF(INPUT!O4380="","",INPUT!O4380)</f>
        <v/>
      </c>
      <c r="F4385" t="str">
        <f>IF(INPUT!N4380="","",INPUT!N4380)</f>
        <v/>
      </c>
      <c r="G4385" cm="1">
        <f t="array" ref="G4385">IFERROR(VLOOKUP(INPUT!M4380&amp;INPUT!N4380,CHOOSE({1,2},INPUT!$A$3:$A$5000&amp;INPUT!$C$3:$C$5000,INPUT!$F$3:$F$5000),2,FALSE),"")</f>
        <v>0</v>
      </c>
      <c r="H4385" cm="1">
        <f t="array" ref="H4385">IFERROR(VLOOKUP(INPUT!M4380&amp;INPUT!N4380,CHOOSE({1,2},INPUT!$A$3:$A$5000&amp;INPUT!$C$3:$C$5000,INPUT!$D$3:$D$5000),2,FALSE),"")</f>
        <v>0</v>
      </c>
      <c r="I4385" s="46" t="str">
        <f>IF(INPUT!P4380="","",INPUT!P4380)</f>
        <v/>
      </c>
      <c r="J4385" s="46" t="str">
        <f>IF(INPUT!Q4380="","",INPUT!Q4380)</f>
        <v/>
      </c>
      <c r="K4385" s="46" t="str">
        <f>IFERROR(IF(OR(INPUT!P4380="",INPUT!Q4380=""),"",INPUT!P4380-INPUT!Q4380),"")</f>
        <v/>
      </c>
      <c r="L4385" s="48" t="str">
        <f>IFERROR(IF(OR(INPUT!P4380="",INPUT!Q4380="",INPUT!P4380=0),"",(INPUT!P4380-INPUT!Q4380)/INPUT!P4380),"")</f>
        <v/>
      </c>
    </row>
    <row r="4386" spans="1:12" ht="18" hidden="1" customHeight="1" x14ac:dyDescent="0.2">
      <c r="A4386" s="11" t="str">
        <f>IF(INPUT!M4381="","",INPUT!M4381)</f>
        <v/>
      </c>
      <c r="B4386" s="11" t="str">
        <f>IF(INPUT!M4381="","",INPUT!M4381-WEEKDAY(INPUT!M4381,2)+1)</f>
        <v/>
      </c>
      <c r="C4386" s="20">
        <f>IFERROR(_xlfn.ISOWEEKNUM(INPUT!M4381),"")</f>
        <v>52</v>
      </c>
      <c r="D4386" s="20">
        <f>IFERROR(YEAR(INPUT!M4381),"")</f>
        <v>1900</v>
      </c>
      <c r="E4386" t="str">
        <f>IF(INPUT!O4381="","",INPUT!O4381)</f>
        <v/>
      </c>
      <c r="F4386" t="str">
        <f>IF(INPUT!N4381="","",INPUT!N4381)</f>
        <v/>
      </c>
      <c r="G4386" cm="1">
        <f t="array" ref="G4386">IFERROR(VLOOKUP(INPUT!M4381&amp;INPUT!N4381,CHOOSE({1,2},INPUT!$A$3:$A$5000&amp;INPUT!$C$3:$C$5000,INPUT!$F$3:$F$5000),2,FALSE),"")</f>
        <v>0</v>
      </c>
      <c r="H4386" cm="1">
        <f t="array" ref="H4386">IFERROR(VLOOKUP(INPUT!M4381&amp;INPUT!N4381,CHOOSE({1,2},INPUT!$A$3:$A$5000&amp;INPUT!$C$3:$C$5000,INPUT!$D$3:$D$5000),2,FALSE),"")</f>
        <v>0</v>
      </c>
      <c r="I4386" s="46" t="str">
        <f>IF(INPUT!P4381="","",INPUT!P4381)</f>
        <v/>
      </c>
      <c r="J4386" s="46" t="str">
        <f>IF(INPUT!Q4381="","",INPUT!Q4381)</f>
        <v/>
      </c>
      <c r="K4386" s="46" t="str">
        <f>IFERROR(IF(OR(INPUT!P4381="",INPUT!Q4381=""),"",INPUT!P4381-INPUT!Q4381),"")</f>
        <v/>
      </c>
      <c r="L4386" s="48" t="str">
        <f>IFERROR(IF(OR(INPUT!P4381="",INPUT!Q4381="",INPUT!P4381=0),"",(INPUT!P4381-INPUT!Q4381)/INPUT!P4381),"")</f>
        <v/>
      </c>
    </row>
    <row r="4387" spans="1:12" ht="18" hidden="1" customHeight="1" x14ac:dyDescent="0.2">
      <c r="A4387" s="11" t="str">
        <f>IF(INPUT!M4382="","",INPUT!M4382)</f>
        <v/>
      </c>
      <c r="B4387" s="11" t="str">
        <f>IF(INPUT!M4382="","",INPUT!M4382-WEEKDAY(INPUT!M4382,2)+1)</f>
        <v/>
      </c>
      <c r="C4387" s="20">
        <f>IFERROR(_xlfn.ISOWEEKNUM(INPUT!M4382),"")</f>
        <v>52</v>
      </c>
      <c r="D4387" s="20">
        <f>IFERROR(YEAR(INPUT!M4382),"")</f>
        <v>1900</v>
      </c>
      <c r="E4387" t="str">
        <f>IF(INPUT!O4382="","",INPUT!O4382)</f>
        <v/>
      </c>
      <c r="F4387" t="str">
        <f>IF(INPUT!N4382="","",INPUT!N4382)</f>
        <v/>
      </c>
      <c r="G4387" cm="1">
        <f t="array" ref="G4387">IFERROR(VLOOKUP(INPUT!M4382&amp;INPUT!N4382,CHOOSE({1,2},INPUT!$A$3:$A$5000&amp;INPUT!$C$3:$C$5000,INPUT!$F$3:$F$5000),2,FALSE),"")</f>
        <v>0</v>
      </c>
      <c r="H4387" cm="1">
        <f t="array" ref="H4387">IFERROR(VLOOKUP(INPUT!M4382&amp;INPUT!N4382,CHOOSE({1,2},INPUT!$A$3:$A$5000&amp;INPUT!$C$3:$C$5000,INPUT!$D$3:$D$5000),2,FALSE),"")</f>
        <v>0</v>
      </c>
      <c r="I4387" s="46" t="str">
        <f>IF(INPUT!P4382="","",INPUT!P4382)</f>
        <v/>
      </c>
      <c r="J4387" s="46" t="str">
        <f>IF(INPUT!Q4382="","",INPUT!Q4382)</f>
        <v/>
      </c>
      <c r="K4387" s="46" t="str">
        <f>IFERROR(IF(OR(INPUT!P4382="",INPUT!Q4382=""),"",INPUT!P4382-INPUT!Q4382),"")</f>
        <v/>
      </c>
      <c r="L4387" s="48" t="str">
        <f>IFERROR(IF(OR(INPUT!P4382="",INPUT!Q4382="",INPUT!P4382=0),"",(INPUT!P4382-INPUT!Q4382)/INPUT!P4382),"")</f>
        <v/>
      </c>
    </row>
    <row r="4388" spans="1:12" ht="18" hidden="1" customHeight="1" x14ac:dyDescent="0.2">
      <c r="A4388" s="11" t="str">
        <f>IF(INPUT!M4383="","",INPUT!M4383)</f>
        <v/>
      </c>
      <c r="B4388" s="11" t="str">
        <f>IF(INPUT!M4383="","",INPUT!M4383-WEEKDAY(INPUT!M4383,2)+1)</f>
        <v/>
      </c>
      <c r="C4388" s="20">
        <f>IFERROR(_xlfn.ISOWEEKNUM(INPUT!M4383),"")</f>
        <v>52</v>
      </c>
      <c r="D4388" s="20">
        <f>IFERROR(YEAR(INPUT!M4383),"")</f>
        <v>1900</v>
      </c>
      <c r="E4388" t="str">
        <f>IF(INPUT!O4383="","",INPUT!O4383)</f>
        <v/>
      </c>
      <c r="F4388" t="str">
        <f>IF(INPUT!N4383="","",INPUT!N4383)</f>
        <v/>
      </c>
      <c r="G4388" cm="1">
        <f t="array" ref="G4388">IFERROR(VLOOKUP(INPUT!M4383&amp;INPUT!N4383,CHOOSE({1,2},INPUT!$A$3:$A$5000&amp;INPUT!$C$3:$C$5000,INPUT!$F$3:$F$5000),2,FALSE),"")</f>
        <v>0</v>
      </c>
      <c r="H4388" cm="1">
        <f t="array" ref="H4388">IFERROR(VLOOKUP(INPUT!M4383&amp;INPUT!N4383,CHOOSE({1,2},INPUT!$A$3:$A$5000&amp;INPUT!$C$3:$C$5000,INPUT!$D$3:$D$5000),2,FALSE),"")</f>
        <v>0</v>
      </c>
      <c r="I4388" s="46" t="str">
        <f>IF(INPUT!P4383="","",INPUT!P4383)</f>
        <v/>
      </c>
      <c r="J4388" s="46" t="str">
        <f>IF(INPUT!Q4383="","",INPUT!Q4383)</f>
        <v/>
      </c>
      <c r="K4388" s="46" t="str">
        <f>IFERROR(IF(OR(INPUT!P4383="",INPUT!Q4383=""),"",INPUT!P4383-INPUT!Q4383),"")</f>
        <v/>
      </c>
      <c r="L4388" s="48" t="str">
        <f>IFERROR(IF(OR(INPUT!P4383="",INPUT!Q4383="",INPUT!P4383=0),"",(INPUT!P4383-INPUT!Q4383)/INPUT!P4383),"")</f>
        <v/>
      </c>
    </row>
    <row r="4389" spans="1:12" ht="18" hidden="1" customHeight="1" x14ac:dyDescent="0.2">
      <c r="A4389" s="11" t="str">
        <f>IF(INPUT!M4384="","",INPUT!M4384)</f>
        <v/>
      </c>
      <c r="B4389" s="11" t="str">
        <f>IF(INPUT!M4384="","",INPUT!M4384-WEEKDAY(INPUT!M4384,2)+1)</f>
        <v/>
      </c>
      <c r="C4389" s="20">
        <f>IFERROR(_xlfn.ISOWEEKNUM(INPUT!M4384),"")</f>
        <v>52</v>
      </c>
      <c r="D4389" s="20">
        <f>IFERROR(YEAR(INPUT!M4384),"")</f>
        <v>1900</v>
      </c>
      <c r="E4389" t="str">
        <f>IF(INPUT!O4384="","",INPUT!O4384)</f>
        <v/>
      </c>
      <c r="F4389" t="str">
        <f>IF(INPUT!N4384="","",INPUT!N4384)</f>
        <v/>
      </c>
      <c r="G4389" cm="1">
        <f t="array" ref="G4389">IFERROR(VLOOKUP(INPUT!M4384&amp;INPUT!N4384,CHOOSE({1,2},INPUT!$A$3:$A$5000&amp;INPUT!$C$3:$C$5000,INPUT!$F$3:$F$5000),2,FALSE),"")</f>
        <v>0</v>
      </c>
      <c r="H4389" cm="1">
        <f t="array" ref="H4389">IFERROR(VLOOKUP(INPUT!M4384&amp;INPUT!N4384,CHOOSE({1,2},INPUT!$A$3:$A$5000&amp;INPUT!$C$3:$C$5000,INPUT!$D$3:$D$5000),2,FALSE),"")</f>
        <v>0</v>
      </c>
      <c r="I4389" s="46" t="str">
        <f>IF(INPUT!P4384="","",INPUT!P4384)</f>
        <v/>
      </c>
      <c r="J4389" s="46" t="str">
        <f>IF(INPUT!Q4384="","",INPUT!Q4384)</f>
        <v/>
      </c>
      <c r="K4389" s="46" t="str">
        <f>IFERROR(IF(OR(INPUT!P4384="",INPUT!Q4384=""),"",INPUT!P4384-INPUT!Q4384),"")</f>
        <v/>
      </c>
      <c r="L4389" s="48" t="str">
        <f>IFERROR(IF(OR(INPUT!P4384="",INPUT!Q4384="",INPUT!P4384=0),"",(INPUT!P4384-INPUT!Q4384)/INPUT!P4384),"")</f>
        <v/>
      </c>
    </row>
    <row r="4390" spans="1:12" ht="18" hidden="1" customHeight="1" x14ac:dyDescent="0.2">
      <c r="A4390" s="11" t="str">
        <f>IF(INPUT!M4385="","",INPUT!M4385)</f>
        <v/>
      </c>
      <c r="B4390" s="11" t="str">
        <f>IF(INPUT!M4385="","",INPUT!M4385-WEEKDAY(INPUT!M4385,2)+1)</f>
        <v/>
      </c>
      <c r="C4390" s="20">
        <f>IFERROR(_xlfn.ISOWEEKNUM(INPUT!M4385),"")</f>
        <v>52</v>
      </c>
      <c r="D4390" s="20">
        <f>IFERROR(YEAR(INPUT!M4385),"")</f>
        <v>1900</v>
      </c>
      <c r="E4390" t="str">
        <f>IF(INPUT!O4385="","",INPUT!O4385)</f>
        <v/>
      </c>
      <c r="F4390" t="str">
        <f>IF(INPUT!N4385="","",INPUT!N4385)</f>
        <v/>
      </c>
      <c r="G4390" cm="1">
        <f t="array" ref="G4390">IFERROR(VLOOKUP(INPUT!M4385&amp;INPUT!N4385,CHOOSE({1,2},INPUT!$A$3:$A$5000&amp;INPUT!$C$3:$C$5000,INPUT!$F$3:$F$5000),2,FALSE),"")</f>
        <v>0</v>
      </c>
      <c r="H4390" cm="1">
        <f t="array" ref="H4390">IFERROR(VLOOKUP(INPUT!M4385&amp;INPUT!N4385,CHOOSE({1,2},INPUT!$A$3:$A$5000&amp;INPUT!$C$3:$C$5000,INPUT!$D$3:$D$5000),2,FALSE),"")</f>
        <v>0</v>
      </c>
      <c r="I4390" s="46" t="str">
        <f>IF(INPUT!P4385="","",INPUT!P4385)</f>
        <v/>
      </c>
      <c r="J4390" s="46" t="str">
        <f>IF(INPUT!Q4385="","",INPUT!Q4385)</f>
        <v/>
      </c>
      <c r="K4390" s="46" t="str">
        <f>IFERROR(IF(OR(INPUT!P4385="",INPUT!Q4385=""),"",INPUT!P4385-INPUT!Q4385),"")</f>
        <v/>
      </c>
      <c r="L4390" s="48" t="str">
        <f>IFERROR(IF(OR(INPUT!P4385="",INPUT!Q4385="",INPUT!P4385=0),"",(INPUT!P4385-INPUT!Q4385)/INPUT!P4385),"")</f>
        <v/>
      </c>
    </row>
    <row r="4391" spans="1:12" ht="18" hidden="1" customHeight="1" x14ac:dyDescent="0.2">
      <c r="A4391" s="11" t="str">
        <f>IF(INPUT!M4386="","",INPUT!M4386)</f>
        <v/>
      </c>
      <c r="B4391" s="11" t="str">
        <f>IF(INPUT!M4386="","",INPUT!M4386-WEEKDAY(INPUT!M4386,2)+1)</f>
        <v/>
      </c>
      <c r="C4391" s="20">
        <f>IFERROR(_xlfn.ISOWEEKNUM(INPUT!M4386),"")</f>
        <v>52</v>
      </c>
      <c r="D4391" s="20">
        <f>IFERROR(YEAR(INPUT!M4386),"")</f>
        <v>1900</v>
      </c>
      <c r="E4391" t="str">
        <f>IF(INPUT!O4386="","",INPUT!O4386)</f>
        <v/>
      </c>
      <c r="F4391" t="str">
        <f>IF(INPUT!N4386="","",INPUT!N4386)</f>
        <v/>
      </c>
      <c r="G4391" cm="1">
        <f t="array" ref="G4391">IFERROR(VLOOKUP(INPUT!M4386&amp;INPUT!N4386,CHOOSE({1,2},INPUT!$A$3:$A$5000&amp;INPUT!$C$3:$C$5000,INPUT!$F$3:$F$5000),2,FALSE),"")</f>
        <v>0</v>
      </c>
      <c r="H4391" cm="1">
        <f t="array" ref="H4391">IFERROR(VLOOKUP(INPUT!M4386&amp;INPUT!N4386,CHOOSE({1,2},INPUT!$A$3:$A$5000&amp;INPUT!$C$3:$C$5000,INPUT!$D$3:$D$5000),2,FALSE),"")</f>
        <v>0</v>
      </c>
      <c r="I4391" s="46" t="str">
        <f>IF(INPUT!P4386="","",INPUT!P4386)</f>
        <v/>
      </c>
      <c r="J4391" s="46" t="str">
        <f>IF(INPUT!Q4386="","",INPUT!Q4386)</f>
        <v/>
      </c>
      <c r="K4391" s="46" t="str">
        <f>IFERROR(IF(OR(INPUT!P4386="",INPUT!Q4386=""),"",INPUT!P4386-INPUT!Q4386),"")</f>
        <v/>
      </c>
      <c r="L4391" s="48" t="str">
        <f>IFERROR(IF(OR(INPUT!P4386="",INPUT!Q4386="",INPUT!P4386=0),"",(INPUT!P4386-INPUT!Q4386)/INPUT!P4386),"")</f>
        <v/>
      </c>
    </row>
    <row r="4392" spans="1:12" ht="18" hidden="1" customHeight="1" x14ac:dyDescent="0.2">
      <c r="A4392" s="11" t="str">
        <f>IF(INPUT!M4387="","",INPUT!M4387)</f>
        <v/>
      </c>
      <c r="B4392" s="11" t="str">
        <f>IF(INPUT!M4387="","",INPUT!M4387-WEEKDAY(INPUT!M4387,2)+1)</f>
        <v/>
      </c>
      <c r="C4392" s="20">
        <f>IFERROR(_xlfn.ISOWEEKNUM(INPUT!M4387),"")</f>
        <v>52</v>
      </c>
      <c r="D4392" s="20">
        <f>IFERROR(YEAR(INPUT!M4387),"")</f>
        <v>1900</v>
      </c>
      <c r="E4392" t="str">
        <f>IF(INPUT!O4387="","",INPUT!O4387)</f>
        <v/>
      </c>
      <c r="F4392" t="str">
        <f>IF(INPUT!N4387="","",INPUT!N4387)</f>
        <v/>
      </c>
      <c r="G4392" cm="1">
        <f t="array" ref="G4392">IFERROR(VLOOKUP(INPUT!M4387&amp;INPUT!N4387,CHOOSE({1,2},INPUT!$A$3:$A$5000&amp;INPUT!$C$3:$C$5000,INPUT!$F$3:$F$5000),2,FALSE),"")</f>
        <v>0</v>
      </c>
      <c r="H4392" cm="1">
        <f t="array" ref="H4392">IFERROR(VLOOKUP(INPUT!M4387&amp;INPUT!N4387,CHOOSE({1,2},INPUT!$A$3:$A$5000&amp;INPUT!$C$3:$C$5000,INPUT!$D$3:$D$5000),2,FALSE),"")</f>
        <v>0</v>
      </c>
      <c r="I4392" s="46" t="str">
        <f>IF(INPUT!P4387="","",INPUT!P4387)</f>
        <v/>
      </c>
      <c r="J4392" s="46" t="str">
        <f>IF(INPUT!Q4387="","",INPUT!Q4387)</f>
        <v/>
      </c>
      <c r="K4392" s="46" t="str">
        <f>IFERROR(IF(OR(INPUT!P4387="",INPUT!Q4387=""),"",INPUT!P4387-INPUT!Q4387),"")</f>
        <v/>
      </c>
      <c r="L4392" s="48" t="str">
        <f>IFERROR(IF(OR(INPUT!P4387="",INPUT!Q4387="",INPUT!P4387=0),"",(INPUT!P4387-INPUT!Q4387)/INPUT!P4387),"")</f>
        <v/>
      </c>
    </row>
    <row r="4393" spans="1:12" ht="18" hidden="1" customHeight="1" x14ac:dyDescent="0.2">
      <c r="A4393" s="11" t="str">
        <f>IF(INPUT!M4388="","",INPUT!M4388)</f>
        <v/>
      </c>
      <c r="B4393" s="11" t="str">
        <f>IF(INPUT!M4388="","",INPUT!M4388-WEEKDAY(INPUT!M4388,2)+1)</f>
        <v/>
      </c>
      <c r="C4393" s="20">
        <f>IFERROR(_xlfn.ISOWEEKNUM(INPUT!M4388),"")</f>
        <v>52</v>
      </c>
      <c r="D4393" s="20">
        <f>IFERROR(YEAR(INPUT!M4388),"")</f>
        <v>1900</v>
      </c>
      <c r="E4393" t="str">
        <f>IF(INPUT!O4388="","",INPUT!O4388)</f>
        <v/>
      </c>
      <c r="F4393" t="str">
        <f>IF(INPUT!N4388="","",INPUT!N4388)</f>
        <v/>
      </c>
      <c r="G4393" cm="1">
        <f t="array" ref="G4393">IFERROR(VLOOKUP(INPUT!M4388&amp;INPUT!N4388,CHOOSE({1,2},INPUT!$A$3:$A$5000&amp;INPUT!$C$3:$C$5000,INPUT!$F$3:$F$5000),2,FALSE),"")</f>
        <v>0</v>
      </c>
      <c r="H4393" cm="1">
        <f t="array" ref="H4393">IFERROR(VLOOKUP(INPUT!M4388&amp;INPUT!N4388,CHOOSE({1,2},INPUT!$A$3:$A$5000&amp;INPUT!$C$3:$C$5000,INPUT!$D$3:$D$5000),2,FALSE),"")</f>
        <v>0</v>
      </c>
      <c r="I4393" s="46" t="str">
        <f>IF(INPUT!P4388="","",INPUT!P4388)</f>
        <v/>
      </c>
      <c r="J4393" s="46" t="str">
        <f>IF(INPUT!Q4388="","",INPUT!Q4388)</f>
        <v/>
      </c>
      <c r="K4393" s="46" t="str">
        <f>IFERROR(IF(OR(INPUT!P4388="",INPUT!Q4388=""),"",INPUT!P4388-INPUT!Q4388),"")</f>
        <v/>
      </c>
      <c r="L4393" s="48" t="str">
        <f>IFERROR(IF(OR(INPUT!P4388="",INPUT!Q4388="",INPUT!P4388=0),"",(INPUT!P4388-INPUT!Q4388)/INPUT!P4388),"")</f>
        <v/>
      </c>
    </row>
    <row r="4394" spans="1:12" ht="18" hidden="1" customHeight="1" x14ac:dyDescent="0.2">
      <c r="A4394" s="11" t="str">
        <f>IF(INPUT!M4389="","",INPUT!M4389)</f>
        <v/>
      </c>
      <c r="B4394" s="11" t="str">
        <f>IF(INPUT!M4389="","",INPUT!M4389-WEEKDAY(INPUT!M4389,2)+1)</f>
        <v/>
      </c>
      <c r="C4394" s="20">
        <f>IFERROR(_xlfn.ISOWEEKNUM(INPUT!M4389),"")</f>
        <v>52</v>
      </c>
      <c r="D4394" s="20">
        <f>IFERROR(YEAR(INPUT!M4389),"")</f>
        <v>1900</v>
      </c>
      <c r="E4394" t="str">
        <f>IF(INPUT!O4389="","",INPUT!O4389)</f>
        <v/>
      </c>
      <c r="F4394" t="str">
        <f>IF(INPUT!N4389="","",INPUT!N4389)</f>
        <v/>
      </c>
      <c r="G4394" cm="1">
        <f t="array" ref="G4394">IFERROR(VLOOKUP(INPUT!M4389&amp;INPUT!N4389,CHOOSE({1,2},INPUT!$A$3:$A$5000&amp;INPUT!$C$3:$C$5000,INPUT!$F$3:$F$5000),2,FALSE),"")</f>
        <v>0</v>
      </c>
      <c r="H4394" cm="1">
        <f t="array" ref="H4394">IFERROR(VLOOKUP(INPUT!M4389&amp;INPUT!N4389,CHOOSE({1,2},INPUT!$A$3:$A$5000&amp;INPUT!$C$3:$C$5000,INPUT!$D$3:$D$5000),2,FALSE),"")</f>
        <v>0</v>
      </c>
      <c r="I4394" s="46" t="str">
        <f>IF(INPUT!P4389="","",INPUT!P4389)</f>
        <v/>
      </c>
      <c r="J4394" s="46" t="str">
        <f>IF(INPUT!Q4389="","",INPUT!Q4389)</f>
        <v/>
      </c>
      <c r="K4394" s="46" t="str">
        <f>IFERROR(IF(OR(INPUT!P4389="",INPUT!Q4389=""),"",INPUT!P4389-INPUT!Q4389),"")</f>
        <v/>
      </c>
      <c r="L4394" s="48" t="str">
        <f>IFERROR(IF(OR(INPUT!P4389="",INPUT!Q4389="",INPUT!P4389=0),"",(INPUT!P4389-INPUT!Q4389)/INPUT!P4389),"")</f>
        <v/>
      </c>
    </row>
    <row r="4395" spans="1:12" ht="18" hidden="1" customHeight="1" x14ac:dyDescent="0.2">
      <c r="A4395" s="11" t="str">
        <f>IF(INPUT!M4390="","",INPUT!M4390)</f>
        <v/>
      </c>
      <c r="B4395" s="11" t="str">
        <f>IF(INPUT!M4390="","",INPUT!M4390-WEEKDAY(INPUT!M4390,2)+1)</f>
        <v/>
      </c>
      <c r="C4395" s="20">
        <f>IFERROR(_xlfn.ISOWEEKNUM(INPUT!M4390),"")</f>
        <v>52</v>
      </c>
      <c r="D4395" s="20">
        <f>IFERROR(YEAR(INPUT!M4390),"")</f>
        <v>1900</v>
      </c>
      <c r="E4395" t="str">
        <f>IF(INPUT!O4390="","",INPUT!O4390)</f>
        <v/>
      </c>
      <c r="F4395" t="str">
        <f>IF(INPUT!N4390="","",INPUT!N4390)</f>
        <v/>
      </c>
      <c r="G4395" cm="1">
        <f t="array" ref="G4395">IFERROR(VLOOKUP(INPUT!M4390&amp;INPUT!N4390,CHOOSE({1,2},INPUT!$A$3:$A$5000&amp;INPUT!$C$3:$C$5000,INPUT!$F$3:$F$5000),2,FALSE),"")</f>
        <v>0</v>
      </c>
      <c r="H4395" cm="1">
        <f t="array" ref="H4395">IFERROR(VLOOKUP(INPUT!M4390&amp;INPUT!N4390,CHOOSE({1,2},INPUT!$A$3:$A$5000&amp;INPUT!$C$3:$C$5000,INPUT!$D$3:$D$5000),2,FALSE),"")</f>
        <v>0</v>
      </c>
      <c r="I4395" s="46" t="str">
        <f>IF(INPUT!P4390="","",INPUT!P4390)</f>
        <v/>
      </c>
      <c r="J4395" s="46" t="str">
        <f>IF(INPUT!Q4390="","",INPUT!Q4390)</f>
        <v/>
      </c>
      <c r="K4395" s="46" t="str">
        <f>IFERROR(IF(OR(INPUT!P4390="",INPUT!Q4390=""),"",INPUT!P4390-INPUT!Q4390),"")</f>
        <v/>
      </c>
      <c r="L4395" s="48" t="str">
        <f>IFERROR(IF(OR(INPUT!P4390="",INPUT!Q4390="",INPUT!P4390=0),"",(INPUT!P4390-INPUT!Q4390)/INPUT!P4390),"")</f>
        <v/>
      </c>
    </row>
    <row r="4396" spans="1:12" ht="18" hidden="1" customHeight="1" x14ac:dyDescent="0.2">
      <c r="A4396" s="11" t="str">
        <f>IF(INPUT!M4391="","",INPUT!M4391)</f>
        <v/>
      </c>
      <c r="B4396" s="11" t="str">
        <f>IF(INPUT!M4391="","",INPUT!M4391-WEEKDAY(INPUT!M4391,2)+1)</f>
        <v/>
      </c>
      <c r="C4396" s="20">
        <f>IFERROR(_xlfn.ISOWEEKNUM(INPUT!M4391),"")</f>
        <v>52</v>
      </c>
      <c r="D4396" s="20">
        <f>IFERROR(YEAR(INPUT!M4391),"")</f>
        <v>1900</v>
      </c>
      <c r="E4396" t="str">
        <f>IF(INPUT!O4391="","",INPUT!O4391)</f>
        <v/>
      </c>
      <c r="F4396" t="str">
        <f>IF(INPUT!N4391="","",INPUT!N4391)</f>
        <v/>
      </c>
      <c r="G4396" cm="1">
        <f t="array" ref="G4396">IFERROR(VLOOKUP(INPUT!M4391&amp;INPUT!N4391,CHOOSE({1,2},INPUT!$A$3:$A$5000&amp;INPUT!$C$3:$C$5000,INPUT!$F$3:$F$5000),2,FALSE),"")</f>
        <v>0</v>
      </c>
      <c r="H4396" cm="1">
        <f t="array" ref="H4396">IFERROR(VLOOKUP(INPUT!M4391&amp;INPUT!N4391,CHOOSE({1,2},INPUT!$A$3:$A$5000&amp;INPUT!$C$3:$C$5000,INPUT!$D$3:$D$5000),2,FALSE),"")</f>
        <v>0</v>
      </c>
      <c r="I4396" s="46" t="str">
        <f>IF(INPUT!P4391="","",INPUT!P4391)</f>
        <v/>
      </c>
      <c r="J4396" s="46" t="str">
        <f>IF(INPUT!Q4391="","",INPUT!Q4391)</f>
        <v/>
      </c>
      <c r="K4396" s="46" t="str">
        <f>IFERROR(IF(OR(INPUT!P4391="",INPUT!Q4391=""),"",INPUT!P4391-INPUT!Q4391),"")</f>
        <v/>
      </c>
      <c r="L4396" s="48" t="str">
        <f>IFERROR(IF(OR(INPUT!P4391="",INPUT!Q4391="",INPUT!P4391=0),"",(INPUT!P4391-INPUT!Q4391)/INPUT!P4391),"")</f>
        <v/>
      </c>
    </row>
    <row r="4397" spans="1:12" ht="18" hidden="1" customHeight="1" x14ac:dyDescent="0.2">
      <c r="A4397" s="11" t="str">
        <f>IF(INPUT!M4392="","",INPUT!M4392)</f>
        <v/>
      </c>
      <c r="B4397" s="11" t="str">
        <f>IF(INPUT!M4392="","",INPUT!M4392-WEEKDAY(INPUT!M4392,2)+1)</f>
        <v/>
      </c>
      <c r="C4397" s="20">
        <f>IFERROR(_xlfn.ISOWEEKNUM(INPUT!M4392),"")</f>
        <v>52</v>
      </c>
      <c r="D4397" s="20">
        <f>IFERROR(YEAR(INPUT!M4392),"")</f>
        <v>1900</v>
      </c>
      <c r="E4397" t="str">
        <f>IF(INPUT!O4392="","",INPUT!O4392)</f>
        <v/>
      </c>
      <c r="F4397" t="str">
        <f>IF(INPUT!N4392="","",INPUT!N4392)</f>
        <v/>
      </c>
      <c r="G4397" cm="1">
        <f t="array" ref="G4397">IFERROR(VLOOKUP(INPUT!M4392&amp;INPUT!N4392,CHOOSE({1,2},INPUT!$A$3:$A$5000&amp;INPUT!$C$3:$C$5000,INPUT!$F$3:$F$5000),2,FALSE),"")</f>
        <v>0</v>
      </c>
      <c r="H4397" cm="1">
        <f t="array" ref="H4397">IFERROR(VLOOKUP(INPUT!M4392&amp;INPUT!N4392,CHOOSE({1,2},INPUT!$A$3:$A$5000&amp;INPUT!$C$3:$C$5000,INPUT!$D$3:$D$5000),2,FALSE),"")</f>
        <v>0</v>
      </c>
      <c r="I4397" s="46" t="str">
        <f>IF(INPUT!P4392="","",INPUT!P4392)</f>
        <v/>
      </c>
      <c r="J4397" s="46" t="str">
        <f>IF(INPUT!Q4392="","",INPUT!Q4392)</f>
        <v/>
      </c>
      <c r="K4397" s="46" t="str">
        <f>IFERROR(IF(OR(INPUT!P4392="",INPUT!Q4392=""),"",INPUT!P4392-INPUT!Q4392),"")</f>
        <v/>
      </c>
      <c r="L4397" s="48" t="str">
        <f>IFERROR(IF(OR(INPUT!P4392="",INPUT!Q4392="",INPUT!P4392=0),"",(INPUT!P4392-INPUT!Q4392)/INPUT!P4392),"")</f>
        <v/>
      </c>
    </row>
    <row r="4398" spans="1:12" ht="18" hidden="1" customHeight="1" x14ac:dyDescent="0.2">
      <c r="A4398" s="11" t="str">
        <f>IF(INPUT!M4393="","",INPUT!M4393)</f>
        <v/>
      </c>
      <c r="B4398" s="11" t="str">
        <f>IF(INPUT!M4393="","",INPUT!M4393-WEEKDAY(INPUT!M4393,2)+1)</f>
        <v/>
      </c>
      <c r="C4398" s="20">
        <f>IFERROR(_xlfn.ISOWEEKNUM(INPUT!M4393),"")</f>
        <v>52</v>
      </c>
      <c r="D4398" s="20">
        <f>IFERROR(YEAR(INPUT!M4393),"")</f>
        <v>1900</v>
      </c>
      <c r="E4398" t="str">
        <f>IF(INPUT!O4393="","",INPUT!O4393)</f>
        <v/>
      </c>
      <c r="F4398" t="str">
        <f>IF(INPUT!N4393="","",INPUT!N4393)</f>
        <v/>
      </c>
      <c r="G4398" cm="1">
        <f t="array" ref="G4398">IFERROR(VLOOKUP(INPUT!M4393&amp;INPUT!N4393,CHOOSE({1,2},INPUT!$A$3:$A$5000&amp;INPUT!$C$3:$C$5000,INPUT!$F$3:$F$5000),2,FALSE),"")</f>
        <v>0</v>
      </c>
      <c r="H4398" cm="1">
        <f t="array" ref="H4398">IFERROR(VLOOKUP(INPUT!M4393&amp;INPUT!N4393,CHOOSE({1,2},INPUT!$A$3:$A$5000&amp;INPUT!$C$3:$C$5000,INPUT!$D$3:$D$5000),2,FALSE),"")</f>
        <v>0</v>
      </c>
      <c r="I4398" s="46" t="str">
        <f>IF(INPUT!P4393="","",INPUT!P4393)</f>
        <v/>
      </c>
      <c r="J4398" s="46" t="str">
        <f>IF(INPUT!Q4393="","",INPUT!Q4393)</f>
        <v/>
      </c>
      <c r="K4398" s="46" t="str">
        <f>IFERROR(IF(OR(INPUT!P4393="",INPUT!Q4393=""),"",INPUT!P4393-INPUT!Q4393),"")</f>
        <v/>
      </c>
      <c r="L4398" s="48" t="str">
        <f>IFERROR(IF(OR(INPUT!P4393="",INPUT!Q4393="",INPUT!P4393=0),"",(INPUT!P4393-INPUT!Q4393)/INPUT!P4393),"")</f>
        <v/>
      </c>
    </row>
    <row r="4399" spans="1:12" ht="18" hidden="1" customHeight="1" x14ac:dyDescent="0.2">
      <c r="A4399" s="11" t="str">
        <f>IF(INPUT!M4394="","",INPUT!M4394)</f>
        <v/>
      </c>
      <c r="B4399" s="11" t="str">
        <f>IF(INPUT!M4394="","",INPUT!M4394-WEEKDAY(INPUT!M4394,2)+1)</f>
        <v/>
      </c>
      <c r="C4399" s="20">
        <f>IFERROR(_xlfn.ISOWEEKNUM(INPUT!M4394),"")</f>
        <v>52</v>
      </c>
      <c r="D4399" s="20">
        <f>IFERROR(YEAR(INPUT!M4394),"")</f>
        <v>1900</v>
      </c>
      <c r="E4399" t="str">
        <f>IF(INPUT!O4394="","",INPUT!O4394)</f>
        <v/>
      </c>
      <c r="F4399" t="str">
        <f>IF(INPUT!N4394="","",INPUT!N4394)</f>
        <v/>
      </c>
      <c r="G4399" cm="1">
        <f t="array" ref="G4399">IFERROR(VLOOKUP(INPUT!M4394&amp;INPUT!N4394,CHOOSE({1,2},INPUT!$A$3:$A$5000&amp;INPUT!$C$3:$C$5000,INPUT!$F$3:$F$5000),2,FALSE),"")</f>
        <v>0</v>
      </c>
      <c r="H4399" cm="1">
        <f t="array" ref="H4399">IFERROR(VLOOKUP(INPUT!M4394&amp;INPUT!N4394,CHOOSE({1,2},INPUT!$A$3:$A$5000&amp;INPUT!$C$3:$C$5000,INPUT!$D$3:$D$5000),2,FALSE),"")</f>
        <v>0</v>
      </c>
      <c r="I4399" s="46" t="str">
        <f>IF(INPUT!P4394="","",INPUT!P4394)</f>
        <v/>
      </c>
      <c r="J4399" s="46" t="str">
        <f>IF(INPUT!Q4394="","",INPUT!Q4394)</f>
        <v/>
      </c>
      <c r="K4399" s="46" t="str">
        <f>IFERROR(IF(OR(INPUT!P4394="",INPUT!Q4394=""),"",INPUT!P4394-INPUT!Q4394),"")</f>
        <v/>
      </c>
      <c r="L4399" s="48" t="str">
        <f>IFERROR(IF(OR(INPUT!P4394="",INPUT!Q4394="",INPUT!P4394=0),"",(INPUT!P4394-INPUT!Q4394)/INPUT!P4394),"")</f>
        <v/>
      </c>
    </row>
    <row r="4400" spans="1:12" ht="18" hidden="1" customHeight="1" x14ac:dyDescent="0.2">
      <c r="A4400" s="11" t="str">
        <f>IF(INPUT!M4395="","",INPUT!M4395)</f>
        <v/>
      </c>
      <c r="B4400" s="11" t="str">
        <f>IF(INPUT!M4395="","",INPUT!M4395-WEEKDAY(INPUT!M4395,2)+1)</f>
        <v/>
      </c>
      <c r="C4400" s="20">
        <f>IFERROR(_xlfn.ISOWEEKNUM(INPUT!M4395),"")</f>
        <v>52</v>
      </c>
      <c r="D4400" s="20">
        <f>IFERROR(YEAR(INPUT!M4395),"")</f>
        <v>1900</v>
      </c>
      <c r="E4400" t="str">
        <f>IF(INPUT!O4395="","",INPUT!O4395)</f>
        <v/>
      </c>
      <c r="F4400" t="str">
        <f>IF(INPUT!N4395="","",INPUT!N4395)</f>
        <v/>
      </c>
      <c r="G4400" cm="1">
        <f t="array" ref="G4400">IFERROR(VLOOKUP(INPUT!M4395&amp;INPUT!N4395,CHOOSE({1,2},INPUT!$A$3:$A$5000&amp;INPUT!$C$3:$C$5000,INPUT!$F$3:$F$5000),2,FALSE),"")</f>
        <v>0</v>
      </c>
      <c r="H4400" cm="1">
        <f t="array" ref="H4400">IFERROR(VLOOKUP(INPUT!M4395&amp;INPUT!N4395,CHOOSE({1,2},INPUT!$A$3:$A$5000&amp;INPUT!$C$3:$C$5000,INPUT!$D$3:$D$5000),2,FALSE),"")</f>
        <v>0</v>
      </c>
      <c r="I4400" s="46" t="str">
        <f>IF(INPUT!P4395="","",INPUT!P4395)</f>
        <v/>
      </c>
      <c r="J4400" s="46" t="str">
        <f>IF(INPUT!Q4395="","",INPUT!Q4395)</f>
        <v/>
      </c>
      <c r="K4400" s="46" t="str">
        <f>IFERROR(IF(OR(INPUT!P4395="",INPUT!Q4395=""),"",INPUT!P4395-INPUT!Q4395),"")</f>
        <v/>
      </c>
      <c r="L4400" s="48" t="str">
        <f>IFERROR(IF(OR(INPUT!P4395="",INPUT!Q4395="",INPUT!P4395=0),"",(INPUT!P4395-INPUT!Q4395)/INPUT!P4395),"")</f>
        <v/>
      </c>
    </row>
    <row r="4401" spans="1:12" ht="18" hidden="1" customHeight="1" x14ac:dyDescent="0.2">
      <c r="A4401" s="11" t="str">
        <f>IF(INPUT!M4396="","",INPUT!M4396)</f>
        <v/>
      </c>
      <c r="B4401" s="11" t="str">
        <f>IF(INPUT!M4396="","",INPUT!M4396-WEEKDAY(INPUT!M4396,2)+1)</f>
        <v/>
      </c>
      <c r="C4401" s="20">
        <f>IFERROR(_xlfn.ISOWEEKNUM(INPUT!M4396),"")</f>
        <v>52</v>
      </c>
      <c r="D4401" s="20">
        <f>IFERROR(YEAR(INPUT!M4396),"")</f>
        <v>1900</v>
      </c>
      <c r="E4401" t="str">
        <f>IF(INPUT!O4396="","",INPUT!O4396)</f>
        <v/>
      </c>
      <c r="F4401" t="str">
        <f>IF(INPUT!N4396="","",INPUT!N4396)</f>
        <v/>
      </c>
      <c r="G4401" cm="1">
        <f t="array" ref="G4401">IFERROR(VLOOKUP(INPUT!M4396&amp;INPUT!N4396,CHOOSE({1,2},INPUT!$A$3:$A$5000&amp;INPUT!$C$3:$C$5000,INPUT!$F$3:$F$5000),2,FALSE),"")</f>
        <v>0</v>
      </c>
      <c r="H4401" cm="1">
        <f t="array" ref="H4401">IFERROR(VLOOKUP(INPUT!M4396&amp;INPUT!N4396,CHOOSE({1,2},INPUT!$A$3:$A$5000&amp;INPUT!$C$3:$C$5000,INPUT!$D$3:$D$5000),2,FALSE),"")</f>
        <v>0</v>
      </c>
      <c r="I4401" s="46" t="str">
        <f>IF(INPUT!P4396="","",INPUT!P4396)</f>
        <v/>
      </c>
      <c r="J4401" s="46" t="str">
        <f>IF(INPUT!Q4396="","",INPUT!Q4396)</f>
        <v/>
      </c>
      <c r="K4401" s="46" t="str">
        <f>IFERROR(IF(OR(INPUT!P4396="",INPUT!Q4396=""),"",INPUT!P4396-INPUT!Q4396),"")</f>
        <v/>
      </c>
      <c r="L4401" s="48" t="str">
        <f>IFERROR(IF(OR(INPUT!P4396="",INPUT!Q4396="",INPUT!P4396=0),"",(INPUT!P4396-INPUT!Q4396)/INPUT!P4396),"")</f>
        <v/>
      </c>
    </row>
    <row r="4402" spans="1:12" ht="18" hidden="1" customHeight="1" x14ac:dyDescent="0.2">
      <c r="A4402" s="11" t="str">
        <f>IF(INPUT!M4397="","",INPUT!M4397)</f>
        <v/>
      </c>
      <c r="B4402" s="11" t="str">
        <f>IF(INPUT!M4397="","",INPUT!M4397-WEEKDAY(INPUT!M4397,2)+1)</f>
        <v/>
      </c>
      <c r="C4402" s="20">
        <f>IFERROR(_xlfn.ISOWEEKNUM(INPUT!M4397),"")</f>
        <v>52</v>
      </c>
      <c r="D4402" s="20">
        <f>IFERROR(YEAR(INPUT!M4397),"")</f>
        <v>1900</v>
      </c>
      <c r="E4402" t="str">
        <f>IF(INPUT!O4397="","",INPUT!O4397)</f>
        <v/>
      </c>
      <c r="F4402" t="str">
        <f>IF(INPUT!N4397="","",INPUT!N4397)</f>
        <v/>
      </c>
      <c r="G4402" cm="1">
        <f t="array" ref="G4402">IFERROR(VLOOKUP(INPUT!M4397&amp;INPUT!N4397,CHOOSE({1,2},INPUT!$A$3:$A$5000&amp;INPUT!$C$3:$C$5000,INPUT!$F$3:$F$5000),2,FALSE),"")</f>
        <v>0</v>
      </c>
      <c r="H4402" cm="1">
        <f t="array" ref="H4402">IFERROR(VLOOKUP(INPUT!M4397&amp;INPUT!N4397,CHOOSE({1,2},INPUT!$A$3:$A$5000&amp;INPUT!$C$3:$C$5000,INPUT!$D$3:$D$5000),2,FALSE),"")</f>
        <v>0</v>
      </c>
      <c r="I4402" s="46" t="str">
        <f>IF(INPUT!P4397="","",INPUT!P4397)</f>
        <v/>
      </c>
      <c r="J4402" s="46" t="str">
        <f>IF(INPUT!Q4397="","",INPUT!Q4397)</f>
        <v/>
      </c>
      <c r="K4402" s="46" t="str">
        <f>IFERROR(IF(OR(INPUT!P4397="",INPUT!Q4397=""),"",INPUT!P4397-INPUT!Q4397),"")</f>
        <v/>
      </c>
      <c r="L4402" s="48" t="str">
        <f>IFERROR(IF(OR(INPUT!P4397="",INPUT!Q4397="",INPUT!P4397=0),"",(INPUT!P4397-INPUT!Q4397)/INPUT!P4397),"")</f>
        <v/>
      </c>
    </row>
    <row r="4403" spans="1:12" ht="18" hidden="1" customHeight="1" x14ac:dyDescent="0.2">
      <c r="A4403" s="11" t="str">
        <f>IF(INPUT!M4398="","",INPUT!M4398)</f>
        <v/>
      </c>
      <c r="B4403" s="11" t="str">
        <f>IF(INPUT!M4398="","",INPUT!M4398-WEEKDAY(INPUT!M4398,2)+1)</f>
        <v/>
      </c>
      <c r="C4403" s="20">
        <f>IFERROR(_xlfn.ISOWEEKNUM(INPUT!M4398),"")</f>
        <v>52</v>
      </c>
      <c r="D4403" s="20">
        <f>IFERROR(YEAR(INPUT!M4398),"")</f>
        <v>1900</v>
      </c>
      <c r="E4403" t="str">
        <f>IF(INPUT!O4398="","",INPUT!O4398)</f>
        <v/>
      </c>
      <c r="F4403" t="str">
        <f>IF(INPUT!N4398="","",INPUT!N4398)</f>
        <v/>
      </c>
      <c r="G4403" cm="1">
        <f t="array" ref="G4403">IFERROR(VLOOKUP(INPUT!M4398&amp;INPUT!N4398,CHOOSE({1,2},INPUT!$A$3:$A$5000&amp;INPUT!$C$3:$C$5000,INPUT!$F$3:$F$5000),2,FALSE),"")</f>
        <v>0</v>
      </c>
      <c r="H4403" cm="1">
        <f t="array" ref="H4403">IFERROR(VLOOKUP(INPUT!M4398&amp;INPUT!N4398,CHOOSE({1,2},INPUT!$A$3:$A$5000&amp;INPUT!$C$3:$C$5000,INPUT!$D$3:$D$5000),2,FALSE),"")</f>
        <v>0</v>
      </c>
      <c r="I4403" s="46" t="str">
        <f>IF(INPUT!P4398="","",INPUT!P4398)</f>
        <v/>
      </c>
      <c r="J4403" s="46" t="str">
        <f>IF(INPUT!Q4398="","",INPUT!Q4398)</f>
        <v/>
      </c>
      <c r="K4403" s="46" t="str">
        <f>IFERROR(IF(OR(INPUT!P4398="",INPUT!Q4398=""),"",INPUT!P4398-INPUT!Q4398),"")</f>
        <v/>
      </c>
      <c r="L4403" s="48" t="str">
        <f>IFERROR(IF(OR(INPUT!P4398="",INPUT!Q4398="",INPUT!P4398=0),"",(INPUT!P4398-INPUT!Q4398)/INPUT!P4398),"")</f>
        <v/>
      </c>
    </row>
    <row r="4404" spans="1:12" ht="18" hidden="1" customHeight="1" x14ac:dyDescent="0.2">
      <c r="A4404" s="11" t="str">
        <f>IF(INPUT!M4399="","",INPUT!M4399)</f>
        <v/>
      </c>
      <c r="B4404" s="11" t="str">
        <f>IF(INPUT!M4399="","",INPUT!M4399-WEEKDAY(INPUT!M4399,2)+1)</f>
        <v/>
      </c>
      <c r="C4404" s="20">
        <f>IFERROR(_xlfn.ISOWEEKNUM(INPUT!M4399),"")</f>
        <v>52</v>
      </c>
      <c r="D4404" s="20">
        <f>IFERROR(YEAR(INPUT!M4399),"")</f>
        <v>1900</v>
      </c>
      <c r="E4404" t="str">
        <f>IF(INPUT!O4399="","",INPUT!O4399)</f>
        <v/>
      </c>
      <c r="F4404" t="str">
        <f>IF(INPUT!N4399="","",INPUT!N4399)</f>
        <v/>
      </c>
      <c r="G4404" cm="1">
        <f t="array" ref="G4404">IFERROR(VLOOKUP(INPUT!M4399&amp;INPUT!N4399,CHOOSE({1,2},INPUT!$A$3:$A$5000&amp;INPUT!$C$3:$C$5000,INPUT!$F$3:$F$5000),2,FALSE),"")</f>
        <v>0</v>
      </c>
      <c r="H4404" cm="1">
        <f t="array" ref="H4404">IFERROR(VLOOKUP(INPUT!M4399&amp;INPUT!N4399,CHOOSE({1,2},INPUT!$A$3:$A$5000&amp;INPUT!$C$3:$C$5000,INPUT!$D$3:$D$5000),2,FALSE),"")</f>
        <v>0</v>
      </c>
      <c r="I4404" s="46" t="str">
        <f>IF(INPUT!P4399="","",INPUT!P4399)</f>
        <v/>
      </c>
      <c r="J4404" s="46" t="str">
        <f>IF(INPUT!Q4399="","",INPUT!Q4399)</f>
        <v/>
      </c>
      <c r="K4404" s="46" t="str">
        <f>IFERROR(IF(OR(INPUT!P4399="",INPUT!Q4399=""),"",INPUT!P4399-INPUT!Q4399),"")</f>
        <v/>
      </c>
      <c r="L4404" s="48" t="str">
        <f>IFERROR(IF(OR(INPUT!P4399="",INPUT!Q4399="",INPUT!P4399=0),"",(INPUT!P4399-INPUT!Q4399)/INPUT!P4399),"")</f>
        <v/>
      </c>
    </row>
    <row r="4405" spans="1:12" ht="18" hidden="1" customHeight="1" x14ac:dyDescent="0.2">
      <c r="A4405" s="11" t="str">
        <f>IF(INPUT!M4400="","",INPUT!M4400)</f>
        <v/>
      </c>
      <c r="B4405" s="11" t="str">
        <f>IF(INPUT!M4400="","",INPUT!M4400-WEEKDAY(INPUT!M4400,2)+1)</f>
        <v/>
      </c>
      <c r="C4405" s="20">
        <f>IFERROR(_xlfn.ISOWEEKNUM(INPUT!M4400),"")</f>
        <v>52</v>
      </c>
      <c r="D4405" s="20">
        <f>IFERROR(YEAR(INPUT!M4400),"")</f>
        <v>1900</v>
      </c>
      <c r="E4405" t="str">
        <f>IF(INPUT!O4400="","",INPUT!O4400)</f>
        <v/>
      </c>
      <c r="F4405" t="str">
        <f>IF(INPUT!N4400="","",INPUT!N4400)</f>
        <v/>
      </c>
      <c r="G4405" cm="1">
        <f t="array" ref="G4405">IFERROR(VLOOKUP(INPUT!M4400&amp;INPUT!N4400,CHOOSE({1,2},INPUT!$A$3:$A$5000&amp;INPUT!$C$3:$C$5000,INPUT!$F$3:$F$5000),2,FALSE),"")</f>
        <v>0</v>
      </c>
      <c r="H4405" cm="1">
        <f t="array" ref="H4405">IFERROR(VLOOKUP(INPUT!M4400&amp;INPUT!N4400,CHOOSE({1,2},INPUT!$A$3:$A$5000&amp;INPUT!$C$3:$C$5000,INPUT!$D$3:$D$5000),2,FALSE),"")</f>
        <v>0</v>
      </c>
      <c r="I4405" s="46" t="str">
        <f>IF(INPUT!P4400="","",INPUT!P4400)</f>
        <v/>
      </c>
      <c r="J4405" s="46" t="str">
        <f>IF(INPUT!Q4400="","",INPUT!Q4400)</f>
        <v/>
      </c>
      <c r="K4405" s="46" t="str">
        <f>IFERROR(IF(OR(INPUT!P4400="",INPUT!Q4400=""),"",INPUT!P4400-INPUT!Q4400),"")</f>
        <v/>
      </c>
      <c r="L4405" s="48" t="str">
        <f>IFERROR(IF(OR(INPUT!P4400="",INPUT!Q4400="",INPUT!P4400=0),"",(INPUT!P4400-INPUT!Q4400)/INPUT!P4400),"")</f>
        <v/>
      </c>
    </row>
    <row r="4406" spans="1:12" ht="18" hidden="1" customHeight="1" x14ac:dyDescent="0.2">
      <c r="A4406" s="11" t="str">
        <f>IF(INPUT!M4401="","",INPUT!M4401)</f>
        <v/>
      </c>
      <c r="B4406" s="11" t="str">
        <f>IF(INPUT!M4401="","",INPUT!M4401-WEEKDAY(INPUT!M4401,2)+1)</f>
        <v/>
      </c>
      <c r="C4406" s="20">
        <f>IFERROR(_xlfn.ISOWEEKNUM(INPUT!M4401),"")</f>
        <v>52</v>
      </c>
      <c r="D4406" s="20">
        <f>IFERROR(YEAR(INPUT!M4401),"")</f>
        <v>1900</v>
      </c>
      <c r="E4406" t="str">
        <f>IF(INPUT!O4401="","",INPUT!O4401)</f>
        <v/>
      </c>
      <c r="F4406" t="str">
        <f>IF(INPUT!N4401="","",INPUT!N4401)</f>
        <v/>
      </c>
      <c r="G4406" cm="1">
        <f t="array" ref="G4406">IFERROR(VLOOKUP(INPUT!M4401&amp;INPUT!N4401,CHOOSE({1,2},INPUT!$A$3:$A$5000&amp;INPUT!$C$3:$C$5000,INPUT!$F$3:$F$5000),2,FALSE),"")</f>
        <v>0</v>
      </c>
      <c r="H4406" cm="1">
        <f t="array" ref="H4406">IFERROR(VLOOKUP(INPUT!M4401&amp;INPUT!N4401,CHOOSE({1,2},INPUT!$A$3:$A$5000&amp;INPUT!$C$3:$C$5000,INPUT!$D$3:$D$5000),2,FALSE),"")</f>
        <v>0</v>
      </c>
      <c r="I4406" s="46" t="str">
        <f>IF(INPUT!P4401="","",INPUT!P4401)</f>
        <v/>
      </c>
      <c r="J4406" s="46" t="str">
        <f>IF(INPUT!Q4401="","",INPUT!Q4401)</f>
        <v/>
      </c>
      <c r="K4406" s="46" t="str">
        <f>IFERROR(IF(OR(INPUT!P4401="",INPUT!Q4401=""),"",INPUT!P4401-INPUT!Q4401),"")</f>
        <v/>
      </c>
      <c r="L4406" s="48" t="str">
        <f>IFERROR(IF(OR(INPUT!P4401="",INPUT!Q4401="",INPUT!P4401=0),"",(INPUT!P4401-INPUT!Q4401)/INPUT!P4401),"")</f>
        <v/>
      </c>
    </row>
    <row r="4407" spans="1:12" ht="18" hidden="1" customHeight="1" x14ac:dyDescent="0.2">
      <c r="A4407" s="11" t="str">
        <f>IF(INPUT!M4402="","",INPUT!M4402)</f>
        <v/>
      </c>
      <c r="B4407" s="11" t="str">
        <f>IF(INPUT!M4402="","",INPUT!M4402-WEEKDAY(INPUT!M4402,2)+1)</f>
        <v/>
      </c>
      <c r="C4407" s="20">
        <f>IFERROR(_xlfn.ISOWEEKNUM(INPUT!M4402),"")</f>
        <v>52</v>
      </c>
      <c r="D4407" s="20">
        <f>IFERROR(YEAR(INPUT!M4402),"")</f>
        <v>1900</v>
      </c>
      <c r="E4407" t="str">
        <f>IF(INPUT!O4402="","",INPUT!O4402)</f>
        <v/>
      </c>
      <c r="F4407" t="str">
        <f>IF(INPUT!N4402="","",INPUT!N4402)</f>
        <v/>
      </c>
      <c r="G4407" cm="1">
        <f t="array" ref="G4407">IFERROR(VLOOKUP(INPUT!M4402&amp;INPUT!N4402,CHOOSE({1,2},INPUT!$A$3:$A$5000&amp;INPUT!$C$3:$C$5000,INPUT!$F$3:$F$5000),2,FALSE),"")</f>
        <v>0</v>
      </c>
      <c r="H4407" cm="1">
        <f t="array" ref="H4407">IFERROR(VLOOKUP(INPUT!M4402&amp;INPUT!N4402,CHOOSE({1,2},INPUT!$A$3:$A$5000&amp;INPUT!$C$3:$C$5000,INPUT!$D$3:$D$5000),2,FALSE),"")</f>
        <v>0</v>
      </c>
      <c r="I4407" s="46" t="str">
        <f>IF(INPUT!P4402="","",INPUT!P4402)</f>
        <v/>
      </c>
      <c r="J4407" s="46" t="str">
        <f>IF(INPUT!Q4402="","",INPUT!Q4402)</f>
        <v/>
      </c>
      <c r="K4407" s="46" t="str">
        <f>IFERROR(IF(OR(INPUT!P4402="",INPUT!Q4402=""),"",INPUT!P4402-INPUT!Q4402),"")</f>
        <v/>
      </c>
      <c r="L4407" s="48" t="str">
        <f>IFERROR(IF(OR(INPUT!P4402="",INPUT!Q4402="",INPUT!P4402=0),"",(INPUT!P4402-INPUT!Q4402)/INPUT!P4402),"")</f>
        <v/>
      </c>
    </row>
    <row r="4408" spans="1:12" ht="18" hidden="1" customHeight="1" x14ac:dyDescent="0.2">
      <c r="A4408" s="11" t="str">
        <f>IF(INPUT!M4403="","",INPUT!M4403)</f>
        <v/>
      </c>
      <c r="B4408" s="11" t="str">
        <f>IF(INPUT!M4403="","",INPUT!M4403-WEEKDAY(INPUT!M4403,2)+1)</f>
        <v/>
      </c>
      <c r="C4408" s="20">
        <f>IFERROR(_xlfn.ISOWEEKNUM(INPUT!M4403),"")</f>
        <v>52</v>
      </c>
      <c r="D4408" s="20">
        <f>IFERROR(YEAR(INPUT!M4403),"")</f>
        <v>1900</v>
      </c>
      <c r="E4408" t="str">
        <f>IF(INPUT!O4403="","",INPUT!O4403)</f>
        <v/>
      </c>
      <c r="F4408" t="str">
        <f>IF(INPUT!N4403="","",INPUT!N4403)</f>
        <v/>
      </c>
      <c r="G4408" cm="1">
        <f t="array" ref="G4408">IFERROR(VLOOKUP(INPUT!M4403&amp;INPUT!N4403,CHOOSE({1,2},INPUT!$A$3:$A$5000&amp;INPUT!$C$3:$C$5000,INPUT!$F$3:$F$5000),2,FALSE),"")</f>
        <v>0</v>
      </c>
      <c r="H4408" cm="1">
        <f t="array" ref="H4408">IFERROR(VLOOKUP(INPUT!M4403&amp;INPUT!N4403,CHOOSE({1,2},INPUT!$A$3:$A$5000&amp;INPUT!$C$3:$C$5000,INPUT!$D$3:$D$5000),2,FALSE),"")</f>
        <v>0</v>
      </c>
      <c r="I4408" s="46" t="str">
        <f>IF(INPUT!P4403="","",INPUT!P4403)</f>
        <v/>
      </c>
      <c r="J4408" s="46" t="str">
        <f>IF(INPUT!Q4403="","",INPUT!Q4403)</f>
        <v/>
      </c>
      <c r="K4408" s="46" t="str">
        <f>IFERROR(IF(OR(INPUT!P4403="",INPUT!Q4403=""),"",INPUT!P4403-INPUT!Q4403),"")</f>
        <v/>
      </c>
      <c r="L4408" s="48" t="str">
        <f>IFERROR(IF(OR(INPUT!P4403="",INPUT!Q4403="",INPUT!P4403=0),"",(INPUT!P4403-INPUT!Q4403)/INPUT!P4403),"")</f>
        <v/>
      </c>
    </row>
    <row r="4409" spans="1:12" ht="18" hidden="1" customHeight="1" x14ac:dyDescent="0.2">
      <c r="A4409" s="11" t="str">
        <f>IF(INPUT!M4404="","",INPUT!M4404)</f>
        <v/>
      </c>
      <c r="B4409" s="11" t="str">
        <f>IF(INPUT!M4404="","",INPUT!M4404-WEEKDAY(INPUT!M4404,2)+1)</f>
        <v/>
      </c>
      <c r="C4409" s="20">
        <f>IFERROR(_xlfn.ISOWEEKNUM(INPUT!M4404),"")</f>
        <v>52</v>
      </c>
      <c r="D4409" s="20">
        <f>IFERROR(YEAR(INPUT!M4404),"")</f>
        <v>1900</v>
      </c>
      <c r="E4409" t="str">
        <f>IF(INPUT!O4404="","",INPUT!O4404)</f>
        <v/>
      </c>
      <c r="F4409" t="str">
        <f>IF(INPUT!N4404="","",INPUT!N4404)</f>
        <v/>
      </c>
      <c r="G4409" cm="1">
        <f t="array" ref="G4409">IFERROR(VLOOKUP(INPUT!M4404&amp;INPUT!N4404,CHOOSE({1,2},INPUT!$A$3:$A$5000&amp;INPUT!$C$3:$C$5000,INPUT!$F$3:$F$5000),2,FALSE),"")</f>
        <v>0</v>
      </c>
      <c r="H4409" cm="1">
        <f t="array" ref="H4409">IFERROR(VLOOKUP(INPUT!M4404&amp;INPUT!N4404,CHOOSE({1,2},INPUT!$A$3:$A$5000&amp;INPUT!$C$3:$C$5000,INPUT!$D$3:$D$5000),2,FALSE),"")</f>
        <v>0</v>
      </c>
      <c r="I4409" s="46" t="str">
        <f>IF(INPUT!P4404="","",INPUT!P4404)</f>
        <v/>
      </c>
      <c r="J4409" s="46" t="str">
        <f>IF(INPUT!Q4404="","",INPUT!Q4404)</f>
        <v/>
      </c>
      <c r="K4409" s="46" t="str">
        <f>IFERROR(IF(OR(INPUT!P4404="",INPUT!Q4404=""),"",INPUT!P4404-INPUT!Q4404),"")</f>
        <v/>
      </c>
      <c r="L4409" s="48" t="str">
        <f>IFERROR(IF(OR(INPUT!P4404="",INPUT!Q4404="",INPUT!P4404=0),"",(INPUT!P4404-INPUT!Q4404)/INPUT!P4404),"")</f>
        <v/>
      </c>
    </row>
    <row r="4410" spans="1:12" ht="18" hidden="1" customHeight="1" x14ac:dyDescent="0.2">
      <c r="A4410" s="11" t="str">
        <f>IF(INPUT!M4405="","",INPUT!M4405)</f>
        <v/>
      </c>
      <c r="B4410" s="11" t="str">
        <f>IF(INPUT!M4405="","",INPUT!M4405-WEEKDAY(INPUT!M4405,2)+1)</f>
        <v/>
      </c>
      <c r="C4410" s="20">
        <f>IFERROR(_xlfn.ISOWEEKNUM(INPUT!M4405),"")</f>
        <v>52</v>
      </c>
      <c r="D4410" s="20">
        <f>IFERROR(YEAR(INPUT!M4405),"")</f>
        <v>1900</v>
      </c>
      <c r="E4410" t="str">
        <f>IF(INPUT!O4405="","",INPUT!O4405)</f>
        <v/>
      </c>
      <c r="F4410" t="str">
        <f>IF(INPUT!N4405="","",INPUT!N4405)</f>
        <v/>
      </c>
      <c r="G4410" cm="1">
        <f t="array" ref="G4410">IFERROR(VLOOKUP(INPUT!M4405&amp;INPUT!N4405,CHOOSE({1,2},INPUT!$A$3:$A$5000&amp;INPUT!$C$3:$C$5000,INPUT!$F$3:$F$5000),2,FALSE),"")</f>
        <v>0</v>
      </c>
      <c r="H4410" cm="1">
        <f t="array" ref="H4410">IFERROR(VLOOKUP(INPUT!M4405&amp;INPUT!N4405,CHOOSE({1,2},INPUT!$A$3:$A$5000&amp;INPUT!$C$3:$C$5000,INPUT!$D$3:$D$5000),2,FALSE),"")</f>
        <v>0</v>
      </c>
      <c r="I4410" s="46" t="str">
        <f>IF(INPUT!P4405="","",INPUT!P4405)</f>
        <v/>
      </c>
      <c r="J4410" s="46" t="str">
        <f>IF(INPUT!Q4405="","",INPUT!Q4405)</f>
        <v/>
      </c>
      <c r="K4410" s="46" t="str">
        <f>IFERROR(IF(OR(INPUT!P4405="",INPUT!Q4405=""),"",INPUT!P4405-INPUT!Q4405),"")</f>
        <v/>
      </c>
      <c r="L4410" s="48" t="str">
        <f>IFERROR(IF(OR(INPUT!P4405="",INPUT!Q4405="",INPUT!P4405=0),"",(INPUT!P4405-INPUT!Q4405)/INPUT!P4405),"")</f>
        <v/>
      </c>
    </row>
    <row r="4411" spans="1:12" ht="18" hidden="1" customHeight="1" x14ac:dyDescent="0.2">
      <c r="A4411" s="11" t="str">
        <f>IF(INPUT!M4406="","",INPUT!M4406)</f>
        <v/>
      </c>
      <c r="B4411" s="11" t="str">
        <f>IF(INPUT!M4406="","",INPUT!M4406-WEEKDAY(INPUT!M4406,2)+1)</f>
        <v/>
      </c>
      <c r="C4411" s="20">
        <f>IFERROR(_xlfn.ISOWEEKNUM(INPUT!M4406),"")</f>
        <v>52</v>
      </c>
      <c r="D4411" s="20">
        <f>IFERROR(YEAR(INPUT!M4406),"")</f>
        <v>1900</v>
      </c>
      <c r="E4411" t="str">
        <f>IF(INPUT!O4406="","",INPUT!O4406)</f>
        <v/>
      </c>
      <c r="F4411" t="str">
        <f>IF(INPUT!N4406="","",INPUT!N4406)</f>
        <v/>
      </c>
      <c r="G4411" cm="1">
        <f t="array" ref="G4411">IFERROR(VLOOKUP(INPUT!M4406&amp;INPUT!N4406,CHOOSE({1,2},INPUT!$A$3:$A$5000&amp;INPUT!$C$3:$C$5000,INPUT!$F$3:$F$5000),2,FALSE),"")</f>
        <v>0</v>
      </c>
      <c r="H4411" cm="1">
        <f t="array" ref="H4411">IFERROR(VLOOKUP(INPUT!M4406&amp;INPUT!N4406,CHOOSE({1,2},INPUT!$A$3:$A$5000&amp;INPUT!$C$3:$C$5000,INPUT!$D$3:$D$5000),2,FALSE),"")</f>
        <v>0</v>
      </c>
      <c r="I4411" s="46" t="str">
        <f>IF(INPUT!P4406="","",INPUT!P4406)</f>
        <v/>
      </c>
      <c r="J4411" s="46" t="str">
        <f>IF(INPUT!Q4406="","",INPUT!Q4406)</f>
        <v/>
      </c>
      <c r="K4411" s="46" t="str">
        <f>IFERROR(IF(OR(INPUT!P4406="",INPUT!Q4406=""),"",INPUT!P4406-INPUT!Q4406),"")</f>
        <v/>
      </c>
      <c r="L4411" s="48" t="str">
        <f>IFERROR(IF(OR(INPUT!P4406="",INPUT!Q4406="",INPUT!P4406=0),"",(INPUT!P4406-INPUT!Q4406)/INPUT!P4406),"")</f>
        <v/>
      </c>
    </row>
    <row r="4412" spans="1:12" ht="18" hidden="1" customHeight="1" x14ac:dyDescent="0.2">
      <c r="A4412" s="11" t="str">
        <f>IF(INPUT!M4407="","",INPUT!M4407)</f>
        <v/>
      </c>
      <c r="B4412" s="11" t="str">
        <f>IF(INPUT!M4407="","",INPUT!M4407-WEEKDAY(INPUT!M4407,2)+1)</f>
        <v/>
      </c>
      <c r="C4412" s="20">
        <f>IFERROR(_xlfn.ISOWEEKNUM(INPUT!M4407),"")</f>
        <v>52</v>
      </c>
      <c r="D4412" s="20">
        <f>IFERROR(YEAR(INPUT!M4407),"")</f>
        <v>1900</v>
      </c>
      <c r="E4412" t="str">
        <f>IF(INPUT!O4407="","",INPUT!O4407)</f>
        <v/>
      </c>
      <c r="F4412" t="str">
        <f>IF(INPUT!N4407="","",INPUT!N4407)</f>
        <v/>
      </c>
      <c r="G4412" cm="1">
        <f t="array" ref="G4412">IFERROR(VLOOKUP(INPUT!M4407&amp;INPUT!N4407,CHOOSE({1,2},INPUT!$A$3:$A$5000&amp;INPUT!$C$3:$C$5000,INPUT!$F$3:$F$5000),2,FALSE),"")</f>
        <v>0</v>
      </c>
      <c r="H4412" cm="1">
        <f t="array" ref="H4412">IFERROR(VLOOKUP(INPUT!M4407&amp;INPUT!N4407,CHOOSE({1,2},INPUT!$A$3:$A$5000&amp;INPUT!$C$3:$C$5000,INPUT!$D$3:$D$5000),2,FALSE),"")</f>
        <v>0</v>
      </c>
      <c r="I4412" s="46" t="str">
        <f>IF(INPUT!P4407="","",INPUT!P4407)</f>
        <v/>
      </c>
      <c r="J4412" s="46" t="str">
        <f>IF(INPUT!Q4407="","",INPUT!Q4407)</f>
        <v/>
      </c>
      <c r="K4412" s="46" t="str">
        <f>IFERROR(IF(OR(INPUT!P4407="",INPUT!Q4407=""),"",INPUT!P4407-INPUT!Q4407),"")</f>
        <v/>
      </c>
      <c r="L4412" s="48" t="str">
        <f>IFERROR(IF(OR(INPUT!P4407="",INPUT!Q4407="",INPUT!P4407=0),"",(INPUT!P4407-INPUT!Q4407)/INPUT!P4407),"")</f>
        <v/>
      </c>
    </row>
    <row r="4413" spans="1:12" ht="18" hidden="1" customHeight="1" x14ac:dyDescent="0.2">
      <c r="A4413" s="11" t="str">
        <f>IF(INPUT!M4408="","",INPUT!M4408)</f>
        <v/>
      </c>
      <c r="B4413" s="11" t="str">
        <f>IF(INPUT!M4408="","",INPUT!M4408-WEEKDAY(INPUT!M4408,2)+1)</f>
        <v/>
      </c>
      <c r="C4413" s="20">
        <f>IFERROR(_xlfn.ISOWEEKNUM(INPUT!M4408),"")</f>
        <v>52</v>
      </c>
      <c r="D4413" s="20">
        <f>IFERROR(YEAR(INPUT!M4408),"")</f>
        <v>1900</v>
      </c>
      <c r="E4413" t="str">
        <f>IF(INPUT!O4408="","",INPUT!O4408)</f>
        <v/>
      </c>
      <c r="F4413" t="str">
        <f>IF(INPUT!N4408="","",INPUT!N4408)</f>
        <v/>
      </c>
      <c r="G4413" cm="1">
        <f t="array" ref="G4413">IFERROR(VLOOKUP(INPUT!M4408&amp;INPUT!N4408,CHOOSE({1,2},INPUT!$A$3:$A$5000&amp;INPUT!$C$3:$C$5000,INPUT!$F$3:$F$5000),2,FALSE),"")</f>
        <v>0</v>
      </c>
      <c r="H4413" cm="1">
        <f t="array" ref="H4413">IFERROR(VLOOKUP(INPUT!M4408&amp;INPUT!N4408,CHOOSE({1,2},INPUT!$A$3:$A$5000&amp;INPUT!$C$3:$C$5000,INPUT!$D$3:$D$5000),2,FALSE),"")</f>
        <v>0</v>
      </c>
      <c r="I4413" s="46" t="str">
        <f>IF(INPUT!P4408="","",INPUT!P4408)</f>
        <v/>
      </c>
      <c r="J4413" s="46" t="str">
        <f>IF(INPUT!Q4408="","",INPUT!Q4408)</f>
        <v/>
      </c>
      <c r="K4413" s="46" t="str">
        <f>IFERROR(IF(OR(INPUT!P4408="",INPUT!Q4408=""),"",INPUT!P4408-INPUT!Q4408),"")</f>
        <v/>
      </c>
      <c r="L4413" s="48" t="str">
        <f>IFERROR(IF(OR(INPUT!P4408="",INPUT!Q4408="",INPUT!P4408=0),"",(INPUT!P4408-INPUT!Q4408)/INPUT!P4408),"")</f>
        <v/>
      </c>
    </row>
    <row r="4414" spans="1:12" ht="18" hidden="1" customHeight="1" x14ac:dyDescent="0.2">
      <c r="A4414" s="11" t="str">
        <f>IF(INPUT!M4409="","",INPUT!M4409)</f>
        <v/>
      </c>
      <c r="B4414" s="11" t="str">
        <f>IF(INPUT!M4409="","",INPUT!M4409-WEEKDAY(INPUT!M4409,2)+1)</f>
        <v/>
      </c>
      <c r="C4414" s="20">
        <f>IFERROR(_xlfn.ISOWEEKNUM(INPUT!M4409),"")</f>
        <v>52</v>
      </c>
      <c r="D4414" s="20">
        <f>IFERROR(YEAR(INPUT!M4409),"")</f>
        <v>1900</v>
      </c>
      <c r="E4414" t="str">
        <f>IF(INPUT!O4409="","",INPUT!O4409)</f>
        <v/>
      </c>
      <c r="F4414" t="str">
        <f>IF(INPUT!N4409="","",INPUT!N4409)</f>
        <v/>
      </c>
      <c r="G4414" cm="1">
        <f t="array" ref="G4414">IFERROR(VLOOKUP(INPUT!M4409&amp;INPUT!N4409,CHOOSE({1,2},INPUT!$A$3:$A$5000&amp;INPUT!$C$3:$C$5000,INPUT!$F$3:$F$5000),2,FALSE),"")</f>
        <v>0</v>
      </c>
      <c r="H4414" cm="1">
        <f t="array" ref="H4414">IFERROR(VLOOKUP(INPUT!M4409&amp;INPUT!N4409,CHOOSE({1,2},INPUT!$A$3:$A$5000&amp;INPUT!$C$3:$C$5000,INPUT!$D$3:$D$5000),2,FALSE),"")</f>
        <v>0</v>
      </c>
      <c r="I4414" s="46" t="str">
        <f>IF(INPUT!P4409="","",INPUT!P4409)</f>
        <v/>
      </c>
      <c r="J4414" s="46" t="str">
        <f>IF(INPUT!Q4409="","",INPUT!Q4409)</f>
        <v/>
      </c>
      <c r="K4414" s="46" t="str">
        <f>IFERROR(IF(OR(INPUT!P4409="",INPUT!Q4409=""),"",INPUT!P4409-INPUT!Q4409),"")</f>
        <v/>
      </c>
      <c r="L4414" s="48" t="str">
        <f>IFERROR(IF(OR(INPUT!P4409="",INPUT!Q4409="",INPUT!P4409=0),"",(INPUT!P4409-INPUT!Q4409)/INPUT!P4409),"")</f>
        <v/>
      </c>
    </row>
    <row r="4415" spans="1:12" ht="18" hidden="1" customHeight="1" x14ac:dyDescent="0.2">
      <c r="A4415" s="11" t="str">
        <f>IF(INPUT!M4410="","",INPUT!M4410)</f>
        <v/>
      </c>
      <c r="B4415" s="11" t="str">
        <f>IF(INPUT!M4410="","",INPUT!M4410-WEEKDAY(INPUT!M4410,2)+1)</f>
        <v/>
      </c>
      <c r="C4415" s="20">
        <f>IFERROR(_xlfn.ISOWEEKNUM(INPUT!M4410),"")</f>
        <v>52</v>
      </c>
      <c r="D4415" s="20">
        <f>IFERROR(YEAR(INPUT!M4410),"")</f>
        <v>1900</v>
      </c>
      <c r="E4415" t="str">
        <f>IF(INPUT!O4410="","",INPUT!O4410)</f>
        <v/>
      </c>
      <c r="F4415" t="str">
        <f>IF(INPUT!N4410="","",INPUT!N4410)</f>
        <v/>
      </c>
      <c r="G4415" cm="1">
        <f t="array" ref="G4415">IFERROR(VLOOKUP(INPUT!M4410&amp;INPUT!N4410,CHOOSE({1,2},INPUT!$A$3:$A$5000&amp;INPUT!$C$3:$C$5000,INPUT!$F$3:$F$5000),2,FALSE),"")</f>
        <v>0</v>
      </c>
      <c r="H4415" cm="1">
        <f t="array" ref="H4415">IFERROR(VLOOKUP(INPUT!M4410&amp;INPUT!N4410,CHOOSE({1,2},INPUT!$A$3:$A$5000&amp;INPUT!$C$3:$C$5000,INPUT!$D$3:$D$5000),2,FALSE),"")</f>
        <v>0</v>
      </c>
      <c r="I4415" s="46" t="str">
        <f>IF(INPUT!P4410="","",INPUT!P4410)</f>
        <v/>
      </c>
      <c r="J4415" s="46" t="str">
        <f>IF(INPUT!Q4410="","",INPUT!Q4410)</f>
        <v/>
      </c>
      <c r="K4415" s="46" t="str">
        <f>IFERROR(IF(OR(INPUT!P4410="",INPUT!Q4410=""),"",INPUT!P4410-INPUT!Q4410),"")</f>
        <v/>
      </c>
      <c r="L4415" s="48" t="str">
        <f>IFERROR(IF(OR(INPUT!P4410="",INPUT!Q4410="",INPUT!P4410=0),"",(INPUT!P4410-INPUT!Q4410)/INPUT!P4410),"")</f>
        <v/>
      </c>
    </row>
    <row r="4416" spans="1:12" ht="18" hidden="1" customHeight="1" x14ac:dyDescent="0.2">
      <c r="A4416" s="11" t="str">
        <f>IF(INPUT!M4411="","",INPUT!M4411)</f>
        <v/>
      </c>
      <c r="B4416" s="11" t="str">
        <f>IF(INPUT!M4411="","",INPUT!M4411-WEEKDAY(INPUT!M4411,2)+1)</f>
        <v/>
      </c>
      <c r="C4416" s="20">
        <f>IFERROR(_xlfn.ISOWEEKNUM(INPUT!M4411),"")</f>
        <v>52</v>
      </c>
      <c r="D4416" s="20">
        <f>IFERROR(YEAR(INPUT!M4411),"")</f>
        <v>1900</v>
      </c>
      <c r="E4416" t="str">
        <f>IF(INPUT!O4411="","",INPUT!O4411)</f>
        <v/>
      </c>
      <c r="F4416" t="str">
        <f>IF(INPUT!N4411="","",INPUT!N4411)</f>
        <v/>
      </c>
      <c r="G4416" cm="1">
        <f t="array" ref="G4416">IFERROR(VLOOKUP(INPUT!M4411&amp;INPUT!N4411,CHOOSE({1,2},INPUT!$A$3:$A$5000&amp;INPUT!$C$3:$C$5000,INPUT!$F$3:$F$5000),2,FALSE),"")</f>
        <v>0</v>
      </c>
      <c r="H4416" cm="1">
        <f t="array" ref="H4416">IFERROR(VLOOKUP(INPUT!M4411&amp;INPUT!N4411,CHOOSE({1,2},INPUT!$A$3:$A$5000&amp;INPUT!$C$3:$C$5000,INPUT!$D$3:$D$5000),2,FALSE),"")</f>
        <v>0</v>
      </c>
      <c r="I4416" s="46" t="str">
        <f>IF(INPUT!P4411="","",INPUT!P4411)</f>
        <v/>
      </c>
      <c r="J4416" s="46" t="str">
        <f>IF(INPUT!Q4411="","",INPUT!Q4411)</f>
        <v/>
      </c>
      <c r="K4416" s="46" t="str">
        <f>IFERROR(IF(OR(INPUT!P4411="",INPUT!Q4411=""),"",INPUT!P4411-INPUT!Q4411),"")</f>
        <v/>
      </c>
      <c r="L4416" s="48" t="str">
        <f>IFERROR(IF(OR(INPUT!P4411="",INPUT!Q4411="",INPUT!P4411=0),"",(INPUT!P4411-INPUT!Q4411)/INPUT!P4411),"")</f>
        <v/>
      </c>
    </row>
    <row r="4417" spans="1:12" ht="18" hidden="1" customHeight="1" x14ac:dyDescent="0.2">
      <c r="A4417" s="11" t="str">
        <f>IF(INPUT!M4412="","",INPUT!M4412)</f>
        <v/>
      </c>
      <c r="B4417" s="11" t="str">
        <f>IF(INPUT!M4412="","",INPUT!M4412-WEEKDAY(INPUT!M4412,2)+1)</f>
        <v/>
      </c>
      <c r="C4417" s="20">
        <f>IFERROR(_xlfn.ISOWEEKNUM(INPUT!M4412),"")</f>
        <v>52</v>
      </c>
      <c r="D4417" s="20">
        <f>IFERROR(YEAR(INPUT!M4412),"")</f>
        <v>1900</v>
      </c>
      <c r="E4417" t="str">
        <f>IF(INPUT!O4412="","",INPUT!O4412)</f>
        <v/>
      </c>
      <c r="F4417" t="str">
        <f>IF(INPUT!N4412="","",INPUT!N4412)</f>
        <v/>
      </c>
      <c r="G4417" cm="1">
        <f t="array" ref="G4417">IFERROR(VLOOKUP(INPUT!M4412&amp;INPUT!N4412,CHOOSE({1,2},INPUT!$A$3:$A$5000&amp;INPUT!$C$3:$C$5000,INPUT!$F$3:$F$5000),2,FALSE),"")</f>
        <v>0</v>
      </c>
      <c r="H4417" cm="1">
        <f t="array" ref="H4417">IFERROR(VLOOKUP(INPUT!M4412&amp;INPUT!N4412,CHOOSE({1,2},INPUT!$A$3:$A$5000&amp;INPUT!$C$3:$C$5000,INPUT!$D$3:$D$5000),2,FALSE),"")</f>
        <v>0</v>
      </c>
      <c r="I4417" s="46" t="str">
        <f>IF(INPUT!P4412="","",INPUT!P4412)</f>
        <v/>
      </c>
      <c r="J4417" s="46" t="str">
        <f>IF(INPUT!Q4412="","",INPUT!Q4412)</f>
        <v/>
      </c>
      <c r="K4417" s="46" t="str">
        <f>IFERROR(IF(OR(INPUT!P4412="",INPUT!Q4412=""),"",INPUT!P4412-INPUT!Q4412),"")</f>
        <v/>
      </c>
      <c r="L4417" s="48" t="str">
        <f>IFERROR(IF(OR(INPUT!P4412="",INPUT!Q4412="",INPUT!P4412=0),"",(INPUT!P4412-INPUT!Q4412)/INPUT!P4412),"")</f>
        <v/>
      </c>
    </row>
    <row r="4418" spans="1:12" ht="18" hidden="1" customHeight="1" x14ac:dyDescent="0.2">
      <c r="A4418" s="11" t="str">
        <f>IF(INPUT!M4413="","",INPUT!M4413)</f>
        <v/>
      </c>
      <c r="B4418" s="11" t="str">
        <f>IF(INPUT!M4413="","",INPUT!M4413-WEEKDAY(INPUT!M4413,2)+1)</f>
        <v/>
      </c>
      <c r="C4418" s="20">
        <f>IFERROR(_xlfn.ISOWEEKNUM(INPUT!M4413),"")</f>
        <v>52</v>
      </c>
      <c r="D4418" s="20">
        <f>IFERROR(YEAR(INPUT!M4413),"")</f>
        <v>1900</v>
      </c>
      <c r="E4418" t="str">
        <f>IF(INPUT!O4413="","",INPUT!O4413)</f>
        <v/>
      </c>
      <c r="F4418" t="str">
        <f>IF(INPUT!N4413="","",INPUT!N4413)</f>
        <v/>
      </c>
      <c r="G4418" cm="1">
        <f t="array" ref="G4418">IFERROR(VLOOKUP(INPUT!M4413&amp;INPUT!N4413,CHOOSE({1,2},INPUT!$A$3:$A$5000&amp;INPUT!$C$3:$C$5000,INPUT!$F$3:$F$5000),2,FALSE),"")</f>
        <v>0</v>
      </c>
      <c r="H4418" cm="1">
        <f t="array" ref="H4418">IFERROR(VLOOKUP(INPUT!M4413&amp;INPUT!N4413,CHOOSE({1,2},INPUT!$A$3:$A$5000&amp;INPUT!$C$3:$C$5000,INPUT!$D$3:$D$5000),2,FALSE),"")</f>
        <v>0</v>
      </c>
      <c r="I4418" s="46" t="str">
        <f>IF(INPUT!P4413="","",INPUT!P4413)</f>
        <v/>
      </c>
      <c r="J4418" s="46" t="str">
        <f>IF(INPUT!Q4413="","",INPUT!Q4413)</f>
        <v/>
      </c>
      <c r="K4418" s="46" t="str">
        <f>IFERROR(IF(OR(INPUT!P4413="",INPUT!Q4413=""),"",INPUT!P4413-INPUT!Q4413),"")</f>
        <v/>
      </c>
      <c r="L4418" s="48" t="str">
        <f>IFERROR(IF(OR(INPUT!P4413="",INPUT!Q4413="",INPUT!P4413=0),"",(INPUT!P4413-INPUT!Q4413)/INPUT!P4413),"")</f>
        <v/>
      </c>
    </row>
    <row r="4419" spans="1:12" ht="18" hidden="1" customHeight="1" x14ac:dyDescent="0.2">
      <c r="A4419" s="11" t="str">
        <f>IF(INPUT!M4414="","",INPUT!M4414)</f>
        <v/>
      </c>
      <c r="B4419" s="11" t="str">
        <f>IF(INPUT!M4414="","",INPUT!M4414-WEEKDAY(INPUT!M4414,2)+1)</f>
        <v/>
      </c>
      <c r="C4419" s="20">
        <f>IFERROR(_xlfn.ISOWEEKNUM(INPUT!M4414),"")</f>
        <v>52</v>
      </c>
      <c r="D4419" s="20">
        <f>IFERROR(YEAR(INPUT!M4414),"")</f>
        <v>1900</v>
      </c>
      <c r="E4419" t="str">
        <f>IF(INPUT!O4414="","",INPUT!O4414)</f>
        <v/>
      </c>
      <c r="F4419" t="str">
        <f>IF(INPUT!N4414="","",INPUT!N4414)</f>
        <v/>
      </c>
      <c r="G4419" cm="1">
        <f t="array" ref="G4419">IFERROR(VLOOKUP(INPUT!M4414&amp;INPUT!N4414,CHOOSE({1,2},INPUT!$A$3:$A$5000&amp;INPUT!$C$3:$C$5000,INPUT!$F$3:$F$5000),2,FALSE),"")</f>
        <v>0</v>
      </c>
      <c r="H4419" cm="1">
        <f t="array" ref="H4419">IFERROR(VLOOKUP(INPUT!M4414&amp;INPUT!N4414,CHOOSE({1,2},INPUT!$A$3:$A$5000&amp;INPUT!$C$3:$C$5000,INPUT!$D$3:$D$5000),2,FALSE),"")</f>
        <v>0</v>
      </c>
      <c r="I4419" s="46" t="str">
        <f>IF(INPUT!P4414="","",INPUT!P4414)</f>
        <v/>
      </c>
      <c r="J4419" s="46" t="str">
        <f>IF(INPUT!Q4414="","",INPUT!Q4414)</f>
        <v/>
      </c>
      <c r="K4419" s="46" t="str">
        <f>IFERROR(IF(OR(INPUT!P4414="",INPUT!Q4414=""),"",INPUT!P4414-INPUT!Q4414),"")</f>
        <v/>
      </c>
      <c r="L4419" s="48" t="str">
        <f>IFERROR(IF(OR(INPUT!P4414="",INPUT!Q4414="",INPUT!P4414=0),"",(INPUT!P4414-INPUT!Q4414)/INPUT!P4414),"")</f>
        <v/>
      </c>
    </row>
    <row r="4420" spans="1:12" ht="18" hidden="1" customHeight="1" x14ac:dyDescent="0.2">
      <c r="A4420" s="11" t="str">
        <f>IF(INPUT!M4415="","",INPUT!M4415)</f>
        <v/>
      </c>
      <c r="B4420" s="11" t="str">
        <f>IF(INPUT!M4415="","",INPUT!M4415-WEEKDAY(INPUT!M4415,2)+1)</f>
        <v/>
      </c>
      <c r="C4420" s="20">
        <f>IFERROR(_xlfn.ISOWEEKNUM(INPUT!M4415),"")</f>
        <v>52</v>
      </c>
      <c r="D4420" s="20">
        <f>IFERROR(YEAR(INPUT!M4415),"")</f>
        <v>1900</v>
      </c>
      <c r="E4420" t="str">
        <f>IF(INPUT!O4415="","",INPUT!O4415)</f>
        <v/>
      </c>
      <c r="F4420" t="str">
        <f>IF(INPUT!N4415="","",INPUT!N4415)</f>
        <v/>
      </c>
      <c r="G4420" cm="1">
        <f t="array" ref="G4420">IFERROR(VLOOKUP(INPUT!M4415&amp;INPUT!N4415,CHOOSE({1,2},INPUT!$A$3:$A$5000&amp;INPUT!$C$3:$C$5000,INPUT!$F$3:$F$5000),2,FALSE),"")</f>
        <v>0</v>
      </c>
      <c r="H4420" cm="1">
        <f t="array" ref="H4420">IFERROR(VLOOKUP(INPUT!M4415&amp;INPUT!N4415,CHOOSE({1,2},INPUT!$A$3:$A$5000&amp;INPUT!$C$3:$C$5000,INPUT!$D$3:$D$5000),2,FALSE),"")</f>
        <v>0</v>
      </c>
      <c r="I4420" s="46" t="str">
        <f>IF(INPUT!P4415="","",INPUT!P4415)</f>
        <v/>
      </c>
      <c r="J4420" s="46" t="str">
        <f>IF(INPUT!Q4415="","",INPUT!Q4415)</f>
        <v/>
      </c>
      <c r="K4420" s="46" t="str">
        <f>IFERROR(IF(OR(INPUT!P4415="",INPUT!Q4415=""),"",INPUT!P4415-INPUT!Q4415),"")</f>
        <v/>
      </c>
      <c r="L4420" s="48" t="str">
        <f>IFERROR(IF(OR(INPUT!P4415="",INPUT!Q4415="",INPUT!P4415=0),"",(INPUT!P4415-INPUT!Q4415)/INPUT!P4415),"")</f>
        <v/>
      </c>
    </row>
    <row r="4421" spans="1:12" ht="18" hidden="1" customHeight="1" x14ac:dyDescent="0.2">
      <c r="A4421" s="11" t="str">
        <f>IF(INPUT!M4416="","",INPUT!M4416)</f>
        <v/>
      </c>
      <c r="B4421" s="11" t="str">
        <f>IF(INPUT!M4416="","",INPUT!M4416-WEEKDAY(INPUT!M4416,2)+1)</f>
        <v/>
      </c>
      <c r="C4421" s="20">
        <f>IFERROR(_xlfn.ISOWEEKNUM(INPUT!M4416),"")</f>
        <v>52</v>
      </c>
      <c r="D4421" s="20">
        <f>IFERROR(YEAR(INPUT!M4416),"")</f>
        <v>1900</v>
      </c>
      <c r="E4421" t="str">
        <f>IF(INPUT!O4416="","",INPUT!O4416)</f>
        <v/>
      </c>
      <c r="F4421" t="str">
        <f>IF(INPUT!N4416="","",INPUT!N4416)</f>
        <v/>
      </c>
      <c r="G4421" cm="1">
        <f t="array" ref="G4421">IFERROR(VLOOKUP(INPUT!M4416&amp;INPUT!N4416,CHOOSE({1,2},INPUT!$A$3:$A$5000&amp;INPUT!$C$3:$C$5000,INPUT!$F$3:$F$5000),2,FALSE),"")</f>
        <v>0</v>
      </c>
      <c r="H4421" cm="1">
        <f t="array" ref="H4421">IFERROR(VLOOKUP(INPUT!M4416&amp;INPUT!N4416,CHOOSE({1,2},INPUT!$A$3:$A$5000&amp;INPUT!$C$3:$C$5000,INPUT!$D$3:$D$5000),2,FALSE),"")</f>
        <v>0</v>
      </c>
      <c r="I4421" s="46" t="str">
        <f>IF(INPUT!P4416="","",INPUT!P4416)</f>
        <v/>
      </c>
      <c r="J4421" s="46" t="str">
        <f>IF(INPUT!Q4416="","",INPUT!Q4416)</f>
        <v/>
      </c>
      <c r="K4421" s="46" t="str">
        <f>IFERROR(IF(OR(INPUT!P4416="",INPUT!Q4416=""),"",INPUT!P4416-INPUT!Q4416),"")</f>
        <v/>
      </c>
      <c r="L4421" s="48" t="str">
        <f>IFERROR(IF(OR(INPUT!P4416="",INPUT!Q4416="",INPUT!P4416=0),"",(INPUT!P4416-INPUT!Q4416)/INPUT!P4416),"")</f>
        <v/>
      </c>
    </row>
    <row r="4422" spans="1:12" ht="18" hidden="1" customHeight="1" x14ac:dyDescent="0.2">
      <c r="A4422" s="11" t="str">
        <f>IF(INPUT!M4417="","",INPUT!M4417)</f>
        <v/>
      </c>
      <c r="B4422" s="11" t="str">
        <f>IF(INPUT!M4417="","",INPUT!M4417-WEEKDAY(INPUT!M4417,2)+1)</f>
        <v/>
      </c>
      <c r="C4422" s="20">
        <f>IFERROR(_xlfn.ISOWEEKNUM(INPUT!M4417),"")</f>
        <v>52</v>
      </c>
      <c r="D4422" s="20">
        <f>IFERROR(YEAR(INPUT!M4417),"")</f>
        <v>1900</v>
      </c>
      <c r="E4422" t="str">
        <f>IF(INPUT!O4417="","",INPUT!O4417)</f>
        <v/>
      </c>
      <c r="F4422" t="str">
        <f>IF(INPUT!N4417="","",INPUT!N4417)</f>
        <v/>
      </c>
      <c r="G4422" cm="1">
        <f t="array" ref="G4422">IFERROR(VLOOKUP(INPUT!M4417&amp;INPUT!N4417,CHOOSE({1,2},INPUT!$A$3:$A$5000&amp;INPUT!$C$3:$C$5000,INPUT!$F$3:$F$5000),2,FALSE),"")</f>
        <v>0</v>
      </c>
      <c r="H4422" cm="1">
        <f t="array" ref="H4422">IFERROR(VLOOKUP(INPUT!M4417&amp;INPUT!N4417,CHOOSE({1,2},INPUT!$A$3:$A$5000&amp;INPUT!$C$3:$C$5000,INPUT!$D$3:$D$5000),2,FALSE),"")</f>
        <v>0</v>
      </c>
      <c r="I4422" s="46" t="str">
        <f>IF(INPUT!P4417="","",INPUT!P4417)</f>
        <v/>
      </c>
      <c r="J4422" s="46" t="str">
        <f>IF(INPUT!Q4417="","",INPUT!Q4417)</f>
        <v/>
      </c>
      <c r="K4422" s="46" t="str">
        <f>IFERROR(IF(OR(INPUT!P4417="",INPUT!Q4417=""),"",INPUT!P4417-INPUT!Q4417),"")</f>
        <v/>
      </c>
      <c r="L4422" s="48" t="str">
        <f>IFERROR(IF(OR(INPUT!P4417="",INPUT!Q4417="",INPUT!P4417=0),"",(INPUT!P4417-INPUT!Q4417)/INPUT!P4417),"")</f>
        <v/>
      </c>
    </row>
    <row r="4423" spans="1:12" ht="18" hidden="1" customHeight="1" x14ac:dyDescent="0.2">
      <c r="A4423" s="11" t="str">
        <f>IF(INPUT!M4418="","",INPUT!M4418)</f>
        <v/>
      </c>
      <c r="B4423" s="11" t="str">
        <f>IF(INPUT!M4418="","",INPUT!M4418-WEEKDAY(INPUT!M4418,2)+1)</f>
        <v/>
      </c>
      <c r="C4423" s="20">
        <f>IFERROR(_xlfn.ISOWEEKNUM(INPUT!M4418),"")</f>
        <v>52</v>
      </c>
      <c r="D4423" s="20">
        <f>IFERROR(YEAR(INPUT!M4418),"")</f>
        <v>1900</v>
      </c>
      <c r="E4423" t="str">
        <f>IF(INPUT!O4418="","",INPUT!O4418)</f>
        <v/>
      </c>
      <c r="F4423" t="str">
        <f>IF(INPUT!N4418="","",INPUT!N4418)</f>
        <v/>
      </c>
      <c r="G4423" cm="1">
        <f t="array" ref="G4423">IFERROR(VLOOKUP(INPUT!M4418&amp;INPUT!N4418,CHOOSE({1,2},INPUT!$A$3:$A$5000&amp;INPUT!$C$3:$C$5000,INPUT!$F$3:$F$5000),2,FALSE),"")</f>
        <v>0</v>
      </c>
      <c r="H4423" cm="1">
        <f t="array" ref="H4423">IFERROR(VLOOKUP(INPUT!M4418&amp;INPUT!N4418,CHOOSE({1,2},INPUT!$A$3:$A$5000&amp;INPUT!$C$3:$C$5000,INPUT!$D$3:$D$5000),2,FALSE),"")</f>
        <v>0</v>
      </c>
      <c r="I4423" s="46" t="str">
        <f>IF(INPUT!P4418="","",INPUT!P4418)</f>
        <v/>
      </c>
      <c r="J4423" s="46" t="str">
        <f>IF(INPUT!Q4418="","",INPUT!Q4418)</f>
        <v/>
      </c>
      <c r="K4423" s="46" t="str">
        <f>IFERROR(IF(OR(INPUT!P4418="",INPUT!Q4418=""),"",INPUT!P4418-INPUT!Q4418),"")</f>
        <v/>
      </c>
      <c r="L4423" s="48" t="str">
        <f>IFERROR(IF(OR(INPUT!P4418="",INPUT!Q4418="",INPUT!P4418=0),"",(INPUT!P4418-INPUT!Q4418)/INPUT!P4418),"")</f>
        <v/>
      </c>
    </row>
    <row r="4424" spans="1:12" ht="18" hidden="1" customHeight="1" x14ac:dyDescent="0.2">
      <c r="A4424" s="11" t="str">
        <f>IF(INPUT!M4419="","",INPUT!M4419)</f>
        <v/>
      </c>
      <c r="B4424" s="11" t="str">
        <f>IF(INPUT!M4419="","",INPUT!M4419-WEEKDAY(INPUT!M4419,2)+1)</f>
        <v/>
      </c>
      <c r="C4424" s="20">
        <f>IFERROR(_xlfn.ISOWEEKNUM(INPUT!M4419),"")</f>
        <v>52</v>
      </c>
      <c r="D4424" s="20">
        <f>IFERROR(YEAR(INPUT!M4419),"")</f>
        <v>1900</v>
      </c>
      <c r="E4424" t="str">
        <f>IF(INPUT!O4419="","",INPUT!O4419)</f>
        <v/>
      </c>
      <c r="F4424" t="str">
        <f>IF(INPUT!N4419="","",INPUT!N4419)</f>
        <v/>
      </c>
      <c r="G4424" cm="1">
        <f t="array" ref="G4424">IFERROR(VLOOKUP(INPUT!M4419&amp;INPUT!N4419,CHOOSE({1,2},INPUT!$A$3:$A$5000&amp;INPUT!$C$3:$C$5000,INPUT!$F$3:$F$5000),2,FALSE),"")</f>
        <v>0</v>
      </c>
      <c r="H4424" cm="1">
        <f t="array" ref="H4424">IFERROR(VLOOKUP(INPUT!M4419&amp;INPUT!N4419,CHOOSE({1,2},INPUT!$A$3:$A$5000&amp;INPUT!$C$3:$C$5000,INPUT!$D$3:$D$5000),2,FALSE),"")</f>
        <v>0</v>
      </c>
      <c r="I4424" s="46" t="str">
        <f>IF(INPUT!P4419="","",INPUT!P4419)</f>
        <v/>
      </c>
      <c r="J4424" s="46" t="str">
        <f>IF(INPUT!Q4419="","",INPUT!Q4419)</f>
        <v/>
      </c>
      <c r="K4424" s="46" t="str">
        <f>IFERROR(IF(OR(INPUT!P4419="",INPUT!Q4419=""),"",INPUT!P4419-INPUT!Q4419),"")</f>
        <v/>
      </c>
      <c r="L4424" s="48" t="str">
        <f>IFERROR(IF(OR(INPUT!P4419="",INPUT!Q4419="",INPUT!P4419=0),"",(INPUT!P4419-INPUT!Q4419)/INPUT!P4419),"")</f>
        <v/>
      </c>
    </row>
    <row r="4425" spans="1:12" ht="18" hidden="1" customHeight="1" x14ac:dyDescent="0.2">
      <c r="A4425" s="11" t="str">
        <f>IF(INPUT!M4420="","",INPUT!M4420)</f>
        <v/>
      </c>
      <c r="B4425" s="11" t="str">
        <f>IF(INPUT!M4420="","",INPUT!M4420-WEEKDAY(INPUT!M4420,2)+1)</f>
        <v/>
      </c>
      <c r="C4425" s="20">
        <f>IFERROR(_xlfn.ISOWEEKNUM(INPUT!M4420),"")</f>
        <v>52</v>
      </c>
      <c r="D4425" s="20">
        <f>IFERROR(YEAR(INPUT!M4420),"")</f>
        <v>1900</v>
      </c>
      <c r="E4425" t="str">
        <f>IF(INPUT!O4420="","",INPUT!O4420)</f>
        <v/>
      </c>
      <c r="F4425" t="str">
        <f>IF(INPUT!N4420="","",INPUT!N4420)</f>
        <v/>
      </c>
      <c r="G4425" cm="1">
        <f t="array" ref="G4425">IFERROR(VLOOKUP(INPUT!M4420&amp;INPUT!N4420,CHOOSE({1,2},INPUT!$A$3:$A$5000&amp;INPUT!$C$3:$C$5000,INPUT!$F$3:$F$5000),2,FALSE),"")</f>
        <v>0</v>
      </c>
      <c r="H4425" cm="1">
        <f t="array" ref="H4425">IFERROR(VLOOKUP(INPUT!M4420&amp;INPUT!N4420,CHOOSE({1,2},INPUT!$A$3:$A$5000&amp;INPUT!$C$3:$C$5000,INPUT!$D$3:$D$5000),2,FALSE),"")</f>
        <v>0</v>
      </c>
      <c r="I4425" s="46" t="str">
        <f>IF(INPUT!P4420="","",INPUT!P4420)</f>
        <v/>
      </c>
      <c r="J4425" s="46" t="str">
        <f>IF(INPUT!Q4420="","",INPUT!Q4420)</f>
        <v/>
      </c>
      <c r="K4425" s="46" t="str">
        <f>IFERROR(IF(OR(INPUT!P4420="",INPUT!Q4420=""),"",INPUT!P4420-INPUT!Q4420),"")</f>
        <v/>
      </c>
      <c r="L4425" s="48" t="str">
        <f>IFERROR(IF(OR(INPUT!P4420="",INPUT!Q4420="",INPUT!P4420=0),"",(INPUT!P4420-INPUT!Q4420)/INPUT!P4420),"")</f>
        <v/>
      </c>
    </row>
    <row r="4426" spans="1:12" ht="18" hidden="1" customHeight="1" x14ac:dyDescent="0.2">
      <c r="A4426" s="11" t="str">
        <f>IF(INPUT!M4421="","",INPUT!M4421)</f>
        <v/>
      </c>
      <c r="B4426" s="11" t="str">
        <f>IF(INPUT!M4421="","",INPUT!M4421-WEEKDAY(INPUT!M4421,2)+1)</f>
        <v/>
      </c>
      <c r="C4426" s="20">
        <f>IFERROR(_xlfn.ISOWEEKNUM(INPUT!M4421),"")</f>
        <v>52</v>
      </c>
      <c r="D4426" s="20">
        <f>IFERROR(YEAR(INPUT!M4421),"")</f>
        <v>1900</v>
      </c>
      <c r="E4426" t="str">
        <f>IF(INPUT!O4421="","",INPUT!O4421)</f>
        <v/>
      </c>
      <c r="F4426" t="str">
        <f>IF(INPUT!N4421="","",INPUT!N4421)</f>
        <v/>
      </c>
      <c r="G4426" cm="1">
        <f t="array" ref="G4426">IFERROR(VLOOKUP(INPUT!M4421&amp;INPUT!N4421,CHOOSE({1,2},INPUT!$A$3:$A$5000&amp;INPUT!$C$3:$C$5000,INPUT!$F$3:$F$5000),2,FALSE),"")</f>
        <v>0</v>
      </c>
      <c r="H4426" cm="1">
        <f t="array" ref="H4426">IFERROR(VLOOKUP(INPUT!M4421&amp;INPUT!N4421,CHOOSE({1,2},INPUT!$A$3:$A$5000&amp;INPUT!$C$3:$C$5000,INPUT!$D$3:$D$5000),2,FALSE),"")</f>
        <v>0</v>
      </c>
      <c r="I4426" s="46" t="str">
        <f>IF(INPUT!P4421="","",INPUT!P4421)</f>
        <v/>
      </c>
      <c r="J4426" s="46" t="str">
        <f>IF(INPUT!Q4421="","",INPUT!Q4421)</f>
        <v/>
      </c>
      <c r="K4426" s="46" t="str">
        <f>IFERROR(IF(OR(INPUT!P4421="",INPUT!Q4421=""),"",INPUT!P4421-INPUT!Q4421),"")</f>
        <v/>
      </c>
      <c r="L4426" s="48" t="str">
        <f>IFERROR(IF(OR(INPUT!P4421="",INPUT!Q4421="",INPUT!P4421=0),"",(INPUT!P4421-INPUT!Q4421)/INPUT!P4421),"")</f>
        <v/>
      </c>
    </row>
    <row r="4427" spans="1:12" ht="18" hidden="1" customHeight="1" x14ac:dyDescent="0.2">
      <c r="A4427" s="11" t="str">
        <f>IF(INPUT!M4422="","",INPUT!M4422)</f>
        <v/>
      </c>
      <c r="B4427" s="11" t="str">
        <f>IF(INPUT!M4422="","",INPUT!M4422-WEEKDAY(INPUT!M4422,2)+1)</f>
        <v/>
      </c>
      <c r="C4427" s="20">
        <f>IFERROR(_xlfn.ISOWEEKNUM(INPUT!M4422),"")</f>
        <v>52</v>
      </c>
      <c r="D4427" s="20">
        <f>IFERROR(YEAR(INPUT!M4422),"")</f>
        <v>1900</v>
      </c>
      <c r="E4427" t="str">
        <f>IF(INPUT!O4422="","",INPUT!O4422)</f>
        <v/>
      </c>
      <c r="F4427" t="str">
        <f>IF(INPUT!N4422="","",INPUT!N4422)</f>
        <v/>
      </c>
      <c r="G4427" cm="1">
        <f t="array" ref="G4427">IFERROR(VLOOKUP(INPUT!M4422&amp;INPUT!N4422,CHOOSE({1,2},INPUT!$A$3:$A$5000&amp;INPUT!$C$3:$C$5000,INPUT!$F$3:$F$5000),2,FALSE),"")</f>
        <v>0</v>
      </c>
      <c r="H4427" cm="1">
        <f t="array" ref="H4427">IFERROR(VLOOKUP(INPUT!M4422&amp;INPUT!N4422,CHOOSE({1,2},INPUT!$A$3:$A$5000&amp;INPUT!$C$3:$C$5000,INPUT!$D$3:$D$5000),2,FALSE),"")</f>
        <v>0</v>
      </c>
      <c r="I4427" s="46" t="str">
        <f>IF(INPUT!P4422="","",INPUT!P4422)</f>
        <v/>
      </c>
      <c r="J4427" s="46" t="str">
        <f>IF(INPUT!Q4422="","",INPUT!Q4422)</f>
        <v/>
      </c>
      <c r="K4427" s="46" t="str">
        <f>IFERROR(IF(OR(INPUT!P4422="",INPUT!Q4422=""),"",INPUT!P4422-INPUT!Q4422),"")</f>
        <v/>
      </c>
      <c r="L4427" s="48" t="str">
        <f>IFERROR(IF(OR(INPUT!P4422="",INPUT!Q4422="",INPUT!P4422=0),"",(INPUT!P4422-INPUT!Q4422)/INPUT!P4422),"")</f>
        <v/>
      </c>
    </row>
    <row r="4428" spans="1:12" ht="18" hidden="1" customHeight="1" x14ac:dyDescent="0.2">
      <c r="A4428" s="11" t="str">
        <f>IF(INPUT!M4423="","",INPUT!M4423)</f>
        <v/>
      </c>
      <c r="B4428" s="11" t="str">
        <f>IF(INPUT!M4423="","",INPUT!M4423-WEEKDAY(INPUT!M4423,2)+1)</f>
        <v/>
      </c>
      <c r="C4428" s="20">
        <f>IFERROR(_xlfn.ISOWEEKNUM(INPUT!M4423),"")</f>
        <v>52</v>
      </c>
      <c r="D4428" s="20">
        <f>IFERROR(YEAR(INPUT!M4423),"")</f>
        <v>1900</v>
      </c>
      <c r="E4428" t="str">
        <f>IF(INPUT!O4423="","",INPUT!O4423)</f>
        <v/>
      </c>
      <c r="F4428" t="str">
        <f>IF(INPUT!N4423="","",INPUT!N4423)</f>
        <v/>
      </c>
      <c r="G4428" cm="1">
        <f t="array" ref="G4428">IFERROR(VLOOKUP(INPUT!M4423&amp;INPUT!N4423,CHOOSE({1,2},INPUT!$A$3:$A$5000&amp;INPUT!$C$3:$C$5000,INPUT!$F$3:$F$5000),2,FALSE),"")</f>
        <v>0</v>
      </c>
      <c r="H4428" cm="1">
        <f t="array" ref="H4428">IFERROR(VLOOKUP(INPUT!M4423&amp;INPUT!N4423,CHOOSE({1,2},INPUT!$A$3:$A$5000&amp;INPUT!$C$3:$C$5000,INPUT!$D$3:$D$5000),2,FALSE),"")</f>
        <v>0</v>
      </c>
      <c r="I4428" s="46" t="str">
        <f>IF(INPUT!P4423="","",INPUT!P4423)</f>
        <v/>
      </c>
      <c r="J4428" s="46" t="str">
        <f>IF(INPUT!Q4423="","",INPUT!Q4423)</f>
        <v/>
      </c>
      <c r="K4428" s="46" t="str">
        <f>IFERROR(IF(OR(INPUT!P4423="",INPUT!Q4423=""),"",INPUT!P4423-INPUT!Q4423),"")</f>
        <v/>
      </c>
      <c r="L4428" s="48" t="str">
        <f>IFERROR(IF(OR(INPUT!P4423="",INPUT!Q4423="",INPUT!P4423=0),"",(INPUT!P4423-INPUT!Q4423)/INPUT!P4423),"")</f>
        <v/>
      </c>
    </row>
    <row r="4429" spans="1:12" ht="18" hidden="1" customHeight="1" x14ac:dyDescent="0.2">
      <c r="A4429" s="11" t="str">
        <f>IF(INPUT!M4424="","",INPUT!M4424)</f>
        <v/>
      </c>
      <c r="B4429" s="11" t="str">
        <f>IF(INPUT!M4424="","",INPUT!M4424-WEEKDAY(INPUT!M4424,2)+1)</f>
        <v/>
      </c>
      <c r="C4429" s="20">
        <f>IFERROR(_xlfn.ISOWEEKNUM(INPUT!M4424),"")</f>
        <v>52</v>
      </c>
      <c r="D4429" s="20">
        <f>IFERROR(YEAR(INPUT!M4424),"")</f>
        <v>1900</v>
      </c>
      <c r="E4429" t="str">
        <f>IF(INPUT!O4424="","",INPUT!O4424)</f>
        <v/>
      </c>
      <c r="F4429" t="str">
        <f>IF(INPUT!N4424="","",INPUT!N4424)</f>
        <v/>
      </c>
      <c r="G4429" cm="1">
        <f t="array" ref="G4429">IFERROR(VLOOKUP(INPUT!M4424&amp;INPUT!N4424,CHOOSE({1,2},INPUT!$A$3:$A$5000&amp;INPUT!$C$3:$C$5000,INPUT!$F$3:$F$5000),2,FALSE),"")</f>
        <v>0</v>
      </c>
      <c r="H4429" cm="1">
        <f t="array" ref="H4429">IFERROR(VLOOKUP(INPUT!M4424&amp;INPUT!N4424,CHOOSE({1,2},INPUT!$A$3:$A$5000&amp;INPUT!$C$3:$C$5000,INPUT!$D$3:$D$5000),2,FALSE),"")</f>
        <v>0</v>
      </c>
      <c r="I4429" s="46" t="str">
        <f>IF(INPUT!P4424="","",INPUT!P4424)</f>
        <v/>
      </c>
      <c r="J4429" s="46" t="str">
        <f>IF(INPUT!Q4424="","",INPUT!Q4424)</f>
        <v/>
      </c>
      <c r="K4429" s="46" t="str">
        <f>IFERROR(IF(OR(INPUT!P4424="",INPUT!Q4424=""),"",INPUT!P4424-INPUT!Q4424),"")</f>
        <v/>
      </c>
      <c r="L4429" s="48" t="str">
        <f>IFERROR(IF(OR(INPUT!P4424="",INPUT!Q4424="",INPUT!P4424=0),"",(INPUT!P4424-INPUT!Q4424)/INPUT!P4424),"")</f>
        <v/>
      </c>
    </row>
    <row r="4430" spans="1:12" ht="18" hidden="1" customHeight="1" x14ac:dyDescent="0.2">
      <c r="A4430" s="11" t="str">
        <f>IF(INPUT!M4425="","",INPUT!M4425)</f>
        <v/>
      </c>
      <c r="B4430" s="11" t="str">
        <f>IF(INPUT!M4425="","",INPUT!M4425-WEEKDAY(INPUT!M4425,2)+1)</f>
        <v/>
      </c>
      <c r="C4430" s="20">
        <f>IFERROR(_xlfn.ISOWEEKNUM(INPUT!M4425),"")</f>
        <v>52</v>
      </c>
      <c r="D4430" s="20">
        <f>IFERROR(YEAR(INPUT!M4425),"")</f>
        <v>1900</v>
      </c>
      <c r="E4430" t="str">
        <f>IF(INPUT!O4425="","",INPUT!O4425)</f>
        <v/>
      </c>
      <c r="F4430" t="str">
        <f>IF(INPUT!N4425="","",INPUT!N4425)</f>
        <v/>
      </c>
      <c r="G4430" cm="1">
        <f t="array" ref="G4430">IFERROR(VLOOKUP(INPUT!M4425&amp;INPUT!N4425,CHOOSE({1,2},INPUT!$A$3:$A$5000&amp;INPUT!$C$3:$C$5000,INPUT!$F$3:$F$5000),2,FALSE),"")</f>
        <v>0</v>
      </c>
      <c r="H4430" cm="1">
        <f t="array" ref="H4430">IFERROR(VLOOKUP(INPUT!M4425&amp;INPUT!N4425,CHOOSE({1,2},INPUT!$A$3:$A$5000&amp;INPUT!$C$3:$C$5000,INPUT!$D$3:$D$5000),2,FALSE),"")</f>
        <v>0</v>
      </c>
      <c r="I4430" s="46" t="str">
        <f>IF(INPUT!P4425="","",INPUT!P4425)</f>
        <v/>
      </c>
      <c r="J4430" s="46" t="str">
        <f>IF(INPUT!Q4425="","",INPUT!Q4425)</f>
        <v/>
      </c>
      <c r="K4430" s="46" t="str">
        <f>IFERROR(IF(OR(INPUT!P4425="",INPUT!Q4425=""),"",INPUT!P4425-INPUT!Q4425),"")</f>
        <v/>
      </c>
      <c r="L4430" s="48" t="str">
        <f>IFERROR(IF(OR(INPUT!P4425="",INPUT!Q4425="",INPUT!P4425=0),"",(INPUT!P4425-INPUT!Q4425)/INPUT!P4425),"")</f>
        <v/>
      </c>
    </row>
    <row r="4431" spans="1:12" ht="18" hidden="1" customHeight="1" x14ac:dyDescent="0.2">
      <c r="A4431" s="11" t="str">
        <f>IF(INPUT!M4426="","",INPUT!M4426)</f>
        <v/>
      </c>
      <c r="B4431" s="11" t="str">
        <f>IF(INPUT!M4426="","",INPUT!M4426-WEEKDAY(INPUT!M4426,2)+1)</f>
        <v/>
      </c>
      <c r="C4431" s="20">
        <f>IFERROR(_xlfn.ISOWEEKNUM(INPUT!M4426),"")</f>
        <v>52</v>
      </c>
      <c r="D4431" s="20">
        <f>IFERROR(YEAR(INPUT!M4426),"")</f>
        <v>1900</v>
      </c>
      <c r="E4431" t="str">
        <f>IF(INPUT!O4426="","",INPUT!O4426)</f>
        <v/>
      </c>
      <c r="F4431" t="str">
        <f>IF(INPUT!N4426="","",INPUT!N4426)</f>
        <v/>
      </c>
      <c r="G4431" cm="1">
        <f t="array" ref="G4431">IFERROR(VLOOKUP(INPUT!M4426&amp;INPUT!N4426,CHOOSE({1,2},INPUT!$A$3:$A$5000&amp;INPUT!$C$3:$C$5000,INPUT!$F$3:$F$5000),2,FALSE),"")</f>
        <v>0</v>
      </c>
      <c r="H4431" cm="1">
        <f t="array" ref="H4431">IFERROR(VLOOKUP(INPUT!M4426&amp;INPUT!N4426,CHOOSE({1,2},INPUT!$A$3:$A$5000&amp;INPUT!$C$3:$C$5000,INPUT!$D$3:$D$5000),2,FALSE),"")</f>
        <v>0</v>
      </c>
      <c r="I4431" s="46" t="str">
        <f>IF(INPUT!P4426="","",INPUT!P4426)</f>
        <v/>
      </c>
      <c r="J4431" s="46" t="str">
        <f>IF(INPUT!Q4426="","",INPUT!Q4426)</f>
        <v/>
      </c>
      <c r="K4431" s="46" t="str">
        <f>IFERROR(IF(OR(INPUT!P4426="",INPUT!Q4426=""),"",INPUT!P4426-INPUT!Q4426),"")</f>
        <v/>
      </c>
      <c r="L4431" s="48" t="str">
        <f>IFERROR(IF(OR(INPUT!P4426="",INPUT!Q4426="",INPUT!P4426=0),"",(INPUT!P4426-INPUT!Q4426)/INPUT!P4426),"")</f>
        <v/>
      </c>
    </row>
    <row r="4432" spans="1:12" ht="18" hidden="1" customHeight="1" x14ac:dyDescent="0.2">
      <c r="A4432" s="11" t="str">
        <f>IF(INPUT!M4427="","",INPUT!M4427)</f>
        <v/>
      </c>
      <c r="B4432" s="11" t="str">
        <f>IF(INPUT!M4427="","",INPUT!M4427-WEEKDAY(INPUT!M4427,2)+1)</f>
        <v/>
      </c>
      <c r="C4432" s="20">
        <f>IFERROR(_xlfn.ISOWEEKNUM(INPUT!M4427),"")</f>
        <v>52</v>
      </c>
      <c r="D4432" s="20">
        <f>IFERROR(YEAR(INPUT!M4427),"")</f>
        <v>1900</v>
      </c>
      <c r="E4432" t="str">
        <f>IF(INPUT!O4427="","",INPUT!O4427)</f>
        <v/>
      </c>
      <c r="F4432" t="str">
        <f>IF(INPUT!N4427="","",INPUT!N4427)</f>
        <v/>
      </c>
      <c r="G4432" cm="1">
        <f t="array" ref="G4432">IFERROR(VLOOKUP(INPUT!M4427&amp;INPUT!N4427,CHOOSE({1,2},INPUT!$A$3:$A$5000&amp;INPUT!$C$3:$C$5000,INPUT!$F$3:$F$5000),2,FALSE),"")</f>
        <v>0</v>
      </c>
      <c r="H4432" cm="1">
        <f t="array" ref="H4432">IFERROR(VLOOKUP(INPUT!M4427&amp;INPUT!N4427,CHOOSE({1,2},INPUT!$A$3:$A$5000&amp;INPUT!$C$3:$C$5000,INPUT!$D$3:$D$5000),2,FALSE),"")</f>
        <v>0</v>
      </c>
      <c r="I4432" s="46" t="str">
        <f>IF(INPUT!P4427="","",INPUT!P4427)</f>
        <v/>
      </c>
      <c r="J4432" s="46" t="str">
        <f>IF(INPUT!Q4427="","",INPUT!Q4427)</f>
        <v/>
      </c>
      <c r="K4432" s="46" t="str">
        <f>IFERROR(IF(OR(INPUT!P4427="",INPUT!Q4427=""),"",INPUT!P4427-INPUT!Q4427),"")</f>
        <v/>
      </c>
      <c r="L4432" s="48" t="str">
        <f>IFERROR(IF(OR(INPUT!P4427="",INPUT!Q4427="",INPUT!P4427=0),"",(INPUT!P4427-INPUT!Q4427)/INPUT!P4427),"")</f>
        <v/>
      </c>
    </row>
    <row r="4433" spans="1:12" ht="18" hidden="1" customHeight="1" x14ac:dyDescent="0.2">
      <c r="A4433" s="11" t="str">
        <f>IF(INPUT!M4428="","",INPUT!M4428)</f>
        <v/>
      </c>
      <c r="B4433" s="11" t="str">
        <f>IF(INPUT!M4428="","",INPUT!M4428-WEEKDAY(INPUT!M4428,2)+1)</f>
        <v/>
      </c>
      <c r="C4433" s="20">
        <f>IFERROR(_xlfn.ISOWEEKNUM(INPUT!M4428),"")</f>
        <v>52</v>
      </c>
      <c r="D4433" s="20">
        <f>IFERROR(YEAR(INPUT!M4428),"")</f>
        <v>1900</v>
      </c>
      <c r="E4433" t="str">
        <f>IF(INPUT!O4428="","",INPUT!O4428)</f>
        <v/>
      </c>
      <c r="F4433" t="str">
        <f>IF(INPUT!N4428="","",INPUT!N4428)</f>
        <v/>
      </c>
      <c r="G4433" cm="1">
        <f t="array" ref="G4433">IFERROR(VLOOKUP(INPUT!M4428&amp;INPUT!N4428,CHOOSE({1,2},INPUT!$A$3:$A$5000&amp;INPUT!$C$3:$C$5000,INPUT!$F$3:$F$5000),2,FALSE),"")</f>
        <v>0</v>
      </c>
      <c r="H4433" cm="1">
        <f t="array" ref="H4433">IFERROR(VLOOKUP(INPUT!M4428&amp;INPUT!N4428,CHOOSE({1,2},INPUT!$A$3:$A$5000&amp;INPUT!$C$3:$C$5000,INPUT!$D$3:$D$5000),2,FALSE),"")</f>
        <v>0</v>
      </c>
      <c r="I4433" s="46" t="str">
        <f>IF(INPUT!P4428="","",INPUT!P4428)</f>
        <v/>
      </c>
      <c r="J4433" s="46" t="str">
        <f>IF(INPUT!Q4428="","",INPUT!Q4428)</f>
        <v/>
      </c>
      <c r="K4433" s="46" t="str">
        <f>IFERROR(IF(OR(INPUT!P4428="",INPUT!Q4428=""),"",INPUT!P4428-INPUT!Q4428),"")</f>
        <v/>
      </c>
      <c r="L4433" s="48" t="str">
        <f>IFERROR(IF(OR(INPUT!P4428="",INPUT!Q4428="",INPUT!P4428=0),"",(INPUT!P4428-INPUT!Q4428)/INPUT!P4428),"")</f>
        <v/>
      </c>
    </row>
    <row r="4434" spans="1:12" ht="18" hidden="1" customHeight="1" x14ac:dyDescent="0.2">
      <c r="A4434" s="11" t="str">
        <f>IF(INPUT!M4429="","",INPUT!M4429)</f>
        <v/>
      </c>
      <c r="B4434" s="11" t="str">
        <f>IF(INPUT!M4429="","",INPUT!M4429-WEEKDAY(INPUT!M4429,2)+1)</f>
        <v/>
      </c>
      <c r="C4434" s="20">
        <f>IFERROR(_xlfn.ISOWEEKNUM(INPUT!M4429),"")</f>
        <v>52</v>
      </c>
      <c r="D4434" s="20">
        <f>IFERROR(YEAR(INPUT!M4429),"")</f>
        <v>1900</v>
      </c>
      <c r="E4434" t="str">
        <f>IF(INPUT!O4429="","",INPUT!O4429)</f>
        <v/>
      </c>
      <c r="F4434" t="str">
        <f>IF(INPUT!N4429="","",INPUT!N4429)</f>
        <v/>
      </c>
      <c r="G4434" cm="1">
        <f t="array" ref="G4434">IFERROR(VLOOKUP(INPUT!M4429&amp;INPUT!N4429,CHOOSE({1,2},INPUT!$A$3:$A$5000&amp;INPUT!$C$3:$C$5000,INPUT!$F$3:$F$5000),2,FALSE),"")</f>
        <v>0</v>
      </c>
      <c r="H4434" cm="1">
        <f t="array" ref="H4434">IFERROR(VLOOKUP(INPUT!M4429&amp;INPUT!N4429,CHOOSE({1,2},INPUT!$A$3:$A$5000&amp;INPUT!$C$3:$C$5000,INPUT!$D$3:$D$5000),2,FALSE),"")</f>
        <v>0</v>
      </c>
      <c r="I4434" s="46" t="str">
        <f>IF(INPUT!P4429="","",INPUT!P4429)</f>
        <v/>
      </c>
      <c r="J4434" s="46" t="str">
        <f>IF(INPUT!Q4429="","",INPUT!Q4429)</f>
        <v/>
      </c>
      <c r="K4434" s="46" t="str">
        <f>IFERROR(IF(OR(INPUT!P4429="",INPUT!Q4429=""),"",INPUT!P4429-INPUT!Q4429),"")</f>
        <v/>
      </c>
      <c r="L4434" s="48" t="str">
        <f>IFERROR(IF(OR(INPUT!P4429="",INPUT!Q4429="",INPUT!P4429=0),"",(INPUT!P4429-INPUT!Q4429)/INPUT!P4429),"")</f>
        <v/>
      </c>
    </row>
    <row r="4435" spans="1:12" ht="18" hidden="1" customHeight="1" x14ac:dyDescent="0.2">
      <c r="A4435" s="11" t="str">
        <f>IF(INPUT!M4430="","",INPUT!M4430)</f>
        <v/>
      </c>
      <c r="B4435" s="11" t="str">
        <f>IF(INPUT!M4430="","",INPUT!M4430-WEEKDAY(INPUT!M4430,2)+1)</f>
        <v/>
      </c>
      <c r="C4435" s="20">
        <f>IFERROR(_xlfn.ISOWEEKNUM(INPUT!M4430),"")</f>
        <v>52</v>
      </c>
      <c r="D4435" s="20">
        <f>IFERROR(YEAR(INPUT!M4430),"")</f>
        <v>1900</v>
      </c>
      <c r="E4435" t="str">
        <f>IF(INPUT!O4430="","",INPUT!O4430)</f>
        <v/>
      </c>
      <c r="F4435" t="str">
        <f>IF(INPUT!N4430="","",INPUT!N4430)</f>
        <v/>
      </c>
      <c r="G4435" cm="1">
        <f t="array" ref="G4435">IFERROR(VLOOKUP(INPUT!M4430&amp;INPUT!N4430,CHOOSE({1,2},INPUT!$A$3:$A$5000&amp;INPUT!$C$3:$C$5000,INPUT!$F$3:$F$5000),2,FALSE),"")</f>
        <v>0</v>
      </c>
      <c r="H4435" cm="1">
        <f t="array" ref="H4435">IFERROR(VLOOKUP(INPUT!M4430&amp;INPUT!N4430,CHOOSE({1,2},INPUT!$A$3:$A$5000&amp;INPUT!$C$3:$C$5000,INPUT!$D$3:$D$5000),2,FALSE),"")</f>
        <v>0</v>
      </c>
      <c r="I4435" s="46" t="str">
        <f>IF(INPUT!P4430="","",INPUT!P4430)</f>
        <v/>
      </c>
      <c r="J4435" s="46" t="str">
        <f>IF(INPUT!Q4430="","",INPUT!Q4430)</f>
        <v/>
      </c>
      <c r="K4435" s="46" t="str">
        <f>IFERROR(IF(OR(INPUT!P4430="",INPUT!Q4430=""),"",INPUT!P4430-INPUT!Q4430),"")</f>
        <v/>
      </c>
      <c r="L4435" s="48" t="str">
        <f>IFERROR(IF(OR(INPUT!P4430="",INPUT!Q4430="",INPUT!P4430=0),"",(INPUT!P4430-INPUT!Q4430)/INPUT!P4430),"")</f>
        <v/>
      </c>
    </row>
    <row r="4436" spans="1:12" ht="18" hidden="1" customHeight="1" x14ac:dyDescent="0.2">
      <c r="A4436" s="11" t="str">
        <f>IF(INPUT!M4431="","",INPUT!M4431)</f>
        <v/>
      </c>
      <c r="B4436" s="11" t="str">
        <f>IF(INPUT!M4431="","",INPUT!M4431-WEEKDAY(INPUT!M4431,2)+1)</f>
        <v/>
      </c>
      <c r="C4436" s="20">
        <f>IFERROR(_xlfn.ISOWEEKNUM(INPUT!M4431),"")</f>
        <v>52</v>
      </c>
      <c r="D4436" s="20">
        <f>IFERROR(YEAR(INPUT!M4431),"")</f>
        <v>1900</v>
      </c>
      <c r="E4436" t="str">
        <f>IF(INPUT!O4431="","",INPUT!O4431)</f>
        <v/>
      </c>
      <c r="F4436" t="str">
        <f>IF(INPUT!N4431="","",INPUT!N4431)</f>
        <v/>
      </c>
      <c r="G4436" cm="1">
        <f t="array" ref="G4436">IFERROR(VLOOKUP(INPUT!M4431&amp;INPUT!N4431,CHOOSE({1,2},INPUT!$A$3:$A$5000&amp;INPUT!$C$3:$C$5000,INPUT!$F$3:$F$5000),2,FALSE),"")</f>
        <v>0</v>
      </c>
      <c r="H4436" cm="1">
        <f t="array" ref="H4436">IFERROR(VLOOKUP(INPUT!M4431&amp;INPUT!N4431,CHOOSE({1,2},INPUT!$A$3:$A$5000&amp;INPUT!$C$3:$C$5000,INPUT!$D$3:$D$5000),2,FALSE),"")</f>
        <v>0</v>
      </c>
      <c r="I4436" s="46" t="str">
        <f>IF(INPUT!P4431="","",INPUT!P4431)</f>
        <v/>
      </c>
      <c r="J4436" s="46" t="str">
        <f>IF(INPUT!Q4431="","",INPUT!Q4431)</f>
        <v/>
      </c>
      <c r="K4436" s="46" t="str">
        <f>IFERROR(IF(OR(INPUT!P4431="",INPUT!Q4431=""),"",INPUT!P4431-INPUT!Q4431),"")</f>
        <v/>
      </c>
      <c r="L4436" s="48" t="str">
        <f>IFERROR(IF(OR(INPUT!P4431="",INPUT!Q4431="",INPUT!P4431=0),"",(INPUT!P4431-INPUT!Q4431)/INPUT!P4431),"")</f>
        <v/>
      </c>
    </row>
    <row r="4437" spans="1:12" ht="18" hidden="1" customHeight="1" x14ac:dyDescent="0.2">
      <c r="A4437" s="11" t="str">
        <f>IF(INPUT!M4432="","",INPUT!M4432)</f>
        <v/>
      </c>
      <c r="B4437" s="11" t="str">
        <f>IF(INPUT!M4432="","",INPUT!M4432-WEEKDAY(INPUT!M4432,2)+1)</f>
        <v/>
      </c>
      <c r="C4437" s="20">
        <f>IFERROR(_xlfn.ISOWEEKNUM(INPUT!M4432),"")</f>
        <v>52</v>
      </c>
      <c r="D4437" s="20">
        <f>IFERROR(YEAR(INPUT!M4432),"")</f>
        <v>1900</v>
      </c>
      <c r="E4437" t="str">
        <f>IF(INPUT!O4432="","",INPUT!O4432)</f>
        <v/>
      </c>
      <c r="F4437" t="str">
        <f>IF(INPUT!N4432="","",INPUT!N4432)</f>
        <v/>
      </c>
      <c r="G4437" cm="1">
        <f t="array" ref="G4437">IFERROR(VLOOKUP(INPUT!M4432&amp;INPUT!N4432,CHOOSE({1,2},INPUT!$A$3:$A$5000&amp;INPUT!$C$3:$C$5000,INPUT!$F$3:$F$5000),2,FALSE),"")</f>
        <v>0</v>
      </c>
      <c r="H4437" cm="1">
        <f t="array" ref="H4437">IFERROR(VLOOKUP(INPUT!M4432&amp;INPUT!N4432,CHOOSE({1,2},INPUT!$A$3:$A$5000&amp;INPUT!$C$3:$C$5000,INPUT!$D$3:$D$5000),2,FALSE),"")</f>
        <v>0</v>
      </c>
      <c r="I4437" s="46" t="str">
        <f>IF(INPUT!P4432="","",INPUT!P4432)</f>
        <v/>
      </c>
      <c r="J4437" s="46" t="str">
        <f>IF(INPUT!Q4432="","",INPUT!Q4432)</f>
        <v/>
      </c>
      <c r="K4437" s="46" t="str">
        <f>IFERROR(IF(OR(INPUT!P4432="",INPUT!Q4432=""),"",INPUT!P4432-INPUT!Q4432),"")</f>
        <v/>
      </c>
      <c r="L4437" s="48" t="str">
        <f>IFERROR(IF(OR(INPUT!P4432="",INPUT!Q4432="",INPUT!P4432=0),"",(INPUT!P4432-INPUT!Q4432)/INPUT!P4432),"")</f>
        <v/>
      </c>
    </row>
    <row r="4438" spans="1:12" ht="18" hidden="1" customHeight="1" x14ac:dyDescent="0.2">
      <c r="A4438" s="11" t="str">
        <f>IF(INPUT!M4433="","",INPUT!M4433)</f>
        <v/>
      </c>
      <c r="B4438" s="11" t="str">
        <f>IF(INPUT!M4433="","",INPUT!M4433-WEEKDAY(INPUT!M4433,2)+1)</f>
        <v/>
      </c>
      <c r="C4438" s="20">
        <f>IFERROR(_xlfn.ISOWEEKNUM(INPUT!M4433),"")</f>
        <v>52</v>
      </c>
      <c r="D4438" s="20">
        <f>IFERROR(YEAR(INPUT!M4433),"")</f>
        <v>1900</v>
      </c>
      <c r="E4438" t="str">
        <f>IF(INPUT!O4433="","",INPUT!O4433)</f>
        <v/>
      </c>
      <c r="F4438" t="str">
        <f>IF(INPUT!N4433="","",INPUT!N4433)</f>
        <v/>
      </c>
      <c r="G4438" cm="1">
        <f t="array" ref="G4438">IFERROR(VLOOKUP(INPUT!M4433&amp;INPUT!N4433,CHOOSE({1,2},INPUT!$A$3:$A$5000&amp;INPUT!$C$3:$C$5000,INPUT!$F$3:$F$5000),2,FALSE),"")</f>
        <v>0</v>
      </c>
      <c r="H4438" cm="1">
        <f t="array" ref="H4438">IFERROR(VLOOKUP(INPUT!M4433&amp;INPUT!N4433,CHOOSE({1,2},INPUT!$A$3:$A$5000&amp;INPUT!$C$3:$C$5000,INPUT!$D$3:$D$5000),2,FALSE),"")</f>
        <v>0</v>
      </c>
      <c r="I4438" s="46" t="str">
        <f>IF(INPUT!P4433="","",INPUT!P4433)</f>
        <v/>
      </c>
      <c r="J4438" s="46" t="str">
        <f>IF(INPUT!Q4433="","",INPUT!Q4433)</f>
        <v/>
      </c>
      <c r="K4438" s="46" t="str">
        <f>IFERROR(IF(OR(INPUT!P4433="",INPUT!Q4433=""),"",INPUT!P4433-INPUT!Q4433),"")</f>
        <v/>
      </c>
      <c r="L4438" s="48" t="str">
        <f>IFERROR(IF(OR(INPUT!P4433="",INPUT!Q4433="",INPUT!P4433=0),"",(INPUT!P4433-INPUT!Q4433)/INPUT!P4433),"")</f>
        <v/>
      </c>
    </row>
    <row r="4439" spans="1:12" ht="18" hidden="1" customHeight="1" x14ac:dyDescent="0.2">
      <c r="A4439" s="11" t="str">
        <f>IF(INPUT!M4434="","",INPUT!M4434)</f>
        <v/>
      </c>
      <c r="B4439" s="11" t="str">
        <f>IF(INPUT!M4434="","",INPUT!M4434-WEEKDAY(INPUT!M4434,2)+1)</f>
        <v/>
      </c>
      <c r="C4439" s="20">
        <f>IFERROR(_xlfn.ISOWEEKNUM(INPUT!M4434),"")</f>
        <v>52</v>
      </c>
      <c r="D4439" s="20">
        <f>IFERROR(YEAR(INPUT!M4434),"")</f>
        <v>1900</v>
      </c>
      <c r="E4439" t="str">
        <f>IF(INPUT!O4434="","",INPUT!O4434)</f>
        <v/>
      </c>
      <c r="F4439" t="str">
        <f>IF(INPUT!N4434="","",INPUT!N4434)</f>
        <v/>
      </c>
      <c r="G4439" cm="1">
        <f t="array" ref="G4439">IFERROR(VLOOKUP(INPUT!M4434&amp;INPUT!N4434,CHOOSE({1,2},INPUT!$A$3:$A$5000&amp;INPUT!$C$3:$C$5000,INPUT!$F$3:$F$5000),2,FALSE),"")</f>
        <v>0</v>
      </c>
      <c r="H4439" cm="1">
        <f t="array" ref="H4439">IFERROR(VLOOKUP(INPUT!M4434&amp;INPUT!N4434,CHOOSE({1,2},INPUT!$A$3:$A$5000&amp;INPUT!$C$3:$C$5000,INPUT!$D$3:$D$5000),2,FALSE),"")</f>
        <v>0</v>
      </c>
      <c r="I4439" s="46" t="str">
        <f>IF(INPUT!P4434="","",INPUT!P4434)</f>
        <v/>
      </c>
      <c r="J4439" s="46" t="str">
        <f>IF(INPUT!Q4434="","",INPUT!Q4434)</f>
        <v/>
      </c>
      <c r="K4439" s="46" t="str">
        <f>IFERROR(IF(OR(INPUT!P4434="",INPUT!Q4434=""),"",INPUT!P4434-INPUT!Q4434),"")</f>
        <v/>
      </c>
      <c r="L4439" s="48" t="str">
        <f>IFERROR(IF(OR(INPUT!P4434="",INPUT!Q4434="",INPUT!P4434=0),"",(INPUT!P4434-INPUT!Q4434)/INPUT!P4434),"")</f>
        <v/>
      </c>
    </row>
    <row r="4440" spans="1:12" ht="18" hidden="1" customHeight="1" x14ac:dyDescent="0.2">
      <c r="A4440" s="11" t="str">
        <f>IF(INPUT!M4435="","",INPUT!M4435)</f>
        <v/>
      </c>
      <c r="B4440" s="11" t="str">
        <f>IF(INPUT!M4435="","",INPUT!M4435-WEEKDAY(INPUT!M4435,2)+1)</f>
        <v/>
      </c>
      <c r="C4440" s="20">
        <f>IFERROR(_xlfn.ISOWEEKNUM(INPUT!M4435),"")</f>
        <v>52</v>
      </c>
      <c r="D4440" s="20">
        <f>IFERROR(YEAR(INPUT!M4435),"")</f>
        <v>1900</v>
      </c>
      <c r="E4440" t="str">
        <f>IF(INPUT!O4435="","",INPUT!O4435)</f>
        <v/>
      </c>
      <c r="F4440" t="str">
        <f>IF(INPUT!N4435="","",INPUT!N4435)</f>
        <v/>
      </c>
      <c r="G4440" cm="1">
        <f t="array" ref="G4440">IFERROR(VLOOKUP(INPUT!M4435&amp;INPUT!N4435,CHOOSE({1,2},INPUT!$A$3:$A$5000&amp;INPUT!$C$3:$C$5000,INPUT!$F$3:$F$5000),2,FALSE),"")</f>
        <v>0</v>
      </c>
      <c r="H4440" cm="1">
        <f t="array" ref="H4440">IFERROR(VLOOKUP(INPUT!M4435&amp;INPUT!N4435,CHOOSE({1,2},INPUT!$A$3:$A$5000&amp;INPUT!$C$3:$C$5000,INPUT!$D$3:$D$5000),2,FALSE),"")</f>
        <v>0</v>
      </c>
      <c r="I4440" s="46" t="str">
        <f>IF(INPUT!P4435="","",INPUT!P4435)</f>
        <v/>
      </c>
      <c r="J4440" s="46" t="str">
        <f>IF(INPUT!Q4435="","",INPUT!Q4435)</f>
        <v/>
      </c>
      <c r="K4440" s="46" t="str">
        <f>IFERROR(IF(OR(INPUT!P4435="",INPUT!Q4435=""),"",INPUT!P4435-INPUT!Q4435),"")</f>
        <v/>
      </c>
      <c r="L4440" s="48" t="str">
        <f>IFERROR(IF(OR(INPUT!P4435="",INPUT!Q4435="",INPUT!P4435=0),"",(INPUT!P4435-INPUT!Q4435)/INPUT!P4435),"")</f>
        <v/>
      </c>
    </row>
    <row r="4441" spans="1:12" ht="18" hidden="1" customHeight="1" x14ac:dyDescent="0.2">
      <c r="A4441" s="11" t="str">
        <f>IF(INPUT!M4436="","",INPUT!M4436)</f>
        <v/>
      </c>
      <c r="B4441" s="11" t="str">
        <f>IF(INPUT!M4436="","",INPUT!M4436-WEEKDAY(INPUT!M4436,2)+1)</f>
        <v/>
      </c>
      <c r="C4441" s="20">
        <f>IFERROR(_xlfn.ISOWEEKNUM(INPUT!M4436),"")</f>
        <v>52</v>
      </c>
      <c r="D4441" s="20">
        <f>IFERROR(YEAR(INPUT!M4436),"")</f>
        <v>1900</v>
      </c>
      <c r="E4441" t="str">
        <f>IF(INPUT!O4436="","",INPUT!O4436)</f>
        <v/>
      </c>
      <c r="F4441" t="str">
        <f>IF(INPUT!N4436="","",INPUT!N4436)</f>
        <v/>
      </c>
      <c r="G4441" cm="1">
        <f t="array" ref="G4441">IFERROR(VLOOKUP(INPUT!M4436&amp;INPUT!N4436,CHOOSE({1,2},INPUT!$A$3:$A$5000&amp;INPUT!$C$3:$C$5000,INPUT!$F$3:$F$5000),2,FALSE),"")</f>
        <v>0</v>
      </c>
      <c r="H4441" cm="1">
        <f t="array" ref="H4441">IFERROR(VLOOKUP(INPUT!M4436&amp;INPUT!N4436,CHOOSE({1,2},INPUT!$A$3:$A$5000&amp;INPUT!$C$3:$C$5000,INPUT!$D$3:$D$5000),2,FALSE),"")</f>
        <v>0</v>
      </c>
      <c r="I4441" s="46" t="str">
        <f>IF(INPUT!P4436="","",INPUT!P4436)</f>
        <v/>
      </c>
      <c r="J4441" s="46" t="str">
        <f>IF(INPUT!Q4436="","",INPUT!Q4436)</f>
        <v/>
      </c>
      <c r="K4441" s="46" t="str">
        <f>IFERROR(IF(OR(INPUT!P4436="",INPUT!Q4436=""),"",INPUT!P4436-INPUT!Q4436),"")</f>
        <v/>
      </c>
      <c r="L4441" s="48" t="str">
        <f>IFERROR(IF(OR(INPUT!P4436="",INPUT!Q4436="",INPUT!P4436=0),"",(INPUT!P4436-INPUT!Q4436)/INPUT!P4436),"")</f>
        <v/>
      </c>
    </row>
    <row r="4442" spans="1:12" ht="18" hidden="1" customHeight="1" x14ac:dyDescent="0.2">
      <c r="A4442" s="11" t="str">
        <f>IF(INPUT!M4437="","",INPUT!M4437)</f>
        <v/>
      </c>
      <c r="B4442" s="11" t="str">
        <f>IF(INPUT!M4437="","",INPUT!M4437-WEEKDAY(INPUT!M4437,2)+1)</f>
        <v/>
      </c>
      <c r="C4442" s="20">
        <f>IFERROR(_xlfn.ISOWEEKNUM(INPUT!M4437),"")</f>
        <v>52</v>
      </c>
      <c r="D4442" s="20">
        <f>IFERROR(YEAR(INPUT!M4437),"")</f>
        <v>1900</v>
      </c>
      <c r="E4442" t="str">
        <f>IF(INPUT!O4437="","",INPUT!O4437)</f>
        <v/>
      </c>
      <c r="F4442" t="str">
        <f>IF(INPUT!N4437="","",INPUT!N4437)</f>
        <v/>
      </c>
      <c r="G4442" cm="1">
        <f t="array" ref="G4442">IFERROR(VLOOKUP(INPUT!M4437&amp;INPUT!N4437,CHOOSE({1,2},INPUT!$A$3:$A$5000&amp;INPUT!$C$3:$C$5000,INPUT!$F$3:$F$5000),2,FALSE),"")</f>
        <v>0</v>
      </c>
      <c r="H4442" cm="1">
        <f t="array" ref="H4442">IFERROR(VLOOKUP(INPUT!M4437&amp;INPUT!N4437,CHOOSE({1,2},INPUT!$A$3:$A$5000&amp;INPUT!$C$3:$C$5000,INPUT!$D$3:$D$5000),2,FALSE),"")</f>
        <v>0</v>
      </c>
      <c r="I4442" s="46" t="str">
        <f>IF(INPUT!P4437="","",INPUT!P4437)</f>
        <v/>
      </c>
      <c r="J4442" s="46" t="str">
        <f>IF(INPUT!Q4437="","",INPUT!Q4437)</f>
        <v/>
      </c>
      <c r="K4442" s="46" t="str">
        <f>IFERROR(IF(OR(INPUT!P4437="",INPUT!Q4437=""),"",INPUT!P4437-INPUT!Q4437),"")</f>
        <v/>
      </c>
      <c r="L4442" s="48" t="str">
        <f>IFERROR(IF(OR(INPUT!P4437="",INPUT!Q4437="",INPUT!P4437=0),"",(INPUT!P4437-INPUT!Q4437)/INPUT!P4437),"")</f>
        <v/>
      </c>
    </row>
    <row r="4443" spans="1:12" ht="18" hidden="1" customHeight="1" x14ac:dyDescent="0.2">
      <c r="A4443" s="11" t="str">
        <f>IF(INPUT!M4438="","",INPUT!M4438)</f>
        <v/>
      </c>
      <c r="B4443" s="11" t="str">
        <f>IF(INPUT!M4438="","",INPUT!M4438-WEEKDAY(INPUT!M4438,2)+1)</f>
        <v/>
      </c>
      <c r="C4443" s="20">
        <f>IFERROR(_xlfn.ISOWEEKNUM(INPUT!M4438),"")</f>
        <v>52</v>
      </c>
      <c r="D4443" s="20">
        <f>IFERROR(YEAR(INPUT!M4438),"")</f>
        <v>1900</v>
      </c>
      <c r="E4443" t="str">
        <f>IF(INPUT!O4438="","",INPUT!O4438)</f>
        <v/>
      </c>
      <c r="F4443" t="str">
        <f>IF(INPUT!N4438="","",INPUT!N4438)</f>
        <v/>
      </c>
      <c r="G4443" cm="1">
        <f t="array" ref="G4443">IFERROR(VLOOKUP(INPUT!M4438&amp;INPUT!N4438,CHOOSE({1,2},INPUT!$A$3:$A$5000&amp;INPUT!$C$3:$C$5000,INPUT!$F$3:$F$5000),2,FALSE),"")</f>
        <v>0</v>
      </c>
      <c r="H4443" cm="1">
        <f t="array" ref="H4443">IFERROR(VLOOKUP(INPUT!M4438&amp;INPUT!N4438,CHOOSE({1,2},INPUT!$A$3:$A$5000&amp;INPUT!$C$3:$C$5000,INPUT!$D$3:$D$5000),2,FALSE),"")</f>
        <v>0</v>
      </c>
      <c r="I4443" s="46" t="str">
        <f>IF(INPUT!P4438="","",INPUT!P4438)</f>
        <v/>
      </c>
      <c r="J4443" s="46" t="str">
        <f>IF(INPUT!Q4438="","",INPUT!Q4438)</f>
        <v/>
      </c>
      <c r="K4443" s="46" t="str">
        <f>IFERROR(IF(OR(INPUT!P4438="",INPUT!Q4438=""),"",INPUT!P4438-INPUT!Q4438),"")</f>
        <v/>
      </c>
      <c r="L4443" s="48" t="str">
        <f>IFERROR(IF(OR(INPUT!P4438="",INPUT!Q4438="",INPUT!P4438=0),"",(INPUT!P4438-INPUT!Q4438)/INPUT!P4438),"")</f>
        <v/>
      </c>
    </row>
    <row r="4444" spans="1:12" ht="18" hidden="1" customHeight="1" x14ac:dyDescent="0.2">
      <c r="A4444" s="11" t="str">
        <f>IF(INPUT!M4439="","",INPUT!M4439)</f>
        <v/>
      </c>
      <c r="B4444" s="11" t="str">
        <f>IF(INPUT!M4439="","",INPUT!M4439-WEEKDAY(INPUT!M4439,2)+1)</f>
        <v/>
      </c>
      <c r="C4444" s="20">
        <f>IFERROR(_xlfn.ISOWEEKNUM(INPUT!M4439),"")</f>
        <v>52</v>
      </c>
      <c r="D4444" s="20">
        <f>IFERROR(YEAR(INPUT!M4439),"")</f>
        <v>1900</v>
      </c>
      <c r="E4444" t="str">
        <f>IF(INPUT!O4439="","",INPUT!O4439)</f>
        <v/>
      </c>
      <c r="F4444" t="str">
        <f>IF(INPUT!N4439="","",INPUT!N4439)</f>
        <v/>
      </c>
      <c r="G4444" cm="1">
        <f t="array" ref="G4444">IFERROR(VLOOKUP(INPUT!M4439&amp;INPUT!N4439,CHOOSE({1,2},INPUT!$A$3:$A$5000&amp;INPUT!$C$3:$C$5000,INPUT!$F$3:$F$5000),2,FALSE),"")</f>
        <v>0</v>
      </c>
      <c r="H4444" cm="1">
        <f t="array" ref="H4444">IFERROR(VLOOKUP(INPUT!M4439&amp;INPUT!N4439,CHOOSE({1,2},INPUT!$A$3:$A$5000&amp;INPUT!$C$3:$C$5000,INPUT!$D$3:$D$5000),2,FALSE),"")</f>
        <v>0</v>
      </c>
      <c r="I4444" s="46" t="str">
        <f>IF(INPUT!P4439="","",INPUT!P4439)</f>
        <v/>
      </c>
      <c r="J4444" s="46" t="str">
        <f>IF(INPUT!Q4439="","",INPUT!Q4439)</f>
        <v/>
      </c>
      <c r="K4444" s="46" t="str">
        <f>IFERROR(IF(OR(INPUT!P4439="",INPUT!Q4439=""),"",INPUT!P4439-INPUT!Q4439),"")</f>
        <v/>
      </c>
      <c r="L4444" s="48" t="str">
        <f>IFERROR(IF(OR(INPUT!P4439="",INPUT!Q4439="",INPUT!P4439=0),"",(INPUT!P4439-INPUT!Q4439)/INPUT!P4439),"")</f>
        <v/>
      </c>
    </row>
    <row r="4445" spans="1:12" ht="18" hidden="1" customHeight="1" x14ac:dyDescent="0.2">
      <c r="A4445" s="11" t="str">
        <f>IF(INPUT!M4440="","",INPUT!M4440)</f>
        <v/>
      </c>
      <c r="B4445" s="11" t="str">
        <f>IF(INPUT!M4440="","",INPUT!M4440-WEEKDAY(INPUT!M4440,2)+1)</f>
        <v/>
      </c>
      <c r="C4445" s="20">
        <f>IFERROR(_xlfn.ISOWEEKNUM(INPUT!M4440),"")</f>
        <v>52</v>
      </c>
      <c r="D4445" s="20">
        <f>IFERROR(YEAR(INPUT!M4440),"")</f>
        <v>1900</v>
      </c>
      <c r="E4445" t="str">
        <f>IF(INPUT!O4440="","",INPUT!O4440)</f>
        <v/>
      </c>
      <c r="F4445" t="str">
        <f>IF(INPUT!N4440="","",INPUT!N4440)</f>
        <v/>
      </c>
      <c r="G4445" cm="1">
        <f t="array" ref="G4445">IFERROR(VLOOKUP(INPUT!M4440&amp;INPUT!N4440,CHOOSE({1,2},INPUT!$A$3:$A$5000&amp;INPUT!$C$3:$C$5000,INPUT!$F$3:$F$5000),2,FALSE),"")</f>
        <v>0</v>
      </c>
      <c r="H4445" cm="1">
        <f t="array" ref="H4445">IFERROR(VLOOKUP(INPUT!M4440&amp;INPUT!N4440,CHOOSE({1,2},INPUT!$A$3:$A$5000&amp;INPUT!$C$3:$C$5000,INPUT!$D$3:$D$5000),2,FALSE),"")</f>
        <v>0</v>
      </c>
      <c r="I4445" s="46" t="str">
        <f>IF(INPUT!P4440="","",INPUT!P4440)</f>
        <v/>
      </c>
      <c r="J4445" s="46" t="str">
        <f>IF(INPUT!Q4440="","",INPUT!Q4440)</f>
        <v/>
      </c>
      <c r="K4445" s="46" t="str">
        <f>IFERROR(IF(OR(INPUT!P4440="",INPUT!Q4440=""),"",INPUT!P4440-INPUT!Q4440),"")</f>
        <v/>
      </c>
      <c r="L4445" s="48" t="str">
        <f>IFERROR(IF(OR(INPUT!P4440="",INPUT!Q4440="",INPUT!P4440=0),"",(INPUT!P4440-INPUT!Q4440)/INPUT!P4440),"")</f>
        <v/>
      </c>
    </row>
    <row r="4446" spans="1:12" ht="18" hidden="1" customHeight="1" x14ac:dyDescent="0.2">
      <c r="A4446" s="11" t="str">
        <f>IF(INPUT!M4441="","",INPUT!M4441)</f>
        <v/>
      </c>
      <c r="B4446" s="11" t="str">
        <f>IF(INPUT!M4441="","",INPUT!M4441-WEEKDAY(INPUT!M4441,2)+1)</f>
        <v/>
      </c>
      <c r="C4446" s="20">
        <f>IFERROR(_xlfn.ISOWEEKNUM(INPUT!M4441),"")</f>
        <v>52</v>
      </c>
      <c r="D4446" s="20">
        <f>IFERROR(YEAR(INPUT!M4441),"")</f>
        <v>1900</v>
      </c>
      <c r="E4446" t="str">
        <f>IF(INPUT!O4441="","",INPUT!O4441)</f>
        <v/>
      </c>
      <c r="F4446" t="str">
        <f>IF(INPUT!N4441="","",INPUT!N4441)</f>
        <v/>
      </c>
      <c r="G4446" cm="1">
        <f t="array" ref="G4446">IFERROR(VLOOKUP(INPUT!M4441&amp;INPUT!N4441,CHOOSE({1,2},INPUT!$A$3:$A$5000&amp;INPUT!$C$3:$C$5000,INPUT!$F$3:$F$5000),2,FALSE),"")</f>
        <v>0</v>
      </c>
      <c r="H4446" cm="1">
        <f t="array" ref="H4446">IFERROR(VLOOKUP(INPUT!M4441&amp;INPUT!N4441,CHOOSE({1,2},INPUT!$A$3:$A$5000&amp;INPUT!$C$3:$C$5000,INPUT!$D$3:$D$5000),2,FALSE),"")</f>
        <v>0</v>
      </c>
      <c r="I4446" s="46" t="str">
        <f>IF(INPUT!P4441="","",INPUT!P4441)</f>
        <v/>
      </c>
      <c r="J4446" s="46" t="str">
        <f>IF(INPUT!Q4441="","",INPUT!Q4441)</f>
        <v/>
      </c>
      <c r="K4446" s="46" t="str">
        <f>IFERROR(IF(OR(INPUT!P4441="",INPUT!Q4441=""),"",INPUT!P4441-INPUT!Q4441),"")</f>
        <v/>
      </c>
      <c r="L4446" s="48" t="str">
        <f>IFERROR(IF(OR(INPUT!P4441="",INPUT!Q4441="",INPUT!P4441=0),"",(INPUT!P4441-INPUT!Q4441)/INPUT!P4441),"")</f>
        <v/>
      </c>
    </row>
    <row r="4447" spans="1:12" ht="18" hidden="1" customHeight="1" x14ac:dyDescent="0.2">
      <c r="A4447" s="11" t="str">
        <f>IF(INPUT!M4442="","",INPUT!M4442)</f>
        <v/>
      </c>
      <c r="B4447" s="11" t="str">
        <f>IF(INPUT!M4442="","",INPUT!M4442-WEEKDAY(INPUT!M4442,2)+1)</f>
        <v/>
      </c>
      <c r="C4447" s="20">
        <f>IFERROR(_xlfn.ISOWEEKNUM(INPUT!M4442),"")</f>
        <v>52</v>
      </c>
      <c r="D4447" s="20">
        <f>IFERROR(YEAR(INPUT!M4442),"")</f>
        <v>1900</v>
      </c>
      <c r="E4447" t="str">
        <f>IF(INPUT!O4442="","",INPUT!O4442)</f>
        <v/>
      </c>
      <c r="F4447" t="str">
        <f>IF(INPUT!N4442="","",INPUT!N4442)</f>
        <v/>
      </c>
      <c r="G4447" cm="1">
        <f t="array" ref="G4447">IFERROR(VLOOKUP(INPUT!M4442&amp;INPUT!N4442,CHOOSE({1,2},INPUT!$A$3:$A$5000&amp;INPUT!$C$3:$C$5000,INPUT!$F$3:$F$5000),2,FALSE),"")</f>
        <v>0</v>
      </c>
      <c r="H4447" cm="1">
        <f t="array" ref="H4447">IFERROR(VLOOKUP(INPUT!M4442&amp;INPUT!N4442,CHOOSE({1,2},INPUT!$A$3:$A$5000&amp;INPUT!$C$3:$C$5000,INPUT!$D$3:$D$5000),2,FALSE),"")</f>
        <v>0</v>
      </c>
      <c r="I4447" s="46" t="str">
        <f>IF(INPUT!P4442="","",INPUT!P4442)</f>
        <v/>
      </c>
      <c r="J4447" s="46" t="str">
        <f>IF(INPUT!Q4442="","",INPUT!Q4442)</f>
        <v/>
      </c>
      <c r="K4447" s="46" t="str">
        <f>IFERROR(IF(OR(INPUT!P4442="",INPUT!Q4442=""),"",INPUT!P4442-INPUT!Q4442),"")</f>
        <v/>
      </c>
      <c r="L4447" s="48" t="str">
        <f>IFERROR(IF(OR(INPUT!P4442="",INPUT!Q4442="",INPUT!P4442=0),"",(INPUT!P4442-INPUT!Q4442)/INPUT!P4442),"")</f>
        <v/>
      </c>
    </row>
    <row r="4448" spans="1:12" ht="18" hidden="1" customHeight="1" x14ac:dyDescent="0.2">
      <c r="A4448" s="11" t="str">
        <f>IF(INPUT!M4443="","",INPUT!M4443)</f>
        <v/>
      </c>
      <c r="B4448" s="11" t="str">
        <f>IF(INPUT!M4443="","",INPUT!M4443-WEEKDAY(INPUT!M4443,2)+1)</f>
        <v/>
      </c>
      <c r="C4448" s="20">
        <f>IFERROR(_xlfn.ISOWEEKNUM(INPUT!M4443),"")</f>
        <v>52</v>
      </c>
      <c r="D4448" s="20">
        <f>IFERROR(YEAR(INPUT!M4443),"")</f>
        <v>1900</v>
      </c>
      <c r="E4448" t="str">
        <f>IF(INPUT!O4443="","",INPUT!O4443)</f>
        <v/>
      </c>
      <c r="F4448" t="str">
        <f>IF(INPUT!N4443="","",INPUT!N4443)</f>
        <v/>
      </c>
      <c r="G4448" cm="1">
        <f t="array" ref="G4448">IFERROR(VLOOKUP(INPUT!M4443&amp;INPUT!N4443,CHOOSE({1,2},INPUT!$A$3:$A$5000&amp;INPUT!$C$3:$C$5000,INPUT!$F$3:$F$5000),2,FALSE),"")</f>
        <v>0</v>
      </c>
      <c r="H4448" cm="1">
        <f t="array" ref="H4448">IFERROR(VLOOKUP(INPUT!M4443&amp;INPUT!N4443,CHOOSE({1,2},INPUT!$A$3:$A$5000&amp;INPUT!$C$3:$C$5000,INPUT!$D$3:$D$5000),2,FALSE),"")</f>
        <v>0</v>
      </c>
      <c r="I4448" s="46" t="str">
        <f>IF(INPUT!P4443="","",INPUT!P4443)</f>
        <v/>
      </c>
      <c r="J4448" s="46" t="str">
        <f>IF(INPUT!Q4443="","",INPUT!Q4443)</f>
        <v/>
      </c>
      <c r="K4448" s="46" t="str">
        <f>IFERROR(IF(OR(INPUT!P4443="",INPUT!Q4443=""),"",INPUT!P4443-INPUT!Q4443),"")</f>
        <v/>
      </c>
      <c r="L4448" s="48" t="str">
        <f>IFERROR(IF(OR(INPUT!P4443="",INPUT!Q4443="",INPUT!P4443=0),"",(INPUT!P4443-INPUT!Q4443)/INPUT!P4443),"")</f>
        <v/>
      </c>
    </row>
    <row r="4449" spans="1:12" ht="18" hidden="1" customHeight="1" x14ac:dyDescent="0.2">
      <c r="A4449" s="11" t="str">
        <f>IF(INPUT!M4444="","",INPUT!M4444)</f>
        <v/>
      </c>
      <c r="B4449" s="11" t="str">
        <f>IF(INPUT!M4444="","",INPUT!M4444-WEEKDAY(INPUT!M4444,2)+1)</f>
        <v/>
      </c>
      <c r="C4449" s="20">
        <f>IFERROR(_xlfn.ISOWEEKNUM(INPUT!M4444),"")</f>
        <v>52</v>
      </c>
      <c r="D4449" s="20">
        <f>IFERROR(YEAR(INPUT!M4444),"")</f>
        <v>1900</v>
      </c>
      <c r="E4449" t="str">
        <f>IF(INPUT!O4444="","",INPUT!O4444)</f>
        <v/>
      </c>
      <c r="F4449" t="str">
        <f>IF(INPUT!N4444="","",INPUT!N4444)</f>
        <v/>
      </c>
      <c r="G4449" cm="1">
        <f t="array" ref="G4449">IFERROR(VLOOKUP(INPUT!M4444&amp;INPUT!N4444,CHOOSE({1,2},INPUT!$A$3:$A$5000&amp;INPUT!$C$3:$C$5000,INPUT!$F$3:$F$5000),2,FALSE),"")</f>
        <v>0</v>
      </c>
      <c r="H4449" cm="1">
        <f t="array" ref="H4449">IFERROR(VLOOKUP(INPUT!M4444&amp;INPUT!N4444,CHOOSE({1,2},INPUT!$A$3:$A$5000&amp;INPUT!$C$3:$C$5000,INPUT!$D$3:$D$5000),2,FALSE),"")</f>
        <v>0</v>
      </c>
      <c r="I4449" s="46" t="str">
        <f>IF(INPUT!P4444="","",INPUT!P4444)</f>
        <v/>
      </c>
      <c r="J4449" s="46" t="str">
        <f>IF(INPUT!Q4444="","",INPUT!Q4444)</f>
        <v/>
      </c>
      <c r="K4449" s="46" t="str">
        <f>IFERROR(IF(OR(INPUT!P4444="",INPUT!Q4444=""),"",INPUT!P4444-INPUT!Q4444),"")</f>
        <v/>
      </c>
      <c r="L4449" s="48" t="str">
        <f>IFERROR(IF(OR(INPUT!P4444="",INPUT!Q4444="",INPUT!P4444=0),"",(INPUT!P4444-INPUT!Q4444)/INPUT!P4444),"")</f>
        <v/>
      </c>
    </row>
    <row r="4450" spans="1:12" ht="18" hidden="1" customHeight="1" x14ac:dyDescent="0.2">
      <c r="A4450" s="11" t="str">
        <f>IF(INPUT!M4445="","",INPUT!M4445)</f>
        <v/>
      </c>
      <c r="B4450" s="11" t="str">
        <f>IF(INPUT!M4445="","",INPUT!M4445-WEEKDAY(INPUT!M4445,2)+1)</f>
        <v/>
      </c>
      <c r="C4450" s="20">
        <f>IFERROR(_xlfn.ISOWEEKNUM(INPUT!M4445),"")</f>
        <v>52</v>
      </c>
      <c r="D4450" s="20">
        <f>IFERROR(YEAR(INPUT!M4445),"")</f>
        <v>1900</v>
      </c>
      <c r="E4450" t="str">
        <f>IF(INPUT!O4445="","",INPUT!O4445)</f>
        <v/>
      </c>
      <c r="F4450" t="str">
        <f>IF(INPUT!N4445="","",INPUT!N4445)</f>
        <v/>
      </c>
      <c r="G4450" cm="1">
        <f t="array" ref="G4450">IFERROR(VLOOKUP(INPUT!M4445&amp;INPUT!N4445,CHOOSE({1,2},INPUT!$A$3:$A$5000&amp;INPUT!$C$3:$C$5000,INPUT!$F$3:$F$5000),2,FALSE),"")</f>
        <v>0</v>
      </c>
      <c r="H4450" cm="1">
        <f t="array" ref="H4450">IFERROR(VLOOKUP(INPUT!M4445&amp;INPUT!N4445,CHOOSE({1,2},INPUT!$A$3:$A$5000&amp;INPUT!$C$3:$C$5000,INPUT!$D$3:$D$5000),2,FALSE),"")</f>
        <v>0</v>
      </c>
      <c r="I4450" s="46" t="str">
        <f>IF(INPUT!P4445="","",INPUT!P4445)</f>
        <v/>
      </c>
      <c r="J4450" s="46" t="str">
        <f>IF(INPUT!Q4445="","",INPUT!Q4445)</f>
        <v/>
      </c>
      <c r="K4450" s="46" t="str">
        <f>IFERROR(IF(OR(INPUT!P4445="",INPUT!Q4445=""),"",INPUT!P4445-INPUT!Q4445),"")</f>
        <v/>
      </c>
      <c r="L4450" s="48" t="str">
        <f>IFERROR(IF(OR(INPUT!P4445="",INPUT!Q4445="",INPUT!P4445=0),"",(INPUT!P4445-INPUT!Q4445)/INPUT!P4445),"")</f>
        <v/>
      </c>
    </row>
    <row r="4451" spans="1:12" ht="18" hidden="1" customHeight="1" x14ac:dyDescent="0.2">
      <c r="A4451" s="11" t="str">
        <f>IF(INPUT!M4446="","",INPUT!M4446)</f>
        <v/>
      </c>
      <c r="B4451" s="11" t="str">
        <f>IF(INPUT!M4446="","",INPUT!M4446-WEEKDAY(INPUT!M4446,2)+1)</f>
        <v/>
      </c>
      <c r="C4451" s="20">
        <f>IFERROR(_xlfn.ISOWEEKNUM(INPUT!M4446),"")</f>
        <v>52</v>
      </c>
      <c r="D4451" s="20">
        <f>IFERROR(YEAR(INPUT!M4446),"")</f>
        <v>1900</v>
      </c>
      <c r="E4451" t="str">
        <f>IF(INPUT!O4446="","",INPUT!O4446)</f>
        <v/>
      </c>
      <c r="F4451" t="str">
        <f>IF(INPUT!N4446="","",INPUT!N4446)</f>
        <v/>
      </c>
      <c r="G4451" cm="1">
        <f t="array" ref="G4451">IFERROR(VLOOKUP(INPUT!M4446&amp;INPUT!N4446,CHOOSE({1,2},INPUT!$A$3:$A$5000&amp;INPUT!$C$3:$C$5000,INPUT!$F$3:$F$5000),2,FALSE),"")</f>
        <v>0</v>
      </c>
      <c r="H4451" cm="1">
        <f t="array" ref="H4451">IFERROR(VLOOKUP(INPUT!M4446&amp;INPUT!N4446,CHOOSE({1,2},INPUT!$A$3:$A$5000&amp;INPUT!$C$3:$C$5000,INPUT!$D$3:$D$5000),2,FALSE),"")</f>
        <v>0</v>
      </c>
      <c r="I4451" s="46" t="str">
        <f>IF(INPUT!P4446="","",INPUT!P4446)</f>
        <v/>
      </c>
      <c r="J4451" s="46" t="str">
        <f>IF(INPUT!Q4446="","",INPUT!Q4446)</f>
        <v/>
      </c>
      <c r="K4451" s="46" t="str">
        <f>IFERROR(IF(OR(INPUT!P4446="",INPUT!Q4446=""),"",INPUT!P4446-INPUT!Q4446),"")</f>
        <v/>
      </c>
      <c r="L4451" s="48" t="str">
        <f>IFERROR(IF(OR(INPUT!P4446="",INPUT!Q4446="",INPUT!P4446=0),"",(INPUT!P4446-INPUT!Q4446)/INPUT!P4446),"")</f>
        <v/>
      </c>
    </row>
    <row r="4452" spans="1:12" ht="18" hidden="1" customHeight="1" x14ac:dyDescent="0.2">
      <c r="A4452" s="11" t="str">
        <f>IF(INPUT!M4447="","",INPUT!M4447)</f>
        <v/>
      </c>
      <c r="B4452" s="11" t="str">
        <f>IF(INPUT!M4447="","",INPUT!M4447-WEEKDAY(INPUT!M4447,2)+1)</f>
        <v/>
      </c>
      <c r="C4452" s="20">
        <f>IFERROR(_xlfn.ISOWEEKNUM(INPUT!M4447),"")</f>
        <v>52</v>
      </c>
      <c r="D4452" s="20">
        <f>IFERROR(YEAR(INPUT!M4447),"")</f>
        <v>1900</v>
      </c>
      <c r="E4452" t="str">
        <f>IF(INPUT!O4447="","",INPUT!O4447)</f>
        <v/>
      </c>
      <c r="F4452" t="str">
        <f>IF(INPUT!N4447="","",INPUT!N4447)</f>
        <v/>
      </c>
      <c r="G4452" cm="1">
        <f t="array" ref="G4452">IFERROR(VLOOKUP(INPUT!M4447&amp;INPUT!N4447,CHOOSE({1,2},INPUT!$A$3:$A$5000&amp;INPUT!$C$3:$C$5000,INPUT!$F$3:$F$5000),2,FALSE),"")</f>
        <v>0</v>
      </c>
      <c r="H4452" cm="1">
        <f t="array" ref="H4452">IFERROR(VLOOKUP(INPUT!M4447&amp;INPUT!N4447,CHOOSE({1,2},INPUT!$A$3:$A$5000&amp;INPUT!$C$3:$C$5000,INPUT!$D$3:$D$5000),2,FALSE),"")</f>
        <v>0</v>
      </c>
      <c r="I4452" s="46" t="str">
        <f>IF(INPUT!P4447="","",INPUT!P4447)</f>
        <v/>
      </c>
      <c r="J4452" s="46" t="str">
        <f>IF(INPUT!Q4447="","",INPUT!Q4447)</f>
        <v/>
      </c>
      <c r="K4452" s="46" t="str">
        <f>IFERROR(IF(OR(INPUT!P4447="",INPUT!Q4447=""),"",INPUT!P4447-INPUT!Q4447),"")</f>
        <v/>
      </c>
      <c r="L4452" s="48" t="str">
        <f>IFERROR(IF(OR(INPUT!P4447="",INPUT!Q4447="",INPUT!P4447=0),"",(INPUT!P4447-INPUT!Q4447)/INPUT!P4447),"")</f>
        <v/>
      </c>
    </row>
    <row r="4453" spans="1:12" ht="18" hidden="1" customHeight="1" x14ac:dyDescent="0.2">
      <c r="A4453" s="11" t="str">
        <f>IF(INPUT!M4448="","",INPUT!M4448)</f>
        <v/>
      </c>
      <c r="B4453" s="11" t="str">
        <f>IF(INPUT!M4448="","",INPUT!M4448-WEEKDAY(INPUT!M4448,2)+1)</f>
        <v/>
      </c>
      <c r="C4453" s="20">
        <f>IFERROR(_xlfn.ISOWEEKNUM(INPUT!M4448),"")</f>
        <v>52</v>
      </c>
      <c r="D4453" s="20">
        <f>IFERROR(YEAR(INPUT!M4448),"")</f>
        <v>1900</v>
      </c>
      <c r="E4453" t="str">
        <f>IF(INPUT!O4448="","",INPUT!O4448)</f>
        <v/>
      </c>
      <c r="F4453" t="str">
        <f>IF(INPUT!N4448="","",INPUT!N4448)</f>
        <v/>
      </c>
      <c r="G4453" cm="1">
        <f t="array" ref="G4453">IFERROR(VLOOKUP(INPUT!M4448&amp;INPUT!N4448,CHOOSE({1,2},INPUT!$A$3:$A$5000&amp;INPUT!$C$3:$C$5000,INPUT!$F$3:$F$5000),2,FALSE),"")</f>
        <v>0</v>
      </c>
      <c r="H4453" cm="1">
        <f t="array" ref="H4453">IFERROR(VLOOKUP(INPUT!M4448&amp;INPUT!N4448,CHOOSE({1,2},INPUT!$A$3:$A$5000&amp;INPUT!$C$3:$C$5000,INPUT!$D$3:$D$5000),2,FALSE),"")</f>
        <v>0</v>
      </c>
      <c r="I4453" s="46" t="str">
        <f>IF(INPUT!P4448="","",INPUT!P4448)</f>
        <v/>
      </c>
      <c r="J4453" s="46" t="str">
        <f>IF(INPUT!Q4448="","",INPUT!Q4448)</f>
        <v/>
      </c>
      <c r="K4453" s="46" t="str">
        <f>IFERROR(IF(OR(INPUT!P4448="",INPUT!Q4448=""),"",INPUT!P4448-INPUT!Q4448),"")</f>
        <v/>
      </c>
      <c r="L4453" s="48" t="str">
        <f>IFERROR(IF(OR(INPUT!P4448="",INPUT!Q4448="",INPUT!P4448=0),"",(INPUT!P4448-INPUT!Q4448)/INPUT!P4448),"")</f>
        <v/>
      </c>
    </row>
    <row r="4454" spans="1:12" ht="18" hidden="1" customHeight="1" x14ac:dyDescent="0.2">
      <c r="A4454" s="11" t="str">
        <f>IF(INPUT!M4449="","",INPUT!M4449)</f>
        <v/>
      </c>
      <c r="B4454" s="11" t="str">
        <f>IF(INPUT!M4449="","",INPUT!M4449-WEEKDAY(INPUT!M4449,2)+1)</f>
        <v/>
      </c>
      <c r="C4454" s="20">
        <f>IFERROR(_xlfn.ISOWEEKNUM(INPUT!M4449),"")</f>
        <v>52</v>
      </c>
      <c r="D4454" s="20">
        <f>IFERROR(YEAR(INPUT!M4449),"")</f>
        <v>1900</v>
      </c>
      <c r="E4454" t="str">
        <f>IF(INPUT!O4449="","",INPUT!O4449)</f>
        <v/>
      </c>
      <c r="F4454" t="str">
        <f>IF(INPUT!N4449="","",INPUT!N4449)</f>
        <v/>
      </c>
      <c r="G4454" cm="1">
        <f t="array" ref="G4454">IFERROR(VLOOKUP(INPUT!M4449&amp;INPUT!N4449,CHOOSE({1,2},INPUT!$A$3:$A$5000&amp;INPUT!$C$3:$C$5000,INPUT!$F$3:$F$5000),2,FALSE),"")</f>
        <v>0</v>
      </c>
      <c r="H4454" cm="1">
        <f t="array" ref="H4454">IFERROR(VLOOKUP(INPUT!M4449&amp;INPUT!N4449,CHOOSE({1,2},INPUT!$A$3:$A$5000&amp;INPUT!$C$3:$C$5000,INPUT!$D$3:$D$5000),2,FALSE),"")</f>
        <v>0</v>
      </c>
      <c r="I4454" s="46" t="str">
        <f>IF(INPUT!P4449="","",INPUT!P4449)</f>
        <v/>
      </c>
      <c r="J4454" s="46" t="str">
        <f>IF(INPUT!Q4449="","",INPUT!Q4449)</f>
        <v/>
      </c>
      <c r="K4454" s="46" t="str">
        <f>IFERROR(IF(OR(INPUT!P4449="",INPUT!Q4449=""),"",INPUT!P4449-INPUT!Q4449),"")</f>
        <v/>
      </c>
      <c r="L4454" s="48" t="str">
        <f>IFERROR(IF(OR(INPUT!P4449="",INPUT!Q4449="",INPUT!P4449=0),"",(INPUT!P4449-INPUT!Q4449)/INPUT!P4449),"")</f>
        <v/>
      </c>
    </row>
    <row r="4455" spans="1:12" ht="18" hidden="1" customHeight="1" x14ac:dyDescent="0.2">
      <c r="A4455" s="11" t="str">
        <f>IF(INPUT!M4450="","",INPUT!M4450)</f>
        <v/>
      </c>
      <c r="B4455" s="11" t="str">
        <f>IF(INPUT!M4450="","",INPUT!M4450-WEEKDAY(INPUT!M4450,2)+1)</f>
        <v/>
      </c>
      <c r="C4455" s="20">
        <f>IFERROR(_xlfn.ISOWEEKNUM(INPUT!M4450),"")</f>
        <v>52</v>
      </c>
      <c r="D4455" s="20">
        <f>IFERROR(YEAR(INPUT!M4450),"")</f>
        <v>1900</v>
      </c>
      <c r="E4455" t="str">
        <f>IF(INPUT!O4450="","",INPUT!O4450)</f>
        <v/>
      </c>
      <c r="F4455" t="str">
        <f>IF(INPUT!N4450="","",INPUT!N4450)</f>
        <v/>
      </c>
      <c r="G4455" cm="1">
        <f t="array" ref="G4455">IFERROR(VLOOKUP(INPUT!M4450&amp;INPUT!N4450,CHOOSE({1,2},INPUT!$A$3:$A$5000&amp;INPUT!$C$3:$C$5000,INPUT!$F$3:$F$5000),2,FALSE),"")</f>
        <v>0</v>
      </c>
      <c r="H4455" cm="1">
        <f t="array" ref="H4455">IFERROR(VLOOKUP(INPUT!M4450&amp;INPUT!N4450,CHOOSE({1,2},INPUT!$A$3:$A$5000&amp;INPUT!$C$3:$C$5000,INPUT!$D$3:$D$5000),2,FALSE),"")</f>
        <v>0</v>
      </c>
      <c r="I4455" s="46" t="str">
        <f>IF(INPUT!P4450="","",INPUT!P4450)</f>
        <v/>
      </c>
      <c r="J4455" s="46" t="str">
        <f>IF(INPUT!Q4450="","",INPUT!Q4450)</f>
        <v/>
      </c>
      <c r="K4455" s="46" t="str">
        <f>IFERROR(IF(OR(INPUT!P4450="",INPUT!Q4450=""),"",INPUT!P4450-INPUT!Q4450),"")</f>
        <v/>
      </c>
      <c r="L4455" s="48" t="str">
        <f>IFERROR(IF(OR(INPUT!P4450="",INPUT!Q4450="",INPUT!P4450=0),"",(INPUT!P4450-INPUT!Q4450)/INPUT!P4450),"")</f>
        <v/>
      </c>
    </row>
    <row r="4456" spans="1:12" ht="18" hidden="1" customHeight="1" x14ac:dyDescent="0.2">
      <c r="A4456" s="11" t="str">
        <f>IF(INPUT!M4451="","",INPUT!M4451)</f>
        <v/>
      </c>
      <c r="B4456" s="11" t="str">
        <f>IF(INPUT!M4451="","",INPUT!M4451-WEEKDAY(INPUT!M4451,2)+1)</f>
        <v/>
      </c>
      <c r="C4456" s="20">
        <f>IFERROR(_xlfn.ISOWEEKNUM(INPUT!M4451),"")</f>
        <v>52</v>
      </c>
      <c r="D4456" s="20">
        <f>IFERROR(YEAR(INPUT!M4451),"")</f>
        <v>1900</v>
      </c>
      <c r="E4456" t="str">
        <f>IF(INPUT!O4451="","",INPUT!O4451)</f>
        <v/>
      </c>
      <c r="F4456" t="str">
        <f>IF(INPUT!N4451="","",INPUT!N4451)</f>
        <v/>
      </c>
      <c r="G4456" cm="1">
        <f t="array" ref="G4456">IFERROR(VLOOKUP(INPUT!M4451&amp;INPUT!N4451,CHOOSE({1,2},INPUT!$A$3:$A$5000&amp;INPUT!$C$3:$C$5000,INPUT!$F$3:$F$5000),2,FALSE),"")</f>
        <v>0</v>
      </c>
      <c r="H4456" cm="1">
        <f t="array" ref="H4456">IFERROR(VLOOKUP(INPUT!M4451&amp;INPUT!N4451,CHOOSE({1,2},INPUT!$A$3:$A$5000&amp;INPUT!$C$3:$C$5000,INPUT!$D$3:$D$5000),2,FALSE),"")</f>
        <v>0</v>
      </c>
      <c r="I4456" s="46" t="str">
        <f>IF(INPUT!P4451="","",INPUT!P4451)</f>
        <v/>
      </c>
      <c r="J4456" s="46" t="str">
        <f>IF(INPUT!Q4451="","",INPUT!Q4451)</f>
        <v/>
      </c>
      <c r="K4456" s="46" t="str">
        <f>IFERROR(IF(OR(INPUT!P4451="",INPUT!Q4451=""),"",INPUT!P4451-INPUT!Q4451),"")</f>
        <v/>
      </c>
      <c r="L4456" s="48" t="str">
        <f>IFERROR(IF(OR(INPUT!P4451="",INPUT!Q4451="",INPUT!P4451=0),"",(INPUT!P4451-INPUT!Q4451)/INPUT!P4451),"")</f>
        <v/>
      </c>
    </row>
    <row r="4457" spans="1:12" ht="18" hidden="1" customHeight="1" x14ac:dyDescent="0.2">
      <c r="A4457" s="11" t="str">
        <f>IF(INPUT!M4452="","",INPUT!M4452)</f>
        <v/>
      </c>
      <c r="B4457" s="11" t="str">
        <f>IF(INPUT!M4452="","",INPUT!M4452-WEEKDAY(INPUT!M4452,2)+1)</f>
        <v/>
      </c>
      <c r="C4457" s="20">
        <f>IFERROR(_xlfn.ISOWEEKNUM(INPUT!M4452),"")</f>
        <v>52</v>
      </c>
      <c r="D4457" s="20">
        <f>IFERROR(YEAR(INPUT!M4452),"")</f>
        <v>1900</v>
      </c>
      <c r="E4457" t="str">
        <f>IF(INPUT!O4452="","",INPUT!O4452)</f>
        <v/>
      </c>
      <c r="F4457" t="str">
        <f>IF(INPUT!N4452="","",INPUT!N4452)</f>
        <v/>
      </c>
      <c r="G4457" cm="1">
        <f t="array" ref="G4457">IFERROR(VLOOKUP(INPUT!M4452&amp;INPUT!N4452,CHOOSE({1,2},INPUT!$A$3:$A$5000&amp;INPUT!$C$3:$C$5000,INPUT!$F$3:$F$5000),2,FALSE),"")</f>
        <v>0</v>
      </c>
      <c r="H4457" cm="1">
        <f t="array" ref="H4457">IFERROR(VLOOKUP(INPUT!M4452&amp;INPUT!N4452,CHOOSE({1,2},INPUT!$A$3:$A$5000&amp;INPUT!$C$3:$C$5000,INPUT!$D$3:$D$5000),2,FALSE),"")</f>
        <v>0</v>
      </c>
      <c r="I4457" s="46" t="str">
        <f>IF(INPUT!P4452="","",INPUT!P4452)</f>
        <v/>
      </c>
      <c r="J4457" s="46" t="str">
        <f>IF(INPUT!Q4452="","",INPUT!Q4452)</f>
        <v/>
      </c>
      <c r="K4457" s="46" t="str">
        <f>IFERROR(IF(OR(INPUT!P4452="",INPUT!Q4452=""),"",INPUT!P4452-INPUT!Q4452),"")</f>
        <v/>
      </c>
      <c r="L4457" s="48" t="str">
        <f>IFERROR(IF(OR(INPUT!P4452="",INPUT!Q4452="",INPUT!P4452=0),"",(INPUT!P4452-INPUT!Q4452)/INPUT!P4452),"")</f>
        <v/>
      </c>
    </row>
    <row r="4458" spans="1:12" ht="18" hidden="1" customHeight="1" x14ac:dyDescent="0.2">
      <c r="A4458" s="11" t="str">
        <f>IF(INPUT!M4453="","",INPUT!M4453)</f>
        <v/>
      </c>
      <c r="B4458" s="11" t="str">
        <f>IF(INPUT!M4453="","",INPUT!M4453-WEEKDAY(INPUT!M4453,2)+1)</f>
        <v/>
      </c>
      <c r="C4458" s="20">
        <f>IFERROR(_xlfn.ISOWEEKNUM(INPUT!M4453),"")</f>
        <v>52</v>
      </c>
      <c r="D4458" s="20">
        <f>IFERROR(YEAR(INPUT!M4453),"")</f>
        <v>1900</v>
      </c>
      <c r="E4458" t="str">
        <f>IF(INPUT!O4453="","",INPUT!O4453)</f>
        <v/>
      </c>
      <c r="F4458" t="str">
        <f>IF(INPUT!N4453="","",INPUT!N4453)</f>
        <v/>
      </c>
      <c r="G4458" cm="1">
        <f t="array" ref="G4458">IFERROR(VLOOKUP(INPUT!M4453&amp;INPUT!N4453,CHOOSE({1,2},INPUT!$A$3:$A$5000&amp;INPUT!$C$3:$C$5000,INPUT!$F$3:$F$5000),2,FALSE),"")</f>
        <v>0</v>
      </c>
      <c r="H4458" cm="1">
        <f t="array" ref="H4458">IFERROR(VLOOKUP(INPUT!M4453&amp;INPUT!N4453,CHOOSE({1,2},INPUT!$A$3:$A$5000&amp;INPUT!$C$3:$C$5000,INPUT!$D$3:$D$5000),2,FALSE),"")</f>
        <v>0</v>
      </c>
      <c r="I4458" s="46" t="str">
        <f>IF(INPUT!P4453="","",INPUT!P4453)</f>
        <v/>
      </c>
      <c r="J4458" s="46" t="str">
        <f>IF(INPUT!Q4453="","",INPUT!Q4453)</f>
        <v/>
      </c>
      <c r="K4458" s="46" t="str">
        <f>IFERROR(IF(OR(INPUT!P4453="",INPUT!Q4453=""),"",INPUT!P4453-INPUT!Q4453),"")</f>
        <v/>
      </c>
      <c r="L4458" s="48" t="str">
        <f>IFERROR(IF(OR(INPUT!P4453="",INPUT!Q4453="",INPUT!P4453=0),"",(INPUT!P4453-INPUT!Q4453)/INPUT!P4453),"")</f>
        <v/>
      </c>
    </row>
    <row r="4459" spans="1:12" ht="18" hidden="1" customHeight="1" x14ac:dyDescent="0.2">
      <c r="A4459" s="11" t="str">
        <f>IF(INPUT!M4454="","",INPUT!M4454)</f>
        <v/>
      </c>
      <c r="B4459" s="11" t="str">
        <f>IF(INPUT!M4454="","",INPUT!M4454-WEEKDAY(INPUT!M4454,2)+1)</f>
        <v/>
      </c>
      <c r="C4459" s="20">
        <f>IFERROR(_xlfn.ISOWEEKNUM(INPUT!M4454),"")</f>
        <v>52</v>
      </c>
      <c r="D4459" s="20">
        <f>IFERROR(YEAR(INPUT!M4454),"")</f>
        <v>1900</v>
      </c>
      <c r="E4459" t="str">
        <f>IF(INPUT!O4454="","",INPUT!O4454)</f>
        <v/>
      </c>
      <c r="F4459" t="str">
        <f>IF(INPUT!N4454="","",INPUT!N4454)</f>
        <v/>
      </c>
      <c r="G4459" cm="1">
        <f t="array" ref="G4459">IFERROR(VLOOKUP(INPUT!M4454&amp;INPUT!N4454,CHOOSE({1,2},INPUT!$A$3:$A$5000&amp;INPUT!$C$3:$C$5000,INPUT!$F$3:$F$5000),2,FALSE),"")</f>
        <v>0</v>
      </c>
      <c r="H4459" cm="1">
        <f t="array" ref="H4459">IFERROR(VLOOKUP(INPUT!M4454&amp;INPUT!N4454,CHOOSE({1,2},INPUT!$A$3:$A$5000&amp;INPUT!$C$3:$C$5000,INPUT!$D$3:$D$5000),2,FALSE),"")</f>
        <v>0</v>
      </c>
      <c r="I4459" s="46" t="str">
        <f>IF(INPUT!P4454="","",INPUT!P4454)</f>
        <v/>
      </c>
      <c r="J4459" s="46" t="str">
        <f>IF(INPUT!Q4454="","",INPUT!Q4454)</f>
        <v/>
      </c>
      <c r="K4459" s="46" t="str">
        <f>IFERROR(IF(OR(INPUT!P4454="",INPUT!Q4454=""),"",INPUT!P4454-INPUT!Q4454),"")</f>
        <v/>
      </c>
      <c r="L4459" s="48" t="str">
        <f>IFERROR(IF(OR(INPUT!P4454="",INPUT!Q4454="",INPUT!P4454=0),"",(INPUT!P4454-INPUT!Q4454)/INPUT!P4454),"")</f>
        <v/>
      </c>
    </row>
    <row r="4460" spans="1:12" ht="18" hidden="1" customHeight="1" x14ac:dyDescent="0.2">
      <c r="A4460" s="11" t="str">
        <f>IF(INPUT!M4455="","",INPUT!M4455)</f>
        <v/>
      </c>
      <c r="B4460" s="11" t="str">
        <f>IF(INPUT!M4455="","",INPUT!M4455-WEEKDAY(INPUT!M4455,2)+1)</f>
        <v/>
      </c>
      <c r="C4460" s="20">
        <f>IFERROR(_xlfn.ISOWEEKNUM(INPUT!M4455),"")</f>
        <v>52</v>
      </c>
      <c r="D4460" s="20">
        <f>IFERROR(YEAR(INPUT!M4455),"")</f>
        <v>1900</v>
      </c>
      <c r="E4460" t="str">
        <f>IF(INPUT!O4455="","",INPUT!O4455)</f>
        <v/>
      </c>
      <c r="F4460" t="str">
        <f>IF(INPUT!N4455="","",INPUT!N4455)</f>
        <v/>
      </c>
      <c r="G4460" cm="1">
        <f t="array" ref="G4460">IFERROR(VLOOKUP(INPUT!M4455&amp;INPUT!N4455,CHOOSE({1,2},INPUT!$A$3:$A$5000&amp;INPUT!$C$3:$C$5000,INPUT!$F$3:$F$5000),2,FALSE),"")</f>
        <v>0</v>
      </c>
      <c r="H4460" cm="1">
        <f t="array" ref="H4460">IFERROR(VLOOKUP(INPUT!M4455&amp;INPUT!N4455,CHOOSE({1,2},INPUT!$A$3:$A$5000&amp;INPUT!$C$3:$C$5000,INPUT!$D$3:$D$5000),2,FALSE),"")</f>
        <v>0</v>
      </c>
      <c r="I4460" s="46" t="str">
        <f>IF(INPUT!P4455="","",INPUT!P4455)</f>
        <v/>
      </c>
      <c r="J4460" s="46" t="str">
        <f>IF(INPUT!Q4455="","",INPUT!Q4455)</f>
        <v/>
      </c>
      <c r="K4460" s="46" t="str">
        <f>IFERROR(IF(OR(INPUT!P4455="",INPUT!Q4455=""),"",INPUT!P4455-INPUT!Q4455),"")</f>
        <v/>
      </c>
      <c r="L4460" s="48" t="str">
        <f>IFERROR(IF(OR(INPUT!P4455="",INPUT!Q4455="",INPUT!P4455=0),"",(INPUT!P4455-INPUT!Q4455)/INPUT!P4455),"")</f>
        <v/>
      </c>
    </row>
    <row r="4461" spans="1:12" ht="18" hidden="1" customHeight="1" x14ac:dyDescent="0.2">
      <c r="A4461" s="11" t="str">
        <f>IF(INPUT!M4456="","",INPUT!M4456)</f>
        <v/>
      </c>
      <c r="B4461" s="11" t="str">
        <f>IF(INPUT!M4456="","",INPUT!M4456-WEEKDAY(INPUT!M4456,2)+1)</f>
        <v/>
      </c>
      <c r="C4461" s="20">
        <f>IFERROR(_xlfn.ISOWEEKNUM(INPUT!M4456),"")</f>
        <v>52</v>
      </c>
      <c r="D4461" s="20">
        <f>IFERROR(YEAR(INPUT!M4456),"")</f>
        <v>1900</v>
      </c>
      <c r="E4461" t="str">
        <f>IF(INPUT!O4456="","",INPUT!O4456)</f>
        <v/>
      </c>
      <c r="F4461" t="str">
        <f>IF(INPUT!N4456="","",INPUT!N4456)</f>
        <v/>
      </c>
      <c r="G4461" cm="1">
        <f t="array" ref="G4461">IFERROR(VLOOKUP(INPUT!M4456&amp;INPUT!N4456,CHOOSE({1,2},INPUT!$A$3:$A$5000&amp;INPUT!$C$3:$C$5000,INPUT!$F$3:$F$5000),2,FALSE),"")</f>
        <v>0</v>
      </c>
      <c r="H4461" cm="1">
        <f t="array" ref="H4461">IFERROR(VLOOKUP(INPUT!M4456&amp;INPUT!N4456,CHOOSE({1,2},INPUT!$A$3:$A$5000&amp;INPUT!$C$3:$C$5000,INPUT!$D$3:$D$5000),2,FALSE),"")</f>
        <v>0</v>
      </c>
      <c r="I4461" s="46" t="str">
        <f>IF(INPUT!P4456="","",INPUT!P4456)</f>
        <v/>
      </c>
      <c r="J4461" s="46" t="str">
        <f>IF(INPUT!Q4456="","",INPUT!Q4456)</f>
        <v/>
      </c>
      <c r="K4461" s="46" t="str">
        <f>IFERROR(IF(OR(INPUT!P4456="",INPUT!Q4456=""),"",INPUT!P4456-INPUT!Q4456),"")</f>
        <v/>
      </c>
      <c r="L4461" s="48" t="str">
        <f>IFERROR(IF(OR(INPUT!P4456="",INPUT!Q4456="",INPUT!P4456=0),"",(INPUT!P4456-INPUT!Q4456)/INPUT!P4456),"")</f>
        <v/>
      </c>
    </row>
    <row r="4462" spans="1:12" ht="18" hidden="1" customHeight="1" x14ac:dyDescent="0.2">
      <c r="A4462" s="11" t="str">
        <f>IF(INPUT!M4457="","",INPUT!M4457)</f>
        <v/>
      </c>
      <c r="B4462" s="11" t="str">
        <f>IF(INPUT!M4457="","",INPUT!M4457-WEEKDAY(INPUT!M4457,2)+1)</f>
        <v/>
      </c>
      <c r="C4462" s="20">
        <f>IFERROR(_xlfn.ISOWEEKNUM(INPUT!M4457),"")</f>
        <v>52</v>
      </c>
      <c r="D4462" s="20">
        <f>IFERROR(YEAR(INPUT!M4457),"")</f>
        <v>1900</v>
      </c>
      <c r="E4462" t="str">
        <f>IF(INPUT!O4457="","",INPUT!O4457)</f>
        <v/>
      </c>
      <c r="F4462" t="str">
        <f>IF(INPUT!N4457="","",INPUT!N4457)</f>
        <v/>
      </c>
      <c r="G4462" cm="1">
        <f t="array" ref="G4462">IFERROR(VLOOKUP(INPUT!M4457&amp;INPUT!N4457,CHOOSE({1,2},INPUT!$A$3:$A$5000&amp;INPUT!$C$3:$C$5000,INPUT!$F$3:$F$5000),2,FALSE),"")</f>
        <v>0</v>
      </c>
      <c r="H4462" cm="1">
        <f t="array" ref="H4462">IFERROR(VLOOKUP(INPUT!M4457&amp;INPUT!N4457,CHOOSE({1,2},INPUT!$A$3:$A$5000&amp;INPUT!$C$3:$C$5000,INPUT!$D$3:$D$5000),2,FALSE),"")</f>
        <v>0</v>
      </c>
      <c r="I4462" s="46" t="str">
        <f>IF(INPUT!P4457="","",INPUT!P4457)</f>
        <v/>
      </c>
      <c r="J4462" s="46" t="str">
        <f>IF(INPUT!Q4457="","",INPUT!Q4457)</f>
        <v/>
      </c>
      <c r="K4462" s="46" t="str">
        <f>IFERROR(IF(OR(INPUT!P4457="",INPUT!Q4457=""),"",INPUT!P4457-INPUT!Q4457),"")</f>
        <v/>
      </c>
      <c r="L4462" s="48" t="str">
        <f>IFERROR(IF(OR(INPUT!P4457="",INPUT!Q4457="",INPUT!P4457=0),"",(INPUT!P4457-INPUT!Q4457)/INPUT!P4457),"")</f>
        <v/>
      </c>
    </row>
    <row r="4463" spans="1:12" ht="18" hidden="1" customHeight="1" x14ac:dyDescent="0.2">
      <c r="A4463" s="11" t="str">
        <f>IF(INPUT!M4458="","",INPUT!M4458)</f>
        <v/>
      </c>
      <c r="B4463" s="11" t="str">
        <f>IF(INPUT!M4458="","",INPUT!M4458-WEEKDAY(INPUT!M4458,2)+1)</f>
        <v/>
      </c>
      <c r="C4463" s="20">
        <f>IFERROR(_xlfn.ISOWEEKNUM(INPUT!M4458),"")</f>
        <v>52</v>
      </c>
      <c r="D4463" s="20">
        <f>IFERROR(YEAR(INPUT!M4458),"")</f>
        <v>1900</v>
      </c>
      <c r="E4463" t="str">
        <f>IF(INPUT!O4458="","",INPUT!O4458)</f>
        <v/>
      </c>
      <c r="F4463" t="str">
        <f>IF(INPUT!N4458="","",INPUT!N4458)</f>
        <v/>
      </c>
      <c r="G4463" cm="1">
        <f t="array" ref="G4463">IFERROR(VLOOKUP(INPUT!M4458&amp;INPUT!N4458,CHOOSE({1,2},INPUT!$A$3:$A$5000&amp;INPUT!$C$3:$C$5000,INPUT!$F$3:$F$5000),2,FALSE),"")</f>
        <v>0</v>
      </c>
      <c r="H4463" cm="1">
        <f t="array" ref="H4463">IFERROR(VLOOKUP(INPUT!M4458&amp;INPUT!N4458,CHOOSE({1,2},INPUT!$A$3:$A$5000&amp;INPUT!$C$3:$C$5000,INPUT!$D$3:$D$5000),2,FALSE),"")</f>
        <v>0</v>
      </c>
      <c r="I4463" s="46" t="str">
        <f>IF(INPUT!P4458="","",INPUT!P4458)</f>
        <v/>
      </c>
      <c r="J4463" s="46" t="str">
        <f>IF(INPUT!Q4458="","",INPUT!Q4458)</f>
        <v/>
      </c>
      <c r="K4463" s="46" t="str">
        <f>IFERROR(IF(OR(INPUT!P4458="",INPUT!Q4458=""),"",INPUT!P4458-INPUT!Q4458),"")</f>
        <v/>
      </c>
      <c r="L4463" s="48" t="str">
        <f>IFERROR(IF(OR(INPUT!P4458="",INPUT!Q4458="",INPUT!P4458=0),"",(INPUT!P4458-INPUT!Q4458)/INPUT!P4458),"")</f>
        <v/>
      </c>
    </row>
    <row r="4464" spans="1:12" ht="18" hidden="1" customHeight="1" x14ac:dyDescent="0.2">
      <c r="A4464" s="11" t="str">
        <f>IF(INPUT!M4459="","",INPUT!M4459)</f>
        <v/>
      </c>
      <c r="B4464" s="11" t="str">
        <f>IF(INPUT!M4459="","",INPUT!M4459-WEEKDAY(INPUT!M4459,2)+1)</f>
        <v/>
      </c>
      <c r="C4464" s="20">
        <f>IFERROR(_xlfn.ISOWEEKNUM(INPUT!M4459),"")</f>
        <v>52</v>
      </c>
      <c r="D4464" s="20">
        <f>IFERROR(YEAR(INPUT!M4459),"")</f>
        <v>1900</v>
      </c>
      <c r="E4464" t="str">
        <f>IF(INPUT!O4459="","",INPUT!O4459)</f>
        <v/>
      </c>
      <c r="F4464" t="str">
        <f>IF(INPUT!N4459="","",INPUT!N4459)</f>
        <v/>
      </c>
      <c r="G4464" cm="1">
        <f t="array" ref="G4464">IFERROR(VLOOKUP(INPUT!M4459&amp;INPUT!N4459,CHOOSE({1,2},INPUT!$A$3:$A$5000&amp;INPUT!$C$3:$C$5000,INPUT!$F$3:$F$5000),2,FALSE),"")</f>
        <v>0</v>
      </c>
      <c r="H4464" cm="1">
        <f t="array" ref="H4464">IFERROR(VLOOKUP(INPUT!M4459&amp;INPUT!N4459,CHOOSE({1,2},INPUT!$A$3:$A$5000&amp;INPUT!$C$3:$C$5000,INPUT!$D$3:$D$5000),2,FALSE),"")</f>
        <v>0</v>
      </c>
      <c r="I4464" s="46" t="str">
        <f>IF(INPUT!P4459="","",INPUT!P4459)</f>
        <v/>
      </c>
      <c r="J4464" s="46" t="str">
        <f>IF(INPUT!Q4459="","",INPUT!Q4459)</f>
        <v/>
      </c>
      <c r="K4464" s="46" t="str">
        <f>IFERROR(IF(OR(INPUT!P4459="",INPUT!Q4459=""),"",INPUT!P4459-INPUT!Q4459),"")</f>
        <v/>
      </c>
      <c r="L4464" s="48" t="str">
        <f>IFERROR(IF(OR(INPUT!P4459="",INPUT!Q4459="",INPUT!P4459=0),"",(INPUT!P4459-INPUT!Q4459)/INPUT!P4459),"")</f>
        <v/>
      </c>
    </row>
    <row r="4465" spans="1:12" ht="18" hidden="1" customHeight="1" x14ac:dyDescent="0.2">
      <c r="A4465" s="11" t="str">
        <f>IF(INPUT!M4460="","",INPUT!M4460)</f>
        <v/>
      </c>
      <c r="B4465" s="11" t="str">
        <f>IF(INPUT!M4460="","",INPUT!M4460-WEEKDAY(INPUT!M4460,2)+1)</f>
        <v/>
      </c>
      <c r="C4465" s="20">
        <f>IFERROR(_xlfn.ISOWEEKNUM(INPUT!M4460),"")</f>
        <v>52</v>
      </c>
      <c r="D4465" s="20">
        <f>IFERROR(YEAR(INPUT!M4460),"")</f>
        <v>1900</v>
      </c>
      <c r="E4465" t="str">
        <f>IF(INPUT!O4460="","",INPUT!O4460)</f>
        <v/>
      </c>
      <c r="F4465" t="str">
        <f>IF(INPUT!N4460="","",INPUT!N4460)</f>
        <v/>
      </c>
      <c r="G4465" cm="1">
        <f t="array" ref="G4465">IFERROR(VLOOKUP(INPUT!M4460&amp;INPUT!N4460,CHOOSE({1,2},INPUT!$A$3:$A$5000&amp;INPUT!$C$3:$C$5000,INPUT!$F$3:$F$5000),2,FALSE),"")</f>
        <v>0</v>
      </c>
      <c r="H4465" cm="1">
        <f t="array" ref="H4465">IFERROR(VLOOKUP(INPUT!M4460&amp;INPUT!N4460,CHOOSE({1,2},INPUT!$A$3:$A$5000&amp;INPUT!$C$3:$C$5000,INPUT!$D$3:$D$5000),2,FALSE),"")</f>
        <v>0</v>
      </c>
      <c r="I4465" s="46" t="str">
        <f>IF(INPUT!P4460="","",INPUT!P4460)</f>
        <v/>
      </c>
      <c r="J4465" s="46" t="str">
        <f>IF(INPUT!Q4460="","",INPUT!Q4460)</f>
        <v/>
      </c>
      <c r="K4465" s="46" t="str">
        <f>IFERROR(IF(OR(INPUT!P4460="",INPUT!Q4460=""),"",INPUT!P4460-INPUT!Q4460),"")</f>
        <v/>
      </c>
      <c r="L4465" s="48" t="str">
        <f>IFERROR(IF(OR(INPUT!P4460="",INPUT!Q4460="",INPUT!P4460=0),"",(INPUT!P4460-INPUT!Q4460)/INPUT!P4460),"")</f>
        <v/>
      </c>
    </row>
    <row r="4466" spans="1:12" ht="18" hidden="1" customHeight="1" x14ac:dyDescent="0.2">
      <c r="A4466" s="11" t="str">
        <f>IF(INPUT!M4461="","",INPUT!M4461)</f>
        <v/>
      </c>
      <c r="B4466" s="11" t="str">
        <f>IF(INPUT!M4461="","",INPUT!M4461-WEEKDAY(INPUT!M4461,2)+1)</f>
        <v/>
      </c>
      <c r="C4466" s="20">
        <f>IFERROR(_xlfn.ISOWEEKNUM(INPUT!M4461),"")</f>
        <v>52</v>
      </c>
      <c r="D4466" s="20">
        <f>IFERROR(YEAR(INPUT!M4461),"")</f>
        <v>1900</v>
      </c>
      <c r="E4466" t="str">
        <f>IF(INPUT!O4461="","",INPUT!O4461)</f>
        <v/>
      </c>
      <c r="F4466" t="str">
        <f>IF(INPUT!N4461="","",INPUT!N4461)</f>
        <v/>
      </c>
      <c r="G4466" cm="1">
        <f t="array" ref="G4466">IFERROR(VLOOKUP(INPUT!M4461&amp;INPUT!N4461,CHOOSE({1,2},INPUT!$A$3:$A$5000&amp;INPUT!$C$3:$C$5000,INPUT!$F$3:$F$5000),2,FALSE),"")</f>
        <v>0</v>
      </c>
      <c r="H4466" cm="1">
        <f t="array" ref="H4466">IFERROR(VLOOKUP(INPUT!M4461&amp;INPUT!N4461,CHOOSE({1,2},INPUT!$A$3:$A$5000&amp;INPUT!$C$3:$C$5000,INPUT!$D$3:$D$5000),2,FALSE),"")</f>
        <v>0</v>
      </c>
      <c r="I4466" s="46" t="str">
        <f>IF(INPUT!P4461="","",INPUT!P4461)</f>
        <v/>
      </c>
      <c r="J4466" s="46" t="str">
        <f>IF(INPUT!Q4461="","",INPUT!Q4461)</f>
        <v/>
      </c>
      <c r="K4466" s="46" t="str">
        <f>IFERROR(IF(OR(INPUT!P4461="",INPUT!Q4461=""),"",INPUT!P4461-INPUT!Q4461),"")</f>
        <v/>
      </c>
      <c r="L4466" s="48" t="str">
        <f>IFERROR(IF(OR(INPUT!P4461="",INPUT!Q4461="",INPUT!P4461=0),"",(INPUT!P4461-INPUT!Q4461)/INPUT!P4461),"")</f>
        <v/>
      </c>
    </row>
    <row r="4467" spans="1:12" ht="18" hidden="1" customHeight="1" x14ac:dyDescent="0.2">
      <c r="A4467" s="11" t="str">
        <f>IF(INPUT!M4462="","",INPUT!M4462)</f>
        <v/>
      </c>
      <c r="B4467" s="11" t="str">
        <f>IF(INPUT!M4462="","",INPUT!M4462-WEEKDAY(INPUT!M4462,2)+1)</f>
        <v/>
      </c>
      <c r="C4467" s="20">
        <f>IFERROR(_xlfn.ISOWEEKNUM(INPUT!M4462),"")</f>
        <v>52</v>
      </c>
      <c r="D4467" s="20">
        <f>IFERROR(YEAR(INPUT!M4462),"")</f>
        <v>1900</v>
      </c>
      <c r="E4467" t="str">
        <f>IF(INPUT!O4462="","",INPUT!O4462)</f>
        <v/>
      </c>
      <c r="F4467" t="str">
        <f>IF(INPUT!N4462="","",INPUT!N4462)</f>
        <v/>
      </c>
      <c r="G4467" cm="1">
        <f t="array" ref="G4467">IFERROR(VLOOKUP(INPUT!M4462&amp;INPUT!N4462,CHOOSE({1,2},INPUT!$A$3:$A$5000&amp;INPUT!$C$3:$C$5000,INPUT!$F$3:$F$5000),2,FALSE),"")</f>
        <v>0</v>
      </c>
      <c r="H4467" cm="1">
        <f t="array" ref="H4467">IFERROR(VLOOKUP(INPUT!M4462&amp;INPUT!N4462,CHOOSE({1,2},INPUT!$A$3:$A$5000&amp;INPUT!$C$3:$C$5000,INPUT!$D$3:$D$5000),2,FALSE),"")</f>
        <v>0</v>
      </c>
      <c r="I4467" s="46" t="str">
        <f>IF(INPUT!P4462="","",INPUT!P4462)</f>
        <v/>
      </c>
      <c r="J4467" s="46" t="str">
        <f>IF(INPUT!Q4462="","",INPUT!Q4462)</f>
        <v/>
      </c>
      <c r="K4467" s="46" t="str">
        <f>IFERROR(IF(OR(INPUT!P4462="",INPUT!Q4462=""),"",INPUT!P4462-INPUT!Q4462),"")</f>
        <v/>
      </c>
      <c r="L4467" s="48" t="str">
        <f>IFERROR(IF(OR(INPUT!P4462="",INPUT!Q4462="",INPUT!P4462=0),"",(INPUT!P4462-INPUT!Q4462)/INPUT!P4462),"")</f>
        <v/>
      </c>
    </row>
    <row r="4468" spans="1:12" ht="18" hidden="1" customHeight="1" x14ac:dyDescent="0.2">
      <c r="A4468" s="11" t="str">
        <f>IF(INPUT!M4463="","",INPUT!M4463)</f>
        <v/>
      </c>
      <c r="B4468" s="11" t="str">
        <f>IF(INPUT!M4463="","",INPUT!M4463-WEEKDAY(INPUT!M4463,2)+1)</f>
        <v/>
      </c>
      <c r="C4468" s="20">
        <f>IFERROR(_xlfn.ISOWEEKNUM(INPUT!M4463),"")</f>
        <v>52</v>
      </c>
      <c r="D4468" s="20">
        <f>IFERROR(YEAR(INPUT!M4463),"")</f>
        <v>1900</v>
      </c>
      <c r="E4468" t="str">
        <f>IF(INPUT!O4463="","",INPUT!O4463)</f>
        <v/>
      </c>
      <c r="F4468" t="str">
        <f>IF(INPUT!N4463="","",INPUT!N4463)</f>
        <v/>
      </c>
      <c r="G4468" cm="1">
        <f t="array" ref="G4468">IFERROR(VLOOKUP(INPUT!M4463&amp;INPUT!N4463,CHOOSE({1,2},INPUT!$A$3:$A$5000&amp;INPUT!$C$3:$C$5000,INPUT!$F$3:$F$5000),2,FALSE),"")</f>
        <v>0</v>
      </c>
      <c r="H4468" cm="1">
        <f t="array" ref="H4468">IFERROR(VLOOKUP(INPUT!M4463&amp;INPUT!N4463,CHOOSE({1,2},INPUT!$A$3:$A$5000&amp;INPUT!$C$3:$C$5000,INPUT!$D$3:$D$5000),2,FALSE),"")</f>
        <v>0</v>
      </c>
      <c r="I4468" s="46" t="str">
        <f>IF(INPUT!P4463="","",INPUT!P4463)</f>
        <v/>
      </c>
      <c r="J4468" s="46" t="str">
        <f>IF(INPUT!Q4463="","",INPUT!Q4463)</f>
        <v/>
      </c>
      <c r="K4468" s="46" t="str">
        <f>IFERROR(IF(OR(INPUT!P4463="",INPUT!Q4463=""),"",INPUT!P4463-INPUT!Q4463),"")</f>
        <v/>
      </c>
      <c r="L4468" s="48" t="str">
        <f>IFERROR(IF(OR(INPUT!P4463="",INPUT!Q4463="",INPUT!P4463=0),"",(INPUT!P4463-INPUT!Q4463)/INPUT!P4463),"")</f>
        <v/>
      </c>
    </row>
    <row r="4469" spans="1:12" ht="18" hidden="1" customHeight="1" x14ac:dyDescent="0.2">
      <c r="A4469" s="11" t="str">
        <f>IF(INPUT!M4464="","",INPUT!M4464)</f>
        <v/>
      </c>
      <c r="B4469" s="11" t="str">
        <f>IF(INPUT!M4464="","",INPUT!M4464-WEEKDAY(INPUT!M4464,2)+1)</f>
        <v/>
      </c>
      <c r="C4469" s="20">
        <f>IFERROR(_xlfn.ISOWEEKNUM(INPUT!M4464),"")</f>
        <v>52</v>
      </c>
      <c r="D4469" s="20">
        <f>IFERROR(YEAR(INPUT!M4464),"")</f>
        <v>1900</v>
      </c>
      <c r="E4469" t="str">
        <f>IF(INPUT!O4464="","",INPUT!O4464)</f>
        <v/>
      </c>
      <c r="F4469" t="str">
        <f>IF(INPUT!N4464="","",INPUT!N4464)</f>
        <v/>
      </c>
      <c r="G4469" cm="1">
        <f t="array" ref="G4469">IFERROR(VLOOKUP(INPUT!M4464&amp;INPUT!N4464,CHOOSE({1,2},INPUT!$A$3:$A$5000&amp;INPUT!$C$3:$C$5000,INPUT!$F$3:$F$5000),2,FALSE),"")</f>
        <v>0</v>
      </c>
      <c r="H4469" cm="1">
        <f t="array" ref="H4469">IFERROR(VLOOKUP(INPUT!M4464&amp;INPUT!N4464,CHOOSE({1,2},INPUT!$A$3:$A$5000&amp;INPUT!$C$3:$C$5000,INPUT!$D$3:$D$5000),2,FALSE),"")</f>
        <v>0</v>
      </c>
      <c r="I4469" s="46" t="str">
        <f>IF(INPUT!P4464="","",INPUT!P4464)</f>
        <v/>
      </c>
      <c r="J4469" s="46" t="str">
        <f>IF(INPUT!Q4464="","",INPUT!Q4464)</f>
        <v/>
      </c>
      <c r="K4469" s="46" t="str">
        <f>IFERROR(IF(OR(INPUT!P4464="",INPUT!Q4464=""),"",INPUT!P4464-INPUT!Q4464),"")</f>
        <v/>
      </c>
      <c r="L4469" s="48" t="str">
        <f>IFERROR(IF(OR(INPUT!P4464="",INPUT!Q4464="",INPUT!P4464=0),"",(INPUT!P4464-INPUT!Q4464)/INPUT!P4464),"")</f>
        <v/>
      </c>
    </row>
    <row r="4470" spans="1:12" ht="18" hidden="1" customHeight="1" x14ac:dyDescent="0.2">
      <c r="A4470" s="11" t="str">
        <f>IF(INPUT!M4465="","",INPUT!M4465)</f>
        <v/>
      </c>
      <c r="B4470" s="11" t="str">
        <f>IF(INPUT!M4465="","",INPUT!M4465-WEEKDAY(INPUT!M4465,2)+1)</f>
        <v/>
      </c>
      <c r="C4470" s="20">
        <f>IFERROR(_xlfn.ISOWEEKNUM(INPUT!M4465),"")</f>
        <v>52</v>
      </c>
      <c r="D4470" s="20">
        <f>IFERROR(YEAR(INPUT!M4465),"")</f>
        <v>1900</v>
      </c>
      <c r="E4470" t="str">
        <f>IF(INPUT!O4465="","",INPUT!O4465)</f>
        <v/>
      </c>
      <c r="F4470" t="str">
        <f>IF(INPUT!N4465="","",INPUT!N4465)</f>
        <v/>
      </c>
      <c r="G4470" cm="1">
        <f t="array" ref="G4470">IFERROR(VLOOKUP(INPUT!M4465&amp;INPUT!N4465,CHOOSE({1,2},INPUT!$A$3:$A$5000&amp;INPUT!$C$3:$C$5000,INPUT!$F$3:$F$5000),2,FALSE),"")</f>
        <v>0</v>
      </c>
      <c r="H4470" cm="1">
        <f t="array" ref="H4470">IFERROR(VLOOKUP(INPUT!M4465&amp;INPUT!N4465,CHOOSE({1,2},INPUT!$A$3:$A$5000&amp;INPUT!$C$3:$C$5000,INPUT!$D$3:$D$5000),2,FALSE),"")</f>
        <v>0</v>
      </c>
      <c r="I4470" s="46" t="str">
        <f>IF(INPUT!P4465="","",INPUT!P4465)</f>
        <v/>
      </c>
      <c r="J4470" s="46" t="str">
        <f>IF(INPUT!Q4465="","",INPUT!Q4465)</f>
        <v/>
      </c>
      <c r="K4470" s="46" t="str">
        <f>IFERROR(IF(OR(INPUT!P4465="",INPUT!Q4465=""),"",INPUT!P4465-INPUT!Q4465),"")</f>
        <v/>
      </c>
      <c r="L4470" s="48" t="str">
        <f>IFERROR(IF(OR(INPUT!P4465="",INPUT!Q4465="",INPUT!P4465=0),"",(INPUT!P4465-INPUT!Q4465)/INPUT!P4465),"")</f>
        <v/>
      </c>
    </row>
    <row r="4471" spans="1:12" ht="18" hidden="1" customHeight="1" x14ac:dyDescent="0.2">
      <c r="A4471" s="11" t="str">
        <f>IF(INPUT!M4466="","",INPUT!M4466)</f>
        <v/>
      </c>
      <c r="B4471" s="11" t="str">
        <f>IF(INPUT!M4466="","",INPUT!M4466-WEEKDAY(INPUT!M4466,2)+1)</f>
        <v/>
      </c>
      <c r="C4471" s="20">
        <f>IFERROR(_xlfn.ISOWEEKNUM(INPUT!M4466),"")</f>
        <v>52</v>
      </c>
      <c r="D4471" s="20">
        <f>IFERROR(YEAR(INPUT!M4466),"")</f>
        <v>1900</v>
      </c>
      <c r="E4471" t="str">
        <f>IF(INPUT!O4466="","",INPUT!O4466)</f>
        <v/>
      </c>
      <c r="F4471" t="str">
        <f>IF(INPUT!N4466="","",INPUT!N4466)</f>
        <v/>
      </c>
      <c r="G4471" cm="1">
        <f t="array" ref="G4471">IFERROR(VLOOKUP(INPUT!M4466&amp;INPUT!N4466,CHOOSE({1,2},INPUT!$A$3:$A$5000&amp;INPUT!$C$3:$C$5000,INPUT!$F$3:$F$5000),2,FALSE),"")</f>
        <v>0</v>
      </c>
      <c r="H4471" cm="1">
        <f t="array" ref="H4471">IFERROR(VLOOKUP(INPUT!M4466&amp;INPUT!N4466,CHOOSE({1,2},INPUT!$A$3:$A$5000&amp;INPUT!$C$3:$C$5000,INPUT!$D$3:$D$5000),2,FALSE),"")</f>
        <v>0</v>
      </c>
      <c r="I4471" s="46" t="str">
        <f>IF(INPUT!P4466="","",INPUT!P4466)</f>
        <v/>
      </c>
      <c r="J4471" s="46" t="str">
        <f>IF(INPUT!Q4466="","",INPUT!Q4466)</f>
        <v/>
      </c>
      <c r="K4471" s="46" t="str">
        <f>IFERROR(IF(OR(INPUT!P4466="",INPUT!Q4466=""),"",INPUT!P4466-INPUT!Q4466),"")</f>
        <v/>
      </c>
      <c r="L4471" s="48" t="str">
        <f>IFERROR(IF(OR(INPUT!P4466="",INPUT!Q4466="",INPUT!P4466=0),"",(INPUT!P4466-INPUT!Q4466)/INPUT!P4466),"")</f>
        <v/>
      </c>
    </row>
    <row r="4472" spans="1:12" ht="18" hidden="1" customHeight="1" x14ac:dyDescent="0.2">
      <c r="A4472" s="11" t="str">
        <f>IF(INPUT!M4467="","",INPUT!M4467)</f>
        <v/>
      </c>
      <c r="B4472" s="11" t="str">
        <f>IF(INPUT!M4467="","",INPUT!M4467-WEEKDAY(INPUT!M4467,2)+1)</f>
        <v/>
      </c>
      <c r="C4472" s="20">
        <f>IFERROR(_xlfn.ISOWEEKNUM(INPUT!M4467),"")</f>
        <v>52</v>
      </c>
      <c r="D4472" s="20">
        <f>IFERROR(YEAR(INPUT!M4467),"")</f>
        <v>1900</v>
      </c>
      <c r="E4472" t="str">
        <f>IF(INPUT!O4467="","",INPUT!O4467)</f>
        <v/>
      </c>
      <c r="F4472" t="str">
        <f>IF(INPUT!N4467="","",INPUT!N4467)</f>
        <v/>
      </c>
      <c r="G4472" cm="1">
        <f t="array" ref="G4472">IFERROR(VLOOKUP(INPUT!M4467&amp;INPUT!N4467,CHOOSE({1,2},INPUT!$A$3:$A$5000&amp;INPUT!$C$3:$C$5000,INPUT!$F$3:$F$5000),2,FALSE),"")</f>
        <v>0</v>
      </c>
      <c r="H4472" cm="1">
        <f t="array" ref="H4472">IFERROR(VLOOKUP(INPUT!M4467&amp;INPUT!N4467,CHOOSE({1,2},INPUT!$A$3:$A$5000&amp;INPUT!$C$3:$C$5000,INPUT!$D$3:$D$5000),2,FALSE),"")</f>
        <v>0</v>
      </c>
      <c r="I4472" s="46" t="str">
        <f>IF(INPUT!P4467="","",INPUT!P4467)</f>
        <v/>
      </c>
      <c r="J4472" s="46" t="str">
        <f>IF(INPUT!Q4467="","",INPUT!Q4467)</f>
        <v/>
      </c>
      <c r="K4472" s="46" t="str">
        <f>IFERROR(IF(OR(INPUT!P4467="",INPUT!Q4467=""),"",INPUT!P4467-INPUT!Q4467),"")</f>
        <v/>
      </c>
      <c r="L4472" s="48" t="str">
        <f>IFERROR(IF(OR(INPUT!P4467="",INPUT!Q4467="",INPUT!P4467=0),"",(INPUT!P4467-INPUT!Q4467)/INPUT!P4467),"")</f>
        <v/>
      </c>
    </row>
    <row r="4473" spans="1:12" ht="18" hidden="1" customHeight="1" x14ac:dyDescent="0.2">
      <c r="A4473" s="11" t="str">
        <f>IF(INPUT!M4468="","",INPUT!M4468)</f>
        <v/>
      </c>
      <c r="B4473" s="11" t="str">
        <f>IF(INPUT!M4468="","",INPUT!M4468-WEEKDAY(INPUT!M4468,2)+1)</f>
        <v/>
      </c>
      <c r="C4473" s="20">
        <f>IFERROR(_xlfn.ISOWEEKNUM(INPUT!M4468),"")</f>
        <v>52</v>
      </c>
      <c r="D4473" s="20">
        <f>IFERROR(YEAR(INPUT!M4468),"")</f>
        <v>1900</v>
      </c>
      <c r="E4473" t="str">
        <f>IF(INPUT!O4468="","",INPUT!O4468)</f>
        <v/>
      </c>
      <c r="F4473" t="str">
        <f>IF(INPUT!N4468="","",INPUT!N4468)</f>
        <v/>
      </c>
      <c r="G4473" cm="1">
        <f t="array" ref="G4473">IFERROR(VLOOKUP(INPUT!M4468&amp;INPUT!N4468,CHOOSE({1,2},INPUT!$A$3:$A$5000&amp;INPUT!$C$3:$C$5000,INPUT!$F$3:$F$5000),2,FALSE),"")</f>
        <v>0</v>
      </c>
      <c r="H4473" cm="1">
        <f t="array" ref="H4473">IFERROR(VLOOKUP(INPUT!M4468&amp;INPUT!N4468,CHOOSE({1,2},INPUT!$A$3:$A$5000&amp;INPUT!$C$3:$C$5000,INPUT!$D$3:$D$5000),2,FALSE),"")</f>
        <v>0</v>
      </c>
      <c r="I4473" s="46" t="str">
        <f>IF(INPUT!P4468="","",INPUT!P4468)</f>
        <v/>
      </c>
      <c r="J4473" s="46" t="str">
        <f>IF(INPUT!Q4468="","",INPUT!Q4468)</f>
        <v/>
      </c>
      <c r="K4473" s="46" t="str">
        <f>IFERROR(IF(OR(INPUT!P4468="",INPUT!Q4468=""),"",INPUT!P4468-INPUT!Q4468),"")</f>
        <v/>
      </c>
      <c r="L4473" s="48" t="str">
        <f>IFERROR(IF(OR(INPUT!P4468="",INPUT!Q4468="",INPUT!P4468=0),"",(INPUT!P4468-INPUT!Q4468)/INPUT!P4468),"")</f>
        <v/>
      </c>
    </row>
    <row r="4474" spans="1:12" ht="18" hidden="1" customHeight="1" x14ac:dyDescent="0.2">
      <c r="A4474" s="11" t="str">
        <f>IF(INPUT!M4469="","",INPUT!M4469)</f>
        <v/>
      </c>
      <c r="B4474" s="11" t="str">
        <f>IF(INPUT!M4469="","",INPUT!M4469-WEEKDAY(INPUT!M4469,2)+1)</f>
        <v/>
      </c>
      <c r="C4474" s="20">
        <f>IFERROR(_xlfn.ISOWEEKNUM(INPUT!M4469),"")</f>
        <v>52</v>
      </c>
      <c r="D4474" s="20">
        <f>IFERROR(YEAR(INPUT!M4469),"")</f>
        <v>1900</v>
      </c>
      <c r="E4474" t="str">
        <f>IF(INPUT!O4469="","",INPUT!O4469)</f>
        <v/>
      </c>
      <c r="F4474" t="str">
        <f>IF(INPUT!N4469="","",INPUT!N4469)</f>
        <v/>
      </c>
      <c r="G4474" cm="1">
        <f t="array" ref="G4474">IFERROR(VLOOKUP(INPUT!M4469&amp;INPUT!N4469,CHOOSE({1,2},INPUT!$A$3:$A$5000&amp;INPUT!$C$3:$C$5000,INPUT!$F$3:$F$5000),2,FALSE),"")</f>
        <v>0</v>
      </c>
      <c r="H4474" cm="1">
        <f t="array" ref="H4474">IFERROR(VLOOKUP(INPUT!M4469&amp;INPUT!N4469,CHOOSE({1,2},INPUT!$A$3:$A$5000&amp;INPUT!$C$3:$C$5000,INPUT!$D$3:$D$5000),2,FALSE),"")</f>
        <v>0</v>
      </c>
      <c r="I4474" s="46" t="str">
        <f>IF(INPUT!P4469="","",INPUT!P4469)</f>
        <v/>
      </c>
      <c r="J4474" s="46" t="str">
        <f>IF(INPUT!Q4469="","",INPUT!Q4469)</f>
        <v/>
      </c>
      <c r="K4474" s="46" t="str">
        <f>IFERROR(IF(OR(INPUT!P4469="",INPUT!Q4469=""),"",INPUT!P4469-INPUT!Q4469),"")</f>
        <v/>
      </c>
      <c r="L4474" s="48" t="str">
        <f>IFERROR(IF(OR(INPUT!P4469="",INPUT!Q4469="",INPUT!P4469=0),"",(INPUT!P4469-INPUT!Q4469)/INPUT!P4469),"")</f>
        <v/>
      </c>
    </row>
    <row r="4475" spans="1:12" ht="18" hidden="1" customHeight="1" x14ac:dyDescent="0.2">
      <c r="A4475" s="11" t="str">
        <f>IF(INPUT!M4470="","",INPUT!M4470)</f>
        <v/>
      </c>
      <c r="B4475" s="11" t="str">
        <f>IF(INPUT!M4470="","",INPUT!M4470-WEEKDAY(INPUT!M4470,2)+1)</f>
        <v/>
      </c>
      <c r="C4475" s="20">
        <f>IFERROR(_xlfn.ISOWEEKNUM(INPUT!M4470),"")</f>
        <v>52</v>
      </c>
      <c r="D4475" s="20">
        <f>IFERROR(YEAR(INPUT!M4470),"")</f>
        <v>1900</v>
      </c>
      <c r="E4475" t="str">
        <f>IF(INPUT!O4470="","",INPUT!O4470)</f>
        <v/>
      </c>
      <c r="F4475" t="str">
        <f>IF(INPUT!N4470="","",INPUT!N4470)</f>
        <v/>
      </c>
      <c r="G4475" cm="1">
        <f t="array" ref="G4475">IFERROR(VLOOKUP(INPUT!M4470&amp;INPUT!N4470,CHOOSE({1,2},INPUT!$A$3:$A$5000&amp;INPUT!$C$3:$C$5000,INPUT!$F$3:$F$5000),2,FALSE),"")</f>
        <v>0</v>
      </c>
      <c r="H4475" cm="1">
        <f t="array" ref="H4475">IFERROR(VLOOKUP(INPUT!M4470&amp;INPUT!N4470,CHOOSE({1,2},INPUT!$A$3:$A$5000&amp;INPUT!$C$3:$C$5000,INPUT!$D$3:$D$5000),2,FALSE),"")</f>
        <v>0</v>
      </c>
      <c r="I4475" s="46" t="str">
        <f>IF(INPUT!P4470="","",INPUT!P4470)</f>
        <v/>
      </c>
      <c r="J4475" s="46" t="str">
        <f>IF(INPUT!Q4470="","",INPUT!Q4470)</f>
        <v/>
      </c>
      <c r="K4475" s="46" t="str">
        <f>IFERROR(IF(OR(INPUT!P4470="",INPUT!Q4470=""),"",INPUT!P4470-INPUT!Q4470),"")</f>
        <v/>
      </c>
      <c r="L4475" s="48" t="str">
        <f>IFERROR(IF(OR(INPUT!P4470="",INPUT!Q4470="",INPUT!P4470=0),"",(INPUT!P4470-INPUT!Q4470)/INPUT!P4470),"")</f>
        <v/>
      </c>
    </row>
    <row r="4476" spans="1:12" ht="18" hidden="1" customHeight="1" x14ac:dyDescent="0.2">
      <c r="A4476" s="11" t="str">
        <f>IF(INPUT!M4471="","",INPUT!M4471)</f>
        <v/>
      </c>
      <c r="B4476" s="11" t="str">
        <f>IF(INPUT!M4471="","",INPUT!M4471-WEEKDAY(INPUT!M4471,2)+1)</f>
        <v/>
      </c>
      <c r="C4476" s="20">
        <f>IFERROR(_xlfn.ISOWEEKNUM(INPUT!M4471),"")</f>
        <v>52</v>
      </c>
      <c r="D4476" s="20">
        <f>IFERROR(YEAR(INPUT!M4471),"")</f>
        <v>1900</v>
      </c>
      <c r="E4476" t="str">
        <f>IF(INPUT!O4471="","",INPUT!O4471)</f>
        <v/>
      </c>
      <c r="F4476" t="str">
        <f>IF(INPUT!N4471="","",INPUT!N4471)</f>
        <v/>
      </c>
      <c r="G4476" cm="1">
        <f t="array" ref="G4476">IFERROR(VLOOKUP(INPUT!M4471&amp;INPUT!N4471,CHOOSE({1,2},INPUT!$A$3:$A$5000&amp;INPUT!$C$3:$C$5000,INPUT!$F$3:$F$5000),2,FALSE),"")</f>
        <v>0</v>
      </c>
      <c r="H4476" cm="1">
        <f t="array" ref="H4476">IFERROR(VLOOKUP(INPUT!M4471&amp;INPUT!N4471,CHOOSE({1,2},INPUT!$A$3:$A$5000&amp;INPUT!$C$3:$C$5000,INPUT!$D$3:$D$5000),2,FALSE),"")</f>
        <v>0</v>
      </c>
      <c r="I4476" s="46" t="str">
        <f>IF(INPUT!P4471="","",INPUT!P4471)</f>
        <v/>
      </c>
      <c r="J4476" s="46" t="str">
        <f>IF(INPUT!Q4471="","",INPUT!Q4471)</f>
        <v/>
      </c>
      <c r="K4476" s="46" t="str">
        <f>IFERROR(IF(OR(INPUT!P4471="",INPUT!Q4471=""),"",INPUT!P4471-INPUT!Q4471),"")</f>
        <v/>
      </c>
      <c r="L4476" s="48" t="str">
        <f>IFERROR(IF(OR(INPUT!P4471="",INPUT!Q4471="",INPUT!P4471=0),"",(INPUT!P4471-INPUT!Q4471)/INPUT!P4471),"")</f>
        <v/>
      </c>
    </row>
    <row r="4477" spans="1:12" ht="18" hidden="1" customHeight="1" x14ac:dyDescent="0.2">
      <c r="A4477" s="11" t="str">
        <f>IF(INPUT!M4472="","",INPUT!M4472)</f>
        <v/>
      </c>
      <c r="B4477" s="11" t="str">
        <f>IF(INPUT!M4472="","",INPUT!M4472-WEEKDAY(INPUT!M4472,2)+1)</f>
        <v/>
      </c>
      <c r="C4477" s="20">
        <f>IFERROR(_xlfn.ISOWEEKNUM(INPUT!M4472),"")</f>
        <v>52</v>
      </c>
      <c r="D4477" s="20">
        <f>IFERROR(YEAR(INPUT!M4472),"")</f>
        <v>1900</v>
      </c>
      <c r="E4477" t="str">
        <f>IF(INPUT!O4472="","",INPUT!O4472)</f>
        <v/>
      </c>
      <c r="F4477" t="str">
        <f>IF(INPUT!N4472="","",INPUT!N4472)</f>
        <v/>
      </c>
      <c r="G4477" cm="1">
        <f t="array" ref="G4477">IFERROR(VLOOKUP(INPUT!M4472&amp;INPUT!N4472,CHOOSE({1,2},INPUT!$A$3:$A$5000&amp;INPUT!$C$3:$C$5000,INPUT!$F$3:$F$5000),2,FALSE),"")</f>
        <v>0</v>
      </c>
      <c r="H4477" cm="1">
        <f t="array" ref="H4477">IFERROR(VLOOKUP(INPUT!M4472&amp;INPUT!N4472,CHOOSE({1,2},INPUT!$A$3:$A$5000&amp;INPUT!$C$3:$C$5000,INPUT!$D$3:$D$5000),2,FALSE),"")</f>
        <v>0</v>
      </c>
      <c r="I4477" s="46" t="str">
        <f>IF(INPUT!P4472="","",INPUT!P4472)</f>
        <v/>
      </c>
      <c r="J4477" s="46" t="str">
        <f>IF(INPUT!Q4472="","",INPUT!Q4472)</f>
        <v/>
      </c>
      <c r="K4477" s="46" t="str">
        <f>IFERROR(IF(OR(INPUT!P4472="",INPUT!Q4472=""),"",INPUT!P4472-INPUT!Q4472),"")</f>
        <v/>
      </c>
      <c r="L4477" s="48" t="str">
        <f>IFERROR(IF(OR(INPUT!P4472="",INPUT!Q4472="",INPUT!P4472=0),"",(INPUT!P4472-INPUT!Q4472)/INPUT!P4472),"")</f>
        <v/>
      </c>
    </row>
    <row r="4478" spans="1:12" ht="18" hidden="1" customHeight="1" x14ac:dyDescent="0.2">
      <c r="A4478" s="11" t="str">
        <f>IF(INPUT!M4473="","",INPUT!M4473)</f>
        <v/>
      </c>
      <c r="B4478" s="11" t="str">
        <f>IF(INPUT!M4473="","",INPUT!M4473-WEEKDAY(INPUT!M4473,2)+1)</f>
        <v/>
      </c>
      <c r="C4478" s="20">
        <f>IFERROR(_xlfn.ISOWEEKNUM(INPUT!M4473),"")</f>
        <v>52</v>
      </c>
      <c r="D4478" s="20">
        <f>IFERROR(YEAR(INPUT!M4473),"")</f>
        <v>1900</v>
      </c>
      <c r="E4478" t="str">
        <f>IF(INPUT!O4473="","",INPUT!O4473)</f>
        <v/>
      </c>
      <c r="F4478" t="str">
        <f>IF(INPUT!N4473="","",INPUT!N4473)</f>
        <v/>
      </c>
      <c r="G4478" cm="1">
        <f t="array" ref="G4478">IFERROR(VLOOKUP(INPUT!M4473&amp;INPUT!N4473,CHOOSE({1,2},INPUT!$A$3:$A$5000&amp;INPUT!$C$3:$C$5000,INPUT!$F$3:$F$5000),2,FALSE),"")</f>
        <v>0</v>
      </c>
      <c r="H4478" cm="1">
        <f t="array" ref="H4478">IFERROR(VLOOKUP(INPUT!M4473&amp;INPUT!N4473,CHOOSE({1,2},INPUT!$A$3:$A$5000&amp;INPUT!$C$3:$C$5000,INPUT!$D$3:$D$5000),2,FALSE),"")</f>
        <v>0</v>
      </c>
      <c r="I4478" s="46" t="str">
        <f>IF(INPUT!P4473="","",INPUT!P4473)</f>
        <v/>
      </c>
      <c r="J4478" s="46" t="str">
        <f>IF(INPUT!Q4473="","",INPUT!Q4473)</f>
        <v/>
      </c>
      <c r="K4478" s="46" t="str">
        <f>IFERROR(IF(OR(INPUT!P4473="",INPUT!Q4473=""),"",INPUT!P4473-INPUT!Q4473),"")</f>
        <v/>
      </c>
      <c r="L4478" s="48" t="str">
        <f>IFERROR(IF(OR(INPUT!P4473="",INPUT!Q4473="",INPUT!P4473=0),"",(INPUT!P4473-INPUT!Q4473)/INPUT!P4473),"")</f>
        <v/>
      </c>
    </row>
    <row r="4479" spans="1:12" ht="18" hidden="1" customHeight="1" x14ac:dyDescent="0.2">
      <c r="A4479" s="11" t="str">
        <f>IF(INPUT!M4474="","",INPUT!M4474)</f>
        <v/>
      </c>
      <c r="B4479" s="11" t="str">
        <f>IF(INPUT!M4474="","",INPUT!M4474-WEEKDAY(INPUT!M4474,2)+1)</f>
        <v/>
      </c>
      <c r="C4479" s="20">
        <f>IFERROR(_xlfn.ISOWEEKNUM(INPUT!M4474),"")</f>
        <v>52</v>
      </c>
      <c r="D4479" s="20">
        <f>IFERROR(YEAR(INPUT!M4474),"")</f>
        <v>1900</v>
      </c>
      <c r="E4479" t="str">
        <f>IF(INPUT!O4474="","",INPUT!O4474)</f>
        <v/>
      </c>
      <c r="F4479" t="str">
        <f>IF(INPUT!N4474="","",INPUT!N4474)</f>
        <v/>
      </c>
      <c r="G4479" cm="1">
        <f t="array" ref="G4479">IFERROR(VLOOKUP(INPUT!M4474&amp;INPUT!N4474,CHOOSE({1,2},INPUT!$A$3:$A$5000&amp;INPUT!$C$3:$C$5000,INPUT!$F$3:$F$5000),2,FALSE),"")</f>
        <v>0</v>
      </c>
      <c r="H4479" cm="1">
        <f t="array" ref="H4479">IFERROR(VLOOKUP(INPUT!M4474&amp;INPUT!N4474,CHOOSE({1,2},INPUT!$A$3:$A$5000&amp;INPUT!$C$3:$C$5000,INPUT!$D$3:$D$5000),2,FALSE),"")</f>
        <v>0</v>
      </c>
      <c r="I4479" s="46" t="str">
        <f>IF(INPUT!P4474="","",INPUT!P4474)</f>
        <v/>
      </c>
      <c r="J4479" s="46" t="str">
        <f>IF(INPUT!Q4474="","",INPUT!Q4474)</f>
        <v/>
      </c>
      <c r="K4479" s="46" t="str">
        <f>IFERROR(IF(OR(INPUT!P4474="",INPUT!Q4474=""),"",INPUT!P4474-INPUT!Q4474),"")</f>
        <v/>
      </c>
      <c r="L4479" s="48" t="str">
        <f>IFERROR(IF(OR(INPUT!P4474="",INPUT!Q4474="",INPUT!P4474=0),"",(INPUT!P4474-INPUT!Q4474)/INPUT!P4474),"")</f>
        <v/>
      </c>
    </row>
    <row r="4480" spans="1:12" ht="18" hidden="1" customHeight="1" x14ac:dyDescent="0.2">
      <c r="A4480" s="11" t="str">
        <f>IF(INPUT!M4475="","",INPUT!M4475)</f>
        <v/>
      </c>
      <c r="B4480" s="11" t="str">
        <f>IF(INPUT!M4475="","",INPUT!M4475-WEEKDAY(INPUT!M4475,2)+1)</f>
        <v/>
      </c>
      <c r="C4480" s="20">
        <f>IFERROR(_xlfn.ISOWEEKNUM(INPUT!M4475),"")</f>
        <v>52</v>
      </c>
      <c r="D4480" s="20">
        <f>IFERROR(YEAR(INPUT!M4475),"")</f>
        <v>1900</v>
      </c>
      <c r="E4480" t="str">
        <f>IF(INPUT!O4475="","",INPUT!O4475)</f>
        <v/>
      </c>
      <c r="F4480" t="str">
        <f>IF(INPUT!N4475="","",INPUT!N4475)</f>
        <v/>
      </c>
      <c r="G4480" cm="1">
        <f t="array" ref="G4480">IFERROR(VLOOKUP(INPUT!M4475&amp;INPUT!N4475,CHOOSE({1,2},INPUT!$A$3:$A$5000&amp;INPUT!$C$3:$C$5000,INPUT!$F$3:$F$5000),2,FALSE),"")</f>
        <v>0</v>
      </c>
      <c r="H4480" cm="1">
        <f t="array" ref="H4480">IFERROR(VLOOKUP(INPUT!M4475&amp;INPUT!N4475,CHOOSE({1,2},INPUT!$A$3:$A$5000&amp;INPUT!$C$3:$C$5000,INPUT!$D$3:$D$5000),2,FALSE),"")</f>
        <v>0</v>
      </c>
      <c r="I4480" s="46" t="str">
        <f>IF(INPUT!P4475="","",INPUT!P4475)</f>
        <v/>
      </c>
      <c r="J4480" s="46" t="str">
        <f>IF(INPUT!Q4475="","",INPUT!Q4475)</f>
        <v/>
      </c>
      <c r="K4480" s="46" t="str">
        <f>IFERROR(IF(OR(INPUT!P4475="",INPUT!Q4475=""),"",INPUT!P4475-INPUT!Q4475),"")</f>
        <v/>
      </c>
      <c r="L4480" s="48" t="str">
        <f>IFERROR(IF(OR(INPUT!P4475="",INPUT!Q4475="",INPUT!P4475=0),"",(INPUT!P4475-INPUT!Q4475)/INPUT!P4475),"")</f>
        <v/>
      </c>
    </row>
    <row r="4481" spans="1:12" ht="18" hidden="1" customHeight="1" x14ac:dyDescent="0.2">
      <c r="A4481" s="11" t="str">
        <f>IF(INPUT!M4476="","",INPUT!M4476)</f>
        <v/>
      </c>
      <c r="B4481" s="11" t="str">
        <f>IF(INPUT!M4476="","",INPUT!M4476-WEEKDAY(INPUT!M4476,2)+1)</f>
        <v/>
      </c>
      <c r="C4481" s="20">
        <f>IFERROR(_xlfn.ISOWEEKNUM(INPUT!M4476),"")</f>
        <v>52</v>
      </c>
      <c r="D4481" s="20">
        <f>IFERROR(YEAR(INPUT!M4476),"")</f>
        <v>1900</v>
      </c>
      <c r="E4481" t="str">
        <f>IF(INPUT!O4476="","",INPUT!O4476)</f>
        <v/>
      </c>
      <c r="F4481" t="str">
        <f>IF(INPUT!N4476="","",INPUT!N4476)</f>
        <v/>
      </c>
      <c r="G4481" cm="1">
        <f t="array" ref="G4481">IFERROR(VLOOKUP(INPUT!M4476&amp;INPUT!N4476,CHOOSE({1,2},INPUT!$A$3:$A$5000&amp;INPUT!$C$3:$C$5000,INPUT!$F$3:$F$5000),2,FALSE),"")</f>
        <v>0</v>
      </c>
      <c r="H4481" cm="1">
        <f t="array" ref="H4481">IFERROR(VLOOKUP(INPUT!M4476&amp;INPUT!N4476,CHOOSE({1,2},INPUT!$A$3:$A$5000&amp;INPUT!$C$3:$C$5000,INPUT!$D$3:$D$5000),2,FALSE),"")</f>
        <v>0</v>
      </c>
      <c r="I4481" s="46" t="str">
        <f>IF(INPUT!P4476="","",INPUT!P4476)</f>
        <v/>
      </c>
      <c r="J4481" s="46" t="str">
        <f>IF(INPUT!Q4476="","",INPUT!Q4476)</f>
        <v/>
      </c>
      <c r="K4481" s="46" t="str">
        <f>IFERROR(IF(OR(INPUT!P4476="",INPUT!Q4476=""),"",INPUT!P4476-INPUT!Q4476),"")</f>
        <v/>
      </c>
      <c r="L4481" s="48" t="str">
        <f>IFERROR(IF(OR(INPUT!P4476="",INPUT!Q4476="",INPUT!P4476=0),"",(INPUT!P4476-INPUT!Q4476)/INPUT!P4476),"")</f>
        <v/>
      </c>
    </row>
    <row r="4482" spans="1:12" ht="18" hidden="1" customHeight="1" x14ac:dyDescent="0.2">
      <c r="A4482" s="11" t="str">
        <f>IF(INPUT!M4477="","",INPUT!M4477)</f>
        <v/>
      </c>
      <c r="B4482" s="11" t="str">
        <f>IF(INPUT!M4477="","",INPUT!M4477-WEEKDAY(INPUT!M4477,2)+1)</f>
        <v/>
      </c>
      <c r="C4482" s="20">
        <f>IFERROR(_xlfn.ISOWEEKNUM(INPUT!M4477),"")</f>
        <v>52</v>
      </c>
      <c r="D4482" s="20">
        <f>IFERROR(YEAR(INPUT!M4477),"")</f>
        <v>1900</v>
      </c>
      <c r="E4482" t="str">
        <f>IF(INPUT!O4477="","",INPUT!O4477)</f>
        <v/>
      </c>
      <c r="F4482" t="str">
        <f>IF(INPUT!N4477="","",INPUT!N4477)</f>
        <v/>
      </c>
      <c r="G4482" cm="1">
        <f t="array" ref="G4482">IFERROR(VLOOKUP(INPUT!M4477&amp;INPUT!N4477,CHOOSE({1,2},INPUT!$A$3:$A$5000&amp;INPUT!$C$3:$C$5000,INPUT!$F$3:$F$5000),2,FALSE),"")</f>
        <v>0</v>
      </c>
      <c r="H4482" cm="1">
        <f t="array" ref="H4482">IFERROR(VLOOKUP(INPUT!M4477&amp;INPUT!N4477,CHOOSE({1,2},INPUT!$A$3:$A$5000&amp;INPUT!$C$3:$C$5000,INPUT!$D$3:$D$5000),2,FALSE),"")</f>
        <v>0</v>
      </c>
      <c r="I4482" s="46" t="str">
        <f>IF(INPUT!P4477="","",INPUT!P4477)</f>
        <v/>
      </c>
      <c r="J4482" s="46" t="str">
        <f>IF(INPUT!Q4477="","",INPUT!Q4477)</f>
        <v/>
      </c>
      <c r="K4482" s="46" t="str">
        <f>IFERROR(IF(OR(INPUT!P4477="",INPUT!Q4477=""),"",INPUT!P4477-INPUT!Q4477),"")</f>
        <v/>
      </c>
      <c r="L4482" s="48" t="str">
        <f>IFERROR(IF(OR(INPUT!P4477="",INPUT!Q4477="",INPUT!P4477=0),"",(INPUT!P4477-INPUT!Q4477)/INPUT!P4477),"")</f>
        <v/>
      </c>
    </row>
    <row r="4483" spans="1:12" ht="18" hidden="1" customHeight="1" x14ac:dyDescent="0.2">
      <c r="A4483" s="11" t="str">
        <f>IF(INPUT!M4478="","",INPUT!M4478)</f>
        <v/>
      </c>
      <c r="B4483" s="11" t="str">
        <f>IF(INPUT!M4478="","",INPUT!M4478-WEEKDAY(INPUT!M4478,2)+1)</f>
        <v/>
      </c>
      <c r="C4483" s="20">
        <f>IFERROR(_xlfn.ISOWEEKNUM(INPUT!M4478),"")</f>
        <v>52</v>
      </c>
      <c r="D4483" s="20">
        <f>IFERROR(YEAR(INPUT!M4478),"")</f>
        <v>1900</v>
      </c>
      <c r="E4483" t="str">
        <f>IF(INPUT!O4478="","",INPUT!O4478)</f>
        <v/>
      </c>
      <c r="F4483" t="str">
        <f>IF(INPUT!N4478="","",INPUT!N4478)</f>
        <v/>
      </c>
      <c r="G4483" cm="1">
        <f t="array" ref="G4483">IFERROR(VLOOKUP(INPUT!M4478&amp;INPUT!N4478,CHOOSE({1,2},INPUT!$A$3:$A$5000&amp;INPUT!$C$3:$C$5000,INPUT!$F$3:$F$5000),2,FALSE),"")</f>
        <v>0</v>
      </c>
      <c r="H4483" cm="1">
        <f t="array" ref="H4483">IFERROR(VLOOKUP(INPUT!M4478&amp;INPUT!N4478,CHOOSE({1,2},INPUT!$A$3:$A$5000&amp;INPUT!$C$3:$C$5000,INPUT!$D$3:$D$5000),2,FALSE),"")</f>
        <v>0</v>
      </c>
      <c r="I4483" s="46" t="str">
        <f>IF(INPUT!P4478="","",INPUT!P4478)</f>
        <v/>
      </c>
      <c r="J4483" s="46" t="str">
        <f>IF(INPUT!Q4478="","",INPUT!Q4478)</f>
        <v/>
      </c>
      <c r="K4483" s="46" t="str">
        <f>IFERROR(IF(OR(INPUT!P4478="",INPUT!Q4478=""),"",INPUT!P4478-INPUT!Q4478),"")</f>
        <v/>
      </c>
      <c r="L4483" s="48" t="str">
        <f>IFERROR(IF(OR(INPUT!P4478="",INPUT!Q4478="",INPUT!P4478=0),"",(INPUT!P4478-INPUT!Q4478)/INPUT!P4478),"")</f>
        <v/>
      </c>
    </row>
    <row r="4484" spans="1:12" ht="18" hidden="1" customHeight="1" x14ac:dyDescent="0.2">
      <c r="A4484" s="11" t="str">
        <f>IF(INPUT!M4479="","",INPUT!M4479)</f>
        <v/>
      </c>
      <c r="B4484" s="11" t="str">
        <f>IF(INPUT!M4479="","",INPUT!M4479-WEEKDAY(INPUT!M4479,2)+1)</f>
        <v/>
      </c>
      <c r="C4484" s="20">
        <f>IFERROR(_xlfn.ISOWEEKNUM(INPUT!M4479),"")</f>
        <v>52</v>
      </c>
      <c r="D4484" s="20">
        <f>IFERROR(YEAR(INPUT!M4479),"")</f>
        <v>1900</v>
      </c>
      <c r="E4484" t="str">
        <f>IF(INPUT!O4479="","",INPUT!O4479)</f>
        <v/>
      </c>
      <c r="F4484" t="str">
        <f>IF(INPUT!N4479="","",INPUT!N4479)</f>
        <v/>
      </c>
      <c r="G4484" cm="1">
        <f t="array" ref="G4484">IFERROR(VLOOKUP(INPUT!M4479&amp;INPUT!N4479,CHOOSE({1,2},INPUT!$A$3:$A$5000&amp;INPUT!$C$3:$C$5000,INPUT!$F$3:$F$5000),2,FALSE),"")</f>
        <v>0</v>
      </c>
      <c r="H4484" cm="1">
        <f t="array" ref="H4484">IFERROR(VLOOKUP(INPUT!M4479&amp;INPUT!N4479,CHOOSE({1,2},INPUT!$A$3:$A$5000&amp;INPUT!$C$3:$C$5000,INPUT!$D$3:$D$5000),2,FALSE),"")</f>
        <v>0</v>
      </c>
      <c r="I4484" s="46" t="str">
        <f>IF(INPUT!P4479="","",INPUT!P4479)</f>
        <v/>
      </c>
      <c r="J4484" s="46" t="str">
        <f>IF(INPUT!Q4479="","",INPUT!Q4479)</f>
        <v/>
      </c>
      <c r="K4484" s="46" t="str">
        <f>IFERROR(IF(OR(INPUT!P4479="",INPUT!Q4479=""),"",INPUT!P4479-INPUT!Q4479),"")</f>
        <v/>
      </c>
      <c r="L4484" s="48" t="str">
        <f>IFERROR(IF(OR(INPUT!P4479="",INPUT!Q4479="",INPUT!P4479=0),"",(INPUT!P4479-INPUT!Q4479)/INPUT!P4479),"")</f>
        <v/>
      </c>
    </row>
    <row r="4485" spans="1:12" ht="18" hidden="1" customHeight="1" x14ac:dyDescent="0.2">
      <c r="A4485" s="11" t="str">
        <f>IF(INPUT!M4480="","",INPUT!M4480)</f>
        <v/>
      </c>
      <c r="B4485" s="11" t="str">
        <f>IF(INPUT!M4480="","",INPUT!M4480-WEEKDAY(INPUT!M4480,2)+1)</f>
        <v/>
      </c>
      <c r="C4485" s="20">
        <f>IFERROR(_xlfn.ISOWEEKNUM(INPUT!M4480),"")</f>
        <v>52</v>
      </c>
      <c r="D4485" s="20">
        <f>IFERROR(YEAR(INPUT!M4480),"")</f>
        <v>1900</v>
      </c>
      <c r="E4485" t="str">
        <f>IF(INPUT!O4480="","",INPUT!O4480)</f>
        <v/>
      </c>
      <c r="F4485" t="str">
        <f>IF(INPUT!N4480="","",INPUT!N4480)</f>
        <v/>
      </c>
      <c r="G4485" cm="1">
        <f t="array" ref="G4485">IFERROR(VLOOKUP(INPUT!M4480&amp;INPUT!N4480,CHOOSE({1,2},INPUT!$A$3:$A$5000&amp;INPUT!$C$3:$C$5000,INPUT!$F$3:$F$5000),2,FALSE),"")</f>
        <v>0</v>
      </c>
      <c r="H4485" cm="1">
        <f t="array" ref="H4485">IFERROR(VLOOKUP(INPUT!M4480&amp;INPUT!N4480,CHOOSE({1,2},INPUT!$A$3:$A$5000&amp;INPUT!$C$3:$C$5000,INPUT!$D$3:$D$5000),2,FALSE),"")</f>
        <v>0</v>
      </c>
      <c r="I4485" s="46" t="str">
        <f>IF(INPUT!P4480="","",INPUT!P4480)</f>
        <v/>
      </c>
      <c r="J4485" s="46" t="str">
        <f>IF(INPUT!Q4480="","",INPUT!Q4480)</f>
        <v/>
      </c>
      <c r="K4485" s="46" t="str">
        <f>IFERROR(IF(OR(INPUT!P4480="",INPUT!Q4480=""),"",INPUT!P4480-INPUT!Q4480),"")</f>
        <v/>
      </c>
      <c r="L4485" s="48" t="str">
        <f>IFERROR(IF(OR(INPUT!P4480="",INPUT!Q4480="",INPUT!P4480=0),"",(INPUT!P4480-INPUT!Q4480)/INPUT!P4480),"")</f>
        <v/>
      </c>
    </row>
    <row r="4486" spans="1:12" ht="18" hidden="1" customHeight="1" x14ac:dyDescent="0.2">
      <c r="A4486" s="11" t="str">
        <f>IF(INPUT!M4481="","",INPUT!M4481)</f>
        <v/>
      </c>
      <c r="B4486" s="11" t="str">
        <f>IF(INPUT!M4481="","",INPUT!M4481-WEEKDAY(INPUT!M4481,2)+1)</f>
        <v/>
      </c>
      <c r="C4486" s="20">
        <f>IFERROR(_xlfn.ISOWEEKNUM(INPUT!M4481),"")</f>
        <v>52</v>
      </c>
      <c r="D4486" s="20">
        <f>IFERROR(YEAR(INPUT!M4481),"")</f>
        <v>1900</v>
      </c>
      <c r="E4486" t="str">
        <f>IF(INPUT!O4481="","",INPUT!O4481)</f>
        <v/>
      </c>
      <c r="F4486" t="str">
        <f>IF(INPUT!N4481="","",INPUT!N4481)</f>
        <v/>
      </c>
      <c r="G4486" cm="1">
        <f t="array" ref="G4486">IFERROR(VLOOKUP(INPUT!M4481&amp;INPUT!N4481,CHOOSE({1,2},INPUT!$A$3:$A$5000&amp;INPUT!$C$3:$C$5000,INPUT!$F$3:$F$5000),2,FALSE),"")</f>
        <v>0</v>
      </c>
      <c r="H4486" cm="1">
        <f t="array" ref="H4486">IFERROR(VLOOKUP(INPUT!M4481&amp;INPUT!N4481,CHOOSE({1,2},INPUT!$A$3:$A$5000&amp;INPUT!$C$3:$C$5000,INPUT!$D$3:$D$5000),2,FALSE),"")</f>
        <v>0</v>
      </c>
      <c r="I4486" s="46" t="str">
        <f>IF(INPUT!P4481="","",INPUT!P4481)</f>
        <v/>
      </c>
      <c r="J4486" s="46" t="str">
        <f>IF(INPUT!Q4481="","",INPUT!Q4481)</f>
        <v/>
      </c>
      <c r="K4486" s="46" t="str">
        <f>IFERROR(IF(OR(INPUT!P4481="",INPUT!Q4481=""),"",INPUT!P4481-INPUT!Q4481),"")</f>
        <v/>
      </c>
      <c r="L4486" s="48" t="str">
        <f>IFERROR(IF(OR(INPUT!P4481="",INPUT!Q4481="",INPUT!P4481=0),"",(INPUT!P4481-INPUT!Q4481)/INPUT!P4481),"")</f>
        <v/>
      </c>
    </row>
    <row r="4487" spans="1:12" ht="18" hidden="1" customHeight="1" x14ac:dyDescent="0.2">
      <c r="A4487" s="11" t="str">
        <f>IF(INPUT!M4482="","",INPUT!M4482)</f>
        <v/>
      </c>
      <c r="B4487" s="11" t="str">
        <f>IF(INPUT!M4482="","",INPUT!M4482-WEEKDAY(INPUT!M4482,2)+1)</f>
        <v/>
      </c>
      <c r="C4487" s="20">
        <f>IFERROR(_xlfn.ISOWEEKNUM(INPUT!M4482),"")</f>
        <v>52</v>
      </c>
      <c r="D4487" s="20">
        <f>IFERROR(YEAR(INPUT!M4482),"")</f>
        <v>1900</v>
      </c>
      <c r="E4487" t="str">
        <f>IF(INPUT!O4482="","",INPUT!O4482)</f>
        <v/>
      </c>
      <c r="F4487" t="str">
        <f>IF(INPUT!N4482="","",INPUT!N4482)</f>
        <v/>
      </c>
      <c r="G4487" cm="1">
        <f t="array" ref="G4487">IFERROR(VLOOKUP(INPUT!M4482&amp;INPUT!N4482,CHOOSE({1,2},INPUT!$A$3:$A$5000&amp;INPUT!$C$3:$C$5000,INPUT!$F$3:$F$5000),2,FALSE),"")</f>
        <v>0</v>
      </c>
      <c r="H4487" cm="1">
        <f t="array" ref="H4487">IFERROR(VLOOKUP(INPUT!M4482&amp;INPUT!N4482,CHOOSE({1,2},INPUT!$A$3:$A$5000&amp;INPUT!$C$3:$C$5000,INPUT!$D$3:$D$5000),2,FALSE),"")</f>
        <v>0</v>
      </c>
      <c r="I4487" s="46" t="str">
        <f>IF(INPUT!P4482="","",INPUT!P4482)</f>
        <v/>
      </c>
      <c r="J4487" s="46" t="str">
        <f>IF(INPUT!Q4482="","",INPUT!Q4482)</f>
        <v/>
      </c>
      <c r="K4487" s="46" t="str">
        <f>IFERROR(IF(OR(INPUT!P4482="",INPUT!Q4482=""),"",INPUT!P4482-INPUT!Q4482),"")</f>
        <v/>
      </c>
      <c r="L4487" s="48" t="str">
        <f>IFERROR(IF(OR(INPUT!P4482="",INPUT!Q4482="",INPUT!P4482=0),"",(INPUT!P4482-INPUT!Q4482)/INPUT!P4482),"")</f>
        <v/>
      </c>
    </row>
    <row r="4488" spans="1:12" ht="18" hidden="1" customHeight="1" x14ac:dyDescent="0.2">
      <c r="A4488" s="11" t="str">
        <f>IF(INPUT!M4483="","",INPUT!M4483)</f>
        <v/>
      </c>
      <c r="B4488" s="11" t="str">
        <f>IF(INPUT!M4483="","",INPUT!M4483-WEEKDAY(INPUT!M4483,2)+1)</f>
        <v/>
      </c>
      <c r="C4488" s="20">
        <f>IFERROR(_xlfn.ISOWEEKNUM(INPUT!M4483),"")</f>
        <v>52</v>
      </c>
      <c r="D4488" s="20">
        <f>IFERROR(YEAR(INPUT!M4483),"")</f>
        <v>1900</v>
      </c>
      <c r="E4488" t="str">
        <f>IF(INPUT!O4483="","",INPUT!O4483)</f>
        <v/>
      </c>
      <c r="F4488" t="str">
        <f>IF(INPUT!N4483="","",INPUT!N4483)</f>
        <v/>
      </c>
      <c r="G4488" cm="1">
        <f t="array" ref="G4488">IFERROR(VLOOKUP(INPUT!M4483&amp;INPUT!N4483,CHOOSE({1,2},INPUT!$A$3:$A$5000&amp;INPUT!$C$3:$C$5000,INPUT!$F$3:$F$5000),2,FALSE),"")</f>
        <v>0</v>
      </c>
      <c r="H4488" cm="1">
        <f t="array" ref="H4488">IFERROR(VLOOKUP(INPUT!M4483&amp;INPUT!N4483,CHOOSE({1,2},INPUT!$A$3:$A$5000&amp;INPUT!$C$3:$C$5000,INPUT!$D$3:$D$5000),2,FALSE),"")</f>
        <v>0</v>
      </c>
      <c r="I4488" s="46" t="str">
        <f>IF(INPUT!P4483="","",INPUT!P4483)</f>
        <v/>
      </c>
      <c r="J4488" s="46" t="str">
        <f>IF(INPUT!Q4483="","",INPUT!Q4483)</f>
        <v/>
      </c>
      <c r="K4488" s="46" t="str">
        <f>IFERROR(IF(OR(INPUT!P4483="",INPUT!Q4483=""),"",INPUT!P4483-INPUT!Q4483),"")</f>
        <v/>
      </c>
      <c r="L4488" s="48" t="str">
        <f>IFERROR(IF(OR(INPUT!P4483="",INPUT!Q4483="",INPUT!P4483=0),"",(INPUT!P4483-INPUT!Q4483)/INPUT!P4483),"")</f>
        <v/>
      </c>
    </row>
    <row r="4489" spans="1:12" ht="18" hidden="1" customHeight="1" x14ac:dyDescent="0.2">
      <c r="A4489" s="11" t="str">
        <f>IF(INPUT!M4484="","",INPUT!M4484)</f>
        <v/>
      </c>
      <c r="B4489" s="11" t="str">
        <f>IF(INPUT!M4484="","",INPUT!M4484-WEEKDAY(INPUT!M4484,2)+1)</f>
        <v/>
      </c>
      <c r="C4489" s="20">
        <f>IFERROR(_xlfn.ISOWEEKNUM(INPUT!M4484),"")</f>
        <v>52</v>
      </c>
      <c r="D4489" s="20">
        <f>IFERROR(YEAR(INPUT!M4484),"")</f>
        <v>1900</v>
      </c>
      <c r="E4489" t="str">
        <f>IF(INPUT!O4484="","",INPUT!O4484)</f>
        <v/>
      </c>
      <c r="F4489" t="str">
        <f>IF(INPUT!N4484="","",INPUT!N4484)</f>
        <v/>
      </c>
      <c r="G4489" cm="1">
        <f t="array" ref="G4489">IFERROR(VLOOKUP(INPUT!M4484&amp;INPUT!N4484,CHOOSE({1,2},INPUT!$A$3:$A$5000&amp;INPUT!$C$3:$C$5000,INPUT!$F$3:$F$5000),2,FALSE),"")</f>
        <v>0</v>
      </c>
      <c r="H4489" cm="1">
        <f t="array" ref="H4489">IFERROR(VLOOKUP(INPUT!M4484&amp;INPUT!N4484,CHOOSE({1,2},INPUT!$A$3:$A$5000&amp;INPUT!$C$3:$C$5000,INPUT!$D$3:$D$5000),2,FALSE),"")</f>
        <v>0</v>
      </c>
      <c r="I4489" s="46" t="str">
        <f>IF(INPUT!P4484="","",INPUT!P4484)</f>
        <v/>
      </c>
      <c r="J4489" s="46" t="str">
        <f>IF(INPUT!Q4484="","",INPUT!Q4484)</f>
        <v/>
      </c>
      <c r="K4489" s="46" t="str">
        <f>IFERROR(IF(OR(INPUT!P4484="",INPUT!Q4484=""),"",INPUT!P4484-INPUT!Q4484),"")</f>
        <v/>
      </c>
      <c r="L4489" s="48" t="str">
        <f>IFERROR(IF(OR(INPUT!P4484="",INPUT!Q4484="",INPUT!P4484=0),"",(INPUT!P4484-INPUT!Q4484)/INPUT!P4484),"")</f>
        <v/>
      </c>
    </row>
    <row r="4490" spans="1:12" ht="18" hidden="1" customHeight="1" x14ac:dyDescent="0.2">
      <c r="A4490" s="11" t="str">
        <f>IF(INPUT!M4485="","",INPUT!M4485)</f>
        <v/>
      </c>
      <c r="B4490" s="11" t="str">
        <f>IF(INPUT!M4485="","",INPUT!M4485-WEEKDAY(INPUT!M4485,2)+1)</f>
        <v/>
      </c>
      <c r="C4490" s="20">
        <f>IFERROR(_xlfn.ISOWEEKNUM(INPUT!M4485),"")</f>
        <v>52</v>
      </c>
      <c r="D4490" s="20">
        <f>IFERROR(YEAR(INPUT!M4485),"")</f>
        <v>1900</v>
      </c>
      <c r="E4490" t="str">
        <f>IF(INPUT!O4485="","",INPUT!O4485)</f>
        <v/>
      </c>
      <c r="F4490" t="str">
        <f>IF(INPUT!N4485="","",INPUT!N4485)</f>
        <v/>
      </c>
      <c r="G4490" cm="1">
        <f t="array" ref="G4490">IFERROR(VLOOKUP(INPUT!M4485&amp;INPUT!N4485,CHOOSE({1,2},INPUT!$A$3:$A$5000&amp;INPUT!$C$3:$C$5000,INPUT!$F$3:$F$5000),2,FALSE),"")</f>
        <v>0</v>
      </c>
      <c r="H4490" cm="1">
        <f t="array" ref="H4490">IFERROR(VLOOKUP(INPUT!M4485&amp;INPUT!N4485,CHOOSE({1,2},INPUT!$A$3:$A$5000&amp;INPUT!$C$3:$C$5000,INPUT!$D$3:$D$5000),2,FALSE),"")</f>
        <v>0</v>
      </c>
      <c r="I4490" s="46" t="str">
        <f>IF(INPUT!P4485="","",INPUT!P4485)</f>
        <v/>
      </c>
      <c r="J4490" s="46" t="str">
        <f>IF(INPUT!Q4485="","",INPUT!Q4485)</f>
        <v/>
      </c>
      <c r="K4490" s="46" t="str">
        <f>IFERROR(IF(OR(INPUT!P4485="",INPUT!Q4485=""),"",INPUT!P4485-INPUT!Q4485),"")</f>
        <v/>
      </c>
      <c r="L4490" s="48" t="str">
        <f>IFERROR(IF(OR(INPUT!P4485="",INPUT!Q4485="",INPUT!P4485=0),"",(INPUT!P4485-INPUT!Q4485)/INPUT!P4485),"")</f>
        <v/>
      </c>
    </row>
    <row r="4491" spans="1:12" ht="18" hidden="1" customHeight="1" x14ac:dyDescent="0.2">
      <c r="A4491" s="11" t="str">
        <f>IF(INPUT!M4486="","",INPUT!M4486)</f>
        <v/>
      </c>
      <c r="B4491" s="11" t="str">
        <f>IF(INPUT!M4486="","",INPUT!M4486-WEEKDAY(INPUT!M4486,2)+1)</f>
        <v/>
      </c>
      <c r="C4491" s="20">
        <f>IFERROR(_xlfn.ISOWEEKNUM(INPUT!M4486),"")</f>
        <v>52</v>
      </c>
      <c r="D4491" s="20">
        <f>IFERROR(YEAR(INPUT!M4486),"")</f>
        <v>1900</v>
      </c>
      <c r="E4491" t="str">
        <f>IF(INPUT!O4486="","",INPUT!O4486)</f>
        <v/>
      </c>
      <c r="F4491" t="str">
        <f>IF(INPUT!N4486="","",INPUT!N4486)</f>
        <v/>
      </c>
      <c r="G4491" cm="1">
        <f t="array" ref="G4491">IFERROR(VLOOKUP(INPUT!M4486&amp;INPUT!N4486,CHOOSE({1,2},INPUT!$A$3:$A$5000&amp;INPUT!$C$3:$C$5000,INPUT!$F$3:$F$5000),2,FALSE),"")</f>
        <v>0</v>
      </c>
      <c r="H4491" cm="1">
        <f t="array" ref="H4491">IFERROR(VLOOKUP(INPUT!M4486&amp;INPUT!N4486,CHOOSE({1,2},INPUT!$A$3:$A$5000&amp;INPUT!$C$3:$C$5000,INPUT!$D$3:$D$5000),2,FALSE),"")</f>
        <v>0</v>
      </c>
      <c r="I4491" s="46" t="str">
        <f>IF(INPUT!P4486="","",INPUT!P4486)</f>
        <v/>
      </c>
      <c r="J4491" s="46" t="str">
        <f>IF(INPUT!Q4486="","",INPUT!Q4486)</f>
        <v/>
      </c>
      <c r="K4491" s="46" t="str">
        <f>IFERROR(IF(OR(INPUT!P4486="",INPUT!Q4486=""),"",INPUT!P4486-INPUT!Q4486),"")</f>
        <v/>
      </c>
      <c r="L4491" s="48" t="str">
        <f>IFERROR(IF(OR(INPUT!P4486="",INPUT!Q4486="",INPUT!P4486=0),"",(INPUT!P4486-INPUT!Q4486)/INPUT!P4486),"")</f>
        <v/>
      </c>
    </row>
    <row r="4492" spans="1:12" ht="18" hidden="1" customHeight="1" x14ac:dyDescent="0.2">
      <c r="A4492" s="11" t="str">
        <f>IF(INPUT!M4487="","",INPUT!M4487)</f>
        <v/>
      </c>
      <c r="B4492" s="11" t="str">
        <f>IF(INPUT!M4487="","",INPUT!M4487-WEEKDAY(INPUT!M4487,2)+1)</f>
        <v/>
      </c>
      <c r="C4492" s="20">
        <f>IFERROR(_xlfn.ISOWEEKNUM(INPUT!M4487),"")</f>
        <v>52</v>
      </c>
      <c r="D4492" s="20">
        <f>IFERROR(YEAR(INPUT!M4487),"")</f>
        <v>1900</v>
      </c>
      <c r="E4492" t="str">
        <f>IF(INPUT!O4487="","",INPUT!O4487)</f>
        <v/>
      </c>
      <c r="F4492" t="str">
        <f>IF(INPUT!N4487="","",INPUT!N4487)</f>
        <v/>
      </c>
      <c r="G4492" cm="1">
        <f t="array" ref="G4492">IFERROR(VLOOKUP(INPUT!M4487&amp;INPUT!N4487,CHOOSE({1,2},INPUT!$A$3:$A$5000&amp;INPUT!$C$3:$C$5000,INPUT!$F$3:$F$5000),2,FALSE),"")</f>
        <v>0</v>
      </c>
      <c r="H4492" cm="1">
        <f t="array" ref="H4492">IFERROR(VLOOKUP(INPUT!M4487&amp;INPUT!N4487,CHOOSE({1,2},INPUT!$A$3:$A$5000&amp;INPUT!$C$3:$C$5000,INPUT!$D$3:$D$5000),2,FALSE),"")</f>
        <v>0</v>
      </c>
      <c r="I4492" s="46" t="str">
        <f>IF(INPUT!P4487="","",INPUT!P4487)</f>
        <v/>
      </c>
      <c r="J4492" s="46" t="str">
        <f>IF(INPUT!Q4487="","",INPUT!Q4487)</f>
        <v/>
      </c>
      <c r="K4492" s="46" t="str">
        <f>IFERROR(IF(OR(INPUT!P4487="",INPUT!Q4487=""),"",INPUT!P4487-INPUT!Q4487),"")</f>
        <v/>
      </c>
      <c r="L4492" s="48" t="str">
        <f>IFERROR(IF(OR(INPUT!P4487="",INPUT!Q4487="",INPUT!P4487=0),"",(INPUT!P4487-INPUT!Q4487)/INPUT!P4487),"")</f>
        <v/>
      </c>
    </row>
    <row r="4493" spans="1:12" ht="18" hidden="1" customHeight="1" x14ac:dyDescent="0.2">
      <c r="A4493" s="11" t="str">
        <f>IF(INPUT!M4488="","",INPUT!M4488)</f>
        <v/>
      </c>
      <c r="B4493" s="11" t="str">
        <f>IF(INPUT!M4488="","",INPUT!M4488-WEEKDAY(INPUT!M4488,2)+1)</f>
        <v/>
      </c>
      <c r="C4493" s="20">
        <f>IFERROR(_xlfn.ISOWEEKNUM(INPUT!M4488),"")</f>
        <v>52</v>
      </c>
      <c r="D4493" s="20">
        <f>IFERROR(YEAR(INPUT!M4488),"")</f>
        <v>1900</v>
      </c>
      <c r="E4493" t="str">
        <f>IF(INPUT!O4488="","",INPUT!O4488)</f>
        <v/>
      </c>
      <c r="F4493" t="str">
        <f>IF(INPUT!N4488="","",INPUT!N4488)</f>
        <v/>
      </c>
      <c r="G4493" cm="1">
        <f t="array" ref="G4493">IFERROR(VLOOKUP(INPUT!M4488&amp;INPUT!N4488,CHOOSE({1,2},INPUT!$A$3:$A$5000&amp;INPUT!$C$3:$C$5000,INPUT!$F$3:$F$5000),2,FALSE),"")</f>
        <v>0</v>
      </c>
      <c r="H4493" cm="1">
        <f t="array" ref="H4493">IFERROR(VLOOKUP(INPUT!M4488&amp;INPUT!N4488,CHOOSE({1,2},INPUT!$A$3:$A$5000&amp;INPUT!$C$3:$C$5000,INPUT!$D$3:$D$5000),2,FALSE),"")</f>
        <v>0</v>
      </c>
      <c r="I4493" s="46" t="str">
        <f>IF(INPUT!P4488="","",INPUT!P4488)</f>
        <v/>
      </c>
      <c r="J4493" s="46" t="str">
        <f>IF(INPUT!Q4488="","",INPUT!Q4488)</f>
        <v/>
      </c>
      <c r="K4493" s="46" t="str">
        <f>IFERROR(IF(OR(INPUT!P4488="",INPUT!Q4488=""),"",INPUT!P4488-INPUT!Q4488),"")</f>
        <v/>
      </c>
      <c r="L4493" s="48" t="str">
        <f>IFERROR(IF(OR(INPUT!P4488="",INPUT!Q4488="",INPUT!P4488=0),"",(INPUT!P4488-INPUT!Q4488)/INPUT!P4488),"")</f>
        <v/>
      </c>
    </row>
    <row r="4494" spans="1:12" ht="18" hidden="1" customHeight="1" x14ac:dyDescent="0.2">
      <c r="A4494" s="11" t="str">
        <f>IF(INPUT!M4489="","",INPUT!M4489)</f>
        <v/>
      </c>
      <c r="B4494" s="11" t="str">
        <f>IF(INPUT!M4489="","",INPUT!M4489-WEEKDAY(INPUT!M4489,2)+1)</f>
        <v/>
      </c>
      <c r="C4494" s="20">
        <f>IFERROR(_xlfn.ISOWEEKNUM(INPUT!M4489),"")</f>
        <v>52</v>
      </c>
      <c r="D4494" s="20">
        <f>IFERROR(YEAR(INPUT!M4489),"")</f>
        <v>1900</v>
      </c>
      <c r="E4494" t="str">
        <f>IF(INPUT!O4489="","",INPUT!O4489)</f>
        <v/>
      </c>
      <c r="F4494" t="str">
        <f>IF(INPUT!N4489="","",INPUT!N4489)</f>
        <v/>
      </c>
      <c r="G4494" cm="1">
        <f t="array" ref="G4494">IFERROR(VLOOKUP(INPUT!M4489&amp;INPUT!N4489,CHOOSE({1,2},INPUT!$A$3:$A$5000&amp;INPUT!$C$3:$C$5000,INPUT!$F$3:$F$5000),2,FALSE),"")</f>
        <v>0</v>
      </c>
      <c r="H4494" cm="1">
        <f t="array" ref="H4494">IFERROR(VLOOKUP(INPUT!M4489&amp;INPUT!N4489,CHOOSE({1,2},INPUT!$A$3:$A$5000&amp;INPUT!$C$3:$C$5000,INPUT!$D$3:$D$5000),2,FALSE),"")</f>
        <v>0</v>
      </c>
      <c r="I4494" s="46" t="str">
        <f>IF(INPUT!P4489="","",INPUT!P4489)</f>
        <v/>
      </c>
      <c r="J4494" s="46" t="str">
        <f>IF(INPUT!Q4489="","",INPUT!Q4489)</f>
        <v/>
      </c>
      <c r="K4494" s="46" t="str">
        <f>IFERROR(IF(OR(INPUT!P4489="",INPUT!Q4489=""),"",INPUT!P4489-INPUT!Q4489),"")</f>
        <v/>
      </c>
      <c r="L4494" s="48" t="str">
        <f>IFERROR(IF(OR(INPUT!P4489="",INPUT!Q4489="",INPUT!P4489=0),"",(INPUT!P4489-INPUT!Q4489)/INPUT!P4489),"")</f>
        <v/>
      </c>
    </row>
    <row r="4495" spans="1:12" ht="18" hidden="1" customHeight="1" x14ac:dyDescent="0.2">
      <c r="A4495" s="11" t="str">
        <f>IF(INPUT!M4490="","",INPUT!M4490)</f>
        <v/>
      </c>
      <c r="B4495" s="11" t="str">
        <f>IF(INPUT!M4490="","",INPUT!M4490-WEEKDAY(INPUT!M4490,2)+1)</f>
        <v/>
      </c>
      <c r="C4495" s="20">
        <f>IFERROR(_xlfn.ISOWEEKNUM(INPUT!M4490),"")</f>
        <v>52</v>
      </c>
      <c r="D4495" s="20">
        <f>IFERROR(YEAR(INPUT!M4490),"")</f>
        <v>1900</v>
      </c>
      <c r="E4495" t="str">
        <f>IF(INPUT!O4490="","",INPUT!O4490)</f>
        <v/>
      </c>
      <c r="F4495" t="str">
        <f>IF(INPUT!N4490="","",INPUT!N4490)</f>
        <v/>
      </c>
      <c r="G4495" cm="1">
        <f t="array" ref="G4495">IFERROR(VLOOKUP(INPUT!M4490&amp;INPUT!N4490,CHOOSE({1,2},INPUT!$A$3:$A$5000&amp;INPUT!$C$3:$C$5000,INPUT!$F$3:$F$5000),2,FALSE),"")</f>
        <v>0</v>
      </c>
      <c r="H4495" cm="1">
        <f t="array" ref="H4495">IFERROR(VLOOKUP(INPUT!M4490&amp;INPUT!N4490,CHOOSE({1,2},INPUT!$A$3:$A$5000&amp;INPUT!$C$3:$C$5000,INPUT!$D$3:$D$5000),2,FALSE),"")</f>
        <v>0</v>
      </c>
      <c r="I4495" s="46" t="str">
        <f>IF(INPUT!P4490="","",INPUT!P4490)</f>
        <v/>
      </c>
      <c r="J4495" s="46" t="str">
        <f>IF(INPUT!Q4490="","",INPUT!Q4490)</f>
        <v/>
      </c>
      <c r="K4495" s="46" t="str">
        <f>IFERROR(IF(OR(INPUT!P4490="",INPUT!Q4490=""),"",INPUT!P4490-INPUT!Q4490),"")</f>
        <v/>
      </c>
      <c r="L4495" s="48" t="str">
        <f>IFERROR(IF(OR(INPUT!P4490="",INPUT!Q4490="",INPUT!P4490=0),"",(INPUT!P4490-INPUT!Q4490)/INPUT!P4490),"")</f>
        <v/>
      </c>
    </row>
    <row r="4496" spans="1:12" ht="18" hidden="1" customHeight="1" x14ac:dyDescent="0.2">
      <c r="A4496" s="11" t="str">
        <f>IF(INPUT!M4491="","",INPUT!M4491)</f>
        <v/>
      </c>
      <c r="B4496" s="11" t="str">
        <f>IF(INPUT!M4491="","",INPUT!M4491-WEEKDAY(INPUT!M4491,2)+1)</f>
        <v/>
      </c>
      <c r="C4496" s="20">
        <f>IFERROR(_xlfn.ISOWEEKNUM(INPUT!M4491),"")</f>
        <v>52</v>
      </c>
      <c r="D4496" s="20">
        <f>IFERROR(YEAR(INPUT!M4491),"")</f>
        <v>1900</v>
      </c>
      <c r="E4496" t="str">
        <f>IF(INPUT!O4491="","",INPUT!O4491)</f>
        <v/>
      </c>
      <c r="F4496" t="str">
        <f>IF(INPUT!N4491="","",INPUT!N4491)</f>
        <v/>
      </c>
      <c r="G4496" cm="1">
        <f t="array" ref="G4496">IFERROR(VLOOKUP(INPUT!M4491&amp;INPUT!N4491,CHOOSE({1,2},INPUT!$A$3:$A$5000&amp;INPUT!$C$3:$C$5000,INPUT!$F$3:$F$5000),2,FALSE),"")</f>
        <v>0</v>
      </c>
      <c r="H4496" cm="1">
        <f t="array" ref="H4496">IFERROR(VLOOKUP(INPUT!M4491&amp;INPUT!N4491,CHOOSE({1,2},INPUT!$A$3:$A$5000&amp;INPUT!$C$3:$C$5000,INPUT!$D$3:$D$5000),2,FALSE),"")</f>
        <v>0</v>
      </c>
      <c r="I4496" s="46" t="str">
        <f>IF(INPUT!P4491="","",INPUT!P4491)</f>
        <v/>
      </c>
      <c r="J4496" s="46" t="str">
        <f>IF(INPUT!Q4491="","",INPUT!Q4491)</f>
        <v/>
      </c>
      <c r="K4496" s="46" t="str">
        <f>IFERROR(IF(OR(INPUT!P4491="",INPUT!Q4491=""),"",INPUT!P4491-INPUT!Q4491),"")</f>
        <v/>
      </c>
      <c r="L4496" s="48" t="str">
        <f>IFERROR(IF(OR(INPUT!P4491="",INPUT!Q4491="",INPUT!P4491=0),"",(INPUT!P4491-INPUT!Q4491)/INPUT!P4491),"")</f>
        <v/>
      </c>
    </row>
    <row r="4497" spans="1:12" ht="18" hidden="1" customHeight="1" x14ac:dyDescent="0.2">
      <c r="A4497" s="11" t="str">
        <f>IF(INPUT!M4492="","",INPUT!M4492)</f>
        <v/>
      </c>
      <c r="B4497" s="11" t="str">
        <f>IF(INPUT!M4492="","",INPUT!M4492-WEEKDAY(INPUT!M4492,2)+1)</f>
        <v/>
      </c>
      <c r="C4497" s="20">
        <f>IFERROR(_xlfn.ISOWEEKNUM(INPUT!M4492),"")</f>
        <v>52</v>
      </c>
      <c r="D4497" s="20">
        <f>IFERROR(YEAR(INPUT!M4492),"")</f>
        <v>1900</v>
      </c>
      <c r="E4497" t="str">
        <f>IF(INPUT!O4492="","",INPUT!O4492)</f>
        <v/>
      </c>
      <c r="F4497" t="str">
        <f>IF(INPUT!N4492="","",INPUT!N4492)</f>
        <v/>
      </c>
      <c r="G4497" cm="1">
        <f t="array" ref="G4497">IFERROR(VLOOKUP(INPUT!M4492&amp;INPUT!N4492,CHOOSE({1,2},INPUT!$A$3:$A$5000&amp;INPUT!$C$3:$C$5000,INPUT!$F$3:$F$5000),2,FALSE),"")</f>
        <v>0</v>
      </c>
      <c r="H4497" cm="1">
        <f t="array" ref="H4497">IFERROR(VLOOKUP(INPUT!M4492&amp;INPUT!N4492,CHOOSE({1,2},INPUT!$A$3:$A$5000&amp;INPUT!$C$3:$C$5000,INPUT!$D$3:$D$5000),2,FALSE),"")</f>
        <v>0</v>
      </c>
      <c r="I4497" s="46" t="str">
        <f>IF(INPUT!P4492="","",INPUT!P4492)</f>
        <v/>
      </c>
      <c r="J4497" s="46" t="str">
        <f>IF(INPUT!Q4492="","",INPUT!Q4492)</f>
        <v/>
      </c>
      <c r="K4497" s="46" t="str">
        <f>IFERROR(IF(OR(INPUT!P4492="",INPUT!Q4492=""),"",INPUT!P4492-INPUT!Q4492),"")</f>
        <v/>
      </c>
      <c r="L4497" s="48" t="str">
        <f>IFERROR(IF(OR(INPUT!P4492="",INPUT!Q4492="",INPUT!P4492=0),"",(INPUT!P4492-INPUT!Q4492)/INPUT!P4492),"")</f>
        <v/>
      </c>
    </row>
    <row r="4498" spans="1:12" ht="18" hidden="1" customHeight="1" x14ac:dyDescent="0.2">
      <c r="A4498" s="11" t="str">
        <f>IF(INPUT!M4493="","",INPUT!M4493)</f>
        <v/>
      </c>
      <c r="B4498" s="11" t="str">
        <f>IF(INPUT!M4493="","",INPUT!M4493-WEEKDAY(INPUT!M4493,2)+1)</f>
        <v/>
      </c>
      <c r="C4498" s="20">
        <f>IFERROR(_xlfn.ISOWEEKNUM(INPUT!M4493),"")</f>
        <v>52</v>
      </c>
      <c r="D4498" s="20">
        <f>IFERROR(YEAR(INPUT!M4493),"")</f>
        <v>1900</v>
      </c>
      <c r="E4498" t="str">
        <f>IF(INPUT!O4493="","",INPUT!O4493)</f>
        <v/>
      </c>
      <c r="F4498" t="str">
        <f>IF(INPUT!N4493="","",INPUT!N4493)</f>
        <v/>
      </c>
      <c r="G4498" cm="1">
        <f t="array" ref="G4498">IFERROR(VLOOKUP(INPUT!M4493&amp;INPUT!N4493,CHOOSE({1,2},INPUT!$A$3:$A$5000&amp;INPUT!$C$3:$C$5000,INPUT!$F$3:$F$5000),2,FALSE),"")</f>
        <v>0</v>
      </c>
      <c r="H4498" cm="1">
        <f t="array" ref="H4498">IFERROR(VLOOKUP(INPUT!M4493&amp;INPUT!N4493,CHOOSE({1,2},INPUT!$A$3:$A$5000&amp;INPUT!$C$3:$C$5000,INPUT!$D$3:$D$5000),2,FALSE),"")</f>
        <v>0</v>
      </c>
      <c r="I4498" s="46" t="str">
        <f>IF(INPUT!P4493="","",INPUT!P4493)</f>
        <v/>
      </c>
      <c r="J4498" s="46" t="str">
        <f>IF(INPUT!Q4493="","",INPUT!Q4493)</f>
        <v/>
      </c>
      <c r="K4498" s="46" t="str">
        <f>IFERROR(IF(OR(INPUT!P4493="",INPUT!Q4493=""),"",INPUT!P4493-INPUT!Q4493),"")</f>
        <v/>
      </c>
      <c r="L4498" s="48" t="str">
        <f>IFERROR(IF(OR(INPUT!P4493="",INPUT!Q4493="",INPUT!P4493=0),"",(INPUT!P4493-INPUT!Q4493)/INPUT!P4493),"")</f>
        <v/>
      </c>
    </row>
    <row r="4499" spans="1:12" ht="18" hidden="1" customHeight="1" x14ac:dyDescent="0.2">
      <c r="A4499" s="11" t="str">
        <f>IF(INPUT!M4494="","",INPUT!M4494)</f>
        <v/>
      </c>
      <c r="B4499" s="11" t="str">
        <f>IF(INPUT!M4494="","",INPUT!M4494-WEEKDAY(INPUT!M4494,2)+1)</f>
        <v/>
      </c>
      <c r="C4499" s="20">
        <f>IFERROR(_xlfn.ISOWEEKNUM(INPUT!M4494),"")</f>
        <v>52</v>
      </c>
      <c r="D4499" s="20">
        <f>IFERROR(YEAR(INPUT!M4494),"")</f>
        <v>1900</v>
      </c>
      <c r="E4499" t="str">
        <f>IF(INPUT!O4494="","",INPUT!O4494)</f>
        <v/>
      </c>
      <c r="F4499" t="str">
        <f>IF(INPUT!N4494="","",INPUT!N4494)</f>
        <v/>
      </c>
      <c r="G4499" cm="1">
        <f t="array" ref="G4499">IFERROR(VLOOKUP(INPUT!M4494&amp;INPUT!N4494,CHOOSE({1,2},INPUT!$A$3:$A$5000&amp;INPUT!$C$3:$C$5000,INPUT!$F$3:$F$5000),2,FALSE),"")</f>
        <v>0</v>
      </c>
      <c r="H4499" cm="1">
        <f t="array" ref="H4499">IFERROR(VLOOKUP(INPUT!M4494&amp;INPUT!N4494,CHOOSE({1,2},INPUT!$A$3:$A$5000&amp;INPUT!$C$3:$C$5000,INPUT!$D$3:$D$5000),2,FALSE),"")</f>
        <v>0</v>
      </c>
      <c r="I4499" s="46" t="str">
        <f>IF(INPUT!P4494="","",INPUT!P4494)</f>
        <v/>
      </c>
      <c r="J4499" s="46" t="str">
        <f>IF(INPUT!Q4494="","",INPUT!Q4494)</f>
        <v/>
      </c>
      <c r="K4499" s="46" t="str">
        <f>IFERROR(IF(OR(INPUT!P4494="",INPUT!Q4494=""),"",INPUT!P4494-INPUT!Q4494),"")</f>
        <v/>
      </c>
      <c r="L4499" s="48" t="str">
        <f>IFERROR(IF(OR(INPUT!P4494="",INPUT!Q4494="",INPUT!P4494=0),"",(INPUT!P4494-INPUT!Q4494)/INPUT!P4494),"")</f>
        <v/>
      </c>
    </row>
    <row r="4500" spans="1:12" ht="18" hidden="1" customHeight="1" x14ac:dyDescent="0.2">
      <c r="A4500" s="11" t="str">
        <f>IF(INPUT!M4495="","",INPUT!M4495)</f>
        <v/>
      </c>
      <c r="B4500" s="11" t="str">
        <f>IF(INPUT!M4495="","",INPUT!M4495-WEEKDAY(INPUT!M4495,2)+1)</f>
        <v/>
      </c>
      <c r="C4500" s="20">
        <f>IFERROR(_xlfn.ISOWEEKNUM(INPUT!M4495),"")</f>
        <v>52</v>
      </c>
      <c r="D4500" s="20">
        <f>IFERROR(YEAR(INPUT!M4495),"")</f>
        <v>1900</v>
      </c>
      <c r="E4500" t="str">
        <f>IF(INPUT!O4495="","",INPUT!O4495)</f>
        <v/>
      </c>
      <c r="F4500" t="str">
        <f>IF(INPUT!N4495="","",INPUT!N4495)</f>
        <v/>
      </c>
      <c r="G4500" cm="1">
        <f t="array" ref="G4500">IFERROR(VLOOKUP(INPUT!M4495&amp;INPUT!N4495,CHOOSE({1,2},INPUT!$A$3:$A$5000&amp;INPUT!$C$3:$C$5000,INPUT!$F$3:$F$5000),2,FALSE),"")</f>
        <v>0</v>
      </c>
      <c r="H4500" cm="1">
        <f t="array" ref="H4500">IFERROR(VLOOKUP(INPUT!M4495&amp;INPUT!N4495,CHOOSE({1,2},INPUT!$A$3:$A$5000&amp;INPUT!$C$3:$C$5000,INPUT!$D$3:$D$5000),2,FALSE),"")</f>
        <v>0</v>
      </c>
      <c r="I4500" s="46" t="str">
        <f>IF(INPUT!P4495="","",INPUT!P4495)</f>
        <v/>
      </c>
      <c r="J4500" s="46" t="str">
        <f>IF(INPUT!Q4495="","",INPUT!Q4495)</f>
        <v/>
      </c>
      <c r="K4500" s="46" t="str">
        <f>IFERROR(IF(OR(INPUT!P4495="",INPUT!Q4495=""),"",INPUT!P4495-INPUT!Q4495),"")</f>
        <v/>
      </c>
      <c r="L4500" s="48" t="str">
        <f>IFERROR(IF(OR(INPUT!P4495="",INPUT!Q4495="",INPUT!P4495=0),"",(INPUT!P4495-INPUT!Q4495)/INPUT!P4495),"")</f>
        <v/>
      </c>
    </row>
    <row r="4501" spans="1:12" ht="18" hidden="1" customHeight="1" x14ac:dyDescent="0.2">
      <c r="A4501" s="11" t="str">
        <f>IF(INPUT!M4496="","",INPUT!M4496)</f>
        <v/>
      </c>
      <c r="B4501" s="11" t="str">
        <f>IF(INPUT!M4496="","",INPUT!M4496-WEEKDAY(INPUT!M4496,2)+1)</f>
        <v/>
      </c>
      <c r="C4501" s="20">
        <f>IFERROR(_xlfn.ISOWEEKNUM(INPUT!M4496),"")</f>
        <v>52</v>
      </c>
      <c r="D4501" s="20">
        <f>IFERROR(YEAR(INPUT!M4496),"")</f>
        <v>1900</v>
      </c>
      <c r="E4501" t="str">
        <f>IF(INPUT!O4496="","",INPUT!O4496)</f>
        <v/>
      </c>
      <c r="F4501" t="str">
        <f>IF(INPUT!N4496="","",INPUT!N4496)</f>
        <v/>
      </c>
      <c r="G4501" cm="1">
        <f t="array" ref="G4501">IFERROR(VLOOKUP(INPUT!M4496&amp;INPUT!N4496,CHOOSE({1,2},INPUT!$A$3:$A$5000&amp;INPUT!$C$3:$C$5000,INPUT!$F$3:$F$5000),2,FALSE),"")</f>
        <v>0</v>
      </c>
      <c r="H4501" cm="1">
        <f t="array" ref="H4501">IFERROR(VLOOKUP(INPUT!M4496&amp;INPUT!N4496,CHOOSE({1,2},INPUT!$A$3:$A$5000&amp;INPUT!$C$3:$C$5000,INPUT!$D$3:$D$5000),2,FALSE),"")</f>
        <v>0</v>
      </c>
      <c r="I4501" s="46" t="str">
        <f>IF(INPUT!P4496="","",INPUT!P4496)</f>
        <v/>
      </c>
      <c r="J4501" s="46" t="str">
        <f>IF(INPUT!Q4496="","",INPUT!Q4496)</f>
        <v/>
      </c>
      <c r="K4501" s="46" t="str">
        <f>IFERROR(IF(OR(INPUT!P4496="",INPUT!Q4496=""),"",INPUT!P4496-INPUT!Q4496),"")</f>
        <v/>
      </c>
      <c r="L4501" s="48" t="str">
        <f>IFERROR(IF(OR(INPUT!P4496="",INPUT!Q4496="",INPUT!P4496=0),"",(INPUT!P4496-INPUT!Q4496)/INPUT!P4496),"")</f>
        <v/>
      </c>
    </row>
    <row r="4502" spans="1:12" ht="18" hidden="1" customHeight="1" x14ac:dyDescent="0.2">
      <c r="A4502" s="11" t="str">
        <f>IF(INPUT!M4497="","",INPUT!M4497)</f>
        <v/>
      </c>
      <c r="B4502" s="11" t="str">
        <f>IF(INPUT!M4497="","",INPUT!M4497-WEEKDAY(INPUT!M4497,2)+1)</f>
        <v/>
      </c>
      <c r="C4502" s="20">
        <f>IFERROR(_xlfn.ISOWEEKNUM(INPUT!M4497),"")</f>
        <v>52</v>
      </c>
      <c r="D4502" s="20">
        <f>IFERROR(YEAR(INPUT!M4497),"")</f>
        <v>1900</v>
      </c>
      <c r="E4502" t="str">
        <f>IF(INPUT!O4497="","",INPUT!O4497)</f>
        <v/>
      </c>
      <c r="F4502" t="str">
        <f>IF(INPUT!N4497="","",INPUT!N4497)</f>
        <v/>
      </c>
      <c r="G4502" cm="1">
        <f t="array" ref="G4502">IFERROR(VLOOKUP(INPUT!M4497&amp;INPUT!N4497,CHOOSE({1,2},INPUT!$A$3:$A$5000&amp;INPUT!$C$3:$C$5000,INPUT!$F$3:$F$5000),2,FALSE),"")</f>
        <v>0</v>
      </c>
      <c r="H4502" cm="1">
        <f t="array" ref="H4502">IFERROR(VLOOKUP(INPUT!M4497&amp;INPUT!N4497,CHOOSE({1,2},INPUT!$A$3:$A$5000&amp;INPUT!$C$3:$C$5000,INPUT!$D$3:$D$5000),2,FALSE),"")</f>
        <v>0</v>
      </c>
      <c r="I4502" s="46" t="str">
        <f>IF(INPUT!P4497="","",INPUT!P4497)</f>
        <v/>
      </c>
      <c r="J4502" s="46" t="str">
        <f>IF(INPUT!Q4497="","",INPUT!Q4497)</f>
        <v/>
      </c>
      <c r="K4502" s="46" t="str">
        <f>IFERROR(IF(OR(INPUT!P4497="",INPUT!Q4497=""),"",INPUT!P4497-INPUT!Q4497),"")</f>
        <v/>
      </c>
      <c r="L4502" s="48" t="str">
        <f>IFERROR(IF(OR(INPUT!P4497="",INPUT!Q4497="",INPUT!P4497=0),"",(INPUT!P4497-INPUT!Q4497)/INPUT!P4497),"")</f>
        <v/>
      </c>
    </row>
    <row r="4503" spans="1:12" ht="18" hidden="1" customHeight="1" x14ac:dyDescent="0.2">
      <c r="A4503" s="11" t="str">
        <f>IF(INPUT!M4498="","",INPUT!M4498)</f>
        <v/>
      </c>
      <c r="B4503" s="11" t="str">
        <f>IF(INPUT!M4498="","",INPUT!M4498-WEEKDAY(INPUT!M4498,2)+1)</f>
        <v/>
      </c>
      <c r="C4503" s="20">
        <f>IFERROR(_xlfn.ISOWEEKNUM(INPUT!M4498),"")</f>
        <v>52</v>
      </c>
      <c r="D4503" s="20">
        <f>IFERROR(YEAR(INPUT!M4498),"")</f>
        <v>1900</v>
      </c>
      <c r="E4503" t="str">
        <f>IF(INPUT!O4498="","",INPUT!O4498)</f>
        <v/>
      </c>
      <c r="F4503" t="str">
        <f>IF(INPUT!N4498="","",INPUT!N4498)</f>
        <v/>
      </c>
      <c r="G4503" cm="1">
        <f t="array" ref="G4503">IFERROR(VLOOKUP(INPUT!M4498&amp;INPUT!N4498,CHOOSE({1,2},INPUT!$A$3:$A$5000&amp;INPUT!$C$3:$C$5000,INPUT!$F$3:$F$5000),2,FALSE),"")</f>
        <v>0</v>
      </c>
      <c r="H4503" cm="1">
        <f t="array" ref="H4503">IFERROR(VLOOKUP(INPUT!M4498&amp;INPUT!N4498,CHOOSE({1,2},INPUT!$A$3:$A$5000&amp;INPUT!$C$3:$C$5000,INPUT!$D$3:$D$5000),2,FALSE),"")</f>
        <v>0</v>
      </c>
      <c r="I4503" s="46" t="str">
        <f>IF(INPUT!P4498="","",INPUT!P4498)</f>
        <v/>
      </c>
      <c r="J4503" s="46" t="str">
        <f>IF(INPUT!Q4498="","",INPUT!Q4498)</f>
        <v/>
      </c>
      <c r="K4503" s="46" t="str">
        <f>IFERROR(IF(OR(INPUT!P4498="",INPUT!Q4498=""),"",INPUT!P4498-INPUT!Q4498),"")</f>
        <v/>
      </c>
      <c r="L4503" s="48" t="str">
        <f>IFERROR(IF(OR(INPUT!P4498="",INPUT!Q4498="",INPUT!P4498=0),"",(INPUT!P4498-INPUT!Q4498)/INPUT!P4498),"")</f>
        <v/>
      </c>
    </row>
    <row r="4504" spans="1:12" ht="18" hidden="1" customHeight="1" x14ac:dyDescent="0.2">
      <c r="A4504" s="11" t="str">
        <f>IF(INPUT!M4499="","",INPUT!M4499)</f>
        <v/>
      </c>
      <c r="B4504" s="11" t="str">
        <f>IF(INPUT!M4499="","",INPUT!M4499-WEEKDAY(INPUT!M4499,2)+1)</f>
        <v/>
      </c>
      <c r="C4504" s="20">
        <f>IFERROR(_xlfn.ISOWEEKNUM(INPUT!M4499),"")</f>
        <v>52</v>
      </c>
      <c r="D4504" s="20">
        <f>IFERROR(YEAR(INPUT!M4499),"")</f>
        <v>1900</v>
      </c>
      <c r="E4504" t="str">
        <f>IF(INPUT!O4499="","",INPUT!O4499)</f>
        <v/>
      </c>
      <c r="F4504" t="str">
        <f>IF(INPUT!N4499="","",INPUT!N4499)</f>
        <v/>
      </c>
      <c r="G4504" cm="1">
        <f t="array" ref="G4504">IFERROR(VLOOKUP(INPUT!M4499&amp;INPUT!N4499,CHOOSE({1,2},INPUT!$A$3:$A$5000&amp;INPUT!$C$3:$C$5000,INPUT!$F$3:$F$5000),2,FALSE),"")</f>
        <v>0</v>
      </c>
      <c r="H4504" cm="1">
        <f t="array" ref="H4504">IFERROR(VLOOKUP(INPUT!M4499&amp;INPUT!N4499,CHOOSE({1,2},INPUT!$A$3:$A$5000&amp;INPUT!$C$3:$C$5000,INPUT!$D$3:$D$5000),2,FALSE),"")</f>
        <v>0</v>
      </c>
      <c r="I4504" s="46" t="str">
        <f>IF(INPUT!P4499="","",INPUT!P4499)</f>
        <v/>
      </c>
      <c r="J4504" s="46" t="str">
        <f>IF(INPUT!Q4499="","",INPUT!Q4499)</f>
        <v/>
      </c>
      <c r="K4504" s="46" t="str">
        <f>IFERROR(IF(OR(INPUT!P4499="",INPUT!Q4499=""),"",INPUT!P4499-INPUT!Q4499),"")</f>
        <v/>
      </c>
      <c r="L4504" s="48" t="str">
        <f>IFERROR(IF(OR(INPUT!P4499="",INPUT!Q4499="",INPUT!P4499=0),"",(INPUT!P4499-INPUT!Q4499)/INPUT!P4499),"")</f>
        <v/>
      </c>
    </row>
    <row r="4505" spans="1:12" ht="18" hidden="1" customHeight="1" x14ac:dyDescent="0.2">
      <c r="A4505" s="11" t="str">
        <f>IF(INPUT!M4500="","",INPUT!M4500)</f>
        <v/>
      </c>
      <c r="B4505" s="11" t="str">
        <f>IF(INPUT!M4500="","",INPUT!M4500-WEEKDAY(INPUT!M4500,2)+1)</f>
        <v/>
      </c>
      <c r="C4505" s="20">
        <f>IFERROR(_xlfn.ISOWEEKNUM(INPUT!M4500),"")</f>
        <v>52</v>
      </c>
      <c r="D4505" s="20">
        <f>IFERROR(YEAR(INPUT!M4500),"")</f>
        <v>1900</v>
      </c>
      <c r="E4505" t="str">
        <f>IF(INPUT!O4500="","",INPUT!O4500)</f>
        <v/>
      </c>
      <c r="F4505" t="str">
        <f>IF(INPUT!N4500="","",INPUT!N4500)</f>
        <v/>
      </c>
      <c r="G4505" cm="1">
        <f t="array" ref="G4505">IFERROR(VLOOKUP(INPUT!M4500&amp;INPUT!N4500,CHOOSE({1,2},INPUT!$A$3:$A$5000&amp;INPUT!$C$3:$C$5000,INPUT!$F$3:$F$5000),2,FALSE),"")</f>
        <v>0</v>
      </c>
      <c r="H4505" cm="1">
        <f t="array" ref="H4505">IFERROR(VLOOKUP(INPUT!M4500&amp;INPUT!N4500,CHOOSE({1,2},INPUT!$A$3:$A$5000&amp;INPUT!$C$3:$C$5000,INPUT!$D$3:$D$5000),2,FALSE),"")</f>
        <v>0</v>
      </c>
      <c r="I4505" s="46" t="str">
        <f>IF(INPUT!P4500="","",INPUT!P4500)</f>
        <v/>
      </c>
      <c r="J4505" s="46" t="str">
        <f>IF(INPUT!Q4500="","",INPUT!Q4500)</f>
        <v/>
      </c>
      <c r="K4505" s="46" t="str">
        <f>IFERROR(IF(OR(INPUT!P4500="",INPUT!Q4500=""),"",INPUT!P4500-INPUT!Q4500),"")</f>
        <v/>
      </c>
      <c r="L4505" s="48" t="str">
        <f>IFERROR(IF(OR(INPUT!P4500="",INPUT!Q4500="",INPUT!P4500=0),"",(INPUT!P4500-INPUT!Q4500)/INPUT!P4500),"")</f>
        <v/>
      </c>
    </row>
    <row r="4506" spans="1:12" ht="18" hidden="1" customHeight="1" x14ac:dyDescent="0.2">
      <c r="A4506" s="11" t="str">
        <f>IF(INPUT!M4501="","",INPUT!M4501)</f>
        <v/>
      </c>
      <c r="B4506" s="11" t="str">
        <f>IF(INPUT!M4501="","",INPUT!M4501-WEEKDAY(INPUT!M4501,2)+1)</f>
        <v/>
      </c>
      <c r="C4506" s="20">
        <f>IFERROR(_xlfn.ISOWEEKNUM(INPUT!M4501),"")</f>
        <v>52</v>
      </c>
      <c r="D4506" s="20">
        <f>IFERROR(YEAR(INPUT!M4501),"")</f>
        <v>1900</v>
      </c>
      <c r="E4506" t="str">
        <f>IF(INPUT!O4501="","",INPUT!O4501)</f>
        <v/>
      </c>
      <c r="F4506" t="str">
        <f>IF(INPUT!N4501="","",INPUT!N4501)</f>
        <v/>
      </c>
      <c r="G4506" cm="1">
        <f t="array" ref="G4506">IFERROR(VLOOKUP(INPUT!M4501&amp;INPUT!N4501,CHOOSE({1,2},INPUT!$A$3:$A$5000&amp;INPUT!$C$3:$C$5000,INPUT!$F$3:$F$5000),2,FALSE),"")</f>
        <v>0</v>
      </c>
      <c r="H4506" cm="1">
        <f t="array" ref="H4506">IFERROR(VLOOKUP(INPUT!M4501&amp;INPUT!N4501,CHOOSE({1,2},INPUT!$A$3:$A$5000&amp;INPUT!$C$3:$C$5000,INPUT!$D$3:$D$5000),2,FALSE),"")</f>
        <v>0</v>
      </c>
      <c r="I4506" s="46" t="str">
        <f>IF(INPUT!P4501="","",INPUT!P4501)</f>
        <v/>
      </c>
      <c r="J4506" s="46" t="str">
        <f>IF(INPUT!Q4501="","",INPUT!Q4501)</f>
        <v/>
      </c>
      <c r="K4506" s="46" t="str">
        <f>IFERROR(IF(OR(INPUT!P4501="",INPUT!Q4501=""),"",INPUT!P4501-INPUT!Q4501),"")</f>
        <v/>
      </c>
      <c r="L4506" s="48" t="str">
        <f>IFERROR(IF(OR(INPUT!P4501="",INPUT!Q4501="",INPUT!P4501=0),"",(INPUT!P4501-INPUT!Q4501)/INPUT!P4501),"")</f>
        <v/>
      </c>
    </row>
    <row r="4507" spans="1:12" ht="18" hidden="1" customHeight="1" x14ac:dyDescent="0.2">
      <c r="A4507" s="11" t="str">
        <f>IF(INPUT!M4502="","",INPUT!M4502)</f>
        <v/>
      </c>
      <c r="B4507" s="11" t="str">
        <f>IF(INPUT!M4502="","",INPUT!M4502-WEEKDAY(INPUT!M4502,2)+1)</f>
        <v/>
      </c>
      <c r="C4507" s="20">
        <f>IFERROR(_xlfn.ISOWEEKNUM(INPUT!M4502),"")</f>
        <v>52</v>
      </c>
      <c r="D4507" s="20">
        <f>IFERROR(YEAR(INPUT!M4502),"")</f>
        <v>1900</v>
      </c>
      <c r="E4507" t="str">
        <f>IF(INPUT!O4502="","",INPUT!O4502)</f>
        <v/>
      </c>
      <c r="F4507" t="str">
        <f>IF(INPUT!N4502="","",INPUT!N4502)</f>
        <v/>
      </c>
      <c r="G4507" cm="1">
        <f t="array" ref="G4507">IFERROR(VLOOKUP(INPUT!M4502&amp;INPUT!N4502,CHOOSE({1,2},INPUT!$A$3:$A$5000&amp;INPUT!$C$3:$C$5000,INPUT!$F$3:$F$5000),2,FALSE),"")</f>
        <v>0</v>
      </c>
      <c r="H4507" cm="1">
        <f t="array" ref="H4507">IFERROR(VLOOKUP(INPUT!M4502&amp;INPUT!N4502,CHOOSE({1,2},INPUT!$A$3:$A$5000&amp;INPUT!$C$3:$C$5000,INPUT!$D$3:$D$5000),2,FALSE),"")</f>
        <v>0</v>
      </c>
      <c r="I4507" s="46" t="str">
        <f>IF(INPUT!P4502="","",INPUT!P4502)</f>
        <v/>
      </c>
      <c r="J4507" s="46" t="str">
        <f>IF(INPUT!Q4502="","",INPUT!Q4502)</f>
        <v/>
      </c>
      <c r="K4507" s="46" t="str">
        <f>IFERROR(IF(OR(INPUT!P4502="",INPUT!Q4502=""),"",INPUT!P4502-INPUT!Q4502),"")</f>
        <v/>
      </c>
      <c r="L4507" s="48" t="str">
        <f>IFERROR(IF(OR(INPUT!P4502="",INPUT!Q4502="",INPUT!P4502=0),"",(INPUT!P4502-INPUT!Q4502)/INPUT!P4502),"")</f>
        <v/>
      </c>
    </row>
    <row r="4508" spans="1:12" ht="18" hidden="1" customHeight="1" x14ac:dyDescent="0.2">
      <c r="A4508" s="11" t="str">
        <f>IF(INPUT!M4503="","",INPUT!M4503)</f>
        <v/>
      </c>
      <c r="B4508" s="11" t="str">
        <f>IF(INPUT!M4503="","",INPUT!M4503-WEEKDAY(INPUT!M4503,2)+1)</f>
        <v/>
      </c>
      <c r="C4508" s="20">
        <f>IFERROR(_xlfn.ISOWEEKNUM(INPUT!M4503),"")</f>
        <v>52</v>
      </c>
      <c r="D4508" s="20">
        <f>IFERROR(YEAR(INPUT!M4503),"")</f>
        <v>1900</v>
      </c>
      <c r="E4508" t="str">
        <f>IF(INPUT!O4503="","",INPUT!O4503)</f>
        <v/>
      </c>
      <c r="F4508" t="str">
        <f>IF(INPUT!N4503="","",INPUT!N4503)</f>
        <v/>
      </c>
      <c r="G4508" cm="1">
        <f t="array" ref="G4508">IFERROR(VLOOKUP(INPUT!M4503&amp;INPUT!N4503,CHOOSE({1,2},INPUT!$A$3:$A$5000&amp;INPUT!$C$3:$C$5000,INPUT!$F$3:$F$5000),2,FALSE),"")</f>
        <v>0</v>
      </c>
      <c r="H4508" cm="1">
        <f t="array" ref="H4508">IFERROR(VLOOKUP(INPUT!M4503&amp;INPUT!N4503,CHOOSE({1,2},INPUT!$A$3:$A$5000&amp;INPUT!$C$3:$C$5000,INPUT!$D$3:$D$5000),2,FALSE),"")</f>
        <v>0</v>
      </c>
      <c r="I4508" s="46" t="str">
        <f>IF(INPUT!P4503="","",INPUT!P4503)</f>
        <v/>
      </c>
      <c r="J4508" s="46" t="str">
        <f>IF(INPUT!Q4503="","",INPUT!Q4503)</f>
        <v/>
      </c>
      <c r="K4508" s="46" t="str">
        <f>IFERROR(IF(OR(INPUT!P4503="",INPUT!Q4503=""),"",INPUT!P4503-INPUT!Q4503),"")</f>
        <v/>
      </c>
      <c r="L4508" s="48" t="str">
        <f>IFERROR(IF(OR(INPUT!P4503="",INPUT!Q4503="",INPUT!P4503=0),"",(INPUT!P4503-INPUT!Q4503)/INPUT!P4503),"")</f>
        <v/>
      </c>
    </row>
    <row r="4509" spans="1:12" ht="18" hidden="1" customHeight="1" x14ac:dyDescent="0.2">
      <c r="A4509" s="11" t="str">
        <f>IF(INPUT!M4504="","",INPUT!M4504)</f>
        <v/>
      </c>
      <c r="B4509" s="11" t="str">
        <f>IF(INPUT!M4504="","",INPUT!M4504-WEEKDAY(INPUT!M4504,2)+1)</f>
        <v/>
      </c>
      <c r="C4509" s="20">
        <f>IFERROR(_xlfn.ISOWEEKNUM(INPUT!M4504),"")</f>
        <v>52</v>
      </c>
      <c r="D4509" s="20">
        <f>IFERROR(YEAR(INPUT!M4504),"")</f>
        <v>1900</v>
      </c>
      <c r="E4509" t="str">
        <f>IF(INPUT!O4504="","",INPUT!O4504)</f>
        <v/>
      </c>
      <c r="F4509" t="str">
        <f>IF(INPUT!N4504="","",INPUT!N4504)</f>
        <v/>
      </c>
      <c r="G4509" cm="1">
        <f t="array" ref="G4509">IFERROR(VLOOKUP(INPUT!M4504&amp;INPUT!N4504,CHOOSE({1,2},INPUT!$A$3:$A$5000&amp;INPUT!$C$3:$C$5000,INPUT!$F$3:$F$5000),2,FALSE),"")</f>
        <v>0</v>
      </c>
      <c r="H4509" cm="1">
        <f t="array" ref="H4509">IFERROR(VLOOKUP(INPUT!M4504&amp;INPUT!N4504,CHOOSE({1,2},INPUT!$A$3:$A$5000&amp;INPUT!$C$3:$C$5000,INPUT!$D$3:$D$5000),2,FALSE),"")</f>
        <v>0</v>
      </c>
      <c r="I4509" s="46" t="str">
        <f>IF(INPUT!P4504="","",INPUT!P4504)</f>
        <v/>
      </c>
      <c r="J4509" s="46" t="str">
        <f>IF(INPUT!Q4504="","",INPUT!Q4504)</f>
        <v/>
      </c>
      <c r="K4509" s="46" t="str">
        <f>IFERROR(IF(OR(INPUT!P4504="",INPUT!Q4504=""),"",INPUT!P4504-INPUT!Q4504),"")</f>
        <v/>
      </c>
      <c r="L4509" s="48" t="str">
        <f>IFERROR(IF(OR(INPUT!P4504="",INPUT!Q4504="",INPUT!P4504=0),"",(INPUT!P4504-INPUT!Q4504)/INPUT!P4504),"")</f>
        <v/>
      </c>
    </row>
    <row r="4510" spans="1:12" ht="18" hidden="1" customHeight="1" x14ac:dyDescent="0.2">
      <c r="A4510" s="11" t="str">
        <f>IF(INPUT!M4505="","",INPUT!M4505)</f>
        <v/>
      </c>
      <c r="B4510" s="11" t="str">
        <f>IF(INPUT!M4505="","",INPUT!M4505-WEEKDAY(INPUT!M4505,2)+1)</f>
        <v/>
      </c>
      <c r="C4510" s="20">
        <f>IFERROR(_xlfn.ISOWEEKNUM(INPUT!M4505),"")</f>
        <v>52</v>
      </c>
      <c r="D4510" s="20">
        <f>IFERROR(YEAR(INPUT!M4505),"")</f>
        <v>1900</v>
      </c>
      <c r="E4510" t="str">
        <f>IF(INPUT!O4505="","",INPUT!O4505)</f>
        <v/>
      </c>
      <c r="F4510" t="str">
        <f>IF(INPUT!N4505="","",INPUT!N4505)</f>
        <v/>
      </c>
      <c r="G4510" cm="1">
        <f t="array" ref="G4510">IFERROR(VLOOKUP(INPUT!M4505&amp;INPUT!N4505,CHOOSE({1,2},INPUT!$A$3:$A$5000&amp;INPUT!$C$3:$C$5000,INPUT!$F$3:$F$5000),2,FALSE),"")</f>
        <v>0</v>
      </c>
      <c r="H4510" cm="1">
        <f t="array" ref="H4510">IFERROR(VLOOKUP(INPUT!M4505&amp;INPUT!N4505,CHOOSE({1,2},INPUT!$A$3:$A$5000&amp;INPUT!$C$3:$C$5000,INPUT!$D$3:$D$5000),2,FALSE),"")</f>
        <v>0</v>
      </c>
      <c r="I4510" s="46" t="str">
        <f>IF(INPUT!P4505="","",INPUT!P4505)</f>
        <v/>
      </c>
      <c r="J4510" s="46" t="str">
        <f>IF(INPUT!Q4505="","",INPUT!Q4505)</f>
        <v/>
      </c>
      <c r="K4510" s="46" t="str">
        <f>IFERROR(IF(OR(INPUT!P4505="",INPUT!Q4505=""),"",INPUT!P4505-INPUT!Q4505),"")</f>
        <v/>
      </c>
      <c r="L4510" s="48" t="str">
        <f>IFERROR(IF(OR(INPUT!P4505="",INPUT!Q4505="",INPUT!P4505=0),"",(INPUT!P4505-INPUT!Q4505)/INPUT!P4505),"")</f>
        <v/>
      </c>
    </row>
    <row r="4511" spans="1:12" ht="18" hidden="1" customHeight="1" x14ac:dyDescent="0.2">
      <c r="A4511" s="11" t="str">
        <f>IF(INPUT!M4506="","",INPUT!M4506)</f>
        <v/>
      </c>
      <c r="B4511" s="11" t="str">
        <f>IF(INPUT!M4506="","",INPUT!M4506-WEEKDAY(INPUT!M4506,2)+1)</f>
        <v/>
      </c>
      <c r="C4511" s="20">
        <f>IFERROR(_xlfn.ISOWEEKNUM(INPUT!M4506),"")</f>
        <v>52</v>
      </c>
      <c r="D4511" s="20">
        <f>IFERROR(YEAR(INPUT!M4506),"")</f>
        <v>1900</v>
      </c>
      <c r="E4511" t="str">
        <f>IF(INPUT!O4506="","",INPUT!O4506)</f>
        <v/>
      </c>
      <c r="F4511" t="str">
        <f>IF(INPUT!N4506="","",INPUT!N4506)</f>
        <v/>
      </c>
      <c r="G4511" cm="1">
        <f t="array" ref="G4511">IFERROR(VLOOKUP(INPUT!M4506&amp;INPUT!N4506,CHOOSE({1,2},INPUT!$A$3:$A$5000&amp;INPUT!$C$3:$C$5000,INPUT!$F$3:$F$5000),2,FALSE),"")</f>
        <v>0</v>
      </c>
      <c r="H4511" cm="1">
        <f t="array" ref="H4511">IFERROR(VLOOKUP(INPUT!M4506&amp;INPUT!N4506,CHOOSE({1,2},INPUT!$A$3:$A$5000&amp;INPUT!$C$3:$C$5000,INPUT!$D$3:$D$5000),2,FALSE),"")</f>
        <v>0</v>
      </c>
      <c r="I4511" s="46" t="str">
        <f>IF(INPUT!P4506="","",INPUT!P4506)</f>
        <v/>
      </c>
      <c r="J4511" s="46" t="str">
        <f>IF(INPUT!Q4506="","",INPUT!Q4506)</f>
        <v/>
      </c>
      <c r="K4511" s="46" t="str">
        <f>IFERROR(IF(OR(INPUT!P4506="",INPUT!Q4506=""),"",INPUT!P4506-INPUT!Q4506),"")</f>
        <v/>
      </c>
      <c r="L4511" s="48" t="str">
        <f>IFERROR(IF(OR(INPUT!P4506="",INPUT!Q4506="",INPUT!P4506=0),"",(INPUT!P4506-INPUT!Q4506)/INPUT!P4506),"")</f>
        <v/>
      </c>
    </row>
    <row r="4512" spans="1:12" ht="18" hidden="1" customHeight="1" x14ac:dyDescent="0.2">
      <c r="A4512" s="11" t="str">
        <f>IF(INPUT!M4507="","",INPUT!M4507)</f>
        <v/>
      </c>
      <c r="B4512" s="11" t="str">
        <f>IF(INPUT!M4507="","",INPUT!M4507-WEEKDAY(INPUT!M4507,2)+1)</f>
        <v/>
      </c>
      <c r="C4512" s="20">
        <f>IFERROR(_xlfn.ISOWEEKNUM(INPUT!M4507),"")</f>
        <v>52</v>
      </c>
      <c r="D4512" s="20">
        <f>IFERROR(YEAR(INPUT!M4507),"")</f>
        <v>1900</v>
      </c>
      <c r="E4512" t="str">
        <f>IF(INPUT!O4507="","",INPUT!O4507)</f>
        <v/>
      </c>
      <c r="F4512" t="str">
        <f>IF(INPUT!N4507="","",INPUT!N4507)</f>
        <v/>
      </c>
      <c r="G4512" cm="1">
        <f t="array" ref="G4512">IFERROR(VLOOKUP(INPUT!M4507&amp;INPUT!N4507,CHOOSE({1,2},INPUT!$A$3:$A$5000&amp;INPUT!$C$3:$C$5000,INPUT!$F$3:$F$5000),2,FALSE),"")</f>
        <v>0</v>
      </c>
      <c r="H4512" cm="1">
        <f t="array" ref="H4512">IFERROR(VLOOKUP(INPUT!M4507&amp;INPUT!N4507,CHOOSE({1,2},INPUT!$A$3:$A$5000&amp;INPUT!$C$3:$C$5000,INPUT!$D$3:$D$5000),2,FALSE),"")</f>
        <v>0</v>
      </c>
      <c r="I4512" s="46" t="str">
        <f>IF(INPUT!P4507="","",INPUT!P4507)</f>
        <v/>
      </c>
      <c r="J4512" s="46" t="str">
        <f>IF(INPUT!Q4507="","",INPUT!Q4507)</f>
        <v/>
      </c>
      <c r="K4512" s="46" t="str">
        <f>IFERROR(IF(OR(INPUT!P4507="",INPUT!Q4507=""),"",INPUT!P4507-INPUT!Q4507),"")</f>
        <v/>
      </c>
      <c r="L4512" s="48" t="str">
        <f>IFERROR(IF(OR(INPUT!P4507="",INPUT!Q4507="",INPUT!P4507=0),"",(INPUT!P4507-INPUT!Q4507)/INPUT!P4507),"")</f>
        <v/>
      </c>
    </row>
    <row r="4513" spans="1:12" ht="18" hidden="1" customHeight="1" x14ac:dyDescent="0.2">
      <c r="A4513" s="11" t="str">
        <f>IF(INPUT!M4508="","",INPUT!M4508)</f>
        <v/>
      </c>
      <c r="B4513" s="11" t="str">
        <f>IF(INPUT!M4508="","",INPUT!M4508-WEEKDAY(INPUT!M4508,2)+1)</f>
        <v/>
      </c>
      <c r="C4513" s="20">
        <f>IFERROR(_xlfn.ISOWEEKNUM(INPUT!M4508),"")</f>
        <v>52</v>
      </c>
      <c r="D4513" s="20">
        <f>IFERROR(YEAR(INPUT!M4508),"")</f>
        <v>1900</v>
      </c>
      <c r="E4513" t="str">
        <f>IF(INPUT!O4508="","",INPUT!O4508)</f>
        <v/>
      </c>
      <c r="F4513" t="str">
        <f>IF(INPUT!N4508="","",INPUT!N4508)</f>
        <v/>
      </c>
      <c r="G4513" cm="1">
        <f t="array" ref="G4513">IFERROR(VLOOKUP(INPUT!M4508&amp;INPUT!N4508,CHOOSE({1,2},INPUT!$A$3:$A$5000&amp;INPUT!$C$3:$C$5000,INPUT!$F$3:$F$5000),2,FALSE),"")</f>
        <v>0</v>
      </c>
      <c r="H4513" cm="1">
        <f t="array" ref="H4513">IFERROR(VLOOKUP(INPUT!M4508&amp;INPUT!N4508,CHOOSE({1,2},INPUT!$A$3:$A$5000&amp;INPUT!$C$3:$C$5000,INPUT!$D$3:$D$5000),2,FALSE),"")</f>
        <v>0</v>
      </c>
      <c r="I4513" s="46" t="str">
        <f>IF(INPUT!P4508="","",INPUT!P4508)</f>
        <v/>
      </c>
      <c r="J4513" s="46" t="str">
        <f>IF(INPUT!Q4508="","",INPUT!Q4508)</f>
        <v/>
      </c>
      <c r="K4513" s="46" t="str">
        <f>IFERROR(IF(OR(INPUT!P4508="",INPUT!Q4508=""),"",INPUT!P4508-INPUT!Q4508),"")</f>
        <v/>
      </c>
      <c r="L4513" s="48" t="str">
        <f>IFERROR(IF(OR(INPUT!P4508="",INPUT!Q4508="",INPUT!P4508=0),"",(INPUT!P4508-INPUT!Q4508)/INPUT!P4508),"")</f>
        <v/>
      </c>
    </row>
    <row r="4514" spans="1:12" ht="18" hidden="1" customHeight="1" x14ac:dyDescent="0.2">
      <c r="A4514" s="11" t="str">
        <f>IF(INPUT!M4509="","",INPUT!M4509)</f>
        <v/>
      </c>
      <c r="B4514" s="11" t="str">
        <f>IF(INPUT!M4509="","",INPUT!M4509-WEEKDAY(INPUT!M4509,2)+1)</f>
        <v/>
      </c>
      <c r="C4514" s="20">
        <f>IFERROR(_xlfn.ISOWEEKNUM(INPUT!M4509),"")</f>
        <v>52</v>
      </c>
      <c r="D4514" s="20">
        <f>IFERROR(YEAR(INPUT!M4509),"")</f>
        <v>1900</v>
      </c>
      <c r="E4514" t="str">
        <f>IF(INPUT!O4509="","",INPUT!O4509)</f>
        <v/>
      </c>
      <c r="F4514" t="str">
        <f>IF(INPUT!N4509="","",INPUT!N4509)</f>
        <v/>
      </c>
      <c r="G4514" cm="1">
        <f t="array" ref="G4514">IFERROR(VLOOKUP(INPUT!M4509&amp;INPUT!N4509,CHOOSE({1,2},INPUT!$A$3:$A$5000&amp;INPUT!$C$3:$C$5000,INPUT!$F$3:$F$5000),2,FALSE),"")</f>
        <v>0</v>
      </c>
      <c r="H4514" cm="1">
        <f t="array" ref="H4514">IFERROR(VLOOKUP(INPUT!M4509&amp;INPUT!N4509,CHOOSE({1,2},INPUT!$A$3:$A$5000&amp;INPUT!$C$3:$C$5000,INPUT!$D$3:$D$5000),2,FALSE),"")</f>
        <v>0</v>
      </c>
      <c r="I4514" s="46" t="str">
        <f>IF(INPUT!P4509="","",INPUT!P4509)</f>
        <v/>
      </c>
      <c r="J4514" s="46" t="str">
        <f>IF(INPUT!Q4509="","",INPUT!Q4509)</f>
        <v/>
      </c>
      <c r="K4514" s="46" t="str">
        <f>IFERROR(IF(OR(INPUT!P4509="",INPUT!Q4509=""),"",INPUT!P4509-INPUT!Q4509),"")</f>
        <v/>
      </c>
      <c r="L4514" s="48" t="str">
        <f>IFERROR(IF(OR(INPUT!P4509="",INPUT!Q4509="",INPUT!P4509=0),"",(INPUT!P4509-INPUT!Q4509)/INPUT!P4509),"")</f>
        <v/>
      </c>
    </row>
    <row r="4515" spans="1:12" ht="18" hidden="1" customHeight="1" x14ac:dyDescent="0.2">
      <c r="A4515" s="11" t="str">
        <f>IF(INPUT!M4510="","",INPUT!M4510)</f>
        <v/>
      </c>
      <c r="B4515" s="11" t="str">
        <f>IF(INPUT!M4510="","",INPUT!M4510-WEEKDAY(INPUT!M4510,2)+1)</f>
        <v/>
      </c>
      <c r="C4515" s="20">
        <f>IFERROR(_xlfn.ISOWEEKNUM(INPUT!M4510),"")</f>
        <v>52</v>
      </c>
      <c r="D4515" s="20">
        <f>IFERROR(YEAR(INPUT!M4510),"")</f>
        <v>1900</v>
      </c>
      <c r="E4515" t="str">
        <f>IF(INPUT!O4510="","",INPUT!O4510)</f>
        <v/>
      </c>
      <c r="F4515" t="str">
        <f>IF(INPUT!N4510="","",INPUT!N4510)</f>
        <v/>
      </c>
      <c r="G4515" cm="1">
        <f t="array" ref="G4515">IFERROR(VLOOKUP(INPUT!M4510&amp;INPUT!N4510,CHOOSE({1,2},INPUT!$A$3:$A$5000&amp;INPUT!$C$3:$C$5000,INPUT!$F$3:$F$5000),2,FALSE),"")</f>
        <v>0</v>
      </c>
      <c r="H4515" cm="1">
        <f t="array" ref="H4515">IFERROR(VLOOKUP(INPUT!M4510&amp;INPUT!N4510,CHOOSE({1,2},INPUT!$A$3:$A$5000&amp;INPUT!$C$3:$C$5000,INPUT!$D$3:$D$5000),2,FALSE),"")</f>
        <v>0</v>
      </c>
      <c r="I4515" s="46" t="str">
        <f>IF(INPUT!P4510="","",INPUT!P4510)</f>
        <v/>
      </c>
      <c r="J4515" s="46" t="str">
        <f>IF(INPUT!Q4510="","",INPUT!Q4510)</f>
        <v/>
      </c>
      <c r="K4515" s="46" t="str">
        <f>IFERROR(IF(OR(INPUT!P4510="",INPUT!Q4510=""),"",INPUT!P4510-INPUT!Q4510),"")</f>
        <v/>
      </c>
      <c r="L4515" s="48" t="str">
        <f>IFERROR(IF(OR(INPUT!P4510="",INPUT!Q4510="",INPUT!P4510=0),"",(INPUT!P4510-INPUT!Q4510)/INPUT!P4510),"")</f>
        <v/>
      </c>
    </row>
    <row r="4516" spans="1:12" ht="18" hidden="1" customHeight="1" x14ac:dyDescent="0.2">
      <c r="A4516" s="11" t="str">
        <f>IF(INPUT!M4511="","",INPUT!M4511)</f>
        <v/>
      </c>
      <c r="B4516" s="11" t="str">
        <f>IF(INPUT!M4511="","",INPUT!M4511-WEEKDAY(INPUT!M4511,2)+1)</f>
        <v/>
      </c>
      <c r="C4516" s="20">
        <f>IFERROR(_xlfn.ISOWEEKNUM(INPUT!M4511),"")</f>
        <v>52</v>
      </c>
      <c r="D4516" s="20">
        <f>IFERROR(YEAR(INPUT!M4511),"")</f>
        <v>1900</v>
      </c>
      <c r="E4516" t="str">
        <f>IF(INPUT!O4511="","",INPUT!O4511)</f>
        <v/>
      </c>
      <c r="F4516" t="str">
        <f>IF(INPUT!N4511="","",INPUT!N4511)</f>
        <v/>
      </c>
      <c r="G4516" cm="1">
        <f t="array" ref="G4516">IFERROR(VLOOKUP(INPUT!M4511&amp;INPUT!N4511,CHOOSE({1,2},INPUT!$A$3:$A$5000&amp;INPUT!$C$3:$C$5000,INPUT!$F$3:$F$5000),2,FALSE),"")</f>
        <v>0</v>
      </c>
      <c r="H4516" cm="1">
        <f t="array" ref="H4516">IFERROR(VLOOKUP(INPUT!M4511&amp;INPUT!N4511,CHOOSE({1,2},INPUT!$A$3:$A$5000&amp;INPUT!$C$3:$C$5000,INPUT!$D$3:$D$5000),2,FALSE),"")</f>
        <v>0</v>
      </c>
      <c r="I4516" s="46" t="str">
        <f>IF(INPUT!P4511="","",INPUT!P4511)</f>
        <v/>
      </c>
      <c r="J4516" s="46" t="str">
        <f>IF(INPUT!Q4511="","",INPUT!Q4511)</f>
        <v/>
      </c>
      <c r="K4516" s="46" t="str">
        <f>IFERROR(IF(OR(INPUT!P4511="",INPUT!Q4511=""),"",INPUT!P4511-INPUT!Q4511),"")</f>
        <v/>
      </c>
      <c r="L4516" s="48" t="str">
        <f>IFERROR(IF(OR(INPUT!P4511="",INPUT!Q4511="",INPUT!P4511=0),"",(INPUT!P4511-INPUT!Q4511)/INPUT!P4511),"")</f>
        <v/>
      </c>
    </row>
    <row r="4517" spans="1:12" ht="18" hidden="1" customHeight="1" x14ac:dyDescent="0.2">
      <c r="A4517" s="11" t="str">
        <f>IF(INPUT!M4512="","",INPUT!M4512)</f>
        <v/>
      </c>
      <c r="B4517" s="11" t="str">
        <f>IF(INPUT!M4512="","",INPUT!M4512-WEEKDAY(INPUT!M4512,2)+1)</f>
        <v/>
      </c>
      <c r="C4517" s="20">
        <f>IFERROR(_xlfn.ISOWEEKNUM(INPUT!M4512),"")</f>
        <v>52</v>
      </c>
      <c r="D4517" s="20">
        <f>IFERROR(YEAR(INPUT!M4512),"")</f>
        <v>1900</v>
      </c>
      <c r="E4517" t="str">
        <f>IF(INPUT!O4512="","",INPUT!O4512)</f>
        <v/>
      </c>
      <c r="F4517" t="str">
        <f>IF(INPUT!N4512="","",INPUT!N4512)</f>
        <v/>
      </c>
      <c r="G4517" cm="1">
        <f t="array" ref="G4517">IFERROR(VLOOKUP(INPUT!M4512&amp;INPUT!N4512,CHOOSE({1,2},INPUT!$A$3:$A$5000&amp;INPUT!$C$3:$C$5000,INPUT!$F$3:$F$5000),2,FALSE),"")</f>
        <v>0</v>
      </c>
      <c r="H4517" cm="1">
        <f t="array" ref="H4517">IFERROR(VLOOKUP(INPUT!M4512&amp;INPUT!N4512,CHOOSE({1,2},INPUT!$A$3:$A$5000&amp;INPUT!$C$3:$C$5000,INPUT!$D$3:$D$5000),2,FALSE),"")</f>
        <v>0</v>
      </c>
      <c r="I4517" s="46" t="str">
        <f>IF(INPUT!P4512="","",INPUT!P4512)</f>
        <v/>
      </c>
      <c r="J4517" s="46" t="str">
        <f>IF(INPUT!Q4512="","",INPUT!Q4512)</f>
        <v/>
      </c>
      <c r="K4517" s="46" t="str">
        <f>IFERROR(IF(OR(INPUT!P4512="",INPUT!Q4512=""),"",INPUT!P4512-INPUT!Q4512),"")</f>
        <v/>
      </c>
      <c r="L4517" s="48" t="str">
        <f>IFERROR(IF(OR(INPUT!P4512="",INPUT!Q4512="",INPUT!P4512=0),"",(INPUT!P4512-INPUT!Q4512)/INPUT!P4512),"")</f>
        <v/>
      </c>
    </row>
    <row r="4518" spans="1:12" ht="18" hidden="1" customHeight="1" x14ac:dyDescent="0.2">
      <c r="A4518" s="11" t="str">
        <f>IF(INPUT!M4513="","",INPUT!M4513)</f>
        <v/>
      </c>
      <c r="B4518" s="11" t="str">
        <f>IF(INPUT!M4513="","",INPUT!M4513-WEEKDAY(INPUT!M4513,2)+1)</f>
        <v/>
      </c>
      <c r="C4518" s="20">
        <f>IFERROR(_xlfn.ISOWEEKNUM(INPUT!M4513),"")</f>
        <v>52</v>
      </c>
      <c r="D4518" s="20">
        <f>IFERROR(YEAR(INPUT!M4513),"")</f>
        <v>1900</v>
      </c>
      <c r="E4518" t="str">
        <f>IF(INPUT!O4513="","",INPUT!O4513)</f>
        <v/>
      </c>
      <c r="F4518" t="str">
        <f>IF(INPUT!N4513="","",INPUT!N4513)</f>
        <v/>
      </c>
      <c r="G4518" cm="1">
        <f t="array" ref="G4518">IFERROR(VLOOKUP(INPUT!M4513&amp;INPUT!N4513,CHOOSE({1,2},INPUT!$A$3:$A$5000&amp;INPUT!$C$3:$C$5000,INPUT!$F$3:$F$5000),2,FALSE),"")</f>
        <v>0</v>
      </c>
      <c r="H4518" cm="1">
        <f t="array" ref="H4518">IFERROR(VLOOKUP(INPUT!M4513&amp;INPUT!N4513,CHOOSE({1,2},INPUT!$A$3:$A$5000&amp;INPUT!$C$3:$C$5000,INPUT!$D$3:$D$5000),2,FALSE),"")</f>
        <v>0</v>
      </c>
      <c r="I4518" s="46" t="str">
        <f>IF(INPUT!P4513="","",INPUT!P4513)</f>
        <v/>
      </c>
      <c r="J4518" s="46" t="str">
        <f>IF(INPUT!Q4513="","",INPUT!Q4513)</f>
        <v/>
      </c>
      <c r="K4518" s="46" t="str">
        <f>IFERROR(IF(OR(INPUT!P4513="",INPUT!Q4513=""),"",INPUT!P4513-INPUT!Q4513),"")</f>
        <v/>
      </c>
      <c r="L4518" s="48" t="str">
        <f>IFERROR(IF(OR(INPUT!P4513="",INPUT!Q4513="",INPUT!P4513=0),"",(INPUT!P4513-INPUT!Q4513)/INPUT!P4513),"")</f>
        <v/>
      </c>
    </row>
    <row r="4519" spans="1:12" ht="18" hidden="1" customHeight="1" x14ac:dyDescent="0.2">
      <c r="A4519" s="11" t="str">
        <f>IF(INPUT!M4514="","",INPUT!M4514)</f>
        <v/>
      </c>
      <c r="B4519" s="11" t="str">
        <f>IF(INPUT!M4514="","",INPUT!M4514-WEEKDAY(INPUT!M4514,2)+1)</f>
        <v/>
      </c>
      <c r="C4519" s="20">
        <f>IFERROR(_xlfn.ISOWEEKNUM(INPUT!M4514),"")</f>
        <v>52</v>
      </c>
      <c r="D4519" s="20">
        <f>IFERROR(YEAR(INPUT!M4514),"")</f>
        <v>1900</v>
      </c>
      <c r="E4519" t="str">
        <f>IF(INPUT!O4514="","",INPUT!O4514)</f>
        <v/>
      </c>
      <c r="F4519" t="str">
        <f>IF(INPUT!N4514="","",INPUT!N4514)</f>
        <v/>
      </c>
      <c r="G4519" cm="1">
        <f t="array" ref="G4519">IFERROR(VLOOKUP(INPUT!M4514&amp;INPUT!N4514,CHOOSE({1,2},INPUT!$A$3:$A$5000&amp;INPUT!$C$3:$C$5000,INPUT!$F$3:$F$5000),2,FALSE),"")</f>
        <v>0</v>
      </c>
      <c r="H4519" cm="1">
        <f t="array" ref="H4519">IFERROR(VLOOKUP(INPUT!M4514&amp;INPUT!N4514,CHOOSE({1,2},INPUT!$A$3:$A$5000&amp;INPUT!$C$3:$C$5000,INPUT!$D$3:$D$5000),2,FALSE),"")</f>
        <v>0</v>
      </c>
      <c r="I4519" s="46" t="str">
        <f>IF(INPUT!P4514="","",INPUT!P4514)</f>
        <v/>
      </c>
      <c r="J4519" s="46" t="str">
        <f>IF(INPUT!Q4514="","",INPUT!Q4514)</f>
        <v/>
      </c>
      <c r="K4519" s="46" t="str">
        <f>IFERROR(IF(OR(INPUT!P4514="",INPUT!Q4514=""),"",INPUT!P4514-INPUT!Q4514),"")</f>
        <v/>
      </c>
      <c r="L4519" s="48" t="str">
        <f>IFERROR(IF(OR(INPUT!P4514="",INPUT!Q4514="",INPUT!P4514=0),"",(INPUT!P4514-INPUT!Q4514)/INPUT!P4514),"")</f>
        <v/>
      </c>
    </row>
    <row r="4520" spans="1:12" ht="18" hidden="1" customHeight="1" x14ac:dyDescent="0.2">
      <c r="A4520" s="11" t="str">
        <f>IF(INPUT!M4515="","",INPUT!M4515)</f>
        <v/>
      </c>
      <c r="B4520" s="11" t="str">
        <f>IF(INPUT!M4515="","",INPUT!M4515-WEEKDAY(INPUT!M4515,2)+1)</f>
        <v/>
      </c>
      <c r="C4520" s="20">
        <f>IFERROR(_xlfn.ISOWEEKNUM(INPUT!M4515),"")</f>
        <v>52</v>
      </c>
      <c r="D4520" s="20">
        <f>IFERROR(YEAR(INPUT!M4515),"")</f>
        <v>1900</v>
      </c>
      <c r="E4520" t="str">
        <f>IF(INPUT!O4515="","",INPUT!O4515)</f>
        <v/>
      </c>
      <c r="F4520" t="str">
        <f>IF(INPUT!N4515="","",INPUT!N4515)</f>
        <v/>
      </c>
      <c r="G4520" cm="1">
        <f t="array" ref="G4520">IFERROR(VLOOKUP(INPUT!M4515&amp;INPUT!N4515,CHOOSE({1,2},INPUT!$A$3:$A$5000&amp;INPUT!$C$3:$C$5000,INPUT!$F$3:$F$5000),2,FALSE),"")</f>
        <v>0</v>
      </c>
      <c r="H4520" cm="1">
        <f t="array" ref="H4520">IFERROR(VLOOKUP(INPUT!M4515&amp;INPUT!N4515,CHOOSE({1,2},INPUT!$A$3:$A$5000&amp;INPUT!$C$3:$C$5000,INPUT!$D$3:$D$5000),2,FALSE),"")</f>
        <v>0</v>
      </c>
      <c r="I4520" s="46" t="str">
        <f>IF(INPUT!P4515="","",INPUT!P4515)</f>
        <v/>
      </c>
      <c r="J4520" s="46" t="str">
        <f>IF(INPUT!Q4515="","",INPUT!Q4515)</f>
        <v/>
      </c>
      <c r="K4520" s="46" t="str">
        <f>IFERROR(IF(OR(INPUT!P4515="",INPUT!Q4515=""),"",INPUT!P4515-INPUT!Q4515),"")</f>
        <v/>
      </c>
      <c r="L4520" s="48" t="str">
        <f>IFERROR(IF(OR(INPUT!P4515="",INPUT!Q4515="",INPUT!P4515=0),"",(INPUT!P4515-INPUT!Q4515)/INPUT!P4515),"")</f>
        <v/>
      </c>
    </row>
    <row r="4521" spans="1:12" ht="18" hidden="1" customHeight="1" x14ac:dyDescent="0.2">
      <c r="A4521" s="11" t="str">
        <f>IF(INPUT!M4516="","",INPUT!M4516)</f>
        <v/>
      </c>
      <c r="B4521" s="11" t="str">
        <f>IF(INPUT!M4516="","",INPUT!M4516-WEEKDAY(INPUT!M4516,2)+1)</f>
        <v/>
      </c>
      <c r="C4521" s="20">
        <f>IFERROR(_xlfn.ISOWEEKNUM(INPUT!M4516),"")</f>
        <v>52</v>
      </c>
      <c r="D4521" s="20">
        <f>IFERROR(YEAR(INPUT!M4516),"")</f>
        <v>1900</v>
      </c>
      <c r="E4521" t="str">
        <f>IF(INPUT!O4516="","",INPUT!O4516)</f>
        <v/>
      </c>
      <c r="F4521" t="str">
        <f>IF(INPUT!N4516="","",INPUT!N4516)</f>
        <v/>
      </c>
      <c r="G4521" cm="1">
        <f t="array" ref="G4521">IFERROR(VLOOKUP(INPUT!M4516&amp;INPUT!N4516,CHOOSE({1,2},INPUT!$A$3:$A$5000&amp;INPUT!$C$3:$C$5000,INPUT!$F$3:$F$5000),2,FALSE),"")</f>
        <v>0</v>
      </c>
      <c r="H4521" cm="1">
        <f t="array" ref="H4521">IFERROR(VLOOKUP(INPUT!M4516&amp;INPUT!N4516,CHOOSE({1,2},INPUT!$A$3:$A$5000&amp;INPUT!$C$3:$C$5000,INPUT!$D$3:$D$5000),2,FALSE),"")</f>
        <v>0</v>
      </c>
      <c r="I4521" s="46" t="str">
        <f>IF(INPUT!P4516="","",INPUT!P4516)</f>
        <v/>
      </c>
      <c r="J4521" s="46" t="str">
        <f>IF(INPUT!Q4516="","",INPUT!Q4516)</f>
        <v/>
      </c>
      <c r="K4521" s="46" t="str">
        <f>IFERROR(IF(OR(INPUT!P4516="",INPUT!Q4516=""),"",INPUT!P4516-INPUT!Q4516),"")</f>
        <v/>
      </c>
      <c r="L4521" s="48" t="str">
        <f>IFERROR(IF(OR(INPUT!P4516="",INPUT!Q4516="",INPUT!P4516=0),"",(INPUT!P4516-INPUT!Q4516)/INPUT!P4516),"")</f>
        <v/>
      </c>
    </row>
    <row r="4522" spans="1:12" ht="18" hidden="1" customHeight="1" x14ac:dyDescent="0.2">
      <c r="A4522" s="11" t="str">
        <f>IF(INPUT!M4517="","",INPUT!M4517)</f>
        <v/>
      </c>
      <c r="B4522" s="11" t="str">
        <f>IF(INPUT!M4517="","",INPUT!M4517-WEEKDAY(INPUT!M4517,2)+1)</f>
        <v/>
      </c>
      <c r="C4522" s="20">
        <f>IFERROR(_xlfn.ISOWEEKNUM(INPUT!M4517),"")</f>
        <v>52</v>
      </c>
      <c r="D4522" s="20">
        <f>IFERROR(YEAR(INPUT!M4517),"")</f>
        <v>1900</v>
      </c>
      <c r="E4522" t="str">
        <f>IF(INPUT!O4517="","",INPUT!O4517)</f>
        <v/>
      </c>
      <c r="F4522" t="str">
        <f>IF(INPUT!N4517="","",INPUT!N4517)</f>
        <v/>
      </c>
      <c r="G4522" cm="1">
        <f t="array" ref="G4522">IFERROR(VLOOKUP(INPUT!M4517&amp;INPUT!N4517,CHOOSE({1,2},INPUT!$A$3:$A$5000&amp;INPUT!$C$3:$C$5000,INPUT!$F$3:$F$5000),2,FALSE),"")</f>
        <v>0</v>
      </c>
      <c r="H4522" cm="1">
        <f t="array" ref="H4522">IFERROR(VLOOKUP(INPUT!M4517&amp;INPUT!N4517,CHOOSE({1,2},INPUT!$A$3:$A$5000&amp;INPUT!$C$3:$C$5000,INPUT!$D$3:$D$5000),2,FALSE),"")</f>
        <v>0</v>
      </c>
      <c r="I4522" s="46" t="str">
        <f>IF(INPUT!P4517="","",INPUT!P4517)</f>
        <v/>
      </c>
      <c r="J4522" s="46" t="str">
        <f>IF(INPUT!Q4517="","",INPUT!Q4517)</f>
        <v/>
      </c>
      <c r="K4522" s="46" t="str">
        <f>IFERROR(IF(OR(INPUT!P4517="",INPUT!Q4517=""),"",INPUT!P4517-INPUT!Q4517),"")</f>
        <v/>
      </c>
      <c r="L4522" s="48" t="str">
        <f>IFERROR(IF(OR(INPUT!P4517="",INPUT!Q4517="",INPUT!P4517=0),"",(INPUT!P4517-INPUT!Q4517)/INPUT!P4517),"")</f>
        <v/>
      </c>
    </row>
    <row r="4523" spans="1:12" ht="18" hidden="1" customHeight="1" x14ac:dyDescent="0.2">
      <c r="A4523" s="11" t="str">
        <f>IF(INPUT!M4518="","",INPUT!M4518)</f>
        <v/>
      </c>
      <c r="B4523" s="11" t="str">
        <f>IF(INPUT!M4518="","",INPUT!M4518-WEEKDAY(INPUT!M4518,2)+1)</f>
        <v/>
      </c>
      <c r="C4523" s="20">
        <f>IFERROR(_xlfn.ISOWEEKNUM(INPUT!M4518),"")</f>
        <v>52</v>
      </c>
      <c r="D4523" s="20">
        <f>IFERROR(YEAR(INPUT!M4518),"")</f>
        <v>1900</v>
      </c>
      <c r="E4523" t="str">
        <f>IF(INPUT!O4518="","",INPUT!O4518)</f>
        <v/>
      </c>
      <c r="F4523" t="str">
        <f>IF(INPUT!N4518="","",INPUT!N4518)</f>
        <v/>
      </c>
      <c r="G4523" cm="1">
        <f t="array" ref="G4523">IFERROR(VLOOKUP(INPUT!M4518&amp;INPUT!N4518,CHOOSE({1,2},INPUT!$A$3:$A$5000&amp;INPUT!$C$3:$C$5000,INPUT!$F$3:$F$5000),2,FALSE),"")</f>
        <v>0</v>
      </c>
      <c r="H4523" cm="1">
        <f t="array" ref="H4523">IFERROR(VLOOKUP(INPUT!M4518&amp;INPUT!N4518,CHOOSE({1,2},INPUT!$A$3:$A$5000&amp;INPUT!$C$3:$C$5000,INPUT!$D$3:$D$5000),2,FALSE),"")</f>
        <v>0</v>
      </c>
      <c r="I4523" s="46" t="str">
        <f>IF(INPUT!P4518="","",INPUT!P4518)</f>
        <v/>
      </c>
      <c r="J4523" s="46" t="str">
        <f>IF(INPUT!Q4518="","",INPUT!Q4518)</f>
        <v/>
      </c>
      <c r="K4523" s="46" t="str">
        <f>IFERROR(IF(OR(INPUT!P4518="",INPUT!Q4518=""),"",INPUT!P4518-INPUT!Q4518),"")</f>
        <v/>
      </c>
      <c r="L4523" s="48" t="str">
        <f>IFERROR(IF(OR(INPUT!P4518="",INPUT!Q4518="",INPUT!P4518=0),"",(INPUT!P4518-INPUT!Q4518)/INPUT!P4518),"")</f>
        <v/>
      </c>
    </row>
    <row r="4524" spans="1:12" ht="18" hidden="1" customHeight="1" x14ac:dyDescent="0.2">
      <c r="A4524" s="11" t="str">
        <f>IF(INPUT!M4519="","",INPUT!M4519)</f>
        <v/>
      </c>
      <c r="B4524" s="11" t="str">
        <f>IF(INPUT!M4519="","",INPUT!M4519-WEEKDAY(INPUT!M4519,2)+1)</f>
        <v/>
      </c>
      <c r="C4524" s="20">
        <f>IFERROR(_xlfn.ISOWEEKNUM(INPUT!M4519),"")</f>
        <v>52</v>
      </c>
      <c r="D4524" s="20">
        <f>IFERROR(YEAR(INPUT!M4519),"")</f>
        <v>1900</v>
      </c>
      <c r="E4524" t="str">
        <f>IF(INPUT!O4519="","",INPUT!O4519)</f>
        <v/>
      </c>
      <c r="F4524" t="str">
        <f>IF(INPUT!N4519="","",INPUT!N4519)</f>
        <v/>
      </c>
      <c r="G4524" cm="1">
        <f t="array" ref="G4524">IFERROR(VLOOKUP(INPUT!M4519&amp;INPUT!N4519,CHOOSE({1,2},INPUT!$A$3:$A$5000&amp;INPUT!$C$3:$C$5000,INPUT!$F$3:$F$5000),2,FALSE),"")</f>
        <v>0</v>
      </c>
      <c r="H4524" cm="1">
        <f t="array" ref="H4524">IFERROR(VLOOKUP(INPUT!M4519&amp;INPUT!N4519,CHOOSE({1,2},INPUT!$A$3:$A$5000&amp;INPUT!$C$3:$C$5000,INPUT!$D$3:$D$5000),2,FALSE),"")</f>
        <v>0</v>
      </c>
      <c r="I4524" s="46" t="str">
        <f>IF(INPUT!P4519="","",INPUT!P4519)</f>
        <v/>
      </c>
      <c r="J4524" s="46" t="str">
        <f>IF(INPUT!Q4519="","",INPUT!Q4519)</f>
        <v/>
      </c>
      <c r="K4524" s="46" t="str">
        <f>IFERROR(IF(OR(INPUT!P4519="",INPUT!Q4519=""),"",INPUT!P4519-INPUT!Q4519),"")</f>
        <v/>
      </c>
      <c r="L4524" s="48" t="str">
        <f>IFERROR(IF(OR(INPUT!P4519="",INPUT!Q4519="",INPUT!P4519=0),"",(INPUT!P4519-INPUT!Q4519)/INPUT!P4519),"")</f>
        <v/>
      </c>
    </row>
    <row r="4525" spans="1:12" ht="18" hidden="1" customHeight="1" x14ac:dyDescent="0.2">
      <c r="A4525" s="11" t="str">
        <f>IF(INPUT!M4520="","",INPUT!M4520)</f>
        <v/>
      </c>
      <c r="B4525" s="11" t="str">
        <f>IF(INPUT!M4520="","",INPUT!M4520-WEEKDAY(INPUT!M4520,2)+1)</f>
        <v/>
      </c>
      <c r="C4525" s="20">
        <f>IFERROR(_xlfn.ISOWEEKNUM(INPUT!M4520),"")</f>
        <v>52</v>
      </c>
      <c r="D4525" s="20">
        <f>IFERROR(YEAR(INPUT!M4520),"")</f>
        <v>1900</v>
      </c>
      <c r="E4525" t="str">
        <f>IF(INPUT!O4520="","",INPUT!O4520)</f>
        <v/>
      </c>
      <c r="F4525" t="str">
        <f>IF(INPUT!N4520="","",INPUT!N4520)</f>
        <v/>
      </c>
      <c r="G4525" cm="1">
        <f t="array" ref="G4525">IFERROR(VLOOKUP(INPUT!M4520&amp;INPUT!N4520,CHOOSE({1,2},INPUT!$A$3:$A$5000&amp;INPUT!$C$3:$C$5000,INPUT!$F$3:$F$5000),2,FALSE),"")</f>
        <v>0</v>
      </c>
      <c r="H4525" cm="1">
        <f t="array" ref="H4525">IFERROR(VLOOKUP(INPUT!M4520&amp;INPUT!N4520,CHOOSE({1,2},INPUT!$A$3:$A$5000&amp;INPUT!$C$3:$C$5000,INPUT!$D$3:$D$5000),2,FALSE),"")</f>
        <v>0</v>
      </c>
      <c r="I4525" s="46" t="str">
        <f>IF(INPUT!P4520="","",INPUT!P4520)</f>
        <v/>
      </c>
      <c r="J4525" s="46" t="str">
        <f>IF(INPUT!Q4520="","",INPUT!Q4520)</f>
        <v/>
      </c>
      <c r="K4525" s="46" t="str">
        <f>IFERROR(IF(OR(INPUT!P4520="",INPUT!Q4520=""),"",INPUT!P4520-INPUT!Q4520),"")</f>
        <v/>
      </c>
      <c r="L4525" s="48" t="str">
        <f>IFERROR(IF(OR(INPUT!P4520="",INPUT!Q4520="",INPUT!P4520=0),"",(INPUT!P4520-INPUT!Q4520)/INPUT!P4520),"")</f>
        <v/>
      </c>
    </row>
    <row r="4526" spans="1:12" ht="18" hidden="1" customHeight="1" x14ac:dyDescent="0.2">
      <c r="A4526" s="11" t="str">
        <f>IF(INPUT!M4521="","",INPUT!M4521)</f>
        <v/>
      </c>
      <c r="B4526" s="11" t="str">
        <f>IF(INPUT!M4521="","",INPUT!M4521-WEEKDAY(INPUT!M4521,2)+1)</f>
        <v/>
      </c>
      <c r="C4526" s="20">
        <f>IFERROR(_xlfn.ISOWEEKNUM(INPUT!M4521),"")</f>
        <v>52</v>
      </c>
      <c r="D4526" s="20">
        <f>IFERROR(YEAR(INPUT!M4521),"")</f>
        <v>1900</v>
      </c>
      <c r="E4526" t="str">
        <f>IF(INPUT!O4521="","",INPUT!O4521)</f>
        <v/>
      </c>
      <c r="F4526" t="str">
        <f>IF(INPUT!N4521="","",INPUT!N4521)</f>
        <v/>
      </c>
      <c r="G4526" cm="1">
        <f t="array" ref="G4526">IFERROR(VLOOKUP(INPUT!M4521&amp;INPUT!N4521,CHOOSE({1,2},INPUT!$A$3:$A$5000&amp;INPUT!$C$3:$C$5000,INPUT!$F$3:$F$5000),2,FALSE),"")</f>
        <v>0</v>
      </c>
      <c r="H4526" cm="1">
        <f t="array" ref="H4526">IFERROR(VLOOKUP(INPUT!M4521&amp;INPUT!N4521,CHOOSE({1,2},INPUT!$A$3:$A$5000&amp;INPUT!$C$3:$C$5000,INPUT!$D$3:$D$5000),2,FALSE),"")</f>
        <v>0</v>
      </c>
      <c r="I4526" s="46" t="str">
        <f>IF(INPUT!P4521="","",INPUT!P4521)</f>
        <v/>
      </c>
      <c r="J4526" s="46" t="str">
        <f>IF(INPUT!Q4521="","",INPUT!Q4521)</f>
        <v/>
      </c>
      <c r="K4526" s="46" t="str">
        <f>IFERROR(IF(OR(INPUT!P4521="",INPUT!Q4521=""),"",INPUT!P4521-INPUT!Q4521),"")</f>
        <v/>
      </c>
      <c r="L4526" s="48" t="str">
        <f>IFERROR(IF(OR(INPUT!P4521="",INPUT!Q4521="",INPUT!P4521=0),"",(INPUT!P4521-INPUT!Q4521)/INPUT!P4521),"")</f>
        <v/>
      </c>
    </row>
    <row r="4527" spans="1:12" ht="18" hidden="1" customHeight="1" x14ac:dyDescent="0.2">
      <c r="A4527" s="11" t="str">
        <f>IF(INPUT!M4522="","",INPUT!M4522)</f>
        <v/>
      </c>
      <c r="B4527" s="11" t="str">
        <f>IF(INPUT!M4522="","",INPUT!M4522-WEEKDAY(INPUT!M4522,2)+1)</f>
        <v/>
      </c>
      <c r="C4527" s="20">
        <f>IFERROR(_xlfn.ISOWEEKNUM(INPUT!M4522),"")</f>
        <v>52</v>
      </c>
      <c r="D4527" s="20">
        <f>IFERROR(YEAR(INPUT!M4522),"")</f>
        <v>1900</v>
      </c>
      <c r="E4527" t="str">
        <f>IF(INPUT!O4522="","",INPUT!O4522)</f>
        <v/>
      </c>
      <c r="F4527" t="str">
        <f>IF(INPUT!N4522="","",INPUT!N4522)</f>
        <v/>
      </c>
      <c r="G4527" cm="1">
        <f t="array" ref="G4527">IFERROR(VLOOKUP(INPUT!M4522&amp;INPUT!N4522,CHOOSE({1,2},INPUT!$A$3:$A$5000&amp;INPUT!$C$3:$C$5000,INPUT!$F$3:$F$5000),2,FALSE),"")</f>
        <v>0</v>
      </c>
      <c r="H4527" cm="1">
        <f t="array" ref="H4527">IFERROR(VLOOKUP(INPUT!M4522&amp;INPUT!N4522,CHOOSE({1,2},INPUT!$A$3:$A$5000&amp;INPUT!$C$3:$C$5000,INPUT!$D$3:$D$5000),2,FALSE),"")</f>
        <v>0</v>
      </c>
      <c r="I4527" s="46" t="str">
        <f>IF(INPUT!P4522="","",INPUT!P4522)</f>
        <v/>
      </c>
      <c r="J4527" s="46" t="str">
        <f>IF(INPUT!Q4522="","",INPUT!Q4522)</f>
        <v/>
      </c>
      <c r="K4527" s="46" t="str">
        <f>IFERROR(IF(OR(INPUT!P4522="",INPUT!Q4522=""),"",INPUT!P4522-INPUT!Q4522),"")</f>
        <v/>
      </c>
      <c r="L4527" s="48" t="str">
        <f>IFERROR(IF(OR(INPUT!P4522="",INPUT!Q4522="",INPUT!P4522=0),"",(INPUT!P4522-INPUT!Q4522)/INPUT!P4522),"")</f>
        <v/>
      </c>
    </row>
    <row r="4528" spans="1:12" ht="18" hidden="1" customHeight="1" x14ac:dyDescent="0.2">
      <c r="A4528" s="11" t="str">
        <f>IF(INPUT!M4523="","",INPUT!M4523)</f>
        <v/>
      </c>
      <c r="B4528" s="11" t="str">
        <f>IF(INPUT!M4523="","",INPUT!M4523-WEEKDAY(INPUT!M4523,2)+1)</f>
        <v/>
      </c>
      <c r="C4528" s="20">
        <f>IFERROR(_xlfn.ISOWEEKNUM(INPUT!M4523),"")</f>
        <v>52</v>
      </c>
      <c r="D4528" s="20">
        <f>IFERROR(YEAR(INPUT!M4523),"")</f>
        <v>1900</v>
      </c>
      <c r="E4528" t="str">
        <f>IF(INPUT!O4523="","",INPUT!O4523)</f>
        <v/>
      </c>
      <c r="F4528" t="str">
        <f>IF(INPUT!N4523="","",INPUT!N4523)</f>
        <v/>
      </c>
      <c r="G4528" cm="1">
        <f t="array" ref="G4528">IFERROR(VLOOKUP(INPUT!M4523&amp;INPUT!N4523,CHOOSE({1,2},INPUT!$A$3:$A$5000&amp;INPUT!$C$3:$C$5000,INPUT!$F$3:$F$5000),2,FALSE),"")</f>
        <v>0</v>
      </c>
      <c r="H4528" cm="1">
        <f t="array" ref="H4528">IFERROR(VLOOKUP(INPUT!M4523&amp;INPUT!N4523,CHOOSE({1,2},INPUT!$A$3:$A$5000&amp;INPUT!$C$3:$C$5000,INPUT!$D$3:$D$5000),2,FALSE),"")</f>
        <v>0</v>
      </c>
      <c r="I4528" s="46" t="str">
        <f>IF(INPUT!P4523="","",INPUT!P4523)</f>
        <v/>
      </c>
      <c r="J4528" s="46" t="str">
        <f>IF(INPUT!Q4523="","",INPUT!Q4523)</f>
        <v/>
      </c>
      <c r="K4528" s="46" t="str">
        <f>IFERROR(IF(OR(INPUT!P4523="",INPUT!Q4523=""),"",INPUT!P4523-INPUT!Q4523),"")</f>
        <v/>
      </c>
      <c r="L4528" s="48" t="str">
        <f>IFERROR(IF(OR(INPUT!P4523="",INPUT!Q4523="",INPUT!P4523=0),"",(INPUT!P4523-INPUT!Q4523)/INPUT!P4523),"")</f>
        <v/>
      </c>
    </row>
    <row r="4529" spans="1:12" ht="18" hidden="1" customHeight="1" x14ac:dyDescent="0.2">
      <c r="A4529" s="11" t="str">
        <f>IF(INPUT!M4524="","",INPUT!M4524)</f>
        <v/>
      </c>
      <c r="B4529" s="11" t="str">
        <f>IF(INPUT!M4524="","",INPUT!M4524-WEEKDAY(INPUT!M4524,2)+1)</f>
        <v/>
      </c>
      <c r="C4529" s="20">
        <f>IFERROR(_xlfn.ISOWEEKNUM(INPUT!M4524),"")</f>
        <v>52</v>
      </c>
      <c r="D4529" s="20">
        <f>IFERROR(YEAR(INPUT!M4524),"")</f>
        <v>1900</v>
      </c>
      <c r="E4529" t="str">
        <f>IF(INPUT!O4524="","",INPUT!O4524)</f>
        <v/>
      </c>
      <c r="F4529" t="str">
        <f>IF(INPUT!N4524="","",INPUT!N4524)</f>
        <v/>
      </c>
      <c r="G4529" cm="1">
        <f t="array" ref="G4529">IFERROR(VLOOKUP(INPUT!M4524&amp;INPUT!N4524,CHOOSE({1,2},INPUT!$A$3:$A$5000&amp;INPUT!$C$3:$C$5000,INPUT!$F$3:$F$5000),2,FALSE),"")</f>
        <v>0</v>
      </c>
      <c r="H4529" cm="1">
        <f t="array" ref="H4529">IFERROR(VLOOKUP(INPUT!M4524&amp;INPUT!N4524,CHOOSE({1,2},INPUT!$A$3:$A$5000&amp;INPUT!$C$3:$C$5000,INPUT!$D$3:$D$5000),2,FALSE),"")</f>
        <v>0</v>
      </c>
      <c r="I4529" s="46" t="str">
        <f>IF(INPUT!P4524="","",INPUT!P4524)</f>
        <v/>
      </c>
      <c r="J4529" s="46" t="str">
        <f>IF(INPUT!Q4524="","",INPUT!Q4524)</f>
        <v/>
      </c>
      <c r="K4529" s="46" t="str">
        <f>IFERROR(IF(OR(INPUT!P4524="",INPUT!Q4524=""),"",INPUT!P4524-INPUT!Q4524),"")</f>
        <v/>
      </c>
      <c r="L4529" s="48" t="str">
        <f>IFERROR(IF(OR(INPUT!P4524="",INPUT!Q4524="",INPUT!P4524=0),"",(INPUT!P4524-INPUT!Q4524)/INPUT!P4524),"")</f>
        <v/>
      </c>
    </row>
    <row r="4530" spans="1:12" ht="18" hidden="1" customHeight="1" x14ac:dyDescent="0.2">
      <c r="A4530" s="11" t="str">
        <f>IF(INPUT!M4525="","",INPUT!M4525)</f>
        <v/>
      </c>
      <c r="B4530" s="11" t="str">
        <f>IF(INPUT!M4525="","",INPUT!M4525-WEEKDAY(INPUT!M4525,2)+1)</f>
        <v/>
      </c>
      <c r="C4530" s="20">
        <f>IFERROR(_xlfn.ISOWEEKNUM(INPUT!M4525),"")</f>
        <v>52</v>
      </c>
      <c r="D4530" s="20">
        <f>IFERROR(YEAR(INPUT!M4525),"")</f>
        <v>1900</v>
      </c>
      <c r="E4530" t="str">
        <f>IF(INPUT!O4525="","",INPUT!O4525)</f>
        <v/>
      </c>
      <c r="F4530" t="str">
        <f>IF(INPUT!N4525="","",INPUT!N4525)</f>
        <v/>
      </c>
      <c r="G4530" cm="1">
        <f t="array" ref="G4530">IFERROR(VLOOKUP(INPUT!M4525&amp;INPUT!N4525,CHOOSE({1,2},INPUT!$A$3:$A$5000&amp;INPUT!$C$3:$C$5000,INPUT!$F$3:$F$5000),2,FALSE),"")</f>
        <v>0</v>
      </c>
      <c r="H4530" cm="1">
        <f t="array" ref="H4530">IFERROR(VLOOKUP(INPUT!M4525&amp;INPUT!N4525,CHOOSE({1,2},INPUT!$A$3:$A$5000&amp;INPUT!$C$3:$C$5000,INPUT!$D$3:$D$5000),2,FALSE),"")</f>
        <v>0</v>
      </c>
      <c r="I4530" s="46" t="str">
        <f>IF(INPUT!P4525="","",INPUT!P4525)</f>
        <v/>
      </c>
      <c r="J4530" s="46" t="str">
        <f>IF(INPUT!Q4525="","",INPUT!Q4525)</f>
        <v/>
      </c>
      <c r="K4530" s="46" t="str">
        <f>IFERROR(IF(OR(INPUT!P4525="",INPUT!Q4525=""),"",INPUT!P4525-INPUT!Q4525),"")</f>
        <v/>
      </c>
      <c r="L4530" s="48" t="str">
        <f>IFERROR(IF(OR(INPUT!P4525="",INPUT!Q4525="",INPUT!P4525=0),"",(INPUT!P4525-INPUT!Q4525)/INPUT!P4525),"")</f>
        <v/>
      </c>
    </row>
    <row r="4531" spans="1:12" ht="18" hidden="1" customHeight="1" x14ac:dyDescent="0.2">
      <c r="A4531" s="11" t="str">
        <f>IF(INPUT!M4526="","",INPUT!M4526)</f>
        <v/>
      </c>
      <c r="B4531" s="11" t="str">
        <f>IF(INPUT!M4526="","",INPUT!M4526-WEEKDAY(INPUT!M4526,2)+1)</f>
        <v/>
      </c>
      <c r="C4531" s="20">
        <f>IFERROR(_xlfn.ISOWEEKNUM(INPUT!M4526),"")</f>
        <v>52</v>
      </c>
      <c r="D4531" s="20">
        <f>IFERROR(YEAR(INPUT!M4526),"")</f>
        <v>1900</v>
      </c>
      <c r="E4531" t="str">
        <f>IF(INPUT!O4526="","",INPUT!O4526)</f>
        <v/>
      </c>
      <c r="F4531" t="str">
        <f>IF(INPUT!N4526="","",INPUT!N4526)</f>
        <v/>
      </c>
      <c r="G4531" cm="1">
        <f t="array" ref="G4531">IFERROR(VLOOKUP(INPUT!M4526&amp;INPUT!N4526,CHOOSE({1,2},INPUT!$A$3:$A$5000&amp;INPUT!$C$3:$C$5000,INPUT!$F$3:$F$5000),2,FALSE),"")</f>
        <v>0</v>
      </c>
      <c r="H4531" cm="1">
        <f t="array" ref="H4531">IFERROR(VLOOKUP(INPUT!M4526&amp;INPUT!N4526,CHOOSE({1,2},INPUT!$A$3:$A$5000&amp;INPUT!$C$3:$C$5000,INPUT!$D$3:$D$5000),2,FALSE),"")</f>
        <v>0</v>
      </c>
      <c r="I4531" s="46" t="str">
        <f>IF(INPUT!P4526="","",INPUT!P4526)</f>
        <v/>
      </c>
      <c r="J4531" s="46" t="str">
        <f>IF(INPUT!Q4526="","",INPUT!Q4526)</f>
        <v/>
      </c>
      <c r="K4531" s="46" t="str">
        <f>IFERROR(IF(OR(INPUT!P4526="",INPUT!Q4526=""),"",INPUT!P4526-INPUT!Q4526),"")</f>
        <v/>
      </c>
      <c r="L4531" s="48" t="str">
        <f>IFERROR(IF(OR(INPUT!P4526="",INPUT!Q4526="",INPUT!P4526=0),"",(INPUT!P4526-INPUT!Q4526)/INPUT!P4526),"")</f>
        <v/>
      </c>
    </row>
    <row r="4532" spans="1:12" ht="18" hidden="1" customHeight="1" x14ac:dyDescent="0.2">
      <c r="A4532" s="11" t="str">
        <f>IF(INPUT!M4527="","",INPUT!M4527)</f>
        <v/>
      </c>
      <c r="B4532" s="11" t="str">
        <f>IF(INPUT!M4527="","",INPUT!M4527-WEEKDAY(INPUT!M4527,2)+1)</f>
        <v/>
      </c>
      <c r="C4532" s="20">
        <f>IFERROR(_xlfn.ISOWEEKNUM(INPUT!M4527),"")</f>
        <v>52</v>
      </c>
      <c r="D4532" s="20">
        <f>IFERROR(YEAR(INPUT!M4527),"")</f>
        <v>1900</v>
      </c>
      <c r="E4532" t="str">
        <f>IF(INPUT!O4527="","",INPUT!O4527)</f>
        <v/>
      </c>
      <c r="F4532" t="str">
        <f>IF(INPUT!N4527="","",INPUT!N4527)</f>
        <v/>
      </c>
      <c r="G4532" cm="1">
        <f t="array" ref="G4532">IFERROR(VLOOKUP(INPUT!M4527&amp;INPUT!N4527,CHOOSE({1,2},INPUT!$A$3:$A$5000&amp;INPUT!$C$3:$C$5000,INPUT!$F$3:$F$5000),2,FALSE),"")</f>
        <v>0</v>
      </c>
      <c r="H4532" cm="1">
        <f t="array" ref="H4532">IFERROR(VLOOKUP(INPUT!M4527&amp;INPUT!N4527,CHOOSE({1,2},INPUT!$A$3:$A$5000&amp;INPUT!$C$3:$C$5000,INPUT!$D$3:$D$5000),2,FALSE),"")</f>
        <v>0</v>
      </c>
      <c r="I4532" s="46" t="str">
        <f>IF(INPUT!P4527="","",INPUT!P4527)</f>
        <v/>
      </c>
      <c r="J4532" s="46" t="str">
        <f>IF(INPUT!Q4527="","",INPUT!Q4527)</f>
        <v/>
      </c>
      <c r="K4532" s="46" t="str">
        <f>IFERROR(IF(OR(INPUT!P4527="",INPUT!Q4527=""),"",INPUT!P4527-INPUT!Q4527),"")</f>
        <v/>
      </c>
      <c r="L4532" s="48" t="str">
        <f>IFERROR(IF(OR(INPUT!P4527="",INPUT!Q4527="",INPUT!P4527=0),"",(INPUT!P4527-INPUT!Q4527)/INPUT!P4527),"")</f>
        <v/>
      </c>
    </row>
    <row r="4533" spans="1:12" ht="18" hidden="1" customHeight="1" x14ac:dyDescent="0.2">
      <c r="A4533" s="11" t="str">
        <f>IF(INPUT!M4528="","",INPUT!M4528)</f>
        <v/>
      </c>
      <c r="B4533" s="11" t="str">
        <f>IF(INPUT!M4528="","",INPUT!M4528-WEEKDAY(INPUT!M4528,2)+1)</f>
        <v/>
      </c>
      <c r="C4533" s="20">
        <f>IFERROR(_xlfn.ISOWEEKNUM(INPUT!M4528),"")</f>
        <v>52</v>
      </c>
      <c r="D4533" s="20">
        <f>IFERROR(YEAR(INPUT!M4528),"")</f>
        <v>1900</v>
      </c>
      <c r="E4533" t="str">
        <f>IF(INPUT!O4528="","",INPUT!O4528)</f>
        <v/>
      </c>
      <c r="F4533" t="str">
        <f>IF(INPUT!N4528="","",INPUT!N4528)</f>
        <v/>
      </c>
      <c r="G4533" cm="1">
        <f t="array" ref="G4533">IFERROR(VLOOKUP(INPUT!M4528&amp;INPUT!N4528,CHOOSE({1,2},INPUT!$A$3:$A$5000&amp;INPUT!$C$3:$C$5000,INPUT!$F$3:$F$5000),2,FALSE),"")</f>
        <v>0</v>
      </c>
      <c r="H4533" cm="1">
        <f t="array" ref="H4533">IFERROR(VLOOKUP(INPUT!M4528&amp;INPUT!N4528,CHOOSE({1,2},INPUT!$A$3:$A$5000&amp;INPUT!$C$3:$C$5000,INPUT!$D$3:$D$5000),2,FALSE),"")</f>
        <v>0</v>
      </c>
      <c r="I4533" s="46" t="str">
        <f>IF(INPUT!P4528="","",INPUT!P4528)</f>
        <v/>
      </c>
      <c r="J4533" s="46" t="str">
        <f>IF(INPUT!Q4528="","",INPUT!Q4528)</f>
        <v/>
      </c>
      <c r="K4533" s="46" t="str">
        <f>IFERROR(IF(OR(INPUT!P4528="",INPUT!Q4528=""),"",INPUT!P4528-INPUT!Q4528),"")</f>
        <v/>
      </c>
      <c r="L4533" s="48" t="str">
        <f>IFERROR(IF(OR(INPUT!P4528="",INPUT!Q4528="",INPUT!P4528=0),"",(INPUT!P4528-INPUT!Q4528)/INPUT!P4528),"")</f>
        <v/>
      </c>
    </row>
    <row r="4534" spans="1:12" ht="18" hidden="1" customHeight="1" x14ac:dyDescent="0.2">
      <c r="A4534" s="11" t="str">
        <f>IF(INPUT!M4529="","",INPUT!M4529)</f>
        <v/>
      </c>
      <c r="B4534" s="11" t="str">
        <f>IF(INPUT!M4529="","",INPUT!M4529-WEEKDAY(INPUT!M4529,2)+1)</f>
        <v/>
      </c>
      <c r="C4534" s="20">
        <f>IFERROR(_xlfn.ISOWEEKNUM(INPUT!M4529),"")</f>
        <v>52</v>
      </c>
      <c r="D4534" s="20">
        <f>IFERROR(YEAR(INPUT!M4529),"")</f>
        <v>1900</v>
      </c>
      <c r="E4534" t="str">
        <f>IF(INPUT!O4529="","",INPUT!O4529)</f>
        <v/>
      </c>
      <c r="F4534" t="str">
        <f>IF(INPUT!N4529="","",INPUT!N4529)</f>
        <v/>
      </c>
      <c r="G4534" cm="1">
        <f t="array" ref="G4534">IFERROR(VLOOKUP(INPUT!M4529&amp;INPUT!N4529,CHOOSE({1,2},INPUT!$A$3:$A$5000&amp;INPUT!$C$3:$C$5000,INPUT!$F$3:$F$5000),2,FALSE),"")</f>
        <v>0</v>
      </c>
      <c r="H4534" cm="1">
        <f t="array" ref="H4534">IFERROR(VLOOKUP(INPUT!M4529&amp;INPUT!N4529,CHOOSE({1,2},INPUT!$A$3:$A$5000&amp;INPUT!$C$3:$C$5000,INPUT!$D$3:$D$5000),2,FALSE),"")</f>
        <v>0</v>
      </c>
      <c r="I4534" s="46" t="str">
        <f>IF(INPUT!P4529="","",INPUT!P4529)</f>
        <v/>
      </c>
      <c r="J4534" s="46" t="str">
        <f>IF(INPUT!Q4529="","",INPUT!Q4529)</f>
        <v/>
      </c>
      <c r="K4534" s="46" t="str">
        <f>IFERROR(IF(OR(INPUT!P4529="",INPUT!Q4529=""),"",INPUT!P4529-INPUT!Q4529),"")</f>
        <v/>
      </c>
      <c r="L4534" s="48" t="str">
        <f>IFERROR(IF(OR(INPUT!P4529="",INPUT!Q4529="",INPUT!P4529=0),"",(INPUT!P4529-INPUT!Q4529)/INPUT!P4529),"")</f>
        <v/>
      </c>
    </row>
    <row r="4535" spans="1:12" ht="18" hidden="1" customHeight="1" x14ac:dyDescent="0.2">
      <c r="A4535" s="11" t="str">
        <f>IF(INPUT!M4530="","",INPUT!M4530)</f>
        <v/>
      </c>
      <c r="B4535" s="11" t="str">
        <f>IF(INPUT!M4530="","",INPUT!M4530-WEEKDAY(INPUT!M4530,2)+1)</f>
        <v/>
      </c>
      <c r="C4535" s="20">
        <f>IFERROR(_xlfn.ISOWEEKNUM(INPUT!M4530),"")</f>
        <v>52</v>
      </c>
      <c r="D4535" s="20">
        <f>IFERROR(YEAR(INPUT!M4530),"")</f>
        <v>1900</v>
      </c>
      <c r="E4535" t="str">
        <f>IF(INPUT!O4530="","",INPUT!O4530)</f>
        <v/>
      </c>
      <c r="F4535" t="str">
        <f>IF(INPUT!N4530="","",INPUT!N4530)</f>
        <v/>
      </c>
      <c r="G4535" cm="1">
        <f t="array" ref="G4535">IFERROR(VLOOKUP(INPUT!M4530&amp;INPUT!N4530,CHOOSE({1,2},INPUT!$A$3:$A$5000&amp;INPUT!$C$3:$C$5000,INPUT!$F$3:$F$5000),2,FALSE),"")</f>
        <v>0</v>
      </c>
      <c r="H4535" cm="1">
        <f t="array" ref="H4535">IFERROR(VLOOKUP(INPUT!M4530&amp;INPUT!N4530,CHOOSE({1,2},INPUT!$A$3:$A$5000&amp;INPUT!$C$3:$C$5000,INPUT!$D$3:$D$5000),2,FALSE),"")</f>
        <v>0</v>
      </c>
      <c r="I4535" s="46" t="str">
        <f>IF(INPUT!P4530="","",INPUT!P4530)</f>
        <v/>
      </c>
      <c r="J4535" s="46" t="str">
        <f>IF(INPUT!Q4530="","",INPUT!Q4530)</f>
        <v/>
      </c>
      <c r="K4535" s="46" t="str">
        <f>IFERROR(IF(OR(INPUT!P4530="",INPUT!Q4530=""),"",INPUT!P4530-INPUT!Q4530),"")</f>
        <v/>
      </c>
      <c r="L4535" s="48" t="str">
        <f>IFERROR(IF(OR(INPUT!P4530="",INPUT!Q4530="",INPUT!P4530=0),"",(INPUT!P4530-INPUT!Q4530)/INPUT!P4530),"")</f>
        <v/>
      </c>
    </row>
    <row r="4536" spans="1:12" ht="18" hidden="1" customHeight="1" x14ac:dyDescent="0.2">
      <c r="A4536" s="11" t="str">
        <f>IF(INPUT!M4531="","",INPUT!M4531)</f>
        <v/>
      </c>
      <c r="B4536" s="11" t="str">
        <f>IF(INPUT!M4531="","",INPUT!M4531-WEEKDAY(INPUT!M4531,2)+1)</f>
        <v/>
      </c>
      <c r="C4536" s="20">
        <f>IFERROR(_xlfn.ISOWEEKNUM(INPUT!M4531),"")</f>
        <v>52</v>
      </c>
      <c r="D4536" s="20">
        <f>IFERROR(YEAR(INPUT!M4531),"")</f>
        <v>1900</v>
      </c>
      <c r="E4536" t="str">
        <f>IF(INPUT!O4531="","",INPUT!O4531)</f>
        <v/>
      </c>
      <c r="F4536" t="str">
        <f>IF(INPUT!N4531="","",INPUT!N4531)</f>
        <v/>
      </c>
      <c r="G4536" cm="1">
        <f t="array" ref="G4536">IFERROR(VLOOKUP(INPUT!M4531&amp;INPUT!N4531,CHOOSE({1,2},INPUT!$A$3:$A$5000&amp;INPUT!$C$3:$C$5000,INPUT!$F$3:$F$5000),2,FALSE),"")</f>
        <v>0</v>
      </c>
      <c r="H4536" cm="1">
        <f t="array" ref="H4536">IFERROR(VLOOKUP(INPUT!M4531&amp;INPUT!N4531,CHOOSE({1,2},INPUT!$A$3:$A$5000&amp;INPUT!$C$3:$C$5000,INPUT!$D$3:$D$5000),2,FALSE),"")</f>
        <v>0</v>
      </c>
      <c r="I4536" s="46" t="str">
        <f>IF(INPUT!P4531="","",INPUT!P4531)</f>
        <v/>
      </c>
      <c r="J4536" s="46" t="str">
        <f>IF(INPUT!Q4531="","",INPUT!Q4531)</f>
        <v/>
      </c>
      <c r="K4536" s="46" t="str">
        <f>IFERROR(IF(OR(INPUT!P4531="",INPUT!Q4531=""),"",INPUT!P4531-INPUT!Q4531),"")</f>
        <v/>
      </c>
      <c r="L4536" s="48" t="str">
        <f>IFERROR(IF(OR(INPUT!P4531="",INPUT!Q4531="",INPUT!P4531=0),"",(INPUT!P4531-INPUT!Q4531)/INPUT!P4531),"")</f>
        <v/>
      </c>
    </row>
    <row r="4537" spans="1:12" ht="18" hidden="1" customHeight="1" x14ac:dyDescent="0.2">
      <c r="A4537" s="11" t="str">
        <f>IF(INPUT!M4532="","",INPUT!M4532)</f>
        <v/>
      </c>
      <c r="B4537" s="11" t="str">
        <f>IF(INPUT!M4532="","",INPUT!M4532-WEEKDAY(INPUT!M4532,2)+1)</f>
        <v/>
      </c>
      <c r="C4537" s="20">
        <f>IFERROR(_xlfn.ISOWEEKNUM(INPUT!M4532),"")</f>
        <v>52</v>
      </c>
      <c r="D4537" s="20">
        <f>IFERROR(YEAR(INPUT!M4532),"")</f>
        <v>1900</v>
      </c>
      <c r="E4537" t="str">
        <f>IF(INPUT!O4532="","",INPUT!O4532)</f>
        <v/>
      </c>
      <c r="F4537" t="str">
        <f>IF(INPUT!N4532="","",INPUT!N4532)</f>
        <v/>
      </c>
      <c r="G4537" cm="1">
        <f t="array" ref="G4537">IFERROR(VLOOKUP(INPUT!M4532&amp;INPUT!N4532,CHOOSE({1,2},INPUT!$A$3:$A$5000&amp;INPUT!$C$3:$C$5000,INPUT!$F$3:$F$5000),2,FALSE),"")</f>
        <v>0</v>
      </c>
      <c r="H4537" cm="1">
        <f t="array" ref="H4537">IFERROR(VLOOKUP(INPUT!M4532&amp;INPUT!N4532,CHOOSE({1,2},INPUT!$A$3:$A$5000&amp;INPUT!$C$3:$C$5000,INPUT!$D$3:$D$5000),2,FALSE),"")</f>
        <v>0</v>
      </c>
      <c r="I4537" s="46" t="str">
        <f>IF(INPUT!P4532="","",INPUT!P4532)</f>
        <v/>
      </c>
      <c r="J4537" s="46" t="str">
        <f>IF(INPUT!Q4532="","",INPUT!Q4532)</f>
        <v/>
      </c>
      <c r="K4537" s="46" t="str">
        <f>IFERROR(IF(OR(INPUT!P4532="",INPUT!Q4532=""),"",INPUT!P4532-INPUT!Q4532),"")</f>
        <v/>
      </c>
      <c r="L4537" s="48" t="str">
        <f>IFERROR(IF(OR(INPUT!P4532="",INPUT!Q4532="",INPUT!P4532=0),"",(INPUT!P4532-INPUT!Q4532)/INPUT!P4532),"")</f>
        <v/>
      </c>
    </row>
    <row r="4538" spans="1:12" ht="18" hidden="1" customHeight="1" x14ac:dyDescent="0.2">
      <c r="A4538" s="11" t="str">
        <f>IF(INPUT!M4533="","",INPUT!M4533)</f>
        <v/>
      </c>
      <c r="B4538" s="11" t="str">
        <f>IF(INPUT!M4533="","",INPUT!M4533-WEEKDAY(INPUT!M4533,2)+1)</f>
        <v/>
      </c>
      <c r="C4538" s="20">
        <f>IFERROR(_xlfn.ISOWEEKNUM(INPUT!M4533),"")</f>
        <v>52</v>
      </c>
      <c r="D4538" s="20">
        <f>IFERROR(YEAR(INPUT!M4533),"")</f>
        <v>1900</v>
      </c>
      <c r="E4538" t="str">
        <f>IF(INPUT!O4533="","",INPUT!O4533)</f>
        <v/>
      </c>
      <c r="F4538" t="str">
        <f>IF(INPUT!N4533="","",INPUT!N4533)</f>
        <v/>
      </c>
      <c r="G4538" cm="1">
        <f t="array" ref="G4538">IFERROR(VLOOKUP(INPUT!M4533&amp;INPUT!N4533,CHOOSE({1,2},INPUT!$A$3:$A$5000&amp;INPUT!$C$3:$C$5000,INPUT!$F$3:$F$5000),2,FALSE),"")</f>
        <v>0</v>
      </c>
      <c r="H4538" cm="1">
        <f t="array" ref="H4538">IFERROR(VLOOKUP(INPUT!M4533&amp;INPUT!N4533,CHOOSE({1,2},INPUT!$A$3:$A$5000&amp;INPUT!$C$3:$C$5000,INPUT!$D$3:$D$5000),2,FALSE),"")</f>
        <v>0</v>
      </c>
      <c r="I4538" s="46" t="str">
        <f>IF(INPUT!P4533="","",INPUT!P4533)</f>
        <v/>
      </c>
      <c r="J4538" s="46" t="str">
        <f>IF(INPUT!Q4533="","",INPUT!Q4533)</f>
        <v/>
      </c>
      <c r="K4538" s="46" t="str">
        <f>IFERROR(IF(OR(INPUT!P4533="",INPUT!Q4533=""),"",INPUT!P4533-INPUT!Q4533),"")</f>
        <v/>
      </c>
      <c r="L4538" s="48" t="str">
        <f>IFERROR(IF(OR(INPUT!P4533="",INPUT!Q4533="",INPUT!P4533=0),"",(INPUT!P4533-INPUT!Q4533)/INPUT!P4533),"")</f>
        <v/>
      </c>
    </row>
    <row r="4539" spans="1:12" ht="18" hidden="1" customHeight="1" x14ac:dyDescent="0.2">
      <c r="A4539" s="11" t="str">
        <f>IF(INPUT!M4534="","",INPUT!M4534)</f>
        <v/>
      </c>
      <c r="B4539" s="11" t="str">
        <f>IF(INPUT!M4534="","",INPUT!M4534-WEEKDAY(INPUT!M4534,2)+1)</f>
        <v/>
      </c>
      <c r="C4539" s="20">
        <f>IFERROR(_xlfn.ISOWEEKNUM(INPUT!M4534),"")</f>
        <v>52</v>
      </c>
      <c r="D4539" s="20">
        <f>IFERROR(YEAR(INPUT!M4534),"")</f>
        <v>1900</v>
      </c>
      <c r="E4539" t="str">
        <f>IF(INPUT!O4534="","",INPUT!O4534)</f>
        <v/>
      </c>
      <c r="F4539" t="str">
        <f>IF(INPUT!N4534="","",INPUT!N4534)</f>
        <v/>
      </c>
      <c r="G4539" cm="1">
        <f t="array" ref="G4539">IFERROR(VLOOKUP(INPUT!M4534&amp;INPUT!N4534,CHOOSE({1,2},INPUT!$A$3:$A$5000&amp;INPUT!$C$3:$C$5000,INPUT!$F$3:$F$5000),2,FALSE),"")</f>
        <v>0</v>
      </c>
      <c r="H4539" cm="1">
        <f t="array" ref="H4539">IFERROR(VLOOKUP(INPUT!M4534&amp;INPUT!N4534,CHOOSE({1,2},INPUT!$A$3:$A$5000&amp;INPUT!$C$3:$C$5000,INPUT!$D$3:$D$5000),2,FALSE),"")</f>
        <v>0</v>
      </c>
      <c r="I4539" s="46" t="str">
        <f>IF(INPUT!P4534="","",INPUT!P4534)</f>
        <v/>
      </c>
      <c r="J4539" s="46" t="str">
        <f>IF(INPUT!Q4534="","",INPUT!Q4534)</f>
        <v/>
      </c>
      <c r="K4539" s="46" t="str">
        <f>IFERROR(IF(OR(INPUT!P4534="",INPUT!Q4534=""),"",INPUT!P4534-INPUT!Q4534),"")</f>
        <v/>
      </c>
      <c r="L4539" s="48" t="str">
        <f>IFERROR(IF(OR(INPUT!P4534="",INPUT!Q4534="",INPUT!P4534=0),"",(INPUT!P4534-INPUT!Q4534)/INPUT!P4534),"")</f>
        <v/>
      </c>
    </row>
    <row r="4540" spans="1:12" ht="18" hidden="1" customHeight="1" x14ac:dyDescent="0.2">
      <c r="A4540" s="11" t="str">
        <f>IF(INPUT!M4535="","",INPUT!M4535)</f>
        <v/>
      </c>
      <c r="B4540" s="11" t="str">
        <f>IF(INPUT!M4535="","",INPUT!M4535-WEEKDAY(INPUT!M4535,2)+1)</f>
        <v/>
      </c>
      <c r="C4540" s="20">
        <f>IFERROR(_xlfn.ISOWEEKNUM(INPUT!M4535),"")</f>
        <v>52</v>
      </c>
      <c r="D4540" s="20">
        <f>IFERROR(YEAR(INPUT!M4535),"")</f>
        <v>1900</v>
      </c>
      <c r="E4540" t="str">
        <f>IF(INPUT!O4535="","",INPUT!O4535)</f>
        <v/>
      </c>
      <c r="F4540" t="str">
        <f>IF(INPUT!N4535="","",INPUT!N4535)</f>
        <v/>
      </c>
      <c r="G4540" cm="1">
        <f t="array" ref="G4540">IFERROR(VLOOKUP(INPUT!M4535&amp;INPUT!N4535,CHOOSE({1,2},INPUT!$A$3:$A$5000&amp;INPUT!$C$3:$C$5000,INPUT!$F$3:$F$5000),2,FALSE),"")</f>
        <v>0</v>
      </c>
      <c r="H4540" cm="1">
        <f t="array" ref="H4540">IFERROR(VLOOKUP(INPUT!M4535&amp;INPUT!N4535,CHOOSE({1,2},INPUT!$A$3:$A$5000&amp;INPUT!$C$3:$C$5000,INPUT!$D$3:$D$5000),2,FALSE),"")</f>
        <v>0</v>
      </c>
      <c r="I4540" s="46" t="str">
        <f>IF(INPUT!P4535="","",INPUT!P4535)</f>
        <v/>
      </c>
      <c r="J4540" s="46" t="str">
        <f>IF(INPUT!Q4535="","",INPUT!Q4535)</f>
        <v/>
      </c>
      <c r="K4540" s="46" t="str">
        <f>IFERROR(IF(OR(INPUT!P4535="",INPUT!Q4535=""),"",INPUT!P4535-INPUT!Q4535),"")</f>
        <v/>
      </c>
      <c r="L4540" s="48" t="str">
        <f>IFERROR(IF(OR(INPUT!P4535="",INPUT!Q4535="",INPUT!P4535=0),"",(INPUT!P4535-INPUT!Q4535)/INPUT!P4535),"")</f>
        <v/>
      </c>
    </row>
    <row r="4541" spans="1:12" ht="18" hidden="1" customHeight="1" x14ac:dyDescent="0.2">
      <c r="A4541" s="11" t="str">
        <f>IF(INPUT!M4536="","",INPUT!M4536)</f>
        <v/>
      </c>
      <c r="B4541" s="11" t="str">
        <f>IF(INPUT!M4536="","",INPUT!M4536-WEEKDAY(INPUT!M4536,2)+1)</f>
        <v/>
      </c>
      <c r="C4541" s="20">
        <f>IFERROR(_xlfn.ISOWEEKNUM(INPUT!M4536),"")</f>
        <v>52</v>
      </c>
      <c r="D4541" s="20">
        <f>IFERROR(YEAR(INPUT!M4536),"")</f>
        <v>1900</v>
      </c>
      <c r="E4541" t="str">
        <f>IF(INPUT!O4536="","",INPUT!O4536)</f>
        <v/>
      </c>
      <c r="F4541" t="str">
        <f>IF(INPUT!N4536="","",INPUT!N4536)</f>
        <v/>
      </c>
      <c r="G4541" cm="1">
        <f t="array" ref="G4541">IFERROR(VLOOKUP(INPUT!M4536&amp;INPUT!N4536,CHOOSE({1,2},INPUT!$A$3:$A$5000&amp;INPUT!$C$3:$C$5000,INPUT!$F$3:$F$5000),2,FALSE),"")</f>
        <v>0</v>
      </c>
      <c r="H4541" cm="1">
        <f t="array" ref="H4541">IFERROR(VLOOKUP(INPUT!M4536&amp;INPUT!N4536,CHOOSE({1,2},INPUT!$A$3:$A$5000&amp;INPUT!$C$3:$C$5000,INPUT!$D$3:$D$5000),2,FALSE),"")</f>
        <v>0</v>
      </c>
      <c r="I4541" s="46" t="str">
        <f>IF(INPUT!P4536="","",INPUT!P4536)</f>
        <v/>
      </c>
      <c r="J4541" s="46" t="str">
        <f>IF(INPUT!Q4536="","",INPUT!Q4536)</f>
        <v/>
      </c>
      <c r="K4541" s="46" t="str">
        <f>IFERROR(IF(OR(INPUT!P4536="",INPUT!Q4536=""),"",INPUT!P4536-INPUT!Q4536),"")</f>
        <v/>
      </c>
      <c r="L4541" s="48" t="str">
        <f>IFERROR(IF(OR(INPUT!P4536="",INPUT!Q4536="",INPUT!P4536=0),"",(INPUT!P4536-INPUT!Q4536)/INPUT!P4536),"")</f>
        <v/>
      </c>
    </row>
    <row r="4542" spans="1:12" ht="18" hidden="1" customHeight="1" x14ac:dyDescent="0.2">
      <c r="A4542" s="11" t="str">
        <f>IF(INPUT!M4537="","",INPUT!M4537)</f>
        <v/>
      </c>
      <c r="B4542" s="11" t="str">
        <f>IF(INPUT!M4537="","",INPUT!M4537-WEEKDAY(INPUT!M4537,2)+1)</f>
        <v/>
      </c>
      <c r="C4542" s="20">
        <f>IFERROR(_xlfn.ISOWEEKNUM(INPUT!M4537),"")</f>
        <v>52</v>
      </c>
      <c r="D4542" s="20">
        <f>IFERROR(YEAR(INPUT!M4537),"")</f>
        <v>1900</v>
      </c>
      <c r="E4542" t="str">
        <f>IF(INPUT!O4537="","",INPUT!O4537)</f>
        <v/>
      </c>
      <c r="F4542" t="str">
        <f>IF(INPUT!N4537="","",INPUT!N4537)</f>
        <v/>
      </c>
      <c r="G4542" cm="1">
        <f t="array" ref="G4542">IFERROR(VLOOKUP(INPUT!M4537&amp;INPUT!N4537,CHOOSE({1,2},INPUT!$A$3:$A$5000&amp;INPUT!$C$3:$C$5000,INPUT!$F$3:$F$5000),2,FALSE),"")</f>
        <v>0</v>
      </c>
      <c r="H4542" cm="1">
        <f t="array" ref="H4542">IFERROR(VLOOKUP(INPUT!M4537&amp;INPUT!N4537,CHOOSE({1,2},INPUT!$A$3:$A$5000&amp;INPUT!$C$3:$C$5000,INPUT!$D$3:$D$5000),2,FALSE),"")</f>
        <v>0</v>
      </c>
      <c r="I4542" s="46" t="str">
        <f>IF(INPUT!P4537="","",INPUT!P4537)</f>
        <v/>
      </c>
      <c r="J4542" s="46" t="str">
        <f>IF(INPUT!Q4537="","",INPUT!Q4537)</f>
        <v/>
      </c>
      <c r="K4542" s="46" t="str">
        <f>IFERROR(IF(OR(INPUT!P4537="",INPUT!Q4537=""),"",INPUT!P4537-INPUT!Q4537),"")</f>
        <v/>
      </c>
      <c r="L4542" s="48" t="str">
        <f>IFERROR(IF(OR(INPUT!P4537="",INPUT!Q4537="",INPUT!P4537=0),"",(INPUT!P4537-INPUT!Q4537)/INPUT!P4537),"")</f>
        <v/>
      </c>
    </row>
    <row r="4543" spans="1:12" ht="18" hidden="1" customHeight="1" x14ac:dyDescent="0.2">
      <c r="A4543" s="11" t="str">
        <f>IF(INPUT!M4538="","",INPUT!M4538)</f>
        <v/>
      </c>
      <c r="B4543" s="11" t="str">
        <f>IF(INPUT!M4538="","",INPUT!M4538-WEEKDAY(INPUT!M4538,2)+1)</f>
        <v/>
      </c>
      <c r="C4543" s="20">
        <f>IFERROR(_xlfn.ISOWEEKNUM(INPUT!M4538),"")</f>
        <v>52</v>
      </c>
      <c r="D4543" s="20">
        <f>IFERROR(YEAR(INPUT!M4538),"")</f>
        <v>1900</v>
      </c>
      <c r="E4543" t="str">
        <f>IF(INPUT!O4538="","",INPUT!O4538)</f>
        <v/>
      </c>
      <c r="F4543" t="str">
        <f>IF(INPUT!N4538="","",INPUT!N4538)</f>
        <v/>
      </c>
      <c r="G4543" cm="1">
        <f t="array" ref="G4543">IFERROR(VLOOKUP(INPUT!M4538&amp;INPUT!N4538,CHOOSE({1,2},INPUT!$A$3:$A$5000&amp;INPUT!$C$3:$C$5000,INPUT!$F$3:$F$5000),2,FALSE),"")</f>
        <v>0</v>
      </c>
      <c r="H4543" cm="1">
        <f t="array" ref="H4543">IFERROR(VLOOKUP(INPUT!M4538&amp;INPUT!N4538,CHOOSE({1,2},INPUT!$A$3:$A$5000&amp;INPUT!$C$3:$C$5000,INPUT!$D$3:$D$5000),2,FALSE),"")</f>
        <v>0</v>
      </c>
      <c r="I4543" s="46" t="str">
        <f>IF(INPUT!P4538="","",INPUT!P4538)</f>
        <v/>
      </c>
      <c r="J4543" s="46" t="str">
        <f>IF(INPUT!Q4538="","",INPUT!Q4538)</f>
        <v/>
      </c>
      <c r="K4543" s="46" t="str">
        <f>IFERROR(IF(OR(INPUT!P4538="",INPUT!Q4538=""),"",INPUT!P4538-INPUT!Q4538),"")</f>
        <v/>
      </c>
      <c r="L4543" s="48" t="str">
        <f>IFERROR(IF(OR(INPUT!P4538="",INPUT!Q4538="",INPUT!P4538=0),"",(INPUT!P4538-INPUT!Q4538)/INPUT!P4538),"")</f>
        <v/>
      </c>
    </row>
    <row r="4544" spans="1:12" ht="18" hidden="1" customHeight="1" x14ac:dyDescent="0.2">
      <c r="A4544" s="11" t="str">
        <f>IF(INPUT!M4539="","",INPUT!M4539)</f>
        <v/>
      </c>
      <c r="B4544" s="11" t="str">
        <f>IF(INPUT!M4539="","",INPUT!M4539-WEEKDAY(INPUT!M4539,2)+1)</f>
        <v/>
      </c>
      <c r="C4544" s="20">
        <f>IFERROR(_xlfn.ISOWEEKNUM(INPUT!M4539),"")</f>
        <v>52</v>
      </c>
      <c r="D4544" s="20">
        <f>IFERROR(YEAR(INPUT!M4539),"")</f>
        <v>1900</v>
      </c>
      <c r="E4544" t="str">
        <f>IF(INPUT!O4539="","",INPUT!O4539)</f>
        <v/>
      </c>
      <c r="F4544" t="str">
        <f>IF(INPUT!N4539="","",INPUT!N4539)</f>
        <v/>
      </c>
      <c r="G4544" cm="1">
        <f t="array" ref="G4544">IFERROR(VLOOKUP(INPUT!M4539&amp;INPUT!N4539,CHOOSE({1,2},INPUT!$A$3:$A$5000&amp;INPUT!$C$3:$C$5000,INPUT!$F$3:$F$5000),2,FALSE),"")</f>
        <v>0</v>
      </c>
      <c r="H4544" cm="1">
        <f t="array" ref="H4544">IFERROR(VLOOKUP(INPUT!M4539&amp;INPUT!N4539,CHOOSE({1,2},INPUT!$A$3:$A$5000&amp;INPUT!$C$3:$C$5000,INPUT!$D$3:$D$5000),2,FALSE),"")</f>
        <v>0</v>
      </c>
      <c r="I4544" s="46" t="str">
        <f>IF(INPUT!P4539="","",INPUT!P4539)</f>
        <v/>
      </c>
      <c r="J4544" s="46" t="str">
        <f>IF(INPUT!Q4539="","",INPUT!Q4539)</f>
        <v/>
      </c>
      <c r="K4544" s="46" t="str">
        <f>IFERROR(IF(OR(INPUT!P4539="",INPUT!Q4539=""),"",INPUT!P4539-INPUT!Q4539),"")</f>
        <v/>
      </c>
      <c r="L4544" s="48" t="str">
        <f>IFERROR(IF(OR(INPUT!P4539="",INPUT!Q4539="",INPUT!P4539=0),"",(INPUT!P4539-INPUT!Q4539)/INPUT!P4539),"")</f>
        <v/>
      </c>
    </row>
    <row r="4545" spans="1:12" ht="18" hidden="1" customHeight="1" x14ac:dyDescent="0.2">
      <c r="A4545" s="11" t="str">
        <f>IF(INPUT!M4540="","",INPUT!M4540)</f>
        <v/>
      </c>
      <c r="B4545" s="11" t="str">
        <f>IF(INPUT!M4540="","",INPUT!M4540-WEEKDAY(INPUT!M4540,2)+1)</f>
        <v/>
      </c>
      <c r="C4545" s="20">
        <f>IFERROR(_xlfn.ISOWEEKNUM(INPUT!M4540),"")</f>
        <v>52</v>
      </c>
      <c r="D4545" s="20">
        <f>IFERROR(YEAR(INPUT!M4540),"")</f>
        <v>1900</v>
      </c>
      <c r="E4545" t="str">
        <f>IF(INPUT!O4540="","",INPUT!O4540)</f>
        <v/>
      </c>
      <c r="F4545" t="str">
        <f>IF(INPUT!N4540="","",INPUT!N4540)</f>
        <v/>
      </c>
      <c r="G4545" cm="1">
        <f t="array" ref="G4545">IFERROR(VLOOKUP(INPUT!M4540&amp;INPUT!N4540,CHOOSE({1,2},INPUT!$A$3:$A$5000&amp;INPUT!$C$3:$C$5000,INPUT!$F$3:$F$5000),2,FALSE),"")</f>
        <v>0</v>
      </c>
      <c r="H4545" cm="1">
        <f t="array" ref="H4545">IFERROR(VLOOKUP(INPUT!M4540&amp;INPUT!N4540,CHOOSE({1,2},INPUT!$A$3:$A$5000&amp;INPUT!$C$3:$C$5000,INPUT!$D$3:$D$5000),2,FALSE),"")</f>
        <v>0</v>
      </c>
      <c r="I4545" s="46" t="str">
        <f>IF(INPUT!P4540="","",INPUT!P4540)</f>
        <v/>
      </c>
      <c r="J4545" s="46" t="str">
        <f>IF(INPUT!Q4540="","",INPUT!Q4540)</f>
        <v/>
      </c>
      <c r="K4545" s="46" t="str">
        <f>IFERROR(IF(OR(INPUT!P4540="",INPUT!Q4540=""),"",INPUT!P4540-INPUT!Q4540),"")</f>
        <v/>
      </c>
      <c r="L4545" s="48" t="str">
        <f>IFERROR(IF(OR(INPUT!P4540="",INPUT!Q4540="",INPUT!P4540=0),"",(INPUT!P4540-INPUT!Q4540)/INPUT!P4540),"")</f>
        <v/>
      </c>
    </row>
    <row r="4546" spans="1:12" ht="18" hidden="1" customHeight="1" x14ac:dyDescent="0.2">
      <c r="A4546" s="11" t="str">
        <f>IF(INPUT!M4541="","",INPUT!M4541)</f>
        <v/>
      </c>
      <c r="B4546" s="11" t="str">
        <f>IF(INPUT!M4541="","",INPUT!M4541-WEEKDAY(INPUT!M4541,2)+1)</f>
        <v/>
      </c>
      <c r="C4546" s="20">
        <f>IFERROR(_xlfn.ISOWEEKNUM(INPUT!M4541),"")</f>
        <v>52</v>
      </c>
      <c r="D4546" s="20">
        <f>IFERROR(YEAR(INPUT!M4541),"")</f>
        <v>1900</v>
      </c>
      <c r="E4546" t="str">
        <f>IF(INPUT!O4541="","",INPUT!O4541)</f>
        <v/>
      </c>
      <c r="F4546" t="str">
        <f>IF(INPUT!N4541="","",INPUT!N4541)</f>
        <v/>
      </c>
      <c r="G4546" cm="1">
        <f t="array" ref="G4546">IFERROR(VLOOKUP(INPUT!M4541&amp;INPUT!N4541,CHOOSE({1,2},INPUT!$A$3:$A$5000&amp;INPUT!$C$3:$C$5000,INPUT!$F$3:$F$5000),2,FALSE),"")</f>
        <v>0</v>
      </c>
      <c r="H4546" cm="1">
        <f t="array" ref="H4546">IFERROR(VLOOKUP(INPUT!M4541&amp;INPUT!N4541,CHOOSE({1,2},INPUT!$A$3:$A$5000&amp;INPUT!$C$3:$C$5000,INPUT!$D$3:$D$5000),2,FALSE),"")</f>
        <v>0</v>
      </c>
      <c r="I4546" s="46" t="str">
        <f>IF(INPUT!P4541="","",INPUT!P4541)</f>
        <v/>
      </c>
      <c r="J4546" s="46" t="str">
        <f>IF(INPUT!Q4541="","",INPUT!Q4541)</f>
        <v/>
      </c>
      <c r="K4546" s="46" t="str">
        <f>IFERROR(IF(OR(INPUT!P4541="",INPUT!Q4541=""),"",INPUT!P4541-INPUT!Q4541),"")</f>
        <v/>
      </c>
      <c r="L4546" s="48" t="str">
        <f>IFERROR(IF(OR(INPUT!P4541="",INPUT!Q4541="",INPUT!P4541=0),"",(INPUT!P4541-INPUT!Q4541)/INPUT!P4541),"")</f>
        <v/>
      </c>
    </row>
    <row r="4547" spans="1:12" ht="18" hidden="1" customHeight="1" x14ac:dyDescent="0.2">
      <c r="A4547" s="11" t="str">
        <f>IF(INPUT!M4542="","",INPUT!M4542)</f>
        <v/>
      </c>
      <c r="B4547" s="11" t="str">
        <f>IF(INPUT!M4542="","",INPUT!M4542-WEEKDAY(INPUT!M4542,2)+1)</f>
        <v/>
      </c>
      <c r="C4547" s="20">
        <f>IFERROR(_xlfn.ISOWEEKNUM(INPUT!M4542),"")</f>
        <v>52</v>
      </c>
      <c r="D4547" s="20">
        <f>IFERROR(YEAR(INPUT!M4542),"")</f>
        <v>1900</v>
      </c>
      <c r="E4547" t="str">
        <f>IF(INPUT!O4542="","",INPUT!O4542)</f>
        <v/>
      </c>
      <c r="F4547" t="str">
        <f>IF(INPUT!N4542="","",INPUT!N4542)</f>
        <v/>
      </c>
      <c r="G4547" cm="1">
        <f t="array" ref="G4547">IFERROR(VLOOKUP(INPUT!M4542&amp;INPUT!N4542,CHOOSE({1,2},INPUT!$A$3:$A$5000&amp;INPUT!$C$3:$C$5000,INPUT!$F$3:$F$5000),2,FALSE),"")</f>
        <v>0</v>
      </c>
      <c r="H4547" cm="1">
        <f t="array" ref="H4547">IFERROR(VLOOKUP(INPUT!M4542&amp;INPUT!N4542,CHOOSE({1,2},INPUT!$A$3:$A$5000&amp;INPUT!$C$3:$C$5000,INPUT!$D$3:$D$5000),2,FALSE),"")</f>
        <v>0</v>
      </c>
      <c r="I4547" s="46" t="str">
        <f>IF(INPUT!P4542="","",INPUT!P4542)</f>
        <v/>
      </c>
      <c r="J4547" s="46" t="str">
        <f>IF(INPUT!Q4542="","",INPUT!Q4542)</f>
        <v/>
      </c>
      <c r="K4547" s="46" t="str">
        <f>IFERROR(IF(OR(INPUT!P4542="",INPUT!Q4542=""),"",INPUT!P4542-INPUT!Q4542),"")</f>
        <v/>
      </c>
      <c r="L4547" s="48" t="str">
        <f>IFERROR(IF(OR(INPUT!P4542="",INPUT!Q4542="",INPUT!P4542=0),"",(INPUT!P4542-INPUT!Q4542)/INPUT!P4542),"")</f>
        <v/>
      </c>
    </row>
    <row r="4548" spans="1:12" ht="18" hidden="1" customHeight="1" x14ac:dyDescent="0.2">
      <c r="A4548" s="11" t="str">
        <f>IF(INPUT!M4543="","",INPUT!M4543)</f>
        <v/>
      </c>
      <c r="B4548" s="11" t="str">
        <f>IF(INPUT!M4543="","",INPUT!M4543-WEEKDAY(INPUT!M4543,2)+1)</f>
        <v/>
      </c>
      <c r="C4548" s="20">
        <f>IFERROR(_xlfn.ISOWEEKNUM(INPUT!M4543),"")</f>
        <v>52</v>
      </c>
      <c r="D4548" s="20">
        <f>IFERROR(YEAR(INPUT!M4543),"")</f>
        <v>1900</v>
      </c>
      <c r="E4548" t="str">
        <f>IF(INPUT!O4543="","",INPUT!O4543)</f>
        <v/>
      </c>
      <c r="F4548" t="str">
        <f>IF(INPUT!N4543="","",INPUT!N4543)</f>
        <v/>
      </c>
      <c r="G4548" cm="1">
        <f t="array" ref="G4548">IFERROR(VLOOKUP(INPUT!M4543&amp;INPUT!N4543,CHOOSE({1,2},INPUT!$A$3:$A$5000&amp;INPUT!$C$3:$C$5000,INPUT!$F$3:$F$5000),2,FALSE),"")</f>
        <v>0</v>
      </c>
      <c r="H4548" cm="1">
        <f t="array" ref="H4548">IFERROR(VLOOKUP(INPUT!M4543&amp;INPUT!N4543,CHOOSE({1,2},INPUT!$A$3:$A$5000&amp;INPUT!$C$3:$C$5000,INPUT!$D$3:$D$5000),2,FALSE),"")</f>
        <v>0</v>
      </c>
      <c r="I4548" s="46" t="str">
        <f>IF(INPUT!P4543="","",INPUT!P4543)</f>
        <v/>
      </c>
      <c r="J4548" s="46" t="str">
        <f>IF(INPUT!Q4543="","",INPUT!Q4543)</f>
        <v/>
      </c>
      <c r="K4548" s="46" t="str">
        <f>IFERROR(IF(OR(INPUT!P4543="",INPUT!Q4543=""),"",INPUT!P4543-INPUT!Q4543),"")</f>
        <v/>
      </c>
      <c r="L4548" s="48" t="str">
        <f>IFERROR(IF(OR(INPUT!P4543="",INPUT!Q4543="",INPUT!P4543=0),"",(INPUT!P4543-INPUT!Q4543)/INPUT!P4543),"")</f>
        <v/>
      </c>
    </row>
    <row r="4549" spans="1:12" ht="18" hidden="1" customHeight="1" x14ac:dyDescent="0.2">
      <c r="A4549" s="11" t="str">
        <f>IF(INPUT!M4544="","",INPUT!M4544)</f>
        <v/>
      </c>
      <c r="B4549" s="11" t="str">
        <f>IF(INPUT!M4544="","",INPUT!M4544-WEEKDAY(INPUT!M4544,2)+1)</f>
        <v/>
      </c>
      <c r="C4549" s="20">
        <f>IFERROR(_xlfn.ISOWEEKNUM(INPUT!M4544),"")</f>
        <v>52</v>
      </c>
      <c r="D4549" s="20">
        <f>IFERROR(YEAR(INPUT!M4544),"")</f>
        <v>1900</v>
      </c>
      <c r="E4549" t="str">
        <f>IF(INPUT!O4544="","",INPUT!O4544)</f>
        <v/>
      </c>
      <c r="F4549" t="str">
        <f>IF(INPUT!N4544="","",INPUT!N4544)</f>
        <v/>
      </c>
      <c r="G4549" cm="1">
        <f t="array" ref="G4549">IFERROR(VLOOKUP(INPUT!M4544&amp;INPUT!N4544,CHOOSE({1,2},INPUT!$A$3:$A$5000&amp;INPUT!$C$3:$C$5000,INPUT!$F$3:$F$5000),2,FALSE),"")</f>
        <v>0</v>
      </c>
      <c r="H4549" cm="1">
        <f t="array" ref="H4549">IFERROR(VLOOKUP(INPUT!M4544&amp;INPUT!N4544,CHOOSE({1,2},INPUT!$A$3:$A$5000&amp;INPUT!$C$3:$C$5000,INPUT!$D$3:$D$5000),2,FALSE),"")</f>
        <v>0</v>
      </c>
      <c r="I4549" s="46" t="str">
        <f>IF(INPUT!P4544="","",INPUT!P4544)</f>
        <v/>
      </c>
      <c r="J4549" s="46" t="str">
        <f>IF(INPUT!Q4544="","",INPUT!Q4544)</f>
        <v/>
      </c>
      <c r="K4549" s="46" t="str">
        <f>IFERROR(IF(OR(INPUT!P4544="",INPUT!Q4544=""),"",INPUT!P4544-INPUT!Q4544),"")</f>
        <v/>
      </c>
      <c r="L4549" s="48" t="str">
        <f>IFERROR(IF(OR(INPUT!P4544="",INPUT!Q4544="",INPUT!P4544=0),"",(INPUT!P4544-INPUT!Q4544)/INPUT!P4544),"")</f>
        <v/>
      </c>
    </row>
    <row r="4550" spans="1:12" ht="18" hidden="1" customHeight="1" x14ac:dyDescent="0.2">
      <c r="A4550" s="11" t="str">
        <f>IF(INPUT!M4545="","",INPUT!M4545)</f>
        <v/>
      </c>
      <c r="B4550" s="11" t="str">
        <f>IF(INPUT!M4545="","",INPUT!M4545-WEEKDAY(INPUT!M4545,2)+1)</f>
        <v/>
      </c>
      <c r="C4550" s="20">
        <f>IFERROR(_xlfn.ISOWEEKNUM(INPUT!M4545),"")</f>
        <v>52</v>
      </c>
      <c r="D4550" s="20">
        <f>IFERROR(YEAR(INPUT!M4545),"")</f>
        <v>1900</v>
      </c>
      <c r="E4550" t="str">
        <f>IF(INPUT!O4545="","",INPUT!O4545)</f>
        <v/>
      </c>
      <c r="F4550" t="str">
        <f>IF(INPUT!N4545="","",INPUT!N4545)</f>
        <v/>
      </c>
      <c r="G4550" cm="1">
        <f t="array" ref="G4550">IFERROR(VLOOKUP(INPUT!M4545&amp;INPUT!N4545,CHOOSE({1,2},INPUT!$A$3:$A$5000&amp;INPUT!$C$3:$C$5000,INPUT!$F$3:$F$5000),2,FALSE),"")</f>
        <v>0</v>
      </c>
      <c r="H4550" cm="1">
        <f t="array" ref="H4550">IFERROR(VLOOKUP(INPUT!M4545&amp;INPUT!N4545,CHOOSE({1,2},INPUT!$A$3:$A$5000&amp;INPUT!$C$3:$C$5000,INPUT!$D$3:$D$5000),2,FALSE),"")</f>
        <v>0</v>
      </c>
      <c r="I4550" s="46" t="str">
        <f>IF(INPUT!P4545="","",INPUT!P4545)</f>
        <v/>
      </c>
      <c r="J4550" s="46" t="str">
        <f>IF(INPUT!Q4545="","",INPUT!Q4545)</f>
        <v/>
      </c>
      <c r="K4550" s="46" t="str">
        <f>IFERROR(IF(OR(INPUT!P4545="",INPUT!Q4545=""),"",INPUT!P4545-INPUT!Q4545),"")</f>
        <v/>
      </c>
      <c r="L4550" s="48" t="str">
        <f>IFERROR(IF(OR(INPUT!P4545="",INPUT!Q4545="",INPUT!P4545=0),"",(INPUT!P4545-INPUT!Q4545)/INPUT!P4545),"")</f>
        <v/>
      </c>
    </row>
    <row r="4551" spans="1:12" ht="18" hidden="1" customHeight="1" x14ac:dyDescent="0.2">
      <c r="A4551" s="11" t="str">
        <f>IF(INPUT!M4546="","",INPUT!M4546)</f>
        <v/>
      </c>
      <c r="B4551" s="11" t="str">
        <f>IF(INPUT!M4546="","",INPUT!M4546-WEEKDAY(INPUT!M4546,2)+1)</f>
        <v/>
      </c>
      <c r="C4551" s="20">
        <f>IFERROR(_xlfn.ISOWEEKNUM(INPUT!M4546),"")</f>
        <v>52</v>
      </c>
      <c r="D4551" s="20">
        <f>IFERROR(YEAR(INPUT!M4546),"")</f>
        <v>1900</v>
      </c>
      <c r="E4551" t="str">
        <f>IF(INPUT!O4546="","",INPUT!O4546)</f>
        <v/>
      </c>
      <c r="F4551" t="str">
        <f>IF(INPUT!N4546="","",INPUT!N4546)</f>
        <v/>
      </c>
      <c r="G4551" cm="1">
        <f t="array" ref="G4551">IFERROR(VLOOKUP(INPUT!M4546&amp;INPUT!N4546,CHOOSE({1,2},INPUT!$A$3:$A$5000&amp;INPUT!$C$3:$C$5000,INPUT!$F$3:$F$5000),2,FALSE),"")</f>
        <v>0</v>
      </c>
      <c r="H4551" cm="1">
        <f t="array" ref="H4551">IFERROR(VLOOKUP(INPUT!M4546&amp;INPUT!N4546,CHOOSE({1,2},INPUT!$A$3:$A$5000&amp;INPUT!$C$3:$C$5000,INPUT!$D$3:$D$5000),2,FALSE),"")</f>
        <v>0</v>
      </c>
      <c r="I4551" s="46" t="str">
        <f>IF(INPUT!P4546="","",INPUT!P4546)</f>
        <v/>
      </c>
      <c r="J4551" s="46" t="str">
        <f>IF(INPUT!Q4546="","",INPUT!Q4546)</f>
        <v/>
      </c>
      <c r="K4551" s="46" t="str">
        <f>IFERROR(IF(OR(INPUT!P4546="",INPUT!Q4546=""),"",INPUT!P4546-INPUT!Q4546),"")</f>
        <v/>
      </c>
      <c r="L4551" s="48" t="str">
        <f>IFERROR(IF(OR(INPUT!P4546="",INPUT!Q4546="",INPUT!P4546=0),"",(INPUT!P4546-INPUT!Q4546)/INPUT!P4546),"")</f>
        <v/>
      </c>
    </row>
    <row r="4552" spans="1:12" ht="18" hidden="1" customHeight="1" x14ac:dyDescent="0.2">
      <c r="A4552" s="11" t="str">
        <f>IF(INPUT!M4547="","",INPUT!M4547)</f>
        <v/>
      </c>
      <c r="B4552" s="11" t="str">
        <f>IF(INPUT!M4547="","",INPUT!M4547-WEEKDAY(INPUT!M4547,2)+1)</f>
        <v/>
      </c>
      <c r="C4552" s="20">
        <f>IFERROR(_xlfn.ISOWEEKNUM(INPUT!M4547),"")</f>
        <v>52</v>
      </c>
      <c r="D4552" s="20">
        <f>IFERROR(YEAR(INPUT!M4547),"")</f>
        <v>1900</v>
      </c>
      <c r="E4552" t="str">
        <f>IF(INPUT!O4547="","",INPUT!O4547)</f>
        <v/>
      </c>
      <c r="F4552" t="str">
        <f>IF(INPUT!N4547="","",INPUT!N4547)</f>
        <v/>
      </c>
      <c r="G4552" cm="1">
        <f t="array" ref="G4552">IFERROR(VLOOKUP(INPUT!M4547&amp;INPUT!N4547,CHOOSE({1,2},INPUT!$A$3:$A$5000&amp;INPUT!$C$3:$C$5000,INPUT!$F$3:$F$5000),2,FALSE),"")</f>
        <v>0</v>
      </c>
      <c r="H4552" cm="1">
        <f t="array" ref="H4552">IFERROR(VLOOKUP(INPUT!M4547&amp;INPUT!N4547,CHOOSE({1,2},INPUT!$A$3:$A$5000&amp;INPUT!$C$3:$C$5000,INPUT!$D$3:$D$5000),2,FALSE),"")</f>
        <v>0</v>
      </c>
      <c r="I4552" s="46" t="str">
        <f>IF(INPUT!P4547="","",INPUT!P4547)</f>
        <v/>
      </c>
      <c r="J4552" s="46" t="str">
        <f>IF(INPUT!Q4547="","",INPUT!Q4547)</f>
        <v/>
      </c>
      <c r="K4552" s="46" t="str">
        <f>IFERROR(IF(OR(INPUT!P4547="",INPUT!Q4547=""),"",INPUT!P4547-INPUT!Q4547),"")</f>
        <v/>
      </c>
      <c r="L4552" s="48" t="str">
        <f>IFERROR(IF(OR(INPUT!P4547="",INPUT!Q4547="",INPUT!P4547=0),"",(INPUT!P4547-INPUT!Q4547)/INPUT!P4547),"")</f>
        <v/>
      </c>
    </row>
    <row r="4553" spans="1:12" ht="18" hidden="1" customHeight="1" x14ac:dyDescent="0.2">
      <c r="A4553" s="11" t="str">
        <f>IF(INPUT!M4548="","",INPUT!M4548)</f>
        <v/>
      </c>
      <c r="B4553" s="11" t="str">
        <f>IF(INPUT!M4548="","",INPUT!M4548-WEEKDAY(INPUT!M4548,2)+1)</f>
        <v/>
      </c>
      <c r="C4553" s="20">
        <f>IFERROR(_xlfn.ISOWEEKNUM(INPUT!M4548),"")</f>
        <v>52</v>
      </c>
      <c r="D4553" s="20">
        <f>IFERROR(YEAR(INPUT!M4548),"")</f>
        <v>1900</v>
      </c>
      <c r="E4553" t="str">
        <f>IF(INPUT!O4548="","",INPUT!O4548)</f>
        <v/>
      </c>
      <c r="F4553" t="str">
        <f>IF(INPUT!N4548="","",INPUT!N4548)</f>
        <v/>
      </c>
      <c r="G4553" cm="1">
        <f t="array" ref="G4553">IFERROR(VLOOKUP(INPUT!M4548&amp;INPUT!N4548,CHOOSE({1,2},INPUT!$A$3:$A$5000&amp;INPUT!$C$3:$C$5000,INPUT!$F$3:$F$5000),2,FALSE),"")</f>
        <v>0</v>
      </c>
      <c r="H4553" cm="1">
        <f t="array" ref="H4553">IFERROR(VLOOKUP(INPUT!M4548&amp;INPUT!N4548,CHOOSE({1,2},INPUT!$A$3:$A$5000&amp;INPUT!$C$3:$C$5000,INPUT!$D$3:$D$5000),2,FALSE),"")</f>
        <v>0</v>
      </c>
      <c r="I4553" s="46" t="str">
        <f>IF(INPUT!P4548="","",INPUT!P4548)</f>
        <v/>
      </c>
      <c r="J4553" s="46" t="str">
        <f>IF(INPUT!Q4548="","",INPUT!Q4548)</f>
        <v/>
      </c>
      <c r="K4553" s="46" t="str">
        <f>IFERROR(IF(OR(INPUT!P4548="",INPUT!Q4548=""),"",INPUT!P4548-INPUT!Q4548),"")</f>
        <v/>
      </c>
      <c r="L4553" s="48" t="str">
        <f>IFERROR(IF(OR(INPUT!P4548="",INPUT!Q4548="",INPUT!P4548=0),"",(INPUT!P4548-INPUT!Q4548)/INPUT!P4548),"")</f>
        <v/>
      </c>
    </row>
    <row r="4554" spans="1:12" ht="18" hidden="1" customHeight="1" x14ac:dyDescent="0.2">
      <c r="A4554" s="11" t="str">
        <f>IF(INPUT!M4549="","",INPUT!M4549)</f>
        <v/>
      </c>
      <c r="B4554" s="11" t="str">
        <f>IF(INPUT!M4549="","",INPUT!M4549-WEEKDAY(INPUT!M4549,2)+1)</f>
        <v/>
      </c>
      <c r="C4554" s="20">
        <f>IFERROR(_xlfn.ISOWEEKNUM(INPUT!M4549),"")</f>
        <v>52</v>
      </c>
      <c r="D4554" s="20">
        <f>IFERROR(YEAR(INPUT!M4549),"")</f>
        <v>1900</v>
      </c>
      <c r="E4554" t="str">
        <f>IF(INPUT!O4549="","",INPUT!O4549)</f>
        <v/>
      </c>
      <c r="F4554" t="str">
        <f>IF(INPUT!N4549="","",INPUT!N4549)</f>
        <v/>
      </c>
      <c r="G4554" cm="1">
        <f t="array" ref="G4554">IFERROR(VLOOKUP(INPUT!M4549&amp;INPUT!N4549,CHOOSE({1,2},INPUT!$A$3:$A$5000&amp;INPUT!$C$3:$C$5000,INPUT!$F$3:$F$5000),2,FALSE),"")</f>
        <v>0</v>
      </c>
      <c r="H4554" cm="1">
        <f t="array" ref="H4554">IFERROR(VLOOKUP(INPUT!M4549&amp;INPUT!N4549,CHOOSE({1,2},INPUT!$A$3:$A$5000&amp;INPUT!$C$3:$C$5000,INPUT!$D$3:$D$5000),2,FALSE),"")</f>
        <v>0</v>
      </c>
      <c r="I4554" s="46" t="str">
        <f>IF(INPUT!P4549="","",INPUT!P4549)</f>
        <v/>
      </c>
      <c r="J4554" s="46" t="str">
        <f>IF(INPUT!Q4549="","",INPUT!Q4549)</f>
        <v/>
      </c>
      <c r="K4554" s="46" t="str">
        <f>IFERROR(IF(OR(INPUT!P4549="",INPUT!Q4549=""),"",INPUT!P4549-INPUT!Q4549),"")</f>
        <v/>
      </c>
      <c r="L4554" s="48" t="str">
        <f>IFERROR(IF(OR(INPUT!P4549="",INPUT!Q4549="",INPUT!P4549=0),"",(INPUT!P4549-INPUT!Q4549)/INPUT!P4549),"")</f>
        <v/>
      </c>
    </row>
    <row r="4555" spans="1:12" ht="18" hidden="1" customHeight="1" x14ac:dyDescent="0.2">
      <c r="A4555" s="11" t="str">
        <f>IF(INPUT!M4550="","",INPUT!M4550)</f>
        <v/>
      </c>
      <c r="B4555" s="11" t="str">
        <f>IF(INPUT!M4550="","",INPUT!M4550-WEEKDAY(INPUT!M4550,2)+1)</f>
        <v/>
      </c>
      <c r="C4555" s="20">
        <f>IFERROR(_xlfn.ISOWEEKNUM(INPUT!M4550),"")</f>
        <v>52</v>
      </c>
      <c r="D4555" s="20">
        <f>IFERROR(YEAR(INPUT!M4550),"")</f>
        <v>1900</v>
      </c>
      <c r="E4555" t="str">
        <f>IF(INPUT!O4550="","",INPUT!O4550)</f>
        <v/>
      </c>
      <c r="F4555" t="str">
        <f>IF(INPUT!N4550="","",INPUT!N4550)</f>
        <v/>
      </c>
      <c r="G4555" cm="1">
        <f t="array" ref="G4555">IFERROR(VLOOKUP(INPUT!M4550&amp;INPUT!N4550,CHOOSE({1,2},INPUT!$A$3:$A$5000&amp;INPUT!$C$3:$C$5000,INPUT!$F$3:$F$5000),2,FALSE),"")</f>
        <v>0</v>
      </c>
      <c r="H4555" cm="1">
        <f t="array" ref="H4555">IFERROR(VLOOKUP(INPUT!M4550&amp;INPUT!N4550,CHOOSE({1,2},INPUT!$A$3:$A$5000&amp;INPUT!$C$3:$C$5000,INPUT!$D$3:$D$5000),2,FALSE),"")</f>
        <v>0</v>
      </c>
      <c r="I4555" s="46" t="str">
        <f>IF(INPUT!P4550="","",INPUT!P4550)</f>
        <v/>
      </c>
      <c r="J4555" s="46" t="str">
        <f>IF(INPUT!Q4550="","",INPUT!Q4550)</f>
        <v/>
      </c>
      <c r="K4555" s="46" t="str">
        <f>IFERROR(IF(OR(INPUT!P4550="",INPUT!Q4550=""),"",INPUT!P4550-INPUT!Q4550),"")</f>
        <v/>
      </c>
      <c r="L4555" s="48" t="str">
        <f>IFERROR(IF(OR(INPUT!P4550="",INPUT!Q4550="",INPUT!P4550=0),"",(INPUT!P4550-INPUT!Q4550)/INPUT!P4550),"")</f>
        <v/>
      </c>
    </row>
    <row r="4556" spans="1:12" ht="18" hidden="1" customHeight="1" x14ac:dyDescent="0.2">
      <c r="A4556" s="11" t="str">
        <f>IF(INPUT!M4551="","",INPUT!M4551)</f>
        <v/>
      </c>
      <c r="B4556" s="11" t="str">
        <f>IF(INPUT!M4551="","",INPUT!M4551-WEEKDAY(INPUT!M4551,2)+1)</f>
        <v/>
      </c>
      <c r="C4556" s="20">
        <f>IFERROR(_xlfn.ISOWEEKNUM(INPUT!M4551),"")</f>
        <v>52</v>
      </c>
      <c r="D4556" s="20">
        <f>IFERROR(YEAR(INPUT!M4551),"")</f>
        <v>1900</v>
      </c>
      <c r="E4556" t="str">
        <f>IF(INPUT!O4551="","",INPUT!O4551)</f>
        <v/>
      </c>
      <c r="F4556" t="str">
        <f>IF(INPUT!N4551="","",INPUT!N4551)</f>
        <v/>
      </c>
      <c r="G4556" cm="1">
        <f t="array" ref="G4556">IFERROR(VLOOKUP(INPUT!M4551&amp;INPUT!N4551,CHOOSE({1,2},INPUT!$A$3:$A$5000&amp;INPUT!$C$3:$C$5000,INPUT!$F$3:$F$5000),2,FALSE),"")</f>
        <v>0</v>
      </c>
      <c r="H4556" cm="1">
        <f t="array" ref="H4556">IFERROR(VLOOKUP(INPUT!M4551&amp;INPUT!N4551,CHOOSE({1,2},INPUT!$A$3:$A$5000&amp;INPUT!$C$3:$C$5000,INPUT!$D$3:$D$5000),2,FALSE),"")</f>
        <v>0</v>
      </c>
      <c r="I4556" s="46" t="str">
        <f>IF(INPUT!P4551="","",INPUT!P4551)</f>
        <v/>
      </c>
      <c r="J4556" s="46" t="str">
        <f>IF(INPUT!Q4551="","",INPUT!Q4551)</f>
        <v/>
      </c>
      <c r="K4556" s="46" t="str">
        <f>IFERROR(IF(OR(INPUT!P4551="",INPUT!Q4551=""),"",INPUT!P4551-INPUT!Q4551),"")</f>
        <v/>
      </c>
      <c r="L4556" s="48" t="str">
        <f>IFERROR(IF(OR(INPUT!P4551="",INPUT!Q4551="",INPUT!P4551=0),"",(INPUT!P4551-INPUT!Q4551)/INPUT!P4551),"")</f>
        <v/>
      </c>
    </row>
    <row r="4557" spans="1:12" ht="18" hidden="1" customHeight="1" x14ac:dyDescent="0.2">
      <c r="A4557" s="11" t="str">
        <f>IF(INPUT!M4552="","",INPUT!M4552)</f>
        <v/>
      </c>
      <c r="B4557" s="11" t="str">
        <f>IF(INPUT!M4552="","",INPUT!M4552-WEEKDAY(INPUT!M4552,2)+1)</f>
        <v/>
      </c>
      <c r="C4557" s="20">
        <f>IFERROR(_xlfn.ISOWEEKNUM(INPUT!M4552),"")</f>
        <v>52</v>
      </c>
      <c r="D4557" s="20">
        <f>IFERROR(YEAR(INPUT!M4552),"")</f>
        <v>1900</v>
      </c>
      <c r="E4557" t="str">
        <f>IF(INPUT!O4552="","",INPUT!O4552)</f>
        <v/>
      </c>
      <c r="F4557" t="str">
        <f>IF(INPUT!N4552="","",INPUT!N4552)</f>
        <v/>
      </c>
      <c r="G4557" cm="1">
        <f t="array" ref="G4557">IFERROR(VLOOKUP(INPUT!M4552&amp;INPUT!N4552,CHOOSE({1,2},INPUT!$A$3:$A$5000&amp;INPUT!$C$3:$C$5000,INPUT!$F$3:$F$5000),2,FALSE),"")</f>
        <v>0</v>
      </c>
      <c r="H4557" cm="1">
        <f t="array" ref="H4557">IFERROR(VLOOKUP(INPUT!M4552&amp;INPUT!N4552,CHOOSE({1,2},INPUT!$A$3:$A$5000&amp;INPUT!$C$3:$C$5000,INPUT!$D$3:$D$5000),2,FALSE),"")</f>
        <v>0</v>
      </c>
      <c r="I4557" s="46" t="str">
        <f>IF(INPUT!P4552="","",INPUT!P4552)</f>
        <v/>
      </c>
      <c r="J4557" s="46" t="str">
        <f>IF(INPUT!Q4552="","",INPUT!Q4552)</f>
        <v/>
      </c>
      <c r="K4557" s="46" t="str">
        <f>IFERROR(IF(OR(INPUT!P4552="",INPUT!Q4552=""),"",INPUT!P4552-INPUT!Q4552),"")</f>
        <v/>
      </c>
      <c r="L4557" s="48" t="str">
        <f>IFERROR(IF(OR(INPUT!P4552="",INPUT!Q4552="",INPUT!P4552=0),"",(INPUT!P4552-INPUT!Q4552)/INPUT!P4552),"")</f>
        <v/>
      </c>
    </row>
    <row r="4558" spans="1:12" ht="18" hidden="1" customHeight="1" x14ac:dyDescent="0.2">
      <c r="A4558" s="11" t="str">
        <f>IF(INPUT!M4553="","",INPUT!M4553)</f>
        <v/>
      </c>
      <c r="B4558" s="11" t="str">
        <f>IF(INPUT!M4553="","",INPUT!M4553-WEEKDAY(INPUT!M4553,2)+1)</f>
        <v/>
      </c>
      <c r="C4558" s="20">
        <f>IFERROR(_xlfn.ISOWEEKNUM(INPUT!M4553),"")</f>
        <v>52</v>
      </c>
      <c r="D4558" s="20">
        <f>IFERROR(YEAR(INPUT!M4553),"")</f>
        <v>1900</v>
      </c>
      <c r="E4558" t="str">
        <f>IF(INPUT!O4553="","",INPUT!O4553)</f>
        <v/>
      </c>
      <c r="F4558" t="str">
        <f>IF(INPUT!N4553="","",INPUT!N4553)</f>
        <v/>
      </c>
      <c r="G4558" cm="1">
        <f t="array" ref="G4558">IFERROR(VLOOKUP(INPUT!M4553&amp;INPUT!N4553,CHOOSE({1,2},INPUT!$A$3:$A$5000&amp;INPUT!$C$3:$C$5000,INPUT!$F$3:$F$5000),2,FALSE),"")</f>
        <v>0</v>
      </c>
      <c r="H4558" cm="1">
        <f t="array" ref="H4558">IFERROR(VLOOKUP(INPUT!M4553&amp;INPUT!N4553,CHOOSE({1,2},INPUT!$A$3:$A$5000&amp;INPUT!$C$3:$C$5000,INPUT!$D$3:$D$5000),2,FALSE),"")</f>
        <v>0</v>
      </c>
      <c r="I4558" s="46" t="str">
        <f>IF(INPUT!P4553="","",INPUT!P4553)</f>
        <v/>
      </c>
      <c r="J4558" s="46" t="str">
        <f>IF(INPUT!Q4553="","",INPUT!Q4553)</f>
        <v/>
      </c>
      <c r="K4558" s="46" t="str">
        <f>IFERROR(IF(OR(INPUT!P4553="",INPUT!Q4553=""),"",INPUT!P4553-INPUT!Q4553),"")</f>
        <v/>
      </c>
      <c r="L4558" s="48" t="str">
        <f>IFERROR(IF(OR(INPUT!P4553="",INPUT!Q4553="",INPUT!P4553=0),"",(INPUT!P4553-INPUT!Q4553)/INPUT!P4553),"")</f>
        <v/>
      </c>
    </row>
    <row r="4559" spans="1:12" ht="18" hidden="1" customHeight="1" x14ac:dyDescent="0.2">
      <c r="A4559" s="11" t="str">
        <f>IF(INPUT!M4554="","",INPUT!M4554)</f>
        <v/>
      </c>
      <c r="B4559" s="11" t="str">
        <f>IF(INPUT!M4554="","",INPUT!M4554-WEEKDAY(INPUT!M4554,2)+1)</f>
        <v/>
      </c>
      <c r="C4559" s="20">
        <f>IFERROR(_xlfn.ISOWEEKNUM(INPUT!M4554),"")</f>
        <v>52</v>
      </c>
      <c r="D4559" s="20">
        <f>IFERROR(YEAR(INPUT!M4554),"")</f>
        <v>1900</v>
      </c>
      <c r="E4559" t="str">
        <f>IF(INPUT!O4554="","",INPUT!O4554)</f>
        <v/>
      </c>
      <c r="F4559" t="str">
        <f>IF(INPUT!N4554="","",INPUT!N4554)</f>
        <v/>
      </c>
      <c r="G4559" cm="1">
        <f t="array" ref="G4559">IFERROR(VLOOKUP(INPUT!M4554&amp;INPUT!N4554,CHOOSE({1,2},INPUT!$A$3:$A$5000&amp;INPUT!$C$3:$C$5000,INPUT!$F$3:$F$5000),2,FALSE),"")</f>
        <v>0</v>
      </c>
      <c r="H4559" cm="1">
        <f t="array" ref="H4559">IFERROR(VLOOKUP(INPUT!M4554&amp;INPUT!N4554,CHOOSE({1,2},INPUT!$A$3:$A$5000&amp;INPUT!$C$3:$C$5000,INPUT!$D$3:$D$5000),2,FALSE),"")</f>
        <v>0</v>
      </c>
      <c r="I4559" s="46" t="str">
        <f>IF(INPUT!P4554="","",INPUT!P4554)</f>
        <v/>
      </c>
      <c r="J4559" s="46" t="str">
        <f>IF(INPUT!Q4554="","",INPUT!Q4554)</f>
        <v/>
      </c>
      <c r="K4559" s="46" t="str">
        <f>IFERROR(IF(OR(INPUT!P4554="",INPUT!Q4554=""),"",INPUT!P4554-INPUT!Q4554),"")</f>
        <v/>
      </c>
      <c r="L4559" s="48" t="str">
        <f>IFERROR(IF(OR(INPUT!P4554="",INPUT!Q4554="",INPUT!P4554=0),"",(INPUT!P4554-INPUT!Q4554)/INPUT!P4554),"")</f>
        <v/>
      </c>
    </row>
    <row r="4560" spans="1:12" ht="18" hidden="1" customHeight="1" x14ac:dyDescent="0.2">
      <c r="A4560" s="11" t="str">
        <f>IF(INPUT!M4555="","",INPUT!M4555)</f>
        <v/>
      </c>
      <c r="B4560" s="11" t="str">
        <f>IF(INPUT!M4555="","",INPUT!M4555-WEEKDAY(INPUT!M4555,2)+1)</f>
        <v/>
      </c>
      <c r="C4560" s="20">
        <f>IFERROR(_xlfn.ISOWEEKNUM(INPUT!M4555),"")</f>
        <v>52</v>
      </c>
      <c r="D4560" s="20">
        <f>IFERROR(YEAR(INPUT!M4555),"")</f>
        <v>1900</v>
      </c>
      <c r="E4560" t="str">
        <f>IF(INPUT!O4555="","",INPUT!O4555)</f>
        <v/>
      </c>
      <c r="F4560" t="str">
        <f>IF(INPUT!N4555="","",INPUT!N4555)</f>
        <v/>
      </c>
      <c r="G4560" cm="1">
        <f t="array" ref="G4560">IFERROR(VLOOKUP(INPUT!M4555&amp;INPUT!N4555,CHOOSE({1,2},INPUT!$A$3:$A$5000&amp;INPUT!$C$3:$C$5000,INPUT!$F$3:$F$5000),2,FALSE),"")</f>
        <v>0</v>
      </c>
      <c r="H4560" cm="1">
        <f t="array" ref="H4560">IFERROR(VLOOKUP(INPUT!M4555&amp;INPUT!N4555,CHOOSE({1,2},INPUT!$A$3:$A$5000&amp;INPUT!$C$3:$C$5000,INPUT!$D$3:$D$5000),2,FALSE),"")</f>
        <v>0</v>
      </c>
      <c r="I4560" s="46" t="str">
        <f>IF(INPUT!P4555="","",INPUT!P4555)</f>
        <v/>
      </c>
      <c r="J4560" s="46" t="str">
        <f>IF(INPUT!Q4555="","",INPUT!Q4555)</f>
        <v/>
      </c>
      <c r="K4560" s="46" t="str">
        <f>IFERROR(IF(OR(INPUT!P4555="",INPUT!Q4555=""),"",INPUT!P4555-INPUT!Q4555),"")</f>
        <v/>
      </c>
      <c r="L4560" s="48" t="str">
        <f>IFERROR(IF(OR(INPUT!P4555="",INPUT!Q4555="",INPUT!P4555=0),"",(INPUT!P4555-INPUT!Q4555)/INPUT!P4555),"")</f>
        <v/>
      </c>
    </row>
    <row r="4561" spans="1:12" ht="18" hidden="1" customHeight="1" x14ac:dyDescent="0.2">
      <c r="A4561" s="11" t="str">
        <f>IF(INPUT!M4556="","",INPUT!M4556)</f>
        <v/>
      </c>
      <c r="B4561" s="11" t="str">
        <f>IF(INPUT!M4556="","",INPUT!M4556-WEEKDAY(INPUT!M4556,2)+1)</f>
        <v/>
      </c>
      <c r="C4561" s="20">
        <f>IFERROR(_xlfn.ISOWEEKNUM(INPUT!M4556),"")</f>
        <v>52</v>
      </c>
      <c r="D4561" s="20">
        <f>IFERROR(YEAR(INPUT!M4556),"")</f>
        <v>1900</v>
      </c>
      <c r="E4561" t="str">
        <f>IF(INPUT!O4556="","",INPUT!O4556)</f>
        <v/>
      </c>
      <c r="F4561" t="str">
        <f>IF(INPUT!N4556="","",INPUT!N4556)</f>
        <v/>
      </c>
      <c r="G4561" cm="1">
        <f t="array" ref="G4561">IFERROR(VLOOKUP(INPUT!M4556&amp;INPUT!N4556,CHOOSE({1,2},INPUT!$A$3:$A$5000&amp;INPUT!$C$3:$C$5000,INPUT!$F$3:$F$5000),2,FALSE),"")</f>
        <v>0</v>
      </c>
      <c r="H4561" cm="1">
        <f t="array" ref="H4561">IFERROR(VLOOKUP(INPUT!M4556&amp;INPUT!N4556,CHOOSE({1,2},INPUT!$A$3:$A$5000&amp;INPUT!$C$3:$C$5000,INPUT!$D$3:$D$5000),2,FALSE),"")</f>
        <v>0</v>
      </c>
      <c r="I4561" s="46" t="str">
        <f>IF(INPUT!P4556="","",INPUT!P4556)</f>
        <v/>
      </c>
      <c r="J4561" s="46" t="str">
        <f>IF(INPUT!Q4556="","",INPUT!Q4556)</f>
        <v/>
      </c>
      <c r="K4561" s="46" t="str">
        <f>IFERROR(IF(OR(INPUT!P4556="",INPUT!Q4556=""),"",INPUT!P4556-INPUT!Q4556),"")</f>
        <v/>
      </c>
      <c r="L4561" s="48" t="str">
        <f>IFERROR(IF(OR(INPUT!P4556="",INPUT!Q4556="",INPUT!P4556=0),"",(INPUT!P4556-INPUT!Q4556)/INPUT!P4556),"")</f>
        <v/>
      </c>
    </row>
    <row r="4562" spans="1:12" ht="18" hidden="1" customHeight="1" x14ac:dyDescent="0.2">
      <c r="A4562" s="11" t="str">
        <f>IF(INPUT!M4557="","",INPUT!M4557)</f>
        <v/>
      </c>
      <c r="B4562" s="11" t="str">
        <f>IF(INPUT!M4557="","",INPUT!M4557-WEEKDAY(INPUT!M4557,2)+1)</f>
        <v/>
      </c>
      <c r="C4562" s="20">
        <f>IFERROR(_xlfn.ISOWEEKNUM(INPUT!M4557),"")</f>
        <v>52</v>
      </c>
      <c r="D4562" s="20">
        <f>IFERROR(YEAR(INPUT!M4557),"")</f>
        <v>1900</v>
      </c>
      <c r="E4562" t="str">
        <f>IF(INPUT!O4557="","",INPUT!O4557)</f>
        <v/>
      </c>
      <c r="F4562" t="str">
        <f>IF(INPUT!N4557="","",INPUT!N4557)</f>
        <v/>
      </c>
      <c r="G4562" cm="1">
        <f t="array" ref="G4562">IFERROR(VLOOKUP(INPUT!M4557&amp;INPUT!N4557,CHOOSE({1,2},INPUT!$A$3:$A$5000&amp;INPUT!$C$3:$C$5000,INPUT!$F$3:$F$5000),2,FALSE),"")</f>
        <v>0</v>
      </c>
      <c r="H4562" cm="1">
        <f t="array" ref="H4562">IFERROR(VLOOKUP(INPUT!M4557&amp;INPUT!N4557,CHOOSE({1,2},INPUT!$A$3:$A$5000&amp;INPUT!$C$3:$C$5000,INPUT!$D$3:$D$5000),2,FALSE),"")</f>
        <v>0</v>
      </c>
      <c r="I4562" s="46" t="str">
        <f>IF(INPUT!P4557="","",INPUT!P4557)</f>
        <v/>
      </c>
      <c r="J4562" s="46" t="str">
        <f>IF(INPUT!Q4557="","",INPUT!Q4557)</f>
        <v/>
      </c>
      <c r="K4562" s="46" t="str">
        <f>IFERROR(IF(OR(INPUT!P4557="",INPUT!Q4557=""),"",INPUT!P4557-INPUT!Q4557),"")</f>
        <v/>
      </c>
      <c r="L4562" s="48" t="str">
        <f>IFERROR(IF(OR(INPUT!P4557="",INPUT!Q4557="",INPUT!P4557=0),"",(INPUT!P4557-INPUT!Q4557)/INPUT!P4557),"")</f>
        <v/>
      </c>
    </row>
    <row r="4563" spans="1:12" ht="18" hidden="1" customHeight="1" x14ac:dyDescent="0.2">
      <c r="A4563" s="11" t="str">
        <f>IF(INPUT!M4558="","",INPUT!M4558)</f>
        <v/>
      </c>
      <c r="B4563" s="11" t="str">
        <f>IF(INPUT!M4558="","",INPUT!M4558-WEEKDAY(INPUT!M4558,2)+1)</f>
        <v/>
      </c>
      <c r="C4563" s="20">
        <f>IFERROR(_xlfn.ISOWEEKNUM(INPUT!M4558),"")</f>
        <v>52</v>
      </c>
      <c r="D4563" s="20">
        <f>IFERROR(YEAR(INPUT!M4558),"")</f>
        <v>1900</v>
      </c>
      <c r="E4563" t="str">
        <f>IF(INPUT!O4558="","",INPUT!O4558)</f>
        <v/>
      </c>
      <c r="F4563" t="str">
        <f>IF(INPUT!N4558="","",INPUT!N4558)</f>
        <v/>
      </c>
      <c r="G4563" cm="1">
        <f t="array" ref="G4563">IFERROR(VLOOKUP(INPUT!M4558&amp;INPUT!N4558,CHOOSE({1,2},INPUT!$A$3:$A$5000&amp;INPUT!$C$3:$C$5000,INPUT!$F$3:$F$5000),2,FALSE),"")</f>
        <v>0</v>
      </c>
      <c r="H4563" cm="1">
        <f t="array" ref="H4563">IFERROR(VLOOKUP(INPUT!M4558&amp;INPUT!N4558,CHOOSE({1,2},INPUT!$A$3:$A$5000&amp;INPUT!$C$3:$C$5000,INPUT!$D$3:$D$5000),2,FALSE),"")</f>
        <v>0</v>
      </c>
      <c r="I4563" s="46" t="str">
        <f>IF(INPUT!P4558="","",INPUT!P4558)</f>
        <v/>
      </c>
      <c r="J4563" s="46" t="str">
        <f>IF(INPUT!Q4558="","",INPUT!Q4558)</f>
        <v/>
      </c>
      <c r="K4563" s="46" t="str">
        <f>IFERROR(IF(OR(INPUT!P4558="",INPUT!Q4558=""),"",INPUT!P4558-INPUT!Q4558),"")</f>
        <v/>
      </c>
      <c r="L4563" s="48" t="str">
        <f>IFERROR(IF(OR(INPUT!P4558="",INPUT!Q4558="",INPUT!P4558=0),"",(INPUT!P4558-INPUT!Q4558)/INPUT!P4558),"")</f>
        <v/>
      </c>
    </row>
    <row r="4564" spans="1:12" ht="18" hidden="1" customHeight="1" x14ac:dyDescent="0.2">
      <c r="A4564" s="11" t="str">
        <f>IF(INPUT!M4559="","",INPUT!M4559)</f>
        <v/>
      </c>
      <c r="B4564" s="11" t="str">
        <f>IF(INPUT!M4559="","",INPUT!M4559-WEEKDAY(INPUT!M4559,2)+1)</f>
        <v/>
      </c>
      <c r="C4564" s="20">
        <f>IFERROR(_xlfn.ISOWEEKNUM(INPUT!M4559),"")</f>
        <v>52</v>
      </c>
      <c r="D4564" s="20">
        <f>IFERROR(YEAR(INPUT!M4559),"")</f>
        <v>1900</v>
      </c>
      <c r="E4564" t="str">
        <f>IF(INPUT!O4559="","",INPUT!O4559)</f>
        <v/>
      </c>
      <c r="F4564" t="str">
        <f>IF(INPUT!N4559="","",INPUT!N4559)</f>
        <v/>
      </c>
      <c r="G4564" cm="1">
        <f t="array" ref="G4564">IFERROR(VLOOKUP(INPUT!M4559&amp;INPUT!N4559,CHOOSE({1,2},INPUT!$A$3:$A$5000&amp;INPUT!$C$3:$C$5000,INPUT!$F$3:$F$5000),2,FALSE),"")</f>
        <v>0</v>
      </c>
      <c r="H4564" cm="1">
        <f t="array" ref="H4564">IFERROR(VLOOKUP(INPUT!M4559&amp;INPUT!N4559,CHOOSE({1,2},INPUT!$A$3:$A$5000&amp;INPUT!$C$3:$C$5000,INPUT!$D$3:$D$5000),2,FALSE),"")</f>
        <v>0</v>
      </c>
      <c r="I4564" s="46" t="str">
        <f>IF(INPUT!P4559="","",INPUT!P4559)</f>
        <v/>
      </c>
      <c r="J4564" s="46" t="str">
        <f>IF(INPUT!Q4559="","",INPUT!Q4559)</f>
        <v/>
      </c>
      <c r="K4564" s="46" t="str">
        <f>IFERROR(IF(OR(INPUT!P4559="",INPUT!Q4559=""),"",INPUT!P4559-INPUT!Q4559),"")</f>
        <v/>
      </c>
      <c r="L4564" s="48" t="str">
        <f>IFERROR(IF(OR(INPUT!P4559="",INPUT!Q4559="",INPUT!P4559=0),"",(INPUT!P4559-INPUT!Q4559)/INPUT!P4559),"")</f>
        <v/>
      </c>
    </row>
    <row r="4565" spans="1:12" ht="18" hidden="1" customHeight="1" x14ac:dyDescent="0.2">
      <c r="A4565" s="11" t="str">
        <f>IF(INPUT!M4560="","",INPUT!M4560)</f>
        <v/>
      </c>
      <c r="B4565" s="11" t="str">
        <f>IF(INPUT!M4560="","",INPUT!M4560-WEEKDAY(INPUT!M4560,2)+1)</f>
        <v/>
      </c>
      <c r="C4565" s="20">
        <f>IFERROR(_xlfn.ISOWEEKNUM(INPUT!M4560),"")</f>
        <v>52</v>
      </c>
      <c r="D4565" s="20">
        <f>IFERROR(YEAR(INPUT!M4560),"")</f>
        <v>1900</v>
      </c>
      <c r="E4565" t="str">
        <f>IF(INPUT!O4560="","",INPUT!O4560)</f>
        <v/>
      </c>
      <c r="F4565" t="str">
        <f>IF(INPUT!N4560="","",INPUT!N4560)</f>
        <v/>
      </c>
      <c r="G4565" cm="1">
        <f t="array" ref="G4565">IFERROR(VLOOKUP(INPUT!M4560&amp;INPUT!N4560,CHOOSE({1,2},INPUT!$A$3:$A$5000&amp;INPUT!$C$3:$C$5000,INPUT!$F$3:$F$5000),2,FALSE),"")</f>
        <v>0</v>
      </c>
      <c r="H4565" cm="1">
        <f t="array" ref="H4565">IFERROR(VLOOKUP(INPUT!M4560&amp;INPUT!N4560,CHOOSE({1,2},INPUT!$A$3:$A$5000&amp;INPUT!$C$3:$C$5000,INPUT!$D$3:$D$5000),2,FALSE),"")</f>
        <v>0</v>
      </c>
      <c r="I4565" s="46" t="str">
        <f>IF(INPUT!P4560="","",INPUT!P4560)</f>
        <v/>
      </c>
      <c r="J4565" s="46" t="str">
        <f>IF(INPUT!Q4560="","",INPUT!Q4560)</f>
        <v/>
      </c>
      <c r="K4565" s="46" t="str">
        <f>IFERROR(IF(OR(INPUT!P4560="",INPUT!Q4560=""),"",INPUT!P4560-INPUT!Q4560),"")</f>
        <v/>
      </c>
      <c r="L4565" s="48" t="str">
        <f>IFERROR(IF(OR(INPUT!P4560="",INPUT!Q4560="",INPUT!P4560=0),"",(INPUT!P4560-INPUT!Q4560)/INPUT!P4560),"")</f>
        <v/>
      </c>
    </row>
    <row r="4566" spans="1:12" ht="18" hidden="1" customHeight="1" x14ac:dyDescent="0.2">
      <c r="A4566" s="11" t="str">
        <f>IF(INPUT!M4561="","",INPUT!M4561)</f>
        <v/>
      </c>
      <c r="B4566" s="11" t="str">
        <f>IF(INPUT!M4561="","",INPUT!M4561-WEEKDAY(INPUT!M4561,2)+1)</f>
        <v/>
      </c>
      <c r="C4566" s="20">
        <f>IFERROR(_xlfn.ISOWEEKNUM(INPUT!M4561),"")</f>
        <v>52</v>
      </c>
      <c r="D4566" s="20">
        <f>IFERROR(YEAR(INPUT!M4561),"")</f>
        <v>1900</v>
      </c>
      <c r="E4566" t="str">
        <f>IF(INPUT!O4561="","",INPUT!O4561)</f>
        <v/>
      </c>
      <c r="F4566" t="str">
        <f>IF(INPUT!N4561="","",INPUT!N4561)</f>
        <v/>
      </c>
      <c r="G4566" cm="1">
        <f t="array" ref="G4566">IFERROR(VLOOKUP(INPUT!M4561&amp;INPUT!N4561,CHOOSE({1,2},INPUT!$A$3:$A$5000&amp;INPUT!$C$3:$C$5000,INPUT!$F$3:$F$5000),2,FALSE),"")</f>
        <v>0</v>
      </c>
      <c r="H4566" cm="1">
        <f t="array" ref="H4566">IFERROR(VLOOKUP(INPUT!M4561&amp;INPUT!N4561,CHOOSE({1,2},INPUT!$A$3:$A$5000&amp;INPUT!$C$3:$C$5000,INPUT!$D$3:$D$5000),2,FALSE),"")</f>
        <v>0</v>
      </c>
      <c r="I4566" s="46" t="str">
        <f>IF(INPUT!P4561="","",INPUT!P4561)</f>
        <v/>
      </c>
      <c r="J4566" s="46" t="str">
        <f>IF(INPUT!Q4561="","",INPUT!Q4561)</f>
        <v/>
      </c>
      <c r="K4566" s="46" t="str">
        <f>IFERROR(IF(OR(INPUT!P4561="",INPUT!Q4561=""),"",INPUT!P4561-INPUT!Q4561),"")</f>
        <v/>
      </c>
      <c r="L4566" s="48" t="str">
        <f>IFERROR(IF(OR(INPUT!P4561="",INPUT!Q4561="",INPUT!P4561=0),"",(INPUT!P4561-INPUT!Q4561)/INPUT!P4561),"")</f>
        <v/>
      </c>
    </row>
    <row r="4567" spans="1:12" ht="18" hidden="1" customHeight="1" x14ac:dyDescent="0.2">
      <c r="A4567" s="11" t="str">
        <f>IF(INPUT!M4562="","",INPUT!M4562)</f>
        <v/>
      </c>
      <c r="B4567" s="11" t="str">
        <f>IF(INPUT!M4562="","",INPUT!M4562-WEEKDAY(INPUT!M4562,2)+1)</f>
        <v/>
      </c>
      <c r="C4567" s="20">
        <f>IFERROR(_xlfn.ISOWEEKNUM(INPUT!M4562),"")</f>
        <v>52</v>
      </c>
      <c r="D4567" s="20">
        <f>IFERROR(YEAR(INPUT!M4562),"")</f>
        <v>1900</v>
      </c>
      <c r="E4567" t="str">
        <f>IF(INPUT!O4562="","",INPUT!O4562)</f>
        <v/>
      </c>
      <c r="F4567" t="str">
        <f>IF(INPUT!N4562="","",INPUT!N4562)</f>
        <v/>
      </c>
      <c r="G4567" cm="1">
        <f t="array" ref="G4567">IFERROR(VLOOKUP(INPUT!M4562&amp;INPUT!N4562,CHOOSE({1,2},INPUT!$A$3:$A$5000&amp;INPUT!$C$3:$C$5000,INPUT!$F$3:$F$5000),2,FALSE),"")</f>
        <v>0</v>
      </c>
      <c r="H4567" cm="1">
        <f t="array" ref="H4567">IFERROR(VLOOKUP(INPUT!M4562&amp;INPUT!N4562,CHOOSE({1,2},INPUT!$A$3:$A$5000&amp;INPUT!$C$3:$C$5000,INPUT!$D$3:$D$5000),2,FALSE),"")</f>
        <v>0</v>
      </c>
      <c r="I4567" s="46" t="str">
        <f>IF(INPUT!P4562="","",INPUT!P4562)</f>
        <v/>
      </c>
      <c r="J4567" s="46" t="str">
        <f>IF(INPUT!Q4562="","",INPUT!Q4562)</f>
        <v/>
      </c>
      <c r="K4567" s="46" t="str">
        <f>IFERROR(IF(OR(INPUT!P4562="",INPUT!Q4562=""),"",INPUT!P4562-INPUT!Q4562),"")</f>
        <v/>
      </c>
      <c r="L4567" s="48" t="str">
        <f>IFERROR(IF(OR(INPUT!P4562="",INPUT!Q4562="",INPUT!P4562=0),"",(INPUT!P4562-INPUT!Q4562)/INPUT!P4562),"")</f>
        <v/>
      </c>
    </row>
    <row r="4568" spans="1:12" ht="18" hidden="1" customHeight="1" x14ac:dyDescent="0.2">
      <c r="A4568" s="11" t="str">
        <f>IF(INPUT!M4563="","",INPUT!M4563)</f>
        <v/>
      </c>
      <c r="B4568" s="11" t="str">
        <f>IF(INPUT!M4563="","",INPUT!M4563-WEEKDAY(INPUT!M4563,2)+1)</f>
        <v/>
      </c>
      <c r="C4568" s="20">
        <f>IFERROR(_xlfn.ISOWEEKNUM(INPUT!M4563),"")</f>
        <v>52</v>
      </c>
      <c r="D4568" s="20">
        <f>IFERROR(YEAR(INPUT!M4563),"")</f>
        <v>1900</v>
      </c>
      <c r="E4568" t="str">
        <f>IF(INPUT!O4563="","",INPUT!O4563)</f>
        <v/>
      </c>
      <c r="F4568" t="str">
        <f>IF(INPUT!N4563="","",INPUT!N4563)</f>
        <v/>
      </c>
      <c r="G4568" cm="1">
        <f t="array" ref="G4568">IFERROR(VLOOKUP(INPUT!M4563&amp;INPUT!N4563,CHOOSE({1,2},INPUT!$A$3:$A$5000&amp;INPUT!$C$3:$C$5000,INPUT!$F$3:$F$5000),2,FALSE),"")</f>
        <v>0</v>
      </c>
      <c r="H4568" cm="1">
        <f t="array" ref="H4568">IFERROR(VLOOKUP(INPUT!M4563&amp;INPUT!N4563,CHOOSE({1,2},INPUT!$A$3:$A$5000&amp;INPUT!$C$3:$C$5000,INPUT!$D$3:$D$5000),2,FALSE),"")</f>
        <v>0</v>
      </c>
      <c r="I4568" s="46" t="str">
        <f>IF(INPUT!P4563="","",INPUT!P4563)</f>
        <v/>
      </c>
      <c r="J4568" s="46" t="str">
        <f>IF(INPUT!Q4563="","",INPUT!Q4563)</f>
        <v/>
      </c>
      <c r="K4568" s="46" t="str">
        <f>IFERROR(IF(OR(INPUT!P4563="",INPUT!Q4563=""),"",INPUT!P4563-INPUT!Q4563),"")</f>
        <v/>
      </c>
      <c r="L4568" s="48" t="str">
        <f>IFERROR(IF(OR(INPUT!P4563="",INPUT!Q4563="",INPUT!P4563=0),"",(INPUT!P4563-INPUT!Q4563)/INPUT!P4563),"")</f>
        <v/>
      </c>
    </row>
    <row r="4569" spans="1:12" ht="18" hidden="1" customHeight="1" x14ac:dyDescent="0.2">
      <c r="A4569" s="11" t="str">
        <f>IF(INPUT!M4564="","",INPUT!M4564)</f>
        <v/>
      </c>
      <c r="B4569" s="11" t="str">
        <f>IF(INPUT!M4564="","",INPUT!M4564-WEEKDAY(INPUT!M4564,2)+1)</f>
        <v/>
      </c>
      <c r="C4569" s="20">
        <f>IFERROR(_xlfn.ISOWEEKNUM(INPUT!M4564),"")</f>
        <v>52</v>
      </c>
      <c r="D4569" s="20">
        <f>IFERROR(YEAR(INPUT!M4564),"")</f>
        <v>1900</v>
      </c>
      <c r="E4569" t="str">
        <f>IF(INPUT!O4564="","",INPUT!O4564)</f>
        <v/>
      </c>
      <c r="F4569" t="str">
        <f>IF(INPUT!N4564="","",INPUT!N4564)</f>
        <v/>
      </c>
      <c r="G4569" cm="1">
        <f t="array" ref="G4569">IFERROR(VLOOKUP(INPUT!M4564&amp;INPUT!N4564,CHOOSE({1,2},INPUT!$A$3:$A$5000&amp;INPUT!$C$3:$C$5000,INPUT!$F$3:$F$5000),2,FALSE),"")</f>
        <v>0</v>
      </c>
      <c r="H4569" cm="1">
        <f t="array" ref="H4569">IFERROR(VLOOKUP(INPUT!M4564&amp;INPUT!N4564,CHOOSE({1,2},INPUT!$A$3:$A$5000&amp;INPUT!$C$3:$C$5000,INPUT!$D$3:$D$5000),2,FALSE),"")</f>
        <v>0</v>
      </c>
      <c r="I4569" s="46" t="str">
        <f>IF(INPUT!P4564="","",INPUT!P4564)</f>
        <v/>
      </c>
      <c r="J4569" s="46" t="str">
        <f>IF(INPUT!Q4564="","",INPUT!Q4564)</f>
        <v/>
      </c>
      <c r="K4569" s="46" t="str">
        <f>IFERROR(IF(OR(INPUT!P4564="",INPUT!Q4564=""),"",INPUT!P4564-INPUT!Q4564),"")</f>
        <v/>
      </c>
      <c r="L4569" s="48" t="str">
        <f>IFERROR(IF(OR(INPUT!P4564="",INPUT!Q4564="",INPUT!P4564=0),"",(INPUT!P4564-INPUT!Q4564)/INPUT!P4564),"")</f>
        <v/>
      </c>
    </row>
    <row r="4570" spans="1:12" ht="18" hidden="1" customHeight="1" x14ac:dyDescent="0.2">
      <c r="A4570" s="11" t="str">
        <f>IF(INPUT!M4565="","",INPUT!M4565)</f>
        <v/>
      </c>
      <c r="B4570" s="11" t="str">
        <f>IF(INPUT!M4565="","",INPUT!M4565-WEEKDAY(INPUT!M4565,2)+1)</f>
        <v/>
      </c>
      <c r="C4570" s="20">
        <f>IFERROR(_xlfn.ISOWEEKNUM(INPUT!M4565),"")</f>
        <v>52</v>
      </c>
      <c r="D4570" s="20">
        <f>IFERROR(YEAR(INPUT!M4565),"")</f>
        <v>1900</v>
      </c>
      <c r="E4570" t="str">
        <f>IF(INPUT!O4565="","",INPUT!O4565)</f>
        <v/>
      </c>
      <c r="F4570" t="str">
        <f>IF(INPUT!N4565="","",INPUT!N4565)</f>
        <v/>
      </c>
      <c r="G4570" cm="1">
        <f t="array" ref="G4570">IFERROR(VLOOKUP(INPUT!M4565&amp;INPUT!N4565,CHOOSE({1,2},INPUT!$A$3:$A$5000&amp;INPUT!$C$3:$C$5000,INPUT!$F$3:$F$5000),2,FALSE),"")</f>
        <v>0</v>
      </c>
      <c r="H4570" cm="1">
        <f t="array" ref="H4570">IFERROR(VLOOKUP(INPUT!M4565&amp;INPUT!N4565,CHOOSE({1,2},INPUT!$A$3:$A$5000&amp;INPUT!$C$3:$C$5000,INPUT!$D$3:$D$5000),2,FALSE),"")</f>
        <v>0</v>
      </c>
      <c r="I4570" s="46" t="str">
        <f>IF(INPUT!P4565="","",INPUT!P4565)</f>
        <v/>
      </c>
      <c r="J4570" s="46" t="str">
        <f>IF(INPUT!Q4565="","",INPUT!Q4565)</f>
        <v/>
      </c>
      <c r="K4570" s="46" t="str">
        <f>IFERROR(IF(OR(INPUT!P4565="",INPUT!Q4565=""),"",INPUT!P4565-INPUT!Q4565),"")</f>
        <v/>
      </c>
      <c r="L4570" s="48" t="str">
        <f>IFERROR(IF(OR(INPUT!P4565="",INPUT!Q4565="",INPUT!P4565=0),"",(INPUT!P4565-INPUT!Q4565)/INPUT!P4565),"")</f>
        <v/>
      </c>
    </row>
    <row r="4571" spans="1:12" ht="18" hidden="1" customHeight="1" x14ac:dyDescent="0.2">
      <c r="A4571" s="11" t="str">
        <f>IF(INPUT!M4566="","",INPUT!M4566)</f>
        <v/>
      </c>
      <c r="B4571" s="11" t="str">
        <f>IF(INPUT!M4566="","",INPUT!M4566-WEEKDAY(INPUT!M4566,2)+1)</f>
        <v/>
      </c>
      <c r="C4571" s="20">
        <f>IFERROR(_xlfn.ISOWEEKNUM(INPUT!M4566),"")</f>
        <v>52</v>
      </c>
      <c r="D4571" s="20">
        <f>IFERROR(YEAR(INPUT!M4566),"")</f>
        <v>1900</v>
      </c>
      <c r="E4571" t="str">
        <f>IF(INPUT!O4566="","",INPUT!O4566)</f>
        <v/>
      </c>
      <c r="F4571" t="str">
        <f>IF(INPUT!N4566="","",INPUT!N4566)</f>
        <v/>
      </c>
      <c r="G4571" cm="1">
        <f t="array" ref="G4571">IFERROR(VLOOKUP(INPUT!M4566&amp;INPUT!N4566,CHOOSE({1,2},INPUT!$A$3:$A$5000&amp;INPUT!$C$3:$C$5000,INPUT!$F$3:$F$5000),2,FALSE),"")</f>
        <v>0</v>
      </c>
      <c r="H4571" cm="1">
        <f t="array" ref="H4571">IFERROR(VLOOKUP(INPUT!M4566&amp;INPUT!N4566,CHOOSE({1,2},INPUT!$A$3:$A$5000&amp;INPUT!$C$3:$C$5000,INPUT!$D$3:$D$5000),2,FALSE),"")</f>
        <v>0</v>
      </c>
      <c r="I4571" s="46" t="str">
        <f>IF(INPUT!P4566="","",INPUT!P4566)</f>
        <v/>
      </c>
      <c r="J4571" s="46" t="str">
        <f>IF(INPUT!Q4566="","",INPUT!Q4566)</f>
        <v/>
      </c>
      <c r="K4571" s="46" t="str">
        <f>IFERROR(IF(OR(INPUT!P4566="",INPUT!Q4566=""),"",INPUT!P4566-INPUT!Q4566),"")</f>
        <v/>
      </c>
      <c r="L4571" s="48" t="str">
        <f>IFERROR(IF(OR(INPUT!P4566="",INPUT!Q4566="",INPUT!P4566=0),"",(INPUT!P4566-INPUT!Q4566)/INPUT!P4566),"")</f>
        <v/>
      </c>
    </row>
    <row r="4572" spans="1:12" ht="18" hidden="1" customHeight="1" x14ac:dyDescent="0.2">
      <c r="A4572" s="11" t="str">
        <f>IF(INPUT!M4567="","",INPUT!M4567)</f>
        <v/>
      </c>
      <c r="B4572" s="11" t="str">
        <f>IF(INPUT!M4567="","",INPUT!M4567-WEEKDAY(INPUT!M4567,2)+1)</f>
        <v/>
      </c>
      <c r="C4572" s="20">
        <f>IFERROR(_xlfn.ISOWEEKNUM(INPUT!M4567),"")</f>
        <v>52</v>
      </c>
      <c r="D4572" s="20">
        <f>IFERROR(YEAR(INPUT!M4567),"")</f>
        <v>1900</v>
      </c>
      <c r="E4572" t="str">
        <f>IF(INPUT!O4567="","",INPUT!O4567)</f>
        <v/>
      </c>
      <c r="F4572" t="str">
        <f>IF(INPUT!N4567="","",INPUT!N4567)</f>
        <v/>
      </c>
      <c r="G4572" cm="1">
        <f t="array" ref="G4572">IFERROR(VLOOKUP(INPUT!M4567&amp;INPUT!N4567,CHOOSE({1,2},INPUT!$A$3:$A$5000&amp;INPUT!$C$3:$C$5000,INPUT!$F$3:$F$5000),2,FALSE),"")</f>
        <v>0</v>
      </c>
      <c r="H4572" cm="1">
        <f t="array" ref="H4572">IFERROR(VLOOKUP(INPUT!M4567&amp;INPUT!N4567,CHOOSE({1,2},INPUT!$A$3:$A$5000&amp;INPUT!$C$3:$C$5000,INPUT!$D$3:$D$5000),2,FALSE),"")</f>
        <v>0</v>
      </c>
      <c r="I4572" s="46" t="str">
        <f>IF(INPUT!P4567="","",INPUT!P4567)</f>
        <v/>
      </c>
      <c r="J4572" s="46" t="str">
        <f>IF(INPUT!Q4567="","",INPUT!Q4567)</f>
        <v/>
      </c>
      <c r="K4572" s="46" t="str">
        <f>IFERROR(IF(OR(INPUT!P4567="",INPUT!Q4567=""),"",INPUT!P4567-INPUT!Q4567),"")</f>
        <v/>
      </c>
      <c r="L4572" s="48" t="str">
        <f>IFERROR(IF(OR(INPUT!P4567="",INPUT!Q4567="",INPUT!P4567=0),"",(INPUT!P4567-INPUT!Q4567)/INPUT!P4567),"")</f>
        <v/>
      </c>
    </row>
    <row r="4573" spans="1:12" ht="18" hidden="1" customHeight="1" x14ac:dyDescent="0.2">
      <c r="A4573" s="11" t="str">
        <f>IF(INPUT!M4568="","",INPUT!M4568)</f>
        <v/>
      </c>
      <c r="B4573" s="11" t="str">
        <f>IF(INPUT!M4568="","",INPUT!M4568-WEEKDAY(INPUT!M4568,2)+1)</f>
        <v/>
      </c>
      <c r="C4573" s="20">
        <f>IFERROR(_xlfn.ISOWEEKNUM(INPUT!M4568),"")</f>
        <v>52</v>
      </c>
      <c r="D4573" s="20">
        <f>IFERROR(YEAR(INPUT!M4568),"")</f>
        <v>1900</v>
      </c>
      <c r="E4573" t="str">
        <f>IF(INPUT!O4568="","",INPUT!O4568)</f>
        <v/>
      </c>
      <c r="F4573" t="str">
        <f>IF(INPUT!N4568="","",INPUT!N4568)</f>
        <v/>
      </c>
      <c r="G4573" cm="1">
        <f t="array" ref="G4573">IFERROR(VLOOKUP(INPUT!M4568&amp;INPUT!N4568,CHOOSE({1,2},INPUT!$A$3:$A$5000&amp;INPUT!$C$3:$C$5000,INPUT!$F$3:$F$5000),2,FALSE),"")</f>
        <v>0</v>
      </c>
      <c r="H4573" cm="1">
        <f t="array" ref="H4573">IFERROR(VLOOKUP(INPUT!M4568&amp;INPUT!N4568,CHOOSE({1,2},INPUT!$A$3:$A$5000&amp;INPUT!$C$3:$C$5000,INPUT!$D$3:$D$5000),2,FALSE),"")</f>
        <v>0</v>
      </c>
      <c r="I4573" s="46" t="str">
        <f>IF(INPUT!P4568="","",INPUT!P4568)</f>
        <v/>
      </c>
      <c r="J4573" s="46" t="str">
        <f>IF(INPUT!Q4568="","",INPUT!Q4568)</f>
        <v/>
      </c>
      <c r="K4573" s="46" t="str">
        <f>IFERROR(IF(OR(INPUT!P4568="",INPUT!Q4568=""),"",INPUT!P4568-INPUT!Q4568),"")</f>
        <v/>
      </c>
      <c r="L4573" s="48" t="str">
        <f>IFERROR(IF(OR(INPUT!P4568="",INPUT!Q4568="",INPUT!P4568=0),"",(INPUT!P4568-INPUT!Q4568)/INPUT!P4568),"")</f>
        <v/>
      </c>
    </row>
    <row r="4574" spans="1:12" ht="18" hidden="1" customHeight="1" x14ac:dyDescent="0.2">
      <c r="A4574" s="11" t="str">
        <f>IF(INPUT!M4569="","",INPUT!M4569)</f>
        <v/>
      </c>
      <c r="B4574" s="11" t="str">
        <f>IF(INPUT!M4569="","",INPUT!M4569-WEEKDAY(INPUT!M4569,2)+1)</f>
        <v/>
      </c>
      <c r="C4574" s="20">
        <f>IFERROR(_xlfn.ISOWEEKNUM(INPUT!M4569),"")</f>
        <v>52</v>
      </c>
      <c r="D4574" s="20">
        <f>IFERROR(YEAR(INPUT!M4569),"")</f>
        <v>1900</v>
      </c>
      <c r="E4574" t="str">
        <f>IF(INPUT!O4569="","",INPUT!O4569)</f>
        <v/>
      </c>
      <c r="F4574" t="str">
        <f>IF(INPUT!N4569="","",INPUT!N4569)</f>
        <v/>
      </c>
      <c r="G4574" cm="1">
        <f t="array" ref="G4574">IFERROR(VLOOKUP(INPUT!M4569&amp;INPUT!N4569,CHOOSE({1,2},INPUT!$A$3:$A$5000&amp;INPUT!$C$3:$C$5000,INPUT!$F$3:$F$5000),2,FALSE),"")</f>
        <v>0</v>
      </c>
      <c r="H4574" cm="1">
        <f t="array" ref="H4574">IFERROR(VLOOKUP(INPUT!M4569&amp;INPUT!N4569,CHOOSE({1,2},INPUT!$A$3:$A$5000&amp;INPUT!$C$3:$C$5000,INPUT!$D$3:$D$5000),2,FALSE),"")</f>
        <v>0</v>
      </c>
      <c r="I4574" s="46" t="str">
        <f>IF(INPUT!P4569="","",INPUT!P4569)</f>
        <v/>
      </c>
      <c r="J4574" s="46" t="str">
        <f>IF(INPUT!Q4569="","",INPUT!Q4569)</f>
        <v/>
      </c>
      <c r="K4574" s="46" t="str">
        <f>IFERROR(IF(OR(INPUT!P4569="",INPUT!Q4569=""),"",INPUT!P4569-INPUT!Q4569),"")</f>
        <v/>
      </c>
      <c r="L4574" s="48" t="str">
        <f>IFERROR(IF(OR(INPUT!P4569="",INPUT!Q4569="",INPUT!P4569=0),"",(INPUT!P4569-INPUT!Q4569)/INPUT!P4569),"")</f>
        <v/>
      </c>
    </row>
    <row r="4575" spans="1:12" ht="18" hidden="1" customHeight="1" x14ac:dyDescent="0.2">
      <c r="A4575" s="11" t="str">
        <f>IF(INPUT!M4570="","",INPUT!M4570)</f>
        <v/>
      </c>
      <c r="B4575" s="11" t="str">
        <f>IF(INPUT!M4570="","",INPUT!M4570-WEEKDAY(INPUT!M4570,2)+1)</f>
        <v/>
      </c>
      <c r="C4575" s="20">
        <f>IFERROR(_xlfn.ISOWEEKNUM(INPUT!M4570),"")</f>
        <v>52</v>
      </c>
      <c r="D4575" s="20">
        <f>IFERROR(YEAR(INPUT!M4570),"")</f>
        <v>1900</v>
      </c>
      <c r="E4575" t="str">
        <f>IF(INPUT!O4570="","",INPUT!O4570)</f>
        <v/>
      </c>
      <c r="F4575" t="str">
        <f>IF(INPUT!N4570="","",INPUT!N4570)</f>
        <v/>
      </c>
      <c r="G4575" cm="1">
        <f t="array" ref="G4575">IFERROR(VLOOKUP(INPUT!M4570&amp;INPUT!N4570,CHOOSE({1,2},INPUT!$A$3:$A$5000&amp;INPUT!$C$3:$C$5000,INPUT!$F$3:$F$5000),2,FALSE),"")</f>
        <v>0</v>
      </c>
      <c r="H4575" cm="1">
        <f t="array" ref="H4575">IFERROR(VLOOKUP(INPUT!M4570&amp;INPUT!N4570,CHOOSE({1,2},INPUT!$A$3:$A$5000&amp;INPUT!$C$3:$C$5000,INPUT!$D$3:$D$5000),2,FALSE),"")</f>
        <v>0</v>
      </c>
      <c r="I4575" s="46" t="str">
        <f>IF(INPUT!P4570="","",INPUT!P4570)</f>
        <v/>
      </c>
      <c r="J4575" s="46" t="str">
        <f>IF(INPUT!Q4570="","",INPUT!Q4570)</f>
        <v/>
      </c>
      <c r="K4575" s="46" t="str">
        <f>IFERROR(IF(OR(INPUT!P4570="",INPUT!Q4570=""),"",INPUT!P4570-INPUT!Q4570),"")</f>
        <v/>
      </c>
      <c r="L4575" s="48" t="str">
        <f>IFERROR(IF(OR(INPUT!P4570="",INPUT!Q4570="",INPUT!P4570=0),"",(INPUT!P4570-INPUT!Q4570)/INPUT!P4570),"")</f>
        <v/>
      </c>
    </row>
    <row r="4576" spans="1:12" ht="18" hidden="1" customHeight="1" x14ac:dyDescent="0.2">
      <c r="A4576" s="11" t="str">
        <f>IF(INPUT!M4571="","",INPUT!M4571)</f>
        <v/>
      </c>
      <c r="B4576" s="11" t="str">
        <f>IF(INPUT!M4571="","",INPUT!M4571-WEEKDAY(INPUT!M4571,2)+1)</f>
        <v/>
      </c>
      <c r="C4576" s="20">
        <f>IFERROR(_xlfn.ISOWEEKNUM(INPUT!M4571),"")</f>
        <v>52</v>
      </c>
      <c r="D4576" s="20">
        <f>IFERROR(YEAR(INPUT!M4571),"")</f>
        <v>1900</v>
      </c>
      <c r="E4576" t="str">
        <f>IF(INPUT!O4571="","",INPUT!O4571)</f>
        <v/>
      </c>
      <c r="F4576" t="str">
        <f>IF(INPUT!N4571="","",INPUT!N4571)</f>
        <v/>
      </c>
      <c r="G4576" cm="1">
        <f t="array" ref="G4576">IFERROR(VLOOKUP(INPUT!M4571&amp;INPUT!N4571,CHOOSE({1,2},INPUT!$A$3:$A$5000&amp;INPUT!$C$3:$C$5000,INPUT!$F$3:$F$5000),2,FALSE),"")</f>
        <v>0</v>
      </c>
      <c r="H4576" cm="1">
        <f t="array" ref="H4576">IFERROR(VLOOKUP(INPUT!M4571&amp;INPUT!N4571,CHOOSE({1,2},INPUT!$A$3:$A$5000&amp;INPUT!$C$3:$C$5000,INPUT!$D$3:$D$5000),2,FALSE),"")</f>
        <v>0</v>
      </c>
      <c r="I4576" s="46" t="str">
        <f>IF(INPUT!P4571="","",INPUT!P4571)</f>
        <v/>
      </c>
      <c r="J4576" s="46" t="str">
        <f>IF(INPUT!Q4571="","",INPUT!Q4571)</f>
        <v/>
      </c>
      <c r="K4576" s="46" t="str">
        <f>IFERROR(IF(OR(INPUT!P4571="",INPUT!Q4571=""),"",INPUT!P4571-INPUT!Q4571),"")</f>
        <v/>
      </c>
      <c r="L4576" s="48" t="str">
        <f>IFERROR(IF(OR(INPUT!P4571="",INPUT!Q4571="",INPUT!P4571=0),"",(INPUT!P4571-INPUT!Q4571)/INPUT!P4571),"")</f>
        <v/>
      </c>
    </row>
    <row r="4577" spans="1:12" ht="18" hidden="1" customHeight="1" x14ac:dyDescent="0.2">
      <c r="A4577" s="11" t="str">
        <f>IF(INPUT!M4572="","",INPUT!M4572)</f>
        <v/>
      </c>
      <c r="B4577" s="11" t="str">
        <f>IF(INPUT!M4572="","",INPUT!M4572-WEEKDAY(INPUT!M4572,2)+1)</f>
        <v/>
      </c>
      <c r="C4577" s="20">
        <f>IFERROR(_xlfn.ISOWEEKNUM(INPUT!M4572),"")</f>
        <v>52</v>
      </c>
      <c r="D4577" s="20">
        <f>IFERROR(YEAR(INPUT!M4572),"")</f>
        <v>1900</v>
      </c>
      <c r="E4577" t="str">
        <f>IF(INPUT!O4572="","",INPUT!O4572)</f>
        <v/>
      </c>
      <c r="F4577" t="str">
        <f>IF(INPUT!N4572="","",INPUT!N4572)</f>
        <v/>
      </c>
      <c r="G4577" cm="1">
        <f t="array" ref="G4577">IFERROR(VLOOKUP(INPUT!M4572&amp;INPUT!N4572,CHOOSE({1,2},INPUT!$A$3:$A$5000&amp;INPUT!$C$3:$C$5000,INPUT!$F$3:$F$5000),2,FALSE),"")</f>
        <v>0</v>
      </c>
      <c r="H4577" cm="1">
        <f t="array" ref="H4577">IFERROR(VLOOKUP(INPUT!M4572&amp;INPUT!N4572,CHOOSE({1,2},INPUT!$A$3:$A$5000&amp;INPUT!$C$3:$C$5000,INPUT!$D$3:$D$5000),2,FALSE),"")</f>
        <v>0</v>
      </c>
      <c r="I4577" s="46" t="str">
        <f>IF(INPUT!P4572="","",INPUT!P4572)</f>
        <v/>
      </c>
      <c r="J4577" s="46" t="str">
        <f>IF(INPUT!Q4572="","",INPUT!Q4572)</f>
        <v/>
      </c>
      <c r="K4577" s="46" t="str">
        <f>IFERROR(IF(OR(INPUT!P4572="",INPUT!Q4572=""),"",INPUT!P4572-INPUT!Q4572),"")</f>
        <v/>
      </c>
      <c r="L4577" s="48" t="str">
        <f>IFERROR(IF(OR(INPUT!P4572="",INPUT!Q4572="",INPUT!P4572=0),"",(INPUT!P4572-INPUT!Q4572)/INPUT!P4572),"")</f>
        <v/>
      </c>
    </row>
    <row r="4578" spans="1:12" ht="18" hidden="1" customHeight="1" x14ac:dyDescent="0.2">
      <c r="A4578" s="11" t="str">
        <f>IF(INPUT!M4573="","",INPUT!M4573)</f>
        <v/>
      </c>
      <c r="B4578" s="11" t="str">
        <f>IF(INPUT!M4573="","",INPUT!M4573-WEEKDAY(INPUT!M4573,2)+1)</f>
        <v/>
      </c>
      <c r="C4578" s="20">
        <f>IFERROR(_xlfn.ISOWEEKNUM(INPUT!M4573),"")</f>
        <v>52</v>
      </c>
      <c r="D4578" s="20">
        <f>IFERROR(YEAR(INPUT!M4573),"")</f>
        <v>1900</v>
      </c>
      <c r="E4578" t="str">
        <f>IF(INPUT!O4573="","",INPUT!O4573)</f>
        <v/>
      </c>
      <c r="F4578" t="str">
        <f>IF(INPUT!N4573="","",INPUT!N4573)</f>
        <v/>
      </c>
      <c r="G4578" cm="1">
        <f t="array" ref="G4578">IFERROR(VLOOKUP(INPUT!M4573&amp;INPUT!N4573,CHOOSE({1,2},INPUT!$A$3:$A$5000&amp;INPUT!$C$3:$C$5000,INPUT!$F$3:$F$5000),2,FALSE),"")</f>
        <v>0</v>
      </c>
      <c r="H4578" cm="1">
        <f t="array" ref="H4578">IFERROR(VLOOKUP(INPUT!M4573&amp;INPUT!N4573,CHOOSE({1,2},INPUT!$A$3:$A$5000&amp;INPUT!$C$3:$C$5000,INPUT!$D$3:$D$5000),2,FALSE),"")</f>
        <v>0</v>
      </c>
      <c r="I4578" s="46" t="str">
        <f>IF(INPUT!P4573="","",INPUT!P4573)</f>
        <v/>
      </c>
      <c r="J4578" s="46" t="str">
        <f>IF(INPUT!Q4573="","",INPUT!Q4573)</f>
        <v/>
      </c>
      <c r="K4578" s="46" t="str">
        <f>IFERROR(IF(OR(INPUT!P4573="",INPUT!Q4573=""),"",INPUT!P4573-INPUT!Q4573),"")</f>
        <v/>
      </c>
      <c r="L4578" s="48" t="str">
        <f>IFERROR(IF(OR(INPUT!P4573="",INPUT!Q4573="",INPUT!P4573=0),"",(INPUT!P4573-INPUT!Q4573)/INPUT!P4573),"")</f>
        <v/>
      </c>
    </row>
    <row r="4579" spans="1:12" ht="18" hidden="1" customHeight="1" x14ac:dyDescent="0.2">
      <c r="A4579" s="11" t="str">
        <f>IF(INPUT!M4574="","",INPUT!M4574)</f>
        <v/>
      </c>
      <c r="B4579" s="11" t="str">
        <f>IF(INPUT!M4574="","",INPUT!M4574-WEEKDAY(INPUT!M4574,2)+1)</f>
        <v/>
      </c>
      <c r="C4579" s="20">
        <f>IFERROR(_xlfn.ISOWEEKNUM(INPUT!M4574),"")</f>
        <v>52</v>
      </c>
      <c r="D4579" s="20">
        <f>IFERROR(YEAR(INPUT!M4574),"")</f>
        <v>1900</v>
      </c>
      <c r="E4579" t="str">
        <f>IF(INPUT!O4574="","",INPUT!O4574)</f>
        <v/>
      </c>
      <c r="F4579" t="str">
        <f>IF(INPUT!N4574="","",INPUT!N4574)</f>
        <v/>
      </c>
      <c r="G4579" cm="1">
        <f t="array" ref="G4579">IFERROR(VLOOKUP(INPUT!M4574&amp;INPUT!N4574,CHOOSE({1,2},INPUT!$A$3:$A$5000&amp;INPUT!$C$3:$C$5000,INPUT!$F$3:$F$5000),2,FALSE),"")</f>
        <v>0</v>
      </c>
      <c r="H4579" cm="1">
        <f t="array" ref="H4579">IFERROR(VLOOKUP(INPUT!M4574&amp;INPUT!N4574,CHOOSE({1,2},INPUT!$A$3:$A$5000&amp;INPUT!$C$3:$C$5000,INPUT!$D$3:$D$5000),2,FALSE),"")</f>
        <v>0</v>
      </c>
      <c r="I4579" s="46" t="str">
        <f>IF(INPUT!P4574="","",INPUT!P4574)</f>
        <v/>
      </c>
      <c r="J4579" s="46" t="str">
        <f>IF(INPUT!Q4574="","",INPUT!Q4574)</f>
        <v/>
      </c>
      <c r="K4579" s="46" t="str">
        <f>IFERROR(IF(OR(INPUT!P4574="",INPUT!Q4574=""),"",INPUT!P4574-INPUT!Q4574),"")</f>
        <v/>
      </c>
      <c r="L4579" s="48" t="str">
        <f>IFERROR(IF(OR(INPUT!P4574="",INPUT!Q4574="",INPUT!P4574=0),"",(INPUT!P4574-INPUT!Q4574)/INPUT!P4574),"")</f>
        <v/>
      </c>
    </row>
    <row r="4580" spans="1:12" ht="18" hidden="1" customHeight="1" x14ac:dyDescent="0.2">
      <c r="A4580" s="11" t="str">
        <f>IF(INPUT!M4575="","",INPUT!M4575)</f>
        <v/>
      </c>
      <c r="B4580" s="11" t="str">
        <f>IF(INPUT!M4575="","",INPUT!M4575-WEEKDAY(INPUT!M4575,2)+1)</f>
        <v/>
      </c>
      <c r="C4580" s="20">
        <f>IFERROR(_xlfn.ISOWEEKNUM(INPUT!M4575),"")</f>
        <v>52</v>
      </c>
      <c r="D4580" s="20">
        <f>IFERROR(YEAR(INPUT!M4575),"")</f>
        <v>1900</v>
      </c>
      <c r="E4580" t="str">
        <f>IF(INPUT!O4575="","",INPUT!O4575)</f>
        <v/>
      </c>
      <c r="F4580" t="str">
        <f>IF(INPUT!N4575="","",INPUT!N4575)</f>
        <v/>
      </c>
      <c r="G4580" cm="1">
        <f t="array" ref="G4580">IFERROR(VLOOKUP(INPUT!M4575&amp;INPUT!N4575,CHOOSE({1,2},INPUT!$A$3:$A$5000&amp;INPUT!$C$3:$C$5000,INPUT!$F$3:$F$5000),2,FALSE),"")</f>
        <v>0</v>
      </c>
      <c r="H4580" cm="1">
        <f t="array" ref="H4580">IFERROR(VLOOKUP(INPUT!M4575&amp;INPUT!N4575,CHOOSE({1,2},INPUT!$A$3:$A$5000&amp;INPUT!$C$3:$C$5000,INPUT!$D$3:$D$5000),2,FALSE),"")</f>
        <v>0</v>
      </c>
      <c r="I4580" s="46" t="str">
        <f>IF(INPUT!P4575="","",INPUT!P4575)</f>
        <v/>
      </c>
      <c r="J4580" s="46" t="str">
        <f>IF(INPUT!Q4575="","",INPUT!Q4575)</f>
        <v/>
      </c>
      <c r="K4580" s="46" t="str">
        <f>IFERROR(IF(OR(INPUT!P4575="",INPUT!Q4575=""),"",INPUT!P4575-INPUT!Q4575),"")</f>
        <v/>
      </c>
      <c r="L4580" s="48" t="str">
        <f>IFERROR(IF(OR(INPUT!P4575="",INPUT!Q4575="",INPUT!P4575=0),"",(INPUT!P4575-INPUT!Q4575)/INPUT!P4575),"")</f>
        <v/>
      </c>
    </row>
    <row r="4581" spans="1:12" ht="18" hidden="1" customHeight="1" x14ac:dyDescent="0.2">
      <c r="A4581" s="11" t="str">
        <f>IF(INPUT!M4576="","",INPUT!M4576)</f>
        <v/>
      </c>
      <c r="B4581" s="11" t="str">
        <f>IF(INPUT!M4576="","",INPUT!M4576-WEEKDAY(INPUT!M4576,2)+1)</f>
        <v/>
      </c>
      <c r="C4581" s="20">
        <f>IFERROR(_xlfn.ISOWEEKNUM(INPUT!M4576),"")</f>
        <v>52</v>
      </c>
      <c r="D4581" s="20">
        <f>IFERROR(YEAR(INPUT!M4576),"")</f>
        <v>1900</v>
      </c>
      <c r="E4581" t="str">
        <f>IF(INPUT!O4576="","",INPUT!O4576)</f>
        <v/>
      </c>
      <c r="F4581" t="str">
        <f>IF(INPUT!N4576="","",INPUT!N4576)</f>
        <v/>
      </c>
      <c r="G4581" cm="1">
        <f t="array" ref="G4581">IFERROR(VLOOKUP(INPUT!M4576&amp;INPUT!N4576,CHOOSE({1,2},INPUT!$A$3:$A$5000&amp;INPUT!$C$3:$C$5000,INPUT!$F$3:$F$5000),2,FALSE),"")</f>
        <v>0</v>
      </c>
      <c r="H4581" cm="1">
        <f t="array" ref="H4581">IFERROR(VLOOKUP(INPUT!M4576&amp;INPUT!N4576,CHOOSE({1,2},INPUT!$A$3:$A$5000&amp;INPUT!$C$3:$C$5000,INPUT!$D$3:$D$5000),2,FALSE),"")</f>
        <v>0</v>
      </c>
      <c r="I4581" s="46" t="str">
        <f>IF(INPUT!P4576="","",INPUT!P4576)</f>
        <v/>
      </c>
      <c r="J4581" s="46" t="str">
        <f>IF(INPUT!Q4576="","",INPUT!Q4576)</f>
        <v/>
      </c>
      <c r="K4581" s="46" t="str">
        <f>IFERROR(IF(OR(INPUT!P4576="",INPUT!Q4576=""),"",INPUT!P4576-INPUT!Q4576),"")</f>
        <v/>
      </c>
      <c r="L4581" s="48" t="str">
        <f>IFERROR(IF(OR(INPUT!P4576="",INPUT!Q4576="",INPUT!P4576=0),"",(INPUT!P4576-INPUT!Q4576)/INPUT!P4576),"")</f>
        <v/>
      </c>
    </row>
    <row r="4582" spans="1:12" ht="18" hidden="1" customHeight="1" x14ac:dyDescent="0.2">
      <c r="A4582" s="11" t="str">
        <f>IF(INPUT!M4577="","",INPUT!M4577)</f>
        <v/>
      </c>
      <c r="B4582" s="11" t="str">
        <f>IF(INPUT!M4577="","",INPUT!M4577-WEEKDAY(INPUT!M4577,2)+1)</f>
        <v/>
      </c>
      <c r="C4582" s="20">
        <f>IFERROR(_xlfn.ISOWEEKNUM(INPUT!M4577),"")</f>
        <v>52</v>
      </c>
      <c r="D4582" s="20">
        <f>IFERROR(YEAR(INPUT!M4577),"")</f>
        <v>1900</v>
      </c>
      <c r="E4582" t="str">
        <f>IF(INPUT!O4577="","",INPUT!O4577)</f>
        <v/>
      </c>
      <c r="F4582" t="str">
        <f>IF(INPUT!N4577="","",INPUT!N4577)</f>
        <v/>
      </c>
      <c r="G4582" cm="1">
        <f t="array" ref="G4582">IFERROR(VLOOKUP(INPUT!M4577&amp;INPUT!N4577,CHOOSE({1,2},INPUT!$A$3:$A$5000&amp;INPUT!$C$3:$C$5000,INPUT!$F$3:$F$5000),2,FALSE),"")</f>
        <v>0</v>
      </c>
      <c r="H4582" cm="1">
        <f t="array" ref="H4582">IFERROR(VLOOKUP(INPUT!M4577&amp;INPUT!N4577,CHOOSE({1,2},INPUT!$A$3:$A$5000&amp;INPUT!$C$3:$C$5000,INPUT!$D$3:$D$5000),2,FALSE),"")</f>
        <v>0</v>
      </c>
      <c r="I4582" s="46" t="str">
        <f>IF(INPUT!P4577="","",INPUT!P4577)</f>
        <v/>
      </c>
      <c r="J4582" s="46" t="str">
        <f>IF(INPUT!Q4577="","",INPUT!Q4577)</f>
        <v/>
      </c>
      <c r="K4582" s="46" t="str">
        <f>IFERROR(IF(OR(INPUT!P4577="",INPUT!Q4577=""),"",INPUT!P4577-INPUT!Q4577),"")</f>
        <v/>
      </c>
      <c r="L4582" s="48" t="str">
        <f>IFERROR(IF(OR(INPUT!P4577="",INPUT!Q4577="",INPUT!P4577=0),"",(INPUT!P4577-INPUT!Q4577)/INPUT!P4577),"")</f>
        <v/>
      </c>
    </row>
    <row r="4583" spans="1:12" ht="18" hidden="1" customHeight="1" x14ac:dyDescent="0.2">
      <c r="A4583" s="11" t="str">
        <f>IF(INPUT!M4578="","",INPUT!M4578)</f>
        <v/>
      </c>
      <c r="B4583" s="11" t="str">
        <f>IF(INPUT!M4578="","",INPUT!M4578-WEEKDAY(INPUT!M4578,2)+1)</f>
        <v/>
      </c>
      <c r="C4583" s="20">
        <f>IFERROR(_xlfn.ISOWEEKNUM(INPUT!M4578),"")</f>
        <v>52</v>
      </c>
      <c r="D4583" s="20">
        <f>IFERROR(YEAR(INPUT!M4578),"")</f>
        <v>1900</v>
      </c>
      <c r="E4583" t="str">
        <f>IF(INPUT!O4578="","",INPUT!O4578)</f>
        <v/>
      </c>
      <c r="F4583" t="str">
        <f>IF(INPUT!N4578="","",INPUT!N4578)</f>
        <v/>
      </c>
      <c r="G4583" cm="1">
        <f t="array" ref="G4583">IFERROR(VLOOKUP(INPUT!M4578&amp;INPUT!N4578,CHOOSE({1,2},INPUT!$A$3:$A$5000&amp;INPUT!$C$3:$C$5000,INPUT!$F$3:$F$5000),2,FALSE),"")</f>
        <v>0</v>
      </c>
      <c r="H4583" cm="1">
        <f t="array" ref="H4583">IFERROR(VLOOKUP(INPUT!M4578&amp;INPUT!N4578,CHOOSE({1,2},INPUT!$A$3:$A$5000&amp;INPUT!$C$3:$C$5000,INPUT!$D$3:$D$5000),2,FALSE),"")</f>
        <v>0</v>
      </c>
      <c r="I4583" s="46" t="str">
        <f>IF(INPUT!P4578="","",INPUT!P4578)</f>
        <v/>
      </c>
      <c r="J4583" s="46" t="str">
        <f>IF(INPUT!Q4578="","",INPUT!Q4578)</f>
        <v/>
      </c>
      <c r="K4583" s="46" t="str">
        <f>IFERROR(IF(OR(INPUT!P4578="",INPUT!Q4578=""),"",INPUT!P4578-INPUT!Q4578),"")</f>
        <v/>
      </c>
      <c r="L4583" s="48" t="str">
        <f>IFERROR(IF(OR(INPUT!P4578="",INPUT!Q4578="",INPUT!P4578=0),"",(INPUT!P4578-INPUT!Q4578)/INPUT!P4578),"")</f>
        <v/>
      </c>
    </row>
    <row r="4584" spans="1:12" ht="18" hidden="1" customHeight="1" x14ac:dyDescent="0.2">
      <c r="A4584" s="11" t="str">
        <f>IF(INPUT!M4579="","",INPUT!M4579)</f>
        <v/>
      </c>
      <c r="B4584" s="11" t="str">
        <f>IF(INPUT!M4579="","",INPUT!M4579-WEEKDAY(INPUT!M4579,2)+1)</f>
        <v/>
      </c>
      <c r="C4584" s="20">
        <f>IFERROR(_xlfn.ISOWEEKNUM(INPUT!M4579),"")</f>
        <v>52</v>
      </c>
      <c r="D4584" s="20">
        <f>IFERROR(YEAR(INPUT!M4579),"")</f>
        <v>1900</v>
      </c>
      <c r="E4584" t="str">
        <f>IF(INPUT!O4579="","",INPUT!O4579)</f>
        <v/>
      </c>
      <c r="F4584" t="str">
        <f>IF(INPUT!N4579="","",INPUT!N4579)</f>
        <v/>
      </c>
      <c r="G4584" cm="1">
        <f t="array" ref="G4584">IFERROR(VLOOKUP(INPUT!M4579&amp;INPUT!N4579,CHOOSE({1,2},INPUT!$A$3:$A$5000&amp;INPUT!$C$3:$C$5000,INPUT!$F$3:$F$5000),2,FALSE),"")</f>
        <v>0</v>
      </c>
      <c r="H4584" cm="1">
        <f t="array" ref="H4584">IFERROR(VLOOKUP(INPUT!M4579&amp;INPUT!N4579,CHOOSE({1,2},INPUT!$A$3:$A$5000&amp;INPUT!$C$3:$C$5000,INPUT!$D$3:$D$5000),2,FALSE),"")</f>
        <v>0</v>
      </c>
      <c r="I4584" s="46" t="str">
        <f>IF(INPUT!P4579="","",INPUT!P4579)</f>
        <v/>
      </c>
      <c r="J4584" s="46" t="str">
        <f>IF(INPUT!Q4579="","",INPUT!Q4579)</f>
        <v/>
      </c>
      <c r="K4584" s="46" t="str">
        <f>IFERROR(IF(OR(INPUT!P4579="",INPUT!Q4579=""),"",INPUT!P4579-INPUT!Q4579),"")</f>
        <v/>
      </c>
      <c r="L4584" s="48" t="str">
        <f>IFERROR(IF(OR(INPUT!P4579="",INPUT!Q4579="",INPUT!P4579=0),"",(INPUT!P4579-INPUT!Q4579)/INPUT!P4579),"")</f>
        <v/>
      </c>
    </row>
    <row r="4585" spans="1:12" ht="18" hidden="1" customHeight="1" x14ac:dyDescent="0.2">
      <c r="A4585" s="11" t="str">
        <f>IF(INPUT!M4580="","",INPUT!M4580)</f>
        <v/>
      </c>
      <c r="B4585" s="11" t="str">
        <f>IF(INPUT!M4580="","",INPUT!M4580-WEEKDAY(INPUT!M4580,2)+1)</f>
        <v/>
      </c>
      <c r="C4585" s="20">
        <f>IFERROR(_xlfn.ISOWEEKNUM(INPUT!M4580),"")</f>
        <v>52</v>
      </c>
      <c r="D4585" s="20">
        <f>IFERROR(YEAR(INPUT!M4580),"")</f>
        <v>1900</v>
      </c>
      <c r="E4585" t="str">
        <f>IF(INPUT!O4580="","",INPUT!O4580)</f>
        <v/>
      </c>
      <c r="F4585" t="str">
        <f>IF(INPUT!N4580="","",INPUT!N4580)</f>
        <v/>
      </c>
      <c r="G4585" cm="1">
        <f t="array" ref="G4585">IFERROR(VLOOKUP(INPUT!M4580&amp;INPUT!N4580,CHOOSE({1,2},INPUT!$A$3:$A$5000&amp;INPUT!$C$3:$C$5000,INPUT!$F$3:$F$5000),2,FALSE),"")</f>
        <v>0</v>
      </c>
      <c r="H4585" cm="1">
        <f t="array" ref="H4585">IFERROR(VLOOKUP(INPUT!M4580&amp;INPUT!N4580,CHOOSE({1,2},INPUT!$A$3:$A$5000&amp;INPUT!$C$3:$C$5000,INPUT!$D$3:$D$5000),2,FALSE),"")</f>
        <v>0</v>
      </c>
      <c r="I4585" s="46" t="str">
        <f>IF(INPUT!P4580="","",INPUT!P4580)</f>
        <v/>
      </c>
      <c r="J4585" s="46" t="str">
        <f>IF(INPUT!Q4580="","",INPUT!Q4580)</f>
        <v/>
      </c>
      <c r="K4585" s="46" t="str">
        <f>IFERROR(IF(OR(INPUT!P4580="",INPUT!Q4580=""),"",INPUT!P4580-INPUT!Q4580),"")</f>
        <v/>
      </c>
      <c r="L4585" s="48" t="str">
        <f>IFERROR(IF(OR(INPUT!P4580="",INPUT!Q4580="",INPUT!P4580=0),"",(INPUT!P4580-INPUT!Q4580)/INPUT!P4580),"")</f>
        <v/>
      </c>
    </row>
    <row r="4586" spans="1:12" ht="18" hidden="1" customHeight="1" x14ac:dyDescent="0.2">
      <c r="A4586" s="11" t="str">
        <f>IF(INPUT!M4581="","",INPUT!M4581)</f>
        <v/>
      </c>
      <c r="B4586" s="11" t="str">
        <f>IF(INPUT!M4581="","",INPUT!M4581-WEEKDAY(INPUT!M4581,2)+1)</f>
        <v/>
      </c>
      <c r="C4586" s="20">
        <f>IFERROR(_xlfn.ISOWEEKNUM(INPUT!M4581),"")</f>
        <v>52</v>
      </c>
      <c r="D4586" s="20">
        <f>IFERROR(YEAR(INPUT!M4581),"")</f>
        <v>1900</v>
      </c>
      <c r="E4586" t="str">
        <f>IF(INPUT!O4581="","",INPUT!O4581)</f>
        <v/>
      </c>
      <c r="F4586" t="str">
        <f>IF(INPUT!N4581="","",INPUT!N4581)</f>
        <v/>
      </c>
      <c r="G4586" cm="1">
        <f t="array" ref="G4586">IFERROR(VLOOKUP(INPUT!M4581&amp;INPUT!N4581,CHOOSE({1,2},INPUT!$A$3:$A$5000&amp;INPUT!$C$3:$C$5000,INPUT!$F$3:$F$5000),2,FALSE),"")</f>
        <v>0</v>
      </c>
      <c r="H4586" cm="1">
        <f t="array" ref="H4586">IFERROR(VLOOKUP(INPUT!M4581&amp;INPUT!N4581,CHOOSE({1,2},INPUT!$A$3:$A$5000&amp;INPUT!$C$3:$C$5000,INPUT!$D$3:$D$5000),2,FALSE),"")</f>
        <v>0</v>
      </c>
      <c r="I4586" s="46" t="str">
        <f>IF(INPUT!P4581="","",INPUT!P4581)</f>
        <v/>
      </c>
      <c r="J4586" s="46" t="str">
        <f>IF(INPUT!Q4581="","",INPUT!Q4581)</f>
        <v/>
      </c>
      <c r="K4586" s="46" t="str">
        <f>IFERROR(IF(OR(INPUT!P4581="",INPUT!Q4581=""),"",INPUT!P4581-INPUT!Q4581),"")</f>
        <v/>
      </c>
      <c r="L4586" s="48" t="str">
        <f>IFERROR(IF(OR(INPUT!P4581="",INPUT!Q4581="",INPUT!P4581=0),"",(INPUT!P4581-INPUT!Q4581)/INPUT!P4581),"")</f>
        <v/>
      </c>
    </row>
    <row r="4587" spans="1:12" ht="18" hidden="1" customHeight="1" x14ac:dyDescent="0.2">
      <c r="A4587" s="11" t="str">
        <f>IF(INPUT!M4582="","",INPUT!M4582)</f>
        <v/>
      </c>
      <c r="B4587" s="11" t="str">
        <f>IF(INPUT!M4582="","",INPUT!M4582-WEEKDAY(INPUT!M4582,2)+1)</f>
        <v/>
      </c>
      <c r="C4587" s="20">
        <f>IFERROR(_xlfn.ISOWEEKNUM(INPUT!M4582),"")</f>
        <v>52</v>
      </c>
      <c r="D4587" s="20">
        <f>IFERROR(YEAR(INPUT!M4582),"")</f>
        <v>1900</v>
      </c>
      <c r="E4587" t="str">
        <f>IF(INPUT!O4582="","",INPUT!O4582)</f>
        <v/>
      </c>
      <c r="F4587" t="str">
        <f>IF(INPUT!N4582="","",INPUT!N4582)</f>
        <v/>
      </c>
      <c r="G4587" cm="1">
        <f t="array" ref="G4587">IFERROR(VLOOKUP(INPUT!M4582&amp;INPUT!N4582,CHOOSE({1,2},INPUT!$A$3:$A$5000&amp;INPUT!$C$3:$C$5000,INPUT!$F$3:$F$5000),2,FALSE),"")</f>
        <v>0</v>
      </c>
      <c r="H4587" cm="1">
        <f t="array" ref="H4587">IFERROR(VLOOKUP(INPUT!M4582&amp;INPUT!N4582,CHOOSE({1,2},INPUT!$A$3:$A$5000&amp;INPUT!$C$3:$C$5000,INPUT!$D$3:$D$5000),2,FALSE),"")</f>
        <v>0</v>
      </c>
      <c r="I4587" s="46" t="str">
        <f>IF(INPUT!P4582="","",INPUT!P4582)</f>
        <v/>
      </c>
      <c r="J4587" s="46" t="str">
        <f>IF(INPUT!Q4582="","",INPUT!Q4582)</f>
        <v/>
      </c>
      <c r="K4587" s="46" t="str">
        <f>IFERROR(IF(OR(INPUT!P4582="",INPUT!Q4582=""),"",INPUT!P4582-INPUT!Q4582),"")</f>
        <v/>
      </c>
      <c r="L4587" s="48" t="str">
        <f>IFERROR(IF(OR(INPUT!P4582="",INPUT!Q4582="",INPUT!P4582=0),"",(INPUT!P4582-INPUT!Q4582)/INPUT!P4582),"")</f>
        <v/>
      </c>
    </row>
    <row r="4588" spans="1:12" ht="18" hidden="1" customHeight="1" x14ac:dyDescent="0.2">
      <c r="A4588" s="11" t="str">
        <f>IF(INPUT!M4583="","",INPUT!M4583)</f>
        <v/>
      </c>
      <c r="B4588" s="11" t="str">
        <f>IF(INPUT!M4583="","",INPUT!M4583-WEEKDAY(INPUT!M4583,2)+1)</f>
        <v/>
      </c>
      <c r="C4588" s="20">
        <f>IFERROR(_xlfn.ISOWEEKNUM(INPUT!M4583),"")</f>
        <v>52</v>
      </c>
      <c r="D4588" s="20">
        <f>IFERROR(YEAR(INPUT!M4583),"")</f>
        <v>1900</v>
      </c>
      <c r="E4588" t="str">
        <f>IF(INPUT!O4583="","",INPUT!O4583)</f>
        <v/>
      </c>
      <c r="F4588" t="str">
        <f>IF(INPUT!N4583="","",INPUT!N4583)</f>
        <v/>
      </c>
      <c r="G4588" cm="1">
        <f t="array" ref="G4588">IFERROR(VLOOKUP(INPUT!M4583&amp;INPUT!N4583,CHOOSE({1,2},INPUT!$A$3:$A$5000&amp;INPUT!$C$3:$C$5000,INPUT!$F$3:$F$5000),2,FALSE),"")</f>
        <v>0</v>
      </c>
      <c r="H4588" cm="1">
        <f t="array" ref="H4588">IFERROR(VLOOKUP(INPUT!M4583&amp;INPUT!N4583,CHOOSE({1,2},INPUT!$A$3:$A$5000&amp;INPUT!$C$3:$C$5000,INPUT!$D$3:$D$5000),2,FALSE),"")</f>
        <v>0</v>
      </c>
      <c r="I4588" s="46" t="str">
        <f>IF(INPUT!P4583="","",INPUT!P4583)</f>
        <v/>
      </c>
      <c r="J4588" s="46" t="str">
        <f>IF(INPUT!Q4583="","",INPUT!Q4583)</f>
        <v/>
      </c>
      <c r="K4588" s="46" t="str">
        <f>IFERROR(IF(OR(INPUT!P4583="",INPUT!Q4583=""),"",INPUT!P4583-INPUT!Q4583),"")</f>
        <v/>
      </c>
      <c r="L4588" s="48" t="str">
        <f>IFERROR(IF(OR(INPUT!P4583="",INPUT!Q4583="",INPUT!P4583=0),"",(INPUT!P4583-INPUT!Q4583)/INPUT!P4583),"")</f>
        <v/>
      </c>
    </row>
    <row r="4589" spans="1:12" ht="18" hidden="1" customHeight="1" x14ac:dyDescent="0.2">
      <c r="A4589" s="11" t="str">
        <f>IF(INPUT!M4584="","",INPUT!M4584)</f>
        <v/>
      </c>
      <c r="B4589" s="11" t="str">
        <f>IF(INPUT!M4584="","",INPUT!M4584-WEEKDAY(INPUT!M4584,2)+1)</f>
        <v/>
      </c>
      <c r="C4589" s="20">
        <f>IFERROR(_xlfn.ISOWEEKNUM(INPUT!M4584),"")</f>
        <v>52</v>
      </c>
      <c r="D4589" s="20">
        <f>IFERROR(YEAR(INPUT!M4584),"")</f>
        <v>1900</v>
      </c>
      <c r="E4589" t="str">
        <f>IF(INPUT!O4584="","",INPUT!O4584)</f>
        <v/>
      </c>
      <c r="F4589" t="str">
        <f>IF(INPUT!N4584="","",INPUT!N4584)</f>
        <v/>
      </c>
      <c r="G4589" cm="1">
        <f t="array" ref="G4589">IFERROR(VLOOKUP(INPUT!M4584&amp;INPUT!N4584,CHOOSE({1,2},INPUT!$A$3:$A$5000&amp;INPUT!$C$3:$C$5000,INPUT!$F$3:$F$5000),2,FALSE),"")</f>
        <v>0</v>
      </c>
      <c r="H4589" cm="1">
        <f t="array" ref="H4589">IFERROR(VLOOKUP(INPUT!M4584&amp;INPUT!N4584,CHOOSE({1,2},INPUT!$A$3:$A$5000&amp;INPUT!$C$3:$C$5000,INPUT!$D$3:$D$5000),2,FALSE),"")</f>
        <v>0</v>
      </c>
      <c r="I4589" s="46" t="str">
        <f>IF(INPUT!P4584="","",INPUT!P4584)</f>
        <v/>
      </c>
      <c r="J4589" s="46" t="str">
        <f>IF(INPUT!Q4584="","",INPUT!Q4584)</f>
        <v/>
      </c>
      <c r="K4589" s="46" t="str">
        <f>IFERROR(IF(OR(INPUT!P4584="",INPUT!Q4584=""),"",INPUT!P4584-INPUT!Q4584),"")</f>
        <v/>
      </c>
      <c r="L4589" s="48" t="str">
        <f>IFERROR(IF(OR(INPUT!P4584="",INPUT!Q4584="",INPUT!P4584=0),"",(INPUT!P4584-INPUT!Q4584)/INPUT!P4584),"")</f>
        <v/>
      </c>
    </row>
    <row r="4590" spans="1:12" ht="18" hidden="1" customHeight="1" x14ac:dyDescent="0.2">
      <c r="A4590" s="11" t="str">
        <f>IF(INPUT!M4585="","",INPUT!M4585)</f>
        <v/>
      </c>
      <c r="B4590" s="11" t="str">
        <f>IF(INPUT!M4585="","",INPUT!M4585-WEEKDAY(INPUT!M4585,2)+1)</f>
        <v/>
      </c>
      <c r="C4590" s="20">
        <f>IFERROR(_xlfn.ISOWEEKNUM(INPUT!M4585),"")</f>
        <v>52</v>
      </c>
      <c r="D4590" s="20">
        <f>IFERROR(YEAR(INPUT!M4585),"")</f>
        <v>1900</v>
      </c>
      <c r="E4590" t="str">
        <f>IF(INPUT!O4585="","",INPUT!O4585)</f>
        <v/>
      </c>
      <c r="F4590" t="str">
        <f>IF(INPUT!N4585="","",INPUT!N4585)</f>
        <v/>
      </c>
      <c r="G4590" cm="1">
        <f t="array" ref="G4590">IFERROR(VLOOKUP(INPUT!M4585&amp;INPUT!N4585,CHOOSE({1,2},INPUT!$A$3:$A$5000&amp;INPUT!$C$3:$C$5000,INPUT!$F$3:$F$5000),2,FALSE),"")</f>
        <v>0</v>
      </c>
      <c r="H4590" cm="1">
        <f t="array" ref="H4590">IFERROR(VLOOKUP(INPUT!M4585&amp;INPUT!N4585,CHOOSE({1,2},INPUT!$A$3:$A$5000&amp;INPUT!$C$3:$C$5000,INPUT!$D$3:$D$5000),2,FALSE),"")</f>
        <v>0</v>
      </c>
      <c r="I4590" s="46" t="str">
        <f>IF(INPUT!P4585="","",INPUT!P4585)</f>
        <v/>
      </c>
      <c r="J4590" s="46" t="str">
        <f>IF(INPUT!Q4585="","",INPUT!Q4585)</f>
        <v/>
      </c>
      <c r="K4590" s="46" t="str">
        <f>IFERROR(IF(OR(INPUT!P4585="",INPUT!Q4585=""),"",INPUT!P4585-INPUT!Q4585),"")</f>
        <v/>
      </c>
      <c r="L4590" s="48" t="str">
        <f>IFERROR(IF(OR(INPUT!P4585="",INPUT!Q4585="",INPUT!P4585=0),"",(INPUT!P4585-INPUT!Q4585)/INPUT!P4585),"")</f>
        <v/>
      </c>
    </row>
    <row r="4591" spans="1:12" ht="18" hidden="1" customHeight="1" x14ac:dyDescent="0.2">
      <c r="A4591" s="11" t="str">
        <f>IF(INPUT!M4586="","",INPUT!M4586)</f>
        <v/>
      </c>
      <c r="B4591" s="11" t="str">
        <f>IF(INPUT!M4586="","",INPUT!M4586-WEEKDAY(INPUT!M4586,2)+1)</f>
        <v/>
      </c>
      <c r="C4591" s="20">
        <f>IFERROR(_xlfn.ISOWEEKNUM(INPUT!M4586),"")</f>
        <v>52</v>
      </c>
      <c r="D4591" s="20">
        <f>IFERROR(YEAR(INPUT!M4586),"")</f>
        <v>1900</v>
      </c>
      <c r="E4591" t="str">
        <f>IF(INPUT!O4586="","",INPUT!O4586)</f>
        <v/>
      </c>
      <c r="F4591" t="str">
        <f>IF(INPUT!N4586="","",INPUT!N4586)</f>
        <v/>
      </c>
      <c r="G4591" cm="1">
        <f t="array" ref="G4591">IFERROR(VLOOKUP(INPUT!M4586&amp;INPUT!N4586,CHOOSE({1,2},INPUT!$A$3:$A$5000&amp;INPUT!$C$3:$C$5000,INPUT!$F$3:$F$5000),2,FALSE),"")</f>
        <v>0</v>
      </c>
      <c r="H4591" cm="1">
        <f t="array" ref="H4591">IFERROR(VLOOKUP(INPUT!M4586&amp;INPUT!N4586,CHOOSE({1,2},INPUT!$A$3:$A$5000&amp;INPUT!$C$3:$C$5000,INPUT!$D$3:$D$5000),2,FALSE),"")</f>
        <v>0</v>
      </c>
      <c r="I4591" s="46" t="str">
        <f>IF(INPUT!P4586="","",INPUT!P4586)</f>
        <v/>
      </c>
      <c r="J4591" s="46" t="str">
        <f>IF(INPUT!Q4586="","",INPUT!Q4586)</f>
        <v/>
      </c>
      <c r="K4591" s="46" t="str">
        <f>IFERROR(IF(OR(INPUT!P4586="",INPUT!Q4586=""),"",INPUT!P4586-INPUT!Q4586),"")</f>
        <v/>
      </c>
      <c r="L4591" s="48" t="str">
        <f>IFERROR(IF(OR(INPUT!P4586="",INPUT!Q4586="",INPUT!P4586=0),"",(INPUT!P4586-INPUT!Q4586)/INPUT!P4586),"")</f>
        <v/>
      </c>
    </row>
    <row r="4592" spans="1:12" ht="18" hidden="1" customHeight="1" x14ac:dyDescent="0.2">
      <c r="A4592" s="11" t="str">
        <f>IF(INPUT!M4587="","",INPUT!M4587)</f>
        <v/>
      </c>
      <c r="B4592" s="11" t="str">
        <f>IF(INPUT!M4587="","",INPUT!M4587-WEEKDAY(INPUT!M4587,2)+1)</f>
        <v/>
      </c>
      <c r="C4592" s="20">
        <f>IFERROR(_xlfn.ISOWEEKNUM(INPUT!M4587),"")</f>
        <v>52</v>
      </c>
      <c r="D4592" s="20">
        <f>IFERROR(YEAR(INPUT!M4587),"")</f>
        <v>1900</v>
      </c>
      <c r="E4592" t="str">
        <f>IF(INPUT!O4587="","",INPUT!O4587)</f>
        <v/>
      </c>
      <c r="F4592" t="str">
        <f>IF(INPUT!N4587="","",INPUT!N4587)</f>
        <v/>
      </c>
      <c r="G4592" cm="1">
        <f t="array" ref="G4592">IFERROR(VLOOKUP(INPUT!M4587&amp;INPUT!N4587,CHOOSE({1,2},INPUT!$A$3:$A$5000&amp;INPUT!$C$3:$C$5000,INPUT!$F$3:$F$5000),2,FALSE),"")</f>
        <v>0</v>
      </c>
      <c r="H4592" cm="1">
        <f t="array" ref="H4592">IFERROR(VLOOKUP(INPUT!M4587&amp;INPUT!N4587,CHOOSE({1,2},INPUT!$A$3:$A$5000&amp;INPUT!$C$3:$C$5000,INPUT!$D$3:$D$5000),2,FALSE),"")</f>
        <v>0</v>
      </c>
      <c r="I4592" s="46" t="str">
        <f>IF(INPUT!P4587="","",INPUT!P4587)</f>
        <v/>
      </c>
      <c r="J4592" s="46" t="str">
        <f>IF(INPUT!Q4587="","",INPUT!Q4587)</f>
        <v/>
      </c>
      <c r="K4592" s="46" t="str">
        <f>IFERROR(IF(OR(INPUT!P4587="",INPUT!Q4587=""),"",INPUT!P4587-INPUT!Q4587),"")</f>
        <v/>
      </c>
      <c r="L4592" s="48" t="str">
        <f>IFERROR(IF(OR(INPUT!P4587="",INPUT!Q4587="",INPUT!P4587=0),"",(INPUT!P4587-INPUT!Q4587)/INPUT!P4587),"")</f>
        <v/>
      </c>
    </row>
    <row r="4593" spans="1:12" ht="18" hidden="1" customHeight="1" x14ac:dyDescent="0.2">
      <c r="A4593" s="11" t="str">
        <f>IF(INPUT!M4588="","",INPUT!M4588)</f>
        <v/>
      </c>
      <c r="B4593" s="11" t="str">
        <f>IF(INPUT!M4588="","",INPUT!M4588-WEEKDAY(INPUT!M4588,2)+1)</f>
        <v/>
      </c>
      <c r="C4593" s="20">
        <f>IFERROR(_xlfn.ISOWEEKNUM(INPUT!M4588),"")</f>
        <v>52</v>
      </c>
      <c r="D4593" s="20">
        <f>IFERROR(YEAR(INPUT!M4588),"")</f>
        <v>1900</v>
      </c>
      <c r="E4593" t="str">
        <f>IF(INPUT!O4588="","",INPUT!O4588)</f>
        <v/>
      </c>
      <c r="F4593" t="str">
        <f>IF(INPUT!N4588="","",INPUT!N4588)</f>
        <v/>
      </c>
      <c r="G4593" cm="1">
        <f t="array" ref="G4593">IFERROR(VLOOKUP(INPUT!M4588&amp;INPUT!N4588,CHOOSE({1,2},INPUT!$A$3:$A$5000&amp;INPUT!$C$3:$C$5000,INPUT!$F$3:$F$5000),2,FALSE),"")</f>
        <v>0</v>
      </c>
      <c r="H4593" cm="1">
        <f t="array" ref="H4593">IFERROR(VLOOKUP(INPUT!M4588&amp;INPUT!N4588,CHOOSE({1,2},INPUT!$A$3:$A$5000&amp;INPUT!$C$3:$C$5000,INPUT!$D$3:$D$5000),2,FALSE),"")</f>
        <v>0</v>
      </c>
      <c r="I4593" s="46" t="str">
        <f>IF(INPUT!P4588="","",INPUT!P4588)</f>
        <v/>
      </c>
      <c r="J4593" s="46" t="str">
        <f>IF(INPUT!Q4588="","",INPUT!Q4588)</f>
        <v/>
      </c>
      <c r="K4593" s="46" t="str">
        <f>IFERROR(IF(OR(INPUT!P4588="",INPUT!Q4588=""),"",INPUT!P4588-INPUT!Q4588),"")</f>
        <v/>
      </c>
      <c r="L4593" s="48" t="str">
        <f>IFERROR(IF(OR(INPUT!P4588="",INPUT!Q4588="",INPUT!P4588=0),"",(INPUT!P4588-INPUT!Q4588)/INPUT!P4588),"")</f>
        <v/>
      </c>
    </row>
    <row r="4594" spans="1:12" ht="18" hidden="1" customHeight="1" x14ac:dyDescent="0.2">
      <c r="A4594" s="11" t="str">
        <f>IF(INPUT!M4589="","",INPUT!M4589)</f>
        <v/>
      </c>
      <c r="B4594" s="11" t="str">
        <f>IF(INPUT!M4589="","",INPUT!M4589-WEEKDAY(INPUT!M4589,2)+1)</f>
        <v/>
      </c>
      <c r="C4594" s="20">
        <f>IFERROR(_xlfn.ISOWEEKNUM(INPUT!M4589),"")</f>
        <v>52</v>
      </c>
      <c r="D4594" s="20">
        <f>IFERROR(YEAR(INPUT!M4589),"")</f>
        <v>1900</v>
      </c>
      <c r="E4594" t="str">
        <f>IF(INPUT!O4589="","",INPUT!O4589)</f>
        <v/>
      </c>
      <c r="F4594" t="str">
        <f>IF(INPUT!N4589="","",INPUT!N4589)</f>
        <v/>
      </c>
      <c r="G4594" cm="1">
        <f t="array" ref="G4594">IFERROR(VLOOKUP(INPUT!M4589&amp;INPUT!N4589,CHOOSE({1,2},INPUT!$A$3:$A$5000&amp;INPUT!$C$3:$C$5000,INPUT!$F$3:$F$5000),2,FALSE),"")</f>
        <v>0</v>
      </c>
      <c r="H4594" cm="1">
        <f t="array" ref="H4594">IFERROR(VLOOKUP(INPUT!M4589&amp;INPUT!N4589,CHOOSE({1,2},INPUT!$A$3:$A$5000&amp;INPUT!$C$3:$C$5000,INPUT!$D$3:$D$5000),2,FALSE),"")</f>
        <v>0</v>
      </c>
      <c r="I4594" s="46" t="str">
        <f>IF(INPUT!P4589="","",INPUT!P4589)</f>
        <v/>
      </c>
      <c r="J4594" s="46" t="str">
        <f>IF(INPUT!Q4589="","",INPUT!Q4589)</f>
        <v/>
      </c>
      <c r="K4594" s="46" t="str">
        <f>IFERROR(IF(OR(INPUT!P4589="",INPUT!Q4589=""),"",INPUT!P4589-INPUT!Q4589),"")</f>
        <v/>
      </c>
      <c r="L4594" s="48" t="str">
        <f>IFERROR(IF(OR(INPUT!P4589="",INPUT!Q4589="",INPUT!P4589=0),"",(INPUT!P4589-INPUT!Q4589)/INPUT!P4589),"")</f>
        <v/>
      </c>
    </row>
    <row r="4595" spans="1:12" ht="18" hidden="1" customHeight="1" x14ac:dyDescent="0.2">
      <c r="A4595" s="11" t="str">
        <f>IF(INPUT!M4590="","",INPUT!M4590)</f>
        <v/>
      </c>
      <c r="B4595" s="11" t="str">
        <f>IF(INPUT!M4590="","",INPUT!M4590-WEEKDAY(INPUT!M4590,2)+1)</f>
        <v/>
      </c>
      <c r="C4595" s="20">
        <f>IFERROR(_xlfn.ISOWEEKNUM(INPUT!M4590),"")</f>
        <v>52</v>
      </c>
      <c r="D4595" s="20">
        <f>IFERROR(YEAR(INPUT!M4590),"")</f>
        <v>1900</v>
      </c>
      <c r="E4595" t="str">
        <f>IF(INPUT!O4590="","",INPUT!O4590)</f>
        <v/>
      </c>
      <c r="F4595" t="str">
        <f>IF(INPUT!N4590="","",INPUT!N4590)</f>
        <v/>
      </c>
      <c r="G4595" cm="1">
        <f t="array" ref="G4595">IFERROR(VLOOKUP(INPUT!M4590&amp;INPUT!N4590,CHOOSE({1,2},INPUT!$A$3:$A$5000&amp;INPUT!$C$3:$C$5000,INPUT!$F$3:$F$5000),2,FALSE),"")</f>
        <v>0</v>
      </c>
      <c r="H4595" cm="1">
        <f t="array" ref="H4595">IFERROR(VLOOKUP(INPUT!M4590&amp;INPUT!N4590,CHOOSE({1,2},INPUT!$A$3:$A$5000&amp;INPUT!$C$3:$C$5000,INPUT!$D$3:$D$5000),2,FALSE),"")</f>
        <v>0</v>
      </c>
      <c r="I4595" s="46" t="str">
        <f>IF(INPUT!P4590="","",INPUT!P4590)</f>
        <v/>
      </c>
      <c r="J4595" s="46" t="str">
        <f>IF(INPUT!Q4590="","",INPUT!Q4590)</f>
        <v/>
      </c>
      <c r="K4595" s="46" t="str">
        <f>IFERROR(IF(OR(INPUT!P4590="",INPUT!Q4590=""),"",INPUT!P4590-INPUT!Q4590),"")</f>
        <v/>
      </c>
      <c r="L4595" s="48" t="str">
        <f>IFERROR(IF(OR(INPUT!P4590="",INPUT!Q4590="",INPUT!P4590=0),"",(INPUT!P4590-INPUT!Q4590)/INPUT!P4590),"")</f>
        <v/>
      </c>
    </row>
    <row r="4596" spans="1:12" ht="18" hidden="1" customHeight="1" x14ac:dyDescent="0.2">
      <c r="A4596" s="11" t="str">
        <f>IF(INPUT!M4591="","",INPUT!M4591)</f>
        <v/>
      </c>
      <c r="B4596" s="11" t="str">
        <f>IF(INPUT!M4591="","",INPUT!M4591-WEEKDAY(INPUT!M4591,2)+1)</f>
        <v/>
      </c>
      <c r="C4596" s="20">
        <f>IFERROR(_xlfn.ISOWEEKNUM(INPUT!M4591),"")</f>
        <v>52</v>
      </c>
      <c r="D4596" s="20">
        <f>IFERROR(YEAR(INPUT!M4591),"")</f>
        <v>1900</v>
      </c>
      <c r="E4596" t="str">
        <f>IF(INPUT!O4591="","",INPUT!O4591)</f>
        <v/>
      </c>
      <c r="F4596" t="str">
        <f>IF(INPUT!N4591="","",INPUT!N4591)</f>
        <v/>
      </c>
      <c r="G4596" cm="1">
        <f t="array" ref="G4596">IFERROR(VLOOKUP(INPUT!M4591&amp;INPUT!N4591,CHOOSE({1,2},INPUT!$A$3:$A$5000&amp;INPUT!$C$3:$C$5000,INPUT!$F$3:$F$5000),2,FALSE),"")</f>
        <v>0</v>
      </c>
      <c r="H4596" cm="1">
        <f t="array" ref="H4596">IFERROR(VLOOKUP(INPUT!M4591&amp;INPUT!N4591,CHOOSE({1,2},INPUT!$A$3:$A$5000&amp;INPUT!$C$3:$C$5000,INPUT!$D$3:$D$5000),2,FALSE),"")</f>
        <v>0</v>
      </c>
      <c r="I4596" s="46" t="str">
        <f>IF(INPUT!P4591="","",INPUT!P4591)</f>
        <v/>
      </c>
      <c r="J4596" s="46" t="str">
        <f>IF(INPUT!Q4591="","",INPUT!Q4591)</f>
        <v/>
      </c>
      <c r="K4596" s="46" t="str">
        <f>IFERROR(IF(OR(INPUT!P4591="",INPUT!Q4591=""),"",INPUT!P4591-INPUT!Q4591),"")</f>
        <v/>
      </c>
      <c r="L4596" s="48" t="str">
        <f>IFERROR(IF(OR(INPUT!P4591="",INPUT!Q4591="",INPUT!P4591=0),"",(INPUT!P4591-INPUT!Q4591)/INPUT!P4591),"")</f>
        <v/>
      </c>
    </row>
    <row r="4597" spans="1:12" ht="18" hidden="1" customHeight="1" x14ac:dyDescent="0.2">
      <c r="A4597" s="11" t="str">
        <f>IF(INPUT!M4592="","",INPUT!M4592)</f>
        <v/>
      </c>
      <c r="B4597" s="11" t="str">
        <f>IF(INPUT!M4592="","",INPUT!M4592-WEEKDAY(INPUT!M4592,2)+1)</f>
        <v/>
      </c>
      <c r="C4597" s="20">
        <f>IFERROR(_xlfn.ISOWEEKNUM(INPUT!M4592),"")</f>
        <v>52</v>
      </c>
      <c r="D4597" s="20">
        <f>IFERROR(YEAR(INPUT!M4592),"")</f>
        <v>1900</v>
      </c>
      <c r="E4597" t="str">
        <f>IF(INPUT!O4592="","",INPUT!O4592)</f>
        <v/>
      </c>
      <c r="F4597" t="str">
        <f>IF(INPUT!N4592="","",INPUT!N4592)</f>
        <v/>
      </c>
      <c r="G4597" cm="1">
        <f t="array" ref="G4597">IFERROR(VLOOKUP(INPUT!M4592&amp;INPUT!N4592,CHOOSE({1,2},INPUT!$A$3:$A$5000&amp;INPUT!$C$3:$C$5000,INPUT!$F$3:$F$5000),2,FALSE),"")</f>
        <v>0</v>
      </c>
      <c r="H4597" cm="1">
        <f t="array" ref="H4597">IFERROR(VLOOKUP(INPUT!M4592&amp;INPUT!N4592,CHOOSE({1,2},INPUT!$A$3:$A$5000&amp;INPUT!$C$3:$C$5000,INPUT!$D$3:$D$5000),2,FALSE),"")</f>
        <v>0</v>
      </c>
      <c r="I4597" s="46" t="str">
        <f>IF(INPUT!P4592="","",INPUT!P4592)</f>
        <v/>
      </c>
      <c r="J4597" s="46" t="str">
        <f>IF(INPUT!Q4592="","",INPUT!Q4592)</f>
        <v/>
      </c>
      <c r="K4597" s="46" t="str">
        <f>IFERROR(IF(OR(INPUT!P4592="",INPUT!Q4592=""),"",INPUT!P4592-INPUT!Q4592),"")</f>
        <v/>
      </c>
      <c r="L4597" s="48" t="str">
        <f>IFERROR(IF(OR(INPUT!P4592="",INPUT!Q4592="",INPUT!P4592=0),"",(INPUT!P4592-INPUT!Q4592)/INPUT!P4592),"")</f>
        <v/>
      </c>
    </row>
    <row r="4598" spans="1:12" ht="18" hidden="1" customHeight="1" x14ac:dyDescent="0.2">
      <c r="A4598" s="11" t="str">
        <f>IF(INPUT!M4593="","",INPUT!M4593)</f>
        <v/>
      </c>
      <c r="B4598" s="11" t="str">
        <f>IF(INPUT!M4593="","",INPUT!M4593-WEEKDAY(INPUT!M4593,2)+1)</f>
        <v/>
      </c>
      <c r="C4598" s="20">
        <f>IFERROR(_xlfn.ISOWEEKNUM(INPUT!M4593),"")</f>
        <v>52</v>
      </c>
      <c r="D4598" s="20">
        <f>IFERROR(YEAR(INPUT!M4593),"")</f>
        <v>1900</v>
      </c>
      <c r="E4598" t="str">
        <f>IF(INPUT!O4593="","",INPUT!O4593)</f>
        <v/>
      </c>
      <c r="F4598" t="str">
        <f>IF(INPUT!N4593="","",INPUT!N4593)</f>
        <v/>
      </c>
      <c r="G4598" cm="1">
        <f t="array" ref="G4598">IFERROR(VLOOKUP(INPUT!M4593&amp;INPUT!N4593,CHOOSE({1,2},INPUT!$A$3:$A$5000&amp;INPUT!$C$3:$C$5000,INPUT!$F$3:$F$5000),2,FALSE),"")</f>
        <v>0</v>
      </c>
      <c r="H4598" cm="1">
        <f t="array" ref="H4598">IFERROR(VLOOKUP(INPUT!M4593&amp;INPUT!N4593,CHOOSE({1,2},INPUT!$A$3:$A$5000&amp;INPUT!$C$3:$C$5000,INPUT!$D$3:$D$5000),2,FALSE),"")</f>
        <v>0</v>
      </c>
      <c r="I4598" s="46" t="str">
        <f>IF(INPUT!P4593="","",INPUT!P4593)</f>
        <v/>
      </c>
      <c r="J4598" s="46" t="str">
        <f>IF(INPUT!Q4593="","",INPUT!Q4593)</f>
        <v/>
      </c>
      <c r="K4598" s="46" t="str">
        <f>IFERROR(IF(OR(INPUT!P4593="",INPUT!Q4593=""),"",INPUT!P4593-INPUT!Q4593),"")</f>
        <v/>
      </c>
      <c r="L4598" s="48" t="str">
        <f>IFERROR(IF(OR(INPUT!P4593="",INPUT!Q4593="",INPUT!P4593=0),"",(INPUT!P4593-INPUT!Q4593)/INPUT!P4593),"")</f>
        <v/>
      </c>
    </row>
    <row r="4599" spans="1:12" ht="18" hidden="1" customHeight="1" x14ac:dyDescent="0.2">
      <c r="A4599" s="11" t="str">
        <f>IF(INPUT!M4594="","",INPUT!M4594)</f>
        <v/>
      </c>
      <c r="B4599" s="11" t="str">
        <f>IF(INPUT!M4594="","",INPUT!M4594-WEEKDAY(INPUT!M4594,2)+1)</f>
        <v/>
      </c>
      <c r="C4599" s="20">
        <f>IFERROR(_xlfn.ISOWEEKNUM(INPUT!M4594),"")</f>
        <v>52</v>
      </c>
      <c r="D4599" s="20">
        <f>IFERROR(YEAR(INPUT!M4594),"")</f>
        <v>1900</v>
      </c>
      <c r="E4599" t="str">
        <f>IF(INPUT!O4594="","",INPUT!O4594)</f>
        <v/>
      </c>
      <c r="F4599" t="str">
        <f>IF(INPUT!N4594="","",INPUT!N4594)</f>
        <v/>
      </c>
      <c r="G4599" cm="1">
        <f t="array" ref="G4599">IFERROR(VLOOKUP(INPUT!M4594&amp;INPUT!N4594,CHOOSE({1,2},INPUT!$A$3:$A$5000&amp;INPUT!$C$3:$C$5000,INPUT!$F$3:$F$5000),2,FALSE),"")</f>
        <v>0</v>
      </c>
      <c r="H4599" cm="1">
        <f t="array" ref="H4599">IFERROR(VLOOKUP(INPUT!M4594&amp;INPUT!N4594,CHOOSE({1,2},INPUT!$A$3:$A$5000&amp;INPUT!$C$3:$C$5000,INPUT!$D$3:$D$5000),2,FALSE),"")</f>
        <v>0</v>
      </c>
      <c r="I4599" s="46" t="str">
        <f>IF(INPUT!P4594="","",INPUT!P4594)</f>
        <v/>
      </c>
      <c r="J4599" s="46" t="str">
        <f>IF(INPUT!Q4594="","",INPUT!Q4594)</f>
        <v/>
      </c>
      <c r="K4599" s="46" t="str">
        <f>IFERROR(IF(OR(INPUT!P4594="",INPUT!Q4594=""),"",INPUT!P4594-INPUT!Q4594),"")</f>
        <v/>
      </c>
      <c r="L4599" s="48" t="str">
        <f>IFERROR(IF(OR(INPUT!P4594="",INPUT!Q4594="",INPUT!P4594=0),"",(INPUT!P4594-INPUT!Q4594)/INPUT!P4594),"")</f>
        <v/>
      </c>
    </row>
    <row r="4600" spans="1:12" ht="18" hidden="1" customHeight="1" x14ac:dyDescent="0.2">
      <c r="A4600" s="11" t="str">
        <f>IF(INPUT!M4595="","",INPUT!M4595)</f>
        <v/>
      </c>
      <c r="B4600" s="11" t="str">
        <f>IF(INPUT!M4595="","",INPUT!M4595-WEEKDAY(INPUT!M4595,2)+1)</f>
        <v/>
      </c>
      <c r="C4600" s="20">
        <f>IFERROR(_xlfn.ISOWEEKNUM(INPUT!M4595),"")</f>
        <v>52</v>
      </c>
      <c r="D4600" s="20">
        <f>IFERROR(YEAR(INPUT!M4595),"")</f>
        <v>1900</v>
      </c>
      <c r="E4600" t="str">
        <f>IF(INPUT!O4595="","",INPUT!O4595)</f>
        <v/>
      </c>
      <c r="F4600" t="str">
        <f>IF(INPUT!N4595="","",INPUT!N4595)</f>
        <v/>
      </c>
      <c r="G4600" cm="1">
        <f t="array" ref="G4600">IFERROR(VLOOKUP(INPUT!M4595&amp;INPUT!N4595,CHOOSE({1,2},INPUT!$A$3:$A$5000&amp;INPUT!$C$3:$C$5000,INPUT!$F$3:$F$5000),2,FALSE),"")</f>
        <v>0</v>
      </c>
      <c r="H4600" cm="1">
        <f t="array" ref="H4600">IFERROR(VLOOKUP(INPUT!M4595&amp;INPUT!N4595,CHOOSE({1,2},INPUT!$A$3:$A$5000&amp;INPUT!$C$3:$C$5000,INPUT!$D$3:$D$5000),2,FALSE),"")</f>
        <v>0</v>
      </c>
      <c r="I4600" s="46" t="str">
        <f>IF(INPUT!P4595="","",INPUT!P4595)</f>
        <v/>
      </c>
      <c r="J4600" s="46" t="str">
        <f>IF(INPUT!Q4595="","",INPUT!Q4595)</f>
        <v/>
      </c>
      <c r="K4600" s="46" t="str">
        <f>IFERROR(IF(OR(INPUT!P4595="",INPUT!Q4595=""),"",INPUT!P4595-INPUT!Q4595),"")</f>
        <v/>
      </c>
      <c r="L4600" s="48" t="str">
        <f>IFERROR(IF(OR(INPUT!P4595="",INPUT!Q4595="",INPUT!P4595=0),"",(INPUT!P4595-INPUT!Q4595)/INPUT!P4595),"")</f>
        <v/>
      </c>
    </row>
    <row r="4601" spans="1:12" ht="18" hidden="1" customHeight="1" x14ac:dyDescent="0.2">
      <c r="A4601" s="11" t="str">
        <f>IF(INPUT!M4596="","",INPUT!M4596)</f>
        <v/>
      </c>
      <c r="B4601" s="11" t="str">
        <f>IF(INPUT!M4596="","",INPUT!M4596-WEEKDAY(INPUT!M4596,2)+1)</f>
        <v/>
      </c>
      <c r="C4601" s="20">
        <f>IFERROR(_xlfn.ISOWEEKNUM(INPUT!M4596),"")</f>
        <v>52</v>
      </c>
      <c r="D4601" s="20">
        <f>IFERROR(YEAR(INPUT!M4596),"")</f>
        <v>1900</v>
      </c>
      <c r="E4601" t="str">
        <f>IF(INPUT!O4596="","",INPUT!O4596)</f>
        <v/>
      </c>
      <c r="F4601" t="str">
        <f>IF(INPUT!N4596="","",INPUT!N4596)</f>
        <v/>
      </c>
      <c r="G4601" cm="1">
        <f t="array" ref="G4601">IFERROR(VLOOKUP(INPUT!M4596&amp;INPUT!N4596,CHOOSE({1,2},INPUT!$A$3:$A$5000&amp;INPUT!$C$3:$C$5000,INPUT!$F$3:$F$5000),2,FALSE),"")</f>
        <v>0</v>
      </c>
      <c r="H4601" cm="1">
        <f t="array" ref="H4601">IFERROR(VLOOKUP(INPUT!M4596&amp;INPUT!N4596,CHOOSE({1,2},INPUT!$A$3:$A$5000&amp;INPUT!$C$3:$C$5000,INPUT!$D$3:$D$5000),2,FALSE),"")</f>
        <v>0</v>
      </c>
      <c r="I4601" s="46" t="str">
        <f>IF(INPUT!P4596="","",INPUT!P4596)</f>
        <v/>
      </c>
      <c r="J4601" s="46" t="str">
        <f>IF(INPUT!Q4596="","",INPUT!Q4596)</f>
        <v/>
      </c>
      <c r="K4601" s="46" t="str">
        <f>IFERROR(IF(OR(INPUT!P4596="",INPUT!Q4596=""),"",INPUT!P4596-INPUT!Q4596),"")</f>
        <v/>
      </c>
      <c r="L4601" s="48" t="str">
        <f>IFERROR(IF(OR(INPUT!P4596="",INPUT!Q4596="",INPUT!P4596=0),"",(INPUT!P4596-INPUT!Q4596)/INPUT!P4596),"")</f>
        <v/>
      </c>
    </row>
    <row r="4602" spans="1:12" ht="18" hidden="1" customHeight="1" x14ac:dyDescent="0.2">
      <c r="A4602" s="11" t="str">
        <f>IF(INPUT!M4597="","",INPUT!M4597)</f>
        <v/>
      </c>
      <c r="B4602" s="11" t="str">
        <f>IF(INPUT!M4597="","",INPUT!M4597-WEEKDAY(INPUT!M4597,2)+1)</f>
        <v/>
      </c>
      <c r="C4602" s="20">
        <f>IFERROR(_xlfn.ISOWEEKNUM(INPUT!M4597),"")</f>
        <v>52</v>
      </c>
      <c r="D4602" s="20">
        <f>IFERROR(YEAR(INPUT!M4597),"")</f>
        <v>1900</v>
      </c>
      <c r="E4602" t="str">
        <f>IF(INPUT!O4597="","",INPUT!O4597)</f>
        <v/>
      </c>
      <c r="F4602" t="str">
        <f>IF(INPUT!N4597="","",INPUT!N4597)</f>
        <v/>
      </c>
      <c r="G4602" cm="1">
        <f t="array" ref="G4602">IFERROR(VLOOKUP(INPUT!M4597&amp;INPUT!N4597,CHOOSE({1,2},INPUT!$A$3:$A$5000&amp;INPUT!$C$3:$C$5000,INPUT!$F$3:$F$5000),2,FALSE),"")</f>
        <v>0</v>
      </c>
      <c r="H4602" cm="1">
        <f t="array" ref="H4602">IFERROR(VLOOKUP(INPUT!M4597&amp;INPUT!N4597,CHOOSE({1,2},INPUT!$A$3:$A$5000&amp;INPUT!$C$3:$C$5000,INPUT!$D$3:$D$5000),2,FALSE),"")</f>
        <v>0</v>
      </c>
      <c r="I4602" s="46" t="str">
        <f>IF(INPUT!P4597="","",INPUT!P4597)</f>
        <v/>
      </c>
      <c r="J4602" s="46" t="str">
        <f>IF(INPUT!Q4597="","",INPUT!Q4597)</f>
        <v/>
      </c>
      <c r="K4602" s="46" t="str">
        <f>IFERROR(IF(OR(INPUT!P4597="",INPUT!Q4597=""),"",INPUT!P4597-INPUT!Q4597),"")</f>
        <v/>
      </c>
      <c r="L4602" s="48" t="str">
        <f>IFERROR(IF(OR(INPUT!P4597="",INPUT!Q4597="",INPUT!P4597=0),"",(INPUT!P4597-INPUT!Q4597)/INPUT!P4597),"")</f>
        <v/>
      </c>
    </row>
    <row r="4603" spans="1:12" ht="18" hidden="1" customHeight="1" x14ac:dyDescent="0.2">
      <c r="A4603" s="11" t="str">
        <f>IF(INPUT!M4598="","",INPUT!M4598)</f>
        <v/>
      </c>
      <c r="B4603" s="11" t="str">
        <f>IF(INPUT!M4598="","",INPUT!M4598-WEEKDAY(INPUT!M4598,2)+1)</f>
        <v/>
      </c>
      <c r="C4603" s="20">
        <f>IFERROR(_xlfn.ISOWEEKNUM(INPUT!M4598),"")</f>
        <v>52</v>
      </c>
      <c r="D4603" s="20">
        <f>IFERROR(YEAR(INPUT!M4598),"")</f>
        <v>1900</v>
      </c>
      <c r="E4603" t="str">
        <f>IF(INPUT!O4598="","",INPUT!O4598)</f>
        <v/>
      </c>
      <c r="F4603" t="str">
        <f>IF(INPUT!N4598="","",INPUT!N4598)</f>
        <v/>
      </c>
      <c r="G4603" cm="1">
        <f t="array" ref="G4603">IFERROR(VLOOKUP(INPUT!M4598&amp;INPUT!N4598,CHOOSE({1,2},INPUT!$A$3:$A$5000&amp;INPUT!$C$3:$C$5000,INPUT!$F$3:$F$5000),2,FALSE),"")</f>
        <v>0</v>
      </c>
      <c r="H4603" cm="1">
        <f t="array" ref="H4603">IFERROR(VLOOKUP(INPUT!M4598&amp;INPUT!N4598,CHOOSE({1,2},INPUT!$A$3:$A$5000&amp;INPUT!$C$3:$C$5000,INPUT!$D$3:$D$5000),2,FALSE),"")</f>
        <v>0</v>
      </c>
      <c r="I4603" s="46" t="str">
        <f>IF(INPUT!P4598="","",INPUT!P4598)</f>
        <v/>
      </c>
      <c r="J4603" s="46" t="str">
        <f>IF(INPUT!Q4598="","",INPUT!Q4598)</f>
        <v/>
      </c>
      <c r="K4603" s="46" t="str">
        <f>IFERROR(IF(OR(INPUT!P4598="",INPUT!Q4598=""),"",INPUT!P4598-INPUT!Q4598),"")</f>
        <v/>
      </c>
      <c r="L4603" s="48" t="str">
        <f>IFERROR(IF(OR(INPUT!P4598="",INPUT!Q4598="",INPUT!P4598=0),"",(INPUT!P4598-INPUT!Q4598)/INPUT!P4598),"")</f>
        <v/>
      </c>
    </row>
    <row r="4604" spans="1:12" ht="18" hidden="1" customHeight="1" x14ac:dyDescent="0.2">
      <c r="A4604" s="11" t="str">
        <f>IF(INPUT!M4599="","",INPUT!M4599)</f>
        <v/>
      </c>
      <c r="B4604" s="11" t="str">
        <f>IF(INPUT!M4599="","",INPUT!M4599-WEEKDAY(INPUT!M4599,2)+1)</f>
        <v/>
      </c>
      <c r="C4604" s="20">
        <f>IFERROR(_xlfn.ISOWEEKNUM(INPUT!M4599),"")</f>
        <v>52</v>
      </c>
      <c r="D4604" s="20">
        <f>IFERROR(YEAR(INPUT!M4599),"")</f>
        <v>1900</v>
      </c>
      <c r="E4604" t="str">
        <f>IF(INPUT!O4599="","",INPUT!O4599)</f>
        <v/>
      </c>
      <c r="F4604" t="str">
        <f>IF(INPUT!N4599="","",INPUT!N4599)</f>
        <v/>
      </c>
      <c r="G4604" cm="1">
        <f t="array" ref="G4604">IFERROR(VLOOKUP(INPUT!M4599&amp;INPUT!N4599,CHOOSE({1,2},INPUT!$A$3:$A$5000&amp;INPUT!$C$3:$C$5000,INPUT!$F$3:$F$5000),2,FALSE),"")</f>
        <v>0</v>
      </c>
      <c r="H4604" cm="1">
        <f t="array" ref="H4604">IFERROR(VLOOKUP(INPUT!M4599&amp;INPUT!N4599,CHOOSE({1,2},INPUT!$A$3:$A$5000&amp;INPUT!$C$3:$C$5000,INPUT!$D$3:$D$5000),2,FALSE),"")</f>
        <v>0</v>
      </c>
      <c r="I4604" s="46" t="str">
        <f>IF(INPUT!P4599="","",INPUT!P4599)</f>
        <v/>
      </c>
      <c r="J4604" s="46" t="str">
        <f>IF(INPUT!Q4599="","",INPUT!Q4599)</f>
        <v/>
      </c>
      <c r="K4604" s="46" t="str">
        <f>IFERROR(IF(OR(INPUT!P4599="",INPUT!Q4599=""),"",INPUT!P4599-INPUT!Q4599),"")</f>
        <v/>
      </c>
      <c r="L4604" s="48" t="str">
        <f>IFERROR(IF(OR(INPUT!P4599="",INPUT!Q4599="",INPUT!P4599=0),"",(INPUT!P4599-INPUT!Q4599)/INPUT!P4599),"")</f>
        <v/>
      </c>
    </row>
    <row r="4605" spans="1:12" ht="18" hidden="1" customHeight="1" x14ac:dyDescent="0.2">
      <c r="A4605" s="11" t="str">
        <f>IF(INPUT!M4600="","",INPUT!M4600)</f>
        <v/>
      </c>
      <c r="B4605" s="11" t="str">
        <f>IF(INPUT!M4600="","",INPUT!M4600-WEEKDAY(INPUT!M4600,2)+1)</f>
        <v/>
      </c>
      <c r="C4605" s="20">
        <f>IFERROR(_xlfn.ISOWEEKNUM(INPUT!M4600),"")</f>
        <v>52</v>
      </c>
      <c r="D4605" s="20">
        <f>IFERROR(YEAR(INPUT!M4600),"")</f>
        <v>1900</v>
      </c>
      <c r="E4605" t="str">
        <f>IF(INPUT!O4600="","",INPUT!O4600)</f>
        <v/>
      </c>
      <c r="F4605" t="str">
        <f>IF(INPUT!N4600="","",INPUT!N4600)</f>
        <v/>
      </c>
      <c r="G4605" cm="1">
        <f t="array" ref="G4605">IFERROR(VLOOKUP(INPUT!M4600&amp;INPUT!N4600,CHOOSE({1,2},INPUT!$A$3:$A$5000&amp;INPUT!$C$3:$C$5000,INPUT!$F$3:$F$5000),2,FALSE),"")</f>
        <v>0</v>
      </c>
      <c r="H4605" cm="1">
        <f t="array" ref="H4605">IFERROR(VLOOKUP(INPUT!M4600&amp;INPUT!N4600,CHOOSE({1,2},INPUT!$A$3:$A$5000&amp;INPUT!$C$3:$C$5000,INPUT!$D$3:$D$5000),2,FALSE),"")</f>
        <v>0</v>
      </c>
      <c r="I4605" s="46" t="str">
        <f>IF(INPUT!P4600="","",INPUT!P4600)</f>
        <v/>
      </c>
      <c r="J4605" s="46" t="str">
        <f>IF(INPUT!Q4600="","",INPUT!Q4600)</f>
        <v/>
      </c>
      <c r="K4605" s="46" t="str">
        <f>IFERROR(IF(OR(INPUT!P4600="",INPUT!Q4600=""),"",INPUT!P4600-INPUT!Q4600),"")</f>
        <v/>
      </c>
      <c r="L4605" s="48" t="str">
        <f>IFERROR(IF(OR(INPUT!P4600="",INPUT!Q4600="",INPUT!P4600=0),"",(INPUT!P4600-INPUT!Q4600)/INPUT!P4600),"")</f>
        <v/>
      </c>
    </row>
    <row r="4606" spans="1:12" ht="18" hidden="1" customHeight="1" x14ac:dyDescent="0.2">
      <c r="A4606" s="11" t="str">
        <f>IF(INPUT!M4601="","",INPUT!M4601)</f>
        <v/>
      </c>
      <c r="B4606" s="11" t="str">
        <f>IF(INPUT!M4601="","",INPUT!M4601-WEEKDAY(INPUT!M4601,2)+1)</f>
        <v/>
      </c>
      <c r="C4606" s="20">
        <f>IFERROR(_xlfn.ISOWEEKNUM(INPUT!M4601),"")</f>
        <v>52</v>
      </c>
      <c r="D4606" s="20">
        <f>IFERROR(YEAR(INPUT!M4601),"")</f>
        <v>1900</v>
      </c>
      <c r="E4606" t="str">
        <f>IF(INPUT!O4601="","",INPUT!O4601)</f>
        <v/>
      </c>
      <c r="F4606" t="str">
        <f>IF(INPUT!N4601="","",INPUT!N4601)</f>
        <v/>
      </c>
      <c r="G4606" cm="1">
        <f t="array" ref="G4606">IFERROR(VLOOKUP(INPUT!M4601&amp;INPUT!N4601,CHOOSE({1,2},INPUT!$A$3:$A$5000&amp;INPUT!$C$3:$C$5000,INPUT!$F$3:$F$5000),2,FALSE),"")</f>
        <v>0</v>
      </c>
      <c r="H4606" cm="1">
        <f t="array" ref="H4606">IFERROR(VLOOKUP(INPUT!M4601&amp;INPUT!N4601,CHOOSE({1,2},INPUT!$A$3:$A$5000&amp;INPUT!$C$3:$C$5000,INPUT!$D$3:$D$5000),2,FALSE),"")</f>
        <v>0</v>
      </c>
      <c r="I4606" s="46" t="str">
        <f>IF(INPUT!P4601="","",INPUT!P4601)</f>
        <v/>
      </c>
      <c r="J4606" s="46" t="str">
        <f>IF(INPUT!Q4601="","",INPUT!Q4601)</f>
        <v/>
      </c>
      <c r="K4606" s="46" t="str">
        <f>IFERROR(IF(OR(INPUT!P4601="",INPUT!Q4601=""),"",INPUT!P4601-INPUT!Q4601),"")</f>
        <v/>
      </c>
      <c r="L4606" s="48" t="str">
        <f>IFERROR(IF(OR(INPUT!P4601="",INPUT!Q4601="",INPUT!P4601=0),"",(INPUT!P4601-INPUT!Q4601)/INPUT!P4601),"")</f>
        <v/>
      </c>
    </row>
    <row r="4607" spans="1:12" ht="18" hidden="1" customHeight="1" x14ac:dyDescent="0.2">
      <c r="A4607" s="11" t="str">
        <f>IF(INPUT!M4602="","",INPUT!M4602)</f>
        <v/>
      </c>
      <c r="B4607" s="11" t="str">
        <f>IF(INPUT!M4602="","",INPUT!M4602-WEEKDAY(INPUT!M4602,2)+1)</f>
        <v/>
      </c>
      <c r="C4607" s="20">
        <f>IFERROR(_xlfn.ISOWEEKNUM(INPUT!M4602),"")</f>
        <v>52</v>
      </c>
      <c r="D4607" s="20">
        <f>IFERROR(YEAR(INPUT!M4602),"")</f>
        <v>1900</v>
      </c>
      <c r="E4607" t="str">
        <f>IF(INPUT!O4602="","",INPUT!O4602)</f>
        <v/>
      </c>
      <c r="F4607" t="str">
        <f>IF(INPUT!N4602="","",INPUT!N4602)</f>
        <v/>
      </c>
      <c r="G4607" cm="1">
        <f t="array" ref="G4607">IFERROR(VLOOKUP(INPUT!M4602&amp;INPUT!N4602,CHOOSE({1,2},INPUT!$A$3:$A$5000&amp;INPUT!$C$3:$C$5000,INPUT!$F$3:$F$5000),2,FALSE),"")</f>
        <v>0</v>
      </c>
      <c r="H4607" cm="1">
        <f t="array" ref="H4607">IFERROR(VLOOKUP(INPUT!M4602&amp;INPUT!N4602,CHOOSE({1,2},INPUT!$A$3:$A$5000&amp;INPUT!$C$3:$C$5000,INPUT!$D$3:$D$5000),2,FALSE),"")</f>
        <v>0</v>
      </c>
      <c r="I4607" s="46" t="str">
        <f>IF(INPUT!P4602="","",INPUT!P4602)</f>
        <v/>
      </c>
      <c r="J4607" s="46" t="str">
        <f>IF(INPUT!Q4602="","",INPUT!Q4602)</f>
        <v/>
      </c>
      <c r="K4607" s="46" t="str">
        <f>IFERROR(IF(OR(INPUT!P4602="",INPUT!Q4602=""),"",INPUT!P4602-INPUT!Q4602),"")</f>
        <v/>
      </c>
      <c r="L4607" s="48" t="str">
        <f>IFERROR(IF(OR(INPUT!P4602="",INPUT!Q4602="",INPUT!P4602=0),"",(INPUT!P4602-INPUT!Q4602)/INPUT!P4602),"")</f>
        <v/>
      </c>
    </row>
    <row r="4608" spans="1:12" ht="18" hidden="1" customHeight="1" x14ac:dyDescent="0.2">
      <c r="A4608" s="11" t="str">
        <f>IF(INPUT!M4603="","",INPUT!M4603)</f>
        <v/>
      </c>
      <c r="B4608" s="11" t="str">
        <f>IF(INPUT!M4603="","",INPUT!M4603-WEEKDAY(INPUT!M4603,2)+1)</f>
        <v/>
      </c>
      <c r="C4608" s="20">
        <f>IFERROR(_xlfn.ISOWEEKNUM(INPUT!M4603),"")</f>
        <v>52</v>
      </c>
      <c r="D4608" s="20">
        <f>IFERROR(YEAR(INPUT!M4603),"")</f>
        <v>1900</v>
      </c>
      <c r="E4608" t="str">
        <f>IF(INPUT!O4603="","",INPUT!O4603)</f>
        <v/>
      </c>
      <c r="F4608" t="str">
        <f>IF(INPUT!N4603="","",INPUT!N4603)</f>
        <v/>
      </c>
      <c r="G4608" cm="1">
        <f t="array" ref="G4608">IFERROR(VLOOKUP(INPUT!M4603&amp;INPUT!N4603,CHOOSE({1,2},INPUT!$A$3:$A$5000&amp;INPUT!$C$3:$C$5000,INPUT!$F$3:$F$5000),2,FALSE),"")</f>
        <v>0</v>
      </c>
      <c r="H4608" cm="1">
        <f t="array" ref="H4608">IFERROR(VLOOKUP(INPUT!M4603&amp;INPUT!N4603,CHOOSE({1,2},INPUT!$A$3:$A$5000&amp;INPUT!$C$3:$C$5000,INPUT!$D$3:$D$5000),2,FALSE),"")</f>
        <v>0</v>
      </c>
      <c r="I4608" s="46" t="str">
        <f>IF(INPUT!P4603="","",INPUT!P4603)</f>
        <v/>
      </c>
      <c r="J4608" s="46" t="str">
        <f>IF(INPUT!Q4603="","",INPUT!Q4603)</f>
        <v/>
      </c>
      <c r="K4608" s="46" t="str">
        <f>IFERROR(IF(OR(INPUT!P4603="",INPUT!Q4603=""),"",INPUT!P4603-INPUT!Q4603),"")</f>
        <v/>
      </c>
      <c r="L4608" s="48" t="str">
        <f>IFERROR(IF(OR(INPUT!P4603="",INPUT!Q4603="",INPUT!P4603=0),"",(INPUT!P4603-INPUT!Q4603)/INPUT!P4603),"")</f>
        <v/>
      </c>
    </row>
    <row r="4609" spans="1:12" ht="18" hidden="1" customHeight="1" x14ac:dyDescent="0.2">
      <c r="A4609" s="11" t="str">
        <f>IF(INPUT!M4604="","",INPUT!M4604)</f>
        <v/>
      </c>
      <c r="B4609" s="11" t="str">
        <f>IF(INPUT!M4604="","",INPUT!M4604-WEEKDAY(INPUT!M4604,2)+1)</f>
        <v/>
      </c>
      <c r="C4609" s="20">
        <f>IFERROR(_xlfn.ISOWEEKNUM(INPUT!M4604),"")</f>
        <v>52</v>
      </c>
      <c r="D4609" s="20">
        <f>IFERROR(YEAR(INPUT!M4604),"")</f>
        <v>1900</v>
      </c>
      <c r="E4609" t="str">
        <f>IF(INPUT!O4604="","",INPUT!O4604)</f>
        <v/>
      </c>
      <c r="F4609" t="str">
        <f>IF(INPUT!N4604="","",INPUT!N4604)</f>
        <v/>
      </c>
      <c r="G4609" cm="1">
        <f t="array" ref="G4609">IFERROR(VLOOKUP(INPUT!M4604&amp;INPUT!N4604,CHOOSE({1,2},INPUT!$A$3:$A$5000&amp;INPUT!$C$3:$C$5000,INPUT!$F$3:$F$5000),2,FALSE),"")</f>
        <v>0</v>
      </c>
      <c r="H4609" cm="1">
        <f t="array" ref="H4609">IFERROR(VLOOKUP(INPUT!M4604&amp;INPUT!N4604,CHOOSE({1,2},INPUT!$A$3:$A$5000&amp;INPUT!$C$3:$C$5000,INPUT!$D$3:$D$5000),2,FALSE),"")</f>
        <v>0</v>
      </c>
      <c r="I4609" s="46" t="str">
        <f>IF(INPUT!P4604="","",INPUT!P4604)</f>
        <v/>
      </c>
      <c r="J4609" s="46" t="str">
        <f>IF(INPUT!Q4604="","",INPUT!Q4604)</f>
        <v/>
      </c>
      <c r="K4609" s="46" t="str">
        <f>IFERROR(IF(OR(INPUT!P4604="",INPUT!Q4604=""),"",INPUT!P4604-INPUT!Q4604),"")</f>
        <v/>
      </c>
      <c r="L4609" s="48" t="str">
        <f>IFERROR(IF(OR(INPUT!P4604="",INPUT!Q4604="",INPUT!P4604=0),"",(INPUT!P4604-INPUT!Q4604)/INPUT!P4604),"")</f>
        <v/>
      </c>
    </row>
    <row r="4610" spans="1:12" ht="18" hidden="1" customHeight="1" x14ac:dyDescent="0.2">
      <c r="A4610" s="11" t="str">
        <f>IF(INPUT!M4605="","",INPUT!M4605)</f>
        <v/>
      </c>
      <c r="B4610" s="11" t="str">
        <f>IF(INPUT!M4605="","",INPUT!M4605-WEEKDAY(INPUT!M4605,2)+1)</f>
        <v/>
      </c>
      <c r="C4610" s="20">
        <f>IFERROR(_xlfn.ISOWEEKNUM(INPUT!M4605),"")</f>
        <v>52</v>
      </c>
      <c r="D4610" s="20">
        <f>IFERROR(YEAR(INPUT!M4605),"")</f>
        <v>1900</v>
      </c>
      <c r="E4610" t="str">
        <f>IF(INPUT!O4605="","",INPUT!O4605)</f>
        <v/>
      </c>
      <c r="F4610" t="str">
        <f>IF(INPUT!N4605="","",INPUT!N4605)</f>
        <v/>
      </c>
      <c r="G4610" cm="1">
        <f t="array" ref="G4610">IFERROR(VLOOKUP(INPUT!M4605&amp;INPUT!N4605,CHOOSE({1,2},INPUT!$A$3:$A$5000&amp;INPUT!$C$3:$C$5000,INPUT!$F$3:$F$5000),2,FALSE),"")</f>
        <v>0</v>
      </c>
      <c r="H4610" cm="1">
        <f t="array" ref="H4610">IFERROR(VLOOKUP(INPUT!M4605&amp;INPUT!N4605,CHOOSE({1,2},INPUT!$A$3:$A$5000&amp;INPUT!$C$3:$C$5000,INPUT!$D$3:$D$5000),2,FALSE),"")</f>
        <v>0</v>
      </c>
      <c r="I4610" s="46" t="str">
        <f>IF(INPUT!P4605="","",INPUT!P4605)</f>
        <v/>
      </c>
      <c r="J4610" s="46" t="str">
        <f>IF(INPUT!Q4605="","",INPUT!Q4605)</f>
        <v/>
      </c>
      <c r="K4610" s="46" t="str">
        <f>IFERROR(IF(OR(INPUT!P4605="",INPUT!Q4605=""),"",INPUT!P4605-INPUT!Q4605),"")</f>
        <v/>
      </c>
      <c r="L4610" s="48" t="str">
        <f>IFERROR(IF(OR(INPUT!P4605="",INPUT!Q4605="",INPUT!P4605=0),"",(INPUT!P4605-INPUT!Q4605)/INPUT!P4605),"")</f>
        <v/>
      </c>
    </row>
    <row r="4611" spans="1:12" ht="18" hidden="1" customHeight="1" x14ac:dyDescent="0.2">
      <c r="A4611" s="11" t="str">
        <f>IF(INPUT!M4606="","",INPUT!M4606)</f>
        <v/>
      </c>
      <c r="B4611" s="11" t="str">
        <f>IF(INPUT!M4606="","",INPUT!M4606-WEEKDAY(INPUT!M4606,2)+1)</f>
        <v/>
      </c>
      <c r="C4611" s="20">
        <f>IFERROR(_xlfn.ISOWEEKNUM(INPUT!M4606),"")</f>
        <v>52</v>
      </c>
      <c r="D4611" s="20">
        <f>IFERROR(YEAR(INPUT!M4606),"")</f>
        <v>1900</v>
      </c>
      <c r="E4611" t="str">
        <f>IF(INPUT!O4606="","",INPUT!O4606)</f>
        <v/>
      </c>
      <c r="F4611" t="str">
        <f>IF(INPUT!N4606="","",INPUT!N4606)</f>
        <v/>
      </c>
      <c r="G4611" cm="1">
        <f t="array" ref="G4611">IFERROR(VLOOKUP(INPUT!M4606&amp;INPUT!N4606,CHOOSE({1,2},INPUT!$A$3:$A$5000&amp;INPUT!$C$3:$C$5000,INPUT!$F$3:$F$5000),2,FALSE),"")</f>
        <v>0</v>
      </c>
      <c r="H4611" cm="1">
        <f t="array" ref="H4611">IFERROR(VLOOKUP(INPUT!M4606&amp;INPUT!N4606,CHOOSE({1,2},INPUT!$A$3:$A$5000&amp;INPUT!$C$3:$C$5000,INPUT!$D$3:$D$5000),2,FALSE),"")</f>
        <v>0</v>
      </c>
      <c r="I4611" s="46" t="str">
        <f>IF(INPUT!P4606="","",INPUT!P4606)</f>
        <v/>
      </c>
      <c r="J4611" s="46" t="str">
        <f>IF(INPUT!Q4606="","",INPUT!Q4606)</f>
        <v/>
      </c>
      <c r="K4611" s="46" t="str">
        <f>IFERROR(IF(OR(INPUT!P4606="",INPUT!Q4606=""),"",INPUT!P4606-INPUT!Q4606),"")</f>
        <v/>
      </c>
      <c r="L4611" s="48" t="str">
        <f>IFERROR(IF(OR(INPUT!P4606="",INPUT!Q4606="",INPUT!P4606=0),"",(INPUT!P4606-INPUT!Q4606)/INPUT!P4606),"")</f>
        <v/>
      </c>
    </row>
    <row r="4612" spans="1:12" ht="18" hidden="1" customHeight="1" x14ac:dyDescent="0.2">
      <c r="A4612" s="11" t="str">
        <f>IF(INPUT!M4607="","",INPUT!M4607)</f>
        <v/>
      </c>
      <c r="B4612" s="11" t="str">
        <f>IF(INPUT!M4607="","",INPUT!M4607-WEEKDAY(INPUT!M4607,2)+1)</f>
        <v/>
      </c>
      <c r="C4612" s="20">
        <f>IFERROR(_xlfn.ISOWEEKNUM(INPUT!M4607),"")</f>
        <v>52</v>
      </c>
      <c r="D4612" s="20">
        <f>IFERROR(YEAR(INPUT!M4607),"")</f>
        <v>1900</v>
      </c>
      <c r="E4612" t="str">
        <f>IF(INPUT!O4607="","",INPUT!O4607)</f>
        <v/>
      </c>
      <c r="F4612" t="str">
        <f>IF(INPUT!N4607="","",INPUT!N4607)</f>
        <v/>
      </c>
      <c r="G4612" cm="1">
        <f t="array" ref="G4612">IFERROR(VLOOKUP(INPUT!M4607&amp;INPUT!N4607,CHOOSE({1,2},INPUT!$A$3:$A$5000&amp;INPUT!$C$3:$C$5000,INPUT!$F$3:$F$5000),2,FALSE),"")</f>
        <v>0</v>
      </c>
      <c r="H4612" cm="1">
        <f t="array" ref="H4612">IFERROR(VLOOKUP(INPUT!M4607&amp;INPUT!N4607,CHOOSE({1,2},INPUT!$A$3:$A$5000&amp;INPUT!$C$3:$C$5000,INPUT!$D$3:$D$5000),2,FALSE),"")</f>
        <v>0</v>
      </c>
      <c r="I4612" s="46" t="str">
        <f>IF(INPUT!P4607="","",INPUT!P4607)</f>
        <v/>
      </c>
      <c r="J4612" s="46" t="str">
        <f>IF(INPUT!Q4607="","",INPUT!Q4607)</f>
        <v/>
      </c>
      <c r="K4612" s="46" t="str">
        <f>IFERROR(IF(OR(INPUT!P4607="",INPUT!Q4607=""),"",INPUT!P4607-INPUT!Q4607),"")</f>
        <v/>
      </c>
      <c r="L4612" s="48" t="str">
        <f>IFERROR(IF(OR(INPUT!P4607="",INPUT!Q4607="",INPUT!P4607=0),"",(INPUT!P4607-INPUT!Q4607)/INPUT!P4607),"")</f>
        <v/>
      </c>
    </row>
    <row r="4613" spans="1:12" ht="18" hidden="1" customHeight="1" x14ac:dyDescent="0.2">
      <c r="A4613" s="11" t="str">
        <f>IF(INPUT!M4608="","",INPUT!M4608)</f>
        <v/>
      </c>
      <c r="B4613" s="11" t="str">
        <f>IF(INPUT!M4608="","",INPUT!M4608-WEEKDAY(INPUT!M4608,2)+1)</f>
        <v/>
      </c>
      <c r="C4613" s="20">
        <f>IFERROR(_xlfn.ISOWEEKNUM(INPUT!M4608),"")</f>
        <v>52</v>
      </c>
      <c r="D4613" s="20">
        <f>IFERROR(YEAR(INPUT!M4608),"")</f>
        <v>1900</v>
      </c>
      <c r="E4613" t="str">
        <f>IF(INPUT!O4608="","",INPUT!O4608)</f>
        <v/>
      </c>
      <c r="F4613" t="str">
        <f>IF(INPUT!N4608="","",INPUT!N4608)</f>
        <v/>
      </c>
      <c r="G4613" cm="1">
        <f t="array" ref="G4613">IFERROR(VLOOKUP(INPUT!M4608&amp;INPUT!N4608,CHOOSE({1,2},INPUT!$A$3:$A$5000&amp;INPUT!$C$3:$C$5000,INPUT!$F$3:$F$5000),2,FALSE),"")</f>
        <v>0</v>
      </c>
      <c r="H4613" cm="1">
        <f t="array" ref="H4613">IFERROR(VLOOKUP(INPUT!M4608&amp;INPUT!N4608,CHOOSE({1,2},INPUT!$A$3:$A$5000&amp;INPUT!$C$3:$C$5000,INPUT!$D$3:$D$5000),2,FALSE),"")</f>
        <v>0</v>
      </c>
      <c r="I4613" s="46" t="str">
        <f>IF(INPUT!P4608="","",INPUT!P4608)</f>
        <v/>
      </c>
      <c r="J4613" s="46" t="str">
        <f>IF(INPUT!Q4608="","",INPUT!Q4608)</f>
        <v/>
      </c>
      <c r="K4613" s="46" t="str">
        <f>IFERROR(IF(OR(INPUT!P4608="",INPUT!Q4608=""),"",INPUT!P4608-INPUT!Q4608),"")</f>
        <v/>
      </c>
      <c r="L4613" s="48" t="str">
        <f>IFERROR(IF(OR(INPUT!P4608="",INPUT!Q4608="",INPUT!P4608=0),"",(INPUT!P4608-INPUT!Q4608)/INPUT!P4608),"")</f>
        <v/>
      </c>
    </row>
    <row r="4614" spans="1:12" ht="18" hidden="1" customHeight="1" x14ac:dyDescent="0.2">
      <c r="A4614" s="11" t="str">
        <f>IF(INPUT!M4609="","",INPUT!M4609)</f>
        <v/>
      </c>
      <c r="B4614" s="11" t="str">
        <f>IF(INPUT!M4609="","",INPUT!M4609-WEEKDAY(INPUT!M4609,2)+1)</f>
        <v/>
      </c>
      <c r="C4614" s="20">
        <f>IFERROR(_xlfn.ISOWEEKNUM(INPUT!M4609),"")</f>
        <v>52</v>
      </c>
      <c r="D4614" s="20">
        <f>IFERROR(YEAR(INPUT!M4609),"")</f>
        <v>1900</v>
      </c>
      <c r="E4614" t="str">
        <f>IF(INPUT!O4609="","",INPUT!O4609)</f>
        <v/>
      </c>
      <c r="F4614" t="str">
        <f>IF(INPUT!N4609="","",INPUT!N4609)</f>
        <v/>
      </c>
      <c r="G4614" cm="1">
        <f t="array" ref="G4614">IFERROR(VLOOKUP(INPUT!M4609&amp;INPUT!N4609,CHOOSE({1,2},INPUT!$A$3:$A$5000&amp;INPUT!$C$3:$C$5000,INPUT!$F$3:$F$5000),2,FALSE),"")</f>
        <v>0</v>
      </c>
      <c r="H4614" cm="1">
        <f t="array" ref="H4614">IFERROR(VLOOKUP(INPUT!M4609&amp;INPUT!N4609,CHOOSE({1,2},INPUT!$A$3:$A$5000&amp;INPUT!$C$3:$C$5000,INPUT!$D$3:$D$5000),2,FALSE),"")</f>
        <v>0</v>
      </c>
      <c r="I4614" s="46" t="str">
        <f>IF(INPUT!P4609="","",INPUT!P4609)</f>
        <v/>
      </c>
      <c r="J4614" s="46" t="str">
        <f>IF(INPUT!Q4609="","",INPUT!Q4609)</f>
        <v/>
      </c>
      <c r="K4614" s="46" t="str">
        <f>IFERROR(IF(OR(INPUT!P4609="",INPUT!Q4609=""),"",INPUT!P4609-INPUT!Q4609),"")</f>
        <v/>
      </c>
      <c r="L4614" s="48" t="str">
        <f>IFERROR(IF(OR(INPUT!P4609="",INPUT!Q4609="",INPUT!P4609=0),"",(INPUT!P4609-INPUT!Q4609)/INPUT!P4609),"")</f>
        <v/>
      </c>
    </row>
    <row r="4615" spans="1:12" ht="18" hidden="1" customHeight="1" x14ac:dyDescent="0.2">
      <c r="A4615" s="11" t="str">
        <f>IF(INPUT!M4610="","",INPUT!M4610)</f>
        <v/>
      </c>
      <c r="B4615" s="11" t="str">
        <f>IF(INPUT!M4610="","",INPUT!M4610-WEEKDAY(INPUT!M4610,2)+1)</f>
        <v/>
      </c>
      <c r="C4615" s="20">
        <f>IFERROR(_xlfn.ISOWEEKNUM(INPUT!M4610),"")</f>
        <v>52</v>
      </c>
      <c r="D4615" s="20">
        <f>IFERROR(YEAR(INPUT!M4610),"")</f>
        <v>1900</v>
      </c>
      <c r="E4615" t="str">
        <f>IF(INPUT!O4610="","",INPUT!O4610)</f>
        <v/>
      </c>
      <c r="F4615" t="str">
        <f>IF(INPUT!N4610="","",INPUT!N4610)</f>
        <v/>
      </c>
      <c r="G4615" cm="1">
        <f t="array" ref="G4615">IFERROR(VLOOKUP(INPUT!M4610&amp;INPUT!N4610,CHOOSE({1,2},INPUT!$A$3:$A$5000&amp;INPUT!$C$3:$C$5000,INPUT!$F$3:$F$5000),2,FALSE),"")</f>
        <v>0</v>
      </c>
      <c r="H4615" cm="1">
        <f t="array" ref="H4615">IFERROR(VLOOKUP(INPUT!M4610&amp;INPUT!N4610,CHOOSE({1,2},INPUT!$A$3:$A$5000&amp;INPUT!$C$3:$C$5000,INPUT!$D$3:$D$5000),2,FALSE),"")</f>
        <v>0</v>
      </c>
      <c r="I4615" s="46" t="str">
        <f>IF(INPUT!P4610="","",INPUT!P4610)</f>
        <v/>
      </c>
      <c r="J4615" s="46" t="str">
        <f>IF(INPUT!Q4610="","",INPUT!Q4610)</f>
        <v/>
      </c>
      <c r="K4615" s="46" t="str">
        <f>IFERROR(IF(OR(INPUT!P4610="",INPUT!Q4610=""),"",INPUT!P4610-INPUT!Q4610),"")</f>
        <v/>
      </c>
      <c r="L4615" s="48" t="str">
        <f>IFERROR(IF(OR(INPUT!P4610="",INPUT!Q4610="",INPUT!P4610=0),"",(INPUT!P4610-INPUT!Q4610)/INPUT!P4610),"")</f>
        <v/>
      </c>
    </row>
    <row r="4616" spans="1:12" ht="18" hidden="1" customHeight="1" x14ac:dyDescent="0.2">
      <c r="A4616" s="11" t="str">
        <f>IF(INPUT!M4611="","",INPUT!M4611)</f>
        <v/>
      </c>
      <c r="B4616" s="11" t="str">
        <f>IF(INPUT!M4611="","",INPUT!M4611-WEEKDAY(INPUT!M4611,2)+1)</f>
        <v/>
      </c>
      <c r="C4616" s="20">
        <f>IFERROR(_xlfn.ISOWEEKNUM(INPUT!M4611),"")</f>
        <v>52</v>
      </c>
      <c r="D4616" s="20">
        <f>IFERROR(YEAR(INPUT!M4611),"")</f>
        <v>1900</v>
      </c>
      <c r="E4616" t="str">
        <f>IF(INPUT!O4611="","",INPUT!O4611)</f>
        <v/>
      </c>
      <c r="F4616" t="str">
        <f>IF(INPUT!N4611="","",INPUT!N4611)</f>
        <v/>
      </c>
      <c r="G4616" cm="1">
        <f t="array" ref="G4616">IFERROR(VLOOKUP(INPUT!M4611&amp;INPUT!N4611,CHOOSE({1,2},INPUT!$A$3:$A$5000&amp;INPUT!$C$3:$C$5000,INPUT!$F$3:$F$5000),2,FALSE),"")</f>
        <v>0</v>
      </c>
      <c r="H4616" cm="1">
        <f t="array" ref="H4616">IFERROR(VLOOKUP(INPUT!M4611&amp;INPUT!N4611,CHOOSE({1,2},INPUT!$A$3:$A$5000&amp;INPUT!$C$3:$C$5000,INPUT!$D$3:$D$5000),2,FALSE),"")</f>
        <v>0</v>
      </c>
      <c r="I4616" s="46" t="str">
        <f>IF(INPUT!P4611="","",INPUT!P4611)</f>
        <v/>
      </c>
      <c r="J4616" s="46" t="str">
        <f>IF(INPUT!Q4611="","",INPUT!Q4611)</f>
        <v/>
      </c>
      <c r="K4616" s="46" t="str">
        <f>IFERROR(IF(OR(INPUT!P4611="",INPUT!Q4611=""),"",INPUT!P4611-INPUT!Q4611),"")</f>
        <v/>
      </c>
      <c r="L4616" s="48" t="str">
        <f>IFERROR(IF(OR(INPUT!P4611="",INPUT!Q4611="",INPUT!P4611=0),"",(INPUT!P4611-INPUT!Q4611)/INPUT!P4611),"")</f>
        <v/>
      </c>
    </row>
    <row r="4617" spans="1:12" ht="18" hidden="1" customHeight="1" x14ac:dyDescent="0.2">
      <c r="A4617" s="11" t="str">
        <f>IF(INPUT!M4612="","",INPUT!M4612)</f>
        <v/>
      </c>
      <c r="B4617" s="11" t="str">
        <f>IF(INPUT!M4612="","",INPUT!M4612-WEEKDAY(INPUT!M4612,2)+1)</f>
        <v/>
      </c>
      <c r="C4617" s="20">
        <f>IFERROR(_xlfn.ISOWEEKNUM(INPUT!M4612),"")</f>
        <v>52</v>
      </c>
      <c r="D4617" s="20">
        <f>IFERROR(YEAR(INPUT!M4612),"")</f>
        <v>1900</v>
      </c>
      <c r="E4617" t="str">
        <f>IF(INPUT!O4612="","",INPUT!O4612)</f>
        <v/>
      </c>
      <c r="F4617" t="str">
        <f>IF(INPUT!N4612="","",INPUT!N4612)</f>
        <v/>
      </c>
      <c r="G4617" cm="1">
        <f t="array" ref="G4617">IFERROR(VLOOKUP(INPUT!M4612&amp;INPUT!N4612,CHOOSE({1,2},INPUT!$A$3:$A$5000&amp;INPUT!$C$3:$C$5000,INPUT!$F$3:$F$5000),2,FALSE),"")</f>
        <v>0</v>
      </c>
      <c r="H4617" cm="1">
        <f t="array" ref="H4617">IFERROR(VLOOKUP(INPUT!M4612&amp;INPUT!N4612,CHOOSE({1,2},INPUT!$A$3:$A$5000&amp;INPUT!$C$3:$C$5000,INPUT!$D$3:$D$5000),2,FALSE),"")</f>
        <v>0</v>
      </c>
      <c r="I4617" s="46" t="str">
        <f>IF(INPUT!P4612="","",INPUT!P4612)</f>
        <v/>
      </c>
      <c r="J4617" s="46" t="str">
        <f>IF(INPUT!Q4612="","",INPUT!Q4612)</f>
        <v/>
      </c>
      <c r="K4617" s="46" t="str">
        <f>IFERROR(IF(OR(INPUT!P4612="",INPUT!Q4612=""),"",INPUT!P4612-INPUT!Q4612),"")</f>
        <v/>
      </c>
      <c r="L4617" s="48" t="str">
        <f>IFERROR(IF(OR(INPUT!P4612="",INPUT!Q4612="",INPUT!P4612=0),"",(INPUT!P4612-INPUT!Q4612)/INPUT!P4612),"")</f>
        <v/>
      </c>
    </row>
    <row r="4618" spans="1:12" ht="18" hidden="1" customHeight="1" x14ac:dyDescent="0.2">
      <c r="A4618" s="11" t="str">
        <f>IF(INPUT!M4613="","",INPUT!M4613)</f>
        <v/>
      </c>
      <c r="B4618" s="11" t="str">
        <f>IF(INPUT!M4613="","",INPUT!M4613-WEEKDAY(INPUT!M4613,2)+1)</f>
        <v/>
      </c>
      <c r="C4618" s="20">
        <f>IFERROR(_xlfn.ISOWEEKNUM(INPUT!M4613),"")</f>
        <v>52</v>
      </c>
      <c r="D4618" s="20">
        <f>IFERROR(YEAR(INPUT!M4613),"")</f>
        <v>1900</v>
      </c>
      <c r="E4618" t="str">
        <f>IF(INPUT!O4613="","",INPUT!O4613)</f>
        <v/>
      </c>
      <c r="F4618" t="str">
        <f>IF(INPUT!N4613="","",INPUT!N4613)</f>
        <v/>
      </c>
      <c r="G4618" cm="1">
        <f t="array" ref="G4618">IFERROR(VLOOKUP(INPUT!M4613&amp;INPUT!N4613,CHOOSE({1,2},INPUT!$A$3:$A$5000&amp;INPUT!$C$3:$C$5000,INPUT!$F$3:$F$5000),2,FALSE),"")</f>
        <v>0</v>
      </c>
      <c r="H4618" cm="1">
        <f t="array" ref="H4618">IFERROR(VLOOKUP(INPUT!M4613&amp;INPUT!N4613,CHOOSE({1,2},INPUT!$A$3:$A$5000&amp;INPUT!$C$3:$C$5000,INPUT!$D$3:$D$5000),2,FALSE),"")</f>
        <v>0</v>
      </c>
      <c r="I4618" s="46" t="str">
        <f>IF(INPUT!P4613="","",INPUT!P4613)</f>
        <v/>
      </c>
      <c r="J4618" s="46" t="str">
        <f>IF(INPUT!Q4613="","",INPUT!Q4613)</f>
        <v/>
      </c>
      <c r="K4618" s="46" t="str">
        <f>IFERROR(IF(OR(INPUT!P4613="",INPUT!Q4613=""),"",INPUT!P4613-INPUT!Q4613),"")</f>
        <v/>
      </c>
      <c r="L4618" s="48" t="str">
        <f>IFERROR(IF(OR(INPUT!P4613="",INPUT!Q4613="",INPUT!P4613=0),"",(INPUT!P4613-INPUT!Q4613)/INPUT!P4613),"")</f>
        <v/>
      </c>
    </row>
    <row r="4619" spans="1:12" ht="18" hidden="1" customHeight="1" x14ac:dyDescent="0.2">
      <c r="A4619" s="11" t="str">
        <f>IF(INPUT!M4614="","",INPUT!M4614)</f>
        <v/>
      </c>
      <c r="B4619" s="11" t="str">
        <f>IF(INPUT!M4614="","",INPUT!M4614-WEEKDAY(INPUT!M4614,2)+1)</f>
        <v/>
      </c>
      <c r="C4619" s="20">
        <f>IFERROR(_xlfn.ISOWEEKNUM(INPUT!M4614),"")</f>
        <v>52</v>
      </c>
      <c r="D4619" s="20">
        <f>IFERROR(YEAR(INPUT!M4614),"")</f>
        <v>1900</v>
      </c>
      <c r="E4619" t="str">
        <f>IF(INPUT!O4614="","",INPUT!O4614)</f>
        <v/>
      </c>
      <c r="F4619" t="str">
        <f>IF(INPUT!N4614="","",INPUT!N4614)</f>
        <v/>
      </c>
      <c r="G4619" cm="1">
        <f t="array" ref="G4619">IFERROR(VLOOKUP(INPUT!M4614&amp;INPUT!N4614,CHOOSE({1,2},INPUT!$A$3:$A$5000&amp;INPUT!$C$3:$C$5000,INPUT!$F$3:$F$5000),2,FALSE),"")</f>
        <v>0</v>
      </c>
      <c r="H4619" cm="1">
        <f t="array" ref="H4619">IFERROR(VLOOKUP(INPUT!M4614&amp;INPUT!N4614,CHOOSE({1,2},INPUT!$A$3:$A$5000&amp;INPUT!$C$3:$C$5000,INPUT!$D$3:$D$5000),2,FALSE),"")</f>
        <v>0</v>
      </c>
      <c r="I4619" s="46" t="str">
        <f>IF(INPUT!P4614="","",INPUT!P4614)</f>
        <v/>
      </c>
      <c r="J4619" s="46" t="str">
        <f>IF(INPUT!Q4614="","",INPUT!Q4614)</f>
        <v/>
      </c>
      <c r="K4619" s="46" t="str">
        <f>IFERROR(IF(OR(INPUT!P4614="",INPUT!Q4614=""),"",INPUT!P4614-INPUT!Q4614),"")</f>
        <v/>
      </c>
      <c r="L4619" s="48" t="str">
        <f>IFERROR(IF(OR(INPUT!P4614="",INPUT!Q4614="",INPUT!P4614=0),"",(INPUT!P4614-INPUT!Q4614)/INPUT!P4614),"")</f>
        <v/>
      </c>
    </row>
    <row r="4620" spans="1:12" ht="18" hidden="1" customHeight="1" x14ac:dyDescent="0.2">
      <c r="A4620" s="11" t="str">
        <f>IF(INPUT!M4615="","",INPUT!M4615)</f>
        <v/>
      </c>
      <c r="B4620" s="11" t="str">
        <f>IF(INPUT!M4615="","",INPUT!M4615-WEEKDAY(INPUT!M4615,2)+1)</f>
        <v/>
      </c>
      <c r="C4620" s="20">
        <f>IFERROR(_xlfn.ISOWEEKNUM(INPUT!M4615),"")</f>
        <v>52</v>
      </c>
      <c r="D4620" s="20">
        <f>IFERROR(YEAR(INPUT!M4615),"")</f>
        <v>1900</v>
      </c>
      <c r="E4620" t="str">
        <f>IF(INPUT!O4615="","",INPUT!O4615)</f>
        <v/>
      </c>
      <c r="F4620" t="str">
        <f>IF(INPUT!N4615="","",INPUT!N4615)</f>
        <v/>
      </c>
      <c r="G4620" cm="1">
        <f t="array" ref="G4620">IFERROR(VLOOKUP(INPUT!M4615&amp;INPUT!N4615,CHOOSE({1,2},INPUT!$A$3:$A$5000&amp;INPUT!$C$3:$C$5000,INPUT!$F$3:$F$5000),2,FALSE),"")</f>
        <v>0</v>
      </c>
      <c r="H4620" cm="1">
        <f t="array" ref="H4620">IFERROR(VLOOKUP(INPUT!M4615&amp;INPUT!N4615,CHOOSE({1,2},INPUT!$A$3:$A$5000&amp;INPUT!$C$3:$C$5000,INPUT!$D$3:$D$5000),2,FALSE),"")</f>
        <v>0</v>
      </c>
      <c r="I4620" s="46" t="str">
        <f>IF(INPUT!P4615="","",INPUT!P4615)</f>
        <v/>
      </c>
      <c r="J4620" s="46" t="str">
        <f>IF(INPUT!Q4615="","",INPUT!Q4615)</f>
        <v/>
      </c>
      <c r="K4620" s="46" t="str">
        <f>IFERROR(IF(OR(INPUT!P4615="",INPUT!Q4615=""),"",INPUT!P4615-INPUT!Q4615),"")</f>
        <v/>
      </c>
      <c r="L4620" s="48" t="str">
        <f>IFERROR(IF(OR(INPUT!P4615="",INPUT!Q4615="",INPUT!P4615=0),"",(INPUT!P4615-INPUT!Q4615)/INPUT!P4615),"")</f>
        <v/>
      </c>
    </row>
    <row r="4621" spans="1:12" ht="18" hidden="1" customHeight="1" x14ac:dyDescent="0.2">
      <c r="A4621" s="11" t="str">
        <f>IF(INPUT!M4616="","",INPUT!M4616)</f>
        <v/>
      </c>
      <c r="B4621" s="11" t="str">
        <f>IF(INPUT!M4616="","",INPUT!M4616-WEEKDAY(INPUT!M4616,2)+1)</f>
        <v/>
      </c>
      <c r="C4621" s="20">
        <f>IFERROR(_xlfn.ISOWEEKNUM(INPUT!M4616),"")</f>
        <v>52</v>
      </c>
      <c r="D4621" s="20">
        <f>IFERROR(YEAR(INPUT!M4616),"")</f>
        <v>1900</v>
      </c>
      <c r="E4621" t="str">
        <f>IF(INPUT!O4616="","",INPUT!O4616)</f>
        <v/>
      </c>
      <c r="F4621" t="str">
        <f>IF(INPUT!N4616="","",INPUT!N4616)</f>
        <v/>
      </c>
      <c r="G4621" cm="1">
        <f t="array" ref="G4621">IFERROR(VLOOKUP(INPUT!M4616&amp;INPUT!N4616,CHOOSE({1,2},INPUT!$A$3:$A$5000&amp;INPUT!$C$3:$C$5000,INPUT!$F$3:$F$5000),2,FALSE),"")</f>
        <v>0</v>
      </c>
      <c r="H4621" cm="1">
        <f t="array" ref="H4621">IFERROR(VLOOKUP(INPUT!M4616&amp;INPUT!N4616,CHOOSE({1,2},INPUT!$A$3:$A$5000&amp;INPUT!$C$3:$C$5000,INPUT!$D$3:$D$5000),2,FALSE),"")</f>
        <v>0</v>
      </c>
      <c r="I4621" s="46" t="str">
        <f>IF(INPUT!P4616="","",INPUT!P4616)</f>
        <v/>
      </c>
      <c r="J4621" s="46" t="str">
        <f>IF(INPUT!Q4616="","",INPUT!Q4616)</f>
        <v/>
      </c>
      <c r="K4621" s="46" t="str">
        <f>IFERROR(IF(OR(INPUT!P4616="",INPUT!Q4616=""),"",INPUT!P4616-INPUT!Q4616),"")</f>
        <v/>
      </c>
      <c r="L4621" s="48" t="str">
        <f>IFERROR(IF(OR(INPUT!P4616="",INPUT!Q4616="",INPUT!P4616=0),"",(INPUT!P4616-INPUT!Q4616)/INPUT!P4616),"")</f>
        <v/>
      </c>
    </row>
    <row r="4622" spans="1:12" ht="18" hidden="1" customHeight="1" x14ac:dyDescent="0.2">
      <c r="A4622" s="11" t="str">
        <f>IF(INPUT!M4617="","",INPUT!M4617)</f>
        <v/>
      </c>
      <c r="B4622" s="11" t="str">
        <f>IF(INPUT!M4617="","",INPUT!M4617-WEEKDAY(INPUT!M4617,2)+1)</f>
        <v/>
      </c>
      <c r="C4622" s="20">
        <f>IFERROR(_xlfn.ISOWEEKNUM(INPUT!M4617),"")</f>
        <v>52</v>
      </c>
      <c r="D4622" s="20">
        <f>IFERROR(YEAR(INPUT!M4617),"")</f>
        <v>1900</v>
      </c>
      <c r="E4622" t="str">
        <f>IF(INPUT!O4617="","",INPUT!O4617)</f>
        <v/>
      </c>
      <c r="F4622" t="str">
        <f>IF(INPUT!N4617="","",INPUT!N4617)</f>
        <v/>
      </c>
      <c r="G4622" cm="1">
        <f t="array" ref="G4622">IFERROR(VLOOKUP(INPUT!M4617&amp;INPUT!N4617,CHOOSE({1,2},INPUT!$A$3:$A$5000&amp;INPUT!$C$3:$C$5000,INPUT!$F$3:$F$5000),2,FALSE),"")</f>
        <v>0</v>
      </c>
      <c r="H4622" cm="1">
        <f t="array" ref="H4622">IFERROR(VLOOKUP(INPUT!M4617&amp;INPUT!N4617,CHOOSE({1,2},INPUT!$A$3:$A$5000&amp;INPUT!$C$3:$C$5000,INPUT!$D$3:$D$5000),2,FALSE),"")</f>
        <v>0</v>
      </c>
      <c r="I4622" s="46" t="str">
        <f>IF(INPUT!P4617="","",INPUT!P4617)</f>
        <v/>
      </c>
      <c r="J4622" s="46" t="str">
        <f>IF(INPUT!Q4617="","",INPUT!Q4617)</f>
        <v/>
      </c>
      <c r="K4622" s="46" t="str">
        <f>IFERROR(IF(OR(INPUT!P4617="",INPUT!Q4617=""),"",INPUT!P4617-INPUT!Q4617),"")</f>
        <v/>
      </c>
      <c r="L4622" s="48" t="str">
        <f>IFERROR(IF(OR(INPUT!P4617="",INPUT!Q4617="",INPUT!P4617=0),"",(INPUT!P4617-INPUT!Q4617)/INPUT!P4617),"")</f>
        <v/>
      </c>
    </row>
    <row r="4623" spans="1:12" ht="18" hidden="1" customHeight="1" x14ac:dyDescent="0.2">
      <c r="A4623" s="11" t="str">
        <f>IF(INPUT!M4618="","",INPUT!M4618)</f>
        <v/>
      </c>
      <c r="B4623" s="11" t="str">
        <f>IF(INPUT!M4618="","",INPUT!M4618-WEEKDAY(INPUT!M4618,2)+1)</f>
        <v/>
      </c>
      <c r="C4623" s="20">
        <f>IFERROR(_xlfn.ISOWEEKNUM(INPUT!M4618),"")</f>
        <v>52</v>
      </c>
      <c r="D4623" s="20">
        <f>IFERROR(YEAR(INPUT!M4618),"")</f>
        <v>1900</v>
      </c>
      <c r="E4623" t="str">
        <f>IF(INPUT!O4618="","",INPUT!O4618)</f>
        <v/>
      </c>
      <c r="F4623" t="str">
        <f>IF(INPUT!N4618="","",INPUT!N4618)</f>
        <v/>
      </c>
      <c r="G4623" cm="1">
        <f t="array" ref="G4623">IFERROR(VLOOKUP(INPUT!M4618&amp;INPUT!N4618,CHOOSE({1,2},INPUT!$A$3:$A$5000&amp;INPUT!$C$3:$C$5000,INPUT!$F$3:$F$5000),2,FALSE),"")</f>
        <v>0</v>
      </c>
      <c r="H4623" cm="1">
        <f t="array" ref="H4623">IFERROR(VLOOKUP(INPUT!M4618&amp;INPUT!N4618,CHOOSE({1,2},INPUT!$A$3:$A$5000&amp;INPUT!$C$3:$C$5000,INPUT!$D$3:$D$5000),2,FALSE),"")</f>
        <v>0</v>
      </c>
      <c r="I4623" s="46" t="str">
        <f>IF(INPUT!P4618="","",INPUT!P4618)</f>
        <v/>
      </c>
      <c r="J4623" s="46" t="str">
        <f>IF(INPUT!Q4618="","",INPUT!Q4618)</f>
        <v/>
      </c>
      <c r="K4623" s="46" t="str">
        <f>IFERROR(IF(OR(INPUT!P4618="",INPUT!Q4618=""),"",INPUT!P4618-INPUT!Q4618),"")</f>
        <v/>
      </c>
      <c r="L4623" s="48" t="str">
        <f>IFERROR(IF(OR(INPUT!P4618="",INPUT!Q4618="",INPUT!P4618=0),"",(INPUT!P4618-INPUT!Q4618)/INPUT!P4618),"")</f>
        <v/>
      </c>
    </row>
    <row r="4624" spans="1:12" ht="18" hidden="1" customHeight="1" x14ac:dyDescent="0.2">
      <c r="A4624" s="11" t="str">
        <f>IF(INPUT!M4619="","",INPUT!M4619)</f>
        <v/>
      </c>
      <c r="B4624" s="11" t="str">
        <f>IF(INPUT!M4619="","",INPUT!M4619-WEEKDAY(INPUT!M4619,2)+1)</f>
        <v/>
      </c>
      <c r="C4624" s="20">
        <f>IFERROR(_xlfn.ISOWEEKNUM(INPUT!M4619),"")</f>
        <v>52</v>
      </c>
      <c r="D4624" s="20">
        <f>IFERROR(YEAR(INPUT!M4619),"")</f>
        <v>1900</v>
      </c>
      <c r="E4624" t="str">
        <f>IF(INPUT!O4619="","",INPUT!O4619)</f>
        <v/>
      </c>
      <c r="F4624" t="str">
        <f>IF(INPUT!N4619="","",INPUT!N4619)</f>
        <v/>
      </c>
      <c r="G4624" cm="1">
        <f t="array" ref="G4624">IFERROR(VLOOKUP(INPUT!M4619&amp;INPUT!N4619,CHOOSE({1,2},INPUT!$A$3:$A$5000&amp;INPUT!$C$3:$C$5000,INPUT!$F$3:$F$5000),2,FALSE),"")</f>
        <v>0</v>
      </c>
      <c r="H4624" cm="1">
        <f t="array" ref="H4624">IFERROR(VLOOKUP(INPUT!M4619&amp;INPUT!N4619,CHOOSE({1,2},INPUT!$A$3:$A$5000&amp;INPUT!$C$3:$C$5000,INPUT!$D$3:$D$5000),2,FALSE),"")</f>
        <v>0</v>
      </c>
      <c r="I4624" s="46" t="str">
        <f>IF(INPUT!P4619="","",INPUT!P4619)</f>
        <v/>
      </c>
      <c r="J4624" s="46" t="str">
        <f>IF(INPUT!Q4619="","",INPUT!Q4619)</f>
        <v/>
      </c>
      <c r="K4624" s="46" t="str">
        <f>IFERROR(IF(OR(INPUT!P4619="",INPUT!Q4619=""),"",INPUT!P4619-INPUT!Q4619),"")</f>
        <v/>
      </c>
      <c r="L4624" s="48" t="str">
        <f>IFERROR(IF(OR(INPUT!P4619="",INPUT!Q4619="",INPUT!P4619=0),"",(INPUT!P4619-INPUT!Q4619)/INPUT!P4619),"")</f>
        <v/>
      </c>
    </row>
    <row r="4625" spans="1:12" ht="18" hidden="1" customHeight="1" x14ac:dyDescent="0.2">
      <c r="A4625" s="11" t="str">
        <f>IF(INPUT!M4620="","",INPUT!M4620)</f>
        <v/>
      </c>
      <c r="B4625" s="11" t="str">
        <f>IF(INPUT!M4620="","",INPUT!M4620-WEEKDAY(INPUT!M4620,2)+1)</f>
        <v/>
      </c>
      <c r="C4625" s="20">
        <f>IFERROR(_xlfn.ISOWEEKNUM(INPUT!M4620),"")</f>
        <v>52</v>
      </c>
      <c r="D4625" s="20">
        <f>IFERROR(YEAR(INPUT!M4620),"")</f>
        <v>1900</v>
      </c>
      <c r="E4625" t="str">
        <f>IF(INPUT!O4620="","",INPUT!O4620)</f>
        <v/>
      </c>
      <c r="F4625" t="str">
        <f>IF(INPUT!N4620="","",INPUT!N4620)</f>
        <v/>
      </c>
      <c r="G4625" cm="1">
        <f t="array" ref="G4625">IFERROR(VLOOKUP(INPUT!M4620&amp;INPUT!N4620,CHOOSE({1,2},INPUT!$A$3:$A$5000&amp;INPUT!$C$3:$C$5000,INPUT!$F$3:$F$5000),2,FALSE),"")</f>
        <v>0</v>
      </c>
      <c r="H4625" cm="1">
        <f t="array" ref="H4625">IFERROR(VLOOKUP(INPUT!M4620&amp;INPUT!N4620,CHOOSE({1,2},INPUT!$A$3:$A$5000&amp;INPUT!$C$3:$C$5000,INPUT!$D$3:$D$5000),2,FALSE),"")</f>
        <v>0</v>
      </c>
      <c r="I4625" s="46" t="str">
        <f>IF(INPUT!P4620="","",INPUT!P4620)</f>
        <v/>
      </c>
      <c r="J4625" s="46" t="str">
        <f>IF(INPUT!Q4620="","",INPUT!Q4620)</f>
        <v/>
      </c>
      <c r="K4625" s="46" t="str">
        <f>IFERROR(IF(OR(INPUT!P4620="",INPUT!Q4620=""),"",INPUT!P4620-INPUT!Q4620),"")</f>
        <v/>
      </c>
      <c r="L4625" s="48" t="str">
        <f>IFERROR(IF(OR(INPUT!P4620="",INPUT!Q4620="",INPUT!P4620=0),"",(INPUT!P4620-INPUT!Q4620)/INPUT!P4620),"")</f>
        <v/>
      </c>
    </row>
    <row r="4626" spans="1:12" ht="18" hidden="1" customHeight="1" x14ac:dyDescent="0.2">
      <c r="A4626" s="11" t="str">
        <f>IF(INPUT!M4621="","",INPUT!M4621)</f>
        <v/>
      </c>
      <c r="B4626" s="11" t="str">
        <f>IF(INPUT!M4621="","",INPUT!M4621-WEEKDAY(INPUT!M4621,2)+1)</f>
        <v/>
      </c>
      <c r="C4626" s="20">
        <f>IFERROR(_xlfn.ISOWEEKNUM(INPUT!M4621),"")</f>
        <v>52</v>
      </c>
      <c r="D4626" s="20">
        <f>IFERROR(YEAR(INPUT!M4621),"")</f>
        <v>1900</v>
      </c>
      <c r="E4626" t="str">
        <f>IF(INPUT!O4621="","",INPUT!O4621)</f>
        <v/>
      </c>
      <c r="F4626" t="str">
        <f>IF(INPUT!N4621="","",INPUT!N4621)</f>
        <v/>
      </c>
      <c r="G4626" cm="1">
        <f t="array" ref="G4626">IFERROR(VLOOKUP(INPUT!M4621&amp;INPUT!N4621,CHOOSE({1,2},INPUT!$A$3:$A$5000&amp;INPUT!$C$3:$C$5000,INPUT!$F$3:$F$5000),2,FALSE),"")</f>
        <v>0</v>
      </c>
      <c r="H4626" cm="1">
        <f t="array" ref="H4626">IFERROR(VLOOKUP(INPUT!M4621&amp;INPUT!N4621,CHOOSE({1,2},INPUT!$A$3:$A$5000&amp;INPUT!$C$3:$C$5000,INPUT!$D$3:$D$5000),2,FALSE),"")</f>
        <v>0</v>
      </c>
      <c r="I4626" s="46" t="str">
        <f>IF(INPUT!P4621="","",INPUT!P4621)</f>
        <v/>
      </c>
      <c r="J4626" s="46" t="str">
        <f>IF(INPUT!Q4621="","",INPUT!Q4621)</f>
        <v/>
      </c>
      <c r="K4626" s="46" t="str">
        <f>IFERROR(IF(OR(INPUT!P4621="",INPUT!Q4621=""),"",INPUT!P4621-INPUT!Q4621),"")</f>
        <v/>
      </c>
      <c r="L4626" s="48" t="str">
        <f>IFERROR(IF(OR(INPUT!P4621="",INPUT!Q4621="",INPUT!P4621=0),"",(INPUT!P4621-INPUT!Q4621)/INPUT!P4621),"")</f>
        <v/>
      </c>
    </row>
    <row r="4627" spans="1:12" ht="18" hidden="1" customHeight="1" x14ac:dyDescent="0.2">
      <c r="A4627" s="11" t="str">
        <f>IF(INPUT!M4622="","",INPUT!M4622)</f>
        <v/>
      </c>
      <c r="B4627" s="11" t="str">
        <f>IF(INPUT!M4622="","",INPUT!M4622-WEEKDAY(INPUT!M4622,2)+1)</f>
        <v/>
      </c>
      <c r="C4627" s="20">
        <f>IFERROR(_xlfn.ISOWEEKNUM(INPUT!M4622),"")</f>
        <v>52</v>
      </c>
      <c r="D4627" s="20">
        <f>IFERROR(YEAR(INPUT!M4622),"")</f>
        <v>1900</v>
      </c>
      <c r="E4627" t="str">
        <f>IF(INPUT!O4622="","",INPUT!O4622)</f>
        <v/>
      </c>
      <c r="F4627" t="str">
        <f>IF(INPUT!N4622="","",INPUT!N4622)</f>
        <v/>
      </c>
      <c r="G4627" cm="1">
        <f t="array" ref="G4627">IFERROR(VLOOKUP(INPUT!M4622&amp;INPUT!N4622,CHOOSE({1,2},INPUT!$A$3:$A$5000&amp;INPUT!$C$3:$C$5000,INPUT!$F$3:$F$5000),2,FALSE),"")</f>
        <v>0</v>
      </c>
      <c r="H4627" cm="1">
        <f t="array" ref="H4627">IFERROR(VLOOKUP(INPUT!M4622&amp;INPUT!N4622,CHOOSE({1,2},INPUT!$A$3:$A$5000&amp;INPUT!$C$3:$C$5000,INPUT!$D$3:$D$5000),2,FALSE),"")</f>
        <v>0</v>
      </c>
      <c r="I4627" s="46" t="str">
        <f>IF(INPUT!P4622="","",INPUT!P4622)</f>
        <v/>
      </c>
      <c r="J4627" s="46" t="str">
        <f>IF(INPUT!Q4622="","",INPUT!Q4622)</f>
        <v/>
      </c>
      <c r="K4627" s="46" t="str">
        <f>IFERROR(IF(OR(INPUT!P4622="",INPUT!Q4622=""),"",INPUT!P4622-INPUT!Q4622),"")</f>
        <v/>
      </c>
      <c r="L4627" s="48" t="str">
        <f>IFERROR(IF(OR(INPUT!P4622="",INPUT!Q4622="",INPUT!P4622=0),"",(INPUT!P4622-INPUT!Q4622)/INPUT!P4622),"")</f>
        <v/>
      </c>
    </row>
    <row r="4628" spans="1:12" ht="18" hidden="1" customHeight="1" x14ac:dyDescent="0.2">
      <c r="A4628" s="11" t="str">
        <f>IF(INPUT!M4623="","",INPUT!M4623)</f>
        <v/>
      </c>
      <c r="B4628" s="11" t="str">
        <f>IF(INPUT!M4623="","",INPUT!M4623-WEEKDAY(INPUT!M4623,2)+1)</f>
        <v/>
      </c>
      <c r="C4628" s="20">
        <f>IFERROR(_xlfn.ISOWEEKNUM(INPUT!M4623),"")</f>
        <v>52</v>
      </c>
      <c r="D4628" s="20">
        <f>IFERROR(YEAR(INPUT!M4623),"")</f>
        <v>1900</v>
      </c>
      <c r="E4628" t="str">
        <f>IF(INPUT!O4623="","",INPUT!O4623)</f>
        <v/>
      </c>
      <c r="F4628" t="str">
        <f>IF(INPUT!N4623="","",INPUT!N4623)</f>
        <v/>
      </c>
      <c r="G4628" cm="1">
        <f t="array" ref="G4628">IFERROR(VLOOKUP(INPUT!M4623&amp;INPUT!N4623,CHOOSE({1,2},INPUT!$A$3:$A$5000&amp;INPUT!$C$3:$C$5000,INPUT!$F$3:$F$5000),2,FALSE),"")</f>
        <v>0</v>
      </c>
      <c r="H4628" cm="1">
        <f t="array" ref="H4628">IFERROR(VLOOKUP(INPUT!M4623&amp;INPUT!N4623,CHOOSE({1,2},INPUT!$A$3:$A$5000&amp;INPUT!$C$3:$C$5000,INPUT!$D$3:$D$5000),2,FALSE),"")</f>
        <v>0</v>
      </c>
      <c r="I4628" s="46" t="str">
        <f>IF(INPUT!P4623="","",INPUT!P4623)</f>
        <v/>
      </c>
      <c r="J4628" s="46" t="str">
        <f>IF(INPUT!Q4623="","",INPUT!Q4623)</f>
        <v/>
      </c>
      <c r="K4628" s="46" t="str">
        <f>IFERROR(IF(OR(INPUT!P4623="",INPUT!Q4623=""),"",INPUT!P4623-INPUT!Q4623),"")</f>
        <v/>
      </c>
      <c r="L4628" s="48" t="str">
        <f>IFERROR(IF(OR(INPUT!P4623="",INPUT!Q4623="",INPUT!P4623=0),"",(INPUT!P4623-INPUT!Q4623)/INPUT!P4623),"")</f>
        <v/>
      </c>
    </row>
    <row r="4629" spans="1:12" ht="18" hidden="1" customHeight="1" x14ac:dyDescent="0.2">
      <c r="A4629" s="11" t="str">
        <f>IF(INPUT!M4624="","",INPUT!M4624)</f>
        <v/>
      </c>
      <c r="B4629" s="11" t="str">
        <f>IF(INPUT!M4624="","",INPUT!M4624-WEEKDAY(INPUT!M4624,2)+1)</f>
        <v/>
      </c>
      <c r="C4629" s="20">
        <f>IFERROR(_xlfn.ISOWEEKNUM(INPUT!M4624),"")</f>
        <v>52</v>
      </c>
      <c r="D4629" s="20">
        <f>IFERROR(YEAR(INPUT!M4624),"")</f>
        <v>1900</v>
      </c>
      <c r="E4629" t="str">
        <f>IF(INPUT!O4624="","",INPUT!O4624)</f>
        <v/>
      </c>
      <c r="F4629" t="str">
        <f>IF(INPUT!N4624="","",INPUT!N4624)</f>
        <v/>
      </c>
      <c r="G4629" cm="1">
        <f t="array" ref="G4629">IFERROR(VLOOKUP(INPUT!M4624&amp;INPUT!N4624,CHOOSE({1,2},INPUT!$A$3:$A$5000&amp;INPUT!$C$3:$C$5000,INPUT!$F$3:$F$5000),2,FALSE),"")</f>
        <v>0</v>
      </c>
      <c r="H4629" cm="1">
        <f t="array" ref="H4629">IFERROR(VLOOKUP(INPUT!M4624&amp;INPUT!N4624,CHOOSE({1,2},INPUT!$A$3:$A$5000&amp;INPUT!$C$3:$C$5000,INPUT!$D$3:$D$5000),2,FALSE),"")</f>
        <v>0</v>
      </c>
      <c r="I4629" s="46" t="str">
        <f>IF(INPUT!P4624="","",INPUT!P4624)</f>
        <v/>
      </c>
      <c r="J4629" s="46" t="str">
        <f>IF(INPUT!Q4624="","",INPUT!Q4624)</f>
        <v/>
      </c>
      <c r="K4629" s="46" t="str">
        <f>IFERROR(IF(OR(INPUT!P4624="",INPUT!Q4624=""),"",INPUT!P4624-INPUT!Q4624),"")</f>
        <v/>
      </c>
      <c r="L4629" s="48" t="str">
        <f>IFERROR(IF(OR(INPUT!P4624="",INPUT!Q4624="",INPUT!P4624=0),"",(INPUT!P4624-INPUT!Q4624)/INPUT!P4624),"")</f>
        <v/>
      </c>
    </row>
    <row r="4630" spans="1:12" ht="18" hidden="1" customHeight="1" x14ac:dyDescent="0.2">
      <c r="A4630" s="11" t="str">
        <f>IF(INPUT!M4625="","",INPUT!M4625)</f>
        <v/>
      </c>
      <c r="B4630" s="11" t="str">
        <f>IF(INPUT!M4625="","",INPUT!M4625-WEEKDAY(INPUT!M4625,2)+1)</f>
        <v/>
      </c>
      <c r="C4630" s="20">
        <f>IFERROR(_xlfn.ISOWEEKNUM(INPUT!M4625),"")</f>
        <v>52</v>
      </c>
      <c r="D4630" s="20">
        <f>IFERROR(YEAR(INPUT!M4625),"")</f>
        <v>1900</v>
      </c>
      <c r="E4630" t="str">
        <f>IF(INPUT!O4625="","",INPUT!O4625)</f>
        <v/>
      </c>
      <c r="F4630" t="str">
        <f>IF(INPUT!N4625="","",INPUT!N4625)</f>
        <v/>
      </c>
      <c r="G4630" cm="1">
        <f t="array" ref="G4630">IFERROR(VLOOKUP(INPUT!M4625&amp;INPUT!N4625,CHOOSE({1,2},INPUT!$A$3:$A$5000&amp;INPUT!$C$3:$C$5000,INPUT!$F$3:$F$5000),2,FALSE),"")</f>
        <v>0</v>
      </c>
      <c r="H4630" cm="1">
        <f t="array" ref="H4630">IFERROR(VLOOKUP(INPUT!M4625&amp;INPUT!N4625,CHOOSE({1,2},INPUT!$A$3:$A$5000&amp;INPUT!$C$3:$C$5000,INPUT!$D$3:$D$5000),2,FALSE),"")</f>
        <v>0</v>
      </c>
      <c r="I4630" s="46" t="str">
        <f>IF(INPUT!P4625="","",INPUT!P4625)</f>
        <v/>
      </c>
      <c r="J4630" s="46" t="str">
        <f>IF(INPUT!Q4625="","",INPUT!Q4625)</f>
        <v/>
      </c>
      <c r="K4630" s="46" t="str">
        <f>IFERROR(IF(OR(INPUT!P4625="",INPUT!Q4625=""),"",INPUT!P4625-INPUT!Q4625),"")</f>
        <v/>
      </c>
      <c r="L4630" s="48" t="str">
        <f>IFERROR(IF(OR(INPUT!P4625="",INPUT!Q4625="",INPUT!P4625=0),"",(INPUT!P4625-INPUT!Q4625)/INPUT!P4625),"")</f>
        <v/>
      </c>
    </row>
    <row r="4631" spans="1:12" ht="18" hidden="1" customHeight="1" x14ac:dyDescent="0.2">
      <c r="A4631" s="11" t="str">
        <f>IF(INPUT!M4626="","",INPUT!M4626)</f>
        <v/>
      </c>
      <c r="B4631" s="11" t="str">
        <f>IF(INPUT!M4626="","",INPUT!M4626-WEEKDAY(INPUT!M4626,2)+1)</f>
        <v/>
      </c>
      <c r="C4631" s="20">
        <f>IFERROR(_xlfn.ISOWEEKNUM(INPUT!M4626),"")</f>
        <v>52</v>
      </c>
      <c r="D4631" s="20">
        <f>IFERROR(YEAR(INPUT!M4626),"")</f>
        <v>1900</v>
      </c>
      <c r="E4631" t="str">
        <f>IF(INPUT!O4626="","",INPUT!O4626)</f>
        <v/>
      </c>
      <c r="F4631" t="str">
        <f>IF(INPUT!N4626="","",INPUT!N4626)</f>
        <v/>
      </c>
      <c r="G4631" cm="1">
        <f t="array" ref="G4631">IFERROR(VLOOKUP(INPUT!M4626&amp;INPUT!N4626,CHOOSE({1,2},INPUT!$A$3:$A$5000&amp;INPUT!$C$3:$C$5000,INPUT!$F$3:$F$5000),2,FALSE),"")</f>
        <v>0</v>
      </c>
      <c r="H4631" cm="1">
        <f t="array" ref="H4631">IFERROR(VLOOKUP(INPUT!M4626&amp;INPUT!N4626,CHOOSE({1,2},INPUT!$A$3:$A$5000&amp;INPUT!$C$3:$C$5000,INPUT!$D$3:$D$5000),2,FALSE),"")</f>
        <v>0</v>
      </c>
      <c r="I4631" s="46" t="str">
        <f>IF(INPUT!P4626="","",INPUT!P4626)</f>
        <v/>
      </c>
      <c r="J4631" s="46" t="str">
        <f>IF(INPUT!Q4626="","",INPUT!Q4626)</f>
        <v/>
      </c>
      <c r="K4631" s="46" t="str">
        <f>IFERROR(IF(OR(INPUT!P4626="",INPUT!Q4626=""),"",INPUT!P4626-INPUT!Q4626),"")</f>
        <v/>
      </c>
      <c r="L4631" s="48" t="str">
        <f>IFERROR(IF(OR(INPUT!P4626="",INPUT!Q4626="",INPUT!P4626=0),"",(INPUT!P4626-INPUT!Q4626)/INPUT!P4626),"")</f>
        <v/>
      </c>
    </row>
    <row r="4632" spans="1:12" ht="18" hidden="1" customHeight="1" x14ac:dyDescent="0.2">
      <c r="A4632" s="11" t="str">
        <f>IF(INPUT!M4627="","",INPUT!M4627)</f>
        <v/>
      </c>
      <c r="B4632" s="11" t="str">
        <f>IF(INPUT!M4627="","",INPUT!M4627-WEEKDAY(INPUT!M4627,2)+1)</f>
        <v/>
      </c>
      <c r="C4632" s="20">
        <f>IFERROR(_xlfn.ISOWEEKNUM(INPUT!M4627),"")</f>
        <v>52</v>
      </c>
      <c r="D4632" s="20">
        <f>IFERROR(YEAR(INPUT!M4627),"")</f>
        <v>1900</v>
      </c>
      <c r="E4632" t="str">
        <f>IF(INPUT!O4627="","",INPUT!O4627)</f>
        <v/>
      </c>
      <c r="F4632" t="str">
        <f>IF(INPUT!N4627="","",INPUT!N4627)</f>
        <v/>
      </c>
      <c r="G4632" cm="1">
        <f t="array" ref="G4632">IFERROR(VLOOKUP(INPUT!M4627&amp;INPUT!N4627,CHOOSE({1,2},INPUT!$A$3:$A$5000&amp;INPUT!$C$3:$C$5000,INPUT!$F$3:$F$5000),2,FALSE),"")</f>
        <v>0</v>
      </c>
      <c r="H4632" cm="1">
        <f t="array" ref="H4632">IFERROR(VLOOKUP(INPUT!M4627&amp;INPUT!N4627,CHOOSE({1,2},INPUT!$A$3:$A$5000&amp;INPUT!$C$3:$C$5000,INPUT!$D$3:$D$5000),2,FALSE),"")</f>
        <v>0</v>
      </c>
      <c r="I4632" s="46" t="str">
        <f>IF(INPUT!P4627="","",INPUT!P4627)</f>
        <v/>
      </c>
      <c r="J4632" s="46" t="str">
        <f>IF(INPUT!Q4627="","",INPUT!Q4627)</f>
        <v/>
      </c>
      <c r="K4632" s="46" t="str">
        <f>IFERROR(IF(OR(INPUT!P4627="",INPUT!Q4627=""),"",INPUT!P4627-INPUT!Q4627),"")</f>
        <v/>
      </c>
      <c r="L4632" s="48" t="str">
        <f>IFERROR(IF(OR(INPUT!P4627="",INPUT!Q4627="",INPUT!P4627=0),"",(INPUT!P4627-INPUT!Q4627)/INPUT!P4627),"")</f>
        <v/>
      </c>
    </row>
    <row r="4633" spans="1:12" ht="18" hidden="1" customHeight="1" x14ac:dyDescent="0.2">
      <c r="A4633" s="11" t="str">
        <f>IF(INPUT!M4628="","",INPUT!M4628)</f>
        <v/>
      </c>
      <c r="B4633" s="11" t="str">
        <f>IF(INPUT!M4628="","",INPUT!M4628-WEEKDAY(INPUT!M4628,2)+1)</f>
        <v/>
      </c>
      <c r="C4633" s="20">
        <f>IFERROR(_xlfn.ISOWEEKNUM(INPUT!M4628),"")</f>
        <v>52</v>
      </c>
      <c r="D4633" s="20">
        <f>IFERROR(YEAR(INPUT!M4628),"")</f>
        <v>1900</v>
      </c>
      <c r="E4633" t="str">
        <f>IF(INPUT!O4628="","",INPUT!O4628)</f>
        <v/>
      </c>
      <c r="F4633" t="str">
        <f>IF(INPUT!N4628="","",INPUT!N4628)</f>
        <v/>
      </c>
      <c r="G4633" cm="1">
        <f t="array" ref="G4633">IFERROR(VLOOKUP(INPUT!M4628&amp;INPUT!N4628,CHOOSE({1,2},INPUT!$A$3:$A$5000&amp;INPUT!$C$3:$C$5000,INPUT!$F$3:$F$5000),2,FALSE),"")</f>
        <v>0</v>
      </c>
      <c r="H4633" cm="1">
        <f t="array" ref="H4633">IFERROR(VLOOKUP(INPUT!M4628&amp;INPUT!N4628,CHOOSE({1,2},INPUT!$A$3:$A$5000&amp;INPUT!$C$3:$C$5000,INPUT!$D$3:$D$5000),2,FALSE),"")</f>
        <v>0</v>
      </c>
      <c r="I4633" s="46" t="str">
        <f>IF(INPUT!P4628="","",INPUT!P4628)</f>
        <v/>
      </c>
      <c r="J4633" s="46" t="str">
        <f>IF(INPUT!Q4628="","",INPUT!Q4628)</f>
        <v/>
      </c>
      <c r="K4633" s="46" t="str">
        <f>IFERROR(IF(OR(INPUT!P4628="",INPUT!Q4628=""),"",INPUT!P4628-INPUT!Q4628),"")</f>
        <v/>
      </c>
      <c r="L4633" s="48" t="str">
        <f>IFERROR(IF(OR(INPUT!P4628="",INPUT!Q4628="",INPUT!P4628=0),"",(INPUT!P4628-INPUT!Q4628)/INPUT!P4628),"")</f>
        <v/>
      </c>
    </row>
    <row r="4634" spans="1:12" ht="18" hidden="1" customHeight="1" x14ac:dyDescent="0.2">
      <c r="A4634" s="11" t="str">
        <f>IF(INPUT!M4629="","",INPUT!M4629)</f>
        <v/>
      </c>
      <c r="B4634" s="11" t="str">
        <f>IF(INPUT!M4629="","",INPUT!M4629-WEEKDAY(INPUT!M4629,2)+1)</f>
        <v/>
      </c>
      <c r="C4634" s="20">
        <f>IFERROR(_xlfn.ISOWEEKNUM(INPUT!M4629),"")</f>
        <v>52</v>
      </c>
      <c r="D4634" s="20">
        <f>IFERROR(YEAR(INPUT!M4629),"")</f>
        <v>1900</v>
      </c>
      <c r="E4634" t="str">
        <f>IF(INPUT!O4629="","",INPUT!O4629)</f>
        <v/>
      </c>
      <c r="F4634" t="str">
        <f>IF(INPUT!N4629="","",INPUT!N4629)</f>
        <v/>
      </c>
      <c r="G4634" cm="1">
        <f t="array" ref="G4634">IFERROR(VLOOKUP(INPUT!M4629&amp;INPUT!N4629,CHOOSE({1,2},INPUT!$A$3:$A$5000&amp;INPUT!$C$3:$C$5000,INPUT!$F$3:$F$5000),2,FALSE),"")</f>
        <v>0</v>
      </c>
      <c r="H4634" cm="1">
        <f t="array" ref="H4634">IFERROR(VLOOKUP(INPUT!M4629&amp;INPUT!N4629,CHOOSE({1,2},INPUT!$A$3:$A$5000&amp;INPUT!$C$3:$C$5000,INPUT!$D$3:$D$5000),2,FALSE),"")</f>
        <v>0</v>
      </c>
      <c r="I4634" s="46" t="str">
        <f>IF(INPUT!P4629="","",INPUT!P4629)</f>
        <v/>
      </c>
      <c r="J4634" s="46" t="str">
        <f>IF(INPUT!Q4629="","",INPUT!Q4629)</f>
        <v/>
      </c>
      <c r="K4634" s="46" t="str">
        <f>IFERROR(IF(OR(INPUT!P4629="",INPUT!Q4629=""),"",INPUT!P4629-INPUT!Q4629),"")</f>
        <v/>
      </c>
      <c r="L4634" s="48" t="str">
        <f>IFERROR(IF(OR(INPUT!P4629="",INPUT!Q4629="",INPUT!P4629=0),"",(INPUT!P4629-INPUT!Q4629)/INPUT!P4629),"")</f>
        <v/>
      </c>
    </row>
    <row r="4635" spans="1:12" ht="18" hidden="1" customHeight="1" x14ac:dyDescent="0.2">
      <c r="A4635" s="11" t="str">
        <f>IF(INPUT!M4630="","",INPUT!M4630)</f>
        <v/>
      </c>
      <c r="B4635" s="11" t="str">
        <f>IF(INPUT!M4630="","",INPUT!M4630-WEEKDAY(INPUT!M4630,2)+1)</f>
        <v/>
      </c>
      <c r="C4635" s="20">
        <f>IFERROR(_xlfn.ISOWEEKNUM(INPUT!M4630),"")</f>
        <v>52</v>
      </c>
      <c r="D4635" s="20">
        <f>IFERROR(YEAR(INPUT!M4630),"")</f>
        <v>1900</v>
      </c>
      <c r="E4635" t="str">
        <f>IF(INPUT!O4630="","",INPUT!O4630)</f>
        <v/>
      </c>
      <c r="F4635" t="str">
        <f>IF(INPUT!N4630="","",INPUT!N4630)</f>
        <v/>
      </c>
      <c r="G4635" cm="1">
        <f t="array" ref="G4635">IFERROR(VLOOKUP(INPUT!M4630&amp;INPUT!N4630,CHOOSE({1,2},INPUT!$A$3:$A$5000&amp;INPUT!$C$3:$C$5000,INPUT!$F$3:$F$5000),2,FALSE),"")</f>
        <v>0</v>
      </c>
      <c r="H4635" cm="1">
        <f t="array" ref="H4635">IFERROR(VLOOKUP(INPUT!M4630&amp;INPUT!N4630,CHOOSE({1,2},INPUT!$A$3:$A$5000&amp;INPUT!$C$3:$C$5000,INPUT!$D$3:$D$5000),2,FALSE),"")</f>
        <v>0</v>
      </c>
      <c r="I4635" s="46" t="str">
        <f>IF(INPUT!P4630="","",INPUT!P4630)</f>
        <v/>
      </c>
      <c r="J4635" s="46" t="str">
        <f>IF(INPUT!Q4630="","",INPUT!Q4630)</f>
        <v/>
      </c>
      <c r="K4635" s="46" t="str">
        <f>IFERROR(IF(OR(INPUT!P4630="",INPUT!Q4630=""),"",INPUT!P4630-INPUT!Q4630),"")</f>
        <v/>
      </c>
      <c r="L4635" s="48" t="str">
        <f>IFERROR(IF(OR(INPUT!P4630="",INPUT!Q4630="",INPUT!P4630=0),"",(INPUT!P4630-INPUT!Q4630)/INPUT!P4630),"")</f>
        <v/>
      </c>
    </row>
    <row r="4636" spans="1:12" ht="18" hidden="1" customHeight="1" x14ac:dyDescent="0.2">
      <c r="A4636" s="11" t="str">
        <f>IF(INPUT!M4631="","",INPUT!M4631)</f>
        <v/>
      </c>
      <c r="B4636" s="11" t="str">
        <f>IF(INPUT!M4631="","",INPUT!M4631-WEEKDAY(INPUT!M4631,2)+1)</f>
        <v/>
      </c>
      <c r="C4636" s="20">
        <f>IFERROR(_xlfn.ISOWEEKNUM(INPUT!M4631),"")</f>
        <v>52</v>
      </c>
      <c r="D4636" s="20">
        <f>IFERROR(YEAR(INPUT!M4631),"")</f>
        <v>1900</v>
      </c>
      <c r="E4636" t="str">
        <f>IF(INPUT!O4631="","",INPUT!O4631)</f>
        <v/>
      </c>
      <c r="F4636" t="str">
        <f>IF(INPUT!N4631="","",INPUT!N4631)</f>
        <v/>
      </c>
      <c r="G4636" cm="1">
        <f t="array" ref="G4636">IFERROR(VLOOKUP(INPUT!M4631&amp;INPUT!N4631,CHOOSE({1,2},INPUT!$A$3:$A$5000&amp;INPUT!$C$3:$C$5000,INPUT!$F$3:$F$5000),2,FALSE),"")</f>
        <v>0</v>
      </c>
      <c r="H4636" cm="1">
        <f t="array" ref="H4636">IFERROR(VLOOKUP(INPUT!M4631&amp;INPUT!N4631,CHOOSE({1,2},INPUT!$A$3:$A$5000&amp;INPUT!$C$3:$C$5000,INPUT!$D$3:$D$5000),2,FALSE),"")</f>
        <v>0</v>
      </c>
      <c r="I4636" s="46" t="str">
        <f>IF(INPUT!P4631="","",INPUT!P4631)</f>
        <v/>
      </c>
      <c r="J4636" s="46" t="str">
        <f>IF(INPUT!Q4631="","",INPUT!Q4631)</f>
        <v/>
      </c>
      <c r="K4636" s="46" t="str">
        <f>IFERROR(IF(OR(INPUT!P4631="",INPUT!Q4631=""),"",INPUT!P4631-INPUT!Q4631),"")</f>
        <v/>
      </c>
      <c r="L4636" s="48" t="str">
        <f>IFERROR(IF(OR(INPUT!P4631="",INPUT!Q4631="",INPUT!P4631=0),"",(INPUT!P4631-INPUT!Q4631)/INPUT!P4631),"")</f>
        <v/>
      </c>
    </row>
    <row r="4637" spans="1:12" ht="18" hidden="1" customHeight="1" x14ac:dyDescent="0.2">
      <c r="A4637" s="11" t="str">
        <f>IF(INPUT!M4632="","",INPUT!M4632)</f>
        <v/>
      </c>
      <c r="B4637" s="11" t="str">
        <f>IF(INPUT!M4632="","",INPUT!M4632-WEEKDAY(INPUT!M4632,2)+1)</f>
        <v/>
      </c>
      <c r="C4637" s="20">
        <f>IFERROR(_xlfn.ISOWEEKNUM(INPUT!M4632),"")</f>
        <v>52</v>
      </c>
      <c r="D4637" s="20">
        <f>IFERROR(YEAR(INPUT!M4632),"")</f>
        <v>1900</v>
      </c>
      <c r="E4637" t="str">
        <f>IF(INPUT!O4632="","",INPUT!O4632)</f>
        <v/>
      </c>
      <c r="F4637" t="str">
        <f>IF(INPUT!N4632="","",INPUT!N4632)</f>
        <v/>
      </c>
      <c r="G4637" cm="1">
        <f t="array" ref="G4637">IFERROR(VLOOKUP(INPUT!M4632&amp;INPUT!N4632,CHOOSE({1,2},INPUT!$A$3:$A$5000&amp;INPUT!$C$3:$C$5000,INPUT!$F$3:$F$5000),2,FALSE),"")</f>
        <v>0</v>
      </c>
      <c r="H4637" cm="1">
        <f t="array" ref="H4637">IFERROR(VLOOKUP(INPUT!M4632&amp;INPUT!N4632,CHOOSE({1,2},INPUT!$A$3:$A$5000&amp;INPUT!$C$3:$C$5000,INPUT!$D$3:$D$5000),2,FALSE),"")</f>
        <v>0</v>
      </c>
      <c r="I4637" s="46" t="str">
        <f>IF(INPUT!P4632="","",INPUT!P4632)</f>
        <v/>
      </c>
      <c r="J4637" s="46" t="str">
        <f>IF(INPUT!Q4632="","",INPUT!Q4632)</f>
        <v/>
      </c>
      <c r="K4637" s="46" t="str">
        <f>IFERROR(IF(OR(INPUT!P4632="",INPUT!Q4632=""),"",INPUT!P4632-INPUT!Q4632),"")</f>
        <v/>
      </c>
      <c r="L4637" s="48" t="str">
        <f>IFERROR(IF(OR(INPUT!P4632="",INPUT!Q4632="",INPUT!P4632=0),"",(INPUT!P4632-INPUT!Q4632)/INPUT!P4632),"")</f>
        <v/>
      </c>
    </row>
    <row r="4638" spans="1:12" ht="18" hidden="1" customHeight="1" x14ac:dyDescent="0.2">
      <c r="A4638" s="11" t="str">
        <f>IF(INPUT!M4633="","",INPUT!M4633)</f>
        <v/>
      </c>
      <c r="B4638" s="11" t="str">
        <f>IF(INPUT!M4633="","",INPUT!M4633-WEEKDAY(INPUT!M4633,2)+1)</f>
        <v/>
      </c>
      <c r="C4638" s="20">
        <f>IFERROR(_xlfn.ISOWEEKNUM(INPUT!M4633),"")</f>
        <v>52</v>
      </c>
      <c r="D4638" s="20">
        <f>IFERROR(YEAR(INPUT!M4633),"")</f>
        <v>1900</v>
      </c>
      <c r="E4638" t="str">
        <f>IF(INPUT!O4633="","",INPUT!O4633)</f>
        <v/>
      </c>
      <c r="F4638" t="str">
        <f>IF(INPUT!N4633="","",INPUT!N4633)</f>
        <v/>
      </c>
      <c r="G4638" cm="1">
        <f t="array" ref="G4638">IFERROR(VLOOKUP(INPUT!M4633&amp;INPUT!N4633,CHOOSE({1,2},INPUT!$A$3:$A$5000&amp;INPUT!$C$3:$C$5000,INPUT!$F$3:$F$5000),2,FALSE),"")</f>
        <v>0</v>
      </c>
      <c r="H4638" cm="1">
        <f t="array" ref="H4638">IFERROR(VLOOKUP(INPUT!M4633&amp;INPUT!N4633,CHOOSE({1,2},INPUT!$A$3:$A$5000&amp;INPUT!$C$3:$C$5000,INPUT!$D$3:$D$5000),2,FALSE),"")</f>
        <v>0</v>
      </c>
      <c r="I4638" s="46" t="str">
        <f>IF(INPUT!P4633="","",INPUT!P4633)</f>
        <v/>
      </c>
      <c r="J4638" s="46" t="str">
        <f>IF(INPUT!Q4633="","",INPUT!Q4633)</f>
        <v/>
      </c>
      <c r="K4638" s="46" t="str">
        <f>IFERROR(IF(OR(INPUT!P4633="",INPUT!Q4633=""),"",INPUT!P4633-INPUT!Q4633),"")</f>
        <v/>
      </c>
      <c r="L4638" s="48" t="str">
        <f>IFERROR(IF(OR(INPUT!P4633="",INPUT!Q4633="",INPUT!P4633=0),"",(INPUT!P4633-INPUT!Q4633)/INPUT!P4633),"")</f>
        <v/>
      </c>
    </row>
    <row r="4639" spans="1:12" ht="18" hidden="1" customHeight="1" x14ac:dyDescent="0.2">
      <c r="A4639" s="11" t="str">
        <f>IF(INPUT!M4634="","",INPUT!M4634)</f>
        <v/>
      </c>
      <c r="B4639" s="11" t="str">
        <f>IF(INPUT!M4634="","",INPUT!M4634-WEEKDAY(INPUT!M4634,2)+1)</f>
        <v/>
      </c>
      <c r="C4639" s="20">
        <f>IFERROR(_xlfn.ISOWEEKNUM(INPUT!M4634),"")</f>
        <v>52</v>
      </c>
      <c r="D4639" s="20">
        <f>IFERROR(YEAR(INPUT!M4634),"")</f>
        <v>1900</v>
      </c>
      <c r="E4639" t="str">
        <f>IF(INPUT!O4634="","",INPUT!O4634)</f>
        <v/>
      </c>
      <c r="F4639" t="str">
        <f>IF(INPUT!N4634="","",INPUT!N4634)</f>
        <v/>
      </c>
      <c r="G4639" cm="1">
        <f t="array" ref="G4639">IFERROR(VLOOKUP(INPUT!M4634&amp;INPUT!N4634,CHOOSE({1,2},INPUT!$A$3:$A$5000&amp;INPUT!$C$3:$C$5000,INPUT!$F$3:$F$5000),2,FALSE),"")</f>
        <v>0</v>
      </c>
      <c r="H4639" cm="1">
        <f t="array" ref="H4639">IFERROR(VLOOKUP(INPUT!M4634&amp;INPUT!N4634,CHOOSE({1,2},INPUT!$A$3:$A$5000&amp;INPUT!$C$3:$C$5000,INPUT!$D$3:$D$5000),2,FALSE),"")</f>
        <v>0</v>
      </c>
      <c r="I4639" s="46" t="str">
        <f>IF(INPUT!P4634="","",INPUT!P4634)</f>
        <v/>
      </c>
      <c r="J4639" s="46" t="str">
        <f>IF(INPUT!Q4634="","",INPUT!Q4634)</f>
        <v/>
      </c>
      <c r="K4639" s="46" t="str">
        <f>IFERROR(IF(OR(INPUT!P4634="",INPUT!Q4634=""),"",INPUT!P4634-INPUT!Q4634),"")</f>
        <v/>
      </c>
      <c r="L4639" s="48" t="str">
        <f>IFERROR(IF(OR(INPUT!P4634="",INPUT!Q4634="",INPUT!P4634=0),"",(INPUT!P4634-INPUT!Q4634)/INPUT!P4634),"")</f>
        <v/>
      </c>
    </row>
    <row r="4640" spans="1:12" ht="18" hidden="1" customHeight="1" x14ac:dyDescent="0.2">
      <c r="A4640" s="11" t="str">
        <f>IF(INPUT!M4635="","",INPUT!M4635)</f>
        <v/>
      </c>
      <c r="B4640" s="11" t="str">
        <f>IF(INPUT!M4635="","",INPUT!M4635-WEEKDAY(INPUT!M4635,2)+1)</f>
        <v/>
      </c>
      <c r="C4640" s="20">
        <f>IFERROR(_xlfn.ISOWEEKNUM(INPUT!M4635),"")</f>
        <v>52</v>
      </c>
      <c r="D4640" s="20">
        <f>IFERROR(YEAR(INPUT!M4635),"")</f>
        <v>1900</v>
      </c>
      <c r="E4640" t="str">
        <f>IF(INPUT!O4635="","",INPUT!O4635)</f>
        <v/>
      </c>
      <c r="F4640" t="str">
        <f>IF(INPUT!N4635="","",INPUT!N4635)</f>
        <v/>
      </c>
      <c r="G4640" cm="1">
        <f t="array" ref="G4640">IFERROR(VLOOKUP(INPUT!M4635&amp;INPUT!N4635,CHOOSE({1,2},INPUT!$A$3:$A$5000&amp;INPUT!$C$3:$C$5000,INPUT!$F$3:$F$5000),2,FALSE),"")</f>
        <v>0</v>
      </c>
      <c r="H4640" cm="1">
        <f t="array" ref="H4640">IFERROR(VLOOKUP(INPUT!M4635&amp;INPUT!N4635,CHOOSE({1,2},INPUT!$A$3:$A$5000&amp;INPUT!$C$3:$C$5000,INPUT!$D$3:$D$5000),2,FALSE),"")</f>
        <v>0</v>
      </c>
      <c r="I4640" s="46" t="str">
        <f>IF(INPUT!P4635="","",INPUT!P4635)</f>
        <v/>
      </c>
      <c r="J4640" s="46" t="str">
        <f>IF(INPUT!Q4635="","",INPUT!Q4635)</f>
        <v/>
      </c>
      <c r="K4640" s="46" t="str">
        <f>IFERROR(IF(OR(INPUT!P4635="",INPUT!Q4635=""),"",INPUT!P4635-INPUT!Q4635),"")</f>
        <v/>
      </c>
      <c r="L4640" s="48" t="str">
        <f>IFERROR(IF(OR(INPUT!P4635="",INPUT!Q4635="",INPUT!P4635=0),"",(INPUT!P4635-INPUT!Q4635)/INPUT!P4635),"")</f>
        <v/>
      </c>
    </row>
    <row r="4641" spans="1:12" ht="18" hidden="1" customHeight="1" x14ac:dyDescent="0.2">
      <c r="A4641" s="11" t="str">
        <f>IF(INPUT!M4636="","",INPUT!M4636)</f>
        <v/>
      </c>
      <c r="B4641" s="11" t="str">
        <f>IF(INPUT!M4636="","",INPUT!M4636-WEEKDAY(INPUT!M4636,2)+1)</f>
        <v/>
      </c>
      <c r="C4641" s="20">
        <f>IFERROR(_xlfn.ISOWEEKNUM(INPUT!M4636),"")</f>
        <v>52</v>
      </c>
      <c r="D4641" s="20">
        <f>IFERROR(YEAR(INPUT!M4636),"")</f>
        <v>1900</v>
      </c>
      <c r="E4641" t="str">
        <f>IF(INPUT!O4636="","",INPUT!O4636)</f>
        <v/>
      </c>
      <c r="F4641" t="str">
        <f>IF(INPUT!N4636="","",INPUT!N4636)</f>
        <v/>
      </c>
      <c r="G4641" cm="1">
        <f t="array" ref="G4641">IFERROR(VLOOKUP(INPUT!M4636&amp;INPUT!N4636,CHOOSE({1,2},INPUT!$A$3:$A$5000&amp;INPUT!$C$3:$C$5000,INPUT!$F$3:$F$5000),2,FALSE),"")</f>
        <v>0</v>
      </c>
      <c r="H4641" cm="1">
        <f t="array" ref="H4641">IFERROR(VLOOKUP(INPUT!M4636&amp;INPUT!N4636,CHOOSE({1,2},INPUT!$A$3:$A$5000&amp;INPUT!$C$3:$C$5000,INPUT!$D$3:$D$5000),2,FALSE),"")</f>
        <v>0</v>
      </c>
      <c r="I4641" s="46" t="str">
        <f>IF(INPUT!P4636="","",INPUT!P4636)</f>
        <v/>
      </c>
      <c r="J4641" s="46" t="str">
        <f>IF(INPUT!Q4636="","",INPUT!Q4636)</f>
        <v/>
      </c>
      <c r="K4641" s="46" t="str">
        <f>IFERROR(IF(OR(INPUT!P4636="",INPUT!Q4636=""),"",INPUT!P4636-INPUT!Q4636),"")</f>
        <v/>
      </c>
      <c r="L4641" s="48" t="str">
        <f>IFERROR(IF(OR(INPUT!P4636="",INPUT!Q4636="",INPUT!P4636=0),"",(INPUT!P4636-INPUT!Q4636)/INPUT!P4636),"")</f>
        <v/>
      </c>
    </row>
    <row r="4642" spans="1:12" ht="18" hidden="1" customHeight="1" x14ac:dyDescent="0.2">
      <c r="A4642" s="11" t="str">
        <f>IF(INPUT!M4637="","",INPUT!M4637)</f>
        <v/>
      </c>
      <c r="B4642" s="11" t="str">
        <f>IF(INPUT!M4637="","",INPUT!M4637-WEEKDAY(INPUT!M4637,2)+1)</f>
        <v/>
      </c>
      <c r="C4642" s="20">
        <f>IFERROR(_xlfn.ISOWEEKNUM(INPUT!M4637),"")</f>
        <v>52</v>
      </c>
      <c r="D4642" s="20">
        <f>IFERROR(YEAR(INPUT!M4637),"")</f>
        <v>1900</v>
      </c>
      <c r="E4642" t="str">
        <f>IF(INPUT!O4637="","",INPUT!O4637)</f>
        <v/>
      </c>
      <c r="F4642" t="str">
        <f>IF(INPUT!N4637="","",INPUT!N4637)</f>
        <v/>
      </c>
      <c r="G4642" cm="1">
        <f t="array" ref="G4642">IFERROR(VLOOKUP(INPUT!M4637&amp;INPUT!N4637,CHOOSE({1,2},INPUT!$A$3:$A$5000&amp;INPUT!$C$3:$C$5000,INPUT!$F$3:$F$5000),2,FALSE),"")</f>
        <v>0</v>
      </c>
      <c r="H4642" cm="1">
        <f t="array" ref="H4642">IFERROR(VLOOKUP(INPUT!M4637&amp;INPUT!N4637,CHOOSE({1,2},INPUT!$A$3:$A$5000&amp;INPUT!$C$3:$C$5000,INPUT!$D$3:$D$5000),2,FALSE),"")</f>
        <v>0</v>
      </c>
      <c r="I4642" s="46" t="str">
        <f>IF(INPUT!P4637="","",INPUT!P4637)</f>
        <v/>
      </c>
      <c r="J4642" s="46" t="str">
        <f>IF(INPUT!Q4637="","",INPUT!Q4637)</f>
        <v/>
      </c>
      <c r="K4642" s="46" t="str">
        <f>IFERROR(IF(OR(INPUT!P4637="",INPUT!Q4637=""),"",INPUT!P4637-INPUT!Q4637),"")</f>
        <v/>
      </c>
      <c r="L4642" s="48" t="str">
        <f>IFERROR(IF(OR(INPUT!P4637="",INPUT!Q4637="",INPUT!P4637=0),"",(INPUT!P4637-INPUT!Q4637)/INPUT!P4637),"")</f>
        <v/>
      </c>
    </row>
    <row r="4643" spans="1:12" ht="18" hidden="1" customHeight="1" x14ac:dyDescent="0.2">
      <c r="A4643" s="11" t="str">
        <f>IF(INPUT!M4638="","",INPUT!M4638)</f>
        <v/>
      </c>
      <c r="B4643" s="11" t="str">
        <f>IF(INPUT!M4638="","",INPUT!M4638-WEEKDAY(INPUT!M4638,2)+1)</f>
        <v/>
      </c>
      <c r="C4643" s="20">
        <f>IFERROR(_xlfn.ISOWEEKNUM(INPUT!M4638),"")</f>
        <v>52</v>
      </c>
      <c r="D4643" s="20">
        <f>IFERROR(YEAR(INPUT!M4638),"")</f>
        <v>1900</v>
      </c>
      <c r="E4643" t="str">
        <f>IF(INPUT!O4638="","",INPUT!O4638)</f>
        <v/>
      </c>
      <c r="F4643" t="str">
        <f>IF(INPUT!N4638="","",INPUT!N4638)</f>
        <v/>
      </c>
      <c r="G4643" cm="1">
        <f t="array" ref="G4643">IFERROR(VLOOKUP(INPUT!M4638&amp;INPUT!N4638,CHOOSE({1,2},INPUT!$A$3:$A$5000&amp;INPUT!$C$3:$C$5000,INPUT!$F$3:$F$5000),2,FALSE),"")</f>
        <v>0</v>
      </c>
      <c r="H4643" cm="1">
        <f t="array" ref="H4643">IFERROR(VLOOKUP(INPUT!M4638&amp;INPUT!N4638,CHOOSE({1,2},INPUT!$A$3:$A$5000&amp;INPUT!$C$3:$C$5000,INPUT!$D$3:$D$5000),2,FALSE),"")</f>
        <v>0</v>
      </c>
      <c r="I4643" s="46" t="str">
        <f>IF(INPUT!P4638="","",INPUT!P4638)</f>
        <v/>
      </c>
      <c r="J4643" s="46" t="str">
        <f>IF(INPUT!Q4638="","",INPUT!Q4638)</f>
        <v/>
      </c>
      <c r="K4643" s="46" t="str">
        <f>IFERROR(IF(OR(INPUT!P4638="",INPUT!Q4638=""),"",INPUT!P4638-INPUT!Q4638),"")</f>
        <v/>
      </c>
      <c r="L4643" s="48" t="str">
        <f>IFERROR(IF(OR(INPUT!P4638="",INPUT!Q4638="",INPUT!P4638=0),"",(INPUT!P4638-INPUT!Q4638)/INPUT!P4638),"")</f>
        <v/>
      </c>
    </row>
    <row r="4644" spans="1:12" ht="18" hidden="1" customHeight="1" x14ac:dyDescent="0.2">
      <c r="A4644" s="11" t="str">
        <f>IF(INPUT!M4639="","",INPUT!M4639)</f>
        <v/>
      </c>
      <c r="B4644" s="11" t="str">
        <f>IF(INPUT!M4639="","",INPUT!M4639-WEEKDAY(INPUT!M4639,2)+1)</f>
        <v/>
      </c>
      <c r="C4644" s="20">
        <f>IFERROR(_xlfn.ISOWEEKNUM(INPUT!M4639),"")</f>
        <v>52</v>
      </c>
      <c r="D4644" s="20">
        <f>IFERROR(YEAR(INPUT!M4639),"")</f>
        <v>1900</v>
      </c>
      <c r="E4644" t="str">
        <f>IF(INPUT!O4639="","",INPUT!O4639)</f>
        <v/>
      </c>
      <c r="F4644" t="str">
        <f>IF(INPUT!N4639="","",INPUT!N4639)</f>
        <v/>
      </c>
      <c r="G4644" cm="1">
        <f t="array" ref="G4644">IFERROR(VLOOKUP(INPUT!M4639&amp;INPUT!N4639,CHOOSE({1,2},INPUT!$A$3:$A$5000&amp;INPUT!$C$3:$C$5000,INPUT!$F$3:$F$5000),2,FALSE),"")</f>
        <v>0</v>
      </c>
      <c r="H4644" cm="1">
        <f t="array" ref="H4644">IFERROR(VLOOKUP(INPUT!M4639&amp;INPUT!N4639,CHOOSE({1,2},INPUT!$A$3:$A$5000&amp;INPUT!$C$3:$C$5000,INPUT!$D$3:$D$5000),2,FALSE),"")</f>
        <v>0</v>
      </c>
      <c r="I4644" s="46" t="str">
        <f>IF(INPUT!P4639="","",INPUT!P4639)</f>
        <v/>
      </c>
      <c r="J4644" s="46" t="str">
        <f>IF(INPUT!Q4639="","",INPUT!Q4639)</f>
        <v/>
      </c>
      <c r="K4644" s="46" t="str">
        <f>IFERROR(IF(OR(INPUT!P4639="",INPUT!Q4639=""),"",INPUT!P4639-INPUT!Q4639),"")</f>
        <v/>
      </c>
      <c r="L4644" s="48" t="str">
        <f>IFERROR(IF(OR(INPUT!P4639="",INPUT!Q4639="",INPUT!P4639=0),"",(INPUT!P4639-INPUT!Q4639)/INPUT!P4639),"")</f>
        <v/>
      </c>
    </row>
    <row r="4645" spans="1:12" ht="18" hidden="1" customHeight="1" x14ac:dyDescent="0.2">
      <c r="A4645" s="11" t="str">
        <f>IF(INPUT!M4640="","",INPUT!M4640)</f>
        <v/>
      </c>
      <c r="B4645" s="11" t="str">
        <f>IF(INPUT!M4640="","",INPUT!M4640-WEEKDAY(INPUT!M4640,2)+1)</f>
        <v/>
      </c>
      <c r="C4645" s="20">
        <f>IFERROR(_xlfn.ISOWEEKNUM(INPUT!M4640),"")</f>
        <v>52</v>
      </c>
      <c r="D4645" s="20">
        <f>IFERROR(YEAR(INPUT!M4640),"")</f>
        <v>1900</v>
      </c>
      <c r="E4645" t="str">
        <f>IF(INPUT!O4640="","",INPUT!O4640)</f>
        <v/>
      </c>
      <c r="F4645" t="str">
        <f>IF(INPUT!N4640="","",INPUT!N4640)</f>
        <v/>
      </c>
      <c r="G4645" cm="1">
        <f t="array" ref="G4645">IFERROR(VLOOKUP(INPUT!M4640&amp;INPUT!N4640,CHOOSE({1,2},INPUT!$A$3:$A$5000&amp;INPUT!$C$3:$C$5000,INPUT!$F$3:$F$5000),2,FALSE),"")</f>
        <v>0</v>
      </c>
      <c r="H4645" cm="1">
        <f t="array" ref="H4645">IFERROR(VLOOKUP(INPUT!M4640&amp;INPUT!N4640,CHOOSE({1,2},INPUT!$A$3:$A$5000&amp;INPUT!$C$3:$C$5000,INPUT!$D$3:$D$5000),2,FALSE),"")</f>
        <v>0</v>
      </c>
      <c r="I4645" s="46" t="str">
        <f>IF(INPUT!P4640="","",INPUT!P4640)</f>
        <v/>
      </c>
      <c r="J4645" s="46" t="str">
        <f>IF(INPUT!Q4640="","",INPUT!Q4640)</f>
        <v/>
      </c>
      <c r="K4645" s="46" t="str">
        <f>IFERROR(IF(OR(INPUT!P4640="",INPUT!Q4640=""),"",INPUT!P4640-INPUT!Q4640),"")</f>
        <v/>
      </c>
      <c r="L4645" s="48" t="str">
        <f>IFERROR(IF(OR(INPUT!P4640="",INPUT!Q4640="",INPUT!P4640=0),"",(INPUT!P4640-INPUT!Q4640)/INPUT!P4640),"")</f>
        <v/>
      </c>
    </row>
    <row r="4646" spans="1:12" ht="18" hidden="1" customHeight="1" x14ac:dyDescent="0.2">
      <c r="A4646" s="11" t="str">
        <f>IF(INPUT!M4641="","",INPUT!M4641)</f>
        <v/>
      </c>
      <c r="B4646" s="11" t="str">
        <f>IF(INPUT!M4641="","",INPUT!M4641-WEEKDAY(INPUT!M4641,2)+1)</f>
        <v/>
      </c>
      <c r="C4646" s="20">
        <f>IFERROR(_xlfn.ISOWEEKNUM(INPUT!M4641),"")</f>
        <v>52</v>
      </c>
      <c r="D4646" s="20">
        <f>IFERROR(YEAR(INPUT!M4641),"")</f>
        <v>1900</v>
      </c>
      <c r="E4646" t="str">
        <f>IF(INPUT!O4641="","",INPUT!O4641)</f>
        <v/>
      </c>
      <c r="F4646" t="str">
        <f>IF(INPUT!N4641="","",INPUT!N4641)</f>
        <v/>
      </c>
      <c r="G4646" cm="1">
        <f t="array" ref="G4646">IFERROR(VLOOKUP(INPUT!M4641&amp;INPUT!N4641,CHOOSE({1,2},INPUT!$A$3:$A$5000&amp;INPUT!$C$3:$C$5000,INPUT!$F$3:$F$5000),2,FALSE),"")</f>
        <v>0</v>
      </c>
      <c r="H4646" cm="1">
        <f t="array" ref="H4646">IFERROR(VLOOKUP(INPUT!M4641&amp;INPUT!N4641,CHOOSE({1,2},INPUT!$A$3:$A$5000&amp;INPUT!$C$3:$C$5000,INPUT!$D$3:$D$5000),2,FALSE),"")</f>
        <v>0</v>
      </c>
      <c r="I4646" s="46" t="str">
        <f>IF(INPUT!P4641="","",INPUT!P4641)</f>
        <v/>
      </c>
      <c r="J4646" s="46" t="str">
        <f>IF(INPUT!Q4641="","",INPUT!Q4641)</f>
        <v/>
      </c>
      <c r="K4646" s="46" t="str">
        <f>IFERROR(IF(OR(INPUT!P4641="",INPUT!Q4641=""),"",INPUT!P4641-INPUT!Q4641),"")</f>
        <v/>
      </c>
      <c r="L4646" s="48" t="str">
        <f>IFERROR(IF(OR(INPUT!P4641="",INPUT!Q4641="",INPUT!P4641=0),"",(INPUT!P4641-INPUT!Q4641)/INPUT!P4641),"")</f>
        <v/>
      </c>
    </row>
    <row r="4647" spans="1:12" ht="18" hidden="1" customHeight="1" x14ac:dyDescent="0.2">
      <c r="A4647" s="11" t="str">
        <f>IF(INPUT!M4642="","",INPUT!M4642)</f>
        <v/>
      </c>
      <c r="B4647" s="11" t="str">
        <f>IF(INPUT!M4642="","",INPUT!M4642-WEEKDAY(INPUT!M4642,2)+1)</f>
        <v/>
      </c>
      <c r="C4647" s="20">
        <f>IFERROR(_xlfn.ISOWEEKNUM(INPUT!M4642),"")</f>
        <v>52</v>
      </c>
      <c r="D4647" s="20">
        <f>IFERROR(YEAR(INPUT!M4642),"")</f>
        <v>1900</v>
      </c>
      <c r="E4647" t="str">
        <f>IF(INPUT!O4642="","",INPUT!O4642)</f>
        <v/>
      </c>
      <c r="F4647" t="str">
        <f>IF(INPUT!N4642="","",INPUT!N4642)</f>
        <v/>
      </c>
      <c r="G4647" cm="1">
        <f t="array" ref="G4647">IFERROR(VLOOKUP(INPUT!M4642&amp;INPUT!N4642,CHOOSE({1,2},INPUT!$A$3:$A$5000&amp;INPUT!$C$3:$C$5000,INPUT!$F$3:$F$5000),2,FALSE),"")</f>
        <v>0</v>
      </c>
      <c r="H4647" cm="1">
        <f t="array" ref="H4647">IFERROR(VLOOKUP(INPUT!M4642&amp;INPUT!N4642,CHOOSE({1,2},INPUT!$A$3:$A$5000&amp;INPUT!$C$3:$C$5000,INPUT!$D$3:$D$5000),2,FALSE),"")</f>
        <v>0</v>
      </c>
      <c r="I4647" s="46" t="str">
        <f>IF(INPUT!P4642="","",INPUT!P4642)</f>
        <v/>
      </c>
      <c r="J4647" s="46" t="str">
        <f>IF(INPUT!Q4642="","",INPUT!Q4642)</f>
        <v/>
      </c>
      <c r="K4647" s="46" t="str">
        <f>IFERROR(IF(OR(INPUT!P4642="",INPUT!Q4642=""),"",INPUT!P4642-INPUT!Q4642),"")</f>
        <v/>
      </c>
      <c r="L4647" s="48" t="str">
        <f>IFERROR(IF(OR(INPUT!P4642="",INPUT!Q4642="",INPUT!P4642=0),"",(INPUT!P4642-INPUT!Q4642)/INPUT!P4642),"")</f>
        <v/>
      </c>
    </row>
    <row r="4648" spans="1:12" ht="18" hidden="1" customHeight="1" x14ac:dyDescent="0.2">
      <c r="A4648" s="11" t="str">
        <f>IF(INPUT!M4643="","",INPUT!M4643)</f>
        <v/>
      </c>
      <c r="B4648" s="11" t="str">
        <f>IF(INPUT!M4643="","",INPUT!M4643-WEEKDAY(INPUT!M4643,2)+1)</f>
        <v/>
      </c>
      <c r="C4648" s="20">
        <f>IFERROR(_xlfn.ISOWEEKNUM(INPUT!M4643),"")</f>
        <v>52</v>
      </c>
      <c r="D4648" s="20">
        <f>IFERROR(YEAR(INPUT!M4643),"")</f>
        <v>1900</v>
      </c>
      <c r="E4648" t="str">
        <f>IF(INPUT!O4643="","",INPUT!O4643)</f>
        <v/>
      </c>
      <c r="F4648" t="str">
        <f>IF(INPUT!N4643="","",INPUT!N4643)</f>
        <v/>
      </c>
      <c r="G4648" cm="1">
        <f t="array" ref="G4648">IFERROR(VLOOKUP(INPUT!M4643&amp;INPUT!N4643,CHOOSE({1,2},INPUT!$A$3:$A$5000&amp;INPUT!$C$3:$C$5000,INPUT!$F$3:$F$5000),2,FALSE),"")</f>
        <v>0</v>
      </c>
      <c r="H4648" cm="1">
        <f t="array" ref="H4648">IFERROR(VLOOKUP(INPUT!M4643&amp;INPUT!N4643,CHOOSE({1,2},INPUT!$A$3:$A$5000&amp;INPUT!$C$3:$C$5000,INPUT!$D$3:$D$5000),2,FALSE),"")</f>
        <v>0</v>
      </c>
      <c r="I4648" s="46" t="str">
        <f>IF(INPUT!P4643="","",INPUT!P4643)</f>
        <v/>
      </c>
      <c r="J4648" s="46" t="str">
        <f>IF(INPUT!Q4643="","",INPUT!Q4643)</f>
        <v/>
      </c>
      <c r="K4648" s="46" t="str">
        <f>IFERROR(IF(OR(INPUT!P4643="",INPUT!Q4643=""),"",INPUT!P4643-INPUT!Q4643),"")</f>
        <v/>
      </c>
      <c r="L4648" s="48" t="str">
        <f>IFERROR(IF(OR(INPUT!P4643="",INPUT!Q4643="",INPUT!P4643=0),"",(INPUT!P4643-INPUT!Q4643)/INPUT!P4643),"")</f>
        <v/>
      </c>
    </row>
    <row r="4649" spans="1:12" ht="18" hidden="1" customHeight="1" x14ac:dyDescent="0.2">
      <c r="A4649" s="11" t="str">
        <f>IF(INPUT!M4644="","",INPUT!M4644)</f>
        <v/>
      </c>
      <c r="B4649" s="11" t="str">
        <f>IF(INPUT!M4644="","",INPUT!M4644-WEEKDAY(INPUT!M4644,2)+1)</f>
        <v/>
      </c>
      <c r="C4649" s="20">
        <f>IFERROR(_xlfn.ISOWEEKNUM(INPUT!M4644),"")</f>
        <v>52</v>
      </c>
      <c r="D4649" s="20">
        <f>IFERROR(YEAR(INPUT!M4644),"")</f>
        <v>1900</v>
      </c>
      <c r="E4649" t="str">
        <f>IF(INPUT!O4644="","",INPUT!O4644)</f>
        <v/>
      </c>
      <c r="F4649" t="str">
        <f>IF(INPUT!N4644="","",INPUT!N4644)</f>
        <v/>
      </c>
      <c r="G4649" cm="1">
        <f t="array" ref="G4649">IFERROR(VLOOKUP(INPUT!M4644&amp;INPUT!N4644,CHOOSE({1,2},INPUT!$A$3:$A$5000&amp;INPUT!$C$3:$C$5000,INPUT!$F$3:$F$5000),2,FALSE),"")</f>
        <v>0</v>
      </c>
      <c r="H4649" cm="1">
        <f t="array" ref="H4649">IFERROR(VLOOKUP(INPUT!M4644&amp;INPUT!N4644,CHOOSE({1,2},INPUT!$A$3:$A$5000&amp;INPUT!$C$3:$C$5000,INPUT!$D$3:$D$5000),2,FALSE),"")</f>
        <v>0</v>
      </c>
      <c r="I4649" s="46" t="str">
        <f>IF(INPUT!P4644="","",INPUT!P4644)</f>
        <v/>
      </c>
      <c r="J4649" s="46" t="str">
        <f>IF(INPUT!Q4644="","",INPUT!Q4644)</f>
        <v/>
      </c>
      <c r="K4649" s="46" t="str">
        <f>IFERROR(IF(OR(INPUT!P4644="",INPUT!Q4644=""),"",INPUT!P4644-INPUT!Q4644),"")</f>
        <v/>
      </c>
      <c r="L4649" s="48" t="str">
        <f>IFERROR(IF(OR(INPUT!P4644="",INPUT!Q4644="",INPUT!P4644=0),"",(INPUT!P4644-INPUT!Q4644)/INPUT!P4644),"")</f>
        <v/>
      </c>
    </row>
    <row r="4650" spans="1:12" ht="18" hidden="1" customHeight="1" x14ac:dyDescent="0.2">
      <c r="A4650" s="11" t="str">
        <f>IF(INPUT!M4645="","",INPUT!M4645)</f>
        <v/>
      </c>
      <c r="B4650" s="11" t="str">
        <f>IF(INPUT!M4645="","",INPUT!M4645-WEEKDAY(INPUT!M4645,2)+1)</f>
        <v/>
      </c>
      <c r="C4650" s="20">
        <f>IFERROR(_xlfn.ISOWEEKNUM(INPUT!M4645),"")</f>
        <v>52</v>
      </c>
      <c r="D4650" s="20">
        <f>IFERROR(YEAR(INPUT!M4645),"")</f>
        <v>1900</v>
      </c>
      <c r="E4650" t="str">
        <f>IF(INPUT!O4645="","",INPUT!O4645)</f>
        <v/>
      </c>
      <c r="F4650" t="str">
        <f>IF(INPUT!N4645="","",INPUT!N4645)</f>
        <v/>
      </c>
      <c r="G4650" cm="1">
        <f t="array" ref="G4650">IFERROR(VLOOKUP(INPUT!M4645&amp;INPUT!N4645,CHOOSE({1,2},INPUT!$A$3:$A$5000&amp;INPUT!$C$3:$C$5000,INPUT!$F$3:$F$5000),2,FALSE),"")</f>
        <v>0</v>
      </c>
      <c r="H4650" cm="1">
        <f t="array" ref="H4650">IFERROR(VLOOKUP(INPUT!M4645&amp;INPUT!N4645,CHOOSE({1,2},INPUT!$A$3:$A$5000&amp;INPUT!$C$3:$C$5000,INPUT!$D$3:$D$5000),2,FALSE),"")</f>
        <v>0</v>
      </c>
      <c r="I4650" s="46" t="str">
        <f>IF(INPUT!P4645="","",INPUT!P4645)</f>
        <v/>
      </c>
      <c r="J4650" s="46" t="str">
        <f>IF(INPUT!Q4645="","",INPUT!Q4645)</f>
        <v/>
      </c>
      <c r="K4650" s="46" t="str">
        <f>IFERROR(IF(OR(INPUT!P4645="",INPUT!Q4645=""),"",INPUT!P4645-INPUT!Q4645),"")</f>
        <v/>
      </c>
      <c r="L4650" s="48" t="str">
        <f>IFERROR(IF(OR(INPUT!P4645="",INPUT!Q4645="",INPUT!P4645=0),"",(INPUT!P4645-INPUT!Q4645)/INPUT!P4645),"")</f>
        <v/>
      </c>
    </row>
    <row r="4651" spans="1:12" ht="18" hidden="1" customHeight="1" x14ac:dyDescent="0.2">
      <c r="A4651" s="11" t="str">
        <f>IF(INPUT!M4646="","",INPUT!M4646)</f>
        <v/>
      </c>
      <c r="B4651" s="11" t="str">
        <f>IF(INPUT!M4646="","",INPUT!M4646-WEEKDAY(INPUT!M4646,2)+1)</f>
        <v/>
      </c>
      <c r="C4651" s="20">
        <f>IFERROR(_xlfn.ISOWEEKNUM(INPUT!M4646),"")</f>
        <v>52</v>
      </c>
      <c r="D4651" s="20">
        <f>IFERROR(YEAR(INPUT!M4646),"")</f>
        <v>1900</v>
      </c>
      <c r="E4651" t="str">
        <f>IF(INPUT!O4646="","",INPUT!O4646)</f>
        <v/>
      </c>
      <c r="F4651" t="str">
        <f>IF(INPUT!N4646="","",INPUT!N4646)</f>
        <v/>
      </c>
      <c r="G4651" cm="1">
        <f t="array" ref="G4651">IFERROR(VLOOKUP(INPUT!M4646&amp;INPUT!N4646,CHOOSE({1,2},INPUT!$A$3:$A$5000&amp;INPUT!$C$3:$C$5000,INPUT!$F$3:$F$5000),2,FALSE),"")</f>
        <v>0</v>
      </c>
      <c r="H4651" cm="1">
        <f t="array" ref="H4651">IFERROR(VLOOKUP(INPUT!M4646&amp;INPUT!N4646,CHOOSE({1,2},INPUT!$A$3:$A$5000&amp;INPUT!$C$3:$C$5000,INPUT!$D$3:$D$5000),2,FALSE),"")</f>
        <v>0</v>
      </c>
      <c r="I4651" s="46" t="str">
        <f>IF(INPUT!P4646="","",INPUT!P4646)</f>
        <v/>
      </c>
      <c r="J4651" s="46" t="str">
        <f>IF(INPUT!Q4646="","",INPUT!Q4646)</f>
        <v/>
      </c>
      <c r="K4651" s="46" t="str">
        <f>IFERROR(IF(OR(INPUT!P4646="",INPUT!Q4646=""),"",INPUT!P4646-INPUT!Q4646),"")</f>
        <v/>
      </c>
      <c r="L4651" s="48" t="str">
        <f>IFERROR(IF(OR(INPUT!P4646="",INPUT!Q4646="",INPUT!P4646=0),"",(INPUT!P4646-INPUT!Q4646)/INPUT!P4646),"")</f>
        <v/>
      </c>
    </row>
    <row r="4652" spans="1:12" ht="18" hidden="1" customHeight="1" x14ac:dyDescent="0.2">
      <c r="A4652" s="11" t="str">
        <f>IF(INPUT!M4647="","",INPUT!M4647)</f>
        <v/>
      </c>
      <c r="B4652" s="11" t="str">
        <f>IF(INPUT!M4647="","",INPUT!M4647-WEEKDAY(INPUT!M4647,2)+1)</f>
        <v/>
      </c>
      <c r="C4652" s="20">
        <f>IFERROR(_xlfn.ISOWEEKNUM(INPUT!M4647),"")</f>
        <v>52</v>
      </c>
      <c r="D4652" s="20">
        <f>IFERROR(YEAR(INPUT!M4647),"")</f>
        <v>1900</v>
      </c>
      <c r="E4652" t="str">
        <f>IF(INPUT!O4647="","",INPUT!O4647)</f>
        <v/>
      </c>
      <c r="F4652" t="str">
        <f>IF(INPUT!N4647="","",INPUT!N4647)</f>
        <v/>
      </c>
      <c r="G4652" cm="1">
        <f t="array" ref="G4652">IFERROR(VLOOKUP(INPUT!M4647&amp;INPUT!N4647,CHOOSE({1,2},INPUT!$A$3:$A$5000&amp;INPUT!$C$3:$C$5000,INPUT!$F$3:$F$5000),2,FALSE),"")</f>
        <v>0</v>
      </c>
      <c r="H4652" cm="1">
        <f t="array" ref="H4652">IFERROR(VLOOKUP(INPUT!M4647&amp;INPUT!N4647,CHOOSE({1,2},INPUT!$A$3:$A$5000&amp;INPUT!$C$3:$C$5000,INPUT!$D$3:$D$5000),2,FALSE),"")</f>
        <v>0</v>
      </c>
      <c r="I4652" s="46" t="str">
        <f>IF(INPUT!P4647="","",INPUT!P4647)</f>
        <v/>
      </c>
      <c r="J4652" s="46" t="str">
        <f>IF(INPUT!Q4647="","",INPUT!Q4647)</f>
        <v/>
      </c>
      <c r="K4652" s="46" t="str">
        <f>IFERROR(IF(OR(INPUT!P4647="",INPUT!Q4647=""),"",INPUT!P4647-INPUT!Q4647),"")</f>
        <v/>
      </c>
      <c r="L4652" s="48" t="str">
        <f>IFERROR(IF(OR(INPUT!P4647="",INPUT!Q4647="",INPUT!P4647=0),"",(INPUT!P4647-INPUT!Q4647)/INPUT!P4647),"")</f>
        <v/>
      </c>
    </row>
    <row r="4653" spans="1:12" ht="18" hidden="1" customHeight="1" x14ac:dyDescent="0.2">
      <c r="A4653" s="11" t="str">
        <f>IF(INPUT!M4648="","",INPUT!M4648)</f>
        <v/>
      </c>
      <c r="B4653" s="11" t="str">
        <f>IF(INPUT!M4648="","",INPUT!M4648-WEEKDAY(INPUT!M4648,2)+1)</f>
        <v/>
      </c>
      <c r="C4653" s="20">
        <f>IFERROR(_xlfn.ISOWEEKNUM(INPUT!M4648),"")</f>
        <v>52</v>
      </c>
      <c r="D4653" s="20">
        <f>IFERROR(YEAR(INPUT!M4648),"")</f>
        <v>1900</v>
      </c>
      <c r="E4653" t="str">
        <f>IF(INPUT!O4648="","",INPUT!O4648)</f>
        <v/>
      </c>
      <c r="F4653" t="str">
        <f>IF(INPUT!N4648="","",INPUT!N4648)</f>
        <v/>
      </c>
      <c r="G4653" cm="1">
        <f t="array" ref="G4653">IFERROR(VLOOKUP(INPUT!M4648&amp;INPUT!N4648,CHOOSE({1,2},INPUT!$A$3:$A$5000&amp;INPUT!$C$3:$C$5000,INPUT!$F$3:$F$5000),2,FALSE),"")</f>
        <v>0</v>
      </c>
      <c r="H4653" cm="1">
        <f t="array" ref="H4653">IFERROR(VLOOKUP(INPUT!M4648&amp;INPUT!N4648,CHOOSE({1,2},INPUT!$A$3:$A$5000&amp;INPUT!$C$3:$C$5000,INPUT!$D$3:$D$5000),2,FALSE),"")</f>
        <v>0</v>
      </c>
      <c r="I4653" s="46" t="str">
        <f>IF(INPUT!P4648="","",INPUT!P4648)</f>
        <v/>
      </c>
      <c r="J4653" s="46" t="str">
        <f>IF(INPUT!Q4648="","",INPUT!Q4648)</f>
        <v/>
      </c>
      <c r="K4653" s="46" t="str">
        <f>IFERROR(IF(OR(INPUT!P4648="",INPUT!Q4648=""),"",INPUT!P4648-INPUT!Q4648),"")</f>
        <v/>
      </c>
      <c r="L4653" s="48" t="str">
        <f>IFERROR(IF(OR(INPUT!P4648="",INPUT!Q4648="",INPUT!P4648=0),"",(INPUT!P4648-INPUT!Q4648)/INPUT!P4648),"")</f>
        <v/>
      </c>
    </row>
    <row r="4654" spans="1:12" ht="18" hidden="1" customHeight="1" x14ac:dyDescent="0.2">
      <c r="A4654" s="11" t="str">
        <f>IF(INPUT!M4649="","",INPUT!M4649)</f>
        <v/>
      </c>
      <c r="B4654" s="11" t="str">
        <f>IF(INPUT!M4649="","",INPUT!M4649-WEEKDAY(INPUT!M4649,2)+1)</f>
        <v/>
      </c>
      <c r="C4654" s="20">
        <f>IFERROR(_xlfn.ISOWEEKNUM(INPUT!M4649),"")</f>
        <v>52</v>
      </c>
      <c r="D4654" s="20">
        <f>IFERROR(YEAR(INPUT!M4649),"")</f>
        <v>1900</v>
      </c>
      <c r="E4654" t="str">
        <f>IF(INPUT!O4649="","",INPUT!O4649)</f>
        <v/>
      </c>
      <c r="F4654" t="str">
        <f>IF(INPUT!N4649="","",INPUT!N4649)</f>
        <v/>
      </c>
      <c r="G4654" cm="1">
        <f t="array" ref="G4654">IFERROR(VLOOKUP(INPUT!M4649&amp;INPUT!N4649,CHOOSE({1,2},INPUT!$A$3:$A$5000&amp;INPUT!$C$3:$C$5000,INPUT!$F$3:$F$5000),2,FALSE),"")</f>
        <v>0</v>
      </c>
      <c r="H4654" cm="1">
        <f t="array" ref="H4654">IFERROR(VLOOKUP(INPUT!M4649&amp;INPUT!N4649,CHOOSE({1,2},INPUT!$A$3:$A$5000&amp;INPUT!$C$3:$C$5000,INPUT!$D$3:$D$5000),2,FALSE),"")</f>
        <v>0</v>
      </c>
      <c r="I4654" s="46" t="str">
        <f>IF(INPUT!P4649="","",INPUT!P4649)</f>
        <v/>
      </c>
      <c r="J4654" s="46" t="str">
        <f>IF(INPUT!Q4649="","",INPUT!Q4649)</f>
        <v/>
      </c>
      <c r="K4654" s="46" t="str">
        <f>IFERROR(IF(OR(INPUT!P4649="",INPUT!Q4649=""),"",INPUT!P4649-INPUT!Q4649),"")</f>
        <v/>
      </c>
      <c r="L4654" s="48" t="str">
        <f>IFERROR(IF(OR(INPUT!P4649="",INPUT!Q4649="",INPUT!P4649=0),"",(INPUT!P4649-INPUT!Q4649)/INPUT!P4649),"")</f>
        <v/>
      </c>
    </row>
    <row r="4655" spans="1:12" ht="18" hidden="1" customHeight="1" x14ac:dyDescent="0.2">
      <c r="A4655" s="11" t="str">
        <f>IF(INPUT!M4650="","",INPUT!M4650)</f>
        <v/>
      </c>
      <c r="B4655" s="11" t="str">
        <f>IF(INPUT!M4650="","",INPUT!M4650-WEEKDAY(INPUT!M4650,2)+1)</f>
        <v/>
      </c>
      <c r="C4655" s="20">
        <f>IFERROR(_xlfn.ISOWEEKNUM(INPUT!M4650),"")</f>
        <v>52</v>
      </c>
      <c r="D4655" s="20">
        <f>IFERROR(YEAR(INPUT!M4650),"")</f>
        <v>1900</v>
      </c>
      <c r="E4655" t="str">
        <f>IF(INPUT!O4650="","",INPUT!O4650)</f>
        <v/>
      </c>
      <c r="F4655" t="str">
        <f>IF(INPUT!N4650="","",INPUT!N4650)</f>
        <v/>
      </c>
      <c r="G4655" cm="1">
        <f t="array" ref="G4655">IFERROR(VLOOKUP(INPUT!M4650&amp;INPUT!N4650,CHOOSE({1,2},INPUT!$A$3:$A$5000&amp;INPUT!$C$3:$C$5000,INPUT!$F$3:$F$5000),2,FALSE),"")</f>
        <v>0</v>
      </c>
      <c r="H4655" cm="1">
        <f t="array" ref="H4655">IFERROR(VLOOKUP(INPUT!M4650&amp;INPUT!N4650,CHOOSE({1,2},INPUT!$A$3:$A$5000&amp;INPUT!$C$3:$C$5000,INPUT!$D$3:$D$5000),2,FALSE),"")</f>
        <v>0</v>
      </c>
      <c r="I4655" s="46" t="str">
        <f>IF(INPUT!P4650="","",INPUT!P4650)</f>
        <v/>
      </c>
      <c r="J4655" s="46" t="str">
        <f>IF(INPUT!Q4650="","",INPUT!Q4650)</f>
        <v/>
      </c>
      <c r="K4655" s="46" t="str">
        <f>IFERROR(IF(OR(INPUT!P4650="",INPUT!Q4650=""),"",INPUT!P4650-INPUT!Q4650),"")</f>
        <v/>
      </c>
      <c r="L4655" s="48" t="str">
        <f>IFERROR(IF(OR(INPUT!P4650="",INPUT!Q4650="",INPUT!P4650=0),"",(INPUT!P4650-INPUT!Q4650)/INPUT!P4650),"")</f>
        <v/>
      </c>
    </row>
    <row r="4656" spans="1:12" ht="18" hidden="1" customHeight="1" x14ac:dyDescent="0.2">
      <c r="A4656" s="11" t="str">
        <f>IF(INPUT!M4651="","",INPUT!M4651)</f>
        <v/>
      </c>
      <c r="B4656" s="11" t="str">
        <f>IF(INPUT!M4651="","",INPUT!M4651-WEEKDAY(INPUT!M4651,2)+1)</f>
        <v/>
      </c>
      <c r="C4656" s="20">
        <f>IFERROR(_xlfn.ISOWEEKNUM(INPUT!M4651),"")</f>
        <v>52</v>
      </c>
      <c r="D4656" s="20">
        <f>IFERROR(YEAR(INPUT!M4651),"")</f>
        <v>1900</v>
      </c>
      <c r="E4656" t="str">
        <f>IF(INPUT!O4651="","",INPUT!O4651)</f>
        <v/>
      </c>
      <c r="F4656" t="str">
        <f>IF(INPUT!N4651="","",INPUT!N4651)</f>
        <v/>
      </c>
      <c r="G4656" cm="1">
        <f t="array" ref="G4656">IFERROR(VLOOKUP(INPUT!M4651&amp;INPUT!N4651,CHOOSE({1,2},INPUT!$A$3:$A$5000&amp;INPUT!$C$3:$C$5000,INPUT!$F$3:$F$5000),2,FALSE),"")</f>
        <v>0</v>
      </c>
      <c r="H4656" cm="1">
        <f t="array" ref="H4656">IFERROR(VLOOKUP(INPUT!M4651&amp;INPUT!N4651,CHOOSE({1,2},INPUT!$A$3:$A$5000&amp;INPUT!$C$3:$C$5000,INPUT!$D$3:$D$5000),2,FALSE),"")</f>
        <v>0</v>
      </c>
      <c r="I4656" s="46" t="str">
        <f>IF(INPUT!P4651="","",INPUT!P4651)</f>
        <v/>
      </c>
      <c r="J4656" s="46" t="str">
        <f>IF(INPUT!Q4651="","",INPUT!Q4651)</f>
        <v/>
      </c>
      <c r="K4656" s="46" t="str">
        <f>IFERROR(IF(OR(INPUT!P4651="",INPUT!Q4651=""),"",INPUT!P4651-INPUT!Q4651),"")</f>
        <v/>
      </c>
      <c r="L4656" s="48" t="str">
        <f>IFERROR(IF(OR(INPUT!P4651="",INPUT!Q4651="",INPUT!P4651=0),"",(INPUT!P4651-INPUT!Q4651)/INPUT!P4651),"")</f>
        <v/>
      </c>
    </row>
    <row r="4657" spans="1:12" ht="18" hidden="1" customHeight="1" x14ac:dyDescent="0.2">
      <c r="A4657" s="11" t="str">
        <f>IF(INPUT!M4652="","",INPUT!M4652)</f>
        <v/>
      </c>
      <c r="B4657" s="11" t="str">
        <f>IF(INPUT!M4652="","",INPUT!M4652-WEEKDAY(INPUT!M4652,2)+1)</f>
        <v/>
      </c>
      <c r="C4657" s="20">
        <f>IFERROR(_xlfn.ISOWEEKNUM(INPUT!M4652),"")</f>
        <v>52</v>
      </c>
      <c r="D4657" s="20">
        <f>IFERROR(YEAR(INPUT!M4652),"")</f>
        <v>1900</v>
      </c>
      <c r="E4657" t="str">
        <f>IF(INPUT!O4652="","",INPUT!O4652)</f>
        <v/>
      </c>
      <c r="F4657" t="str">
        <f>IF(INPUT!N4652="","",INPUT!N4652)</f>
        <v/>
      </c>
      <c r="G4657" cm="1">
        <f t="array" ref="G4657">IFERROR(VLOOKUP(INPUT!M4652&amp;INPUT!N4652,CHOOSE({1,2},INPUT!$A$3:$A$5000&amp;INPUT!$C$3:$C$5000,INPUT!$F$3:$F$5000),2,FALSE),"")</f>
        <v>0</v>
      </c>
      <c r="H4657" cm="1">
        <f t="array" ref="H4657">IFERROR(VLOOKUP(INPUT!M4652&amp;INPUT!N4652,CHOOSE({1,2},INPUT!$A$3:$A$5000&amp;INPUT!$C$3:$C$5000,INPUT!$D$3:$D$5000),2,FALSE),"")</f>
        <v>0</v>
      </c>
      <c r="I4657" s="46" t="str">
        <f>IF(INPUT!P4652="","",INPUT!P4652)</f>
        <v/>
      </c>
      <c r="J4657" s="46" t="str">
        <f>IF(INPUT!Q4652="","",INPUT!Q4652)</f>
        <v/>
      </c>
      <c r="K4657" s="46" t="str">
        <f>IFERROR(IF(OR(INPUT!P4652="",INPUT!Q4652=""),"",INPUT!P4652-INPUT!Q4652),"")</f>
        <v/>
      </c>
      <c r="L4657" s="48" t="str">
        <f>IFERROR(IF(OR(INPUT!P4652="",INPUT!Q4652="",INPUT!P4652=0),"",(INPUT!P4652-INPUT!Q4652)/INPUT!P4652),"")</f>
        <v/>
      </c>
    </row>
    <row r="4658" spans="1:12" ht="18" hidden="1" customHeight="1" x14ac:dyDescent="0.2">
      <c r="A4658" s="11" t="str">
        <f>IF(INPUT!M4653="","",INPUT!M4653)</f>
        <v/>
      </c>
      <c r="B4658" s="11" t="str">
        <f>IF(INPUT!M4653="","",INPUT!M4653-WEEKDAY(INPUT!M4653,2)+1)</f>
        <v/>
      </c>
      <c r="C4658" s="20">
        <f>IFERROR(_xlfn.ISOWEEKNUM(INPUT!M4653),"")</f>
        <v>52</v>
      </c>
      <c r="D4658" s="20">
        <f>IFERROR(YEAR(INPUT!M4653),"")</f>
        <v>1900</v>
      </c>
      <c r="E4658" t="str">
        <f>IF(INPUT!O4653="","",INPUT!O4653)</f>
        <v/>
      </c>
      <c r="F4658" t="str">
        <f>IF(INPUT!N4653="","",INPUT!N4653)</f>
        <v/>
      </c>
      <c r="G4658" cm="1">
        <f t="array" ref="G4658">IFERROR(VLOOKUP(INPUT!M4653&amp;INPUT!N4653,CHOOSE({1,2},INPUT!$A$3:$A$5000&amp;INPUT!$C$3:$C$5000,INPUT!$F$3:$F$5000),2,FALSE),"")</f>
        <v>0</v>
      </c>
      <c r="H4658" cm="1">
        <f t="array" ref="H4658">IFERROR(VLOOKUP(INPUT!M4653&amp;INPUT!N4653,CHOOSE({1,2},INPUT!$A$3:$A$5000&amp;INPUT!$C$3:$C$5000,INPUT!$D$3:$D$5000),2,FALSE),"")</f>
        <v>0</v>
      </c>
      <c r="I4658" s="46" t="str">
        <f>IF(INPUT!P4653="","",INPUT!P4653)</f>
        <v/>
      </c>
      <c r="J4658" s="46" t="str">
        <f>IF(INPUT!Q4653="","",INPUT!Q4653)</f>
        <v/>
      </c>
      <c r="K4658" s="46" t="str">
        <f>IFERROR(IF(OR(INPUT!P4653="",INPUT!Q4653=""),"",INPUT!P4653-INPUT!Q4653),"")</f>
        <v/>
      </c>
      <c r="L4658" s="48" t="str">
        <f>IFERROR(IF(OR(INPUT!P4653="",INPUT!Q4653="",INPUT!P4653=0),"",(INPUT!P4653-INPUT!Q4653)/INPUT!P4653),"")</f>
        <v/>
      </c>
    </row>
    <row r="4659" spans="1:12" ht="18" hidden="1" customHeight="1" x14ac:dyDescent="0.2">
      <c r="A4659" s="11" t="str">
        <f>IF(INPUT!M4654="","",INPUT!M4654)</f>
        <v/>
      </c>
      <c r="B4659" s="11" t="str">
        <f>IF(INPUT!M4654="","",INPUT!M4654-WEEKDAY(INPUT!M4654,2)+1)</f>
        <v/>
      </c>
      <c r="C4659" s="20">
        <f>IFERROR(_xlfn.ISOWEEKNUM(INPUT!M4654),"")</f>
        <v>52</v>
      </c>
      <c r="D4659" s="20">
        <f>IFERROR(YEAR(INPUT!M4654),"")</f>
        <v>1900</v>
      </c>
      <c r="E4659" t="str">
        <f>IF(INPUT!O4654="","",INPUT!O4654)</f>
        <v/>
      </c>
      <c r="F4659" t="str">
        <f>IF(INPUT!N4654="","",INPUT!N4654)</f>
        <v/>
      </c>
      <c r="G4659" cm="1">
        <f t="array" ref="G4659">IFERROR(VLOOKUP(INPUT!M4654&amp;INPUT!N4654,CHOOSE({1,2},INPUT!$A$3:$A$5000&amp;INPUT!$C$3:$C$5000,INPUT!$F$3:$F$5000),2,FALSE),"")</f>
        <v>0</v>
      </c>
      <c r="H4659" cm="1">
        <f t="array" ref="H4659">IFERROR(VLOOKUP(INPUT!M4654&amp;INPUT!N4654,CHOOSE({1,2},INPUT!$A$3:$A$5000&amp;INPUT!$C$3:$C$5000,INPUT!$D$3:$D$5000),2,FALSE),"")</f>
        <v>0</v>
      </c>
      <c r="I4659" s="46" t="str">
        <f>IF(INPUT!P4654="","",INPUT!P4654)</f>
        <v/>
      </c>
      <c r="J4659" s="46" t="str">
        <f>IF(INPUT!Q4654="","",INPUT!Q4654)</f>
        <v/>
      </c>
      <c r="K4659" s="46" t="str">
        <f>IFERROR(IF(OR(INPUT!P4654="",INPUT!Q4654=""),"",INPUT!P4654-INPUT!Q4654),"")</f>
        <v/>
      </c>
      <c r="L4659" s="48" t="str">
        <f>IFERROR(IF(OR(INPUT!P4654="",INPUT!Q4654="",INPUT!P4654=0),"",(INPUT!P4654-INPUT!Q4654)/INPUT!P4654),"")</f>
        <v/>
      </c>
    </row>
    <row r="4660" spans="1:12" ht="18" hidden="1" customHeight="1" x14ac:dyDescent="0.2">
      <c r="A4660" s="11" t="str">
        <f>IF(INPUT!M4655="","",INPUT!M4655)</f>
        <v/>
      </c>
      <c r="B4660" s="11" t="str">
        <f>IF(INPUT!M4655="","",INPUT!M4655-WEEKDAY(INPUT!M4655,2)+1)</f>
        <v/>
      </c>
      <c r="C4660" s="20">
        <f>IFERROR(_xlfn.ISOWEEKNUM(INPUT!M4655),"")</f>
        <v>52</v>
      </c>
      <c r="D4660" s="20">
        <f>IFERROR(YEAR(INPUT!M4655),"")</f>
        <v>1900</v>
      </c>
      <c r="E4660" t="str">
        <f>IF(INPUT!O4655="","",INPUT!O4655)</f>
        <v/>
      </c>
      <c r="F4660" t="str">
        <f>IF(INPUT!N4655="","",INPUT!N4655)</f>
        <v/>
      </c>
      <c r="G4660" cm="1">
        <f t="array" ref="G4660">IFERROR(VLOOKUP(INPUT!M4655&amp;INPUT!N4655,CHOOSE({1,2},INPUT!$A$3:$A$5000&amp;INPUT!$C$3:$C$5000,INPUT!$F$3:$F$5000),2,FALSE),"")</f>
        <v>0</v>
      </c>
      <c r="H4660" cm="1">
        <f t="array" ref="H4660">IFERROR(VLOOKUP(INPUT!M4655&amp;INPUT!N4655,CHOOSE({1,2},INPUT!$A$3:$A$5000&amp;INPUT!$C$3:$C$5000,INPUT!$D$3:$D$5000),2,FALSE),"")</f>
        <v>0</v>
      </c>
      <c r="I4660" s="46" t="str">
        <f>IF(INPUT!P4655="","",INPUT!P4655)</f>
        <v/>
      </c>
      <c r="J4660" s="46" t="str">
        <f>IF(INPUT!Q4655="","",INPUT!Q4655)</f>
        <v/>
      </c>
      <c r="K4660" s="46" t="str">
        <f>IFERROR(IF(OR(INPUT!P4655="",INPUT!Q4655=""),"",INPUT!P4655-INPUT!Q4655),"")</f>
        <v/>
      </c>
      <c r="L4660" s="48" t="str">
        <f>IFERROR(IF(OR(INPUT!P4655="",INPUT!Q4655="",INPUT!P4655=0),"",(INPUT!P4655-INPUT!Q4655)/INPUT!P4655),"")</f>
        <v/>
      </c>
    </row>
    <row r="4661" spans="1:12" ht="18" hidden="1" customHeight="1" x14ac:dyDescent="0.2">
      <c r="A4661" s="11" t="str">
        <f>IF(INPUT!M4656="","",INPUT!M4656)</f>
        <v/>
      </c>
      <c r="B4661" s="11" t="str">
        <f>IF(INPUT!M4656="","",INPUT!M4656-WEEKDAY(INPUT!M4656,2)+1)</f>
        <v/>
      </c>
      <c r="C4661" s="20">
        <f>IFERROR(_xlfn.ISOWEEKNUM(INPUT!M4656),"")</f>
        <v>52</v>
      </c>
      <c r="D4661" s="20">
        <f>IFERROR(YEAR(INPUT!M4656),"")</f>
        <v>1900</v>
      </c>
      <c r="E4661" t="str">
        <f>IF(INPUT!O4656="","",INPUT!O4656)</f>
        <v/>
      </c>
      <c r="F4661" t="str">
        <f>IF(INPUT!N4656="","",INPUT!N4656)</f>
        <v/>
      </c>
      <c r="G4661" cm="1">
        <f t="array" ref="G4661">IFERROR(VLOOKUP(INPUT!M4656&amp;INPUT!N4656,CHOOSE({1,2},INPUT!$A$3:$A$5000&amp;INPUT!$C$3:$C$5000,INPUT!$F$3:$F$5000),2,FALSE),"")</f>
        <v>0</v>
      </c>
      <c r="H4661" cm="1">
        <f t="array" ref="H4661">IFERROR(VLOOKUP(INPUT!M4656&amp;INPUT!N4656,CHOOSE({1,2},INPUT!$A$3:$A$5000&amp;INPUT!$C$3:$C$5000,INPUT!$D$3:$D$5000),2,FALSE),"")</f>
        <v>0</v>
      </c>
      <c r="I4661" s="46" t="str">
        <f>IF(INPUT!P4656="","",INPUT!P4656)</f>
        <v/>
      </c>
      <c r="J4661" s="46" t="str">
        <f>IF(INPUT!Q4656="","",INPUT!Q4656)</f>
        <v/>
      </c>
      <c r="K4661" s="46" t="str">
        <f>IFERROR(IF(OR(INPUT!P4656="",INPUT!Q4656=""),"",INPUT!P4656-INPUT!Q4656),"")</f>
        <v/>
      </c>
      <c r="L4661" s="48" t="str">
        <f>IFERROR(IF(OR(INPUT!P4656="",INPUT!Q4656="",INPUT!P4656=0),"",(INPUT!P4656-INPUT!Q4656)/INPUT!P4656),"")</f>
        <v/>
      </c>
    </row>
    <row r="4662" spans="1:12" ht="18" hidden="1" customHeight="1" x14ac:dyDescent="0.2">
      <c r="A4662" s="11" t="str">
        <f>IF(INPUT!M4657="","",INPUT!M4657)</f>
        <v/>
      </c>
      <c r="B4662" s="11" t="str">
        <f>IF(INPUT!M4657="","",INPUT!M4657-WEEKDAY(INPUT!M4657,2)+1)</f>
        <v/>
      </c>
      <c r="C4662" s="20">
        <f>IFERROR(_xlfn.ISOWEEKNUM(INPUT!M4657),"")</f>
        <v>52</v>
      </c>
      <c r="D4662" s="20">
        <f>IFERROR(YEAR(INPUT!M4657),"")</f>
        <v>1900</v>
      </c>
      <c r="E4662" t="str">
        <f>IF(INPUT!O4657="","",INPUT!O4657)</f>
        <v/>
      </c>
      <c r="F4662" t="str">
        <f>IF(INPUT!N4657="","",INPUT!N4657)</f>
        <v/>
      </c>
      <c r="G4662" cm="1">
        <f t="array" ref="G4662">IFERROR(VLOOKUP(INPUT!M4657&amp;INPUT!N4657,CHOOSE({1,2},INPUT!$A$3:$A$5000&amp;INPUT!$C$3:$C$5000,INPUT!$F$3:$F$5000),2,FALSE),"")</f>
        <v>0</v>
      </c>
      <c r="H4662" cm="1">
        <f t="array" ref="H4662">IFERROR(VLOOKUP(INPUT!M4657&amp;INPUT!N4657,CHOOSE({1,2},INPUT!$A$3:$A$5000&amp;INPUT!$C$3:$C$5000,INPUT!$D$3:$D$5000),2,FALSE),"")</f>
        <v>0</v>
      </c>
      <c r="I4662" s="46" t="str">
        <f>IF(INPUT!P4657="","",INPUT!P4657)</f>
        <v/>
      </c>
      <c r="J4662" s="46" t="str">
        <f>IF(INPUT!Q4657="","",INPUT!Q4657)</f>
        <v/>
      </c>
      <c r="K4662" s="46" t="str">
        <f>IFERROR(IF(OR(INPUT!P4657="",INPUT!Q4657=""),"",INPUT!P4657-INPUT!Q4657),"")</f>
        <v/>
      </c>
      <c r="L4662" s="48" t="str">
        <f>IFERROR(IF(OR(INPUT!P4657="",INPUT!Q4657="",INPUT!P4657=0),"",(INPUT!P4657-INPUT!Q4657)/INPUT!P4657),"")</f>
        <v/>
      </c>
    </row>
    <row r="4663" spans="1:12" ht="18" hidden="1" customHeight="1" x14ac:dyDescent="0.2">
      <c r="A4663" s="11" t="str">
        <f>IF(INPUT!M4658="","",INPUT!M4658)</f>
        <v/>
      </c>
      <c r="B4663" s="11" t="str">
        <f>IF(INPUT!M4658="","",INPUT!M4658-WEEKDAY(INPUT!M4658,2)+1)</f>
        <v/>
      </c>
      <c r="C4663" s="20">
        <f>IFERROR(_xlfn.ISOWEEKNUM(INPUT!M4658),"")</f>
        <v>52</v>
      </c>
      <c r="D4663" s="20">
        <f>IFERROR(YEAR(INPUT!M4658),"")</f>
        <v>1900</v>
      </c>
      <c r="E4663" t="str">
        <f>IF(INPUT!O4658="","",INPUT!O4658)</f>
        <v/>
      </c>
      <c r="F4663" t="str">
        <f>IF(INPUT!N4658="","",INPUT!N4658)</f>
        <v/>
      </c>
      <c r="G4663" cm="1">
        <f t="array" ref="G4663">IFERROR(VLOOKUP(INPUT!M4658&amp;INPUT!N4658,CHOOSE({1,2},INPUT!$A$3:$A$5000&amp;INPUT!$C$3:$C$5000,INPUT!$F$3:$F$5000),2,FALSE),"")</f>
        <v>0</v>
      </c>
      <c r="H4663" cm="1">
        <f t="array" ref="H4663">IFERROR(VLOOKUP(INPUT!M4658&amp;INPUT!N4658,CHOOSE({1,2},INPUT!$A$3:$A$5000&amp;INPUT!$C$3:$C$5000,INPUT!$D$3:$D$5000),2,FALSE),"")</f>
        <v>0</v>
      </c>
      <c r="I4663" s="46" t="str">
        <f>IF(INPUT!P4658="","",INPUT!P4658)</f>
        <v/>
      </c>
      <c r="J4663" s="46" t="str">
        <f>IF(INPUT!Q4658="","",INPUT!Q4658)</f>
        <v/>
      </c>
      <c r="K4663" s="46" t="str">
        <f>IFERROR(IF(OR(INPUT!P4658="",INPUT!Q4658=""),"",INPUT!P4658-INPUT!Q4658),"")</f>
        <v/>
      </c>
      <c r="L4663" s="48" t="str">
        <f>IFERROR(IF(OR(INPUT!P4658="",INPUT!Q4658="",INPUT!P4658=0),"",(INPUT!P4658-INPUT!Q4658)/INPUT!P4658),"")</f>
        <v/>
      </c>
    </row>
    <row r="4664" spans="1:12" ht="18" hidden="1" customHeight="1" x14ac:dyDescent="0.2">
      <c r="A4664" s="11" t="str">
        <f>IF(INPUT!M4659="","",INPUT!M4659)</f>
        <v/>
      </c>
      <c r="B4664" s="11" t="str">
        <f>IF(INPUT!M4659="","",INPUT!M4659-WEEKDAY(INPUT!M4659,2)+1)</f>
        <v/>
      </c>
      <c r="C4664" s="20">
        <f>IFERROR(_xlfn.ISOWEEKNUM(INPUT!M4659),"")</f>
        <v>52</v>
      </c>
      <c r="D4664" s="20">
        <f>IFERROR(YEAR(INPUT!M4659),"")</f>
        <v>1900</v>
      </c>
      <c r="E4664" t="str">
        <f>IF(INPUT!O4659="","",INPUT!O4659)</f>
        <v/>
      </c>
      <c r="F4664" t="str">
        <f>IF(INPUT!N4659="","",INPUT!N4659)</f>
        <v/>
      </c>
      <c r="G4664" cm="1">
        <f t="array" ref="G4664">IFERROR(VLOOKUP(INPUT!M4659&amp;INPUT!N4659,CHOOSE({1,2},INPUT!$A$3:$A$5000&amp;INPUT!$C$3:$C$5000,INPUT!$F$3:$F$5000),2,FALSE),"")</f>
        <v>0</v>
      </c>
      <c r="H4664" cm="1">
        <f t="array" ref="H4664">IFERROR(VLOOKUP(INPUT!M4659&amp;INPUT!N4659,CHOOSE({1,2},INPUT!$A$3:$A$5000&amp;INPUT!$C$3:$C$5000,INPUT!$D$3:$D$5000),2,FALSE),"")</f>
        <v>0</v>
      </c>
      <c r="I4664" s="46" t="str">
        <f>IF(INPUT!P4659="","",INPUT!P4659)</f>
        <v/>
      </c>
      <c r="J4664" s="46" t="str">
        <f>IF(INPUT!Q4659="","",INPUT!Q4659)</f>
        <v/>
      </c>
      <c r="K4664" s="46" t="str">
        <f>IFERROR(IF(OR(INPUT!P4659="",INPUT!Q4659=""),"",INPUT!P4659-INPUT!Q4659),"")</f>
        <v/>
      </c>
      <c r="L4664" s="48" t="str">
        <f>IFERROR(IF(OR(INPUT!P4659="",INPUT!Q4659="",INPUT!P4659=0),"",(INPUT!P4659-INPUT!Q4659)/INPUT!P4659),"")</f>
        <v/>
      </c>
    </row>
    <row r="4665" spans="1:12" ht="18" hidden="1" customHeight="1" x14ac:dyDescent="0.2">
      <c r="A4665" s="11" t="str">
        <f>IF(INPUT!M4660="","",INPUT!M4660)</f>
        <v/>
      </c>
      <c r="B4665" s="11" t="str">
        <f>IF(INPUT!M4660="","",INPUT!M4660-WEEKDAY(INPUT!M4660,2)+1)</f>
        <v/>
      </c>
      <c r="C4665" s="20">
        <f>IFERROR(_xlfn.ISOWEEKNUM(INPUT!M4660),"")</f>
        <v>52</v>
      </c>
      <c r="D4665" s="20">
        <f>IFERROR(YEAR(INPUT!M4660),"")</f>
        <v>1900</v>
      </c>
      <c r="E4665" t="str">
        <f>IF(INPUT!O4660="","",INPUT!O4660)</f>
        <v/>
      </c>
      <c r="F4665" t="str">
        <f>IF(INPUT!N4660="","",INPUT!N4660)</f>
        <v/>
      </c>
      <c r="G4665" cm="1">
        <f t="array" ref="G4665">IFERROR(VLOOKUP(INPUT!M4660&amp;INPUT!N4660,CHOOSE({1,2},INPUT!$A$3:$A$5000&amp;INPUT!$C$3:$C$5000,INPUT!$F$3:$F$5000),2,FALSE),"")</f>
        <v>0</v>
      </c>
      <c r="H4665" cm="1">
        <f t="array" ref="H4665">IFERROR(VLOOKUP(INPUT!M4660&amp;INPUT!N4660,CHOOSE({1,2},INPUT!$A$3:$A$5000&amp;INPUT!$C$3:$C$5000,INPUT!$D$3:$D$5000),2,FALSE),"")</f>
        <v>0</v>
      </c>
      <c r="I4665" s="46" t="str">
        <f>IF(INPUT!P4660="","",INPUT!P4660)</f>
        <v/>
      </c>
      <c r="J4665" s="46" t="str">
        <f>IF(INPUT!Q4660="","",INPUT!Q4660)</f>
        <v/>
      </c>
      <c r="K4665" s="46" t="str">
        <f>IFERROR(IF(OR(INPUT!P4660="",INPUT!Q4660=""),"",INPUT!P4660-INPUT!Q4660),"")</f>
        <v/>
      </c>
      <c r="L4665" s="48" t="str">
        <f>IFERROR(IF(OR(INPUT!P4660="",INPUT!Q4660="",INPUT!P4660=0),"",(INPUT!P4660-INPUT!Q4660)/INPUT!P4660),"")</f>
        <v/>
      </c>
    </row>
    <row r="4666" spans="1:12" ht="18" hidden="1" customHeight="1" x14ac:dyDescent="0.2">
      <c r="A4666" s="11" t="str">
        <f>IF(INPUT!M4661="","",INPUT!M4661)</f>
        <v/>
      </c>
      <c r="B4666" s="11" t="str">
        <f>IF(INPUT!M4661="","",INPUT!M4661-WEEKDAY(INPUT!M4661,2)+1)</f>
        <v/>
      </c>
      <c r="C4666" s="20">
        <f>IFERROR(_xlfn.ISOWEEKNUM(INPUT!M4661),"")</f>
        <v>52</v>
      </c>
      <c r="D4666" s="20">
        <f>IFERROR(YEAR(INPUT!M4661),"")</f>
        <v>1900</v>
      </c>
      <c r="E4666" t="str">
        <f>IF(INPUT!O4661="","",INPUT!O4661)</f>
        <v/>
      </c>
      <c r="F4666" t="str">
        <f>IF(INPUT!N4661="","",INPUT!N4661)</f>
        <v/>
      </c>
      <c r="G4666" cm="1">
        <f t="array" ref="G4666">IFERROR(VLOOKUP(INPUT!M4661&amp;INPUT!N4661,CHOOSE({1,2},INPUT!$A$3:$A$5000&amp;INPUT!$C$3:$C$5000,INPUT!$F$3:$F$5000),2,FALSE),"")</f>
        <v>0</v>
      </c>
      <c r="H4666" cm="1">
        <f t="array" ref="H4666">IFERROR(VLOOKUP(INPUT!M4661&amp;INPUT!N4661,CHOOSE({1,2},INPUT!$A$3:$A$5000&amp;INPUT!$C$3:$C$5000,INPUT!$D$3:$D$5000),2,FALSE),"")</f>
        <v>0</v>
      </c>
      <c r="I4666" s="46" t="str">
        <f>IF(INPUT!P4661="","",INPUT!P4661)</f>
        <v/>
      </c>
      <c r="J4666" s="46" t="str">
        <f>IF(INPUT!Q4661="","",INPUT!Q4661)</f>
        <v/>
      </c>
      <c r="K4666" s="46" t="str">
        <f>IFERROR(IF(OR(INPUT!P4661="",INPUT!Q4661=""),"",INPUT!P4661-INPUT!Q4661),"")</f>
        <v/>
      </c>
      <c r="L4666" s="48" t="str">
        <f>IFERROR(IF(OR(INPUT!P4661="",INPUT!Q4661="",INPUT!P4661=0),"",(INPUT!P4661-INPUT!Q4661)/INPUT!P4661),"")</f>
        <v/>
      </c>
    </row>
    <row r="4667" spans="1:12" ht="18" hidden="1" customHeight="1" x14ac:dyDescent="0.2">
      <c r="A4667" s="11" t="str">
        <f>IF(INPUT!M4662="","",INPUT!M4662)</f>
        <v/>
      </c>
      <c r="B4667" s="11" t="str">
        <f>IF(INPUT!M4662="","",INPUT!M4662-WEEKDAY(INPUT!M4662,2)+1)</f>
        <v/>
      </c>
      <c r="C4667" s="20">
        <f>IFERROR(_xlfn.ISOWEEKNUM(INPUT!M4662),"")</f>
        <v>52</v>
      </c>
      <c r="D4667" s="20">
        <f>IFERROR(YEAR(INPUT!M4662),"")</f>
        <v>1900</v>
      </c>
      <c r="E4667" t="str">
        <f>IF(INPUT!O4662="","",INPUT!O4662)</f>
        <v/>
      </c>
      <c r="F4667" t="str">
        <f>IF(INPUT!N4662="","",INPUT!N4662)</f>
        <v/>
      </c>
      <c r="G4667" cm="1">
        <f t="array" ref="G4667">IFERROR(VLOOKUP(INPUT!M4662&amp;INPUT!N4662,CHOOSE({1,2},INPUT!$A$3:$A$5000&amp;INPUT!$C$3:$C$5000,INPUT!$F$3:$F$5000),2,FALSE),"")</f>
        <v>0</v>
      </c>
      <c r="H4667" cm="1">
        <f t="array" ref="H4667">IFERROR(VLOOKUP(INPUT!M4662&amp;INPUT!N4662,CHOOSE({1,2},INPUT!$A$3:$A$5000&amp;INPUT!$C$3:$C$5000,INPUT!$D$3:$D$5000),2,FALSE),"")</f>
        <v>0</v>
      </c>
      <c r="I4667" s="46" t="str">
        <f>IF(INPUT!P4662="","",INPUT!P4662)</f>
        <v/>
      </c>
      <c r="J4667" s="46" t="str">
        <f>IF(INPUT!Q4662="","",INPUT!Q4662)</f>
        <v/>
      </c>
      <c r="K4667" s="46" t="str">
        <f>IFERROR(IF(OR(INPUT!P4662="",INPUT!Q4662=""),"",INPUT!P4662-INPUT!Q4662),"")</f>
        <v/>
      </c>
      <c r="L4667" s="48" t="str">
        <f>IFERROR(IF(OR(INPUT!P4662="",INPUT!Q4662="",INPUT!P4662=0),"",(INPUT!P4662-INPUT!Q4662)/INPUT!P4662),"")</f>
        <v/>
      </c>
    </row>
    <row r="4668" spans="1:12" ht="18" hidden="1" customHeight="1" x14ac:dyDescent="0.2">
      <c r="A4668" s="11" t="str">
        <f>IF(INPUT!M4663="","",INPUT!M4663)</f>
        <v/>
      </c>
      <c r="B4668" s="11" t="str">
        <f>IF(INPUT!M4663="","",INPUT!M4663-WEEKDAY(INPUT!M4663,2)+1)</f>
        <v/>
      </c>
      <c r="C4668" s="20">
        <f>IFERROR(_xlfn.ISOWEEKNUM(INPUT!M4663),"")</f>
        <v>52</v>
      </c>
      <c r="D4668" s="20">
        <f>IFERROR(YEAR(INPUT!M4663),"")</f>
        <v>1900</v>
      </c>
      <c r="E4668" t="str">
        <f>IF(INPUT!O4663="","",INPUT!O4663)</f>
        <v/>
      </c>
      <c r="F4668" t="str">
        <f>IF(INPUT!N4663="","",INPUT!N4663)</f>
        <v/>
      </c>
      <c r="G4668" cm="1">
        <f t="array" ref="G4668">IFERROR(VLOOKUP(INPUT!M4663&amp;INPUT!N4663,CHOOSE({1,2},INPUT!$A$3:$A$5000&amp;INPUT!$C$3:$C$5000,INPUT!$F$3:$F$5000),2,FALSE),"")</f>
        <v>0</v>
      </c>
      <c r="H4668" cm="1">
        <f t="array" ref="H4668">IFERROR(VLOOKUP(INPUT!M4663&amp;INPUT!N4663,CHOOSE({1,2},INPUT!$A$3:$A$5000&amp;INPUT!$C$3:$C$5000,INPUT!$D$3:$D$5000),2,FALSE),"")</f>
        <v>0</v>
      </c>
      <c r="I4668" s="46" t="str">
        <f>IF(INPUT!P4663="","",INPUT!P4663)</f>
        <v/>
      </c>
      <c r="J4668" s="46" t="str">
        <f>IF(INPUT!Q4663="","",INPUT!Q4663)</f>
        <v/>
      </c>
      <c r="K4668" s="46" t="str">
        <f>IFERROR(IF(OR(INPUT!P4663="",INPUT!Q4663=""),"",INPUT!P4663-INPUT!Q4663),"")</f>
        <v/>
      </c>
      <c r="L4668" s="48" t="str">
        <f>IFERROR(IF(OR(INPUT!P4663="",INPUT!Q4663="",INPUT!P4663=0),"",(INPUT!P4663-INPUT!Q4663)/INPUT!P4663),"")</f>
        <v/>
      </c>
    </row>
    <row r="4669" spans="1:12" ht="18" hidden="1" customHeight="1" x14ac:dyDescent="0.2">
      <c r="A4669" s="11" t="str">
        <f>IF(INPUT!M4664="","",INPUT!M4664)</f>
        <v/>
      </c>
      <c r="B4669" s="11" t="str">
        <f>IF(INPUT!M4664="","",INPUT!M4664-WEEKDAY(INPUT!M4664,2)+1)</f>
        <v/>
      </c>
      <c r="C4669" s="20">
        <f>IFERROR(_xlfn.ISOWEEKNUM(INPUT!M4664),"")</f>
        <v>52</v>
      </c>
      <c r="D4669" s="20">
        <f>IFERROR(YEAR(INPUT!M4664),"")</f>
        <v>1900</v>
      </c>
      <c r="E4669" t="str">
        <f>IF(INPUT!O4664="","",INPUT!O4664)</f>
        <v/>
      </c>
      <c r="F4669" t="str">
        <f>IF(INPUT!N4664="","",INPUT!N4664)</f>
        <v/>
      </c>
      <c r="G4669" cm="1">
        <f t="array" ref="G4669">IFERROR(VLOOKUP(INPUT!M4664&amp;INPUT!N4664,CHOOSE({1,2},INPUT!$A$3:$A$5000&amp;INPUT!$C$3:$C$5000,INPUT!$F$3:$F$5000),2,FALSE),"")</f>
        <v>0</v>
      </c>
      <c r="H4669" cm="1">
        <f t="array" ref="H4669">IFERROR(VLOOKUP(INPUT!M4664&amp;INPUT!N4664,CHOOSE({1,2},INPUT!$A$3:$A$5000&amp;INPUT!$C$3:$C$5000,INPUT!$D$3:$D$5000),2,FALSE),"")</f>
        <v>0</v>
      </c>
      <c r="I4669" s="46" t="str">
        <f>IF(INPUT!P4664="","",INPUT!P4664)</f>
        <v/>
      </c>
      <c r="J4669" s="46" t="str">
        <f>IF(INPUT!Q4664="","",INPUT!Q4664)</f>
        <v/>
      </c>
      <c r="K4669" s="46" t="str">
        <f>IFERROR(IF(OR(INPUT!P4664="",INPUT!Q4664=""),"",INPUT!P4664-INPUT!Q4664),"")</f>
        <v/>
      </c>
      <c r="L4669" s="48" t="str">
        <f>IFERROR(IF(OR(INPUT!P4664="",INPUT!Q4664="",INPUT!P4664=0),"",(INPUT!P4664-INPUT!Q4664)/INPUT!P4664),"")</f>
        <v/>
      </c>
    </row>
    <row r="4670" spans="1:12" ht="18" hidden="1" customHeight="1" x14ac:dyDescent="0.2">
      <c r="A4670" s="11" t="str">
        <f>IF(INPUT!M4665="","",INPUT!M4665)</f>
        <v/>
      </c>
      <c r="B4670" s="11" t="str">
        <f>IF(INPUT!M4665="","",INPUT!M4665-WEEKDAY(INPUT!M4665,2)+1)</f>
        <v/>
      </c>
      <c r="C4670" s="20">
        <f>IFERROR(_xlfn.ISOWEEKNUM(INPUT!M4665),"")</f>
        <v>52</v>
      </c>
      <c r="D4670" s="20">
        <f>IFERROR(YEAR(INPUT!M4665),"")</f>
        <v>1900</v>
      </c>
      <c r="E4670" t="str">
        <f>IF(INPUT!O4665="","",INPUT!O4665)</f>
        <v/>
      </c>
      <c r="F4670" t="str">
        <f>IF(INPUT!N4665="","",INPUT!N4665)</f>
        <v/>
      </c>
      <c r="G4670" cm="1">
        <f t="array" ref="G4670">IFERROR(VLOOKUP(INPUT!M4665&amp;INPUT!N4665,CHOOSE({1,2},INPUT!$A$3:$A$5000&amp;INPUT!$C$3:$C$5000,INPUT!$F$3:$F$5000),2,FALSE),"")</f>
        <v>0</v>
      </c>
      <c r="H4670" cm="1">
        <f t="array" ref="H4670">IFERROR(VLOOKUP(INPUT!M4665&amp;INPUT!N4665,CHOOSE({1,2},INPUT!$A$3:$A$5000&amp;INPUT!$C$3:$C$5000,INPUT!$D$3:$D$5000),2,FALSE),"")</f>
        <v>0</v>
      </c>
      <c r="I4670" s="46" t="str">
        <f>IF(INPUT!P4665="","",INPUT!P4665)</f>
        <v/>
      </c>
      <c r="J4670" s="46" t="str">
        <f>IF(INPUT!Q4665="","",INPUT!Q4665)</f>
        <v/>
      </c>
      <c r="K4670" s="46" t="str">
        <f>IFERROR(IF(OR(INPUT!P4665="",INPUT!Q4665=""),"",INPUT!P4665-INPUT!Q4665),"")</f>
        <v/>
      </c>
      <c r="L4670" s="48" t="str">
        <f>IFERROR(IF(OR(INPUT!P4665="",INPUT!Q4665="",INPUT!P4665=0),"",(INPUT!P4665-INPUT!Q4665)/INPUT!P4665),"")</f>
        <v/>
      </c>
    </row>
    <row r="4671" spans="1:12" ht="18" hidden="1" customHeight="1" x14ac:dyDescent="0.2">
      <c r="A4671" s="11" t="str">
        <f>IF(INPUT!M4666="","",INPUT!M4666)</f>
        <v/>
      </c>
      <c r="B4671" s="11" t="str">
        <f>IF(INPUT!M4666="","",INPUT!M4666-WEEKDAY(INPUT!M4666,2)+1)</f>
        <v/>
      </c>
      <c r="C4671" s="20">
        <f>IFERROR(_xlfn.ISOWEEKNUM(INPUT!M4666),"")</f>
        <v>52</v>
      </c>
      <c r="D4671" s="20">
        <f>IFERROR(YEAR(INPUT!M4666),"")</f>
        <v>1900</v>
      </c>
      <c r="E4671" t="str">
        <f>IF(INPUT!O4666="","",INPUT!O4666)</f>
        <v/>
      </c>
      <c r="F4671" t="str">
        <f>IF(INPUT!N4666="","",INPUT!N4666)</f>
        <v/>
      </c>
      <c r="G4671" cm="1">
        <f t="array" ref="G4671">IFERROR(VLOOKUP(INPUT!M4666&amp;INPUT!N4666,CHOOSE({1,2},INPUT!$A$3:$A$5000&amp;INPUT!$C$3:$C$5000,INPUT!$F$3:$F$5000),2,FALSE),"")</f>
        <v>0</v>
      </c>
      <c r="H4671" cm="1">
        <f t="array" ref="H4671">IFERROR(VLOOKUP(INPUT!M4666&amp;INPUT!N4666,CHOOSE({1,2},INPUT!$A$3:$A$5000&amp;INPUT!$C$3:$C$5000,INPUT!$D$3:$D$5000),2,FALSE),"")</f>
        <v>0</v>
      </c>
      <c r="I4671" s="46" t="str">
        <f>IF(INPUT!P4666="","",INPUT!P4666)</f>
        <v/>
      </c>
      <c r="J4671" s="46" t="str">
        <f>IF(INPUT!Q4666="","",INPUT!Q4666)</f>
        <v/>
      </c>
      <c r="K4671" s="46" t="str">
        <f>IFERROR(IF(OR(INPUT!P4666="",INPUT!Q4666=""),"",INPUT!P4666-INPUT!Q4666),"")</f>
        <v/>
      </c>
      <c r="L4671" s="48" t="str">
        <f>IFERROR(IF(OR(INPUT!P4666="",INPUT!Q4666="",INPUT!P4666=0),"",(INPUT!P4666-INPUT!Q4666)/INPUT!P4666),"")</f>
        <v/>
      </c>
    </row>
    <row r="4672" spans="1:12" ht="18" hidden="1" customHeight="1" x14ac:dyDescent="0.2">
      <c r="A4672" s="11" t="str">
        <f>IF(INPUT!M4667="","",INPUT!M4667)</f>
        <v/>
      </c>
      <c r="B4672" s="11" t="str">
        <f>IF(INPUT!M4667="","",INPUT!M4667-WEEKDAY(INPUT!M4667,2)+1)</f>
        <v/>
      </c>
      <c r="C4672" s="20">
        <f>IFERROR(_xlfn.ISOWEEKNUM(INPUT!M4667),"")</f>
        <v>52</v>
      </c>
      <c r="D4672" s="20">
        <f>IFERROR(YEAR(INPUT!M4667),"")</f>
        <v>1900</v>
      </c>
      <c r="E4672" t="str">
        <f>IF(INPUT!O4667="","",INPUT!O4667)</f>
        <v/>
      </c>
      <c r="F4672" t="str">
        <f>IF(INPUT!N4667="","",INPUT!N4667)</f>
        <v/>
      </c>
      <c r="G4672" cm="1">
        <f t="array" ref="G4672">IFERROR(VLOOKUP(INPUT!M4667&amp;INPUT!N4667,CHOOSE({1,2},INPUT!$A$3:$A$5000&amp;INPUT!$C$3:$C$5000,INPUT!$F$3:$F$5000),2,FALSE),"")</f>
        <v>0</v>
      </c>
      <c r="H4672" cm="1">
        <f t="array" ref="H4672">IFERROR(VLOOKUP(INPUT!M4667&amp;INPUT!N4667,CHOOSE({1,2},INPUT!$A$3:$A$5000&amp;INPUT!$C$3:$C$5000,INPUT!$D$3:$D$5000),2,FALSE),"")</f>
        <v>0</v>
      </c>
      <c r="I4672" s="46" t="str">
        <f>IF(INPUT!P4667="","",INPUT!P4667)</f>
        <v/>
      </c>
      <c r="J4672" s="46" t="str">
        <f>IF(INPUT!Q4667="","",INPUT!Q4667)</f>
        <v/>
      </c>
      <c r="K4672" s="46" t="str">
        <f>IFERROR(IF(OR(INPUT!P4667="",INPUT!Q4667=""),"",INPUT!P4667-INPUT!Q4667),"")</f>
        <v/>
      </c>
      <c r="L4672" s="48" t="str">
        <f>IFERROR(IF(OR(INPUT!P4667="",INPUT!Q4667="",INPUT!P4667=0),"",(INPUT!P4667-INPUT!Q4667)/INPUT!P4667),"")</f>
        <v/>
      </c>
    </row>
    <row r="4673" spans="1:12" ht="18" hidden="1" customHeight="1" x14ac:dyDescent="0.2">
      <c r="A4673" s="11" t="str">
        <f>IF(INPUT!M4668="","",INPUT!M4668)</f>
        <v/>
      </c>
      <c r="B4673" s="11" t="str">
        <f>IF(INPUT!M4668="","",INPUT!M4668-WEEKDAY(INPUT!M4668,2)+1)</f>
        <v/>
      </c>
      <c r="C4673" s="20">
        <f>IFERROR(_xlfn.ISOWEEKNUM(INPUT!M4668),"")</f>
        <v>52</v>
      </c>
      <c r="D4673" s="20">
        <f>IFERROR(YEAR(INPUT!M4668),"")</f>
        <v>1900</v>
      </c>
      <c r="E4673" t="str">
        <f>IF(INPUT!O4668="","",INPUT!O4668)</f>
        <v/>
      </c>
      <c r="F4673" t="str">
        <f>IF(INPUT!N4668="","",INPUT!N4668)</f>
        <v/>
      </c>
      <c r="G4673" cm="1">
        <f t="array" ref="G4673">IFERROR(VLOOKUP(INPUT!M4668&amp;INPUT!N4668,CHOOSE({1,2},INPUT!$A$3:$A$5000&amp;INPUT!$C$3:$C$5000,INPUT!$F$3:$F$5000),2,FALSE),"")</f>
        <v>0</v>
      </c>
      <c r="H4673" cm="1">
        <f t="array" ref="H4673">IFERROR(VLOOKUP(INPUT!M4668&amp;INPUT!N4668,CHOOSE({1,2},INPUT!$A$3:$A$5000&amp;INPUT!$C$3:$C$5000,INPUT!$D$3:$D$5000),2,FALSE),"")</f>
        <v>0</v>
      </c>
      <c r="I4673" s="46" t="str">
        <f>IF(INPUT!P4668="","",INPUT!P4668)</f>
        <v/>
      </c>
      <c r="J4673" s="46" t="str">
        <f>IF(INPUT!Q4668="","",INPUT!Q4668)</f>
        <v/>
      </c>
      <c r="K4673" s="46" t="str">
        <f>IFERROR(IF(OR(INPUT!P4668="",INPUT!Q4668=""),"",INPUT!P4668-INPUT!Q4668),"")</f>
        <v/>
      </c>
      <c r="L4673" s="48" t="str">
        <f>IFERROR(IF(OR(INPUT!P4668="",INPUT!Q4668="",INPUT!P4668=0),"",(INPUT!P4668-INPUT!Q4668)/INPUT!P4668),"")</f>
        <v/>
      </c>
    </row>
    <row r="4674" spans="1:12" ht="18" hidden="1" customHeight="1" x14ac:dyDescent="0.2">
      <c r="A4674" s="11" t="str">
        <f>IF(INPUT!M4669="","",INPUT!M4669)</f>
        <v/>
      </c>
      <c r="B4674" s="11" t="str">
        <f>IF(INPUT!M4669="","",INPUT!M4669-WEEKDAY(INPUT!M4669,2)+1)</f>
        <v/>
      </c>
      <c r="C4674" s="20">
        <f>IFERROR(_xlfn.ISOWEEKNUM(INPUT!M4669),"")</f>
        <v>52</v>
      </c>
      <c r="D4674" s="20">
        <f>IFERROR(YEAR(INPUT!M4669),"")</f>
        <v>1900</v>
      </c>
      <c r="E4674" t="str">
        <f>IF(INPUT!O4669="","",INPUT!O4669)</f>
        <v/>
      </c>
      <c r="F4674" t="str">
        <f>IF(INPUT!N4669="","",INPUT!N4669)</f>
        <v/>
      </c>
      <c r="G4674" cm="1">
        <f t="array" ref="G4674">IFERROR(VLOOKUP(INPUT!M4669&amp;INPUT!N4669,CHOOSE({1,2},INPUT!$A$3:$A$5000&amp;INPUT!$C$3:$C$5000,INPUT!$F$3:$F$5000),2,FALSE),"")</f>
        <v>0</v>
      </c>
      <c r="H4674" cm="1">
        <f t="array" ref="H4674">IFERROR(VLOOKUP(INPUT!M4669&amp;INPUT!N4669,CHOOSE({1,2},INPUT!$A$3:$A$5000&amp;INPUT!$C$3:$C$5000,INPUT!$D$3:$D$5000),2,FALSE),"")</f>
        <v>0</v>
      </c>
      <c r="I4674" s="46" t="str">
        <f>IF(INPUT!P4669="","",INPUT!P4669)</f>
        <v/>
      </c>
      <c r="J4674" s="46" t="str">
        <f>IF(INPUT!Q4669="","",INPUT!Q4669)</f>
        <v/>
      </c>
      <c r="K4674" s="46" t="str">
        <f>IFERROR(IF(OR(INPUT!P4669="",INPUT!Q4669=""),"",INPUT!P4669-INPUT!Q4669),"")</f>
        <v/>
      </c>
      <c r="L4674" s="48" t="str">
        <f>IFERROR(IF(OR(INPUT!P4669="",INPUT!Q4669="",INPUT!P4669=0),"",(INPUT!P4669-INPUT!Q4669)/INPUT!P4669),"")</f>
        <v/>
      </c>
    </row>
    <row r="4675" spans="1:12" ht="18" hidden="1" customHeight="1" x14ac:dyDescent="0.2">
      <c r="A4675" s="11" t="str">
        <f>IF(INPUT!M4670="","",INPUT!M4670)</f>
        <v/>
      </c>
      <c r="B4675" s="11" t="str">
        <f>IF(INPUT!M4670="","",INPUT!M4670-WEEKDAY(INPUT!M4670,2)+1)</f>
        <v/>
      </c>
      <c r="C4675" s="20">
        <f>IFERROR(_xlfn.ISOWEEKNUM(INPUT!M4670),"")</f>
        <v>52</v>
      </c>
      <c r="D4675" s="20">
        <f>IFERROR(YEAR(INPUT!M4670),"")</f>
        <v>1900</v>
      </c>
      <c r="E4675" t="str">
        <f>IF(INPUT!O4670="","",INPUT!O4670)</f>
        <v/>
      </c>
      <c r="F4675" t="str">
        <f>IF(INPUT!N4670="","",INPUT!N4670)</f>
        <v/>
      </c>
      <c r="G4675" cm="1">
        <f t="array" ref="G4675">IFERROR(VLOOKUP(INPUT!M4670&amp;INPUT!N4670,CHOOSE({1,2},INPUT!$A$3:$A$5000&amp;INPUT!$C$3:$C$5000,INPUT!$F$3:$F$5000),2,FALSE),"")</f>
        <v>0</v>
      </c>
      <c r="H4675" cm="1">
        <f t="array" ref="H4675">IFERROR(VLOOKUP(INPUT!M4670&amp;INPUT!N4670,CHOOSE({1,2},INPUT!$A$3:$A$5000&amp;INPUT!$C$3:$C$5000,INPUT!$D$3:$D$5000),2,FALSE),"")</f>
        <v>0</v>
      </c>
      <c r="I4675" s="46" t="str">
        <f>IF(INPUT!P4670="","",INPUT!P4670)</f>
        <v/>
      </c>
      <c r="J4675" s="46" t="str">
        <f>IF(INPUT!Q4670="","",INPUT!Q4670)</f>
        <v/>
      </c>
      <c r="K4675" s="46" t="str">
        <f>IFERROR(IF(OR(INPUT!P4670="",INPUT!Q4670=""),"",INPUT!P4670-INPUT!Q4670),"")</f>
        <v/>
      </c>
      <c r="L4675" s="48" t="str">
        <f>IFERROR(IF(OR(INPUT!P4670="",INPUT!Q4670="",INPUT!P4670=0),"",(INPUT!P4670-INPUT!Q4670)/INPUT!P4670),"")</f>
        <v/>
      </c>
    </row>
    <row r="4676" spans="1:12" ht="18" hidden="1" customHeight="1" x14ac:dyDescent="0.2">
      <c r="A4676" s="11" t="str">
        <f>IF(INPUT!M4671="","",INPUT!M4671)</f>
        <v/>
      </c>
      <c r="B4676" s="11" t="str">
        <f>IF(INPUT!M4671="","",INPUT!M4671-WEEKDAY(INPUT!M4671,2)+1)</f>
        <v/>
      </c>
      <c r="C4676" s="20">
        <f>IFERROR(_xlfn.ISOWEEKNUM(INPUT!M4671),"")</f>
        <v>52</v>
      </c>
      <c r="D4676" s="20">
        <f>IFERROR(YEAR(INPUT!M4671),"")</f>
        <v>1900</v>
      </c>
      <c r="E4676" t="str">
        <f>IF(INPUT!O4671="","",INPUT!O4671)</f>
        <v/>
      </c>
      <c r="F4676" t="str">
        <f>IF(INPUT!N4671="","",INPUT!N4671)</f>
        <v/>
      </c>
      <c r="G4676" cm="1">
        <f t="array" ref="G4676">IFERROR(VLOOKUP(INPUT!M4671&amp;INPUT!N4671,CHOOSE({1,2},INPUT!$A$3:$A$5000&amp;INPUT!$C$3:$C$5000,INPUT!$F$3:$F$5000),2,FALSE),"")</f>
        <v>0</v>
      </c>
      <c r="H4676" cm="1">
        <f t="array" ref="H4676">IFERROR(VLOOKUP(INPUT!M4671&amp;INPUT!N4671,CHOOSE({1,2},INPUT!$A$3:$A$5000&amp;INPUT!$C$3:$C$5000,INPUT!$D$3:$D$5000),2,FALSE),"")</f>
        <v>0</v>
      </c>
      <c r="I4676" s="46" t="str">
        <f>IF(INPUT!P4671="","",INPUT!P4671)</f>
        <v/>
      </c>
      <c r="J4676" s="46" t="str">
        <f>IF(INPUT!Q4671="","",INPUT!Q4671)</f>
        <v/>
      </c>
      <c r="K4676" s="46" t="str">
        <f>IFERROR(IF(OR(INPUT!P4671="",INPUT!Q4671=""),"",INPUT!P4671-INPUT!Q4671),"")</f>
        <v/>
      </c>
      <c r="L4676" s="48" t="str">
        <f>IFERROR(IF(OR(INPUT!P4671="",INPUT!Q4671="",INPUT!P4671=0),"",(INPUT!P4671-INPUT!Q4671)/INPUT!P4671),"")</f>
        <v/>
      </c>
    </row>
    <row r="4677" spans="1:12" ht="18" hidden="1" customHeight="1" x14ac:dyDescent="0.2">
      <c r="A4677" s="11" t="str">
        <f>IF(INPUT!M4672="","",INPUT!M4672)</f>
        <v/>
      </c>
      <c r="B4677" s="11" t="str">
        <f>IF(INPUT!M4672="","",INPUT!M4672-WEEKDAY(INPUT!M4672,2)+1)</f>
        <v/>
      </c>
      <c r="C4677" s="20">
        <f>IFERROR(_xlfn.ISOWEEKNUM(INPUT!M4672),"")</f>
        <v>52</v>
      </c>
      <c r="D4677" s="20">
        <f>IFERROR(YEAR(INPUT!M4672),"")</f>
        <v>1900</v>
      </c>
      <c r="E4677" t="str">
        <f>IF(INPUT!O4672="","",INPUT!O4672)</f>
        <v/>
      </c>
      <c r="F4677" t="str">
        <f>IF(INPUT!N4672="","",INPUT!N4672)</f>
        <v/>
      </c>
      <c r="G4677" cm="1">
        <f t="array" ref="G4677">IFERROR(VLOOKUP(INPUT!M4672&amp;INPUT!N4672,CHOOSE({1,2},INPUT!$A$3:$A$5000&amp;INPUT!$C$3:$C$5000,INPUT!$F$3:$F$5000),2,FALSE),"")</f>
        <v>0</v>
      </c>
      <c r="H4677" cm="1">
        <f t="array" ref="H4677">IFERROR(VLOOKUP(INPUT!M4672&amp;INPUT!N4672,CHOOSE({1,2},INPUT!$A$3:$A$5000&amp;INPUT!$C$3:$C$5000,INPUT!$D$3:$D$5000),2,FALSE),"")</f>
        <v>0</v>
      </c>
      <c r="I4677" s="46" t="str">
        <f>IF(INPUT!P4672="","",INPUT!P4672)</f>
        <v/>
      </c>
      <c r="J4677" s="46" t="str">
        <f>IF(INPUT!Q4672="","",INPUT!Q4672)</f>
        <v/>
      </c>
      <c r="K4677" s="46" t="str">
        <f>IFERROR(IF(OR(INPUT!P4672="",INPUT!Q4672=""),"",INPUT!P4672-INPUT!Q4672),"")</f>
        <v/>
      </c>
      <c r="L4677" s="48" t="str">
        <f>IFERROR(IF(OR(INPUT!P4672="",INPUT!Q4672="",INPUT!P4672=0),"",(INPUT!P4672-INPUT!Q4672)/INPUT!P4672),"")</f>
        <v/>
      </c>
    </row>
    <row r="4678" spans="1:12" ht="18" hidden="1" customHeight="1" x14ac:dyDescent="0.2">
      <c r="A4678" s="11" t="str">
        <f>IF(INPUT!M4673="","",INPUT!M4673)</f>
        <v/>
      </c>
      <c r="B4678" s="11" t="str">
        <f>IF(INPUT!M4673="","",INPUT!M4673-WEEKDAY(INPUT!M4673,2)+1)</f>
        <v/>
      </c>
      <c r="C4678" s="20">
        <f>IFERROR(_xlfn.ISOWEEKNUM(INPUT!M4673),"")</f>
        <v>52</v>
      </c>
      <c r="D4678" s="20">
        <f>IFERROR(YEAR(INPUT!M4673),"")</f>
        <v>1900</v>
      </c>
      <c r="E4678" t="str">
        <f>IF(INPUT!O4673="","",INPUT!O4673)</f>
        <v/>
      </c>
      <c r="F4678" t="str">
        <f>IF(INPUT!N4673="","",INPUT!N4673)</f>
        <v/>
      </c>
      <c r="G4678" cm="1">
        <f t="array" ref="G4678">IFERROR(VLOOKUP(INPUT!M4673&amp;INPUT!N4673,CHOOSE({1,2},INPUT!$A$3:$A$5000&amp;INPUT!$C$3:$C$5000,INPUT!$F$3:$F$5000),2,FALSE),"")</f>
        <v>0</v>
      </c>
      <c r="H4678" cm="1">
        <f t="array" ref="H4678">IFERROR(VLOOKUP(INPUT!M4673&amp;INPUT!N4673,CHOOSE({1,2},INPUT!$A$3:$A$5000&amp;INPUT!$C$3:$C$5000,INPUT!$D$3:$D$5000),2,FALSE),"")</f>
        <v>0</v>
      </c>
      <c r="I4678" s="46" t="str">
        <f>IF(INPUT!P4673="","",INPUT!P4673)</f>
        <v/>
      </c>
      <c r="J4678" s="46" t="str">
        <f>IF(INPUT!Q4673="","",INPUT!Q4673)</f>
        <v/>
      </c>
      <c r="K4678" s="46" t="str">
        <f>IFERROR(IF(OR(INPUT!P4673="",INPUT!Q4673=""),"",INPUT!P4673-INPUT!Q4673),"")</f>
        <v/>
      </c>
      <c r="L4678" s="48" t="str">
        <f>IFERROR(IF(OR(INPUT!P4673="",INPUT!Q4673="",INPUT!P4673=0),"",(INPUT!P4673-INPUT!Q4673)/INPUT!P4673),"")</f>
        <v/>
      </c>
    </row>
    <row r="4679" spans="1:12" ht="18" hidden="1" customHeight="1" x14ac:dyDescent="0.2">
      <c r="A4679" s="11" t="str">
        <f>IF(INPUT!M4674="","",INPUT!M4674)</f>
        <v/>
      </c>
      <c r="B4679" s="11" t="str">
        <f>IF(INPUT!M4674="","",INPUT!M4674-WEEKDAY(INPUT!M4674,2)+1)</f>
        <v/>
      </c>
      <c r="C4679" s="20">
        <f>IFERROR(_xlfn.ISOWEEKNUM(INPUT!M4674),"")</f>
        <v>52</v>
      </c>
      <c r="D4679" s="20">
        <f>IFERROR(YEAR(INPUT!M4674),"")</f>
        <v>1900</v>
      </c>
      <c r="E4679" t="str">
        <f>IF(INPUT!O4674="","",INPUT!O4674)</f>
        <v/>
      </c>
      <c r="F4679" t="str">
        <f>IF(INPUT!N4674="","",INPUT!N4674)</f>
        <v/>
      </c>
      <c r="G4679" cm="1">
        <f t="array" ref="G4679">IFERROR(VLOOKUP(INPUT!M4674&amp;INPUT!N4674,CHOOSE({1,2},INPUT!$A$3:$A$5000&amp;INPUT!$C$3:$C$5000,INPUT!$F$3:$F$5000),2,FALSE),"")</f>
        <v>0</v>
      </c>
      <c r="H4679" cm="1">
        <f t="array" ref="H4679">IFERROR(VLOOKUP(INPUT!M4674&amp;INPUT!N4674,CHOOSE({1,2},INPUT!$A$3:$A$5000&amp;INPUT!$C$3:$C$5000,INPUT!$D$3:$D$5000),2,FALSE),"")</f>
        <v>0</v>
      </c>
      <c r="I4679" s="46" t="str">
        <f>IF(INPUT!P4674="","",INPUT!P4674)</f>
        <v/>
      </c>
      <c r="J4679" s="46" t="str">
        <f>IF(INPUT!Q4674="","",INPUT!Q4674)</f>
        <v/>
      </c>
      <c r="K4679" s="46" t="str">
        <f>IFERROR(IF(OR(INPUT!P4674="",INPUT!Q4674=""),"",INPUT!P4674-INPUT!Q4674),"")</f>
        <v/>
      </c>
      <c r="L4679" s="48" t="str">
        <f>IFERROR(IF(OR(INPUT!P4674="",INPUT!Q4674="",INPUT!P4674=0),"",(INPUT!P4674-INPUT!Q4674)/INPUT!P4674),"")</f>
        <v/>
      </c>
    </row>
    <row r="4680" spans="1:12" ht="18" hidden="1" customHeight="1" x14ac:dyDescent="0.2">
      <c r="A4680" s="11" t="str">
        <f>IF(INPUT!M4675="","",INPUT!M4675)</f>
        <v/>
      </c>
      <c r="B4680" s="11" t="str">
        <f>IF(INPUT!M4675="","",INPUT!M4675-WEEKDAY(INPUT!M4675,2)+1)</f>
        <v/>
      </c>
      <c r="C4680" s="20">
        <f>IFERROR(_xlfn.ISOWEEKNUM(INPUT!M4675),"")</f>
        <v>52</v>
      </c>
      <c r="D4680" s="20">
        <f>IFERROR(YEAR(INPUT!M4675),"")</f>
        <v>1900</v>
      </c>
      <c r="E4680" t="str">
        <f>IF(INPUT!O4675="","",INPUT!O4675)</f>
        <v/>
      </c>
      <c r="F4680" t="str">
        <f>IF(INPUT!N4675="","",INPUT!N4675)</f>
        <v/>
      </c>
      <c r="G4680" cm="1">
        <f t="array" ref="G4680">IFERROR(VLOOKUP(INPUT!M4675&amp;INPUT!N4675,CHOOSE({1,2},INPUT!$A$3:$A$5000&amp;INPUT!$C$3:$C$5000,INPUT!$F$3:$F$5000),2,FALSE),"")</f>
        <v>0</v>
      </c>
      <c r="H4680" cm="1">
        <f t="array" ref="H4680">IFERROR(VLOOKUP(INPUT!M4675&amp;INPUT!N4675,CHOOSE({1,2},INPUT!$A$3:$A$5000&amp;INPUT!$C$3:$C$5000,INPUT!$D$3:$D$5000),2,FALSE),"")</f>
        <v>0</v>
      </c>
      <c r="I4680" s="46" t="str">
        <f>IF(INPUT!P4675="","",INPUT!P4675)</f>
        <v/>
      </c>
      <c r="J4680" s="46" t="str">
        <f>IF(INPUT!Q4675="","",INPUT!Q4675)</f>
        <v/>
      </c>
      <c r="K4680" s="46" t="str">
        <f>IFERROR(IF(OR(INPUT!P4675="",INPUT!Q4675=""),"",INPUT!P4675-INPUT!Q4675),"")</f>
        <v/>
      </c>
      <c r="L4680" s="48" t="str">
        <f>IFERROR(IF(OR(INPUT!P4675="",INPUT!Q4675="",INPUT!P4675=0),"",(INPUT!P4675-INPUT!Q4675)/INPUT!P4675),"")</f>
        <v/>
      </c>
    </row>
    <row r="4681" spans="1:12" ht="18" hidden="1" customHeight="1" x14ac:dyDescent="0.2">
      <c r="A4681" s="11" t="str">
        <f>IF(INPUT!M4676="","",INPUT!M4676)</f>
        <v/>
      </c>
      <c r="B4681" s="11" t="str">
        <f>IF(INPUT!M4676="","",INPUT!M4676-WEEKDAY(INPUT!M4676,2)+1)</f>
        <v/>
      </c>
      <c r="C4681" s="20">
        <f>IFERROR(_xlfn.ISOWEEKNUM(INPUT!M4676),"")</f>
        <v>52</v>
      </c>
      <c r="D4681" s="20">
        <f>IFERROR(YEAR(INPUT!M4676),"")</f>
        <v>1900</v>
      </c>
      <c r="E4681" t="str">
        <f>IF(INPUT!O4676="","",INPUT!O4676)</f>
        <v/>
      </c>
      <c r="F4681" t="str">
        <f>IF(INPUT!N4676="","",INPUT!N4676)</f>
        <v/>
      </c>
      <c r="G4681" cm="1">
        <f t="array" ref="G4681">IFERROR(VLOOKUP(INPUT!M4676&amp;INPUT!N4676,CHOOSE({1,2},INPUT!$A$3:$A$5000&amp;INPUT!$C$3:$C$5000,INPUT!$F$3:$F$5000),2,FALSE),"")</f>
        <v>0</v>
      </c>
      <c r="H4681" cm="1">
        <f t="array" ref="H4681">IFERROR(VLOOKUP(INPUT!M4676&amp;INPUT!N4676,CHOOSE({1,2},INPUT!$A$3:$A$5000&amp;INPUT!$C$3:$C$5000,INPUT!$D$3:$D$5000),2,FALSE),"")</f>
        <v>0</v>
      </c>
      <c r="I4681" s="46" t="str">
        <f>IF(INPUT!P4676="","",INPUT!P4676)</f>
        <v/>
      </c>
      <c r="J4681" s="46" t="str">
        <f>IF(INPUT!Q4676="","",INPUT!Q4676)</f>
        <v/>
      </c>
      <c r="K4681" s="46" t="str">
        <f>IFERROR(IF(OR(INPUT!P4676="",INPUT!Q4676=""),"",INPUT!P4676-INPUT!Q4676),"")</f>
        <v/>
      </c>
      <c r="L4681" s="48" t="str">
        <f>IFERROR(IF(OR(INPUT!P4676="",INPUT!Q4676="",INPUT!P4676=0),"",(INPUT!P4676-INPUT!Q4676)/INPUT!P4676),"")</f>
        <v/>
      </c>
    </row>
    <row r="4682" spans="1:12" ht="18" hidden="1" customHeight="1" x14ac:dyDescent="0.2">
      <c r="A4682" s="11" t="str">
        <f>IF(INPUT!M4677="","",INPUT!M4677)</f>
        <v/>
      </c>
      <c r="B4682" s="11" t="str">
        <f>IF(INPUT!M4677="","",INPUT!M4677-WEEKDAY(INPUT!M4677,2)+1)</f>
        <v/>
      </c>
      <c r="C4682" s="20">
        <f>IFERROR(_xlfn.ISOWEEKNUM(INPUT!M4677),"")</f>
        <v>52</v>
      </c>
      <c r="D4682" s="20">
        <f>IFERROR(YEAR(INPUT!M4677),"")</f>
        <v>1900</v>
      </c>
      <c r="E4682" t="str">
        <f>IF(INPUT!O4677="","",INPUT!O4677)</f>
        <v/>
      </c>
      <c r="F4682" t="str">
        <f>IF(INPUT!N4677="","",INPUT!N4677)</f>
        <v/>
      </c>
      <c r="G4682" cm="1">
        <f t="array" ref="G4682">IFERROR(VLOOKUP(INPUT!M4677&amp;INPUT!N4677,CHOOSE({1,2},INPUT!$A$3:$A$5000&amp;INPUT!$C$3:$C$5000,INPUT!$F$3:$F$5000),2,FALSE),"")</f>
        <v>0</v>
      </c>
      <c r="H4682" cm="1">
        <f t="array" ref="H4682">IFERROR(VLOOKUP(INPUT!M4677&amp;INPUT!N4677,CHOOSE({1,2},INPUT!$A$3:$A$5000&amp;INPUT!$C$3:$C$5000,INPUT!$D$3:$D$5000),2,FALSE),"")</f>
        <v>0</v>
      </c>
      <c r="I4682" s="46" t="str">
        <f>IF(INPUT!P4677="","",INPUT!P4677)</f>
        <v/>
      </c>
      <c r="J4682" s="46" t="str">
        <f>IF(INPUT!Q4677="","",INPUT!Q4677)</f>
        <v/>
      </c>
      <c r="K4682" s="46" t="str">
        <f>IFERROR(IF(OR(INPUT!P4677="",INPUT!Q4677=""),"",INPUT!P4677-INPUT!Q4677),"")</f>
        <v/>
      </c>
      <c r="L4682" s="48" t="str">
        <f>IFERROR(IF(OR(INPUT!P4677="",INPUT!Q4677="",INPUT!P4677=0),"",(INPUT!P4677-INPUT!Q4677)/INPUT!P4677),"")</f>
        <v/>
      </c>
    </row>
    <row r="4683" spans="1:12" ht="18" hidden="1" customHeight="1" x14ac:dyDescent="0.2">
      <c r="A4683" s="11" t="str">
        <f>IF(INPUT!M4678="","",INPUT!M4678)</f>
        <v/>
      </c>
      <c r="B4683" s="11" t="str">
        <f>IF(INPUT!M4678="","",INPUT!M4678-WEEKDAY(INPUT!M4678,2)+1)</f>
        <v/>
      </c>
      <c r="C4683" s="20">
        <f>IFERROR(_xlfn.ISOWEEKNUM(INPUT!M4678),"")</f>
        <v>52</v>
      </c>
      <c r="D4683" s="20">
        <f>IFERROR(YEAR(INPUT!M4678),"")</f>
        <v>1900</v>
      </c>
      <c r="E4683" t="str">
        <f>IF(INPUT!O4678="","",INPUT!O4678)</f>
        <v/>
      </c>
      <c r="F4683" t="str">
        <f>IF(INPUT!N4678="","",INPUT!N4678)</f>
        <v/>
      </c>
      <c r="G4683" cm="1">
        <f t="array" ref="G4683">IFERROR(VLOOKUP(INPUT!M4678&amp;INPUT!N4678,CHOOSE({1,2},INPUT!$A$3:$A$5000&amp;INPUT!$C$3:$C$5000,INPUT!$F$3:$F$5000),2,FALSE),"")</f>
        <v>0</v>
      </c>
      <c r="H4683" cm="1">
        <f t="array" ref="H4683">IFERROR(VLOOKUP(INPUT!M4678&amp;INPUT!N4678,CHOOSE({1,2},INPUT!$A$3:$A$5000&amp;INPUT!$C$3:$C$5000,INPUT!$D$3:$D$5000),2,FALSE),"")</f>
        <v>0</v>
      </c>
      <c r="I4683" s="46" t="str">
        <f>IF(INPUT!P4678="","",INPUT!P4678)</f>
        <v/>
      </c>
      <c r="J4683" s="46" t="str">
        <f>IF(INPUT!Q4678="","",INPUT!Q4678)</f>
        <v/>
      </c>
      <c r="K4683" s="46" t="str">
        <f>IFERROR(IF(OR(INPUT!P4678="",INPUT!Q4678=""),"",INPUT!P4678-INPUT!Q4678),"")</f>
        <v/>
      </c>
      <c r="L4683" s="48" t="str">
        <f>IFERROR(IF(OR(INPUT!P4678="",INPUT!Q4678="",INPUT!P4678=0),"",(INPUT!P4678-INPUT!Q4678)/INPUT!P4678),"")</f>
        <v/>
      </c>
    </row>
    <row r="4684" spans="1:12" ht="18" hidden="1" customHeight="1" x14ac:dyDescent="0.2">
      <c r="A4684" s="11" t="str">
        <f>IF(INPUT!M4679="","",INPUT!M4679)</f>
        <v/>
      </c>
      <c r="B4684" s="11" t="str">
        <f>IF(INPUT!M4679="","",INPUT!M4679-WEEKDAY(INPUT!M4679,2)+1)</f>
        <v/>
      </c>
      <c r="C4684" s="20">
        <f>IFERROR(_xlfn.ISOWEEKNUM(INPUT!M4679),"")</f>
        <v>52</v>
      </c>
      <c r="D4684" s="20">
        <f>IFERROR(YEAR(INPUT!M4679),"")</f>
        <v>1900</v>
      </c>
      <c r="E4684" t="str">
        <f>IF(INPUT!O4679="","",INPUT!O4679)</f>
        <v/>
      </c>
      <c r="F4684" t="str">
        <f>IF(INPUT!N4679="","",INPUT!N4679)</f>
        <v/>
      </c>
      <c r="G4684" cm="1">
        <f t="array" ref="G4684">IFERROR(VLOOKUP(INPUT!M4679&amp;INPUT!N4679,CHOOSE({1,2},INPUT!$A$3:$A$5000&amp;INPUT!$C$3:$C$5000,INPUT!$F$3:$F$5000),2,FALSE),"")</f>
        <v>0</v>
      </c>
      <c r="H4684" cm="1">
        <f t="array" ref="H4684">IFERROR(VLOOKUP(INPUT!M4679&amp;INPUT!N4679,CHOOSE({1,2},INPUT!$A$3:$A$5000&amp;INPUT!$C$3:$C$5000,INPUT!$D$3:$D$5000),2,FALSE),"")</f>
        <v>0</v>
      </c>
      <c r="I4684" s="46" t="str">
        <f>IF(INPUT!P4679="","",INPUT!P4679)</f>
        <v/>
      </c>
      <c r="J4684" s="46" t="str">
        <f>IF(INPUT!Q4679="","",INPUT!Q4679)</f>
        <v/>
      </c>
      <c r="K4684" s="46" t="str">
        <f>IFERROR(IF(OR(INPUT!P4679="",INPUT!Q4679=""),"",INPUT!P4679-INPUT!Q4679),"")</f>
        <v/>
      </c>
      <c r="L4684" s="48" t="str">
        <f>IFERROR(IF(OR(INPUT!P4679="",INPUT!Q4679="",INPUT!P4679=0),"",(INPUT!P4679-INPUT!Q4679)/INPUT!P4679),"")</f>
        <v/>
      </c>
    </row>
    <row r="4685" spans="1:12" ht="18" hidden="1" customHeight="1" x14ac:dyDescent="0.2">
      <c r="A4685" s="11" t="str">
        <f>IF(INPUT!M4680="","",INPUT!M4680)</f>
        <v/>
      </c>
      <c r="B4685" s="11" t="str">
        <f>IF(INPUT!M4680="","",INPUT!M4680-WEEKDAY(INPUT!M4680,2)+1)</f>
        <v/>
      </c>
      <c r="C4685" s="20">
        <f>IFERROR(_xlfn.ISOWEEKNUM(INPUT!M4680),"")</f>
        <v>52</v>
      </c>
      <c r="D4685" s="20">
        <f>IFERROR(YEAR(INPUT!M4680),"")</f>
        <v>1900</v>
      </c>
      <c r="E4685" t="str">
        <f>IF(INPUT!O4680="","",INPUT!O4680)</f>
        <v/>
      </c>
      <c r="F4685" t="str">
        <f>IF(INPUT!N4680="","",INPUT!N4680)</f>
        <v/>
      </c>
      <c r="G4685" cm="1">
        <f t="array" ref="G4685">IFERROR(VLOOKUP(INPUT!M4680&amp;INPUT!N4680,CHOOSE({1,2},INPUT!$A$3:$A$5000&amp;INPUT!$C$3:$C$5000,INPUT!$F$3:$F$5000),2,FALSE),"")</f>
        <v>0</v>
      </c>
      <c r="H4685" cm="1">
        <f t="array" ref="H4685">IFERROR(VLOOKUP(INPUT!M4680&amp;INPUT!N4680,CHOOSE({1,2},INPUT!$A$3:$A$5000&amp;INPUT!$C$3:$C$5000,INPUT!$D$3:$D$5000),2,FALSE),"")</f>
        <v>0</v>
      </c>
      <c r="I4685" s="46" t="str">
        <f>IF(INPUT!P4680="","",INPUT!P4680)</f>
        <v/>
      </c>
      <c r="J4685" s="46" t="str">
        <f>IF(INPUT!Q4680="","",INPUT!Q4680)</f>
        <v/>
      </c>
      <c r="K4685" s="46" t="str">
        <f>IFERROR(IF(OR(INPUT!P4680="",INPUT!Q4680=""),"",INPUT!P4680-INPUT!Q4680),"")</f>
        <v/>
      </c>
      <c r="L4685" s="48" t="str">
        <f>IFERROR(IF(OR(INPUT!P4680="",INPUT!Q4680="",INPUT!P4680=0),"",(INPUT!P4680-INPUT!Q4680)/INPUT!P4680),"")</f>
        <v/>
      </c>
    </row>
    <row r="4686" spans="1:12" ht="18" hidden="1" customHeight="1" x14ac:dyDescent="0.2">
      <c r="A4686" s="11" t="str">
        <f>IF(INPUT!M4681="","",INPUT!M4681)</f>
        <v/>
      </c>
      <c r="B4686" s="11" t="str">
        <f>IF(INPUT!M4681="","",INPUT!M4681-WEEKDAY(INPUT!M4681,2)+1)</f>
        <v/>
      </c>
      <c r="C4686" s="20">
        <f>IFERROR(_xlfn.ISOWEEKNUM(INPUT!M4681),"")</f>
        <v>52</v>
      </c>
      <c r="D4686" s="20">
        <f>IFERROR(YEAR(INPUT!M4681),"")</f>
        <v>1900</v>
      </c>
      <c r="E4686" t="str">
        <f>IF(INPUT!O4681="","",INPUT!O4681)</f>
        <v/>
      </c>
      <c r="F4686" t="str">
        <f>IF(INPUT!N4681="","",INPUT!N4681)</f>
        <v/>
      </c>
      <c r="G4686" cm="1">
        <f t="array" ref="G4686">IFERROR(VLOOKUP(INPUT!M4681&amp;INPUT!N4681,CHOOSE({1,2},INPUT!$A$3:$A$5000&amp;INPUT!$C$3:$C$5000,INPUT!$F$3:$F$5000),2,FALSE),"")</f>
        <v>0</v>
      </c>
      <c r="H4686" cm="1">
        <f t="array" ref="H4686">IFERROR(VLOOKUP(INPUT!M4681&amp;INPUT!N4681,CHOOSE({1,2},INPUT!$A$3:$A$5000&amp;INPUT!$C$3:$C$5000,INPUT!$D$3:$D$5000),2,FALSE),"")</f>
        <v>0</v>
      </c>
      <c r="I4686" s="46" t="str">
        <f>IF(INPUT!P4681="","",INPUT!P4681)</f>
        <v/>
      </c>
      <c r="J4686" s="46" t="str">
        <f>IF(INPUT!Q4681="","",INPUT!Q4681)</f>
        <v/>
      </c>
      <c r="K4686" s="46" t="str">
        <f>IFERROR(IF(OR(INPUT!P4681="",INPUT!Q4681=""),"",INPUT!P4681-INPUT!Q4681),"")</f>
        <v/>
      </c>
      <c r="L4686" s="48" t="str">
        <f>IFERROR(IF(OR(INPUT!P4681="",INPUT!Q4681="",INPUT!P4681=0),"",(INPUT!P4681-INPUT!Q4681)/INPUT!P4681),"")</f>
        <v/>
      </c>
    </row>
    <row r="4687" spans="1:12" ht="18" hidden="1" customHeight="1" x14ac:dyDescent="0.2">
      <c r="A4687" s="11" t="str">
        <f>IF(INPUT!M4682="","",INPUT!M4682)</f>
        <v/>
      </c>
      <c r="B4687" s="11" t="str">
        <f>IF(INPUT!M4682="","",INPUT!M4682-WEEKDAY(INPUT!M4682,2)+1)</f>
        <v/>
      </c>
      <c r="C4687" s="20">
        <f>IFERROR(_xlfn.ISOWEEKNUM(INPUT!M4682),"")</f>
        <v>52</v>
      </c>
      <c r="D4687" s="20">
        <f>IFERROR(YEAR(INPUT!M4682),"")</f>
        <v>1900</v>
      </c>
      <c r="E4687" t="str">
        <f>IF(INPUT!O4682="","",INPUT!O4682)</f>
        <v/>
      </c>
      <c r="F4687" t="str">
        <f>IF(INPUT!N4682="","",INPUT!N4682)</f>
        <v/>
      </c>
      <c r="G4687" cm="1">
        <f t="array" ref="G4687">IFERROR(VLOOKUP(INPUT!M4682&amp;INPUT!N4682,CHOOSE({1,2},INPUT!$A$3:$A$5000&amp;INPUT!$C$3:$C$5000,INPUT!$F$3:$F$5000),2,FALSE),"")</f>
        <v>0</v>
      </c>
      <c r="H4687" cm="1">
        <f t="array" ref="H4687">IFERROR(VLOOKUP(INPUT!M4682&amp;INPUT!N4682,CHOOSE({1,2},INPUT!$A$3:$A$5000&amp;INPUT!$C$3:$C$5000,INPUT!$D$3:$D$5000),2,FALSE),"")</f>
        <v>0</v>
      </c>
      <c r="I4687" s="46" t="str">
        <f>IF(INPUT!P4682="","",INPUT!P4682)</f>
        <v/>
      </c>
      <c r="J4687" s="46" t="str">
        <f>IF(INPUT!Q4682="","",INPUT!Q4682)</f>
        <v/>
      </c>
      <c r="K4687" s="46" t="str">
        <f>IFERROR(IF(OR(INPUT!P4682="",INPUT!Q4682=""),"",INPUT!P4682-INPUT!Q4682),"")</f>
        <v/>
      </c>
      <c r="L4687" s="48" t="str">
        <f>IFERROR(IF(OR(INPUT!P4682="",INPUT!Q4682="",INPUT!P4682=0),"",(INPUT!P4682-INPUT!Q4682)/INPUT!P4682),"")</f>
        <v/>
      </c>
    </row>
    <row r="4688" spans="1:12" ht="18" hidden="1" customHeight="1" x14ac:dyDescent="0.2">
      <c r="A4688" s="11" t="str">
        <f>IF(INPUT!M4683="","",INPUT!M4683)</f>
        <v/>
      </c>
      <c r="B4688" s="11" t="str">
        <f>IF(INPUT!M4683="","",INPUT!M4683-WEEKDAY(INPUT!M4683,2)+1)</f>
        <v/>
      </c>
      <c r="C4688" s="20">
        <f>IFERROR(_xlfn.ISOWEEKNUM(INPUT!M4683),"")</f>
        <v>52</v>
      </c>
      <c r="D4688" s="20">
        <f>IFERROR(YEAR(INPUT!M4683),"")</f>
        <v>1900</v>
      </c>
      <c r="E4688" t="str">
        <f>IF(INPUT!O4683="","",INPUT!O4683)</f>
        <v/>
      </c>
      <c r="F4688" t="str">
        <f>IF(INPUT!N4683="","",INPUT!N4683)</f>
        <v/>
      </c>
      <c r="G4688" cm="1">
        <f t="array" ref="G4688">IFERROR(VLOOKUP(INPUT!M4683&amp;INPUT!N4683,CHOOSE({1,2},INPUT!$A$3:$A$5000&amp;INPUT!$C$3:$C$5000,INPUT!$F$3:$F$5000),2,FALSE),"")</f>
        <v>0</v>
      </c>
      <c r="H4688" cm="1">
        <f t="array" ref="H4688">IFERROR(VLOOKUP(INPUT!M4683&amp;INPUT!N4683,CHOOSE({1,2},INPUT!$A$3:$A$5000&amp;INPUT!$C$3:$C$5000,INPUT!$D$3:$D$5000),2,FALSE),"")</f>
        <v>0</v>
      </c>
      <c r="I4688" s="46" t="str">
        <f>IF(INPUT!P4683="","",INPUT!P4683)</f>
        <v/>
      </c>
      <c r="J4688" s="46" t="str">
        <f>IF(INPUT!Q4683="","",INPUT!Q4683)</f>
        <v/>
      </c>
      <c r="K4688" s="46" t="str">
        <f>IFERROR(IF(OR(INPUT!P4683="",INPUT!Q4683=""),"",INPUT!P4683-INPUT!Q4683),"")</f>
        <v/>
      </c>
      <c r="L4688" s="48" t="str">
        <f>IFERROR(IF(OR(INPUT!P4683="",INPUT!Q4683="",INPUT!P4683=0),"",(INPUT!P4683-INPUT!Q4683)/INPUT!P4683),"")</f>
        <v/>
      </c>
    </row>
    <row r="4689" spans="1:12" ht="18" hidden="1" customHeight="1" x14ac:dyDescent="0.2">
      <c r="A4689" s="11" t="str">
        <f>IF(INPUT!M4684="","",INPUT!M4684)</f>
        <v/>
      </c>
      <c r="B4689" s="11" t="str">
        <f>IF(INPUT!M4684="","",INPUT!M4684-WEEKDAY(INPUT!M4684,2)+1)</f>
        <v/>
      </c>
      <c r="C4689" s="20">
        <f>IFERROR(_xlfn.ISOWEEKNUM(INPUT!M4684),"")</f>
        <v>52</v>
      </c>
      <c r="D4689" s="20">
        <f>IFERROR(YEAR(INPUT!M4684),"")</f>
        <v>1900</v>
      </c>
      <c r="E4689" t="str">
        <f>IF(INPUT!O4684="","",INPUT!O4684)</f>
        <v/>
      </c>
      <c r="F4689" t="str">
        <f>IF(INPUT!N4684="","",INPUT!N4684)</f>
        <v/>
      </c>
      <c r="G4689" cm="1">
        <f t="array" ref="G4689">IFERROR(VLOOKUP(INPUT!M4684&amp;INPUT!N4684,CHOOSE({1,2},INPUT!$A$3:$A$5000&amp;INPUT!$C$3:$C$5000,INPUT!$F$3:$F$5000),2,FALSE),"")</f>
        <v>0</v>
      </c>
      <c r="H4689" cm="1">
        <f t="array" ref="H4689">IFERROR(VLOOKUP(INPUT!M4684&amp;INPUT!N4684,CHOOSE({1,2},INPUT!$A$3:$A$5000&amp;INPUT!$C$3:$C$5000,INPUT!$D$3:$D$5000),2,FALSE),"")</f>
        <v>0</v>
      </c>
      <c r="I4689" s="46" t="str">
        <f>IF(INPUT!P4684="","",INPUT!P4684)</f>
        <v/>
      </c>
      <c r="J4689" s="46" t="str">
        <f>IF(INPUT!Q4684="","",INPUT!Q4684)</f>
        <v/>
      </c>
      <c r="K4689" s="46" t="str">
        <f>IFERROR(IF(OR(INPUT!P4684="",INPUT!Q4684=""),"",INPUT!P4684-INPUT!Q4684),"")</f>
        <v/>
      </c>
      <c r="L4689" s="48" t="str">
        <f>IFERROR(IF(OR(INPUT!P4684="",INPUT!Q4684="",INPUT!P4684=0),"",(INPUT!P4684-INPUT!Q4684)/INPUT!P4684),"")</f>
        <v/>
      </c>
    </row>
    <row r="4690" spans="1:12" ht="18" hidden="1" customHeight="1" x14ac:dyDescent="0.2">
      <c r="A4690" s="11" t="str">
        <f>IF(INPUT!M4685="","",INPUT!M4685)</f>
        <v/>
      </c>
      <c r="B4690" s="11" t="str">
        <f>IF(INPUT!M4685="","",INPUT!M4685-WEEKDAY(INPUT!M4685,2)+1)</f>
        <v/>
      </c>
      <c r="C4690" s="20">
        <f>IFERROR(_xlfn.ISOWEEKNUM(INPUT!M4685),"")</f>
        <v>52</v>
      </c>
      <c r="D4690" s="20">
        <f>IFERROR(YEAR(INPUT!M4685),"")</f>
        <v>1900</v>
      </c>
      <c r="E4690" t="str">
        <f>IF(INPUT!O4685="","",INPUT!O4685)</f>
        <v/>
      </c>
      <c r="F4690" t="str">
        <f>IF(INPUT!N4685="","",INPUT!N4685)</f>
        <v/>
      </c>
      <c r="G4690" cm="1">
        <f t="array" ref="G4690">IFERROR(VLOOKUP(INPUT!M4685&amp;INPUT!N4685,CHOOSE({1,2},INPUT!$A$3:$A$5000&amp;INPUT!$C$3:$C$5000,INPUT!$F$3:$F$5000),2,FALSE),"")</f>
        <v>0</v>
      </c>
      <c r="H4690" cm="1">
        <f t="array" ref="H4690">IFERROR(VLOOKUP(INPUT!M4685&amp;INPUT!N4685,CHOOSE({1,2},INPUT!$A$3:$A$5000&amp;INPUT!$C$3:$C$5000,INPUT!$D$3:$D$5000),2,FALSE),"")</f>
        <v>0</v>
      </c>
      <c r="I4690" s="46" t="str">
        <f>IF(INPUT!P4685="","",INPUT!P4685)</f>
        <v/>
      </c>
      <c r="J4690" s="46" t="str">
        <f>IF(INPUT!Q4685="","",INPUT!Q4685)</f>
        <v/>
      </c>
      <c r="K4690" s="46" t="str">
        <f>IFERROR(IF(OR(INPUT!P4685="",INPUT!Q4685=""),"",INPUT!P4685-INPUT!Q4685),"")</f>
        <v/>
      </c>
      <c r="L4690" s="48" t="str">
        <f>IFERROR(IF(OR(INPUT!P4685="",INPUT!Q4685="",INPUT!P4685=0),"",(INPUT!P4685-INPUT!Q4685)/INPUT!P4685),"")</f>
        <v/>
      </c>
    </row>
    <row r="4691" spans="1:12" ht="18" hidden="1" customHeight="1" x14ac:dyDescent="0.2">
      <c r="A4691" s="11" t="str">
        <f>IF(INPUT!M4686="","",INPUT!M4686)</f>
        <v/>
      </c>
      <c r="B4691" s="11" t="str">
        <f>IF(INPUT!M4686="","",INPUT!M4686-WEEKDAY(INPUT!M4686,2)+1)</f>
        <v/>
      </c>
      <c r="C4691" s="20">
        <f>IFERROR(_xlfn.ISOWEEKNUM(INPUT!M4686),"")</f>
        <v>52</v>
      </c>
      <c r="D4691" s="20">
        <f>IFERROR(YEAR(INPUT!M4686),"")</f>
        <v>1900</v>
      </c>
      <c r="E4691" t="str">
        <f>IF(INPUT!O4686="","",INPUT!O4686)</f>
        <v/>
      </c>
      <c r="F4691" t="str">
        <f>IF(INPUT!N4686="","",INPUT!N4686)</f>
        <v/>
      </c>
      <c r="G4691" cm="1">
        <f t="array" ref="G4691">IFERROR(VLOOKUP(INPUT!M4686&amp;INPUT!N4686,CHOOSE({1,2},INPUT!$A$3:$A$5000&amp;INPUT!$C$3:$C$5000,INPUT!$F$3:$F$5000),2,FALSE),"")</f>
        <v>0</v>
      </c>
      <c r="H4691" cm="1">
        <f t="array" ref="H4691">IFERROR(VLOOKUP(INPUT!M4686&amp;INPUT!N4686,CHOOSE({1,2},INPUT!$A$3:$A$5000&amp;INPUT!$C$3:$C$5000,INPUT!$D$3:$D$5000),2,FALSE),"")</f>
        <v>0</v>
      </c>
      <c r="I4691" s="46" t="str">
        <f>IF(INPUT!P4686="","",INPUT!P4686)</f>
        <v/>
      </c>
      <c r="J4691" s="46" t="str">
        <f>IF(INPUT!Q4686="","",INPUT!Q4686)</f>
        <v/>
      </c>
      <c r="K4691" s="46" t="str">
        <f>IFERROR(IF(OR(INPUT!P4686="",INPUT!Q4686=""),"",INPUT!P4686-INPUT!Q4686),"")</f>
        <v/>
      </c>
      <c r="L4691" s="48" t="str">
        <f>IFERROR(IF(OR(INPUT!P4686="",INPUT!Q4686="",INPUT!P4686=0),"",(INPUT!P4686-INPUT!Q4686)/INPUT!P4686),"")</f>
        <v/>
      </c>
    </row>
    <row r="4692" spans="1:12" ht="18" hidden="1" customHeight="1" x14ac:dyDescent="0.2">
      <c r="A4692" s="11" t="str">
        <f>IF(INPUT!M4687="","",INPUT!M4687)</f>
        <v/>
      </c>
      <c r="B4692" s="11" t="str">
        <f>IF(INPUT!M4687="","",INPUT!M4687-WEEKDAY(INPUT!M4687,2)+1)</f>
        <v/>
      </c>
      <c r="C4692" s="20">
        <f>IFERROR(_xlfn.ISOWEEKNUM(INPUT!M4687),"")</f>
        <v>52</v>
      </c>
      <c r="D4692" s="20">
        <f>IFERROR(YEAR(INPUT!M4687),"")</f>
        <v>1900</v>
      </c>
      <c r="E4692" t="str">
        <f>IF(INPUT!O4687="","",INPUT!O4687)</f>
        <v/>
      </c>
      <c r="F4692" t="str">
        <f>IF(INPUT!N4687="","",INPUT!N4687)</f>
        <v/>
      </c>
      <c r="G4692" cm="1">
        <f t="array" ref="G4692">IFERROR(VLOOKUP(INPUT!M4687&amp;INPUT!N4687,CHOOSE({1,2},INPUT!$A$3:$A$5000&amp;INPUT!$C$3:$C$5000,INPUT!$F$3:$F$5000),2,FALSE),"")</f>
        <v>0</v>
      </c>
      <c r="H4692" cm="1">
        <f t="array" ref="H4692">IFERROR(VLOOKUP(INPUT!M4687&amp;INPUT!N4687,CHOOSE({1,2},INPUT!$A$3:$A$5000&amp;INPUT!$C$3:$C$5000,INPUT!$D$3:$D$5000),2,FALSE),"")</f>
        <v>0</v>
      </c>
      <c r="I4692" s="46" t="str">
        <f>IF(INPUT!P4687="","",INPUT!P4687)</f>
        <v/>
      </c>
      <c r="J4692" s="46" t="str">
        <f>IF(INPUT!Q4687="","",INPUT!Q4687)</f>
        <v/>
      </c>
      <c r="K4692" s="46" t="str">
        <f>IFERROR(IF(OR(INPUT!P4687="",INPUT!Q4687=""),"",INPUT!P4687-INPUT!Q4687),"")</f>
        <v/>
      </c>
      <c r="L4692" s="48" t="str">
        <f>IFERROR(IF(OR(INPUT!P4687="",INPUT!Q4687="",INPUT!P4687=0),"",(INPUT!P4687-INPUT!Q4687)/INPUT!P4687),"")</f>
        <v/>
      </c>
    </row>
    <row r="4693" spans="1:12" ht="18" hidden="1" customHeight="1" x14ac:dyDescent="0.2">
      <c r="A4693" s="11" t="str">
        <f>IF(INPUT!M4688="","",INPUT!M4688)</f>
        <v/>
      </c>
      <c r="B4693" s="11" t="str">
        <f>IF(INPUT!M4688="","",INPUT!M4688-WEEKDAY(INPUT!M4688,2)+1)</f>
        <v/>
      </c>
      <c r="C4693" s="20">
        <f>IFERROR(_xlfn.ISOWEEKNUM(INPUT!M4688),"")</f>
        <v>52</v>
      </c>
      <c r="D4693" s="20">
        <f>IFERROR(YEAR(INPUT!M4688),"")</f>
        <v>1900</v>
      </c>
      <c r="E4693" t="str">
        <f>IF(INPUT!O4688="","",INPUT!O4688)</f>
        <v/>
      </c>
      <c r="F4693" t="str">
        <f>IF(INPUT!N4688="","",INPUT!N4688)</f>
        <v/>
      </c>
      <c r="G4693" cm="1">
        <f t="array" ref="G4693">IFERROR(VLOOKUP(INPUT!M4688&amp;INPUT!N4688,CHOOSE({1,2},INPUT!$A$3:$A$5000&amp;INPUT!$C$3:$C$5000,INPUT!$F$3:$F$5000),2,FALSE),"")</f>
        <v>0</v>
      </c>
      <c r="H4693" cm="1">
        <f t="array" ref="H4693">IFERROR(VLOOKUP(INPUT!M4688&amp;INPUT!N4688,CHOOSE({1,2},INPUT!$A$3:$A$5000&amp;INPUT!$C$3:$C$5000,INPUT!$D$3:$D$5000),2,FALSE),"")</f>
        <v>0</v>
      </c>
      <c r="I4693" s="46" t="str">
        <f>IF(INPUT!P4688="","",INPUT!P4688)</f>
        <v/>
      </c>
      <c r="J4693" s="46" t="str">
        <f>IF(INPUT!Q4688="","",INPUT!Q4688)</f>
        <v/>
      </c>
      <c r="K4693" s="46" t="str">
        <f>IFERROR(IF(OR(INPUT!P4688="",INPUT!Q4688=""),"",INPUT!P4688-INPUT!Q4688),"")</f>
        <v/>
      </c>
      <c r="L4693" s="48" t="str">
        <f>IFERROR(IF(OR(INPUT!P4688="",INPUT!Q4688="",INPUT!P4688=0),"",(INPUT!P4688-INPUT!Q4688)/INPUT!P4688),"")</f>
        <v/>
      </c>
    </row>
    <row r="4694" spans="1:12" ht="18" hidden="1" customHeight="1" x14ac:dyDescent="0.2">
      <c r="A4694" s="11" t="str">
        <f>IF(INPUT!M4689="","",INPUT!M4689)</f>
        <v/>
      </c>
      <c r="B4694" s="11" t="str">
        <f>IF(INPUT!M4689="","",INPUT!M4689-WEEKDAY(INPUT!M4689,2)+1)</f>
        <v/>
      </c>
      <c r="C4694" s="20">
        <f>IFERROR(_xlfn.ISOWEEKNUM(INPUT!M4689),"")</f>
        <v>52</v>
      </c>
      <c r="D4694" s="20">
        <f>IFERROR(YEAR(INPUT!M4689),"")</f>
        <v>1900</v>
      </c>
      <c r="E4694" t="str">
        <f>IF(INPUT!O4689="","",INPUT!O4689)</f>
        <v/>
      </c>
      <c r="F4694" t="str">
        <f>IF(INPUT!N4689="","",INPUT!N4689)</f>
        <v/>
      </c>
      <c r="G4694" cm="1">
        <f t="array" ref="G4694">IFERROR(VLOOKUP(INPUT!M4689&amp;INPUT!N4689,CHOOSE({1,2},INPUT!$A$3:$A$5000&amp;INPUT!$C$3:$C$5000,INPUT!$F$3:$F$5000),2,FALSE),"")</f>
        <v>0</v>
      </c>
      <c r="H4694" cm="1">
        <f t="array" ref="H4694">IFERROR(VLOOKUP(INPUT!M4689&amp;INPUT!N4689,CHOOSE({1,2},INPUT!$A$3:$A$5000&amp;INPUT!$C$3:$C$5000,INPUT!$D$3:$D$5000),2,FALSE),"")</f>
        <v>0</v>
      </c>
      <c r="I4694" s="46" t="str">
        <f>IF(INPUT!P4689="","",INPUT!P4689)</f>
        <v/>
      </c>
      <c r="J4694" s="46" t="str">
        <f>IF(INPUT!Q4689="","",INPUT!Q4689)</f>
        <v/>
      </c>
      <c r="K4694" s="46" t="str">
        <f>IFERROR(IF(OR(INPUT!P4689="",INPUT!Q4689=""),"",INPUT!P4689-INPUT!Q4689),"")</f>
        <v/>
      </c>
      <c r="L4694" s="48" t="str">
        <f>IFERROR(IF(OR(INPUT!P4689="",INPUT!Q4689="",INPUT!P4689=0),"",(INPUT!P4689-INPUT!Q4689)/INPUT!P4689),"")</f>
        <v/>
      </c>
    </row>
    <row r="4695" spans="1:12" ht="18" hidden="1" customHeight="1" x14ac:dyDescent="0.2">
      <c r="A4695" s="11" t="str">
        <f>IF(INPUT!M4690="","",INPUT!M4690)</f>
        <v/>
      </c>
      <c r="B4695" s="11" t="str">
        <f>IF(INPUT!M4690="","",INPUT!M4690-WEEKDAY(INPUT!M4690,2)+1)</f>
        <v/>
      </c>
      <c r="C4695" s="20">
        <f>IFERROR(_xlfn.ISOWEEKNUM(INPUT!M4690),"")</f>
        <v>52</v>
      </c>
      <c r="D4695" s="20">
        <f>IFERROR(YEAR(INPUT!M4690),"")</f>
        <v>1900</v>
      </c>
      <c r="E4695" t="str">
        <f>IF(INPUT!O4690="","",INPUT!O4690)</f>
        <v/>
      </c>
      <c r="F4695" t="str">
        <f>IF(INPUT!N4690="","",INPUT!N4690)</f>
        <v/>
      </c>
      <c r="G4695" cm="1">
        <f t="array" ref="G4695">IFERROR(VLOOKUP(INPUT!M4690&amp;INPUT!N4690,CHOOSE({1,2},INPUT!$A$3:$A$5000&amp;INPUT!$C$3:$C$5000,INPUT!$F$3:$F$5000),2,FALSE),"")</f>
        <v>0</v>
      </c>
      <c r="H4695" cm="1">
        <f t="array" ref="H4695">IFERROR(VLOOKUP(INPUT!M4690&amp;INPUT!N4690,CHOOSE({1,2},INPUT!$A$3:$A$5000&amp;INPUT!$C$3:$C$5000,INPUT!$D$3:$D$5000),2,FALSE),"")</f>
        <v>0</v>
      </c>
      <c r="I4695" s="46" t="str">
        <f>IF(INPUT!P4690="","",INPUT!P4690)</f>
        <v/>
      </c>
      <c r="J4695" s="46" t="str">
        <f>IF(INPUT!Q4690="","",INPUT!Q4690)</f>
        <v/>
      </c>
      <c r="K4695" s="46" t="str">
        <f>IFERROR(IF(OR(INPUT!P4690="",INPUT!Q4690=""),"",INPUT!P4690-INPUT!Q4690),"")</f>
        <v/>
      </c>
      <c r="L4695" s="48" t="str">
        <f>IFERROR(IF(OR(INPUT!P4690="",INPUT!Q4690="",INPUT!P4690=0),"",(INPUT!P4690-INPUT!Q4690)/INPUT!P4690),"")</f>
        <v/>
      </c>
    </row>
    <row r="4696" spans="1:12" ht="18" hidden="1" customHeight="1" x14ac:dyDescent="0.2">
      <c r="A4696" s="11" t="str">
        <f>IF(INPUT!M4691="","",INPUT!M4691)</f>
        <v/>
      </c>
      <c r="B4696" s="11" t="str">
        <f>IF(INPUT!M4691="","",INPUT!M4691-WEEKDAY(INPUT!M4691,2)+1)</f>
        <v/>
      </c>
      <c r="C4696" s="20">
        <f>IFERROR(_xlfn.ISOWEEKNUM(INPUT!M4691),"")</f>
        <v>52</v>
      </c>
      <c r="D4696" s="20">
        <f>IFERROR(YEAR(INPUT!M4691),"")</f>
        <v>1900</v>
      </c>
      <c r="E4696" t="str">
        <f>IF(INPUT!O4691="","",INPUT!O4691)</f>
        <v/>
      </c>
      <c r="F4696" t="str">
        <f>IF(INPUT!N4691="","",INPUT!N4691)</f>
        <v/>
      </c>
      <c r="G4696" cm="1">
        <f t="array" ref="G4696">IFERROR(VLOOKUP(INPUT!M4691&amp;INPUT!N4691,CHOOSE({1,2},INPUT!$A$3:$A$5000&amp;INPUT!$C$3:$C$5000,INPUT!$F$3:$F$5000),2,FALSE),"")</f>
        <v>0</v>
      </c>
      <c r="H4696" cm="1">
        <f t="array" ref="H4696">IFERROR(VLOOKUP(INPUT!M4691&amp;INPUT!N4691,CHOOSE({1,2},INPUT!$A$3:$A$5000&amp;INPUT!$C$3:$C$5000,INPUT!$D$3:$D$5000),2,FALSE),"")</f>
        <v>0</v>
      </c>
      <c r="I4696" s="46" t="str">
        <f>IF(INPUT!P4691="","",INPUT!P4691)</f>
        <v/>
      </c>
      <c r="J4696" s="46" t="str">
        <f>IF(INPUT!Q4691="","",INPUT!Q4691)</f>
        <v/>
      </c>
      <c r="K4696" s="46" t="str">
        <f>IFERROR(IF(OR(INPUT!P4691="",INPUT!Q4691=""),"",INPUT!P4691-INPUT!Q4691),"")</f>
        <v/>
      </c>
      <c r="L4696" s="48" t="str">
        <f>IFERROR(IF(OR(INPUT!P4691="",INPUT!Q4691="",INPUT!P4691=0),"",(INPUT!P4691-INPUT!Q4691)/INPUT!P4691),"")</f>
        <v/>
      </c>
    </row>
    <row r="4697" spans="1:12" ht="18" hidden="1" customHeight="1" x14ac:dyDescent="0.2">
      <c r="A4697" s="11" t="str">
        <f>IF(INPUT!M4692="","",INPUT!M4692)</f>
        <v/>
      </c>
      <c r="B4697" s="11" t="str">
        <f>IF(INPUT!M4692="","",INPUT!M4692-WEEKDAY(INPUT!M4692,2)+1)</f>
        <v/>
      </c>
      <c r="C4697" s="20">
        <f>IFERROR(_xlfn.ISOWEEKNUM(INPUT!M4692),"")</f>
        <v>52</v>
      </c>
      <c r="D4697" s="20">
        <f>IFERROR(YEAR(INPUT!M4692),"")</f>
        <v>1900</v>
      </c>
      <c r="E4697" t="str">
        <f>IF(INPUT!O4692="","",INPUT!O4692)</f>
        <v/>
      </c>
      <c r="F4697" t="str">
        <f>IF(INPUT!N4692="","",INPUT!N4692)</f>
        <v/>
      </c>
      <c r="G4697" cm="1">
        <f t="array" ref="G4697">IFERROR(VLOOKUP(INPUT!M4692&amp;INPUT!N4692,CHOOSE({1,2},INPUT!$A$3:$A$5000&amp;INPUT!$C$3:$C$5000,INPUT!$F$3:$F$5000),2,FALSE),"")</f>
        <v>0</v>
      </c>
      <c r="H4697" cm="1">
        <f t="array" ref="H4697">IFERROR(VLOOKUP(INPUT!M4692&amp;INPUT!N4692,CHOOSE({1,2},INPUT!$A$3:$A$5000&amp;INPUT!$C$3:$C$5000,INPUT!$D$3:$D$5000),2,FALSE),"")</f>
        <v>0</v>
      </c>
      <c r="I4697" s="46" t="str">
        <f>IF(INPUT!P4692="","",INPUT!P4692)</f>
        <v/>
      </c>
      <c r="J4697" s="46" t="str">
        <f>IF(INPUT!Q4692="","",INPUT!Q4692)</f>
        <v/>
      </c>
      <c r="K4697" s="46" t="str">
        <f>IFERROR(IF(OR(INPUT!P4692="",INPUT!Q4692=""),"",INPUT!P4692-INPUT!Q4692),"")</f>
        <v/>
      </c>
      <c r="L4697" s="48" t="str">
        <f>IFERROR(IF(OR(INPUT!P4692="",INPUT!Q4692="",INPUT!P4692=0),"",(INPUT!P4692-INPUT!Q4692)/INPUT!P4692),"")</f>
        <v/>
      </c>
    </row>
    <row r="4698" spans="1:12" ht="18" hidden="1" customHeight="1" x14ac:dyDescent="0.2">
      <c r="A4698" s="11" t="str">
        <f>IF(INPUT!M4693="","",INPUT!M4693)</f>
        <v/>
      </c>
      <c r="B4698" s="11" t="str">
        <f>IF(INPUT!M4693="","",INPUT!M4693-WEEKDAY(INPUT!M4693,2)+1)</f>
        <v/>
      </c>
      <c r="C4698" s="20">
        <f>IFERROR(_xlfn.ISOWEEKNUM(INPUT!M4693),"")</f>
        <v>52</v>
      </c>
      <c r="D4698" s="20">
        <f>IFERROR(YEAR(INPUT!M4693),"")</f>
        <v>1900</v>
      </c>
      <c r="E4698" t="str">
        <f>IF(INPUT!O4693="","",INPUT!O4693)</f>
        <v/>
      </c>
      <c r="F4698" t="str">
        <f>IF(INPUT!N4693="","",INPUT!N4693)</f>
        <v/>
      </c>
      <c r="G4698" cm="1">
        <f t="array" ref="G4698">IFERROR(VLOOKUP(INPUT!M4693&amp;INPUT!N4693,CHOOSE({1,2},INPUT!$A$3:$A$5000&amp;INPUT!$C$3:$C$5000,INPUT!$F$3:$F$5000),2,FALSE),"")</f>
        <v>0</v>
      </c>
      <c r="H4698" cm="1">
        <f t="array" ref="H4698">IFERROR(VLOOKUP(INPUT!M4693&amp;INPUT!N4693,CHOOSE({1,2},INPUT!$A$3:$A$5000&amp;INPUT!$C$3:$C$5000,INPUT!$D$3:$D$5000),2,FALSE),"")</f>
        <v>0</v>
      </c>
      <c r="I4698" s="46" t="str">
        <f>IF(INPUT!P4693="","",INPUT!P4693)</f>
        <v/>
      </c>
      <c r="J4698" s="46" t="str">
        <f>IF(INPUT!Q4693="","",INPUT!Q4693)</f>
        <v/>
      </c>
      <c r="K4698" s="46" t="str">
        <f>IFERROR(IF(OR(INPUT!P4693="",INPUT!Q4693=""),"",INPUT!P4693-INPUT!Q4693),"")</f>
        <v/>
      </c>
      <c r="L4698" s="48" t="str">
        <f>IFERROR(IF(OR(INPUT!P4693="",INPUT!Q4693="",INPUT!P4693=0),"",(INPUT!P4693-INPUT!Q4693)/INPUT!P4693),"")</f>
        <v/>
      </c>
    </row>
    <row r="4699" spans="1:12" ht="18" hidden="1" customHeight="1" x14ac:dyDescent="0.2">
      <c r="A4699" s="11" t="str">
        <f>IF(INPUT!M4694="","",INPUT!M4694)</f>
        <v/>
      </c>
      <c r="B4699" s="11" t="str">
        <f>IF(INPUT!M4694="","",INPUT!M4694-WEEKDAY(INPUT!M4694,2)+1)</f>
        <v/>
      </c>
      <c r="C4699" s="20">
        <f>IFERROR(_xlfn.ISOWEEKNUM(INPUT!M4694),"")</f>
        <v>52</v>
      </c>
      <c r="D4699" s="20">
        <f>IFERROR(YEAR(INPUT!M4694),"")</f>
        <v>1900</v>
      </c>
      <c r="E4699" t="str">
        <f>IF(INPUT!O4694="","",INPUT!O4694)</f>
        <v/>
      </c>
      <c r="F4699" t="str">
        <f>IF(INPUT!N4694="","",INPUT!N4694)</f>
        <v/>
      </c>
      <c r="G4699" cm="1">
        <f t="array" ref="G4699">IFERROR(VLOOKUP(INPUT!M4694&amp;INPUT!N4694,CHOOSE({1,2},INPUT!$A$3:$A$5000&amp;INPUT!$C$3:$C$5000,INPUT!$F$3:$F$5000),2,FALSE),"")</f>
        <v>0</v>
      </c>
      <c r="H4699" cm="1">
        <f t="array" ref="H4699">IFERROR(VLOOKUP(INPUT!M4694&amp;INPUT!N4694,CHOOSE({1,2},INPUT!$A$3:$A$5000&amp;INPUT!$C$3:$C$5000,INPUT!$D$3:$D$5000),2,FALSE),"")</f>
        <v>0</v>
      </c>
      <c r="I4699" s="46" t="str">
        <f>IF(INPUT!P4694="","",INPUT!P4694)</f>
        <v/>
      </c>
      <c r="J4699" s="46" t="str">
        <f>IF(INPUT!Q4694="","",INPUT!Q4694)</f>
        <v/>
      </c>
      <c r="K4699" s="46" t="str">
        <f>IFERROR(IF(OR(INPUT!P4694="",INPUT!Q4694=""),"",INPUT!P4694-INPUT!Q4694),"")</f>
        <v/>
      </c>
      <c r="L4699" s="48" t="str">
        <f>IFERROR(IF(OR(INPUT!P4694="",INPUT!Q4694="",INPUT!P4694=0),"",(INPUT!P4694-INPUT!Q4694)/INPUT!P4694),"")</f>
        <v/>
      </c>
    </row>
    <row r="4700" spans="1:12" ht="18" hidden="1" customHeight="1" x14ac:dyDescent="0.2">
      <c r="A4700" s="11" t="str">
        <f>IF(INPUT!M4695="","",INPUT!M4695)</f>
        <v/>
      </c>
      <c r="B4700" s="11" t="str">
        <f>IF(INPUT!M4695="","",INPUT!M4695-WEEKDAY(INPUT!M4695,2)+1)</f>
        <v/>
      </c>
      <c r="C4700" s="20">
        <f>IFERROR(_xlfn.ISOWEEKNUM(INPUT!M4695),"")</f>
        <v>52</v>
      </c>
      <c r="D4700" s="20">
        <f>IFERROR(YEAR(INPUT!M4695),"")</f>
        <v>1900</v>
      </c>
      <c r="E4700" t="str">
        <f>IF(INPUT!O4695="","",INPUT!O4695)</f>
        <v/>
      </c>
      <c r="F4700" t="str">
        <f>IF(INPUT!N4695="","",INPUT!N4695)</f>
        <v/>
      </c>
      <c r="G4700" cm="1">
        <f t="array" ref="G4700">IFERROR(VLOOKUP(INPUT!M4695&amp;INPUT!N4695,CHOOSE({1,2},INPUT!$A$3:$A$5000&amp;INPUT!$C$3:$C$5000,INPUT!$F$3:$F$5000),2,FALSE),"")</f>
        <v>0</v>
      </c>
      <c r="H4700" cm="1">
        <f t="array" ref="H4700">IFERROR(VLOOKUP(INPUT!M4695&amp;INPUT!N4695,CHOOSE({1,2},INPUT!$A$3:$A$5000&amp;INPUT!$C$3:$C$5000,INPUT!$D$3:$D$5000),2,FALSE),"")</f>
        <v>0</v>
      </c>
      <c r="I4700" s="46" t="str">
        <f>IF(INPUT!P4695="","",INPUT!P4695)</f>
        <v/>
      </c>
      <c r="J4700" s="46" t="str">
        <f>IF(INPUT!Q4695="","",INPUT!Q4695)</f>
        <v/>
      </c>
      <c r="K4700" s="46" t="str">
        <f>IFERROR(IF(OR(INPUT!P4695="",INPUT!Q4695=""),"",INPUT!P4695-INPUT!Q4695),"")</f>
        <v/>
      </c>
      <c r="L4700" s="48" t="str">
        <f>IFERROR(IF(OR(INPUT!P4695="",INPUT!Q4695="",INPUT!P4695=0),"",(INPUT!P4695-INPUT!Q4695)/INPUT!P4695),"")</f>
        <v/>
      </c>
    </row>
    <row r="4701" spans="1:12" ht="18" hidden="1" customHeight="1" x14ac:dyDescent="0.2">
      <c r="A4701" s="11" t="str">
        <f>IF(INPUT!M4696="","",INPUT!M4696)</f>
        <v/>
      </c>
      <c r="B4701" s="11" t="str">
        <f>IF(INPUT!M4696="","",INPUT!M4696-WEEKDAY(INPUT!M4696,2)+1)</f>
        <v/>
      </c>
      <c r="C4701" s="20">
        <f>IFERROR(_xlfn.ISOWEEKNUM(INPUT!M4696),"")</f>
        <v>52</v>
      </c>
      <c r="D4701" s="20">
        <f>IFERROR(YEAR(INPUT!M4696),"")</f>
        <v>1900</v>
      </c>
      <c r="E4701" t="str">
        <f>IF(INPUT!O4696="","",INPUT!O4696)</f>
        <v/>
      </c>
      <c r="F4701" t="str">
        <f>IF(INPUT!N4696="","",INPUT!N4696)</f>
        <v/>
      </c>
      <c r="G4701" cm="1">
        <f t="array" ref="G4701">IFERROR(VLOOKUP(INPUT!M4696&amp;INPUT!N4696,CHOOSE({1,2},INPUT!$A$3:$A$5000&amp;INPUT!$C$3:$C$5000,INPUT!$F$3:$F$5000),2,FALSE),"")</f>
        <v>0</v>
      </c>
      <c r="H4701" cm="1">
        <f t="array" ref="H4701">IFERROR(VLOOKUP(INPUT!M4696&amp;INPUT!N4696,CHOOSE({1,2},INPUT!$A$3:$A$5000&amp;INPUT!$C$3:$C$5000,INPUT!$D$3:$D$5000),2,FALSE),"")</f>
        <v>0</v>
      </c>
      <c r="I4701" s="46" t="str">
        <f>IF(INPUT!P4696="","",INPUT!P4696)</f>
        <v/>
      </c>
      <c r="J4701" s="46" t="str">
        <f>IF(INPUT!Q4696="","",INPUT!Q4696)</f>
        <v/>
      </c>
      <c r="K4701" s="46" t="str">
        <f>IFERROR(IF(OR(INPUT!P4696="",INPUT!Q4696=""),"",INPUT!P4696-INPUT!Q4696),"")</f>
        <v/>
      </c>
      <c r="L4701" s="48" t="str">
        <f>IFERROR(IF(OR(INPUT!P4696="",INPUT!Q4696="",INPUT!P4696=0),"",(INPUT!P4696-INPUT!Q4696)/INPUT!P4696),"")</f>
        <v/>
      </c>
    </row>
    <row r="4702" spans="1:12" ht="18" hidden="1" customHeight="1" x14ac:dyDescent="0.2">
      <c r="A4702" s="11" t="str">
        <f>IF(INPUT!M4697="","",INPUT!M4697)</f>
        <v/>
      </c>
      <c r="B4702" s="11" t="str">
        <f>IF(INPUT!M4697="","",INPUT!M4697-WEEKDAY(INPUT!M4697,2)+1)</f>
        <v/>
      </c>
      <c r="C4702" s="20">
        <f>IFERROR(_xlfn.ISOWEEKNUM(INPUT!M4697),"")</f>
        <v>52</v>
      </c>
      <c r="D4702" s="20">
        <f>IFERROR(YEAR(INPUT!M4697),"")</f>
        <v>1900</v>
      </c>
      <c r="E4702" t="str">
        <f>IF(INPUT!O4697="","",INPUT!O4697)</f>
        <v/>
      </c>
      <c r="F4702" t="str">
        <f>IF(INPUT!N4697="","",INPUT!N4697)</f>
        <v/>
      </c>
      <c r="G4702" cm="1">
        <f t="array" ref="G4702">IFERROR(VLOOKUP(INPUT!M4697&amp;INPUT!N4697,CHOOSE({1,2},INPUT!$A$3:$A$5000&amp;INPUT!$C$3:$C$5000,INPUT!$F$3:$F$5000),2,FALSE),"")</f>
        <v>0</v>
      </c>
      <c r="H4702" cm="1">
        <f t="array" ref="H4702">IFERROR(VLOOKUP(INPUT!M4697&amp;INPUT!N4697,CHOOSE({1,2},INPUT!$A$3:$A$5000&amp;INPUT!$C$3:$C$5000,INPUT!$D$3:$D$5000),2,FALSE),"")</f>
        <v>0</v>
      </c>
      <c r="I4702" s="46" t="str">
        <f>IF(INPUT!P4697="","",INPUT!P4697)</f>
        <v/>
      </c>
      <c r="J4702" s="46" t="str">
        <f>IF(INPUT!Q4697="","",INPUT!Q4697)</f>
        <v/>
      </c>
      <c r="K4702" s="46" t="str">
        <f>IFERROR(IF(OR(INPUT!P4697="",INPUT!Q4697=""),"",INPUT!P4697-INPUT!Q4697),"")</f>
        <v/>
      </c>
      <c r="L4702" s="48" t="str">
        <f>IFERROR(IF(OR(INPUT!P4697="",INPUT!Q4697="",INPUT!P4697=0),"",(INPUT!P4697-INPUT!Q4697)/INPUT!P4697),"")</f>
        <v/>
      </c>
    </row>
    <row r="4703" spans="1:12" ht="18" hidden="1" customHeight="1" x14ac:dyDescent="0.2">
      <c r="A4703" s="11" t="str">
        <f>IF(INPUT!M4698="","",INPUT!M4698)</f>
        <v/>
      </c>
      <c r="B4703" s="11" t="str">
        <f>IF(INPUT!M4698="","",INPUT!M4698-WEEKDAY(INPUT!M4698,2)+1)</f>
        <v/>
      </c>
      <c r="C4703" s="20">
        <f>IFERROR(_xlfn.ISOWEEKNUM(INPUT!M4698),"")</f>
        <v>52</v>
      </c>
      <c r="D4703" s="20">
        <f>IFERROR(YEAR(INPUT!M4698),"")</f>
        <v>1900</v>
      </c>
      <c r="E4703" t="str">
        <f>IF(INPUT!O4698="","",INPUT!O4698)</f>
        <v/>
      </c>
      <c r="F4703" t="str">
        <f>IF(INPUT!N4698="","",INPUT!N4698)</f>
        <v/>
      </c>
      <c r="G4703" cm="1">
        <f t="array" ref="G4703">IFERROR(VLOOKUP(INPUT!M4698&amp;INPUT!N4698,CHOOSE({1,2},INPUT!$A$3:$A$5000&amp;INPUT!$C$3:$C$5000,INPUT!$F$3:$F$5000),2,FALSE),"")</f>
        <v>0</v>
      </c>
      <c r="H4703" cm="1">
        <f t="array" ref="H4703">IFERROR(VLOOKUP(INPUT!M4698&amp;INPUT!N4698,CHOOSE({1,2},INPUT!$A$3:$A$5000&amp;INPUT!$C$3:$C$5000,INPUT!$D$3:$D$5000),2,FALSE),"")</f>
        <v>0</v>
      </c>
      <c r="I4703" s="46" t="str">
        <f>IF(INPUT!P4698="","",INPUT!P4698)</f>
        <v/>
      </c>
      <c r="J4703" s="46" t="str">
        <f>IF(INPUT!Q4698="","",INPUT!Q4698)</f>
        <v/>
      </c>
      <c r="K4703" s="46" t="str">
        <f>IFERROR(IF(OR(INPUT!P4698="",INPUT!Q4698=""),"",INPUT!P4698-INPUT!Q4698),"")</f>
        <v/>
      </c>
      <c r="L4703" s="48" t="str">
        <f>IFERROR(IF(OR(INPUT!P4698="",INPUT!Q4698="",INPUT!P4698=0),"",(INPUT!P4698-INPUT!Q4698)/INPUT!P4698),"")</f>
        <v/>
      </c>
    </row>
    <row r="4704" spans="1:12" ht="18" hidden="1" customHeight="1" x14ac:dyDescent="0.2">
      <c r="A4704" s="11" t="str">
        <f>IF(INPUT!M4699="","",INPUT!M4699)</f>
        <v/>
      </c>
      <c r="B4704" s="11" t="str">
        <f>IF(INPUT!M4699="","",INPUT!M4699-WEEKDAY(INPUT!M4699,2)+1)</f>
        <v/>
      </c>
      <c r="C4704" s="20">
        <f>IFERROR(_xlfn.ISOWEEKNUM(INPUT!M4699),"")</f>
        <v>52</v>
      </c>
      <c r="D4704" s="20">
        <f>IFERROR(YEAR(INPUT!M4699),"")</f>
        <v>1900</v>
      </c>
      <c r="E4704" t="str">
        <f>IF(INPUT!O4699="","",INPUT!O4699)</f>
        <v/>
      </c>
      <c r="F4704" t="str">
        <f>IF(INPUT!N4699="","",INPUT!N4699)</f>
        <v/>
      </c>
      <c r="G4704" cm="1">
        <f t="array" ref="G4704">IFERROR(VLOOKUP(INPUT!M4699&amp;INPUT!N4699,CHOOSE({1,2},INPUT!$A$3:$A$5000&amp;INPUT!$C$3:$C$5000,INPUT!$F$3:$F$5000),2,FALSE),"")</f>
        <v>0</v>
      </c>
      <c r="H4704" cm="1">
        <f t="array" ref="H4704">IFERROR(VLOOKUP(INPUT!M4699&amp;INPUT!N4699,CHOOSE({1,2},INPUT!$A$3:$A$5000&amp;INPUT!$C$3:$C$5000,INPUT!$D$3:$D$5000),2,FALSE),"")</f>
        <v>0</v>
      </c>
      <c r="I4704" s="46" t="str">
        <f>IF(INPUT!P4699="","",INPUT!P4699)</f>
        <v/>
      </c>
      <c r="J4704" s="46" t="str">
        <f>IF(INPUT!Q4699="","",INPUT!Q4699)</f>
        <v/>
      </c>
      <c r="K4704" s="46" t="str">
        <f>IFERROR(IF(OR(INPUT!P4699="",INPUT!Q4699=""),"",INPUT!P4699-INPUT!Q4699),"")</f>
        <v/>
      </c>
      <c r="L4704" s="48" t="str">
        <f>IFERROR(IF(OR(INPUT!P4699="",INPUT!Q4699="",INPUT!P4699=0),"",(INPUT!P4699-INPUT!Q4699)/INPUT!P4699),"")</f>
        <v/>
      </c>
    </row>
    <row r="4705" spans="1:12" ht="18" hidden="1" customHeight="1" x14ac:dyDescent="0.2">
      <c r="A4705" s="11" t="str">
        <f>IF(INPUT!M4700="","",INPUT!M4700)</f>
        <v/>
      </c>
      <c r="B4705" s="11" t="str">
        <f>IF(INPUT!M4700="","",INPUT!M4700-WEEKDAY(INPUT!M4700,2)+1)</f>
        <v/>
      </c>
      <c r="C4705" s="20">
        <f>IFERROR(_xlfn.ISOWEEKNUM(INPUT!M4700),"")</f>
        <v>52</v>
      </c>
      <c r="D4705" s="20">
        <f>IFERROR(YEAR(INPUT!M4700),"")</f>
        <v>1900</v>
      </c>
      <c r="E4705" t="str">
        <f>IF(INPUT!O4700="","",INPUT!O4700)</f>
        <v/>
      </c>
      <c r="F4705" t="str">
        <f>IF(INPUT!N4700="","",INPUT!N4700)</f>
        <v/>
      </c>
      <c r="G4705" cm="1">
        <f t="array" ref="G4705">IFERROR(VLOOKUP(INPUT!M4700&amp;INPUT!N4700,CHOOSE({1,2},INPUT!$A$3:$A$5000&amp;INPUT!$C$3:$C$5000,INPUT!$F$3:$F$5000),2,FALSE),"")</f>
        <v>0</v>
      </c>
      <c r="H4705" cm="1">
        <f t="array" ref="H4705">IFERROR(VLOOKUP(INPUT!M4700&amp;INPUT!N4700,CHOOSE({1,2},INPUT!$A$3:$A$5000&amp;INPUT!$C$3:$C$5000,INPUT!$D$3:$D$5000),2,FALSE),"")</f>
        <v>0</v>
      </c>
      <c r="I4705" s="46" t="str">
        <f>IF(INPUT!P4700="","",INPUT!P4700)</f>
        <v/>
      </c>
      <c r="J4705" s="46" t="str">
        <f>IF(INPUT!Q4700="","",INPUT!Q4700)</f>
        <v/>
      </c>
      <c r="K4705" s="46" t="str">
        <f>IFERROR(IF(OR(INPUT!P4700="",INPUT!Q4700=""),"",INPUT!P4700-INPUT!Q4700),"")</f>
        <v/>
      </c>
      <c r="L4705" s="48" t="str">
        <f>IFERROR(IF(OR(INPUT!P4700="",INPUT!Q4700="",INPUT!P4700=0),"",(INPUT!P4700-INPUT!Q4700)/INPUT!P4700),"")</f>
        <v/>
      </c>
    </row>
    <row r="4706" spans="1:12" ht="18" hidden="1" customHeight="1" x14ac:dyDescent="0.2">
      <c r="A4706" s="11" t="str">
        <f>IF(INPUT!M4701="","",INPUT!M4701)</f>
        <v/>
      </c>
      <c r="B4706" s="11" t="str">
        <f>IF(INPUT!M4701="","",INPUT!M4701-WEEKDAY(INPUT!M4701,2)+1)</f>
        <v/>
      </c>
      <c r="C4706" s="20">
        <f>IFERROR(_xlfn.ISOWEEKNUM(INPUT!M4701),"")</f>
        <v>52</v>
      </c>
      <c r="D4706" s="20">
        <f>IFERROR(YEAR(INPUT!M4701),"")</f>
        <v>1900</v>
      </c>
      <c r="E4706" t="str">
        <f>IF(INPUT!O4701="","",INPUT!O4701)</f>
        <v/>
      </c>
      <c r="F4706" t="str">
        <f>IF(INPUT!N4701="","",INPUT!N4701)</f>
        <v/>
      </c>
      <c r="G4706" cm="1">
        <f t="array" ref="G4706">IFERROR(VLOOKUP(INPUT!M4701&amp;INPUT!N4701,CHOOSE({1,2},INPUT!$A$3:$A$5000&amp;INPUT!$C$3:$C$5000,INPUT!$F$3:$F$5000),2,FALSE),"")</f>
        <v>0</v>
      </c>
      <c r="H4706" cm="1">
        <f t="array" ref="H4706">IFERROR(VLOOKUP(INPUT!M4701&amp;INPUT!N4701,CHOOSE({1,2},INPUT!$A$3:$A$5000&amp;INPUT!$C$3:$C$5000,INPUT!$D$3:$D$5000),2,FALSE),"")</f>
        <v>0</v>
      </c>
      <c r="I4706" s="46" t="str">
        <f>IF(INPUT!P4701="","",INPUT!P4701)</f>
        <v/>
      </c>
      <c r="J4706" s="46" t="str">
        <f>IF(INPUT!Q4701="","",INPUT!Q4701)</f>
        <v/>
      </c>
      <c r="K4706" s="46" t="str">
        <f>IFERROR(IF(OR(INPUT!P4701="",INPUT!Q4701=""),"",INPUT!P4701-INPUT!Q4701),"")</f>
        <v/>
      </c>
      <c r="L4706" s="48" t="str">
        <f>IFERROR(IF(OR(INPUT!P4701="",INPUT!Q4701="",INPUT!P4701=0),"",(INPUT!P4701-INPUT!Q4701)/INPUT!P4701),"")</f>
        <v/>
      </c>
    </row>
    <row r="4707" spans="1:12" ht="18" hidden="1" customHeight="1" x14ac:dyDescent="0.2">
      <c r="A4707" s="11" t="str">
        <f>IF(INPUT!M4702="","",INPUT!M4702)</f>
        <v/>
      </c>
      <c r="B4707" s="11" t="str">
        <f>IF(INPUT!M4702="","",INPUT!M4702-WEEKDAY(INPUT!M4702,2)+1)</f>
        <v/>
      </c>
      <c r="C4707" s="20">
        <f>IFERROR(_xlfn.ISOWEEKNUM(INPUT!M4702),"")</f>
        <v>52</v>
      </c>
      <c r="D4707" s="20">
        <f>IFERROR(YEAR(INPUT!M4702),"")</f>
        <v>1900</v>
      </c>
      <c r="E4707" t="str">
        <f>IF(INPUT!O4702="","",INPUT!O4702)</f>
        <v/>
      </c>
      <c r="F4707" t="str">
        <f>IF(INPUT!N4702="","",INPUT!N4702)</f>
        <v/>
      </c>
      <c r="G4707" cm="1">
        <f t="array" ref="G4707">IFERROR(VLOOKUP(INPUT!M4702&amp;INPUT!N4702,CHOOSE({1,2},INPUT!$A$3:$A$5000&amp;INPUT!$C$3:$C$5000,INPUT!$F$3:$F$5000),2,FALSE),"")</f>
        <v>0</v>
      </c>
      <c r="H4707" cm="1">
        <f t="array" ref="H4707">IFERROR(VLOOKUP(INPUT!M4702&amp;INPUT!N4702,CHOOSE({1,2},INPUT!$A$3:$A$5000&amp;INPUT!$C$3:$C$5000,INPUT!$D$3:$D$5000),2,FALSE),"")</f>
        <v>0</v>
      </c>
      <c r="I4707" s="46" t="str">
        <f>IF(INPUT!P4702="","",INPUT!P4702)</f>
        <v/>
      </c>
      <c r="J4707" s="46" t="str">
        <f>IF(INPUT!Q4702="","",INPUT!Q4702)</f>
        <v/>
      </c>
      <c r="K4707" s="46" t="str">
        <f>IFERROR(IF(OR(INPUT!P4702="",INPUT!Q4702=""),"",INPUT!P4702-INPUT!Q4702),"")</f>
        <v/>
      </c>
      <c r="L4707" s="48" t="str">
        <f>IFERROR(IF(OR(INPUT!P4702="",INPUT!Q4702="",INPUT!P4702=0),"",(INPUT!P4702-INPUT!Q4702)/INPUT!P4702),"")</f>
        <v/>
      </c>
    </row>
    <row r="4708" spans="1:12" ht="18" hidden="1" customHeight="1" x14ac:dyDescent="0.2">
      <c r="A4708" s="11" t="str">
        <f>IF(INPUT!M4703="","",INPUT!M4703)</f>
        <v/>
      </c>
      <c r="B4708" s="11" t="str">
        <f>IF(INPUT!M4703="","",INPUT!M4703-WEEKDAY(INPUT!M4703,2)+1)</f>
        <v/>
      </c>
      <c r="C4708" s="20">
        <f>IFERROR(_xlfn.ISOWEEKNUM(INPUT!M4703),"")</f>
        <v>52</v>
      </c>
      <c r="D4708" s="20">
        <f>IFERROR(YEAR(INPUT!M4703),"")</f>
        <v>1900</v>
      </c>
      <c r="E4708" t="str">
        <f>IF(INPUT!O4703="","",INPUT!O4703)</f>
        <v/>
      </c>
      <c r="F4708" t="str">
        <f>IF(INPUT!N4703="","",INPUT!N4703)</f>
        <v/>
      </c>
      <c r="G4708" cm="1">
        <f t="array" ref="G4708">IFERROR(VLOOKUP(INPUT!M4703&amp;INPUT!N4703,CHOOSE({1,2},INPUT!$A$3:$A$5000&amp;INPUT!$C$3:$C$5000,INPUT!$F$3:$F$5000),2,FALSE),"")</f>
        <v>0</v>
      </c>
      <c r="H4708" cm="1">
        <f t="array" ref="H4708">IFERROR(VLOOKUP(INPUT!M4703&amp;INPUT!N4703,CHOOSE({1,2},INPUT!$A$3:$A$5000&amp;INPUT!$C$3:$C$5000,INPUT!$D$3:$D$5000),2,FALSE),"")</f>
        <v>0</v>
      </c>
      <c r="I4708" s="46" t="str">
        <f>IF(INPUT!P4703="","",INPUT!P4703)</f>
        <v/>
      </c>
      <c r="J4708" s="46" t="str">
        <f>IF(INPUT!Q4703="","",INPUT!Q4703)</f>
        <v/>
      </c>
      <c r="K4708" s="46" t="str">
        <f>IFERROR(IF(OR(INPUT!P4703="",INPUT!Q4703=""),"",INPUT!P4703-INPUT!Q4703),"")</f>
        <v/>
      </c>
      <c r="L4708" s="48" t="str">
        <f>IFERROR(IF(OR(INPUT!P4703="",INPUT!Q4703="",INPUT!P4703=0),"",(INPUT!P4703-INPUT!Q4703)/INPUT!P4703),"")</f>
        <v/>
      </c>
    </row>
    <row r="4709" spans="1:12" ht="18" hidden="1" customHeight="1" x14ac:dyDescent="0.2">
      <c r="A4709" s="11" t="str">
        <f>IF(INPUT!M4704="","",INPUT!M4704)</f>
        <v/>
      </c>
      <c r="B4709" s="11" t="str">
        <f>IF(INPUT!M4704="","",INPUT!M4704-WEEKDAY(INPUT!M4704,2)+1)</f>
        <v/>
      </c>
      <c r="C4709" s="20">
        <f>IFERROR(_xlfn.ISOWEEKNUM(INPUT!M4704),"")</f>
        <v>52</v>
      </c>
      <c r="D4709" s="20">
        <f>IFERROR(YEAR(INPUT!M4704),"")</f>
        <v>1900</v>
      </c>
      <c r="E4709" t="str">
        <f>IF(INPUT!O4704="","",INPUT!O4704)</f>
        <v/>
      </c>
      <c r="F4709" t="str">
        <f>IF(INPUT!N4704="","",INPUT!N4704)</f>
        <v/>
      </c>
      <c r="G4709" cm="1">
        <f t="array" ref="G4709">IFERROR(VLOOKUP(INPUT!M4704&amp;INPUT!N4704,CHOOSE({1,2},INPUT!$A$3:$A$5000&amp;INPUT!$C$3:$C$5000,INPUT!$F$3:$F$5000),2,FALSE),"")</f>
        <v>0</v>
      </c>
      <c r="H4709" cm="1">
        <f t="array" ref="H4709">IFERROR(VLOOKUP(INPUT!M4704&amp;INPUT!N4704,CHOOSE({1,2},INPUT!$A$3:$A$5000&amp;INPUT!$C$3:$C$5000,INPUT!$D$3:$D$5000),2,FALSE),"")</f>
        <v>0</v>
      </c>
      <c r="I4709" s="46" t="str">
        <f>IF(INPUT!P4704="","",INPUT!P4704)</f>
        <v/>
      </c>
      <c r="J4709" s="46" t="str">
        <f>IF(INPUT!Q4704="","",INPUT!Q4704)</f>
        <v/>
      </c>
      <c r="K4709" s="46" t="str">
        <f>IFERROR(IF(OR(INPUT!P4704="",INPUT!Q4704=""),"",INPUT!P4704-INPUT!Q4704),"")</f>
        <v/>
      </c>
      <c r="L4709" s="48" t="str">
        <f>IFERROR(IF(OR(INPUT!P4704="",INPUT!Q4704="",INPUT!P4704=0),"",(INPUT!P4704-INPUT!Q4704)/INPUT!P4704),"")</f>
        <v/>
      </c>
    </row>
    <row r="4710" spans="1:12" ht="18" hidden="1" customHeight="1" x14ac:dyDescent="0.2">
      <c r="A4710" s="11" t="str">
        <f>IF(INPUT!M4705="","",INPUT!M4705)</f>
        <v/>
      </c>
      <c r="B4710" s="11" t="str">
        <f>IF(INPUT!M4705="","",INPUT!M4705-WEEKDAY(INPUT!M4705,2)+1)</f>
        <v/>
      </c>
      <c r="C4710" s="20">
        <f>IFERROR(_xlfn.ISOWEEKNUM(INPUT!M4705),"")</f>
        <v>52</v>
      </c>
      <c r="D4710" s="20">
        <f>IFERROR(YEAR(INPUT!M4705),"")</f>
        <v>1900</v>
      </c>
      <c r="E4710" t="str">
        <f>IF(INPUT!O4705="","",INPUT!O4705)</f>
        <v/>
      </c>
      <c r="F4710" t="str">
        <f>IF(INPUT!N4705="","",INPUT!N4705)</f>
        <v/>
      </c>
      <c r="G4710" cm="1">
        <f t="array" ref="G4710">IFERROR(VLOOKUP(INPUT!M4705&amp;INPUT!N4705,CHOOSE({1,2},INPUT!$A$3:$A$5000&amp;INPUT!$C$3:$C$5000,INPUT!$F$3:$F$5000),2,FALSE),"")</f>
        <v>0</v>
      </c>
      <c r="H4710" cm="1">
        <f t="array" ref="H4710">IFERROR(VLOOKUP(INPUT!M4705&amp;INPUT!N4705,CHOOSE({1,2},INPUT!$A$3:$A$5000&amp;INPUT!$C$3:$C$5000,INPUT!$D$3:$D$5000),2,FALSE),"")</f>
        <v>0</v>
      </c>
      <c r="I4710" s="46" t="str">
        <f>IF(INPUT!P4705="","",INPUT!P4705)</f>
        <v/>
      </c>
      <c r="J4710" s="46" t="str">
        <f>IF(INPUT!Q4705="","",INPUT!Q4705)</f>
        <v/>
      </c>
      <c r="K4710" s="46" t="str">
        <f>IFERROR(IF(OR(INPUT!P4705="",INPUT!Q4705=""),"",INPUT!P4705-INPUT!Q4705),"")</f>
        <v/>
      </c>
      <c r="L4710" s="48" t="str">
        <f>IFERROR(IF(OR(INPUT!P4705="",INPUT!Q4705="",INPUT!P4705=0),"",(INPUT!P4705-INPUT!Q4705)/INPUT!P4705),"")</f>
        <v/>
      </c>
    </row>
    <row r="4711" spans="1:12" ht="18" hidden="1" customHeight="1" x14ac:dyDescent="0.2">
      <c r="A4711" s="11" t="str">
        <f>IF(INPUT!M4706="","",INPUT!M4706)</f>
        <v/>
      </c>
      <c r="B4711" s="11" t="str">
        <f>IF(INPUT!M4706="","",INPUT!M4706-WEEKDAY(INPUT!M4706,2)+1)</f>
        <v/>
      </c>
      <c r="C4711" s="20">
        <f>IFERROR(_xlfn.ISOWEEKNUM(INPUT!M4706),"")</f>
        <v>52</v>
      </c>
      <c r="D4711" s="20">
        <f>IFERROR(YEAR(INPUT!M4706),"")</f>
        <v>1900</v>
      </c>
      <c r="E4711" t="str">
        <f>IF(INPUT!O4706="","",INPUT!O4706)</f>
        <v/>
      </c>
      <c r="F4711" t="str">
        <f>IF(INPUT!N4706="","",INPUT!N4706)</f>
        <v/>
      </c>
      <c r="G4711" cm="1">
        <f t="array" ref="G4711">IFERROR(VLOOKUP(INPUT!M4706&amp;INPUT!N4706,CHOOSE({1,2},INPUT!$A$3:$A$5000&amp;INPUT!$C$3:$C$5000,INPUT!$F$3:$F$5000),2,FALSE),"")</f>
        <v>0</v>
      </c>
      <c r="H4711" cm="1">
        <f t="array" ref="H4711">IFERROR(VLOOKUP(INPUT!M4706&amp;INPUT!N4706,CHOOSE({1,2},INPUT!$A$3:$A$5000&amp;INPUT!$C$3:$C$5000,INPUT!$D$3:$D$5000),2,FALSE),"")</f>
        <v>0</v>
      </c>
      <c r="I4711" s="46" t="str">
        <f>IF(INPUT!P4706="","",INPUT!P4706)</f>
        <v/>
      </c>
      <c r="J4711" s="46" t="str">
        <f>IF(INPUT!Q4706="","",INPUT!Q4706)</f>
        <v/>
      </c>
      <c r="K4711" s="46" t="str">
        <f>IFERROR(IF(OR(INPUT!P4706="",INPUT!Q4706=""),"",INPUT!P4706-INPUT!Q4706),"")</f>
        <v/>
      </c>
      <c r="L4711" s="48" t="str">
        <f>IFERROR(IF(OR(INPUT!P4706="",INPUT!Q4706="",INPUT!P4706=0),"",(INPUT!P4706-INPUT!Q4706)/INPUT!P4706),"")</f>
        <v/>
      </c>
    </row>
    <row r="4712" spans="1:12" ht="18" hidden="1" customHeight="1" x14ac:dyDescent="0.2">
      <c r="A4712" s="11" t="str">
        <f>IF(INPUT!M4707="","",INPUT!M4707)</f>
        <v/>
      </c>
      <c r="B4712" s="11" t="str">
        <f>IF(INPUT!M4707="","",INPUT!M4707-WEEKDAY(INPUT!M4707,2)+1)</f>
        <v/>
      </c>
      <c r="C4712" s="20">
        <f>IFERROR(_xlfn.ISOWEEKNUM(INPUT!M4707),"")</f>
        <v>52</v>
      </c>
      <c r="D4712" s="20">
        <f>IFERROR(YEAR(INPUT!M4707),"")</f>
        <v>1900</v>
      </c>
      <c r="E4712" t="str">
        <f>IF(INPUT!O4707="","",INPUT!O4707)</f>
        <v/>
      </c>
      <c r="F4712" t="str">
        <f>IF(INPUT!N4707="","",INPUT!N4707)</f>
        <v/>
      </c>
      <c r="G4712" cm="1">
        <f t="array" ref="G4712">IFERROR(VLOOKUP(INPUT!M4707&amp;INPUT!N4707,CHOOSE({1,2},INPUT!$A$3:$A$5000&amp;INPUT!$C$3:$C$5000,INPUT!$F$3:$F$5000),2,FALSE),"")</f>
        <v>0</v>
      </c>
      <c r="H4712" cm="1">
        <f t="array" ref="H4712">IFERROR(VLOOKUP(INPUT!M4707&amp;INPUT!N4707,CHOOSE({1,2},INPUT!$A$3:$A$5000&amp;INPUT!$C$3:$C$5000,INPUT!$D$3:$D$5000),2,FALSE),"")</f>
        <v>0</v>
      </c>
      <c r="I4712" s="46" t="str">
        <f>IF(INPUT!P4707="","",INPUT!P4707)</f>
        <v/>
      </c>
      <c r="J4712" s="46" t="str">
        <f>IF(INPUT!Q4707="","",INPUT!Q4707)</f>
        <v/>
      </c>
      <c r="K4712" s="46" t="str">
        <f>IFERROR(IF(OR(INPUT!P4707="",INPUT!Q4707=""),"",INPUT!P4707-INPUT!Q4707),"")</f>
        <v/>
      </c>
      <c r="L4712" s="48" t="str">
        <f>IFERROR(IF(OR(INPUT!P4707="",INPUT!Q4707="",INPUT!P4707=0),"",(INPUT!P4707-INPUT!Q4707)/INPUT!P4707),"")</f>
        <v/>
      </c>
    </row>
    <row r="4713" spans="1:12" ht="18" hidden="1" customHeight="1" x14ac:dyDescent="0.2">
      <c r="A4713" s="11" t="str">
        <f>IF(INPUT!M4708="","",INPUT!M4708)</f>
        <v/>
      </c>
      <c r="B4713" s="11" t="str">
        <f>IF(INPUT!M4708="","",INPUT!M4708-WEEKDAY(INPUT!M4708,2)+1)</f>
        <v/>
      </c>
      <c r="C4713" s="20">
        <f>IFERROR(_xlfn.ISOWEEKNUM(INPUT!M4708),"")</f>
        <v>52</v>
      </c>
      <c r="D4713" s="20">
        <f>IFERROR(YEAR(INPUT!M4708),"")</f>
        <v>1900</v>
      </c>
      <c r="E4713" t="str">
        <f>IF(INPUT!O4708="","",INPUT!O4708)</f>
        <v/>
      </c>
      <c r="F4713" t="str">
        <f>IF(INPUT!N4708="","",INPUT!N4708)</f>
        <v/>
      </c>
      <c r="G4713" cm="1">
        <f t="array" ref="G4713">IFERROR(VLOOKUP(INPUT!M4708&amp;INPUT!N4708,CHOOSE({1,2},INPUT!$A$3:$A$5000&amp;INPUT!$C$3:$C$5000,INPUT!$F$3:$F$5000),2,FALSE),"")</f>
        <v>0</v>
      </c>
      <c r="H4713" cm="1">
        <f t="array" ref="H4713">IFERROR(VLOOKUP(INPUT!M4708&amp;INPUT!N4708,CHOOSE({1,2},INPUT!$A$3:$A$5000&amp;INPUT!$C$3:$C$5000,INPUT!$D$3:$D$5000),2,FALSE),"")</f>
        <v>0</v>
      </c>
      <c r="I4713" s="46" t="str">
        <f>IF(INPUT!P4708="","",INPUT!P4708)</f>
        <v/>
      </c>
      <c r="J4713" s="46" t="str">
        <f>IF(INPUT!Q4708="","",INPUT!Q4708)</f>
        <v/>
      </c>
      <c r="K4713" s="46" t="str">
        <f>IFERROR(IF(OR(INPUT!P4708="",INPUT!Q4708=""),"",INPUT!P4708-INPUT!Q4708),"")</f>
        <v/>
      </c>
      <c r="L4713" s="48" t="str">
        <f>IFERROR(IF(OR(INPUT!P4708="",INPUT!Q4708="",INPUT!P4708=0),"",(INPUT!P4708-INPUT!Q4708)/INPUT!P4708),"")</f>
        <v/>
      </c>
    </row>
    <row r="4714" spans="1:12" ht="18" hidden="1" customHeight="1" x14ac:dyDescent="0.2">
      <c r="A4714" s="11" t="str">
        <f>IF(INPUT!M4709="","",INPUT!M4709)</f>
        <v/>
      </c>
      <c r="B4714" s="11" t="str">
        <f>IF(INPUT!M4709="","",INPUT!M4709-WEEKDAY(INPUT!M4709,2)+1)</f>
        <v/>
      </c>
      <c r="C4714" s="20">
        <f>IFERROR(_xlfn.ISOWEEKNUM(INPUT!M4709),"")</f>
        <v>52</v>
      </c>
      <c r="D4714" s="20">
        <f>IFERROR(YEAR(INPUT!M4709),"")</f>
        <v>1900</v>
      </c>
      <c r="E4714" t="str">
        <f>IF(INPUT!O4709="","",INPUT!O4709)</f>
        <v/>
      </c>
      <c r="F4714" t="str">
        <f>IF(INPUT!N4709="","",INPUT!N4709)</f>
        <v/>
      </c>
      <c r="G4714" cm="1">
        <f t="array" ref="G4714">IFERROR(VLOOKUP(INPUT!M4709&amp;INPUT!N4709,CHOOSE({1,2},INPUT!$A$3:$A$5000&amp;INPUT!$C$3:$C$5000,INPUT!$F$3:$F$5000),2,FALSE),"")</f>
        <v>0</v>
      </c>
      <c r="H4714" cm="1">
        <f t="array" ref="H4714">IFERROR(VLOOKUP(INPUT!M4709&amp;INPUT!N4709,CHOOSE({1,2},INPUT!$A$3:$A$5000&amp;INPUT!$C$3:$C$5000,INPUT!$D$3:$D$5000),2,FALSE),"")</f>
        <v>0</v>
      </c>
      <c r="I4714" s="46" t="str">
        <f>IF(INPUT!P4709="","",INPUT!P4709)</f>
        <v/>
      </c>
      <c r="J4714" s="46" t="str">
        <f>IF(INPUT!Q4709="","",INPUT!Q4709)</f>
        <v/>
      </c>
      <c r="K4714" s="46" t="str">
        <f>IFERROR(IF(OR(INPUT!P4709="",INPUT!Q4709=""),"",INPUT!P4709-INPUT!Q4709),"")</f>
        <v/>
      </c>
      <c r="L4714" s="48" t="str">
        <f>IFERROR(IF(OR(INPUT!P4709="",INPUT!Q4709="",INPUT!P4709=0),"",(INPUT!P4709-INPUT!Q4709)/INPUT!P4709),"")</f>
        <v/>
      </c>
    </row>
    <row r="4715" spans="1:12" ht="18" hidden="1" customHeight="1" x14ac:dyDescent="0.2">
      <c r="A4715" s="11" t="str">
        <f>IF(INPUT!M4710="","",INPUT!M4710)</f>
        <v/>
      </c>
      <c r="B4715" s="11" t="str">
        <f>IF(INPUT!M4710="","",INPUT!M4710-WEEKDAY(INPUT!M4710,2)+1)</f>
        <v/>
      </c>
      <c r="C4715" s="20">
        <f>IFERROR(_xlfn.ISOWEEKNUM(INPUT!M4710),"")</f>
        <v>52</v>
      </c>
      <c r="D4715" s="20">
        <f>IFERROR(YEAR(INPUT!M4710),"")</f>
        <v>1900</v>
      </c>
      <c r="E4715" t="str">
        <f>IF(INPUT!O4710="","",INPUT!O4710)</f>
        <v/>
      </c>
      <c r="F4715" t="str">
        <f>IF(INPUT!N4710="","",INPUT!N4710)</f>
        <v/>
      </c>
      <c r="G4715" cm="1">
        <f t="array" ref="G4715">IFERROR(VLOOKUP(INPUT!M4710&amp;INPUT!N4710,CHOOSE({1,2},INPUT!$A$3:$A$5000&amp;INPUT!$C$3:$C$5000,INPUT!$F$3:$F$5000),2,FALSE),"")</f>
        <v>0</v>
      </c>
      <c r="H4715" cm="1">
        <f t="array" ref="H4715">IFERROR(VLOOKUP(INPUT!M4710&amp;INPUT!N4710,CHOOSE({1,2},INPUT!$A$3:$A$5000&amp;INPUT!$C$3:$C$5000,INPUT!$D$3:$D$5000),2,FALSE),"")</f>
        <v>0</v>
      </c>
      <c r="I4715" s="46" t="str">
        <f>IF(INPUT!P4710="","",INPUT!P4710)</f>
        <v/>
      </c>
      <c r="J4715" s="46" t="str">
        <f>IF(INPUT!Q4710="","",INPUT!Q4710)</f>
        <v/>
      </c>
      <c r="K4715" s="46" t="str">
        <f>IFERROR(IF(OR(INPUT!P4710="",INPUT!Q4710=""),"",INPUT!P4710-INPUT!Q4710),"")</f>
        <v/>
      </c>
      <c r="L4715" s="48" t="str">
        <f>IFERROR(IF(OR(INPUT!P4710="",INPUT!Q4710="",INPUT!P4710=0),"",(INPUT!P4710-INPUT!Q4710)/INPUT!P4710),"")</f>
        <v/>
      </c>
    </row>
    <row r="4716" spans="1:12" ht="18" hidden="1" customHeight="1" x14ac:dyDescent="0.2">
      <c r="A4716" s="11" t="str">
        <f>IF(INPUT!M4711="","",INPUT!M4711)</f>
        <v/>
      </c>
      <c r="B4716" s="11" t="str">
        <f>IF(INPUT!M4711="","",INPUT!M4711-WEEKDAY(INPUT!M4711,2)+1)</f>
        <v/>
      </c>
      <c r="C4716" s="20">
        <f>IFERROR(_xlfn.ISOWEEKNUM(INPUT!M4711),"")</f>
        <v>52</v>
      </c>
      <c r="D4716" s="20">
        <f>IFERROR(YEAR(INPUT!M4711),"")</f>
        <v>1900</v>
      </c>
      <c r="E4716" t="str">
        <f>IF(INPUT!O4711="","",INPUT!O4711)</f>
        <v/>
      </c>
      <c r="F4716" t="str">
        <f>IF(INPUT!N4711="","",INPUT!N4711)</f>
        <v/>
      </c>
      <c r="G4716" cm="1">
        <f t="array" ref="G4716">IFERROR(VLOOKUP(INPUT!M4711&amp;INPUT!N4711,CHOOSE({1,2},INPUT!$A$3:$A$5000&amp;INPUT!$C$3:$C$5000,INPUT!$F$3:$F$5000),2,FALSE),"")</f>
        <v>0</v>
      </c>
      <c r="H4716" cm="1">
        <f t="array" ref="H4716">IFERROR(VLOOKUP(INPUT!M4711&amp;INPUT!N4711,CHOOSE({1,2},INPUT!$A$3:$A$5000&amp;INPUT!$C$3:$C$5000,INPUT!$D$3:$D$5000),2,FALSE),"")</f>
        <v>0</v>
      </c>
      <c r="I4716" s="46" t="str">
        <f>IF(INPUT!P4711="","",INPUT!P4711)</f>
        <v/>
      </c>
      <c r="J4716" s="46" t="str">
        <f>IF(INPUT!Q4711="","",INPUT!Q4711)</f>
        <v/>
      </c>
      <c r="K4716" s="46" t="str">
        <f>IFERROR(IF(OR(INPUT!P4711="",INPUT!Q4711=""),"",INPUT!P4711-INPUT!Q4711),"")</f>
        <v/>
      </c>
      <c r="L4716" s="48" t="str">
        <f>IFERROR(IF(OR(INPUT!P4711="",INPUT!Q4711="",INPUT!P4711=0),"",(INPUT!P4711-INPUT!Q4711)/INPUT!P4711),"")</f>
        <v/>
      </c>
    </row>
    <row r="4717" spans="1:12" ht="18" hidden="1" customHeight="1" x14ac:dyDescent="0.2">
      <c r="A4717" s="11" t="str">
        <f>IF(INPUT!M4712="","",INPUT!M4712)</f>
        <v/>
      </c>
      <c r="B4717" s="11" t="str">
        <f>IF(INPUT!M4712="","",INPUT!M4712-WEEKDAY(INPUT!M4712,2)+1)</f>
        <v/>
      </c>
      <c r="C4717" s="20">
        <f>IFERROR(_xlfn.ISOWEEKNUM(INPUT!M4712),"")</f>
        <v>52</v>
      </c>
      <c r="D4717" s="20">
        <f>IFERROR(YEAR(INPUT!M4712),"")</f>
        <v>1900</v>
      </c>
      <c r="E4717" t="str">
        <f>IF(INPUT!O4712="","",INPUT!O4712)</f>
        <v/>
      </c>
      <c r="F4717" t="str">
        <f>IF(INPUT!N4712="","",INPUT!N4712)</f>
        <v/>
      </c>
      <c r="G4717" cm="1">
        <f t="array" ref="G4717">IFERROR(VLOOKUP(INPUT!M4712&amp;INPUT!N4712,CHOOSE({1,2},INPUT!$A$3:$A$5000&amp;INPUT!$C$3:$C$5000,INPUT!$F$3:$F$5000),2,FALSE),"")</f>
        <v>0</v>
      </c>
      <c r="H4717" cm="1">
        <f t="array" ref="H4717">IFERROR(VLOOKUP(INPUT!M4712&amp;INPUT!N4712,CHOOSE({1,2},INPUT!$A$3:$A$5000&amp;INPUT!$C$3:$C$5000,INPUT!$D$3:$D$5000),2,FALSE),"")</f>
        <v>0</v>
      </c>
      <c r="I4717" s="46" t="str">
        <f>IF(INPUT!P4712="","",INPUT!P4712)</f>
        <v/>
      </c>
      <c r="J4717" s="46" t="str">
        <f>IF(INPUT!Q4712="","",INPUT!Q4712)</f>
        <v/>
      </c>
      <c r="K4717" s="46" t="str">
        <f>IFERROR(IF(OR(INPUT!P4712="",INPUT!Q4712=""),"",INPUT!P4712-INPUT!Q4712),"")</f>
        <v/>
      </c>
      <c r="L4717" s="48" t="str">
        <f>IFERROR(IF(OR(INPUT!P4712="",INPUT!Q4712="",INPUT!P4712=0),"",(INPUT!P4712-INPUT!Q4712)/INPUT!P4712),"")</f>
        <v/>
      </c>
    </row>
    <row r="4718" spans="1:12" ht="18" hidden="1" customHeight="1" x14ac:dyDescent="0.2">
      <c r="A4718" s="11" t="str">
        <f>IF(INPUT!M4713="","",INPUT!M4713)</f>
        <v/>
      </c>
      <c r="B4718" s="11" t="str">
        <f>IF(INPUT!M4713="","",INPUT!M4713-WEEKDAY(INPUT!M4713,2)+1)</f>
        <v/>
      </c>
      <c r="C4718" s="20">
        <f>IFERROR(_xlfn.ISOWEEKNUM(INPUT!M4713),"")</f>
        <v>52</v>
      </c>
      <c r="D4718" s="20">
        <f>IFERROR(YEAR(INPUT!M4713),"")</f>
        <v>1900</v>
      </c>
      <c r="E4718" t="str">
        <f>IF(INPUT!O4713="","",INPUT!O4713)</f>
        <v/>
      </c>
      <c r="F4718" t="str">
        <f>IF(INPUT!N4713="","",INPUT!N4713)</f>
        <v/>
      </c>
      <c r="G4718" cm="1">
        <f t="array" ref="G4718">IFERROR(VLOOKUP(INPUT!M4713&amp;INPUT!N4713,CHOOSE({1,2},INPUT!$A$3:$A$5000&amp;INPUT!$C$3:$C$5000,INPUT!$F$3:$F$5000),2,FALSE),"")</f>
        <v>0</v>
      </c>
      <c r="H4718" cm="1">
        <f t="array" ref="H4718">IFERROR(VLOOKUP(INPUT!M4713&amp;INPUT!N4713,CHOOSE({1,2},INPUT!$A$3:$A$5000&amp;INPUT!$C$3:$C$5000,INPUT!$D$3:$D$5000),2,FALSE),"")</f>
        <v>0</v>
      </c>
      <c r="I4718" s="46" t="str">
        <f>IF(INPUT!P4713="","",INPUT!P4713)</f>
        <v/>
      </c>
      <c r="J4718" s="46" t="str">
        <f>IF(INPUT!Q4713="","",INPUT!Q4713)</f>
        <v/>
      </c>
      <c r="K4718" s="46" t="str">
        <f>IFERROR(IF(OR(INPUT!P4713="",INPUT!Q4713=""),"",INPUT!P4713-INPUT!Q4713),"")</f>
        <v/>
      </c>
      <c r="L4718" s="48" t="str">
        <f>IFERROR(IF(OR(INPUT!P4713="",INPUT!Q4713="",INPUT!P4713=0),"",(INPUT!P4713-INPUT!Q4713)/INPUT!P4713),"")</f>
        <v/>
      </c>
    </row>
    <row r="4719" spans="1:12" ht="18" hidden="1" customHeight="1" x14ac:dyDescent="0.2">
      <c r="A4719" s="11" t="str">
        <f>IF(INPUT!M4714="","",INPUT!M4714)</f>
        <v/>
      </c>
      <c r="B4719" s="11" t="str">
        <f>IF(INPUT!M4714="","",INPUT!M4714-WEEKDAY(INPUT!M4714,2)+1)</f>
        <v/>
      </c>
      <c r="C4719" s="20">
        <f>IFERROR(_xlfn.ISOWEEKNUM(INPUT!M4714),"")</f>
        <v>52</v>
      </c>
      <c r="D4719" s="20">
        <f>IFERROR(YEAR(INPUT!M4714),"")</f>
        <v>1900</v>
      </c>
      <c r="E4719" t="str">
        <f>IF(INPUT!O4714="","",INPUT!O4714)</f>
        <v/>
      </c>
      <c r="F4719" t="str">
        <f>IF(INPUT!N4714="","",INPUT!N4714)</f>
        <v/>
      </c>
      <c r="G4719" cm="1">
        <f t="array" ref="G4719">IFERROR(VLOOKUP(INPUT!M4714&amp;INPUT!N4714,CHOOSE({1,2},INPUT!$A$3:$A$5000&amp;INPUT!$C$3:$C$5000,INPUT!$F$3:$F$5000),2,FALSE),"")</f>
        <v>0</v>
      </c>
      <c r="H4719" cm="1">
        <f t="array" ref="H4719">IFERROR(VLOOKUP(INPUT!M4714&amp;INPUT!N4714,CHOOSE({1,2},INPUT!$A$3:$A$5000&amp;INPUT!$C$3:$C$5000,INPUT!$D$3:$D$5000),2,FALSE),"")</f>
        <v>0</v>
      </c>
      <c r="I4719" s="46" t="str">
        <f>IF(INPUT!P4714="","",INPUT!P4714)</f>
        <v/>
      </c>
      <c r="J4719" s="46" t="str">
        <f>IF(INPUT!Q4714="","",INPUT!Q4714)</f>
        <v/>
      </c>
      <c r="K4719" s="46" t="str">
        <f>IFERROR(IF(OR(INPUT!P4714="",INPUT!Q4714=""),"",INPUT!P4714-INPUT!Q4714),"")</f>
        <v/>
      </c>
      <c r="L4719" s="48" t="str">
        <f>IFERROR(IF(OR(INPUT!P4714="",INPUT!Q4714="",INPUT!P4714=0),"",(INPUT!P4714-INPUT!Q4714)/INPUT!P4714),"")</f>
        <v/>
      </c>
    </row>
    <row r="4720" spans="1:12" ht="18" hidden="1" customHeight="1" x14ac:dyDescent="0.2">
      <c r="A4720" s="11" t="str">
        <f>IF(INPUT!M4715="","",INPUT!M4715)</f>
        <v/>
      </c>
      <c r="B4720" s="11" t="str">
        <f>IF(INPUT!M4715="","",INPUT!M4715-WEEKDAY(INPUT!M4715,2)+1)</f>
        <v/>
      </c>
      <c r="C4720" s="20">
        <f>IFERROR(_xlfn.ISOWEEKNUM(INPUT!M4715),"")</f>
        <v>52</v>
      </c>
      <c r="D4720" s="20">
        <f>IFERROR(YEAR(INPUT!M4715),"")</f>
        <v>1900</v>
      </c>
      <c r="E4720" t="str">
        <f>IF(INPUT!O4715="","",INPUT!O4715)</f>
        <v/>
      </c>
      <c r="F4720" t="str">
        <f>IF(INPUT!N4715="","",INPUT!N4715)</f>
        <v/>
      </c>
      <c r="G4720" cm="1">
        <f t="array" ref="G4720">IFERROR(VLOOKUP(INPUT!M4715&amp;INPUT!N4715,CHOOSE({1,2},INPUT!$A$3:$A$5000&amp;INPUT!$C$3:$C$5000,INPUT!$F$3:$F$5000),2,FALSE),"")</f>
        <v>0</v>
      </c>
      <c r="H4720" cm="1">
        <f t="array" ref="H4720">IFERROR(VLOOKUP(INPUT!M4715&amp;INPUT!N4715,CHOOSE({1,2},INPUT!$A$3:$A$5000&amp;INPUT!$C$3:$C$5000,INPUT!$D$3:$D$5000),2,FALSE),"")</f>
        <v>0</v>
      </c>
      <c r="I4720" s="46" t="str">
        <f>IF(INPUT!P4715="","",INPUT!P4715)</f>
        <v/>
      </c>
      <c r="J4720" s="46" t="str">
        <f>IF(INPUT!Q4715="","",INPUT!Q4715)</f>
        <v/>
      </c>
      <c r="K4720" s="46" t="str">
        <f>IFERROR(IF(OR(INPUT!P4715="",INPUT!Q4715=""),"",INPUT!P4715-INPUT!Q4715),"")</f>
        <v/>
      </c>
      <c r="L4720" s="48" t="str">
        <f>IFERROR(IF(OR(INPUT!P4715="",INPUT!Q4715="",INPUT!P4715=0),"",(INPUT!P4715-INPUT!Q4715)/INPUT!P4715),"")</f>
        <v/>
      </c>
    </row>
    <row r="4721" spans="1:12" ht="18" hidden="1" customHeight="1" x14ac:dyDescent="0.2">
      <c r="A4721" s="11" t="str">
        <f>IF(INPUT!M4716="","",INPUT!M4716)</f>
        <v/>
      </c>
      <c r="B4721" s="11" t="str">
        <f>IF(INPUT!M4716="","",INPUT!M4716-WEEKDAY(INPUT!M4716,2)+1)</f>
        <v/>
      </c>
      <c r="C4721" s="20">
        <f>IFERROR(_xlfn.ISOWEEKNUM(INPUT!M4716),"")</f>
        <v>52</v>
      </c>
      <c r="D4721" s="20">
        <f>IFERROR(YEAR(INPUT!M4716),"")</f>
        <v>1900</v>
      </c>
      <c r="E4721" t="str">
        <f>IF(INPUT!O4716="","",INPUT!O4716)</f>
        <v/>
      </c>
      <c r="F4721" t="str">
        <f>IF(INPUT!N4716="","",INPUT!N4716)</f>
        <v/>
      </c>
      <c r="G4721" cm="1">
        <f t="array" ref="G4721">IFERROR(VLOOKUP(INPUT!M4716&amp;INPUT!N4716,CHOOSE({1,2},INPUT!$A$3:$A$5000&amp;INPUT!$C$3:$C$5000,INPUT!$F$3:$F$5000),2,FALSE),"")</f>
        <v>0</v>
      </c>
      <c r="H4721" cm="1">
        <f t="array" ref="H4721">IFERROR(VLOOKUP(INPUT!M4716&amp;INPUT!N4716,CHOOSE({1,2},INPUT!$A$3:$A$5000&amp;INPUT!$C$3:$C$5000,INPUT!$D$3:$D$5000),2,FALSE),"")</f>
        <v>0</v>
      </c>
      <c r="I4721" s="46" t="str">
        <f>IF(INPUT!P4716="","",INPUT!P4716)</f>
        <v/>
      </c>
      <c r="J4721" s="46" t="str">
        <f>IF(INPUT!Q4716="","",INPUT!Q4716)</f>
        <v/>
      </c>
      <c r="K4721" s="46" t="str">
        <f>IFERROR(IF(OR(INPUT!P4716="",INPUT!Q4716=""),"",INPUT!P4716-INPUT!Q4716),"")</f>
        <v/>
      </c>
      <c r="L4721" s="48" t="str">
        <f>IFERROR(IF(OR(INPUT!P4716="",INPUT!Q4716="",INPUT!P4716=0),"",(INPUT!P4716-INPUT!Q4716)/INPUT!P4716),"")</f>
        <v/>
      </c>
    </row>
    <row r="4722" spans="1:12" ht="18" hidden="1" customHeight="1" x14ac:dyDescent="0.2">
      <c r="A4722" s="11" t="str">
        <f>IF(INPUT!M4717="","",INPUT!M4717)</f>
        <v/>
      </c>
      <c r="B4722" s="11" t="str">
        <f>IF(INPUT!M4717="","",INPUT!M4717-WEEKDAY(INPUT!M4717,2)+1)</f>
        <v/>
      </c>
      <c r="C4722" s="20">
        <f>IFERROR(_xlfn.ISOWEEKNUM(INPUT!M4717),"")</f>
        <v>52</v>
      </c>
      <c r="D4722" s="20">
        <f>IFERROR(YEAR(INPUT!M4717),"")</f>
        <v>1900</v>
      </c>
      <c r="E4722" t="str">
        <f>IF(INPUT!O4717="","",INPUT!O4717)</f>
        <v/>
      </c>
      <c r="F4722" t="str">
        <f>IF(INPUT!N4717="","",INPUT!N4717)</f>
        <v/>
      </c>
      <c r="G4722" cm="1">
        <f t="array" ref="G4722">IFERROR(VLOOKUP(INPUT!M4717&amp;INPUT!N4717,CHOOSE({1,2},INPUT!$A$3:$A$5000&amp;INPUT!$C$3:$C$5000,INPUT!$F$3:$F$5000),2,FALSE),"")</f>
        <v>0</v>
      </c>
      <c r="H4722" cm="1">
        <f t="array" ref="H4722">IFERROR(VLOOKUP(INPUT!M4717&amp;INPUT!N4717,CHOOSE({1,2},INPUT!$A$3:$A$5000&amp;INPUT!$C$3:$C$5000,INPUT!$D$3:$D$5000),2,FALSE),"")</f>
        <v>0</v>
      </c>
      <c r="I4722" s="46" t="str">
        <f>IF(INPUT!P4717="","",INPUT!P4717)</f>
        <v/>
      </c>
      <c r="J4722" s="46" t="str">
        <f>IF(INPUT!Q4717="","",INPUT!Q4717)</f>
        <v/>
      </c>
      <c r="K4722" s="46" t="str">
        <f>IFERROR(IF(OR(INPUT!P4717="",INPUT!Q4717=""),"",INPUT!P4717-INPUT!Q4717),"")</f>
        <v/>
      </c>
      <c r="L4722" s="48" t="str">
        <f>IFERROR(IF(OR(INPUT!P4717="",INPUT!Q4717="",INPUT!P4717=0),"",(INPUT!P4717-INPUT!Q4717)/INPUT!P4717),"")</f>
        <v/>
      </c>
    </row>
    <row r="4723" spans="1:12" ht="18" hidden="1" customHeight="1" x14ac:dyDescent="0.2">
      <c r="A4723" s="11" t="str">
        <f>IF(INPUT!M4718="","",INPUT!M4718)</f>
        <v/>
      </c>
      <c r="B4723" s="11" t="str">
        <f>IF(INPUT!M4718="","",INPUT!M4718-WEEKDAY(INPUT!M4718,2)+1)</f>
        <v/>
      </c>
      <c r="C4723" s="20">
        <f>IFERROR(_xlfn.ISOWEEKNUM(INPUT!M4718),"")</f>
        <v>52</v>
      </c>
      <c r="D4723" s="20">
        <f>IFERROR(YEAR(INPUT!M4718),"")</f>
        <v>1900</v>
      </c>
      <c r="E4723" t="str">
        <f>IF(INPUT!O4718="","",INPUT!O4718)</f>
        <v/>
      </c>
      <c r="F4723" t="str">
        <f>IF(INPUT!N4718="","",INPUT!N4718)</f>
        <v/>
      </c>
      <c r="G4723" cm="1">
        <f t="array" ref="G4723">IFERROR(VLOOKUP(INPUT!M4718&amp;INPUT!N4718,CHOOSE({1,2},INPUT!$A$3:$A$5000&amp;INPUT!$C$3:$C$5000,INPUT!$F$3:$F$5000),2,FALSE),"")</f>
        <v>0</v>
      </c>
      <c r="H4723" cm="1">
        <f t="array" ref="H4723">IFERROR(VLOOKUP(INPUT!M4718&amp;INPUT!N4718,CHOOSE({1,2},INPUT!$A$3:$A$5000&amp;INPUT!$C$3:$C$5000,INPUT!$D$3:$D$5000),2,FALSE),"")</f>
        <v>0</v>
      </c>
      <c r="I4723" s="46" t="str">
        <f>IF(INPUT!P4718="","",INPUT!P4718)</f>
        <v/>
      </c>
      <c r="J4723" s="46" t="str">
        <f>IF(INPUT!Q4718="","",INPUT!Q4718)</f>
        <v/>
      </c>
      <c r="K4723" s="46" t="str">
        <f>IFERROR(IF(OR(INPUT!P4718="",INPUT!Q4718=""),"",INPUT!P4718-INPUT!Q4718),"")</f>
        <v/>
      </c>
      <c r="L4723" s="48" t="str">
        <f>IFERROR(IF(OR(INPUT!P4718="",INPUT!Q4718="",INPUT!P4718=0),"",(INPUT!P4718-INPUT!Q4718)/INPUT!P4718),"")</f>
        <v/>
      </c>
    </row>
    <row r="4724" spans="1:12" ht="18" hidden="1" customHeight="1" x14ac:dyDescent="0.2">
      <c r="A4724" s="11" t="str">
        <f>IF(INPUT!M4719="","",INPUT!M4719)</f>
        <v/>
      </c>
      <c r="B4724" s="11" t="str">
        <f>IF(INPUT!M4719="","",INPUT!M4719-WEEKDAY(INPUT!M4719,2)+1)</f>
        <v/>
      </c>
      <c r="C4724" s="20">
        <f>IFERROR(_xlfn.ISOWEEKNUM(INPUT!M4719),"")</f>
        <v>52</v>
      </c>
      <c r="D4724" s="20">
        <f>IFERROR(YEAR(INPUT!M4719),"")</f>
        <v>1900</v>
      </c>
      <c r="E4724" t="str">
        <f>IF(INPUT!O4719="","",INPUT!O4719)</f>
        <v/>
      </c>
      <c r="F4724" t="str">
        <f>IF(INPUT!N4719="","",INPUT!N4719)</f>
        <v/>
      </c>
      <c r="G4724" cm="1">
        <f t="array" ref="G4724">IFERROR(VLOOKUP(INPUT!M4719&amp;INPUT!N4719,CHOOSE({1,2},INPUT!$A$3:$A$5000&amp;INPUT!$C$3:$C$5000,INPUT!$F$3:$F$5000),2,FALSE),"")</f>
        <v>0</v>
      </c>
      <c r="H4724" cm="1">
        <f t="array" ref="H4724">IFERROR(VLOOKUP(INPUT!M4719&amp;INPUT!N4719,CHOOSE({1,2},INPUT!$A$3:$A$5000&amp;INPUT!$C$3:$C$5000,INPUT!$D$3:$D$5000),2,FALSE),"")</f>
        <v>0</v>
      </c>
      <c r="I4724" s="46" t="str">
        <f>IF(INPUT!P4719="","",INPUT!P4719)</f>
        <v/>
      </c>
      <c r="J4724" s="46" t="str">
        <f>IF(INPUT!Q4719="","",INPUT!Q4719)</f>
        <v/>
      </c>
      <c r="K4724" s="46" t="str">
        <f>IFERROR(IF(OR(INPUT!P4719="",INPUT!Q4719=""),"",INPUT!P4719-INPUT!Q4719),"")</f>
        <v/>
      </c>
      <c r="L4724" s="48" t="str">
        <f>IFERROR(IF(OR(INPUT!P4719="",INPUT!Q4719="",INPUT!P4719=0),"",(INPUT!P4719-INPUT!Q4719)/INPUT!P4719),"")</f>
        <v/>
      </c>
    </row>
    <row r="4725" spans="1:12" ht="18" hidden="1" customHeight="1" x14ac:dyDescent="0.2">
      <c r="A4725" s="11" t="str">
        <f>IF(INPUT!M4720="","",INPUT!M4720)</f>
        <v/>
      </c>
      <c r="B4725" s="11" t="str">
        <f>IF(INPUT!M4720="","",INPUT!M4720-WEEKDAY(INPUT!M4720,2)+1)</f>
        <v/>
      </c>
      <c r="C4725" s="20">
        <f>IFERROR(_xlfn.ISOWEEKNUM(INPUT!M4720),"")</f>
        <v>52</v>
      </c>
      <c r="D4725" s="20">
        <f>IFERROR(YEAR(INPUT!M4720),"")</f>
        <v>1900</v>
      </c>
      <c r="E4725" t="str">
        <f>IF(INPUT!O4720="","",INPUT!O4720)</f>
        <v/>
      </c>
      <c r="F4725" t="str">
        <f>IF(INPUT!N4720="","",INPUT!N4720)</f>
        <v/>
      </c>
      <c r="G4725" cm="1">
        <f t="array" ref="G4725">IFERROR(VLOOKUP(INPUT!M4720&amp;INPUT!N4720,CHOOSE({1,2},INPUT!$A$3:$A$5000&amp;INPUT!$C$3:$C$5000,INPUT!$F$3:$F$5000),2,FALSE),"")</f>
        <v>0</v>
      </c>
      <c r="H4725" cm="1">
        <f t="array" ref="H4725">IFERROR(VLOOKUP(INPUT!M4720&amp;INPUT!N4720,CHOOSE({1,2},INPUT!$A$3:$A$5000&amp;INPUT!$C$3:$C$5000,INPUT!$D$3:$D$5000),2,FALSE),"")</f>
        <v>0</v>
      </c>
      <c r="I4725" s="46" t="str">
        <f>IF(INPUT!P4720="","",INPUT!P4720)</f>
        <v/>
      </c>
      <c r="J4725" s="46" t="str">
        <f>IF(INPUT!Q4720="","",INPUT!Q4720)</f>
        <v/>
      </c>
      <c r="K4725" s="46" t="str">
        <f>IFERROR(IF(OR(INPUT!P4720="",INPUT!Q4720=""),"",INPUT!P4720-INPUT!Q4720),"")</f>
        <v/>
      </c>
      <c r="L4725" s="48" t="str">
        <f>IFERROR(IF(OR(INPUT!P4720="",INPUT!Q4720="",INPUT!P4720=0),"",(INPUT!P4720-INPUT!Q4720)/INPUT!P4720),"")</f>
        <v/>
      </c>
    </row>
    <row r="4726" spans="1:12" ht="18" hidden="1" customHeight="1" x14ac:dyDescent="0.2">
      <c r="A4726" s="11" t="str">
        <f>IF(INPUT!M4721="","",INPUT!M4721)</f>
        <v/>
      </c>
      <c r="B4726" s="11" t="str">
        <f>IF(INPUT!M4721="","",INPUT!M4721-WEEKDAY(INPUT!M4721,2)+1)</f>
        <v/>
      </c>
      <c r="C4726" s="20">
        <f>IFERROR(_xlfn.ISOWEEKNUM(INPUT!M4721),"")</f>
        <v>52</v>
      </c>
      <c r="D4726" s="20">
        <f>IFERROR(YEAR(INPUT!M4721),"")</f>
        <v>1900</v>
      </c>
      <c r="E4726" t="str">
        <f>IF(INPUT!O4721="","",INPUT!O4721)</f>
        <v/>
      </c>
      <c r="F4726" t="str">
        <f>IF(INPUT!N4721="","",INPUT!N4721)</f>
        <v/>
      </c>
      <c r="G4726" cm="1">
        <f t="array" ref="G4726">IFERROR(VLOOKUP(INPUT!M4721&amp;INPUT!N4721,CHOOSE({1,2},INPUT!$A$3:$A$5000&amp;INPUT!$C$3:$C$5000,INPUT!$F$3:$F$5000),2,FALSE),"")</f>
        <v>0</v>
      </c>
      <c r="H4726" cm="1">
        <f t="array" ref="H4726">IFERROR(VLOOKUP(INPUT!M4721&amp;INPUT!N4721,CHOOSE({1,2},INPUT!$A$3:$A$5000&amp;INPUT!$C$3:$C$5000,INPUT!$D$3:$D$5000),2,FALSE),"")</f>
        <v>0</v>
      </c>
      <c r="I4726" s="46" t="str">
        <f>IF(INPUT!P4721="","",INPUT!P4721)</f>
        <v/>
      </c>
      <c r="J4726" s="46" t="str">
        <f>IF(INPUT!Q4721="","",INPUT!Q4721)</f>
        <v/>
      </c>
      <c r="K4726" s="46" t="str">
        <f>IFERROR(IF(OR(INPUT!P4721="",INPUT!Q4721=""),"",INPUT!P4721-INPUT!Q4721),"")</f>
        <v/>
      </c>
      <c r="L4726" s="48" t="str">
        <f>IFERROR(IF(OR(INPUT!P4721="",INPUT!Q4721="",INPUT!P4721=0),"",(INPUT!P4721-INPUT!Q4721)/INPUT!P4721),"")</f>
        <v/>
      </c>
    </row>
    <row r="4727" spans="1:12" ht="18" hidden="1" customHeight="1" x14ac:dyDescent="0.2">
      <c r="A4727" s="11" t="str">
        <f>IF(INPUT!M4722="","",INPUT!M4722)</f>
        <v/>
      </c>
      <c r="B4727" s="11" t="str">
        <f>IF(INPUT!M4722="","",INPUT!M4722-WEEKDAY(INPUT!M4722,2)+1)</f>
        <v/>
      </c>
      <c r="C4727" s="20">
        <f>IFERROR(_xlfn.ISOWEEKNUM(INPUT!M4722),"")</f>
        <v>52</v>
      </c>
      <c r="D4727" s="20">
        <f>IFERROR(YEAR(INPUT!M4722),"")</f>
        <v>1900</v>
      </c>
      <c r="E4727" t="str">
        <f>IF(INPUT!O4722="","",INPUT!O4722)</f>
        <v/>
      </c>
      <c r="F4727" t="str">
        <f>IF(INPUT!N4722="","",INPUT!N4722)</f>
        <v/>
      </c>
      <c r="G4727" cm="1">
        <f t="array" ref="G4727">IFERROR(VLOOKUP(INPUT!M4722&amp;INPUT!N4722,CHOOSE({1,2},INPUT!$A$3:$A$5000&amp;INPUT!$C$3:$C$5000,INPUT!$F$3:$F$5000),2,FALSE),"")</f>
        <v>0</v>
      </c>
      <c r="H4727" cm="1">
        <f t="array" ref="H4727">IFERROR(VLOOKUP(INPUT!M4722&amp;INPUT!N4722,CHOOSE({1,2},INPUT!$A$3:$A$5000&amp;INPUT!$C$3:$C$5000,INPUT!$D$3:$D$5000),2,FALSE),"")</f>
        <v>0</v>
      </c>
      <c r="I4727" s="46" t="str">
        <f>IF(INPUT!P4722="","",INPUT!P4722)</f>
        <v/>
      </c>
      <c r="J4727" s="46" t="str">
        <f>IF(INPUT!Q4722="","",INPUT!Q4722)</f>
        <v/>
      </c>
      <c r="K4727" s="46" t="str">
        <f>IFERROR(IF(OR(INPUT!P4722="",INPUT!Q4722=""),"",INPUT!P4722-INPUT!Q4722),"")</f>
        <v/>
      </c>
      <c r="L4727" s="48" t="str">
        <f>IFERROR(IF(OR(INPUT!P4722="",INPUT!Q4722="",INPUT!P4722=0),"",(INPUT!P4722-INPUT!Q4722)/INPUT!P4722),"")</f>
        <v/>
      </c>
    </row>
    <row r="4728" spans="1:12" ht="18" hidden="1" customHeight="1" x14ac:dyDescent="0.2">
      <c r="A4728" s="11" t="str">
        <f>IF(INPUT!M4723="","",INPUT!M4723)</f>
        <v/>
      </c>
      <c r="B4728" s="11" t="str">
        <f>IF(INPUT!M4723="","",INPUT!M4723-WEEKDAY(INPUT!M4723,2)+1)</f>
        <v/>
      </c>
      <c r="C4728" s="20">
        <f>IFERROR(_xlfn.ISOWEEKNUM(INPUT!M4723),"")</f>
        <v>52</v>
      </c>
      <c r="D4728" s="20">
        <f>IFERROR(YEAR(INPUT!M4723),"")</f>
        <v>1900</v>
      </c>
      <c r="E4728" t="str">
        <f>IF(INPUT!O4723="","",INPUT!O4723)</f>
        <v/>
      </c>
      <c r="F4728" t="str">
        <f>IF(INPUT!N4723="","",INPUT!N4723)</f>
        <v/>
      </c>
      <c r="G4728" cm="1">
        <f t="array" ref="G4728">IFERROR(VLOOKUP(INPUT!M4723&amp;INPUT!N4723,CHOOSE({1,2},INPUT!$A$3:$A$5000&amp;INPUT!$C$3:$C$5000,INPUT!$F$3:$F$5000),2,FALSE),"")</f>
        <v>0</v>
      </c>
      <c r="H4728" cm="1">
        <f t="array" ref="H4728">IFERROR(VLOOKUP(INPUT!M4723&amp;INPUT!N4723,CHOOSE({1,2},INPUT!$A$3:$A$5000&amp;INPUT!$C$3:$C$5000,INPUT!$D$3:$D$5000),2,FALSE),"")</f>
        <v>0</v>
      </c>
      <c r="I4728" s="46" t="str">
        <f>IF(INPUT!P4723="","",INPUT!P4723)</f>
        <v/>
      </c>
      <c r="J4728" s="46" t="str">
        <f>IF(INPUT!Q4723="","",INPUT!Q4723)</f>
        <v/>
      </c>
      <c r="K4728" s="46" t="str">
        <f>IFERROR(IF(OR(INPUT!P4723="",INPUT!Q4723=""),"",INPUT!P4723-INPUT!Q4723),"")</f>
        <v/>
      </c>
      <c r="L4728" s="48" t="str">
        <f>IFERROR(IF(OR(INPUT!P4723="",INPUT!Q4723="",INPUT!P4723=0),"",(INPUT!P4723-INPUT!Q4723)/INPUT!P4723),"")</f>
        <v/>
      </c>
    </row>
    <row r="4729" spans="1:12" ht="18" hidden="1" customHeight="1" x14ac:dyDescent="0.2">
      <c r="A4729" s="11" t="str">
        <f>IF(INPUT!M4724="","",INPUT!M4724)</f>
        <v/>
      </c>
      <c r="B4729" s="11" t="str">
        <f>IF(INPUT!M4724="","",INPUT!M4724-WEEKDAY(INPUT!M4724,2)+1)</f>
        <v/>
      </c>
      <c r="C4729" s="20">
        <f>IFERROR(_xlfn.ISOWEEKNUM(INPUT!M4724),"")</f>
        <v>52</v>
      </c>
      <c r="D4729" s="20">
        <f>IFERROR(YEAR(INPUT!M4724),"")</f>
        <v>1900</v>
      </c>
      <c r="E4729" t="str">
        <f>IF(INPUT!O4724="","",INPUT!O4724)</f>
        <v/>
      </c>
      <c r="F4729" t="str">
        <f>IF(INPUT!N4724="","",INPUT!N4724)</f>
        <v/>
      </c>
      <c r="G4729" cm="1">
        <f t="array" ref="G4729">IFERROR(VLOOKUP(INPUT!M4724&amp;INPUT!N4724,CHOOSE({1,2},INPUT!$A$3:$A$5000&amp;INPUT!$C$3:$C$5000,INPUT!$F$3:$F$5000),2,FALSE),"")</f>
        <v>0</v>
      </c>
      <c r="H4729" cm="1">
        <f t="array" ref="H4729">IFERROR(VLOOKUP(INPUT!M4724&amp;INPUT!N4724,CHOOSE({1,2},INPUT!$A$3:$A$5000&amp;INPUT!$C$3:$C$5000,INPUT!$D$3:$D$5000),2,FALSE),"")</f>
        <v>0</v>
      </c>
      <c r="I4729" s="46" t="str">
        <f>IF(INPUT!P4724="","",INPUT!P4724)</f>
        <v/>
      </c>
      <c r="J4729" s="46" t="str">
        <f>IF(INPUT!Q4724="","",INPUT!Q4724)</f>
        <v/>
      </c>
      <c r="K4729" s="46" t="str">
        <f>IFERROR(IF(OR(INPUT!P4724="",INPUT!Q4724=""),"",INPUT!P4724-INPUT!Q4724),"")</f>
        <v/>
      </c>
      <c r="L4729" s="48" t="str">
        <f>IFERROR(IF(OR(INPUT!P4724="",INPUT!Q4724="",INPUT!P4724=0),"",(INPUT!P4724-INPUT!Q4724)/INPUT!P4724),"")</f>
        <v/>
      </c>
    </row>
    <row r="4730" spans="1:12" ht="18" hidden="1" customHeight="1" x14ac:dyDescent="0.2">
      <c r="A4730" s="11" t="str">
        <f>IF(INPUT!M4725="","",INPUT!M4725)</f>
        <v/>
      </c>
      <c r="B4730" s="11" t="str">
        <f>IF(INPUT!M4725="","",INPUT!M4725-WEEKDAY(INPUT!M4725,2)+1)</f>
        <v/>
      </c>
      <c r="C4730" s="20">
        <f>IFERROR(_xlfn.ISOWEEKNUM(INPUT!M4725),"")</f>
        <v>52</v>
      </c>
      <c r="D4730" s="20">
        <f>IFERROR(YEAR(INPUT!M4725),"")</f>
        <v>1900</v>
      </c>
      <c r="E4730" t="str">
        <f>IF(INPUT!O4725="","",INPUT!O4725)</f>
        <v/>
      </c>
      <c r="F4730" t="str">
        <f>IF(INPUT!N4725="","",INPUT!N4725)</f>
        <v/>
      </c>
      <c r="G4730" cm="1">
        <f t="array" ref="G4730">IFERROR(VLOOKUP(INPUT!M4725&amp;INPUT!N4725,CHOOSE({1,2},INPUT!$A$3:$A$5000&amp;INPUT!$C$3:$C$5000,INPUT!$F$3:$F$5000),2,FALSE),"")</f>
        <v>0</v>
      </c>
      <c r="H4730" cm="1">
        <f t="array" ref="H4730">IFERROR(VLOOKUP(INPUT!M4725&amp;INPUT!N4725,CHOOSE({1,2},INPUT!$A$3:$A$5000&amp;INPUT!$C$3:$C$5000,INPUT!$D$3:$D$5000),2,FALSE),"")</f>
        <v>0</v>
      </c>
      <c r="I4730" s="46" t="str">
        <f>IF(INPUT!P4725="","",INPUT!P4725)</f>
        <v/>
      </c>
      <c r="J4730" s="46" t="str">
        <f>IF(INPUT!Q4725="","",INPUT!Q4725)</f>
        <v/>
      </c>
      <c r="K4730" s="46" t="str">
        <f>IFERROR(IF(OR(INPUT!P4725="",INPUT!Q4725=""),"",INPUT!P4725-INPUT!Q4725),"")</f>
        <v/>
      </c>
      <c r="L4730" s="48" t="str">
        <f>IFERROR(IF(OR(INPUT!P4725="",INPUT!Q4725="",INPUT!P4725=0),"",(INPUT!P4725-INPUT!Q4725)/INPUT!P4725),"")</f>
        <v/>
      </c>
    </row>
    <row r="4731" spans="1:12" ht="18" hidden="1" customHeight="1" x14ac:dyDescent="0.2">
      <c r="A4731" s="11" t="str">
        <f>IF(INPUT!M4726="","",INPUT!M4726)</f>
        <v/>
      </c>
      <c r="B4731" s="11" t="str">
        <f>IF(INPUT!M4726="","",INPUT!M4726-WEEKDAY(INPUT!M4726,2)+1)</f>
        <v/>
      </c>
      <c r="C4731" s="20">
        <f>IFERROR(_xlfn.ISOWEEKNUM(INPUT!M4726),"")</f>
        <v>52</v>
      </c>
      <c r="D4731" s="20">
        <f>IFERROR(YEAR(INPUT!M4726),"")</f>
        <v>1900</v>
      </c>
      <c r="E4731" t="str">
        <f>IF(INPUT!O4726="","",INPUT!O4726)</f>
        <v/>
      </c>
      <c r="F4731" t="str">
        <f>IF(INPUT!N4726="","",INPUT!N4726)</f>
        <v/>
      </c>
      <c r="G4731" cm="1">
        <f t="array" ref="G4731">IFERROR(VLOOKUP(INPUT!M4726&amp;INPUT!N4726,CHOOSE({1,2},INPUT!$A$3:$A$5000&amp;INPUT!$C$3:$C$5000,INPUT!$F$3:$F$5000),2,FALSE),"")</f>
        <v>0</v>
      </c>
      <c r="H4731" cm="1">
        <f t="array" ref="H4731">IFERROR(VLOOKUP(INPUT!M4726&amp;INPUT!N4726,CHOOSE({1,2},INPUT!$A$3:$A$5000&amp;INPUT!$C$3:$C$5000,INPUT!$D$3:$D$5000),2,FALSE),"")</f>
        <v>0</v>
      </c>
      <c r="I4731" s="46" t="str">
        <f>IF(INPUT!P4726="","",INPUT!P4726)</f>
        <v/>
      </c>
      <c r="J4731" s="46" t="str">
        <f>IF(INPUT!Q4726="","",INPUT!Q4726)</f>
        <v/>
      </c>
      <c r="K4731" s="46" t="str">
        <f>IFERROR(IF(OR(INPUT!P4726="",INPUT!Q4726=""),"",INPUT!P4726-INPUT!Q4726),"")</f>
        <v/>
      </c>
      <c r="L4731" s="48" t="str">
        <f>IFERROR(IF(OR(INPUT!P4726="",INPUT!Q4726="",INPUT!P4726=0),"",(INPUT!P4726-INPUT!Q4726)/INPUT!P4726),"")</f>
        <v/>
      </c>
    </row>
    <row r="4732" spans="1:12" ht="18" hidden="1" customHeight="1" x14ac:dyDescent="0.2">
      <c r="A4732" s="11" t="str">
        <f>IF(INPUT!M4727="","",INPUT!M4727)</f>
        <v/>
      </c>
      <c r="B4732" s="11" t="str">
        <f>IF(INPUT!M4727="","",INPUT!M4727-WEEKDAY(INPUT!M4727,2)+1)</f>
        <v/>
      </c>
      <c r="C4732" s="20">
        <f>IFERROR(_xlfn.ISOWEEKNUM(INPUT!M4727),"")</f>
        <v>52</v>
      </c>
      <c r="D4732" s="20">
        <f>IFERROR(YEAR(INPUT!M4727),"")</f>
        <v>1900</v>
      </c>
      <c r="E4732" t="str">
        <f>IF(INPUT!O4727="","",INPUT!O4727)</f>
        <v/>
      </c>
      <c r="F4732" t="str">
        <f>IF(INPUT!N4727="","",INPUT!N4727)</f>
        <v/>
      </c>
      <c r="G4732" cm="1">
        <f t="array" ref="G4732">IFERROR(VLOOKUP(INPUT!M4727&amp;INPUT!N4727,CHOOSE({1,2},INPUT!$A$3:$A$5000&amp;INPUT!$C$3:$C$5000,INPUT!$F$3:$F$5000),2,FALSE),"")</f>
        <v>0</v>
      </c>
      <c r="H4732" cm="1">
        <f t="array" ref="H4732">IFERROR(VLOOKUP(INPUT!M4727&amp;INPUT!N4727,CHOOSE({1,2},INPUT!$A$3:$A$5000&amp;INPUT!$C$3:$C$5000,INPUT!$D$3:$D$5000),2,FALSE),"")</f>
        <v>0</v>
      </c>
      <c r="I4732" s="46" t="str">
        <f>IF(INPUT!P4727="","",INPUT!P4727)</f>
        <v/>
      </c>
      <c r="J4732" s="46" t="str">
        <f>IF(INPUT!Q4727="","",INPUT!Q4727)</f>
        <v/>
      </c>
      <c r="K4732" s="46" t="str">
        <f>IFERROR(IF(OR(INPUT!P4727="",INPUT!Q4727=""),"",INPUT!P4727-INPUT!Q4727),"")</f>
        <v/>
      </c>
      <c r="L4732" s="48" t="str">
        <f>IFERROR(IF(OR(INPUT!P4727="",INPUT!Q4727="",INPUT!P4727=0),"",(INPUT!P4727-INPUT!Q4727)/INPUT!P4727),"")</f>
        <v/>
      </c>
    </row>
    <row r="4733" spans="1:12" ht="18" hidden="1" customHeight="1" x14ac:dyDescent="0.2">
      <c r="A4733" s="11" t="str">
        <f>IF(INPUT!M4728="","",INPUT!M4728)</f>
        <v/>
      </c>
      <c r="B4733" s="11" t="str">
        <f>IF(INPUT!M4728="","",INPUT!M4728-WEEKDAY(INPUT!M4728,2)+1)</f>
        <v/>
      </c>
      <c r="C4733" s="20">
        <f>IFERROR(_xlfn.ISOWEEKNUM(INPUT!M4728),"")</f>
        <v>52</v>
      </c>
      <c r="D4733" s="20">
        <f>IFERROR(YEAR(INPUT!M4728),"")</f>
        <v>1900</v>
      </c>
      <c r="E4733" t="str">
        <f>IF(INPUT!O4728="","",INPUT!O4728)</f>
        <v/>
      </c>
      <c r="F4733" t="str">
        <f>IF(INPUT!N4728="","",INPUT!N4728)</f>
        <v/>
      </c>
      <c r="G4733" cm="1">
        <f t="array" ref="G4733">IFERROR(VLOOKUP(INPUT!M4728&amp;INPUT!N4728,CHOOSE({1,2},INPUT!$A$3:$A$5000&amp;INPUT!$C$3:$C$5000,INPUT!$F$3:$F$5000),2,FALSE),"")</f>
        <v>0</v>
      </c>
      <c r="H4733" cm="1">
        <f t="array" ref="H4733">IFERROR(VLOOKUP(INPUT!M4728&amp;INPUT!N4728,CHOOSE({1,2},INPUT!$A$3:$A$5000&amp;INPUT!$C$3:$C$5000,INPUT!$D$3:$D$5000),2,FALSE),"")</f>
        <v>0</v>
      </c>
      <c r="I4733" s="46" t="str">
        <f>IF(INPUT!P4728="","",INPUT!P4728)</f>
        <v/>
      </c>
      <c r="J4733" s="46" t="str">
        <f>IF(INPUT!Q4728="","",INPUT!Q4728)</f>
        <v/>
      </c>
      <c r="K4733" s="46" t="str">
        <f>IFERROR(IF(OR(INPUT!P4728="",INPUT!Q4728=""),"",INPUT!P4728-INPUT!Q4728),"")</f>
        <v/>
      </c>
      <c r="L4733" s="48" t="str">
        <f>IFERROR(IF(OR(INPUT!P4728="",INPUT!Q4728="",INPUT!P4728=0),"",(INPUT!P4728-INPUT!Q4728)/INPUT!P4728),"")</f>
        <v/>
      </c>
    </row>
    <row r="4734" spans="1:12" ht="18" hidden="1" customHeight="1" x14ac:dyDescent="0.2">
      <c r="A4734" s="11" t="str">
        <f>IF(INPUT!M4729="","",INPUT!M4729)</f>
        <v/>
      </c>
      <c r="B4734" s="11" t="str">
        <f>IF(INPUT!M4729="","",INPUT!M4729-WEEKDAY(INPUT!M4729,2)+1)</f>
        <v/>
      </c>
      <c r="C4734" s="20">
        <f>IFERROR(_xlfn.ISOWEEKNUM(INPUT!M4729),"")</f>
        <v>52</v>
      </c>
      <c r="D4734" s="20">
        <f>IFERROR(YEAR(INPUT!M4729),"")</f>
        <v>1900</v>
      </c>
      <c r="E4734" t="str">
        <f>IF(INPUT!O4729="","",INPUT!O4729)</f>
        <v/>
      </c>
      <c r="F4734" t="str">
        <f>IF(INPUT!N4729="","",INPUT!N4729)</f>
        <v/>
      </c>
      <c r="G4734" cm="1">
        <f t="array" ref="G4734">IFERROR(VLOOKUP(INPUT!M4729&amp;INPUT!N4729,CHOOSE({1,2},INPUT!$A$3:$A$5000&amp;INPUT!$C$3:$C$5000,INPUT!$F$3:$F$5000),2,FALSE),"")</f>
        <v>0</v>
      </c>
      <c r="H4734" cm="1">
        <f t="array" ref="H4734">IFERROR(VLOOKUP(INPUT!M4729&amp;INPUT!N4729,CHOOSE({1,2},INPUT!$A$3:$A$5000&amp;INPUT!$C$3:$C$5000,INPUT!$D$3:$D$5000),2,FALSE),"")</f>
        <v>0</v>
      </c>
      <c r="I4734" s="46" t="str">
        <f>IF(INPUT!P4729="","",INPUT!P4729)</f>
        <v/>
      </c>
      <c r="J4734" s="46" t="str">
        <f>IF(INPUT!Q4729="","",INPUT!Q4729)</f>
        <v/>
      </c>
      <c r="K4734" s="46" t="str">
        <f>IFERROR(IF(OR(INPUT!P4729="",INPUT!Q4729=""),"",INPUT!P4729-INPUT!Q4729),"")</f>
        <v/>
      </c>
      <c r="L4734" s="48" t="str">
        <f>IFERROR(IF(OR(INPUT!P4729="",INPUT!Q4729="",INPUT!P4729=0),"",(INPUT!P4729-INPUT!Q4729)/INPUT!P4729),"")</f>
        <v/>
      </c>
    </row>
    <row r="4735" spans="1:12" ht="18" hidden="1" customHeight="1" x14ac:dyDescent="0.2">
      <c r="A4735" s="11" t="str">
        <f>IF(INPUT!M4730="","",INPUT!M4730)</f>
        <v/>
      </c>
      <c r="B4735" s="11" t="str">
        <f>IF(INPUT!M4730="","",INPUT!M4730-WEEKDAY(INPUT!M4730,2)+1)</f>
        <v/>
      </c>
      <c r="C4735" s="20">
        <f>IFERROR(_xlfn.ISOWEEKNUM(INPUT!M4730),"")</f>
        <v>52</v>
      </c>
      <c r="D4735" s="20">
        <f>IFERROR(YEAR(INPUT!M4730),"")</f>
        <v>1900</v>
      </c>
      <c r="E4735" t="str">
        <f>IF(INPUT!O4730="","",INPUT!O4730)</f>
        <v/>
      </c>
      <c r="F4735" t="str">
        <f>IF(INPUT!N4730="","",INPUT!N4730)</f>
        <v/>
      </c>
      <c r="G4735" cm="1">
        <f t="array" ref="G4735">IFERROR(VLOOKUP(INPUT!M4730&amp;INPUT!N4730,CHOOSE({1,2},INPUT!$A$3:$A$5000&amp;INPUT!$C$3:$C$5000,INPUT!$F$3:$F$5000),2,FALSE),"")</f>
        <v>0</v>
      </c>
      <c r="H4735" cm="1">
        <f t="array" ref="H4735">IFERROR(VLOOKUP(INPUT!M4730&amp;INPUT!N4730,CHOOSE({1,2},INPUT!$A$3:$A$5000&amp;INPUT!$C$3:$C$5000,INPUT!$D$3:$D$5000),2,FALSE),"")</f>
        <v>0</v>
      </c>
      <c r="I4735" s="46" t="str">
        <f>IF(INPUT!P4730="","",INPUT!P4730)</f>
        <v/>
      </c>
      <c r="J4735" s="46" t="str">
        <f>IF(INPUT!Q4730="","",INPUT!Q4730)</f>
        <v/>
      </c>
      <c r="K4735" s="46" t="str">
        <f>IFERROR(IF(OR(INPUT!P4730="",INPUT!Q4730=""),"",INPUT!P4730-INPUT!Q4730),"")</f>
        <v/>
      </c>
      <c r="L4735" s="48" t="str">
        <f>IFERROR(IF(OR(INPUT!P4730="",INPUT!Q4730="",INPUT!P4730=0),"",(INPUT!P4730-INPUT!Q4730)/INPUT!P4730),"")</f>
        <v/>
      </c>
    </row>
    <row r="4736" spans="1:12" ht="18" hidden="1" customHeight="1" x14ac:dyDescent="0.2">
      <c r="A4736" s="11" t="str">
        <f>IF(INPUT!M4731="","",INPUT!M4731)</f>
        <v/>
      </c>
      <c r="B4736" s="11" t="str">
        <f>IF(INPUT!M4731="","",INPUT!M4731-WEEKDAY(INPUT!M4731,2)+1)</f>
        <v/>
      </c>
      <c r="C4736" s="20">
        <f>IFERROR(_xlfn.ISOWEEKNUM(INPUT!M4731),"")</f>
        <v>52</v>
      </c>
      <c r="D4736" s="20">
        <f>IFERROR(YEAR(INPUT!M4731),"")</f>
        <v>1900</v>
      </c>
      <c r="E4736" t="str">
        <f>IF(INPUT!O4731="","",INPUT!O4731)</f>
        <v/>
      </c>
      <c r="F4736" t="str">
        <f>IF(INPUT!N4731="","",INPUT!N4731)</f>
        <v/>
      </c>
      <c r="G4736" cm="1">
        <f t="array" ref="G4736">IFERROR(VLOOKUP(INPUT!M4731&amp;INPUT!N4731,CHOOSE({1,2},INPUT!$A$3:$A$5000&amp;INPUT!$C$3:$C$5000,INPUT!$F$3:$F$5000),2,FALSE),"")</f>
        <v>0</v>
      </c>
      <c r="H4736" cm="1">
        <f t="array" ref="H4736">IFERROR(VLOOKUP(INPUT!M4731&amp;INPUT!N4731,CHOOSE({1,2},INPUT!$A$3:$A$5000&amp;INPUT!$C$3:$C$5000,INPUT!$D$3:$D$5000),2,FALSE),"")</f>
        <v>0</v>
      </c>
      <c r="I4736" s="46" t="str">
        <f>IF(INPUT!P4731="","",INPUT!P4731)</f>
        <v/>
      </c>
      <c r="J4736" s="46" t="str">
        <f>IF(INPUT!Q4731="","",INPUT!Q4731)</f>
        <v/>
      </c>
      <c r="K4736" s="46" t="str">
        <f>IFERROR(IF(OR(INPUT!P4731="",INPUT!Q4731=""),"",INPUT!P4731-INPUT!Q4731),"")</f>
        <v/>
      </c>
      <c r="L4736" s="48" t="str">
        <f>IFERROR(IF(OR(INPUT!P4731="",INPUT!Q4731="",INPUT!P4731=0),"",(INPUT!P4731-INPUT!Q4731)/INPUT!P4731),"")</f>
        <v/>
      </c>
    </row>
    <row r="4737" spans="1:12" ht="18" hidden="1" customHeight="1" x14ac:dyDescent="0.2">
      <c r="A4737" s="11" t="str">
        <f>IF(INPUT!M4732="","",INPUT!M4732)</f>
        <v/>
      </c>
      <c r="B4737" s="11" t="str">
        <f>IF(INPUT!M4732="","",INPUT!M4732-WEEKDAY(INPUT!M4732,2)+1)</f>
        <v/>
      </c>
      <c r="C4737" s="20">
        <f>IFERROR(_xlfn.ISOWEEKNUM(INPUT!M4732),"")</f>
        <v>52</v>
      </c>
      <c r="D4737" s="20">
        <f>IFERROR(YEAR(INPUT!M4732),"")</f>
        <v>1900</v>
      </c>
      <c r="E4737" t="str">
        <f>IF(INPUT!O4732="","",INPUT!O4732)</f>
        <v/>
      </c>
      <c r="F4737" t="str">
        <f>IF(INPUT!N4732="","",INPUT!N4732)</f>
        <v/>
      </c>
      <c r="G4737" cm="1">
        <f t="array" ref="G4737">IFERROR(VLOOKUP(INPUT!M4732&amp;INPUT!N4732,CHOOSE({1,2},INPUT!$A$3:$A$5000&amp;INPUT!$C$3:$C$5000,INPUT!$F$3:$F$5000),2,FALSE),"")</f>
        <v>0</v>
      </c>
      <c r="H4737" cm="1">
        <f t="array" ref="H4737">IFERROR(VLOOKUP(INPUT!M4732&amp;INPUT!N4732,CHOOSE({1,2},INPUT!$A$3:$A$5000&amp;INPUT!$C$3:$C$5000,INPUT!$D$3:$D$5000),2,FALSE),"")</f>
        <v>0</v>
      </c>
      <c r="I4737" s="46" t="str">
        <f>IF(INPUT!P4732="","",INPUT!P4732)</f>
        <v/>
      </c>
      <c r="J4737" s="46" t="str">
        <f>IF(INPUT!Q4732="","",INPUT!Q4732)</f>
        <v/>
      </c>
      <c r="K4737" s="46" t="str">
        <f>IFERROR(IF(OR(INPUT!P4732="",INPUT!Q4732=""),"",INPUT!P4732-INPUT!Q4732),"")</f>
        <v/>
      </c>
      <c r="L4737" s="48" t="str">
        <f>IFERROR(IF(OR(INPUT!P4732="",INPUT!Q4732="",INPUT!P4732=0),"",(INPUT!P4732-INPUT!Q4732)/INPUT!P4732),"")</f>
        <v/>
      </c>
    </row>
    <row r="4738" spans="1:12" ht="18" hidden="1" customHeight="1" x14ac:dyDescent="0.2">
      <c r="A4738" s="11" t="str">
        <f>IF(INPUT!M4733="","",INPUT!M4733)</f>
        <v/>
      </c>
      <c r="B4738" s="11" t="str">
        <f>IF(INPUT!M4733="","",INPUT!M4733-WEEKDAY(INPUT!M4733,2)+1)</f>
        <v/>
      </c>
      <c r="C4738" s="20">
        <f>IFERROR(_xlfn.ISOWEEKNUM(INPUT!M4733),"")</f>
        <v>52</v>
      </c>
      <c r="D4738" s="20">
        <f>IFERROR(YEAR(INPUT!M4733),"")</f>
        <v>1900</v>
      </c>
      <c r="E4738" t="str">
        <f>IF(INPUT!O4733="","",INPUT!O4733)</f>
        <v/>
      </c>
      <c r="F4738" t="str">
        <f>IF(INPUT!N4733="","",INPUT!N4733)</f>
        <v/>
      </c>
      <c r="G4738" cm="1">
        <f t="array" ref="G4738">IFERROR(VLOOKUP(INPUT!M4733&amp;INPUT!N4733,CHOOSE({1,2},INPUT!$A$3:$A$5000&amp;INPUT!$C$3:$C$5000,INPUT!$F$3:$F$5000),2,FALSE),"")</f>
        <v>0</v>
      </c>
      <c r="H4738" cm="1">
        <f t="array" ref="H4738">IFERROR(VLOOKUP(INPUT!M4733&amp;INPUT!N4733,CHOOSE({1,2},INPUT!$A$3:$A$5000&amp;INPUT!$C$3:$C$5000,INPUT!$D$3:$D$5000),2,FALSE),"")</f>
        <v>0</v>
      </c>
      <c r="I4738" s="46" t="str">
        <f>IF(INPUT!P4733="","",INPUT!P4733)</f>
        <v/>
      </c>
      <c r="J4738" s="46" t="str">
        <f>IF(INPUT!Q4733="","",INPUT!Q4733)</f>
        <v/>
      </c>
      <c r="K4738" s="46" t="str">
        <f>IFERROR(IF(OR(INPUT!P4733="",INPUT!Q4733=""),"",INPUT!P4733-INPUT!Q4733),"")</f>
        <v/>
      </c>
      <c r="L4738" s="48" t="str">
        <f>IFERROR(IF(OR(INPUT!P4733="",INPUT!Q4733="",INPUT!P4733=0),"",(INPUT!P4733-INPUT!Q4733)/INPUT!P4733),"")</f>
        <v/>
      </c>
    </row>
    <row r="4739" spans="1:12" ht="18" hidden="1" customHeight="1" x14ac:dyDescent="0.2">
      <c r="A4739" s="11" t="str">
        <f>IF(INPUT!M4734="","",INPUT!M4734)</f>
        <v/>
      </c>
      <c r="B4739" s="11" t="str">
        <f>IF(INPUT!M4734="","",INPUT!M4734-WEEKDAY(INPUT!M4734,2)+1)</f>
        <v/>
      </c>
      <c r="C4739" s="20">
        <f>IFERROR(_xlfn.ISOWEEKNUM(INPUT!M4734),"")</f>
        <v>52</v>
      </c>
      <c r="D4739" s="20">
        <f>IFERROR(YEAR(INPUT!M4734),"")</f>
        <v>1900</v>
      </c>
      <c r="E4739" t="str">
        <f>IF(INPUT!O4734="","",INPUT!O4734)</f>
        <v/>
      </c>
      <c r="F4739" t="str">
        <f>IF(INPUT!N4734="","",INPUT!N4734)</f>
        <v/>
      </c>
      <c r="G4739" cm="1">
        <f t="array" ref="G4739">IFERROR(VLOOKUP(INPUT!M4734&amp;INPUT!N4734,CHOOSE({1,2},INPUT!$A$3:$A$5000&amp;INPUT!$C$3:$C$5000,INPUT!$F$3:$F$5000),2,FALSE),"")</f>
        <v>0</v>
      </c>
      <c r="H4739" cm="1">
        <f t="array" ref="H4739">IFERROR(VLOOKUP(INPUT!M4734&amp;INPUT!N4734,CHOOSE({1,2},INPUT!$A$3:$A$5000&amp;INPUT!$C$3:$C$5000,INPUT!$D$3:$D$5000),2,FALSE),"")</f>
        <v>0</v>
      </c>
      <c r="I4739" s="46" t="str">
        <f>IF(INPUT!P4734="","",INPUT!P4734)</f>
        <v/>
      </c>
      <c r="J4739" s="46" t="str">
        <f>IF(INPUT!Q4734="","",INPUT!Q4734)</f>
        <v/>
      </c>
      <c r="K4739" s="46" t="str">
        <f>IFERROR(IF(OR(INPUT!P4734="",INPUT!Q4734=""),"",INPUT!P4734-INPUT!Q4734),"")</f>
        <v/>
      </c>
      <c r="L4739" s="48" t="str">
        <f>IFERROR(IF(OR(INPUT!P4734="",INPUT!Q4734="",INPUT!P4734=0),"",(INPUT!P4734-INPUT!Q4734)/INPUT!P4734),"")</f>
        <v/>
      </c>
    </row>
    <row r="4740" spans="1:12" ht="18" hidden="1" customHeight="1" x14ac:dyDescent="0.2">
      <c r="A4740" s="11" t="str">
        <f>IF(INPUT!M4735="","",INPUT!M4735)</f>
        <v/>
      </c>
      <c r="B4740" s="11" t="str">
        <f>IF(INPUT!M4735="","",INPUT!M4735-WEEKDAY(INPUT!M4735,2)+1)</f>
        <v/>
      </c>
      <c r="C4740" s="20">
        <f>IFERROR(_xlfn.ISOWEEKNUM(INPUT!M4735),"")</f>
        <v>52</v>
      </c>
      <c r="D4740" s="20">
        <f>IFERROR(YEAR(INPUT!M4735),"")</f>
        <v>1900</v>
      </c>
      <c r="E4740" t="str">
        <f>IF(INPUT!O4735="","",INPUT!O4735)</f>
        <v/>
      </c>
      <c r="F4740" t="str">
        <f>IF(INPUT!N4735="","",INPUT!N4735)</f>
        <v/>
      </c>
      <c r="G4740" cm="1">
        <f t="array" ref="G4740">IFERROR(VLOOKUP(INPUT!M4735&amp;INPUT!N4735,CHOOSE({1,2},INPUT!$A$3:$A$5000&amp;INPUT!$C$3:$C$5000,INPUT!$F$3:$F$5000),2,FALSE),"")</f>
        <v>0</v>
      </c>
      <c r="H4740" cm="1">
        <f t="array" ref="H4740">IFERROR(VLOOKUP(INPUT!M4735&amp;INPUT!N4735,CHOOSE({1,2},INPUT!$A$3:$A$5000&amp;INPUT!$C$3:$C$5000,INPUT!$D$3:$D$5000),2,FALSE),"")</f>
        <v>0</v>
      </c>
      <c r="I4740" s="46" t="str">
        <f>IF(INPUT!P4735="","",INPUT!P4735)</f>
        <v/>
      </c>
      <c r="J4740" s="46" t="str">
        <f>IF(INPUT!Q4735="","",INPUT!Q4735)</f>
        <v/>
      </c>
      <c r="K4740" s="46" t="str">
        <f>IFERROR(IF(OR(INPUT!P4735="",INPUT!Q4735=""),"",INPUT!P4735-INPUT!Q4735),"")</f>
        <v/>
      </c>
      <c r="L4740" s="48" t="str">
        <f>IFERROR(IF(OR(INPUT!P4735="",INPUT!Q4735="",INPUT!P4735=0),"",(INPUT!P4735-INPUT!Q4735)/INPUT!P4735),"")</f>
        <v/>
      </c>
    </row>
    <row r="4741" spans="1:12" ht="18" hidden="1" customHeight="1" x14ac:dyDescent="0.2">
      <c r="A4741" s="11" t="str">
        <f>IF(INPUT!M4736="","",INPUT!M4736)</f>
        <v/>
      </c>
      <c r="B4741" s="11" t="str">
        <f>IF(INPUT!M4736="","",INPUT!M4736-WEEKDAY(INPUT!M4736,2)+1)</f>
        <v/>
      </c>
      <c r="C4741" s="20">
        <f>IFERROR(_xlfn.ISOWEEKNUM(INPUT!M4736),"")</f>
        <v>52</v>
      </c>
      <c r="D4741" s="20">
        <f>IFERROR(YEAR(INPUT!M4736),"")</f>
        <v>1900</v>
      </c>
      <c r="E4741" t="str">
        <f>IF(INPUT!O4736="","",INPUT!O4736)</f>
        <v/>
      </c>
      <c r="F4741" t="str">
        <f>IF(INPUT!N4736="","",INPUT!N4736)</f>
        <v/>
      </c>
      <c r="G4741" cm="1">
        <f t="array" ref="G4741">IFERROR(VLOOKUP(INPUT!M4736&amp;INPUT!N4736,CHOOSE({1,2},INPUT!$A$3:$A$5000&amp;INPUT!$C$3:$C$5000,INPUT!$F$3:$F$5000),2,FALSE),"")</f>
        <v>0</v>
      </c>
      <c r="H4741" cm="1">
        <f t="array" ref="H4741">IFERROR(VLOOKUP(INPUT!M4736&amp;INPUT!N4736,CHOOSE({1,2},INPUT!$A$3:$A$5000&amp;INPUT!$C$3:$C$5000,INPUT!$D$3:$D$5000),2,FALSE),"")</f>
        <v>0</v>
      </c>
      <c r="I4741" s="46" t="str">
        <f>IF(INPUT!P4736="","",INPUT!P4736)</f>
        <v/>
      </c>
      <c r="J4741" s="46" t="str">
        <f>IF(INPUT!Q4736="","",INPUT!Q4736)</f>
        <v/>
      </c>
      <c r="K4741" s="46" t="str">
        <f>IFERROR(IF(OR(INPUT!P4736="",INPUT!Q4736=""),"",INPUT!P4736-INPUT!Q4736),"")</f>
        <v/>
      </c>
      <c r="L4741" s="48" t="str">
        <f>IFERROR(IF(OR(INPUT!P4736="",INPUT!Q4736="",INPUT!P4736=0),"",(INPUT!P4736-INPUT!Q4736)/INPUT!P4736),"")</f>
        <v/>
      </c>
    </row>
    <row r="4742" spans="1:12" ht="18" hidden="1" customHeight="1" x14ac:dyDescent="0.2">
      <c r="A4742" s="11" t="str">
        <f>IF(INPUT!M4737="","",INPUT!M4737)</f>
        <v/>
      </c>
      <c r="B4742" s="11" t="str">
        <f>IF(INPUT!M4737="","",INPUT!M4737-WEEKDAY(INPUT!M4737,2)+1)</f>
        <v/>
      </c>
      <c r="C4742" s="20">
        <f>IFERROR(_xlfn.ISOWEEKNUM(INPUT!M4737),"")</f>
        <v>52</v>
      </c>
      <c r="D4742" s="20">
        <f>IFERROR(YEAR(INPUT!M4737),"")</f>
        <v>1900</v>
      </c>
      <c r="E4742" t="str">
        <f>IF(INPUT!O4737="","",INPUT!O4737)</f>
        <v/>
      </c>
      <c r="F4742" t="str">
        <f>IF(INPUT!N4737="","",INPUT!N4737)</f>
        <v/>
      </c>
      <c r="G4742" cm="1">
        <f t="array" ref="G4742">IFERROR(VLOOKUP(INPUT!M4737&amp;INPUT!N4737,CHOOSE({1,2},INPUT!$A$3:$A$5000&amp;INPUT!$C$3:$C$5000,INPUT!$F$3:$F$5000),2,FALSE),"")</f>
        <v>0</v>
      </c>
      <c r="H4742" cm="1">
        <f t="array" ref="H4742">IFERROR(VLOOKUP(INPUT!M4737&amp;INPUT!N4737,CHOOSE({1,2},INPUT!$A$3:$A$5000&amp;INPUT!$C$3:$C$5000,INPUT!$D$3:$D$5000),2,FALSE),"")</f>
        <v>0</v>
      </c>
      <c r="I4742" s="46" t="str">
        <f>IF(INPUT!P4737="","",INPUT!P4737)</f>
        <v/>
      </c>
      <c r="J4742" s="46" t="str">
        <f>IF(INPUT!Q4737="","",INPUT!Q4737)</f>
        <v/>
      </c>
      <c r="K4742" s="46" t="str">
        <f>IFERROR(IF(OR(INPUT!P4737="",INPUT!Q4737=""),"",INPUT!P4737-INPUT!Q4737),"")</f>
        <v/>
      </c>
      <c r="L4742" s="48" t="str">
        <f>IFERROR(IF(OR(INPUT!P4737="",INPUT!Q4737="",INPUT!P4737=0),"",(INPUT!P4737-INPUT!Q4737)/INPUT!P4737),"")</f>
        <v/>
      </c>
    </row>
    <row r="4743" spans="1:12" ht="18" hidden="1" customHeight="1" x14ac:dyDescent="0.2">
      <c r="A4743" s="11" t="str">
        <f>IF(INPUT!M4738="","",INPUT!M4738)</f>
        <v/>
      </c>
      <c r="B4743" s="11" t="str">
        <f>IF(INPUT!M4738="","",INPUT!M4738-WEEKDAY(INPUT!M4738,2)+1)</f>
        <v/>
      </c>
      <c r="C4743" s="20">
        <f>IFERROR(_xlfn.ISOWEEKNUM(INPUT!M4738),"")</f>
        <v>52</v>
      </c>
      <c r="D4743" s="20">
        <f>IFERROR(YEAR(INPUT!M4738),"")</f>
        <v>1900</v>
      </c>
      <c r="E4743" t="str">
        <f>IF(INPUT!O4738="","",INPUT!O4738)</f>
        <v/>
      </c>
      <c r="F4743" t="str">
        <f>IF(INPUT!N4738="","",INPUT!N4738)</f>
        <v/>
      </c>
      <c r="G4743" cm="1">
        <f t="array" ref="G4743">IFERROR(VLOOKUP(INPUT!M4738&amp;INPUT!N4738,CHOOSE({1,2},INPUT!$A$3:$A$5000&amp;INPUT!$C$3:$C$5000,INPUT!$F$3:$F$5000),2,FALSE),"")</f>
        <v>0</v>
      </c>
      <c r="H4743" cm="1">
        <f t="array" ref="H4743">IFERROR(VLOOKUP(INPUT!M4738&amp;INPUT!N4738,CHOOSE({1,2},INPUT!$A$3:$A$5000&amp;INPUT!$C$3:$C$5000,INPUT!$D$3:$D$5000),2,FALSE),"")</f>
        <v>0</v>
      </c>
      <c r="I4743" s="46" t="str">
        <f>IF(INPUT!P4738="","",INPUT!P4738)</f>
        <v/>
      </c>
      <c r="J4743" s="46" t="str">
        <f>IF(INPUT!Q4738="","",INPUT!Q4738)</f>
        <v/>
      </c>
      <c r="K4743" s="46" t="str">
        <f>IFERROR(IF(OR(INPUT!P4738="",INPUT!Q4738=""),"",INPUT!P4738-INPUT!Q4738),"")</f>
        <v/>
      </c>
      <c r="L4743" s="48" t="str">
        <f>IFERROR(IF(OR(INPUT!P4738="",INPUT!Q4738="",INPUT!P4738=0),"",(INPUT!P4738-INPUT!Q4738)/INPUT!P4738),"")</f>
        <v/>
      </c>
    </row>
    <row r="4744" spans="1:12" ht="18" hidden="1" customHeight="1" x14ac:dyDescent="0.2">
      <c r="A4744" s="11" t="str">
        <f>IF(INPUT!M4739="","",INPUT!M4739)</f>
        <v/>
      </c>
      <c r="B4744" s="11" t="str">
        <f>IF(INPUT!M4739="","",INPUT!M4739-WEEKDAY(INPUT!M4739,2)+1)</f>
        <v/>
      </c>
      <c r="C4744" s="20">
        <f>IFERROR(_xlfn.ISOWEEKNUM(INPUT!M4739),"")</f>
        <v>52</v>
      </c>
      <c r="D4744" s="20">
        <f>IFERROR(YEAR(INPUT!M4739),"")</f>
        <v>1900</v>
      </c>
      <c r="E4744" t="str">
        <f>IF(INPUT!O4739="","",INPUT!O4739)</f>
        <v/>
      </c>
      <c r="F4744" t="str">
        <f>IF(INPUT!N4739="","",INPUT!N4739)</f>
        <v/>
      </c>
      <c r="G4744" cm="1">
        <f t="array" ref="G4744">IFERROR(VLOOKUP(INPUT!M4739&amp;INPUT!N4739,CHOOSE({1,2},INPUT!$A$3:$A$5000&amp;INPUT!$C$3:$C$5000,INPUT!$F$3:$F$5000),2,FALSE),"")</f>
        <v>0</v>
      </c>
      <c r="H4744" cm="1">
        <f t="array" ref="H4744">IFERROR(VLOOKUP(INPUT!M4739&amp;INPUT!N4739,CHOOSE({1,2},INPUT!$A$3:$A$5000&amp;INPUT!$C$3:$C$5000,INPUT!$D$3:$D$5000),2,FALSE),"")</f>
        <v>0</v>
      </c>
      <c r="I4744" s="46" t="str">
        <f>IF(INPUT!P4739="","",INPUT!P4739)</f>
        <v/>
      </c>
      <c r="J4744" s="46" t="str">
        <f>IF(INPUT!Q4739="","",INPUT!Q4739)</f>
        <v/>
      </c>
      <c r="K4744" s="46" t="str">
        <f>IFERROR(IF(OR(INPUT!P4739="",INPUT!Q4739=""),"",INPUT!P4739-INPUT!Q4739),"")</f>
        <v/>
      </c>
      <c r="L4744" s="48" t="str">
        <f>IFERROR(IF(OR(INPUT!P4739="",INPUT!Q4739="",INPUT!P4739=0),"",(INPUT!P4739-INPUT!Q4739)/INPUT!P4739),"")</f>
        <v/>
      </c>
    </row>
    <row r="4745" spans="1:12" ht="18" hidden="1" customHeight="1" x14ac:dyDescent="0.2">
      <c r="A4745" s="11" t="str">
        <f>IF(INPUT!M4740="","",INPUT!M4740)</f>
        <v/>
      </c>
      <c r="B4745" s="11" t="str">
        <f>IF(INPUT!M4740="","",INPUT!M4740-WEEKDAY(INPUT!M4740,2)+1)</f>
        <v/>
      </c>
      <c r="C4745" s="20">
        <f>IFERROR(_xlfn.ISOWEEKNUM(INPUT!M4740),"")</f>
        <v>52</v>
      </c>
      <c r="D4745" s="20">
        <f>IFERROR(YEAR(INPUT!M4740),"")</f>
        <v>1900</v>
      </c>
      <c r="E4745" t="str">
        <f>IF(INPUT!O4740="","",INPUT!O4740)</f>
        <v/>
      </c>
      <c r="F4745" t="str">
        <f>IF(INPUT!N4740="","",INPUT!N4740)</f>
        <v/>
      </c>
      <c r="G4745" cm="1">
        <f t="array" ref="G4745">IFERROR(VLOOKUP(INPUT!M4740&amp;INPUT!N4740,CHOOSE({1,2},INPUT!$A$3:$A$5000&amp;INPUT!$C$3:$C$5000,INPUT!$F$3:$F$5000),2,FALSE),"")</f>
        <v>0</v>
      </c>
      <c r="H4745" cm="1">
        <f t="array" ref="H4745">IFERROR(VLOOKUP(INPUT!M4740&amp;INPUT!N4740,CHOOSE({1,2},INPUT!$A$3:$A$5000&amp;INPUT!$C$3:$C$5000,INPUT!$D$3:$D$5000),2,FALSE),"")</f>
        <v>0</v>
      </c>
      <c r="I4745" s="46" t="str">
        <f>IF(INPUT!P4740="","",INPUT!P4740)</f>
        <v/>
      </c>
      <c r="J4745" s="46" t="str">
        <f>IF(INPUT!Q4740="","",INPUT!Q4740)</f>
        <v/>
      </c>
      <c r="K4745" s="46" t="str">
        <f>IFERROR(IF(OR(INPUT!P4740="",INPUT!Q4740=""),"",INPUT!P4740-INPUT!Q4740),"")</f>
        <v/>
      </c>
      <c r="L4745" s="48" t="str">
        <f>IFERROR(IF(OR(INPUT!P4740="",INPUT!Q4740="",INPUT!P4740=0),"",(INPUT!P4740-INPUT!Q4740)/INPUT!P4740),"")</f>
        <v/>
      </c>
    </row>
    <row r="4746" spans="1:12" ht="18" hidden="1" customHeight="1" x14ac:dyDescent="0.2">
      <c r="A4746" s="11" t="str">
        <f>IF(INPUT!M4741="","",INPUT!M4741)</f>
        <v/>
      </c>
      <c r="B4746" s="11" t="str">
        <f>IF(INPUT!M4741="","",INPUT!M4741-WEEKDAY(INPUT!M4741,2)+1)</f>
        <v/>
      </c>
      <c r="C4746" s="20">
        <f>IFERROR(_xlfn.ISOWEEKNUM(INPUT!M4741),"")</f>
        <v>52</v>
      </c>
      <c r="D4746" s="20">
        <f>IFERROR(YEAR(INPUT!M4741),"")</f>
        <v>1900</v>
      </c>
      <c r="E4746" t="str">
        <f>IF(INPUT!O4741="","",INPUT!O4741)</f>
        <v/>
      </c>
      <c r="F4746" t="str">
        <f>IF(INPUT!N4741="","",INPUT!N4741)</f>
        <v/>
      </c>
      <c r="G4746" cm="1">
        <f t="array" ref="G4746">IFERROR(VLOOKUP(INPUT!M4741&amp;INPUT!N4741,CHOOSE({1,2},INPUT!$A$3:$A$5000&amp;INPUT!$C$3:$C$5000,INPUT!$F$3:$F$5000),2,FALSE),"")</f>
        <v>0</v>
      </c>
      <c r="H4746" cm="1">
        <f t="array" ref="H4746">IFERROR(VLOOKUP(INPUT!M4741&amp;INPUT!N4741,CHOOSE({1,2},INPUT!$A$3:$A$5000&amp;INPUT!$C$3:$C$5000,INPUT!$D$3:$D$5000),2,FALSE),"")</f>
        <v>0</v>
      </c>
      <c r="I4746" s="46" t="str">
        <f>IF(INPUT!P4741="","",INPUT!P4741)</f>
        <v/>
      </c>
      <c r="J4746" s="46" t="str">
        <f>IF(INPUT!Q4741="","",INPUT!Q4741)</f>
        <v/>
      </c>
      <c r="K4746" s="46" t="str">
        <f>IFERROR(IF(OR(INPUT!P4741="",INPUT!Q4741=""),"",INPUT!P4741-INPUT!Q4741),"")</f>
        <v/>
      </c>
      <c r="L4746" s="48" t="str">
        <f>IFERROR(IF(OR(INPUT!P4741="",INPUT!Q4741="",INPUT!P4741=0),"",(INPUT!P4741-INPUT!Q4741)/INPUT!P4741),"")</f>
        <v/>
      </c>
    </row>
    <row r="4747" spans="1:12" ht="18" hidden="1" customHeight="1" x14ac:dyDescent="0.2">
      <c r="A4747" s="11" t="str">
        <f>IF(INPUT!M4742="","",INPUT!M4742)</f>
        <v/>
      </c>
      <c r="B4747" s="11" t="str">
        <f>IF(INPUT!M4742="","",INPUT!M4742-WEEKDAY(INPUT!M4742,2)+1)</f>
        <v/>
      </c>
      <c r="C4747" s="20">
        <f>IFERROR(_xlfn.ISOWEEKNUM(INPUT!M4742),"")</f>
        <v>52</v>
      </c>
      <c r="D4747" s="20">
        <f>IFERROR(YEAR(INPUT!M4742),"")</f>
        <v>1900</v>
      </c>
      <c r="E4747" t="str">
        <f>IF(INPUT!O4742="","",INPUT!O4742)</f>
        <v/>
      </c>
      <c r="F4747" t="str">
        <f>IF(INPUT!N4742="","",INPUT!N4742)</f>
        <v/>
      </c>
      <c r="G4747" cm="1">
        <f t="array" ref="G4747">IFERROR(VLOOKUP(INPUT!M4742&amp;INPUT!N4742,CHOOSE({1,2},INPUT!$A$3:$A$5000&amp;INPUT!$C$3:$C$5000,INPUT!$F$3:$F$5000),2,FALSE),"")</f>
        <v>0</v>
      </c>
      <c r="H4747" cm="1">
        <f t="array" ref="H4747">IFERROR(VLOOKUP(INPUT!M4742&amp;INPUT!N4742,CHOOSE({1,2},INPUT!$A$3:$A$5000&amp;INPUT!$C$3:$C$5000,INPUT!$D$3:$D$5000),2,FALSE),"")</f>
        <v>0</v>
      </c>
      <c r="I4747" s="46" t="str">
        <f>IF(INPUT!P4742="","",INPUT!P4742)</f>
        <v/>
      </c>
      <c r="J4747" s="46" t="str">
        <f>IF(INPUT!Q4742="","",INPUT!Q4742)</f>
        <v/>
      </c>
      <c r="K4747" s="46" t="str">
        <f>IFERROR(IF(OR(INPUT!P4742="",INPUT!Q4742=""),"",INPUT!P4742-INPUT!Q4742),"")</f>
        <v/>
      </c>
      <c r="L4747" s="48" t="str">
        <f>IFERROR(IF(OR(INPUT!P4742="",INPUT!Q4742="",INPUT!P4742=0),"",(INPUT!P4742-INPUT!Q4742)/INPUT!P4742),"")</f>
        <v/>
      </c>
    </row>
    <row r="4748" spans="1:12" ht="18" hidden="1" customHeight="1" x14ac:dyDescent="0.2">
      <c r="A4748" s="11" t="str">
        <f>IF(INPUT!M4743="","",INPUT!M4743)</f>
        <v/>
      </c>
      <c r="B4748" s="11" t="str">
        <f>IF(INPUT!M4743="","",INPUT!M4743-WEEKDAY(INPUT!M4743,2)+1)</f>
        <v/>
      </c>
      <c r="C4748" s="20">
        <f>IFERROR(_xlfn.ISOWEEKNUM(INPUT!M4743),"")</f>
        <v>52</v>
      </c>
      <c r="D4748" s="20">
        <f>IFERROR(YEAR(INPUT!M4743),"")</f>
        <v>1900</v>
      </c>
      <c r="E4748" t="str">
        <f>IF(INPUT!O4743="","",INPUT!O4743)</f>
        <v/>
      </c>
      <c r="F4748" t="str">
        <f>IF(INPUT!N4743="","",INPUT!N4743)</f>
        <v/>
      </c>
      <c r="G4748" cm="1">
        <f t="array" ref="G4748">IFERROR(VLOOKUP(INPUT!M4743&amp;INPUT!N4743,CHOOSE({1,2},INPUT!$A$3:$A$5000&amp;INPUT!$C$3:$C$5000,INPUT!$F$3:$F$5000),2,FALSE),"")</f>
        <v>0</v>
      </c>
      <c r="H4748" cm="1">
        <f t="array" ref="H4748">IFERROR(VLOOKUP(INPUT!M4743&amp;INPUT!N4743,CHOOSE({1,2},INPUT!$A$3:$A$5000&amp;INPUT!$C$3:$C$5000,INPUT!$D$3:$D$5000),2,FALSE),"")</f>
        <v>0</v>
      </c>
      <c r="I4748" s="46" t="str">
        <f>IF(INPUT!P4743="","",INPUT!P4743)</f>
        <v/>
      </c>
      <c r="J4748" s="46" t="str">
        <f>IF(INPUT!Q4743="","",INPUT!Q4743)</f>
        <v/>
      </c>
      <c r="K4748" s="46" t="str">
        <f>IFERROR(IF(OR(INPUT!P4743="",INPUT!Q4743=""),"",INPUT!P4743-INPUT!Q4743),"")</f>
        <v/>
      </c>
      <c r="L4748" s="48" t="str">
        <f>IFERROR(IF(OR(INPUT!P4743="",INPUT!Q4743="",INPUT!P4743=0),"",(INPUT!P4743-INPUT!Q4743)/INPUT!P4743),"")</f>
        <v/>
      </c>
    </row>
    <row r="4749" spans="1:12" ht="18" hidden="1" customHeight="1" x14ac:dyDescent="0.2">
      <c r="A4749" s="11" t="str">
        <f>IF(INPUT!M4744="","",INPUT!M4744)</f>
        <v/>
      </c>
      <c r="B4749" s="11" t="str">
        <f>IF(INPUT!M4744="","",INPUT!M4744-WEEKDAY(INPUT!M4744,2)+1)</f>
        <v/>
      </c>
      <c r="C4749" s="20">
        <f>IFERROR(_xlfn.ISOWEEKNUM(INPUT!M4744),"")</f>
        <v>52</v>
      </c>
      <c r="D4749" s="20">
        <f>IFERROR(YEAR(INPUT!M4744),"")</f>
        <v>1900</v>
      </c>
      <c r="E4749" t="str">
        <f>IF(INPUT!O4744="","",INPUT!O4744)</f>
        <v/>
      </c>
      <c r="F4749" t="str">
        <f>IF(INPUT!N4744="","",INPUT!N4744)</f>
        <v/>
      </c>
      <c r="G4749" cm="1">
        <f t="array" ref="G4749">IFERROR(VLOOKUP(INPUT!M4744&amp;INPUT!N4744,CHOOSE({1,2},INPUT!$A$3:$A$5000&amp;INPUT!$C$3:$C$5000,INPUT!$F$3:$F$5000),2,FALSE),"")</f>
        <v>0</v>
      </c>
      <c r="H4749" cm="1">
        <f t="array" ref="H4749">IFERROR(VLOOKUP(INPUT!M4744&amp;INPUT!N4744,CHOOSE({1,2},INPUT!$A$3:$A$5000&amp;INPUT!$C$3:$C$5000,INPUT!$D$3:$D$5000),2,FALSE),"")</f>
        <v>0</v>
      </c>
      <c r="I4749" s="46" t="str">
        <f>IF(INPUT!P4744="","",INPUT!P4744)</f>
        <v/>
      </c>
      <c r="J4749" s="46" t="str">
        <f>IF(INPUT!Q4744="","",INPUT!Q4744)</f>
        <v/>
      </c>
      <c r="K4749" s="46" t="str">
        <f>IFERROR(IF(OR(INPUT!P4744="",INPUT!Q4744=""),"",INPUT!P4744-INPUT!Q4744),"")</f>
        <v/>
      </c>
      <c r="L4749" s="48" t="str">
        <f>IFERROR(IF(OR(INPUT!P4744="",INPUT!Q4744="",INPUT!P4744=0),"",(INPUT!P4744-INPUT!Q4744)/INPUT!P4744),"")</f>
        <v/>
      </c>
    </row>
    <row r="4750" spans="1:12" ht="18" hidden="1" customHeight="1" x14ac:dyDescent="0.2">
      <c r="A4750" s="11" t="str">
        <f>IF(INPUT!M4745="","",INPUT!M4745)</f>
        <v/>
      </c>
      <c r="B4750" s="11" t="str">
        <f>IF(INPUT!M4745="","",INPUT!M4745-WEEKDAY(INPUT!M4745,2)+1)</f>
        <v/>
      </c>
      <c r="C4750" s="20">
        <f>IFERROR(_xlfn.ISOWEEKNUM(INPUT!M4745),"")</f>
        <v>52</v>
      </c>
      <c r="D4750" s="20">
        <f>IFERROR(YEAR(INPUT!M4745),"")</f>
        <v>1900</v>
      </c>
      <c r="E4750" t="str">
        <f>IF(INPUT!O4745="","",INPUT!O4745)</f>
        <v/>
      </c>
      <c r="F4750" t="str">
        <f>IF(INPUT!N4745="","",INPUT!N4745)</f>
        <v/>
      </c>
      <c r="G4750" cm="1">
        <f t="array" ref="G4750">IFERROR(VLOOKUP(INPUT!M4745&amp;INPUT!N4745,CHOOSE({1,2},INPUT!$A$3:$A$5000&amp;INPUT!$C$3:$C$5000,INPUT!$F$3:$F$5000),2,FALSE),"")</f>
        <v>0</v>
      </c>
      <c r="H4750" cm="1">
        <f t="array" ref="H4750">IFERROR(VLOOKUP(INPUT!M4745&amp;INPUT!N4745,CHOOSE({1,2},INPUT!$A$3:$A$5000&amp;INPUT!$C$3:$C$5000,INPUT!$D$3:$D$5000),2,FALSE),"")</f>
        <v>0</v>
      </c>
      <c r="I4750" s="46" t="str">
        <f>IF(INPUT!P4745="","",INPUT!P4745)</f>
        <v/>
      </c>
      <c r="J4750" s="46" t="str">
        <f>IF(INPUT!Q4745="","",INPUT!Q4745)</f>
        <v/>
      </c>
      <c r="K4750" s="46" t="str">
        <f>IFERROR(IF(OR(INPUT!P4745="",INPUT!Q4745=""),"",INPUT!P4745-INPUT!Q4745),"")</f>
        <v/>
      </c>
      <c r="L4750" s="48" t="str">
        <f>IFERROR(IF(OR(INPUT!P4745="",INPUT!Q4745="",INPUT!P4745=0),"",(INPUT!P4745-INPUT!Q4745)/INPUT!P4745),"")</f>
        <v/>
      </c>
    </row>
    <row r="4751" spans="1:12" ht="18" hidden="1" customHeight="1" x14ac:dyDescent="0.2">
      <c r="A4751" s="11" t="str">
        <f>IF(INPUT!M4746="","",INPUT!M4746)</f>
        <v/>
      </c>
      <c r="B4751" s="11" t="str">
        <f>IF(INPUT!M4746="","",INPUT!M4746-WEEKDAY(INPUT!M4746,2)+1)</f>
        <v/>
      </c>
      <c r="C4751" s="20">
        <f>IFERROR(_xlfn.ISOWEEKNUM(INPUT!M4746),"")</f>
        <v>52</v>
      </c>
      <c r="D4751" s="20">
        <f>IFERROR(YEAR(INPUT!M4746),"")</f>
        <v>1900</v>
      </c>
      <c r="E4751" t="str">
        <f>IF(INPUT!O4746="","",INPUT!O4746)</f>
        <v/>
      </c>
      <c r="F4751" t="str">
        <f>IF(INPUT!N4746="","",INPUT!N4746)</f>
        <v/>
      </c>
      <c r="G4751" cm="1">
        <f t="array" ref="G4751">IFERROR(VLOOKUP(INPUT!M4746&amp;INPUT!N4746,CHOOSE({1,2},INPUT!$A$3:$A$5000&amp;INPUT!$C$3:$C$5000,INPUT!$F$3:$F$5000),2,FALSE),"")</f>
        <v>0</v>
      </c>
      <c r="H4751" cm="1">
        <f t="array" ref="H4751">IFERROR(VLOOKUP(INPUT!M4746&amp;INPUT!N4746,CHOOSE({1,2},INPUT!$A$3:$A$5000&amp;INPUT!$C$3:$C$5000,INPUT!$D$3:$D$5000),2,FALSE),"")</f>
        <v>0</v>
      </c>
      <c r="I4751" s="46" t="str">
        <f>IF(INPUT!P4746="","",INPUT!P4746)</f>
        <v/>
      </c>
      <c r="J4751" s="46" t="str">
        <f>IF(INPUT!Q4746="","",INPUT!Q4746)</f>
        <v/>
      </c>
      <c r="K4751" s="46" t="str">
        <f>IFERROR(IF(OR(INPUT!P4746="",INPUT!Q4746=""),"",INPUT!P4746-INPUT!Q4746),"")</f>
        <v/>
      </c>
      <c r="L4751" s="48" t="str">
        <f>IFERROR(IF(OR(INPUT!P4746="",INPUT!Q4746="",INPUT!P4746=0),"",(INPUT!P4746-INPUT!Q4746)/INPUT!P4746),"")</f>
        <v/>
      </c>
    </row>
    <row r="4752" spans="1:12" ht="18" hidden="1" customHeight="1" x14ac:dyDescent="0.2">
      <c r="A4752" s="11" t="str">
        <f>IF(INPUT!M4747="","",INPUT!M4747)</f>
        <v/>
      </c>
      <c r="B4752" s="11" t="str">
        <f>IF(INPUT!M4747="","",INPUT!M4747-WEEKDAY(INPUT!M4747,2)+1)</f>
        <v/>
      </c>
      <c r="C4752" s="20">
        <f>IFERROR(_xlfn.ISOWEEKNUM(INPUT!M4747),"")</f>
        <v>52</v>
      </c>
      <c r="D4752" s="20">
        <f>IFERROR(YEAR(INPUT!M4747),"")</f>
        <v>1900</v>
      </c>
      <c r="E4752" t="str">
        <f>IF(INPUT!O4747="","",INPUT!O4747)</f>
        <v/>
      </c>
      <c r="F4752" t="str">
        <f>IF(INPUT!N4747="","",INPUT!N4747)</f>
        <v/>
      </c>
      <c r="G4752" cm="1">
        <f t="array" ref="G4752">IFERROR(VLOOKUP(INPUT!M4747&amp;INPUT!N4747,CHOOSE({1,2},INPUT!$A$3:$A$5000&amp;INPUT!$C$3:$C$5000,INPUT!$F$3:$F$5000),2,FALSE),"")</f>
        <v>0</v>
      </c>
      <c r="H4752" cm="1">
        <f t="array" ref="H4752">IFERROR(VLOOKUP(INPUT!M4747&amp;INPUT!N4747,CHOOSE({1,2},INPUT!$A$3:$A$5000&amp;INPUT!$C$3:$C$5000,INPUT!$D$3:$D$5000),2,FALSE),"")</f>
        <v>0</v>
      </c>
      <c r="I4752" s="46" t="str">
        <f>IF(INPUT!P4747="","",INPUT!P4747)</f>
        <v/>
      </c>
      <c r="J4752" s="46" t="str">
        <f>IF(INPUT!Q4747="","",INPUT!Q4747)</f>
        <v/>
      </c>
      <c r="K4752" s="46" t="str">
        <f>IFERROR(IF(OR(INPUT!P4747="",INPUT!Q4747=""),"",INPUT!P4747-INPUT!Q4747),"")</f>
        <v/>
      </c>
      <c r="L4752" s="48" t="str">
        <f>IFERROR(IF(OR(INPUT!P4747="",INPUT!Q4747="",INPUT!P4747=0),"",(INPUT!P4747-INPUT!Q4747)/INPUT!P4747),"")</f>
        <v/>
      </c>
    </row>
    <row r="4753" spans="1:12" ht="18" hidden="1" customHeight="1" x14ac:dyDescent="0.2">
      <c r="A4753" s="11" t="str">
        <f>IF(INPUT!M4748="","",INPUT!M4748)</f>
        <v/>
      </c>
      <c r="B4753" s="11" t="str">
        <f>IF(INPUT!M4748="","",INPUT!M4748-WEEKDAY(INPUT!M4748,2)+1)</f>
        <v/>
      </c>
      <c r="C4753" s="20">
        <f>IFERROR(_xlfn.ISOWEEKNUM(INPUT!M4748),"")</f>
        <v>52</v>
      </c>
      <c r="D4753" s="20">
        <f>IFERROR(YEAR(INPUT!M4748),"")</f>
        <v>1900</v>
      </c>
      <c r="E4753" t="str">
        <f>IF(INPUT!O4748="","",INPUT!O4748)</f>
        <v/>
      </c>
      <c r="F4753" t="str">
        <f>IF(INPUT!N4748="","",INPUT!N4748)</f>
        <v/>
      </c>
      <c r="G4753" cm="1">
        <f t="array" ref="G4753">IFERROR(VLOOKUP(INPUT!M4748&amp;INPUT!N4748,CHOOSE({1,2},INPUT!$A$3:$A$5000&amp;INPUT!$C$3:$C$5000,INPUT!$F$3:$F$5000),2,FALSE),"")</f>
        <v>0</v>
      </c>
      <c r="H4753" cm="1">
        <f t="array" ref="H4753">IFERROR(VLOOKUP(INPUT!M4748&amp;INPUT!N4748,CHOOSE({1,2},INPUT!$A$3:$A$5000&amp;INPUT!$C$3:$C$5000,INPUT!$D$3:$D$5000),2,FALSE),"")</f>
        <v>0</v>
      </c>
      <c r="I4753" s="46" t="str">
        <f>IF(INPUT!P4748="","",INPUT!P4748)</f>
        <v/>
      </c>
      <c r="J4753" s="46" t="str">
        <f>IF(INPUT!Q4748="","",INPUT!Q4748)</f>
        <v/>
      </c>
      <c r="K4753" s="46" t="str">
        <f>IFERROR(IF(OR(INPUT!P4748="",INPUT!Q4748=""),"",INPUT!P4748-INPUT!Q4748),"")</f>
        <v/>
      </c>
      <c r="L4753" s="48" t="str">
        <f>IFERROR(IF(OR(INPUT!P4748="",INPUT!Q4748="",INPUT!P4748=0),"",(INPUT!P4748-INPUT!Q4748)/INPUT!P4748),"")</f>
        <v/>
      </c>
    </row>
    <row r="4754" spans="1:12" ht="18" hidden="1" customHeight="1" x14ac:dyDescent="0.2">
      <c r="A4754" s="11" t="str">
        <f>IF(INPUT!M4749="","",INPUT!M4749)</f>
        <v/>
      </c>
      <c r="B4754" s="11" t="str">
        <f>IF(INPUT!M4749="","",INPUT!M4749-WEEKDAY(INPUT!M4749,2)+1)</f>
        <v/>
      </c>
      <c r="C4754" s="20">
        <f>IFERROR(_xlfn.ISOWEEKNUM(INPUT!M4749),"")</f>
        <v>52</v>
      </c>
      <c r="D4754" s="20">
        <f>IFERROR(YEAR(INPUT!M4749),"")</f>
        <v>1900</v>
      </c>
      <c r="E4754" t="str">
        <f>IF(INPUT!O4749="","",INPUT!O4749)</f>
        <v/>
      </c>
      <c r="F4754" t="str">
        <f>IF(INPUT!N4749="","",INPUT!N4749)</f>
        <v/>
      </c>
      <c r="G4754" cm="1">
        <f t="array" ref="G4754">IFERROR(VLOOKUP(INPUT!M4749&amp;INPUT!N4749,CHOOSE({1,2},INPUT!$A$3:$A$5000&amp;INPUT!$C$3:$C$5000,INPUT!$F$3:$F$5000),2,FALSE),"")</f>
        <v>0</v>
      </c>
      <c r="H4754" cm="1">
        <f t="array" ref="H4754">IFERROR(VLOOKUP(INPUT!M4749&amp;INPUT!N4749,CHOOSE({1,2},INPUT!$A$3:$A$5000&amp;INPUT!$C$3:$C$5000,INPUT!$D$3:$D$5000),2,FALSE),"")</f>
        <v>0</v>
      </c>
      <c r="I4754" s="46" t="str">
        <f>IF(INPUT!P4749="","",INPUT!P4749)</f>
        <v/>
      </c>
      <c r="J4754" s="46" t="str">
        <f>IF(INPUT!Q4749="","",INPUT!Q4749)</f>
        <v/>
      </c>
      <c r="K4754" s="46" t="str">
        <f>IFERROR(IF(OR(INPUT!P4749="",INPUT!Q4749=""),"",INPUT!P4749-INPUT!Q4749),"")</f>
        <v/>
      </c>
      <c r="L4754" s="48" t="str">
        <f>IFERROR(IF(OR(INPUT!P4749="",INPUT!Q4749="",INPUT!P4749=0),"",(INPUT!P4749-INPUT!Q4749)/INPUT!P4749),"")</f>
        <v/>
      </c>
    </row>
    <row r="4755" spans="1:12" ht="18" hidden="1" customHeight="1" x14ac:dyDescent="0.2">
      <c r="A4755" s="11" t="str">
        <f>IF(INPUT!M4750="","",INPUT!M4750)</f>
        <v/>
      </c>
      <c r="B4755" s="11" t="str">
        <f>IF(INPUT!M4750="","",INPUT!M4750-WEEKDAY(INPUT!M4750,2)+1)</f>
        <v/>
      </c>
      <c r="C4755" s="20">
        <f>IFERROR(_xlfn.ISOWEEKNUM(INPUT!M4750),"")</f>
        <v>52</v>
      </c>
      <c r="D4755" s="20">
        <f>IFERROR(YEAR(INPUT!M4750),"")</f>
        <v>1900</v>
      </c>
      <c r="E4755" t="str">
        <f>IF(INPUT!O4750="","",INPUT!O4750)</f>
        <v/>
      </c>
      <c r="F4755" t="str">
        <f>IF(INPUT!N4750="","",INPUT!N4750)</f>
        <v/>
      </c>
      <c r="G4755" cm="1">
        <f t="array" ref="G4755">IFERROR(VLOOKUP(INPUT!M4750&amp;INPUT!N4750,CHOOSE({1,2},INPUT!$A$3:$A$5000&amp;INPUT!$C$3:$C$5000,INPUT!$F$3:$F$5000),2,FALSE),"")</f>
        <v>0</v>
      </c>
      <c r="H4755" cm="1">
        <f t="array" ref="H4755">IFERROR(VLOOKUP(INPUT!M4750&amp;INPUT!N4750,CHOOSE({1,2},INPUT!$A$3:$A$5000&amp;INPUT!$C$3:$C$5000,INPUT!$D$3:$D$5000),2,FALSE),"")</f>
        <v>0</v>
      </c>
      <c r="I4755" s="46" t="str">
        <f>IF(INPUT!P4750="","",INPUT!P4750)</f>
        <v/>
      </c>
      <c r="J4755" s="46" t="str">
        <f>IF(INPUT!Q4750="","",INPUT!Q4750)</f>
        <v/>
      </c>
      <c r="K4755" s="46" t="str">
        <f>IFERROR(IF(OR(INPUT!P4750="",INPUT!Q4750=""),"",INPUT!P4750-INPUT!Q4750),"")</f>
        <v/>
      </c>
      <c r="L4755" s="48" t="str">
        <f>IFERROR(IF(OR(INPUT!P4750="",INPUT!Q4750="",INPUT!P4750=0),"",(INPUT!P4750-INPUT!Q4750)/INPUT!P4750),"")</f>
        <v/>
      </c>
    </row>
    <row r="4756" spans="1:12" ht="18" hidden="1" customHeight="1" x14ac:dyDescent="0.2">
      <c r="A4756" s="11" t="str">
        <f>IF(INPUT!M4751="","",INPUT!M4751)</f>
        <v/>
      </c>
      <c r="B4756" s="11" t="str">
        <f>IF(INPUT!M4751="","",INPUT!M4751-WEEKDAY(INPUT!M4751,2)+1)</f>
        <v/>
      </c>
      <c r="C4756" s="20">
        <f>IFERROR(_xlfn.ISOWEEKNUM(INPUT!M4751),"")</f>
        <v>52</v>
      </c>
      <c r="D4756" s="20">
        <f>IFERROR(YEAR(INPUT!M4751),"")</f>
        <v>1900</v>
      </c>
      <c r="E4756" t="str">
        <f>IF(INPUT!O4751="","",INPUT!O4751)</f>
        <v/>
      </c>
      <c r="F4756" t="str">
        <f>IF(INPUT!N4751="","",INPUT!N4751)</f>
        <v/>
      </c>
      <c r="G4756" cm="1">
        <f t="array" ref="G4756">IFERROR(VLOOKUP(INPUT!M4751&amp;INPUT!N4751,CHOOSE({1,2},INPUT!$A$3:$A$5000&amp;INPUT!$C$3:$C$5000,INPUT!$F$3:$F$5000),2,FALSE),"")</f>
        <v>0</v>
      </c>
      <c r="H4756" cm="1">
        <f t="array" ref="H4756">IFERROR(VLOOKUP(INPUT!M4751&amp;INPUT!N4751,CHOOSE({1,2},INPUT!$A$3:$A$5000&amp;INPUT!$C$3:$C$5000,INPUT!$D$3:$D$5000),2,FALSE),"")</f>
        <v>0</v>
      </c>
      <c r="I4756" s="46" t="str">
        <f>IF(INPUT!P4751="","",INPUT!P4751)</f>
        <v/>
      </c>
      <c r="J4756" s="46" t="str">
        <f>IF(INPUT!Q4751="","",INPUT!Q4751)</f>
        <v/>
      </c>
      <c r="K4756" s="46" t="str">
        <f>IFERROR(IF(OR(INPUT!P4751="",INPUT!Q4751=""),"",INPUT!P4751-INPUT!Q4751),"")</f>
        <v/>
      </c>
      <c r="L4756" s="48" t="str">
        <f>IFERROR(IF(OR(INPUT!P4751="",INPUT!Q4751="",INPUT!P4751=0),"",(INPUT!P4751-INPUT!Q4751)/INPUT!P4751),"")</f>
        <v/>
      </c>
    </row>
    <row r="4757" spans="1:12" ht="18" hidden="1" customHeight="1" x14ac:dyDescent="0.2">
      <c r="A4757" s="11" t="str">
        <f>IF(INPUT!M4752="","",INPUT!M4752)</f>
        <v/>
      </c>
      <c r="B4757" s="11" t="str">
        <f>IF(INPUT!M4752="","",INPUT!M4752-WEEKDAY(INPUT!M4752,2)+1)</f>
        <v/>
      </c>
      <c r="C4757" s="20">
        <f>IFERROR(_xlfn.ISOWEEKNUM(INPUT!M4752),"")</f>
        <v>52</v>
      </c>
      <c r="D4757" s="20">
        <f>IFERROR(YEAR(INPUT!M4752),"")</f>
        <v>1900</v>
      </c>
      <c r="E4757" t="str">
        <f>IF(INPUT!O4752="","",INPUT!O4752)</f>
        <v/>
      </c>
      <c r="F4757" t="str">
        <f>IF(INPUT!N4752="","",INPUT!N4752)</f>
        <v/>
      </c>
      <c r="G4757" cm="1">
        <f t="array" ref="G4757">IFERROR(VLOOKUP(INPUT!M4752&amp;INPUT!N4752,CHOOSE({1,2},INPUT!$A$3:$A$5000&amp;INPUT!$C$3:$C$5000,INPUT!$F$3:$F$5000),2,FALSE),"")</f>
        <v>0</v>
      </c>
      <c r="H4757" cm="1">
        <f t="array" ref="H4757">IFERROR(VLOOKUP(INPUT!M4752&amp;INPUT!N4752,CHOOSE({1,2},INPUT!$A$3:$A$5000&amp;INPUT!$C$3:$C$5000,INPUT!$D$3:$D$5000),2,FALSE),"")</f>
        <v>0</v>
      </c>
      <c r="I4757" s="46" t="str">
        <f>IF(INPUT!P4752="","",INPUT!P4752)</f>
        <v/>
      </c>
      <c r="J4757" s="46" t="str">
        <f>IF(INPUT!Q4752="","",INPUT!Q4752)</f>
        <v/>
      </c>
      <c r="K4757" s="46" t="str">
        <f>IFERROR(IF(OR(INPUT!P4752="",INPUT!Q4752=""),"",INPUT!P4752-INPUT!Q4752),"")</f>
        <v/>
      </c>
      <c r="L4757" s="48" t="str">
        <f>IFERROR(IF(OR(INPUT!P4752="",INPUT!Q4752="",INPUT!P4752=0),"",(INPUT!P4752-INPUT!Q4752)/INPUT!P4752),"")</f>
        <v/>
      </c>
    </row>
    <row r="4758" spans="1:12" ht="18" hidden="1" customHeight="1" x14ac:dyDescent="0.2">
      <c r="A4758" s="11" t="str">
        <f>IF(INPUT!M4753="","",INPUT!M4753)</f>
        <v/>
      </c>
      <c r="B4758" s="11" t="str">
        <f>IF(INPUT!M4753="","",INPUT!M4753-WEEKDAY(INPUT!M4753,2)+1)</f>
        <v/>
      </c>
      <c r="C4758" s="20">
        <f>IFERROR(_xlfn.ISOWEEKNUM(INPUT!M4753),"")</f>
        <v>52</v>
      </c>
      <c r="D4758" s="20">
        <f>IFERROR(YEAR(INPUT!M4753),"")</f>
        <v>1900</v>
      </c>
      <c r="E4758" t="str">
        <f>IF(INPUT!O4753="","",INPUT!O4753)</f>
        <v/>
      </c>
      <c r="F4758" t="str">
        <f>IF(INPUT!N4753="","",INPUT!N4753)</f>
        <v/>
      </c>
      <c r="G4758" cm="1">
        <f t="array" ref="G4758">IFERROR(VLOOKUP(INPUT!M4753&amp;INPUT!N4753,CHOOSE({1,2},INPUT!$A$3:$A$5000&amp;INPUT!$C$3:$C$5000,INPUT!$F$3:$F$5000),2,FALSE),"")</f>
        <v>0</v>
      </c>
      <c r="H4758" cm="1">
        <f t="array" ref="H4758">IFERROR(VLOOKUP(INPUT!M4753&amp;INPUT!N4753,CHOOSE({1,2},INPUT!$A$3:$A$5000&amp;INPUT!$C$3:$C$5000,INPUT!$D$3:$D$5000),2,FALSE),"")</f>
        <v>0</v>
      </c>
      <c r="I4758" s="46" t="str">
        <f>IF(INPUT!P4753="","",INPUT!P4753)</f>
        <v/>
      </c>
      <c r="J4758" s="46" t="str">
        <f>IF(INPUT!Q4753="","",INPUT!Q4753)</f>
        <v/>
      </c>
      <c r="K4758" s="46" t="str">
        <f>IFERROR(IF(OR(INPUT!P4753="",INPUT!Q4753=""),"",INPUT!P4753-INPUT!Q4753),"")</f>
        <v/>
      </c>
      <c r="L4758" s="48" t="str">
        <f>IFERROR(IF(OR(INPUT!P4753="",INPUT!Q4753="",INPUT!P4753=0),"",(INPUT!P4753-INPUT!Q4753)/INPUT!P4753),"")</f>
        <v/>
      </c>
    </row>
    <row r="4759" spans="1:12" ht="18" hidden="1" customHeight="1" x14ac:dyDescent="0.2">
      <c r="A4759" s="11" t="str">
        <f>IF(INPUT!M4754="","",INPUT!M4754)</f>
        <v/>
      </c>
      <c r="B4759" s="11" t="str">
        <f>IF(INPUT!M4754="","",INPUT!M4754-WEEKDAY(INPUT!M4754,2)+1)</f>
        <v/>
      </c>
      <c r="C4759" s="20">
        <f>IFERROR(_xlfn.ISOWEEKNUM(INPUT!M4754),"")</f>
        <v>52</v>
      </c>
      <c r="D4759" s="20">
        <f>IFERROR(YEAR(INPUT!M4754),"")</f>
        <v>1900</v>
      </c>
      <c r="E4759" t="str">
        <f>IF(INPUT!O4754="","",INPUT!O4754)</f>
        <v/>
      </c>
      <c r="F4759" t="str">
        <f>IF(INPUT!N4754="","",INPUT!N4754)</f>
        <v/>
      </c>
      <c r="G4759" cm="1">
        <f t="array" ref="G4759">IFERROR(VLOOKUP(INPUT!M4754&amp;INPUT!N4754,CHOOSE({1,2},INPUT!$A$3:$A$5000&amp;INPUT!$C$3:$C$5000,INPUT!$F$3:$F$5000),2,FALSE),"")</f>
        <v>0</v>
      </c>
      <c r="H4759" cm="1">
        <f t="array" ref="H4759">IFERROR(VLOOKUP(INPUT!M4754&amp;INPUT!N4754,CHOOSE({1,2},INPUT!$A$3:$A$5000&amp;INPUT!$C$3:$C$5000,INPUT!$D$3:$D$5000),2,FALSE),"")</f>
        <v>0</v>
      </c>
      <c r="I4759" s="46" t="str">
        <f>IF(INPUT!P4754="","",INPUT!P4754)</f>
        <v/>
      </c>
      <c r="J4759" s="46" t="str">
        <f>IF(INPUT!Q4754="","",INPUT!Q4754)</f>
        <v/>
      </c>
      <c r="K4759" s="46" t="str">
        <f>IFERROR(IF(OR(INPUT!P4754="",INPUT!Q4754=""),"",INPUT!P4754-INPUT!Q4754),"")</f>
        <v/>
      </c>
      <c r="L4759" s="48" t="str">
        <f>IFERROR(IF(OR(INPUT!P4754="",INPUT!Q4754="",INPUT!P4754=0),"",(INPUT!P4754-INPUT!Q4754)/INPUT!P4754),"")</f>
        <v/>
      </c>
    </row>
    <row r="4760" spans="1:12" ht="18" hidden="1" customHeight="1" x14ac:dyDescent="0.2">
      <c r="A4760" s="11" t="str">
        <f>IF(INPUT!M4755="","",INPUT!M4755)</f>
        <v/>
      </c>
      <c r="B4760" s="11" t="str">
        <f>IF(INPUT!M4755="","",INPUT!M4755-WEEKDAY(INPUT!M4755,2)+1)</f>
        <v/>
      </c>
      <c r="C4760" s="20">
        <f>IFERROR(_xlfn.ISOWEEKNUM(INPUT!M4755),"")</f>
        <v>52</v>
      </c>
      <c r="D4760" s="20">
        <f>IFERROR(YEAR(INPUT!M4755),"")</f>
        <v>1900</v>
      </c>
      <c r="E4760" t="str">
        <f>IF(INPUT!O4755="","",INPUT!O4755)</f>
        <v/>
      </c>
      <c r="F4760" t="str">
        <f>IF(INPUT!N4755="","",INPUT!N4755)</f>
        <v/>
      </c>
      <c r="G4760" cm="1">
        <f t="array" ref="G4760">IFERROR(VLOOKUP(INPUT!M4755&amp;INPUT!N4755,CHOOSE({1,2},INPUT!$A$3:$A$5000&amp;INPUT!$C$3:$C$5000,INPUT!$F$3:$F$5000),2,FALSE),"")</f>
        <v>0</v>
      </c>
      <c r="H4760" cm="1">
        <f t="array" ref="H4760">IFERROR(VLOOKUP(INPUT!M4755&amp;INPUT!N4755,CHOOSE({1,2},INPUT!$A$3:$A$5000&amp;INPUT!$C$3:$C$5000,INPUT!$D$3:$D$5000),2,FALSE),"")</f>
        <v>0</v>
      </c>
      <c r="I4760" s="46" t="str">
        <f>IF(INPUT!P4755="","",INPUT!P4755)</f>
        <v/>
      </c>
      <c r="J4760" s="46" t="str">
        <f>IF(INPUT!Q4755="","",INPUT!Q4755)</f>
        <v/>
      </c>
      <c r="K4760" s="46" t="str">
        <f>IFERROR(IF(OR(INPUT!P4755="",INPUT!Q4755=""),"",INPUT!P4755-INPUT!Q4755),"")</f>
        <v/>
      </c>
      <c r="L4760" s="48" t="str">
        <f>IFERROR(IF(OR(INPUT!P4755="",INPUT!Q4755="",INPUT!P4755=0),"",(INPUT!P4755-INPUT!Q4755)/INPUT!P4755),"")</f>
        <v/>
      </c>
    </row>
    <row r="4761" spans="1:12" ht="18" hidden="1" customHeight="1" x14ac:dyDescent="0.2">
      <c r="A4761" s="11" t="str">
        <f>IF(INPUT!M4756="","",INPUT!M4756)</f>
        <v/>
      </c>
      <c r="B4761" s="11" t="str">
        <f>IF(INPUT!M4756="","",INPUT!M4756-WEEKDAY(INPUT!M4756,2)+1)</f>
        <v/>
      </c>
      <c r="C4761" s="20">
        <f>IFERROR(_xlfn.ISOWEEKNUM(INPUT!M4756),"")</f>
        <v>52</v>
      </c>
      <c r="D4761" s="20">
        <f>IFERROR(YEAR(INPUT!M4756),"")</f>
        <v>1900</v>
      </c>
      <c r="E4761" t="str">
        <f>IF(INPUT!O4756="","",INPUT!O4756)</f>
        <v/>
      </c>
      <c r="F4761" t="str">
        <f>IF(INPUT!N4756="","",INPUT!N4756)</f>
        <v/>
      </c>
      <c r="G4761" cm="1">
        <f t="array" ref="G4761">IFERROR(VLOOKUP(INPUT!M4756&amp;INPUT!N4756,CHOOSE({1,2},INPUT!$A$3:$A$5000&amp;INPUT!$C$3:$C$5000,INPUT!$F$3:$F$5000),2,FALSE),"")</f>
        <v>0</v>
      </c>
      <c r="H4761" cm="1">
        <f t="array" ref="H4761">IFERROR(VLOOKUP(INPUT!M4756&amp;INPUT!N4756,CHOOSE({1,2},INPUT!$A$3:$A$5000&amp;INPUT!$C$3:$C$5000,INPUT!$D$3:$D$5000),2,FALSE),"")</f>
        <v>0</v>
      </c>
      <c r="I4761" s="46" t="str">
        <f>IF(INPUT!P4756="","",INPUT!P4756)</f>
        <v/>
      </c>
      <c r="J4761" s="46" t="str">
        <f>IF(INPUT!Q4756="","",INPUT!Q4756)</f>
        <v/>
      </c>
      <c r="K4761" s="46" t="str">
        <f>IFERROR(IF(OR(INPUT!P4756="",INPUT!Q4756=""),"",INPUT!P4756-INPUT!Q4756),"")</f>
        <v/>
      </c>
      <c r="L4761" s="48" t="str">
        <f>IFERROR(IF(OR(INPUT!P4756="",INPUT!Q4756="",INPUT!P4756=0),"",(INPUT!P4756-INPUT!Q4756)/INPUT!P4756),"")</f>
        <v/>
      </c>
    </row>
    <row r="4762" spans="1:12" ht="18" hidden="1" customHeight="1" x14ac:dyDescent="0.2">
      <c r="A4762" s="11" t="str">
        <f>IF(INPUT!M4757="","",INPUT!M4757)</f>
        <v/>
      </c>
      <c r="B4762" s="11" t="str">
        <f>IF(INPUT!M4757="","",INPUT!M4757-WEEKDAY(INPUT!M4757,2)+1)</f>
        <v/>
      </c>
      <c r="C4762" s="20">
        <f>IFERROR(_xlfn.ISOWEEKNUM(INPUT!M4757),"")</f>
        <v>52</v>
      </c>
      <c r="D4762" s="20">
        <f>IFERROR(YEAR(INPUT!M4757),"")</f>
        <v>1900</v>
      </c>
      <c r="E4762" t="str">
        <f>IF(INPUT!O4757="","",INPUT!O4757)</f>
        <v/>
      </c>
      <c r="F4762" t="str">
        <f>IF(INPUT!N4757="","",INPUT!N4757)</f>
        <v/>
      </c>
      <c r="G4762" cm="1">
        <f t="array" ref="G4762">IFERROR(VLOOKUP(INPUT!M4757&amp;INPUT!N4757,CHOOSE({1,2},INPUT!$A$3:$A$5000&amp;INPUT!$C$3:$C$5000,INPUT!$F$3:$F$5000),2,FALSE),"")</f>
        <v>0</v>
      </c>
      <c r="H4762" cm="1">
        <f t="array" ref="H4762">IFERROR(VLOOKUP(INPUT!M4757&amp;INPUT!N4757,CHOOSE({1,2},INPUT!$A$3:$A$5000&amp;INPUT!$C$3:$C$5000,INPUT!$D$3:$D$5000),2,FALSE),"")</f>
        <v>0</v>
      </c>
      <c r="I4762" s="46" t="str">
        <f>IF(INPUT!P4757="","",INPUT!P4757)</f>
        <v/>
      </c>
      <c r="J4762" s="46" t="str">
        <f>IF(INPUT!Q4757="","",INPUT!Q4757)</f>
        <v/>
      </c>
      <c r="K4762" s="46" t="str">
        <f>IFERROR(IF(OR(INPUT!P4757="",INPUT!Q4757=""),"",INPUT!P4757-INPUT!Q4757),"")</f>
        <v/>
      </c>
      <c r="L4762" s="48" t="str">
        <f>IFERROR(IF(OR(INPUT!P4757="",INPUT!Q4757="",INPUT!P4757=0),"",(INPUT!P4757-INPUT!Q4757)/INPUT!P4757),"")</f>
        <v/>
      </c>
    </row>
    <row r="4763" spans="1:12" ht="18" hidden="1" customHeight="1" x14ac:dyDescent="0.2">
      <c r="A4763" s="11" t="str">
        <f>IF(INPUT!M4758="","",INPUT!M4758)</f>
        <v/>
      </c>
      <c r="B4763" s="11" t="str">
        <f>IF(INPUT!M4758="","",INPUT!M4758-WEEKDAY(INPUT!M4758,2)+1)</f>
        <v/>
      </c>
      <c r="C4763" s="20">
        <f>IFERROR(_xlfn.ISOWEEKNUM(INPUT!M4758),"")</f>
        <v>52</v>
      </c>
      <c r="D4763" s="20">
        <f>IFERROR(YEAR(INPUT!M4758),"")</f>
        <v>1900</v>
      </c>
      <c r="E4763" t="str">
        <f>IF(INPUT!O4758="","",INPUT!O4758)</f>
        <v/>
      </c>
      <c r="F4763" t="str">
        <f>IF(INPUT!N4758="","",INPUT!N4758)</f>
        <v/>
      </c>
      <c r="G4763" cm="1">
        <f t="array" ref="G4763">IFERROR(VLOOKUP(INPUT!M4758&amp;INPUT!N4758,CHOOSE({1,2},INPUT!$A$3:$A$5000&amp;INPUT!$C$3:$C$5000,INPUT!$F$3:$F$5000),2,FALSE),"")</f>
        <v>0</v>
      </c>
      <c r="H4763" cm="1">
        <f t="array" ref="H4763">IFERROR(VLOOKUP(INPUT!M4758&amp;INPUT!N4758,CHOOSE({1,2},INPUT!$A$3:$A$5000&amp;INPUT!$C$3:$C$5000,INPUT!$D$3:$D$5000),2,FALSE),"")</f>
        <v>0</v>
      </c>
      <c r="I4763" s="46" t="str">
        <f>IF(INPUT!P4758="","",INPUT!P4758)</f>
        <v/>
      </c>
      <c r="J4763" s="46" t="str">
        <f>IF(INPUT!Q4758="","",INPUT!Q4758)</f>
        <v/>
      </c>
      <c r="K4763" s="46" t="str">
        <f>IFERROR(IF(OR(INPUT!P4758="",INPUT!Q4758=""),"",INPUT!P4758-INPUT!Q4758),"")</f>
        <v/>
      </c>
      <c r="L4763" s="48" t="str">
        <f>IFERROR(IF(OR(INPUT!P4758="",INPUT!Q4758="",INPUT!P4758=0),"",(INPUT!P4758-INPUT!Q4758)/INPUT!P4758),"")</f>
        <v/>
      </c>
    </row>
    <row r="4764" spans="1:12" ht="18" hidden="1" customHeight="1" x14ac:dyDescent="0.2">
      <c r="A4764" s="11" t="str">
        <f>IF(INPUT!M4759="","",INPUT!M4759)</f>
        <v/>
      </c>
      <c r="B4764" s="11" t="str">
        <f>IF(INPUT!M4759="","",INPUT!M4759-WEEKDAY(INPUT!M4759,2)+1)</f>
        <v/>
      </c>
      <c r="C4764" s="20">
        <f>IFERROR(_xlfn.ISOWEEKNUM(INPUT!M4759),"")</f>
        <v>52</v>
      </c>
      <c r="D4764" s="20">
        <f>IFERROR(YEAR(INPUT!M4759),"")</f>
        <v>1900</v>
      </c>
      <c r="E4764" t="str">
        <f>IF(INPUT!O4759="","",INPUT!O4759)</f>
        <v/>
      </c>
      <c r="F4764" t="str">
        <f>IF(INPUT!N4759="","",INPUT!N4759)</f>
        <v/>
      </c>
      <c r="G4764" cm="1">
        <f t="array" ref="G4764">IFERROR(VLOOKUP(INPUT!M4759&amp;INPUT!N4759,CHOOSE({1,2},INPUT!$A$3:$A$5000&amp;INPUT!$C$3:$C$5000,INPUT!$F$3:$F$5000),2,FALSE),"")</f>
        <v>0</v>
      </c>
      <c r="H4764" cm="1">
        <f t="array" ref="H4764">IFERROR(VLOOKUP(INPUT!M4759&amp;INPUT!N4759,CHOOSE({1,2},INPUT!$A$3:$A$5000&amp;INPUT!$C$3:$C$5000,INPUT!$D$3:$D$5000),2,FALSE),"")</f>
        <v>0</v>
      </c>
      <c r="I4764" s="46" t="str">
        <f>IF(INPUT!P4759="","",INPUT!P4759)</f>
        <v/>
      </c>
      <c r="J4764" s="46" t="str">
        <f>IF(INPUT!Q4759="","",INPUT!Q4759)</f>
        <v/>
      </c>
      <c r="K4764" s="46" t="str">
        <f>IFERROR(IF(OR(INPUT!P4759="",INPUT!Q4759=""),"",INPUT!P4759-INPUT!Q4759),"")</f>
        <v/>
      </c>
      <c r="L4764" s="48" t="str">
        <f>IFERROR(IF(OR(INPUT!P4759="",INPUT!Q4759="",INPUT!P4759=0),"",(INPUT!P4759-INPUT!Q4759)/INPUT!P4759),"")</f>
        <v/>
      </c>
    </row>
    <row r="4765" spans="1:12" ht="18" hidden="1" customHeight="1" x14ac:dyDescent="0.2">
      <c r="A4765" s="11" t="str">
        <f>IF(INPUT!M4760="","",INPUT!M4760)</f>
        <v/>
      </c>
      <c r="B4765" s="11" t="str">
        <f>IF(INPUT!M4760="","",INPUT!M4760-WEEKDAY(INPUT!M4760,2)+1)</f>
        <v/>
      </c>
      <c r="C4765" s="20">
        <f>IFERROR(_xlfn.ISOWEEKNUM(INPUT!M4760),"")</f>
        <v>52</v>
      </c>
      <c r="D4765" s="20">
        <f>IFERROR(YEAR(INPUT!M4760),"")</f>
        <v>1900</v>
      </c>
      <c r="E4765" t="str">
        <f>IF(INPUT!O4760="","",INPUT!O4760)</f>
        <v/>
      </c>
      <c r="F4765" t="str">
        <f>IF(INPUT!N4760="","",INPUT!N4760)</f>
        <v/>
      </c>
      <c r="G4765" cm="1">
        <f t="array" ref="G4765">IFERROR(VLOOKUP(INPUT!M4760&amp;INPUT!N4760,CHOOSE({1,2},INPUT!$A$3:$A$5000&amp;INPUT!$C$3:$C$5000,INPUT!$F$3:$F$5000),2,FALSE),"")</f>
        <v>0</v>
      </c>
      <c r="H4765" cm="1">
        <f t="array" ref="H4765">IFERROR(VLOOKUP(INPUT!M4760&amp;INPUT!N4760,CHOOSE({1,2},INPUT!$A$3:$A$5000&amp;INPUT!$C$3:$C$5000,INPUT!$D$3:$D$5000),2,FALSE),"")</f>
        <v>0</v>
      </c>
      <c r="I4765" s="46" t="str">
        <f>IF(INPUT!P4760="","",INPUT!P4760)</f>
        <v/>
      </c>
      <c r="J4765" s="46" t="str">
        <f>IF(INPUT!Q4760="","",INPUT!Q4760)</f>
        <v/>
      </c>
      <c r="K4765" s="46" t="str">
        <f>IFERROR(IF(OR(INPUT!P4760="",INPUT!Q4760=""),"",INPUT!P4760-INPUT!Q4760),"")</f>
        <v/>
      </c>
      <c r="L4765" s="48" t="str">
        <f>IFERROR(IF(OR(INPUT!P4760="",INPUT!Q4760="",INPUT!P4760=0),"",(INPUT!P4760-INPUT!Q4760)/INPUT!P4760),"")</f>
        <v/>
      </c>
    </row>
    <row r="4766" spans="1:12" ht="18" hidden="1" customHeight="1" x14ac:dyDescent="0.2">
      <c r="A4766" s="11" t="str">
        <f>IF(INPUT!M4761="","",INPUT!M4761)</f>
        <v/>
      </c>
      <c r="B4766" s="11" t="str">
        <f>IF(INPUT!M4761="","",INPUT!M4761-WEEKDAY(INPUT!M4761,2)+1)</f>
        <v/>
      </c>
      <c r="C4766" s="20">
        <f>IFERROR(_xlfn.ISOWEEKNUM(INPUT!M4761),"")</f>
        <v>52</v>
      </c>
      <c r="D4766" s="20">
        <f>IFERROR(YEAR(INPUT!M4761),"")</f>
        <v>1900</v>
      </c>
      <c r="E4766" t="str">
        <f>IF(INPUT!O4761="","",INPUT!O4761)</f>
        <v/>
      </c>
      <c r="F4766" t="str">
        <f>IF(INPUT!N4761="","",INPUT!N4761)</f>
        <v/>
      </c>
      <c r="G4766" cm="1">
        <f t="array" ref="G4766">IFERROR(VLOOKUP(INPUT!M4761&amp;INPUT!N4761,CHOOSE({1,2},INPUT!$A$3:$A$5000&amp;INPUT!$C$3:$C$5000,INPUT!$F$3:$F$5000),2,FALSE),"")</f>
        <v>0</v>
      </c>
      <c r="H4766" cm="1">
        <f t="array" ref="H4766">IFERROR(VLOOKUP(INPUT!M4761&amp;INPUT!N4761,CHOOSE({1,2},INPUT!$A$3:$A$5000&amp;INPUT!$C$3:$C$5000,INPUT!$D$3:$D$5000),2,FALSE),"")</f>
        <v>0</v>
      </c>
      <c r="I4766" s="46" t="str">
        <f>IF(INPUT!P4761="","",INPUT!P4761)</f>
        <v/>
      </c>
      <c r="J4766" s="46" t="str">
        <f>IF(INPUT!Q4761="","",INPUT!Q4761)</f>
        <v/>
      </c>
      <c r="K4766" s="46" t="str">
        <f>IFERROR(IF(OR(INPUT!P4761="",INPUT!Q4761=""),"",INPUT!P4761-INPUT!Q4761),"")</f>
        <v/>
      </c>
      <c r="L4766" s="48" t="str">
        <f>IFERROR(IF(OR(INPUT!P4761="",INPUT!Q4761="",INPUT!P4761=0),"",(INPUT!P4761-INPUT!Q4761)/INPUT!P4761),"")</f>
        <v/>
      </c>
    </row>
    <row r="4767" spans="1:12" ht="18" hidden="1" customHeight="1" x14ac:dyDescent="0.2">
      <c r="A4767" s="11" t="str">
        <f>IF(INPUT!M4762="","",INPUT!M4762)</f>
        <v/>
      </c>
      <c r="B4767" s="11" t="str">
        <f>IF(INPUT!M4762="","",INPUT!M4762-WEEKDAY(INPUT!M4762,2)+1)</f>
        <v/>
      </c>
      <c r="C4767" s="20">
        <f>IFERROR(_xlfn.ISOWEEKNUM(INPUT!M4762),"")</f>
        <v>52</v>
      </c>
      <c r="D4767" s="20">
        <f>IFERROR(YEAR(INPUT!M4762),"")</f>
        <v>1900</v>
      </c>
      <c r="E4767" t="str">
        <f>IF(INPUT!O4762="","",INPUT!O4762)</f>
        <v/>
      </c>
      <c r="F4767" t="str">
        <f>IF(INPUT!N4762="","",INPUT!N4762)</f>
        <v/>
      </c>
      <c r="G4767" cm="1">
        <f t="array" ref="G4767">IFERROR(VLOOKUP(INPUT!M4762&amp;INPUT!N4762,CHOOSE({1,2},INPUT!$A$3:$A$5000&amp;INPUT!$C$3:$C$5000,INPUT!$F$3:$F$5000),2,FALSE),"")</f>
        <v>0</v>
      </c>
      <c r="H4767" cm="1">
        <f t="array" ref="H4767">IFERROR(VLOOKUP(INPUT!M4762&amp;INPUT!N4762,CHOOSE({1,2},INPUT!$A$3:$A$5000&amp;INPUT!$C$3:$C$5000,INPUT!$D$3:$D$5000),2,FALSE),"")</f>
        <v>0</v>
      </c>
      <c r="I4767" s="46" t="str">
        <f>IF(INPUT!P4762="","",INPUT!P4762)</f>
        <v/>
      </c>
      <c r="J4767" s="46" t="str">
        <f>IF(INPUT!Q4762="","",INPUT!Q4762)</f>
        <v/>
      </c>
      <c r="K4767" s="46" t="str">
        <f>IFERROR(IF(OR(INPUT!P4762="",INPUT!Q4762=""),"",INPUT!P4762-INPUT!Q4762),"")</f>
        <v/>
      </c>
      <c r="L4767" s="48" t="str">
        <f>IFERROR(IF(OR(INPUT!P4762="",INPUT!Q4762="",INPUT!P4762=0),"",(INPUT!P4762-INPUT!Q4762)/INPUT!P4762),"")</f>
        <v/>
      </c>
    </row>
    <row r="4768" spans="1:12" ht="18" hidden="1" customHeight="1" x14ac:dyDescent="0.2">
      <c r="A4768" s="11" t="str">
        <f>IF(INPUT!M4763="","",INPUT!M4763)</f>
        <v/>
      </c>
      <c r="B4768" s="11" t="str">
        <f>IF(INPUT!M4763="","",INPUT!M4763-WEEKDAY(INPUT!M4763,2)+1)</f>
        <v/>
      </c>
      <c r="C4768" s="20">
        <f>IFERROR(_xlfn.ISOWEEKNUM(INPUT!M4763),"")</f>
        <v>52</v>
      </c>
      <c r="D4768" s="20">
        <f>IFERROR(YEAR(INPUT!M4763),"")</f>
        <v>1900</v>
      </c>
      <c r="E4768" t="str">
        <f>IF(INPUT!O4763="","",INPUT!O4763)</f>
        <v/>
      </c>
      <c r="F4768" t="str">
        <f>IF(INPUT!N4763="","",INPUT!N4763)</f>
        <v/>
      </c>
      <c r="G4768" cm="1">
        <f t="array" ref="G4768">IFERROR(VLOOKUP(INPUT!M4763&amp;INPUT!N4763,CHOOSE({1,2},INPUT!$A$3:$A$5000&amp;INPUT!$C$3:$C$5000,INPUT!$F$3:$F$5000),2,FALSE),"")</f>
        <v>0</v>
      </c>
      <c r="H4768" cm="1">
        <f t="array" ref="H4768">IFERROR(VLOOKUP(INPUT!M4763&amp;INPUT!N4763,CHOOSE({1,2},INPUT!$A$3:$A$5000&amp;INPUT!$C$3:$C$5000,INPUT!$D$3:$D$5000),2,FALSE),"")</f>
        <v>0</v>
      </c>
      <c r="I4768" s="46" t="str">
        <f>IF(INPUT!P4763="","",INPUT!P4763)</f>
        <v/>
      </c>
      <c r="J4768" s="46" t="str">
        <f>IF(INPUT!Q4763="","",INPUT!Q4763)</f>
        <v/>
      </c>
      <c r="K4768" s="46" t="str">
        <f>IFERROR(IF(OR(INPUT!P4763="",INPUT!Q4763=""),"",INPUT!P4763-INPUT!Q4763),"")</f>
        <v/>
      </c>
      <c r="L4768" s="48" t="str">
        <f>IFERROR(IF(OR(INPUT!P4763="",INPUT!Q4763="",INPUT!P4763=0),"",(INPUT!P4763-INPUT!Q4763)/INPUT!P4763),"")</f>
        <v/>
      </c>
    </row>
    <row r="4769" spans="1:12" ht="18" hidden="1" customHeight="1" x14ac:dyDescent="0.2">
      <c r="A4769" s="11" t="str">
        <f>IF(INPUT!M4764="","",INPUT!M4764)</f>
        <v/>
      </c>
      <c r="B4769" s="11" t="str">
        <f>IF(INPUT!M4764="","",INPUT!M4764-WEEKDAY(INPUT!M4764,2)+1)</f>
        <v/>
      </c>
      <c r="C4769" s="20">
        <f>IFERROR(_xlfn.ISOWEEKNUM(INPUT!M4764),"")</f>
        <v>52</v>
      </c>
      <c r="D4769" s="20">
        <f>IFERROR(YEAR(INPUT!M4764),"")</f>
        <v>1900</v>
      </c>
      <c r="E4769" t="str">
        <f>IF(INPUT!O4764="","",INPUT!O4764)</f>
        <v/>
      </c>
      <c r="F4769" t="str">
        <f>IF(INPUT!N4764="","",INPUT!N4764)</f>
        <v/>
      </c>
      <c r="G4769" cm="1">
        <f t="array" ref="G4769">IFERROR(VLOOKUP(INPUT!M4764&amp;INPUT!N4764,CHOOSE({1,2},INPUT!$A$3:$A$5000&amp;INPUT!$C$3:$C$5000,INPUT!$F$3:$F$5000),2,FALSE),"")</f>
        <v>0</v>
      </c>
      <c r="H4769" cm="1">
        <f t="array" ref="H4769">IFERROR(VLOOKUP(INPUT!M4764&amp;INPUT!N4764,CHOOSE({1,2},INPUT!$A$3:$A$5000&amp;INPUT!$C$3:$C$5000,INPUT!$D$3:$D$5000),2,FALSE),"")</f>
        <v>0</v>
      </c>
      <c r="I4769" s="46" t="str">
        <f>IF(INPUT!P4764="","",INPUT!P4764)</f>
        <v/>
      </c>
      <c r="J4769" s="46" t="str">
        <f>IF(INPUT!Q4764="","",INPUT!Q4764)</f>
        <v/>
      </c>
      <c r="K4769" s="46" t="str">
        <f>IFERROR(IF(OR(INPUT!P4764="",INPUT!Q4764=""),"",INPUT!P4764-INPUT!Q4764),"")</f>
        <v/>
      </c>
      <c r="L4769" s="48" t="str">
        <f>IFERROR(IF(OR(INPUT!P4764="",INPUT!Q4764="",INPUT!P4764=0),"",(INPUT!P4764-INPUT!Q4764)/INPUT!P4764),"")</f>
        <v/>
      </c>
    </row>
    <row r="4770" spans="1:12" ht="18" hidden="1" customHeight="1" x14ac:dyDescent="0.2">
      <c r="A4770" s="11" t="str">
        <f>IF(INPUT!M4765="","",INPUT!M4765)</f>
        <v/>
      </c>
      <c r="B4770" s="11" t="str">
        <f>IF(INPUT!M4765="","",INPUT!M4765-WEEKDAY(INPUT!M4765,2)+1)</f>
        <v/>
      </c>
      <c r="C4770" s="20">
        <f>IFERROR(_xlfn.ISOWEEKNUM(INPUT!M4765),"")</f>
        <v>52</v>
      </c>
      <c r="D4770" s="20">
        <f>IFERROR(YEAR(INPUT!M4765),"")</f>
        <v>1900</v>
      </c>
      <c r="E4770" t="str">
        <f>IF(INPUT!O4765="","",INPUT!O4765)</f>
        <v/>
      </c>
      <c r="F4770" t="str">
        <f>IF(INPUT!N4765="","",INPUT!N4765)</f>
        <v/>
      </c>
      <c r="G4770" cm="1">
        <f t="array" ref="G4770">IFERROR(VLOOKUP(INPUT!M4765&amp;INPUT!N4765,CHOOSE({1,2},INPUT!$A$3:$A$5000&amp;INPUT!$C$3:$C$5000,INPUT!$F$3:$F$5000),2,FALSE),"")</f>
        <v>0</v>
      </c>
      <c r="H4770" cm="1">
        <f t="array" ref="H4770">IFERROR(VLOOKUP(INPUT!M4765&amp;INPUT!N4765,CHOOSE({1,2},INPUT!$A$3:$A$5000&amp;INPUT!$C$3:$C$5000,INPUT!$D$3:$D$5000),2,FALSE),"")</f>
        <v>0</v>
      </c>
      <c r="I4770" s="46" t="str">
        <f>IF(INPUT!P4765="","",INPUT!P4765)</f>
        <v/>
      </c>
      <c r="J4770" s="46" t="str">
        <f>IF(INPUT!Q4765="","",INPUT!Q4765)</f>
        <v/>
      </c>
      <c r="K4770" s="46" t="str">
        <f>IFERROR(IF(OR(INPUT!P4765="",INPUT!Q4765=""),"",INPUT!P4765-INPUT!Q4765),"")</f>
        <v/>
      </c>
      <c r="L4770" s="48" t="str">
        <f>IFERROR(IF(OR(INPUT!P4765="",INPUT!Q4765="",INPUT!P4765=0),"",(INPUT!P4765-INPUT!Q4765)/INPUT!P4765),"")</f>
        <v/>
      </c>
    </row>
    <row r="4771" spans="1:12" ht="18" hidden="1" customHeight="1" x14ac:dyDescent="0.2">
      <c r="A4771" s="11" t="str">
        <f>IF(INPUT!M4766="","",INPUT!M4766)</f>
        <v/>
      </c>
      <c r="B4771" s="11" t="str">
        <f>IF(INPUT!M4766="","",INPUT!M4766-WEEKDAY(INPUT!M4766,2)+1)</f>
        <v/>
      </c>
      <c r="C4771" s="20">
        <f>IFERROR(_xlfn.ISOWEEKNUM(INPUT!M4766),"")</f>
        <v>52</v>
      </c>
      <c r="D4771" s="20">
        <f>IFERROR(YEAR(INPUT!M4766),"")</f>
        <v>1900</v>
      </c>
      <c r="E4771" t="str">
        <f>IF(INPUT!O4766="","",INPUT!O4766)</f>
        <v/>
      </c>
      <c r="F4771" t="str">
        <f>IF(INPUT!N4766="","",INPUT!N4766)</f>
        <v/>
      </c>
      <c r="G4771" cm="1">
        <f t="array" ref="G4771">IFERROR(VLOOKUP(INPUT!M4766&amp;INPUT!N4766,CHOOSE({1,2},INPUT!$A$3:$A$5000&amp;INPUT!$C$3:$C$5000,INPUT!$F$3:$F$5000),2,FALSE),"")</f>
        <v>0</v>
      </c>
      <c r="H4771" cm="1">
        <f t="array" ref="H4771">IFERROR(VLOOKUP(INPUT!M4766&amp;INPUT!N4766,CHOOSE({1,2},INPUT!$A$3:$A$5000&amp;INPUT!$C$3:$C$5000,INPUT!$D$3:$D$5000),2,FALSE),"")</f>
        <v>0</v>
      </c>
      <c r="I4771" s="46" t="str">
        <f>IF(INPUT!P4766="","",INPUT!P4766)</f>
        <v/>
      </c>
      <c r="J4771" s="46" t="str">
        <f>IF(INPUT!Q4766="","",INPUT!Q4766)</f>
        <v/>
      </c>
      <c r="K4771" s="46" t="str">
        <f>IFERROR(IF(OR(INPUT!P4766="",INPUT!Q4766=""),"",INPUT!P4766-INPUT!Q4766),"")</f>
        <v/>
      </c>
      <c r="L4771" s="48" t="str">
        <f>IFERROR(IF(OR(INPUT!P4766="",INPUT!Q4766="",INPUT!P4766=0),"",(INPUT!P4766-INPUT!Q4766)/INPUT!P4766),"")</f>
        <v/>
      </c>
    </row>
    <row r="4772" spans="1:12" ht="18" hidden="1" customHeight="1" x14ac:dyDescent="0.2">
      <c r="A4772" s="11" t="str">
        <f>IF(INPUT!M4767="","",INPUT!M4767)</f>
        <v/>
      </c>
      <c r="B4772" s="11" t="str">
        <f>IF(INPUT!M4767="","",INPUT!M4767-WEEKDAY(INPUT!M4767,2)+1)</f>
        <v/>
      </c>
      <c r="C4772" s="20">
        <f>IFERROR(_xlfn.ISOWEEKNUM(INPUT!M4767),"")</f>
        <v>52</v>
      </c>
      <c r="D4772" s="20">
        <f>IFERROR(YEAR(INPUT!M4767),"")</f>
        <v>1900</v>
      </c>
      <c r="E4772" t="str">
        <f>IF(INPUT!O4767="","",INPUT!O4767)</f>
        <v/>
      </c>
      <c r="F4772" t="str">
        <f>IF(INPUT!N4767="","",INPUT!N4767)</f>
        <v/>
      </c>
      <c r="G4772" cm="1">
        <f t="array" ref="G4772">IFERROR(VLOOKUP(INPUT!M4767&amp;INPUT!N4767,CHOOSE({1,2},INPUT!$A$3:$A$5000&amp;INPUT!$C$3:$C$5000,INPUT!$F$3:$F$5000),2,FALSE),"")</f>
        <v>0</v>
      </c>
      <c r="H4772" cm="1">
        <f t="array" ref="H4772">IFERROR(VLOOKUP(INPUT!M4767&amp;INPUT!N4767,CHOOSE({1,2},INPUT!$A$3:$A$5000&amp;INPUT!$C$3:$C$5000,INPUT!$D$3:$D$5000),2,FALSE),"")</f>
        <v>0</v>
      </c>
      <c r="I4772" s="46" t="str">
        <f>IF(INPUT!P4767="","",INPUT!P4767)</f>
        <v/>
      </c>
      <c r="J4772" s="46" t="str">
        <f>IF(INPUT!Q4767="","",INPUT!Q4767)</f>
        <v/>
      </c>
      <c r="K4772" s="46" t="str">
        <f>IFERROR(IF(OR(INPUT!P4767="",INPUT!Q4767=""),"",INPUT!P4767-INPUT!Q4767),"")</f>
        <v/>
      </c>
      <c r="L4772" s="48" t="str">
        <f>IFERROR(IF(OR(INPUT!P4767="",INPUT!Q4767="",INPUT!P4767=0),"",(INPUT!P4767-INPUT!Q4767)/INPUT!P4767),"")</f>
        <v/>
      </c>
    </row>
    <row r="4773" spans="1:12" ht="18" hidden="1" customHeight="1" x14ac:dyDescent="0.2">
      <c r="A4773" s="11" t="str">
        <f>IF(INPUT!M4768="","",INPUT!M4768)</f>
        <v/>
      </c>
      <c r="B4773" s="11" t="str">
        <f>IF(INPUT!M4768="","",INPUT!M4768-WEEKDAY(INPUT!M4768,2)+1)</f>
        <v/>
      </c>
      <c r="C4773" s="20">
        <f>IFERROR(_xlfn.ISOWEEKNUM(INPUT!M4768),"")</f>
        <v>52</v>
      </c>
      <c r="D4773" s="20">
        <f>IFERROR(YEAR(INPUT!M4768),"")</f>
        <v>1900</v>
      </c>
      <c r="E4773" t="str">
        <f>IF(INPUT!O4768="","",INPUT!O4768)</f>
        <v/>
      </c>
      <c r="F4773" t="str">
        <f>IF(INPUT!N4768="","",INPUT!N4768)</f>
        <v/>
      </c>
      <c r="G4773" cm="1">
        <f t="array" ref="G4773">IFERROR(VLOOKUP(INPUT!M4768&amp;INPUT!N4768,CHOOSE({1,2},INPUT!$A$3:$A$5000&amp;INPUT!$C$3:$C$5000,INPUT!$F$3:$F$5000),2,FALSE),"")</f>
        <v>0</v>
      </c>
      <c r="H4773" cm="1">
        <f t="array" ref="H4773">IFERROR(VLOOKUP(INPUT!M4768&amp;INPUT!N4768,CHOOSE({1,2},INPUT!$A$3:$A$5000&amp;INPUT!$C$3:$C$5000,INPUT!$D$3:$D$5000),2,FALSE),"")</f>
        <v>0</v>
      </c>
      <c r="I4773" s="46" t="str">
        <f>IF(INPUT!P4768="","",INPUT!P4768)</f>
        <v/>
      </c>
      <c r="J4773" s="46" t="str">
        <f>IF(INPUT!Q4768="","",INPUT!Q4768)</f>
        <v/>
      </c>
      <c r="K4773" s="46" t="str">
        <f>IFERROR(IF(OR(INPUT!P4768="",INPUT!Q4768=""),"",INPUT!P4768-INPUT!Q4768),"")</f>
        <v/>
      </c>
      <c r="L4773" s="48" t="str">
        <f>IFERROR(IF(OR(INPUT!P4768="",INPUT!Q4768="",INPUT!P4768=0),"",(INPUT!P4768-INPUT!Q4768)/INPUT!P4768),"")</f>
        <v/>
      </c>
    </row>
    <row r="4774" spans="1:12" ht="18" hidden="1" customHeight="1" x14ac:dyDescent="0.2">
      <c r="A4774" s="11" t="str">
        <f>IF(INPUT!M4769="","",INPUT!M4769)</f>
        <v/>
      </c>
      <c r="B4774" s="11" t="str">
        <f>IF(INPUT!M4769="","",INPUT!M4769-WEEKDAY(INPUT!M4769,2)+1)</f>
        <v/>
      </c>
      <c r="C4774" s="20">
        <f>IFERROR(_xlfn.ISOWEEKNUM(INPUT!M4769),"")</f>
        <v>52</v>
      </c>
      <c r="D4774" s="20">
        <f>IFERROR(YEAR(INPUT!M4769),"")</f>
        <v>1900</v>
      </c>
      <c r="E4774" t="str">
        <f>IF(INPUT!O4769="","",INPUT!O4769)</f>
        <v/>
      </c>
      <c r="F4774" t="str">
        <f>IF(INPUT!N4769="","",INPUT!N4769)</f>
        <v/>
      </c>
      <c r="G4774" cm="1">
        <f t="array" ref="G4774">IFERROR(VLOOKUP(INPUT!M4769&amp;INPUT!N4769,CHOOSE({1,2},INPUT!$A$3:$A$5000&amp;INPUT!$C$3:$C$5000,INPUT!$F$3:$F$5000),2,FALSE),"")</f>
        <v>0</v>
      </c>
      <c r="H4774" cm="1">
        <f t="array" ref="H4774">IFERROR(VLOOKUP(INPUT!M4769&amp;INPUT!N4769,CHOOSE({1,2},INPUT!$A$3:$A$5000&amp;INPUT!$C$3:$C$5000,INPUT!$D$3:$D$5000),2,FALSE),"")</f>
        <v>0</v>
      </c>
      <c r="I4774" s="46" t="str">
        <f>IF(INPUT!P4769="","",INPUT!P4769)</f>
        <v/>
      </c>
      <c r="J4774" s="46" t="str">
        <f>IF(INPUT!Q4769="","",INPUT!Q4769)</f>
        <v/>
      </c>
      <c r="K4774" s="46" t="str">
        <f>IFERROR(IF(OR(INPUT!P4769="",INPUT!Q4769=""),"",INPUT!P4769-INPUT!Q4769),"")</f>
        <v/>
      </c>
      <c r="L4774" s="48" t="str">
        <f>IFERROR(IF(OR(INPUT!P4769="",INPUT!Q4769="",INPUT!P4769=0),"",(INPUT!P4769-INPUT!Q4769)/INPUT!P4769),"")</f>
        <v/>
      </c>
    </row>
    <row r="4775" spans="1:12" ht="18" hidden="1" customHeight="1" x14ac:dyDescent="0.2">
      <c r="A4775" s="11" t="str">
        <f>IF(INPUT!M4770="","",INPUT!M4770)</f>
        <v/>
      </c>
      <c r="B4775" s="11" t="str">
        <f>IF(INPUT!M4770="","",INPUT!M4770-WEEKDAY(INPUT!M4770,2)+1)</f>
        <v/>
      </c>
      <c r="C4775" s="20">
        <f>IFERROR(_xlfn.ISOWEEKNUM(INPUT!M4770),"")</f>
        <v>52</v>
      </c>
      <c r="D4775" s="20">
        <f>IFERROR(YEAR(INPUT!M4770),"")</f>
        <v>1900</v>
      </c>
      <c r="E4775" t="str">
        <f>IF(INPUT!O4770="","",INPUT!O4770)</f>
        <v/>
      </c>
      <c r="F4775" t="str">
        <f>IF(INPUT!N4770="","",INPUT!N4770)</f>
        <v/>
      </c>
      <c r="G4775" cm="1">
        <f t="array" ref="G4775">IFERROR(VLOOKUP(INPUT!M4770&amp;INPUT!N4770,CHOOSE({1,2},INPUT!$A$3:$A$5000&amp;INPUT!$C$3:$C$5000,INPUT!$F$3:$F$5000),2,FALSE),"")</f>
        <v>0</v>
      </c>
      <c r="H4775" cm="1">
        <f t="array" ref="H4775">IFERROR(VLOOKUP(INPUT!M4770&amp;INPUT!N4770,CHOOSE({1,2},INPUT!$A$3:$A$5000&amp;INPUT!$C$3:$C$5000,INPUT!$D$3:$D$5000),2,FALSE),"")</f>
        <v>0</v>
      </c>
      <c r="I4775" s="46" t="str">
        <f>IF(INPUT!P4770="","",INPUT!P4770)</f>
        <v/>
      </c>
      <c r="J4775" s="46" t="str">
        <f>IF(INPUT!Q4770="","",INPUT!Q4770)</f>
        <v/>
      </c>
      <c r="K4775" s="46" t="str">
        <f>IFERROR(IF(OR(INPUT!P4770="",INPUT!Q4770=""),"",INPUT!P4770-INPUT!Q4770),"")</f>
        <v/>
      </c>
      <c r="L4775" s="48" t="str">
        <f>IFERROR(IF(OR(INPUT!P4770="",INPUT!Q4770="",INPUT!P4770=0),"",(INPUT!P4770-INPUT!Q4770)/INPUT!P4770),"")</f>
        <v/>
      </c>
    </row>
    <row r="4776" spans="1:12" ht="18" hidden="1" customHeight="1" x14ac:dyDescent="0.2">
      <c r="A4776" s="11" t="str">
        <f>IF(INPUT!M4771="","",INPUT!M4771)</f>
        <v/>
      </c>
      <c r="B4776" s="11" t="str">
        <f>IF(INPUT!M4771="","",INPUT!M4771-WEEKDAY(INPUT!M4771,2)+1)</f>
        <v/>
      </c>
      <c r="C4776" s="20">
        <f>IFERROR(_xlfn.ISOWEEKNUM(INPUT!M4771),"")</f>
        <v>52</v>
      </c>
      <c r="D4776" s="20">
        <f>IFERROR(YEAR(INPUT!M4771),"")</f>
        <v>1900</v>
      </c>
      <c r="E4776" t="str">
        <f>IF(INPUT!O4771="","",INPUT!O4771)</f>
        <v/>
      </c>
      <c r="F4776" t="str">
        <f>IF(INPUT!N4771="","",INPUT!N4771)</f>
        <v/>
      </c>
      <c r="G4776" cm="1">
        <f t="array" ref="G4776">IFERROR(VLOOKUP(INPUT!M4771&amp;INPUT!N4771,CHOOSE({1,2},INPUT!$A$3:$A$5000&amp;INPUT!$C$3:$C$5000,INPUT!$F$3:$F$5000),2,FALSE),"")</f>
        <v>0</v>
      </c>
      <c r="H4776" cm="1">
        <f t="array" ref="H4776">IFERROR(VLOOKUP(INPUT!M4771&amp;INPUT!N4771,CHOOSE({1,2},INPUT!$A$3:$A$5000&amp;INPUT!$C$3:$C$5000,INPUT!$D$3:$D$5000),2,FALSE),"")</f>
        <v>0</v>
      </c>
      <c r="I4776" s="46" t="str">
        <f>IF(INPUT!P4771="","",INPUT!P4771)</f>
        <v/>
      </c>
      <c r="J4776" s="46" t="str">
        <f>IF(INPUT!Q4771="","",INPUT!Q4771)</f>
        <v/>
      </c>
      <c r="K4776" s="46" t="str">
        <f>IFERROR(IF(OR(INPUT!P4771="",INPUT!Q4771=""),"",INPUT!P4771-INPUT!Q4771),"")</f>
        <v/>
      </c>
      <c r="L4776" s="48" t="str">
        <f>IFERROR(IF(OR(INPUT!P4771="",INPUT!Q4771="",INPUT!P4771=0),"",(INPUT!P4771-INPUT!Q4771)/INPUT!P4771),"")</f>
        <v/>
      </c>
    </row>
    <row r="4777" spans="1:12" ht="18" hidden="1" customHeight="1" x14ac:dyDescent="0.2">
      <c r="A4777" s="11" t="str">
        <f>IF(INPUT!M4772="","",INPUT!M4772)</f>
        <v/>
      </c>
      <c r="B4777" s="11" t="str">
        <f>IF(INPUT!M4772="","",INPUT!M4772-WEEKDAY(INPUT!M4772,2)+1)</f>
        <v/>
      </c>
      <c r="C4777" s="20">
        <f>IFERROR(_xlfn.ISOWEEKNUM(INPUT!M4772),"")</f>
        <v>52</v>
      </c>
      <c r="D4777" s="20">
        <f>IFERROR(YEAR(INPUT!M4772),"")</f>
        <v>1900</v>
      </c>
      <c r="E4777" t="str">
        <f>IF(INPUT!O4772="","",INPUT!O4772)</f>
        <v/>
      </c>
      <c r="F4777" t="str">
        <f>IF(INPUT!N4772="","",INPUT!N4772)</f>
        <v/>
      </c>
      <c r="G4777" cm="1">
        <f t="array" ref="G4777">IFERROR(VLOOKUP(INPUT!M4772&amp;INPUT!N4772,CHOOSE({1,2},INPUT!$A$3:$A$5000&amp;INPUT!$C$3:$C$5000,INPUT!$F$3:$F$5000),2,FALSE),"")</f>
        <v>0</v>
      </c>
      <c r="H4777" cm="1">
        <f t="array" ref="H4777">IFERROR(VLOOKUP(INPUT!M4772&amp;INPUT!N4772,CHOOSE({1,2},INPUT!$A$3:$A$5000&amp;INPUT!$C$3:$C$5000,INPUT!$D$3:$D$5000),2,FALSE),"")</f>
        <v>0</v>
      </c>
      <c r="I4777" s="46" t="str">
        <f>IF(INPUT!P4772="","",INPUT!P4772)</f>
        <v/>
      </c>
      <c r="J4777" s="46" t="str">
        <f>IF(INPUT!Q4772="","",INPUT!Q4772)</f>
        <v/>
      </c>
      <c r="K4777" s="46" t="str">
        <f>IFERROR(IF(OR(INPUT!P4772="",INPUT!Q4772=""),"",INPUT!P4772-INPUT!Q4772),"")</f>
        <v/>
      </c>
      <c r="L4777" s="48" t="str">
        <f>IFERROR(IF(OR(INPUT!P4772="",INPUT!Q4772="",INPUT!P4772=0),"",(INPUT!P4772-INPUT!Q4772)/INPUT!P4772),"")</f>
        <v/>
      </c>
    </row>
    <row r="4778" spans="1:12" ht="18" hidden="1" customHeight="1" x14ac:dyDescent="0.2">
      <c r="A4778" s="11" t="str">
        <f>IF(INPUT!M4773="","",INPUT!M4773)</f>
        <v/>
      </c>
      <c r="B4778" s="11" t="str">
        <f>IF(INPUT!M4773="","",INPUT!M4773-WEEKDAY(INPUT!M4773,2)+1)</f>
        <v/>
      </c>
      <c r="C4778" s="20">
        <f>IFERROR(_xlfn.ISOWEEKNUM(INPUT!M4773),"")</f>
        <v>52</v>
      </c>
      <c r="D4778" s="20">
        <f>IFERROR(YEAR(INPUT!M4773),"")</f>
        <v>1900</v>
      </c>
      <c r="E4778" t="str">
        <f>IF(INPUT!O4773="","",INPUT!O4773)</f>
        <v/>
      </c>
      <c r="F4778" t="str">
        <f>IF(INPUT!N4773="","",INPUT!N4773)</f>
        <v/>
      </c>
      <c r="G4778" cm="1">
        <f t="array" ref="G4778">IFERROR(VLOOKUP(INPUT!M4773&amp;INPUT!N4773,CHOOSE({1,2},INPUT!$A$3:$A$5000&amp;INPUT!$C$3:$C$5000,INPUT!$F$3:$F$5000),2,FALSE),"")</f>
        <v>0</v>
      </c>
      <c r="H4778" cm="1">
        <f t="array" ref="H4778">IFERROR(VLOOKUP(INPUT!M4773&amp;INPUT!N4773,CHOOSE({1,2},INPUT!$A$3:$A$5000&amp;INPUT!$C$3:$C$5000,INPUT!$D$3:$D$5000),2,FALSE),"")</f>
        <v>0</v>
      </c>
      <c r="I4778" s="46" t="str">
        <f>IF(INPUT!P4773="","",INPUT!P4773)</f>
        <v/>
      </c>
      <c r="J4778" s="46" t="str">
        <f>IF(INPUT!Q4773="","",INPUT!Q4773)</f>
        <v/>
      </c>
      <c r="K4778" s="46" t="str">
        <f>IFERROR(IF(OR(INPUT!P4773="",INPUT!Q4773=""),"",INPUT!P4773-INPUT!Q4773),"")</f>
        <v/>
      </c>
      <c r="L4778" s="48" t="str">
        <f>IFERROR(IF(OR(INPUT!P4773="",INPUT!Q4773="",INPUT!P4773=0),"",(INPUT!P4773-INPUT!Q4773)/INPUT!P4773),"")</f>
        <v/>
      </c>
    </row>
    <row r="4779" spans="1:12" ht="18" hidden="1" customHeight="1" x14ac:dyDescent="0.2">
      <c r="A4779" s="11" t="str">
        <f>IF(INPUT!M4774="","",INPUT!M4774)</f>
        <v/>
      </c>
      <c r="B4779" s="11" t="str">
        <f>IF(INPUT!M4774="","",INPUT!M4774-WEEKDAY(INPUT!M4774,2)+1)</f>
        <v/>
      </c>
      <c r="C4779" s="20">
        <f>IFERROR(_xlfn.ISOWEEKNUM(INPUT!M4774),"")</f>
        <v>52</v>
      </c>
      <c r="D4779" s="20">
        <f>IFERROR(YEAR(INPUT!M4774),"")</f>
        <v>1900</v>
      </c>
      <c r="E4779" t="str">
        <f>IF(INPUT!O4774="","",INPUT!O4774)</f>
        <v/>
      </c>
      <c r="F4779" t="str">
        <f>IF(INPUT!N4774="","",INPUT!N4774)</f>
        <v/>
      </c>
      <c r="G4779" cm="1">
        <f t="array" ref="G4779">IFERROR(VLOOKUP(INPUT!M4774&amp;INPUT!N4774,CHOOSE({1,2},INPUT!$A$3:$A$5000&amp;INPUT!$C$3:$C$5000,INPUT!$F$3:$F$5000),2,FALSE),"")</f>
        <v>0</v>
      </c>
      <c r="H4779" cm="1">
        <f t="array" ref="H4779">IFERROR(VLOOKUP(INPUT!M4774&amp;INPUT!N4774,CHOOSE({1,2},INPUT!$A$3:$A$5000&amp;INPUT!$C$3:$C$5000,INPUT!$D$3:$D$5000),2,FALSE),"")</f>
        <v>0</v>
      </c>
      <c r="I4779" s="46" t="str">
        <f>IF(INPUT!P4774="","",INPUT!P4774)</f>
        <v/>
      </c>
      <c r="J4779" s="46" t="str">
        <f>IF(INPUT!Q4774="","",INPUT!Q4774)</f>
        <v/>
      </c>
      <c r="K4779" s="46" t="str">
        <f>IFERROR(IF(OR(INPUT!P4774="",INPUT!Q4774=""),"",INPUT!P4774-INPUT!Q4774),"")</f>
        <v/>
      </c>
      <c r="L4779" s="48" t="str">
        <f>IFERROR(IF(OR(INPUT!P4774="",INPUT!Q4774="",INPUT!P4774=0),"",(INPUT!P4774-INPUT!Q4774)/INPUT!P4774),"")</f>
        <v/>
      </c>
    </row>
    <row r="4780" spans="1:12" ht="18" hidden="1" customHeight="1" x14ac:dyDescent="0.2">
      <c r="A4780" s="11" t="str">
        <f>IF(INPUT!M4775="","",INPUT!M4775)</f>
        <v/>
      </c>
      <c r="B4780" s="11" t="str">
        <f>IF(INPUT!M4775="","",INPUT!M4775-WEEKDAY(INPUT!M4775,2)+1)</f>
        <v/>
      </c>
      <c r="C4780" s="20">
        <f>IFERROR(_xlfn.ISOWEEKNUM(INPUT!M4775),"")</f>
        <v>52</v>
      </c>
      <c r="D4780" s="20">
        <f>IFERROR(YEAR(INPUT!M4775),"")</f>
        <v>1900</v>
      </c>
      <c r="E4780" t="str">
        <f>IF(INPUT!O4775="","",INPUT!O4775)</f>
        <v/>
      </c>
      <c r="F4780" t="str">
        <f>IF(INPUT!N4775="","",INPUT!N4775)</f>
        <v/>
      </c>
      <c r="G4780" cm="1">
        <f t="array" ref="G4780">IFERROR(VLOOKUP(INPUT!M4775&amp;INPUT!N4775,CHOOSE({1,2},INPUT!$A$3:$A$5000&amp;INPUT!$C$3:$C$5000,INPUT!$F$3:$F$5000),2,FALSE),"")</f>
        <v>0</v>
      </c>
      <c r="H4780" cm="1">
        <f t="array" ref="H4780">IFERROR(VLOOKUP(INPUT!M4775&amp;INPUT!N4775,CHOOSE({1,2},INPUT!$A$3:$A$5000&amp;INPUT!$C$3:$C$5000,INPUT!$D$3:$D$5000),2,FALSE),"")</f>
        <v>0</v>
      </c>
      <c r="I4780" s="46" t="str">
        <f>IF(INPUT!P4775="","",INPUT!P4775)</f>
        <v/>
      </c>
      <c r="J4780" s="46" t="str">
        <f>IF(INPUT!Q4775="","",INPUT!Q4775)</f>
        <v/>
      </c>
      <c r="K4780" s="46" t="str">
        <f>IFERROR(IF(OR(INPUT!P4775="",INPUT!Q4775=""),"",INPUT!P4775-INPUT!Q4775),"")</f>
        <v/>
      </c>
      <c r="L4780" s="48" t="str">
        <f>IFERROR(IF(OR(INPUT!P4775="",INPUT!Q4775="",INPUT!P4775=0),"",(INPUT!P4775-INPUT!Q4775)/INPUT!P4775),"")</f>
        <v/>
      </c>
    </row>
    <row r="4781" spans="1:12" ht="18" hidden="1" customHeight="1" x14ac:dyDescent="0.2">
      <c r="A4781" s="11" t="str">
        <f>IF(INPUT!M4776="","",INPUT!M4776)</f>
        <v/>
      </c>
      <c r="B4781" s="11" t="str">
        <f>IF(INPUT!M4776="","",INPUT!M4776-WEEKDAY(INPUT!M4776,2)+1)</f>
        <v/>
      </c>
      <c r="C4781" s="20">
        <f>IFERROR(_xlfn.ISOWEEKNUM(INPUT!M4776),"")</f>
        <v>52</v>
      </c>
      <c r="D4781" s="20">
        <f>IFERROR(YEAR(INPUT!M4776),"")</f>
        <v>1900</v>
      </c>
      <c r="E4781" t="str">
        <f>IF(INPUT!O4776="","",INPUT!O4776)</f>
        <v/>
      </c>
      <c r="F4781" t="str">
        <f>IF(INPUT!N4776="","",INPUT!N4776)</f>
        <v/>
      </c>
      <c r="G4781" cm="1">
        <f t="array" ref="G4781">IFERROR(VLOOKUP(INPUT!M4776&amp;INPUT!N4776,CHOOSE({1,2},INPUT!$A$3:$A$5000&amp;INPUT!$C$3:$C$5000,INPUT!$F$3:$F$5000),2,FALSE),"")</f>
        <v>0</v>
      </c>
      <c r="H4781" cm="1">
        <f t="array" ref="H4781">IFERROR(VLOOKUP(INPUT!M4776&amp;INPUT!N4776,CHOOSE({1,2},INPUT!$A$3:$A$5000&amp;INPUT!$C$3:$C$5000,INPUT!$D$3:$D$5000),2,FALSE),"")</f>
        <v>0</v>
      </c>
      <c r="I4781" s="46" t="str">
        <f>IF(INPUT!P4776="","",INPUT!P4776)</f>
        <v/>
      </c>
      <c r="J4781" s="46" t="str">
        <f>IF(INPUT!Q4776="","",INPUT!Q4776)</f>
        <v/>
      </c>
      <c r="K4781" s="46" t="str">
        <f>IFERROR(IF(OR(INPUT!P4776="",INPUT!Q4776=""),"",INPUT!P4776-INPUT!Q4776),"")</f>
        <v/>
      </c>
      <c r="L4781" s="48" t="str">
        <f>IFERROR(IF(OR(INPUT!P4776="",INPUT!Q4776="",INPUT!P4776=0),"",(INPUT!P4776-INPUT!Q4776)/INPUT!P4776),"")</f>
        <v/>
      </c>
    </row>
    <row r="4782" spans="1:12" ht="18" hidden="1" customHeight="1" x14ac:dyDescent="0.2">
      <c r="A4782" s="11" t="str">
        <f>IF(INPUT!M4777="","",INPUT!M4777)</f>
        <v/>
      </c>
      <c r="B4782" s="11" t="str">
        <f>IF(INPUT!M4777="","",INPUT!M4777-WEEKDAY(INPUT!M4777,2)+1)</f>
        <v/>
      </c>
      <c r="C4782" s="20">
        <f>IFERROR(_xlfn.ISOWEEKNUM(INPUT!M4777),"")</f>
        <v>52</v>
      </c>
      <c r="D4782" s="20">
        <f>IFERROR(YEAR(INPUT!M4777),"")</f>
        <v>1900</v>
      </c>
      <c r="E4782" t="str">
        <f>IF(INPUT!O4777="","",INPUT!O4777)</f>
        <v/>
      </c>
      <c r="F4782" t="str">
        <f>IF(INPUT!N4777="","",INPUT!N4777)</f>
        <v/>
      </c>
      <c r="G4782" cm="1">
        <f t="array" ref="G4782">IFERROR(VLOOKUP(INPUT!M4777&amp;INPUT!N4777,CHOOSE({1,2},INPUT!$A$3:$A$5000&amp;INPUT!$C$3:$C$5000,INPUT!$F$3:$F$5000),2,FALSE),"")</f>
        <v>0</v>
      </c>
      <c r="H4782" cm="1">
        <f t="array" ref="H4782">IFERROR(VLOOKUP(INPUT!M4777&amp;INPUT!N4777,CHOOSE({1,2},INPUT!$A$3:$A$5000&amp;INPUT!$C$3:$C$5000,INPUT!$D$3:$D$5000),2,FALSE),"")</f>
        <v>0</v>
      </c>
      <c r="I4782" s="46" t="str">
        <f>IF(INPUT!P4777="","",INPUT!P4777)</f>
        <v/>
      </c>
      <c r="J4782" s="46" t="str">
        <f>IF(INPUT!Q4777="","",INPUT!Q4777)</f>
        <v/>
      </c>
      <c r="K4782" s="46" t="str">
        <f>IFERROR(IF(OR(INPUT!P4777="",INPUT!Q4777=""),"",INPUT!P4777-INPUT!Q4777),"")</f>
        <v/>
      </c>
      <c r="L4782" s="48" t="str">
        <f>IFERROR(IF(OR(INPUT!P4777="",INPUT!Q4777="",INPUT!P4777=0),"",(INPUT!P4777-INPUT!Q4777)/INPUT!P4777),"")</f>
        <v/>
      </c>
    </row>
    <row r="4783" spans="1:12" ht="18" hidden="1" customHeight="1" x14ac:dyDescent="0.2">
      <c r="A4783" s="11" t="str">
        <f>IF(INPUT!M4778="","",INPUT!M4778)</f>
        <v/>
      </c>
      <c r="B4783" s="11" t="str">
        <f>IF(INPUT!M4778="","",INPUT!M4778-WEEKDAY(INPUT!M4778,2)+1)</f>
        <v/>
      </c>
      <c r="C4783" s="20">
        <f>IFERROR(_xlfn.ISOWEEKNUM(INPUT!M4778),"")</f>
        <v>52</v>
      </c>
      <c r="D4783" s="20">
        <f>IFERROR(YEAR(INPUT!M4778),"")</f>
        <v>1900</v>
      </c>
      <c r="E4783" t="str">
        <f>IF(INPUT!O4778="","",INPUT!O4778)</f>
        <v/>
      </c>
      <c r="F4783" t="str">
        <f>IF(INPUT!N4778="","",INPUT!N4778)</f>
        <v/>
      </c>
      <c r="G4783" cm="1">
        <f t="array" ref="G4783">IFERROR(VLOOKUP(INPUT!M4778&amp;INPUT!N4778,CHOOSE({1,2},INPUT!$A$3:$A$5000&amp;INPUT!$C$3:$C$5000,INPUT!$F$3:$F$5000),2,FALSE),"")</f>
        <v>0</v>
      </c>
      <c r="H4783" cm="1">
        <f t="array" ref="H4783">IFERROR(VLOOKUP(INPUT!M4778&amp;INPUT!N4778,CHOOSE({1,2},INPUT!$A$3:$A$5000&amp;INPUT!$C$3:$C$5000,INPUT!$D$3:$D$5000),2,FALSE),"")</f>
        <v>0</v>
      </c>
      <c r="I4783" s="46" t="str">
        <f>IF(INPUT!P4778="","",INPUT!P4778)</f>
        <v/>
      </c>
      <c r="J4783" s="46" t="str">
        <f>IF(INPUT!Q4778="","",INPUT!Q4778)</f>
        <v/>
      </c>
      <c r="K4783" s="46" t="str">
        <f>IFERROR(IF(OR(INPUT!P4778="",INPUT!Q4778=""),"",INPUT!P4778-INPUT!Q4778),"")</f>
        <v/>
      </c>
      <c r="L4783" s="48" t="str">
        <f>IFERROR(IF(OR(INPUT!P4778="",INPUT!Q4778="",INPUT!P4778=0),"",(INPUT!P4778-INPUT!Q4778)/INPUT!P4778),"")</f>
        <v/>
      </c>
    </row>
    <row r="4784" spans="1:12" ht="18" hidden="1" customHeight="1" x14ac:dyDescent="0.2">
      <c r="A4784" s="11" t="str">
        <f>IF(INPUT!M4779="","",INPUT!M4779)</f>
        <v/>
      </c>
      <c r="B4784" s="11" t="str">
        <f>IF(INPUT!M4779="","",INPUT!M4779-WEEKDAY(INPUT!M4779,2)+1)</f>
        <v/>
      </c>
      <c r="C4784" s="20">
        <f>IFERROR(_xlfn.ISOWEEKNUM(INPUT!M4779),"")</f>
        <v>52</v>
      </c>
      <c r="D4784" s="20">
        <f>IFERROR(YEAR(INPUT!M4779),"")</f>
        <v>1900</v>
      </c>
      <c r="E4784" t="str">
        <f>IF(INPUT!O4779="","",INPUT!O4779)</f>
        <v/>
      </c>
      <c r="F4784" t="str">
        <f>IF(INPUT!N4779="","",INPUT!N4779)</f>
        <v/>
      </c>
      <c r="G4784" cm="1">
        <f t="array" ref="G4784">IFERROR(VLOOKUP(INPUT!M4779&amp;INPUT!N4779,CHOOSE({1,2},INPUT!$A$3:$A$5000&amp;INPUT!$C$3:$C$5000,INPUT!$F$3:$F$5000),2,FALSE),"")</f>
        <v>0</v>
      </c>
      <c r="H4784" cm="1">
        <f t="array" ref="H4784">IFERROR(VLOOKUP(INPUT!M4779&amp;INPUT!N4779,CHOOSE({1,2},INPUT!$A$3:$A$5000&amp;INPUT!$C$3:$C$5000,INPUT!$D$3:$D$5000),2,FALSE),"")</f>
        <v>0</v>
      </c>
      <c r="I4784" s="46" t="str">
        <f>IF(INPUT!P4779="","",INPUT!P4779)</f>
        <v/>
      </c>
      <c r="J4784" s="46" t="str">
        <f>IF(INPUT!Q4779="","",INPUT!Q4779)</f>
        <v/>
      </c>
      <c r="K4784" s="46" t="str">
        <f>IFERROR(IF(OR(INPUT!P4779="",INPUT!Q4779=""),"",INPUT!P4779-INPUT!Q4779),"")</f>
        <v/>
      </c>
      <c r="L4784" s="48" t="str">
        <f>IFERROR(IF(OR(INPUT!P4779="",INPUT!Q4779="",INPUT!P4779=0),"",(INPUT!P4779-INPUT!Q4779)/INPUT!P4779),"")</f>
        <v/>
      </c>
    </row>
    <row r="4785" spans="1:12" ht="18" hidden="1" customHeight="1" x14ac:dyDescent="0.2">
      <c r="A4785" s="11" t="str">
        <f>IF(INPUT!M4780="","",INPUT!M4780)</f>
        <v/>
      </c>
      <c r="B4785" s="11" t="str">
        <f>IF(INPUT!M4780="","",INPUT!M4780-WEEKDAY(INPUT!M4780,2)+1)</f>
        <v/>
      </c>
      <c r="C4785" s="20">
        <f>IFERROR(_xlfn.ISOWEEKNUM(INPUT!M4780),"")</f>
        <v>52</v>
      </c>
      <c r="D4785" s="20">
        <f>IFERROR(YEAR(INPUT!M4780),"")</f>
        <v>1900</v>
      </c>
      <c r="E4785" t="str">
        <f>IF(INPUT!O4780="","",INPUT!O4780)</f>
        <v/>
      </c>
      <c r="F4785" t="str">
        <f>IF(INPUT!N4780="","",INPUT!N4780)</f>
        <v/>
      </c>
      <c r="G4785" cm="1">
        <f t="array" ref="G4785">IFERROR(VLOOKUP(INPUT!M4780&amp;INPUT!N4780,CHOOSE({1,2},INPUT!$A$3:$A$5000&amp;INPUT!$C$3:$C$5000,INPUT!$F$3:$F$5000),2,FALSE),"")</f>
        <v>0</v>
      </c>
      <c r="H4785" cm="1">
        <f t="array" ref="H4785">IFERROR(VLOOKUP(INPUT!M4780&amp;INPUT!N4780,CHOOSE({1,2},INPUT!$A$3:$A$5000&amp;INPUT!$C$3:$C$5000,INPUT!$D$3:$D$5000),2,FALSE),"")</f>
        <v>0</v>
      </c>
      <c r="I4785" s="46" t="str">
        <f>IF(INPUT!P4780="","",INPUT!P4780)</f>
        <v/>
      </c>
      <c r="J4785" s="46" t="str">
        <f>IF(INPUT!Q4780="","",INPUT!Q4780)</f>
        <v/>
      </c>
      <c r="K4785" s="46" t="str">
        <f>IFERROR(IF(OR(INPUT!P4780="",INPUT!Q4780=""),"",INPUT!P4780-INPUT!Q4780),"")</f>
        <v/>
      </c>
      <c r="L4785" s="48" t="str">
        <f>IFERROR(IF(OR(INPUT!P4780="",INPUT!Q4780="",INPUT!P4780=0),"",(INPUT!P4780-INPUT!Q4780)/INPUT!P4780),"")</f>
        <v/>
      </c>
    </row>
    <row r="4786" spans="1:12" ht="18" hidden="1" customHeight="1" x14ac:dyDescent="0.2">
      <c r="A4786" s="11" t="str">
        <f>IF(INPUT!M4781="","",INPUT!M4781)</f>
        <v/>
      </c>
      <c r="B4786" s="11" t="str">
        <f>IF(INPUT!M4781="","",INPUT!M4781-WEEKDAY(INPUT!M4781,2)+1)</f>
        <v/>
      </c>
      <c r="C4786" s="20">
        <f>IFERROR(_xlfn.ISOWEEKNUM(INPUT!M4781),"")</f>
        <v>52</v>
      </c>
      <c r="D4786" s="20">
        <f>IFERROR(YEAR(INPUT!M4781),"")</f>
        <v>1900</v>
      </c>
      <c r="E4786" t="str">
        <f>IF(INPUT!O4781="","",INPUT!O4781)</f>
        <v/>
      </c>
      <c r="F4786" t="str">
        <f>IF(INPUT!N4781="","",INPUT!N4781)</f>
        <v/>
      </c>
      <c r="G4786" cm="1">
        <f t="array" ref="G4786">IFERROR(VLOOKUP(INPUT!M4781&amp;INPUT!N4781,CHOOSE({1,2},INPUT!$A$3:$A$5000&amp;INPUT!$C$3:$C$5000,INPUT!$F$3:$F$5000),2,FALSE),"")</f>
        <v>0</v>
      </c>
      <c r="H4786" cm="1">
        <f t="array" ref="H4786">IFERROR(VLOOKUP(INPUT!M4781&amp;INPUT!N4781,CHOOSE({1,2},INPUT!$A$3:$A$5000&amp;INPUT!$C$3:$C$5000,INPUT!$D$3:$D$5000),2,FALSE),"")</f>
        <v>0</v>
      </c>
      <c r="I4786" s="46" t="str">
        <f>IF(INPUT!P4781="","",INPUT!P4781)</f>
        <v/>
      </c>
      <c r="J4786" s="46" t="str">
        <f>IF(INPUT!Q4781="","",INPUT!Q4781)</f>
        <v/>
      </c>
      <c r="K4786" s="46" t="str">
        <f>IFERROR(IF(OR(INPUT!P4781="",INPUT!Q4781=""),"",INPUT!P4781-INPUT!Q4781),"")</f>
        <v/>
      </c>
      <c r="L4786" s="48" t="str">
        <f>IFERROR(IF(OR(INPUT!P4781="",INPUT!Q4781="",INPUT!P4781=0),"",(INPUT!P4781-INPUT!Q4781)/INPUT!P4781),"")</f>
        <v/>
      </c>
    </row>
    <row r="4787" spans="1:12" ht="18" hidden="1" customHeight="1" x14ac:dyDescent="0.2">
      <c r="A4787" s="11" t="str">
        <f>IF(INPUT!M4782="","",INPUT!M4782)</f>
        <v/>
      </c>
      <c r="B4787" s="11" t="str">
        <f>IF(INPUT!M4782="","",INPUT!M4782-WEEKDAY(INPUT!M4782,2)+1)</f>
        <v/>
      </c>
      <c r="C4787" s="20">
        <f>IFERROR(_xlfn.ISOWEEKNUM(INPUT!M4782),"")</f>
        <v>52</v>
      </c>
      <c r="D4787" s="20">
        <f>IFERROR(YEAR(INPUT!M4782),"")</f>
        <v>1900</v>
      </c>
      <c r="E4787" t="str">
        <f>IF(INPUT!O4782="","",INPUT!O4782)</f>
        <v/>
      </c>
      <c r="F4787" t="str">
        <f>IF(INPUT!N4782="","",INPUT!N4782)</f>
        <v/>
      </c>
      <c r="G4787" cm="1">
        <f t="array" ref="G4787">IFERROR(VLOOKUP(INPUT!M4782&amp;INPUT!N4782,CHOOSE({1,2},INPUT!$A$3:$A$5000&amp;INPUT!$C$3:$C$5000,INPUT!$F$3:$F$5000),2,FALSE),"")</f>
        <v>0</v>
      </c>
      <c r="H4787" cm="1">
        <f t="array" ref="H4787">IFERROR(VLOOKUP(INPUT!M4782&amp;INPUT!N4782,CHOOSE({1,2},INPUT!$A$3:$A$5000&amp;INPUT!$C$3:$C$5000,INPUT!$D$3:$D$5000),2,FALSE),"")</f>
        <v>0</v>
      </c>
      <c r="I4787" s="46" t="str">
        <f>IF(INPUT!P4782="","",INPUT!P4782)</f>
        <v/>
      </c>
      <c r="J4787" s="46" t="str">
        <f>IF(INPUT!Q4782="","",INPUT!Q4782)</f>
        <v/>
      </c>
      <c r="K4787" s="46" t="str">
        <f>IFERROR(IF(OR(INPUT!P4782="",INPUT!Q4782=""),"",INPUT!P4782-INPUT!Q4782),"")</f>
        <v/>
      </c>
      <c r="L4787" s="48" t="str">
        <f>IFERROR(IF(OR(INPUT!P4782="",INPUT!Q4782="",INPUT!P4782=0),"",(INPUT!P4782-INPUT!Q4782)/INPUT!P4782),"")</f>
        <v/>
      </c>
    </row>
    <row r="4788" spans="1:12" ht="18" hidden="1" customHeight="1" x14ac:dyDescent="0.2">
      <c r="A4788" s="11" t="str">
        <f>IF(INPUT!M4783="","",INPUT!M4783)</f>
        <v/>
      </c>
      <c r="B4788" s="11" t="str">
        <f>IF(INPUT!M4783="","",INPUT!M4783-WEEKDAY(INPUT!M4783,2)+1)</f>
        <v/>
      </c>
      <c r="C4788" s="20">
        <f>IFERROR(_xlfn.ISOWEEKNUM(INPUT!M4783),"")</f>
        <v>52</v>
      </c>
      <c r="D4788" s="20">
        <f>IFERROR(YEAR(INPUT!M4783),"")</f>
        <v>1900</v>
      </c>
      <c r="E4788" t="str">
        <f>IF(INPUT!O4783="","",INPUT!O4783)</f>
        <v/>
      </c>
      <c r="F4788" t="str">
        <f>IF(INPUT!N4783="","",INPUT!N4783)</f>
        <v/>
      </c>
      <c r="G4788" cm="1">
        <f t="array" ref="G4788">IFERROR(VLOOKUP(INPUT!M4783&amp;INPUT!N4783,CHOOSE({1,2},INPUT!$A$3:$A$5000&amp;INPUT!$C$3:$C$5000,INPUT!$F$3:$F$5000),2,FALSE),"")</f>
        <v>0</v>
      </c>
      <c r="H4788" cm="1">
        <f t="array" ref="H4788">IFERROR(VLOOKUP(INPUT!M4783&amp;INPUT!N4783,CHOOSE({1,2},INPUT!$A$3:$A$5000&amp;INPUT!$C$3:$C$5000,INPUT!$D$3:$D$5000),2,FALSE),"")</f>
        <v>0</v>
      </c>
      <c r="I4788" s="46" t="str">
        <f>IF(INPUT!P4783="","",INPUT!P4783)</f>
        <v/>
      </c>
      <c r="J4788" s="46" t="str">
        <f>IF(INPUT!Q4783="","",INPUT!Q4783)</f>
        <v/>
      </c>
      <c r="K4788" s="46" t="str">
        <f>IFERROR(IF(OR(INPUT!P4783="",INPUT!Q4783=""),"",INPUT!P4783-INPUT!Q4783),"")</f>
        <v/>
      </c>
      <c r="L4788" s="48" t="str">
        <f>IFERROR(IF(OR(INPUT!P4783="",INPUT!Q4783="",INPUT!P4783=0),"",(INPUT!P4783-INPUT!Q4783)/INPUT!P4783),"")</f>
        <v/>
      </c>
    </row>
    <row r="4789" spans="1:12" ht="18" hidden="1" customHeight="1" x14ac:dyDescent="0.2">
      <c r="A4789" s="11" t="str">
        <f>IF(INPUT!M4784="","",INPUT!M4784)</f>
        <v/>
      </c>
      <c r="B4789" s="11" t="str">
        <f>IF(INPUT!M4784="","",INPUT!M4784-WEEKDAY(INPUT!M4784,2)+1)</f>
        <v/>
      </c>
      <c r="C4789" s="20">
        <f>IFERROR(_xlfn.ISOWEEKNUM(INPUT!M4784),"")</f>
        <v>52</v>
      </c>
      <c r="D4789" s="20">
        <f>IFERROR(YEAR(INPUT!M4784),"")</f>
        <v>1900</v>
      </c>
      <c r="E4789" t="str">
        <f>IF(INPUT!O4784="","",INPUT!O4784)</f>
        <v/>
      </c>
      <c r="F4789" t="str">
        <f>IF(INPUT!N4784="","",INPUT!N4784)</f>
        <v/>
      </c>
      <c r="G4789" cm="1">
        <f t="array" ref="G4789">IFERROR(VLOOKUP(INPUT!M4784&amp;INPUT!N4784,CHOOSE({1,2},INPUT!$A$3:$A$5000&amp;INPUT!$C$3:$C$5000,INPUT!$F$3:$F$5000),2,FALSE),"")</f>
        <v>0</v>
      </c>
      <c r="H4789" cm="1">
        <f t="array" ref="H4789">IFERROR(VLOOKUP(INPUT!M4784&amp;INPUT!N4784,CHOOSE({1,2},INPUT!$A$3:$A$5000&amp;INPUT!$C$3:$C$5000,INPUT!$D$3:$D$5000),2,FALSE),"")</f>
        <v>0</v>
      </c>
      <c r="I4789" s="46" t="str">
        <f>IF(INPUT!P4784="","",INPUT!P4784)</f>
        <v/>
      </c>
      <c r="J4789" s="46" t="str">
        <f>IF(INPUT!Q4784="","",INPUT!Q4784)</f>
        <v/>
      </c>
      <c r="K4789" s="46" t="str">
        <f>IFERROR(IF(OR(INPUT!P4784="",INPUT!Q4784=""),"",INPUT!P4784-INPUT!Q4784),"")</f>
        <v/>
      </c>
      <c r="L4789" s="48" t="str">
        <f>IFERROR(IF(OR(INPUT!P4784="",INPUT!Q4784="",INPUT!P4784=0),"",(INPUT!P4784-INPUT!Q4784)/INPUT!P4784),"")</f>
        <v/>
      </c>
    </row>
    <row r="4790" spans="1:12" ht="18" hidden="1" customHeight="1" x14ac:dyDescent="0.2">
      <c r="A4790" s="11" t="str">
        <f>IF(INPUT!M4785="","",INPUT!M4785)</f>
        <v/>
      </c>
      <c r="B4790" s="11" t="str">
        <f>IF(INPUT!M4785="","",INPUT!M4785-WEEKDAY(INPUT!M4785,2)+1)</f>
        <v/>
      </c>
      <c r="C4790" s="20">
        <f>IFERROR(_xlfn.ISOWEEKNUM(INPUT!M4785),"")</f>
        <v>52</v>
      </c>
      <c r="D4790" s="20">
        <f>IFERROR(YEAR(INPUT!M4785),"")</f>
        <v>1900</v>
      </c>
      <c r="E4790" t="str">
        <f>IF(INPUT!O4785="","",INPUT!O4785)</f>
        <v/>
      </c>
      <c r="F4790" t="str">
        <f>IF(INPUT!N4785="","",INPUT!N4785)</f>
        <v/>
      </c>
      <c r="G4790" cm="1">
        <f t="array" ref="G4790">IFERROR(VLOOKUP(INPUT!M4785&amp;INPUT!N4785,CHOOSE({1,2},INPUT!$A$3:$A$5000&amp;INPUT!$C$3:$C$5000,INPUT!$F$3:$F$5000),2,FALSE),"")</f>
        <v>0</v>
      </c>
      <c r="H4790" cm="1">
        <f t="array" ref="H4790">IFERROR(VLOOKUP(INPUT!M4785&amp;INPUT!N4785,CHOOSE({1,2},INPUT!$A$3:$A$5000&amp;INPUT!$C$3:$C$5000,INPUT!$D$3:$D$5000),2,FALSE),"")</f>
        <v>0</v>
      </c>
      <c r="I4790" s="46" t="str">
        <f>IF(INPUT!P4785="","",INPUT!P4785)</f>
        <v/>
      </c>
      <c r="J4790" s="46" t="str">
        <f>IF(INPUT!Q4785="","",INPUT!Q4785)</f>
        <v/>
      </c>
      <c r="K4790" s="46" t="str">
        <f>IFERROR(IF(OR(INPUT!P4785="",INPUT!Q4785=""),"",INPUT!P4785-INPUT!Q4785),"")</f>
        <v/>
      </c>
      <c r="L4790" s="48" t="str">
        <f>IFERROR(IF(OR(INPUT!P4785="",INPUT!Q4785="",INPUT!P4785=0),"",(INPUT!P4785-INPUT!Q4785)/INPUT!P4785),"")</f>
        <v/>
      </c>
    </row>
    <row r="4791" spans="1:12" ht="18" hidden="1" customHeight="1" x14ac:dyDescent="0.2">
      <c r="A4791" s="11" t="str">
        <f>IF(INPUT!M4786="","",INPUT!M4786)</f>
        <v/>
      </c>
      <c r="B4791" s="11" t="str">
        <f>IF(INPUT!M4786="","",INPUT!M4786-WEEKDAY(INPUT!M4786,2)+1)</f>
        <v/>
      </c>
      <c r="C4791" s="20">
        <f>IFERROR(_xlfn.ISOWEEKNUM(INPUT!M4786),"")</f>
        <v>52</v>
      </c>
      <c r="D4791" s="20">
        <f>IFERROR(YEAR(INPUT!M4786),"")</f>
        <v>1900</v>
      </c>
      <c r="E4791" t="str">
        <f>IF(INPUT!O4786="","",INPUT!O4786)</f>
        <v/>
      </c>
      <c r="F4791" t="str">
        <f>IF(INPUT!N4786="","",INPUT!N4786)</f>
        <v/>
      </c>
      <c r="G4791" cm="1">
        <f t="array" ref="G4791">IFERROR(VLOOKUP(INPUT!M4786&amp;INPUT!N4786,CHOOSE({1,2},INPUT!$A$3:$A$5000&amp;INPUT!$C$3:$C$5000,INPUT!$F$3:$F$5000),2,FALSE),"")</f>
        <v>0</v>
      </c>
      <c r="H4791" cm="1">
        <f t="array" ref="H4791">IFERROR(VLOOKUP(INPUT!M4786&amp;INPUT!N4786,CHOOSE({1,2},INPUT!$A$3:$A$5000&amp;INPUT!$C$3:$C$5000,INPUT!$D$3:$D$5000),2,FALSE),"")</f>
        <v>0</v>
      </c>
      <c r="I4791" s="46" t="str">
        <f>IF(INPUT!P4786="","",INPUT!P4786)</f>
        <v/>
      </c>
      <c r="J4791" s="46" t="str">
        <f>IF(INPUT!Q4786="","",INPUT!Q4786)</f>
        <v/>
      </c>
      <c r="K4791" s="46" t="str">
        <f>IFERROR(IF(OR(INPUT!P4786="",INPUT!Q4786=""),"",INPUT!P4786-INPUT!Q4786),"")</f>
        <v/>
      </c>
      <c r="L4791" s="48" t="str">
        <f>IFERROR(IF(OR(INPUT!P4786="",INPUT!Q4786="",INPUT!P4786=0),"",(INPUT!P4786-INPUT!Q4786)/INPUT!P4786),"")</f>
        <v/>
      </c>
    </row>
    <row r="4792" spans="1:12" ht="18" hidden="1" customHeight="1" x14ac:dyDescent="0.2">
      <c r="A4792" s="11" t="str">
        <f>IF(INPUT!M4787="","",INPUT!M4787)</f>
        <v/>
      </c>
      <c r="B4792" s="11" t="str">
        <f>IF(INPUT!M4787="","",INPUT!M4787-WEEKDAY(INPUT!M4787,2)+1)</f>
        <v/>
      </c>
      <c r="C4792" s="20">
        <f>IFERROR(_xlfn.ISOWEEKNUM(INPUT!M4787),"")</f>
        <v>52</v>
      </c>
      <c r="D4792" s="20">
        <f>IFERROR(YEAR(INPUT!M4787),"")</f>
        <v>1900</v>
      </c>
      <c r="E4792" t="str">
        <f>IF(INPUT!O4787="","",INPUT!O4787)</f>
        <v/>
      </c>
      <c r="F4792" t="str">
        <f>IF(INPUT!N4787="","",INPUT!N4787)</f>
        <v/>
      </c>
      <c r="G4792" cm="1">
        <f t="array" ref="G4792">IFERROR(VLOOKUP(INPUT!M4787&amp;INPUT!N4787,CHOOSE({1,2},INPUT!$A$3:$A$5000&amp;INPUT!$C$3:$C$5000,INPUT!$F$3:$F$5000),2,FALSE),"")</f>
        <v>0</v>
      </c>
      <c r="H4792" cm="1">
        <f t="array" ref="H4792">IFERROR(VLOOKUP(INPUT!M4787&amp;INPUT!N4787,CHOOSE({1,2},INPUT!$A$3:$A$5000&amp;INPUT!$C$3:$C$5000,INPUT!$D$3:$D$5000),2,FALSE),"")</f>
        <v>0</v>
      </c>
      <c r="I4792" s="46" t="str">
        <f>IF(INPUT!P4787="","",INPUT!P4787)</f>
        <v/>
      </c>
      <c r="J4792" s="46" t="str">
        <f>IF(INPUT!Q4787="","",INPUT!Q4787)</f>
        <v/>
      </c>
      <c r="K4792" s="46" t="str">
        <f>IFERROR(IF(OR(INPUT!P4787="",INPUT!Q4787=""),"",INPUT!P4787-INPUT!Q4787),"")</f>
        <v/>
      </c>
      <c r="L4792" s="48" t="str">
        <f>IFERROR(IF(OR(INPUT!P4787="",INPUT!Q4787="",INPUT!P4787=0),"",(INPUT!P4787-INPUT!Q4787)/INPUT!P4787),"")</f>
        <v/>
      </c>
    </row>
    <row r="4793" spans="1:12" ht="18" hidden="1" customHeight="1" x14ac:dyDescent="0.2">
      <c r="A4793" s="11" t="str">
        <f>IF(INPUT!M4788="","",INPUT!M4788)</f>
        <v/>
      </c>
      <c r="B4793" s="11" t="str">
        <f>IF(INPUT!M4788="","",INPUT!M4788-WEEKDAY(INPUT!M4788,2)+1)</f>
        <v/>
      </c>
      <c r="C4793" s="20">
        <f>IFERROR(_xlfn.ISOWEEKNUM(INPUT!M4788),"")</f>
        <v>52</v>
      </c>
      <c r="D4793" s="20">
        <f>IFERROR(YEAR(INPUT!M4788),"")</f>
        <v>1900</v>
      </c>
      <c r="E4793" t="str">
        <f>IF(INPUT!O4788="","",INPUT!O4788)</f>
        <v/>
      </c>
      <c r="F4793" t="str">
        <f>IF(INPUT!N4788="","",INPUT!N4788)</f>
        <v/>
      </c>
      <c r="G4793" cm="1">
        <f t="array" ref="G4793">IFERROR(VLOOKUP(INPUT!M4788&amp;INPUT!N4788,CHOOSE({1,2},INPUT!$A$3:$A$5000&amp;INPUT!$C$3:$C$5000,INPUT!$F$3:$F$5000),2,FALSE),"")</f>
        <v>0</v>
      </c>
      <c r="H4793" cm="1">
        <f t="array" ref="H4793">IFERROR(VLOOKUP(INPUT!M4788&amp;INPUT!N4788,CHOOSE({1,2},INPUT!$A$3:$A$5000&amp;INPUT!$C$3:$C$5000,INPUT!$D$3:$D$5000),2,FALSE),"")</f>
        <v>0</v>
      </c>
      <c r="I4793" s="46" t="str">
        <f>IF(INPUT!P4788="","",INPUT!P4788)</f>
        <v/>
      </c>
      <c r="J4793" s="46" t="str">
        <f>IF(INPUT!Q4788="","",INPUT!Q4788)</f>
        <v/>
      </c>
      <c r="K4793" s="46" t="str">
        <f>IFERROR(IF(OR(INPUT!P4788="",INPUT!Q4788=""),"",INPUT!P4788-INPUT!Q4788),"")</f>
        <v/>
      </c>
      <c r="L4793" s="48" t="str">
        <f>IFERROR(IF(OR(INPUT!P4788="",INPUT!Q4788="",INPUT!P4788=0),"",(INPUT!P4788-INPUT!Q4788)/INPUT!P4788),"")</f>
        <v/>
      </c>
    </row>
    <row r="4794" spans="1:12" ht="18" hidden="1" customHeight="1" x14ac:dyDescent="0.2">
      <c r="A4794" s="11" t="str">
        <f>IF(INPUT!M4789="","",INPUT!M4789)</f>
        <v/>
      </c>
      <c r="B4794" s="11" t="str">
        <f>IF(INPUT!M4789="","",INPUT!M4789-WEEKDAY(INPUT!M4789,2)+1)</f>
        <v/>
      </c>
      <c r="C4794" s="20">
        <f>IFERROR(_xlfn.ISOWEEKNUM(INPUT!M4789),"")</f>
        <v>52</v>
      </c>
      <c r="D4794" s="20">
        <f>IFERROR(YEAR(INPUT!M4789),"")</f>
        <v>1900</v>
      </c>
      <c r="E4794" t="str">
        <f>IF(INPUT!O4789="","",INPUT!O4789)</f>
        <v/>
      </c>
      <c r="F4794" t="str">
        <f>IF(INPUT!N4789="","",INPUT!N4789)</f>
        <v/>
      </c>
      <c r="G4794" cm="1">
        <f t="array" ref="G4794">IFERROR(VLOOKUP(INPUT!M4789&amp;INPUT!N4789,CHOOSE({1,2},INPUT!$A$3:$A$5000&amp;INPUT!$C$3:$C$5000,INPUT!$F$3:$F$5000),2,FALSE),"")</f>
        <v>0</v>
      </c>
      <c r="H4794" cm="1">
        <f t="array" ref="H4794">IFERROR(VLOOKUP(INPUT!M4789&amp;INPUT!N4789,CHOOSE({1,2},INPUT!$A$3:$A$5000&amp;INPUT!$C$3:$C$5000,INPUT!$D$3:$D$5000),2,FALSE),"")</f>
        <v>0</v>
      </c>
      <c r="I4794" s="46" t="str">
        <f>IF(INPUT!P4789="","",INPUT!P4789)</f>
        <v/>
      </c>
      <c r="J4794" s="46" t="str">
        <f>IF(INPUT!Q4789="","",INPUT!Q4789)</f>
        <v/>
      </c>
      <c r="K4794" s="46" t="str">
        <f>IFERROR(IF(OR(INPUT!P4789="",INPUT!Q4789=""),"",INPUT!P4789-INPUT!Q4789),"")</f>
        <v/>
      </c>
      <c r="L4794" s="48" t="str">
        <f>IFERROR(IF(OR(INPUT!P4789="",INPUT!Q4789="",INPUT!P4789=0),"",(INPUT!P4789-INPUT!Q4789)/INPUT!P4789),"")</f>
        <v/>
      </c>
    </row>
    <row r="4795" spans="1:12" ht="18" hidden="1" customHeight="1" x14ac:dyDescent="0.2">
      <c r="A4795" s="11" t="str">
        <f>IF(INPUT!M4790="","",INPUT!M4790)</f>
        <v/>
      </c>
      <c r="B4795" s="11" t="str">
        <f>IF(INPUT!M4790="","",INPUT!M4790-WEEKDAY(INPUT!M4790,2)+1)</f>
        <v/>
      </c>
      <c r="C4795" s="20">
        <f>IFERROR(_xlfn.ISOWEEKNUM(INPUT!M4790),"")</f>
        <v>52</v>
      </c>
      <c r="D4795" s="20">
        <f>IFERROR(YEAR(INPUT!M4790),"")</f>
        <v>1900</v>
      </c>
      <c r="E4795" t="str">
        <f>IF(INPUT!O4790="","",INPUT!O4790)</f>
        <v/>
      </c>
      <c r="F4795" t="str">
        <f>IF(INPUT!N4790="","",INPUT!N4790)</f>
        <v/>
      </c>
      <c r="G4795" cm="1">
        <f t="array" ref="G4795">IFERROR(VLOOKUP(INPUT!M4790&amp;INPUT!N4790,CHOOSE({1,2},INPUT!$A$3:$A$5000&amp;INPUT!$C$3:$C$5000,INPUT!$F$3:$F$5000),2,FALSE),"")</f>
        <v>0</v>
      </c>
      <c r="H4795" cm="1">
        <f t="array" ref="H4795">IFERROR(VLOOKUP(INPUT!M4790&amp;INPUT!N4790,CHOOSE({1,2},INPUT!$A$3:$A$5000&amp;INPUT!$C$3:$C$5000,INPUT!$D$3:$D$5000),2,FALSE),"")</f>
        <v>0</v>
      </c>
      <c r="I4795" s="46" t="str">
        <f>IF(INPUT!P4790="","",INPUT!P4790)</f>
        <v/>
      </c>
      <c r="J4795" s="46" t="str">
        <f>IF(INPUT!Q4790="","",INPUT!Q4790)</f>
        <v/>
      </c>
      <c r="K4795" s="46" t="str">
        <f>IFERROR(IF(OR(INPUT!P4790="",INPUT!Q4790=""),"",INPUT!P4790-INPUT!Q4790),"")</f>
        <v/>
      </c>
      <c r="L4795" s="48" t="str">
        <f>IFERROR(IF(OR(INPUT!P4790="",INPUT!Q4790="",INPUT!P4790=0),"",(INPUT!P4790-INPUT!Q4790)/INPUT!P4790),"")</f>
        <v/>
      </c>
    </row>
    <row r="4796" spans="1:12" ht="18" hidden="1" customHeight="1" x14ac:dyDescent="0.2">
      <c r="A4796" s="11" t="str">
        <f>IF(INPUT!M4791="","",INPUT!M4791)</f>
        <v/>
      </c>
      <c r="B4796" s="11" t="str">
        <f>IF(INPUT!M4791="","",INPUT!M4791-WEEKDAY(INPUT!M4791,2)+1)</f>
        <v/>
      </c>
      <c r="C4796" s="20">
        <f>IFERROR(_xlfn.ISOWEEKNUM(INPUT!M4791),"")</f>
        <v>52</v>
      </c>
      <c r="D4796" s="20">
        <f>IFERROR(YEAR(INPUT!M4791),"")</f>
        <v>1900</v>
      </c>
      <c r="E4796" t="str">
        <f>IF(INPUT!O4791="","",INPUT!O4791)</f>
        <v/>
      </c>
      <c r="F4796" t="str">
        <f>IF(INPUT!N4791="","",INPUT!N4791)</f>
        <v/>
      </c>
      <c r="G4796" cm="1">
        <f t="array" ref="G4796">IFERROR(VLOOKUP(INPUT!M4791&amp;INPUT!N4791,CHOOSE({1,2},INPUT!$A$3:$A$5000&amp;INPUT!$C$3:$C$5000,INPUT!$F$3:$F$5000),2,FALSE),"")</f>
        <v>0</v>
      </c>
      <c r="H4796" cm="1">
        <f t="array" ref="H4796">IFERROR(VLOOKUP(INPUT!M4791&amp;INPUT!N4791,CHOOSE({1,2},INPUT!$A$3:$A$5000&amp;INPUT!$C$3:$C$5000,INPUT!$D$3:$D$5000),2,FALSE),"")</f>
        <v>0</v>
      </c>
      <c r="I4796" s="46" t="str">
        <f>IF(INPUT!P4791="","",INPUT!P4791)</f>
        <v/>
      </c>
      <c r="J4796" s="46" t="str">
        <f>IF(INPUT!Q4791="","",INPUT!Q4791)</f>
        <v/>
      </c>
      <c r="K4796" s="46" t="str">
        <f>IFERROR(IF(OR(INPUT!P4791="",INPUT!Q4791=""),"",INPUT!P4791-INPUT!Q4791),"")</f>
        <v/>
      </c>
      <c r="L4796" s="48" t="str">
        <f>IFERROR(IF(OR(INPUT!P4791="",INPUT!Q4791="",INPUT!P4791=0),"",(INPUT!P4791-INPUT!Q4791)/INPUT!P4791),"")</f>
        <v/>
      </c>
    </row>
    <row r="4797" spans="1:12" ht="18" hidden="1" customHeight="1" x14ac:dyDescent="0.2">
      <c r="A4797" s="11" t="str">
        <f>IF(INPUT!M4792="","",INPUT!M4792)</f>
        <v/>
      </c>
      <c r="B4797" s="11" t="str">
        <f>IF(INPUT!M4792="","",INPUT!M4792-WEEKDAY(INPUT!M4792,2)+1)</f>
        <v/>
      </c>
      <c r="C4797" s="20">
        <f>IFERROR(_xlfn.ISOWEEKNUM(INPUT!M4792),"")</f>
        <v>52</v>
      </c>
      <c r="D4797" s="20">
        <f>IFERROR(YEAR(INPUT!M4792),"")</f>
        <v>1900</v>
      </c>
      <c r="E4797" t="str">
        <f>IF(INPUT!O4792="","",INPUT!O4792)</f>
        <v/>
      </c>
      <c r="F4797" t="str">
        <f>IF(INPUT!N4792="","",INPUT!N4792)</f>
        <v/>
      </c>
      <c r="G4797" cm="1">
        <f t="array" ref="G4797">IFERROR(VLOOKUP(INPUT!M4792&amp;INPUT!N4792,CHOOSE({1,2},INPUT!$A$3:$A$5000&amp;INPUT!$C$3:$C$5000,INPUT!$F$3:$F$5000),2,FALSE),"")</f>
        <v>0</v>
      </c>
      <c r="H4797" cm="1">
        <f t="array" ref="H4797">IFERROR(VLOOKUP(INPUT!M4792&amp;INPUT!N4792,CHOOSE({1,2},INPUT!$A$3:$A$5000&amp;INPUT!$C$3:$C$5000,INPUT!$D$3:$D$5000),2,FALSE),"")</f>
        <v>0</v>
      </c>
      <c r="I4797" s="46" t="str">
        <f>IF(INPUT!P4792="","",INPUT!P4792)</f>
        <v/>
      </c>
      <c r="J4797" s="46" t="str">
        <f>IF(INPUT!Q4792="","",INPUT!Q4792)</f>
        <v/>
      </c>
      <c r="K4797" s="46" t="str">
        <f>IFERROR(IF(OR(INPUT!P4792="",INPUT!Q4792=""),"",INPUT!P4792-INPUT!Q4792),"")</f>
        <v/>
      </c>
      <c r="L4797" s="48" t="str">
        <f>IFERROR(IF(OR(INPUT!P4792="",INPUT!Q4792="",INPUT!P4792=0),"",(INPUT!P4792-INPUT!Q4792)/INPUT!P4792),"")</f>
        <v/>
      </c>
    </row>
    <row r="4798" spans="1:12" ht="18" hidden="1" customHeight="1" x14ac:dyDescent="0.2">
      <c r="A4798" s="11" t="str">
        <f>IF(INPUT!M4793="","",INPUT!M4793)</f>
        <v/>
      </c>
      <c r="B4798" s="11" t="str">
        <f>IF(INPUT!M4793="","",INPUT!M4793-WEEKDAY(INPUT!M4793,2)+1)</f>
        <v/>
      </c>
      <c r="C4798" s="20">
        <f>IFERROR(_xlfn.ISOWEEKNUM(INPUT!M4793),"")</f>
        <v>52</v>
      </c>
      <c r="D4798" s="20">
        <f>IFERROR(YEAR(INPUT!M4793),"")</f>
        <v>1900</v>
      </c>
      <c r="E4798" t="str">
        <f>IF(INPUT!O4793="","",INPUT!O4793)</f>
        <v/>
      </c>
      <c r="F4798" t="str">
        <f>IF(INPUT!N4793="","",INPUT!N4793)</f>
        <v/>
      </c>
      <c r="G4798" cm="1">
        <f t="array" ref="G4798">IFERROR(VLOOKUP(INPUT!M4793&amp;INPUT!N4793,CHOOSE({1,2},INPUT!$A$3:$A$5000&amp;INPUT!$C$3:$C$5000,INPUT!$F$3:$F$5000),2,FALSE),"")</f>
        <v>0</v>
      </c>
      <c r="H4798" cm="1">
        <f t="array" ref="H4798">IFERROR(VLOOKUP(INPUT!M4793&amp;INPUT!N4793,CHOOSE({1,2},INPUT!$A$3:$A$5000&amp;INPUT!$C$3:$C$5000,INPUT!$D$3:$D$5000),2,FALSE),"")</f>
        <v>0</v>
      </c>
      <c r="I4798" s="46" t="str">
        <f>IF(INPUT!P4793="","",INPUT!P4793)</f>
        <v/>
      </c>
      <c r="J4798" s="46" t="str">
        <f>IF(INPUT!Q4793="","",INPUT!Q4793)</f>
        <v/>
      </c>
      <c r="K4798" s="46" t="str">
        <f>IFERROR(IF(OR(INPUT!P4793="",INPUT!Q4793=""),"",INPUT!P4793-INPUT!Q4793),"")</f>
        <v/>
      </c>
      <c r="L4798" s="48" t="str">
        <f>IFERROR(IF(OR(INPUT!P4793="",INPUT!Q4793="",INPUT!P4793=0),"",(INPUT!P4793-INPUT!Q4793)/INPUT!P4793),"")</f>
        <v/>
      </c>
    </row>
    <row r="4799" spans="1:12" ht="18" hidden="1" customHeight="1" x14ac:dyDescent="0.2">
      <c r="A4799" s="11" t="str">
        <f>IF(INPUT!M4794="","",INPUT!M4794)</f>
        <v/>
      </c>
      <c r="B4799" s="11" t="str">
        <f>IF(INPUT!M4794="","",INPUT!M4794-WEEKDAY(INPUT!M4794,2)+1)</f>
        <v/>
      </c>
      <c r="C4799" s="20">
        <f>IFERROR(_xlfn.ISOWEEKNUM(INPUT!M4794),"")</f>
        <v>52</v>
      </c>
      <c r="D4799" s="20">
        <f>IFERROR(YEAR(INPUT!M4794),"")</f>
        <v>1900</v>
      </c>
      <c r="E4799" t="str">
        <f>IF(INPUT!O4794="","",INPUT!O4794)</f>
        <v/>
      </c>
      <c r="F4799" t="str">
        <f>IF(INPUT!N4794="","",INPUT!N4794)</f>
        <v/>
      </c>
      <c r="G4799" cm="1">
        <f t="array" ref="G4799">IFERROR(VLOOKUP(INPUT!M4794&amp;INPUT!N4794,CHOOSE({1,2},INPUT!$A$3:$A$5000&amp;INPUT!$C$3:$C$5000,INPUT!$F$3:$F$5000),2,FALSE),"")</f>
        <v>0</v>
      </c>
      <c r="H4799" cm="1">
        <f t="array" ref="H4799">IFERROR(VLOOKUP(INPUT!M4794&amp;INPUT!N4794,CHOOSE({1,2},INPUT!$A$3:$A$5000&amp;INPUT!$C$3:$C$5000,INPUT!$D$3:$D$5000),2,FALSE),"")</f>
        <v>0</v>
      </c>
      <c r="I4799" s="46" t="str">
        <f>IF(INPUT!P4794="","",INPUT!P4794)</f>
        <v/>
      </c>
      <c r="J4799" s="46" t="str">
        <f>IF(INPUT!Q4794="","",INPUT!Q4794)</f>
        <v/>
      </c>
      <c r="K4799" s="46" t="str">
        <f>IFERROR(IF(OR(INPUT!P4794="",INPUT!Q4794=""),"",INPUT!P4794-INPUT!Q4794),"")</f>
        <v/>
      </c>
      <c r="L4799" s="48" t="str">
        <f>IFERROR(IF(OR(INPUT!P4794="",INPUT!Q4794="",INPUT!P4794=0),"",(INPUT!P4794-INPUT!Q4794)/INPUT!P4794),"")</f>
        <v/>
      </c>
    </row>
    <row r="4800" spans="1:12" ht="18" hidden="1" customHeight="1" x14ac:dyDescent="0.2">
      <c r="A4800" s="11" t="str">
        <f>IF(INPUT!M4795="","",INPUT!M4795)</f>
        <v/>
      </c>
      <c r="B4800" s="11" t="str">
        <f>IF(INPUT!M4795="","",INPUT!M4795-WEEKDAY(INPUT!M4795,2)+1)</f>
        <v/>
      </c>
      <c r="C4800" s="20">
        <f>IFERROR(_xlfn.ISOWEEKNUM(INPUT!M4795),"")</f>
        <v>52</v>
      </c>
      <c r="D4800" s="20">
        <f>IFERROR(YEAR(INPUT!M4795),"")</f>
        <v>1900</v>
      </c>
      <c r="E4800" t="str">
        <f>IF(INPUT!O4795="","",INPUT!O4795)</f>
        <v/>
      </c>
      <c r="F4800" t="str">
        <f>IF(INPUT!N4795="","",INPUT!N4795)</f>
        <v/>
      </c>
      <c r="G4800" cm="1">
        <f t="array" ref="G4800">IFERROR(VLOOKUP(INPUT!M4795&amp;INPUT!N4795,CHOOSE({1,2},INPUT!$A$3:$A$5000&amp;INPUT!$C$3:$C$5000,INPUT!$F$3:$F$5000),2,FALSE),"")</f>
        <v>0</v>
      </c>
      <c r="H4800" cm="1">
        <f t="array" ref="H4800">IFERROR(VLOOKUP(INPUT!M4795&amp;INPUT!N4795,CHOOSE({1,2},INPUT!$A$3:$A$5000&amp;INPUT!$C$3:$C$5000,INPUT!$D$3:$D$5000),2,FALSE),"")</f>
        <v>0</v>
      </c>
      <c r="I4800" s="46" t="str">
        <f>IF(INPUT!P4795="","",INPUT!P4795)</f>
        <v/>
      </c>
      <c r="J4800" s="46" t="str">
        <f>IF(INPUT!Q4795="","",INPUT!Q4795)</f>
        <v/>
      </c>
      <c r="K4800" s="46" t="str">
        <f>IFERROR(IF(OR(INPUT!P4795="",INPUT!Q4795=""),"",INPUT!P4795-INPUT!Q4795),"")</f>
        <v/>
      </c>
      <c r="L4800" s="48" t="str">
        <f>IFERROR(IF(OR(INPUT!P4795="",INPUT!Q4795="",INPUT!P4795=0),"",(INPUT!P4795-INPUT!Q4795)/INPUT!P4795),"")</f>
        <v/>
      </c>
    </row>
    <row r="4801" spans="1:12" ht="18" hidden="1" customHeight="1" x14ac:dyDescent="0.2">
      <c r="A4801" s="11" t="str">
        <f>IF(INPUT!M4796="","",INPUT!M4796)</f>
        <v/>
      </c>
      <c r="B4801" s="11" t="str">
        <f>IF(INPUT!M4796="","",INPUT!M4796-WEEKDAY(INPUT!M4796,2)+1)</f>
        <v/>
      </c>
      <c r="C4801" s="20">
        <f>IFERROR(_xlfn.ISOWEEKNUM(INPUT!M4796),"")</f>
        <v>52</v>
      </c>
      <c r="D4801" s="20">
        <f>IFERROR(YEAR(INPUT!M4796),"")</f>
        <v>1900</v>
      </c>
      <c r="E4801" t="str">
        <f>IF(INPUT!O4796="","",INPUT!O4796)</f>
        <v/>
      </c>
      <c r="F4801" t="str">
        <f>IF(INPUT!N4796="","",INPUT!N4796)</f>
        <v/>
      </c>
      <c r="G4801" cm="1">
        <f t="array" ref="G4801">IFERROR(VLOOKUP(INPUT!M4796&amp;INPUT!N4796,CHOOSE({1,2},INPUT!$A$3:$A$5000&amp;INPUT!$C$3:$C$5000,INPUT!$F$3:$F$5000),2,FALSE),"")</f>
        <v>0</v>
      </c>
      <c r="H4801" cm="1">
        <f t="array" ref="H4801">IFERROR(VLOOKUP(INPUT!M4796&amp;INPUT!N4796,CHOOSE({1,2},INPUT!$A$3:$A$5000&amp;INPUT!$C$3:$C$5000,INPUT!$D$3:$D$5000),2,FALSE),"")</f>
        <v>0</v>
      </c>
      <c r="I4801" s="46" t="str">
        <f>IF(INPUT!P4796="","",INPUT!P4796)</f>
        <v/>
      </c>
      <c r="J4801" s="46" t="str">
        <f>IF(INPUT!Q4796="","",INPUT!Q4796)</f>
        <v/>
      </c>
      <c r="K4801" s="46" t="str">
        <f>IFERROR(IF(OR(INPUT!P4796="",INPUT!Q4796=""),"",INPUT!P4796-INPUT!Q4796),"")</f>
        <v/>
      </c>
      <c r="L4801" s="48" t="str">
        <f>IFERROR(IF(OR(INPUT!P4796="",INPUT!Q4796="",INPUT!P4796=0),"",(INPUT!P4796-INPUT!Q4796)/INPUT!P4796),"")</f>
        <v/>
      </c>
    </row>
    <row r="4802" spans="1:12" ht="18" hidden="1" customHeight="1" x14ac:dyDescent="0.2">
      <c r="A4802" s="11" t="str">
        <f>IF(INPUT!M4797="","",INPUT!M4797)</f>
        <v/>
      </c>
      <c r="B4802" s="11" t="str">
        <f>IF(INPUT!M4797="","",INPUT!M4797-WEEKDAY(INPUT!M4797,2)+1)</f>
        <v/>
      </c>
      <c r="C4802" s="20">
        <f>IFERROR(_xlfn.ISOWEEKNUM(INPUT!M4797),"")</f>
        <v>52</v>
      </c>
      <c r="D4802" s="20">
        <f>IFERROR(YEAR(INPUT!M4797),"")</f>
        <v>1900</v>
      </c>
      <c r="E4802" t="str">
        <f>IF(INPUT!O4797="","",INPUT!O4797)</f>
        <v/>
      </c>
      <c r="F4802" t="str">
        <f>IF(INPUT!N4797="","",INPUT!N4797)</f>
        <v/>
      </c>
      <c r="G4802" cm="1">
        <f t="array" ref="G4802">IFERROR(VLOOKUP(INPUT!M4797&amp;INPUT!N4797,CHOOSE({1,2},INPUT!$A$3:$A$5000&amp;INPUT!$C$3:$C$5000,INPUT!$F$3:$F$5000),2,FALSE),"")</f>
        <v>0</v>
      </c>
      <c r="H4802" cm="1">
        <f t="array" ref="H4802">IFERROR(VLOOKUP(INPUT!M4797&amp;INPUT!N4797,CHOOSE({1,2},INPUT!$A$3:$A$5000&amp;INPUT!$C$3:$C$5000,INPUT!$D$3:$D$5000),2,FALSE),"")</f>
        <v>0</v>
      </c>
      <c r="I4802" s="46" t="str">
        <f>IF(INPUT!P4797="","",INPUT!P4797)</f>
        <v/>
      </c>
      <c r="J4802" s="46" t="str">
        <f>IF(INPUT!Q4797="","",INPUT!Q4797)</f>
        <v/>
      </c>
      <c r="K4802" s="46" t="str">
        <f>IFERROR(IF(OR(INPUT!P4797="",INPUT!Q4797=""),"",INPUT!P4797-INPUT!Q4797),"")</f>
        <v/>
      </c>
      <c r="L4802" s="48" t="str">
        <f>IFERROR(IF(OR(INPUT!P4797="",INPUT!Q4797="",INPUT!P4797=0),"",(INPUT!P4797-INPUT!Q4797)/INPUT!P4797),"")</f>
        <v/>
      </c>
    </row>
    <row r="4803" spans="1:12" ht="18" hidden="1" customHeight="1" x14ac:dyDescent="0.2">
      <c r="A4803" s="11" t="str">
        <f>IF(INPUT!M4798="","",INPUT!M4798)</f>
        <v/>
      </c>
      <c r="B4803" s="11" t="str">
        <f>IF(INPUT!M4798="","",INPUT!M4798-WEEKDAY(INPUT!M4798,2)+1)</f>
        <v/>
      </c>
      <c r="C4803" s="20">
        <f>IFERROR(_xlfn.ISOWEEKNUM(INPUT!M4798),"")</f>
        <v>52</v>
      </c>
      <c r="D4803" s="20">
        <f>IFERROR(YEAR(INPUT!M4798),"")</f>
        <v>1900</v>
      </c>
      <c r="E4803" t="str">
        <f>IF(INPUT!O4798="","",INPUT!O4798)</f>
        <v/>
      </c>
      <c r="F4803" t="str">
        <f>IF(INPUT!N4798="","",INPUT!N4798)</f>
        <v/>
      </c>
      <c r="G4803" cm="1">
        <f t="array" ref="G4803">IFERROR(VLOOKUP(INPUT!M4798&amp;INPUT!N4798,CHOOSE({1,2},INPUT!$A$3:$A$5000&amp;INPUT!$C$3:$C$5000,INPUT!$F$3:$F$5000),2,FALSE),"")</f>
        <v>0</v>
      </c>
      <c r="H4803" cm="1">
        <f t="array" ref="H4803">IFERROR(VLOOKUP(INPUT!M4798&amp;INPUT!N4798,CHOOSE({1,2},INPUT!$A$3:$A$5000&amp;INPUT!$C$3:$C$5000,INPUT!$D$3:$D$5000),2,FALSE),"")</f>
        <v>0</v>
      </c>
      <c r="I4803" s="46" t="str">
        <f>IF(INPUT!P4798="","",INPUT!P4798)</f>
        <v/>
      </c>
      <c r="J4803" s="46" t="str">
        <f>IF(INPUT!Q4798="","",INPUT!Q4798)</f>
        <v/>
      </c>
      <c r="K4803" s="46" t="str">
        <f>IFERROR(IF(OR(INPUT!P4798="",INPUT!Q4798=""),"",INPUT!P4798-INPUT!Q4798),"")</f>
        <v/>
      </c>
      <c r="L4803" s="48" t="str">
        <f>IFERROR(IF(OR(INPUT!P4798="",INPUT!Q4798="",INPUT!P4798=0),"",(INPUT!P4798-INPUT!Q4798)/INPUT!P4798),"")</f>
        <v/>
      </c>
    </row>
    <row r="4804" spans="1:12" ht="18" hidden="1" customHeight="1" x14ac:dyDescent="0.2">
      <c r="A4804" s="11" t="str">
        <f>IF(INPUT!M4799="","",INPUT!M4799)</f>
        <v/>
      </c>
      <c r="B4804" s="11" t="str">
        <f>IF(INPUT!M4799="","",INPUT!M4799-WEEKDAY(INPUT!M4799,2)+1)</f>
        <v/>
      </c>
      <c r="C4804" s="20">
        <f>IFERROR(_xlfn.ISOWEEKNUM(INPUT!M4799),"")</f>
        <v>52</v>
      </c>
      <c r="D4804" s="20">
        <f>IFERROR(YEAR(INPUT!M4799),"")</f>
        <v>1900</v>
      </c>
      <c r="E4804" t="str">
        <f>IF(INPUT!O4799="","",INPUT!O4799)</f>
        <v/>
      </c>
      <c r="F4804" t="str">
        <f>IF(INPUT!N4799="","",INPUT!N4799)</f>
        <v/>
      </c>
      <c r="G4804" cm="1">
        <f t="array" ref="G4804">IFERROR(VLOOKUP(INPUT!M4799&amp;INPUT!N4799,CHOOSE({1,2},INPUT!$A$3:$A$5000&amp;INPUT!$C$3:$C$5000,INPUT!$F$3:$F$5000),2,FALSE),"")</f>
        <v>0</v>
      </c>
      <c r="H4804" cm="1">
        <f t="array" ref="H4804">IFERROR(VLOOKUP(INPUT!M4799&amp;INPUT!N4799,CHOOSE({1,2},INPUT!$A$3:$A$5000&amp;INPUT!$C$3:$C$5000,INPUT!$D$3:$D$5000),2,FALSE),"")</f>
        <v>0</v>
      </c>
      <c r="I4804" s="46" t="str">
        <f>IF(INPUT!P4799="","",INPUT!P4799)</f>
        <v/>
      </c>
      <c r="J4804" s="46" t="str">
        <f>IF(INPUT!Q4799="","",INPUT!Q4799)</f>
        <v/>
      </c>
      <c r="K4804" s="46" t="str">
        <f>IFERROR(IF(OR(INPUT!P4799="",INPUT!Q4799=""),"",INPUT!P4799-INPUT!Q4799),"")</f>
        <v/>
      </c>
      <c r="L4804" s="48" t="str">
        <f>IFERROR(IF(OR(INPUT!P4799="",INPUT!Q4799="",INPUT!P4799=0),"",(INPUT!P4799-INPUT!Q4799)/INPUT!P4799),"")</f>
        <v/>
      </c>
    </row>
    <row r="4805" spans="1:12" ht="18" hidden="1" customHeight="1" x14ac:dyDescent="0.2">
      <c r="A4805" s="11" t="str">
        <f>IF(INPUT!M4800="","",INPUT!M4800)</f>
        <v/>
      </c>
      <c r="B4805" s="11" t="str">
        <f>IF(INPUT!M4800="","",INPUT!M4800-WEEKDAY(INPUT!M4800,2)+1)</f>
        <v/>
      </c>
      <c r="C4805" s="20">
        <f>IFERROR(_xlfn.ISOWEEKNUM(INPUT!M4800),"")</f>
        <v>52</v>
      </c>
      <c r="D4805" s="20">
        <f>IFERROR(YEAR(INPUT!M4800),"")</f>
        <v>1900</v>
      </c>
      <c r="E4805" t="str">
        <f>IF(INPUT!O4800="","",INPUT!O4800)</f>
        <v/>
      </c>
      <c r="F4805" t="str">
        <f>IF(INPUT!N4800="","",INPUT!N4800)</f>
        <v/>
      </c>
      <c r="G4805" cm="1">
        <f t="array" ref="G4805">IFERROR(VLOOKUP(INPUT!M4800&amp;INPUT!N4800,CHOOSE({1,2},INPUT!$A$3:$A$5000&amp;INPUT!$C$3:$C$5000,INPUT!$F$3:$F$5000),2,FALSE),"")</f>
        <v>0</v>
      </c>
      <c r="H4805" cm="1">
        <f t="array" ref="H4805">IFERROR(VLOOKUP(INPUT!M4800&amp;INPUT!N4800,CHOOSE({1,2},INPUT!$A$3:$A$5000&amp;INPUT!$C$3:$C$5000,INPUT!$D$3:$D$5000),2,FALSE),"")</f>
        <v>0</v>
      </c>
      <c r="I4805" s="46" t="str">
        <f>IF(INPUT!P4800="","",INPUT!P4800)</f>
        <v/>
      </c>
      <c r="J4805" s="46" t="str">
        <f>IF(INPUT!Q4800="","",INPUT!Q4800)</f>
        <v/>
      </c>
      <c r="K4805" s="46" t="str">
        <f>IFERROR(IF(OR(INPUT!P4800="",INPUT!Q4800=""),"",INPUT!P4800-INPUT!Q4800),"")</f>
        <v/>
      </c>
      <c r="L4805" s="48" t="str">
        <f>IFERROR(IF(OR(INPUT!P4800="",INPUT!Q4800="",INPUT!P4800=0),"",(INPUT!P4800-INPUT!Q4800)/INPUT!P4800),"")</f>
        <v/>
      </c>
    </row>
    <row r="4806" spans="1:12" ht="18" hidden="1" customHeight="1" x14ac:dyDescent="0.2">
      <c r="A4806" s="11" t="str">
        <f>IF(INPUT!M4801="","",INPUT!M4801)</f>
        <v/>
      </c>
      <c r="B4806" s="11" t="str">
        <f>IF(INPUT!M4801="","",INPUT!M4801-WEEKDAY(INPUT!M4801,2)+1)</f>
        <v/>
      </c>
      <c r="C4806" s="20">
        <f>IFERROR(_xlfn.ISOWEEKNUM(INPUT!M4801),"")</f>
        <v>52</v>
      </c>
      <c r="D4806" s="20">
        <f>IFERROR(YEAR(INPUT!M4801),"")</f>
        <v>1900</v>
      </c>
      <c r="E4806" t="str">
        <f>IF(INPUT!O4801="","",INPUT!O4801)</f>
        <v/>
      </c>
      <c r="F4806" t="str">
        <f>IF(INPUT!N4801="","",INPUT!N4801)</f>
        <v/>
      </c>
      <c r="G4806" cm="1">
        <f t="array" ref="G4806">IFERROR(VLOOKUP(INPUT!M4801&amp;INPUT!N4801,CHOOSE({1,2},INPUT!$A$3:$A$5000&amp;INPUT!$C$3:$C$5000,INPUT!$F$3:$F$5000),2,FALSE),"")</f>
        <v>0</v>
      </c>
      <c r="H4806" cm="1">
        <f t="array" ref="H4806">IFERROR(VLOOKUP(INPUT!M4801&amp;INPUT!N4801,CHOOSE({1,2},INPUT!$A$3:$A$5000&amp;INPUT!$C$3:$C$5000,INPUT!$D$3:$D$5000),2,FALSE),"")</f>
        <v>0</v>
      </c>
      <c r="I4806" s="46" t="str">
        <f>IF(INPUT!P4801="","",INPUT!P4801)</f>
        <v/>
      </c>
      <c r="J4806" s="46" t="str">
        <f>IF(INPUT!Q4801="","",INPUT!Q4801)</f>
        <v/>
      </c>
      <c r="K4806" s="46" t="str">
        <f>IFERROR(IF(OR(INPUT!P4801="",INPUT!Q4801=""),"",INPUT!P4801-INPUT!Q4801),"")</f>
        <v/>
      </c>
      <c r="L4806" s="48" t="str">
        <f>IFERROR(IF(OR(INPUT!P4801="",INPUT!Q4801="",INPUT!P4801=0),"",(INPUT!P4801-INPUT!Q4801)/INPUT!P4801),"")</f>
        <v/>
      </c>
    </row>
    <row r="4807" spans="1:12" ht="18" hidden="1" customHeight="1" x14ac:dyDescent="0.2">
      <c r="A4807" s="11" t="str">
        <f>IF(INPUT!M4802="","",INPUT!M4802)</f>
        <v/>
      </c>
      <c r="B4807" s="11" t="str">
        <f>IF(INPUT!M4802="","",INPUT!M4802-WEEKDAY(INPUT!M4802,2)+1)</f>
        <v/>
      </c>
      <c r="C4807" s="20">
        <f>IFERROR(_xlfn.ISOWEEKNUM(INPUT!M4802),"")</f>
        <v>52</v>
      </c>
      <c r="D4807" s="20">
        <f>IFERROR(YEAR(INPUT!M4802),"")</f>
        <v>1900</v>
      </c>
      <c r="E4807" t="str">
        <f>IF(INPUT!O4802="","",INPUT!O4802)</f>
        <v/>
      </c>
      <c r="F4807" t="str">
        <f>IF(INPUT!N4802="","",INPUT!N4802)</f>
        <v/>
      </c>
      <c r="G4807" cm="1">
        <f t="array" ref="G4807">IFERROR(VLOOKUP(INPUT!M4802&amp;INPUT!N4802,CHOOSE({1,2},INPUT!$A$3:$A$5000&amp;INPUT!$C$3:$C$5000,INPUT!$F$3:$F$5000),2,FALSE),"")</f>
        <v>0</v>
      </c>
      <c r="H4807" cm="1">
        <f t="array" ref="H4807">IFERROR(VLOOKUP(INPUT!M4802&amp;INPUT!N4802,CHOOSE({1,2},INPUT!$A$3:$A$5000&amp;INPUT!$C$3:$C$5000,INPUT!$D$3:$D$5000),2,FALSE),"")</f>
        <v>0</v>
      </c>
      <c r="I4807" s="46" t="str">
        <f>IF(INPUT!P4802="","",INPUT!P4802)</f>
        <v/>
      </c>
      <c r="J4807" s="46" t="str">
        <f>IF(INPUT!Q4802="","",INPUT!Q4802)</f>
        <v/>
      </c>
      <c r="K4807" s="46" t="str">
        <f>IFERROR(IF(OR(INPUT!P4802="",INPUT!Q4802=""),"",INPUT!P4802-INPUT!Q4802),"")</f>
        <v/>
      </c>
      <c r="L4807" s="48" t="str">
        <f>IFERROR(IF(OR(INPUT!P4802="",INPUT!Q4802="",INPUT!P4802=0),"",(INPUT!P4802-INPUT!Q4802)/INPUT!P4802),"")</f>
        <v/>
      </c>
    </row>
    <row r="4808" spans="1:12" ht="18" hidden="1" customHeight="1" x14ac:dyDescent="0.2">
      <c r="A4808" s="11" t="str">
        <f>IF(INPUT!M4803="","",INPUT!M4803)</f>
        <v/>
      </c>
      <c r="B4808" s="11" t="str">
        <f>IF(INPUT!M4803="","",INPUT!M4803-WEEKDAY(INPUT!M4803,2)+1)</f>
        <v/>
      </c>
      <c r="C4808" s="20">
        <f>IFERROR(_xlfn.ISOWEEKNUM(INPUT!M4803),"")</f>
        <v>52</v>
      </c>
      <c r="D4808" s="20">
        <f>IFERROR(YEAR(INPUT!M4803),"")</f>
        <v>1900</v>
      </c>
      <c r="E4808" t="str">
        <f>IF(INPUT!O4803="","",INPUT!O4803)</f>
        <v/>
      </c>
      <c r="F4808" t="str">
        <f>IF(INPUT!N4803="","",INPUT!N4803)</f>
        <v/>
      </c>
      <c r="G4808" cm="1">
        <f t="array" ref="G4808">IFERROR(VLOOKUP(INPUT!M4803&amp;INPUT!N4803,CHOOSE({1,2},INPUT!$A$3:$A$5000&amp;INPUT!$C$3:$C$5000,INPUT!$F$3:$F$5000),2,FALSE),"")</f>
        <v>0</v>
      </c>
      <c r="H4808" cm="1">
        <f t="array" ref="H4808">IFERROR(VLOOKUP(INPUT!M4803&amp;INPUT!N4803,CHOOSE({1,2},INPUT!$A$3:$A$5000&amp;INPUT!$C$3:$C$5000,INPUT!$D$3:$D$5000),2,FALSE),"")</f>
        <v>0</v>
      </c>
      <c r="I4808" s="46" t="str">
        <f>IF(INPUT!P4803="","",INPUT!P4803)</f>
        <v/>
      </c>
      <c r="J4808" s="46" t="str">
        <f>IF(INPUT!Q4803="","",INPUT!Q4803)</f>
        <v/>
      </c>
      <c r="K4808" s="46" t="str">
        <f>IFERROR(IF(OR(INPUT!P4803="",INPUT!Q4803=""),"",INPUT!P4803-INPUT!Q4803),"")</f>
        <v/>
      </c>
      <c r="L4808" s="48" t="str">
        <f>IFERROR(IF(OR(INPUT!P4803="",INPUT!Q4803="",INPUT!P4803=0),"",(INPUT!P4803-INPUT!Q4803)/INPUT!P4803),"")</f>
        <v/>
      </c>
    </row>
    <row r="4809" spans="1:12" ht="18" hidden="1" customHeight="1" x14ac:dyDescent="0.2">
      <c r="A4809" s="11" t="str">
        <f>IF(INPUT!M4804="","",INPUT!M4804)</f>
        <v/>
      </c>
      <c r="B4809" s="11" t="str">
        <f>IF(INPUT!M4804="","",INPUT!M4804-WEEKDAY(INPUT!M4804,2)+1)</f>
        <v/>
      </c>
      <c r="C4809" s="20">
        <f>IFERROR(_xlfn.ISOWEEKNUM(INPUT!M4804),"")</f>
        <v>52</v>
      </c>
      <c r="D4809" s="20">
        <f>IFERROR(YEAR(INPUT!M4804),"")</f>
        <v>1900</v>
      </c>
      <c r="E4809" t="str">
        <f>IF(INPUT!O4804="","",INPUT!O4804)</f>
        <v/>
      </c>
      <c r="F4809" t="str">
        <f>IF(INPUT!N4804="","",INPUT!N4804)</f>
        <v/>
      </c>
      <c r="G4809" cm="1">
        <f t="array" ref="G4809">IFERROR(VLOOKUP(INPUT!M4804&amp;INPUT!N4804,CHOOSE({1,2},INPUT!$A$3:$A$5000&amp;INPUT!$C$3:$C$5000,INPUT!$F$3:$F$5000),2,FALSE),"")</f>
        <v>0</v>
      </c>
      <c r="H4809" cm="1">
        <f t="array" ref="H4809">IFERROR(VLOOKUP(INPUT!M4804&amp;INPUT!N4804,CHOOSE({1,2},INPUT!$A$3:$A$5000&amp;INPUT!$C$3:$C$5000,INPUT!$D$3:$D$5000),2,FALSE),"")</f>
        <v>0</v>
      </c>
      <c r="I4809" s="46" t="str">
        <f>IF(INPUT!P4804="","",INPUT!P4804)</f>
        <v/>
      </c>
      <c r="J4809" s="46" t="str">
        <f>IF(INPUT!Q4804="","",INPUT!Q4804)</f>
        <v/>
      </c>
      <c r="K4809" s="46" t="str">
        <f>IFERROR(IF(OR(INPUT!P4804="",INPUT!Q4804=""),"",INPUT!P4804-INPUT!Q4804),"")</f>
        <v/>
      </c>
      <c r="L4809" s="48" t="str">
        <f>IFERROR(IF(OR(INPUT!P4804="",INPUT!Q4804="",INPUT!P4804=0),"",(INPUT!P4804-INPUT!Q4804)/INPUT!P4804),"")</f>
        <v/>
      </c>
    </row>
    <row r="4810" spans="1:12" ht="18" hidden="1" customHeight="1" x14ac:dyDescent="0.2">
      <c r="A4810" s="11" t="str">
        <f>IF(INPUT!M4805="","",INPUT!M4805)</f>
        <v/>
      </c>
      <c r="B4810" s="11" t="str">
        <f>IF(INPUT!M4805="","",INPUT!M4805-WEEKDAY(INPUT!M4805,2)+1)</f>
        <v/>
      </c>
      <c r="C4810" s="20">
        <f>IFERROR(_xlfn.ISOWEEKNUM(INPUT!M4805),"")</f>
        <v>52</v>
      </c>
      <c r="D4810" s="20">
        <f>IFERROR(YEAR(INPUT!M4805),"")</f>
        <v>1900</v>
      </c>
      <c r="E4810" t="str">
        <f>IF(INPUT!O4805="","",INPUT!O4805)</f>
        <v/>
      </c>
      <c r="F4810" t="str">
        <f>IF(INPUT!N4805="","",INPUT!N4805)</f>
        <v/>
      </c>
      <c r="G4810" cm="1">
        <f t="array" ref="G4810">IFERROR(VLOOKUP(INPUT!M4805&amp;INPUT!N4805,CHOOSE({1,2},INPUT!$A$3:$A$5000&amp;INPUT!$C$3:$C$5000,INPUT!$F$3:$F$5000),2,FALSE),"")</f>
        <v>0</v>
      </c>
      <c r="H4810" cm="1">
        <f t="array" ref="H4810">IFERROR(VLOOKUP(INPUT!M4805&amp;INPUT!N4805,CHOOSE({1,2},INPUT!$A$3:$A$5000&amp;INPUT!$C$3:$C$5000,INPUT!$D$3:$D$5000),2,FALSE),"")</f>
        <v>0</v>
      </c>
      <c r="I4810" s="46" t="str">
        <f>IF(INPUT!P4805="","",INPUT!P4805)</f>
        <v/>
      </c>
      <c r="J4810" s="46" t="str">
        <f>IF(INPUT!Q4805="","",INPUT!Q4805)</f>
        <v/>
      </c>
      <c r="K4810" s="46" t="str">
        <f>IFERROR(IF(OR(INPUT!P4805="",INPUT!Q4805=""),"",INPUT!P4805-INPUT!Q4805),"")</f>
        <v/>
      </c>
      <c r="L4810" s="48" t="str">
        <f>IFERROR(IF(OR(INPUT!P4805="",INPUT!Q4805="",INPUT!P4805=0),"",(INPUT!P4805-INPUT!Q4805)/INPUT!P4805),"")</f>
        <v/>
      </c>
    </row>
    <row r="4811" spans="1:12" ht="18" hidden="1" customHeight="1" x14ac:dyDescent="0.2">
      <c r="A4811" s="11" t="str">
        <f>IF(INPUT!M4806="","",INPUT!M4806)</f>
        <v/>
      </c>
      <c r="B4811" s="11" t="str">
        <f>IF(INPUT!M4806="","",INPUT!M4806-WEEKDAY(INPUT!M4806,2)+1)</f>
        <v/>
      </c>
      <c r="C4811" s="20">
        <f>IFERROR(_xlfn.ISOWEEKNUM(INPUT!M4806),"")</f>
        <v>52</v>
      </c>
      <c r="D4811" s="20">
        <f>IFERROR(YEAR(INPUT!M4806),"")</f>
        <v>1900</v>
      </c>
      <c r="E4811" t="str">
        <f>IF(INPUT!O4806="","",INPUT!O4806)</f>
        <v/>
      </c>
      <c r="F4811" t="str">
        <f>IF(INPUT!N4806="","",INPUT!N4806)</f>
        <v/>
      </c>
      <c r="G4811" cm="1">
        <f t="array" ref="G4811">IFERROR(VLOOKUP(INPUT!M4806&amp;INPUT!N4806,CHOOSE({1,2},INPUT!$A$3:$A$5000&amp;INPUT!$C$3:$C$5000,INPUT!$F$3:$F$5000),2,FALSE),"")</f>
        <v>0</v>
      </c>
      <c r="H4811" cm="1">
        <f t="array" ref="H4811">IFERROR(VLOOKUP(INPUT!M4806&amp;INPUT!N4806,CHOOSE({1,2},INPUT!$A$3:$A$5000&amp;INPUT!$C$3:$C$5000,INPUT!$D$3:$D$5000),2,FALSE),"")</f>
        <v>0</v>
      </c>
      <c r="I4811" s="46" t="str">
        <f>IF(INPUT!P4806="","",INPUT!P4806)</f>
        <v/>
      </c>
      <c r="J4811" s="46" t="str">
        <f>IF(INPUT!Q4806="","",INPUT!Q4806)</f>
        <v/>
      </c>
      <c r="K4811" s="46" t="str">
        <f>IFERROR(IF(OR(INPUT!P4806="",INPUT!Q4806=""),"",INPUT!P4806-INPUT!Q4806),"")</f>
        <v/>
      </c>
      <c r="L4811" s="48" t="str">
        <f>IFERROR(IF(OR(INPUT!P4806="",INPUT!Q4806="",INPUT!P4806=0),"",(INPUT!P4806-INPUT!Q4806)/INPUT!P4806),"")</f>
        <v/>
      </c>
    </row>
    <row r="4812" spans="1:12" ht="18" hidden="1" customHeight="1" x14ac:dyDescent="0.2">
      <c r="A4812" s="11" t="str">
        <f>IF(INPUT!M4807="","",INPUT!M4807)</f>
        <v/>
      </c>
      <c r="B4812" s="11" t="str">
        <f>IF(INPUT!M4807="","",INPUT!M4807-WEEKDAY(INPUT!M4807,2)+1)</f>
        <v/>
      </c>
      <c r="C4812" s="20">
        <f>IFERROR(_xlfn.ISOWEEKNUM(INPUT!M4807),"")</f>
        <v>52</v>
      </c>
      <c r="D4812" s="20">
        <f>IFERROR(YEAR(INPUT!M4807),"")</f>
        <v>1900</v>
      </c>
      <c r="E4812" t="str">
        <f>IF(INPUT!O4807="","",INPUT!O4807)</f>
        <v/>
      </c>
      <c r="F4812" t="str">
        <f>IF(INPUT!N4807="","",INPUT!N4807)</f>
        <v/>
      </c>
      <c r="G4812" cm="1">
        <f t="array" ref="G4812">IFERROR(VLOOKUP(INPUT!M4807&amp;INPUT!N4807,CHOOSE({1,2},INPUT!$A$3:$A$5000&amp;INPUT!$C$3:$C$5000,INPUT!$F$3:$F$5000),2,FALSE),"")</f>
        <v>0</v>
      </c>
      <c r="H4812" cm="1">
        <f t="array" ref="H4812">IFERROR(VLOOKUP(INPUT!M4807&amp;INPUT!N4807,CHOOSE({1,2},INPUT!$A$3:$A$5000&amp;INPUT!$C$3:$C$5000,INPUT!$D$3:$D$5000),2,FALSE),"")</f>
        <v>0</v>
      </c>
      <c r="I4812" s="46" t="str">
        <f>IF(INPUT!P4807="","",INPUT!P4807)</f>
        <v/>
      </c>
      <c r="J4812" s="46" t="str">
        <f>IF(INPUT!Q4807="","",INPUT!Q4807)</f>
        <v/>
      </c>
      <c r="K4812" s="46" t="str">
        <f>IFERROR(IF(OR(INPUT!P4807="",INPUT!Q4807=""),"",INPUT!P4807-INPUT!Q4807),"")</f>
        <v/>
      </c>
      <c r="L4812" s="48" t="str">
        <f>IFERROR(IF(OR(INPUT!P4807="",INPUT!Q4807="",INPUT!P4807=0),"",(INPUT!P4807-INPUT!Q4807)/INPUT!P4807),"")</f>
        <v/>
      </c>
    </row>
    <row r="4813" spans="1:12" ht="18" hidden="1" customHeight="1" x14ac:dyDescent="0.2">
      <c r="A4813" s="11" t="str">
        <f>IF(INPUT!M4808="","",INPUT!M4808)</f>
        <v/>
      </c>
      <c r="B4813" s="11" t="str">
        <f>IF(INPUT!M4808="","",INPUT!M4808-WEEKDAY(INPUT!M4808,2)+1)</f>
        <v/>
      </c>
      <c r="C4813" s="20">
        <f>IFERROR(_xlfn.ISOWEEKNUM(INPUT!M4808),"")</f>
        <v>52</v>
      </c>
      <c r="D4813" s="20">
        <f>IFERROR(YEAR(INPUT!M4808),"")</f>
        <v>1900</v>
      </c>
      <c r="E4813" t="str">
        <f>IF(INPUT!O4808="","",INPUT!O4808)</f>
        <v/>
      </c>
      <c r="F4813" t="str">
        <f>IF(INPUT!N4808="","",INPUT!N4808)</f>
        <v/>
      </c>
      <c r="G4813" cm="1">
        <f t="array" ref="G4813">IFERROR(VLOOKUP(INPUT!M4808&amp;INPUT!N4808,CHOOSE({1,2},INPUT!$A$3:$A$5000&amp;INPUT!$C$3:$C$5000,INPUT!$F$3:$F$5000),2,FALSE),"")</f>
        <v>0</v>
      </c>
      <c r="H4813" cm="1">
        <f t="array" ref="H4813">IFERROR(VLOOKUP(INPUT!M4808&amp;INPUT!N4808,CHOOSE({1,2},INPUT!$A$3:$A$5000&amp;INPUT!$C$3:$C$5000,INPUT!$D$3:$D$5000),2,FALSE),"")</f>
        <v>0</v>
      </c>
      <c r="I4813" s="46" t="str">
        <f>IF(INPUT!P4808="","",INPUT!P4808)</f>
        <v/>
      </c>
      <c r="J4813" s="46" t="str">
        <f>IF(INPUT!Q4808="","",INPUT!Q4808)</f>
        <v/>
      </c>
      <c r="K4813" s="46" t="str">
        <f>IFERROR(IF(OR(INPUT!P4808="",INPUT!Q4808=""),"",INPUT!P4808-INPUT!Q4808),"")</f>
        <v/>
      </c>
      <c r="L4813" s="48" t="str">
        <f>IFERROR(IF(OR(INPUT!P4808="",INPUT!Q4808="",INPUT!P4808=0),"",(INPUT!P4808-INPUT!Q4808)/INPUT!P4808),"")</f>
        <v/>
      </c>
    </row>
    <row r="4814" spans="1:12" ht="18" hidden="1" customHeight="1" x14ac:dyDescent="0.2">
      <c r="A4814" s="11" t="str">
        <f>IF(INPUT!M4809="","",INPUT!M4809)</f>
        <v/>
      </c>
      <c r="B4814" s="11" t="str">
        <f>IF(INPUT!M4809="","",INPUT!M4809-WEEKDAY(INPUT!M4809,2)+1)</f>
        <v/>
      </c>
      <c r="C4814" s="20">
        <f>IFERROR(_xlfn.ISOWEEKNUM(INPUT!M4809),"")</f>
        <v>52</v>
      </c>
      <c r="D4814" s="20">
        <f>IFERROR(YEAR(INPUT!M4809),"")</f>
        <v>1900</v>
      </c>
      <c r="E4814" t="str">
        <f>IF(INPUT!O4809="","",INPUT!O4809)</f>
        <v/>
      </c>
      <c r="F4814" t="str">
        <f>IF(INPUT!N4809="","",INPUT!N4809)</f>
        <v/>
      </c>
      <c r="G4814" cm="1">
        <f t="array" ref="G4814">IFERROR(VLOOKUP(INPUT!M4809&amp;INPUT!N4809,CHOOSE({1,2},INPUT!$A$3:$A$5000&amp;INPUT!$C$3:$C$5000,INPUT!$F$3:$F$5000),2,FALSE),"")</f>
        <v>0</v>
      </c>
      <c r="H4814" cm="1">
        <f t="array" ref="H4814">IFERROR(VLOOKUP(INPUT!M4809&amp;INPUT!N4809,CHOOSE({1,2},INPUT!$A$3:$A$5000&amp;INPUT!$C$3:$C$5000,INPUT!$D$3:$D$5000),2,FALSE),"")</f>
        <v>0</v>
      </c>
      <c r="I4814" s="46" t="str">
        <f>IF(INPUT!P4809="","",INPUT!P4809)</f>
        <v/>
      </c>
      <c r="J4814" s="46" t="str">
        <f>IF(INPUT!Q4809="","",INPUT!Q4809)</f>
        <v/>
      </c>
      <c r="K4814" s="46" t="str">
        <f>IFERROR(IF(OR(INPUT!P4809="",INPUT!Q4809=""),"",INPUT!P4809-INPUT!Q4809),"")</f>
        <v/>
      </c>
      <c r="L4814" s="48" t="str">
        <f>IFERROR(IF(OR(INPUT!P4809="",INPUT!Q4809="",INPUT!P4809=0),"",(INPUT!P4809-INPUT!Q4809)/INPUT!P4809),"")</f>
        <v/>
      </c>
    </row>
    <row r="4815" spans="1:12" ht="18" hidden="1" customHeight="1" x14ac:dyDescent="0.2">
      <c r="A4815" s="11" t="str">
        <f>IF(INPUT!M4810="","",INPUT!M4810)</f>
        <v/>
      </c>
      <c r="B4815" s="11" t="str">
        <f>IF(INPUT!M4810="","",INPUT!M4810-WEEKDAY(INPUT!M4810,2)+1)</f>
        <v/>
      </c>
      <c r="C4815" s="20">
        <f>IFERROR(_xlfn.ISOWEEKNUM(INPUT!M4810),"")</f>
        <v>52</v>
      </c>
      <c r="D4815" s="20">
        <f>IFERROR(YEAR(INPUT!M4810),"")</f>
        <v>1900</v>
      </c>
      <c r="E4815" t="str">
        <f>IF(INPUT!O4810="","",INPUT!O4810)</f>
        <v/>
      </c>
      <c r="F4815" t="str">
        <f>IF(INPUT!N4810="","",INPUT!N4810)</f>
        <v/>
      </c>
      <c r="G4815" cm="1">
        <f t="array" ref="G4815">IFERROR(VLOOKUP(INPUT!M4810&amp;INPUT!N4810,CHOOSE({1,2},INPUT!$A$3:$A$5000&amp;INPUT!$C$3:$C$5000,INPUT!$F$3:$F$5000),2,FALSE),"")</f>
        <v>0</v>
      </c>
      <c r="H4815" cm="1">
        <f t="array" ref="H4815">IFERROR(VLOOKUP(INPUT!M4810&amp;INPUT!N4810,CHOOSE({1,2},INPUT!$A$3:$A$5000&amp;INPUT!$C$3:$C$5000,INPUT!$D$3:$D$5000),2,FALSE),"")</f>
        <v>0</v>
      </c>
      <c r="I4815" s="46" t="str">
        <f>IF(INPUT!P4810="","",INPUT!P4810)</f>
        <v/>
      </c>
      <c r="J4815" s="46" t="str">
        <f>IF(INPUT!Q4810="","",INPUT!Q4810)</f>
        <v/>
      </c>
      <c r="K4815" s="46" t="str">
        <f>IFERROR(IF(OR(INPUT!P4810="",INPUT!Q4810=""),"",INPUT!P4810-INPUT!Q4810),"")</f>
        <v/>
      </c>
      <c r="L4815" s="48" t="str">
        <f>IFERROR(IF(OR(INPUT!P4810="",INPUT!Q4810="",INPUT!P4810=0),"",(INPUT!P4810-INPUT!Q4810)/INPUT!P4810),"")</f>
        <v/>
      </c>
    </row>
    <row r="4816" spans="1:12" ht="18" hidden="1" customHeight="1" x14ac:dyDescent="0.2">
      <c r="A4816" s="11" t="str">
        <f>IF(INPUT!M4811="","",INPUT!M4811)</f>
        <v/>
      </c>
      <c r="B4816" s="11" t="str">
        <f>IF(INPUT!M4811="","",INPUT!M4811-WEEKDAY(INPUT!M4811,2)+1)</f>
        <v/>
      </c>
      <c r="C4816" s="20">
        <f>IFERROR(_xlfn.ISOWEEKNUM(INPUT!M4811),"")</f>
        <v>52</v>
      </c>
      <c r="D4816" s="20">
        <f>IFERROR(YEAR(INPUT!M4811),"")</f>
        <v>1900</v>
      </c>
      <c r="E4816" t="str">
        <f>IF(INPUT!O4811="","",INPUT!O4811)</f>
        <v/>
      </c>
      <c r="F4816" t="str">
        <f>IF(INPUT!N4811="","",INPUT!N4811)</f>
        <v/>
      </c>
      <c r="G4816" cm="1">
        <f t="array" ref="G4816">IFERROR(VLOOKUP(INPUT!M4811&amp;INPUT!N4811,CHOOSE({1,2},INPUT!$A$3:$A$5000&amp;INPUT!$C$3:$C$5000,INPUT!$F$3:$F$5000),2,FALSE),"")</f>
        <v>0</v>
      </c>
      <c r="H4816" cm="1">
        <f t="array" ref="H4816">IFERROR(VLOOKUP(INPUT!M4811&amp;INPUT!N4811,CHOOSE({1,2},INPUT!$A$3:$A$5000&amp;INPUT!$C$3:$C$5000,INPUT!$D$3:$D$5000),2,FALSE),"")</f>
        <v>0</v>
      </c>
      <c r="I4816" s="46" t="str">
        <f>IF(INPUT!P4811="","",INPUT!P4811)</f>
        <v/>
      </c>
      <c r="J4816" s="46" t="str">
        <f>IF(INPUT!Q4811="","",INPUT!Q4811)</f>
        <v/>
      </c>
      <c r="K4816" s="46" t="str">
        <f>IFERROR(IF(OR(INPUT!P4811="",INPUT!Q4811=""),"",INPUT!P4811-INPUT!Q4811),"")</f>
        <v/>
      </c>
      <c r="L4816" s="48" t="str">
        <f>IFERROR(IF(OR(INPUT!P4811="",INPUT!Q4811="",INPUT!P4811=0),"",(INPUT!P4811-INPUT!Q4811)/INPUT!P4811),"")</f>
        <v/>
      </c>
    </row>
    <row r="4817" spans="1:12" ht="18" hidden="1" customHeight="1" x14ac:dyDescent="0.2">
      <c r="A4817" s="11" t="str">
        <f>IF(INPUT!M4812="","",INPUT!M4812)</f>
        <v/>
      </c>
      <c r="B4817" s="11" t="str">
        <f>IF(INPUT!M4812="","",INPUT!M4812-WEEKDAY(INPUT!M4812,2)+1)</f>
        <v/>
      </c>
      <c r="C4817" s="20">
        <f>IFERROR(_xlfn.ISOWEEKNUM(INPUT!M4812),"")</f>
        <v>52</v>
      </c>
      <c r="D4817" s="20">
        <f>IFERROR(YEAR(INPUT!M4812),"")</f>
        <v>1900</v>
      </c>
      <c r="E4817" t="str">
        <f>IF(INPUT!O4812="","",INPUT!O4812)</f>
        <v/>
      </c>
      <c r="F4817" t="str">
        <f>IF(INPUT!N4812="","",INPUT!N4812)</f>
        <v/>
      </c>
      <c r="G4817" cm="1">
        <f t="array" ref="G4817">IFERROR(VLOOKUP(INPUT!M4812&amp;INPUT!N4812,CHOOSE({1,2},INPUT!$A$3:$A$5000&amp;INPUT!$C$3:$C$5000,INPUT!$F$3:$F$5000),2,FALSE),"")</f>
        <v>0</v>
      </c>
      <c r="H4817" cm="1">
        <f t="array" ref="H4817">IFERROR(VLOOKUP(INPUT!M4812&amp;INPUT!N4812,CHOOSE({1,2},INPUT!$A$3:$A$5000&amp;INPUT!$C$3:$C$5000,INPUT!$D$3:$D$5000),2,FALSE),"")</f>
        <v>0</v>
      </c>
      <c r="I4817" s="46" t="str">
        <f>IF(INPUT!P4812="","",INPUT!P4812)</f>
        <v/>
      </c>
      <c r="J4817" s="46" t="str">
        <f>IF(INPUT!Q4812="","",INPUT!Q4812)</f>
        <v/>
      </c>
      <c r="K4817" s="46" t="str">
        <f>IFERROR(IF(OR(INPUT!P4812="",INPUT!Q4812=""),"",INPUT!P4812-INPUT!Q4812),"")</f>
        <v/>
      </c>
      <c r="L4817" s="48" t="str">
        <f>IFERROR(IF(OR(INPUT!P4812="",INPUT!Q4812="",INPUT!P4812=0),"",(INPUT!P4812-INPUT!Q4812)/INPUT!P4812),"")</f>
        <v/>
      </c>
    </row>
    <row r="4818" spans="1:12" ht="18" hidden="1" customHeight="1" x14ac:dyDescent="0.2">
      <c r="A4818" s="11" t="str">
        <f>IF(INPUT!M4813="","",INPUT!M4813)</f>
        <v/>
      </c>
      <c r="B4818" s="11" t="str">
        <f>IF(INPUT!M4813="","",INPUT!M4813-WEEKDAY(INPUT!M4813,2)+1)</f>
        <v/>
      </c>
      <c r="C4818" s="20">
        <f>IFERROR(_xlfn.ISOWEEKNUM(INPUT!M4813),"")</f>
        <v>52</v>
      </c>
      <c r="D4818" s="20">
        <f>IFERROR(YEAR(INPUT!M4813),"")</f>
        <v>1900</v>
      </c>
      <c r="E4818" t="str">
        <f>IF(INPUT!O4813="","",INPUT!O4813)</f>
        <v/>
      </c>
      <c r="F4818" t="str">
        <f>IF(INPUT!N4813="","",INPUT!N4813)</f>
        <v/>
      </c>
      <c r="G4818" cm="1">
        <f t="array" ref="G4818">IFERROR(VLOOKUP(INPUT!M4813&amp;INPUT!N4813,CHOOSE({1,2},INPUT!$A$3:$A$5000&amp;INPUT!$C$3:$C$5000,INPUT!$F$3:$F$5000),2,FALSE),"")</f>
        <v>0</v>
      </c>
      <c r="H4818" cm="1">
        <f t="array" ref="H4818">IFERROR(VLOOKUP(INPUT!M4813&amp;INPUT!N4813,CHOOSE({1,2},INPUT!$A$3:$A$5000&amp;INPUT!$C$3:$C$5000,INPUT!$D$3:$D$5000),2,FALSE),"")</f>
        <v>0</v>
      </c>
      <c r="I4818" s="46" t="str">
        <f>IF(INPUT!P4813="","",INPUT!P4813)</f>
        <v/>
      </c>
      <c r="J4818" s="46" t="str">
        <f>IF(INPUT!Q4813="","",INPUT!Q4813)</f>
        <v/>
      </c>
      <c r="K4818" s="46" t="str">
        <f>IFERROR(IF(OR(INPUT!P4813="",INPUT!Q4813=""),"",INPUT!P4813-INPUT!Q4813),"")</f>
        <v/>
      </c>
      <c r="L4818" s="48" t="str">
        <f>IFERROR(IF(OR(INPUT!P4813="",INPUT!Q4813="",INPUT!P4813=0),"",(INPUT!P4813-INPUT!Q4813)/INPUT!P4813),"")</f>
        <v/>
      </c>
    </row>
    <row r="4819" spans="1:12" ht="18" hidden="1" customHeight="1" x14ac:dyDescent="0.2">
      <c r="A4819" s="11" t="str">
        <f>IF(INPUT!M4814="","",INPUT!M4814)</f>
        <v/>
      </c>
      <c r="B4819" s="11" t="str">
        <f>IF(INPUT!M4814="","",INPUT!M4814-WEEKDAY(INPUT!M4814,2)+1)</f>
        <v/>
      </c>
      <c r="C4819" s="20">
        <f>IFERROR(_xlfn.ISOWEEKNUM(INPUT!M4814),"")</f>
        <v>52</v>
      </c>
      <c r="D4819" s="20">
        <f>IFERROR(YEAR(INPUT!M4814),"")</f>
        <v>1900</v>
      </c>
      <c r="E4819" t="str">
        <f>IF(INPUT!O4814="","",INPUT!O4814)</f>
        <v/>
      </c>
      <c r="F4819" t="str">
        <f>IF(INPUT!N4814="","",INPUT!N4814)</f>
        <v/>
      </c>
      <c r="G4819" cm="1">
        <f t="array" ref="G4819">IFERROR(VLOOKUP(INPUT!M4814&amp;INPUT!N4814,CHOOSE({1,2},INPUT!$A$3:$A$5000&amp;INPUT!$C$3:$C$5000,INPUT!$F$3:$F$5000),2,FALSE),"")</f>
        <v>0</v>
      </c>
      <c r="H4819" cm="1">
        <f t="array" ref="H4819">IFERROR(VLOOKUP(INPUT!M4814&amp;INPUT!N4814,CHOOSE({1,2},INPUT!$A$3:$A$5000&amp;INPUT!$C$3:$C$5000,INPUT!$D$3:$D$5000),2,FALSE),"")</f>
        <v>0</v>
      </c>
      <c r="I4819" s="46" t="str">
        <f>IF(INPUT!P4814="","",INPUT!P4814)</f>
        <v/>
      </c>
      <c r="J4819" s="46" t="str">
        <f>IF(INPUT!Q4814="","",INPUT!Q4814)</f>
        <v/>
      </c>
      <c r="K4819" s="46" t="str">
        <f>IFERROR(IF(OR(INPUT!P4814="",INPUT!Q4814=""),"",INPUT!P4814-INPUT!Q4814),"")</f>
        <v/>
      </c>
      <c r="L4819" s="48" t="str">
        <f>IFERROR(IF(OR(INPUT!P4814="",INPUT!Q4814="",INPUT!P4814=0),"",(INPUT!P4814-INPUT!Q4814)/INPUT!P4814),"")</f>
        <v/>
      </c>
    </row>
    <row r="4820" spans="1:12" ht="18" hidden="1" customHeight="1" x14ac:dyDescent="0.2">
      <c r="A4820" s="11" t="str">
        <f>IF(INPUT!M4815="","",INPUT!M4815)</f>
        <v/>
      </c>
      <c r="B4820" s="11" t="str">
        <f>IF(INPUT!M4815="","",INPUT!M4815-WEEKDAY(INPUT!M4815,2)+1)</f>
        <v/>
      </c>
      <c r="C4820" s="20">
        <f>IFERROR(_xlfn.ISOWEEKNUM(INPUT!M4815),"")</f>
        <v>52</v>
      </c>
      <c r="D4820" s="20">
        <f>IFERROR(YEAR(INPUT!M4815),"")</f>
        <v>1900</v>
      </c>
      <c r="E4820" t="str">
        <f>IF(INPUT!O4815="","",INPUT!O4815)</f>
        <v/>
      </c>
      <c r="F4820" t="str">
        <f>IF(INPUT!N4815="","",INPUT!N4815)</f>
        <v/>
      </c>
      <c r="G4820" cm="1">
        <f t="array" ref="G4820">IFERROR(VLOOKUP(INPUT!M4815&amp;INPUT!N4815,CHOOSE({1,2},INPUT!$A$3:$A$5000&amp;INPUT!$C$3:$C$5000,INPUT!$F$3:$F$5000),2,FALSE),"")</f>
        <v>0</v>
      </c>
      <c r="H4820" cm="1">
        <f t="array" ref="H4820">IFERROR(VLOOKUP(INPUT!M4815&amp;INPUT!N4815,CHOOSE({1,2},INPUT!$A$3:$A$5000&amp;INPUT!$C$3:$C$5000,INPUT!$D$3:$D$5000),2,FALSE),"")</f>
        <v>0</v>
      </c>
      <c r="I4820" s="46" t="str">
        <f>IF(INPUT!P4815="","",INPUT!P4815)</f>
        <v/>
      </c>
      <c r="J4820" s="46" t="str">
        <f>IF(INPUT!Q4815="","",INPUT!Q4815)</f>
        <v/>
      </c>
      <c r="K4820" s="46" t="str">
        <f>IFERROR(IF(OR(INPUT!P4815="",INPUT!Q4815=""),"",INPUT!P4815-INPUT!Q4815),"")</f>
        <v/>
      </c>
      <c r="L4820" s="48" t="str">
        <f>IFERROR(IF(OR(INPUT!P4815="",INPUT!Q4815="",INPUT!P4815=0),"",(INPUT!P4815-INPUT!Q4815)/INPUT!P4815),"")</f>
        <v/>
      </c>
    </row>
    <row r="4821" spans="1:12" ht="18" hidden="1" customHeight="1" x14ac:dyDescent="0.2">
      <c r="A4821" s="11" t="str">
        <f>IF(INPUT!M4816="","",INPUT!M4816)</f>
        <v/>
      </c>
      <c r="B4821" s="11" t="str">
        <f>IF(INPUT!M4816="","",INPUT!M4816-WEEKDAY(INPUT!M4816,2)+1)</f>
        <v/>
      </c>
      <c r="C4821" s="20">
        <f>IFERROR(_xlfn.ISOWEEKNUM(INPUT!M4816),"")</f>
        <v>52</v>
      </c>
      <c r="D4821" s="20">
        <f>IFERROR(YEAR(INPUT!M4816),"")</f>
        <v>1900</v>
      </c>
      <c r="E4821" t="str">
        <f>IF(INPUT!O4816="","",INPUT!O4816)</f>
        <v/>
      </c>
      <c r="F4821" t="str">
        <f>IF(INPUT!N4816="","",INPUT!N4816)</f>
        <v/>
      </c>
      <c r="G4821" cm="1">
        <f t="array" ref="G4821">IFERROR(VLOOKUP(INPUT!M4816&amp;INPUT!N4816,CHOOSE({1,2},INPUT!$A$3:$A$5000&amp;INPUT!$C$3:$C$5000,INPUT!$F$3:$F$5000),2,FALSE),"")</f>
        <v>0</v>
      </c>
      <c r="H4821" cm="1">
        <f t="array" ref="H4821">IFERROR(VLOOKUP(INPUT!M4816&amp;INPUT!N4816,CHOOSE({1,2},INPUT!$A$3:$A$5000&amp;INPUT!$C$3:$C$5000,INPUT!$D$3:$D$5000),2,FALSE),"")</f>
        <v>0</v>
      </c>
      <c r="I4821" s="46" t="str">
        <f>IF(INPUT!P4816="","",INPUT!P4816)</f>
        <v/>
      </c>
      <c r="J4821" s="46" t="str">
        <f>IF(INPUT!Q4816="","",INPUT!Q4816)</f>
        <v/>
      </c>
      <c r="K4821" s="46" t="str">
        <f>IFERROR(IF(OR(INPUT!P4816="",INPUT!Q4816=""),"",INPUT!P4816-INPUT!Q4816),"")</f>
        <v/>
      </c>
      <c r="L4821" s="48" t="str">
        <f>IFERROR(IF(OR(INPUT!P4816="",INPUT!Q4816="",INPUT!P4816=0),"",(INPUT!P4816-INPUT!Q4816)/INPUT!P4816),"")</f>
        <v/>
      </c>
    </row>
    <row r="4822" spans="1:12" ht="18" hidden="1" customHeight="1" x14ac:dyDescent="0.2">
      <c r="A4822" s="11" t="str">
        <f>IF(INPUT!M4817="","",INPUT!M4817)</f>
        <v/>
      </c>
      <c r="B4822" s="11" t="str">
        <f>IF(INPUT!M4817="","",INPUT!M4817-WEEKDAY(INPUT!M4817,2)+1)</f>
        <v/>
      </c>
      <c r="C4822" s="20">
        <f>IFERROR(_xlfn.ISOWEEKNUM(INPUT!M4817),"")</f>
        <v>52</v>
      </c>
      <c r="D4822" s="20">
        <f>IFERROR(YEAR(INPUT!M4817),"")</f>
        <v>1900</v>
      </c>
      <c r="E4822" t="str">
        <f>IF(INPUT!O4817="","",INPUT!O4817)</f>
        <v/>
      </c>
      <c r="F4822" t="str">
        <f>IF(INPUT!N4817="","",INPUT!N4817)</f>
        <v/>
      </c>
      <c r="G4822" cm="1">
        <f t="array" ref="G4822">IFERROR(VLOOKUP(INPUT!M4817&amp;INPUT!N4817,CHOOSE({1,2},INPUT!$A$3:$A$5000&amp;INPUT!$C$3:$C$5000,INPUT!$F$3:$F$5000),2,FALSE),"")</f>
        <v>0</v>
      </c>
      <c r="H4822" cm="1">
        <f t="array" ref="H4822">IFERROR(VLOOKUP(INPUT!M4817&amp;INPUT!N4817,CHOOSE({1,2},INPUT!$A$3:$A$5000&amp;INPUT!$C$3:$C$5000,INPUT!$D$3:$D$5000),2,FALSE),"")</f>
        <v>0</v>
      </c>
      <c r="I4822" s="46" t="str">
        <f>IF(INPUT!P4817="","",INPUT!P4817)</f>
        <v/>
      </c>
      <c r="J4822" s="46" t="str">
        <f>IF(INPUT!Q4817="","",INPUT!Q4817)</f>
        <v/>
      </c>
      <c r="K4822" s="46" t="str">
        <f>IFERROR(IF(OR(INPUT!P4817="",INPUT!Q4817=""),"",INPUT!P4817-INPUT!Q4817),"")</f>
        <v/>
      </c>
      <c r="L4822" s="48" t="str">
        <f>IFERROR(IF(OR(INPUT!P4817="",INPUT!Q4817="",INPUT!P4817=0),"",(INPUT!P4817-INPUT!Q4817)/INPUT!P4817),"")</f>
        <v/>
      </c>
    </row>
    <row r="4823" spans="1:12" ht="18" hidden="1" customHeight="1" x14ac:dyDescent="0.2">
      <c r="A4823" s="11" t="str">
        <f>IF(INPUT!M4818="","",INPUT!M4818)</f>
        <v/>
      </c>
      <c r="B4823" s="11" t="str">
        <f>IF(INPUT!M4818="","",INPUT!M4818-WEEKDAY(INPUT!M4818,2)+1)</f>
        <v/>
      </c>
      <c r="C4823" s="20">
        <f>IFERROR(_xlfn.ISOWEEKNUM(INPUT!M4818),"")</f>
        <v>52</v>
      </c>
      <c r="D4823" s="20">
        <f>IFERROR(YEAR(INPUT!M4818),"")</f>
        <v>1900</v>
      </c>
      <c r="E4823" t="str">
        <f>IF(INPUT!O4818="","",INPUT!O4818)</f>
        <v/>
      </c>
      <c r="F4823" t="str">
        <f>IF(INPUT!N4818="","",INPUT!N4818)</f>
        <v/>
      </c>
      <c r="G4823" cm="1">
        <f t="array" ref="G4823">IFERROR(VLOOKUP(INPUT!M4818&amp;INPUT!N4818,CHOOSE({1,2},INPUT!$A$3:$A$5000&amp;INPUT!$C$3:$C$5000,INPUT!$F$3:$F$5000),2,FALSE),"")</f>
        <v>0</v>
      </c>
      <c r="H4823" cm="1">
        <f t="array" ref="H4823">IFERROR(VLOOKUP(INPUT!M4818&amp;INPUT!N4818,CHOOSE({1,2},INPUT!$A$3:$A$5000&amp;INPUT!$C$3:$C$5000,INPUT!$D$3:$D$5000),2,FALSE),"")</f>
        <v>0</v>
      </c>
      <c r="I4823" s="46" t="str">
        <f>IF(INPUT!P4818="","",INPUT!P4818)</f>
        <v/>
      </c>
      <c r="J4823" s="46" t="str">
        <f>IF(INPUT!Q4818="","",INPUT!Q4818)</f>
        <v/>
      </c>
      <c r="K4823" s="46" t="str">
        <f>IFERROR(IF(OR(INPUT!P4818="",INPUT!Q4818=""),"",INPUT!P4818-INPUT!Q4818),"")</f>
        <v/>
      </c>
      <c r="L4823" s="48" t="str">
        <f>IFERROR(IF(OR(INPUT!P4818="",INPUT!Q4818="",INPUT!P4818=0),"",(INPUT!P4818-INPUT!Q4818)/INPUT!P4818),"")</f>
        <v/>
      </c>
    </row>
    <row r="4824" spans="1:12" ht="18" hidden="1" customHeight="1" x14ac:dyDescent="0.2">
      <c r="A4824" s="11" t="str">
        <f>IF(INPUT!M4819="","",INPUT!M4819)</f>
        <v/>
      </c>
      <c r="B4824" s="11" t="str">
        <f>IF(INPUT!M4819="","",INPUT!M4819-WEEKDAY(INPUT!M4819,2)+1)</f>
        <v/>
      </c>
      <c r="C4824" s="20">
        <f>IFERROR(_xlfn.ISOWEEKNUM(INPUT!M4819),"")</f>
        <v>52</v>
      </c>
      <c r="D4824" s="20">
        <f>IFERROR(YEAR(INPUT!M4819),"")</f>
        <v>1900</v>
      </c>
      <c r="E4824" t="str">
        <f>IF(INPUT!O4819="","",INPUT!O4819)</f>
        <v/>
      </c>
      <c r="F4824" t="str">
        <f>IF(INPUT!N4819="","",INPUT!N4819)</f>
        <v/>
      </c>
      <c r="G4824" cm="1">
        <f t="array" ref="G4824">IFERROR(VLOOKUP(INPUT!M4819&amp;INPUT!N4819,CHOOSE({1,2},INPUT!$A$3:$A$5000&amp;INPUT!$C$3:$C$5000,INPUT!$F$3:$F$5000),2,FALSE),"")</f>
        <v>0</v>
      </c>
      <c r="H4824" cm="1">
        <f t="array" ref="H4824">IFERROR(VLOOKUP(INPUT!M4819&amp;INPUT!N4819,CHOOSE({1,2},INPUT!$A$3:$A$5000&amp;INPUT!$C$3:$C$5000,INPUT!$D$3:$D$5000),2,FALSE),"")</f>
        <v>0</v>
      </c>
      <c r="I4824" s="46" t="str">
        <f>IF(INPUT!P4819="","",INPUT!P4819)</f>
        <v/>
      </c>
      <c r="J4824" s="46" t="str">
        <f>IF(INPUT!Q4819="","",INPUT!Q4819)</f>
        <v/>
      </c>
      <c r="K4824" s="46" t="str">
        <f>IFERROR(IF(OR(INPUT!P4819="",INPUT!Q4819=""),"",INPUT!P4819-INPUT!Q4819),"")</f>
        <v/>
      </c>
      <c r="L4824" s="48" t="str">
        <f>IFERROR(IF(OR(INPUT!P4819="",INPUT!Q4819="",INPUT!P4819=0),"",(INPUT!P4819-INPUT!Q4819)/INPUT!P4819),"")</f>
        <v/>
      </c>
    </row>
    <row r="4825" spans="1:12" ht="18" hidden="1" customHeight="1" x14ac:dyDescent="0.2">
      <c r="A4825" s="11" t="str">
        <f>IF(INPUT!M4820="","",INPUT!M4820)</f>
        <v/>
      </c>
      <c r="B4825" s="11" t="str">
        <f>IF(INPUT!M4820="","",INPUT!M4820-WEEKDAY(INPUT!M4820,2)+1)</f>
        <v/>
      </c>
      <c r="C4825" s="20">
        <f>IFERROR(_xlfn.ISOWEEKNUM(INPUT!M4820),"")</f>
        <v>52</v>
      </c>
      <c r="D4825" s="20">
        <f>IFERROR(YEAR(INPUT!M4820),"")</f>
        <v>1900</v>
      </c>
      <c r="E4825" t="str">
        <f>IF(INPUT!O4820="","",INPUT!O4820)</f>
        <v/>
      </c>
      <c r="F4825" t="str">
        <f>IF(INPUT!N4820="","",INPUT!N4820)</f>
        <v/>
      </c>
      <c r="G4825" cm="1">
        <f t="array" ref="G4825">IFERROR(VLOOKUP(INPUT!M4820&amp;INPUT!N4820,CHOOSE({1,2},INPUT!$A$3:$A$5000&amp;INPUT!$C$3:$C$5000,INPUT!$F$3:$F$5000),2,FALSE),"")</f>
        <v>0</v>
      </c>
      <c r="H4825" cm="1">
        <f t="array" ref="H4825">IFERROR(VLOOKUP(INPUT!M4820&amp;INPUT!N4820,CHOOSE({1,2},INPUT!$A$3:$A$5000&amp;INPUT!$C$3:$C$5000,INPUT!$D$3:$D$5000),2,FALSE),"")</f>
        <v>0</v>
      </c>
      <c r="I4825" s="46" t="str">
        <f>IF(INPUT!P4820="","",INPUT!P4820)</f>
        <v/>
      </c>
      <c r="J4825" s="46" t="str">
        <f>IF(INPUT!Q4820="","",INPUT!Q4820)</f>
        <v/>
      </c>
      <c r="K4825" s="46" t="str">
        <f>IFERROR(IF(OR(INPUT!P4820="",INPUT!Q4820=""),"",INPUT!P4820-INPUT!Q4820),"")</f>
        <v/>
      </c>
      <c r="L4825" s="48" t="str">
        <f>IFERROR(IF(OR(INPUT!P4820="",INPUT!Q4820="",INPUT!P4820=0),"",(INPUT!P4820-INPUT!Q4820)/INPUT!P4820),"")</f>
        <v/>
      </c>
    </row>
    <row r="4826" spans="1:12" ht="18" hidden="1" customHeight="1" x14ac:dyDescent="0.2">
      <c r="A4826" s="11" t="str">
        <f>IF(INPUT!M4821="","",INPUT!M4821)</f>
        <v/>
      </c>
      <c r="B4826" s="11" t="str">
        <f>IF(INPUT!M4821="","",INPUT!M4821-WEEKDAY(INPUT!M4821,2)+1)</f>
        <v/>
      </c>
      <c r="C4826" s="20">
        <f>IFERROR(_xlfn.ISOWEEKNUM(INPUT!M4821),"")</f>
        <v>52</v>
      </c>
      <c r="D4826" s="20">
        <f>IFERROR(YEAR(INPUT!M4821),"")</f>
        <v>1900</v>
      </c>
      <c r="E4826" t="str">
        <f>IF(INPUT!O4821="","",INPUT!O4821)</f>
        <v/>
      </c>
      <c r="F4826" t="str">
        <f>IF(INPUT!N4821="","",INPUT!N4821)</f>
        <v/>
      </c>
      <c r="G4826" cm="1">
        <f t="array" ref="G4826">IFERROR(VLOOKUP(INPUT!M4821&amp;INPUT!N4821,CHOOSE({1,2},INPUT!$A$3:$A$5000&amp;INPUT!$C$3:$C$5000,INPUT!$F$3:$F$5000),2,FALSE),"")</f>
        <v>0</v>
      </c>
      <c r="H4826" cm="1">
        <f t="array" ref="H4826">IFERROR(VLOOKUP(INPUT!M4821&amp;INPUT!N4821,CHOOSE({1,2},INPUT!$A$3:$A$5000&amp;INPUT!$C$3:$C$5000,INPUT!$D$3:$D$5000),2,FALSE),"")</f>
        <v>0</v>
      </c>
      <c r="I4826" s="46" t="str">
        <f>IF(INPUT!P4821="","",INPUT!P4821)</f>
        <v/>
      </c>
      <c r="J4826" s="46" t="str">
        <f>IF(INPUT!Q4821="","",INPUT!Q4821)</f>
        <v/>
      </c>
      <c r="K4826" s="46" t="str">
        <f>IFERROR(IF(OR(INPUT!P4821="",INPUT!Q4821=""),"",INPUT!P4821-INPUT!Q4821),"")</f>
        <v/>
      </c>
      <c r="L4826" s="48" t="str">
        <f>IFERROR(IF(OR(INPUT!P4821="",INPUT!Q4821="",INPUT!P4821=0),"",(INPUT!P4821-INPUT!Q4821)/INPUT!P4821),"")</f>
        <v/>
      </c>
    </row>
    <row r="4827" spans="1:12" ht="18" hidden="1" customHeight="1" x14ac:dyDescent="0.2">
      <c r="A4827" s="11" t="str">
        <f>IF(INPUT!M4822="","",INPUT!M4822)</f>
        <v/>
      </c>
      <c r="B4827" s="11" t="str">
        <f>IF(INPUT!M4822="","",INPUT!M4822-WEEKDAY(INPUT!M4822,2)+1)</f>
        <v/>
      </c>
      <c r="C4827" s="20">
        <f>IFERROR(_xlfn.ISOWEEKNUM(INPUT!M4822),"")</f>
        <v>52</v>
      </c>
      <c r="D4827" s="20">
        <f>IFERROR(YEAR(INPUT!M4822),"")</f>
        <v>1900</v>
      </c>
      <c r="E4827" t="str">
        <f>IF(INPUT!O4822="","",INPUT!O4822)</f>
        <v/>
      </c>
      <c r="F4827" t="str">
        <f>IF(INPUT!N4822="","",INPUT!N4822)</f>
        <v/>
      </c>
      <c r="G4827" cm="1">
        <f t="array" ref="G4827">IFERROR(VLOOKUP(INPUT!M4822&amp;INPUT!N4822,CHOOSE({1,2},INPUT!$A$3:$A$5000&amp;INPUT!$C$3:$C$5000,INPUT!$F$3:$F$5000),2,FALSE),"")</f>
        <v>0</v>
      </c>
      <c r="H4827" cm="1">
        <f t="array" ref="H4827">IFERROR(VLOOKUP(INPUT!M4822&amp;INPUT!N4822,CHOOSE({1,2},INPUT!$A$3:$A$5000&amp;INPUT!$C$3:$C$5000,INPUT!$D$3:$D$5000),2,FALSE),"")</f>
        <v>0</v>
      </c>
      <c r="I4827" s="46" t="str">
        <f>IF(INPUT!P4822="","",INPUT!P4822)</f>
        <v/>
      </c>
      <c r="J4827" s="46" t="str">
        <f>IF(INPUT!Q4822="","",INPUT!Q4822)</f>
        <v/>
      </c>
      <c r="K4827" s="46" t="str">
        <f>IFERROR(IF(OR(INPUT!P4822="",INPUT!Q4822=""),"",INPUT!P4822-INPUT!Q4822),"")</f>
        <v/>
      </c>
      <c r="L4827" s="48" t="str">
        <f>IFERROR(IF(OR(INPUT!P4822="",INPUT!Q4822="",INPUT!P4822=0),"",(INPUT!P4822-INPUT!Q4822)/INPUT!P4822),"")</f>
        <v/>
      </c>
    </row>
    <row r="4828" spans="1:12" ht="18" hidden="1" customHeight="1" x14ac:dyDescent="0.2">
      <c r="A4828" s="11" t="str">
        <f>IF(INPUT!M4823="","",INPUT!M4823)</f>
        <v/>
      </c>
      <c r="B4828" s="11" t="str">
        <f>IF(INPUT!M4823="","",INPUT!M4823-WEEKDAY(INPUT!M4823,2)+1)</f>
        <v/>
      </c>
      <c r="C4828" s="20">
        <f>IFERROR(_xlfn.ISOWEEKNUM(INPUT!M4823),"")</f>
        <v>52</v>
      </c>
      <c r="D4828" s="20">
        <f>IFERROR(YEAR(INPUT!M4823),"")</f>
        <v>1900</v>
      </c>
      <c r="E4828" t="str">
        <f>IF(INPUT!O4823="","",INPUT!O4823)</f>
        <v/>
      </c>
      <c r="F4828" t="str">
        <f>IF(INPUT!N4823="","",INPUT!N4823)</f>
        <v/>
      </c>
      <c r="G4828" cm="1">
        <f t="array" ref="G4828">IFERROR(VLOOKUP(INPUT!M4823&amp;INPUT!N4823,CHOOSE({1,2},INPUT!$A$3:$A$5000&amp;INPUT!$C$3:$C$5000,INPUT!$F$3:$F$5000),2,FALSE),"")</f>
        <v>0</v>
      </c>
      <c r="H4828" cm="1">
        <f t="array" ref="H4828">IFERROR(VLOOKUP(INPUT!M4823&amp;INPUT!N4823,CHOOSE({1,2},INPUT!$A$3:$A$5000&amp;INPUT!$C$3:$C$5000,INPUT!$D$3:$D$5000),2,FALSE),"")</f>
        <v>0</v>
      </c>
      <c r="I4828" s="46" t="str">
        <f>IF(INPUT!P4823="","",INPUT!P4823)</f>
        <v/>
      </c>
      <c r="J4828" s="46" t="str">
        <f>IF(INPUT!Q4823="","",INPUT!Q4823)</f>
        <v/>
      </c>
      <c r="K4828" s="46" t="str">
        <f>IFERROR(IF(OR(INPUT!P4823="",INPUT!Q4823=""),"",INPUT!P4823-INPUT!Q4823),"")</f>
        <v/>
      </c>
      <c r="L4828" s="48" t="str">
        <f>IFERROR(IF(OR(INPUT!P4823="",INPUT!Q4823="",INPUT!P4823=0),"",(INPUT!P4823-INPUT!Q4823)/INPUT!P4823),"")</f>
        <v/>
      </c>
    </row>
    <row r="4829" spans="1:12" ht="18" hidden="1" customHeight="1" x14ac:dyDescent="0.2">
      <c r="A4829" s="11" t="str">
        <f>IF(INPUT!M4824="","",INPUT!M4824)</f>
        <v/>
      </c>
      <c r="B4829" s="11" t="str">
        <f>IF(INPUT!M4824="","",INPUT!M4824-WEEKDAY(INPUT!M4824,2)+1)</f>
        <v/>
      </c>
      <c r="C4829" s="20">
        <f>IFERROR(_xlfn.ISOWEEKNUM(INPUT!M4824),"")</f>
        <v>52</v>
      </c>
      <c r="D4829" s="20">
        <f>IFERROR(YEAR(INPUT!M4824),"")</f>
        <v>1900</v>
      </c>
      <c r="E4829" t="str">
        <f>IF(INPUT!O4824="","",INPUT!O4824)</f>
        <v/>
      </c>
      <c r="F4829" t="str">
        <f>IF(INPUT!N4824="","",INPUT!N4824)</f>
        <v/>
      </c>
      <c r="G4829" cm="1">
        <f t="array" ref="G4829">IFERROR(VLOOKUP(INPUT!M4824&amp;INPUT!N4824,CHOOSE({1,2},INPUT!$A$3:$A$5000&amp;INPUT!$C$3:$C$5000,INPUT!$F$3:$F$5000),2,FALSE),"")</f>
        <v>0</v>
      </c>
      <c r="H4829" cm="1">
        <f t="array" ref="H4829">IFERROR(VLOOKUP(INPUT!M4824&amp;INPUT!N4824,CHOOSE({1,2},INPUT!$A$3:$A$5000&amp;INPUT!$C$3:$C$5000,INPUT!$D$3:$D$5000),2,FALSE),"")</f>
        <v>0</v>
      </c>
      <c r="I4829" s="46" t="str">
        <f>IF(INPUT!P4824="","",INPUT!P4824)</f>
        <v/>
      </c>
      <c r="J4829" s="46" t="str">
        <f>IF(INPUT!Q4824="","",INPUT!Q4824)</f>
        <v/>
      </c>
      <c r="K4829" s="46" t="str">
        <f>IFERROR(IF(OR(INPUT!P4824="",INPUT!Q4824=""),"",INPUT!P4824-INPUT!Q4824),"")</f>
        <v/>
      </c>
      <c r="L4829" s="48" t="str">
        <f>IFERROR(IF(OR(INPUT!P4824="",INPUT!Q4824="",INPUT!P4824=0),"",(INPUT!P4824-INPUT!Q4824)/INPUT!P4824),"")</f>
        <v/>
      </c>
    </row>
    <row r="4830" spans="1:12" ht="18" hidden="1" customHeight="1" x14ac:dyDescent="0.2">
      <c r="A4830" s="11" t="str">
        <f>IF(INPUT!M4825="","",INPUT!M4825)</f>
        <v/>
      </c>
      <c r="B4830" s="11" t="str">
        <f>IF(INPUT!M4825="","",INPUT!M4825-WEEKDAY(INPUT!M4825,2)+1)</f>
        <v/>
      </c>
      <c r="C4830" s="20">
        <f>IFERROR(_xlfn.ISOWEEKNUM(INPUT!M4825),"")</f>
        <v>52</v>
      </c>
      <c r="D4830" s="20">
        <f>IFERROR(YEAR(INPUT!M4825),"")</f>
        <v>1900</v>
      </c>
      <c r="E4830" t="str">
        <f>IF(INPUT!O4825="","",INPUT!O4825)</f>
        <v/>
      </c>
      <c r="F4830" t="str">
        <f>IF(INPUT!N4825="","",INPUT!N4825)</f>
        <v/>
      </c>
      <c r="G4830" cm="1">
        <f t="array" ref="G4830">IFERROR(VLOOKUP(INPUT!M4825&amp;INPUT!N4825,CHOOSE({1,2},INPUT!$A$3:$A$5000&amp;INPUT!$C$3:$C$5000,INPUT!$F$3:$F$5000),2,FALSE),"")</f>
        <v>0</v>
      </c>
      <c r="H4830" cm="1">
        <f t="array" ref="H4830">IFERROR(VLOOKUP(INPUT!M4825&amp;INPUT!N4825,CHOOSE({1,2},INPUT!$A$3:$A$5000&amp;INPUT!$C$3:$C$5000,INPUT!$D$3:$D$5000),2,FALSE),"")</f>
        <v>0</v>
      </c>
      <c r="I4830" s="46" t="str">
        <f>IF(INPUT!P4825="","",INPUT!P4825)</f>
        <v/>
      </c>
      <c r="J4830" s="46" t="str">
        <f>IF(INPUT!Q4825="","",INPUT!Q4825)</f>
        <v/>
      </c>
      <c r="K4830" s="46" t="str">
        <f>IFERROR(IF(OR(INPUT!P4825="",INPUT!Q4825=""),"",INPUT!P4825-INPUT!Q4825),"")</f>
        <v/>
      </c>
      <c r="L4830" s="48" t="str">
        <f>IFERROR(IF(OR(INPUT!P4825="",INPUT!Q4825="",INPUT!P4825=0),"",(INPUT!P4825-INPUT!Q4825)/INPUT!P4825),"")</f>
        <v/>
      </c>
    </row>
    <row r="4831" spans="1:12" ht="18" hidden="1" customHeight="1" x14ac:dyDescent="0.2">
      <c r="A4831" s="11" t="str">
        <f>IF(INPUT!M4826="","",INPUT!M4826)</f>
        <v/>
      </c>
      <c r="B4831" s="11" t="str">
        <f>IF(INPUT!M4826="","",INPUT!M4826-WEEKDAY(INPUT!M4826,2)+1)</f>
        <v/>
      </c>
      <c r="C4831" s="20">
        <f>IFERROR(_xlfn.ISOWEEKNUM(INPUT!M4826),"")</f>
        <v>52</v>
      </c>
      <c r="D4831" s="20">
        <f>IFERROR(YEAR(INPUT!M4826),"")</f>
        <v>1900</v>
      </c>
      <c r="E4831" t="str">
        <f>IF(INPUT!O4826="","",INPUT!O4826)</f>
        <v/>
      </c>
      <c r="F4831" t="str">
        <f>IF(INPUT!N4826="","",INPUT!N4826)</f>
        <v/>
      </c>
      <c r="G4831" cm="1">
        <f t="array" ref="G4831">IFERROR(VLOOKUP(INPUT!M4826&amp;INPUT!N4826,CHOOSE({1,2},INPUT!$A$3:$A$5000&amp;INPUT!$C$3:$C$5000,INPUT!$F$3:$F$5000),2,FALSE),"")</f>
        <v>0</v>
      </c>
      <c r="H4831" cm="1">
        <f t="array" ref="H4831">IFERROR(VLOOKUP(INPUT!M4826&amp;INPUT!N4826,CHOOSE({1,2},INPUT!$A$3:$A$5000&amp;INPUT!$C$3:$C$5000,INPUT!$D$3:$D$5000),2,FALSE),"")</f>
        <v>0</v>
      </c>
      <c r="I4831" s="46" t="str">
        <f>IF(INPUT!P4826="","",INPUT!P4826)</f>
        <v/>
      </c>
      <c r="J4831" s="46" t="str">
        <f>IF(INPUT!Q4826="","",INPUT!Q4826)</f>
        <v/>
      </c>
      <c r="K4831" s="46" t="str">
        <f>IFERROR(IF(OR(INPUT!P4826="",INPUT!Q4826=""),"",INPUT!P4826-INPUT!Q4826),"")</f>
        <v/>
      </c>
      <c r="L4831" s="48" t="str">
        <f>IFERROR(IF(OR(INPUT!P4826="",INPUT!Q4826="",INPUT!P4826=0),"",(INPUT!P4826-INPUT!Q4826)/INPUT!P4826),"")</f>
        <v/>
      </c>
    </row>
    <row r="4832" spans="1:12" ht="18" hidden="1" customHeight="1" x14ac:dyDescent="0.2">
      <c r="A4832" s="11" t="str">
        <f>IF(INPUT!M4827="","",INPUT!M4827)</f>
        <v/>
      </c>
      <c r="B4832" s="11" t="str">
        <f>IF(INPUT!M4827="","",INPUT!M4827-WEEKDAY(INPUT!M4827,2)+1)</f>
        <v/>
      </c>
      <c r="C4832" s="20">
        <f>IFERROR(_xlfn.ISOWEEKNUM(INPUT!M4827),"")</f>
        <v>52</v>
      </c>
      <c r="D4832" s="20">
        <f>IFERROR(YEAR(INPUT!M4827),"")</f>
        <v>1900</v>
      </c>
      <c r="E4832" t="str">
        <f>IF(INPUT!O4827="","",INPUT!O4827)</f>
        <v/>
      </c>
      <c r="F4832" t="str">
        <f>IF(INPUT!N4827="","",INPUT!N4827)</f>
        <v/>
      </c>
      <c r="G4832" cm="1">
        <f t="array" ref="G4832">IFERROR(VLOOKUP(INPUT!M4827&amp;INPUT!N4827,CHOOSE({1,2},INPUT!$A$3:$A$5000&amp;INPUT!$C$3:$C$5000,INPUT!$F$3:$F$5000),2,FALSE),"")</f>
        <v>0</v>
      </c>
      <c r="H4832" cm="1">
        <f t="array" ref="H4832">IFERROR(VLOOKUP(INPUT!M4827&amp;INPUT!N4827,CHOOSE({1,2},INPUT!$A$3:$A$5000&amp;INPUT!$C$3:$C$5000,INPUT!$D$3:$D$5000),2,FALSE),"")</f>
        <v>0</v>
      </c>
      <c r="I4832" s="46" t="str">
        <f>IF(INPUT!P4827="","",INPUT!P4827)</f>
        <v/>
      </c>
      <c r="J4832" s="46" t="str">
        <f>IF(INPUT!Q4827="","",INPUT!Q4827)</f>
        <v/>
      </c>
      <c r="K4832" s="46" t="str">
        <f>IFERROR(IF(OR(INPUT!P4827="",INPUT!Q4827=""),"",INPUT!P4827-INPUT!Q4827),"")</f>
        <v/>
      </c>
      <c r="L4832" s="48" t="str">
        <f>IFERROR(IF(OR(INPUT!P4827="",INPUT!Q4827="",INPUT!P4827=0),"",(INPUT!P4827-INPUT!Q4827)/INPUT!P4827),"")</f>
        <v/>
      </c>
    </row>
    <row r="4833" spans="1:12" ht="18" hidden="1" customHeight="1" x14ac:dyDescent="0.2">
      <c r="A4833" s="11" t="str">
        <f>IF(INPUT!M4828="","",INPUT!M4828)</f>
        <v/>
      </c>
      <c r="B4833" s="11" t="str">
        <f>IF(INPUT!M4828="","",INPUT!M4828-WEEKDAY(INPUT!M4828,2)+1)</f>
        <v/>
      </c>
      <c r="C4833" s="20">
        <f>IFERROR(_xlfn.ISOWEEKNUM(INPUT!M4828),"")</f>
        <v>52</v>
      </c>
      <c r="D4833" s="20">
        <f>IFERROR(YEAR(INPUT!M4828),"")</f>
        <v>1900</v>
      </c>
      <c r="E4833" t="str">
        <f>IF(INPUT!O4828="","",INPUT!O4828)</f>
        <v/>
      </c>
      <c r="F4833" t="str">
        <f>IF(INPUT!N4828="","",INPUT!N4828)</f>
        <v/>
      </c>
      <c r="G4833" cm="1">
        <f t="array" ref="G4833">IFERROR(VLOOKUP(INPUT!M4828&amp;INPUT!N4828,CHOOSE({1,2},INPUT!$A$3:$A$5000&amp;INPUT!$C$3:$C$5000,INPUT!$F$3:$F$5000),2,FALSE),"")</f>
        <v>0</v>
      </c>
      <c r="H4833" cm="1">
        <f t="array" ref="H4833">IFERROR(VLOOKUP(INPUT!M4828&amp;INPUT!N4828,CHOOSE({1,2},INPUT!$A$3:$A$5000&amp;INPUT!$C$3:$C$5000,INPUT!$D$3:$D$5000),2,FALSE),"")</f>
        <v>0</v>
      </c>
      <c r="I4833" s="46" t="str">
        <f>IF(INPUT!P4828="","",INPUT!P4828)</f>
        <v/>
      </c>
      <c r="J4833" s="46" t="str">
        <f>IF(INPUT!Q4828="","",INPUT!Q4828)</f>
        <v/>
      </c>
      <c r="K4833" s="46" t="str">
        <f>IFERROR(IF(OR(INPUT!P4828="",INPUT!Q4828=""),"",INPUT!P4828-INPUT!Q4828),"")</f>
        <v/>
      </c>
      <c r="L4833" s="48" t="str">
        <f>IFERROR(IF(OR(INPUT!P4828="",INPUT!Q4828="",INPUT!P4828=0),"",(INPUT!P4828-INPUT!Q4828)/INPUT!P4828),"")</f>
        <v/>
      </c>
    </row>
    <row r="4834" spans="1:12" ht="18" hidden="1" customHeight="1" x14ac:dyDescent="0.2">
      <c r="A4834" s="11" t="str">
        <f>IF(INPUT!M4829="","",INPUT!M4829)</f>
        <v/>
      </c>
      <c r="B4834" s="11" t="str">
        <f>IF(INPUT!M4829="","",INPUT!M4829-WEEKDAY(INPUT!M4829,2)+1)</f>
        <v/>
      </c>
      <c r="C4834" s="20">
        <f>IFERROR(_xlfn.ISOWEEKNUM(INPUT!M4829),"")</f>
        <v>52</v>
      </c>
      <c r="D4834" s="20">
        <f>IFERROR(YEAR(INPUT!M4829),"")</f>
        <v>1900</v>
      </c>
      <c r="E4834" t="str">
        <f>IF(INPUT!O4829="","",INPUT!O4829)</f>
        <v/>
      </c>
      <c r="F4834" t="str">
        <f>IF(INPUT!N4829="","",INPUT!N4829)</f>
        <v/>
      </c>
      <c r="G4834" cm="1">
        <f t="array" ref="G4834">IFERROR(VLOOKUP(INPUT!M4829&amp;INPUT!N4829,CHOOSE({1,2},INPUT!$A$3:$A$5000&amp;INPUT!$C$3:$C$5000,INPUT!$F$3:$F$5000),2,FALSE),"")</f>
        <v>0</v>
      </c>
      <c r="H4834" cm="1">
        <f t="array" ref="H4834">IFERROR(VLOOKUP(INPUT!M4829&amp;INPUT!N4829,CHOOSE({1,2},INPUT!$A$3:$A$5000&amp;INPUT!$C$3:$C$5000,INPUT!$D$3:$D$5000),2,FALSE),"")</f>
        <v>0</v>
      </c>
      <c r="I4834" s="46" t="str">
        <f>IF(INPUT!P4829="","",INPUT!P4829)</f>
        <v/>
      </c>
      <c r="J4834" s="46" t="str">
        <f>IF(INPUT!Q4829="","",INPUT!Q4829)</f>
        <v/>
      </c>
      <c r="K4834" s="46" t="str">
        <f>IFERROR(IF(OR(INPUT!P4829="",INPUT!Q4829=""),"",INPUT!P4829-INPUT!Q4829),"")</f>
        <v/>
      </c>
      <c r="L4834" s="48" t="str">
        <f>IFERROR(IF(OR(INPUT!P4829="",INPUT!Q4829="",INPUT!P4829=0),"",(INPUT!P4829-INPUT!Q4829)/INPUT!P4829),"")</f>
        <v/>
      </c>
    </row>
    <row r="4835" spans="1:12" ht="18" hidden="1" customHeight="1" x14ac:dyDescent="0.2">
      <c r="A4835" s="11" t="str">
        <f>IF(INPUT!M4830="","",INPUT!M4830)</f>
        <v/>
      </c>
      <c r="B4835" s="11" t="str">
        <f>IF(INPUT!M4830="","",INPUT!M4830-WEEKDAY(INPUT!M4830,2)+1)</f>
        <v/>
      </c>
      <c r="C4835" s="20">
        <f>IFERROR(_xlfn.ISOWEEKNUM(INPUT!M4830),"")</f>
        <v>52</v>
      </c>
      <c r="D4835" s="20">
        <f>IFERROR(YEAR(INPUT!M4830),"")</f>
        <v>1900</v>
      </c>
      <c r="E4835" t="str">
        <f>IF(INPUT!O4830="","",INPUT!O4830)</f>
        <v/>
      </c>
      <c r="F4835" t="str">
        <f>IF(INPUT!N4830="","",INPUT!N4830)</f>
        <v/>
      </c>
      <c r="G4835" cm="1">
        <f t="array" ref="G4835">IFERROR(VLOOKUP(INPUT!M4830&amp;INPUT!N4830,CHOOSE({1,2},INPUT!$A$3:$A$5000&amp;INPUT!$C$3:$C$5000,INPUT!$F$3:$F$5000),2,FALSE),"")</f>
        <v>0</v>
      </c>
      <c r="H4835" cm="1">
        <f t="array" ref="H4835">IFERROR(VLOOKUP(INPUT!M4830&amp;INPUT!N4830,CHOOSE({1,2},INPUT!$A$3:$A$5000&amp;INPUT!$C$3:$C$5000,INPUT!$D$3:$D$5000),2,FALSE),"")</f>
        <v>0</v>
      </c>
      <c r="I4835" s="46" t="str">
        <f>IF(INPUT!P4830="","",INPUT!P4830)</f>
        <v/>
      </c>
      <c r="J4835" s="46" t="str">
        <f>IF(INPUT!Q4830="","",INPUT!Q4830)</f>
        <v/>
      </c>
      <c r="K4835" s="46" t="str">
        <f>IFERROR(IF(OR(INPUT!P4830="",INPUT!Q4830=""),"",INPUT!P4830-INPUT!Q4830),"")</f>
        <v/>
      </c>
      <c r="L4835" s="48" t="str">
        <f>IFERROR(IF(OR(INPUT!P4830="",INPUT!Q4830="",INPUT!P4830=0),"",(INPUT!P4830-INPUT!Q4830)/INPUT!P4830),"")</f>
        <v/>
      </c>
    </row>
    <row r="4836" spans="1:12" ht="18" hidden="1" customHeight="1" x14ac:dyDescent="0.2">
      <c r="A4836" s="11" t="str">
        <f>IF(INPUT!M4831="","",INPUT!M4831)</f>
        <v/>
      </c>
      <c r="B4836" s="11" t="str">
        <f>IF(INPUT!M4831="","",INPUT!M4831-WEEKDAY(INPUT!M4831,2)+1)</f>
        <v/>
      </c>
      <c r="C4836" s="20">
        <f>IFERROR(_xlfn.ISOWEEKNUM(INPUT!M4831),"")</f>
        <v>52</v>
      </c>
      <c r="D4836" s="20">
        <f>IFERROR(YEAR(INPUT!M4831),"")</f>
        <v>1900</v>
      </c>
      <c r="E4836" t="str">
        <f>IF(INPUT!O4831="","",INPUT!O4831)</f>
        <v/>
      </c>
      <c r="F4836" t="str">
        <f>IF(INPUT!N4831="","",INPUT!N4831)</f>
        <v/>
      </c>
      <c r="G4836" cm="1">
        <f t="array" ref="G4836">IFERROR(VLOOKUP(INPUT!M4831&amp;INPUT!N4831,CHOOSE({1,2},INPUT!$A$3:$A$5000&amp;INPUT!$C$3:$C$5000,INPUT!$F$3:$F$5000),2,FALSE),"")</f>
        <v>0</v>
      </c>
      <c r="H4836" cm="1">
        <f t="array" ref="H4836">IFERROR(VLOOKUP(INPUT!M4831&amp;INPUT!N4831,CHOOSE({1,2},INPUT!$A$3:$A$5000&amp;INPUT!$C$3:$C$5000,INPUT!$D$3:$D$5000),2,FALSE),"")</f>
        <v>0</v>
      </c>
      <c r="I4836" s="46" t="str">
        <f>IF(INPUT!P4831="","",INPUT!P4831)</f>
        <v/>
      </c>
      <c r="J4836" s="46" t="str">
        <f>IF(INPUT!Q4831="","",INPUT!Q4831)</f>
        <v/>
      </c>
      <c r="K4836" s="46" t="str">
        <f>IFERROR(IF(OR(INPUT!P4831="",INPUT!Q4831=""),"",INPUT!P4831-INPUT!Q4831),"")</f>
        <v/>
      </c>
      <c r="L4836" s="48" t="str">
        <f>IFERROR(IF(OR(INPUT!P4831="",INPUT!Q4831="",INPUT!P4831=0),"",(INPUT!P4831-INPUT!Q4831)/INPUT!P4831),"")</f>
        <v/>
      </c>
    </row>
    <row r="4837" spans="1:12" ht="18" hidden="1" customHeight="1" x14ac:dyDescent="0.2">
      <c r="A4837" s="11" t="str">
        <f>IF(INPUT!M4832="","",INPUT!M4832)</f>
        <v/>
      </c>
      <c r="B4837" s="11" t="str">
        <f>IF(INPUT!M4832="","",INPUT!M4832-WEEKDAY(INPUT!M4832,2)+1)</f>
        <v/>
      </c>
      <c r="C4837" s="20">
        <f>IFERROR(_xlfn.ISOWEEKNUM(INPUT!M4832),"")</f>
        <v>52</v>
      </c>
      <c r="D4837" s="20">
        <f>IFERROR(YEAR(INPUT!M4832),"")</f>
        <v>1900</v>
      </c>
      <c r="E4837" t="str">
        <f>IF(INPUT!O4832="","",INPUT!O4832)</f>
        <v/>
      </c>
      <c r="F4837" t="str">
        <f>IF(INPUT!N4832="","",INPUT!N4832)</f>
        <v/>
      </c>
      <c r="G4837" cm="1">
        <f t="array" ref="G4837">IFERROR(VLOOKUP(INPUT!M4832&amp;INPUT!N4832,CHOOSE({1,2},INPUT!$A$3:$A$5000&amp;INPUT!$C$3:$C$5000,INPUT!$F$3:$F$5000),2,FALSE),"")</f>
        <v>0</v>
      </c>
      <c r="H4837" cm="1">
        <f t="array" ref="H4837">IFERROR(VLOOKUP(INPUT!M4832&amp;INPUT!N4832,CHOOSE({1,2},INPUT!$A$3:$A$5000&amp;INPUT!$C$3:$C$5000,INPUT!$D$3:$D$5000),2,FALSE),"")</f>
        <v>0</v>
      </c>
      <c r="I4837" s="46" t="str">
        <f>IF(INPUT!P4832="","",INPUT!P4832)</f>
        <v/>
      </c>
      <c r="J4837" s="46" t="str">
        <f>IF(INPUT!Q4832="","",INPUT!Q4832)</f>
        <v/>
      </c>
      <c r="K4837" s="46" t="str">
        <f>IFERROR(IF(OR(INPUT!P4832="",INPUT!Q4832=""),"",INPUT!P4832-INPUT!Q4832),"")</f>
        <v/>
      </c>
      <c r="L4837" s="48" t="str">
        <f>IFERROR(IF(OR(INPUT!P4832="",INPUT!Q4832="",INPUT!P4832=0),"",(INPUT!P4832-INPUT!Q4832)/INPUT!P4832),"")</f>
        <v/>
      </c>
    </row>
    <row r="4838" spans="1:12" ht="18" hidden="1" customHeight="1" x14ac:dyDescent="0.2">
      <c r="A4838" s="11" t="str">
        <f>IF(INPUT!M4833="","",INPUT!M4833)</f>
        <v/>
      </c>
      <c r="B4838" s="11" t="str">
        <f>IF(INPUT!M4833="","",INPUT!M4833-WEEKDAY(INPUT!M4833,2)+1)</f>
        <v/>
      </c>
      <c r="C4838" s="20">
        <f>IFERROR(_xlfn.ISOWEEKNUM(INPUT!M4833),"")</f>
        <v>52</v>
      </c>
      <c r="D4838" s="20">
        <f>IFERROR(YEAR(INPUT!M4833),"")</f>
        <v>1900</v>
      </c>
      <c r="E4838" t="str">
        <f>IF(INPUT!O4833="","",INPUT!O4833)</f>
        <v/>
      </c>
      <c r="F4838" t="str">
        <f>IF(INPUT!N4833="","",INPUT!N4833)</f>
        <v/>
      </c>
      <c r="G4838" cm="1">
        <f t="array" ref="G4838">IFERROR(VLOOKUP(INPUT!M4833&amp;INPUT!N4833,CHOOSE({1,2},INPUT!$A$3:$A$5000&amp;INPUT!$C$3:$C$5000,INPUT!$F$3:$F$5000),2,FALSE),"")</f>
        <v>0</v>
      </c>
      <c r="H4838" cm="1">
        <f t="array" ref="H4838">IFERROR(VLOOKUP(INPUT!M4833&amp;INPUT!N4833,CHOOSE({1,2},INPUT!$A$3:$A$5000&amp;INPUT!$C$3:$C$5000,INPUT!$D$3:$D$5000),2,FALSE),"")</f>
        <v>0</v>
      </c>
      <c r="I4838" s="46" t="str">
        <f>IF(INPUT!P4833="","",INPUT!P4833)</f>
        <v/>
      </c>
      <c r="J4838" s="46" t="str">
        <f>IF(INPUT!Q4833="","",INPUT!Q4833)</f>
        <v/>
      </c>
      <c r="K4838" s="46" t="str">
        <f>IFERROR(IF(OR(INPUT!P4833="",INPUT!Q4833=""),"",INPUT!P4833-INPUT!Q4833),"")</f>
        <v/>
      </c>
      <c r="L4838" s="48" t="str">
        <f>IFERROR(IF(OR(INPUT!P4833="",INPUT!Q4833="",INPUT!P4833=0),"",(INPUT!P4833-INPUT!Q4833)/INPUT!P4833),"")</f>
        <v/>
      </c>
    </row>
    <row r="4839" spans="1:12" ht="18" hidden="1" customHeight="1" x14ac:dyDescent="0.2">
      <c r="A4839" s="11" t="str">
        <f>IF(INPUT!M4834="","",INPUT!M4834)</f>
        <v/>
      </c>
      <c r="B4839" s="11" t="str">
        <f>IF(INPUT!M4834="","",INPUT!M4834-WEEKDAY(INPUT!M4834,2)+1)</f>
        <v/>
      </c>
      <c r="C4839" s="20">
        <f>IFERROR(_xlfn.ISOWEEKNUM(INPUT!M4834),"")</f>
        <v>52</v>
      </c>
      <c r="D4839" s="20">
        <f>IFERROR(YEAR(INPUT!M4834),"")</f>
        <v>1900</v>
      </c>
      <c r="E4839" t="str">
        <f>IF(INPUT!O4834="","",INPUT!O4834)</f>
        <v/>
      </c>
      <c r="F4839" t="str">
        <f>IF(INPUT!N4834="","",INPUT!N4834)</f>
        <v/>
      </c>
      <c r="G4839" cm="1">
        <f t="array" ref="G4839">IFERROR(VLOOKUP(INPUT!M4834&amp;INPUT!N4834,CHOOSE({1,2},INPUT!$A$3:$A$5000&amp;INPUT!$C$3:$C$5000,INPUT!$F$3:$F$5000),2,FALSE),"")</f>
        <v>0</v>
      </c>
      <c r="H4839" cm="1">
        <f t="array" ref="H4839">IFERROR(VLOOKUP(INPUT!M4834&amp;INPUT!N4834,CHOOSE({1,2},INPUT!$A$3:$A$5000&amp;INPUT!$C$3:$C$5000,INPUT!$D$3:$D$5000),2,FALSE),"")</f>
        <v>0</v>
      </c>
      <c r="I4839" s="46" t="str">
        <f>IF(INPUT!P4834="","",INPUT!P4834)</f>
        <v/>
      </c>
      <c r="J4839" s="46" t="str">
        <f>IF(INPUT!Q4834="","",INPUT!Q4834)</f>
        <v/>
      </c>
      <c r="K4839" s="46" t="str">
        <f>IFERROR(IF(OR(INPUT!P4834="",INPUT!Q4834=""),"",INPUT!P4834-INPUT!Q4834),"")</f>
        <v/>
      </c>
      <c r="L4839" s="48" t="str">
        <f>IFERROR(IF(OR(INPUT!P4834="",INPUT!Q4834="",INPUT!P4834=0),"",(INPUT!P4834-INPUT!Q4834)/INPUT!P4834),"")</f>
        <v/>
      </c>
    </row>
    <row r="4840" spans="1:12" ht="18" hidden="1" customHeight="1" x14ac:dyDescent="0.2">
      <c r="A4840" s="11" t="str">
        <f>IF(INPUT!M4835="","",INPUT!M4835)</f>
        <v/>
      </c>
      <c r="B4840" s="11" t="str">
        <f>IF(INPUT!M4835="","",INPUT!M4835-WEEKDAY(INPUT!M4835,2)+1)</f>
        <v/>
      </c>
      <c r="C4840" s="20">
        <f>IFERROR(_xlfn.ISOWEEKNUM(INPUT!M4835),"")</f>
        <v>52</v>
      </c>
      <c r="D4840" s="20">
        <f>IFERROR(YEAR(INPUT!M4835),"")</f>
        <v>1900</v>
      </c>
      <c r="E4840" t="str">
        <f>IF(INPUT!O4835="","",INPUT!O4835)</f>
        <v/>
      </c>
      <c r="F4840" t="str">
        <f>IF(INPUT!N4835="","",INPUT!N4835)</f>
        <v/>
      </c>
      <c r="G4840" cm="1">
        <f t="array" ref="G4840">IFERROR(VLOOKUP(INPUT!M4835&amp;INPUT!N4835,CHOOSE({1,2},INPUT!$A$3:$A$5000&amp;INPUT!$C$3:$C$5000,INPUT!$F$3:$F$5000),2,FALSE),"")</f>
        <v>0</v>
      </c>
      <c r="H4840" cm="1">
        <f t="array" ref="H4840">IFERROR(VLOOKUP(INPUT!M4835&amp;INPUT!N4835,CHOOSE({1,2},INPUT!$A$3:$A$5000&amp;INPUT!$C$3:$C$5000,INPUT!$D$3:$D$5000),2,FALSE),"")</f>
        <v>0</v>
      </c>
      <c r="I4840" s="46" t="str">
        <f>IF(INPUT!P4835="","",INPUT!P4835)</f>
        <v/>
      </c>
      <c r="J4840" s="46" t="str">
        <f>IF(INPUT!Q4835="","",INPUT!Q4835)</f>
        <v/>
      </c>
      <c r="K4840" s="46" t="str">
        <f>IFERROR(IF(OR(INPUT!P4835="",INPUT!Q4835=""),"",INPUT!P4835-INPUT!Q4835),"")</f>
        <v/>
      </c>
      <c r="L4840" s="48" t="str">
        <f>IFERROR(IF(OR(INPUT!P4835="",INPUT!Q4835="",INPUT!P4835=0),"",(INPUT!P4835-INPUT!Q4835)/INPUT!P4835),"")</f>
        <v/>
      </c>
    </row>
    <row r="4841" spans="1:12" ht="18" hidden="1" customHeight="1" x14ac:dyDescent="0.2">
      <c r="A4841" s="11" t="str">
        <f>IF(INPUT!M4836="","",INPUT!M4836)</f>
        <v/>
      </c>
      <c r="B4841" s="11" t="str">
        <f>IF(INPUT!M4836="","",INPUT!M4836-WEEKDAY(INPUT!M4836,2)+1)</f>
        <v/>
      </c>
      <c r="C4841" s="20">
        <f>IFERROR(_xlfn.ISOWEEKNUM(INPUT!M4836),"")</f>
        <v>52</v>
      </c>
      <c r="D4841" s="20">
        <f>IFERROR(YEAR(INPUT!M4836),"")</f>
        <v>1900</v>
      </c>
      <c r="E4841" t="str">
        <f>IF(INPUT!O4836="","",INPUT!O4836)</f>
        <v/>
      </c>
      <c r="F4841" t="str">
        <f>IF(INPUT!N4836="","",INPUT!N4836)</f>
        <v/>
      </c>
      <c r="G4841" cm="1">
        <f t="array" ref="G4841">IFERROR(VLOOKUP(INPUT!M4836&amp;INPUT!N4836,CHOOSE({1,2},INPUT!$A$3:$A$5000&amp;INPUT!$C$3:$C$5000,INPUT!$F$3:$F$5000),2,FALSE),"")</f>
        <v>0</v>
      </c>
      <c r="H4841" cm="1">
        <f t="array" ref="H4841">IFERROR(VLOOKUP(INPUT!M4836&amp;INPUT!N4836,CHOOSE({1,2},INPUT!$A$3:$A$5000&amp;INPUT!$C$3:$C$5000,INPUT!$D$3:$D$5000),2,FALSE),"")</f>
        <v>0</v>
      </c>
      <c r="I4841" s="46" t="str">
        <f>IF(INPUT!P4836="","",INPUT!P4836)</f>
        <v/>
      </c>
      <c r="J4841" s="46" t="str">
        <f>IF(INPUT!Q4836="","",INPUT!Q4836)</f>
        <v/>
      </c>
      <c r="K4841" s="46" t="str">
        <f>IFERROR(IF(OR(INPUT!P4836="",INPUT!Q4836=""),"",INPUT!P4836-INPUT!Q4836),"")</f>
        <v/>
      </c>
      <c r="L4841" s="48" t="str">
        <f>IFERROR(IF(OR(INPUT!P4836="",INPUT!Q4836="",INPUT!P4836=0),"",(INPUT!P4836-INPUT!Q4836)/INPUT!P4836),"")</f>
        <v/>
      </c>
    </row>
    <row r="4842" spans="1:12" ht="18" hidden="1" customHeight="1" x14ac:dyDescent="0.2">
      <c r="A4842" s="11" t="str">
        <f>IF(INPUT!M4837="","",INPUT!M4837)</f>
        <v/>
      </c>
      <c r="B4842" s="11" t="str">
        <f>IF(INPUT!M4837="","",INPUT!M4837-WEEKDAY(INPUT!M4837,2)+1)</f>
        <v/>
      </c>
      <c r="C4842" s="20">
        <f>IFERROR(_xlfn.ISOWEEKNUM(INPUT!M4837),"")</f>
        <v>52</v>
      </c>
      <c r="D4842" s="20">
        <f>IFERROR(YEAR(INPUT!M4837),"")</f>
        <v>1900</v>
      </c>
      <c r="E4842" t="str">
        <f>IF(INPUT!O4837="","",INPUT!O4837)</f>
        <v/>
      </c>
      <c r="F4842" t="str">
        <f>IF(INPUT!N4837="","",INPUT!N4837)</f>
        <v/>
      </c>
      <c r="G4842" cm="1">
        <f t="array" ref="G4842">IFERROR(VLOOKUP(INPUT!M4837&amp;INPUT!N4837,CHOOSE({1,2},INPUT!$A$3:$A$5000&amp;INPUT!$C$3:$C$5000,INPUT!$F$3:$F$5000),2,FALSE),"")</f>
        <v>0</v>
      </c>
      <c r="H4842" cm="1">
        <f t="array" ref="H4842">IFERROR(VLOOKUP(INPUT!M4837&amp;INPUT!N4837,CHOOSE({1,2},INPUT!$A$3:$A$5000&amp;INPUT!$C$3:$C$5000,INPUT!$D$3:$D$5000),2,FALSE),"")</f>
        <v>0</v>
      </c>
      <c r="I4842" s="46" t="str">
        <f>IF(INPUT!P4837="","",INPUT!P4837)</f>
        <v/>
      </c>
      <c r="J4842" s="46" t="str">
        <f>IF(INPUT!Q4837="","",INPUT!Q4837)</f>
        <v/>
      </c>
      <c r="K4842" s="46" t="str">
        <f>IFERROR(IF(OR(INPUT!P4837="",INPUT!Q4837=""),"",INPUT!P4837-INPUT!Q4837),"")</f>
        <v/>
      </c>
      <c r="L4842" s="48" t="str">
        <f>IFERROR(IF(OR(INPUT!P4837="",INPUT!Q4837="",INPUT!P4837=0),"",(INPUT!P4837-INPUT!Q4837)/INPUT!P4837),"")</f>
        <v/>
      </c>
    </row>
    <row r="4843" spans="1:12" ht="18" hidden="1" customHeight="1" x14ac:dyDescent="0.2">
      <c r="A4843" s="11" t="str">
        <f>IF(INPUT!M4838="","",INPUT!M4838)</f>
        <v/>
      </c>
      <c r="B4843" s="11" t="str">
        <f>IF(INPUT!M4838="","",INPUT!M4838-WEEKDAY(INPUT!M4838,2)+1)</f>
        <v/>
      </c>
      <c r="C4843" s="20">
        <f>IFERROR(_xlfn.ISOWEEKNUM(INPUT!M4838),"")</f>
        <v>52</v>
      </c>
      <c r="D4843" s="20">
        <f>IFERROR(YEAR(INPUT!M4838),"")</f>
        <v>1900</v>
      </c>
      <c r="E4843" t="str">
        <f>IF(INPUT!O4838="","",INPUT!O4838)</f>
        <v/>
      </c>
      <c r="F4843" t="str">
        <f>IF(INPUT!N4838="","",INPUT!N4838)</f>
        <v/>
      </c>
      <c r="G4843" cm="1">
        <f t="array" ref="G4843">IFERROR(VLOOKUP(INPUT!M4838&amp;INPUT!N4838,CHOOSE({1,2},INPUT!$A$3:$A$5000&amp;INPUT!$C$3:$C$5000,INPUT!$F$3:$F$5000),2,FALSE),"")</f>
        <v>0</v>
      </c>
      <c r="H4843" cm="1">
        <f t="array" ref="H4843">IFERROR(VLOOKUP(INPUT!M4838&amp;INPUT!N4838,CHOOSE({1,2},INPUT!$A$3:$A$5000&amp;INPUT!$C$3:$C$5000,INPUT!$D$3:$D$5000),2,FALSE),"")</f>
        <v>0</v>
      </c>
      <c r="I4843" s="46" t="str">
        <f>IF(INPUT!P4838="","",INPUT!P4838)</f>
        <v/>
      </c>
      <c r="J4843" s="46" t="str">
        <f>IF(INPUT!Q4838="","",INPUT!Q4838)</f>
        <v/>
      </c>
      <c r="K4843" s="46" t="str">
        <f>IFERROR(IF(OR(INPUT!P4838="",INPUT!Q4838=""),"",INPUT!P4838-INPUT!Q4838),"")</f>
        <v/>
      </c>
      <c r="L4843" s="48" t="str">
        <f>IFERROR(IF(OR(INPUT!P4838="",INPUT!Q4838="",INPUT!P4838=0),"",(INPUT!P4838-INPUT!Q4838)/INPUT!P4838),"")</f>
        <v/>
      </c>
    </row>
    <row r="4844" spans="1:12" ht="18" hidden="1" customHeight="1" x14ac:dyDescent="0.2">
      <c r="A4844" s="11" t="str">
        <f>IF(INPUT!M4839="","",INPUT!M4839)</f>
        <v/>
      </c>
      <c r="B4844" s="11" t="str">
        <f>IF(INPUT!M4839="","",INPUT!M4839-WEEKDAY(INPUT!M4839,2)+1)</f>
        <v/>
      </c>
      <c r="C4844" s="20">
        <f>IFERROR(_xlfn.ISOWEEKNUM(INPUT!M4839),"")</f>
        <v>52</v>
      </c>
      <c r="D4844" s="20">
        <f>IFERROR(YEAR(INPUT!M4839),"")</f>
        <v>1900</v>
      </c>
      <c r="E4844" t="str">
        <f>IF(INPUT!O4839="","",INPUT!O4839)</f>
        <v/>
      </c>
      <c r="F4844" t="str">
        <f>IF(INPUT!N4839="","",INPUT!N4839)</f>
        <v/>
      </c>
      <c r="G4844" cm="1">
        <f t="array" ref="G4844">IFERROR(VLOOKUP(INPUT!M4839&amp;INPUT!N4839,CHOOSE({1,2},INPUT!$A$3:$A$5000&amp;INPUT!$C$3:$C$5000,INPUT!$F$3:$F$5000),2,FALSE),"")</f>
        <v>0</v>
      </c>
      <c r="H4844" cm="1">
        <f t="array" ref="H4844">IFERROR(VLOOKUP(INPUT!M4839&amp;INPUT!N4839,CHOOSE({1,2},INPUT!$A$3:$A$5000&amp;INPUT!$C$3:$C$5000,INPUT!$D$3:$D$5000),2,FALSE),"")</f>
        <v>0</v>
      </c>
      <c r="I4844" s="46" t="str">
        <f>IF(INPUT!P4839="","",INPUT!P4839)</f>
        <v/>
      </c>
      <c r="J4844" s="46" t="str">
        <f>IF(INPUT!Q4839="","",INPUT!Q4839)</f>
        <v/>
      </c>
      <c r="K4844" s="46" t="str">
        <f>IFERROR(IF(OR(INPUT!P4839="",INPUT!Q4839=""),"",INPUT!P4839-INPUT!Q4839),"")</f>
        <v/>
      </c>
      <c r="L4844" s="48" t="str">
        <f>IFERROR(IF(OR(INPUT!P4839="",INPUT!Q4839="",INPUT!P4839=0),"",(INPUT!P4839-INPUT!Q4839)/INPUT!P4839),"")</f>
        <v/>
      </c>
    </row>
    <row r="4845" spans="1:12" ht="18" hidden="1" customHeight="1" x14ac:dyDescent="0.2">
      <c r="A4845" s="11" t="str">
        <f>IF(INPUT!M4840="","",INPUT!M4840)</f>
        <v/>
      </c>
      <c r="B4845" s="11" t="str">
        <f>IF(INPUT!M4840="","",INPUT!M4840-WEEKDAY(INPUT!M4840,2)+1)</f>
        <v/>
      </c>
      <c r="C4845" s="20">
        <f>IFERROR(_xlfn.ISOWEEKNUM(INPUT!M4840),"")</f>
        <v>52</v>
      </c>
      <c r="D4845" s="20">
        <f>IFERROR(YEAR(INPUT!M4840),"")</f>
        <v>1900</v>
      </c>
      <c r="E4845" t="str">
        <f>IF(INPUT!O4840="","",INPUT!O4840)</f>
        <v/>
      </c>
      <c r="F4845" t="str">
        <f>IF(INPUT!N4840="","",INPUT!N4840)</f>
        <v/>
      </c>
      <c r="G4845" cm="1">
        <f t="array" ref="G4845">IFERROR(VLOOKUP(INPUT!M4840&amp;INPUT!N4840,CHOOSE({1,2},INPUT!$A$3:$A$5000&amp;INPUT!$C$3:$C$5000,INPUT!$F$3:$F$5000),2,FALSE),"")</f>
        <v>0</v>
      </c>
      <c r="H4845" cm="1">
        <f t="array" ref="H4845">IFERROR(VLOOKUP(INPUT!M4840&amp;INPUT!N4840,CHOOSE({1,2},INPUT!$A$3:$A$5000&amp;INPUT!$C$3:$C$5000,INPUT!$D$3:$D$5000),2,FALSE),"")</f>
        <v>0</v>
      </c>
      <c r="I4845" s="46" t="str">
        <f>IF(INPUT!P4840="","",INPUT!P4840)</f>
        <v/>
      </c>
      <c r="J4845" s="46" t="str">
        <f>IF(INPUT!Q4840="","",INPUT!Q4840)</f>
        <v/>
      </c>
      <c r="K4845" s="46" t="str">
        <f>IFERROR(IF(OR(INPUT!P4840="",INPUT!Q4840=""),"",INPUT!P4840-INPUT!Q4840),"")</f>
        <v/>
      </c>
      <c r="L4845" s="48" t="str">
        <f>IFERROR(IF(OR(INPUT!P4840="",INPUT!Q4840="",INPUT!P4840=0),"",(INPUT!P4840-INPUT!Q4840)/INPUT!P4840),"")</f>
        <v/>
      </c>
    </row>
    <row r="4846" spans="1:12" ht="18" hidden="1" customHeight="1" x14ac:dyDescent="0.2">
      <c r="A4846" s="11" t="str">
        <f>IF(INPUT!M4841="","",INPUT!M4841)</f>
        <v/>
      </c>
      <c r="B4846" s="11" t="str">
        <f>IF(INPUT!M4841="","",INPUT!M4841-WEEKDAY(INPUT!M4841,2)+1)</f>
        <v/>
      </c>
      <c r="C4846" s="20">
        <f>IFERROR(_xlfn.ISOWEEKNUM(INPUT!M4841),"")</f>
        <v>52</v>
      </c>
      <c r="D4846" s="20">
        <f>IFERROR(YEAR(INPUT!M4841),"")</f>
        <v>1900</v>
      </c>
      <c r="E4846" t="str">
        <f>IF(INPUT!O4841="","",INPUT!O4841)</f>
        <v/>
      </c>
      <c r="F4846" t="str">
        <f>IF(INPUT!N4841="","",INPUT!N4841)</f>
        <v/>
      </c>
      <c r="G4846" cm="1">
        <f t="array" ref="G4846">IFERROR(VLOOKUP(INPUT!M4841&amp;INPUT!N4841,CHOOSE({1,2},INPUT!$A$3:$A$5000&amp;INPUT!$C$3:$C$5000,INPUT!$F$3:$F$5000),2,FALSE),"")</f>
        <v>0</v>
      </c>
      <c r="H4846" cm="1">
        <f t="array" ref="H4846">IFERROR(VLOOKUP(INPUT!M4841&amp;INPUT!N4841,CHOOSE({1,2},INPUT!$A$3:$A$5000&amp;INPUT!$C$3:$C$5000,INPUT!$D$3:$D$5000),2,FALSE),"")</f>
        <v>0</v>
      </c>
      <c r="I4846" s="46" t="str">
        <f>IF(INPUT!P4841="","",INPUT!P4841)</f>
        <v/>
      </c>
      <c r="J4846" s="46" t="str">
        <f>IF(INPUT!Q4841="","",INPUT!Q4841)</f>
        <v/>
      </c>
      <c r="K4846" s="46" t="str">
        <f>IFERROR(IF(OR(INPUT!P4841="",INPUT!Q4841=""),"",INPUT!P4841-INPUT!Q4841),"")</f>
        <v/>
      </c>
      <c r="L4846" s="48" t="str">
        <f>IFERROR(IF(OR(INPUT!P4841="",INPUT!Q4841="",INPUT!P4841=0),"",(INPUT!P4841-INPUT!Q4841)/INPUT!P4841),"")</f>
        <v/>
      </c>
    </row>
    <row r="4847" spans="1:12" ht="18" hidden="1" customHeight="1" x14ac:dyDescent="0.2">
      <c r="A4847" s="11" t="str">
        <f>IF(INPUT!M4842="","",INPUT!M4842)</f>
        <v/>
      </c>
      <c r="B4847" s="11" t="str">
        <f>IF(INPUT!M4842="","",INPUT!M4842-WEEKDAY(INPUT!M4842,2)+1)</f>
        <v/>
      </c>
      <c r="C4847" s="20">
        <f>IFERROR(_xlfn.ISOWEEKNUM(INPUT!M4842),"")</f>
        <v>52</v>
      </c>
      <c r="D4847" s="20">
        <f>IFERROR(YEAR(INPUT!M4842),"")</f>
        <v>1900</v>
      </c>
      <c r="E4847" t="str">
        <f>IF(INPUT!O4842="","",INPUT!O4842)</f>
        <v/>
      </c>
      <c r="F4847" t="str">
        <f>IF(INPUT!N4842="","",INPUT!N4842)</f>
        <v/>
      </c>
      <c r="G4847" cm="1">
        <f t="array" ref="G4847">IFERROR(VLOOKUP(INPUT!M4842&amp;INPUT!N4842,CHOOSE({1,2},INPUT!$A$3:$A$5000&amp;INPUT!$C$3:$C$5000,INPUT!$F$3:$F$5000),2,FALSE),"")</f>
        <v>0</v>
      </c>
      <c r="H4847" cm="1">
        <f t="array" ref="H4847">IFERROR(VLOOKUP(INPUT!M4842&amp;INPUT!N4842,CHOOSE({1,2},INPUT!$A$3:$A$5000&amp;INPUT!$C$3:$C$5000,INPUT!$D$3:$D$5000),2,FALSE),"")</f>
        <v>0</v>
      </c>
      <c r="I4847" s="46" t="str">
        <f>IF(INPUT!P4842="","",INPUT!P4842)</f>
        <v/>
      </c>
      <c r="J4847" s="46" t="str">
        <f>IF(INPUT!Q4842="","",INPUT!Q4842)</f>
        <v/>
      </c>
      <c r="K4847" s="46" t="str">
        <f>IFERROR(IF(OR(INPUT!P4842="",INPUT!Q4842=""),"",INPUT!P4842-INPUT!Q4842),"")</f>
        <v/>
      </c>
      <c r="L4847" s="48" t="str">
        <f>IFERROR(IF(OR(INPUT!P4842="",INPUT!Q4842="",INPUT!P4842=0),"",(INPUT!P4842-INPUT!Q4842)/INPUT!P4842),"")</f>
        <v/>
      </c>
    </row>
    <row r="4848" spans="1:12" ht="18" hidden="1" customHeight="1" x14ac:dyDescent="0.2">
      <c r="A4848" s="11" t="str">
        <f>IF(INPUT!M4843="","",INPUT!M4843)</f>
        <v/>
      </c>
      <c r="B4848" s="11" t="str">
        <f>IF(INPUT!M4843="","",INPUT!M4843-WEEKDAY(INPUT!M4843,2)+1)</f>
        <v/>
      </c>
      <c r="C4848" s="20">
        <f>IFERROR(_xlfn.ISOWEEKNUM(INPUT!M4843),"")</f>
        <v>52</v>
      </c>
      <c r="D4848" s="20">
        <f>IFERROR(YEAR(INPUT!M4843),"")</f>
        <v>1900</v>
      </c>
      <c r="E4848" t="str">
        <f>IF(INPUT!O4843="","",INPUT!O4843)</f>
        <v/>
      </c>
      <c r="F4848" t="str">
        <f>IF(INPUT!N4843="","",INPUT!N4843)</f>
        <v/>
      </c>
      <c r="G4848" cm="1">
        <f t="array" ref="G4848">IFERROR(VLOOKUP(INPUT!M4843&amp;INPUT!N4843,CHOOSE({1,2},INPUT!$A$3:$A$5000&amp;INPUT!$C$3:$C$5000,INPUT!$F$3:$F$5000),2,FALSE),"")</f>
        <v>0</v>
      </c>
      <c r="H4848" cm="1">
        <f t="array" ref="H4848">IFERROR(VLOOKUP(INPUT!M4843&amp;INPUT!N4843,CHOOSE({1,2},INPUT!$A$3:$A$5000&amp;INPUT!$C$3:$C$5000,INPUT!$D$3:$D$5000),2,FALSE),"")</f>
        <v>0</v>
      </c>
      <c r="I4848" s="46" t="str">
        <f>IF(INPUT!P4843="","",INPUT!P4843)</f>
        <v/>
      </c>
      <c r="J4848" s="46" t="str">
        <f>IF(INPUT!Q4843="","",INPUT!Q4843)</f>
        <v/>
      </c>
      <c r="K4848" s="46" t="str">
        <f>IFERROR(IF(OR(INPUT!P4843="",INPUT!Q4843=""),"",INPUT!P4843-INPUT!Q4843),"")</f>
        <v/>
      </c>
      <c r="L4848" s="48" t="str">
        <f>IFERROR(IF(OR(INPUT!P4843="",INPUT!Q4843="",INPUT!P4843=0),"",(INPUT!P4843-INPUT!Q4843)/INPUT!P4843),"")</f>
        <v/>
      </c>
    </row>
    <row r="4849" spans="1:12" ht="18" hidden="1" customHeight="1" x14ac:dyDescent="0.2">
      <c r="A4849" s="11" t="str">
        <f>IF(INPUT!M4844="","",INPUT!M4844)</f>
        <v/>
      </c>
      <c r="B4849" s="11" t="str">
        <f>IF(INPUT!M4844="","",INPUT!M4844-WEEKDAY(INPUT!M4844,2)+1)</f>
        <v/>
      </c>
      <c r="C4849" s="20">
        <f>IFERROR(_xlfn.ISOWEEKNUM(INPUT!M4844),"")</f>
        <v>52</v>
      </c>
      <c r="D4849" s="20">
        <f>IFERROR(YEAR(INPUT!M4844),"")</f>
        <v>1900</v>
      </c>
      <c r="E4849" t="str">
        <f>IF(INPUT!O4844="","",INPUT!O4844)</f>
        <v/>
      </c>
      <c r="F4849" t="str">
        <f>IF(INPUT!N4844="","",INPUT!N4844)</f>
        <v/>
      </c>
      <c r="G4849" cm="1">
        <f t="array" ref="G4849">IFERROR(VLOOKUP(INPUT!M4844&amp;INPUT!N4844,CHOOSE({1,2},INPUT!$A$3:$A$5000&amp;INPUT!$C$3:$C$5000,INPUT!$F$3:$F$5000),2,FALSE),"")</f>
        <v>0</v>
      </c>
      <c r="H4849" cm="1">
        <f t="array" ref="H4849">IFERROR(VLOOKUP(INPUT!M4844&amp;INPUT!N4844,CHOOSE({1,2},INPUT!$A$3:$A$5000&amp;INPUT!$C$3:$C$5000,INPUT!$D$3:$D$5000),2,FALSE),"")</f>
        <v>0</v>
      </c>
      <c r="I4849" s="46" t="str">
        <f>IF(INPUT!P4844="","",INPUT!P4844)</f>
        <v/>
      </c>
      <c r="J4849" s="46" t="str">
        <f>IF(INPUT!Q4844="","",INPUT!Q4844)</f>
        <v/>
      </c>
      <c r="K4849" s="46" t="str">
        <f>IFERROR(IF(OR(INPUT!P4844="",INPUT!Q4844=""),"",INPUT!P4844-INPUT!Q4844),"")</f>
        <v/>
      </c>
      <c r="L4849" s="48" t="str">
        <f>IFERROR(IF(OR(INPUT!P4844="",INPUT!Q4844="",INPUT!P4844=0),"",(INPUT!P4844-INPUT!Q4844)/INPUT!P4844),"")</f>
        <v/>
      </c>
    </row>
    <row r="4850" spans="1:12" ht="18" hidden="1" customHeight="1" x14ac:dyDescent="0.2">
      <c r="A4850" s="11" t="str">
        <f>IF(INPUT!M4845="","",INPUT!M4845)</f>
        <v/>
      </c>
      <c r="B4850" s="11" t="str">
        <f>IF(INPUT!M4845="","",INPUT!M4845-WEEKDAY(INPUT!M4845,2)+1)</f>
        <v/>
      </c>
      <c r="C4850" s="20">
        <f>IFERROR(_xlfn.ISOWEEKNUM(INPUT!M4845),"")</f>
        <v>52</v>
      </c>
      <c r="D4850" s="20">
        <f>IFERROR(YEAR(INPUT!M4845),"")</f>
        <v>1900</v>
      </c>
      <c r="E4850" t="str">
        <f>IF(INPUT!O4845="","",INPUT!O4845)</f>
        <v/>
      </c>
      <c r="F4850" t="str">
        <f>IF(INPUT!N4845="","",INPUT!N4845)</f>
        <v/>
      </c>
      <c r="G4850" cm="1">
        <f t="array" ref="G4850">IFERROR(VLOOKUP(INPUT!M4845&amp;INPUT!N4845,CHOOSE({1,2},INPUT!$A$3:$A$5000&amp;INPUT!$C$3:$C$5000,INPUT!$F$3:$F$5000),2,FALSE),"")</f>
        <v>0</v>
      </c>
      <c r="H4850" cm="1">
        <f t="array" ref="H4850">IFERROR(VLOOKUP(INPUT!M4845&amp;INPUT!N4845,CHOOSE({1,2},INPUT!$A$3:$A$5000&amp;INPUT!$C$3:$C$5000,INPUT!$D$3:$D$5000),2,FALSE),"")</f>
        <v>0</v>
      </c>
      <c r="I4850" s="46" t="str">
        <f>IF(INPUT!P4845="","",INPUT!P4845)</f>
        <v/>
      </c>
      <c r="J4850" s="46" t="str">
        <f>IF(INPUT!Q4845="","",INPUT!Q4845)</f>
        <v/>
      </c>
      <c r="K4850" s="46" t="str">
        <f>IFERROR(IF(OR(INPUT!P4845="",INPUT!Q4845=""),"",INPUT!P4845-INPUT!Q4845),"")</f>
        <v/>
      </c>
      <c r="L4850" s="48" t="str">
        <f>IFERROR(IF(OR(INPUT!P4845="",INPUT!Q4845="",INPUT!P4845=0),"",(INPUT!P4845-INPUT!Q4845)/INPUT!P4845),"")</f>
        <v/>
      </c>
    </row>
    <row r="4851" spans="1:12" ht="18" hidden="1" customHeight="1" x14ac:dyDescent="0.2">
      <c r="A4851" s="11" t="str">
        <f>IF(INPUT!M4846="","",INPUT!M4846)</f>
        <v/>
      </c>
      <c r="B4851" s="11" t="str">
        <f>IF(INPUT!M4846="","",INPUT!M4846-WEEKDAY(INPUT!M4846,2)+1)</f>
        <v/>
      </c>
      <c r="C4851" s="20">
        <f>IFERROR(_xlfn.ISOWEEKNUM(INPUT!M4846),"")</f>
        <v>52</v>
      </c>
      <c r="D4851" s="20">
        <f>IFERROR(YEAR(INPUT!M4846),"")</f>
        <v>1900</v>
      </c>
      <c r="E4851" t="str">
        <f>IF(INPUT!O4846="","",INPUT!O4846)</f>
        <v/>
      </c>
      <c r="F4851" t="str">
        <f>IF(INPUT!N4846="","",INPUT!N4846)</f>
        <v/>
      </c>
      <c r="G4851" cm="1">
        <f t="array" ref="G4851">IFERROR(VLOOKUP(INPUT!M4846&amp;INPUT!N4846,CHOOSE({1,2},INPUT!$A$3:$A$5000&amp;INPUT!$C$3:$C$5000,INPUT!$F$3:$F$5000),2,FALSE),"")</f>
        <v>0</v>
      </c>
      <c r="H4851" cm="1">
        <f t="array" ref="H4851">IFERROR(VLOOKUP(INPUT!M4846&amp;INPUT!N4846,CHOOSE({1,2},INPUT!$A$3:$A$5000&amp;INPUT!$C$3:$C$5000,INPUT!$D$3:$D$5000),2,FALSE),"")</f>
        <v>0</v>
      </c>
      <c r="I4851" s="46" t="str">
        <f>IF(INPUT!P4846="","",INPUT!P4846)</f>
        <v/>
      </c>
      <c r="J4851" s="46" t="str">
        <f>IF(INPUT!Q4846="","",INPUT!Q4846)</f>
        <v/>
      </c>
      <c r="K4851" s="46" t="str">
        <f>IFERROR(IF(OR(INPUT!P4846="",INPUT!Q4846=""),"",INPUT!P4846-INPUT!Q4846),"")</f>
        <v/>
      </c>
      <c r="L4851" s="48" t="str">
        <f>IFERROR(IF(OR(INPUT!P4846="",INPUT!Q4846="",INPUT!P4846=0),"",(INPUT!P4846-INPUT!Q4846)/INPUT!P4846),"")</f>
        <v/>
      </c>
    </row>
    <row r="4852" spans="1:12" ht="18" hidden="1" customHeight="1" x14ac:dyDescent="0.2">
      <c r="A4852" s="11" t="str">
        <f>IF(INPUT!M4847="","",INPUT!M4847)</f>
        <v/>
      </c>
      <c r="B4852" s="11" t="str">
        <f>IF(INPUT!M4847="","",INPUT!M4847-WEEKDAY(INPUT!M4847,2)+1)</f>
        <v/>
      </c>
      <c r="C4852" s="20">
        <f>IFERROR(_xlfn.ISOWEEKNUM(INPUT!M4847),"")</f>
        <v>52</v>
      </c>
      <c r="D4852" s="20">
        <f>IFERROR(YEAR(INPUT!M4847),"")</f>
        <v>1900</v>
      </c>
      <c r="E4852" t="str">
        <f>IF(INPUT!O4847="","",INPUT!O4847)</f>
        <v/>
      </c>
      <c r="F4852" t="str">
        <f>IF(INPUT!N4847="","",INPUT!N4847)</f>
        <v/>
      </c>
      <c r="G4852" cm="1">
        <f t="array" ref="G4852">IFERROR(VLOOKUP(INPUT!M4847&amp;INPUT!N4847,CHOOSE({1,2},INPUT!$A$3:$A$5000&amp;INPUT!$C$3:$C$5000,INPUT!$F$3:$F$5000),2,FALSE),"")</f>
        <v>0</v>
      </c>
      <c r="H4852" cm="1">
        <f t="array" ref="H4852">IFERROR(VLOOKUP(INPUT!M4847&amp;INPUT!N4847,CHOOSE({1,2},INPUT!$A$3:$A$5000&amp;INPUT!$C$3:$C$5000,INPUT!$D$3:$D$5000),2,FALSE),"")</f>
        <v>0</v>
      </c>
      <c r="I4852" s="46" t="str">
        <f>IF(INPUT!P4847="","",INPUT!P4847)</f>
        <v/>
      </c>
      <c r="J4852" s="46" t="str">
        <f>IF(INPUT!Q4847="","",INPUT!Q4847)</f>
        <v/>
      </c>
      <c r="K4852" s="46" t="str">
        <f>IFERROR(IF(OR(INPUT!P4847="",INPUT!Q4847=""),"",INPUT!P4847-INPUT!Q4847),"")</f>
        <v/>
      </c>
      <c r="L4852" s="48" t="str">
        <f>IFERROR(IF(OR(INPUT!P4847="",INPUT!Q4847="",INPUT!P4847=0),"",(INPUT!P4847-INPUT!Q4847)/INPUT!P4847),"")</f>
        <v/>
      </c>
    </row>
    <row r="4853" spans="1:12" ht="18" hidden="1" customHeight="1" x14ac:dyDescent="0.2">
      <c r="A4853" s="11" t="str">
        <f>IF(INPUT!M4848="","",INPUT!M4848)</f>
        <v/>
      </c>
      <c r="B4853" s="11" t="str">
        <f>IF(INPUT!M4848="","",INPUT!M4848-WEEKDAY(INPUT!M4848,2)+1)</f>
        <v/>
      </c>
      <c r="C4853" s="20">
        <f>IFERROR(_xlfn.ISOWEEKNUM(INPUT!M4848),"")</f>
        <v>52</v>
      </c>
      <c r="D4853" s="20">
        <f>IFERROR(YEAR(INPUT!M4848),"")</f>
        <v>1900</v>
      </c>
      <c r="E4853" t="str">
        <f>IF(INPUT!O4848="","",INPUT!O4848)</f>
        <v/>
      </c>
      <c r="F4853" t="str">
        <f>IF(INPUT!N4848="","",INPUT!N4848)</f>
        <v/>
      </c>
      <c r="G4853" cm="1">
        <f t="array" ref="G4853">IFERROR(VLOOKUP(INPUT!M4848&amp;INPUT!N4848,CHOOSE({1,2},INPUT!$A$3:$A$5000&amp;INPUT!$C$3:$C$5000,INPUT!$F$3:$F$5000),2,FALSE),"")</f>
        <v>0</v>
      </c>
      <c r="H4853" cm="1">
        <f t="array" ref="H4853">IFERROR(VLOOKUP(INPUT!M4848&amp;INPUT!N4848,CHOOSE({1,2},INPUT!$A$3:$A$5000&amp;INPUT!$C$3:$C$5000,INPUT!$D$3:$D$5000),2,FALSE),"")</f>
        <v>0</v>
      </c>
      <c r="I4853" s="46" t="str">
        <f>IF(INPUT!P4848="","",INPUT!P4848)</f>
        <v/>
      </c>
      <c r="J4853" s="46" t="str">
        <f>IF(INPUT!Q4848="","",INPUT!Q4848)</f>
        <v/>
      </c>
      <c r="K4853" s="46" t="str">
        <f>IFERROR(IF(OR(INPUT!P4848="",INPUT!Q4848=""),"",INPUT!P4848-INPUT!Q4848),"")</f>
        <v/>
      </c>
      <c r="L4853" s="48" t="str">
        <f>IFERROR(IF(OR(INPUT!P4848="",INPUT!Q4848="",INPUT!P4848=0),"",(INPUT!P4848-INPUT!Q4848)/INPUT!P4848),"")</f>
        <v/>
      </c>
    </row>
    <row r="4854" spans="1:12" ht="18" hidden="1" customHeight="1" x14ac:dyDescent="0.2">
      <c r="A4854" s="11" t="str">
        <f>IF(INPUT!M4849="","",INPUT!M4849)</f>
        <v/>
      </c>
      <c r="B4854" s="11" t="str">
        <f>IF(INPUT!M4849="","",INPUT!M4849-WEEKDAY(INPUT!M4849,2)+1)</f>
        <v/>
      </c>
      <c r="C4854" s="20">
        <f>IFERROR(_xlfn.ISOWEEKNUM(INPUT!M4849),"")</f>
        <v>52</v>
      </c>
      <c r="D4854" s="20">
        <f>IFERROR(YEAR(INPUT!M4849),"")</f>
        <v>1900</v>
      </c>
      <c r="E4854" t="str">
        <f>IF(INPUT!O4849="","",INPUT!O4849)</f>
        <v/>
      </c>
      <c r="F4854" t="str">
        <f>IF(INPUT!N4849="","",INPUT!N4849)</f>
        <v/>
      </c>
      <c r="G4854" cm="1">
        <f t="array" ref="G4854">IFERROR(VLOOKUP(INPUT!M4849&amp;INPUT!N4849,CHOOSE({1,2},INPUT!$A$3:$A$5000&amp;INPUT!$C$3:$C$5000,INPUT!$F$3:$F$5000),2,FALSE),"")</f>
        <v>0</v>
      </c>
      <c r="H4854" cm="1">
        <f t="array" ref="H4854">IFERROR(VLOOKUP(INPUT!M4849&amp;INPUT!N4849,CHOOSE({1,2},INPUT!$A$3:$A$5000&amp;INPUT!$C$3:$C$5000,INPUT!$D$3:$D$5000),2,FALSE),"")</f>
        <v>0</v>
      </c>
      <c r="I4854" s="46" t="str">
        <f>IF(INPUT!P4849="","",INPUT!P4849)</f>
        <v/>
      </c>
      <c r="J4854" s="46" t="str">
        <f>IF(INPUT!Q4849="","",INPUT!Q4849)</f>
        <v/>
      </c>
      <c r="K4854" s="46" t="str">
        <f>IFERROR(IF(OR(INPUT!P4849="",INPUT!Q4849=""),"",INPUT!P4849-INPUT!Q4849),"")</f>
        <v/>
      </c>
      <c r="L4854" s="48" t="str">
        <f>IFERROR(IF(OR(INPUT!P4849="",INPUT!Q4849="",INPUT!P4849=0),"",(INPUT!P4849-INPUT!Q4849)/INPUT!P4849),"")</f>
        <v/>
      </c>
    </row>
    <row r="4855" spans="1:12" ht="18" hidden="1" customHeight="1" x14ac:dyDescent="0.2">
      <c r="A4855" s="11" t="str">
        <f>IF(INPUT!M4850="","",INPUT!M4850)</f>
        <v/>
      </c>
      <c r="B4855" s="11" t="str">
        <f>IF(INPUT!M4850="","",INPUT!M4850-WEEKDAY(INPUT!M4850,2)+1)</f>
        <v/>
      </c>
      <c r="C4855" s="20">
        <f>IFERROR(_xlfn.ISOWEEKNUM(INPUT!M4850),"")</f>
        <v>52</v>
      </c>
      <c r="D4855" s="20">
        <f>IFERROR(YEAR(INPUT!M4850),"")</f>
        <v>1900</v>
      </c>
      <c r="E4855" t="str">
        <f>IF(INPUT!O4850="","",INPUT!O4850)</f>
        <v/>
      </c>
      <c r="F4855" t="str">
        <f>IF(INPUT!N4850="","",INPUT!N4850)</f>
        <v/>
      </c>
      <c r="G4855" cm="1">
        <f t="array" ref="G4855">IFERROR(VLOOKUP(INPUT!M4850&amp;INPUT!N4850,CHOOSE({1,2},INPUT!$A$3:$A$5000&amp;INPUT!$C$3:$C$5000,INPUT!$F$3:$F$5000),2,FALSE),"")</f>
        <v>0</v>
      </c>
      <c r="H4855" cm="1">
        <f t="array" ref="H4855">IFERROR(VLOOKUP(INPUT!M4850&amp;INPUT!N4850,CHOOSE({1,2},INPUT!$A$3:$A$5000&amp;INPUT!$C$3:$C$5000,INPUT!$D$3:$D$5000),2,FALSE),"")</f>
        <v>0</v>
      </c>
      <c r="I4855" s="46" t="str">
        <f>IF(INPUT!P4850="","",INPUT!P4850)</f>
        <v/>
      </c>
      <c r="J4855" s="46" t="str">
        <f>IF(INPUT!Q4850="","",INPUT!Q4850)</f>
        <v/>
      </c>
      <c r="K4855" s="46" t="str">
        <f>IFERROR(IF(OR(INPUT!P4850="",INPUT!Q4850=""),"",INPUT!P4850-INPUT!Q4850),"")</f>
        <v/>
      </c>
      <c r="L4855" s="48" t="str">
        <f>IFERROR(IF(OR(INPUT!P4850="",INPUT!Q4850="",INPUT!P4850=0),"",(INPUT!P4850-INPUT!Q4850)/INPUT!P4850),"")</f>
        <v/>
      </c>
    </row>
    <row r="4856" spans="1:12" ht="18" hidden="1" customHeight="1" x14ac:dyDescent="0.2">
      <c r="A4856" s="11" t="str">
        <f>IF(INPUT!M4851="","",INPUT!M4851)</f>
        <v/>
      </c>
      <c r="B4856" s="11" t="str">
        <f>IF(INPUT!M4851="","",INPUT!M4851-WEEKDAY(INPUT!M4851,2)+1)</f>
        <v/>
      </c>
      <c r="C4856" s="20">
        <f>IFERROR(_xlfn.ISOWEEKNUM(INPUT!M4851),"")</f>
        <v>52</v>
      </c>
      <c r="D4856" s="20">
        <f>IFERROR(YEAR(INPUT!M4851),"")</f>
        <v>1900</v>
      </c>
      <c r="E4856" t="str">
        <f>IF(INPUT!O4851="","",INPUT!O4851)</f>
        <v/>
      </c>
      <c r="F4856" t="str">
        <f>IF(INPUT!N4851="","",INPUT!N4851)</f>
        <v/>
      </c>
      <c r="G4856" cm="1">
        <f t="array" ref="G4856">IFERROR(VLOOKUP(INPUT!M4851&amp;INPUT!N4851,CHOOSE({1,2},INPUT!$A$3:$A$5000&amp;INPUT!$C$3:$C$5000,INPUT!$F$3:$F$5000),2,FALSE),"")</f>
        <v>0</v>
      </c>
      <c r="H4856" cm="1">
        <f t="array" ref="H4856">IFERROR(VLOOKUP(INPUT!M4851&amp;INPUT!N4851,CHOOSE({1,2},INPUT!$A$3:$A$5000&amp;INPUT!$C$3:$C$5000,INPUT!$D$3:$D$5000),2,FALSE),"")</f>
        <v>0</v>
      </c>
      <c r="I4856" s="46" t="str">
        <f>IF(INPUT!P4851="","",INPUT!P4851)</f>
        <v/>
      </c>
      <c r="J4856" s="46" t="str">
        <f>IF(INPUT!Q4851="","",INPUT!Q4851)</f>
        <v/>
      </c>
      <c r="K4856" s="46" t="str">
        <f>IFERROR(IF(OR(INPUT!P4851="",INPUT!Q4851=""),"",INPUT!P4851-INPUT!Q4851),"")</f>
        <v/>
      </c>
      <c r="L4856" s="48" t="str">
        <f>IFERROR(IF(OR(INPUT!P4851="",INPUT!Q4851="",INPUT!P4851=0),"",(INPUT!P4851-INPUT!Q4851)/INPUT!P4851),"")</f>
        <v/>
      </c>
    </row>
    <row r="4857" spans="1:12" ht="18" hidden="1" customHeight="1" x14ac:dyDescent="0.2">
      <c r="A4857" s="11" t="str">
        <f>IF(INPUT!M4852="","",INPUT!M4852)</f>
        <v/>
      </c>
      <c r="B4857" s="11" t="str">
        <f>IF(INPUT!M4852="","",INPUT!M4852-WEEKDAY(INPUT!M4852,2)+1)</f>
        <v/>
      </c>
      <c r="C4857" s="20">
        <f>IFERROR(_xlfn.ISOWEEKNUM(INPUT!M4852),"")</f>
        <v>52</v>
      </c>
      <c r="D4857" s="20">
        <f>IFERROR(YEAR(INPUT!M4852),"")</f>
        <v>1900</v>
      </c>
      <c r="E4857" t="str">
        <f>IF(INPUT!O4852="","",INPUT!O4852)</f>
        <v/>
      </c>
      <c r="F4857" t="str">
        <f>IF(INPUT!N4852="","",INPUT!N4852)</f>
        <v/>
      </c>
      <c r="G4857" cm="1">
        <f t="array" ref="G4857">IFERROR(VLOOKUP(INPUT!M4852&amp;INPUT!N4852,CHOOSE({1,2},INPUT!$A$3:$A$5000&amp;INPUT!$C$3:$C$5000,INPUT!$F$3:$F$5000),2,FALSE),"")</f>
        <v>0</v>
      </c>
      <c r="H4857" cm="1">
        <f t="array" ref="H4857">IFERROR(VLOOKUP(INPUT!M4852&amp;INPUT!N4852,CHOOSE({1,2},INPUT!$A$3:$A$5000&amp;INPUT!$C$3:$C$5000,INPUT!$D$3:$D$5000),2,FALSE),"")</f>
        <v>0</v>
      </c>
      <c r="I4857" s="46" t="str">
        <f>IF(INPUT!P4852="","",INPUT!P4852)</f>
        <v/>
      </c>
      <c r="J4857" s="46" t="str">
        <f>IF(INPUT!Q4852="","",INPUT!Q4852)</f>
        <v/>
      </c>
      <c r="K4857" s="46" t="str">
        <f>IFERROR(IF(OR(INPUT!P4852="",INPUT!Q4852=""),"",INPUT!P4852-INPUT!Q4852),"")</f>
        <v/>
      </c>
      <c r="L4857" s="48" t="str">
        <f>IFERROR(IF(OR(INPUT!P4852="",INPUT!Q4852="",INPUT!P4852=0),"",(INPUT!P4852-INPUT!Q4852)/INPUT!P4852),"")</f>
        <v/>
      </c>
    </row>
    <row r="4858" spans="1:12" ht="18" hidden="1" customHeight="1" x14ac:dyDescent="0.2">
      <c r="A4858" s="11" t="str">
        <f>IF(INPUT!M4853="","",INPUT!M4853)</f>
        <v/>
      </c>
      <c r="B4858" s="11" t="str">
        <f>IF(INPUT!M4853="","",INPUT!M4853-WEEKDAY(INPUT!M4853,2)+1)</f>
        <v/>
      </c>
      <c r="C4858" s="20">
        <f>IFERROR(_xlfn.ISOWEEKNUM(INPUT!M4853),"")</f>
        <v>52</v>
      </c>
      <c r="D4858" s="20">
        <f>IFERROR(YEAR(INPUT!M4853),"")</f>
        <v>1900</v>
      </c>
      <c r="E4858" t="str">
        <f>IF(INPUT!O4853="","",INPUT!O4853)</f>
        <v/>
      </c>
      <c r="F4858" t="str">
        <f>IF(INPUT!N4853="","",INPUT!N4853)</f>
        <v/>
      </c>
      <c r="G4858" cm="1">
        <f t="array" ref="G4858">IFERROR(VLOOKUP(INPUT!M4853&amp;INPUT!N4853,CHOOSE({1,2},INPUT!$A$3:$A$5000&amp;INPUT!$C$3:$C$5000,INPUT!$F$3:$F$5000),2,FALSE),"")</f>
        <v>0</v>
      </c>
      <c r="H4858" cm="1">
        <f t="array" ref="H4858">IFERROR(VLOOKUP(INPUT!M4853&amp;INPUT!N4853,CHOOSE({1,2},INPUT!$A$3:$A$5000&amp;INPUT!$C$3:$C$5000,INPUT!$D$3:$D$5000),2,FALSE),"")</f>
        <v>0</v>
      </c>
      <c r="I4858" s="46" t="str">
        <f>IF(INPUT!P4853="","",INPUT!P4853)</f>
        <v/>
      </c>
      <c r="J4858" s="46" t="str">
        <f>IF(INPUT!Q4853="","",INPUT!Q4853)</f>
        <v/>
      </c>
      <c r="K4858" s="46" t="str">
        <f>IFERROR(IF(OR(INPUT!P4853="",INPUT!Q4853=""),"",INPUT!P4853-INPUT!Q4853),"")</f>
        <v/>
      </c>
      <c r="L4858" s="48" t="str">
        <f>IFERROR(IF(OR(INPUT!P4853="",INPUT!Q4853="",INPUT!P4853=0),"",(INPUT!P4853-INPUT!Q4853)/INPUT!P4853),"")</f>
        <v/>
      </c>
    </row>
    <row r="4859" spans="1:12" ht="18" hidden="1" customHeight="1" x14ac:dyDescent="0.2">
      <c r="A4859" s="11" t="str">
        <f>IF(INPUT!M4854="","",INPUT!M4854)</f>
        <v/>
      </c>
      <c r="B4859" s="11" t="str">
        <f>IF(INPUT!M4854="","",INPUT!M4854-WEEKDAY(INPUT!M4854,2)+1)</f>
        <v/>
      </c>
      <c r="C4859" s="20">
        <f>IFERROR(_xlfn.ISOWEEKNUM(INPUT!M4854),"")</f>
        <v>52</v>
      </c>
      <c r="D4859" s="20">
        <f>IFERROR(YEAR(INPUT!M4854),"")</f>
        <v>1900</v>
      </c>
      <c r="E4859" t="str">
        <f>IF(INPUT!O4854="","",INPUT!O4854)</f>
        <v/>
      </c>
      <c r="F4859" t="str">
        <f>IF(INPUT!N4854="","",INPUT!N4854)</f>
        <v/>
      </c>
      <c r="G4859" cm="1">
        <f t="array" ref="G4859">IFERROR(VLOOKUP(INPUT!M4854&amp;INPUT!N4854,CHOOSE({1,2},INPUT!$A$3:$A$5000&amp;INPUT!$C$3:$C$5000,INPUT!$F$3:$F$5000),2,FALSE),"")</f>
        <v>0</v>
      </c>
      <c r="H4859" cm="1">
        <f t="array" ref="H4859">IFERROR(VLOOKUP(INPUT!M4854&amp;INPUT!N4854,CHOOSE({1,2},INPUT!$A$3:$A$5000&amp;INPUT!$C$3:$C$5000,INPUT!$D$3:$D$5000),2,FALSE),"")</f>
        <v>0</v>
      </c>
      <c r="I4859" s="46" t="str">
        <f>IF(INPUT!P4854="","",INPUT!P4854)</f>
        <v/>
      </c>
      <c r="J4859" s="46" t="str">
        <f>IF(INPUT!Q4854="","",INPUT!Q4854)</f>
        <v/>
      </c>
      <c r="K4859" s="46" t="str">
        <f>IFERROR(IF(OR(INPUT!P4854="",INPUT!Q4854=""),"",INPUT!P4854-INPUT!Q4854),"")</f>
        <v/>
      </c>
      <c r="L4859" s="48" t="str">
        <f>IFERROR(IF(OR(INPUT!P4854="",INPUT!Q4854="",INPUT!P4854=0),"",(INPUT!P4854-INPUT!Q4854)/INPUT!P4854),"")</f>
        <v/>
      </c>
    </row>
    <row r="4860" spans="1:12" ht="18" hidden="1" customHeight="1" x14ac:dyDescent="0.2">
      <c r="A4860" s="11" t="str">
        <f>IF(INPUT!M4855="","",INPUT!M4855)</f>
        <v/>
      </c>
      <c r="B4860" s="11" t="str">
        <f>IF(INPUT!M4855="","",INPUT!M4855-WEEKDAY(INPUT!M4855,2)+1)</f>
        <v/>
      </c>
      <c r="C4860" s="20">
        <f>IFERROR(_xlfn.ISOWEEKNUM(INPUT!M4855),"")</f>
        <v>52</v>
      </c>
      <c r="D4860" s="20">
        <f>IFERROR(YEAR(INPUT!M4855),"")</f>
        <v>1900</v>
      </c>
      <c r="E4860" t="str">
        <f>IF(INPUT!O4855="","",INPUT!O4855)</f>
        <v/>
      </c>
      <c r="F4860" t="str">
        <f>IF(INPUT!N4855="","",INPUT!N4855)</f>
        <v/>
      </c>
      <c r="G4860" cm="1">
        <f t="array" ref="G4860">IFERROR(VLOOKUP(INPUT!M4855&amp;INPUT!N4855,CHOOSE({1,2},INPUT!$A$3:$A$5000&amp;INPUT!$C$3:$C$5000,INPUT!$F$3:$F$5000),2,FALSE),"")</f>
        <v>0</v>
      </c>
      <c r="H4860" cm="1">
        <f t="array" ref="H4860">IFERROR(VLOOKUP(INPUT!M4855&amp;INPUT!N4855,CHOOSE({1,2},INPUT!$A$3:$A$5000&amp;INPUT!$C$3:$C$5000,INPUT!$D$3:$D$5000),2,FALSE),"")</f>
        <v>0</v>
      </c>
      <c r="I4860" s="46" t="str">
        <f>IF(INPUT!P4855="","",INPUT!P4855)</f>
        <v/>
      </c>
      <c r="J4860" s="46" t="str">
        <f>IF(INPUT!Q4855="","",INPUT!Q4855)</f>
        <v/>
      </c>
      <c r="K4860" s="46" t="str">
        <f>IFERROR(IF(OR(INPUT!P4855="",INPUT!Q4855=""),"",INPUT!P4855-INPUT!Q4855),"")</f>
        <v/>
      </c>
      <c r="L4860" s="48" t="str">
        <f>IFERROR(IF(OR(INPUT!P4855="",INPUT!Q4855="",INPUT!P4855=0),"",(INPUT!P4855-INPUT!Q4855)/INPUT!P4855),"")</f>
        <v/>
      </c>
    </row>
    <row r="4861" spans="1:12" ht="18" hidden="1" customHeight="1" x14ac:dyDescent="0.2">
      <c r="A4861" s="11" t="str">
        <f>IF(INPUT!M4856="","",INPUT!M4856)</f>
        <v/>
      </c>
      <c r="B4861" s="11" t="str">
        <f>IF(INPUT!M4856="","",INPUT!M4856-WEEKDAY(INPUT!M4856,2)+1)</f>
        <v/>
      </c>
      <c r="C4861" s="20">
        <f>IFERROR(_xlfn.ISOWEEKNUM(INPUT!M4856),"")</f>
        <v>52</v>
      </c>
      <c r="D4861" s="20">
        <f>IFERROR(YEAR(INPUT!M4856),"")</f>
        <v>1900</v>
      </c>
      <c r="E4861" t="str">
        <f>IF(INPUT!O4856="","",INPUT!O4856)</f>
        <v/>
      </c>
      <c r="F4861" t="str">
        <f>IF(INPUT!N4856="","",INPUT!N4856)</f>
        <v/>
      </c>
      <c r="G4861" cm="1">
        <f t="array" ref="G4861">IFERROR(VLOOKUP(INPUT!M4856&amp;INPUT!N4856,CHOOSE({1,2},INPUT!$A$3:$A$5000&amp;INPUT!$C$3:$C$5000,INPUT!$F$3:$F$5000),2,FALSE),"")</f>
        <v>0</v>
      </c>
      <c r="H4861" cm="1">
        <f t="array" ref="H4861">IFERROR(VLOOKUP(INPUT!M4856&amp;INPUT!N4856,CHOOSE({1,2},INPUT!$A$3:$A$5000&amp;INPUT!$C$3:$C$5000,INPUT!$D$3:$D$5000),2,FALSE),"")</f>
        <v>0</v>
      </c>
      <c r="I4861" s="46" t="str">
        <f>IF(INPUT!P4856="","",INPUT!P4856)</f>
        <v/>
      </c>
      <c r="J4861" s="46" t="str">
        <f>IF(INPUT!Q4856="","",INPUT!Q4856)</f>
        <v/>
      </c>
      <c r="K4861" s="46" t="str">
        <f>IFERROR(IF(OR(INPUT!P4856="",INPUT!Q4856=""),"",INPUT!P4856-INPUT!Q4856),"")</f>
        <v/>
      </c>
      <c r="L4861" s="48" t="str">
        <f>IFERROR(IF(OR(INPUT!P4856="",INPUT!Q4856="",INPUT!P4856=0),"",(INPUT!P4856-INPUT!Q4856)/INPUT!P4856),"")</f>
        <v/>
      </c>
    </row>
    <row r="4862" spans="1:12" ht="18" hidden="1" customHeight="1" x14ac:dyDescent="0.2">
      <c r="A4862" s="11" t="str">
        <f>IF(INPUT!M4857="","",INPUT!M4857)</f>
        <v/>
      </c>
      <c r="B4862" s="11" t="str">
        <f>IF(INPUT!M4857="","",INPUT!M4857-WEEKDAY(INPUT!M4857,2)+1)</f>
        <v/>
      </c>
      <c r="C4862" s="20">
        <f>IFERROR(_xlfn.ISOWEEKNUM(INPUT!M4857),"")</f>
        <v>52</v>
      </c>
      <c r="D4862" s="20">
        <f>IFERROR(YEAR(INPUT!M4857),"")</f>
        <v>1900</v>
      </c>
      <c r="E4862" t="str">
        <f>IF(INPUT!O4857="","",INPUT!O4857)</f>
        <v/>
      </c>
      <c r="F4862" t="str">
        <f>IF(INPUT!N4857="","",INPUT!N4857)</f>
        <v/>
      </c>
      <c r="G4862" cm="1">
        <f t="array" ref="G4862">IFERROR(VLOOKUP(INPUT!M4857&amp;INPUT!N4857,CHOOSE({1,2},INPUT!$A$3:$A$5000&amp;INPUT!$C$3:$C$5000,INPUT!$F$3:$F$5000),2,FALSE),"")</f>
        <v>0</v>
      </c>
      <c r="H4862" cm="1">
        <f t="array" ref="H4862">IFERROR(VLOOKUP(INPUT!M4857&amp;INPUT!N4857,CHOOSE({1,2},INPUT!$A$3:$A$5000&amp;INPUT!$C$3:$C$5000,INPUT!$D$3:$D$5000),2,FALSE),"")</f>
        <v>0</v>
      </c>
      <c r="I4862" s="46" t="str">
        <f>IF(INPUT!P4857="","",INPUT!P4857)</f>
        <v/>
      </c>
      <c r="J4862" s="46" t="str">
        <f>IF(INPUT!Q4857="","",INPUT!Q4857)</f>
        <v/>
      </c>
      <c r="K4862" s="46" t="str">
        <f>IFERROR(IF(OR(INPUT!P4857="",INPUT!Q4857=""),"",INPUT!P4857-INPUT!Q4857),"")</f>
        <v/>
      </c>
      <c r="L4862" s="48" t="str">
        <f>IFERROR(IF(OR(INPUT!P4857="",INPUT!Q4857="",INPUT!P4857=0),"",(INPUT!P4857-INPUT!Q4857)/INPUT!P4857),"")</f>
        <v/>
      </c>
    </row>
    <row r="4863" spans="1:12" ht="18" hidden="1" customHeight="1" x14ac:dyDescent="0.2">
      <c r="A4863" s="11" t="str">
        <f>IF(INPUT!M4858="","",INPUT!M4858)</f>
        <v/>
      </c>
      <c r="B4863" s="11" t="str">
        <f>IF(INPUT!M4858="","",INPUT!M4858-WEEKDAY(INPUT!M4858,2)+1)</f>
        <v/>
      </c>
      <c r="C4863" s="20">
        <f>IFERROR(_xlfn.ISOWEEKNUM(INPUT!M4858),"")</f>
        <v>52</v>
      </c>
      <c r="D4863" s="20">
        <f>IFERROR(YEAR(INPUT!M4858),"")</f>
        <v>1900</v>
      </c>
      <c r="E4863" t="str">
        <f>IF(INPUT!O4858="","",INPUT!O4858)</f>
        <v/>
      </c>
      <c r="F4863" t="str">
        <f>IF(INPUT!N4858="","",INPUT!N4858)</f>
        <v/>
      </c>
      <c r="G4863" cm="1">
        <f t="array" ref="G4863">IFERROR(VLOOKUP(INPUT!M4858&amp;INPUT!N4858,CHOOSE({1,2},INPUT!$A$3:$A$5000&amp;INPUT!$C$3:$C$5000,INPUT!$F$3:$F$5000),2,FALSE),"")</f>
        <v>0</v>
      </c>
      <c r="H4863" cm="1">
        <f t="array" ref="H4863">IFERROR(VLOOKUP(INPUT!M4858&amp;INPUT!N4858,CHOOSE({1,2},INPUT!$A$3:$A$5000&amp;INPUT!$C$3:$C$5000,INPUT!$D$3:$D$5000),2,FALSE),"")</f>
        <v>0</v>
      </c>
      <c r="I4863" s="46" t="str">
        <f>IF(INPUT!P4858="","",INPUT!P4858)</f>
        <v/>
      </c>
      <c r="J4863" s="46" t="str">
        <f>IF(INPUT!Q4858="","",INPUT!Q4858)</f>
        <v/>
      </c>
      <c r="K4863" s="46" t="str">
        <f>IFERROR(IF(OR(INPUT!P4858="",INPUT!Q4858=""),"",INPUT!P4858-INPUT!Q4858),"")</f>
        <v/>
      </c>
      <c r="L4863" s="48" t="str">
        <f>IFERROR(IF(OR(INPUT!P4858="",INPUT!Q4858="",INPUT!P4858=0),"",(INPUT!P4858-INPUT!Q4858)/INPUT!P4858),"")</f>
        <v/>
      </c>
    </row>
    <row r="4864" spans="1:12" ht="18" hidden="1" customHeight="1" x14ac:dyDescent="0.2">
      <c r="A4864" s="11" t="str">
        <f>IF(INPUT!M4859="","",INPUT!M4859)</f>
        <v/>
      </c>
      <c r="B4864" s="11" t="str">
        <f>IF(INPUT!M4859="","",INPUT!M4859-WEEKDAY(INPUT!M4859,2)+1)</f>
        <v/>
      </c>
      <c r="C4864" s="20">
        <f>IFERROR(_xlfn.ISOWEEKNUM(INPUT!M4859),"")</f>
        <v>52</v>
      </c>
      <c r="D4864" s="20">
        <f>IFERROR(YEAR(INPUT!M4859),"")</f>
        <v>1900</v>
      </c>
      <c r="E4864" t="str">
        <f>IF(INPUT!O4859="","",INPUT!O4859)</f>
        <v/>
      </c>
      <c r="F4864" t="str">
        <f>IF(INPUT!N4859="","",INPUT!N4859)</f>
        <v/>
      </c>
      <c r="G4864" cm="1">
        <f t="array" ref="G4864">IFERROR(VLOOKUP(INPUT!M4859&amp;INPUT!N4859,CHOOSE({1,2},INPUT!$A$3:$A$5000&amp;INPUT!$C$3:$C$5000,INPUT!$F$3:$F$5000),2,FALSE),"")</f>
        <v>0</v>
      </c>
      <c r="H4864" cm="1">
        <f t="array" ref="H4864">IFERROR(VLOOKUP(INPUT!M4859&amp;INPUT!N4859,CHOOSE({1,2},INPUT!$A$3:$A$5000&amp;INPUT!$C$3:$C$5000,INPUT!$D$3:$D$5000),2,FALSE),"")</f>
        <v>0</v>
      </c>
      <c r="I4864" s="46" t="str">
        <f>IF(INPUT!P4859="","",INPUT!P4859)</f>
        <v/>
      </c>
      <c r="J4864" s="46" t="str">
        <f>IF(INPUT!Q4859="","",INPUT!Q4859)</f>
        <v/>
      </c>
      <c r="K4864" s="46" t="str">
        <f>IFERROR(IF(OR(INPUT!P4859="",INPUT!Q4859=""),"",INPUT!P4859-INPUT!Q4859),"")</f>
        <v/>
      </c>
      <c r="L4864" s="48" t="str">
        <f>IFERROR(IF(OR(INPUT!P4859="",INPUT!Q4859="",INPUT!P4859=0),"",(INPUT!P4859-INPUT!Q4859)/INPUT!P4859),"")</f>
        <v/>
      </c>
    </row>
    <row r="4865" spans="1:12" ht="18" hidden="1" customHeight="1" x14ac:dyDescent="0.2">
      <c r="A4865" s="11" t="str">
        <f>IF(INPUT!M4860="","",INPUT!M4860)</f>
        <v/>
      </c>
      <c r="B4865" s="11" t="str">
        <f>IF(INPUT!M4860="","",INPUT!M4860-WEEKDAY(INPUT!M4860,2)+1)</f>
        <v/>
      </c>
      <c r="C4865" s="20">
        <f>IFERROR(_xlfn.ISOWEEKNUM(INPUT!M4860),"")</f>
        <v>52</v>
      </c>
      <c r="D4865" s="20">
        <f>IFERROR(YEAR(INPUT!M4860),"")</f>
        <v>1900</v>
      </c>
      <c r="E4865" t="str">
        <f>IF(INPUT!O4860="","",INPUT!O4860)</f>
        <v/>
      </c>
      <c r="F4865" t="str">
        <f>IF(INPUT!N4860="","",INPUT!N4860)</f>
        <v/>
      </c>
      <c r="G4865" cm="1">
        <f t="array" ref="G4865">IFERROR(VLOOKUP(INPUT!M4860&amp;INPUT!N4860,CHOOSE({1,2},INPUT!$A$3:$A$5000&amp;INPUT!$C$3:$C$5000,INPUT!$F$3:$F$5000),2,FALSE),"")</f>
        <v>0</v>
      </c>
      <c r="H4865" cm="1">
        <f t="array" ref="H4865">IFERROR(VLOOKUP(INPUT!M4860&amp;INPUT!N4860,CHOOSE({1,2},INPUT!$A$3:$A$5000&amp;INPUT!$C$3:$C$5000,INPUT!$D$3:$D$5000),2,FALSE),"")</f>
        <v>0</v>
      </c>
      <c r="I4865" s="46" t="str">
        <f>IF(INPUT!P4860="","",INPUT!P4860)</f>
        <v/>
      </c>
      <c r="J4865" s="46" t="str">
        <f>IF(INPUT!Q4860="","",INPUT!Q4860)</f>
        <v/>
      </c>
      <c r="K4865" s="46" t="str">
        <f>IFERROR(IF(OR(INPUT!P4860="",INPUT!Q4860=""),"",INPUT!P4860-INPUT!Q4860),"")</f>
        <v/>
      </c>
      <c r="L4865" s="48" t="str">
        <f>IFERROR(IF(OR(INPUT!P4860="",INPUT!Q4860="",INPUT!P4860=0),"",(INPUT!P4860-INPUT!Q4860)/INPUT!P4860),"")</f>
        <v/>
      </c>
    </row>
    <row r="4866" spans="1:12" ht="18" hidden="1" customHeight="1" x14ac:dyDescent="0.2">
      <c r="A4866" s="11" t="str">
        <f>IF(INPUT!M4861="","",INPUT!M4861)</f>
        <v/>
      </c>
      <c r="B4866" s="11" t="str">
        <f>IF(INPUT!M4861="","",INPUT!M4861-WEEKDAY(INPUT!M4861,2)+1)</f>
        <v/>
      </c>
      <c r="C4866" s="20">
        <f>IFERROR(_xlfn.ISOWEEKNUM(INPUT!M4861),"")</f>
        <v>52</v>
      </c>
      <c r="D4866" s="20">
        <f>IFERROR(YEAR(INPUT!M4861),"")</f>
        <v>1900</v>
      </c>
      <c r="E4866" t="str">
        <f>IF(INPUT!O4861="","",INPUT!O4861)</f>
        <v/>
      </c>
      <c r="F4866" t="str">
        <f>IF(INPUT!N4861="","",INPUT!N4861)</f>
        <v/>
      </c>
      <c r="G4866" cm="1">
        <f t="array" ref="G4866">IFERROR(VLOOKUP(INPUT!M4861&amp;INPUT!N4861,CHOOSE({1,2},INPUT!$A$3:$A$5000&amp;INPUT!$C$3:$C$5000,INPUT!$F$3:$F$5000),2,FALSE),"")</f>
        <v>0</v>
      </c>
      <c r="H4866" cm="1">
        <f t="array" ref="H4866">IFERROR(VLOOKUP(INPUT!M4861&amp;INPUT!N4861,CHOOSE({1,2},INPUT!$A$3:$A$5000&amp;INPUT!$C$3:$C$5000,INPUT!$D$3:$D$5000),2,FALSE),"")</f>
        <v>0</v>
      </c>
      <c r="I4866" s="46" t="str">
        <f>IF(INPUT!P4861="","",INPUT!P4861)</f>
        <v/>
      </c>
      <c r="J4866" s="46" t="str">
        <f>IF(INPUT!Q4861="","",INPUT!Q4861)</f>
        <v/>
      </c>
      <c r="K4866" s="46" t="str">
        <f>IFERROR(IF(OR(INPUT!P4861="",INPUT!Q4861=""),"",INPUT!P4861-INPUT!Q4861),"")</f>
        <v/>
      </c>
      <c r="L4866" s="48" t="str">
        <f>IFERROR(IF(OR(INPUT!P4861="",INPUT!Q4861="",INPUT!P4861=0),"",(INPUT!P4861-INPUT!Q4861)/INPUT!P4861),"")</f>
        <v/>
      </c>
    </row>
    <row r="4867" spans="1:12" ht="18" hidden="1" customHeight="1" x14ac:dyDescent="0.2">
      <c r="A4867" s="11" t="str">
        <f>IF(INPUT!M4862="","",INPUT!M4862)</f>
        <v/>
      </c>
      <c r="B4867" s="11" t="str">
        <f>IF(INPUT!M4862="","",INPUT!M4862-WEEKDAY(INPUT!M4862,2)+1)</f>
        <v/>
      </c>
      <c r="C4867" s="20">
        <f>IFERROR(_xlfn.ISOWEEKNUM(INPUT!M4862),"")</f>
        <v>52</v>
      </c>
      <c r="D4867" s="20">
        <f>IFERROR(YEAR(INPUT!M4862),"")</f>
        <v>1900</v>
      </c>
      <c r="E4867" t="str">
        <f>IF(INPUT!O4862="","",INPUT!O4862)</f>
        <v/>
      </c>
      <c r="F4867" t="str">
        <f>IF(INPUT!N4862="","",INPUT!N4862)</f>
        <v/>
      </c>
      <c r="G4867" cm="1">
        <f t="array" ref="G4867">IFERROR(VLOOKUP(INPUT!M4862&amp;INPUT!N4862,CHOOSE({1,2},INPUT!$A$3:$A$5000&amp;INPUT!$C$3:$C$5000,INPUT!$F$3:$F$5000),2,FALSE),"")</f>
        <v>0</v>
      </c>
      <c r="H4867" cm="1">
        <f t="array" ref="H4867">IFERROR(VLOOKUP(INPUT!M4862&amp;INPUT!N4862,CHOOSE({1,2},INPUT!$A$3:$A$5000&amp;INPUT!$C$3:$C$5000,INPUT!$D$3:$D$5000),2,FALSE),"")</f>
        <v>0</v>
      </c>
      <c r="I4867" s="46" t="str">
        <f>IF(INPUT!P4862="","",INPUT!P4862)</f>
        <v/>
      </c>
      <c r="J4867" s="46" t="str">
        <f>IF(INPUT!Q4862="","",INPUT!Q4862)</f>
        <v/>
      </c>
      <c r="K4867" s="46" t="str">
        <f>IFERROR(IF(OR(INPUT!P4862="",INPUT!Q4862=""),"",INPUT!P4862-INPUT!Q4862),"")</f>
        <v/>
      </c>
      <c r="L4867" s="48" t="str">
        <f>IFERROR(IF(OR(INPUT!P4862="",INPUT!Q4862="",INPUT!P4862=0),"",(INPUT!P4862-INPUT!Q4862)/INPUT!P4862),"")</f>
        <v/>
      </c>
    </row>
    <row r="4868" spans="1:12" ht="18" hidden="1" customHeight="1" x14ac:dyDescent="0.2">
      <c r="A4868" s="11" t="str">
        <f>IF(INPUT!M4863="","",INPUT!M4863)</f>
        <v/>
      </c>
      <c r="B4868" s="11" t="str">
        <f>IF(INPUT!M4863="","",INPUT!M4863-WEEKDAY(INPUT!M4863,2)+1)</f>
        <v/>
      </c>
      <c r="C4868" s="20">
        <f>IFERROR(_xlfn.ISOWEEKNUM(INPUT!M4863),"")</f>
        <v>52</v>
      </c>
      <c r="D4868" s="20">
        <f>IFERROR(YEAR(INPUT!M4863),"")</f>
        <v>1900</v>
      </c>
      <c r="E4868" t="str">
        <f>IF(INPUT!O4863="","",INPUT!O4863)</f>
        <v/>
      </c>
      <c r="F4868" t="str">
        <f>IF(INPUT!N4863="","",INPUT!N4863)</f>
        <v/>
      </c>
      <c r="G4868" cm="1">
        <f t="array" ref="G4868">IFERROR(VLOOKUP(INPUT!M4863&amp;INPUT!N4863,CHOOSE({1,2},INPUT!$A$3:$A$5000&amp;INPUT!$C$3:$C$5000,INPUT!$F$3:$F$5000),2,FALSE),"")</f>
        <v>0</v>
      </c>
      <c r="H4868" cm="1">
        <f t="array" ref="H4868">IFERROR(VLOOKUP(INPUT!M4863&amp;INPUT!N4863,CHOOSE({1,2},INPUT!$A$3:$A$5000&amp;INPUT!$C$3:$C$5000,INPUT!$D$3:$D$5000),2,FALSE),"")</f>
        <v>0</v>
      </c>
      <c r="I4868" s="46" t="str">
        <f>IF(INPUT!P4863="","",INPUT!P4863)</f>
        <v/>
      </c>
      <c r="J4868" s="46" t="str">
        <f>IF(INPUT!Q4863="","",INPUT!Q4863)</f>
        <v/>
      </c>
      <c r="K4868" s="46" t="str">
        <f>IFERROR(IF(OR(INPUT!P4863="",INPUT!Q4863=""),"",INPUT!P4863-INPUT!Q4863),"")</f>
        <v/>
      </c>
      <c r="L4868" s="48" t="str">
        <f>IFERROR(IF(OR(INPUT!P4863="",INPUT!Q4863="",INPUT!P4863=0),"",(INPUT!P4863-INPUT!Q4863)/INPUT!P4863),"")</f>
        <v/>
      </c>
    </row>
    <row r="4869" spans="1:12" ht="18" hidden="1" customHeight="1" x14ac:dyDescent="0.2">
      <c r="A4869" s="11" t="str">
        <f>IF(INPUT!M4864="","",INPUT!M4864)</f>
        <v/>
      </c>
      <c r="B4869" s="11" t="str">
        <f>IF(INPUT!M4864="","",INPUT!M4864-WEEKDAY(INPUT!M4864,2)+1)</f>
        <v/>
      </c>
      <c r="C4869" s="20">
        <f>IFERROR(_xlfn.ISOWEEKNUM(INPUT!M4864),"")</f>
        <v>52</v>
      </c>
      <c r="D4869" s="20">
        <f>IFERROR(YEAR(INPUT!M4864),"")</f>
        <v>1900</v>
      </c>
      <c r="E4869" t="str">
        <f>IF(INPUT!O4864="","",INPUT!O4864)</f>
        <v/>
      </c>
      <c r="F4869" t="str">
        <f>IF(INPUT!N4864="","",INPUT!N4864)</f>
        <v/>
      </c>
      <c r="G4869" cm="1">
        <f t="array" ref="G4869">IFERROR(VLOOKUP(INPUT!M4864&amp;INPUT!N4864,CHOOSE({1,2},INPUT!$A$3:$A$5000&amp;INPUT!$C$3:$C$5000,INPUT!$F$3:$F$5000),2,FALSE),"")</f>
        <v>0</v>
      </c>
      <c r="H4869" cm="1">
        <f t="array" ref="H4869">IFERROR(VLOOKUP(INPUT!M4864&amp;INPUT!N4864,CHOOSE({1,2},INPUT!$A$3:$A$5000&amp;INPUT!$C$3:$C$5000,INPUT!$D$3:$D$5000),2,FALSE),"")</f>
        <v>0</v>
      </c>
      <c r="I4869" s="46" t="str">
        <f>IF(INPUT!P4864="","",INPUT!P4864)</f>
        <v/>
      </c>
      <c r="J4869" s="46" t="str">
        <f>IF(INPUT!Q4864="","",INPUT!Q4864)</f>
        <v/>
      </c>
      <c r="K4869" s="46" t="str">
        <f>IFERROR(IF(OR(INPUT!P4864="",INPUT!Q4864=""),"",INPUT!P4864-INPUT!Q4864),"")</f>
        <v/>
      </c>
      <c r="L4869" s="48" t="str">
        <f>IFERROR(IF(OR(INPUT!P4864="",INPUT!Q4864="",INPUT!P4864=0),"",(INPUT!P4864-INPUT!Q4864)/INPUT!P4864),"")</f>
        <v/>
      </c>
    </row>
    <row r="4870" spans="1:12" ht="18" hidden="1" customHeight="1" x14ac:dyDescent="0.2">
      <c r="A4870" s="11" t="str">
        <f>IF(INPUT!M4865="","",INPUT!M4865)</f>
        <v/>
      </c>
      <c r="B4870" s="11" t="str">
        <f>IF(INPUT!M4865="","",INPUT!M4865-WEEKDAY(INPUT!M4865,2)+1)</f>
        <v/>
      </c>
      <c r="C4870" s="20">
        <f>IFERROR(_xlfn.ISOWEEKNUM(INPUT!M4865),"")</f>
        <v>52</v>
      </c>
      <c r="D4870" s="20">
        <f>IFERROR(YEAR(INPUT!M4865),"")</f>
        <v>1900</v>
      </c>
      <c r="E4870" t="str">
        <f>IF(INPUT!O4865="","",INPUT!O4865)</f>
        <v/>
      </c>
      <c r="F4870" t="str">
        <f>IF(INPUT!N4865="","",INPUT!N4865)</f>
        <v/>
      </c>
      <c r="G4870" cm="1">
        <f t="array" ref="G4870">IFERROR(VLOOKUP(INPUT!M4865&amp;INPUT!N4865,CHOOSE({1,2},INPUT!$A$3:$A$5000&amp;INPUT!$C$3:$C$5000,INPUT!$F$3:$F$5000),2,FALSE),"")</f>
        <v>0</v>
      </c>
      <c r="H4870" cm="1">
        <f t="array" ref="H4870">IFERROR(VLOOKUP(INPUT!M4865&amp;INPUT!N4865,CHOOSE({1,2},INPUT!$A$3:$A$5000&amp;INPUT!$C$3:$C$5000,INPUT!$D$3:$D$5000),2,FALSE),"")</f>
        <v>0</v>
      </c>
      <c r="I4870" s="46" t="str">
        <f>IF(INPUT!P4865="","",INPUT!P4865)</f>
        <v/>
      </c>
      <c r="J4870" s="46" t="str">
        <f>IF(INPUT!Q4865="","",INPUT!Q4865)</f>
        <v/>
      </c>
      <c r="K4870" s="46" t="str">
        <f>IFERROR(IF(OR(INPUT!P4865="",INPUT!Q4865=""),"",INPUT!P4865-INPUT!Q4865),"")</f>
        <v/>
      </c>
      <c r="L4870" s="48" t="str">
        <f>IFERROR(IF(OR(INPUT!P4865="",INPUT!Q4865="",INPUT!P4865=0),"",(INPUT!P4865-INPUT!Q4865)/INPUT!P4865),"")</f>
        <v/>
      </c>
    </row>
    <row r="4871" spans="1:12" ht="18" hidden="1" customHeight="1" x14ac:dyDescent="0.2">
      <c r="A4871" s="11" t="str">
        <f>IF(INPUT!M4866="","",INPUT!M4866)</f>
        <v/>
      </c>
      <c r="B4871" s="11" t="str">
        <f>IF(INPUT!M4866="","",INPUT!M4866-WEEKDAY(INPUT!M4866,2)+1)</f>
        <v/>
      </c>
      <c r="C4871" s="20">
        <f>IFERROR(_xlfn.ISOWEEKNUM(INPUT!M4866),"")</f>
        <v>52</v>
      </c>
      <c r="D4871" s="20">
        <f>IFERROR(YEAR(INPUT!M4866),"")</f>
        <v>1900</v>
      </c>
      <c r="E4871" t="str">
        <f>IF(INPUT!O4866="","",INPUT!O4866)</f>
        <v/>
      </c>
      <c r="F4871" t="str">
        <f>IF(INPUT!N4866="","",INPUT!N4866)</f>
        <v/>
      </c>
      <c r="G4871" cm="1">
        <f t="array" ref="G4871">IFERROR(VLOOKUP(INPUT!M4866&amp;INPUT!N4866,CHOOSE({1,2},INPUT!$A$3:$A$5000&amp;INPUT!$C$3:$C$5000,INPUT!$F$3:$F$5000),2,FALSE),"")</f>
        <v>0</v>
      </c>
      <c r="H4871" cm="1">
        <f t="array" ref="H4871">IFERROR(VLOOKUP(INPUT!M4866&amp;INPUT!N4866,CHOOSE({1,2},INPUT!$A$3:$A$5000&amp;INPUT!$C$3:$C$5000,INPUT!$D$3:$D$5000),2,FALSE),"")</f>
        <v>0</v>
      </c>
      <c r="I4871" s="46" t="str">
        <f>IF(INPUT!P4866="","",INPUT!P4866)</f>
        <v/>
      </c>
      <c r="J4871" s="46" t="str">
        <f>IF(INPUT!Q4866="","",INPUT!Q4866)</f>
        <v/>
      </c>
      <c r="K4871" s="46" t="str">
        <f>IFERROR(IF(OR(INPUT!P4866="",INPUT!Q4866=""),"",INPUT!P4866-INPUT!Q4866),"")</f>
        <v/>
      </c>
      <c r="L4871" s="48" t="str">
        <f>IFERROR(IF(OR(INPUT!P4866="",INPUT!Q4866="",INPUT!P4866=0),"",(INPUT!P4866-INPUT!Q4866)/INPUT!P4866),"")</f>
        <v/>
      </c>
    </row>
    <row r="4872" spans="1:12" ht="18" hidden="1" customHeight="1" x14ac:dyDescent="0.2">
      <c r="A4872" s="11" t="str">
        <f>IF(INPUT!M4867="","",INPUT!M4867)</f>
        <v/>
      </c>
      <c r="B4872" s="11" t="str">
        <f>IF(INPUT!M4867="","",INPUT!M4867-WEEKDAY(INPUT!M4867,2)+1)</f>
        <v/>
      </c>
      <c r="C4872" s="20">
        <f>IFERROR(_xlfn.ISOWEEKNUM(INPUT!M4867),"")</f>
        <v>52</v>
      </c>
      <c r="D4872" s="20">
        <f>IFERROR(YEAR(INPUT!M4867),"")</f>
        <v>1900</v>
      </c>
      <c r="E4872" t="str">
        <f>IF(INPUT!O4867="","",INPUT!O4867)</f>
        <v/>
      </c>
      <c r="F4872" t="str">
        <f>IF(INPUT!N4867="","",INPUT!N4867)</f>
        <v/>
      </c>
      <c r="G4872" cm="1">
        <f t="array" ref="G4872">IFERROR(VLOOKUP(INPUT!M4867&amp;INPUT!N4867,CHOOSE({1,2},INPUT!$A$3:$A$5000&amp;INPUT!$C$3:$C$5000,INPUT!$F$3:$F$5000),2,FALSE),"")</f>
        <v>0</v>
      </c>
      <c r="H4872" cm="1">
        <f t="array" ref="H4872">IFERROR(VLOOKUP(INPUT!M4867&amp;INPUT!N4867,CHOOSE({1,2},INPUT!$A$3:$A$5000&amp;INPUT!$C$3:$C$5000,INPUT!$D$3:$D$5000),2,FALSE),"")</f>
        <v>0</v>
      </c>
      <c r="I4872" s="46" t="str">
        <f>IF(INPUT!P4867="","",INPUT!P4867)</f>
        <v/>
      </c>
      <c r="J4872" s="46" t="str">
        <f>IF(INPUT!Q4867="","",INPUT!Q4867)</f>
        <v/>
      </c>
      <c r="K4872" s="46" t="str">
        <f>IFERROR(IF(OR(INPUT!P4867="",INPUT!Q4867=""),"",INPUT!P4867-INPUT!Q4867),"")</f>
        <v/>
      </c>
      <c r="L4872" s="48" t="str">
        <f>IFERROR(IF(OR(INPUT!P4867="",INPUT!Q4867="",INPUT!P4867=0),"",(INPUT!P4867-INPUT!Q4867)/INPUT!P4867),"")</f>
        <v/>
      </c>
    </row>
    <row r="4873" spans="1:12" ht="18" hidden="1" customHeight="1" x14ac:dyDescent="0.2">
      <c r="A4873" s="11" t="str">
        <f>IF(INPUT!M4868="","",INPUT!M4868)</f>
        <v/>
      </c>
      <c r="B4873" s="11" t="str">
        <f>IF(INPUT!M4868="","",INPUT!M4868-WEEKDAY(INPUT!M4868,2)+1)</f>
        <v/>
      </c>
      <c r="C4873" s="20">
        <f>IFERROR(_xlfn.ISOWEEKNUM(INPUT!M4868),"")</f>
        <v>52</v>
      </c>
      <c r="D4873" s="20">
        <f>IFERROR(YEAR(INPUT!M4868),"")</f>
        <v>1900</v>
      </c>
      <c r="E4873" t="str">
        <f>IF(INPUT!O4868="","",INPUT!O4868)</f>
        <v/>
      </c>
      <c r="F4873" t="str">
        <f>IF(INPUT!N4868="","",INPUT!N4868)</f>
        <v/>
      </c>
      <c r="G4873" cm="1">
        <f t="array" ref="G4873">IFERROR(VLOOKUP(INPUT!M4868&amp;INPUT!N4868,CHOOSE({1,2},INPUT!$A$3:$A$5000&amp;INPUT!$C$3:$C$5000,INPUT!$F$3:$F$5000),2,FALSE),"")</f>
        <v>0</v>
      </c>
      <c r="H4873" cm="1">
        <f t="array" ref="H4873">IFERROR(VLOOKUP(INPUT!M4868&amp;INPUT!N4868,CHOOSE({1,2},INPUT!$A$3:$A$5000&amp;INPUT!$C$3:$C$5000,INPUT!$D$3:$D$5000),2,FALSE),"")</f>
        <v>0</v>
      </c>
      <c r="I4873" s="46" t="str">
        <f>IF(INPUT!P4868="","",INPUT!P4868)</f>
        <v/>
      </c>
      <c r="J4873" s="46" t="str">
        <f>IF(INPUT!Q4868="","",INPUT!Q4868)</f>
        <v/>
      </c>
      <c r="K4873" s="46" t="str">
        <f>IFERROR(IF(OR(INPUT!P4868="",INPUT!Q4868=""),"",INPUT!P4868-INPUT!Q4868),"")</f>
        <v/>
      </c>
      <c r="L4873" s="48" t="str">
        <f>IFERROR(IF(OR(INPUT!P4868="",INPUT!Q4868="",INPUT!P4868=0),"",(INPUT!P4868-INPUT!Q4868)/INPUT!P4868),"")</f>
        <v/>
      </c>
    </row>
    <row r="4874" spans="1:12" ht="18" hidden="1" customHeight="1" x14ac:dyDescent="0.2">
      <c r="A4874" s="11" t="str">
        <f>IF(INPUT!M4869="","",INPUT!M4869)</f>
        <v/>
      </c>
      <c r="B4874" s="11" t="str">
        <f>IF(INPUT!M4869="","",INPUT!M4869-WEEKDAY(INPUT!M4869,2)+1)</f>
        <v/>
      </c>
      <c r="C4874" s="20">
        <f>IFERROR(_xlfn.ISOWEEKNUM(INPUT!M4869),"")</f>
        <v>52</v>
      </c>
      <c r="D4874" s="20">
        <f>IFERROR(YEAR(INPUT!M4869),"")</f>
        <v>1900</v>
      </c>
      <c r="E4874" t="str">
        <f>IF(INPUT!O4869="","",INPUT!O4869)</f>
        <v/>
      </c>
      <c r="F4874" t="str">
        <f>IF(INPUT!N4869="","",INPUT!N4869)</f>
        <v/>
      </c>
      <c r="G4874" cm="1">
        <f t="array" ref="G4874">IFERROR(VLOOKUP(INPUT!M4869&amp;INPUT!N4869,CHOOSE({1,2},INPUT!$A$3:$A$5000&amp;INPUT!$C$3:$C$5000,INPUT!$F$3:$F$5000),2,FALSE),"")</f>
        <v>0</v>
      </c>
      <c r="H4874" cm="1">
        <f t="array" ref="H4874">IFERROR(VLOOKUP(INPUT!M4869&amp;INPUT!N4869,CHOOSE({1,2},INPUT!$A$3:$A$5000&amp;INPUT!$C$3:$C$5000,INPUT!$D$3:$D$5000),2,FALSE),"")</f>
        <v>0</v>
      </c>
      <c r="I4874" s="46" t="str">
        <f>IF(INPUT!P4869="","",INPUT!P4869)</f>
        <v/>
      </c>
      <c r="J4874" s="46" t="str">
        <f>IF(INPUT!Q4869="","",INPUT!Q4869)</f>
        <v/>
      </c>
      <c r="K4874" s="46" t="str">
        <f>IFERROR(IF(OR(INPUT!P4869="",INPUT!Q4869=""),"",INPUT!P4869-INPUT!Q4869),"")</f>
        <v/>
      </c>
      <c r="L4874" s="48" t="str">
        <f>IFERROR(IF(OR(INPUT!P4869="",INPUT!Q4869="",INPUT!P4869=0),"",(INPUT!P4869-INPUT!Q4869)/INPUT!P4869),"")</f>
        <v/>
      </c>
    </row>
    <row r="4875" spans="1:12" ht="18" hidden="1" customHeight="1" x14ac:dyDescent="0.2">
      <c r="A4875" s="11" t="str">
        <f>IF(INPUT!M4870="","",INPUT!M4870)</f>
        <v/>
      </c>
      <c r="B4875" s="11" t="str">
        <f>IF(INPUT!M4870="","",INPUT!M4870-WEEKDAY(INPUT!M4870,2)+1)</f>
        <v/>
      </c>
      <c r="C4875" s="20">
        <f>IFERROR(_xlfn.ISOWEEKNUM(INPUT!M4870),"")</f>
        <v>52</v>
      </c>
      <c r="D4875" s="20">
        <f>IFERROR(YEAR(INPUT!M4870),"")</f>
        <v>1900</v>
      </c>
      <c r="E4875" t="str">
        <f>IF(INPUT!O4870="","",INPUT!O4870)</f>
        <v/>
      </c>
      <c r="F4875" t="str">
        <f>IF(INPUT!N4870="","",INPUT!N4870)</f>
        <v/>
      </c>
      <c r="G4875" cm="1">
        <f t="array" ref="G4875">IFERROR(VLOOKUP(INPUT!M4870&amp;INPUT!N4870,CHOOSE({1,2},INPUT!$A$3:$A$5000&amp;INPUT!$C$3:$C$5000,INPUT!$F$3:$F$5000),2,FALSE),"")</f>
        <v>0</v>
      </c>
      <c r="H4875" cm="1">
        <f t="array" ref="H4875">IFERROR(VLOOKUP(INPUT!M4870&amp;INPUT!N4870,CHOOSE({1,2},INPUT!$A$3:$A$5000&amp;INPUT!$C$3:$C$5000,INPUT!$D$3:$D$5000),2,FALSE),"")</f>
        <v>0</v>
      </c>
      <c r="I4875" s="46" t="str">
        <f>IF(INPUT!P4870="","",INPUT!P4870)</f>
        <v/>
      </c>
      <c r="J4875" s="46" t="str">
        <f>IF(INPUT!Q4870="","",INPUT!Q4870)</f>
        <v/>
      </c>
      <c r="K4875" s="46" t="str">
        <f>IFERROR(IF(OR(INPUT!P4870="",INPUT!Q4870=""),"",INPUT!P4870-INPUT!Q4870),"")</f>
        <v/>
      </c>
      <c r="L4875" s="48" t="str">
        <f>IFERROR(IF(OR(INPUT!P4870="",INPUT!Q4870="",INPUT!P4870=0),"",(INPUT!P4870-INPUT!Q4870)/INPUT!P4870),"")</f>
        <v/>
      </c>
    </row>
    <row r="4876" spans="1:12" ht="18" hidden="1" customHeight="1" x14ac:dyDescent="0.2">
      <c r="A4876" s="11" t="str">
        <f>IF(INPUT!M4871="","",INPUT!M4871)</f>
        <v/>
      </c>
      <c r="B4876" s="11" t="str">
        <f>IF(INPUT!M4871="","",INPUT!M4871-WEEKDAY(INPUT!M4871,2)+1)</f>
        <v/>
      </c>
      <c r="C4876" s="20">
        <f>IFERROR(_xlfn.ISOWEEKNUM(INPUT!M4871),"")</f>
        <v>52</v>
      </c>
      <c r="D4876" s="20">
        <f>IFERROR(YEAR(INPUT!M4871),"")</f>
        <v>1900</v>
      </c>
      <c r="E4876" t="str">
        <f>IF(INPUT!O4871="","",INPUT!O4871)</f>
        <v/>
      </c>
      <c r="F4876" t="str">
        <f>IF(INPUT!N4871="","",INPUT!N4871)</f>
        <v/>
      </c>
      <c r="G4876" cm="1">
        <f t="array" ref="G4876">IFERROR(VLOOKUP(INPUT!M4871&amp;INPUT!N4871,CHOOSE({1,2},INPUT!$A$3:$A$5000&amp;INPUT!$C$3:$C$5000,INPUT!$F$3:$F$5000),2,FALSE),"")</f>
        <v>0</v>
      </c>
      <c r="H4876" cm="1">
        <f t="array" ref="H4876">IFERROR(VLOOKUP(INPUT!M4871&amp;INPUT!N4871,CHOOSE({1,2},INPUT!$A$3:$A$5000&amp;INPUT!$C$3:$C$5000,INPUT!$D$3:$D$5000),2,FALSE),"")</f>
        <v>0</v>
      </c>
      <c r="I4876" s="46" t="str">
        <f>IF(INPUT!P4871="","",INPUT!P4871)</f>
        <v/>
      </c>
      <c r="J4876" s="46" t="str">
        <f>IF(INPUT!Q4871="","",INPUT!Q4871)</f>
        <v/>
      </c>
      <c r="K4876" s="46" t="str">
        <f>IFERROR(IF(OR(INPUT!P4871="",INPUT!Q4871=""),"",INPUT!P4871-INPUT!Q4871),"")</f>
        <v/>
      </c>
      <c r="L4876" s="48" t="str">
        <f>IFERROR(IF(OR(INPUT!P4871="",INPUT!Q4871="",INPUT!P4871=0),"",(INPUT!P4871-INPUT!Q4871)/INPUT!P4871),"")</f>
        <v/>
      </c>
    </row>
    <row r="4877" spans="1:12" ht="18" hidden="1" customHeight="1" x14ac:dyDescent="0.2">
      <c r="A4877" s="11" t="str">
        <f>IF(INPUT!M4872="","",INPUT!M4872)</f>
        <v/>
      </c>
      <c r="B4877" s="11" t="str">
        <f>IF(INPUT!M4872="","",INPUT!M4872-WEEKDAY(INPUT!M4872,2)+1)</f>
        <v/>
      </c>
      <c r="C4877" s="20">
        <f>IFERROR(_xlfn.ISOWEEKNUM(INPUT!M4872),"")</f>
        <v>52</v>
      </c>
      <c r="D4877" s="20">
        <f>IFERROR(YEAR(INPUT!M4872),"")</f>
        <v>1900</v>
      </c>
      <c r="E4877" t="str">
        <f>IF(INPUT!O4872="","",INPUT!O4872)</f>
        <v/>
      </c>
      <c r="F4877" t="str">
        <f>IF(INPUT!N4872="","",INPUT!N4872)</f>
        <v/>
      </c>
      <c r="G4877" cm="1">
        <f t="array" ref="G4877">IFERROR(VLOOKUP(INPUT!M4872&amp;INPUT!N4872,CHOOSE({1,2},INPUT!$A$3:$A$5000&amp;INPUT!$C$3:$C$5000,INPUT!$F$3:$F$5000),2,FALSE),"")</f>
        <v>0</v>
      </c>
      <c r="H4877" cm="1">
        <f t="array" ref="H4877">IFERROR(VLOOKUP(INPUT!M4872&amp;INPUT!N4872,CHOOSE({1,2},INPUT!$A$3:$A$5000&amp;INPUT!$C$3:$C$5000,INPUT!$D$3:$D$5000),2,FALSE),"")</f>
        <v>0</v>
      </c>
      <c r="I4877" s="46" t="str">
        <f>IF(INPUT!P4872="","",INPUT!P4872)</f>
        <v/>
      </c>
      <c r="J4877" s="46" t="str">
        <f>IF(INPUT!Q4872="","",INPUT!Q4872)</f>
        <v/>
      </c>
      <c r="K4877" s="46" t="str">
        <f>IFERROR(IF(OR(INPUT!P4872="",INPUT!Q4872=""),"",INPUT!P4872-INPUT!Q4872),"")</f>
        <v/>
      </c>
      <c r="L4877" s="48" t="str">
        <f>IFERROR(IF(OR(INPUT!P4872="",INPUT!Q4872="",INPUT!P4872=0),"",(INPUT!P4872-INPUT!Q4872)/INPUT!P4872),"")</f>
        <v/>
      </c>
    </row>
    <row r="4878" spans="1:12" ht="18" hidden="1" customHeight="1" x14ac:dyDescent="0.2">
      <c r="A4878" s="11" t="str">
        <f>IF(INPUT!M4873="","",INPUT!M4873)</f>
        <v/>
      </c>
      <c r="B4878" s="11" t="str">
        <f>IF(INPUT!M4873="","",INPUT!M4873-WEEKDAY(INPUT!M4873,2)+1)</f>
        <v/>
      </c>
      <c r="C4878" s="20">
        <f>IFERROR(_xlfn.ISOWEEKNUM(INPUT!M4873),"")</f>
        <v>52</v>
      </c>
      <c r="D4878" s="20">
        <f>IFERROR(YEAR(INPUT!M4873),"")</f>
        <v>1900</v>
      </c>
      <c r="E4878" t="str">
        <f>IF(INPUT!O4873="","",INPUT!O4873)</f>
        <v/>
      </c>
      <c r="F4878" t="str">
        <f>IF(INPUT!N4873="","",INPUT!N4873)</f>
        <v/>
      </c>
      <c r="G4878" cm="1">
        <f t="array" ref="G4878">IFERROR(VLOOKUP(INPUT!M4873&amp;INPUT!N4873,CHOOSE({1,2},INPUT!$A$3:$A$5000&amp;INPUT!$C$3:$C$5000,INPUT!$F$3:$F$5000),2,FALSE),"")</f>
        <v>0</v>
      </c>
      <c r="H4878" cm="1">
        <f t="array" ref="H4878">IFERROR(VLOOKUP(INPUT!M4873&amp;INPUT!N4873,CHOOSE({1,2},INPUT!$A$3:$A$5000&amp;INPUT!$C$3:$C$5000,INPUT!$D$3:$D$5000),2,FALSE),"")</f>
        <v>0</v>
      </c>
      <c r="I4878" s="46" t="str">
        <f>IF(INPUT!P4873="","",INPUT!P4873)</f>
        <v/>
      </c>
      <c r="J4878" s="46" t="str">
        <f>IF(INPUT!Q4873="","",INPUT!Q4873)</f>
        <v/>
      </c>
      <c r="K4878" s="46" t="str">
        <f>IFERROR(IF(OR(INPUT!P4873="",INPUT!Q4873=""),"",INPUT!P4873-INPUT!Q4873),"")</f>
        <v/>
      </c>
      <c r="L4878" s="48" t="str">
        <f>IFERROR(IF(OR(INPUT!P4873="",INPUT!Q4873="",INPUT!P4873=0),"",(INPUT!P4873-INPUT!Q4873)/INPUT!P4873),"")</f>
        <v/>
      </c>
    </row>
    <row r="4879" spans="1:12" ht="18" hidden="1" customHeight="1" x14ac:dyDescent="0.2">
      <c r="A4879" s="11" t="str">
        <f>IF(INPUT!M4874="","",INPUT!M4874)</f>
        <v/>
      </c>
      <c r="B4879" s="11" t="str">
        <f>IF(INPUT!M4874="","",INPUT!M4874-WEEKDAY(INPUT!M4874,2)+1)</f>
        <v/>
      </c>
      <c r="C4879" s="20">
        <f>IFERROR(_xlfn.ISOWEEKNUM(INPUT!M4874),"")</f>
        <v>52</v>
      </c>
      <c r="D4879" s="20">
        <f>IFERROR(YEAR(INPUT!M4874),"")</f>
        <v>1900</v>
      </c>
      <c r="E4879" t="str">
        <f>IF(INPUT!O4874="","",INPUT!O4874)</f>
        <v/>
      </c>
      <c r="F4879" t="str">
        <f>IF(INPUT!N4874="","",INPUT!N4874)</f>
        <v/>
      </c>
      <c r="G4879" cm="1">
        <f t="array" ref="G4879">IFERROR(VLOOKUP(INPUT!M4874&amp;INPUT!N4874,CHOOSE({1,2},INPUT!$A$3:$A$5000&amp;INPUT!$C$3:$C$5000,INPUT!$F$3:$F$5000),2,FALSE),"")</f>
        <v>0</v>
      </c>
      <c r="H4879" cm="1">
        <f t="array" ref="H4879">IFERROR(VLOOKUP(INPUT!M4874&amp;INPUT!N4874,CHOOSE({1,2},INPUT!$A$3:$A$5000&amp;INPUT!$C$3:$C$5000,INPUT!$D$3:$D$5000),2,FALSE),"")</f>
        <v>0</v>
      </c>
      <c r="I4879" s="46" t="str">
        <f>IF(INPUT!P4874="","",INPUT!P4874)</f>
        <v/>
      </c>
      <c r="J4879" s="46" t="str">
        <f>IF(INPUT!Q4874="","",INPUT!Q4874)</f>
        <v/>
      </c>
      <c r="K4879" s="46" t="str">
        <f>IFERROR(IF(OR(INPUT!P4874="",INPUT!Q4874=""),"",INPUT!P4874-INPUT!Q4874),"")</f>
        <v/>
      </c>
      <c r="L4879" s="48" t="str">
        <f>IFERROR(IF(OR(INPUT!P4874="",INPUT!Q4874="",INPUT!P4874=0),"",(INPUT!P4874-INPUT!Q4874)/INPUT!P4874),"")</f>
        <v/>
      </c>
    </row>
    <row r="4880" spans="1:12" ht="18" hidden="1" customHeight="1" x14ac:dyDescent="0.2">
      <c r="A4880" s="11" t="str">
        <f>IF(INPUT!M4875="","",INPUT!M4875)</f>
        <v/>
      </c>
      <c r="B4880" s="11" t="str">
        <f>IF(INPUT!M4875="","",INPUT!M4875-WEEKDAY(INPUT!M4875,2)+1)</f>
        <v/>
      </c>
      <c r="C4880" s="20">
        <f>IFERROR(_xlfn.ISOWEEKNUM(INPUT!M4875),"")</f>
        <v>52</v>
      </c>
      <c r="D4880" s="20">
        <f>IFERROR(YEAR(INPUT!M4875),"")</f>
        <v>1900</v>
      </c>
      <c r="E4880" t="str">
        <f>IF(INPUT!O4875="","",INPUT!O4875)</f>
        <v/>
      </c>
      <c r="F4880" t="str">
        <f>IF(INPUT!N4875="","",INPUT!N4875)</f>
        <v/>
      </c>
      <c r="G4880" cm="1">
        <f t="array" ref="G4880">IFERROR(VLOOKUP(INPUT!M4875&amp;INPUT!N4875,CHOOSE({1,2},INPUT!$A$3:$A$5000&amp;INPUT!$C$3:$C$5000,INPUT!$F$3:$F$5000),2,FALSE),"")</f>
        <v>0</v>
      </c>
      <c r="H4880" cm="1">
        <f t="array" ref="H4880">IFERROR(VLOOKUP(INPUT!M4875&amp;INPUT!N4875,CHOOSE({1,2},INPUT!$A$3:$A$5000&amp;INPUT!$C$3:$C$5000,INPUT!$D$3:$D$5000),2,FALSE),"")</f>
        <v>0</v>
      </c>
      <c r="I4880" s="46" t="str">
        <f>IF(INPUT!P4875="","",INPUT!P4875)</f>
        <v/>
      </c>
      <c r="J4880" s="46" t="str">
        <f>IF(INPUT!Q4875="","",INPUT!Q4875)</f>
        <v/>
      </c>
      <c r="K4880" s="46" t="str">
        <f>IFERROR(IF(OR(INPUT!P4875="",INPUT!Q4875=""),"",INPUT!P4875-INPUT!Q4875),"")</f>
        <v/>
      </c>
      <c r="L4880" s="48" t="str">
        <f>IFERROR(IF(OR(INPUT!P4875="",INPUT!Q4875="",INPUT!P4875=0),"",(INPUT!P4875-INPUT!Q4875)/INPUT!P4875),"")</f>
        <v/>
      </c>
    </row>
    <row r="4881" spans="1:12" ht="18" hidden="1" customHeight="1" x14ac:dyDescent="0.2">
      <c r="A4881" s="11" t="str">
        <f>IF(INPUT!M4876="","",INPUT!M4876)</f>
        <v/>
      </c>
      <c r="B4881" s="11" t="str">
        <f>IF(INPUT!M4876="","",INPUT!M4876-WEEKDAY(INPUT!M4876,2)+1)</f>
        <v/>
      </c>
      <c r="C4881" s="20">
        <f>IFERROR(_xlfn.ISOWEEKNUM(INPUT!M4876),"")</f>
        <v>52</v>
      </c>
      <c r="D4881" s="20">
        <f>IFERROR(YEAR(INPUT!M4876),"")</f>
        <v>1900</v>
      </c>
      <c r="E4881" t="str">
        <f>IF(INPUT!O4876="","",INPUT!O4876)</f>
        <v/>
      </c>
      <c r="F4881" t="str">
        <f>IF(INPUT!N4876="","",INPUT!N4876)</f>
        <v/>
      </c>
      <c r="G4881" cm="1">
        <f t="array" ref="G4881">IFERROR(VLOOKUP(INPUT!M4876&amp;INPUT!N4876,CHOOSE({1,2},INPUT!$A$3:$A$5000&amp;INPUT!$C$3:$C$5000,INPUT!$F$3:$F$5000),2,FALSE),"")</f>
        <v>0</v>
      </c>
      <c r="H4881" cm="1">
        <f t="array" ref="H4881">IFERROR(VLOOKUP(INPUT!M4876&amp;INPUT!N4876,CHOOSE({1,2},INPUT!$A$3:$A$5000&amp;INPUT!$C$3:$C$5000,INPUT!$D$3:$D$5000),2,FALSE),"")</f>
        <v>0</v>
      </c>
      <c r="I4881" s="46" t="str">
        <f>IF(INPUT!P4876="","",INPUT!P4876)</f>
        <v/>
      </c>
      <c r="J4881" s="46" t="str">
        <f>IF(INPUT!Q4876="","",INPUT!Q4876)</f>
        <v/>
      </c>
      <c r="K4881" s="46" t="str">
        <f>IFERROR(IF(OR(INPUT!P4876="",INPUT!Q4876=""),"",INPUT!P4876-INPUT!Q4876),"")</f>
        <v/>
      </c>
      <c r="L4881" s="48" t="str">
        <f>IFERROR(IF(OR(INPUT!P4876="",INPUT!Q4876="",INPUT!P4876=0),"",(INPUT!P4876-INPUT!Q4876)/INPUT!P4876),"")</f>
        <v/>
      </c>
    </row>
    <row r="4882" spans="1:12" ht="18" hidden="1" customHeight="1" x14ac:dyDescent="0.2">
      <c r="A4882" s="11" t="str">
        <f>IF(INPUT!M4877="","",INPUT!M4877)</f>
        <v/>
      </c>
      <c r="B4882" s="11" t="str">
        <f>IF(INPUT!M4877="","",INPUT!M4877-WEEKDAY(INPUT!M4877,2)+1)</f>
        <v/>
      </c>
      <c r="C4882" s="20">
        <f>IFERROR(_xlfn.ISOWEEKNUM(INPUT!M4877),"")</f>
        <v>52</v>
      </c>
      <c r="D4882" s="20">
        <f>IFERROR(YEAR(INPUT!M4877),"")</f>
        <v>1900</v>
      </c>
      <c r="E4882" t="str">
        <f>IF(INPUT!O4877="","",INPUT!O4877)</f>
        <v/>
      </c>
      <c r="F4882" t="str">
        <f>IF(INPUT!N4877="","",INPUT!N4877)</f>
        <v/>
      </c>
      <c r="G4882" cm="1">
        <f t="array" ref="G4882">IFERROR(VLOOKUP(INPUT!M4877&amp;INPUT!N4877,CHOOSE({1,2},INPUT!$A$3:$A$5000&amp;INPUT!$C$3:$C$5000,INPUT!$F$3:$F$5000),2,FALSE),"")</f>
        <v>0</v>
      </c>
      <c r="H4882" cm="1">
        <f t="array" ref="H4882">IFERROR(VLOOKUP(INPUT!M4877&amp;INPUT!N4877,CHOOSE({1,2},INPUT!$A$3:$A$5000&amp;INPUT!$C$3:$C$5000,INPUT!$D$3:$D$5000),2,FALSE),"")</f>
        <v>0</v>
      </c>
      <c r="I4882" s="46" t="str">
        <f>IF(INPUT!P4877="","",INPUT!P4877)</f>
        <v/>
      </c>
      <c r="J4882" s="46" t="str">
        <f>IF(INPUT!Q4877="","",INPUT!Q4877)</f>
        <v/>
      </c>
      <c r="K4882" s="46" t="str">
        <f>IFERROR(IF(OR(INPUT!P4877="",INPUT!Q4877=""),"",INPUT!P4877-INPUT!Q4877),"")</f>
        <v/>
      </c>
      <c r="L4882" s="48" t="str">
        <f>IFERROR(IF(OR(INPUT!P4877="",INPUT!Q4877="",INPUT!P4877=0),"",(INPUT!P4877-INPUT!Q4877)/INPUT!P4877),"")</f>
        <v/>
      </c>
    </row>
    <row r="4883" spans="1:12" ht="18" hidden="1" customHeight="1" x14ac:dyDescent="0.2">
      <c r="A4883" s="11" t="str">
        <f>IF(INPUT!M4878="","",INPUT!M4878)</f>
        <v/>
      </c>
      <c r="B4883" s="11" t="str">
        <f>IF(INPUT!M4878="","",INPUT!M4878-WEEKDAY(INPUT!M4878,2)+1)</f>
        <v/>
      </c>
      <c r="C4883" s="20">
        <f>IFERROR(_xlfn.ISOWEEKNUM(INPUT!M4878),"")</f>
        <v>52</v>
      </c>
      <c r="D4883" s="20">
        <f>IFERROR(YEAR(INPUT!M4878),"")</f>
        <v>1900</v>
      </c>
      <c r="E4883" t="str">
        <f>IF(INPUT!O4878="","",INPUT!O4878)</f>
        <v/>
      </c>
      <c r="F4883" t="str">
        <f>IF(INPUT!N4878="","",INPUT!N4878)</f>
        <v/>
      </c>
      <c r="G4883" cm="1">
        <f t="array" ref="G4883">IFERROR(VLOOKUP(INPUT!M4878&amp;INPUT!N4878,CHOOSE({1,2},INPUT!$A$3:$A$5000&amp;INPUT!$C$3:$C$5000,INPUT!$F$3:$F$5000),2,FALSE),"")</f>
        <v>0</v>
      </c>
      <c r="H4883" cm="1">
        <f t="array" ref="H4883">IFERROR(VLOOKUP(INPUT!M4878&amp;INPUT!N4878,CHOOSE({1,2},INPUT!$A$3:$A$5000&amp;INPUT!$C$3:$C$5000,INPUT!$D$3:$D$5000),2,FALSE),"")</f>
        <v>0</v>
      </c>
      <c r="I4883" s="46" t="str">
        <f>IF(INPUT!P4878="","",INPUT!P4878)</f>
        <v/>
      </c>
      <c r="J4883" s="46" t="str">
        <f>IF(INPUT!Q4878="","",INPUT!Q4878)</f>
        <v/>
      </c>
      <c r="K4883" s="46" t="str">
        <f>IFERROR(IF(OR(INPUT!P4878="",INPUT!Q4878=""),"",INPUT!P4878-INPUT!Q4878),"")</f>
        <v/>
      </c>
      <c r="L4883" s="48" t="str">
        <f>IFERROR(IF(OR(INPUT!P4878="",INPUT!Q4878="",INPUT!P4878=0),"",(INPUT!P4878-INPUT!Q4878)/INPUT!P4878),"")</f>
        <v/>
      </c>
    </row>
    <row r="4884" spans="1:12" ht="18" hidden="1" customHeight="1" x14ac:dyDescent="0.2">
      <c r="A4884" s="11" t="str">
        <f>IF(INPUT!M4879="","",INPUT!M4879)</f>
        <v/>
      </c>
      <c r="B4884" s="11" t="str">
        <f>IF(INPUT!M4879="","",INPUT!M4879-WEEKDAY(INPUT!M4879,2)+1)</f>
        <v/>
      </c>
      <c r="C4884" s="20">
        <f>IFERROR(_xlfn.ISOWEEKNUM(INPUT!M4879),"")</f>
        <v>52</v>
      </c>
      <c r="D4884" s="20">
        <f>IFERROR(YEAR(INPUT!M4879),"")</f>
        <v>1900</v>
      </c>
      <c r="E4884" t="str">
        <f>IF(INPUT!O4879="","",INPUT!O4879)</f>
        <v/>
      </c>
      <c r="F4884" t="str">
        <f>IF(INPUT!N4879="","",INPUT!N4879)</f>
        <v/>
      </c>
      <c r="G4884" cm="1">
        <f t="array" ref="G4884">IFERROR(VLOOKUP(INPUT!M4879&amp;INPUT!N4879,CHOOSE({1,2},INPUT!$A$3:$A$5000&amp;INPUT!$C$3:$C$5000,INPUT!$F$3:$F$5000),2,FALSE),"")</f>
        <v>0</v>
      </c>
      <c r="H4884" cm="1">
        <f t="array" ref="H4884">IFERROR(VLOOKUP(INPUT!M4879&amp;INPUT!N4879,CHOOSE({1,2},INPUT!$A$3:$A$5000&amp;INPUT!$C$3:$C$5000,INPUT!$D$3:$D$5000),2,FALSE),"")</f>
        <v>0</v>
      </c>
      <c r="I4884" s="46" t="str">
        <f>IF(INPUT!P4879="","",INPUT!P4879)</f>
        <v/>
      </c>
      <c r="J4884" s="46" t="str">
        <f>IF(INPUT!Q4879="","",INPUT!Q4879)</f>
        <v/>
      </c>
      <c r="K4884" s="46" t="str">
        <f>IFERROR(IF(OR(INPUT!P4879="",INPUT!Q4879=""),"",INPUT!P4879-INPUT!Q4879),"")</f>
        <v/>
      </c>
      <c r="L4884" s="48" t="str">
        <f>IFERROR(IF(OR(INPUT!P4879="",INPUT!Q4879="",INPUT!P4879=0),"",(INPUT!P4879-INPUT!Q4879)/INPUT!P4879),"")</f>
        <v/>
      </c>
    </row>
    <row r="4885" spans="1:12" ht="18" hidden="1" customHeight="1" x14ac:dyDescent="0.2">
      <c r="A4885" s="11" t="str">
        <f>IF(INPUT!M4880="","",INPUT!M4880)</f>
        <v/>
      </c>
      <c r="B4885" s="11" t="str">
        <f>IF(INPUT!M4880="","",INPUT!M4880-WEEKDAY(INPUT!M4880,2)+1)</f>
        <v/>
      </c>
      <c r="C4885" s="20">
        <f>IFERROR(_xlfn.ISOWEEKNUM(INPUT!M4880),"")</f>
        <v>52</v>
      </c>
      <c r="D4885" s="20">
        <f>IFERROR(YEAR(INPUT!M4880),"")</f>
        <v>1900</v>
      </c>
      <c r="E4885" t="str">
        <f>IF(INPUT!O4880="","",INPUT!O4880)</f>
        <v/>
      </c>
      <c r="F4885" t="str">
        <f>IF(INPUT!N4880="","",INPUT!N4880)</f>
        <v/>
      </c>
      <c r="G4885" cm="1">
        <f t="array" ref="G4885">IFERROR(VLOOKUP(INPUT!M4880&amp;INPUT!N4880,CHOOSE({1,2},INPUT!$A$3:$A$5000&amp;INPUT!$C$3:$C$5000,INPUT!$F$3:$F$5000),2,FALSE),"")</f>
        <v>0</v>
      </c>
      <c r="H4885" cm="1">
        <f t="array" ref="H4885">IFERROR(VLOOKUP(INPUT!M4880&amp;INPUT!N4880,CHOOSE({1,2},INPUT!$A$3:$A$5000&amp;INPUT!$C$3:$C$5000,INPUT!$D$3:$D$5000),2,FALSE),"")</f>
        <v>0</v>
      </c>
      <c r="I4885" s="46" t="str">
        <f>IF(INPUT!P4880="","",INPUT!P4880)</f>
        <v/>
      </c>
      <c r="J4885" s="46" t="str">
        <f>IF(INPUT!Q4880="","",INPUT!Q4880)</f>
        <v/>
      </c>
      <c r="K4885" s="46" t="str">
        <f>IFERROR(IF(OR(INPUT!P4880="",INPUT!Q4880=""),"",INPUT!P4880-INPUT!Q4880),"")</f>
        <v/>
      </c>
      <c r="L4885" s="48" t="str">
        <f>IFERROR(IF(OR(INPUT!P4880="",INPUT!Q4880="",INPUT!P4880=0),"",(INPUT!P4880-INPUT!Q4880)/INPUT!P4880),"")</f>
        <v/>
      </c>
    </row>
    <row r="4886" spans="1:12" ht="18" hidden="1" customHeight="1" x14ac:dyDescent="0.2">
      <c r="A4886" s="11" t="str">
        <f>IF(INPUT!M4881="","",INPUT!M4881)</f>
        <v/>
      </c>
      <c r="B4886" s="11" t="str">
        <f>IF(INPUT!M4881="","",INPUT!M4881-WEEKDAY(INPUT!M4881,2)+1)</f>
        <v/>
      </c>
      <c r="C4886" s="20">
        <f>IFERROR(_xlfn.ISOWEEKNUM(INPUT!M4881),"")</f>
        <v>52</v>
      </c>
      <c r="D4886" s="20">
        <f>IFERROR(YEAR(INPUT!M4881),"")</f>
        <v>1900</v>
      </c>
      <c r="E4886" t="str">
        <f>IF(INPUT!O4881="","",INPUT!O4881)</f>
        <v/>
      </c>
      <c r="F4886" t="str">
        <f>IF(INPUT!N4881="","",INPUT!N4881)</f>
        <v/>
      </c>
      <c r="G4886" cm="1">
        <f t="array" ref="G4886">IFERROR(VLOOKUP(INPUT!M4881&amp;INPUT!N4881,CHOOSE({1,2},INPUT!$A$3:$A$5000&amp;INPUT!$C$3:$C$5000,INPUT!$F$3:$F$5000),2,FALSE),"")</f>
        <v>0</v>
      </c>
      <c r="H4886" cm="1">
        <f t="array" ref="H4886">IFERROR(VLOOKUP(INPUT!M4881&amp;INPUT!N4881,CHOOSE({1,2},INPUT!$A$3:$A$5000&amp;INPUT!$C$3:$C$5000,INPUT!$D$3:$D$5000),2,FALSE),"")</f>
        <v>0</v>
      </c>
      <c r="I4886" s="46" t="str">
        <f>IF(INPUT!P4881="","",INPUT!P4881)</f>
        <v/>
      </c>
      <c r="J4886" s="46" t="str">
        <f>IF(INPUT!Q4881="","",INPUT!Q4881)</f>
        <v/>
      </c>
      <c r="K4886" s="46" t="str">
        <f>IFERROR(IF(OR(INPUT!P4881="",INPUT!Q4881=""),"",INPUT!P4881-INPUT!Q4881),"")</f>
        <v/>
      </c>
      <c r="L4886" s="48" t="str">
        <f>IFERROR(IF(OR(INPUT!P4881="",INPUT!Q4881="",INPUT!P4881=0),"",(INPUT!P4881-INPUT!Q4881)/INPUT!P4881),"")</f>
        <v/>
      </c>
    </row>
    <row r="4887" spans="1:12" ht="18" hidden="1" customHeight="1" x14ac:dyDescent="0.2">
      <c r="A4887" s="11" t="str">
        <f>IF(INPUT!M4882="","",INPUT!M4882)</f>
        <v/>
      </c>
      <c r="B4887" s="11" t="str">
        <f>IF(INPUT!M4882="","",INPUT!M4882-WEEKDAY(INPUT!M4882,2)+1)</f>
        <v/>
      </c>
      <c r="C4887" s="20">
        <f>IFERROR(_xlfn.ISOWEEKNUM(INPUT!M4882),"")</f>
        <v>52</v>
      </c>
      <c r="D4887" s="20">
        <f>IFERROR(YEAR(INPUT!M4882),"")</f>
        <v>1900</v>
      </c>
      <c r="E4887" t="str">
        <f>IF(INPUT!O4882="","",INPUT!O4882)</f>
        <v/>
      </c>
      <c r="F4887" t="str">
        <f>IF(INPUT!N4882="","",INPUT!N4882)</f>
        <v/>
      </c>
      <c r="G4887" cm="1">
        <f t="array" ref="G4887">IFERROR(VLOOKUP(INPUT!M4882&amp;INPUT!N4882,CHOOSE({1,2},INPUT!$A$3:$A$5000&amp;INPUT!$C$3:$C$5000,INPUT!$F$3:$F$5000),2,FALSE),"")</f>
        <v>0</v>
      </c>
      <c r="H4887" cm="1">
        <f t="array" ref="H4887">IFERROR(VLOOKUP(INPUT!M4882&amp;INPUT!N4882,CHOOSE({1,2},INPUT!$A$3:$A$5000&amp;INPUT!$C$3:$C$5000,INPUT!$D$3:$D$5000),2,FALSE),"")</f>
        <v>0</v>
      </c>
      <c r="I4887" s="46" t="str">
        <f>IF(INPUT!P4882="","",INPUT!P4882)</f>
        <v/>
      </c>
      <c r="J4887" s="46" t="str">
        <f>IF(INPUT!Q4882="","",INPUT!Q4882)</f>
        <v/>
      </c>
      <c r="K4887" s="46" t="str">
        <f>IFERROR(IF(OR(INPUT!P4882="",INPUT!Q4882=""),"",INPUT!P4882-INPUT!Q4882),"")</f>
        <v/>
      </c>
      <c r="L4887" s="48" t="str">
        <f>IFERROR(IF(OR(INPUT!P4882="",INPUT!Q4882="",INPUT!P4882=0),"",(INPUT!P4882-INPUT!Q4882)/INPUT!P4882),"")</f>
        <v/>
      </c>
    </row>
    <row r="4888" spans="1:12" ht="18" hidden="1" customHeight="1" x14ac:dyDescent="0.2">
      <c r="A4888" s="11" t="str">
        <f>IF(INPUT!M4883="","",INPUT!M4883)</f>
        <v/>
      </c>
      <c r="B4888" s="11" t="str">
        <f>IF(INPUT!M4883="","",INPUT!M4883-WEEKDAY(INPUT!M4883,2)+1)</f>
        <v/>
      </c>
      <c r="C4888" s="20">
        <f>IFERROR(_xlfn.ISOWEEKNUM(INPUT!M4883),"")</f>
        <v>52</v>
      </c>
      <c r="D4888" s="20">
        <f>IFERROR(YEAR(INPUT!M4883),"")</f>
        <v>1900</v>
      </c>
      <c r="E4888" t="str">
        <f>IF(INPUT!O4883="","",INPUT!O4883)</f>
        <v/>
      </c>
      <c r="F4888" t="str">
        <f>IF(INPUT!N4883="","",INPUT!N4883)</f>
        <v/>
      </c>
      <c r="G4888" cm="1">
        <f t="array" ref="G4888">IFERROR(VLOOKUP(INPUT!M4883&amp;INPUT!N4883,CHOOSE({1,2},INPUT!$A$3:$A$5000&amp;INPUT!$C$3:$C$5000,INPUT!$F$3:$F$5000),2,FALSE),"")</f>
        <v>0</v>
      </c>
      <c r="H4888" cm="1">
        <f t="array" ref="H4888">IFERROR(VLOOKUP(INPUT!M4883&amp;INPUT!N4883,CHOOSE({1,2},INPUT!$A$3:$A$5000&amp;INPUT!$C$3:$C$5000,INPUT!$D$3:$D$5000),2,FALSE),"")</f>
        <v>0</v>
      </c>
      <c r="I4888" s="46" t="str">
        <f>IF(INPUT!P4883="","",INPUT!P4883)</f>
        <v/>
      </c>
      <c r="J4888" s="46" t="str">
        <f>IF(INPUT!Q4883="","",INPUT!Q4883)</f>
        <v/>
      </c>
      <c r="K4888" s="46" t="str">
        <f>IFERROR(IF(OR(INPUT!P4883="",INPUT!Q4883=""),"",INPUT!P4883-INPUT!Q4883),"")</f>
        <v/>
      </c>
      <c r="L4888" s="48" t="str">
        <f>IFERROR(IF(OR(INPUT!P4883="",INPUT!Q4883="",INPUT!P4883=0),"",(INPUT!P4883-INPUT!Q4883)/INPUT!P4883),"")</f>
        <v/>
      </c>
    </row>
    <row r="4889" spans="1:12" ht="18" hidden="1" customHeight="1" x14ac:dyDescent="0.2">
      <c r="A4889" s="11" t="str">
        <f>IF(INPUT!M4884="","",INPUT!M4884)</f>
        <v/>
      </c>
      <c r="B4889" s="11" t="str">
        <f>IF(INPUT!M4884="","",INPUT!M4884-WEEKDAY(INPUT!M4884,2)+1)</f>
        <v/>
      </c>
      <c r="C4889" s="20">
        <f>IFERROR(_xlfn.ISOWEEKNUM(INPUT!M4884),"")</f>
        <v>52</v>
      </c>
      <c r="D4889" s="20">
        <f>IFERROR(YEAR(INPUT!M4884),"")</f>
        <v>1900</v>
      </c>
      <c r="E4889" t="str">
        <f>IF(INPUT!O4884="","",INPUT!O4884)</f>
        <v/>
      </c>
      <c r="F4889" t="str">
        <f>IF(INPUT!N4884="","",INPUT!N4884)</f>
        <v/>
      </c>
      <c r="G4889" cm="1">
        <f t="array" ref="G4889">IFERROR(VLOOKUP(INPUT!M4884&amp;INPUT!N4884,CHOOSE({1,2},INPUT!$A$3:$A$5000&amp;INPUT!$C$3:$C$5000,INPUT!$F$3:$F$5000),2,FALSE),"")</f>
        <v>0</v>
      </c>
      <c r="H4889" cm="1">
        <f t="array" ref="H4889">IFERROR(VLOOKUP(INPUT!M4884&amp;INPUT!N4884,CHOOSE({1,2},INPUT!$A$3:$A$5000&amp;INPUT!$C$3:$C$5000,INPUT!$D$3:$D$5000),2,FALSE),"")</f>
        <v>0</v>
      </c>
      <c r="I4889" s="46" t="str">
        <f>IF(INPUT!P4884="","",INPUT!P4884)</f>
        <v/>
      </c>
      <c r="J4889" s="46" t="str">
        <f>IF(INPUT!Q4884="","",INPUT!Q4884)</f>
        <v/>
      </c>
      <c r="K4889" s="46" t="str">
        <f>IFERROR(IF(OR(INPUT!P4884="",INPUT!Q4884=""),"",INPUT!P4884-INPUT!Q4884),"")</f>
        <v/>
      </c>
      <c r="L4889" s="48" t="str">
        <f>IFERROR(IF(OR(INPUT!P4884="",INPUT!Q4884="",INPUT!P4884=0),"",(INPUT!P4884-INPUT!Q4884)/INPUT!P4884),"")</f>
        <v/>
      </c>
    </row>
    <row r="4890" spans="1:12" ht="18" hidden="1" customHeight="1" x14ac:dyDescent="0.2">
      <c r="A4890" s="11" t="str">
        <f>IF(INPUT!M4885="","",INPUT!M4885)</f>
        <v/>
      </c>
      <c r="B4890" s="11" t="str">
        <f>IF(INPUT!M4885="","",INPUT!M4885-WEEKDAY(INPUT!M4885,2)+1)</f>
        <v/>
      </c>
      <c r="C4890" s="20">
        <f>IFERROR(_xlfn.ISOWEEKNUM(INPUT!M4885),"")</f>
        <v>52</v>
      </c>
      <c r="D4890" s="20">
        <f>IFERROR(YEAR(INPUT!M4885),"")</f>
        <v>1900</v>
      </c>
      <c r="E4890" t="str">
        <f>IF(INPUT!O4885="","",INPUT!O4885)</f>
        <v/>
      </c>
      <c r="F4890" t="str">
        <f>IF(INPUT!N4885="","",INPUT!N4885)</f>
        <v/>
      </c>
      <c r="G4890" cm="1">
        <f t="array" ref="G4890">IFERROR(VLOOKUP(INPUT!M4885&amp;INPUT!N4885,CHOOSE({1,2},INPUT!$A$3:$A$5000&amp;INPUT!$C$3:$C$5000,INPUT!$F$3:$F$5000),2,FALSE),"")</f>
        <v>0</v>
      </c>
      <c r="H4890" cm="1">
        <f t="array" ref="H4890">IFERROR(VLOOKUP(INPUT!M4885&amp;INPUT!N4885,CHOOSE({1,2},INPUT!$A$3:$A$5000&amp;INPUT!$C$3:$C$5000,INPUT!$D$3:$D$5000),2,FALSE),"")</f>
        <v>0</v>
      </c>
      <c r="I4890" s="46" t="str">
        <f>IF(INPUT!P4885="","",INPUT!P4885)</f>
        <v/>
      </c>
      <c r="J4890" s="46" t="str">
        <f>IF(INPUT!Q4885="","",INPUT!Q4885)</f>
        <v/>
      </c>
      <c r="K4890" s="46" t="str">
        <f>IFERROR(IF(OR(INPUT!P4885="",INPUT!Q4885=""),"",INPUT!P4885-INPUT!Q4885),"")</f>
        <v/>
      </c>
      <c r="L4890" s="48" t="str">
        <f>IFERROR(IF(OR(INPUT!P4885="",INPUT!Q4885="",INPUT!P4885=0),"",(INPUT!P4885-INPUT!Q4885)/INPUT!P4885),"")</f>
        <v/>
      </c>
    </row>
    <row r="4891" spans="1:12" ht="18" hidden="1" customHeight="1" x14ac:dyDescent="0.2">
      <c r="A4891" s="11" t="str">
        <f>IF(INPUT!M4886="","",INPUT!M4886)</f>
        <v/>
      </c>
      <c r="B4891" s="11" t="str">
        <f>IF(INPUT!M4886="","",INPUT!M4886-WEEKDAY(INPUT!M4886,2)+1)</f>
        <v/>
      </c>
      <c r="C4891" s="20">
        <f>IFERROR(_xlfn.ISOWEEKNUM(INPUT!M4886),"")</f>
        <v>52</v>
      </c>
      <c r="D4891" s="20">
        <f>IFERROR(YEAR(INPUT!M4886),"")</f>
        <v>1900</v>
      </c>
      <c r="E4891" t="str">
        <f>IF(INPUT!O4886="","",INPUT!O4886)</f>
        <v/>
      </c>
      <c r="F4891" t="str">
        <f>IF(INPUT!N4886="","",INPUT!N4886)</f>
        <v/>
      </c>
      <c r="G4891" cm="1">
        <f t="array" ref="G4891">IFERROR(VLOOKUP(INPUT!M4886&amp;INPUT!N4886,CHOOSE({1,2},INPUT!$A$3:$A$5000&amp;INPUT!$C$3:$C$5000,INPUT!$F$3:$F$5000),2,FALSE),"")</f>
        <v>0</v>
      </c>
      <c r="H4891" cm="1">
        <f t="array" ref="H4891">IFERROR(VLOOKUP(INPUT!M4886&amp;INPUT!N4886,CHOOSE({1,2},INPUT!$A$3:$A$5000&amp;INPUT!$C$3:$C$5000,INPUT!$D$3:$D$5000),2,FALSE),"")</f>
        <v>0</v>
      </c>
      <c r="I4891" s="46" t="str">
        <f>IF(INPUT!P4886="","",INPUT!P4886)</f>
        <v/>
      </c>
      <c r="J4891" s="46" t="str">
        <f>IF(INPUT!Q4886="","",INPUT!Q4886)</f>
        <v/>
      </c>
      <c r="K4891" s="46" t="str">
        <f>IFERROR(IF(OR(INPUT!P4886="",INPUT!Q4886=""),"",INPUT!P4886-INPUT!Q4886),"")</f>
        <v/>
      </c>
      <c r="L4891" s="48" t="str">
        <f>IFERROR(IF(OR(INPUT!P4886="",INPUT!Q4886="",INPUT!P4886=0),"",(INPUT!P4886-INPUT!Q4886)/INPUT!P4886),"")</f>
        <v/>
      </c>
    </row>
    <row r="4892" spans="1:12" ht="18" hidden="1" customHeight="1" x14ac:dyDescent="0.2">
      <c r="A4892" s="11" t="str">
        <f>IF(INPUT!M4887="","",INPUT!M4887)</f>
        <v/>
      </c>
      <c r="B4892" s="11" t="str">
        <f>IF(INPUT!M4887="","",INPUT!M4887-WEEKDAY(INPUT!M4887,2)+1)</f>
        <v/>
      </c>
      <c r="C4892" s="20">
        <f>IFERROR(_xlfn.ISOWEEKNUM(INPUT!M4887),"")</f>
        <v>52</v>
      </c>
      <c r="D4892" s="20">
        <f>IFERROR(YEAR(INPUT!M4887),"")</f>
        <v>1900</v>
      </c>
      <c r="E4892" t="str">
        <f>IF(INPUT!O4887="","",INPUT!O4887)</f>
        <v/>
      </c>
      <c r="F4892" t="str">
        <f>IF(INPUT!N4887="","",INPUT!N4887)</f>
        <v/>
      </c>
      <c r="G4892" cm="1">
        <f t="array" ref="G4892">IFERROR(VLOOKUP(INPUT!M4887&amp;INPUT!N4887,CHOOSE({1,2},INPUT!$A$3:$A$5000&amp;INPUT!$C$3:$C$5000,INPUT!$F$3:$F$5000),2,FALSE),"")</f>
        <v>0</v>
      </c>
      <c r="H4892" cm="1">
        <f t="array" ref="H4892">IFERROR(VLOOKUP(INPUT!M4887&amp;INPUT!N4887,CHOOSE({1,2},INPUT!$A$3:$A$5000&amp;INPUT!$C$3:$C$5000,INPUT!$D$3:$D$5000),2,FALSE),"")</f>
        <v>0</v>
      </c>
      <c r="I4892" s="46" t="str">
        <f>IF(INPUT!P4887="","",INPUT!P4887)</f>
        <v/>
      </c>
      <c r="J4892" s="46" t="str">
        <f>IF(INPUT!Q4887="","",INPUT!Q4887)</f>
        <v/>
      </c>
      <c r="K4892" s="46" t="str">
        <f>IFERROR(IF(OR(INPUT!P4887="",INPUT!Q4887=""),"",INPUT!P4887-INPUT!Q4887),"")</f>
        <v/>
      </c>
      <c r="L4892" s="48" t="str">
        <f>IFERROR(IF(OR(INPUT!P4887="",INPUT!Q4887="",INPUT!P4887=0),"",(INPUT!P4887-INPUT!Q4887)/INPUT!P4887),"")</f>
        <v/>
      </c>
    </row>
    <row r="4893" spans="1:12" ht="18" hidden="1" customHeight="1" x14ac:dyDescent="0.2">
      <c r="A4893" s="11" t="str">
        <f>IF(INPUT!M4888="","",INPUT!M4888)</f>
        <v/>
      </c>
      <c r="B4893" s="11" t="str">
        <f>IF(INPUT!M4888="","",INPUT!M4888-WEEKDAY(INPUT!M4888,2)+1)</f>
        <v/>
      </c>
      <c r="C4893" s="20">
        <f>IFERROR(_xlfn.ISOWEEKNUM(INPUT!M4888),"")</f>
        <v>52</v>
      </c>
      <c r="D4893" s="20">
        <f>IFERROR(YEAR(INPUT!M4888),"")</f>
        <v>1900</v>
      </c>
      <c r="E4893" t="str">
        <f>IF(INPUT!O4888="","",INPUT!O4888)</f>
        <v/>
      </c>
      <c r="F4893" t="str">
        <f>IF(INPUT!N4888="","",INPUT!N4888)</f>
        <v/>
      </c>
      <c r="G4893" cm="1">
        <f t="array" ref="G4893">IFERROR(VLOOKUP(INPUT!M4888&amp;INPUT!N4888,CHOOSE({1,2},INPUT!$A$3:$A$5000&amp;INPUT!$C$3:$C$5000,INPUT!$F$3:$F$5000),2,FALSE),"")</f>
        <v>0</v>
      </c>
      <c r="H4893" cm="1">
        <f t="array" ref="H4893">IFERROR(VLOOKUP(INPUT!M4888&amp;INPUT!N4888,CHOOSE({1,2},INPUT!$A$3:$A$5000&amp;INPUT!$C$3:$C$5000,INPUT!$D$3:$D$5000),2,FALSE),"")</f>
        <v>0</v>
      </c>
      <c r="I4893" s="46" t="str">
        <f>IF(INPUT!P4888="","",INPUT!P4888)</f>
        <v/>
      </c>
      <c r="J4893" s="46" t="str">
        <f>IF(INPUT!Q4888="","",INPUT!Q4888)</f>
        <v/>
      </c>
      <c r="K4893" s="46" t="str">
        <f>IFERROR(IF(OR(INPUT!P4888="",INPUT!Q4888=""),"",INPUT!P4888-INPUT!Q4888),"")</f>
        <v/>
      </c>
      <c r="L4893" s="48" t="str">
        <f>IFERROR(IF(OR(INPUT!P4888="",INPUT!Q4888="",INPUT!P4888=0),"",(INPUT!P4888-INPUT!Q4888)/INPUT!P4888),"")</f>
        <v/>
      </c>
    </row>
    <row r="4894" spans="1:12" ht="18" hidden="1" customHeight="1" x14ac:dyDescent="0.2">
      <c r="A4894" s="11" t="str">
        <f>IF(INPUT!M4889="","",INPUT!M4889)</f>
        <v/>
      </c>
      <c r="B4894" s="11" t="str">
        <f>IF(INPUT!M4889="","",INPUT!M4889-WEEKDAY(INPUT!M4889,2)+1)</f>
        <v/>
      </c>
      <c r="C4894" s="20">
        <f>IFERROR(_xlfn.ISOWEEKNUM(INPUT!M4889),"")</f>
        <v>52</v>
      </c>
      <c r="D4894" s="20">
        <f>IFERROR(YEAR(INPUT!M4889),"")</f>
        <v>1900</v>
      </c>
      <c r="E4894" t="str">
        <f>IF(INPUT!O4889="","",INPUT!O4889)</f>
        <v/>
      </c>
      <c r="F4894" t="str">
        <f>IF(INPUT!N4889="","",INPUT!N4889)</f>
        <v/>
      </c>
      <c r="G4894" cm="1">
        <f t="array" ref="G4894">IFERROR(VLOOKUP(INPUT!M4889&amp;INPUT!N4889,CHOOSE({1,2},INPUT!$A$3:$A$5000&amp;INPUT!$C$3:$C$5000,INPUT!$F$3:$F$5000),2,FALSE),"")</f>
        <v>0</v>
      </c>
      <c r="H4894" cm="1">
        <f t="array" ref="H4894">IFERROR(VLOOKUP(INPUT!M4889&amp;INPUT!N4889,CHOOSE({1,2},INPUT!$A$3:$A$5000&amp;INPUT!$C$3:$C$5000,INPUT!$D$3:$D$5000),2,FALSE),"")</f>
        <v>0</v>
      </c>
      <c r="I4894" s="46" t="str">
        <f>IF(INPUT!P4889="","",INPUT!P4889)</f>
        <v/>
      </c>
      <c r="J4894" s="46" t="str">
        <f>IF(INPUT!Q4889="","",INPUT!Q4889)</f>
        <v/>
      </c>
      <c r="K4894" s="46" t="str">
        <f>IFERROR(IF(OR(INPUT!P4889="",INPUT!Q4889=""),"",INPUT!P4889-INPUT!Q4889),"")</f>
        <v/>
      </c>
      <c r="L4894" s="48" t="str">
        <f>IFERROR(IF(OR(INPUT!P4889="",INPUT!Q4889="",INPUT!P4889=0),"",(INPUT!P4889-INPUT!Q4889)/INPUT!P4889),"")</f>
        <v/>
      </c>
    </row>
    <row r="4895" spans="1:12" ht="18" hidden="1" customHeight="1" x14ac:dyDescent="0.2">
      <c r="A4895" s="11" t="str">
        <f>IF(INPUT!M4890="","",INPUT!M4890)</f>
        <v/>
      </c>
      <c r="B4895" s="11" t="str">
        <f>IF(INPUT!M4890="","",INPUT!M4890-WEEKDAY(INPUT!M4890,2)+1)</f>
        <v/>
      </c>
      <c r="C4895" s="20">
        <f>IFERROR(_xlfn.ISOWEEKNUM(INPUT!M4890),"")</f>
        <v>52</v>
      </c>
      <c r="D4895" s="20">
        <f>IFERROR(YEAR(INPUT!M4890),"")</f>
        <v>1900</v>
      </c>
      <c r="E4895" t="str">
        <f>IF(INPUT!O4890="","",INPUT!O4890)</f>
        <v/>
      </c>
      <c r="F4895" t="str">
        <f>IF(INPUT!N4890="","",INPUT!N4890)</f>
        <v/>
      </c>
      <c r="G4895" cm="1">
        <f t="array" ref="G4895">IFERROR(VLOOKUP(INPUT!M4890&amp;INPUT!N4890,CHOOSE({1,2},INPUT!$A$3:$A$5000&amp;INPUT!$C$3:$C$5000,INPUT!$F$3:$F$5000),2,FALSE),"")</f>
        <v>0</v>
      </c>
      <c r="H4895" cm="1">
        <f t="array" ref="H4895">IFERROR(VLOOKUP(INPUT!M4890&amp;INPUT!N4890,CHOOSE({1,2},INPUT!$A$3:$A$5000&amp;INPUT!$C$3:$C$5000,INPUT!$D$3:$D$5000),2,FALSE),"")</f>
        <v>0</v>
      </c>
      <c r="I4895" s="46" t="str">
        <f>IF(INPUT!P4890="","",INPUT!P4890)</f>
        <v/>
      </c>
      <c r="J4895" s="46" t="str">
        <f>IF(INPUT!Q4890="","",INPUT!Q4890)</f>
        <v/>
      </c>
      <c r="K4895" s="46" t="str">
        <f>IFERROR(IF(OR(INPUT!P4890="",INPUT!Q4890=""),"",INPUT!P4890-INPUT!Q4890),"")</f>
        <v/>
      </c>
      <c r="L4895" s="48" t="str">
        <f>IFERROR(IF(OR(INPUT!P4890="",INPUT!Q4890="",INPUT!P4890=0),"",(INPUT!P4890-INPUT!Q4890)/INPUT!P4890),"")</f>
        <v/>
      </c>
    </row>
    <row r="4896" spans="1:12" ht="18" hidden="1" customHeight="1" x14ac:dyDescent="0.2">
      <c r="A4896" s="11" t="str">
        <f>IF(INPUT!M4891="","",INPUT!M4891)</f>
        <v/>
      </c>
      <c r="B4896" s="11" t="str">
        <f>IF(INPUT!M4891="","",INPUT!M4891-WEEKDAY(INPUT!M4891,2)+1)</f>
        <v/>
      </c>
      <c r="C4896" s="20">
        <f>IFERROR(_xlfn.ISOWEEKNUM(INPUT!M4891),"")</f>
        <v>52</v>
      </c>
      <c r="D4896" s="20">
        <f>IFERROR(YEAR(INPUT!M4891),"")</f>
        <v>1900</v>
      </c>
      <c r="E4896" t="str">
        <f>IF(INPUT!O4891="","",INPUT!O4891)</f>
        <v/>
      </c>
      <c r="F4896" t="str">
        <f>IF(INPUT!N4891="","",INPUT!N4891)</f>
        <v/>
      </c>
      <c r="G4896" cm="1">
        <f t="array" ref="G4896">IFERROR(VLOOKUP(INPUT!M4891&amp;INPUT!N4891,CHOOSE({1,2},INPUT!$A$3:$A$5000&amp;INPUT!$C$3:$C$5000,INPUT!$F$3:$F$5000),2,FALSE),"")</f>
        <v>0</v>
      </c>
      <c r="H4896" cm="1">
        <f t="array" ref="H4896">IFERROR(VLOOKUP(INPUT!M4891&amp;INPUT!N4891,CHOOSE({1,2},INPUT!$A$3:$A$5000&amp;INPUT!$C$3:$C$5000,INPUT!$D$3:$D$5000),2,FALSE),"")</f>
        <v>0</v>
      </c>
      <c r="I4896" s="46" t="str">
        <f>IF(INPUT!P4891="","",INPUT!P4891)</f>
        <v/>
      </c>
      <c r="J4896" s="46" t="str">
        <f>IF(INPUT!Q4891="","",INPUT!Q4891)</f>
        <v/>
      </c>
      <c r="K4896" s="46" t="str">
        <f>IFERROR(IF(OR(INPUT!P4891="",INPUT!Q4891=""),"",INPUT!P4891-INPUT!Q4891),"")</f>
        <v/>
      </c>
      <c r="L4896" s="48" t="str">
        <f>IFERROR(IF(OR(INPUT!P4891="",INPUT!Q4891="",INPUT!P4891=0),"",(INPUT!P4891-INPUT!Q4891)/INPUT!P4891),"")</f>
        <v/>
      </c>
    </row>
    <row r="4897" spans="1:12" ht="18" hidden="1" customHeight="1" x14ac:dyDescent="0.2">
      <c r="A4897" s="11" t="str">
        <f>IF(INPUT!M4892="","",INPUT!M4892)</f>
        <v/>
      </c>
      <c r="B4897" s="11" t="str">
        <f>IF(INPUT!M4892="","",INPUT!M4892-WEEKDAY(INPUT!M4892,2)+1)</f>
        <v/>
      </c>
      <c r="C4897" s="20">
        <f>IFERROR(_xlfn.ISOWEEKNUM(INPUT!M4892),"")</f>
        <v>52</v>
      </c>
      <c r="D4897" s="20">
        <f>IFERROR(YEAR(INPUT!M4892),"")</f>
        <v>1900</v>
      </c>
      <c r="E4897" t="str">
        <f>IF(INPUT!O4892="","",INPUT!O4892)</f>
        <v/>
      </c>
      <c r="F4897" t="str">
        <f>IF(INPUT!N4892="","",INPUT!N4892)</f>
        <v/>
      </c>
      <c r="G4897" cm="1">
        <f t="array" ref="G4897">IFERROR(VLOOKUP(INPUT!M4892&amp;INPUT!N4892,CHOOSE({1,2},INPUT!$A$3:$A$5000&amp;INPUT!$C$3:$C$5000,INPUT!$F$3:$F$5000),2,FALSE),"")</f>
        <v>0</v>
      </c>
      <c r="H4897" cm="1">
        <f t="array" ref="H4897">IFERROR(VLOOKUP(INPUT!M4892&amp;INPUT!N4892,CHOOSE({1,2},INPUT!$A$3:$A$5000&amp;INPUT!$C$3:$C$5000,INPUT!$D$3:$D$5000),2,FALSE),"")</f>
        <v>0</v>
      </c>
      <c r="I4897" s="46" t="str">
        <f>IF(INPUT!P4892="","",INPUT!P4892)</f>
        <v/>
      </c>
      <c r="J4897" s="46" t="str">
        <f>IF(INPUT!Q4892="","",INPUT!Q4892)</f>
        <v/>
      </c>
      <c r="K4897" s="46" t="str">
        <f>IFERROR(IF(OR(INPUT!P4892="",INPUT!Q4892=""),"",INPUT!P4892-INPUT!Q4892),"")</f>
        <v/>
      </c>
      <c r="L4897" s="48" t="str">
        <f>IFERROR(IF(OR(INPUT!P4892="",INPUT!Q4892="",INPUT!P4892=0),"",(INPUT!P4892-INPUT!Q4892)/INPUT!P4892),"")</f>
        <v/>
      </c>
    </row>
    <row r="4898" spans="1:12" ht="18" hidden="1" customHeight="1" x14ac:dyDescent="0.2">
      <c r="A4898" s="11" t="str">
        <f>IF(INPUT!M4893="","",INPUT!M4893)</f>
        <v/>
      </c>
      <c r="B4898" s="11" t="str">
        <f>IF(INPUT!M4893="","",INPUT!M4893-WEEKDAY(INPUT!M4893,2)+1)</f>
        <v/>
      </c>
      <c r="C4898" s="20">
        <f>IFERROR(_xlfn.ISOWEEKNUM(INPUT!M4893),"")</f>
        <v>52</v>
      </c>
      <c r="D4898" s="20">
        <f>IFERROR(YEAR(INPUT!M4893),"")</f>
        <v>1900</v>
      </c>
      <c r="E4898" t="str">
        <f>IF(INPUT!O4893="","",INPUT!O4893)</f>
        <v/>
      </c>
      <c r="F4898" t="str">
        <f>IF(INPUT!N4893="","",INPUT!N4893)</f>
        <v/>
      </c>
      <c r="G4898" cm="1">
        <f t="array" ref="G4898">IFERROR(VLOOKUP(INPUT!M4893&amp;INPUT!N4893,CHOOSE({1,2},INPUT!$A$3:$A$5000&amp;INPUT!$C$3:$C$5000,INPUT!$F$3:$F$5000),2,FALSE),"")</f>
        <v>0</v>
      </c>
      <c r="H4898" cm="1">
        <f t="array" ref="H4898">IFERROR(VLOOKUP(INPUT!M4893&amp;INPUT!N4893,CHOOSE({1,2},INPUT!$A$3:$A$5000&amp;INPUT!$C$3:$C$5000,INPUT!$D$3:$D$5000),2,FALSE),"")</f>
        <v>0</v>
      </c>
      <c r="I4898" s="46" t="str">
        <f>IF(INPUT!P4893="","",INPUT!P4893)</f>
        <v/>
      </c>
      <c r="J4898" s="46" t="str">
        <f>IF(INPUT!Q4893="","",INPUT!Q4893)</f>
        <v/>
      </c>
      <c r="K4898" s="46" t="str">
        <f>IFERROR(IF(OR(INPUT!P4893="",INPUT!Q4893=""),"",INPUT!P4893-INPUT!Q4893),"")</f>
        <v/>
      </c>
      <c r="L4898" s="48" t="str">
        <f>IFERROR(IF(OR(INPUT!P4893="",INPUT!Q4893="",INPUT!P4893=0),"",(INPUT!P4893-INPUT!Q4893)/INPUT!P4893),"")</f>
        <v/>
      </c>
    </row>
    <row r="4899" spans="1:12" ht="18" hidden="1" customHeight="1" x14ac:dyDescent="0.2">
      <c r="A4899" s="11" t="str">
        <f>IF(INPUT!M4894="","",INPUT!M4894)</f>
        <v/>
      </c>
      <c r="B4899" s="11" t="str">
        <f>IF(INPUT!M4894="","",INPUT!M4894-WEEKDAY(INPUT!M4894,2)+1)</f>
        <v/>
      </c>
      <c r="C4899" s="20">
        <f>IFERROR(_xlfn.ISOWEEKNUM(INPUT!M4894),"")</f>
        <v>52</v>
      </c>
      <c r="D4899" s="20">
        <f>IFERROR(YEAR(INPUT!M4894),"")</f>
        <v>1900</v>
      </c>
      <c r="E4899" t="str">
        <f>IF(INPUT!O4894="","",INPUT!O4894)</f>
        <v/>
      </c>
      <c r="F4899" t="str">
        <f>IF(INPUT!N4894="","",INPUT!N4894)</f>
        <v/>
      </c>
      <c r="G4899" cm="1">
        <f t="array" ref="G4899">IFERROR(VLOOKUP(INPUT!M4894&amp;INPUT!N4894,CHOOSE({1,2},INPUT!$A$3:$A$5000&amp;INPUT!$C$3:$C$5000,INPUT!$F$3:$F$5000),2,FALSE),"")</f>
        <v>0</v>
      </c>
      <c r="H4899" cm="1">
        <f t="array" ref="H4899">IFERROR(VLOOKUP(INPUT!M4894&amp;INPUT!N4894,CHOOSE({1,2},INPUT!$A$3:$A$5000&amp;INPUT!$C$3:$C$5000,INPUT!$D$3:$D$5000),2,FALSE),"")</f>
        <v>0</v>
      </c>
      <c r="I4899" s="46" t="str">
        <f>IF(INPUT!P4894="","",INPUT!P4894)</f>
        <v/>
      </c>
      <c r="J4899" s="46" t="str">
        <f>IF(INPUT!Q4894="","",INPUT!Q4894)</f>
        <v/>
      </c>
      <c r="K4899" s="46" t="str">
        <f>IFERROR(IF(OR(INPUT!P4894="",INPUT!Q4894=""),"",INPUT!P4894-INPUT!Q4894),"")</f>
        <v/>
      </c>
      <c r="L4899" s="48" t="str">
        <f>IFERROR(IF(OR(INPUT!P4894="",INPUT!Q4894="",INPUT!P4894=0),"",(INPUT!P4894-INPUT!Q4894)/INPUT!P4894),"")</f>
        <v/>
      </c>
    </row>
    <row r="4900" spans="1:12" ht="18" hidden="1" customHeight="1" x14ac:dyDescent="0.2">
      <c r="A4900" s="11" t="str">
        <f>IF(INPUT!M4895="","",INPUT!M4895)</f>
        <v/>
      </c>
      <c r="B4900" s="11" t="str">
        <f>IF(INPUT!M4895="","",INPUT!M4895-WEEKDAY(INPUT!M4895,2)+1)</f>
        <v/>
      </c>
      <c r="C4900" s="20">
        <f>IFERROR(_xlfn.ISOWEEKNUM(INPUT!M4895),"")</f>
        <v>52</v>
      </c>
      <c r="D4900" s="20">
        <f>IFERROR(YEAR(INPUT!M4895),"")</f>
        <v>1900</v>
      </c>
      <c r="E4900" t="str">
        <f>IF(INPUT!O4895="","",INPUT!O4895)</f>
        <v/>
      </c>
      <c r="F4900" t="str">
        <f>IF(INPUT!N4895="","",INPUT!N4895)</f>
        <v/>
      </c>
      <c r="G4900" cm="1">
        <f t="array" ref="G4900">IFERROR(VLOOKUP(INPUT!M4895&amp;INPUT!N4895,CHOOSE({1,2},INPUT!$A$3:$A$5000&amp;INPUT!$C$3:$C$5000,INPUT!$F$3:$F$5000),2,FALSE),"")</f>
        <v>0</v>
      </c>
      <c r="H4900" cm="1">
        <f t="array" ref="H4900">IFERROR(VLOOKUP(INPUT!M4895&amp;INPUT!N4895,CHOOSE({1,2},INPUT!$A$3:$A$5000&amp;INPUT!$C$3:$C$5000,INPUT!$D$3:$D$5000),2,FALSE),"")</f>
        <v>0</v>
      </c>
      <c r="I4900" s="46" t="str">
        <f>IF(INPUT!P4895="","",INPUT!P4895)</f>
        <v/>
      </c>
      <c r="J4900" s="46" t="str">
        <f>IF(INPUT!Q4895="","",INPUT!Q4895)</f>
        <v/>
      </c>
      <c r="K4900" s="46" t="str">
        <f>IFERROR(IF(OR(INPUT!P4895="",INPUT!Q4895=""),"",INPUT!P4895-INPUT!Q4895),"")</f>
        <v/>
      </c>
      <c r="L4900" s="48" t="str">
        <f>IFERROR(IF(OR(INPUT!P4895="",INPUT!Q4895="",INPUT!P4895=0),"",(INPUT!P4895-INPUT!Q4895)/INPUT!P4895),"")</f>
        <v/>
      </c>
    </row>
    <row r="4901" spans="1:12" ht="18" hidden="1" customHeight="1" x14ac:dyDescent="0.2">
      <c r="A4901" s="11" t="str">
        <f>IF(INPUT!M4896="","",INPUT!M4896)</f>
        <v/>
      </c>
      <c r="B4901" s="11" t="str">
        <f>IF(INPUT!M4896="","",INPUT!M4896-WEEKDAY(INPUT!M4896,2)+1)</f>
        <v/>
      </c>
      <c r="C4901" s="20">
        <f>IFERROR(_xlfn.ISOWEEKNUM(INPUT!M4896),"")</f>
        <v>52</v>
      </c>
      <c r="D4901" s="20">
        <f>IFERROR(YEAR(INPUT!M4896),"")</f>
        <v>1900</v>
      </c>
      <c r="E4901" t="str">
        <f>IF(INPUT!O4896="","",INPUT!O4896)</f>
        <v/>
      </c>
      <c r="F4901" t="str">
        <f>IF(INPUT!N4896="","",INPUT!N4896)</f>
        <v/>
      </c>
      <c r="G4901" cm="1">
        <f t="array" ref="G4901">IFERROR(VLOOKUP(INPUT!M4896&amp;INPUT!N4896,CHOOSE({1,2},INPUT!$A$3:$A$5000&amp;INPUT!$C$3:$C$5000,INPUT!$F$3:$F$5000),2,FALSE),"")</f>
        <v>0</v>
      </c>
      <c r="H4901" cm="1">
        <f t="array" ref="H4901">IFERROR(VLOOKUP(INPUT!M4896&amp;INPUT!N4896,CHOOSE({1,2},INPUT!$A$3:$A$5000&amp;INPUT!$C$3:$C$5000,INPUT!$D$3:$D$5000),2,FALSE),"")</f>
        <v>0</v>
      </c>
      <c r="I4901" s="46" t="str">
        <f>IF(INPUT!P4896="","",INPUT!P4896)</f>
        <v/>
      </c>
      <c r="J4901" s="46" t="str">
        <f>IF(INPUT!Q4896="","",INPUT!Q4896)</f>
        <v/>
      </c>
      <c r="K4901" s="46" t="str">
        <f>IFERROR(IF(OR(INPUT!P4896="",INPUT!Q4896=""),"",INPUT!P4896-INPUT!Q4896),"")</f>
        <v/>
      </c>
      <c r="L4901" s="48" t="str">
        <f>IFERROR(IF(OR(INPUT!P4896="",INPUT!Q4896="",INPUT!P4896=0),"",(INPUT!P4896-INPUT!Q4896)/INPUT!P4896),"")</f>
        <v/>
      </c>
    </row>
    <row r="4902" spans="1:12" ht="18" hidden="1" customHeight="1" x14ac:dyDescent="0.2">
      <c r="A4902" s="11" t="str">
        <f>IF(INPUT!M4897="","",INPUT!M4897)</f>
        <v/>
      </c>
      <c r="B4902" s="11" t="str">
        <f>IF(INPUT!M4897="","",INPUT!M4897-WEEKDAY(INPUT!M4897,2)+1)</f>
        <v/>
      </c>
      <c r="C4902" s="20">
        <f>IFERROR(_xlfn.ISOWEEKNUM(INPUT!M4897),"")</f>
        <v>52</v>
      </c>
      <c r="D4902" s="20">
        <f>IFERROR(YEAR(INPUT!M4897),"")</f>
        <v>1900</v>
      </c>
      <c r="E4902" t="str">
        <f>IF(INPUT!O4897="","",INPUT!O4897)</f>
        <v/>
      </c>
      <c r="F4902" t="str">
        <f>IF(INPUT!N4897="","",INPUT!N4897)</f>
        <v/>
      </c>
      <c r="G4902" cm="1">
        <f t="array" ref="G4902">IFERROR(VLOOKUP(INPUT!M4897&amp;INPUT!N4897,CHOOSE({1,2},INPUT!$A$3:$A$5000&amp;INPUT!$C$3:$C$5000,INPUT!$F$3:$F$5000),2,FALSE),"")</f>
        <v>0</v>
      </c>
      <c r="H4902" cm="1">
        <f t="array" ref="H4902">IFERROR(VLOOKUP(INPUT!M4897&amp;INPUT!N4897,CHOOSE({1,2},INPUT!$A$3:$A$5000&amp;INPUT!$C$3:$C$5000,INPUT!$D$3:$D$5000),2,FALSE),"")</f>
        <v>0</v>
      </c>
      <c r="I4902" s="46" t="str">
        <f>IF(INPUT!P4897="","",INPUT!P4897)</f>
        <v/>
      </c>
      <c r="J4902" s="46" t="str">
        <f>IF(INPUT!Q4897="","",INPUT!Q4897)</f>
        <v/>
      </c>
      <c r="K4902" s="46" t="str">
        <f>IFERROR(IF(OR(INPUT!P4897="",INPUT!Q4897=""),"",INPUT!P4897-INPUT!Q4897),"")</f>
        <v/>
      </c>
      <c r="L4902" s="48" t="str">
        <f>IFERROR(IF(OR(INPUT!P4897="",INPUT!Q4897="",INPUT!P4897=0),"",(INPUT!P4897-INPUT!Q4897)/INPUT!P4897),"")</f>
        <v/>
      </c>
    </row>
    <row r="4903" spans="1:12" ht="18" hidden="1" customHeight="1" x14ac:dyDescent="0.2">
      <c r="A4903" s="11" t="str">
        <f>IF(INPUT!M4898="","",INPUT!M4898)</f>
        <v/>
      </c>
      <c r="B4903" s="11" t="str">
        <f>IF(INPUT!M4898="","",INPUT!M4898-WEEKDAY(INPUT!M4898,2)+1)</f>
        <v/>
      </c>
      <c r="C4903" s="20">
        <f>IFERROR(_xlfn.ISOWEEKNUM(INPUT!M4898),"")</f>
        <v>52</v>
      </c>
      <c r="D4903" s="20">
        <f>IFERROR(YEAR(INPUT!M4898),"")</f>
        <v>1900</v>
      </c>
      <c r="E4903" t="str">
        <f>IF(INPUT!O4898="","",INPUT!O4898)</f>
        <v/>
      </c>
      <c r="F4903" t="str">
        <f>IF(INPUT!N4898="","",INPUT!N4898)</f>
        <v/>
      </c>
      <c r="G4903" cm="1">
        <f t="array" ref="G4903">IFERROR(VLOOKUP(INPUT!M4898&amp;INPUT!N4898,CHOOSE({1,2},INPUT!$A$3:$A$5000&amp;INPUT!$C$3:$C$5000,INPUT!$F$3:$F$5000),2,FALSE),"")</f>
        <v>0</v>
      </c>
      <c r="H4903" cm="1">
        <f t="array" ref="H4903">IFERROR(VLOOKUP(INPUT!M4898&amp;INPUT!N4898,CHOOSE({1,2},INPUT!$A$3:$A$5000&amp;INPUT!$C$3:$C$5000,INPUT!$D$3:$D$5000),2,FALSE),"")</f>
        <v>0</v>
      </c>
      <c r="I4903" s="46" t="str">
        <f>IF(INPUT!P4898="","",INPUT!P4898)</f>
        <v/>
      </c>
      <c r="J4903" s="46" t="str">
        <f>IF(INPUT!Q4898="","",INPUT!Q4898)</f>
        <v/>
      </c>
      <c r="K4903" s="46" t="str">
        <f>IFERROR(IF(OR(INPUT!P4898="",INPUT!Q4898=""),"",INPUT!P4898-INPUT!Q4898),"")</f>
        <v/>
      </c>
      <c r="L4903" s="48" t="str">
        <f>IFERROR(IF(OR(INPUT!P4898="",INPUT!Q4898="",INPUT!P4898=0),"",(INPUT!P4898-INPUT!Q4898)/INPUT!P4898),"")</f>
        <v/>
      </c>
    </row>
    <row r="4904" spans="1:12" ht="18" hidden="1" customHeight="1" x14ac:dyDescent="0.2">
      <c r="A4904" s="11" t="str">
        <f>IF(INPUT!M4899="","",INPUT!M4899)</f>
        <v/>
      </c>
      <c r="B4904" s="11" t="str">
        <f>IF(INPUT!M4899="","",INPUT!M4899-WEEKDAY(INPUT!M4899,2)+1)</f>
        <v/>
      </c>
      <c r="C4904" s="20">
        <f>IFERROR(_xlfn.ISOWEEKNUM(INPUT!M4899),"")</f>
        <v>52</v>
      </c>
      <c r="D4904" s="20">
        <f>IFERROR(YEAR(INPUT!M4899),"")</f>
        <v>1900</v>
      </c>
      <c r="E4904" t="str">
        <f>IF(INPUT!O4899="","",INPUT!O4899)</f>
        <v/>
      </c>
      <c r="F4904" t="str">
        <f>IF(INPUT!N4899="","",INPUT!N4899)</f>
        <v/>
      </c>
      <c r="G4904" cm="1">
        <f t="array" ref="G4904">IFERROR(VLOOKUP(INPUT!M4899&amp;INPUT!N4899,CHOOSE({1,2},INPUT!$A$3:$A$5000&amp;INPUT!$C$3:$C$5000,INPUT!$F$3:$F$5000),2,FALSE),"")</f>
        <v>0</v>
      </c>
      <c r="H4904" cm="1">
        <f t="array" ref="H4904">IFERROR(VLOOKUP(INPUT!M4899&amp;INPUT!N4899,CHOOSE({1,2},INPUT!$A$3:$A$5000&amp;INPUT!$C$3:$C$5000,INPUT!$D$3:$D$5000),2,FALSE),"")</f>
        <v>0</v>
      </c>
      <c r="I4904" s="46" t="str">
        <f>IF(INPUT!P4899="","",INPUT!P4899)</f>
        <v/>
      </c>
      <c r="J4904" s="46" t="str">
        <f>IF(INPUT!Q4899="","",INPUT!Q4899)</f>
        <v/>
      </c>
      <c r="K4904" s="46" t="str">
        <f>IFERROR(IF(OR(INPUT!P4899="",INPUT!Q4899=""),"",INPUT!P4899-INPUT!Q4899),"")</f>
        <v/>
      </c>
      <c r="L4904" s="48" t="str">
        <f>IFERROR(IF(OR(INPUT!P4899="",INPUT!Q4899="",INPUT!P4899=0),"",(INPUT!P4899-INPUT!Q4899)/INPUT!P4899),"")</f>
        <v/>
      </c>
    </row>
    <row r="4905" spans="1:12" ht="18" hidden="1" customHeight="1" x14ac:dyDescent="0.2">
      <c r="A4905" s="11" t="str">
        <f>IF(INPUT!M4900="","",INPUT!M4900)</f>
        <v/>
      </c>
      <c r="B4905" s="11" t="str">
        <f>IF(INPUT!M4900="","",INPUT!M4900-WEEKDAY(INPUT!M4900,2)+1)</f>
        <v/>
      </c>
      <c r="C4905" s="20">
        <f>IFERROR(_xlfn.ISOWEEKNUM(INPUT!M4900),"")</f>
        <v>52</v>
      </c>
      <c r="D4905" s="20">
        <f>IFERROR(YEAR(INPUT!M4900),"")</f>
        <v>1900</v>
      </c>
      <c r="E4905" t="str">
        <f>IF(INPUT!O4900="","",INPUT!O4900)</f>
        <v/>
      </c>
      <c r="F4905" t="str">
        <f>IF(INPUT!N4900="","",INPUT!N4900)</f>
        <v/>
      </c>
      <c r="G4905" cm="1">
        <f t="array" ref="G4905">IFERROR(VLOOKUP(INPUT!M4900&amp;INPUT!N4900,CHOOSE({1,2},INPUT!$A$3:$A$5000&amp;INPUT!$C$3:$C$5000,INPUT!$F$3:$F$5000),2,FALSE),"")</f>
        <v>0</v>
      </c>
      <c r="H4905" cm="1">
        <f t="array" ref="H4905">IFERROR(VLOOKUP(INPUT!M4900&amp;INPUT!N4900,CHOOSE({1,2},INPUT!$A$3:$A$5000&amp;INPUT!$C$3:$C$5000,INPUT!$D$3:$D$5000),2,FALSE),"")</f>
        <v>0</v>
      </c>
      <c r="I4905" s="46" t="str">
        <f>IF(INPUT!P4900="","",INPUT!P4900)</f>
        <v/>
      </c>
      <c r="J4905" s="46" t="str">
        <f>IF(INPUT!Q4900="","",INPUT!Q4900)</f>
        <v/>
      </c>
      <c r="K4905" s="46" t="str">
        <f>IFERROR(IF(OR(INPUT!P4900="",INPUT!Q4900=""),"",INPUT!P4900-INPUT!Q4900),"")</f>
        <v/>
      </c>
      <c r="L4905" s="48" t="str">
        <f>IFERROR(IF(OR(INPUT!P4900="",INPUT!Q4900="",INPUT!P4900=0),"",(INPUT!P4900-INPUT!Q4900)/INPUT!P4900),"")</f>
        <v/>
      </c>
    </row>
    <row r="4906" spans="1:12" ht="18" hidden="1" customHeight="1" x14ac:dyDescent="0.2">
      <c r="A4906" s="11" t="str">
        <f>IF(INPUT!M4901="","",INPUT!M4901)</f>
        <v/>
      </c>
      <c r="B4906" s="11" t="str">
        <f>IF(INPUT!M4901="","",INPUT!M4901-WEEKDAY(INPUT!M4901,2)+1)</f>
        <v/>
      </c>
      <c r="C4906" s="20">
        <f>IFERROR(_xlfn.ISOWEEKNUM(INPUT!M4901),"")</f>
        <v>52</v>
      </c>
      <c r="D4906" s="20">
        <f>IFERROR(YEAR(INPUT!M4901),"")</f>
        <v>1900</v>
      </c>
      <c r="E4906" t="str">
        <f>IF(INPUT!O4901="","",INPUT!O4901)</f>
        <v/>
      </c>
      <c r="F4906" t="str">
        <f>IF(INPUT!N4901="","",INPUT!N4901)</f>
        <v/>
      </c>
      <c r="G4906" cm="1">
        <f t="array" ref="G4906">IFERROR(VLOOKUP(INPUT!M4901&amp;INPUT!N4901,CHOOSE({1,2},INPUT!$A$3:$A$5000&amp;INPUT!$C$3:$C$5000,INPUT!$F$3:$F$5000),2,FALSE),"")</f>
        <v>0</v>
      </c>
      <c r="H4906" cm="1">
        <f t="array" ref="H4906">IFERROR(VLOOKUP(INPUT!M4901&amp;INPUT!N4901,CHOOSE({1,2},INPUT!$A$3:$A$5000&amp;INPUT!$C$3:$C$5000,INPUT!$D$3:$D$5000),2,FALSE),"")</f>
        <v>0</v>
      </c>
      <c r="I4906" s="46" t="str">
        <f>IF(INPUT!P4901="","",INPUT!P4901)</f>
        <v/>
      </c>
      <c r="J4906" s="46" t="str">
        <f>IF(INPUT!Q4901="","",INPUT!Q4901)</f>
        <v/>
      </c>
      <c r="K4906" s="46" t="str">
        <f>IFERROR(IF(OR(INPUT!P4901="",INPUT!Q4901=""),"",INPUT!P4901-INPUT!Q4901),"")</f>
        <v/>
      </c>
      <c r="L4906" s="48" t="str">
        <f>IFERROR(IF(OR(INPUT!P4901="",INPUT!Q4901="",INPUT!P4901=0),"",(INPUT!P4901-INPUT!Q4901)/INPUT!P4901),"")</f>
        <v/>
      </c>
    </row>
    <row r="4907" spans="1:12" ht="18" hidden="1" customHeight="1" x14ac:dyDescent="0.2">
      <c r="A4907" s="11" t="str">
        <f>IF(INPUT!M4902="","",INPUT!M4902)</f>
        <v/>
      </c>
      <c r="B4907" s="11" t="str">
        <f>IF(INPUT!M4902="","",INPUT!M4902-WEEKDAY(INPUT!M4902,2)+1)</f>
        <v/>
      </c>
      <c r="C4907" s="20">
        <f>IFERROR(_xlfn.ISOWEEKNUM(INPUT!M4902),"")</f>
        <v>52</v>
      </c>
      <c r="D4907" s="20">
        <f>IFERROR(YEAR(INPUT!M4902),"")</f>
        <v>1900</v>
      </c>
      <c r="E4907" t="str">
        <f>IF(INPUT!O4902="","",INPUT!O4902)</f>
        <v/>
      </c>
      <c r="F4907" t="str">
        <f>IF(INPUT!N4902="","",INPUT!N4902)</f>
        <v/>
      </c>
      <c r="G4907" cm="1">
        <f t="array" ref="G4907">IFERROR(VLOOKUP(INPUT!M4902&amp;INPUT!N4902,CHOOSE({1,2},INPUT!$A$3:$A$5000&amp;INPUT!$C$3:$C$5000,INPUT!$F$3:$F$5000),2,FALSE),"")</f>
        <v>0</v>
      </c>
      <c r="H4907" cm="1">
        <f t="array" ref="H4907">IFERROR(VLOOKUP(INPUT!M4902&amp;INPUT!N4902,CHOOSE({1,2},INPUT!$A$3:$A$5000&amp;INPUT!$C$3:$C$5000,INPUT!$D$3:$D$5000),2,FALSE),"")</f>
        <v>0</v>
      </c>
      <c r="I4907" s="46" t="str">
        <f>IF(INPUT!P4902="","",INPUT!P4902)</f>
        <v/>
      </c>
      <c r="J4907" s="46" t="str">
        <f>IF(INPUT!Q4902="","",INPUT!Q4902)</f>
        <v/>
      </c>
      <c r="K4907" s="46" t="str">
        <f>IFERROR(IF(OR(INPUT!P4902="",INPUT!Q4902=""),"",INPUT!P4902-INPUT!Q4902),"")</f>
        <v/>
      </c>
      <c r="L4907" s="48" t="str">
        <f>IFERROR(IF(OR(INPUT!P4902="",INPUT!Q4902="",INPUT!P4902=0),"",(INPUT!P4902-INPUT!Q4902)/INPUT!P4902),"")</f>
        <v/>
      </c>
    </row>
    <row r="4908" spans="1:12" ht="18" hidden="1" customHeight="1" x14ac:dyDescent="0.2">
      <c r="A4908" s="11" t="str">
        <f>IF(INPUT!M4903="","",INPUT!M4903)</f>
        <v/>
      </c>
      <c r="B4908" s="11" t="str">
        <f>IF(INPUT!M4903="","",INPUT!M4903-WEEKDAY(INPUT!M4903,2)+1)</f>
        <v/>
      </c>
      <c r="C4908" s="20">
        <f>IFERROR(_xlfn.ISOWEEKNUM(INPUT!M4903),"")</f>
        <v>52</v>
      </c>
      <c r="D4908" s="20">
        <f>IFERROR(YEAR(INPUT!M4903),"")</f>
        <v>1900</v>
      </c>
      <c r="E4908" t="str">
        <f>IF(INPUT!O4903="","",INPUT!O4903)</f>
        <v/>
      </c>
      <c r="F4908" t="str">
        <f>IF(INPUT!N4903="","",INPUT!N4903)</f>
        <v/>
      </c>
      <c r="G4908" cm="1">
        <f t="array" ref="G4908">IFERROR(VLOOKUP(INPUT!M4903&amp;INPUT!N4903,CHOOSE({1,2},INPUT!$A$3:$A$5000&amp;INPUT!$C$3:$C$5000,INPUT!$F$3:$F$5000),2,FALSE),"")</f>
        <v>0</v>
      </c>
      <c r="H4908" cm="1">
        <f t="array" ref="H4908">IFERROR(VLOOKUP(INPUT!M4903&amp;INPUT!N4903,CHOOSE({1,2},INPUT!$A$3:$A$5000&amp;INPUT!$C$3:$C$5000,INPUT!$D$3:$D$5000),2,FALSE),"")</f>
        <v>0</v>
      </c>
      <c r="I4908" s="46" t="str">
        <f>IF(INPUT!P4903="","",INPUT!P4903)</f>
        <v/>
      </c>
      <c r="J4908" s="46" t="str">
        <f>IF(INPUT!Q4903="","",INPUT!Q4903)</f>
        <v/>
      </c>
      <c r="K4908" s="46" t="str">
        <f>IFERROR(IF(OR(INPUT!P4903="",INPUT!Q4903=""),"",INPUT!P4903-INPUT!Q4903),"")</f>
        <v/>
      </c>
      <c r="L4908" s="48" t="str">
        <f>IFERROR(IF(OR(INPUT!P4903="",INPUT!Q4903="",INPUT!P4903=0),"",(INPUT!P4903-INPUT!Q4903)/INPUT!P4903),"")</f>
        <v/>
      </c>
    </row>
    <row r="4909" spans="1:12" ht="18" hidden="1" customHeight="1" x14ac:dyDescent="0.2">
      <c r="A4909" s="11" t="str">
        <f>IF(INPUT!M4904="","",INPUT!M4904)</f>
        <v/>
      </c>
      <c r="B4909" s="11" t="str">
        <f>IF(INPUT!M4904="","",INPUT!M4904-WEEKDAY(INPUT!M4904,2)+1)</f>
        <v/>
      </c>
      <c r="C4909" s="20">
        <f>IFERROR(_xlfn.ISOWEEKNUM(INPUT!M4904),"")</f>
        <v>52</v>
      </c>
      <c r="D4909" s="20">
        <f>IFERROR(YEAR(INPUT!M4904),"")</f>
        <v>1900</v>
      </c>
      <c r="E4909" t="str">
        <f>IF(INPUT!O4904="","",INPUT!O4904)</f>
        <v/>
      </c>
      <c r="F4909" t="str">
        <f>IF(INPUT!N4904="","",INPUT!N4904)</f>
        <v/>
      </c>
      <c r="G4909" cm="1">
        <f t="array" ref="G4909">IFERROR(VLOOKUP(INPUT!M4904&amp;INPUT!N4904,CHOOSE({1,2},INPUT!$A$3:$A$5000&amp;INPUT!$C$3:$C$5000,INPUT!$F$3:$F$5000),2,FALSE),"")</f>
        <v>0</v>
      </c>
      <c r="H4909" cm="1">
        <f t="array" ref="H4909">IFERROR(VLOOKUP(INPUT!M4904&amp;INPUT!N4904,CHOOSE({1,2},INPUT!$A$3:$A$5000&amp;INPUT!$C$3:$C$5000,INPUT!$D$3:$D$5000),2,FALSE),"")</f>
        <v>0</v>
      </c>
      <c r="I4909" s="46" t="str">
        <f>IF(INPUT!P4904="","",INPUT!P4904)</f>
        <v/>
      </c>
      <c r="J4909" s="46" t="str">
        <f>IF(INPUT!Q4904="","",INPUT!Q4904)</f>
        <v/>
      </c>
      <c r="K4909" s="46" t="str">
        <f>IFERROR(IF(OR(INPUT!P4904="",INPUT!Q4904=""),"",INPUT!P4904-INPUT!Q4904),"")</f>
        <v/>
      </c>
      <c r="L4909" s="48" t="str">
        <f>IFERROR(IF(OR(INPUT!P4904="",INPUT!Q4904="",INPUT!P4904=0),"",(INPUT!P4904-INPUT!Q4904)/INPUT!P4904),"")</f>
        <v/>
      </c>
    </row>
    <row r="4910" spans="1:12" ht="18" hidden="1" customHeight="1" x14ac:dyDescent="0.2">
      <c r="A4910" s="11" t="str">
        <f>IF(INPUT!M4905="","",INPUT!M4905)</f>
        <v/>
      </c>
      <c r="B4910" s="11" t="str">
        <f>IF(INPUT!M4905="","",INPUT!M4905-WEEKDAY(INPUT!M4905,2)+1)</f>
        <v/>
      </c>
      <c r="C4910" s="20">
        <f>IFERROR(_xlfn.ISOWEEKNUM(INPUT!M4905),"")</f>
        <v>52</v>
      </c>
      <c r="D4910" s="20">
        <f>IFERROR(YEAR(INPUT!M4905),"")</f>
        <v>1900</v>
      </c>
      <c r="E4910" t="str">
        <f>IF(INPUT!O4905="","",INPUT!O4905)</f>
        <v/>
      </c>
      <c r="F4910" t="str">
        <f>IF(INPUT!N4905="","",INPUT!N4905)</f>
        <v/>
      </c>
      <c r="G4910" cm="1">
        <f t="array" ref="G4910">IFERROR(VLOOKUP(INPUT!M4905&amp;INPUT!N4905,CHOOSE({1,2},INPUT!$A$3:$A$5000&amp;INPUT!$C$3:$C$5000,INPUT!$F$3:$F$5000),2,FALSE),"")</f>
        <v>0</v>
      </c>
      <c r="H4910" cm="1">
        <f t="array" ref="H4910">IFERROR(VLOOKUP(INPUT!M4905&amp;INPUT!N4905,CHOOSE({1,2},INPUT!$A$3:$A$5000&amp;INPUT!$C$3:$C$5000,INPUT!$D$3:$D$5000),2,FALSE),"")</f>
        <v>0</v>
      </c>
      <c r="I4910" s="46" t="str">
        <f>IF(INPUT!P4905="","",INPUT!P4905)</f>
        <v/>
      </c>
      <c r="J4910" s="46" t="str">
        <f>IF(INPUT!Q4905="","",INPUT!Q4905)</f>
        <v/>
      </c>
      <c r="K4910" s="46" t="str">
        <f>IFERROR(IF(OR(INPUT!P4905="",INPUT!Q4905=""),"",INPUT!P4905-INPUT!Q4905),"")</f>
        <v/>
      </c>
      <c r="L4910" s="48" t="str">
        <f>IFERROR(IF(OR(INPUT!P4905="",INPUT!Q4905="",INPUT!P4905=0),"",(INPUT!P4905-INPUT!Q4905)/INPUT!P4905),"")</f>
        <v/>
      </c>
    </row>
    <row r="4911" spans="1:12" ht="18" hidden="1" customHeight="1" x14ac:dyDescent="0.2">
      <c r="A4911" s="11" t="str">
        <f>IF(INPUT!M4906="","",INPUT!M4906)</f>
        <v/>
      </c>
      <c r="B4911" s="11" t="str">
        <f>IF(INPUT!M4906="","",INPUT!M4906-WEEKDAY(INPUT!M4906,2)+1)</f>
        <v/>
      </c>
      <c r="C4911" s="20">
        <f>IFERROR(_xlfn.ISOWEEKNUM(INPUT!M4906),"")</f>
        <v>52</v>
      </c>
      <c r="D4911" s="20">
        <f>IFERROR(YEAR(INPUT!M4906),"")</f>
        <v>1900</v>
      </c>
      <c r="E4911" t="str">
        <f>IF(INPUT!O4906="","",INPUT!O4906)</f>
        <v/>
      </c>
      <c r="F4911" t="str">
        <f>IF(INPUT!N4906="","",INPUT!N4906)</f>
        <v/>
      </c>
      <c r="G4911" cm="1">
        <f t="array" ref="G4911">IFERROR(VLOOKUP(INPUT!M4906&amp;INPUT!N4906,CHOOSE({1,2},INPUT!$A$3:$A$5000&amp;INPUT!$C$3:$C$5000,INPUT!$F$3:$F$5000),2,FALSE),"")</f>
        <v>0</v>
      </c>
      <c r="H4911" cm="1">
        <f t="array" ref="H4911">IFERROR(VLOOKUP(INPUT!M4906&amp;INPUT!N4906,CHOOSE({1,2},INPUT!$A$3:$A$5000&amp;INPUT!$C$3:$C$5000,INPUT!$D$3:$D$5000),2,FALSE),"")</f>
        <v>0</v>
      </c>
      <c r="I4911" s="46" t="str">
        <f>IF(INPUT!P4906="","",INPUT!P4906)</f>
        <v/>
      </c>
      <c r="J4911" s="46" t="str">
        <f>IF(INPUT!Q4906="","",INPUT!Q4906)</f>
        <v/>
      </c>
      <c r="K4911" s="46" t="str">
        <f>IFERROR(IF(OR(INPUT!P4906="",INPUT!Q4906=""),"",INPUT!P4906-INPUT!Q4906),"")</f>
        <v/>
      </c>
      <c r="L4911" s="48" t="str">
        <f>IFERROR(IF(OR(INPUT!P4906="",INPUT!Q4906="",INPUT!P4906=0),"",(INPUT!P4906-INPUT!Q4906)/INPUT!P4906),"")</f>
        <v/>
      </c>
    </row>
    <row r="4912" spans="1:12" ht="18" hidden="1" customHeight="1" x14ac:dyDescent="0.2">
      <c r="A4912" s="11" t="str">
        <f>IF(INPUT!M4907="","",INPUT!M4907)</f>
        <v/>
      </c>
      <c r="B4912" s="11" t="str">
        <f>IF(INPUT!M4907="","",INPUT!M4907-WEEKDAY(INPUT!M4907,2)+1)</f>
        <v/>
      </c>
      <c r="C4912" s="20">
        <f>IFERROR(_xlfn.ISOWEEKNUM(INPUT!M4907),"")</f>
        <v>52</v>
      </c>
      <c r="D4912" s="20">
        <f>IFERROR(YEAR(INPUT!M4907),"")</f>
        <v>1900</v>
      </c>
      <c r="E4912" t="str">
        <f>IF(INPUT!O4907="","",INPUT!O4907)</f>
        <v/>
      </c>
      <c r="F4912" t="str">
        <f>IF(INPUT!N4907="","",INPUT!N4907)</f>
        <v/>
      </c>
      <c r="G4912" cm="1">
        <f t="array" ref="G4912">IFERROR(VLOOKUP(INPUT!M4907&amp;INPUT!N4907,CHOOSE({1,2},INPUT!$A$3:$A$5000&amp;INPUT!$C$3:$C$5000,INPUT!$F$3:$F$5000),2,FALSE),"")</f>
        <v>0</v>
      </c>
      <c r="H4912" cm="1">
        <f t="array" ref="H4912">IFERROR(VLOOKUP(INPUT!M4907&amp;INPUT!N4907,CHOOSE({1,2},INPUT!$A$3:$A$5000&amp;INPUT!$C$3:$C$5000,INPUT!$D$3:$D$5000),2,FALSE),"")</f>
        <v>0</v>
      </c>
      <c r="I4912" s="46" t="str">
        <f>IF(INPUT!P4907="","",INPUT!P4907)</f>
        <v/>
      </c>
      <c r="J4912" s="46" t="str">
        <f>IF(INPUT!Q4907="","",INPUT!Q4907)</f>
        <v/>
      </c>
      <c r="K4912" s="46" t="str">
        <f>IFERROR(IF(OR(INPUT!P4907="",INPUT!Q4907=""),"",INPUT!P4907-INPUT!Q4907),"")</f>
        <v/>
      </c>
      <c r="L4912" s="48" t="str">
        <f>IFERROR(IF(OR(INPUT!P4907="",INPUT!Q4907="",INPUT!P4907=0),"",(INPUT!P4907-INPUT!Q4907)/INPUT!P4907),"")</f>
        <v/>
      </c>
    </row>
    <row r="4913" spans="1:12" ht="18" hidden="1" customHeight="1" x14ac:dyDescent="0.2">
      <c r="A4913" s="11" t="str">
        <f>IF(INPUT!M4908="","",INPUT!M4908)</f>
        <v/>
      </c>
      <c r="B4913" s="11" t="str">
        <f>IF(INPUT!M4908="","",INPUT!M4908-WEEKDAY(INPUT!M4908,2)+1)</f>
        <v/>
      </c>
      <c r="C4913" s="20">
        <f>IFERROR(_xlfn.ISOWEEKNUM(INPUT!M4908),"")</f>
        <v>52</v>
      </c>
      <c r="D4913" s="20">
        <f>IFERROR(YEAR(INPUT!M4908),"")</f>
        <v>1900</v>
      </c>
      <c r="E4913" t="str">
        <f>IF(INPUT!O4908="","",INPUT!O4908)</f>
        <v/>
      </c>
      <c r="F4913" t="str">
        <f>IF(INPUT!N4908="","",INPUT!N4908)</f>
        <v/>
      </c>
      <c r="G4913" cm="1">
        <f t="array" ref="G4913">IFERROR(VLOOKUP(INPUT!M4908&amp;INPUT!N4908,CHOOSE({1,2},INPUT!$A$3:$A$5000&amp;INPUT!$C$3:$C$5000,INPUT!$F$3:$F$5000),2,FALSE),"")</f>
        <v>0</v>
      </c>
      <c r="H4913" cm="1">
        <f t="array" ref="H4913">IFERROR(VLOOKUP(INPUT!M4908&amp;INPUT!N4908,CHOOSE({1,2},INPUT!$A$3:$A$5000&amp;INPUT!$C$3:$C$5000,INPUT!$D$3:$D$5000),2,FALSE),"")</f>
        <v>0</v>
      </c>
      <c r="I4913" s="46" t="str">
        <f>IF(INPUT!P4908="","",INPUT!P4908)</f>
        <v/>
      </c>
      <c r="J4913" s="46" t="str">
        <f>IF(INPUT!Q4908="","",INPUT!Q4908)</f>
        <v/>
      </c>
      <c r="K4913" s="46" t="str">
        <f>IFERROR(IF(OR(INPUT!P4908="",INPUT!Q4908=""),"",INPUT!P4908-INPUT!Q4908),"")</f>
        <v/>
      </c>
      <c r="L4913" s="48" t="str">
        <f>IFERROR(IF(OR(INPUT!P4908="",INPUT!Q4908="",INPUT!P4908=0),"",(INPUT!P4908-INPUT!Q4908)/INPUT!P4908),"")</f>
        <v/>
      </c>
    </row>
    <row r="4914" spans="1:12" ht="18" hidden="1" customHeight="1" x14ac:dyDescent="0.2">
      <c r="A4914" s="11" t="str">
        <f>IF(INPUT!M4909="","",INPUT!M4909)</f>
        <v/>
      </c>
      <c r="B4914" s="11" t="str">
        <f>IF(INPUT!M4909="","",INPUT!M4909-WEEKDAY(INPUT!M4909,2)+1)</f>
        <v/>
      </c>
      <c r="C4914" s="20">
        <f>IFERROR(_xlfn.ISOWEEKNUM(INPUT!M4909),"")</f>
        <v>52</v>
      </c>
      <c r="D4914" s="20">
        <f>IFERROR(YEAR(INPUT!M4909),"")</f>
        <v>1900</v>
      </c>
      <c r="E4914" t="str">
        <f>IF(INPUT!O4909="","",INPUT!O4909)</f>
        <v/>
      </c>
      <c r="F4914" t="str">
        <f>IF(INPUT!N4909="","",INPUT!N4909)</f>
        <v/>
      </c>
      <c r="G4914" cm="1">
        <f t="array" ref="G4914">IFERROR(VLOOKUP(INPUT!M4909&amp;INPUT!N4909,CHOOSE({1,2},INPUT!$A$3:$A$5000&amp;INPUT!$C$3:$C$5000,INPUT!$F$3:$F$5000),2,FALSE),"")</f>
        <v>0</v>
      </c>
      <c r="H4914" cm="1">
        <f t="array" ref="H4914">IFERROR(VLOOKUP(INPUT!M4909&amp;INPUT!N4909,CHOOSE({1,2},INPUT!$A$3:$A$5000&amp;INPUT!$C$3:$C$5000,INPUT!$D$3:$D$5000),2,FALSE),"")</f>
        <v>0</v>
      </c>
      <c r="I4914" s="46" t="str">
        <f>IF(INPUT!P4909="","",INPUT!P4909)</f>
        <v/>
      </c>
      <c r="J4914" s="46" t="str">
        <f>IF(INPUT!Q4909="","",INPUT!Q4909)</f>
        <v/>
      </c>
      <c r="K4914" s="46" t="str">
        <f>IFERROR(IF(OR(INPUT!P4909="",INPUT!Q4909=""),"",INPUT!P4909-INPUT!Q4909),"")</f>
        <v/>
      </c>
      <c r="L4914" s="48" t="str">
        <f>IFERROR(IF(OR(INPUT!P4909="",INPUT!Q4909="",INPUT!P4909=0),"",(INPUT!P4909-INPUT!Q4909)/INPUT!P4909),"")</f>
        <v/>
      </c>
    </row>
    <row r="4915" spans="1:12" ht="18" hidden="1" customHeight="1" x14ac:dyDescent="0.2">
      <c r="A4915" s="11" t="str">
        <f>IF(INPUT!M4910="","",INPUT!M4910)</f>
        <v/>
      </c>
      <c r="B4915" s="11" t="str">
        <f>IF(INPUT!M4910="","",INPUT!M4910-WEEKDAY(INPUT!M4910,2)+1)</f>
        <v/>
      </c>
      <c r="C4915" s="20">
        <f>IFERROR(_xlfn.ISOWEEKNUM(INPUT!M4910),"")</f>
        <v>52</v>
      </c>
      <c r="D4915" s="20">
        <f>IFERROR(YEAR(INPUT!M4910),"")</f>
        <v>1900</v>
      </c>
      <c r="E4915" t="str">
        <f>IF(INPUT!O4910="","",INPUT!O4910)</f>
        <v/>
      </c>
      <c r="F4915" t="str">
        <f>IF(INPUT!N4910="","",INPUT!N4910)</f>
        <v/>
      </c>
      <c r="G4915" cm="1">
        <f t="array" ref="G4915">IFERROR(VLOOKUP(INPUT!M4910&amp;INPUT!N4910,CHOOSE({1,2},INPUT!$A$3:$A$5000&amp;INPUT!$C$3:$C$5000,INPUT!$F$3:$F$5000),2,FALSE),"")</f>
        <v>0</v>
      </c>
      <c r="H4915" cm="1">
        <f t="array" ref="H4915">IFERROR(VLOOKUP(INPUT!M4910&amp;INPUT!N4910,CHOOSE({1,2},INPUT!$A$3:$A$5000&amp;INPUT!$C$3:$C$5000,INPUT!$D$3:$D$5000),2,FALSE),"")</f>
        <v>0</v>
      </c>
      <c r="I4915" s="46" t="str">
        <f>IF(INPUT!P4910="","",INPUT!P4910)</f>
        <v/>
      </c>
      <c r="J4915" s="46" t="str">
        <f>IF(INPUT!Q4910="","",INPUT!Q4910)</f>
        <v/>
      </c>
      <c r="K4915" s="46" t="str">
        <f>IFERROR(IF(OR(INPUT!P4910="",INPUT!Q4910=""),"",INPUT!P4910-INPUT!Q4910),"")</f>
        <v/>
      </c>
      <c r="L4915" s="48" t="str">
        <f>IFERROR(IF(OR(INPUT!P4910="",INPUT!Q4910="",INPUT!P4910=0),"",(INPUT!P4910-INPUT!Q4910)/INPUT!P4910),"")</f>
        <v/>
      </c>
    </row>
    <row r="4916" spans="1:12" ht="18" hidden="1" customHeight="1" x14ac:dyDescent="0.2">
      <c r="A4916" s="11" t="str">
        <f>IF(INPUT!M4911="","",INPUT!M4911)</f>
        <v/>
      </c>
      <c r="B4916" s="11" t="str">
        <f>IF(INPUT!M4911="","",INPUT!M4911-WEEKDAY(INPUT!M4911,2)+1)</f>
        <v/>
      </c>
      <c r="C4916" s="20">
        <f>IFERROR(_xlfn.ISOWEEKNUM(INPUT!M4911),"")</f>
        <v>52</v>
      </c>
      <c r="D4916" s="20">
        <f>IFERROR(YEAR(INPUT!M4911),"")</f>
        <v>1900</v>
      </c>
      <c r="E4916" t="str">
        <f>IF(INPUT!O4911="","",INPUT!O4911)</f>
        <v/>
      </c>
      <c r="F4916" t="str">
        <f>IF(INPUT!N4911="","",INPUT!N4911)</f>
        <v/>
      </c>
      <c r="G4916" cm="1">
        <f t="array" ref="G4916">IFERROR(VLOOKUP(INPUT!M4911&amp;INPUT!N4911,CHOOSE({1,2},INPUT!$A$3:$A$5000&amp;INPUT!$C$3:$C$5000,INPUT!$F$3:$F$5000),2,FALSE),"")</f>
        <v>0</v>
      </c>
      <c r="H4916" cm="1">
        <f t="array" ref="H4916">IFERROR(VLOOKUP(INPUT!M4911&amp;INPUT!N4911,CHOOSE({1,2},INPUT!$A$3:$A$5000&amp;INPUT!$C$3:$C$5000,INPUT!$D$3:$D$5000),2,FALSE),"")</f>
        <v>0</v>
      </c>
      <c r="I4916" s="46" t="str">
        <f>IF(INPUT!P4911="","",INPUT!P4911)</f>
        <v/>
      </c>
      <c r="J4916" s="46" t="str">
        <f>IF(INPUT!Q4911="","",INPUT!Q4911)</f>
        <v/>
      </c>
      <c r="K4916" s="46" t="str">
        <f>IFERROR(IF(OR(INPUT!P4911="",INPUT!Q4911=""),"",INPUT!P4911-INPUT!Q4911),"")</f>
        <v/>
      </c>
      <c r="L4916" s="48" t="str">
        <f>IFERROR(IF(OR(INPUT!P4911="",INPUT!Q4911="",INPUT!P4911=0),"",(INPUT!P4911-INPUT!Q4911)/INPUT!P4911),"")</f>
        <v/>
      </c>
    </row>
    <row r="4917" spans="1:12" ht="18" hidden="1" customHeight="1" x14ac:dyDescent="0.2">
      <c r="A4917" s="11" t="str">
        <f>IF(INPUT!M4912="","",INPUT!M4912)</f>
        <v/>
      </c>
      <c r="B4917" s="11" t="str">
        <f>IF(INPUT!M4912="","",INPUT!M4912-WEEKDAY(INPUT!M4912,2)+1)</f>
        <v/>
      </c>
      <c r="C4917" s="20">
        <f>IFERROR(_xlfn.ISOWEEKNUM(INPUT!M4912),"")</f>
        <v>52</v>
      </c>
      <c r="D4917" s="20">
        <f>IFERROR(YEAR(INPUT!M4912),"")</f>
        <v>1900</v>
      </c>
      <c r="E4917" t="str">
        <f>IF(INPUT!O4912="","",INPUT!O4912)</f>
        <v/>
      </c>
      <c r="F4917" t="str">
        <f>IF(INPUT!N4912="","",INPUT!N4912)</f>
        <v/>
      </c>
      <c r="G4917" cm="1">
        <f t="array" ref="G4917">IFERROR(VLOOKUP(INPUT!M4912&amp;INPUT!N4912,CHOOSE({1,2},INPUT!$A$3:$A$5000&amp;INPUT!$C$3:$C$5000,INPUT!$F$3:$F$5000),2,FALSE),"")</f>
        <v>0</v>
      </c>
      <c r="H4917" cm="1">
        <f t="array" ref="H4917">IFERROR(VLOOKUP(INPUT!M4912&amp;INPUT!N4912,CHOOSE({1,2},INPUT!$A$3:$A$5000&amp;INPUT!$C$3:$C$5000,INPUT!$D$3:$D$5000),2,FALSE),"")</f>
        <v>0</v>
      </c>
      <c r="I4917" s="46" t="str">
        <f>IF(INPUT!P4912="","",INPUT!P4912)</f>
        <v/>
      </c>
      <c r="J4917" s="46" t="str">
        <f>IF(INPUT!Q4912="","",INPUT!Q4912)</f>
        <v/>
      </c>
      <c r="K4917" s="46" t="str">
        <f>IFERROR(IF(OR(INPUT!P4912="",INPUT!Q4912=""),"",INPUT!P4912-INPUT!Q4912),"")</f>
        <v/>
      </c>
      <c r="L4917" s="48" t="str">
        <f>IFERROR(IF(OR(INPUT!P4912="",INPUT!Q4912="",INPUT!P4912=0),"",(INPUT!P4912-INPUT!Q4912)/INPUT!P4912),"")</f>
        <v/>
      </c>
    </row>
    <row r="4918" spans="1:12" ht="18" hidden="1" customHeight="1" x14ac:dyDescent="0.2">
      <c r="A4918" s="11" t="str">
        <f>IF(INPUT!M4913="","",INPUT!M4913)</f>
        <v/>
      </c>
      <c r="B4918" s="11" t="str">
        <f>IF(INPUT!M4913="","",INPUT!M4913-WEEKDAY(INPUT!M4913,2)+1)</f>
        <v/>
      </c>
      <c r="C4918" s="20">
        <f>IFERROR(_xlfn.ISOWEEKNUM(INPUT!M4913),"")</f>
        <v>52</v>
      </c>
      <c r="D4918" s="20">
        <f>IFERROR(YEAR(INPUT!M4913),"")</f>
        <v>1900</v>
      </c>
      <c r="E4918" t="str">
        <f>IF(INPUT!O4913="","",INPUT!O4913)</f>
        <v/>
      </c>
      <c r="F4918" t="str">
        <f>IF(INPUT!N4913="","",INPUT!N4913)</f>
        <v/>
      </c>
      <c r="G4918" cm="1">
        <f t="array" ref="G4918">IFERROR(VLOOKUP(INPUT!M4913&amp;INPUT!N4913,CHOOSE({1,2},INPUT!$A$3:$A$5000&amp;INPUT!$C$3:$C$5000,INPUT!$F$3:$F$5000),2,FALSE),"")</f>
        <v>0</v>
      </c>
      <c r="H4918" cm="1">
        <f t="array" ref="H4918">IFERROR(VLOOKUP(INPUT!M4913&amp;INPUT!N4913,CHOOSE({1,2},INPUT!$A$3:$A$5000&amp;INPUT!$C$3:$C$5000,INPUT!$D$3:$D$5000),2,FALSE),"")</f>
        <v>0</v>
      </c>
      <c r="I4918" s="46" t="str">
        <f>IF(INPUT!P4913="","",INPUT!P4913)</f>
        <v/>
      </c>
      <c r="J4918" s="46" t="str">
        <f>IF(INPUT!Q4913="","",INPUT!Q4913)</f>
        <v/>
      </c>
      <c r="K4918" s="46" t="str">
        <f>IFERROR(IF(OR(INPUT!P4913="",INPUT!Q4913=""),"",INPUT!P4913-INPUT!Q4913),"")</f>
        <v/>
      </c>
      <c r="L4918" s="48" t="str">
        <f>IFERROR(IF(OR(INPUT!P4913="",INPUT!Q4913="",INPUT!P4913=0),"",(INPUT!P4913-INPUT!Q4913)/INPUT!P4913),"")</f>
        <v/>
      </c>
    </row>
    <row r="4919" spans="1:12" ht="18" hidden="1" customHeight="1" x14ac:dyDescent="0.2">
      <c r="A4919" s="11" t="str">
        <f>IF(INPUT!M4914="","",INPUT!M4914)</f>
        <v/>
      </c>
      <c r="B4919" s="11" t="str">
        <f>IF(INPUT!M4914="","",INPUT!M4914-WEEKDAY(INPUT!M4914,2)+1)</f>
        <v/>
      </c>
      <c r="C4919" s="20">
        <f>IFERROR(_xlfn.ISOWEEKNUM(INPUT!M4914),"")</f>
        <v>52</v>
      </c>
      <c r="D4919" s="20">
        <f>IFERROR(YEAR(INPUT!M4914),"")</f>
        <v>1900</v>
      </c>
      <c r="E4919" t="str">
        <f>IF(INPUT!O4914="","",INPUT!O4914)</f>
        <v/>
      </c>
      <c r="F4919" t="str">
        <f>IF(INPUT!N4914="","",INPUT!N4914)</f>
        <v/>
      </c>
      <c r="G4919" cm="1">
        <f t="array" ref="G4919">IFERROR(VLOOKUP(INPUT!M4914&amp;INPUT!N4914,CHOOSE({1,2},INPUT!$A$3:$A$5000&amp;INPUT!$C$3:$C$5000,INPUT!$F$3:$F$5000),2,FALSE),"")</f>
        <v>0</v>
      </c>
      <c r="H4919" cm="1">
        <f t="array" ref="H4919">IFERROR(VLOOKUP(INPUT!M4914&amp;INPUT!N4914,CHOOSE({1,2},INPUT!$A$3:$A$5000&amp;INPUT!$C$3:$C$5000,INPUT!$D$3:$D$5000),2,FALSE),"")</f>
        <v>0</v>
      </c>
      <c r="I4919" s="46" t="str">
        <f>IF(INPUT!P4914="","",INPUT!P4914)</f>
        <v/>
      </c>
      <c r="J4919" s="46" t="str">
        <f>IF(INPUT!Q4914="","",INPUT!Q4914)</f>
        <v/>
      </c>
      <c r="K4919" s="46" t="str">
        <f>IFERROR(IF(OR(INPUT!P4914="",INPUT!Q4914=""),"",INPUT!P4914-INPUT!Q4914),"")</f>
        <v/>
      </c>
      <c r="L4919" s="48" t="str">
        <f>IFERROR(IF(OR(INPUT!P4914="",INPUT!Q4914="",INPUT!P4914=0),"",(INPUT!P4914-INPUT!Q4914)/INPUT!P4914),"")</f>
        <v/>
      </c>
    </row>
    <row r="4920" spans="1:12" ht="18" hidden="1" customHeight="1" x14ac:dyDescent="0.2">
      <c r="A4920" s="11" t="str">
        <f>IF(INPUT!M4915="","",INPUT!M4915)</f>
        <v/>
      </c>
      <c r="B4920" s="11" t="str">
        <f>IF(INPUT!M4915="","",INPUT!M4915-WEEKDAY(INPUT!M4915,2)+1)</f>
        <v/>
      </c>
      <c r="C4920" s="20">
        <f>IFERROR(_xlfn.ISOWEEKNUM(INPUT!M4915),"")</f>
        <v>52</v>
      </c>
      <c r="D4920" s="20">
        <f>IFERROR(YEAR(INPUT!M4915),"")</f>
        <v>1900</v>
      </c>
      <c r="E4920" t="str">
        <f>IF(INPUT!O4915="","",INPUT!O4915)</f>
        <v/>
      </c>
      <c r="F4920" t="str">
        <f>IF(INPUT!N4915="","",INPUT!N4915)</f>
        <v/>
      </c>
      <c r="G4920" cm="1">
        <f t="array" ref="G4920">IFERROR(VLOOKUP(INPUT!M4915&amp;INPUT!N4915,CHOOSE({1,2},INPUT!$A$3:$A$5000&amp;INPUT!$C$3:$C$5000,INPUT!$F$3:$F$5000),2,FALSE),"")</f>
        <v>0</v>
      </c>
      <c r="H4920" cm="1">
        <f t="array" ref="H4920">IFERROR(VLOOKUP(INPUT!M4915&amp;INPUT!N4915,CHOOSE({1,2},INPUT!$A$3:$A$5000&amp;INPUT!$C$3:$C$5000,INPUT!$D$3:$D$5000),2,FALSE),"")</f>
        <v>0</v>
      </c>
      <c r="I4920" s="46" t="str">
        <f>IF(INPUT!P4915="","",INPUT!P4915)</f>
        <v/>
      </c>
      <c r="J4920" s="46" t="str">
        <f>IF(INPUT!Q4915="","",INPUT!Q4915)</f>
        <v/>
      </c>
      <c r="K4920" s="46" t="str">
        <f>IFERROR(IF(OR(INPUT!P4915="",INPUT!Q4915=""),"",INPUT!P4915-INPUT!Q4915),"")</f>
        <v/>
      </c>
      <c r="L4920" s="48" t="str">
        <f>IFERROR(IF(OR(INPUT!P4915="",INPUT!Q4915="",INPUT!P4915=0),"",(INPUT!P4915-INPUT!Q4915)/INPUT!P4915),"")</f>
        <v/>
      </c>
    </row>
    <row r="4921" spans="1:12" ht="18" hidden="1" customHeight="1" x14ac:dyDescent="0.2">
      <c r="A4921" s="11" t="str">
        <f>IF(INPUT!M4916="","",INPUT!M4916)</f>
        <v/>
      </c>
      <c r="B4921" s="11" t="str">
        <f>IF(INPUT!M4916="","",INPUT!M4916-WEEKDAY(INPUT!M4916,2)+1)</f>
        <v/>
      </c>
      <c r="C4921" s="20">
        <f>IFERROR(_xlfn.ISOWEEKNUM(INPUT!M4916),"")</f>
        <v>52</v>
      </c>
      <c r="D4921" s="20">
        <f>IFERROR(YEAR(INPUT!M4916),"")</f>
        <v>1900</v>
      </c>
      <c r="E4921" t="str">
        <f>IF(INPUT!O4916="","",INPUT!O4916)</f>
        <v/>
      </c>
      <c r="F4921" t="str">
        <f>IF(INPUT!N4916="","",INPUT!N4916)</f>
        <v/>
      </c>
      <c r="G4921" cm="1">
        <f t="array" ref="G4921">IFERROR(VLOOKUP(INPUT!M4916&amp;INPUT!N4916,CHOOSE({1,2},INPUT!$A$3:$A$5000&amp;INPUT!$C$3:$C$5000,INPUT!$F$3:$F$5000),2,FALSE),"")</f>
        <v>0</v>
      </c>
      <c r="H4921" cm="1">
        <f t="array" ref="H4921">IFERROR(VLOOKUP(INPUT!M4916&amp;INPUT!N4916,CHOOSE({1,2},INPUT!$A$3:$A$5000&amp;INPUT!$C$3:$C$5000,INPUT!$D$3:$D$5000),2,FALSE),"")</f>
        <v>0</v>
      </c>
      <c r="I4921" s="46" t="str">
        <f>IF(INPUT!P4916="","",INPUT!P4916)</f>
        <v/>
      </c>
      <c r="J4921" s="46" t="str">
        <f>IF(INPUT!Q4916="","",INPUT!Q4916)</f>
        <v/>
      </c>
      <c r="K4921" s="46" t="str">
        <f>IFERROR(IF(OR(INPUT!P4916="",INPUT!Q4916=""),"",INPUT!P4916-INPUT!Q4916),"")</f>
        <v/>
      </c>
      <c r="L4921" s="48" t="str">
        <f>IFERROR(IF(OR(INPUT!P4916="",INPUT!Q4916="",INPUT!P4916=0),"",(INPUT!P4916-INPUT!Q4916)/INPUT!P4916),"")</f>
        <v/>
      </c>
    </row>
    <row r="4922" spans="1:12" ht="18" hidden="1" customHeight="1" x14ac:dyDescent="0.2">
      <c r="A4922" s="11" t="str">
        <f>IF(INPUT!M4917="","",INPUT!M4917)</f>
        <v/>
      </c>
      <c r="B4922" s="11" t="str">
        <f>IF(INPUT!M4917="","",INPUT!M4917-WEEKDAY(INPUT!M4917,2)+1)</f>
        <v/>
      </c>
      <c r="C4922" s="20">
        <f>IFERROR(_xlfn.ISOWEEKNUM(INPUT!M4917),"")</f>
        <v>52</v>
      </c>
      <c r="D4922" s="20">
        <f>IFERROR(YEAR(INPUT!M4917),"")</f>
        <v>1900</v>
      </c>
      <c r="E4922" t="str">
        <f>IF(INPUT!O4917="","",INPUT!O4917)</f>
        <v/>
      </c>
      <c r="F4922" t="str">
        <f>IF(INPUT!N4917="","",INPUT!N4917)</f>
        <v/>
      </c>
      <c r="G4922" cm="1">
        <f t="array" ref="G4922">IFERROR(VLOOKUP(INPUT!M4917&amp;INPUT!N4917,CHOOSE({1,2},INPUT!$A$3:$A$5000&amp;INPUT!$C$3:$C$5000,INPUT!$F$3:$F$5000),2,FALSE),"")</f>
        <v>0</v>
      </c>
      <c r="H4922" cm="1">
        <f t="array" ref="H4922">IFERROR(VLOOKUP(INPUT!M4917&amp;INPUT!N4917,CHOOSE({1,2},INPUT!$A$3:$A$5000&amp;INPUT!$C$3:$C$5000,INPUT!$D$3:$D$5000),2,FALSE),"")</f>
        <v>0</v>
      </c>
      <c r="I4922" s="46" t="str">
        <f>IF(INPUT!P4917="","",INPUT!P4917)</f>
        <v/>
      </c>
      <c r="J4922" s="46" t="str">
        <f>IF(INPUT!Q4917="","",INPUT!Q4917)</f>
        <v/>
      </c>
      <c r="K4922" s="46" t="str">
        <f>IFERROR(IF(OR(INPUT!P4917="",INPUT!Q4917=""),"",INPUT!P4917-INPUT!Q4917),"")</f>
        <v/>
      </c>
      <c r="L4922" s="48" t="str">
        <f>IFERROR(IF(OR(INPUT!P4917="",INPUT!Q4917="",INPUT!P4917=0),"",(INPUT!P4917-INPUT!Q4917)/INPUT!P4917),"")</f>
        <v/>
      </c>
    </row>
    <row r="4923" spans="1:12" ht="18" hidden="1" customHeight="1" x14ac:dyDescent="0.2">
      <c r="A4923" s="11" t="str">
        <f>IF(INPUT!M4918="","",INPUT!M4918)</f>
        <v/>
      </c>
      <c r="B4923" s="11" t="str">
        <f>IF(INPUT!M4918="","",INPUT!M4918-WEEKDAY(INPUT!M4918,2)+1)</f>
        <v/>
      </c>
      <c r="C4923" s="20">
        <f>IFERROR(_xlfn.ISOWEEKNUM(INPUT!M4918),"")</f>
        <v>52</v>
      </c>
      <c r="D4923" s="20">
        <f>IFERROR(YEAR(INPUT!M4918),"")</f>
        <v>1900</v>
      </c>
      <c r="E4923" t="str">
        <f>IF(INPUT!O4918="","",INPUT!O4918)</f>
        <v/>
      </c>
      <c r="F4923" t="str">
        <f>IF(INPUT!N4918="","",INPUT!N4918)</f>
        <v/>
      </c>
      <c r="G4923" cm="1">
        <f t="array" ref="G4923">IFERROR(VLOOKUP(INPUT!M4918&amp;INPUT!N4918,CHOOSE({1,2},INPUT!$A$3:$A$5000&amp;INPUT!$C$3:$C$5000,INPUT!$F$3:$F$5000),2,FALSE),"")</f>
        <v>0</v>
      </c>
      <c r="H4923" cm="1">
        <f t="array" ref="H4923">IFERROR(VLOOKUP(INPUT!M4918&amp;INPUT!N4918,CHOOSE({1,2},INPUT!$A$3:$A$5000&amp;INPUT!$C$3:$C$5000,INPUT!$D$3:$D$5000),2,FALSE),"")</f>
        <v>0</v>
      </c>
      <c r="I4923" s="46" t="str">
        <f>IF(INPUT!P4918="","",INPUT!P4918)</f>
        <v/>
      </c>
      <c r="J4923" s="46" t="str">
        <f>IF(INPUT!Q4918="","",INPUT!Q4918)</f>
        <v/>
      </c>
      <c r="K4923" s="46" t="str">
        <f>IFERROR(IF(OR(INPUT!P4918="",INPUT!Q4918=""),"",INPUT!P4918-INPUT!Q4918),"")</f>
        <v/>
      </c>
      <c r="L4923" s="48" t="str">
        <f>IFERROR(IF(OR(INPUT!P4918="",INPUT!Q4918="",INPUT!P4918=0),"",(INPUT!P4918-INPUT!Q4918)/INPUT!P4918),"")</f>
        <v/>
      </c>
    </row>
    <row r="4924" spans="1:12" ht="18" hidden="1" customHeight="1" x14ac:dyDescent="0.2">
      <c r="A4924" s="11" t="str">
        <f>IF(INPUT!M4919="","",INPUT!M4919)</f>
        <v/>
      </c>
      <c r="B4924" s="11" t="str">
        <f>IF(INPUT!M4919="","",INPUT!M4919-WEEKDAY(INPUT!M4919,2)+1)</f>
        <v/>
      </c>
      <c r="C4924" s="20">
        <f>IFERROR(_xlfn.ISOWEEKNUM(INPUT!M4919),"")</f>
        <v>52</v>
      </c>
      <c r="D4924" s="20">
        <f>IFERROR(YEAR(INPUT!M4919),"")</f>
        <v>1900</v>
      </c>
      <c r="E4924" t="str">
        <f>IF(INPUT!O4919="","",INPUT!O4919)</f>
        <v/>
      </c>
      <c r="F4924" t="str">
        <f>IF(INPUT!N4919="","",INPUT!N4919)</f>
        <v/>
      </c>
      <c r="G4924" cm="1">
        <f t="array" ref="G4924">IFERROR(VLOOKUP(INPUT!M4919&amp;INPUT!N4919,CHOOSE({1,2},INPUT!$A$3:$A$5000&amp;INPUT!$C$3:$C$5000,INPUT!$F$3:$F$5000),2,FALSE),"")</f>
        <v>0</v>
      </c>
      <c r="H4924" cm="1">
        <f t="array" ref="H4924">IFERROR(VLOOKUP(INPUT!M4919&amp;INPUT!N4919,CHOOSE({1,2},INPUT!$A$3:$A$5000&amp;INPUT!$C$3:$C$5000,INPUT!$D$3:$D$5000),2,FALSE),"")</f>
        <v>0</v>
      </c>
      <c r="I4924" s="46" t="str">
        <f>IF(INPUT!P4919="","",INPUT!P4919)</f>
        <v/>
      </c>
      <c r="J4924" s="46" t="str">
        <f>IF(INPUT!Q4919="","",INPUT!Q4919)</f>
        <v/>
      </c>
      <c r="K4924" s="46" t="str">
        <f>IFERROR(IF(OR(INPUT!P4919="",INPUT!Q4919=""),"",INPUT!P4919-INPUT!Q4919),"")</f>
        <v/>
      </c>
      <c r="L4924" s="48" t="str">
        <f>IFERROR(IF(OR(INPUT!P4919="",INPUT!Q4919="",INPUT!P4919=0),"",(INPUT!P4919-INPUT!Q4919)/INPUT!P4919),"")</f>
        <v/>
      </c>
    </row>
    <row r="4925" spans="1:12" ht="18" hidden="1" customHeight="1" x14ac:dyDescent="0.2">
      <c r="A4925" s="11" t="str">
        <f>IF(INPUT!M4920="","",INPUT!M4920)</f>
        <v/>
      </c>
      <c r="B4925" s="11" t="str">
        <f>IF(INPUT!M4920="","",INPUT!M4920-WEEKDAY(INPUT!M4920,2)+1)</f>
        <v/>
      </c>
      <c r="C4925" s="20">
        <f>IFERROR(_xlfn.ISOWEEKNUM(INPUT!M4920),"")</f>
        <v>52</v>
      </c>
      <c r="D4925" s="20">
        <f>IFERROR(YEAR(INPUT!M4920),"")</f>
        <v>1900</v>
      </c>
      <c r="E4925" t="str">
        <f>IF(INPUT!O4920="","",INPUT!O4920)</f>
        <v/>
      </c>
      <c r="F4925" t="str">
        <f>IF(INPUT!N4920="","",INPUT!N4920)</f>
        <v/>
      </c>
      <c r="G4925" cm="1">
        <f t="array" ref="G4925">IFERROR(VLOOKUP(INPUT!M4920&amp;INPUT!N4920,CHOOSE({1,2},INPUT!$A$3:$A$5000&amp;INPUT!$C$3:$C$5000,INPUT!$F$3:$F$5000),2,FALSE),"")</f>
        <v>0</v>
      </c>
      <c r="H4925" cm="1">
        <f t="array" ref="H4925">IFERROR(VLOOKUP(INPUT!M4920&amp;INPUT!N4920,CHOOSE({1,2},INPUT!$A$3:$A$5000&amp;INPUT!$C$3:$C$5000,INPUT!$D$3:$D$5000),2,FALSE),"")</f>
        <v>0</v>
      </c>
      <c r="I4925" s="46" t="str">
        <f>IF(INPUT!P4920="","",INPUT!P4920)</f>
        <v/>
      </c>
      <c r="J4925" s="46" t="str">
        <f>IF(INPUT!Q4920="","",INPUT!Q4920)</f>
        <v/>
      </c>
      <c r="K4925" s="46" t="str">
        <f>IFERROR(IF(OR(INPUT!P4920="",INPUT!Q4920=""),"",INPUT!P4920-INPUT!Q4920),"")</f>
        <v/>
      </c>
      <c r="L4925" s="48" t="str">
        <f>IFERROR(IF(OR(INPUT!P4920="",INPUT!Q4920="",INPUT!P4920=0),"",(INPUT!P4920-INPUT!Q4920)/INPUT!P4920),"")</f>
        <v/>
      </c>
    </row>
    <row r="4926" spans="1:12" ht="18" hidden="1" customHeight="1" x14ac:dyDescent="0.2">
      <c r="A4926" s="11" t="str">
        <f>IF(INPUT!M4921="","",INPUT!M4921)</f>
        <v/>
      </c>
      <c r="B4926" s="11" t="str">
        <f>IF(INPUT!M4921="","",INPUT!M4921-WEEKDAY(INPUT!M4921,2)+1)</f>
        <v/>
      </c>
      <c r="C4926" s="20">
        <f>IFERROR(_xlfn.ISOWEEKNUM(INPUT!M4921),"")</f>
        <v>52</v>
      </c>
      <c r="D4926" s="20">
        <f>IFERROR(YEAR(INPUT!M4921),"")</f>
        <v>1900</v>
      </c>
      <c r="E4926" t="str">
        <f>IF(INPUT!O4921="","",INPUT!O4921)</f>
        <v/>
      </c>
      <c r="F4926" t="str">
        <f>IF(INPUT!N4921="","",INPUT!N4921)</f>
        <v/>
      </c>
      <c r="G4926" cm="1">
        <f t="array" ref="G4926">IFERROR(VLOOKUP(INPUT!M4921&amp;INPUT!N4921,CHOOSE({1,2},INPUT!$A$3:$A$5000&amp;INPUT!$C$3:$C$5000,INPUT!$F$3:$F$5000),2,FALSE),"")</f>
        <v>0</v>
      </c>
      <c r="H4926" cm="1">
        <f t="array" ref="H4926">IFERROR(VLOOKUP(INPUT!M4921&amp;INPUT!N4921,CHOOSE({1,2},INPUT!$A$3:$A$5000&amp;INPUT!$C$3:$C$5000,INPUT!$D$3:$D$5000),2,FALSE),"")</f>
        <v>0</v>
      </c>
      <c r="I4926" s="46" t="str">
        <f>IF(INPUT!P4921="","",INPUT!P4921)</f>
        <v/>
      </c>
      <c r="J4926" s="46" t="str">
        <f>IF(INPUT!Q4921="","",INPUT!Q4921)</f>
        <v/>
      </c>
      <c r="K4926" s="46" t="str">
        <f>IFERROR(IF(OR(INPUT!P4921="",INPUT!Q4921=""),"",INPUT!P4921-INPUT!Q4921),"")</f>
        <v/>
      </c>
      <c r="L4926" s="48" t="str">
        <f>IFERROR(IF(OR(INPUT!P4921="",INPUT!Q4921="",INPUT!P4921=0),"",(INPUT!P4921-INPUT!Q4921)/INPUT!P4921),"")</f>
        <v/>
      </c>
    </row>
    <row r="4927" spans="1:12" ht="18" hidden="1" customHeight="1" x14ac:dyDescent="0.2">
      <c r="A4927" s="11" t="str">
        <f>IF(INPUT!M4922="","",INPUT!M4922)</f>
        <v/>
      </c>
      <c r="B4927" s="11" t="str">
        <f>IF(INPUT!M4922="","",INPUT!M4922-WEEKDAY(INPUT!M4922,2)+1)</f>
        <v/>
      </c>
      <c r="C4927" s="20">
        <f>IFERROR(_xlfn.ISOWEEKNUM(INPUT!M4922),"")</f>
        <v>52</v>
      </c>
      <c r="D4927" s="20">
        <f>IFERROR(YEAR(INPUT!M4922),"")</f>
        <v>1900</v>
      </c>
      <c r="E4927" t="str">
        <f>IF(INPUT!O4922="","",INPUT!O4922)</f>
        <v/>
      </c>
      <c r="F4927" t="str">
        <f>IF(INPUT!N4922="","",INPUT!N4922)</f>
        <v/>
      </c>
      <c r="G4927" cm="1">
        <f t="array" ref="G4927">IFERROR(VLOOKUP(INPUT!M4922&amp;INPUT!N4922,CHOOSE({1,2},INPUT!$A$3:$A$5000&amp;INPUT!$C$3:$C$5000,INPUT!$F$3:$F$5000),2,FALSE),"")</f>
        <v>0</v>
      </c>
      <c r="H4927" cm="1">
        <f t="array" ref="H4927">IFERROR(VLOOKUP(INPUT!M4922&amp;INPUT!N4922,CHOOSE({1,2},INPUT!$A$3:$A$5000&amp;INPUT!$C$3:$C$5000,INPUT!$D$3:$D$5000),2,FALSE),"")</f>
        <v>0</v>
      </c>
      <c r="I4927" s="46" t="str">
        <f>IF(INPUT!P4922="","",INPUT!P4922)</f>
        <v/>
      </c>
      <c r="J4927" s="46" t="str">
        <f>IF(INPUT!Q4922="","",INPUT!Q4922)</f>
        <v/>
      </c>
      <c r="K4927" s="46" t="str">
        <f>IFERROR(IF(OR(INPUT!P4922="",INPUT!Q4922=""),"",INPUT!P4922-INPUT!Q4922),"")</f>
        <v/>
      </c>
      <c r="L4927" s="48" t="str">
        <f>IFERROR(IF(OR(INPUT!P4922="",INPUT!Q4922="",INPUT!P4922=0),"",(INPUT!P4922-INPUT!Q4922)/INPUT!P4922),"")</f>
        <v/>
      </c>
    </row>
    <row r="4928" spans="1:12" ht="18" hidden="1" customHeight="1" x14ac:dyDescent="0.2">
      <c r="A4928" s="11" t="str">
        <f>IF(INPUT!M4923="","",INPUT!M4923)</f>
        <v/>
      </c>
      <c r="B4928" s="11" t="str">
        <f>IF(INPUT!M4923="","",INPUT!M4923-WEEKDAY(INPUT!M4923,2)+1)</f>
        <v/>
      </c>
      <c r="C4928" s="20">
        <f>IFERROR(_xlfn.ISOWEEKNUM(INPUT!M4923),"")</f>
        <v>52</v>
      </c>
      <c r="D4928" s="20">
        <f>IFERROR(YEAR(INPUT!M4923),"")</f>
        <v>1900</v>
      </c>
      <c r="E4928" t="str">
        <f>IF(INPUT!O4923="","",INPUT!O4923)</f>
        <v/>
      </c>
      <c r="F4928" t="str">
        <f>IF(INPUT!N4923="","",INPUT!N4923)</f>
        <v/>
      </c>
      <c r="G4928" cm="1">
        <f t="array" ref="G4928">IFERROR(VLOOKUP(INPUT!M4923&amp;INPUT!N4923,CHOOSE({1,2},INPUT!$A$3:$A$5000&amp;INPUT!$C$3:$C$5000,INPUT!$F$3:$F$5000),2,FALSE),"")</f>
        <v>0</v>
      </c>
      <c r="H4928" cm="1">
        <f t="array" ref="H4928">IFERROR(VLOOKUP(INPUT!M4923&amp;INPUT!N4923,CHOOSE({1,2},INPUT!$A$3:$A$5000&amp;INPUT!$C$3:$C$5000,INPUT!$D$3:$D$5000),2,FALSE),"")</f>
        <v>0</v>
      </c>
      <c r="I4928" s="46" t="str">
        <f>IF(INPUT!P4923="","",INPUT!P4923)</f>
        <v/>
      </c>
      <c r="J4928" s="46" t="str">
        <f>IF(INPUT!Q4923="","",INPUT!Q4923)</f>
        <v/>
      </c>
      <c r="K4928" s="46" t="str">
        <f>IFERROR(IF(OR(INPUT!P4923="",INPUT!Q4923=""),"",INPUT!P4923-INPUT!Q4923),"")</f>
        <v/>
      </c>
      <c r="L4928" s="48" t="str">
        <f>IFERROR(IF(OR(INPUT!P4923="",INPUT!Q4923="",INPUT!P4923=0),"",(INPUT!P4923-INPUT!Q4923)/INPUT!P4923),"")</f>
        <v/>
      </c>
    </row>
    <row r="4929" spans="1:12" ht="18" hidden="1" customHeight="1" x14ac:dyDescent="0.2">
      <c r="A4929" s="11" t="str">
        <f>IF(INPUT!M4924="","",INPUT!M4924)</f>
        <v/>
      </c>
      <c r="B4929" s="11" t="str">
        <f>IF(INPUT!M4924="","",INPUT!M4924-WEEKDAY(INPUT!M4924,2)+1)</f>
        <v/>
      </c>
      <c r="C4929" s="20">
        <f>IFERROR(_xlfn.ISOWEEKNUM(INPUT!M4924),"")</f>
        <v>52</v>
      </c>
      <c r="D4929" s="20">
        <f>IFERROR(YEAR(INPUT!M4924),"")</f>
        <v>1900</v>
      </c>
      <c r="E4929" t="str">
        <f>IF(INPUT!O4924="","",INPUT!O4924)</f>
        <v/>
      </c>
      <c r="F4929" t="str">
        <f>IF(INPUT!N4924="","",INPUT!N4924)</f>
        <v/>
      </c>
      <c r="G4929" cm="1">
        <f t="array" ref="G4929">IFERROR(VLOOKUP(INPUT!M4924&amp;INPUT!N4924,CHOOSE({1,2},INPUT!$A$3:$A$5000&amp;INPUT!$C$3:$C$5000,INPUT!$F$3:$F$5000),2,FALSE),"")</f>
        <v>0</v>
      </c>
      <c r="H4929" cm="1">
        <f t="array" ref="H4929">IFERROR(VLOOKUP(INPUT!M4924&amp;INPUT!N4924,CHOOSE({1,2},INPUT!$A$3:$A$5000&amp;INPUT!$C$3:$C$5000,INPUT!$D$3:$D$5000),2,FALSE),"")</f>
        <v>0</v>
      </c>
      <c r="I4929" s="46" t="str">
        <f>IF(INPUT!P4924="","",INPUT!P4924)</f>
        <v/>
      </c>
      <c r="J4929" s="46" t="str">
        <f>IF(INPUT!Q4924="","",INPUT!Q4924)</f>
        <v/>
      </c>
      <c r="K4929" s="46" t="str">
        <f>IFERROR(IF(OR(INPUT!P4924="",INPUT!Q4924=""),"",INPUT!P4924-INPUT!Q4924),"")</f>
        <v/>
      </c>
      <c r="L4929" s="48" t="str">
        <f>IFERROR(IF(OR(INPUT!P4924="",INPUT!Q4924="",INPUT!P4924=0),"",(INPUT!P4924-INPUT!Q4924)/INPUT!P4924),"")</f>
        <v/>
      </c>
    </row>
    <row r="4930" spans="1:12" ht="18" hidden="1" customHeight="1" x14ac:dyDescent="0.2">
      <c r="A4930" s="11" t="str">
        <f>IF(INPUT!M4925="","",INPUT!M4925)</f>
        <v/>
      </c>
      <c r="B4930" s="11" t="str">
        <f>IF(INPUT!M4925="","",INPUT!M4925-WEEKDAY(INPUT!M4925,2)+1)</f>
        <v/>
      </c>
      <c r="C4930" s="20">
        <f>IFERROR(_xlfn.ISOWEEKNUM(INPUT!M4925),"")</f>
        <v>52</v>
      </c>
      <c r="D4930" s="20">
        <f>IFERROR(YEAR(INPUT!M4925),"")</f>
        <v>1900</v>
      </c>
      <c r="E4930" t="str">
        <f>IF(INPUT!O4925="","",INPUT!O4925)</f>
        <v/>
      </c>
      <c r="F4930" t="str">
        <f>IF(INPUT!N4925="","",INPUT!N4925)</f>
        <v/>
      </c>
      <c r="G4930" cm="1">
        <f t="array" ref="G4930">IFERROR(VLOOKUP(INPUT!M4925&amp;INPUT!N4925,CHOOSE({1,2},INPUT!$A$3:$A$5000&amp;INPUT!$C$3:$C$5000,INPUT!$F$3:$F$5000),2,FALSE),"")</f>
        <v>0</v>
      </c>
      <c r="H4930" cm="1">
        <f t="array" ref="H4930">IFERROR(VLOOKUP(INPUT!M4925&amp;INPUT!N4925,CHOOSE({1,2},INPUT!$A$3:$A$5000&amp;INPUT!$C$3:$C$5000,INPUT!$D$3:$D$5000),2,FALSE),"")</f>
        <v>0</v>
      </c>
      <c r="I4930" s="46" t="str">
        <f>IF(INPUT!P4925="","",INPUT!P4925)</f>
        <v/>
      </c>
      <c r="J4930" s="46" t="str">
        <f>IF(INPUT!Q4925="","",INPUT!Q4925)</f>
        <v/>
      </c>
      <c r="K4930" s="46" t="str">
        <f>IFERROR(IF(OR(INPUT!P4925="",INPUT!Q4925=""),"",INPUT!P4925-INPUT!Q4925),"")</f>
        <v/>
      </c>
      <c r="L4930" s="48" t="str">
        <f>IFERROR(IF(OR(INPUT!P4925="",INPUT!Q4925="",INPUT!P4925=0),"",(INPUT!P4925-INPUT!Q4925)/INPUT!P4925),"")</f>
        <v/>
      </c>
    </row>
    <row r="4931" spans="1:12" ht="18" hidden="1" customHeight="1" x14ac:dyDescent="0.2">
      <c r="A4931" s="11" t="str">
        <f>IF(INPUT!M4926="","",INPUT!M4926)</f>
        <v/>
      </c>
      <c r="B4931" s="11" t="str">
        <f>IF(INPUT!M4926="","",INPUT!M4926-WEEKDAY(INPUT!M4926,2)+1)</f>
        <v/>
      </c>
      <c r="C4931" s="20">
        <f>IFERROR(_xlfn.ISOWEEKNUM(INPUT!M4926),"")</f>
        <v>52</v>
      </c>
      <c r="D4931" s="20">
        <f>IFERROR(YEAR(INPUT!M4926),"")</f>
        <v>1900</v>
      </c>
      <c r="E4931" t="str">
        <f>IF(INPUT!O4926="","",INPUT!O4926)</f>
        <v/>
      </c>
      <c r="F4931" t="str">
        <f>IF(INPUT!N4926="","",INPUT!N4926)</f>
        <v/>
      </c>
      <c r="G4931" cm="1">
        <f t="array" ref="G4931">IFERROR(VLOOKUP(INPUT!M4926&amp;INPUT!N4926,CHOOSE({1,2},INPUT!$A$3:$A$5000&amp;INPUT!$C$3:$C$5000,INPUT!$F$3:$F$5000),2,FALSE),"")</f>
        <v>0</v>
      </c>
      <c r="H4931" cm="1">
        <f t="array" ref="H4931">IFERROR(VLOOKUP(INPUT!M4926&amp;INPUT!N4926,CHOOSE({1,2},INPUT!$A$3:$A$5000&amp;INPUT!$C$3:$C$5000,INPUT!$D$3:$D$5000),2,FALSE),"")</f>
        <v>0</v>
      </c>
      <c r="I4931" s="46" t="str">
        <f>IF(INPUT!P4926="","",INPUT!P4926)</f>
        <v/>
      </c>
      <c r="J4931" s="46" t="str">
        <f>IF(INPUT!Q4926="","",INPUT!Q4926)</f>
        <v/>
      </c>
      <c r="K4931" s="46" t="str">
        <f>IFERROR(IF(OR(INPUT!P4926="",INPUT!Q4926=""),"",INPUT!P4926-INPUT!Q4926),"")</f>
        <v/>
      </c>
      <c r="L4931" s="48" t="str">
        <f>IFERROR(IF(OR(INPUT!P4926="",INPUT!Q4926="",INPUT!P4926=0),"",(INPUT!P4926-INPUT!Q4926)/INPUT!P4926),"")</f>
        <v/>
      </c>
    </row>
    <row r="4932" spans="1:12" ht="18" hidden="1" customHeight="1" x14ac:dyDescent="0.2">
      <c r="A4932" s="11" t="str">
        <f>IF(INPUT!M4927="","",INPUT!M4927)</f>
        <v/>
      </c>
      <c r="B4932" s="11" t="str">
        <f>IF(INPUT!M4927="","",INPUT!M4927-WEEKDAY(INPUT!M4927,2)+1)</f>
        <v/>
      </c>
      <c r="C4932" s="20">
        <f>IFERROR(_xlfn.ISOWEEKNUM(INPUT!M4927),"")</f>
        <v>52</v>
      </c>
      <c r="D4932" s="20">
        <f>IFERROR(YEAR(INPUT!M4927),"")</f>
        <v>1900</v>
      </c>
      <c r="E4932" t="str">
        <f>IF(INPUT!O4927="","",INPUT!O4927)</f>
        <v/>
      </c>
      <c r="F4932" t="str">
        <f>IF(INPUT!N4927="","",INPUT!N4927)</f>
        <v/>
      </c>
      <c r="G4932" cm="1">
        <f t="array" ref="G4932">IFERROR(VLOOKUP(INPUT!M4927&amp;INPUT!N4927,CHOOSE({1,2},INPUT!$A$3:$A$5000&amp;INPUT!$C$3:$C$5000,INPUT!$F$3:$F$5000),2,FALSE),"")</f>
        <v>0</v>
      </c>
      <c r="H4932" cm="1">
        <f t="array" ref="H4932">IFERROR(VLOOKUP(INPUT!M4927&amp;INPUT!N4927,CHOOSE({1,2},INPUT!$A$3:$A$5000&amp;INPUT!$C$3:$C$5000,INPUT!$D$3:$D$5000),2,FALSE),"")</f>
        <v>0</v>
      </c>
      <c r="I4932" s="46" t="str">
        <f>IF(INPUT!P4927="","",INPUT!P4927)</f>
        <v/>
      </c>
      <c r="J4932" s="46" t="str">
        <f>IF(INPUT!Q4927="","",INPUT!Q4927)</f>
        <v/>
      </c>
      <c r="K4932" s="46" t="str">
        <f>IFERROR(IF(OR(INPUT!P4927="",INPUT!Q4927=""),"",INPUT!P4927-INPUT!Q4927),"")</f>
        <v/>
      </c>
      <c r="L4932" s="48" t="str">
        <f>IFERROR(IF(OR(INPUT!P4927="",INPUT!Q4927="",INPUT!P4927=0),"",(INPUT!P4927-INPUT!Q4927)/INPUT!P4927),"")</f>
        <v/>
      </c>
    </row>
    <row r="4933" spans="1:12" ht="18" hidden="1" customHeight="1" x14ac:dyDescent="0.2">
      <c r="A4933" s="11" t="str">
        <f>IF(INPUT!M4928="","",INPUT!M4928)</f>
        <v/>
      </c>
      <c r="B4933" s="11" t="str">
        <f>IF(INPUT!M4928="","",INPUT!M4928-WEEKDAY(INPUT!M4928,2)+1)</f>
        <v/>
      </c>
      <c r="C4933" s="20">
        <f>IFERROR(_xlfn.ISOWEEKNUM(INPUT!M4928),"")</f>
        <v>52</v>
      </c>
      <c r="D4933" s="20">
        <f>IFERROR(YEAR(INPUT!M4928),"")</f>
        <v>1900</v>
      </c>
      <c r="E4933" t="str">
        <f>IF(INPUT!O4928="","",INPUT!O4928)</f>
        <v/>
      </c>
      <c r="F4933" t="str">
        <f>IF(INPUT!N4928="","",INPUT!N4928)</f>
        <v/>
      </c>
      <c r="G4933" cm="1">
        <f t="array" ref="G4933">IFERROR(VLOOKUP(INPUT!M4928&amp;INPUT!N4928,CHOOSE({1,2},INPUT!$A$3:$A$5000&amp;INPUT!$C$3:$C$5000,INPUT!$F$3:$F$5000),2,FALSE),"")</f>
        <v>0</v>
      </c>
      <c r="H4933" cm="1">
        <f t="array" ref="H4933">IFERROR(VLOOKUP(INPUT!M4928&amp;INPUT!N4928,CHOOSE({1,2},INPUT!$A$3:$A$5000&amp;INPUT!$C$3:$C$5000,INPUT!$D$3:$D$5000),2,FALSE),"")</f>
        <v>0</v>
      </c>
      <c r="I4933" s="46" t="str">
        <f>IF(INPUT!P4928="","",INPUT!P4928)</f>
        <v/>
      </c>
      <c r="J4933" s="46" t="str">
        <f>IF(INPUT!Q4928="","",INPUT!Q4928)</f>
        <v/>
      </c>
      <c r="K4933" s="46" t="str">
        <f>IFERROR(IF(OR(INPUT!P4928="",INPUT!Q4928=""),"",INPUT!P4928-INPUT!Q4928),"")</f>
        <v/>
      </c>
      <c r="L4933" s="48" t="str">
        <f>IFERROR(IF(OR(INPUT!P4928="",INPUT!Q4928="",INPUT!P4928=0),"",(INPUT!P4928-INPUT!Q4928)/INPUT!P4928),"")</f>
        <v/>
      </c>
    </row>
    <row r="4934" spans="1:12" ht="18" hidden="1" customHeight="1" x14ac:dyDescent="0.2">
      <c r="A4934" s="11" t="str">
        <f>IF(INPUT!M4929="","",INPUT!M4929)</f>
        <v/>
      </c>
      <c r="B4934" s="11" t="str">
        <f>IF(INPUT!M4929="","",INPUT!M4929-WEEKDAY(INPUT!M4929,2)+1)</f>
        <v/>
      </c>
      <c r="C4934" s="20">
        <f>IFERROR(_xlfn.ISOWEEKNUM(INPUT!M4929),"")</f>
        <v>52</v>
      </c>
      <c r="D4934" s="20">
        <f>IFERROR(YEAR(INPUT!M4929),"")</f>
        <v>1900</v>
      </c>
      <c r="E4934" t="str">
        <f>IF(INPUT!O4929="","",INPUT!O4929)</f>
        <v/>
      </c>
      <c r="F4934" t="str">
        <f>IF(INPUT!N4929="","",INPUT!N4929)</f>
        <v/>
      </c>
      <c r="G4934" cm="1">
        <f t="array" ref="G4934">IFERROR(VLOOKUP(INPUT!M4929&amp;INPUT!N4929,CHOOSE({1,2},INPUT!$A$3:$A$5000&amp;INPUT!$C$3:$C$5000,INPUT!$F$3:$F$5000),2,FALSE),"")</f>
        <v>0</v>
      </c>
      <c r="H4934" cm="1">
        <f t="array" ref="H4934">IFERROR(VLOOKUP(INPUT!M4929&amp;INPUT!N4929,CHOOSE({1,2},INPUT!$A$3:$A$5000&amp;INPUT!$C$3:$C$5000,INPUT!$D$3:$D$5000),2,FALSE),"")</f>
        <v>0</v>
      </c>
      <c r="I4934" s="46" t="str">
        <f>IF(INPUT!P4929="","",INPUT!P4929)</f>
        <v/>
      </c>
      <c r="J4934" s="46" t="str">
        <f>IF(INPUT!Q4929="","",INPUT!Q4929)</f>
        <v/>
      </c>
      <c r="K4934" s="46" t="str">
        <f>IFERROR(IF(OR(INPUT!P4929="",INPUT!Q4929=""),"",INPUT!P4929-INPUT!Q4929),"")</f>
        <v/>
      </c>
      <c r="L4934" s="48" t="str">
        <f>IFERROR(IF(OR(INPUT!P4929="",INPUT!Q4929="",INPUT!P4929=0),"",(INPUT!P4929-INPUT!Q4929)/INPUT!P4929),"")</f>
        <v/>
      </c>
    </row>
    <row r="4935" spans="1:12" ht="18" hidden="1" customHeight="1" x14ac:dyDescent="0.2">
      <c r="A4935" s="11" t="str">
        <f>IF(INPUT!M4930="","",INPUT!M4930)</f>
        <v/>
      </c>
      <c r="B4935" s="11" t="str">
        <f>IF(INPUT!M4930="","",INPUT!M4930-WEEKDAY(INPUT!M4930,2)+1)</f>
        <v/>
      </c>
      <c r="C4935" s="20">
        <f>IFERROR(_xlfn.ISOWEEKNUM(INPUT!M4930),"")</f>
        <v>52</v>
      </c>
      <c r="D4935" s="20">
        <f>IFERROR(YEAR(INPUT!M4930),"")</f>
        <v>1900</v>
      </c>
      <c r="E4935" t="str">
        <f>IF(INPUT!O4930="","",INPUT!O4930)</f>
        <v/>
      </c>
      <c r="F4935" t="str">
        <f>IF(INPUT!N4930="","",INPUT!N4930)</f>
        <v/>
      </c>
      <c r="G4935" cm="1">
        <f t="array" ref="G4935">IFERROR(VLOOKUP(INPUT!M4930&amp;INPUT!N4930,CHOOSE({1,2},INPUT!$A$3:$A$5000&amp;INPUT!$C$3:$C$5000,INPUT!$F$3:$F$5000),2,FALSE),"")</f>
        <v>0</v>
      </c>
      <c r="H4935" cm="1">
        <f t="array" ref="H4935">IFERROR(VLOOKUP(INPUT!M4930&amp;INPUT!N4930,CHOOSE({1,2},INPUT!$A$3:$A$5000&amp;INPUT!$C$3:$C$5000,INPUT!$D$3:$D$5000),2,FALSE),"")</f>
        <v>0</v>
      </c>
      <c r="I4935" s="46" t="str">
        <f>IF(INPUT!P4930="","",INPUT!P4930)</f>
        <v/>
      </c>
      <c r="J4935" s="46" t="str">
        <f>IF(INPUT!Q4930="","",INPUT!Q4930)</f>
        <v/>
      </c>
      <c r="K4935" s="46" t="str">
        <f>IFERROR(IF(OR(INPUT!P4930="",INPUT!Q4930=""),"",INPUT!P4930-INPUT!Q4930),"")</f>
        <v/>
      </c>
      <c r="L4935" s="48" t="str">
        <f>IFERROR(IF(OR(INPUT!P4930="",INPUT!Q4930="",INPUT!P4930=0),"",(INPUT!P4930-INPUT!Q4930)/INPUT!P4930),"")</f>
        <v/>
      </c>
    </row>
    <row r="4936" spans="1:12" ht="18" hidden="1" customHeight="1" x14ac:dyDescent="0.2">
      <c r="A4936" s="11" t="str">
        <f>IF(INPUT!M4931="","",INPUT!M4931)</f>
        <v/>
      </c>
      <c r="B4936" s="11" t="str">
        <f>IF(INPUT!M4931="","",INPUT!M4931-WEEKDAY(INPUT!M4931,2)+1)</f>
        <v/>
      </c>
      <c r="C4936" s="20">
        <f>IFERROR(_xlfn.ISOWEEKNUM(INPUT!M4931),"")</f>
        <v>52</v>
      </c>
      <c r="D4936" s="20">
        <f>IFERROR(YEAR(INPUT!M4931),"")</f>
        <v>1900</v>
      </c>
      <c r="E4936" t="str">
        <f>IF(INPUT!O4931="","",INPUT!O4931)</f>
        <v/>
      </c>
      <c r="F4936" t="str">
        <f>IF(INPUT!N4931="","",INPUT!N4931)</f>
        <v/>
      </c>
      <c r="G4936" cm="1">
        <f t="array" ref="G4936">IFERROR(VLOOKUP(INPUT!M4931&amp;INPUT!N4931,CHOOSE({1,2},INPUT!$A$3:$A$5000&amp;INPUT!$C$3:$C$5000,INPUT!$F$3:$F$5000),2,FALSE),"")</f>
        <v>0</v>
      </c>
      <c r="H4936" cm="1">
        <f t="array" ref="H4936">IFERROR(VLOOKUP(INPUT!M4931&amp;INPUT!N4931,CHOOSE({1,2},INPUT!$A$3:$A$5000&amp;INPUT!$C$3:$C$5000,INPUT!$D$3:$D$5000),2,FALSE),"")</f>
        <v>0</v>
      </c>
      <c r="I4936" s="46" t="str">
        <f>IF(INPUT!P4931="","",INPUT!P4931)</f>
        <v/>
      </c>
      <c r="J4936" s="46" t="str">
        <f>IF(INPUT!Q4931="","",INPUT!Q4931)</f>
        <v/>
      </c>
      <c r="K4936" s="46" t="str">
        <f>IFERROR(IF(OR(INPUT!P4931="",INPUT!Q4931=""),"",INPUT!P4931-INPUT!Q4931),"")</f>
        <v/>
      </c>
      <c r="L4936" s="48" t="str">
        <f>IFERROR(IF(OR(INPUT!P4931="",INPUT!Q4931="",INPUT!P4931=0),"",(INPUT!P4931-INPUT!Q4931)/INPUT!P4931),"")</f>
        <v/>
      </c>
    </row>
    <row r="4937" spans="1:12" ht="18" hidden="1" customHeight="1" x14ac:dyDescent="0.2">
      <c r="A4937" s="11" t="str">
        <f>IF(INPUT!M4932="","",INPUT!M4932)</f>
        <v/>
      </c>
      <c r="B4937" s="11" t="str">
        <f>IF(INPUT!M4932="","",INPUT!M4932-WEEKDAY(INPUT!M4932,2)+1)</f>
        <v/>
      </c>
      <c r="C4937" s="20">
        <f>IFERROR(_xlfn.ISOWEEKNUM(INPUT!M4932),"")</f>
        <v>52</v>
      </c>
      <c r="D4937" s="20">
        <f>IFERROR(YEAR(INPUT!M4932),"")</f>
        <v>1900</v>
      </c>
      <c r="E4937" t="str">
        <f>IF(INPUT!O4932="","",INPUT!O4932)</f>
        <v/>
      </c>
      <c r="F4937" t="str">
        <f>IF(INPUT!N4932="","",INPUT!N4932)</f>
        <v/>
      </c>
      <c r="G4937" cm="1">
        <f t="array" ref="G4937">IFERROR(VLOOKUP(INPUT!M4932&amp;INPUT!N4932,CHOOSE({1,2},INPUT!$A$3:$A$5000&amp;INPUT!$C$3:$C$5000,INPUT!$F$3:$F$5000),2,FALSE),"")</f>
        <v>0</v>
      </c>
      <c r="H4937" cm="1">
        <f t="array" ref="H4937">IFERROR(VLOOKUP(INPUT!M4932&amp;INPUT!N4932,CHOOSE({1,2},INPUT!$A$3:$A$5000&amp;INPUT!$C$3:$C$5000,INPUT!$D$3:$D$5000),2,FALSE),"")</f>
        <v>0</v>
      </c>
      <c r="I4937" s="46" t="str">
        <f>IF(INPUT!P4932="","",INPUT!P4932)</f>
        <v/>
      </c>
      <c r="J4937" s="46" t="str">
        <f>IF(INPUT!Q4932="","",INPUT!Q4932)</f>
        <v/>
      </c>
      <c r="K4937" s="46" t="str">
        <f>IFERROR(IF(OR(INPUT!P4932="",INPUT!Q4932=""),"",INPUT!P4932-INPUT!Q4932),"")</f>
        <v/>
      </c>
      <c r="L4937" s="48" t="str">
        <f>IFERROR(IF(OR(INPUT!P4932="",INPUT!Q4932="",INPUT!P4932=0),"",(INPUT!P4932-INPUT!Q4932)/INPUT!P4932),"")</f>
        <v/>
      </c>
    </row>
    <row r="4938" spans="1:12" ht="18" hidden="1" customHeight="1" x14ac:dyDescent="0.2">
      <c r="A4938" s="11" t="str">
        <f>IF(INPUT!M4933="","",INPUT!M4933)</f>
        <v/>
      </c>
      <c r="B4938" s="11" t="str">
        <f>IF(INPUT!M4933="","",INPUT!M4933-WEEKDAY(INPUT!M4933,2)+1)</f>
        <v/>
      </c>
      <c r="C4938" s="20">
        <f>IFERROR(_xlfn.ISOWEEKNUM(INPUT!M4933),"")</f>
        <v>52</v>
      </c>
      <c r="D4938" s="20">
        <f>IFERROR(YEAR(INPUT!M4933),"")</f>
        <v>1900</v>
      </c>
      <c r="E4938" t="str">
        <f>IF(INPUT!O4933="","",INPUT!O4933)</f>
        <v/>
      </c>
      <c r="F4938" t="str">
        <f>IF(INPUT!N4933="","",INPUT!N4933)</f>
        <v/>
      </c>
      <c r="G4938" cm="1">
        <f t="array" ref="G4938">IFERROR(VLOOKUP(INPUT!M4933&amp;INPUT!N4933,CHOOSE({1,2},INPUT!$A$3:$A$5000&amp;INPUT!$C$3:$C$5000,INPUT!$F$3:$F$5000),2,FALSE),"")</f>
        <v>0</v>
      </c>
      <c r="H4938" cm="1">
        <f t="array" ref="H4938">IFERROR(VLOOKUP(INPUT!M4933&amp;INPUT!N4933,CHOOSE({1,2},INPUT!$A$3:$A$5000&amp;INPUT!$C$3:$C$5000,INPUT!$D$3:$D$5000),2,FALSE),"")</f>
        <v>0</v>
      </c>
      <c r="I4938" s="46" t="str">
        <f>IF(INPUT!P4933="","",INPUT!P4933)</f>
        <v/>
      </c>
      <c r="J4938" s="46" t="str">
        <f>IF(INPUT!Q4933="","",INPUT!Q4933)</f>
        <v/>
      </c>
      <c r="K4938" s="46" t="str">
        <f>IFERROR(IF(OR(INPUT!P4933="",INPUT!Q4933=""),"",INPUT!P4933-INPUT!Q4933),"")</f>
        <v/>
      </c>
      <c r="L4938" s="48" t="str">
        <f>IFERROR(IF(OR(INPUT!P4933="",INPUT!Q4933="",INPUT!P4933=0),"",(INPUT!P4933-INPUT!Q4933)/INPUT!P4933),"")</f>
        <v/>
      </c>
    </row>
    <row r="4939" spans="1:12" ht="18" hidden="1" customHeight="1" x14ac:dyDescent="0.2">
      <c r="A4939" s="11" t="str">
        <f>IF(INPUT!M4934="","",INPUT!M4934)</f>
        <v/>
      </c>
      <c r="B4939" s="11" t="str">
        <f>IF(INPUT!M4934="","",INPUT!M4934-WEEKDAY(INPUT!M4934,2)+1)</f>
        <v/>
      </c>
      <c r="C4939" s="20">
        <f>IFERROR(_xlfn.ISOWEEKNUM(INPUT!M4934),"")</f>
        <v>52</v>
      </c>
      <c r="D4939" s="20">
        <f>IFERROR(YEAR(INPUT!M4934),"")</f>
        <v>1900</v>
      </c>
      <c r="E4939" t="str">
        <f>IF(INPUT!O4934="","",INPUT!O4934)</f>
        <v/>
      </c>
      <c r="F4939" t="str">
        <f>IF(INPUT!N4934="","",INPUT!N4934)</f>
        <v/>
      </c>
      <c r="G4939" cm="1">
        <f t="array" ref="G4939">IFERROR(VLOOKUP(INPUT!M4934&amp;INPUT!N4934,CHOOSE({1,2},INPUT!$A$3:$A$5000&amp;INPUT!$C$3:$C$5000,INPUT!$F$3:$F$5000),2,FALSE),"")</f>
        <v>0</v>
      </c>
      <c r="H4939" cm="1">
        <f t="array" ref="H4939">IFERROR(VLOOKUP(INPUT!M4934&amp;INPUT!N4934,CHOOSE({1,2},INPUT!$A$3:$A$5000&amp;INPUT!$C$3:$C$5000,INPUT!$D$3:$D$5000),2,FALSE),"")</f>
        <v>0</v>
      </c>
      <c r="I4939" s="46" t="str">
        <f>IF(INPUT!P4934="","",INPUT!P4934)</f>
        <v/>
      </c>
      <c r="J4939" s="46" t="str">
        <f>IF(INPUT!Q4934="","",INPUT!Q4934)</f>
        <v/>
      </c>
      <c r="K4939" s="46" t="str">
        <f>IFERROR(IF(OR(INPUT!P4934="",INPUT!Q4934=""),"",INPUT!P4934-INPUT!Q4934),"")</f>
        <v/>
      </c>
      <c r="L4939" s="48" t="str">
        <f>IFERROR(IF(OR(INPUT!P4934="",INPUT!Q4934="",INPUT!P4934=0),"",(INPUT!P4934-INPUT!Q4934)/INPUT!P4934),"")</f>
        <v/>
      </c>
    </row>
    <row r="4940" spans="1:12" ht="18" hidden="1" customHeight="1" x14ac:dyDescent="0.2">
      <c r="A4940" s="11" t="str">
        <f>IF(INPUT!M4935="","",INPUT!M4935)</f>
        <v/>
      </c>
      <c r="B4940" s="11" t="str">
        <f>IF(INPUT!M4935="","",INPUT!M4935-WEEKDAY(INPUT!M4935,2)+1)</f>
        <v/>
      </c>
      <c r="C4940" s="20">
        <f>IFERROR(_xlfn.ISOWEEKNUM(INPUT!M4935),"")</f>
        <v>52</v>
      </c>
      <c r="D4940" s="20">
        <f>IFERROR(YEAR(INPUT!M4935),"")</f>
        <v>1900</v>
      </c>
      <c r="E4940" t="str">
        <f>IF(INPUT!O4935="","",INPUT!O4935)</f>
        <v/>
      </c>
      <c r="F4940" t="str">
        <f>IF(INPUT!N4935="","",INPUT!N4935)</f>
        <v/>
      </c>
      <c r="G4940" cm="1">
        <f t="array" ref="G4940">IFERROR(VLOOKUP(INPUT!M4935&amp;INPUT!N4935,CHOOSE({1,2},INPUT!$A$3:$A$5000&amp;INPUT!$C$3:$C$5000,INPUT!$F$3:$F$5000),2,FALSE),"")</f>
        <v>0</v>
      </c>
      <c r="H4940" cm="1">
        <f t="array" ref="H4940">IFERROR(VLOOKUP(INPUT!M4935&amp;INPUT!N4935,CHOOSE({1,2},INPUT!$A$3:$A$5000&amp;INPUT!$C$3:$C$5000,INPUT!$D$3:$D$5000),2,FALSE),"")</f>
        <v>0</v>
      </c>
      <c r="I4940" s="46" t="str">
        <f>IF(INPUT!P4935="","",INPUT!P4935)</f>
        <v/>
      </c>
      <c r="J4940" s="46" t="str">
        <f>IF(INPUT!Q4935="","",INPUT!Q4935)</f>
        <v/>
      </c>
      <c r="K4940" s="46" t="str">
        <f>IFERROR(IF(OR(INPUT!P4935="",INPUT!Q4935=""),"",INPUT!P4935-INPUT!Q4935),"")</f>
        <v/>
      </c>
      <c r="L4940" s="48" t="str">
        <f>IFERROR(IF(OR(INPUT!P4935="",INPUT!Q4935="",INPUT!P4935=0),"",(INPUT!P4935-INPUT!Q4935)/INPUT!P4935),"")</f>
        <v/>
      </c>
    </row>
    <row r="4941" spans="1:12" ht="18" hidden="1" customHeight="1" x14ac:dyDescent="0.2">
      <c r="A4941" s="11" t="str">
        <f>IF(INPUT!M4936="","",INPUT!M4936)</f>
        <v/>
      </c>
      <c r="B4941" s="11" t="str">
        <f>IF(INPUT!M4936="","",INPUT!M4936-WEEKDAY(INPUT!M4936,2)+1)</f>
        <v/>
      </c>
      <c r="C4941" s="20">
        <f>IFERROR(_xlfn.ISOWEEKNUM(INPUT!M4936),"")</f>
        <v>52</v>
      </c>
      <c r="D4941" s="20">
        <f>IFERROR(YEAR(INPUT!M4936),"")</f>
        <v>1900</v>
      </c>
      <c r="E4941" t="str">
        <f>IF(INPUT!O4936="","",INPUT!O4936)</f>
        <v/>
      </c>
      <c r="F4941" t="str">
        <f>IF(INPUT!N4936="","",INPUT!N4936)</f>
        <v/>
      </c>
      <c r="G4941" cm="1">
        <f t="array" ref="G4941">IFERROR(VLOOKUP(INPUT!M4936&amp;INPUT!N4936,CHOOSE({1,2},INPUT!$A$3:$A$5000&amp;INPUT!$C$3:$C$5000,INPUT!$F$3:$F$5000),2,FALSE),"")</f>
        <v>0</v>
      </c>
      <c r="H4941" cm="1">
        <f t="array" ref="H4941">IFERROR(VLOOKUP(INPUT!M4936&amp;INPUT!N4936,CHOOSE({1,2},INPUT!$A$3:$A$5000&amp;INPUT!$C$3:$C$5000,INPUT!$D$3:$D$5000),2,FALSE),"")</f>
        <v>0</v>
      </c>
      <c r="I4941" s="46" t="str">
        <f>IF(INPUT!P4936="","",INPUT!P4936)</f>
        <v/>
      </c>
      <c r="J4941" s="46" t="str">
        <f>IF(INPUT!Q4936="","",INPUT!Q4936)</f>
        <v/>
      </c>
      <c r="K4941" s="46" t="str">
        <f>IFERROR(IF(OR(INPUT!P4936="",INPUT!Q4936=""),"",INPUT!P4936-INPUT!Q4936),"")</f>
        <v/>
      </c>
      <c r="L4941" s="48" t="str">
        <f>IFERROR(IF(OR(INPUT!P4936="",INPUT!Q4936="",INPUT!P4936=0),"",(INPUT!P4936-INPUT!Q4936)/INPUT!P4936),"")</f>
        <v/>
      </c>
    </row>
    <row r="4942" spans="1:12" ht="18" hidden="1" customHeight="1" x14ac:dyDescent="0.2">
      <c r="A4942" s="11" t="str">
        <f>IF(INPUT!M4937="","",INPUT!M4937)</f>
        <v/>
      </c>
      <c r="B4942" s="11" t="str">
        <f>IF(INPUT!M4937="","",INPUT!M4937-WEEKDAY(INPUT!M4937,2)+1)</f>
        <v/>
      </c>
      <c r="C4942" s="20">
        <f>IFERROR(_xlfn.ISOWEEKNUM(INPUT!M4937),"")</f>
        <v>52</v>
      </c>
      <c r="D4942" s="20">
        <f>IFERROR(YEAR(INPUT!M4937),"")</f>
        <v>1900</v>
      </c>
      <c r="E4942" t="str">
        <f>IF(INPUT!O4937="","",INPUT!O4937)</f>
        <v/>
      </c>
      <c r="F4942" t="str">
        <f>IF(INPUT!N4937="","",INPUT!N4937)</f>
        <v/>
      </c>
      <c r="G4942" cm="1">
        <f t="array" ref="G4942">IFERROR(VLOOKUP(INPUT!M4937&amp;INPUT!N4937,CHOOSE({1,2},INPUT!$A$3:$A$5000&amp;INPUT!$C$3:$C$5000,INPUT!$F$3:$F$5000),2,FALSE),"")</f>
        <v>0</v>
      </c>
      <c r="H4942" cm="1">
        <f t="array" ref="H4942">IFERROR(VLOOKUP(INPUT!M4937&amp;INPUT!N4937,CHOOSE({1,2},INPUT!$A$3:$A$5000&amp;INPUT!$C$3:$C$5000,INPUT!$D$3:$D$5000),2,FALSE),"")</f>
        <v>0</v>
      </c>
      <c r="I4942" s="46" t="str">
        <f>IF(INPUT!P4937="","",INPUT!P4937)</f>
        <v/>
      </c>
      <c r="J4942" s="46" t="str">
        <f>IF(INPUT!Q4937="","",INPUT!Q4937)</f>
        <v/>
      </c>
      <c r="K4942" s="46" t="str">
        <f>IFERROR(IF(OR(INPUT!P4937="",INPUT!Q4937=""),"",INPUT!P4937-INPUT!Q4937),"")</f>
        <v/>
      </c>
      <c r="L4942" s="48" t="str">
        <f>IFERROR(IF(OR(INPUT!P4937="",INPUT!Q4937="",INPUT!P4937=0),"",(INPUT!P4937-INPUT!Q4937)/INPUT!P4937),"")</f>
        <v/>
      </c>
    </row>
    <row r="4943" spans="1:12" ht="18" hidden="1" customHeight="1" x14ac:dyDescent="0.2">
      <c r="A4943" s="11" t="str">
        <f>IF(INPUT!M4938="","",INPUT!M4938)</f>
        <v/>
      </c>
      <c r="B4943" s="11" t="str">
        <f>IF(INPUT!M4938="","",INPUT!M4938-WEEKDAY(INPUT!M4938,2)+1)</f>
        <v/>
      </c>
      <c r="C4943" s="20">
        <f>IFERROR(_xlfn.ISOWEEKNUM(INPUT!M4938),"")</f>
        <v>52</v>
      </c>
      <c r="D4943" s="20">
        <f>IFERROR(YEAR(INPUT!M4938),"")</f>
        <v>1900</v>
      </c>
      <c r="E4943" t="str">
        <f>IF(INPUT!O4938="","",INPUT!O4938)</f>
        <v/>
      </c>
      <c r="F4943" t="str">
        <f>IF(INPUT!N4938="","",INPUT!N4938)</f>
        <v/>
      </c>
      <c r="G4943" cm="1">
        <f t="array" ref="G4943">IFERROR(VLOOKUP(INPUT!M4938&amp;INPUT!N4938,CHOOSE({1,2},INPUT!$A$3:$A$5000&amp;INPUT!$C$3:$C$5000,INPUT!$F$3:$F$5000),2,FALSE),"")</f>
        <v>0</v>
      </c>
      <c r="H4943" cm="1">
        <f t="array" ref="H4943">IFERROR(VLOOKUP(INPUT!M4938&amp;INPUT!N4938,CHOOSE({1,2},INPUT!$A$3:$A$5000&amp;INPUT!$C$3:$C$5000,INPUT!$D$3:$D$5000),2,FALSE),"")</f>
        <v>0</v>
      </c>
      <c r="I4943" s="46" t="str">
        <f>IF(INPUT!P4938="","",INPUT!P4938)</f>
        <v/>
      </c>
      <c r="J4943" s="46" t="str">
        <f>IF(INPUT!Q4938="","",INPUT!Q4938)</f>
        <v/>
      </c>
      <c r="K4943" s="46" t="str">
        <f>IFERROR(IF(OR(INPUT!P4938="",INPUT!Q4938=""),"",INPUT!P4938-INPUT!Q4938),"")</f>
        <v/>
      </c>
      <c r="L4943" s="48" t="str">
        <f>IFERROR(IF(OR(INPUT!P4938="",INPUT!Q4938="",INPUT!P4938=0),"",(INPUT!P4938-INPUT!Q4938)/INPUT!P4938),"")</f>
        <v/>
      </c>
    </row>
    <row r="4944" spans="1:12" ht="18" hidden="1" customHeight="1" x14ac:dyDescent="0.2">
      <c r="A4944" s="11" t="str">
        <f>IF(INPUT!M4939="","",INPUT!M4939)</f>
        <v/>
      </c>
      <c r="B4944" s="11" t="str">
        <f>IF(INPUT!M4939="","",INPUT!M4939-WEEKDAY(INPUT!M4939,2)+1)</f>
        <v/>
      </c>
      <c r="C4944" s="20">
        <f>IFERROR(_xlfn.ISOWEEKNUM(INPUT!M4939),"")</f>
        <v>52</v>
      </c>
      <c r="D4944" s="20">
        <f>IFERROR(YEAR(INPUT!M4939),"")</f>
        <v>1900</v>
      </c>
      <c r="E4944" t="str">
        <f>IF(INPUT!O4939="","",INPUT!O4939)</f>
        <v/>
      </c>
      <c r="F4944" t="str">
        <f>IF(INPUT!N4939="","",INPUT!N4939)</f>
        <v/>
      </c>
      <c r="G4944" cm="1">
        <f t="array" ref="G4944">IFERROR(VLOOKUP(INPUT!M4939&amp;INPUT!N4939,CHOOSE({1,2},INPUT!$A$3:$A$5000&amp;INPUT!$C$3:$C$5000,INPUT!$F$3:$F$5000),2,FALSE),"")</f>
        <v>0</v>
      </c>
      <c r="H4944" cm="1">
        <f t="array" ref="H4944">IFERROR(VLOOKUP(INPUT!M4939&amp;INPUT!N4939,CHOOSE({1,2},INPUT!$A$3:$A$5000&amp;INPUT!$C$3:$C$5000,INPUT!$D$3:$D$5000),2,FALSE),"")</f>
        <v>0</v>
      </c>
      <c r="I4944" s="46" t="str">
        <f>IF(INPUT!P4939="","",INPUT!P4939)</f>
        <v/>
      </c>
      <c r="J4944" s="46" t="str">
        <f>IF(INPUT!Q4939="","",INPUT!Q4939)</f>
        <v/>
      </c>
      <c r="K4944" s="46" t="str">
        <f>IFERROR(IF(OR(INPUT!P4939="",INPUT!Q4939=""),"",INPUT!P4939-INPUT!Q4939),"")</f>
        <v/>
      </c>
      <c r="L4944" s="48" t="str">
        <f>IFERROR(IF(OR(INPUT!P4939="",INPUT!Q4939="",INPUT!P4939=0),"",(INPUT!P4939-INPUT!Q4939)/INPUT!P4939),"")</f>
        <v/>
      </c>
    </row>
    <row r="4945" spans="1:12" ht="18" hidden="1" customHeight="1" x14ac:dyDescent="0.2">
      <c r="A4945" s="11" t="str">
        <f>IF(INPUT!M4940="","",INPUT!M4940)</f>
        <v/>
      </c>
      <c r="B4945" s="11" t="str">
        <f>IF(INPUT!M4940="","",INPUT!M4940-WEEKDAY(INPUT!M4940,2)+1)</f>
        <v/>
      </c>
      <c r="C4945" s="20">
        <f>IFERROR(_xlfn.ISOWEEKNUM(INPUT!M4940),"")</f>
        <v>52</v>
      </c>
      <c r="D4945" s="20">
        <f>IFERROR(YEAR(INPUT!M4940),"")</f>
        <v>1900</v>
      </c>
      <c r="E4945" t="str">
        <f>IF(INPUT!O4940="","",INPUT!O4940)</f>
        <v/>
      </c>
      <c r="F4945" t="str">
        <f>IF(INPUT!N4940="","",INPUT!N4940)</f>
        <v/>
      </c>
      <c r="G4945" cm="1">
        <f t="array" ref="G4945">IFERROR(VLOOKUP(INPUT!M4940&amp;INPUT!N4940,CHOOSE({1,2},INPUT!$A$3:$A$5000&amp;INPUT!$C$3:$C$5000,INPUT!$F$3:$F$5000),2,FALSE),"")</f>
        <v>0</v>
      </c>
      <c r="H4945" cm="1">
        <f t="array" ref="H4945">IFERROR(VLOOKUP(INPUT!M4940&amp;INPUT!N4940,CHOOSE({1,2},INPUT!$A$3:$A$5000&amp;INPUT!$C$3:$C$5000,INPUT!$D$3:$D$5000),2,FALSE),"")</f>
        <v>0</v>
      </c>
      <c r="I4945" s="46" t="str">
        <f>IF(INPUT!P4940="","",INPUT!P4940)</f>
        <v/>
      </c>
      <c r="J4945" s="46" t="str">
        <f>IF(INPUT!Q4940="","",INPUT!Q4940)</f>
        <v/>
      </c>
      <c r="K4945" s="46" t="str">
        <f>IFERROR(IF(OR(INPUT!P4940="",INPUT!Q4940=""),"",INPUT!P4940-INPUT!Q4940),"")</f>
        <v/>
      </c>
      <c r="L4945" s="48" t="str">
        <f>IFERROR(IF(OR(INPUT!P4940="",INPUT!Q4940="",INPUT!P4940=0),"",(INPUT!P4940-INPUT!Q4940)/INPUT!P4940),"")</f>
        <v/>
      </c>
    </row>
    <row r="4946" spans="1:12" ht="18" hidden="1" customHeight="1" x14ac:dyDescent="0.2">
      <c r="A4946" s="11" t="str">
        <f>IF(INPUT!M4941="","",INPUT!M4941)</f>
        <v/>
      </c>
      <c r="B4946" s="11" t="str">
        <f>IF(INPUT!M4941="","",INPUT!M4941-WEEKDAY(INPUT!M4941,2)+1)</f>
        <v/>
      </c>
      <c r="C4946" s="20">
        <f>IFERROR(_xlfn.ISOWEEKNUM(INPUT!M4941),"")</f>
        <v>52</v>
      </c>
      <c r="D4946" s="20">
        <f>IFERROR(YEAR(INPUT!M4941),"")</f>
        <v>1900</v>
      </c>
      <c r="E4946" t="str">
        <f>IF(INPUT!O4941="","",INPUT!O4941)</f>
        <v/>
      </c>
      <c r="F4946" t="str">
        <f>IF(INPUT!N4941="","",INPUT!N4941)</f>
        <v/>
      </c>
      <c r="G4946" cm="1">
        <f t="array" ref="G4946">IFERROR(VLOOKUP(INPUT!M4941&amp;INPUT!N4941,CHOOSE({1,2},INPUT!$A$3:$A$5000&amp;INPUT!$C$3:$C$5000,INPUT!$F$3:$F$5000),2,FALSE),"")</f>
        <v>0</v>
      </c>
      <c r="H4946" cm="1">
        <f t="array" ref="H4946">IFERROR(VLOOKUP(INPUT!M4941&amp;INPUT!N4941,CHOOSE({1,2},INPUT!$A$3:$A$5000&amp;INPUT!$C$3:$C$5000,INPUT!$D$3:$D$5000),2,FALSE),"")</f>
        <v>0</v>
      </c>
      <c r="I4946" s="46" t="str">
        <f>IF(INPUT!P4941="","",INPUT!P4941)</f>
        <v/>
      </c>
      <c r="J4946" s="46" t="str">
        <f>IF(INPUT!Q4941="","",INPUT!Q4941)</f>
        <v/>
      </c>
      <c r="K4946" s="46" t="str">
        <f>IFERROR(IF(OR(INPUT!P4941="",INPUT!Q4941=""),"",INPUT!P4941-INPUT!Q4941),"")</f>
        <v/>
      </c>
      <c r="L4946" s="48" t="str">
        <f>IFERROR(IF(OR(INPUT!P4941="",INPUT!Q4941="",INPUT!P4941=0),"",(INPUT!P4941-INPUT!Q4941)/INPUT!P4941),"")</f>
        <v/>
      </c>
    </row>
    <row r="4947" spans="1:12" ht="18" hidden="1" customHeight="1" x14ac:dyDescent="0.2">
      <c r="A4947" s="11" t="str">
        <f>IF(INPUT!M4942="","",INPUT!M4942)</f>
        <v/>
      </c>
      <c r="B4947" s="11" t="str">
        <f>IF(INPUT!M4942="","",INPUT!M4942-WEEKDAY(INPUT!M4942,2)+1)</f>
        <v/>
      </c>
      <c r="C4947" s="20">
        <f>IFERROR(_xlfn.ISOWEEKNUM(INPUT!M4942),"")</f>
        <v>52</v>
      </c>
      <c r="D4947" s="20">
        <f>IFERROR(YEAR(INPUT!M4942),"")</f>
        <v>1900</v>
      </c>
      <c r="E4947" t="str">
        <f>IF(INPUT!O4942="","",INPUT!O4942)</f>
        <v/>
      </c>
      <c r="F4947" t="str">
        <f>IF(INPUT!N4942="","",INPUT!N4942)</f>
        <v/>
      </c>
      <c r="G4947" cm="1">
        <f t="array" ref="G4947">IFERROR(VLOOKUP(INPUT!M4942&amp;INPUT!N4942,CHOOSE({1,2},INPUT!$A$3:$A$5000&amp;INPUT!$C$3:$C$5000,INPUT!$F$3:$F$5000),2,FALSE),"")</f>
        <v>0</v>
      </c>
      <c r="H4947" cm="1">
        <f t="array" ref="H4947">IFERROR(VLOOKUP(INPUT!M4942&amp;INPUT!N4942,CHOOSE({1,2},INPUT!$A$3:$A$5000&amp;INPUT!$C$3:$C$5000,INPUT!$D$3:$D$5000),2,FALSE),"")</f>
        <v>0</v>
      </c>
      <c r="I4947" s="46" t="str">
        <f>IF(INPUT!P4942="","",INPUT!P4942)</f>
        <v/>
      </c>
      <c r="J4947" s="46" t="str">
        <f>IF(INPUT!Q4942="","",INPUT!Q4942)</f>
        <v/>
      </c>
      <c r="K4947" s="46" t="str">
        <f>IFERROR(IF(OR(INPUT!P4942="",INPUT!Q4942=""),"",INPUT!P4942-INPUT!Q4942),"")</f>
        <v/>
      </c>
      <c r="L4947" s="48" t="str">
        <f>IFERROR(IF(OR(INPUT!P4942="",INPUT!Q4942="",INPUT!P4942=0),"",(INPUT!P4942-INPUT!Q4942)/INPUT!P4942),"")</f>
        <v/>
      </c>
    </row>
    <row r="4948" spans="1:12" ht="18" hidden="1" customHeight="1" x14ac:dyDescent="0.2">
      <c r="A4948" s="11" t="str">
        <f>IF(INPUT!M4943="","",INPUT!M4943)</f>
        <v/>
      </c>
      <c r="B4948" s="11" t="str">
        <f>IF(INPUT!M4943="","",INPUT!M4943-WEEKDAY(INPUT!M4943,2)+1)</f>
        <v/>
      </c>
      <c r="C4948" s="20">
        <f>IFERROR(_xlfn.ISOWEEKNUM(INPUT!M4943),"")</f>
        <v>52</v>
      </c>
      <c r="D4948" s="20">
        <f>IFERROR(YEAR(INPUT!M4943),"")</f>
        <v>1900</v>
      </c>
      <c r="E4948" t="str">
        <f>IF(INPUT!O4943="","",INPUT!O4943)</f>
        <v/>
      </c>
      <c r="F4948" t="str">
        <f>IF(INPUT!N4943="","",INPUT!N4943)</f>
        <v/>
      </c>
      <c r="G4948" cm="1">
        <f t="array" ref="G4948">IFERROR(VLOOKUP(INPUT!M4943&amp;INPUT!N4943,CHOOSE({1,2},INPUT!$A$3:$A$5000&amp;INPUT!$C$3:$C$5000,INPUT!$F$3:$F$5000),2,FALSE),"")</f>
        <v>0</v>
      </c>
      <c r="H4948" cm="1">
        <f t="array" ref="H4948">IFERROR(VLOOKUP(INPUT!M4943&amp;INPUT!N4943,CHOOSE({1,2},INPUT!$A$3:$A$5000&amp;INPUT!$C$3:$C$5000,INPUT!$D$3:$D$5000),2,FALSE),"")</f>
        <v>0</v>
      </c>
      <c r="I4948" s="46" t="str">
        <f>IF(INPUT!P4943="","",INPUT!P4943)</f>
        <v/>
      </c>
      <c r="J4948" s="46" t="str">
        <f>IF(INPUT!Q4943="","",INPUT!Q4943)</f>
        <v/>
      </c>
      <c r="K4948" s="46" t="str">
        <f>IFERROR(IF(OR(INPUT!P4943="",INPUT!Q4943=""),"",INPUT!P4943-INPUT!Q4943),"")</f>
        <v/>
      </c>
      <c r="L4948" s="48" t="str">
        <f>IFERROR(IF(OR(INPUT!P4943="",INPUT!Q4943="",INPUT!P4943=0),"",(INPUT!P4943-INPUT!Q4943)/INPUT!P4943),"")</f>
        <v/>
      </c>
    </row>
    <row r="4949" spans="1:12" ht="18" hidden="1" customHeight="1" x14ac:dyDescent="0.2">
      <c r="A4949" s="11" t="str">
        <f>IF(INPUT!M4944="","",INPUT!M4944)</f>
        <v/>
      </c>
      <c r="B4949" s="11" t="str">
        <f>IF(INPUT!M4944="","",INPUT!M4944-WEEKDAY(INPUT!M4944,2)+1)</f>
        <v/>
      </c>
      <c r="C4949" s="20">
        <f>IFERROR(_xlfn.ISOWEEKNUM(INPUT!M4944),"")</f>
        <v>52</v>
      </c>
      <c r="D4949" s="20">
        <f>IFERROR(YEAR(INPUT!M4944),"")</f>
        <v>1900</v>
      </c>
      <c r="E4949" t="str">
        <f>IF(INPUT!O4944="","",INPUT!O4944)</f>
        <v/>
      </c>
      <c r="F4949" t="str">
        <f>IF(INPUT!N4944="","",INPUT!N4944)</f>
        <v/>
      </c>
      <c r="G4949" cm="1">
        <f t="array" ref="G4949">IFERROR(VLOOKUP(INPUT!M4944&amp;INPUT!N4944,CHOOSE({1,2},INPUT!$A$3:$A$5000&amp;INPUT!$C$3:$C$5000,INPUT!$F$3:$F$5000),2,FALSE),"")</f>
        <v>0</v>
      </c>
      <c r="H4949" cm="1">
        <f t="array" ref="H4949">IFERROR(VLOOKUP(INPUT!M4944&amp;INPUT!N4944,CHOOSE({1,2},INPUT!$A$3:$A$5000&amp;INPUT!$C$3:$C$5000,INPUT!$D$3:$D$5000),2,FALSE),"")</f>
        <v>0</v>
      </c>
      <c r="I4949" s="46" t="str">
        <f>IF(INPUT!P4944="","",INPUT!P4944)</f>
        <v/>
      </c>
      <c r="J4949" s="46" t="str">
        <f>IF(INPUT!Q4944="","",INPUT!Q4944)</f>
        <v/>
      </c>
      <c r="K4949" s="46" t="str">
        <f>IFERROR(IF(OR(INPUT!P4944="",INPUT!Q4944=""),"",INPUT!P4944-INPUT!Q4944),"")</f>
        <v/>
      </c>
      <c r="L4949" s="48" t="str">
        <f>IFERROR(IF(OR(INPUT!P4944="",INPUT!Q4944="",INPUT!P4944=0),"",(INPUT!P4944-INPUT!Q4944)/INPUT!P4944),"")</f>
        <v/>
      </c>
    </row>
    <row r="4950" spans="1:12" ht="18" hidden="1" customHeight="1" x14ac:dyDescent="0.2">
      <c r="A4950" s="11" t="str">
        <f>IF(INPUT!M4945="","",INPUT!M4945)</f>
        <v/>
      </c>
      <c r="B4950" s="11" t="str">
        <f>IF(INPUT!M4945="","",INPUT!M4945-WEEKDAY(INPUT!M4945,2)+1)</f>
        <v/>
      </c>
      <c r="C4950" s="20">
        <f>IFERROR(_xlfn.ISOWEEKNUM(INPUT!M4945),"")</f>
        <v>52</v>
      </c>
      <c r="D4950" s="20">
        <f>IFERROR(YEAR(INPUT!M4945),"")</f>
        <v>1900</v>
      </c>
      <c r="E4950" t="str">
        <f>IF(INPUT!O4945="","",INPUT!O4945)</f>
        <v/>
      </c>
      <c r="F4950" t="str">
        <f>IF(INPUT!N4945="","",INPUT!N4945)</f>
        <v/>
      </c>
      <c r="G4950" cm="1">
        <f t="array" ref="G4950">IFERROR(VLOOKUP(INPUT!M4945&amp;INPUT!N4945,CHOOSE({1,2},INPUT!$A$3:$A$5000&amp;INPUT!$C$3:$C$5000,INPUT!$F$3:$F$5000),2,FALSE),"")</f>
        <v>0</v>
      </c>
      <c r="H4950" cm="1">
        <f t="array" ref="H4950">IFERROR(VLOOKUP(INPUT!M4945&amp;INPUT!N4945,CHOOSE({1,2},INPUT!$A$3:$A$5000&amp;INPUT!$C$3:$C$5000,INPUT!$D$3:$D$5000),2,FALSE),"")</f>
        <v>0</v>
      </c>
      <c r="I4950" s="46" t="str">
        <f>IF(INPUT!P4945="","",INPUT!P4945)</f>
        <v/>
      </c>
      <c r="J4950" s="46" t="str">
        <f>IF(INPUT!Q4945="","",INPUT!Q4945)</f>
        <v/>
      </c>
      <c r="K4950" s="46" t="str">
        <f>IFERROR(IF(OR(INPUT!P4945="",INPUT!Q4945=""),"",INPUT!P4945-INPUT!Q4945),"")</f>
        <v/>
      </c>
      <c r="L4950" s="48" t="str">
        <f>IFERROR(IF(OR(INPUT!P4945="",INPUT!Q4945="",INPUT!P4945=0),"",(INPUT!P4945-INPUT!Q4945)/INPUT!P4945),"")</f>
        <v/>
      </c>
    </row>
    <row r="4951" spans="1:12" ht="18" hidden="1" customHeight="1" x14ac:dyDescent="0.2">
      <c r="A4951" s="11" t="str">
        <f>IF(INPUT!M4946="","",INPUT!M4946)</f>
        <v/>
      </c>
      <c r="B4951" s="11" t="str">
        <f>IF(INPUT!M4946="","",INPUT!M4946-WEEKDAY(INPUT!M4946,2)+1)</f>
        <v/>
      </c>
      <c r="C4951" s="20">
        <f>IFERROR(_xlfn.ISOWEEKNUM(INPUT!M4946),"")</f>
        <v>52</v>
      </c>
      <c r="D4951" s="20">
        <f>IFERROR(YEAR(INPUT!M4946),"")</f>
        <v>1900</v>
      </c>
      <c r="E4951" t="str">
        <f>IF(INPUT!O4946="","",INPUT!O4946)</f>
        <v/>
      </c>
      <c r="F4951" t="str">
        <f>IF(INPUT!N4946="","",INPUT!N4946)</f>
        <v/>
      </c>
      <c r="G4951" cm="1">
        <f t="array" ref="G4951">IFERROR(VLOOKUP(INPUT!M4946&amp;INPUT!N4946,CHOOSE({1,2},INPUT!$A$3:$A$5000&amp;INPUT!$C$3:$C$5000,INPUT!$F$3:$F$5000),2,FALSE),"")</f>
        <v>0</v>
      </c>
      <c r="H4951" cm="1">
        <f t="array" ref="H4951">IFERROR(VLOOKUP(INPUT!M4946&amp;INPUT!N4946,CHOOSE({1,2},INPUT!$A$3:$A$5000&amp;INPUT!$C$3:$C$5000,INPUT!$D$3:$D$5000),2,FALSE),"")</f>
        <v>0</v>
      </c>
      <c r="I4951" s="46" t="str">
        <f>IF(INPUT!P4946="","",INPUT!P4946)</f>
        <v/>
      </c>
      <c r="J4951" s="46" t="str">
        <f>IF(INPUT!Q4946="","",INPUT!Q4946)</f>
        <v/>
      </c>
      <c r="K4951" s="46" t="str">
        <f>IFERROR(IF(OR(INPUT!P4946="",INPUT!Q4946=""),"",INPUT!P4946-INPUT!Q4946),"")</f>
        <v/>
      </c>
      <c r="L4951" s="48" t="str">
        <f>IFERROR(IF(OR(INPUT!P4946="",INPUT!Q4946="",INPUT!P4946=0),"",(INPUT!P4946-INPUT!Q4946)/INPUT!P4946),"")</f>
        <v/>
      </c>
    </row>
    <row r="4952" spans="1:12" ht="18" hidden="1" customHeight="1" x14ac:dyDescent="0.2">
      <c r="A4952" s="11" t="str">
        <f>IF(INPUT!M4947="","",INPUT!M4947)</f>
        <v/>
      </c>
      <c r="B4952" s="11" t="str">
        <f>IF(INPUT!M4947="","",INPUT!M4947-WEEKDAY(INPUT!M4947,2)+1)</f>
        <v/>
      </c>
      <c r="C4952" s="20">
        <f>IFERROR(_xlfn.ISOWEEKNUM(INPUT!M4947),"")</f>
        <v>52</v>
      </c>
      <c r="D4952" s="20">
        <f>IFERROR(YEAR(INPUT!M4947),"")</f>
        <v>1900</v>
      </c>
      <c r="E4952" t="str">
        <f>IF(INPUT!O4947="","",INPUT!O4947)</f>
        <v/>
      </c>
      <c r="F4952" t="str">
        <f>IF(INPUT!N4947="","",INPUT!N4947)</f>
        <v/>
      </c>
      <c r="G4952" cm="1">
        <f t="array" ref="G4952">IFERROR(VLOOKUP(INPUT!M4947&amp;INPUT!N4947,CHOOSE({1,2},INPUT!$A$3:$A$5000&amp;INPUT!$C$3:$C$5000,INPUT!$F$3:$F$5000),2,FALSE),"")</f>
        <v>0</v>
      </c>
      <c r="H4952" cm="1">
        <f t="array" ref="H4952">IFERROR(VLOOKUP(INPUT!M4947&amp;INPUT!N4947,CHOOSE({1,2},INPUT!$A$3:$A$5000&amp;INPUT!$C$3:$C$5000,INPUT!$D$3:$D$5000),2,FALSE),"")</f>
        <v>0</v>
      </c>
      <c r="I4952" s="46" t="str">
        <f>IF(INPUT!P4947="","",INPUT!P4947)</f>
        <v/>
      </c>
      <c r="J4952" s="46" t="str">
        <f>IF(INPUT!Q4947="","",INPUT!Q4947)</f>
        <v/>
      </c>
      <c r="K4952" s="46" t="str">
        <f>IFERROR(IF(OR(INPUT!P4947="",INPUT!Q4947=""),"",INPUT!P4947-INPUT!Q4947),"")</f>
        <v/>
      </c>
      <c r="L4952" s="48" t="str">
        <f>IFERROR(IF(OR(INPUT!P4947="",INPUT!Q4947="",INPUT!P4947=0),"",(INPUT!P4947-INPUT!Q4947)/INPUT!P4947),"")</f>
        <v/>
      </c>
    </row>
    <row r="4953" spans="1:12" ht="18" hidden="1" customHeight="1" x14ac:dyDescent="0.2">
      <c r="A4953" s="11" t="str">
        <f>IF(INPUT!M4948="","",INPUT!M4948)</f>
        <v/>
      </c>
      <c r="B4953" s="11" t="str">
        <f>IF(INPUT!M4948="","",INPUT!M4948-WEEKDAY(INPUT!M4948,2)+1)</f>
        <v/>
      </c>
      <c r="C4953" s="20">
        <f>IFERROR(_xlfn.ISOWEEKNUM(INPUT!M4948),"")</f>
        <v>52</v>
      </c>
      <c r="D4953" s="20">
        <f>IFERROR(YEAR(INPUT!M4948),"")</f>
        <v>1900</v>
      </c>
      <c r="E4953" t="str">
        <f>IF(INPUT!O4948="","",INPUT!O4948)</f>
        <v/>
      </c>
      <c r="F4953" t="str">
        <f>IF(INPUT!N4948="","",INPUT!N4948)</f>
        <v/>
      </c>
      <c r="G4953" cm="1">
        <f t="array" ref="G4953">IFERROR(VLOOKUP(INPUT!M4948&amp;INPUT!N4948,CHOOSE({1,2},INPUT!$A$3:$A$5000&amp;INPUT!$C$3:$C$5000,INPUT!$F$3:$F$5000),2,FALSE),"")</f>
        <v>0</v>
      </c>
      <c r="H4953" cm="1">
        <f t="array" ref="H4953">IFERROR(VLOOKUP(INPUT!M4948&amp;INPUT!N4948,CHOOSE({1,2},INPUT!$A$3:$A$5000&amp;INPUT!$C$3:$C$5000,INPUT!$D$3:$D$5000),2,FALSE),"")</f>
        <v>0</v>
      </c>
      <c r="I4953" s="46" t="str">
        <f>IF(INPUT!P4948="","",INPUT!P4948)</f>
        <v/>
      </c>
      <c r="J4953" s="46" t="str">
        <f>IF(INPUT!Q4948="","",INPUT!Q4948)</f>
        <v/>
      </c>
      <c r="K4953" s="46" t="str">
        <f>IFERROR(IF(OR(INPUT!P4948="",INPUT!Q4948=""),"",INPUT!P4948-INPUT!Q4948),"")</f>
        <v/>
      </c>
      <c r="L4953" s="48" t="str">
        <f>IFERROR(IF(OR(INPUT!P4948="",INPUT!Q4948="",INPUT!P4948=0),"",(INPUT!P4948-INPUT!Q4948)/INPUT!P4948),"")</f>
        <v/>
      </c>
    </row>
    <row r="4954" spans="1:12" ht="18" hidden="1" customHeight="1" x14ac:dyDescent="0.2">
      <c r="A4954" s="11" t="str">
        <f>IF(INPUT!M4949="","",INPUT!M4949)</f>
        <v/>
      </c>
      <c r="B4954" s="11" t="str">
        <f>IF(INPUT!M4949="","",INPUT!M4949-WEEKDAY(INPUT!M4949,2)+1)</f>
        <v/>
      </c>
      <c r="C4954" s="20">
        <f>IFERROR(_xlfn.ISOWEEKNUM(INPUT!M4949),"")</f>
        <v>52</v>
      </c>
      <c r="D4954" s="20">
        <f>IFERROR(YEAR(INPUT!M4949),"")</f>
        <v>1900</v>
      </c>
      <c r="E4954" t="str">
        <f>IF(INPUT!O4949="","",INPUT!O4949)</f>
        <v/>
      </c>
      <c r="F4954" t="str">
        <f>IF(INPUT!N4949="","",INPUT!N4949)</f>
        <v/>
      </c>
      <c r="G4954" cm="1">
        <f t="array" ref="G4954">IFERROR(VLOOKUP(INPUT!M4949&amp;INPUT!N4949,CHOOSE({1,2},INPUT!$A$3:$A$5000&amp;INPUT!$C$3:$C$5000,INPUT!$F$3:$F$5000),2,FALSE),"")</f>
        <v>0</v>
      </c>
      <c r="H4954" cm="1">
        <f t="array" ref="H4954">IFERROR(VLOOKUP(INPUT!M4949&amp;INPUT!N4949,CHOOSE({1,2},INPUT!$A$3:$A$5000&amp;INPUT!$C$3:$C$5000,INPUT!$D$3:$D$5000),2,FALSE),"")</f>
        <v>0</v>
      </c>
      <c r="I4954" s="46" t="str">
        <f>IF(INPUT!P4949="","",INPUT!P4949)</f>
        <v/>
      </c>
      <c r="J4954" s="46" t="str">
        <f>IF(INPUT!Q4949="","",INPUT!Q4949)</f>
        <v/>
      </c>
      <c r="K4954" s="46" t="str">
        <f>IFERROR(IF(OR(INPUT!P4949="",INPUT!Q4949=""),"",INPUT!P4949-INPUT!Q4949),"")</f>
        <v/>
      </c>
      <c r="L4954" s="48" t="str">
        <f>IFERROR(IF(OR(INPUT!P4949="",INPUT!Q4949="",INPUT!P4949=0),"",(INPUT!P4949-INPUT!Q4949)/INPUT!P4949),"")</f>
        <v/>
      </c>
    </row>
    <row r="4955" spans="1:12" ht="18" hidden="1" customHeight="1" x14ac:dyDescent="0.2">
      <c r="A4955" s="11" t="str">
        <f>IF(INPUT!M4950="","",INPUT!M4950)</f>
        <v/>
      </c>
      <c r="B4955" s="11" t="str">
        <f>IF(INPUT!M4950="","",INPUT!M4950-WEEKDAY(INPUT!M4950,2)+1)</f>
        <v/>
      </c>
      <c r="C4955" s="20">
        <f>IFERROR(_xlfn.ISOWEEKNUM(INPUT!M4950),"")</f>
        <v>52</v>
      </c>
      <c r="D4955" s="20">
        <f>IFERROR(YEAR(INPUT!M4950),"")</f>
        <v>1900</v>
      </c>
      <c r="E4955" t="str">
        <f>IF(INPUT!O4950="","",INPUT!O4950)</f>
        <v/>
      </c>
      <c r="F4955" t="str">
        <f>IF(INPUT!N4950="","",INPUT!N4950)</f>
        <v/>
      </c>
      <c r="G4955" cm="1">
        <f t="array" ref="G4955">IFERROR(VLOOKUP(INPUT!M4950&amp;INPUT!N4950,CHOOSE({1,2},INPUT!$A$3:$A$5000&amp;INPUT!$C$3:$C$5000,INPUT!$F$3:$F$5000),2,FALSE),"")</f>
        <v>0</v>
      </c>
      <c r="H4955" cm="1">
        <f t="array" ref="H4955">IFERROR(VLOOKUP(INPUT!M4950&amp;INPUT!N4950,CHOOSE({1,2},INPUT!$A$3:$A$5000&amp;INPUT!$C$3:$C$5000,INPUT!$D$3:$D$5000),2,FALSE),"")</f>
        <v>0</v>
      </c>
      <c r="I4955" s="46" t="str">
        <f>IF(INPUT!P4950="","",INPUT!P4950)</f>
        <v/>
      </c>
      <c r="J4955" s="46" t="str">
        <f>IF(INPUT!Q4950="","",INPUT!Q4950)</f>
        <v/>
      </c>
      <c r="K4955" s="46" t="str">
        <f>IFERROR(IF(OR(INPUT!P4950="",INPUT!Q4950=""),"",INPUT!P4950-INPUT!Q4950),"")</f>
        <v/>
      </c>
      <c r="L4955" s="48" t="str">
        <f>IFERROR(IF(OR(INPUT!P4950="",INPUT!Q4950="",INPUT!P4950=0),"",(INPUT!P4950-INPUT!Q4950)/INPUT!P4950),"")</f>
        <v/>
      </c>
    </row>
    <row r="4956" spans="1:12" ht="18" hidden="1" customHeight="1" x14ac:dyDescent="0.2">
      <c r="A4956" s="11" t="str">
        <f>IF(INPUT!M4951="","",INPUT!M4951)</f>
        <v/>
      </c>
      <c r="B4956" s="11" t="str">
        <f>IF(INPUT!M4951="","",INPUT!M4951-WEEKDAY(INPUT!M4951,2)+1)</f>
        <v/>
      </c>
      <c r="C4956" s="20">
        <f>IFERROR(_xlfn.ISOWEEKNUM(INPUT!M4951),"")</f>
        <v>52</v>
      </c>
      <c r="D4956" s="20">
        <f>IFERROR(YEAR(INPUT!M4951),"")</f>
        <v>1900</v>
      </c>
      <c r="E4956" t="str">
        <f>IF(INPUT!O4951="","",INPUT!O4951)</f>
        <v/>
      </c>
      <c r="F4956" t="str">
        <f>IF(INPUT!N4951="","",INPUT!N4951)</f>
        <v/>
      </c>
      <c r="G4956" cm="1">
        <f t="array" ref="G4956">IFERROR(VLOOKUP(INPUT!M4951&amp;INPUT!N4951,CHOOSE({1,2},INPUT!$A$3:$A$5000&amp;INPUT!$C$3:$C$5000,INPUT!$F$3:$F$5000),2,FALSE),"")</f>
        <v>0</v>
      </c>
      <c r="H4956" cm="1">
        <f t="array" ref="H4956">IFERROR(VLOOKUP(INPUT!M4951&amp;INPUT!N4951,CHOOSE({1,2},INPUT!$A$3:$A$5000&amp;INPUT!$C$3:$C$5000,INPUT!$D$3:$D$5000),2,FALSE),"")</f>
        <v>0</v>
      </c>
      <c r="I4956" s="46" t="str">
        <f>IF(INPUT!P4951="","",INPUT!P4951)</f>
        <v/>
      </c>
      <c r="J4956" s="46" t="str">
        <f>IF(INPUT!Q4951="","",INPUT!Q4951)</f>
        <v/>
      </c>
      <c r="K4956" s="46" t="str">
        <f>IFERROR(IF(OR(INPUT!P4951="",INPUT!Q4951=""),"",INPUT!P4951-INPUT!Q4951),"")</f>
        <v/>
      </c>
      <c r="L4956" s="48" t="str">
        <f>IFERROR(IF(OR(INPUT!P4951="",INPUT!Q4951="",INPUT!P4951=0),"",(INPUT!P4951-INPUT!Q4951)/INPUT!P4951),"")</f>
        <v/>
      </c>
    </row>
    <row r="4957" spans="1:12" ht="18" hidden="1" customHeight="1" x14ac:dyDescent="0.2">
      <c r="A4957" s="11" t="str">
        <f>IF(INPUT!M4952="","",INPUT!M4952)</f>
        <v/>
      </c>
      <c r="B4957" s="11" t="str">
        <f>IF(INPUT!M4952="","",INPUT!M4952-WEEKDAY(INPUT!M4952,2)+1)</f>
        <v/>
      </c>
      <c r="C4957" s="20">
        <f>IFERROR(_xlfn.ISOWEEKNUM(INPUT!M4952),"")</f>
        <v>52</v>
      </c>
      <c r="D4957" s="20">
        <f>IFERROR(YEAR(INPUT!M4952),"")</f>
        <v>1900</v>
      </c>
      <c r="E4957" t="str">
        <f>IF(INPUT!O4952="","",INPUT!O4952)</f>
        <v/>
      </c>
      <c r="F4957" t="str">
        <f>IF(INPUT!N4952="","",INPUT!N4952)</f>
        <v/>
      </c>
      <c r="G4957" cm="1">
        <f t="array" ref="G4957">IFERROR(VLOOKUP(INPUT!M4952&amp;INPUT!N4952,CHOOSE({1,2},INPUT!$A$3:$A$5000&amp;INPUT!$C$3:$C$5000,INPUT!$F$3:$F$5000),2,FALSE),"")</f>
        <v>0</v>
      </c>
      <c r="H4957" cm="1">
        <f t="array" ref="H4957">IFERROR(VLOOKUP(INPUT!M4952&amp;INPUT!N4952,CHOOSE({1,2},INPUT!$A$3:$A$5000&amp;INPUT!$C$3:$C$5000,INPUT!$D$3:$D$5000),2,FALSE),"")</f>
        <v>0</v>
      </c>
      <c r="I4957" s="46" t="str">
        <f>IF(INPUT!P4952="","",INPUT!P4952)</f>
        <v/>
      </c>
      <c r="J4957" s="46" t="str">
        <f>IF(INPUT!Q4952="","",INPUT!Q4952)</f>
        <v/>
      </c>
      <c r="K4957" s="46" t="str">
        <f>IFERROR(IF(OR(INPUT!P4952="",INPUT!Q4952=""),"",INPUT!P4952-INPUT!Q4952),"")</f>
        <v/>
      </c>
      <c r="L4957" s="48" t="str">
        <f>IFERROR(IF(OR(INPUT!P4952="",INPUT!Q4952="",INPUT!P4952=0),"",(INPUT!P4952-INPUT!Q4952)/INPUT!P4952),"")</f>
        <v/>
      </c>
    </row>
    <row r="4958" spans="1:12" ht="18" hidden="1" customHeight="1" x14ac:dyDescent="0.2">
      <c r="A4958" s="11" t="str">
        <f>IF(INPUT!M4953="","",INPUT!M4953)</f>
        <v/>
      </c>
      <c r="B4958" s="11" t="str">
        <f>IF(INPUT!M4953="","",INPUT!M4953-WEEKDAY(INPUT!M4953,2)+1)</f>
        <v/>
      </c>
      <c r="C4958" s="20">
        <f>IFERROR(_xlfn.ISOWEEKNUM(INPUT!M4953),"")</f>
        <v>52</v>
      </c>
      <c r="D4958" s="20">
        <f>IFERROR(YEAR(INPUT!M4953),"")</f>
        <v>1900</v>
      </c>
      <c r="E4958" t="str">
        <f>IF(INPUT!O4953="","",INPUT!O4953)</f>
        <v/>
      </c>
      <c r="F4958" t="str">
        <f>IF(INPUT!N4953="","",INPUT!N4953)</f>
        <v/>
      </c>
      <c r="G4958" cm="1">
        <f t="array" ref="G4958">IFERROR(VLOOKUP(INPUT!M4953&amp;INPUT!N4953,CHOOSE({1,2},INPUT!$A$3:$A$5000&amp;INPUT!$C$3:$C$5000,INPUT!$F$3:$F$5000),2,FALSE),"")</f>
        <v>0</v>
      </c>
      <c r="H4958" cm="1">
        <f t="array" ref="H4958">IFERROR(VLOOKUP(INPUT!M4953&amp;INPUT!N4953,CHOOSE({1,2},INPUT!$A$3:$A$5000&amp;INPUT!$C$3:$C$5000,INPUT!$D$3:$D$5000),2,FALSE),"")</f>
        <v>0</v>
      </c>
      <c r="I4958" s="46" t="str">
        <f>IF(INPUT!P4953="","",INPUT!P4953)</f>
        <v/>
      </c>
      <c r="J4958" s="46" t="str">
        <f>IF(INPUT!Q4953="","",INPUT!Q4953)</f>
        <v/>
      </c>
      <c r="K4958" s="46" t="str">
        <f>IFERROR(IF(OR(INPUT!P4953="",INPUT!Q4953=""),"",INPUT!P4953-INPUT!Q4953),"")</f>
        <v/>
      </c>
      <c r="L4958" s="48" t="str">
        <f>IFERROR(IF(OR(INPUT!P4953="",INPUT!Q4953="",INPUT!P4953=0),"",(INPUT!P4953-INPUT!Q4953)/INPUT!P4953),"")</f>
        <v/>
      </c>
    </row>
    <row r="4959" spans="1:12" ht="18" hidden="1" customHeight="1" x14ac:dyDescent="0.2">
      <c r="A4959" s="11" t="str">
        <f>IF(INPUT!M4954="","",INPUT!M4954)</f>
        <v/>
      </c>
      <c r="B4959" s="11" t="str">
        <f>IF(INPUT!M4954="","",INPUT!M4954-WEEKDAY(INPUT!M4954,2)+1)</f>
        <v/>
      </c>
      <c r="C4959" s="20">
        <f>IFERROR(_xlfn.ISOWEEKNUM(INPUT!M4954),"")</f>
        <v>52</v>
      </c>
      <c r="D4959" s="20">
        <f>IFERROR(YEAR(INPUT!M4954),"")</f>
        <v>1900</v>
      </c>
      <c r="E4959" t="str">
        <f>IF(INPUT!O4954="","",INPUT!O4954)</f>
        <v/>
      </c>
      <c r="F4959" t="str">
        <f>IF(INPUT!N4954="","",INPUT!N4954)</f>
        <v/>
      </c>
      <c r="G4959" cm="1">
        <f t="array" ref="G4959">IFERROR(VLOOKUP(INPUT!M4954&amp;INPUT!N4954,CHOOSE({1,2},INPUT!$A$3:$A$5000&amp;INPUT!$C$3:$C$5000,INPUT!$F$3:$F$5000),2,FALSE),"")</f>
        <v>0</v>
      </c>
      <c r="H4959" cm="1">
        <f t="array" ref="H4959">IFERROR(VLOOKUP(INPUT!M4954&amp;INPUT!N4954,CHOOSE({1,2},INPUT!$A$3:$A$5000&amp;INPUT!$C$3:$C$5000,INPUT!$D$3:$D$5000),2,FALSE),"")</f>
        <v>0</v>
      </c>
      <c r="I4959" s="46" t="str">
        <f>IF(INPUT!P4954="","",INPUT!P4954)</f>
        <v/>
      </c>
      <c r="J4959" s="46" t="str">
        <f>IF(INPUT!Q4954="","",INPUT!Q4954)</f>
        <v/>
      </c>
      <c r="K4959" s="46" t="str">
        <f>IFERROR(IF(OR(INPUT!P4954="",INPUT!Q4954=""),"",INPUT!P4954-INPUT!Q4954),"")</f>
        <v/>
      </c>
      <c r="L4959" s="48" t="str">
        <f>IFERROR(IF(OR(INPUT!P4954="",INPUT!Q4954="",INPUT!P4954=0),"",(INPUT!P4954-INPUT!Q4954)/INPUT!P4954),"")</f>
        <v/>
      </c>
    </row>
    <row r="4960" spans="1:12" ht="18" hidden="1" customHeight="1" x14ac:dyDescent="0.2">
      <c r="A4960" s="11" t="str">
        <f>IF(INPUT!M4955="","",INPUT!M4955)</f>
        <v/>
      </c>
      <c r="B4960" s="11" t="str">
        <f>IF(INPUT!M4955="","",INPUT!M4955-WEEKDAY(INPUT!M4955,2)+1)</f>
        <v/>
      </c>
      <c r="C4960" s="20">
        <f>IFERROR(_xlfn.ISOWEEKNUM(INPUT!M4955),"")</f>
        <v>52</v>
      </c>
      <c r="D4960" s="20">
        <f>IFERROR(YEAR(INPUT!M4955),"")</f>
        <v>1900</v>
      </c>
      <c r="E4960" t="str">
        <f>IF(INPUT!O4955="","",INPUT!O4955)</f>
        <v/>
      </c>
      <c r="F4960" t="str">
        <f>IF(INPUT!N4955="","",INPUT!N4955)</f>
        <v/>
      </c>
      <c r="G4960" cm="1">
        <f t="array" ref="G4960">IFERROR(VLOOKUP(INPUT!M4955&amp;INPUT!N4955,CHOOSE({1,2},INPUT!$A$3:$A$5000&amp;INPUT!$C$3:$C$5000,INPUT!$F$3:$F$5000),2,FALSE),"")</f>
        <v>0</v>
      </c>
      <c r="H4960" cm="1">
        <f t="array" ref="H4960">IFERROR(VLOOKUP(INPUT!M4955&amp;INPUT!N4955,CHOOSE({1,2},INPUT!$A$3:$A$5000&amp;INPUT!$C$3:$C$5000,INPUT!$D$3:$D$5000),2,FALSE),"")</f>
        <v>0</v>
      </c>
      <c r="I4960" s="46" t="str">
        <f>IF(INPUT!P4955="","",INPUT!P4955)</f>
        <v/>
      </c>
      <c r="J4960" s="46" t="str">
        <f>IF(INPUT!Q4955="","",INPUT!Q4955)</f>
        <v/>
      </c>
      <c r="K4960" s="46" t="str">
        <f>IFERROR(IF(OR(INPUT!P4955="",INPUT!Q4955=""),"",INPUT!P4955-INPUT!Q4955),"")</f>
        <v/>
      </c>
      <c r="L4960" s="48" t="str">
        <f>IFERROR(IF(OR(INPUT!P4955="",INPUT!Q4955="",INPUT!P4955=0),"",(INPUT!P4955-INPUT!Q4955)/INPUT!P4955),"")</f>
        <v/>
      </c>
    </row>
    <row r="4961" spans="1:12" ht="18" hidden="1" customHeight="1" x14ac:dyDescent="0.2">
      <c r="A4961" s="11" t="str">
        <f>IF(INPUT!M4956="","",INPUT!M4956)</f>
        <v/>
      </c>
      <c r="B4961" s="11" t="str">
        <f>IF(INPUT!M4956="","",INPUT!M4956-WEEKDAY(INPUT!M4956,2)+1)</f>
        <v/>
      </c>
      <c r="C4961" s="20">
        <f>IFERROR(_xlfn.ISOWEEKNUM(INPUT!M4956),"")</f>
        <v>52</v>
      </c>
      <c r="D4961" s="20">
        <f>IFERROR(YEAR(INPUT!M4956),"")</f>
        <v>1900</v>
      </c>
      <c r="E4961" t="str">
        <f>IF(INPUT!O4956="","",INPUT!O4956)</f>
        <v/>
      </c>
      <c r="F4961" t="str">
        <f>IF(INPUT!N4956="","",INPUT!N4956)</f>
        <v/>
      </c>
      <c r="G4961" cm="1">
        <f t="array" ref="G4961">IFERROR(VLOOKUP(INPUT!M4956&amp;INPUT!N4956,CHOOSE({1,2},INPUT!$A$3:$A$5000&amp;INPUT!$C$3:$C$5000,INPUT!$F$3:$F$5000),2,FALSE),"")</f>
        <v>0</v>
      </c>
      <c r="H4961" cm="1">
        <f t="array" ref="H4961">IFERROR(VLOOKUP(INPUT!M4956&amp;INPUT!N4956,CHOOSE({1,2},INPUT!$A$3:$A$5000&amp;INPUT!$C$3:$C$5000,INPUT!$D$3:$D$5000),2,FALSE),"")</f>
        <v>0</v>
      </c>
      <c r="I4961" s="46" t="str">
        <f>IF(INPUT!P4956="","",INPUT!P4956)</f>
        <v/>
      </c>
      <c r="J4961" s="46" t="str">
        <f>IF(INPUT!Q4956="","",INPUT!Q4956)</f>
        <v/>
      </c>
      <c r="K4961" s="46" t="str">
        <f>IFERROR(IF(OR(INPUT!P4956="",INPUT!Q4956=""),"",INPUT!P4956-INPUT!Q4956),"")</f>
        <v/>
      </c>
      <c r="L4961" s="48" t="str">
        <f>IFERROR(IF(OR(INPUT!P4956="",INPUT!Q4956="",INPUT!P4956=0),"",(INPUT!P4956-INPUT!Q4956)/INPUT!P4956),"")</f>
        <v/>
      </c>
    </row>
    <row r="4962" spans="1:12" ht="18" hidden="1" customHeight="1" x14ac:dyDescent="0.2">
      <c r="A4962" s="11" t="str">
        <f>IF(INPUT!M4957="","",INPUT!M4957)</f>
        <v/>
      </c>
      <c r="B4962" s="11" t="str">
        <f>IF(INPUT!M4957="","",INPUT!M4957-WEEKDAY(INPUT!M4957,2)+1)</f>
        <v/>
      </c>
      <c r="C4962" s="20">
        <f>IFERROR(_xlfn.ISOWEEKNUM(INPUT!M4957),"")</f>
        <v>52</v>
      </c>
      <c r="D4962" s="20">
        <f>IFERROR(YEAR(INPUT!M4957),"")</f>
        <v>1900</v>
      </c>
      <c r="E4962" t="str">
        <f>IF(INPUT!O4957="","",INPUT!O4957)</f>
        <v/>
      </c>
      <c r="F4962" t="str">
        <f>IF(INPUT!N4957="","",INPUT!N4957)</f>
        <v/>
      </c>
      <c r="G4962" cm="1">
        <f t="array" ref="G4962">IFERROR(VLOOKUP(INPUT!M4957&amp;INPUT!N4957,CHOOSE({1,2},INPUT!$A$3:$A$5000&amp;INPUT!$C$3:$C$5000,INPUT!$F$3:$F$5000),2,FALSE),"")</f>
        <v>0</v>
      </c>
      <c r="H4962" cm="1">
        <f t="array" ref="H4962">IFERROR(VLOOKUP(INPUT!M4957&amp;INPUT!N4957,CHOOSE({1,2},INPUT!$A$3:$A$5000&amp;INPUT!$C$3:$C$5000,INPUT!$D$3:$D$5000),2,FALSE),"")</f>
        <v>0</v>
      </c>
      <c r="I4962" s="46" t="str">
        <f>IF(INPUT!P4957="","",INPUT!P4957)</f>
        <v/>
      </c>
      <c r="J4962" s="46" t="str">
        <f>IF(INPUT!Q4957="","",INPUT!Q4957)</f>
        <v/>
      </c>
      <c r="K4962" s="46" t="str">
        <f>IFERROR(IF(OR(INPUT!P4957="",INPUT!Q4957=""),"",INPUT!P4957-INPUT!Q4957),"")</f>
        <v/>
      </c>
      <c r="L4962" s="48" t="str">
        <f>IFERROR(IF(OR(INPUT!P4957="",INPUT!Q4957="",INPUT!P4957=0),"",(INPUT!P4957-INPUT!Q4957)/INPUT!P4957),"")</f>
        <v/>
      </c>
    </row>
    <row r="4963" spans="1:12" ht="18" hidden="1" customHeight="1" x14ac:dyDescent="0.2">
      <c r="A4963" s="11" t="str">
        <f>IF(INPUT!M4958="","",INPUT!M4958)</f>
        <v/>
      </c>
      <c r="B4963" s="11" t="str">
        <f>IF(INPUT!M4958="","",INPUT!M4958-WEEKDAY(INPUT!M4958,2)+1)</f>
        <v/>
      </c>
      <c r="C4963" s="20">
        <f>IFERROR(_xlfn.ISOWEEKNUM(INPUT!M4958),"")</f>
        <v>52</v>
      </c>
      <c r="D4963" s="20">
        <f>IFERROR(YEAR(INPUT!M4958),"")</f>
        <v>1900</v>
      </c>
      <c r="E4963" t="str">
        <f>IF(INPUT!O4958="","",INPUT!O4958)</f>
        <v/>
      </c>
      <c r="F4963" t="str">
        <f>IF(INPUT!N4958="","",INPUT!N4958)</f>
        <v/>
      </c>
      <c r="G4963" cm="1">
        <f t="array" ref="G4963">IFERROR(VLOOKUP(INPUT!M4958&amp;INPUT!N4958,CHOOSE({1,2},INPUT!$A$3:$A$5000&amp;INPUT!$C$3:$C$5000,INPUT!$F$3:$F$5000),2,FALSE),"")</f>
        <v>0</v>
      </c>
      <c r="H4963" cm="1">
        <f t="array" ref="H4963">IFERROR(VLOOKUP(INPUT!M4958&amp;INPUT!N4958,CHOOSE({1,2},INPUT!$A$3:$A$5000&amp;INPUT!$C$3:$C$5000,INPUT!$D$3:$D$5000),2,FALSE),"")</f>
        <v>0</v>
      </c>
      <c r="I4963" s="46" t="str">
        <f>IF(INPUT!P4958="","",INPUT!P4958)</f>
        <v/>
      </c>
      <c r="J4963" s="46" t="str">
        <f>IF(INPUT!Q4958="","",INPUT!Q4958)</f>
        <v/>
      </c>
      <c r="K4963" s="46" t="str">
        <f>IFERROR(IF(OR(INPUT!P4958="",INPUT!Q4958=""),"",INPUT!P4958-INPUT!Q4958),"")</f>
        <v/>
      </c>
      <c r="L4963" s="48" t="str">
        <f>IFERROR(IF(OR(INPUT!P4958="",INPUT!Q4958="",INPUT!P4958=0),"",(INPUT!P4958-INPUT!Q4958)/INPUT!P4958),"")</f>
        <v/>
      </c>
    </row>
    <row r="4964" spans="1:12" ht="18" hidden="1" customHeight="1" x14ac:dyDescent="0.2">
      <c r="A4964" s="11" t="str">
        <f>IF(INPUT!M4959="","",INPUT!M4959)</f>
        <v/>
      </c>
      <c r="B4964" s="11" t="str">
        <f>IF(INPUT!M4959="","",INPUT!M4959-WEEKDAY(INPUT!M4959,2)+1)</f>
        <v/>
      </c>
      <c r="C4964" s="20">
        <f>IFERROR(_xlfn.ISOWEEKNUM(INPUT!M4959),"")</f>
        <v>52</v>
      </c>
      <c r="D4964" s="20">
        <f>IFERROR(YEAR(INPUT!M4959),"")</f>
        <v>1900</v>
      </c>
      <c r="E4964" t="str">
        <f>IF(INPUT!O4959="","",INPUT!O4959)</f>
        <v/>
      </c>
      <c r="F4964" t="str">
        <f>IF(INPUT!N4959="","",INPUT!N4959)</f>
        <v/>
      </c>
      <c r="G4964" cm="1">
        <f t="array" ref="G4964">IFERROR(VLOOKUP(INPUT!M4959&amp;INPUT!N4959,CHOOSE({1,2},INPUT!$A$3:$A$5000&amp;INPUT!$C$3:$C$5000,INPUT!$F$3:$F$5000),2,FALSE),"")</f>
        <v>0</v>
      </c>
      <c r="H4964" cm="1">
        <f t="array" ref="H4964">IFERROR(VLOOKUP(INPUT!M4959&amp;INPUT!N4959,CHOOSE({1,2},INPUT!$A$3:$A$5000&amp;INPUT!$C$3:$C$5000,INPUT!$D$3:$D$5000),2,FALSE),"")</f>
        <v>0</v>
      </c>
      <c r="I4964" s="46" t="str">
        <f>IF(INPUT!P4959="","",INPUT!P4959)</f>
        <v/>
      </c>
      <c r="J4964" s="46" t="str">
        <f>IF(INPUT!Q4959="","",INPUT!Q4959)</f>
        <v/>
      </c>
      <c r="K4964" s="46" t="str">
        <f>IFERROR(IF(OR(INPUT!P4959="",INPUT!Q4959=""),"",INPUT!P4959-INPUT!Q4959),"")</f>
        <v/>
      </c>
      <c r="L4964" s="48" t="str">
        <f>IFERROR(IF(OR(INPUT!P4959="",INPUT!Q4959="",INPUT!P4959=0),"",(INPUT!P4959-INPUT!Q4959)/INPUT!P4959),"")</f>
        <v/>
      </c>
    </row>
    <row r="4965" spans="1:12" ht="18" hidden="1" customHeight="1" x14ac:dyDescent="0.2">
      <c r="A4965" s="11" t="str">
        <f>IF(INPUT!M4960="","",INPUT!M4960)</f>
        <v/>
      </c>
      <c r="B4965" s="11" t="str">
        <f>IF(INPUT!M4960="","",INPUT!M4960-WEEKDAY(INPUT!M4960,2)+1)</f>
        <v/>
      </c>
      <c r="C4965" s="20">
        <f>IFERROR(_xlfn.ISOWEEKNUM(INPUT!M4960),"")</f>
        <v>52</v>
      </c>
      <c r="D4965" s="20">
        <f>IFERROR(YEAR(INPUT!M4960),"")</f>
        <v>1900</v>
      </c>
      <c r="E4965" t="str">
        <f>IF(INPUT!O4960="","",INPUT!O4960)</f>
        <v/>
      </c>
      <c r="F4965" t="str">
        <f>IF(INPUT!N4960="","",INPUT!N4960)</f>
        <v/>
      </c>
      <c r="G4965" cm="1">
        <f t="array" ref="G4965">IFERROR(VLOOKUP(INPUT!M4960&amp;INPUT!N4960,CHOOSE({1,2},INPUT!$A$3:$A$5000&amp;INPUT!$C$3:$C$5000,INPUT!$F$3:$F$5000),2,FALSE),"")</f>
        <v>0</v>
      </c>
      <c r="H4965" cm="1">
        <f t="array" ref="H4965">IFERROR(VLOOKUP(INPUT!M4960&amp;INPUT!N4960,CHOOSE({1,2},INPUT!$A$3:$A$5000&amp;INPUT!$C$3:$C$5000,INPUT!$D$3:$D$5000),2,FALSE),"")</f>
        <v>0</v>
      </c>
      <c r="I4965" s="46" t="str">
        <f>IF(INPUT!P4960="","",INPUT!P4960)</f>
        <v/>
      </c>
      <c r="J4965" s="46" t="str">
        <f>IF(INPUT!Q4960="","",INPUT!Q4960)</f>
        <v/>
      </c>
      <c r="K4965" s="46" t="str">
        <f>IFERROR(IF(OR(INPUT!P4960="",INPUT!Q4960=""),"",INPUT!P4960-INPUT!Q4960),"")</f>
        <v/>
      </c>
      <c r="L4965" s="48" t="str">
        <f>IFERROR(IF(OR(INPUT!P4960="",INPUT!Q4960="",INPUT!P4960=0),"",(INPUT!P4960-INPUT!Q4960)/INPUT!P4960),"")</f>
        <v/>
      </c>
    </row>
    <row r="4966" spans="1:12" ht="18" hidden="1" customHeight="1" x14ac:dyDescent="0.2">
      <c r="A4966" s="11" t="str">
        <f>IF(INPUT!M4961="","",INPUT!M4961)</f>
        <v/>
      </c>
      <c r="B4966" s="11" t="str">
        <f>IF(INPUT!M4961="","",INPUT!M4961-WEEKDAY(INPUT!M4961,2)+1)</f>
        <v/>
      </c>
      <c r="C4966" s="20">
        <f>IFERROR(_xlfn.ISOWEEKNUM(INPUT!M4961),"")</f>
        <v>52</v>
      </c>
      <c r="D4966" s="20">
        <f>IFERROR(YEAR(INPUT!M4961),"")</f>
        <v>1900</v>
      </c>
      <c r="E4966" t="str">
        <f>IF(INPUT!O4961="","",INPUT!O4961)</f>
        <v/>
      </c>
      <c r="F4966" t="str">
        <f>IF(INPUT!N4961="","",INPUT!N4961)</f>
        <v/>
      </c>
      <c r="G4966" cm="1">
        <f t="array" ref="G4966">IFERROR(VLOOKUP(INPUT!M4961&amp;INPUT!N4961,CHOOSE({1,2},INPUT!$A$3:$A$5000&amp;INPUT!$C$3:$C$5000,INPUT!$F$3:$F$5000),2,FALSE),"")</f>
        <v>0</v>
      </c>
      <c r="H4966" cm="1">
        <f t="array" ref="H4966">IFERROR(VLOOKUP(INPUT!M4961&amp;INPUT!N4961,CHOOSE({1,2},INPUT!$A$3:$A$5000&amp;INPUT!$C$3:$C$5000,INPUT!$D$3:$D$5000),2,FALSE),"")</f>
        <v>0</v>
      </c>
      <c r="I4966" s="46" t="str">
        <f>IF(INPUT!P4961="","",INPUT!P4961)</f>
        <v/>
      </c>
      <c r="J4966" s="46" t="str">
        <f>IF(INPUT!Q4961="","",INPUT!Q4961)</f>
        <v/>
      </c>
      <c r="K4966" s="46" t="str">
        <f>IFERROR(IF(OR(INPUT!P4961="",INPUT!Q4961=""),"",INPUT!P4961-INPUT!Q4961),"")</f>
        <v/>
      </c>
      <c r="L4966" s="48" t="str">
        <f>IFERROR(IF(OR(INPUT!P4961="",INPUT!Q4961="",INPUT!P4961=0),"",(INPUT!P4961-INPUT!Q4961)/INPUT!P4961),"")</f>
        <v/>
      </c>
    </row>
    <row r="4967" spans="1:12" ht="18" hidden="1" customHeight="1" x14ac:dyDescent="0.2">
      <c r="A4967" s="11" t="str">
        <f>IF(INPUT!M4962="","",INPUT!M4962)</f>
        <v/>
      </c>
      <c r="B4967" s="11" t="str">
        <f>IF(INPUT!M4962="","",INPUT!M4962-WEEKDAY(INPUT!M4962,2)+1)</f>
        <v/>
      </c>
      <c r="C4967" s="20">
        <f>IFERROR(_xlfn.ISOWEEKNUM(INPUT!M4962),"")</f>
        <v>52</v>
      </c>
      <c r="D4967" s="20">
        <f>IFERROR(YEAR(INPUT!M4962),"")</f>
        <v>1900</v>
      </c>
      <c r="E4967" t="str">
        <f>IF(INPUT!O4962="","",INPUT!O4962)</f>
        <v/>
      </c>
      <c r="F4967" t="str">
        <f>IF(INPUT!N4962="","",INPUT!N4962)</f>
        <v/>
      </c>
      <c r="G4967" cm="1">
        <f t="array" ref="G4967">IFERROR(VLOOKUP(INPUT!M4962&amp;INPUT!N4962,CHOOSE({1,2},INPUT!$A$3:$A$5000&amp;INPUT!$C$3:$C$5000,INPUT!$F$3:$F$5000),2,FALSE),"")</f>
        <v>0</v>
      </c>
      <c r="H4967" cm="1">
        <f t="array" ref="H4967">IFERROR(VLOOKUP(INPUT!M4962&amp;INPUT!N4962,CHOOSE({1,2},INPUT!$A$3:$A$5000&amp;INPUT!$C$3:$C$5000,INPUT!$D$3:$D$5000),2,FALSE),"")</f>
        <v>0</v>
      </c>
      <c r="I4967" s="46" t="str">
        <f>IF(INPUT!P4962="","",INPUT!P4962)</f>
        <v/>
      </c>
      <c r="J4967" s="46" t="str">
        <f>IF(INPUT!Q4962="","",INPUT!Q4962)</f>
        <v/>
      </c>
      <c r="K4967" s="46" t="str">
        <f>IFERROR(IF(OR(INPUT!P4962="",INPUT!Q4962=""),"",INPUT!P4962-INPUT!Q4962),"")</f>
        <v/>
      </c>
      <c r="L4967" s="48" t="str">
        <f>IFERROR(IF(OR(INPUT!P4962="",INPUT!Q4962="",INPUT!P4962=0),"",(INPUT!P4962-INPUT!Q4962)/INPUT!P4962),"")</f>
        <v/>
      </c>
    </row>
    <row r="4968" spans="1:12" ht="18" hidden="1" customHeight="1" x14ac:dyDescent="0.2">
      <c r="A4968" s="11" t="str">
        <f>IF(INPUT!M4963="","",INPUT!M4963)</f>
        <v/>
      </c>
      <c r="B4968" s="11" t="str">
        <f>IF(INPUT!M4963="","",INPUT!M4963-WEEKDAY(INPUT!M4963,2)+1)</f>
        <v/>
      </c>
      <c r="C4968" s="20">
        <f>IFERROR(_xlfn.ISOWEEKNUM(INPUT!M4963),"")</f>
        <v>52</v>
      </c>
      <c r="D4968" s="20">
        <f>IFERROR(YEAR(INPUT!M4963),"")</f>
        <v>1900</v>
      </c>
      <c r="E4968" t="str">
        <f>IF(INPUT!O4963="","",INPUT!O4963)</f>
        <v/>
      </c>
      <c r="F4968" t="str">
        <f>IF(INPUT!N4963="","",INPUT!N4963)</f>
        <v/>
      </c>
      <c r="G4968" cm="1">
        <f t="array" ref="G4968">IFERROR(VLOOKUP(INPUT!M4963&amp;INPUT!N4963,CHOOSE({1,2},INPUT!$A$3:$A$5000&amp;INPUT!$C$3:$C$5000,INPUT!$F$3:$F$5000),2,FALSE),"")</f>
        <v>0</v>
      </c>
      <c r="H4968" cm="1">
        <f t="array" ref="H4968">IFERROR(VLOOKUP(INPUT!M4963&amp;INPUT!N4963,CHOOSE({1,2},INPUT!$A$3:$A$5000&amp;INPUT!$C$3:$C$5000,INPUT!$D$3:$D$5000),2,FALSE),"")</f>
        <v>0</v>
      </c>
      <c r="I4968" s="46" t="str">
        <f>IF(INPUT!P4963="","",INPUT!P4963)</f>
        <v/>
      </c>
      <c r="J4968" s="46" t="str">
        <f>IF(INPUT!Q4963="","",INPUT!Q4963)</f>
        <v/>
      </c>
      <c r="K4968" s="46" t="str">
        <f>IFERROR(IF(OR(INPUT!P4963="",INPUT!Q4963=""),"",INPUT!P4963-INPUT!Q4963),"")</f>
        <v/>
      </c>
      <c r="L4968" s="48" t="str">
        <f>IFERROR(IF(OR(INPUT!P4963="",INPUT!Q4963="",INPUT!P4963=0),"",(INPUT!P4963-INPUT!Q4963)/INPUT!P4963),"")</f>
        <v/>
      </c>
    </row>
    <row r="4969" spans="1:12" ht="18" hidden="1" customHeight="1" x14ac:dyDescent="0.2">
      <c r="A4969" s="11" t="str">
        <f>IF(INPUT!M4964="","",INPUT!M4964)</f>
        <v/>
      </c>
      <c r="B4969" s="11" t="str">
        <f>IF(INPUT!M4964="","",INPUT!M4964-WEEKDAY(INPUT!M4964,2)+1)</f>
        <v/>
      </c>
      <c r="C4969" s="20">
        <f>IFERROR(_xlfn.ISOWEEKNUM(INPUT!M4964),"")</f>
        <v>52</v>
      </c>
      <c r="D4969" s="20">
        <f>IFERROR(YEAR(INPUT!M4964),"")</f>
        <v>1900</v>
      </c>
      <c r="E4969" t="str">
        <f>IF(INPUT!O4964="","",INPUT!O4964)</f>
        <v/>
      </c>
      <c r="F4969" t="str">
        <f>IF(INPUT!N4964="","",INPUT!N4964)</f>
        <v/>
      </c>
      <c r="G4969" cm="1">
        <f t="array" ref="G4969">IFERROR(VLOOKUP(INPUT!M4964&amp;INPUT!N4964,CHOOSE({1,2},INPUT!$A$3:$A$5000&amp;INPUT!$C$3:$C$5000,INPUT!$F$3:$F$5000),2,FALSE),"")</f>
        <v>0</v>
      </c>
      <c r="H4969" cm="1">
        <f t="array" ref="H4969">IFERROR(VLOOKUP(INPUT!M4964&amp;INPUT!N4964,CHOOSE({1,2},INPUT!$A$3:$A$5000&amp;INPUT!$C$3:$C$5000,INPUT!$D$3:$D$5000),2,FALSE),"")</f>
        <v>0</v>
      </c>
      <c r="I4969" s="46" t="str">
        <f>IF(INPUT!P4964="","",INPUT!P4964)</f>
        <v/>
      </c>
      <c r="J4969" s="46" t="str">
        <f>IF(INPUT!Q4964="","",INPUT!Q4964)</f>
        <v/>
      </c>
      <c r="K4969" s="46" t="str">
        <f>IFERROR(IF(OR(INPUT!P4964="",INPUT!Q4964=""),"",INPUT!P4964-INPUT!Q4964),"")</f>
        <v/>
      </c>
      <c r="L4969" s="48" t="str">
        <f>IFERROR(IF(OR(INPUT!P4964="",INPUT!Q4964="",INPUT!P4964=0),"",(INPUT!P4964-INPUT!Q4964)/INPUT!P4964),"")</f>
        <v/>
      </c>
    </row>
    <row r="4970" spans="1:12" ht="18" hidden="1" customHeight="1" x14ac:dyDescent="0.2">
      <c r="A4970" s="11" t="str">
        <f>IF(INPUT!M4965="","",INPUT!M4965)</f>
        <v/>
      </c>
      <c r="B4970" s="11" t="str">
        <f>IF(INPUT!M4965="","",INPUT!M4965-WEEKDAY(INPUT!M4965,2)+1)</f>
        <v/>
      </c>
      <c r="C4970" s="20">
        <f>IFERROR(_xlfn.ISOWEEKNUM(INPUT!M4965),"")</f>
        <v>52</v>
      </c>
      <c r="D4970" s="20">
        <f>IFERROR(YEAR(INPUT!M4965),"")</f>
        <v>1900</v>
      </c>
      <c r="E4970" t="str">
        <f>IF(INPUT!O4965="","",INPUT!O4965)</f>
        <v/>
      </c>
      <c r="F4970" t="str">
        <f>IF(INPUT!N4965="","",INPUT!N4965)</f>
        <v/>
      </c>
      <c r="G4970" cm="1">
        <f t="array" ref="G4970">IFERROR(VLOOKUP(INPUT!M4965&amp;INPUT!N4965,CHOOSE({1,2},INPUT!$A$3:$A$5000&amp;INPUT!$C$3:$C$5000,INPUT!$F$3:$F$5000),2,FALSE),"")</f>
        <v>0</v>
      </c>
      <c r="H4970" cm="1">
        <f t="array" ref="H4970">IFERROR(VLOOKUP(INPUT!M4965&amp;INPUT!N4965,CHOOSE({1,2},INPUT!$A$3:$A$5000&amp;INPUT!$C$3:$C$5000,INPUT!$D$3:$D$5000),2,FALSE),"")</f>
        <v>0</v>
      </c>
      <c r="I4970" s="46" t="str">
        <f>IF(INPUT!P4965="","",INPUT!P4965)</f>
        <v/>
      </c>
      <c r="J4970" s="46" t="str">
        <f>IF(INPUT!Q4965="","",INPUT!Q4965)</f>
        <v/>
      </c>
      <c r="K4970" s="46" t="str">
        <f>IFERROR(IF(OR(INPUT!P4965="",INPUT!Q4965=""),"",INPUT!P4965-INPUT!Q4965),"")</f>
        <v/>
      </c>
      <c r="L4970" s="48" t="str">
        <f>IFERROR(IF(OR(INPUT!P4965="",INPUT!Q4965="",INPUT!P4965=0),"",(INPUT!P4965-INPUT!Q4965)/INPUT!P4965),"")</f>
        <v/>
      </c>
    </row>
    <row r="4971" spans="1:12" ht="18" hidden="1" customHeight="1" x14ac:dyDescent="0.2">
      <c r="A4971" s="11" t="str">
        <f>IF(INPUT!M4966="","",INPUT!M4966)</f>
        <v/>
      </c>
      <c r="B4971" s="11" t="str">
        <f>IF(INPUT!M4966="","",INPUT!M4966-WEEKDAY(INPUT!M4966,2)+1)</f>
        <v/>
      </c>
      <c r="C4971" s="20">
        <f>IFERROR(_xlfn.ISOWEEKNUM(INPUT!M4966),"")</f>
        <v>52</v>
      </c>
      <c r="D4971" s="20">
        <f>IFERROR(YEAR(INPUT!M4966),"")</f>
        <v>1900</v>
      </c>
      <c r="E4971" t="str">
        <f>IF(INPUT!O4966="","",INPUT!O4966)</f>
        <v/>
      </c>
      <c r="F4971" t="str">
        <f>IF(INPUT!N4966="","",INPUT!N4966)</f>
        <v/>
      </c>
      <c r="G4971" cm="1">
        <f t="array" ref="G4971">IFERROR(VLOOKUP(INPUT!M4966&amp;INPUT!N4966,CHOOSE({1,2},INPUT!$A$3:$A$5000&amp;INPUT!$C$3:$C$5000,INPUT!$F$3:$F$5000),2,FALSE),"")</f>
        <v>0</v>
      </c>
      <c r="H4971" cm="1">
        <f t="array" ref="H4971">IFERROR(VLOOKUP(INPUT!M4966&amp;INPUT!N4966,CHOOSE({1,2},INPUT!$A$3:$A$5000&amp;INPUT!$C$3:$C$5000,INPUT!$D$3:$D$5000),2,FALSE),"")</f>
        <v>0</v>
      </c>
      <c r="I4971" s="46" t="str">
        <f>IF(INPUT!P4966="","",INPUT!P4966)</f>
        <v/>
      </c>
      <c r="J4971" s="46" t="str">
        <f>IF(INPUT!Q4966="","",INPUT!Q4966)</f>
        <v/>
      </c>
      <c r="K4971" s="46" t="str">
        <f>IFERROR(IF(OR(INPUT!P4966="",INPUT!Q4966=""),"",INPUT!P4966-INPUT!Q4966),"")</f>
        <v/>
      </c>
      <c r="L4971" s="48" t="str">
        <f>IFERROR(IF(OR(INPUT!P4966="",INPUT!Q4966="",INPUT!P4966=0),"",(INPUT!P4966-INPUT!Q4966)/INPUT!P4966),"")</f>
        <v/>
      </c>
    </row>
    <row r="4972" spans="1:12" ht="18" hidden="1" customHeight="1" x14ac:dyDescent="0.2">
      <c r="A4972" s="11" t="str">
        <f>IF(INPUT!M4967="","",INPUT!M4967)</f>
        <v/>
      </c>
      <c r="B4972" s="11" t="str">
        <f>IF(INPUT!M4967="","",INPUT!M4967-WEEKDAY(INPUT!M4967,2)+1)</f>
        <v/>
      </c>
      <c r="C4972" s="20">
        <f>IFERROR(_xlfn.ISOWEEKNUM(INPUT!M4967),"")</f>
        <v>52</v>
      </c>
      <c r="D4972" s="20">
        <f>IFERROR(YEAR(INPUT!M4967),"")</f>
        <v>1900</v>
      </c>
      <c r="E4972" t="str">
        <f>IF(INPUT!O4967="","",INPUT!O4967)</f>
        <v/>
      </c>
      <c r="F4972" t="str">
        <f>IF(INPUT!N4967="","",INPUT!N4967)</f>
        <v/>
      </c>
      <c r="G4972" cm="1">
        <f t="array" ref="G4972">IFERROR(VLOOKUP(INPUT!M4967&amp;INPUT!N4967,CHOOSE({1,2},INPUT!$A$3:$A$5000&amp;INPUT!$C$3:$C$5000,INPUT!$F$3:$F$5000),2,FALSE),"")</f>
        <v>0</v>
      </c>
      <c r="H4972" cm="1">
        <f t="array" ref="H4972">IFERROR(VLOOKUP(INPUT!M4967&amp;INPUT!N4967,CHOOSE({1,2},INPUT!$A$3:$A$5000&amp;INPUT!$C$3:$C$5000,INPUT!$D$3:$D$5000),2,FALSE),"")</f>
        <v>0</v>
      </c>
      <c r="I4972" s="46" t="str">
        <f>IF(INPUT!P4967="","",INPUT!P4967)</f>
        <v/>
      </c>
      <c r="J4972" s="46" t="str">
        <f>IF(INPUT!Q4967="","",INPUT!Q4967)</f>
        <v/>
      </c>
      <c r="K4972" s="46" t="str">
        <f>IFERROR(IF(OR(INPUT!P4967="",INPUT!Q4967=""),"",INPUT!P4967-INPUT!Q4967),"")</f>
        <v/>
      </c>
      <c r="L4972" s="48" t="str">
        <f>IFERROR(IF(OR(INPUT!P4967="",INPUT!Q4967="",INPUT!P4967=0),"",(INPUT!P4967-INPUT!Q4967)/INPUT!P4967),"")</f>
        <v/>
      </c>
    </row>
    <row r="4973" spans="1:12" ht="18" hidden="1" customHeight="1" x14ac:dyDescent="0.2">
      <c r="A4973" s="11" t="str">
        <f>IF(INPUT!M4968="","",INPUT!M4968)</f>
        <v/>
      </c>
      <c r="B4973" s="11" t="str">
        <f>IF(INPUT!M4968="","",INPUT!M4968-WEEKDAY(INPUT!M4968,2)+1)</f>
        <v/>
      </c>
      <c r="C4973" s="20">
        <f>IFERROR(_xlfn.ISOWEEKNUM(INPUT!M4968),"")</f>
        <v>52</v>
      </c>
      <c r="D4973" s="20">
        <f>IFERROR(YEAR(INPUT!M4968),"")</f>
        <v>1900</v>
      </c>
      <c r="E4973" t="str">
        <f>IF(INPUT!O4968="","",INPUT!O4968)</f>
        <v/>
      </c>
      <c r="F4973" t="str">
        <f>IF(INPUT!N4968="","",INPUT!N4968)</f>
        <v/>
      </c>
      <c r="G4973" cm="1">
        <f t="array" ref="G4973">IFERROR(VLOOKUP(INPUT!M4968&amp;INPUT!N4968,CHOOSE({1,2},INPUT!$A$3:$A$5000&amp;INPUT!$C$3:$C$5000,INPUT!$F$3:$F$5000),2,FALSE),"")</f>
        <v>0</v>
      </c>
      <c r="H4973" cm="1">
        <f t="array" ref="H4973">IFERROR(VLOOKUP(INPUT!M4968&amp;INPUT!N4968,CHOOSE({1,2},INPUT!$A$3:$A$5000&amp;INPUT!$C$3:$C$5000,INPUT!$D$3:$D$5000),2,FALSE),"")</f>
        <v>0</v>
      </c>
      <c r="I4973" s="46" t="str">
        <f>IF(INPUT!P4968="","",INPUT!P4968)</f>
        <v/>
      </c>
      <c r="J4973" s="46" t="str">
        <f>IF(INPUT!Q4968="","",INPUT!Q4968)</f>
        <v/>
      </c>
      <c r="K4973" s="46" t="str">
        <f>IFERROR(IF(OR(INPUT!P4968="",INPUT!Q4968=""),"",INPUT!P4968-INPUT!Q4968),"")</f>
        <v/>
      </c>
      <c r="L4973" s="48" t="str">
        <f>IFERROR(IF(OR(INPUT!P4968="",INPUT!Q4968="",INPUT!P4968=0),"",(INPUT!P4968-INPUT!Q4968)/INPUT!P4968),"")</f>
        <v/>
      </c>
    </row>
    <row r="4974" spans="1:12" ht="18" hidden="1" customHeight="1" x14ac:dyDescent="0.2">
      <c r="A4974" s="11" t="str">
        <f>IF(INPUT!M4969="","",INPUT!M4969)</f>
        <v/>
      </c>
      <c r="B4974" s="11" t="str">
        <f>IF(INPUT!M4969="","",INPUT!M4969-WEEKDAY(INPUT!M4969,2)+1)</f>
        <v/>
      </c>
      <c r="C4974" s="20">
        <f>IFERROR(_xlfn.ISOWEEKNUM(INPUT!M4969),"")</f>
        <v>52</v>
      </c>
      <c r="D4974" s="20">
        <f>IFERROR(YEAR(INPUT!M4969),"")</f>
        <v>1900</v>
      </c>
      <c r="E4974" t="str">
        <f>IF(INPUT!O4969="","",INPUT!O4969)</f>
        <v/>
      </c>
      <c r="F4974" t="str">
        <f>IF(INPUT!N4969="","",INPUT!N4969)</f>
        <v/>
      </c>
      <c r="G4974" cm="1">
        <f t="array" ref="G4974">IFERROR(VLOOKUP(INPUT!M4969&amp;INPUT!N4969,CHOOSE({1,2},INPUT!$A$3:$A$5000&amp;INPUT!$C$3:$C$5000,INPUT!$F$3:$F$5000),2,FALSE),"")</f>
        <v>0</v>
      </c>
      <c r="H4974" cm="1">
        <f t="array" ref="H4974">IFERROR(VLOOKUP(INPUT!M4969&amp;INPUT!N4969,CHOOSE({1,2},INPUT!$A$3:$A$5000&amp;INPUT!$C$3:$C$5000,INPUT!$D$3:$D$5000),2,FALSE),"")</f>
        <v>0</v>
      </c>
      <c r="I4974" s="46" t="str">
        <f>IF(INPUT!P4969="","",INPUT!P4969)</f>
        <v/>
      </c>
      <c r="J4974" s="46" t="str">
        <f>IF(INPUT!Q4969="","",INPUT!Q4969)</f>
        <v/>
      </c>
      <c r="K4974" s="46" t="str">
        <f>IFERROR(IF(OR(INPUT!P4969="",INPUT!Q4969=""),"",INPUT!P4969-INPUT!Q4969),"")</f>
        <v/>
      </c>
      <c r="L4974" s="48" t="str">
        <f>IFERROR(IF(OR(INPUT!P4969="",INPUT!Q4969="",INPUT!P4969=0),"",(INPUT!P4969-INPUT!Q4969)/INPUT!P4969),"")</f>
        <v/>
      </c>
    </row>
    <row r="4975" spans="1:12" ht="18" hidden="1" customHeight="1" x14ac:dyDescent="0.2">
      <c r="A4975" s="11" t="str">
        <f>IF(INPUT!M4970="","",INPUT!M4970)</f>
        <v/>
      </c>
      <c r="B4975" s="11" t="str">
        <f>IF(INPUT!M4970="","",INPUT!M4970-WEEKDAY(INPUT!M4970,2)+1)</f>
        <v/>
      </c>
      <c r="C4975" s="20">
        <f>IFERROR(_xlfn.ISOWEEKNUM(INPUT!M4970),"")</f>
        <v>52</v>
      </c>
      <c r="D4975" s="20">
        <f>IFERROR(YEAR(INPUT!M4970),"")</f>
        <v>1900</v>
      </c>
      <c r="E4975" t="str">
        <f>IF(INPUT!O4970="","",INPUT!O4970)</f>
        <v/>
      </c>
      <c r="F4975" t="str">
        <f>IF(INPUT!N4970="","",INPUT!N4970)</f>
        <v/>
      </c>
      <c r="G4975" cm="1">
        <f t="array" ref="G4975">IFERROR(VLOOKUP(INPUT!M4970&amp;INPUT!N4970,CHOOSE({1,2},INPUT!$A$3:$A$5000&amp;INPUT!$C$3:$C$5000,INPUT!$F$3:$F$5000),2,FALSE),"")</f>
        <v>0</v>
      </c>
      <c r="H4975" cm="1">
        <f t="array" ref="H4975">IFERROR(VLOOKUP(INPUT!M4970&amp;INPUT!N4970,CHOOSE({1,2},INPUT!$A$3:$A$5000&amp;INPUT!$C$3:$C$5000,INPUT!$D$3:$D$5000),2,FALSE),"")</f>
        <v>0</v>
      </c>
      <c r="I4975" s="46" t="str">
        <f>IF(INPUT!P4970="","",INPUT!P4970)</f>
        <v/>
      </c>
      <c r="J4975" s="46" t="str">
        <f>IF(INPUT!Q4970="","",INPUT!Q4970)</f>
        <v/>
      </c>
      <c r="K4975" s="46" t="str">
        <f>IFERROR(IF(OR(INPUT!P4970="",INPUT!Q4970=""),"",INPUT!P4970-INPUT!Q4970),"")</f>
        <v/>
      </c>
      <c r="L4975" s="48" t="str">
        <f>IFERROR(IF(OR(INPUT!P4970="",INPUT!Q4970="",INPUT!P4970=0),"",(INPUT!P4970-INPUT!Q4970)/INPUT!P4970),"")</f>
        <v/>
      </c>
    </row>
    <row r="4976" spans="1:12" ht="18" hidden="1" customHeight="1" x14ac:dyDescent="0.2">
      <c r="A4976" s="11" t="str">
        <f>IF(INPUT!M4971="","",INPUT!M4971)</f>
        <v/>
      </c>
      <c r="B4976" s="11" t="str">
        <f>IF(INPUT!M4971="","",INPUT!M4971-WEEKDAY(INPUT!M4971,2)+1)</f>
        <v/>
      </c>
      <c r="C4976" s="20">
        <f>IFERROR(_xlfn.ISOWEEKNUM(INPUT!M4971),"")</f>
        <v>52</v>
      </c>
      <c r="D4976" s="20">
        <f>IFERROR(YEAR(INPUT!M4971),"")</f>
        <v>1900</v>
      </c>
      <c r="E4976" t="str">
        <f>IF(INPUT!O4971="","",INPUT!O4971)</f>
        <v/>
      </c>
      <c r="F4976" t="str">
        <f>IF(INPUT!N4971="","",INPUT!N4971)</f>
        <v/>
      </c>
      <c r="G4976" cm="1">
        <f t="array" ref="G4976">IFERROR(VLOOKUP(INPUT!M4971&amp;INPUT!N4971,CHOOSE({1,2},INPUT!$A$3:$A$5000&amp;INPUT!$C$3:$C$5000,INPUT!$F$3:$F$5000),2,FALSE),"")</f>
        <v>0</v>
      </c>
      <c r="H4976" cm="1">
        <f t="array" ref="H4976">IFERROR(VLOOKUP(INPUT!M4971&amp;INPUT!N4971,CHOOSE({1,2},INPUT!$A$3:$A$5000&amp;INPUT!$C$3:$C$5000,INPUT!$D$3:$D$5000),2,FALSE),"")</f>
        <v>0</v>
      </c>
      <c r="I4976" s="46" t="str">
        <f>IF(INPUT!P4971="","",INPUT!P4971)</f>
        <v/>
      </c>
      <c r="J4976" s="46" t="str">
        <f>IF(INPUT!Q4971="","",INPUT!Q4971)</f>
        <v/>
      </c>
      <c r="K4976" s="46" t="str">
        <f>IFERROR(IF(OR(INPUT!P4971="",INPUT!Q4971=""),"",INPUT!P4971-INPUT!Q4971),"")</f>
        <v/>
      </c>
      <c r="L4976" s="48" t="str">
        <f>IFERROR(IF(OR(INPUT!P4971="",INPUT!Q4971="",INPUT!P4971=0),"",(INPUT!P4971-INPUT!Q4971)/INPUT!P4971),"")</f>
        <v/>
      </c>
    </row>
    <row r="4977" spans="1:12" ht="18" hidden="1" customHeight="1" x14ac:dyDescent="0.2">
      <c r="A4977" s="11" t="str">
        <f>IF(INPUT!M4972="","",INPUT!M4972)</f>
        <v/>
      </c>
      <c r="B4977" s="11" t="str">
        <f>IF(INPUT!M4972="","",INPUT!M4972-WEEKDAY(INPUT!M4972,2)+1)</f>
        <v/>
      </c>
      <c r="C4977" s="20">
        <f>IFERROR(_xlfn.ISOWEEKNUM(INPUT!M4972),"")</f>
        <v>52</v>
      </c>
      <c r="D4977" s="20">
        <f>IFERROR(YEAR(INPUT!M4972),"")</f>
        <v>1900</v>
      </c>
      <c r="E4977" t="str">
        <f>IF(INPUT!O4972="","",INPUT!O4972)</f>
        <v/>
      </c>
      <c r="F4977" t="str">
        <f>IF(INPUT!N4972="","",INPUT!N4972)</f>
        <v/>
      </c>
      <c r="G4977" cm="1">
        <f t="array" ref="G4977">IFERROR(VLOOKUP(INPUT!M4972&amp;INPUT!N4972,CHOOSE({1,2},INPUT!$A$3:$A$5000&amp;INPUT!$C$3:$C$5000,INPUT!$F$3:$F$5000),2,FALSE),"")</f>
        <v>0</v>
      </c>
      <c r="H4977" cm="1">
        <f t="array" ref="H4977">IFERROR(VLOOKUP(INPUT!M4972&amp;INPUT!N4972,CHOOSE({1,2},INPUT!$A$3:$A$5000&amp;INPUT!$C$3:$C$5000,INPUT!$D$3:$D$5000),2,FALSE),"")</f>
        <v>0</v>
      </c>
      <c r="I4977" s="46" t="str">
        <f>IF(INPUT!P4972="","",INPUT!P4972)</f>
        <v/>
      </c>
      <c r="J4977" s="46" t="str">
        <f>IF(INPUT!Q4972="","",INPUT!Q4972)</f>
        <v/>
      </c>
      <c r="K4977" s="46" t="str">
        <f>IFERROR(IF(OR(INPUT!P4972="",INPUT!Q4972=""),"",INPUT!P4972-INPUT!Q4972),"")</f>
        <v/>
      </c>
      <c r="L4977" s="48" t="str">
        <f>IFERROR(IF(OR(INPUT!P4972="",INPUT!Q4972="",INPUT!P4972=0),"",(INPUT!P4972-INPUT!Q4972)/INPUT!P4972),"")</f>
        <v/>
      </c>
    </row>
    <row r="4978" spans="1:12" ht="18" hidden="1" customHeight="1" x14ac:dyDescent="0.2">
      <c r="A4978" s="11" t="str">
        <f>IF(INPUT!M4973="","",INPUT!M4973)</f>
        <v/>
      </c>
      <c r="B4978" s="11" t="str">
        <f>IF(INPUT!M4973="","",INPUT!M4973-WEEKDAY(INPUT!M4973,2)+1)</f>
        <v/>
      </c>
      <c r="C4978" s="20">
        <f>IFERROR(_xlfn.ISOWEEKNUM(INPUT!M4973),"")</f>
        <v>52</v>
      </c>
      <c r="D4978" s="20">
        <f>IFERROR(YEAR(INPUT!M4973),"")</f>
        <v>1900</v>
      </c>
      <c r="E4978" t="str">
        <f>IF(INPUT!O4973="","",INPUT!O4973)</f>
        <v/>
      </c>
      <c r="F4978" t="str">
        <f>IF(INPUT!N4973="","",INPUT!N4973)</f>
        <v/>
      </c>
      <c r="G4978" cm="1">
        <f t="array" ref="G4978">IFERROR(VLOOKUP(INPUT!M4973&amp;INPUT!N4973,CHOOSE({1,2},INPUT!$A$3:$A$5000&amp;INPUT!$C$3:$C$5000,INPUT!$F$3:$F$5000),2,FALSE),"")</f>
        <v>0</v>
      </c>
      <c r="H4978" cm="1">
        <f t="array" ref="H4978">IFERROR(VLOOKUP(INPUT!M4973&amp;INPUT!N4973,CHOOSE({1,2},INPUT!$A$3:$A$5000&amp;INPUT!$C$3:$C$5000,INPUT!$D$3:$D$5000),2,FALSE),"")</f>
        <v>0</v>
      </c>
      <c r="I4978" s="46" t="str">
        <f>IF(INPUT!P4973="","",INPUT!P4973)</f>
        <v/>
      </c>
      <c r="J4978" s="46" t="str">
        <f>IF(INPUT!Q4973="","",INPUT!Q4973)</f>
        <v/>
      </c>
      <c r="K4978" s="46" t="str">
        <f>IFERROR(IF(OR(INPUT!P4973="",INPUT!Q4973=""),"",INPUT!P4973-INPUT!Q4973),"")</f>
        <v/>
      </c>
      <c r="L4978" s="48" t="str">
        <f>IFERROR(IF(OR(INPUT!P4973="",INPUT!Q4973="",INPUT!P4973=0),"",(INPUT!P4973-INPUT!Q4973)/INPUT!P4973),"")</f>
        <v/>
      </c>
    </row>
    <row r="4979" spans="1:12" ht="18" hidden="1" customHeight="1" x14ac:dyDescent="0.2">
      <c r="A4979" s="11" t="str">
        <f>IF(INPUT!M4974="","",INPUT!M4974)</f>
        <v/>
      </c>
      <c r="B4979" s="11" t="str">
        <f>IF(INPUT!M4974="","",INPUT!M4974-WEEKDAY(INPUT!M4974,2)+1)</f>
        <v/>
      </c>
      <c r="C4979" s="20">
        <f>IFERROR(_xlfn.ISOWEEKNUM(INPUT!M4974),"")</f>
        <v>52</v>
      </c>
      <c r="D4979" s="20">
        <f>IFERROR(YEAR(INPUT!M4974),"")</f>
        <v>1900</v>
      </c>
      <c r="E4979" t="str">
        <f>IF(INPUT!O4974="","",INPUT!O4974)</f>
        <v/>
      </c>
      <c r="F4979" t="str">
        <f>IF(INPUT!N4974="","",INPUT!N4974)</f>
        <v/>
      </c>
      <c r="G4979" cm="1">
        <f t="array" ref="G4979">IFERROR(VLOOKUP(INPUT!M4974&amp;INPUT!N4974,CHOOSE({1,2},INPUT!$A$3:$A$5000&amp;INPUT!$C$3:$C$5000,INPUT!$F$3:$F$5000),2,FALSE),"")</f>
        <v>0</v>
      </c>
      <c r="H4979" cm="1">
        <f t="array" ref="H4979">IFERROR(VLOOKUP(INPUT!M4974&amp;INPUT!N4974,CHOOSE({1,2},INPUT!$A$3:$A$5000&amp;INPUT!$C$3:$C$5000,INPUT!$D$3:$D$5000),2,FALSE),"")</f>
        <v>0</v>
      </c>
      <c r="I4979" s="46" t="str">
        <f>IF(INPUT!P4974="","",INPUT!P4974)</f>
        <v/>
      </c>
      <c r="J4979" s="46" t="str">
        <f>IF(INPUT!Q4974="","",INPUT!Q4974)</f>
        <v/>
      </c>
      <c r="K4979" s="46" t="str">
        <f>IFERROR(IF(OR(INPUT!P4974="",INPUT!Q4974=""),"",INPUT!P4974-INPUT!Q4974),"")</f>
        <v/>
      </c>
      <c r="L4979" s="48" t="str">
        <f>IFERROR(IF(OR(INPUT!P4974="",INPUT!Q4974="",INPUT!P4974=0),"",(INPUT!P4974-INPUT!Q4974)/INPUT!P4974),"")</f>
        <v/>
      </c>
    </row>
    <row r="4980" spans="1:12" ht="18" hidden="1" customHeight="1" x14ac:dyDescent="0.2">
      <c r="A4980" s="11" t="str">
        <f>IF(INPUT!M4975="","",INPUT!M4975)</f>
        <v/>
      </c>
      <c r="B4980" s="11" t="str">
        <f>IF(INPUT!M4975="","",INPUT!M4975-WEEKDAY(INPUT!M4975,2)+1)</f>
        <v/>
      </c>
      <c r="C4980" s="20">
        <f>IFERROR(_xlfn.ISOWEEKNUM(INPUT!M4975),"")</f>
        <v>52</v>
      </c>
      <c r="D4980" s="20">
        <f>IFERROR(YEAR(INPUT!M4975),"")</f>
        <v>1900</v>
      </c>
      <c r="E4980" t="str">
        <f>IF(INPUT!O4975="","",INPUT!O4975)</f>
        <v/>
      </c>
      <c r="F4980" t="str">
        <f>IF(INPUT!N4975="","",INPUT!N4975)</f>
        <v/>
      </c>
      <c r="G4980" cm="1">
        <f t="array" ref="G4980">IFERROR(VLOOKUP(INPUT!M4975&amp;INPUT!N4975,CHOOSE({1,2},INPUT!$A$3:$A$5000&amp;INPUT!$C$3:$C$5000,INPUT!$F$3:$F$5000),2,FALSE),"")</f>
        <v>0</v>
      </c>
      <c r="H4980" cm="1">
        <f t="array" ref="H4980">IFERROR(VLOOKUP(INPUT!M4975&amp;INPUT!N4975,CHOOSE({1,2},INPUT!$A$3:$A$5000&amp;INPUT!$C$3:$C$5000,INPUT!$D$3:$D$5000),2,FALSE),"")</f>
        <v>0</v>
      </c>
      <c r="I4980" s="46" t="str">
        <f>IF(INPUT!P4975="","",INPUT!P4975)</f>
        <v/>
      </c>
      <c r="J4980" s="46" t="str">
        <f>IF(INPUT!Q4975="","",INPUT!Q4975)</f>
        <v/>
      </c>
      <c r="K4980" s="46" t="str">
        <f>IFERROR(IF(OR(INPUT!P4975="",INPUT!Q4975=""),"",INPUT!P4975-INPUT!Q4975),"")</f>
        <v/>
      </c>
      <c r="L4980" s="48" t="str">
        <f>IFERROR(IF(OR(INPUT!P4975="",INPUT!Q4975="",INPUT!P4975=0),"",(INPUT!P4975-INPUT!Q4975)/INPUT!P4975),"")</f>
        <v/>
      </c>
    </row>
    <row r="4981" spans="1:12" ht="18" hidden="1" customHeight="1" x14ac:dyDescent="0.2">
      <c r="A4981" s="11" t="str">
        <f>IF(INPUT!M4976="","",INPUT!M4976)</f>
        <v/>
      </c>
      <c r="B4981" s="11" t="str">
        <f>IF(INPUT!M4976="","",INPUT!M4976-WEEKDAY(INPUT!M4976,2)+1)</f>
        <v/>
      </c>
      <c r="C4981" s="20">
        <f>IFERROR(_xlfn.ISOWEEKNUM(INPUT!M4976),"")</f>
        <v>52</v>
      </c>
      <c r="D4981" s="20">
        <f>IFERROR(YEAR(INPUT!M4976),"")</f>
        <v>1900</v>
      </c>
      <c r="E4981" t="str">
        <f>IF(INPUT!O4976="","",INPUT!O4976)</f>
        <v/>
      </c>
      <c r="F4981" t="str">
        <f>IF(INPUT!N4976="","",INPUT!N4976)</f>
        <v/>
      </c>
      <c r="G4981" cm="1">
        <f t="array" ref="G4981">IFERROR(VLOOKUP(INPUT!M4976&amp;INPUT!N4976,CHOOSE({1,2},INPUT!$A$3:$A$5000&amp;INPUT!$C$3:$C$5000,INPUT!$F$3:$F$5000),2,FALSE),"")</f>
        <v>0</v>
      </c>
      <c r="H4981" cm="1">
        <f t="array" ref="H4981">IFERROR(VLOOKUP(INPUT!M4976&amp;INPUT!N4976,CHOOSE({1,2},INPUT!$A$3:$A$5000&amp;INPUT!$C$3:$C$5000,INPUT!$D$3:$D$5000),2,FALSE),"")</f>
        <v>0</v>
      </c>
      <c r="I4981" s="46" t="str">
        <f>IF(INPUT!P4976="","",INPUT!P4976)</f>
        <v/>
      </c>
      <c r="J4981" s="46" t="str">
        <f>IF(INPUT!Q4976="","",INPUT!Q4976)</f>
        <v/>
      </c>
      <c r="K4981" s="46" t="str">
        <f>IFERROR(IF(OR(INPUT!P4976="",INPUT!Q4976=""),"",INPUT!P4976-INPUT!Q4976),"")</f>
        <v/>
      </c>
      <c r="L4981" s="48" t="str">
        <f>IFERROR(IF(OR(INPUT!P4976="",INPUT!Q4976="",INPUT!P4976=0),"",(INPUT!P4976-INPUT!Q4976)/INPUT!P4976),"")</f>
        <v/>
      </c>
    </row>
    <row r="4982" spans="1:12" ht="18" hidden="1" customHeight="1" x14ac:dyDescent="0.2">
      <c r="A4982" s="11" t="str">
        <f>IF(INPUT!M4977="","",INPUT!M4977)</f>
        <v/>
      </c>
      <c r="B4982" s="11" t="str">
        <f>IF(INPUT!M4977="","",INPUT!M4977-WEEKDAY(INPUT!M4977,2)+1)</f>
        <v/>
      </c>
      <c r="C4982" s="20">
        <f>IFERROR(_xlfn.ISOWEEKNUM(INPUT!M4977),"")</f>
        <v>52</v>
      </c>
      <c r="D4982" s="20">
        <f>IFERROR(YEAR(INPUT!M4977),"")</f>
        <v>1900</v>
      </c>
      <c r="E4982" t="str">
        <f>IF(INPUT!O4977="","",INPUT!O4977)</f>
        <v/>
      </c>
      <c r="F4982" t="str">
        <f>IF(INPUT!N4977="","",INPUT!N4977)</f>
        <v/>
      </c>
      <c r="G4982" cm="1">
        <f t="array" ref="G4982">IFERROR(VLOOKUP(INPUT!M4977&amp;INPUT!N4977,CHOOSE({1,2},INPUT!$A$3:$A$5000&amp;INPUT!$C$3:$C$5000,INPUT!$F$3:$F$5000),2,FALSE),"")</f>
        <v>0</v>
      </c>
      <c r="H4982" cm="1">
        <f t="array" ref="H4982">IFERROR(VLOOKUP(INPUT!M4977&amp;INPUT!N4977,CHOOSE({1,2},INPUT!$A$3:$A$5000&amp;INPUT!$C$3:$C$5000,INPUT!$D$3:$D$5000),2,FALSE),"")</f>
        <v>0</v>
      </c>
      <c r="I4982" s="46" t="str">
        <f>IF(INPUT!P4977="","",INPUT!P4977)</f>
        <v/>
      </c>
      <c r="J4982" s="46" t="str">
        <f>IF(INPUT!Q4977="","",INPUT!Q4977)</f>
        <v/>
      </c>
      <c r="K4982" s="46" t="str">
        <f>IFERROR(IF(OR(INPUT!P4977="",INPUT!Q4977=""),"",INPUT!P4977-INPUT!Q4977),"")</f>
        <v/>
      </c>
      <c r="L4982" s="48" t="str">
        <f>IFERROR(IF(OR(INPUT!P4977="",INPUT!Q4977="",INPUT!P4977=0),"",(INPUT!P4977-INPUT!Q4977)/INPUT!P4977),"")</f>
        <v/>
      </c>
    </row>
    <row r="4983" spans="1:12" ht="18" hidden="1" customHeight="1" x14ac:dyDescent="0.2">
      <c r="A4983" s="11" t="str">
        <f>IF(INPUT!M4978="","",INPUT!M4978)</f>
        <v/>
      </c>
      <c r="B4983" s="11" t="str">
        <f>IF(INPUT!M4978="","",INPUT!M4978-WEEKDAY(INPUT!M4978,2)+1)</f>
        <v/>
      </c>
      <c r="C4983" s="20">
        <f>IFERROR(_xlfn.ISOWEEKNUM(INPUT!M4978),"")</f>
        <v>52</v>
      </c>
      <c r="D4983" s="20">
        <f>IFERROR(YEAR(INPUT!M4978),"")</f>
        <v>1900</v>
      </c>
      <c r="E4983" t="str">
        <f>IF(INPUT!O4978="","",INPUT!O4978)</f>
        <v/>
      </c>
      <c r="F4983" t="str">
        <f>IF(INPUT!N4978="","",INPUT!N4978)</f>
        <v/>
      </c>
      <c r="G4983" cm="1">
        <f t="array" ref="G4983">IFERROR(VLOOKUP(INPUT!M4978&amp;INPUT!N4978,CHOOSE({1,2},INPUT!$A$3:$A$5000&amp;INPUT!$C$3:$C$5000,INPUT!$F$3:$F$5000),2,FALSE),"")</f>
        <v>0</v>
      </c>
      <c r="H4983" cm="1">
        <f t="array" ref="H4983">IFERROR(VLOOKUP(INPUT!M4978&amp;INPUT!N4978,CHOOSE({1,2},INPUT!$A$3:$A$5000&amp;INPUT!$C$3:$C$5000,INPUT!$D$3:$D$5000),2,FALSE),"")</f>
        <v>0</v>
      </c>
      <c r="I4983" s="46" t="str">
        <f>IF(INPUT!P4978="","",INPUT!P4978)</f>
        <v/>
      </c>
      <c r="J4983" s="46" t="str">
        <f>IF(INPUT!Q4978="","",INPUT!Q4978)</f>
        <v/>
      </c>
      <c r="K4983" s="46" t="str">
        <f>IFERROR(IF(OR(INPUT!P4978="",INPUT!Q4978=""),"",INPUT!P4978-INPUT!Q4978),"")</f>
        <v/>
      </c>
      <c r="L4983" s="48" t="str">
        <f>IFERROR(IF(OR(INPUT!P4978="",INPUT!Q4978="",INPUT!P4978=0),"",(INPUT!P4978-INPUT!Q4978)/INPUT!P4978),"")</f>
        <v/>
      </c>
    </row>
    <row r="4984" spans="1:12" ht="18" hidden="1" customHeight="1" x14ac:dyDescent="0.2">
      <c r="A4984" s="11" t="str">
        <f>IF(INPUT!M4979="","",INPUT!M4979)</f>
        <v/>
      </c>
      <c r="B4984" s="11" t="str">
        <f>IF(INPUT!M4979="","",INPUT!M4979-WEEKDAY(INPUT!M4979,2)+1)</f>
        <v/>
      </c>
      <c r="C4984" s="20">
        <f>IFERROR(_xlfn.ISOWEEKNUM(INPUT!M4979),"")</f>
        <v>52</v>
      </c>
      <c r="D4984" s="20">
        <f>IFERROR(YEAR(INPUT!M4979),"")</f>
        <v>1900</v>
      </c>
      <c r="E4984" t="str">
        <f>IF(INPUT!O4979="","",INPUT!O4979)</f>
        <v/>
      </c>
      <c r="F4984" t="str">
        <f>IF(INPUT!N4979="","",INPUT!N4979)</f>
        <v/>
      </c>
      <c r="G4984" cm="1">
        <f t="array" ref="G4984">IFERROR(VLOOKUP(INPUT!M4979&amp;INPUT!N4979,CHOOSE({1,2},INPUT!$A$3:$A$5000&amp;INPUT!$C$3:$C$5000,INPUT!$F$3:$F$5000),2,FALSE),"")</f>
        <v>0</v>
      </c>
      <c r="H4984" cm="1">
        <f t="array" ref="H4984">IFERROR(VLOOKUP(INPUT!M4979&amp;INPUT!N4979,CHOOSE({1,2},INPUT!$A$3:$A$5000&amp;INPUT!$C$3:$C$5000,INPUT!$D$3:$D$5000),2,FALSE),"")</f>
        <v>0</v>
      </c>
      <c r="I4984" s="46" t="str">
        <f>IF(INPUT!P4979="","",INPUT!P4979)</f>
        <v/>
      </c>
      <c r="J4984" s="46" t="str">
        <f>IF(INPUT!Q4979="","",INPUT!Q4979)</f>
        <v/>
      </c>
      <c r="K4984" s="46" t="str">
        <f>IFERROR(IF(OR(INPUT!P4979="",INPUT!Q4979=""),"",INPUT!P4979-INPUT!Q4979),"")</f>
        <v/>
      </c>
      <c r="L4984" s="48" t="str">
        <f>IFERROR(IF(OR(INPUT!P4979="",INPUT!Q4979="",INPUT!P4979=0),"",(INPUT!P4979-INPUT!Q4979)/INPUT!P4979),"")</f>
        <v/>
      </c>
    </row>
    <row r="4985" spans="1:12" ht="18" hidden="1" customHeight="1" x14ac:dyDescent="0.2">
      <c r="A4985" s="11" t="str">
        <f>IF(INPUT!M4980="","",INPUT!M4980)</f>
        <v/>
      </c>
      <c r="B4985" s="11" t="str">
        <f>IF(INPUT!M4980="","",INPUT!M4980-WEEKDAY(INPUT!M4980,2)+1)</f>
        <v/>
      </c>
      <c r="C4985" s="20">
        <f>IFERROR(_xlfn.ISOWEEKNUM(INPUT!M4980),"")</f>
        <v>52</v>
      </c>
      <c r="D4985" s="20">
        <f>IFERROR(YEAR(INPUT!M4980),"")</f>
        <v>1900</v>
      </c>
      <c r="E4985" t="str">
        <f>IF(INPUT!O4980="","",INPUT!O4980)</f>
        <v/>
      </c>
      <c r="F4985" t="str">
        <f>IF(INPUT!N4980="","",INPUT!N4980)</f>
        <v/>
      </c>
      <c r="G4985" cm="1">
        <f t="array" ref="G4985">IFERROR(VLOOKUP(INPUT!M4980&amp;INPUT!N4980,CHOOSE({1,2},INPUT!$A$3:$A$5000&amp;INPUT!$C$3:$C$5000,INPUT!$F$3:$F$5000),2,FALSE),"")</f>
        <v>0</v>
      </c>
      <c r="H4985" cm="1">
        <f t="array" ref="H4985">IFERROR(VLOOKUP(INPUT!M4980&amp;INPUT!N4980,CHOOSE({1,2},INPUT!$A$3:$A$5000&amp;INPUT!$C$3:$C$5000,INPUT!$D$3:$D$5000),2,FALSE),"")</f>
        <v>0</v>
      </c>
      <c r="I4985" s="46" t="str">
        <f>IF(INPUT!P4980="","",INPUT!P4980)</f>
        <v/>
      </c>
      <c r="J4985" s="46" t="str">
        <f>IF(INPUT!Q4980="","",INPUT!Q4980)</f>
        <v/>
      </c>
      <c r="K4985" s="46" t="str">
        <f>IFERROR(IF(OR(INPUT!P4980="",INPUT!Q4980=""),"",INPUT!P4980-INPUT!Q4980),"")</f>
        <v/>
      </c>
      <c r="L4985" s="48" t="str">
        <f>IFERROR(IF(OR(INPUT!P4980="",INPUT!Q4980="",INPUT!P4980=0),"",(INPUT!P4980-INPUT!Q4980)/INPUT!P4980),"")</f>
        <v/>
      </c>
    </row>
    <row r="4986" spans="1:12" ht="18" hidden="1" customHeight="1" x14ac:dyDescent="0.2">
      <c r="A4986" s="11" t="str">
        <f>IF(INPUT!M4981="","",INPUT!M4981)</f>
        <v/>
      </c>
      <c r="B4986" s="11" t="str">
        <f>IF(INPUT!M4981="","",INPUT!M4981-WEEKDAY(INPUT!M4981,2)+1)</f>
        <v/>
      </c>
      <c r="C4986" s="20">
        <f>IFERROR(_xlfn.ISOWEEKNUM(INPUT!M4981),"")</f>
        <v>52</v>
      </c>
      <c r="D4986" s="20">
        <f>IFERROR(YEAR(INPUT!M4981),"")</f>
        <v>1900</v>
      </c>
      <c r="E4986" t="str">
        <f>IF(INPUT!O4981="","",INPUT!O4981)</f>
        <v/>
      </c>
      <c r="F4986" t="str">
        <f>IF(INPUT!N4981="","",INPUT!N4981)</f>
        <v/>
      </c>
      <c r="G4986" cm="1">
        <f t="array" ref="G4986">IFERROR(VLOOKUP(INPUT!M4981&amp;INPUT!N4981,CHOOSE({1,2},INPUT!$A$3:$A$5000&amp;INPUT!$C$3:$C$5000,INPUT!$F$3:$F$5000),2,FALSE),"")</f>
        <v>0</v>
      </c>
      <c r="H4986" cm="1">
        <f t="array" ref="H4986">IFERROR(VLOOKUP(INPUT!M4981&amp;INPUT!N4981,CHOOSE({1,2},INPUT!$A$3:$A$5000&amp;INPUT!$C$3:$C$5000,INPUT!$D$3:$D$5000),2,FALSE),"")</f>
        <v>0</v>
      </c>
      <c r="I4986" s="46" t="str">
        <f>IF(INPUT!P4981="","",INPUT!P4981)</f>
        <v/>
      </c>
      <c r="J4986" s="46" t="str">
        <f>IF(INPUT!Q4981="","",INPUT!Q4981)</f>
        <v/>
      </c>
      <c r="K4986" s="46" t="str">
        <f>IFERROR(IF(OR(INPUT!P4981="",INPUT!Q4981=""),"",INPUT!P4981-INPUT!Q4981),"")</f>
        <v/>
      </c>
      <c r="L4986" s="48" t="str">
        <f>IFERROR(IF(OR(INPUT!P4981="",INPUT!Q4981="",INPUT!P4981=0),"",(INPUT!P4981-INPUT!Q4981)/INPUT!P4981),"")</f>
        <v/>
      </c>
    </row>
    <row r="4987" spans="1:12" ht="18" hidden="1" customHeight="1" x14ac:dyDescent="0.2">
      <c r="A4987" s="11" t="str">
        <f>IF(INPUT!M4982="","",INPUT!M4982)</f>
        <v/>
      </c>
      <c r="B4987" s="11" t="str">
        <f>IF(INPUT!M4982="","",INPUT!M4982-WEEKDAY(INPUT!M4982,2)+1)</f>
        <v/>
      </c>
      <c r="C4987" s="20">
        <f>IFERROR(_xlfn.ISOWEEKNUM(INPUT!M4982),"")</f>
        <v>52</v>
      </c>
      <c r="D4987" s="20">
        <f>IFERROR(YEAR(INPUT!M4982),"")</f>
        <v>1900</v>
      </c>
      <c r="E4987" t="str">
        <f>IF(INPUT!O4982="","",INPUT!O4982)</f>
        <v/>
      </c>
      <c r="F4987" t="str">
        <f>IF(INPUT!N4982="","",INPUT!N4982)</f>
        <v/>
      </c>
      <c r="G4987" cm="1">
        <f t="array" ref="G4987">IFERROR(VLOOKUP(INPUT!M4982&amp;INPUT!N4982,CHOOSE({1,2},INPUT!$A$3:$A$5000&amp;INPUT!$C$3:$C$5000,INPUT!$F$3:$F$5000),2,FALSE),"")</f>
        <v>0</v>
      </c>
      <c r="H4987" cm="1">
        <f t="array" ref="H4987">IFERROR(VLOOKUP(INPUT!M4982&amp;INPUT!N4982,CHOOSE({1,2},INPUT!$A$3:$A$5000&amp;INPUT!$C$3:$C$5000,INPUT!$D$3:$D$5000),2,FALSE),"")</f>
        <v>0</v>
      </c>
      <c r="I4987" s="46" t="str">
        <f>IF(INPUT!P4982="","",INPUT!P4982)</f>
        <v/>
      </c>
      <c r="J4987" s="46" t="str">
        <f>IF(INPUT!Q4982="","",INPUT!Q4982)</f>
        <v/>
      </c>
      <c r="K4987" s="46" t="str">
        <f>IFERROR(IF(OR(INPUT!P4982="",INPUT!Q4982=""),"",INPUT!P4982-INPUT!Q4982),"")</f>
        <v/>
      </c>
      <c r="L4987" s="48" t="str">
        <f>IFERROR(IF(OR(INPUT!P4982="",INPUT!Q4982="",INPUT!P4982=0),"",(INPUT!P4982-INPUT!Q4982)/INPUT!P4982),"")</f>
        <v/>
      </c>
    </row>
    <row r="4988" spans="1:12" ht="18" hidden="1" customHeight="1" x14ac:dyDescent="0.2">
      <c r="A4988" s="11" t="str">
        <f>IF(INPUT!M4983="","",INPUT!M4983)</f>
        <v/>
      </c>
      <c r="B4988" s="11" t="str">
        <f>IF(INPUT!M4983="","",INPUT!M4983-WEEKDAY(INPUT!M4983,2)+1)</f>
        <v/>
      </c>
      <c r="C4988" s="20">
        <f>IFERROR(_xlfn.ISOWEEKNUM(INPUT!M4983),"")</f>
        <v>52</v>
      </c>
      <c r="D4988" s="20">
        <f>IFERROR(YEAR(INPUT!M4983),"")</f>
        <v>1900</v>
      </c>
      <c r="E4988" t="str">
        <f>IF(INPUT!O4983="","",INPUT!O4983)</f>
        <v/>
      </c>
      <c r="F4988" t="str">
        <f>IF(INPUT!N4983="","",INPUT!N4983)</f>
        <v/>
      </c>
      <c r="G4988" cm="1">
        <f t="array" ref="G4988">IFERROR(VLOOKUP(INPUT!M4983&amp;INPUT!N4983,CHOOSE({1,2},INPUT!$A$3:$A$5000&amp;INPUT!$C$3:$C$5000,INPUT!$F$3:$F$5000),2,FALSE),"")</f>
        <v>0</v>
      </c>
      <c r="H4988" cm="1">
        <f t="array" ref="H4988">IFERROR(VLOOKUP(INPUT!M4983&amp;INPUT!N4983,CHOOSE({1,2},INPUT!$A$3:$A$5000&amp;INPUT!$C$3:$C$5000,INPUT!$D$3:$D$5000),2,FALSE),"")</f>
        <v>0</v>
      </c>
      <c r="I4988" s="46" t="str">
        <f>IF(INPUT!P4983="","",INPUT!P4983)</f>
        <v/>
      </c>
      <c r="J4988" s="46" t="str">
        <f>IF(INPUT!Q4983="","",INPUT!Q4983)</f>
        <v/>
      </c>
      <c r="K4988" s="46" t="str">
        <f>IFERROR(IF(OR(INPUT!P4983="",INPUT!Q4983=""),"",INPUT!P4983-INPUT!Q4983),"")</f>
        <v/>
      </c>
      <c r="L4988" s="48" t="str">
        <f>IFERROR(IF(OR(INPUT!P4983="",INPUT!Q4983="",INPUT!P4983=0),"",(INPUT!P4983-INPUT!Q4983)/INPUT!P4983),"")</f>
        <v/>
      </c>
    </row>
    <row r="4989" spans="1:12" ht="18" hidden="1" customHeight="1" x14ac:dyDescent="0.2">
      <c r="A4989" s="11" t="str">
        <f>IF(INPUT!M4984="","",INPUT!M4984)</f>
        <v/>
      </c>
      <c r="B4989" s="11" t="str">
        <f>IF(INPUT!M4984="","",INPUT!M4984-WEEKDAY(INPUT!M4984,2)+1)</f>
        <v/>
      </c>
      <c r="C4989" s="20">
        <f>IFERROR(_xlfn.ISOWEEKNUM(INPUT!M4984),"")</f>
        <v>52</v>
      </c>
      <c r="D4989" s="20">
        <f>IFERROR(YEAR(INPUT!M4984),"")</f>
        <v>1900</v>
      </c>
      <c r="E4989" t="str">
        <f>IF(INPUT!O4984="","",INPUT!O4984)</f>
        <v/>
      </c>
      <c r="F4989" t="str">
        <f>IF(INPUT!N4984="","",INPUT!N4984)</f>
        <v/>
      </c>
      <c r="G4989" cm="1">
        <f t="array" ref="G4989">IFERROR(VLOOKUP(INPUT!M4984&amp;INPUT!N4984,CHOOSE({1,2},INPUT!$A$3:$A$5000&amp;INPUT!$C$3:$C$5000,INPUT!$F$3:$F$5000),2,FALSE),"")</f>
        <v>0</v>
      </c>
      <c r="H4989" cm="1">
        <f t="array" ref="H4989">IFERROR(VLOOKUP(INPUT!M4984&amp;INPUT!N4984,CHOOSE({1,2},INPUT!$A$3:$A$5000&amp;INPUT!$C$3:$C$5000,INPUT!$D$3:$D$5000),2,FALSE),"")</f>
        <v>0</v>
      </c>
      <c r="I4989" s="46" t="str">
        <f>IF(INPUT!P4984="","",INPUT!P4984)</f>
        <v/>
      </c>
      <c r="J4989" s="46" t="str">
        <f>IF(INPUT!Q4984="","",INPUT!Q4984)</f>
        <v/>
      </c>
      <c r="K4989" s="46" t="str">
        <f>IFERROR(IF(OR(INPUT!P4984="",INPUT!Q4984=""),"",INPUT!P4984-INPUT!Q4984),"")</f>
        <v/>
      </c>
      <c r="L4989" s="48" t="str">
        <f>IFERROR(IF(OR(INPUT!P4984="",INPUT!Q4984="",INPUT!P4984=0),"",(INPUT!P4984-INPUT!Q4984)/INPUT!P4984),"")</f>
        <v/>
      </c>
    </row>
    <row r="4990" spans="1:12" ht="18" hidden="1" customHeight="1" x14ac:dyDescent="0.2">
      <c r="A4990" s="11" t="str">
        <f>IF(INPUT!M4985="","",INPUT!M4985)</f>
        <v/>
      </c>
      <c r="B4990" s="11" t="str">
        <f>IF(INPUT!M4985="","",INPUT!M4985-WEEKDAY(INPUT!M4985,2)+1)</f>
        <v/>
      </c>
      <c r="C4990" s="20">
        <f>IFERROR(_xlfn.ISOWEEKNUM(INPUT!M4985),"")</f>
        <v>52</v>
      </c>
      <c r="D4990" s="20">
        <f>IFERROR(YEAR(INPUT!M4985),"")</f>
        <v>1900</v>
      </c>
      <c r="E4990" t="str">
        <f>IF(INPUT!O4985="","",INPUT!O4985)</f>
        <v/>
      </c>
      <c r="F4990" t="str">
        <f>IF(INPUT!N4985="","",INPUT!N4985)</f>
        <v/>
      </c>
      <c r="G4990" cm="1">
        <f t="array" ref="G4990">IFERROR(VLOOKUP(INPUT!M4985&amp;INPUT!N4985,CHOOSE({1,2},INPUT!$A$3:$A$5000&amp;INPUT!$C$3:$C$5000,INPUT!$F$3:$F$5000),2,FALSE),"")</f>
        <v>0</v>
      </c>
      <c r="H4990" cm="1">
        <f t="array" ref="H4990">IFERROR(VLOOKUP(INPUT!M4985&amp;INPUT!N4985,CHOOSE({1,2},INPUT!$A$3:$A$5000&amp;INPUT!$C$3:$C$5000,INPUT!$D$3:$D$5000),2,FALSE),"")</f>
        <v>0</v>
      </c>
      <c r="I4990" s="46" t="str">
        <f>IF(INPUT!P4985="","",INPUT!P4985)</f>
        <v/>
      </c>
      <c r="J4990" s="46" t="str">
        <f>IF(INPUT!Q4985="","",INPUT!Q4985)</f>
        <v/>
      </c>
      <c r="K4990" s="46" t="str">
        <f>IFERROR(IF(OR(INPUT!P4985="",INPUT!Q4985=""),"",INPUT!P4985-INPUT!Q4985),"")</f>
        <v/>
      </c>
      <c r="L4990" s="48" t="str">
        <f>IFERROR(IF(OR(INPUT!P4985="",INPUT!Q4985="",INPUT!P4985=0),"",(INPUT!P4985-INPUT!Q4985)/INPUT!P4985),"")</f>
        <v/>
      </c>
    </row>
    <row r="4991" spans="1:12" ht="18" hidden="1" customHeight="1" x14ac:dyDescent="0.2">
      <c r="A4991" s="11" t="str">
        <f>IF(INPUT!M4986="","",INPUT!M4986)</f>
        <v/>
      </c>
      <c r="B4991" s="11" t="str">
        <f>IF(INPUT!M4986="","",INPUT!M4986-WEEKDAY(INPUT!M4986,2)+1)</f>
        <v/>
      </c>
      <c r="C4991" s="20">
        <f>IFERROR(_xlfn.ISOWEEKNUM(INPUT!M4986),"")</f>
        <v>52</v>
      </c>
      <c r="D4991" s="20">
        <f>IFERROR(YEAR(INPUT!M4986),"")</f>
        <v>1900</v>
      </c>
      <c r="E4991" t="str">
        <f>IF(INPUT!O4986="","",INPUT!O4986)</f>
        <v/>
      </c>
      <c r="F4991" t="str">
        <f>IF(INPUT!N4986="","",INPUT!N4986)</f>
        <v/>
      </c>
      <c r="G4991" cm="1">
        <f t="array" ref="G4991">IFERROR(VLOOKUP(INPUT!M4986&amp;INPUT!N4986,CHOOSE({1,2},INPUT!$A$3:$A$5000&amp;INPUT!$C$3:$C$5000,INPUT!$F$3:$F$5000),2,FALSE),"")</f>
        <v>0</v>
      </c>
      <c r="H4991" cm="1">
        <f t="array" ref="H4991">IFERROR(VLOOKUP(INPUT!M4986&amp;INPUT!N4986,CHOOSE({1,2},INPUT!$A$3:$A$5000&amp;INPUT!$C$3:$C$5000,INPUT!$D$3:$D$5000),2,FALSE),"")</f>
        <v>0</v>
      </c>
      <c r="I4991" s="46" t="str">
        <f>IF(INPUT!P4986="","",INPUT!P4986)</f>
        <v/>
      </c>
      <c r="J4991" s="46" t="str">
        <f>IF(INPUT!Q4986="","",INPUT!Q4986)</f>
        <v/>
      </c>
      <c r="K4991" s="46" t="str">
        <f>IFERROR(IF(OR(INPUT!P4986="",INPUT!Q4986=""),"",INPUT!P4986-INPUT!Q4986),"")</f>
        <v/>
      </c>
      <c r="L4991" s="48" t="str">
        <f>IFERROR(IF(OR(INPUT!P4986="",INPUT!Q4986="",INPUT!P4986=0),"",(INPUT!P4986-INPUT!Q4986)/INPUT!P4986),"")</f>
        <v/>
      </c>
    </row>
    <row r="4992" spans="1:12" ht="18" hidden="1" customHeight="1" x14ac:dyDescent="0.2">
      <c r="A4992" s="11" t="str">
        <f>IF(INPUT!M4987="","",INPUT!M4987)</f>
        <v/>
      </c>
      <c r="B4992" s="11" t="str">
        <f>IF(INPUT!M4987="","",INPUT!M4987-WEEKDAY(INPUT!M4987,2)+1)</f>
        <v/>
      </c>
      <c r="C4992" s="20">
        <f>IFERROR(_xlfn.ISOWEEKNUM(INPUT!M4987),"")</f>
        <v>52</v>
      </c>
      <c r="D4992" s="20">
        <f>IFERROR(YEAR(INPUT!M4987),"")</f>
        <v>1900</v>
      </c>
      <c r="E4992" t="str">
        <f>IF(INPUT!O4987="","",INPUT!O4987)</f>
        <v/>
      </c>
      <c r="F4992" t="str">
        <f>IF(INPUT!N4987="","",INPUT!N4987)</f>
        <v/>
      </c>
      <c r="G4992" cm="1">
        <f t="array" ref="G4992">IFERROR(VLOOKUP(INPUT!M4987&amp;INPUT!N4987,CHOOSE({1,2},INPUT!$A$3:$A$5000&amp;INPUT!$C$3:$C$5000,INPUT!$F$3:$F$5000),2,FALSE),"")</f>
        <v>0</v>
      </c>
      <c r="H4992" cm="1">
        <f t="array" ref="H4992">IFERROR(VLOOKUP(INPUT!M4987&amp;INPUT!N4987,CHOOSE({1,2},INPUT!$A$3:$A$5000&amp;INPUT!$C$3:$C$5000,INPUT!$D$3:$D$5000),2,FALSE),"")</f>
        <v>0</v>
      </c>
      <c r="I4992" s="46" t="str">
        <f>IF(INPUT!P4987="","",INPUT!P4987)</f>
        <v/>
      </c>
      <c r="J4992" s="46" t="str">
        <f>IF(INPUT!Q4987="","",INPUT!Q4987)</f>
        <v/>
      </c>
      <c r="K4992" s="46" t="str">
        <f>IFERROR(IF(OR(INPUT!P4987="",INPUT!Q4987=""),"",INPUT!P4987-INPUT!Q4987),"")</f>
        <v/>
      </c>
      <c r="L4992" s="48" t="str">
        <f>IFERROR(IF(OR(INPUT!P4987="",INPUT!Q4987="",INPUT!P4987=0),"",(INPUT!P4987-INPUT!Q4987)/INPUT!P4987),"")</f>
        <v/>
      </c>
    </row>
    <row r="4993" spans="1:12" ht="18" hidden="1" customHeight="1" x14ac:dyDescent="0.2">
      <c r="A4993" s="11" t="str">
        <f>IF(INPUT!M4988="","",INPUT!M4988)</f>
        <v/>
      </c>
      <c r="B4993" s="11" t="str">
        <f>IF(INPUT!M4988="","",INPUT!M4988-WEEKDAY(INPUT!M4988,2)+1)</f>
        <v/>
      </c>
      <c r="C4993" s="20">
        <f>IFERROR(_xlfn.ISOWEEKNUM(INPUT!M4988),"")</f>
        <v>52</v>
      </c>
      <c r="D4993" s="20">
        <f>IFERROR(YEAR(INPUT!M4988),"")</f>
        <v>1900</v>
      </c>
      <c r="E4993" t="str">
        <f>IF(INPUT!O4988="","",INPUT!O4988)</f>
        <v/>
      </c>
      <c r="F4993" t="str">
        <f>IF(INPUT!N4988="","",INPUT!N4988)</f>
        <v/>
      </c>
      <c r="G4993" cm="1">
        <f t="array" ref="G4993">IFERROR(VLOOKUP(INPUT!M4988&amp;INPUT!N4988,CHOOSE({1,2},INPUT!$A$3:$A$5000&amp;INPUT!$C$3:$C$5000,INPUT!$F$3:$F$5000),2,FALSE),"")</f>
        <v>0</v>
      </c>
      <c r="H4993" cm="1">
        <f t="array" ref="H4993">IFERROR(VLOOKUP(INPUT!M4988&amp;INPUT!N4988,CHOOSE({1,2},INPUT!$A$3:$A$5000&amp;INPUT!$C$3:$C$5000,INPUT!$D$3:$D$5000),2,FALSE),"")</f>
        <v>0</v>
      </c>
      <c r="I4993" s="46" t="str">
        <f>IF(INPUT!P4988="","",INPUT!P4988)</f>
        <v/>
      </c>
      <c r="J4993" s="46" t="str">
        <f>IF(INPUT!Q4988="","",INPUT!Q4988)</f>
        <v/>
      </c>
      <c r="K4993" s="46" t="str">
        <f>IFERROR(IF(OR(INPUT!P4988="",INPUT!Q4988=""),"",INPUT!P4988-INPUT!Q4988),"")</f>
        <v/>
      </c>
      <c r="L4993" s="48" t="str">
        <f>IFERROR(IF(OR(INPUT!P4988="",INPUT!Q4988="",INPUT!P4988=0),"",(INPUT!P4988-INPUT!Q4988)/INPUT!P4988),"")</f>
        <v/>
      </c>
    </row>
    <row r="4994" spans="1:12" ht="18" hidden="1" customHeight="1" x14ac:dyDescent="0.2">
      <c r="A4994" s="11" t="str">
        <f>IF(INPUT!M4989="","",INPUT!M4989)</f>
        <v/>
      </c>
      <c r="B4994" s="11" t="str">
        <f>IF(INPUT!M4989="","",INPUT!M4989-WEEKDAY(INPUT!M4989,2)+1)</f>
        <v/>
      </c>
      <c r="C4994" s="20">
        <f>IFERROR(_xlfn.ISOWEEKNUM(INPUT!M4989),"")</f>
        <v>52</v>
      </c>
      <c r="D4994" s="20">
        <f>IFERROR(YEAR(INPUT!M4989),"")</f>
        <v>1900</v>
      </c>
      <c r="E4994" t="str">
        <f>IF(INPUT!O4989="","",INPUT!O4989)</f>
        <v/>
      </c>
      <c r="F4994" t="str">
        <f>IF(INPUT!N4989="","",INPUT!N4989)</f>
        <v/>
      </c>
      <c r="G4994" cm="1">
        <f t="array" ref="G4994">IFERROR(VLOOKUP(INPUT!M4989&amp;INPUT!N4989,CHOOSE({1,2},INPUT!$A$3:$A$5000&amp;INPUT!$C$3:$C$5000,INPUT!$F$3:$F$5000),2,FALSE),"")</f>
        <v>0</v>
      </c>
      <c r="H4994" cm="1">
        <f t="array" ref="H4994">IFERROR(VLOOKUP(INPUT!M4989&amp;INPUT!N4989,CHOOSE({1,2},INPUT!$A$3:$A$5000&amp;INPUT!$C$3:$C$5000,INPUT!$D$3:$D$5000),2,FALSE),"")</f>
        <v>0</v>
      </c>
      <c r="I4994" s="46" t="str">
        <f>IF(INPUT!P4989="","",INPUT!P4989)</f>
        <v/>
      </c>
      <c r="J4994" s="46" t="str">
        <f>IF(INPUT!Q4989="","",INPUT!Q4989)</f>
        <v/>
      </c>
      <c r="K4994" s="46" t="str">
        <f>IFERROR(IF(OR(INPUT!P4989="",INPUT!Q4989=""),"",INPUT!P4989-INPUT!Q4989),"")</f>
        <v/>
      </c>
      <c r="L4994" s="48" t="str">
        <f>IFERROR(IF(OR(INPUT!P4989="",INPUT!Q4989="",INPUT!P4989=0),"",(INPUT!P4989-INPUT!Q4989)/INPUT!P4989),"")</f>
        <v/>
      </c>
    </row>
    <row r="4995" spans="1:12" ht="18" hidden="1" customHeight="1" x14ac:dyDescent="0.2">
      <c r="A4995" s="11" t="str">
        <f>IF(INPUT!M4990="","",INPUT!M4990)</f>
        <v/>
      </c>
      <c r="B4995" s="11" t="str">
        <f>IF(INPUT!M4990="","",INPUT!M4990-WEEKDAY(INPUT!M4990,2)+1)</f>
        <v/>
      </c>
      <c r="C4995" s="20">
        <f>IFERROR(_xlfn.ISOWEEKNUM(INPUT!M4990),"")</f>
        <v>52</v>
      </c>
      <c r="D4995" s="20">
        <f>IFERROR(YEAR(INPUT!M4990),"")</f>
        <v>1900</v>
      </c>
      <c r="E4995" t="str">
        <f>IF(INPUT!O4990="","",INPUT!O4990)</f>
        <v/>
      </c>
      <c r="F4995" t="str">
        <f>IF(INPUT!N4990="","",INPUT!N4990)</f>
        <v/>
      </c>
      <c r="G4995" cm="1">
        <f t="array" ref="G4995">IFERROR(VLOOKUP(INPUT!M4990&amp;INPUT!N4990,CHOOSE({1,2},INPUT!$A$3:$A$5000&amp;INPUT!$C$3:$C$5000,INPUT!$F$3:$F$5000),2,FALSE),"")</f>
        <v>0</v>
      </c>
      <c r="H4995" cm="1">
        <f t="array" ref="H4995">IFERROR(VLOOKUP(INPUT!M4990&amp;INPUT!N4990,CHOOSE({1,2},INPUT!$A$3:$A$5000&amp;INPUT!$C$3:$C$5000,INPUT!$D$3:$D$5000),2,FALSE),"")</f>
        <v>0</v>
      </c>
      <c r="I4995" s="46" t="str">
        <f>IF(INPUT!P4990="","",INPUT!P4990)</f>
        <v/>
      </c>
      <c r="J4995" s="46" t="str">
        <f>IF(INPUT!Q4990="","",INPUT!Q4990)</f>
        <v/>
      </c>
      <c r="K4995" s="46" t="str">
        <f>IFERROR(IF(OR(INPUT!P4990="",INPUT!Q4990=""),"",INPUT!P4990-INPUT!Q4990),"")</f>
        <v/>
      </c>
      <c r="L4995" s="48" t="str">
        <f>IFERROR(IF(OR(INPUT!P4990="",INPUT!Q4990="",INPUT!P4990=0),"",(INPUT!P4990-INPUT!Q4990)/INPUT!P4990),"")</f>
        <v/>
      </c>
    </row>
    <row r="4996" spans="1:12" ht="18" hidden="1" customHeight="1" x14ac:dyDescent="0.2">
      <c r="A4996" s="11" t="str">
        <f>IF(INPUT!M4991="","",INPUT!M4991)</f>
        <v/>
      </c>
      <c r="B4996" s="11" t="str">
        <f>IF(INPUT!M4991="","",INPUT!M4991-WEEKDAY(INPUT!M4991,2)+1)</f>
        <v/>
      </c>
      <c r="C4996" s="20">
        <f>IFERROR(_xlfn.ISOWEEKNUM(INPUT!M4991),"")</f>
        <v>52</v>
      </c>
      <c r="D4996" s="20">
        <f>IFERROR(YEAR(INPUT!M4991),"")</f>
        <v>1900</v>
      </c>
      <c r="E4996" t="str">
        <f>IF(INPUT!O4991="","",INPUT!O4991)</f>
        <v/>
      </c>
      <c r="F4996" t="str">
        <f>IF(INPUT!N4991="","",INPUT!N4991)</f>
        <v/>
      </c>
      <c r="G4996" cm="1">
        <f t="array" ref="G4996">IFERROR(VLOOKUP(INPUT!M4991&amp;INPUT!N4991,CHOOSE({1,2},INPUT!$A$3:$A$5000&amp;INPUT!$C$3:$C$5000,INPUT!$F$3:$F$5000),2,FALSE),"")</f>
        <v>0</v>
      </c>
      <c r="H4996" cm="1">
        <f t="array" ref="H4996">IFERROR(VLOOKUP(INPUT!M4991&amp;INPUT!N4991,CHOOSE({1,2},INPUT!$A$3:$A$5000&amp;INPUT!$C$3:$C$5000,INPUT!$D$3:$D$5000),2,FALSE),"")</f>
        <v>0</v>
      </c>
      <c r="I4996" s="46" t="str">
        <f>IF(INPUT!P4991="","",INPUT!P4991)</f>
        <v/>
      </c>
      <c r="J4996" s="46" t="str">
        <f>IF(INPUT!Q4991="","",INPUT!Q4991)</f>
        <v/>
      </c>
      <c r="K4996" s="46" t="str">
        <f>IFERROR(IF(OR(INPUT!P4991="",INPUT!Q4991=""),"",INPUT!P4991-INPUT!Q4991),"")</f>
        <v/>
      </c>
      <c r="L4996" s="48" t="str">
        <f>IFERROR(IF(OR(INPUT!P4991="",INPUT!Q4991="",INPUT!P4991=0),"",(INPUT!P4991-INPUT!Q4991)/INPUT!P4991),"")</f>
        <v/>
      </c>
    </row>
    <row r="4997" spans="1:12" ht="18" hidden="1" customHeight="1" x14ac:dyDescent="0.2">
      <c r="A4997" s="11" t="str">
        <f>IF(INPUT!M4992="","",INPUT!M4992)</f>
        <v/>
      </c>
      <c r="B4997" s="11" t="str">
        <f>IF(INPUT!M4992="","",INPUT!M4992-WEEKDAY(INPUT!M4992,2)+1)</f>
        <v/>
      </c>
      <c r="C4997" s="20">
        <f>IFERROR(_xlfn.ISOWEEKNUM(INPUT!M4992),"")</f>
        <v>52</v>
      </c>
      <c r="D4997" s="20">
        <f>IFERROR(YEAR(INPUT!M4992),"")</f>
        <v>1900</v>
      </c>
      <c r="E4997" t="str">
        <f>IF(INPUT!O4992="","",INPUT!O4992)</f>
        <v/>
      </c>
      <c r="F4997" t="str">
        <f>IF(INPUT!N4992="","",INPUT!N4992)</f>
        <v/>
      </c>
      <c r="G4997" cm="1">
        <f t="array" ref="G4997">IFERROR(VLOOKUP(INPUT!M4992&amp;INPUT!N4992,CHOOSE({1,2},INPUT!$A$3:$A$5000&amp;INPUT!$C$3:$C$5000,INPUT!$F$3:$F$5000),2,FALSE),"")</f>
        <v>0</v>
      </c>
      <c r="H4997" cm="1">
        <f t="array" ref="H4997">IFERROR(VLOOKUP(INPUT!M4992&amp;INPUT!N4992,CHOOSE({1,2},INPUT!$A$3:$A$5000&amp;INPUT!$C$3:$C$5000,INPUT!$D$3:$D$5000),2,FALSE),"")</f>
        <v>0</v>
      </c>
      <c r="I4997" s="46" t="str">
        <f>IF(INPUT!P4992="","",INPUT!P4992)</f>
        <v/>
      </c>
      <c r="J4997" s="46" t="str">
        <f>IF(INPUT!Q4992="","",INPUT!Q4992)</f>
        <v/>
      </c>
      <c r="K4997" s="46" t="str">
        <f>IFERROR(IF(OR(INPUT!P4992="",INPUT!Q4992=""),"",INPUT!P4992-INPUT!Q4992),"")</f>
        <v/>
      </c>
      <c r="L4997" s="48" t="str">
        <f>IFERROR(IF(OR(INPUT!P4992="",INPUT!Q4992="",INPUT!P4992=0),"",(INPUT!P4992-INPUT!Q4992)/INPUT!P4992),"")</f>
        <v/>
      </c>
    </row>
    <row r="4998" spans="1:12" ht="18" hidden="1" customHeight="1" x14ac:dyDescent="0.2">
      <c r="A4998" s="11" t="str">
        <f>IF(INPUT!M4993="","",INPUT!M4993)</f>
        <v/>
      </c>
      <c r="B4998" s="11" t="str">
        <f>IF(INPUT!M4993="","",INPUT!M4993-WEEKDAY(INPUT!M4993,2)+1)</f>
        <v/>
      </c>
      <c r="C4998" s="20">
        <f>IFERROR(_xlfn.ISOWEEKNUM(INPUT!M4993),"")</f>
        <v>52</v>
      </c>
      <c r="D4998" s="20">
        <f>IFERROR(YEAR(INPUT!M4993),"")</f>
        <v>1900</v>
      </c>
      <c r="E4998" t="str">
        <f>IF(INPUT!O4993="","",INPUT!O4993)</f>
        <v/>
      </c>
      <c r="F4998" t="str">
        <f>IF(INPUT!N4993="","",INPUT!N4993)</f>
        <v/>
      </c>
      <c r="G4998" cm="1">
        <f t="array" ref="G4998">IFERROR(VLOOKUP(INPUT!M4993&amp;INPUT!N4993,CHOOSE({1,2},INPUT!$A$3:$A$5000&amp;INPUT!$C$3:$C$5000,INPUT!$F$3:$F$5000),2,FALSE),"")</f>
        <v>0</v>
      </c>
      <c r="H4998" cm="1">
        <f t="array" ref="H4998">IFERROR(VLOOKUP(INPUT!M4993&amp;INPUT!N4993,CHOOSE({1,2},INPUT!$A$3:$A$5000&amp;INPUT!$C$3:$C$5000,INPUT!$D$3:$D$5000),2,FALSE),"")</f>
        <v>0</v>
      </c>
      <c r="I4998" s="46" t="str">
        <f>IF(INPUT!P4993="","",INPUT!P4993)</f>
        <v/>
      </c>
      <c r="J4998" s="46" t="str">
        <f>IF(INPUT!Q4993="","",INPUT!Q4993)</f>
        <v/>
      </c>
      <c r="K4998" s="46" t="str">
        <f>IFERROR(IF(OR(INPUT!P4993="",INPUT!Q4993=""),"",INPUT!P4993-INPUT!Q4993),"")</f>
        <v/>
      </c>
      <c r="L4998" s="48" t="str">
        <f>IFERROR(IF(OR(INPUT!P4993="",INPUT!Q4993="",INPUT!P4993=0),"",(INPUT!P4993-INPUT!Q4993)/INPUT!P4993),"")</f>
        <v/>
      </c>
    </row>
    <row r="4999" spans="1:12" ht="18" hidden="1" customHeight="1" x14ac:dyDescent="0.2">
      <c r="A4999" s="11" t="str">
        <f>IF(INPUT!M4994="","",INPUT!M4994)</f>
        <v/>
      </c>
      <c r="B4999" s="11" t="str">
        <f>IF(INPUT!M4994="","",INPUT!M4994-WEEKDAY(INPUT!M4994,2)+1)</f>
        <v/>
      </c>
      <c r="C4999" s="20">
        <f>IFERROR(_xlfn.ISOWEEKNUM(INPUT!M4994),"")</f>
        <v>52</v>
      </c>
      <c r="D4999" s="20">
        <f>IFERROR(YEAR(INPUT!M4994),"")</f>
        <v>1900</v>
      </c>
      <c r="E4999" t="str">
        <f>IF(INPUT!O4994="","",INPUT!O4994)</f>
        <v/>
      </c>
      <c r="F4999" t="str">
        <f>IF(INPUT!N4994="","",INPUT!N4994)</f>
        <v/>
      </c>
      <c r="G4999" cm="1">
        <f t="array" ref="G4999">IFERROR(VLOOKUP(INPUT!M4994&amp;INPUT!N4994,CHOOSE({1,2},INPUT!$A$3:$A$5000&amp;INPUT!$C$3:$C$5000,INPUT!$F$3:$F$5000),2,FALSE),"")</f>
        <v>0</v>
      </c>
      <c r="H4999" cm="1">
        <f t="array" ref="H4999">IFERROR(VLOOKUP(INPUT!M4994&amp;INPUT!N4994,CHOOSE({1,2},INPUT!$A$3:$A$5000&amp;INPUT!$C$3:$C$5000,INPUT!$D$3:$D$5000),2,FALSE),"")</f>
        <v>0</v>
      </c>
      <c r="I4999" s="46" t="str">
        <f>IF(INPUT!P4994="","",INPUT!P4994)</f>
        <v/>
      </c>
      <c r="J4999" s="46" t="str">
        <f>IF(INPUT!Q4994="","",INPUT!Q4994)</f>
        <v/>
      </c>
      <c r="K4999" s="46" t="str">
        <f>IFERROR(IF(OR(INPUT!P4994="",INPUT!Q4994=""),"",INPUT!P4994-INPUT!Q4994),"")</f>
        <v/>
      </c>
      <c r="L4999" s="48" t="str">
        <f>IFERROR(IF(OR(INPUT!P4994="",INPUT!Q4994="",INPUT!P4994=0),"",(INPUT!P4994-INPUT!Q4994)/INPUT!P4994),"")</f>
        <v/>
      </c>
    </row>
    <row r="5000" spans="1:12" ht="18" hidden="1" customHeight="1" x14ac:dyDescent="0.2">
      <c r="A5000" s="11" t="str">
        <f>IF(INPUT!M4995="","",INPUT!M4995)</f>
        <v/>
      </c>
      <c r="B5000" s="11" t="str">
        <f>IF(INPUT!M4995="","",INPUT!M4995-WEEKDAY(INPUT!M4995,2)+1)</f>
        <v/>
      </c>
      <c r="C5000" s="20">
        <f>IFERROR(_xlfn.ISOWEEKNUM(INPUT!M4995),"")</f>
        <v>52</v>
      </c>
      <c r="D5000" s="20">
        <f>IFERROR(YEAR(INPUT!M4995),"")</f>
        <v>1900</v>
      </c>
      <c r="E5000" t="str">
        <f>IF(INPUT!O4995="","",INPUT!O4995)</f>
        <v/>
      </c>
      <c r="F5000" t="str">
        <f>IF(INPUT!N4995="","",INPUT!N4995)</f>
        <v/>
      </c>
      <c r="G5000" cm="1">
        <f t="array" ref="G5000">IFERROR(VLOOKUP(INPUT!M4995&amp;INPUT!N4995,CHOOSE({1,2},INPUT!$A$3:$A$5000&amp;INPUT!$C$3:$C$5000,INPUT!$F$3:$F$5000),2,FALSE),"")</f>
        <v>0</v>
      </c>
      <c r="H5000" cm="1">
        <f t="array" ref="H5000">IFERROR(VLOOKUP(INPUT!M4995&amp;INPUT!N4995,CHOOSE({1,2},INPUT!$A$3:$A$5000&amp;INPUT!$C$3:$C$5000,INPUT!$D$3:$D$5000),2,FALSE),"")</f>
        <v>0</v>
      </c>
      <c r="I5000" s="46" t="str">
        <f>IF(INPUT!P4995="","",INPUT!P4995)</f>
        <v/>
      </c>
      <c r="J5000" s="46" t="str">
        <f>IF(INPUT!Q4995="","",INPUT!Q4995)</f>
        <v/>
      </c>
      <c r="K5000" s="46" t="str">
        <f>IFERROR(IF(OR(INPUT!P4995="",INPUT!Q4995=""),"",INPUT!P4995-INPUT!Q4995),"")</f>
        <v/>
      </c>
      <c r="L5000" s="48" t="str">
        <f>IFERROR(IF(OR(INPUT!P4995="",INPUT!Q4995="",INPUT!P4995=0),"",(INPUT!P4995-INPUT!Q4995)/INPUT!P4995),"")</f>
        <v/>
      </c>
    </row>
    <row r="5001" spans="1:12" ht="18" hidden="1" customHeight="1" x14ac:dyDescent="0.2">
      <c r="A5001" s="11" t="str">
        <f>IF(INPUT!M4996="","",INPUT!M4996)</f>
        <v/>
      </c>
      <c r="B5001" s="11" t="str">
        <f>IF(INPUT!M4996="","",INPUT!M4996-WEEKDAY(INPUT!M4996,2)+1)</f>
        <v/>
      </c>
      <c r="C5001" s="20">
        <f>IFERROR(_xlfn.ISOWEEKNUM(INPUT!M4996),"")</f>
        <v>52</v>
      </c>
      <c r="D5001" s="20">
        <f>IFERROR(YEAR(INPUT!M4996),"")</f>
        <v>1900</v>
      </c>
      <c r="E5001" t="str">
        <f>IF(INPUT!O4996="","",INPUT!O4996)</f>
        <v/>
      </c>
      <c r="F5001" t="str">
        <f>IF(INPUT!N4996="","",INPUT!N4996)</f>
        <v/>
      </c>
      <c r="G5001" cm="1">
        <f t="array" ref="G5001">IFERROR(VLOOKUP(INPUT!M4996&amp;INPUT!N4996,CHOOSE({1,2},INPUT!$A$3:$A$5000&amp;INPUT!$C$3:$C$5000,INPUT!$F$3:$F$5000),2,FALSE),"")</f>
        <v>0</v>
      </c>
      <c r="H5001" cm="1">
        <f t="array" ref="H5001">IFERROR(VLOOKUP(INPUT!M4996&amp;INPUT!N4996,CHOOSE({1,2},INPUT!$A$3:$A$5000&amp;INPUT!$C$3:$C$5000,INPUT!$D$3:$D$5000),2,FALSE),"")</f>
        <v>0</v>
      </c>
      <c r="I5001" s="46" t="str">
        <f>IF(INPUT!P4996="","",INPUT!P4996)</f>
        <v/>
      </c>
      <c r="J5001" s="46" t="str">
        <f>IF(INPUT!Q4996="","",INPUT!Q4996)</f>
        <v/>
      </c>
      <c r="K5001" s="46" t="str">
        <f>IFERROR(IF(OR(INPUT!P4996="",INPUT!Q4996=""),"",INPUT!P4996-INPUT!Q4996),"")</f>
        <v/>
      </c>
      <c r="L5001" s="48" t="str">
        <f>IFERROR(IF(OR(INPUT!P4996="",INPUT!Q4996="",INPUT!P4996=0),"",(INPUT!P4996-INPUT!Q4996)/INPUT!P4996),"")</f>
        <v/>
      </c>
    </row>
    <row r="5002" spans="1:12" ht="18" hidden="1" customHeight="1" x14ac:dyDescent="0.2">
      <c r="A5002" s="11" t="str">
        <f>IF(INPUT!M4997="","",INPUT!M4997)</f>
        <v/>
      </c>
      <c r="B5002" s="11" t="str">
        <f>IF(INPUT!M4997="","",INPUT!M4997-WEEKDAY(INPUT!M4997,2)+1)</f>
        <v/>
      </c>
      <c r="C5002" s="20">
        <f>IFERROR(_xlfn.ISOWEEKNUM(INPUT!M4997),"")</f>
        <v>52</v>
      </c>
      <c r="D5002" s="20">
        <f>IFERROR(YEAR(INPUT!M4997),"")</f>
        <v>1900</v>
      </c>
      <c r="E5002" t="str">
        <f>IF(INPUT!O4997="","",INPUT!O4997)</f>
        <v/>
      </c>
      <c r="F5002" t="str">
        <f>IF(INPUT!N4997="","",INPUT!N4997)</f>
        <v/>
      </c>
      <c r="G5002" cm="1">
        <f t="array" ref="G5002">IFERROR(VLOOKUP(INPUT!M4997&amp;INPUT!N4997,CHOOSE({1,2},INPUT!$A$3:$A$5000&amp;INPUT!$C$3:$C$5000,INPUT!$F$3:$F$5000),2,FALSE),"")</f>
        <v>0</v>
      </c>
      <c r="H5002" cm="1">
        <f t="array" ref="H5002">IFERROR(VLOOKUP(INPUT!M4997&amp;INPUT!N4997,CHOOSE({1,2},INPUT!$A$3:$A$5000&amp;INPUT!$C$3:$C$5000,INPUT!$D$3:$D$5000),2,FALSE),"")</f>
        <v>0</v>
      </c>
      <c r="I5002" s="46" t="str">
        <f>IF(INPUT!P4997="","",INPUT!P4997)</f>
        <v/>
      </c>
      <c r="J5002" s="46" t="str">
        <f>IF(INPUT!Q4997="","",INPUT!Q4997)</f>
        <v/>
      </c>
      <c r="K5002" s="46" t="str">
        <f>IFERROR(IF(OR(INPUT!P4997="",INPUT!Q4997=""),"",INPUT!P4997-INPUT!Q4997),"")</f>
        <v/>
      </c>
      <c r="L5002" s="48" t="str">
        <f>IFERROR(IF(OR(INPUT!P4997="",INPUT!Q4997="",INPUT!P4997=0),"",(INPUT!P4997-INPUT!Q4997)/INPUT!P4997),"")</f>
        <v/>
      </c>
    </row>
    <row r="5003" spans="1:12" ht="18" hidden="1" customHeight="1" x14ac:dyDescent="0.2">
      <c r="A5003" s="11" t="str">
        <f>IF(INPUT!M4998="","",INPUT!M4998)</f>
        <v/>
      </c>
      <c r="B5003" s="11" t="str">
        <f>IF(INPUT!M4998="","",INPUT!M4998-WEEKDAY(INPUT!M4998,2)+1)</f>
        <v/>
      </c>
      <c r="C5003" s="20">
        <f>IFERROR(_xlfn.ISOWEEKNUM(INPUT!M4998),"")</f>
        <v>52</v>
      </c>
      <c r="D5003" s="20">
        <f>IFERROR(YEAR(INPUT!M4998),"")</f>
        <v>1900</v>
      </c>
      <c r="E5003" t="str">
        <f>IF(INPUT!O4998="","",INPUT!O4998)</f>
        <v/>
      </c>
      <c r="F5003" t="str">
        <f>IF(INPUT!N4998="","",INPUT!N4998)</f>
        <v/>
      </c>
      <c r="G5003" cm="1">
        <f t="array" ref="G5003">IFERROR(VLOOKUP(INPUT!M4998&amp;INPUT!N4998,CHOOSE({1,2},INPUT!$A$3:$A$5000&amp;INPUT!$C$3:$C$5000,INPUT!$F$3:$F$5000),2,FALSE),"")</f>
        <v>0</v>
      </c>
      <c r="H5003" cm="1">
        <f t="array" ref="H5003">IFERROR(VLOOKUP(INPUT!M4998&amp;INPUT!N4998,CHOOSE({1,2},INPUT!$A$3:$A$5000&amp;INPUT!$C$3:$C$5000,INPUT!$D$3:$D$5000),2,FALSE),"")</f>
        <v>0</v>
      </c>
      <c r="I5003" s="46" t="str">
        <f>IF(INPUT!P4998="","",INPUT!P4998)</f>
        <v/>
      </c>
      <c r="J5003" s="46" t="str">
        <f>IF(INPUT!Q4998="","",INPUT!Q4998)</f>
        <v/>
      </c>
      <c r="K5003" s="46" t="str">
        <f>IFERROR(IF(OR(INPUT!P4998="",INPUT!Q4998=""),"",INPUT!P4998-INPUT!Q4998),"")</f>
        <v/>
      </c>
      <c r="L5003" s="48" t="str">
        <f>IFERROR(IF(OR(INPUT!P4998="",INPUT!Q4998="",INPUT!P4998=0),"",(INPUT!P4998-INPUT!Q4998)/INPUT!P4998),"")</f>
        <v/>
      </c>
    </row>
    <row r="5004" spans="1:12" ht="18" hidden="1" customHeight="1" x14ac:dyDescent="0.2">
      <c r="A5004" s="11" t="str">
        <f>IF(INPUT!M4999="","",INPUT!M4999)</f>
        <v/>
      </c>
      <c r="B5004" s="11" t="str">
        <f>IF(INPUT!M4999="","",INPUT!M4999-WEEKDAY(INPUT!M4999,2)+1)</f>
        <v/>
      </c>
      <c r="C5004" s="20">
        <f>IFERROR(_xlfn.ISOWEEKNUM(INPUT!M4999),"")</f>
        <v>52</v>
      </c>
      <c r="D5004" s="20">
        <f>IFERROR(YEAR(INPUT!M4999),"")</f>
        <v>1900</v>
      </c>
      <c r="E5004" t="str">
        <f>IF(INPUT!O4999="","",INPUT!O4999)</f>
        <v/>
      </c>
      <c r="F5004" t="str">
        <f>IF(INPUT!N4999="","",INPUT!N4999)</f>
        <v/>
      </c>
      <c r="G5004" cm="1">
        <f t="array" ref="G5004">IFERROR(VLOOKUP(INPUT!M4999&amp;INPUT!N4999,CHOOSE({1,2},INPUT!$A$3:$A$5000&amp;INPUT!$C$3:$C$5000,INPUT!$F$3:$F$5000),2,FALSE),"")</f>
        <v>0</v>
      </c>
      <c r="H5004" cm="1">
        <f t="array" ref="H5004">IFERROR(VLOOKUP(INPUT!M4999&amp;INPUT!N4999,CHOOSE({1,2},INPUT!$A$3:$A$5000&amp;INPUT!$C$3:$C$5000,INPUT!$D$3:$D$5000),2,FALSE),"")</f>
        <v>0</v>
      </c>
      <c r="I5004" s="46" t="str">
        <f>IF(INPUT!P4999="","",INPUT!P4999)</f>
        <v/>
      </c>
      <c r="J5004" s="46" t="str">
        <f>IF(INPUT!Q4999="","",INPUT!Q4999)</f>
        <v/>
      </c>
      <c r="K5004" s="46" t="str">
        <f>IFERROR(IF(OR(INPUT!P4999="",INPUT!Q4999=""),"",INPUT!P4999-INPUT!Q4999),"")</f>
        <v/>
      </c>
      <c r="L5004" s="48" t="str">
        <f>IFERROR(IF(OR(INPUT!P4999="",INPUT!Q4999="",INPUT!P4999=0),"",(INPUT!P4999-INPUT!Q4999)/INPUT!P4999),"")</f>
        <v/>
      </c>
    </row>
    <row r="5005" spans="1:12" ht="18" hidden="1" customHeight="1" x14ac:dyDescent="0.2">
      <c r="A5005" s="11" t="str">
        <f>IF(INPUT!M5000="","",INPUT!M5000)</f>
        <v/>
      </c>
      <c r="B5005" s="11" t="str">
        <f>IF(INPUT!M5000="","",INPUT!M5000-WEEKDAY(INPUT!M5000,2)+1)</f>
        <v/>
      </c>
      <c r="C5005" s="20">
        <f>IFERROR(_xlfn.ISOWEEKNUM(INPUT!M5000),"")</f>
        <v>52</v>
      </c>
      <c r="D5005" s="20">
        <f>IFERROR(YEAR(INPUT!M5000),"")</f>
        <v>1900</v>
      </c>
      <c r="E5005" t="str">
        <f>IF(INPUT!O5000="","",INPUT!O5000)</f>
        <v/>
      </c>
      <c r="F5005" t="str">
        <f>IF(INPUT!N5000="","",INPUT!N5000)</f>
        <v/>
      </c>
      <c r="G5005" cm="1">
        <f t="array" ref="G5005">IFERROR(VLOOKUP(INPUT!M5000&amp;INPUT!N5000,CHOOSE({1,2},INPUT!$A$3:$A$5000&amp;INPUT!$C$3:$C$5000,INPUT!$F$3:$F$5000),2,FALSE),"")</f>
        <v>0</v>
      </c>
      <c r="H5005" cm="1">
        <f t="array" ref="H5005">IFERROR(VLOOKUP(INPUT!M5000&amp;INPUT!N5000,CHOOSE({1,2},INPUT!$A$3:$A$5000&amp;INPUT!$C$3:$C$5000,INPUT!$D$3:$D$5000),2,FALSE),"")</f>
        <v>0</v>
      </c>
      <c r="I5005" s="46" t="str">
        <f>IF(INPUT!P5000="","",INPUT!P5000)</f>
        <v/>
      </c>
      <c r="J5005" s="46" t="str">
        <f>IF(INPUT!Q5000="","",INPUT!Q5000)</f>
        <v/>
      </c>
      <c r="K5005" s="46" t="str">
        <f>IFERROR(IF(OR(INPUT!P5000="",INPUT!Q5000=""),"",INPUT!P5000-INPUT!Q5000),"")</f>
        <v/>
      </c>
      <c r="L5005" s="48" t="str">
        <f>IFERROR(IF(OR(INPUT!P5000="",INPUT!Q5000="",INPUT!P5000=0),"",(INPUT!P5000-INPUT!Q5000)/INPUT!P5000),"")</f>
        <v/>
      </c>
    </row>
    <row r="5006" spans="1:12" ht="18" hidden="1" customHeight="1" x14ac:dyDescent="0.2">
      <c r="A5006" s="11" t="str">
        <f>IF(INPUT!M5001="","",INPUT!M5001)</f>
        <v/>
      </c>
      <c r="B5006" s="11" t="str">
        <f>IF(INPUT!M5001="","",INPUT!M5001-WEEKDAY(INPUT!M5001,2)+1)</f>
        <v/>
      </c>
      <c r="C5006" s="20">
        <f>IFERROR(_xlfn.ISOWEEKNUM(INPUT!M5001),"")</f>
        <v>52</v>
      </c>
      <c r="D5006" s="20">
        <f>IFERROR(YEAR(INPUT!M5001),"")</f>
        <v>1900</v>
      </c>
      <c r="E5006" t="str">
        <f>IF(INPUT!O5001="","",INPUT!O5001)</f>
        <v/>
      </c>
      <c r="F5006" t="str">
        <f>IF(INPUT!N5001="","",INPUT!N5001)</f>
        <v/>
      </c>
      <c r="G5006" cm="1">
        <f t="array" ref="G5006">IFERROR(VLOOKUP(INPUT!M5001&amp;INPUT!N5001,CHOOSE({1,2},INPUT!$A$3:$A$5000&amp;INPUT!$C$3:$C$5000,INPUT!$F$3:$F$5000),2,FALSE),"")</f>
        <v>0</v>
      </c>
      <c r="H5006" cm="1">
        <f t="array" ref="H5006">IFERROR(VLOOKUP(INPUT!M5001&amp;INPUT!N5001,CHOOSE({1,2},INPUT!$A$3:$A$5000&amp;INPUT!$C$3:$C$5000,INPUT!$D$3:$D$5000),2,FALSE),"")</f>
        <v>0</v>
      </c>
      <c r="I5006" s="46" t="str">
        <f>IF(INPUT!P5001="","",INPUT!P5001)</f>
        <v/>
      </c>
      <c r="J5006" s="46" t="str">
        <f>IF(INPUT!Q5001="","",INPUT!Q5001)</f>
        <v/>
      </c>
      <c r="K5006" s="46" t="str">
        <f>IFERROR(IF(OR(INPUT!P5001="",INPUT!Q5001=""),"",INPUT!P5001-INPUT!Q5001),"")</f>
        <v/>
      </c>
      <c r="L5006" s="48" t="str">
        <f>IFERROR(IF(OR(INPUT!P5001="",INPUT!Q5001="",INPUT!P5001=0),"",(INPUT!P5001-INPUT!Q5001)/INPUT!P5001),"")</f>
        <v/>
      </c>
    </row>
    <row r="5007" spans="1:12" ht="18" hidden="1" customHeight="1" x14ac:dyDescent="0.2">
      <c r="A5007" s="11" t="str">
        <f>IF(INPUT!M5002="","",INPUT!M5002)</f>
        <v/>
      </c>
      <c r="B5007" s="11" t="str">
        <f>IF(INPUT!M5002="","",INPUT!M5002-WEEKDAY(INPUT!M5002,2)+1)</f>
        <v/>
      </c>
      <c r="C5007" s="20">
        <f>IFERROR(_xlfn.ISOWEEKNUM(INPUT!M5002),"")</f>
        <v>52</v>
      </c>
      <c r="D5007" s="20">
        <f>IFERROR(YEAR(INPUT!M5002),"")</f>
        <v>1900</v>
      </c>
      <c r="E5007" t="str">
        <f>IF(INPUT!O5002="","",INPUT!O5002)</f>
        <v/>
      </c>
      <c r="F5007" t="str">
        <f>IF(INPUT!N5002="","",INPUT!N5002)</f>
        <v/>
      </c>
      <c r="G5007" cm="1">
        <f t="array" ref="G5007">IFERROR(VLOOKUP(INPUT!M5002&amp;INPUT!N5002,CHOOSE({1,2},INPUT!$A$3:$A$5000&amp;INPUT!$C$3:$C$5000,INPUT!$F$3:$F$5000),2,FALSE),"")</f>
        <v>0</v>
      </c>
      <c r="H5007" cm="1">
        <f t="array" ref="H5007">IFERROR(VLOOKUP(INPUT!M5002&amp;INPUT!N5002,CHOOSE({1,2},INPUT!$A$3:$A$5000&amp;INPUT!$C$3:$C$5000,INPUT!$D$3:$D$5000),2,FALSE),"")</f>
        <v>0</v>
      </c>
      <c r="I5007" s="46" t="str">
        <f>IF(INPUT!P5002="","",INPUT!P5002)</f>
        <v/>
      </c>
      <c r="J5007" s="46" t="str">
        <f>IF(INPUT!Q5002="","",INPUT!Q5002)</f>
        <v/>
      </c>
      <c r="K5007" s="46" t="str">
        <f>IFERROR(IF(OR(INPUT!P5002="",INPUT!Q5002=""),"",INPUT!P5002-INPUT!Q5002),"")</f>
        <v/>
      </c>
      <c r="L5007" s="48" t="str">
        <f>IFERROR(IF(OR(INPUT!P5002="",INPUT!Q5002="",INPUT!P5002=0),"",(INPUT!P5002-INPUT!Q5002)/INPUT!P5002),"")</f>
        <v/>
      </c>
    </row>
  </sheetData>
  <sheetProtection sheet="1" objects="1" scenarios="1" sort="0" autoFilter="0"/>
  <conditionalFormatting sqref="K8:K5007">
    <cfRule type="expression" dxfId="52" priority="4">
      <formula>AND(ISNUMBER(K8),K8&gt;=1)</formula>
    </cfRule>
  </conditionalFormatting>
  <conditionalFormatting sqref="L8:L5007">
    <cfRule type="expression" dxfId="51" priority="3">
      <formula>AND(ISNUMBER(L8),L8&gt;=0.015,L8&lt;0.025)</formula>
    </cfRule>
  </conditionalFormatting>
  <conditionalFormatting sqref="L2008:L5007">
    <cfRule type="expression" dxfId="50" priority="5">
      <formula>AND(ISNUMBER(L2008),L2008&gt;=0.025)</formula>
    </cfRule>
    <cfRule type="expression" dxfId="49" priority="6">
      <formula>AND(ISNUMBER(L2008),L2008&gt;=0.015,L2008&lt;0.025)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BBE7-1B50-CB41-8C11-F264B6E3B4BF}">
  <sheetPr>
    <tabColor rgb="FF1976D2"/>
  </sheetPr>
  <dimension ref="A1:R100"/>
  <sheetViews>
    <sheetView topLeftCell="A2" workbookViewId="0">
      <pane xSplit="2" ySplit="5" topLeftCell="C7" activePane="bottomRight" state="frozen"/>
      <selection activeCell="A2" sqref="A2"/>
      <selection pane="topRight" activeCell="C2" sqref="C2"/>
      <selection pane="bottomLeft" activeCell="A7" sqref="A7"/>
      <selection pane="bottomRight" activeCell="N25" sqref="N25"/>
    </sheetView>
  </sheetViews>
  <sheetFormatPr baseColWidth="10" defaultRowHeight="16" x14ac:dyDescent="0.2"/>
  <cols>
    <col min="1" max="1" width="15.83203125" customWidth="1"/>
    <col min="2" max="2" width="18.33203125" customWidth="1"/>
    <col min="3" max="16" width="9.1640625" customWidth="1"/>
    <col min="19" max="31" width="9.1640625" customWidth="1"/>
    <col min="32" max="32" width="10" customWidth="1"/>
  </cols>
  <sheetData>
    <row r="1" spans="1:18" ht="24" customHeight="1" x14ac:dyDescent="0.25">
      <c r="A1" s="212" t="s">
        <v>93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3"/>
      <c r="R1" s="210"/>
    </row>
    <row r="2" spans="1:18" ht="19" x14ac:dyDescent="0.25">
      <c r="A2" s="1" t="s">
        <v>90</v>
      </c>
      <c r="B2" s="95">
        <f>_xlfn.ISOWEEKNUM(G2)</f>
        <v>31</v>
      </c>
      <c r="C2" s="1" t="s">
        <v>91</v>
      </c>
      <c r="D2" s="96">
        <f>YEAR(G2+3-WEEKDAY(G2+3,3))</f>
        <v>2025</v>
      </c>
      <c r="E2" s="227" t="s">
        <v>92</v>
      </c>
      <c r="F2" s="228"/>
      <c r="G2" s="218">
        <v>45866</v>
      </c>
      <c r="H2" s="219"/>
      <c r="I2" s="219"/>
      <c r="L2" s="220" t="str">
        <f>IF(SUM(AG7:AG31)&gt;0,"⚠ HAY "&amp;SUM(AG7:AG31)&amp;" DATOS SIN RELLENAR","✓ TODO OK")</f>
        <v>✓ TODO OK</v>
      </c>
      <c r="M2" s="221"/>
      <c r="N2" s="221"/>
      <c r="O2" s="221"/>
      <c r="Q2" s="90"/>
    </row>
    <row r="3" spans="1:18" x14ac:dyDescent="0.2">
      <c r="A3" s="73" t="s">
        <v>69</v>
      </c>
      <c r="B3" s="74" t="s">
        <v>76</v>
      </c>
      <c r="C3" s="214">
        <f>$G$2+0</f>
        <v>45866</v>
      </c>
      <c r="D3" s="215"/>
      <c r="E3" s="214">
        <f>$G$2+1</f>
        <v>45867</v>
      </c>
      <c r="F3" s="215"/>
      <c r="G3" s="214">
        <f>$G$2+2</f>
        <v>45868</v>
      </c>
      <c r="H3" s="215"/>
      <c r="I3" s="214">
        <f>$G$2+3</f>
        <v>45869</v>
      </c>
      <c r="J3" s="215"/>
      <c r="K3" s="214">
        <f>$G$2+4</f>
        <v>45870</v>
      </c>
      <c r="L3" s="215"/>
      <c r="M3" s="214">
        <f>$G$2+5</f>
        <v>45871</v>
      </c>
      <c r="N3" s="215"/>
      <c r="O3" s="214">
        <f>$G$2+6</f>
        <v>45872</v>
      </c>
      <c r="P3" s="215"/>
      <c r="Q3" s="216" t="s">
        <v>94</v>
      </c>
      <c r="R3" s="217"/>
    </row>
    <row r="4" spans="1:18" x14ac:dyDescent="0.2">
      <c r="A4" s="231" t="s">
        <v>72</v>
      </c>
      <c r="B4" s="232"/>
      <c r="C4" s="75" t="s">
        <v>70</v>
      </c>
      <c r="D4" s="75" t="s">
        <v>71</v>
      </c>
      <c r="E4" s="75" t="s">
        <v>70</v>
      </c>
      <c r="F4" s="75" t="s">
        <v>71</v>
      </c>
      <c r="G4" s="75" t="s">
        <v>70</v>
      </c>
      <c r="H4" s="75" t="s">
        <v>71</v>
      </c>
      <c r="I4" s="75" t="s">
        <v>70</v>
      </c>
      <c r="J4" s="75" t="s">
        <v>71</v>
      </c>
      <c r="K4" s="75" t="s">
        <v>70</v>
      </c>
      <c r="L4" s="75" t="s">
        <v>71</v>
      </c>
      <c r="M4" s="75" t="s">
        <v>70</v>
      </c>
      <c r="N4" s="75" t="s">
        <v>71</v>
      </c>
      <c r="O4" s="75" t="s">
        <v>70</v>
      </c>
      <c r="P4" s="75" t="s">
        <v>71</v>
      </c>
      <c r="Q4" s="91" t="s">
        <v>32</v>
      </c>
      <c r="R4" s="76" t="s">
        <v>33</v>
      </c>
    </row>
    <row r="5" spans="1:18" x14ac:dyDescent="0.2">
      <c r="A5" s="233" t="s">
        <v>73</v>
      </c>
      <c r="B5" s="232"/>
      <c r="C5" s="77" t="str" cm="1">
        <f t="array" ref="C5">IFERROR(INDEX(INPUT!$D$3:$D$1000,MATCH(1,(INPUT!$A$3:$A$1000=$G$2+0)*(INPUT!$C$3:$C$1000="M"),0)),"")</f>
        <v/>
      </c>
      <c r="D5" s="77" t="str" cm="1">
        <f t="array" ref="D5">IFERROR(INDEX(INPUT!$D$3:$D$1000,MATCH(1,(INPUT!$A$3:$A$1000=$G$2+0)*(INPUT!$C$3:$C$1000="T"),0)),"")</f>
        <v/>
      </c>
      <c r="E5" s="77" t="str" cm="1">
        <f t="array" ref="E5">IFERROR(INDEX(INPUT!$D$3:$D$1000,MATCH(1,(INPUT!$A$3:$A$1000=$G$2+1)*(INPUT!$C$3:$C$1000="M"),0)),"")</f>
        <v/>
      </c>
      <c r="F5" s="77" t="str" cm="1">
        <f t="array" ref="F5">IFERROR(INDEX(INPUT!$D$3:$D$1000,MATCH(1,(INPUT!$A$3:$A$1000=$G$2+1)*(INPUT!$C$3:$C$1000="T"),0)),"")</f>
        <v/>
      </c>
      <c r="G5" s="77" t="str" cm="1">
        <f t="array" ref="G5">IFERROR(INDEX(INPUT!$D$3:$D$1000,MATCH(1,(INPUT!$A$3:$A$1000=$G$2+2)*(INPUT!$C$3:$C$1000="M"),0)),"")</f>
        <v/>
      </c>
      <c r="H5" s="77" t="str" cm="1">
        <f t="array" ref="H5">IFERROR(INDEX(INPUT!$D$3:$D$1000,MATCH(1,(INPUT!$A$3:$A$1000=$G$2+2)*(INPUT!$C$3:$C$1000="T"),0)),"")</f>
        <v>FISICO</v>
      </c>
      <c r="I5" s="77" t="str" cm="1">
        <f t="array" ref="I5">IFERROR(INDEX(INPUT!$D$3:$D$1000,MATCH(1,(INPUT!$A$3:$A$1000=$G$2+3)*(INPUT!$C$3:$C$1000="M"),0)),"")</f>
        <v/>
      </c>
      <c r="J5" s="77" t="str" cm="1">
        <f t="array" ref="J5">IFERROR(INDEX(INPUT!$D$3:$D$1000,MATCH(1,(INPUT!$A$3:$A$1000=$G$2+3)*(INPUT!$C$3:$C$1000="T"),0)),"")</f>
        <v>FISICO</v>
      </c>
      <c r="K5" s="77" t="str" cm="1">
        <f t="array" ref="K5">IFERROR(INDEX(INPUT!$D$3:$D$1000,MATCH(1,(INPUT!$A$3:$A$1000=$G$2+4)*(INPUT!$C$3:$C$1000="M"),0)),"")</f>
        <v/>
      </c>
      <c r="L5" s="77" t="str" cm="1">
        <f t="array" ref="L5">IFERROR(INDEX(INPUT!$D$3:$D$1000,MATCH(1,(INPUT!$A$3:$A$1000=$G$2+4)*(INPUT!$C$3:$C$1000="T"),0)),"")</f>
        <v>FISICO</v>
      </c>
      <c r="M5" s="77" t="str" cm="1">
        <f t="array" ref="M5">IFERROR(INDEX(INPUT!$D$3:$D$1000,MATCH(1,(INPUT!$A$3:$A$1000=$G$2+5)*(INPUT!$C$3:$C$1000="M"),0)),"")</f>
        <v/>
      </c>
      <c r="N5" s="77" t="str" cm="1">
        <f t="array" ref="N5">IFERROR(INDEX(INPUT!$D$3:$D$1000,MATCH(1,(INPUT!$A$3:$A$1000=$G$2+5)*(INPUT!$C$3:$C$1000="T"),0)),"")</f>
        <v/>
      </c>
      <c r="O5" s="77" t="str" cm="1">
        <f t="array" ref="O5">IFERROR(INDEX(INPUT!$D$3:$D$1000,MATCH(1,(INPUT!$A$3:$A$1000=$G$2+6)*(INPUT!$C$3:$C$1000="M"),0)),"")</f>
        <v/>
      </c>
      <c r="P5" s="77" t="str" cm="1">
        <f t="array" ref="P5">IFERROR(INDEX(INPUT!$D$3:$D$1000,MATCH(1,(INPUT!$A$3:$A$1000=$G$2+6)*(INPUT!$C$3:$C$1000="T"),0)),"")</f>
        <v/>
      </c>
      <c r="Q5" s="92"/>
      <c r="R5" s="78"/>
    </row>
    <row r="6" spans="1:18" x14ac:dyDescent="0.2">
      <c r="A6" s="233" t="s">
        <v>74</v>
      </c>
      <c r="B6" s="232"/>
      <c r="C6" s="8" t="str" cm="1">
        <f t="array" ref="C6">IFERROR(INDEX(INPUT!$E$3:$E$1000,MATCH(1,(INPUT!$A$3:$A$1000=$G$2+0)*(INPUT!$C$3:$C$1000="M"),0)),"")</f>
        <v/>
      </c>
      <c r="D6" s="8" t="str" cm="1">
        <f t="array" ref="D6">IFERROR(INDEX(INPUT!$E$3:$E$1000,MATCH(1,(INPUT!$A$3:$A$1000=$G$2+0)*(INPUT!$C$3:$C$1000="T"),0)),"")</f>
        <v/>
      </c>
      <c r="E6" s="8" t="str" cm="1">
        <f t="array" ref="E6">IFERROR(INDEX(INPUT!$E$3:$E$1000,MATCH(1,(INPUT!$A$3:$A$1000=$G$2+1)*(INPUT!$C$3:$C$1000="M"),0)),"")</f>
        <v/>
      </c>
      <c r="F6" s="8" t="str" cm="1">
        <f t="array" ref="F6">IFERROR(INDEX(INPUT!$E$3:$E$1000,MATCH(1,(INPUT!$A$3:$A$1000=$G$2+1)*(INPUT!$C$3:$C$1000="T"),0)),"")</f>
        <v/>
      </c>
      <c r="G6" s="8" t="str" cm="1">
        <f t="array" ref="G6">IFERROR(INDEX(INPUT!$E$3:$E$1000,MATCH(1,(INPUT!$A$3:$A$1000=$G$2+2)*(INPUT!$C$3:$C$1000="M"),0)),"")</f>
        <v/>
      </c>
      <c r="H6" s="8" cm="1">
        <f t="array" ref="H6">IFERROR(INDEX(INPUT!$E$3:$E$1000,MATCH(1,(INPUT!$A$3:$A$1000=$G$2+2)*(INPUT!$C$3:$C$1000="T"),0)),"")</f>
        <v>180</v>
      </c>
      <c r="I6" s="8" t="str" cm="1">
        <f t="array" ref="I6">IFERROR(INDEX(INPUT!$E$3:$E$1000,MATCH(1,(INPUT!$A$3:$A$1000=$G$2+3)*(INPUT!$C$3:$C$1000="M"),0)),"")</f>
        <v/>
      </c>
      <c r="J6" s="8" cm="1">
        <f t="array" ref="J6">IFERROR(INDEX(INPUT!$E$3:$E$1000,MATCH(1,(INPUT!$A$3:$A$1000=$G$2+3)*(INPUT!$C$3:$C$1000="T"),0)),"")</f>
        <v>150</v>
      </c>
      <c r="K6" s="8" t="str" cm="1">
        <f t="array" ref="K6">IFERROR(INDEX(INPUT!$E$3:$E$1000,MATCH(1,(INPUT!$A$3:$A$1000=$G$2+4)*(INPUT!$C$3:$C$1000="M"),0)),"")</f>
        <v/>
      </c>
      <c r="L6" s="8" cm="1">
        <f t="array" ref="L6">IFERROR(INDEX(INPUT!$E$3:$E$1000,MATCH(1,(INPUT!$A$3:$A$1000=$G$2+4)*(INPUT!$C$3:$C$1000="T"),0)),"")</f>
        <v>180</v>
      </c>
      <c r="M6" s="8" t="str" cm="1">
        <f t="array" ref="M6">IFERROR(INDEX(INPUT!$E$3:$E$1000,MATCH(1,(INPUT!$A$3:$A$1000=$G$2+5)*(INPUT!$C$3:$C$1000="M"),0)),"")</f>
        <v/>
      </c>
      <c r="N6" s="8" t="str" cm="1">
        <f t="array" ref="N6">IFERROR(INDEX(INPUT!$E$3:$E$1000,MATCH(1,(INPUT!$A$3:$A$1000=$G$2+5)*(INPUT!$C$3:$C$1000="T"),0)),"")</f>
        <v/>
      </c>
      <c r="O6" s="8" t="str" cm="1">
        <f t="array" ref="O6">IFERROR(INDEX(INPUT!$E$3:$E$1000,MATCH(1,(INPUT!$A$3:$A$1000=$G$2+6)*(INPUT!$C$3:$C$1000="M"),0)),"")</f>
        <v/>
      </c>
      <c r="P6" s="8" t="str" cm="1">
        <f t="array" ref="P6">IFERROR(INDEX(INPUT!$E$3:$E$1000,MATCH(1,(INPUT!$A$3:$A$1000=$G$2+6)*(INPUT!$C$3:$C$1000="T"),0)),"")</f>
        <v/>
      </c>
      <c r="Q6" s="92"/>
      <c r="R6" s="78"/>
    </row>
    <row r="7" spans="1:18" x14ac:dyDescent="0.2">
      <c r="A7" s="97">
        <v>1</v>
      </c>
      <c r="B7" s="79" t="s">
        <v>41</v>
      </c>
      <c r="C7" s="80" t="str" cm="1">
        <f t="array" ref="C7">IFERROR(INDEX(INPUT!$K$3:$K$1000,MATCH(1,(INPUT!$H$3:$H$1000=$G$2+0)*(INPUT!$I$3:$I$1000="M")*(INPUT!$J$3:$J$1000="HERRERO"),0)),"")</f>
        <v/>
      </c>
      <c r="D7" s="80" t="str" cm="1">
        <f t="array" ref="D7">IFERROR(INDEX(INPUT!$K$3:$K$1000,MATCH(1,(INPUT!$H$3:$H$1000=$G$2+0)*(INPUT!$I$3:$I$1000="T")*(INPUT!$J$3:$J$1000="HERRERO"),0)),"")</f>
        <v/>
      </c>
      <c r="E7" s="80" t="str" cm="1">
        <f t="array" ref="E7">IFERROR(INDEX(INPUT!$K$3:$K$1000,MATCH(1,(INPUT!$H$3:$H$1000=$G$2+1)*(INPUT!$I$3:$I$1000="M")*(INPUT!$J$3:$J$1000="HERRERO"),0)),"")</f>
        <v/>
      </c>
      <c r="F7" s="80" t="str" cm="1">
        <f t="array" ref="F7">IFERROR(INDEX(INPUT!$K$3:$K$1000,MATCH(1,(INPUT!$H$3:$H$1000=$G$2+1)*(INPUT!$I$3:$I$1000="T")*(INPUT!$J$3:$J$1000="HERRERO"),0)),"")</f>
        <v/>
      </c>
      <c r="G7" s="80" t="str" cm="1">
        <f t="array" ref="G7">IFERROR(INDEX(INPUT!$K$3:$K$1000,MATCH(1,(INPUT!$H$3:$H$1000=$G$2+2)*(INPUT!$I$3:$I$1000="M")*(INPUT!$J$3:$J$1000="HERRERO"),0)),"")</f>
        <v/>
      </c>
      <c r="H7" s="98" cm="1">
        <f t="array" ref="H7">IFERROR(INDEX(INPUT!$K$3:$K$1000,MATCH(1,(INPUT!$H$3:$H$1000=$G$2+2)*(INPUT!$I$3:$I$1000="T")*(INPUT!$J$3:$J$1000="HERRERO"),0)),"")</f>
        <v>10</v>
      </c>
      <c r="I7" s="80" t="str" cm="1">
        <f t="array" ref="I7">IFERROR(INDEX(INPUT!$K$3:$K$1000,MATCH(1,(INPUT!$H$3:$H$1000=$G$2+3)*(INPUT!$I$3:$I$1000="M")*(INPUT!$J$3:$J$1000="HERRERO"),0)),"")</f>
        <v/>
      </c>
      <c r="J7" s="98" cm="1">
        <f t="array" ref="J7">IFERROR(INDEX(INPUT!$K$3:$K$1000,MATCH(1,(INPUT!$H$3:$H$1000=$G$2+3)*(INPUT!$I$3:$I$1000="T")*(INPUT!$J$3:$J$1000="HERRERO"),0)),"")</f>
        <v>7</v>
      </c>
      <c r="K7" s="80" t="str" cm="1">
        <f t="array" ref="K7">IFERROR(INDEX(INPUT!$K$3:$K$1000,MATCH(1,(INPUT!$H$3:$H$1000=$G$2+4)*(INPUT!$I$3:$I$1000="M")*(INPUT!$J$3:$J$1000="HERRERO"),0)),"")</f>
        <v/>
      </c>
      <c r="L7" s="98" cm="1">
        <f t="array" ref="L7">IFERROR(INDEX(INPUT!$K$3:$K$1000,MATCH(1,(INPUT!$H$3:$H$1000=$G$2+4)*(INPUT!$I$3:$I$1000="T")*(INPUT!$J$3:$J$1000="HERRERO"),0)),"")</f>
        <v>10</v>
      </c>
      <c r="M7" s="80" t="str" cm="1">
        <f t="array" ref="M7">IFERROR(INDEX(INPUT!$K$3:$K$1000,MATCH(1,(INPUT!$H$3:$H$1000=$G$2+5)*(INPUT!$I$3:$I$1000="M")*(INPUT!$J$3:$J$1000="HERRERO"),0)),"")</f>
        <v/>
      </c>
      <c r="N7" s="80" t="str" cm="1">
        <f t="array" ref="N7">IFERROR(INDEX(INPUT!$K$3:$K$1000,MATCH(1,(INPUT!$H$3:$H$1000=$G$2+5)*(INPUT!$I$3:$I$1000="T")*(INPUT!$J$3:$J$1000="HERRERO"),0)),"")</f>
        <v/>
      </c>
      <c r="O7" s="80" t="str" cm="1">
        <f t="array" ref="O7">IFERROR(INDEX(INPUT!$K$3:$K$1000,MATCH(1,(INPUT!$H$3:$H$1000=$G$2+6)*(INPUT!$I$3:$I$1000="M")*(INPUT!$J$3:$J$1000="HERRERO"),0)),"")</f>
        <v/>
      </c>
      <c r="P7" s="80" t="str" cm="1">
        <f t="array" ref="P7">IFERROR(INDEX(INPUT!$K$3:$K$1000,MATCH(1,(INPUT!$H$3:$H$1000=$G$2+6)*(INPUT!$I$3:$I$1000="T")*(INPUT!$J$3:$J$1000="HERRERO"),0)),"")</f>
        <v/>
      </c>
      <c r="Q7" s="93" cm="1">
        <f t="array" ref="Q7">SUMPRODUCT(IFERROR(VALUE(C7:P7),0)*IFERROR(VALUE(C$6:P$6),0))</f>
        <v>4650</v>
      </c>
      <c r="R7" s="99" cm="1">
        <f t="array" ref="R7">IFERROR(AVERAGE(IF(ISNUMBER(C7:P7),C7:P7)),"")</f>
        <v>9</v>
      </c>
    </row>
    <row r="8" spans="1:18" x14ac:dyDescent="0.2">
      <c r="A8" s="100">
        <v>2</v>
      </c>
      <c r="B8" s="81" t="s">
        <v>42</v>
      </c>
      <c r="C8" s="82" t="str" cm="1">
        <f t="array" ref="C8">IFERROR(INDEX(INPUT!$K$3:$K$1000,MATCH(1,(INPUT!$H$3:$H$1000=$G$2+0)*(INPUT!$I$3:$I$1000="M")*(INPUT!$J$3:$J$1000="GARCIA"),0)),"")</f>
        <v/>
      </c>
      <c r="D8" s="82" t="str" cm="1">
        <f t="array" ref="D8">IFERROR(INDEX(INPUT!$K$3:$K$1000,MATCH(1,(INPUT!$H$3:$H$1000=$G$2+0)*(INPUT!$I$3:$I$1000="T")*(INPUT!$J$3:$J$1000="GARCIA"),0)),"")</f>
        <v/>
      </c>
      <c r="E8" s="82" t="str" cm="1">
        <f t="array" ref="E8">IFERROR(INDEX(INPUT!$K$3:$K$1000,MATCH(1,(INPUT!$H$3:$H$1000=$G$2+1)*(INPUT!$I$3:$I$1000="M")*(INPUT!$J$3:$J$1000="GARCIA"),0)),"")</f>
        <v/>
      </c>
      <c r="F8" s="82" t="str" cm="1">
        <f t="array" ref="F8">IFERROR(INDEX(INPUT!$K$3:$K$1000,MATCH(1,(INPUT!$H$3:$H$1000=$G$2+1)*(INPUT!$I$3:$I$1000="T")*(INPUT!$J$3:$J$1000="GARCIA"),0)),"")</f>
        <v/>
      </c>
      <c r="G8" s="82" t="str" cm="1">
        <f t="array" ref="G8">IFERROR(INDEX(INPUT!$K$3:$K$1000,MATCH(1,(INPUT!$H$3:$H$1000=$G$2+2)*(INPUT!$I$3:$I$1000="M")*(INPUT!$J$3:$J$1000="GARCIA"),0)),"")</f>
        <v/>
      </c>
      <c r="H8" s="101" cm="1">
        <f t="array" ref="H8">IFERROR(INDEX(INPUT!$K$3:$K$1000,MATCH(1,(INPUT!$H$3:$H$1000=$G$2+2)*(INPUT!$I$3:$I$1000="T")*(INPUT!$J$3:$J$1000="GARCIA"),0)),"")</f>
        <v>8</v>
      </c>
      <c r="I8" s="82" t="str" cm="1">
        <f t="array" ref="I8">IFERROR(INDEX(INPUT!$K$3:$K$1000,MATCH(1,(INPUT!$H$3:$H$1000=$G$2+3)*(INPUT!$I$3:$I$1000="M")*(INPUT!$J$3:$J$1000="GARCIA"),0)),"")</f>
        <v/>
      </c>
      <c r="J8" s="101" cm="1">
        <f t="array" ref="J8">IFERROR(INDEX(INPUT!$K$3:$K$1000,MATCH(1,(INPUT!$H$3:$H$1000=$G$2+3)*(INPUT!$I$3:$I$1000="T")*(INPUT!$J$3:$J$1000="GARCIA"),0)),"")</f>
        <v>7</v>
      </c>
      <c r="K8" s="82" t="str" cm="1">
        <f t="array" ref="K8">IFERROR(INDEX(INPUT!$K$3:$K$1000,MATCH(1,(INPUT!$H$3:$H$1000=$G$2+4)*(INPUT!$I$3:$I$1000="M")*(INPUT!$J$3:$J$1000="GARCIA"),0)),"")</f>
        <v/>
      </c>
      <c r="L8" s="101" cm="1">
        <f t="array" ref="L8">IFERROR(INDEX(INPUT!$K$3:$K$1000,MATCH(1,(INPUT!$H$3:$H$1000=$G$2+4)*(INPUT!$I$3:$I$1000="T")*(INPUT!$J$3:$J$1000="GARCIA"),0)),"")</f>
        <v>8</v>
      </c>
      <c r="M8" s="82" t="str" cm="1">
        <f t="array" ref="M8">IFERROR(INDEX(INPUT!$K$3:$K$1000,MATCH(1,(INPUT!$H$3:$H$1000=$G$2+5)*(INPUT!$I$3:$I$1000="M")*(INPUT!$J$3:$J$1000="GARCIA"),0)),"")</f>
        <v/>
      </c>
      <c r="N8" s="82" t="str" cm="1">
        <f t="array" ref="N8">IFERROR(INDEX(INPUT!$K$3:$K$1000,MATCH(1,(INPUT!$H$3:$H$1000=$G$2+5)*(INPUT!$I$3:$I$1000="T")*(INPUT!$J$3:$J$1000="GARCIA"),0)),"")</f>
        <v/>
      </c>
      <c r="O8" s="82" t="str" cm="1">
        <f t="array" ref="O8">IFERROR(INDEX(INPUT!$K$3:$K$1000,MATCH(1,(INPUT!$H$3:$H$1000=$G$2+6)*(INPUT!$I$3:$I$1000="M")*(INPUT!$J$3:$J$1000="GARCIA"),0)),"")</f>
        <v/>
      </c>
      <c r="P8" s="82" t="str" cm="1">
        <f t="array" ref="P8">IFERROR(INDEX(INPUT!$K$3:$K$1000,MATCH(1,(INPUT!$H$3:$H$1000=$G$2+6)*(INPUT!$I$3:$I$1000="T")*(INPUT!$J$3:$J$1000="GARCIA"),0)),"")</f>
        <v/>
      </c>
      <c r="Q8" s="94" cm="1">
        <f t="array" ref="Q8">SUMPRODUCT(IFERROR(VALUE(C8:P8),0)*IFERROR(VALUE(C$6:P$6),0))</f>
        <v>3930</v>
      </c>
      <c r="R8" s="102" cm="1">
        <f t="array" ref="R8">IFERROR(AVERAGE(IF(ISNUMBER(C8:P8),C8:P8)),"")</f>
        <v>7.666666666666667</v>
      </c>
    </row>
    <row r="9" spans="1:18" x14ac:dyDescent="0.2">
      <c r="A9" s="97">
        <v>3</v>
      </c>
      <c r="B9" s="79" t="s">
        <v>43</v>
      </c>
      <c r="C9" s="80" t="str" cm="1">
        <f t="array" ref="C9">IFERROR(INDEX(INPUT!$K$3:$K$1000,MATCH(1,(INPUT!$H$3:$H$1000=$G$2+0)*(INPUT!$I$3:$I$1000="M")*(INPUT!$J$3:$J$1000="OSCAR"),0)),"")</f>
        <v/>
      </c>
      <c r="D9" s="80" t="str" cm="1">
        <f t="array" ref="D9">IFERROR(INDEX(INPUT!$K$3:$K$1000,MATCH(1,(INPUT!$H$3:$H$1000=$G$2+0)*(INPUT!$I$3:$I$1000="T")*(INPUT!$J$3:$J$1000="OSCAR"),0)),"")</f>
        <v/>
      </c>
      <c r="E9" s="80" t="str" cm="1">
        <f t="array" ref="E9">IFERROR(INDEX(INPUT!$K$3:$K$1000,MATCH(1,(INPUT!$H$3:$H$1000=$G$2+1)*(INPUT!$I$3:$I$1000="M")*(INPUT!$J$3:$J$1000="OSCAR"),0)),"")</f>
        <v/>
      </c>
      <c r="F9" s="80" t="str" cm="1">
        <f t="array" ref="F9">IFERROR(INDEX(INPUT!$K$3:$K$1000,MATCH(1,(INPUT!$H$3:$H$1000=$G$2+1)*(INPUT!$I$3:$I$1000="T")*(INPUT!$J$3:$J$1000="OSCAR"),0)),"")</f>
        <v/>
      </c>
      <c r="G9" s="80" t="str" cm="1">
        <f t="array" ref="G9">IFERROR(INDEX(INPUT!$K$3:$K$1000,MATCH(1,(INPUT!$H$3:$H$1000=$G$2+2)*(INPUT!$I$3:$I$1000="M")*(INPUT!$J$3:$J$1000="OSCAR"),0)),"")</f>
        <v/>
      </c>
      <c r="H9" s="98" cm="1">
        <f t="array" ref="H9">IFERROR(INDEX(INPUT!$K$3:$K$1000,MATCH(1,(INPUT!$H$3:$H$1000=$G$2+2)*(INPUT!$I$3:$I$1000="T")*(INPUT!$J$3:$J$1000="OSCAR"),0)),"")</f>
        <v>9</v>
      </c>
      <c r="I9" s="80" t="str" cm="1">
        <f t="array" ref="I9">IFERROR(INDEX(INPUT!$K$3:$K$1000,MATCH(1,(INPUT!$H$3:$H$1000=$G$2+3)*(INPUT!$I$3:$I$1000="M")*(INPUT!$J$3:$J$1000="OSCAR"),0)),"")</f>
        <v/>
      </c>
      <c r="J9" s="98" cm="1">
        <f t="array" ref="J9">IFERROR(INDEX(INPUT!$K$3:$K$1000,MATCH(1,(INPUT!$H$3:$H$1000=$G$2+3)*(INPUT!$I$3:$I$1000="T")*(INPUT!$J$3:$J$1000="OSCAR"),0)),"")</f>
        <v>7</v>
      </c>
      <c r="K9" s="80" t="str" cm="1">
        <f t="array" ref="K9">IFERROR(INDEX(INPUT!$K$3:$K$1000,MATCH(1,(INPUT!$H$3:$H$1000=$G$2+4)*(INPUT!$I$3:$I$1000="M")*(INPUT!$J$3:$J$1000="OSCAR"),0)),"")</f>
        <v/>
      </c>
      <c r="L9" s="98" cm="1">
        <f t="array" ref="L9">IFERROR(INDEX(INPUT!$K$3:$K$1000,MATCH(1,(INPUT!$H$3:$H$1000=$G$2+4)*(INPUT!$I$3:$I$1000="T")*(INPUT!$J$3:$J$1000="OSCAR"),0)),"")</f>
        <v>9</v>
      </c>
      <c r="M9" s="80" t="str" cm="1">
        <f t="array" ref="M9">IFERROR(INDEX(INPUT!$K$3:$K$1000,MATCH(1,(INPUT!$H$3:$H$1000=$G$2+5)*(INPUT!$I$3:$I$1000="M")*(INPUT!$J$3:$J$1000="OSCAR"),0)),"")</f>
        <v/>
      </c>
      <c r="N9" s="80" t="str" cm="1">
        <f t="array" ref="N9">IFERROR(INDEX(INPUT!$K$3:$K$1000,MATCH(1,(INPUT!$H$3:$H$1000=$G$2+5)*(INPUT!$I$3:$I$1000="T")*(INPUT!$J$3:$J$1000="OSCAR"),0)),"")</f>
        <v/>
      </c>
      <c r="O9" s="80" t="str" cm="1">
        <f t="array" ref="O9">IFERROR(INDEX(INPUT!$K$3:$K$1000,MATCH(1,(INPUT!$H$3:$H$1000=$G$2+6)*(INPUT!$I$3:$I$1000="M")*(INPUT!$J$3:$J$1000="OSCAR"),0)),"")</f>
        <v/>
      </c>
      <c r="P9" s="80" t="str" cm="1">
        <f t="array" ref="P9">IFERROR(INDEX(INPUT!$K$3:$K$1000,MATCH(1,(INPUT!$H$3:$H$1000=$G$2+6)*(INPUT!$I$3:$I$1000="T")*(INPUT!$J$3:$J$1000="OSCAR"),0)),"")</f>
        <v/>
      </c>
      <c r="Q9" s="93" cm="1">
        <f t="array" ref="Q9">SUMPRODUCT(IFERROR(VALUE(C9:P9),0)*IFERROR(VALUE(C$6:P$6),0))</f>
        <v>4290</v>
      </c>
      <c r="R9" s="103" cm="1">
        <f t="array" ref="R9">IFERROR(AVERAGE(IF(ISNUMBER(C9:P9),C9:P9)),"")</f>
        <v>8.3333333333333339</v>
      </c>
    </row>
    <row r="10" spans="1:18" x14ac:dyDescent="0.2">
      <c r="A10" s="100">
        <v>4</v>
      </c>
      <c r="B10" s="81" t="s">
        <v>44</v>
      </c>
      <c r="C10" s="82" t="str" cm="1">
        <f t="array" ref="C10">IFERROR(INDEX(INPUT!$K$3:$K$1000,MATCH(1,(INPUT!$H$3:$H$1000=$G$2+0)*(INPUT!$I$3:$I$1000="M")*(INPUT!$J$3:$J$1000="CECILIO"),0)),"")</f>
        <v/>
      </c>
      <c r="D10" s="82" t="str" cm="1">
        <f t="array" ref="D10">IFERROR(INDEX(INPUT!$K$3:$K$1000,MATCH(1,(INPUT!$H$3:$H$1000=$G$2+0)*(INPUT!$I$3:$I$1000="T")*(INPUT!$J$3:$J$1000="CECILIO"),0)),"")</f>
        <v/>
      </c>
      <c r="E10" s="82" t="str" cm="1">
        <f t="array" ref="E10">IFERROR(INDEX(INPUT!$K$3:$K$1000,MATCH(1,(INPUT!$H$3:$H$1000=$G$2+1)*(INPUT!$I$3:$I$1000="M")*(INPUT!$J$3:$J$1000="CECILIO"),0)),"")</f>
        <v/>
      </c>
      <c r="F10" s="82" t="str" cm="1">
        <f t="array" ref="F10">IFERROR(INDEX(INPUT!$K$3:$K$1000,MATCH(1,(INPUT!$H$3:$H$1000=$G$2+1)*(INPUT!$I$3:$I$1000="T")*(INPUT!$J$3:$J$1000="CECILIO"),0)),"")</f>
        <v/>
      </c>
      <c r="G10" s="82" t="str" cm="1">
        <f t="array" ref="G10">IFERROR(INDEX(INPUT!$K$3:$K$1000,MATCH(1,(INPUT!$H$3:$H$1000=$G$2+2)*(INPUT!$I$3:$I$1000="M")*(INPUT!$J$3:$J$1000="CECILIO"),0)),"")</f>
        <v/>
      </c>
      <c r="H10" s="101" cm="1">
        <f t="array" ref="H10">IFERROR(INDEX(INPUT!$K$3:$K$1000,MATCH(1,(INPUT!$H$3:$H$1000=$G$2+2)*(INPUT!$I$3:$I$1000="T")*(INPUT!$J$3:$J$1000="CECILIO"),0)),"")</f>
        <v>8</v>
      </c>
      <c r="I10" s="82" t="str" cm="1">
        <f t="array" ref="I10">IFERROR(INDEX(INPUT!$K$3:$K$1000,MATCH(1,(INPUT!$H$3:$H$1000=$G$2+3)*(INPUT!$I$3:$I$1000="M")*(INPUT!$J$3:$J$1000="CECILIO"),0)),"")</f>
        <v/>
      </c>
      <c r="J10" s="101" cm="1">
        <f t="array" ref="J10">IFERROR(INDEX(INPUT!$K$3:$K$1000,MATCH(1,(INPUT!$H$3:$H$1000=$G$2+3)*(INPUT!$I$3:$I$1000="T")*(INPUT!$J$3:$J$1000="CECILIO"),0)),"")</f>
        <v>9</v>
      </c>
      <c r="K10" s="82" t="str" cm="1">
        <f t="array" ref="K10">IFERROR(INDEX(INPUT!$K$3:$K$1000,MATCH(1,(INPUT!$H$3:$H$1000=$G$2+4)*(INPUT!$I$3:$I$1000="M")*(INPUT!$J$3:$J$1000="CECILIO"),0)),"")</f>
        <v/>
      </c>
      <c r="L10" s="101" cm="1">
        <f t="array" ref="L10">IFERROR(INDEX(INPUT!$K$3:$K$1000,MATCH(1,(INPUT!$H$3:$H$1000=$G$2+4)*(INPUT!$I$3:$I$1000="T")*(INPUT!$J$3:$J$1000="CECILIO"),0)),"")</f>
        <v>10</v>
      </c>
      <c r="M10" s="82" t="str" cm="1">
        <f t="array" ref="M10">IFERROR(INDEX(INPUT!$K$3:$K$1000,MATCH(1,(INPUT!$H$3:$H$1000=$G$2+5)*(INPUT!$I$3:$I$1000="M")*(INPUT!$J$3:$J$1000="CECILIO"),0)),"")</f>
        <v/>
      </c>
      <c r="N10" s="82" t="str" cm="1">
        <f t="array" ref="N10">IFERROR(INDEX(INPUT!$K$3:$K$1000,MATCH(1,(INPUT!$H$3:$H$1000=$G$2+5)*(INPUT!$I$3:$I$1000="T")*(INPUT!$J$3:$J$1000="CECILIO"),0)),"")</f>
        <v/>
      </c>
      <c r="O10" s="82" t="str" cm="1">
        <f t="array" ref="O10">IFERROR(INDEX(INPUT!$K$3:$K$1000,MATCH(1,(INPUT!$H$3:$H$1000=$G$2+6)*(INPUT!$I$3:$I$1000="M")*(INPUT!$J$3:$J$1000="CECILIO"),0)),"")</f>
        <v/>
      </c>
      <c r="P10" s="82" t="str" cm="1">
        <f t="array" ref="P10">IFERROR(INDEX(INPUT!$K$3:$K$1000,MATCH(1,(INPUT!$H$3:$H$1000=$G$2+6)*(INPUT!$I$3:$I$1000="T")*(INPUT!$J$3:$J$1000="CECILIO"),0)),"")</f>
        <v/>
      </c>
      <c r="Q10" s="94" cm="1">
        <f t="array" ref="Q10">SUMPRODUCT(IFERROR(VALUE(C10:P10),0)*IFERROR(VALUE(C$6:P$6),0))</f>
        <v>4590</v>
      </c>
      <c r="R10" s="104" cm="1">
        <f t="array" ref="R10">IFERROR(AVERAGE(IF(ISNUMBER(C10:P10),C10:P10)),"")</f>
        <v>9</v>
      </c>
    </row>
    <row r="11" spans="1:18" x14ac:dyDescent="0.2">
      <c r="A11" s="97">
        <v>5</v>
      </c>
      <c r="B11" s="79" t="s">
        <v>45</v>
      </c>
      <c r="C11" s="80" t="str" cm="1">
        <f t="array" ref="C11">IFERROR(INDEX(INPUT!$K$3:$K$1000,MATCH(1,(INPUT!$H$3:$H$1000=$G$2+0)*(INPUT!$I$3:$I$1000="M")*(INPUT!$J$3:$J$1000="CHAGUINHA"),0)),"")</f>
        <v/>
      </c>
      <c r="D11" s="80" t="str" cm="1">
        <f t="array" ref="D11">IFERROR(INDEX(INPUT!$K$3:$K$1000,MATCH(1,(INPUT!$H$3:$H$1000=$G$2+0)*(INPUT!$I$3:$I$1000="T")*(INPUT!$J$3:$J$1000="CHAGUINHA"),0)),"")</f>
        <v/>
      </c>
      <c r="E11" s="80" t="str" cm="1">
        <f t="array" ref="E11">IFERROR(INDEX(INPUT!$K$3:$K$1000,MATCH(1,(INPUT!$H$3:$H$1000=$G$2+1)*(INPUT!$I$3:$I$1000="M")*(INPUT!$J$3:$J$1000="CHAGUINHA"),0)),"")</f>
        <v/>
      </c>
      <c r="F11" s="80" t="str" cm="1">
        <f t="array" ref="F11">IFERROR(INDEX(INPUT!$K$3:$K$1000,MATCH(1,(INPUT!$H$3:$H$1000=$G$2+1)*(INPUT!$I$3:$I$1000="T")*(INPUT!$J$3:$J$1000="CHAGUINHA"),0)),"")</f>
        <v/>
      </c>
      <c r="G11" s="80" t="str" cm="1">
        <f t="array" ref="G11">IFERROR(INDEX(INPUT!$K$3:$K$1000,MATCH(1,(INPUT!$H$3:$H$1000=$G$2+2)*(INPUT!$I$3:$I$1000="M")*(INPUT!$J$3:$J$1000="CHAGUINHA"),0)),"")</f>
        <v/>
      </c>
      <c r="H11" s="98" cm="1">
        <f t="array" ref="H11">IFERROR(INDEX(INPUT!$K$3:$K$1000,MATCH(1,(INPUT!$H$3:$H$1000=$G$2+2)*(INPUT!$I$3:$I$1000="T")*(INPUT!$J$3:$J$1000="CHAGUINHA"),0)),"")</f>
        <v>8</v>
      </c>
      <c r="I11" s="80" t="str" cm="1">
        <f t="array" ref="I11">IFERROR(INDEX(INPUT!$K$3:$K$1000,MATCH(1,(INPUT!$H$3:$H$1000=$G$2+3)*(INPUT!$I$3:$I$1000="M")*(INPUT!$J$3:$J$1000="CHAGUINHA"),0)),"")</f>
        <v/>
      </c>
      <c r="J11" s="98" cm="1">
        <f t="array" ref="J11">IFERROR(INDEX(INPUT!$K$3:$K$1000,MATCH(1,(INPUT!$H$3:$H$1000=$G$2+3)*(INPUT!$I$3:$I$1000="T")*(INPUT!$J$3:$J$1000="CHAGUINHA"),0)),"")</f>
        <v>8</v>
      </c>
      <c r="K11" s="80" t="str" cm="1">
        <f t="array" ref="K11">IFERROR(INDEX(INPUT!$K$3:$K$1000,MATCH(1,(INPUT!$H$3:$H$1000=$G$2+4)*(INPUT!$I$3:$I$1000="M")*(INPUT!$J$3:$J$1000="CHAGUINHA"),0)),"")</f>
        <v/>
      </c>
      <c r="L11" s="98" cm="1">
        <f t="array" ref="L11">IFERROR(INDEX(INPUT!$K$3:$K$1000,MATCH(1,(INPUT!$H$3:$H$1000=$G$2+4)*(INPUT!$I$3:$I$1000="T")*(INPUT!$J$3:$J$1000="CHAGUINHA"),0)),"")</f>
        <v>10</v>
      </c>
      <c r="M11" s="80" t="str" cm="1">
        <f t="array" ref="M11">IFERROR(INDEX(INPUT!$K$3:$K$1000,MATCH(1,(INPUT!$H$3:$H$1000=$G$2+5)*(INPUT!$I$3:$I$1000="M")*(INPUT!$J$3:$J$1000="CHAGUINHA"),0)),"")</f>
        <v/>
      </c>
      <c r="N11" s="80" t="str" cm="1">
        <f t="array" ref="N11">IFERROR(INDEX(INPUT!$K$3:$K$1000,MATCH(1,(INPUT!$H$3:$H$1000=$G$2+5)*(INPUT!$I$3:$I$1000="T")*(INPUT!$J$3:$J$1000="CHAGUINHA"),0)),"")</f>
        <v/>
      </c>
      <c r="O11" s="80" t="str" cm="1">
        <f t="array" ref="O11">IFERROR(INDEX(INPUT!$K$3:$K$1000,MATCH(1,(INPUT!$H$3:$H$1000=$G$2+6)*(INPUT!$I$3:$I$1000="M")*(INPUT!$J$3:$J$1000="CHAGUINHA"),0)),"")</f>
        <v/>
      </c>
      <c r="P11" s="80" t="str" cm="1">
        <f t="array" ref="P11">IFERROR(INDEX(INPUT!$K$3:$K$1000,MATCH(1,(INPUT!$H$3:$H$1000=$G$2+6)*(INPUT!$I$3:$I$1000="T")*(INPUT!$J$3:$J$1000="CHAGUINHA"),0)),"")</f>
        <v/>
      </c>
      <c r="Q11" s="93" cm="1">
        <f t="array" ref="Q11">SUMPRODUCT(IFERROR(VALUE(C11:P11),0)*IFERROR(VALUE(C$6:P$6),0))</f>
        <v>4440</v>
      </c>
      <c r="R11" s="103" cm="1">
        <f t="array" ref="R11">IFERROR(AVERAGE(IF(ISNUMBER(C11:P11),C11:P11)),"")</f>
        <v>8.6666666666666661</v>
      </c>
    </row>
    <row r="12" spans="1:18" x14ac:dyDescent="0.2">
      <c r="A12" s="100">
        <v>6</v>
      </c>
      <c r="B12" s="81" t="s">
        <v>46</v>
      </c>
      <c r="C12" s="82" t="str" cm="1">
        <f t="array" ref="C12">IFERROR(INDEX(INPUT!$K$3:$K$1000,MATCH(1,(INPUT!$H$3:$H$1000=$G$2+0)*(INPUT!$I$3:$I$1000="M")*(INPUT!$J$3:$J$1000="RAUL"),0)),"")</f>
        <v/>
      </c>
      <c r="D12" s="82" t="str" cm="1">
        <f t="array" ref="D12">IFERROR(INDEX(INPUT!$K$3:$K$1000,MATCH(1,(INPUT!$H$3:$H$1000=$G$2+0)*(INPUT!$I$3:$I$1000="T")*(INPUT!$J$3:$J$1000="RAUL"),0)),"")</f>
        <v/>
      </c>
      <c r="E12" s="82" t="str" cm="1">
        <f t="array" ref="E12">IFERROR(INDEX(INPUT!$K$3:$K$1000,MATCH(1,(INPUT!$H$3:$H$1000=$G$2+1)*(INPUT!$I$3:$I$1000="M")*(INPUT!$J$3:$J$1000="RAUL"),0)),"")</f>
        <v/>
      </c>
      <c r="F12" s="82" t="str" cm="1">
        <f t="array" ref="F12">IFERROR(INDEX(INPUT!$K$3:$K$1000,MATCH(1,(INPUT!$H$3:$H$1000=$G$2+1)*(INPUT!$I$3:$I$1000="T")*(INPUT!$J$3:$J$1000="RAUL"),0)),"")</f>
        <v/>
      </c>
      <c r="G12" s="82" t="str" cm="1">
        <f t="array" ref="G12">IFERROR(INDEX(INPUT!$K$3:$K$1000,MATCH(1,(INPUT!$H$3:$H$1000=$G$2+2)*(INPUT!$I$3:$I$1000="M")*(INPUT!$J$3:$J$1000="RAUL"),0)),"")</f>
        <v/>
      </c>
      <c r="H12" s="101" cm="1">
        <f t="array" ref="H12">IFERROR(INDEX(INPUT!$K$3:$K$1000,MATCH(1,(INPUT!$H$3:$H$1000=$G$2+2)*(INPUT!$I$3:$I$1000="T")*(INPUT!$J$3:$J$1000="RAUL"),0)),"")</f>
        <v>9</v>
      </c>
      <c r="I12" s="82" t="str" cm="1">
        <f t="array" ref="I12">IFERROR(INDEX(INPUT!$K$3:$K$1000,MATCH(1,(INPUT!$H$3:$H$1000=$G$2+3)*(INPUT!$I$3:$I$1000="M")*(INPUT!$J$3:$J$1000="RAUL"),0)),"")</f>
        <v/>
      </c>
      <c r="J12" s="101" cm="1">
        <f t="array" ref="J12">IFERROR(INDEX(INPUT!$K$3:$K$1000,MATCH(1,(INPUT!$H$3:$H$1000=$G$2+3)*(INPUT!$I$3:$I$1000="T")*(INPUT!$J$3:$J$1000="RAUL"),0)),"")</f>
        <v>8</v>
      </c>
      <c r="K12" s="82" t="str" cm="1">
        <f t="array" ref="K12">IFERROR(INDEX(INPUT!$K$3:$K$1000,MATCH(1,(INPUT!$H$3:$H$1000=$G$2+4)*(INPUT!$I$3:$I$1000="M")*(INPUT!$J$3:$J$1000="RAUL"),0)),"")</f>
        <v/>
      </c>
      <c r="L12" s="101" cm="1">
        <f t="array" ref="L12">IFERROR(INDEX(INPUT!$K$3:$K$1000,MATCH(1,(INPUT!$H$3:$H$1000=$G$2+4)*(INPUT!$I$3:$I$1000="T")*(INPUT!$J$3:$J$1000="RAUL"),0)),"")</f>
        <v>10</v>
      </c>
      <c r="M12" s="82" t="str" cm="1">
        <f t="array" ref="M12">IFERROR(INDEX(INPUT!$K$3:$K$1000,MATCH(1,(INPUT!$H$3:$H$1000=$G$2+5)*(INPUT!$I$3:$I$1000="M")*(INPUT!$J$3:$J$1000="RAUL"),0)),"")</f>
        <v/>
      </c>
      <c r="N12" s="82" t="str" cm="1">
        <f t="array" ref="N12">IFERROR(INDEX(INPUT!$K$3:$K$1000,MATCH(1,(INPUT!$H$3:$H$1000=$G$2+5)*(INPUT!$I$3:$I$1000="T")*(INPUT!$J$3:$J$1000="RAUL"),0)),"")</f>
        <v/>
      </c>
      <c r="O12" s="82" t="str" cm="1">
        <f t="array" ref="O12">IFERROR(INDEX(INPUT!$K$3:$K$1000,MATCH(1,(INPUT!$H$3:$H$1000=$G$2+6)*(INPUT!$I$3:$I$1000="M")*(INPUT!$J$3:$J$1000="RAUL"),0)),"")</f>
        <v/>
      </c>
      <c r="P12" s="82" t="str" cm="1">
        <f t="array" ref="P12">IFERROR(INDEX(INPUT!$K$3:$K$1000,MATCH(1,(INPUT!$H$3:$H$1000=$G$2+6)*(INPUT!$I$3:$I$1000="T")*(INPUT!$J$3:$J$1000="RAUL"),0)),"")</f>
        <v/>
      </c>
      <c r="Q12" s="94" cm="1">
        <f t="array" ref="Q12">SUMPRODUCT(IFERROR(VALUE(C12:P12),0)*IFERROR(VALUE(C$6:P$6),0))</f>
        <v>4620</v>
      </c>
      <c r="R12" s="104" cm="1">
        <f t="array" ref="R12">IFERROR(AVERAGE(IF(ISNUMBER(C12:P12),C12:P12)),"")</f>
        <v>9</v>
      </c>
    </row>
    <row r="13" spans="1:18" x14ac:dyDescent="0.2">
      <c r="A13" s="97">
        <v>7</v>
      </c>
      <c r="B13" s="79" t="s">
        <v>47</v>
      </c>
      <c r="C13" s="80" t="str" cm="1">
        <f t="array" ref="C13">IFERROR(INDEX(INPUT!$K$3:$K$1000,MATCH(1,(INPUT!$H$3:$H$1000=$G$2+0)*(INPUT!$I$3:$I$1000="M")*(INPUT!$J$3:$J$1000="HARRISON"),0)),"")</f>
        <v/>
      </c>
      <c r="D13" s="80" t="str" cm="1">
        <f t="array" ref="D13">IFERROR(INDEX(INPUT!$K$3:$K$1000,MATCH(1,(INPUT!$H$3:$H$1000=$G$2+0)*(INPUT!$I$3:$I$1000="T")*(INPUT!$J$3:$J$1000="HARRISON"),0)),"")</f>
        <v/>
      </c>
      <c r="E13" s="80" t="str" cm="1">
        <f t="array" ref="E13">IFERROR(INDEX(INPUT!$K$3:$K$1000,MATCH(1,(INPUT!$H$3:$H$1000=$G$2+1)*(INPUT!$I$3:$I$1000="M")*(INPUT!$J$3:$J$1000="HARRISON"),0)),"")</f>
        <v/>
      </c>
      <c r="F13" s="80" t="str" cm="1">
        <f t="array" ref="F13">IFERROR(INDEX(INPUT!$K$3:$K$1000,MATCH(1,(INPUT!$H$3:$H$1000=$G$2+1)*(INPUT!$I$3:$I$1000="T")*(INPUT!$J$3:$J$1000="HARRISON"),0)),"")</f>
        <v/>
      </c>
      <c r="G13" s="80" t="str" cm="1">
        <f t="array" ref="G13">IFERROR(INDEX(INPUT!$K$3:$K$1000,MATCH(1,(INPUT!$H$3:$H$1000=$G$2+2)*(INPUT!$I$3:$I$1000="M")*(INPUT!$J$3:$J$1000="HARRISON"),0)),"")</f>
        <v/>
      </c>
      <c r="H13" s="98" cm="1">
        <f t="array" ref="H13">IFERROR(INDEX(INPUT!$K$3:$K$1000,MATCH(1,(INPUT!$H$3:$H$1000=$G$2+2)*(INPUT!$I$3:$I$1000="T")*(INPUT!$J$3:$J$1000="HARRISON"),0)),"")</f>
        <v>9</v>
      </c>
      <c r="I13" s="80" t="str" cm="1">
        <f t="array" ref="I13">IFERROR(INDEX(INPUT!$K$3:$K$1000,MATCH(1,(INPUT!$H$3:$H$1000=$G$2+3)*(INPUT!$I$3:$I$1000="M")*(INPUT!$J$3:$J$1000="HARRISON"),0)),"")</f>
        <v/>
      </c>
      <c r="J13" s="98" cm="1">
        <f t="array" ref="J13">IFERROR(INDEX(INPUT!$K$3:$K$1000,MATCH(1,(INPUT!$H$3:$H$1000=$G$2+3)*(INPUT!$I$3:$I$1000="T")*(INPUT!$J$3:$J$1000="HARRISON"),0)),"")</f>
        <v>9</v>
      </c>
      <c r="K13" s="80" t="str" cm="1">
        <f t="array" ref="K13">IFERROR(INDEX(INPUT!$K$3:$K$1000,MATCH(1,(INPUT!$H$3:$H$1000=$G$2+4)*(INPUT!$I$3:$I$1000="M")*(INPUT!$J$3:$J$1000="HARRISON"),0)),"")</f>
        <v/>
      </c>
      <c r="L13" s="98" cm="1">
        <f t="array" ref="L13">IFERROR(INDEX(INPUT!$K$3:$K$1000,MATCH(1,(INPUT!$H$3:$H$1000=$G$2+4)*(INPUT!$I$3:$I$1000="T")*(INPUT!$J$3:$J$1000="HARRISON"),0)),"")</f>
        <v>9</v>
      </c>
      <c r="M13" s="80" t="str" cm="1">
        <f t="array" ref="M13">IFERROR(INDEX(INPUT!$K$3:$K$1000,MATCH(1,(INPUT!$H$3:$H$1000=$G$2+5)*(INPUT!$I$3:$I$1000="M")*(INPUT!$J$3:$J$1000="HARRISON"),0)),"")</f>
        <v/>
      </c>
      <c r="N13" s="80" t="str" cm="1">
        <f t="array" ref="N13">IFERROR(INDEX(INPUT!$K$3:$K$1000,MATCH(1,(INPUT!$H$3:$H$1000=$G$2+5)*(INPUT!$I$3:$I$1000="T")*(INPUT!$J$3:$J$1000="HARRISON"),0)),"")</f>
        <v/>
      </c>
      <c r="O13" s="80" t="str" cm="1">
        <f t="array" ref="O13">IFERROR(INDEX(INPUT!$K$3:$K$1000,MATCH(1,(INPUT!$H$3:$H$1000=$G$2+6)*(INPUT!$I$3:$I$1000="M")*(INPUT!$J$3:$J$1000="HARRISON"),0)),"")</f>
        <v/>
      </c>
      <c r="P13" s="80" t="str" cm="1">
        <f t="array" ref="P13">IFERROR(INDEX(INPUT!$K$3:$K$1000,MATCH(1,(INPUT!$H$3:$H$1000=$G$2+6)*(INPUT!$I$3:$I$1000="T")*(INPUT!$J$3:$J$1000="HARRISON"),0)),"")</f>
        <v/>
      </c>
      <c r="Q13" s="93" cm="1">
        <f t="array" ref="Q13">SUMPRODUCT(IFERROR(VALUE(C13:P13),0)*IFERROR(VALUE(C$6:P$6),0))</f>
        <v>4590</v>
      </c>
      <c r="R13" s="99" cm="1">
        <f t="array" ref="R13">IFERROR(AVERAGE(IF(ISNUMBER(C13:P13),C13:P13)),"")</f>
        <v>9</v>
      </c>
    </row>
    <row r="14" spans="1:18" x14ac:dyDescent="0.2">
      <c r="A14" s="100">
        <v>8</v>
      </c>
      <c r="B14" s="81" t="s">
        <v>48</v>
      </c>
      <c r="C14" s="82" t="str" cm="1">
        <f t="array" ref="C14">IFERROR(INDEX(INPUT!$K$3:$K$1000,MATCH(1,(INPUT!$H$3:$H$1000=$G$2+0)*(INPUT!$I$3:$I$1000="M")*(INPUT!$J$3:$J$1000="RAYA"),0)),"")</f>
        <v/>
      </c>
      <c r="D14" s="82" t="str" cm="1">
        <f t="array" ref="D14">IFERROR(INDEX(INPUT!$K$3:$K$1000,MATCH(1,(INPUT!$H$3:$H$1000=$G$2+0)*(INPUT!$I$3:$I$1000="T")*(INPUT!$J$3:$J$1000="RAYA"),0)),"")</f>
        <v/>
      </c>
      <c r="E14" s="82" t="str" cm="1">
        <f t="array" ref="E14">IFERROR(INDEX(INPUT!$K$3:$K$1000,MATCH(1,(INPUT!$H$3:$H$1000=$G$2+1)*(INPUT!$I$3:$I$1000="M")*(INPUT!$J$3:$J$1000="RAYA"),0)),"")</f>
        <v/>
      </c>
      <c r="F14" s="82" t="str" cm="1">
        <f t="array" ref="F14">IFERROR(INDEX(INPUT!$K$3:$K$1000,MATCH(1,(INPUT!$H$3:$H$1000=$G$2+1)*(INPUT!$I$3:$I$1000="T")*(INPUT!$J$3:$J$1000="RAYA"),0)),"")</f>
        <v/>
      </c>
      <c r="G14" s="82" t="str" cm="1">
        <f t="array" ref="G14">IFERROR(INDEX(INPUT!$K$3:$K$1000,MATCH(1,(INPUT!$H$3:$H$1000=$G$2+2)*(INPUT!$I$3:$I$1000="M")*(INPUT!$J$3:$J$1000="RAYA"),0)),"")</f>
        <v/>
      </c>
      <c r="H14" s="101" cm="1">
        <f t="array" ref="H14">IFERROR(INDEX(INPUT!$K$3:$K$1000,MATCH(1,(INPUT!$H$3:$H$1000=$G$2+2)*(INPUT!$I$3:$I$1000="T")*(INPUT!$J$3:$J$1000="RAYA"),0)),"")</f>
        <v>8</v>
      </c>
      <c r="I14" s="82" t="str" cm="1">
        <f t="array" ref="I14">IFERROR(INDEX(INPUT!$K$3:$K$1000,MATCH(1,(INPUT!$H$3:$H$1000=$G$2+3)*(INPUT!$I$3:$I$1000="M")*(INPUT!$J$3:$J$1000="RAYA"),0)),"")</f>
        <v/>
      </c>
      <c r="J14" s="101" cm="1">
        <f t="array" ref="J14">IFERROR(INDEX(INPUT!$K$3:$K$1000,MATCH(1,(INPUT!$H$3:$H$1000=$G$2+3)*(INPUT!$I$3:$I$1000="T")*(INPUT!$J$3:$J$1000="RAYA"),0)),"")</f>
        <v>9</v>
      </c>
      <c r="K14" s="82" t="str" cm="1">
        <f t="array" ref="K14">IFERROR(INDEX(INPUT!$K$3:$K$1000,MATCH(1,(INPUT!$H$3:$H$1000=$G$2+4)*(INPUT!$I$3:$I$1000="M")*(INPUT!$J$3:$J$1000="RAYA"),0)),"")</f>
        <v/>
      </c>
      <c r="L14" s="101" cm="1">
        <f t="array" ref="L14">IFERROR(INDEX(INPUT!$K$3:$K$1000,MATCH(1,(INPUT!$H$3:$H$1000=$G$2+4)*(INPUT!$I$3:$I$1000="T")*(INPUT!$J$3:$J$1000="RAYA"),0)),"")</f>
        <v>10</v>
      </c>
      <c r="M14" s="82" t="str" cm="1">
        <f t="array" ref="M14">IFERROR(INDEX(INPUT!$K$3:$K$1000,MATCH(1,(INPUT!$H$3:$H$1000=$G$2+5)*(INPUT!$I$3:$I$1000="M")*(INPUT!$J$3:$J$1000="RAYA"),0)),"")</f>
        <v/>
      </c>
      <c r="N14" s="82" t="str" cm="1">
        <f t="array" ref="N14">IFERROR(INDEX(INPUT!$K$3:$K$1000,MATCH(1,(INPUT!$H$3:$H$1000=$G$2+5)*(INPUT!$I$3:$I$1000="T")*(INPUT!$J$3:$J$1000="RAYA"),0)),"")</f>
        <v/>
      </c>
      <c r="O14" s="82" t="str" cm="1">
        <f t="array" ref="O14">IFERROR(INDEX(INPUT!$K$3:$K$1000,MATCH(1,(INPUT!$H$3:$H$1000=$G$2+6)*(INPUT!$I$3:$I$1000="M")*(INPUT!$J$3:$J$1000="RAYA"),0)),"")</f>
        <v/>
      </c>
      <c r="P14" s="82" t="str" cm="1">
        <f t="array" ref="P14">IFERROR(INDEX(INPUT!$K$3:$K$1000,MATCH(1,(INPUT!$H$3:$H$1000=$G$2+6)*(INPUT!$I$3:$I$1000="T")*(INPUT!$J$3:$J$1000="RAYA"),0)),"")</f>
        <v/>
      </c>
      <c r="Q14" s="94" cm="1">
        <f t="array" ref="Q14">SUMPRODUCT(IFERROR(VALUE(C14:P14),0)*IFERROR(VALUE(C$6:P$6),0))</f>
        <v>4590</v>
      </c>
      <c r="R14" s="104" cm="1">
        <f t="array" ref="R14">IFERROR(AVERAGE(IF(ISNUMBER(C14:P14),C14:P14)),"")</f>
        <v>9</v>
      </c>
    </row>
    <row r="15" spans="1:18" x14ac:dyDescent="0.2">
      <c r="A15" s="97">
        <v>9</v>
      </c>
      <c r="B15" s="79" t="s">
        <v>49</v>
      </c>
      <c r="C15" s="80" t="str" cm="1">
        <f t="array" ref="C15">IFERROR(INDEX(INPUT!$K$3:$K$1000,MATCH(1,(INPUT!$H$3:$H$1000=$G$2+0)*(INPUT!$I$3:$I$1000="M")*(INPUT!$J$3:$J$1000="JAVI"),0)),"")</f>
        <v/>
      </c>
      <c r="D15" s="80" t="str" cm="1">
        <f t="array" ref="D15">IFERROR(INDEX(INPUT!$K$3:$K$1000,MATCH(1,(INPUT!$H$3:$H$1000=$G$2+0)*(INPUT!$I$3:$I$1000="T")*(INPUT!$J$3:$J$1000="JAVI"),0)),"")</f>
        <v/>
      </c>
      <c r="E15" s="80" t="str" cm="1">
        <f t="array" ref="E15">IFERROR(INDEX(INPUT!$K$3:$K$1000,MATCH(1,(INPUT!$H$3:$H$1000=$G$2+1)*(INPUT!$I$3:$I$1000="M")*(INPUT!$J$3:$J$1000="JAVI"),0)),"")</f>
        <v/>
      </c>
      <c r="F15" s="80" t="str" cm="1">
        <f t="array" ref="F15">IFERROR(INDEX(INPUT!$K$3:$K$1000,MATCH(1,(INPUT!$H$3:$H$1000=$G$2+1)*(INPUT!$I$3:$I$1000="T")*(INPUT!$J$3:$J$1000="JAVI"),0)),"")</f>
        <v/>
      </c>
      <c r="G15" s="80" t="str" cm="1">
        <f t="array" ref="G15">IFERROR(INDEX(INPUT!$K$3:$K$1000,MATCH(1,(INPUT!$H$3:$H$1000=$G$2+2)*(INPUT!$I$3:$I$1000="M")*(INPUT!$J$3:$J$1000="JAVI"),0)),"")</f>
        <v/>
      </c>
      <c r="H15" s="98" cm="1">
        <f t="array" ref="H15">IFERROR(INDEX(INPUT!$K$3:$K$1000,MATCH(1,(INPUT!$H$3:$H$1000=$G$2+2)*(INPUT!$I$3:$I$1000="T")*(INPUT!$J$3:$J$1000="JAVI"),0)),"")</f>
        <v>9</v>
      </c>
      <c r="I15" s="80" t="str" cm="1">
        <f t="array" ref="I15">IFERROR(INDEX(INPUT!$K$3:$K$1000,MATCH(1,(INPUT!$H$3:$H$1000=$G$2+3)*(INPUT!$I$3:$I$1000="M")*(INPUT!$J$3:$J$1000="JAVI"),0)),"")</f>
        <v/>
      </c>
      <c r="J15" s="98" cm="1">
        <f t="array" ref="J15">IFERROR(INDEX(INPUT!$K$3:$K$1000,MATCH(1,(INPUT!$H$3:$H$1000=$G$2+3)*(INPUT!$I$3:$I$1000="T")*(INPUT!$J$3:$J$1000="JAVI"),0)),"")</f>
        <v>9</v>
      </c>
      <c r="K15" s="80" t="str" cm="1">
        <f t="array" ref="K15">IFERROR(INDEX(INPUT!$K$3:$K$1000,MATCH(1,(INPUT!$H$3:$H$1000=$G$2+4)*(INPUT!$I$3:$I$1000="M")*(INPUT!$J$3:$J$1000="JAVI"),0)),"")</f>
        <v/>
      </c>
      <c r="L15" s="98" cm="1">
        <f t="array" ref="L15">IFERROR(INDEX(INPUT!$K$3:$K$1000,MATCH(1,(INPUT!$H$3:$H$1000=$G$2+4)*(INPUT!$I$3:$I$1000="T")*(INPUT!$J$3:$J$1000="JAVI"),0)),"")</f>
        <v>10</v>
      </c>
      <c r="M15" s="80" t="str" cm="1">
        <f t="array" ref="M15">IFERROR(INDEX(INPUT!$K$3:$K$1000,MATCH(1,(INPUT!$H$3:$H$1000=$G$2+5)*(INPUT!$I$3:$I$1000="M")*(INPUT!$J$3:$J$1000="JAVI"),0)),"")</f>
        <v/>
      </c>
      <c r="N15" s="80" t="str" cm="1">
        <f t="array" ref="N15">IFERROR(INDEX(INPUT!$K$3:$K$1000,MATCH(1,(INPUT!$H$3:$H$1000=$G$2+5)*(INPUT!$I$3:$I$1000="T")*(INPUT!$J$3:$J$1000="JAVI"),0)),"")</f>
        <v/>
      </c>
      <c r="O15" s="80" t="str" cm="1">
        <f t="array" ref="O15">IFERROR(INDEX(INPUT!$K$3:$K$1000,MATCH(1,(INPUT!$H$3:$H$1000=$G$2+6)*(INPUT!$I$3:$I$1000="M")*(INPUT!$J$3:$J$1000="JAVI"),0)),"")</f>
        <v/>
      </c>
      <c r="P15" s="80" t="str" cm="1">
        <f t="array" ref="P15">IFERROR(INDEX(INPUT!$K$3:$K$1000,MATCH(1,(INPUT!$H$3:$H$1000=$G$2+6)*(INPUT!$I$3:$I$1000="T")*(INPUT!$J$3:$J$1000="JAVI"),0)),"")</f>
        <v/>
      </c>
      <c r="Q15" s="93" cm="1">
        <f t="array" ref="Q15">SUMPRODUCT(IFERROR(VALUE(C15:P15),0)*IFERROR(VALUE(C$6:P$6),0))</f>
        <v>4770</v>
      </c>
      <c r="R15" s="103" cm="1">
        <f t="array" ref="R15">IFERROR(AVERAGE(IF(ISNUMBER(C15:P15),C15:P15)),"")</f>
        <v>9.3333333333333339</v>
      </c>
    </row>
    <row r="16" spans="1:18" x14ac:dyDescent="0.2">
      <c r="A16" s="100">
        <v>10</v>
      </c>
      <c r="B16" s="81" t="s">
        <v>50</v>
      </c>
      <c r="C16" s="82" t="str" cm="1">
        <f t="array" ref="C16">IFERROR(INDEX(INPUT!$K$3:$K$1000,MATCH(1,(INPUT!$H$3:$H$1000=$G$2+0)*(INPUT!$I$3:$I$1000="M")*(INPUT!$J$3:$J$1000="PANI"),0)),"")</f>
        <v/>
      </c>
      <c r="D16" s="82" t="str" cm="1">
        <f t="array" ref="D16">IFERROR(INDEX(INPUT!$K$3:$K$1000,MATCH(1,(INPUT!$H$3:$H$1000=$G$2+0)*(INPUT!$I$3:$I$1000="T")*(INPUT!$J$3:$J$1000="PANI"),0)),"")</f>
        <v/>
      </c>
      <c r="E16" s="82" t="str" cm="1">
        <f t="array" ref="E16">IFERROR(INDEX(INPUT!$K$3:$K$1000,MATCH(1,(INPUT!$H$3:$H$1000=$G$2+1)*(INPUT!$I$3:$I$1000="M")*(INPUT!$J$3:$J$1000="PANI"),0)),"")</f>
        <v/>
      </c>
      <c r="F16" s="82" t="str" cm="1">
        <f t="array" ref="F16">IFERROR(INDEX(INPUT!$K$3:$K$1000,MATCH(1,(INPUT!$H$3:$H$1000=$G$2+1)*(INPUT!$I$3:$I$1000="T")*(INPUT!$J$3:$J$1000="PANI"),0)),"")</f>
        <v/>
      </c>
      <c r="G16" s="82" t="str" cm="1">
        <f t="array" ref="G16">IFERROR(INDEX(INPUT!$K$3:$K$1000,MATCH(1,(INPUT!$H$3:$H$1000=$G$2+2)*(INPUT!$I$3:$I$1000="M")*(INPUT!$J$3:$J$1000="PANI"),0)),"")</f>
        <v/>
      </c>
      <c r="H16" s="101" cm="1">
        <f t="array" ref="H16">IFERROR(INDEX(INPUT!$K$3:$K$1000,MATCH(1,(INPUT!$H$3:$H$1000=$G$2+2)*(INPUT!$I$3:$I$1000="T")*(INPUT!$J$3:$J$1000="PANI"),0)),"")</f>
        <v>9</v>
      </c>
      <c r="I16" s="82" t="str" cm="1">
        <f t="array" ref="I16">IFERROR(INDEX(INPUT!$K$3:$K$1000,MATCH(1,(INPUT!$H$3:$H$1000=$G$2+3)*(INPUT!$I$3:$I$1000="M")*(INPUT!$J$3:$J$1000="PANI"),0)),"")</f>
        <v/>
      </c>
      <c r="J16" s="101" cm="1">
        <f t="array" ref="J16">IFERROR(INDEX(INPUT!$K$3:$K$1000,MATCH(1,(INPUT!$H$3:$H$1000=$G$2+3)*(INPUT!$I$3:$I$1000="T")*(INPUT!$J$3:$J$1000="PANI"),0)),"")</f>
        <v>10</v>
      </c>
      <c r="K16" s="82" t="str" cm="1">
        <f t="array" ref="K16">IFERROR(INDEX(INPUT!$K$3:$K$1000,MATCH(1,(INPUT!$H$3:$H$1000=$G$2+4)*(INPUT!$I$3:$I$1000="M")*(INPUT!$J$3:$J$1000="PANI"),0)),"")</f>
        <v/>
      </c>
      <c r="L16" s="101" cm="1">
        <f t="array" ref="L16">IFERROR(INDEX(INPUT!$K$3:$K$1000,MATCH(1,(INPUT!$H$3:$H$1000=$G$2+4)*(INPUT!$I$3:$I$1000="T")*(INPUT!$J$3:$J$1000="PANI"),0)),"")</f>
        <v>10</v>
      </c>
      <c r="M16" s="82" t="str" cm="1">
        <f t="array" ref="M16">IFERROR(INDEX(INPUT!$K$3:$K$1000,MATCH(1,(INPUT!$H$3:$H$1000=$G$2+5)*(INPUT!$I$3:$I$1000="M")*(INPUT!$J$3:$J$1000="PANI"),0)),"")</f>
        <v/>
      </c>
      <c r="N16" s="82" t="str" cm="1">
        <f t="array" ref="N16">IFERROR(INDEX(INPUT!$K$3:$K$1000,MATCH(1,(INPUT!$H$3:$H$1000=$G$2+5)*(INPUT!$I$3:$I$1000="T")*(INPUT!$J$3:$J$1000="PANI"),0)),"")</f>
        <v/>
      </c>
      <c r="O16" s="82" t="str" cm="1">
        <f t="array" ref="O16">IFERROR(INDEX(INPUT!$K$3:$K$1000,MATCH(1,(INPUT!$H$3:$H$1000=$G$2+6)*(INPUT!$I$3:$I$1000="M")*(INPUT!$J$3:$J$1000="PANI"),0)),"")</f>
        <v/>
      </c>
      <c r="P16" s="82" t="str" cm="1">
        <f t="array" ref="P16">IFERROR(INDEX(INPUT!$K$3:$K$1000,MATCH(1,(INPUT!$H$3:$H$1000=$G$2+6)*(INPUT!$I$3:$I$1000="T")*(INPUT!$J$3:$J$1000="PANI"),0)),"")</f>
        <v/>
      </c>
      <c r="Q16" s="94" cm="1">
        <f t="array" ref="Q16">SUMPRODUCT(IFERROR(VALUE(C16:P16),0)*IFERROR(VALUE(C$6:P$6),0))</f>
        <v>4920</v>
      </c>
      <c r="R16" s="102" cm="1">
        <f t="array" ref="R16">IFERROR(AVERAGE(IF(ISNUMBER(C16:P16),C16:P16)),"")</f>
        <v>9.6666666666666661</v>
      </c>
    </row>
    <row r="17" spans="1:18" x14ac:dyDescent="0.2">
      <c r="A17" s="97">
        <v>11</v>
      </c>
      <c r="B17" s="79" t="s">
        <v>51</v>
      </c>
      <c r="C17" s="80" t="str" cm="1">
        <f t="array" ref="C17">IFERROR(INDEX(INPUT!$K$3:$K$1000,MATCH(1,(INPUT!$H$3:$H$1000=$G$2+0)*(INPUT!$I$3:$I$1000="M")*(INPUT!$J$3:$J$1000="PIRATA"),0)),"")</f>
        <v/>
      </c>
      <c r="D17" s="80" t="str" cm="1">
        <f t="array" ref="D17">IFERROR(INDEX(INPUT!$K$3:$K$1000,MATCH(1,(INPUT!$H$3:$H$1000=$G$2+0)*(INPUT!$I$3:$I$1000="T")*(INPUT!$J$3:$J$1000="PIRATA"),0)),"")</f>
        <v/>
      </c>
      <c r="E17" s="80" t="str" cm="1">
        <f t="array" ref="E17">IFERROR(INDEX(INPUT!$K$3:$K$1000,MATCH(1,(INPUT!$H$3:$H$1000=$G$2+1)*(INPUT!$I$3:$I$1000="M")*(INPUT!$J$3:$J$1000="PIRATA"),0)),"")</f>
        <v/>
      </c>
      <c r="F17" s="80" t="str" cm="1">
        <f t="array" ref="F17">IFERROR(INDEX(INPUT!$K$3:$K$1000,MATCH(1,(INPUT!$H$3:$H$1000=$G$2+1)*(INPUT!$I$3:$I$1000="T")*(INPUT!$J$3:$J$1000="PIRATA"),0)),"")</f>
        <v/>
      </c>
      <c r="G17" s="80" t="str" cm="1">
        <f t="array" ref="G17">IFERROR(INDEX(INPUT!$K$3:$K$1000,MATCH(1,(INPUT!$H$3:$H$1000=$G$2+2)*(INPUT!$I$3:$I$1000="M")*(INPUT!$J$3:$J$1000="PIRATA"),0)),"")</f>
        <v/>
      </c>
      <c r="H17" s="98" cm="1">
        <f t="array" ref="H17">IFERROR(INDEX(INPUT!$K$3:$K$1000,MATCH(1,(INPUT!$H$3:$H$1000=$G$2+2)*(INPUT!$I$3:$I$1000="T")*(INPUT!$J$3:$J$1000="PIRATA"),0)),"")</f>
        <v>9</v>
      </c>
      <c r="I17" s="80" t="str" cm="1">
        <f t="array" ref="I17">IFERROR(INDEX(INPUT!$K$3:$K$1000,MATCH(1,(INPUT!$H$3:$H$1000=$G$2+3)*(INPUT!$I$3:$I$1000="M")*(INPUT!$J$3:$J$1000="PIRATA"),0)),"")</f>
        <v/>
      </c>
      <c r="J17" s="98" cm="1">
        <f t="array" ref="J17">IFERROR(INDEX(INPUT!$K$3:$K$1000,MATCH(1,(INPUT!$H$3:$H$1000=$G$2+3)*(INPUT!$I$3:$I$1000="T")*(INPUT!$J$3:$J$1000="PIRATA"),0)),"")</f>
        <v>10</v>
      </c>
      <c r="K17" s="80" t="str" cm="1">
        <f t="array" ref="K17">IFERROR(INDEX(INPUT!$K$3:$K$1000,MATCH(1,(INPUT!$H$3:$H$1000=$G$2+4)*(INPUT!$I$3:$I$1000="M")*(INPUT!$J$3:$J$1000="PIRATA"),0)),"")</f>
        <v/>
      </c>
      <c r="L17" s="98" cm="1">
        <f t="array" ref="L17">IFERROR(INDEX(INPUT!$K$3:$K$1000,MATCH(1,(INPUT!$H$3:$H$1000=$G$2+4)*(INPUT!$I$3:$I$1000="T")*(INPUT!$J$3:$J$1000="PIRATA"),0)),"")</f>
        <v>10</v>
      </c>
      <c r="M17" s="80" t="str" cm="1">
        <f t="array" ref="M17">IFERROR(INDEX(INPUT!$K$3:$K$1000,MATCH(1,(INPUT!$H$3:$H$1000=$G$2+5)*(INPUT!$I$3:$I$1000="M")*(INPUT!$J$3:$J$1000="PIRATA"),0)),"")</f>
        <v/>
      </c>
      <c r="N17" s="80" t="str" cm="1">
        <f t="array" ref="N17">IFERROR(INDEX(INPUT!$K$3:$K$1000,MATCH(1,(INPUT!$H$3:$H$1000=$G$2+5)*(INPUT!$I$3:$I$1000="T")*(INPUT!$J$3:$J$1000="PIRATA"),0)),"")</f>
        <v/>
      </c>
      <c r="O17" s="80" t="str" cm="1">
        <f t="array" ref="O17">IFERROR(INDEX(INPUT!$K$3:$K$1000,MATCH(1,(INPUT!$H$3:$H$1000=$G$2+6)*(INPUT!$I$3:$I$1000="M")*(INPUT!$J$3:$J$1000="PIRATA"),0)),"")</f>
        <v/>
      </c>
      <c r="P17" s="80" t="str" cm="1">
        <f t="array" ref="P17">IFERROR(INDEX(INPUT!$K$3:$K$1000,MATCH(1,(INPUT!$H$3:$H$1000=$G$2+6)*(INPUT!$I$3:$I$1000="T")*(INPUT!$J$3:$J$1000="PIRATA"),0)),"")</f>
        <v/>
      </c>
      <c r="Q17" s="93" cm="1">
        <f t="array" ref="Q17">SUMPRODUCT(IFERROR(VALUE(C17:P17),0)*IFERROR(VALUE(C$6:P$6),0))</f>
        <v>4920</v>
      </c>
      <c r="R17" s="103" cm="1">
        <f t="array" ref="R17">IFERROR(AVERAGE(IF(ISNUMBER(C17:P17),C17:P17)),"")</f>
        <v>9.6666666666666661</v>
      </c>
    </row>
    <row r="18" spans="1:18" x14ac:dyDescent="0.2">
      <c r="A18" s="100">
        <v>12</v>
      </c>
      <c r="B18" s="81" t="s">
        <v>52</v>
      </c>
      <c r="C18" s="82" t="str" cm="1">
        <f t="array" ref="C18">IFERROR(INDEX(INPUT!$K$3:$K$1000,MATCH(1,(INPUT!$H$3:$H$1000=$G$2+0)*(INPUT!$I$3:$I$1000="M")*(INPUT!$J$3:$J$1000="BARONA"),0)),"")</f>
        <v/>
      </c>
      <c r="D18" s="82" t="str" cm="1">
        <f t="array" ref="D18">IFERROR(INDEX(INPUT!$K$3:$K$1000,MATCH(1,(INPUT!$H$3:$H$1000=$G$2+0)*(INPUT!$I$3:$I$1000="T")*(INPUT!$J$3:$J$1000="BARONA"),0)),"")</f>
        <v/>
      </c>
      <c r="E18" s="82" t="str" cm="1">
        <f t="array" ref="E18">IFERROR(INDEX(INPUT!$K$3:$K$1000,MATCH(1,(INPUT!$H$3:$H$1000=$G$2+1)*(INPUT!$I$3:$I$1000="M")*(INPUT!$J$3:$J$1000="BARONA"),0)),"")</f>
        <v/>
      </c>
      <c r="F18" s="82" t="str" cm="1">
        <f t="array" ref="F18">IFERROR(INDEX(INPUT!$K$3:$K$1000,MATCH(1,(INPUT!$H$3:$H$1000=$G$2+1)*(INPUT!$I$3:$I$1000="T")*(INPUT!$J$3:$J$1000="BARONA"),0)),"")</f>
        <v/>
      </c>
      <c r="G18" s="82" t="str" cm="1">
        <f t="array" ref="G18">IFERROR(INDEX(INPUT!$K$3:$K$1000,MATCH(1,(INPUT!$H$3:$H$1000=$G$2+2)*(INPUT!$I$3:$I$1000="M")*(INPUT!$J$3:$J$1000="BARONA"),0)),"")</f>
        <v/>
      </c>
      <c r="H18" s="101" cm="1">
        <f t="array" ref="H18">IFERROR(INDEX(INPUT!$K$3:$K$1000,MATCH(1,(INPUT!$H$3:$H$1000=$G$2+2)*(INPUT!$I$3:$I$1000="T")*(INPUT!$J$3:$J$1000="BARONA"),0)),"")</f>
        <v>7</v>
      </c>
      <c r="I18" s="82" t="str" cm="1">
        <f t="array" ref="I18">IFERROR(INDEX(INPUT!$K$3:$K$1000,MATCH(1,(INPUT!$H$3:$H$1000=$G$2+3)*(INPUT!$I$3:$I$1000="M")*(INPUT!$J$3:$J$1000="BARONA"),0)),"")</f>
        <v/>
      </c>
      <c r="J18" s="101" cm="1">
        <f t="array" ref="J18">IFERROR(INDEX(INPUT!$K$3:$K$1000,MATCH(1,(INPUT!$H$3:$H$1000=$G$2+3)*(INPUT!$I$3:$I$1000="T")*(INPUT!$J$3:$J$1000="BARONA"),0)),"")</f>
        <v>9</v>
      </c>
      <c r="K18" s="82" t="str" cm="1">
        <f t="array" ref="K18">IFERROR(INDEX(INPUT!$K$3:$K$1000,MATCH(1,(INPUT!$H$3:$H$1000=$G$2+4)*(INPUT!$I$3:$I$1000="M")*(INPUT!$J$3:$J$1000="BARONA"),0)),"")</f>
        <v/>
      </c>
      <c r="L18" s="101" cm="1">
        <f t="array" ref="L18">IFERROR(INDEX(INPUT!$K$3:$K$1000,MATCH(1,(INPUT!$H$3:$H$1000=$G$2+4)*(INPUT!$I$3:$I$1000="T")*(INPUT!$J$3:$J$1000="BARONA"),0)),"")</f>
        <v>10</v>
      </c>
      <c r="M18" s="82" t="str" cm="1">
        <f t="array" ref="M18">IFERROR(INDEX(INPUT!$K$3:$K$1000,MATCH(1,(INPUT!$H$3:$H$1000=$G$2+5)*(INPUT!$I$3:$I$1000="M")*(INPUT!$J$3:$J$1000="BARONA"),0)),"")</f>
        <v/>
      </c>
      <c r="N18" s="82" t="str" cm="1">
        <f t="array" ref="N18">IFERROR(INDEX(INPUT!$K$3:$K$1000,MATCH(1,(INPUT!$H$3:$H$1000=$G$2+5)*(INPUT!$I$3:$I$1000="T")*(INPUT!$J$3:$J$1000="BARONA"),0)),"")</f>
        <v/>
      </c>
      <c r="O18" s="82" t="str" cm="1">
        <f t="array" ref="O18">IFERROR(INDEX(INPUT!$K$3:$K$1000,MATCH(1,(INPUT!$H$3:$H$1000=$G$2+6)*(INPUT!$I$3:$I$1000="M")*(INPUT!$J$3:$J$1000="BARONA"),0)),"")</f>
        <v/>
      </c>
      <c r="P18" s="82" t="str" cm="1">
        <f t="array" ref="P18">IFERROR(INDEX(INPUT!$K$3:$K$1000,MATCH(1,(INPUT!$H$3:$H$1000=$G$2+6)*(INPUT!$I$3:$I$1000="T")*(INPUT!$J$3:$J$1000="BARONA"),0)),"")</f>
        <v/>
      </c>
      <c r="Q18" s="94" cm="1">
        <f t="array" ref="Q18">SUMPRODUCT(IFERROR(VALUE(C18:P18),0)*IFERROR(VALUE(C$6:P$6),0))</f>
        <v>4410</v>
      </c>
      <c r="R18" s="102" cm="1">
        <f t="array" ref="R18">IFERROR(AVERAGE(IF(ISNUMBER(C18:P18),C18:P18)),"")</f>
        <v>8.6666666666666661</v>
      </c>
    </row>
    <row r="19" spans="1:18" x14ac:dyDescent="0.2">
      <c r="A19" s="97">
        <v>13</v>
      </c>
      <c r="B19" s="79" t="s">
        <v>53</v>
      </c>
      <c r="C19" s="80" t="str" cm="1">
        <f t="array" ref="C19">IFERROR(INDEX(INPUT!$K$3:$K$1000,MATCH(1,(INPUT!$H$3:$H$1000=$G$2+0)*(INPUT!$I$3:$I$1000="M")*(INPUT!$J$3:$J$1000="CARLOS"),0)),"")</f>
        <v/>
      </c>
      <c r="D19" s="80" t="str" cm="1">
        <f t="array" ref="D19">IFERROR(INDEX(INPUT!$K$3:$K$1000,MATCH(1,(INPUT!$H$3:$H$1000=$G$2+0)*(INPUT!$I$3:$I$1000="T")*(INPUT!$J$3:$J$1000="CARLOS"),0)),"")</f>
        <v/>
      </c>
      <c r="E19" s="80" t="str" cm="1">
        <f t="array" ref="E19">IFERROR(INDEX(INPUT!$K$3:$K$1000,MATCH(1,(INPUT!$H$3:$H$1000=$G$2+1)*(INPUT!$I$3:$I$1000="M")*(INPUT!$J$3:$J$1000="CARLOS"),0)),"")</f>
        <v/>
      </c>
      <c r="F19" s="80" t="str" cm="1">
        <f t="array" ref="F19">IFERROR(INDEX(INPUT!$K$3:$K$1000,MATCH(1,(INPUT!$H$3:$H$1000=$G$2+1)*(INPUT!$I$3:$I$1000="T")*(INPUT!$J$3:$J$1000="CARLOS"),0)),"")</f>
        <v/>
      </c>
      <c r="G19" s="80" t="str" cm="1">
        <f t="array" ref="G19">IFERROR(INDEX(INPUT!$K$3:$K$1000,MATCH(1,(INPUT!$H$3:$H$1000=$G$2+2)*(INPUT!$I$3:$I$1000="M")*(INPUT!$J$3:$J$1000="CARLOS"),0)),"")</f>
        <v/>
      </c>
      <c r="H19" s="98" cm="1">
        <f t="array" ref="H19">IFERROR(INDEX(INPUT!$K$3:$K$1000,MATCH(1,(INPUT!$H$3:$H$1000=$G$2+2)*(INPUT!$I$3:$I$1000="T")*(INPUT!$J$3:$J$1000="CARLOS"),0)),"")</f>
        <v>9</v>
      </c>
      <c r="I19" s="80" t="str" cm="1">
        <f t="array" ref="I19">IFERROR(INDEX(INPUT!$K$3:$K$1000,MATCH(1,(INPUT!$H$3:$H$1000=$G$2+3)*(INPUT!$I$3:$I$1000="M")*(INPUT!$J$3:$J$1000="CARLOS"),0)),"")</f>
        <v/>
      </c>
      <c r="J19" s="98" cm="1">
        <f t="array" ref="J19">IFERROR(INDEX(INPUT!$K$3:$K$1000,MATCH(1,(INPUT!$H$3:$H$1000=$G$2+3)*(INPUT!$I$3:$I$1000="T")*(INPUT!$J$3:$J$1000="CARLOS"),0)),"")</f>
        <v>9</v>
      </c>
      <c r="K19" s="80" t="str" cm="1">
        <f t="array" ref="K19">IFERROR(INDEX(INPUT!$K$3:$K$1000,MATCH(1,(INPUT!$H$3:$H$1000=$G$2+4)*(INPUT!$I$3:$I$1000="M")*(INPUT!$J$3:$J$1000="CARLOS"),0)),"")</f>
        <v/>
      </c>
      <c r="L19" s="98" cm="1">
        <f t="array" ref="L19">IFERROR(INDEX(INPUT!$K$3:$K$1000,MATCH(1,(INPUT!$H$3:$H$1000=$G$2+4)*(INPUT!$I$3:$I$1000="T")*(INPUT!$J$3:$J$1000="CARLOS"),0)),"")</f>
        <v>10</v>
      </c>
      <c r="M19" s="80" t="str" cm="1">
        <f t="array" ref="M19">IFERROR(INDEX(INPUT!$K$3:$K$1000,MATCH(1,(INPUT!$H$3:$H$1000=$G$2+5)*(INPUT!$I$3:$I$1000="M")*(INPUT!$J$3:$J$1000="CARLOS"),0)),"")</f>
        <v/>
      </c>
      <c r="N19" s="80" t="str" cm="1">
        <f t="array" ref="N19">IFERROR(INDEX(INPUT!$K$3:$K$1000,MATCH(1,(INPUT!$H$3:$H$1000=$G$2+5)*(INPUT!$I$3:$I$1000="T")*(INPUT!$J$3:$J$1000="CARLOS"),0)),"")</f>
        <v/>
      </c>
      <c r="O19" s="80" t="str" cm="1">
        <f t="array" ref="O19">IFERROR(INDEX(INPUT!$K$3:$K$1000,MATCH(1,(INPUT!$H$3:$H$1000=$G$2+6)*(INPUT!$I$3:$I$1000="M")*(INPUT!$J$3:$J$1000="CARLOS"),0)),"")</f>
        <v/>
      </c>
      <c r="P19" s="80" t="str" cm="1">
        <f t="array" ref="P19">IFERROR(INDEX(INPUT!$K$3:$K$1000,MATCH(1,(INPUT!$H$3:$H$1000=$G$2+6)*(INPUT!$I$3:$I$1000="T")*(INPUT!$J$3:$J$1000="CARLOS"),0)),"")</f>
        <v/>
      </c>
      <c r="Q19" s="93" cm="1">
        <f t="array" ref="Q19">SUMPRODUCT(IFERROR(VALUE(C19:P19),0)*IFERROR(VALUE(C$6:P$6),0))</f>
        <v>4770</v>
      </c>
      <c r="R19" s="103" cm="1">
        <f t="array" ref="R19">IFERROR(AVERAGE(IF(ISNUMBER(C19:P19),C19:P19)),"")</f>
        <v>9.3333333333333339</v>
      </c>
    </row>
    <row r="20" spans="1:18" x14ac:dyDescent="0.2">
      <c r="A20" s="100">
        <v>14</v>
      </c>
      <c r="B20" s="81" t="s">
        <v>54</v>
      </c>
      <c r="C20" s="82" t="str" cm="1">
        <f t="array" ref="C20">IFERROR(INDEX(INPUT!$K$3:$K$1000,MATCH(1,(INPUT!$H$3:$H$1000=$G$2+0)*(INPUT!$I$3:$I$1000="M")*(INPUT!$J$3:$J$1000="GONZALO"),0)),"")</f>
        <v/>
      </c>
      <c r="D20" s="82" t="str" cm="1">
        <f t="array" ref="D20">IFERROR(INDEX(INPUT!$K$3:$K$1000,MATCH(1,(INPUT!$H$3:$H$1000=$G$2+0)*(INPUT!$I$3:$I$1000="T")*(INPUT!$J$3:$J$1000="GONZALO"),0)),"")</f>
        <v/>
      </c>
      <c r="E20" s="82" t="str" cm="1">
        <f t="array" ref="E20">IFERROR(INDEX(INPUT!$K$3:$K$1000,MATCH(1,(INPUT!$H$3:$H$1000=$G$2+1)*(INPUT!$I$3:$I$1000="M")*(INPUT!$J$3:$J$1000="GONZALO"),0)),"")</f>
        <v/>
      </c>
      <c r="F20" s="82" t="str" cm="1">
        <f t="array" ref="F20">IFERROR(INDEX(INPUT!$K$3:$K$1000,MATCH(1,(INPUT!$H$3:$H$1000=$G$2+1)*(INPUT!$I$3:$I$1000="T")*(INPUT!$J$3:$J$1000="GONZALO"),0)),"")</f>
        <v/>
      </c>
      <c r="G20" s="82" t="str" cm="1">
        <f t="array" ref="G20">IFERROR(INDEX(INPUT!$K$3:$K$1000,MATCH(1,(INPUT!$H$3:$H$1000=$G$2+2)*(INPUT!$I$3:$I$1000="M")*(INPUT!$J$3:$J$1000="GONZALO"),0)),"")</f>
        <v/>
      </c>
      <c r="H20" s="101" cm="1">
        <f t="array" ref="H20">IFERROR(INDEX(INPUT!$K$3:$K$1000,MATCH(1,(INPUT!$H$3:$H$1000=$G$2+2)*(INPUT!$I$3:$I$1000="T")*(INPUT!$J$3:$J$1000="GONZALO"),0)),"")</f>
        <v>8</v>
      </c>
      <c r="I20" s="82" t="str" cm="1">
        <f t="array" ref="I20">IFERROR(INDEX(INPUT!$K$3:$K$1000,MATCH(1,(INPUT!$H$3:$H$1000=$G$2+3)*(INPUT!$I$3:$I$1000="M")*(INPUT!$J$3:$J$1000="GONZALO"),0)),"")</f>
        <v/>
      </c>
      <c r="J20" s="101" cm="1">
        <f t="array" ref="J20">IFERROR(INDEX(INPUT!$K$3:$K$1000,MATCH(1,(INPUT!$H$3:$H$1000=$G$2+3)*(INPUT!$I$3:$I$1000="T")*(INPUT!$J$3:$J$1000="GONZALO"),0)),"")</f>
        <v>9</v>
      </c>
      <c r="K20" s="82" t="str" cm="1">
        <f t="array" ref="K20">IFERROR(INDEX(INPUT!$K$3:$K$1000,MATCH(1,(INPUT!$H$3:$H$1000=$G$2+4)*(INPUT!$I$3:$I$1000="M")*(INPUT!$J$3:$J$1000="GONZALO"),0)),"")</f>
        <v/>
      </c>
      <c r="L20" s="101" cm="1">
        <f t="array" ref="L20">IFERROR(INDEX(INPUT!$K$3:$K$1000,MATCH(1,(INPUT!$H$3:$H$1000=$G$2+4)*(INPUT!$I$3:$I$1000="T")*(INPUT!$J$3:$J$1000="GONZALO"),0)),"")</f>
        <v>9</v>
      </c>
      <c r="M20" s="82" t="str" cm="1">
        <f t="array" ref="M20">IFERROR(INDEX(INPUT!$K$3:$K$1000,MATCH(1,(INPUT!$H$3:$H$1000=$G$2+5)*(INPUT!$I$3:$I$1000="M")*(INPUT!$J$3:$J$1000="GONZALO"),0)),"")</f>
        <v/>
      </c>
      <c r="N20" s="82" t="str" cm="1">
        <f t="array" ref="N20">IFERROR(INDEX(INPUT!$K$3:$K$1000,MATCH(1,(INPUT!$H$3:$H$1000=$G$2+5)*(INPUT!$I$3:$I$1000="T")*(INPUT!$J$3:$J$1000="GONZALO"),0)),"")</f>
        <v/>
      </c>
      <c r="O20" s="82" t="str" cm="1">
        <f t="array" ref="O20">IFERROR(INDEX(INPUT!$K$3:$K$1000,MATCH(1,(INPUT!$H$3:$H$1000=$G$2+6)*(INPUT!$I$3:$I$1000="M")*(INPUT!$J$3:$J$1000="GONZALO"),0)),"")</f>
        <v/>
      </c>
      <c r="P20" s="82" t="str" cm="1">
        <f t="array" ref="P20">IFERROR(INDEX(INPUT!$K$3:$K$1000,MATCH(1,(INPUT!$H$3:$H$1000=$G$2+6)*(INPUT!$I$3:$I$1000="T")*(INPUT!$J$3:$J$1000="GONZALO"),0)),"")</f>
        <v/>
      </c>
      <c r="Q20" s="94" cm="1">
        <f t="array" ref="Q20">SUMPRODUCT(IFERROR(VALUE(C20:P20),0)*IFERROR(VALUE(C$6:P$6),0))</f>
        <v>4410</v>
      </c>
      <c r="R20" s="102" cm="1">
        <f t="array" ref="R20">IFERROR(AVERAGE(IF(ISNUMBER(C20:P20),C20:P20)),"")</f>
        <v>8.6666666666666661</v>
      </c>
    </row>
    <row r="21" spans="1:18" x14ac:dyDescent="0.2">
      <c r="A21" s="97">
        <v>15</v>
      </c>
      <c r="B21" s="79" t="s">
        <v>55</v>
      </c>
      <c r="C21" s="80" t="str" cm="1">
        <f t="array" ref="C21">IFERROR(INDEX(INPUT!$K$3:$K$1000,MATCH(1,(INPUT!$H$3:$H$1000=$G$2+0)*(INPUT!$I$3:$I$1000="M")*(INPUT!$J$3:$J$1000="SEGO"),0)),"")</f>
        <v/>
      </c>
      <c r="D21" s="80" t="str" cm="1">
        <f t="array" ref="D21">IFERROR(INDEX(INPUT!$K$3:$K$1000,MATCH(1,(INPUT!$H$3:$H$1000=$G$2+0)*(INPUT!$I$3:$I$1000="T")*(INPUT!$J$3:$J$1000="SEGO"),0)),"")</f>
        <v/>
      </c>
      <c r="E21" s="80" t="str" cm="1">
        <f t="array" ref="E21">IFERROR(INDEX(INPUT!$K$3:$K$1000,MATCH(1,(INPUT!$H$3:$H$1000=$G$2+1)*(INPUT!$I$3:$I$1000="M")*(INPUT!$J$3:$J$1000="SEGO"),0)),"")</f>
        <v/>
      </c>
      <c r="F21" s="80" t="str" cm="1">
        <f t="array" ref="F21">IFERROR(INDEX(INPUT!$K$3:$K$1000,MATCH(1,(INPUT!$H$3:$H$1000=$G$2+1)*(INPUT!$I$3:$I$1000="T")*(INPUT!$J$3:$J$1000="SEGO"),0)),"")</f>
        <v/>
      </c>
      <c r="G21" s="80" t="str" cm="1">
        <f t="array" ref="G21">IFERROR(INDEX(INPUT!$K$3:$K$1000,MATCH(1,(INPUT!$H$3:$H$1000=$G$2+2)*(INPUT!$I$3:$I$1000="M")*(INPUT!$J$3:$J$1000="SEGO"),0)),"")</f>
        <v/>
      </c>
      <c r="H21" s="80" t="str" cm="1">
        <f t="array" ref="H21">IFERROR(INDEX(INPUT!$K$3:$K$1000,MATCH(1,(INPUT!$H$3:$H$1000=$G$2+2)*(INPUT!$I$3:$I$1000="T")*(INPUT!$J$3:$J$1000="SEGO"),0)),"")</f>
        <v/>
      </c>
      <c r="I21" s="80" t="str" cm="1">
        <f t="array" ref="I21">IFERROR(INDEX(INPUT!$K$3:$K$1000,MATCH(1,(INPUT!$H$3:$H$1000=$G$2+3)*(INPUT!$I$3:$I$1000="M")*(INPUT!$J$3:$J$1000="SEGO"),0)),"")</f>
        <v/>
      </c>
      <c r="J21" s="80" t="str" cm="1">
        <f t="array" ref="J21">IFERROR(INDEX(INPUT!$K$3:$K$1000,MATCH(1,(INPUT!$H$3:$H$1000=$G$2+3)*(INPUT!$I$3:$I$1000="T")*(INPUT!$J$3:$J$1000="SEGO"),0)),"")</f>
        <v/>
      </c>
      <c r="K21" s="80" t="str" cm="1">
        <f t="array" ref="K21">IFERROR(INDEX(INPUT!$K$3:$K$1000,MATCH(1,(INPUT!$H$3:$H$1000=$G$2+4)*(INPUT!$I$3:$I$1000="M")*(INPUT!$J$3:$J$1000="SEGO"),0)),"")</f>
        <v/>
      </c>
      <c r="L21" s="80" t="str" cm="1">
        <f t="array" ref="L21">IFERROR(INDEX(INPUT!$K$3:$K$1000,MATCH(1,(INPUT!$H$3:$H$1000=$G$2+4)*(INPUT!$I$3:$I$1000="T")*(INPUT!$J$3:$J$1000="SEGO"),0)),"")</f>
        <v/>
      </c>
      <c r="M21" s="80" t="str" cm="1">
        <f t="array" ref="M21">IFERROR(INDEX(INPUT!$K$3:$K$1000,MATCH(1,(INPUT!$H$3:$H$1000=$G$2+5)*(INPUT!$I$3:$I$1000="M")*(INPUT!$J$3:$J$1000="SEGO"),0)),"")</f>
        <v/>
      </c>
      <c r="N21" s="80" t="str" cm="1">
        <f t="array" ref="N21">IFERROR(INDEX(INPUT!$K$3:$K$1000,MATCH(1,(INPUT!$H$3:$H$1000=$G$2+5)*(INPUT!$I$3:$I$1000="T")*(INPUT!$J$3:$J$1000="SEGO"),0)),"")</f>
        <v/>
      </c>
      <c r="O21" s="80" t="str" cm="1">
        <f t="array" ref="O21">IFERROR(INDEX(INPUT!$K$3:$K$1000,MATCH(1,(INPUT!$H$3:$H$1000=$G$2+6)*(INPUT!$I$3:$I$1000="M")*(INPUT!$J$3:$J$1000="SEGO"),0)),"")</f>
        <v/>
      </c>
      <c r="P21" s="80" t="str" cm="1">
        <f t="array" ref="P21">IFERROR(INDEX(INPUT!$K$3:$K$1000,MATCH(1,(INPUT!$H$3:$H$1000=$G$2+6)*(INPUT!$I$3:$I$1000="T")*(INPUT!$J$3:$J$1000="SEGO"),0)),"")</f>
        <v/>
      </c>
      <c r="Q21" s="105" cm="1">
        <f t="array" ref="Q21">SUMPRODUCT(IFERROR(VALUE(C21:P21),0)*IFERROR(VALUE(C$6:P$6),0))</f>
        <v>0</v>
      </c>
      <c r="R21" s="86" t="str" cm="1">
        <f t="array" ref="R21">IFERROR(AVERAGE(IF(ISNUMBER(C21:P21),C21:P21)),"")</f>
        <v/>
      </c>
    </row>
    <row r="22" spans="1:18" x14ac:dyDescent="0.2">
      <c r="A22" s="100">
        <v>16</v>
      </c>
      <c r="B22" s="81" t="s">
        <v>56</v>
      </c>
      <c r="C22" s="82" t="str" cm="1">
        <f t="array" ref="C22">IFERROR(INDEX(INPUT!$K$3:$K$1000,MATCH(1,(INPUT!$H$3:$H$1000=$G$2+0)*(INPUT!$I$3:$I$1000="M")*(INPUT!$J$3:$J$1000="RUBIO"),0)),"")</f>
        <v/>
      </c>
      <c r="D22" s="82" t="str" cm="1">
        <f t="array" ref="D22">IFERROR(INDEX(INPUT!$K$3:$K$1000,MATCH(1,(INPUT!$H$3:$H$1000=$G$2+0)*(INPUT!$I$3:$I$1000="T")*(INPUT!$J$3:$J$1000="RUBIO"),0)),"")</f>
        <v/>
      </c>
      <c r="E22" s="82" t="str" cm="1">
        <f t="array" ref="E22">IFERROR(INDEX(INPUT!$K$3:$K$1000,MATCH(1,(INPUT!$H$3:$H$1000=$G$2+1)*(INPUT!$I$3:$I$1000="M")*(INPUT!$J$3:$J$1000="RUBIO"),0)),"")</f>
        <v/>
      </c>
      <c r="F22" s="82" t="str" cm="1">
        <f t="array" ref="F22">IFERROR(INDEX(INPUT!$K$3:$K$1000,MATCH(1,(INPUT!$H$3:$H$1000=$G$2+1)*(INPUT!$I$3:$I$1000="T")*(INPUT!$J$3:$J$1000="RUBIO"),0)),"")</f>
        <v/>
      </c>
      <c r="G22" s="82" t="str" cm="1">
        <f t="array" ref="G22">IFERROR(INDEX(INPUT!$K$3:$K$1000,MATCH(1,(INPUT!$H$3:$H$1000=$G$2+2)*(INPUT!$I$3:$I$1000="M")*(INPUT!$J$3:$J$1000="RUBIO"),0)),"")</f>
        <v/>
      </c>
      <c r="H22" s="101" cm="1">
        <f t="array" ref="H22">IFERROR(INDEX(INPUT!$K$3:$K$1000,MATCH(1,(INPUT!$H$3:$H$1000=$G$2+2)*(INPUT!$I$3:$I$1000="T")*(INPUT!$J$3:$J$1000="RUBIO"),0)),"")</f>
        <v>10</v>
      </c>
      <c r="I22" s="82" t="str" cm="1">
        <f t="array" ref="I22">IFERROR(INDEX(INPUT!$K$3:$K$1000,MATCH(1,(INPUT!$H$3:$H$1000=$G$2+3)*(INPUT!$I$3:$I$1000="M")*(INPUT!$J$3:$J$1000="RUBIO"),0)),"")</f>
        <v/>
      </c>
      <c r="J22" s="101" cm="1">
        <f t="array" ref="J22">IFERROR(INDEX(INPUT!$K$3:$K$1000,MATCH(1,(INPUT!$H$3:$H$1000=$G$2+3)*(INPUT!$I$3:$I$1000="T")*(INPUT!$J$3:$J$1000="RUBIO"),0)),"")</f>
        <v>9</v>
      </c>
      <c r="K22" s="82" t="str" cm="1">
        <f t="array" ref="K22">IFERROR(INDEX(INPUT!$K$3:$K$1000,MATCH(1,(INPUT!$H$3:$H$1000=$G$2+4)*(INPUT!$I$3:$I$1000="M")*(INPUT!$J$3:$J$1000="RUBIO"),0)),"")</f>
        <v/>
      </c>
      <c r="L22" s="101" cm="1">
        <f t="array" ref="L22">IFERROR(INDEX(INPUT!$K$3:$K$1000,MATCH(1,(INPUT!$H$3:$H$1000=$G$2+4)*(INPUT!$I$3:$I$1000="T")*(INPUT!$J$3:$J$1000="RUBIO"),0)),"")</f>
        <v>10</v>
      </c>
      <c r="M22" s="82" t="str" cm="1">
        <f t="array" ref="M22">IFERROR(INDEX(INPUT!$K$3:$K$1000,MATCH(1,(INPUT!$H$3:$H$1000=$G$2+5)*(INPUT!$I$3:$I$1000="M")*(INPUT!$J$3:$J$1000="RUBIO"),0)),"")</f>
        <v/>
      </c>
      <c r="N22" s="82" t="str" cm="1">
        <f t="array" ref="N22">IFERROR(INDEX(INPUT!$K$3:$K$1000,MATCH(1,(INPUT!$H$3:$H$1000=$G$2+5)*(INPUT!$I$3:$I$1000="T")*(INPUT!$J$3:$J$1000="RUBIO"),0)),"")</f>
        <v/>
      </c>
      <c r="O22" s="82" t="str" cm="1">
        <f t="array" ref="O22">IFERROR(INDEX(INPUT!$K$3:$K$1000,MATCH(1,(INPUT!$H$3:$H$1000=$G$2+6)*(INPUT!$I$3:$I$1000="M")*(INPUT!$J$3:$J$1000="RUBIO"),0)),"")</f>
        <v/>
      </c>
      <c r="P22" s="82" t="str" cm="1">
        <f t="array" ref="P22">IFERROR(INDEX(INPUT!$K$3:$K$1000,MATCH(1,(INPUT!$H$3:$H$1000=$G$2+6)*(INPUT!$I$3:$I$1000="T")*(INPUT!$J$3:$J$1000="RUBIO"),0)),"")</f>
        <v/>
      </c>
      <c r="Q22" s="94" cm="1">
        <f t="array" ref="Q22">SUMPRODUCT(IFERROR(VALUE(C22:P22),0)*IFERROR(VALUE(C$6:P$6),0))</f>
        <v>4950</v>
      </c>
      <c r="R22" s="102" cm="1">
        <f t="array" ref="R22">IFERROR(AVERAGE(IF(ISNUMBER(C22:P22),C22:P22)),"")</f>
        <v>9.6666666666666661</v>
      </c>
    </row>
    <row r="23" spans="1:18" x14ac:dyDescent="0.2">
      <c r="A23" s="97">
        <v>17</v>
      </c>
      <c r="B23" s="79" t="s">
        <v>57</v>
      </c>
      <c r="C23" s="80" t="str" cm="1">
        <f t="array" ref="C23">IFERROR(INDEX(INPUT!$K$3:$K$1000,MATCH(1,(INPUT!$H$3:$H$1000=$G$2+0)*(INPUT!$I$3:$I$1000="M")*(INPUT!$J$3:$J$1000="DANI"),0)),"")</f>
        <v/>
      </c>
      <c r="D23" s="80" t="str" cm="1">
        <f t="array" ref="D23">IFERROR(INDEX(INPUT!$K$3:$K$1000,MATCH(1,(INPUT!$H$3:$H$1000=$G$2+0)*(INPUT!$I$3:$I$1000="T")*(INPUT!$J$3:$J$1000="DANI"),0)),"")</f>
        <v/>
      </c>
      <c r="E23" s="80" t="str" cm="1">
        <f t="array" ref="E23">IFERROR(INDEX(INPUT!$K$3:$K$1000,MATCH(1,(INPUT!$H$3:$H$1000=$G$2+1)*(INPUT!$I$3:$I$1000="M")*(INPUT!$J$3:$J$1000="DANI"),0)),"")</f>
        <v/>
      </c>
      <c r="F23" s="80" t="str" cm="1">
        <f t="array" ref="F23">IFERROR(INDEX(INPUT!$K$3:$K$1000,MATCH(1,(INPUT!$H$3:$H$1000=$G$2+1)*(INPUT!$I$3:$I$1000="T")*(INPUT!$J$3:$J$1000="DANI"),0)),"")</f>
        <v/>
      </c>
      <c r="G23" s="80" t="str" cm="1">
        <f t="array" ref="G23">IFERROR(INDEX(INPUT!$K$3:$K$1000,MATCH(1,(INPUT!$H$3:$H$1000=$G$2+2)*(INPUT!$I$3:$I$1000="M")*(INPUT!$J$3:$J$1000="DANI"),0)),"")</f>
        <v/>
      </c>
      <c r="H23" s="98" cm="1">
        <f t="array" ref="H23">IFERROR(INDEX(INPUT!$K$3:$K$1000,MATCH(1,(INPUT!$H$3:$H$1000=$G$2+2)*(INPUT!$I$3:$I$1000="T")*(INPUT!$J$3:$J$1000="DANI"),0)),"")</f>
        <v>10</v>
      </c>
      <c r="I23" s="80" t="str" cm="1">
        <f t="array" ref="I23">IFERROR(INDEX(INPUT!$K$3:$K$1000,MATCH(1,(INPUT!$H$3:$H$1000=$G$2+3)*(INPUT!$I$3:$I$1000="M")*(INPUT!$J$3:$J$1000="DANI"),0)),"")</f>
        <v/>
      </c>
      <c r="J23" s="98" cm="1">
        <f t="array" ref="J23">IFERROR(INDEX(INPUT!$K$3:$K$1000,MATCH(1,(INPUT!$H$3:$H$1000=$G$2+3)*(INPUT!$I$3:$I$1000="T")*(INPUT!$J$3:$J$1000="DANI"),0)),"")</f>
        <v>8</v>
      </c>
      <c r="K23" s="80" t="str" cm="1">
        <f t="array" ref="K23">IFERROR(INDEX(INPUT!$K$3:$K$1000,MATCH(1,(INPUT!$H$3:$H$1000=$G$2+4)*(INPUT!$I$3:$I$1000="M")*(INPUT!$J$3:$J$1000="DANI"),0)),"")</f>
        <v/>
      </c>
      <c r="L23" s="98" cm="1">
        <f t="array" ref="L23">IFERROR(INDEX(INPUT!$K$3:$K$1000,MATCH(1,(INPUT!$H$3:$H$1000=$G$2+4)*(INPUT!$I$3:$I$1000="T")*(INPUT!$J$3:$J$1000="DANI"),0)),"")</f>
        <v>10</v>
      </c>
      <c r="M23" s="80" t="str" cm="1">
        <f t="array" ref="M23">IFERROR(INDEX(INPUT!$K$3:$K$1000,MATCH(1,(INPUT!$H$3:$H$1000=$G$2+5)*(INPUT!$I$3:$I$1000="M")*(INPUT!$J$3:$J$1000="DANI"),0)),"")</f>
        <v/>
      </c>
      <c r="N23" s="80" t="str" cm="1">
        <f t="array" ref="N23">IFERROR(INDEX(INPUT!$K$3:$K$1000,MATCH(1,(INPUT!$H$3:$H$1000=$G$2+5)*(INPUT!$I$3:$I$1000="T")*(INPUT!$J$3:$J$1000="DANI"),0)),"")</f>
        <v/>
      </c>
      <c r="O23" s="80" t="str" cm="1">
        <f t="array" ref="O23">IFERROR(INDEX(INPUT!$K$3:$K$1000,MATCH(1,(INPUT!$H$3:$H$1000=$G$2+6)*(INPUT!$I$3:$I$1000="M")*(INPUT!$J$3:$J$1000="DANI"),0)),"")</f>
        <v/>
      </c>
      <c r="P23" s="80" t="str" cm="1">
        <f t="array" ref="P23">IFERROR(INDEX(INPUT!$K$3:$K$1000,MATCH(1,(INPUT!$H$3:$H$1000=$G$2+6)*(INPUT!$I$3:$I$1000="T")*(INPUT!$J$3:$J$1000="DANI"),0)),"")</f>
        <v/>
      </c>
      <c r="Q23" s="93" cm="1">
        <f t="array" ref="Q23">SUMPRODUCT(IFERROR(VALUE(C23:P23),0)*IFERROR(VALUE(C$6:P$6),0))</f>
        <v>4800</v>
      </c>
      <c r="R23" s="103" cm="1">
        <f t="array" ref="R23">IFERROR(AVERAGE(IF(ISNUMBER(C23:P23),C23:P23)),"")</f>
        <v>9.3333333333333339</v>
      </c>
    </row>
    <row r="24" spans="1:18" x14ac:dyDescent="0.2">
      <c r="A24" s="100">
        <v>18</v>
      </c>
      <c r="B24" s="81" t="s">
        <v>58</v>
      </c>
      <c r="C24" s="82" t="str" cm="1">
        <f t="array" ref="C24">IFERROR(INDEX(INPUT!$K$3:$K$1000,MATCH(1,(INPUT!$H$3:$H$1000=$G$2+0)*(INPUT!$I$3:$I$1000="M")*(INPUT!$J$3:$J$1000="JAIME"),0)),"")</f>
        <v/>
      </c>
      <c r="D24" s="82" t="str" cm="1">
        <f t="array" ref="D24">IFERROR(INDEX(INPUT!$K$3:$K$1000,MATCH(1,(INPUT!$H$3:$H$1000=$G$2+0)*(INPUT!$I$3:$I$1000="T")*(INPUT!$J$3:$J$1000="JAIME"),0)),"")</f>
        <v/>
      </c>
      <c r="E24" s="82" t="str" cm="1">
        <f t="array" ref="E24">IFERROR(INDEX(INPUT!$K$3:$K$1000,MATCH(1,(INPUT!$H$3:$H$1000=$G$2+1)*(INPUT!$I$3:$I$1000="M")*(INPUT!$J$3:$J$1000="JAIME"),0)),"")</f>
        <v/>
      </c>
      <c r="F24" s="82" t="str" cm="1">
        <f t="array" ref="F24">IFERROR(INDEX(INPUT!$K$3:$K$1000,MATCH(1,(INPUT!$H$3:$H$1000=$G$2+1)*(INPUT!$I$3:$I$1000="T")*(INPUT!$J$3:$J$1000="JAIME"),0)),"")</f>
        <v/>
      </c>
      <c r="G24" s="82" t="str" cm="1">
        <f t="array" ref="G24">IFERROR(INDEX(INPUT!$K$3:$K$1000,MATCH(1,(INPUT!$H$3:$H$1000=$G$2+2)*(INPUT!$I$3:$I$1000="M")*(INPUT!$J$3:$J$1000="JAIME"),0)),"")</f>
        <v/>
      </c>
      <c r="H24" s="101" cm="1">
        <f t="array" ref="H24">IFERROR(INDEX(INPUT!$K$3:$K$1000,MATCH(1,(INPUT!$H$3:$H$1000=$G$2+2)*(INPUT!$I$3:$I$1000="T")*(INPUT!$J$3:$J$1000="JAIME"),0)),"")</f>
        <v>9</v>
      </c>
      <c r="I24" s="82" t="str" cm="1">
        <f t="array" ref="I24">IFERROR(INDEX(INPUT!$K$3:$K$1000,MATCH(1,(INPUT!$H$3:$H$1000=$G$2+3)*(INPUT!$I$3:$I$1000="M")*(INPUT!$J$3:$J$1000="JAIME"),0)),"")</f>
        <v/>
      </c>
      <c r="J24" s="101" cm="1">
        <f t="array" ref="J24">IFERROR(INDEX(INPUT!$K$3:$K$1000,MATCH(1,(INPUT!$H$3:$H$1000=$G$2+3)*(INPUT!$I$3:$I$1000="T")*(INPUT!$J$3:$J$1000="JAIME"),0)),"")</f>
        <v>9</v>
      </c>
      <c r="K24" s="82" t="str" cm="1">
        <f t="array" ref="K24">IFERROR(INDEX(INPUT!$K$3:$K$1000,MATCH(1,(INPUT!$H$3:$H$1000=$G$2+4)*(INPUT!$I$3:$I$1000="M")*(INPUT!$J$3:$J$1000="JAIME"),0)),"")</f>
        <v/>
      </c>
      <c r="L24" s="101" cm="1">
        <f t="array" ref="L24">IFERROR(INDEX(INPUT!$K$3:$K$1000,MATCH(1,(INPUT!$H$3:$H$1000=$G$2+4)*(INPUT!$I$3:$I$1000="T")*(INPUT!$J$3:$J$1000="JAIME"),0)),"")</f>
        <v>10</v>
      </c>
      <c r="M24" s="82" t="str" cm="1">
        <f t="array" ref="M24">IFERROR(INDEX(INPUT!$K$3:$K$1000,MATCH(1,(INPUT!$H$3:$H$1000=$G$2+5)*(INPUT!$I$3:$I$1000="M")*(INPUT!$J$3:$J$1000="JAIME"),0)),"")</f>
        <v/>
      </c>
      <c r="N24" s="82" t="str" cm="1">
        <f t="array" ref="N24">IFERROR(INDEX(INPUT!$K$3:$K$1000,MATCH(1,(INPUT!$H$3:$H$1000=$G$2+5)*(INPUT!$I$3:$I$1000="T")*(INPUT!$J$3:$J$1000="JAIME"),0)),"")</f>
        <v/>
      </c>
      <c r="O24" s="82" t="str" cm="1">
        <f t="array" ref="O24">IFERROR(INDEX(INPUT!$K$3:$K$1000,MATCH(1,(INPUT!$H$3:$H$1000=$G$2+6)*(INPUT!$I$3:$I$1000="M")*(INPUT!$J$3:$J$1000="JAIME"),0)),"")</f>
        <v/>
      </c>
      <c r="P24" s="82" t="str" cm="1">
        <f t="array" ref="P24">IFERROR(INDEX(INPUT!$K$3:$K$1000,MATCH(1,(INPUT!$H$3:$H$1000=$G$2+6)*(INPUT!$I$3:$I$1000="T")*(INPUT!$J$3:$J$1000="JAIME"),0)),"")</f>
        <v/>
      </c>
      <c r="Q24" s="94" cm="1">
        <f t="array" ref="Q24">SUMPRODUCT(IFERROR(VALUE(C24:P24),0)*IFERROR(VALUE(C$6:P$6),0))</f>
        <v>4770</v>
      </c>
      <c r="R24" s="102" cm="1">
        <f t="array" ref="R24">IFERROR(AVERAGE(IF(ISNUMBER(C24:P24),C24:P24)),"")</f>
        <v>9.3333333333333339</v>
      </c>
    </row>
    <row r="25" spans="1:18" x14ac:dyDescent="0.2">
      <c r="A25" s="97">
        <v>19</v>
      </c>
      <c r="B25" s="79" t="s">
        <v>83</v>
      </c>
      <c r="C25" s="80" t="str" cm="1">
        <f t="array" ref="C25">IFERROR(INDEX(INPUT!$K$3:$K$1000,MATCH(1,(INPUT!$H$3:$H$1000=$G$2+0)*(INPUT!$I$3:$I$1000="M")*(INPUT!$J$3:$J$1000="ANCHU"),0)),"")</f>
        <v/>
      </c>
      <c r="D25" s="80" t="str" cm="1">
        <f t="array" ref="D25">IFERROR(INDEX(INPUT!$K$3:$K$1000,MATCH(1,(INPUT!$H$3:$H$1000=$G$2+0)*(INPUT!$I$3:$I$1000="T")*(INPUT!$J$3:$J$1000="ANCHU"),0)),"")</f>
        <v/>
      </c>
      <c r="E25" s="80" t="str" cm="1">
        <f t="array" ref="E25">IFERROR(INDEX(INPUT!$K$3:$K$1000,MATCH(1,(INPUT!$H$3:$H$1000=$G$2+1)*(INPUT!$I$3:$I$1000="M")*(INPUT!$J$3:$J$1000="ANCHU"),0)),"")</f>
        <v/>
      </c>
      <c r="F25" s="80" t="str" cm="1">
        <f t="array" ref="F25">IFERROR(INDEX(INPUT!$K$3:$K$1000,MATCH(1,(INPUT!$H$3:$H$1000=$G$2+1)*(INPUT!$I$3:$I$1000="T")*(INPUT!$J$3:$J$1000="ANCHU"),0)),"")</f>
        <v/>
      </c>
      <c r="G25" s="80" t="str" cm="1">
        <f t="array" ref="G25">IFERROR(INDEX(INPUT!$K$3:$K$1000,MATCH(1,(INPUT!$H$3:$H$1000=$G$2+2)*(INPUT!$I$3:$I$1000="M")*(INPUT!$J$3:$J$1000="ANCHU"),0)),"")</f>
        <v/>
      </c>
      <c r="H25" s="80" t="str" cm="1">
        <f t="array" ref="H25">IFERROR(INDEX(INPUT!$K$3:$K$1000,MATCH(1,(INPUT!$H$3:$H$1000=$G$2+2)*(INPUT!$I$3:$I$1000="T")*(INPUT!$J$3:$J$1000="ANCHU"),0)),"")</f>
        <v/>
      </c>
      <c r="I25" s="80" t="str" cm="1">
        <f t="array" ref="I25">IFERROR(INDEX(INPUT!$K$3:$K$1000,MATCH(1,(INPUT!$H$3:$H$1000=$G$2+3)*(INPUT!$I$3:$I$1000="M")*(INPUT!$J$3:$J$1000="ANCHU"),0)),"")</f>
        <v/>
      </c>
      <c r="J25" s="80" t="str" cm="1">
        <f t="array" ref="J25">IFERROR(INDEX(INPUT!$K$3:$K$1000,MATCH(1,(INPUT!$H$3:$H$1000=$G$2+3)*(INPUT!$I$3:$I$1000="T")*(INPUT!$J$3:$J$1000="ANCHU"),0)),"")</f>
        <v/>
      </c>
      <c r="K25" s="80" t="str" cm="1">
        <f t="array" ref="K25">IFERROR(INDEX(INPUT!$K$3:$K$1000,MATCH(1,(INPUT!$H$3:$H$1000=$G$2+4)*(INPUT!$I$3:$I$1000="M")*(INPUT!$J$3:$J$1000="ANCHU"),0)),"")</f>
        <v/>
      </c>
      <c r="L25" s="80" t="str" cm="1">
        <f t="array" ref="L25">IFERROR(INDEX(INPUT!$K$3:$K$1000,MATCH(1,(INPUT!$H$3:$H$1000=$G$2+4)*(INPUT!$I$3:$I$1000="T")*(INPUT!$J$3:$J$1000="ANCHU"),0)),"")</f>
        <v/>
      </c>
      <c r="M25" s="80" t="str" cm="1">
        <f t="array" ref="M25">IFERROR(INDEX(INPUT!$K$3:$K$1000,MATCH(1,(INPUT!$H$3:$H$1000=$G$2+5)*(INPUT!$I$3:$I$1000="M")*(INPUT!$J$3:$J$1000="ANCHU"),0)),"")</f>
        <v/>
      </c>
      <c r="N25" s="80" t="str" cm="1">
        <f t="array" ref="N25">IFERROR(INDEX(INPUT!$K$3:$K$1000,MATCH(1,(INPUT!$H$3:$H$1000=$G$2+5)*(INPUT!$I$3:$I$1000="T")*(INPUT!$J$3:$J$1000="ANCHU"),0)),"")</f>
        <v/>
      </c>
      <c r="O25" s="80" t="str" cm="1">
        <f t="array" ref="O25">IFERROR(INDEX(INPUT!$K$3:$K$1000,MATCH(1,(INPUT!$H$3:$H$1000=$G$2+6)*(INPUT!$I$3:$I$1000="M")*(INPUT!$J$3:$J$1000="ANCHU"),0)),"")</f>
        <v/>
      </c>
      <c r="P25" s="80" t="str" cm="1">
        <f t="array" ref="P25">IFERROR(INDEX(INPUT!$K$3:$K$1000,MATCH(1,(INPUT!$H$3:$H$1000=$G$2+6)*(INPUT!$I$3:$I$1000="T")*(INPUT!$J$3:$J$1000="ANCHU"),0)),"")</f>
        <v/>
      </c>
      <c r="Q25" s="105" cm="1">
        <f t="array" ref="Q25">SUMPRODUCT(IFERROR(VALUE(C25:P25),0)*IFERROR(VALUE(C$6:P$6),0))</f>
        <v>0</v>
      </c>
      <c r="R25" s="86" t="str" cm="1">
        <f t="array" ref="R25">IFERROR(AVERAGE(IF(ISNUMBER(C25:P25),C25:P25)),"")</f>
        <v/>
      </c>
    </row>
    <row r="26" spans="1:18" x14ac:dyDescent="0.2">
      <c r="A26" s="100">
        <v>20</v>
      </c>
      <c r="B26" s="81" t="s">
        <v>84</v>
      </c>
      <c r="C26" s="82" t="str" cm="1">
        <f t="array" ref="C26">IFERROR(INDEX(INPUT!$K$3:$K$1000,MATCH(1,(INPUT!$H$3:$H$1000=$G$2+0)*(INPUT!$I$3:$I$1000="M")*(INPUT!$J$3:$J$1000="NACHO"),0)),"")</f>
        <v/>
      </c>
      <c r="D26" s="82" t="str" cm="1">
        <f t="array" ref="D26">IFERROR(INDEX(INPUT!$K$3:$K$1000,MATCH(1,(INPUT!$H$3:$H$1000=$G$2+0)*(INPUT!$I$3:$I$1000="T")*(INPUT!$J$3:$J$1000="NACHO"),0)),"")</f>
        <v/>
      </c>
      <c r="E26" s="82" t="str" cm="1">
        <f t="array" ref="E26">IFERROR(INDEX(INPUT!$K$3:$K$1000,MATCH(1,(INPUT!$H$3:$H$1000=$G$2+1)*(INPUT!$I$3:$I$1000="M")*(INPUT!$J$3:$J$1000="NACHO"),0)),"")</f>
        <v/>
      </c>
      <c r="F26" s="82" t="str" cm="1">
        <f t="array" ref="F26">IFERROR(INDEX(INPUT!$K$3:$K$1000,MATCH(1,(INPUT!$H$3:$H$1000=$G$2+1)*(INPUT!$I$3:$I$1000="T")*(INPUT!$J$3:$J$1000="NACHO"),0)),"")</f>
        <v/>
      </c>
      <c r="G26" s="82" t="str" cm="1">
        <f t="array" ref="G26">IFERROR(INDEX(INPUT!$K$3:$K$1000,MATCH(1,(INPUT!$H$3:$H$1000=$G$2+2)*(INPUT!$I$3:$I$1000="M")*(INPUT!$J$3:$J$1000="NACHO"),0)),"")</f>
        <v/>
      </c>
      <c r="H26" s="82" t="str" cm="1">
        <f t="array" ref="H26">IFERROR(INDEX(INPUT!$K$3:$K$1000,MATCH(1,(INPUT!$H$3:$H$1000=$G$2+2)*(INPUT!$I$3:$I$1000="T")*(INPUT!$J$3:$J$1000="NACHO"),0)),"")</f>
        <v/>
      </c>
      <c r="I26" s="82" t="str" cm="1">
        <f t="array" ref="I26">IFERROR(INDEX(INPUT!$K$3:$K$1000,MATCH(1,(INPUT!$H$3:$H$1000=$G$2+3)*(INPUT!$I$3:$I$1000="M")*(INPUT!$J$3:$J$1000="NACHO"),0)),"")</f>
        <v/>
      </c>
      <c r="J26" s="82" t="str" cm="1">
        <f t="array" ref="J26">IFERROR(INDEX(INPUT!$K$3:$K$1000,MATCH(1,(INPUT!$H$3:$H$1000=$G$2+3)*(INPUT!$I$3:$I$1000="T")*(INPUT!$J$3:$J$1000="NACHO"),0)),"")</f>
        <v/>
      </c>
      <c r="K26" s="82" t="str" cm="1">
        <f t="array" ref="K26">IFERROR(INDEX(INPUT!$K$3:$K$1000,MATCH(1,(INPUT!$H$3:$H$1000=$G$2+4)*(INPUT!$I$3:$I$1000="M")*(INPUT!$J$3:$J$1000="NACHO"),0)),"")</f>
        <v/>
      </c>
      <c r="L26" s="82" t="str" cm="1">
        <f t="array" ref="L26">IFERROR(INDEX(INPUT!$K$3:$K$1000,MATCH(1,(INPUT!$H$3:$H$1000=$G$2+4)*(INPUT!$I$3:$I$1000="T")*(INPUT!$J$3:$J$1000="NACHO"),0)),"")</f>
        <v/>
      </c>
      <c r="M26" s="82" t="str" cm="1">
        <f t="array" ref="M26">IFERROR(INDEX(INPUT!$K$3:$K$1000,MATCH(1,(INPUT!$H$3:$H$1000=$G$2+5)*(INPUT!$I$3:$I$1000="M")*(INPUT!$J$3:$J$1000="NACHO"),0)),"")</f>
        <v/>
      </c>
      <c r="N26" s="82" t="str" cm="1">
        <f t="array" ref="N26">IFERROR(INDEX(INPUT!$K$3:$K$1000,MATCH(1,(INPUT!$H$3:$H$1000=$G$2+5)*(INPUT!$I$3:$I$1000="T")*(INPUT!$J$3:$J$1000="NACHO"),0)),"")</f>
        <v/>
      </c>
      <c r="O26" s="82" t="str" cm="1">
        <f t="array" ref="O26">IFERROR(INDEX(INPUT!$K$3:$K$1000,MATCH(1,(INPUT!$H$3:$H$1000=$G$2+6)*(INPUT!$I$3:$I$1000="M")*(INPUT!$J$3:$J$1000="NACHO"),0)),"")</f>
        <v/>
      </c>
      <c r="P26" s="82" t="str" cm="1">
        <f t="array" ref="P26">IFERROR(INDEX(INPUT!$K$3:$K$1000,MATCH(1,(INPUT!$H$3:$H$1000=$G$2+6)*(INPUT!$I$3:$I$1000="T")*(INPUT!$J$3:$J$1000="NACHO"),0)),"")</f>
        <v/>
      </c>
      <c r="Q26" s="106" cm="1">
        <f t="array" ref="Q26">SUMPRODUCT(IFERROR(VALUE(C26:P26),0)*IFERROR(VALUE(C$6:P$6),0))</f>
        <v>0</v>
      </c>
      <c r="R26" s="87" t="str" cm="1">
        <f t="array" ref="R26">IFERROR(AVERAGE(IF(ISNUMBER(C26:P26),C26:P26)),"")</f>
        <v/>
      </c>
    </row>
    <row r="27" spans="1:18" x14ac:dyDescent="0.2">
      <c r="A27" s="97">
        <v>21</v>
      </c>
      <c r="B27" s="79" t="s">
        <v>85</v>
      </c>
      <c r="C27" s="80" t="str" cm="1">
        <f t="array" ref="C27">IFERROR(INDEX(INPUT!$K$3:$K$1000,MATCH(1,(INPUT!$H$3:$H$1000=$G$2+0)*(INPUT!$I$3:$I$1000="M")*(INPUT!$J$3:$J$1000="J21"),0)),"")</f>
        <v/>
      </c>
      <c r="D27" s="80" t="str" cm="1">
        <f t="array" ref="D27">IFERROR(INDEX(INPUT!$K$3:$K$1000,MATCH(1,(INPUT!$H$3:$H$1000=$G$2+0)*(INPUT!$I$3:$I$1000="T")*(INPUT!$J$3:$J$1000="J21"),0)),"")</f>
        <v/>
      </c>
      <c r="E27" s="80" t="str" cm="1">
        <f t="array" ref="E27">IFERROR(INDEX(INPUT!$K$3:$K$1000,MATCH(1,(INPUT!$H$3:$H$1000=$G$2+1)*(INPUT!$I$3:$I$1000="M")*(INPUT!$J$3:$J$1000="J21"),0)),"")</f>
        <v/>
      </c>
      <c r="F27" s="80" t="str" cm="1">
        <f t="array" ref="F27">IFERROR(INDEX(INPUT!$K$3:$K$1000,MATCH(1,(INPUT!$H$3:$H$1000=$G$2+1)*(INPUT!$I$3:$I$1000="T")*(INPUT!$J$3:$J$1000="J21"),0)),"")</f>
        <v/>
      </c>
      <c r="G27" s="80" t="str" cm="1">
        <f t="array" ref="G27">IFERROR(INDEX(INPUT!$K$3:$K$1000,MATCH(1,(INPUT!$H$3:$H$1000=$G$2+2)*(INPUT!$I$3:$I$1000="M")*(INPUT!$J$3:$J$1000="J21"),0)),"")</f>
        <v/>
      </c>
      <c r="H27" s="80" t="str" cm="1">
        <f t="array" ref="H27">IFERROR(INDEX(INPUT!$K$3:$K$1000,MATCH(1,(INPUT!$H$3:$H$1000=$G$2+2)*(INPUT!$I$3:$I$1000="T")*(INPUT!$J$3:$J$1000="J21"),0)),"")</f>
        <v/>
      </c>
      <c r="I27" s="80" t="str" cm="1">
        <f t="array" ref="I27">IFERROR(INDEX(INPUT!$K$3:$K$1000,MATCH(1,(INPUT!$H$3:$H$1000=$G$2+3)*(INPUT!$I$3:$I$1000="M")*(INPUT!$J$3:$J$1000="J21"),0)),"")</f>
        <v/>
      </c>
      <c r="J27" s="80" t="str" cm="1">
        <f t="array" ref="J27">IFERROR(INDEX(INPUT!$K$3:$K$1000,MATCH(1,(INPUT!$H$3:$H$1000=$G$2+3)*(INPUT!$I$3:$I$1000="T")*(INPUT!$J$3:$J$1000="J21"),0)),"")</f>
        <v/>
      </c>
      <c r="K27" s="80" t="str" cm="1">
        <f t="array" ref="K27">IFERROR(INDEX(INPUT!$K$3:$K$1000,MATCH(1,(INPUT!$H$3:$H$1000=$G$2+4)*(INPUT!$I$3:$I$1000="M")*(INPUT!$J$3:$J$1000="J21"),0)),"")</f>
        <v/>
      </c>
      <c r="L27" s="80" t="str" cm="1">
        <f t="array" ref="L27">IFERROR(INDEX(INPUT!$K$3:$K$1000,MATCH(1,(INPUT!$H$3:$H$1000=$G$2+4)*(INPUT!$I$3:$I$1000="T")*(INPUT!$J$3:$J$1000="J21"),0)),"")</f>
        <v/>
      </c>
      <c r="M27" s="80" t="str" cm="1">
        <f t="array" ref="M27">IFERROR(INDEX(INPUT!$K$3:$K$1000,MATCH(1,(INPUT!$H$3:$H$1000=$G$2+5)*(INPUT!$I$3:$I$1000="M")*(INPUT!$J$3:$J$1000="J21"),0)),"")</f>
        <v/>
      </c>
      <c r="N27" s="80" t="str" cm="1">
        <f t="array" ref="N27">IFERROR(INDEX(INPUT!$K$3:$K$1000,MATCH(1,(INPUT!$H$3:$H$1000=$G$2+5)*(INPUT!$I$3:$I$1000="T")*(INPUT!$J$3:$J$1000="J21"),0)),"")</f>
        <v/>
      </c>
      <c r="O27" s="80" t="str" cm="1">
        <f t="array" ref="O27">IFERROR(INDEX(INPUT!$K$3:$K$1000,MATCH(1,(INPUT!$H$3:$H$1000=$G$2+6)*(INPUT!$I$3:$I$1000="M")*(INPUT!$J$3:$J$1000="J21"),0)),"")</f>
        <v/>
      </c>
      <c r="P27" s="80" t="str" cm="1">
        <f t="array" ref="P27">IFERROR(INDEX(INPUT!$K$3:$K$1000,MATCH(1,(INPUT!$H$3:$H$1000=$G$2+6)*(INPUT!$I$3:$I$1000="T")*(INPUT!$J$3:$J$1000="J21"),0)),"")</f>
        <v/>
      </c>
      <c r="Q27" s="105" cm="1">
        <f t="array" ref="Q27">SUMPRODUCT(IFERROR(VALUE(C27:P27),0)*IFERROR(VALUE(C$6:P$6),0))</f>
        <v>0</v>
      </c>
      <c r="R27" s="86" t="str" cm="1">
        <f t="array" ref="R27">IFERROR(AVERAGE(IF(ISNUMBER(C27:P27),C27:P27)),"")</f>
        <v/>
      </c>
    </row>
    <row r="28" spans="1:18" x14ac:dyDescent="0.2">
      <c r="A28" s="100">
        <v>22</v>
      </c>
      <c r="B28" s="81" t="s">
        <v>86</v>
      </c>
      <c r="C28" s="82" t="str" cm="1">
        <f t="array" ref="C28">IFERROR(INDEX(INPUT!$K$3:$K$1000,MATCH(1,(INPUT!$H$3:$H$1000=$G$2+0)*(INPUT!$I$3:$I$1000="M")*(INPUT!$J$3:$J$1000="J22"),0)),"")</f>
        <v/>
      </c>
      <c r="D28" s="82" t="str" cm="1">
        <f t="array" ref="D28">IFERROR(INDEX(INPUT!$K$3:$K$1000,MATCH(1,(INPUT!$H$3:$H$1000=$G$2+0)*(INPUT!$I$3:$I$1000="T")*(INPUT!$J$3:$J$1000="J22"),0)),"")</f>
        <v/>
      </c>
      <c r="E28" s="82" t="str" cm="1">
        <f t="array" ref="E28">IFERROR(INDEX(INPUT!$K$3:$K$1000,MATCH(1,(INPUT!$H$3:$H$1000=$G$2+1)*(INPUT!$I$3:$I$1000="M")*(INPUT!$J$3:$J$1000="J22"),0)),"")</f>
        <v/>
      </c>
      <c r="F28" s="82" t="str" cm="1">
        <f t="array" ref="F28">IFERROR(INDEX(INPUT!$K$3:$K$1000,MATCH(1,(INPUT!$H$3:$H$1000=$G$2+1)*(INPUT!$I$3:$I$1000="T")*(INPUT!$J$3:$J$1000="J22"),0)),"")</f>
        <v/>
      </c>
      <c r="G28" s="82" t="str" cm="1">
        <f t="array" ref="G28">IFERROR(INDEX(INPUT!$K$3:$K$1000,MATCH(1,(INPUT!$H$3:$H$1000=$G$2+2)*(INPUT!$I$3:$I$1000="M")*(INPUT!$J$3:$J$1000="J22"),0)),"")</f>
        <v/>
      </c>
      <c r="H28" s="82" t="str" cm="1">
        <f t="array" ref="H28">IFERROR(INDEX(INPUT!$K$3:$K$1000,MATCH(1,(INPUT!$H$3:$H$1000=$G$2+2)*(INPUT!$I$3:$I$1000="T")*(INPUT!$J$3:$J$1000="J22"),0)),"")</f>
        <v/>
      </c>
      <c r="I28" s="82" t="str" cm="1">
        <f t="array" ref="I28">IFERROR(INDEX(INPUT!$K$3:$K$1000,MATCH(1,(INPUT!$H$3:$H$1000=$G$2+3)*(INPUT!$I$3:$I$1000="M")*(INPUT!$J$3:$J$1000="J22"),0)),"")</f>
        <v/>
      </c>
      <c r="J28" s="82" t="str" cm="1">
        <f t="array" ref="J28">IFERROR(INDEX(INPUT!$K$3:$K$1000,MATCH(1,(INPUT!$H$3:$H$1000=$G$2+3)*(INPUT!$I$3:$I$1000="T")*(INPUT!$J$3:$J$1000="J22"),0)),"")</f>
        <v/>
      </c>
      <c r="K28" s="82" t="str" cm="1">
        <f t="array" ref="K28">IFERROR(INDEX(INPUT!$K$3:$K$1000,MATCH(1,(INPUT!$H$3:$H$1000=$G$2+4)*(INPUT!$I$3:$I$1000="M")*(INPUT!$J$3:$J$1000="J22"),0)),"")</f>
        <v/>
      </c>
      <c r="L28" s="82" t="str" cm="1">
        <f t="array" ref="L28">IFERROR(INDEX(INPUT!$K$3:$K$1000,MATCH(1,(INPUT!$H$3:$H$1000=$G$2+4)*(INPUT!$I$3:$I$1000="T")*(INPUT!$J$3:$J$1000="J22"),0)),"")</f>
        <v/>
      </c>
      <c r="M28" s="82" t="str" cm="1">
        <f t="array" ref="M28">IFERROR(INDEX(INPUT!$K$3:$K$1000,MATCH(1,(INPUT!$H$3:$H$1000=$G$2+5)*(INPUT!$I$3:$I$1000="M")*(INPUT!$J$3:$J$1000="J22"),0)),"")</f>
        <v/>
      </c>
      <c r="N28" s="82" t="str" cm="1">
        <f t="array" ref="N28">IFERROR(INDEX(INPUT!$K$3:$K$1000,MATCH(1,(INPUT!$H$3:$H$1000=$G$2+5)*(INPUT!$I$3:$I$1000="T")*(INPUT!$J$3:$J$1000="J22"),0)),"")</f>
        <v/>
      </c>
      <c r="O28" s="82" t="str" cm="1">
        <f t="array" ref="O28">IFERROR(INDEX(INPUT!$K$3:$K$1000,MATCH(1,(INPUT!$H$3:$H$1000=$G$2+6)*(INPUT!$I$3:$I$1000="M")*(INPUT!$J$3:$J$1000="J22"),0)),"")</f>
        <v/>
      </c>
      <c r="P28" s="82" t="str" cm="1">
        <f t="array" ref="P28">IFERROR(INDEX(INPUT!$K$3:$K$1000,MATCH(1,(INPUT!$H$3:$H$1000=$G$2+6)*(INPUT!$I$3:$I$1000="T")*(INPUT!$J$3:$J$1000="J22"),0)),"")</f>
        <v/>
      </c>
      <c r="Q28" s="106" cm="1">
        <f t="array" ref="Q28">SUMPRODUCT(IFERROR(VALUE(C28:P28),0)*IFERROR(VALUE(C$6:P$6),0))</f>
        <v>0</v>
      </c>
      <c r="R28" s="87" t="str" cm="1">
        <f t="array" ref="R28">IFERROR(AVERAGE(IF(ISNUMBER(C28:P28),C28:P28)),"")</f>
        <v/>
      </c>
    </row>
    <row r="29" spans="1:18" x14ac:dyDescent="0.2">
      <c r="A29" s="97">
        <v>23</v>
      </c>
      <c r="B29" s="79" t="s">
        <v>87</v>
      </c>
      <c r="C29" s="80" t="str" cm="1">
        <f t="array" ref="C29">IFERROR(INDEX(INPUT!$K$3:$K$1000,MATCH(1,(INPUT!$H$3:$H$1000=$G$2+0)*(INPUT!$I$3:$I$1000="M")*(INPUT!$J$3:$J$1000="J23"),0)),"")</f>
        <v/>
      </c>
      <c r="D29" s="80" t="str" cm="1">
        <f t="array" ref="D29">IFERROR(INDEX(INPUT!$K$3:$K$1000,MATCH(1,(INPUT!$H$3:$H$1000=$G$2+0)*(INPUT!$I$3:$I$1000="T")*(INPUT!$J$3:$J$1000="J23"),0)),"")</f>
        <v/>
      </c>
      <c r="E29" s="80" t="str" cm="1">
        <f t="array" ref="E29">IFERROR(INDEX(INPUT!$K$3:$K$1000,MATCH(1,(INPUT!$H$3:$H$1000=$G$2+1)*(INPUT!$I$3:$I$1000="M")*(INPUT!$J$3:$J$1000="J23"),0)),"")</f>
        <v/>
      </c>
      <c r="F29" s="80" t="str" cm="1">
        <f t="array" ref="F29">IFERROR(INDEX(INPUT!$K$3:$K$1000,MATCH(1,(INPUT!$H$3:$H$1000=$G$2+1)*(INPUT!$I$3:$I$1000="T")*(INPUT!$J$3:$J$1000="J23"),0)),"")</f>
        <v/>
      </c>
      <c r="G29" s="80" t="str" cm="1">
        <f t="array" ref="G29">IFERROR(INDEX(INPUT!$K$3:$K$1000,MATCH(1,(INPUT!$H$3:$H$1000=$G$2+2)*(INPUT!$I$3:$I$1000="M")*(INPUT!$J$3:$J$1000="J23"),0)),"")</f>
        <v/>
      </c>
      <c r="H29" s="80" t="str" cm="1">
        <f t="array" ref="H29">IFERROR(INDEX(INPUT!$K$3:$K$1000,MATCH(1,(INPUT!$H$3:$H$1000=$G$2+2)*(INPUT!$I$3:$I$1000="T")*(INPUT!$J$3:$J$1000="J23"),0)),"")</f>
        <v/>
      </c>
      <c r="I29" s="80" t="str" cm="1">
        <f t="array" ref="I29">IFERROR(INDEX(INPUT!$K$3:$K$1000,MATCH(1,(INPUT!$H$3:$H$1000=$G$2+3)*(INPUT!$I$3:$I$1000="M")*(INPUT!$J$3:$J$1000="J23"),0)),"")</f>
        <v/>
      </c>
      <c r="J29" s="80" t="str" cm="1">
        <f t="array" ref="J29">IFERROR(INDEX(INPUT!$K$3:$K$1000,MATCH(1,(INPUT!$H$3:$H$1000=$G$2+3)*(INPUT!$I$3:$I$1000="T")*(INPUT!$J$3:$J$1000="J23"),0)),"")</f>
        <v/>
      </c>
      <c r="K29" s="80" t="str" cm="1">
        <f t="array" ref="K29">IFERROR(INDEX(INPUT!$K$3:$K$1000,MATCH(1,(INPUT!$H$3:$H$1000=$G$2+4)*(INPUT!$I$3:$I$1000="M")*(INPUT!$J$3:$J$1000="J23"),0)),"")</f>
        <v/>
      </c>
      <c r="L29" s="80" t="str" cm="1">
        <f t="array" ref="L29">IFERROR(INDEX(INPUT!$K$3:$K$1000,MATCH(1,(INPUT!$H$3:$H$1000=$G$2+4)*(INPUT!$I$3:$I$1000="T")*(INPUT!$J$3:$J$1000="J23"),0)),"")</f>
        <v/>
      </c>
      <c r="M29" s="80" t="str" cm="1">
        <f t="array" ref="M29">IFERROR(INDEX(INPUT!$K$3:$K$1000,MATCH(1,(INPUT!$H$3:$H$1000=$G$2+5)*(INPUT!$I$3:$I$1000="M")*(INPUT!$J$3:$J$1000="J23"),0)),"")</f>
        <v/>
      </c>
      <c r="N29" s="80" t="str" cm="1">
        <f t="array" ref="N29">IFERROR(INDEX(INPUT!$K$3:$K$1000,MATCH(1,(INPUT!$H$3:$H$1000=$G$2+5)*(INPUT!$I$3:$I$1000="T")*(INPUT!$J$3:$J$1000="J23"),0)),"")</f>
        <v/>
      </c>
      <c r="O29" s="80" t="str" cm="1">
        <f t="array" ref="O29">IFERROR(INDEX(INPUT!$K$3:$K$1000,MATCH(1,(INPUT!$H$3:$H$1000=$G$2+6)*(INPUT!$I$3:$I$1000="M")*(INPUT!$J$3:$J$1000="J23"),0)),"")</f>
        <v/>
      </c>
      <c r="P29" s="80" t="str" cm="1">
        <f t="array" ref="P29">IFERROR(INDEX(INPUT!$K$3:$K$1000,MATCH(1,(INPUT!$H$3:$H$1000=$G$2+6)*(INPUT!$I$3:$I$1000="T")*(INPUT!$J$3:$J$1000="J23"),0)),"")</f>
        <v/>
      </c>
      <c r="Q29" s="105" cm="1">
        <f t="array" ref="Q29">SUMPRODUCT(IFERROR(VALUE(C29:P29),0)*IFERROR(VALUE(C$6:P$6),0))</f>
        <v>0</v>
      </c>
      <c r="R29" s="86" t="str" cm="1">
        <f t="array" ref="R29">IFERROR(AVERAGE(IF(ISNUMBER(C29:P29),C29:P29)),"")</f>
        <v/>
      </c>
    </row>
    <row r="30" spans="1:18" x14ac:dyDescent="0.2">
      <c r="A30" s="100">
        <v>24</v>
      </c>
      <c r="B30" s="81" t="s">
        <v>88</v>
      </c>
      <c r="C30" s="82" t="str" cm="1">
        <f t="array" ref="C30">IFERROR(INDEX(INPUT!$K$3:$K$1000,MATCH(1,(INPUT!$H$3:$H$1000=$G$2+0)*(INPUT!$I$3:$I$1000="M")*(INPUT!$J$3:$J$1000="J24"),0)),"")</f>
        <v/>
      </c>
      <c r="D30" s="82" t="str" cm="1">
        <f t="array" ref="D30">IFERROR(INDEX(INPUT!$K$3:$K$1000,MATCH(1,(INPUT!$H$3:$H$1000=$G$2+0)*(INPUT!$I$3:$I$1000="T")*(INPUT!$J$3:$J$1000="J24"),0)),"")</f>
        <v/>
      </c>
      <c r="E30" s="82" t="str" cm="1">
        <f t="array" ref="E30">IFERROR(INDEX(INPUT!$K$3:$K$1000,MATCH(1,(INPUT!$H$3:$H$1000=$G$2+1)*(INPUT!$I$3:$I$1000="M")*(INPUT!$J$3:$J$1000="J24"),0)),"")</f>
        <v/>
      </c>
      <c r="F30" s="82" t="str" cm="1">
        <f t="array" ref="F30">IFERROR(INDEX(INPUT!$K$3:$K$1000,MATCH(1,(INPUT!$H$3:$H$1000=$G$2+1)*(INPUT!$I$3:$I$1000="T")*(INPUT!$J$3:$J$1000="J24"),0)),"")</f>
        <v/>
      </c>
      <c r="G30" s="82" t="str" cm="1">
        <f t="array" ref="G30">IFERROR(INDEX(INPUT!$K$3:$K$1000,MATCH(1,(INPUT!$H$3:$H$1000=$G$2+2)*(INPUT!$I$3:$I$1000="M")*(INPUT!$J$3:$J$1000="J24"),0)),"")</f>
        <v/>
      </c>
      <c r="H30" s="82" t="str" cm="1">
        <f t="array" ref="H30">IFERROR(INDEX(INPUT!$K$3:$K$1000,MATCH(1,(INPUT!$H$3:$H$1000=$G$2+2)*(INPUT!$I$3:$I$1000="T")*(INPUT!$J$3:$J$1000="J24"),0)),"")</f>
        <v/>
      </c>
      <c r="I30" s="82" t="str" cm="1">
        <f t="array" ref="I30">IFERROR(INDEX(INPUT!$K$3:$K$1000,MATCH(1,(INPUT!$H$3:$H$1000=$G$2+3)*(INPUT!$I$3:$I$1000="M")*(INPUT!$J$3:$J$1000="J24"),0)),"")</f>
        <v/>
      </c>
      <c r="J30" s="82" t="str" cm="1">
        <f t="array" ref="J30">IFERROR(INDEX(INPUT!$K$3:$K$1000,MATCH(1,(INPUT!$H$3:$H$1000=$G$2+3)*(INPUT!$I$3:$I$1000="T")*(INPUT!$J$3:$J$1000="J24"),0)),"")</f>
        <v/>
      </c>
      <c r="K30" s="82" t="str" cm="1">
        <f t="array" ref="K30">IFERROR(INDEX(INPUT!$K$3:$K$1000,MATCH(1,(INPUT!$H$3:$H$1000=$G$2+4)*(INPUT!$I$3:$I$1000="M")*(INPUT!$J$3:$J$1000="J24"),0)),"")</f>
        <v/>
      </c>
      <c r="L30" s="82" t="str" cm="1">
        <f t="array" ref="L30">IFERROR(INDEX(INPUT!$K$3:$K$1000,MATCH(1,(INPUT!$H$3:$H$1000=$G$2+4)*(INPUT!$I$3:$I$1000="T")*(INPUT!$J$3:$J$1000="J24"),0)),"")</f>
        <v/>
      </c>
      <c r="M30" s="82" t="str" cm="1">
        <f t="array" ref="M30">IFERROR(INDEX(INPUT!$K$3:$K$1000,MATCH(1,(INPUT!$H$3:$H$1000=$G$2+5)*(INPUT!$I$3:$I$1000="M")*(INPUT!$J$3:$J$1000="J24"),0)),"")</f>
        <v/>
      </c>
      <c r="N30" s="82" t="str" cm="1">
        <f t="array" ref="N30">IFERROR(INDEX(INPUT!$K$3:$K$1000,MATCH(1,(INPUT!$H$3:$H$1000=$G$2+5)*(INPUT!$I$3:$I$1000="T")*(INPUT!$J$3:$J$1000="J24"),0)),"")</f>
        <v/>
      </c>
      <c r="O30" s="82" t="str" cm="1">
        <f t="array" ref="O30">IFERROR(INDEX(INPUT!$K$3:$K$1000,MATCH(1,(INPUT!$H$3:$H$1000=$G$2+6)*(INPUT!$I$3:$I$1000="M")*(INPUT!$J$3:$J$1000="J24"),0)),"")</f>
        <v/>
      </c>
      <c r="P30" s="82" t="str" cm="1">
        <f t="array" ref="P30">IFERROR(INDEX(INPUT!$K$3:$K$1000,MATCH(1,(INPUT!$H$3:$H$1000=$G$2+6)*(INPUT!$I$3:$I$1000="T")*(INPUT!$J$3:$J$1000="J24"),0)),"")</f>
        <v/>
      </c>
      <c r="Q30" s="106" cm="1">
        <f t="array" ref="Q30">SUMPRODUCT(IFERROR(VALUE(C30:P30),0)*IFERROR(VALUE(C$6:P$6),0))</f>
        <v>0</v>
      </c>
      <c r="R30" s="87" t="str" cm="1">
        <f t="array" ref="R30">IFERROR(AVERAGE(IF(ISNUMBER(C30:P30),C30:P30)),"")</f>
        <v/>
      </c>
    </row>
    <row r="31" spans="1:18" x14ac:dyDescent="0.2">
      <c r="A31" s="107">
        <v>25</v>
      </c>
      <c r="B31" s="83" t="s">
        <v>89</v>
      </c>
      <c r="C31" s="84" t="str" cm="1">
        <f t="array" ref="C31">IFERROR(INDEX(INPUT!$K$3:$K$1000,MATCH(1,(INPUT!$H$3:$H$1000=$G$2+0)*(INPUT!$I$3:$I$1000="M")*(INPUT!$J$3:$J$1000="J25"),0)),"")</f>
        <v/>
      </c>
      <c r="D31" s="84" t="str" cm="1">
        <f t="array" ref="D31">IFERROR(INDEX(INPUT!$K$3:$K$1000,MATCH(1,(INPUT!$H$3:$H$1000=$G$2+0)*(INPUT!$I$3:$I$1000="T")*(INPUT!$J$3:$J$1000="J25"),0)),"")</f>
        <v/>
      </c>
      <c r="E31" s="84" t="str" cm="1">
        <f t="array" ref="E31">IFERROR(INDEX(INPUT!$K$3:$K$1000,MATCH(1,(INPUT!$H$3:$H$1000=$G$2+1)*(INPUT!$I$3:$I$1000="M")*(INPUT!$J$3:$J$1000="J25"),0)),"")</f>
        <v/>
      </c>
      <c r="F31" s="84" t="str" cm="1">
        <f t="array" ref="F31">IFERROR(INDEX(INPUT!$K$3:$K$1000,MATCH(1,(INPUT!$H$3:$H$1000=$G$2+1)*(INPUT!$I$3:$I$1000="T")*(INPUT!$J$3:$J$1000="J25"),0)),"")</f>
        <v/>
      </c>
      <c r="G31" s="84" t="str" cm="1">
        <f t="array" ref="G31">IFERROR(INDEX(INPUT!$K$3:$K$1000,MATCH(1,(INPUT!$H$3:$H$1000=$G$2+2)*(INPUT!$I$3:$I$1000="M")*(INPUT!$J$3:$J$1000="J25"),0)),"")</f>
        <v/>
      </c>
      <c r="H31" s="84" t="str" cm="1">
        <f t="array" ref="H31">IFERROR(INDEX(INPUT!$K$3:$K$1000,MATCH(1,(INPUT!$H$3:$H$1000=$G$2+2)*(INPUT!$I$3:$I$1000="T")*(INPUT!$J$3:$J$1000="J25"),0)),"")</f>
        <v/>
      </c>
      <c r="I31" s="84" t="str" cm="1">
        <f t="array" ref="I31">IFERROR(INDEX(INPUT!$K$3:$K$1000,MATCH(1,(INPUT!$H$3:$H$1000=$G$2+3)*(INPUT!$I$3:$I$1000="M")*(INPUT!$J$3:$J$1000="J25"),0)),"")</f>
        <v/>
      </c>
      <c r="J31" s="84" t="str" cm="1">
        <f t="array" ref="J31">IFERROR(INDEX(INPUT!$K$3:$K$1000,MATCH(1,(INPUT!$H$3:$H$1000=$G$2+3)*(INPUT!$I$3:$I$1000="T")*(INPUT!$J$3:$J$1000="J25"),0)),"")</f>
        <v/>
      </c>
      <c r="K31" s="84" t="str" cm="1">
        <f t="array" ref="K31">IFERROR(INDEX(INPUT!$K$3:$K$1000,MATCH(1,(INPUT!$H$3:$H$1000=$G$2+4)*(INPUT!$I$3:$I$1000="M")*(INPUT!$J$3:$J$1000="J25"),0)),"")</f>
        <v/>
      </c>
      <c r="L31" s="84" t="str" cm="1">
        <f t="array" ref="L31">IFERROR(INDEX(INPUT!$K$3:$K$1000,MATCH(1,(INPUT!$H$3:$H$1000=$G$2+4)*(INPUT!$I$3:$I$1000="T")*(INPUT!$J$3:$J$1000="J25"),0)),"")</f>
        <v/>
      </c>
      <c r="M31" s="84" t="str" cm="1">
        <f t="array" ref="M31">IFERROR(INDEX(INPUT!$K$3:$K$1000,MATCH(1,(INPUT!$H$3:$H$1000=$G$2+5)*(INPUT!$I$3:$I$1000="M")*(INPUT!$J$3:$J$1000="J25"),0)),"")</f>
        <v/>
      </c>
      <c r="N31" s="84" t="str" cm="1">
        <f t="array" ref="N31">IFERROR(INDEX(INPUT!$K$3:$K$1000,MATCH(1,(INPUT!$H$3:$H$1000=$G$2+5)*(INPUT!$I$3:$I$1000="T")*(INPUT!$J$3:$J$1000="J25"),0)),"")</f>
        <v/>
      </c>
      <c r="O31" s="84" t="str" cm="1">
        <f t="array" ref="O31">IFERROR(INDEX(INPUT!$K$3:$K$1000,MATCH(1,(INPUT!$H$3:$H$1000=$G$2+6)*(INPUT!$I$3:$I$1000="M")*(INPUT!$J$3:$J$1000="J25"),0)),"")</f>
        <v/>
      </c>
      <c r="P31" s="84" t="str" cm="1">
        <f t="array" ref="P31">IFERROR(INDEX(INPUT!$K$3:$K$1000,MATCH(1,(INPUT!$H$3:$H$1000=$G$2+6)*(INPUT!$I$3:$I$1000="T")*(INPUT!$J$3:$J$1000="J25"),0)),"")</f>
        <v/>
      </c>
      <c r="Q31" s="108" cm="1">
        <f t="array" ref="Q31">SUMPRODUCT(IFERROR(VALUE(C31:P31),0)*IFERROR(VALUE(C$6:P$6),0))</f>
        <v>0</v>
      </c>
      <c r="R31" s="88" t="str" cm="1">
        <f t="array" ref="R31">IFERROR(AVERAGE(IF(ISNUMBER(C31:P31),C31:P31)),"")</f>
        <v/>
      </c>
    </row>
    <row r="32" spans="1:18" x14ac:dyDescent="0.2">
      <c r="Q32" s="90"/>
    </row>
    <row r="33" spans="1:18" x14ac:dyDescent="0.2">
      <c r="A33" s="234" t="s">
        <v>95</v>
      </c>
      <c r="B33" s="223"/>
      <c r="C33" s="109">
        <f t="shared" ref="C33:P33" si="0">COUNT(C7:C31)</f>
        <v>0</v>
      </c>
      <c r="D33" s="109">
        <f t="shared" si="0"/>
        <v>0</v>
      </c>
      <c r="E33" s="109">
        <f t="shared" si="0"/>
        <v>0</v>
      </c>
      <c r="F33" s="109">
        <f t="shared" si="0"/>
        <v>0</v>
      </c>
      <c r="G33" s="109">
        <f t="shared" si="0"/>
        <v>0</v>
      </c>
      <c r="H33" s="109">
        <f t="shared" si="0"/>
        <v>17</v>
      </c>
      <c r="I33" s="109">
        <f t="shared" si="0"/>
        <v>0</v>
      </c>
      <c r="J33" s="109">
        <f t="shared" si="0"/>
        <v>17</v>
      </c>
      <c r="K33" s="109">
        <f t="shared" si="0"/>
        <v>0</v>
      </c>
      <c r="L33" s="109">
        <f t="shared" si="0"/>
        <v>17</v>
      </c>
      <c r="M33" s="109">
        <f t="shared" si="0"/>
        <v>0</v>
      </c>
      <c r="N33" s="109">
        <f t="shared" si="0"/>
        <v>0</v>
      </c>
      <c r="O33" s="109">
        <f t="shared" si="0"/>
        <v>0</v>
      </c>
      <c r="P33" s="109">
        <f t="shared" si="0"/>
        <v>0</v>
      </c>
      <c r="Q33" s="72"/>
      <c r="R33" s="85"/>
    </row>
    <row r="34" spans="1:18" x14ac:dyDescent="0.2">
      <c r="A34" s="234" t="s">
        <v>96</v>
      </c>
      <c r="B34" s="223"/>
      <c r="C34" s="89" t="str">
        <f>IFERROR(AVERAGE(C10:C31),"")</f>
        <v/>
      </c>
      <c r="D34" s="89" t="str">
        <f>IFERROR(AVERAGE(D10:D31),"")</f>
        <v/>
      </c>
      <c r="E34" s="89" t="str">
        <f>IFERROR(AVERAGE(E10:E31),"")</f>
        <v/>
      </c>
      <c r="F34" s="89" t="str">
        <f>IFERROR(AVERAGE(F10:F31),"")</f>
        <v/>
      </c>
      <c r="G34" s="89" t="str">
        <f>IFERROR(AVERAGE(G10:G31),"")</f>
        <v/>
      </c>
      <c r="H34" s="110">
        <f>IFERROR(AVERAGE(H10:H31),"")</f>
        <v>8.7142857142857135</v>
      </c>
      <c r="I34" s="89" t="str">
        <f>IFERROR(AVERAGE(I10:I31),"")</f>
        <v/>
      </c>
      <c r="J34" s="110">
        <f>IFERROR(AVERAGE(J10:J31),"")</f>
        <v>8.9285714285714288</v>
      </c>
      <c r="K34" s="89" t="str">
        <f>IFERROR(AVERAGE(K10:K31),"")</f>
        <v/>
      </c>
      <c r="L34" s="110">
        <f>IFERROR(AVERAGE(L10:L31),"")</f>
        <v>9.8571428571428577</v>
      </c>
      <c r="M34" s="89" t="str">
        <f>IFERROR(AVERAGE(M10:M31),"")</f>
        <v/>
      </c>
      <c r="N34" s="89" t="str">
        <f>IFERROR(AVERAGE(N10:N31),"")</f>
        <v/>
      </c>
      <c r="O34" s="89" t="str">
        <f>IFERROR(AVERAGE(O10:O31),"")</f>
        <v/>
      </c>
      <c r="P34" s="89" t="str">
        <f>IFERROR(AVERAGE(P10:P31),"")</f>
        <v/>
      </c>
      <c r="Q34" s="72"/>
      <c r="R34" s="85"/>
    </row>
    <row r="35" spans="1:18" x14ac:dyDescent="0.2">
      <c r="A35" s="235" t="s">
        <v>97</v>
      </c>
      <c r="B35" s="223"/>
      <c r="C35" s="71" t="str">
        <f t="shared" ref="C35:P35" si="1">IFERROR(IF(C34="","",C34*C$6),"")</f>
        <v/>
      </c>
      <c r="D35" s="71" t="str">
        <f t="shared" si="1"/>
        <v/>
      </c>
      <c r="E35" s="71" t="str">
        <f t="shared" si="1"/>
        <v/>
      </c>
      <c r="F35" s="71" t="str">
        <f t="shared" si="1"/>
        <v/>
      </c>
      <c r="G35" s="71" t="str">
        <f t="shared" si="1"/>
        <v/>
      </c>
      <c r="H35" s="111">
        <f t="shared" si="1"/>
        <v>1568.5714285714284</v>
      </c>
      <c r="I35" s="71" t="str">
        <f t="shared" si="1"/>
        <v/>
      </c>
      <c r="J35" s="111">
        <f t="shared" si="1"/>
        <v>1339.2857142857142</v>
      </c>
      <c r="K35" s="71" t="str">
        <f t="shared" si="1"/>
        <v/>
      </c>
      <c r="L35" s="111">
        <f t="shared" si="1"/>
        <v>1774.2857142857144</v>
      </c>
      <c r="M35" s="71" t="str">
        <f t="shared" si="1"/>
        <v/>
      </c>
      <c r="N35" s="71" t="str">
        <f t="shared" si="1"/>
        <v/>
      </c>
      <c r="O35" s="71" t="str">
        <f t="shared" si="1"/>
        <v/>
      </c>
      <c r="P35" s="71" t="str">
        <f t="shared" si="1"/>
        <v/>
      </c>
      <c r="Q35" s="72"/>
      <c r="R35" s="85"/>
    </row>
    <row r="36" spans="1:18" x14ac:dyDescent="0.2">
      <c r="A36" s="240" t="s">
        <v>98</v>
      </c>
      <c r="B36" s="223"/>
      <c r="C36" s="236" t="str">
        <f>IFERROR(IF(AND(C35="",D35=""),"",N(C35)+N(D35)),"")</f>
        <v/>
      </c>
      <c r="D36" s="236"/>
      <c r="E36" s="236" t="str">
        <f>IFERROR(IF(AND(E35="",F35=""),"",N(E35)+N(F35)),"")</f>
        <v/>
      </c>
      <c r="F36" s="236"/>
      <c r="G36" s="241">
        <f>IFERROR(IF(AND(G35="",H35=""),"",N(G35)+N(H35)),"")</f>
        <v>1568.5714285714284</v>
      </c>
      <c r="H36" s="236"/>
      <c r="I36" s="241">
        <f>IFERROR(IF(AND(I35="",J35=""),"",N(I35)+N(J35)),"")</f>
        <v>1339.2857142857142</v>
      </c>
      <c r="J36" s="236"/>
      <c r="K36" s="241">
        <f>IFERROR(IF(AND(K35="",L35=""),"",N(K35)+N(L35)),"")</f>
        <v>1774.2857142857144</v>
      </c>
      <c r="L36" s="236"/>
      <c r="M36" s="236" t="str">
        <f>IFERROR(IF(AND(M35="",N35=""),"",N(M35)+N(N35)),"")</f>
        <v/>
      </c>
      <c r="N36" s="236"/>
      <c r="O36" s="236" t="str">
        <f>IFERROR(IF(AND(O35="",P35=""),"",N(O35)+N(P35)),"")</f>
        <v/>
      </c>
      <c r="P36" s="236"/>
      <c r="Q36" s="72"/>
      <c r="R36" s="85"/>
    </row>
    <row r="37" spans="1:18" x14ac:dyDescent="0.2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72"/>
      <c r="R37" s="85"/>
    </row>
    <row r="38" spans="1:18" x14ac:dyDescent="0.2">
      <c r="A38" s="229" t="s">
        <v>7</v>
      </c>
      <c r="B38" s="229"/>
      <c r="C38" s="237"/>
      <c r="D38" s="238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72"/>
      <c r="R38" s="85"/>
    </row>
    <row r="39" spans="1:18" x14ac:dyDescent="0.2">
      <c r="A39" s="229" t="s">
        <v>99</v>
      </c>
      <c r="B39" s="223"/>
      <c r="C39" s="239">
        <f>IFERROR(AVERAGEIF(C35:P35,"&gt;0"),"")</f>
        <v>1560.7142857142856</v>
      </c>
      <c r="D39" s="226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72"/>
      <c r="R39" s="85"/>
    </row>
    <row r="40" spans="1:18" x14ac:dyDescent="0.2">
      <c r="A40" s="229" t="s">
        <v>8</v>
      </c>
      <c r="B40" s="223"/>
      <c r="C40" s="230">
        <f>IFERROR(STDEV(C35:P35),"")</f>
        <v>217.60641309577372</v>
      </c>
      <c r="D40" s="223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72"/>
      <c r="R40" s="85"/>
    </row>
    <row r="41" spans="1:18" x14ac:dyDescent="0.2">
      <c r="A41" s="222" t="s">
        <v>100</v>
      </c>
      <c r="B41" s="223"/>
      <c r="C41" s="224">
        <f>IFERROR(C39/C40,"")</f>
        <v>7.1721888317113995</v>
      </c>
      <c r="D41" s="223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72"/>
      <c r="R41" s="85"/>
    </row>
    <row r="42" spans="1:18" x14ac:dyDescent="0.2">
      <c r="A42" s="222" t="s">
        <v>101</v>
      </c>
      <c r="B42" s="223"/>
      <c r="C42" s="225">
        <f>IFERROR(C38*C41,"")</f>
        <v>0</v>
      </c>
      <c r="D42" s="226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72"/>
      <c r="R42" s="85"/>
    </row>
    <row r="43" spans="1:18" x14ac:dyDescent="0.2">
      <c r="Q43" s="90"/>
    </row>
    <row r="44" spans="1:18" x14ac:dyDescent="0.2">
      <c r="Q44" s="90"/>
    </row>
    <row r="45" spans="1:18" x14ac:dyDescent="0.2">
      <c r="Q45" s="90"/>
    </row>
    <row r="46" spans="1:18" x14ac:dyDescent="0.2">
      <c r="Q46" s="90"/>
    </row>
    <row r="47" spans="1:18" x14ac:dyDescent="0.2">
      <c r="Q47" s="90"/>
    </row>
    <row r="48" spans="1:18" x14ac:dyDescent="0.2">
      <c r="Q48" s="90"/>
    </row>
    <row r="49" spans="17:17" x14ac:dyDescent="0.2">
      <c r="Q49" s="90"/>
    </row>
    <row r="50" spans="17:17" x14ac:dyDescent="0.2">
      <c r="Q50" s="90"/>
    </row>
    <row r="51" spans="17:17" x14ac:dyDescent="0.2">
      <c r="Q51" s="90"/>
    </row>
    <row r="52" spans="17:17" x14ac:dyDescent="0.2">
      <c r="Q52" s="90"/>
    </row>
    <row r="53" spans="17:17" x14ac:dyDescent="0.2">
      <c r="Q53" s="90"/>
    </row>
    <row r="54" spans="17:17" x14ac:dyDescent="0.2">
      <c r="Q54" s="90"/>
    </row>
    <row r="55" spans="17:17" x14ac:dyDescent="0.2">
      <c r="Q55" s="90"/>
    </row>
    <row r="56" spans="17:17" x14ac:dyDescent="0.2">
      <c r="Q56" s="90"/>
    </row>
    <row r="57" spans="17:17" x14ac:dyDescent="0.2">
      <c r="Q57" s="90"/>
    </row>
    <row r="58" spans="17:17" x14ac:dyDescent="0.2">
      <c r="Q58" s="90"/>
    </row>
    <row r="59" spans="17:17" x14ac:dyDescent="0.2">
      <c r="Q59" s="90"/>
    </row>
    <row r="60" spans="17:17" x14ac:dyDescent="0.2">
      <c r="Q60" s="90"/>
    </row>
    <row r="61" spans="17:17" x14ac:dyDescent="0.2">
      <c r="Q61" s="90"/>
    </row>
    <row r="62" spans="17:17" x14ac:dyDescent="0.2">
      <c r="Q62" s="90"/>
    </row>
    <row r="63" spans="17:17" x14ac:dyDescent="0.2">
      <c r="Q63" s="90"/>
    </row>
    <row r="64" spans="17:17" x14ac:dyDescent="0.2">
      <c r="Q64" s="90"/>
    </row>
    <row r="65" spans="17:17" x14ac:dyDescent="0.2">
      <c r="Q65" s="90"/>
    </row>
    <row r="66" spans="17:17" x14ac:dyDescent="0.2">
      <c r="Q66" s="90"/>
    </row>
    <row r="67" spans="17:17" x14ac:dyDescent="0.2">
      <c r="Q67" s="90"/>
    </row>
    <row r="68" spans="17:17" x14ac:dyDescent="0.2">
      <c r="Q68" s="90"/>
    </row>
    <row r="69" spans="17:17" x14ac:dyDescent="0.2">
      <c r="Q69" s="90"/>
    </row>
    <row r="70" spans="17:17" x14ac:dyDescent="0.2">
      <c r="Q70" s="90"/>
    </row>
    <row r="71" spans="17:17" x14ac:dyDescent="0.2">
      <c r="Q71" s="90"/>
    </row>
    <row r="72" spans="17:17" x14ac:dyDescent="0.2">
      <c r="Q72" s="90"/>
    </row>
    <row r="73" spans="17:17" x14ac:dyDescent="0.2">
      <c r="Q73" s="90"/>
    </row>
    <row r="74" spans="17:17" x14ac:dyDescent="0.2">
      <c r="Q74" s="90"/>
    </row>
    <row r="75" spans="17:17" x14ac:dyDescent="0.2">
      <c r="Q75" s="90"/>
    </row>
    <row r="76" spans="17:17" x14ac:dyDescent="0.2">
      <c r="Q76" s="90"/>
    </row>
    <row r="77" spans="17:17" x14ac:dyDescent="0.2">
      <c r="Q77" s="90"/>
    </row>
    <row r="78" spans="17:17" x14ac:dyDescent="0.2">
      <c r="Q78" s="90"/>
    </row>
    <row r="79" spans="17:17" x14ac:dyDescent="0.2">
      <c r="Q79" s="90"/>
    </row>
    <row r="80" spans="17:17" x14ac:dyDescent="0.2">
      <c r="Q80" s="90"/>
    </row>
    <row r="81" spans="17:17" x14ac:dyDescent="0.2">
      <c r="Q81" s="90"/>
    </row>
    <row r="82" spans="17:17" x14ac:dyDescent="0.2">
      <c r="Q82" s="90"/>
    </row>
    <row r="83" spans="17:17" x14ac:dyDescent="0.2">
      <c r="Q83" s="90"/>
    </row>
    <row r="84" spans="17:17" x14ac:dyDescent="0.2">
      <c r="Q84" s="90"/>
    </row>
    <row r="85" spans="17:17" x14ac:dyDescent="0.2">
      <c r="Q85" s="90"/>
    </row>
    <row r="86" spans="17:17" x14ac:dyDescent="0.2">
      <c r="Q86" s="90"/>
    </row>
    <row r="87" spans="17:17" x14ac:dyDescent="0.2">
      <c r="Q87" s="90"/>
    </row>
    <row r="88" spans="17:17" x14ac:dyDescent="0.2">
      <c r="Q88" s="90"/>
    </row>
    <row r="89" spans="17:17" x14ac:dyDescent="0.2">
      <c r="Q89" s="90"/>
    </row>
    <row r="90" spans="17:17" x14ac:dyDescent="0.2">
      <c r="Q90" s="90"/>
    </row>
    <row r="91" spans="17:17" x14ac:dyDescent="0.2">
      <c r="Q91" s="90"/>
    </row>
    <row r="92" spans="17:17" x14ac:dyDescent="0.2">
      <c r="Q92" s="90"/>
    </row>
    <row r="93" spans="17:17" x14ac:dyDescent="0.2">
      <c r="Q93" s="90"/>
    </row>
    <row r="94" spans="17:17" x14ac:dyDescent="0.2">
      <c r="Q94" s="90"/>
    </row>
    <row r="95" spans="17:17" x14ac:dyDescent="0.2">
      <c r="Q95" s="90"/>
    </row>
    <row r="96" spans="17:17" x14ac:dyDescent="0.2">
      <c r="Q96" s="90"/>
    </row>
    <row r="97" spans="17:17" x14ac:dyDescent="0.2">
      <c r="Q97" s="90"/>
    </row>
    <row r="98" spans="17:17" x14ac:dyDescent="0.2">
      <c r="Q98" s="90"/>
    </row>
    <row r="99" spans="17:17" x14ac:dyDescent="0.2">
      <c r="Q99" s="90"/>
    </row>
    <row r="100" spans="17:17" x14ac:dyDescent="0.2">
      <c r="Q100" s="90"/>
    </row>
  </sheetData>
  <sheetProtection sheet="1" objects="1" scenarios="1"/>
  <mergeCells count="35">
    <mergeCell ref="M36:N36"/>
    <mergeCell ref="O36:P36"/>
    <mergeCell ref="A38:P38"/>
    <mergeCell ref="A39:B39"/>
    <mergeCell ref="C39:D39"/>
    <mergeCell ref="A36:B36"/>
    <mergeCell ref="C36:D36"/>
    <mergeCell ref="E36:F36"/>
    <mergeCell ref="G36:H36"/>
    <mergeCell ref="I36:J36"/>
    <mergeCell ref="K36:L36"/>
    <mergeCell ref="A41:B41"/>
    <mergeCell ref="C41:D41"/>
    <mergeCell ref="A42:B42"/>
    <mergeCell ref="C42:D42"/>
    <mergeCell ref="E2:F2"/>
    <mergeCell ref="A40:B40"/>
    <mergeCell ref="C40:D40"/>
    <mergeCell ref="A4:B4"/>
    <mergeCell ref="A5:B5"/>
    <mergeCell ref="A6:B6"/>
    <mergeCell ref="A33:B33"/>
    <mergeCell ref="A34:B34"/>
    <mergeCell ref="A35:B35"/>
    <mergeCell ref="A1:R1"/>
    <mergeCell ref="C3:D3"/>
    <mergeCell ref="E3:F3"/>
    <mergeCell ref="G3:H3"/>
    <mergeCell ref="I3:J3"/>
    <mergeCell ref="K3:L3"/>
    <mergeCell ref="M3:N3"/>
    <mergeCell ref="O3:P3"/>
    <mergeCell ref="Q3:R3"/>
    <mergeCell ref="G2:I2"/>
    <mergeCell ref="L2:O2"/>
  </mergeCells>
  <conditionalFormatting sqref="C41:D41">
    <cfRule type="expression" dxfId="48" priority="7">
      <formula>AND(ISNUMBER(C41),C41&gt;2)</formula>
    </cfRule>
    <cfRule type="expression" dxfId="47" priority="8">
      <formula>AND(ISNUMBER(C41),C41&gt;=1.5,C41&lt;=2)</formula>
    </cfRule>
  </conditionalFormatting>
  <conditionalFormatting sqref="C7:P31">
    <cfRule type="expression" dxfId="46" priority="11">
      <formula>AND(C7="",C$5&lt;&gt;"")</formula>
    </cfRule>
    <cfRule type="cellIs" dxfId="45" priority="12" operator="equal">
      <formula>"S"</formula>
    </cfRule>
    <cfRule type="cellIs" dxfId="44" priority="13" operator="equal">
      <formula>"A"</formula>
    </cfRule>
    <cfRule type="cellIs" dxfId="43" priority="14" operator="equal">
      <formula>"L"</formula>
    </cfRule>
    <cfRule type="cellIs" dxfId="42" priority="15" operator="equal">
      <formula>"N"</formula>
    </cfRule>
    <cfRule type="cellIs" dxfId="41" priority="16" operator="equal">
      <formula>"D"</formula>
    </cfRule>
    <cfRule type="cellIs" dxfId="40" priority="17" operator="equal">
      <formula>"NC"</formula>
    </cfRule>
    <cfRule type="colorScale" priority="18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C36:P36">
    <cfRule type="colorScale" priority="6">
      <colorScale>
        <cfvo type="min"/>
        <cfvo type="max"/>
        <color rgb="FFFFFFFF"/>
        <color rgb="FFF57C00"/>
      </colorScale>
    </cfRule>
  </conditionalFormatting>
  <conditionalFormatting sqref="L2">
    <cfRule type="expression" dxfId="39" priority="21">
      <formula>SUM(AG7:AG31)&gt;0</formula>
    </cfRule>
    <cfRule type="expression" dxfId="38" priority="22">
      <formula>SUM(AG7:AG31)=0</formula>
    </cfRule>
  </conditionalFormatting>
  <conditionalFormatting sqref="Q7:Q31">
    <cfRule type="colorScale" priority="9">
      <colorScale>
        <cfvo type="min"/>
        <cfvo type="max"/>
        <color rgb="FFFFFFFF"/>
        <color rgb="FF1976D2"/>
      </colorScale>
    </cfRule>
  </conditionalFormatting>
  <dataValidations count="4">
    <dataValidation type="whole" allowBlank="1" showInputMessage="1" showErrorMessage="1" sqref="B2" xr:uid="{9CB33ADD-9623-4A49-8BA1-726AFD932785}">
      <formula1>1</formula1>
      <formula2>53</formula2>
    </dataValidation>
    <dataValidation type="whole" allowBlank="1" showInputMessage="1" showErrorMessage="1" sqref="D2" xr:uid="{00226CC3-1210-F04C-BA17-F2DFB4DA83E2}">
      <formula1>2020</formula1>
      <formula2>2035</formula2>
    </dataValidation>
    <dataValidation type="list" allowBlank="1" showInputMessage="1" showErrorMessage="1" errorTitle="⚠ Código Borg inválido" error="Valor no permitido._x000a__x000a_Solo se aceptan:_x000a_• 1-10 (escala Borg)_x000a_• S (Selección)_x000a_• A (Ausente)_x000a_• L (Lesionado)_x000a_• N (No juega)_x000a_• D (Descansa)_x000a_• NC (No convocado)" sqref="C7:P31" xr:uid="{FBB40FA7-402F-D84F-BF8B-B509DBFC724B}">
      <formula1>"1,2,3,4,5,6,7,8,9,10,S,A,L,N,D,NC"</formula1>
    </dataValidation>
    <dataValidation type="list" allowBlank="1" showInputMessage="1" showErrorMessage="1" errorTitle="Fecha no válida" error="Selecciona un lunes de la lista." sqref="G2" xr:uid="{B5B45F3A-BFC4-5C40-A04B-D785A79609B9}">
      <formula1>ListaLunes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BD27-BFC8-F14D-9A5C-E69291C9A3F3}">
  <sheetPr>
    <tabColor rgb="FFFFB300"/>
  </sheetPr>
  <dimension ref="A1:X32"/>
  <sheetViews>
    <sheetView topLeftCell="D1" workbookViewId="0">
      <pane ySplit="4" topLeftCell="A11" activePane="bottomLeft" state="frozen"/>
      <selection pane="bottomLeft" activeCell="M34" sqref="M34"/>
    </sheetView>
  </sheetViews>
  <sheetFormatPr baseColWidth="10" defaultRowHeight="16" x14ac:dyDescent="0.2"/>
  <cols>
    <col min="1" max="1" width="8.83203125" bestFit="1" customWidth="1"/>
    <col min="2" max="2" width="16.6640625" customWidth="1"/>
    <col min="3" max="8" width="11.6640625" customWidth="1"/>
    <col min="9" max="9" width="10.83203125" customWidth="1"/>
    <col min="10" max="10" width="11.6640625" customWidth="1"/>
    <col min="11" max="11" width="10.83203125" customWidth="1"/>
    <col min="12" max="12" width="11.6640625" customWidth="1"/>
    <col min="13" max="13" width="10.83203125" customWidth="1"/>
    <col min="14" max="14" width="11.6640625" customWidth="1"/>
    <col min="15" max="15" width="10.83203125" customWidth="1"/>
    <col min="16" max="16" width="11.6640625" customWidth="1"/>
    <col min="17" max="17" width="10.83203125" customWidth="1"/>
    <col min="18" max="18" width="11.6640625" customWidth="1"/>
    <col min="19" max="19" width="10.83203125" customWidth="1"/>
    <col min="20" max="20" width="11.6640625" customWidth="1"/>
    <col min="21" max="21" width="10.83203125" customWidth="1"/>
    <col min="22" max="22" width="15" customWidth="1"/>
    <col min="23" max="23" width="18.33203125" customWidth="1"/>
    <col min="24" max="24" width="255.83203125" bestFit="1" customWidth="1"/>
  </cols>
  <sheetData>
    <row r="1" spans="1:24" ht="26" customHeight="1" x14ac:dyDescent="0.25">
      <c r="A1" s="242" t="s">
        <v>154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</row>
    <row r="2" spans="1:24" x14ac:dyDescent="0.2">
      <c r="A2" s="1" t="s">
        <v>155</v>
      </c>
      <c r="B2" s="127">
        <v>45866</v>
      </c>
      <c r="D2" s="1" t="s">
        <v>156</v>
      </c>
      <c r="E2" s="127">
        <v>46195</v>
      </c>
      <c r="G2" s="243" t="s">
        <v>157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</row>
    <row r="4" spans="1:24" ht="40" customHeight="1" x14ac:dyDescent="0.2">
      <c r="A4" s="14" t="s">
        <v>69</v>
      </c>
      <c r="B4" s="13" t="s">
        <v>76</v>
      </c>
      <c r="C4" s="13" t="s">
        <v>6</v>
      </c>
      <c r="D4" s="13" t="s">
        <v>10</v>
      </c>
      <c r="E4" s="13" t="s">
        <v>3</v>
      </c>
      <c r="F4" s="13" t="s">
        <v>5</v>
      </c>
      <c r="G4" s="13" t="s">
        <v>4</v>
      </c>
      <c r="H4" s="13" t="s">
        <v>146</v>
      </c>
      <c r="I4" s="176" t="s">
        <v>201</v>
      </c>
      <c r="J4" s="13" t="s">
        <v>158</v>
      </c>
      <c r="K4" s="176" t="s">
        <v>200</v>
      </c>
      <c r="L4" s="13" t="s">
        <v>159</v>
      </c>
      <c r="M4" s="176" t="s">
        <v>199</v>
      </c>
      <c r="N4" s="13" t="s">
        <v>160</v>
      </c>
      <c r="O4" s="176" t="s">
        <v>198</v>
      </c>
      <c r="P4" s="13" t="s">
        <v>161</v>
      </c>
      <c r="Q4" s="176" t="s">
        <v>197</v>
      </c>
      <c r="R4" s="13" t="s">
        <v>162</v>
      </c>
      <c r="S4" s="176" t="s">
        <v>196</v>
      </c>
      <c r="T4" s="13" t="s">
        <v>163</v>
      </c>
      <c r="U4" s="172" t="s">
        <v>195</v>
      </c>
      <c r="V4" s="112" t="s">
        <v>11</v>
      </c>
      <c r="W4" s="113" t="s">
        <v>144</v>
      </c>
      <c r="X4" s="113" t="s">
        <v>186</v>
      </c>
    </row>
    <row r="5" spans="1:24" s="121" customFormat="1" ht="24" customHeight="1" x14ac:dyDescent="0.2">
      <c r="A5" s="114">
        <v>1</v>
      </c>
      <c r="B5" s="115" t="s">
        <v>41</v>
      </c>
      <c r="C5" s="116" cm="1">
        <f t="array" ref="C5">SUMPRODUCT((INPUT!$H$3:$H$5000&gt;=$B$2)*(INPUT!$H$3:$H$5000&lt;=$E$2)*(INPUT!$J$3:$J$5000="HERRERO")*ISNUMBER(INPUT!$K$3:$K$5000)*ISNUMBER(SEARCH("GYM",IFERROR(VLOOKUP(INPUT!$H$3:$H$5000&amp;INPUT!$I$3:$I$5000,CHOOSE({1,2},INPUT!$A$3:$A$5000&amp;INPUT!$C$3:$C$5000,INPUT!$D$3:$D$5000),2,FALSE),""))))</f>
        <v>34</v>
      </c>
      <c r="D5" s="116" cm="1">
        <f t="array" ref="D5">SUMPRODUCT((INPUT!$H$3:$H$5000&gt;=$B$2)*(INPUT!$H$3:$H$5000&lt;=$E$2)*(INPUT!$J$3:$J$5000="HERRERO")*ISNUMBER(INPUT!$K$3:$K$5000)*ISNUMBER(SEARCH("FISICO",IFERROR(VLOOKUP(INPUT!$H$3:$H$5000&amp;INPUT!$I$3:$I$5000,CHOOSE({1,2},INPUT!$A$3:$A$5000&amp;INPUT!$C$3:$C$5000,INPUT!$D$3:$D$5000),2,FALSE),""))))</f>
        <v>15</v>
      </c>
      <c r="E5" s="116" cm="1">
        <f t="array" ref="E5">SUMPRODUCT((INPUT!$H$3:$H$5000&gt;=$B$2)*(INPUT!$H$3:$H$5000&lt;=$E$2)*(INPUT!$J$3:$J$5000="HERRERO")*ISNUMBER(INPUT!$K$3:$K$5000)*ISNUMBER(SEARCH("TEC-TAC",IFERROR(VLOOKUP(INPUT!$H$3:$H$5000&amp;INPUT!$I$3:$I$5000,CHOOSE({1,2},INPUT!$A$3:$A$5000&amp;INPUT!$C$3:$C$5000,INPUT!$D$3:$D$5000),2,FALSE),""))))</f>
        <v>136</v>
      </c>
      <c r="F5" s="116" cm="1">
        <f t="array" ref="F5">SUMPRODUCT((INPUT!$H$3:$H$5000&gt;=$B$2)*(INPUT!$H$3:$H$5000&lt;=$E$2)*(INPUT!$J$3:$J$5000="HERRERO")*ISNUMBER(INPUT!$K$3:$K$5000)*ISNUMBER(SEARCH("RECUPERACIÓN",IFERROR(VLOOKUP(INPUT!$H$3:$H$5000&amp;INPUT!$I$3:$I$5000,CHOOSE({1,2},INPUT!$A$3:$A$5000&amp;INPUT!$C$3:$C$5000,INPUT!$D$3:$D$5000),2,FALSE),""))))</f>
        <v>7</v>
      </c>
      <c r="G5" s="116" cm="1">
        <f t="array" ref="G5">SUMPRODUCT((INPUT!$H$3:$H$5000&gt;=$B$2)*(INPUT!$H$3:$H$5000&lt;=$E$2)*(INPUT!$J$3:$J$5000="HERRERO")*ISNUMBER(INPUT!$K$3:$K$5000)*ISNUMBER(SEARCH("PARTIDO",IFERROR(VLOOKUP(INPUT!$H$3:$H$5000&amp;INPUT!$I$3:$I$5000,CHOOSE({1,2},INPUT!$A$3:$A$5000&amp;INPUT!$C$3:$C$5000,INPUT!$D$3:$D$5000),2,FALSE),""))))</f>
        <v>33</v>
      </c>
      <c r="H5" s="117" cm="1">
        <f t="array" ref="H5">SUMPRODUCT((INPUT!$H$3:$H$5000&gt;=$B$2)*(INPUT!$H$3:$H$5000&lt;=$E$2)*(INPUT!$J$3:$J$5000="HERRERO")*ISNUMBER(INPUT!$K$3:$K$5000))</f>
        <v>220</v>
      </c>
      <c r="I5" s="177">
        <f>IFERROR(H5/$V5,0)</f>
        <v>0.90163934426229508</v>
      </c>
      <c r="J5" s="116">
        <f>COUNTIFS(INPUT!$H$3:$H$5000,"&gt;="&amp;$B$2,INPUT!$H$3:$H$5000,"&lt;="&amp;$E$2,INPUT!$J$3:$J$5000,"HERRERO",INPUT!$K$3:$K$5000,"S")</f>
        <v>4</v>
      </c>
      <c r="K5" s="173">
        <f>IFERROR(J5/$V5,0)</f>
        <v>1.6393442622950821E-2</v>
      </c>
      <c r="L5" s="116">
        <f>COUNTIFS(INPUT!$H$3:$H$5000,"&gt;="&amp;$B$2,INPUT!$H$3:$H$5000,"&lt;="&amp;$E$2,INPUT!$J$3:$J$5000,"HERRERO",INPUT!$K$3:$K$5000,"A")</f>
        <v>0</v>
      </c>
      <c r="M5" s="173">
        <f>IFERROR(L5/$V5,0)</f>
        <v>0</v>
      </c>
      <c r="N5" s="116">
        <f>COUNTIFS(INPUT!$H$3:$H$5000,"&gt;="&amp;$B$2,INPUT!$H$3:$H$5000,"&lt;="&amp;$E$2,INPUT!$J$3:$J$5000,"HERRERO",INPUT!$K$3:$K$5000,"L")</f>
        <v>12</v>
      </c>
      <c r="O5" s="173">
        <f>IFERROR(N5/$V5,0)</f>
        <v>4.9180327868852458E-2</v>
      </c>
      <c r="P5" s="116">
        <f>COUNTIFS(INPUT!$H$3:$H$5000,"&gt;="&amp;$B$2,INPUT!$H$3:$H$5000,"&lt;="&amp;$E$2,INPUT!$J$3:$J$5000,"HERRERO",INPUT!$K$3:$K$5000,"N")</f>
        <v>8</v>
      </c>
      <c r="Q5" s="173">
        <f>IFERROR(P5/$V5,0)</f>
        <v>3.2786885245901641E-2</v>
      </c>
      <c r="R5" s="116">
        <f>COUNTIFS(INPUT!$H$3:$H$5000,"&gt;="&amp;$B$2,INPUT!$H$3:$H$5000,"&lt;="&amp;$E$2,INPUT!$J$3:$J$5000,"HERRERO",INPUT!$K$3:$K$5000,"D")</f>
        <v>0</v>
      </c>
      <c r="S5" s="173">
        <f>IFERROR(R5/$V5,0)</f>
        <v>0</v>
      </c>
      <c r="T5" s="116">
        <f>COUNTIFS(INPUT!$H$3:$H$5000,"&gt;="&amp;$B$2,INPUT!$H$3:$H$5000,"&lt;="&amp;$E$2,INPUT!$J$3:$J$5000,"HERRERO",INPUT!$K$3:$K$5000,"NC")</f>
        <v>0</v>
      </c>
      <c r="U5" s="168">
        <f>IFERROR(T5/$V5,0)</f>
        <v>0</v>
      </c>
      <c r="V5" s="118">
        <f t="shared" ref="V5:V29" si="0">H5+J5+L5+N5+P5+R5+T5</f>
        <v>244</v>
      </c>
      <c r="W5" s="119" t="str">
        <f t="shared" ref="W5:W29" si="1">IF($V$31-V5&lt;=0,"✓ OK","⚠ FALTAN "&amp;($V$31-V5))</f>
        <v>✓ OK</v>
      </c>
      <c r="X5" s="120" t="str" cm="1">
        <f t="array" ref="X5">_xlfn.TEXTJOIN(", ",TRUE,IF((INPUT!$A$3:$A$5000&gt;=$B$2)*(INPUT!$A$3:$A$5000&lt;=$E$2)*(INPUT!$A$3:$A$5000&lt;&gt;"")*(COUNTIFS(INPUT!$H$3:$H$5000,INPUT!$A$3:$A$5000,INPUT!$I$3:$I$5000,INPUT!$C$3:$C$5000,INPUT!$J$3:$J$5000,$B5)=0),TEXT(INPUT!$A$3:$A$5000,"dd/mm")&amp;" "&amp;INPUT!$C$3:$C$5000,""))</f>
        <v>20/04 MATINAL, 21/04 MATINAL</v>
      </c>
    </row>
    <row r="6" spans="1:24" s="121" customFormat="1" ht="24" customHeight="1" x14ac:dyDescent="0.2">
      <c r="A6" s="122">
        <v>2</v>
      </c>
      <c r="B6" s="123" t="s">
        <v>42</v>
      </c>
      <c r="C6" s="124" cm="1">
        <f t="array" ref="C6">SUMPRODUCT((INPUT!$H$3:$H$5000&gt;=$B$2)*(INPUT!$H$3:$H$5000&lt;=$E$2)*(INPUT!$J$3:$J$5000="GARCIA")*ISNUMBER(INPUT!$K$3:$K$5000)*ISNUMBER(SEARCH("GYM",IFERROR(VLOOKUP(INPUT!$H$3:$H$5000&amp;INPUT!$I$3:$I$5000,CHOOSE({1,2},INPUT!$A$3:$A$5000&amp;INPUT!$C$3:$C$5000,INPUT!$D$3:$D$5000),2,FALSE),""))))</f>
        <v>41</v>
      </c>
      <c r="D6" s="124" cm="1">
        <f t="array" ref="D6">SUMPRODUCT((INPUT!$H$3:$H$5000&gt;=$B$2)*(INPUT!$H$3:$H$5000&lt;=$E$2)*(INPUT!$J$3:$J$5000="GARCIA")*ISNUMBER(INPUT!$K$3:$K$5000)*ISNUMBER(SEARCH("FISICO",IFERROR(VLOOKUP(INPUT!$H$3:$H$5000&amp;INPUT!$I$3:$I$5000,CHOOSE({1,2},INPUT!$A$3:$A$5000&amp;INPUT!$C$3:$C$5000,INPUT!$D$3:$D$5000),2,FALSE),""))))</f>
        <v>15</v>
      </c>
      <c r="E6" s="124" cm="1">
        <f t="array" ref="E6">SUMPRODUCT((INPUT!$H$3:$H$5000&gt;=$B$2)*(INPUT!$H$3:$H$5000&lt;=$E$2)*(INPUT!$J$3:$J$5000="GARCIA")*ISNUMBER(INPUT!$K$3:$K$5000)*ISNUMBER(SEARCH("TEC-TAC",IFERROR(VLOOKUP(INPUT!$H$3:$H$5000&amp;INPUT!$I$3:$I$5000,CHOOSE({1,2},INPUT!$A$3:$A$5000&amp;INPUT!$C$3:$C$5000,INPUT!$D$3:$D$5000),2,FALSE),""))))</f>
        <v>150</v>
      </c>
      <c r="F6" s="124" cm="1">
        <f t="array" ref="F6">SUMPRODUCT((INPUT!$H$3:$H$5000&gt;=$B$2)*(INPUT!$H$3:$H$5000&lt;=$E$2)*(INPUT!$J$3:$J$5000="GARCIA")*ISNUMBER(INPUT!$K$3:$K$5000)*ISNUMBER(SEARCH("RECUPERACIÓN",IFERROR(VLOOKUP(INPUT!$H$3:$H$5000&amp;INPUT!$I$3:$I$5000,CHOOSE({1,2},INPUT!$A$3:$A$5000&amp;INPUT!$C$3:$C$5000,INPUT!$D$3:$D$5000),2,FALSE),""))))</f>
        <v>6</v>
      </c>
      <c r="G6" s="124" cm="1">
        <f t="array" ref="G6">SUMPRODUCT((INPUT!$H$3:$H$5000&gt;=$B$2)*(INPUT!$H$3:$H$5000&lt;=$E$2)*(INPUT!$J$3:$J$5000="GARCIA")*ISNUMBER(INPUT!$K$3:$K$5000)*ISNUMBER(SEARCH("PARTIDO",IFERROR(VLOOKUP(INPUT!$H$3:$H$5000&amp;INPUT!$I$3:$I$5000,CHOOSE({1,2},INPUT!$A$3:$A$5000&amp;INPUT!$C$3:$C$5000,INPUT!$D$3:$D$5000),2,FALSE),""))))</f>
        <v>18</v>
      </c>
      <c r="H6" s="126" cm="1">
        <f t="array" ref="H6">SUMPRODUCT((INPUT!$H$3:$H$5000&gt;=$B$2)*(INPUT!$H$3:$H$5000&lt;=$E$2)*(INPUT!$J$3:$J$5000="GARCIA")*ISNUMBER(INPUT!$K$3:$K$5000))</f>
        <v>217</v>
      </c>
      <c r="I6" s="178">
        <f t="shared" ref="I6:I29" si="2">IFERROR(H6/$V6,0)</f>
        <v>0.88934426229508201</v>
      </c>
      <c r="J6" s="124">
        <f>COUNTIFS(INPUT!$H$3:$H$5000,"&gt;="&amp;$B$2,INPUT!$H$3:$H$5000,"&lt;="&amp;$E$2,INPUT!$J$3:$J$5000,"GARCIA",INPUT!$K$3:$K$5000,"S")</f>
        <v>0</v>
      </c>
      <c r="K6" s="174">
        <f t="shared" ref="K6:K29" si="3">IFERROR(J6/$V6,0)</f>
        <v>0</v>
      </c>
      <c r="L6" s="124">
        <f>COUNTIFS(INPUT!$H$3:$H$5000,"&gt;="&amp;$B$2,INPUT!$H$3:$H$5000,"&lt;="&amp;$E$2,INPUT!$J$3:$J$5000,"GARCIA",INPUT!$K$3:$K$5000,"A")</f>
        <v>4</v>
      </c>
      <c r="M6" s="174">
        <f t="shared" ref="M6:M29" si="4">IFERROR(L6/$V6,0)</f>
        <v>1.6393442622950821E-2</v>
      </c>
      <c r="N6" s="124">
        <f>COUNTIFS(INPUT!$H$3:$H$5000,"&gt;="&amp;$B$2,INPUT!$H$3:$H$5000,"&lt;="&amp;$E$2,INPUT!$J$3:$J$5000,"GARCIA",INPUT!$K$3:$K$5000,"L")</f>
        <v>0</v>
      </c>
      <c r="O6" s="174">
        <f t="shared" ref="O6:O29" si="5">IFERROR(N6/$V6,0)</f>
        <v>0</v>
      </c>
      <c r="P6" s="124">
        <f>COUNTIFS(INPUT!$H$3:$H$5000,"&gt;="&amp;$B$2,INPUT!$H$3:$H$5000,"&lt;="&amp;$E$2,INPUT!$J$3:$J$5000,"GARCIA",INPUT!$K$3:$K$5000,"N")</f>
        <v>23</v>
      </c>
      <c r="Q6" s="174">
        <f t="shared" ref="Q6:Q29" si="6">IFERROR(P6/$V6,0)</f>
        <v>9.4262295081967207E-2</v>
      </c>
      <c r="R6" s="124">
        <f>COUNTIFS(INPUT!$H$3:$H$5000,"&gt;="&amp;$B$2,INPUT!$H$3:$H$5000,"&lt;="&amp;$E$2,INPUT!$J$3:$J$5000,"GARCIA",INPUT!$K$3:$K$5000,"D")</f>
        <v>0</v>
      </c>
      <c r="S6" s="174">
        <f t="shared" ref="S6:S29" si="7">IFERROR(R6/$V6,0)</f>
        <v>0</v>
      </c>
      <c r="T6" s="124">
        <f>COUNTIFS(INPUT!$H$3:$H$5000,"&gt;="&amp;$B$2,INPUT!$H$3:$H$5000,"&lt;="&amp;$E$2,INPUT!$J$3:$J$5000,"GARCIA",INPUT!$K$3:$K$5000,"NC")</f>
        <v>0</v>
      </c>
      <c r="U6" s="169">
        <f t="shared" ref="U6:U29" si="8">IFERROR(T6/$V6,0)</f>
        <v>0</v>
      </c>
      <c r="V6" s="125">
        <f t="shared" si="0"/>
        <v>244</v>
      </c>
      <c r="W6" s="119" t="str">
        <f t="shared" si="1"/>
        <v>✓ OK</v>
      </c>
      <c r="X6" s="120" t="str" cm="1">
        <f t="array" ref="X6">_xlfn.TEXTJOIN(", ",TRUE,IF((INPUT!$A$3:$A$5000&gt;=$B$2)*(INPUT!$A$3:$A$5000&lt;=$E$2)*(INPUT!$A$3:$A$5000&lt;&gt;"")*(COUNTIFS(INPUT!$H$3:$H$5000,INPUT!$A$3:$A$5000,INPUT!$I$3:$I$5000,INPUT!$C$3:$C$5000,INPUT!$J$3:$J$5000,$B6)=0),TEXT(INPUT!$A$3:$A$5000,"dd/mm")&amp;" "&amp;INPUT!$C$3:$C$5000,""))</f>
        <v>20/04 MATINAL, 21/04 MATINAL</v>
      </c>
    </row>
    <row r="7" spans="1:24" s="121" customFormat="1" ht="24" customHeight="1" x14ac:dyDescent="0.2">
      <c r="A7" s="114">
        <v>3</v>
      </c>
      <c r="B7" s="115" t="s">
        <v>43</v>
      </c>
      <c r="C7" s="116" cm="1">
        <f t="array" ref="C7">SUMPRODUCT((INPUT!$H$3:$H$5000&gt;=$B$2)*(INPUT!$H$3:$H$5000&lt;=$E$2)*(INPUT!$J$3:$J$5000="OSCAR")*ISNUMBER(INPUT!$K$3:$K$5000)*ISNUMBER(SEARCH("GYM",IFERROR(VLOOKUP(INPUT!$H$3:$H$5000&amp;INPUT!$I$3:$I$5000,CHOOSE({1,2},INPUT!$A$3:$A$5000&amp;INPUT!$C$3:$C$5000,INPUT!$D$3:$D$5000),2,FALSE),""))))</f>
        <v>7</v>
      </c>
      <c r="D7" s="116" cm="1">
        <f t="array" ref="D7">SUMPRODUCT((INPUT!$H$3:$H$5000&gt;=$B$2)*(INPUT!$H$3:$H$5000&lt;=$E$2)*(INPUT!$J$3:$J$5000="OSCAR")*ISNUMBER(INPUT!$K$3:$K$5000)*ISNUMBER(SEARCH("FISICO",IFERROR(VLOOKUP(INPUT!$H$3:$H$5000&amp;INPUT!$I$3:$I$5000,CHOOSE({1,2},INPUT!$A$3:$A$5000&amp;INPUT!$C$3:$C$5000,INPUT!$D$3:$D$5000),2,FALSE),""))))</f>
        <v>6</v>
      </c>
      <c r="E7" s="116" cm="1">
        <f t="array" ref="E7">SUMPRODUCT((INPUT!$H$3:$H$5000&gt;=$B$2)*(INPUT!$H$3:$H$5000&lt;=$E$2)*(INPUT!$J$3:$J$5000="OSCAR")*ISNUMBER(INPUT!$K$3:$K$5000)*ISNUMBER(SEARCH("TEC-TAC",IFERROR(VLOOKUP(INPUT!$H$3:$H$5000&amp;INPUT!$I$3:$I$5000,CHOOSE({1,2},INPUT!$A$3:$A$5000&amp;INPUT!$C$3:$C$5000,INPUT!$D$3:$D$5000),2,FALSE),""))))</f>
        <v>26</v>
      </c>
      <c r="F7" s="116" cm="1">
        <f t="array" ref="F7">SUMPRODUCT((INPUT!$H$3:$H$5000&gt;=$B$2)*(INPUT!$H$3:$H$5000&lt;=$E$2)*(INPUT!$J$3:$J$5000="OSCAR")*ISNUMBER(INPUT!$K$3:$K$5000)*ISNUMBER(SEARCH("RECUPERACIÓN",IFERROR(VLOOKUP(INPUT!$H$3:$H$5000&amp;INPUT!$I$3:$I$5000,CHOOSE({1,2},INPUT!$A$3:$A$5000&amp;INPUT!$C$3:$C$5000,INPUT!$D$3:$D$5000),2,FALSE),""))))</f>
        <v>0</v>
      </c>
      <c r="G7" s="116" cm="1">
        <f t="array" ref="G7">SUMPRODUCT((INPUT!$H$3:$H$5000&gt;=$B$2)*(INPUT!$H$3:$H$5000&lt;=$E$2)*(INPUT!$J$3:$J$5000="OSCAR")*ISNUMBER(INPUT!$K$3:$K$5000)*ISNUMBER(SEARCH("PARTIDO",IFERROR(VLOOKUP(INPUT!$H$3:$H$5000&amp;INPUT!$I$3:$I$5000,CHOOSE({1,2},INPUT!$A$3:$A$5000&amp;INPUT!$C$3:$C$5000,INPUT!$D$3:$D$5000),2,FALSE),""))))</f>
        <v>2</v>
      </c>
      <c r="H7" s="117" cm="1">
        <f t="array" ref="H7">SUMPRODUCT((INPUT!$H$3:$H$5000&gt;=$B$2)*(INPUT!$H$3:$H$5000&lt;=$E$2)*(INPUT!$J$3:$J$5000="OSCAR")*ISNUMBER(INPUT!$K$3:$K$5000))</f>
        <v>37</v>
      </c>
      <c r="I7" s="177">
        <f t="shared" si="2"/>
        <v>0.94871794871794868</v>
      </c>
      <c r="J7" s="116">
        <f>COUNTIFS(INPUT!$H$3:$H$5000,"&gt;="&amp;$B$2,INPUT!$H$3:$H$5000,"&lt;="&amp;$E$2,INPUT!$J$3:$J$5000,"OSCAR",INPUT!$K$3:$K$5000,"S")</f>
        <v>0</v>
      </c>
      <c r="K7" s="173">
        <f t="shared" si="3"/>
        <v>0</v>
      </c>
      <c r="L7" s="116">
        <f>COUNTIFS(INPUT!$H$3:$H$5000,"&gt;="&amp;$B$2,INPUT!$H$3:$H$5000,"&lt;="&amp;$E$2,INPUT!$J$3:$J$5000,"OSCAR",INPUT!$K$3:$K$5000,"A")</f>
        <v>0</v>
      </c>
      <c r="M7" s="173">
        <f t="shared" si="4"/>
        <v>0</v>
      </c>
      <c r="N7" s="116">
        <f>COUNTIFS(INPUT!$H$3:$H$5000,"&gt;="&amp;$B$2,INPUT!$H$3:$H$5000,"&lt;="&amp;$E$2,INPUT!$J$3:$J$5000,"OSCAR",INPUT!$K$3:$K$5000,"L")</f>
        <v>0</v>
      </c>
      <c r="O7" s="173">
        <f t="shared" si="5"/>
        <v>0</v>
      </c>
      <c r="P7" s="116">
        <f>COUNTIFS(INPUT!$H$3:$H$5000,"&gt;="&amp;$B$2,INPUT!$H$3:$H$5000,"&lt;="&amp;$E$2,INPUT!$J$3:$J$5000,"OSCAR",INPUT!$K$3:$K$5000,"N")</f>
        <v>2</v>
      </c>
      <c r="Q7" s="173">
        <f t="shared" si="6"/>
        <v>5.128205128205128E-2</v>
      </c>
      <c r="R7" s="116">
        <f>COUNTIFS(INPUT!$H$3:$H$5000,"&gt;="&amp;$B$2,INPUT!$H$3:$H$5000,"&lt;="&amp;$E$2,INPUT!$J$3:$J$5000,"OSCAR",INPUT!$K$3:$K$5000,"D")</f>
        <v>0</v>
      </c>
      <c r="S7" s="173">
        <f t="shared" si="7"/>
        <v>0</v>
      </c>
      <c r="T7" s="116">
        <f>COUNTIFS(INPUT!$H$3:$H$5000,"&gt;="&amp;$B$2,INPUT!$H$3:$H$5000,"&lt;="&amp;$E$2,INPUT!$J$3:$J$5000,"OSCAR",INPUT!$K$3:$K$5000,"NC")</f>
        <v>0</v>
      </c>
      <c r="U7" s="168">
        <f t="shared" si="8"/>
        <v>0</v>
      </c>
      <c r="V7" s="118">
        <f t="shared" si="0"/>
        <v>39</v>
      </c>
      <c r="W7" s="119" t="str">
        <f t="shared" si="1"/>
        <v>⚠ FALTAN 205</v>
      </c>
      <c r="X7" s="120" t="str" cm="1">
        <f t="array" ref="X7">_xlfn.TEXTJOIN(", ",TRUE,IF((INPUT!$A$3:$A$5000&gt;=$B$2)*(INPUT!$A$3:$A$5000&lt;=$E$2)*(INPUT!$A$3:$A$5000&lt;&gt;"")*(COUNTIFS(INPUT!$H$3:$H$5000,INPUT!$A$3:$A$5000,INPUT!$I$3:$I$5000,INPUT!$C$3:$C$5000,INPUT!$J$3:$J$5000,$B7)=0),TEXT(INPUT!$A$3:$A$5000,"dd/mm")&amp;" "&amp;INPUT!$C$3:$C$5000,""))</f>
        <v>15/08 M, 15/08 T, 20/08 M, 20/08 T, 21/08 M, 22/08 M, 23/08 T, 24/08 T, 26/08 M, 28/08 M, 29/08 M, 30/08 M, 31/08 M, 03/09 M, 04/09 M, 05/09 M, 06/09 M, 06/09 T, 08/09 T, 09/09 T, 11/09 M, 12/09 M, 13/09 M, 13/09 T, 15/09 M, 16/09 M, 17/09 M, 17/09 T, 18/09 M, 19/09 T, 22/09 M, 22/09 T, 23/09 M, 24/09 M, 24/09 T, 25/09 M, 29/09 M, 30/09 M, 01/10 M, 01/10 T, 02/10 M, 03/10 M, 04/10 M, 06/10 M, 07/10 M, 08/10 M, 08/10 T, 10/10 M, 11/10 M, 12/10 M, 14/10 M, 16/10 M, 17/10 M, 20/10 M, 20/10 T, 21/10 M, 29/10 M, 30/10 M, 31/10 M, 03/11 M, 05/11 M, 06/11 M, 07/11 M, 07/11 T, 12/11 M, 13/11 M, 14/11 M, 15/11 T, 17/11 M, 18/11 M, 19/11 M, 19/11 T, 21/11 M, 22/11 M, 22/11 T, 24/11 M, 25/11 M, 25/11 T, 26/11 M, 27/11 M, 28/11 M, 28/11 T, 01/12 M, 01/12 T, 02/12 M, 03/12 M, 04/12 M, 05/12 M, 06/12 M, 08/12 M, 09/12 M, 09/12 T, 10/12 M, 11/12 M, 12/12 T, 13/12 T, 16/12 T, 17/12 T, 18/12 M, 19/12 M, 22/12 M, 23/12 M, 23/12 T, 26/12 M, 27/12 M, 27/12 T, 29/12 M, 30/12 M, 31/12 M, 02/01 T, 03/01 T, 05/01 M, 06/01 T, 07/01 T, 08/01 M, 09/01 M, 10/01 M, 19/01 M, 19/01 T, 20/01 T, 21/01 M, 21/01 T, 22/01 M, 22/01 T, 23/01 M, 26/01 T, 27/01 M, 27/01 T, 28/01 M, 29/01 T, 30/01 T, 02/02 M, 02/02 T, 03/02 T, 04/02 M, 05/02 M, 06/02 T, 08/02 M, 09/02 M, 10/02 M, 11/02 M, 11/02 T, 12/02 M, 13/02 M, 13/02 T, 16/02 M, 17/02 M, 18/02 M, 18/02 T, 19/02 M, 20/02 M, 23/02 M, 23/02 T, 24/02 M, 25/02 M, 26/02 M, 27/02 M, 28/02 M, 01/03 M, 03/03 M, 04/03 M, 05/03 M, 06/03 M, 06/03 T, 09/03 M, 10/03 M, 11/03 M, 12/03 M, 13/03 M, 13/03 T, 15/03 M, 16/03 M, 17/03 M, 18/03 T, 19/03 M, 19/03 T, 20/03 M, 21/03 M, 21/03 T, 24/03 M, 25/03 M, 26/03 M, 27/03 M, 28/03 M, 30/03 M, 31/03 M, 01/04 M, 02/04 M, 03/04 M, 04/04 M, 04/04 T, 06/04 M, 07/04 M, 08/04 M, 09/04 T, 10/04 M, 13/04 M, 14/04 M, 15/04 M, 16/04 M, 17/04 M, 18/04 M, 18/04 T, 20/04 MATINAL, 21/04 MATINAL</v>
      </c>
    </row>
    <row r="8" spans="1:24" s="121" customFormat="1" ht="24" customHeight="1" x14ac:dyDescent="0.2">
      <c r="A8" s="122">
        <v>4</v>
      </c>
      <c r="B8" s="123" t="s">
        <v>44</v>
      </c>
      <c r="C8" s="124" cm="1">
        <f t="array" ref="C8">SUMPRODUCT((INPUT!$H$3:$H$5000&gt;=$B$2)*(INPUT!$H$3:$H$5000&lt;=$E$2)*(INPUT!$J$3:$J$5000="CECILIO")*ISNUMBER(INPUT!$K$3:$K$5000)*ISNUMBER(SEARCH("GYM",IFERROR(VLOOKUP(INPUT!$H$3:$H$5000&amp;INPUT!$I$3:$I$5000,CHOOSE({1,2},INPUT!$A$3:$A$5000&amp;INPUT!$C$3:$C$5000,INPUT!$D$3:$D$5000),2,FALSE),""))))</f>
        <v>28</v>
      </c>
      <c r="D8" s="124" cm="1">
        <f t="array" ref="D8">SUMPRODUCT((INPUT!$H$3:$H$5000&gt;=$B$2)*(INPUT!$H$3:$H$5000&lt;=$E$2)*(INPUT!$J$3:$J$5000="CECILIO")*ISNUMBER(INPUT!$K$3:$K$5000)*ISNUMBER(SEARCH("FISICO",IFERROR(VLOOKUP(INPUT!$H$3:$H$5000&amp;INPUT!$I$3:$I$5000,CHOOSE({1,2},INPUT!$A$3:$A$5000&amp;INPUT!$C$3:$C$5000,INPUT!$D$3:$D$5000),2,FALSE),""))))</f>
        <v>9</v>
      </c>
      <c r="E8" s="124" cm="1">
        <f t="array" ref="E8">SUMPRODUCT((INPUT!$H$3:$H$5000&gt;=$B$2)*(INPUT!$H$3:$H$5000&lt;=$E$2)*(INPUT!$J$3:$J$5000="CECILIO")*ISNUMBER(INPUT!$K$3:$K$5000)*ISNUMBER(SEARCH("TEC-TAC",IFERROR(VLOOKUP(INPUT!$H$3:$H$5000&amp;INPUT!$I$3:$I$5000,CHOOSE({1,2},INPUT!$A$3:$A$5000&amp;INPUT!$C$3:$C$5000,INPUT!$D$3:$D$5000),2,FALSE),""))))</f>
        <v>114</v>
      </c>
      <c r="F8" s="124" cm="1">
        <f t="array" ref="F8">SUMPRODUCT((INPUT!$H$3:$H$5000&gt;=$B$2)*(INPUT!$H$3:$H$5000&lt;=$E$2)*(INPUT!$J$3:$J$5000="CECILIO")*ISNUMBER(INPUT!$K$3:$K$5000)*ISNUMBER(SEARCH("RECUPERACIÓN",IFERROR(VLOOKUP(INPUT!$H$3:$H$5000&amp;INPUT!$I$3:$I$5000,CHOOSE({1,2},INPUT!$A$3:$A$5000&amp;INPUT!$C$3:$C$5000,INPUT!$D$3:$D$5000),2,FALSE),""))))</f>
        <v>7</v>
      </c>
      <c r="G8" s="124" cm="1">
        <f t="array" ref="G8">SUMPRODUCT((INPUT!$H$3:$H$5000&gt;=$B$2)*(INPUT!$H$3:$H$5000&lt;=$E$2)*(INPUT!$J$3:$J$5000="CECILIO")*ISNUMBER(INPUT!$K$3:$K$5000)*ISNUMBER(SEARCH("PARTIDO",IFERROR(VLOOKUP(INPUT!$H$3:$H$5000&amp;INPUT!$I$3:$I$5000,CHOOSE({1,2},INPUT!$A$3:$A$5000&amp;INPUT!$C$3:$C$5000,INPUT!$D$3:$D$5000),2,FALSE),""))))</f>
        <v>39</v>
      </c>
      <c r="H8" s="126" cm="1">
        <f t="array" ref="H8">SUMPRODUCT((INPUT!$H$3:$H$5000&gt;=$B$2)*(INPUT!$H$3:$H$5000&lt;=$E$2)*(INPUT!$J$3:$J$5000="CECILIO")*ISNUMBER(INPUT!$K$3:$K$5000))</f>
        <v>198</v>
      </c>
      <c r="I8" s="178">
        <f t="shared" si="2"/>
        <v>0.81147540983606559</v>
      </c>
      <c r="J8" s="124">
        <f>COUNTIFS(INPUT!$H$3:$H$5000,"&gt;="&amp;$B$2,INPUT!$H$3:$H$5000,"&lt;="&amp;$E$2,INPUT!$J$3:$J$5000,"CECILIO",INPUT!$K$3:$K$5000,"S")</f>
        <v>39</v>
      </c>
      <c r="K8" s="174">
        <f t="shared" si="3"/>
        <v>0.1598360655737705</v>
      </c>
      <c r="L8" s="124">
        <f>COUNTIFS(INPUT!$H$3:$H$5000,"&gt;="&amp;$B$2,INPUT!$H$3:$H$5000,"&lt;="&amp;$E$2,INPUT!$J$3:$J$5000,"CECILIO",INPUT!$K$3:$K$5000,"A")</f>
        <v>2</v>
      </c>
      <c r="M8" s="174">
        <f t="shared" si="4"/>
        <v>8.1967213114754103E-3</v>
      </c>
      <c r="N8" s="124">
        <f>COUNTIFS(INPUT!$H$3:$H$5000,"&gt;="&amp;$B$2,INPUT!$H$3:$H$5000,"&lt;="&amp;$E$2,INPUT!$J$3:$J$5000,"CECILIO",INPUT!$K$3:$K$5000,"L")</f>
        <v>5</v>
      </c>
      <c r="O8" s="174">
        <f t="shared" si="5"/>
        <v>2.0491803278688523E-2</v>
      </c>
      <c r="P8" s="124">
        <f>COUNTIFS(INPUT!$H$3:$H$5000,"&gt;="&amp;$B$2,INPUT!$H$3:$H$5000,"&lt;="&amp;$E$2,INPUT!$J$3:$J$5000,"CECILIO",INPUT!$K$3:$K$5000,"N")</f>
        <v>0</v>
      </c>
      <c r="Q8" s="174">
        <f t="shared" si="6"/>
        <v>0</v>
      </c>
      <c r="R8" s="124">
        <f>COUNTIFS(INPUT!$H$3:$H$5000,"&gt;="&amp;$B$2,INPUT!$H$3:$H$5000,"&lt;="&amp;$E$2,INPUT!$J$3:$J$5000,"CECILIO",INPUT!$K$3:$K$5000,"D")</f>
        <v>0</v>
      </c>
      <c r="S8" s="174">
        <f t="shared" si="7"/>
        <v>0</v>
      </c>
      <c r="T8" s="124">
        <f>COUNTIFS(INPUT!$H$3:$H$5000,"&gt;="&amp;$B$2,INPUT!$H$3:$H$5000,"&lt;="&amp;$E$2,INPUT!$J$3:$J$5000,"CECILIO",INPUT!$K$3:$K$5000,"NC")</f>
        <v>0</v>
      </c>
      <c r="U8" s="169">
        <f t="shared" si="8"/>
        <v>0</v>
      </c>
      <c r="V8" s="125">
        <f t="shared" si="0"/>
        <v>244</v>
      </c>
      <c r="W8" s="119" t="str">
        <f t="shared" si="1"/>
        <v>✓ OK</v>
      </c>
      <c r="X8" s="120" t="str" cm="1">
        <f t="array" ref="X8">_xlfn.TEXTJOIN(", ",TRUE,IF((INPUT!$A$3:$A$5000&gt;=$B$2)*(INPUT!$A$3:$A$5000&lt;=$E$2)*(INPUT!$A$3:$A$5000&lt;&gt;"")*(COUNTIFS(INPUT!$H$3:$H$5000,INPUT!$A$3:$A$5000,INPUT!$I$3:$I$5000,INPUT!$C$3:$C$5000,INPUT!$J$3:$J$5000,$B8)=0),TEXT(INPUT!$A$3:$A$5000,"dd/mm")&amp;" "&amp;INPUT!$C$3:$C$5000,""))</f>
        <v>20/04 MATINAL, 21/04 MATINAL</v>
      </c>
    </row>
    <row r="9" spans="1:24" s="121" customFormat="1" ht="24" customHeight="1" x14ac:dyDescent="0.2">
      <c r="A9" s="114">
        <v>5</v>
      </c>
      <c r="B9" s="115" t="s">
        <v>45</v>
      </c>
      <c r="C9" s="116" cm="1">
        <f t="array" ref="C9">SUMPRODUCT((INPUT!$H$3:$H$5000&gt;=$B$2)*(INPUT!$H$3:$H$5000&lt;=$E$2)*(INPUT!$J$3:$J$5000="CHAGUINHA")*ISNUMBER(INPUT!$K$3:$K$5000)*ISNUMBER(SEARCH("GYM",IFERROR(VLOOKUP(INPUT!$H$3:$H$5000&amp;INPUT!$I$3:$I$5000,CHOOSE({1,2},INPUT!$A$3:$A$5000&amp;INPUT!$C$3:$C$5000,INPUT!$D$3:$D$5000),2,FALSE),""))))</f>
        <v>39</v>
      </c>
      <c r="D9" s="116" cm="1">
        <f t="array" ref="D9">SUMPRODUCT((INPUT!$H$3:$H$5000&gt;=$B$2)*(INPUT!$H$3:$H$5000&lt;=$E$2)*(INPUT!$J$3:$J$5000="CHAGUINHA")*ISNUMBER(INPUT!$K$3:$K$5000)*ISNUMBER(SEARCH("FISICO",IFERROR(VLOOKUP(INPUT!$H$3:$H$5000&amp;INPUT!$I$3:$I$5000,CHOOSE({1,2},INPUT!$A$3:$A$5000&amp;INPUT!$C$3:$C$5000,INPUT!$D$3:$D$5000),2,FALSE),""))))</f>
        <v>14</v>
      </c>
      <c r="E9" s="116" cm="1">
        <f t="array" ref="E9">SUMPRODUCT((INPUT!$H$3:$H$5000&gt;=$B$2)*(INPUT!$H$3:$H$5000&lt;=$E$2)*(INPUT!$J$3:$J$5000="CHAGUINHA")*ISNUMBER(INPUT!$K$3:$K$5000)*ISNUMBER(SEARCH("TEC-TAC",IFERROR(VLOOKUP(INPUT!$H$3:$H$5000&amp;INPUT!$I$3:$I$5000,CHOOSE({1,2},INPUT!$A$3:$A$5000&amp;INPUT!$C$3:$C$5000,INPUT!$D$3:$D$5000),2,FALSE),""))))</f>
        <v>138</v>
      </c>
      <c r="F9" s="116" cm="1">
        <f t="array" ref="F9">SUMPRODUCT((INPUT!$H$3:$H$5000&gt;=$B$2)*(INPUT!$H$3:$H$5000&lt;=$E$2)*(INPUT!$J$3:$J$5000="CHAGUINHA")*ISNUMBER(INPUT!$K$3:$K$5000)*ISNUMBER(SEARCH("RECUPERACIÓN",IFERROR(VLOOKUP(INPUT!$H$3:$H$5000&amp;INPUT!$I$3:$I$5000,CHOOSE({1,2},INPUT!$A$3:$A$5000&amp;INPUT!$C$3:$C$5000,INPUT!$D$3:$D$5000),2,FALSE),""))))</f>
        <v>7</v>
      </c>
      <c r="G9" s="116" cm="1">
        <f t="array" ref="G9">SUMPRODUCT((INPUT!$H$3:$H$5000&gt;=$B$2)*(INPUT!$H$3:$H$5000&lt;=$E$2)*(INPUT!$J$3:$J$5000="CHAGUINHA")*ISNUMBER(INPUT!$K$3:$K$5000)*ISNUMBER(SEARCH("PARTIDO",IFERROR(VLOOKUP(INPUT!$H$3:$H$5000&amp;INPUT!$I$3:$I$5000,CHOOSE({1,2},INPUT!$A$3:$A$5000&amp;INPUT!$C$3:$C$5000,INPUT!$D$3:$D$5000),2,FALSE),""))))</f>
        <v>40</v>
      </c>
      <c r="H9" s="117" cm="1">
        <f t="array" ref="H9">SUMPRODUCT((INPUT!$H$3:$H$5000&gt;=$B$2)*(INPUT!$H$3:$H$5000&lt;=$E$2)*(INPUT!$J$3:$J$5000="CHAGUINHA")*ISNUMBER(INPUT!$K$3:$K$5000))</f>
        <v>227</v>
      </c>
      <c r="I9" s="177">
        <f t="shared" si="2"/>
        <v>0.93032786885245899</v>
      </c>
      <c r="J9" s="116">
        <f>COUNTIFS(INPUT!$H$3:$H$5000,"&gt;="&amp;$B$2,INPUT!$H$3:$H$5000,"&lt;="&amp;$E$2,INPUT!$J$3:$J$5000,"CHAGUINHA",INPUT!$K$3:$K$5000,"S")</f>
        <v>0</v>
      </c>
      <c r="K9" s="173">
        <f t="shared" si="3"/>
        <v>0</v>
      </c>
      <c r="L9" s="116">
        <f>COUNTIFS(INPUT!$H$3:$H$5000,"&gt;="&amp;$B$2,INPUT!$H$3:$H$5000,"&lt;="&amp;$E$2,INPUT!$J$3:$J$5000,"CHAGUINHA",INPUT!$K$3:$K$5000,"A")</f>
        <v>0</v>
      </c>
      <c r="M9" s="173">
        <f t="shared" si="4"/>
        <v>0</v>
      </c>
      <c r="N9" s="116">
        <f>COUNTIFS(INPUT!$H$3:$H$5000,"&gt;="&amp;$B$2,INPUT!$H$3:$H$5000,"&lt;="&amp;$E$2,INPUT!$J$3:$J$5000,"CHAGUINHA",INPUT!$K$3:$K$5000,"L")</f>
        <v>17</v>
      </c>
      <c r="O9" s="173">
        <f t="shared" si="5"/>
        <v>6.9672131147540978E-2</v>
      </c>
      <c r="P9" s="116">
        <f>COUNTIFS(INPUT!$H$3:$H$5000,"&gt;="&amp;$B$2,INPUT!$H$3:$H$5000,"&lt;="&amp;$E$2,INPUT!$J$3:$J$5000,"CHAGUINHA",INPUT!$K$3:$K$5000,"N")</f>
        <v>0</v>
      </c>
      <c r="Q9" s="173">
        <f t="shared" si="6"/>
        <v>0</v>
      </c>
      <c r="R9" s="116">
        <f>COUNTIFS(INPUT!$H$3:$H$5000,"&gt;="&amp;$B$2,INPUT!$H$3:$H$5000,"&lt;="&amp;$E$2,INPUT!$J$3:$J$5000,"CHAGUINHA",INPUT!$K$3:$K$5000,"D")</f>
        <v>0</v>
      </c>
      <c r="S9" s="173">
        <f t="shared" si="7"/>
        <v>0</v>
      </c>
      <c r="T9" s="116">
        <f>COUNTIFS(INPUT!$H$3:$H$5000,"&gt;="&amp;$B$2,INPUT!$H$3:$H$5000,"&lt;="&amp;$E$2,INPUT!$J$3:$J$5000,"CHAGUINHA",INPUT!$K$3:$K$5000,"NC")</f>
        <v>0</v>
      </c>
      <c r="U9" s="168">
        <f t="shared" si="8"/>
        <v>0</v>
      </c>
      <c r="V9" s="118">
        <f t="shared" si="0"/>
        <v>244</v>
      </c>
      <c r="W9" s="119" t="str">
        <f t="shared" si="1"/>
        <v>✓ OK</v>
      </c>
      <c r="X9" s="120" t="str" cm="1">
        <f t="array" ref="X9">_xlfn.TEXTJOIN(", ",TRUE,IF((INPUT!$A$3:$A$5000&gt;=$B$2)*(INPUT!$A$3:$A$5000&lt;=$E$2)*(INPUT!$A$3:$A$5000&lt;&gt;"")*(COUNTIFS(INPUT!$H$3:$H$5000,INPUT!$A$3:$A$5000,INPUT!$I$3:$I$5000,INPUT!$C$3:$C$5000,INPUT!$J$3:$J$5000,$B9)=0),TEXT(INPUT!$A$3:$A$5000,"dd/mm")&amp;" "&amp;INPUT!$C$3:$C$5000,""))</f>
        <v>20/04 MATINAL, 21/04 MATINAL</v>
      </c>
    </row>
    <row r="10" spans="1:24" s="121" customFormat="1" ht="24" customHeight="1" x14ac:dyDescent="0.2">
      <c r="A10" s="122">
        <v>6</v>
      </c>
      <c r="B10" s="123" t="s">
        <v>46</v>
      </c>
      <c r="C10" s="124" cm="1">
        <f t="array" ref="C10">SUMPRODUCT((INPUT!$H$3:$H$5000&gt;=$B$2)*(INPUT!$H$3:$H$5000&lt;=$E$2)*(INPUT!$J$3:$J$5000="RAUL")*ISNUMBER(INPUT!$K$3:$K$5000)*ISNUMBER(SEARCH("GYM",IFERROR(VLOOKUP(INPUT!$H$3:$H$5000&amp;INPUT!$I$3:$I$5000,CHOOSE({1,2},INPUT!$A$3:$A$5000&amp;INPUT!$C$3:$C$5000,INPUT!$D$3:$D$5000),2,FALSE),""))))</f>
        <v>36</v>
      </c>
      <c r="D10" s="124" cm="1">
        <f t="array" ref="D10">SUMPRODUCT((INPUT!$H$3:$H$5000&gt;=$B$2)*(INPUT!$H$3:$H$5000&lt;=$E$2)*(INPUT!$J$3:$J$5000="RAUL")*ISNUMBER(INPUT!$K$3:$K$5000)*ISNUMBER(SEARCH("FISICO",IFERROR(VLOOKUP(INPUT!$H$3:$H$5000&amp;INPUT!$I$3:$I$5000,CHOOSE({1,2},INPUT!$A$3:$A$5000&amp;INPUT!$C$3:$C$5000,INPUT!$D$3:$D$5000),2,FALSE),""))))</f>
        <v>13</v>
      </c>
      <c r="E10" s="124" cm="1">
        <f t="array" ref="E10">SUMPRODUCT((INPUT!$H$3:$H$5000&gt;=$B$2)*(INPUT!$H$3:$H$5000&lt;=$E$2)*(INPUT!$J$3:$J$5000="RAUL")*ISNUMBER(INPUT!$K$3:$K$5000)*ISNUMBER(SEARCH("TEC-TAC",IFERROR(VLOOKUP(INPUT!$H$3:$H$5000&amp;INPUT!$I$3:$I$5000,CHOOSE({1,2},INPUT!$A$3:$A$5000&amp;INPUT!$C$3:$C$5000,INPUT!$D$3:$D$5000),2,FALSE),""))))</f>
        <v>136</v>
      </c>
      <c r="F10" s="124" cm="1">
        <f t="array" ref="F10">SUMPRODUCT((INPUT!$H$3:$H$5000&gt;=$B$2)*(INPUT!$H$3:$H$5000&lt;=$E$2)*(INPUT!$J$3:$J$5000="RAUL")*ISNUMBER(INPUT!$K$3:$K$5000)*ISNUMBER(SEARCH("RECUPERACIÓN",IFERROR(VLOOKUP(INPUT!$H$3:$H$5000&amp;INPUT!$I$3:$I$5000,CHOOSE({1,2},INPUT!$A$3:$A$5000&amp;INPUT!$C$3:$C$5000,INPUT!$D$3:$D$5000),2,FALSE),""))))</f>
        <v>5</v>
      </c>
      <c r="G10" s="124" cm="1">
        <f t="array" ref="G10">SUMPRODUCT((INPUT!$H$3:$H$5000&gt;=$B$2)*(INPUT!$H$3:$H$5000&lt;=$E$2)*(INPUT!$J$3:$J$5000="RAUL")*ISNUMBER(INPUT!$K$3:$K$5000)*ISNUMBER(SEARCH("PARTIDO",IFERROR(VLOOKUP(INPUT!$H$3:$H$5000&amp;INPUT!$I$3:$I$5000,CHOOSE({1,2},INPUT!$A$3:$A$5000&amp;INPUT!$C$3:$C$5000,INPUT!$D$3:$D$5000),2,FALSE),""))))</f>
        <v>40</v>
      </c>
      <c r="H10" s="126" cm="1">
        <f t="array" ref="H10">SUMPRODUCT((INPUT!$H$3:$H$5000&gt;=$B$2)*(INPUT!$H$3:$H$5000&lt;=$E$2)*(INPUT!$J$3:$J$5000="RAUL")*ISNUMBER(INPUT!$K$3:$K$5000))</f>
        <v>221</v>
      </c>
      <c r="I10" s="178">
        <f t="shared" si="2"/>
        <v>0.90573770491803274</v>
      </c>
      <c r="J10" s="124">
        <f>COUNTIFS(INPUT!$H$3:$H$5000,"&gt;="&amp;$B$2,INPUT!$H$3:$H$5000,"&lt;="&amp;$E$2,INPUT!$J$3:$J$5000,"RAUL",INPUT!$K$3:$K$5000,"S")</f>
        <v>19</v>
      </c>
      <c r="K10" s="174">
        <f t="shared" si="3"/>
        <v>7.7868852459016397E-2</v>
      </c>
      <c r="L10" s="124">
        <f>COUNTIFS(INPUT!$H$3:$H$5000,"&gt;="&amp;$B$2,INPUT!$H$3:$H$5000,"&lt;="&amp;$E$2,INPUT!$J$3:$J$5000,"RAUL",INPUT!$K$3:$K$5000,"A")</f>
        <v>2</v>
      </c>
      <c r="M10" s="174">
        <f t="shared" si="4"/>
        <v>8.1967213114754103E-3</v>
      </c>
      <c r="N10" s="124">
        <f>COUNTIFS(INPUT!$H$3:$H$5000,"&gt;="&amp;$B$2,INPUT!$H$3:$H$5000,"&lt;="&amp;$E$2,INPUT!$J$3:$J$5000,"RAUL",INPUT!$K$3:$K$5000,"L")</f>
        <v>2</v>
      </c>
      <c r="O10" s="174">
        <f t="shared" si="5"/>
        <v>8.1967213114754103E-3</v>
      </c>
      <c r="P10" s="124">
        <f>COUNTIFS(INPUT!$H$3:$H$5000,"&gt;="&amp;$B$2,INPUT!$H$3:$H$5000,"&lt;="&amp;$E$2,INPUT!$J$3:$J$5000,"RAUL",INPUT!$K$3:$K$5000,"N")</f>
        <v>0</v>
      </c>
      <c r="Q10" s="174">
        <f t="shared" si="6"/>
        <v>0</v>
      </c>
      <c r="R10" s="124">
        <f>COUNTIFS(INPUT!$H$3:$H$5000,"&gt;="&amp;$B$2,INPUT!$H$3:$H$5000,"&lt;="&amp;$E$2,INPUT!$J$3:$J$5000,"RAUL",INPUT!$K$3:$K$5000,"D")</f>
        <v>0</v>
      </c>
      <c r="S10" s="174">
        <f t="shared" si="7"/>
        <v>0</v>
      </c>
      <c r="T10" s="124">
        <f>COUNTIFS(INPUT!$H$3:$H$5000,"&gt;="&amp;$B$2,INPUT!$H$3:$H$5000,"&lt;="&amp;$E$2,INPUT!$J$3:$J$5000,"RAUL",INPUT!$K$3:$K$5000,"NC")</f>
        <v>0</v>
      </c>
      <c r="U10" s="169">
        <f t="shared" si="8"/>
        <v>0</v>
      </c>
      <c r="V10" s="125">
        <f t="shared" si="0"/>
        <v>244</v>
      </c>
      <c r="W10" s="119" t="str">
        <f t="shared" si="1"/>
        <v>✓ OK</v>
      </c>
      <c r="X10" s="120" t="str" cm="1">
        <f t="array" ref="X10">_xlfn.TEXTJOIN(", ",TRUE,IF((INPUT!$A$3:$A$5000&gt;=$B$2)*(INPUT!$A$3:$A$5000&lt;=$E$2)*(INPUT!$A$3:$A$5000&lt;&gt;"")*(COUNTIFS(INPUT!$H$3:$H$5000,INPUT!$A$3:$A$5000,INPUT!$I$3:$I$5000,INPUT!$C$3:$C$5000,INPUT!$J$3:$J$5000,$B10)=0),TEXT(INPUT!$A$3:$A$5000,"dd/mm")&amp;" "&amp;INPUT!$C$3:$C$5000,""))</f>
        <v>20/04 MATINAL, 21/04 MATINAL</v>
      </c>
    </row>
    <row r="11" spans="1:24" s="121" customFormat="1" ht="24" customHeight="1" x14ac:dyDescent="0.2">
      <c r="A11" s="114">
        <v>7</v>
      </c>
      <c r="B11" s="115" t="s">
        <v>47</v>
      </c>
      <c r="C11" s="116" cm="1">
        <f t="array" ref="C11">SUMPRODUCT((INPUT!$H$3:$H$5000&gt;=$B$2)*(INPUT!$H$3:$H$5000&lt;=$E$2)*(INPUT!$J$3:$J$5000="HARRISON")*ISNUMBER(INPUT!$K$3:$K$5000)*ISNUMBER(SEARCH("GYM",IFERROR(VLOOKUP(INPUT!$H$3:$H$5000&amp;INPUT!$I$3:$I$5000,CHOOSE({1,2},INPUT!$A$3:$A$5000&amp;INPUT!$C$3:$C$5000,INPUT!$D$3:$D$5000),2,FALSE),""))))</f>
        <v>34</v>
      </c>
      <c r="D11" s="116" cm="1">
        <f t="array" ref="D11">SUMPRODUCT((INPUT!$H$3:$H$5000&gt;=$B$2)*(INPUT!$H$3:$H$5000&lt;=$E$2)*(INPUT!$J$3:$J$5000="HARRISON")*ISNUMBER(INPUT!$K$3:$K$5000)*ISNUMBER(SEARCH("FISICO",IFERROR(VLOOKUP(INPUT!$H$3:$H$5000&amp;INPUT!$I$3:$I$5000,CHOOSE({1,2},INPUT!$A$3:$A$5000&amp;INPUT!$C$3:$C$5000,INPUT!$D$3:$D$5000),2,FALSE),""))))</f>
        <v>11</v>
      </c>
      <c r="E11" s="116" cm="1">
        <f t="array" ref="E11">SUMPRODUCT((INPUT!$H$3:$H$5000&gt;=$B$2)*(INPUT!$H$3:$H$5000&lt;=$E$2)*(INPUT!$J$3:$J$5000="HARRISON")*ISNUMBER(INPUT!$K$3:$K$5000)*ISNUMBER(SEARCH("TEC-TAC",IFERROR(VLOOKUP(INPUT!$H$3:$H$5000&amp;INPUT!$I$3:$I$5000,CHOOSE({1,2},INPUT!$A$3:$A$5000&amp;INPUT!$C$3:$C$5000,INPUT!$D$3:$D$5000),2,FALSE),""))))</f>
        <v>131</v>
      </c>
      <c r="F11" s="116" cm="1">
        <f t="array" ref="F11">SUMPRODUCT((INPUT!$H$3:$H$5000&gt;=$B$2)*(INPUT!$H$3:$H$5000&lt;=$E$2)*(INPUT!$J$3:$J$5000="HARRISON")*ISNUMBER(INPUT!$K$3:$K$5000)*ISNUMBER(SEARCH("RECUPERACIÓN",IFERROR(VLOOKUP(INPUT!$H$3:$H$5000&amp;INPUT!$I$3:$I$5000,CHOOSE({1,2},INPUT!$A$3:$A$5000&amp;INPUT!$C$3:$C$5000,INPUT!$D$3:$D$5000),2,FALSE),""))))</f>
        <v>7</v>
      </c>
      <c r="G11" s="116" cm="1">
        <f t="array" ref="G11">SUMPRODUCT((INPUT!$H$3:$H$5000&gt;=$B$2)*(INPUT!$H$3:$H$5000&lt;=$E$2)*(INPUT!$J$3:$J$5000="HARRISON")*ISNUMBER(INPUT!$K$3:$K$5000)*ISNUMBER(SEARCH("PARTIDO",IFERROR(VLOOKUP(INPUT!$H$3:$H$5000&amp;INPUT!$I$3:$I$5000,CHOOSE({1,2},INPUT!$A$3:$A$5000&amp;INPUT!$C$3:$C$5000,INPUT!$D$3:$D$5000),2,FALSE),""))))</f>
        <v>37</v>
      </c>
      <c r="H11" s="117" cm="1">
        <f t="array" ref="H11">SUMPRODUCT((INPUT!$H$3:$H$5000&gt;=$B$2)*(INPUT!$H$3:$H$5000&lt;=$E$2)*(INPUT!$J$3:$J$5000="HARRISON")*ISNUMBER(INPUT!$K$3:$K$5000))</f>
        <v>215</v>
      </c>
      <c r="I11" s="177">
        <f t="shared" si="2"/>
        <v>0.88114754098360659</v>
      </c>
      <c r="J11" s="116">
        <f>COUNTIFS(INPUT!$H$3:$H$5000,"&gt;="&amp;$B$2,INPUT!$H$3:$H$5000,"&lt;="&amp;$E$2,INPUT!$J$3:$J$5000,"HARRISON",INPUT!$K$3:$K$5000,"S")</f>
        <v>25</v>
      </c>
      <c r="K11" s="173">
        <f t="shared" si="3"/>
        <v>0.10245901639344263</v>
      </c>
      <c r="L11" s="116">
        <f>COUNTIFS(INPUT!$H$3:$H$5000,"&gt;="&amp;$B$2,INPUT!$H$3:$H$5000,"&lt;="&amp;$E$2,INPUT!$J$3:$J$5000,"HARRISON",INPUT!$K$3:$K$5000,"A")</f>
        <v>2</v>
      </c>
      <c r="M11" s="173">
        <f t="shared" si="4"/>
        <v>8.1967213114754103E-3</v>
      </c>
      <c r="N11" s="116">
        <f>COUNTIFS(INPUT!$H$3:$H$5000,"&gt;="&amp;$B$2,INPUT!$H$3:$H$5000,"&lt;="&amp;$E$2,INPUT!$J$3:$J$5000,"HARRISON",INPUT!$K$3:$K$5000,"L")</f>
        <v>0</v>
      </c>
      <c r="O11" s="173">
        <f t="shared" si="5"/>
        <v>0</v>
      </c>
      <c r="P11" s="116">
        <f>COUNTIFS(INPUT!$H$3:$H$5000,"&gt;="&amp;$B$2,INPUT!$H$3:$H$5000,"&lt;="&amp;$E$2,INPUT!$J$3:$J$5000,"HARRISON",INPUT!$K$3:$K$5000,"N")</f>
        <v>2</v>
      </c>
      <c r="Q11" s="173">
        <f t="shared" si="6"/>
        <v>8.1967213114754103E-3</v>
      </c>
      <c r="R11" s="116">
        <f>COUNTIFS(INPUT!$H$3:$H$5000,"&gt;="&amp;$B$2,INPUT!$H$3:$H$5000,"&lt;="&amp;$E$2,INPUT!$J$3:$J$5000,"HARRISON",INPUT!$K$3:$K$5000,"D")</f>
        <v>0</v>
      </c>
      <c r="S11" s="173">
        <f t="shared" si="7"/>
        <v>0</v>
      </c>
      <c r="T11" s="116">
        <f>COUNTIFS(INPUT!$H$3:$H$5000,"&gt;="&amp;$B$2,INPUT!$H$3:$H$5000,"&lt;="&amp;$E$2,INPUT!$J$3:$J$5000,"HARRISON",INPUT!$K$3:$K$5000,"NC")</f>
        <v>0</v>
      </c>
      <c r="U11" s="168">
        <f t="shared" si="8"/>
        <v>0</v>
      </c>
      <c r="V11" s="118">
        <f t="shared" si="0"/>
        <v>244</v>
      </c>
      <c r="W11" s="119" t="str">
        <f t="shared" si="1"/>
        <v>✓ OK</v>
      </c>
      <c r="X11" s="120" t="str" cm="1">
        <f t="array" ref="X11">_xlfn.TEXTJOIN(", ",TRUE,IF((INPUT!$A$3:$A$5000&gt;=$B$2)*(INPUT!$A$3:$A$5000&lt;=$E$2)*(INPUT!$A$3:$A$5000&lt;&gt;"")*(COUNTIFS(INPUT!$H$3:$H$5000,INPUT!$A$3:$A$5000,INPUT!$I$3:$I$5000,INPUT!$C$3:$C$5000,INPUT!$J$3:$J$5000,$B11)=0),TEXT(INPUT!$A$3:$A$5000,"dd/mm")&amp;" "&amp;INPUT!$C$3:$C$5000,""))</f>
        <v>20/04 MATINAL, 21/04 MATINAL</v>
      </c>
    </row>
    <row r="12" spans="1:24" s="121" customFormat="1" ht="24" customHeight="1" x14ac:dyDescent="0.2">
      <c r="A12" s="122">
        <v>8</v>
      </c>
      <c r="B12" s="123" t="s">
        <v>48</v>
      </c>
      <c r="C12" s="124" cm="1">
        <f t="array" ref="C12">SUMPRODUCT((INPUT!$H$3:$H$5000&gt;=$B$2)*(INPUT!$H$3:$H$5000&lt;=$E$2)*(INPUT!$J$3:$J$5000="RAYA")*ISNUMBER(INPUT!$K$3:$K$5000)*ISNUMBER(SEARCH("GYM",IFERROR(VLOOKUP(INPUT!$H$3:$H$5000&amp;INPUT!$I$3:$I$5000,CHOOSE({1,2},INPUT!$A$3:$A$5000&amp;INPUT!$C$3:$C$5000,INPUT!$D$3:$D$5000),2,FALSE),""))))</f>
        <v>24</v>
      </c>
      <c r="D12" s="124" cm="1">
        <f t="array" ref="D12">SUMPRODUCT((INPUT!$H$3:$H$5000&gt;=$B$2)*(INPUT!$H$3:$H$5000&lt;=$E$2)*(INPUT!$J$3:$J$5000="RAYA")*ISNUMBER(INPUT!$K$3:$K$5000)*ISNUMBER(SEARCH("FISICO",IFERROR(VLOOKUP(INPUT!$H$3:$H$5000&amp;INPUT!$I$3:$I$5000,CHOOSE({1,2},INPUT!$A$3:$A$5000&amp;INPUT!$C$3:$C$5000,INPUT!$D$3:$D$5000),2,FALSE),""))))</f>
        <v>10</v>
      </c>
      <c r="E12" s="124" cm="1">
        <f t="array" ref="E12">SUMPRODUCT((INPUT!$H$3:$H$5000&gt;=$B$2)*(INPUT!$H$3:$H$5000&lt;=$E$2)*(INPUT!$J$3:$J$5000="RAYA")*ISNUMBER(INPUT!$K$3:$K$5000)*ISNUMBER(SEARCH("TEC-TAC",IFERROR(VLOOKUP(INPUT!$H$3:$H$5000&amp;INPUT!$I$3:$I$5000,CHOOSE({1,2},INPUT!$A$3:$A$5000&amp;INPUT!$C$3:$C$5000,INPUT!$D$3:$D$5000),2,FALSE),""))))</f>
        <v>103</v>
      </c>
      <c r="F12" s="124" cm="1">
        <f t="array" ref="F12">SUMPRODUCT((INPUT!$H$3:$H$5000&gt;=$B$2)*(INPUT!$H$3:$H$5000&lt;=$E$2)*(INPUT!$J$3:$J$5000="RAYA")*ISNUMBER(INPUT!$K$3:$K$5000)*ISNUMBER(SEARCH("RECUPERACIÓN",IFERROR(VLOOKUP(INPUT!$H$3:$H$5000&amp;INPUT!$I$3:$I$5000,CHOOSE({1,2},INPUT!$A$3:$A$5000&amp;INPUT!$C$3:$C$5000,INPUT!$D$3:$D$5000),2,FALSE),""))))</f>
        <v>7</v>
      </c>
      <c r="G12" s="124" cm="1">
        <f t="array" ref="G12">SUMPRODUCT((INPUT!$H$3:$H$5000&gt;=$B$2)*(INPUT!$H$3:$H$5000&lt;=$E$2)*(INPUT!$J$3:$J$5000="RAYA")*ISNUMBER(INPUT!$K$3:$K$5000)*ISNUMBER(SEARCH("PARTIDO",IFERROR(VLOOKUP(INPUT!$H$3:$H$5000&amp;INPUT!$I$3:$I$5000,CHOOSE({1,2},INPUT!$A$3:$A$5000&amp;INPUT!$C$3:$C$5000,INPUT!$D$3:$D$5000),2,FALSE),""))))</f>
        <v>36</v>
      </c>
      <c r="H12" s="126" cm="1">
        <f t="array" ref="H12">SUMPRODUCT((INPUT!$H$3:$H$5000&gt;=$B$2)*(INPUT!$H$3:$H$5000&lt;=$E$2)*(INPUT!$J$3:$J$5000="RAYA")*ISNUMBER(INPUT!$K$3:$K$5000))</f>
        <v>183</v>
      </c>
      <c r="I12" s="178">
        <f t="shared" si="2"/>
        <v>0.75</v>
      </c>
      <c r="J12" s="124">
        <f>COUNTIFS(INPUT!$H$3:$H$5000,"&gt;="&amp;$B$2,INPUT!$H$3:$H$5000,"&lt;="&amp;$E$2,INPUT!$J$3:$J$5000,"RAYA",INPUT!$K$3:$K$5000,"S")</f>
        <v>27</v>
      </c>
      <c r="K12" s="174">
        <f t="shared" si="3"/>
        <v>0.11065573770491803</v>
      </c>
      <c r="L12" s="124">
        <f>COUNTIFS(INPUT!$H$3:$H$5000,"&gt;="&amp;$B$2,INPUT!$H$3:$H$5000,"&lt;="&amp;$E$2,INPUT!$J$3:$J$5000,"RAYA",INPUT!$K$3:$K$5000,"A")</f>
        <v>0</v>
      </c>
      <c r="M12" s="174">
        <f t="shared" si="4"/>
        <v>0</v>
      </c>
      <c r="N12" s="124">
        <f>COUNTIFS(INPUT!$H$3:$H$5000,"&gt;="&amp;$B$2,INPUT!$H$3:$H$5000,"&lt;="&amp;$E$2,INPUT!$J$3:$J$5000,"RAYA",INPUT!$K$3:$K$5000,"L")</f>
        <v>33</v>
      </c>
      <c r="O12" s="174">
        <f t="shared" si="5"/>
        <v>0.13524590163934427</v>
      </c>
      <c r="P12" s="124">
        <f>COUNTIFS(INPUT!$H$3:$H$5000,"&gt;="&amp;$B$2,INPUT!$H$3:$H$5000,"&lt;="&amp;$E$2,INPUT!$J$3:$J$5000,"RAYA",INPUT!$K$3:$K$5000,"N")</f>
        <v>1</v>
      </c>
      <c r="Q12" s="174">
        <f t="shared" si="6"/>
        <v>4.0983606557377051E-3</v>
      </c>
      <c r="R12" s="124">
        <f>COUNTIFS(INPUT!$H$3:$H$5000,"&gt;="&amp;$B$2,INPUT!$H$3:$H$5000,"&lt;="&amp;$E$2,INPUT!$J$3:$J$5000,"RAYA",INPUT!$K$3:$K$5000,"D")</f>
        <v>0</v>
      </c>
      <c r="S12" s="174">
        <f t="shared" si="7"/>
        <v>0</v>
      </c>
      <c r="T12" s="124">
        <f>COUNTIFS(INPUT!$H$3:$H$5000,"&gt;="&amp;$B$2,INPUT!$H$3:$H$5000,"&lt;="&amp;$E$2,INPUT!$J$3:$J$5000,"RAYA",INPUT!$K$3:$K$5000,"NC")</f>
        <v>0</v>
      </c>
      <c r="U12" s="169">
        <f t="shared" si="8"/>
        <v>0</v>
      </c>
      <c r="V12" s="125">
        <f t="shared" si="0"/>
        <v>244</v>
      </c>
      <c r="W12" s="119" t="str">
        <f t="shared" si="1"/>
        <v>✓ OK</v>
      </c>
      <c r="X12" s="120" t="str" cm="1">
        <f t="array" ref="X12">_xlfn.TEXTJOIN(", ",TRUE,IF((INPUT!$A$3:$A$5000&gt;=$B$2)*(INPUT!$A$3:$A$5000&lt;=$E$2)*(INPUT!$A$3:$A$5000&lt;&gt;"")*(COUNTIFS(INPUT!$H$3:$H$5000,INPUT!$A$3:$A$5000,INPUT!$I$3:$I$5000,INPUT!$C$3:$C$5000,INPUT!$J$3:$J$5000,$B12)=0),TEXT(INPUT!$A$3:$A$5000,"dd/mm")&amp;" "&amp;INPUT!$C$3:$C$5000,""))</f>
        <v>20/04 MATINAL, 21/04 MATINAL</v>
      </c>
    </row>
    <row r="13" spans="1:24" s="121" customFormat="1" ht="24" customHeight="1" x14ac:dyDescent="0.2">
      <c r="A13" s="114">
        <v>9</v>
      </c>
      <c r="B13" s="115" t="s">
        <v>49</v>
      </c>
      <c r="C13" s="116" cm="1">
        <f t="array" ref="C13">SUMPRODUCT((INPUT!$H$3:$H$5000&gt;=$B$2)*(INPUT!$H$3:$H$5000&lt;=$E$2)*(INPUT!$J$3:$J$5000="JAVI")*ISNUMBER(INPUT!$K$3:$K$5000)*ISNUMBER(SEARCH("GYM",IFERROR(VLOOKUP(INPUT!$H$3:$H$5000&amp;INPUT!$I$3:$I$5000,CHOOSE({1,2},INPUT!$A$3:$A$5000&amp;INPUT!$C$3:$C$5000,INPUT!$D$3:$D$5000),2,FALSE),""))))</f>
        <v>36</v>
      </c>
      <c r="D13" s="116" cm="1">
        <f t="array" ref="D13">SUMPRODUCT((INPUT!$H$3:$H$5000&gt;=$B$2)*(INPUT!$H$3:$H$5000&lt;=$E$2)*(INPUT!$J$3:$J$5000="JAVI")*ISNUMBER(INPUT!$K$3:$K$5000)*ISNUMBER(SEARCH("FISICO",IFERROR(VLOOKUP(INPUT!$H$3:$H$5000&amp;INPUT!$I$3:$I$5000,CHOOSE({1,2},INPUT!$A$3:$A$5000&amp;INPUT!$C$3:$C$5000,INPUT!$D$3:$D$5000),2,FALSE),""))))</f>
        <v>12</v>
      </c>
      <c r="E13" s="116" cm="1">
        <f t="array" ref="E13">SUMPRODUCT((INPUT!$H$3:$H$5000&gt;=$B$2)*(INPUT!$H$3:$H$5000&lt;=$E$2)*(INPUT!$J$3:$J$5000="JAVI")*ISNUMBER(INPUT!$K$3:$K$5000)*ISNUMBER(SEARCH("TEC-TAC",IFERROR(VLOOKUP(INPUT!$H$3:$H$5000&amp;INPUT!$I$3:$I$5000,CHOOSE({1,2},INPUT!$A$3:$A$5000&amp;INPUT!$C$3:$C$5000,INPUT!$D$3:$D$5000),2,FALSE),""))))</f>
        <v>133</v>
      </c>
      <c r="F13" s="116" cm="1">
        <f t="array" ref="F13">SUMPRODUCT((INPUT!$H$3:$H$5000&gt;=$B$2)*(INPUT!$H$3:$H$5000&lt;=$E$2)*(INPUT!$J$3:$J$5000="JAVI")*ISNUMBER(INPUT!$K$3:$K$5000)*ISNUMBER(SEARCH("RECUPERACIÓN",IFERROR(VLOOKUP(INPUT!$H$3:$H$5000&amp;INPUT!$I$3:$I$5000,CHOOSE({1,2},INPUT!$A$3:$A$5000&amp;INPUT!$C$3:$C$5000,INPUT!$D$3:$D$5000),2,FALSE),""))))</f>
        <v>5</v>
      </c>
      <c r="G13" s="116" cm="1">
        <f t="array" ref="G13">SUMPRODUCT((INPUT!$H$3:$H$5000&gt;=$B$2)*(INPUT!$H$3:$H$5000&lt;=$E$2)*(INPUT!$J$3:$J$5000="JAVI")*ISNUMBER(INPUT!$K$3:$K$5000)*ISNUMBER(SEARCH("PARTIDO",IFERROR(VLOOKUP(INPUT!$H$3:$H$5000&amp;INPUT!$I$3:$I$5000,CHOOSE({1,2},INPUT!$A$3:$A$5000&amp;INPUT!$C$3:$C$5000,INPUT!$D$3:$D$5000),2,FALSE),""))))</f>
        <v>40</v>
      </c>
      <c r="H13" s="117" cm="1">
        <f t="array" ref="H13">SUMPRODUCT((INPUT!$H$3:$H$5000&gt;=$B$2)*(INPUT!$H$3:$H$5000&lt;=$E$2)*(INPUT!$J$3:$J$5000="JAVI")*ISNUMBER(INPUT!$K$3:$K$5000))</f>
        <v>215</v>
      </c>
      <c r="I13" s="177">
        <f t="shared" si="2"/>
        <v>0.88114754098360659</v>
      </c>
      <c r="J13" s="116">
        <f>COUNTIFS(INPUT!$H$3:$H$5000,"&gt;="&amp;$B$2,INPUT!$H$3:$H$5000,"&lt;="&amp;$E$2,INPUT!$J$3:$J$5000,"JAVI",INPUT!$K$3:$K$5000,"S")</f>
        <v>18</v>
      </c>
      <c r="K13" s="173">
        <f t="shared" si="3"/>
        <v>7.3770491803278687E-2</v>
      </c>
      <c r="L13" s="116">
        <f>COUNTIFS(INPUT!$H$3:$H$5000,"&gt;="&amp;$B$2,INPUT!$H$3:$H$5000,"&lt;="&amp;$E$2,INPUT!$J$3:$J$5000,"JAVI",INPUT!$K$3:$K$5000,"A")</f>
        <v>5</v>
      </c>
      <c r="M13" s="173">
        <f t="shared" si="4"/>
        <v>2.0491803278688523E-2</v>
      </c>
      <c r="N13" s="116">
        <f>COUNTIFS(INPUT!$H$3:$H$5000,"&gt;="&amp;$B$2,INPUT!$H$3:$H$5000,"&lt;="&amp;$E$2,INPUT!$J$3:$J$5000,"JAVI",INPUT!$K$3:$K$5000,"L")</f>
        <v>6</v>
      </c>
      <c r="O13" s="173">
        <f t="shared" si="5"/>
        <v>2.4590163934426229E-2</v>
      </c>
      <c r="P13" s="116">
        <f>COUNTIFS(INPUT!$H$3:$H$5000,"&gt;="&amp;$B$2,INPUT!$H$3:$H$5000,"&lt;="&amp;$E$2,INPUT!$J$3:$J$5000,"JAVI",INPUT!$K$3:$K$5000,"N")</f>
        <v>0</v>
      </c>
      <c r="Q13" s="173">
        <f t="shared" si="6"/>
        <v>0</v>
      </c>
      <c r="R13" s="116">
        <f>COUNTIFS(INPUT!$H$3:$H$5000,"&gt;="&amp;$B$2,INPUT!$H$3:$H$5000,"&lt;="&amp;$E$2,INPUT!$J$3:$J$5000,"JAVI",INPUT!$K$3:$K$5000,"D")</f>
        <v>0</v>
      </c>
      <c r="S13" s="173">
        <f t="shared" si="7"/>
        <v>0</v>
      </c>
      <c r="T13" s="116">
        <f>COUNTIFS(INPUT!$H$3:$H$5000,"&gt;="&amp;$B$2,INPUT!$H$3:$H$5000,"&lt;="&amp;$E$2,INPUT!$J$3:$J$5000,"JAVI",INPUT!$K$3:$K$5000,"NC")</f>
        <v>0</v>
      </c>
      <c r="U13" s="168">
        <f t="shared" si="8"/>
        <v>0</v>
      </c>
      <c r="V13" s="118">
        <f t="shared" si="0"/>
        <v>244</v>
      </c>
      <c r="W13" s="119" t="str">
        <f t="shared" si="1"/>
        <v>✓ OK</v>
      </c>
      <c r="X13" s="120" t="str" cm="1">
        <f t="array" ref="X13">_xlfn.TEXTJOIN(", ",TRUE,IF((INPUT!$A$3:$A$5000&gt;=$B$2)*(INPUT!$A$3:$A$5000&lt;=$E$2)*(INPUT!$A$3:$A$5000&lt;&gt;"")*(COUNTIFS(INPUT!$H$3:$H$5000,INPUT!$A$3:$A$5000,INPUT!$I$3:$I$5000,INPUT!$C$3:$C$5000,INPUT!$J$3:$J$5000,$B13)=0),TEXT(INPUT!$A$3:$A$5000,"dd/mm")&amp;" "&amp;INPUT!$C$3:$C$5000,""))</f>
        <v>20/04 MATINAL, 21/04 MATINAL</v>
      </c>
    </row>
    <row r="14" spans="1:24" s="121" customFormat="1" ht="24" customHeight="1" x14ac:dyDescent="0.2">
      <c r="A14" s="122">
        <v>10</v>
      </c>
      <c r="B14" s="123" t="s">
        <v>50</v>
      </c>
      <c r="C14" s="124" cm="1">
        <f t="array" ref="C14">SUMPRODUCT((INPUT!$H$3:$H$5000&gt;=$B$2)*(INPUT!$H$3:$H$5000&lt;=$E$2)*(INPUT!$J$3:$J$5000="PANI")*ISNUMBER(INPUT!$K$3:$K$5000)*ISNUMBER(SEARCH("GYM",IFERROR(VLOOKUP(INPUT!$H$3:$H$5000&amp;INPUT!$I$3:$I$5000,CHOOSE({1,2},INPUT!$A$3:$A$5000&amp;INPUT!$C$3:$C$5000,INPUT!$D$3:$D$5000),2,FALSE),""))))</f>
        <v>37</v>
      </c>
      <c r="D14" s="124" cm="1">
        <f t="array" ref="D14">SUMPRODUCT((INPUT!$H$3:$H$5000&gt;=$B$2)*(INPUT!$H$3:$H$5000&lt;=$E$2)*(INPUT!$J$3:$J$5000="PANI")*ISNUMBER(INPUT!$K$3:$K$5000)*ISNUMBER(SEARCH("FISICO",IFERROR(VLOOKUP(INPUT!$H$3:$H$5000&amp;INPUT!$I$3:$I$5000,CHOOSE({1,2},INPUT!$A$3:$A$5000&amp;INPUT!$C$3:$C$5000,INPUT!$D$3:$D$5000),2,FALSE),""))))</f>
        <v>13</v>
      </c>
      <c r="E14" s="124" cm="1">
        <f t="array" ref="E14">SUMPRODUCT((INPUT!$H$3:$H$5000&gt;=$B$2)*(INPUT!$H$3:$H$5000&lt;=$E$2)*(INPUT!$J$3:$J$5000="PANI")*ISNUMBER(INPUT!$K$3:$K$5000)*ISNUMBER(SEARCH("TEC-TAC",IFERROR(VLOOKUP(INPUT!$H$3:$H$5000&amp;INPUT!$I$3:$I$5000,CHOOSE({1,2},INPUT!$A$3:$A$5000&amp;INPUT!$C$3:$C$5000,INPUT!$D$3:$D$5000),2,FALSE),""))))</f>
        <v>134</v>
      </c>
      <c r="F14" s="124" cm="1">
        <f t="array" ref="F14">SUMPRODUCT((INPUT!$H$3:$H$5000&gt;=$B$2)*(INPUT!$H$3:$H$5000&lt;=$E$2)*(INPUT!$J$3:$J$5000="PANI")*ISNUMBER(INPUT!$K$3:$K$5000)*ISNUMBER(SEARCH("RECUPERACIÓN",IFERROR(VLOOKUP(INPUT!$H$3:$H$5000&amp;INPUT!$I$3:$I$5000,CHOOSE({1,2},INPUT!$A$3:$A$5000&amp;INPUT!$C$3:$C$5000,INPUT!$D$3:$D$5000),2,FALSE),""))))</f>
        <v>4</v>
      </c>
      <c r="G14" s="124" cm="1">
        <f t="array" ref="G14">SUMPRODUCT((INPUT!$H$3:$H$5000&gt;=$B$2)*(INPUT!$H$3:$H$5000&lt;=$E$2)*(INPUT!$J$3:$J$5000="PANI")*ISNUMBER(INPUT!$K$3:$K$5000)*ISNUMBER(SEARCH("PARTIDO",IFERROR(VLOOKUP(INPUT!$H$3:$H$5000&amp;INPUT!$I$3:$I$5000,CHOOSE({1,2},INPUT!$A$3:$A$5000&amp;INPUT!$C$3:$C$5000,INPUT!$D$3:$D$5000),2,FALSE),""))))</f>
        <v>37</v>
      </c>
      <c r="H14" s="126" cm="1">
        <f t="array" ref="H14">SUMPRODUCT((INPUT!$H$3:$H$5000&gt;=$B$2)*(INPUT!$H$3:$H$5000&lt;=$E$2)*(INPUT!$J$3:$J$5000="PANI")*ISNUMBER(INPUT!$K$3:$K$5000))</f>
        <v>211</v>
      </c>
      <c r="I14" s="178">
        <f t="shared" si="2"/>
        <v>0.86475409836065575</v>
      </c>
      <c r="J14" s="124">
        <f>COUNTIFS(INPUT!$H$3:$H$5000,"&gt;="&amp;$B$2,INPUT!$H$3:$H$5000,"&lt;="&amp;$E$2,INPUT!$J$3:$J$5000,"PANI",INPUT!$K$3:$K$5000,"S")</f>
        <v>11</v>
      </c>
      <c r="K14" s="174">
        <f t="shared" si="3"/>
        <v>4.5081967213114756E-2</v>
      </c>
      <c r="L14" s="124">
        <f>COUNTIFS(INPUT!$H$3:$H$5000,"&gt;="&amp;$B$2,INPUT!$H$3:$H$5000,"&lt;="&amp;$E$2,INPUT!$J$3:$J$5000,"PANI",INPUT!$K$3:$K$5000,"A")</f>
        <v>1</v>
      </c>
      <c r="M14" s="174">
        <f t="shared" si="4"/>
        <v>4.0983606557377051E-3</v>
      </c>
      <c r="N14" s="124">
        <f>COUNTIFS(INPUT!$H$3:$H$5000,"&gt;="&amp;$B$2,INPUT!$H$3:$H$5000,"&lt;="&amp;$E$2,INPUT!$J$3:$J$5000,"PANI",INPUT!$K$3:$K$5000,"L")</f>
        <v>21</v>
      </c>
      <c r="O14" s="174">
        <f t="shared" si="5"/>
        <v>8.6065573770491802E-2</v>
      </c>
      <c r="P14" s="124">
        <f>COUNTIFS(INPUT!$H$3:$H$5000,"&gt;="&amp;$B$2,INPUT!$H$3:$H$5000,"&lt;="&amp;$E$2,INPUT!$J$3:$J$5000,"PANI",INPUT!$K$3:$K$5000,"N")</f>
        <v>0</v>
      </c>
      <c r="Q14" s="174">
        <f t="shared" si="6"/>
        <v>0</v>
      </c>
      <c r="R14" s="124">
        <f>COUNTIFS(INPUT!$H$3:$H$5000,"&gt;="&amp;$B$2,INPUT!$H$3:$H$5000,"&lt;="&amp;$E$2,INPUT!$J$3:$J$5000,"PANI",INPUT!$K$3:$K$5000,"D")</f>
        <v>0</v>
      </c>
      <c r="S14" s="174">
        <f t="shared" si="7"/>
        <v>0</v>
      </c>
      <c r="T14" s="124">
        <f>COUNTIFS(INPUT!$H$3:$H$5000,"&gt;="&amp;$B$2,INPUT!$H$3:$H$5000,"&lt;="&amp;$E$2,INPUT!$J$3:$J$5000,"PANI",INPUT!$K$3:$K$5000,"NC")</f>
        <v>0</v>
      </c>
      <c r="U14" s="169">
        <f t="shared" si="8"/>
        <v>0</v>
      </c>
      <c r="V14" s="125">
        <f t="shared" si="0"/>
        <v>244</v>
      </c>
      <c r="W14" s="119" t="str">
        <f t="shared" si="1"/>
        <v>✓ OK</v>
      </c>
      <c r="X14" s="120" t="str" cm="1">
        <f t="array" ref="X14">_xlfn.TEXTJOIN(", ",TRUE,IF((INPUT!$A$3:$A$5000&gt;=$B$2)*(INPUT!$A$3:$A$5000&lt;=$E$2)*(INPUT!$A$3:$A$5000&lt;&gt;"")*(COUNTIFS(INPUT!$H$3:$H$5000,INPUT!$A$3:$A$5000,INPUT!$I$3:$I$5000,INPUT!$C$3:$C$5000,INPUT!$J$3:$J$5000,$B14)=0),TEXT(INPUT!$A$3:$A$5000,"dd/mm")&amp;" "&amp;INPUT!$C$3:$C$5000,""))</f>
        <v>20/04 MATINAL, 21/04 MATINAL</v>
      </c>
    </row>
    <row r="15" spans="1:24" s="121" customFormat="1" ht="24" customHeight="1" x14ac:dyDescent="0.2">
      <c r="A15" s="114">
        <v>11</v>
      </c>
      <c r="B15" s="115" t="s">
        <v>51</v>
      </c>
      <c r="C15" s="116" cm="1">
        <f t="array" ref="C15">SUMPRODUCT((INPUT!$H$3:$H$5000&gt;=$B$2)*(INPUT!$H$3:$H$5000&lt;=$E$2)*(INPUT!$J$3:$J$5000="PIRATA")*ISNUMBER(INPUT!$K$3:$K$5000)*ISNUMBER(SEARCH("GYM",IFERROR(VLOOKUP(INPUT!$H$3:$H$5000&amp;INPUT!$I$3:$I$5000,CHOOSE({1,2},INPUT!$A$3:$A$5000&amp;INPUT!$C$3:$C$5000,INPUT!$D$3:$D$5000),2,FALSE),""))))</f>
        <v>41</v>
      </c>
      <c r="D15" s="116" cm="1">
        <f t="array" ref="D15">SUMPRODUCT((INPUT!$H$3:$H$5000&gt;=$B$2)*(INPUT!$H$3:$H$5000&lt;=$E$2)*(INPUT!$J$3:$J$5000="PIRATA")*ISNUMBER(INPUT!$K$3:$K$5000)*ISNUMBER(SEARCH("FISICO",IFERROR(VLOOKUP(INPUT!$H$3:$H$5000&amp;INPUT!$I$3:$I$5000,CHOOSE({1,2},INPUT!$A$3:$A$5000&amp;INPUT!$C$3:$C$5000,INPUT!$D$3:$D$5000),2,FALSE),""))))</f>
        <v>15</v>
      </c>
      <c r="E15" s="116" cm="1">
        <f t="array" ref="E15">SUMPRODUCT((INPUT!$H$3:$H$5000&gt;=$B$2)*(INPUT!$H$3:$H$5000&lt;=$E$2)*(INPUT!$J$3:$J$5000="PIRATA")*ISNUMBER(INPUT!$K$3:$K$5000)*ISNUMBER(SEARCH("TEC-TAC",IFERROR(VLOOKUP(INPUT!$H$3:$H$5000&amp;INPUT!$I$3:$I$5000,CHOOSE({1,2},INPUT!$A$3:$A$5000&amp;INPUT!$C$3:$C$5000,INPUT!$D$3:$D$5000),2,FALSE),""))))</f>
        <v>150</v>
      </c>
      <c r="F15" s="116" cm="1">
        <f t="array" ref="F15">SUMPRODUCT((INPUT!$H$3:$H$5000&gt;=$B$2)*(INPUT!$H$3:$H$5000&lt;=$E$2)*(INPUT!$J$3:$J$5000="PIRATA")*ISNUMBER(INPUT!$K$3:$K$5000)*ISNUMBER(SEARCH("RECUPERACIÓN",IFERROR(VLOOKUP(INPUT!$H$3:$H$5000&amp;INPUT!$I$3:$I$5000,CHOOSE({1,2},INPUT!$A$3:$A$5000&amp;INPUT!$C$3:$C$5000,INPUT!$D$3:$D$5000),2,FALSE),""))))</f>
        <v>7</v>
      </c>
      <c r="G15" s="116" cm="1">
        <f t="array" ref="G15">SUMPRODUCT((INPUT!$H$3:$H$5000&gt;=$B$2)*(INPUT!$H$3:$H$5000&lt;=$E$2)*(INPUT!$J$3:$J$5000="PIRATA")*ISNUMBER(INPUT!$K$3:$K$5000)*ISNUMBER(SEARCH("PARTIDO",IFERROR(VLOOKUP(INPUT!$H$3:$H$5000&amp;INPUT!$I$3:$I$5000,CHOOSE({1,2},INPUT!$A$3:$A$5000&amp;INPUT!$C$3:$C$5000,INPUT!$D$3:$D$5000),2,FALSE),""))))</f>
        <v>42</v>
      </c>
      <c r="H15" s="117" cm="1">
        <f t="array" ref="H15">SUMPRODUCT((INPUT!$H$3:$H$5000&gt;=$B$2)*(INPUT!$H$3:$H$5000&lt;=$E$2)*(INPUT!$J$3:$J$5000="PIRATA")*ISNUMBER(INPUT!$K$3:$K$5000))</f>
        <v>243</v>
      </c>
      <c r="I15" s="177">
        <f t="shared" si="2"/>
        <v>0.99590163934426235</v>
      </c>
      <c r="J15" s="116">
        <f>COUNTIFS(INPUT!$H$3:$H$5000,"&gt;="&amp;$B$2,INPUT!$H$3:$H$5000,"&lt;="&amp;$E$2,INPUT!$J$3:$J$5000,"PIRATA",INPUT!$K$3:$K$5000,"S")</f>
        <v>0</v>
      </c>
      <c r="K15" s="173">
        <f t="shared" si="3"/>
        <v>0</v>
      </c>
      <c r="L15" s="116">
        <f>COUNTIFS(INPUT!$H$3:$H$5000,"&gt;="&amp;$B$2,INPUT!$H$3:$H$5000,"&lt;="&amp;$E$2,INPUT!$J$3:$J$5000,"PIRATA",INPUT!$K$3:$K$5000,"A")</f>
        <v>1</v>
      </c>
      <c r="M15" s="173">
        <f t="shared" si="4"/>
        <v>4.0983606557377051E-3</v>
      </c>
      <c r="N15" s="116">
        <f>COUNTIFS(INPUT!$H$3:$H$5000,"&gt;="&amp;$B$2,INPUT!$H$3:$H$5000,"&lt;="&amp;$E$2,INPUT!$J$3:$J$5000,"PIRATA",INPUT!$K$3:$K$5000,"L")</f>
        <v>0</v>
      </c>
      <c r="O15" s="173">
        <f t="shared" si="5"/>
        <v>0</v>
      </c>
      <c r="P15" s="116">
        <f>COUNTIFS(INPUT!$H$3:$H$5000,"&gt;="&amp;$B$2,INPUT!$H$3:$H$5000,"&lt;="&amp;$E$2,INPUT!$J$3:$J$5000,"PIRATA",INPUT!$K$3:$K$5000,"N")</f>
        <v>0</v>
      </c>
      <c r="Q15" s="173">
        <f t="shared" si="6"/>
        <v>0</v>
      </c>
      <c r="R15" s="116">
        <f>COUNTIFS(INPUT!$H$3:$H$5000,"&gt;="&amp;$B$2,INPUT!$H$3:$H$5000,"&lt;="&amp;$E$2,INPUT!$J$3:$J$5000,"PIRATA",INPUT!$K$3:$K$5000,"D")</f>
        <v>0</v>
      </c>
      <c r="S15" s="173">
        <f t="shared" si="7"/>
        <v>0</v>
      </c>
      <c r="T15" s="116">
        <f>COUNTIFS(INPUT!$H$3:$H$5000,"&gt;="&amp;$B$2,INPUT!$H$3:$H$5000,"&lt;="&amp;$E$2,INPUT!$J$3:$J$5000,"PIRATA",INPUT!$K$3:$K$5000,"NC")</f>
        <v>0</v>
      </c>
      <c r="U15" s="168">
        <f t="shared" si="8"/>
        <v>0</v>
      </c>
      <c r="V15" s="118">
        <f t="shared" si="0"/>
        <v>244</v>
      </c>
      <c r="W15" s="119" t="str">
        <f t="shared" si="1"/>
        <v>✓ OK</v>
      </c>
      <c r="X15" s="120" t="str" cm="1">
        <f t="array" ref="X15">_xlfn.TEXTJOIN(", ",TRUE,IF((INPUT!$A$3:$A$5000&gt;=$B$2)*(INPUT!$A$3:$A$5000&lt;=$E$2)*(INPUT!$A$3:$A$5000&lt;&gt;"")*(COUNTIFS(INPUT!$H$3:$H$5000,INPUT!$A$3:$A$5000,INPUT!$I$3:$I$5000,INPUT!$C$3:$C$5000,INPUT!$J$3:$J$5000,$B15)=0),TEXT(INPUT!$A$3:$A$5000,"dd/mm")&amp;" "&amp;INPUT!$C$3:$C$5000,""))</f>
        <v>20/04 MATINAL, 21/04 MATINAL</v>
      </c>
    </row>
    <row r="16" spans="1:24" s="121" customFormat="1" ht="24" customHeight="1" x14ac:dyDescent="0.2">
      <c r="A16" s="122">
        <v>12</v>
      </c>
      <c r="B16" s="123" t="s">
        <v>52</v>
      </c>
      <c r="C16" s="124" cm="1">
        <f t="array" ref="C16">SUMPRODUCT((INPUT!$H$3:$H$5000&gt;=$B$2)*(INPUT!$H$3:$H$5000&lt;=$E$2)*(INPUT!$J$3:$J$5000="BARONA")*ISNUMBER(INPUT!$K$3:$K$5000)*ISNUMBER(SEARCH("GYM",IFERROR(VLOOKUP(INPUT!$H$3:$H$5000&amp;INPUT!$I$3:$I$5000,CHOOSE({1,2},INPUT!$A$3:$A$5000&amp;INPUT!$C$3:$C$5000,INPUT!$D$3:$D$5000),2,FALSE),""))))</f>
        <v>34</v>
      </c>
      <c r="D16" s="124" cm="1">
        <f t="array" ref="D16">SUMPRODUCT((INPUT!$H$3:$H$5000&gt;=$B$2)*(INPUT!$H$3:$H$5000&lt;=$E$2)*(INPUT!$J$3:$J$5000="BARONA")*ISNUMBER(INPUT!$K$3:$K$5000)*ISNUMBER(SEARCH("FISICO",IFERROR(VLOOKUP(INPUT!$H$3:$H$5000&amp;INPUT!$I$3:$I$5000,CHOOSE({1,2},INPUT!$A$3:$A$5000&amp;INPUT!$C$3:$C$5000,INPUT!$D$3:$D$5000),2,FALSE),""))))</f>
        <v>12</v>
      </c>
      <c r="E16" s="124" cm="1">
        <f t="array" ref="E16">SUMPRODUCT((INPUT!$H$3:$H$5000&gt;=$B$2)*(INPUT!$H$3:$H$5000&lt;=$E$2)*(INPUT!$J$3:$J$5000="BARONA")*ISNUMBER(INPUT!$K$3:$K$5000)*ISNUMBER(SEARCH("TEC-TAC",IFERROR(VLOOKUP(INPUT!$H$3:$H$5000&amp;INPUT!$I$3:$I$5000,CHOOSE({1,2},INPUT!$A$3:$A$5000&amp;INPUT!$C$3:$C$5000,INPUT!$D$3:$D$5000),2,FALSE),""))))</f>
        <v>125</v>
      </c>
      <c r="F16" s="124" cm="1">
        <f t="array" ref="F16">SUMPRODUCT((INPUT!$H$3:$H$5000&gt;=$B$2)*(INPUT!$H$3:$H$5000&lt;=$E$2)*(INPUT!$J$3:$J$5000="BARONA")*ISNUMBER(INPUT!$K$3:$K$5000)*ISNUMBER(SEARCH("RECUPERACIÓN",IFERROR(VLOOKUP(INPUT!$H$3:$H$5000&amp;INPUT!$I$3:$I$5000,CHOOSE({1,2},INPUT!$A$3:$A$5000&amp;INPUT!$C$3:$C$5000,INPUT!$D$3:$D$5000),2,FALSE),""))))</f>
        <v>7</v>
      </c>
      <c r="G16" s="124" cm="1">
        <f t="array" ref="G16">SUMPRODUCT((INPUT!$H$3:$H$5000&gt;=$B$2)*(INPUT!$H$3:$H$5000&lt;=$E$2)*(INPUT!$J$3:$J$5000="BARONA")*ISNUMBER(INPUT!$K$3:$K$5000)*ISNUMBER(SEARCH("PARTIDO",IFERROR(VLOOKUP(INPUT!$H$3:$H$5000&amp;INPUT!$I$3:$I$5000,CHOOSE({1,2},INPUT!$A$3:$A$5000&amp;INPUT!$C$3:$C$5000,INPUT!$D$3:$D$5000),2,FALSE),""))))</f>
        <v>27</v>
      </c>
      <c r="H16" s="126" cm="1">
        <f t="array" ref="H16">SUMPRODUCT((INPUT!$H$3:$H$5000&gt;=$B$2)*(INPUT!$H$3:$H$5000&lt;=$E$2)*(INPUT!$J$3:$J$5000="BARONA")*ISNUMBER(INPUT!$K$3:$K$5000))</f>
        <v>198</v>
      </c>
      <c r="I16" s="178">
        <f t="shared" si="2"/>
        <v>0.81147540983606559</v>
      </c>
      <c r="J16" s="124">
        <f>COUNTIFS(INPUT!$H$3:$H$5000,"&gt;="&amp;$B$2,INPUT!$H$3:$H$5000,"&lt;="&amp;$E$2,INPUT!$J$3:$J$5000,"BARONA",INPUT!$K$3:$K$5000,"S")</f>
        <v>0</v>
      </c>
      <c r="K16" s="174">
        <f t="shared" si="3"/>
        <v>0</v>
      </c>
      <c r="L16" s="124">
        <f>COUNTIFS(INPUT!$H$3:$H$5000,"&gt;="&amp;$B$2,INPUT!$H$3:$H$5000,"&lt;="&amp;$E$2,INPUT!$J$3:$J$5000,"BARONA",INPUT!$K$3:$K$5000,"A")</f>
        <v>0</v>
      </c>
      <c r="M16" s="174">
        <f t="shared" si="4"/>
        <v>0</v>
      </c>
      <c r="N16" s="124">
        <f>COUNTIFS(INPUT!$H$3:$H$5000,"&gt;="&amp;$B$2,INPUT!$H$3:$H$5000,"&lt;="&amp;$E$2,INPUT!$J$3:$J$5000,"BARONA",INPUT!$K$3:$K$5000,"L")</f>
        <v>39</v>
      </c>
      <c r="O16" s="174">
        <f t="shared" si="5"/>
        <v>0.1598360655737705</v>
      </c>
      <c r="P16" s="124">
        <f>COUNTIFS(INPUT!$H$3:$H$5000,"&gt;="&amp;$B$2,INPUT!$H$3:$H$5000,"&lt;="&amp;$E$2,INPUT!$J$3:$J$5000,"BARONA",INPUT!$K$3:$K$5000,"N")</f>
        <v>7</v>
      </c>
      <c r="Q16" s="174">
        <f t="shared" si="6"/>
        <v>2.8688524590163935E-2</v>
      </c>
      <c r="R16" s="124">
        <f>COUNTIFS(INPUT!$H$3:$H$5000,"&gt;="&amp;$B$2,INPUT!$H$3:$H$5000,"&lt;="&amp;$E$2,INPUT!$J$3:$J$5000,"BARONA",INPUT!$K$3:$K$5000,"D")</f>
        <v>0</v>
      </c>
      <c r="S16" s="174">
        <f t="shared" si="7"/>
        <v>0</v>
      </c>
      <c r="T16" s="124">
        <f>COUNTIFS(INPUT!$H$3:$H$5000,"&gt;="&amp;$B$2,INPUT!$H$3:$H$5000,"&lt;="&amp;$E$2,INPUT!$J$3:$J$5000,"BARONA",INPUT!$K$3:$K$5000,"NC")</f>
        <v>0</v>
      </c>
      <c r="U16" s="169">
        <f t="shared" si="8"/>
        <v>0</v>
      </c>
      <c r="V16" s="125">
        <f t="shared" si="0"/>
        <v>244</v>
      </c>
      <c r="W16" s="119" t="str">
        <f t="shared" si="1"/>
        <v>✓ OK</v>
      </c>
      <c r="X16" s="120" t="str" cm="1">
        <f t="array" ref="X16">_xlfn.TEXTJOIN(", ",TRUE,IF((INPUT!$A$3:$A$5000&gt;=$B$2)*(INPUT!$A$3:$A$5000&lt;=$E$2)*(INPUT!$A$3:$A$5000&lt;&gt;"")*(COUNTIFS(INPUT!$H$3:$H$5000,INPUT!$A$3:$A$5000,INPUT!$I$3:$I$5000,INPUT!$C$3:$C$5000,INPUT!$J$3:$J$5000,$B16)=0),TEXT(INPUT!$A$3:$A$5000,"dd/mm")&amp;" "&amp;INPUT!$C$3:$C$5000,""))</f>
        <v>20/04 MATINAL, 21/04 MATINAL</v>
      </c>
    </row>
    <row r="17" spans="1:24" s="121" customFormat="1" ht="24" customHeight="1" x14ac:dyDescent="0.2">
      <c r="A17" s="114">
        <v>13</v>
      </c>
      <c r="B17" s="115" t="s">
        <v>53</v>
      </c>
      <c r="C17" s="116" cm="1">
        <f t="array" ref="C17">SUMPRODUCT((INPUT!$H$3:$H$5000&gt;=$B$2)*(INPUT!$H$3:$H$5000&lt;=$E$2)*(INPUT!$J$3:$J$5000="CARLOS")*ISNUMBER(INPUT!$K$3:$K$5000)*ISNUMBER(SEARCH("GYM",IFERROR(VLOOKUP(INPUT!$H$3:$H$5000&amp;INPUT!$I$3:$I$5000,CHOOSE({1,2},INPUT!$A$3:$A$5000&amp;INPUT!$C$3:$C$5000,INPUT!$D$3:$D$5000),2,FALSE),""))))</f>
        <v>37</v>
      </c>
      <c r="D17" s="116" cm="1">
        <f t="array" ref="D17">SUMPRODUCT((INPUT!$H$3:$H$5000&gt;=$B$2)*(INPUT!$H$3:$H$5000&lt;=$E$2)*(INPUT!$J$3:$J$5000="CARLOS")*ISNUMBER(INPUT!$K$3:$K$5000)*ISNUMBER(SEARCH("FISICO",IFERROR(VLOOKUP(INPUT!$H$3:$H$5000&amp;INPUT!$I$3:$I$5000,CHOOSE({1,2},INPUT!$A$3:$A$5000&amp;INPUT!$C$3:$C$5000,INPUT!$D$3:$D$5000),2,FALSE),""))))</f>
        <v>14</v>
      </c>
      <c r="E17" s="116" cm="1">
        <f t="array" ref="E17">SUMPRODUCT((INPUT!$H$3:$H$5000&gt;=$B$2)*(INPUT!$H$3:$H$5000&lt;=$E$2)*(INPUT!$J$3:$J$5000="CARLOS")*ISNUMBER(INPUT!$K$3:$K$5000)*ISNUMBER(SEARCH("TEC-TAC",IFERROR(VLOOKUP(INPUT!$H$3:$H$5000&amp;INPUT!$I$3:$I$5000,CHOOSE({1,2},INPUT!$A$3:$A$5000&amp;INPUT!$C$3:$C$5000,INPUT!$D$3:$D$5000),2,FALSE),""))))</f>
        <v>143</v>
      </c>
      <c r="F17" s="116" cm="1">
        <f t="array" ref="F17">SUMPRODUCT((INPUT!$H$3:$H$5000&gt;=$B$2)*(INPUT!$H$3:$H$5000&lt;=$E$2)*(INPUT!$J$3:$J$5000="CARLOS")*ISNUMBER(INPUT!$K$3:$K$5000)*ISNUMBER(SEARCH("RECUPERACIÓN",IFERROR(VLOOKUP(INPUT!$H$3:$H$5000&amp;INPUT!$I$3:$I$5000,CHOOSE({1,2},INPUT!$A$3:$A$5000&amp;INPUT!$C$3:$C$5000,INPUT!$D$3:$D$5000),2,FALSE),""))))</f>
        <v>6</v>
      </c>
      <c r="G17" s="116" cm="1">
        <f t="array" ref="G17">SUMPRODUCT((INPUT!$H$3:$H$5000&gt;=$B$2)*(INPUT!$H$3:$H$5000&lt;=$E$2)*(INPUT!$J$3:$J$5000="CARLOS")*ISNUMBER(INPUT!$K$3:$K$5000)*ISNUMBER(SEARCH("PARTIDO",IFERROR(VLOOKUP(INPUT!$H$3:$H$5000&amp;INPUT!$I$3:$I$5000,CHOOSE({1,2},INPUT!$A$3:$A$5000&amp;INPUT!$C$3:$C$5000,INPUT!$D$3:$D$5000),2,FALSE),""))))</f>
        <v>37</v>
      </c>
      <c r="H17" s="117" cm="1">
        <f t="array" ref="H17">SUMPRODUCT((INPUT!$H$3:$H$5000&gt;=$B$2)*(INPUT!$H$3:$H$5000&lt;=$E$2)*(INPUT!$J$3:$J$5000="CARLOS")*ISNUMBER(INPUT!$K$3:$K$5000))</f>
        <v>227</v>
      </c>
      <c r="I17" s="177">
        <f t="shared" si="2"/>
        <v>0.93032786885245899</v>
      </c>
      <c r="J17" s="116">
        <f>COUNTIFS(INPUT!$H$3:$H$5000,"&gt;="&amp;$B$2,INPUT!$H$3:$H$5000,"&lt;="&amp;$E$2,INPUT!$J$3:$J$5000,"CARLOS",INPUT!$K$3:$K$5000,"S")</f>
        <v>0</v>
      </c>
      <c r="K17" s="173">
        <f t="shared" si="3"/>
        <v>0</v>
      </c>
      <c r="L17" s="116">
        <f>COUNTIFS(INPUT!$H$3:$H$5000,"&gt;="&amp;$B$2,INPUT!$H$3:$H$5000,"&lt;="&amp;$E$2,INPUT!$J$3:$J$5000,"CARLOS",INPUT!$K$3:$K$5000,"A")</f>
        <v>0</v>
      </c>
      <c r="M17" s="173">
        <f t="shared" si="4"/>
        <v>0</v>
      </c>
      <c r="N17" s="116">
        <f>COUNTIFS(INPUT!$H$3:$H$5000,"&gt;="&amp;$B$2,INPUT!$H$3:$H$5000,"&lt;="&amp;$E$2,INPUT!$J$3:$J$5000,"CARLOS",INPUT!$K$3:$K$5000,"L")</f>
        <v>14</v>
      </c>
      <c r="O17" s="173">
        <f t="shared" si="5"/>
        <v>5.737704918032787E-2</v>
      </c>
      <c r="P17" s="116">
        <f>COUNTIFS(INPUT!$H$3:$H$5000,"&gt;="&amp;$B$2,INPUT!$H$3:$H$5000,"&lt;="&amp;$E$2,INPUT!$J$3:$J$5000,"CARLOS",INPUT!$K$3:$K$5000,"N")</f>
        <v>3</v>
      </c>
      <c r="Q17" s="173">
        <f t="shared" si="6"/>
        <v>1.2295081967213115E-2</v>
      </c>
      <c r="R17" s="116">
        <f>COUNTIFS(INPUT!$H$3:$H$5000,"&gt;="&amp;$B$2,INPUT!$H$3:$H$5000,"&lt;="&amp;$E$2,INPUT!$J$3:$J$5000,"CARLOS",INPUT!$K$3:$K$5000,"D")</f>
        <v>0</v>
      </c>
      <c r="S17" s="173">
        <f t="shared" si="7"/>
        <v>0</v>
      </c>
      <c r="T17" s="116">
        <f>COUNTIFS(INPUT!$H$3:$H$5000,"&gt;="&amp;$B$2,INPUT!$H$3:$H$5000,"&lt;="&amp;$E$2,INPUT!$J$3:$J$5000,"CARLOS",INPUT!$K$3:$K$5000,"NC")</f>
        <v>0</v>
      </c>
      <c r="U17" s="168">
        <f t="shared" si="8"/>
        <v>0</v>
      </c>
      <c r="V17" s="118">
        <f t="shared" si="0"/>
        <v>244</v>
      </c>
      <c r="W17" s="119" t="str">
        <f t="shared" si="1"/>
        <v>✓ OK</v>
      </c>
      <c r="X17" s="120" t="str" cm="1">
        <f t="array" ref="X17">_xlfn.TEXTJOIN(", ",TRUE,IF((INPUT!$A$3:$A$5000&gt;=$B$2)*(INPUT!$A$3:$A$5000&lt;=$E$2)*(INPUT!$A$3:$A$5000&lt;&gt;"")*(COUNTIFS(INPUT!$H$3:$H$5000,INPUT!$A$3:$A$5000,INPUT!$I$3:$I$5000,INPUT!$C$3:$C$5000,INPUT!$J$3:$J$5000,$B17)=0),TEXT(INPUT!$A$3:$A$5000,"dd/mm")&amp;" "&amp;INPUT!$C$3:$C$5000,""))</f>
        <v>20/04 MATINAL, 21/04 MATINAL</v>
      </c>
    </row>
    <row r="18" spans="1:24" s="121" customFormat="1" ht="24" customHeight="1" x14ac:dyDescent="0.2">
      <c r="A18" s="122">
        <v>14</v>
      </c>
      <c r="B18" s="123" t="s">
        <v>54</v>
      </c>
      <c r="C18" s="124" cm="1">
        <f t="array" ref="C18">SUMPRODUCT((INPUT!$H$3:$H$5000&gt;=$B$2)*(INPUT!$H$3:$H$5000&lt;=$E$2)*(INPUT!$J$3:$J$5000="GONZALO")*ISNUMBER(INPUT!$K$3:$K$5000)*ISNUMBER(SEARCH("GYM",IFERROR(VLOOKUP(INPUT!$H$3:$H$5000&amp;INPUT!$I$3:$I$5000,CHOOSE({1,2},INPUT!$A$3:$A$5000&amp;INPUT!$C$3:$C$5000,INPUT!$D$3:$D$5000),2,FALSE),""))))</f>
        <v>20</v>
      </c>
      <c r="D18" s="124" cm="1">
        <f t="array" ref="D18">SUMPRODUCT((INPUT!$H$3:$H$5000&gt;=$B$2)*(INPUT!$H$3:$H$5000&lt;=$E$2)*(INPUT!$J$3:$J$5000="GONZALO")*ISNUMBER(INPUT!$K$3:$K$5000)*ISNUMBER(SEARCH("FISICO",IFERROR(VLOOKUP(INPUT!$H$3:$H$5000&amp;INPUT!$I$3:$I$5000,CHOOSE({1,2},INPUT!$A$3:$A$5000&amp;INPUT!$C$3:$C$5000,INPUT!$D$3:$D$5000),2,FALSE),""))))</f>
        <v>10</v>
      </c>
      <c r="E18" s="124" cm="1">
        <f t="array" ref="E18">SUMPRODUCT((INPUT!$H$3:$H$5000&gt;=$B$2)*(INPUT!$H$3:$H$5000&lt;=$E$2)*(INPUT!$J$3:$J$5000="GONZALO")*ISNUMBER(INPUT!$K$3:$K$5000)*ISNUMBER(SEARCH("TEC-TAC",IFERROR(VLOOKUP(INPUT!$H$3:$H$5000&amp;INPUT!$I$3:$I$5000,CHOOSE({1,2},INPUT!$A$3:$A$5000&amp;INPUT!$C$3:$C$5000,INPUT!$D$3:$D$5000),2,FALSE),""))))</f>
        <v>73</v>
      </c>
      <c r="F18" s="124" cm="1">
        <f t="array" ref="F18">SUMPRODUCT((INPUT!$H$3:$H$5000&gt;=$B$2)*(INPUT!$H$3:$H$5000&lt;=$E$2)*(INPUT!$J$3:$J$5000="GONZALO")*ISNUMBER(INPUT!$K$3:$K$5000)*ISNUMBER(SEARCH("RECUPERACIÓN",IFERROR(VLOOKUP(INPUT!$H$3:$H$5000&amp;INPUT!$I$3:$I$5000,CHOOSE({1,2},INPUT!$A$3:$A$5000&amp;INPUT!$C$3:$C$5000,INPUT!$D$3:$D$5000),2,FALSE),""))))</f>
        <v>0</v>
      </c>
      <c r="G18" s="124" cm="1">
        <f t="array" ref="G18">SUMPRODUCT((INPUT!$H$3:$H$5000&gt;=$B$2)*(INPUT!$H$3:$H$5000&lt;=$E$2)*(INPUT!$J$3:$J$5000="GONZALO")*ISNUMBER(INPUT!$K$3:$K$5000)*ISNUMBER(SEARCH("PARTIDO",IFERROR(VLOOKUP(INPUT!$H$3:$H$5000&amp;INPUT!$I$3:$I$5000,CHOOSE({1,2},INPUT!$A$3:$A$5000&amp;INPUT!$C$3:$C$5000,INPUT!$D$3:$D$5000),2,FALSE),""))))</f>
        <v>8</v>
      </c>
      <c r="H18" s="126" cm="1">
        <f t="array" ref="H18">SUMPRODUCT((INPUT!$H$3:$H$5000&gt;=$B$2)*(INPUT!$H$3:$H$5000&lt;=$E$2)*(INPUT!$J$3:$J$5000="GONZALO")*ISNUMBER(INPUT!$K$3:$K$5000))</f>
        <v>99</v>
      </c>
      <c r="I18" s="178">
        <f t="shared" si="2"/>
        <v>0.95192307692307687</v>
      </c>
      <c r="J18" s="124">
        <f>COUNTIFS(INPUT!$H$3:$H$5000,"&gt;="&amp;$B$2,INPUT!$H$3:$H$5000,"&lt;="&amp;$E$2,INPUT!$J$3:$J$5000,"GONZALO",INPUT!$K$3:$K$5000,"S")</f>
        <v>0</v>
      </c>
      <c r="K18" s="174">
        <f t="shared" si="3"/>
        <v>0</v>
      </c>
      <c r="L18" s="124">
        <f>COUNTIFS(INPUT!$H$3:$H$5000,"&gt;="&amp;$B$2,INPUT!$H$3:$H$5000,"&lt;="&amp;$E$2,INPUT!$J$3:$J$5000,"GONZALO",INPUT!$K$3:$K$5000,"A")</f>
        <v>0</v>
      </c>
      <c r="M18" s="174">
        <f t="shared" si="4"/>
        <v>0</v>
      </c>
      <c r="N18" s="124">
        <f>COUNTIFS(INPUT!$H$3:$H$5000,"&gt;="&amp;$B$2,INPUT!$H$3:$H$5000,"&lt;="&amp;$E$2,INPUT!$J$3:$J$5000,"GONZALO",INPUT!$K$3:$K$5000,"L")</f>
        <v>1</v>
      </c>
      <c r="O18" s="174">
        <f t="shared" si="5"/>
        <v>9.6153846153846159E-3</v>
      </c>
      <c r="P18" s="124">
        <f>COUNTIFS(INPUT!$H$3:$H$5000,"&gt;="&amp;$B$2,INPUT!$H$3:$H$5000,"&lt;="&amp;$E$2,INPUT!$J$3:$J$5000,"GONZALO",INPUT!$K$3:$K$5000,"N")</f>
        <v>4</v>
      </c>
      <c r="Q18" s="174">
        <f t="shared" si="6"/>
        <v>3.8461538461538464E-2</v>
      </c>
      <c r="R18" s="124">
        <f>COUNTIFS(INPUT!$H$3:$H$5000,"&gt;="&amp;$B$2,INPUT!$H$3:$H$5000,"&lt;="&amp;$E$2,INPUT!$J$3:$J$5000,"GONZALO",INPUT!$K$3:$K$5000,"D")</f>
        <v>0</v>
      </c>
      <c r="S18" s="174">
        <f t="shared" si="7"/>
        <v>0</v>
      </c>
      <c r="T18" s="124">
        <f>COUNTIFS(INPUT!$H$3:$H$5000,"&gt;="&amp;$B$2,INPUT!$H$3:$H$5000,"&lt;="&amp;$E$2,INPUT!$J$3:$J$5000,"GONZALO",INPUT!$K$3:$K$5000,"NC")</f>
        <v>0</v>
      </c>
      <c r="U18" s="169">
        <f t="shared" si="8"/>
        <v>0</v>
      </c>
      <c r="V18" s="125">
        <f t="shared" si="0"/>
        <v>104</v>
      </c>
      <c r="W18" s="119" t="str">
        <f t="shared" si="1"/>
        <v>⚠ FALTAN 140</v>
      </c>
      <c r="X18" s="120" t="str" cm="1">
        <f t="array" ref="X18">_xlfn.TEXTJOIN(", ",TRUE,IF((INPUT!$A$3:$A$5000&gt;=$B$2)*(INPUT!$A$3:$A$5000&lt;=$E$2)*(INPUT!$A$3:$A$5000&lt;&gt;"")*(COUNTIFS(INPUT!$H$3:$H$5000,INPUT!$A$3:$A$5000,INPUT!$I$3:$I$5000,INPUT!$C$3:$C$5000,INPUT!$J$3:$J$5000,$B18)=0),TEXT(INPUT!$A$3:$A$5000,"dd/mm")&amp;" "&amp;INPUT!$C$3:$C$5000,""))</f>
        <v>13/09 M, 13/09 T, 18/09 M, 19/09 T, 27/09 M, 29/09 M, 04/10 M, 06/10 M, 07/10 M, 08/10 M, 08/10 T, 10/10 M, 11/10 M, 12/10 M, 20/10 M, 20/10 T, 21/10 M, 22/10 M, 23/10 M, 24/10 T, 25/10 T, 28/10 M, 29/10 M, 30/10 M, 31/10 M, 03/11 M, 04/11 M, 04/11 T, 05/11 M, 06/11 M, 07/11 M, 07/11 T, 10/11 M, 10/11 T, 11/11 M, 12/11 M, 13/11 M, 15/11 T, 17/11 M, 18/11 M, 19/11 M, 19/11 T, 21/11 M, 22/11 M, 22/11 T, 24/11 M, 25/11 M, 25/11 T, 26/11 M, 27/11 M, 28/11 M, 28/11 T, 01/12 M, 01/12 T, 02/12 M, 03/12 M, 04/12 M, 05/12 M, 06/12 M, 08/12 M, 09/12 M, 09/12 T, 10/12 M, 11/12 M, 12/12 T, 13/12 T, 16/12 T, 19/12 M, 23/12 T, 27/12 M, 27/12 T, 29/12 M, 30/12 M, 31/12 M, 02/01 T, 03/01 T, 05/01 M, 06/01 T, 07/01 T, 08/01 M, 09/01 M, 10/01 M, 19/01 M, 19/01 T, 21/01 M, 27/01 M, 27/01 T, 02/02 M, 12/02 M, 13/02 M, 13/02 T, 16/02 M, 17/02 M, 18/02 M, 18/02 T, 20/02 M, 23/02 M, 23/02 T, 24/02 M, 25/02 M, 26/02 M, 27/02 M, 28/02 M, 01/03 M, 03/03 M, 04/03 M, 05/03 M, 06/03 M, 06/03 T, 09/03 M, 10/03 M, 11/03 M, 12/03 M, 13/03 M, 13/03 T, 15/03 M, 16/03 M, 17/03 M, 18/03 T, 19/03 M, 19/03 T, 20/03 M, 21/03 M, 21/03 T, 24/03 M, 25/03 M, 26/03 M, 27/03 M, 28/03 M, 03/04 M, 04/04 M, 04/04 T, 09/04 T, 13/04 M, 16/04 M, 17/04 M, 18/04 M, 18/04 T, 20/04 MATINAL, 21/04 MATINAL</v>
      </c>
    </row>
    <row r="19" spans="1:24" s="121" customFormat="1" ht="24" customHeight="1" x14ac:dyDescent="0.2">
      <c r="A19" s="114">
        <v>15</v>
      </c>
      <c r="B19" s="115" t="s">
        <v>55</v>
      </c>
      <c r="C19" s="116" cm="1">
        <f t="array" ref="C19">SUMPRODUCT((INPUT!$H$3:$H$5000&gt;=$B$2)*(INPUT!$H$3:$H$5000&lt;=$E$2)*(INPUT!$J$3:$J$5000="SEGO")*ISNUMBER(INPUT!$K$3:$K$5000)*ISNUMBER(SEARCH("GYM",IFERROR(VLOOKUP(INPUT!$H$3:$H$5000&amp;INPUT!$I$3:$I$5000,CHOOSE({1,2},INPUT!$A$3:$A$5000&amp;INPUT!$C$3:$C$5000,INPUT!$D$3:$D$5000),2,FALSE),""))))</f>
        <v>15</v>
      </c>
      <c r="D19" s="116" cm="1">
        <f t="array" ref="D19">SUMPRODUCT((INPUT!$H$3:$H$5000&gt;=$B$2)*(INPUT!$H$3:$H$5000&lt;=$E$2)*(INPUT!$J$3:$J$5000="SEGO")*ISNUMBER(INPUT!$K$3:$K$5000)*ISNUMBER(SEARCH("FISICO",IFERROR(VLOOKUP(INPUT!$H$3:$H$5000&amp;INPUT!$I$3:$I$5000,CHOOSE({1,2},INPUT!$A$3:$A$5000&amp;INPUT!$C$3:$C$5000,INPUT!$D$3:$D$5000),2,FALSE),""))))</f>
        <v>1</v>
      </c>
      <c r="E19" s="116" cm="1">
        <f t="array" ref="E19">SUMPRODUCT((INPUT!$H$3:$H$5000&gt;=$B$2)*(INPUT!$H$3:$H$5000&lt;=$E$2)*(INPUT!$J$3:$J$5000="SEGO")*ISNUMBER(INPUT!$K$3:$K$5000)*ISNUMBER(SEARCH("TEC-TAC",IFERROR(VLOOKUP(INPUT!$H$3:$H$5000&amp;INPUT!$I$3:$I$5000,CHOOSE({1,2},INPUT!$A$3:$A$5000&amp;INPUT!$C$3:$C$5000,INPUT!$D$3:$D$5000),2,FALSE),""))))</f>
        <v>36</v>
      </c>
      <c r="F19" s="116" cm="1">
        <f t="array" ref="F19">SUMPRODUCT((INPUT!$H$3:$H$5000&gt;=$B$2)*(INPUT!$H$3:$H$5000&lt;=$E$2)*(INPUT!$J$3:$J$5000="SEGO")*ISNUMBER(INPUT!$K$3:$K$5000)*ISNUMBER(SEARCH("RECUPERACIÓN",IFERROR(VLOOKUP(INPUT!$H$3:$H$5000&amp;INPUT!$I$3:$I$5000,CHOOSE({1,2},INPUT!$A$3:$A$5000&amp;INPUT!$C$3:$C$5000,INPUT!$D$3:$D$5000),2,FALSE),""))))</f>
        <v>1</v>
      </c>
      <c r="G19" s="116" cm="1">
        <f t="array" ref="G19">SUMPRODUCT((INPUT!$H$3:$H$5000&gt;=$B$2)*(INPUT!$H$3:$H$5000&lt;=$E$2)*(INPUT!$J$3:$J$5000="SEGO")*ISNUMBER(INPUT!$K$3:$K$5000)*ISNUMBER(SEARCH("PARTIDO",IFERROR(VLOOKUP(INPUT!$H$3:$H$5000&amp;INPUT!$I$3:$I$5000,CHOOSE({1,2},INPUT!$A$3:$A$5000&amp;INPUT!$C$3:$C$5000,INPUT!$D$3:$D$5000),2,FALSE),""))))</f>
        <v>1</v>
      </c>
      <c r="H19" s="117" cm="1">
        <f t="array" ref="H19">SUMPRODUCT((INPUT!$H$3:$H$5000&gt;=$B$2)*(INPUT!$H$3:$H$5000&lt;=$E$2)*(INPUT!$J$3:$J$5000="SEGO")*ISNUMBER(INPUT!$K$3:$K$5000))</f>
        <v>46</v>
      </c>
      <c r="I19" s="177">
        <f t="shared" si="2"/>
        <v>0.95833333333333337</v>
      </c>
      <c r="J19" s="116">
        <f>COUNTIFS(INPUT!$H$3:$H$5000,"&gt;="&amp;$B$2,INPUT!$H$3:$H$5000,"&lt;="&amp;$E$2,INPUT!$J$3:$J$5000,"SEGO",INPUT!$K$3:$K$5000,"S")</f>
        <v>0</v>
      </c>
      <c r="K19" s="173">
        <f t="shared" si="3"/>
        <v>0</v>
      </c>
      <c r="L19" s="116">
        <f>COUNTIFS(INPUT!$H$3:$H$5000,"&gt;="&amp;$B$2,INPUT!$H$3:$H$5000,"&lt;="&amp;$E$2,INPUT!$J$3:$J$5000,"SEGO",INPUT!$K$3:$K$5000,"A")</f>
        <v>0</v>
      </c>
      <c r="M19" s="173">
        <f t="shared" si="4"/>
        <v>0</v>
      </c>
      <c r="N19" s="116">
        <f>COUNTIFS(INPUT!$H$3:$H$5000,"&gt;="&amp;$B$2,INPUT!$H$3:$H$5000,"&lt;="&amp;$E$2,INPUT!$J$3:$J$5000,"SEGO",INPUT!$K$3:$K$5000,"L")</f>
        <v>0</v>
      </c>
      <c r="O19" s="173">
        <f t="shared" si="5"/>
        <v>0</v>
      </c>
      <c r="P19" s="116">
        <f>COUNTIFS(INPUT!$H$3:$H$5000,"&gt;="&amp;$B$2,INPUT!$H$3:$H$5000,"&lt;="&amp;$E$2,INPUT!$J$3:$J$5000,"SEGO",INPUT!$K$3:$K$5000,"N")</f>
        <v>2</v>
      </c>
      <c r="Q19" s="173">
        <f t="shared" si="6"/>
        <v>4.1666666666666664E-2</v>
      </c>
      <c r="R19" s="116">
        <f>COUNTIFS(INPUT!$H$3:$H$5000,"&gt;="&amp;$B$2,INPUT!$H$3:$H$5000,"&lt;="&amp;$E$2,INPUT!$J$3:$J$5000,"SEGO",INPUT!$K$3:$K$5000,"D")</f>
        <v>0</v>
      </c>
      <c r="S19" s="173">
        <f t="shared" si="7"/>
        <v>0</v>
      </c>
      <c r="T19" s="116">
        <f>COUNTIFS(INPUT!$H$3:$H$5000,"&gt;="&amp;$B$2,INPUT!$H$3:$H$5000,"&lt;="&amp;$E$2,INPUT!$J$3:$J$5000,"SEGO",INPUT!$K$3:$K$5000,"NC")</f>
        <v>0</v>
      </c>
      <c r="U19" s="168">
        <f t="shared" si="8"/>
        <v>0</v>
      </c>
      <c r="V19" s="118">
        <f t="shared" si="0"/>
        <v>48</v>
      </c>
      <c r="W19" s="119" t="str">
        <f t="shared" si="1"/>
        <v>⚠ FALTAN 196</v>
      </c>
      <c r="X19" s="120" t="str" cm="1">
        <f t="array" ref="X19">_xlfn.TEXTJOIN(", ",TRUE,IF((INPUT!$A$3:$A$5000&gt;=$B$2)*(INPUT!$A$3:$A$5000&lt;=$E$2)*(INPUT!$A$3:$A$5000&lt;&gt;"")*(COUNTIFS(INPUT!$H$3:$H$5000,INPUT!$A$3:$A$5000,INPUT!$I$3:$I$5000,INPUT!$C$3:$C$5000,INPUT!$J$3:$J$5000,$B19)=0),TEXT(INPUT!$A$3:$A$5000,"dd/mm")&amp;" "&amp;INPUT!$C$3:$C$5000,""))</f>
        <v>30/07 T, 31/07 T, 01/08 T, 04/08 M, 04/08 T, 05/08 M, 06/08 M, 06/08 T, 07/08 M, 07/08 T, 08/08 M, 08/08 T, 11/08 M, 11/08 T, 12/08 M, 13/08 M, 13/08 T, 14/08 M, 15/08 M, 15/08 T, 18/08 M, 18/08 T, 19/08 M, 20/08 M, 20/08 T, 21/08 M, 22/08 M, 23/08 T, 24/08 T, 26/08 M, 27/08 M, 28/08 M, 29/08 M, 30/08 M, 31/08 M, 02/09 M, 03/09 M, 04/09 M, 05/09 M, 06/09 M, 06/09 T, 08/09 T, 09/09 T, 11/09 M, 12/09 M, 13/09 M, 13/09 T, 15/09 M, 15/09 T, 16/09 M, 17/09 M, 17/09 T, 18/09 M, 19/09 T, 22/09 M, 22/09 T, 23/09 M, 24/09 M, 24/09 T, 25/09 M, 26/09 M, 27/09 M, 29/09 M, 29/09 T, 30/09 M, 01/10 M, 01/10 T, 02/10 M, 03/10 M, 04/10 M, 06/10 M, 07/10 M, 08/10 M, 08/10 T, 10/10 M, 11/10 M, 12/10 M, 20/10 M, 20/10 T, 21/10 M, 22/10 M, 24/10 T, 25/10 T, 04/11 M, 04/11 T, 05/11 M, 07/11 T, 13/11 M, 14/11 M, 15/11 T, 17/11 M, 18/11 M, 19/11 M, 19/11 T, 21/11 M, 22/11 M, 22/11 T, 24/11 M, 25/11 M, 25/11 T, 26/11 M, 27/11 M, 28/11 M, 28/11 T, 01/12 M, 01/12 T, 02/12 M, 03/12 M, 04/12 M, 05/12 M, 06/12 M, 08/12 M, 09/12 M, 09/12 T, 10/12 M, 11/12 M, 12/12 T, 13/12 T, 16/12 T, 17/12 T, 18/12 M, 19/12 M, 22/12 M, 23/12 M, 23/12 T, 26/12 M, 27/12 M, 27/12 T, 30/12 M, 31/12 M, 02/01 T, 03/01 T, 05/01 M, 06/01 T, 07/01 T, 08/01 M, 09/01 M, 10/01 M, 19/01 M, 19/01 T, 20/01 T, 21/01 M, 21/01 T, 22/01 M, 22/01 T, 23/01 M, 26/01 T, 27/01 M, 27/01 T, 28/01 M, 29/01 T, 30/01 T, 02/02 M, 02/02 T, 03/02 T, 04/02 M, 05/02 M, 06/02 T, 08/02 M, 09/02 M, 10/02 M, 11/02 M, 11/02 T, 12/02 M, 13/02 M, 13/02 T, 16/02 M, 17/02 M, 18/02 M, 18/02 T, 19/02 M, 20/02 M, 23/02 M, 23/02 T, 24/02 M, 25/02 M, 26/02 M, 27/02 M, 28/02 M, 01/03 M, 03/03 M, 04/03 M, 05/03 M, 06/03 M, 06/03 T, 09/03 M, 10/03 M, 11/03 M, 12/03 M, 13/03 M, 13/03 T, 15/03 M, 16/03 M, 17/03 M, 19/03 T, 21/03 T, 20/04 MATINAL, 21/04 MATINAL</v>
      </c>
    </row>
    <row r="20" spans="1:24" s="121" customFormat="1" ht="24" customHeight="1" x14ac:dyDescent="0.2">
      <c r="A20" s="122">
        <v>16</v>
      </c>
      <c r="B20" s="123" t="s">
        <v>56</v>
      </c>
      <c r="C20" s="124" cm="1">
        <f t="array" ref="C20">SUMPRODUCT((INPUT!$H$3:$H$5000&gt;=$B$2)*(INPUT!$H$3:$H$5000&lt;=$E$2)*(INPUT!$J$3:$J$5000="RUBIO")*ISNUMBER(INPUT!$K$3:$K$5000)*ISNUMBER(SEARCH("GYM",IFERROR(VLOOKUP(INPUT!$H$3:$H$5000&amp;INPUT!$I$3:$I$5000,CHOOSE({1,2},INPUT!$A$3:$A$5000&amp;INPUT!$C$3:$C$5000,INPUT!$D$3:$D$5000),2,FALSE),""))))</f>
        <v>29</v>
      </c>
      <c r="D20" s="124" cm="1">
        <f t="array" ref="D20">SUMPRODUCT((INPUT!$H$3:$H$5000&gt;=$B$2)*(INPUT!$H$3:$H$5000&lt;=$E$2)*(INPUT!$J$3:$J$5000="RUBIO")*ISNUMBER(INPUT!$K$3:$K$5000)*ISNUMBER(SEARCH("FISICO",IFERROR(VLOOKUP(INPUT!$H$3:$H$5000&amp;INPUT!$I$3:$I$5000,CHOOSE({1,2},INPUT!$A$3:$A$5000&amp;INPUT!$C$3:$C$5000,INPUT!$D$3:$D$5000),2,FALSE),""))))</f>
        <v>11</v>
      </c>
      <c r="E20" s="124" cm="1">
        <f t="array" ref="E20">SUMPRODUCT((INPUT!$H$3:$H$5000&gt;=$B$2)*(INPUT!$H$3:$H$5000&lt;=$E$2)*(INPUT!$J$3:$J$5000="RUBIO")*ISNUMBER(INPUT!$K$3:$K$5000)*ISNUMBER(SEARCH("TEC-TAC",IFERROR(VLOOKUP(INPUT!$H$3:$H$5000&amp;INPUT!$I$3:$I$5000,CHOOSE({1,2},INPUT!$A$3:$A$5000&amp;INPUT!$C$3:$C$5000,INPUT!$D$3:$D$5000),2,FALSE),""))))</f>
        <v>111</v>
      </c>
      <c r="F20" s="124" cm="1">
        <f t="array" ref="F20">SUMPRODUCT((INPUT!$H$3:$H$5000&gt;=$B$2)*(INPUT!$H$3:$H$5000&lt;=$E$2)*(INPUT!$J$3:$J$5000="RUBIO")*ISNUMBER(INPUT!$K$3:$K$5000)*ISNUMBER(SEARCH("RECUPERACIÓN",IFERROR(VLOOKUP(INPUT!$H$3:$H$5000&amp;INPUT!$I$3:$I$5000,CHOOSE({1,2},INPUT!$A$3:$A$5000&amp;INPUT!$C$3:$C$5000,INPUT!$D$3:$D$5000),2,FALSE),""))))</f>
        <v>3</v>
      </c>
      <c r="G20" s="124" cm="1">
        <f t="array" ref="G20">SUMPRODUCT((INPUT!$H$3:$H$5000&gt;=$B$2)*(INPUT!$H$3:$H$5000&lt;=$E$2)*(INPUT!$J$3:$J$5000="RUBIO")*ISNUMBER(INPUT!$K$3:$K$5000)*ISNUMBER(SEARCH("PARTIDO",IFERROR(VLOOKUP(INPUT!$H$3:$H$5000&amp;INPUT!$I$3:$I$5000,CHOOSE({1,2},INPUT!$A$3:$A$5000&amp;INPUT!$C$3:$C$5000,INPUT!$D$3:$D$5000),2,FALSE),""))))</f>
        <v>20</v>
      </c>
      <c r="H20" s="126" cm="1">
        <f t="array" ref="H20">SUMPRODUCT((INPUT!$H$3:$H$5000&gt;=$B$2)*(INPUT!$H$3:$H$5000&lt;=$E$2)*(INPUT!$J$3:$J$5000="RUBIO")*ISNUMBER(INPUT!$K$3:$K$5000))</f>
        <v>166</v>
      </c>
      <c r="I20" s="178">
        <f t="shared" si="2"/>
        <v>0.90710382513661203</v>
      </c>
      <c r="J20" s="124">
        <f>COUNTIFS(INPUT!$H$3:$H$5000,"&gt;="&amp;$B$2,INPUT!$H$3:$H$5000,"&lt;="&amp;$E$2,INPUT!$J$3:$J$5000,"RUBIO",INPUT!$K$3:$K$5000,"S")</f>
        <v>0</v>
      </c>
      <c r="K20" s="174">
        <f t="shared" si="3"/>
        <v>0</v>
      </c>
      <c r="L20" s="124">
        <f>COUNTIFS(INPUT!$H$3:$H$5000,"&gt;="&amp;$B$2,INPUT!$H$3:$H$5000,"&lt;="&amp;$E$2,INPUT!$J$3:$J$5000,"RUBIO",INPUT!$K$3:$K$5000,"A")</f>
        <v>5</v>
      </c>
      <c r="M20" s="174">
        <f t="shared" si="4"/>
        <v>2.7322404371584699E-2</v>
      </c>
      <c r="N20" s="124">
        <f>COUNTIFS(INPUT!$H$3:$H$5000,"&gt;="&amp;$B$2,INPUT!$H$3:$H$5000,"&lt;="&amp;$E$2,INPUT!$J$3:$J$5000,"RUBIO",INPUT!$K$3:$K$5000,"L")</f>
        <v>1</v>
      </c>
      <c r="O20" s="174">
        <f t="shared" si="5"/>
        <v>5.4644808743169399E-3</v>
      </c>
      <c r="P20" s="124">
        <f>COUNTIFS(INPUT!$H$3:$H$5000,"&gt;="&amp;$B$2,INPUT!$H$3:$H$5000,"&lt;="&amp;$E$2,INPUT!$J$3:$J$5000,"RUBIO",INPUT!$K$3:$K$5000,"N")</f>
        <v>11</v>
      </c>
      <c r="Q20" s="174">
        <f t="shared" si="6"/>
        <v>6.0109289617486336E-2</v>
      </c>
      <c r="R20" s="124">
        <f>COUNTIFS(INPUT!$H$3:$H$5000,"&gt;="&amp;$B$2,INPUT!$H$3:$H$5000,"&lt;="&amp;$E$2,INPUT!$J$3:$J$5000,"RUBIO",INPUT!$K$3:$K$5000,"D")</f>
        <v>0</v>
      </c>
      <c r="S20" s="174">
        <f t="shared" si="7"/>
        <v>0</v>
      </c>
      <c r="T20" s="124">
        <f>COUNTIFS(INPUT!$H$3:$H$5000,"&gt;="&amp;$B$2,INPUT!$H$3:$H$5000,"&lt;="&amp;$E$2,INPUT!$J$3:$J$5000,"RUBIO",INPUT!$K$3:$K$5000,"NC")</f>
        <v>0</v>
      </c>
      <c r="U20" s="169">
        <f t="shared" si="8"/>
        <v>0</v>
      </c>
      <c r="V20" s="125">
        <f t="shared" si="0"/>
        <v>183</v>
      </c>
      <c r="W20" s="119" t="str">
        <f t="shared" si="1"/>
        <v>⚠ FALTAN 61</v>
      </c>
      <c r="X20" s="120" t="str" cm="1">
        <f t="array" ref="X20">_xlfn.TEXTJOIN(", ",TRUE,IF((INPUT!$A$3:$A$5000&gt;=$B$2)*(INPUT!$A$3:$A$5000&lt;=$E$2)*(INPUT!$A$3:$A$5000&lt;&gt;"")*(COUNTIFS(INPUT!$H$3:$H$5000,INPUT!$A$3:$A$5000,INPUT!$I$3:$I$5000,INPUT!$C$3:$C$5000,INPUT!$J$3:$J$5000,$B20)=0),TEXT(INPUT!$A$3:$A$5000,"dd/mm")&amp;" "&amp;INPUT!$C$3:$C$5000,""))</f>
        <v>18/09 M, 19/09 T, 29/09 M, 28/10 M, 29/10 M, 07/01 T, 08/01 M, 26/01 T, 27/01 M, 27/01 T, 28/01 M, 02/02 M, 09/02 M, 12/02 M, 13/02 M, 13/02 T, 16/02 M, 17/02 M, 18/02 M, 18/02 T, 19/02 M, 20/02 M, 23/02 M, 23/02 T, 24/02 M, 25/02 M, 26/02 M, 27/02 M, 28/02 M, 01/03 M, 03/03 M, 04/03 M, 05/03 M, 06/03 M, 06/03 T, 09/03 M, 15/03 M, 16/03 M, 17/03 M, 18/03 T, 19/03 M, 19/03 T, 20/03 M, 21/03 M, 21/03 T, 24/03 M, 25/03 M, 26/03 M, 27/03 M, 28/03 M, 02/04 M, 03/04 M, 04/04 M, 04/04 T, 13/04 M, 14/04 M, 15/04 M, 16/04 M, 17/04 M, 18/04 M, 18/04 T, 20/04 MATINAL, 21/04 MATINAL</v>
      </c>
    </row>
    <row r="21" spans="1:24" s="121" customFormat="1" ht="24" customHeight="1" x14ac:dyDescent="0.2">
      <c r="A21" s="114">
        <v>17</v>
      </c>
      <c r="B21" s="115" t="s">
        <v>57</v>
      </c>
      <c r="C21" s="116" cm="1">
        <f t="array" ref="C21">SUMPRODUCT((INPUT!$H$3:$H$5000&gt;=$B$2)*(INPUT!$H$3:$H$5000&lt;=$E$2)*(INPUT!$J$3:$J$5000="DANI")*ISNUMBER(INPUT!$K$3:$K$5000)*ISNUMBER(SEARCH("GYM",IFERROR(VLOOKUP(INPUT!$H$3:$H$5000&amp;INPUT!$I$3:$I$5000,CHOOSE({1,2},INPUT!$A$3:$A$5000&amp;INPUT!$C$3:$C$5000,INPUT!$D$3:$D$5000),2,FALSE),""))))</f>
        <v>36</v>
      </c>
      <c r="D21" s="116" cm="1">
        <f t="array" ref="D21">SUMPRODUCT((INPUT!$H$3:$H$5000&gt;=$B$2)*(INPUT!$H$3:$H$5000&lt;=$E$2)*(INPUT!$J$3:$J$5000="DANI")*ISNUMBER(INPUT!$K$3:$K$5000)*ISNUMBER(SEARCH("FISICO",IFERROR(VLOOKUP(INPUT!$H$3:$H$5000&amp;INPUT!$I$3:$I$5000,CHOOSE({1,2},INPUT!$A$3:$A$5000&amp;INPUT!$C$3:$C$5000,INPUT!$D$3:$D$5000),2,FALSE),""))))</f>
        <v>13</v>
      </c>
      <c r="E21" s="116" cm="1">
        <f t="array" ref="E21">SUMPRODUCT((INPUT!$H$3:$H$5000&gt;=$B$2)*(INPUT!$H$3:$H$5000&lt;=$E$2)*(INPUT!$J$3:$J$5000="DANI")*ISNUMBER(INPUT!$K$3:$K$5000)*ISNUMBER(SEARCH("TEC-TAC",IFERROR(VLOOKUP(INPUT!$H$3:$H$5000&amp;INPUT!$I$3:$I$5000,CHOOSE({1,2},INPUT!$A$3:$A$5000&amp;INPUT!$C$3:$C$5000,INPUT!$D$3:$D$5000),2,FALSE),""))))</f>
        <v>138</v>
      </c>
      <c r="F21" s="116" cm="1">
        <f t="array" ref="F21">SUMPRODUCT((INPUT!$H$3:$H$5000&gt;=$B$2)*(INPUT!$H$3:$H$5000&lt;=$E$2)*(INPUT!$J$3:$J$5000="DANI")*ISNUMBER(INPUT!$K$3:$K$5000)*ISNUMBER(SEARCH("RECUPERACIÓN",IFERROR(VLOOKUP(INPUT!$H$3:$H$5000&amp;INPUT!$I$3:$I$5000,CHOOSE({1,2},INPUT!$A$3:$A$5000&amp;INPUT!$C$3:$C$5000,INPUT!$D$3:$D$5000),2,FALSE),""))))</f>
        <v>4</v>
      </c>
      <c r="G21" s="116" cm="1">
        <f t="array" ref="G21">SUMPRODUCT((INPUT!$H$3:$H$5000&gt;=$B$2)*(INPUT!$H$3:$H$5000&lt;=$E$2)*(INPUT!$J$3:$J$5000="DANI")*ISNUMBER(INPUT!$K$3:$K$5000)*ISNUMBER(SEARCH("PARTIDO",IFERROR(VLOOKUP(INPUT!$H$3:$H$5000&amp;INPUT!$I$3:$I$5000,CHOOSE({1,2},INPUT!$A$3:$A$5000&amp;INPUT!$C$3:$C$5000,INPUT!$D$3:$D$5000),2,FALSE),""))))</f>
        <v>20</v>
      </c>
      <c r="H21" s="117" cm="1">
        <f t="array" ref="H21">SUMPRODUCT((INPUT!$H$3:$H$5000&gt;=$B$2)*(INPUT!$H$3:$H$5000&lt;=$E$2)*(INPUT!$J$3:$J$5000="DANI")*ISNUMBER(INPUT!$K$3:$K$5000))</f>
        <v>200</v>
      </c>
      <c r="I21" s="177">
        <f t="shared" si="2"/>
        <v>0.88888888888888884</v>
      </c>
      <c r="J21" s="116">
        <f>COUNTIFS(INPUT!$H$3:$H$5000,"&gt;="&amp;$B$2,INPUT!$H$3:$H$5000,"&lt;="&amp;$E$2,INPUT!$J$3:$J$5000,"DANI",INPUT!$K$3:$K$5000,"S")</f>
        <v>0</v>
      </c>
      <c r="K21" s="173">
        <f t="shared" si="3"/>
        <v>0</v>
      </c>
      <c r="L21" s="116">
        <f>COUNTIFS(INPUT!$H$3:$H$5000,"&gt;="&amp;$B$2,INPUT!$H$3:$H$5000,"&lt;="&amp;$E$2,INPUT!$J$3:$J$5000,"DANI",INPUT!$K$3:$K$5000,"A")</f>
        <v>1</v>
      </c>
      <c r="M21" s="173">
        <f t="shared" si="4"/>
        <v>4.4444444444444444E-3</v>
      </c>
      <c r="N21" s="116">
        <f>COUNTIFS(INPUT!$H$3:$H$5000,"&gt;="&amp;$B$2,INPUT!$H$3:$H$5000,"&lt;="&amp;$E$2,INPUT!$J$3:$J$5000,"DANI",INPUT!$K$3:$K$5000,"L")</f>
        <v>8</v>
      </c>
      <c r="O21" s="173">
        <f t="shared" si="5"/>
        <v>3.5555555555555556E-2</v>
      </c>
      <c r="P21" s="116">
        <f>COUNTIFS(INPUT!$H$3:$H$5000,"&gt;="&amp;$B$2,INPUT!$H$3:$H$5000,"&lt;="&amp;$E$2,INPUT!$J$3:$J$5000,"DANI",INPUT!$K$3:$K$5000,"N")</f>
        <v>16</v>
      </c>
      <c r="Q21" s="173">
        <f t="shared" si="6"/>
        <v>7.1111111111111111E-2</v>
      </c>
      <c r="R21" s="116">
        <f>COUNTIFS(INPUT!$H$3:$H$5000,"&gt;="&amp;$B$2,INPUT!$H$3:$H$5000,"&lt;="&amp;$E$2,INPUT!$J$3:$J$5000,"DANI",INPUT!$K$3:$K$5000,"D")</f>
        <v>0</v>
      </c>
      <c r="S21" s="173">
        <f t="shared" si="7"/>
        <v>0</v>
      </c>
      <c r="T21" s="116">
        <f>COUNTIFS(INPUT!$H$3:$H$5000,"&gt;="&amp;$B$2,INPUT!$H$3:$H$5000,"&lt;="&amp;$E$2,INPUT!$J$3:$J$5000,"DANI",INPUT!$K$3:$K$5000,"NC")</f>
        <v>0</v>
      </c>
      <c r="U21" s="168">
        <f t="shared" si="8"/>
        <v>0</v>
      </c>
      <c r="V21" s="118">
        <f t="shared" si="0"/>
        <v>225</v>
      </c>
      <c r="W21" s="119" t="str">
        <f t="shared" si="1"/>
        <v>⚠ FALTAN 19</v>
      </c>
      <c r="X21" s="120" t="str" cm="1">
        <f t="array" ref="X21">_xlfn.TEXTJOIN(", ",TRUE,IF((INPUT!$A$3:$A$5000&gt;=$B$2)*(INPUT!$A$3:$A$5000&lt;=$E$2)*(INPUT!$A$3:$A$5000&lt;&gt;"")*(COUNTIFS(INPUT!$H$3:$H$5000,INPUT!$A$3:$A$5000,INPUT!$I$3:$I$5000,INPUT!$C$3:$C$5000,INPUT!$J$3:$J$5000,$B21)=0),TEXT(INPUT!$A$3:$A$5000,"dd/mm")&amp;" "&amp;INPUT!$C$3:$C$5000,""))</f>
        <v>09/09 T, 11/09 M, 12/09 M, 13/09 M, 13/09 T, 18/09 M, 19/09 T, 29/09 M, 09/12 T, 21/01 M, 21/01 T, 02/02 M, 12/02 M, 28/02 M, 09/03 M, 04/04 T, 17/04 M, 18/04 M, 18/04 T, 20/04 MATINAL, 21/04 MATINAL</v>
      </c>
    </row>
    <row r="22" spans="1:24" s="121" customFormat="1" ht="24" customHeight="1" x14ac:dyDescent="0.2">
      <c r="A22" s="122">
        <v>18</v>
      </c>
      <c r="B22" s="123" t="s">
        <v>58</v>
      </c>
      <c r="C22" s="124" cm="1">
        <f t="array" ref="C22">SUMPRODUCT((INPUT!$H$3:$H$5000&gt;=$B$2)*(INPUT!$H$3:$H$5000&lt;=$E$2)*(INPUT!$J$3:$J$5000="JAIME")*ISNUMBER(INPUT!$K$3:$K$5000)*ISNUMBER(SEARCH("GYM",IFERROR(VLOOKUP(INPUT!$H$3:$H$5000&amp;INPUT!$I$3:$I$5000,CHOOSE({1,2},INPUT!$A$3:$A$5000&amp;INPUT!$C$3:$C$5000,INPUT!$D$3:$D$5000),2,FALSE),""))))</f>
        <v>24</v>
      </c>
      <c r="D22" s="124" cm="1">
        <f t="array" ref="D22">SUMPRODUCT((INPUT!$H$3:$H$5000&gt;=$B$2)*(INPUT!$H$3:$H$5000&lt;=$E$2)*(INPUT!$J$3:$J$5000="JAIME")*ISNUMBER(INPUT!$K$3:$K$5000)*ISNUMBER(SEARCH("FISICO",IFERROR(VLOOKUP(INPUT!$H$3:$H$5000&amp;INPUT!$I$3:$I$5000,CHOOSE({1,2},INPUT!$A$3:$A$5000&amp;INPUT!$C$3:$C$5000,INPUT!$D$3:$D$5000),2,FALSE),""))))</f>
        <v>10</v>
      </c>
      <c r="E22" s="124" cm="1">
        <f t="array" ref="E22">SUMPRODUCT((INPUT!$H$3:$H$5000&gt;=$B$2)*(INPUT!$H$3:$H$5000&lt;=$E$2)*(INPUT!$J$3:$J$5000="JAIME")*ISNUMBER(INPUT!$K$3:$K$5000)*ISNUMBER(SEARCH("TEC-TAC",IFERROR(VLOOKUP(INPUT!$H$3:$H$5000&amp;INPUT!$I$3:$I$5000,CHOOSE({1,2},INPUT!$A$3:$A$5000&amp;INPUT!$C$3:$C$5000,INPUT!$D$3:$D$5000),2,FALSE),""))))</f>
        <v>99</v>
      </c>
      <c r="F22" s="124" cm="1">
        <f t="array" ref="F22">SUMPRODUCT((INPUT!$H$3:$H$5000&gt;=$B$2)*(INPUT!$H$3:$H$5000&lt;=$E$2)*(INPUT!$J$3:$J$5000="JAIME")*ISNUMBER(INPUT!$K$3:$K$5000)*ISNUMBER(SEARCH("RECUPERACIÓN",IFERROR(VLOOKUP(INPUT!$H$3:$H$5000&amp;INPUT!$I$3:$I$5000,CHOOSE({1,2},INPUT!$A$3:$A$5000&amp;INPUT!$C$3:$C$5000,INPUT!$D$3:$D$5000),2,FALSE),""))))</f>
        <v>4</v>
      </c>
      <c r="G22" s="124" cm="1">
        <f t="array" ref="G22">SUMPRODUCT((INPUT!$H$3:$H$5000&gt;=$B$2)*(INPUT!$H$3:$H$5000&lt;=$E$2)*(INPUT!$J$3:$J$5000="JAIME")*ISNUMBER(INPUT!$K$3:$K$5000)*ISNUMBER(SEARCH("PARTIDO",IFERROR(VLOOKUP(INPUT!$H$3:$H$5000&amp;INPUT!$I$3:$I$5000,CHOOSE({1,2},INPUT!$A$3:$A$5000&amp;INPUT!$C$3:$C$5000,INPUT!$D$3:$D$5000),2,FALSE),""))))</f>
        <v>22</v>
      </c>
      <c r="H22" s="126" cm="1">
        <f t="array" ref="H22">SUMPRODUCT((INPUT!$H$3:$H$5000&gt;=$B$2)*(INPUT!$H$3:$H$5000&lt;=$E$2)*(INPUT!$J$3:$J$5000="JAIME")*ISNUMBER(INPUT!$K$3:$K$5000))</f>
        <v>152</v>
      </c>
      <c r="I22" s="178">
        <f t="shared" si="2"/>
        <v>0.87356321839080464</v>
      </c>
      <c r="J22" s="124">
        <f>COUNTIFS(INPUT!$H$3:$H$5000,"&gt;="&amp;$B$2,INPUT!$H$3:$H$5000,"&lt;="&amp;$E$2,INPUT!$J$3:$J$5000,"JAIME",INPUT!$K$3:$K$5000,"S")</f>
        <v>3</v>
      </c>
      <c r="K22" s="174">
        <f t="shared" si="3"/>
        <v>1.7241379310344827E-2</v>
      </c>
      <c r="L22" s="124">
        <f>COUNTIFS(INPUT!$H$3:$H$5000,"&gt;="&amp;$B$2,INPUT!$H$3:$H$5000,"&lt;="&amp;$E$2,INPUT!$J$3:$J$5000,"JAIME",INPUT!$K$3:$K$5000,"A")</f>
        <v>3</v>
      </c>
      <c r="M22" s="174">
        <f t="shared" si="4"/>
        <v>1.7241379310344827E-2</v>
      </c>
      <c r="N22" s="124">
        <f>COUNTIFS(INPUT!$H$3:$H$5000,"&gt;="&amp;$B$2,INPUT!$H$3:$H$5000,"&lt;="&amp;$E$2,INPUT!$J$3:$J$5000,"JAIME",INPUT!$K$3:$K$5000,"L")</f>
        <v>10</v>
      </c>
      <c r="O22" s="174">
        <f t="shared" si="5"/>
        <v>5.7471264367816091E-2</v>
      </c>
      <c r="P22" s="124">
        <f>COUNTIFS(INPUT!$H$3:$H$5000,"&gt;="&amp;$B$2,INPUT!$H$3:$H$5000,"&lt;="&amp;$E$2,INPUT!$J$3:$J$5000,"JAIME",INPUT!$K$3:$K$5000,"N")</f>
        <v>6</v>
      </c>
      <c r="Q22" s="174">
        <f t="shared" si="6"/>
        <v>3.4482758620689655E-2</v>
      </c>
      <c r="R22" s="124">
        <f>COUNTIFS(INPUT!$H$3:$H$5000,"&gt;="&amp;$B$2,INPUT!$H$3:$H$5000,"&lt;="&amp;$E$2,INPUT!$J$3:$J$5000,"JAIME",INPUT!$K$3:$K$5000,"D")</f>
        <v>0</v>
      </c>
      <c r="S22" s="174">
        <f t="shared" si="7"/>
        <v>0</v>
      </c>
      <c r="T22" s="124">
        <f>COUNTIFS(INPUT!$H$3:$H$5000,"&gt;="&amp;$B$2,INPUT!$H$3:$H$5000,"&lt;="&amp;$E$2,INPUT!$J$3:$J$5000,"JAIME",INPUT!$K$3:$K$5000,"NC")</f>
        <v>0</v>
      </c>
      <c r="U22" s="169">
        <f t="shared" si="8"/>
        <v>0</v>
      </c>
      <c r="V22" s="125">
        <f t="shared" si="0"/>
        <v>174</v>
      </c>
      <c r="W22" s="119" t="str">
        <f t="shared" si="1"/>
        <v>⚠ FALTAN 70</v>
      </c>
      <c r="X22" s="120" t="str" cm="1">
        <f t="array" ref="X22">_xlfn.TEXTJOIN(", ",TRUE,IF((INPUT!$A$3:$A$5000&gt;=$B$2)*(INPUT!$A$3:$A$5000&lt;=$E$2)*(INPUT!$A$3:$A$5000&lt;&gt;"")*(COUNTIFS(INPUT!$H$3:$H$5000,INPUT!$A$3:$A$5000,INPUT!$I$3:$I$5000,INPUT!$C$3:$C$5000,INPUT!$J$3:$J$5000,$B22)=0),TEXT(INPUT!$A$3:$A$5000,"dd/mm")&amp;" "&amp;INPUT!$C$3:$C$5000,""))</f>
        <v>26/08 M, 27/08 M, 28/08 M, 29/08 M, 30/08 M, 31/08 M, 02/09 M, 03/09 M, 04/09 M, 05/09 M, 06/09 M, 06/09 T, 09/09 T, 15/09 M, 15/09 T, 16/09 M, 17/09 T, 18/09 M, 19/09 M, 19/09 T, 22/09 M, 22/09 T, 23/09 M, 24/09 M, 24/09 T, 25/09 M, 26/09 M, 27/09 M, 29/09 M, 29/09 T, 30/09 M, 01/10 M, 01/10 T, 02/10 M, 03/10 M, 04/10 M, 06/10 M, 07/10 M, 08/10 M, 08/10 T, 10/10 M, 11/10 M, 12/10 M, 14/10 M, 15/10 T, 25/10 T, 28/10 M, 29/10 M, 31/10 M, 03/11 M, 14/11 M, 15/11 T, 06/12 M, 08/01 M, 19/01 T, 20/01 T, 21/01 T, 22/01 T, 05/02 M, 12/02 M, 04/03 M, 05/03 M, 06/03 M, 06/03 T, 04/04 M, 17/04 M, 18/04 M, 18/04 T, 20/04 MATINAL, 21/04 MATINAL</v>
      </c>
    </row>
    <row r="23" spans="1:24" s="121" customFormat="1" ht="24" customHeight="1" x14ac:dyDescent="0.2">
      <c r="A23" s="114">
        <v>19</v>
      </c>
      <c r="B23" s="115" t="s">
        <v>83</v>
      </c>
      <c r="C23" s="116" cm="1">
        <f t="array" ref="C23">SUMPRODUCT((INPUT!$H$3:$H$5000&gt;=$B$2)*(INPUT!$H$3:$H$5000&lt;=$E$2)*(INPUT!$J$3:$J$5000="ANCHU")*ISNUMBER(INPUT!$K$3:$K$5000)*ISNUMBER(SEARCH("GYM",IFERROR(VLOOKUP(INPUT!$H$3:$H$5000&amp;INPUT!$I$3:$I$5000,CHOOSE({1,2},INPUT!$A$3:$A$5000&amp;INPUT!$C$3:$C$5000,INPUT!$D$3:$D$5000),2,FALSE),""))))</f>
        <v>0</v>
      </c>
      <c r="D23" s="116" cm="1">
        <f t="array" ref="D23">SUMPRODUCT((INPUT!$H$3:$H$5000&gt;=$B$2)*(INPUT!$H$3:$H$5000&lt;=$E$2)*(INPUT!$J$3:$J$5000="ANCHU")*ISNUMBER(INPUT!$K$3:$K$5000)*ISNUMBER(SEARCH("FISICO",IFERROR(VLOOKUP(INPUT!$H$3:$H$5000&amp;INPUT!$I$3:$I$5000,CHOOSE({1,2},INPUT!$A$3:$A$5000&amp;INPUT!$C$3:$C$5000,INPUT!$D$3:$D$5000),2,FALSE),""))))</f>
        <v>0</v>
      </c>
      <c r="E23" s="116" cm="1">
        <f t="array" ref="E23">SUMPRODUCT((INPUT!$H$3:$H$5000&gt;=$B$2)*(INPUT!$H$3:$H$5000&lt;=$E$2)*(INPUT!$J$3:$J$5000="ANCHU")*ISNUMBER(INPUT!$K$3:$K$5000)*ISNUMBER(SEARCH("TEC-TAC",IFERROR(VLOOKUP(INPUT!$H$3:$H$5000&amp;INPUT!$I$3:$I$5000,CHOOSE({1,2},INPUT!$A$3:$A$5000&amp;INPUT!$C$3:$C$5000,INPUT!$D$3:$D$5000),2,FALSE),""))))</f>
        <v>0</v>
      </c>
      <c r="F23" s="116" cm="1">
        <f t="array" ref="F23">SUMPRODUCT((INPUT!$H$3:$H$5000&gt;=$B$2)*(INPUT!$H$3:$H$5000&lt;=$E$2)*(INPUT!$J$3:$J$5000="ANCHU")*ISNUMBER(INPUT!$K$3:$K$5000)*ISNUMBER(SEARCH("RECUPERACIÓN",IFERROR(VLOOKUP(INPUT!$H$3:$H$5000&amp;INPUT!$I$3:$I$5000,CHOOSE({1,2},INPUT!$A$3:$A$5000&amp;INPUT!$C$3:$C$5000,INPUT!$D$3:$D$5000),2,FALSE),""))))</f>
        <v>0</v>
      </c>
      <c r="G23" s="116" cm="1">
        <f t="array" ref="G23">SUMPRODUCT((INPUT!$H$3:$H$5000&gt;=$B$2)*(INPUT!$H$3:$H$5000&lt;=$E$2)*(INPUT!$J$3:$J$5000="ANCHU")*ISNUMBER(INPUT!$K$3:$K$5000)*ISNUMBER(SEARCH("PARTIDO",IFERROR(VLOOKUP(INPUT!$H$3:$H$5000&amp;INPUT!$I$3:$I$5000,CHOOSE({1,2},INPUT!$A$3:$A$5000&amp;INPUT!$C$3:$C$5000,INPUT!$D$3:$D$5000),2,FALSE),""))))</f>
        <v>0</v>
      </c>
      <c r="H23" s="117" cm="1">
        <f t="array" ref="H23">SUMPRODUCT((INPUT!$H$3:$H$5000&gt;=$B$2)*(INPUT!$H$3:$H$5000&lt;=$E$2)*(INPUT!$J$3:$J$5000="ANCHU")*ISNUMBER(INPUT!$K$3:$K$5000))</f>
        <v>0</v>
      </c>
      <c r="I23" s="177">
        <f t="shared" si="2"/>
        <v>0</v>
      </c>
      <c r="J23" s="116">
        <f>COUNTIFS(INPUT!$H$3:$H$5000,"&gt;="&amp;$B$2,INPUT!$H$3:$H$5000,"&lt;="&amp;$E$2,INPUT!$J$3:$J$5000,"ANCHU",INPUT!$K$3:$K$5000,"S")</f>
        <v>0</v>
      </c>
      <c r="K23" s="173">
        <f t="shared" si="3"/>
        <v>0</v>
      </c>
      <c r="L23" s="116">
        <f>COUNTIFS(INPUT!$H$3:$H$5000,"&gt;="&amp;$B$2,INPUT!$H$3:$H$5000,"&lt;="&amp;$E$2,INPUT!$J$3:$J$5000,"ANCHU",INPUT!$K$3:$K$5000,"A")</f>
        <v>0</v>
      </c>
      <c r="M23" s="173">
        <f t="shared" si="4"/>
        <v>0</v>
      </c>
      <c r="N23" s="116">
        <f>COUNTIFS(INPUT!$H$3:$H$5000,"&gt;="&amp;$B$2,INPUT!$H$3:$H$5000,"&lt;="&amp;$E$2,INPUT!$J$3:$J$5000,"ANCHU",INPUT!$K$3:$K$5000,"L")</f>
        <v>0</v>
      </c>
      <c r="O23" s="173">
        <f t="shared" si="5"/>
        <v>0</v>
      </c>
      <c r="P23" s="116">
        <f>COUNTIFS(INPUT!$H$3:$H$5000,"&gt;="&amp;$B$2,INPUT!$H$3:$H$5000,"&lt;="&amp;$E$2,INPUT!$J$3:$J$5000,"ANCHU",INPUT!$K$3:$K$5000,"N")</f>
        <v>0</v>
      </c>
      <c r="Q23" s="173">
        <f t="shared" si="6"/>
        <v>0</v>
      </c>
      <c r="R23" s="116">
        <f>COUNTIFS(INPUT!$H$3:$H$5000,"&gt;="&amp;$B$2,INPUT!$H$3:$H$5000,"&lt;="&amp;$E$2,INPUT!$J$3:$J$5000,"ANCHU",INPUT!$K$3:$K$5000,"D")</f>
        <v>0</v>
      </c>
      <c r="S23" s="173">
        <f t="shared" si="7"/>
        <v>0</v>
      </c>
      <c r="T23" s="116">
        <f>COUNTIFS(INPUT!$H$3:$H$5000,"&gt;="&amp;$B$2,INPUT!$H$3:$H$5000,"&lt;="&amp;$E$2,INPUT!$J$3:$J$5000,"ANCHU",INPUT!$K$3:$K$5000,"NC")</f>
        <v>0</v>
      </c>
      <c r="U23" s="168">
        <f t="shared" si="8"/>
        <v>0</v>
      </c>
      <c r="V23" s="118">
        <f t="shared" si="0"/>
        <v>0</v>
      </c>
      <c r="W23" s="119" t="str">
        <f t="shared" si="1"/>
        <v>⚠ FALTAN 244</v>
      </c>
      <c r="X23" s="120" t="str" cm="1">
        <f t="array" ref="X23">_xlfn.TEXTJOIN(", ",TRUE,IF((INPUT!$A$3:$A$5000&gt;=$B$2)*(INPUT!$A$3:$A$5000&lt;=$E$2)*(INPUT!$A$3:$A$5000&lt;&gt;"")*(COUNTIFS(INPUT!$H$3:$H$5000,INPUT!$A$3:$A$5000,INPUT!$I$3:$I$5000,INPUT!$C$3:$C$5000,INPUT!$J$3:$J$5000,$B23)=0),TEXT(INPUT!$A$3:$A$5000,"dd/mm")&amp;" "&amp;INPUT!$C$3:$C$5000,""))</f>
        <v>30/07 T, 31/07 T, 01/08 T, 04/08 M, 04/08 T, 05/08 M, 06/08 M, 06/08 T, 07/08 M, 07/08 T, 08/08 M, 08/08 T, 11/08 M, 11/08 T, 12/08 M, 13/08 M, 13/08 T, 14/08 M, 15/08 M, 15/08 T, 18/08 M, 18/08 T, 19/08 M, 20/08 M, 20/08 T, 21/08 M, 22/08 M, 23/08 T, 24/08 T, 26/08 M, 27/08 M, 28/08 M, 29/08 M, 30/08 M, 31/08 M, 02/09 M, 03/09 M, 04/09 M, 05/09 M, 06/09 M, 06/09 T, 08/09 T, 09/09 T, 11/09 M, 12/09 M, 13/09 M, 13/09 T, 15/09 M, 15/09 T, 16/09 M, 17/09 M, 17/09 T, 18/09 M, 19/09 M, 19/09 T, 22/09 M, 22/09 T, 23/09 M, 24/09 M, 24/09 T, 25/09 M, 26/09 M, 27/09 M, 29/09 M, 29/09 T, 30/09 M, 01/10 M, 01/10 T, 02/10 M, 03/10 M, 04/10 M, 06/10 M, 07/10 M, 08/10 M, 08/10 T, 10/10 M, 11/10 M, 12/10 M, 14/10 M, 15/10 T, 16/10 M, 17/10 M, 20/10 M, 20/10 T, 21/10 M, 22/10 M, 23/10 M, 24/10 T, 25/10 T, 28/10 M, 29/10 M, 30/10 M, 31/10 M, 03/11 M, 04/11 M, 04/11 T, 05/11 M, 06/11 M, 07/11 M, 07/11 T, 10/11 M, 10/11 T, 11/11 M, 12/11 M, 13/11 M, 14/11 M, 15/11 T, 17/11 M, 18/11 M, 19/11 M, 19/11 T, 21/11 M, 22/11 M, 22/11 T, 24/11 M, 25/11 M, 25/11 T, 26/11 M, 27/11 M, 28/11 M, 28/11 T, 01/12 M, 01/12 T, 02/12 M, 03/12 M, 04/12 M, 05/12 M, 06/12 M, 08/12 M, 09/12 M, 09/12 T, 10/12 M, 11/12 M, 12/12 T, 13/12 T, 16/12 T, 17/12 T, 18/12 M, 19/12 M, 22/12 M, 23/12 M, 23/12 T, 26/12 M, 27/12 M, 27/12 T, 29/12 M, 30/12 M, 31/12 M, 02/01 T, 03/01 T, 05/01 M, 06/01 T, 07/01 T, 08/01 M, 09/01 M, 10/01 M, 19/01 M, 19/01 T, 20/01 T, 21/01 M, 21/01 T, 22/01 M, 22/01 T, 23/01 M, 26/01 T, 27/01 M, 27/01 T, 28/01 M, 29/01 T, 30/01 T, 02/02 M, 02/02 T, 03/02 T, 04/02 M, 05/02 M, 06/02 T, 08/02 M, 09/02 M, 10/02 M, 11/02 M, 11/02 T, 12/02 M, 13/02 M, 13/02 T, 16/02 M, 17/02 M, 18/02 M, 18/02 T, 19/02 M, 20/02 M, 23/02 M, 23/02 T, 24/02 M, 25/02 M, 26/02 M, 27/02 M, 28/02 M, 01/03 M, 03/03 M, 04/03 M, 05/03 M, 06/03 M, 06/03 T, 09/03 M, 10/03 M, 11/03 M, 12/03 M, 13/03 M, 13/03 T, 15/03 M, 16/03 M, 17/03 M, 18/03 T, 19/03 M, 19/03 T, 20/03 M, 21/03 M, 21/03 T, 24/03 M, 25/03 M, 26/03 M, 27/03 M, 28/03 M, 30/03 M, 31/03 M, 01/04 M, 02/04 M, 03/04 M, 04/04 M, 04/04 T, 06/04 M, 07/04 M, 08/04 M, 09/04 T, 10/04 M, 13/04 M, 14/04 M, 15/04 M, 16/04 M, 17/04 M, 18/04 M, 18/04 T, 20/04 MATINAL, 21/04 MATINAL</v>
      </c>
    </row>
    <row r="24" spans="1:24" s="121" customFormat="1" ht="24" customHeight="1" x14ac:dyDescent="0.2">
      <c r="A24" s="122">
        <v>20</v>
      </c>
      <c r="B24" s="123" t="s">
        <v>84</v>
      </c>
      <c r="C24" s="124" cm="1">
        <f t="array" ref="C24">SUMPRODUCT((INPUT!$H$3:$H$5000&gt;=$B$2)*(INPUT!$H$3:$H$5000&lt;=$E$2)*(INPUT!$J$3:$J$5000="NACHO")*ISNUMBER(INPUT!$K$3:$K$5000)*ISNUMBER(SEARCH("GYM",IFERROR(VLOOKUP(INPUT!$H$3:$H$5000&amp;INPUT!$I$3:$I$5000,CHOOSE({1,2},INPUT!$A$3:$A$5000&amp;INPUT!$C$3:$C$5000,INPUT!$D$3:$D$5000),2,FALSE),""))))</f>
        <v>0</v>
      </c>
      <c r="D24" s="124" cm="1">
        <f t="array" ref="D24">SUMPRODUCT((INPUT!$H$3:$H$5000&gt;=$B$2)*(INPUT!$H$3:$H$5000&lt;=$E$2)*(INPUT!$J$3:$J$5000="NACHO")*ISNUMBER(INPUT!$K$3:$K$5000)*ISNUMBER(SEARCH("FISICO",IFERROR(VLOOKUP(INPUT!$H$3:$H$5000&amp;INPUT!$I$3:$I$5000,CHOOSE({1,2},INPUT!$A$3:$A$5000&amp;INPUT!$C$3:$C$5000,INPUT!$D$3:$D$5000),2,FALSE),""))))</f>
        <v>0</v>
      </c>
      <c r="E24" s="124" cm="1">
        <f t="array" ref="E24">SUMPRODUCT((INPUT!$H$3:$H$5000&gt;=$B$2)*(INPUT!$H$3:$H$5000&lt;=$E$2)*(INPUT!$J$3:$J$5000="NACHO")*ISNUMBER(INPUT!$K$3:$K$5000)*ISNUMBER(SEARCH("TEC-TAC",IFERROR(VLOOKUP(INPUT!$H$3:$H$5000&amp;INPUT!$I$3:$I$5000,CHOOSE({1,2},INPUT!$A$3:$A$5000&amp;INPUT!$C$3:$C$5000,INPUT!$D$3:$D$5000),2,FALSE),""))))</f>
        <v>0</v>
      </c>
      <c r="F24" s="124" cm="1">
        <f t="array" ref="F24">SUMPRODUCT((INPUT!$H$3:$H$5000&gt;=$B$2)*(INPUT!$H$3:$H$5000&lt;=$E$2)*(INPUT!$J$3:$J$5000="NACHO")*ISNUMBER(INPUT!$K$3:$K$5000)*ISNUMBER(SEARCH("RECUPERACIÓN",IFERROR(VLOOKUP(INPUT!$H$3:$H$5000&amp;INPUT!$I$3:$I$5000,CHOOSE({1,2},INPUT!$A$3:$A$5000&amp;INPUT!$C$3:$C$5000,INPUT!$D$3:$D$5000),2,FALSE),""))))</f>
        <v>0</v>
      </c>
      <c r="G24" s="124" cm="1">
        <f t="array" ref="G24">SUMPRODUCT((INPUT!$H$3:$H$5000&gt;=$B$2)*(INPUT!$H$3:$H$5000&lt;=$E$2)*(INPUT!$J$3:$J$5000="NACHO")*ISNUMBER(INPUT!$K$3:$K$5000)*ISNUMBER(SEARCH("PARTIDO",IFERROR(VLOOKUP(INPUT!$H$3:$H$5000&amp;INPUT!$I$3:$I$5000,CHOOSE({1,2},INPUT!$A$3:$A$5000&amp;INPUT!$C$3:$C$5000,INPUT!$D$3:$D$5000),2,FALSE),""))))</f>
        <v>0</v>
      </c>
      <c r="H24" s="126" cm="1">
        <f t="array" ref="H24">SUMPRODUCT((INPUT!$H$3:$H$5000&gt;=$B$2)*(INPUT!$H$3:$H$5000&lt;=$E$2)*(INPUT!$J$3:$J$5000="NACHO")*ISNUMBER(INPUT!$K$3:$K$5000))</f>
        <v>0</v>
      </c>
      <c r="I24" s="178">
        <f t="shared" si="2"/>
        <v>0</v>
      </c>
      <c r="J24" s="124">
        <f>COUNTIFS(INPUT!$H$3:$H$5000,"&gt;="&amp;$B$2,INPUT!$H$3:$H$5000,"&lt;="&amp;$E$2,INPUT!$J$3:$J$5000,"NACHO",INPUT!$K$3:$K$5000,"S")</f>
        <v>0</v>
      </c>
      <c r="K24" s="174">
        <f t="shared" si="3"/>
        <v>0</v>
      </c>
      <c r="L24" s="124">
        <f>COUNTIFS(INPUT!$H$3:$H$5000,"&gt;="&amp;$B$2,INPUT!$H$3:$H$5000,"&lt;="&amp;$E$2,INPUT!$J$3:$J$5000,"NACHO",INPUT!$K$3:$K$5000,"A")</f>
        <v>0</v>
      </c>
      <c r="M24" s="174">
        <f t="shared" si="4"/>
        <v>0</v>
      </c>
      <c r="N24" s="124">
        <f>COUNTIFS(INPUT!$H$3:$H$5000,"&gt;="&amp;$B$2,INPUT!$H$3:$H$5000,"&lt;="&amp;$E$2,INPUT!$J$3:$J$5000,"NACHO",INPUT!$K$3:$K$5000,"L")</f>
        <v>0</v>
      </c>
      <c r="O24" s="174">
        <f t="shared" si="5"/>
        <v>0</v>
      </c>
      <c r="P24" s="124">
        <f>COUNTIFS(INPUT!$H$3:$H$5000,"&gt;="&amp;$B$2,INPUT!$H$3:$H$5000,"&lt;="&amp;$E$2,INPUT!$J$3:$J$5000,"NACHO",INPUT!$K$3:$K$5000,"N")</f>
        <v>0</v>
      </c>
      <c r="Q24" s="174">
        <f t="shared" si="6"/>
        <v>0</v>
      </c>
      <c r="R24" s="124">
        <f>COUNTIFS(INPUT!$H$3:$H$5000,"&gt;="&amp;$B$2,INPUT!$H$3:$H$5000,"&lt;="&amp;$E$2,INPUT!$J$3:$J$5000,"NACHO",INPUT!$K$3:$K$5000,"D")</f>
        <v>0</v>
      </c>
      <c r="S24" s="174">
        <f t="shared" si="7"/>
        <v>0</v>
      </c>
      <c r="T24" s="124">
        <f>COUNTIFS(INPUT!$H$3:$H$5000,"&gt;="&amp;$B$2,INPUT!$H$3:$H$5000,"&lt;="&amp;$E$2,INPUT!$J$3:$J$5000,"NACHO",INPUT!$K$3:$K$5000,"NC")</f>
        <v>0</v>
      </c>
      <c r="U24" s="169">
        <f t="shared" si="8"/>
        <v>0</v>
      </c>
      <c r="V24" s="125">
        <f t="shared" si="0"/>
        <v>0</v>
      </c>
      <c r="W24" s="119" t="str">
        <f t="shared" si="1"/>
        <v>⚠ FALTAN 244</v>
      </c>
      <c r="X24" s="120" t="str" cm="1">
        <f t="array" ref="X24">_xlfn.TEXTJOIN(", ",TRUE,IF((INPUT!$A$3:$A$5000&gt;=$B$2)*(INPUT!$A$3:$A$5000&lt;=$E$2)*(INPUT!$A$3:$A$5000&lt;&gt;"")*(COUNTIFS(INPUT!$H$3:$H$5000,INPUT!$A$3:$A$5000,INPUT!$I$3:$I$5000,INPUT!$C$3:$C$5000,INPUT!$J$3:$J$5000,$B24)=0),TEXT(INPUT!$A$3:$A$5000,"dd/mm")&amp;" "&amp;INPUT!$C$3:$C$5000,""))</f>
        <v>30/07 T, 31/07 T, 01/08 T, 04/08 M, 04/08 T, 05/08 M, 06/08 M, 06/08 T, 07/08 M, 07/08 T, 08/08 M, 08/08 T, 11/08 M, 11/08 T, 12/08 M, 13/08 M, 13/08 T, 14/08 M, 15/08 M, 15/08 T, 18/08 M, 18/08 T, 19/08 M, 20/08 M, 20/08 T, 21/08 M, 22/08 M, 23/08 T, 24/08 T, 26/08 M, 27/08 M, 28/08 M, 29/08 M, 30/08 M, 31/08 M, 02/09 M, 03/09 M, 04/09 M, 05/09 M, 06/09 M, 06/09 T, 08/09 T, 09/09 T, 11/09 M, 12/09 M, 13/09 M, 13/09 T, 15/09 M, 15/09 T, 16/09 M, 17/09 M, 17/09 T, 18/09 M, 19/09 M, 19/09 T, 22/09 M, 22/09 T, 23/09 M, 24/09 M, 24/09 T, 25/09 M, 26/09 M, 27/09 M, 29/09 M, 29/09 T, 30/09 M, 01/10 M, 01/10 T, 02/10 M, 03/10 M, 04/10 M, 06/10 M, 07/10 M, 08/10 M, 08/10 T, 10/10 M, 11/10 M, 12/10 M, 14/10 M, 15/10 T, 16/10 M, 17/10 M, 20/10 M, 20/10 T, 21/10 M, 22/10 M, 23/10 M, 24/10 T, 25/10 T, 28/10 M, 29/10 M, 30/10 M, 31/10 M, 03/11 M, 04/11 M, 04/11 T, 05/11 M, 06/11 M, 07/11 M, 07/11 T, 10/11 M, 10/11 T, 11/11 M, 12/11 M, 13/11 M, 14/11 M, 15/11 T, 17/11 M, 18/11 M, 19/11 M, 19/11 T, 21/11 M, 22/11 M, 22/11 T, 24/11 M, 25/11 M, 25/11 T, 26/11 M, 27/11 M, 28/11 M, 28/11 T, 01/12 M, 01/12 T, 02/12 M, 03/12 M, 04/12 M, 05/12 M, 06/12 M, 08/12 M, 09/12 M, 09/12 T, 10/12 M, 11/12 M, 12/12 T, 13/12 T, 16/12 T, 17/12 T, 18/12 M, 19/12 M, 22/12 M, 23/12 M, 23/12 T, 26/12 M, 27/12 M, 27/12 T, 29/12 M, 30/12 M, 31/12 M, 02/01 T, 03/01 T, 05/01 M, 06/01 T, 07/01 T, 08/01 M, 09/01 M, 10/01 M, 19/01 M, 19/01 T, 20/01 T, 21/01 M, 21/01 T, 22/01 M, 22/01 T, 23/01 M, 26/01 T, 27/01 M, 27/01 T, 28/01 M, 29/01 T, 30/01 T, 02/02 M, 02/02 T, 03/02 T, 04/02 M, 05/02 M, 06/02 T, 08/02 M, 09/02 M, 10/02 M, 11/02 M, 11/02 T, 12/02 M, 13/02 M, 13/02 T, 16/02 M, 17/02 M, 18/02 M, 18/02 T, 19/02 M, 20/02 M, 23/02 M, 23/02 T, 24/02 M, 25/02 M, 26/02 M, 27/02 M, 28/02 M, 01/03 M, 03/03 M, 04/03 M, 05/03 M, 06/03 M, 06/03 T, 09/03 M, 10/03 M, 11/03 M, 12/03 M, 13/03 M, 13/03 T, 15/03 M, 16/03 M, 17/03 M, 18/03 T, 19/03 M, 19/03 T, 20/03 M, 21/03 M, 21/03 T, 24/03 M, 25/03 M, 26/03 M, 27/03 M, 28/03 M, 30/03 M, 31/03 M, 01/04 M, 02/04 M, 03/04 M, 04/04 M, 04/04 T, 06/04 M, 07/04 M, 08/04 M, 09/04 T, 10/04 M, 13/04 M, 14/04 M, 15/04 M, 16/04 M, 17/04 M, 18/04 M, 18/04 T, 20/04 MATINAL, 21/04 MATINAL</v>
      </c>
    </row>
    <row r="25" spans="1:24" s="121" customFormat="1" ht="24" customHeight="1" x14ac:dyDescent="0.2">
      <c r="A25" s="114">
        <v>21</v>
      </c>
      <c r="B25" s="115" t="s">
        <v>85</v>
      </c>
      <c r="C25" s="116" cm="1">
        <f t="array" ref="C25">SUMPRODUCT((INPUT!$H$3:$H$5000&gt;=$B$2)*(INPUT!$H$3:$H$5000&lt;=$E$2)*(INPUT!$J$3:$J$5000="J21")*ISNUMBER(INPUT!$K$3:$K$5000)*ISNUMBER(SEARCH("GYM",IFERROR(VLOOKUP(INPUT!$H$3:$H$5000&amp;INPUT!$I$3:$I$5000,CHOOSE({1,2},INPUT!$A$3:$A$5000&amp;INPUT!$C$3:$C$5000,INPUT!$D$3:$D$5000),2,FALSE),""))))</f>
        <v>0</v>
      </c>
      <c r="D25" s="116" cm="1">
        <f t="array" ref="D25">SUMPRODUCT((INPUT!$H$3:$H$5000&gt;=$B$2)*(INPUT!$H$3:$H$5000&lt;=$E$2)*(INPUT!$J$3:$J$5000="J21")*ISNUMBER(INPUT!$K$3:$K$5000)*ISNUMBER(SEARCH("FISICO",IFERROR(VLOOKUP(INPUT!$H$3:$H$5000&amp;INPUT!$I$3:$I$5000,CHOOSE({1,2},INPUT!$A$3:$A$5000&amp;INPUT!$C$3:$C$5000,INPUT!$D$3:$D$5000),2,FALSE),""))))</f>
        <v>0</v>
      </c>
      <c r="E25" s="116" cm="1">
        <f t="array" ref="E25">SUMPRODUCT((INPUT!$H$3:$H$5000&gt;=$B$2)*(INPUT!$H$3:$H$5000&lt;=$E$2)*(INPUT!$J$3:$J$5000="J21")*ISNUMBER(INPUT!$K$3:$K$5000)*ISNUMBER(SEARCH("TEC-TAC",IFERROR(VLOOKUP(INPUT!$H$3:$H$5000&amp;INPUT!$I$3:$I$5000,CHOOSE({1,2},INPUT!$A$3:$A$5000&amp;INPUT!$C$3:$C$5000,INPUT!$D$3:$D$5000),2,FALSE),""))))</f>
        <v>0</v>
      </c>
      <c r="F25" s="116" cm="1">
        <f t="array" ref="F25">SUMPRODUCT((INPUT!$H$3:$H$5000&gt;=$B$2)*(INPUT!$H$3:$H$5000&lt;=$E$2)*(INPUT!$J$3:$J$5000="J21")*ISNUMBER(INPUT!$K$3:$K$5000)*ISNUMBER(SEARCH("RECUPERACIÓN",IFERROR(VLOOKUP(INPUT!$H$3:$H$5000&amp;INPUT!$I$3:$I$5000,CHOOSE({1,2},INPUT!$A$3:$A$5000&amp;INPUT!$C$3:$C$5000,INPUT!$D$3:$D$5000),2,FALSE),""))))</f>
        <v>0</v>
      </c>
      <c r="G25" s="116" cm="1">
        <f t="array" ref="G25">SUMPRODUCT((INPUT!$H$3:$H$5000&gt;=$B$2)*(INPUT!$H$3:$H$5000&lt;=$E$2)*(INPUT!$J$3:$J$5000="J21")*ISNUMBER(INPUT!$K$3:$K$5000)*ISNUMBER(SEARCH("PARTIDO",IFERROR(VLOOKUP(INPUT!$H$3:$H$5000&amp;INPUT!$I$3:$I$5000,CHOOSE({1,2},INPUT!$A$3:$A$5000&amp;INPUT!$C$3:$C$5000,INPUT!$D$3:$D$5000),2,FALSE),""))))</f>
        <v>0</v>
      </c>
      <c r="H25" s="117" cm="1">
        <f t="array" ref="H25">SUMPRODUCT((INPUT!$H$3:$H$5000&gt;=$B$2)*(INPUT!$H$3:$H$5000&lt;=$E$2)*(INPUT!$J$3:$J$5000="J21")*ISNUMBER(INPUT!$K$3:$K$5000))</f>
        <v>0</v>
      </c>
      <c r="I25" s="177">
        <f t="shared" si="2"/>
        <v>0</v>
      </c>
      <c r="J25" s="116">
        <f>COUNTIFS(INPUT!$H$3:$H$5000,"&gt;="&amp;$B$2,INPUT!$H$3:$H$5000,"&lt;="&amp;$E$2,INPUT!$J$3:$J$5000,"J21",INPUT!$K$3:$K$5000,"S")</f>
        <v>0</v>
      </c>
      <c r="K25" s="173">
        <f t="shared" si="3"/>
        <v>0</v>
      </c>
      <c r="L25" s="116">
        <f>COUNTIFS(INPUT!$H$3:$H$5000,"&gt;="&amp;$B$2,INPUT!$H$3:$H$5000,"&lt;="&amp;$E$2,INPUT!$J$3:$J$5000,"J21",INPUT!$K$3:$K$5000,"A")</f>
        <v>0</v>
      </c>
      <c r="M25" s="173">
        <f t="shared" si="4"/>
        <v>0</v>
      </c>
      <c r="N25" s="116">
        <f>COUNTIFS(INPUT!$H$3:$H$5000,"&gt;="&amp;$B$2,INPUT!$H$3:$H$5000,"&lt;="&amp;$E$2,INPUT!$J$3:$J$5000,"J21",INPUT!$K$3:$K$5000,"L")</f>
        <v>0</v>
      </c>
      <c r="O25" s="173">
        <f t="shared" si="5"/>
        <v>0</v>
      </c>
      <c r="P25" s="116">
        <f>COUNTIFS(INPUT!$H$3:$H$5000,"&gt;="&amp;$B$2,INPUT!$H$3:$H$5000,"&lt;="&amp;$E$2,INPUT!$J$3:$J$5000,"J21",INPUT!$K$3:$K$5000,"N")</f>
        <v>0</v>
      </c>
      <c r="Q25" s="173">
        <f t="shared" si="6"/>
        <v>0</v>
      </c>
      <c r="R25" s="116">
        <f>COUNTIFS(INPUT!$H$3:$H$5000,"&gt;="&amp;$B$2,INPUT!$H$3:$H$5000,"&lt;="&amp;$E$2,INPUT!$J$3:$J$5000,"J21",INPUT!$K$3:$K$5000,"D")</f>
        <v>0</v>
      </c>
      <c r="S25" s="173">
        <f t="shared" si="7"/>
        <v>0</v>
      </c>
      <c r="T25" s="116">
        <f>COUNTIFS(INPUT!$H$3:$H$5000,"&gt;="&amp;$B$2,INPUT!$H$3:$H$5000,"&lt;="&amp;$E$2,INPUT!$J$3:$J$5000,"J21",INPUT!$K$3:$K$5000,"NC")</f>
        <v>0</v>
      </c>
      <c r="U25" s="168">
        <f t="shared" si="8"/>
        <v>0</v>
      </c>
      <c r="V25" s="118">
        <f t="shared" si="0"/>
        <v>0</v>
      </c>
      <c r="W25" s="119" t="str">
        <f t="shared" si="1"/>
        <v>⚠ FALTAN 244</v>
      </c>
      <c r="X25" s="120" t="str" cm="1">
        <f t="array" ref="X25">_xlfn.TEXTJOIN(", ",TRUE,IF((INPUT!$A$3:$A$5000&gt;=$B$2)*(INPUT!$A$3:$A$5000&lt;=$E$2)*(INPUT!$A$3:$A$5000&lt;&gt;"")*(COUNTIFS(INPUT!$H$3:$H$5000,INPUT!$A$3:$A$5000,INPUT!$I$3:$I$5000,INPUT!$C$3:$C$5000,INPUT!$J$3:$J$5000,$B25)=0),TEXT(INPUT!$A$3:$A$5000,"dd/mm")&amp;" "&amp;INPUT!$C$3:$C$5000,""))</f>
        <v>30/07 T, 31/07 T, 01/08 T, 04/08 M, 04/08 T, 05/08 M, 06/08 M, 06/08 T, 07/08 M, 07/08 T, 08/08 M, 08/08 T, 11/08 M, 11/08 T, 12/08 M, 13/08 M, 13/08 T, 14/08 M, 15/08 M, 15/08 T, 18/08 M, 18/08 T, 19/08 M, 20/08 M, 20/08 T, 21/08 M, 22/08 M, 23/08 T, 24/08 T, 26/08 M, 27/08 M, 28/08 M, 29/08 M, 30/08 M, 31/08 M, 02/09 M, 03/09 M, 04/09 M, 05/09 M, 06/09 M, 06/09 T, 08/09 T, 09/09 T, 11/09 M, 12/09 M, 13/09 M, 13/09 T, 15/09 M, 15/09 T, 16/09 M, 17/09 M, 17/09 T, 18/09 M, 19/09 M, 19/09 T, 22/09 M, 22/09 T, 23/09 M, 24/09 M, 24/09 T, 25/09 M, 26/09 M, 27/09 M, 29/09 M, 29/09 T, 30/09 M, 01/10 M, 01/10 T, 02/10 M, 03/10 M, 04/10 M, 06/10 M, 07/10 M, 08/10 M, 08/10 T, 10/10 M, 11/10 M, 12/10 M, 14/10 M, 15/10 T, 16/10 M, 17/10 M, 20/10 M, 20/10 T, 21/10 M, 22/10 M, 23/10 M, 24/10 T, 25/10 T, 28/10 M, 29/10 M, 30/10 M, 31/10 M, 03/11 M, 04/11 M, 04/11 T, 05/11 M, 06/11 M, 07/11 M, 07/11 T, 10/11 M, 10/11 T, 11/11 M, 12/11 M, 13/11 M, 14/11 M, 15/11 T, 17/11 M, 18/11 M, 19/11 M, 19/11 T, 21/11 M, 22/11 M, 22/11 T, 24/11 M, 25/11 M, 25/11 T, 26/11 M, 27/11 M, 28/11 M, 28/11 T, 01/12 M, 01/12 T, 02/12 M, 03/12 M, 04/12 M, 05/12 M, 06/12 M, 08/12 M, 09/12 M, 09/12 T, 10/12 M, 11/12 M, 12/12 T, 13/12 T, 16/12 T, 17/12 T, 18/12 M, 19/12 M, 22/12 M, 23/12 M, 23/12 T, 26/12 M, 27/12 M, 27/12 T, 29/12 M, 30/12 M, 31/12 M, 02/01 T, 03/01 T, 05/01 M, 06/01 T, 07/01 T, 08/01 M, 09/01 M, 10/01 M, 19/01 M, 19/01 T, 20/01 T, 21/01 M, 21/01 T, 22/01 M, 22/01 T, 23/01 M, 26/01 T, 27/01 M, 27/01 T, 28/01 M, 29/01 T, 30/01 T, 02/02 M, 02/02 T, 03/02 T, 04/02 M, 05/02 M, 06/02 T, 08/02 M, 09/02 M, 10/02 M, 11/02 M, 11/02 T, 12/02 M, 13/02 M, 13/02 T, 16/02 M, 17/02 M, 18/02 M, 18/02 T, 19/02 M, 20/02 M, 23/02 M, 23/02 T, 24/02 M, 25/02 M, 26/02 M, 27/02 M, 28/02 M, 01/03 M, 03/03 M, 04/03 M, 05/03 M, 06/03 M, 06/03 T, 09/03 M, 10/03 M, 11/03 M, 12/03 M, 13/03 M, 13/03 T, 15/03 M, 16/03 M, 17/03 M, 18/03 T, 19/03 M, 19/03 T, 20/03 M, 21/03 M, 21/03 T, 24/03 M, 25/03 M, 26/03 M, 27/03 M, 28/03 M, 30/03 M, 31/03 M, 01/04 M, 02/04 M, 03/04 M, 04/04 M, 04/04 T, 06/04 M, 07/04 M, 08/04 M, 09/04 T, 10/04 M, 13/04 M, 14/04 M, 15/04 M, 16/04 M, 17/04 M, 18/04 M, 18/04 T, 20/04 MATINAL, 21/04 MATINAL</v>
      </c>
    </row>
    <row r="26" spans="1:24" s="121" customFormat="1" ht="24" customHeight="1" x14ac:dyDescent="0.2">
      <c r="A26" s="122">
        <v>22</v>
      </c>
      <c r="B26" s="123" t="s">
        <v>86</v>
      </c>
      <c r="C26" s="124" cm="1">
        <f t="array" ref="C26">SUMPRODUCT((INPUT!$H$3:$H$5000&gt;=$B$2)*(INPUT!$H$3:$H$5000&lt;=$E$2)*(INPUT!$J$3:$J$5000="J22")*ISNUMBER(INPUT!$K$3:$K$5000)*ISNUMBER(SEARCH("GYM",IFERROR(VLOOKUP(INPUT!$H$3:$H$5000&amp;INPUT!$I$3:$I$5000,CHOOSE({1,2},INPUT!$A$3:$A$5000&amp;INPUT!$C$3:$C$5000,INPUT!$D$3:$D$5000),2,FALSE),""))))</f>
        <v>0</v>
      </c>
      <c r="D26" s="124" cm="1">
        <f t="array" ref="D26">SUMPRODUCT((INPUT!$H$3:$H$5000&gt;=$B$2)*(INPUT!$H$3:$H$5000&lt;=$E$2)*(INPUT!$J$3:$J$5000="J22")*ISNUMBER(INPUT!$K$3:$K$5000)*ISNUMBER(SEARCH("FISICO",IFERROR(VLOOKUP(INPUT!$H$3:$H$5000&amp;INPUT!$I$3:$I$5000,CHOOSE({1,2},INPUT!$A$3:$A$5000&amp;INPUT!$C$3:$C$5000,INPUT!$D$3:$D$5000),2,FALSE),""))))</f>
        <v>0</v>
      </c>
      <c r="E26" s="124" cm="1">
        <f t="array" ref="E26">SUMPRODUCT((INPUT!$H$3:$H$5000&gt;=$B$2)*(INPUT!$H$3:$H$5000&lt;=$E$2)*(INPUT!$J$3:$J$5000="J22")*ISNUMBER(INPUT!$K$3:$K$5000)*ISNUMBER(SEARCH("TEC-TAC",IFERROR(VLOOKUP(INPUT!$H$3:$H$5000&amp;INPUT!$I$3:$I$5000,CHOOSE({1,2},INPUT!$A$3:$A$5000&amp;INPUT!$C$3:$C$5000,INPUT!$D$3:$D$5000),2,FALSE),""))))</f>
        <v>0</v>
      </c>
      <c r="F26" s="124" cm="1">
        <f t="array" ref="F26">SUMPRODUCT((INPUT!$H$3:$H$5000&gt;=$B$2)*(INPUT!$H$3:$H$5000&lt;=$E$2)*(INPUT!$J$3:$J$5000="J22")*ISNUMBER(INPUT!$K$3:$K$5000)*ISNUMBER(SEARCH("RECUPERACIÓN",IFERROR(VLOOKUP(INPUT!$H$3:$H$5000&amp;INPUT!$I$3:$I$5000,CHOOSE({1,2},INPUT!$A$3:$A$5000&amp;INPUT!$C$3:$C$5000,INPUT!$D$3:$D$5000),2,FALSE),""))))</f>
        <v>0</v>
      </c>
      <c r="G26" s="124" cm="1">
        <f t="array" ref="G26">SUMPRODUCT((INPUT!$H$3:$H$5000&gt;=$B$2)*(INPUT!$H$3:$H$5000&lt;=$E$2)*(INPUT!$J$3:$J$5000="J22")*ISNUMBER(INPUT!$K$3:$K$5000)*ISNUMBER(SEARCH("PARTIDO",IFERROR(VLOOKUP(INPUT!$H$3:$H$5000&amp;INPUT!$I$3:$I$5000,CHOOSE({1,2},INPUT!$A$3:$A$5000&amp;INPUT!$C$3:$C$5000,INPUT!$D$3:$D$5000),2,FALSE),""))))</f>
        <v>0</v>
      </c>
      <c r="H26" s="126" cm="1">
        <f t="array" ref="H26">SUMPRODUCT((INPUT!$H$3:$H$5000&gt;=$B$2)*(INPUT!$H$3:$H$5000&lt;=$E$2)*(INPUT!$J$3:$J$5000="J22")*ISNUMBER(INPUT!$K$3:$K$5000))</f>
        <v>0</v>
      </c>
      <c r="I26" s="178">
        <f t="shared" si="2"/>
        <v>0</v>
      </c>
      <c r="J26" s="124">
        <f>COUNTIFS(INPUT!$H$3:$H$5000,"&gt;="&amp;$B$2,INPUT!$H$3:$H$5000,"&lt;="&amp;$E$2,INPUT!$J$3:$J$5000,"J22",INPUT!$K$3:$K$5000,"S")</f>
        <v>0</v>
      </c>
      <c r="K26" s="174">
        <f t="shared" si="3"/>
        <v>0</v>
      </c>
      <c r="L26" s="124">
        <f>COUNTIFS(INPUT!$H$3:$H$5000,"&gt;="&amp;$B$2,INPUT!$H$3:$H$5000,"&lt;="&amp;$E$2,INPUT!$J$3:$J$5000,"J22",INPUT!$K$3:$K$5000,"A")</f>
        <v>0</v>
      </c>
      <c r="M26" s="174">
        <f t="shared" si="4"/>
        <v>0</v>
      </c>
      <c r="N26" s="124">
        <f>COUNTIFS(INPUT!$H$3:$H$5000,"&gt;="&amp;$B$2,INPUT!$H$3:$H$5000,"&lt;="&amp;$E$2,INPUT!$J$3:$J$5000,"J22",INPUT!$K$3:$K$5000,"L")</f>
        <v>0</v>
      </c>
      <c r="O26" s="174">
        <f t="shared" si="5"/>
        <v>0</v>
      </c>
      <c r="P26" s="124">
        <f>COUNTIFS(INPUT!$H$3:$H$5000,"&gt;="&amp;$B$2,INPUT!$H$3:$H$5000,"&lt;="&amp;$E$2,INPUT!$J$3:$J$5000,"J22",INPUT!$K$3:$K$5000,"N")</f>
        <v>0</v>
      </c>
      <c r="Q26" s="174">
        <f t="shared" si="6"/>
        <v>0</v>
      </c>
      <c r="R26" s="124">
        <f>COUNTIFS(INPUT!$H$3:$H$5000,"&gt;="&amp;$B$2,INPUT!$H$3:$H$5000,"&lt;="&amp;$E$2,INPUT!$J$3:$J$5000,"J22",INPUT!$K$3:$K$5000,"D")</f>
        <v>0</v>
      </c>
      <c r="S26" s="174">
        <f t="shared" si="7"/>
        <v>0</v>
      </c>
      <c r="T26" s="124">
        <f>COUNTIFS(INPUT!$H$3:$H$5000,"&gt;="&amp;$B$2,INPUT!$H$3:$H$5000,"&lt;="&amp;$E$2,INPUT!$J$3:$J$5000,"J22",INPUT!$K$3:$K$5000,"NC")</f>
        <v>0</v>
      </c>
      <c r="U26" s="169">
        <f t="shared" si="8"/>
        <v>0</v>
      </c>
      <c r="V26" s="125">
        <f t="shared" si="0"/>
        <v>0</v>
      </c>
      <c r="W26" s="119" t="str">
        <f t="shared" si="1"/>
        <v>⚠ FALTAN 244</v>
      </c>
      <c r="X26" s="120" t="str" cm="1">
        <f t="array" ref="X26">_xlfn.TEXTJOIN(", ",TRUE,IF((INPUT!$A$3:$A$5000&gt;=$B$2)*(INPUT!$A$3:$A$5000&lt;=$E$2)*(INPUT!$A$3:$A$5000&lt;&gt;"")*(COUNTIFS(INPUT!$H$3:$H$5000,INPUT!$A$3:$A$5000,INPUT!$I$3:$I$5000,INPUT!$C$3:$C$5000,INPUT!$J$3:$J$5000,$B26)=0),TEXT(INPUT!$A$3:$A$5000,"dd/mm")&amp;" "&amp;INPUT!$C$3:$C$5000,""))</f>
        <v>30/07 T, 31/07 T, 01/08 T, 04/08 M, 04/08 T, 05/08 M, 06/08 M, 06/08 T, 07/08 M, 07/08 T, 08/08 M, 08/08 T, 11/08 M, 11/08 T, 12/08 M, 13/08 M, 13/08 T, 14/08 M, 15/08 M, 15/08 T, 18/08 M, 18/08 T, 19/08 M, 20/08 M, 20/08 T, 21/08 M, 22/08 M, 23/08 T, 24/08 T, 26/08 M, 27/08 M, 28/08 M, 29/08 M, 30/08 M, 31/08 M, 02/09 M, 03/09 M, 04/09 M, 05/09 M, 06/09 M, 06/09 T, 08/09 T, 09/09 T, 11/09 M, 12/09 M, 13/09 M, 13/09 T, 15/09 M, 15/09 T, 16/09 M, 17/09 M, 17/09 T, 18/09 M, 19/09 M, 19/09 T, 22/09 M, 22/09 T, 23/09 M, 24/09 M, 24/09 T, 25/09 M, 26/09 M, 27/09 M, 29/09 M, 29/09 T, 30/09 M, 01/10 M, 01/10 T, 02/10 M, 03/10 M, 04/10 M, 06/10 M, 07/10 M, 08/10 M, 08/10 T, 10/10 M, 11/10 M, 12/10 M, 14/10 M, 15/10 T, 16/10 M, 17/10 M, 20/10 M, 20/10 T, 21/10 M, 22/10 M, 23/10 M, 24/10 T, 25/10 T, 28/10 M, 29/10 M, 30/10 M, 31/10 M, 03/11 M, 04/11 M, 04/11 T, 05/11 M, 06/11 M, 07/11 M, 07/11 T, 10/11 M, 10/11 T, 11/11 M, 12/11 M, 13/11 M, 14/11 M, 15/11 T, 17/11 M, 18/11 M, 19/11 M, 19/11 T, 21/11 M, 22/11 M, 22/11 T, 24/11 M, 25/11 M, 25/11 T, 26/11 M, 27/11 M, 28/11 M, 28/11 T, 01/12 M, 01/12 T, 02/12 M, 03/12 M, 04/12 M, 05/12 M, 06/12 M, 08/12 M, 09/12 M, 09/12 T, 10/12 M, 11/12 M, 12/12 T, 13/12 T, 16/12 T, 17/12 T, 18/12 M, 19/12 M, 22/12 M, 23/12 M, 23/12 T, 26/12 M, 27/12 M, 27/12 T, 29/12 M, 30/12 M, 31/12 M, 02/01 T, 03/01 T, 05/01 M, 06/01 T, 07/01 T, 08/01 M, 09/01 M, 10/01 M, 19/01 M, 19/01 T, 20/01 T, 21/01 M, 21/01 T, 22/01 M, 22/01 T, 23/01 M, 26/01 T, 27/01 M, 27/01 T, 28/01 M, 29/01 T, 30/01 T, 02/02 M, 02/02 T, 03/02 T, 04/02 M, 05/02 M, 06/02 T, 08/02 M, 09/02 M, 10/02 M, 11/02 M, 11/02 T, 12/02 M, 13/02 M, 13/02 T, 16/02 M, 17/02 M, 18/02 M, 18/02 T, 19/02 M, 20/02 M, 23/02 M, 23/02 T, 24/02 M, 25/02 M, 26/02 M, 27/02 M, 28/02 M, 01/03 M, 03/03 M, 04/03 M, 05/03 M, 06/03 M, 06/03 T, 09/03 M, 10/03 M, 11/03 M, 12/03 M, 13/03 M, 13/03 T, 15/03 M, 16/03 M, 17/03 M, 18/03 T, 19/03 M, 19/03 T, 20/03 M, 21/03 M, 21/03 T, 24/03 M, 25/03 M, 26/03 M, 27/03 M, 28/03 M, 30/03 M, 31/03 M, 01/04 M, 02/04 M, 03/04 M, 04/04 M, 04/04 T, 06/04 M, 07/04 M, 08/04 M, 09/04 T, 10/04 M, 13/04 M, 14/04 M, 15/04 M, 16/04 M, 17/04 M, 18/04 M, 18/04 T, 20/04 MATINAL, 21/04 MATINAL</v>
      </c>
    </row>
    <row r="27" spans="1:24" s="121" customFormat="1" ht="24" customHeight="1" x14ac:dyDescent="0.2">
      <c r="A27" s="114">
        <v>23</v>
      </c>
      <c r="B27" s="115" t="s">
        <v>87</v>
      </c>
      <c r="C27" s="116" cm="1">
        <f t="array" ref="C27">SUMPRODUCT((INPUT!$H$3:$H$5000&gt;=$B$2)*(INPUT!$H$3:$H$5000&lt;=$E$2)*(INPUT!$J$3:$J$5000="J23")*ISNUMBER(INPUT!$K$3:$K$5000)*ISNUMBER(SEARCH("GYM",IFERROR(VLOOKUP(INPUT!$H$3:$H$5000&amp;INPUT!$I$3:$I$5000,CHOOSE({1,2},INPUT!$A$3:$A$5000&amp;INPUT!$C$3:$C$5000,INPUT!$D$3:$D$5000),2,FALSE),""))))</f>
        <v>0</v>
      </c>
      <c r="D27" s="116" cm="1">
        <f t="array" ref="D27">SUMPRODUCT((INPUT!$H$3:$H$5000&gt;=$B$2)*(INPUT!$H$3:$H$5000&lt;=$E$2)*(INPUT!$J$3:$J$5000="J23")*ISNUMBER(INPUT!$K$3:$K$5000)*ISNUMBER(SEARCH("FISICO",IFERROR(VLOOKUP(INPUT!$H$3:$H$5000&amp;INPUT!$I$3:$I$5000,CHOOSE({1,2},INPUT!$A$3:$A$5000&amp;INPUT!$C$3:$C$5000,INPUT!$D$3:$D$5000),2,FALSE),""))))</f>
        <v>0</v>
      </c>
      <c r="E27" s="116" cm="1">
        <f t="array" ref="E27">SUMPRODUCT((INPUT!$H$3:$H$5000&gt;=$B$2)*(INPUT!$H$3:$H$5000&lt;=$E$2)*(INPUT!$J$3:$J$5000="J23")*ISNUMBER(INPUT!$K$3:$K$5000)*ISNUMBER(SEARCH("TEC-TAC",IFERROR(VLOOKUP(INPUT!$H$3:$H$5000&amp;INPUT!$I$3:$I$5000,CHOOSE({1,2},INPUT!$A$3:$A$5000&amp;INPUT!$C$3:$C$5000,INPUT!$D$3:$D$5000),2,FALSE),""))))</f>
        <v>0</v>
      </c>
      <c r="F27" s="116" cm="1">
        <f t="array" ref="F27">SUMPRODUCT((INPUT!$H$3:$H$5000&gt;=$B$2)*(INPUT!$H$3:$H$5000&lt;=$E$2)*(INPUT!$J$3:$J$5000="J23")*ISNUMBER(INPUT!$K$3:$K$5000)*ISNUMBER(SEARCH("RECUPERACIÓN",IFERROR(VLOOKUP(INPUT!$H$3:$H$5000&amp;INPUT!$I$3:$I$5000,CHOOSE({1,2},INPUT!$A$3:$A$5000&amp;INPUT!$C$3:$C$5000,INPUT!$D$3:$D$5000),2,FALSE),""))))</f>
        <v>0</v>
      </c>
      <c r="G27" s="116" cm="1">
        <f t="array" ref="G27">SUMPRODUCT((INPUT!$H$3:$H$5000&gt;=$B$2)*(INPUT!$H$3:$H$5000&lt;=$E$2)*(INPUT!$J$3:$J$5000="J23")*ISNUMBER(INPUT!$K$3:$K$5000)*ISNUMBER(SEARCH("PARTIDO",IFERROR(VLOOKUP(INPUT!$H$3:$H$5000&amp;INPUT!$I$3:$I$5000,CHOOSE({1,2},INPUT!$A$3:$A$5000&amp;INPUT!$C$3:$C$5000,INPUT!$D$3:$D$5000),2,FALSE),""))))</f>
        <v>0</v>
      </c>
      <c r="H27" s="117" cm="1">
        <f t="array" ref="H27">SUMPRODUCT((INPUT!$H$3:$H$5000&gt;=$B$2)*(INPUT!$H$3:$H$5000&lt;=$E$2)*(INPUT!$J$3:$J$5000="J23")*ISNUMBER(INPUT!$K$3:$K$5000))</f>
        <v>0</v>
      </c>
      <c r="I27" s="177">
        <f t="shared" si="2"/>
        <v>0</v>
      </c>
      <c r="J27" s="116">
        <f>COUNTIFS(INPUT!$H$3:$H$5000,"&gt;="&amp;$B$2,INPUT!$H$3:$H$5000,"&lt;="&amp;$E$2,INPUT!$J$3:$J$5000,"J23",INPUT!$K$3:$K$5000,"S")</f>
        <v>0</v>
      </c>
      <c r="K27" s="173">
        <f t="shared" si="3"/>
        <v>0</v>
      </c>
      <c r="L27" s="116">
        <f>COUNTIFS(INPUT!$H$3:$H$5000,"&gt;="&amp;$B$2,INPUT!$H$3:$H$5000,"&lt;="&amp;$E$2,INPUT!$J$3:$J$5000,"J23",INPUT!$K$3:$K$5000,"A")</f>
        <v>0</v>
      </c>
      <c r="M27" s="173">
        <f t="shared" si="4"/>
        <v>0</v>
      </c>
      <c r="N27" s="116">
        <f>COUNTIFS(INPUT!$H$3:$H$5000,"&gt;="&amp;$B$2,INPUT!$H$3:$H$5000,"&lt;="&amp;$E$2,INPUT!$J$3:$J$5000,"J23",INPUT!$K$3:$K$5000,"L")</f>
        <v>0</v>
      </c>
      <c r="O27" s="173">
        <f t="shared" si="5"/>
        <v>0</v>
      </c>
      <c r="P27" s="116">
        <f>COUNTIFS(INPUT!$H$3:$H$5000,"&gt;="&amp;$B$2,INPUT!$H$3:$H$5000,"&lt;="&amp;$E$2,INPUT!$J$3:$J$5000,"J23",INPUT!$K$3:$K$5000,"N")</f>
        <v>0</v>
      </c>
      <c r="Q27" s="173">
        <f t="shared" si="6"/>
        <v>0</v>
      </c>
      <c r="R27" s="116">
        <f>COUNTIFS(INPUT!$H$3:$H$5000,"&gt;="&amp;$B$2,INPUT!$H$3:$H$5000,"&lt;="&amp;$E$2,INPUT!$J$3:$J$5000,"J23",INPUT!$K$3:$K$5000,"D")</f>
        <v>0</v>
      </c>
      <c r="S27" s="173">
        <f t="shared" si="7"/>
        <v>0</v>
      </c>
      <c r="T27" s="116">
        <f>COUNTIFS(INPUT!$H$3:$H$5000,"&gt;="&amp;$B$2,INPUT!$H$3:$H$5000,"&lt;="&amp;$E$2,INPUT!$J$3:$J$5000,"J23",INPUT!$K$3:$K$5000,"NC")</f>
        <v>0</v>
      </c>
      <c r="U27" s="168">
        <f t="shared" si="8"/>
        <v>0</v>
      </c>
      <c r="V27" s="118">
        <f t="shared" si="0"/>
        <v>0</v>
      </c>
      <c r="W27" s="119" t="str">
        <f t="shared" si="1"/>
        <v>⚠ FALTAN 244</v>
      </c>
      <c r="X27" s="120" t="str" cm="1">
        <f t="array" ref="X27">_xlfn.TEXTJOIN(", ",TRUE,IF((INPUT!$A$3:$A$5000&gt;=$B$2)*(INPUT!$A$3:$A$5000&lt;=$E$2)*(INPUT!$A$3:$A$5000&lt;&gt;"")*(COUNTIFS(INPUT!$H$3:$H$5000,INPUT!$A$3:$A$5000,INPUT!$I$3:$I$5000,INPUT!$C$3:$C$5000,INPUT!$J$3:$J$5000,$B27)=0),TEXT(INPUT!$A$3:$A$5000,"dd/mm")&amp;" "&amp;INPUT!$C$3:$C$5000,""))</f>
        <v>30/07 T, 31/07 T, 01/08 T, 04/08 M, 04/08 T, 05/08 M, 06/08 M, 06/08 T, 07/08 M, 07/08 T, 08/08 M, 08/08 T, 11/08 M, 11/08 T, 12/08 M, 13/08 M, 13/08 T, 14/08 M, 15/08 M, 15/08 T, 18/08 M, 18/08 T, 19/08 M, 20/08 M, 20/08 T, 21/08 M, 22/08 M, 23/08 T, 24/08 T, 26/08 M, 27/08 M, 28/08 M, 29/08 M, 30/08 M, 31/08 M, 02/09 M, 03/09 M, 04/09 M, 05/09 M, 06/09 M, 06/09 T, 08/09 T, 09/09 T, 11/09 M, 12/09 M, 13/09 M, 13/09 T, 15/09 M, 15/09 T, 16/09 M, 17/09 M, 17/09 T, 18/09 M, 19/09 M, 19/09 T, 22/09 M, 22/09 T, 23/09 M, 24/09 M, 24/09 T, 25/09 M, 26/09 M, 27/09 M, 29/09 M, 29/09 T, 30/09 M, 01/10 M, 01/10 T, 02/10 M, 03/10 M, 04/10 M, 06/10 M, 07/10 M, 08/10 M, 08/10 T, 10/10 M, 11/10 M, 12/10 M, 14/10 M, 15/10 T, 16/10 M, 17/10 M, 20/10 M, 20/10 T, 21/10 M, 22/10 M, 23/10 M, 24/10 T, 25/10 T, 28/10 M, 29/10 M, 30/10 M, 31/10 M, 03/11 M, 04/11 M, 04/11 T, 05/11 M, 06/11 M, 07/11 M, 07/11 T, 10/11 M, 10/11 T, 11/11 M, 12/11 M, 13/11 M, 14/11 M, 15/11 T, 17/11 M, 18/11 M, 19/11 M, 19/11 T, 21/11 M, 22/11 M, 22/11 T, 24/11 M, 25/11 M, 25/11 T, 26/11 M, 27/11 M, 28/11 M, 28/11 T, 01/12 M, 01/12 T, 02/12 M, 03/12 M, 04/12 M, 05/12 M, 06/12 M, 08/12 M, 09/12 M, 09/12 T, 10/12 M, 11/12 M, 12/12 T, 13/12 T, 16/12 T, 17/12 T, 18/12 M, 19/12 M, 22/12 M, 23/12 M, 23/12 T, 26/12 M, 27/12 M, 27/12 T, 29/12 M, 30/12 M, 31/12 M, 02/01 T, 03/01 T, 05/01 M, 06/01 T, 07/01 T, 08/01 M, 09/01 M, 10/01 M, 19/01 M, 19/01 T, 20/01 T, 21/01 M, 21/01 T, 22/01 M, 22/01 T, 23/01 M, 26/01 T, 27/01 M, 27/01 T, 28/01 M, 29/01 T, 30/01 T, 02/02 M, 02/02 T, 03/02 T, 04/02 M, 05/02 M, 06/02 T, 08/02 M, 09/02 M, 10/02 M, 11/02 M, 11/02 T, 12/02 M, 13/02 M, 13/02 T, 16/02 M, 17/02 M, 18/02 M, 18/02 T, 19/02 M, 20/02 M, 23/02 M, 23/02 T, 24/02 M, 25/02 M, 26/02 M, 27/02 M, 28/02 M, 01/03 M, 03/03 M, 04/03 M, 05/03 M, 06/03 M, 06/03 T, 09/03 M, 10/03 M, 11/03 M, 12/03 M, 13/03 M, 13/03 T, 15/03 M, 16/03 M, 17/03 M, 18/03 T, 19/03 M, 19/03 T, 20/03 M, 21/03 M, 21/03 T, 24/03 M, 25/03 M, 26/03 M, 27/03 M, 28/03 M, 30/03 M, 31/03 M, 01/04 M, 02/04 M, 03/04 M, 04/04 M, 04/04 T, 06/04 M, 07/04 M, 08/04 M, 09/04 T, 10/04 M, 13/04 M, 14/04 M, 15/04 M, 16/04 M, 17/04 M, 18/04 M, 18/04 T, 20/04 MATINAL, 21/04 MATINAL</v>
      </c>
    </row>
    <row r="28" spans="1:24" s="121" customFormat="1" ht="24" customHeight="1" x14ac:dyDescent="0.2">
      <c r="A28" s="122">
        <v>24</v>
      </c>
      <c r="B28" s="123" t="s">
        <v>88</v>
      </c>
      <c r="C28" s="124" cm="1">
        <f t="array" ref="C28">SUMPRODUCT((INPUT!$H$3:$H$5000&gt;=$B$2)*(INPUT!$H$3:$H$5000&lt;=$E$2)*(INPUT!$J$3:$J$5000="J24")*ISNUMBER(INPUT!$K$3:$K$5000)*ISNUMBER(SEARCH("GYM",IFERROR(VLOOKUP(INPUT!$H$3:$H$5000&amp;INPUT!$I$3:$I$5000,CHOOSE({1,2},INPUT!$A$3:$A$5000&amp;INPUT!$C$3:$C$5000,INPUT!$D$3:$D$5000),2,FALSE),""))))</f>
        <v>0</v>
      </c>
      <c r="D28" s="124" cm="1">
        <f t="array" ref="D28">SUMPRODUCT((INPUT!$H$3:$H$5000&gt;=$B$2)*(INPUT!$H$3:$H$5000&lt;=$E$2)*(INPUT!$J$3:$J$5000="J24")*ISNUMBER(INPUT!$K$3:$K$5000)*ISNUMBER(SEARCH("FISICO",IFERROR(VLOOKUP(INPUT!$H$3:$H$5000&amp;INPUT!$I$3:$I$5000,CHOOSE({1,2},INPUT!$A$3:$A$5000&amp;INPUT!$C$3:$C$5000,INPUT!$D$3:$D$5000),2,FALSE),""))))</f>
        <v>0</v>
      </c>
      <c r="E28" s="124" cm="1">
        <f t="array" ref="E28">SUMPRODUCT((INPUT!$H$3:$H$5000&gt;=$B$2)*(INPUT!$H$3:$H$5000&lt;=$E$2)*(INPUT!$J$3:$J$5000="J24")*ISNUMBER(INPUT!$K$3:$K$5000)*ISNUMBER(SEARCH("TEC-TAC",IFERROR(VLOOKUP(INPUT!$H$3:$H$5000&amp;INPUT!$I$3:$I$5000,CHOOSE({1,2},INPUT!$A$3:$A$5000&amp;INPUT!$C$3:$C$5000,INPUT!$D$3:$D$5000),2,FALSE),""))))</f>
        <v>0</v>
      </c>
      <c r="F28" s="124" cm="1">
        <f t="array" ref="F28">SUMPRODUCT((INPUT!$H$3:$H$5000&gt;=$B$2)*(INPUT!$H$3:$H$5000&lt;=$E$2)*(INPUT!$J$3:$J$5000="J24")*ISNUMBER(INPUT!$K$3:$K$5000)*ISNUMBER(SEARCH("RECUPERACIÓN",IFERROR(VLOOKUP(INPUT!$H$3:$H$5000&amp;INPUT!$I$3:$I$5000,CHOOSE({1,2},INPUT!$A$3:$A$5000&amp;INPUT!$C$3:$C$5000,INPUT!$D$3:$D$5000),2,FALSE),""))))</f>
        <v>0</v>
      </c>
      <c r="G28" s="124" cm="1">
        <f t="array" ref="G28">SUMPRODUCT((INPUT!$H$3:$H$5000&gt;=$B$2)*(INPUT!$H$3:$H$5000&lt;=$E$2)*(INPUT!$J$3:$J$5000="J24")*ISNUMBER(INPUT!$K$3:$K$5000)*ISNUMBER(SEARCH("PARTIDO",IFERROR(VLOOKUP(INPUT!$H$3:$H$5000&amp;INPUT!$I$3:$I$5000,CHOOSE({1,2},INPUT!$A$3:$A$5000&amp;INPUT!$C$3:$C$5000,INPUT!$D$3:$D$5000),2,FALSE),""))))</f>
        <v>0</v>
      </c>
      <c r="H28" s="126" cm="1">
        <f t="array" ref="H28">SUMPRODUCT((INPUT!$H$3:$H$5000&gt;=$B$2)*(INPUT!$H$3:$H$5000&lt;=$E$2)*(INPUT!$J$3:$J$5000="J24")*ISNUMBER(INPUT!$K$3:$K$5000))</f>
        <v>0</v>
      </c>
      <c r="I28" s="178">
        <f t="shared" si="2"/>
        <v>0</v>
      </c>
      <c r="J28" s="124">
        <f>COUNTIFS(INPUT!$H$3:$H$5000,"&gt;="&amp;$B$2,INPUT!$H$3:$H$5000,"&lt;="&amp;$E$2,INPUT!$J$3:$J$5000,"J24",INPUT!$K$3:$K$5000,"S")</f>
        <v>0</v>
      </c>
      <c r="K28" s="174">
        <f t="shared" si="3"/>
        <v>0</v>
      </c>
      <c r="L28" s="124">
        <f>COUNTIFS(INPUT!$H$3:$H$5000,"&gt;="&amp;$B$2,INPUT!$H$3:$H$5000,"&lt;="&amp;$E$2,INPUT!$J$3:$J$5000,"J24",INPUT!$K$3:$K$5000,"A")</f>
        <v>0</v>
      </c>
      <c r="M28" s="174">
        <f t="shared" si="4"/>
        <v>0</v>
      </c>
      <c r="N28" s="124">
        <f>COUNTIFS(INPUT!$H$3:$H$5000,"&gt;="&amp;$B$2,INPUT!$H$3:$H$5000,"&lt;="&amp;$E$2,INPUT!$J$3:$J$5000,"J24",INPUT!$K$3:$K$5000,"L")</f>
        <v>0</v>
      </c>
      <c r="O28" s="174">
        <f t="shared" si="5"/>
        <v>0</v>
      </c>
      <c r="P28" s="124">
        <f>COUNTIFS(INPUT!$H$3:$H$5000,"&gt;="&amp;$B$2,INPUT!$H$3:$H$5000,"&lt;="&amp;$E$2,INPUT!$J$3:$J$5000,"J24",INPUT!$K$3:$K$5000,"N")</f>
        <v>0</v>
      </c>
      <c r="Q28" s="174">
        <f t="shared" si="6"/>
        <v>0</v>
      </c>
      <c r="R28" s="124">
        <f>COUNTIFS(INPUT!$H$3:$H$5000,"&gt;="&amp;$B$2,INPUT!$H$3:$H$5000,"&lt;="&amp;$E$2,INPUT!$J$3:$J$5000,"J24",INPUT!$K$3:$K$5000,"D")</f>
        <v>0</v>
      </c>
      <c r="S28" s="174">
        <f t="shared" si="7"/>
        <v>0</v>
      </c>
      <c r="T28" s="124">
        <f>COUNTIFS(INPUT!$H$3:$H$5000,"&gt;="&amp;$B$2,INPUT!$H$3:$H$5000,"&lt;="&amp;$E$2,INPUT!$J$3:$J$5000,"J24",INPUT!$K$3:$K$5000,"NC")</f>
        <v>0</v>
      </c>
      <c r="U28" s="169">
        <f t="shared" si="8"/>
        <v>0</v>
      </c>
      <c r="V28" s="125">
        <f t="shared" si="0"/>
        <v>0</v>
      </c>
      <c r="W28" s="119" t="str">
        <f t="shared" si="1"/>
        <v>⚠ FALTAN 244</v>
      </c>
      <c r="X28" s="120" t="str" cm="1">
        <f t="array" ref="X28">_xlfn.TEXTJOIN(", ",TRUE,IF((INPUT!$A$3:$A$5000&gt;=$B$2)*(INPUT!$A$3:$A$5000&lt;=$E$2)*(INPUT!$A$3:$A$5000&lt;&gt;"")*(COUNTIFS(INPUT!$H$3:$H$5000,INPUT!$A$3:$A$5000,INPUT!$I$3:$I$5000,INPUT!$C$3:$C$5000,INPUT!$J$3:$J$5000,$B28)=0),TEXT(INPUT!$A$3:$A$5000,"dd/mm")&amp;" "&amp;INPUT!$C$3:$C$5000,""))</f>
        <v>30/07 T, 31/07 T, 01/08 T, 04/08 M, 04/08 T, 05/08 M, 06/08 M, 06/08 T, 07/08 M, 07/08 T, 08/08 M, 08/08 T, 11/08 M, 11/08 T, 12/08 M, 13/08 M, 13/08 T, 14/08 M, 15/08 M, 15/08 T, 18/08 M, 18/08 T, 19/08 M, 20/08 M, 20/08 T, 21/08 M, 22/08 M, 23/08 T, 24/08 T, 26/08 M, 27/08 M, 28/08 M, 29/08 M, 30/08 M, 31/08 M, 02/09 M, 03/09 M, 04/09 M, 05/09 M, 06/09 M, 06/09 T, 08/09 T, 09/09 T, 11/09 M, 12/09 M, 13/09 M, 13/09 T, 15/09 M, 15/09 T, 16/09 M, 17/09 M, 17/09 T, 18/09 M, 19/09 M, 19/09 T, 22/09 M, 22/09 T, 23/09 M, 24/09 M, 24/09 T, 25/09 M, 26/09 M, 27/09 M, 29/09 M, 29/09 T, 30/09 M, 01/10 M, 01/10 T, 02/10 M, 03/10 M, 04/10 M, 06/10 M, 07/10 M, 08/10 M, 08/10 T, 10/10 M, 11/10 M, 12/10 M, 14/10 M, 15/10 T, 16/10 M, 17/10 M, 20/10 M, 20/10 T, 21/10 M, 22/10 M, 23/10 M, 24/10 T, 25/10 T, 28/10 M, 29/10 M, 30/10 M, 31/10 M, 03/11 M, 04/11 M, 04/11 T, 05/11 M, 06/11 M, 07/11 M, 07/11 T, 10/11 M, 10/11 T, 11/11 M, 12/11 M, 13/11 M, 14/11 M, 15/11 T, 17/11 M, 18/11 M, 19/11 M, 19/11 T, 21/11 M, 22/11 M, 22/11 T, 24/11 M, 25/11 M, 25/11 T, 26/11 M, 27/11 M, 28/11 M, 28/11 T, 01/12 M, 01/12 T, 02/12 M, 03/12 M, 04/12 M, 05/12 M, 06/12 M, 08/12 M, 09/12 M, 09/12 T, 10/12 M, 11/12 M, 12/12 T, 13/12 T, 16/12 T, 17/12 T, 18/12 M, 19/12 M, 22/12 M, 23/12 M, 23/12 T, 26/12 M, 27/12 M, 27/12 T, 29/12 M, 30/12 M, 31/12 M, 02/01 T, 03/01 T, 05/01 M, 06/01 T, 07/01 T, 08/01 M, 09/01 M, 10/01 M, 19/01 M, 19/01 T, 20/01 T, 21/01 M, 21/01 T, 22/01 M, 22/01 T, 23/01 M, 26/01 T, 27/01 M, 27/01 T, 28/01 M, 29/01 T, 30/01 T, 02/02 M, 02/02 T, 03/02 T, 04/02 M, 05/02 M, 06/02 T, 08/02 M, 09/02 M, 10/02 M, 11/02 M, 11/02 T, 12/02 M, 13/02 M, 13/02 T, 16/02 M, 17/02 M, 18/02 M, 18/02 T, 19/02 M, 20/02 M, 23/02 M, 23/02 T, 24/02 M, 25/02 M, 26/02 M, 27/02 M, 28/02 M, 01/03 M, 03/03 M, 04/03 M, 05/03 M, 06/03 M, 06/03 T, 09/03 M, 10/03 M, 11/03 M, 12/03 M, 13/03 M, 13/03 T, 15/03 M, 16/03 M, 17/03 M, 18/03 T, 19/03 M, 19/03 T, 20/03 M, 21/03 M, 21/03 T, 24/03 M, 25/03 M, 26/03 M, 27/03 M, 28/03 M, 30/03 M, 31/03 M, 01/04 M, 02/04 M, 03/04 M, 04/04 M, 04/04 T, 06/04 M, 07/04 M, 08/04 M, 09/04 T, 10/04 M, 13/04 M, 14/04 M, 15/04 M, 16/04 M, 17/04 M, 18/04 M, 18/04 T, 20/04 MATINAL, 21/04 MATINAL</v>
      </c>
    </row>
    <row r="29" spans="1:24" s="121" customFormat="1" ht="24" customHeight="1" x14ac:dyDescent="0.2">
      <c r="A29" s="114">
        <v>25</v>
      </c>
      <c r="B29" s="115" t="s">
        <v>89</v>
      </c>
      <c r="C29" s="116" cm="1">
        <f t="array" ref="C29">SUMPRODUCT((INPUT!$H$3:$H$5000&gt;=$B$2)*(INPUT!$H$3:$H$5000&lt;=$E$2)*(INPUT!$J$3:$J$5000="J25")*ISNUMBER(INPUT!$K$3:$K$5000)*ISNUMBER(SEARCH("GYM",IFERROR(VLOOKUP(INPUT!$H$3:$H$5000&amp;INPUT!$I$3:$I$5000,CHOOSE({1,2},INPUT!$A$3:$A$5000&amp;INPUT!$C$3:$C$5000,INPUT!$D$3:$D$5000),2,FALSE),""))))</f>
        <v>0</v>
      </c>
      <c r="D29" s="116" cm="1">
        <f t="array" ref="D29">SUMPRODUCT((INPUT!$H$3:$H$5000&gt;=$B$2)*(INPUT!$H$3:$H$5000&lt;=$E$2)*(INPUT!$J$3:$J$5000="J25")*ISNUMBER(INPUT!$K$3:$K$5000)*ISNUMBER(SEARCH("FISICO",IFERROR(VLOOKUP(INPUT!$H$3:$H$5000&amp;INPUT!$I$3:$I$5000,CHOOSE({1,2},INPUT!$A$3:$A$5000&amp;INPUT!$C$3:$C$5000,INPUT!$D$3:$D$5000),2,FALSE),""))))</f>
        <v>0</v>
      </c>
      <c r="E29" s="116" cm="1">
        <f t="array" ref="E29">SUMPRODUCT((INPUT!$H$3:$H$5000&gt;=$B$2)*(INPUT!$H$3:$H$5000&lt;=$E$2)*(INPUT!$J$3:$J$5000="J25")*ISNUMBER(INPUT!$K$3:$K$5000)*ISNUMBER(SEARCH("TEC-TAC",IFERROR(VLOOKUP(INPUT!$H$3:$H$5000&amp;INPUT!$I$3:$I$5000,CHOOSE({1,2},INPUT!$A$3:$A$5000&amp;INPUT!$C$3:$C$5000,INPUT!$D$3:$D$5000),2,FALSE),""))))</f>
        <v>0</v>
      </c>
      <c r="F29" s="116" cm="1">
        <f t="array" ref="F29">SUMPRODUCT((INPUT!$H$3:$H$5000&gt;=$B$2)*(INPUT!$H$3:$H$5000&lt;=$E$2)*(INPUT!$J$3:$J$5000="J25")*ISNUMBER(INPUT!$K$3:$K$5000)*ISNUMBER(SEARCH("RECUPERACIÓN",IFERROR(VLOOKUP(INPUT!$H$3:$H$5000&amp;INPUT!$I$3:$I$5000,CHOOSE({1,2},INPUT!$A$3:$A$5000&amp;INPUT!$C$3:$C$5000,INPUT!$D$3:$D$5000),2,FALSE),""))))</f>
        <v>0</v>
      </c>
      <c r="G29" s="116" cm="1">
        <f t="array" ref="G29">SUMPRODUCT((INPUT!$H$3:$H$5000&gt;=$B$2)*(INPUT!$H$3:$H$5000&lt;=$E$2)*(INPUT!$J$3:$J$5000="J25")*ISNUMBER(INPUT!$K$3:$K$5000)*ISNUMBER(SEARCH("PARTIDO",IFERROR(VLOOKUP(INPUT!$H$3:$H$5000&amp;INPUT!$I$3:$I$5000,CHOOSE({1,2},INPUT!$A$3:$A$5000&amp;INPUT!$C$3:$C$5000,INPUT!$D$3:$D$5000),2,FALSE),""))))</f>
        <v>0</v>
      </c>
      <c r="H29" s="117" cm="1">
        <f t="array" ref="H29">SUMPRODUCT((INPUT!$H$3:$H$5000&gt;=$B$2)*(INPUT!$H$3:$H$5000&lt;=$E$2)*(INPUT!$J$3:$J$5000="J25")*ISNUMBER(INPUT!$K$3:$K$5000))</f>
        <v>0</v>
      </c>
      <c r="I29" s="177">
        <f t="shared" si="2"/>
        <v>0</v>
      </c>
      <c r="J29" s="116">
        <f>COUNTIFS(INPUT!$H$3:$H$5000,"&gt;="&amp;$B$2,INPUT!$H$3:$H$5000,"&lt;="&amp;$E$2,INPUT!$J$3:$J$5000,"J25",INPUT!$K$3:$K$5000,"S")</f>
        <v>0</v>
      </c>
      <c r="K29" s="173">
        <f t="shared" si="3"/>
        <v>0</v>
      </c>
      <c r="L29" s="116">
        <f>COUNTIFS(INPUT!$H$3:$H$5000,"&gt;="&amp;$B$2,INPUT!$H$3:$H$5000,"&lt;="&amp;$E$2,INPUT!$J$3:$J$5000,"J25",INPUT!$K$3:$K$5000,"A")</f>
        <v>0</v>
      </c>
      <c r="M29" s="173">
        <f t="shared" si="4"/>
        <v>0</v>
      </c>
      <c r="N29" s="116">
        <f>COUNTIFS(INPUT!$H$3:$H$5000,"&gt;="&amp;$B$2,INPUT!$H$3:$H$5000,"&lt;="&amp;$E$2,INPUT!$J$3:$J$5000,"J25",INPUT!$K$3:$K$5000,"L")</f>
        <v>0</v>
      </c>
      <c r="O29" s="173">
        <f t="shared" si="5"/>
        <v>0</v>
      </c>
      <c r="P29" s="116">
        <f>COUNTIFS(INPUT!$H$3:$H$5000,"&gt;="&amp;$B$2,INPUT!$H$3:$H$5000,"&lt;="&amp;$E$2,INPUT!$J$3:$J$5000,"J25",INPUT!$K$3:$K$5000,"N")</f>
        <v>0</v>
      </c>
      <c r="Q29" s="173">
        <f t="shared" si="6"/>
        <v>0</v>
      </c>
      <c r="R29" s="116">
        <f>COUNTIFS(INPUT!$H$3:$H$5000,"&gt;="&amp;$B$2,INPUT!$H$3:$H$5000,"&lt;="&amp;$E$2,INPUT!$J$3:$J$5000,"J25",INPUT!$K$3:$K$5000,"D")</f>
        <v>0</v>
      </c>
      <c r="S29" s="173">
        <f t="shared" si="7"/>
        <v>0</v>
      </c>
      <c r="T29" s="116">
        <f>COUNTIFS(INPUT!$H$3:$H$5000,"&gt;="&amp;$B$2,INPUT!$H$3:$H$5000,"&lt;="&amp;$E$2,INPUT!$J$3:$J$5000,"J25",INPUT!$K$3:$K$5000,"NC")</f>
        <v>0</v>
      </c>
      <c r="U29" s="168">
        <f t="shared" si="8"/>
        <v>0</v>
      </c>
      <c r="V29" s="118">
        <f t="shared" si="0"/>
        <v>0</v>
      </c>
      <c r="W29" s="119" t="str">
        <f t="shared" si="1"/>
        <v>⚠ FALTAN 244</v>
      </c>
      <c r="X29" s="120" t="str" cm="1">
        <f t="array" ref="X29">_xlfn.TEXTJOIN(", ",TRUE,IF((INPUT!$A$3:$A$5000&gt;=$B$2)*(INPUT!$A$3:$A$5000&lt;=$E$2)*(INPUT!$A$3:$A$5000&lt;&gt;"")*(COUNTIFS(INPUT!$H$3:$H$5000,INPUT!$A$3:$A$5000,INPUT!$I$3:$I$5000,INPUT!$C$3:$C$5000,INPUT!$J$3:$J$5000,$B29)=0),TEXT(INPUT!$A$3:$A$5000,"dd/mm")&amp;" "&amp;INPUT!$C$3:$C$5000,""))</f>
        <v>30/07 T, 31/07 T, 01/08 T, 04/08 M, 04/08 T, 05/08 M, 06/08 M, 06/08 T, 07/08 M, 07/08 T, 08/08 M, 08/08 T, 11/08 M, 11/08 T, 12/08 M, 13/08 M, 13/08 T, 14/08 M, 15/08 M, 15/08 T, 18/08 M, 18/08 T, 19/08 M, 20/08 M, 20/08 T, 21/08 M, 22/08 M, 23/08 T, 24/08 T, 26/08 M, 27/08 M, 28/08 M, 29/08 M, 30/08 M, 31/08 M, 02/09 M, 03/09 M, 04/09 M, 05/09 M, 06/09 M, 06/09 T, 08/09 T, 09/09 T, 11/09 M, 12/09 M, 13/09 M, 13/09 T, 15/09 M, 15/09 T, 16/09 M, 17/09 M, 17/09 T, 18/09 M, 19/09 M, 19/09 T, 22/09 M, 22/09 T, 23/09 M, 24/09 M, 24/09 T, 25/09 M, 26/09 M, 27/09 M, 29/09 M, 29/09 T, 30/09 M, 01/10 M, 01/10 T, 02/10 M, 03/10 M, 04/10 M, 06/10 M, 07/10 M, 08/10 M, 08/10 T, 10/10 M, 11/10 M, 12/10 M, 14/10 M, 15/10 T, 16/10 M, 17/10 M, 20/10 M, 20/10 T, 21/10 M, 22/10 M, 23/10 M, 24/10 T, 25/10 T, 28/10 M, 29/10 M, 30/10 M, 31/10 M, 03/11 M, 04/11 M, 04/11 T, 05/11 M, 06/11 M, 07/11 M, 07/11 T, 10/11 M, 10/11 T, 11/11 M, 12/11 M, 13/11 M, 14/11 M, 15/11 T, 17/11 M, 18/11 M, 19/11 M, 19/11 T, 21/11 M, 22/11 M, 22/11 T, 24/11 M, 25/11 M, 25/11 T, 26/11 M, 27/11 M, 28/11 M, 28/11 T, 01/12 M, 01/12 T, 02/12 M, 03/12 M, 04/12 M, 05/12 M, 06/12 M, 08/12 M, 09/12 M, 09/12 T, 10/12 M, 11/12 M, 12/12 T, 13/12 T, 16/12 T, 17/12 T, 18/12 M, 19/12 M, 22/12 M, 23/12 M, 23/12 T, 26/12 M, 27/12 M, 27/12 T, 29/12 M, 30/12 M, 31/12 M, 02/01 T, 03/01 T, 05/01 M, 06/01 T, 07/01 T, 08/01 M, 09/01 M, 10/01 M, 19/01 M, 19/01 T, 20/01 T, 21/01 M, 21/01 T, 22/01 M, 22/01 T, 23/01 M, 26/01 T, 27/01 M, 27/01 T, 28/01 M, 29/01 T, 30/01 T, 02/02 M, 02/02 T, 03/02 T, 04/02 M, 05/02 M, 06/02 T, 08/02 M, 09/02 M, 10/02 M, 11/02 M, 11/02 T, 12/02 M, 13/02 M, 13/02 T, 16/02 M, 17/02 M, 18/02 M, 18/02 T, 19/02 M, 20/02 M, 23/02 M, 23/02 T, 24/02 M, 25/02 M, 26/02 M, 27/02 M, 28/02 M, 01/03 M, 03/03 M, 04/03 M, 05/03 M, 06/03 M, 06/03 T, 09/03 M, 10/03 M, 11/03 M, 12/03 M, 13/03 M, 13/03 T, 15/03 M, 16/03 M, 17/03 M, 18/03 T, 19/03 M, 19/03 T, 20/03 M, 21/03 M, 21/03 T, 24/03 M, 25/03 M, 26/03 M, 27/03 M, 28/03 M, 30/03 M, 31/03 M, 01/04 M, 02/04 M, 03/04 M, 04/04 M, 04/04 T, 06/04 M, 07/04 M, 08/04 M, 09/04 T, 10/04 M, 13/04 M, 14/04 M, 15/04 M, 16/04 M, 17/04 M, 18/04 M, 18/04 T, 20/04 MATINAL, 21/04 MATINAL</v>
      </c>
    </row>
    <row r="30" spans="1:24" ht="17" thickBot="1" x14ac:dyDescent="0.25">
      <c r="A30" s="6"/>
      <c r="B30" s="5"/>
      <c r="C30" s="5"/>
      <c r="D30" s="5"/>
      <c r="E30" s="5"/>
      <c r="F30" s="5"/>
      <c r="G30" s="5"/>
      <c r="H30" s="5"/>
      <c r="I30" s="175"/>
      <c r="J30" s="167"/>
      <c r="K30" s="175"/>
      <c r="L30" s="167"/>
      <c r="M30" s="175"/>
      <c r="N30" s="167"/>
      <c r="O30" s="175"/>
      <c r="P30" s="167"/>
      <c r="Q30" s="175"/>
      <c r="R30" s="167"/>
      <c r="S30" s="175"/>
      <c r="T30" s="167"/>
      <c r="U30" s="171"/>
      <c r="V30" s="7"/>
    </row>
    <row r="31" spans="1:24" ht="17" thickBot="1" x14ac:dyDescent="0.25">
      <c r="A31" s="244" t="s">
        <v>164</v>
      </c>
      <c r="B31" s="245"/>
      <c r="C31" s="180" cm="1">
        <f t="array" ref="C31">SUMPRODUCT((INPUT!$A$3:$A$5000&gt;=$B$2)*(INPUT!$A$3:$A$5000&lt;=$E$2)*ISNUMBER(SEARCH("GYM",INPUT!$D$3:$D$5000)))</f>
        <v>41</v>
      </c>
      <c r="D31" s="180" cm="1">
        <f t="array" ref="D31">SUMPRODUCT((INPUT!$A$3:$A$5000&gt;=$B$2)*(INPUT!$A$3:$A$5000&lt;=$E$2)*ISNUMBER(SEARCH("FISICO",INPUT!$D$3:$D$5000)))</f>
        <v>15</v>
      </c>
      <c r="E31" s="180" cm="1">
        <f t="array" ref="E31">SUMPRODUCT((INPUT!$A$3:$A$5000&gt;=$B$2)*(INPUT!$A$3:$A$5000&lt;=$E$2)*ISNUMBER(SEARCH("TEC-TAC",INPUT!$D$3:$D$5000)))</f>
        <v>153</v>
      </c>
      <c r="F31" s="180" cm="1">
        <f t="array" ref="F31">SUMPRODUCT((INPUT!$A$3:$A$5000&gt;=$B$2)*(INPUT!$A$3:$A$5000&lt;=$E$2)*ISNUMBER(SEARCH("RECUPERACIÓN",INPUT!$D$3:$D$5000)))</f>
        <v>7</v>
      </c>
      <c r="G31" s="180" cm="1">
        <f t="array" ref="G31">SUMPRODUCT((INPUT!$A$3:$A$5000&gt;=$B$2)*(INPUT!$A$3:$A$5000&lt;=$E$2)*ISNUMBER(SEARCH("PARTIDO",INPUT!$D$3:$D$5000)))</f>
        <v>42</v>
      </c>
      <c r="H31" s="181">
        <f>COUNTIFS(INPUT!$A$3:$A$5000,"&gt;="&amp;$B$2,INPUT!$A$3:$A$5000,"&lt;="&amp;$E$2)</f>
        <v>244</v>
      </c>
      <c r="I31" s="179"/>
      <c r="J31" s="182">
        <f>SUM(J5:J29)</f>
        <v>146</v>
      </c>
      <c r="K31" s="183"/>
      <c r="L31" s="182">
        <f>SUM(L5:L29)</f>
        <v>26</v>
      </c>
      <c r="M31" s="183"/>
      <c r="N31" s="182">
        <f>SUM(N5:N29)</f>
        <v>169</v>
      </c>
      <c r="O31" s="183"/>
      <c r="P31" s="182">
        <f>SUM(P5:P29)</f>
        <v>85</v>
      </c>
      <c r="Q31" s="183"/>
      <c r="R31" s="182">
        <f>SUM(R5:R29)</f>
        <v>0</v>
      </c>
      <c r="S31" s="183"/>
      <c r="T31" s="182">
        <f>SUM(T5:T29)</f>
        <v>0</v>
      </c>
      <c r="U31" s="170"/>
      <c r="V31" s="184">
        <f>H31</f>
        <v>244</v>
      </c>
    </row>
    <row r="32" spans="1:24" ht="17" thickBot="1" x14ac:dyDescent="0.25">
      <c r="A32" s="185"/>
      <c r="B32" s="185" t="s">
        <v>202</v>
      </c>
      <c r="C32" s="185"/>
      <c r="D32" s="185"/>
      <c r="E32" s="185"/>
      <c r="F32" s="185"/>
      <c r="G32" s="185"/>
      <c r="H32" s="186">
        <f>SUM(H5:H29)</f>
        <v>3275</v>
      </c>
      <c r="I32" s="187">
        <f>IFERROR(H32/$V$32,0)</f>
        <v>0.88489597406106457</v>
      </c>
      <c r="J32" s="186">
        <f>SUM(J5:J29)</f>
        <v>146</v>
      </c>
      <c r="K32" s="187">
        <f>IFERROR(J32/$V$32,0)</f>
        <v>3.9448797622264255E-2</v>
      </c>
      <c r="L32" s="186">
        <f>SUM(L5:L29)</f>
        <v>26</v>
      </c>
      <c r="M32" s="187">
        <f>IFERROR(L32/$V$32,0)</f>
        <v>7.0251283436908946E-3</v>
      </c>
      <c r="N32" s="186">
        <f>SUM(N5:N29)</f>
        <v>169</v>
      </c>
      <c r="O32" s="187">
        <f>IFERROR(N32/$V$32,0)</f>
        <v>4.5663334233990813E-2</v>
      </c>
      <c r="P32" s="186">
        <f>SUM(P5:P29)</f>
        <v>85</v>
      </c>
      <c r="Q32" s="187">
        <f>IFERROR(P32/$V$32,0)</f>
        <v>2.2966765738989463E-2</v>
      </c>
      <c r="R32" s="186">
        <f>SUM(R5:R29)</f>
        <v>0</v>
      </c>
      <c r="S32" s="187">
        <f>IFERROR(R32/$V$32,0)</f>
        <v>0</v>
      </c>
      <c r="T32" s="186">
        <f>SUM(T5:T29)</f>
        <v>0</v>
      </c>
      <c r="U32" s="187">
        <f>IFERROR(T32/$V$32,0)</f>
        <v>0</v>
      </c>
      <c r="V32" s="186">
        <f>H32+J32+L32+N32+P32+R32</f>
        <v>3701</v>
      </c>
    </row>
  </sheetData>
  <sheetProtection sheet="1" objects="1" scenarios="1" autoFilter="0"/>
  <mergeCells count="3">
    <mergeCell ref="A1:T1"/>
    <mergeCell ref="G2:T2"/>
    <mergeCell ref="A31:B31"/>
  </mergeCells>
  <conditionalFormatting sqref="W5:W29">
    <cfRule type="containsText" dxfId="37" priority="1" operator="containsText" text="⚠">
      <formula>NOT(ISERROR(SEARCH("⚠",W5)))</formula>
    </cfRule>
    <cfRule type="containsText" dxfId="36" priority="2" operator="containsText" text="✓">
      <formula>NOT(ISERROR(SEARCH("✓",W5)))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01AA-990B-B540-9389-11E83AC166AC}">
  <sheetPr>
    <tabColor rgb="FFFF6F00"/>
  </sheetPr>
  <dimension ref="A1:AW20"/>
  <sheetViews>
    <sheetView tabSelected="1" workbookViewId="0">
      <pane ySplit="4" topLeftCell="A5" activePane="bottomLeft" state="frozen"/>
      <selection pane="bottomLeft" activeCell="D2" sqref="D2:J2"/>
    </sheetView>
  </sheetViews>
  <sheetFormatPr baseColWidth="10" defaultRowHeight="16" x14ac:dyDescent="0.2"/>
  <cols>
    <col min="1" max="1" width="18.33203125" customWidth="1"/>
    <col min="2" max="49" width="10" customWidth="1"/>
  </cols>
  <sheetData>
    <row r="1" spans="1:49" ht="19" x14ac:dyDescent="0.25">
      <c r="A1" s="246" t="s">
        <v>102</v>
      </c>
      <c r="B1" s="210"/>
      <c r="C1" s="210"/>
      <c r="D1" s="210"/>
      <c r="E1" s="210"/>
      <c r="F1" s="210"/>
      <c r="G1" s="210"/>
      <c r="H1" s="210"/>
      <c r="I1" s="210"/>
      <c r="J1" s="210"/>
    </row>
    <row r="2" spans="1:49" x14ac:dyDescent="0.2">
      <c r="A2" s="1" t="s">
        <v>151</v>
      </c>
      <c r="B2" s="150">
        <v>45866</v>
      </c>
      <c r="C2" s="15"/>
      <c r="D2" s="247" t="s">
        <v>152</v>
      </c>
      <c r="E2" s="210"/>
      <c r="F2" s="210"/>
      <c r="G2" s="210"/>
      <c r="H2" s="210"/>
      <c r="I2" s="210"/>
      <c r="J2" s="210"/>
    </row>
    <row r="3" spans="1:49" ht="17" thickBot="1" x14ac:dyDescent="0.25"/>
    <row r="4" spans="1:49" ht="36" customHeight="1" x14ac:dyDescent="0.2">
      <c r="A4" s="133" t="s">
        <v>0</v>
      </c>
      <c r="B4" s="146">
        <v>1</v>
      </c>
      <c r="C4" s="146">
        <f>B4+1</f>
        <v>2</v>
      </c>
      <c r="D4" s="146">
        <f t="shared" ref="D4:AW4" si="0">C4+1</f>
        <v>3</v>
      </c>
      <c r="E4" s="146">
        <f t="shared" si="0"/>
        <v>4</v>
      </c>
      <c r="F4" s="146">
        <f t="shared" si="0"/>
        <v>5</v>
      </c>
      <c r="G4" s="146">
        <f t="shared" si="0"/>
        <v>6</v>
      </c>
      <c r="H4" s="146">
        <f t="shared" si="0"/>
        <v>7</v>
      </c>
      <c r="I4" s="146">
        <f t="shared" si="0"/>
        <v>8</v>
      </c>
      <c r="J4" s="146">
        <f t="shared" si="0"/>
        <v>9</v>
      </c>
      <c r="K4" s="146">
        <f t="shared" si="0"/>
        <v>10</v>
      </c>
      <c r="L4" s="146">
        <f t="shared" si="0"/>
        <v>11</v>
      </c>
      <c r="M4" s="146">
        <f t="shared" si="0"/>
        <v>12</v>
      </c>
      <c r="N4" s="146">
        <f t="shared" si="0"/>
        <v>13</v>
      </c>
      <c r="O4" s="146">
        <f t="shared" si="0"/>
        <v>14</v>
      </c>
      <c r="P4" s="146">
        <f t="shared" si="0"/>
        <v>15</v>
      </c>
      <c r="Q4" s="146">
        <f t="shared" si="0"/>
        <v>16</v>
      </c>
      <c r="R4" s="146">
        <f t="shared" si="0"/>
        <v>17</v>
      </c>
      <c r="S4" s="146">
        <f t="shared" si="0"/>
        <v>18</v>
      </c>
      <c r="T4" s="146">
        <f t="shared" si="0"/>
        <v>19</v>
      </c>
      <c r="U4" s="146">
        <f t="shared" si="0"/>
        <v>20</v>
      </c>
      <c r="V4" s="146">
        <f t="shared" si="0"/>
        <v>21</v>
      </c>
      <c r="W4" s="146">
        <f t="shared" si="0"/>
        <v>22</v>
      </c>
      <c r="X4" s="146">
        <f t="shared" si="0"/>
        <v>23</v>
      </c>
      <c r="Y4" s="146">
        <f t="shared" si="0"/>
        <v>24</v>
      </c>
      <c r="Z4" s="146">
        <f t="shared" si="0"/>
        <v>25</v>
      </c>
      <c r="AA4" s="146">
        <f t="shared" si="0"/>
        <v>26</v>
      </c>
      <c r="AB4" s="146">
        <f t="shared" si="0"/>
        <v>27</v>
      </c>
      <c r="AC4" s="146">
        <f t="shared" si="0"/>
        <v>28</v>
      </c>
      <c r="AD4" s="146">
        <f t="shared" si="0"/>
        <v>29</v>
      </c>
      <c r="AE4" s="146">
        <f t="shared" si="0"/>
        <v>30</v>
      </c>
      <c r="AF4" s="146">
        <f t="shared" si="0"/>
        <v>31</v>
      </c>
      <c r="AG4" s="146">
        <f t="shared" si="0"/>
        <v>32</v>
      </c>
      <c r="AH4" s="146">
        <f t="shared" si="0"/>
        <v>33</v>
      </c>
      <c r="AI4" s="146">
        <f t="shared" si="0"/>
        <v>34</v>
      </c>
      <c r="AJ4" s="146">
        <f t="shared" si="0"/>
        <v>35</v>
      </c>
      <c r="AK4" s="146">
        <f t="shared" si="0"/>
        <v>36</v>
      </c>
      <c r="AL4" s="146">
        <f t="shared" si="0"/>
        <v>37</v>
      </c>
      <c r="AM4" s="146">
        <f t="shared" si="0"/>
        <v>38</v>
      </c>
      <c r="AN4" s="146">
        <f t="shared" si="0"/>
        <v>39</v>
      </c>
      <c r="AO4" s="146">
        <f t="shared" si="0"/>
        <v>40</v>
      </c>
      <c r="AP4" s="146">
        <f t="shared" si="0"/>
        <v>41</v>
      </c>
      <c r="AQ4" s="146">
        <f t="shared" si="0"/>
        <v>42</v>
      </c>
      <c r="AR4" s="146">
        <f t="shared" si="0"/>
        <v>43</v>
      </c>
      <c r="AS4" s="146">
        <f t="shared" si="0"/>
        <v>44</v>
      </c>
      <c r="AT4" s="146">
        <f t="shared" si="0"/>
        <v>45</v>
      </c>
      <c r="AU4" s="146">
        <f t="shared" si="0"/>
        <v>46</v>
      </c>
      <c r="AV4" s="146">
        <f t="shared" si="0"/>
        <v>47</v>
      </c>
      <c r="AW4" s="147">
        <f t="shared" si="0"/>
        <v>48</v>
      </c>
    </row>
    <row r="5" spans="1:49" x14ac:dyDescent="0.2">
      <c r="A5" s="134" t="s">
        <v>103</v>
      </c>
      <c r="B5" s="148">
        <f>$B$2+(B4-1)*7</f>
        <v>45866</v>
      </c>
      <c r="C5" s="148">
        <f t="shared" ref="C5:AW5" si="1">$B$2+(C4-1)*7</f>
        <v>45873</v>
      </c>
      <c r="D5" s="148">
        <f t="shared" si="1"/>
        <v>45880</v>
      </c>
      <c r="E5" s="148">
        <f t="shared" si="1"/>
        <v>45887</v>
      </c>
      <c r="F5" s="148">
        <f t="shared" si="1"/>
        <v>45894</v>
      </c>
      <c r="G5" s="148">
        <f t="shared" si="1"/>
        <v>45901</v>
      </c>
      <c r="H5" s="148">
        <f t="shared" si="1"/>
        <v>45908</v>
      </c>
      <c r="I5" s="148">
        <f t="shared" si="1"/>
        <v>45915</v>
      </c>
      <c r="J5" s="148">
        <f t="shared" si="1"/>
        <v>45922</v>
      </c>
      <c r="K5" s="148">
        <f t="shared" si="1"/>
        <v>45929</v>
      </c>
      <c r="L5" s="148">
        <f t="shared" si="1"/>
        <v>45936</v>
      </c>
      <c r="M5" s="148">
        <f t="shared" si="1"/>
        <v>45943</v>
      </c>
      <c r="N5" s="148">
        <f t="shared" si="1"/>
        <v>45950</v>
      </c>
      <c r="O5" s="148">
        <f t="shared" si="1"/>
        <v>45957</v>
      </c>
      <c r="P5" s="148">
        <f t="shared" si="1"/>
        <v>45964</v>
      </c>
      <c r="Q5" s="148">
        <f t="shared" si="1"/>
        <v>45971</v>
      </c>
      <c r="R5" s="148">
        <f t="shared" si="1"/>
        <v>45978</v>
      </c>
      <c r="S5" s="148">
        <f t="shared" si="1"/>
        <v>45985</v>
      </c>
      <c r="T5" s="148">
        <f t="shared" si="1"/>
        <v>45992</v>
      </c>
      <c r="U5" s="148">
        <f t="shared" si="1"/>
        <v>45999</v>
      </c>
      <c r="V5" s="148">
        <f t="shared" si="1"/>
        <v>46006</v>
      </c>
      <c r="W5" s="148">
        <f t="shared" si="1"/>
        <v>46013</v>
      </c>
      <c r="X5" s="148">
        <f t="shared" si="1"/>
        <v>46020</v>
      </c>
      <c r="Y5" s="148">
        <f t="shared" si="1"/>
        <v>46027</v>
      </c>
      <c r="Z5" s="148">
        <f t="shared" si="1"/>
        <v>46034</v>
      </c>
      <c r="AA5" s="148">
        <f t="shared" si="1"/>
        <v>46041</v>
      </c>
      <c r="AB5" s="148">
        <f t="shared" si="1"/>
        <v>46048</v>
      </c>
      <c r="AC5" s="148">
        <f t="shared" si="1"/>
        <v>46055</v>
      </c>
      <c r="AD5" s="148">
        <f t="shared" si="1"/>
        <v>46062</v>
      </c>
      <c r="AE5" s="148">
        <f t="shared" si="1"/>
        <v>46069</v>
      </c>
      <c r="AF5" s="148">
        <f t="shared" si="1"/>
        <v>46076</v>
      </c>
      <c r="AG5" s="148">
        <f t="shared" si="1"/>
        <v>46083</v>
      </c>
      <c r="AH5" s="148">
        <f t="shared" si="1"/>
        <v>46090</v>
      </c>
      <c r="AI5" s="148">
        <f t="shared" si="1"/>
        <v>46097</v>
      </c>
      <c r="AJ5" s="148">
        <f t="shared" si="1"/>
        <v>46104</v>
      </c>
      <c r="AK5" s="148">
        <f t="shared" si="1"/>
        <v>46111</v>
      </c>
      <c r="AL5" s="148">
        <f t="shared" si="1"/>
        <v>46118</v>
      </c>
      <c r="AM5" s="148">
        <f t="shared" si="1"/>
        <v>46125</v>
      </c>
      <c r="AN5" s="148">
        <f t="shared" si="1"/>
        <v>46132</v>
      </c>
      <c r="AO5" s="148">
        <f t="shared" si="1"/>
        <v>46139</v>
      </c>
      <c r="AP5" s="148">
        <f t="shared" si="1"/>
        <v>46146</v>
      </c>
      <c r="AQ5" s="148">
        <f t="shared" si="1"/>
        <v>46153</v>
      </c>
      <c r="AR5" s="148">
        <f t="shared" si="1"/>
        <v>46160</v>
      </c>
      <c r="AS5" s="148">
        <f t="shared" si="1"/>
        <v>46167</v>
      </c>
      <c r="AT5" s="148">
        <f t="shared" si="1"/>
        <v>46174</v>
      </c>
      <c r="AU5" s="148">
        <f t="shared" si="1"/>
        <v>46181</v>
      </c>
      <c r="AV5" s="148">
        <f t="shared" si="1"/>
        <v>46188</v>
      </c>
      <c r="AW5" s="149">
        <f t="shared" si="1"/>
        <v>46195</v>
      </c>
    </row>
    <row r="6" spans="1:49" x14ac:dyDescent="0.2">
      <c r="A6" s="134" t="s">
        <v>1</v>
      </c>
      <c r="B6" s="129">
        <f>IFERROR(_xlfn.ISOWEEKNUM(B5),"")</f>
        <v>31</v>
      </c>
      <c r="C6" s="129">
        <f t="shared" ref="C6:AW6" si="2">IFERROR(_xlfn.ISOWEEKNUM(C5),"")</f>
        <v>32</v>
      </c>
      <c r="D6" s="129">
        <f t="shared" si="2"/>
        <v>33</v>
      </c>
      <c r="E6" s="129">
        <f t="shared" si="2"/>
        <v>34</v>
      </c>
      <c r="F6" s="129">
        <f t="shared" si="2"/>
        <v>35</v>
      </c>
      <c r="G6" s="129">
        <f t="shared" si="2"/>
        <v>36</v>
      </c>
      <c r="H6" s="129">
        <f t="shared" si="2"/>
        <v>37</v>
      </c>
      <c r="I6" s="129">
        <f t="shared" si="2"/>
        <v>38</v>
      </c>
      <c r="J6" s="129">
        <f t="shared" si="2"/>
        <v>39</v>
      </c>
      <c r="K6" s="129">
        <f t="shared" si="2"/>
        <v>40</v>
      </c>
      <c r="L6" s="129">
        <f t="shared" si="2"/>
        <v>41</v>
      </c>
      <c r="M6" s="129">
        <f t="shared" si="2"/>
        <v>42</v>
      </c>
      <c r="N6" s="129">
        <f t="shared" si="2"/>
        <v>43</v>
      </c>
      <c r="O6" s="129">
        <f t="shared" si="2"/>
        <v>44</v>
      </c>
      <c r="P6" s="129">
        <f t="shared" si="2"/>
        <v>45</v>
      </c>
      <c r="Q6" s="129">
        <f t="shared" si="2"/>
        <v>46</v>
      </c>
      <c r="R6" s="129">
        <f t="shared" si="2"/>
        <v>47</v>
      </c>
      <c r="S6" s="129">
        <f t="shared" si="2"/>
        <v>48</v>
      </c>
      <c r="T6" s="129">
        <f t="shared" si="2"/>
        <v>49</v>
      </c>
      <c r="U6" s="129">
        <f t="shared" si="2"/>
        <v>50</v>
      </c>
      <c r="V6" s="129">
        <f t="shared" si="2"/>
        <v>51</v>
      </c>
      <c r="W6" s="129">
        <f t="shared" si="2"/>
        <v>52</v>
      </c>
      <c r="X6" s="129">
        <f t="shared" si="2"/>
        <v>1</v>
      </c>
      <c r="Y6" s="129">
        <f t="shared" si="2"/>
        <v>2</v>
      </c>
      <c r="Z6" s="129">
        <f t="shared" si="2"/>
        <v>3</v>
      </c>
      <c r="AA6" s="129">
        <f t="shared" si="2"/>
        <v>4</v>
      </c>
      <c r="AB6" s="129">
        <f t="shared" si="2"/>
        <v>5</v>
      </c>
      <c r="AC6" s="129">
        <f t="shared" si="2"/>
        <v>6</v>
      </c>
      <c r="AD6" s="129">
        <f t="shared" si="2"/>
        <v>7</v>
      </c>
      <c r="AE6" s="129">
        <f t="shared" si="2"/>
        <v>8</v>
      </c>
      <c r="AF6" s="129">
        <f t="shared" si="2"/>
        <v>9</v>
      </c>
      <c r="AG6" s="129">
        <f t="shared" si="2"/>
        <v>10</v>
      </c>
      <c r="AH6" s="129">
        <f t="shared" si="2"/>
        <v>11</v>
      </c>
      <c r="AI6" s="129">
        <f t="shared" si="2"/>
        <v>12</v>
      </c>
      <c r="AJ6" s="129">
        <f t="shared" si="2"/>
        <v>13</v>
      </c>
      <c r="AK6" s="129">
        <f t="shared" si="2"/>
        <v>14</v>
      </c>
      <c r="AL6" s="129">
        <f t="shared" si="2"/>
        <v>15</v>
      </c>
      <c r="AM6" s="129">
        <f t="shared" si="2"/>
        <v>16</v>
      </c>
      <c r="AN6" s="129">
        <f t="shared" si="2"/>
        <v>17</v>
      </c>
      <c r="AO6" s="129">
        <f t="shared" si="2"/>
        <v>18</v>
      </c>
      <c r="AP6" s="129">
        <f t="shared" si="2"/>
        <v>19</v>
      </c>
      <c r="AQ6" s="129">
        <f t="shared" si="2"/>
        <v>20</v>
      </c>
      <c r="AR6" s="129">
        <f t="shared" si="2"/>
        <v>21</v>
      </c>
      <c r="AS6" s="129">
        <f t="shared" si="2"/>
        <v>22</v>
      </c>
      <c r="AT6" s="129">
        <f t="shared" si="2"/>
        <v>23</v>
      </c>
      <c r="AU6" s="129">
        <f t="shared" si="2"/>
        <v>24</v>
      </c>
      <c r="AV6" s="129">
        <f t="shared" si="2"/>
        <v>25</v>
      </c>
      <c r="AW6" s="136">
        <f t="shared" si="2"/>
        <v>26</v>
      </c>
    </row>
    <row r="7" spans="1:49" x14ac:dyDescent="0.2">
      <c r="A7" s="134" t="s">
        <v>153</v>
      </c>
      <c r="B7" s="140" cm="1">
        <f t="array" ref="B7">IFERROR(_xlfn.LET(_xlpm.n,SUMPRODUCT((INPUT!$H$3:$H$5000&gt;=B5)*(INPUT!$H$3:$H$5000&lt;=B5+6)*ISNUMBER(INPUT!$K$3:$K$5000)),_xlpm.d,COUNTIFS(INPUT!$A$3:$A$5000,"&gt;="&amp;B5,INPUT!$A$3:$A$5000,"&lt;="&amp;B5+6),IF(OR(_xlpm.n=0,_xlpm.d=0),NA(),_xlpm.n/_xlpm.d)),NA())</f>
        <v>17</v>
      </c>
      <c r="C7" s="140" cm="1">
        <f t="array" ref="C7">IFERROR(_xlfn.LET(_xlpm.n,SUMPRODUCT((INPUT!$H$3:$H$5000&gt;=C5)*(INPUT!$H$3:$H$5000&lt;=C5+6)*ISNUMBER(INPUT!$K$3:$K$5000)),_xlpm.d,COUNTIFS(INPUT!$A$3:$A$5000,"&gt;="&amp;C5,INPUT!$A$3:$A$5000,"&lt;="&amp;C5+6),IF(OR(_xlpm.n=0,_xlpm.d=0),NA(),_xlpm.n/_xlpm.d)),NA())</f>
        <v>16.111111111111111</v>
      </c>
      <c r="D7" s="140" cm="1">
        <f t="array" ref="D7">IFERROR(_xlfn.LET(_xlpm.n,SUMPRODUCT((INPUT!$H$3:$H$5000&gt;=D5)*(INPUT!$H$3:$H$5000&lt;=D5+6)*ISNUMBER(INPUT!$K$3:$K$5000)),_xlpm.d,COUNTIFS(INPUT!$A$3:$A$5000,"&gt;="&amp;D5,INPUT!$A$3:$A$5000,"&lt;="&amp;D5+6),IF(OR(_xlpm.n=0,_xlpm.d=0),NA(),_xlpm.n/_xlpm.d)),NA())</f>
        <v>15.125</v>
      </c>
      <c r="E7" s="140" cm="1">
        <f t="array" ref="E7">IFERROR(_xlfn.LET(_xlpm.n,SUMPRODUCT((INPUT!$H$3:$H$5000&gt;=E5)*(INPUT!$H$3:$H$5000&lt;=E5+6)*ISNUMBER(INPUT!$K$3:$K$5000)),_xlpm.d,COUNTIFS(INPUT!$A$3:$A$5000,"&gt;="&amp;E5,INPUT!$A$3:$A$5000,"&lt;="&amp;E5+6),IF(OR(_xlpm.n=0,_xlpm.d=0),NA(),_xlpm.n/_xlpm.d)),NA())</f>
        <v>15.333333333333334</v>
      </c>
      <c r="F7" s="140" cm="1">
        <f t="array" ref="F7">IFERROR(_xlfn.LET(_xlpm.n,SUMPRODUCT((INPUT!$H$3:$H$5000&gt;=F5)*(INPUT!$H$3:$H$5000&lt;=F5+6)*ISNUMBER(INPUT!$K$3:$K$5000)),_xlpm.d,COUNTIFS(INPUT!$A$3:$A$5000,"&gt;="&amp;F5,INPUT!$A$3:$A$5000,"&lt;="&amp;F5+6),IF(OR(_xlpm.n=0,_xlpm.d=0),NA(),_xlpm.n/_xlpm.d)),NA())</f>
        <v>14.166666666666666</v>
      </c>
      <c r="G7" s="140" cm="1">
        <f t="array" ref="G7">IFERROR(_xlfn.LET(_xlpm.n,SUMPRODUCT((INPUT!$H$3:$H$5000&gt;=G5)*(INPUT!$H$3:$H$5000&lt;=G5+6)*ISNUMBER(INPUT!$K$3:$K$5000)),_xlpm.d,COUNTIFS(INPUT!$A$3:$A$5000,"&gt;="&amp;G5,INPUT!$A$3:$A$5000,"&lt;="&amp;G5+6),IF(OR(_xlpm.n=0,_xlpm.d=0),NA(),_xlpm.n/_xlpm.d)),NA())</f>
        <v>13.5</v>
      </c>
      <c r="H7" s="140" cm="1">
        <f t="array" ref="H7">IFERROR(_xlfn.LET(_xlpm.n,SUMPRODUCT((INPUT!$H$3:$H$5000&gt;=H5)*(INPUT!$H$3:$H$5000&lt;=H5+6)*ISNUMBER(INPUT!$K$3:$K$5000)),_xlpm.d,COUNTIFS(INPUT!$A$3:$A$5000,"&gt;="&amp;H5,INPUT!$A$3:$A$5000,"&lt;="&amp;H5+6),IF(OR(_xlpm.n=0,_xlpm.d=0),NA(),_xlpm.n/_xlpm.d)),NA())</f>
        <v>13.333333333333334</v>
      </c>
      <c r="I7" s="140" cm="1">
        <f t="array" ref="I7">IFERROR(_xlfn.LET(_xlpm.n,SUMPRODUCT((INPUT!$H$3:$H$5000&gt;=I5)*(INPUT!$H$3:$H$5000&lt;=I5+6)*ISNUMBER(INPUT!$K$3:$K$5000)),_xlpm.d,COUNTIFS(INPUT!$A$3:$A$5000,"&gt;="&amp;I5,INPUT!$A$3:$A$5000,"&lt;="&amp;I5+6),IF(OR(_xlpm.n=0,_xlpm.d=0),NA(),_xlpm.n/_xlpm.d)),NA())</f>
        <v>11.625</v>
      </c>
      <c r="J7" s="140" cm="1">
        <f t="array" ref="J7">IFERROR(_xlfn.LET(_xlpm.n,SUMPRODUCT((INPUT!$H$3:$H$5000&gt;=J5)*(INPUT!$H$3:$H$5000&lt;=J5+6)*ISNUMBER(INPUT!$K$3:$K$5000)),_xlpm.d,COUNTIFS(INPUT!$A$3:$A$5000,"&gt;="&amp;J5,INPUT!$A$3:$A$5000,"&lt;="&amp;J5+6),IF(OR(_xlpm.n=0,_xlpm.d=0),NA(),_xlpm.n/_xlpm.d)),NA())</f>
        <v>13.375</v>
      </c>
      <c r="K7" s="140" cm="1">
        <f t="array" ref="K7">IFERROR(_xlfn.LET(_xlpm.n,SUMPRODUCT((INPUT!$H$3:$H$5000&gt;=K5)*(INPUT!$H$3:$H$5000&lt;=K5+6)*ISNUMBER(INPUT!$K$3:$K$5000)),_xlpm.d,COUNTIFS(INPUT!$A$3:$A$5000,"&gt;="&amp;K5,INPUT!$A$3:$A$5000,"&lt;="&amp;K5+6),IF(OR(_xlpm.n=0,_xlpm.d=0),NA(),_xlpm.n/_xlpm.d)),NA())</f>
        <v>14.375</v>
      </c>
      <c r="L7" s="140" cm="1">
        <f t="array" ref="L7">IFERROR(_xlfn.LET(_xlpm.n,SUMPRODUCT((INPUT!$H$3:$H$5000&gt;=L5)*(INPUT!$H$3:$H$5000&lt;=L5+6)*ISNUMBER(INPUT!$K$3:$K$5000)),_xlpm.d,COUNTIFS(INPUT!$A$3:$A$5000,"&gt;="&amp;L5,INPUT!$A$3:$A$5000,"&lt;="&amp;L5+6),IF(OR(_xlpm.n=0,_xlpm.d=0),NA(),_xlpm.n/_xlpm.d)),NA())</f>
        <v>13</v>
      </c>
      <c r="M7" s="140" cm="1">
        <f t="array" ref="M7">IFERROR(_xlfn.LET(_xlpm.n,SUMPRODUCT((INPUT!$H$3:$H$5000&gt;=M5)*(INPUT!$H$3:$H$5000&lt;=M5+6)*ISNUMBER(INPUT!$K$3:$K$5000)),_xlpm.d,COUNTIFS(INPUT!$A$3:$A$5000,"&gt;="&amp;M5,INPUT!$A$3:$A$5000,"&lt;="&amp;M5+6),IF(OR(_xlpm.n=0,_xlpm.d=0),NA(),_xlpm.n/_xlpm.d)),NA())</f>
        <v>14.25</v>
      </c>
      <c r="N7" s="140" cm="1">
        <f t="array" ref="N7">IFERROR(_xlfn.LET(_xlpm.n,SUMPRODUCT((INPUT!$H$3:$H$5000&gt;=N5)*(INPUT!$H$3:$H$5000&lt;=N5+6)*ISNUMBER(INPUT!$K$3:$K$5000)),_xlpm.d,COUNTIFS(INPUT!$A$3:$A$5000,"&gt;="&amp;N5,INPUT!$A$3:$A$5000,"&lt;="&amp;N5+6),IF(OR(_xlpm.n=0,_xlpm.d=0),NA(),_xlpm.n/_xlpm.d)),NA())</f>
        <v>14</v>
      </c>
      <c r="O7" s="140" cm="1">
        <f t="array" ref="O7">IFERROR(_xlfn.LET(_xlpm.n,SUMPRODUCT((INPUT!$H$3:$H$5000&gt;=O5)*(INPUT!$H$3:$H$5000&lt;=O5+6)*ISNUMBER(INPUT!$K$3:$K$5000)),_xlpm.d,COUNTIFS(INPUT!$A$3:$A$5000,"&gt;="&amp;O5,INPUT!$A$3:$A$5000,"&lt;="&amp;O5+6),IF(OR(_xlpm.n=0,_xlpm.d=0),NA(),_xlpm.n/_xlpm.d)),NA())</f>
        <v>15</v>
      </c>
      <c r="P7" s="140" cm="1">
        <f t="array" ref="P7">IFERROR(_xlfn.LET(_xlpm.n,SUMPRODUCT((INPUT!$H$3:$H$5000&gt;=P5)*(INPUT!$H$3:$H$5000&lt;=P5+6)*ISNUMBER(INPUT!$K$3:$K$5000)),_xlpm.d,COUNTIFS(INPUT!$A$3:$A$5000,"&gt;="&amp;P5,INPUT!$A$3:$A$5000,"&lt;="&amp;P5+6),IF(OR(_xlpm.n=0,_xlpm.d=0),NA(),_xlpm.n/_xlpm.d)),NA())</f>
        <v>13.428571428571429</v>
      </c>
      <c r="Q7" s="140" cm="1">
        <f t="array" ref="Q7">IFERROR(_xlfn.LET(_xlpm.n,SUMPRODUCT((INPUT!$H$3:$H$5000&gt;=Q5)*(INPUT!$H$3:$H$5000&lt;=Q5+6)*ISNUMBER(INPUT!$K$3:$K$5000)),_xlpm.d,COUNTIFS(INPUT!$A$3:$A$5000,"&gt;="&amp;Q5,INPUT!$A$3:$A$5000,"&lt;="&amp;Q5+6),IF(OR(_xlpm.n=0,_xlpm.d=0),NA(),_xlpm.n/_xlpm.d)),NA())</f>
        <v>13.285714285714286</v>
      </c>
      <c r="R7" s="140" cm="1">
        <f t="array" ref="R7">IFERROR(_xlfn.LET(_xlpm.n,SUMPRODUCT((INPUT!$H$3:$H$5000&gt;=R5)*(INPUT!$H$3:$H$5000&lt;=R5+6)*ISNUMBER(INPUT!$K$3:$K$5000)),_xlpm.d,COUNTIFS(INPUT!$A$3:$A$5000,"&gt;="&amp;R5,INPUT!$A$3:$A$5000,"&lt;="&amp;R5+6),IF(OR(_xlpm.n=0,_xlpm.d=0),NA(),_xlpm.n/_xlpm.d)),NA())</f>
        <v>13.285714285714286</v>
      </c>
      <c r="S7" s="140" cm="1">
        <f t="array" ref="S7">IFERROR(_xlfn.LET(_xlpm.n,SUMPRODUCT((INPUT!$H$3:$H$5000&gt;=S5)*(INPUT!$H$3:$H$5000&lt;=S5+6)*ISNUMBER(INPUT!$K$3:$K$5000)),_xlpm.d,COUNTIFS(INPUT!$A$3:$A$5000,"&gt;="&amp;S5,INPUT!$A$3:$A$5000,"&lt;="&amp;S5+6),IF(OR(_xlpm.n=0,_xlpm.d=0),NA(),_xlpm.n/_xlpm.d)),NA())</f>
        <v>13.142857142857142</v>
      </c>
      <c r="T7" s="140" cm="1">
        <f t="array" ref="T7">IFERROR(_xlfn.LET(_xlpm.n,SUMPRODUCT((INPUT!$H$3:$H$5000&gt;=T5)*(INPUT!$H$3:$H$5000&lt;=T5+6)*ISNUMBER(INPUT!$K$3:$K$5000)),_xlpm.d,COUNTIFS(INPUT!$A$3:$A$5000,"&gt;="&amp;T5,INPUT!$A$3:$A$5000,"&lt;="&amp;T5+6),IF(OR(_xlpm.n=0,_xlpm.d=0),NA(),_xlpm.n/_xlpm.d)),NA())</f>
        <v>13.857142857142858</v>
      </c>
      <c r="U7" s="140" cm="1">
        <f t="array" ref="U7">IFERROR(_xlfn.LET(_xlpm.n,SUMPRODUCT((INPUT!$H$3:$H$5000&gt;=U5)*(INPUT!$H$3:$H$5000&lt;=U5+6)*ISNUMBER(INPUT!$K$3:$K$5000)),_xlpm.d,COUNTIFS(INPUT!$A$3:$A$5000,"&gt;="&amp;U5,INPUT!$A$3:$A$5000,"&lt;="&amp;U5+6),IF(OR(_xlpm.n=0,_xlpm.d=0),NA(),_xlpm.n/_xlpm.d)),NA())</f>
        <v>13.142857142857142</v>
      </c>
      <c r="V7" s="140" cm="1">
        <f t="array" ref="V7">IFERROR(_xlfn.LET(_xlpm.n,SUMPRODUCT((INPUT!$H$3:$H$5000&gt;=V5)*(INPUT!$H$3:$H$5000&lt;=V5+6)*ISNUMBER(INPUT!$K$3:$K$5000)),_xlpm.d,COUNTIFS(INPUT!$A$3:$A$5000,"&gt;="&amp;V5,INPUT!$A$3:$A$5000,"&lt;="&amp;V5+6),IF(OR(_xlpm.n=0,_xlpm.d=0),NA(),_xlpm.n/_xlpm.d)),NA())</f>
        <v>9.75</v>
      </c>
      <c r="W7" s="140" cm="1">
        <f t="array" ref="W7">IFERROR(_xlfn.LET(_xlpm.n,SUMPRODUCT((INPUT!$H$3:$H$5000&gt;=W5)*(INPUT!$H$3:$H$5000&lt;=W5+6)*ISNUMBER(INPUT!$K$3:$K$5000)),_xlpm.d,COUNTIFS(INPUT!$A$3:$A$5000,"&gt;="&amp;W5,INPUT!$A$3:$A$5000,"&lt;="&amp;W5+6),IF(OR(_xlpm.n=0,_xlpm.d=0),NA(),_xlpm.n/_xlpm.d)),NA())</f>
        <v>12.666666666666666</v>
      </c>
      <c r="X7" s="140" cm="1">
        <f t="array" ref="X7">IFERROR(_xlfn.LET(_xlpm.n,SUMPRODUCT((INPUT!$H$3:$H$5000&gt;=X5)*(INPUT!$H$3:$H$5000&lt;=X5+6)*ISNUMBER(INPUT!$K$3:$K$5000)),_xlpm.d,COUNTIFS(INPUT!$A$3:$A$5000,"&gt;="&amp;X5,INPUT!$A$3:$A$5000,"&lt;="&amp;X5+6),IF(OR(_xlpm.n=0,_xlpm.d=0),NA(),_xlpm.n/_xlpm.d)),NA())</f>
        <v>14.2</v>
      </c>
      <c r="Y7" s="140" cm="1">
        <f t="array" ref="Y7">IFERROR(_xlfn.LET(_xlpm.n,SUMPRODUCT((INPUT!$H$3:$H$5000&gt;=Y5)*(INPUT!$H$3:$H$5000&lt;=Y5+6)*ISNUMBER(INPUT!$K$3:$K$5000)),_xlpm.d,COUNTIFS(INPUT!$A$3:$A$5000,"&gt;="&amp;Y5,INPUT!$A$3:$A$5000,"&lt;="&amp;Y5+6),IF(OR(_xlpm.n=0,_xlpm.d=0),NA(),_xlpm.n/_xlpm.d)),NA())</f>
        <v>13.166666666666666</v>
      </c>
      <c r="Z7" s="140" t="e" cm="1">
        <f t="array" ref="Z7">IFERROR(_xlfn.LET(_xlpm.n,SUMPRODUCT((INPUT!$H$3:$H$5000&gt;=Z5)*(INPUT!$H$3:$H$5000&lt;=Z5+6)*ISNUMBER(INPUT!$K$3:$K$5000)),_xlpm.d,COUNTIFS(INPUT!$A$3:$A$5000,"&gt;="&amp;Z5,INPUT!$A$3:$A$5000,"&lt;="&amp;Z5+6),IF(OR(_xlpm.n=0,_xlpm.d=0),NA(),_xlpm.n/_xlpm.d)),NA())</f>
        <v>#N/A</v>
      </c>
      <c r="AA7" s="140" cm="1">
        <f t="array" ref="AA7">IFERROR(_xlfn.LET(_xlpm.n,SUMPRODUCT((INPUT!$H$3:$H$5000&gt;=AA5)*(INPUT!$H$3:$H$5000&lt;=AA5+6)*ISNUMBER(INPUT!$K$3:$K$5000)),_xlpm.d,COUNTIFS(INPUT!$A$3:$A$5000,"&gt;="&amp;AA5,INPUT!$A$3:$A$5000,"&lt;="&amp;AA5+6),IF(OR(_xlpm.n=0,_xlpm.d=0),NA(),_xlpm.n/_xlpm.d)),NA())</f>
        <v>11.875</v>
      </c>
      <c r="AB7" s="140" cm="1">
        <f t="array" ref="AB7">IFERROR(_xlfn.LET(_xlpm.n,SUMPRODUCT((INPUT!$H$3:$H$5000&gt;=AB5)*(INPUT!$H$3:$H$5000&lt;=AB5+6)*ISNUMBER(INPUT!$K$3:$K$5000)),_xlpm.d,COUNTIFS(INPUT!$A$3:$A$5000,"&gt;="&amp;AB5,INPUT!$A$3:$A$5000,"&lt;="&amp;AB5+6),IF(OR(_xlpm.n=0,_xlpm.d=0),NA(),_xlpm.n/_xlpm.d)),NA())</f>
        <v>11.5</v>
      </c>
      <c r="AC7" s="140" cm="1">
        <f t="array" ref="AC7">IFERROR(_xlfn.LET(_xlpm.n,SUMPRODUCT((INPUT!$H$3:$H$5000&gt;=AC5)*(INPUT!$H$3:$H$5000&lt;=AC5+6)*ISNUMBER(INPUT!$K$3:$K$5000)),_xlpm.d,COUNTIFS(INPUT!$A$3:$A$5000,"&gt;="&amp;AC5,INPUT!$A$3:$A$5000,"&lt;="&amp;AC5+6),IF(OR(_xlpm.n=0,_xlpm.d=0),NA(),_xlpm.n/_xlpm.d)),NA())</f>
        <v>12.571428571428571</v>
      </c>
      <c r="AD7" s="140" cm="1">
        <f t="array" ref="AD7">IFERROR(_xlfn.LET(_xlpm.n,SUMPRODUCT((INPUT!$H$3:$H$5000&gt;=AD5)*(INPUT!$H$3:$H$5000&lt;=AD5+6)*ISNUMBER(INPUT!$K$3:$K$5000)),_xlpm.d,COUNTIFS(INPUT!$A$3:$A$5000,"&gt;="&amp;AD5,INPUT!$A$3:$A$5000,"&lt;="&amp;AD5+6),IF(OR(_xlpm.n=0,_xlpm.d=0),NA(),_xlpm.n/_xlpm.d)),NA())</f>
        <v>13.285714285714286</v>
      </c>
      <c r="AE7" s="140" cm="1">
        <f t="array" ref="AE7">IFERROR(_xlfn.LET(_xlpm.n,SUMPRODUCT((INPUT!$H$3:$H$5000&gt;=AE5)*(INPUT!$H$3:$H$5000&lt;=AE5+6)*ISNUMBER(INPUT!$K$3:$K$5000)),_xlpm.d,COUNTIFS(INPUT!$A$3:$A$5000,"&gt;="&amp;AE5,INPUT!$A$3:$A$5000,"&lt;="&amp;AE5+6),IF(OR(_xlpm.n=0,_xlpm.d=0),NA(),_xlpm.n/_xlpm.d)),NA())</f>
        <v>13</v>
      </c>
      <c r="AF7" s="140" cm="1">
        <f t="array" ref="AF7">IFERROR(_xlfn.LET(_xlpm.n,SUMPRODUCT((INPUT!$H$3:$H$5000&gt;=AF5)*(INPUT!$H$3:$H$5000&lt;=AF5+6)*ISNUMBER(INPUT!$K$3:$K$5000)),_xlpm.d,COUNTIFS(INPUT!$A$3:$A$5000,"&gt;="&amp;AF5,INPUT!$A$3:$A$5000,"&lt;="&amp;AF5+6),IF(OR(_xlpm.n=0,_xlpm.d=0),NA(),_xlpm.n/_xlpm.d)),NA())</f>
        <v>13.25</v>
      </c>
      <c r="AG7" s="140" cm="1">
        <f t="array" ref="AG7">IFERROR(_xlfn.LET(_xlpm.n,SUMPRODUCT((INPUT!$H$3:$H$5000&gt;=AG5)*(INPUT!$H$3:$H$5000&lt;=AG5+6)*ISNUMBER(INPUT!$K$3:$K$5000)),_xlpm.d,COUNTIFS(INPUT!$A$3:$A$5000,"&gt;="&amp;AG5,INPUT!$A$3:$A$5000,"&lt;="&amp;AG5+6),IF(OR(_xlpm.n=0,_xlpm.d=0),NA(),_xlpm.n/_xlpm.d)),NA())</f>
        <v>11.6</v>
      </c>
      <c r="AH7" s="140" cm="1">
        <f t="array" ref="AH7">IFERROR(_xlfn.LET(_xlpm.n,SUMPRODUCT((INPUT!$H$3:$H$5000&gt;=AH5)*(INPUT!$H$3:$H$5000&lt;=AH5+6)*ISNUMBER(INPUT!$K$3:$K$5000)),_xlpm.d,COUNTIFS(INPUT!$A$3:$A$5000,"&gt;="&amp;AH5,INPUT!$A$3:$A$5000,"&lt;="&amp;AH5+6),IF(OR(_xlpm.n=0,_xlpm.d=0),NA(),_xlpm.n/_xlpm.d)),NA())</f>
        <v>12.285714285714286</v>
      </c>
      <c r="AI7" s="140" cm="1">
        <f t="array" ref="AI7">IFERROR(_xlfn.LET(_xlpm.n,SUMPRODUCT((INPUT!$H$3:$H$5000&gt;=AI5)*(INPUT!$H$3:$H$5000&lt;=AI5+6)*ISNUMBER(INPUT!$K$3:$K$5000)),_xlpm.d,COUNTIFS(INPUT!$A$3:$A$5000,"&gt;="&amp;AI5,INPUT!$A$3:$A$5000,"&lt;="&amp;AI5+6),IF(OR(_xlpm.n=0,_xlpm.d=0),NA(),_xlpm.n/_xlpm.d)),NA())</f>
        <v>13.75</v>
      </c>
      <c r="AJ7" s="140" cm="1">
        <f t="array" ref="AJ7">IFERROR(_xlfn.LET(_xlpm.n,SUMPRODUCT((INPUT!$H$3:$H$5000&gt;=AJ5)*(INPUT!$H$3:$H$5000&lt;=AJ5+6)*ISNUMBER(INPUT!$K$3:$K$5000)),_xlpm.d,COUNTIFS(INPUT!$A$3:$A$5000,"&gt;="&amp;AJ5,INPUT!$A$3:$A$5000,"&lt;="&amp;AJ5+6),IF(OR(_xlpm.n=0,_xlpm.d=0),NA(),_xlpm.n/_xlpm.d)),NA())</f>
        <v>13</v>
      </c>
      <c r="AK7" s="140" cm="1">
        <f t="array" ref="AK7">IFERROR(_xlfn.LET(_xlpm.n,SUMPRODUCT((INPUT!$H$3:$H$5000&gt;=AK5)*(INPUT!$H$3:$H$5000&lt;=AK5+6)*ISNUMBER(INPUT!$K$3:$K$5000)),_xlpm.d,COUNTIFS(INPUT!$A$3:$A$5000,"&gt;="&amp;AK5,INPUT!$A$3:$A$5000,"&lt;="&amp;AK5+6),IF(OR(_xlpm.n=0,_xlpm.d=0),NA(),_xlpm.n/_xlpm.d)),NA())</f>
        <v>13.285714285714286</v>
      </c>
      <c r="AL7" s="140" cm="1">
        <f t="array" ref="AL7">IFERROR(_xlfn.LET(_xlpm.n,SUMPRODUCT((INPUT!$H$3:$H$5000&gt;=AL5)*(INPUT!$H$3:$H$5000&lt;=AL5+6)*ISNUMBER(INPUT!$K$3:$K$5000)),_xlpm.d,COUNTIFS(INPUT!$A$3:$A$5000,"&gt;="&amp;AL5,INPUT!$A$3:$A$5000,"&lt;="&amp;AL5+6),IF(OR(_xlpm.n=0,_xlpm.d=0),NA(),_xlpm.n/_xlpm.d)),NA())</f>
        <v>12.6</v>
      </c>
      <c r="AM7" s="140" cm="1">
        <f t="array" ref="AM7">IFERROR(_xlfn.LET(_xlpm.n,SUMPRODUCT((INPUT!$H$3:$H$5000&gt;=AM5)*(INPUT!$H$3:$H$5000&lt;=AM5+6)*ISNUMBER(INPUT!$K$3:$K$5000)),_xlpm.d,COUNTIFS(INPUT!$A$3:$A$5000,"&gt;="&amp;AM5,INPUT!$A$3:$A$5000,"&lt;="&amp;AM5+6),IF(OR(_xlpm.n=0,_xlpm.d=0),NA(),_xlpm.n/_xlpm.d)),NA())</f>
        <v>13.428571428571429</v>
      </c>
      <c r="AN7" s="140" cm="1">
        <f t="array" ref="AN7">IFERROR(_xlfn.LET(_xlpm.n,SUMPRODUCT((INPUT!$H$3:$H$5000&gt;=AN5)*(INPUT!$H$3:$H$5000&lt;=AN5+6)*ISNUMBER(INPUT!$K$3:$K$5000)),_xlpm.d,COUNTIFS(INPUT!$A$3:$A$5000,"&gt;="&amp;AN5,INPUT!$A$3:$A$5000,"&lt;="&amp;AN5+6),IF(OR(_xlpm.n=0,_xlpm.d=0),NA(),_xlpm.n/_xlpm.d)),NA())</f>
        <v>15</v>
      </c>
      <c r="AO7" s="140" t="e" cm="1">
        <f t="array" ref="AO7">IFERROR(_xlfn.LET(_xlpm.n,SUMPRODUCT((INPUT!$H$3:$H$5000&gt;=AO5)*(INPUT!$H$3:$H$5000&lt;=AO5+6)*ISNUMBER(INPUT!$K$3:$K$5000)),_xlpm.d,COUNTIFS(INPUT!$A$3:$A$5000,"&gt;="&amp;AO5,INPUT!$A$3:$A$5000,"&lt;="&amp;AO5+6),IF(OR(_xlpm.n=0,_xlpm.d=0),NA(),_xlpm.n/_xlpm.d)),NA())</f>
        <v>#N/A</v>
      </c>
      <c r="AP7" s="140" t="e" cm="1">
        <f t="array" ref="AP7">IFERROR(_xlfn.LET(_xlpm.n,SUMPRODUCT((INPUT!$H$3:$H$5000&gt;=AP5)*(INPUT!$H$3:$H$5000&lt;=AP5+6)*ISNUMBER(INPUT!$K$3:$K$5000)),_xlpm.d,COUNTIFS(INPUT!$A$3:$A$5000,"&gt;="&amp;AP5,INPUT!$A$3:$A$5000,"&lt;="&amp;AP5+6),IF(OR(_xlpm.n=0,_xlpm.d=0),NA(),_xlpm.n/_xlpm.d)),NA())</f>
        <v>#N/A</v>
      </c>
      <c r="AQ7" s="140" t="e" cm="1">
        <f t="array" ref="AQ7">IFERROR(_xlfn.LET(_xlpm.n,SUMPRODUCT((INPUT!$H$3:$H$5000&gt;=AQ5)*(INPUT!$H$3:$H$5000&lt;=AQ5+6)*ISNUMBER(INPUT!$K$3:$K$5000)),_xlpm.d,COUNTIFS(INPUT!$A$3:$A$5000,"&gt;="&amp;AQ5,INPUT!$A$3:$A$5000,"&lt;="&amp;AQ5+6),IF(OR(_xlpm.n=0,_xlpm.d=0),NA(),_xlpm.n/_xlpm.d)),NA())</f>
        <v>#N/A</v>
      </c>
      <c r="AR7" s="140" t="e" cm="1">
        <f t="array" ref="AR7">IFERROR(_xlfn.LET(_xlpm.n,SUMPRODUCT((INPUT!$H$3:$H$5000&gt;=AR5)*(INPUT!$H$3:$H$5000&lt;=AR5+6)*ISNUMBER(INPUT!$K$3:$K$5000)),_xlpm.d,COUNTIFS(INPUT!$A$3:$A$5000,"&gt;="&amp;AR5,INPUT!$A$3:$A$5000,"&lt;="&amp;AR5+6),IF(OR(_xlpm.n=0,_xlpm.d=0),NA(),_xlpm.n/_xlpm.d)),NA())</f>
        <v>#N/A</v>
      </c>
      <c r="AS7" s="140" t="e" cm="1">
        <f t="array" ref="AS7">IFERROR(_xlfn.LET(_xlpm.n,SUMPRODUCT((INPUT!$H$3:$H$5000&gt;=AS5)*(INPUT!$H$3:$H$5000&lt;=AS5+6)*ISNUMBER(INPUT!$K$3:$K$5000)),_xlpm.d,COUNTIFS(INPUT!$A$3:$A$5000,"&gt;="&amp;AS5,INPUT!$A$3:$A$5000,"&lt;="&amp;AS5+6),IF(OR(_xlpm.n=0,_xlpm.d=0),NA(),_xlpm.n/_xlpm.d)),NA())</f>
        <v>#N/A</v>
      </c>
      <c r="AT7" s="140" t="e" cm="1">
        <f t="array" ref="AT7">IFERROR(_xlfn.LET(_xlpm.n,SUMPRODUCT((INPUT!$H$3:$H$5000&gt;=AT5)*(INPUT!$H$3:$H$5000&lt;=AT5+6)*ISNUMBER(INPUT!$K$3:$K$5000)),_xlpm.d,COUNTIFS(INPUT!$A$3:$A$5000,"&gt;="&amp;AT5,INPUT!$A$3:$A$5000,"&lt;="&amp;AT5+6),IF(OR(_xlpm.n=0,_xlpm.d=0),NA(),_xlpm.n/_xlpm.d)),NA())</f>
        <v>#N/A</v>
      </c>
      <c r="AU7" s="140" t="e" cm="1">
        <f t="array" ref="AU7">IFERROR(_xlfn.LET(_xlpm.n,SUMPRODUCT((INPUT!$H$3:$H$5000&gt;=AU5)*(INPUT!$H$3:$H$5000&lt;=AU5+6)*ISNUMBER(INPUT!$K$3:$K$5000)),_xlpm.d,COUNTIFS(INPUT!$A$3:$A$5000,"&gt;="&amp;AU5,INPUT!$A$3:$A$5000,"&lt;="&amp;AU5+6),IF(OR(_xlpm.n=0,_xlpm.d=0),NA(),_xlpm.n/_xlpm.d)),NA())</f>
        <v>#N/A</v>
      </c>
      <c r="AV7" s="140" t="e" cm="1">
        <f t="array" ref="AV7">IFERROR(_xlfn.LET(_xlpm.n,SUMPRODUCT((INPUT!$H$3:$H$5000&gt;=AV5)*(INPUT!$H$3:$H$5000&lt;=AV5+6)*ISNUMBER(INPUT!$K$3:$K$5000)),_xlpm.d,COUNTIFS(INPUT!$A$3:$A$5000,"&gt;="&amp;AV5,INPUT!$A$3:$A$5000,"&lt;="&amp;AV5+6),IF(OR(_xlpm.n=0,_xlpm.d=0),NA(),_xlpm.n/_xlpm.d)),NA())</f>
        <v>#N/A</v>
      </c>
      <c r="AW7" s="141" t="e" cm="1">
        <f t="array" ref="AW7">IFERROR(_xlfn.LET(_xlpm.n,SUMPRODUCT((INPUT!$H$3:$H$5000&gt;=AW5)*(INPUT!$H$3:$H$5000&lt;=AW5+6)*ISNUMBER(INPUT!$K$3:$K$5000)),_xlpm.d,COUNTIFS(INPUT!$A$3:$A$5000,"&gt;="&amp;AW5,INPUT!$A$3:$A$5000,"&lt;="&amp;AW5+6),IF(OR(_xlpm.n=0,_xlpm.d=0),NA(),_xlpm.n/_xlpm.d)),NA())</f>
        <v>#N/A</v>
      </c>
    </row>
    <row r="8" spans="1:49" x14ac:dyDescent="0.2">
      <c r="A8" s="134" t="s">
        <v>96</v>
      </c>
      <c r="B8" s="130" cm="1">
        <f t="array" ref="B8">IFERROR(_xlfn.LET(_xlpm.n,SUMPRODUCT((INPUT!$H$3:$H$5000&gt;=B5)*(INPUT!$H$3:$H$5000&lt;=B5+6)*ISNUMBER(INPUT!$K$3:$K$5000)*(INPUT!$J$3:$J$5000&lt;&gt;"HERRERO")*(INPUT!$J$3:$J$5000&lt;&gt;"GARCIA")*(INPUT!$J$3:$J$5000&lt;&gt;"OSCAR")),IF(_xlpm.n=0,NA(),SUMPRODUCT((INPUT!$H$3:$H$5000&gt;=B5)*(INPUT!$H$3:$H$5000&lt;=B5+6)*ISNUMBER(INPUT!$K$3:$K$5000)*(INPUT!$J$3:$J$5000&lt;&gt;"HERRERO")*(INPUT!$J$3:$J$5000&lt;&gt;"GARCIA")*(INPUT!$J$3:$J$5000&lt;&gt;"OSCAR")*IFERROR(VALUE(INPUT!$K$3:$K$5000),0))/_xlpm.n)),NA())</f>
        <v>9.1666666666666661</v>
      </c>
      <c r="C8" s="130" cm="1">
        <f t="array" ref="C8">IFERROR(_xlfn.LET(_xlpm.n,SUMPRODUCT((INPUT!$H$3:$H$5000&gt;=C5)*(INPUT!$H$3:$H$5000&lt;=C5+6)*ISNUMBER(INPUT!$K$3:$K$5000)*(INPUT!$J$3:$J$5000&lt;&gt;"HERRERO")*(INPUT!$J$3:$J$5000&lt;&gt;"GARCIA")*(INPUT!$J$3:$J$5000&lt;&gt;"OSCAR")),IF(_xlpm.n=0,NA(),SUMPRODUCT((INPUT!$H$3:$H$5000&gt;=C5)*(INPUT!$H$3:$H$5000&lt;=C5+6)*ISNUMBER(INPUT!$K$3:$K$5000)*(INPUT!$J$3:$J$5000&lt;&gt;"HERRERO")*(INPUT!$J$3:$J$5000&lt;&gt;"GARCIA")*(INPUT!$J$3:$J$5000&lt;&gt;"OSCAR")*IFERROR(VALUE(INPUT!$K$3:$K$5000),0))/_xlpm.n)),NA())</f>
        <v>6.6440677966101696</v>
      </c>
      <c r="D8" s="130" cm="1">
        <f t="array" ref="D8">IFERROR(_xlfn.LET(_xlpm.n,SUMPRODUCT((INPUT!$H$3:$H$5000&gt;=D5)*(INPUT!$H$3:$H$5000&lt;=D5+6)*ISNUMBER(INPUT!$K$3:$K$5000)*(INPUT!$J$3:$J$5000&lt;&gt;"HERRERO")*(INPUT!$J$3:$J$5000&lt;&gt;"GARCIA")*(INPUT!$J$3:$J$5000&lt;&gt;"OSCAR")),IF(_xlpm.n=0,NA(),SUMPRODUCT((INPUT!$H$3:$H$5000&gt;=D5)*(INPUT!$H$3:$H$5000&lt;=D5+6)*ISNUMBER(INPUT!$K$3:$K$5000)*(INPUT!$J$3:$J$5000&lt;&gt;"HERRERO")*(INPUT!$J$3:$J$5000&lt;&gt;"GARCIA")*(INPUT!$J$3:$J$5000&lt;&gt;"OSCAR")*IFERROR(VALUE(INPUT!$K$3:$K$5000),0))/_xlpm.n)),NA())</f>
        <v>6.8989898989898988</v>
      </c>
      <c r="E8" s="130" cm="1">
        <f t="array" ref="E8">IFERROR(_xlfn.LET(_xlpm.n,SUMPRODUCT((INPUT!$H$3:$H$5000&gt;=E5)*(INPUT!$H$3:$H$5000&lt;=E5+6)*ISNUMBER(INPUT!$K$3:$K$5000)*(INPUT!$J$3:$J$5000&lt;&gt;"HERRERO")*(INPUT!$J$3:$J$5000&lt;&gt;"GARCIA")*(INPUT!$J$3:$J$5000&lt;&gt;"OSCAR")),IF(_xlpm.n=0,NA(),SUMPRODUCT((INPUT!$H$3:$H$5000&gt;=E5)*(INPUT!$H$3:$H$5000&lt;=E5+6)*ISNUMBER(INPUT!$K$3:$K$5000)*(INPUT!$J$3:$J$5000&lt;&gt;"HERRERO")*(INPUT!$J$3:$J$5000&lt;&gt;"GARCIA")*(INPUT!$J$3:$J$5000&lt;&gt;"OSCAR")*IFERROR(VALUE(INPUT!$K$3:$K$5000),0))/_xlpm.n)),NA())</f>
        <v>6.4529914529914532</v>
      </c>
      <c r="F8" s="130" cm="1">
        <f t="array" ref="F8">IFERROR(_xlfn.LET(_xlpm.n,SUMPRODUCT((INPUT!$H$3:$H$5000&gt;=F5)*(INPUT!$H$3:$H$5000&lt;=F5+6)*ISNUMBER(INPUT!$K$3:$K$5000)*(INPUT!$J$3:$J$5000&lt;&gt;"HERRERO")*(INPUT!$J$3:$J$5000&lt;&gt;"GARCIA")*(INPUT!$J$3:$J$5000&lt;&gt;"OSCAR")),IF(_xlpm.n=0,NA(),SUMPRODUCT((INPUT!$H$3:$H$5000&gt;=F5)*(INPUT!$H$3:$H$5000&lt;=F5+6)*ISNUMBER(INPUT!$K$3:$K$5000)*(INPUT!$J$3:$J$5000&lt;&gt;"HERRERO")*(INPUT!$J$3:$J$5000&lt;&gt;"GARCIA")*(INPUT!$J$3:$J$5000&lt;&gt;"OSCAR")*IFERROR(VALUE(INPUT!$K$3:$K$5000),0))/_xlpm.n)),NA())</f>
        <v>6.4027777777777777</v>
      </c>
      <c r="G8" s="130" cm="1">
        <f t="array" ref="G8">IFERROR(_xlfn.LET(_xlpm.n,SUMPRODUCT((INPUT!$H$3:$H$5000&gt;=G5)*(INPUT!$H$3:$H$5000&lt;=G5+6)*ISNUMBER(INPUT!$K$3:$K$5000)*(INPUT!$J$3:$J$5000&lt;&gt;"HERRERO")*(INPUT!$J$3:$J$5000&lt;&gt;"GARCIA")*(INPUT!$J$3:$J$5000&lt;&gt;"OSCAR")),IF(_xlpm.n=0,NA(),SUMPRODUCT((INPUT!$H$3:$H$5000&gt;=G5)*(INPUT!$H$3:$H$5000&lt;=G5+6)*ISNUMBER(INPUT!$K$3:$K$5000)*(INPUT!$J$3:$J$5000&lt;&gt;"HERRERO")*(INPUT!$J$3:$J$5000&lt;&gt;"GARCIA")*(INPUT!$J$3:$J$5000&lt;&gt;"OSCAR")*IFERROR(VALUE(INPUT!$K$3:$K$5000),0))/_xlpm.n)),NA())</f>
        <v>6.0434782608695654</v>
      </c>
      <c r="H8" s="130" cm="1">
        <f t="array" ref="H8">IFERROR(_xlfn.LET(_xlpm.n,SUMPRODUCT((INPUT!$H$3:$H$5000&gt;=H5)*(INPUT!$H$3:$H$5000&lt;=H5+6)*ISNUMBER(INPUT!$K$3:$K$5000)*(INPUT!$J$3:$J$5000&lt;&gt;"HERRERO")*(INPUT!$J$3:$J$5000&lt;&gt;"GARCIA")*(INPUT!$J$3:$J$5000&lt;&gt;"OSCAR")),IF(_xlpm.n=0,NA(),SUMPRODUCT((INPUT!$H$3:$H$5000&gt;=H5)*(INPUT!$H$3:$H$5000&lt;=H5+6)*ISNUMBER(INPUT!$K$3:$K$5000)*(INPUT!$J$3:$J$5000&lt;&gt;"HERRERO")*(INPUT!$J$3:$J$5000&lt;&gt;"GARCIA")*(INPUT!$J$3:$J$5000&lt;&gt;"OSCAR")*IFERROR(VALUE(INPUT!$K$3:$K$5000),0))/_xlpm.n)),NA())</f>
        <v>4.9857142857142858</v>
      </c>
      <c r="I8" s="130" cm="1">
        <f t="array" ref="I8">IFERROR(_xlfn.LET(_xlpm.n,SUMPRODUCT((INPUT!$H$3:$H$5000&gt;=I5)*(INPUT!$H$3:$H$5000&lt;=I5+6)*ISNUMBER(INPUT!$K$3:$K$5000)*(INPUT!$J$3:$J$5000&lt;&gt;"HERRERO")*(INPUT!$J$3:$J$5000&lt;&gt;"GARCIA")*(INPUT!$J$3:$J$5000&lt;&gt;"OSCAR")),IF(_xlpm.n=0,NA(),SUMPRODUCT((INPUT!$H$3:$H$5000&gt;=I5)*(INPUT!$H$3:$H$5000&lt;=I5+6)*ISNUMBER(INPUT!$K$3:$K$5000)*(INPUT!$J$3:$J$5000&lt;&gt;"HERRERO")*(INPUT!$J$3:$J$5000&lt;&gt;"GARCIA")*(INPUT!$J$3:$J$5000&lt;&gt;"OSCAR")*IFERROR(VALUE(INPUT!$K$3:$K$5000),0))/_xlpm.n)),NA())</f>
        <v>6.1973684210526319</v>
      </c>
      <c r="J8" s="130" cm="1">
        <f t="array" ref="J8">IFERROR(_xlfn.LET(_xlpm.n,SUMPRODUCT((INPUT!$H$3:$H$5000&gt;=J5)*(INPUT!$H$3:$H$5000&lt;=J5+6)*ISNUMBER(INPUT!$K$3:$K$5000)*(INPUT!$J$3:$J$5000&lt;&gt;"HERRERO")*(INPUT!$J$3:$J$5000&lt;&gt;"GARCIA")*(INPUT!$J$3:$J$5000&lt;&gt;"OSCAR")),IF(_xlpm.n=0,NA(),SUMPRODUCT((INPUT!$H$3:$H$5000&gt;=J5)*(INPUT!$H$3:$H$5000&lt;=J5+6)*ISNUMBER(INPUT!$K$3:$K$5000)*(INPUT!$J$3:$J$5000&lt;&gt;"HERRERO")*(INPUT!$J$3:$J$5000&lt;&gt;"GARCIA")*(INPUT!$J$3:$J$5000&lt;&gt;"OSCAR")*IFERROR(VALUE(INPUT!$K$3:$K$5000),0))/_xlpm.n)),NA())</f>
        <v>5.881720430107527</v>
      </c>
      <c r="K8" s="130" cm="1">
        <f t="array" ref="K8">IFERROR(_xlfn.LET(_xlpm.n,SUMPRODUCT((INPUT!$H$3:$H$5000&gt;=K5)*(INPUT!$H$3:$H$5000&lt;=K5+6)*ISNUMBER(INPUT!$K$3:$K$5000)*(INPUT!$J$3:$J$5000&lt;&gt;"HERRERO")*(INPUT!$J$3:$J$5000&lt;&gt;"GARCIA")*(INPUT!$J$3:$J$5000&lt;&gt;"OSCAR")),IF(_xlpm.n=0,NA(),SUMPRODUCT((INPUT!$H$3:$H$5000&gt;=K5)*(INPUT!$H$3:$H$5000&lt;=K5+6)*ISNUMBER(INPUT!$K$3:$K$5000)*(INPUT!$J$3:$J$5000&lt;&gt;"HERRERO")*(INPUT!$J$3:$J$5000&lt;&gt;"GARCIA")*(INPUT!$J$3:$J$5000&lt;&gt;"OSCAR")*IFERROR(VALUE(INPUT!$K$3:$K$5000),0))/_xlpm.n)),NA())</f>
        <v>5.3434343434343434</v>
      </c>
      <c r="L8" s="130" cm="1">
        <f t="array" ref="L8">IFERROR(_xlfn.LET(_xlpm.n,SUMPRODUCT((INPUT!$H$3:$H$5000&gt;=L5)*(INPUT!$H$3:$H$5000&lt;=L5+6)*ISNUMBER(INPUT!$K$3:$K$5000)*(INPUT!$J$3:$J$5000&lt;&gt;"HERRERO")*(INPUT!$J$3:$J$5000&lt;&gt;"GARCIA")*(INPUT!$J$3:$J$5000&lt;&gt;"OSCAR")),IF(_xlpm.n=0,NA(),SUMPRODUCT((INPUT!$H$3:$H$5000&gt;=L5)*(INPUT!$H$3:$H$5000&lt;=L5+6)*ISNUMBER(INPUT!$K$3:$K$5000)*(INPUT!$J$3:$J$5000&lt;&gt;"HERRERO")*(INPUT!$J$3:$J$5000&lt;&gt;"GARCIA")*(INPUT!$J$3:$J$5000&lt;&gt;"OSCAR")*IFERROR(VALUE(INPUT!$K$3:$K$5000),0))/_xlpm.n)),NA())</f>
        <v>4.2692307692307692</v>
      </c>
      <c r="M8" s="130" cm="1">
        <f t="array" ref="M8">IFERROR(_xlfn.LET(_xlpm.n,SUMPRODUCT((INPUT!$H$3:$H$5000&gt;=M5)*(INPUT!$H$3:$H$5000&lt;=M5+6)*ISNUMBER(INPUT!$K$3:$K$5000)*(INPUT!$J$3:$J$5000&lt;&gt;"HERRERO")*(INPUT!$J$3:$J$5000&lt;&gt;"GARCIA")*(INPUT!$J$3:$J$5000&lt;&gt;"OSCAR")),IF(_xlpm.n=0,NA(),SUMPRODUCT((INPUT!$H$3:$H$5000&gt;=M5)*(INPUT!$H$3:$H$5000&lt;=M5+6)*ISNUMBER(INPUT!$K$3:$K$5000)*(INPUT!$J$3:$J$5000&lt;&gt;"HERRERO")*(INPUT!$J$3:$J$5000&lt;&gt;"GARCIA")*(INPUT!$J$3:$J$5000&lt;&gt;"OSCAR")*IFERROR(VALUE(INPUT!$K$3:$K$5000),0))/_xlpm.n)),NA())</f>
        <v>6.4423076923076925</v>
      </c>
      <c r="N8" s="130" cm="1">
        <f t="array" ref="N8">IFERROR(_xlfn.LET(_xlpm.n,SUMPRODUCT((INPUT!$H$3:$H$5000&gt;=N5)*(INPUT!$H$3:$H$5000&lt;=N5+6)*ISNUMBER(INPUT!$K$3:$K$5000)*(INPUT!$J$3:$J$5000&lt;&gt;"HERRERO")*(INPUT!$J$3:$J$5000&lt;&gt;"GARCIA")*(INPUT!$J$3:$J$5000&lt;&gt;"OSCAR")),IF(_xlpm.n=0,NA(),SUMPRODUCT((INPUT!$H$3:$H$5000&gt;=N5)*(INPUT!$H$3:$H$5000&lt;=N5+6)*ISNUMBER(INPUT!$K$3:$K$5000)*(INPUT!$J$3:$J$5000&lt;&gt;"HERRERO")*(INPUT!$J$3:$J$5000&lt;&gt;"GARCIA")*(INPUT!$J$3:$J$5000&lt;&gt;"OSCAR")*IFERROR(VALUE(INPUT!$K$3:$K$5000),0))/_xlpm.n)),NA())</f>
        <v>5.3023255813953485</v>
      </c>
      <c r="O8" s="130" cm="1">
        <f t="array" ref="O8">IFERROR(_xlfn.LET(_xlpm.n,SUMPRODUCT((INPUT!$H$3:$H$5000&gt;=O5)*(INPUT!$H$3:$H$5000&lt;=O5+6)*ISNUMBER(INPUT!$K$3:$K$5000)*(INPUT!$J$3:$J$5000&lt;&gt;"HERRERO")*(INPUT!$J$3:$J$5000&lt;&gt;"GARCIA")*(INPUT!$J$3:$J$5000&lt;&gt;"OSCAR")),IF(_xlpm.n=0,NA(),SUMPRODUCT((INPUT!$H$3:$H$5000&gt;=O5)*(INPUT!$H$3:$H$5000&lt;=O5+6)*ISNUMBER(INPUT!$K$3:$K$5000)*(INPUT!$J$3:$J$5000&lt;&gt;"HERRERO")*(INPUT!$J$3:$J$5000&lt;&gt;"GARCIA")*(INPUT!$J$3:$J$5000&lt;&gt;"OSCAR")*IFERROR(VALUE(INPUT!$K$3:$K$5000),0))/_xlpm.n)),NA())</f>
        <v>7.4901960784313726</v>
      </c>
      <c r="P8" s="130" cm="1">
        <f t="array" ref="P8">IFERROR(_xlfn.LET(_xlpm.n,SUMPRODUCT((INPUT!$H$3:$H$5000&gt;=P5)*(INPUT!$H$3:$H$5000&lt;=P5+6)*ISNUMBER(INPUT!$K$3:$K$5000)*(INPUT!$J$3:$J$5000&lt;&gt;"HERRERO")*(INPUT!$J$3:$J$5000&lt;&gt;"GARCIA")*(INPUT!$J$3:$J$5000&lt;&gt;"OSCAR")),IF(_xlpm.n=0,NA(),SUMPRODUCT((INPUT!$H$3:$H$5000&gt;=P5)*(INPUT!$H$3:$H$5000&lt;=P5+6)*ISNUMBER(INPUT!$K$3:$K$5000)*(INPUT!$J$3:$J$5000&lt;&gt;"HERRERO")*(INPUT!$J$3:$J$5000&lt;&gt;"GARCIA")*(INPUT!$J$3:$J$5000&lt;&gt;"OSCAR")*IFERROR(VALUE(INPUT!$K$3:$K$5000),0))/_xlpm.n)),NA())</f>
        <v>3.9634146341463414</v>
      </c>
      <c r="Q8" s="130" cm="1">
        <f t="array" ref="Q8">IFERROR(_xlfn.LET(_xlpm.n,SUMPRODUCT((INPUT!$H$3:$H$5000&gt;=Q5)*(INPUT!$H$3:$H$5000&lt;=Q5+6)*ISNUMBER(INPUT!$K$3:$K$5000)*(INPUT!$J$3:$J$5000&lt;&gt;"HERRERO")*(INPUT!$J$3:$J$5000&lt;&gt;"GARCIA")*(INPUT!$J$3:$J$5000&lt;&gt;"OSCAR")),IF(_xlpm.n=0,NA(),SUMPRODUCT((INPUT!$H$3:$H$5000&gt;=Q5)*(INPUT!$H$3:$H$5000&lt;=Q5+6)*ISNUMBER(INPUT!$K$3:$K$5000)*(INPUT!$J$3:$J$5000&lt;&gt;"HERRERO")*(INPUT!$J$3:$J$5000&lt;&gt;"GARCIA")*(INPUT!$J$3:$J$5000&lt;&gt;"OSCAR")*IFERROR(VALUE(INPUT!$K$3:$K$5000),0))/_xlpm.n)),NA())</f>
        <v>5.6049382716049383</v>
      </c>
      <c r="R8" s="130" cm="1">
        <f t="array" ref="R8">IFERROR(_xlfn.LET(_xlpm.n,SUMPRODUCT((INPUT!$H$3:$H$5000&gt;=R5)*(INPUT!$H$3:$H$5000&lt;=R5+6)*ISNUMBER(INPUT!$K$3:$K$5000)*(INPUT!$J$3:$J$5000&lt;&gt;"HERRERO")*(INPUT!$J$3:$J$5000&lt;&gt;"GARCIA")*(INPUT!$J$3:$J$5000&lt;&gt;"OSCAR")),IF(_xlpm.n=0,NA(),SUMPRODUCT((INPUT!$H$3:$H$5000&gt;=R5)*(INPUT!$H$3:$H$5000&lt;=R5+6)*ISNUMBER(INPUT!$K$3:$K$5000)*(INPUT!$J$3:$J$5000&lt;&gt;"HERRERO")*(INPUT!$J$3:$J$5000&lt;&gt;"GARCIA")*(INPUT!$J$3:$J$5000&lt;&gt;"OSCAR")*IFERROR(VALUE(INPUT!$K$3:$K$5000),0))/_xlpm.n)),NA())</f>
        <v>4.0740740740740744</v>
      </c>
      <c r="S8" s="130" cm="1">
        <f t="array" ref="S8">IFERROR(_xlfn.LET(_xlpm.n,SUMPRODUCT((INPUT!$H$3:$H$5000&gt;=S5)*(INPUT!$H$3:$H$5000&lt;=S5+6)*ISNUMBER(INPUT!$K$3:$K$5000)*(INPUT!$J$3:$J$5000&lt;&gt;"HERRERO")*(INPUT!$J$3:$J$5000&lt;&gt;"GARCIA")*(INPUT!$J$3:$J$5000&lt;&gt;"OSCAR")),IF(_xlpm.n=0,NA(),SUMPRODUCT((INPUT!$H$3:$H$5000&gt;=S5)*(INPUT!$H$3:$H$5000&lt;=S5+6)*ISNUMBER(INPUT!$K$3:$K$5000)*(INPUT!$J$3:$J$5000&lt;&gt;"HERRERO")*(INPUT!$J$3:$J$5000&lt;&gt;"GARCIA")*(INPUT!$J$3:$J$5000&lt;&gt;"OSCAR")*IFERROR(VALUE(INPUT!$K$3:$K$5000),0))/_xlpm.n)),NA())</f>
        <v>3.5625</v>
      </c>
      <c r="T8" s="130" cm="1">
        <f t="array" ref="T8">IFERROR(_xlfn.LET(_xlpm.n,SUMPRODUCT((INPUT!$H$3:$H$5000&gt;=T5)*(INPUT!$H$3:$H$5000&lt;=T5+6)*ISNUMBER(INPUT!$K$3:$K$5000)*(INPUT!$J$3:$J$5000&lt;&gt;"HERRERO")*(INPUT!$J$3:$J$5000&lt;&gt;"GARCIA")*(INPUT!$J$3:$J$5000&lt;&gt;"OSCAR")),IF(_xlpm.n=0,NA(),SUMPRODUCT((INPUT!$H$3:$H$5000&gt;=T5)*(INPUT!$H$3:$H$5000&lt;=T5+6)*ISNUMBER(INPUT!$K$3:$K$5000)*(INPUT!$J$3:$J$5000&lt;&gt;"HERRERO")*(INPUT!$J$3:$J$5000&lt;&gt;"GARCIA")*(INPUT!$J$3:$J$5000&lt;&gt;"OSCAR")*IFERROR(VALUE(INPUT!$K$3:$K$5000),0))/_xlpm.n)),NA())</f>
        <v>6</v>
      </c>
      <c r="U8" s="130" cm="1">
        <f t="array" ref="U8">IFERROR(_xlfn.LET(_xlpm.n,SUMPRODUCT((INPUT!$H$3:$H$5000&gt;=U5)*(INPUT!$H$3:$H$5000&lt;=U5+6)*ISNUMBER(INPUT!$K$3:$K$5000)*(INPUT!$J$3:$J$5000&lt;&gt;"HERRERO")*(INPUT!$J$3:$J$5000&lt;&gt;"GARCIA")*(INPUT!$J$3:$J$5000&lt;&gt;"OSCAR")),IF(_xlpm.n=0,NA(),SUMPRODUCT((INPUT!$H$3:$H$5000&gt;=U5)*(INPUT!$H$3:$H$5000&lt;=U5+6)*ISNUMBER(INPUT!$K$3:$K$5000)*(INPUT!$J$3:$J$5000&lt;&gt;"HERRERO")*(INPUT!$J$3:$J$5000&lt;&gt;"GARCIA")*(INPUT!$J$3:$J$5000&lt;&gt;"OSCAR")*IFERROR(VALUE(INPUT!$K$3:$K$5000),0))/_xlpm.n)),NA())</f>
        <v>4.4375</v>
      </c>
      <c r="V8" s="130" cm="1">
        <f t="array" ref="V8">IFERROR(_xlfn.LET(_xlpm.n,SUMPRODUCT((INPUT!$H$3:$H$5000&gt;=V5)*(INPUT!$H$3:$H$5000&lt;=V5+6)*ISNUMBER(INPUT!$K$3:$K$5000)*(INPUT!$J$3:$J$5000&lt;&gt;"HERRERO")*(INPUT!$J$3:$J$5000&lt;&gt;"GARCIA")*(INPUT!$J$3:$J$5000&lt;&gt;"OSCAR")),IF(_xlpm.n=0,NA(),SUMPRODUCT((INPUT!$H$3:$H$5000&gt;=V5)*(INPUT!$H$3:$H$5000&lt;=V5+6)*ISNUMBER(INPUT!$K$3:$K$5000)*(INPUT!$J$3:$J$5000&lt;&gt;"HERRERO")*(INPUT!$J$3:$J$5000&lt;&gt;"GARCIA")*(INPUT!$J$3:$J$5000&lt;&gt;"OSCAR")*IFERROR(VALUE(INPUT!$K$3:$K$5000),0))/_xlpm.n)),NA())</f>
        <v>7.09375</v>
      </c>
      <c r="W8" s="130" cm="1">
        <f t="array" ref="W8">IFERROR(_xlfn.LET(_xlpm.n,SUMPRODUCT((INPUT!$H$3:$H$5000&gt;=W5)*(INPUT!$H$3:$H$5000&lt;=W5+6)*ISNUMBER(INPUT!$K$3:$K$5000)*(INPUT!$J$3:$J$5000&lt;&gt;"HERRERO")*(INPUT!$J$3:$J$5000&lt;&gt;"GARCIA")*(INPUT!$J$3:$J$5000&lt;&gt;"OSCAR")),IF(_xlpm.n=0,NA(),SUMPRODUCT((INPUT!$H$3:$H$5000&gt;=W5)*(INPUT!$H$3:$H$5000&lt;=W5+6)*ISNUMBER(INPUT!$K$3:$K$5000)*(INPUT!$J$3:$J$5000&lt;&gt;"HERRERO")*(INPUT!$J$3:$J$5000&lt;&gt;"GARCIA")*(INPUT!$J$3:$J$5000&lt;&gt;"OSCAR")*IFERROR(VALUE(INPUT!$K$3:$K$5000),0))/_xlpm.n)),NA())</f>
        <v>4.8769230769230774</v>
      </c>
      <c r="X8" s="130" cm="1">
        <f t="array" ref="X8">IFERROR(_xlfn.LET(_xlpm.n,SUMPRODUCT((INPUT!$H$3:$H$5000&gt;=X5)*(INPUT!$H$3:$H$5000&lt;=X5+6)*ISNUMBER(INPUT!$K$3:$K$5000)*(INPUT!$J$3:$J$5000&lt;&gt;"HERRERO")*(INPUT!$J$3:$J$5000&lt;&gt;"GARCIA")*(INPUT!$J$3:$J$5000&lt;&gt;"OSCAR")),IF(_xlpm.n=0,NA(),SUMPRODUCT((INPUT!$H$3:$H$5000&gt;=X5)*(INPUT!$H$3:$H$5000&lt;=X5+6)*ISNUMBER(INPUT!$K$3:$K$5000)*(INPUT!$J$3:$J$5000&lt;&gt;"HERRERO")*(INPUT!$J$3:$J$5000&lt;&gt;"GARCIA")*(INPUT!$J$3:$J$5000&lt;&gt;"OSCAR")*IFERROR(VALUE(INPUT!$K$3:$K$5000),0))/_xlpm.n)),NA())</f>
        <v>6.193548387096774</v>
      </c>
      <c r="Y8" s="130" cm="1">
        <f t="array" ref="Y8">IFERROR(_xlfn.LET(_xlpm.n,SUMPRODUCT((INPUT!$H$3:$H$5000&gt;=Y5)*(INPUT!$H$3:$H$5000&lt;=Y5+6)*ISNUMBER(INPUT!$K$3:$K$5000)*(INPUT!$J$3:$J$5000&lt;&gt;"HERRERO")*(INPUT!$J$3:$J$5000&lt;&gt;"GARCIA")*(INPUT!$J$3:$J$5000&lt;&gt;"OSCAR")),IF(_xlpm.n=0,NA(),SUMPRODUCT((INPUT!$H$3:$H$5000&gt;=Y5)*(INPUT!$H$3:$H$5000&lt;=Y5+6)*ISNUMBER(INPUT!$K$3:$K$5000)*(INPUT!$J$3:$J$5000&lt;&gt;"HERRERO")*(INPUT!$J$3:$J$5000&lt;&gt;"GARCIA")*(INPUT!$J$3:$J$5000&lt;&gt;"OSCAR")*IFERROR(VALUE(INPUT!$K$3:$K$5000),0))/_xlpm.n)),NA())</f>
        <v>5.1449275362318838</v>
      </c>
      <c r="Z8" s="130" t="e" cm="1">
        <f t="array" ref="Z8">IFERROR(_xlfn.LET(_xlpm.n,SUMPRODUCT((INPUT!$H$3:$H$5000&gt;=Z5)*(INPUT!$H$3:$H$5000&lt;=Z5+6)*ISNUMBER(INPUT!$K$3:$K$5000)*(INPUT!$J$3:$J$5000&lt;&gt;"HERRERO")*(INPUT!$J$3:$J$5000&lt;&gt;"GARCIA")*(INPUT!$J$3:$J$5000&lt;&gt;"OSCAR")),IF(_xlpm.n=0,NA(),SUMPRODUCT((INPUT!$H$3:$H$5000&gt;=Z5)*(INPUT!$H$3:$H$5000&lt;=Z5+6)*ISNUMBER(INPUT!$K$3:$K$5000)*(INPUT!$J$3:$J$5000&lt;&gt;"HERRERO")*(INPUT!$J$3:$J$5000&lt;&gt;"GARCIA")*(INPUT!$J$3:$J$5000&lt;&gt;"OSCAR")*IFERROR(VALUE(INPUT!$K$3:$K$5000),0))/_xlpm.n)),NA())</f>
        <v>#N/A</v>
      </c>
      <c r="AA8" s="130" cm="1">
        <f t="array" ref="AA8">IFERROR(_xlfn.LET(_xlpm.n,SUMPRODUCT((INPUT!$H$3:$H$5000&gt;=AA5)*(INPUT!$H$3:$H$5000&lt;=AA5+6)*ISNUMBER(INPUT!$K$3:$K$5000)*(INPUT!$J$3:$J$5000&lt;&gt;"HERRERO")*(INPUT!$J$3:$J$5000&lt;&gt;"GARCIA")*(INPUT!$J$3:$J$5000&lt;&gt;"OSCAR")),IF(_xlpm.n=0,NA(),SUMPRODUCT((INPUT!$H$3:$H$5000&gt;=AA5)*(INPUT!$H$3:$H$5000&lt;=AA5+6)*ISNUMBER(INPUT!$K$3:$K$5000)*(INPUT!$J$3:$J$5000&lt;&gt;"HERRERO")*(INPUT!$J$3:$J$5000&lt;&gt;"GARCIA")*(INPUT!$J$3:$J$5000&lt;&gt;"OSCAR")*IFERROR(VALUE(INPUT!$K$3:$K$5000),0))/_xlpm.n)),NA())</f>
        <v>8.0253164556962027</v>
      </c>
      <c r="AB8" s="130" cm="1">
        <f t="array" ref="AB8">IFERROR(_xlfn.LET(_xlpm.n,SUMPRODUCT((INPUT!$H$3:$H$5000&gt;=AB5)*(INPUT!$H$3:$H$5000&lt;=AB5+6)*ISNUMBER(INPUT!$K$3:$K$5000)*(INPUT!$J$3:$J$5000&lt;&gt;"HERRERO")*(INPUT!$J$3:$J$5000&lt;&gt;"GARCIA")*(INPUT!$J$3:$J$5000&lt;&gt;"OSCAR")),IF(_xlpm.n=0,NA(),SUMPRODUCT((INPUT!$H$3:$H$5000&gt;=AB5)*(INPUT!$H$3:$H$5000&lt;=AB5+6)*ISNUMBER(INPUT!$K$3:$K$5000)*(INPUT!$J$3:$J$5000&lt;&gt;"HERRERO")*(INPUT!$J$3:$J$5000&lt;&gt;"GARCIA")*(INPUT!$J$3:$J$5000&lt;&gt;"OSCAR")*IFERROR(VALUE(INPUT!$K$3:$K$5000),0))/_xlpm.n)),NA())</f>
        <v>6.6379310344827589</v>
      </c>
      <c r="AC8" s="130" cm="1">
        <f t="array" ref="AC8">IFERROR(_xlfn.LET(_xlpm.n,SUMPRODUCT((INPUT!$H$3:$H$5000&gt;=AC5)*(INPUT!$H$3:$H$5000&lt;=AC5+6)*ISNUMBER(INPUT!$K$3:$K$5000)*(INPUT!$J$3:$J$5000&lt;&gt;"HERRERO")*(INPUT!$J$3:$J$5000&lt;&gt;"GARCIA")*(INPUT!$J$3:$J$5000&lt;&gt;"OSCAR")),IF(_xlpm.n=0,NA(),SUMPRODUCT((INPUT!$H$3:$H$5000&gt;=AC5)*(INPUT!$H$3:$H$5000&lt;=AC5+6)*ISNUMBER(INPUT!$K$3:$K$5000)*(INPUT!$J$3:$J$5000&lt;&gt;"HERRERO")*(INPUT!$J$3:$J$5000&lt;&gt;"GARCIA")*(INPUT!$J$3:$J$5000&lt;&gt;"OSCAR")*IFERROR(VALUE(INPUT!$K$3:$K$5000),0))/_xlpm.n)),NA())</f>
        <v>7.2837837837837842</v>
      </c>
      <c r="AD8" s="130" cm="1">
        <f t="array" ref="AD8">IFERROR(_xlfn.LET(_xlpm.n,SUMPRODUCT((INPUT!$H$3:$H$5000&gt;=AD5)*(INPUT!$H$3:$H$5000&lt;=AD5+6)*ISNUMBER(INPUT!$K$3:$K$5000)*(INPUT!$J$3:$J$5000&lt;&gt;"HERRERO")*(INPUT!$J$3:$J$5000&lt;&gt;"GARCIA")*(INPUT!$J$3:$J$5000&lt;&gt;"OSCAR")),IF(_xlpm.n=0,NA(),SUMPRODUCT((INPUT!$H$3:$H$5000&gt;=AD5)*(INPUT!$H$3:$H$5000&lt;=AD5+6)*ISNUMBER(INPUT!$K$3:$K$5000)*(INPUT!$J$3:$J$5000&lt;&gt;"HERRERO")*(INPUT!$J$3:$J$5000&lt;&gt;"GARCIA")*(INPUT!$J$3:$J$5000&lt;&gt;"OSCAR")*IFERROR(VALUE(INPUT!$K$3:$K$5000),0))/_xlpm.n)),NA())</f>
        <v>4.5185185185185182</v>
      </c>
      <c r="AE8" s="130" cm="1">
        <f t="array" ref="AE8">IFERROR(_xlfn.LET(_xlpm.n,SUMPRODUCT((INPUT!$H$3:$H$5000&gt;=AE5)*(INPUT!$H$3:$H$5000&lt;=AE5+6)*ISNUMBER(INPUT!$K$3:$K$5000)*(INPUT!$J$3:$J$5000&lt;&gt;"HERRERO")*(INPUT!$J$3:$J$5000&lt;&gt;"GARCIA")*(INPUT!$J$3:$J$5000&lt;&gt;"OSCAR")),IF(_xlpm.n=0,NA(),SUMPRODUCT((INPUT!$H$3:$H$5000&gt;=AE5)*(INPUT!$H$3:$H$5000&lt;=AE5+6)*ISNUMBER(INPUT!$K$3:$K$5000)*(INPUT!$J$3:$J$5000&lt;&gt;"HERRERO")*(INPUT!$J$3:$J$5000&lt;&gt;"GARCIA")*(INPUT!$J$3:$J$5000&lt;&gt;"OSCAR")*IFERROR(VALUE(INPUT!$K$3:$K$5000),0))/_xlpm.n)),NA())</f>
        <v>5.1044776119402986</v>
      </c>
      <c r="AF8" s="130" cm="1">
        <f t="array" ref="AF8">IFERROR(_xlfn.LET(_xlpm.n,SUMPRODUCT((INPUT!$H$3:$H$5000&gt;=AF5)*(INPUT!$H$3:$H$5000&lt;=AF5+6)*ISNUMBER(INPUT!$K$3:$K$5000)*(INPUT!$J$3:$J$5000&lt;&gt;"HERRERO")*(INPUT!$J$3:$J$5000&lt;&gt;"GARCIA")*(INPUT!$J$3:$J$5000&lt;&gt;"OSCAR")),IF(_xlpm.n=0,NA(),SUMPRODUCT((INPUT!$H$3:$H$5000&gt;=AF5)*(INPUT!$H$3:$H$5000&lt;=AF5+6)*ISNUMBER(INPUT!$K$3:$K$5000)*(INPUT!$J$3:$J$5000&lt;&gt;"HERRERO")*(INPUT!$J$3:$J$5000&lt;&gt;"GARCIA")*(INPUT!$J$3:$J$5000&lt;&gt;"OSCAR")*IFERROR(VALUE(INPUT!$K$3:$K$5000),0))/_xlpm.n)),NA())</f>
        <v>6.186813186813187</v>
      </c>
      <c r="AG8" s="130" cm="1">
        <f t="array" ref="AG8">IFERROR(_xlfn.LET(_xlpm.n,SUMPRODUCT((INPUT!$H$3:$H$5000&gt;=AG5)*(INPUT!$H$3:$H$5000&lt;=AG5+6)*ISNUMBER(INPUT!$K$3:$K$5000)*(INPUT!$J$3:$J$5000&lt;&gt;"HERRERO")*(INPUT!$J$3:$J$5000&lt;&gt;"GARCIA")*(INPUT!$J$3:$J$5000&lt;&gt;"OSCAR")),IF(_xlpm.n=0,NA(),SUMPRODUCT((INPUT!$H$3:$H$5000&gt;=AG5)*(INPUT!$H$3:$H$5000&lt;=AG5+6)*ISNUMBER(INPUT!$K$3:$K$5000)*(INPUT!$J$3:$J$5000&lt;&gt;"HERRERO")*(INPUT!$J$3:$J$5000&lt;&gt;"GARCIA")*(INPUT!$J$3:$J$5000&lt;&gt;"OSCAR")*IFERROR(VALUE(INPUT!$K$3:$K$5000),0))/_xlpm.n)),NA())</f>
        <v>5.6734693877551017</v>
      </c>
      <c r="AH8" s="130" cm="1">
        <f t="array" ref="AH8">IFERROR(_xlfn.LET(_xlpm.n,SUMPRODUCT((INPUT!$H$3:$H$5000&gt;=AH5)*(INPUT!$H$3:$H$5000&lt;=AH5+6)*ISNUMBER(INPUT!$K$3:$K$5000)*(INPUT!$J$3:$J$5000&lt;&gt;"HERRERO")*(INPUT!$J$3:$J$5000&lt;&gt;"GARCIA")*(INPUT!$J$3:$J$5000&lt;&gt;"OSCAR")),IF(_xlpm.n=0,NA(),SUMPRODUCT((INPUT!$H$3:$H$5000&gt;=AH5)*(INPUT!$H$3:$H$5000&lt;=AH5+6)*ISNUMBER(INPUT!$K$3:$K$5000)*(INPUT!$J$3:$J$5000&lt;&gt;"HERRERO")*(INPUT!$J$3:$J$5000&lt;&gt;"GARCIA")*(INPUT!$J$3:$J$5000&lt;&gt;"OSCAR")*IFERROR(VALUE(INPUT!$K$3:$K$5000),0))/_xlpm.n)),NA())</f>
        <v>5.4246575342465757</v>
      </c>
      <c r="AI8" s="130" cm="1">
        <f t="array" ref="AI8">IFERROR(_xlfn.LET(_xlpm.n,SUMPRODUCT((INPUT!$H$3:$H$5000&gt;=AI5)*(INPUT!$H$3:$H$5000&lt;=AI5+6)*ISNUMBER(INPUT!$K$3:$K$5000)*(INPUT!$J$3:$J$5000&lt;&gt;"HERRERO")*(INPUT!$J$3:$J$5000&lt;&gt;"GARCIA")*(INPUT!$J$3:$J$5000&lt;&gt;"OSCAR")),IF(_xlpm.n=0,NA(),SUMPRODUCT((INPUT!$H$3:$H$5000&gt;=AI5)*(INPUT!$H$3:$H$5000&lt;=AI5+6)*ISNUMBER(INPUT!$K$3:$K$5000)*(INPUT!$J$3:$J$5000&lt;&gt;"HERRERO")*(INPUT!$J$3:$J$5000&lt;&gt;"GARCIA")*(INPUT!$J$3:$J$5000&lt;&gt;"OSCAR")*IFERROR(VALUE(INPUT!$K$3:$K$5000),0))/_xlpm.n)),NA())</f>
        <v>3.9479166666666665</v>
      </c>
      <c r="AJ8" s="130" cm="1">
        <f t="array" ref="AJ8">IFERROR(_xlfn.LET(_xlpm.n,SUMPRODUCT((INPUT!$H$3:$H$5000&gt;=AJ5)*(INPUT!$H$3:$H$5000&lt;=AJ5+6)*ISNUMBER(INPUT!$K$3:$K$5000)*(INPUT!$J$3:$J$5000&lt;&gt;"HERRERO")*(INPUT!$J$3:$J$5000&lt;&gt;"GARCIA")*(INPUT!$J$3:$J$5000&lt;&gt;"OSCAR")),IF(_xlpm.n=0,NA(),SUMPRODUCT((INPUT!$H$3:$H$5000&gt;=AJ5)*(INPUT!$H$3:$H$5000&lt;=AJ5+6)*ISNUMBER(INPUT!$K$3:$K$5000)*(INPUT!$J$3:$J$5000&lt;&gt;"HERRERO")*(INPUT!$J$3:$J$5000&lt;&gt;"GARCIA")*(INPUT!$J$3:$J$5000&lt;&gt;"OSCAR")*IFERROR(VALUE(INPUT!$K$3:$K$5000),0))/_xlpm.n)),NA())</f>
        <v>5.8571428571428568</v>
      </c>
      <c r="AK8" s="130" cm="1">
        <f t="array" ref="AK8">IFERROR(_xlfn.LET(_xlpm.n,SUMPRODUCT((INPUT!$H$3:$H$5000&gt;=AK5)*(INPUT!$H$3:$H$5000&lt;=AK5+6)*ISNUMBER(INPUT!$K$3:$K$5000)*(INPUT!$J$3:$J$5000&lt;&gt;"HERRERO")*(INPUT!$J$3:$J$5000&lt;&gt;"GARCIA")*(INPUT!$J$3:$J$5000&lt;&gt;"OSCAR")),IF(_xlpm.n=0,NA(),SUMPRODUCT((INPUT!$H$3:$H$5000&gt;=AK5)*(INPUT!$H$3:$H$5000&lt;=AK5+6)*ISNUMBER(INPUT!$K$3:$K$5000)*(INPUT!$J$3:$J$5000&lt;&gt;"HERRERO")*(INPUT!$J$3:$J$5000&lt;&gt;"GARCIA")*(INPUT!$J$3:$J$5000&lt;&gt;"OSCAR")*IFERROR(VALUE(INPUT!$K$3:$K$5000),0))/_xlpm.n)),NA())</f>
        <v>5.9874999999999998</v>
      </c>
      <c r="AL8" s="130" cm="1">
        <f t="array" ref="AL8">IFERROR(_xlfn.LET(_xlpm.n,SUMPRODUCT((INPUT!$H$3:$H$5000&gt;=AL5)*(INPUT!$H$3:$H$5000&lt;=AL5+6)*ISNUMBER(INPUT!$K$3:$K$5000)*(INPUT!$J$3:$J$5000&lt;&gt;"HERRERO")*(INPUT!$J$3:$J$5000&lt;&gt;"GARCIA")*(INPUT!$J$3:$J$5000&lt;&gt;"OSCAR")),IF(_xlpm.n=0,NA(),SUMPRODUCT((INPUT!$H$3:$H$5000&gt;=AL5)*(INPUT!$H$3:$H$5000&lt;=AL5+6)*ISNUMBER(INPUT!$K$3:$K$5000)*(INPUT!$J$3:$J$5000&lt;&gt;"HERRERO")*(INPUT!$J$3:$J$5000&lt;&gt;"GARCIA")*(INPUT!$J$3:$J$5000&lt;&gt;"OSCAR")*IFERROR(VALUE(INPUT!$K$3:$K$5000),0))/_xlpm.n)),NA())</f>
        <v>8</v>
      </c>
      <c r="AM8" s="130" cm="1">
        <f t="array" ref="AM8">IFERROR(_xlfn.LET(_xlpm.n,SUMPRODUCT((INPUT!$H$3:$H$5000&gt;=AM5)*(INPUT!$H$3:$H$5000&lt;=AM5+6)*ISNUMBER(INPUT!$K$3:$K$5000)*(INPUT!$J$3:$J$5000&lt;&gt;"HERRERO")*(INPUT!$J$3:$J$5000&lt;&gt;"GARCIA")*(INPUT!$J$3:$J$5000&lt;&gt;"OSCAR")),IF(_xlpm.n=0,NA(),SUMPRODUCT((INPUT!$H$3:$H$5000&gt;=AM5)*(INPUT!$H$3:$H$5000&lt;=AM5+6)*ISNUMBER(INPUT!$K$3:$K$5000)*(INPUT!$J$3:$J$5000&lt;&gt;"HERRERO")*(INPUT!$J$3:$J$5000&lt;&gt;"GARCIA")*(INPUT!$J$3:$J$5000&lt;&gt;"OSCAR")*IFERROR(VALUE(INPUT!$K$3:$K$5000),0))/_xlpm.n)),NA())</f>
        <v>5.4938271604938276</v>
      </c>
      <c r="AN8" s="130" cm="1">
        <f t="array" ref="AN8">IFERROR(_xlfn.LET(_xlpm.n,SUMPRODUCT((INPUT!$H$3:$H$5000&gt;=AN5)*(INPUT!$H$3:$H$5000&lt;=AN5+6)*ISNUMBER(INPUT!$K$3:$K$5000)*(INPUT!$J$3:$J$5000&lt;&gt;"HERRERO")*(INPUT!$J$3:$J$5000&lt;&gt;"GARCIA")*(INPUT!$J$3:$J$5000&lt;&gt;"OSCAR")),IF(_xlpm.n=0,NA(),SUMPRODUCT((INPUT!$H$3:$H$5000&gt;=AN5)*(INPUT!$H$3:$H$5000&lt;=AN5+6)*ISNUMBER(INPUT!$K$3:$K$5000)*(INPUT!$J$3:$J$5000&lt;&gt;"HERRERO")*(INPUT!$J$3:$J$5000&lt;&gt;"GARCIA")*(INPUT!$J$3:$J$5000&lt;&gt;"OSCAR")*IFERROR(VALUE(INPUT!$K$3:$K$5000),0))/_xlpm.n)),NA())</f>
        <v>6.5769230769230766</v>
      </c>
      <c r="AO8" s="130" t="e" cm="1">
        <f t="array" ref="AO8">IFERROR(_xlfn.LET(_xlpm.n,SUMPRODUCT((INPUT!$H$3:$H$5000&gt;=AO5)*(INPUT!$H$3:$H$5000&lt;=AO5+6)*ISNUMBER(INPUT!$K$3:$K$5000)*(INPUT!$J$3:$J$5000&lt;&gt;"HERRERO")*(INPUT!$J$3:$J$5000&lt;&gt;"GARCIA")*(INPUT!$J$3:$J$5000&lt;&gt;"OSCAR")),IF(_xlpm.n=0,NA(),SUMPRODUCT((INPUT!$H$3:$H$5000&gt;=AO5)*(INPUT!$H$3:$H$5000&lt;=AO5+6)*ISNUMBER(INPUT!$K$3:$K$5000)*(INPUT!$J$3:$J$5000&lt;&gt;"HERRERO")*(INPUT!$J$3:$J$5000&lt;&gt;"GARCIA")*(INPUT!$J$3:$J$5000&lt;&gt;"OSCAR")*IFERROR(VALUE(INPUT!$K$3:$K$5000),0))/_xlpm.n)),NA())</f>
        <v>#N/A</v>
      </c>
      <c r="AP8" s="130" t="e" cm="1">
        <f t="array" ref="AP8">IFERROR(_xlfn.LET(_xlpm.n,SUMPRODUCT((INPUT!$H$3:$H$5000&gt;=AP5)*(INPUT!$H$3:$H$5000&lt;=AP5+6)*ISNUMBER(INPUT!$K$3:$K$5000)*(INPUT!$J$3:$J$5000&lt;&gt;"HERRERO")*(INPUT!$J$3:$J$5000&lt;&gt;"GARCIA")*(INPUT!$J$3:$J$5000&lt;&gt;"OSCAR")),IF(_xlpm.n=0,NA(),SUMPRODUCT((INPUT!$H$3:$H$5000&gt;=AP5)*(INPUT!$H$3:$H$5000&lt;=AP5+6)*ISNUMBER(INPUT!$K$3:$K$5000)*(INPUT!$J$3:$J$5000&lt;&gt;"HERRERO")*(INPUT!$J$3:$J$5000&lt;&gt;"GARCIA")*(INPUT!$J$3:$J$5000&lt;&gt;"OSCAR")*IFERROR(VALUE(INPUT!$K$3:$K$5000),0))/_xlpm.n)),NA())</f>
        <v>#N/A</v>
      </c>
      <c r="AQ8" s="130" t="e" cm="1">
        <f t="array" ref="AQ8">IFERROR(_xlfn.LET(_xlpm.n,SUMPRODUCT((INPUT!$H$3:$H$5000&gt;=AQ5)*(INPUT!$H$3:$H$5000&lt;=AQ5+6)*ISNUMBER(INPUT!$K$3:$K$5000)*(INPUT!$J$3:$J$5000&lt;&gt;"HERRERO")*(INPUT!$J$3:$J$5000&lt;&gt;"GARCIA")*(INPUT!$J$3:$J$5000&lt;&gt;"OSCAR")),IF(_xlpm.n=0,NA(),SUMPRODUCT((INPUT!$H$3:$H$5000&gt;=AQ5)*(INPUT!$H$3:$H$5000&lt;=AQ5+6)*ISNUMBER(INPUT!$K$3:$K$5000)*(INPUT!$J$3:$J$5000&lt;&gt;"HERRERO")*(INPUT!$J$3:$J$5000&lt;&gt;"GARCIA")*(INPUT!$J$3:$J$5000&lt;&gt;"OSCAR")*IFERROR(VALUE(INPUT!$K$3:$K$5000),0))/_xlpm.n)),NA())</f>
        <v>#N/A</v>
      </c>
      <c r="AR8" s="130" t="e" cm="1">
        <f t="array" ref="AR8">IFERROR(_xlfn.LET(_xlpm.n,SUMPRODUCT((INPUT!$H$3:$H$5000&gt;=AR5)*(INPUT!$H$3:$H$5000&lt;=AR5+6)*ISNUMBER(INPUT!$K$3:$K$5000)*(INPUT!$J$3:$J$5000&lt;&gt;"HERRERO")*(INPUT!$J$3:$J$5000&lt;&gt;"GARCIA")*(INPUT!$J$3:$J$5000&lt;&gt;"OSCAR")),IF(_xlpm.n=0,NA(),SUMPRODUCT((INPUT!$H$3:$H$5000&gt;=AR5)*(INPUT!$H$3:$H$5000&lt;=AR5+6)*ISNUMBER(INPUT!$K$3:$K$5000)*(INPUT!$J$3:$J$5000&lt;&gt;"HERRERO")*(INPUT!$J$3:$J$5000&lt;&gt;"GARCIA")*(INPUT!$J$3:$J$5000&lt;&gt;"OSCAR")*IFERROR(VALUE(INPUT!$K$3:$K$5000),0))/_xlpm.n)),NA())</f>
        <v>#N/A</v>
      </c>
      <c r="AS8" s="130" t="e" cm="1">
        <f t="array" ref="AS8">IFERROR(_xlfn.LET(_xlpm.n,SUMPRODUCT((INPUT!$H$3:$H$5000&gt;=AS5)*(INPUT!$H$3:$H$5000&lt;=AS5+6)*ISNUMBER(INPUT!$K$3:$K$5000)*(INPUT!$J$3:$J$5000&lt;&gt;"HERRERO")*(INPUT!$J$3:$J$5000&lt;&gt;"GARCIA")*(INPUT!$J$3:$J$5000&lt;&gt;"OSCAR")),IF(_xlpm.n=0,NA(),SUMPRODUCT((INPUT!$H$3:$H$5000&gt;=AS5)*(INPUT!$H$3:$H$5000&lt;=AS5+6)*ISNUMBER(INPUT!$K$3:$K$5000)*(INPUT!$J$3:$J$5000&lt;&gt;"HERRERO")*(INPUT!$J$3:$J$5000&lt;&gt;"GARCIA")*(INPUT!$J$3:$J$5000&lt;&gt;"OSCAR")*IFERROR(VALUE(INPUT!$K$3:$K$5000),0))/_xlpm.n)),NA())</f>
        <v>#N/A</v>
      </c>
      <c r="AT8" s="130" t="e" cm="1">
        <f t="array" ref="AT8">IFERROR(_xlfn.LET(_xlpm.n,SUMPRODUCT((INPUT!$H$3:$H$5000&gt;=AT5)*(INPUT!$H$3:$H$5000&lt;=AT5+6)*ISNUMBER(INPUT!$K$3:$K$5000)*(INPUT!$J$3:$J$5000&lt;&gt;"HERRERO")*(INPUT!$J$3:$J$5000&lt;&gt;"GARCIA")*(INPUT!$J$3:$J$5000&lt;&gt;"OSCAR")),IF(_xlpm.n=0,NA(),SUMPRODUCT((INPUT!$H$3:$H$5000&gt;=AT5)*(INPUT!$H$3:$H$5000&lt;=AT5+6)*ISNUMBER(INPUT!$K$3:$K$5000)*(INPUT!$J$3:$J$5000&lt;&gt;"HERRERO")*(INPUT!$J$3:$J$5000&lt;&gt;"GARCIA")*(INPUT!$J$3:$J$5000&lt;&gt;"OSCAR")*IFERROR(VALUE(INPUT!$K$3:$K$5000),0))/_xlpm.n)),NA())</f>
        <v>#N/A</v>
      </c>
      <c r="AU8" s="130" t="e" cm="1">
        <f t="array" ref="AU8">IFERROR(_xlfn.LET(_xlpm.n,SUMPRODUCT((INPUT!$H$3:$H$5000&gt;=AU5)*(INPUT!$H$3:$H$5000&lt;=AU5+6)*ISNUMBER(INPUT!$K$3:$K$5000)*(INPUT!$J$3:$J$5000&lt;&gt;"HERRERO")*(INPUT!$J$3:$J$5000&lt;&gt;"GARCIA")*(INPUT!$J$3:$J$5000&lt;&gt;"OSCAR")),IF(_xlpm.n=0,NA(),SUMPRODUCT((INPUT!$H$3:$H$5000&gt;=AU5)*(INPUT!$H$3:$H$5000&lt;=AU5+6)*ISNUMBER(INPUT!$K$3:$K$5000)*(INPUT!$J$3:$J$5000&lt;&gt;"HERRERO")*(INPUT!$J$3:$J$5000&lt;&gt;"GARCIA")*(INPUT!$J$3:$J$5000&lt;&gt;"OSCAR")*IFERROR(VALUE(INPUT!$K$3:$K$5000),0))/_xlpm.n)),NA())</f>
        <v>#N/A</v>
      </c>
      <c r="AV8" s="130" t="e" cm="1">
        <f t="array" ref="AV8">IFERROR(_xlfn.LET(_xlpm.n,SUMPRODUCT((INPUT!$H$3:$H$5000&gt;=AV5)*(INPUT!$H$3:$H$5000&lt;=AV5+6)*ISNUMBER(INPUT!$K$3:$K$5000)*(INPUT!$J$3:$J$5000&lt;&gt;"HERRERO")*(INPUT!$J$3:$J$5000&lt;&gt;"GARCIA")*(INPUT!$J$3:$J$5000&lt;&gt;"OSCAR")),IF(_xlpm.n=0,NA(),SUMPRODUCT((INPUT!$H$3:$H$5000&gt;=AV5)*(INPUT!$H$3:$H$5000&lt;=AV5+6)*ISNUMBER(INPUT!$K$3:$K$5000)*(INPUT!$J$3:$J$5000&lt;&gt;"HERRERO")*(INPUT!$J$3:$J$5000&lt;&gt;"GARCIA")*(INPUT!$J$3:$J$5000&lt;&gt;"OSCAR")*IFERROR(VALUE(INPUT!$K$3:$K$5000),0))/_xlpm.n)),NA())</f>
        <v>#N/A</v>
      </c>
      <c r="AW8" s="137" t="e" cm="1">
        <f t="array" ref="AW8">IFERROR(_xlfn.LET(_xlpm.n,SUMPRODUCT((INPUT!$H$3:$H$5000&gt;=AW5)*(INPUT!$H$3:$H$5000&lt;=AW5+6)*ISNUMBER(INPUT!$K$3:$K$5000)*(INPUT!$J$3:$J$5000&lt;&gt;"HERRERO")*(INPUT!$J$3:$J$5000&lt;&gt;"GARCIA")*(INPUT!$J$3:$J$5000&lt;&gt;"OSCAR")),IF(_xlpm.n=0,NA(),SUMPRODUCT((INPUT!$H$3:$H$5000&gt;=AW5)*(INPUT!$H$3:$H$5000&lt;=AW5+6)*ISNUMBER(INPUT!$K$3:$K$5000)*(INPUT!$J$3:$J$5000&lt;&gt;"HERRERO")*(INPUT!$J$3:$J$5000&lt;&gt;"GARCIA")*(INPUT!$J$3:$J$5000&lt;&gt;"OSCAR")*IFERROR(VALUE(INPUT!$K$3:$K$5000),0))/_xlpm.n)),NA())</f>
        <v>#N/A</v>
      </c>
    </row>
    <row r="9" spans="1:49" x14ac:dyDescent="0.2">
      <c r="A9" s="134" t="s">
        <v>104</v>
      </c>
      <c r="B9" s="142" cm="1">
        <f t="array" ref="B9">IFERROR(_xlfn.LET(_xlpm.a,SUMPRODUCT((INPUT!$H$3:$H$5000&gt;=B5)*(INPUT!$H$3:$H$5000&lt;=B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B5,INPUT!$A$3:$A$5000,"&lt;="&amp;B5+6),_xlpm.c,SUMPRODUCT((INPUT!$H$3:$H$5000&gt;=B5)*(INPUT!$H$3:$H$5000&lt;=B5+6)*ISNUMBER(INPUT!$K$3:$K$5000)*(INPUT!$J$3:$J$5000&lt;&gt;"HERRERO")*(INPUT!$J$3:$J$5000&lt;&gt;"GARCIA")*(INPUT!$J$3:$J$5000&lt;&gt;"OSCAR")),IF(OR(_xlpm.c=0,_xlpm.b=0),NA(),_xlpm.a*_xlpm.b/_xlpm.c)),NA())</f>
        <v>4682.1428571428569</v>
      </c>
      <c r="C9" s="142" cm="1">
        <f t="array" ref="C9">IFERROR(_xlfn.LET(_xlpm.a,SUMPRODUCT((INPUT!$H$3:$H$5000&gt;=C5)*(INPUT!$H$3:$H$5000&lt;=C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C5,INPUT!$A$3:$A$5000,"&lt;="&amp;C5+6),_xlpm.c,SUMPRODUCT((INPUT!$H$3:$H$5000&gt;=C5)*(INPUT!$H$3:$H$5000&lt;=C5+6)*ISNUMBER(INPUT!$K$3:$K$5000)*(INPUT!$J$3:$J$5000&lt;&gt;"HERRERO")*(INPUT!$J$3:$J$5000&lt;&gt;"GARCIA")*(INPUT!$J$3:$J$5000&lt;&gt;"OSCAR")),IF(OR(_xlpm.c=0,_xlpm.b=0),NA(),_xlpm.a*_xlpm.b/_xlpm.c)),NA())</f>
        <v>6774.406779661017</v>
      </c>
      <c r="D9" s="142" cm="1">
        <f t="array" ref="D9">IFERROR(_xlfn.LET(_xlpm.a,SUMPRODUCT((INPUT!$H$3:$H$5000&gt;=D5)*(INPUT!$H$3:$H$5000&lt;=D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D5,INPUT!$A$3:$A$5000,"&lt;="&amp;D5+6),_xlpm.c,SUMPRODUCT((INPUT!$H$3:$H$5000&gt;=D5)*(INPUT!$H$3:$H$5000&lt;=D5+6)*ISNUMBER(INPUT!$K$3:$K$5000)*(INPUT!$J$3:$J$5000&lt;&gt;"HERRERO")*(INPUT!$J$3:$J$5000&lt;&gt;"GARCIA")*(INPUT!$J$3:$J$5000&lt;&gt;"OSCAR")),IF(OR(_xlpm.c=0,_xlpm.b=0),NA(),_xlpm.a*_xlpm.b/_xlpm.c)),NA())</f>
        <v>6762.8282828282827</v>
      </c>
      <c r="E9" s="142" cm="1">
        <f t="array" ref="E9">IFERROR(_xlfn.LET(_xlpm.a,SUMPRODUCT((INPUT!$H$3:$H$5000&gt;=E5)*(INPUT!$H$3:$H$5000&lt;=E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E5,INPUT!$A$3:$A$5000,"&lt;="&amp;E5+6),_xlpm.c,SUMPRODUCT((INPUT!$H$3:$H$5000&gt;=E5)*(INPUT!$H$3:$H$5000&lt;=E5+6)*ISNUMBER(INPUT!$K$3:$K$5000)*(INPUT!$J$3:$J$5000&lt;&gt;"HERRERO")*(INPUT!$J$3:$J$5000&lt;&gt;"GARCIA")*(INPUT!$J$3:$J$5000&lt;&gt;"OSCAR")),IF(OR(_xlpm.c=0,_xlpm.b=0),NA(),_xlpm.a*_xlpm.b/_xlpm.c)),NA())</f>
        <v>6390.7692307692305</v>
      </c>
      <c r="F9" s="142" cm="1">
        <f t="array" ref="F9">IFERROR(_xlfn.LET(_xlpm.a,SUMPRODUCT((INPUT!$H$3:$H$5000&gt;=F5)*(INPUT!$H$3:$H$5000&lt;=F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F5,INPUT!$A$3:$A$5000,"&lt;="&amp;F5+6),_xlpm.c,SUMPRODUCT((INPUT!$H$3:$H$5000&gt;=F5)*(INPUT!$H$3:$H$5000&lt;=F5+6)*ISNUMBER(INPUT!$K$3:$K$5000)*(INPUT!$J$3:$J$5000&lt;&gt;"HERRERO")*(INPUT!$J$3:$J$5000&lt;&gt;"GARCIA")*(INPUT!$J$3:$J$5000&lt;&gt;"OSCAR")),IF(OR(_xlpm.c=0,_xlpm.b=0),NA(),_xlpm.a*_xlpm.b/_xlpm.c)),NA())</f>
        <v>4601.25</v>
      </c>
      <c r="G9" s="142" cm="1">
        <f t="array" ref="G9">IFERROR(_xlfn.LET(_xlpm.a,SUMPRODUCT((INPUT!$H$3:$H$5000&gt;=G5)*(INPUT!$H$3:$H$5000&lt;=G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G5,INPUT!$A$3:$A$5000,"&lt;="&amp;G5+6),_xlpm.c,SUMPRODUCT((INPUT!$H$3:$H$5000&gt;=G5)*(INPUT!$H$3:$H$5000&lt;=G5+6)*ISNUMBER(INPUT!$K$3:$K$5000)*(INPUT!$J$3:$J$5000&lt;&gt;"HERRERO")*(INPUT!$J$3:$J$5000&lt;&gt;"GARCIA")*(INPUT!$J$3:$J$5000&lt;&gt;"OSCAR")),IF(OR(_xlpm.c=0,_xlpm.b=0),NA(),_xlpm.a*_xlpm.b/_xlpm.c)),NA())</f>
        <v>3917.8260869565215</v>
      </c>
      <c r="H9" s="142" cm="1">
        <f t="array" ref="H9">IFERROR(_xlfn.LET(_xlpm.a,SUMPRODUCT((INPUT!$H$3:$H$5000&gt;=H5)*(INPUT!$H$3:$H$5000&lt;=H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H5,INPUT!$A$3:$A$5000,"&lt;="&amp;H5+6),_xlpm.c,SUMPRODUCT((INPUT!$H$3:$H$5000&gt;=H5)*(INPUT!$H$3:$H$5000&lt;=H5+6)*ISNUMBER(INPUT!$K$3:$K$5000)*(INPUT!$J$3:$J$5000&lt;&gt;"HERRERO")*(INPUT!$J$3:$J$5000&lt;&gt;"GARCIA")*(INPUT!$J$3:$J$5000&lt;&gt;"OSCAR")),IF(OR(_xlpm.c=0,_xlpm.b=0),NA(),_xlpm.a*_xlpm.b/_xlpm.c)),NA())</f>
        <v>2768.1428571428573</v>
      </c>
      <c r="I9" s="142" cm="1">
        <f t="array" ref="I9">IFERROR(_xlfn.LET(_xlpm.a,SUMPRODUCT((INPUT!$H$3:$H$5000&gt;=I5)*(INPUT!$H$3:$H$5000&lt;=I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I5,INPUT!$A$3:$A$5000,"&lt;="&amp;I5+6),_xlpm.c,SUMPRODUCT((INPUT!$H$3:$H$5000&gt;=I5)*(INPUT!$H$3:$H$5000&lt;=I5+6)*ISNUMBER(INPUT!$K$3:$K$5000)*(INPUT!$J$3:$J$5000&lt;&gt;"HERRERO")*(INPUT!$J$3:$J$5000&lt;&gt;"GARCIA")*(INPUT!$J$3:$J$5000&lt;&gt;"OSCAR")),IF(OR(_xlpm.c=0,_xlpm.b=0),NA(),_xlpm.a*_xlpm.b/_xlpm.c)),NA())</f>
        <v>4277.894736842105</v>
      </c>
      <c r="J9" s="142" cm="1">
        <f t="array" ref="J9">IFERROR(_xlfn.LET(_xlpm.a,SUMPRODUCT((INPUT!$H$3:$H$5000&gt;=J5)*(INPUT!$H$3:$H$5000&lt;=J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J5,INPUT!$A$3:$A$5000,"&lt;="&amp;J5+6),_xlpm.c,SUMPRODUCT((INPUT!$H$3:$H$5000&gt;=J5)*(INPUT!$H$3:$H$5000&lt;=J5+6)*ISNUMBER(INPUT!$K$3:$K$5000)*(INPUT!$J$3:$J$5000&lt;&gt;"HERRERO")*(INPUT!$J$3:$J$5000&lt;&gt;"GARCIA")*(INPUT!$J$3:$J$5000&lt;&gt;"OSCAR")),IF(OR(_xlpm.c=0,_xlpm.b=0),NA(),_xlpm.a*_xlpm.b/_xlpm.c)),NA())</f>
        <v>4415.4838709677415</v>
      </c>
      <c r="K9" s="142" cm="1">
        <f t="array" ref="K9">IFERROR(_xlfn.LET(_xlpm.a,SUMPRODUCT((INPUT!$H$3:$H$5000&gt;=K5)*(INPUT!$H$3:$H$5000&lt;=K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K5,INPUT!$A$3:$A$5000,"&lt;="&amp;K5+6),_xlpm.c,SUMPRODUCT((INPUT!$H$3:$H$5000&gt;=K5)*(INPUT!$H$3:$H$5000&lt;=K5+6)*ISNUMBER(INPUT!$K$3:$K$5000)*(INPUT!$J$3:$J$5000&lt;&gt;"HERRERO")*(INPUT!$J$3:$J$5000&lt;&gt;"GARCIA")*(INPUT!$J$3:$J$5000&lt;&gt;"OSCAR")),IF(OR(_xlpm.c=0,_xlpm.b=0),NA(),_xlpm.a*_xlpm.b/_xlpm.c)),NA())</f>
        <v>3803.2323232323233</v>
      </c>
      <c r="L9" s="142" cm="1">
        <f t="array" ref="L9">IFERROR(_xlfn.LET(_xlpm.a,SUMPRODUCT((INPUT!$H$3:$H$5000&gt;=L5)*(INPUT!$H$3:$H$5000&lt;=L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L5,INPUT!$A$3:$A$5000,"&lt;="&amp;L5+6),_xlpm.c,SUMPRODUCT((INPUT!$H$3:$H$5000&gt;=L5)*(INPUT!$H$3:$H$5000&lt;=L5+6)*ISNUMBER(INPUT!$K$3:$K$5000)*(INPUT!$J$3:$J$5000&lt;&gt;"HERRERO")*(INPUT!$J$3:$J$5000&lt;&gt;"GARCIA")*(INPUT!$J$3:$J$5000&lt;&gt;"OSCAR")),IF(OR(_xlpm.c=0,_xlpm.b=0),NA(),_xlpm.a*_xlpm.b/_xlpm.c)),NA())</f>
        <v>2961.0897435897436</v>
      </c>
      <c r="M9" s="142" cm="1">
        <f t="array" ref="M9">IFERROR(_xlfn.LET(_xlpm.a,SUMPRODUCT((INPUT!$H$3:$H$5000&gt;=M5)*(INPUT!$H$3:$H$5000&lt;=M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M5,INPUT!$A$3:$A$5000,"&lt;="&amp;M5+6),_xlpm.c,SUMPRODUCT((INPUT!$H$3:$H$5000&gt;=M5)*(INPUT!$H$3:$H$5000&lt;=M5+6)*ISNUMBER(INPUT!$K$3:$K$5000)*(INPUT!$J$3:$J$5000&lt;&gt;"HERRERO")*(INPUT!$J$3:$J$5000&lt;&gt;"GARCIA")*(INPUT!$J$3:$J$5000&lt;&gt;"OSCAR")),IF(OR(_xlpm.c=0,_xlpm.b=0),NA(),_xlpm.a*_xlpm.b/_xlpm.c)),NA())</f>
        <v>3107.6923076923076</v>
      </c>
      <c r="N9" s="142" cm="1">
        <f t="array" ref="N9">IFERROR(_xlfn.LET(_xlpm.a,SUMPRODUCT((INPUT!$H$3:$H$5000&gt;=N5)*(INPUT!$H$3:$H$5000&lt;=N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N5,INPUT!$A$3:$A$5000,"&lt;="&amp;N5+6),_xlpm.c,SUMPRODUCT((INPUT!$H$3:$H$5000&gt;=N5)*(INPUT!$H$3:$H$5000&lt;=N5+6)*ISNUMBER(INPUT!$K$3:$K$5000)*(INPUT!$J$3:$J$5000&lt;&gt;"HERRERO")*(INPUT!$J$3:$J$5000&lt;&gt;"GARCIA")*(INPUT!$J$3:$J$5000&lt;&gt;"OSCAR")),IF(OR(_xlpm.c=0,_xlpm.b=0),NA(),_xlpm.a*_xlpm.b/_xlpm.c)),NA())</f>
        <v>4381.104651162791</v>
      </c>
      <c r="O9" s="142" cm="1">
        <f t="array" ref="O9">IFERROR(_xlfn.LET(_xlpm.a,SUMPRODUCT((INPUT!$H$3:$H$5000&gt;=O5)*(INPUT!$H$3:$H$5000&lt;=O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O5,INPUT!$A$3:$A$5000,"&lt;="&amp;O5+6),_xlpm.c,SUMPRODUCT((INPUT!$H$3:$H$5000&gt;=O5)*(INPUT!$H$3:$H$5000&lt;=O5+6)*ISNUMBER(INPUT!$K$3:$K$5000)*(INPUT!$J$3:$J$5000&lt;&gt;"HERRERO")*(INPUT!$J$3:$J$5000&lt;&gt;"GARCIA")*(INPUT!$J$3:$J$5000&lt;&gt;"OSCAR")),IF(OR(_xlpm.c=0,_xlpm.b=0),NA(),_xlpm.a*_xlpm.b/_xlpm.c)),NA())</f>
        <v>3725.4901960784314</v>
      </c>
      <c r="P9" s="142" cm="1">
        <f t="array" ref="P9">IFERROR(_xlfn.LET(_xlpm.a,SUMPRODUCT((INPUT!$H$3:$H$5000&gt;=P5)*(INPUT!$H$3:$H$5000&lt;=P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P5,INPUT!$A$3:$A$5000,"&lt;="&amp;P5+6),_xlpm.c,SUMPRODUCT((INPUT!$H$3:$H$5000&gt;=P5)*(INPUT!$H$3:$H$5000&lt;=P5+6)*ISNUMBER(INPUT!$K$3:$K$5000)*(INPUT!$J$3:$J$5000&lt;&gt;"HERRERO")*(INPUT!$J$3:$J$5000&lt;&gt;"GARCIA")*(INPUT!$J$3:$J$5000&lt;&gt;"OSCAR")),IF(OR(_xlpm.c=0,_xlpm.b=0),NA(),_xlpm.a*_xlpm.b/_xlpm.c)),NA())</f>
        <v>2620.731707317073</v>
      </c>
      <c r="Q9" s="142" cm="1">
        <f t="array" ref="Q9">IFERROR(_xlfn.LET(_xlpm.a,SUMPRODUCT((INPUT!$H$3:$H$5000&gt;=Q5)*(INPUT!$H$3:$H$5000&lt;=Q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Q5,INPUT!$A$3:$A$5000,"&lt;="&amp;Q5+6),_xlpm.c,SUMPRODUCT((INPUT!$H$3:$H$5000&gt;=Q5)*(INPUT!$H$3:$H$5000&lt;=Q5+6)*ISNUMBER(INPUT!$K$3:$K$5000)*(INPUT!$J$3:$J$5000&lt;&gt;"HERRERO")*(INPUT!$J$3:$J$5000&lt;&gt;"GARCIA")*(INPUT!$J$3:$J$5000&lt;&gt;"OSCAR")),IF(OR(_xlpm.c=0,_xlpm.b=0),NA(),_xlpm.a*_xlpm.b/_xlpm.c)),NA())</f>
        <v>4393.5802469135806</v>
      </c>
      <c r="R9" s="142" cm="1">
        <f t="array" ref="R9">IFERROR(_xlfn.LET(_xlpm.a,SUMPRODUCT((INPUT!$H$3:$H$5000&gt;=R5)*(INPUT!$H$3:$H$5000&lt;=R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R5,INPUT!$A$3:$A$5000,"&lt;="&amp;R5+6),_xlpm.c,SUMPRODUCT((INPUT!$H$3:$H$5000&gt;=R5)*(INPUT!$H$3:$H$5000&lt;=R5+6)*ISNUMBER(INPUT!$K$3:$K$5000)*(INPUT!$J$3:$J$5000&lt;&gt;"HERRERO")*(INPUT!$J$3:$J$5000&lt;&gt;"GARCIA")*(INPUT!$J$3:$J$5000&lt;&gt;"OSCAR")),IF(OR(_xlpm.c=0,_xlpm.b=0),NA(),_xlpm.a*_xlpm.b/_xlpm.c)),NA())</f>
        <v>2733.8888888888887</v>
      </c>
      <c r="S9" s="142" cm="1">
        <f t="array" ref="S9">IFERROR(_xlfn.LET(_xlpm.a,SUMPRODUCT((INPUT!$H$3:$H$5000&gt;=S5)*(INPUT!$H$3:$H$5000&lt;=S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S5,INPUT!$A$3:$A$5000,"&lt;="&amp;S5+6),_xlpm.c,SUMPRODUCT((INPUT!$H$3:$H$5000&gt;=S5)*(INPUT!$H$3:$H$5000&lt;=S5+6)*ISNUMBER(INPUT!$K$3:$K$5000)*(INPUT!$J$3:$J$5000&lt;&gt;"HERRERO")*(INPUT!$J$3:$J$5000&lt;&gt;"GARCIA")*(INPUT!$J$3:$J$5000&lt;&gt;"OSCAR")),IF(OR(_xlpm.c=0,_xlpm.b=0),NA(),_xlpm.a*_xlpm.b/_xlpm.c)),NA())</f>
        <v>2313.0625</v>
      </c>
      <c r="T9" s="142" cm="1">
        <f t="array" ref="T9">IFERROR(_xlfn.LET(_xlpm.a,SUMPRODUCT((INPUT!$H$3:$H$5000&gt;=T5)*(INPUT!$H$3:$H$5000&lt;=T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T5,INPUT!$A$3:$A$5000,"&lt;="&amp;T5+6),_xlpm.c,SUMPRODUCT((INPUT!$H$3:$H$5000&gt;=T5)*(INPUT!$H$3:$H$5000&lt;=T5+6)*ISNUMBER(INPUT!$K$3:$K$5000)*(INPUT!$J$3:$J$5000&lt;&gt;"HERRERO")*(INPUT!$J$3:$J$5000&lt;&gt;"GARCIA")*(INPUT!$J$3:$J$5000&lt;&gt;"OSCAR")),IF(OR(_xlpm.c=0,_xlpm.b=0),NA(),_xlpm.a*_xlpm.b/_xlpm.c)),NA())</f>
        <v>4575</v>
      </c>
      <c r="U9" s="142" cm="1">
        <f t="array" ref="U9">IFERROR(_xlfn.LET(_xlpm.a,SUMPRODUCT((INPUT!$H$3:$H$5000&gt;=U5)*(INPUT!$H$3:$H$5000&lt;=U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U5,INPUT!$A$3:$A$5000,"&lt;="&amp;U5+6),_xlpm.c,SUMPRODUCT((INPUT!$H$3:$H$5000&gt;=U5)*(INPUT!$H$3:$H$5000&lt;=U5+6)*ISNUMBER(INPUT!$K$3:$K$5000)*(INPUT!$J$3:$J$5000&lt;&gt;"HERRERO")*(INPUT!$J$3:$J$5000&lt;&gt;"GARCIA")*(INPUT!$J$3:$J$5000&lt;&gt;"OSCAR")),IF(OR(_xlpm.c=0,_xlpm.b=0),NA(),_xlpm.a*_xlpm.b/_xlpm.c)),NA())</f>
        <v>2734.8125</v>
      </c>
      <c r="V9" s="142" cm="1">
        <f t="array" ref="V9">IFERROR(_xlfn.LET(_xlpm.a,SUMPRODUCT((INPUT!$H$3:$H$5000&gt;=V5)*(INPUT!$H$3:$H$5000&lt;=V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V5,INPUT!$A$3:$A$5000,"&lt;="&amp;V5+6),_xlpm.c,SUMPRODUCT((INPUT!$H$3:$H$5000&gt;=V5)*(INPUT!$H$3:$H$5000&lt;=V5+6)*ISNUMBER(INPUT!$K$3:$K$5000)*(INPUT!$J$3:$J$5000&lt;&gt;"HERRERO")*(INPUT!$J$3:$J$5000&lt;&gt;"GARCIA")*(INPUT!$J$3:$J$5000&lt;&gt;"OSCAR")),IF(OR(_xlpm.c=0,_xlpm.b=0),NA(),_xlpm.a*_xlpm.b/_xlpm.c)),NA())</f>
        <v>3195</v>
      </c>
      <c r="W9" s="142" cm="1">
        <f t="array" ref="W9">IFERROR(_xlfn.LET(_xlpm.a,SUMPRODUCT((INPUT!$H$3:$H$5000&gt;=W5)*(INPUT!$H$3:$H$5000&lt;=W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W5,INPUT!$A$3:$A$5000,"&lt;="&amp;W5+6),_xlpm.c,SUMPRODUCT((INPUT!$H$3:$H$5000&gt;=W5)*(INPUT!$H$3:$H$5000&lt;=W5+6)*ISNUMBER(INPUT!$K$3:$K$5000)*(INPUT!$J$3:$J$5000&lt;&gt;"HERRERO")*(INPUT!$J$3:$J$5000&lt;&gt;"GARCIA")*(INPUT!$J$3:$J$5000&lt;&gt;"OSCAR")),IF(OR(_xlpm.c=0,_xlpm.b=0),NA(),_xlpm.a*_xlpm.b/_xlpm.c)),NA())</f>
        <v>3170.7692307692309</v>
      </c>
      <c r="X9" s="142" cm="1">
        <f t="array" ref="X9">IFERROR(_xlfn.LET(_xlpm.a,SUMPRODUCT((INPUT!$H$3:$H$5000&gt;=X5)*(INPUT!$H$3:$H$5000&lt;=X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X5,INPUT!$A$3:$A$5000,"&lt;="&amp;X5+6),_xlpm.c,SUMPRODUCT((INPUT!$H$3:$H$5000&gt;=X5)*(INPUT!$H$3:$H$5000&lt;=X5+6)*ISNUMBER(INPUT!$K$3:$K$5000)*(INPUT!$J$3:$J$5000&lt;&gt;"HERRERO")*(INPUT!$J$3:$J$5000&lt;&gt;"GARCIA")*(INPUT!$J$3:$J$5000&lt;&gt;"OSCAR")),IF(OR(_xlpm.c=0,_xlpm.b=0),NA(),_xlpm.a*_xlpm.b/_xlpm.c)),NA())</f>
        <v>3137.9032258064517</v>
      </c>
      <c r="Y9" s="142" cm="1">
        <f t="array" ref="Y9">IFERROR(_xlfn.LET(_xlpm.a,SUMPRODUCT((INPUT!$H$3:$H$5000&gt;=Y5)*(INPUT!$H$3:$H$5000&lt;=Y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Y5,INPUT!$A$3:$A$5000,"&lt;="&amp;Y5+6),_xlpm.c,SUMPRODUCT((INPUT!$H$3:$H$5000&gt;=Y5)*(INPUT!$H$3:$H$5000&lt;=Y5+6)*ISNUMBER(INPUT!$K$3:$K$5000)*(INPUT!$J$3:$J$5000&lt;&gt;"HERRERO")*(INPUT!$J$3:$J$5000&lt;&gt;"GARCIA")*(INPUT!$J$3:$J$5000&lt;&gt;"OSCAR")),IF(OR(_xlpm.c=0,_xlpm.b=0),NA(),_xlpm.a*_xlpm.b/_xlpm.c)),NA())</f>
        <v>3088.2608695652175</v>
      </c>
      <c r="Z9" s="142" t="e" cm="1">
        <f t="array" ref="Z9">IFERROR(_xlfn.LET(_xlpm.a,SUMPRODUCT((INPUT!$H$3:$H$5000&gt;=Z5)*(INPUT!$H$3:$H$5000&lt;=Z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Z5,INPUT!$A$3:$A$5000,"&lt;="&amp;Z5+6),_xlpm.c,SUMPRODUCT((INPUT!$H$3:$H$5000&gt;=Z5)*(INPUT!$H$3:$H$5000&lt;=Z5+6)*ISNUMBER(INPUT!$K$3:$K$5000)*(INPUT!$J$3:$J$5000&lt;&gt;"HERRERO")*(INPUT!$J$3:$J$5000&lt;&gt;"GARCIA")*(INPUT!$J$3:$J$5000&lt;&gt;"OSCAR")),IF(OR(_xlpm.c=0,_xlpm.b=0),NA(),_xlpm.a*_xlpm.b/_xlpm.c)),NA())</f>
        <v>#N/A</v>
      </c>
      <c r="AA9" s="142" cm="1">
        <f t="array" ref="AA9">IFERROR(_xlfn.LET(_xlpm.a,SUMPRODUCT((INPUT!$H$3:$H$5000&gt;=AA5)*(INPUT!$H$3:$H$5000&lt;=AA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A5,INPUT!$A$3:$A$5000,"&lt;="&amp;AA5+6),_xlpm.c,SUMPRODUCT((INPUT!$H$3:$H$5000&gt;=AA5)*(INPUT!$H$3:$H$5000&lt;=AA5+6)*ISNUMBER(INPUT!$K$3:$K$5000)*(INPUT!$J$3:$J$5000&lt;&gt;"HERRERO")*(INPUT!$J$3:$J$5000&lt;&gt;"GARCIA")*(INPUT!$J$3:$J$5000&lt;&gt;"OSCAR")),IF(OR(_xlpm.c=0,_xlpm.b=0),NA(),_xlpm.a*_xlpm.b/_xlpm.c)),NA())</f>
        <v>6359.493670886076</v>
      </c>
      <c r="AB9" s="142" cm="1">
        <f t="array" ref="AB9">IFERROR(_xlfn.LET(_xlpm.a,SUMPRODUCT((INPUT!$H$3:$H$5000&gt;=AB5)*(INPUT!$H$3:$H$5000&lt;=AB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B5,INPUT!$A$3:$A$5000,"&lt;="&amp;AB5+6),_xlpm.c,SUMPRODUCT((INPUT!$H$3:$H$5000&gt;=AB5)*(INPUT!$H$3:$H$5000&lt;=AB5+6)*ISNUMBER(INPUT!$K$3:$K$5000)*(INPUT!$J$3:$J$5000&lt;&gt;"HERRERO")*(INPUT!$J$3:$J$5000&lt;&gt;"GARCIA")*(INPUT!$J$3:$J$5000&lt;&gt;"OSCAR")),IF(OR(_xlpm.c=0,_xlpm.b=0),NA(),_xlpm.a*_xlpm.b/_xlpm.c)),NA())</f>
        <v>4245.5172413793107</v>
      </c>
      <c r="AC9" s="142" cm="1">
        <f t="array" ref="AC9">IFERROR(_xlfn.LET(_xlpm.a,SUMPRODUCT((INPUT!$H$3:$H$5000&gt;=AC5)*(INPUT!$H$3:$H$5000&lt;=AC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C5,INPUT!$A$3:$A$5000,"&lt;="&amp;AC5+6),_xlpm.c,SUMPRODUCT((INPUT!$H$3:$H$5000&gt;=AC5)*(INPUT!$H$3:$H$5000&lt;=AC5+6)*ISNUMBER(INPUT!$K$3:$K$5000)*(INPUT!$J$3:$J$5000&lt;&gt;"HERRERO")*(INPUT!$J$3:$J$5000&lt;&gt;"GARCIA")*(INPUT!$J$3:$J$5000&lt;&gt;"OSCAR")),IF(OR(_xlpm.c=0,_xlpm.b=0),NA(),_xlpm.a*_xlpm.b/_xlpm.c)),NA())</f>
        <v>5489.3243243243242</v>
      </c>
      <c r="AD9" s="142" cm="1">
        <f t="array" ref="AD9">IFERROR(_xlfn.LET(_xlpm.a,SUMPRODUCT((INPUT!$H$3:$H$5000&gt;=AD5)*(INPUT!$H$3:$H$5000&lt;=AD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D5,INPUT!$A$3:$A$5000,"&lt;="&amp;AD5+6),_xlpm.c,SUMPRODUCT((INPUT!$H$3:$H$5000&gt;=AD5)*(INPUT!$H$3:$H$5000&lt;=AD5+6)*ISNUMBER(INPUT!$K$3:$K$5000)*(INPUT!$J$3:$J$5000&lt;&gt;"HERRERO")*(INPUT!$J$3:$J$5000&lt;&gt;"GARCIA")*(INPUT!$J$3:$J$5000&lt;&gt;"OSCAR")),IF(OR(_xlpm.c=0,_xlpm.b=0),NA(),_xlpm.a*_xlpm.b/_xlpm.c)),NA())</f>
        <v>3149.5679012345681</v>
      </c>
      <c r="AE9" s="142" cm="1">
        <f t="array" ref="AE9">IFERROR(_xlfn.LET(_xlpm.a,SUMPRODUCT((INPUT!$H$3:$H$5000&gt;=AE5)*(INPUT!$H$3:$H$5000&lt;=AE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E5,INPUT!$A$3:$A$5000,"&lt;="&amp;AE5+6),_xlpm.c,SUMPRODUCT((INPUT!$H$3:$H$5000&gt;=AE5)*(INPUT!$H$3:$H$5000&lt;=AE5+6)*ISNUMBER(INPUT!$K$3:$K$5000)*(INPUT!$J$3:$J$5000&lt;&gt;"HERRERO")*(INPUT!$J$3:$J$5000&lt;&gt;"GARCIA")*(INPUT!$J$3:$J$5000&lt;&gt;"OSCAR")),IF(OR(_xlpm.c=0,_xlpm.b=0),NA(),_xlpm.a*_xlpm.b/_xlpm.c)),NA())</f>
        <v>2975.8208955223881</v>
      </c>
      <c r="AF9" s="142" cm="1">
        <f t="array" ref="AF9">IFERROR(_xlfn.LET(_xlpm.a,SUMPRODUCT((INPUT!$H$3:$H$5000&gt;=AF5)*(INPUT!$H$3:$H$5000&lt;=AF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F5,INPUT!$A$3:$A$5000,"&lt;="&amp;AF5+6),_xlpm.c,SUMPRODUCT((INPUT!$H$3:$H$5000&gt;=AF5)*(INPUT!$H$3:$H$5000&lt;=AF5+6)*ISNUMBER(INPUT!$K$3:$K$5000)*(INPUT!$J$3:$J$5000&lt;&gt;"HERRERO")*(INPUT!$J$3:$J$5000&lt;&gt;"GARCIA")*(INPUT!$J$3:$J$5000&lt;&gt;"OSCAR")),IF(OR(_xlpm.c=0,_xlpm.b=0),NA(),_xlpm.a*_xlpm.b/_xlpm.c)),NA())</f>
        <v>5171.868131868132</v>
      </c>
      <c r="AG9" s="142" cm="1">
        <f t="array" ref="AG9">IFERROR(_xlfn.LET(_xlpm.a,SUMPRODUCT((INPUT!$H$3:$H$5000&gt;=AG5)*(INPUT!$H$3:$H$5000&lt;=AG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G5,INPUT!$A$3:$A$5000,"&lt;="&amp;AG5+6),_xlpm.c,SUMPRODUCT((INPUT!$H$3:$H$5000&gt;=AG5)*(INPUT!$H$3:$H$5000&lt;=AG5+6)*ISNUMBER(INPUT!$K$3:$K$5000)*(INPUT!$J$3:$J$5000&lt;&gt;"HERRERO")*(INPUT!$J$3:$J$5000&lt;&gt;"GARCIA")*(INPUT!$J$3:$J$5000&lt;&gt;"OSCAR")),IF(OR(_xlpm.c=0,_xlpm.b=0),NA(),_xlpm.a*_xlpm.b/_xlpm.c)),NA())</f>
        <v>2912.2448979591836</v>
      </c>
      <c r="AH9" s="142" cm="1">
        <f t="array" ref="AH9">IFERROR(_xlfn.LET(_xlpm.a,SUMPRODUCT((INPUT!$H$3:$H$5000&gt;=AH5)*(INPUT!$H$3:$H$5000&lt;=AH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H5,INPUT!$A$3:$A$5000,"&lt;="&amp;AH5+6),_xlpm.c,SUMPRODUCT((INPUT!$H$3:$H$5000&gt;=AH5)*(INPUT!$H$3:$H$5000&lt;=AH5+6)*ISNUMBER(INPUT!$K$3:$K$5000)*(INPUT!$J$3:$J$5000&lt;&gt;"HERRERO")*(INPUT!$J$3:$J$5000&lt;&gt;"GARCIA")*(INPUT!$J$3:$J$5000&lt;&gt;"OSCAR")),IF(OR(_xlpm.c=0,_xlpm.b=0),NA(),_xlpm.a*_xlpm.b/_xlpm.c)),NA())</f>
        <v>4038.9041095890411</v>
      </c>
      <c r="AI9" s="142" cm="1">
        <f t="array" ref="AI9">IFERROR(_xlfn.LET(_xlpm.a,SUMPRODUCT((INPUT!$H$3:$H$5000&gt;=AI5)*(INPUT!$H$3:$H$5000&lt;=AI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I5,INPUT!$A$3:$A$5000,"&lt;="&amp;AI5+6),_xlpm.c,SUMPRODUCT((INPUT!$H$3:$H$5000&gt;=AI5)*(INPUT!$H$3:$H$5000&lt;=AI5+6)*ISNUMBER(INPUT!$K$3:$K$5000)*(INPUT!$J$3:$J$5000&lt;&gt;"HERRERO")*(INPUT!$J$3:$J$5000&lt;&gt;"GARCIA")*(INPUT!$J$3:$J$5000&lt;&gt;"OSCAR")),IF(OR(_xlpm.c=0,_xlpm.b=0),NA(),_xlpm.a*_xlpm.b/_xlpm.c)),NA())</f>
        <v>2764.1666666666665</v>
      </c>
      <c r="AJ9" s="142" cm="1">
        <f t="array" ref="AJ9">IFERROR(_xlfn.LET(_xlpm.a,SUMPRODUCT((INPUT!$H$3:$H$5000&gt;=AJ5)*(INPUT!$H$3:$H$5000&lt;=AJ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J5,INPUT!$A$3:$A$5000,"&lt;="&amp;AJ5+6),_xlpm.c,SUMPRODUCT((INPUT!$H$3:$H$5000&gt;=AJ5)*(INPUT!$H$3:$H$5000&lt;=AJ5+6)*ISNUMBER(INPUT!$K$3:$K$5000)*(INPUT!$J$3:$J$5000&lt;&gt;"HERRERO")*(INPUT!$J$3:$J$5000&lt;&gt;"GARCIA")*(INPUT!$J$3:$J$5000&lt;&gt;"OSCAR")),IF(OR(_xlpm.c=0,_xlpm.b=0),NA(),_xlpm.a*_xlpm.b/_xlpm.c)),NA())</f>
        <v>3531.25</v>
      </c>
      <c r="AK9" s="142" cm="1">
        <f t="array" ref="AK9">IFERROR(_xlfn.LET(_xlpm.a,SUMPRODUCT((INPUT!$H$3:$H$5000&gt;=AK5)*(INPUT!$H$3:$H$5000&lt;=AK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K5,INPUT!$A$3:$A$5000,"&lt;="&amp;AK5+6),_xlpm.c,SUMPRODUCT((INPUT!$H$3:$H$5000&gt;=AK5)*(INPUT!$H$3:$H$5000&lt;=AK5+6)*ISNUMBER(INPUT!$K$3:$K$5000)*(INPUT!$J$3:$J$5000&lt;&gt;"HERRERO")*(INPUT!$J$3:$J$5000&lt;&gt;"GARCIA")*(INPUT!$J$3:$J$5000&lt;&gt;"OSCAR")),IF(OR(_xlpm.c=0,_xlpm.b=0),NA(),_xlpm.a*_xlpm.b/_xlpm.c)),NA())</f>
        <v>4999.3125</v>
      </c>
      <c r="AL9" s="142" cm="1">
        <f t="array" ref="AL9">IFERROR(_xlfn.LET(_xlpm.a,SUMPRODUCT((INPUT!$H$3:$H$5000&gt;=AL5)*(INPUT!$H$3:$H$5000&lt;=AL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L5,INPUT!$A$3:$A$5000,"&lt;="&amp;AL5+6),_xlpm.c,SUMPRODUCT((INPUT!$H$3:$H$5000&gt;=AL5)*(INPUT!$H$3:$H$5000&lt;=AL5+6)*ISNUMBER(INPUT!$K$3:$K$5000)*(INPUT!$J$3:$J$5000&lt;&gt;"HERRERO")*(INPUT!$J$3:$J$5000&lt;&gt;"GARCIA")*(INPUT!$J$3:$J$5000&lt;&gt;"OSCAR")),IF(OR(_xlpm.c=0,_xlpm.b=0),NA(),_xlpm.a*_xlpm.b/_xlpm.c)),NA())</f>
        <v>4445.2830188679245</v>
      </c>
      <c r="AM9" s="142" cm="1">
        <f t="array" ref="AM9">IFERROR(_xlfn.LET(_xlpm.a,SUMPRODUCT((INPUT!$H$3:$H$5000&gt;=AM5)*(INPUT!$H$3:$H$5000&lt;=AM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M5,INPUT!$A$3:$A$5000,"&lt;="&amp;AM5+6),_xlpm.c,SUMPRODUCT((INPUT!$H$3:$H$5000&gt;=AM5)*(INPUT!$H$3:$H$5000&lt;=AM5+6)*ISNUMBER(INPUT!$K$3:$K$5000)*(INPUT!$J$3:$J$5000&lt;&gt;"HERRERO")*(INPUT!$J$3:$J$5000&lt;&gt;"GARCIA")*(INPUT!$J$3:$J$5000&lt;&gt;"OSCAR")),IF(OR(_xlpm.c=0,_xlpm.b=0),NA(),_xlpm.a*_xlpm.b/_xlpm.c)),NA())</f>
        <v>4499.8765432098762</v>
      </c>
      <c r="AN9" s="142" cm="1">
        <f t="array" ref="AN9">IFERROR(_xlfn.LET(_xlpm.a,SUMPRODUCT((INPUT!$H$3:$H$5000&gt;=AN5)*(INPUT!$H$3:$H$5000&lt;=AN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N5,INPUT!$A$3:$A$5000,"&lt;="&amp;AN5+6),_xlpm.c,SUMPRODUCT((INPUT!$H$3:$H$5000&gt;=AN5)*(INPUT!$H$3:$H$5000&lt;=AN5+6)*ISNUMBER(INPUT!$K$3:$K$5000)*(INPUT!$J$3:$J$5000&lt;&gt;"HERRERO")*(INPUT!$J$3:$J$5000&lt;&gt;"GARCIA")*(INPUT!$J$3:$J$5000&lt;&gt;"OSCAR")),IF(OR(_xlpm.c=0,_xlpm.b=0),NA(),_xlpm.a*_xlpm.b/_xlpm.c)),NA())</f>
        <v>0</v>
      </c>
      <c r="AO9" s="142" t="e" cm="1">
        <f t="array" ref="AO9">IFERROR(_xlfn.LET(_xlpm.a,SUMPRODUCT((INPUT!$H$3:$H$5000&gt;=AO5)*(INPUT!$H$3:$H$5000&lt;=AO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O5,INPUT!$A$3:$A$5000,"&lt;="&amp;AO5+6),_xlpm.c,SUMPRODUCT((INPUT!$H$3:$H$5000&gt;=AO5)*(INPUT!$H$3:$H$5000&lt;=AO5+6)*ISNUMBER(INPUT!$K$3:$K$5000)*(INPUT!$J$3:$J$5000&lt;&gt;"HERRERO")*(INPUT!$J$3:$J$5000&lt;&gt;"GARCIA")*(INPUT!$J$3:$J$5000&lt;&gt;"OSCAR")),IF(OR(_xlpm.c=0,_xlpm.b=0),NA(),_xlpm.a*_xlpm.b/_xlpm.c)),NA())</f>
        <v>#N/A</v>
      </c>
      <c r="AP9" s="142" t="e" cm="1">
        <f t="array" ref="AP9">IFERROR(_xlfn.LET(_xlpm.a,SUMPRODUCT((INPUT!$H$3:$H$5000&gt;=AP5)*(INPUT!$H$3:$H$5000&lt;=AP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P5,INPUT!$A$3:$A$5000,"&lt;="&amp;AP5+6),_xlpm.c,SUMPRODUCT((INPUT!$H$3:$H$5000&gt;=AP5)*(INPUT!$H$3:$H$5000&lt;=AP5+6)*ISNUMBER(INPUT!$K$3:$K$5000)*(INPUT!$J$3:$J$5000&lt;&gt;"HERRERO")*(INPUT!$J$3:$J$5000&lt;&gt;"GARCIA")*(INPUT!$J$3:$J$5000&lt;&gt;"OSCAR")),IF(OR(_xlpm.c=0,_xlpm.b=0),NA(),_xlpm.a*_xlpm.b/_xlpm.c)),NA())</f>
        <v>#N/A</v>
      </c>
      <c r="AQ9" s="142" t="e" cm="1">
        <f t="array" ref="AQ9">IFERROR(_xlfn.LET(_xlpm.a,SUMPRODUCT((INPUT!$H$3:$H$5000&gt;=AQ5)*(INPUT!$H$3:$H$5000&lt;=AQ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Q5,INPUT!$A$3:$A$5000,"&lt;="&amp;AQ5+6),_xlpm.c,SUMPRODUCT((INPUT!$H$3:$H$5000&gt;=AQ5)*(INPUT!$H$3:$H$5000&lt;=AQ5+6)*ISNUMBER(INPUT!$K$3:$K$5000)*(INPUT!$J$3:$J$5000&lt;&gt;"HERRERO")*(INPUT!$J$3:$J$5000&lt;&gt;"GARCIA")*(INPUT!$J$3:$J$5000&lt;&gt;"OSCAR")),IF(OR(_xlpm.c=0,_xlpm.b=0),NA(),_xlpm.a*_xlpm.b/_xlpm.c)),NA())</f>
        <v>#N/A</v>
      </c>
      <c r="AR9" s="142" t="e" cm="1">
        <f t="array" ref="AR9">IFERROR(_xlfn.LET(_xlpm.a,SUMPRODUCT((INPUT!$H$3:$H$5000&gt;=AR5)*(INPUT!$H$3:$H$5000&lt;=AR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R5,INPUT!$A$3:$A$5000,"&lt;="&amp;AR5+6),_xlpm.c,SUMPRODUCT((INPUT!$H$3:$H$5000&gt;=AR5)*(INPUT!$H$3:$H$5000&lt;=AR5+6)*ISNUMBER(INPUT!$K$3:$K$5000)*(INPUT!$J$3:$J$5000&lt;&gt;"HERRERO")*(INPUT!$J$3:$J$5000&lt;&gt;"GARCIA")*(INPUT!$J$3:$J$5000&lt;&gt;"OSCAR")),IF(OR(_xlpm.c=0,_xlpm.b=0),NA(),_xlpm.a*_xlpm.b/_xlpm.c)),NA())</f>
        <v>#N/A</v>
      </c>
      <c r="AS9" s="142" t="e" cm="1">
        <f t="array" ref="AS9">IFERROR(_xlfn.LET(_xlpm.a,SUMPRODUCT((INPUT!$H$3:$H$5000&gt;=AS5)*(INPUT!$H$3:$H$5000&lt;=AS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S5,INPUT!$A$3:$A$5000,"&lt;="&amp;AS5+6),_xlpm.c,SUMPRODUCT((INPUT!$H$3:$H$5000&gt;=AS5)*(INPUT!$H$3:$H$5000&lt;=AS5+6)*ISNUMBER(INPUT!$K$3:$K$5000)*(INPUT!$J$3:$J$5000&lt;&gt;"HERRERO")*(INPUT!$J$3:$J$5000&lt;&gt;"GARCIA")*(INPUT!$J$3:$J$5000&lt;&gt;"OSCAR")),IF(OR(_xlpm.c=0,_xlpm.b=0),NA(),_xlpm.a*_xlpm.b/_xlpm.c)),NA())</f>
        <v>#N/A</v>
      </c>
      <c r="AT9" s="142" t="e" cm="1">
        <f t="array" ref="AT9">IFERROR(_xlfn.LET(_xlpm.a,SUMPRODUCT((INPUT!$H$3:$H$5000&gt;=AT5)*(INPUT!$H$3:$H$5000&lt;=AT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T5,INPUT!$A$3:$A$5000,"&lt;="&amp;AT5+6),_xlpm.c,SUMPRODUCT((INPUT!$H$3:$H$5000&gt;=AT5)*(INPUT!$H$3:$H$5000&lt;=AT5+6)*ISNUMBER(INPUT!$K$3:$K$5000)*(INPUT!$J$3:$J$5000&lt;&gt;"HERRERO")*(INPUT!$J$3:$J$5000&lt;&gt;"GARCIA")*(INPUT!$J$3:$J$5000&lt;&gt;"OSCAR")),IF(OR(_xlpm.c=0,_xlpm.b=0),NA(),_xlpm.a*_xlpm.b/_xlpm.c)),NA())</f>
        <v>#N/A</v>
      </c>
      <c r="AU9" s="142" t="e" cm="1">
        <f t="array" ref="AU9">IFERROR(_xlfn.LET(_xlpm.a,SUMPRODUCT((INPUT!$H$3:$H$5000&gt;=AU5)*(INPUT!$H$3:$H$5000&lt;=AU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U5,INPUT!$A$3:$A$5000,"&lt;="&amp;AU5+6),_xlpm.c,SUMPRODUCT((INPUT!$H$3:$H$5000&gt;=AU5)*(INPUT!$H$3:$H$5000&lt;=AU5+6)*ISNUMBER(INPUT!$K$3:$K$5000)*(INPUT!$J$3:$J$5000&lt;&gt;"HERRERO")*(INPUT!$J$3:$J$5000&lt;&gt;"GARCIA")*(INPUT!$J$3:$J$5000&lt;&gt;"OSCAR")),IF(OR(_xlpm.c=0,_xlpm.b=0),NA(),_xlpm.a*_xlpm.b/_xlpm.c)),NA())</f>
        <v>#N/A</v>
      </c>
      <c r="AV9" s="142" t="e" cm="1">
        <f t="array" ref="AV9">IFERROR(_xlfn.LET(_xlpm.a,SUMPRODUCT((INPUT!$H$3:$H$5000&gt;=AV5)*(INPUT!$H$3:$H$5000&lt;=AV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V5,INPUT!$A$3:$A$5000,"&lt;="&amp;AV5+6),_xlpm.c,SUMPRODUCT((INPUT!$H$3:$H$5000&gt;=AV5)*(INPUT!$H$3:$H$5000&lt;=AV5+6)*ISNUMBER(INPUT!$K$3:$K$5000)*(INPUT!$J$3:$J$5000&lt;&gt;"HERRERO")*(INPUT!$J$3:$J$5000&lt;&gt;"GARCIA")*(INPUT!$J$3:$J$5000&lt;&gt;"OSCAR")),IF(OR(_xlpm.c=0,_xlpm.b=0),NA(),_xlpm.a*_xlpm.b/_xlpm.c)),NA())</f>
        <v>#N/A</v>
      </c>
      <c r="AW9" s="143" t="e" cm="1">
        <f t="array" ref="AW9">IFERROR(_xlfn.LET(_xlpm.a,SUMPRODUCT((INPUT!$H$3:$H$5000&gt;=AW5)*(INPUT!$H$3:$H$5000&lt;=AW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,_xlpm.b,COUNTIFS(INPUT!$A$3:$A$5000,"&gt;="&amp;AW5,INPUT!$A$3:$A$5000,"&lt;="&amp;AW5+6),_xlpm.c,SUMPRODUCT((INPUT!$H$3:$H$5000&gt;=AW5)*(INPUT!$H$3:$H$5000&lt;=AW5+6)*ISNUMBER(INPUT!$K$3:$K$5000)*(INPUT!$J$3:$J$5000&lt;&gt;"HERRERO")*(INPUT!$J$3:$J$5000&lt;&gt;"GARCIA")*(INPUT!$J$3:$J$5000&lt;&gt;"OSCAR")),IF(OR(_xlpm.c=0,_xlpm.b=0),NA(),_xlpm.a*_xlpm.b/_xlpm.c)),NA())</f>
        <v>#N/A</v>
      </c>
    </row>
    <row r="10" spans="1:49" x14ac:dyDescent="0.2">
      <c r="A10" s="134" t="s">
        <v>74</v>
      </c>
      <c r="B10" s="131">
        <f>IFERROR(_xlfn.LET(_xlpm.x,SUMIFS(INPUT!$E$3:$E$5000,INPUT!$A$3:$A$5000,"&gt;="&amp;B5,INPUT!$A$3:$A$5000,"&lt;="&amp;B5+6),IF(_xlpm.x=0,NA(),_xlpm.x)),NA())</f>
        <v>510</v>
      </c>
      <c r="C10" s="131">
        <f>IFERROR(_xlfn.LET(_xlpm.x,SUMIFS(INPUT!$E$3:$E$5000,INPUT!$A$3:$A$5000,"&gt;="&amp;C5,INPUT!$A$3:$A$5000,"&lt;="&amp;C5+6),IF(_xlpm.x=0,NA(),_xlpm.x)),NA())</f>
        <v>1000</v>
      </c>
      <c r="D10" s="131">
        <f>IFERROR(_xlfn.LET(_xlpm.x,SUMIFS(INPUT!$E$3:$E$5000,INPUT!$A$3:$A$5000,"&gt;="&amp;D5,INPUT!$A$3:$A$5000,"&lt;="&amp;D5+6),IF(_xlpm.x=0,NA(),_xlpm.x)),NA())</f>
        <v>960</v>
      </c>
      <c r="E10" s="131">
        <f>IFERROR(_xlfn.LET(_xlpm.x,SUMIFS(INPUT!$E$3:$E$5000,INPUT!$A$3:$A$5000,"&gt;="&amp;E5,INPUT!$A$3:$A$5000,"&lt;="&amp;E5+6),IF(_xlpm.x=0,NA(),_xlpm.x)),NA())</f>
        <v>985</v>
      </c>
      <c r="F10" s="131">
        <f>IFERROR(_xlfn.LET(_xlpm.x,SUMIFS(INPUT!$E$3:$E$5000,INPUT!$A$3:$A$5000,"&gt;="&amp;F5,INPUT!$A$3:$A$5000,"&lt;="&amp;F5+6),IF(_xlpm.x=0,NA(),_xlpm.x)),NA())</f>
        <v>705</v>
      </c>
      <c r="G10" s="131">
        <f>IFERROR(_xlfn.LET(_xlpm.x,SUMIFS(INPUT!$E$3:$E$5000,INPUT!$A$3:$A$5000,"&gt;="&amp;G5,INPUT!$A$3:$A$5000,"&lt;="&amp;G5+6),IF(_xlpm.x=0,NA(),_xlpm.x)),NA())</f>
        <v>580</v>
      </c>
      <c r="H10" s="131">
        <f>IFERROR(_xlfn.LET(_xlpm.x,SUMIFS(INPUT!$E$3:$E$5000,INPUT!$A$3:$A$5000,"&gt;="&amp;H5,INPUT!$A$3:$A$5000,"&lt;="&amp;H5+6),IF(_xlpm.x=0,NA(),_xlpm.x)),NA())</f>
        <v>505</v>
      </c>
      <c r="I10" s="131">
        <f>IFERROR(_xlfn.LET(_xlpm.x,SUMIFS(INPUT!$E$3:$E$5000,INPUT!$A$3:$A$5000,"&gt;="&amp;I5,INPUT!$A$3:$A$5000,"&lt;="&amp;I5+6),IF(_xlpm.x=0,NA(),_xlpm.x)),NA())</f>
        <v>590</v>
      </c>
      <c r="J10" s="131">
        <f>IFERROR(_xlfn.LET(_xlpm.x,SUMIFS(INPUT!$E$3:$E$5000,INPUT!$A$3:$A$5000,"&gt;="&amp;J5,INPUT!$A$3:$A$5000,"&lt;="&amp;J5+6),IF(_xlpm.x=0,NA(),_xlpm.x)),NA())</f>
        <v>740</v>
      </c>
      <c r="K10" s="131">
        <f>IFERROR(_xlfn.LET(_xlpm.x,SUMIFS(INPUT!$E$3:$E$5000,INPUT!$A$3:$A$5000,"&gt;="&amp;K5,INPUT!$A$3:$A$5000,"&lt;="&amp;K5+6),IF(_xlpm.x=0,NA(),_xlpm.x)),NA())</f>
        <v>695</v>
      </c>
      <c r="L10" s="131">
        <f>IFERROR(_xlfn.LET(_xlpm.x,SUMIFS(INPUT!$E$3:$E$5000,INPUT!$A$3:$A$5000,"&gt;="&amp;L5,INPUT!$A$3:$A$5000,"&lt;="&amp;L5+6),IF(_xlpm.x=0,NA(),_xlpm.x)),NA())</f>
        <v>615</v>
      </c>
      <c r="M10" s="131">
        <f>IFERROR(_xlfn.LET(_xlpm.x,SUMIFS(INPUT!$E$3:$E$5000,INPUT!$A$3:$A$5000,"&gt;="&amp;M5,INPUT!$A$3:$A$5000,"&lt;="&amp;M5+6),IF(_xlpm.x=0,NA(),_xlpm.x)),NA())</f>
        <v>490</v>
      </c>
      <c r="N10" s="131">
        <f>IFERROR(_xlfn.LET(_xlpm.x,SUMIFS(INPUT!$E$3:$E$5000,INPUT!$A$3:$A$5000,"&gt;="&amp;N5,INPUT!$A$3:$A$5000,"&lt;="&amp;N5+6),IF(_xlpm.x=0,NA(),_xlpm.x)),NA())</f>
        <v>780</v>
      </c>
      <c r="O10" s="131">
        <f>IFERROR(_xlfn.LET(_xlpm.x,SUMIFS(INPUT!$E$3:$E$5000,INPUT!$A$3:$A$5000,"&gt;="&amp;O5,INPUT!$A$3:$A$5000,"&lt;="&amp;O5+6),IF(_xlpm.x=0,NA(),_xlpm.x)),NA())</f>
        <v>495</v>
      </c>
      <c r="P10" s="131">
        <f>IFERROR(_xlfn.LET(_xlpm.x,SUMIFS(INPUT!$E$3:$E$5000,INPUT!$A$3:$A$5000,"&gt;="&amp;P5,INPUT!$A$3:$A$5000,"&lt;="&amp;P5+6),IF(_xlpm.x=0,NA(),_xlpm.x)),NA())</f>
        <v>520</v>
      </c>
      <c r="Q10" s="131">
        <f>IFERROR(_xlfn.LET(_xlpm.x,SUMIFS(INPUT!$E$3:$E$5000,INPUT!$A$3:$A$5000,"&gt;="&amp;Q5,INPUT!$A$3:$A$5000,"&lt;="&amp;Q5+6),IF(_xlpm.x=0,NA(),_xlpm.x)),NA())</f>
        <v>750</v>
      </c>
      <c r="R10" s="131">
        <f>IFERROR(_xlfn.LET(_xlpm.x,SUMIFS(INPUT!$E$3:$E$5000,INPUT!$A$3:$A$5000,"&gt;="&amp;R5,INPUT!$A$3:$A$5000,"&lt;="&amp;R5+6),IF(_xlpm.x=0,NA(),_xlpm.x)),NA())</f>
        <v>575</v>
      </c>
      <c r="S10" s="131">
        <f>IFERROR(_xlfn.LET(_xlpm.x,SUMIFS(INPUT!$E$3:$E$5000,INPUT!$A$3:$A$5000,"&gt;="&amp;S5,INPUT!$A$3:$A$5000,"&lt;="&amp;S5+6),IF(_xlpm.x=0,NA(),_xlpm.x)),NA())</f>
        <v>515</v>
      </c>
      <c r="T10" s="131">
        <f>IFERROR(_xlfn.LET(_xlpm.x,SUMIFS(INPUT!$E$3:$E$5000,INPUT!$A$3:$A$5000,"&gt;="&amp;T5,INPUT!$A$3:$A$5000,"&lt;="&amp;T5+6),IF(_xlpm.x=0,NA(),_xlpm.x)),NA())</f>
        <v>715</v>
      </c>
      <c r="U10" s="131">
        <f>IFERROR(_xlfn.LET(_xlpm.x,SUMIFS(INPUT!$E$3:$E$5000,INPUT!$A$3:$A$5000,"&gt;="&amp;U5,INPUT!$A$3:$A$5000,"&lt;="&amp;U5+6),IF(_xlpm.x=0,NA(),_xlpm.x)),NA())</f>
        <v>535</v>
      </c>
      <c r="V10" s="131">
        <f>IFERROR(_xlfn.LET(_xlpm.x,SUMIFS(INPUT!$E$3:$E$5000,INPUT!$A$3:$A$5000,"&gt;="&amp;V5,INPUT!$A$3:$A$5000,"&lt;="&amp;V5+6),IF(_xlpm.x=0,NA(),_xlpm.x)),NA())</f>
        <v>445</v>
      </c>
      <c r="W10" s="131">
        <f>IFERROR(_xlfn.LET(_xlpm.x,SUMIFS(INPUT!$E$3:$E$5000,INPUT!$A$3:$A$5000,"&gt;="&amp;W5,INPUT!$A$3:$A$5000,"&lt;="&amp;W5+6),IF(_xlpm.x=0,NA(),_xlpm.x)),NA())</f>
        <v>585</v>
      </c>
      <c r="X10" s="131">
        <f>IFERROR(_xlfn.LET(_xlpm.x,SUMIFS(INPUT!$E$3:$E$5000,INPUT!$A$3:$A$5000,"&gt;="&amp;X5,INPUT!$A$3:$A$5000,"&lt;="&amp;X5+6),IF(_xlpm.x=0,NA(),_xlpm.x)),NA())</f>
        <v>500</v>
      </c>
      <c r="Y10" s="131">
        <f>IFERROR(_xlfn.LET(_xlpm.x,SUMIFS(INPUT!$E$3:$E$5000,INPUT!$A$3:$A$5000,"&gt;="&amp;Y5,INPUT!$A$3:$A$5000,"&lt;="&amp;Y5+6),IF(_xlpm.x=0,NA(),_xlpm.x)),NA())</f>
        <v>575</v>
      </c>
      <c r="Z10" s="131" t="e">
        <f>IFERROR(_xlfn.LET(_xlpm.x,SUMIFS(INPUT!$E$3:$E$5000,INPUT!$A$3:$A$5000,"&gt;="&amp;Z5,INPUT!$A$3:$A$5000,"&lt;="&amp;Z5+6),IF(_xlpm.x=0,NA(),_xlpm.x)),NA())</f>
        <v>#N/A</v>
      </c>
      <c r="AA10" s="131">
        <f>IFERROR(_xlfn.LET(_xlpm.x,SUMIFS(INPUT!$E$3:$E$5000,INPUT!$A$3:$A$5000,"&gt;="&amp;AA5,INPUT!$A$3:$A$5000,"&lt;="&amp;AA5+6),IF(_xlpm.x=0,NA(),_xlpm.x)),NA())</f>
        <v>790</v>
      </c>
      <c r="AB10" s="131">
        <f>IFERROR(_xlfn.LET(_xlpm.x,SUMIFS(INPUT!$E$3:$E$5000,INPUT!$A$3:$A$5000,"&gt;="&amp;AB5,INPUT!$A$3:$A$5000,"&lt;="&amp;AB5+6),IF(_xlpm.x=0,NA(),_xlpm.x)),NA())</f>
        <v>630</v>
      </c>
      <c r="AC10" s="131">
        <f>IFERROR(_xlfn.LET(_xlpm.x,SUMIFS(INPUT!$E$3:$E$5000,INPUT!$A$3:$A$5000,"&gt;="&amp;AC5,INPUT!$A$3:$A$5000,"&lt;="&amp;AC5+6),IF(_xlpm.x=0,NA(),_xlpm.x)),NA())</f>
        <v>745</v>
      </c>
      <c r="AD10" s="131">
        <f>IFERROR(_xlfn.LET(_xlpm.x,SUMIFS(INPUT!$E$3:$E$5000,INPUT!$A$3:$A$5000,"&gt;="&amp;AD5,INPUT!$A$3:$A$5000,"&lt;="&amp;AD5+6),IF(_xlpm.x=0,NA(),_xlpm.x)),NA())</f>
        <v>585</v>
      </c>
      <c r="AE10" s="131">
        <f>IFERROR(_xlfn.LET(_xlpm.x,SUMIFS(INPUT!$E$3:$E$5000,INPUT!$A$3:$A$5000,"&gt;="&amp;AE5,INPUT!$A$3:$A$5000,"&lt;="&amp;AE5+6),IF(_xlpm.x=0,NA(),_xlpm.x)),NA())</f>
        <v>535</v>
      </c>
      <c r="AF10" s="131">
        <f>IFERROR(_xlfn.LET(_xlpm.x,SUMIFS(INPUT!$E$3:$E$5000,INPUT!$A$3:$A$5000,"&gt;="&amp;AF5,INPUT!$A$3:$A$5000,"&lt;="&amp;AF5+6),IF(_xlpm.x=0,NA(),_xlpm.x)),NA())</f>
        <v>820</v>
      </c>
      <c r="AG10" s="131">
        <f>IFERROR(_xlfn.LET(_xlpm.x,SUMIFS(INPUT!$E$3:$E$5000,INPUT!$A$3:$A$5000,"&gt;="&amp;AG5,INPUT!$A$3:$A$5000,"&lt;="&amp;AG5+6),IF(_xlpm.x=0,NA(),_xlpm.x)),NA())</f>
        <v>460</v>
      </c>
      <c r="AH10" s="131">
        <f>IFERROR(_xlfn.LET(_xlpm.x,SUMIFS(INPUT!$E$3:$E$5000,INPUT!$A$3:$A$5000,"&gt;="&amp;AH5,INPUT!$A$3:$A$5000,"&lt;="&amp;AH5+6),IF(_xlpm.x=0,NA(),_xlpm.x)),NA())</f>
        <v>705</v>
      </c>
      <c r="AI10" s="131">
        <f>IFERROR(_xlfn.LET(_xlpm.x,SUMIFS(INPUT!$E$3:$E$5000,INPUT!$A$3:$A$5000,"&gt;="&amp;AI5,INPUT!$A$3:$A$5000,"&lt;="&amp;AI5+6),IF(_xlpm.x=0,NA(),_xlpm.x)),NA())</f>
        <v>585</v>
      </c>
      <c r="AJ10" s="131">
        <f>IFERROR(_xlfn.LET(_xlpm.x,SUMIFS(INPUT!$E$3:$E$5000,INPUT!$A$3:$A$5000,"&gt;="&amp;AJ5,INPUT!$A$3:$A$5000,"&lt;="&amp;AJ5+6),IF(_xlpm.x=0,NA(),_xlpm.x)),NA())</f>
        <v>580</v>
      </c>
      <c r="AK10" s="131">
        <f>IFERROR(_xlfn.LET(_xlpm.x,SUMIFS(INPUT!$E$3:$E$5000,INPUT!$A$3:$A$5000,"&gt;="&amp;AK5,INPUT!$A$3:$A$5000,"&lt;="&amp;AK5+6),IF(_xlpm.x=0,NA(),_xlpm.x)),NA())</f>
        <v>760</v>
      </c>
      <c r="AL10" s="131">
        <f>IFERROR(_xlfn.LET(_xlpm.x,SUMIFS(INPUT!$E$3:$E$5000,INPUT!$A$3:$A$5000,"&gt;="&amp;AL5,INPUT!$A$3:$A$5000,"&lt;="&amp;AL5+6),IF(_xlpm.x=0,NA(),_xlpm.x)),NA())</f>
        <v>540</v>
      </c>
      <c r="AM10" s="131">
        <f>IFERROR(_xlfn.LET(_xlpm.x,SUMIFS(INPUT!$E$3:$E$5000,INPUT!$A$3:$A$5000,"&gt;="&amp;AM5,INPUT!$A$3:$A$5000,"&lt;="&amp;AM5+6),IF(_xlpm.x=0,NA(),_xlpm.x)),NA())</f>
        <v>720</v>
      </c>
      <c r="AN10" s="131">
        <f>IFERROR(_xlfn.LET(_xlpm.x,SUMIFS(INPUT!$E$3:$E$5000,INPUT!$A$3:$A$5000,"&gt;="&amp;AN5,INPUT!$A$3:$A$5000,"&lt;="&amp;AN5+6),IF(_xlpm.x=0,NA(),_xlpm.x)),NA())</f>
        <v>195</v>
      </c>
      <c r="AO10" s="131" t="e">
        <f>IFERROR(_xlfn.LET(_xlpm.x,SUMIFS(INPUT!$E$3:$E$5000,INPUT!$A$3:$A$5000,"&gt;="&amp;AO5,INPUT!$A$3:$A$5000,"&lt;="&amp;AO5+6),IF(_xlpm.x=0,NA(),_xlpm.x)),NA())</f>
        <v>#N/A</v>
      </c>
      <c r="AP10" s="131" t="e">
        <f>IFERROR(_xlfn.LET(_xlpm.x,SUMIFS(INPUT!$E$3:$E$5000,INPUT!$A$3:$A$5000,"&gt;="&amp;AP5,INPUT!$A$3:$A$5000,"&lt;="&amp;AP5+6),IF(_xlpm.x=0,NA(),_xlpm.x)),NA())</f>
        <v>#N/A</v>
      </c>
      <c r="AQ10" s="131" t="e">
        <f>IFERROR(_xlfn.LET(_xlpm.x,SUMIFS(INPUT!$E$3:$E$5000,INPUT!$A$3:$A$5000,"&gt;="&amp;AQ5,INPUT!$A$3:$A$5000,"&lt;="&amp;AQ5+6),IF(_xlpm.x=0,NA(),_xlpm.x)),NA())</f>
        <v>#N/A</v>
      </c>
      <c r="AR10" s="131" t="e">
        <f>IFERROR(_xlfn.LET(_xlpm.x,SUMIFS(INPUT!$E$3:$E$5000,INPUT!$A$3:$A$5000,"&gt;="&amp;AR5,INPUT!$A$3:$A$5000,"&lt;="&amp;AR5+6),IF(_xlpm.x=0,NA(),_xlpm.x)),NA())</f>
        <v>#N/A</v>
      </c>
      <c r="AS10" s="131" t="e">
        <f>IFERROR(_xlfn.LET(_xlpm.x,SUMIFS(INPUT!$E$3:$E$5000,INPUT!$A$3:$A$5000,"&gt;="&amp;AS5,INPUT!$A$3:$A$5000,"&lt;="&amp;AS5+6),IF(_xlpm.x=0,NA(),_xlpm.x)),NA())</f>
        <v>#N/A</v>
      </c>
      <c r="AT10" s="131" t="e">
        <f>IFERROR(_xlfn.LET(_xlpm.x,SUMIFS(INPUT!$E$3:$E$5000,INPUT!$A$3:$A$5000,"&gt;="&amp;AT5,INPUT!$A$3:$A$5000,"&lt;="&amp;AT5+6),IF(_xlpm.x=0,NA(),_xlpm.x)),NA())</f>
        <v>#N/A</v>
      </c>
      <c r="AU10" s="131" t="e">
        <f>IFERROR(_xlfn.LET(_xlpm.x,SUMIFS(INPUT!$E$3:$E$5000,INPUT!$A$3:$A$5000,"&gt;="&amp;AU5,INPUT!$A$3:$A$5000,"&lt;="&amp;AU5+6),IF(_xlpm.x=0,NA(),_xlpm.x)),NA())</f>
        <v>#N/A</v>
      </c>
      <c r="AV10" s="131" t="e">
        <f>IFERROR(_xlfn.LET(_xlpm.x,SUMIFS(INPUT!$E$3:$E$5000,INPUT!$A$3:$A$5000,"&gt;="&amp;AV5,INPUT!$A$3:$A$5000,"&lt;="&amp;AV5+6),IF(_xlpm.x=0,NA(),_xlpm.x)),NA())</f>
        <v>#N/A</v>
      </c>
      <c r="AW10" s="138" t="e">
        <f>IFERROR(_xlfn.LET(_xlpm.x,SUMIFS(INPUT!$E$3:$E$5000,INPUT!$A$3:$A$5000,"&gt;="&amp;AW5,INPUT!$A$3:$A$5000,"&lt;="&amp;AW5+6),IF(_xlpm.x=0,NA(),_xlpm.x)),NA())</f>
        <v>#N/A</v>
      </c>
    </row>
    <row r="11" spans="1:49" x14ac:dyDescent="0.2">
      <c r="A11" s="134" t="s">
        <v>105</v>
      </c>
      <c r="B11" s="144">
        <f>IFERROR(IF(COUNTIF(B14:B20,"&gt;0")&lt;2,NA(),AVERAGE(B14:B20)/STDEV(B14:B20)),NA())</f>
        <v>0.79284328462141862</v>
      </c>
      <c r="C11" s="144">
        <f t="shared" ref="C11:AW11" si="3">IFERROR(IF(COUNTIF(C14:C20,"&gt;0")&lt;2,NA(),AVERAGE(C14:C20)/STDEV(C14:C20)),NA())</f>
        <v>1.4522703203729452</v>
      </c>
      <c r="D11" s="144">
        <f t="shared" si="3"/>
        <v>1.4156807314691982</v>
      </c>
      <c r="E11" s="144">
        <f t="shared" si="3"/>
        <v>2.2553671661199828</v>
      </c>
      <c r="F11" s="144">
        <f t="shared" si="3"/>
        <v>1.8431342621955804</v>
      </c>
      <c r="G11" s="144">
        <f t="shared" si="3"/>
        <v>1.2541463951760796</v>
      </c>
      <c r="H11" s="144">
        <f t="shared" si="3"/>
        <v>1.0834374138910632</v>
      </c>
      <c r="I11" s="144">
        <f t="shared" si="3"/>
        <v>1.0039611249801652</v>
      </c>
      <c r="J11" s="144">
        <f t="shared" si="3"/>
        <v>1.5904545204670788</v>
      </c>
      <c r="K11" s="144">
        <f t="shared" si="3"/>
        <v>1.6409145701940937</v>
      </c>
      <c r="L11" s="144">
        <f t="shared" si="3"/>
        <v>1.0967031045299998</v>
      </c>
      <c r="M11" s="144">
        <f t="shared" si="3"/>
        <v>1.0309558383957005</v>
      </c>
      <c r="N11" s="144">
        <f t="shared" si="3"/>
        <v>1.466253626990532</v>
      </c>
      <c r="O11" s="144">
        <f t="shared" si="3"/>
        <v>0.97965468148612123</v>
      </c>
      <c r="P11" s="144">
        <f t="shared" si="3"/>
        <v>0.94089089661514158</v>
      </c>
      <c r="Q11" s="144">
        <f t="shared" si="3"/>
        <v>1.5747581172272773</v>
      </c>
      <c r="R11" s="144">
        <f t="shared" si="3"/>
        <v>1.1097684690056759</v>
      </c>
      <c r="S11" s="144">
        <f t="shared" si="3"/>
        <v>0.91250480777559861</v>
      </c>
      <c r="T11" s="144">
        <f t="shared" si="3"/>
        <v>1.7647273084738171</v>
      </c>
      <c r="U11" s="144">
        <f t="shared" si="3"/>
        <v>1.0935200224214807</v>
      </c>
      <c r="V11" s="144">
        <f t="shared" si="3"/>
        <v>1.0074084373271261</v>
      </c>
      <c r="W11" s="144">
        <f t="shared" si="3"/>
        <v>0.96223207719561221</v>
      </c>
      <c r="X11" s="144">
        <f t="shared" si="3"/>
        <v>1.2676997653342188</v>
      </c>
      <c r="Y11" s="144">
        <f t="shared" si="3"/>
        <v>1.243873740329664</v>
      </c>
      <c r="Z11" s="144" t="e">
        <f t="shared" si="3"/>
        <v>#N/A</v>
      </c>
      <c r="AA11" s="144">
        <f t="shared" si="3"/>
        <v>1.2428089284726513</v>
      </c>
      <c r="AB11" s="144">
        <f t="shared" si="3"/>
        <v>1.2600159010381549</v>
      </c>
      <c r="AC11" s="144">
        <f t="shared" si="3"/>
        <v>1.6674837156611526</v>
      </c>
      <c r="AD11" s="144">
        <f t="shared" si="3"/>
        <v>1.0144821254923282</v>
      </c>
      <c r="AE11" s="144">
        <f t="shared" si="3"/>
        <v>1.2092865507863022</v>
      </c>
      <c r="AF11" s="144">
        <f t="shared" si="3"/>
        <v>2.2338729485641204</v>
      </c>
      <c r="AG11" s="144">
        <f t="shared" si="3"/>
        <v>0.93442126944124437</v>
      </c>
      <c r="AH11" s="144">
        <f t="shared" si="3"/>
        <v>1.7685447668663656</v>
      </c>
      <c r="AI11" s="144">
        <f t="shared" si="3"/>
        <v>1.1387066998685873</v>
      </c>
      <c r="AJ11" s="144">
        <f t="shared" si="3"/>
        <v>1.1930754763366123</v>
      </c>
      <c r="AK11" s="144">
        <f t="shared" si="3"/>
        <v>1.7271089676308378</v>
      </c>
      <c r="AL11" s="144">
        <f t="shared" si="3"/>
        <v>1.2302324028203862</v>
      </c>
      <c r="AM11" s="144">
        <f t="shared" si="3"/>
        <v>1.5816606634775507</v>
      </c>
      <c r="AN11" s="144" t="e">
        <f t="shared" si="3"/>
        <v>#N/A</v>
      </c>
      <c r="AO11" s="144" t="e">
        <f t="shared" si="3"/>
        <v>#N/A</v>
      </c>
      <c r="AP11" s="144" t="e">
        <f t="shared" si="3"/>
        <v>#N/A</v>
      </c>
      <c r="AQ11" s="144" t="e">
        <f t="shared" si="3"/>
        <v>#N/A</v>
      </c>
      <c r="AR11" s="144" t="e">
        <f t="shared" si="3"/>
        <v>#N/A</v>
      </c>
      <c r="AS11" s="144" t="e">
        <f t="shared" si="3"/>
        <v>#N/A</v>
      </c>
      <c r="AT11" s="144" t="e">
        <f t="shared" si="3"/>
        <v>#N/A</v>
      </c>
      <c r="AU11" s="144" t="e">
        <f t="shared" si="3"/>
        <v>#N/A</v>
      </c>
      <c r="AV11" s="144" t="e">
        <f t="shared" si="3"/>
        <v>#N/A</v>
      </c>
      <c r="AW11" s="145" t="e">
        <f t="shared" si="3"/>
        <v>#N/A</v>
      </c>
    </row>
    <row r="12" spans="1:49" x14ac:dyDescent="0.2">
      <c r="A12" s="134" t="s">
        <v>37</v>
      </c>
      <c r="B12" s="131">
        <f>IFERROR(IF(OR(ISNA(B9),ISNA(B11)),NA(),B9*B11),NA())</f>
        <v>3712.2055219238564</v>
      </c>
      <c r="C12" s="131">
        <f t="shared" ref="C12:AW12" si="4">IFERROR(IF(OR(ISNA(C9),ISNA(C11)),NA(),C9*C11),NA())</f>
        <v>9838.2699042349577</v>
      </c>
      <c r="D12" s="131">
        <f t="shared" si="4"/>
        <v>9574.0056902349243</v>
      </c>
      <c r="E12" s="131">
        <f t="shared" si="4"/>
        <v>14413.531089326782</v>
      </c>
      <c r="F12" s="131">
        <f t="shared" si="4"/>
        <v>8480.7215239274137</v>
      </c>
      <c r="G12" s="131">
        <f t="shared" si="4"/>
        <v>4913.5274638833271</v>
      </c>
      <c r="H12" s="131">
        <f t="shared" si="4"/>
        <v>2999.1095384238761</v>
      </c>
      <c r="I12" s="131">
        <f t="shared" si="4"/>
        <v>4294.8400125467278</v>
      </c>
      <c r="J12" s="131">
        <f t="shared" si="4"/>
        <v>7022.6262826301199</v>
      </c>
      <c r="K12" s="131">
        <f t="shared" si="4"/>
        <v>6240.7793330250524</v>
      </c>
      <c r="L12" s="131">
        <f t="shared" si="4"/>
        <v>3247.4363145868128</v>
      </c>
      <c r="M12" s="131">
        <f t="shared" si="4"/>
        <v>3203.8935285527923</v>
      </c>
      <c r="N12" s="131">
        <f t="shared" si="4"/>
        <v>6423.8105849925314</v>
      </c>
      <c r="O12" s="131">
        <f t="shared" si="4"/>
        <v>3649.6939114188831</v>
      </c>
      <c r="P12" s="131">
        <f t="shared" si="4"/>
        <v>2465.8226058852915</v>
      </c>
      <c r="Q12" s="131">
        <f t="shared" si="4"/>
        <v>6918.8261575165861</v>
      </c>
      <c r="R12" s="131">
        <f t="shared" si="4"/>
        <v>3033.9836866538503</v>
      </c>
      <c r="S12" s="131">
        <f t="shared" si="4"/>
        <v>2110.6806519354454</v>
      </c>
      <c r="T12" s="131">
        <f t="shared" si="4"/>
        <v>8073.6274362677132</v>
      </c>
      <c r="U12" s="131">
        <f t="shared" si="4"/>
        <v>2990.5722263185457</v>
      </c>
      <c r="V12" s="131">
        <f t="shared" si="4"/>
        <v>3218.6699572601678</v>
      </c>
      <c r="W12" s="131">
        <f t="shared" si="4"/>
        <v>3051.0158632310104</v>
      </c>
      <c r="X12" s="131">
        <f t="shared" si="4"/>
        <v>3977.919182996327</v>
      </c>
      <c r="Y12" s="131">
        <f t="shared" si="4"/>
        <v>3841.4065989398277</v>
      </c>
      <c r="Z12" s="131" t="e">
        <f t="shared" si="4"/>
        <v>#N/A</v>
      </c>
      <c r="AA12" s="131">
        <f t="shared" si="4"/>
        <v>7903.635514742532</v>
      </c>
      <c r="AB12" s="131">
        <f t="shared" si="4"/>
        <v>5349.4192322695735</v>
      </c>
      <c r="AC12" s="131">
        <f t="shared" si="4"/>
        <v>9153.3589207934692</v>
      </c>
      <c r="AD12" s="131">
        <f t="shared" si="4"/>
        <v>3195.1803388268559</v>
      </c>
      <c r="AE12" s="131">
        <f t="shared" si="4"/>
        <v>3598.6201865040739</v>
      </c>
      <c r="AF12" s="131">
        <f t="shared" si="4"/>
        <v>11553.296313321072</v>
      </c>
      <c r="AG12" s="131">
        <f t="shared" si="4"/>
        <v>2721.2635744748077</v>
      </c>
      <c r="AH12" s="131">
        <f t="shared" si="4"/>
        <v>7142.9827268887566</v>
      </c>
      <c r="AI12" s="131">
        <f t="shared" si="4"/>
        <v>3147.575102886753</v>
      </c>
      <c r="AJ12" s="131">
        <f t="shared" si="4"/>
        <v>4213.0477758136622</v>
      </c>
      <c r="AK12" s="131">
        <f t="shared" si="4"/>
        <v>8634.3574507389421</v>
      </c>
      <c r="AL12" s="131">
        <f t="shared" si="4"/>
        <v>5468.7312095185471</v>
      </c>
      <c r="AM12" s="131">
        <f t="shared" si="4"/>
        <v>7117.2777189004</v>
      </c>
      <c r="AN12" s="131" t="e">
        <f t="shared" si="4"/>
        <v>#N/A</v>
      </c>
      <c r="AO12" s="131" t="e">
        <f t="shared" si="4"/>
        <v>#N/A</v>
      </c>
      <c r="AP12" s="131" t="e">
        <f t="shared" si="4"/>
        <v>#N/A</v>
      </c>
      <c r="AQ12" s="131" t="e">
        <f t="shared" si="4"/>
        <v>#N/A</v>
      </c>
      <c r="AR12" s="131" t="e">
        <f t="shared" si="4"/>
        <v>#N/A</v>
      </c>
      <c r="AS12" s="131" t="e">
        <f t="shared" si="4"/>
        <v>#N/A</v>
      </c>
      <c r="AT12" s="131" t="e">
        <f t="shared" si="4"/>
        <v>#N/A</v>
      </c>
      <c r="AU12" s="131" t="e">
        <f t="shared" si="4"/>
        <v>#N/A</v>
      </c>
      <c r="AV12" s="131" t="e">
        <f t="shared" si="4"/>
        <v>#N/A</v>
      </c>
      <c r="AW12" s="138" t="e">
        <f t="shared" si="4"/>
        <v>#N/A</v>
      </c>
    </row>
    <row r="13" spans="1:49" x14ac:dyDescent="0.2">
      <c r="A13" s="134" t="s">
        <v>106</v>
      </c>
      <c r="B13" s="144" t="e">
        <f ca="1">IFERROR(IF(OR(ISNA(B9),COLUMN()&lt;6),NA(),B9/AVERAGE(OFFSET(B9,0,-4,1,4))),NA())</f>
        <v>#N/A</v>
      </c>
      <c r="C13" s="144" t="e">
        <f t="shared" ref="C13:AW13" ca="1" si="5">IFERROR(IF(OR(ISNA(C9),COLUMN()&lt;6),NA(),C9/AVERAGE(OFFSET(C9,0,-4,1,4))),NA())</f>
        <v>#N/A</v>
      </c>
      <c r="D13" s="144" t="e">
        <f t="shared" ca="1" si="5"/>
        <v>#N/A</v>
      </c>
      <c r="E13" s="144" t="e">
        <f t="shared" ca="1" si="5"/>
        <v>#N/A</v>
      </c>
      <c r="F13" s="144">
        <f t="shared" ca="1" si="5"/>
        <v>0.74786224915765365</v>
      </c>
      <c r="G13" s="144">
        <f t="shared" ca="1" si="5"/>
        <v>0.63888221633109699</v>
      </c>
      <c r="H13" s="144">
        <f t="shared" ca="1" si="5"/>
        <v>0.51090011470889196</v>
      </c>
      <c r="I13" s="144">
        <f t="shared" ca="1" si="5"/>
        <v>0.9679596330816983</v>
      </c>
      <c r="J13" s="144">
        <f t="shared" ca="1" si="5"/>
        <v>1.1347129128582536</v>
      </c>
      <c r="K13" s="144">
        <f t="shared" ca="1" si="5"/>
        <v>0.98917910799413133</v>
      </c>
      <c r="L13" s="144">
        <f t="shared" ca="1" si="5"/>
        <v>0.77592859594804275</v>
      </c>
      <c r="M13" s="144">
        <f t="shared" ca="1" si="5"/>
        <v>0.80417970902811775</v>
      </c>
      <c r="N13" s="144">
        <f t="shared" ca="1" si="5"/>
        <v>1.2265561334499273</v>
      </c>
      <c r="O13" s="144">
        <f t="shared" ca="1" si="5"/>
        <v>1.0455227910092986</v>
      </c>
      <c r="P13" s="144">
        <f t="shared" ca="1" si="5"/>
        <v>0.73951662127307216</v>
      </c>
      <c r="Q13" s="144">
        <f t="shared" ca="1" si="5"/>
        <v>1.2702780648609415</v>
      </c>
      <c r="R13" s="144">
        <f t="shared" ca="1" si="5"/>
        <v>0.72320765540933585</v>
      </c>
      <c r="S13" s="144">
        <f t="shared" ca="1" si="5"/>
        <v>0.68669008166234036</v>
      </c>
      <c r="T13" s="144">
        <f t="shared" ca="1" si="5"/>
        <v>1.517253995655389</v>
      </c>
      <c r="U13" s="144">
        <f t="shared" ca="1" si="5"/>
        <v>0.78050910120710992</v>
      </c>
      <c r="V13" s="144">
        <f t="shared" ca="1" si="5"/>
        <v>1.0342513715497699</v>
      </c>
      <c r="W13" s="144">
        <f t="shared" ca="1" si="5"/>
        <v>0.98948358624787058</v>
      </c>
      <c r="X13" s="144">
        <f t="shared" ca="1" si="5"/>
        <v>0.91781199149908466</v>
      </c>
      <c r="Y13" s="144">
        <f t="shared" ca="1" si="5"/>
        <v>1.0093605149731901</v>
      </c>
      <c r="Z13" s="144" t="e">
        <f t="shared" ca="1" si="5"/>
        <v>#N/A</v>
      </c>
      <c r="AA13" s="144" t="e">
        <f t="shared" ca="1" si="5"/>
        <v>#N/A</v>
      </c>
      <c r="AB13" s="144" t="e">
        <f t="shared" ca="1" si="5"/>
        <v>#N/A</v>
      </c>
      <c r="AC13" s="144" t="e">
        <f t="shared" ca="1" si="5"/>
        <v>#N/A</v>
      </c>
      <c r="AD13" s="144" t="e">
        <f t="shared" ca="1" si="5"/>
        <v>#N/A</v>
      </c>
      <c r="AE13" s="144">
        <f t="shared" ca="1" si="5"/>
        <v>0.61854830056244714</v>
      </c>
      <c r="AF13" s="144">
        <f t="shared" ca="1" si="5"/>
        <v>1.3043614156095413</v>
      </c>
      <c r="AG13" s="144">
        <f t="shared" ca="1" si="5"/>
        <v>0.69394592122740895</v>
      </c>
      <c r="AH13" s="144">
        <f t="shared" ca="1" si="5"/>
        <v>1.1369586798694764</v>
      </c>
      <c r="AI13" s="144">
        <f t="shared" ca="1" si="5"/>
        <v>0.73228593094922367</v>
      </c>
      <c r="AJ13" s="144">
        <f t="shared" ca="1" si="5"/>
        <v>0.94880268719651406</v>
      </c>
      <c r="AK13" s="144">
        <f t="shared" ca="1" si="5"/>
        <v>1.5096176995465063</v>
      </c>
      <c r="AL13" s="144">
        <f t="shared" ca="1" si="5"/>
        <v>1.1596163645706832</v>
      </c>
      <c r="AM13" s="144">
        <f t="shared" ca="1" si="5"/>
        <v>1.1435509681105227</v>
      </c>
      <c r="AN13" s="144">
        <f t="shared" ca="1" si="5"/>
        <v>0</v>
      </c>
      <c r="AO13" s="144" t="e">
        <f t="shared" ca="1" si="5"/>
        <v>#N/A</v>
      </c>
      <c r="AP13" s="144" t="e">
        <f t="shared" ca="1" si="5"/>
        <v>#N/A</v>
      </c>
      <c r="AQ13" s="144" t="e">
        <f t="shared" ca="1" si="5"/>
        <v>#N/A</v>
      </c>
      <c r="AR13" s="144" t="e">
        <f t="shared" ca="1" si="5"/>
        <v>#N/A</v>
      </c>
      <c r="AS13" s="144" t="e">
        <f t="shared" ca="1" si="5"/>
        <v>#N/A</v>
      </c>
      <c r="AT13" s="144" t="e">
        <f t="shared" ca="1" si="5"/>
        <v>#N/A</v>
      </c>
      <c r="AU13" s="144" t="e">
        <f t="shared" ca="1" si="5"/>
        <v>#N/A</v>
      </c>
      <c r="AV13" s="144" t="e">
        <f t="shared" ca="1" si="5"/>
        <v>#N/A</v>
      </c>
      <c r="AW13" s="145" t="e">
        <f t="shared" ca="1" si="5"/>
        <v>#N/A</v>
      </c>
    </row>
    <row r="14" spans="1:49" x14ac:dyDescent="0.2">
      <c r="A14" s="134" t="s">
        <v>187</v>
      </c>
      <c r="B14" s="131" cm="1">
        <f t="array" ref="B14">IFERROR(SUMPRODUCT((INPUT!$H$3:$H$5000=B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B$5+0)/MAX(1,SUMPRODUCT((INPUT!$H$3:$H$5000=B$5+0)*ISNUMBER(INPUT!$K$3:$K$5000)*(INPUT!$J$3:$J$5000&lt;&gt;"HERRERO")*(INPUT!$J$3:$J$5000&lt;&gt;"GARCIA")*(INPUT!$J$3:$J$5000&lt;&gt;"OSCAR"))),0)</f>
        <v>0</v>
      </c>
      <c r="C14" s="131" cm="1">
        <f t="array" ref="C14">IFERROR(SUMPRODUCT((INPUT!$H$3:$H$5000=C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C$5+0)/MAX(1,SUMPRODUCT((INPUT!$H$3:$H$5000=C$5+0)*ISNUMBER(INPUT!$K$3:$K$5000)*(INPUT!$J$3:$J$5000&lt;&gt;"HERRERO")*(INPUT!$J$3:$J$5000&lt;&gt;"GARCIA")*(INPUT!$J$3:$J$5000&lt;&gt;"OSCAR"))),0)</f>
        <v>1470</v>
      </c>
      <c r="D14" s="131" cm="1">
        <f t="array" ref="D14">IFERROR(SUMPRODUCT((INPUT!$H$3:$H$5000=D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D$5+0)/MAX(1,SUMPRODUCT((INPUT!$H$3:$H$5000=D$5+0)*ISNUMBER(INPUT!$K$3:$K$5000)*(INPUT!$J$3:$J$5000&lt;&gt;"HERRERO")*(INPUT!$J$3:$J$5000&lt;&gt;"GARCIA")*(INPUT!$J$3:$J$5000&lt;&gt;"OSCAR"))),0)</f>
        <v>1576</v>
      </c>
      <c r="E14" s="131" cm="1">
        <f t="array" ref="E14">IFERROR(SUMPRODUCT((INPUT!$H$3:$H$5000=E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E$5+0)/MAX(1,SUMPRODUCT((INPUT!$H$3:$H$5000=E$5+0)*ISNUMBER(INPUT!$K$3:$K$5000)*(INPUT!$J$3:$J$5000&lt;&gt;"HERRERO")*(INPUT!$J$3:$J$5000&lt;&gt;"GARCIA")*(INPUT!$J$3:$J$5000&lt;&gt;"OSCAR"))),0)</f>
        <v>1255.3846153846155</v>
      </c>
      <c r="F14" s="131" cm="1">
        <f t="array" ref="F14">IFERROR(SUMPRODUCT((INPUT!$H$3:$H$5000=F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F$5+0)/MAX(1,SUMPRODUCT((INPUT!$H$3:$H$5000=F$5+0)*ISNUMBER(INPUT!$K$3:$K$5000)*(INPUT!$J$3:$J$5000&lt;&gt;"HERRERO")*(INPUT!$J$3:$J$5000&lt;&gt;"GARCIA")*(INPUT!$J$3:$J$5000&lt;&gt;"OSCAR"))),0)</f>
        <v>0</v>
      </c>
      <c r="G14" s="131" cm="1">
        <f t="array" ref="G14">IFERROR(SUMPRODUCT((INPUT!$H$3:$H$5000=G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G$5+0)/MAX(1,SUMPRODUCT((INPUT!$H$3:$H$5000=G$5+0)*ISNUMBER(INPUT!$K$3:$K$5000)*(INPUT!$J$3:$J$5000&lt;&gt;"HERRERO")*(INPUT!$J$3:$J$5000&lt;&gt;"GARCIA")*(INPUT!$J$3:$J$5000&lt;&gt;"OSCAR"))),0)</f>
        <v>0</v>
      </c>
      <c r="H14" s="131" cm="1">
        <f t="array" ref="H14">IFERROR(SUMPRODUCT((INPUT!$H$3:$H$5000=H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H$5+0)/MAX(1,SUMPRODUCT((INPUT!$H$3:$H$5000=H$5+0)*ISNUMBER(INPUT!$K$3:$K$5000)*(INPUT!$J$3:$J$5000&lt;&gt;"HERRERO")*(INPUT!$J$3:$J$5000&lt;&gt;"GARCIA")*(INPUT!$J$3:$J$5000&lt;&gt;"OSCAR"))),0)</f>
        <v>230.35714285714286</v>
      </c>
      <c r="I14" s="131" cm="1">
        <f t="array" ref="I14">IFERROR(SUMPRODUCT((INPUT!$H$3:$H$5000=I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I$5+0)/MAX(1,SUMPRODUCT((INPUT!$H$3:$H$5000=I$5+0)*ISNUMBER(INPUT!$K$3:$K$5000)*(INPUT!$J$3:$J$5000&lt;&gt;"HERRERO")*(INPUT!$J$3:$J$5000&lt;&gt;"GARCIA")*(INPUT!$J$3:$J$5000&lt;&gt;"OSCAR"))),0)</f>
        <v>1183</v>
      </c>
      <c r="J14" s="131" cm="1">
        <f t="array" ref="J14">IFERROR(SUMPRODUCT((INPUT!$H$3:$H$5000=J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J$5+0)/MAX(1,SUMPRODUCT((INPUT!$H$3:$H$5000=J$5+0)*ISNUMBER(INPUT!$K$3:$K$5000)*(INPUT!$J$3:$J$5000&lt;&gt;"HERRERO")*(INPUT!$J$3:$J$5000&lt;&gt;"GARCIA")*(INPUT!$J$3:$J$5000&lt;&gt;"OSCAR"))),0)</f>
        <v>927</v>
      </c>
      <c r="K14" s="131" cm="1">
        <f t="array" ref="K14">IFERROR(SUMPRODUCT((INPUT!$H$3:$H$5000=K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K$5+0)/MAX(1,SUMPRODUCT((INPUT!$H$3:$H$5000=K$5+0)*ISNUMBER(INPUT!$K$3:$K$5000)*(INPUT!$J$3:$J$5000&lt;&gt;"HERRERO")*(INPUT!$J$3:$J$5000&lt;&gt;"GARCIA")*(INPUT!$J$3:$J$5000&lt;&gt;"OSCAR"))),0)</f>
        <v>763.04347826086962</v>
      </c>
      <c r="L14" s="131" cm="1">
        <f t="array" ref="L14">IFERROR(SUMPRODUCT((INPUT!$H$3:$H$5000=L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L$5+0)/MAX(1,SUMPRODUCT((INPUT!$H$3:$H$5000=L$5+0)*ISNUMBER(INPUT!$K$3:$K$5000)*(INPUT!$J$3:$J$5000&lt;&gt;"HERRERO")*(INPUT!$J$3:$J$5000&lt;&gt;"GARCIA")*(INPUT!$J$3:$J$5000&lt;&gt;"OSCAR"))),0)</f>
        <v>443.33333333333331</v>
      </c>
      <c r="M14" s="131" cm="1">
        <f t="array" ref="M14">IFERROR(SUMPRODUCT((INPUT!$H$3:$H$5000=M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M$5+0)/MAX(1,SUMPRODUCT((INPUT!$H$3:$H$5000=M$5+0)*ISNUMBER(INPUT!$K$3:$K$5000)*(INPUT!$J$3:$J$5000&lt;&gt;"HERRERO")*(INPUT!$J$3:$J$5000&lt;&gt;"GARCIA")*(INPUT!$J$3:$J$5000&lt;&gt;"OSCAR"))),0)</f>
        <v>0</v>
      </c>
      <c r="N14" s="131" cm="1">
        <f t="array" ref="N14">IFERROR(SUMPRODUCT((INPUT!$H$3:$H$5000=N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N$5+0)/MAX(1,SUMPRODUCT((INPUT!$H$3:$H$5000=N$5+0)*ISNUMBER(INPUT!$K$3:$K$5000)*(INPUT!$J$3:$J$5000&lt;&gt;"HERRERO")*(INPUT!$J$3:$J$5000&lt;&gt;"GARCIA")*(INPUT!$J$3:$J$5000&lt;&gt;"OSCAR"))),0)</f>
        <v>907.5</v>
      </c>
      <c r="O14" s="131" cm="1">
        <f t="array" ref="O14">IFERROR(SUMPRODUCT((INPUT!$H$3:$H$5000=O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O$5+0)/MAX(1,SUMPRODUCT((INPUT!$H$3:$H$5000=O$5+0)*ISNUMBER(INPUT!$K$3:$K$5000)*(INPUT!$J$3:$J$5000&lt;&gt;"HERRERO")*(INPUT!$J$3:$J$5000&lt;&gt;"GARCIA")*(INPUT!$J$3:$J$5000&lt;&gt;"OSCAR"))),0)</f>
        <v>0</v>
      </c>
      <c r="P14" s="131" cm="1">
        <f t="array" ref="P14">IFERROR(SUMPRODUCT((INPUT!$H$3:$H$5000=P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P$5+0)/MAX(1,SUMPRODUCT((INPUT!$H$3:$H$5000=P$5+0)*ISNUMBER(INPUT!$K$3:$K$5000)*(INPUT!$J$3:$J$5000&lt;&gt;"HERRERO")*(INPUT!$J$3:$J$5000&lt;&gt;"GARCIA")*(INPUT!$J$3:$J$5000&lt;&gt;"OSCAR"))),0)</f>
        <v>457.5</v>
      </c>
      <c r="Q14" s="131" cm="1">
        <f t="array" ref="Q14">IFERROR(SUMPRODUCT((INPUT!$H$3:$H$5000=Q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Q$5+0)/MAX(1,SUMPRODUCT((INPUT!$H$3:$H$5000=Q$5+0)*ISNUMBER(INPUT!$K$3:$K$5000)*(INPUT!$J$3:$J$5000&lt;&gt;"HERRERO")*(INPUT!$J$3:$J$5000&lt;&gt;"GARCIA")*(INPUT!$J$3:$J$5000&lt;&gt;"OSCAR"))),0)</f>
        <v>853.63636363636363</v>
      </c>
      <c r="R14" s="131" cm="1">
        <f t="array" ref="R14">IFERROR(SUMPRODUCT((INPUT!$H$3:$H$5000=R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R$5+0)/MAX(1,SUMPRODUCT((INPUT!$H$3:$H$5000=R$5+0)*ISNUMBER(INPUT!$K$3:$K$5000)*(INPUT!$J$3:$J$5000&lt;&gt;"HERRERO")*(INPUT!$J$3:$J$5000&lt;&gt;"GARCIA")*(INPUT!$J$3:$J$5000&lt;&gt;"OSCAR"))),0)</f>
        <v>630</v>
      </c>
      <c r="S14" s="131" cm="1">
        <f t="array" ref="S14">IFERROR(SUMPRODUCT((INPUT!$H$3:$H$5000=S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S$5+0)/MAX(1,SUMPRODUCT((INPUT!$H$3:$H$5000=S$5+0)*ISNUMBER(INPUT!$K$3:$K$5000)*(INPUT!$J$3:$J$5000&lt;&gt;"HERRERO")*(INPUT!$J$3:$J$5000&lt;&gt;"GARCIA")*(INPUT!$J$3:$J$5000&lt;&gt;"OSCAR"))),0)</f>
        <v>347.72727272727275</v>
      </c>
      <c r="T14" s="131" cm="1">
        <f t="array" ref="T14">IFERROR(SUMPRODUCT((INPUT!$H$3:$H$5000=T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T$5+0)/MAX(1,SUMPRODUCT((INPUT!$H$3:$H$5000=T$5+0)*ISNUMBER(INPUT!$K$3:$K$5000)*(INPUT!$J$3:$J$5000&lt;&gt;"HERRERO")*(INPUT!$J$3:$J$5000&lt;&gt;"GARCIA")*(INPUT!$J$3:$J$5000&lt;&gt;"OSCAR"))),0)</f>
        <v>790.43478260869563</v>
      </c>
      <c r="U14" s="131" cm="1">
        <f t="array" ref="U14">IFERROR(SUMPRODUCT((INPUT!$H$3:$H$5000=U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U$5+0)/MAX(1,SUMPRODUCT((INPUT!$H$3:$H$5000=U$5+0)*ISNUMBER(INPUT!$K$3:$K$5000)*(INPUT!$J$3:$J$5000&lt;&gt;"HERRERO")*(INPUT!$J$3:$J$5000&lt;&gt;"GARCIA")*(INPUT!$J$3:$J$5000&lt;&gt;"OSCAR"))),0)</f>
        <v>189.58333333333334</v>
      </c>
      <c r="V14" s="131" cm="1">
        <f t="array" ref="V14">IFERROR(SUMPRODUCT((INPUT!$H$3:$H$5000=V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V$5+0)/MAX(1,SUMPRODUCT((INPUT!$H$3:$H$5000=V$5+0)*ISNUMBER(INPUT!$K$3:$K$5000)*(INPUT!$J$3:$J$5000&lt;&gt;"HERRERO")*(INPUT!$J$3:$J$5000&lt;&gt;"GARCIA")*(INPUT!$J$3:$J$5000&lt;&gt;"OSCAR"))),0)</f>
        <v>0</v>
      </c>
      <c r="W14" s="131" cm="1">
        <f t="array" ref="W14">IFERROR(SUMPRODUCT((INPUT!$H$3:$H$5000=W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W$5+0)/MAX(1,SUMPRODUCT((INPUT!$H$3:$H$5000=W$5+0)*ISNUMBER(INPUT!$K$3:$K$5000)*(INPUT!$J$3:$J$5000&lt;&gt;"HERRERO")*(INPUT!$J$3:$J$5000&lt;&gt;"GARCIA")*(INPUT!$J$3:$J$5000&lt;&gt;"OSCAR"))),0)</f>
        <v>990</v>
      </c>
      <c r="X14" s="131" cm="1">
        <f t="array" ref="X14">IFERROR(SUMPRODUCT((INPUT!$H$3:$H$5000=X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X$5+0)/MAX(1,SUMPRODUCT((INPUT!$H$3:$H$5000=X$5+0)*ISNUMBER(INPUT!$K$3:$K$5000)*(INPUT!$J$3:$J$5000&lt;&gt;"HERRERO")*(INPUT!$J$3:$J$5000&lt;&gt;"GARCIA")*(INPUT!$J$3:$J$5000&lt;&gt;"OSCAR"))),0)</f>
        <v>882.69230769230774</v>
      </c>
      <c r="Y14" s="131" cm="1">
        <f t="array" ref="Y14">IFERROR(SUMPRODUCT((INPUT!$H$3:$H$5000=Y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Y$5+0)/MAX(1,SUMPRODUCT((INPUT!$H$3:$H$5000=Y$5+0)*ISNUMBER(INPUT!$K$3:$K$5000)*(INPUT!$J$3:$J$5000&lt;&gt;"HERRERO")*(INPUT!$J$3:$J$5000&lt;&gt;"GARCIA")*(INPUT!$J$3:$J$5000&lt;&gt;"OSCAR"))),0)</f>
        <v>595.38461538461536</v>
      </c>
      <c r="Z14" s="131" cm="1">
        <f t="array" ref="Z14">IFERROR(SUMPRODUCT((INPUT!$H$3:$H$5000=Z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Z$5+0)/MAX(1,SUMPRODUCT((INPUT!$H$3:$H$5000=Z$5+0)*ISNUMBER(INPUT!$K$3:$K$5000)*(INPUT!$J$3:$J$5000&lt;&gt;"HERRERO")*(INPUT!$J$3:$J$5000&lt;&gt;"GARCIA")*(INPUT!$J$3:$J$5000&lt;&gt;"OSCAR"))),0)</f>
        <v>0</v>
      </c>
      <c r="AA14" s="131" cm="1">
        <f t="array" ref="AA14">IFERROR(SUMPRODUCT((INPUT!$H$3:$H$5000=AA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A$5+0)/MAX(1,SUMPRODUCT((INPUT!$H$3:$H$5000=AA$5+0)*ISNUMBER(INPUT!$K$3:$K$5000)*(INPUT!$J$3:$J$5000&lt;&gt;"HERRERO")*(INPUT!$J$3:$J$5000&lt;&gt;"GARCIA")*(INPUT!$J$3:$J$5000&lt;&gt;"OSCAR"))),0)</f>
        <v>1775.2631578947369</v>
      </c>
      <c r="AB14" s="131" cm="1">
        <f t="array" ref="AB14">IFERROR(SUMPRODUCT((INPUT!$H$3:$H$5000=AB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B$5+0)/MAX(1,SUMPRODUCT((INPUT!$H$3:$H$5000=AB$5+0)*ISNUMBER(INPUT!$K$3:$K$5000)*(INPUT!$J$3:$J$5000&lt;&gt;"HERRERO")*(INPUT!$J$3:$J$5000&lt;&gt;"GARCIA")*(INPUT!$J$3:$J$5000&lt;&gt;"OSCAR"))),0)</f>
        <v>876</v>
      </c>
      <c r="AC14" s="131" cm="1">
        <f t="array" ref="AC14">IFERROR(SUMPRODUCT((INPUT!$H$3:$H$5000=AC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C$5+0)/MAX(1,SUMPRODUCT((INPUT!$H$3:$H$5000=AC$5+0)*ISNUMBER(INPUT!$K$3:$K$5000)*(INPUT!$J$3:$J$5000&lt;&gt;"HERRERO")*(INPUT!$J$3:$J$5000&lt;&gt;"GARCIA")*(INPUT!$J$3:$J$5000&lt;&gt;"OSCAR"))),0)</f>
        <v>1430.5263157894738</v>
      </c>
      <c r="AD14" s="131" cm="1">
        <f t="array" ref="AD14">IFERROR(SUMPRODUCT((INPUT!$H$3:$H$5000=AD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D$5+0)/MAX(1,SUMPRODUCT((INPUT!$H$3:$H$5000=AD$5+0)*ISNUMBER(INPUT!$K$3:$K$5000)*(INPUT!$J$3:$J$5000&lt;&gt;"HERRERO")*(INPUT!$J$3:$J$5000&lt;&gt;"GARCIA")*(INPUT!$J$3:$J$5000&lt;&gt;"OSCAR"))),0)</f>
        <v>718.18181818181813</v>
      </c>
      <c r="AE14" s="131" cm="1">
        <f t="array" ref="AE14">IFERROR(SUMPRODUCT((INPUT!$H$3:$H$5000=AE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E$5+0)/MAX(1,SUMPRODUCT((INPUT!$H$3:$H$5000=AE$5+0)*ISNUMBER(INPUT!$K$3:$K$5000)*(INPUT!$J$3:$J$5000&lt;&gt;"HERRERO")*(INPUT!$J$3:$J$5000&lt;&gt;"GARCIA")*(INPUT!$J$3:$J$5000&lt;&gt;"OSCAR"))),0)</f>
        <v>307.5</v>
      </c>
      <c r="AF14" s="131" cm="1">
        <f t="array" ref="AF14">IFERROR(SUMPRODUCT((INPUT!$H$3:$H$5000=AF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F$5+0)/MAX(1,SUMPRODUCT((INPUT!$H$3:$H$5000=AF$5+0)*ISNUMBER(INPUT!$K$3:$K$5000)*(INPUT!$J$3:$J$5000&lt;&gt;"HERRERO")*(INPUT!$J$3:$J$5000&lt;&gt;"GARCIA")*(INPUT!$J$3:$J$5000&lt;&gt;"OSCAR"))),0)</f>
        <v>1252.1739130434783</v>
      </c>
      <c r="AG14" s="131" cm="1">
        <f t="array" ref="AG14">IFERROR(SUMPRODUCT((INPUT!$H$3:$H$5000=AG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G$5+0)/MAX(1,SUMPRODUCT((INPUT!$H$3:$H$5000=AG$5+0)*ISNUMBER(INPUT!$K$3:$K$5000)*(INPUT!$J$3:$J$5000&lt;&gt;"HERRERO")*(INPUT!$J$3:$J$5000&lt;&gt;"GARCIA")*(INPUT!$J$3:$J$5000&lt;&gt;"OSCAR"))),0)</f>
        <v>0</v>
      </c>
      <c r="AH14" s="131" cm="1">
        <f t="array" ref="AH14">IFERROR(SUMPRODUCT((INPUT!$H$3:$H$5000=AH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H$5+0)/MAX(1,SUMPRODUCT((INPUT!$H$3:$H$5000=AH$5+0)*ISNUMBER(INPUT!$K$3:$K$5000)*(INPUT!$J$3:$J$5000&lt;&gt;"HERRERO")*(INPUT!$J$3:$J$5000&lt;&gt;"GARCIA")*(INPUT!$J$3:$J$5000&lt;&gt;"OSCAR"))),0)</f>
        <v>1040</v>
      </c>
      <c r="AI14" s="131" cm="1">
        <f t="array" ref="AI14">IFERROR(SUMPRODUCT((INPUT!$H$3:$H$5000=AI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I$5+0)/MAX(1,SUMPRODUCT((INPUT!$H$3:$H$5000=AI$5+0)*ISNUMBER(INPUT!$K$3:$K$5000)*(INPUT!$J$3:$J$5000&lt;&gt;"HERRERO")*(INPUT!$J$3:$J$5000&lt;&gt;"GARCIA")*(INPUT!$J$3:$J$5000&lt;&gt;"OSCAR"))),0)</f>
        <v>595</v>
      </c>
      <c r="AJ14" s="131" cm="1">
        <f t="array" ref="AJ14">IFERROR(SUMPRODUCT((INPUT!$H$3:$H$5000=AJ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J$5+0)/MAX(1,SUMPRODUCT((INPUT!$H$3:$H$5000=AJ$5+0)*ISNUMBER(INPUT!$K$3:$K$5000)*(INPUT!$J$3:$J$5000&lt;&gt;"HERRERO")*(INPUT!$J$3:$J$5000&lt;&gt;"GARCIA")*(INPUT!$J$3:$J$5000&lt;&gt;"OSCAR"))),0)</f>
        <v>0</v>
      </c>
      <c r="AK14" s="131" cm="1">
        <f t="array" ref="AK14">IFERROR(SUMPRODUCT((INPUT!$H$3:$H$5000=AK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K$5+0)/MAX(1,SUMPRODUCT((INPUT!$H$3:$H$5000=AK$5+0)*ISNUMBER(INPUT!$K$3:$K$5000)*(INPUT!$J$3:$J$5000&lt;&gt;"HERRERO")*(INPUT!$J$3:$J$5000&lt;&gt;"GARCIA")*(INPUT!$J$3:$J$5000&lt;&gt;"OSCAR"))),0)</f>
        <v>967.5</v>
      </c>
      <c r="AL14" s="131" cm="1">
        <f t="array" ref="AL14">IFERROR(SUMPRODUCT((INPUT!$H$3:$H$5000=AL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L$5+0)/MAX(1,SUMPRODUCT((INPUT!$H$3:$H$5000=AL$5+0)*ISNUMBER(INPUT!$K$3:$K$5000)*(INPUT!$J$3:$J$5000&lt;&gt;"HERRERO")*(INPUT!$J$3:$J$5000&lt;&gt;"GARCIA")*(INPUT!$J$3:$J$5000&lt;&gt;"OSCAR"))),0)</f>
        <v>1150</v>
      </c>
      <c r="AM14" s="131" cm="1">
        <f t="array" ref="AM14">IFERROR(SUMPRODUCT((INPUT!$H$3:$H$5000=AM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M$5+0)/MAX(1,SUMPRODUCT((INPUT!$H$3:$H$5000=AM$5+0)*ISNUMBER(INPUT!$K$3:$K$5000)*(INPUT!$J$3:$J$5000&lt;&gt;"HERRERO")*(INPUT!$J$3:$J$5000&lt;&gt;"GARCIA")*(INPUT!$J$3:$J$5000&lt;&gt;"OSCAR"))),0)</f>
        <v>890.90909090909088</v>
      </c>
      <c r="AN14" s="131" cm="1">
        <f t="array" ref="AN14">IFERROR(SUMPRODUCT((INPUT!$H$3:$H$5000=AN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N$5+0)/MAX(1,SUMPRODUCT((INPUT!$H$3:$H$5000=AN$5+0)*ISNUMBER(INPUT!$K$3:$K$5000)*(INPUT!$J$3:$J$5000&lt;&gt;"HERRERO")*(INPUT!$J$3:$J$5000&lt;&gt;"GARCIA")*(INPUT!$J$3:$J$5000&lt;&gt;"OSCAR"))),0)</f>
        <v>0</v>
      </c>
      <c r="AO14" s="131" cm="1">
        <f t="array" ref="AO14">IFERROR(SUMPRODUCT((INPUT!$H$3:$H$5000=AO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O$5+0)/MAX(1,SUMPRODUCT((INPUT!$H$3:$H$5000=AO$5+0)*ISNUMBER(INPUT!$K$3:$K$5000)*(INPUT!$J$3:$J$5000&lt;&gt;"HERRERO")*(INPUT!$J$3:$J$5000&lt;&gt;"GARCIA")*(INPUT!$J$3:$J$5000&lt;&gt;"OSCAR"))),0)</f>
        <v>0</v>
      </c>
      <c r="AP14" s="131" cm="1">
        <f t="array" ref="AP14">IFERROR(SUMPRODUCT((INPUT!$H$3:$H$5000=AP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P$5+0)/MAX(1,SUMPRODUCT((INPUT!$H$3:$H$5000=AP$5+0)*ISNUMBER(INPUT!$K$3:$K$5000)*(INPUT!$J$3:$J$5000&lt;&gt;"HERRERO")*(INPUT!$J$3:$J$5000&lt;&gt;"GARCIA")*(INPUT!$J$3:$J$5000&lt;&gt;"OSCAR"))),0)</f>
        <v>0</v>
      </c>
      <c r="AQ14" s="131" cm="1">
        <f t="array" ref="AQ14">IFERROR(SUMPRODUCT((INPUT!$H$3:$H$5000=AQ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Q$5+0)/MAX(1,SUMPRODUCT((INPUT!$H$3:$H$5000=AQ$5+0)*ISNUMBER(INPUT!$K$3:$K$5000)*(INPUT!$J$3:$J$5000&lt;&gt;"HERRERO")*(INPUT!$J$3:$J$5000&lt;&gt;"GARCIA")*(INPUT!$J$3:$J$5000&lt;&gt;"OSCAR"))),0)</f>
        <v>0</v>
      </c>
      <c r="AR14" s="131" cm="1">
        <f t="array" ref="AR14">IFERROR(SUMPRODUCT((INPUT!$H$3:$H$5000=AR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R$5+0)/MAX(1,SUMPRODUCT((INPUT!$H$3:$H$5000=AR$5+0)*ISNUMBER(INPUT!$K$3:$K$5000)*(INPUT!$J$3:$J$5000&lt;&gt;"HERRERO")*(INPUT!$J$3:$J$5000&lt;&gt;"GARCIA")*(INPUT!$J$3:$J$5000&lt;&gt;"OSCAR"))),0)</f>
        <v>0</v>
      </c>
      <c r="AS14" s="131" cm="1">
        <f t="array" ref="AS14">IFERROR(SUMPRODUCT((INPUT!$H$3:$H$5000=AS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S$5+0)/MAX(1,SUMPRODUCT((INPUT!$H$3:$H$5000=AS$5+0)*ISNUMBER(INPUT!$K$3:$K$5000)*(INPUT!$J$3:$J$5000&lt;&gt;"HERRERO")*(INPUT!$J$3:$J$5000&lt;&gt;"GARCIA")*(INPUT!$J$3:$J$5000&lt;&gt;"OSCAR"))),0)</f>
        <v>0</v>
      </c>
      <c r="AT14" s="131" cm="1">
        <f t="array" ref="AT14">IFERROR(SUMPRODUCT((INPUT!$H$3:$H$5000=AT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T$5+0)/MAX(1,SUMPRODUCT((INPUT!$H$3:$H$5000=AT$5+0)*ISNUMBER(INPUT!$K$3:$K$5000)*(INPUT!$J$3:$J$5000&lt;&gt;"HERRERO")*(INPUT!$J$3:$J$5000&lt;&gt;"GARCIA")*(INPUT!$J$3:$J$5000&lt;&gt;"OSCAR"))),0)</f>
        <v>0</v>
      </c>
      <c r="AU14" s="131" cm="1">
        <f t="array" ref="AU14">IFERROR(SUMPRODUCT((INPUT!$H$3:$H$5000=AU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U$5+0)/MAX(1,SUMPRODUCT((INPUT!$H$3:$H$5000=AU$5+0)*ISNUMBER(INPUT!$K$3:$K$5000)*(INPUT!$J$3:$J$5000&lt;&gt;"HERRERO")*(INPUT!$J$3:$J$5000&lt;&gt;"GARCIA")*(INPUT!$J$3:$J$5000&lt;&gt;"OSCAR"))),0)</f>
        <v>0</v>
      </c>
      <c r="AV14" s="131" cm="1">
        <f t="array" ref="AV14">IFERROR(SUMPRODUCT((INPUT!$H$3:$H$5000=AV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V$5+0)/MAX(1,SUMPRODUCT((INPUT!$H$3:$H$5000=AV$5+0)*ISNUMBER(INPUT!$K$3:$K$5000)*(INPUT!$J$3:$J$5000&lt;&gt;"HERRERO")*(INPUT!$J$3:$J$5000&lt;&gt;"GARCIA")*(INPUT!$J$3:$J$5000&lt;&gt;"OSCAR"))),0)</f>
        <v>0</v>
      </c>
      <c r="AW14" s="138" cm="1">
        <f t="array" ref="AW14">IFERROR(SUMPRODUCT((INPUT!$H$3:$H$5000=AW$5+0)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W$5+0)/MAX(1,SUMPRODUCT((INPUT!$H$3:$H$5000=AW$5+0)*ISNUMBER(INPUT!$K$3:$K$5000)*(INPUT!$J$3:$J$5000&lt;&gt;"HERRERO")*(INPUT!$J$3:$J$5000&lt;&gt;"GARCIA")*(INPUT!$J$3:$J$5000&lt;&gt;"OSCAR"))),0)</f>
        <v>0</v>
      </c>
    </row>
    <row r="15" spans="1:49" x14ac:dyDescent="0.2">
      <c r="A15" s="134" t="s">
        <v>188</v>
      </c>
      <c r="B15" s="142" cm="1">
        <f t="array" ref="B15">IFERROR(SUMPRODUCT((INPUT!$H$3:$H$5000=B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B$5+1)/MAX(1,SUMPRODUCT((INPUT!$H$3:$H$5000=B$5+1)*ISNUMBER(INPUT!$K$3:$K$5000)*(INPUT!$J$3:$J$5000&lt;&gt;"HERRERO")*(INPUT!$J$3:$J$5000&lt;&gt;"GARCIA")*(INPUT!$J$3:$J$5000&lt;&gt;"OSCAR"))),0)</f>
        <v>0</v>
      </c>
      <c r="C15" s="142" cm="1">
        <f t="array" ref="C15">IFERROR(SUMPRODUCT((INPUT!$H$3:$H$5000=C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C$5+1)/MAX(1,SUMPRODUCT((INPUT!$H$3:$H$5000=C$5+1)*ISNUMBER(INPUT!$K$3:$K$5000)*(INPUT!$J$3:$J$5000&lt;&gt;"HERRERO")*(INPUT!$J$3:$J$5000&lt;&gt;"GARCIA")*(INPUT!$J$3:$J$5000&lt;&gt;"OSCAR"))),0)</f>
        <v>1384.6153846153845</v>
      </c>
      <c r="D15" s="142" cm="1">
        <f t="array" ref="D15">IFERROR(SUMPRODUCT((INPUT!$H$3:$H$5000=D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D$5+1)/MAX(1,SUMPRODUCT((INPUT!$H$3:$H$5000=D$5+1)*ISNUMBER(INPUT!$K$3:$K$5000)*(INPUT!$J$3:$J$5000&lt;&gt;"HERRERO")*(INPUT!$J$3:$J$5000&lt;&gt;"GARCIA")*(INPUT!$J$3:$J$5000&lt;&gt;"OSCAR"))),0)</f>
        <v>1015.3846153846154</v>
      </c>
      <c r="E15" s="142" cm="1">
        <f t="array" ref="E15">IFERROR(SUMPRODUCT((INPUT!$H$3:$H$5000=E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E$5+1)/MAX(1,SUMPRODUCT((INPUT!$H$3:$H$5000=E$5+1)*ISNUMBER(INPUT!$K$3:$K$5000)*(INPUT!$J$3:$J$5000&lt;&gt;"HERRERO")*(INPUT!$J$3:$J$5000&lt;&gt;"GARCIA")*(INPUT!$J$3:$J$5000&lt;&gt;"OSCAR"))),0)</f>
        <v>904.61538461538464</v>
      </c>
      <c r="F15" s="142" cm="1">
        <f t="array" ref="F15">IFERROR(SUMPRODUCT((INPUT!$H$3:$H$5000=F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F$5+1)/MAX(1,SUMPRODUCT((INPUT!$H$3:$H$5000=F$5+1)*ISNUMBER(INPUT!$K$3:$K$5000)*(INPUT!$J$3:$J$5000&lt;&gt;"HERRERO")*(INPUT!$J$3:$J$5000&lt;&gt;"GARCIA")*(INPUT!$J$3:$J$5000&lt;&gt;"OSCAR"))),0)</f>
        <v>910</v>
      </c>
      <c r="G15" s="142" cm="1">
        <f t="array" ref="G15">IFERROR(SUMPRODUCT((INPUT!$H$3:$H$5000=G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G$5+1)/MAX(1,SUMPRODUCT((INPUT!$H$3:$H$5000=G$5+1)*ISNUMBER(INPUT!$K$3:$K$5000)*(INPUT!$J$3:$J$5000&lt;&gt;"HERRERO")*(INPUT!$J$3:$J$5000&lt;&gt;"GARCIA")*(INPUT!$J$3:$J$5000&lt;&gt;"OSCAR"))),0)</f>
        <v>880</v>
      </c>
      <c r="H15" s="142" cm="1">
        <f t="array" ref="H15">IFERROR(SUMPRODUCT((INPUT!$H$3:$H$5000=H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H$5+1)/MAX(1,SUMPRODUCT((INPUT!$H$3:$H$5000=H$5+1)*ISNUMBER(INPUT!$K$3:$K$5000)*(INPUT!$J$3:$J$5000&lt;&gt;"HERRERO")*(INPUT!$J$3:$J$5000&lt;&gt;"GARCIA")*(INPUT!$J$3:$J$5000&lt;&gt;"OSCAR"))),0)</f>
        <v>915</v>
      </c>
      <c r="I15" s="142" cm="1">
        <f t="array" ref="I15">IFERROR(SUMPRODUCT((INPUT!$H$3:$H$5000=I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I$5+1)/MAX(1,SUMPRODUCT((INPUT!$H$3:$H$5000=I$5+1)*ISNUMBER(INPUT!$K$3:$K$5000)*(INPUT!$J$3:$J$5000&lt;&gt;"HERRERO")*(INPUT!$J$3:$J$5000&lt;&gt;"GARCIA")*(INPUT!$J$3:$J$5000&lt;&gt;"OSCAR"))),0)</f>
        <v>670</v>
      </c>
      <c r="J15" s="142" cm="1">
        <f t="array" ref="J15">IFERROR(SUMPRODUCT((INPUT!$H$3:$H$5000=J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J$5+1)/MAX(1,SUMPRODUCT((INPUT!$H$3:$H$5000=J$5+1)*ISNUMBER(INPUT!$K$3:$K$5000)*(INPUT!$J$3:$J$5000&lt;&gt;"HERRERO")*(INPUT!$J$3:$J$5000&lt;&gt;"GARCIA")*(INPUT!$J$3:$J$5000&lt;&gt;"OSCAR"))),0)</f>
        <v>1066.5</v>
      </c>
      <c r="K15" s="142" cm="1">
        <f t="array" ref="K15">IFERROR(SUMPRODUCT((INPUT!$H$3:$H$5000=K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K$5+1)/MAX(1,SUMPRODUCT((INPUT!$H$3:$H$5000=K$5+1)*ISNUMBER(INPUT!$K$3:$K$5000)*(INPUT!$J$3:$J$5000&lt;&gt;"HERRERO")*(INPUT!$J$3:$J$5000&lt;&gt;"GARCIA")*(INPUT!$J$3:$J$5000&lt;&gt;"OSCAR"))),0)</f>
        <v>702.69230769230774</v>
      </c>
      <c r="L15" s="142" cm="1">
        <f t="array" ref="L15">IFERROR(SUMPRODUCT((INPUT!$H$3:$H$5000=L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L$5+1)/MAX(1,SUMPRODUCT((INPUT!$H$3:$H$5000=L$5+1)*ISNUMBER(INPUT!$K$3:$K$5000)*(INPUT!$J$3:$J$5000&lt;&gt;"HERRERO")*(INPUT!$J$3:$J$5000&lt;&gt;"GARCIA")*(INPUT!$J$3:$J$5000&lt;&gt;"OSCAR"))),0)</f>
        <v>168.75</v>
      </c>
      <c r="M15" s="142" cm="1">
        <f t="array" ref="M15">IFERROR(SUMPRODUCT((INPUT!$H$3:$H$5000=M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M$5+1)/MAX(1,SUMPRODUCT((INPUT!$H$3:$H$5000=M$5+1)*ISNUMBER(INPUT!$K$3:$K$5000)*(INPUT!$J$3:$J$5000&lt;&gt;"HERRERO")*(INPUT!$J$3:$J$5000&lt;&gt;"GARCIA")*(INPUT!$J$3:$J$5000&lt;&gt;"OSCAR"))),0)</f>
        <v>947.69230769230774</v>
      </c>
      <c r="N15" s="142" cm="1">
        <f t="array" ref="N15">IFERROR(SUMPRODUCT((INPUT!$H$3:$H$5000=N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N$5+1)/MAX(1,SUMPRODUCT((INPUT!$H$3:$H$5000=N$5+1)*ISNUMBER(INPUT!$K$3:$K$5000)*(INPUT!$J$3:$J$5000&lt;&gt;"HERRERO")*(INPUT!$J$3:$J$5000&lt;&gt;"GARCIA")*(INPUT!$J$3:$J$5000&lt;&gt;"OSCAR"))),0)</f>
        <v>911.25</v>
      </c>
      <c r="O15" s="142" cm="1">
        <f t="array" ref="O15">IFERROR(SUMPRODUCT((INPUT!$H$3:$H$5000=O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O$5+1)/MAX(1,SUMPRODUCT((INPUT!$H$3:$H$5000=O$5+1)*ISNUMBER(INPUT!$K$3:$K$5000)*(INPUT!$J$3:$J$5000&lt;&gt;"HERRERO")*(INPUT!$J$3:$J$5000&lt;&gt;"GARCIA")*(INPUT!$J$3:$J$5000&lt;&gt;"OSCAR"))),0)</f>
        <v>1125</v>
      </c>
      <c r="P15" s="142" cm="1">
        <f t="array" ref="P15">IFERROR(SUMPRODUCT((INPUT!$H$3:$H$5000=P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P$5+1)/MAX(1,SUMPRODUCT((INPUT!$H$3:$H$5000=P$5+1)*ISNUMBER(INPUT!$K$3:$K$5000)*(INPUT!$J$3:$J$5000&lt;&gt;"HERRERO")*(INPUT!$J$3:$J$5000&lt;&gt;"GARCIA")*(INPUT!$J$3:$J$5000&lt;&gt;"OSCAR"))),0)</f>
        <v>920</v>
      </c>
      <c r="Q15" s="142" cm="1">
        <f t="array" ref="Q15">IFERROR(SUMPRODUCT((INPUT!$H$3:$H$5000=Q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Q$5+1)/MAX(1,SUMPRODUCT((INPUT!$H$3:$H$5000=Q$5+1)*ISNUMBER(INPUT!$K$3:$K$5000)*(INPUT!$J$3:$J$5000&lt;&gt;"HERRERO")*(INPUT!$J$3:$J$5000&lt;&gt;"GARCIA")*(INPUT!$J$3:$J$5000&lt;&gt;"OSCAR"))),0)</f>
        <v>718.18181818181813</v>
      </c>
      <c r="R15" s="142" cm="1">
        <f t="array" ref="R15">IFERROR(SUMPRODUCT((INPUT!$H$3:$H$5000=R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R$5+1)/MAX(1,SUMPRODUCT((INPUT!$H$3:$H$5000=R$5+1)*ISNUMBER(INPUT!$K$3:$K$5000)*(INPUT!$J$3:$J$5000&lt;&gt;"HERRERO")*(INPUT!$J$3:$J$5000&lt;&gt;"GARCIA")*(INPUT!$J$3:$J$5000&lt;&gt;"OSCAR"))),0)</f>
        <v>247.5</v>
      </c>
      <c r="S15" s="142" cm="1">
        <f t="array" ref="S15">IFERROR(SUMPRODUCT((INPUT!$H$3:$H$5000=S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S$5+1)/MAX(1,SUMPRODUCT((INPUT!$H$3:$H$5000=S$5+1)*ISNUMBER(INPUT!$K$3:$K$5000)*(INPUT!$J$3:$J$5000&lt;&gt;"HERRERO")*(INPUT!$J$3:$J$5000&lt;&gt;"GARCIA")*(INPUT!$J$3:$J$5000&lt;&gt;"OSCAR"))),0)</f>
        <v>822.72727272727275</v>
      </c>
      <c r="T15" s="142" cm="1">
        <f t="array" ref="T15">IFERROR(SUMPRODUCT((INPUT!$H$3:$H$5000=T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T$5+1)/MAX(1,SUMPRODUCT((INPUT!$H$3:$H$5000=T$5+1)*ISNUMBER(INPUT!$K$3:$K$5000)*(INPUT!$J$3:$J$5000&lt;&gt;"HERRERO")*(INPUT!$J$3:$J$5000&lt;&gt;"GARCIA")*(INPUT!$J$3:$J$5000&lt;&gt;"OSCAR"))),0)</f>
        <v>821.53846153846155</v>
      </c>
      <c r="U15" s="142" cm="1">
        <f t="array" ref="U15">IFERROR(SUMPRODUCT((INPUT!$H$3:$H$5000=U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U$5+1)/MAX(1,SUMPRODUCT((INPUT!$H$3:$H$5000=U$5+1)*ISNUMBER(INPUT!$K$3:$K$5000)*(INPUT!$J$3:$J$5000&lt;&gt;"HERRERO")*(INPUT!$J$3:$J$5000&lt;&gt;"GARCIA")*(INPUT!$J$3:$J$5000&lt;&gt;"OSCAR"))),0)</f>
        <v>948.57142857142856</v>
      </c>
      <c r="V15" s="142" cm="1">
        <f t="array" ref="V15">IFERROR(SUMPRODUCT((INPUT!$H$3:$H$5000=V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V$5+1)/MAX(1,SUMPRODUCT((INPUT!$H$3:$H$5000=V$5+1)*ISNUMBER(INPUT!$K$3:$K$5000)*(INPUT!$J$3:$J$5000&lt;&gt;"HERRERO")*(INPUT!$J$3:$J$5000&lt;&gt;"GARCIA")*(INPUT!$J$3:$J$5000&lt;&gt;"OSCAR"))),0)</f>
        <v>978.75</v>
      </c>
      <c r="W15" s="142" cm="1">
        <f t="array" ref="W15">IFERROR(SUMPRODUCT((INPUT!$H$3:$H$5000=W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W$5+1)/MAX(1,SUMPRODUCT((INPUT!$H$3:$H$5000=W$5+1)*ISNUMBER(INPUT!$K$3:$K$5000)*(INPUT!$J$3:$J$5000&lt;&gt;"HERRERO")*(INPUT!$J$3:$J$5000&lt;&gt;"GARCIA")*(INPUT!$J$3:$J$5000&lt;&gt;"OSCAR"))),0)</f>
        <v>1054.2857142857142</v>
      </c>
      <c r="X15" s="142" cm="1">
        <f t="array" ref="X15">IFERROR(SUMPRODUCT((INPUT!$H$3:$H$5000=X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X$5+1)/MAX(1,SUMPRODUCT((INPUT!$H$3:$H$5000=X$5+1)*ISNUMBER(INPUT!$K$3:$K$5000)*(INPUT!$J$3:$J$5000&lt;&gt;"HERRERO")*(INPUT!$J$3:$J$5000&lt;&gt;"GARCIA")*(INPUT!$J$3:$J$5000&lt;&gt;"OSCAR"))),0)</f>
        <v>641.25</v>
      </c>
      <c r="Y15" s="142" cm="1">
        <f t="array" ref="Y15">IFERROR(SUMPRODUCT((INPUT!$H$3:$H$5000=Y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Y$5+1)/MAX(1,SUMPRODUCT((INPUT!$H$3:$H$5000=Y$5+1)*ISNUMBER(INPUT!$K$3:$K$5000)*(INPUT!$J$3:$J$5000&lt;&gt;"HERRERO")*(INPUT!$J$3:$J$5000&lt;&gt;"GARCIA")*(INPUT!$J$3:$J$5000&lt;&gt;"OSCAR"))),0)</f>
        <v>270.76923076923077</v>
      </c>
      <c r="Z15" s="142" cm="1">
        <f t="array" ref="Z15">IFERROR(SUMPRODUCT((INPUT!$H$3:$H$5000=Z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Z$5+1)/MAX(1,SUMPRODUCT((INPUT!$H$3:$H$5000=Z$5+1)*ISNUMBER(INPUT!$K$3:$K$5000)*(INPUT!$J$3:$J$5000&lt;&gt;"HERRERO")*(INPUT!$J$3:$J$5000&lt;&gt;"GARCIA")*(INPUT!$J$3:$J$5000&lt;&gt;"OSCAR"))),0)</f>
        <v>0</v>
      </c>
      <c r="AA15" s="142" cm="1">
        <f t="array" ref="AA15">IFERROR(SUMPRODUCT((INPUT!$H$3:$H$5000=AA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A$5+1)/MAX(1,SUMPRODUCT((INPUT!$H$3:$H$5000=AA$5+1)*ISNUMBER(INPUT!$K$3:$K$5000)*(INPUT!$J$3:$J$5000&lt;&gt;"HERRERO")*(INPUT!$J$3:$J$5000&lt;&gt;"GARCIA")*(INPUT!$J$3:$J$5000&lt;&gt;"OSCAR"))),0)</f>
        <v>900</v>
      </c>
      <c r="AB15" s="142" cm="1">
        <f t="array" ref="AB15">IFERROR(SUMPRODUCT((INPUT!$H$3:$H$5000=AB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B$5+1)/MAX(1,SUMPRODUCT((INPUT!$H$3:$H$5000=AB$5+1)*ISNUMBER(INPUT!$K$3:$K$5000)*(INPUT!$J$3:$J$5000&lt;&gt;"HERRERO")*(INPUT!$J$3:$J$5000&lt;&gt;"GARCIA")*(INPUT!$J$3:$J$5000&lt;&gt;"OSCAR"))),0)</f>
        <v>1270</v>
      </c>
      <c r="AC15" s="142" cm="1">
        <f t="array" ref="AC15">IFERROR(SUMPRODUCT((INPUT!$H$3:$H$5000=AC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C$5+1)/MAX(1,SUMPRODUCT((INPUT!$H$3:$H$5000=AC$5+1)*ISNUMBER(INPUT!$K$3:$K$5000)*(INPUT!$J$3:$J$5000&lt;&gt;"HERRERO")*(INPUT!$J$3:$J$5000&lt;&gt;"GARCIA")*(INPUT!$J$3:$J$5000&lt;&gt;"OSCAR"))),0)</f>
        <v>613.63636363636363</v>
      </c>
      <c r="AD15" s="142" cm="1">
        <f t="array" ref="AD15">IFERROR(SUMPRODUCT((INPUT!$H$3:$H$5000=AD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D$5+1)/MAX(1,SUMPRODUCT((INPUT!$H$3:$H$5000=AD$5+1)*ISNUMBER(INPUT!$K$3:$K$5000)*(INPUT!$J$3:$J$5000&lt;&gt;"HERRERO")*(INPUT!$J$3:$J$5000&lt;&gt;"GARCIA")*(INPUT!$J$3:$J$5000&lt;&gt;"OSCAR"))),0)</f>
        <v>470.76923076923077</v>
      </c>
      <c r="AE15" s="142" cm="1">
        <f t="array" ref="AE15">IFERROR(SUMPRODUCT((INPUT!$H$3:$H$5000=AE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E$5+1)/MAX(1,SUMPRODUCT((INPUT!$H$3:$H$5000=AE$5+1)*ISNUMBER(INPUT!$K$3:$K$5000)*(INPUT!$J$3:$J$5000&lt;&gt;"HERRERO")*(INPUT!$J$3:$J$5000&lt;&gt;"GARCIA")*(INPUT!$J$3:$J$5000&lt;&gt;"OSCAR"))),0)</f>
        <v>450</v>
      </c>
      <c r="AF15" s="142" cm="1">
        <f t="array" ref="AF15">IFERROR(SUMPRODUCT((INPUT!$H$3:$H$5000=AF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F$5+1)/MAX(1,SUMPRODUCT((INPUT!$H$3:$H$5000=AF$5+1)*ISNUMBER(INPUT!$K$3:$K$5000)*(INPUT!$J$3:$J$5000&lt;&gt;"HERRERO")*(INPUT!$J$3:$J$5000&lt;&gt;"GARCIA")*(INPUT!$J$3:$J$5000&lt;&gt;"OSCAR"))),0)</f>
        <v>670</v>
      </c>
      <c r="AG15" s="142" cm="1">
        <f t="array" ref="AG15">IFERROR(SUMPRODUCT((INPUT!$H$3:$H$5000=AG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G$5+1)/MAX(1,SUMPRODUCT((INPUT!$H$3:$H$5000=AG$5+1)*ISNUMBER(INPUT!$K$3:$K$5000)*(INPUT!$J$3:$J$5000&lt;&gt;"HERRERO")*(INPUT!$J$3:$J$5000&lt;&gt;"GARCIA")*(INPUT!$J$3:$J$5000&lt;&gt;"OSCAR"))),0)</f>
        <v>1053</v>
      </c>
      <c r="AH15" s="142" cm="1">
        <f t="array" ref="AH15">IFERROR(SUMPRODUCT((INPUT!$H$3:$H$5000=AH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H$5+1)/MAX(1,SUMPRODUCT((INPUT!$H$3:$H$5000=AH$5+1)*ISNUMBER(INPUT!$K$3:$K$5000)*(INPUT!$J$3:$J$5000&lt;&gt;"HERRERO")*(INPUT!$J$3:$J$5000&lt;&gt;"GARCIA")*(INPUT!$J$3:$J$5000&lt;&gt;"OSCAR"))),0)</f>
        <v>733.33333333333337</v>
      </c>
      <c r="AI15" s="142" cm="1">
        <f t="array" ref="AI15">IFERROR(SUMPRODUCT((INPUT!$H$3:$H$5000=AI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I$5+1)/MAX(1,SUMPRODUCT((INPUT!$H$3:$H$5000=AI$5+1)*ISNUMBER(INPUT!$K$3:$K$5000)*(INPUT!$J$3:$J$5000&lt;&gt;"HERRERO")*(INPUT!$J$3:$J$5000&lt;&gt;"GARCIA")*(INPUT!$J$3:$J$5000&lt;&gt;"OSCAR"))),0)</f>
        <v>270</v>
      </c>
      <c r="AJ15" s="142" cm="1">
        <f t="array" ref="AJ15">IFERROR(SUMPRODUCT((INPUT!$H$3:$H$5000=AJ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J$5+1)/MAX(1,SUMPRODUCT((INPUT!$H$3:$H$5000=AJ$5+1)*ISNUMBER(INPUT!$K$3:$K$5000)*(INPUT!$J$3:$J$5000&lt;&gt;"HERRERO")*(INPUT!$J$3:$J$5000&lt;&gt;"GARCIA")*(INPUT!$J$3:$J$5000&lt;&gt;"OSCAR"))),0)</f>
        <v>845.4545454545455</v>
      </c>
      <c r="AK15" s="142" cm="1">
        <f t="array" ref="AK15">IFERROR(SUMPRODUCT((INPUT!$H$3:$H$5000=AK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K$5+1)/MAX(1,SUMPRODUCT((INPUT!$H$3:$H$5000=AK$5+1)*ISNUMBER(INPUT!$K$3:$K$5000)*(INPUT!$J$3:$J$5000&lt;&gt;"HERRERO")*(INPUT!$J$3:$J$5000&lt;&gt;"GARCIA")*(INPUT!$J$3:$J$5000&lt;&gt;"OSCAR"))),0)</f>
        <v>937.5</v>
      </c>
      <c r="AL15" s="142" cm="1">
        <f t="array" ref="AL15">IFERROR(SUMPRODUCT((INPUT!$H$3:$H$5000=AL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L$5+1)/MAX(1,SUMPRODUCT((INPUT!$H$3:$H$5000=AL$5+1)*ISNUMBER(INPUT!$K$3:$K$5000)*(INPUT!$J$3:$J$5000&lt;&gt;"HERRERO")*(INPUT!$J$3:$J$5000&lt;&gt;"GARCIA")*(INPUT!$J$3:$J$5000&lt;&gt;"OSCAR"))),0)</f>
        <v>854.5454545454545</v>
      </c>
      <c r="AM15" s="142" cm="1">
        <f t="array" ref="AM15">IFERROR(SUMPRODUCT((INPUT!$H$3:$H$5000=AM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M$5+1)/MAX(1,SUMPRODUCT((INPUT!$H$3:$H$5000=AM$5+1)*ISNUMBER(INPUT!$K$3:$K$5000)*(INPUT!$J$3:$J$5000&lt;&gt;"HERRERO")*(INPUT!$J$3:$J$5000&lt;&gt;"GARCIA")*(INPUT!$J$3:$J$5000&lt;&gt;"OSCAR"))),0)</f>
        <v>858.46153846153845</v>
      </c>
      <c r="AN15" s="142" cm="1">
        <f t="array" ref="AN15">IFERROR(SUMPRODUCT((INPUT!$H$3:$H$5000=AN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N$5+1)/MAX(1,SUMPRODUCT((INPUT!$H$3:$H$5000=AN$5+1)*ISNUMBER(INPUT!$K$3:$K$5000)*(INPUT!$J$3:$J$5000&lt;&gt;"HERRERO")*(INPUT!$J$3:$J$5000&lt;&gt;"GARCIA")*(INPUT!$J$3:$J$5000&lt;&gt;"OSCAR"))),0)</f>
        <v>0</v>
      </c>
      <c r="AO15" s="142" cm="1">
        <f t="array" ref="AO15">IFERROR(SUMPRODUCT((INPUT!$H$3:$H$5000=AO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O$5+1)/MAX(1,SUMPRODUCT((INPUT!$H$3:$H$5000=AO$5+1)*ISNUMBER(INPUT!$K$3:$K$5000)*(INPUT!$J$3:$J$5000&lt;&gt;"HERRERO")*(INPUT!$J$3:$J$5000&lt;&gt;"GARCIA")*(INPUT!$J$3:$J$5000&lt;&gt;"OSCAR"))),0)</f>
        <v>0</v>
      </c>
      <c r="AP15" s="142" cm="1">
        <f t="array" ref="AP15">IFERROR(SUMPRODUCT((INPUT!$H$3:$H$5000=AP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P$5+1)/MAX(1,SUMPRODUCT((INPUT!$H$3:$H$5000=AP$5+1)*ISNUMBER(INPUT!$K$3:$K$5000)*(INPUT!$J$3:$J$5000&lt;&gt;"HERRERO")*(INPUT!$J$3:$J$5000&lt;&gt;"GARCIA")*(INPUT!$J$3:$J$5000&lt;&gt;"OSCAR"))),0)</f>
        <v>0</v>
      </c>
      <c r="AQ15" s="142" cm="1">
        <f t="array" ref="AQ15">IFERROR(SUMPRODUCT((INPUT!$H$3:$H$5000=AQ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Q$5+1)/MAX(1,SUMPRODUCT((INPUT!$H$3:$H$5000=AQ$5+1)*ISNUMBER(INPUT!$K$3:$K$5000)*(INPUT!$J$3:$J$5000&lt;&gt;"HERRERO")*(INPUT!$J$3:$J$5000&lt;&gt;"GARCIA")*(INPUT!$J$3:$J$5000&lt;&gt;"OSCAR"))),0)</f>
        <v>0</v>
      </c>
      <c r="AR15" s="142" cm="1">
        <f t="array" ref="AR15">IFERROR(SUMPRODUCT((INPUT!$H$3:$H$5000=AR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R$5+1)/MAX(1,SUMPRODUCT((INPUT!$H$3:$H$5000=AR$5+1)*ISNUMBER(INPUT!$K$3:$K$5000)*(INPUT!$J$3:$J$5000&lt;&gt;"HERRERO")*(INPUT!$J$3:$J$5000&lt;&gt;"GARCIA")*(INPUT!$J$3:$J$5000&lt;&gt;"OSCAR"))),0)</f>
        <v>0</v>
      </c>
      <c r="AS15" s="142" cm="1">
        <f t="array" ref="AS15">IFERROR(SUMPRODUCT((INPUT!$H$3:$H$5000=AS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S$5+1)/MAX(1,SUMPRODUCT((INPUT!$H$3:$H$5000=AS$5+1)*ISNUMBER(INPUT!$K$3:$K$5000)*(INPUT!$J$3:$J$5000&lt;&gt;"HERRERO")*(INPUT!$J$3:$J$5000&lt;&gt;"GARCIA")*(INPUT!$J$3:$J$5000&lt;&gt;"OSCAR"))),0)</f>
        <v>0</v>
      </c>
      <c r="AT15" s="142" cm="1">
        <f t="array" ref="AT15">IFERROR(SUMPRODUCT((INPUT!$H$3:$H$5000=AT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T$5+1)/MAX(1,SUMPRODUCT((INPUT!$H$3:$H$5000=AT$5+1)*ISNUMBER(INPUT!$K$3:$K$5000)*(INPUT!$J$3:$J$5000&lt;&gt;"HERRERO")*(INPUT!$J$3:$J$5000&lt;&gt;"GARCIA")*(INPUT!$J$3:$J$5000&lt;&gt;"OSCAR"))),0)</f>
        <v>0</v>
      </c>
      <c r="AU15" s="142" cm="1">
        <f t="array" ref="AU15">IFERROR(SUMPRODUCT((INPUT!$H$3:$H$5000=AU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U$5+1)/MAX(1,SUMPRODUCT((INPUT!$H$3:$H$5000=AU$5+1)*ISNUMBER(INPUT!$K$3:$K$5000)*(INPUT!$J$3:$J$5000&lt;&gt;"HERRERO")*(INPUT!$J$3:$J$5000&lt;&gt;"GARCIA")*(INPUT!$J$3:$J$5000&lt;&gt;"OSCAR"))),0)</f>
        <v>0</v>
      </c>
      <c r="AV15" s="142" cm="1">
        <f t="array" ref="AV15">IFERROR(SUMPRODUCT((INPUT!$H$3:$H$5000=AV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V$5+1)/MAX(1,SUMPRODUCT((INPUT!$H$3:$H$5000=AV$5+1)*ISNUMBER(INPUT!$K$3:$K$5000)*(INPUT!$J$3:$J$5000&lt;&gt;"HERRERO")*(INPUT!$J$3:$J$5000&lt;&gt;"GARCIA")*(INPUT!$J$3:$J$5000&lt;&gt;"OSCAR"))),0)</f>
        <v>0</v>
      </c>
      <c r="AW15" s="143" cm="1">
        <f t="array" ref="AW15">IFERROR(SUMPRODUCT((INPUT!$H$3:$H$5000=AW$5+1)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W$5+1)/MAX(1,SUMPRODUCT((INPUT!$H$3:$H$5000=AW$5+1)*ISNUMBER(INPUT!$K$3:$K$5000)*(INPUT!$J$3:$J$5000&lt;&gt;"HERRERO")*(INPUT!$J$3:$J$5000&lt;&gt;"GARCIA")*(INPUT!$J$3:$J$5000&lt;&gt;"OSCAR"))),0)</f>
        <v>0</v>
      </c>
    </row>
    <row r="16" spans="1:49" x14ac:dyDescent="0.2">
      <c r="A16" s="134" t="s">
        <v>189</v>
      </c>
      <c r="B16" s="131" cm="1">
        <f t="array" ref="B16">IFERROR(SUMPRODUCT((INPUT!$H$3:$H$5000=B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B$5+2)/MAX(1,SUMPRODUCT((INPUT!$H$3:$H$5000=B$5+2)*ISNUMBER(INPUT!$K$3:$K$5000)*(INPUT!$J$3:$J$5000&lt;&gt;"HERRERO")*(INPUT!$J$3:$J$5000&lt;&gt;"GARCIA")*(INPUT!$J$3:$J$5000&lt;&gt;"OSCAR"))),0)</f>
        <v>1568.5714285714287</v>
      </c>
      <c r="C16" s="131" cm="1">
        <f t="array" ref="C16">IFERROR(SUMPRODUCT((INPUT!$H$3:$H$5000=C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C$5+2)/MAX(1,SUMPRODUCT((INPUT!$H$3:$H$5000=C$5+2)*ISNUMBER(INPUT!$K$3:$K$5000)*(INPUT!$J$3:$J$5000&lt;&gt;"HERRERO")*(INPUT!$J$3:$J$5000&lt;&gt;"GARCIA")*(INPUT!$J$3:$J$5000&lt;&gt;"OSCAR"))),0)</f>
        <v>1430.7692307692307</v>
      </c>
      <c r="D16" s="131" cm="1">
        <f t="array" ref="D16">IFERROR(SUMPRODUCT((INPUT!$H$3:$H$5000=D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D$5+2)/MAX(1,SUMPRODUCT((INPUT!$H$3:$H$5000=D$5+2)*ISNUMBER(INPUT!$K$3:$K$5000)*(INPUT!$J$3:$J$5000&lt;&gt;"HERRERO")*(INPUT!$J$3:$J$5000&lt;&gt;"GARCIA")*(INPUT!$J$3:$J$5000&lt;&gt;"OSCAR"))),0)</f>
        <v>1460</v>
      </c>
      <c r="E16" s="131" cm="1">
        <f t="array" ref="E16">IFERROR(SUMPRODUCT((INPUT!$H$3:$H$5000=E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E$5+2)/MAX(1,SUMPRODUCT((INPUT!$H$3:$H$5000=E$5+2)*ISNUMBER(INPUT!$K$3:$K$5000)*(INPUT!$J$3:$J$5000&lt;&gt;"HERRERO")*(INPUT!$J$3:$J$5000&lt;&gt;"GARCIA")*(INPUT!$J$3:$J$5000&lt;&gt;"OSCAR"))),0)</f>
        <v>1583.0769230769231</v>
      </c>
      <c r="F16" s="131" cm="1">
        <f t="array" ref="F16">IFERROR(SUMPRODUCT((INPUT!$H$3:$H$5000=F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F$5+2)/MAX(1,SUMPRODUCT((INPUT!$H$3:$H$5000=F$5+2)*ISNUMBER(INPUT!$K$3:$K$5000)*(INPUT!$J$3:$J$5000&lt;&gt;"HERRERO")*(INPUT!$J$3:$J$5000&lt;&gt;"GARCIA")*(INPUT!$J$3:$J$5000&lt;&gt;"OSCAR"))),0)</f>
        <v>1023.75</v>
      </c>
      <c r="G16" s="131" cm="1">
        <f t="array" ref="G16">IFERROR(SUMPRODUCT((INPUT!$H$3:$H$5000=G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G$5+2)/MAX(1,SUMPRODUCT((INPUT!$H$3:$H$5000=G$5+2)*ISNUMBER(INPUT!$K$3:$K$5000)*(INPUT!$J$3:$J$5000&lt;&gt;"HERRERO")*(INPUT!$J$3:$J$5000&lt;&gt;"GARCIA")*(INPUT!$J$3:$J$5000&lt;&gt;"OSCAR"))),0)</f>
        <v>920</v>
      </c>
      <c r="H16" s="131" cm="1">
        <f t="array" ref="H16">IFERROR(SUMPRODUCT((INPUT!$H$3:$H$5000=H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H$5+2)/MAX(1,SUMPRODUCT((INPUT!$H$3:$H$5000=H$5+2)*ISNUMBER(INPUT!$K$3:$K$5000)*(INPUT!$J$3:$J$5000&lt;&gt;"HERRERO")*(INPUT!$J$3:$J$5000&lt;&gt;"GARCIA")*(INPUT!$J$3:$J$5000&lt;&gt;"OSCAR"))),0)</f>
        <v>0</v>
      </c>
      <c r="I16" s="131" cm="1">
        <f t="array" ref="I16">IFERROR(SUMPRODUCT((INPUT!$H$3:$H$5000=I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I$5+2)/MAX(1,SUMPRODUCT((INPUT!$H$3:$H$5000=I$5+2)*ISNUMBER(INPUT!$K$3:$K$5000)*(INPUT!$J$3:$J$5000&lt;&gt;"HERRERO")*(INPUT!$J$3:$J$5000&lt;&gt;"GARCIA")*(INPUT!$J$3:$J$5000&lt;&gt;"OSCAR"))),0)</f>
        <v>885.71428571428567</v>
      </c>
      <c r="J16" s="131" cm="1">
        <f t="array" ref="J16">IFERROR(SUMPRODUCT((INPUT!$H$3:$H$5000=J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J$5+2)/MAX(1,SUMPRODUCT((INPUT!$H$3:$H$5000=J$5+2)*ISNUMBER(INPUT!$K$3:$K$5000)*(INPUT!$J$3:$J$5000&lt;&gt;"HERRERO")*(INPUT!$J$3:$J$5000&lt;&gt;"GARCIA")*(INPUT!$J$3:$J$5000&lt;&gt;"OSCAR"))),0)</f>
        <v>995.76923076923072</v>
      </c>
      <c r="K16" s="131" cm="1">
        <f t="array" ref="K16">IFERROR(SUMPRODUCT((INPUT!$H$3:$H$5000=K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K$5+2)/MAX(1,SUMPRODUCT((INPUT!$H$3:$H$5000=K$5+2)*ISNUMBER(INPUT!$K$3:$K$5000)*(INPUT!$J$3:$J$5000&lt;&gt;"HERRERO")*(INPUT!$J$3:$J$5000&lt;&gt;"GARCIA")*(INPUT!$J$3:$J$5000&lt;&gt;"OSCAR"))),0)</f>
        <v>885</v>
      </c>
      <c r="L16" s="131" cm="1">
        <f t="array" ref="L16">IFERROR(SUMPRODUCT((INPUT!$H$3:$H$5000=L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L$5+2)/MAX(1,SUMPRODUCT((INPUT!$H$3:$H$5000=L$5+2)*ISNUMBER(INPUT!$K$3:$K$5000)*(INPUT!$J$3:$J$5000&lt;&gt;"HERRERO")*(INPUT!$J$3:$J$5000&lt;&gt;"GARCIA")*(INPUT!$J$3:$J$5000&lt;&gt;"OSCAR"))),0)</f>
        <v>992.72727272727275</v>
      </c>
      <c r="M16" s="131" cm="1">
        <f t="array" ref="M16">IFERROR(SUMPRODUCT((INPUT!$H$3:$H$5000=M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M$5+2)/MAX(1,SUMPRODUCT((INPUT!$H$3:$H$5000=M$5+2)*ISNUMBER(INPUT!$K$3:$K$5000)*(INPUT!$J$3:$J$5000&lt;&gt;"HERRERO")*(INPUT!$J$3:$J$5000&lt;&gt;"GARCIA")*(INPUT!$J$3:$J$5000&lt;&gt;"OSCAR"))),0)</f>
        <v>687.27272727272725</v>
      </c>
      <c r="N16" s="131" cm="1">
        <f t="array" ref="N16">IFERROR(SUMPRODUCT((INPUT!$H$3:$H$5000=N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N$5+2)/MAX(1,SUMPRODUCT((INPUT!$H$3:$H$5000=N$5+2)*ISNUMBER(INPUT!$K$3:$K$5000)*(INPUT!$J$3:$J$5000&lt;&gt;"HERRERO")*(INPUT!$J$3:$J$5000&lt;&gt;"GARCIA")*(INPUT!$J$3:$J$5000&lt;&gt;"OSCAR"))),0)</f>
        <v>1186.6666666666667</v>
      </c>
      <c r="O16" s="131" cm="1">
        <f t="array" ref="O16">IFERROR(SUMPRODUCT((INPUT!$H$3:$H$5000=O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O$5+2)/MAX(1,SUMPRODUCT((INPUT!$H$3:$H$5000=O$5+2)*ISNUMBER(INPUT!$K$3:$K$5000)*(INPUT!$J$3:$J$5000&lt;&gt;"HERRERO")*(INPUT!$J$3:$J$5000&lt;&gt;"GARCIA")*(INPUT!$J$3:$J$5000&lt;&gt;"OSCAR"))),0)</f>
        <v>652.5</v>
      </c>
      <c r="P16" s="131" cm="1">
        <f t="array" ref="P16">IFERROR(SUMPRODUCT((INPUT!$H$3:$H$5000=P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P$5+2)/MAX(1,SUMPRODUCT((INPUT!$H$3:$H$5000=P$5+2)*ISNUMBER(INPUT!$K$3:$K$5000)*(INPUT!$J$3:$J$5000&lt;&gt;"HERRERO")*(INPUT!$J$3:$J$5000&lt;&gt;"GARCIA")*(INPUT!$J$3:$J$5000&lt;&gt;"OSCAR"))),0)</f>
        <v>30</v>
      </c>
      <c r="Q16" s="131" cm="1">
        <f t="array" ref="Q16">IFERROR(SUMPRODUCT((INPUT!$H$3:$H$5000=Q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Q$5+2)/MAX(1,SUMPRODUCT((INPUT!$H$3:$H$5000=Q$5+2)*ISNUMBER(INPUT!$K$3:$K$5000)*(INPUT!$J$3:$J$5000&lt;&gt;"HERRERO")*(INPUT!$J$3:$J$5000&lt;&gt;"GARCIA")*(INPUT!$J$3:$J$5000&lt;&gt;"OSCAR"))),0)</f>
        <v>1236.3636363636363</v>
      </c>
      <c r="R16" s="131" cm="1">
        <f t="array" ref="R16">IFERROR(SUMPRODUCT((INPUT!$H$3:$H$5000=R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R$5+2)/MAX(1,SUMPRODUCT((INPUT!$H$3:$H$5000=R$5+2)*ISNUMBER(INPUT!$K$3:$K$5000)*(INPUT!$J$3:$J$5000&lt;&gt;"HERRERO")*(INPUT!$J$3:$J$5000&lt;&gt;"GARCIA")*(INPUT!$J$3:$J$5000&lt;&gt;"OSCAR"))),0)</f>
        <v>790</v>
      </c>
      <c r="S16" s="131" cm="1">
        <f t="array" ref="S16">IFERROR(SUMPRODUCT((INPUT!$H$3:$H$5000=S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S$5+2)/MAX(1,SUMPRODUCT((INPUT!$H$3:$H$5000=S$5+2)*ISNUMBER(INPUT!$K$3:$K$5000)*(INPUT!$J$3:$J$5000&lt;&gt;"HERRERO")*(INPUT!$J$3:$J$5000&lt;&gt;"GARCIA")*(INPUT!$J$3:$J$5000&lt;&gt;"OSCAR"))),0)</f>
        <v>30</v>
      </c>
      <c r="T16" s="131" cm="1">
        <f t="array" ref="T16">IFERROR(SUMPRODUCT((INPUT!$H$3:$H$5000=T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T$5+2)/MAX(1,SUMPRODUCT((INPUT!$H$3:$H$5000=T$5+2)*ISNUMBER(INPUT!$K$3:$K$5000)*(INPUT!$J$3:$J$5000&lt;&gt;"HERRERO")*(INPUT!$J$3:$J$5000&lt;&gt;"GARCIA")*(INPUT!$J$3:$J$5000&lt;&gt;"OSCAR"))),0)</f>
        <v>1001.5384615384615</v>
      </c>
      <c r="U16" s="131" cm="1">
        <f t="array" ref="U16">IFERROR(SUMPRODUCT((INPUT!$H$3:$H$5000=U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U$5+2)/MAX(1,SUMPRODUCT((INPUT!$H$3:$H$5000=U$5+2)*ISNUMBER(INPUT!$K$3:$K$5000)*(INPUT!$J$3:$J$5000&lt;&gt;"HERRERO")*(INPUT!$J$3:$J$5000&lt;&gt;"GARCIA")*(INPUT!$J$3:$J$5000&lt;&gt;"OSCAR"))),0)</f>
        <v>112.5</v>
      </c>
      <c r="V16" s="131" cm="1">
        <f t="array" ref="V16">IFERROR(SUMPRODUCT((INPUT!$H$3:$H$5000=V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V$5+2)/MAX(1,SUMPRODUCT((INPUT!$H$3:$H$5000=V$5+2)*ISNUMBER(INPUT!$K$3:$K$5000)*(INPUT!$J$3:$J$5000&lt;&gt;"HERRERO")*(INPUT!$J$3:$J$5000&lt;&gt;"GARCIA")*(INPUT!$J$3:$J$5000&lt;&gt;"OSCAR"))),0)</f>
        <v>707.14285714285711</v>
      </c>
      <c r="W16" s="131" cm="1">
        <f t="array" ref="W16">IFERROR(SUMPRODUCT((INPUT!$H$3:$H$5000=W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W$5+2)/MAX(1,SUMPRODUCT((INPUT!$H$3:$H$5000=W$5+2)*ISNUMBER(INPUT!$K$3:$K$5000)*(INPUT!$J$3:$J$5000&lt;&gt;"HERRERO")*(INPUT!$J$3:$J$5000&lt;&gt;"GARCIA")*(INPUT!$J$3:$J$5000&lt;&gt;"OSCAR"))),0)</f>
        <v>0</v>
      </c>
      <c r="X16" s="131" cm="1">
        <f t="array" ref="X16">IFERROR(SUMPRODUCT((INPUT!$H$3:$H$5000=X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X$5+2)/MAX(1,SUMPRODUCT((INPUT!$H$3:$H$5000=X$5+2)*ISNUMBER(INPUT!$K$3:$K$5000)*(INPUT!$J$3:$J$5000&lt;&gt;"HERRERO")*(INPUT!$J$3:$J$5000&lt;&gt;"GARCIA")*(INPUT!$J$3:$J$5000&lt;&gt;"OSCAR"))),0)</f>
        <v>495</v>
      </c>
      <c r="Y16" s="131" cm="1">
        <f t="array" ref="Y16">IFERROR(SUMPRODUCT((INPUT!$H$3:$H$5000=Y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Y$5+2)/MAX(1,SUMPRODUCT((INPUT!$H$3:$H$5000=Y$5+2)*ISNUMBER(INPUT!$K$3:$K$5000)*(INPUT!$J$3:$J$5000&lt;&gt;"HERRERO")*(INPUT!$J$3:$J$5000&lt;&gt;"GARCIA")*(INPUT!$J$3:$J$5000&lt;&gt;"OSCAR"))),0)</f>
        <v>796.36363636363637</v>
      </c>
      <c r="Z16" s="131" cm="1">
        <f t="array" ref="Z16">IFERROR(SUMPRODUCT((INPUT!$H$3:$H$5000=Z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Z$5+2)/MAX(1,SUMPRODUCT((INPUT!$H$3:$H$5000=Z$5+2)*ISNUMBER(INPUT!$K$3:$K$5000)*(INPUT!$J$3:$J$5000&lt;&gt;"HERRERO")*(INPUT!$J$3:$J$5000&lt;&gt;"GARCIA")*(INPUT!$J$3:$J$5000&lt;&gt;"OSCAR"))),0)</f>
        <v>0</v>
      </c>
      <c r="AA16" s="131" cm="1">
        <f t="array" ref="AA16">IFERROR(SUMPRODUCT((INPUT!$H$3:$H$5000=AA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A$5+2)/MAX(1,SUMPRODUCT((INPUT!$H$3:$H$5000=AA$5+2)*ISNUMBER(INPUT!$K$3:$K$5000)*(INPUT!$J$3:$J$5000&lt;&gt;"HERRERO")*(INPUT!$J$3:$J$5000&lt;&gt;"GARCIA")*(INPUT!$J$3:$J$5000&lt;&gt;"OSCAR"))),0)</f>
        <v>1200</v>
      </c>
      <c r="AB16" s="131" cm="1">
        <f t="array" ref="AB16">IFERROR(SUMPRODUCT((INPUT!$H$3:$H$5000=AB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B$5+2)/MAX(1,SUMPRODUCT((INPUT!$H$3:$H$5000=AB$5+2)*ISNUMBER(INPUT!$K$3:$K$5000)*(INPUT!$J$3:$J$5000&lt;&gt;"HERRERO")*(INPUT!$J$3:$J$5000&lt;&gt;"GARCIA")*(INPUT!$J$3:$J$5000&lt;&gt;"OSCAR"))),0)</f>
        <v>777</v>
      </c>
      <c r="AC16" s="131" cm="1">
        <f t="array" ref="AC16">IFERROR(SUMPRODUCT((INPUT!$H$3:$H$5000=AC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C$5+2)/MAX(1,SUMPRODUCT((INPUT!$H$3:$H$5000=AC$5+2)*ISNUMBER(INPUT!$K$3:$K$5000)*(INPUT!$J$3:$J$5000&lt;&gt;"HERRERO")*(INPUT!$J$3:$J$5000&lt;&gt;"GARCIA")*(INPUT!$J$3:$J$5000&lt;&gt;"OSCAR"))),0)</f>
        <v>1131.8181818181818</v>
      </c>
      <c r="AD16" s="131" cm="1">
        <f t="array" ref="AD16">IFERROR(SUMPRODUCT((INPUT!$H$3:$H$5000=AD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D$5+2)/MAX(1,SUMPRODUCT((INPUT!$H$3:$H$5000=AD$5+2)*ISNUMBER(INPUT!$K$3:$K$5000)*(INPUT!$J$3:$J$5000&lt;&gt;"HERRERO")*(INPUT!$J$3:$J$5000&lt;&gt;"GARCIA")*(INPUT!$J$3:$J$5000&lt;&gt;"OSCAR"))),0)</f>
        <v>881.25</v>
      </c>
      <c r="AE16" s="131" cm="1">
        <f t="array" ref="AE16">IFERROR(SUMPRODUCT((INPUT!$H$3:$H$5000=AE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E$5+2)/MAX(1,SUMPRODUCT((INPUT!$H$3:$H$5000=AE$5+2)*ISNUMBER(INPUT!$K$3:$K$5000)*(INPUT!$J$3:$J$5000&lt;&gt;"HERRERO")*(INPUT!$J$3:$J$5000&lt;&gt;"GARCIA")*(INPUT!$J$3:$J$5000&lt;&gt;"OSCAR"))),0)</f>
        <v>949.09090909090912</v>
      </c>
      <c r="AF16" s="131" cm="1">
        <f t="array" ref="AF16">IFERROR(SUMPRODUCT((INPUT!$H$3:$H$5000=AF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F$5+2)/MAX(1,SUMPRODUCT((INPUT!$H$3:$H$5000=AF$5+2)*ISNUMBER(INPUT!$K$3:$K$5000)*(INPUT!$J$3:$J$5000&lt;&gt;"HERRERO")*(INPUT!$J$3:$J$5000&lt;&gt;"GARCIA")*(INPUT!$J$3:$J$5000&lt;&gt;"OSCAR"))),0)</f>
        <v>725</v>
      </c>
      <c r="AG16" s="131" cm="1">
        <f t="array" ref="AG16">IFERROR(SUMPRODUCT((INPUT!$H$3:$H$5000=AG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G$5+2)/MAX(1,SUMPRODUCT((INPUT!$H$3:$H$5000=AG$5+2)*ISNUMBER(INPUT!$K$3:$K$5000)*(INPUT!$J$3:$J$5000&lt;&gt;"HERRERO")*(INPUT!$J$3:$J$5000&lt;&gt;"GARCIA")*(INPUT!$J$3:$J$5000&lt;&gt;"OSCAR"))),0)</f>
        <v>536</v>
      </c>
      <c r="AH16" s="131" cm="1">
        <f t="array" ref="AH16">IFERROR(SUMPRODUCT((INPUT!$H$3:$H$5000=AH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H$5+2)/MAX(1,SUMPRODUCT((INPUT!$H$3:$H$5000=AH$5+2)*ISNUMBER(INPUT!$K$3:$K$5000)*(INPUT!$J$3:$J$5000&lt;&gt;"HERRERO")*(INPUT!$J$3:$J$5000&lt;&gt;"GARCIA")*(INPUT!$J$3:$J$5000&lt;&gt;"OSCAR"))),0)</f>
        <v>706.36363636363637</v>
      </c>
      <c r="AI16" s="131" cm="1">
        <f t="array" ref="AI16">IFERROR(SUMPRODUCT((INPUT!$H$3:$H$5000=AI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I$5+2)/MAX(1,SUMPRODUCT((INPUT!$H$3:$H$5000=AI$5+2)*ISNUMBER(INPUT!$K$3:$K$5000)*(INPUT!$J$3:$J$5000&lt;&gt;"HERRERO")*(INPUT!$J$3:$J$5000&lt;&gt;"GARCIA")*(INPUT!$J$3:$J$5000&lt;&gt;"OSCAR"))),0)</f>
        <v>253.84615384615384</v>
      </c>
      <c r="AJ16" s="131" cm="1">
        <f t="array" ref="AJ16">IFERROR(SUMPRODUCT((INPUT!$H$3:$H$5000=AJ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J$5+2)/MAX(1,SUMPRODUCT((INPUT!$H$3:$H$5000=AJ$5+2)*ISNUMBER(INPUT!$K$3:$K$5000)*(INPUT!$J$3:$J$5000&lt;&gt;"HERRERO")*(INPUT!$J$3:$J$5000&lt;&gt;"GARCIA")*(INPUT!$J$3:$J$5000&lt;&gt;"OSCAR"))),0)</f>
        <v>621.81818181818187</v>
      </c>
      <c r="AK16" s="131" cm="1">
        <f t="array" ref="AK16">IFERROR(SUMPRODUCT((INPUT!$H$3:$H$5000=AK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K$5+2)/MAX(1,SUMPRODUCT((INPUT!$H$3:$H$5000=AK$5+2)*ISNUMBER(INPUT!$K$3:$K$5000)*(INPUT!$J$3:$J$5000&lt;&gt;"HERRERO")*(INPUT!$J$3:$J$5000&lt;&gt;"GARCIA")*(INPUT!$J$3:$J$5000&lt;&gt;"OSCAR"))),0)</f>
        <v>1125</v>
      </c>
      <c r="AL16" s="131" cm="1">
        <f t="array" ref="AL16">IFERROR(SUMPRODUCT((INPUT!$H$3:$H$5000=AL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L$5+2)/MAX(1,SUMPRODUCT((INPUT!$H$3:$H$5000=AL$5+2)*ISNUMBER(INPUT!$K$3:$K$5000)*(INPUT!$J$3:$J$5000&lt;&gt;"HERRERO")*(INPUT!$J$3:$J$5000&lt;&gt;"GARCIA")*(INPUT!$J$3:$J$5000&lt;&gt;"OSCAR"))),0)</f>
        <v>1247.2727272727273</v>
      </c>
      <c r="AM16" s="131" cm="1">
        <f t="array" ref="AM16">IFERROR(SUMPRODUCT((INPUT!$H$3:$H$5000=AM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M$5+2)/MAX(1,SUMPRODUCT((INPUT!$H$3:$H$5000=AM$5+2)*ISNUMBER(INPUT!$K$3:$K$5000)*(INPUT!$J$3:$J$5000&lt;&gt;"HERRERO")*(INPUT!$J$3:$J$5000&lt;&gt;"GARCIA")*(INPUT!$J$3:$J$5000&lt;&gt;"OSCAR"))),0)</f>
        <v>996.92307692307691</v>
      </c>
      <c r="AN16" s="131" cm="1">
        <f t="array" ref="AN16">IFERROR(SUMPRODUCT((INPUT!$H$3:$H$5000=AN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N$5+2)/MAX(1,SUMPRODUCT((INPUT!$H$3:$H$5000=AN$5+2)*ISNUMBER(INPUT!$K$3:$K$5000)*(INPUT!$J$3:$J$5000&lt;&gt;"HERRERO")*(INPUT!$J$3:$J$5000&lt;&gt;"GARCIA")*(INPUT!$J$3:$J$5000&lt;&gt;"OSCAR"))),0)</f>
        <v>0</v>
      </c>
      <c r="AO16" s="131" cm="1">
        <f t="array" ref="AO16">IFERROR(SUMPRODUCT((INPUT!$H$3:$H$5000=AO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O$5+2)/MAX(1,SUMPRODUCT((INPUT!$H$3:$H$5000=AO$5+2)*ISNUMBER(INPUT!$K$3:$K$5000)*(INPUT!$J$3:$J$5000&lt;&gt;"HERRERO")*(INPUT!$J$3:$J$5000&lt;&gt;"GARCIA")*(INPUT!$J$3:$J$5000&lt;&gt;"OSCAR"))),0)</f>
        <v>0</v>
      </c>
      <c r="AP16" s="131" cm="1">
        <f t="array" ref="AP16">IFERROR(SUMPRODUCT((INPUT!$H$3:$H$5000=AP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P$5+2)/MAX(1,SUMPRODUCT((INPUT!$H$3:$H$5000=AP$5+2)*ISNUMBER(INPUT!$K$3:$K$5000)*(INPUT!$J$3:$J$5000&lt;&gt;"HERRERO")*(INPUT!$J$3:$J$5000&lt;&gt;"GARCIA")*(INPUT!$J$3:$J$5000&lt;&gt;"OSCAR"))),0)</f>
        <v>0</v>
      </c>
      <c r="AQ16" s="131" cm="1">
        <f t="array" ref="AQ16">IFERROR(SUMPRODUCT((INPUT!$H$3:$H$5000=AQ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Q$5+2)/MAX(1,SUMPRODUCT((INPUT!$H$3:$H$5000=AQ$5+2)*ISNUMBER(INPUT!$K$3:$K$5000)*(INPUT!$J$3:$J$5000&lt;&gt;"HERRERO")*(INPUT!$J$3:$J$5000&lt;&gt;"GARCIA")*(INPUT!$J$3:$J$5000&lt;&gt;"OSCAR"))),0)</f>
        <v>0</v>
      </c>
      <c r="AR16" s="131" cm="1">
        <f t="array" ref="AR16">IFERROR(SUMPRODUCT((INPUT!$H$3:$H$5000=AR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R$5+2)/MAX(1,SUMPRODUCT((INPUT!$H$3:$H$5000=AR$5+2)*ISNUMBER(INPUT!$K$3:$K$5000)*(INPUT!$J$3:$J$5000&lt;&gt;"HERRERO")*(INPUT!$J$3:$J$5000&lt;&gt;"GARCIA")*(INPUT!$J$3:$J$5000&lt;&gt;"OSCAR"))),0)</f>
        <v>0</v>
      </c>
      <c r="AS16" s="131" cm="1">
        <f t="array" ref="AS16">IFERROR(SUMPRODUCT((INPUT!$H$3:$H$5000=AS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S$5+2)/MAX(1,SUMPRODUCT((INPUT!$H$3:$H$5000=AS$5+2)*ISNUMBER(INPUT!$K$3:$K$5000)*(INPUT!$J$3:$J$5000&lt;&gt;"HERRERO")*(INPUT!$J$3:$J$5000&lt;&gt;"GARCIA")*(INPUT!$J$3:$J$5000&lt;&gt;"OSCAR"))),0)</f>
        <v>0</v>
      </c>
      <c r="AT16" s="131" cm="1">
        <f t="array" ref="AT16">IFERROR(SUMPRODUCT((INPUT!$H$3:$H$5000=AT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T$5+2)/MAX(1,SUMPRODUCT((INPUT!$H$3:$H$5000=AT$5+2)*ISNUMBER(INPUT!$K$3:$K$5000)*(INPUT!$J$3:$J$5000&lt;&gt;"HERRERO")*(INPUT!$J$3:$J$5000&lt;&gt;"GARCIA")*(INPUT!$J$3:$J$5000&lt;&gt;"OSCAR"))),0)</f>
        <v>0</v>
      </c>
      <c r="AU16" s="131" cm="1">
        <f t="array" ref="AU16">IFERROR(SUMPRODUCT((INPUT!$H$3:$H$5000=AU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U$5+2)/MAX(1,SUMPRODUCT((INPUT!$H$3:$H$5000=AU$5+2)*ISNUMBER(INPUT!$K$3:$K$5000)*(INPUT!$J$3:$J$5000&lt;&gt;"HERRERO")*(INPUT!$J$3:$J$5000&lt;&gt;"GARCIA")*(INPUT!$J$3:$J$5000&lt;&gt;"OSCAR"))),0)</f>
        <v>0</v>
      </c>
      <c r="AV16" s="131" cm="1">
        <f t="array" ref="AV16">IFERROR(SUMPRODUCT((INPUT!$H$3:$H$5000=AV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V$5+2)/MAX(1,SUMPRODUCT((INPUT!$H$3:$H$5000=AV$5+2)*ISNUMBER(INPUT!$K$3:$K$5000)*(INPUT!$J$3:$J$5000&lt;&gt;"HERRERO")*(INPUT!$J$3:$J$5000&lt;&gt;"GARCIA")*(INPUT!$J$3:$J$5000&lt;&gt;"OSCAR"))),0)</f>
        <v>0</v>
      </c>
      <c r="AW16" s="138" cm="1">
        <f t="array" ref="AW16">IFERROR(SUMPRODUCT((INPUT!$H$3:$H$5000=AW$5+2)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W$5+2)/MAX(1,SUMPRODUCT((INPUT!$H$3:$H$5000=AW$5+2)*ISNUMBER(INPUT!$K$3:$K$5000)*(INPUT!$J$3:$J$5000&lt;&gt;"HERRERO")*(INPUT!$J$3:$J$5000&lt;&gt;"GARCIA")*(INPUT!$J$3:$J$5000&lt;&gt;"OSCAR"))),0)</f>
        <v>0</v>
      </c>
    </row>
    <row r="17" spans="1:49" x14ac:dyDescent="0.2">
      <c r="A17" s="134" t="s">
        <v>190</v>
      </c>
      <c r="B17" s="142" cm="1">
        <f t="array" ref="B17">IFERROR(SUMPRODUCT((INPUT!$H$3:$H$5000=B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B$5+3)/MAX(1,SUMPRODUCT((INPUT!$H$3:$H$5000=B$5+3)*ISNUMBER(INPUT!$K$3:$K$5000)*(INPUT!$J$3:$J$5000&lt;&gt;"HERRERO")*(INPUT!$J$3:$J$5000&lt;&gt;"GARCIA")*(INPUT!$J$3:$J$5000&lt;&gt;"OSCAR"))),0)</f>
        <v>1339.2857142857142</v>
      </c>
      <c r="C17" s="142" cm="1">
        <f t="array" ref="C17">IFERROR(SUMPRODUCT((INPUT!$H$3:$H$5000=C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C$5+3)/MAX(1,SUMPRODUCT((INPUT!$H$3:$H$5000=C$5+3)*ISNUMBER(INPUT!$K$3:$K$5000)*(INPUT!$J$3:$J$5000&lt;&gt;"HERRERO")*(INPUT!$J$3:$J$5000&lt;&gt;"GARCIA")*(INPUT!$J$3:$J$5000&lt;&gt;"OSCAR"))),0)</f>
        <v>1245.9259259259259</v>
      </c>
      <c r="D17" s="142" cm="1">
        <f t="array" ref="D17">IFERROR(SUMPRODUCT((INPUT!$H$3:$H$5000=D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D$5+3)/MAX(1,SUMPRODUCT((INPUT!$H$3:$H$5000=D$5+3)*ISNUMBER(INPUT!$K$3:$K$5000)*(INPUT!$J$3:$J$5000&lt;&gt;"HERRERO")*(INPUT!$J$3:$J$5000&lt;&gt;"GARCIA")*(INPUT!$J$3:$J$5000&lt;&gt;"OSCAR"))),0)</f>
        <v>1294.6153846153845</v>
      </c>
      <c r="E17" s="142" cm="1">
        <f t="array" ref="E17">IFERROR(SUMPRODUCT((INPUT!$H$3:$H$5000=E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E$5+3)/MAX(1,SUMPRODUCT((INPUT!$H$3:$H$5000=E$5+3)*ISNUMBER(INPUT!$K$3:$K$5000)*(INPUT!$J$3:$J$5000&lt;&gt;"HERRERO")*(INPUT!$J$3:$J$5000&lt;&gt;"GARCIA")*(INPUT!$J$3:$J$5000&lt;&gt;"OSCAR"))),0)</f>
        <v>376.92307692307691</v>
      </c>
      <c r="F17" s="142" cm="1">
        <f t="array" ref="F17">IFERROR(SUMPRODUCT((INPUT!$H$3:$H$5000=F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F$5+3)/MAX(1,SUMPRODUCT((INPUT!$H$3:$H$5000=F$5+3)*ISNUMBER(INPUT!$K$3:$K$5000)*(INPUT!$J$3:$J$5000&lt;&gt;"HERRERO")*(INPUT!$J$3:$J$5000&lt;&gt;"GARCIA")*(INPUT!$J$3:$J$5000&lt;&gt;"OSCAR"))),0)</f>
        <v>680</v>
      </c>
      <c r="G17" s="142" cm="1">
        <f t="array" ref="G17">IFERROR(SUMPRODUCT((INPUT!$H$3:$H$5000=G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G$5+3)/MAX(1,SUMPRODUCT((INPUT!$H$3:$H$5000=G$5+3)*ISNUMBER(INPUT!$K$3:$K$5000)*(INPUT!$J$3:$J$5000&lt;&gt;"HERRERO")*(INPUT!$J$3:$J$5000&lt;&gt;"GARCIA")*(INPUT!$J$3:$J$5000&lt;&gt;"OSCAR"))),0)</f>
        <v>843.33333333333337</v>
      </c>
      <c r="H17" s="142" cm="1">
        <f t="array" ref="H17">IFERROR(SUMPRODUCT((INPUT!$H$3:$H$5000=H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H$5+3)/MAX(1,SUMPRODUCT((INPUT!$H$3:$H$5000=H$5+3)*ISNUMBER(INPUT!$K$3:$K$5000)*(INPUT!$J$3:$J$5000&lt;&gt;"HERRERO")*(INPUT!$J$3:$J$5000&lt;&gt;"GARCIA")*(INPUT!$J$3:$J$5000&lt;&gt;"OSCAR"))),0)</f>
        <v>678.46153846153845</v>
      </c>
      <c r="I17" s="142" cm="1">
        <f t="array" ref="I17">IFERROR(SUMPRODUCT((INPUT!$H$3:$H$5000=I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I$5+3)/MAX(1,SUMPRODUCT((INPUT!$H$3:$H$5000=I$5+3)*ISNUMBER(INPUT!$K$3:$K$5000)*(INPUT!$J$3:$J$5000&lt;&gt;"HERRERO")*(INPUT!$J$3:$J$5000&lt;&gt;"GARCIA")*(INPUT!$J$3:$J$5000&lt;&gt;"OSCAR"))),0)</f>
        <v>30</v>
      </c>
      <c r="J17" s="142" cm="1">
        <f t="array" ref="J17">IFERROR(SUMPRODUCT((INPUT!$H$3:$H$5000=J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J$5+3)/MAX(1,SUMPRODUCT((INPUT!$H$3:$H$5000=J$5+3)*ISNUMBER(INPUT!$K$3:$K$5000)*(INPUT!$J$3:$J$5000&lt;&gt;"HERRERO")*(INPUT!$J$3:$J$5000&lt;&gt;"GARCIA")*(INPUT!$J$3:$J$5000&lt;&gt;"OSCAR"))),0)</f>
        <v>436.15384615384613</v>
      </c>
      <c r="K17" s="142" cm="1">
        <f t="array" ref="K17">IFERROR(SUMPRODUCT((INPUT!$H$3:$H$5000=K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K$5+3)/MAX(1,SUMPRODUCT((INPUT!$H$3:$H$5000=K$5+3)*ISNUMBER(INPUT!$K$3:$K$5000)*(INPUT!$J$3:$J$5000&lt;&gt;"HERRERO")*(INPUT!$J$3:$J$5000&lt;&gt;"GARCIA")*(INPUT!$J$3:$J$5000&lt;&gt;"OSCAR"))),0)</f>
        <v>496.92307692307691</v>
      </c>
      <c r="L17" s="142" cm="1">
        <f t="array" ref="L17">IFERROR(SUMPRODUCT((INPUT!$H$3:$H$5000=L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L$5+3)/MAX(1,SUMPRODUCT((INPUT!$H$3:$H$5000=L$5+3)*ISNUMBER(INPUT!$K$3:$K$5000)*(INPUT!$J$3:$J$5000&lt;&gt;"HERRERO")*(INPUT!$J$3:$J$5000&lt;&gt;"GARCIA")*(INPUT!$J$3:$J$5000&lt;&gt;"OSCAR"))),0)</f>
        <v>0</v>
      </c>
      <c r="M17" s="142" cm="1">
        <f t="array" ref="M17">IFERROR(SUMPRODUCT((INPUT!$H$3:$H$5000=M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M$5+3)/MAX(1,SUMPRODUCT((INPUT!$H$3:$H$5000=M$5+3)*ISNUMBER(INPUT!$K$3:$K$5000)*(INPUT!$J$3:$J$5000&lt;&gt;"HERRERO")*(INPUT!$J$3:$J$5000&lt;&gt;"GARCIA")*(INPUT!$J$3:$J$5000&lt;&gt;"OSCAR"))),0)</f>
        <v>597.85714285714289</v>
      </c>
      <c r="N17" s="142" cm="1">
        <f t="array" ref="N17">IFERROR(SUMPRODUCT((INPUT!$H$3:$H$5000=N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N$5+3)/MAX(1,SUMPRODUCT((INPUT!$H$3:$H$5000=N$5+3)*ISNUMBER(INPUT!$K$3:$K$5000)*(INPUT!$J$3:$J$5000&lt;&gt;"HERRERO")*(INPUT!$J$3:$J$5000&lt;&gt;"GARCIA")*(INPUT!$J$3:$J$5000&lt;&gt;"OSCAR"))),0)</f>
        <v>431.53846153846155</v>
      </c>
      <c r="O17" s="142" cm="1">
        <f t="array" ref="O17">IFERROR(SUMPRODUCT((INPUT!$H$3:$H$5000=O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O$5+3)/MAX(1,SUMPRODUCT((INPUT!$H$3:$H$5000=O$5+3)*ISNUMBER(INPUT!$K$3:$K$5000)*(INPUT!$J$3:$J$5000&lt;&gt;"HERRERO")*(INPUT!$J$3:$J$5000&lt;&gt;"GARCIA")*(INPUT!$J$3:$J$5000&lt;&gt;"OSCAR"))),0)</f>
        <v>692.14285714285711</v>
      </c>
      <c r="P17" s="142" cm="1">
        <f t="array" ref="P17">IFERROR(SUMPRODUCT((INPUT!$H$3:$H$5000=P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P$5+3)/MAX(1,SUMPRODUCT((INPUT!$H$3:$H$5000=P$5+3)*ISNUMBER(INPUT!$K$3:$K$5000)*(INPUT!$J$3:$J$5000&lt;&gt;"HERRERO")*(INPUT!$J$3:$J$5000&lt;&gt;"GARCIA")*(INPUT!$J$3:$J$5000&lt;&gt;"OSCAR"))),0)</f>
        <v>330</v>
      </c>
      <c r="Q17" s="142" cm="1">
        <f t="array" ref="Q17">IFERROR(SUMPRODUCT((INPUT!$H$3:$H$5000=Q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Q$5+3)/MAX(1,SUMPRODUCT((INPUT!$H$3:$H$5000=Q$5+3)*ISNUMBER(INPUT!$K$3:$K$5000)*(INPUT!$J$3:$J$5000&lt;&gt;"HERRERO")*(INPUT!$J$3:$J$5000&lt;&gt;"GARCIA")*(INPUT!$J$3:$J$5000&lt;&gt;"OSCAR"))),0)</f>
        <v>581.53846153846155</v>
      </c>
      <c r="R17" s="142" cm="1">
        <f t="array" ref="R17">IFERROR(SUMPRODUCT((INPUT!$H$3:$H$5000=R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R$5+3)/MAX(1,SUMPRODUCT((INPUT!$H$3:$H$5000=R$5+3)*ISNUMBER(INPUT!$K$3:$K$5000)*(INPUT!$J$3:$J$5000&lt;&gt;"HERRERO")*(INPUT!$J$3:$J$5000&lt;&gt;"GARCIA")*(INPUT!$J$3:$J$5000&lt;&gt;"OSCAR"))),0)</f>
        <v>0</v>
      </c>
      <c r="S17" s="142" cm="1">
        <f t="array" ref="S17">IFERROR(SUMPRODUCT((INPUT!$H$3:$H$5000=S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S$5+3)/MAX(1,SUMPRODUCT((INPUT!$H$3:$H$5000=S$5+3)*ISNUMBER(INPUT!$K$3:$K$5000)*(INPUT!$J$3:$J$5000&lt;&gt;"HERRERO")*(INPUT!$J$3:$J$5000&lt;&gt;"GARCIA")*(INPUT!$J$3:$J$5000&lt;&gt;"OSCAR"))),0)</f>
        <v>297.69230769230768</v>
      </c>
      <c r="T17" s="142" cm="1">
        <f t="array" ref="T17">IFERROR(SUMPRODUCT((INPUT!$H$3:$H$5000=T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T$5+3)/MAX(1,SUMPRODUCT((INPUT!$H$3:$H$5000=T$5+3)*ISNUMBER(INPUT!$K$3:$K$5000)*(INPUT!$J$3:$J$5000&lt;&gt;"HERRERO")*(INPUT!$J$3:$J$5000&lt;&gt;"GARCIA")*(INPUT!$J$3:$J$5000&lt;&gt;"OSCAR"))),0)</f>
        <v>825</v>
      </c>
      <c r="U17" s="142" cm="1">
        <f t="array" ref="U17">IFERROR(SUMPRODUCT((INPUT!$H$3:$H$5000=U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U$5+3)/MAX(1,SUMPRODUCT((INPUT!$H$3:$H$5000=U$5+3)*ISNUMBER(INPUT!$K$3:$K$5000)*(INPUT!$J$3:$J$5000&lt;&gt;"HERRERO")*(INPUT!$J$3:$J$5000&lt;&gt;"GARCIA")*(INPUT!$J$3:$J$5000&lt;&gt;"OSCAR"))),0)</f>
        <v>462.5</v>
      </c>
      <c r="V17" s="142" cm="1">
        <f t="array" ref="V17">IFERROR(SUMPRODUCT((INPUT!$H$3:$H$5000=V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V$5+3)/MAX(1,SUMPRODUCT((INPUT!$H$3:$H$5000=V$5+3)*ISNUMBER(INPUT!$K$3:$K$5000)*(INPUT!$J$3:$J$5000&lt;&gt;"HERRERO")*(INPUT!$J$3:$J$5000&lt;&gt;"GARCIA")*(INPUT!$J$3:$J$5000&lt;&gt;"OSCAR"))),0)</f>
        <v>530</v>
      </c>
      <c r="W17" s="142" cm="1">
        <f t="array" ref="W17">IFERROR(SUMPRODUCT((INPUT!$H$3:$H$5000=W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W$5+3)/MAX(1,SUMPRODUCT((INPUT!$H$3:$H$5000=W$5+3)*ISNUMBER(INPUT!$K$3:$K$5000)*(INPUT!$J$3:$J$5000&lt;&gt;"HERRERO")*(INPUT!$J$3:$J$5000&lt;&gt;"GARCIA")*(INPUT!$J$3:$J$5000&lt;&gt;"OSCAR"))),0)</f>
        <v>0</v>
      </c>
      <c r="X17" s="142" cm="1">
        <f t="array" ref="X17">IFERROR(SUMPRODUCT((INPUT!$H$3:$H$5000=X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X$5+3)/MAX(1,SUMPRODUCT((INPUT!$H$3:$H$5000=X$5+3)*ISNUMBER(INPUT!$K$3:$K$5000)*(INPUT!$J$3:$J$5000&lt;&gt;"HERRERO")*(INPUT!$J$3:$J$5000&lt;&gt;"GARCIA")*(INPUT!$J$3:$J$5000&lt;&gt;"OSCAR"))),0)</f>
        <v>0</v>
      </c>
      <c r="Y17" s="142" cm="1">
        <f t="array" ref="Y17">IFERROR(SUMPRODUCT((INPUT!$H$3:$H$5000=Y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Y$5+3)/MAX(1,SUMPRODUCT((INPUT!$H$3:$H$5000=Y$5+3)*ISNUMBER(INPUT!$K$3:$K$5000)*(INPUT!$J$3:$J$5000&lt;&gt;"HERRERO")*(INPUT!$J$3:$J$5000&lt;&gt;"GARCIA")*(INPUT!$J$3:$J$5000&lt;&gt;"OSCAR"))),0)</f>
        <v>156.81818181818181</v>
      </c>
      <c r="Z17" s="142" cm="1">
        <f t="array" ref="Z17">IFERROR(SUMPRODUCT((INPUT!$H$3:$H$5000=Z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Z$5+3)/MAX(1,SUMPRODUCT((INPUT!$H$3:$H$5000=Z$5+3)*ISNUMBER(INPUT!$K$3:$K$5000)*(INPUT!$J$3:$J$5000&lt;&gt;"HERRERO")*(INPUT!$J$3:$J$5000&lt;&gt;"GARCIA")*(INPUT!$J$3:$J$5000&lt;&gt;"OSCAR"))),0)</f>
        <v>0</v>
      </c>
      <c r="AA17" s="142" cm="1">
        <f t="array" ref="AA17">IFERROR(SUMPRODUCT((INPUT!$H$3:$H$5000=AA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A$5+3)/MAX(1,SUMPRODUCT((INPUT!$H$3:$H$5000=AA$5+3)*ISNUMBER(INPUT!$K$3:$K$5000)*(INPUT!$J$3:$J$5000&lt;&gt;"HERRERO")*(INPUT!$J$3:$J$5000&lt;&gt;"GARCIA")*(INPUT!$J$3:$J$5000&lt;&gt;"OSCAR"))),0)</f>
        <v>1720</v>
      </c>
      <c r="AB17" s="142" cm="1">
        <f t="array" ref="AB17">IFERROR(SUMPRODUCT((INPUT!$H$3:$H$5000=AB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B$5+3)/MAX(1,SUMPRODUCT((INPUT!$H$3:$H$5000=AB$5+3)*ISNUMBER(INPUT!$K$3:$K$5000)*(INPUT!$J$3:$J$5000&lt;&gt;"HERRERO")*(INPUT!$J$3:$J$5000&lt;&gt;"GARCIA")*(INPUT!$J$3:$J$5000&lt;&gt;"OSCAR"))),0)</f>
        <v>432</v>
      </c>
      <c r="AC17" s="142" cm="1">
        <f t="array" ref="AC17">IFERROR(SUMPRODUCT((INPUT!$H$3:$H$5000=AC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C$5+3)/MAX(1,SUMPRODUCT((INPUT!$H$3:$H$5000=AC$5+3)*ISNUMBER(INPUT!$K$3:$K$5000)*(INPUT!$J$3:$J$5000&lt;&gt;"HERRERO")*(INPUT!$J$3:$J$5000&lt;&gt;"GARCIA")*(INPUT!$J$3:$J$5000&lt;&gt;"OSCAR"))),0)</f>
        <v>490</v>
      </c>
      <c r="AD17" s="142" cm="1">
        <f t="array" ref="AD17">IFERROR(SUMPRODUCT((INPUT!$H$3:$H$5000=AD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D$5+3)/MAX(1,SUMPRODUCT((INPUT!$H$3:$H$5000=AD$5+3)*ISNUMBER(INPUT!$K$3:$K$5000)*(INPUT!$J$3:$J$5000&lt;&gt;"HERRERO")*(INPUT!$J$3:$J$5000&lt;&gt;"GARCIA")*(INPUT!$J$3:$J$5000&lt;&gt;"OSCAR"))),0)</f>
        <v>30</v>
      </c>
      <c r="AE17" s="142" cm="1">
        <f t="array" ref="AE17">IFERROR(SUMPRODUCT((INPUT!$H$3:$H$5000=AE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E$5+3)/MAX(1,SUMPRODUCT((INPUT!$H$3:$H$5000=AE$5+3)*ISNUMBER(INPUT!$K$3:$K$5000)*(INPUT!$J$3:$J$5000&lt;&gt;"HERRERO")*(INPUT!$J$3:$J$5000&lt;&gt;"GARCIA")*(INPUT!$J$3:$J$5000&lt;&gt;"OSCAR"))),0)</f>
        <v>600</v>
      </c>
      <c r="AF17" s="142" cm="1">
        <f t="array" ref="AF17">IFERROR(SUMPRODUCT((INPUT!$H$3:$H$5000=AF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F$5+3)/MAX(1,SUMPRODUCT((INPUT!$H$3:$H$5000=AF$5+3)*ISNUMBER(INPUT!$K$3:$K$5000)*(INPUT!$J$3:$J$5000&lt;&gt;"HERRERO")*(INPUT!$J$3:$J$5000&lt;&gt;"GARCIA")*(INPUT!$J$3:$J$5000&lt;&gt;"OSCAR"))),0)</f>
        <v>962.5</v>
      </c>
      <c r="AG17" s="142" cm="1">
        <f t="array" ref="AG17">IFERROR(SUMPRODUCT((INPUT!$H$3:$H$5000=AG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G$5+3)/MAX(1,SUMPRODUCT((INPUT!$H$3:$H$5000=AG$5+3)*ISNUMBER(INPUT!$K$3:$K$5000)*(INPUT!$J$3:$J$5000&lt;&gt;"HERRERO")*(INPUT!$J$3:$J$5000&lt;&gt;"GARCIA")*(INPUT!$J$3:$J$5000&lt;&gt;"OSCAR"))),0)</f>
        <v>405</v>
      </c>
      <c r="AH17" s="142" cm="1">
        <f t="array" ref="AH17">IFERROR(SUMPRODUCT((INPUT!$H$3:$H$5000=AH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H$5+3)/MAX(1,SUMPRODUCT((INPUT!$H$3:$H$5000=AH$5+3)*ISNUMBER(INPUT!$K$3:$K$5000)*(INPUT!$J$3:$J$5000&lt;&gt;"HERRERO")*(INPUT!$J$3:$J$5000&lt;&gt;"GARCIA")*(INPUT!$J$3:$J$5000&lt;&gt;"OSCAR"))),0)</f>
        <v>412.5</v>
      </c>
      <c r="AI17" s="142" cm="1">
        <f t="array" ref="AI17">IFERROR(SUMPRODUCT((INPUT!$H$3:$H$5000=AI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I$5+3)/MAX(1,SUMPRODUCT((INPUT!$H$3:$H$5000=AI$5+3)*ISNUMBER(INPUT!$K$3:$K$5000)*(INPUT!$J$3:$J$5000&lt;&gt;"HERRERO")*(INPUT!$J$3:$J$5000&lt;&gt;"GARCIA")*(INPUT!$J$3:$J$5000&lt;&gt;"OSCAR"))),0)</f>
        <v>866.66666666666663</v>
      </c>
      <c r="AJ17" s="142" cm="1">
        <f t="array" ref="AJ17">IFERROR(SUMPRODUCT((INPUT!$H$3:$H$5000=AJ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J$5+3)/MAX(1,SUMPRODUCT((INPUT!$H$3:$H$5000=AJ$5+3)*ISNUMBER(INPUT!$K$3:$K$5000)*(INPUT!$J$3:$J$5000&lt;&gt;"HERRERO")*(INPUT!$J$3:$J$5000&lt;&gt;"GARCIA")*(INPUT!$J$3:$J$5000&lt;&gt;"OSCAR"))),0)</f>
        <v>1025</v>
      </c>
      <c r="AK17" s="142" cm="1">
        <f t="array" ref="AK17">IFERROR(SUMPRODUCT((INPUT!$H$3:$H$5000=AK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K$5+3)/MAX(1,SUMPRODUCT((INPUT!$H$3:$H$5000=AK$5+3)*ISNUMBER(INPUT!$K$3:$K$5000)*(INPUT!$J$3:$J$5000&lt;&gt;"HERRERO")*(INPUT!$J$3:$J$5000&lt;&gt;"GARCIA")*(INPUT!$J$3:$J$5000&lt;&gt;"OSCAR"))),0)</f>
        <v>662.30769230769226</v>
      </c>
      <c r="AL17" s="142" cm="1">
        <f t="array" ref="AL17">IFERROR(SUMPRODUCT((INPUT!$H$3:$H$5000=AL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L$5+3)/MAX(1,SUMPRODUCT((INPUT!$H$3:$H$5000=AL$5+3)*ISNUMBER(INPUT!$K$3:$K$5000)*(INPUT!$J$3:$J$5000&lt;&gt;"HERRERO")*(INPUT!$J$3:$J$5000&lt;&gt;"GARCIA")*(INPUT!$J$3:$J$5000&lt;&gt;"OSCAR"))),0)</f>
        <v>600</v>
      </c>
      <c r="AM17" s="142" cm="1">
        <f t="array" ref="AM17">IFERROR(SUMPRODUCT((INPUT!$H$3:$H$5000=AM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M$5+3)/MAX(1,SUMPRODUCT((INPUT!$H$3:$H$5000=AM$5+3)*ISNUMBER(INPUT!$K$3:$K$5000)*(INPUT!$J$3:$J$5000&lt;&gt;"HERRERO")*(INPUT!$J$3:$J$5000&lt;&gt;"GARCIA")*(INPUT!$J$3:$J$5000&lt;&gt;"OSCAR"))),0)</f>
        <v>623.33333333333337</v>
      </c>
      <c r="AN17" s="142" cm="1">
        <f t="array" ref="AN17">IFERROR(SUMPRODUCT((INPUT!$H$3:$H$5000=AN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N$5+3)/MAX(1,SUMPRODUCT((INPUT!$H$3:$H$5000=AN$5+3)*ISNUMBER(INPUT!$K$3:$K$5000)*(INPUT!$J$3:$J$5000&lt;&gt;"HERRERO")*(INPUT!$J$3:$J$5000&lt;&gt;"GARCIA")*(INPUT!$J$3:$J$5000&lt;&gt;"OSCAR"))),0)</f>
        <v>0</v>
      </c>
      <c r="AO17" s="142" cm="1">
        <f t="array" ref="AO17">IFERROR(SUMPRODUCT((INPUT!$H$3:$H$5000=AO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O$5+3)/MAX(1,SUMPRODUCT((INPUT!$H$3:$H$5000=AO$5+3)*ISNUMBER(INPUT!$K$3:$K$5000)*(INPUT!$J$3:$J$5000&lt;&gt;"HERRERO")*(INPUT!$J$3:$J$5000&lt;&gt;"GARCIA")*(INPUT!$J$3:$J$5000&lt;&gt;"OSCAR"))),0)</f>
        <v>0</v>
      </c>
      <c r="AP17" s="142" cm="1">
        <f t="array" ref="AP17">IFERROR(SUMPRODUCT((INPUT!$H$3:$H$5000=AP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P$5+3)/MAX(1,SUMPRODUCT((INPUT!$H$3:$H$5000=AP$5+3)*ISNUMBER(INPUT!$K$3:$K$5000)*(INPUT!$J$3:$J$5000&lt;&gt;"HERRERO")*(INPUT!$J$3:$J$5000&lt;&gt;"GARCIA")*(INPUT!$J$3:$J$5000&lt;&gt;"OSCAR"))),0)</f>
        <v>0</v>
      </c>
      <c r="AQ17" s="142" cm="1">
        <f t="array" ref="AQ17">IFERROR(SUMPRODUCT((INPUT!$H$3:$H$5000=AQ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Q$5+3)/MAX(1,SUMPRODUCT((INPUT!$H$3:$H$5000=AQ$5+3)*ISNUMBER(INPUT!$K$3:$K$5000)*(INPUT!$J$3:$J$5000&lt;&gt;"HERRERO")*(INPUT!$J$3:$J$5000&lt;&gt;"GARCIA")*(INPUT!$J$3:$J$5000&lt;&gt;"OSCAR"))),0)</f>
        <v>0</v>
      </c>
      <c r="AR17" s="142" cm="1">
        <f t="array" ref="AR17">IFERROR(SUMPRODUCT((INPUT!$H$3:$H$5000=AR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R$5+3)/MAX(1,SUMPRODUCT((INPUT!$H$3:$H$5000=AR$5+3)*ISNUMBER(INPUT!$K$3:$K$5000)*(INPUT!$J$3:$J$5000&lt;&gt;"HERRERO")*(INPUT!$J$3:$J$5000&lt;&gt;"GARCIA")*(INPUT!$J$3:$J$5000&lt;&gt;"OSCAR"))),0)</f>
        <v>0</v>
      </c>
      <c r="AS17" s="142" cm="1">
        <f t="array" ref="AS17">IFERROR(SUMPRODUCT((INPUT!$H$3:$H$5000=AS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S$5+3)/MAX(1,SUMPRODUCT((INPUT!$H$3:$H$5000=AS$5+3)*ISNUMBER(INPUT!$K$3:$K$5000)*(INPUT!$J$3:$J$5000&lt;&gt;"HERRERO")*(INPUT!$J$3:$J$5000&lt;&gt;"GARCIA")*(INPUT!$J$3:$J$5000&lt;&gt;"OSCAR"))),0)</f>
        <v>0</v>
      </c>
      <c r="AT17" s="142" cm="1">
        <f t="array" ref="AT17">IFERROR(SUMPRODUCT((INPUT!$H$3:$H$5000=AT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T$5+3)/MAX(1,SUMPRODUCT((INPUT!$H$3:$H$5000=AT$5+3)*ISNUMBER(INPUT!$K$3:$K$5000)*(INPUT!$J$3:$J$5000&lt;&gt;"HERRERO")*(INPUT!$J$3:$J$5000&lt;&gt;"GARCIA")*(INPUT!$J$3:$J$5000&lt;&gt;"OSCAR"))),0)</f>
        <v>0</v>
      </c>
      <c r="AU17" s="142" cm="1">
        <f t="array" ref="AU17">IFERROR(SUMPRODUCT((INPUT!$H$3:$H$5000=AU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U$5+3)/MAX(1,SUMPRODUCT((INPUT!$H$3:$H$5000=AU$5+3)*ISNUMBER(INPUT!$K$3:$K$5000)*(INPUT!$J$3:$J$5000&lt;&gt;"HERRERO")*(INPUT!$J$3:$J$5000&lt;&gt;"GARCIA")*(INPUT!$J$3:$J$5000&lt;&gt;"OSCAR"))),0)</f>
        <v>0</v>
      </c>
      <c r="AV17" s="142" cm="1">
        <f t="array" ref="AV17">IFERROR(SUMPRODUCT((INPUT!$H$3:$H$5000=AV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V$5+3)/MAX(1,SUMPRODUCT((INPUT!$H$3:$H$5000=AV$5+3)*ISNUMBER(INPUT!$K$3:$K$5000)*(INPUT!$J$3:$J$5000&lt;&gt;"HERRERO")*(INPUT!$J$3:$J$5000&lt;&gt;"GARCIA")*(INPUT!$J$3:$J$5000&lt;&gt;"OSCAR"))),0)</f>
        <v>0</v>
      </c>
      <c r="AW17" s="143" cm="1">
        <f t="array" ref="AW17">IFERROR(SUMPRODUCT((INPUT!$H$3:$H$5000=AW$5+3)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W$5+3)/MAX(1,SUMPRODUCT((INPUT!$H$3:$H$5000=AW$5+3)*ISNUMBER(INPUT!$K$3:$K$5000)*(INPUT!$J$3:$J$5000&lt;&gt;"HERRERO")*(INPUT!$J$3:$J$5000&lt;&gt;"GARCIA")*(INPUT!$J$3:$J$5000&lt;&gt;"OSCAR"))),0)</f>
        <v>0</v>
      </c>
    </row>
    <row r="18" spans="1:49" x14ac:dyDescent="0.2">
      <c r="A18" s="134" t="s">
        <v>191</v>
      </c>
      <c r="B18" s="131" cm="1">
        <f t="array" ref="B18">IFERROR(SUMPRODUCT((INPUT!$H$3:$H$5000=B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B$5+4)/MAX(1,SUMPRODUCT((INPUT!$H$3:$H$5000=B$5+4)*ISNUMBER(INPUT!$K$3:$K$5000)*(INPUT!$J$3:$J$5000&lt;&gt;"HERRERO")*(INPUT!$J$3:$J$5000&lt;&gt;"GARCIA")*(INPUT!$J$3:$J$5000&lt;&gt;"OSCAR"))),0)</f>
        <v>1774.2857142857142</v>
      </c>
      <c r="C18" s="131" cm="1">
        <f t="array" ref="C18">IFERROR(SUMPRODUCT((INPUT!$H$3:$H$5000=C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C$5+4)/MAX(1,SUMPRODUCT((INPUT!$H$3:$H$5000=C$5+4)*ISNUMBER(INPUT!$K$3:$K$5000)*(INPUT!$J$3:$J$5000&lt;&gt;"HERRERO")*(INPUT!$J$3:$J$5000&lt;&gt;"GARCIA")*(INPUT!$J$3:$J$5000&lt;&gt;"OSCAR"))),0)</f>
        <v>1253.0769230769231</v>
      </c>
      <c r="D18" s="131" cm="1">
        <f t="array" ref="D18">IFERROR(SUMPRODUCT((INPUT!$H$3:$H$5000=D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D$5+4)/MAX(1,SUMPRODUCT((INPUT!$H$3:$H$5000=D$5+4)*ISNUMBER(INPUT!$K$3:$K$5000)*(INPUT!$J$3:$J$5000&lt;&gt;"HERRERO")*(INPUT!$J$3:$J$5000&lt;&gt;"GARCIA")*(INPUT!$J$3:$J$5000&lt;&gt;"OSCAR"))),0)</f>
        <v>1370</v>
      </c>
      <c r="E18" s="131" cm="1">
        <f t="array" ref="E18">IFERROR(SUMPRODUCT((INPUT!$H$3:$H$5000=E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E$5+4)/MAX(1,SUMPRODUCT((INPUT!$H$3:$H$5000=E$5+4)*ISNUMBER(INPUT!$K$3:$K$5000)*(INPUT!$J$3:$J$5000&lt;&gt;"HERRERO")*(INPUT!$J$3:$J$5000&lt;&gt;"GARCIA")*(INPUT!$J$3:$J$5000&lt;&gt;"OSCAR"))),0)</f>
        <v>563.07692307692309</v>
      </c>
      <c r="F18" s="131" cm="1">
        <f t="array" ref="F18">IFERROR(SUMPRODUCT((INPUT!$H$3:$H$5000=F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F$5+4)/MAX(1,SUMPRODUCT((INPUT!$H$3:$H$5000=F$5+4)*ISNUMBER(INPUT!$K$3:$K$5000)*(INPUT!$J$3:$J$5000&lt;&gt;"HERRERO")*(INPUT!$J$3:$J$5000&lt;&gt;"GARCIA")*(INPUT!$J$3:$J$5000&lt;&gt;"OSCAR"))),0)</f>
        <v>367.5</v>
      </c>
      <c r="G18" s="131" cm="1">
        <f t="array" ref="G18">IFERROR(SUMPRODUCT((INPUT!$H$3:$H$5000=G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G$5+4)/MAX(1,SUMPRODUCT((INPUT!$H$3:$H$5000=G$5+4)*ISNUMBER(INPUT!$K$3:$K$5000)*(INPUT!$J$3:$J$5000&lt;&gt;"HERRERO")*(INPUT!$J$3:$J$5000&lt;&gt;"GARCIA")*(INPUT!$J$3:$J$5000&lt;&gt;"OSCAR"))),0)</f>
        <v>281.25</v>
      </c>
      <c r="H18" s="131" cm="1">
        <f t="array" ref="H18">IFERROR(SUMPRODUCT((INPUT!$H$3:$H$5000=H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H$5+4)/MAX(1,SUMPRODUCT((INPUT!$H$3:$H$5000=H$5+4)*ISNUMBER(INPUT!$K$3:$K$5000)*(INPUT!$J$3:$J$5000&lt;&gt;"HERRERO")*(INPUT!$J$3:$J$5000&lt;&gt;"GARCIA")*(INPUT!$J$3:$J$5000&lt;&gt;"OSCAR"))),0)</f>
        <v>274.61538461538464</v>
      </c>
      <c r="I18" s="131" cm="1">
        <f t="array" ref="I18">IFERROR(SUMPRODUCT((INPUT!$H$3:$H$5000=I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I$5+4)/MAX(1,SUMPRODUCT((INPUT!$H$3:$H$5000=I$5+4)*ISNUMBER(INPUT!$K$3:$K$5000)*(INPUT!$J$3:$J$5000&lt;&gt;"HERRERO")*(INPUT!$J$3:$J$5000&lt;&gt;"GARCIA")*(INPUT!$J$3:$J$5000&lt;&gt;"OSCAR"))),0)</f>
        <v>1400</v>
      </c>
      <c r="J18" s="131" cm="1">
        <f t="array" ref="J18">IFERROR(SUMPRODUCT((INPUT!$H$3:$H$5000=J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J$5+4)/MAX(1,SUMPRODUCT((INPUT!$H$3:$H$5000=J$5+4)*ISNUMBER(INPUT!$K$3:$K$5000)*(INPUT!$J$3:$J$5000&lt;&gt;"HERRERO")*(INPUT!$J$3:$J$5000&lt;&gt;"GARCIA")*(INPUT!$J$3:$J$5000&lt;&gt;"OSCAR"))),0)</f>
        <v>290.76923076923077</v>
      </c>
      <c r="K18" s="131" cm="1">
        <f t="array" ref="K18">IFERROR(SUMPRODUCT((INPUT!$H$3:$H$5000=K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K$5+4)/MAX(1,SUMPRODUCT((INPUT!$H$3:$H$5000=K$5+4)*ISNUMBER(INPUT!$K$3:$K$5000)*(INPUT!$J$3:$J$5000&lt;&gt;"HERRERO")*(INPUT!$J$3:$J$5000&lt;&gt;"GARCIA")*(INPUT!$J$3:$J$5000&lt;&gt;"OSCAR"))),0)</f>
        <v>196.15384615384616</v>
      </c>
      <c r="L18" s="131" cm="1">
        <f t="array" ref="L18">IFERROR(SUMPRODUCT((INPUT!$H$3:$H$5000=L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L$5+4)/MAX(1,SUMPRODUCT((INPUT!$H$3:$H$5000=L$5+4)*ISNUMBER(INPUT!$K$3:$K$5000)*(INPUT!$J$3:$J$5000&lt;&gt;"HERRERO")*(INPUT!$J$3:$J$5000&lt;&gt;"GARCIA")*(INPUT!$J$3:$J$5000&lt;&gt;"OSCAR"))),0)</f>
        <v>319.09090909090907</v>
      </c>
      <c r="M18" s="131" cm="1">
        <f t="array" ref="M18">IFERROR(SUMPRODUCT((INPUT!$H$3:$H$5000=M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M$5+4)/MAX(1,SUMPRODUCT((INPUT!$H$3:$H$5000=M$5+4)*ISNUMBER(INPUT!$K$3:$K$5000)*(INPUT!$J$3:$J$5000&lt;&gt;"HERRERO")*(INPUT!$J$3:$J$5000&lt;&gt;"GARCIA")*(INPUT!$J$3:$J$5000&lt;&gt;"OSCAR"))),0)</f>
        <v>867.85714285714289</v>
      </c>
      <c r="N18" s="131" cm="1">
        <f t="array" ref="N18">IFERROR(SUMPRODUCT((INPUT!$H$3:$H$5000=N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N$5+4)/MAX(1,SUMPRODUCT((INPUT!$H$3:$H$5000=N$5+4)*ISNUMBER(INPUT!$K$3:$K$5000)*(INPUT!$J$3:$J$5000&lt;&gt;"HERRERO")*(INPUT!$J$3:$J$5000&lt;&gt;"GARCIA")*(INPUT!$J$3:$J$5000&lt;&gt;"OSCAR"))),0)</f>
        <v>196.15384615384616</v>
      </c>
      <c r="O18" s="131" cm="1">
        <f t="array" ref="O18">IFERROR(SUMPRODUCT((INPUT!$H$3:$H$5000=O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O$5+4)/MAX(1,SUMPRODUCT((INPUT!$H$3:$H$5000=O$5+4)*ISNUMBER(INPUT!$K$3:$K$5000)*(INPUT!$J$3:$J$5000&lt;&gt;"HERRERO")*(INPUT!$J$3:$J$5000&lt;&gt;"GARCIA")*(INPUT!$J$3:$J$5000&lt;&gt;"OSCAR"))),0)</f>
        <v>1267.6923076923076</v>
      </c>
      <c r="P18" s="131" cm="1">
        <f t="array" ref="P18">IFERROR(SUMPRODUCT((INPUT!$H$3:$H$5000=P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P$5+4)/MAX(1,SUMPRODUCT((INPUT!$H$3:$H$5000=P$5+4)*ISNUMBER(INPUT!$K$3:$K$5000)*(INPUT!$J$3:$J$5000&lt;&gt;"HERRERO")*(INPUT!$J$3:$J$5000&lt;&gt;"GARCIA")*(INPUT!$J$3:$J$5000&lt;&gt;"OSCAR"))),0)</f>
        <v>825.83333333333337</v>
      </c>
      <c r="Q18" s="131" cm="1">
        <f t="array" ref="Q18">IFERROR(SUMPRODUCT((INPUT!$H$3:$H$5000=Q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Q$5+4)/MAX(1,SUMPRODUCT((INPUT!$H$3:$H$5000=Q$5+4)*ISNUMBER(INPUT!$K$3:$K$5000)*(INPUT!$J$3:$J$5000&lt;&gt;"HERRERO")*(INPUT!$J$3:$J$5000&lt;&gt;"GARCIA")*(INPUT!$J$3:$J$5000&lt;&gt;"OSCAR"))),0)</f>
        <v>270</v>
      </c>
      <c r="R18" s="131" cm="1">
        <f t="array" ref="R18">IFERROR(SUMPRODUCT((INPUT!$H$3:$H$5000=R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R$5+4)/MAX(1,SUMPRODUCT((INPUT!$H$3:$H$5000=R$5+4)*ISNUMBER(INPUT!$K$3:$K$5000)*(INPUT!$J$3:$J$5000&lt;&gt;"HERRERO")*(INPUT!$J$3:$J$5000&lt;&gt;"GARCIA")*(INPUT!$J$3:$J$5000&lt;&gt;"OSCAR"))),0)</f>
        <v>262.5</v>
      </c>
      <c r="S18" s="131" cm="1">
        <f t="array" ref="S18">IFERROR(SUMPRODUCT((INPUT!$H$3:$H$5000=S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S$5+4)/MAX(1,SUMPRODUCT((INPUT!$H$3:$H$5000=S$5+4)*ISNUMBER(INPUT!$K$3:$K$5000)*(INPUT!$J$3:$J$5000&lt;&gt;"HERRERO")*(INPUT!$J$3:$J$5000&lt;&gt;"GARCIA")*(INPUT!$J$3:$J$5000&lt;&gt;"OSCAR"))),0)</f>
        <v>813.91304347826087</v>
      </c>
      <c r="T18" s="131" cm="1">
        <f t="array" ref="T18">IFERROR(SUMPRODUCT((INPUT!$H$3:$H$5000=T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T$5+4)/MAX(1,SUMPRODUCT((INPUT!$H$3:$H$5000=T$5+4)*ISNUMBER(INPUT!$K$3:$K$5000)*(INPUT!$J$3:$J$5000&lt;&gt;"HERRERO")*(INPUT!$J$3:$J$5000&lt;&gt;"GARCIA")*(INPUT!$J$3:$J$5000&lt;&gt;"OSCAR"))),0)</f>
        <v>265.38461538461536</v>
      </c>
      <c r="U18" s="131" cm="1">
        <f t="array" ref="U18">IFERROR(SUMPRODUCT((INPUT!$H$3:$H$5000=U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U$5+4)/MAX(1,SUMPRODUCT((INPUT!$H$3:$H$5000=U$5+4)*ISNUMBER(INPUT!$K$3:$K$5000)*(INPUT!$J$3:$J$5000&lt;&gt;"HERRERO")*(INPUT!$J$3:$J$5000&lt;&gt;"GARCIA")*(INPUT!$J$3:$J$5000&lt;&gt;"OSCAR"))),0)</f>
        <v>250</v>
      </c>
      <c r="V18" s="131" cm="1">
        <f t="array" ref="V18">IFERROR(SUMPRODUCT((INPUT!$H$3:$H$5000=V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V$5+4)/MAX(1,SUMPRODUCT((INPUT!$H$3:$H$5000=V$5+4)*ISNUMBER(INPUT!$K$3:$K$5000)*(INPUT!$J$3:$J$5000&lt;&gt;"HERRERO")*(INPUT!$J$3:$J$5000&lt;&gt;"GARCIA")*(INPUT!$J$3:$J$5000&lt;&gt;"OSCAR"))),0)</f>
        <v>948.88888888888891</v>
      </c>
      <c r="W18" s="131" cm="1">
        <f t="array" ref="W18">IFERROR(SUMPRODUCT((INPUT!$H$3:$H$5000=W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W$5+4)/MAX(1,SUMPRODUCT((INPUT!$H$3:$H$5000=W$5+4)*ISNUMBER(INPUT!$K$3:$K$5000)*(INPUT!$J$3:$J$5000&lt;&gt;"HERRERO")*(INPUT!$J$3:$J$5000&lt;&gt;"GARCIA")*(INPUT!$J$3:$J$5000&lt;&gt;"OSCAR"))),0)</f>
        <v>400</v>
      </c>
      <c r="X18" s="131" cm="1">
        <f t="array" ref="X18">IFERROR(SUMPRODUCT((INPUT!$H$3:$H$5000=X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X$5+4)/MAX(1,SUMPRODUCT((INPUT!$H$3:$H$5000=X$5+4)*ISNUMBER(INPUT!$K$3:$K$5000)*(INPUT!$J$3:$J$5000&lt;&gt;"HERRERO")*(INPUT!$J$3:$J$5000&lt;&gt;"GARCIA")*(INPUT!$J$3:$J$5000&lt;&gt;"OSCAR"))),0)</f>
        <v>341.53846153846155</v>
      </c>
      <c r="Y18" s="131" cm="1">
        <f t="array" ref="Y18">IFERROR(SUMPRODUCT((INPUT!$H$3:$H$5000=Y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Y$5+4)/MAX(1,SUMPRODUCT((INPUT!$H$3:$H$5000=Y$5+4)*ISNUMBER(INPUT!$K$3:$K$5000)*(INPUT!$J$3:$J$5000&lt;&gt;"HERRERO")*(INPUT!$J$3:$J$5000&lt;&gt;"GARCIA")*(INPUT!$J$3:$J$5000&lt;&gt;"OSCAR"))),0)</f>
        <v>394.61538461538464</v>
      </c>
      <c r="Z18" s="131" cm="1">
        <f t="array" ref="Z18">IFERROR(SUMPRODUCT((INPUT!$H$3:$H$5000=Z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Z$5+4)/MAX(1,SUMPRODUCT((INPUT!$H$3:$H$5000=Z$5+4)*ISNUMBER(INPUT!$K$3:$K$5000)*(INPUT!$J$3:$J$5000&lt;&gt;"HERRERO")*(INPUT!$J$3:$J$5000&lt;&gt;"GARCIA")*(INPUT!$J$3:$J$5000&lt;&gt;"OSCAR"))),0)</f>
        <v>0</v>
      </c>
      <c r="AA18" s="131" cm="1">
        <f t="array" ref="AA18">IFERROR(SUMPRODUCT((INPUT!$H$3:$H$5000=AA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A$5+4)/MAX(1,SUMPRODUCT((INPUT!$H$3:$H$5000=AA$5+4)*ISNUMBER(INPUT!$K$3:$K$5000)*(INPUT!$J$3:$J$5000&lt;&gt;"HERRERO")*(INPUT!$J$3:$J$5000&lt;&gt;"GARCIA")*(INPUT!$J$3:$J$5000&lt;&gt;"OSCAR"))),0)</f>
        <v>734.09090909090912</v>
      </c>
      <c r="AB18" s="131" cm="1">
        <f t="array" ref="AB18">IFERROR(SUMPRODUCT((INPUT!$H$3:$H$5000=AB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B$5+4)/MAX(1,SUMPRODUCT((INPUT!$H$3:$H$5000=AB$5+4)*ISNUMBER(INPUT!$K$3:$K$5000)*(INPUT!$J$3:$J$5000&lt;&gt;"HERRERO")*(INPUT!$J$3:$J$5000&lt;&gt;"GARCIA")*(INPUT!$J$3:$J$5000&lt;&gt;"OSCAR"))),0)</f>
        <v>876</v>
      </c>
      <c r="AC18" s="131" cm="1">
        <f t="array" ref="AC18">IFERROR(SUMPRODUCT((INPUT!$H$3:$H$5000=AC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C$5+4)/MAX(1,SUMPRODUCT((INPUT!$H$3:$H$5000=AC$5+4)*ISNUMBER(INPUT!$K$3:$K$5000)*(INPUT!$J$3:$J$5000&lt;&gt;"HERRERO")*(INPUT!$J$3:$J$5000&lt;&gt;"GARCIA")*(INPUT!$J$3:$J$5000&lt;&gt;"OSCAR"))),0)</f>
        <v>970.90909090909088</v>
      </c>
      <c r="AD18" s="131" cm="1">
        <f t="array" ref="AD18">IFERROR(SUMPRODUCT((INPUT!$H$3:$H$5000=AD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D$5+4)/MAX(1,SUMPRODUCT((INPUT!$H$3:$H$5000=AD$5+4)*ISNUMBER(INPUT!$K$3:$K$5000)*(INPUT!$J$3:$J$5000&lt;&gt;"HERRERO")*(INPUT!$J$3:$J$5000&lt;&gt;"GARCIA")*(INPUT!$J$3:$J$5000&lt;&gt;"OSCAR"))),0)</f>
        <v>1004.3478260869565</v>
      </c>
      <c r="AE18" s="131" cm="1">
        <f t="array" ref="AE18">IFERROR(SUMPRODUCT((INPUT!$H$3:$H$5000=AE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E$5+4)/MAX(1,SUMPRODUCT((INPUT!$H$3:$H$5000=AE$5+4)*ISNUMBER(INPUT!$K$3:$K$5000)*(INPUT!$J$3:$J$5000&lt;&gt;"HERRERO")*(INPUT!$J$3:$J$5000&lt;&gt;"GARCIA")*(INPUT!$J$3:$J$5000&lt;&gt;"OSCAR"))),0)</f>
        <v>710</v>
      </c>
      <c r="AF18" s="131" cm="1">
        <f t="array" ref="AF18">IFERROR(SUMPRODUCT((INPUT!$H$3:$H$5000=AF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F$5+4)/MAX(1,SUMPRODUCT((INPUT!$H$3:$H$5000=AF$5+4)*ISNUMBER(INPUT!$K$3:$K$5000)*(INPUT!$J$3:$J$5000&lt;&gt;"HERRERO")*(INPUT!$J$3:$J$5000&lt;&gt;"GARCIA")*(INPUT!$J$3:$J$5000&lt;&gt;"OSCAR"))),0)</f>
        <v>465</v>
      </c>
      <c r="AG18" s="131" cm="1">
        <f t="array" ref="AG18">IFERROR(SUMPRODUCT((INPUT!$H$3:$H$5000=AG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G$5+4)/MAX(1,SUMPRODUCT((INPUT!$H$3:$H$5000=AG$5+4)*ISNUMBER(INPUT!$K$3:$K$5000)*(INPUT!$J$3:$J$5000&lt;&gt;"HERRERO")*(INPUT!$J$3:$J$5000&lt;&gt;"GARCIA")*(INPUT!$J$3:$J$5000&lt;&gt;"OSCAR"))),0)</f>
        <v>905.26315789473688</v>
      </c>
      <c r="AH18" s="131" cm="1">
        <f t="array" ref="AH18">IFERROR(SUMPRODUCT((INPUT!$H$3:$H$5000=AH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H$5+4)/MAX(1,SUMPRODUCT((INPUT!$H$3:$H$5000=AH$5+4)*ISNUMBER(INPUT!$K$3:$K$5000)*(INPUT!$J$3:$J$5000&lt;&gt;"HERRERO")*(INPUT!$J$3:$J$5000&lt;&gt;"GARCIA")*(INPUT!$J$3:$J$5000&lt;&gt;"OSCAR"))),0)</f>
        <v>918.26086956521738</v>
      </c>
      <c r="AI18" s="131" cm="1">
        <f t="array" ref="AI18">IFERROR(SUMPRODUCT((INPUT!$H$3:$H$5000=AI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I$5+4)/MAX(1,SUMPRODUCT((INPUT!$H$3:$H$5000=AI$5+4)*ISNUMBER(INPUT!$K$3:$K$5000)*(INPUT!$J$3:$J$5000&lt;&gt;"HERRERO")*(INPUT!$J$3:$J$5000&lt;&gt;"GARCIA")*(INPUT!$J$3:$J$5000&lt;&gt;"OSCAR"))),0)</f>
        <v>30</v>
      </c>
      <c r="AJ18" s="131" cm="1">
        <f t="array" ref="AJ18">IFERROR(SUMPRODUCT((INPUT!$H$3:$H$5000=AJ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J$5+4)/MAX(1,SUMPRODUCT((INPUT!$H$3:$H$5000=AJ$5+4)*ISNUMBER(INPUT!$K$3:$K$5000)*(INPUT!$J$3:$J$5000&lt;&gt;"HERRERO")*(INPUT!$J$3:$J$5000&lt;&gt;"GARCIA")*(INPUT!$J$3:$J$5000&lt;&gt;"OSCAR"))),0)</f>
        <v>235.45454545454547</v>
      </c>
      <c r="AK18" s="131" cm="1">
        <f t="array" ref="AK18">IFERROR(SUMPRODUCT((INPUT!$H$3:$H$5000=AK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K$5+4)/MAX(1,SUMPRODUCT((INPUT!$H$3:$H$5000=AK$5+4)*ISNUMBER(INPUT!$K$3:$K$5000)*(INPUT!$J$3:$J$5000&lt;&gt;"HERRERO")*(INPUT!$J$3:$J$5000&lt;&gt;"GARCIA")*(INPUT!$J$3:$J$5000&lt;&gt;"OSCAR"))),0)</f>
        <v>315</v>
      </c>
      <c r="AL18" s="131" cm="1">
        <f t="array" ref="AL18">IFERROR(SUMPRODUCT((INPUT!$H$3:$H$5000=AL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L$5+4)/MAX(1,SUMPRODUCT((INPUT!$H$3:$H$5000=AL$5+4)*ISNUMBER(INPUT!$K$3:$K$5000)*(INPUT!$J$3:$J$5000&lt;&gt;"HERRERO")*(INPUT!$J$3:$J$5000&lt;&gt;"GARCIA")*(INPUT!$J$3:$J$5000&lt;&gt;"OSCAR"))),0)</f>
        <v>480</v>
      </c>
      <c r="AM18" s="131" cm="1">
        <f t="array" ref="AM18">IFERROR(SUMPRODUCT((INPUT!$H$3:$H$5000=AM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M$5+4)/MAX(1,SUMPRODUCT((INPUT!$H$3:$H$5000=AM$5+4)*ISNUMBER(INPUT!$K$3:$K$5000)*(INPUT!$J$3:$J$5000&lt;&gt;"HERRERO")*(INPUT!$J$3:$J$5000&lt;&gt;"GARCIA")*(INPUT!$J$3:$J$5000&lt;&gt;"OSCAR"))),0)</f>
        <v>147.27272727272728</v>
      </c>
      <c r="AN18" s="131" cm="1">
        <f t="array" ref="AN18">IFERROR(SUMPRODUCT((INPUT!$H$3:$H$5000=AN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N$5+4)/MAX(1,SUMPRODUCT((INPUT!$H$3:$H$5000=AN$5+4)*ISNUMBER(INPUT!$K$3:$K$5000)*(INPUT!$J$3:$J$5000&lt;&gt;"HERRERO")*(INPUT!$J$3:$J$5000&lt;&gt;"GARCIA")*(INPUT!$J$3:$J$5000&lt;&gt;"OSCAR"))),0)</f>
        <v>0</v>
      </c>
      <c r="AO18" s="131" cm="1">
        <f t="array" ref="AO18">IFERROR(SUMPRODUCT((INPUT!$H$3:$H$5000=AO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O$5+4)/MAX(1,SUMPRODUCT((INPUT!$H$3:$H$5000=AO$5+4)*ISNUMBER(INPUT!$K$3:$K$5000)*(INPUT!$J$3:$J$5000&lt;&gt;"HERRERO")*(INPUT!$J$3:$J$5000&lt;&gt;"GARCIA")*(INPUT!$J$3:$J$5000&lt;&gt;"OSCAR"))),0)</f>
        <v>0</v>
      </c>
      <c r="AP18" s="131" cm="1">
        <f t="array" ref="AP18">IFERROR(SUMPRODUCT((INPUT!$H$3:$H$5000=AP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P$5+4)/MAX(1,SUMPRODUCT((INPUT!$H$3:$H$5000=AP$5+4)*ISNUMBER(INPUT!$K$3:$K$5000)*(INPUT!$J$3:$J$5000&lt;&gt;"HERRERO")*(INPUT!$J$3:$J$5000&lt;&gt;"GARCIA")*(INPUT!$J$3:$J$5000&lt;&gt;"OSCAR"))),0)</f>
        <v>0</v>
      </c>
      <c r="AQ18" s="131" cm="1">
        <f t="array" ref="AQ18">IFERROR(SUMPRODUCT((INPUT!$H$3:$H$5000=AQ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Q$5+4)/MAX(1,SUMPRODUCT((INPUT!$H$3:$H$5000=AQ$5+4)*ISNUMBER(INPUT!$K$3:$K$5000)*(INPUT!$J$3:$J$5000&lt;&gt;"HERRERO")*(INPUT!$J$3:$J$5000&lt;&gt;"GARCIA")*(INPUT!$J$3:$J$5000&lt;&gt;"OSCAR"))),0)</f>
        <v>0</v>
      </c>
      <c r="AR18" s="131" cm="1">
        <f t="array" ref="AR18">IFERROR(SUMPRODUCT((INPUT!$H$3:$H$5000=AR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R$5+4)/MAX(1,SUMPRODUCT((INPUT!$H$3:$H$5000=AR$5+4)*ISNUMBER(INPUT!$K$3:$K$5000)*(INPUT!$J$3:$J$5000&lt;&gt;"HERRERO")*(INPUT!$J$3:$J$5000&lt;&gt;"GARCIA")*(INPUT!$J$3:$J$5000&lt;&gt;"OSCAR"))),0)</f>
        <v>0</v>
      </c>
      <c r="AS18" s="131" cm="1">
        <f t="array" ref="AS18">IFERROR(SUMPRODUCT((INPUT!$H$3:$H$5000=AS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S$5+4)/MAX(1,SUMPRODUCT((INPUT!$H$3:$H$5000=AS$5+4)*ISNUMBER(INPUT!$K$3:$K$5000)*(INPUT!$J$3:$J$5000&lt;&gt;"HERRERO")*(INPUT!$J$3:$J$5000&lt;&gt;"GARCIA")*(INPUT!$J$3:$J$5000&lt;&gt;"OSCAR"))),0)</f>
        <v>0</v>
      </c>
      <c r="AT18" s="131" cm="1">
        <f t="array" ref="AT18">IFERROR(SUMPRODUCT((INPUT!$H$3:$H$5000=AT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T$5+4)/MAX(1,SUMPRODUCT((INPUT!$H$3:$H$5000=AT$5+4)*ISNUMBER(INPUT!$K$3:$K$5000)*(INPUT!$J$3:$J$5000&lt;&gt;"HERRERO")*(INPUT!$J$3:$J$5000&lt;&gt;"GARCIA")*(INPUT!$J$3:$J$5000&lt;&gt;"OSCAR"))),0)</f>
        <v>0</v>
      </c>
      <c r="AU18" s="131" cm="1">
        <f t="array" ref="AU18">IFERROR(SUMPRODUCT((INPUT!$H$3:$H$5000=AU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U$5+4)/MAX(1,SUMPRODUCT((INPUT!$H$3:$H$5000=AU$5+4)*ISNUMBER(INPUT!$K$3:$K$5000)*(INPUT!$J$3:$J$5000&lt;&gt;"HERRERO")*(INPUT!$J$3:$J$5000&lt;&gt;"GARCIA")*(INPUT!$J$3:$J$5000&lt;&gt;"OSCAR"))),0)</f>
        <v>0</v>
      </c>
      <c r="AV18" s="131" cm="1">
        <f t="array" ref="AV18">IFERROR(SUMPRODUCT((INPUT!$H$3:$H$5000=AV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V$5+4)/MAX(1,SUMPRODUCT((INPUT!$H$3:$H$5000=AV$5+4)*ISNUMBER(INPUT!$K$3:$K$5000)*(INPUT!$J$3:$J$5000&lt;&gt;"HERRERO")*(INPUT!$J$3:$J$5000&lt;&gt;"GARCIA")*(INPUT!$J$3:$J$5000&lt;&gt;"OSCAR"))),0)</f>
        <v>0</v>
      </c>
      <c r="AW18" s="138" cm="1">
        <f t="array" ref="AW18">IFERROR(SUMPRODUCT((INPUT!$H$3:$H$5000=AW$5+4)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W$5+4)/MAX(1,SUMPRODUCT((INPUT!$H$3:$H$5000=AW$5+4)*ISNUMBER(INPUT!$K$3:$K$5000)*(INPUT!$J$3:$J$5000&lt;&gt;"HERRERO")*(INPUT!$J$3:$J$5000&lt;&gt;"GARCIA")*(INPUT!$J$3:$J$5000&lt;&gt;"OSCAR"))),0)</f>
        <v>0</v>
      </c>
    </row>
    <row r="19" spans="1:49" x14ac:dyDescent="0.2">
      <c r="A19" s="134" t="s">
        <v>192</v>
      </c>
      <c r="B19" s="142" cm="1">
        <f t="array" ref="B19">IFERROR(SUMPRODUCT((INPUT!$H$3:$H$5000=B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B$5+5)/MAX(1,SUMPRODUCT((INPUT!$H$3:$H$5000=B$5+5)*ISNUMBER(INPUT!$K$3:$K$5000)*(INPUT!$J$3:$J$5000&lt;&gt;"HERRERO")*(INPUT!$J$3:$J$5000&lt;&gt;"GARCIA")*(INPUT!$J$3:$J$5000&lt;&gt;"OSCAR"))),0)</f>
        <v>0</v>
      </c>
      <c r="C19" s="142" cm="1">
        <f t="array" ref="C19">IFERROR(SUMPRODUCT((INPUT!$H$3:$H$5000=C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C$5+5)/MAX(1,SUMPRODUCT((INPUT!$H$3:$H$5000=C$5+5)*ISNUMBER(INPUT!$K$3:$K$5000)*(INPUT!$J$3:$J$5000&lt;&gt;"HERRERO")*(INPUT!$J$3:$J$5000&lt;&gt;"GARCIA")*(INPUT!$J$3:$J$5000&lt;&gt;"OSCAR"))),0)</f>
        <v>0</v>
      </c>
      <c r="D19" s="142" cm="1">
        <f t="array" ref="D19">IFERROR(SUMPRODUCT((INPUT!$H$3:$H$5000=D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D$5+5)/MAX(1,SUMPRODUCT((INPUT!$H$3:$H$5000=D$5+5)*ISNUMBER(INPUT!$K$3:$K$5000)*(INPUT!$J$3:$J$5000&lt;&gt;"HERRERO")*(INPUT!$J$3:$J$5000&lt;&gt;"GARCIA")*(INPUT!$J$3:$J$5000&lt;&gt;"OSCAR"))),0)</f>
        <v>0</v>
      </c>
      <c r="E19" s="142" cm="1">
        <f t="array" ref="E19">IFERROR(SUMPRODUCT((INPUT!$H$3:$H$5000=E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E$5+5)/MAX(1,SUMPRODUCT((INPUT!$H$3:$H$5000=E$5+5)*ISNUMBER(INPUT!$K$3:$K$5000)*(INPUT!$J$3:$J$5000&lt;&gt;"HERRERO")*(INPUT!$J$3:$J$5000&lt;&gt;"GARCIA")*(INPUT!$J$3:$J$5000&lt;&gt;"OSCAR"))),0)</f>
        <v>858.46153846153845</v>
      </c>
      <c r="F19" s="142" cm="1">
        <f t="array" ref="F19">IFERROR(SUMPRODUCT((INPUT!$H$3:$H$5000=F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F$5+5)/MAX(1,SUMPRODUCT((INPUT!$H$3:$H$5000=F$5+5)*ISNUMBER(INPUT!$K$3:$K$5000)*(INPUT!$J$3:$J$5000&lt;&gt;"HERRERO")*(INPUT!$J$3:$J$5000&lt;&gt;"GARCIA")*(INPUT!$J$3:$J$5000&lt;&gt;"OSCAR"))),0)</f>
        <v>780</v>
      </c>
      <c r="G19" s="142" cm="1">
        <f t="array" ref="G19">IFERROR(SUMPRODUCT((INPUT!$H$3:$H$5000=G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G$5+5)/MAX(1,SUMPRODUCT((INPUT!$H$3:$H$5000=G$5+5)*ISNUMBER(INPUT!$K$3:$K$5000)*(INPUT!$J$3:$J$5000&lt;&gt;"HERRERO")*(INPUT!$J$3:$J$5000&lt;&gt;"GARCIA")*(INPUT!$J$3:$J$5000&lt;&gt;"OSCAR"))),0)</f>
        <v>948.57142857142856</v>
      </c>
      <c r="H19" s="142" cm="1">
        <f t="array" ref="H19">IFERROR(SUMPRODUCT((INPUT!$H$3:$H$5000=H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H$5+5)/MAX(1,SUMPRODUCT((INPUT!$H$3:$H$5000=H$5+5)*ISNUMBER(INPUT!$K$3:$K$5000)*(INPUT!$J$3:$J$5000&lt;&gt;"HERRERO")*(INPUT!$J$3:$J$5000&lt;&gt;"GARCIA")*(INPUT!$J$3:$J$5000&lt;&gt;"OSCAR"))),0)</f>
        <v>850.90909090909088</v>
      </c>
      <c r="I19" s="142" cm="1">
        <f t="array" ref="I19">IFERROR(SUMPRODUCT((INPUT!$H$3:$H$5000=I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I$5+5)/MAX(1,SUMPRODUCT((INPUT!$H$3:$H$5000=I$5+5)*ISNUMBER(INPUT!$K$3:$K$5000)*(INPUT!$J$3:$J$5000&lt;&gt;"HERRERO")*(INPUT!$J$3:$J$5000&lt;&gt;"GARCIA")*(INPUT!$J$3:$J$5000&lt;&gt;"OSCAR"))),0)</f>
        <v>0</v>
      </c>
      <c r="J19" s="142" cm="1">
        <f t="array" ref="J19">IFERROR(SUMPRODUCT((INPUT!$H$3:$H$5000=J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J$5+5)/MAX(1,SUMPRODUCT((INPUT!$H$3:$H$5000=J$5+5)*ISNUMBER(INPUT!$K$3:$K$5000)*(INPUT!$J$3:$J$5000&lt;&gt;"HERRERO")*(INPUT!$J$3:$J$5000&lt;&gt;"GARCIA")*(INPUT!$J$3:$J$5000&lt;&gt;"OSCAR"))),0)</f>
        <v>818.18181818181813</v>
      </c>
      <c r="K19" s="142" cm="1">
        <f t="array" ref="K19">IFERROR(SUMPRODUCT((INPUT!$H$3:$H$5000=K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K$5+5)/MAX(1,SUMPRODUCT((INPUT!$H$3:$H$5000=K$5+5)*ISNUMBER(INPUT!$K$3:$K$5000)*(INPUT!$J$3:$J$5000&lt;&gt;"HERRERO")*(INPUT!$J$3:$J$5000&lt;&gt;"GARCIA")*(INPUT!$J$3:$J$5000&lt;&gt;"OSCAR"))),0)</f>
        <v>785.4545454545455</v>
      </c>
      <c r="L19" s="142" cm="1">
        <f t="array" ref="L19">IFERROR(SUMPRODUCT((INPUT!$H$3:$H$5000=L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L$5+5)/MAX(1,SUMPRODUCT((INPUT!$H$3:$H$5000=L$5+5)*ISNUMBER(INPUT!$K$3:$K$5000)*(INPUT!$J$3:$J$5000&lt;&gt;"HERRERO")*(INPUT!$J$3:$J$5000&lt;&gt;"GARCIA")*(INPUT!$J$3:$J$5000&lt;&gt;"OSCAR"))),0)</f>
        <v>175</v>
      </c>
      <c r="M19" s="142" cm="1">
        <f t="array" ref="M19">IFERROR(SUMPRODUCT((INPUT!$H$3:$H$5000=M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M$5+5)/MAX(1,SUMPRODUCT((INPUT!$H$3:$H$5000=M$5+5)*ISNUMBER(INPUT!$K$3:$K$5000)*(INPUT!$J$3:$J$5000&lt;&gt;"HERRERO")*(INPUT!$J$3:$J$5000&lt;&gt;"GARCIA")*(INPUT!$J$3:$J$5000&lt;&gt;"OSCAR"))),0)</f>
        <v>0</v>
      </c>
      <c r="N19" s="142" cm="1">
        <f t="array" ref="N19">IFERROR(SUMPRODUCT((INPUT!$H$3:$H$5000=N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N$5+5)/MAX(1,SUMPRODUCT((INPUT!$H$3:$H$5000=N$5+5)*ISNUMBER(INPUT!$K$3:$K$5000)*(INPUT!$J$3:$J$5000&lt;&gt;"HERRERO")*(INPUT!$J$3:$J$5000&lt;&gt;"GARCIA")*(INPUT!$J$3:$J$5000&lt;&gt;"OSCAR"))),0)</f>
        <v>800</v>
      </c>
      <c r="O19" s="142" cm="1">
        <f t="array" ref="O19">IFERROR(SUMPRODUCT((INPUT!$H$3:$H$5000=O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O$5+5)/MAX(1,SUMPRODUCT((INPUT!$H$3:$H$5000=O$5+5)*ISNUMBER(INPUT!$K$3:$K$5000)*(INPUT!$J$3:$J$5000&lt;&gt;"HERRERO")*(INPUT!$J$3:$J$5000&lt;&gt;"GARCIA")*(INPUT!$J$3:$J$5000&lt;&gt;"OSCAR"))),0)</f>
        <v>0</v>
      </c>
      <c r="P19" s="142" cm="1">
        <f t="array" ref="P19">IFERROR(SUMPRODUCT((INPUT!$H$3:$H$5000=P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P$5+5)/MAX(1,SUMPRODUCT((INPUT!$H$3:$H$5000=P$5+5)*ISNUMBER(INPUT!$K$3:$K$5000)*(INPUT!$J$3:$J$5000&lt;&gt;"HERRERO")*(INPUT!$J$3:$J$5000&lt;&gt;"GARCIA")*(INPUT!$J$3:$J$5000&lt;&gt;"OSCAR"))),0)</f>
        <v>0</v>
      </c>
      <c r="Q19" s="142" cm="1">
        <f t="array" ref="Q19">IFERROR(SUMPRODUCT((INPUT!$H$3:$H$5000=Q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Q$5+5)/MAX(1,SUMPRODUCT((INPUT!$H$3:$H$5000=Q$5+5)*ISNUMBER(INPUT!$K$3:$K$5000)*(INPUT!$J$3:$J$5000&lt;&gt;"HERRERO")*(INPUT!$J$3:$J$5000&lt;&gt;"GARCIA")*(INPUT!$J$3:$J$5000&lt;&gt;"OSCAR"))),0)</f>
        <v>807.27272727272725</v>
      </c>
      <c r="R19" s="142" cm="1">
        <f t="array" ref="R19">IFERROR(SUMPRODUCT((INPUT!$H$3:$H$5000=R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R$5+5)/MAX(1,SUMPRODUCT((INPUT!$H$3:$H$5000=R$5+5)*ISNUMBER(INPUT!$K$3:$K$5000)*(INPUT!$J$3:$J$5000&lt;&gt;"HERRERO")*(INPUT!$J$3:$J$5000&lt;&gt;"GARCIA")*(INPUT!$J$3:$J$5000&lt;&gt;"OSCAR"))),0)</f>
        <v>846.52173913043475</v>
      </c>
      <c r="S19" s="142" cm="1">
        <f t="array" ref="S19">IFERROR(SUMPRODUCT((INPUT!$H$3:$H$5000=S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S$5+5)/MAX(1,SUMPRODUCT((INPUT!$H$3:$H$5000=S$5+5)*ISNUMBER(INPUT!$K$3:$K$5000)*(INPUT!$J$3:$J$5000&lt;&gt;"HERRERO")*(INPUT!$J$3:$J$5000&lt;&gt;"GARCIA")*(INPUT!$J$3:$J$5000&lt;&gt;"OSCAR"))),0)</f>
        <v>0</v>
      </c>
      <c r="T19" s="142" cm="1">
        <f t="array" ref="T19">IFERROR(SUMPRODUCT((INPUT!$H$3:$H$5000=T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T$5+5)/MAX(1,SUMPRODUCT((INPUT!$H$3:$H$5000=T$5+5)*ISNUMBER(INPUT!$K$3:$K$5000)*(INPUT!$J$3:$J$5000&lt;&gt;"HERRERO")*(INPUT!$J$3:$J$5000&lt;&gt;"GARCIA")*(INPUT!$J$3:$J$5000&lt;&gt;"OSCAR"))),0)</f>
        <v>876</v>
      </c>
      <c r="U19" s="142" cm="1">
        <f t="array" ref="U19">IFERROR(SUMPRODUCT((INPUT!$H$3:$H$5000=U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U$5+5)/MAX(1,SUMPRODUCT((INPUT!$H$3:$H$5000=U$5+5)*ISNUMBER(INPUT!$K$3:$K$5000)*(INPUT!$J$3:$J$5000&lt;&gt;"HERRERO")*(INPUT!$J$3:$J$5000&lt;&gt;"GARCIA")*(INPUT!$J$3:$J$5000&lt;&gt;"OSCAR"))),0)</f>
        <v>829.09090909090912</v>
      </c>
      <c r="V19" s="142" cm="1">
        <f t="array" ref="V19">IFERROR(SUMPRODUCT((INPUT!$H$3:$H$5000=V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V$5+5)/MAX(1,SUMPRODUCT((INPUT!$H$3:$H$5000=V$5+5)*ISNUMBER(INPUT!$K$3:$K$5000)*(INPUT!$J$3:$J$5000&lt;&gt;"HERRERO")*(INPUT!$J$3:$J$5000&lt;&gt;"GARCIA")*(INPUT!$J$3:$J$5000&lt;&gt;"OSCAR"))),0)</f>
        <v>0</v>
      </c>
      <c r="W19" s="142" cm="1">
        <f t="array" ref="W19">IFERROR(SUMPRODUCT((INPUT!$H$3:$H$5000=W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W$5+5)/MAX(1,SUMPRODUCT((INPUT!$H$3:$H$5000=W$5+5)*ISNUMBER(INPUT!$K$3:$K$5000)*(INPUT!$J$3:$J$5000&lt;&gt;"HERRERO")*(INPUT!$J$3:$J$5000&lt;&gt;"GARCIA")*(INPUT!$J$3:$J$5000&lt;&gt;"OSCAR"))),0)</f>
        <v>780</v>
      </c>
      <c r="X19" s="142" cm="1">
        <f t="array" ref="X19">IFERROR(SUMPRODUCT((INPUT!$H$3:$H$5000=X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X$5+5)/MAX(1,SUMPRODUCT((INPUT!$H$3:$H$5000=X$5+5)*ISNUMBER(INPUT!$K$3:$K$5000)*(INPUT!$J$3:$J$5000&lt;&gt;"HERRERO")*(INPUT!$J$3:$J$5000&lt;&gt;"GARCIA")*(INPUT!$J$3:$J$5000&lt;&gt;"OSCAR"))),0)</f>
        <v>780</v>
      </c>
      <c r="Y19" s="142" cm="1">
        <f t="array" ref="Y19">IFERROR(SUMPRODUCT((INPUT!$H$3:$H$5000=Y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Y$5+5)/MAX(1,SUMPRODUCT((INPUT!$H$3:$H$5000=Y$5+5)*ISNUMBER(INPUT!$K$3:$K$5000)*(INPUT!$J$3:$J$5000&lt;&gt;"HERRERO")*(INPUT!$J$3:$J$5000&lt;&gt;"GARCIA")*(INPUT!$J$3:$J$5000&lt;&gt;"OSCAR"))),0)</f>
        <v>1080</v>
      </c>
      <c r="Z19" s="142" cm="1">
        <f t="array" ref="Z19">IFERROR(SUMPRODUCT((INPUT!$H$3:$H$5000=Z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Z$5+5)/MAX(1,SUMPRODUCT((INPUT!$H$3:$H$5000=Z$5+5)*ISNUMBER(INPUT!$K$3:$K$5000)*(INPUT!$J$3:$J$5000&lt;&gt;"HERRERO")*(INPUT!$J$3:$J$5000&lt;&gt;"GARCIA")*(INPUT!$J$3:$J$5000&lt;&gt;"OSCAR"))),0)</f>
        <v>0</v>
      </c>
      <c r="AA19" s="142" cm="1">
        <f t="array" ref="AA19">IFERROR(SUMPRODUCT((INPUT!$H$3:$H$5000=AA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A$5+5)/MAX(1,SUMPRODUCT((INPUT!$H$3:$H$5000=AA$5+5)*ISNUMBER(INPUT!$K$3:$K$5000)*(INPUT!$J$3:$J$5000&lt;&gt;"HERRERO")*(INPUT!$J$3:$J$5000&lt;&gt;"GARCIA")*(INPUT!$J$3:$J$5000&lt;&gt;"OSCAR"))),0)</f>
        <v>0</v>
      </c>
      <c r="AB19" s="142" cm="1">
        <f t="array" ref="AB19">IFERROR(SUMPRODUCT((INPUT!$H$3:$H$5000=AB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B$5+5)/MAX(1,SUMPRODUCT((INPUT!$H$3:$H$5000=AB$5+5)*ISNUMBER(INPUT!$K$3:$K$5000)*(INPUT!$J$3:$J$5000&lt;&gt;"HERRERO")*(INPUT!$J$3:$J$5000&lt;&gt;"GARCIA")*(INPUT!$J$3:$J$5000&lt;&gt;"OSCAR"))),0)</f>
        <v>0</v>
      </c>
      <c r="AC19" s="142" cm="1">
        <f t="array" ref="AC19">IFERROR(SUMPRODUCT((INPUT!$H$3:$H$5000=AC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C$5+5)/MAX(1,SUMPRODUCT((INPUT!$H$3:$H$5000=AC$5+5)*ISNUMBER(INPUT!$K$3:$K$5000)*(INPUT!$J$3:$J$5000&lt;&gt;"HERRERO")*(INPUT!$J$3:$J$5000&lt;&gt;"GARCIA")*(INPUT!$J$3:$J$5000&lt;&gt;"OSCAR"))),0)</f>
        <v>0</v>
      </c>
      <c r="AD19" s="142" cm="1">
        <f t="array" ref="AD19">IFERROR(SUMPRODUCT((INPUT!$H$3:$H$5000=AD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D$5+5)/MAX(1,SUMPRODUCT((INPUT!$H$3:$H$5000=AD$5+5)*ISNUMBER(INPUT!$K$3:$K$5000)*(INPUT!$J$3:$J$5000&lt;&gt;"HERRERO")*(INPUT!$J$3:$J$5000&lt;&gt;"GARCIA")*(INPUT!$J$3:$J$5000&lt;&gt;"OSCAR"))),0)</f>
        <v>0</v>
      </c>
      <c r="AE19" s="142" cm="1">
        <f t="array" ref="AE19">IFERROR(SUMPRODUCT((INPUT!$H$3:$H$5000=AE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E$5+5)/MAX(1,SUMPRODUCT((INPUT!$H$3:$H$5000=AE$5+5)*ISNUMBER(INPUT!$K$3:$K$5000)*(INPUT!$J$3:$J$5000&lt;&gt;"HERRERO")*(INPUT!$J$3:$J$5000&lt;&gt;"GARCIA")*(INPUT!$J$3:$J$5000&lt;&gt;"OSCAR"))),0)</f>
        <v>0</v>
      </c>
      <c r="AF19" s="142" cm="1">
        <f t="array" ref="AF19">IFERROR(SUMPRODUCT((INPUT!$H$3:$H$5000=AF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F$5+5)/MAX(1,SUMPRODUCT((INPUT!$H$3:$H$5000=AF$5+5)*ISNUMBER(INPUT!$K$3:$K$5000)*(INPUT!$J$3:$J$5000&lt;&gt;"HERRERO")*(INPUT!$J$3:$J$5000&lt;&gt;"GARCIA")*(INPUT!$J$3:$J$5000&lt;&gt;"OSCAR"))),0)</f>
        <v>240</v>
      </c>
      <c r="AG19" s="142" cm="1">
        <f t="array" ref="AG19">IFERROR(SUMPRODUCT((INPUT!$H$3:$H$5000=AG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G$5+5)/MAX(1,SUMPRODUCT((INPUT!$H$3:$H$5000=AG$5+5)*ISNUMBER(INPUT!$K$3:$K$5000)*(INPUT!$J$3:$J$5000&lt;&gt;"HERRERO")*(INPUT!$J$3:$J$5000&lt;&gt;"GARCIA")*(INPUT!$J$3:$J$5000&lt;&gt;"OSCAR"))),0)</f>
        <v>0</v>
      </c>
      <c r="AH19" s="142" cm="1">
        <f t="array" ref="AH19">IFERROR(SUMPRODUCT((INPUT!$H$3:$H$5000=AH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H$5+5)/MAX(1,SUMPRODUCT((INPUT!$H$3:$H$5000=AH$5+5)*ISNUMBER(INPUT!$K$3:$K$5000)*(INPUT!$J$3:$J$5000&lt;&gt;"HERRERO")*(INPUT!$J$3:$J$5000&lt;&gt;"GARCIA")*(INPUT!$J$3:$J$5000&lt;&gt;"OSCAR"))),0)</f>
        <v>0</v>
      </c>
      <c r="AI19" s="142" cm="1">
        <f t="array" ref="AI19">IFERROR(SUMPRODUCT((INPUT!$H$3:$H$5000=AI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I$5+5)/MAX(1,SUMPRODUCT((INPUT!$H$3:$H$5000=AI$5+5)*ISNUMBER(INPUT!$K$3:$K$5000)*(INPUT!$J$3:$J$5000&lt;&gt;"HERRERO")*(INPUT!$J$3:$J$5000&lt;&gt;"GARCIA")*(INPUT!$J$3:$J$5000&lt;&gt;"OSCAR"))),0)</f>
        <v>790.90909090909088</v>
      </c>
      <c r="AJ19" s="142" cm="1">
        <f t="array" ref="AJ19">IFERROR(SUMPRODUCT((INPUT!$H$3:$H$5000=AJ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J$5+5)/MAX(1,SUMPRODUCT((INPUT!$H$3:$H$5000=AJ$5+5)*ISNUMBER(INPUT!$K$3:$K$5000)*(INPUT!$J$3:$J$5000&lt;&gt;"HERRERO")*(INPUT!$J$3:$J$5000&lt;&gt;"GARCIA")*(INPUT!$J$3:$J$5000&lt;&gt;"OSCAR"))),0)</f>
        <v>774.5454545454545</v>
      </c>
      <c r="AK19" s="142" cm="1">
        <f t="array" ref="AK19">IFERROR(SUMPRODUCT((INPUT!$H$3:$H$5000=AK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K$5+5)/MAX(1,SUMPRODUCT((INPUT!$H$3:$H$5000=AK$5+5)*ISNUMBER(INPUT!$K$3:$K$5000)*(INPUT!$J$3:$J$5000&lt;&gt;"HERRERO")*(INPUT!$J$3:$J$5000&lt;&gt;"GARCIA")*(INPUT!$J$3:$J$5000&lt;&gt;"OSCAR"))),0)</f>
        <v>882.63157894736844</v>
      </c>
      <c r="AL19" s="142" cm="1">
        <f t="array" ref="AL19">IFERROR(SUMPRODUCT((INPUT!$H$3:$H$5000=AL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L$5+5)/MAX(1,SUMPRODUCT((INPUT!$H$3:$H$5000=AL$5+5)*ISNUMBER(INPUT!$K$3:$K$5000)*(INPUT!$J$3:$J$5000&lt;&gt;"HERRERO")*(INPUT!$J$3:$J$5000&lt;&gt;"GARCIA")*(INPUT!$J$3:$J$5000&lt;&gt;"OSCAR"))),0)</f>
        <v>0</v>
      </c>
      <c r="AM19" s="142" cm="1">
        <f t="array" ref="AM19">IFERROR(SUMPRODUCT((INPUT!$H$3:$H$5000=AM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M$5+5)/MAX(1,SUMPRODUCT((INPUT!$H$3:$H$5000=AM$5+5)*ISNUMBER(INPUT!$K$3:$K$5000)*(INPUT!$J$3:$J$5000&lt;&gt;"HERRERO")*(INPUT!$J$3:$J$5000&lt;&gt;"GARCIA")*(INPUT!$J$3:$J$5000&lt;&gt;"OSCAR"))),0)</f>
        <v>861.90476190476193</v>
      </c>
      <c r="AN19" s="142" cm="1">
        <f t="array" ref="AN19">IFERROR(SUMPRODUCT((INPUT!$H$3:$H$5000=AN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N$5+5)/MAX(1,SUMPRODUCT((INPUT!$H$3:$H$5000=AN$5+5)*ISNUMBER(INPUT!$K$3:$K$5000)*(INPUT!$J$3:$J$5000&lt;&gt;"HERRERO")*(INPUT!$J$3:$J$5000&lt;&gt;"GARCIA")*(INPUT!$J$3:$J$5000&lt;&gt;"OSCAR"))),0)</f>
        <v>0</v>
      </c>
      <c r="AO19" s="142" cm="1">
        <f t="array" ref="AO19">IFERROR(SUMPRODUCT((INPUT!$H$3:$H$5000=AO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O$5+5)/MAX(1,SUMPRODUCT((INPUT!$H$3:$H$5000=AO$5+5)*ISNUMBER(INPUT!$K$3:$K$5000)*(INPUT!$J$3:$J$5000&lt;&gt;"HERRERO")*(INPUT!$J$3:$J$5000&lt;&gt;"GARCIA")*(INPUT!$J$3:$J$5000&lt;&gt;"OSCAR"))),0)</f>
        <v>0</v>
      </c>
      <c r="AP19" s="142" cm="1">
        <f t="array" ref="AP19">IFERROR(SUMPRODUCT((INPUT!$H$3:$H$5000=AP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P$5+5)/MAX(1,SUMPRODUCT((INPUT!$H$3:$H$5000=AP$5+5)*ISNUMBER(INPUT!$K$3:$K$5000)*(INPUT!$J$3:$J$5000&lt;&gt;"HERRERO")*(INPUT!$J$3:$J$5000&lt;&gt;"GARCIA")*(INPUT!$J$3:$J$5000&lt;&gt;"OSCAR"))),0)</f>
        <v>0</v>
      </c>
      <c r="AQ19" s="142" cm="1">
        <f t="array" ref="AQ19">IFERROR(SUMPRODUCT((INPUT!$H$3:$H$5000=AQ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Q$5+5)/MAX(1,SUMPRODUCT((INPUT!$H$3:$H$5000=AQ$5+5)*ISNUMBER(INPUT!$K$3:$K$5000)*(INPUT!$J$3:$J$5000&lt;&gt;"HERRERO")*(INPUT!$J$3:$J$5000&lt;&gt;"GARCIA")*(INPUT!$J$3:$J$5000&lt;&gt;"OSCAR"))),0)</f>
        <v>0</v>
      </c>
      <c r="AR19" s="142" cm="1">
        <f t="array" ref="AR19">IFERROR(SUMPRODUCT((INPUT!$H$3:$H$5000=AR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R$5+5)/MAX(1,SUMPRODUCT((INPUT!$H$3:$H$5000=AR$5+5)*ISNUMBER(INPUT!$K$3:$K$5000)*(INPUT!$J$3:$J$5000&lt;&gt;"HERRERO")*(INPUT!$J$3:$J$5000&lt;&gt;"GARCIA")*(INPUT!$J$3:$J$5000&lt;&gt;"OSCAR"))),0)</f>
        <v>0</v>
      </c>
      <c r="AS19" s="142" cm="1">
        <f t="array" ref="AS19">IFERROR(SUMPRODUCT((INPUT!$H$3:$H$5000=AS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S$5+5)/MAX(1,SUMPRODUCT((INPUT!$H$3:$H$5000=AS$5+5)*ISNUMBER(INPUT!$K$3:$K$5000)*(INPUT!$J$3:$J$5000&lt;&gt;"HERRERO")*(INPUT!$J$3:$J$5000&lt;&gt;"GARCIA")*(INPUT!$J$3:$J$5000&lt;&gt;"OSCAR"))),0)</f>
        <v>0</v>
      </c>
      <c r="AT19" s="142" cm="1">
        <f t="array" ref="AT19">IFERROR(SUMPRODUCT((INPUT!$H$3:$H$5000=AT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T$5+5)/MAX(1,SUMPRODUCT((INPUT!$H$3:$H$5000=AT$5+5)*ISNUMBER(INPUT!$K$3:$K$5000)*(INPUT!$J$3:$J$5000&lt;&gt;"HERRERO")*(INPUT!$J$3:$J$5000&lt;&gt;"GARCIA")*(INPUT!$J$3:$J$5000&lt;&gt;"OSCAR"))),0)</f>
        <v>0</v>
      </c>
      <c r="AU19" s="142" cm="1">
        <f t="array" ref="AU19">IFERROR(SUMPRODUCT((INPUT!$H$3:$H$5000=AU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U$5+5)/MAX(1,SUMPRODUCT((INPUT!$H$3:$H$5000=AU$5+5)*ISNUMBER(INPUT!$K$3:$K$5000)*(INPUT!$J$3:$J$5000&lt;&gt;"HERRERO")*(INPUT!$J$3:$J$5000&lt;&gt;"GARCIA")*(INPUT!$J$3:$J$5000&lt;&gt;"OSCAR"))),0)</f>
        <v>0</v>
      </c>
      <c r="AV19" s="142" cm="1">
        <f t="array" ref="AV19">IFERROR(SUMPRODUCT((INPUT!$H$3:$H$5000=AV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V$5+5)/MAX(1,SUMPRODUCT((INPUT!$H$3:$H$5000=AV$5+5)*ISNUMBER(INPUT!$K$3:$K$5000)*(INPUT!$J$3:$J$5000&lt;&gt;"HERRERO")*(INPUT!$J$3:$J$5000&lt;&gt;"GARCIA")*(INPUT!$J$3:$J$5000&lt;&gt;"OSCAR"))),0)</f>
        <v>0</v>
      </c>
      <c r="AW19" s="143" cm="1">
        <f t="array" ref="AW19">IFERROR(SUMPRODUCT((INPUT!$H$3:$H$5000=AW$5+5)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W$5+5)/MAX(1,SUMPRODUCT((INPUT!$H$3:$H$5000=AW$5+5)*ISNUMBER(INPUT!$K$3:$K$5000)*(INPUT!$J$3:$J$5000&lt;&gt;"HERRERO")*(INPUT!$J$3:$J$5000&lt;&gt;"GARCIA")*(INPUT!$J$3:$J$5000&lt;&gt;"OSCAR"))),0)</f>
        <v>0</v>
      </c>
    </row>
    <row r="20" spans="1:49" ht="17" thickBot="1" x14ac:dyDescent="0.25">
      <c r="A20" s="135" t="s">
        <v>193</v>
      </c>
      <c r="B20" s="132" cm="1">
        <f t="array" ref="B20">IFERROR(SUMPRODUCT((INPUT!$H$3:$H$5000=B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B$5+6)/MAX(1,SUMPRODUCT((INPUT!$H$3:$H$5000=B$5+6)*ISNUMBER(INPUT!$K$3:$K$5000)*(INPUT!$J$3:$J$5000&lt;&gt;"HERRERO")*(INPUT!$J$3:$J$5000&lt;&gt;"GARCIA")*(INPUT!$J$3:$J$5000&lt;&gt;"OSCAR"))),0)</f>
        <v>0</v>
      </c>
      <c r="C20" s="132" cm="1">
        <f t="array" ref="C20">IFERROR(SUMPRODUCT((INPUT!$H$3:$H$5000=C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C$5+6)/MAX(1,SUMPRODUCT((INPUT!$H$3:$H$5000=C$5+6)*ISNUMBER(INPUT!$K$3:$K$5000)*(INPUT!$J$3:$J$5000&lt;&gt;"HERRERO")*(INPUT!$J$3:$J$5000&lt;&gt;"GARCIA")*(INPUT!$J$3:$J$5000&lt;&gt;"OSCAR"))),0)</f>
        <v>0</v>
      </c>
      <c r="D20" s="132" cm="1">
        <f t="array" ref="D20">IFERROR(SUMPRODUCT((INPUT!$H$3:$H$5000=D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D$5+6)/MAX(1,SUMPRODUCT((INPUT!$H$3:$H$5000=D$5+6)*ISNUMBER(INPUT!$K$3:$K$5000)*(INPUT!$J$3:$J$5000&lt;&gt;"HERRERO")*(INPUT!$J$3:$J$5000&lt;&gt;"GARCIA")*(INPUT!$J$3:$J$5000&lt;&gt;"OSCAR"))),0)</f>
        <v>0</v>
      </c>
      <c r="E20" s="132" cm="1">
        <f t="array" ref="E20">IFERROR(SUMPRODUCT((INPUT!$H$3:$H$5000=E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E$5+6)/MAX(1,SUMPRODUCT((INPUT!$H$3:$H$5000=E$5+6)*ISNUMBER(INPUT!$K$3:$K$5000)*(INPUT!$J$3:$J$5000&lt;&gt;"HERRERO")*(INPUT!$J$3:$J$5000&lt;&gt;"GARCIA")*(INPUT!$J$3:$J$5000&lt;&gt;"OSCAR"))),0)</f>
        <v>849.23076923076928</v>
      </c>
      <c r="F20" s="132" cm="1">
        <f t="array" ref="F20">IFERROR(SUMPRODUCT((INPUT!$H$3:$H$5000=F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F$5+6)/MAX(1,SUMPRODUCT((INPUT!$H$3:$H$5000=F$5+6)*ISNUMBER(INPUT!$K$3:$K$5000)*(INPUT!$J$3:$J$5000&lt;&gt;"HERRERO")*(INPUT!$J$3:$J$5000&lt;&gt;"GARCIA")*(INPUT!$J$3:$J$5000&lt;&gt;"OSCAR"))),0)</f>
        <v>840</v>
      </c>
      <c r="G20" s="132" cm="1">
        <f t="array" ref="G20">IFERROR(SUMPRODUCT((INPUT!$H$3:$H$5000=G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G$5+6)/MAX(1,SUMPRODUCT((INPUT!$H$3:$H$5000=G$5+6)*ISNUMBER(INPUT!$K$3:$K$5000)*(INPUT!$J$3:$J$5000&lt;&gt;"HERRERO")*(INPUT!$J$3:$J$5000&lt;&gt;"GARCIA")*(INPUT!$J$3:$J$5000&lt;&gt;"OSCAR"))),0)</f>
        <v>0</v>
      </c>
      <c r="H20" s="132" cm="1">
        <f t="array" ref="H20">IFERROR(SUMPRODUCT((INPUT!$H$3:$H$5000=H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H$5+6)/MAX(1,SUMPRODUCT((INPUT!$H$3:$H$5000=H$5+6)*ISNUMBER(INPUT!$K$3:$K$5000)*(INPUT!$J$3:$J$5000&lt;&gt;"HERRERO")*(INPUT!$J$3:$J$5000&lt;&gt;"GARCIA")*(INPUT!$J$3:$J$5000&lt;&gt;"OSCAR"))),0)</f>
        <v>0</v>
      </c>
      <c r="I20" s="132" cm="1">
        <f t="array" ref="I20">IFERROR(SUMPRODUCT((INPUT!$H$3:$H$5000=I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I$5+6)/MAX(1,SUMPRODUCT((INPUT!$H$3:$H$5000=I$5+6)*ISNUMBER(INPUT!$K$3:$K$5000)*(INPUT!$J$3:$J$5000&lt;&gt;"HERRERO")*(INPUT!$J$3:$J$5000&lt;&gt;"GARCIA")*(INPUT!$J$3:$J$5000&lt;&gt;"OSCAR"))),0)</f>
        <v>0</v>
      </c>
      <c r="J20" s="132" cm="1">
        <f t="array" ref="J20">IFERROR(SUMPRODUCT((INPUT!$H$3:$H$5000=J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J$5+6)/MAX(1,SUMPRODUCT((INPUT!$H$3:$H$5000=J$5+6)*ISNUMBER(INPUT!$K$3:$K$5000)*(INPUT!$J$3:$J$5000&lt;&gt;"HERRERO")*(INPUT!$J$3:$J$5000&lt;&gt;"GARCIA")*(INPUT!$J$3:$J$5000&lt;&gt;"OSCAR"))),0)</f>
        <v>0</v>
      </c>
      <c r="K20" s="132" cm="1">
        <f t="array" ref="K20">IFERROR(SUMPRODUCT((INPUT!$H$3:$H$5000=K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K$5+6)/MAX(1,SUMPRODUCT((INPUT!$H$3:$H$5000=K$5+6)*ISNUMBER(INPUT!$K$3:$K$5000)*(INPUT!$J$3:$J$5000&lt;&gt;"HERRERO")*(INPUT!$J$3:$J$5000&lt;&gt;"GARCIA")*(INPUT!$J$3:$J$5000&lt;&gt;"OSCAR"))),0)</f>
        <v>0</v>
      </c>
      <c r="L20" s="132" cm="1">
        <f t="array" ref="L20">IFERROR(SUMPRODUCT((INPUT!$H$3:$H$5000=L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L$5+6)/MAX(1,SUMPRODUCT((INPUT!$H$3:$H$5000=L$5+6)*ISNUMBER(INPUT!$K$3:$K$5000)*(INPUT!$J$3:$J$5000&lt;&gt;"HERRERO")*(INPUT!$J$3:$J$5000&lt;&gt;"GARCIA")*(INPUT!$J$3:$J$5000&lt;&gt;"OSCAR"))),0)</f>
        <v>1013.3333333333334</v>
      </c>
      <c r="M20" s="132" cm="1">
        <f t="array" ref="M20">IFERROR(SUMPRODUCT((INPUT!$H$3:$H$5000=M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M$5+6)/MAX(1,SUMPRODUCT((INPUT!$H$3:$H$5000=M$5+6)*ISNUMBER(INPUT!$K$3:$K$5000)*(INPUT!$J$3:$J$5000&lt;&gt;"HERRERO")*(INPUT!$J$3:$J$5000&lt;&gt;"GARCIA")*(INPUT!$J$3:$J$5000&lt;&gt;"OSCAR"))),0)</f>
        <v>0</v>
      </c>
      <c r="N20" s="132" cm="1">
        <f t="array" ref="N20">IFERROR(SUMPRODUCT((INPUT!$H$3:$H$5000=N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N$5+6)/MAX(1,SUMPRODUCT((INPUT!$H$3:$H$5000=N$5+6)*ISNUMBER(INPUT!$K$3:$K$5000)*(INPUT!$J$3:$J$5000&lt;&gt;"HERRERO")*(INPUT!$J$3:$J$5000&lt;&gt;"GARCIA")*(INPUT!$J$3:$J$5000&lt;&gt;"OSCAR"))),0)</f>
        <v>0</v>
      </c>
      <c r="O20" s="132" cm="1">
        <f t="array" ref="O20">IFERROR(SUMPRODUCT((INPUT!$H$3:$H$5000=O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O$5+6)/MAX(1,SUMPRODUCT((INPUT!$H$3:$H$5000=O$5+6)*ISNUMBER(INPUT!$K$3:$K$5000)*(INPUT!$J$3:$J$5000&lt;&gt;"HERRERO")*(INPUT!$J$3:$J$5000&lt;&gt;"GARCIA")*(INPUT!$J$3:$J$5000&lt;&gt;"OSCAR"))),0)</f>
        <v>0</v>
      </c>
      <c r="P20" s="132" cm="1">
        <f t="array" ref="P20">IFERROR(SUMPRODUCT((INPUT!$H$3:$H$5000=P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P$5+6)/MAX(1,SUMPRODUCT((INPUT!$H$3:$H$5000=P$5+6)*ISNUMBER(INPUT!$K$3:$K$5000)*(INPUT!$J$3:$J$5000&lt;&gt;"HERRERO")*(INPUT!$J$3:$J$5000&lt;&gt;"GARCIA")*(INPUT!$J$3:$J$5000&lt;&gt;"OSCAR"))),0)</f>
        <v>0</v>
      </c>
      <c r="Q20" s="132" cm="1">
        <f t="array" ref="Q20">IFERROR(SUMPRODUCT((INPUT!$H$3:$H$5000=Q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Q$5+6)/MAX(1,SUMPRODUCT((INPUT!$H$3:$H$5000=Q$5+6)*ISNUMBER(INPUT!$K$3:$K$5000)*(INPUT!$J$3:$J$5000&lt;&gt;"HERRERO")*(INPUT!$J$3:$J$5000&lt;&gt;"GARCIA")*(INPUT!$J$3:$J$5000&lt;&gt;"OSCAR"))),0)</f>
        <v>0</v>
      </c>
      <c r="R20" s="132" cm="1">
        <f t="array" ref="R20">IFERROR(SUMPRODUCT((INPUT!$H$3:$H$5000=R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R$5+6)/MAX(1,SUMPRODUCT((INPUT!$H$3:$H$5000=R$5+6)*ISNUMBER(INPUT!$K$3:$K$5000)*(INPUT!$J$3:$J$5000&lt;&gt;"HERRERO")*(INPUT!$J$3:$J$5000&lt;&gt;"GARCIA")*(INPUT!$J$3:$J$5000&lt;&gt;"OSCAR"))),0)</f>
        <v>0</v>
      </c>
      <c r="S20" s="132" cm="1">
        <f t="array" ref="S20">IFERROR(SUMPRODUCT((INPUT!$H$3:$H$5000=S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S$5+6)/MAX(1,SUMPRODUCT((INPUT!$H$3:$H$5000=S$5+6)*ISNUMBER(INPUT!$K$3:$K$5000)*(INPUT!$J$3:$J$5000&lt;&gt;"HERRERO")*(INPUT!$J$3:$J$5000&lt;&gt;"GARCIA")*(INPUT!$J$3:$J$5000&lt;&gt;"OSCAR"))),0)</f>
        <v>0</v>
      </c>
      <c r="T20" s="132" cm="1">
        <f t="array" ref="T20">IFERROR(SUMPRODUCT((INPUT!$H$3:$H$5000=T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T$5+6)/MAX(1,SUMPRODUCT((INPUT!$H$3:$H$5000=T$5+6)*ISNUMBER(INPUT!$K$3:$K$5000)*(INPUT!$J$3:$J$5000&lt;&gt;"HERRERO")*(INPUT!$J$3:$J$5000&lt;&gt;"GARCIA")*(INPUT!$J$3:$J$5000&lt;&gt;"OSCAR"))),0)</f>
        <v>0</v>
      </c>
      <c r="U20" s="132" cm="1">
        <f t="array" ref="U20">IFERROR(SUMPRODUCT((INPUT!$H$3:$H$5000=U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U$5+6)/MAX(1,SUMPRODUCT((INPUT!$H$3:$H$5000=U$5+6)*ISNUMBER(INPUT!$K$3:$K$5000)*(INPUT!$J$3:$J$5000&lt;&gt;"HERRERO")*(INPUT!$J$3:$J$5000&lt;&gt;"GARCIA")*(INPUT!$J$3:$J$5000&lt;&gt;"OSCAR"))),0)</f>
        <v>0</v>
      </c>
      <c r="V20" s="132" cm="1">
        <f t="array" ref="V20">IFERROR(SUMPRODUCT((INPUT!$H$3:$H$5000=V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V$5+6)/MAX(1,SUMPRODUCT((INPUT!$H$3:$H$5000=V$5+6)*ISNUMBER(INPUT!$K$3:$K$5000)*(INPUT!$J$3:$J$5000&lt;&gt;"HERRERO")*(INPUT!$J$3:$J$5000&lt;&gt;"GARCIA")*(INPUT!$J$3:$J$5000&lt;&gt;"OSCAR"))),0)</f>
        <v>0</v>
      </c>
      <c r="W20" s="132" cm="1">
        <f t="array" ref="W20">IFERROR(SUMPRODUCT((INPUT!$H$3:$H$5000=W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W$5+6)/MAX(1,SUMPRODUCT((INPUT!$H$3:$H$5000=W$5+6)*ISNUMBER(INPUT!$K$3:$K$5000)*(INPUT!$J$3:$J$5000&lt;&gt;"HERRERO")*(INPUT!$J$3:$J$5000&lt;&gt;"GARCIA")*(INPUT!$J$3:$J$5000&lt;&gt;"OSCAR"))),0)</f>
        <v>0</v>
      </c>
      <c r="X20" s="132" cm="1">
        <f t="array" ref="X20">IFERROR(SUMPRODUCT((INPUT!$H$3:$H$5000=X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X$5+6)/MAX(1,SUMPRODUCT((INPUT!$H$3:$H$5000=X$5+6)*ISNUMBER(INPUT!$K$3:$K$5000)*(INPUT!$J$3:$J$5000&lt;&gt;"HERRERO")*(INPUT!$J$3:$J$5000&lt;&gt;"GARCIA")*(INPUT!$J$3:$J$5000&lt;&gt;"OSCAR"))),0)</f>
        <v>0</v>
      </c>
      <c r="Y20" s="132" cm="1">
        <f t="array" ref="Y20">IFERROR(SUMPRODUCT((INPUT!$H$3:$H$5000=Y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Y$5+6)/MAX(1,SUMPRODUCT((INPUT!$H$3:$H$5000=Y$5+6)*ISNUMBER(INPUT!$K$3:$K$5000)*(INPUT!$J$3:$J$5000&lt;&gt;"HERRERO")*(INPUT!$J$3:$J$5000&lt;&gt;"GARCIA")*(INPUT!$J$3:$J$5000&lt;&gt;"OSCAR"))),0)</f>
        <v>0</v>
      </c>
      <c r="Z20" s="132" cm="1">
        <f t="array" ref="Z20">IFERROR(SUMPRODUCT((INPUT!$H$3:$H$5000=Z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Z$5+6)/MAX(1,SUMPRODUCT((INPUT!$H$3:$H$5000=Z$5+6)*ISNUMBER(INPUT!$K$3:$K$5000)*(INPUT!$J$3:$J$5000&lt;&gt;"HERRERO")*(INPUT!$J$3:$J$5000&lt;&gt;"GARCIA")*(INPUT!$J$3:$J$5000&lt;&gt;"OSCAR"))),0)</f>
        <v>0</v>
      </c>
      <c r="AA20" s="132" cm="1">
        <f t="array" ref="AA20">IFERROR(SUMPRODUCT((INPUT!$H$3:$H$5000=AA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A$5+6)/MAX(1,SUMPRODUCT((INPUT!$H$3:$H$5000=AA$5+6)*ISNUMBER(INPUT!$K$3:$K$5000)*(INPUT!$J$3:$J$5000&lt;&gt;"HERRERO")*(INPUT!$J$3:$J$5000&lt;&gt;"GARCIA")*(INPUT!$J$3:$J$5000&lt;&gt;"OSCAR"))),0)</f>
        <v>0</v>
      </c>
      <c r="AB20" s="132" cm="1">
        <f t="array" ref="AB20">IFERROR(SUMPRODUCT((INPUT!$H$3:$H$5000=AB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B$5+6)/MAX(1,SUMPRODUCT((INPUT!$H$3:$H$5000=AB$5+6)*ISNUMBER(INPUT!$K$3:$K$5000)*(INPUT!$J$3:$J$5000&lt;&gt;"HERRERO")*(INPUT!$J$3:$J$5000&lt;&gt;"GARCIA")*(INPUT!$J$3:$J$5000&lt;&gt;"OSCAR"))),0)</f>
        <v>0</v>
      </c>
      <c r="AC20" s="132" cm="1">
        <f t="array" ref="AC20">IFERROR(SUMPRODUCT((INPUT!$H$3:$H$5000=AC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C$5+6)/MAX(1,SUMPRODUCT((INPUT!$H$3:$H$5000=AC$5+6)*ISNUMBER(INPUT!$K$3:$K$5000)*(INPUT!$J$3:$J$5000&lt;&gt;"HERRERO")*(INPUT!$J$3:$J$5000&lt;&gt;"GARCIA")*(INPUT!$J$3:$J$5000&lt;&gt;"OSCAR"))),0)</f>
        <v>805</v>
      </c>
      <c r="AD20" s="132" cm="1">
        <f t="array" ref="AD20">IFERROR(SUMPRODUCT((INPUT!$H$3:$H$5000=AD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D$5+6)/MAX(1,SUMPRODUCT((INPUT!$H$3:$H$5000=AD$5+6)*ISNUMBER(INPUT!$K$3:$K$5000)*(INPUT!$J$3:$J$5000&lt;&gt;"HERRERO")*(INPUT!$J$3:$J$5000&lt;&gt;"GARCIA")*(INPUT!$J$3:$J$5000&lt;&gt;"OSCAR"))),0)</f>
        <v>0</v>
      </c>
      <c r="AE20" s="132" cm="1">
        <f t="array" ref="AE20">IFERROR(SUMPRODUCT((INPUT!$H$3:$H$5000=AE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E$5+6)/MAX(1,SUMPRODUCT((INPUT!$H$3:$H$5000=AE$5+6)*ISNUMBER(INPUT!$K$3:$K$5000)*(INPUT!$J$3:$J$5000&lt;&gt;"HERRERO")*(INPUT!$J$3:$J$5000&lt;&gt;"GARCIA")*(INPUT!$J$3:$J$5000&lt;&gt;"OSCAR"))),0)</f>
        <v>0</v>
      </c>
      <c r="AF20" s="132" cm="1">
        <f t="array" ref="AF20">IFERROR(SUMPRODUCT((INPUT!$H$3:$H$5000=AF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F$5+6)/MAX(1,SUMPRODUCT((INPUT!$H$3:$H$5000=AF$5+6)*ISNUMBER(INPUT!$K$3:$K$5000)*(INPUT!$J$3:$J$5000&lt;&gt;"HERRERO")*(INPUT!$J$3:$J$5000&lt;&gt;"GARCIA")*(INPUT!$J$3:$J$5000&lt;&gt;"OSCAR"))),0)</f>
        <v>880</v>
      </c>
      <c r="AG20" s="132" cm="1">
        <f t="array" ref="AG20">IFERROR(SUMPRODUCT((INPUT!$H$3:$H$5000=AG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G$5+6)/MAX(1,SUMPRODUCT((INPUT!$H$3:$H$5000=AG$5+6)*ISNUMBER(INPUT!$K$3:$K$5000)*(INPUT!$J$3:$J$5000&lt;&gt;"HERRERO")*(INPUT!$J$3:$J$5000&lt;&gt;"GARCIA")*(INPUT!$J$3:$J$5000&lt;&gt;"OSCAR"))),0)</f>
        <v>0</v>
      </c>
      <c r="AH20" s="132" cm="1">
        <f t="array" ref="AH20">IFERROR(SUMPRODUCT((INPUT!$H$3:$H$5000=AH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H$5+6)/MAX(1,SUMPRODUCT((INPUT!$H$3:$H$5000=AH$5+6)*ISNUMBER(INPUT!$K$3:$K$5000)*(INPUT!$J$3:$J$5000&lt;&gt;"HERRERO")*(INPUT!$J$3:$J$5000&lt;&gt;"GARCIA")*(INPUT!$J$3:$J$5000&lt;&gt;"OSCAR"))),0)</f>
        <v>500</v>
      </c>
      <c r="AI20" s="132" cm="1">
        <f t="array" ref="AI20">IFERROR(SUMPRODUCT((INPUT!$H$3:$H$5000=AI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I$5+6)/MAX(1,SUMPRODUCT((INPUT!$H$3:$H$5000=AI$5+6)*ISNUMBER(INPUT!$K$3:$K$5000)*(INPUT!$J$3:$J$5000&lt;&gt;"HERRERO")*(INPUT!$J$3:$J$5000&lt;&gt;"GARCIA")*(INPUT!$J$3:$J$5000&lt;&gt;"OSCAR"))),0)</f>
        <v>0</v>
      </c>
      <c r="AJ20" s="132" cm="1">
        <f t="array" ref="AJ20">IFERROR(SUMPRODUCT((INPUT!$H$3:$H$5000=AJ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J$5+6)/MAX(1,SUMPRODUCT((INPUT!$H$3:$H$5000=AJ$5+6)*ISNUMBER(INPUT!$K$3:$K$5000)*(INPUT!$J$3:$J$5000&lt;&gt;"HERRERO")*(INPUT!$J$3:$J$5000&lt;&gt;"GARCIA")*(INPUT!$J$3:$J$5000&lt;&gt;"OSCAR"))),0)</f>
        <v>0</v>
      </c>
      <c r="AK20" s="132" cm="1">
        <f t="array" ref="AK20">IFERROR(SUMPRODUCT((INPUT!$H$3:$H$5000=AK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K$5+6)/MAX(1,SUMPRODUCT((INPUT!$H$3:$H$5000=AK$5+6)*ISNUMBER(INPUT!$K$3:$K$5000)*(INPUT!$J$3:$J$5000&lt;&gt;"HERRERO")*(INPUT!$J$3:$J$5000&lt;&gt;"GARCIA")*(INPUT!$J$3:$J$5000&lt;&gt;"OSCAR"))),0)</f>
        <v>0</v>
      </c>
      <c r="AL20" s="132" cm="1">
        <f t="array" ref="AL20">IFERROR(SUMPRODUCT((INPUT!$H$3:$H$5000=AL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L$5+6)/MAX(1,SUMPRODUCT((INPUT!$H$3:$H$5000=AL$5+6)*ISNUMBER(INPUT!$K$3:$K$5000)*(INPUT!$J$3:$J$5000&lt;&gt;"HERRERO")*(INPUT!$J$3:$J$5000&lt;&gt;"GARCIA")*(INPUT!$J$3:$J$5000&lt;&gt;"OSCAR"))),0)</f>
        <v>0</v>
      </c>
      <c r="AM20" s="132" cm="1">
        <f t="array" ref="AM20">IFERROR(SUMPRODUCT((INPUT!$H$3:$H$5000=AM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M$5+6)/MAX(1,SUMPRODUCT((INPUT!$H$3:$H$5000=AM$5+6)*ISNUMBER(INPUT!$K$3:$K$5000)*(INPUT!$J$3:$J$5000&lt;&gt;"HERRERO")*(INPUT!$J$3:$J$5000&lt;&gt;"GARCIA")*(INPUT!$J$3:$J$5000&lt;&gt;"OSCAR"))),0)</f>
        <v>0</v>
      </c>
      <c r="AN20" s="132" cm="1">
        <f t="array" ref="AN20">IFERROR(SUMPRODUCT((INPUT!$H$3:$H$5000=AN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N$5+6)/MAX(1,SUMPRODUCT((INPUT!$H$3:$H$5000=AN$5+6)*ISNUMBER(INPUT!$K$3:$K$5000)*(INPUT!$J$3:$J$5000&lt;&gt;"HERRERO")*(INPUT!$J$3:$J$5000&lt;&gt;"GARCIA")*(INPUT!$J$3:$J$5000&lt;&gt;"OSCAR"))),0)</f>
        <v>0</v>
      </c>
      <c r="AO20" s="132" cm="1">
        <f t="array" ref="AO20">IFERROR(SUMPRODUCT((INPUT!$H$3:$H$5000=AO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O$5+6)/MAX(1,SUMPRODUCT((INPUT!$H$3:$H$5000=AO$5+6)*ISNUMBER(INPUT!$K$3:$K$5000)*(INPUT!$J$3:$J$5000&lt;&gt;"HERRERO")*(INPUT!$J$3:$J$5000&lt;&gt;"GARCIA")*(INPUT!$J$3:$J$5000&lt;&gt;"OSCAR"))),0)</f>
        <v>0</v>
      </c>
      <c r="AP20" s="132" cm="1">
        <f t="array" ref="AP20">IFERROR(SUMPRODUCT((INPUT!$H$3:$H$5000=AP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P$5+6)/MAX(1,SUMPRODUCT((INPUT!$H$3:$H$5000=AP$5+6)*ISNUMBER(INPUT!$K$3:$K$5000)*(INPUT!$J$3:$J$5000&lt;&gt;"HERRERO")*(INPUT!$J$3:$J$5000&lt;&gt;"GARCIA")*(INPUT!$J$3:$J$5000&lt;&gt;"OSCAR"))),0)</f>
        <v>0</v>
      </c>
      <c r="AQ20" s="132" cm="1">
        <f t="array" ref="AQ20">IFERROR(SUMPRODUCT((INPUT!$H$3:$H$5000=AQ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Q$5+6)/MAX(1,SUMPRODUCT((INPUT!$H$3:$H$5000=AQ$5+6)*ISNUMBER(INPUT!$K$3:$K$5000)*(INPUT!$J$3:$J$5000&lt;&gt;"HERRERO")*(INPUT!$J$3:$J$5000&lt;&gt;"GARCIA")*(INPUT!$J$3:$J$5000&lt;&gt;"OSCAR"))),0)</f>
        <v>0</v>
      </c>
      <c r="AR20" s="132" cm="1">
        <f t="array" ref="AR20">IFERROR(SUMPRODUCT((INPUT!$H$3:$H$5000=AR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R$5+6)/MAX(1,SUMPRODUCT((INPUT!$H$3:$H$5000=AR$5+6)*ISNUMBER(INPUT!$K$3:$K$5000)*(INPUT!$J$3:$J$5000&lt;&gt;"HERRERO")*(INPUT!$J$3:$J$5000&lt;&gt;"GARCIA")*(INPUT!$J$3:$J$5000&lt;&gt;"OSCAR"))),0)</f>
        <v>0</v>
      </c>
      <c r="AS20" s="132" cm="1">
        <f t="array" ref="AS20">IFERROR(SUMPRODUCT((INPUT!$H$3:$H$5000=AS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S$5+6)/MAX(1,SUMPRODUCT((INPUT!$H$3:$H$5000=AS$5+6)*ISNUMBER(INPUT!$K$3:$K$5000)*(INPUT!$J$3:$J$5000&lt;&gt;"HERRERO")*(INPUT!$J$3:$J$5000&lt;&gt;"GARCIA")*(INPUT!$J$3:$J$5000&lt;&gt;"OSCAR"))),0)</f>
        <v>0</v>
      </c>
      <c r="AT20" s="132" cm="1">
        <f t="array" ref="AT20">IFERROR(SUMPRODUCT((INPUT!$H$3:$H$5000=AT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T$5+6)/MAX(1,SUMPRODUCT((INPUT!$H$3:$H$5000=AT$5+6)*ISNUMBER(INPUT!$K$3:$K$5000)*(INPUT!$J$3:$J$5000&lt;&gt;"HERRERO")*(INPUT!$J$3:$J$5000&lt;&gt;"GARCIA")*(INPUT!$J$3:$J$5000&lt;&gt;"OSCAR"))),0)</f>
        <v>0</v>
      </c>
      <c r="AU20" s="132" cm="1">
        <f t="array" ref="AU20">IFERROR(SUMPRODUCT((INPUT!$H$3:$H$5000=AU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U$5+6)/MAX(1,SUMPRODUCT((INPUT!$H$3:$H$5000=AU$5+6)*ISNUMBER(INPUT!$K$3:$K$5000)*(INPUT!$J$3:$J$5000&lt;&gt;"HERRERO")*(INPUT!$J$3:$J$5000&lt;&gt;"GARCIA")*(INPUT!$J$3:$J$5000&lt;&gt;"OSCAR"))),0)</f>
        <v>0</v>
      </c>
      <c r="AV20" s="132" cm="1">
        <f t="array" ref="AV20">IFERROR(SUMPRODUCT((INPUT!$H$3:$H$5000=AV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V$5+6)/MAX(1,SUMPRODUCT((INPUT!$H$3:$H$5000=AV$5+6)*ISNUMBER(INPUT!$K$3:$K$5000)*(INPUT!$J$3:$J$5000&lt;&gt;"HERRERO")*(INPUT!$J$3:$J$5000&lt;&gt;"GARCIA")*(INPUT!$J$3:$J$5000&lt;&gt;"OSCAR"))),0)</f>
        <v>0</v>
      </c>
      <c r="AW20" s="139" cm="1">
        <f t="array" ref="AW20">IFERROR(SUMPRODUCT((INPUT!$H$3:$H$5000=AW$5+6)*ISNUMBER(INPUT!$K$3:$K$5000)*(INPUT!$J$3:$J$5000&lt;&gt;"HERRERO")*(INPUT!$J$3:$J$5000&lt;&gt;"GARCIA")*(INPUT!$J$3:$J$5000&lt;&gt;"OSCAR")*IFERROR(VALUE(INPUT!$K$3:$K$5000),0)*IFERROR(SUMIFS(INPUT!$E$3:$E$5000,INPUT!$A$3:$A$5000,INPUT!$H$3:$H$5000,INPUT!$C$3:$C$5000,INPUT!$I$3:$I$5000),0))*COUNTIFS(INPUT!$A$3:$A$5000,AW$5+6)/MAX(1,SUMPRODUCT((INPUT!$H$3:$H$5000=AW$5+6)*ISNUMBER(INPUT!$K$3:$K$5000)*(INPUT!$J$3:$J$5000&lt;&gt;"HERRERO")*(INPUT!$J$3:$J$5000&lt;&gt;"GARCIA")*(INPUT!$J$3:$J$5000&lt;&gt;"OSCAR"))),0)</f>
        <v>0</v>
      </c>
    </row>
  </sheetData>
  <sheetProtection sheet="1" objects="1" scenarios="1"/>
  <mergeCells count="2">
    <mergeCell ref="A1:J1"/>
    <mergeCell ref="D2:J2"/>
  </mergeCells>
  <conditionalFormatting sqref="B9:AW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AW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7AD9-6898-C74E-8F08-19AFB9AB301E}">
  <sheetPr>
    <tabColor rgb="FF7B1FA2"/>
  </sheetPr>
  <dimension ref="A1:BB30"/>
  <sheetViews>
    <sheetView workbookViewId="0">
      <selection activeCell="M36" sqref="M36"/>
    </sheetView>
  </sheetViews>
  <sheetFormatPr baseColWidth="10" defaultRowHeight="16" x14ac:dyDescent="0.2"/>
  <cols>
    <col min="1" max="1" width="5.83203125" customWidth="1"/>
    <col min="2" max="2" width="16.6640625" customWidth="1"/>
    <col min="3" max="54" width="7.5" customWidth="1"/>
  </cols>
  <sheetData>
    <row r="1" spans="1:54" ht="24" customHeight="1" x14ac:dyDescent="0.25">
      <c r="A1" s="248" t="s">
        <v>107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0"/>
    </row>
    <row r="2" spans="1:54" x14ac:dyDescent="0.2">
      <c r="A2" s="1" t="s">
        <v>151</v>
      </c>
      <c r="B2" s="151">
        <f>'SEMANAL v2'!B2</f>
        <v>45866</v>
      </c>
      <c r="C2" s="249" t="s">
        <v>138</v>
      </c>
      <c r="D2" s="210"/>
      <c r="E2" s="210"/>
      <c r="F2" s="210"/>
      <c r="G2" s="210"/>
      <c r="H2" s="210"/>
      <c r="I2" s="210"/>
      <c r="J2" s="210"/>
    </row>
    <row r="3" spans="1:54" x14ac:dyDescent="0.2">
      <c r="A3" s="3"/>
      <c r="B3" s="4"/>
      <c r="C3" s="155">
        <f>$B$2</f>
        <v>45866</v>
      </c>
      <c r="D3" s="155">
        <f>C3+7</f>
        <v>45873</v>
      </c>
      <c r="E3" s="155">
        <f t="shared" ref="E3:BB3" si="0">D3+7</f>
        <v>45880</v>
      </c>
      <c r="F3" s="155">
        <f t="shared" si="0"/>
        <v>45887</v>
      </c>
      <c r="G3" s="155">
        <f t="shared" si="0"/>
        <v>45894</v>
      </c>
      <c r="H3" s="155">
        <f t="shared" si="0"/>
        <v>45901</v>
      </c>
      <c r="I3" s="155">
        <f t="shared" si="0"/>
        <v>45908</v>
      </c>
      <c r="J3" s="155">
        <f t="shared" si="0"/>
        <v>45915</v>
      </c>
      <c r="K3" s="155">
        <f t="shared" si="0"/>
        <v>45922</v>
      </c>
      <c r="L3" s="155">
        <f t="shared" si="0"/>
        <v>45929</v>
      </c>
      <c r="M3" s="155">
        <f t="shared" si="0"/>
        <v>45936</v>
      </c>
      <c r="N3" s="155">
        <f t="shared" si="0"/>
        <v>45943</v>
      </c>
      <c r="O3" s="155">
        <f t="shared" si="0"/>
        <v>45950</v>
      </c>
      <c r="P3" s="155">
        <f t="shared" si="0"/>
        <v>45957</v>
      </c>
      <c r="Q3" s="155">
        <f t="shared" si="0"/>
        <v>45964</v>
      </c>
      <c r="R3" s="155">
        <f t="shared" si="0"/>
        <v>45971</v>
      </c>
      <c r="S3" s="155">
        <f t="shared" si="0"/>
        <v>45978</v>
      </c>
      <c r="T3" s="155">
        <f t="shared" si="0"/>
        <v>45985</v>
      </c>
      <c r="U3" s="155">
        <f t="shared" si="0"/>
        <v>45992</v>
      </c>
      <c r="V3" s="155">
        <f t="shared" si="0"/>
        <v>45999</v>
      </c>
      <c r="W3" s="155">
        <f t="shared" si="0"/>
        <v>46006</v>
      </c>
      <c r="X3" s="155">
        <f t="shared" si="0"/>
        <v>46013</v>
      </c>
      <c r="Y3" s="155">
        <f t="shared" si="0"/>
        <v>46020</v>
      </c>
      <c r="Z3" s="155">
        <f t="shared" si="0"/>
        <v>46027</v>
      </c>
      <c r="AA3" s="155">
        <f t="shared" si="0"/>
        <v>46034</v>
      </c>
      <c r="AB3" s="155">
        <f t="shared" si="0"/>
        <v>46041</v>
      </c>
      <c r="AC3" s="155">
        <f t="shared" si="0"/>
        <v>46048</v>
      </c>
      <c r="AD3" s="155">
        <f t="shared" si="0"/>
        <v>46055</v>
      </c>
      <c r="AE3" s="155">
        <f t="shared" si="0"/>
        <v>46062</v>
      </c>
      <c r="AF3" s="155">
        <f t="shared" si="0"/>
        <v>46069</v>
      </c>
      <c r="AG3" s="155">
        <f t="shared" si="0"/>
        <v>46076</v>
      </c>
      <c r="AH3" s="155">
        <f t="shared" si="0"/>
        <v>46083</v>
      </c>
      <c r="AI3" s="155">
        <f t="shared" si="0"/>
        <v>46090</v>
      </c>
      <c r="AJ3" s="155">
        <f t="shared" si="0"/>
        <v>46097</v>
      </c>
      <c r="AK3" s="155">
        <f t="shared" si="0"/>
        <v>46104</v>
      </c>
      <c r="AL3" s="155">
        <f t="shared" si="0"/>
        <v>46111</v>
      </c>
      <c r="AM3" s="155">
        <f t="shared" si="0"/>
        <v>46118</v>
      </c>
      <c r="AN3" s="155">
        <f t="shared" si="0"/>
        <v>46125</v>
      </c>
      <c r="AO3" s="155">
        <f t="shared" si="0"/>
        <v>46132</v>
      </c>
      <c r="AP3" s="155">
        <f t="shared" si="0"/>
        <v>46139</v>
      </c>
      <c r="AQ3" s="155">
        <f t="shared" si="0"/>
        <v>46146</v>
      </c>
      <c r="AR3" s="155">
        <f t="shared" si="0"/>
        <v>46153</v>
      </c>
      <c r="AS3" s="155">
        <f t="shared" si="0"/>
        <v>46160</v>
      </c>
      <c r="AT3" s="155">
        <f t="shared" si="0"/>
        <v>46167</v>
      </c>
      <c r="AU3" s="155">
        <f t="shared" si="0"/>
        <v>46174</v>
      </c>
      <c r="AV3" s="155">
        <f t="shared" si="0"/>
        <v>46181</v>
      </c>
      <c r="AW3" s="155">
        <f t="shared" si="0"/>
        <v>46188</v>
      </c>
      <c r="AX3" s="155">
        <f t="shared" si="0"/>
        <v>46195</v>
      </c>
      <c r="AY3" s="155">
        <f t="shared" si="0"/>
        <v>46202</v>
      </c>
      <c r="AZ3" s="155">
        <f t="shared" si="0"/>
        <v>46209</v>
      </c>
      <c r="BA3" s="155">
        <f t="shared" si="0"/>
        <v>46216</v>
      </c>
      <c r="BB3" s="156">
        <f t="shared" si="0"/>
        <v>46223</v>
      </c>
    </row>
    <row r="4" spans="1:54" x14ac:dyDescent="0.2">
      <c r="A4" s="152" t="s">
        <v>69</v>
      </c>
      <c r="B4" s="153" t="s">
        <v>76</v>
      </c>
      <c r="C4" s="157" t="s">
        <v>108</v>
      </c>
      <c r="D4" s="157" t="s">
        <v>109</v>
      </c>
      <c r="E4" s="157" t="s">
        <v>110</v>
      </c>
      <c r="F4" s="157" t="s">
        <v>111</v>
      </c>
      <c r="G4" s="157" t="s">
        <v>112</v>
      </c>
      <c r="H4" s="157" t="s">
        <v>113</v>
      </c>
      <c r="I4" s="157" t="s">
        <v>114</v>
      </c>
      <c r="J4" s="157" t="s">
        <v>115</v>
      </c>
      <c r="K4" s="157" t="s">
        <v>116</v>
      </c>
      <c r="L4" s="157" t="s">
        <v>117</v>
      </c>
      <c r="M4" s="157" t="s">
        <v>118</v>
      </c>
      <c r="N4" s="157" t="s">
        <v>119</v>
      </c>
      <c r="O4" s="157" t="s">
        <v>120</v>
      </c>
      <c r="P4" s="157" t="s">
        <v>121</v>
      </c>
      <c r="Q4" s="157" t="s">
        <v>122</v>
      </c>
      <c r="R4" s="157" t="s">
        <v>123</v>
      </c>
      <c r="S4" s="157" t="s">
        <v>124</v>
      </c>
      <c r="T4" s="157" t="s">
        <v>125</v>
      </c>
      <c r="U4" s="157" t="s">
        <v>126</v>
      </c>
      <c r="V4" s="157" t="s">
        <v>127</v>
      </c>
      <c r="W4" s="157" t="s">
        <v>128</v>
      </c>
      <c r="X4" s="157" t="s">
        <v>129</v>
      </c>
      <c r="Y4" s="157" t="s">
        <v>130</v>
      </c>
      <c r="Z4" s="157" t="s">
        <v>131</v>
      </c>
      <c r="AA4" s="157" t="s">
        <v>132</v>
      </c>
      <c r="AB4" s="157" t="s">
        <v>133</v>
      </c>
      <c r="AC4" s="157" t="s">
        <v>134</v>
      </c>
      <c r="AD4" s="157" t="s">
        <v>135</v>
      </c>
      <c r="AE4" s="157" t="s">
        <v>136</v>
      </c>
      <c r="AF4" s="157" t="s">
        <v>137</v>
      </c>
      <c r="AG4" s="157" t="s">
        <v>34</v>
      </c>
      <c r="AH4" s="157" t="s">
        <v>35</v>
      </c>
      <c r="AI4" s="157" t="s">
        <v>12</v>
      </c>
      <c r="AJ4" s="157" t="s">
        <v>13</v>
      </c>
      <c r="AK4" s="157" t="s">
        <v>14</v>
      </c>
      <c r="AL4" s="157" t="s">
        <v>15</v>
      </c>
      <c r="AM4" s="157" t="s">
        <v>16</v>
      </c>
      <c r="AN4" s="157" t="s">
        <v>17</v>
      </c>
      <c r="AO4" s="157" t="s">
        <v>18</v>
      </c>
      <c r="AP4" s="157" t="s">
        <v>19</v>
      </c>
      <c r="AQ4" s="157" t="s">
        <v>20</v>
      </c>
      <c r="AR4" s="157" t="s">
        <v>21</v>
      </c>
      <c r="AS4" s="157" t="s">
        <v>22</v>
      </c>
      <c r="AT4" s="157" t="s">
        <v>23</v>
      </c>
      <c r="AU4" s="157" t="s">
        <v>24</v>
      </c>
      <c r="AV4" s="157" t="s">
        <v>25</v>
      </c>
      <c r="AW4" s="157" t="s">
        <v>26</v>
      </c>
      <c r="AX4" s="157" t="s">
        <v>27</v>
      </c>
      <c r="AY4" s="157" t="s">
        <v>28</v>
      </c>
      <c r="AZ4" s="157" t="s">
        <v>29</v>
      </c>
      <c r="BA4" s="157" t="s">
        <v>30</v>
      </c>
      <c r="BB4" s="158" t="s">
        <v>31</v>
      </c>
    </row>
    <row r="5" spans="1:54" x14ac:dyDescent="0.2">
      <c r="A5" s="56">
        <v>1</v>
      </c>
      <c r="B5" s="9" t="s">
        <v>41</v>
      </c>
      <c r="C5" s="159" cm="1">
        <f t="array" ref="C5">IFERROR(SUMPRODUCT((INPUT!$H$3:$H$5000&gt;=C$3)*(INPUT!$H$3:$H$5000&lt;=C$3+6)*(INPUT!$J$3:$J$5000="HERRERO")*ISNUMBER(INPUT!$K$3:$K$5000)*IFERROR(VALUE(INPUT!$K$3:$K$5000),0)*IFERROR(SUMIFS(INPUT!$E$3:$E$5000,INPUT!$A$3:$A$5000,INPUT!$H$3:$H$5000,INPUT!$C$3:$C$5000,INPUT!$I$3:$I$5000),0)),"")</f>
        <v>4650</v>
      </c>
      <c r="D5" s="159" cm="1">
        <f t="array" ref="D5">IFERROR(SUMPRODUCT((INPUT!$H$3:$H$5000&gt;=D$3)*(INPUT!$H$3:$H$5000&lt;=D$3+6)*(INPUT!$J$3:$J$5000="HERRERO")*ISNUMBER(INPUT!$K$3:$K$5000)*IFERROR(VALUE(INPUT!$K$3:$K$5000),0)*IFERROR(SUMIFS(INPUT!$E$3:$E$5000,INPUT!$A$3:$A$5000,INPUT!$H$3:$H$5000,INPUT!$C$3:$C$5000,INPUT!$I$3:$I$5000),0)),"")</f>
        <v>5620</v>
      </c>
      <c r="E5" s="159" cm="1">
        <f t="array" ref="E5">IFERROR(SUMPRODUCT((INPUT!$H$3:$H$5000&gt;=E$3)*(INPUT!$H$3:$H$5000&lt;=E$3+6)*(INPUT!$J$3:$J$5000="HERRERO")*ISNUMBER(INPUT!$K$3:$K$5000)*IFERROR(VALUE(INPUT!$K$3:$K$5000),0)*IFERROR(SUMIFS(INPUT!$E$3:$E$5000,INPUT!$A$3:$A$5000,INPUT!$H$3:$H$5000,INPUT!$C$3:$C$5000,INPUT!$I$3:$I$5000),0)),"")</f>
        <v>5030</v>
      </c>
      <c r="F5" s="159" cm="1">
        <f t="array" ref="F5">IFERROR(SUMPRODUCT((INPUT!$H$3:$H$5000&gt;=F$3)*(INPUT!$H$3:$H$5000&lt;=F$3+6)*(INPUT!$J$3:$J$5000="HERRERO")*ISNUMBER(INPUT!$K$3:$K$5000)*IFERROR(VALUE(INPUT!$K$3:$K$5000),0)*IFERROR(SUMIFS(INPUT!$E$3:$E$5000,INPUT!$A$3:$A$5000,INPUT!$H$3:$H$5000,INPUT!$C$3:$C$5000,INPUT!$I$3:$I$5000),0)),"")</f>
        <v>6160</v>
      </c>
      <c r="G5" s="159" cm="1">
        <f t="array" ref="G5">IFERROR(SUMPRODUCT((INPUT!$H$3:$H$5000&gt;=G$3)*(INPUT!$H$3:$H$5000&lt;=G$3+6)*(INPUT!$J$3:$J$5000="HERRERO")*ISNUMBER(INPUT!$K$3:$K$5000)*IFERROR(VALUE(INPUT!$K$3:$K$5000),0)*IFERROR(SUMIFS(INPUT!$E$3:$E$5000,INPUT!$A$3:$A$5000,INPUT!$H$3:$H$5000,INPUT!$C$3:$C$5000,INPUT!$I$3:$I$5000),0)),"")</f>
        <v>3735</v>
      </c>
      <c r="H5" s="159" cm="1">
        <f t="array" ref="H5">IFERROR(SUMPRODUCT((INPUT!$H$3:$H$5000&gt;=H$3)*(INPUT!$H$3:$H$5000&lt;=H$3+6)*(INPUT!$J$3:$J$5000="HERRERO")*ISNUMBER(INPUT!$K$3:$K$5000)*IFERROR(VALUE(INPUT!$K$3:$K$5000),0)*IFERROR(SUMIFS(INPUT!$E$3:$E$5000,INPUT!$A$3:$A$5000,INPUT!$H$3:$H$5000,INPUT!$C$3:$C$5000,INPUT!$I$3:$I$5000),0)),"")</f>
        <v>3825</v>
      </c>
      <c r="I5" s="159" cm="1">
        <f t="array" ref="I5">IFERROR(SUMPRODUCT((INPUT!$H$3:$H$5000&gt;=I$3)*(INPUT!$H$3:$H$5000&lt;=I$3+6)*(INPUT!$J$3:$J$5000="HERRERO")*ISNUMBER(INPUT!$K$3:$K$5000)*IFERROR(VALUE(INPUT!$K$3:$K$5000),0)*IFERROR(SUMIFS(INPUT!$E$3:$E$5000,INPUT!$A$3:$A$5000,INPUT!$H$3:$H$5000,INPUT!$C$3:$C$5000,INPUT!$I$3:$I$5000),0)),"")</f>
        <v>2830</v>
      </c>
      <c r="J5" s="159" cm="1">
        <f t="array" ref="J5">IFERROR(SUMPRODUCT((INPUT!$H$3:$H$5000&gt;=J$3)*(INPUT!$H$3:$H$5000&lt;=J$3+6)*(INPUT!$J$3:$J$5000="HERRERO")*ISNUMBER(INPUT!$K$3:$K$5000)*IFERROR(VALUE(INPUT!$K$3:$K$5000),0)*IFERROR(SUMIFS(INPUT!$E$3:$E$5000,INPUT!$A$3:$A$5000,INPUT!$H$3:$H$5000,INPUT!$C$3:$C$5000,INPUT!$I$3:$I$5000),0)),"")</f>
        <v>2300</v>
      </c>
      <c r="K5" s="159" cm="1">
        <f t="array" ref="K5">IFERROR(SUMPRODUCT((INPUT!$H$3:$H$5000&gt;=K$3)*(INPUT!$H$3:$H$5000&lt;=K$3+6)*(INPUT!$J$3:$J$5000="HERRERO")*ISNUMBER(INPUT!$K$3:$K$5000)*IFERROR(VALUE(INPUT!$K$3:$K$5000),0)*IFERROR(SUMIFS(INPUT!$E$3:$E$5000,INPUT!$A$3:$A$5000,INPUT!$H$3:$H$5000,INPUT!$C$3:$C$5000,INPUT!$I$3:$I$5000),0)),"")</f>
        <v>2455</v>
      </c>
      <c r="L5" s="160" cm="1">
        <f t="array" ref="L5">IFERROR(SUMPRODUCT((INPUT!$H$3:$H$5000&gt;=L$3)*(INPUT!$H$3:$H$5000&lt;=L$3+6)*(INPUT!$J$3:$J$5000="HERRERO")*ISNUMBER(INPUT!$K$3:$K$5000)*IFERROR(VALUE(INPUT!$K$3:$K$5000),0)*IFERROR(SUMIFS(INPUT!$E$3:$E$5000,INPUT!$A$3:$A$5000,INPUT!$H$3:$H$5000,INPUT!$C$3:$C$5000,INPUT!$I$3:$I$5000),0)),"")</f>
        <v>2495</v>
      </c>
      <c r="M5" s="160" cm="1">
        <f t="array" ref="M5">IFERROR(SUMPRODUCT((INPUT!$H$3:$H$5000&gt;=M$3)*(INPUT!$H$3:$H$5000&lt;=M$3+6)*(INPUT!$J$3:$J$5000="HERRERO")*ISNUMBER(INPUT!$K$3:$K$5000)*IFERROR(VALUE(INPUT!$K$3:$K$5000),0)*IFERROR(SUMIFS(INPUT!$E$3:$E$5000,INPUT!$A$3:$A$5000,INPUT!$H$3:$H$5000,INPUT!$C$3:$C$5000,INPUT!$I$3:$I$5000),0)),"")</f>
        <v>2640</v>
      </c>
      <c r="N5" s="160" cm="1">
        <f t="array" ref="N5">IFERROR(SUMPRODUCT((INPUT!$H$3:$H$5000&gt;=N$3)*(INPUT!$H$3:$H$5000&lt;=N$3+6)*(INPUT!$J$3:$J$5000="HERRERO")*ISNUMBER(INPUT!$K$3:$K$5000)*IFERROR(VALUE(INPUT!$K$3:$K$5000),0)*IFERROR(SUMIFS(INPUT!$E$3:$E$5000,INPUT!$A$3:$A$5000,INPUT!$H$3:$H$5000,INPUT!$C$3:$C$5000,INPUT!$I$3:$I$5000),0)),"")</f>
        <v>0</v>
      </c>
      <c r="O5" s="160" cm="1">
        <f t="array" ref="O5">IFERROR(SUMPRODUCT((INPUT!$H$3:$H$5000&gt;=O$3)*(INPUT!$H$3:$H$5000&lt;=O$3+6)*(INPUT!$J$3:$J$5000="HERRERO")*ISNUMBER(INPUT!$K$3:$K$5000)*IFERROR(VALUE(INPUT!$K$3:$K$5000),0)*IFERROR(SUMIFS(INPUT!$E$3:$E$5000,INPUT!$A$3:$A$5000,INPUT!$H$3:$H$5000,INPUT!$C$3:$C$5000,INPUT!$I$3:$I$5000),0)),"")</f>
        <v>445</v>
      </c>
      <c r="P5" s="160" cm="1">
        <f t="array" ref="P5">IFERROR(SUMPRODUCT((INPUT!$H$3:$H$5000&gt;=P$3)*(INPUT!$H$3:$H$5000&lt;=P$3+6)*(INPUT!$J$3:$J$5000="HERRERO")*ISNUMBER(INPUT!$K$3:$K$5000)*IFERROR(VALUE(INPUT!$K$3:$K$5000),0)*IFERROR(SUMIFS(INPUT!$E$3:$E$5000,INPUT!$A$3:$A$5000,INPUT!$H$3:$H$5000,INPUT!$C$3:$C$5000,INPUT!$I$3:$I$5000),0)),"")</f>
        <v>1210</v>
      </c>
      <c r="Q5" s="160" cm="1">
        <f t="array" ref="Q5">IFERROR(SUMPRODUCT((INPUT!$H$3:$H$5000&gt;=Q$3)*(INPUT!$H$3:$H$5000&lt;=Q$3+6)*(INPUT!$J$3:$J$5000="HERRERO")*ISNUMBER(INPUT!$K$3:$K$5000)*IFERROR(VALUE(INPUT!$K$3:$K$5000),0)*IFERROR(SUMIFS(INPUT!$E$3:$E$5000,INPUT!$A$3:$A$5000,INPUT!$H$3:$H$5000,INPUT!$C$3:$C$5000,INPUT!$I$3:$I$5000),0)),"")</f>
        <v>2150</v>
      </c>
      <c r="R5" s="160" cm="1">
        <f t="array" ref="R5">IFERROR(SUMPRODUCT((INPUT!$H$3:$H$5000&gt;=R$3)*(INPUT!$H$3:$H$5000&lt;=R$3+6)*(INPUT!$J$3:$J$5000="HERRERO")*ISNUMBER(INPUT!$K$3:$K$5000)*IFERROR(VALUE(INPUT!$K$3:$K$5000),0)*IFERROR(SUMIFS(INPUT!$E$3:$E$5000,INPUT!$A$3:$A$5000,INPUT!$H$3:$H$5000,INPUT!$C$3:$C$5000,INPUT!$I$3:$I$5000),0)),"")</f>
        <v>510</v>
      </c>
      <c r="S5" s="160" cm="1">
        <f t="array" ref="S5">IFERROR(SUMPRODUCT((INPUT!$H$3:$H$5000&gt;=S$3)*(INPUT!$H$3:$H$5000&lt;=S$3+6)*(INPUT!$J$3:$J$5000="HERRERO")*ISNUMBER(INPUT!$K$3:$K$5000)*IFERROR(VALUE(INPUT!$K$3:$K$5000),0)*IFERROR(SUMIFS(INPUT!$E$3:$E$5000,INPUT!$A$3:$A$5000,INPUT!$H$3:$H$5000,INPUT!$C$3:$C$5000,INPUT!$I$3:$I$5000),0)),"")</f>
        <v>1290</v>
      </c>
      <c r="T5" s="160" cm="1">
        <f t="array" ref="T5">IFERROR(SUMPRODUCT((INPUT!$H$3:$H$5000&gt;=T$3)*(INPUT!$H$3:$H$5000&lt;=T$3+6)*(INPUT!$J$3:$J$5000="HERRERO")*ISNUMBER(INPUT!$K$3:$K$5000)*IFERROR(VALUE(INPUT!$K$3:$K$5000),0)*IFERROR(SUMIFS(INPUT!$E$3:$E$5000,INPUT!$A$3:$A$5000,INPUT!$H$3:$H$5000,INPUT!$C$3:$C$5000,INPUT!$I$3:$I$5000),0)),"")</f>
        <v>1390</v>
      </c>
      <c r="U5" s="160" cm="1">
        <f t="array" ref="U5">IFERROR(SUMPRODUCT((INPUT!$H$3:$H$5000&gt;=U$3)*(INPUT!$H$3:$H$5000&lt;=U$3+6)*(INPUT!$J$3:$J$5000="HERRERO")*ISNUMBER(INPUT!$K$3:$K$5000)*IFERROR(VALUE(INPUT!$K$3:$K$5000),0)*IFERROR(SUMIFS(INPUT!$E$3:$E$5000,INPUT!$A$3:$A$5000,INPUT!$H$3:$H$5000,INPUT!$C$3:$C$5000,INPUT!$I$3:$I$5000),0)),"")</f>
        <v>2835</v>
      </c>
      <c r="V5" s="160" cm="1">
        <f t="array" ref="V5">IFERROR(SUMPRODUCT((INPUT!$H$3:$H$5000&gt;=V$3)*(INPUT!$H$3:$H$5000&lt;=V$3+6)*(INPUT!$J$3:$J$5000="HERRERO")*ISNUMBER(INPUT!$K$3:$K$5000)*IFERROR(VALUE(INPUT!$K$3:$K$5000),0)*IFERROR(SUMIFS(INPUT!$E$3:$E$5000,INPUT!$A$3:$A$5000,INPUT!$H$3:$H$5000,INPUT!$C$3:$C$5000,INPUT!$I$3:$I$5000),0)),"")</f>
        <v>2385</v>
      </c>
      <c r="W5" s="160" cm="1">
        <f t="array" ref="W5">IFERROR(SUMPRODUCT((INPUT!$H$3:$H$5000&gt;=W$3)*(INPUT!$H$3:$H$5000&lt;=W$3+6)*(INPUT!$J$3:$J$5000="HERRERO")*ISNUMBER(INPUT!$K$3:$K$5000)*IFERROR(VALUE(INPUT!$K$3:$K$5000),0)*IFERROR(SUMIFS(INPUT!$E$3:$E$5000,INPUT!$A$3:$A$5000,INPUT!$H$3:$H$5000,INPUT!$C$3:$C$5000,INPUT!$I$3:$I$5000),0)),"")</f>
        <v>540</v>
      </c>
      <c r="X5" s="160" cm="1">
        <f t="array" ref="X5">IFERROR(SUMPRODUCT((INPUT!$H$3:$H$5000&gt;=X$3)*(INPUT!$H$3:$H$5000&lt;=X$3+6)*(INPUT!$J$3:$J$5000="HERRERO")*ISNUMBER(INPUT!$K$3:$K$5000)*IFERROR(VALUE(INPUT!$K$3:$K$5000),0)*IFERROR(SUMIFS(INPUT!$E$3:$E$5000,INPUT!$A$3:$A$5000,INPUT!$H$3:$H$5000,INPUT!$C$3:$C$5000,INPUT!$I$3:$I$5000),0)),"")</f>
        <v>1035</v>
      </c>
      <c r="Y5" s="160" cm="1">
        <f t="array" ref="Y5">IFERROR(SUMPRODUCT((INPUT!$H$3:$H$5000&gt;=Y$3)*(INPUT!$H$3:$H$5000&lt;=Y$3+6)*(INPUT!$J$3:$J$5000="HERRERO")*ISNUMBER(INPUT!$K$3:$K$5000)*IFERROR(VALUE(INPUT!$K$3:$K$5000),0)*IFERROR(SUMIFS(INPUT!$E$3:$E$5000,INPUT!$A$3:$A$5000,INPUT!$H$3:$H$5000,INPUT!$C$3:$C$5000,INPUT!$I$3:$I$5000),0)),"")</f>
        <v>1740</v>
      </c>
      <c r="Z5" s="160" cm="1">
        <f t="array" ref="Z5">IFERROR(SUMPRODUCT((INPUT!$H$3:$H$5000&gt;=Z$3)*(INPUT!$H$3:$H$5000&lt;=Z$3+6)*(INPUT!$J$3:$J$5000="HERRERO")*ISNUMBER(INPUT!$K$3:$K$5000)*IFERROR(VALUE(INPUT!$K$3:$K$5000),0)*IFERROR(SUMIFS(INPUT!$E$3:$E$5000,INPUT!$A$3:$A$5000,INPUT!$H$3:$H$5000,INPUT!$C$3:$C$5000,INPUT!$I$3:$I$5000),0)),"")</f>
        <v>2345</v>
      </c>
      <c r="AA5" s="160" cm="1">
        <f t="array" ref="AA5">IFERROR(SUMPRODUCT((INPUT!$H$3:$H$5000&gt;=AA$3)*(INPUT!$H$3:$H$5000&lt;=AA$3+6)*(INPUT!$J$3:$J$5000="HERRERO")*ISNUMBER(INPUT!$K$3:$K$5000)*IFERROR(VALUE(INPUT!$K$3:$K$5000),0)*IFERROR(SUMIFS(INPUT!$E$3:$E$5000,INPUT!$A$3:$A$5000,INPUT!$H$3:$H$5000,INPUT!$C$3:$C$5000,INPUT!$I$3:$I$5000),0)),"")</f>
        <v>0</v>
      </c>
      <c r="AB5" s="160" cm="1">
        <f t="array" ref="AB5">IFERROR(SUMPRODUCT((INPUT!$H$3:$H$5000&gt;=AB$3)*(INPUT!$H$3:$H$5000&lt;=AB$3+6)*(INPUT!$J$3:$J$5000="HERRERO")*ISNUMBER(INPUT!$K$3:$K$5000)*IFERROR(VALUE(INPUT!$K$3:$K$5000),0)*IFERROR(SUMIFS(INPUT!$E$3:$E$5000,INPUT!$A$3:$A$5000,INPUT!$H$3:$H$5000,INPUT!$C$3:$C$5000,INPUT!$I$3:$I$5000),0)),"")</f>
        <v>2770</v>
      </c>
      <c r="AC5" s="160" cm="1">
        <f t="array" ref="AC5">IFERROR(SUMPRODUCT((INPUT!$H$3:$H$5000&gt;=AC$3)*(INPUT!$H$3:$H$5000&lt;=AC$3+6)*(INPUT!$J$3:$J$5000="HERRERO")*ISNUMBER(INPUT!$K$3:$K$5000)*IFERROR(VALUE(INPUT!$K$3:$K$5000),0)*IFERROR(SUMIFS(INPUT!$E$3:$E$5000,INPUT!$A$3:$A$5000,INPUT!$H$3:$H$5000,INPUT!$C$3:$C$5000,INPUT!$I$3:$I$5000),0)),"")</f>
        <v>1740</v>
      </c>
      <c r="AD5" s="160" cm="1">
        <f t="array" ref="AD5">IFERROR(SUMPRODUCT((INPUT!$H$3:$H$5000&gt;=AD$3)*(INPUT!$H$3:$H$5000&lt;=AD$3+6)*(INPUT!$J$3:$J$5000="HERRERO")*ISNUMBER(INPUT!$K$3:$K$5000)*IFERROR(VALUE(INPUT!$K$3:$K$5000),0)*IFERROR(SUMIFS(INPUT!$E$3:$E$5000,INPUT!$A$3:$A$5000,INPUT!$H$3:$H$5000,INPUT!$C$3:$C$5000,INPUT!$I$3:$I$5000),0)),"")</f>
        <v>1960</v>
      </c>
      <c r="AE5" s="160" cm="1">
        <f t="array" ref="AE5">IFERROR(SUMPRODUCT((INPUT!$H$3:$H$5000&gt;=AE$3)*(INPUT!$H$3:$H$5000&lt;=AE$3+6)*(INPUT!$J$3:$J$5000="HERRERO")*ISNUMBER(INPUT!$K$3:$K$5000)*IFERROR(VALUE(INPUT!$K$3:$K$5000),0)*IFERROR(SUMIFS(INPUT!$E$3:$E$5000,INPUT!$A$3:$A$5000,INPUT!$H$3:$H$5000,INPUT!$C$3:$C$5000,INPUT!$I$3:$I$5000),0)),"")</f>
        <v>2955</v>
      </c>
      <c r="AF5" s="160" cm="1">
        <f t="array" ref="AF5">IFERROR(SUMPRODUCT((INPUT!$H$3:$H$5000&gt;=AF$3)*(INPUT!$H$3:$H$5000&lt;=AF$3+6)*(INPUT!$J$3:$J$5000="HERRERO")*ISNUMBER(INPUT!$K$3:$K$5000)*IFERROR(VALUE(INPUT!$K$3:$K$5000),0)*IFERROR(SUMIFS(INPUT!$E$3:$E$5000,INPUT!$A$3:$A$5000,INPUT!$H$3:$H$5000,INPUT!$C$3:$C$5000,INPUT!$I$3:$I$5000),0)),"")</f>
        <v>1770</v>
      </c>
      <c r="AG5" s="160" cm="1">
        <f t="array" ref="AG5">IFERROR(SUMPRODUCT((INPUT!$H$3:$H$5000&gt;=AG$3)*(INPUT!$H$3:$H$5000&lt;=AG$3+6)*(INPUT!$J$3:$J$5000="HERRERO")*ISNUMBER(INPUT!$K$3:$K$5000)*IFERROR(VALUE(INPUT!$K$3:$K$5000),0)*IFERROR(SUMIFS(INPUT!$E$3:$E$5000,INPUT!$A$3:$A$5000,INPUT!$H$3:$H$5000,INPUT!$C$3:$C$5000,INPUT!$I$3:$I$5000),0)),"")</f>
        <v>3540</v>
      </c>
      <c r="AH5" s="160" cm="1">
        <f t="array" ref="AH5">IFERROR(SUMPRODUCT((INPUT!$H$3:$H$5000&gt;=AH$3)*(INPUT!$H$3:$H$5000&lt;=AH$3+6)*(INPUT!$J$3:$J$5000="HERRERO")*ISNUMBER(INPUT!$K$3:$K$5000)*IFERROR(VALUE(INPUT!$K$3:$K$5000),0)*IFERROR(SUMIFS(INPUT!$E$3:$E$5000,INPUT!$A$3:$A$5000,INPUT!$H$3:$H$5000,INPUT!$C$3:$C$5000,INPUT!$I$3:$I$5000),0)),"")</f>
        <v>1560</v>
      </c>
      <c r="AI5" s="160" cm="1">
        <f t="array" ref="AI5">IFERROR(SUMPRODUCT((INPUT!$H$3:$H$5000&gt;=AI$3)*(INPUT!$H$3:$H$5000&lt;=AI$3+6)*(INPUT!$J$3:$J$5000="HERRERO")*ISNUMBER(INPUT!$K$3:$K$5000)*IFERROR(VALUE(INPUT!$K$3:$K$5000),0)*IFERROR(SUMIFS(INPUT!$E$3:$E$5000,INPUT!$A$3:$A$5000,INPUT!$H$3:$H$5000,INPUT!$C$3:$C$5000,INPUT!$I$3:$I$5000),0)),"")</f>
        <v>2095</v>
      </c>
      <c r="AJ5" s="160" cm="1">
        <f t="array" ref="AJ5">IFERROR(SUMPRODUCT((INPUT!$H$3:$H$5000&gt;=AJ$3)*(INPUT!$H$3:$H$5000&lt;=AJ$3+6)*(INPUT!$J$3:$J$5000="HERRERO")*ISNUMBER(INPUT!$K$3:$K$5000)*IFERROR(VALUE(INPUT!$K$3:$K$5000),0)*IFERROR(SUMIFS(INPUT!$E$3:$E$5000,INPUT!$A$3:$A$5000,INPUT!$H$3:$H$5000,INPUT!$C$3:$C$5000,INPUT!$I$3:$I$5000),0)),"")</f>
        <v>2410</v>
      </c>
      <c r="AK5" s="160" cm="1">
        <f t="array" ref="AK5">IFERROR(SUMPRODUCT((INPUT!$H$3:$H$5000&gt;=AK$3)*(INPUT!$H$3:$H$5000&lt;=AK$3+6)*(INPUT!$J$3:$J$5000="HERRERO")*ISNUMBER(INPUT!$K$3:$K$5000)*IFERROR(VALUE(INPUT!$K$3:$K$5000),0)*IFERROR(SUMIFS(INPUT!$E$3:$E$5000,INPUT!$A$3:$A$5000,INPUT!$H$3:$H$5000,INPUT!$C$3:$C$5000,INPUT!$I$3:$I$5000),0)),"")</f>
        <v>1990</v>
      </c>
      <c r="AL5" s="160" cm="1">
        <f t="array" ref="AL5">IFERROR(SUMPRODUCT((INPUT!$H$3:$H$5000&gt;=AL$3)*(INPUT!$H$3:$H$5000&lt;=AL$3+6)*(INPUT!$J$3:$J$5000="HERRERO")*ISNUMBER(INPUT!$K$3:$K$5000)*IFERROR(VALUE(INPUT!$K$3:$K$5000),0)*IFERROR(SUMIFS(INPUT!$E$3:$E$5000,INPUT!$A$3:$A$5000,INPUT!$H$3:$H$5000,INPUT!$C$3:$C$5000,INPUT!$I$3:$I$5000),0)),"")</f>
        <v>1630</v>
      </c>
      <c r="AM5" s="160" cm="1">
        <f t="array" ref="AM5">IFERROR(SUMPRODUCT((INPUT!$H$3:$H$5000&gt;=AM$3)*(INPUT!$H$3:$H$5000&lt;=AM$3+6)*(INPUT!$J$3:$J$5000="HERRERO")*ISNUMBER(INPUT!$K$3:$K$5000)*IFERROR(VALUE(INPUT!$K$3:$K$5000),0)*IFERROR(SUMIFS(INPUT!$E$3:$E$5000,INPUT!$A$3:$A$5000,INPUT!$H$3:$H$5000,INPUT!$C$3:$C$5000,INPUT!$I$3:$I$5000),0)),"")</f>
        <v>2300</v>
      </c>
      <c r="AN5" s="160" cm="1">
        <f t="array" ref="AN5">IFERROR(SUMPRODUCT((INPUT!$H$3:$H$5000&gt;=AN$3)*(INPUT!$H$3:$H$5000&lt;=AN$3+6)*(INPUT!$J$3:$J$5000="HERRERO")*ISNUMBER(INPUT!$K$3:$K$5000)*IFERROR(VALUE(INPUT!$K$3:$K$5000),0)*IFERROR(SUMIFS(INPUT!$E$3:$E$5000,INPUT!$A$3:$A$5000,INPUT!$H$3:$H$5000,INPUT!$C$3:$C$5000,INPUT!$I$3:$I$5000),0)),"")</f>
        <v>2100</v>
      </c>
      <c r="AO5" s="160" cm="1">
        <f t="array" ref="AO5">IFERROR(SUMPRODUCT((INPUT!$H$3:$H$5000&gt;=AO$3)*(INPUT!$H$3:$H$5000&lt;=AO$3+6)*(INPUT!$J$3:$J$5000="HERRERO")*ISNUMBER(INPUT!$K$3:$K$5000)*IFERROR(VALUE(INPUT!$K$3:$K$5000),0)*IFERROR(SUMIFS(INPUT!$E$3:$E$5000,INPUT!$A$3:$A$5000,INPUT!$H$3:$H$5000,INPUT!$C$3:$C$5000,INPUT!$I$3:$I$5000),0)),"")</f>
        <v>0</v>
      </c>
      <c r="AP5" s="160" cm="1">
        <f t="array" ref="AP5">IFERROR(SUMPRODUCT((INPUT!$H$3:$H$5000&gt;=AP$3)*(INPUT!$H$3:$H$5000&lt;=AP$3+6)*(INPUT!$J$3:$J$5000="HERRERO")*ISNUMBER(INPUT!$K$3:$K$5000)*IFERROR(VALUE(INPUT!$K$3:$K$5000),0)*IFERROR(SUMIFS(INPUT!$E$3:$E$5000,INPUT!$A$3:$A$5000,INPUT!$H$3:$H$5000,INPUT!$C$3:$C$5000,INPUT!$I$3:$I$5000),0)),"")</f>
        <v>0</v>
      </c>
      <c r="AQ5" s="160" cm="1">
        <f t="array" ref="AQ5">IFERROR(SUMPRODUCT((INPUT!$H$3:$H$5000&gt;=AQ$3)*(INPUT!$H$3:$H$5000&lt;=AQ$3+6)*(INPUT!$J$3:$J$5000="HERRERO")*ISNUMBER(INPUT!$K$3:$K$5000)*IFERROR(VALUE(INPUT!$K$3:$K$5000),0)*IFERROR(SUMIFS(INPUT!$E$3:$E$5000,INPUT!$A$3:$A$5000,INPUT!$H$3:$H$5000,INPUT!$C$3:$C$5000,INPUT!$I$3:$I$5000),0)),"")</f>
        <v>0</v>
      </c>
      <c r="AR5" s="160" cm="1">
        <f t="array" ref="AR5">IFERROR(SUMPRODUCT((INPUT!$H$3:$H$5000&gt;=AR$3)*(INPUT!$H$3:$H$5000&lt;=AR$3+6)*(INPUT!$J$3:$J$5000="HERRERO")*ISNUMBER(INPUT!$K$3:$K$5000)*IFERROR(VALUE(INPUT!$K$3:$K$5000),0)*IFERROR(SUMIFS(INPUT!$E$3:$E$5000,INPUT!$A$3:$A$5000,INPUT!$H$3:$H$5000,INPUT!$C$3:$C$5000,INPUT!$I$3:$I$5000),0)),"")</f>
        <v>0</v>
      </c>
      <c r="AS5" s="160" cm="1">
        <f t="array" ref="AS5">IFERROR(SUMPRODUCT((INPUT!$H$3:$H$5000&gt;=AS$3)*(INPUT!$H$3:$H$5000&lt;=AS$3+6)*(INPUT!$J$3:$J$5000="HERRERO")*ISNUMBER(INPUT!$K$3:$K$5000)*IFERROR(VALUE(INPUT!$K$3:$K$5000),0)*IFERROR(SUMIFS(INPUT!$E$3:$E$5000,INPUT!$A$3:$A$5000,INPUT!$H$3:$H$5000,INPUT!$C$3:$C$5000,INPUT!$I$3:$I$5000),0)),"")</f>
        <v>0</v>
      </c>
      <c r="AT5" s="160" cm="1">
        <f t="array" ref="AT5">IFERROR(SUMPRODUCT((INPUT!$H$3:$H$5000&gt;=AT$3)*(INPUT!$H$3:$H$5000&lt;=AT$3+6)*(INPUT!$J$3:$J$5000="HERRERO")*ISNUMBER(INPUT!$K$3:$K$5000)*IFERROR(VALUE(INPUT!$K$3:$K$5000),0)*IFERROR(SUMIFS(INPUT!$E$3:$E$5000,INPUT!$A$3:$A$5000,INPUT!$H$3:$H$5000,INPUT!$C$3:$C$5000,INPUT!$I$3:$I$5000),0)),"")</f>
        <v>0</v>
      </c>
      <c r="AU5" s="160" cm="1">
        <f t="array" ref="AU5">IFERROR(SUMPRODUCT((INPUT!$H$3:$H$5000&gt;=AU$3)*(INPUT!$H$3:$H$5000&lt;=AU$3+6)*(INPUT!$J$3:$J$5000="HERRERO")*ISNUMBER(INPUT!$K$3:$K$5000)*IFERROR(VALUE(INPUT!$K$3:$K$5000),0)*IFERROR(SUMIFS(INPUT!$E$3:$E$5000,INPUT!$A$3:$A$5000,INPUT!$H$3:$H$5000,INPUT!$C$3:$C$5000,INPUT!$I$3:$I$5000),0)),"")</f>
        <v>0</v>
      </c>
      <c r="AV5" s="160" cm="1">
        <f t="array" ref="AV5">IFERROR(SUMPRODUCT((INPUT!$H$3:$H$5000&gt;=AV$3)*(INPUT!$H$3:$H$5000&lt;=AV$3+6)*(INPUT!$J$3:$J$5000="HERRERO")*ISNUMBER(INPUT!$K$3:$K$5000)*IFERROR(VALUE(INPUT!$K$3:$K$5000),0)*IFERROR(SUMIFS(INPUT!$E$3:$E$5000,INPUT!$A$3:$A$5000,INPUT!$H$3:$H$5000,INPUT!$C$3:$C$5000,INPUT!$I$3:$I$5000),0)),"")</f>
        <v>0</v>
      </c>
      <c r="AW5" s="160" cm="1">
        <f t="array" ref="AW5">IFERROR(SUMPRODUCT((INPUT!$H$3:$H$5000&gt;=AW$3)*(INPUT!$H$3:$H$5000&lt;=AW$3+6)*(INPUT!$J$3:$J$5000="HERRERO")*ISNUMBER(INPUT!$K$3:$K$5000)*IFERROR(VALUE(INPUT!$K$3:$K$5000),0)*IFERROR(SUMIFS(INPUT!$E$3:$E$5000,INPUT!$A$3:$A$5000,INPUT!$H$3:$H$5000,INPUT!$C$3:$C$5000,INPUT!$I$3:$I$5000),0)),"")</f>
        <v>0</v>
      </c>
      <c r="AX5" s="160" cm="1">
        <f t="array" ref="AX5">IFERROR(SUMPRODUCT((INPUT!$H$3:$H$5000&gt;=AX$3)*(INPUT!$H$3:$H$5000&lt;=AX$3+6)*(INPUT!$J$3:$J$5000="HERRERO")*ISNUMBER(INPUT!$K$3:$K$5000)*IFERROR(VALUE(INPUT!$K$3:$K$5000),0)*IFERROR(SUMIFS(INPUT!$E$3:$E$5000,INPUT!$A$3:$A$5000,INPUT!$H$3:$H$5000,INPUT!$C$3:$C$5000,INPUT!$I$3:$I$5000),0)),"")</f>
        <v>0</v>
      </c>
      <c r="AY5" s="160" cm="1">
        <f t="array" ref="AY5">IFERROR(SUMPRODUCT((INPUT!$H$3:$H$5000&gt;=AY$3)*(INPUT!$H$3:$H$5000&lt;=AY$3+6)*(INPUT!$J$3:$J$5000="HERRERO")*ISNUMBER(INPUT!$K$3:$K$5000)*IFERROR(VALUE(INPUT!$K$3:$K$5000),0)*IFERROR(SUMIFS(INPUT!$E$3:$E$5000,INPUT!$A$3:$A$5000,INPUT!$H$3:$H$5000,INPUT!$C$3:$C$5000,INPUT!$I$3:$I$5000),0)),"")</f>
        <v>0</v>
      </c>
      <c r="AZ5" s="160" cm="1">
        <f t="array" ref="AZ5">IFERROR(SUMPRODUCT((INPUT!$H$3:$H$5000&gt;=AZ$3)*(INPUT!$H$3:$H$5000&lt;=AZ$3+6)*(INPUT!$J$3:$J$5000="HERRERO")*ISNUMBER(INPUT!$K$3:$K$5000)*IFERROR(VALUE(INPUT!$K$3:$K$5000),0)*IFERROR(SUMIFS(INPUT!$E$3:$E$5000,INPUT!$A$3:$A$5000,INPUT!$H$3:$H$5000,INPUT!$C$3:$C$5000,INPUT!$I$3:$I$5000),0)),"")</f>
        <v>0</v>
      </c>
      <c r="BA5" s="160" cm="1">
        <f t="array" ref="BA5">IFERROR(SUMPRODUCT((INPUT!$H$3:$H$5000&gt;=BA$3)*(INPUT!$H$3:$H$5000&lt;=BA$3+6)*(INPUT!$J$3:$J$5000="HERRERO")*ISNUMBER(INPUT!$K$3:$K$5000)*IFERROR(VALUE(INPUT!$K$3:$K$5000),0)*IFERROR(SUMIFS(INPUT!$E$3:$E$5000,INPUT!$A$3:$A$5000,INPUT!$H$3:$H$5000,INPUT!$C$3:$C$5000,INPUT!$I$3:$I$5000),0)),"")</f>
        <v>0</v>
      </c>
      <c r="BB5" s="161" cm="1">
        <f t="array" ref="BB5">IFERROR(SUMPRODUCT((INPUT!$H$3:$H$5000&gt;=BB$3)*(INPUT!$H$3:$H$5000&lt;=BB$3+6)*(INPUT!$J$3:$J$5000="HERRERO")*ISNUMBER(INPUT!$K$3:$K$5000)*IFERROR(VALUE(INPUT!$K$3:$K$5000),0)*IFERROR(SUMIFS(INPUT!$E$3:$E$5000,INPUT!$A$3:$A$5000,INPUT!$H$3:$H$5000,INPUT!$C$3:$C$5000,INPUT!$I$3:$I$5000),0)),"")</f>
        <v>0</v>
      </c>
    </row>
    <row r="6" spans="1:54" x14ac:dyDescent="0.2">
      <c r="A6" s="154">
        <v>2</v>
      </c>
      <c r="B6" s="81" t="s">
        <v>42</v>
      </c>
      <c r="C6" s="159" cm="1">
        <f t="array" ref="C6">IFERROR(SUMPRODUCT((INPUT!$H$3:$H$5000&gt;=C$3)*(INPUT!$H$3:$H$5000&lt;=C$3+6)*(INPUT!$J$3:$J$5000="GARCIA")*ISNUMBER(INPUT!$K$3:$K$5000)*IFERROR(VALUE(INPUT!$K$3:$K$5000),0)*IFERROR(SUMIFS(INPUT!$E$3:$E$5000,INPUT!$A$3:$A$5000,INPUT!$H$3:$H$5000,INPUT!$C$3:$C$5000,INPUT!$I$3:$I$5000),0)),"")</f>
        <v>3930</v>
      </c>
      <c r="D6" s="159" cm="1">
        <f t="array" ref="D6">IFERROR(SUMPRODUCT((INPUT!$H$3:$H$5000&gt;=D$3)*(INPUT!$H$3:$H$5000&lt;=D$3+6)*(INPUT!$J$3:$J$5000="GARCIA")*ISNUMBER(INPUT!$K$3:$K$5000)*IFERROR(VALUE(INPUT!$K$3:$K$5000),0)*IFERROR(SUMIFS(INPUT!$E$3:$E$5000,INPUT!$A$3:$A$5000,INPUT!$H$3:$H$5000,INPUT!$C$3:$C$5000,INPUT!$I$3:$I$5000),0)),"")</f>
        <v>5665</v>
      </c>
      <c r="E6" s="159" cm="1">
        <f t="array" ref="E6">IFERROR(SUMPRODUCT((INPUT!$H$3:$H$5000&gt;=E$3)*(INPUT!$H$3:$H$5000&lt;=E$3+6)*(INPUT!$J$3:$J$5000="GARCIA")*ISNUMBER(INPUT!$K$3:$K$5000)*IFERROR(VALUE(INPUT!$K$3:$K$5000),0)*IFERROR(SUMIFS(INPUT!$E$3:$E$5000,INPUT!$A$3:$A$5000,INPUT!$H$3:$H$5000,INPUT!$C$3:$C$5000,INPUT!$I$3:$I$5000),0)),"")</f>
        <v>4430</v>
      </c>
      <c r="F6" s="159" cm="1">
        <f t="array" ref="F6">IFERROR(SUMPRODUCT((INPUT!$H$3:$H$5000&gt;=F$3)*(INPUT!$H$3:$H$5000&lt;=F$3+6)*(INPUT!$J$3:$J$5000="GARCIA")*ISNUMBER(INPUT!$K$3:$K$5000)*IFERROR(VALUE(INPUT!$K$3:$K$5000),0)*IFERROR(SUMIFS(INPUT!$E$3:$E$5000,INPUT!$A$3:$A$5000,INPUT!$H$3:$H$5000,INPUT!$C$3:$C$5000,INPUT!$I$3:$I$5000),0)),"")</f>
        <v>5350</v>
      </c>
      <c r="G6" s="159" cm="1">
        <f t="array" ref="G6">IFERROR(SUMPRODUCT((INPUT!$H$3:$H$5000&gt;=G$3)*(INPUT!$H$3:$H$5000&lt;=G$3+6)*(INPUT!$J$3:$J$5000="GARCIA")*ISNUMBER(INPUT!$K$3:$K$5000)*IFERROR(VALUE(INPUT!$K$3:$K$5000),0)*IFERROR(SUMIFS(INPUT!$E$3:$E$5000,INPUT!$A$3:$A$5000,INPUT!$H$3:$H$5000,INPUT!$C$3:$C$5000,INPUT!$I$3:$I$5000),0)),"")</f>
        <v>3465</v>
      </c>
      <c r="H6" s="159" cm="1">
        <f t="array" ref="H6">IFERROR(SUMPRODUCT((INPUT!$H$3:$H$5000&gt;=H$3)*(INPUT!$H$3:$H$5000&lt;=H$3+6)*(INPUT!$J$3:$J$5000="GARCIA")*ISNUMBER(INPUT!$K$3:$K$5000)*IFERROR(VALUE(INPUT!$K$3:$K$5000),0)*IFERROR(SUMIFS(INPUT!$E$3:$E$5000,INPUT!$A$3:$A$5000,INPUT!$H$3:$H$5000,INPUT!$C$3:$C$5000,INPUT!$I$3:$I$5000),0)),"")</f>
        <v>2320</v>
      </c>
      <c r="I6" s="160" cm="1">
        <f t="array" ref="I6">IFERROR(SUMPRODUCT((INPUT!$H$3:$H$5000&gt;=I$3)*(INPUT!$H$3:$H$5000&lt;=I$3+6)*(INPUT!$J$3:$J$5000="GARCIA")*ISNUMBER(INPUT!$K$3:$K$5000)*IFERROR(VALUE(INPUT!$K$3:$K$5000),0)*IFERROR(SUMIFS(INPUT!$E$3:$E$5000,INPUT!$A$3:$A$5000,INPUT!$H$3:$H$5000,INPUT!$C$3:$C$5000,INPUT!$I$3:$I$5000),0)),"")</f>
        <v>885</v>
      </c>
      <c r="J6" s="159" cm="1">
        <f t="array" ref="J6">IFERROR(SUMPRODUCT((INPUT!$H$3:$H$5000&gt;=J$3)*(INPUT!$H$3:$H$5000&lt;=J$3+6)*(INPUT!$J$3:$J$5000="GARCIA")*ISNUMBER(INPUT!$K$3:$K$5000)*IFERROR(VALUE(INPUT!$K$3:$K$5000),0)*IFERROR(SUMIFS(INPUT!$E$3:$E$5000,INPUT!$A$3:$A$5000,INPUT!$H$3:$H$5000,INPUT!$C$3:$C$5000,INPUT!$I$3:$I$5000),0)),"")</f>
        <v>2690</v>
      </c>
      <c r="K6" s="159" cm="1">
        <f t="array" ref="K6">IFERROR(SUMPRODUCT((INPUT!$H$3:$H$5000&gt;=K$3)*(INPUT!$H$3:$H$5000&lt;=K$3+6)*(INPUT!$J$3:$J$5000="GARCIA")*ISNUMBER(INPUT!$K$3:$K$5000)*IFERROR(VALUE(INPUT!$K$3:$K$5000),0)*IFERROR(SUMIFS(INPUT!$E$3:$E$5000,INPUT!$A$3:$A$5000,INPUT!$H$3:$H$5000,INPUT!$C$3:$C$5000,INPUT!$I$3:$I$5000),0)),"")</f>
        <v>3760</v>
      </c>
      <c r="L6" s="160" cm="1">
        <f t="array" ref="L6">IFERROR(SUMPRODUCT((INPUT!$H$3:$H$5000&gt;=L$3)*(INPUT!$H$3:$H$5000&lt;=L$3+6)*(INPUT!$J$3:$J$5000="GARCIA")*ISNUMBER(INPUT!$K$3:$K$5000)*IFERROR(VALUE(INPUT!$K$3:$K$5000),0)*IFERROR(SUMIFS(INPUT!$E$3:$E$5000,INPUT!$A$3:$A$5000,INPUT!$H$3:$H$5000,INPUT!$C$3:$C$5000,INPUT!$I$3:$I$5000),0)),"")</f>
        <v>2055</v>
      </c>
      <c r="M6" s="160" cm="1">
        <f t="array" ref="M6">IFERROR(SUMPRODUCT((INPUT!$H$3:$H$5000&gt;=M$3)*(INPUT!$H$3:$H$5000&lt;=M$3+6)*(INPUT!$J$3:$J$5000="GARCIA")*ISNUMBER(INPUT!$K$3:$K$5000)*IFERROR(VALUE(INPUT!$K$3:$K$5000),0)*IFERROR(SUMIFS(INPUT!$E$3:$E$5000,INPUT!$A$3:$A$5000,INPUT!$H$3:$H$5000,INPUT!$C$3:$C$5000,INPUT!$I$3:$I$5000),0)),"")</f>
        <v>1570</v>
      </c>
      <c r="N6" s="160" cm="1">
        <f t="array" ref="N6">IFERROR(SUMPRODUCT((INPUT!$H$3:$H$5000&gt;=N$3)*(INPUT!$H$3:$H$5000&lt;=N$3+6)*(INPUT!$J$3:$J$5000="GARCIA")*ISNUMBER(INPUT!$K$3:$K$5000)*IFERROR(VALUE(INPUT!$K$3:$K$5000),0)*IFERROR(SUMIFS(INPUT!$E$3:$E$5000,INPUT!$A$3:$A$5000,INPUT!$H$3:$H$5000,INPUT!$C$3:$C$5000,INPUT!$I$3:$I$5000),0)),"")</f>
        <v>1960</v>
      </c>
      <c r="O6" s="160" cm="1">
        <f t="array" ref="O6">IFERROR(SUMPRODUCT((INPUT!$H$3:$H$5000&gt;=O$3)*(INPUT!$H$3:$H$5000&lt;=O$3+6)*(INPUT!$J$3:$J$5000="GARCIA")*ISNUMBER(INPUT!$K$3:$K$5000)*IFERROR(VALUE(INPUT!$K$3:$K$5000),0)*IFERROR(SUMIFS(INPUT!$E$3:$E$5000,INPUT!$A$3:$A$5000,INPUT!$H$3:$H$5000,INPUT!$C$3:$C$5000,INPUT!$I$3:$I$5000),0)),"")</f>
        <v>3735</v>
      </c>
      <c r="P6" s="160" cm="1">
        <f t="array" ref="P6">IFERROR(SUMPRODUCT((INPUT!$H$3:$H$5000&gt;=P$3)*(INPUT!$H$3:$H$5000&lt;=P$3+6)*(INPUT!$J$3:$J$5000="GARCIA")*ISNUMBER(INPUT!$K$3:$K$5000)*IFERROR(VALUE(INPUT!$K$3:$K$5000),0)*IFERROR(SUMIFS(INPUT!$E$3:$E$5000,INPUT!$A$3:$A$5000,INPUT!$H$3:$H$5000,INPUT!$C$3:$C$5000,INPUT!$I$3:$I$5000),0)),"")</f>
        <v>1555</v>
      </c>
      <c r="Q6" s="160" cm="1">
        <f t="array" ref="Q6">IFERROR(SUMPRODUCT((INPUT!$H$3:$H$5000&gt;=Q$3)*(INPUT!$H$3:$H$5000&lt;=Q$3+6)*(INPUT!$J$3:$J$5000="GARCIA")*ISNUMBER(INPUT!$K$3:$K$5000)*IFERROR(VALUE(INPUT!$K$3:$K$5000),0)*IFERROR(SUMIFS(INPUT!$E$3:$E$5000,INPUT!$A$3:$A$5000,INPUT!$H$3:$H$5000,INPUT!$C$3:$C$5000,INPUT!$I$3:$I$5000),0)),"")</f>
        <v>340</v>
      </c>
      <c r="R6" s="160" cm="1">
        <f t="array" ref="R6">IFERROR(SUMPRODUCT((INPUT!$H$3:$H$5000&gt;=R$3)*(INPUT!$H$3:$H$5000&lt;=R$3+6)*(INPUT!$J$3:$J$5000="GARCIA")*ISNUMBER(INPUT!$K$3:$K$5000)*IFERROR(VALUE(INPUT!$K$3:$K$5000),0)*IFERROR(SUMIFS(INPUT!$E$3:$E$5000,INPUT!$A$3:$A$5000,INPUT!$H$3:$H$5000,INPUT!$C$3:$C$5000,INPUT!$I$3:$I$5000),0)),"")</f>
        <v>2910</v>
      </c>
      <c r="S6" s="160" cm="1">
        <f t="array" ref="S6">IFERROR(SUMPRODUCT((INPUT!$H$3:$H$5000&gt;=S$3)*(INPUT!$H$3:$H$5000&lt;=S$3+6)*(INPUT!$J$3:$J$5000="GARCIA")*ISNUMBER(INPUT!$K$3:$K$5000)*IFERROR(VALUE(INPUT!$K$3:$K$5000),0)*IFERROR(SUMIFS(INPUT!$E$3:$E$5000,INPUT!$A$3:$A$5000,INPUT!$H$3:$H$5000,INPUT!$C$3:$C$5000,INPUT!$I$3:$I$5000),0)),"")</f>
        <v>1360</v>
      </c>
      <c r="T6" s="160" cm="1">
        <f t="array" ref="T6">IFERROR(SUMPRODUCT((INPUT!$H$3:$H$5000&gt;=T$3)*(INPUT!$H$3:$H$5000&lt;=T$3+6)*(INPUT!$J$3:$J$5000="GARCIA")*ISNUMBER(INPUT!$K$3:$K$5000)*IFERROR(VALUE(INPUT!$K$3:$K$5000),0)*IFERROR(SUMIFS(INPUT!$E$3:$E$5000,INPUT!$A$3:$A$5000,INPUT!$H$3:$H$5000,INPUT!$C$3:$C$5000,INPUT!$I$3:$I$5000),0)),"")</f>
        <v>880</v>
      </c>
      <c r="U6" s="160" cm="1">
        <f t="array" ref="U6">IFERROR(SUMPRODUCT((INPUT!$H$3:$H$5000&gt;=U$3)*(INPUT!$H$3:$H$5000&lt;=U$3+6)*(INPUT!$J$3:$J$5000="GARCIA")*ISNUMBER(INPUT!$K$3:$K$5000)*IFERROR(VALUE(INPUT!$K$3:$K$5000),0)*IFERROR(SUMIFS(INPUT!$E$3:$E$5000,INPUT!$A$3:$A$5000,INPUT!$H$3:$H$5000,INPUT!$C$3:$C$5000,INPUT!$I$3:$I$5000),0)),"")</f>
        <v>2230</v>
      </c>
      <c r="V6" s="160" cm="1">
        <f t="array" ref="V6">IFERROR(SUMPRODUCT((INPUT!$H$3:$H$5000&gt;=V$3)*(INPUT!$H$3:$H$5000&lt;=V$3+6)*(INPUT!$J$3:$J$5000="GARCIA")*ISNUMBER(INPUT!$K$3:$K$5000)*IFERROR(VALUE(INPUT!$K$3:$K$5000),0)*IFERROR(SUMIFS(INPUT!$E$3:$E$5000,INPUT!$A$3:$A$5000,INPUT!$H$3:$H$5000,INPUT!$C$3:$C$5000,INPUT!$I$3:$I$5000),0)),"")</f>
        <v>720</v>
      </c>
      <c r="W6" s="160" cm="1">
        <f t="array" ref="W6">IFERROR(SUMPRODUCT((INPUT!$H$3:$H$5000&gt;=W$3)*(INPUT!$H$3:$H$5000&lt;=W$3+6)*(INPUT!$J$3:$J$5000="GARCIA")*ISNUMBER(INPUT!$K$3:$K$5000)*IFERROR(VALUE(INPUT!$K$3:$K$5000),0)*IFERROR(SUMIFS(INPUT!$E$3:$E$5000,INPUT!$A$3:$A$5000,INPUT!$H$3:$H$5000,INPUT!$C$3:$C$5000,INPUT!$I$3:$I$5000),0)),"")</f>
        <v>945</v>
      </c>
      <c r="X6" s="160" cm="1">
        <f t="array" ref="X6">IFERROR(SUMPRODUCT((INPUT!$H$3:$H$5000&gt;=X$3)*(INPUT!$H$3:$H$5000&lt;=X$3+6)*(INPUT!$J$3:$J$5000="GARCIA")*ISNUMBER(INPUT!$K$3:$K$5000)*IFERROR(VALUE(INPUT!$K$3:$K$5000),0)*IFERROR(SUMIFS(INPUT!$E$3:$E$5000,INPUT!$A$3:$A$5000,INPUT!$H$3:$H$5000,INPUT!$C$3:$C$5000,INPUT!$I$3:$I$5000),0)),"")</f>
        <v>1465</v>
      </c>
      <c r="Y6" s="160" cm="1">
        <f t="array" ref="Y6">IFERROR(SUMPRODUCT((INPUT!$H$3:$H$5000&gt;=Y$3)*(INPUT!$H$3:$H$5000&lt;=Y$3+6)*(INPUT!$J$3:$J$5000="GARCIA")*ISNUMBER(INPUT!$K$3:$K$5000)*IFERROR(VALUE(INPUT!$K$3:$K$5000),0)*IFERROR(SUMIFS(INPUT!$E$3:$E$5000,INPUT!$A$3:$A$5000,INPUT!$H$3:$H$5000,INPUT!$C$3:$C$5000,INPUT!$I$3:$I$5000),0)),"")</f>
        <v>990</v>
      </c>
      <c r="Z6" s="160" cm="1">
        <f t="array" ref="Z6">IFERROR(SUMPRODUCT((INPUT!$H$3:$H$5000&gt;=Z$3)*(INPUT!$H$3:$H$5000&lt;=Z$3+6)*(INPUT!$J$3:$J$5000="GARCIA")*ISNUMBER(INPUT!$K$3:$K$5000)*IFERROR(VALUE(INPUT!$K$3:$K$5000),0)*IFERROR(SUMIFS(INPUT!$E$3:$E$5000,INPUT!$A$3:$A$5000,INPUT!$H$3:$H$5000,INPUT!$C$3:$C$5000,INPUT!$I$3:$I$5000),0)),"")</f>
        <v>590</v>
      </c>
      <c r="AA6" s="160" cm="1">
        <f t="array" ref="AA6">IFERROR(SUMPRODUCT((INPUT!$H$3:$H$5000&gt;=AA$3)*(INPUT!$H$3:$H$5000&lt;=AA$3+6)*(INPUT!$J$3:$J$5000="GARCIA")*ISNUMBER(INPUT!$K$3:$K$5000)*IFERROR(VALUE(INPUT!$K$3:$K$5000),0)*IFERROR(SUMIFS(INPUT!$E$3:$E$5000,INPUT!$A$3:$A$5000,INPUT!$H$3:$H$5000,INPUT!$C$3:$C$5000,INPUT!$I$3:$I$5000),0)),"")</f>
        <v>0</v>
      </c>
      <c r="AB6" s="160" cm="1">
        <f t="array" ref="AB6">IFERROR(SUMPRODUCT((INPUT!$H$3:$H$5000&gt;=AB$3)*(INPUT!$H$3:$H$5000&lt;=AB$3+6)*(INPUT!$J$3:$J$5000="GARCIA")*ISNUMBER(INPUT!$K$3:$K$5000)*IFERROR(VALUE(INPUT!$K$3:$K$5000),0)*IFERROR(SUMIFS(INPUT!$E$3:$E$5000,INPUT!$A$3:$A$5000,INPUT!$H$3:$H$5000,INPUT!$C$3:$C$5000,INPUT!$I$3:$I$5000),0)),"")</f>
        <v>2350</v>
      </c>
      <c r="AC6" s="160" cm="1">
        <f t="array" ref="AC6">IFERROR(SUMPRODUCT((INPUT!$H$3:$H$5000&gt;=AC$3)*(INPUT!$H$3:$H$5000&lt;=AC$3+6)*(INPUT!$J$3:$J$5000="GARCIA")*ISNUMBER(INPUT!$K$3:$K$5000)*IFERROR(VALUE(INPUT!$K$3:$K$5000),0)*IFERROR(SUMIFS(INPUT!$E$3:$E$5000,INPUT!$A$3:$A$5000,INPUT!$H$3:$H$5000,INPUT!$C$3:$C$5000,INPUT!$I$3:$I$5000),0)),"")</f>
        <v>1200</v>
      </c>
      <c r="AD6" s="160" cm="1">
        <f t="array" ref="AD6">IFERROR(SUMPRODUCT((INPUT!$H$3:$H$5000&gt;=AD$3)*(INPUT!$H$3:$H$5000&lt;=AD$3+6)*(INPUT!$J$3:$J$5000="GARCIA")*ISNUMBER(INPUT!$K$3:$K$5000)*IFERROR(VALUE(INPUT!$K$3:$K$5000),0)*IFERROR(SUMIFS(INPUT!$E$3:$E$5000,INPUT!$A$3:$A$5000,INPUT!$H$3:$H$5000,INPUT!$C$3:$C$5000,INPUT!$I$3:$I$5000),0)),"")</f>
        <v>1660</v>
      </c>
      <c r="AE6" s="160" cm="1">
        <f t="array" ref="AE6">IFERROR(SUMPRODUCT((INPUT!$H$3:$H$5000&gt;=AE$3)*(INPUT!$H$3:$H$5000&lt;=AE$3+6)*(INPUT!$J$3:$J$5000="GARCIA")*ISNUMBER(INPUT!$K$3:$K$5000)*IFERROR(VALUE(INPUT!$K$3:$K$5000),0)*IFERROR(SUMIFS(INPUT!$E$3:$E$5000,INPUT!$A$3:$A$5000,INPUT!$H$3:$H$5000,INPUT!$C$3:$C$5000,INPUT!$I$3:$I$5000),0)),"")</f>
        <v>805</v>
      </c>
      <c r="AF6" s="160" cm="1">
        <f t="array" ref="AF6">IFERROR(SUMPRODUCT((INPUT!$H$3:$H$5000&gt;=AF$3)*(INPUT!$H$3:$H$5000&lt;=AF$3+6)*(INPUT!$J$3:$J$5000="GARCIA")*ISNUMBER(INPUT!$K$3:$K$5000)*IFERROR(VALUE(INPUT!$K$3:$K$5000),0)*IFERROR(SUMIFS(INPUT!$E$3:$E$5000,INPUT!$A$3:$A$5000,INPUT!$H$3:$H$5000,INPUT!$C$3:$C$5000,INPUT!$I$3:$I$5000),0)),"")</f>
        <v>740</v>
      </c>
      <c r="AG6" s="160" cm="1">
        <f t="array" ref="AG6">IFERROR(SUMPRODUCT((INPUT!$H$3:$H$5000&gt;=AG$3)*(INPUT!$H$3:$H$5000&lt;=AG$3+6)*(INPUT!$J$3:$J$5000="GARCIA")*ISNUMBER(INPUT!$K$3:$K$5000)*IFERROR(VALUE(INPUT!$K$3:$K$5000),0)*IFERROR(SUMIFS(INPUT!$E$3:$E$5000,INPUT!$A$3:$A$5000,INPUT!$H$3:$H$5000,INPUT!$C$3:$C$5000,INPUT!$I$3:$I$5000),0)),"")</f>
        <v>2330</v>
      </c>
      <c r="AH6" s="160" cm="1">
        <f t="array" ref="AH6">IFERROR(SUMPRODUCT((INPUT!$H$3:$H$5000&gt;=AH$3)*(INPUT!$H$3:$H$5000&lt;=AH$3+6)*(INPUT!$J$3:$J$5000="GARCIA")*ISNUMBER(INPUT!$K$3:$K$5000)*IFERROR(VALUE(INPUT!$K$3:$K$5000),0)*IFERROR(SUMIFS(INPUT!$E$3:$E$5000,INPUT!$A$3:$A$5000,INPUT!$H$3:$H$5000,INPUT!$C$3:$C$5000,INPUT!$I$3:$I$5000),0)),"")</f>
        <v>380</v>
      </c>
      <c r="AI6" s="160" cm="1">
        <f t="array" ref="AI6">IFERROR(SUMPRODUCT((INPUT!$H$3:$H$5000&gt;=AI$3)*(INPUT!$H$3:$H$5000&lt;=AI$3+6)*(INPUT!$J$3:$J$5000="GARCIA")*ISNUMBER(INPUT!$K$3:$K$5000)*IFERROR(VALUE(INPUT!$K$3:$K$5000),0)*IFERROR(SUMIFS(INPUT!$E$3:$E$5000,INPUT!$A$3:$A$5000,INPUT!$H$3:$H$5000,INPUT!$C$3:$C$5000,INPUT!$I$3:$I$5000),0)),"")</f>
        <v>1945</v>
      </c>
      <c r="AJ6" s="160" cm="1">
        <f t="array" ref="AJ6">IFERROR(SUMPRODUCT((INPUT!$H$3:$H$5000&gt;=AJ$3)*(INPUT!$H$3:$H$5000&lt;=AJ$3+6)*(INPUT!$J$3:$J$5000="GARCIA")*ISNUMBER(INPUT!$K$3:$K$5000)*IFERROR(VALUE(INPUT!$K$3:$K$5000),0)*IFERROR(SUMIFS(INPUT!$E$3:$E$5000,INPUT!$A$3:$A$5000,INPUT!$H$3:$H$5000,INPUT!$C$3:$C$5000,INPUT!$I$3:$I$5000),0)),"")</f>
        <v>520</v>
      </c>
      <c r="AK6" s="160" cm="1">
        <f t="array" ref="AK6">IFERROR(SUMPRODUCT((INPUT!$H$3:$H$5000&gt;=AK$3)*(INPUT!$H$3:$H$5000&lt;=AK$3+6)*(INPUT!$J$3:$J$5000="GARCIA")*ISNUMBER(INPUT!$K$3:$K$5000)*IFERROR(VALUE(INPUT!$K$3:$K$5000),0)*IFERROR(SUMIFS(INPUT!$E$3:$E$5000,INPUT!$A$3:$A$5000,INPUT!$H$3:$H$5000,INPUT!$C$3:$C$5000,INPUT!$I$3:$I$5000),0)),"")</f>
        <v>760</v>
      </c>
      <c r="AL6" s="160" cm="1">
        <f t="array" ref="AL6">IFERROR(SUMPRODUCT((INPUT!$H$3:$H$5000&gt;=AL$3)*(INPUT!$H$3:$H$5000&lt;=AL$3+6)*(INPUT!$J$3:$J$5000="GARCIA")*ISNUMBER(INPUT!$K$3:$K$5000)*IFERROR(VALUE(INPUT!$K$3:$K$5000),0)*IFERROR(SUMIFS(INPUT!$E$3:$E$5000,INPUT!$A$3:$A$5000,INPUT!$H$3:$H$5000,INPUT!$C$3:$C$5000,INPUT!$I$3:$I$5000),0)),"")</f>
        <v>1765</v>
      </c>
      <c r="AM6" s="160" cm="1">
        <f t="array" ref="AM6">IFERROR(SUMPRODUCT((INPUT!$H$3:$H$5000&gt;=AM$3)*(INPUT!$H$3:$H$5000&lt;=AM$3+6)*(INPUT!$J$3:$J$5000="GARCIA")*ISNUMBER(INPUT!$K$3:$K$5000)*IFERROR(VALUE(INPUT!$K$3:$K$5000),0)*IFERROR(SUMIFS(INPUT!$E$3:$E$5000,INPUT!$A$3:$A$5000,INPUT!$H$3:$H$5000,INPUT!$C$3:$C$5000,INPUT!$I$3:$I$5000),0)),"")</f>
        <v>1540</v>
      </c>
      <c r="AN6" s="160" cm="1">
        <f t="array" ref="AN6">IFERROR(SUMPRODUCT((INPUT!$H$3:$H$5000&gt;=AN$3)*(INPUT!$H$3:$H$5000&lt;=AN$3+6)*(INPUT!$J$3:$J$5000="GARCIA")*ISNUMBER(INPUT!$K$3:$K$5000)*IFERROR(VALUE(INPUT!$K$3:$K$5000),0)*IFERROR(SUMIFS(INPUT!$E$3:$E$5000,INPUT!$A$3:$A$5000,INPUT!$H$3:$H$5000,INPUT!$C$3:$C$5000,INPUT!$I$3:$I$5000),0)),"")</f>
        <v>1260</v>
      </c>
      <c r="AO6" s="160" cm="1">
        <f t="array" ref="AO6">IFERROR(SUMPRODUCT((INPUT!$H$3:$H$5000&gt;=AO$3)*(INPUT!$H$3:$H$5000&lt;=AO$3+6)*(INPUT!$J$3:$J$5000="GARCIA")*ISNUMBER(INPUT!$K$3:$K$5000)*IFERROR(VALUE(INPUT!$K$3:$K$5000),0)*IFERROR(SUMIFS(INPUT!$E$3:$E$5000,INPUT!$A$3:$A$5000,INPUT!$H$3:$H$5000,INPUT!$C$3:$C$5000,INPUT!$I$3:$I$5000),0)),"")</f>
        <v>0</v>
      </c>
      <c r="AP6" s="160" cm="1">
        <f t="array" ref="AP6">IFERROR(SUMPRODUCT((INPUT!$H$3:$H$5000&gt;=AP$3)*(INPUT!$H$3:$H$5000&lt;=AP$3+6)*(INPUT!$J$3:$J$5000="GARCIA")*ISNUMBER(INPUT!$K$3:$K$5000)*IFERROR(VALUE(INPUT!$K$3:$K$5000),0)*IFERROR(SUMIFS(INPUT!$E$3:$E$5000,INPUT!$A$3:$A$5000,INPUT!$H$3:$H$5000,INPUT!$C$3:$C$5000,INPUT!$I$3:$I$5000),0)),"")</f>
        <v>0</v>
      </c>
      <c r="AQ6" s="160" cm="1">
        <f t="array" ref="AQ6">IFERROR(SUMPRODUCT((INPUT!$H$3:$H$5000&gt;=AQ$3)*(INPUT!$H$3:$H$5000&lt;=AQ$3+6)*(INPUT!$J$3:$J$5000="GARCIA")*ISNUMBER(INPUT!$K$3:$K$5000)*IFERROR(VALUE(INPUT!$K$3:$K$5000),0)*IFERROR(SUMIFS(INPUT!$E$3:$E$5000,INPUT!$A$3:$A$5000,INPUT!$H$3:$H$5000,INPUT!$C$3:$C$5000,INPUT!$I$3:$I$5000),0)),"")</f>
        <v>0</v>
      </c>
      <c r="AR6" s="160" cm="1">
        <f t="array" ref="AR6">IFERROR(SUMPRODUCT((INPUT!$H$3:$H$5000&gt;=AR$3)*(INPUT!$H$3:$H$5000&lt;=AR$3+6)*(INPUT!$J$3:$J$5000="GARCIA")*ISNUMBER(INPUT!$K$3:$K$5000)*IFERROR(VALUE(INPUT!$K$3:$K$5000),0)*IFERROR(SUMIFS(INPUT!$E$3:$E$5000,INPUT!$A$3:$A$5000,INPUT!$H$3:$H$5000,INPUT!$C$3:$C$5000,INPUT!$I$3:$I$5000),0)),"")</f>
        <v>0</v>
      </c>
      <c r="AS6" s="160" cm="1">
        <f t="array" ref="AS6">IFERROR(SUMPRODUCT((INPUT!$H$3:$H$5000&gt;=AS$3)*(INPUT!$H$3:$H$5000&lt;=AS$3+6)*(INPUT!$J$3:$J$5000="GARCIA")*ISNUMBER(INPUT!$K$3:$K$5000)*IFERROR(VALUE(INPUT!$K$3:$K$5000),0)*IFERROR(SUMIFS(INPUT!$E$3:$E$5000,INPUT!$A$3:$A$5000,INPUT!$H$3:$H$5000,INPUT!$C$3:$C$5000,INPUT!$I$3:$I$5000),0)),"")</f>
        <v>0</v>
      </c>
      <c r="AT6" s="160" cm="1">
        <f t="array" ref="AT6">IFERROR(SUMPRODUCT((INPUT!$H$3:$H$5000&gt;=AT$3)*(INPUT!$H$3:$H$5000&lt;=AT$3+6)*(INPUT!$J$3:$J$5000="GARCIA")*ISNUMBER(INPUT!$K$3:$K$5000)*IFERROR(VALUE(INPUT!$K$3:$K$5000),0)*IFERROR(SUMIFS(INPUT!$E$3:$E$5000,INPUT!$A$3:$A$5000,INPUT!$H$3:$H$5000,INPUT!$C$3:$C$5000,INPUT!$I$3:$I$5000),0)),"")</f>
        <v>0</v>
      </c>
      <c r="AU6" s="160" cm="1">
        <f t="array" ref="AU6">IFERROR(SUMPRODUCT((INPUT!$H$3:$H$5000&gt;=AU$3)*(INPUT!$H$3:$H$5000&lt;=AU$3+6)*(INPUT!$J$3:$J$5000="GARCIA")*ISNUMBER(INPUT!$K$3:$K$5000)*IFERROR(VALUE(INPUT!$K$3:$K$5000),0)*IFERROR(SUMIFS(INPUT!$E$3:$E$5000,INPUT!$A$3:$A$5000,INPUT!$H$3:$H$5000,INPUT!$C$3:$C$5000,INPUT!$I$3:$I$5000),0)),"")</f>
        <v>0</v>
      </c>
      <c r="AV6" s="160" cm="1">
        <f t="array" ref="AV6">IFERROR(SUMPRODUCT((INPUT!$H$3:$H$5000&gt;=AV$3)*(INPUT!$H$3:$H$5000&lt;=AV$3+6)*(INPUT!$J$3:$J$5000="GARCIA")*ISNUMBER(INPUT!$K$3:$K$5000)*IFERROR(VALUE(INPUT!$K$3:$K$5000),0)*IFERROR(SUMIFS(INPUT!$E$3:$E$5000,INPUT!$A$3:$A$5000,INPUT!$H$3:$H$5000,INPUT!$C$3:$C$5000,INPUT!$I$3:$I$5000),0)),"")</f>
        <v>0</v>
      </c>
      <c r="AW6" s="160" cm="1">
        <f t="array" ref="AW6">IFERROR(SUMPRODUCT((INPUT!$H$3:$H$5000&gt;=AW$3)*(INPUT!$H$3:$H$5000&lt;=AW$3+6)*(INPUT!$J$3:$J$5000="GARCIA")*ISNUMBER(INPUT!$K$3:$K$5000)*IFERROR(VALUE(INPUT!$K$3:$K$5000),0)*IFERROR(SUMIFS(INPUT!$E$3:$E$5000,INPUT!$A$3:$A$5000,INPUT!$H$3:$H$5000,INPUT!$C$3:$C$5000,INPUT!$I$3:$I$5000),0)),"")</f>
        <v>0</v>
      </c>
      <c r="AX6" s="160" cm="1">
        <f t="array" ref="AX6">IFERROR(SUMPRODUCT((INPUT!$H$3:$H$5000&gt;=AX$3)*(INPUT!$H$3:$H$5000&lt;=AX$3+6)*(INPUT!$J$3:$J$5000="GARCIA")*ISNUMBER(INPUT!$K$3:$K$5000)*IFERROR(VALUE(INPUT!$K$3:$K$5000),0)*IFERROR(SUMIFS(INPUT!$E$3:$E$5000,INPUT!$A$3:$A$5000,INPUT!$H$3:$H$5000,INPUT!$C$3:$C$5000,INPUT!$I$3:$I$5000),0)),"")</f>
        <v>0</v>
      </c>
      <c r="AY6" s="160" cm="1">
        <f t="array" ref="AY6">IFERROR(SUMPRODUCT((INPUT!$H$3:$H$5000&gt;=AY$3)*(INPUT!$H$3:$H$5000&lt;=AY$3+6)*(INPUT!$J$3:$J$5000="GARCIA")*ISNUMBER(INPUT!$K$3:$K$5000)*IFERROR(VALUE(INPUT!$K$3:$K$5000),0)*IFERROR(SUMIFS(INPUT!$E$3:$E$5000,INPUT!$A$3:$A$5000,INPUT!$H$3:$H$5000,INPUT!$C$3:$C$5000,INPUT!$I$3:$I$5000),0)),"")</f>
        <v>0</v>
      </c>
      <c r="AZ6" s="160" cm="1">
        <f t="array" ref="AZ6">IFERROR(SUMPRODUCT((INPUT!$H$3:$H$5000&gt;=AZ$3)*(INPUT!$H$3:$H$5000&lt;=AZ$3+6)*(INPUT!$J$3:$J$5000="GARCIA")*ISNUMBER(INPUT!$K$3:$K$5000)*IFERROR(VALUE(INPUT!$K$3:$K$5000),0)*IFERROR(SUMIFS(INPUT!$E$3:$E$5000,INPUT!$A$3:$A$5000,INPUT!$H$3:$H$5000,INPUT!$C$3:$C$5000,INPUT!$I$3:$I$5000),0)),"")</f>
        <v>0</v>
      </c>
      <c r="BA6" s="160" cm="1">
        <f t="array" ref="BA6">IFERROR(SUMPRODUCT((INPUT!$H$3:$H$5000&gt;=BA$3)*(INPUT!$H$3:$H$5000&lt;=BA$3+6)*(INPUT!$J$3:$J$5000="GARCIA")*ISNUMBER(INPUT!$K$3:$K$5000)*IFERROR(VALUE(INPUT!$K$3:$K$5000),0)*IFERROR(SUMIFS(INPUT!$E$3:$E$5000,INPUT!$A$3:$A$5000,INPUT!$H$3:$H$5000,INPUT!$C$3:$C$5000,INPUT!$I$3:$I$5000),0)),"")</f>
        <v>0</v>
      </c>
      <c r="BB6" s="161" cm="1">
        <f t="array" ref="BB6">IFERROR(SUMPRODUCT((INPUT!$H$3:$H$5000&gt;=BB$3)*(INPUT!$H$3:$H$5000&lt;=BB$3+6)*(INPUT!$J$3:$J$5000="GARCIA")*ISNUMBER(INPUT!$K$3:$K$5000)*IFERROR(VALUE(INPUT!$K$3:$K$5000),0)*IFERROR(SUMIFS(INPUT!$E$3:$E$5000,INPUT!$A$3:$A$5000,INPUT!$H$3:$H$5000,INPUT!$C$3:$C$5000,INPUT!$I$3:$I$5000),0)),"")</f>
        <v>0</v>
      </c>
    </row>
    <row r="7" spans="1:54" x14ac:dyDescent="0.2">
      <c r="A7" s="56">
        <v>3</v>
      </c>
      <c r="B7" s="9" t="s">
        <v>43</v>
      </c>
      <c r="C7" s="159" cm="1">
        <f t="array" ref="C7">IFERROR(SUMPRODUCT((INPUT!$H$3:$H$5000&gt;=C$3)*(INPUT!$H$3:$H$5000&lt;=C$3+6)*(INPUT!$J$3:$J$5000="OSCAR")*ISNUMBER(INPUT!$K$3:$K$5000)*IFERROR(VALUE(INPUT!$K$3:$K$5000),0)*IFERROR(SUMIFS(INPUT!$E$3:$E$5000,INPUT!$A$3:$A$5000,INPUT!$H$3:$H$5000,INPUT!$C$3:$C$5000,INPUT!$I$3:$I$5000),0)),"")</f>
        <v>4290</v>
      </c>
      <c r="D7" s="159" cm="1">
        <f t="array" ref="D7">IFERROR(SUMPRODUCT((INPUT!$H$3:$H$5000&gt;=D$3)*(INPUT!$H$3:$H$5000&lt;=D$3+6)*(INPUT!$J$3:$J$5000="OSCAR")*ISNUMBER(INPUT!$K$3:$K$5000)*IFERROR(VALUE(INPUT!$K$3:$K$5000),0)*IFERROR(SUMIFS(INPUT!$E$3:$E$5000,INPUT!$A$3:$A$5000,INPUT!$H$3:$H$5000,INPUT!$C$3:$C$5000,INPUT!$I$3:$I$5000),0)),"")</f>
        <v>5800</v>
      </c>
      <c r="E7" s="159" cm="1">
        <f t="array" ref="E7">IFERROR(SUMPRODUCT((INPUT!$H$3:$H$5000&gt;=E$3)*(INPUT!$H$3:$H$5000&lt;=E$3+6)*(INPUT!$J$3:$J$5000="OSCAR")*ISNUMBER(INPUT!$K$3:$K$5000)*IFERROR(VALUE(INPUT!$K$3:$K$5000),0)*IFERROR(SUMIFS(INPUT!$E$3:$E$5000,INPUT!$A$3:$A$5000,INPUT!$H$3:$H$5000,INPUT!$C$3:$C$5000,INPUT!$I$3:$I$5000),0)),"")</f>
        <v>3490</v>
      </c>
      <c r="F7" s="159" cm="1">
        <f t="array" ref="F7">IFERROR(SUMPRODUCT((INPUT!$H$3:$H$5000&gt;=F$3)*(INPUT!$H$3:$H$5000&lt;=F$3+6)*(INPUT!$J$3:$J$5000="OSCAR")*ISNUMBER(INPUT!$K$3:$K$5000)*IFERROR(VALUE(INPUT!$K$3:$K$5000),0)*IFERROR(SUMIFS(INPUT!$E$3:$E$5000,INPUT!$A$3:$A$5000,INPUT!$H$3:$H$5000,INPUT!$C$3:$C$5000,INPUT!$I$3:$I$5000),0)),"")</f>
        <v>1305</v>
      </c>
      <c r="G7" s="160" cm="1">
        <f t="array" ref="G7">IFERROR(SUMPRODUCT((INPUT!$H$3:$H$5000&gt;=G$3)*(INPUT!$H$3:$H$5000&lt;=G$3+6)*(INPUT!$J$3:$J$5000="OSCAR")*ISNUMBER(INPUT!$K$3:$K$5000)*IFERROR(VALUE(INPUT!$K$3:$K$5000),0)*IFERROR(SUMIFS(INPUT!$E$3:$E$5000,INPUT!$A$3:$A$5000,INPUT!$H$3:$H$5000,INPUT!$C$3:$C$5000,INPUT!$I$3:$I$5000),0)),"")</f>
        <v>810</v>
      </c>
      <c r="H7" s="160" cm="1">
        <f t="array" ref="H7">IFERROR(SUMPRODUCT((INPUT!$H$3:$H$5000&gt;=H$3)*(INPUT!$H$3:$H$5000&lt;=H$3+6)*(INPUT!$J$3:$J$5000="OSCAR")*ISNUMBER(INPUT!$K$3:$K$5000)*IFERROR(VALUE(INPUT!$K$3:$K$5000),0)*IFERROR(SUMIFS(INPUT!$E$3:$E$5000,INPUT!$A$3:$A$5000,INPUT!$H$3:$H$5000,INPUT!$C$3:$C$5000,INPUT!$I$3:$I$5000),0)),"")</f>
        <v>720</v>
      </c>
      <c r="I7" s="160" cm="1">
        <f t="array" ref="I7">IFERROR(SUMPRODUCT((INPUT!$H$3:$H$5000&gt;=I$3)*(INPUT!$H$3:$H$5000&lt;=I$3+6)*(INPUT!$J$3:$J$5000="OSCAR")*ISNUMBER(INPUT!$K$3:$K$5000)*IFERROR(VALUE(INPUT!$K$3:$K$5000),0)*IFERROR(SUMIFS(INPUT!$E$3:$E$5000,INPUT!$A$3:$A$5000,INPUT!$H$3:$H$5000,INPUT!$C$3:$C$5000,INPUT!$I$3:$I$5000),0)),"")</f>
        <v>0</v>
      </c>
      <c r="J7" s="160" cm="1">
        <f t="array" ref="J7">IFERROR(SUMPRODUCT((INPUT!$H$3:$H$5000&gt;=J$3)*(INPUT!$H$3:$H$5000&lt;=J$3+6)*(INPUT!$J$3:$J$5000="OSCAR")*ISNUMBER(INPUT!$K$3:$K$5000)*IFERROR(VALUE(INPUT!$K$3:$K$5000),0)*IFERROR(SUMIFS(INPUT!$E$3:$E$5000,INPUT!$A$3:$A$5000,INPUT!$H$3:$H$5000,INPUT!$C$3:$C$5000,INPUT!$I$3:$I$5000),0)),"")</f>
        <v>960</v>
      </c>
      <c r="K7" s="160" cm="1">
        <f t="array" ref="K7">IFERROR(SUMPRODUCT((INPUT!$H$3:$H$5000&gt;=K$3)*(INPUT!$H$3:$H$5000&lt;=K$3+6)*(INPUT!$J$3:$J$5000="OSCAR")*ISNUMBER(INPUT!$K$3:$K$5000)*IFERROR(VALUE(INPUT!$K$3:$K$5000),0)*IFERROR(SUMIFS(INPUT!$E$3:$E$5000,INPUT!$A$3:$A$5000,INPUT!$H$3:$H$5000,INPUT!$C$3:$C$5000,INPUT!$I$3:$I$5000),0)),"")</f>
        <v>360</v>
      </c>
      <c r="L7" s="160" cm="1">
        <f t="array" ref="L7">IFERROR(SUMPRODUCT((INPUT!$H$3:$H$5000&gt;=L$3)*(INPUT!$H$3:$H$5000&lt;=L$3+6)*(INPUT!$J$3:$J$5000="OSCAR")*ISNUMBER(INPUT!$K$3:$K$5000)*IFERROR(VALUE(INPUT!$K$3:$K$5000),0)*IFERROR(SUMIFS(INPUT!$E$3:$E$5000,INPUT!$A$3:$A$5000,INPUT!$H$3:$H$5000,INPUT!$C$3:$C$5000,INPUT!$I$3:$I$5000),0)),"")</f>
        <v>225</v>
      </c>
      <c r="M7" s="160" cm="1">
        <f t="array" ref="M7">IFERROR(SUMPRODUCT((INPUT!$H$3:$H$5000&gt;=M$3)*(INPUT!$H$3:$H$5000&lt;=M$3+6)*(INPUT!$J$3:$J$5000="OSCAR")*ISNUMBER(INPUT!$K$3:$K$5000)*IFERROR(VALUE(INPUT!$K$3:$K$5000),0)*IFERROR(SUMIFS(INPUT!$E$3:$E$5000,INPUT!$A$3:$A$5000,INPUT!$H$3:$H$5000,INPUT!$C$3:$C$5000,INPUT!$I$3:$I$5000),0)),"")</f>
        <v>0</v>
      </c>
      <c r="N7" s="160" cm="1">
        <f t="array" ref="N7">IFERROR(SUMPRODUCT((INPUT!$H$3:$H$5000&gt;=N$3)*(INPUT!$H$3:$H$5000&lt;=N$3+6)*(INPUT!$J$3:$J$5000="OSCAR")*ISNUMBER(INPUT!$K$3:$K$5000)*IFERROR(VALUE(INPUT!$K$3:$K$5000),0)*IFERROR(SUMIFS(INPUT!$E$3:$E$5000,INPUT!$A$3:$A$5000,INPUT!$H$3:$H$5000,INPUT!$C$3:$C$5000,INPUT!$I$3:$I$5000),0)),"")</f>
        <v>540</v>
      </c>
      <c r="O7" s="160" cm="1">
        <f t="array" ref="O7">IFERROR(SUMPRODUCT((INPUT!$H$3:$H$5000&gt;=O$3)*(INPUT!$H$3:$H$5000&lt;=O$3+6)*(INPUT!$J$3:$J$5000="OSCAR")*ISNUMBER(INPUT!$K$3:$K$5000)*IFERROR(VALUE(INPUT!$K$3:$K$5000),0)*IFERROR(SUMIFS(INPUT!$E$3:$E$5000,INPUT!$A$3:$A$5000,INPUT!$H$3:$H$5000,INPUT!$C$3:$C$5000,INPUT!$I$3:$I$5000),0)),"")</f>
        <v>1590</v>
      </c>
      <c r="P7" s="160" cm="1">
        <f t="array" ref="P7">IFERROR(SUMPRODUCT((INPUT!$H$3:$H$5000&gt;=P$3)*(INPUT!$H$3:$H$5000&lt;=P$3+6)*(INPUT!$J$3:$J$5000="OSCAR")*ISNUMBER(INPUT!$K$3:$K$5000)*IFERROR(VALUE(INPUT!$K$3:$K$5000),0)*IFERROR(SUMIFS(INPUT!$E$3:$E$5000,INPUT!$A$3:$A$5000,INPUT!$H$3:$H$5000,INPUT!$C$3:$C$5000,INPUT!$I$3:$I$5000),0)),"")</f>
        <v>450</v>
      </c>
      <c r="Q7" s="160" cm="1">
        <f t="array" ref="Q7">IFERROR(SUMPRODUCT((INPUT!$H$3:$H$5000&gt;=Q$3)*(INPUT!$H$3:$H$5000&lt;=Q$3+6)*(INPUT!$J$3:$J$5000="OSCAR")*ISNUMBER(INPUT!$K$3:$K$5000)*IFERROR(VALUE(INPUT!$K$3:$K$5000),0)*IFERROR(SUMIFS(INPUT!$E$3:$E$5000,INPUT!$A$3:$A$5000,INPUT!$H$3:$H$5000,INPUT!$C$3:$C$5000,INPUT!$I$3:$I$5000),0)),"")</f>
        <v>790</v>
      </c>
      <c r="R7" s="160" cm="1">
        <f t="array" ref="R7">IFERROR(SUMPRODUCT((INPUT!$H$3:$H$5000&gt;=R$3)*(INPUT!$H$3:$H$5000&lt;=R$3+6)*(INPUT!$J$3:$J$5000="OSCAR")*ISNUMBER(INPUT!$K$3:$K$5000)*IFERROR(VALUE(INPUT!$K$3:$K$5000),0)*IFERROR(SUMIFS(INPUT!$E$3:$E$5000,INPUT!$A$3:$A$5000,INPUT!$H$3:$H$5000,INPUT!$C$3:$C$5000,INPUT!$I$3:$I$5000),0)),"")</f>
        <v>1280</v>
      </c>
      <c r="S7" s="160" cm="1">
        <f t="array" ref="S7">IFERROR(SUMPRODUCT((INPUT!$H$3:$H$5000&gt;=S$3)*(INPUT!$H$3:$H$5000&lt;=S$3+6)*(INPUT!$J$3:$J$5000="OSCAR")*ISNUMBER(INPUT!$K$3:$K$5000)*IFERROR(VALUE(INPUT!$K$3:$K$5000),0)*IFERROR(SUMIFS(INPUT!$E$3:$E$5000,INPUT!$A$3:$A$5000,INPUT!$H$3:$H$5000,INPUT!$C$3:$C$5000,INPUT!$I$3:$I$5000),0)),"")</f>
        <v>0</v>
      </c>
      <c r="T7" s="160" cm="1">
        <f t="array" ref="T7">IFERROR(SUMPRODUCT((INPUT!$H$3:$H$5000&gt;=T$3)*(INPUT!$H$3:$H$5000&lt;=T$3+6)*(INPUT!$J$3:$J$5000="OSCAR")*ISNUMBER(INPUT!$K$3:$K$5000)*IFERROR(VALUE(INPUT!$K$3:$K$5000),0)*IFERROR(SUMIFS(INPUT!$E$3:$E$5000,INPUT!$A$3:$A$5000,INPUT!$H$3:$H$5000,INPUT!$C$3:$C$5000,INPUT!$I$3:$I$5000),0)),"")</f>
        <v>0</v>
      </c>
      <c r="U7" s="160" cm="1">
        <f t="array" ref="U7">IFERROR(SUMPRODUCT((INPUT!$H$3:$H$5000&gt;=U$3)*(INPUT!$H$3:$H$5000&lt;=U$3+6)*(INPUT!$J$3:$J$5000="OSCAR")*ISNUMBER(INPUT!$K$3:$K$5000)*IFERROR(VALUE(INPUT!$K$3:$K$5000),0)*IFERROR(SUMIFS(INPUT!$E$3:$E$5000,INPUT!$A$3:$A$5000,INPUT!$H$3:$H$5000,INPUT!$C$3:$C$5000,INPUT!$I$3:$I$5000),0)),"")</f>
        <v>0</v>
      </c>
      <c r="V7" s="160" cm="1">
        <f t="array" ref="V7">IFERROR(SUMPRODUCT((INPUT!$H$3:$H$5000&gt;=V$3)*(INPUT!$H$3:$H$5000&lt;=V$3+6)*(INPUT!$J$3:$J$5000="OSCAR")*ISNUMBER(INPUT!$K$3:$K$5000)*IFERROR(VALUE(INPUT!$K$3:$K$5000),0)*IFERROR(SUMIFS(INPUT!$E$3:$E$5000,INPUT!$A$3:$A$5000,INPUT!$H$3:$H$5000,INPUT!$C$3:$C$5000,INPUT!$I$3:$I$5000),0)),"")</f>
        <v>0</v>
      </c>
      <c r="W7" s="160" cm="1">
        <f t="array" ref="W7">IFERROR(SUMPRODUCT((INPUT!$H$3:$H$5000&gt;=W$3)*(INPUT!$H$3:$H$5000&lt;=W$3+6)*(INPUT!$J$3:$J$5000="OSCAR")*ISNUMBER(INPUT!$K$3:$K$5000)*IFERROR(VALUE(INPUT!$K$3:$K$5000),0)*IFERROR(SUMIFS(INPUT!$E$3:$E$5000,INPUT!$A$3:$A$5000,INPUT!$H$3:$H$5000,INPUT!$C$3:$C$5000,INPUT!$I$3:$I$5000),0)),"")</f>
        <v>0</v>
      </c>
      <c r="X7" s="160" cm="1">
        <f t="array" ref="X7">IFERROR(SUMPRODUCT((INPUT!$H$3:$H$5000&gt;=X$3)*(INPUT!$H$3:$H$5000&lt;=X$3+6)*(INPUT!$J$3:$J$5000="OSCAR")*ISNUMBER(INPUT!$K$3:$K$5000)*IFERROR(VALUE(INPUT!$K$3:$K$5000),0)*IFERROR(SUMIFS(INPUT!$E$3:$E$5000,INPUT!$A$3:$A$5000,INPUT!$H$3:$H$5000,INPUT!$C$3:$C$5000,INPUT!$I$3:$I$5000),0)),"")</f>
        <v>0</v>
      </c>
      <c r="Y7" s="160" cm="1">
        <f t="array" ref="Y7">IFERROR(SUMPRODUCT((INPUT!$H$3:$H$5000&gt;=Y$3)*(INPUT!$H$3:$H$5000&lt;=Y$3+6)*(INPUT!$J$3:$J$5000="OSCAR")*ISNUMBER(INPUT!$K$3:$K$5000)*IFERROR(VALUE(INPUT!$K$3:$K$5000),0)*IFERROR(SUMIFS(INPUT!$E$3:$E$5000,INPUT!$A$3:$A$5000,INPUT!$H$3:$H$5000,INPUT!$C$3:$C$5000,INPUT!$I$3:$I$5000),0)),"")</f>
        <v>0</v>
      </c>
      <c r="Z7" s="160" cm="1">
        <f t="array" ref="Z7">IFERROR(SUMPRODUCT((INPUT!$H$3:$H$5000&gt;=Z$3)*(INPUT!$H$3:$H$5000&lt;=Z$3+6)*(INPUT!$J$3:$J$5000="OSCAR")*ISNUMBER(INPUT!$K$3:$K$5000)*IFERROR(VALUE(INPUT!$K$3:$K$5000),0)*IFERROR(SUMIFS(INPUT!$E$3:$E$5000,INPUT!$A$3:$A$5000,INPUT!$H$3:$H$5000,INPUT!$C$3:$C$5000,INPUT!$I$3:$I$5000),0)),"")</f>
        <v>0</v>
      </c>
      <c r="AA7" s="160" cm="1">
        <f t="array" ref="AA7">IFERROR(SUMPRODUCT((INPUT!$H$3:$H$5000&gt;=AA$3)*(INPUT!$H$3:$H$5000&lt;=AA$3+6)*(INPUT!$J$3:$J$5000="OSCAR")*ISNUMBER(INPUT!$K$3:$K$5000)*IFERROR(VALUE(INPUT!$K$3:$K$5000),0)*IFERROR(SUMIFS(INPUT!$E$3:$E$5000,INPUT!$A$3:$A$5000,INPUT!$H$3:$H$5000,INPUT!$C$3:$C$5000,INPUT!$I$3:$I$5000),0)),"")</f>
        <v>0</v>
      </c>
      <c r="AB7" s="160" cm="1">
        <f t="array" ref="AB7">IFERROR(SUMPRODUCT((INPUT!$H$3:$H$5000&gt;=AB$3)*(INPUT!$H$3:$H$5000&lt;=AB$3+6)*(INPUT!$J$3:$J$5000="OSCAR")*ISNUMBER(INPUT!$K$3:$K$5000)*IFERROR(VALUE(INPUT!$K$3:$K$5000),0)*IFERROR(SUMIFS(INPUT!$E$3:$E$5000,INPUT!$A$3:$A$5000,INPUT!$H$3:$H$5000,INPUT!$C$3:$C$5000,INPUT!$I$3:$I$5000),0)),"")</f>
        <v>0</v>
      </c>
      <c r="AC7" s="160" cm="1">
        <f t="array" ref="AC7">IFERROR(SUMPRODUCT((INPUT!$H$3:$H$5000&gt;=AC$3)*(INPUT!$H$3:$H$5000&lt;=AC$3+6)*(INPUT!$J$3:$J$5000="OSCAR")*ISNUMBER(INPUT!$K$3:$K$5000)*IFERROR(VALUE(INPUT!$K$3:$K$5000),0)*IFERROR(SUMIFS(INPUT!$E$3:$E$5000,INPUT!$A$3:$A$5000,INPUT!$H$3:$H$5000,INPUT!$C$3:$C$5000,INPUT!$I$3:$I$5000),0)),"")</f>
        <v>0</v>
      </c>
      <c r="AD7" s="160" cm="1">
        <f t="array" ref="AD7">IFERROR(SUMPRODUCT((INPUT!$H$3:$H$5000&gt;=AD$3)*(INPUT!$H$3:$H$5000&lt;=AD$3+6)*(INPUT!$J$3:$J$5000="OSCAR")*ISNUMBER(INPUT!$K$3:$K$5000)*IFERROR(VALUE(INPUT!$K$3:$K$5000),0)*IFERROR(SUMIFS(INPUT!$E$3:$E$5000,INPUT!$A$3:$A$5000,INPUT!$H$3:$H$5000,INPUT!$C$3:$C$5000,INPUT!$I$3:$I$5000),0)),"")</f>
        <v>0</v>
      </c>
      <c r="AE7" s="160" cm="1">
        <f t="array" ref="AE7">IFERROR(SUMPRODUCT((INPUT!$H$3:$H$5000&gt;=AE$3)*(INPUT!$H$3:$H$5000&lt;=AE$3+6)*(INPUT!$J$3:$J$5000="OSCAR")*ISNUMBER(INPUT!$K$3:$K$5000)*IFERROR(VALUE(INPUT!$K$3:$K$5000),0)*IFERROR(SUMIFS(INPUT!$E$3:$E$5000,INPUT!$A$3:$A$5000,INPUT!$H$3:$H$5000,INPUT!$C$3:$C$5000,INPUT!$I$3:$I$5000),0)),"")</f>
        <v>0</v>
      </c>
      <c r="AF7" s="160" cm="1">
        <f t="array" ref="AF7">IFERROR(SUMPRODUCT((INPUT!$H$3:$H$5000&gt;=AF$3)*(INPUT!$H$3:$H$5000&lt;=AF$3+6)*(INPUT!$J$3:$J$5000="OSCAR")*ISNUMBER(INPUT!$K$3:$K$5000)*IFERROR(VALUE(INPUT!$K$3:$K$5000),0)*IFERROR(SUMIFS(INPUT!$E$3:$E$5000,INPUT!$A$3:$A$5000,INPUT!$H$3:$H$5000,INPUT!$C$3:$C$5000,INPUT!$I$3:$I$5000),0)),"")</f>
        <v>0</v>
      </c>
      <c r="AG7" s="160" cm="1">
        <f t="array" ref="AG7">IFERROR(SUMPRODUCT((INPUT!$H$3:$H$5000&gt;=AG$3)*(INPUT!$H$3:$H$5000&lt;=AG$3+6)*(INPUT!$J$3:$J$5000="OSCAR")*ISNUMBER(INPUT!$K$3:$K$5000)*IFERROR(VALUE(INPUT!$K$3:$K$5000),0)*IFERROR(SUMIFS(INPUT!$E$3:$E$5000,INPUT!$A$3:$A$5000,INPUT!$H$3:$H$5000,INPUT!$C$3:$C$5000,INPUT!$I$3:$I$5000),0)),"")</f>
        <v>0</v>
      </c>
      <c r="AH7" s="160" cm="1">
        <f t="array" ref="AH7">IFERROR(SUMPRODUCT((INPUT!$H$3:$H$5000&gt;=AH$3)*(INPUT!$H$3:$H$5000&lt;=AH$3+6)*(INPUT!$J$3:$J$5000="OSCAR")*ISNUMBER(INPUT!$K$3:$K$5000)*IFERROR(VALUE(INPUT!$K$3:$K$5000),0)*IFERROR(SUMIFS(INPUT!$E$3:$E$5000,INPUT!$A$3:$A$5000,INPUT!$H$3:$H$5000,INPUT!$C$3:$C$5000,INPUT!$I$3:$I$5000),0)),"")</f>
        <v>0</v>
      </c>
      <c r="AI7" s="160" cm="1">
        <f t="array" ref="AI7">IFERROR(SUMPRODUCT((INPUT!$H$3:$H$5000&gt;=AI$3)*(INPUT!$H$3:$H$5000&lt;=AI$3+6)*(INPUT!$J$3:$J$5000="OSCAR")*ISNUMBER(INPUT!$K$3:$K$5000)*IFERROR(VALUE(INPUT!$K$3:$K$5000),0)*IFERROR(SUMIFS(INPUT!$E$3:$E$5000,INPUT!$A$3:$A$5000,INPUT!$H$3:$H$5000,INPUT!$C$3:$C$5000,INPUT!$I$3:$I$5000),0)),"")</f>
        <v>0</v>
      </c>
      <c r="AJ7" s="160" cm="1">
        <f t="array" ref="AJ7">IFERROR(SUMPRODUCT((INPUT!$H$3:$H$5000&gt;=AJ$3)*(INPUT!$H$3:$H$5000&lt;=AJ$3+6)*(INPUT!$J$3:$J$5000="OSCAR")*ISNUMBER(INPUT!$K$3:$K$5000)*IFERROR(VALUE(INPUT!$K$3:$K$5000),0)*IFERROR(SUMIFS(INPUT!$E$3:$E$5000,INPUT!$A$3:$A$5000,INPUT!$H$3:$H$5000,INPUT!$C$3:$C$5000,INPUT!$I$3:$I$5000),0)),"")</f>
        <v>0</v>
      </c>
      <c r="AK7" s="160" cm="1">
        <f t="array" ref="AK7">IFERROR(SUMPRODUCT((INPUT!$H$3:$H$5000&gt;=AK$3)*(INPUT!$H$3:$H$5000&lt;=AK$3+6)*(INPUT!$J$3:$J$5000="OSCAR")*ISNUMBER(INPUT!$K$3:$K$5000)*IFERROR(VALUE(INPUT!$K$3:$K$5000),0)*IFERROR(SUMIFS(INPUT!$E$3:$E$5000,INPUT!$A$3:$A$5000,INPUT!$H$3:$H$5000,INPUT!$C$3:$C$5000,INPUT!$I$3:$I$5000),0)),"")</f>
        <v>0</v>
      </c>
      <c r="AL7" s="160" cm="1">
        <f t="array" ref="AL7">IFERROR(SUMPRODUCT((INPUT!$H$3:$H$5000&gt;=AL$3)*(INPUT!$H$3:$H$5000&lt;=AL$3+6)*(INPUT!$J$3:$J$5000="OSCAR")*ISNUMBER(INPUT!$K$3:$K$5000)*IFERROR(VALUE(INPUT!$K$3:$K$5000),0)*IFERROR(SUMIFS(INPUT!$E$3:$E$5000,INPUT!$A$3:$A$5000,INPUT!$H$3:$H$5000,INPUT!$C$3:$C$5000,INPUT!$I$3:$I$5000),0)),"")</f>
        <v>0</v>
      </c>
      <c r="AM7" s="160" cm="1">
        <f t="array" ref="AM7">IFERROR(SUMPRODUCT((INPUT!$H$3:$H$5000&gt;=AM$3)*(INPUT!$H$3:$H$5000&lt;=AM$3+6)*(INPUT!$J$3:$J$5000="OSCAR")*ISNUMBER(INPUT!$K$3:$K$5000)*IFERROR(VALUE(INPUT!$K$3:$K$5000),0)*IFERROR(SUMIFS(INPUT!$E$3:$E$5000,INPUT!$A$3:$A$5000,INPUT!$H$3:$H$5000,INPUT!$C$3:$C$5000,INPUT!$I$3:$I$5000),0)),"")</f>
        <v>0</v>
      </c>
      <c r="AN7" s="160" cm="1">
        <f t="array" ref="AN7">IFERROR(SUMPRODUCT((INPUT!$H$3:$H$5000&gt;=AN$3)*(INPUT!$H$3:$H$5000&lt;=AN$3+6)*(INPUT!$J$3:$J$5000="OSCAR")*ISNUMBER(INPUT!$K$3:$K$5000)*IFERROR(VALUE(INPUT!$K$3:$K$5000),0)*IFERROR(SUMIFS(INPUT!$E$3:$E$5000,INPUT!$A$3:$A$5000,INPUT!$H$3:$H$5000,INPUT!$C$3:$C$5000,INPUT!$I$3:$I$5000),0)),"")</f>
        <v>0</v>
      </c>
      <c r="AO7" s="160" cm="1">
        <f t="array" ref="AO7">IFERROR(SUMPRODUCT((INPUT!$H$3:$H$5000&gt;=AO$3)*(INPUT!$H$3:$H$5000&lt;=AO$3+6)*(INPUT!$J$3:$J$5000="OSCAR")*ISNUMBER(INPUT!$K$3:$K$5000)*IFERROR(VALUE(INPUT!$K$3:$K$5000),0)*IFERROR(SUMIFS(INPUT!$E$3:$E$5000,INPUT!$A$3:$A$5000,INPUT!$H$3:$H$5000,INPUT!$C$3:$C$5000,INPUT!$I$3:$I$5000),0)),"")</f>
        <v>0</v>
      </c>
      <c r="AP7" s="160" cm="1">
        <f t="array" ref="AP7">IFERROR(SUMPRODUCT((INPUT!$H$3:$H$5000&gt;=AP$3)*(INPUT!$H$3:$H$5000&lt;=AP$3+6)*(INPUT!$J$3:$J$5000="OSCAR")*ISNUMBER(INPUT!$K$3:$K$5000)*IFERROR(VALUE(INPUT!$K$3:$K$5000),0)*IFERROR(SUMIFS(INPUT!$E$3:$E$5000,INPUT!$A$3:$A$5000,INPUT!$H$3:$H$5000,INPUT!$C$3:$C$5000,INPUT!$I$3:$I$5000),0)),"")</f>
        <v>0</v>
      </c>
      <c r="AQ7" s="160" cm="1">
        <f t="array" ref="AQ7">IFERROR(SUMPRODUCT((INPUT!$H$3:$H$5000&gt;=AQ$3)*(INPUT!$H$3:$H$5000&lt;=AQ$3+6)*(INPUT!$J$3:$J$5000="OSCAR")*ISNUMBER(INPUT!$K$3:$K$5000)*IFERROR(VALUE(INPUT!$K$3:$K$5000),0)*IFERROR(SUMIFS(INPUT!$E$3:$E$5000,INPUT!$A$3:$A$5000,INPUT!$H$3:$H$5000,INPUT!$C$3:$C$5000,INPUT!$I$3:$I$5000),0)),"")</f>
        <v>0</v>
      </c>
      <c r="AR7" s="160" cm="1">
        <f t="array" ref="AR7">IFERROR(SUMPRODUCT((INPUT!$H$3:$H$5000&gt;=AR$3)*(INPUT!$H$3:$H$5000&lt;=AR$3+6)*(INPUT!$J$3:$J$5000="OSCAR")*ISNUMBER(INPUT!$K$3:$K$5000)*IFERROR(VALUE(INPUT!$K$3:$K$5000),0)*IFERROR(SUMIFS(INPUT!$E$3:$E$5000,INPUT!$A$3:$A$5000,INPUT!$H$3:$H$5000,INPUT!$C$3:$C$5000,INPUT!$I$3:$I$5000),0)),"")</f>
        <v>0</v>
      </c>
      <c r="AS7" s="160" cm="1">
        <f t="array" ref="AS7">IFERROR(SUMPRODUCT((INPUT!$H$3:$H$5000&gt;=AS$3)*(INPUT!$H$3:$H$5000&lt;=AS$3+6)*(INPUT!$J$3:$J$5000="OSCAR")*ISNUMBER(INPUT!$K$3:$K$5000)*IFERROR(VALUE(INPUT!$K$3:$K$5000),0)*IFERROR(SUMIFS(INPUT!$E$3:$E$5000,INPUT!$A$3:$A$5000,INPUT!$H$3:$H$5000,INPUT!$C$3:$C$5000,INPUT!$I$3:$I$5000),0)),"")</f>
        <v>0</v>
      </c>
      <c r="AT7" s="160" cm="1">
        <f t="array" ref="AT7">IFERROR(SUMPRODUCT((INPUT!$H$3:$H$5000&gt;=AT$3)*(INPUT!$H$3:$H$5000&lt;=AT$3+6)*(INPUT!$J$3:$J$5000="OSCAR")*ISNUMBER(INPUT!$K$3:$K$5000)*IFERROR(VALUE(INPUT!$K$3:$K$5000),0)*IFERROR(SUMIFS(INPUT!$E$3:$E$5000,INPUT!$A$3:$A$5000,INPUT!$H$3:$H$5000,INPUT!$C$3:$C$5000,INPUT!$I$3:$I$5000),0)),"")</f>
        <v>0</v>
      </c>
      <c r="AU7" s="160" cm="1">
        <f t="array" ref="AU7">IFERROR(SUMPRODUCT((INPUT!$H$3:$H$5000&gt;=AU$3)*(INPUT!$H$3:$H$5000&lt;=AU$3+6)*(INPUT!$J$3:$J$5000="OSCAR")*ISNUMBER(INPUT!$K$3:$K$5000)*IFERROR(VALUE(INPUT!$K$3:$K$5000),0)*IFERROR(SUMIFS(INPUT!$E$3:$E$5000,INPUT!$A$3:$A$5000,INPUT!$H$3:$H$5000,INPUT!$C$3:$C$5000,INPUT!$I$3:$I$5000),0)),"")</f>
        <v>0</v>
      </c>
      <c r="AV7" s="160" cm="1">
        <f t="array" ref="AV7">IFERROR(SUMPRODUCT((INPUT!$H$3:$H$5000&gt;=AV$3)*(INPUT!$H$3:$H$5000&lt;=AV$3+6)*(INPUT!$J$3:$J$5000="OSCAR")*ISNUMBER(INPUT!$K$3:$K$5000)*IFERROR(VALUE(INPUT!$K$3:$K$5000),0)*IFERROR(SUMIFS(INPUT!$E$3:$E$5000,INPUT!$A$3:$A$5000,INPUT!$H$3:$H$5000,INPUT!$C$3:$C$5000,INPUT!$I$3:$I$5000),0)),"")</f>
        <v>0</v>
      </c>
      <c r="AW7" s="160" cm="1">
        <f t="array" ref="AW7">IFERROR(SUMPRODUCT((INPUT!$H$3:$H$5000&gt;=AW$3)*(INPUT!$H$3:$H$5000&lt;=AW$3+6)*(INPUT!$J$3:$J$5000="OSCAR")*ISNUMBER(INPUT!$K$3:$K$5000)*IFERROR(VALUE(INPUT!$K$3:$K$5000),0)*IFERROR(SUMIFS(INPUT!$E$3:$E$5000,INPUT!$A$3:$A$5000,INPUT!$H$3:$H$5000,INPUT!$C$3:$C$5000,INPUT!$I$3:$I$5000),0)),"")</f>
        <v>0</v>
      </c>
      <c r="AX7" s="160" cm="1">
        <f t="array" ref="AX7">IFERROR(SUMPRODUCT((INPUT!$H$3:$H$5000&gt;=AX$3)*(INPUT!$H$3:$H$5000&lt;=AX$3+6)*(INPUT!$J$3:$J$5000="OSCAR")*ISNUMBER(INPUT!$K$3:$K$5000)*IFERROR(VALUE(INPUT!$K$3:$K$5000),0)*IFERROR(SUMIFS(INPUT!$E$3:$E$5000,INPUT!$A$3:$A$5000,INPUT!$H$3:$H$5000,INPUT!$C$3:$C$5000,INPUT!$I$3:$I$5000),0)),"")</f>
        <v>0</v>
      </c>
      <c r="AY7" s="160" cm="1">
        <f t="array" ref="AY7">IFERROR(SUMPRODUCT((INPUT!$H$3:$H$5000&gt;=AY$3)*(INPUT!$H$3:$H$5000&lt;=AY$3+6)*(INPUT!$J$3:$J$5000="OSCAR")*ISNUMBER(INPUT!$K$3:$K$5000)*IFERROR(VALUE(INPUT!$K$3:$K$5000),0)*IFERROR(SUMIFS(INPUT!$E$3:$E$5000,INPUT!$A$3:$A$5000,INPUT!$H$3:$H$5000,INPUT!$C$3:$C$5000,INPUT!$I$3:$I$5000),0)),"")</f>
        <v>0</v>
      </c>
      <c r="AZ7" s="160" cm="1">
        <f t="array" ref="AZ7">IFERROR(SUMPRODUCT((INPUT!$H$3:$H$5000&gt;=AZ$3)*(INPUT!$H$3:$H$5000&lt;=AZ$3+6)*(INPUT!$J$3:$J$5000="OSCAR")*ISNUMBER(INPUT!$K$3:$K$5000)*IFERROR(VALUE(INPUT!$K$3:$K$5000),0)*IFERROR(SUMIFS(INPUT!$E$3:$E$5000,INPUT!$A$3:$A$5000,INPUT!$H$3:$H$5000,INPUT!$C$3:$C$5000,INPUT!$I$3:$I$5000),0)),"")</f>
        <v>0</v>
      </c>
      <c r="BA7" s="160" cm="1">
        <f t="array" ref="BA7">IFERROR(SUMPRODUCT((INPUT!$H$3:$H$5000&gt;=BA$3)*(INPUT!$H$3:$H$5000&lt;=BA$3+6)*(INPUT!$J$3:$J$5000="OSCAR")*ISNUMBER(INPUT!$K$3:$K$5000)*IFERROR(VALUE(INPUT!$K$3:$K$5000),0)*IFERROR(SUMIFS(INPUT!$E$3:$E$5000,INPUT!$A$3:$A$5000,INPUT!$H$3:$H$5000,INPUT!$C$3:$C$5000,INPUT!$I$3:$I$5000),0)),"")</f>
        <v>0</v>
      </c>
      <c r="BB7" s="161" cm="1">
        <f t="array" ref="BB7">IFERROR(SUMPRODUCT((INPUT!$H$3:$H$5000&gt;=BB$3)*(INPUT!$H$3:$H$5000&lt;=BB$3+6)*(INPUT!$J$3:$J$5000="OSCAR")*ISNUMBER(INPUT!$K$3:$K$5000)*IFERROR(VALUE(INPUT!$K$3:$K$5000),0)*IFERROR(SUMIFS(INPUT!$E$3:$E$5000,INPUT!$A$3:$A$5000,INPUT!$H$3:$H$5000,INPUT!$C$3:$C$5000,INPUT!$I$3:$I$5000),0)),"")</f>
        <v>0</v>
      </c>
    </row>
    <row r="8" spans="1:54" x14ac:dyDescent="0.2">
      <c r="A8" s="154">
        <v>4</v>
      </c>
      <c r="B8" s="81" t="s">
        <v>44</v>
      </c>
      <c r="C8" s="159" cm="1">
        <f t="array" ref="C8">IFERROR(SUMPRODUCT((INPUT!$H$3:$H$5000&gt;=C$3)*(INPUT!$H$3:$H$5000&lt;=C$3+6)*(INPUT!$J$3:$J$5000="CECILIO")*ISNUMBER(INPUT!$K$3:$K$5000)*IFERROR(VALUE(INPUT!$K$3:$K$5000),0)*IFERROR(SUMIFS(INPUT!$E$3:$E$5000,INPUT!$A$3:$A$5000,INPUT!$H$3:$H$5000,INPUT!$C$3:$C$5000,INPUT!$I$3:$I$5000),0)),"")</f>
        <v>4590</v>
      </c>
      <c r="D8" s="159" cm="1">
        <f t="array" ref="D8">IFERROR(SUMPRODUCT((INPUT!$H$3:$H$5000&gt;=D$3)*(INPUT!$H$3:$H$5000&lt;=D$3+6)*(INPUT!$J$3:$J$5000="CECILIO")*ISNUMBER(INPUT!$K$3:$K$5000)*IFERROR(VALUE(INPUT!$K$3:$K$5000),0)*IFERROR(SUMIFS(INPUT!$E$3:$E$5000,INPUT!$A$3:$A$5000,INPUT!$H$3:$H$5000,INPUT!$C$3:$C$5000,INPUT!$I$3:$I$5000),0)),"")</f>
        <v>6685</v>
      </c>
      <c r="E8" s="159" cm="1">
        <f t="array" ref="E8">IFERROR(SUMPRODUCT((INPUT!$H$3:$H$5000&gt;=E$3)*(INPUT!$H$3:$H$5000&lt;=E$3+6)*(INPUT!$J$3:$J$5000="CECILIO")*ISNUMBER(INPUT!$K$3:$K$5000)*IFERROR(VALUE(INPUT!$K$3:$K$5000),0)*IFERROR(SUMIFS(INPUT!$E$3:$E$5000,INPUT!$A$3:$A$5000,INPUT!$H$3:$H$5000,INPUT!$C$3:$C$5000,INPUT!$I$3:$I$5000),0)),"")</f>
        <v>6840</v>
      </c>
      <c r="F8" s="159" cm="1">
        <f t="array" ref="F8">IFERROR(SUMPRODUCT((INPUT!$H$3:$H$5000&gt;=F$3)*(INPUT!$H$3:$H$5000&lt;=F$3+6)*(INPUT!$J$3:$J$5000="CECILIO")*ISNUMBER(INPUT!$K$3:$K$5000)*IFERROR(VALUE(INPUT!$K$3:$K$5000),0)*IFERROR(SUMIFS(INPUT!$E$3:$E$5000,INPUT!$A$3:$A$5000,INPUT!$H$3:$H$5000,INPUT!$C$3:$C$5000,INPUT!$I$3:$I$5000),0)),"")</f>
        <v>6605</v>
      </c>
      <c r="G8" s="159" cm="1">
        <f t="array" ref="G8">IFERROR(SUMPRODUCT((INPUT!$H$3:$H$5000&gt;=G$3)*(INPUT!$H$3:$H$5000&lt;=G$3+6)*(INPUT!$J$3:$J$5000="CECILIO")*ISNUMBER(INPUT!$K$3:$K$5000)*IFERROR(VALUE(INPUT!$K$3:$K$5000),0)*IFERROR(SUMIFS(INPUT!$E$3:$E$5000,INPUT!$A$3:$A$5000,INPUT!$H$3:$H$5000,INPUT!$C$3:$C$5000,INPUT!$I$3:$I$5000),0)),"")</f>
        <v>4755</v>
      </c>
      <c r="H8" s="159" cm="1">
        <f t="array" ref="H8">IFERROR(SUMPRODUCT((INPUT!$H$3:$H$5000&gt;=H$3)*(INPUT!$H$3:$H$5000&lt;=H$3+6)*(INPUT!$J$3:$J$5000="CECILIO")*ISNUMBER(INPUT!$K$3:$K$5000)*IFERROR(VALUE(INPUT!$K$3:$K$5000),0)*IFERROR(SUMIFS(INPUT!$E$3:$E$5000,INPUT!$A$3:$A$5000,INPUT!$H$3:$H$5000,INPUT!$C$3:$C$5000,INPUT!$I$3:$I$5000),0)),"")</f>
        <v>3825</v>
      </c>
      <c r="I8" s="159" cm="1">
        <f t="array" ref="I8">IFERROR(SUMPRODUCT((INPUT!$H$3:$H$5000&gt;=I$3)*(INPUT!$H$3:$H$5000&lt;=I$3+6)*(INPUT!$J$3:$J$5000="CECILIO")*ISNUMBER(INPUT!$K$3:$K$5000)*IFERROR(VALUE(INPUT!$K$3:$K$5000),0)*IFERROR(SUMIFS(INPUT!$E$3:$E$5000,INPUT!$A$3:$A$5000,INPUT!$H$3:$H$5000,INPUT!$C$3:$C$5000,INPUT!$I$3:$I$5000),0)),"")</f>
        <v>2490</v>
      </c>
      <c r="J8" s="159" cm="1">
        <f t="array" ref="J8">IFERROR(SUMPRODUCT((INPUT!$H$3:$H$5000&gt;=J$3)*(INPUT!$H$3:$H$5000&lt;=J$3+6)*(INPUT!$J$3:$J$5000="CECILIO")*ISNUMBER(INPUT!$K$3:$K$5000)*IFERROR(VALUE(INPUT!$K$3:$K$5000),0)*IFERROR(SUMIFS(INPUT!$E$3:$E$5000,INPUT!$A$3:$A$5000,INPUT!$H$3:$H$5000,INPUT!$C$3:$C$5000,INPUT!$I$3:$I$5000),0)),"")</f>
        <v>4120</v>
      </c>
      <c r="K8" s="159" cm="1">
        <f t="array" ref="K8">IFERROR(SUMPRODUCT((INPUT!$H$3:$H$5000&gt;=K$3)*(INPUT!$H$3:$H$5000&lt;=K$3+6)*(INPUT!$J$3:$J$5000="CECILIO")*ISNUMBER(INPUT!$K$3:$K$5000)*IFERROR(VALUE(INPUT!$K$3:$K$5000),0)*IFERROR(SUMIFS(INPUT!$E$3:$E$5000,INPUT!$A$3:$A$5000,INPUT!$H$3:$H$5000,INPUT!$C$3:$C$5000,INPUT!$I$3:$I$5000),0)),"")</f>
        <v>4660</v>
      </c>
      <c r="L8" s="160" cm="1">
        <f t="array" ref="L8">IFERROR(SUMPRODUCT((INPUT!$H$3:$H$5000&gt;=L$3)*(INPUT!$H$3:$H$5000&lt;=L$3+6)*(INPUT!$J$3:$J$5000="CECILIO")*ISNUMBER(INPUT!$K$3:$K$5000)*IFERROR(VALUE(INPUT!$K$3:$K$5000),0)*IFERROR(SUMIFS(INPUT!$E$3:$E$5000,INPUT!$A$3:$A$5000,INPUT!$H$3:$H$5000,INPUT!$C$3:$C$5000,INPUT!$I$3:$I$5000),0)),"")</f>
        <v>3765</v>
      </c>
      <c r="M8" s="160" cm="1">
        <f t="array" ref="M8">IFERROR(SUMPRODUCT((INPUT!$H$3:$H$5000&gt;=M$3)*(INPUT!$H$3:$H$5000&lt;=M$3+6)*(INPUT!$J$3:$J$5000="CECILIO")*ISNUMBER(INPUT!$K$3:$K$5000)*IFERROR(VALUE(INPUT!$K$3:$K$5000),0)*IFERROR(SUMIFS(INPUT!$E$3:$E$5000,INPUT!$A$3:$A$5000,INPUT!$H$3:$H$5000,INPUT!$C$3:$C$5000,INPUT!$I$3:$I$5000),0)),"")</f>
        <v>2690</v>
      </c>
      <c r="N8" s="160" cm="1">
        <f t="array" ref="N8">IFERROR(SUMPRODUCT((INPUT!$H$3:$H$5000&gt;=N$3)*(INPUT!$H$3:$H$5000&lt;=N$3+6)*(INPUT!$J$3:$J$5000="CECILIO")*ISNUMBER(INPUT!$K$3:$K$5000)*IFERROR(VALUE(INPUT!$K$3:$K$5000),0)*IFERROR(SUMIFS(INPUT!$E$3:$E$5000,INPUT!$A$3:$A$5000,INPUT!$H$3:$H$5000,INPUT!$C$3:$C$5000,INPUT!$I$3:$I$5000),0)),"")</f>
        <v>1670</v>
      </c>
      <c r="O8" s="160" cm="1">
        <f t="array" ref="O8">IFERROR(SUMPRODUCT((INPUT!$H$3:$H$5000&gt;=O$3)*(INPUT!$H$3:$H$5000&lt;=O$3+6)*(INPUT!$J$3:$J$5000="CECILIO")*ISNUMBER(INPUT!$K$3:$K$5000)*IFERROR(VALUE(INPUT!$K$3:$K$5000),0)*IFERROR(SUMIFS(INPUT!$E$3:$E$5000,INPUT!$A$3:$A$5000,INPUT!$H$3:$H$5000,INPUT!$C$3:$C$5000,INPUT!$I$3:$I$5000),0)),"")</f>
        <v>4790</v>
      </c>
      <c r="P8" s="160" cm="1">
        <f t="array" ref="P8">IFERROR(SUMPRODUCT((INPUT!$H$3:$H$5000&gt;=P$3)*(INPUT!$H$3:$H$5000&lt;=P$3+6)*(INPUT!$J$3:$J$5000="CECILIO")*ISNUMBER(INPUT!$K$3:$K$5000)*IFERROR(VALUE(INPUT!$K$3:$K$5000),0)*IFERROR(SUMIFS(INPUT!$E$3:$E$5000,INPUT!$A$3:$A$5000,INPUT!$H$3:$H$5000,INPUT!$C$3:$C$5000,INPUT!$I$3:$I$5000),0)),"")</f>
        <v>4120</v>
      </c>
      <c r="Q8" s="160" cm="1">
        <f t="array" ref="Q8">IFERROR(SUMPRODUCT((INPUT!$H$3:$H$5000&gt;=Q$3)*(INPUT!$H$3:$H$5000&lt;=Q$3+6)*(INPUT!$J$3:$J$5000="CECILIO")*ISNUMBER(INPUT!$K$3:$K$5000)*IFERROR(VALUE(INPUT!$K$3:$K$5000),0)*IFERROR(SUMIFS(INPUT!$E$3:$E$5000,INPUT!$A$3:$A$5000,INPUT!$H$3:$H$5000,INPUT!$C$3:$C$5000,INPUT!$I$3:$I$5000),0)),"")</f>
        <v>2690</v>
      </c>
      <c r="R8" s="160" cm="1">
        <f t="array" ref="R8">IFERROR(SUMPRODUCT((INPUT!$H$3:$H$5000&gt;=R$3)*(INPUT!$H$3:$H$5000&lt;=R$3+6)*(INPUT!$J$3:$J$5000="CECILIO")*ISNUMBER(INPUT!$K$3:$K$5000)*IFERROR(VALUE(INPUT!$K$3:$K$5000),0)*IFERROR(SUMIFS(INPUT!$E$3:$E$5000,INPUT!$A$3:$A$5000,INPUT!$H$3:$H$5000,INPUT!$C$3:$C$5000,INPUT!$I$3:$I$5000),0)),"")</f>
        <v>1590</v>
      </c>
      <c r="S8" s="160" cm="1">
        <f t="array" ref="S8">IFERROR(SUMPRODUCT((INPUT!$H$3:$H$5000&gt;=S$3)*(INPUT!$H$3:$H$5000&lt;=S$3+6)*(INPUT!$J$3:$J$5000="CECILIO")*ISNUMBER(INPUT!$K$3:$K$5000)*IFERROR(VALUE(INPUT!$K$3:$K$5000),0)*IFERROR(SUMIFS(INPUT!$E$3:$E$5000,INPUT!$A$3:$A$5000,INPUT!$H$3:$H$5000,INPUT!$C$3:$C$5000,INPUT!$I$3:$I$5000),0)),"")</f>
        <v>1650</v>
      </c>
      <c r="T8" s="160" cm="1">
        <f t="array" ref="T8">IFERROR(SUMPRODUCT((INPUT!$H$3:$H$5000&gt;=T$3)*(INPUT!$H$3:$H$5000&lt;=T$3+6)*(INPUT!$J$3:$J$5000="CECILIO")*ISNUMBER(INPUT!$K$3:$K$5000)*IFERROR(VALUE(INPUT!$K$3:$K$5000),0)*IFERROR(SUMIFS(INPUT!$E$3:$E$5000,INPUT!$A$3:$A$5000,INPUT!$H$3:$H$5000,INPUT!$C$3:$C$5000,INPUT!$I$3:$I$5000),0)),"")</f>
        <v>2465</v>
      </c>
      <c r="U8" s="160" cm="1">
        <f t="array" ref="U8">IFERROR(SUMPRODUCT((INPUT!$H$3:$H$5000&gt;=U$3)*(INPUT!$H$3:$H$5000&lt;=U$3+6)*(INPUT!$J$3:$J$5000="CECILIO")*ISNUMBER(INPUT!$K$3:$K$5000)*IFERROR(VALUE(INPUT!$K$3:$K$5000),0)*IFERROR(SUMIFS(INPUT!$E$3:$E$5000,INPUT!$A$3:$A$5000,INPUT!$H$3:$H$5000,INPUT!$C$3:$C$5000,INPUT!$I$3:$I$5000),0)),"")</f>
        <v>4985</v>
      </c>
      <c r="V8" s="160" cm="1">
        <f t="array" ref="V8">IFERROR(SUMPRODUCT((INPUT!$H$3:$H$5000&gt;=V$3)*(INPUT!$H$3:$H$5000&lt;=V$3+6)*(INPUT!$J$3:$J$5000="CECILIO")*ISNUMBER(INPUT!$K$3:$K$5000)*IFERROR(VALUE(INPUT!$K$3:$K$5000),0)*IFERROR(SUMIFS(INPUT!$E$3:$E$5000,INPUT!$A$3:$A$5000,INPUT!$H$3:$H$5000,INPUT!$C$3:$C$5000,INPUT!$I$3:$I$5000),0)),"")</f>
        <v>3325</v>
      </c>
      <c r="W8" s="160" cm="1">
        <f t="array" ref="W8">IFERROR(SUMPRODUCT((INPUT!$H$3:$H$5000&gt;=W$3)*(INPUT!$H$3:$H$5000&lt;=W$3+6)*(INPUT!$J$3:$J$5000="CECILIO")*ISNUMBER(INPUT!$K$3:$K$5000)*IFERROR(VALUE(INPUT!$K$3:$K$5000),0)*IFERROR(SUMIFS(INPUT!$E$3:$E$5000,INPUT!$A$3:$A$5000,INPUT!$H$3:$H$5000,INPUT!$C$3:$C$5000,INPUT!$I$3:$I$5000),0)),"")</f>
        <v>0</v>
      </c>
      <c r="X8" s="160" cm="1">
        <f t="array" ref="X8">IFERROR(SUMPRODUCT((INPUT!$H$3:$H$5000&gt;=X$3)*(INPUT!$H$3:$H$5000&lt;=X$3+6)*(INPUT!$J$3:$J$5000="CECILIO")*ISNUMBER(INPUT!$K$3:$K$5000)*IFERROR(VALUE(INPUT!$K$3:$K$5000),0)*IFERROR(SUMIFS(INPUT!$E$3:$E$5000,INPUT!$A$3:$A$5000,INPUT!$H$3:$H$5000,INPUT!$C$3:$C$5000,INPUT!$I$3:$I$5000),0)),"")</f>
        <v>1375</v>
      </c>
      <c r="Y8" s="160" cm="1">
        <f t="array" ref="Y8">IFERROR(SUMPRODUCT((INPUT!$H$3:$H$5000&gt;=Y$3)*(INPUT!$H$3:$H$5000&lt;=Y$3+6)*(INPUT!$J$3:$J$5000="CECILIO")*ISNUMBER(INPUT!$K$3:$K$5000)*IFERROR(VALUE(INPUT!$K$3:$K$5000),0)*IFERROR(SUMIFS(INPUT!$E$3:$E$5000,INPUT!$A$3:$A$5000,INPUT!$H$3:$H$5000,INPUT!$C$3:$C$5000,INPUT!$I$3:$I$5000),0)),"")</f>
        <v>3685</v>
      </c>
      <c r="Z8" s="160" cm="1">
        <f t="array" ref="Z8">IFERROR(SUMPRODUCT((INPUT!$H$3:$H$5000&gt;=Z$3)*(INPUT!$H$3:$H$5000&lt;=Z$3+6)*(INPUT!$J$3:$J$5000="CECILIO")*ISNUMBER(INPUT!$K$3:$K$5000)*IFERROR(VALUE(INPUT!$K$3:$K$5000),0)*IFERROR(SUMIFS(INPUT!$E$3:$E$5000,INPUT!$A$3:$A$5000,INPUT!$H$3:$H$5000,INPUT!$C$3:$C$5000,INPUT!$I$3:$I$5000),0)),"")</f>
        <v>3375</v>
      </c>
      <c r="AA8" s="160" cm="1">
        <f t="array" ref="AA8">IFERROR(SUMPRODUCT((INPUT!$H$3:$H$5000&gt;=AA$3)*(INPUT!$H$3:$H$5000&lt;=AA$3+6)*(INPUT!$J$3:$J$5000="CECILIO")*ISNUMBER(INPUT!$K$3:$K$5000)*IFERROR(VALUE(INPUT!$K$3:$K$5000),0)*IFERROR(SUMIFS(INPUT!$E$3:$E$5000,INPUT!$A$3:$A$5000,INPUT!$H$3:$H$5000,INPUT!$C$3:$C$5000,INPUT!$I$3:$I$5000),0)),"")</f>
        <v>0</v>
      </c>
      <c r="AB8" s="160" cm="1">
        <f t="array" ref="AB8">IFERROR(SUMPRODUCT((INPUT!$H$3:$H$5000&gt;=AB$3)*(INPUT!$H$3:$H$5000&lt;=AB$3+6)*(INPUT!$J$3:$J$5000="CECILIO")*ISNUMBER(INPUT!$K$3:$K$5000)*IFERROR(VALUE(INPUT!$K$3:$K$5000),0)*IFERROR(SUMIFS(INPUT!$E$3:$E$5000,INPUT!$A$3:$A$5000,INPUT!$H$3:$H$5000,INPUT!$C$3:$C$5000,INPUT!$I$3:$I$5000),0)),"")</f>
        <v>0</v>
      </c>
      <c r="AC8" s="160" cm="1">
        <f t="array" ref="AC8">IFERROR(SUMPRODUCT((INPUT!$H$3:$H$5000&gt;=AC$3)*(INPUT!$H$3:$H$5000&lt;=AC$3+6)*(INPUT!$J$3:$J$5000="CECILIO")*ISNUMBER(INPUT!$K$3:$K$5000)*IFERROR(VALUE(INPUT!$K$3:$K$5000),0)*IFERROR(SUMIFS(INPUT!$E$3:$E$5000,INPUT!$A$3:$A$5000,INPUT!$H$3:$H$5000,INPUT!$C$3:$C$5000,INPUT!$I$3:$I$5000),0)),"")</f>
        <v>0</v>
      </c>
      <c r="AD8" s="160" cm="1">
        <f t="array" ref="AD8">IFERROR(SUMPRODUCT((INPUT!$H$3:$H$5000&gt;=AD$3)*(INPUT!$H$3:$H$5000&lt;=AD$3+6)*(INPUT!$J$3:$J$5000="CECILIO")*ISNUMBER(INPUT!$K$3:$K$5000)*IFERROR(VALUE(INPUT!$K$3:$K$5000),0)*IFERROR(SUMIFS(INPUT!$E$3:$E$5000,INPUT!$A$3:$A$5000,INPUT!$H$3:$H$5000,INPUT!$C$3:$C$5000,INPUT!$I$3:$I$5000),0)),"")</f>
        <v>0</v>
      </c>
      <c r="AE8" s="160" cm="1">
        <f t="array" ref="AE8">IFERROR(SUMPRODUCT((INPUT!$H$3:$H$5000&gt;=AE$3)*(INPUT!$H$3:$H$5000&lt;=AE$3+6)*(INPUT!$J$3:$J$5000="CECILIO")*ISNUMBER(INPUT!$K$3:$K$5000)*IFERROR(VALUE(INPUT!$K$3:$K$5000),0)*IFERROR(SUMIFS(INPUT!$E$3:$E$5000,INPUT!$A$3:$A$5000,INPUT!$H$3:$H$5000,INPUT!$C$3:$C$5000,INPUT!$I$3:$I$5000),0)),"")</f>
        <v>3015</v>
      </c>
      <c r="AF8" s="160" cm="1">
        <f t="array" ref="AF8">IFERROR(SUMPRODUCT((INPUT!$H$3:$H$5000&gt;=AF$3)*(INPUT!$H$3:$H$5000&lt;=AF$3+6)*(INPUT!$J$3:$J$5000="CECILIO")*ISNUMBER(INPUT!$K$3:$K$5000)*IFERROR(VALUE(INPUT!$K$3:$K$5000),0)*IFERROR(SUMIFS(INPUT!$E$3:$E$5000,INPUT!$A$3:$A$5000,INPUT!$H$3:$H$5000,INPUT!$C$3:$C$5000,INPUT!$I$3:$I$5000),0)),"")</f>
        <v>1840</v>
      </c>
      <c r="AG8" s="160" cm="1">
        <f t="array" ref="AG8">IFERROR(SUMPRODUCT((INPUT!$H$3:$H$5000&gt;=AG$3)*(INPUT!$H$3:$H$5000&lt;=AG$3+6)*(INPUT!$J$3:$J$5000="CECILIO")*ISNUMBER(INPUT!$K$3:$K$5000)*IFERROR(VALUE(INPUT!$K$3:$K$5000),0)*IFERROR(SUMIFS(INPUT!$E$3:$E$5000,INPUT!$A$3:$A$5000,INPUT!$H$3:$H$5000,INPUT!$C$3:$C$5000,INPUT!$I$3:$I$5000),0)),"")</f>
        <v>4310</v>
      </c>
      <c r="AH8" s="160" cm="1">
        <f t="array" ref="AH8">IFERROR(SUMPRODUCT((INPUT!$H$3:$H$5000&gt;=AH$3)*(INPUT!$H$3:$H$5000&lt;=AH$3+6)*(INPUT!$J$3:$J$5000="CECILIO")*ISNUMBER(INPUT!$K$3:$K$5000)*IFERROR(VALUE(INPUT!$K$3:$K$5000),0)*IFERROR(SUMIFS(INPUT!$E$3:$E$5000,INPUT!$A$3:$A$5000,INPUT!$H$3:$H$5000,INPUT!$C$3:$C$5000,INPUT!$I$3:$I$5000),0)),"")</f>
        <v>2890</v>
      </c>
      <c r="AI8" s="160" cm="1">
        <f t="array" ref="AI8">IFERROR(SUMPRODUCT((INPUT!$H$3:$H$5000&gt;=AI$3)*(INPUT!$H$3:$H$5000&lt;=AI$3+6)*(INPUT!$J$3:$J$5000="CECILIO")*ISNUMBER(INPUT!$K$3:$K$5000)*IFERROR(VALUE(INPUT!$K$3:$K$5000),0)*IFERROR(SUMIFS(INPUT!$E$3:$E$5000,INPUT!$A$3:$A$5000,INPUT!$H$3:$H$5000,INPUT!$C$3:$C$5000,INPUT!$I$3:$I$5000),0)),"")</f>
        <v>3120</v>
      </c>
      <c r="AJ8" s="160" cm="1">
        <f t="array" ref="AJ8">IFERROR(SUMPRODUCT((INPUT!$H$3:$H$5000&gt;=AJ$3)*(INPUT!$H$3:$H$5000&lt;=AJ$3+6)*(INPUT!$J$3:$J$5000="CECILIO")*ISNUMBER(INPUT!$K$3:$K$5000)*IFERROR(VALUE(INPUT!$K$3:$K$5000),0)*IFERROR(SUMIFS(INPUT!$E$3:$E$5000,INPUT!$A$3:$A$5000,INPUT!$H$3:$H$5000,INPUT!$C$3:$C$5000,INPUT!$I$3:$I$5000),0)),"")</f>
        <v>2895</v>
      </c>
      <c r="AK8" s="160" cm="1">
        <f t="array" ref="AK8">IFERROR(SUMPRODUCT((INPUT!$H$3:$H$5000&gt;=AK$3)*(INPUT!$H$3:$H$5000&lt;=AK$3+6)*(INPUT!$J$3:$J$5000="CECILIO")*ISNUMBER(INPUT!$K$3:$K$5000)*IFERROR(VALUE(INPUT!$K$3:$K$5000),0)*IFERROR(SUMIFS(INPUT!$E$3:$E$5000,INPUT!$A$3:$A$5000,INPUT!$H$3:$H$5000,INPUT!$C$3:$C$5000,INPUT!$I$3:$I$5000),0)),"")</f>
        <v>2800</v>
      </c>
      <c r="AL8" s="160" cm="1">
        <f t="array" ref="AL8">IFERROR(SUMPRODUCT((INPUT!$H$3:$H$5000&gt;=AL$3)*(INPUT!$H$3:$H$5000&lt;=AL$3+6)*(INPUT!$J$3:$J$5000="CECILIO")*ISNUMBER(INPUT!$K$3:$K$5000)*IFERROR(VALUE(INPUT!$K$3:$K$5000),0)*IFERROR(SUMIFS(INPUT!$E$3:$E$5000,INPUT!$A$3:$A$5000,INPUT!$H$3:$H$5000,INPUT!$C$3:$C$5000,INPUT!$I$3:$I$5000),0)),"")</f>
        <v>4800</v>
      </c>
      <c r="AM8" s="160" cm="1">
        <f t="array" ref="AM8">IFERROR(SUMPRODUCT((INPUT!$H$3:$H$5000&gt;=AM$3)*(INPUT!$H$3:$H$5000&lt;=AM$3+6)*(INPUT!$J$3:$J$5000="CECILIO")*ISNUMBER(INPUT!$K$3:$K$5000)*IFERROR(VALUE(INPUT!$K$3:$K$5000),0)*IFERROR(SUMIFS(INPUT!$E$3:$E$5000,INPUT!$A$3:$A$5000,INPUT!$H$3:$H$5000,INPUT!$C$3:$C$5000,INPUT!$I$3:$I$5000),0)),"")</f>
        <v>0</v>
      </c>
      <c r="AN8" s="160" cm="1">
        <f t="array" ref="AN8">IFERROR(SUMPRODUCT((INPUT!$H$3:$H$5000&gt;=AN$3)*(INPUT!$H$3:$H$5000&lt;=AN$3+6)*(INPUT!$J$3:$J$5000="CECILIO")*ISNUMBER(INPUT!$K$3:$K$5000)*IFERROR(VALUE(INPUT!$K$3:$K$5000),0)*IFERROR(SUMIFS(INPUT!$E$3:$E$5000,INPUT!$A$3:$A$5000,INPUT!$H$3:$H$5000,INPUT!$C$3:$C$5000,INPUT!$I$3:$I$5000),0)),"")</f>
        <v>4215</v>
      </c>
      <c r="AO8" s="160" cm="1">
        <f t="array" ref="AO8">IFERROR(SUMPRODUCT((INPUT!$H$3:$H$5000&gt;=AO$3)*(INPUT!$H$3:$H$5000&lt;=AO$3+6)*(INPUT!$J$3:$J$5000="CECILIO")*ISNUMBER(INPUT!$K$3:$K$5000)*IFERROR(VALUE(INPUT!$K$3:$K$5000),0)*IFERROR(SUMIFS(INPUT!$E$3:$E$5000,INPUT!$A$3:$A$5000,INPUT!$H$3:$H$5000,INPUT!$C$3:$C$5000,INPUT!$I$3:$I$5000),0)),"")</f>
        <v>0</v>
      </c>
      <c r="AP8" s="160" cm="1">
        <f t="array" ref="AP8">IFERROR(SUMPRODUCT((INPUT!$H$3:$H$5000&gt;=AP$3)*(INPUT!$H$3:$H$5000&lt;=AP$3+6)*(INPUT!$J$3:$J$5000="CECILIO")*ISNUMBER(INPUT!$K$3:$K$5000)*IFERROR(VALUE(INPUT!$K$3:$K$5000),0)*IFERROR(SUMIFS(INPUT!$E$3:$E$5000,INPUT!$A$3:$A$5000,INPUT!$H$3:$H$5000,INPUT!$C$3:$C$5000,INPUT!$I$3:$I$5000),0)),"")</f>
        <v>0</v>
      </c>
      <c r="AQ8" s="160" cm="1">
        <f t="array" ref="AQ8">IFERROR(SUMPRODUCT((INPUT!$H$3:$H$5000&gt;=AQ$3)*(INPUT!$H$3:$H$5000&lt;=AQ$3+6)*(INPUT!$J$3:$J$5000="CECILIO")*ISNUMBER(INPUT!$K$3:$K$5000)*IFERROR(VALUE(INPUT!$K$3:$K$5000),0)*IFERROR(SUMIFS(INPUT!$E$3:$E$5000,INPUT!$A$3:$A$5000,INPUT!$H$3:$H$5000,INPUT!$C$3:$C$5000,INPUT!$I$3:$I$5000),0)),"")</f>
        <v>0</v>
      </c>
      <c r="AR8" s="160" cm="1">
        <f t="array" ref="AR8">IFERROR(SUMPRODUCT((INPUT!$H$3:$H$5000&gt;=AR$3)*(INPUT!$H$3:$H$5000&lt;=AR$3+6)*(INPUT!$J$3:$J$5000="CECILIO")*ISNUMBER(INPUT!$K$3:$K$5000)*IFERROR(VALUE(INPUT!$K$3:$K$5000),0)*IFERROR(SUMIFS(INPUT!$E$3:$E$5000,INPUT!$A$3:$A$5000,INPUT!$H$3:$H$5000,INPUT!$C$3:$C$5000,INPUT!$I$3:$I$5000),0)),"")</f>
        <v>0</v>
      </c>
      <c r="AS8" s="160" cm="1">
        <f t="array" ref="AS8">IFERROR(SUMPRODUCT((INPUT!$H$3:$H$5000&gt;=AS$3)*(INPUT!$H$3:$H$5000&lt;=AS$3+6)*(INPUT!$J$3:$J$5000="CECILIO")*ISNUMBER(INPUT!$K$3:$K$5000)*IFERROR(VALUE(INPUT!$K$3:$K$5000),0)*IFERROR(SUMIFS(INPUT!$E$3:$E$5000,INPUT!$A$3:$A$5000,INPUT!$H$3:$H$5000,INPUT!$C$3:$C$5000,INPUT!$I$3:$I$5000),0)),"")</f>
        <v>0</v>
      </c>
      <c r="AT8" s="160" cm="1">
        <f t="array" ref="AT8">IFERROR(SUMPRODUCT((INPUT!$H$3:$H$5000&gt;=AT$3)*(INPUT!$H$3:$H$5000&lt;=AT$3+6)*(INPUT!$J$3:$J$5000="CECILIO")*ISNUMBER(INPUT!$K$3:$K$5000)*IFERROR(VALUE(INPUT!$K$3:$K$5000),0)*IFERROR(SUMIFS(INPUT!$E$3:$E$5000,INPUT!$A$3:$A$5000,INPUT!$H$3:$H$5000,INPUT!$C$3:$C$5000,INPUT!$I$3:$I$5000),0)),"")</f>
        <v>0</v>
      </c>
      <c r="AU8" s="160" cm="1">
        <f t="array" ref="AU8">IFERROR(SUMPRODUCT((INPUT!$H$3:$H$5000&gt;=AU$3)*(INPUT!$H$3:$H$5000&lt;=AU$3+6)*(INPUT!$J$3:$J$5000="CECILIO")*ISNUMBER(INPUT!$K$3:$K$5000)*IFERROR(VALUE(INPUT!$K$3:$K$5000),0)*IFERROR(SUMIFS(INPUT!$E$3:$E$5000,INPUT!$A$3:$A$5000,INPUT!$H$3:$H$5000,INPUT!$C$3:$C$5000,INPUT!$I$3:$I$5000),0)),"")</f>
        <v>0</v>
      </c>
      <c r="AV8" s="160" cm="1">
        <f t="array" ref="AV8">IFERROR(SUMPRODUCT((INPUT!$H$3:$H$5000&gt;=AV$3)*(INPUT!$H$3:$H$5000&lt;=AV$3+6)*(INPUT!$J$3:$J$5000="CECILIO")*ISNUMBER(INPUT!$K$3:$K$5000)*IFERROR(VALUE(INPUT!$K$3:$K$5000),0)*IFERROR(SUMIFS(INPUT!$E$3:$E$5000,INPUT!$A$3:$A$5000,INPUT!$H$3:$H$5000,INPUT!$C$3:$C$5000,INPUT!$I$3:$I$5000),0)),"")</f>
        <v>0</v>
      </c>
      <c r="AW8" s="160" cm="1">
        <f t="array" ref="AW8">IFERROR(SUMPRODUCT((INPUT!$H$3:$H$5000&gt;=AW$3)*(INPUT!$H$3:$H$5000&lt;=AW$3+6)*(INPUT!$J$3:$J$5000="CECILIO")*ISNUMBER(INPUT!$K$3:$K$5000)*IFERROR(VALUE(INPUT!$K$3:$K$5000),0)*IFERROR(SUMIFS(INPUT!$E$3:$E$5000,INPUT!$A$3:$A$5000,INPUT!$H$3:$H$5000,INPUT!$C$3:$C$5000,INPUT!$I$3:$I$5000),0)),"")</f>
        <v>0</v>
      </c>
      <c r="AX8" s="160" cm="1">
        <f t="array" ref="AX8">IFERROR(SUMPRODUCT((INPUT!$H$3:$H$5000&gt;=AX$3)*(INPUT!$H$3:$H$5000&lt;=AX$3+6)*(INPUT!$J$3:$J$5000="CECILIO")*ISNUMBER(INPUT!$K$3:$K$5000)*IFERROR(VALUE(INPUT!$K$3:$K$5000),0)*IFERROR(SUMIFS(INPUT!$E$3:$E$5000,INPUT!$A$3:$A$5000,INPUT!$H$3:$H$5000,INPUT!$C$3:$C$5000,INPUT!$I$3:$I$5000),0)),"")</f>
        <v>0</v>
      </c>
      <c r="AY8" s="160" cm="1">
        <f t="array" ref="AY8">IFERROR(SUMPRODUCT((INPUT!$H$3:$H$5000&gt;=AY$3)*(INPUT!$H$3:$H$5000&lt;=AY$3+6)*(INPUT!$J$3:$J$5000="CECILIO")*ISNUMBER(INPUT!$K$3:$K$5000)*IFERROR(VALUE(INPUT!$K$3:$K$5000),0)*IFERROR(SUMIFS(INPUT!$E$3:$E$5000,INPUT!$A$3:$A$5000,INPUT!$H$3:$H$5000,INPUT!$C$3:$C$5000,INPUT!$I$3:$I$5000),0)),"")</f>
        <v>0</v>
      </c>
      <c r="AZ8" s="160" cm="1">
        <f t="array" ref="AZ8">IFERROR(SUMPRODUCT((INPUT!$H$3:$H$5000&gt;=AZ$3)*(INPUT!$H$3:$H$5000&lt;=AZ$3+6)*(INPUT!$J$3:$J$5000="CECILIO")*ISNUMBER(INPUT!$K$3:$K$5000)*IFERROR(VALUE(INPUT!$K$3:$K$5000),0)*IFERROR(SUMIFS(INPUT!$E$3:$E$5000,INPUT!$A$3:$A$5000,INPUT!$H$3:$H$5000,INPUT!$C$3:$C$5000,INPUT!$I$3:$I$5000),0)),"")</f>
        <v>0</v>
      </c>
      <c r="BA8" s="160" cm="1">
        <f t="array" ref="BA8">IFERROR(SUMPRODUCT((INPUT!$H$3:$H$5000&gt;=BA$3)*(INPUT!$H$3:$H$5000&lt;=BA$3+6)*(INPUT!$J$3:$J$5000="CECILIO")*ISNUMBER(INPUT!$K$3:$K$5000)*IFERROR(VALUE(INPUT!$K$3:$K$5000),0)*IFERROR(SUMIFS(INPUT!$E$3:$E$5000,INPUT!$A$3:$A$5000,INPUT!$H$3:$H$5000,INPUT!$C$3:$C$5000,INPUT!$I$3:$I$5000),0)),"")</f>
        <v>0</v>
      </c>
      <c r="BB8" s="161" cm="1">
        <f t="array" ref="BB8">IFERROR(SUMPRODUCT((INPUT!$H$3:$H$5000&gt;=BB$3)*(INPUT!$H$3:$H$5000&lt;=BB$3+6)*(INPUT!$J$3:$J$5000="CECILIO")*ISNUMBER(INPUT!$K$3:$K$5000)*IFERROR(VALUE(INPUT!$K$3:$K$5000),0)*IFERROR(SUMIFS(INPUT!$E$3:$E$5000,INPUT!$A$3:$A$5000,INPUT!$H$3:$H$5000,INPUT!$C$3:$C$5000,INPUT!$I$3:$I$5000),0)),"")</f>
        <v>0</v>
      </c>
    </row>
    <row r="9" spans="1:54" x14ac:dyDescent="0.2">
      <c r="A9" s="56">
        <v>5</v>
      </c>
      <c r="B9" s="9" t="s">
        <v>45</v>
      </c>
      <c r="C9" s="159" cm="1">
        <f t="array" ref="C9">IFERROR(SUMPRODUCT((INPUT!$H$3:$H$5000&gt;=C$3)*(INPUT!$H$3:$H$5000&lt;=C$3+6)*(INPUT!$J$3:$J$5000="CHAGUINHA")*ISNUMBER(INPUT!$K$3:$K$5000)*IFERROR(VALUE(INPUT!$K$3:$K$5000),0)*IFERROR(SUMIFS(INPUT!$E$3:$E$5000,INPUT!$A$3:$A$5000,INPUT!$H$3:$H$5000,INPUT!$C$3:$C$5000,INPUT!$I$3:$I$5000),0)),"")</f>
        <v>4440</v>
      </c>
      <c r="D9" s="159" cm="1">
        <f t="array" ref="D9">IFERROR(SUMPRODUCT((INPUT!$H$3:$H$5000&gt;=D$3)*(INPUT!$H$3:$H$5000&lt;=D$3+6)*(INPUT!$J$3:$J$5000="CHAGUINHA")*ISNUMBER(INPUT!$K$3:$K$5000)*IFERROR(VALUE(INPUT!$K$3:$K$5000),0)*IFERROR(SUMIFS(INPUT!$E$3:$E$5000,INPUT!$A$3:$A$5000,INPUT!$H$3:$H$5000,INPUT!$C$3:$C$5000,INPUT!$I$3:$I$5000),0)),"")</f>
        <v>6370</v>
      </c>
      <c r="E9" s="159" cm="1">
        <f t="array" ref="E9">IFERROR(SUMPRODUCT((INPUT!$H$3:$H$5000&gt;=E$3)*(INPUT!$H$3:$H$5000&lt;=E$3+6)*(INPUT!$J$3:$J$5000="CHAGUINHA")*ISNUMBER(INPUT!$K$3:$K$5000)*IFERROR(VALUE(INPUT!$K$3:$K$5000),0)*IFERROR(SUMIFS(INPUT!$E$3:$E$5000,INPUT!$A$3:$A$5000,INPUT!$H$3:$H$5000,INPUT!$C$3:$C$5000,INPUT!$I$3:$I$5000),0)),"")</f>
        <v>1860</v>
      </c>
      <c r="F9" s="159" cm="1">
        <f t="array" ref="F9">IFERROR(SUMPRODUCT((INPUT!$H$3:$H$5000&gt;=F$3)*(INPUT!$H$3:$H$5000&lt;=F$3+6)*(INPUT!$J$3:$J$5000="CHAGUINHA")*ISNUMBER(INPUT!$K$3:$K$5000)*IFERROR(VALUE(INPUT!$K$3:$K$5000),0)*IFERROR(SUMIFS(INPUT!$E$3:$E$5000,INPUT!$A$3:$A$5000,INPUT!$H$3:$H$5000,INPUT!$C$3:$C$5000,INPUT!$I$3:$I$5000),0)),"")</f>
        <v>6660</v>
      </c>
      <c r="G9" s="159" cm="1">
        <f t="array" ref="G9">IFERROR(SUMPRODUCT((INPUT!$H$3:$H$5000&gt;=G$3)*(INPUT!$H$3:$H$5000&lt;=G$3+6)*(INPUT!$J$3:$J$5000="CHAGUINHA")*ISNUMBER(INPUT!$K$3:$K$5000)*IFERROR(VALUE(INPUT!$K$3:$K$5000),0)*IFERROR(SUMIFS(INPUT!$E$3:$E$5000,INPUT!$A$3:$A$5000,INPUT!$H$3:$H$5000,INPUT!$C$3:$C$5000,INPUT!$I$3:$I$5000),0)),"")</f>
        <v>5160</v>
      </c>
      <c r="H9" s="159" cm="1">
        <f t="array" ref="H9">IFERROR(SUMPRODUCT((INPUT!$H$3:$H$5000&gt;=H$3)*(INPUT!$H$3:$H$5000&lt;=H$3+6)*(INPUT!$J$3:$J$5000="CHAGUINHA")*ISNUMBER(INPUT!$K$3:$K$5000)*IFERROR(VALUE(INPUT!$K$3:$K$5000),0)*IFERROR(SUMIFS(INPUT!$E$3:$E$5000,INPUT!$A$3:$A$5000,INPUT!$H$3:$H$5000,INPUT!$C$3:$C$5000,INPUT!$I$3:$I$5000),0)),"")</f>
        <v>4130</v>
      </c>
      <c r="I9" s="159" cm="1">
        <f t="array" ref="I9">IFERROR(SUMPRODUCT((INPUT!$H$3:$H$5000&gt;=I$3)*(INPUT!$H$3:$H$5000&lt;=I$3+6)*(INPUT!$J$3:$J$5000="CHAGUINHA")*ISNUMBER(INPUT!$K$3:$K$5000)*IFERROR(VALUE(INPUT!$K$3:$K$5000),0)*IFERROR(SUMIFS(INPUT!$E$3:$E$5000,INPUT!$A$3:$A$5000,INPUT!$H$3:$H$5000,INPUT!$C$3:$C$5000,INPUT!$I$3:$I$5000),0)),"")</f>
        <v>3015</v>
      </c>
      <c r="J9" s="159" cm="1">
        <f t="array" ref="J9">IFERROR(SUMPRODUCT((INPUT!$H$3:$H$5000&gt;=J$3)*(INPUT!$H$3:$H$5000&lt;=J$3+6)*(INPUT!$J$3:$J$5000="CHAGUINHA")*ISNUMBER(INPUT!$K$3:$K$5000)*IFERROR(VALUE(INPUT!$K$3:$K$5000),0)*IFERROR(SUMIFS(INPUT!$E$3:$E$5000,INPUT!$A$3:$A$5000,INPUT!$H$3:$H$5000,INPUT!$C$3:$C$5000,INPUT!$I$3:$I$5000),0)),"")</f>
        <v>3970</v>
      </c>
      <c r="K9" s="159" cm="1">
        <f t="array" ref="K9">IFERROR(SUMPRODUCT((INPUT!$H$3:$H$5000&gt;=K$3)*(INPUT!$H$3:$H$5000&lt;=K$3+6)*(INPUT!$J$3:$J$5000="CHAGUINHA")*ISNUMBER(INPUT!$K$3:$K$5000)*IFERROR(VALUE(INPUT!$K$3:$K$5000),0)*IFERROR(SUMIFS(INPUT!$E$3:$E$5000,INPUT!$A$3:$A$5000,INPUT!$H$3:$H$5000,INPUT!$C$3:$C$5000,INPUT!$I$3:$I$5000),0)),"")</f>
        <v>4905</v>
      </c>
      <c r="L9" s="160" cm="1">
        <f t="array" ref="L9">IFERROR(SUMPRODUCT((INPUT!$H$3:$H$5000&gt;=L$3)*(INPUT!$H$3:$H$5000&lt;=L$3+6)*(INPUT!$J$3:$J$5000="CHAGUINHA")*ISNUMBER(INPUT!$K$3:$K$5000)*IFERROR(VALUE(INPUT!$K$3:$K$5000),0)*IFERROR(SUMIFS(INPUT!$E$3:$E$5000,INPUT!$A$3:$A$5000,INPUT!$H$3:$H$5000,INPUT!$C$3:$C$5000,INPUT!$I$3:$I$5000),0)),"")</f>
        <v>3590</v>
      </c>
      <c r="M9" s="160" cm="1">
        <f t="array" ref="M9">IFERROR(SUMPRODUCT((INPUT!$H$3:$H$5000&gt;=M$3)*(INPUT!$H$3:$H$5000&lt;=M$3+6)*(INPUT!$J$3:$J$5000="CHAGUINHA")*ISNUMBER(INPUT!$K$3:$K$5000)*IFERROR(VALUE(INPUT!$K$3:$K$5000),0)*IFERROR(SUMIFS(INPUT!$E$3:$E$5000,INPUT!$A$3:$A$5000,INPUT!$H$3:$H$5000,INPUT!$C$3:$C$5000,INPUT!$I$3:$I$5000),0)),"")</f>
        <v>2580</v>
      </c>
      <c r="N9" s="160" cm="1">
        <f t="array" ref="N9">IFERROR(SUMPRODUCT((INPUT!$H$3:$H$5000&gt;=N$3)*(INPUT!$H$3:$H$5000&lt;=N$3+6)*(INPUT!$J$3:$J$5000="CHAGUINHA")*ISNUMBER(INPUT!$K$3:$K$5000)*IFERROR(VALUE(INPUT!$K$3:$K$5000),0)*IFERROR(SUMIFS(INPUT!$E$3:$E$5000,INPUT!$A$3:$A$5000,INPUT!$H$3:$H$5000,INPUT!$C$3:$C$5000,INPUT!$I$3:$I$5000),0)),"")</f>
        <v>1440</v>
      </c>
      <c r="O9" s="160" cm="1">
        <f t="array" ref="O9">IFERROR(SUMPRODUCT((INPUT!$H$3:$H$5000&gt;=O$3)*(INPUT!$H$3:$H$5000&lt;=O$3+6)*(INPUT!$J$3:$J$5000="CHAGUINHA")*ISNUMBER(INPUT!$K$3:$K$5000)*IFERROR(VALUE(INPUT!$K$3:$K$5000),0)*IFERROR(SUMIFS(INPUT!$E$3:$E$5000,INPUT!$A$3:$A$5000,INPUT!$H$3:$H$5000,INPUT!$C$3:$C$5000,INPUT!$I$3:$I$5000),0)),"")</f>
        <v>4750</v>
      </c>
      <c r="P9" s="160" cm="1">
        <f t="array" ref="P9">IFERROR(SUMPRODUCT((INPUT!$H$3:$H$5000&gt;=P$3)*(INPUT!$H$3:$H$5000&lt;=P$3+6)*(INPUT!$J$3:$J$5000="CHAGUINHA")*ISNUMBER(INPUT!$K$3:$K$5000)*IFERROR(VALUE(INPUT!$K$3:$K$5000),0)*IFERROR(SUMIFS(INPUT!$E$3:$E$5000,INPUT!$A$3:$A$5000,INPUT!$H$3:$H$5000,INPUT!$C$3:$C$5000,INPUT!$I$3:$I$5000),0)),"")</f>
        <v>4090</v>
      </c>
      <c r="Q9" s="160" cm="1">
        <f t="array" ref="Q9">IFERROR(SUMPRODUCT((INPUT!$H$3:$H$5000&gt;=Q$3)*(INPUT!$H$3:$H$5000&lt;=Q$3+6)*(INPUT!$J$3:$J$5000="CHAGUINHA")*ISNUMBER(INPUT!$K$3:$K$5000)*IFERROR(VALUE(INPUT!$K$3:$K$5000),0)*IFERROR(SUMIFS(INPUT!$E$3:$E$5000,INPUT!$A$3:$A$5000,INPUT!$H$3:$H$5000,INPUT!$C$3:$C$5000,INPUT!$I$3:$I$5000),0)),"")</f>
        <v>2210</v>
      </c>
      <c r="R9" s="160" cm="1">
        <f t="array" ref="R9">IFERROR(SUMPRODUCT((INPUT!$H$3:$H$5000&gt;=R$3)*(INPUT!$H$3:$H$5000&lt;=R$3+6)*(INPUT!$J$3:$J$5000="CHAGUINHA")*ISNUMBER(INPUT!$K$3:$K$5000)*IFERROR(VALUE(INPUT!$K$3:$K$5000),0)*IFERROR(SUMIFS(INPUT!$E$3:$E$5000,INPUT!$A$3:$A$5000,INPUT!$H$3:$H$5000,INPUT!$C$3:$C$5000,INPUT!$I$3:$I$5000),0)),"")</f>
        <v>4500</v>
      </c>
      <c r="S9" s="160" cm="1">
        <f t="array" ref="S9">IFERROR(SUMPRODUCT((INPUT!$H$3:$H$5000&gt;=S$3)*(INPUT!$H$3:$H$5000&lt;=S$3+6)*(INPUT!$J$3:$J$5000="CHAGUINHA")*ISNUMBER(INPUT!$K$3:$K$5000)*IFERROR(VALUE(INPUT!$K$3:$K$5000),0)*IFERROR(SUMIFS(INPUT!$E$3:$E$5000,INPUT!$A$3:$A$5000,INPUT!$H$3:$H$5000,INPUT!$C$3:$C$5000,INPUT!$I$3:$I$5000),0)),"")</f>
        <v>2190</v>
      </c>
      <c r="T9" s="160" cm="1">
        <f t="array" ref="T9">IFERROR(SUMPRODUCT((INPUT!$H$3:$H$5000&gt;=T$3)*(INPUT!$H$3:$H$5000&lt;=T$3+6)*(INPUT!$J$3:$J$5000="CHAGUINHA")*ISNUMBER(INPUT!$K$3:$K$5000)*IFERROR(VALUE(INPUT!$K$3:$K$5000),0)*IFERROR(SUMIFS(INPUT!$E$3:$E$5000,INPUT!$A$3:$A$5000,INPUT!$H$3:$H$5000,INPUT!$C$3:$C$5000,INPUT!$I$3:$I$5000),0)),"")</f>
        <v>2135</v>
      </c>
      <c r="U9" s="160" cm="1">
        <f t="array" ref="U9">IFERROR(SUMPRODUCT((INPUT!$H$3:$H$5000&gt;=U$3)*(INPUT!$H$3:$H$5000&lt;=U$3+6)*(INPUT!$J$3:$J$5000="CHAGUINHA")*ISNUMBER(INPUT!$K$3:$K$5000)*IFERROR(VALUE(INPUT!$K$3:$K$5000),0)*IFERROR(SUMIFS(INPUT!$E$3:$E$5000,INPUT!$A$3:$A$5000,INPUT!$H$3:$H$5000,INPUT!$C$3:$C$5000,INPUT!$I$3:$I$5000),0)),"")</f>
        <v>4385</v>
      </c>
      <c r="V9" s="160" cm="1">
        <f t="array" ref="V9">IFERROR(SUMPRODUCT((INPUT!$H$3:$H$5000&gt;=V$3)*(INPUT!$H$3:$H$5000&lt;=V$3+6)*(INPUT!$J$3:$J$5000="CHAGUINHA")*ISNUMBER(INPUT!$K$3:$K$5000)*IFERROR(VALUE(INPUT!$K$3:$K$5000),0)*IFERROR(SUMIFS(INPUT!$E$3:$E$5000,INPUT!$A$3:$A$5000,INPUT!$H$3:$H$5000,INPUT!$C$3:$C$5000,INPUT!$I$3:$I$5000),0)),"")</f>
        <v>2980</v>
      </c>
      <c r="W9" s="160" cm="1">
        <f t="array" ref="W9">IFERROR(SUMPRODUCT((INPUT!$H$3:$H$5000&gt;=W$3)*(INPUT!$H$3:$H$5000&lt;=W$3+6)*(INPUT!$J$3:$J$5000="CHAGUINHA")*ISNUMBER(INPUT!$K$3:$K$5000)*IFERROR(VALUE(INPUT!$K$3:$K$5000),0)*IFERROR(SUMIFS(INPUT!$E$3:$E$5000,INPUT!$A$3:$A$5000,INPUT!$H$3:$H$5000,INPUT!$C$3:$C$5000,INPUT!$I$3:$I$5000),0)),"")</f>
        <v>2710</v>
      </c>
      <c r="X9" s="160" cm="1">
        <f t="array" ref="X9">IFERROR(SUMPRODUCT((INPUT!$H$3:$H$5000&gt;=X$3)*(INPUT!$H$3:$H$5000&lt;=X$3+6)*(INPUT!$J$3:$J$5000="CHAGUINHA")*ISNUMBER(INPUT!$K$3:$K$5000)*IFERROR(VALUE(INPUT!$K$3:$K$5000),0)*IFERROR(SUMIFS(INPUT!$E$3:$E$5000,INPUT!$A$3:$A$5000,INPUT!$H$3:$H$5000,INPUT!$C$3:$C$5000,INPUT!$I$3:$I$5000),0)),"")</f>
        <v>3495</v>
      </c>
      <c r="Y9" s="160" cm="1">
        <f t="array" ref="Y9">IFERROR(SUMPRODUCT((INPUT!$H$3:$H$5000&gt;=Y$3)*(INPUT!$H$3:$H$5000&lt;=Y$3+6)*(INPUT!$J$3:$J$5000="CHAGUINHA")*ISNUMBER(INPUT!$K$3:$K$5000)*IFERROR(VALUE(INPUT!$K$3:$K$5000),0)*IFERROR(SUMIFS(INPUT!$E$3:$E$5000,INPUT!$A$3:$A$5000,INPUT!$H$3:$H$5000,INPUT!$C$3:$C$5000,INPUT!$I$3:$I$5000),0)),"")</f>
        <v>3135</v>
      </c>
      <c r="Z9" s="160" cm="1">
        <f t="array" ref="Z9">IFERROR(SUMPRODUCT((INPUT!$H$3:$H$5000&gt;=Z$3)*(INPUT!$H$3:$H$5000&lt;=Z$3+6)*(INPUT!$J$3:$J$5000="CHAGUINHA")*ISNUMBER(INPUT!$K$3:$K$5000)*IFERROR(VALUE(INPUT!$K$3:$K$5000),0)*IFERROR(SUMIFS(INPUT!$E$3:$E$5000,INPUT!$A$3:$A$5000,INPUT!$H$3:$H$5000,INPUT!$C$3:$C$5000,INPUT!$I$3:$I$5000),0)),"")</f>
        <v>3395</v>
      </c>
      <c r="AA9" s="160" cm="1">
        <f t="array" ref="AA9">IFERROR(SUMPRODUCT((INPUT!$H$3:$H$5000&gt;=AA$3)*(INPUT!$H$3:$H$5000&lt;=AA$3+6)*(INPUT!$J$3:$J$5000="CHAGUINHA")*ISNUMBER(INPUT!$K$3:$K$5000)*IFERROR(VALUE(INPUT!$K$3:$K$5000),0)*IFERROR(SUMIFS(INPUT!$E$3:$E$5000,INPUT!$A$3:$A$5000,INPUT!$H$3:$H$5000,INPUT!$C$3:$C$5000,INPUT!$I$3:$I$5000),0)),"")</f>
        <v>0</v>
      </c>
      <c r="AB9" s="160" cm="1">
        <f t="array" ref="AB9">IFERROR(SUMPRODUCT((INPUT!$H$3:$H$5000&gt;=AB$3)*(INPUT!$H$3:$H$5000&lt;=AB$3+6)*(INPUT!$J$3:$J$5000="CHAGUINHA")*ISNUMBER(INPUT!$K$3:$K$5000)*IFERROR(VALUE(INPUT!$K$3:$K$5000),0)*IFERROR(SUMIFS(INPUT!$E$3:$E$5000,INPUT!$A$3:$A$5000,INPUT!$H$3:$H$5000,INPUT!$C$3:$C$5000,INPUT!$I$3:$I$5000),0)),"")</f>
        <v>6370</v>
      </c>
      <c r="AC9" s="160" cm="1">
        <f t="array" ref="AC9">IFERROR(SUMPRODUCT((INPUT!$H$3:$H$5000&gt;=AC$3)*(INPUT!$H$3:$H$5000&lt;=AC$3+6)*(INPUT!$J$3:$J$5000="CHAGUINHA")*ISNUMBER(INPUT!$K$3:$K$5000)*IFERROR(VALUE(INPUT!$K$3:$K$5000),0)*IFERROR(SUMIFS(INPUT!$E$3:$E$5000,INPUT!$A$3:$A$5000,INPUT!$H$3:$H$5000,INPUT!$C$3:$C$5000,INPUT!$I$3:$I$5000),0)),"")</f>
        <v>3465</v>
      </c>
      <c r="AD9" s="160" cm="1">
        <f t="array" ref="AD9">IFERROR(SUMPRODUCT((INPUT!$H$3:$H$5000&gt;=AD$3)*(INPUT!$H$3:$H$5000&lt;=AD$3+6)*(INPUT!$J$3:$J$5000="CHAGUINHA")*ISNUMBER(INPUT!$K$3:$K$5000)*IFERROR(VALUE(INPUT!$K$3:$K$5000),0)*IFERROR(SUMIFS(INPUT!$E$3:$E$5000,INPUT!$A$3:$A$5000,INPUT!$H$3:$H$5000,INPUT!$C$3:$C$5000,INPUT!$I$3:$I$5000),0)),"")</f>
        <v>5660</v>
      </c>
      <c r="AE9" s="160" cm="1">
        <f t="array" ref="AE9">IFERROR(SUMPRODUCT((INPUT!$H$3:$H$5000&gt;=AE$3)*(INPUT!$H$3:$H$5000&lt;=AE$3+6)*(INPUT!$J$3:$J$5000="CHAGUINHA")*ISNUMBER(INPUT!$K$3:$K$5000)*IFERROR(VALUE(INPUT!$K$3:$K$5000),0)*IFERROR(SUMIFS(INPUT!$E$3:$E$5000,INPUT!$A$3:$A$5000,INPUT!$H$3:$H$5000,INPUT!$C$3:$C$5000,INPUT!$I$3:$I$5000),0)),"")</f>
        <v>3465</v>
      </c>
      <c r="AF9" s="160" cm="1">
        <f t="array" ref="AF9">IFERROR(SUMPRODUCT((INPUT!$H$3:$H$5000&gt;=AF$3)*(INPUT!$H$3:$H$5000&lt;=AF$3+6)*(INPUT!$J$3:$J$5000="CHAGUINHA")*ISNUMBER(INPUT!$K$3:$K$5000)*IFERROR(VALUE(INPUT!$K$3:$K$5000),0)*IFERROR(SUMIFS(INPUT!$E$3:$E$5000,INPUT!$A$3:$A$5000,INPUT!$H$3:$H$5000,INPUT!$C$3:$C$5000,INPUT!$I$3:$I$5000),0)),"")</f>
        <v>2770</v>
      </c>
      <c r="AG9" s="160" cm="1">
        <f t="array" ref="AG9">IFERROR(SUMPRODUCT((INPUT!$H$3:$H$5000&gt;=AG$3)*(INPUT!$H$3:$H$5000&lt;=AG$3+6)*(INPUT!$J$3:$J$5000="CHAGUINHA")*ISNUMBER(INPUT!$K$3:$K$5000)*IFERROR(VALUE(INPUT!$K$3:$K$5000),0)*IFERROR(SUMIFS(INPUT!$E$3:$E$5000,INPUT!$A$3:$A$5000,INPUT!$H$3:$H$5000,INPUT!$C$3:$C$5000,INPUT!$I$3:$I$5000),0)),"")</f>
        <v>4870</v>
      </c>
      <c r="AH9" s="160" cm="1">
        <f t="array" ref="AH9">IFERROR(SUMPRODUCT((INPUT!$H$3:$H$5000&gt;=AH$3)*(INPUT!$H$3:$H$5000&lt;=AH$3+6)*(INPUT!$J$3:$J$5000="CHAGUINHA")*ISNUMBER(INPUT!$K$3:$K$5000)*IFERROR(VALUE(INPUT!$K$3:$K$5000),0)*IFERROR(SUMIFS(INPUT!$E$3:$E$5000,INPUT!$A$3:$A$5000,INPUT!$H$3:$H$5000,INPUT!$C$3:$C$5000,INPUT!$I$3:$I$5000),0)),"")</f>
        <v>3100</v>
      </c>
      <c r="AI9" s="160" cm="1">
        <f t="array" ref="AI9">IFERROR(SUMPRODUCT((INPUT!$H$3:$H$5000&gt;=AI$3)*(INPUT!$H$3:$H$5000&lt;=AI$3+6)*(INPUT!$J$3:$J$5000="CHAGUINHA")*ISNUMBER(INPUT!$K$3:$K$5000)*IFERROR(VALUE(INPUT!$K$3:$K$5000),0)*IFERROR(SUMIFS(INPUT!$E$3:$E$5000,INPUT!$A$3:$A$5000,INPUT!$H$3:$H$5000,INPUT!$C$3:$C$5000,INPUT!$I$3:$I$5000),0)),"")</f>
        <v>1625</v>
      </c>
      <c r="AJ9" s="160" cm="1">
        <f t="array" ref="AJ9">IFERROR(SUMPRODUCT((INPUT!$H$3:$H$5000&gt;=AJ$3)*(INPUT!$H$3:$H$5000&lt;=AJ$3+6)*(INPUT!$J$3:$J$5000="CHAGUINHA")*ISNUMBER(INPUT!$K$3:$K$5000)*IFERROR(VALUE(INPUT!$K$3:$K$5000),0)*IFERROR(SUMIFS(INPUT!$E$3:$E$5000,INPUT!$A$3:$A$5000,INPUT!$H$3:$H$5000,INPUT!$C$3:$C$5000,INPUT!$I$3:$I$5000),0)),"")</f>
        <v>2775</v>
      </c>
      <c r="AK9" s="160" cm="1">
        <f t="array" ref="AK9">IFERROR(SUMPRODUCT((INPUT!$H$3:$H$5000&gt;=AK$3)*(INPUT!$H$3:$H$5000&lt;=AK$3+6)*(INPUT!$J$3:$J$5000="CHAGUINHA")*ISNUMBER(INPUT!$K$3:$K$5000)*IFERROR(VALUE(INPUT!$K$3:$K$5000),0)*IFERROR(SUMIFS(INPUT!$E$3:$E$5000,INPUT!$A$3:$A$5000,INPUT!$H$3:$H$5000,INPUT!$C$3:$C$5000,INPUT!$I$3:$I$5000),0)),"")</f>
        <v>2550</v>
      </c>
      <c r="AL9" s="160" cm="1">
        <f t="array" ref="AL9">IFERROR(SUMPRODUCT((INPUT!$H$3:$H$5000&gt;=AL$3)*(INPUT!$H$3:$H$5000&lt;=AL$3+6)*(INPUT!$J$3:$J$5000="CHAGUINHA")*ISNUMBER(INPUT!$K$3:$K$5000)*IFERROR(VALUE(INPUT!$K$3:$K$5000),0)*IFERROR(SUMIFS(INPUT!$E$3:$E$5000,INPUT!$A$3:$A$5000,INPUT!$H$3:$H$5000,INPUT!$C$3:$C$5000,INPUT!$I$3:$I$5000),0)),"")</f>
        <v>3555</v>
      </c>
      <c r="AM9" s="160" cm="1">
        <f t="array" ref="AM9">IFERROR(SUMPRODUCT((INPUT!$H$3:$H$5000&gt;=AM$3)*(INPUT!$H$3:$H$5000&lt;=AM$3+6)*(INPUT!$J$3:$J$5000="CHAGUINHA")*ISNUMBER(INPUT!$K$3:$K$5000)*IFERROR(VALUE(INPUT!$K$3:$K$5000),0)*IFERROR(SUMIFS(INPUT!$E$3:$E$5000,INPUT!$A$3:$A$5000,INPUT!$H$3:$H$5000,INPUT!$C$3:$C$5000,INPUT!$I$3:$I$5000),0)),"")</f>
        <v>1200</v>
      </c>
      <c r="AN9" s="160" cm="1">
        <f t="array" ref="AN9">IFERROR(SUMPRODUCT((INPUT!$H$3:$H$5000&gt;=AN$3)*(INPUT!$H$3:$H$5000&lt;=AN$3+6)*(INPUT!$J$3:$J$5000="CHAGUINHA")*ISNUMBER(INPUT!$K$3:$K$5000)*IFERROR(VALUE(INPUT!$K$3:$K$5000),0)*IFERROR(SUMIFS(INPUT!$E$3:$E$5000,INPUT!$A$3:$A$5000,INPUT!$H$3:$H$5000,INPUT!$C$3:$C$5000,INPUT!$I$3:$I$5000),0)),"")</f>
        <v>3995</v>
      </c>
      <c r="AO9" s="160" cm="1">
        <f t="array" ref="AO9">IFERROR(SUMPRODUCT((INPUT!$H$3:$H$5000&gt;=AO$3)*(INPUT!$H$3:$H$5000&lt;=AO$3+6)*(INPUT!$J$3:$J$5000="CHAGUINHA")*ISNUMBER(INPUT!$K$3:$K$5000)*IFERROR(VALUE(INPUT!$K$3:$K$5000),0)*IFERROR(SUMIFS(INPUT!$E$3:$E$5000,INPUT!$A$3:$A$5000,INPUT!$H$3:$H$5000,INPUT!$C$3:$C$5000,INPUT!$I$3:$I$5000),0)),"")</f>
        <v>0</v>
      </c>
      <c r="AP9" s="160" cm="1">
        <f t="array" ref="AP9">IFERROR(SUMPRODUCT((INPUT!$H$3:$H$5000&gt;=AP$3)*(INPUT!$H$3:$H$5000&lt;=AP$3+6)*(INPUT!$J$3:$J$5000="CHAGUINHA")*ISNUMBER(INPUT!$K$3:$K$5000)*IFERROR(VALUE(INPUT!$K$3:$K$5000),0)*IFERROR(SUMIFS(INPUT!$E$3:$E$5000,INPUT!$A$3:$A$5000,INPUT!$H$3:$H$5000,INPUT!$C$3:$C$5000,INPUT!$I$3:$I$5000),0)),"")</f>
        <v>0</v>
      </c>
      <c r="AQ9" s="160" cm="1">
        <f t="array" ref="AQ9">IFERROR(SUMPRODUCT((INPUT!$H$3:$H$5000&gt;=AQ$3)*(INPUT!$H$3:$H$5000&lt;=AQ$3+6)*(INPUT!$J$3:$J$5000="CHAGUINHA")*ISNUMBER(INPUT!$K$3:$K$5000)*IFERROR(VALUE(INPUT!$K$3:$K$5000),0)*IFERROR(SUMIFS(INPUT!$E$3:$E$5000,INPUT!$A$3:$A$5000,INPUT!$H$3:$H$5000,INPUT!$C$3:$C$5000,INPUT!$I$3:$I$5000),0)),"")</f>
        <v>0</v>
      </c>
      <c r="AR9" s="160" cm="1">
        <f t="array" ref="AR9">IFERROR(SUMPRODUCT((INPUT!$H$3:$H$5000&gt;=AR$3)*(INPUT!$H$3:$H$5000&lt;=AR$3+6)*(INPUT!$J$3:$J$5000="CHAGUINHA")*ISNUMBER(INPUT!$K$3:$K$5000)*IFERROR(VALUE(INPUT!$K$3:$K$5000),0)*IFERROR(SUMIFS(INPUT!$E$3:$E$5000,INPUT!$A$3:$A$5000,INPUT!$H$3:$H$5000,INPUT!$C$3:$C$5000,INPUT!$I$3:$I$5000),0)),"")</f>
        <v>0</v>
      </c>
      <c r="AS9" s="160" cm="1">
        <f t="array" ref="AS9">IFERROR(SUMPRODUCT((INPUT!$H$3:$H$5000&gt;=AS$3)*(INPUT!$H$3:$H$5000&lt;=AS$3+6)*(INPUT!$J$3:$J$5000="CHAGUINHA")*ISNUMBER(INPUT!$K$3:$K$5000)*IFERROR(VALUE(INPUT!$K$3:$K$5000),0)*IFERROR(SUMIFS(INPUT!$E$3:$E$5000,INPUT!$A$3:$A$5000,INPUT!$H$3:$H$5000,INPUT!$C$3:$C$5000,INPUT!$I$3:$I$5000),0)),"")</f>
        <v>0</v>
      </c>
      <c r="AT9" s="160" cm="1">
        <f t="array" ref="AT9">IFERROR(SUMPRODUCT((INPUT!$H$3:$H$5000&gt;=AT$3)*(INPUT!$H$3:$H$5000&lt;=AT$3+6)*(INPUT!$J$3:$J$5000="CHAGUINHA")*ISNUMBER(INPUT!$K$3:$K$5000)*IFERROR(VALUE(INPUT!$K$3:$K$5000),0)*IFERROR(SUMIFS(INPUT!$E$3:$E$5000,INPUT!$A$3:$A$5000,INPUT!$H$3:$H$5000,INPUT!$C$3:$C$5000,INPUT!$I$3:$I$5000),0)),"")</f>
        <v>0</v>
      </c>
      <c r="AU9" s="160" cm="1">
        <f t="array" ref="AU9">IFERROR(SUMPRODUCT((INPUT!$H$3:$H$5000&gt;=AU$3)*(INPUT!$H$3:$H$5000&lt;=AU$3+6)*(INPUT!$J$3:$J$5000="CHAGUINHA")*ISNUMBER(INPUT!$K$3:$K$5000)*IFERROR(VALUE(INPUT!$K$3:$K$5000),0)*IFERROR(SUMIFS(INPUT!$E$3:$E$5000,INPUT!$A$3:$A$5000,INPUT!$H$3:$H$5000,INPUT!$C$3:$C$5000,INPUT!$I$3:$I$5000),0)),"")</f>
        <v>0</v>
      </c>
      <c r="AV9" s="160" cm="1">
        <f t="array" ref="AV9">IFERROR(SUMPRODUCT((INPUT!$H$3:$H$5000&gt;=AV$3)*(INPUT!$H$3:$H$5000&lt;=AV$3+6)*(INPUT!$J$3:$J$5000="CHAGUINHA")*ISNUMBER(INPUT!$K$3:$K$5000)*IFERROR(VALUE(INPUT!$K$3:$K$5000),0)*IFERROR(SUMIFS(INPUT!$E$3:$E$5000,INPUT!$A$3:$A$5000,INPUT!$H$3:$H$5000,INPUT!$C$3:$C$5000,INPUT!$I$3:$I$5000),0)),"")</f>
        <v>0</v>
      </c>
      <c r="AW9" s="160" cm="1">
        <f t="array" ref="AW9">IFERROR(SUMPRODUCT((INPUT!$H$3:$H$5000&gt;=AW$3)*(INPUT!$H$3:$H$5000&lt;=AW$3+6)*(INPUT!$J$3:$J$5000="CHAGUINHA")*ISNUMBER(INPUT!$K$3:$K$5000)*IFERROR(VALUE(INPUT!$K$3:$K$5000),0)*IFERROR(SUMIFS(INPUT!$E$3:$E$5000,INPUT!$A$3:$A$5000,INPUT!$H$3:$H$5000,INPUT!$C$3:$C$5000,INPUT!$I$3:$I$5000),0)),"")</f>
        <v>0</v>
      </c>
      <c r="AX9" s="160" cm="1">
        <f t="array" ref="AX9">IFERROR(SUMPRODUCT((INPUT!$H$3:$H$5000&gt;=AX$3)*(INPUT!$H$3:$H$5000&lt;=AX$3+6)*(INPUT!$J$3:$J$5000="CHAGUINHA")*ISNUMBER(INPUT!$K$3:$K$5000)*IFERROR(VALUE(INPUT!$K$3:$K$5000),0)*IFERROR(SUMIFS(INPUT!$E$3:$E$5000,INPUT!$A$3:$A$5000,INPUT!$H$3:$H$5000,INPUT!$C$3:$C$5000,INPUT!$I$3:$I$5000),0)),"")</f>
        <v>0</v>
      </c>
      <c r="AY9" s="160" cm="1">
        <f t="array" ref="AY9">IFERROR(SUMPRODUCT((INPUT!$H$3:$H$5000&gt;=AY$3)*(INPUT!$H$3:$H$5000&lt;=AY$3+6)*(INPUT!$J$3:$J$5000="CHAGUINHA")*ISNUMBER(INPUT!$K$3:$K$5000)*IFERROR(VALUE(INPUT!$K$3:$K$5000),0)*IFERROR(SUMIFS(INPUT!$E$3:$E$5000,INPUT!$A$3:$A$5000,INPUT!$H$3:$H$5000,INPUT!$C$3:$C$5000,INPUT!$I$3:$I$5000),0)),"")</f>
        <v>0</v>
      </c>
      <c r="AZ9" s="160" cm="1">
        <f t="array" ref="AZ9">IFERROR(SUMPRODUCT((INPUT!$H$3:$H$5000&gt;=AZ$3)*(INPUT!$H$3:$H$5000&lt;=AZ$3+6)*(INPUT!$J$3:$J$5000="CHAGUINHA")*ISNUMBER(INPUT!$K$3:$K$5000)*IFERROR(VALUE(INPUT!$K$3:$K$5000),0)*IFERROR(SUMIFS(INPUT!$E$3:$E$5000,INPUT!$A$3:$A$5000,INPUT!$H$3:$H$5000,INPUT!$C$3:$C$5000,INPUT!$I$3:$I$5000),0)),"")</f>
        <v>0</v>
      </c>
      <c r="BA9" s="160" cm="1">
        <f t="array" ref="BA9">IFERROR(SUMPRODUCT((INPUT!$H$3:$H$5000&gt;=BA$3)*(INPUT!$H$3:$H$5000&lt;=BA$3+6)*(INPUT!$J$3:$J$5000="CHAGUINHA")*ISNUMBER(INPUT!$K$3:$K$5000)*IFERROR(VALUE(INPUT!$K$3:$K$5000),0)*IFERROR(SUMIFS(INPUT!$E$3:$E$5000,INPUT!$A$3:$A$5000,INPUT!$H$3:$H$5000,INPUT!$C$3:$C$5000,INPUT!$I$3:$I$5000),0)),"")</f>
        <v>0</v>
      </c>
      <c r="BB9" s="161" cm="1">
        <f t="array" ref="BB9">IFERROR(SUMPRODUCT((INPUT!$H$3:$H$5000&gt;=BB$3)*(INPUT!$H$3:$H$5000&lt;=BB$3+6)*(INPUT!$J$3:$J$5000="CHAGUINHA")*ISNUMBER(INPUT!$K$3:$K$5000)*IFERROR(VALUE(INPUT!$K$3:$K$5000),0)*IFERROR(SUMIFS(INPUT!$E$3:$E$5000,INPUT!$A$3:$A$5000,INPUT!$H$3:$H$5000,INPUT!$C$3:$C$5000,INPUT!$I$3:$I$5000),0)),"")</f>
        <v>0</v>
      </c>
    </row>
    <row r="10" spans="1:54" x14ac:dyDescent="0.2">
      <c r="A10" s="154">
        <v>6</v>
      </c>
      <c r="B10" s="81" t="s">
        <v>46</v>
      </c>
      <c r="C10" s="159" cm="1">
        <f t="array" ref="C10">IFERROR(SUMPRODUCT((INPUT!$H$3:$H$5000&gt;=C$3)*(INPUT!$H$3:$H$5000&lt;=C$3+6)*(INPUT!$J$3:$J$5000="RAUL")*ISNUMBER(INPUT!$K$3:$K$5000)*IFERROR(VALUE(INPUT!$K$3:$K$5000),0)*IFERROR(SUMIFS(INPUT!$E$3:$E$5000,INPUT!$A$3:$A$5000,INPUT!$H$3:$H$5000,INPUT!$C$3:$C$5000,INPUT!$I$3:$I$5000),0)),"")</f>
        <v>4620</v>
      </c>
      <c r="D10" s="159" cm="1">
        <f t="array" ref="D10">IFERROR(SUMPRODUCT((INPUT!$H$3:$H$5000&gt;=D$3)*(INPUT!$H$3:$H$5000&lt;=D$3+6)*(INPUT!$J$3:$J$5000="RAUL")*ISNUMBER(INPUT!$K$3:$K$5000)*IFERROR(VALUE(INPUT!$K$3:$K$5000),0)*IFERROR(SUMIFS(INPUT!$E$3:$E$5000,INPUT!$A$3:$A$5000,INPUT!$H$3:$H$5000,INPUT!$C$3:$C$5000,INPUT!$I$3:$I$5000),0)),"")</f>
        <v>6250</v>
      </c>
      <c r="E10" s="159" cm="1">
        <f t="array" ref="E10">IFERROR(SUMPRODUCT((INPUT!$H$3:$H$5000&gt;=E$3)*(INPUT!$H$3:$H$5000&lt;=E$3+6)*(INPUT!$J$3:$J$5000="RAUL")*ISNUMBER(INPUT!$K$3:$K$5000)*IFERROR(VALUE(INPUT!$K$3:$K$5000),0)*IFERROR(SUMIFS(INPUT!$E$3:$E$5000,INPUT!$A$3:$A$5000,INPUT!$H$3:$H$5000,INPUT!$C$3:$C$5000,INPUT!$I$3:$I$5000),0)),"")</f>
        <v>6780</v>
      </c>
      <c r="F10" s="159" cm="1">
        <f t="array" ref="F10">IFERROR(SUMPRODUCT((INPUT!$H$3:$H$5000&gt;=F$3)*(INPUT!$H$3:$H$5000&lt;=F$3+6)*(INPUT!$J$3:$J$5000="RAUL")*ISNUMBER(INPUT!$K$3:$K$5000)*IFERROR(VALUE(INPUT!$K$3:$K$5000),0)*IFERROR(SUMIFS(INPUT!$E$3:$E$5000,INPUT!$A$3:$A$5000,INPUT!$H$3:$H$5000,INPUT!$C$3:$C$5000,INPUT!$I$3:$I$5000),0)),"")</f>
        <v>6840</v>
      </c>
      <c r="G10" s="159" cm="1">
        <f t="array" ref="G10">IFERROR(SUMPRODUCT((INPUT!$H$3:$H$5000&gt;=G$3)*(INPUT!$H$3:$H$5000&lt;=G$3+6)*(INPUT!$J$3:$J$5000="RAUL")*ISNUMBER(INPUT!$K$3:$K$5000)*IFERROR(VALUE(INPUT!$K$3:$K$5000),0)*IFERROR(SUMIFS(INPUT!$E$3:$E$5000,INPUT!$A$3:$A$5000,INPUT!$H$3:$H$5000,INPUT!$C$3:$C$5000,INPUT!$I$3:$I$5000),0)),"")</f>
        <v>5265</v>
      </c>
      <c r="H10" s="159" cm="1">
        <f t="array" ref="H10">IFERROR(SUMPRODUCT((INPUT!$H$3:$H$5000&gt;=H$3)*(INPUT!$H$3:$H$5000&lt;=H$3+6)*(INPUT!$J$3:$J$5000="RAUL")*ISNUMBER(INPUT!$K$3:$K$5000)*IFERROR(VALUE(INPUT!$K$3:$K$5000),0)*IFERROR(SUMIFS(INPUT!$E$3:$E$5000,INPUT!$A$3:$A$5000,INPUT!$H$3:$H$5000,INPUT!$C$3:$C$5000,INPUT!$I$3:$I$5000),0)),"")</f>
        <v>3780</v>
      </c>
      <c r="I10" s="159" cm="1">
        <f t="array" ref="I10">IFERROR(SUMPRODUCT((INPUT!$H$3:$H$5000&gt;=I$3)*(INPUT!$H$3:$H$5000&lt;=I$3+6)*(INPUT!$J$3:$J$5000="RAUL")*ISNUMBER(INPUT!$K$3:$K$5000)*IFERROR(VALUE(INPUT!$K$3:$K$5000),0)*IFERROR(SUMIFS(INPUT!$E$3:$E$5000,INPUT!$A$3:$A$5000,INPUT!$H$3:$H$5000,INPUT!$C$3:$C$5000,INPUT!$I$3:$I$5000),0)),"")</f>
        <v>3070</v>
      </c>
      <c r="J10" s="160" cm="1">
        <f t="array" ref="J10">IFERROR(SUMPRODUCT((INPUT!$H$3:$H$5000&gt;=J$3)*(INPUT!$H$3:$H$5000&lt;=J$3+6)*(INPUT!$J$3:$J$5000="RAUL")*ISNUMBER(INPUT!$K$3:$K$5000)*IFERROR(VALUE(INPUT!$K$3:$K$5000),0)*IFERROR(SUMIFS(INPUT!$E$3:$E$5000,INPUT!$A$3:$A$5000,INPUT!$H$3:$H$5000,INPUT!$C$3:$C$5000,INPUT!$I$3:$I$5000),0)),"")</f>
        <v>0</v>
      </c>
      <c r="K10" s="159" cm="1">
        <f t="array" ref="K10">IFERROR(SUMPRODUCT((INPUT!$H$3:$H$5000&gt;=K$3)*(INPUT!$H$3:$H$5000&lt;=K$3+6)*(INPUT!$J$3:$J$5000="RAUL")*ISNUMBER(INPUT!$K$3:$K$5000)*IFERROR(VALUE(INPUT!$K$3:$K$5000),0)*IFERROR(SUMIFS(INPUT!$E$3:$E$5000,INPUT!$A$3:$A$5000,INPUT!$H$3:$H$5000,INPUT!$C$3:$C$5000,INPUT!$I$3:$I$5000),0)),"")</f>
        <v>2395</v>
      </c>
      <c r="L10" s="160" cm="1">
        <f t="array" ref="L10">IFERROR(SUMPRODUCT((INPUT!$H$3:$H$5000&gt;=L$3)*(INPUT!$H$3:$H$5000&lt;=L$3+6)*(INPUT!$J$3:$J$5000="RAUL")*ISNUMBER(INPUT!$K$3:$K$5000)*IFERROR(VALUE(INPUT!$K$3:$K$5000),0)*IFERROR(SUMIFS(INPUT!$E$3:$E$5000,INPUT!$A$3:$A$5000,INPUT!$H$3:$H$5000,INPUT!$C$3:$C$5000,INPUT!$I$3:$I$5000),0)),"")</f>
        <v>3900</v>
      </c>
      <c r="M10" s="160" cm="1">
        <f t="array" ref="M10">IFERROR(SUMPRODUCT((INPUT!$H$3:$H$5000&gt;=M$3)*(INPUT!$H$3:$H$5000&lt;=M$3+6)*(INPUT!$J$3:$J$5000="RAUL")*ISNUMBER(INPUT!$K$3:$K$5000)*IFERROR(VALUE(INPUT!$K$3:$K$5000),0)*IFERROR(SUMIFS(INPUT!$E$3:$E$5000,INPUT!$A$3:$A$5000,INPUT!$H$3:$H$5000,INPUT!$C$3:$C$5000,INPUT!$I$3:$I$5000),0)),"")</f>
        <v>3645</v>
      </c>
      <c r="N10" s="160" cm="1">
        <f t="array" ref="N10">IFERROR(SUMPRODUCT((INPUT!$H$3:$H$5000&gt;=N$3)*(INPUT!$H$3:$H$5000&lt;=N$3+6)*(INPUT!$J$3:$J$5000="RAUL")*ISNUMBER(INPUT!$K$3:$K$5000)*IFERROR(VALUE(INPUT!$K$3:$K$5000),0)*IFERROR(SUMIFS(INPUT!$E$3:$E$5000,INPUT!$A$3:$A$5000,INPUT!$H$3:$H$5000,INPUT!$C$3:$C$5000,INPUT!$I$3:$I$5000),0)),"")</f>
        <v>0</v>
      </c>
      <c r="O10" s="160" cm="1">
        <f t="array" ref="O10">IFERROR(SUMPRODUCT((INPUT!$H$3:$H$5000&gt;=O$3)*(INPUT!$H$3:$H$5000&lt;=O$3+6)*(INPUT!$J$3:$J$5000="RAUL")*ISNUMBER(INPUT!$K$3:$K$5000)*IFERROR(VALUE(INPUT!$K$3:$K$5000),0)*IFERROR(SUMIFS(INPUT!$E$3:$E$5000,INPUT!$A$3:$A$5000,INPUT!$H$3:$H$5000,INPUT!$C$3:$C$5000,INPUT!$I$3:$I$5000),0)),"")</f>
        <v>1250</v>
      </c>
      <c r="P10" s="160" cm="1">
        <f t="array" ref="P10">IFERROR(SUMPRODUCT((INPUT!$H$3:$H$5000&gt;=P$3)*(INPUT!$H$3:$H$5000&lt;=P$3+6)*(INPUT!$J$3:$J$5000="RAUL")*ISNUMBER(INPUT!$K$3:$K$5000)*IFERROR(VALUE(INPUT!$K$3:$K$5000),0)*IFERROR(SUMIFS(INPUT!$E$3:$E$5000,INPUT!$A$3:$A$5000,INPUT!$H$3:$H$5000,INPUT!$C$3:$C$5000,INPUT!$I$3:$I$5000),0)),"")</f>
        <v>3785</v>
      </c>
      <c r="Q10" s="160" cm="1">
        <f t="array" ref="Q10">IFERROR(SUMPRODUCT((INPUT!$H$3:$H$5000&gt;=Q$3)*(INPUT!$H$3:$H$5000&lt;=Q$3+6)*(INPUT!$J$3:$J$5000="RAUL")*ISNUMBER(INPUT!$K$3:$K$5000)*IFERROR(VALUE(INPUT!$K$3:$K$5000),0)*IFERROR(SUMIFS(INPUT!$E$3:$E$5000,INPUT!$A$3:$A$5000,INPUT!$H$3:$H$5000,INPUT!$C$3:$C$5000,INPUT!$I$3:$I$5000),0)),"")</f>
        <v>2150</v>
      </c>
      <c r="R10" s="160" cm="1">
        <f t="array" ref="R10">IFERROR(SUMPRODUCT((INPUT!$H$3:$H$5000&gt;=R$3)*(INPUT!$H$3:$H$5000&lt;=R$3+6)*(INPUT!$J$3:$J$5000="RAUL")*ISNUMBER(INPUT!$K$3:$K$5000)*IFERROR(VALUE(INPUT!$K$3:$K$5000),0)*IFERROR(SUMIFS(INPUT!$E$3:$E$5000,INPUT!$A$3:$A$5000,INPUT!$H$3:$H$5000,INPUT!$C$3:$C$5000,INPUT!$I$3:$I$5000),0)),"")</f>
        <v>4110</v>
      </c>
      <c r="S10" s="160" cm="1">
        <f t="array" ref="S10">IFERROR(SUMPRODUCT((INPUT!$H$3:$H$5000&gt;=S$3)*(INPUT!$H$3:$H$5000&lt;=S$3+6)*(INPUT!$J$3:$J$5000="RAUL")*ISNUMBER(INPUT!$K$3:$K$5000)*IFERROR(VALUE(INPUT!$K$3:$K$5000),0)*IFERROR(SUMIFS(INPUT!$E$3:$E$5000,INPUT!$A$3:$A$5000,INPUT!$H$3:$H$5000,INPUT!$C$3:$C$5000,INPUT!$I$3:$I$5000),0)),"")</f>
        <v>2385</v>
      </c>
      <c r="T10" s="160" cm="1">
        <f t="array" ref="T10">IFERROR(SUMPRODUCT((INPUT!$H$3:$H$5000&gt;=T$3)*(INPUT!$H$3:$H$5000&lt;=T$3+6)*(INPUT!$J$3:$J$5000="RAUL")*ISNUMBER(INPUT!$K$3:$K$5000)*IFERROR(VALUE(INPUT!$K$3:$K$5000),0)*IFERROR(SUMIFS(INPUT!$E$3:$E$5000,INPUT!$A$3:$A$5000,INPUT!$H$3:$H$5000,INPUT!$C$3:$C$5000,INPUT!$I$3:$I$5000),0)),"")</f>
        <v>2730</v>
      </c>
      <c r="U10" s="160" cm="1">
        <f t="array" ref="U10">IFERROR(SUMPRODUCT((INPUT!$H$3:$H$5000&gt;=U$3)*(INPUT!$H$3:$H$5000&lt;=U$3+6)*(INPUT!$J$3:$J$5000="RAUL")*ISNUMBER(INPUT!$K$3:$K$5000)*IFERROR(VALUE(INPUT!$K$3:$K$5000),0)*IFERROR(SUMIFS(INPUT!$E$3:$E$5000,INPUT!$A$3:$A$5000,INPUT!$H$3:$H$5000,INPUT!$C$3:$C$5000,INPUT!$I$3:$I$5000),0)),"")</f>
        <v>4660</v>
      </c>
      <c r="V10" s="160" cm="1">
        <f t="array" ref="V10">IFERROR(SUMPRODUCT((INPUT!$H$3:$H$5000&gt;=V$3)*(INPUT!$H$3:$H$5000&lt;=V$3+6)*(INPUT!$J$3:$J$5000="RAUL")*ISNUMBER(INPUT!$K$3:$K$5000)*IFERROR(VALUE(INPUT!$K$3:$K$5000),0)*IFERROR(SUMIFS(INPUT!$E$3:$E$5000,INPUT!$A$3:$A$5000,INPUT!$H$3:$H$5000,INPUT!$C$3:$C$5000,INPUT!$I$3:$I$5000),0)),"")</f>
        <v>1980</v>
      </c>
      <c r="W10" s="160" cm="1">
        <f t="array" ref="W10">IFERROR(SUMPRODUCT((INPUT!$H$3:$H$5000&gt;=W$3)*(INPUT!$H$3:$H$5000&lt;=W$3+6)*(INPUT!$J$3:$J$5000="RAUL")*ISNUMBER(INPUT!$K$3:$K$5000)*IFERROR(VALUE(INPUT!$K$3:$K$5000),0)*IFERROR(SUMIFS(INPUT!$E$3:$E$5000,INPUT!$A$3:$A$5000,INPUT!$H$3:$H$5000,INPUT!$C$3:$C$5000,INPUT!$I$3:$I$5000),0)),"")</f>
        <v>3335</v>
      </c>
      <c r="X10" s="160" cm="1">
        <f t="array" ref="X10">IFERROR(SUMPRODUCT((INPUT!$H$3:$H$5000&gt;=X$3)*(INPUT!$H$3:$H$5000&lt;=X$3+6)*(INPUT!$J$3:$J$5000="RAUL")*ISNUMBER(INPUT!$K$3:$K$5000)*IFERROR(VALUE(INPUT!$K$3:$K$5000),0)*IFERROR(SUMIFS(INPUT!$E$3:$E$5000,INPUT!$A$3:$A$5000,INPUT!$H$3:$H$5000,INPUT!$C$3:$C$5000,INPUT!$I$3:$I$5000),0)),"")</f>
        <v>3345</v>
      </c>
      <c r="Y10" s="160" cm="1">
        <f t="array" ref="Y10">IFERROR(SUMPRODUCT((INPUT!$H$3:$H$5000&gt;=Y$3)*(INPUT!$H$3:$H$5000&lt;=Y$3+6)*(INPUT!$J$3:$J$5000="RAUL")*ISNUMBER(INPUT!$K$3:$K$5000)*IFERROR(VALUE(INPUT!$K$3:$K$5000),0)*IFERROR(SUMIFS(INPUT!$E$3:$E$5000,INPUT!$A$3:$A$5000,INPUT!$H$3:$H$5000,INPUT!$C$3:$C$5000,INPUT!$I$3:$I$5000),0)),"")</f>
        <v>3345</v>
      </c>
      <c r="Z10" s="160" cm="1">
        <f t="array" ref="Z10">IFERROR(SUMPRODUCT((INPUT!$H$3:$H$5000&gt;=Z$3)*(INPUT!$H$3:$H$5000&lt;=Z$3+6)*(INPUT!$J$3:$J$5000="RAUL")*ISNUMBER(INPUT!$K$3:$K$5000)*IFERROR(VALUE(INPUT!$K$3:$K$5000),0)*IFERROR(SUMIFS(INPUT!$E$3:$E$5000,INPUT!$A$3:$A$5000,INPUT!$H$3:$H$5000,INPUT!$C$3:$C$5000,INPUT!$I$3:$I$5000),0)),"")</f>
        <v>3425</v>
      </c>
      <c r="AA10" s="160" cm="1">
        <f t="array" ref="AA10">IFERROR(SUMPRODUCT((INPUT!$H$3:$H$5000&gt;=AA$3)*(INPUT!$H$3:$H$5000&lt;=AA$3+6)*(INPUT!$J$3:$J$5000="RAUL")*ISNUMBER(INPUT!$K$3:$K$5000)*IFERROR(VALUE(INPUT!$K$3:$K$5000),0)*IFERROR(SUMIFS(INPUT!$E$3:$E$5000,INPUT!$A$3:$A$5000,INPUT!$H$3:$H$5000,INPUT!$C$3:$C$5000,INPUT!$I$3:$I$5000),0)),"")</f>
        <v>0</v>
      </c>
      <c r="AB10" s="160" cm="1">
        <f t="array" ref="AB10">IFERROR(SUMPRODUCT((INPUT!$H$3:$H$5000&gt;=AB$3)*(INPUT!$H$3:$H$5000&lt;=AB$3+6)*(INPUT!$J$3:$J$5000="RAUL")*ISNUMBER(INPUT!$K$3:$K$5000)*IFERROR(VALUE(INPUT!$K$3:$K$5000),0)*IFERROR(SUMIFS(INPUT!$E$3:$E$5000,INPUT!$A$3:$A$5000,INPUT!$H$3:$H$5000,INPUT!$C$3:$C$5000,INPUT!$I$3:$I$5000),0)),"")</f>
        <v>6715</v>
      </c>
      <c r="AC10" s="160" cm="1">
        <f t="array" ref="AC10">IFERROR(SUMPRODUCT((INPUT!$H$3:$H$5000&gt;=AC$3)*(INPUT!$H$3:$H$5000&lt;=AC$3+6)*(INPUT!$J$3:$J$5000="RAUL")*ISNUMBER(INPUT!$K$3:$K$5000)*IFERROR(VALUE(INPUT!$K$3:$K$5000),0)*IFERROR(SUMIFS(INPUT!$E$3:$E$5000,INPUT!$A$3:$A$5000,INPUT!$H$3:$H$5000,INPUT!$C$3:$C$5000,INPUT!$I$3:$I$5000),0)),"")</f>
        <v>4035</v>
      </c>
      <c r="AD10" s="160" cm="1">
        <f t="array" ref="AD10">IFERROR(SUMPRODUCT((INPUT!$H$3:$H$5000&gt;=AD$3)*(INPUT!$H$3:$H$5000&lt;=AD$3+6)*(INPUT!$J$3:$J$5000="RAUL")*ISNUMBER(INPUT!$K$3:$K$5000)*IFERROR(VALUE(INPUT!$K$3:$K$5000),0)*IFERROR(SUMIFS(INPUT!$E$3:$E$5000,INPUT!$A$3:$A$5000,INPUT!$H$3:$H$5000,INPUT!$C$3:$C$5000,INPUT!$I$3:$I$5000),0)),"")</f>
        <v>5600</v>
      </c>
      <c r="AE10" s="160" cm="1">
        <f t="array" ref="AE10">IFERROR(SUMPRODUCT((INPUT!$H$3:$H$5000&gt;=AE$3)*(INPUT!$H$3:$H$5000&lt;=AE$3+6)*(INPUT!$J$3:$J$5000="RAUL")*ISNUMBER(INPUT!$K$3:$K$5000)*IFERROR(VALUE(INPUT!$K$3:$K$5000),0)*IFERROR(SUMIFS(INPUT!$E$3:$E$5000,INPUT!$A$3:$A$5000,INPUT!$H$3:$H$5000,INPUT!$C$3:$C$5000,INPUT!$I$3:$I$5000),0)),"")</f>
        <v>3455</v>
      </c>
      <c r="AF10" s="160" cm="1">
        <f t="array" ref="AF10">IFERROR(SUMPRODUCT((INPUT!$H$3:$H$5000&gt;=AF$3)*(INPUT!$H$3:$H$5000&lt;=AF$3+6)*(INPUT!$J$3:$J$5000="RAUL")*ISNUMBER(INPUT!$K$3:$K$5000)*IFERROR(VALUE(INPUT!$K$3:$K$5000),0)*IFERROR(SUMIFS(INPUT!$E$3:$E$5000,INPUT!$A$3:$A$5000,INPUT!$H$3:$H$5000,INPUT!$C$3:$C$5000,INPUT!$I$3:$I$5000),0)),"")</f>
        <v>3160</v>
      </c>
      <c r="AG10" s="160" cm="1">
        <f t="array" ref="AG10">IFERROR(SUMPRODUCT((INPUT!$H$3:$H$5000&gt;=AG$3)*(INPUT!$H$3:$H$5000&lt;=AG$3+6)*(INPUT!$J$3:$J$5000="RAUL")*ISNUMBER(INPUT!$K$3:$K$5000)*IFERROR(VALUE(INPUT!$K$3:$K$5000),0)*IFERROR(SUMIFS(INPUT!$E$3:$E$5000,INPUT!$A$3:$A$5000,INPUT!$H$3:$H$5000,INPUT!$C$3:$C$5000,INPUT!$I$3:$I$5000),0)),"")</f>
        <v>5840</v>
      </c>
      <c r="AH10" s="160" cm="1">
        <f t="array" ref="AH10">IFERROR(SUMPRODUCT((INPUT!$H$3:$H$5000&gt;=AH$3)*(INPUT!$H$3:$H$5000&lt;=AH$3+6)*(INPUT!$J$3:$J$5000="RAUL")*ISNUMBER(INPUT!$K$3:$K$5000)*IFERROR(VALUE(INPUT!$K$3:$K$5000),0)*IFERROR(SUMIFS(INPUT!$E$3:$E$5000,INPUT!$A$3:$A$5000,INPUT!$H$3:$H$5000,INPUT!$C$3:$C$5000,INPUT!$I$3:$I$5000),0)),"")</f>
        <v>3130</v>
      </c>
      <c r="AI10" s="160" cm="1">
        <f t="array" ref="AI10">IFERROR(SUMPRODUCT((INPUT!$H$3:$H$5000&gt;=AI$3)*(INPUT!$H$3:$H$5000&lt;=AI$3+6)*(INPUT!$J$3:$J$5000="RAUL")*ISNUMBER(INPUT!$K$3:$K$5000)*IFERROR(VALUE(INPUT!$K$3:$K$5000),0)*IFERROR(SUMIFS(INPUT!$E$3:$E$5000,INPUT!$A$3:$A$5000,INPUT!$H$3:$H$5000,INPUT!$C$3:$C$5000,INPUT!$I$3:$I$5000),0)),"")</f>
        <v>3690</v>
      </c>
      <c r="AJ10" s="160" cm="1">
        <f t="array" ref="AJ10">IFERROR(SUMPRODUCT((INPUT!$H$3:$H$5000&gt;=AJ$3)*(INPUT!$H$3:$H$5000&lt;=AJ$3+6)*(INPUT!$J$3:$J$5000="RAUL")*ISNUMBER(INPUT!$K$3:$K$5000)*IFERROR(VALUE(INPUT!$K$3:$K$5000),0)*IFERROR(SUMIFS(INPUT!$E$3:$E$5000,INPUT!$A$3:$A$5000,INPUT!$H$3:$H$5000,INPUT!$C$3:$C$5000,INPUT!$I$3:$I$5000),0)),"")</f>
        <v>3215</v>
      </c>
      <c r="AK10" s="160" cm="1">
        <f t="array" ref="AK10">IFERROR(SUMPRODUCT((INPUT!$H$3:$H$5000&gt;=AK$3)*(INPUT!$H$3:$H$5000&lt;=AK$3+6)*(INPUT!$J$3:$J$5000="RAUL")*ISNUMBER(INPUT!$K$3:$K$5000)*IFERROR(VALUE(INPUT!$K$3:$K$5000),0)*IFERROR(SUMIFS(INPUT!$E$3:$E$5000,INPUT!$A$3:$A$5000,INPUT!$H$3:$H$5000,INPUT!$C$3:$C$5000,INPUT!$I$3:$I$5000),0)),"")</f>
        <v>3310</v>
      </c>
      <c r="AL10" s="160" cm="1">
        <f t="array" ref="AL10">IFERROR(SUMPRODUCT((INPUT!$H$3:$H$5000&gt;=AL$3)*(INPUT!$H$3:$H$5000&lt;=AL$3+6)*(INPUT!$J$3:$J$5000="RAUL")*ISNUMBER(INPUT!$K$3:$K$5000)*IFERROR(VALUE(INPUT!$K$3:$K$5000),0)*IFERROR(SUMIFS(INPUT!$E$3:$E$5000,INPUT!$A$3:$A$5000,INPUT!$H$3:$H$5000,INPUT!$C$3:$C$5000,INPUT!$I$3:$I$5000),0)),"")</f>
        <v>4395</v>
      </c>
      <c r="AM10" s="160" cm="1">
        <f t="array" ref="AM10">IFERROR(SUMPRODUCT((INPUT!$H$3:$H$5000&gt;=AM$3)*(INPUT!$H$3:$H$5000&lt;=AM$3+6)*(INPUT!$J$3:$J$5000="RAUL")*ISNUMBER(INPUT!$K$3:$K$5000)*IFERROR(VALUE(INPUT!$K$3:$K$5000),0)*IFERROR(SUMIFS(INPUT!$E$3:$E$5000,INPUT!$A$3:$A$5000,INPUT!$H$3:$H$5000,INPUT!$C$3:$C$5000,INPUT!$I$3:$I$5000),0)),"")</f>
        <v>4340</v>
      </c>
      <c r="AN10" s="160" cm="1">
        <f t="array" ref="AN10">IFERROR(SUMPRODUCT((INPUT!$H$3:$H$5000&gt;=AN$3)*(INPUT!$H$3:$H$5000&lt;=AN$3+6)*(INPUT!$J$3:$J$5000="RAUL")*ISNUMBER(INPUT!$K$3:$K$5000)*IFERROR(VALUE(INPUT!$K$3:$K$5000),0)*IFERROR(SUMIFS(INPUT!$E$3:$E$5000,INPUT!$A$3:$A$5000,INPUT!$H$3:$H$5000,INPUT!$C$3:$C$5000,INPUT!$I$3:$I$5000),0)),"")</f>
        <v>4690</v>
      </c>
      <c r="AO10" s="160" cm="1">
        <f t="array" ref="AO10">IFERROR(SUMPRODUCT((INPUT!$H$3:$H$5000&gt;=AO$3)*(INPUT!$H$3:$H$5000&lt;=AO$3+6)*(INPUT!$J$3:$J$5000="RAUL")*ISNUMBER(INPUT!$K$3:$K$5000)*IFERROR(VALUE(INPUT!$K$3:$K$5000),0)*IFERROR(SUMIFS(INPUT!$E$3:$E$5000,INPUT!$A$3:$A$5000,INPUT!$H$3:$H$5000,INPUT!$C$3:$C$5000,INPUT!$I$3:$I$5000),0)),"")</f>
        <v>0</v>
      </c>
      <c r="AP10" s="160" cm="1">
        <f t="array" ref="AP10">IFERROR(SUMPRODUCT((INPUT!$H$3:$H$5000&gt;=AP$3)*(INPUT!$H$3:$H$5000&lt;=AP$3+6)*(INPUT!$J$3:$J$5000="RAUL")*ISNUMBER(INPUT!$K$3:$K$5000)*IFERROR(VALUE(INPUT!$K$3:$K$5000),0)*IFERROR(SUMIFS(INPUT!$E$3:$E$5000,INPUT!$A$3:$A$5000,INPUT!$H$3:$H$5000,INPUT!$C$3:$C$5000,INPUT!$I$3:$I$5000),0)),"")</f>
        <v>0</v>
      </c>
      <c r="AQ10" s="160" cm="1">
        <f t="array" ref="AQ10">IFERROR(SUMPRODUCT((INPUT!$H$3:$H$5000&gt;=AQ$3)*(INPUT!$H$3:$H$5000&lt;=AQ$3+6)*(INPUT!$J$3:$J$5000="RAUL")*ISNUMBER(INPUT!$K$3:$K$5000)*IFERROR(VALUE(INPUT!$K$3:$K$5000),0)*IFERROR(SUMIFS(INPUT!$E$3:$E$5000,INPUT!$A$3:$A$5000,INPUT!$H$3:$H$5000,INPUT!$C$3:$C$5000,INPUT!$I$3:$I$5000),0)),"")</f>
        <v>0</v>
      </c>
      <c r="AR10" s="160" cm="1">
        <f t="array" ref="AR10">IFERROR(SUMPRODUCT((INPUT!$H$3:$H$5000&gt;=AR$3)*(INPUT!$H$3:$H$5000&lt;=AR$3+6)*(INPUT!$J$3:$J$5000="RAUL")*ISNUMBER(INPUT!$K$3:$K$5000)*IFERROR(VALUE(INPUT!$K$3:$K$5000),0)*IFERROR(SUMIFS(INPUT!$E$3:$E$5000,INPUT!$A$3:$A$5000,INPUT!$H$3:$H$5000,INPUT!$C$3:$C$5000,INPUT!$I$3:$I$5000),0)),"")</f>
        <v>0</v>
      </c>
      <c r="AS10" s="160" cm="1">
        <f t="array" ref="AS10">IFERROR(SUMPRODUCT((INPUT!$H$3:$H$5000&gt;=AS$3)*(INPUT!$H$3:$H$5000&lt;=AS$3+6)*(INPUT!$J$3:$J$5000="RAUL")*ISNUMBER(INPUT!$K$3:$K$5000)*IFERROR(VALUE(INPUT!$K$3:$K$5000),0)*IFERROR(SUMIFS(INPUT!$E$3:$E$5000,INPUT!$A$3:$A$5000,INPUT!$H$3:$H$5000,INPUT!$C$3:$C$5000,INPUT!$I$3:$I$5000),0)),"")</f>
        <v>0</v>
      </c>
      <c r="AT10" s="160" cm="1">
        <f t="array" ref="AT10">IFERROR(SUMPRODUCT((INPUT!$H$3:$H$5000&gt;=AT$3)*(INPUT!$H$3:$H$5000&lt;=AT$3+6)*(INPUT!$J$3:$J$5000="RAUL")*ISNUMBER(INPUT!$K$3:$K$5000)*IFERROR(VALUE(INPUT!$K$3:$K$5000),0)*IFERROR(SUMIFS(INPUT!$E$3:$E$5000,INPUT!$A$3:$A$5000,INPUT!$H$3:$H$5000,INPUT!$C$3:$C$5000,INPUT!$I$3:$I$5000),0)),"")</f>
        <v>0</v>
      </c>
      <c r="AU10" s="160" cm="1">
        <f t="array" ref="AU10">IFERROR(SUMPRODUCT((INPUT!$H$3:$H$5000&gt;=AU$3)*(INPUT!$H$3:$H$5000&lt;=AU$3+6)*(INPUT!$J$3:$J$5000="RAUL")*ISNUMBER(INPUT!$K$3:$K$5000)*IFERROR(VALUE(INPUT!$K$3:$K$5000),0)*IFERROR(SUMIFS(INPUT!$E$3:$E$5000,INPUT!$A$3:$A$5000,INPUT!$H$3:$H$5000,INPUT!$C$3:$C$5000,INPUT!$I$3:$I$5000),0)),"")</f>
        <v>0</v>
      </c>
      <c r="AV10" s="160" cm="1">
        <f t="array" ref="AV10">IFERROR(SUMPRODUCT((INPUT!$H$3:$H$5000&gt;=AV$3)*(INPUT!$H$3:$H$5000&lt;=AV$3+6)*(INPUT!$J$3:$J$5000="RAUL")*ISNUMBER(INPUT!$K$3:$K$5000)*IFERROR(VALUE(INPUT!$K$3:$K$5000),0)*IFERROR(SUMIFS(INPUT!$E$3:$E$5000,INPUT!$A$3:$A$5000,INPUT!$H$3:$H$5000,INPUT!$C$3:$C$5000,INPUT!$I$3:$I$5000),0)),"")</f>
        <v>0</v>
      </c>
      <c r="AW10" s="160" cm="1">
        <f t="array" ref="AW10">IFERROR(SUMPRODUCT((INPUT!$H$3:$H$5000&gt;=AW$3)*(INPUT!$H$3:$H$5000&lt;=AW$3+6)*(INPUT!$J$3:$J$5000="RAUL")*ISNUMBER(INPUT!$K$3:$K$5000)*IFERROR(VALUE(INPUT!$K$3:$K$5000),0)*IFERROR(SUMIFS(INPUT!$E$3:$E$5000,INPUT!$A$3:$A$5000,INPUT!$H$3:$H$5000,INPUT!$C$3:$C$5000,INPUT!$I$3:$I$5000),0)),"")</f>
        <v>0</v>
      </c>
      <c r="AX10" s="160" cm="1">
        <f t="array" ref="AX10">IFERROR(SUMPRODUCT((INPUT!$H$3:$H$5000&gt;=AX$3)*(INPUT!$H$3:$H$5000&lt;=AX$3+6)*(INPUT!$J$3:$J$5000="RAUL")*ISNUMBER(INPUT!$K$3:$K$5000)*IFERROR(VALUE(INPUT!$K$3:$K$5000),0)*IFERROR(SUMIFS(INPUT!$E$3:$E$5000,INPUT!$A$3:$A$5000,INPUT!$H$3:$H$5000,INPUT!$C$3:$C$5000,INPUT!$I$3:$I$5000),0)),"")</f>
        <v>0</v>
      </c>
      <c r="AY10" s="160" cm="1">
        <f t="array" ref="AY10">IFERROR(SUMPRODUCT((INPUT!$H$3:$H$5000&gt;=AY$3)*(INPUT!$H$3:$H$5000&lt;=AY$3+6)*(INPUT!$J$3:$J$5000="RAUL")*ISNUMBER(INPUT!$K$3:$K$5000)*IFERROR(VALUE(INPUT!$K$3:$K$5000),0)*IFERROR(SUMIFS(INPUT!$E$3:$E$5000,INPUT!$A$3:$A$5000,INPUT!$H$3:$H$5000,INPUT!$C$3:$C$5000,INPUT!$I$3:$I$5000),0)),"")</f>
        <v>0</v>
      </c>
      <c r="AZ10" s="160" cm="1">
        <f t="array" ref="AZ10">IFERROR(SUMPRODUCT((INPUT!$H$3:$H$5000&gt;=AZ$3)*(INPUT!$H$3:$H$5000&lt;=AZ$3+6)*(INPUT!$J$3:$J$5000="RAUL")*ISNUMBER(INPUT!$K$3:$K$5000)*IFERROR(VALUE(INPUT!$K$3:$K$5000),0)*IFERROR(SUMIFS(INPUT!$E$3:$E$5000,INPUT!$A$3:$A$5000,INPUT!$H$3:$H$5000,INPUT!$C$3:$C$5000,INPUT!$I$3:$I$5000),0)),"")</f>
        <v>0</v>
      </c>
      <c r="BA10" s="160" cm="1">
        <f t="array" ref="BA10">IFERROR(SUMPRODUCT((INPUT!$H$3:$H$5000&gt;=BA$3)*(INPUT!$H$3:$H$5000&lt;=BA$3+6)*(INPUT!$J$3:$J$5000="RAUL")*ISNUMBER(INPUT!$K$3:$K$5000)*IFERROR(VALUE(INPUT!$K$3:$K$5000),0)*IFERROR(SUMIFS(INPUT!$E$3:$E$5000,INPUT!$A$3:$A$5000,INPUT!$H$3:$H$5000,INPUT!$C$3:$C$5000,INPUT!$I$3:$I$5000),0)),"")</f>
        <v>0</v>
      </c>
      <c r="BB10" s="161" cm="1">
        <f t="array" ref="BB10">IFERROR(SUMPRODUCT((INPUT!$H$3:$H$5000&gt;=BB$3)*(INPUT!$H$3:$H$5000&lt;=BB$3+6)*(INPUT!$J$3:$J$5000="RAUL")*ISNUMBER(INPUT!$K$3:$K$5000)*IFERROR(VALUE(INPUT!$K$3:$K$5000),0)*IFERROR(SUMIFS(INPUT!$E$3:$E$5000,INPUT!$A$3:$A$5000,INPUT!$H$3:$H$5000,INPUT!$C$3:$C$5000,INPUT!$I$3:$I$5000),0)),"")</f>
        <v>0</v>
      </c>
    </row>
    <row r="11" spans="1:54" x14ac:dyDescent="0.2">
      <c r="A11" s="56">
        <v>7</v>
      </c>
      <c r="B11" s="9" t="s">
        <v>47</v>
      </c>
      <c r="C11" s="159" cm="1">
        <f t="array" ref="C11">IFERROR(SUMPRODUCT((INPUT!$H$3:$H$5000&gt;=C$3)*(INPUT!$H$3:$H$5000&lt;=C$3+6)*(INPUT!$J$3:$J$5000="HARRISON")*ISNUMBER(INPUT!$K$3:$K$5000)*IFERROR(VALUE(INPUT!$K$3:$K$5000),0)*IFERROR(SUMIFS(INPUT!$E$3:$E$5000,INPUT!$A$3:$A$5000,INPUT!$H$3:$H$5000,INPUT!$C$3:$C$5000,INPUT!$I$3:$I$5000),0)),"")</f>
        <v>4590</v>
      </c>
      <c r="D11" s="159" cm="1">
        <f t="array" ref="D11">IFERROR(SUMPRODUCT((INPUT!$H$3:$H$5000&gt;=D$3)*(INPUT!$H$3:$H$5000&lt;=D$3+6)*(INPUT!$J$3:$J$5000="HARRISON")*ISNUMBER(INPUT!$K$3:$K$5000)*IFERROR(VALUE(INPUT!$K$3:$K$5000),0)*IFERROR(SUMIFS(INPUT!$E$3:$E$5000,INPUT!$A$3:$A$5000,INPUT!$H$3:$H$5000,INPUT!$C$3:$C$5000,INPUT!$I$3:$I$5000),0)),"")</f>
        <v>6715</v>
      </c>
      <c r="E11" s="159" cm="1">
        <f t="array" ref="E11">IFERROR(SUMPRODUCT((INPUT!$H$3:$H$5000&gt;=E$3)*(INPUT!$H$3:$H$5000&lt;=E$3+6)*(INPUT!$J$3:$J$5000="HARRISON")*ISNUMBER(INPUT!$K$3:$K$5000)*IFERROR(VALUE(INPUT!$K$3:$K$5000),0)*IFERROR(SUMIFS(INPUT!$E$3:$E$5000,INPUT!$A$3:$A$5000,INPUT!$H$3:$H$5000,INPUT!$C$3:$C$5000,INPUT!$I$3:$I$5000),0)),"")</f>
        <v>6310</v>
      </c>
      <c r="F11" s="159" cm="1">
        <f t="array" ref="F11">IFERROR(SUMPRODUCT((INPUT!$H$3:$H$5000&gt;=F$3)*(INPUT!$H$3:$H$5000&lt;=F$3+6)*(INPUT!$J$3:$J$5000="HARRISON")*ISNUMBER(INPUT!$K$3:$K$5000)*IFERROR(VALUE(INPUT!$K$3:$K$5000),0)*IFERROR(SUMIFS(INPUT!$E$3:$E$5000,INPUT!$A$3:$A$5000,INPUT!$H$3:$H$5000,INPUT!$C$3:$C$5000,INPUT!$I$3:$I$5000),0)),"")</f>
        <v>5970</v>
      </c>
      <c r="G11" s="159" cm="1">
        <f t="array" ref="G11">IFERROR(SUMPRODUCT((INPUT!$H$3:$H$5000&gt;=G$3)*(INPUT!$H$3:$H$5000&lt;=G$3+6)*(INPUT!$J$3:$J$5000="HARRISON")*ISNUMBER(INPUT!$K$3:$K$5000)*IFERROR(VALUE(INPUT!$K$3:$K$5000),0)*IFERROR(SUMIFS(INPUT!$E$3:$E$5000,INPUT!$A$3:$A$5000,INPUT!$H$3:$H$5000,INPUT!$C$3:$C$5000,INPUT!$I$3:$I$5000),0)),"")</f>
        <v>3975</v>
      </c>
      <c r="H11" s="159" cm="1">
        <f t="array" ref="H11">IFERROR(SUMPRODUCT((INPUT!$H$3:$H$5000&gt;=H$3)*(INPUT!$H$3:$H$5000&lt;=H$3+6)*(INPUT!$J$3:$J$5000="HARRISON")*ISNUMBER(INPUT!$K$3:$K$5000)*IFERROR(VALUE(INPUT!$K$3:$K$5000),0)*IFERROR(SUMIFS(INPUT!$E$3:$E$5000,INPUT!$A$3:$A$5000,INPUT!$H$3:$H$5000,INPUT!$C$3:$C$5000,INPUT!$I$3:$I$5000),0)),"")</f>
        <v>3860</v>
      </c>
      <c r="I11" s="159" cm="1">
        <f t="array" ref="I11">IFERROR(SUMPRODUCT((INPUT!$H$3:$H$5000&gt;=I$3)*(INPUT!$H$3:$H$5000&lt;=I$3+6)*(INPUT!$J$3:$J$5000="HARRISON")*ISNUMBER(INPUT!$K$3:$K$5000)*IFERROR(VALUE(INPUT!$K$3:$K$5000),0)*IFERROR(SUMIFS(INPUT!$E$3:$E$5000,INPUT!$A$3:$A$5000,INPUT!$H$3:$H$5000,INPUT!$C$3:$C$5000,INPUT!$I$3:$I$5000),0)),"")</f>
        <v>1695</v>
      </c>
      <c r="J11" s="159" cm="1">
        <f t="array" ref="J11">IFERROR(SUMPRODUCT((INPUT!$H$3:$H$5000&gt;=J$3)*(INPUT!$H$3:$H$5000&lt;=J$3+6)*(INPUT!$J$3:$J$5000="HARRISON")*ISNUMBER(INPUT!$K$3:$K$5000)*IFERROR(VALUE(INPUT!$K$3:$K$5000),0)*IFERROR(SUMIFS(INPUT!$E$3:$E$5000,INPUT!$A$3:$A$5000,INPUT!$H$3:$H$5000,INPUT!$C$3:$C$5000,INPUT!$I$3:$I$5000),0)),"")</f>
        <v>3990</v>
      </c>
      <c r="K11" s="159" cm="1">
        <f t="array" ref="K11">IFERROR(SUMPRODUCT((INPUT!$H$3:$H$5000&gt;=K$3)*(INPUT!$H$3:$H$5000&lt;=K$3+6)*(INPUT!$J$3:$J$5000="HARRISON")*ISNUMBER(INPUT!$K$3:$K$5000)*IFERROR(VALUE(INPUT!$K$3:$K$5000),0)*IFERROR(SUMIFS(INPUT!$E$3:$E$5000,INPUT!$A$3:$A$5000,INPUT!$H$3:$H$5000,INPUT!$C$3:$C$5000,INPUT!$I$3:$I$5000),0)),"")</f>
        <v>4085</v>
      </c>
      <c r="L11" s="160" cm="1">
        <f t="array" ref="L11">IFERROR(SUMPRODUCT((INPUT!$H$3:$H$5000&gt;=L$3)*(INPUT!$H$3:$H$5000&lt;=L$3+6)*(INPUT!$J$3:$J$5000="HARRISON")*ISNUMBER(INPUT!$K$3:$K$5000)*IFERROR(VALUE(INPUT!$K$3:$K$5000),0)*IFERROR(SUMIFS(INPUT!$E$3:$E$5000,INPUT!$A$3:$A$5000,INPUT!$H$3:$H$5000,INPUT!$C$3:$C$5000,INPUT!$I$3:$I$5000),0)),"")</f>
        <v>3370</v>
      </c>
      <c r="M11" s="160" cm="1">
        <f t="array" ref="M11">IFERROR(SUMPRODUCT((INPUT!$H$3:$H$5000&gt;=M$3)*(INPUT!$H$3:$H$5000&lt;=M$3+6)*(INPUT!$J$3:$J$5000="HARRISON")*ISNUMBER(INPUT!$K$3:$K$5000)*IFERROR(VALUE(INPUT!$K$3:$K$5000),0)*IFERROR(SUMIFS(INPUT!$E$3:$E$5000,INPUT!$A$3:$A$5000,INPUT!$H$3:$H$5000,INPUT!$C$3:$C$5000,INPUT!$I$3:$I$5000),0)),"")</f>
        <v>3070</v>
      </c>
      <c r="N11" s="160" cm="1">
        <f t="array" ref="N11">IFERROR(SUMPRODUCT((INPUT!$H$3:$H$5000&gt;=N$3)*(INPUT!$H$3:$H$5000&lt;=N$3+6)*(INPUT!$J$3:$J$5000="HARRISON")*ISNUMBER(INPUT!$K$3:$K$5000)*IFERROR(VALUE(INPUT!$K$3:$K$5000),0)*IFERROR(SUMIFS(INPUT!$E$3:$E$5000,INPUT!$A$3:$A$5000,INPUT!$H$3:$H$5000,INPUT!$C$3:$C$5000,INPUT!$I$3:$I$5000),0)),"")</f>
        <v>2300</v>
      </c>
      <c r="O11" s="160" cm="1">
        <f t="array" ref="O11">IFERROR(SUMPRODUCT((INPUT!$H$3:$H$5000&gt;=O$3)*(INPUT!$H$3:$H$5000&lt;=O$3+6)*(INPUT!$J$3:$J$5000="HARRISON")*ISNUMBER(INPUT!$K$3:$K$5000)*IFERROR(VALUE(INPUT!$K$3:$K$5000),0)*IFERROR(SUMIFS(INPUT!$E$3:$E$5000,INPUT!$A$3:$A$5000,INPUT!$H$3:$H$5000,INPUT!$C$3:$C$5000,INPUT!$I$3:$I$5000),0)),"")</f>
        <v>4505</v>
      </c>
      <c r="P11" s="160" cm="1">
        <f t="array" ref="P11">IFERROR(SUMPRODUCT((INPUT!$H$3:$H$5000&gt;=P$3)*(INPUT!$H$3:$H$5000&lt;=P$3+6)*(INPUT!$J$3:$J$5000="HARRISON")*ISNUMBER(INPUT!$K$3:$K$5000)*IFERROR(VALUE(INPUT!$K$3:$K$5000),0)*IFERROR(SUMIFS(INPUT!$E$3:$E$5000,INPUT!$A$3:$A$5000,INPUT!$H$3:$H$5000,INPUT!$C$3:$C$5000,INPUT!$I$3:$I$5000),0)),"")</f>
        <v>3775</v>
      </c>
      <c r="Q11" s="160" cm="1">
        <f t="array" ref="Q11">IFERROR(SUMPRODUCT((INPUT!$H$3:$H$5000&gt;=Q$3)*(INPUT!$H$3:$H$5000&lt;=Q$3+6)*(INPUT!$J$3:$J$5000="HARRISON")*ISNUMBER(INPUT!$K$3:$K$5000)*IFERROR(VALUE(INPUT!$K$3:$K$5000),0)*IFERROR(SUMIFS(INPUT!$E$3:$E$5000,INPUT!$A$3:$A$5000,INPUT!$H$3:$H$5000,INPUT!$C$3:$C$5000,INPUT!$I$3:$I$5000),0)),"")</f>
        <v>2420</v>
      </c>
      <c r="R11" s="160" cm="1">
        <f t="array" ref="R11">IFERROR(SUMPRODUCT((INPUT!$H$3:$H$5000&gt;=R$3)*(INPUT!$H$3:$H$5000&lt;=R$3+6)*(INPUT!$J$3:$J$5000="HARRISON")*ISNUMBER(INPUT!$K$3:$K$5000)*IFERROR(VALUE(INPUT!$K$3:$K$5000),0)*IFERROR(SUMIFS(INPUT!$E$3:$E$5000,INPUT!$A$3:$A$5000,INPUT!$H$3:$H$5000,INPUT!$C$3:$C$5000,INPUT!$I$3:$I$5000),0)),"")</f>
        <v>4050</v>
      </c>
      <c r="S11" s="160" cm="1">
        <f t="array" ref="S11">IFERROR(SUMPRODUCT((INPUT!$H$3:$H$5000&gt;=S$3)*(INPUT!$H$3:$H$5000&lt;=S$3+6)*(INPUT!$J$3:$J$5000="HARRISON")*ISNUMBER(INPUT!$K$3:$K$5000)*IFERROR(VALUE(INPUT!$K$3:$K$5000),0)*IFERROR(SUMIFS(INPUT!$E$3:$E$5000,INPUT!$A$3:$A$5000,INPUT!$H$3:$H$5000,INPUT!$C$3:$C$5000,INPUT!$I$3:$I$5000),0)),"")</f>
        <v>1755</v>
      </c>
      <c r="T11" s="160" cm="1">
        <f t="array" ref="T11">IFERROR(SUMPRODUCT((INPUT!$H$3:$H$5000&gt;=T$3)*(INPUT!$H$3:$H$5000&lt;=T$3+6)*(INPUT!$J$3:$J$5000="HARRISON")*ISNUMBER(INPUT!$K$3:$K$5000)*IFERROR(VALUE(INPUT!$K$3:$K$5000),0)*IFERROR(SUMIFS(INPUT!$E$3:$E$5000,INPUT!$A$3:$A$5000,INPUT!$H$3:$H$5000,INPUT!$C$3:$C$5000,INPUT!$I$3:$I$5000),0)),"")</f>
        <v>2525</v>
      </c>
      <c r="U11" s="160" cm="1">
        <f t="array" ref="U11">IFERROR(SUMPRODUCT((INPUT!$H$3:$H$5000&gt;=U$3)*(INPUT!$H$3:$H$5000&lt;=U$3+6)*(INPUT!$J$3:$J$5000="HARRISON")*ISNUMBER(INPUT!$K$3:$K$5000)*IFERROR(VALUE(INPUT!$K$3:$K$5000),0)*IFERROR(SUMIFS(INPUT!$E$3:$E$5000,INPUT!$A$3:$A$5000,INPUT!$H$3:$H$5000,INPUT!$C$3:$C$5000,INPUT!$I$3:$I$5000),0)),"")</f>
        <v>4710</v>
      </c>
      <c r="V11" s="160" cm="1">
        <f t="array" ref="V11">IFERROR(SUMPRODUCT((INPUT!$H$3:$H$5000&gt;=V$3)*(INPUT!$H$3:$H$5000&lt;=V$3+6)*(INPUT!$J$3:$J$5000="HARRISON")*ISNUMBER(INPUT!$K$3:$K$5000)*IFERROR(VALUE(INPUT!$K$3:$K$5000),0)*IFERROR(SUMIFS(INPUT!$E$3:$E$5000,INPUT!$A$3:$A$5000,INPUT!$H$3:$H$5000,INPUT!$C$3:$C$5000,INPUT!$I$3:$I$5000),0)),"")</f>
        <v>2645</v>
      </c>
      <c r="W11" s="160" cm="1">
        <f t="array" ref="W11">IFERROR(SUMPRODUCT((INPUT!$H$3:$H$5000&gt;=W$3)*(INPUT!$H$3:$H$5000&lt;=W$3+6)*(INPUT!$J$3:$J$5000="HARRISON")*ISNUMBER(INPUT!$K$3:$K$5000)*IFERROR(VALUE(INPUT!$K$3:$K$5000),0)*IFERROR(SUMIFS(INPUT!$E$3:$E$5000,INPUT!$A$3:$A$5000,INPUT!$H$3:$H$5000,INPUT!$C$3:$C$5000,INPUT!$I$3:$I$5000),0)),"")</f>
        <v>0</v>
      </c>
      <c r="X11" s="160" cm="1">
        <f t="array" ref="X11">IFERROR(SUMPRODUCT((INPUT!$H$3:$H$5000&gt;=X$3)*(INPUT!$H$3:$H$5000&lt;=X$3+6)*(INPUT!$J$3:$J$5000="HARRISON")*ISNUMBER(INPUT!$K$3:$K$5000)*IFERROR(VALUE(INPUT!$K$3:$K$5000),0)*IFERROR(SUMIFS(INPUT!$E$3:$E$5000,INPUT!$A$3:$A$5000,INPUT!$H$3:$H$5000,INPUT!$C$3:$C$5000,INPUT!$I$3:$I$5000),0)),"")</f>
        <v>1985</v>
      </c>
      <c r="Y11" s="160" cm="1">
        <f t="array" ref="Y11">IFERROR(SUMPRODUCT((INPUT!$H$3:$H$5000&gt;=Y$3)*(INPUT!$H$3:$H$5000&lt;=Y$3+6)*(INPUT!$J$3:$J$5000="HARRISON")*ISNUMBER(INPUT!$K$3:$K$5000)*IFERROR(VALUE(INPUT!$K$3:$K$5000),0)*IFERROR(SUMIFS(INPUT!$E$3:$E$5000,INPUT!$A$3:$A$5000,INPUT!$H$3:$H$5000,INPUT!$C$3:$C$5000,INPUT!$I$3:$I$5000),0)),"")</f>
        <v>3390</v>
      </c>
      <c r="Z11" s="160" cm="1">
        <f t="array" ref="Z11">IFERROR(SUMPRODUCT((INPUT!$H$3:$H$5000&gt;=Z$3)*(INPUT!$H$3:$H$5000&lt;=Z$3+6)*(INPUT!$J$3:$J$5000="HARRISON")*ISNUMBER(INPUT!$K$3:$K$5000)*IFERROR(VALUE(INPUT!$K$3:$K$5000),0)*IFERROR(SUMIFS(INPUT!$E$3:$E$5000,INPUT!$A$3:$A$5000,INPUT!$H$3:$H$5000,INPUT!$C$3:$C$5000,INPUT!$I$3:$I$5000),0)),"")</f>
        <v>2105</v>
      </c>
      <c r="AA11" s="160" cm="1">
        <f t="array" ref="AA11">IFERROR(SUMPRODUCT((INPUT!$H$3:$H$5000&gt;=AA$3)*(INPUT!$H$3:$H$5000&lt;=AA$3+6)*(INPUT!$J$3:$J$5000="HARRISON")*ISNUMBER(INPUT!$K$3:$K$5000)*IFERROR(VALUE(INPUT!$K$3:$K$5000),0)*IFERROR(SUMIFS(INPUT!$E$3:$E$5000,INPUT!$A$3:$A$5000,INPUT!$H$3:$H$5000,INPUT!$C$3:$C$5000,INPUT!$I$3:$I$5000),0)),"")</f>
        <v>0</v>
      </c>
      <c r="AB11" s="160" cm="1">
        <f t="array" ref="AB11">IFERROR(SUMPRODUCT((INPUT!$H$3:$H$5000&gt;=AB$3)*(INPUT!$H$3:$H$5000&lt;=AB$3+6)*(INPUT!$J$3:$J$5000="HARRISON")*ISNUMBER(INPUT!$K$3:$K$5000)*IFERROR(VALUE(INPUT!$K$3:$K$5000),0)*IFERROR(SUMIFS(INPUT!$E$3:$E$5000,INPUT!$A$3:$A$5000,INPUT!$H$3:$H$5000,INPUT!$C$3:$C$5000,INPUT!$I$3:$I$5000),0)),"")</f>
        <v>0</v>
      </c>
      <c r="AC11" s="160" cm="1">
        <f t="array" ref="AC11">IFERROR(SUMPRODUCT((INPUT!$H$3:$H$5000&gt;=AC$3)*(INPUT!$H$3:$H$5000&lt;=AC$3+6)*(INPUT!$J$3:$J$5000="HARRISON")*ISNUMBER(INPUT!$K$3:$K$5000)*IFERROR(VALUE(INPUT!$K$3:$K$5000),0)*IFERROR(SUMIFS(INPUT!$E$3:$E$5000,INPUT!$A$3:$A$5000,INPUT!$H$3:$H$5000,INPUT!$C$3:$C$5000,INPUT!$I$3:$I$5000),0)),"")</f>
        <v>0</v>
      </c>
      <c r="AD11" s="160" cm="1">
        <f t="array" ref="AD11">IFERROR(SUMPRODUCT((INPUT!$H$3:$H$5000&gt;=AD$3)*(INPUT!$H$3:$H$5000&lt;=AD$3+6)*(INPUT!$J$3:$J$5000="HARRISON")*ISNUMBER(INPUT!$K$3:$K$5000)*IFERROR(VALUE(INPUT!$K$3:$K$5000),0)*IFERROR(SUMIFS(INPUT!$E$3:$E$5000,INPUT!$A$3:$A$5000,INPUT!$H$3:$H$5000,INPUT!$C$3:$C$5000,INPUT!$I$3:$I$5000),0)),"")</f>
        <v>840</v>
      </c>
      <c r="AE11" s="160" cm="1">
        <f t="array" ref="AE11">IFERROR(SUMPRODUCT((INPUT!$H$3:$H$5000&gt;=AE$3)*(INPUT!$H$3:$H$5000&lt;=AE$3+6)*(INPUT!$J$3:$J$5000="HARRISON")*ISNUMBER(INPUT!$K$3:$K$5000)*IFERROR(VALUE(INPUT!$K$3:$K$5000),0)*IFERROR(SUMIFS(INPUT!$E$3:$E$5000,INPUT!$A$3:$A$5000,INPUT!$H$3:$H$5000,INPUT!$C$3:$C$5000,INPUT!$I$3:$I$5000),0)),"")</f>
        <v>1735</v>
      </c>
      <c r="AF11" s="160" cm="1">
        <f t="array" ref="AF11">IFERROR(SUMPRODUCT((INPUT!$H$3:$H$5000&gt;=AF$3)*(INPUT!$H$3:$H$5000&lt;=AF$3+6)*(INPUT!$J$3:$J$5000="HARRISON")*ISNUMBER(INPUT!$K$3:$K$5000)*IFERROR(VALUE(INPUT!$K$3:$K$5000),0)*IFERROR(SUMIFS(INPUT!$E$3:$E$5000,INPUT!$A$3:$A$5000,INPUT!$H$3:$H$5000,INPUT!$C$3:$C$5000,INPUT!$I$3:$I$5000),0)),"")</f>
        <v>2690</v>
      </c>
      <c r="AG11" s="160" cm="1">
        <f t="array" ref="AG11">IFERROR(SUMPRODUCT((INPUT!$H$3:$H$5000&gt;=AG$3)*(INPUT!$H$3:$H$5000&lt;=AG$3+6)*(INPUT!$J$3:$J$5000="HARRISON")*ISNUMBER(INPUT!$K$3:$K$5000)*IFERROR(VALUE(INPUT!$K$3:$K$5000),0)*IFERROR(SUMIFS(INPUT!$E$3:$E$5000,INPUT!$A$3:$A$5000,INPUT!$H$3:$H$5000,INPUT!$C$3:$C$5000,INPUT!$I$3:$I$5000),0)),"")</f>
        <v>4510</v>
      </c>
      <c r="AH11" s="160" cm="1">
        <f t="array" ref="AH11">IFERROR(SUMPRODUCT((INPUT!$H$3:$H$5000&gt;=AH$3)*(INPUT!$H$3:$H$5000&lt;=AH$3+6)*(INPUT!$J$3:$J$5000="HARRISON")*ISNUMBER(INPUT!$K$3:$K$5000)*IFERROR(VALUE(INPUT!$K$3:$K$5000),0)*IFERROR(SUMIFS(INPUT!$E$3:$E$5000,INPUT!$A$3:$A$5000,INPUT!$H$3:$H$5000,INPUT!$C$3:$C$5000,INPUT!$I$3:$I$5000),0)),"")</f>
        <v>2870</v>
      </c>
      <c r="AI11" s="160" cm="1">
        <f t="array" ref="AI11">IFERROR(SUMPRODUCT((INPUT!$H$3:$H$5000&gt;=AI$3)*(INPUT!$H$3:$H$5000&lt;=AI$3+6)*(INPUT!$J$3:$J$5000="HARRISON")*ISNUMBER(INPUT!$K$3:$K$5000)*IFERROR(VALUE(INPUT!$K$3:$K$5000),0)*IFERROR(SUMIFS(INPUT!$E$3:$E$5000,INPUT!$A$3:$A$5000,INPUT!$H$3:$H$5000,INPUT!$C$3:$C$5000,INPUT!$I$3:$I$5000),0)),"")</f>
        <v>4305</v>
      </c>
      <c r="AJ11" s="160" cm="1">
        <f t="array" ref="AJ11">IFERROR(SUMPRODUCT((INPUT!$H$3:$H$5000&gt;=AJ$3)*(INPUT!$H$3:$H$5000&lt;=AJ$3+6)*(INPUT!$J$3:$J$5000="HARRISON")*ISNUMBER(INPUT!$K$3:$K$5000)*IFERROR(VALUE(INPUT!$K$3:$K$5000),0)*IFERROR(SUMIFS(INPUT!$E$3:$E$5000,INPUT!$A$3:$A$5000,INPUT!$H$3:$H$5000,INPUT!$C$3:$C$5000,INPUT!$I$3:$I$5000),0)),"")</f>
        <v>2840</v>
      </c>
      <c r="AK11" s="160" cm="1">
        <f t="array" ref="AK11">IFERROR(SUMPRODUCT((INPUT!$H$3:$H$5000&gt;=AK$3)*(INPUT!$H$3:$H$5000&lt;=AK$3+6)*(INPUT!$J$3:$J$5000="HARRISON")*ISNUMBER(INPUT!$K$3:$K$5000)*IFERROR(VALUE(INPUT!$K$3:$K$5000),0)*IFERROR(SUMIFS(INPUT!$E$3:$E$5000,INPUT!$A$3:$A$5000,INPUT!$H$3:$H$5000,INPUT!$C$3:$C$5000,INPUT!$I$3:$I$5000),0)),"")</f>
        <v>3310</v>
      </c>
      <c r="AL11" s="160" cm="1">
        <f t="array" ref="AL11">IFERROR(SUMPRODUCT((INPUT!$H$3:$H$5000&gt;=AL$3)*(INPUT!$H$3:$H$5000&lt;=AL$3+6)*(INPUT!$J$3:$J$5000="HARRISON")*ISNUMBER(INPUT!$K$3:$K$5000)*IFERROR(VALUE(INPUT!$K$3:$K$5000),0)*IFERROR(SUMIFS(INPUT!$E$3:$E$5000,INPUT!$A$3:$A$5000,INPUT!$H$3:$H$5000,INPUT!$C$3:$C$5000,INPUT!$I$3:$I$5000),0)),"")</f>
        <v>5040</v>
      </c>
      <c r="AM11" s="160" cm="1">
        <f t="array" ref="AM11">IFERROR(SUMPRODUCT((INPUT!$H$3:$H$5000&gt;=AM$3)*(INPUT!$H$3:$H$5000&lt;=AM$3+6)*(INPUT!$J$3:$J$5000="HARRISON")*ISNUMBER(INPUT!$K$3:$K$5000)*IFERROR(VALUE(INPUT!$K$3:$K$5000),0)*IFERROR(SUMIFS(INPUT!$E$3:$E$5000,INPUT!$A$3:$A$5000,INPUT!$H$3:$H$5000,INPUT!$C$3:$C$5000,INPUT!$I$3:$I$5000),0)),"")</f>
        <v>4280</v>
      </c>
      <c r="AN11" s="160" cm="1">
        <f t="array" ref="AN11">IFERROR(SUMPRODUCT((INPUT!$H$3:$H$5000&gt;=AN$3)*(INPUT!$H$3:$H$5000&lt;=AN$3+6)*(INPUT!$J$3:$J$5000="HARRISON")*ISNUMBER(INPUT!$K$3:$K$5000)*IFERROR(VALUE(INPUT!$K$3:$K$5000),0)*IFERROR(SUMIFS(INPUT!$E$3:$E$5000,INPUT!$A$3:$A$5000,INPUT!$H$3:$H$5000,INPUT!$C$3:$C$5000,INPUT!$I$3:$I$5000),0)),"")</f>
        <v>4590</v>
      </c>
      <c r="AO11" s="160" cm="1">
        <f t="array" ref="AO11">IFERROR(SUMPRODUCT((INPUT!$H$3:$H$5000&gt;=AO$3)*(INPUT!$H$3:$H$5000&lt;=AO$3+6)*(INPUT!$J$3:$J$5000="HARRISON")*ISNUMBER(INPUT!$K$3:$K$5000)*IFERROR(VALUE(INPUT!$K$3:$K$5000),0)*IFERROR(SUMIFS(INPUT!$E$3:$E$5000,INPUT!$A$3:$A$5000,INPUT!$H$3:$H$5000,INPUT!$C$3:$C$5000,INPUT!$I$3:$I$5000),0)),"")</f>
        <v>0</v>
      </c>
      <c r="AP11" s="160" cm="1">
        <f t="array" ref="AP11">IFERROR(SUMPRODUCT((INPUT!$H$3:$H$5000&gt;=AP$3)*(INPUT!$H$3:$H$5000&lt;=AP$3+6)*(INPUT!$J$3:$J$5000="HARRISON")*ISNUMBER(INPUT!$K$3:$K$5000)*IFERROR(VALUE(INPUT!$K$3:$K$5000),0)*IFERROR(SUMIFS(INPUT!$E$3:$E$5000,INPUT!$A$3:$A$5000,INPUT!$H$3:$H$5000,INPUT!$C$3:$C$5000,INPUT!$I$3:$I$5000),0)),"")</f>
        <v>0</v>
      </c>
      <c r="AQ11" s="160" cm="1">
        <f t="array" ref="AQ11">IFERROR(SUMPRODUCT((INPUT!$H$3:$H$5000&gt;=AQ$3)*(INPUT!$H$3:$H$5000&lt;=AQ$3+6)*(INPUT!$J$3:$J$5000="HARRISON")*ISNUMBER(INPUT!$K$3:$K$5000)*IFERROR(VALUE(INPUT!$K$3:$K$5000),0)*IFERROR(SUMIFS(INPUT!$E$3:$E$5000,INPUT!$A$3:$A$5000,INPUT!$H$3:$H$5000,INPUT!$C$3:$C$5000,INPUT!$I$3:$I$5000),0)),"")</f>
        <v>0</v>
      </c>
      <c r="AR11" s="160" cm="1">
        <f t="array" ref="AR11">IFERROR(SUMPRODUCT((INPUT!$H$3:$H$5000&gt;=AR$3)*(INPUT!$H$3:$H$5000&lt;=AR$3+6)*(INPUT!$J$3:$J$5000="HARRISON")*ISNUMBER(INPUT!$K$3:$K$5000)*IFERROR(VALUE(INPUT!$K$3:$K$5000),0)*IFERROR(SUMIFS(INPUT!$E$3:$E$5000,INPUT!$A$3:$A$5000,INPUT!$H$3:$H$5000,INPUT!$C$3:$C$5000,INPUT!$I$3:$I$5000),0)),"")</f>
        <v>0</v>
      </c>
      <c r="AS11" s="160" cm="1">
        <f t="array" ref="AS11">IFERROR(SUMPRODUCT((INPUT!$H$3:$H$5000&gt;=AS$3)*(INPUT!$H$3:$H$5000&lt;=AS$3+6)*(INPUT!$J$3:$J$5000="HARRISON")*ISNUMBER(INPUT!$K$3:$K$5000)*IFERROR(VALUE(INPUT!$K$3:$K$5000),0)*IFERROR(SUMIFS(INPUT!$E$3:$E$5000,INPUT!$A$3:$A$5000,INPUT!$H$3:$H$5000,INPUT!$C$3:$C$5000,INPUT!$I$3:$I$5000),0)),"")</f>
        <v>0</v>
      </c>
      <c r="AT11" s="160" cm="1">
        <f t="array" ref="AT11">IFERROR(SUMPRODUCT((INPUT!$H$3:$H$5000&gt;=AT$3)*(INPUT!$H$3:$H$5000&lt;=AT$3+6)*(INPUT!$J$3:$J$5000="HARRISON")*ISNUMBER(INPUT!$K$3:$K$5000)*IFERROR(VALUE(INPUT!$K$3:$K$5000),0)*IFERROR(SUMIFS(INPUT!$E$3:$E$5000,INPUT!$A$3:$A$5000,INPUT!$H$3:$H$5000,INPUT!$C$3:$C$5000,INPUT!$I$3:$I$5000),0)),"")</f>
        <v>0</v>
      </c>
      <c r="AU11" s="160" cm="1">
        <f t="array" ref="AU11">IFERROR(SUMPRODUCT((INPUT!$H$3:$H$5000&gt;=AU$3)*(INPUT!$H$3:$H$5000&lt;=AU$3+6)*(INPUT!$J$3:$J$5000="HARRISON")*ISNUMBER(INPUT!$K$3:$K$5000)*IFERROR(VALUE(INPUT!$K$3:$K$5000),0)*IFERROR(SUMIFS(INPUT!$E$3:$E$5000,INPUT!$A$3:$A$5000,INPUT!$H$3:$H$5000,INPUT!$C$3:$C$5000,INPUT!$I$3:$I$5000),0)),"")</f>
        <v>0</v>
      </c>
      <c r="AV11" s="160" cm="1">
        <f t="array" ref="AV11">IFERROR(SUMPRODUCT((INPUT!$H$3:$H$5000&gt;=AV$3)*(INPUT!$H$3:$H$5000&lt;=AV$3+6)*(INPUT!$J$3:$J$5000="HARRISON")*ISNUMBER(INPUT!$K$3:$K$5000)*IFERROR(VALUE(INPUT!$K$3:$K$5000),0)*IFERROR(SUMIFS(INPUT!$E$3:$E$5000,INPUT!$A$3:$A$5000,INPUT!$H$3:$H$5000,INPUT!$C$3:$C$5000,INPUT!$I$3:$I$5000),0)),"")</f>
        <v>0</v>
      </c>
      <c r="AW11" s="160" cm="1">
        <f t="array" ref="AW11">IFERROR(SUMPRODUCT((INPUT!$H$3:$H$5000&gt;=AW$3)*(INPUT!$H$3:$H$5000&lt;=AW$3+6)*(INPUT!$J$3:$J$5000="HARRISON")*ISNUMBER(INPUT!$K$3:$K$5000)*IFERROR(VALUE(INPUT!$K$3:$K$5000),0)*IFERROR(SUMIFS(INPUT!$E$3:$E$5000,INPUT!$A$3:$A$5000,INPUT!$H$3:$H$5000,INPUT!$C$3:$C$5000,INPUT!$I$3:$I$5000),0)),"")</f>
        <v>0</v>
      </c>
      <c r="AX11" s="160" cm="1">
        <f t="array" ref="AX11">IFERROR(SUMPRODUCT((INPUT!$H$3:$H$5000&gt;=AX$3)*(INPUT!$H$3:$H$5000&lt;=AX$3+6)*(INPUT!$J$3:$J$5000="HARRISON")*ISNUMBER(INPUT!$K$3:$K$5000)*IFERROR(VALUE(INPUT!$K$3:$K$5000),0)*IFERROR(SUMIFS(INPUT!$E$3:$E$5000,INPUT!$A$3:$A$5000,INPUT!$H$3:$H$5000,INPUT!$C$3:$C$5000,INPUT!$I$3:$I$5000),0)),"")</f>
        <v>0</v>
      </c>
      <c r="AY11" s="160" cm="1">
        <f t="array" ref="AY11">IFERROR(SUMPRODUCT((INPUT!$H$3:$H$5000&gt;=AY$3)*(INPUT!$H$3:$H$5000&lt;=AY$3+6)*(INPUT!$J$3:$J$5000="HARRISON")*ISNUMBER(INPUT!$K$3:$K$5000)*IFERROR(VALUE(INPUT!$K$3:$K$5000),0)*IFERROR(SUMIFS(INPUT!$E$3:$E$5000,INPUT!$A$3:$A$5000,INPUT!$H$3:$H$5000,INPUT!$C$3:$C$5000,INPUT!$I$3:$I$5000),0)),"")</f>
        <v>0</v>
      </c>
      <c r="AZ11" s="160" cm="1">
        <f t="array" ref="AZ11">IFERROR(SUMPRODUCT((INPUT!$H$3:$H$5000&gt;=AZ$3)*(INPUT!$H$3:$H$5000&lt;=AZ$3+6)*(INPUT!$J$3:$J$5000="HARRISON")*ISNUMBER(INPUT!$K$3:$K$5000)*IFERROR(VALUE(INPUT!$K$3:$K$5000),0)*IFERROR(SUMIFS(INPUT!$E$3:$E$5000,INPUT!$A$3:$A$5000,INPUT!$H$3:$H$5000,INPUT!$C$3:$C$5000,INPUT!$I$3:$I$5000),0)),"")</f>
        <v>0</v>
      </c>
      <c r="BA11" s="160" cm="1">
        <f t="array" ref="BA11">IFERROR(SUMPRODUCT((INPUT!$H$3:$H$5000&gt;=BA$3)*(INPUT!$H$3:$H$5000&lt;=BA$3+6)*(INPUT!$J$3:$J$5000="HARRISON")*ISNUMBER(INPUT!$K$3:$K$5000)*IFERROR(VALUE(INPUT!$K$3:$K$5000),0)*IFERROR(SUMIFS(INPUT!$E$3:$E$5000,INPUT!$A$3:$A$5000,INPUT!$H$3:$H$5000,INPUT!$C$3:$C$5000,INPUT!$I$3:$I$5000),0)),"")</f>
        <v>0</v>
      </c>
      <c r="BB11" s="161" cm="1">
        <f t="array" ref="BB11">IFERROR(SUMPRODUCT((INPUT!$H$3:$H$5000&gt;=BB$3)*(INPUT!$H$3:$H$5000&lt;=BB$3+6)*(INPUT!$J$3:$J$5000="HARRISON")*ISNUMBER(INPUT!$K$3:$K$5000)*IFERROR(VALUE(INPUT!$K$3:$K$5000),0)*IFERROR(SUMIFS(INPUT!$E$3:$E$5000,INPUT!$A$3:$A$5000,INPUT!$H$3:$H$5000,INPUT!$C$3:$C$5000,INPUT!$I$3:$I$5000),0)),"")</f>
        <v>0</v>
      </c>
    </row>
    <row r="12" spans="1:54" x14ac:dyDescent="0.2">
      <c r="A12" s="154">
        <v>8</v>
      </c>
      <c r="B12" s="81" t="s">
        <v>48</v>
      </c>
      <c r="C12" s="159" cm="1">
        <f t="array" ref="C12">IFERROR(SUMPRODUCT((INPUT!$H$3:$H$5000&gt;=C$3)*(INPUT!$H$3:$H$5000&lt;=C$3+6)*(INPUT!$J$3:$J$5000="RAYA")*ISNUMBER(INPUT!$K$3:$K$5000)*IFERROR(VALUE(INPUT!$K$3:$K$5000),0)*IFERROR(SUMIFS(INPUT!$E$3:$E$5000,INPUT!$A$3:$A$5000,INPUT!$H$3:$H$5000,INPUT!$C$3:$C$5000,INPUT!$I$3:$I$5000),0)),"")</f>
        <v>4590</v>
      </c>
      <c r="D12" s="159" cm="1">
        <f t="array" ref="D12">IFERROR(SUMPRODUCT((INPUT!$H$3:$H$5000&gt;=D$3)*(INPUT!$H$3:$H$5000&lt;=D$3+6)*(INPUT!$J$3:$J$5000="RAYA")*ISNUMBER(INPUT!$K$3:$K$5000)*IFERROR(VALUE(INPUT!$K$3:$K$5000),0)*IFERROR(SUMIFS(INPUT!$E$3:$E$5000,INPUT!$A$3:$A$5000,INPUT!$H$3:$H$5000,INPUT!$C$3:$C$5000,INPUT!$I$3:$I$5000),0)),"")</f>
        <v>7315</v>
      </c>
      <c r="E12" s="159" cm="1">
        <f t="array" ref="E12">IFERROR(SUMPRODUCT((INPUT!$H$3:$H$5000&gt;=E$3)*(INPUT!$H$3:$H$5000&lt;=E$3+6)*(INPUT!$J$3:$J$5000="RAYA")*ISNUMBER(INPUT!$K$3:$K$5000)*IFERROR(VALUE(INPUT!$K$3:$K$5000),0)*IFERROR(SUMIFS(INPUT!$E$3:$E$5000,INPUT!$A$3:$A$5000,INPUT!$H$3:$H$5000,INPUT!$C$3:$C$5000,INPUT!$I$3:$I$5000),0)),"")</f>
        <v>6760</v>
      </c>
      <c r="F12" s="159" cm="1">
        <f t="array" ref="F12">IFERROR(SUMPRODUCT((INPUT!$H$3:$H$5000&gt;=F$3)*(INPUT!$H$3:$H$5000&lt;=F$3+6)*(INPUT!$J$3:$J$5000="RAYA")*ISNUMBER(INPUT!$K$3:$K$5000)*IFERROR(VALUE(INPUT!$K$3:$K$5000),0)*IFERROR(SUMIFS(INPUT!$E$3:$E$5000,INPUT!$A$3:$A$5000,INPUT!$H$3:$H$5000,INPUT!$C$3:$C$5000,INPUT!$I$3:$I$5000),0)),"")</f>
        <v>6390</v>
      </c>
      <c r="G12" s="159" cm="1">
        <f t="array" ref="G12">IFERROR(SUMPRODUCT((INPUT!$H$3:$H$5000&gt;=G$3)*(INPUT!$H$3:$H$5000&lt;=G$3+6)*(INPUT!$J$3:$J$5000="RAYA")*ISNUMBER(INPUT!$K$3:$K$5000)*IFERROR(VALUE(INPUT!$K$3:$K$5000),0)*IFERROR(SUMIFS(INPUT!$E$3:$E$5000,INPUT!$A$3:$A$5000,INPUT!$H$3:$H$5000,INPUT!$C$3:$C$5000,INPUT!$I$3:$I$5000),0)),"")</f>
        <v>4095</v>
      </c>
      <c r="H12" s="159" cm="1">
        <f t="array" ref="H12">IFERROR(SUMPRODUCT((INPUT!$H$3:$H$5000&gt;=H$3)*(INPUT!$H$3:$H$5000&lt;=H$3+6)*(INPUT!$J$3:$J$5000="RAYA")*ISNUMBER(INPUT!$K$3:$K$5000)*IFERROR(VALUE(INPUT!$K$3:$K$5000),0)*IFERROR(SUMIFS(INPUT!$E$3:$E$5000,INPUT!$A$3:$A$5000,INPUT!$H$3:$H$5000,INPUT!$C$3:$C$5000,INPUT!$I$3:$I$5000),0)),"")</f>
        <v>4055</v>
      </c>
      <c r="I12" s="159" cm="1">
        <f t="array" ref="I12">IFERROR(SUMPRODUCT((INPUT!$H$3:$H$5000&gt;=I$3)*(INPUT!$H$3:$H$5000&lt;=I$3+6)*(INPUT!$J$3:$J$5000="RAYA")*ISNUMBER(INPUT!$K$3:$K$5000)*IFERROR(VALUE(INPUT!$K$3:$K$5000),0)*IFERROR(SUMIFS(INPUT!$E$3:$E$5000,INPUT!$A$3:$A$5000,INPUT!$H$3:$H$5000,INPUT!$C$3:$C$5000,INPUT!$I$3:$I$5000),0)),"")</f>
        <v>2920</v>
      </c>
      <c r="J12" s="159" cm="1">
        <f t="array" ref="J12">IFERROR(SUMPRODUCT((INPUT!$H$3:$H$5000&gt;=J$3)*(INPUT!$H$3:$H$5000&lt;=J$3+6)*(INPUT!$J$3:$J$5000="RAYA")*ISNUMBER(INPUT!$K$3:$K$5000)*IFERROR(VALUE(INPUT!$K$3:$K$5000),0)*IFERROR(SUMIFS(INPUT!$E$3:$E$5000,INPUT!$A$3:$A$5000,INPUT!$H$3:$H$5000,INPUT!$C$3:$C$5000,INPUT!$I$3:$I$5000),0)),"")</f>
        <v>4270</v>
      </c>
      <c r="K12" s="159" cm="1">
        <f t="array" ref="K12">IFERROR(SUMPRODUCT((INPUT!$H$3:$H$5000&gt;=K$3)*(INPUT!$H$3:$H$5000&lt;=K$3+6)*(INPUT!$J$3:$J$5000="RAYA")*ISNUMBER(INPUT!$K$3:$K$5000)*IFERROR(VALUE(INPUT!$K$3:$K$5000),0)*IFERROR(SUMIFS(INPUT!$E$3:$E$5000,INPUT!$A$3:$A$5000,INPUT!$H$3:$H$5000,INPUT!$C$3:$C$5000,INPUT!$I$3:$I$5000),0)),"")</f>
        <v>4135</v>
      </c>
      <c r="L12" s="160" cm="1">
        <f t="array" ref="L12">IFERROR(SUMPRODUCT((INPUT!$H$3:$H$5000&gt;=L$3)*(INPUT!$H$3:$H$5000&lt;=L$3+6)*(INPUT!$J$3:$J$5000="RAYA")*ISNUMBER(INPUT!$K$3:$K$5000)*IFERROR(VALUE(INPUT!$K$3:$K$5000),0)*IFERROR(SUMIFS(INPUT!$E$3:$E$5000,INPUT!$A$3:$A$5000,INPUT!$H$3:$H$5000,INPUT!$C$3:$C$5000,INPUT!$I$3:$I$5000),0)),"")</f>
        <v>3940</v>
      </c>
      <c r="M12" s="160" cm="1">
        <f t="array" ref="M12">IFERROR(SUMPRODUCT((INPUT!$H$3:$H$5000&gt;=M$3)*(INPUT!$H$3:$H$5000&lt;=M$3+6)*(INPUT!$J$3:$J$5000="RAYA")*ISNUMBER(INPUT!$K$3:$K$5000)*IFERROR(VALUE(INPUT!$K$3:$K$5000),0)*IFERROR(SUMIFS(INPUT!$E$3:$E$5000,INPUT!$A$3:$A$5000,INPUT!$H$3:$H$5000,INPUT!$C$3:$C$5000,INPUT!$I$3:$I$5000),0)),"")</f>
        <v>3095</v>
      </c>
      <c r="N12" s="160" cm="1">
        <f t="array" ref="N12">IFERROR(SUMPRODUCT((INPUT!$H$3:$H$5000&gt;=N$3)*(INPUT!$H$3:$H$5000&lt;=N$3+6)*(INPUT!$J$3:$J$5000="RAYA")*ISNUMBER(INPUT!$K$3:$K$5000)*IFERROR(VALUE(INPUT!$K$3:$K$5000),0)*IFERROR(SUMIFS(INPUT!$E$3:$E$5000,INPUT!$A$3:$A$5000,INPUT!$H$3:$H$5000,INPUT!$C$3:$C$5000,INPUT!$I$3:$I$5000),0)),"")</f>
        <v>3120</v>
      </c>
      <c r="O12" s="160" cm="1">
        <f t="array" ref="O12">IFERROR(SUMPRODUCT((INPUT!$H$3:$H$5000&gt;=O$3)*(INPUT!$H$3:$H$5000&lt;=O$3+6)*(INPUT!$J$3:$J$5000="RAYA")*ISNUMBER(INPUT!$K$3:$K$5000)*IFERROR(VALUE(INPUT!$K$3:$K$5000),0)*IFERROR(SUMIFS(INPUT!$E$3:$E$5000,INPUT!$A$3:$A$5000,INPUT!$H$3:$H$5000,INPUT!$C$3:$C$5000,INPUT!$I$3:$I$5000),0)),"")</f>
        <v>4250</v>
      </c>
      <c r="P12" s="160" cm="1">
        <f t="array" ref="P12">IFERROR(SUMPRODUCT((INPUT!$H$3:$H$5000&gt;=P$3)*(INPUT!$H$3:$H$5000&lt;=P$3+6)*(INPUT!$J$3:$J$5000="RAYA")*ISNUMBER(INPUT!$K$3:$K$5000)*IFERROR(VALUE(INPUT!$K$3:$K$5000),0)*IFERROR(SUMIFS(INPUT!$E$3:$E$5000,INPUT!$A$3:$A$5000,INPUT!$H$3:$H$5000,INPUT!$C$3:$C$5000,INPUT!$I$3:$I$5000),0)),"")</f>
        <v>3625</v>
      </c>
      <c r="Q12" s="160" cm="1">
        <f t="array" ref="Q12">IFERROR(SUMPRODUCT((INPUT!$H$3:$H$5000&gt;=Q$3)*(INPUT!$H$3:$H$5000&lt;=Q$3+6)*(INPUT!$J$3:$J$5000="RAYA")*ISNUMBER(INPUT!$K$3:$K$5000)*IFERROR(VALUE(INPUT!$K$3:$K$5000),0)*IFERROR(SUMIFS(INPUT!$E$3:$E$5000,INPUT!$A$3:$A$5000,INPUT!$H$3:$H$5000,INPUT!$C$3:$C$5000,INPUT!$I$3:$I$5000),0)),"")</f>
        <v>2540</v>
      </c>
      <c r="R12" s="160" cm="1">
        <f t="array" ref="R12">IFERROR(SUMPRODUCT((INPUT!$H$3:$H$5000&gt;=R$3)*(INPUT!$H$3:$H$5000&lt;=R$3+6)*(INPUT!$J$3:$J$5000="RAYA")*ISNUMBER(INPUT!$K$3:$K$5000)*IFERROR(VALUE(INPUT!$K$3:$K$5000),0)*IFERROR(SUMIFS(INPUT!$E$3:$E$5000,INPUT!$A$3:$A$5000,INPUT!$H$3:$H$5000,INPUT!$C$3:$C$5000,INPUT!$I$3:$I$5000),0)),"")</f>
        <v>1590</v>
      </c>
      <c r="S12" s="160" cm="1">
        <f t="array" ref="S12">IFERROR(SUMPRODUCT((INPUT!$H$3:$H$5000&gt;=S$3)*(INPUT!$H$3:$H$5000&lt;=S$3+6)*(INPUT!$J$3:$J$5000="RAYA")*ISNUMBER(INPUT!$K$3:$K$5000)*IFERROR(VALUE(INPUT!$K$3:$K$5000),0)*IFERROR(SUMIFS(INPUT!$E$3:$E$5000,INPUT!$A$3:$A$5000,INPUT!$H$3:$H$5000,INPUT!$C$3:$C$5000,INPUT!$I$3:$I$5000),0)),"")</f>
        <v>2725</v>
      </c>
      <c r="T12" s="160" cm="1">
        <f t="array" ref="T12">IFERROR(SUMPRODUCT((INPUT!$H$3:$H$5000&gt;=T$3)*(INPUT!$H$3:$H$5000&lt;=T$3+6)*(INPUT!$J$3:$J$5000="RAYA")*ISNUMBER(INPUT!$K$3:$K$5000)*IFERROR(VALUE(INPUT!$K$3:$K$5000),0)*IFERROR(SUMIFS(INPUT!$E$3:$E$5000,INPUT!$A$3:$A$5000,INPUT!$H$3:$H$5000,INPUT!$C$3:$C$5000,INPUT!$I$3:$I$5000),0)),"")</f>
        <v>2285</v>
      </c>
      <c r="U12" s="160" cm="1">
        <f t="array" ref="U12">IFERROR(SUMPRODUCT((INPUT!$H$3:$H$5000&gt;=U$3)*(INPUT!$H$3:$H$5000&lt;=U$3+6)*(INPUT!$J$3:$J$5000="RAYA")*ISNUMBER(INPUT!$K$3:$K$5000)*IFERROR(VALUE(INPUT!$K$3:$K$5000),0)*IFERROR(SUMIFS(INPUT!$E$3:$E$5000,INPUT!$A$3:$A$5000,INPUT!$H$3:$H$5000,INPUT!$C$3:$C$5000,INPUT!$I$3:$I$5000),0)),"")</f>
        <v>4650</v>
      </c>
      <c r="V12" s="160" cm="1">
        <f t="array" ref="V12">IFERROR(SUMPRODUCT((INPUT!$H$3:$H$5000&gt;=V$3)*(INPUT!$H$3:$H$5000&lt;=V$3+6)*(INPUT!$J$3:$J$5000="RAYA")*ISNUMBER(INPUT!$K$3:$K$5000)*IFERROR(VALUE(INPUT!$K$3:$K$5000),0)*IFERROR(SUMIFS(INPUT!$E$3:$E$5000,INPUT!$A$3:$A$5000,INPUT!$H$3:$H$5000,INPUT!$C$3:$C$5000,INPUT!$I$3:$I$5000),0)),"")</f>
        <v>2885</v>
      </c>
      <c r="W12" s="160" cm="1">
        <f t="array" ref="W12">IFERROR(SUMPRODUCT((INPUT!$H$3:$H$5000&gt;=W$3)*(INPUT!$H$3:$H$5000&lt;=W$3+6)*(INPUT!$J$3:$J$5000="RAYA")*ISNUMBER(INPUT!$K$3:$K$5000)*IFERROR(VALUE(INPUT!$K$3:$K$5000),0)*IFERROR(SUMIFS(INPUT!$E$3:$E$5000,INPUT!$A$3:$A$5000,INPUT!$H$3:$H$5000,INPUT!$C$3:$C$5000,INPUT!$I$3:$I$5000),0)),"")</f>
        <v>0</v>
      </c>
      <c r="X12" s="160" cm="1">
        <f t="array" ref="X12">IFERROR(SUMPRODUCT((INPUT!$H$3:$H$5000&gt;=X$3)*(INPUT!$H$3:$H$5000&lt;=X$3+6)*(INPUT!$J$3:$J$5000="RAYA")*ISNUMBER(INPUT!$K$3:$K$5000)*IFERROR(VALUE(INPUT!$K$3:$K$5000),0)*IFERROR(SUMIFS(INPUT!$E$3:$E$5000,INPUT!$A$3:$A$5000,INPUT!$H$3:$H$5000,INPUT!$C$3:$C$5000,INPUT!$I$3:$I$5000),0)),"")</f>
        <v>0</v>
      </c>
      <c r="Y12" s="160" cm="1">
        <f t="array" ref="Y12">IFERROR(SUMPRODUCT((INPUT!$H$3:$H$5000&gt;=Y$3)*(INPUT!$H$3:$H$5000&lt;=Y$3+6)*(INPUT!$J$3:$J$5000="RAYA")*ISNUMBER(INPUT!$K$3:$K$5000)*IFERROR(VALUE(INPUT!$K$3:$K$5000),0)*IFERROR(SUMIFS(INPUT!$E$3:$E$5000,INPUT!$A$3:$A$5000,INPUT!$H$3:$H$5000,INPUT!$C$3:$C$5000,INPUT!$I$3:$I$5000),0)),"")</f>
        <v>840</v>
      </c>
      <c r="Z12" s="160" cm="1">
        <f t="array" ref="Z12">IFERROR(SUMPRODUCT((INPUT!$H$3:$H$5000&gt;=Z$3)*(INPUT!$H$3:$H$5000&lt;=Z$3+6)*(INPUT!$J$3:$J$5000="RAYA")*ISNUMBER(INPUT!$K$3:$K$5000)*IFERROR(VALUE(INPUT!$K$3:$K$5000),0)*IFERROR(SUMIFS(INPUT!$E$3:$E$5000,INPUT!$A$3:$A$5000,INPUT!$H$3:$H$5000,INPUT!$C$3:$C$5000,INPUT!$I$3:$I$5000),0)),"")</f>
        <v>3135</v>
      </c>
      <c r="AA12" s="160" cm="1">
        <f t="array" ref="AA12">IFERROR(SUMPRODUCT((INPUT!$H$3:$H$5000&gt;=AA$3)*(INPUT!$H$3:$H$5000&lt;=AA$3+6)*(INPUT!$J$3:$J$5000="RAYA")*ISNUMBER(INPUT!$K$3:$K$5000)*IFERROR(VALUE(INPUT!$K$3:$K$5000),0)*IFERROR(SUMIFS(INPUT!$E$3:$E$5000,INPUT!$A$3:$A$5000,INPUT!$H$3:$H$5000,INPUT!$C$3:$C$5000,INPUT!$I$3:$I$5000),0)),"")</f>
        <v>0</v>
      </c>
      <c r="AB12" s="160" cm="1">
        <f t="array" ref="AB12">IFERROR(SUMPRODUCT((INPUT!$H$3:$H$5000&gt;=AB$3)*(INPUT!$H$3:$H$5000&lt;=AB$3+6)*(INPUT!$J$3:$J$5000="RAYA")*ISNUMBER(INPUT!$K$3:$K$5000)*IFERROR(VALUE(INPUT!$K$3:$K$5000),0)*IFERROR(SUMIFS(INPUT!$E$3:$E$5000,INPUT!$A$3:$A$5000,INPUT!$H$3:$H$5000,INPUT!$C$3:$C$5000,INPUT!$I$3:$I$5000),0)),"")</f>
        <v>0</v>
      </c>
      <c r="AC12" s="160" cm="1">
        <f t="array" ref="AC12">IFERROR(SUMPRODUCT((INPUT!$H$3:$H$5000&gt;=AC$3)*(INPUT!$H$3:$H$5000&lt;=AC$3+6)*(INPUT!$J$3:$J$5000="RAYA")*ISNUMBER(INPUT!$K$3:$K$5000)*IFERROR(VALUE(INPUT!$K$3:$K$5000),0)*IFERROR(SUMIFS(INPUT!$E$3:$E$5000,INPUT!$A$3:$A$5000,INPUT!$H$3:$H$5000,INPUT!$C$3:$C$5000,INPUT!$I$3:$I$5000),0)),"")</f>
        <v>0</v>
      </c>
      <c r="AD12" s="160" cm="1">
        <f t="array" ref="AD12">IFERROR(SUMPRODUCT((INPUT!$H$3:$H$5000&gt;=AD$3)*(INPUT!$H$3:$H$5000&lt;=AD$3+6)*(INPUT!$J$3:$J$5000="RAYA")*ISNUMBER(INPUT!$K$3:$K$5000)*IFERROR(VALUE(INPUT!$K$3:$K$5000),0)*IFERROR(SUMIFS(INPUT!$E$3:$E$5000,INPUT!$A$3:$A$5000,INPUT!$H$3:$H$5000,INPUT!$C$3:$C$5000,INPUT!$I$3:$I$5000),0)),"")</f>
        <v>0</v>
      </c>
      <c r="AE12" s="160" cm="1">
        <f t="array" ref="AE12">IFERROR(SUMPRODUCT((INPUT!$H$3:$H$5000&gt;=AE$3)*(INPUT!$H$3:$H$5000&lt;=AE$3+6)*(INPUT!$J$3:$J$5000="RAYA")*ISNUMBER(INPUT!$K$3:$K$5000)*IFERROR(VALUE(INPUT!$K$3:$K$5000),0)*IFERROR(SUMIFS(INPUT!$E$3:$E$5000,INPUT!$A$3:$A$5000,INPUT!$H$3:$H$5000,INPUT!$C$3:$C$5000,INPUT!$I$3:$I$5000),0)),"")</f>
        <v>2825</v>
      </c>
      <c r="AF12" s="160" cm="1">
        <f t="array" ref="AF12">IFERROR(SUMPRODUCT((INPUT!$H$3:$H$5000&gt;=AF$3)*(INPUT!$H$3:$H$5000&lt;=AF$3+6)*(INPUT!$J$3:$J$5000="RAYA")*ISNUMBER(INPUT!$K$3:$K$5000)*IFERROR(VALUE(INPUT!$K$3:$K$5000),0)*IFERROR(SUMIFS(INPUT!$E$3:$E$5000,INPUT!$A$3:$A$5000,INPUT!$H$3:$H$5000,INPUT!$C$3:$C$5000,INPUT!$I$3:$I$5000),0)),"")</f>
        <v>1870</v>
      </c>
      <c r="AG12" s="160" cm="1">
        <f t="array" ref="AG12">IFERROR(SUMPRODUCT((INPUT!$H$3:$H$5000&gt;=AG$3)*(INPUT!$H$3:$H$5000&lt;=AG$3+6)*(INPUT!$J$3:$J$5000="RAYA")*ISNUMBER(INPUT!$K$3:$K$5000)*IFERROR(VALUE(INPUT!$K$3:$K$5000),0)*IFERROR(SUMIFS(INPUT!$E$3:$E$5000,INPUT!$A$3:$A$5000,INPUT!$H$3:$H$5000,INPUT!$C$3:$C$5000,INPUT!$I$3:$I$5000),0)),"")</f>
        <v>4580</v>
      </c>
      <c r="AH12" s="160" cm="1">
        <f t="array" ref="AH12">IFERROR(SUMPRODUCT((INPUT!$H$3:$H$5000&gt;=AH$3)*(INPUT!$H$3:$H$5000&lt;=AH$3+6)*(INPUT!$J$3:$J$5000="RAYA")*ISNUMBER(INPUT!$K$3:$K$5000)*IFERROR(VALUE(INPUT!$K$3:$K$5000),0)*IFERROR(SUMIFS(INPUT!$E$3:$E$5000,INPUT!$A$3:$A$5000,INPUT!$H$3:$H$5000,INPUT!$C$3:$C$5000,INPUT!$I$3:$I$5000),0)),"")</f>
        <v>2910</v>
      </c>
      <c r="AI12" s="160" cm="1">
        <f t="array" ref="AI12">IFERROR(SUMPRODUCT((INPUT!$H$3:$H$5000&gt;=AI$3)*(INPUT!$H$3:$H$5000&lt;=AI$3+6)*(INPUT!$J$3:$J$5000="RAYA")*ISNUMBER(INPUT!$K$3:$K$5000)*IFERROR(VALUE(INPUT!$K$3:$K$5000),0)*IFERROR(SUMIFS(INPUT!$E$3:$E$5000,INPUT!$A$3:$A$5000,INPUT!$H$3:$H$5000,INPUT!$C$3:$C$5000,INPUT!$I$3:$I$5000),0)),"")</f>
        <v>2545</v>
      </c>
      <c r="AJ12" s="160" cm="1">
        <f t="array" ref="AJ12">IFERROR(SUMPRODUCT((INPUT!$H$3:$H$5000&gt;=AJ$3)*(INPUT!$H$3:$H$5000&lt;=AJ$3+6)*(INPUT!$J$3:$J$5000="RAYA")*ISNUMBER(INPUT!$K$3:$K$5000)*IFERROR(VALUE(INPUT!$K$3:$K$5000),0)*IFERROR(SUMIFS(INPUT!$E$3:$E$5000,INPUT!$A$3:$A$5000,INPUT!$H$3:$H$5000,INPUT!$C$3:$C$5000,INPUT!$I$3:$I$5000),0)),"")</f>
        <v>2105</v>
      </c>
      <c r="AK12" s="160" cm="1">
        <f t="array" ref="AK12">IFERROR(SUMPRODUCT((INPUT!$H$3:$H$5000&gt;=AK$3)*(INPUT!$H$3:$H$5000&lt;=AK$3+6)*(INPUT!$J$3:$J$5000="RAYA")*ISNUMBER(INPUT!$K$3:$K$5000)*IFERROR(VALUE(INPUT!$K$3:$K$5000),0)*IFERROR(SUMIFS(INPUT!$E$3:$E$5000,INPUT!$A$3:$A$5000,INPUT!$H$3:$H$5000,INPUT!$C$3:$C$5000,INPUT!$I$3:$I$5000),0)),"")</f>
        <v>0</v>
      </c>
      <c r="AL12" s="160" cm="1">
        <f t="array" ref="AL12">IFERROR(SUMPRODUCT((INPUT!$H$3:$H$5000&gt;=AL$3)*(INPUT!$H$3:$H$5000&lt;=AL$3+6)*(INPUT!$J$3:$J$5000="RAYA")*ISNUMBER(INPUT!$K$3:$K$5000)*IFERROR(VALUE(INPUT!$K$3:$K$5000),0)*IFERROR(SUMIFS(INPUT!$E$3:$E$5000,INPUT!$A$3:$A$5000,INPUT!$H$3:$H$5000,INPUT!$C$3:$C$5000,INPUT!$I$3:$I$5000),0)),"")</f>
        <v>0</v>
      </c>
      <c r="AM12" s="160" cm="1">
        <f t="array" ref="AM12">IFERROR(SUMPRODUCT((INPUT!$H$3:$H$5000&gt;=AM$3)*(INPUT!$H$3:$H$5000&lt;=AM$3+6)*(INPUT!$J$3:$J$5000="RAYA")*ISNUMBER(INPUT!$K$3:$K$5000)*IFERROR(VALUE(INPUT!$K$3:$K$5000),0)*IFERROR(SUMIFS(INPUT!$E$3:$E$5000,INPUT!$A$3:$A$5000,INPUT!$H$3:$H$5000,INPUT!$C$3:$C$5000,INPUT!$I$3:$I$5000),0)),"")</f>
        <v>0</v>
      </c>
      <c r="AN12" s="160" cm="1">
        <f t="array" ref="AN12">IFERROR(SUMPRODUCT((INPUT!$H$3:$H$5000&gt;=AN$3)*(INPUT!$H$3:$H$5000&lt;=AN$3+6)*(INPUT!$J$3:$J$5000="RAYA")*ISNUMBER(INPUT!$K$3:$K$5000)*IFERROR(VALUE(INPUT!$K$3:$K$5000),0)*IFERROR(SUMIFS(INPUT!$E$3:$E$5000,INPUT!$A$3:$A$5000,INPUT!$H$3:$H$5000,INPUT!$C$3:$C$5000,INPUT!$I$3:$I$5000),0)),"")</f>
        <v>4590</v>
      </c>
      <c r="AO12" s="160" cm="1">
        <f t="array" ref="AO12">IFERROR(SUMPRODUCT((INPUT!$H$3:$H$5000&gt;=AO$3)*(INPUT!$H$3:$H$5000&lt;=AO$3+6)*(INPUT!$J$3:$J$5000="RAYA")*ISNUMBER(INPUT!$K$3:$K$5000)*IFERROR(VALUE(INPUT!$K$3:$K$5000),0)*IFERROR(SUMIFS(INPUT!$E$3:$E$5000,INPUT!$A$3:$A$5000,INPUT!$H$3:$H$5000,INPUT!$C$3:$C$5000,INPUT!$I$3:$I$5000),0)),"")</f>
        <v>0</v>
      </c>
      <c r="AP12" s="160" cm="1">
        <f t="array" ref="AP12">IFERROR(SUMPRODUCT((INPUT!$H$3:$H$5000&gt;=AP$3)*(INPUT!$H$3:$H$5000&lt;=AP$3+6)*(INPUT!$J$3:$J$5000="RAYA")*ISNUMBER(INPUT!$K$3:$K$5000)*IFERROR(VALUE(INPUT!$K$3:$K$5000),0)*IFERROR(SUMIFS(INPUT!$E$3:$E$5000,INPUT!$A$3:$A$5000,INPUT!$H$3:$H$5000,INPUT!$C$3:$C$5000,INPUT!$I$3:$I$5000),0)),"")</f>
        <v>0</v>
      </c>
      <c r="AQ12" s="160" cm="1">
        <f t="array" ref="AQ12">IFERROR(SUMPRODUCT((INPUT!$H$3:$H$5000&gt;=AQ$3)*(INPUT!$H$3:$H$5000&lt;=AQ$3+6)*(INPUT!$J$3:$J$5000="RAYA")*ISNUMBER(INPUT!$K$3:$K$5000)*IFERROR(VALUE(INPUT!$K$3:$K$5000),0)*IFERROR(SUMIFS(INPUT!$E$3:$E$5000,INPUT!$A$3:$A$5000,INPUT!$H$3:$H$5000,INPUT!$C$3:$C$5000,INPUT!$I$3:$I$5000),0)),"")</f>
        <v>0</v>
      </c>
      <c r="AR12" s="160" cm="1">
        <f t="array" ref="AR12">IFERROR(SUMPRODUCT((INPUT!$H$3:$H$5000&gt;=AR$3)*(INPUT!$H$3:$H$5000&lt;=AR$3+6)*(INPUT!$J$3:$J$5000="RAYA")*ISNUMBER(INPUT!$K$3:$K$5000)*IFERROR(VALUE(INPUT!$K$3:$K$5000),0)*IFERROR(SUMIFS(INPUT!$E$3:$E$5000,INPUT!$A$3:$A$5000,INPUT!$H$3:$H$5000,INPUT!$C$3:$C$5000,INPUT!$I$3:$I$5000),0)),"")</f>
        <v>0</v>
      </c>
      <c r="AS12" s="160" cm="1">
        <f t="array" ref="AS12">IFERROR(SUMPRODUCT((INPUT!$H$3:$H$5000&gt;=AS$3)*(INPUT!$H$3:$H$5000&lt;=AS$3+6)*(INPUT!$J$3:$J$5000="RAYA")*ISNUMBER(INPUT!$K$3:$K$5000)*IFERROR(VALUE(INPUT!$K$3:$K$5000),0)*IFERROR(SUMIFS(INPUT!$E$3:$E$5000,INPUT!$A$3:$A$5000,INPUT!$H$3:$H$5000,INPUT!$C$3:$C$5000,INPUT!$I$3:$I$5000),0)),"")</f>
        <v>0</v>
      </c>
      <c r="AT12" s="160" cm="1">
        <f t="array" ref="AT12">IFERROR(SUMPRODUCT((INPUT!$H$3:$H$5000&gt;=AT$3)*(INPUT!$H$3:$H$5000&lt;=AT$3+6)*(INPUT!$J$3:$J$5000="RAYA")*ISNUMBER(INPUT!$K$3:$K$5000)*IFERROR(VALUE(INPUT!$K$3:$K$5000),0)*IFERROR(SUMIFS(INPUT!$E$3:$E$5000,INPUT!$A$3:$A$5000,INPUT!$H$3:$H$5000,INPUT!$C$3:$C$5000,INPUT!$I$3:$I$5000),0)),"")</f>
        <v>0</v>
      </c>
      <c r="AU12" s="160" cm="1">
        <f t="array" ref="AU12">IFERROR(SUMPRODUCT((INPUT!$H$3:$H$5000&gt;=AU$3)*(INPUT!$H$3:$H$5000&lt;=AU$3+6)*(INPUT!$J$3:$J$5000="RAYA")*ISNUMBER(INPUT!$K$3:$K$5000)*IFERROR(VALUE(INPUT!$K$3:$K$5000),0)*IFERROR(SUMIFS(INPUT!$E$3:$E$5000,INPUT!$A$3:$A$5000,INPUT!$H$3:$H$5000,INPUT!$C$3:$C$5000,INPUT!$I$3:$I$5000),0)),"")</f>
        <v>0</v>
      </c>
      <c r="AV12" s="160" cm="1">
        <f t="array" ref="AV12">IFERROR(SUMPRODUCT((INPUT!$H$3:$H$5000&gt;=AV$3)*(INPUT!$H$3:$H$5000&lt;=AV$3+6)*(INPUT!$J$3:$J$5000="RAYA")*ISNUMBER(INPUT!$K$3:$K$5000)*IFERROR(VALUE(INPUT!$K$3:$K$5000),0)*IFERROR(SUMIFS(INPUT!$E$3:$E$5000,INPUT!$A$3:$A$5000,INPUT!$H$3:$H$5000,INPUT!$C$3:$C$5000,INPUT!$I$3:$I$5000),0)),"")</f>
        <v>0</v>
      </c>
      <c r="AW12" s="160" cm="1">
        <f t="array" ref="AW12">IFERROR(SUMPRODUCT((INPUT!$H$3:$H$5000&gt;=AW$3)*(INPUT!$H$3:$H$5000&lt;=AW$3+6)*(INPUT!$J$3:$J$5000="RAYA")*ISNUMBER(INPUT!$K$3:$K$5000)*IFERROR(VALUE(INPUT!$K$3:$K$5000),0)*IFERROR(SUMIFS(INPUT!$E$3:$E$5000,INPUT!$A$3:$A$5000,INPUT!$H$3:$H$5000,INPUT!$C$3:$C$5000,INPUT!$I$3:$I$5000),0)),"")</f>
        <v>0</v>
      </c>
      <c r="AX12" s="160" cm="1">
        <f t="array" ref="AX12">IFERROR(SUMPRODUCT((INPUT!$H$3:$H$5000&gt;=AX$3)*(INPUT!$H$3:$H$5000&lt;=AX$3+6)*(INPUT!$J$3:$J$5000="RAYA")*ISNUMBER(INPUT!$K$3:$K$5000)*IFERROR(VALUE(INPUT!$K$3:$K$5000),0)*IFERROR(SUMIFS(INPUT!$E$3:$E$5000,INPUT!$A$3:$A$5000,INPUT!$H$3:$H$5000,INPUT!$C$3:$C$5000,INPUT!$I$3:$I$5000),0)),"")</f>
        <v>0</v>
      </c>
      <c r="AY12" s="160" cm="1">
        <f t="array" ref="AY12">IFERROR(SUMPRODUCT((INPUT!$H$3:$H$5000&gt;=AY$3)*(INPUT!$H$3:$H$5000&lt;=AY$3+6)*(INPUT!$J$3:$J$5000="RAYA")*ISNUMBER(INPUT!$K$3:$K$5000)*IFERROR(VALUE(INPUT!$K$3:$K$5000),0)*IFERROR(SUMIFS(INPUT!$E$3:$E$5000,INPUT!$A$3:$A$5000,INPUT!$H$3:$H$5000,INPUT!$C$3:$C$5000,INPUT!$I$3:$I$5000),0)),"")</f>
        <v>0</v>
      </c>
      <c r="AZ12" s="160" cm="1">
        <f t="array" ref="AZ12">IFERROR(SUMPRODUCT((INPUT!$H$3:$H$5000&gt;=AZ$3)*(INPUT!$H$3:$H$5000&lt;=AZ$3+6)*(INPUT!$J$3:$J$5000="RAYA")*ISNUMBER(INPUT!$K$3:$K$5000)*IFERROR(VALUE(INPUT!$K$3:$K$5000),0)*IFERROR(SUMIFS(INPUT!$E$3:$E$5000,INPUT!$A$3:$A$5000,INPUT!$H$3:$H$5000,INPUT!$C$3:$C$5000,INPUT!$I$3:$I$5000),0)),"")</f>
        <v>0</v>
      </c>
      <c r="BA12" s="160" cm="1">
        <f t="array" ref="BA12">IFERROR(SUMPRODUCT((INPUT!$H$3:$H$5000&gt;=BA$3)*(INPUT!$H$3:$H$5000&lt;=BA$3+6)*(INPUT!$J$3:$J$5000="RAYA")*ISNUMBER(INPUT!$K$3:$K$5000)*IFERROR(VALUE(INPUT!$K$3:$K$5000),0)*IFERROR(SUMIFS(INPUT!$E$3:$E$5000,INPUT!$A$3:$A$5000,INPUT!$H$3:$H$5000,INPUT!$C$3:$C$5000,INPUT!$I$3:$I$5000),0)),"")</f>
        <v>0</v>
      </c>
      <c r="BB12" s="161" cm="1">
        <f t="array" ref="BB12">IFERROR(SUMPRODUCT((INPUT!$H$3:$H$5000&gt;=BB$3)*(INPUT!$H$3:$H$5000&lt;=BB$3+6)*(INPUT!$J$3:$J$5000="RAYA")*ISNUMBER(INPUT!$K$3:$K$5000)*IFERROR(VALUE(INPUT!$K$3:$K$5000),0)*IFERROR(SUMIFS(INPUT!$E$3:$E$5000,INPUT!$A$3:$A$5000,INPUT!$H$3:$H$5000,INPUT!$C$3:$C$5000,INPUT!$I$3:$I$5000),0)),"")</f>
        <v>0</v>
      </c>
    </row>
    <row r="13" spans="1:54" x14ac:dyDescent="0.2">
      <c r="A13" s="56">
        <v>9</v>
      </c>
      <c r="B13" s="9" t="s">
        <v>49</v>
      </c>
      <c r="C13" s="159" cm="1">
        <f t="array" ref="C13">IFERROR(SUMPRODUCT((INPUT!$H$3:$H$5000&gt;=C$3)*(INPUT!$H$3:$H$5000&lt;=C$3+6)*(INPUT!$J$3:$J$5000="JAVI")*ISNUMBER(INPUT!$K$3:$K$5000)*IFERROR(VALUE(INPUT!$K$3:$K$5000),0)*IFERROR(SUMIFS(INPUT!$E$3:$E$5000,INPUT!$A$3:$A$5000,INPUT!$H$3:$H$5000,INPUT!$C$3:$C$5000,INPUT!$I$3:$I$5000),0)),"")</f>
        <v>4770</v>
      </c>
      <c r="D13" s="159" cm="1">
        <f t="array" ref="D13">IFERROR(SUMPRODUCT((INPUT!$H$3:$H$5000&gt;=D$3)*(INPUT!$H$3:$H$5000&lt;=D$3+6)*(INPUT!$J$3:$J$5000="JAVI")*ISNUMBER(INPUT!$K$3:$K$5000)*IFERROR(VALUE(INPUT!$K$3:$K$5000),0)*IFERROR(SUMIFS(INPUT!$E$3:$E$5000,INPUT!$A$3:$A$5000,INPUT!$H$3:$H$5000,INPUT!$C$3:$C$5000,INPUT!$I$3:$I$5000),0)),"")</f>
        <v>2800</v>
      </c>
      <c r="E13" s="159" cm="1">
        <f t="array" ref="E13">IFERROR(SUMPRODUCT((INPUT!$H$3:$H$5000&gt;=E$3)*(INPUT!$H$3:$H$5000&lt;=E$3+6)*(INPUT!$J$3:$J$5000="JAVI")*ISNUMBER(INPUT!$K$3:$K$5000)*IFERROR(VALUE(INPUT!$K$3:$K$5000),0)*IFERROR(SUMIFS(INPUT!$E$3:$E$5000,INPUT!$A$3:$A$5000,INPUT!$H$3:$H$5000,INPUT!$C$3:$C$5000,INPUT!$I$3:$I$5000),0)),"")</f>
        <v>6790</v>
      </c>
      <c r="F13" s="159" cm="1">
        <f t="array" ref="F13">IFERROR(SUMPRODUCT((INPUT!$H$3:$H$5000&gt;=F$3)*(INPUT!$H$3:$H$5000&lt;=F$3+6)*(INPUT!$J$3:$J$5000="JAVI")*ISNUMBER(INPUT!$K$3:$K$5000)*IFERROR(VALUE(INPUT!$K$3:$K$5000),0)*IFERROR(SUMIFS(INPUT!$E$3:$E$5000,INPUT!$A$3:$A$5000,INPUT!$H$3:$H$5000,INPUT!$C$3:$C$5000,INPUT!$I$3:$I$5000),0)),"")</f>
        <v>7065</v>
      </c>
      <c r="G13" s="159" cm="1">
        <f t="array" ref="G13">IFERROR(SUMPRODUCT((INPUT!$H$3:$H$5000&gt;=G$3)*(INPUT!$H$3:$H$5000&lt;=G$3+6)*(INPUT!$J$3:$J$5000="JAVI")*ISNUMBER(INPUT!$K$3:$K$5000)*IFERROR(VALUE(INPUT!$K$3:$K$5000),0)*IFERROR(SUMIFS(INPUT!$E$3:$E$5000,INPUT!$A$3:$A$5000,INPUT!$H$3:$H$5000,INPUT!$C$3:$C$5000,INPUT!$I$3:$I$5000),0)),"")</f>
        <v>4950</v>
      </c>
      <c r="H13" s="159" cm="1">
        <f t="array" ref="H13">IFERROR(SUMPRODUCT((INPUT!$H$3:$H$5000&gt;=H$3)*(INPUT!$H$3:$H$5000&lt;=H$3+6)*(INPUT!$J$3:$J$5000="JAVI")*ISNUMBER(INPUT!$K$3:$K$5000)*IFERROR(VALUE(INPUT!$K$3:$K$5000),0)*IFERROR(SUMIFS(INPUT!$E$3:$E$5000,INPUT!$A$3:$A$5000,INPUT!$H$3:$H$5000,INPUT!$C$3:$C$5000,INPUT!$I$3:$I$5000),0)),"")</f>
        <v>4175</v>
      </c>
      <c r="I13" s="159" cm="1">
        <f t="array" ref="I13">IFERROR(SUMPRODUCT((INPUT!$H$3:$H$5000&gt;=I$3)*(INPUT!$H$3:$H$5000&lt;=I$3+6)*(INPUT!$J$3:$J$5000="JAVI")*ISNUMBER(INPUT!$K$3:$K$5000)*IFERROR(VALUE(INPUT!$K$3:$K$5000),0)*IFERROR(SUMIFS(INPUT!$E$3:$E$5000,INPUT!$A$3:$A$5000,INPUT!$H$3:$H$5000,INPUT!$C$3:$C$5000,INPUT!$I$3:$I$5000),0)),"")</f>
        <v>3640</v>
      </c>
      <c r="J13" s="160" cm="1">
        <f t="array" ref="J13">IFERROR(SUMPRODUCT((INPUT!$H$3:$H$5000&gt;=J$3)*(INPUT!$H$3:$H$5000&lt;=J$3+6)*(INPUT!$J$3:$J$5000="JAVI")*ISNUMBER(INPUT!$K$3:$K$5000)*IFERROR(VALUE(INPUT!$K$3:$K$5000),0)*IFERROR(SUMIFS(INPUT!$E$3:$E$5000,INPUT!$A$3:$A$5000,INPUT!$H$3:$H$5000,INPUT!$C$3:$C$5000,INPUT!$I$3:$I$5000),0)),"")</f>
        <v>0</v>
      </c>
      <c r="K13" s="159" cm="1">
        <f t="array" ref="K13">IFERROR(SUMPRODUCT((INPUT!$H$3:$H$5000&gt;=K$3)*(INPUT!$H$3:$H$5000&lt;=K$3+6)*(INPUT!$J$3:$J$5000="JAVI")*ISNUMBER(INPUT!$K$3:$K$5000)*IFERROR(VALUE(INPUT!$K$3:$K$5000),0)*IFERROR(SUMIFS(INPUT!$E$3:$E$5000,INPUT!$A$3:$A$5000,INPUT!$H$3:$H$5000,INPUT!$C$3:$C$5000,INPUT!$I$3:$I$5000),0)),"")</f>
        <v>2795</v>
      </c>
      <c r="L13" s="160" cm="1">
        <f t="array" ref="L13">IFERROR(SUMPRODUCT((INPUT!$H$3:$H$5000&gt;=L$3)*(INPUT!$H$3:$H$5000&lt;=L$3+6)*(INPUT!$J$3:$J$5000="JAVI")*ISNUMBER(INPUT!$K$3:$K$5000)*IFERROR(VALUE(INPUT!$K$3:$K$5000),0)*IFERROR(SUMIFS(INPUT!$E$3:$E$5000,INPUT!$A$3:$A$5000,INPUT!$H$3:$H$5000,INPUT!$C$3:$C$5000,INPUT!$I$3:$I$5000),0)),"")</f>
        <v>4260</v>
      </c>
      <c r="M13" s="160" cm="1">
        <f t="array" ref="M13">IFERROR(SUMPRODUCT((INPUT!$H$3:$H$5000&gt;=M$3)*(INPUT!$H$3:$H$5000&lt;=M$3+6)*(INPUT!$J$3:$J$5000="JAVI")*ISNUMBER(INPUT!$K$3:$K$5000)*IFERROR(VALUE(INPUT!$K$3:$K$5000),0)*IFERROR(SUMIFS(INPUT!$E$3:$E$5000,INPUT!$A$3:$A$5000,INPUT!$H$3:$H$5000,INPUT!$C$3:$C$5000,INPUT!$I$3:$I$5000),0)),"")</f>
        <v>3645</v>
      </c>
      <c r="N13" s="160" cm="1">
        <f t="array" ref="N13">IFERROR(SUMPRODUCT((INPUT!$H$3:$H$5000&gt;=N$3)*(INPUT!$H$3:$H$5000&lt;=N$3+6)*(INPUT!$J$3:$J$5000="JAVI")*ISNUMBER(INPUT!$K$3:$K$5000)*IFERROR(VALUE(INPUT!$K$3:$K$5000),0)*IFERROR(SUMIFS(INPUT!$E$3:$E$5000,INPUT!$A$3:$A$5000,INPUT!$H$3:$H$5000,INPUT!$C$3:$C$5000,INPUT!$I$3:$I$5000),0)),"")</f>
        <v>3520</v>
      </c>
      <c r="O13" s="160" cm="1">
        <f t="array" ref="O13">IFERROR(SUMPRODUCT((INPUT!$H$3:$H$5000&gt;=O$3)*(INPUT!$H$3:$H$5000&lt;=O$3+6)*(INPUT!$J$3:$J$5000="JAVI")*ISNUMBER(INPUT!$K$3:$K$5000)*IFERROR(VALUE(INPUT!$K$3:$K$5000),0)*IFERROR(SUMIFS(INPUT!$E$3:$E$5000,INPUT!$A$3:$A$5000,INPUT!$H$3:$H$5000,INPUT!$C$3:$C$5000,INPUT!$I$3:$I$5000),0)),"")</f>
        <v>4860</v>
      </c>
      <c r="P13" s="160" cm="1">
        <f t="array" ref="P13">IFERROR(SUMPRODUCT((INPUT!$H$3:$H$5000&gt;=P$3)*(INPUT!$H$3:$H$5000&lt;=P$3+6)*(INPUT!$J$3:$J$5000="JAVI")*ISNUMBER(INPUT!$K$3:$K$5000)*IFERROR(VALUE(INPUT!$K$3:$K$5000),0)*IFERROR(SUMIFS(INPUT!$E$3:$E$5000,INPUT!$A$3:$A$5000,INPUT!$H$3:$H$5000,INPUT!$C$3:$C$5000,INPUT!$I$3:$I$5000),0)),"")</f>
        <v>3555</v>
      </c>
      <c r="Q13" s="160" cm="1">
        <f t="array" ref="Q13">IFERROR(SUMPRODUCT((INPUT!$H$3:$H$5000&gt;=Q$3)*(INPUT!$H$3:$H$5000&lt;=Q$3+6)*(INPUT!$J$3:$J$5000="JAVI")*ISNUMBER(INPUT!$K$3:$K$5000)*IFERROR(VALUE(INPUT!$K$3:$K$5000),0)*IFERROR(SUMIFS(INPUT!$E$3:$E$5000,INPUT!$A$3:$A$5000,INPUT!$H$3:$H$5000,INPUT!$C$3:$C$5000,INPUT!$I$3:$I$5000),0)),"")</f>
        <v>1390</v>
      </c>
      <c r="R13" s="160" cm="1">
        <f t="array" ref="R13">IFERROR(SUMPRODUCT((INPUT!$H$3:$H$5000&gt;=R$3)*(INPUT!$H$3:$H$5000&lt;=R$3+6)*(INPUT!$J$3:$J$5000="JAVI")*ISNUMBER(INPUT!$K$3:$K$5000)*IFERROR(VALUE(INPUT!$K$3:$K$5000),0)*IFERROR(SUMIFS(INPUT!$E$3:$E$5000,INPUT!$A$3:$A$5000,INPUT!$H$3:$H$5000,INPUT!$C$3:$C$5000,INPUT!$I$3:$I$5000),0)),"")</f>
        <v>4670</v>
      </c>
      <c r="S13" s="160" cm="1">
        <f t="array" ref="S13">IFERROR(SUMPRODUCT((INPUT!$H$3:$H$5000&gt;=S$3)*(INPUT!$H$3:$H$5000&lt;=S$3+6)*(INPUT!$J$3:$J$5000="JAVI")*ISNUMBER(INPUT!$K$3:$K$5000)*IFERROR(VALUE(INPUT!$K$3:$K$5000),0)*IFERROR(SUMIFS(INPUT!$E$3:$E$5000,INPUT!$A$3:$A$5000,INPUT!$H$3:$H$5000,INPUT!$C$3:$C$5000,INPUT!$I$3:$I$5000),0)),"")</f>
        <v>2945</v>
      </c>
      <c r="T13" s="160" cm="1">
        <f t="array" ref="T13">IFERROR(SUMPRODUCT((INPUT!$H$3:$H$5000&gt;=T$3)*(INPUT!$H$3:$H$5000&lt;=T$3+6)*(INPUT!$J$3:$J$5000="JAVI")*ISNUMBER(INPUT!$K$3:$K$5000)*IFERROR(VALUE(INPUT!$K$3:$K$5000),0)*IFERROR(SUMIFS(INPUT!$E$3:$E$5000,INPUT!$A$3:$A$5000,INPUT!$H$3:$H$5000,INPUT!$C$3:$C$5000,INPUT!$I$3:$I$5000),0)),"")</f>
        <v>2490</v>
      </c>
      <c r="U13" s="160" cm="1">
        <f t="array" ref="U13">IFERROR(SUMPRODUCT((INPUT!$H$3:$H$5000&gt;=U$3)*(INPUT!$H$3:$H$5000&lt;=U$3+6)*(INPUT!$J$3:$J$5000="JAVI")*ISNUMBER(INPUT!$K$3:$K$5000)*IFERROR(VALUE(INPUT!$K$3:$K$5000),0)*IFERROR(SUMIFS(INPUT!$E$3:$E$5000,INPUT!$A$3:$A$5000,INPUT!$H$3:$H$5000,INPUT!$C$3:$C$5000,INPUT!$I$3:$I$5000),0)),"")</f>
        <v>4770</v>
      </c>
      <c r="V13" s="160" cm="1">
        <f t="array" ref="V13">IFERROR(SUMPRODUCT((INPUT!$H$3:$H$5000&gt;=V$3)*(INPUT!$H$3:$H$5000&lt;=V$3+6)*(INPUT!$J$3:$J$5000="JAVI")*ISNUMBER(INPUT!$K$3:$K$5000)*IFERROR(VALUE(INPUT!$K$3:$K$5000),0)*IFERROR(SUMIFS(INPUT!$E$3:$E$5000,INPUT!$A$3:$A$5000,INPUT!$H$3:$H$5000,INPUT!$C$3:$C$5000,INPUT!$I$3:$I$5000),0)),"")</f>
        <v>3220</v>
      </c>
      <c r="W13" s="160" cm="1">
        <f t="array" ref="W13">IFERROR(SUMPRODUCT((INPUT!$H$3:$H$5000&gt;=W$3)*(INPUT!$H$3:$H$5000&lt;=W$3+6)*(INPUT!$J$3:$J$5000="JAVI")*ISNUMBER(INPUT!$K$3:$K$5000)*IFERROR(VALUE(INPUT!$K$3:$K$5000),0)*IFERROR(SUMIFS(INPUT!$E$3:$E$5000,INPUT!$A$3:$A$5000,INPUT!$H$3:$H$5000,INPUT!$C$3:$C$5000,INPUT!$I$3:$I$5000),0)),"")</f>
        <v>0</v>
      </c>
      <c r="X13" s="160" cm="1">
        <f t="array" ref="X13">IFERROR(SUMPRODUCT((INPUT!$H$3:$H$5000&gt;=X$3)*(INPUT!$H$3:$H$5000&lt;=X$3+6)*(INPUT!$J$3:$J$5000="JAVI")*ISNUMBER(INPUT!$K$3:$K$5000)*IFERROR(VALUE(INPUT!$K$3:$K$5000),0)*IFERROR(SUMIFS(INPUT!$E$3:$E$5000,INPUT!$A$3:$A$5000,INPUT!$H$3:$H$5000,INPUT!$C$3:$C$5000,INPUT!$I$3:$I$5000),0)),"")</f>
        <v>1495</v>
      </c>
      <c r="Y13" s="160" cm="1">
        <f t="array" ref="Y13">IFERROR(SUMPRODUCT((INPUT!$H$3:$H$5000&gt;=Y$3)*(INPUT!$H$3:$H$5000&lt;=Y$3+6)*(INPUT!$J$3:$J$5000="JAVI")*ISNUMBER(INPUT!$K$3:$K$5000)*IFERROR(VALUE(INPUT!$K$3:$K$5000),0)*IFERROR(SUMIFS(INPUT!$E$3:$E$5000,INPUT!$A$3:$A$5000,INPUT!$H$3:$H$5000,INPUT!$C$3:$C$5000,INPUT!$I$3:$I$5000),0)),"")</f>
        <v>3320</v>
      </c>
      <c r="Z13" s="160" cm="1">
        <f t="array" ref="Z13">IFERROR(SUMPRODUCT((INPUT!$H$3:$H$5000&gt;=Z$3)*(INPUT!$H$3:$H$5000&lt;=Z$3+6)*(INPUT!$J$3:$J$5000="JAVI")*ISNUMBER(INPUT!$K$3:$K$5000)*IFERROR(VALUE(INPUT!$K$3:$K$5000),0)*IFERROR(SUMIFS(INPUT!$E$3:$E$5000,INPUT!$A$3:$A$5000,INPUT!$H$3:$H$5000,INPUT!$C$3:$C$5000,INPUT!$I$3:$I$5000),0)),"")</f>
        <v>3515</v>
      </c>
      <c r="AA13" s="160" cm="1">
        <f t="array" ref="AA13">IFERROR(SUMPRODUCT((INPUT!$H$3:$H$5000&gt;=AA$3)*(INPUT!$H$3:$H$5000&lt;=AA$3+6)*(INPUT!$J$3:$J$5000="JAVI")*ISNUMBER(INPUT!$K$3:$K$5000)*IFERROR(VALUE(INPUT!$K$3:$K$5000),0)*IFERROR(SUMIFS(INPUT!$E$3:$E$5000,INPUT!$A$3:$A$5000,INPUT!$H$3:$H$5000,INPUT!$C$3:$C$5000,INPUT!$I$3:$I$5000),0)),"")</f>
        <v>0</v>
      </c>
      <c r="AB13" s="160" cm="1">
        <f t="array" ref="AB13">IFERROR(SUMPRODUCT((INPUT!$H$3:$H$5000&gt;=AB$3)*(INPUT!$H$3:$H$5000&lt;=AB$3+6)*(INPUT!$J$3:$J$5000="JAVI")*ISNUMBER(INPUT!$K$3:$K$5000)*IFERROR(VALUE(INPUT!$K$3:$K$5000),0)*IFERROR(SUMIFS(INPUT!$E$3:$E$5000,INPUT!$A$3:$A$5000,INPUT!$H$3:$H$5000,INPUT!$C$3:$C$5000,INPUT!$I$3:$I$5000),0)),"")</f>
        <v>6440</v>
      </c>
      <c r="AC13" s="160" cm="1">
        <f t="array" ref="AC13">IFERROR(SUMPRODUCT((INPUT!$H$3:$H$5000&gt;=AC$3)*(INPUT!$H$3:$H$5000&lt;=AC$3+6)*(INPUT!$J$3:$J$5000="JAVI")*ISNUMBER(INPUT!$K$3:$K$5000)*IFERROR(VALUE(INPUT!$K$3:$K$5000),0)*IFERROR(SUMIFS(INPUT!$E$3:$E$5000,INPUT!$A$3:$A$5000,INPUT!$H$3:$H$5000,INPUT!$C$3:$C$5000,INPUT!$I$3:$I$5000),0)),"")</f>
        <v>4365</v>
      </c>
      <c r="AD13" s="160" cm="1">
        <f t="array" ref="AD13">IFERROR(SUMPRODUCT((INPUT!$H$3:$H$5000&gt;=AD$3)*(INPUT!$H$3:$H$5000&lt;=AD$3+6)*(INPUT!$J$3:$J$5000="JAVI")*ISNUMBER(INPUT!$K$3:$K$5000)*IFERROR(VALUE(INPUT!$K$3:$K$5000),0)*IFERROR(SUMIFS(INPUT!$E$3:$E$5000,INPUT!$A$3:$A$5000,INPUT!$H$3:$H$5000,INPUT!$C$3:$C$5000,INPUT!$I$3:$I$5000),0)),"")</f>
        <v>5660</v>
      </c>
      <c r="AE13" s="160" cm="1">
        <f t="array" ref="AE13">IFERROR(SUMPRODUCT((INPUT!$H$3:$H$5000&gt;=AE$3)*(INPUT!$H$3:$H$5000&lt;=AE$3+6)*(INPUT!$J$3:$J$5000="JAVI")*ISNUMBER(INPUT!$K$3:$K$5000)*IFERROR(VALUE(INPUT!$K$3:$K$5000),0)*IFERROR(SUMIFS(INPUT!$E$3:$E$5000,INPUT!$A$3:$A$5000,INPUT!$H$3:$H$5000,INPUT!$C$3:$C$5000,INPUT!$I$3:$I$5000),0)),"")</f>
        <v>3525</v>
      </c>
      <c r="AF13" s="160" cm="1">
        <f t="array" ref="AF13">IFERROR(SUMPRODUCT((INPUT!$H$3:$H$5000&gt;=AF$3)*(INPUT!$H$3:$H$5000&lt;=AF$3+6)*(INPUT!$J$3:$J$5000="JAVI")*ISNUMBER(INPUT!$K$3:$K$5000)*IFERROR(VALUE(INPUT!$K$3:$K$5000),0)*IFERROR(SUMIFS(INPUT!$E$3:$E$5000,INPUT!$A$3:$A$5000,INPUT!$H$3:$H$5000,INPUT!$C$3:$C$5000,INPUT!$I$3:$I$5000),0)),"")</f>
        <v>3260</v>
      </c>
      <c r="AG13" s="160" cm="1">
        <f t="array" ref="AG13">IFERROR(SUMPRODUCT((INPUT!$H$3:$H$5000&gt;=AG$3)*(INPUT!$H$3:$H$5000&lt;=AG$3+6)*(INPUT!$J$3:$J$5000="JAVI")*ISNUMBER(INPUT!$K$3:$K$5000)*IFERROR(VALUE(INPUT!$K$3:$K$5000),0)*IFERROR(SUMIFS(INPUT!$E$3:$E$5000,INPUT!$A$3:$A$5000,INPUT!$H$3:$H$5000,INPUT!$C$3:$C$5000,INPUT!$I$3:$I$5000),0)),"")</f>
        <v>5720</v>
      </c>
      <c r="AH13" s="160" cm="1">
        <f t="array" ref="AH13">IFERROR(SUMPRODUCT((INPUT!$H$3:$H$5000&gt;=AH$3)*(INPUT!$H$3:$H$5000&lt;=AH$3+6)*(INPUT!$J$3:$J$5000="JAVI")*ISNUMBER(INPUT!$K$3:$K$5000)*IFERROR(VALUE(INPUT!$K$3:$K$5000),0)*IFERROR(SUMIFS(INPUT!$E$3:$E$5000,INPUT!$A$3:$A$5000,INPUT!$H$3:$H$5000,INPUT!$C$3:$C$5000,INPUT!$I$3:$I$5000),0)),"")</f>
        <v>3090</v>
      </c>
      <c r="AI13" s="160" cm="1">
        <f t="array" ref="AI13">IFERROR(SUMPRODUCT((INPUT!$H$3:$H$5000&gt;=AI$3)*(INPUT!$H$3:$H$5000&lt;=AI$3+6)*(INPUT!$J$3:$J$5000="JAVI")*ISNUMBER(INPUT!$K$3:$K$5000)*IFERROR(VALUE(INPUT!$K$3:$K$5000),0)*IFERROR(SUMIFS(INPUT!$E$3:$E$5000,INPUT!$A$3:$A$5000,INPUT!$H$3:$H$5000,INPUT!$C$3:$C$5000,INPUT!$I$3:$I$5000),0)),"")</f>
        <v>4605</v>
      </c>
      <c r="AJ13" s="160" cm="1">
        <f t="array" ref="AJ13">IFERROR(SUMPRODUCT((INPUT!$H$3:$H$5000&gt;=AJ$3)*(INPUT!$H$3:$H$5000&lt;=AJ$3+6)*(INPUT!$J$3:$J$5000="JAVI")*ISNUMBER(INPUT!$K$3:$K$5000)*IFERROR(VALUE(INPUT!$K$3:$K$5000),0)*IFERROR(SUMIFS(INPUT!$E$3:$E$5000,INPUT!$A$3:$A$5000,INPUT!$H$3:$H$5000,INPUT!$C$3:$C$5000,INPUT!$I$3:$I$5000),0)),"")</f>
        <v>3330</v>
      </c>
      <c r="AK13" s="160" cm="1">
        <f t="array" ref="AK13">IFERROR(SUMPRODUCT((INPUT!$H$3:$H$5000&gt;=AK$3)*(INPUT!$H$3:$H$5000&lt;=AK$3+6)*(INPUT!$J$3:$J$5000="JAVI")*ISNUMBER(INPUT!$K$3:$K$5000)*IFERROR(VALUE(INPUT!$K$3:$K$5000),0)*IFERROR(SUMIFS(INPUT!$E$3:$E$5000,INPUT!$A$3:$A$5000,INPUT!$H$3:$H$5000,INPUT!$C$3:$C$5000,INPUT!$I$3:$I$5000),0)),"")</f>
        <v>2220</v>
      </c>
      <c r="AL13" s="160" cm="1">
        <f t="array" ref="AL13">IFERROR(SUMPRODUCT((INPUT!$H$3:$H$5000&gt;=AL$3)*(INPUT!$H$3:$H$5000&lt;=AL$3+6)*(INPUT!$J$3:$J$5000="JAVI")*ISNUMBER(INPUT!$K$3:$K$5000)*IFERROR(VALUE(INPUT!$K$3:$K$5000),0)*IFERROR(SUMIFS(INPUT!$E$3:$E$5000,INPUT!$A$3:$A$5000,INPUT!$H$3:$H$5000,INPUT!$C$3:$C$5000,INPUT!$I$3:$I$5000),0)),"")</f>
        <v>5040</v>
      </c>
      <c r="AM13" s="160" cm="1">
        <f t="array" ref="AM13">IFERROR(SUMPRODUCT((INPUT!$H$3:$H$5000&gt;=AM$3)*(INPUT!$H$3:$H$5000&lt;=AM$3+6)*(INPUT!$J$3:$J$5000="JAVI")*ISNUMBER(INPUT!$K$3:$K$5000)*IFERROR(VALUE(INPUT!$K$3:$K$5000),0)*IFERROR(SUMIFS(INPUT!$E$3:$E$5000,INPUT!$A$3:$A$5000,INPUT!$H$3:$H$5000,INPUT!$C$3:$C$5000,INPUT!$I$3:$I$5000),0)),"")</f>
        <v>4320</v>
      </c>
      <c r="AN13" s="160" cm="1">
        <f t="array" ref="AN13">IFERROR(SUMPRODUCT((INPUT!$H$3:$H$5000&gt;=AN$3)*(INPUT!$H$3:$H$5000&lt;=AN$3+6)*(INPUT!$J$3:$J$5000="JAVI")*ISNUMBER(INPUT!$K$3:$K$5000)*IFERROR(VALUE(INPUT!$K$3:$K$5000),0)*IFERROR(SUMIFS(INPUT!$E$3:$E$5000,INPUT!$A$3:$A$5000,INPUT!$H$3:$H$5000,INPUT!$C$3:$C$5000,INPUT!$I$3:$I$5000),0)),"")</f>
        <v>4840</v>
      </c>
      <c r="AO13" s="160" cm="1">
        <f t="array" ref="AO13">IFERROR(SUMPRODUCT((INPUT!$H$3:$H$5000&gt;=AO$3)*(INPUT!$H$3:$H$5000&lt;=AO$3+6)*(INPUT!$J$3:$J$5000="JAVI")*ISNUMBER(INPUT!$K$3:$K$5000)*IFERROR(VALUE(INPUT!$K$3:$K$5000),0)*IFERROR(SUMIFS(INPUT!$E$3:$E$5000,INPUT!$A$3:$A$5000,INPUT!$H$3:$H$5000,INPUT!$C$3:$C$5000,INPUT!$I$3:$I$5000),0)),"")</f>
        <v>0</v>
      </c>
      <c r="AP13" s="160" cm="1">
        <f t="array" ref="AP13">IFERROR(SUMPRODUCT((INPUT!$H$3:$H$5000&gt;=AP$3)*(INPUT!$H$3:$H$5000&lt;=AP$3+6)*(INPUT!$J$3:$J$5000="JAVI")*ISNUMBER(INPUT!$K$3:$K$5000)*IFERROR(VALUE(INPUT!$K$3:$K$5000),0)*IFERROR(SUMIFS(INPUT!$E$3:$E$5000,INPUT!$A$3:$A$5000,INPUT!$H$3:$H$5000,INPUT!$C$3:$C$5000,INPUT!$I$3:$I$5000),0)),"")</f>
        <v>0</v>
      </c>
      <c r="AQ13" s="160" cm="1">
        <f t="array" ref="AQ13">IFERROR(SUMPRODUCT((INPUT!$H$3:$H$5000&gt;=AQ$3)*(INPUT!$H$3:$H$5000&lt;=AQ$3+6)*(INPUT!$J$3:$J$5000="JAVI")*ISNUMBER(INPUT!$K$3:$K$5000)*IFERROR(VALUE(INPUT!$K$3:$K$5000),0)*IFERROR(SUMIFS(INPUT!$E$3:$E$5000,INPUT!$A$3:$A$5000,INPUT!$H$3:$H$5000,INPUT!$C$3:$C$5000,INPUT!$I$3:$I$5000),0)),"")</f>
        <v>0</v>
      </c>
      <c r="AR13" s="160" cm="1">
        <f t="array" ref="AR13">IFERROR(SUMPRODUCT((INPUT!$H$3:$H$5000&gt;=AR$3)*(INPUT!$H$3:$H$5000&lt;=AR$3+6)*(INPUT!$J$3:$J$5000="JAVI")*ISNUMBER(INPUT!$K$3:$K$5000)*IFERROR(VALUE(INPUT!$K$3:$K$5000),0)*IFERROR(SUMIFS(INPUT!$E$3:$E$5000,INPUT!$A$3:$A$5000,INPUT!$H$3:$H$5000,INPUT!$C$3:$C$5000,INPUT!$I$3:$I$5000),0)),"")</f>
        <v>0</v>
      </c>
      <c r="AS13" s="160" cm="1">
        <f t="array" ref="AS13">IFERROR(SUMPRODUCT((INPUT!$H$3:$H$5000&gt;=AS$3)*(INPUT!$H$3:$H$5000&lt;=AS$3+6)*(INPUT!$J$3:$J$5000="JAVI")*ISNUMBER(INPUT!$K$3:$K$5000)*IFERROR(VALUE(INPUT!$K$3:$K$5000),0)*IFERROR(SUMIFS(INPUT!$E$3:$E$5000,INPUT!$A$3:$A$5000,INPUT!$H$3:$H$5000,INPUT!$C$3:$C$5000,INPUT!$I$3:$I$5000),0)),"")</f>
        <v>0</v>
      </c>
      <c r="AT13" s="160" cm="1">
        <f t="array" ref="AT13">IFERROR(SUMPRODUCT((INPUT!$H$3:$H$5000&gt;=AT$3)*(INPUT!$H$3:$H$5000&lt;=AT$3+6)*(INPUT!$J$3:$J$5000="JAVI")*ISNUMBER(INPUT!$K$3:$K$5000)*IFERROR(VALUE(INPUT!$K$3:$K$5000),0)*IFERROR(SUMIFS(INPUT!$E$3:$E$5000,INPUT!$A$3:$A$5000,INPUT!$H$3:$H$5000,INPUT!$C$3:$C$5000,INPUT!$I$3:$I$5000),0)),"")</f>
        <v>0</v>
      </c>
      <c r="AU13" s="160" cm="1">
        <f t="array" ref="AU13">IFERROR(SUMPRODUCT((INPUT!$H$3:$H$5000&gt;=AU$3)*(INPUT!$H$3:$H$5000&lt;=AU$3+6)*(INPUT!$J$3:$J$5000="JAVI")*ISNUMBER(INPUT!$K$3:$K$5000)*IFERROR(VALUE(INPUT!$K$3:$K$5000),0)*IFERROR(SUMIFS(INPUT!$E$3:$E$5000,INPUT!$A$3:$A$5000,INPUT!$H$3:$H$5000,INPUT!$C$3:$C$5000,INPUT!$I$3:$I$5000),0)),"")</f>
        <v>0</v>
      </c>
      <c r="AV13" s="160" cm="1">
        <f t="array" ref="AV13">IFERROR(SUMPRODUCT((INPUT!$H$3:$H$5000&gt;=AV$3)*(INPUT!$H$3:$H$5000&lt;=AV$3+6)*(INPUT!$J$3:$J$5000="JAVI")*ISNUMBER(INPUT!$K$3:$K$5000)*IFERROR(VALUE(INPUT!$K$3:$K$5000),0)*IFERROR(SUMIFS(INPUT!$E$3:$E$5000,INPUT!$A$3:$A$5000,INPUT!$H$3:$H$5000,INPUT!$C$3:$C$5000,INPUT!$I$3:$I$5000),0)),"")</f>
        <v>0</v>
      </c>
      <c r="AW13" s="160" cm="1">
        <f t="array" ref="AW13">IFERROR(SUMPRODUCT((INPUT!$H$3:$H$5000&gt;=AW$3)*(INPUT!$H$3:$H$5000&lt;=AW$3+6)*(INPUT!$J$3:$J$5000="JAVI")*ISNUMBER(INPUT!$K$3:$K$5000)*IFERROR(VALUE(INPUT!$K$3:$K$5000),0)*IFERROR(SUMIFS(INPUT!$E$3:$E$5000,INPUT!$A$3:$A$5000,INPUT!$H$3:$H$5000,INPUT!$C$3:$C$5000,INPUT!$I$3:$I$5000),0)),"")</f>
        <v>0</v>
      </c>
      <c r="AX13" s="160" cm="1">
        <f t="array" ref="AX13">IFERROR(SUMPRODUCT((INPUT!$H$3:$H$5000&gt;=AX$3)*(INPUT!$H$3:$H$5000&lt;=AX$3+6)*(INPUT!$J$3:$J$5000="JAVI")*ISNUMBER(INPUT!$K$3:$K$5000)*IFERROR(VALUE(INPUT!$K$3:$K$5000),0)*IFERROR(SUMIFS(INPUT!$E$3:$E$5000,INPUT!$A$3:$A$5000,INPUT!$H$3:$H$5000,INPUT!$C$3:$C$5000,INPUT!$I$3:$I$5000),0)),"")</f>
        <v>0</v>
      </c>
      <c r="AY13" s="160" cm="1">
        <f t="array" ref="AY13">IFERROR(SUMPRODUCT((INPUT!$H$3:$H$5000&gt;=AY$3)*(INPUT!$H$3:$H$5000&lt;=AY$3+6)*(INPUT!$J$3:$J$5000="JAVI")*ISNUMBER(INPUT!$K$3:$K$5000)*IFERROR(VALUE(INPUT!$K$3:$K$5000),0)*IFERROR(SUMIFS(INPUT!$E$3:$E$5000,INPUT!$A$3:$A$5000,INPUT!$H$3:$H$5000,INPUT!$C$3:$C$5000,INPUT!$I$3:$I$5000),0)),"")</f>
        <v>0</v>
      </c>
      <c r="AZ13" s="160" cm="1">
        <f t="array" ref="AZ13">IFERROR(SUMPRODUCT((INPUT!$H$3:$H$5000&gt;=AZ$3)*(INPUT!$H$3:$H$5000&lt;=AZ$3+6)*(INPUT!$J$3:$J$5000="JAVI")*ISNUMBER(INPUT!$K$3:$K$5000)*IFERROR(VALUE(INPUT!$K$3:$K$5000),0)*IFERROR(SUMIFS(INPUT!$E$3:$E$5000,INPUT!$A$3:$A$5000,INPUT!$H$3:$H$5000,INPUT!$C$3:$C$5000,INPUT!$I$3:$I$5000),0)),"")</f>
        <v>0</v>
      </c>
      <c r="BA13" s="160" cm="1">
        <f t="array" ref="BA13">IFERROR(SUMPRODUCT((INPUT!$H$3:$H$5000&gt;=BA$3)*(INPUT!$H$3:$H$5000&lt;=BA$3+6)*(INPUT!$J$3:$J$5000="JAVI")*ISNUMBER(INPUT!$K$3:$K$5000)*IFERROR(VALUE(INPUT!$K$3:$K$5000),0)*IFERROR(SUMIFS(INPUT!$E$3:$E$5000,INPUT!$A$3:$A$5000,INPUT!$H$3:$H$5000,INPUT!$C$3:$C$5000,INPUT!$I$3:$I$5000),0)),"")</f>
        <v>0</v>
      </c>
      <c r="BB13" s="161" cm="1">
        <f t="array" ref="BB13">IFERROR(SUMPRODUCT((INPUT!$H$3:$H$5000&gt;=BB$3)*(INPUT!$H$3:$H$5000&lt;=BB$3+6)*(INPUT!$J$3:$J$5000="JAVI")*ISNUMBER(INPUT!$K$3:$K$5000)*IFERROR(VALUE(INPUT!$K$3:$K$5000),0)*IFERROR(SUMIFS(INPUT!$E$3:$E$5000,INPUT!$A$3:$A$5000,INPUT!$H$3:$H$5000,INPUT!$C$3:$C$5000,INPUT!$I$3:$I$5000),0)),"")</f>
        <v>0</v>
      </c>
    </row>
    <row r="14" spans="1:54" x14ac:dyDescent="0.2">
      <c r="A14" s="154">
        <v>10</v>
      </c>
      <c r="B14" s="81" t="s">
        <v>50</v>
      </c>
      <c r="C14" s="159" cm="1">
        <f t="array" ref="C14">IFERROR(SUMPRODUCT((INPUT!$H$3:$H$5000&gt;=C$3)*(INPUT!$H$3:$H$5000&lt;=C$3+6)*(INPUT!$J$3:$J$5000="PANI")*ISNUMBER(INPUT!$K$3:$K$5000)*IFERROR(VALUE(INPUT!$K$3:$K$5000),0)*IFERROR(SUMIFS(INPUT!$E$3:$E$5000,INPUT!$A$3:$A$5000,INPUT!$H$3:$H$5000,INPUT!$C$3:$C$5000,INPUT!$I$3:$I$5000),0)),"")</f>
        <v>4920</v>
      </c>
      <c r="D14" s="159" cm="1">
        <f t="array" ref="D14">IFERROR(SUMPRODUCT((INPUT!$H$3:$H$5000&gt;=D$3)*(INPUT!$H$3:$H$5000&lt;=D$3+6)*(INPUT!$J$3:$J$5000="PANI")*ISNUMBER(INPUT!$K$3:$K$5000)*IFERROR(VALUE(INPUT!$K$3:$K$5000),0)*IFERROR(SUMIFS(INPUT!$E$3:$E$5000,INPUT!$A$3:$A$5000,INPUT!$H$3:$H$5000,INPUT!$C$3:$C$5000,INPUT!$I$3:$I$5000),0)),"")</f>
        <v>6460</v>
      </c>
      <c r="E14" s="159" cm="1">
        <f t="array" ref="E14">IFERROR(SUMPRODUCT((INPUT!$H$3:$H$5000&gt;=E$3)*(INPUT!$H$3:$H$5000&lt;=E$3+6)*(INPUT!$J$3:$J$5000="PANI")*ISNUMBER(INPUT!$K$3:$K$5000)*IFERROR(VALUE(INPUT!$K$3:$K$5000),0)*IFERROR(SUMIFS(INPUT!$E$3:$E$5000,INPUT!$A$3:$A$5000,INPUT!$H$3:$H$5000,INPUT!$C$3:$C$5000,INPUT!$I$3:$I$5000),0)),"")</f>
        <v>6090</v>
      </c>
      <c r="F14" s="159" cm="1">
        <f t="array" ref="F14">IFERROR(SUMPRODUCT((INPUT!$H$3:$H$5000&gt;=F$3)*(INPUT!$H$3:$H$5000&lt;=F$3+6)*(INPUT!$J$3:$J$5000="PANI")*ISNUMBER(INPUT!$K$3:$K$5000)*IFERROR(VALUE(INPUT!$K$3:$K$5000),0)*IFERROR(SUMIFS(INPUT!$E$3:$E$5000,INPUT!$A$3:$A$5000,INPUT!$H$3:$H$5000,INPUT!$C$3:$C$5000,INPUT!$I$3:$I$5000),0)),"")</f>
        <v>6330</v>
      </c>
      <c r="G14" s="159" cm="1">
        <f t="array" ref="G14">IFERROR(SUMPRODUCT((INPUT!$H$3:$H$5000&gt;=G$3)*(INPUT!$H$3:$H$5000&lt;=G$3+6)*(INPUT!$J$3:$J$5000="PANI")*ISNUMBER(INPUT!$K$3:$K$5000)*IFERROR(VALUE(INPUT!$K$3:$K$5000),0)*IFERROR(SUMIFS(INPUT!$E$3:$E$5000,INPUT!$A$3:$A$5000,INPUT!$H$3:$H$5000,INPUT!$C$3:$C$5000,INPUT!$I$3:$I$5000),0)),"")</f>
        <v>3990</v>
      </c>
      <c r="H14" s="159" cm="1">
        <f t="array" ref="H14">IFERROR(SUMPRODUCT((INPUT!$H$3:$H$5000&gt;=H$3)*(INPUT!$H$3:$H$5000&lt;=H$3+6)*(INPUT!$J$3:$J$5000="PANI")*ISNUMBER(INPUT!$K$3:$K$5000)*IFERROR(VALUE(INPUT!$K$3:$K$5000),0)*IFERROR(SUMIFS(INPUT!$E$3:$E$5000,INPUT!$A$3:$A$5000,INPUT!$H$3:$H$5000,INPUT!$C$3:$C$5000,INPUT!$I$3:$I$5000),0)),"")</f>
        <v>3740</v>
      </c>
      <c r="I14" s="159" cm="1">
        <f t="array" ref="I14">IFERROR(SUMPRODUCT((INPUT!$H$3:$H$5000&gt;=I$3)*(INPUT!$H$3:$H$5000&lt;=I$3+6)*(INPUT!$J$3:$J$5000="PANI")*ISNUMBER(INPUT!$K$3:$K$5000)*IFERROR(VALUE(INPUT!$K$3:$K$5000),0)*IFERROR(SUMIFS(INPUT!$E$3:$E$5000,INPUT!$A$3:$A$5000,INPUT!$H$3:$H$5000,INPUT!$C$3:$C$5000,INPUT!$I$3:$I$5000),0)),"")</f>
        <v>3325</v>
      </c>
      <c r="J14" s="160" cm="1">
        <f t="array" ref="J14">IFERROR(SUMPRODUCT((INPUT!$H$3:$H$5000&gt;=J$3)*(INPUT!$H$3:$H$5000&lt;=J$3+6)*(INPUT!$J$3:$J$5000="PANI")*ISNUMBER(INPUT!$K$3:$K$5000)*IFERROR(VALUE(INPUT!$K$3:$K$5000),0)*IFERROR(SUMIFS(INPUT!$E$3:$E$5000,INPUT!$A$3:$A$5000,INPUT!$H$3:$H$5000,INPUT!$C$3:$C$5000,INPUT!$I$3:$I$5000),0)),"")</f>
        <v>0</v>
      </c>
      <c r="K14" s="159" cm="1">
        <f t="array" ref="K14">IFERROR(SUMPRODUCT((INPUT!$H$3:$H$5000&gt;=K$3)*(INPUT!$H$3:$H$5000&lt;=K$3+6)*(INPUT!$J$3:$J$5000="PANI")*ISNUMBER(INPUT!$K$3:$K$5000)*IFERROR(VALUE(INPUT!$K$3:$K$5000),0)*IFERROR(SUMIFS(INPUT!$E$3:$E$5000,INPUT!$A$3:$A$5000,INPUT!$H$3:$H$5000,INPUT!$C$3:$C$5000,INPUT!$I$3:$I$5000),0)),"")</f>
        <v>2615</v>
      </c>
      <c r="L14" s="160" cm="1">
        <f t="array" ref="L14">IFERROR(SUMPRODUCT((INPUT!$H$3:$H$5000&gt;=L$3)*(INPUT!$H$3:$H$5000&lt;=L$3+6)*(INPUT!$J$3:$J$5000="PANI")*ISNUMBER(INPUT!$K$3:$K$5000)*IFERROR(VALUE(INPUT!$K$3:$K$5000),0)*IFERROR(SUMIFS(INPUT!$E$3:$E$5000,INPUT!$A$3:$A$5000,INPUT!$H$3:$H$5000,INPUT!$C$3:$C$5000,INPUT!$I$3:$I$5000),0)),"")</f>
        <v>3840</v>
      </c>
      <c r="M14" s="160" cm="1">
        <f t="array" ref="M14">IFERROR(SUMPRODUCT((INPUT!$H$3:$H$5000&gt;=M$3)*(INPUT!$H$3:$H$5000&lt;=M$3+6)*(INPUT!$J$3:$J$5000="PANI")*ISNUMBER(INPUT!$K$3:$K$5000)*IFERROR(VALUE(INPUT!$K$3:$K$5000),0)*IFERROR(SUMIFS(INPUT!$E$3:$E$5000,INPUT!$A$3:$A$5000,INPUT!$H$3:$H$5000,INPUT!$C$3:$C$5000,INPUT!$I$3:$I$5000),0)),"")</f>
        <v>3380</v>
      </c>
      <c r="N14" s="160" cm="1">
        <f t="array" ref="N14">IFERROR(SUMPRODUCT((INPUT!$H$3:$H$5000&gt;=N$3)*(INPUT!$H$3:$H$5000&lt;=N$3+6)*(INPUT!$J$3:$J$5000="PANI")*ISNUMBER(INPUT!$K$3:$K$5000)*IFERROR(VALUE(INPUT!$K$3:$K$5000),0)*IFERROR(SUMIFS(INPUT!$E$3:$E$5000,INPUT!$A$3:$A$5000,INPUT!$H$3:$H$5000,INPUT!$C$3:$C$5000,INPUT!$I$3:$I$5000),0)),"")</f>
        <v>3060</v>
      </c>
      <c r="O14" s="160" cm="1">
        <f t="array" ref="O14">IFERROR(SUMPRODUCT((INPUT!$H$3:$H$5000&gt;=O$3)*(INPUT!$H$3:$H$5000&lt;=O$3+6)*(INPUT!$J$3:$J$5000="PANI")*ISNUMBER(INPUT!$K$3:$K$5000)*IFERROR(VALUE(INPUT!$K$3:$K$5000),0)*IFERROR(SUMIFS(INPUT!$E$3:$E$5000,INPUT!$A$3:$A$5000,INPUT!$H$3:$H$5000,INPUT!$C$3:$C$5000,INPUT!$I$3:$I$5000),0)),"")</f>
        <v>3920</v>
      </c>
      <c r="P14" s="160" cm="1">
        <f t="array" ref="P14">IFERROR(SUMPRODUCT((INPUT!$H$3:$H$5000&gt;=P$3)*(INPUT!$H$3:$H$5000&lt;=P$3+6)*(INPUT!$J$3:$J$5000="PANI")*ISNUMBER(INPUT!$K$3:$K$5000)*IFERROR(VALUE(INPUT!$K$3:$K$5000),0)*IFERROR(SUMIFS(INPUT!$E$3:$E$5000,INPUT!$A$3:$A$5000,INPUT!$H$3:$H$5000,INPUT!$C$3:$C$5000,INPUT!$I$3:$I$5000),0)),"")</f>
        <v>3865</v>
      </c>
      <c r="Q14" s="160" cm="1">
        <f t="array" ref="Q14">IFERROR(SUMPRODUCT((INPUT!$H$3:$H$5000&gt;=Q$3)*(INPUT!$H$3:$H$5000&lt;=Q$3+6)*(INPUT!$J$3:$J$5000="PANI")*ISNUMBER(INPUT!$K$3:$K$5000)*IFERROR(VALUE(INPUT!$K$3:$K$5000),0)*IFERROR(SUMIFS(INPUT!$E$3:$E$5000,INPUT!$A$3:$A$5000,INPUT!$H$3:$H$5000,INPUT!$C$3:$C$5000,INPUT!$I$3:$I$5000),0)),"")</f>
        <v>1150</v>
      </c>
      <c r="R14" s="160" cm="1">
        <f t="array" ref="R14">IFERROR(SUMPRODUCT((INPUT!$H$3:$H$5000&gt;=R$3)*(INPUT!$H$3:$H$5000&lt;=R$3+6)*(INPUT!$J$3:$J$5000="PANI")*ISNUMBER(INPUT!$K$3:$K$5000)*IFERROR(VALUE(INPUT!$K$3:$K$5000),0)*IFERROR(SUMIFS(INPUT!$E$3:$E$5000,INPUT!$A$3:$A$5000,INPUT!$H$3:$H$5000,INPUT!$C$3:$C$5000,INPUT!$I$3:$I$5000),0)),"")</f>
        <v>1350</v>
      </c>
      <c r="S14" s="160" cm="1">
        <f t="array" ref="S14">IFERROR(SUMPRODUCT((INPUT!$H$3:$H$5000&gt;=S$3)*(INPUT!$H$3:$H$5000&lt;=S$3+6)*(INPUT!$J$3:$J$5000="PANI")*ISNUMBER(INPUT!$K$3:$K$5000)*IFERROR(VALUE(INPUT!$K$3:$K$5000),0)*IFERROR(SUMIFS(INPUT!$E$3:$E$5000,INPUT!$A$3:$A$5000,INPUT!$H$3:$H$5000,INPUT!$C$3:$C$5000,INPUT!$I$3:$I$5000),0)),"")</f>
        <v>0</v>
      </c>
      <c r="T14" s="160" cm="1">
        <f t="array" ref="T14">IFERROR(SUMPRODUCT((INPUT!$H$3:$H$5000&gt;=T$3)*(INPUT!$H$3:$H$5000&lt;=T$3+6)*(INPUT!$J$3:$J$5000="PANI")*ISNUMBER(INPUT!$K$3:$K$5000)*IFERROR(VALUE(INPUT!$K$3:$K$5000),0)*IFERROR(SUMIFS(INPUT!$E$3:$E$5000,INPUT!$A$3:$A$5000,INPUT!$H$3:$H$5000,INPUT!$C$3:$C$5000,INPUT!$I$3:$I$5000),0)),"")</f>
        <v>460</v>
      </c>
      <c r="U14" s="160" cm="1">
        <f t="array" ref="U14">IFERROR(SUMPRODUCT((INPUT!$H$3:$H$5000&gt;=U$3)*(INPUT!$H$3:$H$5000&lt;=U$3+6)*(INPUT!$J$3:$J$5000="PANI")*ISNUMBER(INPUT!$K$3:$K$5000)*IFERROR(VALUE(INPUT!$K$3:$K$5000),0)*IFERROR(SUMIFS(INPUT!$E$3:$E$5000,INPUT!$A$3:$A$5000,INPUT!$H$3:$H$5000,INPUT!$C$3:$C$5000,INPUT!$I$3:$I$5000),0)),"")</f>
        <v>4485</v>
      </c>
      <c r="V14" s="160" cm="1">
        <f t="array" ref="V14">IFERROR(SUMPRODUCT((INPUT!$H$3:$H$5000&gt;=V$3)*(INPUT!$H$3:$H$5000&lt;=V$3+6)*(INPUT!$J$3:$J$5000="PANI")*ISNUMBER(INPUT!$K$3:$K$5000)*IFERROR(VALUE(INPUT!$K$3:$K$5000),0)*IFERROR(SUMIFS(INPUT!$E$3:$E$5000,INPUT!$A$3:$A$5000,INPUT!$H$3:$H$5000,INPUT!$C$3:$C$5000,INPUT!$I$3:$I$5000),0)),"")</f>
        <v>2150</v>
      </c>
      <c r="W14" s="160" cm="1">
        <f t="array" ref="W14">IFERROR(SUMPRODUCT((INPUT!$H$3:$H$5000&gt;=W$3)*(INPUT!$H$3:$H$5000&lt;=W$3+6)*(INPUT!$J$3:$J$5000="PANI")*ISNUMBER(INPUT!$K$3:$K$5000)*IFERROR(VALUE(INPUT!$K$3:$K$5000),0)*IFERROR(SUMIFS(INPUT!$E$3:$E$5000,INPUT!$A$3:$A$5000,INPUT!$H$3:$H$5000,INPUT!$C$3:$C$5000,INPUT!$I$3:$I$5000),0)),"")</f>
        <v>3030</v>
      </c>
      <c r="X14" s="160" cm="1">
        <f t="array" ref="X14">IFERROR(SUMPRODUCT((INPUT!$H$3:$H$5000&gt;=X$3)*(INPUT!$H$3:$H$5000&lt;=X$3+6)*(INPUT!$J$3:$J$5000="PANI")*ISNUMBER(INPUT!$K$3:$K$5000)*IFERROR(VALUE(INPUT!$K$3:$K$5000),0)*IFERROR(SUMIFS(INPUT!$E$3:$E$5000,INPUT!$A$3:$A$5000,INPUT!$H$3:$H$5000,INPUT!$C$3:$C$5000,INPUT!$I$3:$I$5000),0)),"")</f>
        <v>2985</v>
      </c>
      <c r="Y14" s="160" cm="1">
        <f t="array" ref="Y14">IFERROR(SUMPRODUCT((INPUT!$H$3:$H$5000&gt;=Y$3)*(INPUT!$H$3:$H$5000&lt;=Y$3+6)*(INPUT!$J$3:$J$5000="PANI")*ISNUMBER(INPUT!$K$3:$K$5000)*IFERROR(VALUE(INPUT!$K$3:$K$5000),0)*IFERROR(SUMIFS(INPUT!$E$3:$E$5000,INPUT!$A$3:$A$5000,INPUT!$H$3:$H$5000,INPUT!$C$3:$C$5000,INPUT!$I$3:$I$5000),0)),"")</f>
        <v>3065</v>
      </c>
      <c r="Z14" s="160" cm="1">
        <f t="array" ref="Z14">IFERROR(SUMPRODUCT((INPUT!$H$3:$H$5000&gt;=Z$3)*(INPUT!$H$3:$H$5000&lt;=Z$3+6)*(INPUT!$J$3:$J$5000="PANI")*ISNUMBER(INPUT!$K$3:$K$5000)*IFERROR(VALUE(INPUT!$K$3:$K$5000),0)*IFERROR(SUMIFS(INPUT!$E$3:$E$5000,INPUT!$A$3:$A$5000,INPUT!$H$3:$H$5000,INPUT!$C$3:$C$5000,INPUT!$I$3:$I$5000),0)),"")</f>
        <v>3455</v>
      </c>
      <c r="AA14" s="160" cm="1">
        <f t="array" ref="AA14">IFERROR(SUMPRODUCT((INPUT!$H$3:$H$5000&gt;=AA$3)*(INPUT!$H$3:$H$5000&lt;=AA$3+6)*(INPUT!$J$3:$J$5000="PANI")*ISNUMBER(INPUT!$K$3:$K$5000)*IFERROR(VALUE(INPUT!$K$3:$K$5000),0)*IFERROR(SUMIFS(INPUT!$E$3:$E$5000,INPUT!$A$3:$A$5000,INPUT!$H$3:$H$5000,INPUT!$C$3:$C$5000,INPUT!$I$3:$I$5000),0)),"")</f>
        <v>0</v>
      </c>
      <c r="AB14" s="160" cm="1">
        <f t="array" ref="AB14">IFERROR(SUMPRODUCT((INPUT!$H$3:$H$5000&gt;=AB$3)*(INPUT!$H$3:$H$5000&lt;=AB$3+6)*(INPUT!$J$3:$J$5000="PANI")*ISNUMBER(INPUT!$K$3:$K$5000)*IFERROR(VALUE(INPUT!$K$3:$K$5000),0)*IFERROR(SUMIFS(INPUT!$E$3:$E$5000,INPUT!$A$3:$A$5000,INPUT!$H$3:$H$5000,INPUT!$C$3:$C$5000,INPUT!$I$3:$I$5000),0)),"")</f>
        <v>6605</v>
      </c>
      <c r="AC14" s="160" cm="1">
        <f t="array" ref="AC14">IFERROR(SUMPRODUCT((INPUT!$H$3:$H$5000&gt;=AC$3)*(INPUT!$H$3:$H$5000&lt;=AC$3+6)*(INPUT!$J$3:$J$5000="PANI")*ISNUMBER(INPUT!$K$3:$K$5000)*IFERROR(VALUE(INPUT!$K$3:$K$5000),0)*IFERROR(SUMIFS(INPUT!$E$3:$E$5000,INPUT!$A$3:$A$5000,INPUT!$H$3:$H$5000,INPUT!$C$3:$C$5000,INPUT!$I$3:$I$5000),0)),"")</f>
        <v>4110</v>
      </c>
      <c r="AD14" s="160" cm="1">
        <f t="array" ref="AD14">IFERROR(SUMPRODUCT((INPUT!$H$3:$H$5000&gt;=AD$3)*(INPUT!$H$3:$H$5000&lt;=AD$3+6)*(INPUT!$J$3:$J$5000="PANI")*ISNUMBER(INPUT!$K$3:$K$5000)*IFERROR(VALUE(INPUT!$K$3:$K$5000),0)*IFERROR(SUMIFS(INPUT!$E$3:$E$5000,INPUT!$A$3:$A$5000,INPUT!$H$3:$H$5000,INPUT!$C$3:$C$5000,INPUT!$I$3:$I$5000),0)),"")</f>
        <v>5910</v>
      </c>
      <c r="AE14" s="160" cm="1">
        <f t="array" ref="AE14">IFERROR(SUMPRODUCT((INPUT!$H$3:$H$5000&gt;=AE$3)*(INPUT!$H$3:$H$5000&lt;=AE$3+6)*(INPUT!$J$3:$J$5000="PANI")*ISNUMBER(INPUT!$K$3:$K$5000)*IFERROR(VALUE(INPUT!$K$3:$K$5000),0)*IFERROR(SUMIFS(INPUT!$E$3:$E$5000,INPUT!$A$3:$A$5000,INPUT!$H$3:$H$5000,INPUT!$C$3:$C$5000,INPUT!$I$3:$I$5000),0)),"")</f>
        <v>3585</v>
      </c>
      <c r="AF14" s="160" cm="1">
        <f t="array" ref="AF14">IFERROR(SUMPRODUCT((INPUT!$H$3:$H$5000&gt;=AF$3)*(INPUT!$H$3:$H$5000&lt;=AF$3+6)*(INPUT!$J$3:$J$5000="PANI")*ISNUMBER(INPUT!$K$3:$K$5000)*IFERROR(VALUE(INPUT!$K$3:$K$5000),0)*IFERROR(SUMIFS(INPUT!$E$3:$E$5000,INPUT!$A$3:$A$5000,INPUT!$H$3:$H$5000,INPUT!$C$3:$C$5000,INPUT!$I$3:$I$5000),0)),"")</f>
        <v>3170</v>
      </c>
      <c r="AG14" s="160" cm="1">
        <f t="array" ref="AG14">IFERROR(SUMPRODUCT((INPUT!$H$3:$H$5000&gt;=AG$3)*(INPUT!$H$3:$H$5000&lt;=AG$3+6)*(INPUT!$J$3:$J$5000="PANI")*ISNUMBER(INPUT!$K$3:$K$5000)*IFERROR(VALUE(INPUT!$K$3:$K$5000),0)*IFERROR(SUMIFS(INPUT!$E$3:$E$5000,INPUT!$A$3:$A$5000,INPUT!$H$3:$H$5000,INPUT!$C$3:$C$5000,INPUT!$I$3:$I$5000),0)),"")</f>
        <v>5440</v>
      </c>
      <c r="AH14" s="160" cm="1">
        <f t="array" ref="AH14">IFERROR(SUMPRODUCT((INPUT!$H$3:$H$5000&gt;=AH$3)*(INPUT!$H$3:$H$5000&lt;=AH$3+6)*(INPUT!$J$3:$J$5000="PANI")*ISNUMBER(INPUT!$K$3:$K$5000)*IFERROR(VALUE(INPUT!$K$3:$K$5000),0)*IFERROR(SUMIFS(INPUT!$E$3:$E$5000,INPUT!$A$3:$A$5000,INPUT!$H$3:$H$5000,INPUT!$C$3:$C$5000,INPUT!$I$3:$I$5000),0)),"")</f>
        <v>2850</v>
      </c>
      <c r="AI14" s="160" cm="1">
        <f t="array" ref="AI14">IFERROR(SUMPRODUCT((INPUT!$H$3:$H$5000&gt;=AI$3)*(INPUT!$H$3:$H$5000&lt;=AI$3+6)*(INPUT!$J$3:$J$5000="PANI")*ISNUMBER(INPUT!$K$3:$K$5000)*IFERROR(VALUE(INPUT!$K$3:$K$5000),0)*IFERROR(SUMIFS(INPUT!$E$3:$E$5000,INPUT!$A$3:$A$5000,INPUT!$H$3:$H$5000,INPUT!$C$3:$C$5000,INPUT!$I$3:$I$5000),0)),"")</f>
        <v>2530</v>
      </c>
      <c r="AJ14" s="160" cm="1">
        <f t="array" ref="AJ14">IFERROR(SUMPRODUCT((INPUT!$H$3:$H$5000&gt;=AJ$3)*(INPUT!$H$3:$H$5000&lt;=AJ$3+6)*(INPUT!$J$3:$J$5000="PANI")*ISNUMBER(INPUT!$K$3:$K$5000)*IFERROR(VALUE(INPUT!$K$3:$K$5000),0)*IFERROR(SUMIFS(INPUT!$E$3:$E$5000,INPUT!$A$3:$A$5000,INPUT!$H$3:$H$5000,INPUT!$C$3:$C$5000,INPUT!$I$3:$I$5000),0)),"")</f>
        <v>3275</v>
      </c>
      <c r="AK14" s="160" cm="1">
        <f t="array" ref="AK14">IFERROR(SUMPRODUCT((INPUT!$H$3:$H$5000&gt;=AK$3)*(INPUT!$H$3:$H$5000&lt;=AK$3+6)*(INPUT!$J$3:$J$5000="PANI")*ISNUMBER(INPUT!$K$3:$K$5000)*IFERROR(VALUE(INPUT!$K$3:$K$5000),0)*IFERROR(SUMIFS(INPUT!$E$3:$E$5000,INPUT!$A$3:$A$5000,INPUT!$H$3:$H$5000,INPUT!$C$3:$C$5000,INPUT!$I$3:$I$5000),0)),"")</f>
        <v>3560</v>
      </c>
      <c r="AL14" s="160" cm="1">
        <f t="array" ref="AL14">IFERROR(SUMPRODUCT((INPUT!$H$3:$H$5000&gt;=AL$3)*(INPUT!$H$3:$H$5000&lt;=AL$3+6)*(INPUT!$J$3:$J$5000="PANI")*ISNUMBER(INPUT!$K$3:$K$5000)*IFERROR(VALUE(INPUT!$K$3:$K$5000),0)*IFERROR(SUMIFS(INPUT!$E$3:$E$5000,INPUT!$A$3:$A$5000,INPUT!$H$3:$H$5000,INPUT!$C$3:$C$5000,INPUT!$I$3:$I$5000),0)),"")</f>
        <v>5555</v>
      </c>
      <c r="AM14" s="160" cm="1">
        <f t="array" ref="AM14">IFERROR(SUMPRODUCT((INPUT!$H$3:$H$5000&gt;=AM$3)*(INPUT!$H$3:$H$5000&lt;=AM$3+6)*(INPUT!$J$3:$J$5000="PANI")*ISNUMBER(INPUT!$K$3:$K$5000)*IFERROR(VALUE(INPUT!$K$3:$K$5000),0)*IFERROR(SUMIFS(INPUT!$E$3:$E$5000,INPUT!$A$3:$A$5000,INPUT!$H$3:$H$5000,INPUT!$C$3:$C$5000,INPUT!$I$3:$I$5000),0)),"")</f>
        <v>4510</v>
      </c>
      <c r="AN14" s="160" cm="1">
        <f t="array" ref="AN14">IFERROR(SUMPRODUCT((INPUT!$H$3:$H$5000&gt;=AN$3)*(INPUT!$H$3:$H$5000&lt;=AN$3+6)*(INPUT!$J$3:$J$5000="PANI")*ISNUMBER(INPUT!$K$3:$K$5000)*IFERROR(VALUE(INPUT!$K$3:$K$5000),0)*IFERROR(SUMIFS(INPUT!$E$3:$E$5000,INPUT!$A$3:$A$5000,INPUT!$H$3:$H$5000,INPUT!$C$3:$C$5000,INPUT!$I$3:$I$5000),0)),"")</f>
        <v>4015</v>
      </c>
      <c r="AO14" s="160" cm="1">
        <f t="array" ref="AO14">IFERROR(SUMPRODUCT((INPUT!$H$3:$H$5000&gt;=AO$3)*(INPUT!$H$3:$H$5000&lt;=AO$3+6)*(INPUT!$J$3:$J$5000="PANI")*ISNUMBER(INPUT!$K$3:$K$5000)*IFERROR(VALUE(INPUT!$K$3:$K$5000),0)*IFERROR(SUMIFS(INPUT!$E$3:$E$5000,INPUT!$A$3:$A$5000,INPUT!$H$3:$H$5000,INPUT!$C$3:$C$5000,INPUT!$I$3:$I$5000),0)),"")</f>
        <v>0</v>
      </c>
      <c r="AP14" s="160" cm="1">
        <f t="array" ref="AP14">IFERROR(SUMPRODUCT((INPUT!$H$3:$H$5000&gt;=AP$3)*(INPUT!$H$3:$H$5000&lt;=AP$3+6)*(INPUT!$J$3:$J$5000="PANI")*ISNUMBER(INPUT!$K$3:$K$5000)*IFERROR(VALUE(INPUT!$K$3:$K$5000),0)*IFERROR(SUMIFS(INPUT!$E$3:$E$5000,INPUT!$A$3:$A$5000,INPUT!$H$3:$H$5000,INPUT!$C$3:$C$5000,INPUT!$I$3:$I$5000),0)),"")</f>
        <v>0</v>
      </c>
      <c r="AQ14" s="160" cm="1">
        <f t="array" ref="AQ14">IFERROR(SUMPRODUCT((INPUT!$H$3:$H$5000&gt;=AQ$3)*(INPUT!$H$3:$H$5000&lt;=AQ$3+6)*(INPUT!$J$3:$J$5000="PANI")*ISNUMBER(INPUT!$K$3:$K$5000)*IFERROR(VALUE(INPUT!$K$3:$K$5000),0)*IFERROR(SUMIFS(INPUT!$E$3:$E$5000,INPUT!$A$3:$A$5000,INPUT!$H$3:$H$5000,INPUT!$C$3:$C$5000,INPUT!$I$3:$I$5000),0)),"")</f>
        <v>0</v>
      </c>
      <c r="AR14" s="160" cm="1">
        <f t="array" ref="AR14">IFERROR(SUMPRODUCT((INPUT!$H$3:$H$5000&gt;=AR$3)*(INPUT!$H$3:$H$5000&lt;=AR$3+6)*(INPUT!$J$3:$J$5000="PANI")*ISNUMBER(INPUT!$K$3:$K$5000)*IFERROR(VALUE(INPUT!$K$3:$K$5000),0)*IFERROR(SUMIFS(INPUT!$E$3:$E$5000,INPUT!$A$3:$A$5000,INPUT!$H$3:$H$5000,INPUT!$C$3:$C$5000,INPUT!$I$3:$I$5000),0)),"")</f>
        <v>0</v>
      </c>
      <c r="AS14" s="160" cm="1">
        <f t="array" ref="AS14">IFERROR(SUMPRODUCT((INPUT!$H$3:$H$5000&gt;=AS$3)*(INPUT!$H$3:$H$5000&lt;=AS$3+6)*(INPUT!$J$3:$J$5000="PANI")*ISNUMBER(INPUT!$K$3:$K$5000)*IFERROR(VALUE(INPUT!$K$3:$K$5000),0)*IFERROR(SUMIFS(INPUT!$E$3:$E$5000,INPUT!$A$3:$A$5000,INPUT!$H$3:$H$5000,INPUT!$C$3:$C$5000,INPUT!$I$3:$I$5000),0)),"")</f>
        <v>0</v>
      </c>
      <c r="AT14" s="160" cm="1">
        <f t="array" ref="AT14">IFERROR(SUMPRODUCT((INPUT!$H$3:$H$5000&gt;=AT$3)*(INPUT!$H$3:$H$5000&lt;=AT$3+6)*(INPUT!$J$3:$J$5000="PANI")*ISNUMBER(INPUT!$K$3:$K$5000)*IFERROR(VALUE(INPUT!$K$3:$K$5000),0)*IFERROR(SUMIFS(INPUT!$E$3:$E$5000,INPUT!$A$3:$A$5000,INPUT!$H$3:$H$5000,INPUT!$C$3:$C$5000,INPUT!$I$3:$I$5000),0)),"")</f>
        <v>0</v>
      </c>
      <c r="AU14" s="160" cm="1">
        <f t="array" ref="AU14">IFERROR(SUMPRODUCT((INPUT!$H$3:$H$5000&gt;=AU$3)*(INPUT!$H$3:$H$5000&lt;=AU$3+6)*(INPUT!$J$3:$J$5000="PANI")*ISNUMBER(INPUT!$K$3:$K$5000)*IFERROR(VALUE(INPUT!$K$3:$K$5000),0)*IFERROR(SUMIFS(INPUT!$E$3:$E$5000,INPUT!$A$3:$A$5000,INPUT!$H$3:$H$5000,INPUT!$C$3:$C$5000,INPUT!$I$3:$I$5000),0)),"")</f>
        <v>0</v>
      </c>
      <c r="AV14" s="160" cm="1">
        <f t="array" ref="AV14">IFERROR(SUMPRODUCT((INPUT!$H$3:$H$5000&gt;=AV$3)*(INPUT!$H$3:$H$5000&lt;=AV$3+6)*(INPUT!$J$3:$J$5000="PANI")*ISNUMBER(INPUT!$K$3:$K$5000)*IFERROR(VALUE(INPUT!$K$3:$K$5000),0)*IFERROR(SUMIFS(INPUT!$E$3:$E$5000,INPUT!$A$3:$A$5000,INPUT!$H$3:$H$5000,INPUT!$C$3:$C$5000,INPUT!$I$3:$I$5000),0)),"")</f>
        <v>0</v>
      </c>
      <c r="AW14" s="160" cm="1">
        <f t="array" ref="AW14">IFERROR(SUMPRODUCT((INPUT!$H$3:$H$5000&gt;=AW$3)*(INPUT!$H$3:$H$5000&lt;=AW$3+6)*(INPUT!$J$3:$J$5000="PANI")*ISNUMBER(INPUT!$K$3:$K$5000)*IFERROR(VALUE(INPUT!$K$3:$K$5000),0)*IFERROR(SUMIFS(INPUT!$E$3:$E$5000,INPUT!$A$3:$A$5000,INPUT!$H$3:$H$5000,INPUT!$C$3:$C$5000,INPUT!$I$3:$I$5000),0)),"")</f>
        <v>0</v>
      </c>
      <c r="AX14" s="160" cm="1">
        <f t="array" ref="AX14">IFERROR(SUMPRODUCT((INPUT!$H$3:$H$5000&gt;=AX$3)*(INPUT!$H$3:$H$5000&lt;=AX$3+6)*(INPUT!$J$3:$J$5000="PANI")*ISNUMBER(INPUT!$K$3:$K$5000)*IFERROR(VALUE(INPUT!$K$3:$K$5000),0)*IFERROR(SUMIFS(INPUT!$E$3:$E$5000,INPUT!$A$3:$A$5000,INPUT!$H$3:$H$5000,INPUT!$C$3:$C$5000,INPUT!$I$3:$I$5000),0)),"")</f>
        <v>0</v>
      </c>
      <c r="AY14" s="160" cm="1">
        <f t="array" ref="AY14">IFERROR(SUMPRODUCT((INPUT!$H$3:$H$5000&gt;=AY$3)*(INPUT!$H$3:$H$5000&lt;=AY$3+6)*(INPUT!$J$3:$J$5000="PANI")*ISNUMBER(INPUT!$K$3:$K$5000)*IFERROR(VALUE(INPUT!$K$3:$K$5000),0)*IFERROR(SUMIFS(INPUT!$E$3:$E$5000,INPUT!$A$3:$A$5000,INPUT!$H$3:$H$5000,INPUT!$C$3:$C$5000,INPUT!$I$3:$I$5000),0)),"")</f>
        <v>0</v>
      </c>
      <c r="AZ14" s="160" cm="1">
        <f t="array" ref="AZ14">IFERROR(SUMPRODUCT((INPUT!$H$3:$H$5000&gt;=AZ$3)*(INPUT!$H$3:$H$5000&lt;=AZ$3+6)*(INPUT!$J$3:$J$5000="PANI")*ISNUMBER(INPUT!$K$3:$K$5000)*IFERROR(VALUE(INPUT!$K$3:$K$5000),0)*IFERROR(SUMIFS(INPUT!$E$3:$E$5000,INPUT!$A$3:$A$5000,INPUT!$H$3:$H$5000,INPUT!$C$3:$C$5000,INPUT!$I$3:$I$5000),0)),"")</f>
        <v>0</v>
      </c>
      <c r="BA14" s="160" cm="1">
        <f t="array" ref="BA14">IFERROR(SUMPRODUCT((INPUT!$H$3:$H$5000&gt;=BA$3)*(INPUT!$H$3:$H$5000&lt;=BA$3+6)*(INPUT!$J$3:$J$5000="PANI")*ISNUMBER(INPUT!$K$3:$K$5000)*IFERROR(VALUE(INPUT!$K$3:$K$5000),0)*IFERROR(SUMIFS(INPUT!$E$3:$E$5000,INPUT!$A$3:$A$5000,INPUT!$H$3:$H$5000,INPUT!$C$3:$C$5000,INPUT!$I$3:$I$5000),0)),"")</f>
        <v>0</v>
      </c>
      <c r="BB14" s="161" cm="1">
        <f t="array" ref="BB14">IFERROR(SUMPRODUCT((INPUT!$H$3:$H$5000&gt;=BB$3)*(INPUT!$H$3:$H$5000&lt;=BB$3+6)*(INPUT!$J$3:$J$5000="PANI")*ISNUMBER(INPUT!$K$3:$K$5000)*IFERROR(VALUE(INPUT!$K$3:$K$5000),0)*IFERROR(SUMIFS(INPUT!$E$3:$E$5000,INPUT!$A$3:$A$5000,INPUT!$H$3:$H$5000,INPUT!$C$3:$C$5000,INPUT!$I$3:$I$5000),0)),"")</f>
        <v>0</v>
      </c>
    </row>
    <row r="15" spans="1:54" x14ac:dyDescent="0.2">
      <c r="A15" s="56">
        <v>11</v>
      </c>
      <c r="B15" s="9" t="s">
        <v>51</v>
      </c>
      <c r="C15" s="159" cm="1">
        <f t="array" ref="C15">IFERROR(SUMPRODUCT((INPUT!$H$3:$H$5000&gt;=C$3)*(INPUT!$H$3:$H$5000&lt;=C$3+6)*(INPUT!$J$3:$J$5000="PIRATA")*ISNUMBER(INPUT!$K$3:$K$5000)*IFERROR(VALUE(INPUT!$K$3:$K$5000),0)*IFERROR(SUMIFS(INPUT!$E$3:$E$5000,INPUT!$A$3:$A$5000,INPUT!$H$3:$H$5000,INPUT!$C$3:$C$5000,INPUT!$I$3:$I$5000),0)),"")</f>
        <v>4920</v>
      </c>
      <c r="D15" s="159" cm="1">
        <f t="array" ref="D15">IFERROR(SUMPRODUCT((INPUT!$H$3:$H$5000&gt;=D$3)*(INPUT!$H$3:$H$5000&lt;=D$3+6)*(INPUT!$J$3:$J$5000="PIRATA")*ISNUMBER(INPUT!$K$3:$K$5000)*IFERROR(VALUE(INPUT!$K$3:$K$5000),0)*IFERROR(SUMIFS(INPUT!$E$3:$E$5000,INPUT!$A$3:$A$5000,INPUT!$H$3:$H$5000,INPUT!$C$3:$C$5000,INPUT!$I$3:$I$5000),0)),"")</f>
        <v>6955</v>
      </c>
      <c r="E15" s="159" cm="1">
        <f t="array" ref="E15">IFERROR(SUMPRODUCT((INPUT!$H$3:$H$5000&gt;=E$3)*(INPUT!$H$3:$H$5000&lt;=E$3+6)*(INPUT!$J$3:$J$5000="PIRATA")*ISNUMBER(INPUT!$K$3:$K$5000)*IFERROR(VALUE(INPUT!$K$3:$K$5000),0)*IFERROR(SUMIFS(INPUT!$E$3:$E$5000,INPUT!$A$3:$A$5000,INPUT!$H$3:$H$5000,INPUT!$C$3:$C$5000,INPUT!$I$3:$I$5000),0)),"")</f>
        <v>6840</v>
      </c>
      <c r="F15" s="159" cm="1">
        <f t="array" ref="F15">IFERROR(SUMPRODUCT((INPUT!$H$3:$H$5000&gt;=F$3)*(INPUT!$H$3:$H$5000&lt;=F$3+6)*(INPUT!$J$3:$J$5000="PIRATA")*ISNUMBER(INPUT!$K$3:$K$5000)*IFERROR(VALUE(INPUT!$K$3:$K$5000),0)*IFERROR(SUMIFS(INPUT!$E$3:$E$5000,INPUT!$A$3:$A$5000,INPUT!$H$3:$H$5000,INPUT!$C$3:$C$5000,INPUT!$I$3:$I$5000),0)),"")</f>
        <v>6660</v>
      </c>
      <c r="G15" s="159" cm="1">
        <f t="array" ref="G15">IFERROR(SUMPRODUCT((INPUT!$H$3:$H$5000&gt;=G$3)*(INPUT!$H$3:$H$5000&lt;=G$3+6)*(INPUT!$J$3:$J$5000="PIRATA")*ISNUMBER(INPUT!$K$3:$K$5000)*IFERROR(VALUE(INPUT!$K$3:$K$5000),0)*IFERROR(SUMIFS(INPUT!$E$3:$E$5000,INPUT!$A$3:$A$5000,INPUT!$H$3:$H$5000,INPUT!$C$3:$C$5000,INPUT!$I$3:$I$5000),0)),"")</f>
        <v>4830</v>
      </c>
      <c r="H15" s="159" cm="1">
        <f t="array" ref="H15">IFERROR(SUMPRODUCT((INPUT!$H$3:$H$5000&gt;=H$3)*(INPUT!$H$3:$H$5000&lt;=H$3+6)*(INPUT!$J$3:$J$5000="PIRATA")*ISNUMBER(INPUT!$K$3:$K$5000)*IFERROR(VALUE(INPUT!$K$3:$K$5000),0)*IFERROR(SUMIFS(INPUT!$E$3:$E$5000,INPUT!$A$3:$A$5000,INPUT!$H$3:$H$5000,INPUT!$C$3:$C$5000,INPUT!$I$3:$I$5000),0)),"")</f>
        <v>4055</v>
      </c>
      <c r="I15" s="159" cm="1">
        <f t="array" ref="I15">IFERROR(SUMPRODUCT((INPUT!$H$3:$H$5000&gt;=I$3)*(INPUT!$H$3:$H$5000&lt;=I$3+6)*(INPUT!$J$3:$J$5000="PIRATA")*ISNUMBER(INPUT!$K$3:$K$5000)*IFERROR(VALUE(INPUT!$K$3:$K$5000),0)*IFERROR(SUMIFS(INPUT!$E$3:$E$5000,INPUT!$A$3:$A$5000,INPUT!$H$3:$H$5000,INPUT!$C$3:$C$5000,INPUT!$I$3:$I$5000),0)),"")</f>
        <v>3300</v>
      </c>
      <c r="J15" s="159" cm="1">
        <f t="array" ref="J15">IFERROR(SUMPRODUCT((INPUT!$H$3:$H$5000&gt;=J$3)*(INPUT!$H$3:$H$5000&lt;=J$3+6)*(INPUT!$J$3:$J$5000="PIRATA")*ISNUMBER(INPUT!$K$3:$K$5000)*IFERROR(VALUE(INPUT!$K$3:$K$5000),0)*IFERROR(SUMIFS(INPUT!$E$3:$E$5000,INPUT!$A$3:$A$5000,INPUT!$H$3:$H$5000,INPUT!$C$3:$C$5000,INPUT!$I$3:$I$5000),0)),"")</f>
        <v>4190</v>
      </c>
      <c r="K15" s="159" cm="1">
        <f t="array" ref="K15">IFERROR(SUMPRODUCT((INPUT!$H$3:$H$5000&gt;=K$3)*(INPUT!$H$3:$H$5000&lt;=K$3+6)*(INPUT!$J$3:$J$5000="PIRATA")*ISNUMBER(INPUT!$K$3:$K$5000)*IFERROR(VALUE(INPUT!$K$3:$K$5000),0)*IFERROR(SUMIFS(INPUT!$E$3:$E$5000,INPUT!$A$3:$A$5000,INPUT!$H$3:$H$5000,INPUT!$C$3:$C$5000,INPUT!$I$3:$I$5000),0)),"")</f>
        <v>4745</v>
      </c>
      <c r="L15" s="160" cm="1">
        <f t="array" ref="L15">IFERROR(SUMPRODUCT((INPUT!$H$3:$H$5000&gt;=L$3)*(INPUT!$H$3:$H$5000&lt;=L$3+6)*(INPUT!$J$3:$J$5000="PIRATA")*ISNUMBER(INPUT!$K$3:$K$5000)*IFERROR(VALUE(INPUT!$K$3:$K$5000),0)*IFERROR(SUMIFS(INPUT!$E$3:$E$5000,INPUT!$A$3:$A$5000,INPUT!$H$3:$H$5000,INPUT!$C$3:$C$5000,INPUT!$I$3:$I$5000),0)),"")</f>
        <v>4020</v>
      </c>
      <c r="M15" s="160" cm="1">
        <f t="array" ref="M15">IFERROR(SUMPRODUCT((INPUT!$H$3:$H$5000&gt;=M$3)*(INPUT!$H$3:$H$5000&lt;=M$3+6)*(INPUT!$J$3:$J$5000="PIRATA")*ISNUMBER(INPUT!$K$3:$K$5000)*IFERROR(VALUE(INPUT!$K$3:$K$5000),0)*IFERROR(SUMIFS(INPUT!$E$3:$E$5000,INPUT!$A$3:$A$5000,INPUT!$H$3:$H$5000,INPUT!$C$3:$C$5000,INPUT!$I$3:$I$5000),0)),"")</f>
        <v>3285</v>
      </c>
      <c r="N15" s="160" cm="1">
        <f t="array" ref="N15">IFERROR(SUMPRODUCT((INPUT!$H$3:$H$5000&gt;=N$3)*(INPUT!$H$3:$H$5000&lt;=N$3+6)*(INPUT!$J$3:$J$5000="PIRATA")*ISNUMBER(INPUT!$K$3:$K$5000)*IFERROR(VALUE(INPUT!$K$3:$K$5000),0)*IFERROR(SUMIFS(INPUT!$E$3:$E$5000,INPUT!$A$3:$A$5000,INPUT!$H$3:$H$5000,INPUT!$C$3:$C$5000,INPUT!$I$3:$I$5000),0)),"")</f>
        <v>3610</v>
      </c>
      <c r="O15" s="160" cm="1">
        <f t="array" ref="O15">IFERROR(SUMPRODUCT((INPUT!$H$3:$H$5000&gt;=O$3)*(INPUT!$H$3:$H$5000&lt;=O$3+6)*(INPUT!$J$3:$J$5000="PIRATA")*ISNUMBER(INPUT!$K$3:$K$5000)*IFERROR(VALUE(INPUT!$K$3:$K$5000),0)*IFERROR(SUMIFS(INPUT!$E$3:$E$5000,INPUT!$A$3:$A$5000,INPUT!$H$3:$H$5000,INPUT!$C$3:$C$5000,INPUT!$I$3:$I$5000),0)),"")</f>
        <v>4730</v>
      </c>
      <c r="P15" s="160" cm="1">
        <f t="array" ref="P15">IFERROR(SUMPRODUCT((INPUT!$H$3:$H$5000&gt;=P$3)*(INPUT!$H$3:$H$5000&lt;=P$3+6)*(INPUT!$J$3:$J$5000="PIRATA")*ISNUMBER(INPUT!$K$3:$K$5000)*IFERROR(VALUE(INPUT!$K$3:$K$5000),0)*IFERROR(SUMIFS(INPUT!$E$3:$E$5000,INPUT!$A$3:$A$5000,INPUT!$H$3:$H$5000,INPUT!$C$3:$C$5000,INPUT!$I$3:$I$5000),0)),"")</f>
        <v>4120</v>
      </c>
      <c r="Q15" s="160" cm="1">
        <f t="array" ref="Q15">IFERROR(SUMPRODUCT((INPUT!$H$3:$H$5000&gt;=Q$3)*(INPUT!$H$3:$H$5000&lt;=Q$3+6)*(INPUT!$J$3:$J$5000="PIRATA")*ISNUMBER(INPUT!$K$3:$K$5000)*IFERROR(VALUE(INPUT!$K$3:$K$5000),0)*IFERROR(SUMIFS(INPUT!$E$3:$E$5000,INPUT!$A$3:$A$5000,INPUT!$H$3:$H$5000,INPUT!$C$3:$C$5000,INPUT!$I$3:$I$5000),0)),"")</f>
        <v>2600</v>
      </c>
      <c r="R15" s="160" cm="1">
        <f t="array" ref="R15">IFERROR(SUMPRODUCT((INPUT!$H$3:$H$5000&gt;=R$3)*(INPUT!$H$3:$H$5000&lt;=R$3+6)*(INPUT!$J$3:$J$5000="PIRATA")*ISNUMBER(INPUT!$K$3:$K$5000)*IFERROR(VALUE(INPUT!$K$3:$K$5000),0)*IFERROR(SUMIFS(INPUT!$E$3:$E$5000,INPUT!$A$3:$A$5000,INPUT!$H$3:$H$5000,INPUT!$C$3:$C$5000,INPUT!$I$3:$I$5000),0)),"")</f>
        <v>4380</v>
      </c>
      <c r="S15" s="160" cm="1">
        <f t="array" ref="S15">IFERROR(SUMPRODUCT((INPUT!$H$3:$H$5000&gt;=S$3)*(INPUT!$H$3:$H$5000&lt;=S$3+6)*(INPUT!$J$3:$J$5000="PIRATA")*ISNUMBER(INPUT!$K$3:$K$5000)*IFERROR(VALUE(INPUT!$K$3:$K$5000),0)*IFERROR(SUMIFS(INPUT!$E$3:$E$5000,INPUT!$A$3:$A$5000,INPUT!$H$3:$H$5000,INPUT!$C$3:$C$5000,INPUT!$I$3:$I$5000),0)),"")</f>
        <v>2075</v>
      </c>
      <c r="T15" s="160" cm="1">
        <f t="array" ref="T15">IFERROR(SUMPRODUCT((INPUT!$H$3:$H$5000&gt;=T$3)*(INPUT!$H$3:$H$5000&lt;=T$3+6)*(INPUT!$J$3:$J$5000="PIRATA")*ISNUMBER(INPUT!$K$3:$K$5000)*IFERROR(VALUE(INPUT!$K$3:$K$5000),0)*IFERROR(SUMIFS(INPUT!$E$3:$E$5000,INPUT!$A$3:$A$5000,INPUT!$H$3:$H$5000,INPUT!$C$3:$C$5000,INPUT!$I$3:$I$5000),0)),"")</f>
        <v>2370</v>
      </c>
      <c r="U15" s="160" cm="1">
        <f t="array" ref="U15">IFERROR(SUMPRODUCT((INPUT!$H$3:$H$5000&gt;=U$3)*(INPUT!$H$3:$H$5000&lt;=U$3+6)*(INPUT!$J$3:$J$5000="PIRATA")*ISNUMBER(INPUT!$K$3:$K$5000)*IFERROR(VALUE(INPUT!$K$3:$K$5000),0)*IFERROR(SUMIFS(INPUT!$E$3:$E$5000,INPUT!$A$3:$A$5000,INPUT!$H$3:$H$5000,INPUT!$C$3:$C$5000,INPUT!$I$3:$I$5000),0)),"")</f>
        <v>4410</v>
      </c>
      <c r="V15" s="160" cm="1">
        <f t="array" ref="V15">IFERROR(SUMPRODUCT((INPUT!$H$3:$H$5000&gt;=V$3)*(INPUT!$H$3:$H$5000&lt;=V$3+6)*(INPUT!$J$3:$J$5000="PIRATA")*ISNUMBER(INPUT!$K$3:$K$5000)*IFERROR(VALUE(INPUT!$K$3:$K$5000),0)*IFERROR(SUMIFS(INPUT!$E$3:$E$5000,INPUT!$A$3:$A$5000,INPUT!$H$3:$H$5000,INPUT!$C$3:$C$5000,INPUT!$I$3:$I$5000),0)),"")</f>
        <v>2740</v>
      </c>
      <c r="W15" s="160" cm="1">
        <f t="array" ref="W15">IFERROR(SUMPRODUCT((INPUT!$H$3:$H$5000&gt;=W$3)*(INPUT!$H$3:$H$5000&lt;=W$3+6)*(INPUT!$J$3:$J$5000="PIRATA")*ISNUMBER(INPUT!$K$3:$K$5000)*IFERROR(VALUE(INPUT!$K$3:$K$5000),0)*IFERROR(SUMIFS(INPUT!$E$3:$E$5000,INPUT!$A$3:$A$5000,INPUT!$H$3:$H$5000,INPUT!$C$3:$C$5000,INPUT!$I$3:$I$5000),0)),"")</f>
        <v>3125</v>
      </c>
      <c r="X15" s="160" cm="1">
        <f t="array" ref="X15">IFERROR(SUMPRODUCT((INPUT!$H$3:$H$5000&gt;=X$3)*(INPUT!$H$3:$H$5000&lt;=X$3+6)*(INPUT!$J$3:$J$5000="PIRATA")*ISNUMBER(INPUT!$K$3:$K$5000)*IFERROR(VALUE(INPUT!$K$3:$K$5000),0)*IFERROR(SUMIFS(INPUT!$E$3:$E$5000,INPUT!$A$3:$A$5000,INPUT!$H$3:$H$5000,INPUT!$C$3:$C$5000,INPUT!$I$3:$I$5000),0)),"")</f>
        <v>3585</v>
      </c>
      <c r="Y15" s="160" cm="1">
        <f t="array" ref="Y15">IFERROR(SUMPRODUCT((INPUT!$H$3:$H$5000&gt;=Y$3)*(INPUT!$H$3:$H$5000&lt;=Y$3+6)*(INPUT!$J$3:$J$5000="PIRATA")*ISNUMBER(INPUT!$K$3:$K$5000)*IFERROR(VALUE(INPUT!$K$3:$K$5000),0)*IFERROR(SUMIFS(INPUT!$E$3:$E$5000,INPUT!$A$3:$A$5000,INPUT!$H$3:$H$5000,INPUT!$C$3:$C$5000,INPUT!$I$3:$I$5000),0)),"")</f>
        <v>3125</v>
      </c>
      <c r="Z15" s="160" cm="1">
        <f t="array" ref="Z15">IFERROR(SUMPRODUCT((INPUT!$H$3:$H$5000&gt;=Z$3)*(INPUT!$H$3:$H$5000&lt;=Z$3+6)*(INPUT!$J$3:$J$5000="PIRATA")*ISNUMBER(INPUT!$K$3:$K$5000)*IFERROR(VALUE(INPUT!$K$3:$K$5000),0)*IFERROR(SUMIFS(INPUT!$E$3:$E$5000,INPUT!$A$3:$A$5000,INPUT!$H$3:$H$5000,INPUT!$C$3:$C$5000,INPUT!$I$3:$I$5000),0)),"")</f>
        <v>2715</v>
      </c>
      <c r="AA15" s="160" cm="1">
        <f t="array" ref="AA15">IFERROR(SUMPRODUCT((INPUT!$H$3:$H$5000&gt;=AA$3)*(INPUT!$H$3:$H$5000&lt;=AA$3+6)*(INPUT!$J$3:$J$5000="PIRATA")*ISNUMBER(INPUT!$K$3:$K$5000)*IFERROR(VALUE(INPUT!$K$3:$K$5000),0)*IFERROR(SUMIFS(INPUT!$E$3:$E$5000,INPUT!$A$3:$A$5000,INPUT!$H$3:$H$5000,INPUT!$C$3:$C$5000,INPUT!$I$3:$I$5000),0)),"")</f>
        <v>0</v>
      </c>
      <c r="AB15" s="160" cm="1">
        <f t="array" ref="AB15">IFERROR(SUMPRODUCT((INPUT!$H$3:$H$5000&gt;=AB$3)*(INPUT!$H$3:$H$5000&lt;=AB$3+6)*(INPUT!$J$3:$J$5000="PIRATA")*ISNUMBER(INPUT!$K$3:$K$5000)*IFERROR(VALUE(INPUT!$K$3:$K$5000),0)*IFERROR(SUMIFS(INPUT!$E$3:$E$5000,INPUT!$A$3:$A$5000,INPUT!$H$3:$H$5000,INPUT!$C$3:$C$5000,INPUT!$I$3:$I$5000),0)),"")</f>
        <v>6730</v>
      </c>
      <c r="AC15" s="160" cm="1">
        <f t="array" ref="AC15">IFERROR(SUMPRODUCT((INPUT!$H$3:$H$5000&gt;=AC$3)*(INPUT!$H$3:$H$5000&lt;=AC$3+6)*(INPUT!$J$3:$J$5000="PIRATA")*ISNUMBER(INPUT!$K$3:$K$5000)*IFERROR(VALUE(INPUT!$K$3:$K$5000),0)*IFERROR(SUMIFS(INPUT!$E$3:$E$5000,INPUT!$A$3:$A$5000,INPUT!$H$3:$H$5000,INPUT!$C$3:$C$5000,INPUT!$I$3:$I$5000),0)),"")</f>
        <v>4035</v>
      </c>
      <c r="AD15" s="160" cm="1">
        <f t="array" ref="AD15">IFERROR(SUMPRODUCT((INPUT!$H$3:$H$5000&gt;=AD$3)*(INPUT!$H$3:$H$5000&lt;=AD$3+6)*(INPUT!$J$3:$J$5000="PIRATA")*ISNUMBER(INPUT!$K$3:$K$5000)*IFERROR(VALUE(INPUT!$K$3:$K$5000),0)*IFERROR(SUMIFS(INPUT!$E$3:$E$5000,INPUT!$A$3:$A$5000,INPUT!$H$3:$H$5000,INPUT!$C$3:$C$5000,INPUT!$I$3:$I$5000),0)),"")</f>
        <v>5560</v>
      </c>
      <c r="AE15" s="160" cm="1">
        <f t="array" ref="AE15">IFERROR(SUMPRODUCT((INPUT!$H$3:$H$5000&gt;=AE$3)*(INPUT!$H$3:$H$5000&lt;=AE$3+6)*(INPUT!$J$3:$J$5000="PIRATA")*ISNUMBER(INPUT!$K$3:$K$5000)*IFERROR(VALUE(INPUT!$K$3:$K$5000),0)*IFERROR(SUMIFS(INPUT!$E$3:$E$5000,INPUT!$A$3:$A$5000,INPUT!$H$3:$H$5000,INPUT!$C$3:$C$5000,INPUT!$I$3:$I$5000),0)),"")</f>
        <v>2725</v>
      </c>
      <c r="AF15" s="160" cm="1">
        <f t="array" ref="AF15">IFERROR(SUMPRODUCT((INPUT!$H$3:$H$5000&gt;=AF$3)*(INPUT!$H$3:$H$5000&lt;=AF$3+6)*(INPUT!$J$3:$J$5000="PIRATA")*ISNUMBER(INPUT!$K$3:$K$5000)*IFERROR(VALUE(INPUT!$K$3:$K$5000),0)*IFERROR(SUMIFS(INPUT!$E$3:$E$5000,INPUT!$A$3:$A$5000,INPUT!$H$3:$H$5000,INPUT!$C$3:$C$5000,INPUT!$I$3:$I$5000),0)),"")</f>
        <v>3030</v>
      </c>
      <c r="AG15" s="160" cm="1">
        <f t="array" ref="AG15">IFERROR(SUMPRODUCT((INPUT!$H$3:$H$5000&gt;=AG$3)*(INPUT!$H$3:$H$5000&lt;=AG$3+6)*(INPUT!$J$3:$J$5000="PIRATA")*ISNUMBER(INPUT!$K$3:$K$5000)*IFERROR(VALUE(INPUT!$K$3:$K$5000),0)*IFERROR(SUMIFS(INPUT!$E$3:$E$5000,INPUT!$A$3:$A$5000,INPUT!$H$3:$H$5000,INPUT!$C$3:$C$5000,INPUT!$I$3:$I$5000),0)),"")</f>
        <v>4750</v>
      </c>
      <c r="AH15" s="160" cm="1">
        <f t="array" ref="AH15">IFERROR(SUMPRODUCT((INPUT!$H$3:$H$5000&gt;=AH$3)*(INPUT!$H$3:$H$5000&lt;=AH$3+6)*(INPUT!$J$3:$J$5000="PIRATA")*ISNUMBER(INPUT!$K$3:$K$5000)*IFERROR(VALUE(INPUT!$K$3:$K$5000),0)*IFERROR(SUMIFS(INPUT!$E$3:$E$5000,INPUT!$A$3:$A$5000,INPUT!$H$3:$H$5000,INPUT!$C$3:$C$5000,INPUT!$I$3:$I$5000),0)),"")</f>
        <v>2610</v>
      </c>
      <c r="AI15" s="160" cm="1">
        <f t="array" ref="AI15">IFERROR(SUMPRODUCT((INPUT!$H$3:$H$5000&gt;=AI$3)*(INPUT!$H$3:$H$5000&lt;=AI$3+6)*(INPUT!$J$3:$J$5000="PIRATA")*ISNUMBER(INPUT!$K$3:$K$5000)*IFERROR(VALUE(INPUT!$K$3:$K$5000),0)*IFERROR(SUMIFS(INPUT!$E$3:$E$5000,INPUT!$A$3:$A$5000,INPUT!$H$3:$H$5000,INPUT!$C$3:$C$5000,INPUT!$I$3:$I$5000),0)),"")</f>
        <v>4500</v>
      </c>
      <c r="AJ15" s="160" cm="1">
        <f t="array" ref="AJ15">IFERROR(SUMPRODUCT((INPUT!$H$3:$H$5000&gt;=AJ$3)*(INPUT!$H$3:$H$5000&lt;=AJ$3+6)*(INPUT!$J$3:$J$5000="PIRATA")*ISNUMBER(INPUT!$K$3:$K$5000)*IFERROR(VALUE(INPUT!$K$3:$K$5000),0)*IFERROR(SUMIFS(INPUT!$E$3:$E$5000,INPUT!$A$3:$A$5000,INPUT!$H$3:$H$5000,INPUT!$C$3:$C$5000,INPUT!$I$3:$I$5000),0)),"")</f>
        <v>2910</v>
      </c>
      <c r="AK15" s="160" cm="1">
        <f t="array" ref="AK15">IFERROR(SUMPRODUCT((INPUT!$H$3:$H$5000&gt;=AK$3)*(INPUT!$H$3:$H$5000&lt;=AK$3+6)*(INPUT!$J$3:$J$5000="PIRATA")*ISNUMBER(INPUT!$K$3:$K$5000)*IFERROR(VALUE(INPUT!$K$3:$K$5000),0)*IFERROR(SUMIFS(INPUT!$E$3:$E$5000,INPUT!$A$3:$A$5000,INPUT!$H$3:$H$5000,INPUT!$C$3:$C$5000,INPUT!$I$3:$I$5000),0)),"")</f>
        <v>4050</v>
      </c>
      <c r="AL15" s="160" cm="1">
        <f t="array" ref="AL15">IFERROR(SUMPRODUCT((INPUT!$H$3:$H$5000&gt;=AL$3)*(INPUT!$H$3:$H$5000&lt;=AL$3+6)*(INPUT!$J$3:$J$5000="PIRATA")*ISNUMBER(INPUT!$K$3:$K$5000)*IFERROR(VALUE(INPUT!$K$3:$K$5000),0)*IFERROR(SUMIFS(INPUT!$E$3:$E$5000,INPUT!$A$3:$A$5000,INPUT!$H$3:$H$5000,INPUT!$C$3:$C$5000,INPUT!$I$3:$I$5000),0)),"")</f>
        <v>5120</v>
      </c>
      <c r="AM15" s="160" cm="1">
        <f t="array" ref="AM15">IFERROR(SUMPRODUCT((INPUT!$H$3:$H$5000&gt;=AM$3)*(INPUT!$H$3:$H$5000&lt;=AM$3+6)*(INPUT!$J$3:$J$5000="PIRATA")*ISNUMBER(INPUT!$K$3:$K$5000)*IFERROR(VALUE(INPUT!$K$3:$K$5000),0)*IFERROR(SUMIFS(INPUT!$E$3:$E$5000,INPUT!$A$3:$A$5000,INPUT!$H$3:$H$5000,INPUT!$C$3:$C$5000,INPUT!$I$3:$I$5000),0)),"")</f>
        <v>4320</v>
      </c>
      <c r="AN15" s="160" cm="1">
        <f t="array" ref="AN15">IFERROR(SUMPRODUCT((INPUT!$H$3:$H$5000&gt;=AN$3)*(INPUT!$H$3:$H$5000&lt;=AN$3+6)*(INPUT!$J$3:$J$5000="PIRATA")*ISNUMBER(INPUT!$K$3:$K$5000)*IFERROR(VALUE(INPUT!$K$3:$K$5000),0)*IFERROR(SUMIFS(INPUT!$E$3:$E$5000,INPUT!$A$3:$A$5000,INPUT!$H$3:$H$5000,INPUT!$C$3:$C$5000,INPUT!$I$3:$I$5000),0)),"")</f>
        <v>4585</v>
      </c>
      <c r="AO15" s="160" cm="1">
        <f t="array" ref="AO15">IFERROR(SUMPRODUCT((INPUT!$H$3:$H$5000&gt;=AO$3)*(INPUT!$H$3:$H$5000&lt;=AO$3+6)*(INPUT!$J$3:$J$5000="PIRATA")*ISNUMBER(INPUT!$K$3:$K$5000)*IFERROR(VALUE(INPUT!$K$3:$K$5000),0)*IFERROR(SUMIFS(INPUT!$E$3:$E$5000,INPUT!$A$3:$A$5000,INPUT!$H$3:$H$5000,INPUT!$C$3:$C$5000,INPUT!$I$3:$I$5000),0)),"")</f>
        <v>0</v>
      </c>
      <c r="AP15" s="160" cm="1">
        <f t="array" ref="AP15">IFERROR(SUMPRODUCT((INPUT!$H$3:$H$5000&gt;=AP$3)*(INPUT!$H$3:$H$5000&lt;=AP$3+6)*(INPUT!$J$3:$J$5000="PIRATA")*ISNUMBER(INPUT!$K$3:$K$5000)*IFERROR(VALUE(INPUT!$K$3:$K$5000),0)*IFERROR(SUMIFS(INPUT!$E$3:$E$5000,INPUT!$A$3:$A$5000,INPUT!$H$3:$H$5000,INPUT!$C$3:$C$5000,INPUT!$I$3:$I$5000),0)),"")</f>
        <v>0</v>
      </c>
      <c r="AQ15" s="160" cm="1">
        <f t="array" ref="AQ15">IFERROR(SUMPRODUCT((INPUT!$H$3:$H$5000&gt;=AQ$3)*(INPUT!$H$3:$H$5000&lt;=AQ$3+6)*(INPUT!$J$3:$J$5000="PIRATA")*ISNUMBER(INPUT!$K$3:$K$5000)*IFERROR(VALUE(INPUT!$K$3:$K$5000),0)*IFERROR(SUMIFS(INPUT!$E$3:$E$5000,INPUT!$A$3:$A$5000,INPUT!$H$3:$H$5000,INPUT!$C$3:$C$5000,INPUT!$I$3:$I$5000),0)),"")</f>
        <v>0</v>
      </c>
      <c r="AR15" s="160" cm="1">
        <f t="array" ref="AR15">IFERROR(SUMPRODUCT((INPUT!$H$3:$H$5000&gt;=AR$3)*(INPUT!$H$3:$H$5000&lt;=AR$3+6)*(INPUT!$J$3:$J$5000="PIRATA")*ISNUMBER(INPUT!$K$3:$K$5000)*IFERROR(VALUE(INPUT!$K$3:$K$5000),0)*IFERROR(SUMIFS(INPUT!$E$3:$E$5000,INPUT!$A$3:$A$5000,INPUT!$H$3:$H$5000,INPUT!$C$3:$C$5000,INPUT!$I$3:$I$5000),0)),"")</f>
        <v>0</v>
      </c>
      <c r="AS15" s="160" cm="1">
        <f t="array" ref="AS15">IFERROR(SUMPRODUCT((INPUT!$H$3:$H$5000&gt;=AS$3)*(INPUT!$H$3:$H$5000&lt;=AS$3+6)*(INPUT!$J$3:$J$5000="PIRATA")*ISNUMBER(INPUT!$K$3:$K$5000)*IFERROR(VALUE(INPUT!$K$3:$K$5000),0)*IFERROR(SUMIFS(INPUT!$E$3:$E$5000,INPUT!$A$3:$A$5000,INPUT!$H$3:$H$5000,INPUT!$C$3:$C$5000,INPUT!$I$3:$I$5000),0)),"")</f>
        <v>0</v>
      </c>
      <c r="AT15" s="160" cm="1">
        <f t="array" ref="AT15">IFERROR(SUMPRODUCT((INPUT!$H$3:$H$5000&gt;=AT$3)*(INPUT!$H$3:$H$5000&lt;=AT$3+6)*(INPUT!$J$3:$J$5000="PIRATA")*ISNUMBER(INPUT!$K$3:$K$5000)*IFERROR(VALUE(INPUT!$K$3:$K$5000),0)*IFERROR(SUMIFS(INPUT!$E$3:$E$5000,INPUT!$A$3:$A$5000,INPUT!$H$3:$H$5000,INPUT!$C$3:$C$5000,INPUT!$I$3:$I$5000),0)),"")</f>
        <v>0</v>
      </c>
      <c r="AU15" s="160" cm="1">
        <f t="array" ref="AU15">IFERROR(SUMPRODUCT((INPUT!$H$3:$H$5000&gt;=AU$3)*(INPUT!$H$3:$H$5000&lt;=AU$3+6)*(INPUT!$J$3:$J$5000="PIRATA")*ISNUMBER(INPUT!$K$3:$K$5000)*IFERROR(VALUE(INPUT!$K$3:$K$5000),0)*IFERROR(SUMIFS(INPUT!$E$3:$E$5000,INPUT!$A$3:$A$5000,INPUT!$H$3:$H$5000,INPUT!$C$3:$C$5000,INPUT!$I$3:$I$5000),0)),"")</f>
        <v>0</v>
      </c>
      <c r="AV15" s="160" cm="1">
        <f t="array" ref="AV15">IFERROR(SUMPRODUCT((INPUT!$H$3:$H$5000&gt;=AV$3)*(INPUT!$H$3:$H$5000&lt;=AV$3+6)*(INPUT!$J$3:$J$5000="PIRATA")*ISNUMBER(INPUT!$K$3:$K$5000)*IFERROR(VALUE(INPUT!$K$3:$K$5000),0)*IFERROR(SUMIFS(INPUT!$E$3:$E$5000,INPUT!$A$3:$A$5000,INPUT!$H$3:$H$5000,INPUT!$C$3:$C$5000,INPUT!$I$3:$I$5000),0)),"")</f>
        <v>0</v>
      </c>
      <c r="AW15" s="160" cm="1">
        <f t="array" ref="AW15">IFERROR(SUMPRODUCT((INPUT!$H$3:$H$5000&gt;=AW$3)*(INPUT!$H$3:$H$5000&lt;=AW$3+6)*(INPUT!$J$3:$J$5000="PIRATA")*ISNUMBER(INPUT!$K$3:$K$5000)*IFERROR(VALUE(INPUT!$K$3:$K$5000),0)*IFERROR(SUMIFS(INPUT!$E$3:$E$5000,INPUT!$A$3:$A$5000,INPUT!$H$3:$H$5000,INPUT!$C$3:$C$5000,INPUT!$I$3:$I$5000),0)),"")</f>
        <v>0</v>
      </c>
      <c r="AX15" s="160" cm="1">
        <f t="array" ref="AX15">IFERROR(SUMPRODUCT((INPUT!$H$3:$H$5000&gt;=AX$3)*(INPUT!$H$3:$H$5000&lt;=AX$3+6)*(INPUT!$J$3:$J$5000="PIRATA")*ISNUMBER(INPUT!$K$3:$K$5000)*IFERROR(VALUE(INPUT!$K$3:$K$5000),0)*IFERROR(SUMIFS(INPUT!$E$3:$E$5000,INPUT!$A$3:$A$5000,INPUT!$H$3:$H$5000,INPUT!$C$3:$C$5000,INPUT!$I$3:$I$5000),0)),"")</f>
        <v>0</v>
      </c>
      <c r="AY15" s="160" cm="1">
        <f t="array" ref="AY15">IFERROR(SUMPRODUCT((INPUT!$H$3:$H$5000&gt;=AY$3)*(INPUT!$H$3:$H$5000&lt;=AY$3+6)*(INPUT!$J$3:$J$5000="PIRATA")*ISNUMBER(INPUT!$K$3:$K$5000)*IFERROR(VALUE(INPUT!$K$3:$K$5000),0)*IFERROR(SUMIFS(INPUT!$E$3:$E$5000,INPUT!$A$3:$A$5000,INPUT!$H$3:$H$5000,INPUT!$C$3:$C$5000,INPUT!$I$3:$I$5000),0)),"")</f>
        <v>0</v>
      </c>
      <c r="AZ15" s="160" cm="1">
        <f t="array" ref="AZ15">IFERROR(SUMPRODUCT((INPUT!$H$3:$H$5000&gt;=AZ$3)*(INPUT!$H$3:$H$5000&lt;=AZ$3+6)*(INPUT!$J$3:$J$5000="PIRATA")*ISNUMBER(INPUT!$K$3:$K$5000)*IFERROR(VALUE(INPUT!$K$3:$K$5000),0)*IFERROR(SUMIFS(INPUT!$E$3:$E$5000,INPUT!$A$3:$A$5000,INPUT!$H$3:$H$5000,INPUT!$C$3:$C$5000,INPUT!$I$3:$I$5000),0)),"")</f>
        <v>0</v>
      </c>
      <c r="BA15" s="160" cm="1">
        <f t="array" ref="BA15">IFERROR(SUMPRODUCT((INPUT!$H$3:$H$5000&gt;=BA$3)*(INPUT!$H$3:$H$5000&lt;=BA$3+6)*(INPUT!$J$3:$J$5000="PIRATA")*ISNUMBER(INPUT!$K$3:$K$5000)*IFERROR(VALUE(INPUT!$K$3:$K$5000),0)*IFERROR(SUMIFS(INPUT!$E$3:$E$5000,INPUT!$A$3:$A$5000,INPUT!$H$3:$H$5000,INPUT!$C$3:$C$5000,INPUT!$I$3:$I$5000),0)),"")</f>
        <v>0</v>
      </c>
      <c r="BB15" s="161" cm="1">
        <f t="array" ref="BB15">IFERROR(SUMPRODUCT((INPUT!$H$3:$H$5000&gt;=BB$3)*(INPUT!$H$3:$H$5000&lt;=BB$3+6)*(INPUT!$J$3:$J$5000="PIRATA")*ISNUMBER(INPUT!$K$3:$K$5000)*IFERROR(VALUE(INPUT!$K$3:$K$5000),0)*IFERROR(SUMIFS(INPUT!$E$3:$E$5000,INPUT!$A$3:$A$5000,INPUT!$H$3:$H$5000,INPUT!$C$3:$C$5000,INPUT!$I$3:$I$5000),0)),"")</f>
        <v>0</v>
      </c>
    </row>
    <row r="16" spans="1:54" x14ac:dyDescent="0.2">
      <c r="A16" s="154">
        <v>12</v>
      </c>
      <c r="B16" s="81" t="s">
        <v>52</v>
      </c>
      <c r="C16" s="159" cm="1">
        <f t="array" ref="C16">IFERROR(SUMPRODUCT((INPUT!$H$3:$H$5000&gt;=C$3)*(INPUT!$H$3:$H$5000&lt;=C$3+6)*(INPUT!$J$3:$J$5000="BARONA")*ISNUMBER(INPUT!$K$3:$K$5000)*IFERROR(VALUE(INPUT!$K$3:$K$5000),0)*IFERROR(SUMIFS(INPUT!$E$3:$E$5000,INPUT!$A$3:$A$5000,INPUT!$H$3:$H$5000,INPUT!$C$3:$C$5000,INPUT!$I$3:$I$5000),0)),"")</f>
        <v>4410</v>
      </c>
      <c r="D16" s="159" cm="1">
        <f t="array" ref="D16">IFERROR(SUMPRODUCT((INPUT!$H$3:$H$5000&gt;=D$3)*(INPUT!$H$3:$H$5000&lt;=D$3+6)*(INPUT!$J$3:$J$5000="BARONA")*ISNUMBER(INPUT!$K$3:$K$5000)*IFERROR(VALUE(INPUT!$K$3:$K$5000),0)*IFERROR(SUMIFS(INPUT!$E$3:$E$5000,INPUT!$A$3:$A$5000,INPUT!$H$3:$H$5000,INPUT!$C$3:$C$5000,INPUT!$I$3:$I$5000),0)),"")</f>
        <v>4855</v>
      </c>
      <c r="E16" s="160" cm="1">
        <f t="array" ref="E16">IFERROR(SUMPRODUCT((INPUT!$H$3:$H$5000&gt;=E$3)*(INPUT!$H$3:$H$5000&lt;=E$3+6)*(INPUT!$J$3:$J$5000="BARONA")*ISNUMBER(INPUT!$K$3:$K$5000)*IFERROR(VALUE(INPUT!$K$3:$K$5000),0)*IFERROR(SUMIFS(INPUT!$E$3:$E$5000,INPUT!$A$3:$A$5000,INPUT!$H$3:$H$5000,INPUT!$C$3:$C$5000,INPUT!$I$3:$I$5000),0)),"")</f>
        <v>0</v>
      </c>
      <c r="F16" s="160" cm="1">
        <f t="array" ref="F16">IFERROR(SUMPRODUCT((INPUT!$H$3:$H$5000&gt;=F$3)*(INPUT!$H$3:$H$5000&lt;=F$3+6)*(INPUT!$J$3:$J$5000="BARONA")*ISNUMBER(INPUT!$K$3:$K$5000)*IFERROR(VALUE(INPUT!$K$3:$K$5000),0)*IFERROR(SUMIFS(INPUT!$E$3:$E$5000,INPUT!$A$3:$A$5000,INPUT!$H$3:$H$5000,INPUT!$C$3:$C$5000,INPUT!$I$3:$I$5000),0)),"")</f>
        <v>0</v>
      </c>
      <c r="G16" s="160" cm="1">
        <f t="array" ref="G16">IFERROR(SUMPRODUCT((INPUT!$H$3:$H$5000&gt;=G$3)*(INPUT!$H$3:$H$5000&lt;=G$3+6)*(INPUT!$J$3:$J$5000="BARONA")*ISNUMBER(INPUT!$K$3:$K$5000)*IFERROR(VALUE(INPUT!$K$3:$K$5000),0)*IFERROR(SUMIFS(INPUT!$E$3:$E$5000,INPUT!$A$3:$A$5000,INPUT!$H$3:$H$5000,INPUT!$C$3:$C$5000,INPUT!$I$3:$I$5000),0)),"")</f>
        <v>0</v>
      </c>
      <c r="H16" s="160" cm="1">
        <f t="array" ref="H16">IFERROR(SUMPRODUCT((INPUT!$H$3:$H$5000&gt;=H$3)*(INPUT!$H$3:$H$5000&lt;=H$3+6)*(INPUT!$J$3:$J$5000="BARONA")*ISNUMBER(INPUT!$K$3:$K$5000)*IFERROR(VALUE(INPUT!$K$3:$K$5000),0)*IFERROR(SUMIFS(INPUT!$E$3:$E$5000,INPUT!$A$3:$A$5000,INPUT!$H$3:$H$5000,INPUT!$C$3:$C$5000,INPUT!$I$3:$I$5000),0)),"")</f>
        <v>0</v>
      </c>
      <c r="I16" s="159" cm="1">
        <f t="array" ref="I16">IFERROR(SUMPRODUCT((INPUT!$H$3:$H$5000&gt;=I$3)*(INPUT!$H$3:$H$5000&lt;=I$3+6)*(INPUT!$J$3:$J$5000="BARONA")*ISNUMBER(INPUT!$K$3:$K$5000)*IFERROR(VALUE(INPUT!$K$3:$K$5000),0)*IFERROR(SUMIFS(INPUT!$E$3:$E$5000,INPUT!$A$3:$A$5000,INPUT!$H$3:$H$5000,INPUT!$C$3:$C$5000,INPUT!$I$3:$I$5000),0)),"")</f>
        <v>1790</v>
      </c>
      <c r="J16" s="159" cm="1">
        <f t="array" ref="J16">IFERROR(SUMPRODUCT((INPUT!$H$3:$H$5000&gt;=J$3)*(INPUT!$H$3:$H$5000&lt;=J$3+6)*(INPUT!$J$3:$J$5000="BARONA")*ISNUMBER(INPUT!$K$3:$K$5000)*IFERROR(VALUE(INPUT!$K$3:$K$5000),0)*IFERROR(SUMIFS(INPUT!$E$3:$E$5000,INPUT!$A$3:$A$5000,INPUT!$H$3:$H$5000,INPUT!$C$3:$C$5000,INPUT!$I$3:$I$5000),0)),"")</f>
        <v>4240</v>
      </c>
      <c r="K16" s="159" cm="1">
        <f t="array" ref="K16">IFERROR(SUMPRODUCT((INPUT!$H$3:$H$5000&gt;=K$3)*(INPUT!$H$3:$H$5000&lt;=K$3+6)*(INPUT!$J$3:$J$5000="BARONA")*ISNUMBER(INPUT!$K$3:$K$5000)*IFERROR(VALUE(INPUT!$K$3:$K$5000),0)*IFERROR(SUMIFS(INPUT!$E$3:$E$5000,INPUT!$A$3:$A$5000,INPUT!$H$3:$H$5000,INPUT!$C$3:$C$5000,INPUT!$I$3:$I$5000),0)),"")</f>
        <v>4275</v>
      </c>
      <c r="L16" s="160" cm="1">
        <f t="array" ref="L16">IFERROR(SUMPRODUCT((INPUT!$H$3:$H$5000&gt;=L$3)*(INPUT!$H$3:$H$5000&lt;=L$3+6)*(INPUT!$J$3:$J$5000="BARONA")*ISNUMBER(INPUT!$K$3:$K$5000)*IFERROR(VALUE(INPUT!$K$3:$K$5000),0)*IFERROR(SUMIFS(INPUT!$E$3:$E$5000,INPUT!$A$3:$A$5000,INPUT!$H$3:$H$5000,INPUT!$C$3:$C$5000,INPUT!$I$3:$I$5000),0)),"")</f>
        <v>3475</v>
      </c>
      <c r="M16" s="160" cm="1">
        <f t="array" ref="M16">IFERROR(SUMPRODUCT((INPUT!$H$3:$H$5000&gt;=M$3)*(INPUT!$H$3:$H$5000&lt;=M$3+6)*(INPUT!$J$3:$J$5000="BARONA")*ISNUMBER(INPUT!$K$3:$K$5000)*IFERROR(VALUE(INPUT!$K$3:$K$5000),0)*IFERROR(SUMIFS(INPUT!$E$3:$E$5000,INPUT!$A$3:$A$5000,INPUT!$H$3:$H$5000,INPUT!$C$3:$C$5000,INPUT!$I$3:$I$5000),0)),"")</f>
        <v>1195</v>
      </c>
      <c r="N16" s="160" cm="1">
        <f t="array" ref="N16">IFERROR(SUMPRODUCT((INPUT!$H$3:$H$5000&gt;=N$3)*(INPUT!$H$3:$H$5000&lt;=N$3+6)*(INPUT!$J$3:$J$5000="BARONA")*ISNUMBER(INPUT!$K$3:$K$5000)*IFERROR(VALUE(INPUT!$K$3:$K$5000),0)*IFERROR(SUMIFS(INPUT!$E$3:$E$5000,INPUT!$A$3:$A$5000,INPUT!$H$3:$H$5000,INPUT!$C$3:$C$5000,INPUT!$I$3:$I$5000),0)),"")</f>
        <v>3310</v>
      </c>
      <c r="O16" s="160" cm="1">
        <f t="array" ref="O16">IFERROR(SUMPRODUCT((INPUT!$H$3:$H$5000&gt;=O$3)*(INPUT!$H$3:$H$5000&lt;=O$3+6)*(INPUT!$J$3:$J$5000="BARONA")*ISNUMBER(INPUT!$K$3:$K$5000)*IFERROR(VALUE(INPUT!$K$3:$K$5000),0)*IFERROR(SUMIFS(INPUT!$E$3:$E$5000,INPUT!$A$3:$A$5000,INPUT!$H$3:$H$5000,INPUT!$C$3:$C$5000,INPUT!$I$3:$I$5000),0)),"")</f>
        <v>4670</v>
      </c>
      <c r="P16" s="160" cm="1">
        <f t="array" ref="P16">IFERROR(SUMPRODUCT((INPUT!$H$3:$H$5000&gt;=P$3)*(INPUT!$H$3:$H$5000&lt;=P$3+6)*(INPUT!$J$3:$J$5000="BARONA")*ISNUMBER(INPUT!$K$3:$K$5000)*IFERROR(VALUE(INPUT!$K$3:$K$5000),0)*IFERROR(SUMIFS(INPUT!$E$3:$E$5000,INPUT!$A$3:$A$5000,INPUT!$H$3:$H$5000,INPUT!$C$3:$C$5000,INPUT!$I$3:$I$5000),0)),"")</f>
        <v>3720</v>
      </c>
      <c r="Q16" s="160" cm="1">
        <f t="array" ref="Q16">IFERROR(SUMPRODUCT((INPUT!$H$3:$H$5000&gt;=Q$3)*(INPUT!$H$3:$H$5000&lt;=Q$3+6)*(INPUT!$J$3:$J$5000="BARONA")*ISNUMBER(INPUT!$K$3:$K$5000)*IFERROR(VALUE(INPUT!$K$3:$K$5000),0)*IFERROR(SUMIFS(INPUT!$E$3:$E$5000,INPUT!$A$3:$A$5000,INPUT!$H$3:$H$5000,INPUT!$C$3:$C$5000,INPUT!$I$3:$I$5000),0)),"")</f>
        <v>2810</v>
      </c>
      <c r="R16" s="160" cm="1">
        <f t="array" ref="R16">IFERROR(SUMPRODUCT((INPUT!$H$3:$H$5000&gt;=R$3)*(INPUT!$H$3:$H$5000&lt;=R$3+6)*(INPUT!$J$3:$J$5000="BARONA")*ISNUMBER(INPUT!$K$3:$K$5000)*IFERROR(VALUE(INPUT!$K$3:$K$5000),0)*IFERROR(SUMIFS(INPUT!$E$3:$E$5000,INPUT!$A$3:$A$5000,INPUT!$H$3:$H$5000,INPUT!$C$3:$C$5000,INPUT!$I$3:$I$5000),0)),"")</f>
        <v>4500</v>
      </c>
      <c r="S16" s="160" cm="1">
        <f t="array" ref="S16">IFERROR(SUMPRODUCT((INPUT!$H$3:$H$5000&gt;=S$3)*(INPUT!$H$3:$H$5000&lt;=S$3+6)*(INPUT!$J$3:$J$5000="BARONA")*ISNUMBER(INPUT!$K$3:$K$5000)*IFERROR(VALUE(INPUT!$K$3:$K$5000),0)*IFERROR(SUMIFS(INPUT!$E$3:$E$5000,INPUT!$A$3:$A$5000,INPUT!$H$3:$H$5000,INPUT!$C$3:$C$5000,INPUT!$I$3:$I$5000),0)),"")</f>
        <v>3200</v>
      </c>
      <c r="T16" s="160" cm="1">
        <f t="array" ref="T16">IFERROR(SUMPRODUCT((INPUT!$H$3:$H$5000&gt;=T$3)*(INPUT!$H$3:$H$5000&lt;=T$3+6)*(INPUT!$J$3:$J$5000="BARONA")*ISNUMBER(INPUT!$K$3:$K$5000)*IFERROR(VALUE(INPUT!$K$3:$K$5000),0)*IFERROR(SUMIFS(INPUT!$E$3:$E$5000,INPUT!$A$3:$A$5000,INPUT!$H$3:$H$5000,INPUT!$C$3:$C$5000,INPUT!$I$3:$I$5000),0)),"")</f>
        <v>2520</v>
      </c>
      <c r="U16" s="160" cm="1">
        <f t="array" ref="U16">IFERROR(SUMPRODUCT((INPUT!$H$3:$H$5000&gt;=U$3)*(INPUT!$H$3:$H$5000&lt;=U$3+6)*(INPUT!$J$3:$J$5000="BARONA")*ISNUMBER(INPUT!$K$3:$K$5000)*IFERROR(VALUE(INPUT!$K$3:$K$5000),0)*IFERROR(SUMIFS(INPUT!$E$3:$E$5000,INPUT!$A$3:$A$5000,INPUT!$H$3:$H$5000,INPUT!$C$3:$C$5000,INPUT!$I$3:$I$5000),0)),"")</f>
        <v>3715</v>
      </c>
      <c r="V16" s="160" cm="1">
        <f t="array" ref="V16">IFERROR(SUMPRODUCT((INPUT!$H$3:$H$5000&gt;=V$3)*(INPUT!$H$3:$H$5000&lt;=V$3+6)*(INPUT!$J$3:$J$5000="BARONA")*ISNUMBER(INPUT!$K$3:$K$5000)*IFERROR(VALUE(INPUT!$K$3:$K$5000),0)*IFERROR(SUMIFS(INPUT!$E$3:$E$5000,INPUT!$A$3:$A$5000,INPUT!$H$3:$H$5000,INPUT!$C$3:$C$5000,INPUT!$I$3:$I$5000),0)),"")</f>
        <v>2590</v>
      </c>
      <c r="W16" s="160" cm="1">
        <f t="array" ref="W16">IFERROR(SUMPRODUCT((INPUT!$H$3:$H$5000&gt;=W$3)*(INPUT!$H$3:$H$5000&lt;=W$3+6)*(INPUT!$J$3:$J$5000="BARONA")*ISNUMBER(INPUT!$K$3:$K$5000)*IFERROR(VALUE(INPUT!$K$3:$K$5000),0)*IFERROR(SUMIFS(INPUT!$E$3:$E$5000,INPUT!$A$3:$A$5000,INPUT!$H$3:$H$5000,INPUT!$C$3:$C$5000,INPUT!$I$3:$I$5000),0)),"")</f>
        <v>2925</v>
      </c>
      <c r="X16" s="160" cm="1">
        <f t="array" ref="X16">IFERROR(SUMPRODUCT((INPUT!$H$3:$H$5000&gt;=X$3)*(INPUT!$H$3:$H$5000&lt;=X$3+6)*(INPUT!$J$3:$J$5000="BARONA")*ISNUMBER(INPUT!$K$3:$K$5000)*IFERROR(VALUE(INPUT!$K$3:$K$5000),0)*IFERROR(SUMIFS(INPUT!$E$3:$E$5000,INPUT!$A$3:$A$5000,INPUT!$H$3:$H$5000,INPUT!$C$3:$C$5000,INPUT!$I$3:$I$5000),0)),"")</f>
        <v>3165</v>
      </c>
      <c r="Y16" s="160" cm="1">
        <f t="array" ref="Y16">IFERROR(SUMPRODUCT((INPUT!$H$3:$H$5000&gt;=Y$3)*(INPUT!$H$3:$H$5000&lt;=Y$3+6)*(INPUT!$J$3:$J$5000="BARONA")*ISNUMBER(INPUT!$K$3:$K$5000)*IFERROR(VALUE(INPUT!$K$3:$K$5000),0)*IFERROR(SUMIFS(INPUT!$E$3:$E$5000,INPUT!$A$3:$A$5000,INPUT!$H$3:$H$5000,INPUT!$C$3:$C$5000,INPUT!$I$3:$I$5000),0)),"")</f>
        <v>2775</v>
      </c>
      <c r="Z16" s="160" cm="1">
        <f t="array" ref="Z16">IFERROR(SUMPRODUCT((INPUT!$H$3:$H$5000&gt;=Z$3)*(INPUT!$H$3:$H$5000&lt;=Z$3+6)*(INPUT!$J$3:$J$5000="BARONA")*ISNUMBER(INPUT!$K$3:$K$5000)*IFERROR(VALUE(INPUT!$K$3:$K$5000),0)*IFERROR(SUMIFS(INPUT!$E$3:$E$5000,INPUT!$A$3:$A$5000,INPUT!$H$3:$H$5000,INPUT!$C$3:$C$5000,INPUT!$I$3:$I$5000),0)),"")</f>
        <v>1945</v>
      </c>
      <c r="AA16" s="160" cm="1">
        <f t="array" ref="AA16">IFERROR(SUMPRODUCT((INPUT!$H$3:$H$5000&gt;=AA$3)*(INPUT!$H$3:$H$5000&lt;=AA$3+6)*(INPUT!$J$3:$J$5000="BARONA")*ISNUMBER(INPUT!$K$3:$K$5000)*IFERROR(VALUE(INPUT!$K$3:$K$5000),0)*IFERROR(SUMIFS(INPUT!$E$3:$E$5000,INPUT!$A$3:$A$5000,INPUT!$H$3:$H$5000,INPUT!$C$3:$C$5000,INPUT!$I$3:$I$5000),0)),"")</f>
        <v>0</v>
      </c>
      <c r="AB16" s="160" cm="1">
        <f t="array" ref="AB16">IFERROR(SUMPRODUCT((INPUT!$H$3:$H$5000&gt;=AB$3)*(INPUT!$H$3:$H$5000&lt;=AB$3+6)*(INPUT!$J$3:$J$5000="BARONA")*ISNUMBER(INPUT!$K$3:$K$5000)*IFERROR(VALUE(INPUT!$K$3:$K$5000),0)*IFERROR(SUMIFS(INPUT!$E$3:$E$5000,INPUT!$A$3:$A$5000,INPUT!$H$3:$H$5000,INPUT!$C$3:$C$5000,INPUT!$I$3:$I$5000),0)),"")</f>
        <v>5860</v>
      </c>
      <c r="AC16" s="160" cm="1">
        <f t="array" ref="AC16">IFERROR(SUMPRODUCT((INPUT!$H$3:$H$5000&gt;=AC$3)*(INPUT!$H$3:$H$5000&lt;=AC$3+6)*(INPUT!$J$3:$J$5000="BARONA")*ISNUMBER(INPUT!$K$3:$K$5000)*IFERROR(VALUE(INPUT!$K$3:$K$5000),0)*IFERROR(SUMIFS(INPUT!$E$3:$E$5000,INPUT!$A$3:$A$5000,INPUT!$H$3:$H$5000,INPUT!$C$3:$C$5000,INPUT!$I$3:$I$5000),0)),"")</f>
        <v>3870</v>
      </c>
      <c r="AD16" s="160" cm="1">
        <f t="array" ref="AD16">IFERROR(SUMPRODUCT((INPUT!$H$3:$H$5000&gt;=AD$3)*(INPUT!$H$3:$H$5000&lt;=AD$3+6)*(INPUT!$J$3:$J$5000="BARONA")*ISNUMBER(INPUT!$K$3:$K$5000)*IFERROR(VALUE(INPUT!$K$3:$K$5000),0)*IFERROR(SUMIFS(INPUT!$E$3:$E$5000,INPUT!$A$3:$A$5000,INPUT!$H$3:$H$5000,INPUT!$C$3:$C$5000,INPUT!$I$3:$I$5000),0)),"")</f>
        <v>5360</v>
      </c>
      <c r="AE16" s="160" cm="1">
        <f t="array" ref="AE16">IFERROR(SUMPRODUCT((INPUT!$H$3:$H$5000&gt;=AE$3)*(INPUT!$H$3:$H$5000&lt;=AE$3+6)*(INPUT!$J$3:$J$5000="BARONA")*ISNUMBER(INPUT!$K$3:$K$5000)*IFERROR(VALUE(INPUT!$K$3:$K$5000),0)*IFERROR(SUMIFS(INPUT!$E$3:$E$5000,INPUT!$A$3:$A$5000,INPUT!$H$3:$H$5000,INPUT!$C$3:$C$5000,INPUT!$I$3:$I$5000),0)),"")</f>
        <v>3225</v>
      </c>
      <c r="AF16" s="160" cm="1">
        <f t="array" ref="AF16">IFERROR(SUMPRODUCT((INPUT!$H$3:$H$5000&gt;=AF$3)*(INPUT!$H$3:$H$5000&lt;=AF$3+6)*(INPUT!$J$3:$J$5000="BARONA")*ISNUMBER(INPUT!$K$3:$K$5000)*IFERROR(VALUE(INPUT!$K$3:$K$5000),0)*IFERROR(SUMIFS(INPUT!$E$3:$E$5000,INPUT!$A$3:$A$5000,INPUT!$H$3:$H$5000,INPUT!$C$3:$C$5000,INPUT!$I$3:$I$5000),0)),"")</f>
        <v>2730</v>
      </c>
      <c r="AG16" s="160" cm="1">
        <f t="array" ref="AG16">IFERROR(SUMPRODUCT((INPUT!$H$3:$H$5000&gt;=AG$3)*(INPUT!$H$3:$H$5000&lt;=AG$3+6)*(INPUT!$J$3:$J$5000="BARONA")*ISNUMBER(INPUT!$K$3:$K$5000)*IFERROR(VALUE(INPUT!$K$3:$K$5000),0)*IFERROR(SUMIFS(INPUT!$E$3:$E$5000,INPUT!$A$3:$A$5000,INPUT!$H$3:$H$5000,INPUT!$C$3:$C$5000,INPUT!$I$3:$I$5000),0)),"")</f>
        <v>4450</v>
      </c>
      <c r="AH16" s="160" cm="1">
        <f t="array" ref="AH16">IFERROR(SUMPRODUCT((INPUT!$H$3:$H$5000&gt;=AH$3)*(INPUT!$H$3:$H$5000&lt;=AH$3+6)*(INPUT!$J$3:$J$5000="BARONA")*ISNUMBER(INPUT!$K$3:$K$5000)*IFERROR(VALUE(INPUT!$K$3:$K$5000),0)*IFERROR(SUMIFS(INPUT!$E$3:$E$5000,INPUT!$A$3:$A$5000,INPUT!$H$3:$H$5000,INPUT!$C$3:$C$5000,INPUT!$I$3:$I$5000),0)),"")</f>
        <v>0</v>
      </c>
      <c r="AI16" s="160" cm="1">
        <f t="array" ref="AI16">IFERROR(SUMPRODUCT((INPUT!$H$3:$H$5000&gt;=AI$3)*(INPUT!$H$3:$H$5000&lt;=AI$3+6)*(INPUT!$J$3:$J$5000="BARONA")*ISNUMBER(INPUT!$K$3:$K$5000)*IFERROR(VALUE(INPUT!$K$3:$K$5000),0)*IFERROR(SUMIFS(INPUT!$E$3:$E$5000,INPUT!$A$3:$A$5000,INPUT!$H$3:$H$5000,INPUT!$C$3:$C$5000,INPUT!$I$3:$I$5000),0)),"")</f>
        <v>3115</v>
      </c>
      <c r="AJ16" s="160" cm="1">
        <f t="array" ref="AJ16">IFERROR(SUMPRODUCT((INPUT!$H$3:$H$5000&gt;=AJ$3)*(INPUT!$H$3:$H$5000&lt;=AJ$3+6)*(INPUT!$J$3:$J$5000="BARONA")*ISNUMBER(INPUT!$K$3:$K$5000)*IFERROR(VALUE(INPUT!$K$3:$K$5000),0)*IFERROR(SUMIFS(INPUT!$E$3:$E$5000,INPUT!$A$3:$A$5000,INPUT!$H$3:$H$5000,INPUT!$C$3:$C$5000,INPUT!$I$3:$I$5000),0)),"")</f>
        <v>1740</v>
      </c>
      <c r="AK16" s="160" cm="1">
        <f t="array" ref="AK16">IFERROR(SUMPRODUCT((INPUT!$H$3:$H$5000&gt;=AK$3)*(INPUT!$H$3:$H$5000&lt;=AK$3+6)*(INPUT!$J$3:$J$5000="BARONA")*ISNUMBER(INPUT!$K$3:$K$5000)*IFERROR(VALUE(INPUT!$K$3:$K$5000),0)*IFERROR(SUMIFS(INPUT!$E$3:$E$5000,INPUT!$A$3:$A$5000,INPUT!$H$3:$H$5000,INPUT!$C$3:$C$5000,INPUT!$I$3:$I$5000),0)),"")</f>
        <v>3190</v>
      </c>
      <c r="AL16" s="160" cm="1">
        <f t="array" ref="AL16">IFERROR(SUMPRODUCT((INPUT!$H$3:$H$5000&gt;=AL$3)*(INPUT!$H$3:$H$5000&lt;=AL$3+6)*(INPUT!$J$3:$J$5000="BARONA")*ISNUMBER(INPUT!$K$3:$K$5000)*IFERROR(VALUE(INPUT!$K$3:$K$5000),0)*IFERROR(SUMIFS(INPUT!$E$3:$E$5000,INPUT!$A$3:$A$5000,INPUT!$H$3:$H$5000,INPUT!$C$3:$C$5000,INPUT!$I$3:$I$5000),0)),"")</f>
        <v>3960</v>
      </c>
      <c r="AM16" s="160" cm="1">
        <f t="array" ref="AM16">IFERROR(SUMPRODUCT((INPUT!$H$3:$H$5000&gt;=AM$3)*(INPUT!$H$3:$H$5000&lt;=AM$3+6)*(INPUT!$J$3:$J$5000="BARONA")*ISNUMBER(INPUT!$K$3:$K$5000)*IFERROR(VALUE(INPUT!$K$3:$K$5000),0)*IFERROR(SUMIFS(INPUT!$E$3:$E$5000,INPUT!$A$3:$A$5000,INPUT!$H$3:$H$5000,INPUT!$C$3:$C$5000,INPUT!$I$3:$I$5000),0)),"")</f>
        <v>3850</v>
      </c>
      <c r="AN16" s="160" cm="1">
        <f t="array" ref="AN16">IFERROR(SUMPRODUCT((INPUT!$H$3:$H$5000&gt;=AN$3)*(INPUT!$H$3:$H$5000&lt;=AN$3+6)*(INPUT!$J$3:$J$5000="BARONA")*ISNUMBER(INPUT!$K$3:$K$5000)*IFERROR(VALUE(INPUT!$K$3:$K$5000),0)*IFERROR(SUMIFS(INPUT!$E$3:$E$5000,INPUT!$A$3:$A$5000,INPUT!$H$3:$H$5000,INPUT!$C$3:$C$5000,INPUT!$I$3:$I$5000),0)),"")</f>
        <v>3600</v>
      </c>
      <c r="AO16" s="160" cm="1">
        <f t="array" ref="AO16">IFERROR(SUMPRODUCT((INPUT!$H$3:$H$5000&gt;=AO$3)*(INPUT!$H$3:$H$5000&lt;=AO$3+6)*(INPUT!$J$3:$J$5000="BARONA")*ISNUMBER(INPUT!$K$3:$K$5000)*IFERROR(VALUE(INPUT!$K$3:$K$5000),0)*IFERROR(SUMIFS(INPUT!$E$3:$E$5000,INPUT!$A$3:$A$5000,INPUT!$H$3:$H$5000,INPUT!$C$3:$C$5000,INPUT!$I$3:$I$5000),0)),"")</f>
        <v>0</v>
      </c>
      <c r="AP16" s="160" cm="1">
        <f t="array" ref="AP16">IFERROR(SUMPRODUCT((INPUT!$H$3:$H$5000&gt;=AP$3)*(INPUT!$H$3:$H$5000&lt;=AP$3+6)*(INPUT!$J$3:$J$5000="BARONA")*ISNUMBER(INPUT!$K$3:$K$5000)*IFERROR(VALUE(INPUT!$K$3:$K$5000),0)*IFERROR(SUMIFS(INPUT!$E$3:$E$5000,INPUT!$A$3:$A$5000,INPUT!$H$3:$H$5000,INPUT!$C$3:$C$5000,INPUT!$I$3:$I$5000),0)),"")</f>
        <v>0</v>
      </c>
      <c r="AQ16" s="160" cm="1">
        <f t="array" ref="AQ16">IFERROR(SUMPRODUCT((INPUT!$H$3:$H$5000&gt;=AQ$3)*(INPUT!$H$3:$H$5000&lt;=AQ$3+6)*(INPUT!$J$3:$J$5000="BARONA")*ISNUMBER(INPUT!$K$3:$K$5000)*IFERROR(VALUE(INPUT!$K$3:$K$5000),0)*IFERROR(SUMIFS(INPUT!$E$3:$E$5000,INPUT!$A$3:$A$5000,INPUT!$H$3:$H$5000,INPUT!$C$3:$C$5000,INPUT!$I$3:$I$5000),0)),"")</f>
        <v>0</v>
      </c>
      <c r="AR16" s="160" cm="1">
        <f t="array" ref="AR16">IFERROR(SUMPRODUCT((INPUT!$H$3:$H$5000&gt;=AR$3)*(INPUT!$H$3:$H$5000&lt;=AR$3+6)*(INPUT!$J$3:$J$5000="BARONA")*ISNUMBER(INPUT!$K$3:$K$5000)*IFERROR(VALUE(INPUT!$K$3:$K$5000),0)*IFERROR(SUMIFS(INPUT!$E$3:$E$5000,INPUT!$A$3:$A$5000,INPUT!$H$3:$H$5000,INPUT!$C$3:$C$5000,INPUT!$I$3:$I$5000),0)),"")</f>
        <v>0</v>
      </c>
      <c r="AS16" s="160" cm="1">
        <f t="array" ref="AS16">IFERROR(SUMPRODUCT((INPUT!$H$3:$H$5000&gt;=AS$3)*(INPUT!$H$3:$H$5000&lt;=AS$3+6)*(INPUT!$J$3:$J$5000="BARONA")*ISNUMBER(INPUT!$K$3:$K$5000)*IFERROR(VALUE(INPUT!$K$3:$K$5000),0)*IFERROR(SUMIFS(INPUT!$E$3:$E$5000,INPUT!$A$3:$A$5000,INPUT!$H$3:$H$5000,INPUT!$C$3:$C$5000,INPUT!$I$3:$I$5000),0)),"")</f>
        <v>0</v>
      </c>
      <c r="AT16" s="160" cm="1">
        <f t="array" ref="AT16">IFERROR(SUMPRODUCT((INPUT!$H$3:$H$5000&gt;=AT$3)*(INPUT!$H$3:$H$5000&lt;=AT$3+6)*(INPUT!$J$3:$J$5000="BARONA")*ISNUMBER(INPUT!$K$3:$K$5000)*IFERROR(VALUE(INPUT!$K$3:$K$5000),0)*IFERROR(SUMIFS(INPUT!$E$3:$E$5000,INPUT!$A$3:$A$5000,INPUT!$H$3:$H$5000,INPUT!$C$3:$C$5000,INPUT!$I$3:$I$5000),0)),"")</f>
        <v>0</v>
      </c>
      <c r="AU16" s="160" cm="1">
        <f t="array" ref="AU16">IFERROR(SUMPRODUCT((INPUT!$H$3:$H$5000&gt;=AU$3)*(INPUT!$H$3:$H$5000&lt;=AU$3+6)*(INPUT!$J$3:$J$5000="BARONA")*ISNUMBER(INPUT!$K$3:$K$5000)*IFERROR(VALUE(INPUT!$K$3:$K$5000),0)*IFERROR(SUMIFS(INPUT!$E$3:$E$5000,INPUT!$A$3:$A$5000,INPUT!$H$3:$H$5000,INPUT!$C$3:$C$5000,INPUT!$I$3:$I$5000),0)),"")</f>
        <v>0</v>
      </c>
      <c r="AV16" s="160" cm="1">
        <f t="array" ref="AV16">IFERROR(SUMPRODUCT((INPUT!$H$3:$H$5000&gt;=AV$3)*(INPUT!$H$3:$H$5000&lt;=AV$3+6)*(INPUT!$J$3:$J$5000="BARONA")*ISNUMBER(INPUT!$K$3:$K$5000)*IFERROR(VALUE(INPUT!$K$3:$K$5000),0)*IFERROR(SUMIFS(INPUT!$E$3:$E$5000,INPUT!$A$3:$A$5000,INPUT!$H$3:$H$5000,INPUT!$C$3:$C$5000,INPUT!$I$3:$I$5000),0)),"")</f>
        <v>0</v>
      </c>
      <c r="AW16" s="160" cm="1">
        <f t="array" ref="AW16">IFERROR(SUMPRODUCT((INPUT!$H$3:$H$5000&gt;=AW$3)*(INPUT!$H$3:$H$5000&lt;=AW$3+6)*(INPUT!$J$3:$J$5000="BARONA")*ISNUMBER(INPUT!$K$3:$K$5000)*IFERROR(VALUE(INPUT!$K$3:$K$5000),0)*IFERROR(SUMIFS(INPUT!$E$3:$E$5000,INPUT!$A$3:$A$5000,INPUT!$H$3:$H$5000,INPUT!$C$3:$C$5000,INPUT!$I$3:$I$5000),0)),"")</f>
        <v>0</v>
      </c>
      <c r="AX16" s="160" cm="1">
        <f t="array" ref="AX16">IFERROR(SUMPRODUCT((INPUT!$H$3:$H$5000&gt;=AX$3)*(INPUT!$H$3:$H$5000&lt;=AX$3+6)*(INPUT!$J$3:$J$5000="BARONA")*ISNUMBER(INPUT!$K$3:$K$5000)*IFERROR(VALUE(INPUT!$K$3:$K$5000),0)*IFERROR(SUMIFS(INPUT!$E$3:$E$5000,INPUT!$A$3:$A$5000,INPUT!$H$3:$H$5000,INPUT!$C$3:$C$5000,INPUT!$I$3:$I$5000),0)),"")</f>
        <v>0</v>
      </c>
      <c r="AY16" s="160" cm="1">
        <f t="array" ref="AY16">IFERROR(SUMPRODUCT((INPUT!$H$3:$H$5000&gt;=AY$3)*(INPUT!$H$3:$H$5000&lt;=AY$3+6)*(INPUT!$J$3:$J$5000="BARONA")*ISNUMBER(INPUT!$K$3:$K$5000)*IFERROR(VALUE(INPUT!$K$3:$K$5000),0)*IFERROR(SUMIFS(INPUT!$E$3:$E$5000,INPUT!$A$3:$A$5000,INPUT!$H$3:$H$5000,INPUT!$C$3:$C$5000,INPUT!$I$3:$I$5000),0)),"")</f>
        <v>0</v>
      </c>
      <c r="AZ16" s="160" cm="1">
        <f t="array" ref="AZ16">IFERROR(SUMPRODUCT((INPUT!$H$3:$H$5000&gt;=AZ$3)*(INPUT!$H$3:$H$5000&lt;=AZ$3+6)*(INPUT!$J$3:$J$5000="BARONA")*ISNUMBER(INPUT!$K$3:$K$5000)*IFERROR(VALUE(INPUT!$K$3:$K$5000),0)*IFERROR(SUMIFS(INPUT!$E$3:$E$5000,INPUT!$A$3:$A$5000,INPUT!$H$3:$H$5000,INPUT!$C$3:$C$5000,INPUT!$I$3:$I$5000),0)),"")</f>
        <v>0</v>
      </c>
      <c r="BA16" s="160" cm="1">
        <f t="array" ref="BA16">IFERROR(SUMPRODUCT((INPUT!$H$3:$H$5000&gt;=BA$3)*(INPUT!$H$3:$H$5000&lt;=BA$3+6)*(INPUT!$J$3:$J$5000="BARONA")*ISNUMBER(INPUT!$K$3:$K$5000)*IFERROR(VALUE(INPUT!$K$3:$K$5000),0)*IFERROR(SUMIFS(INPUT!$E$3:$E$5000,INPUT!$A$3:$A$5000,INPUT!$H$3:$H$5000,INPUT!$C$3:$C$5000,INPUT!$I$3:$I$5000),0)),"")</f>
        <v>0</v>
      </c>
      <c r="BB16" s="161" cm="1">
        <f t="array" ref="BB16">IFERROR(SUMPRODUCT((INPUT!$H$3:$H$5000&gt;=BB$3)*(INPUT!$H$3:$H$5000&lt;=BB$3+6)*(INPUT!$J$3:$J$5000="BARONA")*ISNUMBER(INPUT!$K$3:$K$5000)*IFERROR(VALUE(INPUT!$K$3:$K$5000),0)*IFERROR(SUMIFS(INPUT!$E$3:$E$5000,INPUT!$A$3:$A$5000,INPUT!$H$3:$H$5000,INPUT!$C$3:$C$5000,INPUT!$I$3:$I$5000),0)),"")</f>
        <v>0</v>
      </c>
    </row>
    <row r="17" spans="1:54" x14ac:dyDescent="0.2">
      <c r="A17" s="56">
        <v>13</v>
      </c>
      <c r="B17" s="9" t="s">
        <v>53</v>
      </c>
      <c r="C17" s="159" cm="1">
        <f t="array" ref="C17">IFERROR(SUMPRODUCT((INPUT!$H$3:$H$5000&gt;=C$3)*(INPUT!$H$3:$H$5000&lt;=C$3+6)*(INPUT!$J$3:$J$5000="CARLOS")*ISNUMBER(INPUT!$K$3:$K$5000)*IFERROR(VALUE(INPUT!$K$3:$K$5000),0)*IFERROR(SUMIFS(INPUT!$E$3:$E$5000,INPUT!$A$3:$A$5000,INPUT!$H$3:$H$5000,INPUT!$C$3:$C$5000,INPUT!$I$3:$I$5000),0)),"")</f>
        <v>4770</v>
      </c>
      <c r="D17" s="159" cm="1">
        <f t="array" ref="D17">IFERROR(SUMPRODUCT((INPUT!$H$3:$H$5000&gt;=D$3)*(INPUT!$H$3:$H$5000&lt;=D$3+6)*(INPUT!$J$3:$J$5000="CARLOS")*ISNUMBER(INPUT!$K$3:$K$5000)*IFERROR(VALUE(INPUT!$K$3:$K$5000),0)*IFERROR(SUMIFS(INPUT!$E$3:$E$5000,INPUT!$A$3:$A$5000,INPUT!$H$3:$H$5000,INPUT!$C$3:$C$5000,INPUT!$I$3:$I$5000),0)),"")</f>
        <v>6655</v>
      </c>
      <c r="E17" s="159" cm="1">
        <f t="array" ref="E17">IFERROR(SUMPRODUCT((INPUT!$H$3:$H$5000&gt;=E$3)*(INPUT!$H$3:$H$5000&lt;=E$3+6)*(INPUT!$J$3:$J$5000="CARLOS")*ISNUMBER(INPUT!$K$3:$K$5000)*IFERROR(VALUE(INPUT!$K$3:$K$5000),0)*IFERROR(SUMIFS(INPUT!$E$3:$E$5000,INPUT!$A$3:$A$5000,INPUT!$H$3:$H$5000,INPUT!$C$3:$C$5000,INPUT!$I$3:$I$5000),0)),"")</f>
        <v>7110</v>
      </c>
      <c r="F17" s="159" cm="1">
        <f t="array" ref="F17">IFERROR(SUMPRODUCT((INPUT!$H$3:$H$5000&gt;=F$3)*(INPUT!$H$3:$H$5000&lt;=F$3+6)*(INPUT!$J$3:$J$5000="CARLOS")*ISNUMBER(INPUT!$K$3:$K$5000)*IFERROR(VALUE(INPUT!$K$3:$K$5000),0)*IFERROR(SUMIFS(INPUT!$E$3:$E$5000,INPUT!$A$3:$A$5000,INPUT!$H$3:$H$5000,INPUT!$C$3:$C$5000,INPUT!$I$3:$I$5000),0)),"")</f>
        <v>7025</v>
      </c>
      <c r="G17" s="159" cm="1">
        <f t="array" ref="G17">IFERROR(SUMPRODUCT((INPUT!$H$3:$H$5000&gt;=G$3)*(INPUT!$H$3:$H$5000&lt;=G$3+6)*(INPUT!$J$3:$J$5000="CARLOS")*ISNUMBER(INPUT!$K$3:$K$5000)*IFERROR(VALUE(INPUT!$K$3:$K$5000),0)*IFERROR(SUMIFS(INPUT!$E$3:$E$5000,INPUT!$A$3:$A$5000,INPUT!$H$3:$H$5000,INPUT!$C$3:$C$5000,INPUT!$I$3:$I$5000),0)),"")</f>
        <v>4530</v>
      </c>
      <c r="H17" s="159" cm="1">
        <f t="array" ref="H17">IFERROR(SUMPRODUCT((INPUT!$H$3:$H$5000&gt;=H$3)*(INPUT!$H$3:$H$5000&lt;=H$3+6)*(INPUT!$J$3:$J$5000="CARLOS")*ISNUMBER(INPUT!$K$3:$K$5000)*IFERROR(VALUE(INPUT!$K$3:$K$5000),0)*IFERROR(SUMIFS(INPUT!$E$3:$E$5000,INPUT!$A$3:$A$5000,INPUT!$H$3:$H$5000,INPUT!$C$3:$C$5000,INPUT!$I$3:$I$5000),0)),"")</f>
        <v>3855</v>
      </c>
      <c r="I17" s="159" cm="1">
        <f t="array" ref="I17">IFERROR(SUMPRODUCT((INPUT!$H$3:$H$5000&gt;=I$3)*(INPUT!$H$3:$H$5000&lt;=I$3+6)*(INPUT!$J$3:$J$5000="CARLOS")*ISNUMBER(INPUT!$K$3:$K$5000)*IFERROR(VALUE(INPUT!$K$3:$K$5000),0)*IFERROR(SUMIFS(INPUT!$E$3:$E$5000,INPUT!$A$3:$A$5000,INPUT!$H$3:$H$5000,INPUT!$C$3:$C$5000,INPUT!$I$3:$I$5000),0)),"")</f>
        <v>2660</v>
      </c>
      <c r="J17" s="159" cm="1">
        <f t="array" ref="J17">IFERROR(SUMPRODUCT((INPUT!$H$3:$H$5000&gt;=J$3)*(INPUT!$H$3:$H$5000&lt;=J$3+6)*(INPUT!$J$3:$J$5000="CARLOS")*ISNUMBER(INPUT!$K$3:$K$5000)*IFERROR(VALUE(INPUT!$K$3:$K$5000),0)*IFERROR(SUMIFS(INPUT!$E$3:$E$5000,INPUT!$A$3:$A$5000,INPUT!$H$3:$H$5000,INPUT!$C$3:$C$5000,INPUT!$I$3:$I$5000),0)),"")</f>
        <v>3920</v>
      </c>
      <c r="K17" s="159" cm="1">
        <f t="array" ref="K17">IFERROR(SUMPRODUCT((INPUT!$H$3:$H$5000&gt;=K$3)*(INPUT!$H$3:$H$5000&lt;=K$3+6)*(INPUT!$J$3:$J$5000="CARLOS")*ISNUMBER(INPUT!$K$3:$K$5000)*IFERROR(VALUE(INPUT!$K$3:$K$5000),0)*IFERROR(SUMIFS(INPUT!$E$3:$E$5000,INPUT!$A$3:$A$5000,INPUT!$H$3:$H$5000,INPUT!$C$3:$C$5000,INPUT!$I$3:$I$5000),0)),"")</f>
        <v>4530</v>
      </c>
      <c r="L17" s="160" cm="1">
        <f t="array" ref="L17">IFERROR(SUMPRODUCT((INPUT!$H$3:$H$5000&gt;=L$3)*(INPUT!$H$3:$H$5000&lt;=L$3+6)*(INPUT!$J$3:$J$5000="CARLOS")*ISNUMBER(INPUT!$K$3:$K$5000)*IFERROR(VALUE(INPUT!$K$3:$K$5000),0)*IFERROR(SUMIFS(INPUT!$E$3:$E$5000,INPUT!$A$3:$A$5000,INPUT!$H$3:$H$5000,INPUT!$C$3:$C$5000,INPUT!$I$3:$I$5000),0)),"")</f>
        <v>3895</v>
      </c>
      <c r="M17" s="160" cm="1">
        <f t="array" ref="M17">IFERROR(SUMPRODUCT((INPUT!$H$3:$H$5000&gt;=M$3)*(INPUT!$H$3:$H$5000&lt;=M$3+6)*(INPUT!$J$3:$J$5000="CARLOS")*ISNUMBER(INPUT!$K$3:$K$5000)*IFERROR(VALUE(INPUT!$K$3:$K$5000),0)*IFERROR(SUMIFS(INPUT!$E$3:$E$5000,INPUT!$A$3:$A$5000,INPUT!$H$3:$H$5000,INPUT!$C$3:$C$5000,INPUT!$I$3:$I$5000),0)),"")</f>
        <v>1645</v>
      </c>
      <c r="N17" s="160" cm="1">
        <f t="array" ref="N17">IFERROR(SUMPRODUCT((INPUT!$H$3:$H$5000&gt;=N$3)*(INPUT!$H$3:$H$5000&lt;=N$3+6)*(INPUT!$J$3:$J$5000="CARLOS")*ISNUMBER(INPUT!$K$3:$K$5000)*IFERROR(VALUE(INPUT!$K$3:$K$5000),0)*IFERROR(SUMIFS(INPUT!$E$3:$E$5000,INPUT!$A$3:$A$5000,INPUT!$H$3:$H$5000,INPUT!$C$3:$C$5000,INPUT!$I$3:$I$5000),0)),"")</f>
        <v>3370</v>
      </c>
      <c r="O17" s="160" cm="1">
        <f t="array" ref="O17">IFERROR(SUMPRODUCT((INPUT!$H$3:$H$5000&gt;=O$3)*(INPUT!$H$3:$H$5000&lt;=O$3+6)*(INPUT!$J$3:$J$5000="CARLOS")*ISNUMBER(INPUT!$K$3:$K$5000)*IFERROR(VALUE(INPUT!$K$3:$K$5000),0)*IFERROR(SUMIFS(INPUT!$E$3:$E$5000,INPUT!$A$3:$A$5000,INPUT!$H$3:$H$5000,INPUT!$C$3:$C$5000,INPUT!$I$3:$I$5000),0)),"")</f>
        <v>3740</v>
      </c>
      <c r="P17" s="160" cm="1">
        <f t="array" ref="P17">IFERROR(SUMPRODUCT((INPUT!$H$3:$H$5000&gt;=P$3)*(INPUT!$H$3:$H$5000&lt;=P$3+6)*(INPUT!$J$3:$J$5000="CARLOS")*ISNUMBER(INPUT!$K$3:$K$5000)*IFERROR(VALUE(INPUT!$K$3:$K$5000),0)*IFERROR(SUMIFS(INPUT!$E$3:$E$5000,INPUT!$A$3:$A$5000,INPUT!$H$3:$H$5000,INPUT!$C$3:$C$5000,INPUT!$I$3:$I$5000),0)),"")</f>
        <v>3780</v>
      </c>
      <c r="Q17" s="160" cm="1">
        <f t="array" ref="Q17">IFERROR(SUMPRODUCT((INPUT!$H$3:$H$5000&gt;=Q$3)*(INPUT!$H$3:$H$5000&lt;=Q$3+6)*(INPUT!$J$3:$J$5000="CARLOS")*ISNUMBER(INPUT!$K$3:$K$5000)*IFERROR(VALUE(INPUT!$K$3:$K$5000),0)*IFERROR(SUMIFS(INPUT!$E$3:$E$5000,INPUT!$A$3:$A$5000,INPUT!$H$3:$H$5000,INPUT!$C$3:$C$5000,INPUT!$I$3:$I$5000),0)),"")</f>
        <v>2330</v>
      </c>
      <c r="R17" s="160" cm="1">
        <f t="array" ref="R17">IFERROR(SUMPRODUCT((INPUT!$H$3:$H$5000&gt;=R$3)*(INPUT!$H$3:$H$5000&lt;=R$3+6)*(INPUT!$J$3:$J$5000="CARLOS")*ISNUMBER(INPUT!$K$3:$K$5000)*IFERROR(VALUE(INPUT!$K$3:$K$5000),0)*IFERROR(SUMIFS(INPUT!$E$3:$E$5000,INPUT!$A$3:$A$5000,INPUT!$H$3:$H$5000,INPUT!$C$3:$C$5000,INPUT!$I$3:$I$5000),0)),"")</f>
        <v>3900</v>
      </c>
      <c r="S17" s="160" cm="1">
        <f t="array" ref="S17">IFERROR(SUMPRODUCT((INPUT!$H$3:$H$5000&gt;=S$3)*(INPUT!$H$3:$H$5000&lt;=S$3+6)*(INPUT!$J$3:$J$5000="CARLOS")*ISNUMBER(INPUT!$K$3:$K$5000)*IFERROR(VALUE(INPUT!$K$3:$K$5000),0)*IFERROR(SUMIFS(INPUT!$E$3:$E$5000,INPUT!$A$3:$A$5000,INPUT!$H$3:$H$5000,INPUT!$C$3:$C$5000,INPUT!$I$3:$I$5000),0)),"")</f>
        <v>2725</v>
      </c>
      <c r="T17" s="160" cm="1">
        <f t="array" ref="T17">IFERROR(SUMPRODUCT((INPUT!$H$3:$H$5000&gt;=T$3)*(INPUT!$H$3:$H$5000&lt;=T$3+6)*(INPUT!$J$3:$J$5000="CARLOS")*ISNUMBER(INPUT!$K$3:$K$5000)*IFERROR(VALUE(INPUT!$K$3:$K$5000),0)*IFERROR(SUMIFS(INPUT!$E$3:$E$5000,INPUT!$A$3:$A$5000,INPUT!$H$3:$H$5000,INPUT!$C$3:$C$5000,INPUT!$I$3:$I$5000),0)),"")</f>
        <v>360</v>
      </c>
      <c r="U17" s="160" cm="1">
        <f t="array" ref="U17">IFERROR(SUMPRODUCT((INPUT!$H$3:$H$5000&gt;=U$3)*(INPUT!$H$3:$H$5000&lt;=U$3+6)*(INPUT!$J$3:$J$5000="CARLOS")*ISNUMBER(INPUT!$K$3:$K$5000)*IFERROR(VALUE(INPUT!$K$3:$K$5000),0)*IFERROR(SUMIFS(INPUT!$E$3:$E$5000,INPUT!$A$3:$A$5000,INPUT!$H$3:$H$5000,INPUT!$C$3:$C$5000,INPUT!$I$3:$I$5000),0)),"")</f>
        <v>3970</v>
      </c>
      <c r="V17" s="160" cm="1">
        <f t="array" ref="V17">IFERROR(SUMPRODUCT((INPUT!$H$3:$H$5000&gt;=V$3)*(INPUT!$H$3:$H$5000&lt;=V$3+6)*(INPUT!$J$3:$J$5000="CARLOS")*ISNUMBER(INPUT!$K$3:$K$5000)*IFERROR(VALUE(INPUT!$K$3:$K$5000),0)*IFERROR(SUMIFS(INPUT!$E$3:$E$5000,INPUT!$A$3:$A$5000,INPUT!$H$3:$H$5000,INPUT!$C$3:$C$5000,INPUT!$I$3:$I$5000),0)),"")</f>
        <v>1375</v>
      </c>
      <c r="W17" s="160" cm="1">
        <f t="array" ref="W17">IFERROR(SUMPRODUCT((INPUT!$H$3:$H$5000&gt;=W$3)*(INPUT!$H$3:$H$5000&lt;=W$3+6)*(INPUT!$J$3:$J$5000="CARLOS")*ISNUMBER(INPUT!$K$3:$K$5000)*IFERROR(VALUE(INPUT!$K$3:$K$5000),0)*IFERROR(SUMIFS(INPUT!$E$3:$E$5000,INPUT!$A$3:$A$5000,INPUT!$H$3:$H$5000,INPUT!$C$3:$C$5000,INPUT!$I$3:$I$5000),0)),"")</f>
        <v>3035</v>
      </c>
      <c r="X17" s="160" cm="1">
        <f t="array" ref="X17">IFERROR(SUMPRODUCT((INPUT!$H$3:$H$5000&gt;=X$3)*(INPUT!$H$3:$H$5000&lt;=X$3+6)*(INPUT!$J$3:$J$5000="CARLOS")*ISNUMBER(INPUT!$K$3:$K$5000)*IFERROR(VALUE(INPUT!$K$3:$K$5000),0)*IFERROR(SUMIFS(INPUT!$E$3:$E$5000,INPUT!$A$3:$A$5000,INPUT!$H$3:$H$5000,INPUT!$C$3:$C$5000,INPUT!$I$3:$I$5000),0)),"")</f>
        <v>2105</v>
      </c>
      <c r="Y17" s="160" cm="1">
        <f t="array" ref="Y17">IFERROR(SUMPRODUCT((INPUT!$H$3:$H$5000&gt;=Y$3)*(INPUT!$H$3:$H$5000&lt;=Y$3+6)*(INPUT!$J$3:$J$5000="CARLOS")*ISNUMBER(INPUT!$K$3:$K$5000)*IFERROR(VALUE(INPUT!$K$3:$K$5000),0)*IFERROR(SUMIFS(INPUT!$E$3:$E$5000,INPUT!$A$3:$A$5000,INPUT!$H$3:$H$5000,INPUT!$C$3:$C$5000,INPUT!$I$3:$I$5000),0)),"")</f>
        <v>2435</v>
      </c>
      <c r="Z17" s="160" cm="1">
        <f t="array" ref="Z17">IFERROR(SUMPRODUCT((INPUT!$H$3:$H$5000&gt;=Z$3)*(INPUT!$H$3:$H$5000&lt;=Z$3+6)*(INPUT!$J$3:$J$5000="CARLOS")*ISNUMBER(INPUT!$K$3:$K$5000)*IFERROR(VALUE(INPUT!$K$3:$K$5000),0)*IFERROR(SUMIFS(INPUT!$E$3:$E$5000,INPUT!$A$3:$A$5000,INPUT!$H$3:$H$5000,INPUT!$C$3:$C$5000,INPUT!$I$3:$I$5000),0)),"")</f>
        <v>3425</v>
      </c>
      <c r="AA17" s="160" cm="1">
        <f t="array" ref="AA17">IFERROR(SUMPRODUCT((INPUT!$H$3:$H$5000&gt;=AA$3)*(INPUT!$H$3:$H$5000&lt;=AA$3+6)*(INPUT!$J$3:$J$5000="CARLOS")*ISNUMBER(INPUT!$K$3:$K$5000)*IFERROR(VALUE(INPUT!$K$3:$K$5000),0)*IFERROR(SUMIFS(INPUT!$E$3:$E$5000,INPUT!$A$3:$A$5000,INPUT!$H$3:$H$5000,INPUT!$C$3:$C$5000,INPUT!$I$3:$I$5000),0)),"")</f>
        <v>0</v>
      </c>
      <c r="AB17" s="160" cm="1">
        <f t="array" ref="AB17">IFERROR(SUMPRODUCT((INPUT!$H$3:$H$5000&gt;=AB$3)*(INPUT!$H$3:$H$5000&lt;=AB$3+6)*(INPUT!$J$3:$J$5000="CARLOS")*ISNUMBER(INPUT!$K$3:$K$5000)*IFERROR(VALUE(INPUT!$K$3:$K$5000),0)*IFERROR(SUMIFS(INPUT!$E$3:$E$5000,INPUT!$A$3:$A$5000,INPUT!$H$3:$H$5000,INPUT!$C$3:$C$5000,INPUT!$I$3:$I$5000),0)),"")</f>
        <v>5850</v>
      </c>
      <c r="AC17" s="160" cm="1">
        <f t="array" ref="AC17">IFERROR(SUMPRODUCT((INPUT!$H$3:$H$5000&gt;=AC$3)*(INPUT!$H$3:$H$5000&lt;=AC$3+6)*(INPUT!$J$3:$J$5000="CARLOS")*ISNUMBER(INPUT!$K$3:$K$5000)*IFERROR(VALUE(INPUT!$K$3:$K$5000),0)*IFERROR(SUMIFS(INPUT!$E$3:$E$5000,INPUT!$A$3:$A$5000,INPUT!$H$3:$H$5000,INPUT!$C$3:$C$5000,INPUT!$I$3:$I$5000),0)),"")</f>
        <v>4275</v>
      </c>
      <c r="AD17" s="160" cm="1">
        <f t="array" ref="AD17">IFERROR(SUMPRODUCT((INPUT!$H$3:$H$5000&gt;=AD$3)*(INPUT!$H$3:$H$5000&lt;=AD$3+6)*(INPUT!$J$3:$J$5000="CARLOS")*ISNUMBER(INPUT!$K$3:$K$5000)*IFERROR(VALUE(INPUT!$K$3:$K$5000),0)*IFERROR(SUMIFS(INPUT!$E$3:$E$5000,INPUT!$A$3:$A$5000,INPUT!$H$3:$H$5000,INPUT!$C$3:$C$5000,INPUT!$I$3:$I$5000),0)),"")</f>
        <v>5005</v>
      </c>
      <c r="AE17" s="160" cm="1">
        <f t="array" ref="AE17">IFERROR(SUMPRODUCT((INPUT!$H$3:$H$5000&gt;=AE$3)*(INPUT!$H$3:$H$5000&lt;=AE$3+6)*(INPUT!$J$3:$J$5000="CARLOS")*ISNUMBER(INPUT!$K$3:$K$5000)*IFERROR(VALUE(INPUT!$K$3:$K$5000),0)*IFERROR(SUMIFS(INPUT!$E$3:$E$5000,INPUT!$A$3:$A$5000,INPUT!$H$3:$H$5000,INPUT!$C$3:$C$5000,INPUT!$I$3:$I$5000),0)),"")</f>
        <v>3705</v>
      </c>
      <c r="AF17" s="160" cm="1">
        <f t="array" ref="AF17">IFERROR(SUMPRODUCT((INPUT!$H$3:$H$5000&gt;=AF$3)*(INPUT!$H$3:$H$5000&lt;=AF$3+6)*(INPUT!$J$3:$J$5000="CARLOS")*ISNUMBER(INPUT!$K$3:$K$5000)*IFERROR(VALUE(INPUT!$K$3:$K$5000),0)*IFERROR(SUMIFS(INPUT!$E$3:$E$5000,INPUT!$A$3:$A$5000,INPUT!$H$3:$H$5000,INPUT!$C$3:$C$5000,INPUT!$I$3:$I$5000),0)),"")</f>
        <v>3150</v>
      </c>
      <c r="AG17" s="160" cm="1">
        <f t="array" ref="AG17">IFERROR(SUMPRODUCT((INPUT!$H$3:$H$5000&gt;=AG$3)*(INPUT!$H$3:$H$5000&lt;=AG$3+6)*(INPUT!$J$3:$J$5000="CARLOS")*ISNUMBER(INPUT!$K$3:$K$5000)*IFERROR(VALUE(INPUT!$K$3:$K$5000),0)*IFERROR(SUMIFS(INPUT!$E$3:$E$5000,INPUT!$A$3:$A$5000,INPUT!$H$3:$H$5000,INPUT!$C$3:$C$5000,INPUT!$I$3:$I$5000),0)),"")</f>
        <v>4770</v>
      </c>
      <c r="AH17" s="160" cm="1">
        <f t="array" ref="AH17">IFERROR(SUMPRODUCT((INPUT!$H$3:$H$5000&gt;=AH$3)*(INPUT!$H$3:$H$5000&lt;=AH$3+6)*(INPUT!$J$3:$J$5000="CARLOS")*ISNUMBER(INPUT!$K$3:$K$5000)*IFERROR(VALUE(INPUT!$K$3:$K$5000),0)*IFERROR(SUMIFS(INPUT!$E$3:$E$5000,INPUT!$A$3:$A$5000,INPUT!$H$3:$H$5000,INPUT!$C$3:$C$5000,INPUT!$I$3:$I$5000),0)),"")</f>
        <v>3130</v>
      </c>
      <c r="AI17" s="160" cm="1">
        <f t="array" ref="AI17">IFERROR(SUMPRODUCT((INPUT!$H$3:$H$5000&gt;=AI$3)*(INPUT!$H$3:$H$5000&lt;=AI$3+6)*(INPUT!$J$3:$J$5000="CARLOS")*ISNUMBER(INPUT!$K$3:$K$5000)*IFERROR(VALUE(INPUT!$K$3:$K$5000),0)*IFERROR(SUMIFS(INPUT!$E$3:$E$5000,INPUT!$A$3:$A$5000,INPUT!$H$3:$H$5000,INPUT!$C$3:$C$5000,INPUT!$I$3:$I$5000),0)),"")</f>
        <v>4155</v>
      </c>
      <c r="AJ17" s="160" cm="1">
        <f t="array" ref="AJ17">IFERROR(SUMPRODUCT((INPUT!$H$3:$H$5000&gt;=AJ$3)*(INPUT!$H$3:$H$5000&lt;=AJ$3+6)*(INPUT!$J$3:$J$5000="CARLOS")*ISNUMBER(INPUT!$K$3:$K$5000)*IFERROR(VALUE(INPUT!$K$3:$K$5000),0)*IFERROR(SUMIFS(INPUT!$E$3:$E$5000,INPUT!$A$3:$A$5000,INPUT!$H$3:$H$5000,INPUT!$C$3:$C$5000,INPUT!$I$3:$I$5000),0)),"")</f>
        <v>3020</v>
      </c>
      <c r="AK17" s="160" cm="1">
        <f t="array" ref="AK17">IFERROR(SUMPRODUCT((INPUT!$H$3:$H$5000&gt;=AK$3)*(INPUT!$H$3:$H$5000&lt;=AK$3+6)*(INPUT!$J$3:$J$5000="CARLOS")*ISNUMBER(INPUT!$K$3:$K$5000)*IFERROR(VALUE(INPUT!$K$3:$K$5000),0)*IFERROR(SUMIFS(INPUT!$E$3:$E$5000,INPUT!$A$3:$A$5000,INPUT!$H$3:$H$5000,INPUT!$C$3:$C$5000,INPUT!$I$3:$I$5000),0)),"")</f>
        <v>3950</v>
      </c>
      <c r="AL17" s="160" cm="1">
        <f t="array" ref="AL17">IFERROR(SUMPRODUCT((INPUT!$H$3:$H$5000&gt;=AL$3)*(INPUT!$H$3:$H$5000&lt;=AL$3+6)*(INPUT!$J$3:$J$5000="CARLOS")*ISNUMBER(INPUT!$K$3:$K$5000)*IFERROR(VALUE(INPUT!$K$3:$K$5000),0)*IFERROR(SUMIFS(INPUT!$E$3:$E$5000,INPUT!$A$3:$A$5000,INPUT!$H$3:$H$5000,INPUT!$C$3:$C$5000,INPUT!$I$3:$I$5000),0)),"")</f>
        <v>1045</v>
      </c>
      <c r="AM17" s="160" cm="1">
        <f t="array" ref="AM17">IFERROR(SUMPRODUCT((INPUT!$H$3:$H$5000&gt;=AM$3)*(INPUT!$H$3:$H$5000&lt;=AM$3+6)*(INPUT!$J$3:$J$5000="CARLOS")*ISNUMBER(INPUT!$K$3:$K$5000)*IFERROR(VALUE(INPUT!$K$3:$K$5000),0)*IFERROR(SUMIFS(INPUT!$E$3:$E$5000,INPUT!$A$3:$A$5000,INPUT!$H$3:$H$5000,INPUT!$C$3:$C$5000,INPUT!$I$3:$I$5000),0)),"")</f>
        <v>0</v>
      </c>
      <c r="AN17" s="160" cm="1">
        <f t="array" ref="AN17">IFERROR(SUMPRODUCT((INPUT!$H$3:$H$5000&gt;=AN$3)*(INPUT!$H$3:$H$5000&lt;=AN$3+6)*(INPUT!$J$3:$J$5000="CARLOS")*ISNUMBER(INPUT!$K$3:$K$5000)*IFERROR(VALUE(INPUT!$K$3:$K$5000),0)*IFERROR(SUMIFS(INPUT!$E$3:$E$5000,INPUT!$A$3:$A$5000,INPUT!$H$3:$H$5000,INPUT!$C$3:$C$5000,INPUT!$I$3:$I$5000),0)),"")</f>
        <v>4335</v>
      </c>
      <c r="AO17" s="160" cm="1">
        <f t="array" ref="AO17">IFERROR(SUMPRODUCT((INPUT!$H$3:$H$5000&gt;=AO$3)*(INPUT!$H$3:$H$5000&lt;=AO$3+6)*(INPUT!$J$3:$J$5000="CARLOS")*ISNUMBER(INPUT!$K$3:$K$5000)*IFERROR(VALUE(INPUT!$K$3:$K$5000),0)*IFERROR(SUMIFS(INPUT!$E$3:$E$5000,INPUT!$A$3:$A$5000,INPUT!$H$3:$H$5000,INPUT!$C$3:$C$5000,INPUT!$I$3:$I$5000),0)),"")</f>
        <v>0</v>
      </c>
      <c r="AP17" s="160" cm="1">
        <f t="array" ref="AP17">IFERROR(SUMPRODUCT((INPUT!$H$3:$H$5000&gt;=AP$3)*(INPUT!$H$3:$H$5000&lt;=AP$3+6)*(INPUT!$J$3:$J$5000="CARLOS")*ISNUMBER(INPUT!$K$3:$K$5000)*IFERROR(VALUE(INPUT!$K$3:$K$5000),0)*IFERROR(SUMIFS(INPUT!$E$3:$E$5000,INPUT!$A$3:$A$5000,INPUT!$H$3:$H$5000,INPUT!$C$3:$C$5000,INPUT!$I$3:$I$5000),0)),"")</f>
        <v>0</v>
      </c>
      <c r="AQ17" s="160" cm="1">
        <f t="array" ref="AQ17">IFERROR(SUMPRODUCT((INPUT!$H$3:$H$5000&gt;=AQ$3)*(INPUT!$H$3:$H$5000&lt;=AQ$3+6)*(INPUT!$J$3:$J$5000="CARLOS")*ISNUMBER(INPUT!$K$3:$K$5000)*IFERROR(VALUE(INPUT!$K$3:$K$5000),0)*IFERROR(SUMIFS(INPUT!$E$3:$E$5000,INPUT!$A$3:$A$5000,INPUT!$H$3:$H$5000,INPUT!$C$3:$C$5000,INPUT!$I$3:$I$5000),0)),"")</f>
        <v>0</v>
      </c>
      <c r="AR17" s="160" cm="1">
        <f t="array" ref="AR17">IFERROR(SUMPRODUCT((INPUT!$H$3:$H$5000&gt;=AR$3)*(INPUT!$H$3:$H$5000&lt;=AR$3+6)*(INPUT!$J$3:$J$5000="CARLOS")*ISNUMBER(INPUT!$K$3:$K$5000)*IFERROR(VALUE(INPUT!$K$3:$K$5000),0)*IFERROR(SUMIFS(INPUT!$E$3:$E$5000,INPUT!$A$3:$A$5000,INPUT!$H$3:$H$5000,INPUT!$C$3:$C$5000,INPUT!$I$3:$I$5000),0)),"")</f>
        <v>0</v>
      </c>
      <c r="AS17" s="160" cm="1">
        <f t="array" ref="AS17">IFERROR(SUMPRODUCT((INPUT!$H$3:$H$5000&gt;=AS$3)*(INPUT!$H$3:$H$5000&lt;=AS$3+6)*(INPUT!$J$3:$J$5000="CARLOS")*ISNUMBER(INPUT!$K$3:$K$5000)*IFERROR(VALUE(INPUT!$K$3:$K$5000),0)*IFERROR(SUMIFS(INPUT!$E$3:$E$5000,INPUT!$A$3:$A$5000,INPUT!$H$3:$H$5000,INPUT!$C$3:$C$5000,INPUT!$I$3:$I$5000),0)),"")</f>
        <v>0</v>
      </c>
      <c r="AT17" s="160" cm="1">
        <f t="array" ref="AT17">IFERROR(SUMPRODUCT((INPUT!$H$3:$H$5000&gt;=AT$3)*(INPUT!$H$3:$H$5000&lt;=AT$3+6)*(INPUT!$J$3:$J$5000="CARLOS")*ISNUMBER(INPUT!$K$3:$K$5000)*IFERROR(VALUE(INPUT!$K$3:$K$5000),0)*IFERROR(SUMIFS(INPUT!$E$3:$E$5000,INPUT!$A$3:$A$5000,INPUT!$H$3:$H$5000,INPUT!$C$3:$C$5000,INPUT!$I$3:$I$5000),0)),"")</f>
        <v>0</v>
      </c>
      <c r="AU17" s="160" cm="1">
        <f t="array" ref="AU17">IFERROR(SUMPRODUCT((INPUT!$H$3:$H$5000&gt;=AU$3)*(INPUT!$H$3:$H$5000&lt;=AU$3+6)*(INPUT!$J$3:$J$5000="CARLOS")*ISNUMBER(INPUT!$K$3:$K$5000)*IFERROR(VALUE(INPUT!$K$3:$K$5000),0)*IFERROR(SUMIFS(INPUT!$E$3:$E$5000,INPUT!$A$3:$A$5000,INPUT!$H$3:$H$5000,INPUT!$C$3:$C$5000,INPUT!$I$3:$I$5000),0)),"")</f>
        <v>0</v>
      </c>
      <c r="AV17" s="160" cm="1">
        <f t="array" ref="AV17">IFERROR(SUMPRODUCT((INPUT!$H$3:$H$5000&gt;=AV$3)*(INPUT!$H$3:$H$5000&lt;=AV$3+6)*(INPUT!$J$3:$J$5000="CARLOS")*ISNUMBER(INPUT!$K$3:$K$5000)*IFERROR(VALUE(INPUT!$K$3:$K$5000),0)*IFERROR(SUMIFS(INPUT!$E$3:$E$5000,INPUT!$A$3:$A$5000,INPUT!$H$3:$H$5000,INPUT!$C$3:$C$5000,INPUT!$I$3:$I$5000),0)),"")</f>
        <v>0</v>
      </c>
      <c r="AW17" s="160" cm="1">
        <f t="array" ref="AW17">IFERROR(SUMPRODUCT((INPUT!$H$3:$H$5000&gt;=AW$3)*(INPUT!$H$3:$H$5000&lt;=AW$3+6)*(INPUT!$J$3:$J$5000="CARLOS")*ISNUMBER(INPUT!$K$3:$K$5000)*IFERROR(VALUE(INPUT!$K$3:$K$5000),0)*IFERROR(SUMIFS(INPUT!$E$3:$E$5000,INPUT!$A$3:$A$5000,INPUT!$H$3:$H$5000,INPUT!$C$3:$C$5000,INPUT!$I$3:$I$5000),0)),"")</f>
        <v>0</v>
      </c>
      <c r="AX17" s="160" cm="1">
        <f t="array" ref="AX17">IFERROR(SUMPRODUCT((INPUT!$H$3:$H$5000&gt;=AX$3)*(INPUT!$H$3:$H$5000&lt;=AX$3+6)*(INPUT!$J$3:$J$5000="CARLOS")*ISNUMBER(INPUT!$K$3:$K$5000)*IFERROR(VALUE(INPUT!$K$3:$K$5000),0)*IFERROR(SUMIFS(INPUT!$E$3:$E$5000,INPUT!$A$3:$A$5000,INPUT!$H$3:$H$5000,INPUT!$C$3:$C$5000,INPUT!$I$3:$I$5000),0)),"")</f>
        <v>0</v>
      </c>
      <c r="AY17" s="160" cm="1">
        <f t="array" ref="AY17">IFERROR(SUMPRODUCT((INPUT!$H$3:$H$5000&gt;=AY$3)*(INPUT!$H$3:$H$5000&lt;=AY$3+6)*(INPUT!$J$3:$J$5000="CARLOS")*ISNUMBER(INPUT!$K$3:$K$5000)*IFERROR(VALUE(INPUT!$K$3:$K$5000),0)*IFERROR(SUMIFS(INPUT!$E$3:$E$5000,INPUT!$A$3:$A$5000,INPUT!$H$3:$H$5000,INPUT!$C$3:$C$5000,INPUT!$I$3:$I$5000),0)),"")</f>
        <v>0</v>
      </c>
      <c r="AZ17" s="160" cm="1">
        <f t="array" ref="AZ17">IFERROR(SUMPRODUCT((INPUT!$H$3:$H$5000&gt;=AZ$3)*(INPUT!$H$3:$H$5000&lt;=AZ$3+6)*(INPUT!$J$3:$J$5000="CARLOS")*ISNUMBER(INPUT!$K$3:$K$5000)*IFERROR(VALUE(INPUT!$K$3:$K$5000),0)*IFERROR(SUMIFS(INPUT!$E$3:$E$5000,INPUT!$A$3:$A$5000,INPUT!$H$3:$H$5000,INPUT!$C$3:$C$5000,INPUT!$I$3:$I$5000),0)),"")</f>
        <v>0</v>
      </c>
      <c r="BA17" s="160" cm="1">
        <f t="array" ref="BA17">IFERROR(SUMPRODUCT((INPUT!$H$3:$H$5000&gt;=BA$3)*(INPUT!$H$3:$H$5000&lt;=BA$3+6)*(INPUT!$J$3:$J$5000="CARLOS")*ISNUMBER(INPUT!$K$3:$K$5000)*IFERROR(VALUE(INPUT!$K$3:$K$5000),0)*IFERROR(SUMIFS(INPUT!$E$3:$E$5000,INPUT!$A$3:$A$5000,INPUT!$H$3:$H$5000,INPUT!$C$3:$C$5000,INPUT!$I$3:$I$5000),0)),"")</f>
        <v>0</v>
      </c>
      <c r="BB17" s="161" cm="1">
        <f t="array" ref="BB17">IFERROR(SUMPRODUCT((INPUT!$H$3:$H$5000&gt;=BB$3)*(INPUT!$H$3:$H$5000&lt;=BB$3+6)*(INPUT!$J$3:$J$5000="CARLOS")*ISNUMBER(INPUT!$K$3:$K$5000)*IFERROR(VALUE(INPUT!$K$3:$K$5000),0)*IFERROR(SUMIFS(INPUT!$E$3:$E$5000,INPUT!$A$3:$A$5000,INPUT!$H$3:$H$5000,INPUT!$C$3:$C$5000,INPUT!$I$3:$I$5000),0)),"")</f>
        <v>0</v>
      </c>
    </row>
    <row r="18" spans="1:54" x14ac:dyDescent="0.2">
      <c r="A18" s="154">
        <v>14</v>
      </c>
      <c r="B18" s="81" t="s">
        <v>54</v>
      </c>
      <c r="C18" s="159" cm="1">
        <f t="array" ref="C18">IFERROR(SUMPRODUCT((INPUT!$H$3:$H$5000&gt;=C$3)*(INPUT!$H$3:$H$5000&lt;=C$3+6)*(INPUT!$J$3:$J$5000="GONZALO")*ISNUMBER(INPUT!$K$3:$K$5000)*IFERROR(VALUE(INPUT!$K$3:$K$5000),0)*IFERROR(SUMIFS(INPUT!$E$3:$E$5000,INPUT!$A$3:$A$5000,INPUT!$H$3:$H$5000,INPUT!$C$3:$C$5000,INPUT!$I$3:$I$5000),0)),"")</f>
        <v>4410</v>
      </c>
      <c r="D18" s="159" cm="1">
        <f t="array" ref="D18">IFERROR(SUMPRODUCT((INPUT!$H$3:$H$5000&gt;=D$3)*(INPUT!$H$3:$H$5000&lt;=D$3+6)*(INPUT!$J$3:$J$5000="GONZALO")*ISNUMBER(INPUT!$K$3:$K$5000)*IFERROR(VALUE(INPUT!$K$3:$K$5000),0)*IFERROR(SUMIFS(INPUT!$E$3:$E$5000,INPUT!$A$3:$A$5000,INPUT!$H$3:$H$5000,INPUT!$C$3:$C$5000,INPUT!$I$3:$I$5000),0)),"")</f>
        <v>6535</v>
      </c>
      <c r="E18" s="159" cm="1">
        <f t="array" ref="E18">IFERROR(SUMPRODUCT((INPUT!$H$3:$H$5000&gt;=E$3)*(INPUT!$H$3:$H$5000&lt;=E$3+6)*(INPUT!$J$3:$J$5000="GONZALO")*ISNUMBER(INPUT!$K$3:$K$5000)*IFERROR(VALUE(INPUT!$K$3:$K$5000),0)*IFERROR(SUMIFS(INPUT!$E$3:$E$5000,INPUT!$A$3:$A$5000,INPUT!$H$3:$H$5000,INPUT!$C$3:$C$5000,INPUT!$I$3:$I$5000),0)),"")</f>
        <v>6910</v>
      </c>
      <c r="F18" s="159" cm="1">
        <f t="array" ref="F18">IFERROR(SUMPRODUCT((INPUT!$H$3:$H$5000&gt;=F$3)*(INPUT!$H$3:$H$5000&lt;=F$3+6)*(INPUT!$J$3:$J$5000="GONZALO")*ISNUMBER(INPUT!$K$3:$K$5000)*IFERROR(VALUE(INPUT!$K$3:$K$5000),0)*IFERROR(SUMIFS(INPUT!$E$3:$E$5000,INPUT!$A$3:$A$5000,INPUT!$H$3:$H$5000,INPUT!$C$3:$C$5000,INPUT!$I$3:$I$5000),0)),"")</f>
        <v>5480</v>
      </c>
      <c r="G18" s="159" cm="1">
        <f t="array" ref="G18">IFERROR(SUMPRODUCT((INPUT!$H$3:$H$5000&gt;=G$3)*(INPUT!$H$3:$H$5000&lt;=G$3+6)*(INPUT!$J$3:$J$5000="GONZALO")*ISNUMBER(INPUT!$K$3:$K$5000)*IFERROR(VALUE(INPUT!$K$3:$K$5000),0)*IFERROR(SUMIFS(INPUT!$E$3:$E$5000,INPUT!$A$3:$A$5000,INPUT!$H$3:$H$5000,INPUT!$C$3:$C$5000,INPUT!$I$3:$I$5000),0)),"")</f>
        <v>4860</v>
      </c>
      <c r="H18" s="159" cm="1">
        <f t="array" ref="H18">IFERROR(SUMPRODUCT((INPUT!$H$3:$H$5000&gt;=H$3)*(INPUT!$H$3:$H$5000&lt;=H$3+6)*(INPUT!$J$3:$J$5000="GONZALO")*ISNUMBER(INPUT!$K$3:$K$5000)*IFERROR(VALUE(INPUT!$K$3:$K$5000),0)*IFERROR(SUMIFS(INPUT!$E$3:$E$5000,INPUT!$A$3:$A$5000,INPUT!$H$3:$H$5000,INPUT!$C$3:$C$5000,INPUT!$I$3:$I$5000),0)),"")</f>
        <v>3245</v>
      </c>
      <c r="I18" s="159" cm="1">
        <f t="array" ref="I18">IFERROR(SUMPRODUCT((INPUT!$H$3:$H$5000&gt;=I$3)*(INPUT!$H$3:$H$5000&lt;=I$3+6)*(INPUT!$J$3:$J$5000="GONZALO")*ISNUMBER(INPUT!$K$3:$K$5000)*IFERROR(VALUE(INPUT!$K$3:$K$5000),0)*IFERROR(SUMIFS(INPUT!$E$3:$E$5000,INPUT!$A$3:$A$5000,INPUT!$H$3:$H$5000,INPUT!$C$3:$C$5000,INPUT!$I$3:$I$5000),0)),"")</f>
        <v>1295</v>
      </c>
      <c r="J18" s="159" cm="1">
        <f t="array" ref="J18">IFERROR(SUMPRODUCT((INPUT!$H$3:$H$5000&gt;=J$3)*(INPUT!$H$3:$H$5000&lt;=J$3+6)*(INPUT!$J$3:$J$5000="GONZALO")*ISNUMBER(INPUT!$K$3:$K$5000)*IFERROR(VALUE(INPUT!$K$3:$K$5000),0)*IFERROR(SUMIFS(INPUT!$E$3:$E$5000,INPUT!$A$3:$A$5000,INPUT!$H$3:$H$5000,INPUT!$C$3:$C$5000,INPUT!$I$3:$I$5000),0)),"")</f>
        <v>3810</v>
      </c>
      <c r="K18" s="159" cm="1">
        <f t="array" ref="K18">IFERROR(SUMPRODUCT((INPUT!$H$3:$H$5000&gt;=K$3)*(INPUT!$H$3:$H$5000&lt;=K$3+6)*(INPUT!$J$3:$J$5000="GONZALO")*ISNUMBER(INPUT!$K$3:$K$5000)*IFERROR(VALUE(INPUT!$K$3:$K$5000),0)*IFERROR(SUMIFS(INPUT!$E$3:$E$5000,INPUT!$A$3:$A$5000,INPUT!$H$3:$H$5000,INPUT!$C$3:$C$5000,INPUT!$I$3:$I$5000),0)),"")</f>
        <v>3635</v>
      </c>
      <c r="L18" s="160" cm="1">
        <f t="array" ref="L18">IFERROR(SUMPRODUCT((INPUT!$H$3:$H$5000&gt;=L$3)*(INPUT!$H$3:$H$5000&lt;=L$3+6)*(INPUT!$J$3:$J$5000="GONZALO")*ISNUMBER(INPUT!$K$3:$K$5000)*IFERROR(VALUE(INPUT!$K$3:$K$5000),0)*IFERROR(SUMIFS(INPUT!$E$3:$E$5000,INPUT!$A$3:$A$5000,INPUT!$H$3:$H$5000,INPUT!$C$3:$C$5000,INPUT!$I$3:$I$5000),0)),"")</f>
        <v>2770</v>
      </c>
      <c r="M18" s="160" cm="1">
        <f t="array" ref="M18">IFERROR(SUMPRODUCT((INPUT!$H$3:$H$5000&gt;=M$3)*(INPUT!$H$3:$H$5000&lt;=M$3+6)*(INPUT!$J$3:$J$5000="GONZALO")*ISNUMBER(INPUT!$K$3:$K$5000)*IFERROR(VALUE(INPUT!$K$3:$K$5000),0)*IFERROR(SUMIFS(INPUT!$E$3:$E$5000,INPUT!$A$3:$A$5000,INPUT!$H$3:$H$5000,INPUT!$C$3:$C$5000,INPUT!$I$3:$I$5000),0)),"")</f>
        <v>0</v>
      </c>
      <c r="N18" s="160" cm="1">
        <f t="array" ref="N18">IFERROR(SUMPRODUCT((INPUT!$H$3:$H$5000&gt;=N$3)*(INPUT!$H$3:$H$5000&lt;=N$3+6)*(INPUT!$J$3:$J$5000="GONZALO")*ISNUMBER(INPUT!$K$3:$K$5000)*IFERROR(VALUE(INPUT!$K$3:$K$5000),0)*IFERROR(SUMIFS(INPUT!$E$3:$E$5000,INPUT!$A$3:$A$5000,INPUT!$H$3:$H$5000,INPUT!$C$3:$C$5000,INPUT!$I$3:$I$5000),0)),"")</f>
        <v>3460</v>
      </c>
      <c r="O18" s="160" cm="1">
        <f t="array" ref="O18">IFERROR(SUMPRODUCT((INPUT!$H$3:$H$5000&gt;=O$3)*(INPUT!$H$3:$H$5000&lt;=O$3+6)*(INPUT!$J$3:$J$5000="GONZALO")*ISNUMBER(INPUT!$K$3:$K$5000)*IFERROR(VALUE(INPUT!$K$3:$K$5000),0)*IFERROR(SUMIFS(INPUT!$E$3:$E$5000,INPUT!$A$3:$A$5000,INPUT!$H$3:$H$5000,INPUT!$C$3:$C$5000,INPUT!$I$3:$I$5000),0)),"")</f>
        <v>0</v>
      </c>
      <c r="P18" s="160" cm="1">
        <f t="array" ref="P18">IFERROR(SUMPRODUCT((INPUT!$H$3:$H$5000&gt;=P$3)*(INPUT!$H$3:$H$5000&lt;=P$3+6)*(INPUT!$J$3:$J$5000="GONZALO")*ISNUMBER(INPUT!$K$3:$K$5000)*IFERROR(VALUE(INPUT!$K$3:$K$5000),0)*IFERROR(SUMIFS(INPUT!$E$3:$E$5000,INPUT!$A$3:$A$5000,INPUT!$H$3:$H$5000,INPUT!$C$3:$C$5000,INPUT!$I$3:$I$5000),0)),"")</f>
        <v>0</v>
      </c>
      <c r="Q18" s="160" cm="1">
        <f t="array" ref="Q18">IFERROR(SUMPRODUCT((INPUT!$H$3:$H$5000&gt;=Q$3)*(INPUT!$H$3:$H$5000&lt;=Q$3+6)*(INPUT!$J$3:$J$5000="GONZALO")*ISNUMBER(INPUT!$K$3:$K$5000)*IFERROR(VALUE(INPUT!$K$3:$K$5000),0)*IFERROR(SUMIFS(INPUT!$E$3:$E$5000,INPUT!$A$3:$A$5000,INPUT!$H$3:$H$5000,INPUT!$C$3:$C$5000,INPUT!$I$3:$I$5000),0)),"")</f>
        <v>0</v>
      </c>
      <c r="R18" s="160" cm="1">
        <f t="array" ref="R18">IFERROR(SUMPRODUCT((INPUT!$H$3:$H$5000&gt;=R$3)*(INPUT!$H$3:$H$5000&lt;=R$3+6)*(INPUT!$J$3:$J$5000="GONZALO")*ISNUMBER(INPUT!$K$3:$K$5000)*IFERROR(VALUE(INPUT!$K$3:$K$5000),0)*IFERROR(SUMIFS(INPUT!$E$3:$E$5000,INPUT!$A$3:$A$5000,INPUT!$H$3:$H$5000,INPUT!$C$3:$C$5000,INPUT!$I$3:$I$5000),0)),"")</f>
        <v>270</v>
      </c>
      <c r="S18" s="160" cm="1">
        <f t="array" ref="S18">IFERROR(SUMPRODUCT((INPUT!$H$3:$H$5000&gt;=S$3)*(INPUT!$H$3:$H$5000&lt;=S$3+6)*(INPUT!$J$3:$J$5000="GONZALO")*ISNUMBER(INPUT!$K$3:$K$5000)*IFERROR(VALUE(INPUT!$K$3:$K$5000),0)*IFERROR(SUMIFS(INPUT!$E$3:$E$5000,INPUT!$A$3:$A$5000,INPUT!$H$3:$H$5000,INPUT!$C$3:$C$5000,INPUT!$I$3:$I$5000),0)),"")</f>
        <v>0</v>
      </c>
      <c r="T18" s="160" cm="1">
        <f t="array" ref="T18">IFERROR(SUMPRODUCT((INPUT!$H$3:$H$5000&gt;=T$3)*(INPUT!$H$3:$H$5000&lt;=T$3+6)*(INPUT!$J$3:$J$5000="GONZALO")*ISNUMBER(INPUT!$K$3:$K$5000)*IFERROR(VALUE(INPUT!$K$3:$K$5000),0)*IFERROR(SUMIFS(INPUT!$E$3:$E$5000,INPUT!$A$3:$A$5000,INPUT!$H$3:$H$5000,INPUT!$C$3:$C$5000,INPUT!$I$3:$I$5000),0)),"")</f>
        <v>0</v>
      </c>
      <c r="U18" s="160" cm="1">
        <f t="array" ref="U18">IFERROR(SUMPRODUCT((INPUT!$H$3:$H$5000&gt;=U$3)*(INPUT!$H$3:$H$5000&lt;=U$3+6)*(INPUT!$J$3:$J$5000="GONZALO")*ISNUMBER(INPUT!$K$3:$K$5000)*IFERROR(VALUE(INPUT!$K$3:$K$5000),0)*IFERROR(SUMIFS(INPUT!$E$3:$E$5000,INPUT!$A$3:$A$5000,INPUT!$H$3:$H$5000,INPUT!$C$3:$C$5000,INPUT!$I$3:$I$5000),0)),"")</f>
        <v>0</v>
      </c>
      <c r="V18" s="160" cm="1">
        <f t="array" ref="V18">IFERROR(SUMPRODUCT((INPUT!$H$3:$H$5000&gt;=V$3)*(INPUT!$H$3:$H$5000&lt;=V$3+6)*(INPUT!$J$3:$J$5000="GONZALO")*ISNUMBER(INPUT!$K$3:$K$5000)*IFERROR(VALUE(INPUT!$K$3:$K$5000),0)*IFERROR(SUMIFS(INPUT!$E$3:$E$5000,INPUT!$A$3:$A$5000,INPUT!$H$3:$H$5000,INPUT!$C$3:$C$5000,INPUT!$I$3:$I$5000),0)),"")</f>
        <v>0</v>
      </c>
      <c r="W18" s="160" cm="1">
        <f t="array" ref="W18">IFERROR(SUMPRODUCT((INPUT!$H$3:$H$5000&gt;=W$3)*(INPUT!$H$3:$H$5000&lt;=W$3+6)*(INPUT!$J$3:$J$5000="GONZALO")*ISNUMBER(INPUT!$K$3:$K$5000)*IFERROR(VALUE(INPUT!$K$3:$K$5000),0)*IFERROR(SUMIFS(INPUT!$E$3:$E$5000,INPUT!$A$3:$A$5000,INPUT!$H$3:$H$5000,INPUT!$C$3:$C$5000,INPUT!$I$3:$I$5000),0)),"")</f>
        <v>1370</v>
      </c>
      <c r="X18" s="160" cm="1">
        <f t="array" ref="X18">IFERROR(SUMPRODUCT((INPUT!$H$3:$H$5000&gt;=X$3)*(INPUT!$H$3:$H$5000&lt;=X$3+6)*(INPUT!$J$3:$J$5000="GONZALO")*ISNUMBER(INPUT!$K$3:$K$5000)*IFERROR(VALUE(INPUT!$K$3:$K$5000),0)*IFERROR(SUMIFS(INPUT!$E$3:$E$5000,INPUT!$A$3:$A$5000,INPUT!$H$3:$H$5000,INPUT!$C$3:$C$5000,INPUT!$I$3:$I$5000),0)),"")</f>
        <v>1620</v>
      </c>
      <c r="Y18" s="160" cm="1">
        <f t="array" ref="Y18">IFERROR(SUMPRODUCT((INPUT!$H$3:$H$5000&gt;=Y$3)*(INPUT!$H$3:$H$5000&lt;=Y$3+6)*(INPUT!$J$3:$J$5000="GONZALO")*ISNUMBER(INPUT!$K$3:$K$5000)*IFERROR(VALUE(INPUT!$K$3:$K$5000),0)*IFERROR(SUMIFS(INPUT!$E$3:$E$5000,INPUT!$A$3:$A$5000,INPUT!$H$3:$H$5000,INPUT!$C$3:$C$5000,INPUT!$I$3:$I$5000),0)),"")</f>
        <v>0</v>
      </c>
      <c r="Z18" s="160" cm="1">
        <f t="array" ref="Z18">IFERROR(SUMPRODUCT((INPUT!$H$3:$H$5000&gt;=Z$3)*(INPUT!$H$3:$H$5000&lt;=Z$3+6)*(INPUT!$J$3:$J$5000="GONZALO")*ISNUMBER(INPUT!$K$3:$K$5000)*IFERROR(VALUE(INPUT!$K$3:$K$5000),0)*IFERROR(SUMIFS(INPUT!$E$3:$E$5000,INPUT!$A$3:$A$5000,INPUT!$H$3:$H$5000,INPUT!$C$3:$C$5000,INPUT!$I$3:$I$5000),0)),"")</f>
        <v>0</v>
      </c>
      <c r="AA18" s="160" cm="1">
        <f t="array" ref="AA18">IFERROR(SUMPRODUCT((INPUT!$H$3:$H$5000&gt;=AA$3)*(INPUT!$H$3:$H$5000&lt;=AA$3+6)*(INPUT!$J$3:$J$5000="GONZALO")*ISNUMBER(INPUT!$K$3:$K$5000)*IFERROR(VALUE(INPUT!$K$3:$K$5000),0)*IFERROR(SUMIFS(INPUT!$E$3:$E$5000,INPUT!$A$3:$A$5000,INPUT!$H$3:$H$5000,INPUT!$C$3:$C$5000,INPUT!$I$3:$I$5000),0)),"")</f>
        <v>0</v>
      </c>
      <c r="AB18" s="160" cm="1">
        <f t="array" ref="AB18">IFERROR(SUMPRODUCT((INPUT!$H$3:$H$5000&gt;=AB$3)*(INPUT!$H$3:$H$5000&lt;=AB$3+6)*(INPUT!$J$3:$J$5000="GONZALO")*ISNUMBER(INPUT!$K$3:$K$5000)*IFERROR(VALUE(INPUT!$K$3:$K$5000),0)*IFERROR(SUMIFS(INPUT!$E$3:$E$5000,INPUT!$A$3:$A$5000,INPUT!$H$3:$H$5000,INPUT!$C$3:$C$5000,INPUT!$I$3:$I$5000),0)),"")</f>
        <v>3780</v>
      </c>
      <c r="AC18" s="160" cm="1">
        <f t="array" ref="AC18">IFERROR(SUMPRODUCT((INPUT!$H$3:$H$5000&gt;=AC$3)*(INPUT!$H$3:$H$5000&lt;=AC$3+6)*(INPUT!$J$3:$J$5000="GONZALO")*ISNUMBER(INPUT!$K$3:$K$5000)*IFERROR(VALUE(INPUT!$K$3:$K$5000),0)*IFERROR(SUMIFS(INPUT!$E$3:$E$5000,INPUT!$A$3:$A$5000,INPUT!$H$3:$H$5000,INPUT!$C$3:$C$5000,INPUT!$I$3:$I$5000),0)),"")</f>
        <v>2400</v>
      </c>
      <c r="AD18" s="160" cm="1">
        <f t="array" ref="AD18">IFERROR(SUMPRODUCT((INPUT!$H$3:$H$5000&gt;=AD$3)*(INPUT!$H$3:$H$5000&lt;=AD$3+6)*(INPUT!$J$3:$J$5000="GONZALO")*ISNUMBER(INPUT!$K$3:$K$5000)*IFERROR(VALUE(INPUT!$K$3:$K$5000),0)*IFERROR(SUMIFS(INPUT!$E$3:$E$5000,INPUT!$A$3:$A$5000,INPUT!$H$3:$H$5000,INPUT!$C$3:$C$5000,INPUT!$I$3:$I$5000),0)),"")</f>
        <v>4460</v>
      </c>
      <c r="AE18" s="160" cm="1">
        <f t="array" ref="AE18">IFERROR(SUMPRODUCT((INPUT!$H$3:$H$5000&gt;=AE$3)*(INPUT!$H$3:$H$5000&lt;=AE$3+6)*(INPUT!$J$3:$J$5000="GONZALO")*ISNUMBER(INPUT!$K$3:$K$5000)*IFERROR(VALUE(INPUT!$K$3:$K$5000),0)*IFERROR(SUMIFS(INPUT!$E$3:$E$5000,INPUT!$A$3:$A$5000,INPUT!$H$3:$H$5000,INPUT!$C$3:$C$5000,INPUT!$I$3:$I$5000),0)),"")</f>
        <v>1185</v>
      </c>
      <c r="AF18" s="160" cm="1">
        <f t="array" ref="AF18">IFERROR(SUMPRODUCT((INPUT!$H$3:$H$5000&gt;=AF$3)*(INPUT!$H$3:$H$5000&lt;=AF$3+6)*(INPUT!$J$3:$J$5000="GONZALO")*ISNUMBER(INPUT!$K$3:$K$5000)*IFERROR(VALUE(INPUT!$K$3:$K$5000),0)*IFERROR(SUMIFS(INPUT!$E$3:$E$5000,INPUT!$A$3:$A$5000,INPUT!$H$3:$H$5000,INPUT!$C$3:$C$5000,INPUT!$I$3:$I$5000),0)),"")</f>
        <v>700</v>
      </c>
      <c r="AG18" s="160" cm="1">
        <f t="array" ref="AG18">IFERROR(SUMPRODUCT((INPUT!$H$3:$H$5000&gt;=AG$3)*(INPUT!$H$3:$H$5000&lt;=AG$3+6)*(INPUT!$J$3:$J$5000="GONZALO")*ISNUMBER(INPUT!$K$3:$K$5000)*IFERROR(VALUE(INPUT!$K$3:$K$5000),0)*IFERROR(SUMIFS(INPUT!$E$3:$E$5000,INPUT!$A$3:$A$5000,INPUT!$H$3:$H$5000,INPUT!$C$3:$C$5000,INPUT!$I$3:$I$5000),0)),"")</f>
        <v>0</v>
      </c>
      <c r="AH18" s="160" cm="1">
        <f t="array" ref="AH18">IFERROR(SUMPRODUCT((INPUT!$H$3:$H$5000&gt;=AH$3)*(INPUT!$H$3:$H$5000&lt;=AH$3+6)*(INPUT!$J$3:$J$5000="GONZALO")*ISNUMBER(INPUT!$K$3:$K$5000)*IFERROR(VALUE(INPUT!$K$3:$K$5000),0)*IFERROR(SUMIFS(INPUT!$E$3:$E$5000,INPUT!$A$3:$A$5000,INPUT!$H$3:$H$5000,INPUT!$C$3:$C$5000,INPUT!$I$3:$I$5000),0)),"")</f>
        <v>0</v>
      </c>
      <c r="AI18" s="160" cm="1">
        <f t="array" ref="AI18">IFERROR(SUMPRODUCT((INPUT!$H$3:$H$5000&gt;=AI$3)*(INPUT!$H$3:$H$5000&lt;=AI$3+6)*(INPUT!$J$3:$J$5000="GONZALO")*ISNUMBER(INPUT!$K$3:$K$5000)*IFERROR(VALUE(INPUT!$K$3:$K$5000),0)*IFERROR(SUMIFS(INPUT!$E$3:$E$5000,INPUT!$A$3:$A$5000,INPUT!$H$3:$H$5000,INPUT!$C$3:$C$5000,INPUT!$I$3:$I$5000),0)),"")</f>
        <v>0</v>
      </c>
      <c r="AJ18" s="160" cm="1">
        <f t="array" ref="AJ18">IFERROR(SUMPRODUCT((INPUT!$H$3:$H$5000&gt;=AJ$3)*(INPUT!$H$3:$H$5000&lt;=AJ$3+6)*(INPUT!$J$3:$J$5000="GONZALO")*ISNUMBER(INPUT!$K$3:$K$5000)*IFERROR(VALUE(INPUT!$K$3:$K$5000),0)*IFERROR(SUMIFS(INPUT!$E$3:$E$5000,INPUT!$A$3:$A$5000,INPUT!$H$3:$H$5000,INPUT!$C$3:$C$5000,INPUT!$I$3:$I$5000),0)),"")</f>
        <v>0</v>
      </c>
      <c r="AK18" s="160" cm="1">
        <f t="array" ref="AK18">IFERROR(SUMPRODUCT((INPUT!$H$3:$H$5000&gt;=AK$3)*(INPUT!$H$3:$H$5000&lt;=AK$3+6)*(INPUT!$J$3:$J$5000="GONZALO")*ISNUMBER(INPUT!$K$3:$K$5000)*IFERROR(VALUE(INPUT!$K$3:$K$5000),0)*IFERROR(SUMIFS(INPUT!$E$3:$E$5000,INPUT!$A$3:$A$5000,INPUT!$H$3:$H$5000,INPUT!$C$3:$C$5000,INPUT!$I$3:$I$5000),0)),"")</f>
        <v>0</v>
      </c>
      <c r="AL18" s="160" cm="1">
        <f t="array" ref="AL18">IFERROR(SUMPRODUCT((INPUT!$H$3:$H$5000&gt;=AL$3)*(INPUT!$H$3:$H$5000&lt;=AL$3+6)*(INPUT!$J$3:$J$5000="GONZALO")*ISNUMBER(INPUT!$K$3:$K$5000)*IFERROR(VALUE(INPUT!$K$3:$K$5000),0)*IFERROR(SUMIFS(INPUT!$E$3:$E$5000,INPUT!$A$3:$A$5000,INPUT!$H$3:$H$5000,INPUT!$C$3:$C$5000,INPUT!$I$3:$I$5000),0)),"")</f>
        <v>4105</v>
      </c>
      <c r="AM18" s="160" cm="1">
        <f t="array" ref="AM18">IFERROR(SUMPRODUCT((INPUT!$H$3:$H$5000&gt;=AM$3)*(INPUT!$H$3:$H$5000&lt;=AM$3+6)*(INPUT!$J$3:$J$5000="GONZALO")*ISNUMBER(INPUT!$K$3:$K$5000)*IFERROR(VALUE(INPUT!$K$3:$K$5000),0)*IFERROR(SUMIFS(INPUT!$E$3:$E$5000,INPUT!$A$3:$A$5000,INPUT!$H$3:$H$5000,INPUT!$C$3:$C$5000,INPUT!$I$3:$I$5000),0)),"")</f>
        <v>3740</v>
      </c>
      <c r="AN18" s="160" cm="1">
        <f t="array" ref="AN18">IFERROR(SUMPRODUCT((INPUT!$H$3:$H$5000&gt;=AN$3)*(INPUT!$H$3:$H$5000&lt;=AN$3+6)*(INPUT!$J$3:$J$5000="GONZALO")*ISNUMBER(INPUT!$K$3:$K$5000)*IFERROR(VALUE(INPUT!$K$3:$K$5000),0)*IFERROR(SUMIFS(INPUT!$E$3:$E$5000,INPUT!$A$3:$A$5000,INPUT!$H$3:$H$5000,INPUT!$C$3:$C$5000,INPUT!$I$3:$I$5000),0)),"")</f>
        <v>1515</v>
      </c>
      <c r="AO18" s="160" cm="1">
        <f t="array" ref="AO18">IFERROR(SUMPRODUCT((INPUT!$H$3:$H$5000&gt;=AO$3)*(INPUT!$H$3:$H$5000&lt;=AO$3+6)*(INPUT!$J$3:$J$5000="GONZALO")*ISNUMBER(INPUT!$K$3:$K$5000)*IFERROR(VALUE(INPUT!$K$3:$K$5000),0)*IFERROR(SUMIFS(INPUT!$E$3:$E$5000,INPUT!$A$3:$A$5000,INPUT!$H$3:$H$5000,INPUT!$C$3:$C$5000,INPUT!$I$3:$I$5000),0)),"")</f>
        <v>0</v>
      </c>
      <c r="AP18" s="160" cm="1">
        <f t="array" ref="AP18">IFERROR(SUMPRODUCT((INPUT!$H$3:$H$5000&gt;=AP$3)*(INPUT!$H$3:$H$5000&lt;=AP$3+6)*(INPUT!$J$3:$J$5000="GONZALO")*ISNUMBER(INPUT!$K$3:$K$5000)*IFERROR(VALUE(INPUT!$K$3:$K$5000),0)*IFERROR(SUMIFS(INPUT!$E$3:$E$5000,INPUT!$A$3:$A$5000,INPUT!$H$3:$H$5000,INPUT!$C$3:$C$5000,INPUT!$I$3:$I$5000),0)),"")</f>
        <v>0</v>
      </c>
      <c r="AQ18" s="160" cm="1">
        <f t="array" ref="AQ18">IFERROR(SUMPRODUCT((INPUT!$H$3:$H$5000&gt;=AQ$3)*(INPUT!$H$3:$H$5000&lt;=AQ$3+6)*(INPUT!$J$3:$J$5000="GONZALO")*ISNUMBER(INPUT!$K$3:$K$5000)*IFERROR(VALUE(INPUT!$K$3:$K$5000),0)*IFERROR(SUMIFS(INPUT!$E$3:$E$5000,INPUT!$A$3:$A$5000,INPUT!$H$3:$H$5000,INPUT!$C$3:$C$5000,INPUT!$I$3:$I$5000),0)),"")</f>
        <v>0</v>
      </c>
      <c r="AR18" s="160" cm="1">
        <f t="array" ref="AR18">IFERROR(SUMPRODUCT((INPUT!$H$3:$H$5000&gt;=AR$3)*(INPUT!$H$3:$H$5000&lt;=AR$3+6)*(INPUT!$J$3:$J$5000="GONZALO")*ISNUMBER(INPUT!$K$3:$K$5000)*IFERROR(VALUE(INPUT!$K$3:$K$5000),0)*IFERROR(SUMIFS(INPUT!$E$3:$E$5000,INPUT!$A$3:$A$5000,INPUT!$H$3:$H$5000,INPUT!$C$3:$C$5000,INPUT!$I$3:$I$5000),0)),"")</f>
        <v>0</v>
      </c>
      <c r="AS18" s="160" cm="1">
        <f t="array" ref="AS18">IFERROR(SUMPRODUCT((INPUT!$H$3:$H$5000&gt;=AS$3)*(INPUT!$H$3:$H$5000&lt;=AS$3+6)*(INPUT!$J$3:$J$5000="GONZALO")*ISNUMBER(INPUT!$K$3:$K$5000)*IFERROR(VALUE(INPUT!$K$3:$K$5000),0)*IFERROR(SUMIFS(INPUT!$E$3:$E$5000,INPUT!$A$3:$A$5000,INPUT!$H$3:$H$5000,INPUT!$C$3:$C$5000,INPUT!$I$3:$I$5000),0)),"")</f>
        <v>0</v>
      </c>
      <c r="AT18" s="160" cm="1">
        <f t="array" ref="AT18">IFERROR(SUMPRODUCT((INPUT!$H$3:$H$5000&gt;=AT$3)*(INPUT!$H$3:$H$5000&lt;=AT$3+6)*(INPUT!$J$3:$J$5000="GONZALO")*ISNUMBER(INPUT!$K$3:$K$5000)*IFERROR(VALUE(INPUT!$K$3:$K$5000),0)*IFERROR(SUMIFS(INPUT!$E$3:$E$5000,INPUT!$A$3:$A$5000,INPUT!$H$3:$H$5000,INPUT!$C$3:$C$5000,INPUT!$I$3:$I$5000),0)),"")</f>
        <v>0</v>
      </c>
      <c r="AU18" s="160" cm="1">
        <f t="array" ref="AU18">IFERROR(SUMPRODUCT((INPUT!$H$3:$H$5000&gt;=AU$3)*(INPUT!$H$3:$H$5000&lt;=AU$3+6)*(INPUT!$J$3:$J$5000="GONZALO")*ISNUMBER(INPUT!$K$3:$K$5000)*IFERROR(VALUE(INPUT!$K$3:$K$5000),0)*IFERROR(SUMIFS(INPUT!$E$3:$E$5000,INPUT!$A$3:$A$5000,INPUT!$H$3:$H$5000,INPUT!$C$3:$C$5000,INPUT!$I$3:$I$5000),0)),"")</f>
        <v>0</v>
      </c>
      <c r="AV18" s="160" cm="1">
        <f t="array" ref="AV18">IFERROR(SUMPRODUCT((INPUT!$H$3:$H$5000&gt;=AV$3)*(INPUT!$H$3:$H$5000&lt;=AV$3+6)*(INPUT!$J$3:$J$5000="GONZALO")*ISNUMBER(INPUT!$K$3:$K$5000)*IFERROR(VALUE(INPUT!$K$3:$K$5000),0)*IFERROR(SUMIFS(INPUT!$E$3:$E$5000,INPUT!$A$3:$A$5000,INPUT!$H$3:$H$5000,INPUT!$C$3:$C$5000,INPUT!$I$3:$I$5000),0)),"")</f>
        <v>0</v>
      </c>
      <c r="AW18" s="160" cm="1">
        <f t="array" ref="AW18">IFERROR(SUMPRODUCT((INPUT!$H$3:$H$5000&gt;=AW$3)*(INPUT!$H$3:$H$5000&lt;=AW$3+6)*(INPUT!$J$3:$J$5000="GONZALO")*ISNUMBER(INPUT!$K$3:$K$5000)*IFERROR(VALUE(INPUT!$K$3:$K$5000),0)*IFERROR(SUMIFS(INPUT!$E$3:$E$5000,INPUT!$A$3:$A$5000,INPUT!$H$3:$H$5000,INPUT!$C$3:$C$5000,INPUT!$I$3:$I$5000),0)),"")</f>
        <v>0</v>
      </c>
      <c r="AX18" s="160" cm="1">
        <f t="array" ref="AX18">IFERROR(SUMPRODUCT((INPUT!$H$3:$H$5000&gt;=AX$3)*(INPUT!$H$3:$H$5000&lt;=AX$3+6)*(INPUT!$J$3:$J$5000="GONZALO")*ISNUMBER(INPUT!$K$3:$K$5000)*IFERROR(VALUE(INPUT!$K$3:$K$5000),0)*IFERROR(SUMIFS(INPUT!$E$3:$E$5000,INPUT!$A$3:$A$5000,INPUT!$H$3:$H$5000,INPUT!$C$3:$C$5000,INPUT!$I$3:$I$5000),0)),"")</f>
        <v>0</v>
      </c>
      <c r="AY18" s="160" cm="1">
        <f t="array" ref="AY18">IFERROR(SUMPRODUCT((INPUT!$H$3:$H$5000&gt;=AY$3)*(INPUT!$H$3:$H$5000&lt;=AY$3+6)*(INPUT!$J$3:$J$5000="GONZALO")*ISNUMBER(INPUT!$K$3:$K$5000)*IFERROR(VALUE(INPUT!$K$3:$K$5000),0)*IFERROR(SUMIFS(INPUT!$E$3:$E$5000,INPUT!$A$3:$A$5000,INPUT!$H$3:$H$5000,INPUT!$C$3:$C$5000,INPUT!$I$3:$I$5000),0)),"")</f>
        <v>0</v>
      </c>
      <c r="AZ18" s="160" cm="1">
        <f t="array" ref="AZ18">IFERROR(SUMPRODUCT((INPUT!$H$3:$H$5000&gt;=AZ$3)*(INPUT!$H$3:$H$5000&lt;=AZ$3+6)*(INPUT!$J$3:$J$5000="GONZALO")*ISNUMBER(INPUT!$K$3:$K$5000)*IFERROR(VALUE(INPUT!$K$3:$K$5000),0)*IFERROR(SUMIFS(INPUT!$E$3:$E$5000,INPUT!$A$3:$A$5000,INPUT!$H$3:$H$5000,INPUT!$C$3:$C$5000,INPUT!$I$3:$I$5000),0)),"")</f>
        <v>0</v>
      </c>
      <c r="BA18" s="160" cm="1">
        <f t="array" ref="BA18">IFERROR(SUMPRODUCT((INPUT!$H$3:$H$5000&gt;=BA$3)*(INPUT!$H$3:$H$5000&lt;=BA$3+6)*(INPUT!$J$3:$J$5000="GONZALO")*ISNUMBER(INPUT!$K$3:$K$5000)*IFERROR(VALUE(INPUT!$K$3:$K$5000),0)*IFERROR(SUMIFS(INPUT!$E$3:$E$5000,INPUT!$A$3:$A$5000,INPUT!$H$3:$H$5000,INPUT!$C$3:$C$5000,INPUT!$I$3:$I$5000),0)),"")</f>
        <v>0</v>
      </c>
      <c r="BB18" s="161" cm="1">
        <f t="array" ref="BB18">IFERROR(SUMPRODUCT((INPUT!$H$3:$H$5000&gt;=BB$3)*(INPUT!$H$3:$H$5000&lt;=BB$3+6)*(INPUT!$J$3:$J$5000="GONZALO")*ISNUMBER(INPUT!$K$3:$K$5000)*IFERROR(VALUE(INPUT!$K$3:$K$5000),0)*IFERROR(SUMIFS(INPUT!$E$3:$E$5000,INPUT!$A$3:$A$5000,INPUT!$H$3:$H$5000,INPUT!$C$3:$C$5000,INPUT!$I$3:$I$5000),0)),"")</f>
        <v>0</v>
      </c>
    </row>
    <row r="19" spans="1:54" x14ac:dyDescent="0.2">
      <c r="A19" s="56">
        <v>15</v>
      </c>
      <c r="B19" s="9" t="s">
        <v>55</v>
      </c>
      <c r="C19" s="160" cm="1">
        <f t="array" ref="C19">IFERROR(SUMPRODUCT((INPUT!$H$3:$H$5000&gt;=C$3)*(INPUT!$H$3:$H$5000&lt;=C$3+6)*(INPUT!$J$3:$J$5000="SEGO")*ISNUMBER(INPUT!$K$3:$K$5000)*IFERROR(VALUE(INPUT!$K$3:$K$5000),0)*IFERROR(SUMIFS(INPUT!$E$3:$E$5000,INPUT!$A$3:$A$5000,INPUT!$H$3:$H$5000,INPUT!$C$3:$C$5000,INPUT!$I$3:$I$5000),0)),"")</f>
        <v>0</v>
      </c>
      <c r="D19" s="160" cm="1">
        <f t="array" ref="D19">IFERROR(SUMPRODUCT((INPUT!$H$3:$H$5000&gt;=D$3)*(INPUT!$H$3:$H$5000&lt;=D$3+6)*(INPUT!$J$3:$J$5000="SEGO")*ISNUMBER(INPUT!$K$3:$K$5000)*IFERROR(VALUE(INPUT!$K$3:$K$5000),0)*IFERROR(SUMIFS(INPUT!$E$3:$E$5000,INPUT!$A$3:$A$5000,INPUT!$H$3:$H$5000,INPUT!$C$3:$C$5000,INPUT!$I$3:$I$5000),0)),"")</f>
        <v>0</v>
      </c>
      <c r="E19" s="160" cm="1">
        <f t="array" ref="E19">IFERROR(SUMPRODUCT((INPUT!$H$3:$H$5000&gt;=E$3)*(INPUT!$H$3:$H$5000&lt;=E$3+6)*(INPUT!$J$3:$J$5000="SEGO")*ISNUMBER(INPUT!$K$3:$K$5000)*IFERROR(VALUE(INPUT!$K$3:$K$5000),0)*IFERROR(SUMIFS(INPUT!$E$3:$E$5000,INPUT!$A$3:$A$5000,INPUT!$H$3:$H$5000,INPUT!$C$3:$C$5000,INPUT!$I$3:$I$5000),0)),"")</f>
        <v>0</v>
      </c>
      <c r="F19" s="160" cm="1">
        <f t="array" ref="F19">IFERROR(SUMPRODUCT((INPUT!$H$3:$H$5000&gt;=F$3)*(INPUT!$H$3:$H$5000&lt;=F$3+6)*(INPUT!$J$3:$J$5000="SEGO")*ISNUMBER(INPUT!$K$3:$K$5000)*IFERROR(VALUE(INPUT!$K$3:$K$5000),0)*IFERROR(SUMIFS(INPUT!$E$3:$E$5000,INPUT!$A$3:$A$5000,INPUT!$H$3:$H$5000,INPUT!$C$3:$C$5000,INPUT!$I$3:$I$5000),0)),"")</f>
        <v>0</v>
      </c>
      <c r="G19" s="160" cm="1">
        <f t="array" ref="G19">IFERROR(SUMPRODUCT((INPUT!$H$3:$H$5000&gt;=G$3)*(INPUT!$H$3:$H$5000&lt;=G$3+6)*(INPUT!$J$3:$J$5000="SEGO")*ISNUMBER(INPUT!$K$3:$K$5000)*IFERROR(VALUE(INPUT!$K$3:$K$5000),0)*IFERROR(SUMIFS(INPUT!$E$3:$E$5000,INPUT!$A$3:$A$5000,INPUT!$H$3:$H$5000,INPUT!$C$3:$C$5000,INPUT!$I$3:$I$5000),0)),"")</f>
        <v>0</v>
      </c>
      <c r="H19" s="160" cm="1">
        <f t="array" ref="H19">IFERROR(SUMPRODUCT((INPUT!$H$3:$H$5000&gt;=H$3)*(INPUT!$H$3:$H$5000&lt;=H$3+6)*(INPUT!$J$3:$J$5000="SEGO")*ISNUMBER(INPUT!$K$3:$K$5000)*IFERROR(VALUE(INPUT!$K$3:$K$5000),0)*IFERROR(SUMIFS(INPUT!$E$3:$E$5000,INPUT!$A$3:$A$5000,INPUT!$H$3:$H$5000,INPUT!$C$3:$C$5000,INPUT!$I$3:$I$5000),0)),"")</f>
        <v>0</v>
      </c>
      <c r="I19" s="160" cm="1">
        <f t="array" ref="I19">IFERROR(SUMPRODUCT((INPUT!$H$3:$H$5000&gt;=I$3)*(INPUT!$H$3:$H$5000&lt;=I$3+6)*(INPUT!$J$3:$J$5000="SEGO")*ISNUMBER(INPUT!$K$3:$K$5000)*IFERROR(VALUE(INPUT!$K$3:$K$5000),0)*IFERROR(SUMIFS(INPUT!$E$3:$E$5000,INPUT!$A$3:$A$5000,INPUT!$H$3:$H$5000,INPUT!$C$3:$C$5000,INPUT!$I$3:$I$5000),0)),"")</f>
        <v>0</v>
      </c>
      <c r="J19" s="160" cm="1">
        <f t="array" ref="J19">IFERROR(SUMPRODUCT((INPUT!$H$3:$H$5000&gt;=J$3)*(INPUT!$H$3:$H$5000&lt;=J$3+6)*(INPUT!$J$3:$J$5000="SEGO")*ISNUMBER(INPUT!$K$3:$K$5000)*IFERROR(VALUE(INPUT!$K$3:$K$5000),0)*IFERROR(SUMIFS(INPUT!$E$3:$E$5000,INPUT!$A$3:$A$5000,INPUT!$H$3:$H$5000,INPUT!$C$3:$C$5000,INPUT!$I$3:$I$5000),0)),"")</f>
        <v>800</v>
      </c>
      <c r="K19" s="160" cm="1">
        <f t="array" ref="K19">IFERROR(SUMPRODUCT((INPUT!$H$3:$H$5000&gt;=K$3)*(INPUT!$H$3:$H$5000&lt;=K$3+6)*(INPUT!$J$3:$J$5000="SEGO")*ISNUMBER(INPUT!$K$3:$K$5000)*IFERROR(VALUE(INPUT!$K$3:$K$5000),0)*IFERROR(SUMIFS(INPUT!$E$3:$E$5000,INPUT!$A$3:$A$5000,INPUT!$H$3:$H$5000,INPUT!$C$3:$C$5000,INPUT!$I$3:$I$5000),0)),"")</f>
        <v>0</v>
      </c>
      <c r="L19" s="160" cm="1">
        <f t="array" ref="L19">IFERROR(SUMPRODUCT((INPUT!$H$3:$H$5000&gt;=L$3)*(INPUT!$H$3:$H$5000&lt;=L$3+6)*(INPUT!$J$3:$J$5000="SEGO")*ISNUMBER(INPUT!$K$3:$K$5000)*IFERROR(VALUE(INPUT!$K$3:$K$5000),0)*IFERROR(SUMIFS(INPUT!$E$3:$E$5000,INPUT!$A$3:$A$5000,INPUT!$H$3:$H$5000,INPUT!$C$3:$C$5000,INPUT!$I$3:$I$5000),0)),"")</f>
        <v>0</v>
      </c>
      <c r="M19" s="160" cm="1">
        <f t="array" ref="M19">IFERROR(SUMPRODUCT((INPUT!$H$3:$H$5000&gt;=M$3)*(INPUT!$H$3:$H$5000&lt;=M$3+6)*(INPUT!$J$3:$J$5000="SEGO")*ISNUMBER(INPUT!$K$3:$K$5000)*IFERROR(VALUE(INPUT!$K$3:$K$5000),0)*IFERROR(SUMIFS(INPUT!$E$3:$E$5000,INPUT!$A$3:$A$5000,INPUT!$H$3:$H$5000,INPUT!$C$3:$C$5000,INPUT!$I$3:$I$5000),0)),"")</f>
        <v>0</v>
      </c>
      <c r="N19" s="160" cm="1">
        <f t="array" ref="N19">IFERROR(SUMPRODUCT((INPUT!$H$3:$H$5000&gt;=N$3)*(INPUT!$H$3:$H$5000&lt;=N$3+6)*(INPUT!$J$3:$J$5000="SEGO")*ISNUMBER(INPUT!$K$3:$K$5000)*IFERROR(VALUE(INPUT!$K$3:$K$5000),0)*IFERROR(SUMIFS(INPUT!$E$3:$E$5000,INPUT!$A$3:$A$5000,INPUT!$H$3:$H$5000,INPUT!$C$3:$C$5000,INPUT!$I$3:$I$5000),0)),"")</f>
        <v>3420</v>
      </c>
      <c r="O19" s="160" cm="1">
        <f t="array" ref="O19">IFERROR(SUMPRODUCT((INPUT!$H$3:$H$5000&gt;=O$3)*(INPUT!$H$3:$H$5000&lt;=O$3+6)*(INPUT!$J$3:$J$5000="SEGO")*ISNUMBER(INPUT!$K$3:$K$5000)*IFERROR(VALUE(INPUT!$K$3:$K$5000),0)*IFERROR(SUMIFS(INPUT!$E$3:$E$5000,INPUT!$A$3:$A$5000,INPUT!$H$3:$H$5000,INPUT!$C$3:$C$5000,INPUT!$I$3:$I$5000),0)),"")</f>
        <v>660</v>
      </c>
      <c r="P19" s="160" cm="1">
        <f t="array" ref="P19">IFERROR(SUMPRODUCT((INPUT!$H$3:$H$5000&gt;=P$3)*(INPUT!$H$3:$H$5000&lt;=P$3+6)*(INPUT!$J$3:$J$5000="SEGO")*ISNUMBER(INPUT!$K$3:$K$5000)*IFERROR(VALUE(INPUT!$K$3:$K$5000),0)*IFERROR(SUMIFS(INPUT!$E$3:$E$5000,INPUT!$A$3:$A$5000,INPUT!$H$3:$H$5000,INPUT!$C$3:$C$5000,INPUT!$I$3:$I$5000),0)),"")</f>
        <v>3470</v>
      </c>
      <c r="Q19" s="160" cm="1">
        <f t="array" ref="Q19">IFERROR(SUMPRODUCT((INPUT!$H$3:$H$5000&gt;=Q$3)*(INPUT!$H$3:$H$5000&lt;=Q$3+6)*(INPUT!$J$3:$J$5000="SEGO")*ISNUMBER(INPUT!$K$3:$K$5000)*IFERROR(VALUE(INPUT!$K$3:$K$5000),0)*IFERROR(SUMIFS(INPUT!$E$3:$E$5000,INPUT!$A$3:$A$5000,INPUT!$H$3:$H$5000,INPUT!$C$3:$C$5000,INPUT!$I$3:$I$5000),0)),"")</f>
        <v>1420</v>
      </c>
      <c r="R19" s="160" cm="1">
        <f t="array" ref="R19">IFERROR(SUMPRODUCT((INPUT!$H$3:$H$5000&gt;=R$3)*(INPUT!$H$3:$H$5000&lt;=R$3+6)*(INPUT!$J$3:$J$5000="SEGO")*ISNUMBER(INPUT!$K$3:$K$5000)*IFERROR(VALUE(INPUT!$K$3:$K$5000),0)*IFERROR(SUMIFS(INPUT!$E$3:$E$5000,INPUT!$A$3:$A$5000,INPUT!$H$3:$H$5000,INPUT!$C$3:$C$5000,INPUT!$I$3:$I$5000),0)),"")</f>
        <v>3120</v>
      </c>
      <c r="S19" s="160" cm="1">
        <f t="array" ref="S19">IFERROR(SUMPRODUCT((INPUT!$H$3:$H$5000&gt;=S$3)*(INPUT!$H$3:$H$5000&lt;=S$3+6)*(INPUT!$J$3:$J$5000="SEGO")*ISNUMBER(INPUT!$K$3:$K$5000)*IFERROR(VALUE(INPUT!$K$3:$K$5000),0)*IFERROR(SUMIFS(INPUT!$E$3:$E$5000,INPUT!$A$3:$A$5000,INPUT!$H$3:$H$5000,INPUT!$C$3:$C$5000,INPUT!$I$3:$I$5000),0)),"")</f>
        <v>0</v>
      </c>
      <c r="T19" s="160" cm="1">
        <f t="array" ref="T19">IFERROR(SUMPRODUCT((INPUT!$H$3:$H$5000&gt;=T$3)*(INPUT!$H$3:$H$5000&lt;=T$3+6)*(INPUT!$J$3:$J$5000="SEGO")*ISNUMBER(INPUT!$K$3:$K$5000)*IFERROR(VALUE(INPUT!$K$3:$K$5000),0)*IFERROR(SUMIFS(INPUT!$E$3:$E$5000,INPUT!$A$3:$A$5000,INPUT!$H$3:$H$5000,INPUT!$C$3:$C$5000,INPUT!$I$3:$I$5000),0)),"")</f>
        <v>0</v>
      </c>
      <c r="U19" s="160" cm="1">
        <f t="array" ref="U19">IFERROR(SUMPRODUCT((INPUT!$H$3:$H$5000&gt;=U$3)*(INPUT!$H$3:$H$5000&lt;=U$3+6)*(INPUT!$J$3:$J$5000="SEGO")*ISNUMBER(INPUT!$K$3:$K$5000)*IFERROR(VALUE(INPUT!$K$3:$K$5000),0)*IFERROR(SUMIFS(INPUT!$E$3:$E$5000,INPUT!$A$3:$A$5000,INPUT!$H$3:$H$5000,INPUT!$C$3:$C$5000,INPUT!$I$3:$I$5000),0)),"")</f>
        <v>0</v>
      </c>
      <c r="V19" s="160" cm="1">
        <f t="array" ref="V19">IFERROR(SUMPRODUCT((INPUT!$H$3:$H$5000&gt;=V$3)*(INPUT!$H$3:$H$5000&lt;=V$3+6)*(INPUT!$J$3:$J$5000="SEGO")*ISNUMBER(INPUT!$K$3:$K$5000)*IFERROR(VALUE(INPUT!$K$3:$K$5000),0)*IFERROR(SUMIFS(INPUT!$E$3:$E$5000,INPUT!$A$3:$A$5000,INPUT!$H$3:$H$5000,INPUT!$C$3:$C$5000,INPUT!$I$3:$I$5000),0)),"")</f>
        <v>0</v>
      </c>
      <c r="W19" s="160" cm="1">
        <f t="array" ref="W19">IFERROR(SUMPRODUCT((INPUT!$H$3:$H$5000&gt;=W$3)*(INPUT!$H$3:$H$5000&lt;=W$3+6)*(INPUT!$J$3:$J$5000="SEGO")*ISNUMBER(INPUT!$K$3:$K$5000)*IFERROR(VALUE(INPUT!$K$3:$K$5000),0)*IFERROR(SUMIFS(INPUT!$E$3:$E$5000,INPUT!$A$3:$A$5000,INPUT!$H$3:$H$5000,INPUT!$C$3:$C$5000,INPUT!$I$3:$I$5000),0)),"")</f>
        <v>0</v>
      </c>
      <c r="X19" s="160" cm="1">
        <f t="array" ref="X19">IFERROR(SUMPRODUCT((INPUT!$H$3:$H$5000&gt;=X$3)*(INPUT!$H$3:$H$5000&lt;=X$3+6)*(INPUT!$J$3:$J$5000="SEGO")*ISNUMBER(INPUT!$K$3:$K$5000)*IFERROR(VALUE(INPUT!$K$3:$K$5000),0)*IFERROR(SUMIFS(INPUT!$E$3:$E$5000,INPUT!$A$3:$A$5000,INPUT!$H$3:$H$5000,INPUT!$C$3:$C$5000,INPUT!$I$3:$I$5000),0)),"")</f>
        <v>0</v>
      </c>
      <c r="Y19" s="160" cm="1">
        <f t="array" ref="Y19">IFERROR(SUMPRODUCT((INPUT!$H$3:$H$5000&gt;=Y$3)*(INPUT!$H$3:$H$5000&lt;=Y$3+6)*(INPUT!$J$3:$J$5000="SEGO")*ISNUMBER(INPUT!$K$3:$K$5000)*IFERROR(VALUE(INPUT!$K$3:$K$5000),0)*IFERROR(SUMIFS(INPUT!$E$3:$E$5000,INPUT!$A$3:$A$5000,INPUT!$H$3:$H$5000,INPUT!$C$3:$C$5000,INPUT!$I$3:$I$5000),0)),"")</f>
        <v>945</v>
      </c>
      <c r="Z19" s="160" cm="1">
        <f t="array" ref="Z19">IFERROR(SUMPRODUCT((INPUT!$H$3:$H$5000&gt;=Z$3)*(INPUT!$H$3:$H$5000&lt;=Z$3+6)*(INPUT!$J$3:$J$5000="SEGO")*ISNUMBER(INPUT!$K$3:$K$5000)*IFERROR(VALUE(INPUT!$K$3:$K$5000),0)*IFERROR(SUMIFS(INPUT!$E$3:$E$5000,INPUT!$A$3:$A$5000,INPUT!$H$3:$H$5000,INPUT!$C$3:$C$5000,INPUT!$I$3:$I$5000),0)),"")</f>
        <v>0</v>
      </c>
      <c r="AA19" s="160" cm="1">
        <f t="array" ref="AA19">IFERROR(SUMPRODUCT((INPUT!$H$3:$H$5000&gt;=AA$3)*(INPUT!$H$3:$H$5000&lt;=AA$3+6)*(INPUT!$J$3:$J$5000="SEGO")*ISNUMBER(INPUT!$K$3:$K$5000)*IFERROR(VALUE(INPUT!$K$3:$K$5000),0)*IFERROR(SUMIFS(INPUT!$E$3:$E$5000,INPUT!$A$3:$A$5000,INPUT!$H$3:$H$5000,INPUT!$C$3:$C$5000,INPUT!$I$3:$I$5000),0)),"")</f>
        <v>0</v>
      </c>
      <c r="AB19" s="160" cm="1">
        <f t="array" ref="AB19">IFERROR(SUMPRODUCT((INPUT!$H$3:$H$5000&gt;=AB$3)*(INPUT!$H$3:$H$5000&lt;=AB$3+6)*(INPUT!$J$3:$J$5000="SEGO")*ISNUMBER(INPUT!$K$3:$K$5000)*IFERROR(VALUE(INPUT!$K$3:$K$5000),0)*IFERROR(SUMIFS(INPUT!$E$3:$E$5000,INPUT!$A$3:$A$5000,INPUT!$H$3:$H$5000,INPUT!$C$3:$C$5000,INPUT!$I$3:$I$5000),0)),"")</f>
        <v>0</v>
      </c>
      <c r="AC19" s="160" cm="1">
        <f t="array" ref="AC19">IFERROR(SUMPRODUCT((INPUT!$H$3:$H$5000&gt;=AC$3)*(INPUT!$H$3:$H$5000&lt;=AC$3+6)*(INPUT!$J$3:$J$5000="SEGO")*ISNUMBER(INPUT!$K$3:$K$5000)*IFERROR(VALUE(INPUT!$K$3:$K$5000),0)*IFERROR(SUMIFS(INPUT!$E$3:$E$5000,INPUT!$A$3:$A$5000,INPUT!$H$3:$H$5000,INPUT!$C$3:$C$5000,INPUT!$I$3:$I$5000),0)),"")</f>
        <v>0</v>
      </c>
      <c r="AD19" s="160" cm="1">
        <f t="array" ref="AD19">IFERROR(SUMPRODUCT((INPUT!$H$3:$H$5000&gt;=AD$3)*(INPUT!$H$3:$H$5000&lt;=AD$3+6)*(INPUT!$J$3:$J$5000="SEGO")*ISNUMBER(INPUT!$K$3:$K$5000)*IFERROR(VALUE(INPUT!$K$3:$K$5000),0)*IFERROR(SUMIFS(INPUT!$E$3:$E$5000,INPUT!$A$3:$A$5000,INPUT!$H$3:$H$5000,INPUT!$C$3:$C$5000,INPUT!$I$3:$I$5000),0)),"")</f>
        <v>0</v>
      </c>
      <c r="AE19" s="160" cm="1">
        <f t="array" ref="AE19">IFERROR(SUMPRODUCT((INPUT!$H$3:$H$5000&gt;=AE$3)*(INPUT!$H$3:$H$5000&lt;=AE$3+6)*(INPUT!$J$3:$J$5000="SEGO")*ISNUMBER(INPUT!$K$3:$K$5000)*IFERROR(VALUE(INPUT!$K$3:$K$5000),0)*IFERROR(SUMIFS(INPUT!$E$3:$E$5000,INPUT!$A$3:$A$5000,INPUT!$H$3:$H$5000,INPUT!$C$3:$C$5000,INPUT!$I$3:$I$5000),0)),"")</f>
        <v>0</v>
      </c>
      <c r="AF19" s="160" cm="1">
        <f t="array" ref="AF19">IFERROR(SUMPRODUCT((INPUT!$H$3:$H$5000&gt;=AF$3)*(INPUT!$H$3:$H$5000&lt;=AF$3+6)*(INPUT!$J$3:$J$5000="SEGO")*ISNUMBER(INPUT!$K$3:$K$5000)*IFERROR(VALUE(INPUT!$K$3:$K$5000),0)*IFERROR(SUMIFS(INPUT!$E$3:$E$5000,INPUT!$A$3:$A$5000,INPUT!$H$3:$H$5000,INPUT!$C$3:$C$5000,INPUT!$I$3:$I$5000),0)),"")</f>
        <v>0</v>
      </c>
      <c r="AG19" s="160" cm="1">
        <f t="array" ref="AG19">IFERROR(SUMPRODUCT((INPUT!$H$3:$H$5000&gt;=AG$3)*(INPUT!$H$3:$H$5000&lt;=AG$3+6)*(INPUT!$J$3:$J$5000="SEGO")*ISNUMBER(INPUT!$K$3:$K$5000)*IFERROR(VALUE(INPUT!$K$3:$K$5000),0)*IFERROR(SUMIFS(INPUT!$E$3:$E$5000,INPUT!$A$3:$A$5000,INPUT!$H$3:$H$5000,INPUT!$C$3:$C$5000,INPUT!$I$3:$I$5000),0)),"")</f>
        <v>0</v>
      </c>
      <c r="AH19" s="160" cm="1">
        <f t="array" ref="AH19">IFERROR(SUMPRODUCT((INPUT!$H$3:$H$5000&gt;=AH$3)*(INPUT!$H$3:$H$5000&lt;=AH$3+6)*(INPUT!$J$3:$J$5000="SEGO")*ISNUMBER(INPUT!$K$3:$K$5000)*IFERROR(VALUE(INPUT!$K$3:$K$5000),0)*IFERROR(SUMIFS(INPUT!$E$3:$E$5000,INPUT!$A$3:$A$5000,INPUT!$H$3:$H$5000,INPUT!$C$3:$C$5000,INPUT!$I$3:$I$5000),0)),"")</f>
        <v>0</v>
      </c>
      <c r="AI19" s="160" cm="1">
        <f t="array" ref="AI19">IFERROR(SUMPRODUCT((INPUT!$H$3:$H$5000&gt;=AI$3)*(INPUT!$H$3:$H$5000&lt;=AI$3+6)*(INPUT!$J$3:$J$5000="SEGO")*ISNUMBER(INPUT!$K$3:$K$5000)*IFERROR(VALUE(INPUT!$K$3:$K$5000),0)*IFERROR(SUMIFS(INPUT!$E$3:$E$5000,INPUT!$A$3:$A$5000,INPUT!$H$3:$H$5000,INPUT!$C$3:$C$5000,INPUT!$I$3:$I$5000),0)),"")</f>
        <v>0</v>
      </c>
      <c r="AJ19" s="160" cm="1">
        <f t="array" ref="AJ19">IFERROR(SUMPRODUCT((INPUT!$H$3:$H$5000&gt;=AJ$3)*(INPUT!$H$3:$H$5000&lt;=AJ$3+6)*(INPUT!$J$3:$J$5000="SEGO")*ISNUMBER(INPUT!$K$3:$K$5000)*IFERROR(VALUE(INPUT!$K$3:$K$5000),0)*IFERROR(SUMIFS(INPUT!$E$3:$E$5000,INPUT!$A$3:$A$5000,INPUT!$H$3:$H$5000,INPUT!$C$3:$C$5000,INPUT!$I$3:$I$5000),0)),"")</f>
        <v>420</v>
      </c>
      <c r="AK19" s="160" cm="1">
        <f t="array" ref="AK19">IFERROR(SUMPRODUCT((INPUT!$H$3:$H$5000&gt;=AK$3)*(INPUT!$H$3:$H$5000&lt;=AK$3+6)*(INPUT!$J$3:$J$5000="SEGO")*ISNUMBER(INPUT!$K$3:$K$5000)*IFERROR(VALUE(INPUT!$K$3:$K$5000),0)*IFERROR(SUMIFS(INPUT!$E$3:$E$5000,INPUT!$A$3:$A$5000,INPUT!$H$3:$H$5000,INPUT!$C$3:$C$5000,INPUT!$I$3:$I$5000),0)),"")</f>
        <v>3660</v>
      </c>
      <c r="AL19" s="160" cm="1">
        <f t="array" ref="AL19">IFERROR(SUMPRODUCT((INPUT!$H$3:$H$5000&gt;=AL$3)*(INPUT!$H$3:$H$5000&lt;=AL$3+6)*(INPUT!$J$3:$J$5000="SEGO")*ISNUMBER(INPUT!$K$3:$K$5000)*IFERROR(VALUE(INPUT!$K$3:$K$5000),0)*IFERROR(SUMIFS(INPUT!$E$3:$E$5000,INPUT!$A$3:$A$5000,INPUT!$H$3:$H$5000,INPUT!$C$3:$C$5000,INPUT!$I$3:$I$5000),0)),"")</f>
        <v>4430</v>
      </c>
      <c r="AM19" s="160" cm="1">
        <f t="array" ref="AM19">IFERROR(SUMPRODUCT((INPUT!$H$3:$H$5000&gt;=AM$3)*(INPUT!$H$3:$H$5000&lt;=AM$3+6)*(INPUT!$J$3:$J$5000="SEGO")*ISNUMBER(INPUT!$K$3:$K$5000)*IFERROR(VALUE(INPUT!$K$3:$K$5000),0)*IFERROR(SUMIFS(INPUT!$E$3:$E$5000,INPUT!$A$3:$A$5000,INPUT!$H$3:$H$5000,INPUT!$C$3:$C$5000,INPUT!$I$3:$I$5000),0)),"")</f>
        <v>4370</v>
      </c>
      <c r="AN19" s="160" cm="1">
        <f t="array" ref="AN19">IFERROR(SUMPRODUCT((INPUT!$H$3:$H$5000&gt;=AN$3)*(INPUT!$H$3:$H$5000&lt;=AN$3+6)*(INPUT!$J$3:$J$5000="SEGO")*ISNUMBER(INPUT!$K$3:$K$5000)*IFERROR(VALUE(INPUT!$K$3:$K$5000),0)*IFERROR(SUMIFS(INPUT!$E$3:$E$5000,INPUT!$A$3:$A$5000,INPUT!$H$3:$H$5000,INPUT!$C$3:$C$5000,INPUT!$I$3:$I$5000),0)),"")</f>
        <v>3675</v>
      </c>
      <c r="AO19" s="160" cm="1">
        <f t="array" ref="AO19">IFERROR(SUMPRODUCT((INPUT!$H$3:$H$5000&gt;=AO$3)*(INPUT!$H$3:$H$5000&lt;=AO$3+6)*(INPUT!$J$3:$J$5000="SEGO")*ISNUMBER(INPUT!$K$3:$K$5000)*IFERROR(VALUE(INPUT!$K$3:$K$5000),0)*IFERROR(SUMIFS(INPUT!$E$3:$E$5000,INPUT!$A$3:$A$5000,INPUT!$H$3:$H$5000,INPUT!$C$3:$C$5000,INPUT!$I$3:$I$5000),0)),"")</f>
        <v>0</v>
      </c>
      <c r="AP19" s="160" cm="1">
        <f t="array" ref="AP19">IFERROR(SUMPRODUCT((INPUT!$H$3:$H$5000&gt;=AP$3)*(INPUT!$H$3:$H$5000&lt;=AP$3+6)*(INPUT!$J$3:$J$5000="SEGO")*ISNUMBER(INPUT!$K$3:$K$5000)*IFERROR(VALUE(INPUT!$K$3:$K$5000),0)*IFERROR(SUMIFS(INPUT!$E$3:$E$5000,INPUT!$A$3:$A$5000,INPUT!$H$3:$H$5000,INPUT!$C$3:$C$5000,INPUT!$I$3:$I$5000),0)),"")</f>
        <v>0</v>
      </c>
      <c r="AQ19" s="160" cm="1">
        <f t="array" ref="AQ19">IFERROR(SUMPRODUCT((INPUT!$H$3:$H$5000&gt;=AQ$3)*(INPUT!$H$3:$H$5000&lt;=AQ$3+6)*(INPUT!$J$3:$J$5000="SEGO")*ISNUMBER(INPUT!$K$3:$K$5000)*IFERROR(VALUE(INPUT!$K$3:$K$5000),0)*IFERROR(SUMIFS(INPUT!$E$3:$E$5000,INPUT!$A$3:$A$5000,INPUT!$H$3:$H$5000,INPUT!$C$3:$C$5000,INPUT!$I$3:$I$5000),0)),"")</f>
        <v>0</v>
      </c>
      <c r="AR19" s="160" cm="1">
        <f t="array" ref="AR19">IFERROR(SUMPRODUCT((INPUT!$H$3:$H$5000&gt;=AR$3)*(INPUT!$H$3:$H$5000&lt;=AR$3+6)*(INPUT!$J$3:$J$5000="SEGO")*ISNUMBER(INPUT!$K$3:$K$5000)*IFERROR(VALUE(INPUT!$K$3:$K$5000),0)*IFERROR(SUMIFS(INPUT!$E$3:$E$5000,INPUT!$A$3:$A$5000,INPUT!$H$3:$H$5000,INPUT!$C$3:$C$5000,INPUT!$I$3:$I$5000),0)),"")</f>
        <v>0</v>
      </c>
      <c r="AS19" s="160" cm="1">
        <f t="array" ref="AS19">IFERROR(SUMPRODUCT((INPUT!$H$3:$H$5000&gt;=AS$3)*(INPUT!$H$3:$H$5000&lt;=AS$3+6)*(INPUT!$J$3:$J$5000="SEGO")*ISNUMBER(INPUT!$K$3:$K$5000)*IFERROR(VALUE(INPUT!$K$3:$K$5000),0)*IFERROR(SUMIFS(INPUT!$E$3:$E$5000,INPUT!$A$3:$A$5000,INPUT!$H$3:$H$5000,INPUT!$C$3:$C$5000,INPUT!$I$3:$I$5000),0)),"")</f>
        <v>0</v>
      </c>
      <c r="AT19" s="160" cm="1">
        <f t="array" ref="AT19">IFERROR(SUMPRODUCT((INPUT!$H$3:$H$5000&gt;=AT$3)*(INPUT!$H$3:$H$5000&lt;=AT$3+6)*(INPUT!$J$3:$J$5000="SEGO")*ISNUMBER(INPUT!$K$3:$K$5000)*IFERROR(VALUE(INPUT!$K$3:$K$5000),0)*IFERROR(SUMIFS(INPUT!$E$3:$E$5000,INPUT!$A$3:$A$5000,INPUT!$H$3:$H$5000,INPUT!$C$3:$C$5000,INPUT!$I$3:$I$5000),0)),"")</f>
        <v>0</v>
      </c>
      <c r="AU19" s="160" cm="1">
        <f t="array" ref="AU19">IFERROR(SUMPRODUCT((INPUT!$H$3:$H$5000&gt;=AU$3)*(INPUT!$H$3:$H$5000&lt;=AU$3+6)*(INPUT!$J$3:$J$5000="SEGO")*ISNUMBER(INPUT!$K$3:$K$5000)*IFERROR(VALUE(INPUT!$K$3:$K$5000),0)*IFERROR(SUMIFS(INPUT!$E$3:$E$5000,INPUT!$A$3:$A$5000,INPUT!$H$3:$H$5000,INPUT!$C$3:$C$5000,INPUT!$I$3:$I$5000),0)),"")</f>
        <v>0</v>
      </c>
      <c r="AV19" s="160" cm="1">
        <f t="array" ref="AV19">IFERROR(SUMPRODUCT((INPUT!$H$3:$H$5000&gt;=AV$3)*(INPUT!$H$3:$H$5000&lt;=AV$3+6)*(INPUT!$J$3:$J$5000="SEGO")*ISNUMBER(INPUT!$K$3:$K$5000)*IFERROR(VALUE(INPUT!$K$3:$K$5000),0)*IFERROR(SUMIFS(INPUT!$E$3:$E$5000,INPUT!$A$3:$A$5000,INPUT!$H$3:$H$5000,INPUT!$C$3:$C$5000,INPUT!$I$3:$I$5000),0)),"")</f>
        <v>0</v>
      </c>
      <c r="AW19" s="160" cm="1">
        <f t="array" ref="AW19">IFERROR(SUMPRODUCT((INPUT!$H$3:$H$5000&gt;=AW$3)*(INPUT!$H$3:$H$5000&lt;=AW$3+6)*(INPUT!$J$3:$J$5000="SEGO")*ISNUMBER(INPUT!$K$3:$K$5000)*IFERROR(VALUE(INPUT!$K$3:$K$5000),0)*IFERROR(SUMIFS(INPUT!$E$3:$E$5000,INPUT!$A$3:$A$5000,INPUT!$H$3:$H$5000,INPUT!$C$3:$C$5000,INPUT!$I$3:$I$5000),0)),"")</f>
        <v>0</v>
      </c>
      <c r="AX19" s="160" cm="1">
        <f t="array" ref="AX19">IFERROR(SUMPRODUCT((INPUT!$H$3:$H$5000&gt;=AX$3)*(INPUT!$H$3:$H$5000&lt;=AX$3+6)*(INPUT!$J$3:$J$5000="SEGO")*ISNUMBER(INPUT!$K$3:$K$5000)*IFERROR(VALUE(INPUT!$K$3:$K$5000),0)*IFERROR(SUMIFS(INPUT!$E$3:$E$5000,INPUT!$A$3:$A$5000,INPUT!$H$3:$H$5000,INPUT!$C$3:$C$5000,INPUT!$I$3:$I$5000),0)),"")</f>
        <v>0</v>
      </c>
      <c r="AY19" s="160" cm="1">
        <f t="array" ref="AY19">IFERROR(SUMPRODUCT((INPUT!$H$3:$H$5000&gt;=AY$3)*(INPUT!$H$3:$H$5000&lt;=AY$3+6)*(INPUT!$J$3:$J$5000="SEGO")*ISNUMBER(INPUT!$K$3:$K$5000)*IFERROR(VALUE(INPUT!$K$3:$K$5000),0)*IFERROR(SUMIFS(INPUT!$E$3:$E$5000,INPUT!$A$3:$A$5000,INPUT!$H$3:$H$5000,INPUT!$C$3:$C$5000,INPUT!$I$3:$I$5000),0)),"")</f>
        <v>0</v>
      </c>
      <c r="AZ19" s="160" cm="1">
        <f t="array" ref="AZ19">IFERROR(SUMPRODUCT((INPUT!$H$3:$H$5000&gt;=AZ$3)*(INPUT!$H$3:$H$5000&lt;=AZ$3+6)*(INPUT!$J$3:$J$5000="SEGO")*ISNUMBER(INPUT!$K$3:$K$5000)*IFERROR(VALUE(INPUT!$K$3:$K$5000),0)*IFERROR(SUMIFS(INPUT!$E$3:$E$5000,INPUT!$A$3:$A$5000,INPUT!$H$3:$H$5000,INPUT!$C$3:$C$5000,INPUT!$I$3:$I$5000),0)),"")</f>
        <v>0</v>
      </c>
      <c r="BA19" s="160" cm="1">
        <f t="array" ref="BA19">IFERROR(SUMPRODUCT((INPUT!$H$3:$H$5000&gt;=BA$3)*(INPUT!$H$3:$H$5000&lt;=BA$3+6)*(INPUT!$J$3:$J$5000="SEGO")*ISNUMBER(INPUT!$K$3:$K$5000)*IFERROR(VALUE(INPUT!$K$3:$K$5000),0)*IFERROR(SUMIFS(INPUT!$E$3:$E$5000,INPUT!$A$3:$A$5000,INPUT!$H$3:$H$5000,INPUT!$C$3:$C$5000,INPUT!$I$3:$I$5000),0)),"")</f>
        <v>0</v>
      </c>
      <c r="BB19" s="161" cm="1">
        <f t="array" ref="BB19">IFERROR(SUMPRODUCT((INPUT!$H$3:$H$5000&gt;=BB$3)*(INPUT!$H$3:$H$5000&lt;=BB$3+6)*(INPUT!$J$3:$J$5000="SEGO")*ISNUMBER(INPUT!$K$3:$K$5000)*IFERROR(VALUE(INPUT!$K$3:$K$5000),0)*IFERROR(SUMIFS(INPUT!$E$3:$E$5000,INPUT!$A$3:$A$5000,INPUT!$H$3:$H$5000,INPUT!$C$3:$C$5000,INPUT!$I$3:$I$5000),0)),"")</f>
        <v>0</v>
      </c>
    </row>
    <row r="20" spans="1:54" x14ac:dyDescent="0.2">
      <c r="A20" s="154">
        <v>16</v>
      </c>
      <c r="B20" s="81" t="s">
        <v>56</v>
      </c>
      <c r="C20" s="159" cm="1">
        <f t="array" ref="C20">IFERROR(SUMPRODUCT((INPUT!$H$3:$H$5000&gt;=C$3)*(INPUT!$H$3:$H$5000&lt;=C$3+6)*(INPUT!$J$3:$J$5000="RUBIO")*ISNUMBER(INPUT!$K$3:$K$5000)*IFERROR(VALUE(INPUT!$K$3:$K$5000),0)*IFERROR(SUMIFS(INPUT!$E$3:$E$5000,INPUT!$A$3:$A$5000,INPUT!$H$3:$H$5000,INPUT!$C$3:$C$5000,INPUT!$I$3:$I$5000),0)),"")</f>
        <v>4950</v>
      </c>
      <c r="D20" s="159" cm="1">
        <f t="array" ref="D20">IFERROR(SUMPRODUCT((INPUT!$H$3:$H$5000&gt;=D$3)*(INPUT!$H$3:$H$5000&lt;=D$3+6)*(INPUT!$J$3:$J$5000="RUBIO")*ISNUMBER(INPUT!$K$3:$K$5000)*IFERROR(VALUE(INPUT!$K$3:$K$5000),0)*IFERROR(SUMIFS(INPUT!$E$3:$E$5000,INPUT!$A$3:$A$5000,INPUT!$H$3:$H$5000,INPUT!$C$3:$C$5000,INPUT!$I$3:$I$5000),0)),"")</f>
        <v>7780</v>
      </c>
      <c r="E20" s="159" cm="1">
        <f t="array" ref="E20">IFERROR(SUMPRODUCT((INPUT!$H$3:$H$5000&gt;=E$3)*(INPUT!$H$3:$H$5000&lt;=E$3+6)*(INPUT!$J$3:$J$5000="RUBIO")*ISNUMBER(INPUT!$K$3:$K$5000)*IFERROR(VALUE(INPUT!$K$3:$K$5000),0)*IFERROR(SUMIFS(INPUT!$E$3:$E$5000,INPUT!$A$3:$A$5000,INPUT!$H$3:$H$5000,INPUT!$C$3:$C$5000,INPUT!$I$3:$I$5000),0)),"")</f>
        <v>7580</v>
      </c>
      <c r="F20" s="159" cm="1">
        <f t="array" ref="F20">IFERROR(SUMPRODUCT((INPUT!$H$3:$H$5000&gt;=F$3)*(INPUT!$H$3:$H$5000&lt;=F$3+6)*(INPUT!$J$3:$J$5000="RUBIO")*ISNUMBER(INPUT!$K$3:$K$5000)*IFERROR(VALUE(INPUT!$K$3:$K$5000),0)*IFERROR(SUMIFS(INPUT!$E$3:$E$5000,INPUT!$A$3:$A$5000,INPUT!$H$3:$H$5000,INPUT!$C$3:$C$5000,INPUT!$I$3:$I$5000),0)),"")</f>
        <v>7215</v>
      </c>
      <c r="G20" s="159" cm="1">
        <f t="array" ref="G20">IFERROR(SUMPRODUCT((INPUT!$H$3:$H$5000&gt;=G$3)*(INPUT!$H$3:$H$5000&lt;=G$3+6)*(INPUT!$J$3:$J$5000="RUBIO")*ISNUMBER(INPUT!$K$3:$K$5000)*IFERROR(VALUE(INPUT!$K$3:$K$5000),0)*IFERROR(SUMIFS(INPUT!$E$3:$E$5000,INPUT!$A$3:$A$5000,INPUT!$H$3:$H$5000,INPUT!$C$3:$C$5000,INPUT!$I$3:$I$5000),0)),"")</f>
        <v>4755</v>
      </c>
      <c r="H20" s="159" cm="1">
        <f t="array" ref="H20">IFERROR(SUMPRODUCT((INPUT!$H$3:$H$5000&gt;=H$3)*(INPUT!$H$3:$H$5000&lt;=H$3+6)*(INPUT!$J$3:$J$5000="RUBIO")*ISNUMBER(INPUT!$K$3:$K$5000)*IFERROR(VALUE(INPUT!$K$3:$K$5000),0)*IFERROR(SUMIFS(INPUT!$E$3:$E$5000,INPUT!$A$3:$A$5000,INPUT!$H$3:$H$5000,INPUT!$C$3:$C$5000,INPUT!$I$3:$I$5000),0)),"")</f>
        <v>3090</v>
      </c>
      <c r="I20" s="159" cm="1">
        <f t="array" ref="I20">IFERROR(SUMPRODUCT((INPUT!$H$3:$H$5000&gt;=I$3)*(INPUT!$H$3:$H$5000&lt;=I$3+6)*(INPUT!$J$3:$J$5000="RUBIO")*ISNUMBER(INPUT!$K$3:$K$5000)*IFERROR(VALUE(INPUT!$K$3:$K$5000),0)*IFERROR(SUMIFS(INPUT!$E$3:$E$5000,INPUT!$A$3:$A$5000,INPUT!$H$3:$H$5000,INPUT!$C$3:$C$5000,INPUT!$I$3:$I$5000),0)),"")</f>
        <v>1430</v>
      </c>
      <c r="J20" s="159" cm="1">
        <f t="array" ref="J20">IFERROR(SUMPRODUCT((INPUT!$H$3:$H$5000&gt;=J$3)*(INPUT!$H$3:$H$5000&lt;=J$3+6)*(INPUT!$J$3:$J$5000="RUBIO")*ISNUMBER(INPUT!$K$3:$K$5000)*IFERROR(VALUE(INPUT!$K$3:$K$5000),0)*IFERROR(SUMIFS(INPUT!$E$3:$E$5000,INPUT!$A$3:$A$5000,INPUT!$H$3:$H$5000,INPUT!$C$3:$C$5000,INPUT!$I$3:$I$5000),0)),"")</f>
        <v>3490</v>
      </c>
      <c r="K20" s="159" cm="1">
        <f t="array" ref="K20">IFERROR(SUMPRODUCT((INPUT!$H$3:$H$5000&gt;=K$3)*(INPUT!$H$3:$H$5000&lt;=K$3+6)*(INPUT!$J$3:$J$5000="RUBIO")*ISNUMBER(INPUT!$K$3:$K$5000)*IFERROR(VALUE(INPUT!$K$3:$K$5000),0)*IFERROR(SUMIFS(INPUT!$E$3:$E$5000,INPUT!$A$3:$A$5000,INPUT!$H$3:$H$5000,INPUT!$C$3:$C$5000,INPUT!$I$3:$I$5000),0)),"")</f>
        <v>4745</v>
      </c>
      <c r="L20" s="160" cm="1">
        <f t="array" ref="L20">IFERROR(SUMPRODUCT((INPUT!$H$3:$H$5000&gt;=L$3)*(INPUT!$H$3:$H$5000&lt;=L$3+6)*(INPUT!$J$3:$J$5000="RUBIO")*ISNUMBER(INPUT!$K$3:$K$5000)*IFERROR(VALUE(INPUT!$K$3:$K$5000),0)*IFERROR(SUMIFS(INPUT!$E$3:$E$5000,INPUT!$A$3:$A$5000,INPUT!$H$3:$H$5000,INPUT!$C$3:$C$5000,INPUT!$I$3:$I$5000),0)),"")</f>
        <v>3015</v>
      </c>
      <c r="M20" s="160" cm="1">
        <f t="array" ref="M20">IFERROR(SUMPRODUCT((INPUT!$H$3:$H$5000&gt;=M$3)*(INPUT!$H$3:$H$5000&lt;=M$3+6)*(INPUT!$J$3:$J$5000="RUBIO")*ISNUMBER(INPUT!$K$3:$K$5000)*IFERROR(VALUE(INPUT!$K$3:$K$5000),0)*IFERROR(SUMIFS(INPUT!$E$3:$E$5000,INPUT!$A$3:$A$5000,INPUT!$H$3:$H$5000,INPUT!$C$3:$C$5000,INPUT!$I$3:$I$5000),0)),"")</f>
        <v>3425</v>
      </c>
      <c r="N20" s="160" cm="1">
        <f t="array" ref="N20">IFERROR(SUMPRODUCT((INPUT!$H$3:$H$5000&gt;=N$3)*(INPUT!$H$3:$H$5000&lt;=N$3+6)*(INPUT!$J$3:$J$5000="RUBIO")*ISNUMBER(INPUT!$K$3:$K$5000)*IFERROR(VALUE(INPUT!$K$3:$K$5000),0)*IFERROR(SUMIFS(INPUT!$E$3:$E$5000,INPUT!$A$3:$A$5000,INPUT!$H$3:$H$5000,INPUT!$C$3:$C$5000,INPUT!$I$3:$I$5000),0)),"")</f>
        <v>3460</v>
      </c>
      <c r="O20" s="160" cm="1">
        <f t="array" ref="O20">IFERROR(SUMPRODUCT((INPUT!$H$3:$H$5000&gt;=O$3)*(INPUT!$H$3:$H$5000&lt;=O$3+6)*(INPUT!$J$3:$J$5000="RUBIO")*ISNUMBER(INPUT!$K$3:$K$5000)*IFERROR(VALUE(INPUT!$K$3:$K$5000),0)*IFERROR(SUMIFS(INPUT!$E$3:$E$5000,INPUT!$A$3:$A$5000,INPUT!$H$3:$H$5000,INPUT!$C$3:$C$5000,INPUT!$I$3:$I$5000),0)),"")</f>
        <v>4065</v>
      </c>
      <c r="P20" s="160" cm="1">
        <f t="array" ref="P20">IFERROR(SUMPRODUCT((INPUT!$H$3:$H$5000&gt;=P$3)*(INPUT!$H$3:$H$5000&lt;=P$3+6)*(INPUT!$J$3:$J$5000="RUBIO")*ISNUMBER(INPUT!$K$3:$K$5000)*IFERROR(VALUE(INPUT!$K$3:$K$5000),0)*IFERROR(SUMIFS(INPUT!$E$3:$E$5000,INPUT!$A$3:$A$5000,INPUT!$H$3:$H$5000,INPUT!$C$3:$C$5000,INPUT!$I$3:$I$5000),0)),"")</f>
        <v>1465</v>
      </c>
      <c r="Q20" s="160" cm="1">
        <f t="array" ref="Q20">IFERROR(SUMPRODUCT((INPUT!$H$3:$H$5000&gt;=Q$3)*(INPUT!$H$3:$H$5000&lt;=Q$3+6)*(INPUT!$J$3:$J$5000="RUBIO")*ISNUMBER(INPUT!$K$3:$K$5000)*IFERROR(VALUE(INPUT!$K$3:$K$5000),0)*IFERROR(SUMIFS(INPUT!$E$3:$E$5000,INPUT!$A$3:$A$5000,INPUT!$H$3:$H$5000,INPUT!$C$3:$C$5000,INPUT!$I$3:$I$5000),0)),"")</f>
        <v>3050</v>
      </c>
      <c r="R20" s="160" cm="1">
        <f t="array" ref="R20">IFERROR(SUMPRODUCT((INPUT!$H$3:$H$5000&gt;=R$3)*(INPUT!$H$3:$H$5000&lt;=R$3+6)*(INPUT!$J$3:$J$5000="RUBIO")*ISNUMBER(INPUT!$K$3:$K$5000)*IFERROR(VALUE(INPUT!$K$3:$K$5000),0)*IFERROR(SUMIFS(INPUT!$E$3:$E$5000,INPUT!$A$3:$A$5000,INPUT!$H$3:$H$5000,INPUT!$C$3:$C$5000,INPUT!$I$3:$I$5000),0)),"")</f>
        <v>5290</v>
      </c>
      <c r="S20" s="160" cm="1">
        <f t="array" ref="S20">IFERROR(SUMPRODUCT((INPUT!$H$3:$H$5000&gt;=S$3)*(INPUT!$H$3:$H$5000&lt;=S$3+6)*(INPUT!$J$3:$J$5000="RUBIO")*ISNUMBER(INPUT!$K$3:$K$5000)*IFERROR(VALUE(INPUT!$K$3:$K$5000),0)*IFERROR(SUMIFS(INPUT!$E$3:$E$5000,INPUT!$A$3:$A$5000,INPUT!$H$3:$H$5000,INPUT!$C$3:$C$5000,INPUT!$I$3:$I$5000),0)),"")</f>
        <v>3420</v>
      </c>
      <c r="T20" s="160" cm="1">
        <f t="array" ref="T20">IFERROR(SUMPRODUCT((INPUT!$H$3:$H$5000&gt;=T$3)*(INPUT!$H$3:$H$5000&lt;=T$3+6)*(INPUT!$J$3:$J$5000="RUBIO")*ISNUMBER(INPUT!$K$3:$K$5000)*IFERROR(VALUE(INPUT!$K$3:$K$5000),0)*IFERROR(SUMIFS(INPUT!$E$3:$E$5000,INPUT!$A$3:$A$5000,INPUT!$H$3:$H$5000,INPUT!$C$3:$C$5000,INPUT!$I$3:$I$5000),0)),"")</f>
        <v>2330</v>
      </c>
      <c r="U20" s="160" cm="1">
        <f t="array" ref="U20">IFERROR(SUMPRODUCT((INPUT!$H$3:$H$5000&gt;=U$3)*(INPUT!$H$3:$H$5000&lt;=U$3+6)*(INPUT!$J$3:$J$5000="RUBIO")*ISNUMBER(INPUT!$K$3:$K$5000)*IFERROR(VALUE(INPUT!$K$3:$K$5000),0)*IFERROR(SUMIFS(INPUT!$E$3:$E$5000,INPUT!$A$3:$A$5000,INPUT!$H$3:$H$5000,INPUT!$C$3:$C$5000,INPUT!$I$3:$I$5000),0)),"")</f>
        <v>4020</v>
      </c>
      <c r="V20" s="160" cm="1">
        <f t="array" ref="V20">IFERROR(SUMPRODUCT((INPUT!$H$3:$H$5000&gt;=V$3)*(INPUT!$H$3:$H$5000&lt;=V$3+6)*(INPUT!$J$3:$J$5000="RUBIO")*ISNUMBER(INPUT!$K$3:$K$5000)*IFERROR(VALUE(INPUT!$K$3:$K$5000),0)*IFERROR(SUMIFS(INPUT!$E$3:$E$5000,INPUT!$A$3:$A$5000,INPUT!$H$3:$H$5000,INPUT!$C$3:$C$5000,INPUT!$I$3:$I$5000),0)),"")</f>
        <v>1395</v>
      </c>
      <c r="W20" s="160" cm="1">
        <f t="array" ref="W20">IFERROR(SUMPRODUCT((INPUT!$H$3:$H$5000&gt;=W$3)*(INPUT!$H$3:$H$5000&lt;=W$3+6)*(INPUT!$J$3:$J$5000="RUBIO")*ISNUMBER(INPUT!$K$3:$K$5000)*IFERROR(VALUE(INPUT!$K$3:$K$5000),0)*IFERROR(SUMIFS(INPUT!$E$3:$E$5000,INPUT!$A$3:$A$5000,INPUT!$H$3:$H$5000,INPUT!$C$3:$C$5000,INPUT!$I$3:$I$5000),0)),"")</f>
        <v>2065</v>
      </c>
      <c r="X20" s="160" cm="1">
        <f t="array" ref="X20">IFERROR(SUMPRODUCT((INPUT!$H$3:$H$5000&gt;=X$3)*(INPUT!$H$3:$H$5000&lt;=X$3+6)*(INPUT!$J$3:$J$5000="RUBIO")*ISNUMBER(INPUT!$K$3:$K$5000)*IFERROR(VALUE(INPUT!$K$3:$K$5000),0)*IFERROR(SUMIFS(INPUT!$E$3:$E$5000,INPUT!$A$3:$A$5000,INPUT!$H$3:$H$5000,INPUT!$C$3:$C$5000,INPUT!$I$3:$I$5000),0)),"")</f>
        <v>2835</v>
      </c>
      <c r="Y20" s="160" cm="1">
        <f t="array" ref="Y20">IFERROR(SUMPRODUCT((INPUT!$H$3:$H$5000&gt;=Y$3)*(INPUT!$H$3:$H$5000&lt;=Y$3+6)*(INPUT!$J$3:$J$5000="RUBIO")*ISNUMBER(INPUT!$K$3:$K$5000)*IFERROR(VALUE(INPUT!$K$3:$K$5000),0)*IFERROR(SUMIFS(INPUT!$E$3:$E$5000,INPUT!$A$3:$A$5000,INPUT!$H$3:$H$5000,INPUT!$C$3:$C$5000,INPUT!$I$3:$I$5000),0)),"")</f>
        <v>2600</v>
      </c>
      <c r="Z20" s="160" cm="1">
        <f t="array" ref="Z20">IFERROR(SUMPRODUCT((INPUT!$H$3:$H$5000&gt;=Z$3)*(INPUT!$H$3:$H$5000&lt;=Z$3+6)*(INPUT!$J$3:$J$5000="RUBIO")*ISNUMBER(INPUT!$K$3:$K$5000)*IFERROR(VALUE(INPUT!$K$3:$K$5000),0)*IFERROR(SUMIFS(INPUT!$E$3:$E$5000,INPUT!$A$3:$A$5000,INPUT!$H$3:$H$5000,INPUT!$C$3:$C$5000,INPUT!$I$3:$I$5000),0)),"")</f>
        <v>1400</v>
      </c>
      <c r="AA20" s="160" cm="1">
        <f t="array" ref="AA20">IFERROR(SUMPRODUCT((INPUT!$H$3:$H$5000&gt;=AA$3)*(INPUT!$H$3:$H$5000&lt;=AA$3+6)*(INPUT!$J$3:$J$5000="RUBIO")*ISNUMBER(INPUT!$K$3:$K$5000)*IFERROR(VALUE(INPUT!$K$3:$K$5000),0)*IFERROR(SUMIFS(INPUT!$E$3:$E$5000,INPUT!$A$3:$A$5000,INPUT!$H$3:$H$5000,INPUT!$C$3:$C$5000,INPUT!$I$3:$I$5000),0)),"")</f>
        <v>0</v>
      </c>
      <c r="AB20" s="160" cm="1">
        <f t="array" ref="AB20">IFERROR(SUMPRODUCT((INPUT!$H$3:$H$5000&gt;=AB$3)*(INPUT!$H$3:$H$5000&lt;=AB$3+6)*(INPUT!$J$3:$J$5000="RUBIO")*ISNUMBER(INPUT!$K$3:$K$5000)*IFERROR(VALUE(INPUT!$K$3:$K$5000),0)*IFERROR(SUMIFS(INPUT!$E$3:$E$5000,INPUT!$A$3:$A$5000,INPUT!$H$3:$H$5000,INPUT!$C$3:$C$5000,INPUT!$I$3:$I$5000),0)),"")</f>
        <v>6635</v>
      </c>
      <c r="AC20" s="160" cm="1">
        <f t="array" ref="AC20">IFERROR(SUMPRODUCT((INPUT!$H$3:$H$5000&gt;=AC$3)*(INPUT!$H$3:$H$5000&lt;=AC$3+6)*(INPUT!$J$3:$J$5000="RUBIO")*ISNUMBER(INPUT!$K$3:$K$5000)*IFERROR(VALUE(INPUT!$K$3:$K$5000),0)*IFERROR(SUMIFS(INPUT!$E$3:$E$5000,INPUT!$A$3:$A$5000,INPUT!$H$3:$H$5000,INPUT!$C$3:$C$5000,INPUT!$I$3:$I$5000),0)),"")</f>
        <v>1050</v>
      </c>
      <c r="AD20" s="160" cm="1">
        <f t="array" ref="AD20">IFERROR(SUMPRODUCT((INPUT!$H$3:$H$5000&gt;=AD$3)*(INPUT!$H$3:$H$5000&lt;=AD$3+6)*(INPUT!$J$3:$J$5000="RUBIO")*ISNUMBER(INPUT!$K$3:$K$5000)*IFERROR(VALUE(INPUT!$K$3:$K$5000),0)*IFERROR(SUMIFS(INPUT!$E$3:$E$5000,INPUT!$A$3:$A$5000,INPUT!$H$3:$H$5000,INPUT!$C$3:$C$5000,INPUT!$I$3:$I$5000),0)),"")</f>
        <v>4590</v>
      </c>
      <c r="AE20" s="160" cm="1">
        <f t="array" ref="AE20">IFERROR(SUMPRODUCT((INPUT!$H$3:$H$5000&gt;=AE$3)*(INPUT!$H$3:$H$5000&lt;=AE$3+6)*(INPUT!$J$3:$J$5000="RUBIO")*ISNUMBER(INPUT!$K$3:$K$5000)*IFERROR(VALUE(INPUT!$K$3:$K$5000),0)*IFERROR(SUMIFS(INPUT!$E$3:$E$5000,INPUT!$A$3:$A$5000,INPUT!$H$3:$H$5000,INPUT!$C$3:$C$5000,INPUT!$I$3:$I$5000),0)),"")</f>
        <v>0</v>
      </c>
      <c r="AF20" s="160" cm="1">
        <f t="array" ref="AF20">IFERROR(SUMPRODUCT((INPUT!$H$3:$H$5000&gt;=AF$3)*(INPUT!$H$3:$H$5000&lt;=AF$3+6)*(INPUT!$J$3:$J$5000="RUBIO")*ISNUMBER(INPUT!$K$3:$K$5000)*IFERROR(VALUE(INPUT!$K$3:$K$5000),0)*IFERROR(SUMIFS(INPUT!$E$3:$E$5000,INPUT!$A$3:$A$5000,INPUT!$H$3:$H$5000,INPUT!$C$3:$C$5000,INPUT!$I$3:$I$5000),0)),"")</f>
        <v>0</v>
      </c>
      <c r="AG20" s="160" cm="1">
        <f t="array" ref="AG20">IFERROR(SUMPRODUCT((INPUT!$H$3:$H$5000&gt;=AG$3)*(INPUT!$H$3:$H$5000&lt;=AG$3+6)*(INPUT!$J$3:$J$5000="RUBIO")*ISNUMBER(INPUT!$K$3:$K$5000)*IFERROR(VALUE(INPUT!$K$3:$K$5000),0)*IFERROR(SUMIFS(INPUT!$E$3:$E$5000,INPUT!$A$3:$A$5000,INPUT!$H$3:$H$5000,INPUT!$C$3:$C$5000,INPUT!$I$3:$I$5000),0)),"")</f>
        <v>0</v>
      </c>
      <c r="AH20" s="160" cm="1">
        <f t="array" ref="AH20">IFERROR(SUMPRODUCT((INPUT!$H$3:$H$5000&gt;=AH$3)*(INPUT!$H$3:$H$5000&lt;=AH$3+6)*(INPUT!$J$3:$J$5000="RUBIO")*ISNUMBER(INPUT!$K$3:$K$5000)*IFERROR(VALUE(INPUT!$K$3:$K$5000),0)*IFERROR(SUMIFS(INPUT!$E$3:$E$5000,INPUT!$A$3:$A$5000,INPUT!$H$3:$H$5000,INPUT!$C$3:$C$5000,INPUT!$I$3:$I$5000),0)),"")</f>
        <v>0</v>
      </c>
      <c r="AI20" s="160" cm="1">
        <f t="array" ref="AI20">IFERROR(SUMPRODUCT((INPUT!$H$3:$H$5000&gt;=AI$3)*(INPUT!$H$3:$H$5000&lt;=AI$3+6)*(INPUT!$J$3:$J$5000="RUBIO")*ISNUMBER(INPUT!$K$3:$K$5000)*IFERROR(VALUE(INPUT!$K$3:$K$5000),0)*IFERROR(SUMIFS(INPUT!$E$3:$E$5000,INPUT!$A$3:$A$5000,INPUT!$H$3:$H$5000,INPUT!$C$3:$C$5000,INPUT!$I$3:$I$5000),0)),"")</f>
        <v>2315</v>
      </c>
      <c r="AJ20" s="160" cm="1">
        <f t="array" ref="AJ20">IFERROR(SUMPRODUCT((INPUT!$H$3:$H$5000&gt;=AJ$3)*(INPUT!$H$3:$H$5000&lt;=AJ$3+6)*(INPUT!$J$3:$J$5000="RUBIO")*ISNUMBER(INPUT!$K$3:$K$5000)*IFERROR(VALUE(INPUT!$K$3:$K$5000),0)*IFERROR(SUMIFS(INPUT!$E$3:$E$5000,INPUT!$A$3:$A$5000,INPUT!$H$3:$H$5000,INPUT!$C$3:$C$5000,INPUT!$I$3:$I$5000),0)),"")</f>
        <v>0</v>
      </c>
      <c r="AK20" s="160" cm="1">
        <f t="array" ref="AK20">IFERROR(SUMPRODUCT((INPUT!$H$3:$H$5000&gt;=AK$3)*(INPUT!$H$3:$H$5000&lt;=AK$3+6)*(INPUT!$J$3:$J$5000="RUBIO")*ISNUMBER(INPUT!$K$3:$K$5000)*IFERROR(VALUE(INPUT!$K$3:$K$5000),0)*IFERROR(SUMIFS(INPUT!$E$3:$E$5000,INPUT!$A$3:$A$5000,INPUT!$H$3:$H$5000,INPUT!$C$3:$C$5000,INPUT!$I$3:$I$5000),0)),"")</f>
        <v>0</v>
      </c>
      <c r="AL20" s="160" cm="1">
        <f t="array" ref="AL20">IFERROR(SUMPRODUCT((INPUT!$H$3:$H$5000&gt;=AL$3)*(INPUT!$H$3:$H$5000&lt;=AL$3+6)*(INPUT!$J$3:$J$5000="RUBIO")*ISNUMBER(INPUT!$K$3:$K$5000)*IFERROR(VALUE(INPUT!$K$3:$K$5000),0)*IFERROR(SUMIFS(INPUT!$E$3:$E$5000,INPUT!$A$3:$A$5000,INPUT!$H$3:$H$5000,INPUT!$C$3:$C$5000,INPUT!$I$3:$I$5000),0)),"")</f>
        <v>3415</v>
      </c>
      <c r="AM20" s="160" cm="1">
        <f t="array" ref="AM20">IFERROR(SUMPRODUCT((INPUT!$H$3:$H$5000&gt;=AM$3)*(INPUT!$H$3:$H$5000&lt;=AM$3+6)*(INPUT!$J$3:$J$5000="RUBIO")*ISNUMBER(INPUT!$K$3:$K$5000)*IFERROR(VALUE(INPUT!$K$3:$K$5000),0)*IFERROR(SUMIFS(INPUT!$E$3:$E$5000,INPUT!$A$3:$A$5000,INPUT!$H$3:$H$5000,INPUT!$C$3:$C$5000,INPUT!$I$3:$I$5000),0)),"")</f>
        <v>4220</v>
      </c>
      <c r="AN20" s="160" cm="1">
        <f t="array" ref="AN20">IFERROR(SUMPRODUCT((INPUT!$H$3:$H$5000&gt;=AN$3)*(INPUT!$H$3:$H$5000&lt;=AN$3+6)*(INPUT!$J$3:$J$5000="RUBIO")*ISNUMBER(INPUT!$K$3:$K$5000)*IFERROR(VALUE(INPUT!$K$3:$K$5000),0)*IFERROR(SUMIFS(INPUT!$E$3:$E$5000,INPUT!$A$3:$A$5000,INPUT!$H$3:$H$5000,INPUT!$C$3:$C$5000,INPUT!$I$3:$I$5000),0)),"")</f>
        <v>0</v>
      </c>
      <c r="AO20" s="160" cm="1">
        <f t="array" ref="AO20">IFERROR(SUMPRODUCT((INPUT!$H$3:$H$5000&gt;=AO$3)*(INPUT!$H$3:$H$5000&lt;=AO$3+6)*(INPUT!$J$3:$J$5000="RUBIO")*ISNUMBER(INPUT!$K$3:$K$5000)*IFERROR(VALUE(INPUT!$K$3:$K$5000),0)*IFERROR(SUMIFS(INPUT!$E$3:$E$5000,INPUT!$A$3:$A$5000,INPUT!$H$3:$H$5000,INPUT!$C$3:$C$5000,INPUT!$I$3:$I$5000),0)),"")</f>
        <v>0</v>
      </c>
      <c r="AP20" s="160" cm="1">
        <f t="array" ref="AP20">IFERROR(SUMPRODUCT((INPUT!$H$3:$H$5000&gt;=AP$3)*(INPUT!$H$3:$H$5000&lt;=AP$3+6)*(INPUT!$J$3:$J$5000="RUBIO")*ISNUMBER(INPUT!$K$3:$K$5000)*IFERROR(VALUE(INPUT!$K$3:$K$5000),0)*IFERROR(SUMIFS(INPUT!$E$3:$E$5000,INPUT!$A$3:$A$5000,INPUT!$H$3:$H$5000,INPUT!$C$3:$C$5000,INPUT!$I$3:$I$5000),0)),"")</f>
        <v>0</v>
      </c>
      <c r="AQ20" s="160" cm="1">
        <f t="array" ref="AQ20">IFERROR(SUMPRODUCT((INPUT!$H$3:$H$5000&gt;=AQ$3)*(INPUT!$H$3:$H$5000&lt;=AQ$3+6)*(INPUT!$J$3:$J$5000="RUBIO")*ISNUMBER(INPUT!$K$3:$K$5000)*IFERROR(VALUE(INPUT!$K$3:$K$5000),0)*IFERROR(SUMIFS(INPUT!$E$3:$E$5000,INPUT!$A$3:$A$5000,INPUT!$H$3:$H$5000,INPUT!$C$3:$C$5000,INPUT!$I$3:$I$5000),0)),"")</f>
        <v>0</v>
      </c>
      <c r="AR20" s="160" cm="1">
        <f t="array" ref="AR20">IFERROR(SUMPRODUCT((INPUT!$H$3:$H$5000&gt;=AR$3)*(INPUT!$H$3:$H$5000&lt;=AR$3+6)*(INPUT!$J$3:$J$5000="RUBIO")*ISNUMBER(INPUT!$K$3:$K$5000)*IFERROR(VALUE(INPUT!$K$3:$K$5000),0)*IFERROR(SUMIFS(INPUT!$E$3:$E$5000,INPUT!$A$3:$A$5000,INPUT!$H$3:$H$5000,INPUT!$C$3:$C$5000,INPUT!$I$3:$I$5000),0)),"")</f>
        <v>0</v>
      </c>
      <c r="AS20" s="160" cm="1">
        <f t="array" ref="AS20">IFERROR(SUMPRODUCT((INPUT!$H$3:$H$5000&gt;=AS$3)*(INPUT!$H$3:$H$5000&lt;=AS$3+6)*(INPUT!$J$3:$J$5000="RUBIO")*ISNUMBER(INPUT!$K$3:$K$5000)*IFERROR(VALUE(INPUT!$K$3:$K$5000),0)*IFERROR(SUMIFS(INPUT!$E$3:$E$5000,INPUT!$A$3:$A$5000,INPUT!$H$3:$H$5000,INPUT!$C$3:$C$5000,INPUT!$I$3:$I$5000),0)),"")</f>
        <v>0</v>
      </c>
      <c r="AT20" s="160" cm="1">
        <f t="array" ref="AT20">IFERROR(SUMPRODUCT((INPUT!$H$3:$H$5000&gt;=AT$3)*(INPUT!$H$3:$H$5000&lt;=AT$3+6)*(INPUT!$J$3:$J$5000="RUBIO")*ISNUMBER(INPUT!$K$3:$K$5000)*IFERROR(VALUE(INPUT!$K$3:$K$5000),0)*IFERROR(SUMIFS(INPUT!$E$3:$E$5000,INPUT!$A$3:$A$5000,INPUT!$H$3:$H$5000,INPUT!$C$3:$C$5000,INPUT!$I$3:$I$5000),0)),"")</f>
        <v>0</v>
      </c>
      <c r="AU20" s="160" cm="1">
        <f t="array" ref="AU20">IFERROR(SUMPRODUCT((INPUT!$H$3:$H$5000&gt;=AU$3)*(INPUT!$H$3:$H$5000&lt;=AU$3+6)*(INPUT!$J$3:$J$5000="RUBIO")*ISNUMBER(INPUT!$K$3:$K$5000)*IFERROR(VALUE(INPUT!$K$3:$K$5000),0)*IFERROR(SUMIFS(INPUT!$E$3:$E$5000,INPUT!$A$3:$A$5000,INPUT!$H$3:$H$5000,INPUT!$C$3:$C$5000,INPUT!$I$3:$I$5000),0)),"")</f>
        <v>0</v>
      </c>
      <c r="AV20" s="160" cm="1">
        <f t="array" ref="AV20">IFERROR(SUMPRODUCT((INPUT!$H$3:$H$5000&gt;=AV$3)*(INPUT!$H$3:$H$5000&lt;=AV$3+6)*(INPUT!$J$3:$J$5000="RUBIO")*ISNUMBER(INPUT!$K$3:$K$5000)*IFERROR(VALUE(INPUT!$K$3:$K$5000),0)*IFERROR(SUMIFS(INPUT!$E$3:$E$5000,INPUT!$A$3:$A$5000,INPUT!$H$3:$H$5000,INPUT!$C$3:$C$5000,INPUT!$I$3:$I$5000),0)),"")</f>
        <v>0</v>
      </c>
      <c r="AW20" s="160" cm="1">
        <f t="array" ref="AW20">IFERROR(SUMPRODUCT((INPUT!$H$3:$H$5000&gt;=AW$3)*(INPUT!$H$3:$H$5000&lt;=AW$3+6)*(INPUT!$J$3:$J$5000="RUBIO")*ISNUMBER(INPUT!$K$3:$K$5000)*IFERROR(VALUE(INPUT!$K$3:$K$5000),0)*IFERROR(SUMIFS(INPUT!$E$3:$E$5000,INPUT!$A$3:$A$5000,INPUT!$H$3:$H$5000,INPUT!$C$3:$C$5000,INPUT!$I$3:$I$5000),0)),"")</f>
        <v>0</v>
      </c>
      <c r="AX20" s="160" cm="1">
        <f t="array" ref="AX20">IFERROR(SUMPRODUCT((INPUT!$H$3:$H$5000&gt;=AX$3)*(INPUT!$H$3:$H$5000&lt;=AX$3+6)*(INPUT!$J$3:$J$5000="RUBIO")*ISNUMBER(INPUT!$K$3:$K$5000)*IFERROR(VALUE(INPUT!$K$3:$K$5000),0)*IFERROR(SUMIFS(INPUT!$E$3:$E$5000,INPUT!$A$3:$A$5000,INPUT!$H$3:$H$5000,INPUT!$C$3:$C$5000,INPUT!$I$3:$I$5000),0)),"")</f>
        <v>0</v>
      </c>
      <c r="AY20" s="160" cm="1">
        <f t="array" ref="AY20">IFERROR(SUMPRODUCT((INPUT!$H$3:$H$5000&gt;=AY$3)*(INPUT!$H$3:$H$5000&lt;=AY$3+6)*(INPUT!$J$3:$J$5000="RUBIO")*ISNUMBER(INPUT!$K$3:$K$5000)*IFERROR(VALUE(INPUT!$K$3:$K$5000),0)*IFERROR(SUMIFS(INPUT!$E$3:$E$5000,INPUT!$A$3:$A$5000,INPUT!$H$3:$H$5000,INPUT!$C$3:$C$5000,INPUT!$I$3:$I$5000),0)),"")</f>
        <v>0</v>
      </c>
      <c r="AZ20" s="160" cm="1">
        <f t="array" ref="AZ20">IFERROR(SUMPRODUCT((INPUT!$H$3:$H$5000&gt;=AZ$3)*(INPUT!$H$3:$H$5000&lt;=AZ$3+6)*(INPUT!$J$3:$J$5000="RUBIO")*ISNUMBER(INPUT!$K$3:$K$5000)*IFERROR(VALUE(INPUT!$K$3:$K$5000),0)*IFERROR(SUMIFS(INPUT!$E$3:$E$5000,INPUT!$A$3:$A$5000,INPUT!$H$3:$H$5000,INPUT!$C$3:$C$5000,INPUT!$I$3:$I$5000),0)),"")</f>
        <v>0</v>
      </c>
      <c r="BA20" s="160" cm="1">
        <f t="array" ref="BA20">IFERROR(SUMPRODUCT((INPUT!$H$3:$H$5000&gt;=BA$3)*(INPUT!$H$3:$H$5000&lt;=BA$3+6)*(INPUT!$J$3:$J$5000="RUBIO")*ISNUMBER(INPUT!$K$3:$K$5000)*IFERROR(VALUE(INPUT!$K$3:$K$5000),0)*IFERROR(SUMIFS(INPUT!$E$3:$E$5000,INPUT!$A$3:$A$5000,INPUT!$H$3:$H$5000,INPUT!$C$3:$C$5000,INPUT!$I$3:$I$5000),0)),"")</f>
        <v>0</v>
      </c>
      <c r="BB20" s="161" cm="1">
        <f t="array" ref="BB20">IFERROR(SUMPRODUCT((INPUT!$H$3:$H$5000&gt;=BB$3)*(INPUT!$H$3:$H$5000&lt;=BB$3+6)*(INPUT!$J$3:$J$5000="RUBIO")*ISNUMBER(INPUT!$K$3:$K$5000)*IFERROR(VALUE(INPUT!$K$3:$K$5000),0)*IFERROR(SUMIFS(INPUT!$E$3:$E$5000,INPUT!$A$3:$A$5000,INPUT!$H$3:$H$5000,INPUT!$C$3:$C$5000,INPUT!$I$3:$I$5000),0)),"")</f>
        <v>0</v>
      </c>
    </row>
    <row r="21" spans="1:54" x14ac:dyDescent="0.2">
      <c r="A21" s="56">
        <v>17</v>
      </c>
      <c r="B21" s="9" t="s">
        <v>57</v>
      </c>
      <c r="C21" s="159" cm="1">
        <f t="array" ref="C21">IFERROR(SUMPRODUCT((INPUT!$H$3:$H$5000&gt;=C$3)*(INPUT!$H$3:$H$5000&lt;=C$3+6)*(INPUT!$J$3:$J$5000="DANI")*ISNUMBER(INPUT!$K$3:$K$5000)*IFERROR(VALUE(INPUT!$K$3:$K$5000),0)*IFERROR(SUMIFS(INPUT!$E$3:$E$5000,INPUT!$A$3:$A$5000,INPUT!$H$3:$H$5000,INPUT!$C$3:$C$5000,INPUT!$I$3:$I$5000),0)),"")</f>
        <v>4800</v>
      </c>
      <c r="D21" s="159" cm="1">
        <f t="array" ref="D21">IFERROR(SUMPRODUCT((INPUT!$H$3:$H$5000&gt;=D$3)*(INPUT!$H$3:$H$5000&lt;=D$3+6)*(INPUT!$J$3:$J$5000="DANI")*ISNUMBER(INPUT!$K$3:$K$5000)*IFERROR(VALUE(INPUT!$K$3:$K$5000),0)*IFERROR(SUMIFS(INPUT!$E$3:$E$5000,INPUT!$A$3:$A$5000,INPUT!$H$3:$H$5000,INPUT!$C$3:$C$5000,INPUT!$I$3:$I$5000),0)),"")</f>
        <v>6475</v>
      </c>
      <c r="E21" s="159" cm="1">
        <f t="array" ref="E21">IFERROR(SUMPRODUCT((INPUT!$H$3:$H$5000&gt;=E$3)*(INPUT!$H$3:$H$5000&lt;=E$3+6)*(INPUT!$J$3:$J$5000="DANI")*ISNUMBER(INPUT!$K$3:$K$5000)*IFERROR(VALUE(INPUT!$K$3:$K$5000),0)*IFERROR(SUMIFS(INPUT!$E$3:$E$5000,INPUT!$A$3:$A$5000,INPUT!$H$3:$H$5000,INPUT!$C$3:$C$5000,INPUT!$I$3:$I$5000),0)),"")</f>
        <v>6960</v>
      </c>
      <c r="F21" s="159" cm="1">
        <f t="array" ref="F21">IFERROR(SUMPRODUCT((INPUT!$H$3:$H$5000&gt;=F$3)*(INPUT!$H$3:$H$5000&lt;=F$3+6)*(INPUT!$J$3:$J$5000="DANI")*ISNUMBER(INPUT!$K$3:$K$5000)*IFERROR(VALUE(INPUT!$K$3:$K$5000),0)*IFERROR(SUMIFS(INPUT!$E$3:$E$5000,INPUT!$A$3:$A$5000,INPUT!$H$3:$H$5000,INPUT!$C$3:$C$5000,INPUT!$I$3:$I$5000),0)),"")</f>
        <v>5465</v>
      </c>
      <c r="G21" s="159" cm="1">
        <f t="array" ref="G21">IFERROR(SUMPRODUCT((INPUT!$H$3:$H$5000&gt;=G$3)*(INPUT!$H$3:$H$5000&lt;=G$3+6)*(INPUT!$J$3:$J$5000="DANI")*ISNUMBER(INPUT!$K$3:$K$5000)*IFERROR(VALUE(INPUT!$K$3:$K$5000),0)*IFERROR(SUMIFS(INPUT!$E$3:$E$5000,INPUT!$A$3:$A$5000,INPUT!$H$3:$H$5000,INPUT!$C$3:$C$5000,INPUT!$I$3:$I$5000),0)),"")</f>
        <v>4050</v>
      </c>
      <c r="H21" s="159" cm="1">
        <f t="array" ref="H21">IFERROR(SUMPRODUCT((INPUT!$H$3:$H$5000&gt;=H$3)*(INPUT!$H$3:$H$5000&lt;=H$3+6)*(INPUT!$J$3:$J$5000="DANI")*ISNUMBER(INPUT!$K$3:$K$5000)*IFERROR(VALUE(INPUT!$K$3:$K$5000),0)*IFERROR(SUMIFS(INPUT!$E$3:$E$5000,INPUT!$A$3:$A$5000,INPUT!$H$3:$H$5000,INPUT!$C$3:$C$5000,INPUT!$I$3:$I$5000),0)),"")</f>
        <v>3245</v>
      </c>
      <c r="I21" s="160" cm="1">
        <f t="array" ref="I21">IFERROR(SUMPRODUCT((INPUT!$H$3:$H$5000&gt;=I$3)*(INPUT!$H$3:$H$5000&lt;=I$3+6)*(INPUT!$J$3:$J$5000="DANI")*ISNUMBER(INPUT!$K$3:$K$5000)*IFERROR(VALUE(INPUT!$K$3:$K$5000),0)*IFERROR(SUMIFS(INPUT!$E$3:$E$5000,INPUT!$A$3:$A$5000,INPUT!$H$3:$H$5000,INPUT!$C$3:$C$5000,INPUT!$I$3:$I$5000),0)),"")</f>
        <v>450</v>
      </c>
      <c r="J21" s="159" cm="1">
        <f t="array" ref="J21">IFERROR(SUMPRODUCT((INPUT!$H$3:$H$5000&gt;=J$3)*(INPUT!$H$3:$H$5000&lt;=J$3+6)*(INPUT!$J$3:$J$5000="DANI")*ISNUMBER(INPUT!$K$3:$K$5000)*IFERROR(VALUE(INPUT!$K$3:$K$5000),0)*IFERROR(SUMIFS(INPUT!$E$3:$E$5000,INPUT!$A$3:$A$5000,INPUT!$H$3:$H$5000,INPUT!$C$3:$C$5000,INPUT!$I$3:$I$5000),0)),"")</f>
        <v>3780</v>
      </c>
      <c r="K21" s="159" cm="1">
        <f t="array" ref="K21">IFERROR(SUMPRODUCT((INPUT!$H$3:$H$5000&gt;=K$3)*(INPUT!$H$3:$H$5000&lt;=K$3+6)*(INPUT!$J$3:$J$5000="DANI")*ISNUMBER(INPUT!$K$3:$K$5000)*IFERROR(VALUE(INPUT!$K$3:$K$5000),0)*IFERROR(SUMIFS(INPUT!$E$3:$E$5000,INPUT!$A$3:$A$5000,INPUT!$H$3:$H$5000,INPUT!$C$3:$C$5000,INPUT!$I$3:$I$5000),0)),"")</f>
        <v>3810</v>
      </c>
      <c r="L21" s="160" cm="1">
        <f t="array" ref="L21">IFERROR(SUMPRODUCT((INPUT!$H$3:$H$5000&gt;=L$3)*(INPUT!$H$3:$H$5000&lt;=L$3+6)*(INPUT!$J$3:$J$5000="DANI")*ISNUMBER(INPUT!$K$3:$K$5000)*IFERROR(VALUE(INPUT!$K$3:$K$5000),0)*IFERROR(SUMIFS(INPUT!$E$3:$E$5000,INPUT!$A$3:$A$5000,INPUT!$H$3:$H$5000,INPUT!$C$3:$C$5000,INPUT!$I$3:$I$5000),0)),"")</f>
        <v>3225</v>
      </c>
      <c r="M21" s="160" cm="1">
        <f t="array" ref="M21">IFERROR(SUMPRODUCT((INPUT!$H$3:$H$5000&gt;=M$3)*(INPUT!$H$3:$H$5000&lt;=M$3+6)*(INPUT!$J$3:$J$5000="DANI")*ISNUMBER(INPUT!$K$3:$K$5000)*IFERROR(VALUE(INPUT!$K$3:$K$5000),0)*IFERROR(SUMIFS(INPUT!$E$3:$E$5000,INPUT!$A$3:$A$5000,INPUT!$H$3:$H$5000,INPUT!$C$3:$C$5000,INPUT!$I$3:$I$5000),0)),"")</f>
        <v>1340</v>
      </c>
      <c r="N21" s="160" cm="1">
        <f t="array" ref="N21">IFERROR(SUMPRODUCT((INPUT!$H$3:$H$5000&gt;=N$3)*(INPUT!$H$3:$H$5000&lt;=N$3+6)*(INPUT!$J$3:$J$5000="DANI")*ISNUMBER(INPUT!$K$3:$K$5000)*IFERROR(VALUE(INPUT!$K$3:$K$5000),0)*IFERROR(SUMIFS(INPUT!$E$3:$E$5000,INPUT!$A$3:$A$5000,INPUT!$H$3:$H$5000,INPUT!$C$3:$C$5000,INPUT!$I$3:$I$5000),0)),"")</f>
        <v>3370</v>
      </c>
      <c r="O21" s="160" cm="1">
        <f t="array" ref="O21">IFERROR(SUMPRODUCT((INPUT!$H$3:$H$5000&gt;=O$3)*(INPUT!$H$3:$H$5000&lt;=O$3+6)*(INPUT!$J$3:$J$5000="DANI")*ISNUMBER(INPUT!$K$3:$K$5000)*IFERROR(VALUE(INPUT!$K$3:$K$5000),0)*IFERROR(SUMIFS(INPUT!$E$3:$E$5000,INPUT!$A$3:$A$5000,INPUT!$H$3:$H$5000,INPUT!$C$3:$C$5000,INPUT!$I$3:$I$5000),0)),"")</f>
        <v>3965</v>
      </c>
      <c r="P21" s="160" cm="1">
        <f t="array" ref="P21">IFERROR(SUMPRODUCT((INPUT!$H$3:$H$5000&gt;=P$3)*(INPUT!$H$3:$H$5000&lt;=P$3+6)*(INPUT!$J$3:$J$5000="DANI")*ISNUMBER(INPUT!$K$3:$K$5000)*IFERROR(VALUE(INPUT!$K$3:$K$5000),0)*IFERROR(SUMIFS(INPUT!$E$3:$E$5000,INPUT!$A$3:$A$5000,INPUT!$H$3:$H$5000,INPUT!$C$3:$C$5000,INPUT!$I$3:$I$5000),0)),"")</f>
        <v>3465</v>
      </c>
      <c r="Q21" s="160" cm="1">
        <f t="array" ref="Q21">IFERROR(SUMPRODUCT((INPUT!$H$3:$H$5000&gt;=Q$3)*(INPUT!$H$3:$H$5000&lt;=Q$3+6)*(INPUT!$J$3:$J$5000="DANI")*ISNUMBER(INPUT!$K$3:$K$5000)*IFERROR(VALUE(INPUT!$K$3:$K$5000),0)*IFERROR(SUMIFS(INPUT!$E$3:$E$5000,INPUT!$A$3:$A$5000,INPUT!$H$3:$H$5000,INPUT!$C$3:$C$5000,INPUT!$I$3:$I$5000),0)),"")</f>
        <v>2360</v>
      </c>
      <c r="R21" s="160" cm="1">
        <f t="array" ref="R21">IFERROR(SUMPRODUCT((INPUT!$H$3:$H$5000&gt;=R$3)*(INPUT!$H$3:$H$5000&lt;=R$3+6)*(INPUT!$J$3:$J$5000="DANI")*ISNUMBER(INPUT!$K$3:$K$5000)*IFERROR(VALUE(INPUT!$K$3:$K$5000),0)*IFERROR(SUMIFS(INPUT!$E$3:$E$5000,INPUT!$A$3:$A$5000,INPUT!$H$3:$H$5000,INPUT!$C$3:$C$5000,INPUT!$I$3:$I$5000),0)),"")</f>
        <v>3920</v>
      </c>
      <c r="S21" s="160" cm="1">
        <f t="array" ref="S21">IFERROR(SUMPRODUCT((INPUT!$H$3:$H$5000&gt;=S$3)*(INPUT!$H$3:$H$5000&lt;=S$3+6)*(INPUT!$J$3:$J$5000="DANI")*ISNUMBER(INPUT!$K$3:$K$5000)*IFERROR(VALUE(INPUT!$K$3:$K$5000),0)*IFERROR(SUMIFS(INPUT!$E$3:$E$5000,INPUT!$A$3:$A$5000,INPUT!$H$3:$H$5000,INPUT!$C$3:$C$5000,INPUT!$I$3:$I$5000),0)),"")</f>
        <v>3310</v>
      </c>
      <c r="T21" s="160" cm="1">
        <f t="array" ref="T21">IFERROR(SUMPRODUCT((INPUT!$H$3:$H$5000&gt;=T$3)*(INPUT!$H$3:$H$5000&lt;=T$3+6)*(INPUT!$J$3:$J$5000="DANI")*ISNUMBER(INPUT!$K$3:$K$5000)*IFERROR(VALUE(INPUT!$K$3:$K$5000),0)*IFERROR(SUMIFS(INPUT!$E$3:$E$5000,INPUT!$A$3:$A$5000,INPUT!$H$3:$H$5000,INPUT!$C$3:$C$5000,INPUT!$I$3:$I$5000),0)),"")</f>
        <v>1885</v>
      </c>
      <c r="U21" s="160" cm="1">
        <f t="array" ref="U21">IFERROR(SUMPRODUCT((INPUT!$H$3:$H$5000&gt;=U$3)*(INPUT!$H$3:$H$5000&lt;=U$3+6)*(INPUT!$J$3:$J$5000="DANI")*ISNUMBER(INPUT!$K$3:$K$5000)*IFERROR(VALUE(INPUT!$K$3:$K$5000),0)*IFERROR(SUMIFS(INPUT!$E$3:$E$5000,INPUT!$A$3:$A$5000,INPUT!$H$3:$H$5000,INPUT!$C$3:$C$5000,INPUT!$I$3:$I$5000),0)),"")</f>
        <v>3900</v>
      </c>
      <c r="V21" s="160" cm="1">
        <f t="array" ref="V21">IFERROR(SUMPRODUCT((INPUT!$H$3:$H$5000&gt;=V$3)*(INPUT!$H$3:$H$5000&lt;=V$3+6)*(INPUT!$J$3:$J$5000="DANI")*ISNUMBER(INPUT!$K$3:$K$5000)*IFERROR(VALUE(INPUT!$K$3:$K$5000),0)*IFERROR(SUMIFS(INPUT!$E$3:$E$5000,INPUT!$A$3:$A$5000,INPUT!$H$3:$H$5000,INPUT!$C$3:$C$5000,INPUT!$I$3:$I$5000),0)),"")</f>
        <v>1635</v>
      </c>
      <c r="W21" s="160" cm="1">
        <f t="array" ref="W21">IFERROR(SUMPRODUCT((INPUT!$H$3:$H$5000&gt;=W$3)*(INPUT!$H$3:$H$5000&lt;=W$3+6)*(INPUT!$J$3:$J$5000="DANI")*ISNUMBER(INPUT!$K$3:$K$5000)*IFERROR(VALUE(INPUT!$K$3:$K$5000),0)*IFERROR(SUMIFS(INPUT!$E$3:$E$5000,INPUT!$A$3:$A$5000,INPUT!$H$3:$H$5000,INPUT!$C$3:$C$5000,INPUT!$I$3:$I$5000),0)),"")</f>
        <v>2845</v>
      </c>
      <c r="X21" s="160" cm="1">
        <f t="array" ref="X21">IFERROR(SUMPRODUCT((INPUT!$H$3:$H$5000&gt;=X$3)*(INPUT!$H$3:$H$5000&lt;=X$3+6)*(INPUT!$J$3:$J$5000="DANI")*ISNUMBER(INPUT!$K$3:$K$5000)*IFERROR(VALUE(INPUT!$K$3:$K$5000),0)*IFERROR(SUMIFS(INPUT!$E$3:$E$5000,INPUT!$A$3:$A$5000,INPUT!$H$3:$H$5000,INPUT!$C$3:$C$5000,INPUT!$I$3:$I$5000),0)),"")</f>
        <v>2655</v>
      </c>
      <c r="Y21" s="160" cm="1">
        <f t="array" ref="Y21">IFERROR(SUMPRODUCT((INPUT!$H$3:$H$5000&gt;=Y$3)*(INPUT!$H$3:$H$5000&lt;=Y$3+6)*(INPUT!$J$3:$J$5000="DANI")*ISNUMBER(INPUT!$K$3:$K$5000)*IFERROR(VALUE(INPUT!$K$3:$K$5000),0)*IFERROR(SUMIFS(INPUT!$E$3:$E$5000,INPUT!$A$3:$A$5000,INPUT!$H$3:$H$5000,INPUT!$C$3:$C$5000,INPUT!$I$3:$I$5000),0)),"")</f>
        <v>3165</v>
      </c>
      <c r="Z21" s="160" cm="1">
        <f t="array" ref="Z21">IFERROR(SUMPRODUCT((INPUT!$H$3:$H$5000&gt;=Z$3)*(INPUT!$H$3:$H$5000&lt;=Z$3+6)*(INPUT!$J$3:$J$5000="DANI")*ISNUMBER(INPUT!$K$3:$K$5000)*IFERROR(VALUE(INPUT!$K$3:$K$5000),0)*IFERROR(SUMIFS(INPUT!$E$3:$E$5000,INPUT!$A$3:$A$5000,INPUT!$H$3:$H$5000,INPUT!$C$3:$C$5000,INPUT!$I$3:$I$5000),0)),"")</f>
        <v>1755</v>
      </c>
      <c r="AA21" s="160" cm="1">
        <f t="array" ref="AA21">IFERROR(SUMPRODUCT((INPUT!$H$3:$H$5000&gt;=AA$3)*(INPUT!$H$3:$H$5000&lt;=AA$3+6)*(INPUT!$J$3:$J$5000="DANI")*ISNUMBER(INPUT!$K$3:$K$5000)*IFERROR(VALUE(INPUT!$K$3:$K$5000),0)*IFERROR(SUMIFS(INPUT!$E$3:$E$5000,INPUT!$A$3:$A$5000,INPUT!$H$3:$H$5000,INPUT!$C$3:$C$5000,INPUT!$I$3:$I$5000),0)),"")</f>
        <v>0</v>
      </c>
      <c r="AB21" s="160" cm="1">
        <f t="array" ref="AB21">IFERROR(SUMPRODUCT((INPUT!$H$3:$H$5000&gt;=AB$3)*(INPUT!$H$3:$H$5000&lt;=AB$3+6)*(INPUT!$J$3:$J$5000="DANI")*ISNUMBER(INPUT!$K$3:$K$5000)*IFERROR(VALUE(INPUT!$K$3:$K$5000),0)*IFERROR(SUMIFS(INPUT!$E$3:$E$5000,INPUT!$A$3:$A$5000,INPUT!$H$3:$H$5000,INPUT!$C$3:$C$5000,INPUT!$I$3:$I$5000),0)),"")</f>
        <v>4890</v>
      </c>
      <c r="AC21" s="160" cm="1">
        <f t="array" ref="AC21">IFERROR(SUMPRODUCT((INPUT!$H$3:$H$5000&gt;=AC$3)*(INPUT!$H$3:$H$5000&lt;=AC$3+6)*(INPUT!$J$3:$J$5000="DANI")*ISNUMBER(INPUT!$K$3:$K$5000)*IFERROR(VALUE(INPUT!$K$3:$K$5000),0)*IFERROR(SUMIFS(INPUT!$E$3:$E$5000,INPUT!$A$3:$A$5000,INPUT!$H$3:$H$5000,INPUT!$C$3:$C$5000,INPUT!$I$3:$I$5000),0)),"")</f>
        <v>4605</v>
      </c>
      <c r="AD21" s="160" cm="1">
        <f t="array" ref="AD21">IFERROR(SUMPRODUCT((INPUT!$H$3:$H$5000&gt;=AD$3)*(INPUT!$H$3:$H$5000&lt;=AD$3+6)*(INPUT!$J$3:$J$5000="DANI")*ISNUMBER(INPUT!$K$3:$K$5000)*IFERROR(VALUE(INPUT!$K$3:$K$5000),0)*IFERROR(SUMIFS(INPUT!$E$3:$E$5000,INPUT!$A$3:$A$5000,INPUT!$H$3:$H$5000,INPUT!$C$3:$C$5000,INPUT!$I$3:$I$5000),0)),"")</f>
        <v>4285</v>
      </c>
      <c r="AE21" s="160" cm="1">
        <f t="array" ref="AE21">IFERROR(SUMPRODUCT((INPUT!$H$3:$H$5000&gt;=AE$3)*(INPUT!$H$3:$H$5000&lt;=AE$3+6)*(INPUT!$J$3:$J$5000="DANI")*ISNUMBER(INPUT!$K$3:$K$5000)*IFERROR(VALUE(INPUT!$K$3:$K$5000),0)*IFERROR(SUMIFS(INPUT!$E$3:$E$5000,INPUT!$A$3:$A$5000,INPUT!$H$3:$H$5000,INPUT!$C$3:$C$5000,INPUT!$I$3:$I$5000),0)),"")</f>
        <v>2005</v>
      </c>
      <c r="AF21" s="160" cm="1">
        <f t="array" ref="AF21">IFERROR(SUMPRODUCT((INPUT!$H$3:$H$5000&gt;=AF$3)*(INPUT!$H$3:$H$5000&lt;=AF$3+6)*(INPUT!$J$3:$J$5000="DANI")*ISNUMBER(INPUT!$K$3:$K$5000)*IFERROR(VALUE(INPUT!$K$3:$K$5000),0)*IFERROR(SUMIFS(INPUT!$E$3:$E$5000,INPUT!$A$3:$A$5000,INPUT!$H$3:$H$5000,INPUT!$C$3:$C$5000,INPUT!$I$3:$I$5000),0)),"")</f>
        <v>2480</v>
      </c>
      <c r="AG21" s="160" cm="1">
        <f t="array" ref="AG21">IFERROR(SUMPRODUCT((INPUT!$H$3:$H$5000&gt;=AG$3)*(INPUT!$H$3:$H$5000&lt;=AG$3+6)*(INPUT!$J$3:$J$5000="DANI")*ISNUMBER(INPUT!$K$3:$K$5000)*IFERROR(VALUE(INPUT!$K$3:$K$5000),0)*IFERROR(SUMIFS(INPUT!$E$3:$E$5000,INPUT!$A$3:$A$5000,INPUT!$H$3:$H$5000,INPUT!$C$3:$C$5000,INPUT!$I$3:$I$5000),0)),"")</f>
        <v>4510</v>
      </c>
      <c r="AH21" s="160" cm="1">
        <f t="array" ref="AH21">IFERROR(SUMPRODUCT((INPUT!$H$3:$H$5000&gt;=AH$3)*(INPUT!$H$3:$H$5000&lt;=AH$3+6)*(INPUT!$J$3:$J$5000="DANI")*ISNUMBER(INPUT!$K$3:$K$5000)*IFERROR(VALUE(INPUT!$K$3:$K$5000),0)*IFERROR(SUMIFS(INPUT!$E$3:$E$5000,INPUT!$A$3:$A$5000,INPUT!$H$3:$H$5000,INPUT!$C$3:$C$5000,INPUT!$I$3:$I$5000),0)),"")</f>
        <v>1960</v>
      </c>
      <c r="AI21" s="160" cm="1">
        <f t="array" ref="AI21">IFERROR(SUMPRODUCT((INPUT!$H$3:$H$5000&gt;=AI$3)*(INPUT!$H$3:$H$5000&lt;=AI$3+6)*(INPUT!$J$3:$J$5000="DANI")*ISNUMBER(INPUT!$K$3:$K$5000)*IFERROR(VALUE(INPUT!$K$3:$K$5000),0)*IFERROR(SUMIFS(INPUT!$E$3:$E$5000,INPUT!$A$3:$A$5000,INPUT!$H$3:$H$5000,INPUT!$C$3:$C$5000,INPUT!$I$3:$I$5000),0)),"")</f>
        <v>3535</v>
      </c>
      <c r="AJ21" s="160" cm="1">
        <f t="array" ref="AJ21">IFERROR(SUMPRODUCT((INPUT!$H$3:$H$5000&gt;=AJ$3)*(INPUT!$H$3:$H$5000&lt;=AJ$3+6)*(INPUT!$J$3:$J$5000="DANI")*ISNUMBER(INPUT!$K$3:$K$5000)*IFERROR(VALUE(INPUT!$K$3:$K$5000),0)*IFERROR(SUMIFS(INPUT!$E$3:$E$5000,INPUT!$A$3:$A$5000,INPUT!$H$3:$H$5000,INPUT!$C$3:$C$5000,INPUT!$I$3:$I$5000),0)),"")</f>
        <v>1475</v>
      </c>
      <c r="AK21" s="160" cm="1">
        <f t="array" ref="AK21">IFERROR(SUMPRODUCT((INPUT!$H$3:$H$5000&gt;=AK$3)*(INPUT!$H$3:$H$5000&lt;=AK$3+6)*(INPUT!$J$3:$J$5000="DANI")*ISNUMBER(INPUT!$K$3:$K$5000)*IFERROR(VALUE(INPUT!$K$3:$K$5000),0)*IFERROR(SUMIFS(INPUT!$E$3:$E$5000,INPUT!$A$3:$A$5000,INPUT!$H$3:$H$5000,INPUT!$C$3:$C$5000,INPUT!$I$3:$I$5000),0)),"")</f>
        <v>2580</v>
      </c>
      <c r="AL21" s="160" cm="1">
        <f t="array" ref="AL21">IFERROR(SUMPRODUCT((INPUT!$H$3:$H$5000&gt;=AL$3)*(INPUT!$H$3:$H$5000&lt;=AL$3+6)*(INPUT!$J$3:$J$5000="DANI")*ISNUMBER(INPUT!$K$3:$K$5000)*IFERROR(VALUE(INPUT!$K$3:$K$5000),0)*IFERROR(SUMIFS(INPUT!$E$3:$E$5000,INPUT!$A$3:$A$5000,INPUT!$H$3:$H$5000,INPUT!$C$3:$C$5000,INPUT!$I$3:$I$5000),0)),"")</f>
        <v>1250</v>
      </c>
      <c r="AM21" s="160" cm="1">
        <f t="array" ref="AM21">IFERROR(SUMPRODUCT((INPUT!$H$3:$H$5000&gt;=AM$3)*(INPUT!$H$3:$H$5000&lt;=AM$3+6)*(INPUT!$J$3:$J$5000="DANI")*ISNUMBER(INPUT!$K$3:$K$5000)*IFERROR(VALUE(INPUT!$K$3:$K$5000),0)*IFERROR(SUMIFS(INPUT!$E$3:$E$5000,INPUT!$A$3:$A$5000,INPUT!$H$3:$H$5000,INPUT!$C$3:$C$5000,INPUT!$I$3:$I$5000),0)),"")</f>
        <v>4470</v>
      </c>
      <c r="AN21" s="160" cm="1">
        <f t="array" ref="AN21">IFERROR(SUMPRODUCT((INPUT!$H$3:$H$5000&gt;=AN$3)*(INPUT!$H$3:$H$5000&lt;=AN$3+6)*(INPUT!$J$3:$J$5000="DANI")*ISNUMBER(INPUT!$K$3:$K$5000)*IFERROR(VALUE(INPUT!$K$3:$K$5000),0)*IFERROR(SUMIFS(INPUT!$E$3:$E$5000,INPUT!$A$3:$A$5000,INPUT!$H$3:$H$5000,INPUT!$C$3:$C$5000,INPUT!$I$3:$I$5000),0)),"")</f>
        <v>3425</v>
      </c>
      <c r="AO21" s="160" cm="1">
        <f t="array" ref="AO21">IFERROR(SUMPRODUCT((INPUT!$H$3:$H$5000&gt;=AO$3)*(INPUT!$H$3:$H$5000&lt;=AO$3+6)*(INPUT!$J$3:$J$5000="DANI")*ISNUMBER(INPUT!$K$3:$K$5000)*IFERROR(VALUE(INPUT!$K$3:$K$5000),0)*IFERROR(SUMIFS(INPUT!$E$3:$E$5000,INPUT!$A$3:$A$5000,INPUT!$H$3:$H$5000,INPUT!$C$3:$C$5000,INPUT!$I$3:$I$5000),0)),"")</f>
        <v>0</v>
      </c>
      <c r="AP21" s="160" cm="1">
        <f t="array" ref="AP21">IFERROR(SUMPRODUCT((INPUT!$H$3:$H$5000&gt;=AP$3)*(INPUT!$H$3:$H$5000&lt;=AP$3+6)*(INPUT!$J$3:$J$5000="DANI")*ISNUMBER(INPUT!$K$3:$K$5000)*IFERROR(VALUE(INPUT!$K$3:$K$5000),0)*IFERROR(SUMIFS(INPUT!$E$3:$E$5000,INPUT!$A$3:$A$5000,INPUT!$H$3:$H$5000,INPUT!$C$3:$C$5000,INPUT!$I$3:$I$5000),0)),"")</f>
        <v>0</v>
      </c>
      <c r="AQ21" s="160" cm="1">
        <f t="array" ref="AQ21">IFERROR(SUMPRODUCT((INPUT!$H$3:$H$5000&gt;=AQ$3)*(INPUT!$H$3:$H$5000&lt;=AQ$3+6)*(INPUT!$J$3:$J$5000="DANI")*ISNUMBER(INPUT!$K$3:$K$5000)*IFERROR(VALUE(INPUT!$K$3:$K$5000),0)*IFERROR(SUMIFS(INPUT!$E$3:$E$5000,INPUT!$A$3:$A$5000,INPUT!$H$3:$H$5000,INPUT!$C$3:$C$5000,INPUT!$I$3:$I$5000),0)),"")</f>
        <v>0</v>
      </c>
      <c r="AR21" s="160" cm="1">
        <f t="array" ref="AR21">IFERROR(SUMPRODUCT((INPUT!$H$3:$H$5000&gt;=AR$3)*(INPUT!$H$3:$H$5000&lt;=AR$3+6)*(INPUT!$J$3:$J$5000="DANI")*ISNUMBER(INPUT!$K$3:$K$5000)*IFERROR(VALUE(INPUT!$K$3:$K$5000),0)*IFERROR(SUMIFS(INPUT!$E$3:$E$5000,INPUT!$A$3:$A$5000,INPUT!$H$3:$H$5000,INPUT!$C$3:$C$5000,INPUT!$I$3:$I$5000),0)),"")</f>
        <v>0</v>
      </c>
      <c r="AS21" s="160" cm="1">
        <f t="array" ref="AS21">IFERROR(SUMPRODUCT((INPUT!$H$3:$H$5000&gt;=AS$3)*(INPUT!$H$3:$H$5000&lt;=AS$3+6)*(INPUT!$J$3:$J$5000="DANI")*ISNUMBER(INPUT!$K$3:$K$5000)*IFERROR(VALUE(INPUT!$K$3:$K$5000),0)*IFERROR(SUMIFS(INPUT!$E$3:$E$5000,INPUT!$A$3:$A$5000,INPUT!$H$3:$H$5000,INPUT!$C$3:$C$5000,INPUT!$I$3:$I$5000),0)),"")</f>
        <v>0</v>
      </c>
      <c r="AT21" s="160" cm="1">
        <f t="array" ref="AT21">IFERROR(SUMPRODUCT((INPUT!$H$3:$H$5000&gt;=AT$3)*(INPUT!$H$3:$H$5000&lt;=AT$3+6)*(INPUT!$J$3:$J$5000="DANI")*ISNUMBER(INPUT!$K$3:$K$5000)*IFERROR(VALUE(INPUT!$K$3:$K$5000),0)*IFERROR(SUMIFS(INPUT!$E$3:$E$5000,INPUT!$A$3:$A$5000,INPUT!$H$3:$H$5000,INPUT!$C$3:$C$5000,INPUT!$I$3:$I$5000),0)),"")</f>
        <v>0</v>
      </c>
      <c r="AU21" s="160" cm="1">
        <f t="array" ref="AU21">IFERROR(SUMPRODUCT((INPUT!$H$3:$H$5000&gt;=AU$3)*(INPUT!$H$3:$H$5000&lt;=AU$3+6)*(INPUT!$J$3:$J$5000="DANI")*ISNUMBER(INPUT!$K$3:$K$5000)*IFERROR(VALUE(INPUT!$K$3:$K$5000),0)*IFERROR(SUMIFS(INPUT!$E$3:$E$5000,INPUT!$A$3:$A$5000,INPUT!$H$3:$H$5000,INPUT!$C$3:$C$5000,INPUT!$I$3:$I$5000),0)),"")</f>
        <v>0</v>
      </c>
      <c r="AV21" s="160" cm="1">
        <f t="array" ref="AV21">IFERROR(SUMPRODUCT((INPUT!$H$3:$H$5000&gt;=AV$3)*(INPUT!$H$3:$H$5000&lt;=AV$3+6)*(INPUT!$J$3:$J$5000="DANI")*ISNUMBER(INPUT!$K$3:$K$5000)*IFERROR(VALUE(INPUT!$K$3:$K$5000),0)*IFERROR(SUMIFS(INPUT!$E$3:$E$5000,INPUT!$A$3:$A$5000,INPUT!$H$3:$H$5000,INPUT!$C$3:$C$5000,INPUT!$I$3:$I$5000),0)),"")</f>
        <v>0</v>
      </c>
      <c r="AW21" s="160" cm="1">
        <f t="array" ref="AW21">IFERROR(SUMPRODUCT((INPUT!$H$3:$H$5000&gt;=AW$3)*(INPUT!$H$3:$H$5000&lt;=AW$3+6)*(INPUT!$J$3:$J$5000="DANI")*ISNUMBER(INPUT!$K$3:$K$5000)*IFERROR(VALUE(INPUT!$K$3:$K$5000),0)*IFERROR(SUMIFS(INPUT!$E$3:$E$5000,INPUT!$A$3:$A$5000,INPUT!$H$3:$H$5000,INPUT!$C$3:$C$5000,INPUT!$I$3:$I$5000),0)),"")</f>
        <v>0</v>
      </c>
      <c r="AX21" s="160" cm="1">
        <f t="array" ref="AX21">IFERROR(SUMPRODUCT((INPUT!$H$3:$H$5000&gt;=AX$3)*(INPUT!$H$3:$H$5000&lt;=AX$3+6)*(INPUT!$J$3:$J$5000="DANI")*ISNUMBER(INPUT!$K$3:$K$5000)*IFERROR(VALUE(INPUT!$K$3:$K$5000),0)*IFERROR(SUMIFS(INPUT!$E$3:$E$5000,INPUT!$A$3:$A$5000,INPUT!$H$3:$H$5000,INPUT!$C$3:$C$5000,INPUT!$I$3:$I$5000),0)),"")</f>
        <v>0</v>
      </c>
      <c r="AY21" s="160" cm="1">
        <f t="array" ref="AY21">IFERROR(SUMPRODUCT((INPUT!$H$3:$H$5000&gt;=AY$3)*(INPUT!$H$3:$H$5000&lt;=AY$3+6)*(INPUT!$J$3:$J$5000="DANI")*ISNUMBER(INPUT!$K$3:$K$5000)*IFERROR(VALUE(INPUT!$K$3:$K$5000),0)*IFERROR(SUMIFS(INPUT!$E$3:$E$5000,INPUT!$A$3:$A$5000,INPUT!$H$3:$H$5000,INPUT!$C$3:$C$5000,INPUT!$I$3:$I$5000),0)),"")</f>
        <v>0</v>
      </c>
      <c r="AZ21" s="160" cm="1">
        <f t="array" ref="AZ21">IFERROR(SUMPRODUCT((INPUT!$H$3:$H$5000&gt;=AZ$3)*(INPUT!$H$3:$H$5000&lt;=AZ$3+6)*(INPUT!$J$3:$J$5000="DANI")*ISNUMBER(INPUT!$K$3:$K$5000)*IFERROR(VALUE(INPUT!$K$3:$K$5000),0)*IFERROR(SUMIFS(INPUT!$E$3:$E$5000,INPUT!$A$3:$A$5000,INPUT!$H$3:$H$5000,INPUT!$C$3:$C$5000,INPUT!$I$3:$I$5000),0)),"")</f>
        <v>0</v>
      </c>
      <c r="BA21" s="160" cm="1">
        <f t="array" ref="BA21">IFERROR(SUMPRODUCT((INPUT!$H$3:$H$5000&gt;=BA$3)*(INPUT!$H$3:$H$5000&lt;=BA$3+6)*(INPUT!$J$3:$J$5000="DANI")*ISNUMBER(INPUT!$K$3:$K$5000)*IFERROR(VALUE(INPUT!$K$3:$K$5000),0)*IFERROR(SUMIFS(INPUT!$E$3:$E$5000,INPUT!$A$3:$A$5000,INPUT!$H$3:$H$5000,INPUT!$C$3:$C$5000,INPUT!$I$3:$I$5000),0)),"")</f>
        <v>0</v>
      </c>
      <c r="BB21" s="161" cm="1">
        <f t="array" ref="BB21">IFERROR(SUMPRODUCT((INPUT!$H$3:$H$5000&gt;=BB$3)*(INPUT!$H$3:$H$5000&lt;=BB$3+6)*(INPUT!$J$3:$J$5000="DANI")*ISNUMBER(INPUT!$K$3:$K$5000)*IFERROR(VALUE(INPUT!$K$3:$K$5000),0)*IFERROR(SUMIFS(INPUT!$E$3:$E$5000,INPUT!$A$3:$A$5000,INPUT!$H$3:$H$5000,INPUT!$C$3:$C$5000,INPUT!$I$3:$I$5000),0)),"")</f>
        <v>0</v>
      </c>
    </row>
    <row r="22" spans="1:54" x14ac:dyDescent="0.2">
      <c r="A22" s="154">
        <v>18</v>
      </c>
      <c r="B22" s="81" t="s">
        <v>58</v>
      </c>
      <c r="C22" s="159" cm="1">
        <f t="array" ref="C22">IFERROR(SUMPRODUCT((INPUT!$H$3:$H$5000&gt;=C$3)*(INPUT!$H$3:$H$5000&lt;=C$3+6)*(INPUT!$J$3:$J$5000="JAIME")*ISNUMBER(INPUT!$K$3:$K$5000)*IFERROR(VALUE(INPUT!$K$3:$K$5000),0)*IFERROR(SUMIFS(INPUT!$E$3:$E$5000,INPUT!$A$3:$A$5000,INPUT!$H$3:$H$5000,INPUT!$C$3:$C$5000,INPUT!$I$3:$I$5000),0)),"")</f>
        <v>4770</v>
      </c>
      <c r="D22" s="159" cm="1">
        <f t="array" ref="D22">IFERROR(SUMPRODUCT((INPUT!$H$3:$H$5000&gt;=D$3)*(INPUT!$H$3:$H$5000&lt;=D$3+6)*(INPUT!$J$3:$J$5000="JAIME")*ISNUMBER(INPUT!$K$3:$K$5000)*IFERROR(VALUE(INPUT!$K$3:$K$5000),0)*IFERROR(SUMIFS(INPUT!$E$3:$E$5000,INPUT!$A$3:$A$5000,INPUT!$H$3:$H$5000,INPUT!$C$3:$C$5000,INPUT!$I$3:$I$5000),0)),"")</f>
        <v>6970</v>
      </c>
      <c r="E22" s="159" cm="1">
        <f t="array" ref="E22">IFERROR(SUMPRODUCT((INPUT!$H$3:$H$5000&gt;=E$3)*(INPUT!$H$3:$H$5000&lt;=E$3+6)*(INPUT!$J$3:$J$5000="JAIME")*ISNUMBER(INPUT!$K$3:$K$5000)*IFERROR(VALUE(INPUT!$K$3:$K$5000),0)*IFERROR(SUMIFS(INPUT!$E$3:$E$5000,INPUT!$A$3:$A$5000,INPUT!$H$3:$H$5000,INPUT!$C$3:$C$5000,INPUT!$I$3:$I$5000),0)),"")</f>
        <v>6860</v>
      </c>
      <c r="F22" s="159" cm="1">
        <f t="array" ref="F22">IFERROR(SUMPRODUCT((INPUT!$H$3:$H$5000&gt;=F$3)*(INPUT!$H$3:$H$5000&lt;=F$3+6)*(INPUT!$J$3:$J$5000="JAIME")*ISNUMBER(INPUT!$K$3:$K$5000)*IFERROR(VALUE(INPUT!$K$3:$K$5000),0)*IFERROR(SUMIFS(INPUT!$E$3:$E$5000,INPUT!$A$3:$A$5000,INPUT!$H$3:$H$5000,INPUT!$C$3:$C$5000,INPUT!$I$3:$I$5000),0)),"")</f>
        <v>5375</v>
      </c>
      <c r="G22" s="160" cm="1">
        <f t="array" ref="G22">IFERROR(SUMPRODUCT((INPUT!$H$3:$H$5000&gt;=G$3)*(INPUT!$H$3:$H$5000&lt;=G$3+6)*(INPUT!$J$3:$J$5000="JAIME")*ISNUMBER(INPUT!$K$3:$K$5000)*IFERROR(VALUE(INPUT!$K$3:$K$5000),0)*IFERROR(SUMIFS(INPUT!$E$3:$E$5000,INPUT!$A$3:$A$5000,INPUT!$H$3:$H$5000,INPUT!$C$3:$C$5000,INPUT!$I$3:$I$5000),0)),"")</f>
        <v>0</v>
      </c>
      <c r="H22" s="160" cm="1">
        <f t="array" ref="H22">IFERROR(SUMPRODUCT((INPUT!$H$3:$H$5000&gt;=H$3)*(INPUT!$H$3:$H$5000&lt;=H$3+6)*(INPUT!$J$3:$J$5000="JAIME")*ISNUMBER(INPUT!$K$3:$K$5000)*IFERROR(VALUE(INPUT!$K$3:$K$5000),0)*IFERROR(SUMIFS(INPUT!$E$3:$E$5000,INPUT!$A$3:$A$5000,INPUT!$H$3:$H$5000,INPUT!$C$3:$C$5000,INPUT!$I$3:$I$5000),0)),"")</f>
        <v>0</v>
      </c>
      <c r="I22" s="159" cm="1">
        <f t="array" ref="I22">IFERROR(SUMPRODUCT((INPUT!$H$3:$H$5000&gt;=I$3)*(INPUT!$H$3:$H$5000&lt;=I$3+6)*(INPUT!$J$3:$J$5000="JAIME")*ISNUMBER(INPUT!$K$3:$K$5000)*IFERROR(VALUE(INPUT!$K$3:$K$5000),0)*IFERROR(SUMIFS(INPUT!$E$3:$E$5000,INPUT!$A$3:$A$5000,INPUT!$H$3:$H$5000,INPUT!$C$3:$C$5000,INPUT!$I$3:$I$5000),0)),"")</f>
        <v>1215</v>
      </c>
      <c r="J22" s="160" cm="1">
        <f t="array" ref="J22">IFERROR(SUMPRODUCT((INPUT!$H$3:$H$5000&gt;=J$3)*(INPUT!$H$3:$H$5000&lt;=J$3+6)*(INPUT!$J$3:$J$5000="JAIME")*ISNUMBER(INPUT!$K$3:$K$5000)*IFERROR(VALUE(INPUT!$K$3:$K$5000),0)*IFERROR(SUMIFS(INPUT!$E$3:$E$5000,INPUT!$A$3:$A$5000,INPUT!$H$3:$H$5000,INPUT!$C$3:$C$5000,INPUT!$I$3:$I$5000),0)),"")</f>
        <v>60</v>
      </c>
      <c r="K22" s="160" cm="1">
        <f t="array" ref="K22">IFERROR(SUMPRODUCT((INPUT!$H$3:$H$5000&gt;=K$3)*(INPUT!$H$3:$H$5000&lt;=K$3+6)*(INPUT!$J$3:$J$5000="JAIME")*ISNUMBER(INPUT!$K$3:$K$5000)*IFERROR(VALUE(INPUT!$K$3:$K$5000),0)*IFERROR(SUMIFS(INPUT!$E$3:$E$5000,INPUT!$A$3:$A$5000,INPUT!$H$3:$H$5000,INPUT!$C$3:$C$5000,INPUT!$I$3:$I$5000),0)),"")</f>
        <v>0</v>
      </c>
      <c r="L22" s="160" cm="1">
        <f t="array" ref="L22">IFERROR(SUMPRODUCT((INPUT!$H$3:$H$5000&gt;=L$3)*(INPUT!$H$3:$H$5000&lt;=L$3+6)*(INPUT!$J$3:$J$5000="JAIME")*ISNUMBER(INPUT!$K$3:$K$5000)*IFERROR(VALUE(INPUT!$K$3:$K$5000),0)*IFERROR(SUMIFS(INPUT!$E$3:$E$5000,INPUT!$A$3:$A$5000,INPUT!$H$3:$H$5000,INPUT!$C$3:$C$5000,INPUT!$I$3:$I$5000),0)),"")</f>
        <v>0</v>
      </c>
      <c r="M22" s="160" cm="1">
        <f t="array" ref="M22">IFERROR(SUMPRODUCT((INPUT!$H$3:$H$5000&gt;=M$3)*(INPUT!$H$3:$H$5000&lt;=M$3+6)*(INPUT!$J$3:$J$5000="JAIME")*ISNUMBER(INPUT!$K$3:$K$5000)*IFERROR(VALUE(INPUT!$K$3:$K$5000),0)*IFERROR(SUMIFS(INPUT!$E$3:$E$5000,INPUT!$A$3:$A$5000,INPUT!$H$3:$H$5000,INPUT!$C$3:$C$5000,INPUT!$I$3:$I$5000),0)),"")</f>
        <v>0</v>
      </c>
      <c r="N22" s="160" cm="1">
        <f t="array" ref="N22">IFERROR(SUMPRODUCT((INPUT!$H$3:$H$5000&gt;=N$3)*(INPUT!$H$3:$H$5000&lt;=N$3+6)*(INPUT!$J$3:$J$5000="JAIME")*ISNUMBER(INPUT!$K$3:$K$5000)*IFERROR(VALUE(INPUT!$K$3:$K$5000),0)*IFERROR(SUMIFS(INPUT!$E$3:$E$5000,INPUT!$A$3:$A$5000,INPUT!$H$3:$H$5000,INPUT!$C$3:$C$5000,INPUT!$I$3:$I$5000),0)),"")</f>
        <v>1290</v>
      </c>
      <c r="O22" s="160" cm="1">
        <f t="array" ref="O22">IFERROR(SUMPRODUCT((INPUT!$H$3:$H$5000&gt;=O$3)*(INPUT!$H$3:$H$5000&lt;=O$3+6)*(INPUT!$J$3:$J$5000="JAIME")*ISNUMBER(INPUT!$K$3:$K$5000)*IFERROR(VALUE(INPUT!$K$3:$K$5000),0)*IFERROR(SUMIFS(INPUT!$E$3:$E$5000,INPUT!$A$3:$A$5000,INPUT!$H$3:$H$5000,INPUT!$C$3:$C$5000,INPUT!$I$3:$I$5000),0)),"")</f>
        <v>3670</v>
      </c>
      <c r="P22" s="160" cm="1">
        <f t="array" ref="P22">IFERROR(SUMPRODUCT((INPUT!$H$3:$H$5000&gt;=P$3)*(INPUT!$H$3:$H$5000&lt;=P$3+6)*(INPUT!$J$3:$J$5000="JAIME")*ISNUMBER(INPUT!$K$3:$K$5000)*IFERROR(VALUE(INPUT!$K$3:$K$5000),0)*IFERROR(SUMIFS(INPUT!$E$3:$E$5000,INPUT!$A$3:$A$5000,INPUT!$H$3:$H$5000,INPUT!$C$3:$C$5000,INPUT!$I$3:$I$5000),0)),"")</f>
        <v>665</v>
      </c>
      <c r="Q22" s="160" cm="1">
        <f t="array" ref="Q22">IFERROR(SUMPRODUCT((INPUT!$H$3:$H$5000&gt;=Q$3)*(INPUT!$H$3:$H$5000&lt;=Q$3+6)*(INPUT!$J$3:$J$5000="JAIME")*ISNUMBER(INPUT!$K$3:$K$5000)*IFERROR(VALUE(INPUT!$K$3:$K$5000),0)*IFERROR(SUMIFS(INPUT!$E$3:$E$5000,INPUT!$A$3:$A$5000,INPUT!$H$3:$H$5000,INPUT!$C$3:$C$5000,INPUT!$I$3:$I$5000),0)),"")</f>
        <v>1580</v>
      </c>
      <c r="R22" s="160" cm="1">
        <f t="array" ref="R22">IFERROR(SUMPRODUCT((INPUT!$H$3:$H$5000&gt;=R$3)*(INPUT!$H$3:$H$5000&lt;=R$3+6)*(INPUT!$J$3:$J$5000="JAIME")*ISNUMBER(INPUT!$K$3:$K$5000)*IFERROR(VALUE(INPUT!$K$3:$K$5000),0)*IFERROR(SUMIFS(INPUT!$E$3:$E$5000,INPUT!$A$3:$A$5000,INPUT!$H$3:$H$5000,INPUT!$C$3:$C$5000,INPUT!$I$3:$I$5000),0)),"")</f>
        <v>3600</v>
      </c>
      <c r="S22" s="160" cm="1">
        <f t="array" ref="S22">IFERROR(SUMPRODUCT((INPUT!$H$3:$H$5000&gt;=S$3)*(INPUT!$H$3:$H$5000&lt;=S$3+6)*(INPUT!$J$3:$J$5000="JAIME")*ISNUMBER(INPUT!$K$3:$K$5000)*IFERROR(VALUE(INPUT!$K$3:$K$5000),0)*IFERROR(SUMIFS(INPUT!$E$3:$E$5000,INPUT!$A$3:$A$5000,INPUT!$H$3:$H$5000,INPUT!$C$3:$C$5000,INPUT!$I$3:$I$5000),0)),"")</f>
        <v>3255</v>
      </c>
      <c r="T22" s="160" cm="1">
        <f t="array" ref="T22">IFERROR(SUMPRODUCT((INPUT!$H$3:$H$5000&gt;=T$3)*(INPUT!$H$3:$H$5000&lt;=T$3+6)*(INPUT!$J$3:$J$5000="JAIME")*ISNUMBER(INPUT!$K$3:$K$5000)*IFERROR(VALUE(INPUT!$K$3:$K$5000),0)*IFERROR(SUMIFS(INPUT!$E$3:$E$5000,INPUT!$A$3:$A$5000,INPUT!$H$3:$H$5000,INPUT!$C$3:$C$5000,INPUT!$I$3:$I$5000),0)),"")</f>
        <v>1880</v>
      </c>
      <c r="U22" s="160" cm="1">
        <f t="array" ref="U22">IFERROR(SUMPRODUCT((INPUT!$H$3:$H$5000&gt;=U$3)*(INPUT!$H$3:$H$5000&lt;=U$3+6)*(INPUT!$J$3:$J$5000="JAIME")*ISNUMBER(INPUT!$K$3:$K$5000)*IFERROR(VALUE(INPUT!$K$3:$K$5000),0)*IFERROR(SUMIFS(INPUT!$E$3:$E$5000,INPUT!$A$3:$A$5000,INPUT!$H$3:$H$5000,INPUT!$C$3:$C$5000,INPUT!$I$3:$I$5000),0)),"")</f>
        <v>2240</v>
      </c>
      <c r="V22" s="160" cm="1">
        <f t="array" ref="V22">IFERROR(SUMPRODUCT((INPUT!$H$3:$H$5000&gt;=V$3)*(INPUT!$H$3:$H$5000&lt;=V$3+6)*(INPUT!$J$3:$J$5000="JAIME")*ISNUMBER(INPUT!$K$3:$K$5000)*IFERROR(VALUE(INPUT!$K$3:$K$5000),0)*IFERROR(SUMIFS(INPUT!$E$3:$E$5000,INPUT!$A$3:$A$5000,INPUT!$H$3:$H$5000,INPUT!$C$3:$C$5000,INPUT!$I$3:$I$5000),0)),"")</f>
        <v>2335</v>
      </c>
      <c r="W22" s="160" cm="1">
        <f t="array" ref="W22">IFERROR(SUMPRODUCT((INPUT!$H$3:$H$5000&gt;=W$3)*(INPUT!$H$3:$H$5000&lt;=W$3+6)*(INPUT!$J$3:$J$5000="JAIME")*ISNUMBER(INPUT!$K$3:$K$5000)*IFERROR(VALUE(INPUT!$K$3:$K$5000),0)*IFERROR(SUMIFS(INPUT!$E$3:$E$5000,INPUT!$A$3:$A$5000,INPUT!$H$3:$H$5000,INPUT!$C$3:$C$5000,INPUT!$I$3:$I$5000),0)),"")</f>
        <v>1120</v>
      </c>
      <c r="X22" s="160" cm="1">
        <f t="array" ref="X22">IFERROR(SUMPRODUCT((INPUT!$H$3:$H$5000&gt;=X$3)*(INPUT!$H$3:$H$5000&lt;=X$3+6)*(INPUT!$J$3:$J$5000="JAIME")*ISNUMBER(INPUT!$K$3:$K$5000)*IFERROR(VALUE(INPUT!$K$3:$K$5000),0)*IFERROR(SUMIFS(INPUT!$E$3:$E$5000,INPUT!$A$3:$A$5000,INPUT!$H$3:$H$5000,INPUT!$C$3:$C$5000,INPUT!$I$3:$I$5000),0)),"")</f>
        <v>3705</v>
      </c>
      <c r="Y22" s="160" cm="1">
        <f t="array" ref="Y22">IFERROR(SUMPRODUCT((INPUT!$H$3:$H$5000&gt;=Y$3)*(INPUT!$H$3:$H$5000&lt;=Y$3+6)*(INPUT!$J$3:$J$5000="JAIME")*ISNUMBER(INPUT!$K$3:$K$5000)*IFERROR(VALUE(INPUT!$K$3:$K$5000),0)*IFERROR(SUMIFS(INPUT!$E$3:$E$5000,INPUT!$A$3:$A$5000,INPUT!$H$3:$H$5000,INPUT!$C$3:$C$5000,INPUT!$I$3:$I$5000),0)),"")</f>
        <v>3085</v>
      </c>
      <c r="Z22" s="160" cm="1">
        <f t="array" ref="Z22">IFERROR(SUMPRODUCT((INPUT!$H$3:$H$5000&gt;=Z$3)*(INPUT!$H$3:$H$5000&lt;=Z$3+6)*(INPUT!$J$3:$J$5000="JAIME")*ISNUMBER(INPUT!$K$3:$K$5000)*IFERROR(VALUE(INPUT!$K$3:$K$5000),0)*IFERROR(SUMIFS(INPUT!$E$3:$E$5000,INPUT!$A$3:$A$5000,INPUT!$H$3:$H$5000,INPUT!$C$3:$C$5000,INPUT!$I$3:$I$5000),0)),"")</f>
        <v>1870</v>
      </c>
      <c r="AA22" s="160" cm="1">
        <f t="array" ref="AA22">IFERROR(SUMPRODUCT((INPUT!$H$3:$H$5000&gt;=AA$3)*(INPUT!$H$3:$H$5000&lt;=AA$3+6)*(INPUT!$J$3:$J$5000="JAIME")*ISNUMBER(INPUT!$K$3:$K$5000)*IFERROR(VALUE(INPUT!$K$3:$K$5000),0)*IFERROR(SUMIFS(INPUT!$E$3:$E$5000,INPUT!$A$3:$A$5000,INPUT!$H$3:$H$5000,INPUT!$C$3:$C$5000,INPUT!$I$3:$I$5000),0)),"")</f>
        <v>0</v>
      </c>
      <c r="AB22" s="160" cm="1">
        <f t="array" ref="AB22">IFERROR(SUMPRODUCT((INPUT!$H$3:$H$5000&gt;=AB$3)*(INPUT!$H$3:$H$5000&lt;=AB$3+6)*(INPUT!$J$3:$J$5000="JAIME")*ISNUMBER(INPUT!$K$3:$K$5000)*IFERROR(VALUE(INPUT!$K$3:$K$5000),0)*IFERROR(SUMIFS(INPUT!$E$3:$E$5000,INPUT!$A$3:$A$5000,INPUT!$H$3:$H$5000,INPUT!$C$3:$C$5000,INPUT!$I$3:$I$5000),0)),"")</f>
        <v>2925</v>
      </c>
      <c r="AC22" s="160" cm="1">
        <f t="array" ref="AC22">IFERROR(SUMPRODUCT((INPUT!$H$3:$H$5000&gt;=AC$3)*(INPUT!$H$3:$H$5000&lt;=AC$3+6)*(INPUT!$J$3:$J$5000="JAIME")*ISNUMBER(INPUT!$K$3:$K$5000)*IFERROR(VALUE(INPUT!$K$3:$K$5000),0)*IFERROR(SUMIFS(INPUT!$E$3:$E$5000,INPUT!$A$3:$A$5000,INPUT!$H$3:$H$5000,INPUT!$C$3:$C$5000,INPUT!$I$3:$I$5000),0)),"")</f>
        <v>4830</v>
      </c>
      <c r="AD22" s="160" cm="1">
        <f t="array" ref="AD22">IFERROR(SUMPRODUCT((INPUT!$H$3:$H$5000&gt;=AD$3)*(INPUT!$H$3:$H$5000&lt;=AD$3+6)*(INPUT!$J$3:$J$5000="JAIME")*ISNUMBER(INPUT!$K$3:$K$5000)*IFERROR(VALUE(INPUT!$K$3:$K$5000),0)*IFERROR(SUMIFS(INPUT!$E$3:$E$5000,INPUT!$A$3:$A$5000,INPUT!$H$3:$H$5000,INPUT!$C$3:$C$5000,INPUT!$I$3:$I$5000),0)),"")</f>
        <v>5100</v>
      </c>
      <c r="AE22" s="160" cm="1">
        <f t="array" ref="AE22">IFERROR(SUMPRODUCT((INPUT!$H$3:$H$5000&gt;=AE$3)*(INPUT!$H$3:$H$5000&lt;=AE$3+6)*(INPUT!$J$3:$J$5000="JAIME")*ISNUMBER(INPUT!$K$3:$K$5000)*IFERROR(VALUE(INPUT!$K$3:$K$5000),0)*IFERROR(SUMIFS(INPUT!$E$3:$E$5000,INPUT!$A$3:$A$5000,INPUT!$H$3:$H$5000,INPUT!$C$3:$C$5000,INPUT!$I$3:$I$5000),0)),"")</f>
        <v>1995</v>
      </c>
      <c r="AF22" s="160" cm="1">
        <f t="array" ref="AF22">IFERROR(SUMPRODUCT((INPUT!$H$3:$H$5000&gt;=AF$3)*(INPUT!$H$3:$H$5000&lt;=AF$3+6)*(INPUT!$J$3:$J$5000="JAIME")*ISNUMBER(INPUT!$K$3:$K$5000)*IFERROR(VALUE(INPUT!$K$3:$K$5000),0)*IFERROR(SUMIFS(INPUT!$E$3:$E$5000,INPUT!$A$3:$A$5000,INPUT!$H$3:$H$5000,INPUT!$C$3:$C$5000,INPUT!$I$3:$I$5000),0)),"")</f>
        <v>2380</v>
      </c>
      <c r="AG22" s="160" cm="1">
        <f t="array" ref="AG22">IFERROR(SUMPRODUCT((INPUT!$H$3:$H$5000&gt;=AG$3)*(INPUT!$H$3:$H$5000&lt;=AG$3+6)*(INPUT!$J$3:$J$5000="JAIME")*ISNUMBER(INPUT!$K$3:$K$5000)*IFERROR(VALUE(INPUT!$K$3:$K$5000),0)*IFERROR(SUMIFS(INPUT!$E$3:$E$5000,INPUT!$A$3:$A$5000,INPUT!$H$3:$H$5000,INPUT!$C$3:$C$5000,INPUT!$I$3:$I$5000),0)),"")</f>
        <v>5080</v>
      </c>
      <c r="AH22" s="160" cm="1">
        <f t="array" ref="AH22">IFERROR(SUMPRODUCT((INPUT!$H$3:$H$5000&gt;=AH$3)*(INPUT!$H$3:$H$5000&lt;=AH$3+6)*(INPUT!$J$3:$J$5000="JAIME")*ISNUMBER(INPUT!$K$3:$K$5000)*IFERROR(VALUE(INPUT!$K$3:$K$5000),0)*IFERROR(SUMIFS(INPUT!$E$3:$E$5000,INPUT!$A$3:$A$5000,INPUT!$H$3:$H$5000,INPUT!$C$3:$C$5000,INPUT!$I$3:$I$5000),0)),"")</f>
        <v>0</v>
      </c>
      <c r="AI22" s="160" cm="1">
        <f t="array" ref="AI22">IFERROR(SUMPRODUCT((INPUT!$H$3:$H$5000&gt;=AI$3)*(INPUT!$H$3:$H$5000&lt;=AI$3+6)*(INPUT!$J$3:$J$5000="JAIME")*ISNUMBER(INPUT!$K$3:$K$5000)*IFERROR(VALUE(INPUT!$K$3:$K$5000),0)*IFERROR(SUMIFS(INPUT!$E$3:$E$5000,INPUT!$A$3:$A$5000,INPUT!$H$3:$H$5000,INPUT!$C$3:$C$5000,INPUT!$I$3:$I$5000),0)),"")</f>
        <v>2080</v>
      </c>
      <c r="AJ22" s="160" cm="1">
        <f t="array" ref="AJ22">IFERROR(SUMPRODUCT((INPUT!$H$3:$H$5000&gt;=AJ$3)*(INPUT!$H$3:$H$5000&lt;=AJ$3+6)*(INPUT!$J$3:$J$5000="JAIME")*ISNUMBER(INPUT!$K$3:$K$5000)*IFERROR(VALUE(INPUT!$K$3:$K$5000),0)*IFERROR(SUMIFS(INPUT!$E$3:$E$5000,INPUT!$A$3:$A$5000,INPUT!$H$3:$H$5000,INPUT!$C$3:$C$5000,INPUT!$I$3:$I$5000),0)),"")</f>
        <v>3170</v>
      </c>
      <c r="AK22" s="160" cm="1">
        <f t="array" ref="AK22">IFERROR(SUMPRODUCT((INPUT!$H$3:$H$5000&gt;=AK$3)*(INPUT!$H$3:$H$5000&lt;=AK$3+6)*(INPUT!$J$3:$J$5000="JAIME")*ISNUMBER(INPUT!$K$3:$K$5000)*IFERROR(VALUE(INPUT!$K$3:$K$5000),0)*IFERROR(SUMIFS(INPUT!$E$3:$E$5000,INPUT!$A$3:$A$5000,INPUT!$H$3:$H$5000,INPUT!$C$3:$C$5000,INPUT!$I$3:$I$5000),0)),"")</f>
        <v>4370</v>
      </c>
      <c r="AL22" s="160" cm="1">
        <f t="array" ref="AL22">IFERROR(SUMPRODUCT((INPUT!$H$3:$H$5000&gt;=AL$3)*(INPUT!$H$3:$H$5000&lt;=AL$3+6)*(INPUT!$J$3:$J$5000="JAIME")*ISNUMBER(INPUT!$K$3:$K$5000)*IFERROR(VALUE(INPUT!$K$3:$K$5000),0)*IFERROR(SUMIFS(INPUT!$E$3:$E$5000,INPUT!$A$3:$A$5000,INPUT!$H$3:$H$5000,INPUT!$C$3:$C$5000,INPUT!$I$3:$I$5000),0)),"")</f>
        <v>5425</v>
      </c>
      <c r="AM22" s="160" cm="1">
        <f t="array" ref="AM22">IFERROR(SUMPRODUCT((INPUT!$H$3:$H$5000&gt;=AM$3)*(INPUT!$H$3:$H$5000&lt;=AM$3+6)*(INPUT!$J$3:$J$5000="JAIME")*ISNUMBER(INPUT!$K$3:$K$5000)*IFERROR(VALUE(INPUT!$K$3:$K$5000),0)*IFERROR(SUMIFS(INPUT!$E$3:$E$5000,INPUT!$A$3:$A$5000,INPUT!$H$3:$H$5000,INPUT!$C$3:$C$5000,INPUT!$I$3:$I$5000),0)),"")</f>
        <v>3500</v>
      </c>
      <c r="AN22" s="160" cm="1">
        <f t="array" ref="AN22">IFERROR(SUMPRODUCT((INPUT!$H$3:$H$5000&gt;=AN$3)*(INPUT!$H$3:$H$5000&lt;=AN$3+6)*(INPUT!$J$3:$J$5000="JAIME")*ISNUMBER(INPUT!$K$3:$K$5000)*IFERROR(VALUE(INPUT!$K$3:$K$5000),0)*IFERROR(SUMIFS(INPUT!$E$3:$E$5000,INPUT!$A$3:$A$5000,INPUT!$H$3:$H$5000,INPUT!$C$3:$C$5000,INPUT!$I$3:$I$5000),0)),"")</f>
        <v>0</v>
      </c>
      <c r="AO22" s="160" cm="1">
        <f t="array" ref="AO22">IFERROR(SUMPRODUCT((INPUT!$H$3:$H$5000&gt;=AO$3)*(INPUT!$H$3:$H$5000&lt;=AO$3+6)*(INPUT!$J$3:$J$5000="JAIME")*ISNUMBER(INPUT!$K$3:$K$5000)*IFERROR(VALUE(INPUT!$K$3:$K$5000),0)*IFERROR(SUMIFS(INPUT!$E$3:$E$5000,INPUT!$A$3:$A$5000,INPUT!$H$3:$H$5000,INPUT!$C$3:$C$5000,INPUT!$I$3:$I$5000),0)),"")</f>
        <v>0</v>
      </c>
      <c r="AP22" s="160" cm="1">
        <f t="array" ref="AP22">IFERROR(SUMPRODUCT((INPUT!$H$3:$H$5000&gt;=AP$3)*(INPUT!$H$3:$H$5000&lt;=AP$3+6)*(INPUT!$J$3:$J$5000="JAIME")*ISNUMBER(INPUT!$K$3:$K$5000)*IFERROR(VALUE(INPUT!$K$3:$K$5000),0)*IFERROR(SUMIFS(INPUT!$E$3:$E$5000,INPUT!$A$3:$A$5000,INPUT!$H$3:$H$5000,INPUT!$C$3:$C$5000,INPUT!$I$3:$I$5000),0)),"")</f>
        <v>0</v>
      </c>
      <c r="AQ22" s="160" cm="1">
        <f t="array" ref="AQ22">IFERROR(SUMPRODUCT((INPUT!$H$3:$H$5000&gt;=AQ$3)*(INPUT!$H$3:$H$5000&lt;=AQ$3+6)*(INPUT!$J$3:$J$5000="JAIME")*ISNUMBER(INPUT!$K$3:$K$5000)*IFERROR(VALUE(INPUT!$K$3:$K$5000),0)*IFERROR(SUMIFS(INPUT!$E$3:$E$5000,INPUT!$A$3:$A$5000,INPUT!$H$3:$H$5000,INPUT!$C$3:$C$5000,INPUT!$I$3:$I$5000),0)),"")</f>
        <v>0</v>
      </c>
      <c r="AR22" s="160" cm="1">
        <f t="array" ref="AR22">IFERROR(SUMPRODUCT((INPUT!$H$3:$H$5000&gt;=AR$3)*(INPUT!$H$3:$H$5000&lt;=AR$3+6)*(INPUT!$J$3:$J$5000="JAIME")*ISNUMBER(INPUT!$K$3:$K$5000)*IFERROR(VALUE(INPUT!$K$3:$K$5000),0)*IFERROR(SUMIFS(INPUT!$E$3:$E$5000,INPUT!$A$3:$A$5000,INPUT!$H$3:$H$5000,INPUT!$C$3:$C$5000,INPUT!$I$3:$I$5000),0)),"")</f>
        <v>0</v>
      </c>
      <c r="AS22" s="160" cm="1">
        <f t="array" ref="AS22">IFERROR(SUMPRODUCT((INPUT!$H$3:$H$5000&gt;=AS$3)*(INPUT!$H$3:$H$5000&lt;=AS$3+6)*(INPUT!$J$3:$J$5000="JAIME")*ISNUMBER(INPUT!$K$3:$K$5000)*IFERROR(VALUE(INPUT!$K$3:$K$5000),0)*IFERROR(SUMIFS(INPUT!$E$3:$E$5000,INPUT!$A$3:$A$5000,INPUT!$H$3:$H$5000,INPUT!$C$3:$C$5000,INPUT!$I$3:$I$5000),0)),"")</f>
        <v>0</v>
      </c>
      <c r="AT22" s="160" cm="1">
        <f t="array" ref="AT22">IFERROR(SUMPRODUCT((INPUT!$H$3:$H$5000&gt;=AT$3)*(INPUT!$H$3:$H$5000&lt;=AT$3+6)*(INPUT!$J$3:$J$5000="JAIME")*ISNUMBER(INPUT!$K$3:$K$5000)*IFERROR(VALUE(INPUT!$K$3:$K$5000),0)*IFERROR(SUMIFS(INPUT!$E$3:$E$5000,INPUT!$A$3:$A$5000,INPUT!$H$3:$H$5000,INPUT!$C$3:$C$5000,INPUT!$I$3:$I$5000),0)),"")</f>
        <v>0</v>
      </c>
      <c r="AU22" s="160" cm="1">
        <f t="array" ref="AU22">IFERROR(SUMPRODUCT((INPUT!$H$3:$H$5000&gt;=AU$3)*(INPUT!$H$3:$H$5000&lt;=AU$3+6)*(INPUT!$J$3:$J$5000="JAIME")*ISNUMBER(INPUT!$K$3:$K$5000)*IFERROR(VALUE(INPUT!$K$3:$K$5000),0)*IFERROR(SUMIFS(INPUT!$E$3:$E$5000,INPUT!$A$3:$A$5000,INPUT!$H$3:$H$5000,INPUT!$C$3:$C$5000,INPUT!$I$3:$I$5000),0)),"")</f>
        <v>0</v>
      </c>
      <c r="AV22" s="160" cm="1">
        <f t="array" ref="AV22">IFERROR(SUMPRODUCT((INPUT!$H$3:$H$5000&gt;=AV$3)*(INPUT!$H$3:$H$5000&lt;=AV$3+6)*(INPUT!$J$3:$J$5000="JAIME")*ISNUMBER(INPUT!$K$3:$K$5000)*IFERROR(VALUE(INPUT!$K$3:$K$5000),0)*IFERROR(SUMIFS(INPUT!$E$3:$E$5000,INPUT!$A$3:$A$5000,INPUT!$H$3:$H$5000,INPUT!$C$3:$C$5000,INPUT!$I$3:$I$5000),0)),"")</f>
        <v>0</v>
      </c>
      <c r="AW22" s="160" cm="1">
        <f t="array" ref="AW22">IFERROR(SUMPRODUCT((INPUT!$H$3:$H$5000&gt;=AW$3)*(INPUT!$H$3:$H$5000&lt;=AW$3+6)*(INPUT!$J$3:$J$5000="JAIME")*ISNUMBER(INPUT!$K$3:$K$5000)*IFERROR(VALUE(INPUT!$K$3:$K$5000),0)*IFERROR(SUMIFS(INPUT!$E$3:$E$5000,INPUT!$A$3:$A$5000,INPUT!$H$3:$H$5000,INPUT!$C$3:$C$5000,INPUT!$I$3:$I$5000),0)),"")</f>
        <v>0</v>
      </c>
      <c r="AX22" s="160" cm="1">
        <f t="array" ref="AX22">IFERROR(SUMPRODUCT((INPUT!$H$3:$H$5000&gt;=AX$3)*(INPUT!$H$3:$H$5000&lt;=AX$3+6)*(INPUT!$J$3:$J$5000="JAIME")*ISNUMBER(INPUT!$K$3:$K$5000)*IFERROR(VALUE(INPUT!$K$3:$K$5000),0)*IFERROR(SUMIFS(INPUT!$E$3:$E$5000,INPUT!$A$3:$A$5000,INPUT!$H$3:$H$5000,INPUT!$C$3:$C$5000,INPUT!$I$3:$I$5000),0)),"")</f>
        <v>0</v>
      </c>
      <c r="AY22" s="160" cm="1">
        <f t="array" ref="AY22">IFERROR(SUMPRODUCT((INPUT!$H$3:$H$5000&gt;=AY$3)*(INPUT!$H$3:$H$5000&lt;=AY$3+6)*(INPUT!$J$3:$J$5000="JAIME")*ISNUMBER(INPUT!$K$3:$K$5000)*IFERROR(VALUE(INPUT!$K$3:$K$5000),0)*IFERROR(SUMIFS(INPUT!$E$3:$E$5000,INPUT!$A$3:$A$5000,INPUT!$H$3:$H$5000,INPUT!$C$3:$C$5000,INPUT!$I$3:$I$5000),0)),"")</f>
        <v>0</v>
      </c>
      <c r="AZ22" s="160" cm="1">
        <f t="array" ref="AZ22">IFERROR(SUMPRODUCT((INPUT!$H$3:$H$5000&gt;=AZ$3)*(INPUT!$H$3:$H$5000&lt;=AZ$3+6)*(INPUT!$J$3:$J$5000="JAIME")*ISNUMBER(INPUT!$K$3:$K$5000)*IFERROR(VALUE(INPUT!$K$3:$K$5000),0)*IFERROR(SUMIFS(INPUT!$E$3:$E$5000,INPUT!$A$3:$A$5000,INPUT!$H$3:$H$5000,INPUT!$C$3:$C$5000,INPUT!$I$3:$I$5000),0)),"")</f>
        <v>0</v>
      </c>
      <c r="BA22" s="160" cm="1">
        <f t="array" ref="BA22">IFERROR(SUMPRODUCT((INPUT!$H$3:$H$5000&gt;=BA$3)*(INPUT!$H$3:$H$5000&lt;=BA$3+6)*(INPUT!$J$3:$J$5000="JAIME")*ISNUMBER(INPUT!$K$3:$K$5000)*IFERROR(VALUE(INPUT!$K$3:$K$5000),0)*IFERROR(SUMIFS(INPUT!$E$3:$E$5000,INPUT!$A$3:$A$5000,INPUT!$H$3:$H$5000,INPUT!$C$3:$C$5000,INPUT!$I$3:$I$5000),0)),"")</f>
        <v>0</v>
      </c>
      <c r="BB22" s="161" cm="1">
        <f t="array" ref="BB22">IFERROR(SUMPRODUCT((INPUT!$H$3:$H$5000&gt;=BB$3)*(INPUT!$H$3:$H$5000&lt;=BB$3+6)*(INPUT!$J$3:$J$5000="JAIME")*ISNUMBER(INPUT!$K$3:$K$5000)*IFERROR(VALUE(INPUT!$K$3:$K$5000),0)*IFERROR(SUMIFS(INPUT!$E$3:$E$5000,INPUT!$A$3:$A$5000,INPUT!$H$3:$H$5000,INPUT!$C$3:$C$5000,INPUT!$I$3:$I$5000),0)),"")</f>
        <v>0</v>
      </c>
    </row>
    <row r="23" spans="1:54" x14ac:dyDescent="0.2">
      <c r="A23" s="56">
        <v>19</v>
      </c>
      <c r="B23" s="9" t="s">
        <v>83</v>
      </c>
      <c r="C23" s="160" cm="1">
        <f t="array" ref="C23">IFERROR(SUMPRODUCT((INPUT!$H$3:$H$5000&gt;=C$3)*(INPUT!$H$3:$H$5000&lt;=C$3+6)*(INPUT!$J$3:$J$5000="ANCHU")*ISNUMBER(INPUT!$K$3:$K$5000)*IFERROR(VALUE(INPUT!$K$3:$K$5000),0)*IFERROR(SUMIFS(INPUT!$E$3:$E$5000,INPUT!$A$3:$A$5000,INPUT!$H$3:$H$5000,INPUT!$C$3:$C$5000,INPUT!$I$3:$I$5000),0)),"")</f>
        <v>0</v>
      </c>
      <c r="D23" s="160" cm="1">
        <f t="array" ref="D23">IFERROR(SUMPRODUCT((INPUT!$H$3:$H$5000&gt;=D$3)*(INPUT!$H$3:$H$5000&lt;=D$3+6)*(INPUT!$J$3:$J$5000="ANCHU")*ISNUMBER(INPUT!$K$3:$K$5000)*IFERROR(VALUE(INPUT!$K$3:$K$5000),0)*IFERROR(SUMIFS(INPUT!$E$3:$E$5000,INPUT!$A$3:$A$5000,INPUT!$H$3:$H$5000,INPUT!$C$3:$C$5000,INPUT!$I$3:$I$5000),0)),"")</f>
        <v>0</v>
      </c>
      <c r="E23" s="160" cm="1">
        <f t="array" ref="E23">IFERROR(SUMPRODUCT((INPUT!$H$3:$H$5000&gt;=E$3)*(INPUT!$H$3:$H$5000&lt;=E$3+6)*(INPUT!$J$3:$J$5000="ANCHU")*ISNUMBER(INPUT!$K$3:$K$5000)*IFERROR(VALUE(INPUT!$K$3:$K$5000),0)*IFERROR(SUMIFS(INPUT!$E$3:$E$5000,INPUT!$A$3:$A$5000,INPUT!$H$3:$H$5000,INPUT!$C$3:$C$5000,INPUT!$I$3:$I$5000),0)),"")</f>
        <v>0</v>
      </c>
      <c r="F23" s="160" cm="1">
        <f t="array" ref="F23">IFERROR(SUMPRODUCT((INPUT!$H$3:$H$5000&gt;=F$3)*(INPUT!$H$3:$H$5000&lt;=F$3+6)*(INPUT!$J$3:$J$5000="ANCHU")*ISNUMBER(INPUT!$K$3:$K$5000)*IFERROR(VALUE(INPUT!$K$3:$K$5000),0)*IFERROR(SUMIFS(INPUT!$E$3:$E$5000,INPUT!$A$3:$A$5000,INPUT!$H$3:$H$5000,INPUT!$C$3:$C$5000,INPUT!$I$3:$I$5000),0)),"")</f>
        <v>0</v>
      </c>
      <c r="G23" s="160" cm="1">
        <f t="array" ref="G23">IFERROR(SUMPRODUCT((INPUT!$H$3:$H$5000&gt;=G$3)*(INPUT!$H$3:$H$5000&lt;=G$3+6)*(INPUT!$J$3:$J$5000="ANCHU")*ISNUMBER(INPUT!$K$3:$K$5000)*IFERROR(VALUE(INPUT!$K$3:$K$5000),0)*IFERROR(SUMIFS(INPUT!$E$3:$E$5000,INPUT!$A$3:$A$5000,INPUT!$H$3:$H$5000,INPUT!$C$3:$C$5000,INPUT!$I$3:$I$5000),0)),"")</f>
        <v>0</v>
      </c>
      <c r="H23" s="160" cm="1">
        <f t="array" ref="H23">IFERROR(SUMPRODUCT((INPUT!$H$3:$H$5000&gt;=H$3)*(INPUT!$H$3:$H$5000&lt;=H$3+6)*(INPUT!$J$3:$J$5000="ANCHU")*ISNUMBER(INPUT!$K$3:$K$5000)*IFERROR(VALUE(INPUT!$K$3:$K$5000),0)*IFERROR(SUMIFS(INPUT!$E$3:$E$5000,INPUT!$A$3:$A$5000,INPUT!$H$3:$H$5000,INPUT!$C$3:$C$5000,INPUT!$I$3:$I$5000),0)),"")</f>
        <v>0</v>
      </c>
      <c r="I23" s="160" cm="1">
        <f t="array" ref="I23">IFERROR(SUMPRODUCT((INPUT!$H$3:$H$5000&gt;=I$3)*(INPUT!$H$3:$H$5000&lt;=I$3+6)*(INPUT!$J$3:$J$5000="ANCHU")*ISNUMBER(INPUT!$K$3:$K$5000)*IFERROR(VALUE(INPUT!$K$3:$K$5000),0)*IFERROR(SUMIFS(INPUT!$E$3:$E$5000,INPUT!$A$3:$A$5000,INPUT!$H$3:$H$5000,INPUT!$C$3:$C$5000,INPUT!$I$3:$I$5000),0)),"")</f>
        <v>0</v>
      </c>
      <c r="J23" s="160" cm="1">
        <f t="array" ref="J23">IFERROR(SUMPRODUCT((INPUT!$H$3:$H$5000&gt;=J$3)*(INPUT!$H$3:$H$5000&lt;=J$3+6)*(INPUT!$J$3:$J$5000="ANCHU")*ISNUMBER(INPUT!$K$3:$K$5000)*IFERROR(VALUE(INPUT!$K$3:$K$5000),0)*IFERROR(SUMIFS(INPUT!$E$3:$E$5000,INPUT!$A$3:$A$5000,INPUT!$H$3:$H$5000,INPUT!$C$3:$C$5000,INPUT!$I$3:$I$5000),0)),"")</f>
        <v>0</v>
      </c>
      <c r="K23" s="160" cm="1">
        <f t="array" ref="K23">IFERROR(SUMPRODUCT((INPUT!$H$3:$H$5000&gt;=K$3)*(INPUT!$H$3:$H$5000&lt;=K$3+6)*(INPUT!$J$3:$J$5000="ANCHU")*ISNUMBER(INPUT!$K$3:$K$5000)*IFERROR(VALUE(INPUT!$K$3:$K$5000),0)*IFERROR(SUMIFS(INPUT!$E$3:$E$5000,INPUT!$A$3:$A$5000,INPUT!$H$3:$H$5000,INPUT!$C$3:$C$5000,INPUT!$I$3:$I$5000),0)),"")</f>
        <v>0</v>
      </c>
      <c r="L23" s="160" cm="1">
        <f t="array" ref="L23">IFERROR(SUMPRODUCT((INPUT!$H$3:$H$5000&gt;=L$3)*(INPUT!$H$3:$H$5000&lt;=L$3+6)*(INPUT!$J$3:$J$5000="ANCHU")*ISNUMBER(INPUT!$K$3:$K$5000)*IFERROR(VALUE(INPUT!$K$3:$K$5000),0)*IFERROR(SUMIFS(INPUT!$E$3:$E$5000,INPUT!$A$3:$A$5000,INPUT!$H$3:$H$5000,INPUT!$C$3:$C$5000,INPUT!$I$3:$I$5000),0)),"")</f>
        <v>0</v>
      </c>
      <c r="M23" s="160" cm="1">
        <f t="array" ref="M23">IFERROR(SUMPRODUCT((INPUT!$H$3:$H$5000&gt;=M$3)*(INPUT!$H$3:$H$5000&lt;=M$3+6)*(INPUT!$J$3:$J$5000="ANCHU")*ISNUMBER(INPUT!$K$3:$K$5000)*IFERROR(VALUE(INPUT!$K$3:$K$5000),0)*IFERROR(SUMIFS(INPUT!$E$3:$E$5000,INPUT!$A$3:$A$5000,INPUT!$H$3:$H$5000,INPUT!$C$3:$C$5000,INPUT!$I$3:$I$5000),0)),"")</f>
        <v>0</v>
      </c>
      <c r="N23" s="160" cm="1">
        <f t="array" ref="N23">IFERROR(SUMPRODUCT((INPUT!$H$3:$H$5000&gt;=N$3)*(INPUT!$H$3:$H$5000&lt;=N$3+6)*(INPUT!$J$3:$J$5000="ANCHU")*ISNUMBER(INPUT!$K$3:$K$5000)*IFERROR(VALUE(INPUT!$K$3:$K$5000),0)*IFERROR(SUMIFS(INPUT!$E$3:$E$5000,INPUT!$A$3:$A$5000,INPUT!$H$3:$H$5000,INPUT!$C$3:$C$5000,INPUT!$I$3:$I$5000),0)),"")</f>
        <v>0</v>
      </c>
      <c r="O23" s="160" cm="1">
        <f t="array" ref="O23">IFERROR(SUMPRODUCT((INPUT!$H$3:$H$5000&gt;=O$3)*(INPUT!$H$3:$H$5000&lt;=O$3+6)*(INPUT!$J$3:$J$5000="ANCHU")*ISNUMBER(INPUT!$K$3:$K$5000)*IFERROR(VALUE(INPUT!$K$3:$K$5000),0)*IFERROR(SUMIFS(INPUT!$E$3:$E$5000,INPUT!$A$3:$A$5000,INPUT!$H$3:$H$5000,INPUT!$C$3:$C$5000,INPUT!$I$3:$I$5000),0)),"")</f>
        <v>0</v>
      </c>
      <c r="P23" s="160" cm="1">
        <f t="array" ref="P23">IFERROR(SUMPRODUCT((INPUT!$H$3:$H$5000&gt;=P$3)*(INPUT!$H$3:$H$5000&lt;=P$3+6)*(INPUT!$J$3:$J$5000="ANCHU")*ISNUMBER(INPUT!$K$3:$K$5000)*IFERROR(VALUE(INPUT!$K$3:$K$5000),0)*IFERROR(SUMIFS(INPUT!$E$3:$E$5000,INPUT!$A$3:$A$5000,INPUT!$H$3:$H$5000,INPUT!$C$3:$C$5000,INPUT!$I$3:$I$5000),0)),"")</f>
        <v>0</v>
      </c>
      <c r="Q23" s="160" cm="1">
        <f t="array" ref="Q23">IFERROR(SUMPRODUCT((INPUT!$H$3:$H$5000&gt;=Q$3)*(INPUT!$H$3:$H$5000&lt;=Q$3+6)*(INPUT!$J$3:$J$5000="ANCHU")*ISNUMBER(INPUT!$K$3:$K$5000)*IFERROR(VALUE(INPUT!$K$3:$K$5000),0)*IFERROR(SUMIFS(INPUT!$E$3:$E$5000,INPUT!$A$3:$A$5000,INPUT!$H$3:$H$5000,INPUT!$C$3:$C$5000,INPUT!$I$3:$I$5000),0)),"")</f>
        <v>0</v>
      </c>
      <c r="R23" s="160" cm="1">
        <f t="array" ref="R23">IFERROR(SUMPRODUCT((INPUT!$H$3:$H$5000&gt;=R$3)*(INPUT!$H$3:$H$5000&lt;=R$3+6)*(INPUT!$J$3:$J$5000="ANCHU")*ISNUMBER(INPUT!$K$3:$K$5000)*IFERROR(VALUE(INPUT!$K$3:$K$5000),0)*IFERROR(SUMIFS(INPUT!$E$3:$E$5000,INPUT!$A$3:$A$5000,INPUT!$H$3:$H$5000,INPUT!$C$3:$C$5000,INPUT!$I$3:$I$5000),0)),"")</f>
        <v>0</v>
      </c>
      <c r="S23" s="160" cm="1">
        <f t="array" ref="S23">IFERROR(SUMPRODUCT((INPUT!$H$3:$H$5000&gt;=S$3)*(INPUT!$H$3:$H$5000&lt;=S$3+6)*(INPUT!$J$3:$J$5000="ANCHU")*ISNUMBER(INPUT!$K$3:$K$5000)*IFERROR(VALUE(INPUT!$K$3:$K$5000),0)*IFERROR(SUMIFS(INPUT!$E$3:$E$5000,INPUT!$A$3:$A$5000,INPUT!$H$3:$H$5000,INPUT!$C$3:$C$5000,INPUT!$I$3:$I$5000),0)),"")</f>
        <v>0</v>
      </c>
      <c r="T23" s="160" cm="1">
        <f t="array" ref="T23">IFERROR(SUMPRODUCT((INPUT!$H$3:$H$5000&gt;=T$3)*(INPUT!$H$3:$H$5000&lt;=T$3+6)*(INPUT!$J$3:$J$5000="ANCHU")*ISNUMBER(INPUT!$K$3:$K$5000)*IFERROR(VALUE(INPUT!$K$3:$K$5000),0)*IFERROR(SUMIFS(INPUT!$E$3:$E$5000,INPUT!$A$3:$A$5000,INPUT!$H$3:$H$5000,INPUT!$C$3:$C$5000,INPUT!$I$3:$I$5000),0)),"")</f>
        <v>0</v>
      </c>
      <c r="U23" s="160" cm="1">
        <f t="array" ref="U23">IFERROR(SUMPRODUCT((INPUT!$H$3:$H$5000&gt;=U$3)*(INPUT!$H$3:$H$5000&lt;=U$3+6)*(INPUT!$J$3:$J$5000="ANCHU")*ISNUMBER(INPUT!$K$3:$K$5000)*IFERROR(VALUE(INPUT!$K$3:$K$5000),0)*IFERROR(SUMIFS(INPUT!$E$3:$E$5000,INPUT!$A$3:$A$5000,INPUT!$H$3:$H$5000,INPUT!$C$3:$C$5000,INPUT!$I$3:$I$5000),0)),"")</f>
        <v>0</v>
      </c>
      <c r="V23" s="160" cm="1">
        <f t="array" ref="V23">IFERROR(SUMPRODUCT((INPUT!$H$3:$H$5000&gt;=V$3)*(INPUT!$H$3:$H$5000&lt;=V$3+6)*(INPUT!$J$3:$J$5000="ANCHU")*ISNUMBER(INPUT!$K$3:$K$5000)*IFERROR(VALUE(INPUT!$K$3:$K$5000),0)*IFERROR(SUMIFS(INPUT!$E$3:$E$5000,INPUT!$A$3:$A$5000,INPUT!$H$3:$H$5000,INPUT!$C$3:$C$5000,INPUT!$I$3:$I$5000),0)),"")</f>
        <v>0</v>
      </c>
      <c r="W23" s="160" cm="1">
        <f t="array" ref="W23">IFERROR(SUMPRODUCT((INPUT!$H$3:$H$5000&gt;=W$3)*(INPUT!$H$3:$H$5000&lt;=W$3+6)*(INPUT!$J$3:$J$5000="ANCHU")*ISNUMBER(INPUT!$K$3:$K$5000)*IFERROR(VALUE(INPUT!$K$3:$K$5000),0)*IFERROR(SUMIFS(INPUT!$E$3:$E$5000,INPUT!$A$3:$A$5000,INPUT!$H$3:$H$5000,INPUT!$C$3:$C$5000,INPUT!$I$3:$I$5000),0)),"")</f>
        <v>0</v>
      </c>
      <c r="X23" s="160" cm="1">
        <f t="array" ref="X23">IFERROR(SUMPRODUCT((INPUT!$H$3:$H$5000&gt;=X$3)*(INPUT!$H$3:$H$5000&lt;=X$3+6)*(INPUT!$J$3:$J$5000="ANCHU")*ISNUMBER(INPUT!$K$3:$K$5000)*IFERROR(VALUE(INPUT!$K$3:$K$5000),0)*IFERROR(SUMIFS(INPUT!$E$3:$E$5000,INPUT!$A$3:$A$5000,INPUT!$H$3:$H$5000,INPUT!$C$3:$C$5000,INPUT!$I$3:$I$5000),0)),"")</f>
        <v>0</v>
      </c>
      <c r="Y23" s="160" cm="1">
        <f t="array" ref="Y23">IFERROR(SUMPRODUCT((INPUT!$H$3:$H$5000&gt;=Y$3)*(INPUT!$H$3:$H$5000&lt;=Y$3+6)*(INPUT!$J$3:$J$5000="ANCHU")*ISNUMBER(INPUT!$K$3:$K$5000)*IFERROR(VALUE(INPUT!$K$3:$K$5000),0)*IFERROR(SUMIFS(INPUT!$E$3:$E$5000,INPUT!$A$3:$A$5000,INPUT!$H$3:$H$5000,INPUT!$C$3:$C$5000,INPUT!$I$3:$I$5000),0)),"")</f>
        <v>0</v>
      </c>
      <c r="Z23" s="160" cm="1">
        <f t="array" ref="Z23">IFERROR(SUMPRODUCT((INPUT!$H$3:$H$5000&gt;=Z$3)*(INPUT!$H$3:$H$5000&lt;=Z$3+6)*(INPUT!$J$3:$J$5000="ANCHU")*ISNUMBER(INPUT!$K$3:$K$5000)*IFERROR(VALUE(INPUT!$K$3:$K$5000),0)*IFERROR(SUMIFS(INPUT!$E$3:$E$5000,INPUT!$A$3:$A$5000,INPUT!$H$3:$H$5000,INPUT!$C$3:$C$5000,INPUT!$I$3:$I$5000),0)),"")</f>
        <v>0</v>
      </c>
      <c r="AA23" s="160" cm="1">
        <f t="array" ref="AA23">IFERROR(SUMPRODUCT((INPUT!$H$3:$H$5000&gt;=AA$3)*(INPUT!$H$3:$H$5000&lt;=AA$3+6)*(INPUT!$J$3:$J$5000="ANCHU")*ISNUMBER(INPUT!$K$3:$K$5000)*IFERROR(VALUE(INPUT!$K$3:$K$5000),0)*IFERROR(SUMIFS(INPUT!$E$3:$E$5000,INPUT!$A$3:$A$5000,INPUT!$H$3:$H$5000,INPUT!$C$3:$C$5000,INPUT!$I$3:$I$5000),0)),"")</f>
        <v>0</v>
      </c>
      <c r="AB23" s="160" cm="1">
        <f t="array" ref="AB23">IFERROR(SUMPRODUCT((INPUT!$H$3:$H$5000&gt;=AB$3)*(INPUT!$H$3:$H$5000&lt;=AB$3+6)*(INPUT!$J$3:$J$5000="ANCHU")*ISNUMBER(INPUT!$K$3:$K$5000)*IFERROR(VALUE(INPUT!$K$3:$K$5000),0)*IFERROR(SUMIFS(INPUT!$E$3:$E$5000,INPUT!$A$3:$A$5000,INPUT!$H$3:$H$5000,INPUT!$C$3:$C$5000,INPUT!$I$3:$I$5000),0)),"")</f>
        <v>0</v>
      </c>
      <c r="AC23" s="160" cm="1">
        <f t="array" ref="AC23">IFERROR(SUMPRODUCT((INPUT!$H$3:$H$5000&gt;=AC$3)*(INPUT!$H$3:$H$5000&lt;=AC$3+6)*(INPUT!$J$3:$J$5000="ANCHU")*ISNUMBER(INPUT!$K$3:$K$5000)*IFERROR(VALUE(INPUT!$K$3:$K$5000),0)*IFERROR(SUMIFS(INPUT!$E$3:$E$5000,INPUT!$A$3:$A$5000,INPUT!$H$3:$H$5000,INPUT!$C$3:$C$5000,INPUT!$I$3:$I$5000),0)),"")</f>
        <v>0</v>
      </c>
      <c r="AD23" s="160" cm="1">
        <f t="array" ref="AD23">IFERROR(SUMPRODUCT((INPUT!$H$3:$H$5000&gt;=AD$3)*(INPUT!$H$3:$H$5000&lt;=AD$3+6)*(INPUT!$J$3:$J$5000="ANCHU")*ISNUMBER(INPUT!$K$3:$K$5000)*IFERROR(VALUE(INPUT!$K$3:$K$5000),0)*IFERROR(SUMIFS(INPUT!$E$3:$E$5000,INPUT!$A$3:$A$5000,INPUT!$H$3:$H$5000,INPUT!$C$3:$C$5000,INPUT!$I$3:$I$5000),0)),"")</f>
        <v>0</v>
      </c>
      <c r="AE23" s="160" cm="1">
        <f t="array" ref="AE23">IFERROR(SUMPRODUCT((INPUT!$H$3:$H$5000&gt;=AE$3)*(INPUT!$H$3:$H$5000&lt;=AE$3+6)*(INPUT!$J$3:$J$5000="ANCHU")*ISNUMBER(INPUT!$K$3:$K$5000)*IFERROR(VALUE(INPUT!$K$3:$K$5000),0)*IFERROR(SUMIFS(INPUT!$E$3:$E$5000,INPUT!$A$3:$A$5000,INPUT!$H$3:$H$5000,INPUT!$C$3:$C$5000,INPUT!$I$3:$I$5000),0)),"")</f>
        <v>0</v>
      </c>
      <c r="AF23" s="160" cm="1">
        <f t="array" ref="AF23">IFERROR(SUMPRODUCT((INPUT!$H$3:$H$5000&gt;=AF$3)*(INPUT!$H$3:$H$5000&lt;=AF$3+6)*(INPUT!$J$3:$J$5000="ANCHU")*ISNUMBER(INPUT!$K$3:$K$5000)*IFERROR(VALUE(INPUT!$K$3:$K$5000),0)*IFERROR(SUMIFS(INPUT!$E$3:$E$5000,INPUT!$A$3:$A$5000,INPUT!$H$3:$H$5000,INPUT!$C$3:$C$5000,INPUT!$I$3:$I$5000),0)),"")</f>
        <v>0</v>
      </c>
      <c r="AG23" s="160" cm="1">
        <f t="array" ref="AG23">IFERROR(SUMPRODUCT((INPUT!$H$3:$H$5000&gt;=AG$3)*(INPUT!$H$3:$H$5000&lt;=AG$3+6)*(INPUT!$J$3:$J$5000="ANCHU")*ISNUMBER(INPUT!$K$3:$K$5000)*IFERROR(VALUE(INPUT!$K$3:$K$5000),0)*IFERROR(SUMIFS(INPUT!$E$3:$E$5000,INPUT!$A$3:$A$5000,INPUT!$H$3:$H$5000,INPUT!$C$3:$C$5000,INPUT!$I$3:$I$5000),0)),"")</f>
        <v>0</v>
      </c>
      <c r="AH23" s="160" cm="1">
        <f t="array" ref="AH23">IFERROR(SUMPRODUCT((INPUT!$H$3:$H$5000&gt;=AH$3)*(INPUT!$H$3:$H$5000&lt;=AH$3+6)*(INPUT!$J$3:$J$5000="ANCHU")*ISNUMBER(INPUT!$K$3:$K$5000)*IFERROR(VALUE(INPUT!$K$3:$K$5000),0)*IFERROR(SUMIFS(INPUT!$E$3:$E$5000,INPUT!$A$3:$A$5000,INPUT!$H$3:$H$5000,INPUT!$C$3:$C$5000,INPUT!$I$3:$I$5000),0)),"")</f>
        <v>0</v>
      </c>
      <c r="AI23" s="160" cm="1">
        <f t="array" ref="AI23">IFERROR(SUMPRODUCT((INPUT!$H$3:$H$5000&gt;=AI$3)*(INPUT!$H$3:$H$5000&lt;=AI$3+6)*(INPUT!$J$3:$J$5000="ANCHU")*ISNUMBER(INPUT!$K$3:$K$5000)*IFERROR(VALUE(INPUT!$K$3:$K$5000),0)*IFERROR(SUMIFS(INPUT!$E$3:$E$5000,INPUT!$A$3:$A$5000,INPUT!$H$3:$H$5000,INPUT!$C$3:$C$5000,INPUT!$I$3:$I$5000),0)),"")</f>
        <v>0</v>
      </c>
      <c r="AJ23" s="160" cm="1">
        <f t="array" ref="AJ23">IFERROR(SUMPRODUCT((INPUT!$H$3:$H$5000&gt;=AJ$3)*(INPUT!$H$3:$H$5000&lt;=AJ$3+6)*(INPUT!$J$3:$J$5000="ANCHU")*ISNUMBER(INPUT!$K$3:$K$5000)*IFERROR(VALUE(INPUT!$K$3:$K$5000),0)*IFERROR(SUMIFS(INPUT!$E$3:$E$5000,INPUT!$A$3:$A$5000,INPUT!$H$3:$H$5000,INPUT!$C$3:$C$5000,INPUT!$I$3:$I$5000),0)),"")</f>
        <v>0</v>
      </c>
      <c r="AK23" s="160" cm="1">
        <f t="array" ref="AK23">IFERROR(SUMPRODUCT((INPUT!$H$3:$H$5000&gt;=AK$3)*(INPUT!$H$3:$H$5000&lt;=AK$3+6)*(INPUT!$J$3:$J$5000="ANCHU")*ISNUMBER(INPUT!$K$3:$K$5000)*IFERROR(VALUE(INPUT!$K$3:$K$5000),0)*IFERROR(SUMIFS(INPUT!$E$3:$E$5000,INPUT!$A$3:$A$5000,INPUT!$H$3:$H$5000,INPUT!$C$3:$C$5000,INPUT!$I$3:$I$5000),0)),"")</f>
        <v>0</v>
      </c>
      <c r="AL23" s="160" cm="1">
        <f t="array" ref="AL23">IFERROR(SUMPRODUCT((INPUT!$H$3:$H$5000&gt;=AL$3)*(INPUT!$H$3:$H$5000&lt;=AL$3+6)*(INPUT!$J$3:$J$5000="ANCHU")*ISNUMBER(INPUT!$K$3:$K$5000)*IFERROR(VALUE(INPUT!$K$3:$K$5000),0)*IFERROR(SUMIFS(INPUT!$E$3:$E$5000,INPUT!$A$3:$A$5000,INPUT!$H$3:$H$5000,INPUT!$C$3:$C$5000,INPUT!$I$3:$I$5000),0)),"")</f>
        <v>0</v>
      </c>
      <c r="AM23" s="160" cm="1">
        <f t="array" ref="AM23">IFERROR(SUMPRODUCT((INPUT!$H$3:$H$5000&gt;=AM$3)*(INPUT!$H$3:$H$5000&lt;=AM$3+6)*(INPUT!$J$3:$J$5000="ANCHU")*ISNUMBER(INPUT!$K$3:$K$5000)*IFERROR(VALUE(INPUT!$K$3:$K$5000),0)*IFERROR(SUMIFS(INPUT!$E$3:$E$5000,INPUT!$A$3:$A$5000,INPUT!$H$3:$H$5000,INPUT!$C$3:$C$5000,INPUT!$I$3:$I$5000),0)),"")</f>
        <v>0</v>
      </c>
      <c r="AN23" s="160" cm="1">
        <f t="array" ref="AN23">IFERROR(SUMPRODUCT((INPUT!$H$3:$H$5000&gt;=AN$3)*(INPUT!$H$3:$H$5000&lt;=AN$3+6)*(INPUT!$J$3:$J$5000="ANCHU")*ISNUMBER(INPUT!$K$3:$K$5000)*IFERROR(VALUE(INPUT!$K$3:$K$5000),0)*IFERROR(SUMIFS(INPUT!$E$3:$E$5000,INPUT!$A$3:$A$5000,INPUT!$H$3:$H$5000,INPUT!$C$3:$C$5000,INPUT!$I$3:$I$5000),0)),"")</f>
        <v>0</v>
      </c>
      <c r="AO23" s="160" cm="1">
        <f t="array" ref="AO23">IFERROR(SUMPRODUCT((INPUT!$H$3:$H$5000&gt;=AO$3)*(INPUT!$H$3:$H$5000&lt;=AO$3+6)*(INPUT!$J$3:$J$5000="ANCHU")*ISNUMBER(INPUT!$K$3:$K$5000)*IFERROR(VALUE(INPUT!$K$3:$K$5000),0)*IFERROR(SUMIFS(INPUT!$E$3:$E$5000,INPUT!$A$3:$A$5000,INPUT!$H$3:$H$5000,INPUT!$C$3:$C$5000,INPUT!$I$3:$I$5000),0)),"")</f>
        <v>0</v>
      </c>
      <c r="AP23" s="160" cm="1">
        <f t="array" ref="AP23">IFERROR(SUMPRODUCT((INPUT!$H$3:$H$5000&gt;=AP$3)*(INPUT!$H$3:$H$5000&lt;=AP$3+6)*(INPUT!$J$3:$J$5000="ANCHU")*ISNUMBER(INPUT!$K$3:$K$5000)*IFERROR(VALUE(INPUT!$K$3:$K$5000),0)*IFERROR(SUMIFS(INPUT!$E$3:$E$5000,INPUT!$A$3:$A$5000,INPUT!$H$3:$H$5000,INPUT!$C$3:$C$5000,INPUT!$I$3:$I$5000),0)),"")</f>
        <v>0</v>
      </c>
      <c r="AQ23" s="160" cm="1">
        <f t="array" ref="AQ23">IFERROR(SUMPRODUCT((INPUT!$H$3:$H$5000&gt;=AQ$3)*(INPUT!$H$3:$H$5000&lt;=AQ$3+6)*(INPUT!$J$3:$J$5000="ANCHU")*ISNUMBER(INPUT!$K$3:$K$5000)*IFERROR(VALUE(INPUT!$K$3:$K$5000),0)*IFERROR(SUMIFS(INPUT!$E$3:$E$5000,INPUT!$A$3:$A$5000,INPUT!$H$3:$H$5000,INPUT!$C$3:$C$5000,INPUT!$I$3:$I$5000),0)),"")</f>
        <v>0</v>
      </c>
      <c r="AR23" s="160" cm="1">
        <f t="array" ref="AR23">IFERROR(SUMPRODUCT((INPUT!$H$3:$H$5000&gt;=AR$3)*(INPUT!$H$3:$H$5000&lt;=AR$3+6)*(INPUT!$J$3:$J$5000="ANCHU")*ISNUMBER(INPUT!$K$3:$K$5000)*IFERROR(VALUE(INPUT!$K$3:$K$5000),0)*IFERROR(SUMIFS(INPUT!$E$3:$E$5000,INPUT!$A$3:$A$5000,INPUT!$H$3:$H$5000,INPUT!$C$3:$C$5000,INPUT!$I$3:$I$5000),0)),"")</f>
        <v>0</v>
      </c>
      <c r="AS23" s="160" cm="1">
        <f t="array" ref="AS23">IFERROR(SUMPRODUCT((INPUT!$H$3:$H$5000&gt;=AS$3)*(INPUT!$H$3:$H$5000&lt;=AS$3+6)*(INPUT!$J$3:$J$5000="ANCHU")*ISNUMBER(INPUT!$K$3:$K$5000)*IFERROR(VALUE(INPUT!$K$3:$K$5000),0)*IFERROR(SUMIFS(INPUT!$E$3:$E$5000,INPUT!$A$3:$A$5000,INPUT!$H$3:$H$5000,INPUT!$C$3:$C$5000,INPUT!$I$3:$I$5000),0)),"")</f>
        <v>0</v>
      </c>
      <c r="AT23" s="160" cm="1">
        <f t="array" ref="AT23">IFERROR(SUMPRODUCT((INPUT!$H$3:$H$5000&gt;=AT$3)*(INPUT!$H$3:$H$5000&lt;=AT$3+6)*(INPUT!$J$3:$J$5000="ANCHU")*ISNUMBER(INPUT!$K$3:$K$5000)*IFERROR(VALUE(INPUT!$K$3:$K$5000),0)*IFERROR(SUMIFS(INPUT!$E$3:$E$5000,INPUT!$A$3:$A$5000,INPUT!$H$3:$H$5000,INPUT!$C$3:$C$5000,INPUT!$I$3:$I$5000),0)),"")</f>
        <v>0</v>
      </c>
      <c r="AU23" s="160" cm="1">
        <f t="array" ref="AU23">IFERROR(SUMPRODUCT((INPUT!$H$3:$H$5000&gt;=AU$3)*(INPUT!$H$3:$H$5000&lt;=AU$3+6)*(INPUT!$J$3:$J$5000="ANCHU")*ISNUMBER(INPUT!$K$3:$K$5000)*IFERROR(VALUE(INPUT!$K$3:$K$5000),0)*IFERROR(SUMIFS(INPUT!$E$3:$E$5000,INPUT!$A$3:$A$5000,INPUT!$H$3:$H$5000,INPUT!$C$3:$C$5000,INPUT!$I$3:$I$5000),0)),"")</f>
        <v>0</v>
      </c>
      <c r="AV23" s="160" cm="1">
        <f t="array" ref="AV23">IFERROR(SUMPRODUCT((INPUT!$H$3:$H$5000&gt;=AV$3)*(INPUT!$H$3:$H$5000&lt;=AV$3+6)*(INPUT!$J$3:$J$5000="ANCHU")*ISNUMBER(INPUT!$K$3:$K$5000)*IFERROR(VALUE(INPUT!$K$3:$K$5000),0)*IFERROR(SUMIFS(INPUT!$E$3:$E$5000,INPUT!$A$3:$A$5000,INPUT!$H$3:$H$5000,INPUT!$C$3:$C$5000,INPUT!$I$3:$I$5000),0)),"")</f>
        <v>0</v>
      </c>
      <c r="AW23" s="160" cm="1">
        <f t="array" ref="AW23">IFERROR(SUMPRODUCT((INPUT!$H$3:$H$5000&gt;=AW$3)*(INPUT!$H$3:$H$5000&lt;=AW$3+6)*(INPUT!$J$3:$J$5000="ANCHU")*ISNUMBER(INPUT!$K$3:$K$5000)*IFERROR(VALUE(INPUT!$K$3:$K$5000),0)*IFERROR(SUMIFS(INPUT!$E$3:$E$5000,INPUT!$A$3:$A$5000,INPUT!$H$3:$H$5000,INPUT!$C$3:$C$5000,INPUT!$I$3:$I$5000),0)),"")</f>
        <v>0</v>
      </c>
      <c r="AX23" s="160" cm="1">
        <f t="array" ref="AX23">IFERROR(SUMPRODUCT((INPUT!$H$3:$H$5000&gt;=AX$3)*(INPUT!$H$3:$H$5000&lt;=AX$3+6)*(INPUT!$J$3:$J$5000="ANCHU")*ISNUMBER(INPUT!$K$3:$K$5000)*IFERROR(VALUE(INPUT!$K$3:$K$5000),0)*IFERROR(SUMIFS(INPUT!$E$3:$E$5000,INPUT!$A$3:$A$5000,INPUT!$H$3:$H$5000,INPUT!$C$3:$C$5000,INPUT!$I$3:$I$5000),0)),"")</f>
        <v>0</v>
      </c>
      <c r="AY23" s="160" cm="1">
        <f t="array" ref="AY23">IFERROR(SUMPRODUCT((INPUT!$H$3:$H$5000&gt;=AY$3)*(INPUT!$H$3:$H$5000&lt;=AY$3+6)*(INPUT!$J$3:$J$5000="ANCHU")*ISNUMBER(INPUT!$K$3:$K$5000)*IFERROR(VALUE(INPUT!$K$3:$K$5000),0)*IFERROR(SUMIFS(INPUT!$E$3:$E$5000,INPUT!$A$3:$A$5000,INPUT!$H$3:$H$5000,INPUT!$C$3:$C$5000,INPUT!$I$3:$I$5000),0)),"")</f>
        <v>0</v>
      </c>
      <c r="AZ23" s="160" cm="1">
        <f t="array" ref="AZ23">IFERROR(SUMPRODUCT((INPUT!$H$3:$H$5000&gt;=AZ$3)*(INPUT!$H$3:$H$5000&lt;=AZ$3+6)*(INPUT!$J$3:$J$5000="ANCHU")*ISNUMBER(INPUT!$K$3:$K$5000)*IFERROR(VALUE(INPUT!$K$3:$K$5000),0)*IFERROR(SUMIFS(INPUT!$E$3:$E$5000,INPUT!$A$3:$A$5000,INPUT!$H$3:$H$5000,INPUT!$C$3:$C$5000,INPUT!$I$3:$I$5000),0)),"")</f>
        <v>0</v>
      </c>
      <c r="BA23" s="160" cm="1">
        <f t="array" ref="BA23">IFERROR(SUMPRODUCT((INPUT!$H$3:$H$5000&gt;=BA$3)*(INPUT!$H$3:$H$5000&lt;=BA$3+6)*(INPUT!$J$3:$J$5000="ANCHU")*ISNUMBER(INPUT!$K$3:$K$5000)*IFERROR(VALUE(INPUT!$K$3:$K$5000),0)*IFERROR(SUMIFS(INPUT!$E$3:$E$5000,INPUT!$A$3:$A$5000,INPUT!$H$3:$H$5000,INPUT!$C$3:$C$5000,INPUT!$I$3:$I$5000),0)),"")</f>
        <v>0</v>
      </c>
      <c r="BB23" s="161" cm="1">
        <f t="array" ref="BB23">IFERROR(SUMPRODUCT((INPUT!$H$3:$H$5000&gt;=BB$3)*(INPUT!$H$3:$H$5000&lt;=BB$3+6)*(INPUT!$J$3:$J$5000="ANCHU")*ISNUMBER(INPUT!$K$3:$K$5000)*IFERROR(VALUE(INPUT!$K$3:$K$5000),0)*IFERROR(SUMIFS(INPUT!$E$3:$E$5000,INPUT!$A$3:$A$5000,INPUT!$H$3:$H$5000,INPUT!$C$3:$C$5000,INPUT!$I$3:$I$5000),0)),"")</f>
        <v>0</v>
      </c>
    </row>
    <row r="24" spans="1:54" x14ac:dyDescent="0.2">
      <c r="A24" s="154">
        <v>20</v>
      </c>
      <c r="B24" s="81" t="s">
        <v>84</v>
      </c>
      <c r="C24" s="160" cm="1">
        <f t="array" ref="C24">IFERROR(SUMPRODUCT((INPUT!$H$3:$H$5000&gt;=C$3)*(INPUT!$H$3:$H$5000&lt;=C$3+6)*(INPUT!$J$3:$J$5000="NACHO")*ISNUMBER(INPUT!$K$3:$K$5000)*IFERROR(VALUE(INPUT!$K$3:$K$5000),0)*IFERROR(SUMIFS(INPUT!$E$3:$E$5000,INPUT!$A$3:$A$5000,INPUT!$H$3:$H$5000,INPUT!$C$3:$C$5000,INPUT!$I$3:$I$5000),0)),"")</f>
        <v>0</v>
      </c>
      <c r="D24" s="160" cm="1">
        <f t="array" ref="D24">IFERROR(SUMPRODUCT((INPUT!$H$3:$H$5000&gt;=D$3)*(INPUT!$H$3:$H$5000&lt;=D$3+6)*(INPUT!$J$3:$J$5000="NACHO")*ISNUMBER(INPUT!$K$3:$K$5000)*IFERROR(VALUE(INPUT!$K$3:$K$5000),0)*IFERROR(SUMIFS(INPUT!$E$3:$E$5000,INPUT!$A$3:$A$5000,INPUT!$H$3:$H$5000,INPUT!$C$3:$C$5000,INPUT!$I$3:$I$5000),0)),"")</f>
        <v>0</v>
      </c>
      <c r="E24" s="160" cm="1">
        <f t="array" ref="E24">IFERROR(SUMPRODUCT((INPUT!$H$3:$H$5000&gt;=E$3)*(INPUT!$H$3:$H$5000&lt;=E$3+6)*(INPUT!$J$3:$J$5000="NACHO")*ISNUMBER(INPUT!$K$3:$K$5000)*IFERROR(VALUE(INPUT!$K$3:$K$5000),0)*IFERROR(SUMIFS(INPUT!$E$3:$E$5000,INPUT!$A$3:$A$5000,INPUT!$H$3:$H$5000,INPUT!$C$3:$C$5000,INPUT!$I$3:$I$5000),0)),"")</f>
        <v>0</v>
      </c>
      <c r="F24" s="160" cm="1">
        <f t="array" ref="F24">IFERROR(SUMPRODUCT((INPUT!$H$3:$H$5000&gt;=F$3)*(INPUT!$H$3:$H$5000&lt;=F$3+6)*(INPUT!$J$3:$J$5000="NACHO")*ISNUMBER(INPUT!$K$3:$K$5000)*IFERROR(VALUE(INPUT!$K$3:$K$5000),0)*IFERROR(SUMIFS(INPUT!$E$3:$E$5000,INPUT!$A$3:$A$5000,INPUT!$H$3:$H$5000,INPUT!$C$3:$C$5000,INPUT!$I$3:$I$5000),0)),"")</f>
        <v>0</v>
      </c>
      <c r="G24" s="160" cm="1">
        <f t="array" ref="G24">IFERROR(SUMPRODUCT((INPUT!$H$3:$H$5000&gt;=G$3)*(INPUT!$H$3:$H$5000&lt;=G$3+6)*(INPUT!$J$3:$J$5000="NACHO")*ISNUMBER(INPUT!$K$3:$K$5000)*IFERROR(VALUE(INPUT!$K$3:$K$5000),0)*IFERROR(SUMIFS(INPUT!$E$3:$E$5000,INPUT!$A$3:$A$5000,INPUT!$H$3:$H$5000,INPUT!$C$3:$C$5000,INPUT!$I$3:$I$5000),0)),"")</f>
        <v>0</v>
      </c>
      <c r="H24" s="160" cm="1">
        <f t="array" ref="H24">IFERROR(SUMPRODUCT((INPUT!$H$3:$H$5000&gt;=H$3)*(INPUT!$H$3:$H$5000&lt;=H$3+6)*(INPUT!$J$3:$J$5000="NACHO")*ISNUMBER(INPUT!$K$3:$K$5000)*IFERROR(VALUE(INPUT!$K$3:$K$5000),0)*IFERROR(SUMIFS(INPUT!$E$3:$E$5000,INPUT!$A$3:$A$5000,INPUT!$H$3:$H$5000,INPUT!$C$3:$C$5000,INPUT!$I$3:$I$5000),0)),"")</f>
        <v>0</v>
      </c>
      <c r="I24" s="160" cm="1">
        <f t="array" ref="I24">IFERROR(SUMPRODUCT((INPUT!$H$3:$H$5000&gt;=I$3)*(INPUT!$H$3:$H$5000&lt;=I$3+6)*(INPUT!$J$3:$J$5000="NACHO")*ISNUMBER(INPUT!$K$3:$K$5000)*IFERROR(VALUE(INPUT!$K$3:$K$5000),0)*IFERROR(SUMIFS(INPUT!$E$3:$E$5000,INPUT!$A$3:$A$5000,INPUT!$H$3:$H$5000,INPUT!$C$3:$C$5000,INPUT!$I$3:$I$5000),0)),"")</f>
        <v>0</v>
      </c>
      <c r="J24" s="160" cm="1">
        <f t="array" ref="J24">IFERROR(SUMPRODUCT((INPUT!$H$3:$H$5000&gt;=J$3)*(INPUT!$H$3:$H$5000&lt;=J$3+6)*(INPUT!$J$3:$J$5000="NACHO")*ISNUMBER(INPUT!$K$3:$K$5000)*IFERROR(VALUE(INPUT!$K$3:$K$5000),0)*IFERROR(SUMIFS(INPUT!$E$3:$E$5000,INPUT!$A$3:$A$5000,INPUT!$H$3:$H$5000,INPUT!$C$3:$C$5000,INPUT!$I$3:$I$5000),0)),"")</f>
        <v>0</v>
      </c>
      <c r="K24" s="160" cm="1">
        <f t="array" ref="K24">IFERROR(SUMPRODUCT((INPUT!$H$3:$H$5000&gt;=K$3)*(INPUT!$H$3:$H$5000&lt;=K$3+6)*(INPUT!$J$3:$J$5000="NACHO")*ISNUMBER(INPUT!$K$3:$K$5000)*IFERROR(VALUE(INPUT!$K$3:$K$5000),0)*IFERROR(SUMIFS(INPUT!$E$3:$E$5000,INPUT!$A$3:$A$5000,INPUT!$H$3:$H$5000,INPUT!$C$3:$C$5000,INPUT!$I$3:$I$5000),0)),"")</f>
        <v>0</v>
      </c>
      <c r="L24" s="160" cm="1">
        <f t="array" ref="L24">IFERROR(SUMPRODUCT((INPUT!$H$3:$H$5000&gt;=L$3)*(INPUT!$H$3:$H$5000&lt;=L$3+6)*(INPUT!$J$3:$J$5000="NACHO")*ISNUMBER(INPUT!$K$3:$K$5000)*IFERROR(VALUE(INPUT!$K$3:$K$5000),0)*IFERROR(SUMIFS(INPUT!$E$3:$E$5000,INPUT!$A$3:$A$5000,INPUT!$H$3:$H$5000,INPUT!$C$3:$C$5000,INPUT!$I$3:$I$5000),0)),"")</f>
        <v>0</v>
      </c>
      <c r="M24" s="160" cm="1">
        <f t="array" ref="M24">IFERROR(SUMPRODUCT((INPUT!$H$3:$H$5000&gt;=M$3)*(INPUT!$H$3:$H$5000&lt;=M$3+6)*(INPUT!$J$3:$J$5000="NACHO")*ISNUMBER(INPUT!$K$3:$K$5000)*IFERROR(VALUE(INPUT!$K$3:$K$5000),0)*IFERROR(SUMIFS(INPUT!$E$3:$E$5000,INPUT!$A$3:$A$5000,INPUT!$H$3:$H$5000,INPUT!$C$3:$C$5000,INPUT!$I$3:$I$5000),0)),"")</f>
        <v>0</v>
      </c>
      <c r="N24" s="160" cm="1">
        <f t="array" ref="N24">IFERROR(SUMPRODUCT((INPUT!$H$3:$H$5000&gt;=N$3)*(INPUT!$H$3:$H$5000&lt;=N$3+6)*(INPUT!$J$3:$J$5000="NACHO")*ISNUMBER(INPUT!$K$3:$K$5000)*IFERROR(VALUE(INPUT!$K$3:$K$5000),0)*IFERROR(SUMIFS(INPUT!$E$3:$E$5000,INPUT!$A$3:$A$5000,INPUT!$H$3:$H$5000,INPUT!$C$3:$C$5000,INPUT!$I$3:$I$5000),0)),"")</f>
        <v>0</v>
      </c>
      <c r="O24" s="160" cm="1">
        <f t="array" ref="O24">IFERROR(SUMPRODUCT((INPUT!$H$3:$H$5000&gt;=O$3)*(INPUT!$H$3:$H$5000&lt;=O$3+6)*(INPUT!$J$3:$J$5000="NACHO")*ISNUMBER(INPUT!$K$3:$K$5000)*IFERROR(VALUE(INPUT!$K$3:$K$5000),0)*IFERROR(SUMIFS(INPUT!$E$3:$E$5000,INPUT!$A$3:$A$5000,INPUT!$H$3:$H$5000,INPUT!$C$3:$C$5000,INPUT!$I$3:$I$5000),0)),"")</f>
        <v>0</v>
      </c>
      <c r="P24" s="160" cm="1">
        <f t="array" ref="P24">IFERROR(SUMPRODUCT((INPUT!$H$3:$H$5000&gt;=P$3)*(INPUT!$H$3:$H$5000&lt;=P$3+6)*(INPUT!$J$3:$J$5000="NACHO")*ISNUMBER(INPUT!$K$3:$K$5000)*IFERROR(VALUE(INPUT!$K$3:$K$5000),0)*IFERROR(SUMIFS(INPUT!$E$3:$E$5000,INPUT!$A$3:$A$5000,INPUT!$H$3:$H$5000,INPUT!$C$3:$C$5000,INPUT!$I$3:$I$5000),0)),"")</f>
        <v>0</v>
      </c>
      <c r="Q24" s="160" cm="1">
        <f t="array" ref="Q24">IFERROR(SUMPRODUCT((INPUT!$H$3:$H$5000&gt;=Q$3)*(INPUT!$H$3:$H$5000&lt;=Q$3+6)*(INPUT!$J$3:$J$5000="NACHO")*ISNUMBER(INPUT!$K$3:$K$5000)*IFERROR(VALUE(INPUT!$K$3:$K$5000),0)*IFERROR(SUMIFS(INPUT!$E$3:$E$5000,INPUT!$A$3:$A$5000,INPUT!$H$3:$H$5000,INPUT!$C$3:$C$5000,INPUT!$I$3:$I$5000),0)),"")</f>
        <v>0</v>
      </c>
      <c r="R24" s="160" cm="1">
        <f t="array" ref="R24">IFERROR(SUMPRODUCT((INPUT!$H$3:$H$5000&gt;=R$3)*(INPUT!$H$3:$H$5000&lt;=R$3+6)*(INPUT!$J$3:$J$5000="NACHO")*ISNUMBER(INPUT!$K$3:$K$5000)*IFERROR(VALUE(INPUT!$K$3:$K$5000),0)*IFERROR(SUMIFS(INPUT!$E$3:$E$5000,INPUT!$A$3:$A$5000,INPUT!$H$3:$H$5000,INPUT!$C$3:$C$5000,INPUT!$I$3:$I$5000),0)),"")</f>
        <v>0</v>
      </c>
      <c r="S24" s="160" cm="1">
        <f t="array" ref="S24">IFERROR(SUMPRODUCT((INPUT!$H$3:$H$5000&gt;=S$3)*(INPUT!$H$3:$H$5000&lt;=S$3+6)*(INPUT!$J$3:$J$5000="NACHO")*ISNUMBER(INPUT!$K$3:$K$5000)*IFERROR(VALUE(INPUT!$K$3:$K$5000),0)*IFERROR(SUMIFS(INPUT!$E$3:$E$5000,INPUT!$A$3:$A$5000,INPUT!$H$3:$H$5000,INPUT!$C$3:$C$5000,INPUT!$I$3:$I$5000),0)),"")</f>
        <v>0</v>
      </c>
      <c r="T24" s="160" cm="1">
        <f t="array" ref="T24">IFERROR(SUMPRODUCT((INPUT!$H$3:$H$5000&gt;=T$3)*(INPUT!$H$3:$H$5000&lt;=T$3+6)*(INPUT!$J$3:$J$5000="NACHO")*ISNUMBER(INPUT!$K$3:$K$5000)*IFERROR(VALUE(INPUT!$K$3:$K$5000),0)*IFERROR(SUMIFS(INPUT!$E$3:$E$5000,INPUT!$A$3:$A$5000,INPUT!$H$3:$H$5000,INPUT!$C$3:$C$5000,INPUT!$I$3:$I$5000),0)),"")</f>
        <v>0</v>
      </c>
      <c r="U24" s="160" cm="1">
        <f t="array" ref="U24">IFERROR(SUMPRODUCT((INPUT!$H$3:$H$5000&gt;=U$3)*(INPUT!$H$3:$H$5000&lt;=U$3+6)*(INPUT!$J$3:$J$5000="NACHO")*ISNUMBER(INPUT!$K$3:$K$5000)*IFERROR(VALUE(INPUT!$K$3:$K$5000),0)*IFERROR(SUMIFS(INPUT!$E$3:$E$5000,INPUT!$A$3:$A$5000,INPUT!$H$3:$H$5000,INPUT!$C$3:$C$5000,INPUT!$I$3:$I$5000),0)),"")</f>
        <v>0</v>
      </c>
      <c r="V24" s="160" cm="1">
        <f t="array" ref="V24">IFERROR(SUMPRODUCT((INPUT!$H$3:$H$5000&gt;=V$3)*(INPUT!$H$3:$H$5000&lt;=V$3+6)*(INPUT!$J$3:$J$5000="NACHO")*ISNUMBER(INPUT!$K$3:$K$5000)*IFERROR(VALUE(INPUT!$K$3:$K$5000),0)*IFERROR(SUMIFS(INPUT!$E$3:$E$5000,INPUT!$A$3:$A$5000,INPUT!$H$3:$H$5000,INPUT!$C$3:$C$5000,INPUT!$I$3:$I$5000),0)),"")</f>
        <v>0</v>
      </c>
      <c r="W24" s="160" cm="1">
        <f t="array" ref="W24">IFERROR(SUMPRODUCT((INPUT!$H$3:$H$5000&gt;=W$3)*(INPUT!$H$3:$H$5000&lt;=W$3+6)*(INPUT!$J$3:$J$5000="NACHO")*ISNUMBER(INPUT!$K$3:$K$5000)*IFERROR(VALUE(INPUT!$K$3:$K$5000),0)*IFERROR(SUMIFS(INPUT!$E$3:$E$5000,INPUT!$A$3:$A$5000,INPUT!$H$3:$H$5000,INPUT!$C$3:$C$5000,INPUT!$I$3:$I$5000),0)),"")</f>
        <v>0</v>
      </c>
      <c r="X24" s="160" cm="1">
        <f t="array" ref="X24">IFERROR(SUMPRODUCT((INPUT!$H$3:$H$5000&gt;=X$3)*(INPUT!$H$3:$H$5000&lt;=X$3+6)*(INPUT!$J$3:$J$5000="NACHO")*ISNUMBER(INPUT!$K$3:$K$5000)*IFERROR(VALUE(INPUT!$K$3:$K$5000),0)*IFERROR(SUMIFS(INPUT!$E$3:$E$5000,INPUT!$A$3:$A$5000,INPUT!$H$3:$H$5000,INPUT!$C$3:$C$5000,INPUT!$I$3:$I$5000),0)),"")</f>
        <v>0</v>
      </c>
      <c r="Y24" s="160" cm="1">
        <f t="array" ref="Y24">IFERROR(SUMPRODUCT((INPUT!$H$3:$H$5000&gt;=Y$3)*(INPUT!$H$3:$H$5000&lt;=Y$3+6)*(INPUT!$J$3:$J$5000="NACHO")*ISNUMBER(INPUT!$K$3:$K$5000)*IFERROR(VALUE(INPUT!$K$3:$K$5000),0)*IFERROR(SUMIFS(INPUT!$E$3:$E$5000,INPUT!$A$3:$A$5000,INPUT!$H$3:$H$5000,INPUT!$C$3:$C$5000,INPUT!$I$3:$I$5000),0)),"")</f>
        <v>0</v>
      </c>
      <c r="Z24" s="160" cm="1">
        <f t="array" ref="Z24">IFERROR(SUMPRODUCT((INPUT!$H$3:$H$5000&gt;=Z$3)*(INPUT!$H$3:$H$5000&lt;=Z$3+6)*(INPUT!$J$3:$J$5000="NACHO")*ISNUMBER(INPUT!$K$3:$K$5000)*IFERROR(VALUE(INPUT!$K$3:$K$5000),0)*IFERROR(SUMIFS(INPUT!$E$3:$E$5000,INPUT!$A$3:$A$5000,INPUT!$H$3:$H$5000,INPUT!$C$3:$C$5000,INPUT!$I$3:$I$5000),0)),"")</f>
        <v>0</v>
      </c>
      <c r="AA24" s="160" cm="1">
        <f t="array" ref="AA24">IFERROR(SUMPRODUCT((INPUT!$H$3:$H$5000&gt;=AA$3)*(INPUT!$H$3:$H$5000&lt;=AA$3+6)*(INPUT!$J$3:$J$5000="NACHO")*ISNUMBER(INPUT!$K$3:$K$5000)*IFERROR(VALUE(INPUT!$K$3:$K$5000),0)*IFERROR(SUMIFS(INPUT!$E$3:$E$5000,INPUT!$A$3:$A$5000,INPUT!$H$3:$H$5000,INPUT!$C$3:$C$5000,INPUT!$I$3:$I$5000),0)),"")</f>
        <v>0</v>
      </c>
      <c r="AB24" s="160" cm="1">
        <f t="array" ref="AB24">IFERROR(SUMPRODUCT((INPUT!$H$3:$H$5000&gt;=AB$3)*(INPUT!$H$3:$H$5000&lt;=AB$3+6)*(INPUT!$J$3:$J$5000="NACHO")*ISNUMBER(INPUT!$K$3:$K$5000)*IFERROR(VALUE(INPUT!$K$3:$K$5000),0)*IFERROR(SUMIFS(INPUT!$E$3:$E$5000,INPUT!$A$3:$A$5000,INPUT!$H$3:$H$5000,INPUT!$C$3:$C$5000,INPUT!$I$3:$I$5000),0)),"")</f>
        <v>0</v>
      </c>
      <c r="AC24" s="160" cm="1">
        <f t="array" ref="AC24">IFERROR(SUMPRODUCT((INPUT!$H$3:$H$5000&gt;=AC$3)*(INPUT!$H$3:$H$5000&lt;=AC$3+6)*(INPUT!$J$3:$J$5000="NACHO")*ISNUMBER(INPUT!$K$3:$K$5000)*IFERROR(VALUE(INPUT!$K$3:$K$5000),0)*IFERROR(SUMIFS(INPUT!$E$3:$E$5000,INPUT!$A$3:$A$5000,INPUT!$H$3:$H$5000,INPUT!$C$3:$C$5000,INPUT!$I$3:$I$5000),0)),"")</f>
        <v>0</v>
      </c>
      <c r="AD24" s="160" cm="1">
        <f t="array" ref="AD24">IFERROR(SUMPRODUCT((INPUT!$H$3:$H$5000&gt;=AD$3)*(INPUT!$H$3:$H$5000&lt;=AD$3+6)*(INPUT!$J$3:$J$5000="NACHO")*ISNUMBER(INPUT!$K$3:$K$5000)*IFERROR(VALUE(INPUT!$K$3:$K$5000),0)*IFERROR(SUMIFS(INPUT!$E$3:$E$5000,INPUT!$A$3:$A$5000,INPUT!$H$3:$H$5000,INPUT!$C$3:$C$5000,INPUT!$I$3:$I$5000),0)),"")</f>
        <v>0</v>
      </c>
      <c r="AE24" s="160" cm="1">
        <f t="array" ref="AE24">IFERROR(SUMPRODUCT((INPUT!$H$3:$H$5000&gt;=AE$3)*(INPUT!$H$3:$H$5000&lt;=AE$3+6)*(INPUT!$J$3:$J$5000="NACHO")*ISNUMBER(INPUT!$K$3:$K$5000)*IFERROR(VALUE(INPUT!$K$3:$K$5000),0)*IFERROR(SUMIFS(INPUT!$E$3:$E$5000,INPUT!$A$3:$A$5000,INPUT!$H$3:$H$5000,INPUT!$C$3:$C$5000,INPUT!$I$3:$I$5000),0)),"")</f>
        <v>0</v>
      </c>
      <c r="AF24" s="160" cm="1">
        <f t="array" ref="AF24">IFERROR(SUMPRODUCT((INPUT!$H$3:$H$5000&gt;=AF$3)*(INPUT!$H$3:$H$5000&lt;=AF$3+6)*(INPUT!$J$3:$J$5000="NACHO")*ISNUMBER(INPUT!$K$3:$K$5000)*IFERROR(VALUE(INPUT!$K$3:$K$5000),0)*IFERROR(SUMIFS(INPUT!$E$3:$E$5000,INPUT!$A$3:$A$5000,INPUT!$H$3:$H$5000,INPUT!$C$3:$C$5000,INPUT!$I$3:$I$5000),0)),"")</f>
        <v>0</v>
      </c>
      <c r="AG24" s="160" cm="1">
        <f t="array" ref="AG24">IFERROR(SUMPRODUCT((INPUT!$H$3:$H$5000&gt;=AG$3)*(INPUT!$H$3:$H$5000&lt;=AG$3+6)*(INPUT!$J$3:$J$5000="NACHO")*ISNUMBER(INPUT!$K$3:$K$5000)*IFERROR(VALUE(INPUT!$K$3:$K$5000),0)*IFERROR(SUMIFS(INPUT!$E$3:$E$5000,INPUT!$A$3:$A$5000,INPUT!$H$3:$H$5000,INPUT!$C$3:$C$5000,INPUT!$I$3:$I$5000),0)),"")</f>
        <v>0</v>
      </c>
      <c r="AH24" s="160" cm="1">
        <f t="array" ref="AH24">IFERROR(SUMPRODUCT((INPUT!$H$3:$H$5000&gt;=AH$3)*(INPUT!$H$3:$H$5000&lt;=AH$3+6)*(INPUT!$J$3:$J$5000="NACHO")*ISNUMBER(INPUT!$K$3:$K$5000)*IFERROR(VALUE(INPUT!$K$3:$K$5000),0)*IFERROR(SUMIFS(INPUT!$E$3:$E$5000,INPUT!$A$3:$A$5000,INPUT!$H$3:$H$5000,INPUT!$C$3:$C$5000,INPUT!$I$3:$I$5000),0)),"")</f>
        <v>0</v>
      </c>
      <c r="AI24" s="160" cm="1">
        <f t="array" ref="AI24">IFERROR(SUMPRODUCT((INPUT!$H$3:$H$5000&gt;=AI$3)*(INPUT!$H$3:$H$5000&lt;=AI$3+6)*(INPUT!$J$3:$J$5000="NACHO")*ISNUMBER(INPUT!$K$3:$K$5000)*IFERROR(VALUE(INPUT!$K$3:$K$5000),0)*IFERROR(SUMIFS(INPUT!$E$3:$E$5000,INPUT!$A$3:$A$5000,INPUT!$H$3:$H$5000,INPUT!$C$3:$C$5000,INPUT!$I$3:$I$5000),0)),"")</f>
        <v>0</v>
      </c>
      <c r="AJ24" s="160" cm="1">
        <f t="array" ref="AJ24">IFERROR(SUMPRODUCT((INPUT!$H$3:$H$5000&gt;=AJ$3)*(INPUT!$H$3:$H$5000&lt;=AJ$3+6)*(INPUT!$J$3:$J$5000="NACHO")*ISNUMBER(INPUT!$K$3:$K$5000)*IFERROR(VALUE(INPUT!$K$3:$K$5000),0)*IFERROR(SUMIFS(INPUT!$E$3:$E$5000,INPUT!$A$3:$A$5000,INPUT!$H$3:$H$5000,INPUT!$C$3:$C$5000,INPUT!$I$3:$I$5000),0)),"")</f>
        <v>0</v>
      </c>
      <c r="AK24" s="160" cm="1">
        <f t="array" ref="AK24">IFERROR(SUMPRODUCT((INPUT!$H$3:$H$5000&gt;=AK$3)*(INPUT!$H$3:$H$5000&lt;=AK$3+6)*(INPUT!$J$3:$J$5000="NACHO")*ISNUMBER(INPUT!$K$3:$K$5000)*IFERROR(VALUE(INPUT!$K$3:$K$5000),0)*IFERROR(SUMIFS(INPUT!$E$3:$E$5000,INPUT!$A$3:$A$5000,INPUT!$H$3:$H$5000,INPUT!$C$3:$C$5000,INPUT!$I$3:$I$5000),0)),"")</f>
        <v>0</v>
      </c>
      <c r="AL24" s="160" cm="1">
        <f t="array" ref="AL24">IFERROR(SUMPRODUCT((INPUT!$H$3:$H$5000&gt;=AL$3)*(INPUT!$H$3:$H$5000&lt;=AL$3+6)*(INPUT!$J$3:$J$5000="NACHO")*ISNUMBER(INPUT!$K$3:$K$5000)*IFERROR(VALUE(INPUT!$K$3:$K$5000),0)*IFERROR(SUMIFS(INPUT!$E$3:$E$5000,INPUT!$A$3:$A$5000,INPUT!$H$3:$H$5000,INPUT!$C$3:$C$5000,INPUT!$I$3:$I$5000),0)),"")</f>
        <v>0</v>
      </c>
      <c r="AM24" s="160" cm="1">
        <f t="array" ref="AM24">IFERROR(SUMPRODUCT((INPUT!$H$3:$H$5000&gt;=AM$3)*(INPUT!$H$3:$H$5000&lt;=AM$3+6)*(INPUT!$J$3:$J$5000="NACHO")*ISNUMBER(INPUT!$K$3:$K$5000)*IFERROR(VALUE(INPUT!$K$3:$K$5000),0)*IFERROR(SUMIFS(INPUT!$E$3:$E$5000,INPUT!$A$3:$A$5000,INPUT!$H$3:$H$5000,INPUT!$C$3:$C$5000,INPUT!$I$3:$I$5000),0)),"")</f>
        <v>0</v>
      </c>
      <c r="AN24" s="160" cm="1">
        <f t="array" ref="AN24">IFERROR(SUMPRODUCT((INPUT!$H$3:$H$5000&gt;=AN$3)*(INPUT!$H$3:$H$5000&lt;=AN$3+6)*(INPUT!$J$3:$J$5000="NACHO")*ISNUMBER(INPUT!$K$3:$K$5000)*IFERROR(VALUE(INPUT!$K$3:$K$5000),0)*IFERROR(SUMIFS(INPUT!$E$3:$E$5000,INPUT!$A$3:$A$5000,INPUT!$H$3:$H$5000,INPUT!$C$3:$C$5000,INPUT!$I$3:$I$5000),0)),"")</f>
        <v>0</v>
      </c>
      <c r="AO24" s="160" cm="1">
        <f t="array" ref="AO24">IFERROR(SUMPRODUCT((INPUT!$H$3:$H$5000&gt;=AO$3)*(INPUT!$H$3:$H$5000&lt;=AO$3+6)*(INPUT!$J$3:$J$5000="NACHO")*ISNUMBER(INPUT!$K$3:$K$5000)*IFERROR(VALUE(INPUT!$K$3:$K$5000),0)*IFERROR(SUMIFS(INPUT!$E$3:$E$5000,INPUT!$A$3:$A$5000,INPUT!$H$3:$H$5000,INPUT!$C$3:$C$5000,INPUT!$I$3:$I$5000),0)),"")</f>
        <v>0</v>
      </c>
      <c r="AP24" s="160" cm="1">
        <f t="array" ref="AP24">IFERROR(SUMPRODUCT((INPUT!$H$3:$H$5000&gt;=AP$3)*(INPUT!$H$3:$H$5000&lt;=AP$3+6)*(INPUT!$J$3:$J$5000="NACHO")*ISNUMBER(INPUT!$K$3:$K$5000)*IFERROR(VALUE(INPUT!$K$3:$K$5000),0)*IFERROR(SUMIFS(INPUT!$E$3:$E$5000,INPUT!$A$3:$A$5000,INPUT!$H$3:$H$5000,INPUT!$C$3:$C$5000,INPUT!$I$3:$I$5000),0)),"")</f>
        <v>0</v>
      </c>
      <c r="AQ24" s="160" cm="1">
        <f t="array" ref="AQ24">IFERROR(SUMPRODUCT((INPUT!$H$3:$H$5000&gt;=AQ$3)*(INPUT!$H$3:$H$5000&lt;=AQ$3+6)*(INPUT!$J$3:$J$5000="NACHO")*ISNUMBER(INPUT!$K$3:$K$5000)*IFERROR(VALUE(INPUT!$K$3:$K$5000),0)*IFERROR(SUMIFS(INPUT!$E$3:$E$5000,INPUT!$A$3:$A$5000,INPUT!$H$3:$H$5000,INPUT!$C$3:$C$5000,INPUT!$I$3:$I$5000),0)),"")</f>
        <v>0</v>
      </c>
      <c r="AR24" s="160" cm="1">
        <f t="array" ref="AR24">IFERROR(SUMPRODUCT((INPUT!$H$3:$H$5000&gt;=AR$3)*(INPUT!$H$3:$H$5000&lt;=AR$3+6)*(INPUT!$J$3:$J$5000="NACHO")*ISNUMBER(INPUT!$K$3:$K$5000)*IFERROR(VALUE(INPUT!$K$3:$K$5000),0)*IFERROR(SUMIFS(INPUT!$E$3:$E$5000,INPUT!$A$3:$A$5000,INPUT!$H$3:$H$5000,INPUT!$C$3:$C$5000,INPUT!$I$3:$I$5000),0)),"")</f>
        <v>0</v>
      </c>
      <c r="AS24" s="160" cm="1">
        <f t="array" ref="AS24">IFERROR(SUMPRODUCT((INPUT!$H$3:$H$5000&gt;=AS$3)*(INPUT!$H$3:$H$5000&lt;=AS$3+6)*(INPUT!$J$3:$J$5000="NACHO")*ISNUMBER(INPUT!$K$3:$K$5000)*IFERROR(VALUE(INPUT!$K$3:$K$5000),0)*IFERROR(SUMIFS(INPUT!$E$3:$E$5000,INPUT!$A$3:$A$5000,INPUT!$H$3:$H$5000,INPUT!$C$3:$C$5000,INPUT!$I$3:$I$5000),0)),"")</f>
        <v>0</v>
      </c>
      <c r="AT24" s="160" cm="1">
        <f t="array" ref="AT24">IFERROR(SUMPRODUCT((INPUT!$H$3:$H$5000&gt;=AT$3)*(INPUT!$H$3:$H$5000&lt;=AT$3+6)*(INPUT!$J$3:$J$5000="NACHO")*ISNUMBER(INPUT!$K$3:$K$5000)*IFERROR(VALUE(INPUT!$K$3:$K$5000),0)*IFERROR(SUMIFS(INPUT!$E$3:$E$5000,INPUT!$A$3:$A$5000,INPUT!$H$3:$H$5000,INPUT!$C$3:$C$5000,INPUT!$I$3:$I$5000),0)),"")</f>
        <v>0</v>
      </c>
      <c r="AU24" s="160" cm="1">
        <f t="array" ref="AU24">IFERROR(SUMPRODUCT((INPUT!$H$3:$H$5000&gt;=AU$3)*(INPUT!$H$3:$H$5000&lt;=AU$3+6)*(INPUT!$J$3:$J$5000="NACHO")*ISNUMBER(INPUT!$K$3:$K$5000)*IFERROR(VALUE(INPUT!$K$3:$K$5000),0)*IFERROR(SUMIFS(INPUT!$E$3:$E$5000,INPUT!$A$3:$A$5000,INPUT!$H$3:$H$5000,INPUT!$C$3:$C$5000,INPUT!$I$3:$I$5000),0)),"")</f>
        <v>0</v>
      </c>
      <c r="AV24" s="160" cm="1">
        <f t="array" ref="AV24">IFERROR(SUMPRODUCT((INPUT!$H$3:$H$5000&gt;=AV$3)*(INPUT!$H$3:$H$5000&lt;=AV$3+6)*(INPUT!$J$3:$J$5000="NACHO")*ISNUMBER(INPUT!$K$3:$K$5000)*IFERROR(VALUE(INPUT!$K$3:$K$5000),0)*IFERROR(SUMIFS(INPUT!$E$3:$E$5000,INPUT!$A$3:$A$5000,INPUT!$H$3:$H$5000,INPUT!$C$3:$C$5000,INPUT!$I$3:$I$5000),0)),"")</f>
        <v>0</v>
      </c>
      <c r="AW24" s="160" cm="1">
        <f t="array" ref="AW24">IFERROR(SUMPRODUCT((INPUT!$H$3:$H$5000&gt;=AW$3)*(INPUT!$H$3:$H$5000&lt;=AW$3+6)*(INPUT!$J$3:$J$5000="NACHO")*ISNUMBER(INPUT!$K$3:$K$5000)*IFERROR(VALUE(INPUT!$K$3:$K$5000),0)*IFERROR(SUMIFS(INPUT!$E$3:$E$5000,INPUT!$A$3:$A$5000,INPUT!$H$3:$H$5000,INPUT!$C$3:$C$5000,INPUT!$I$3:$I$5000),0)),"")</f>
        <v>0</v>
      </c>
      <c r="AX24" s="160" cm="1">
        <f t="array" ref="AX24">IFERROR(SUMPRODUCT((INPUT!$H$3:$H$5000&gt;=AX$3)*(INPUT!$H$3:$H$5000&lt;=AX$3+6)*(INPUT!$J$3:$J$5000="NACHO")*ISNUMBER(INPUT!$K$3:$K$5000)*IFERROR(VALUE(INPUT!$K$3:$K$5000),0)*IFERROR(SUMIFS(INPUT!$E$3:$E$5000,INPUT!$A$3:$A$5000,INPUT!$H$3:$H$5000,INPUT!$C$3:$C$5000,INPUT!$I$3:$I$5000),0)),"")</f>
        <v>0</v>
      </c>
      <c r="AY24" s="160" cm="1">
        <f t="array" ref="AY24">IFERROR(SUMPRODUCT((INPUT!$H$3:$H$5000&gt;=AY$3)*(INPUT!$H$3:$H$5000&lt;=AY$3+6)*(INPUT!$J$3:$J$5000="NACHO")*ISNUMBER(INPUT!$K$3:$K$5000)*IFERROR(VALUE(INPUT!$K$3:$K$5000),0)*IFERROR(SUMIFS(INPUT!$E$3:$E$5000,INPUT!$A$3:$A$5000,INPUT!$H$3:$H$5000,INPUT!$C$3:$C$5000,INPUT!$I$3:$I$5000),0)),"")</f>
        <v>0</v>
      </c>
      <c r="AZ24" s="160" cm="1">
        <f t="array" ref="AZ24">IFERROR(SUMPRODUCT((INPUT!$H$3:$H$5000&gt;=AZ$3)*(INPUT!$H$3:$H$5000&lt;=AZ$3+6)*(INPUT!$J$3:$J$5000="NACHO")*ISNUMBER(INPUT!$K$3:$K$5000)*IFERROR(VALUE(INPUT!$K$3:$K$5000),0)*IFERROR(SUMIFS(INPUT!$E$3:$E$5000,INPUT!$A$3:$A$5000,INPUT!$H$3:$H$5000,INPUT!$C$3:$C$5000,INPUT!$I$3:$I$5000),0)),"")</f>
        <v>0</v>
      </c>
      <c r="BA24" s="160" cm="1">
        <f t="array" ref="BA24">IFERROR(SUMPRODUCT((INPUT!$H$3:$H$5000&gt;=BA$3)*(INPUT!$H$3:$H$5000&lt;=BA$3+6)*(INPUT!$J$3:$J$5000="NACHO")*ISNUMBER(INPUT!$K$3:$K$5000)*IFERROR(VALUE(INPUT!$K$3:$K$5000),0)*IFERROR(SUMIFS(INPUT!$E$3:$E$5000,INPUT!$A$3:$A$5000,INPUT!$H$3:$H$5000,INPUT!$C$3:$C$5000,INPUT!$I$3:$I$5000),0)),"")</f>
        <v>0</v>
      </c>
      <c r="BB24" s="161" cm="1">
        <f t="array" ref="BB24">IFERROR(SUMPRODUCT((INPUT!$H$3:$H$5000&gt;=BB$3)*(INPUT!$H$3:$H$5000&lt;=BB$3+6)*(INPUT!$J$3:$J$5000="NACHO")*ISNUMBER(INPUT!$K$3:$K$5000)*IFERROR(VALUE(INPUT!$K$3:$K$5000),0)*IFERROR(SUMIFS(INPUT!$E$3:$E$5000,INPUT!$A$3:$A$5000,INPUT!$H$3:$H$5000,INPUT!$C$3:$C$5000,INPUT!$I$3:$I$5000),0)),"")</f>
        <v>0</v>
      </c>
    </row>
    <row r="25" spans="1:54" x14ac:dyDescent="0.2">
      <c r="A25" s="56">
        <v>21</v>
      </c>
      <c r="B25" s="9" t="s">
        <v>85</v>
      </c>
      <c r="C25" s="160" cm="1">
        <f t="array" ref="C25">IFERROR(SUMPRODUCT((INPUT!$H$3:$H$5000&gt;=C$3)*(INPUT!$H$3:$H$5000&lt;=C$3+6)*(INPUT!$J$3:$J$5000="J21")*ISNUMBER(INPUT!$K$3:$K$5000)*IFERROR(VALUE(INPUT!$K$3:$K$5000),0)*IFERROR(SUMIFS(INPUT!$E$3:$E$5000,INPUT!$A$3:$A$5000,INPUT!$H$3:$H$5000,INPUT!$C$3:$C$5000,INPUT!$I$3:$I$5000),0)),"")</f>
        <v>0</v>
      </c>
      <c r="D25" s="160" cm="1">
        <f t="array" ref="D25">IFERROR(SUMPRODUCT((INPUT!$H$3:$H$5000&gt;=D$3)*(INPUT!$H$3:$H$5000&lt;=D$3+6)*(INPUT!$J$3:$J$5000="J21")*ISNUMBER(INPUT!$K$3:$K$5000)*IFERROR(VALUE(INPUT!$K$3:$K$5000),0)*IFERROR(SUMIFS(INPUT!$E$3:$E$5000,INPUT!$A$3:$A$5000,INPUT!$H$3:$H$5000,INPUT!$C$3:$C$5000,INPUT!$I$3:$I$5000),0)),"")</f>
        <v>0</v>
      </c>
      <c r="E25" s="160" cm="1">
        <f t="array" ref="E25">IFERROR(SUMPRODUCT((INPUT!$H$3:$H$5000&gt;=E$3)*(INPUT!$H$3:$H$5000&lt;=E$3+6)*(INPUT!$J$3:$J$5000="J21")*ISNUMBER(INPUT!$K$3:$K$5000)*IFERROR(VALUE(INPUT!$K$3:$K$5000),0)*IFERROR(SUMIFS(INPUT!$E$3:$E$5000,INPUT!$A$3:$A$5000,INPUT!$H$3:$H$5000,INPUT!$C$3:$C$5000,INPUT!$I$3:$I$5000),0)),"")</f>
        <v>0</v>
      </c>
      <c r="F25" s="160" cm="1">
        <f t="array" ref="F25">IFERROR(SUMPRODUCT((INPUT!$H$3:$H$5000&gt;=F$3)*(INPUT!$H$3:$H$5000&lt;=F$3+6)*(INPUT!$J$3:$J$5000="J21")*ISNUMBER(INPUT!$K$3:$K$5000)*IFERROR(VALUE(INPUT!$K$3:$K$5000),0)*IFERROR(SUMIFS(INPUT!$E$3:$E$5000,INPUT!$A$3:$A$5000,INPUT!$H$3:$H$5000,INPUT!$C$3:$C$5000,INPUT!$I$3:$I$5000),0)),"")</f>
        <v>0</v>
      </c>
      <c r="G25" s="160" cm="1">
        <f t="array" ref="G25">IFERROR(SUMPRODUCT((INPUT!$H$3:$H$5000&gt;=G$3)*(INPUT!$H$3:$H$5000&lt;=G$3+6)*(INPUT!$J$3:$J$5000="J21")*ISNUMBER(INPUT!$K$3:$K$5000)*IFERROR(VALUE(INPUT!$K$3:$K$5000),0)*IFERROR(SUMIFS(INPUT!$E$3:$E$5000,INPUT!$A$3:$A$5000,INPUT!$H$3:$H$5000,INPUT!$C$3:$C$5000,INPUT!$I$3:$I$5000),0)),"")</f>
        <v>0</v>
      </c>
      <c r="H25" s="160" cm="1">
        <f t="array" ref="H25">IFERROR(SUMPRODUCT((INPUT!$H$3:$H$5000&gt;=H$3)*(INPUT!$H$3:$H$5000&lt;=H$3+6)*(INPUT!$J$3:$J$5000="J21")*ISNUMBER(INPUT!$K$3:$K$5000)*IFERROR(VALUE(INPUT!$K$3:$K$5000),0)*IFERROR(SUMIFS(INPUT!$E$3:$E$5000,INPUT!$A$3:$A$5000,INPUT!$H$3:$H$5000,INPUT!$C$3:$C$5000,INPUT!$I$3:$I$5000),0)),"")</f>
        <v>0</v>
      </c>
      <c r="I25" s="160" cm="1">
        <f t="array" ref="I25">IFERROR(SUMPRODUCT((INPUT!$H$3:$H$5000&gt;=I$3)*(INPUT!$H$3:$H$5000&lt;=I$3+6)*(INPUT!$J$3:$J$5000="J21")*ISNUMBER(INPUT!$K$3:$K$5000)*IFERROR(VALUE(INPUT!$K$3:$K$5000),0)*IFERROR(SUMIFS(INPUT!$E$3:$E$5000,INPUT!$A$3:$A$5000,INPUT!$H$3:$H$5000,INPUT!$C$3:$C$5000,INPUT!$I$3:$I$5000),0)),"")</f>
        <v>0</v>
      </c>
      <c r="J25" s="160" cm="1">
        <f t="array" ref="J25">IFERROR(SUMPRODUCT((INPUT!$H$3:$H$5000&gt;=J$3)*(INPUT!$H$3:$H$5000&lt;=J$3+6)*(INPUT!$J$3:$J$5000="J21")*ISNUMBER(INPUT!$K$3:$K$5000)*IFERROR(VALUE(INPUT!$K$3:$K$5000),0)*IFERROR(SUMIFS(INPUT!$E$3:$E$5000,INPUT!$A$3:$A$5000,INPUT!$H$3:$H$5000,INPUT!$C$3:$C$5000,INPUT!$I$3:$I$5000),0)),"")</f>
        <v>0</v>
      </c>
      <c r="K25" s="160" cm="1">
        <f t="array" ref="K25">IFERROR(SUMPRODUCT((INPUT!$H$3:$H$5000&gt;=K$3)*(INPUT!$H$3:$H$5000&lt;=K$3+6)*(INPUT!$J$3:$J$5000="J21")*ISNUMBER(INPUT!$K$3:$K$5000)*IFERROR(VALUE(INPUT!$K$3:$K$5000),0)*IFERROR(SUMIFS(INPUT!$E$3:$E$5000,INPUT!$A$3:$A$5000,INPUT!$H$3:$H$5000,INPUT!$C$3:$C$5000,INPUT!$I$3:$I$5000),0)),"")</f>
        <v>0</v>
      </c>
      <c r="L25" s="160" cm="1">
        <f t="array" ref="L25">IFERROR(SUMPRODUCT((INPUT!$H$3:$H$5000&gt;=L$3)*(INPUT!$H$3:$H$5000&lt;=L$3+6)*(INPUT!$J$3:$J$5000="J21")*ISNUMBER(INPUT!$K$3:$K$5000)*IFERROR(VALUE(INPUT!$K$3:$K$5000),0)*IFERROR(SUMIFS(INPUT!$E$3:$E$5000,INPUT!$A$3:$A$5000,INPUT!$H$3:$H$5000,INPUT!$C$3:$C$5000,INPUT!$I$3:$I$5000),0)),"")</f>
        <v>0</v>
      </c>
      <c r="M25" s="160" cm="1">
        <f t="array" ref="M25">IFERROR(SUMPRODUCT((INPUT!$H$3:$H$5000&gt;=M$3)*(INPUT!$H$3:$H$5000&lt;=M$3+6)*(INPUT!$J$3:$J$5000="J21")*ISNUMBER(INPUT!$K$3:$K$5000)*IFERROR(VALUE(INPUT!$K$3:$K$5000),0)*IFERROR(SUMIFS(INPUT!$E$3:$E$5000,INPUT!$A$3:$A$5000,INPUT!$H$3:$H$5000,INPUT!$C$3:$C$5000,INPUT!$I$3:$I$5000),0)),"")</f>
        <v>0</v>
      </c>
      <c r="N25" s="160" cm="1">
        <f t="array" ref="N25">IFERROR(SUMPRODUCT((INPUT!$H$3:$H$5000&gt;=N$3)*(INPUT!$H$3:$H$5000&lt;=N$3+6)*(INPUT!$J$3:$J$5000="J21")*ISNUMBER(INPUT!$K$3:$K$5000)*IFERROR(VALUE(INPUT!$K$3:$K$5000),0)*IFERROR(SUMIFS(INPUT!$E$3:$E$5000,INPUT!$A$3:$A$5000,INPUT!$H$3:$H$5000,INPUT!$C$3:$C$5000,INPUT!$I$3:$I$5000),0)),"")</f>
        <v>0</v>
      </c>
      <c r="O25" s="160" cm="1">
        <f t="array" ref="O25">IFERROR(SUMPRODUCT((INPUT!$H$3:$H$5000&gt;=O$3)*(INPUT!$H$3:$H$5000&lt;=O$3+6)*(INPUT!$J$3:$J$5000="J21")*ISNUMBER(INPUT!$K$3:$K$5000)*IFERROR(VALUE(INPUT!$K$3:$K$5000),0)*IFERROR(SUMIFS(INPUT!$E$3:$E$5000,INPUT!$A$3:$A$5000,INPUT!$H$3:$H$5000,INPUT!$C$3:$C$5000,INPUT!$I$3:$I$5000),0)),"")</f>
        <v>0</v>
      </c>
      <c r="P25" s="160" cm="1">
        <f t="array" ref="P25">IFERROR(SUMPRODUCT((INPUT!$H$3:$H$5000&gt;=P$3)*(INPUT!$H$3:$H$5000&lt;=P$3+6)*(INPUT!$J$3:$J$5000="J21")*ISNUMBER(INPUT!$K$3:$K$5000)*IFERROR(VALUE(INPUT!$K$3:$K$5000),0)*IFERROR(SUMIFS(INPUT!$E$3:$E$5000,INPUT!$A$3:$A$5000,INPUT!$H$3:$H$5000,INPUT!$C$3:$C$5000,INPUT!$I$3:$I$5000),0)),"")</f>
        <v>0</v>
      </c>
      <c r="Q25" s="160" cm="1">
        <f t="array" ref="Q25">IFERROR(SUMPRODUCT((INPUT!$H$3:$H$5000&gt;=Q$3)*(INPUT!$H$3:$H$5000&lt;=Q$3+6)*(INPUT!$J$3:$J$5000="J21")*ISNUMBER(INPUT!$K$3:$K$5000)*IFERROR(VALUE(INPUT!$K$3:$K$5000),0)*IFERROR(SUMIFS(INPUT!$E$3:$E$5000,INPUT!$A$3:$A$5000,INPUT!$H$3:$H$5000,INPUT!$C$3:$C$5000,INPUT!$I$3:$I$5000),0)),"")</f>
        <v>0</v>
      </c>
      <c r="R25" s="160" cm="1">
        <f t="array" ref="R25">IFERROR(SUMPRODUCT((INPUT!$H$3:$H$5000&gt;=R$3)*(INPUT!$H$3:$H$5000&lt;=R$3+6)*(INPUT!$J$3:$J$5000="J21")*ISNUMBER(INPUT!$K$3:$K$5000)*IFERROR(VALUE(INPUT!$K$3:$K$5000),0)*IFERROR(SUMIFS(INPUT!$E$3:$E$5000,INPUT!$A$3:$A$5000,INPUT!$H$3:$H$5000,INPUT!$C$3:$C$5000,INPUT!$I$3:$I$5000),0)),"")</f>
        <v>0</v>
      </c>
      <c r="S25" s="160" cm="1">
        <f t="array" ref="S25">IFERROR(SUMPRODUCT((INPUT!$H$3:$H$5000&gt;=S$3)*(INPUT!$H$3:$H$5000&lt;=S$3+6)*(INPUT!$J$3:$J$5000="J21")*ISNUMBER(INPUT!$K$3:$K$5000)*IFERROR(VALUE(INPUT!$K$3:$K$5000),0)*IFERROR(SUMIFS(INPUT!$E$3:$E$5000,INPUT!$A$3:$A$5000,INPUT!$H$3:$H$5000,INPUT!$C$3:$C$5000,INPUT!$I$3:$I$5000),0)),"")</f>
        <v>0</v>
      </c>
      <c r="T25" s="160" cm="1">
        <f t="array" ref="T25">IFERROR(SUMPRODUCT((INPUT!$H$3:$H$5000&gt;=T$3)*(INPUT!$H$3:$H$5000&lt;=T$3+6)*(INPUT!$J$3:$J$5000="J21")*ISNUMBER(INPUT!$K$3:$K$5000)*IFERROR(VALUE(INPUT!$K$3:$K$5000),0)*IFERROR(SUMIFS(INPUT!$E$3:$E$5000,INPUT!$A$3:$A$5000,INPUT!$H$3:$H$5000,INPUT!$C$3:$C$5000,INPUT!$I$3:$I$5000),0)),"")</f>
        <v>0</v>
      </c>
      <c r="U25" s="160" cm="1">
        <f t="array" ref="U25">IFERROR(SUMPRODUCT((INPUT!$H$3:$H$5000&gt;=U$3)*(INPUT!$H$3:$H$5000&lt;=U$3+6)*(INPUT!$J$3:$J$5000="J21")*ISNUMBER(INPUT!$K$3:$K$5000)*IFERROR(VALUE(INPUT!$K$3:$K$5000),0)*IFERROR(SUMIFS(INPUT!$E$3:$E$5000,INPUT!$A$3:$A$5000,INPUT!$H$3:$H$5000,INPUT!$C$3:$C$5000,INPUT!$I$3:$I$5000),0)),"")</f>
        <v>0</v>
      </c>
      <c r="V25" s="160" cm="1">
        <f t="array" ref="V25">IFERROR(SUMPRODUCT((INPUT!$H$3:$H$5000&gt;=V$3)*(INPUT!$H$3:$H$5000&lt;=V$3+6)*(INPUT!$J$3:$J$5000="J21")*ISNUMBER(INPUT!$K$3:$K$5000)*IFERROR(VALUE(INPUT!$K$3:$K$5000),0)*IFERROR(SUMIFS(INPUT!$E$3:$E$5000,INPUT!$A$3:$A$5000,INPUT!$H$3:$H$5000,INPUT!$C$3:$C$5000,INPUT!$I$3:$I$5000),0)),"")</f>
        <v>0</v>
      </c>
      <c r="W25" s="160" cm="1">
        <f t="array" ref="W25">IFERROR(SUMPRODUCT((INPUT!$H$3:$H$5000&gt;=W$3)*(INPUT!$H$3:$H$5000&lt;=W$3+6)*(INPUT!$J$3:$J$5000="J21")*ISNUMBER(INPUT!$K$3:$K$5000)*IFERROR(VALUE(INPUT!$K$3:$K$5000),0)*IFERROR(SUMIFS(INPUT!$E$3:$E$5000,INPUT!$A$3:$A$5000,INPUT!$H$3:$H$5000,INPUT!$C$3:$C$5000,INPUT!$I$3:$I$5000),0)),"")</f>
        <v>0</v>
      </c>
      <c r="X25" s="160" cm="1">
        <f t="array" ref="X25">IFERROR(SUMPRODUCT((INPUT!$H$3:$H$5000&gt;=X$3)*(INPUT!$H$3:$H$5000&lt;=X$3+6)*(INPUT!$J$3:$J$5000="J21")*ISNUMBER(INPUT!$K$3:$K$5000)*IFERROR(VALUE(INPUT!$K$3:$K$5000),0)*IFERROR(SUMIFS(INPUT!$E$3:$E$5000,INPUT!$A$3:$A$5000,INPUT!$H$3:$H$5000,INPUT!$C$3:$C$5000,INPUT!$I$3:$I$5000),0)),"")</f>
        <v>0</v>
      </c>
      <c r="Y25" s="160" cm="1">
        <f t="array" ref="Y25">IFERROR(SUMPRODUCT((INPUT!$H$3:$H$5000&gt;=Y$3)*(INPUT!$H$3:$H$5000&lt;=Y$3+6)*(INPUT!$J$3:$J$5000="J21")*ISNUMBER(INPUT!$K$3:$K$5000)*IFERROR(VALUE(INPUT!$K$3:$K$5000),0)*IFERROR(SUMIFS(INPUT!$E$3:$E$5000,INPUT!$A$3:$A$5000,INPUT!$H$3:$H$5000,INPUT!$C$3:$C$5000,INPUT!$I$3:$I$5000),0)),"")</f>
        <v>0</v>
      </c>
      <c r="Z25" s="160" cm="1">
        <f t="array" ref="Z25">IFERROR(SUMPRODUCT((INPUT!$H$3:$H$5000&gt;=Z$3)*(INPUT!$H$3:$H$5000&lt;=Z$3+6)*(INPUT!$J$3:$J$5000="J21")*ISNUMBER(INPUT!$K$3:$K$5000)*IFERROR(VALUE(INPUT!$K$3:$K$5000),0)*IFERROR(SUMIFS(INPUT!$E$3:$E$5000,INPUT!$A$3:$A$5000,INPUT!$H$3:$H$5000,INPUT!$C$3:$C$5000,INPUT!$I$3:$I$5000),0)),"")</f>
        <v>0</v>
      </c>
      <c r="AA25" s="160" cm="1">
        <f t="array" ref="AA25">IFERROR(SUMPRODUCT((INPUT!$H$3:$H$5000&gt;=AA$3)*(INPUT!$H$3:$H$5000&lt;=AA$3+6)*(INPUT!$J$3:$J$5000="J21")*ISNUMBER(INPUT!$K$3:$K$5000)*IFERROR(VALUE(INPUT!$K$3:$K$5000),0)*IFERROR(SUMIFS(INPUT!$E$3:$E$5000,INPUT!$A$3:$A$5000,INPUT!$H$3:$H$5000,INPUT!$C$3:$C$5000,INPUT!$I$3:$I$5000),0)),"")</f>
        <v>0</v>
      </c>
      <c r="AB25" s="160" cm="1">
        <f t="array" ref="AB25">IFERROR(SUMPRODUCT((INPUT!$H$3:$H$5000&gt;=AB$3)*(INPUT!$H$3:$H$5000&lt;=AB$3+6)*(INPUT!$J$3:$J$5000="J21")*ISNUMBER(INPUT!$K$3:$K$5000)*IFERROR(VALUE(INPUT!$K$3:$K$5000),0)*IFERROR(SUMIFS(INPUT!$E$3:$E$5000,INPUT!$A$3:$A$5000,INPUT!$H$3:$H$5000,INPUT!$C$3:$C$5000,INPUT!$I$3:$I$5000),0)),"")</f>
        <v>0</v>
      </c>
      <c r="AC25" s="160" cm="1">
        <f t="array" ref="AC25">IFERROR(SUMPRODUCT((INPUT!$H$3:$H$5000&gt;=AC$3)*(INPUT!$H$3:$H$5000&lt;=AC$3+6)*(INPUT!$J$3:$J$5000="J21")*ISNUMBER(INPUT!$K$3:$K$5000)*IFERROR(VALUE(INPUT!$K$3:$K$5000),0)*IFERROR(SUMIFS(INPUT!$E$3:$E$5000,INPUT!$A$3:$A$5000,INPUT!$H$3:$H$5000,INPUT!$C$3:$C$5000,INPUT!$I$3:$I$5000),0)),"")</f>
        <v>0</v>
      </c>
      <c r="AD25" s="160" cm="1">
        <f t="array" ref="AD25">IFERROR(SUMPRODUCT((INPUT!$H$3:$H$5000&gt;=AD$3)*(INPUT!$H$3:$H$5000&lt;=AD$3+6)*(INPUT!$J$3:$J$5000="J21")*ISNUMBER(INPUT!$K$3:$K$5000)*IFERROR(VALUE(INPUT!$K$3:$K$5000),0)*IFERROR(SUMIFS(INPUT!$E$3:$E$5000,INPUT!$A$3:$A$5000,INPUT!$H$3:$H$5000,INPUT!$C$3:$C$5000,INPUT!$I$3:$I$5000),0)),"")</f>
        <v>0</v>
      </c>
      <c r="AE25" s="160" cm="1">
        <f t="array" ref="AE25">IFERROR(SUMPRODUCT((INPUT!$H$3:$H$5000&gt;=AE$3)*(INPUT!$H$3:$H$5000&lt;=AE$3+6)*(INPUT!$J$3:$J$5000="J21")*ISNUMBER(INPUT!$K$3:$K$5000)*IFERROR(VALUE(INPUT!$K$3:$K$5000),0)*IFERROR(SUMIFS(INPUT!$E$3:$E$5000,INPUT!$A$3:$A$5000,INPUT!$H$3:$H$5000,INPUT!$C$3:$C$5000,INPUT!$I$3:$I$5000),0)),"")</f>
        <v>0</v>
      </c>
      <c r="AF25" s="160" cm="1">
        <f t="array" ref="AF25">IFERROR(SUMPRODUCT((INPUT!$H$3:$H$5000&gt;=AF$3)*(INPUT!$H$3:$H$5000&lt;=AF$3+6)*(INPUT!$J$3:$J$5000="J21")*ISNUMBER(INPUT!$K$3:$K$5000)*IFERROR(VALUE(INPUT!$K$3:$K$5000),0)*IFERROR(SUMIFS(INPUT!$E$3:$E$5000,INPUT!$A$3:$A$5000,INPUT!$H$3:$H$5000,INPUT!$C$3:$C$5000,INPUT!$I$3:$I$5000),0)),"")</f>
        <v>0</v>
      </c>
      <c r="AG25" s="160" cm="1">
        <f t="array" ref="AG25">IFERROR(SUMPRODUCT((INPUT!$H$3:$H$5000&gt;=AG$3)*(INPUT!$H$3:$H$5000&lt;=AG$3+6)*(INPUT!$J$3:$J$5000="J21")*ISNUMBER(INPUT!$K$3:$K$5000)*IFERROR(VALUE(INPUT!$K$3:$K$5000),0)*IFERROR(SUMIFS(INPUT!$E$3:$E$5000,INPUT!$A$3:$A$5000,INPUT!$H$3:$H$5000,INPUT!$C$3:$C$5000,INPUT!$I$3:$I$5000),0)),"")</f>
        <v>0</v>
      </c>
      <c r="AH25" s="160" cm="1">
        <f t="array" ref="AH25">IFERROR(SUMPRODUCT((INPUT!$H$3:$H$5000&gt;=AH$3)*(INPUT!$H$3:$H$5000&lt;=AH$3+6)*(INPUT!$J$3:$J$5000="J21")*ISNUMBER(INPUT!$K$3:$K$5000)*IFERROR(VALUE(INPUT!$K$3:$K$5000),0)*IFERROR(SUMIFS(INPUT!$E$3:$E$5000,INPUT!$A$3:$A$5000,INPUT!$H$3:$H$5000,INPUT!$C$3:$C$5000,INPUT!$I$3:$I$5000),0)),"")</f>
        <v>0</v>
      </c>
      <c r="AI25" s="160" cm="1">
        <f t="array" ref="AI25">IFERROR(SUMPRODUCT((INPUT!$H$3:$H$5000&gt;=AI$3)*(INPUT!$H$3:$H$5000&lt;=AI$3+6)*(INPUT!$J$3:$J$5000="J21")*ISNUMBER(INPUT!$K$3:$K$5000)*IFERROR(VALUE(INPUT!$K$3:$K$5000),0)*IFERROR(SUMIFS(INPUT!$E$3:$E$5000,INPUT!$A$3:$A$5000,INPUT!$H$3:$H$5000,INPUT!$C$3:$C$5000,INPUT!$I$3:$I$5000),0)),"")</f>
        <v>0</v>
      </c>
      <c r="AJ25" s="160" cm="1">
        <f t="array" ref="AJ25">IFERROR(SUMPRODUCT((INPUT!$H$3:$H$5000&gt;=AJ$3)*(INPUT!$H$3:$H$5000&lt;=AJ$3+6)*(INPUT!$J$3:$J$5000="J21")*ISNUMBER(INPUT!$K$3:$K$5000)*IFERROR(VALUE(INPUT!$K$3:$K$5000),0)*IFERROR(SUMIFS(INPUT!$E$3:$E$5000,INPUT!$A$3:$A$5000,INPUT!$H$3:$H$5000,INPUT!$C$3:$C$5000,INPUT!$I$3:$I$5000),0)),"")</f>
        <v>0</v>
      </c>
      <c r="AK25" s="160" cm="1">
        <f t="array" ref="AK25">IFERROR(SUMPRODUCT((INPUT!$H$3:$H$5000&gt;=AK$3)*(INPUT!$H$3:$H$5000&lt;=AK$3+6)*(INPUT!$J$3:$J$5000="J21")*ISNUMBER(INPUT!$K$3:$K$5000)*IFERROR(VALUE(INPUT!$K$3:$K$5000),0)*IFERROR(SUMIFS(INPUT!$E$3:$E$5000,INPUT!$A$3:$A$5000,INPUT!$H$3:$H$5000,INPUT!$C$3:$C$5000,INPUT!$I$3:$I$5000),0)),"")</f>
        <v>0</v>
      </c>
      <c r="AL25" s="160" cm="1">
        <f t="array" ref="AL25">IFERROR(SUMPRODUCT((INPUT!$H$3:$H$5000&gt;=AL$3)*(INPUT!$H$3:$H$5000&lt;=AL$3+6)*(INPUT!$J$3:$J$5000="J21")*ISNUMBER(INPUT!$K$3:$K$5000)*IFERROR(VALUE(INPUT!$K$3:$K$5000),0)*IFERROR(SUMIFS(INPUT!$E$3:$E$5000,INPUT!$A$3:$A$5000,INPUT!$H$3:$H$5000,INPUT!$C$3:$C$5000,INPUT!$I$3:$I$5000),0)),"")</f>
        <v>0</v>
      </c>
      <c r="AM25" s="160" cm="1">
        <f t="array" ref="AM25">IFERROR(SUMPRODUCT((INPUT!$H$3:$H$5000&gt;=AM$3)*(INPUT!$H$3:$H$5000&lt;=AM$3+6)*(INPUT!$J$3:$J$5000="J21")*ISNUMBER(INPUT!$K$3:$K$5000)*IFERROR(VALUE(INPUT!$K$3:$K$5000),0)*IFERROR(SUMIFS(INPUT!$E$3:$E$5000,INPUT!$A$3:$A$5000,INPUT!$H$3:$H$5000,INPUT!$C$3:$C$5000,INPUT!$I$3:$I$5000),0)),"")</f>
        <v>0</v>
      </c>
      <c r="AN25" s="160" cm="1">
        <f t="array" ref="AN25">IFERROR(SUMPRODUCT((INPUT!$H$3:$H$5000&gt;=AN$3)*(INPUT!$H$3:$H$5000&lt;=AN$3+6)*(INPUT!$J$3:$J$5000="J21")*ISNUMBER(INPUT!$K$3:$K$5000)*IFERROR(VALUE(INPUT!$K$3:$K$5000),0)*IFERROR(SUMIFS(INPUT!$E$3:$E$5000,INPUT!$A$3:$A$5000,INPUT!$H$3:$H$5000,INPUT!$C$3:$C$5000,INPUT!$I$3:$I$5000),0)),"")</f>
        <v>0</v>
      </c>
      <c r="AO25" s="160" cm="1">
        <f t="array" ref="AO25">IFERROR(SUMPRODUCT((INPUT!$H$3:$H$5000&gt;=AO$3)*(INPUT!$H$3:$H$5000&lt;=AO$3+6)*(INPUT!$J$3:$J$5000="J21")*ISNUMBER(INPUT!$K$3:$K$5000)*IFERROR(VALUE(INPUT!$K$3:$K$5000),0)*IFERROR(SUMIFS(INPUT!$E$3:$E$5000,INPUT!$A$3:$A$5000,INPUT!$H$3:$H$5000,INPUT!$C$3:$C$5000,INPUT!$I$3:$I$5000),0)),"")</f>
        <v>0</v>
      </c>
      <c r="AP25" s="160" cm="1">
        <f t="array" ref="AP25">IFERROR(SUMPRODUCT((INPUT!$H$3:$H$5000&gt;=AP$3)*(INPUT!$H$3:$H$5000&lt;=AP$3+6)*(INPUT!$J$3:$J$5000="J21")*ISNUMBER(INPUT!$K$3:$K$5000)*IFERROR(VALUE(INPUT!$K$3:$K$5000),0)*IFERROR(SUMIFS(INPUT!$E$3:$E$5000,INPUT!$A$3:$A$5000,INPUT!$H$3:$H$5000,INPUT!$C$3:$C$5000,INPUT!$I$3:$I$5000),0)),"")</f>
        <v>0</v>
      </c>
      <c r="AQ25" s="160" cm="1">
        <f t="array" ref="AQ25">IFERROR(SUMPRODUCT((INPUT!$H$3:$H$5000&gt;=AQ$3)*(INPUT!$H$3:$H$5000&lt;=AQ$3+6)*(INPUT!$J$3:$J$5000="J21")*ISNUMBER(INPUT!$K$3:$K$5000)*IFERROR(VALUE(INPUT!$K$3:$K$5000),0)*IFERROR(SUMIFS(INPUT!$E$3:$E$5000,INPUT!$A$3:$A$5000,INPUT!$H$3:$H$5000,INPUT!$C$3:$C$5000,INPUT!$I$3:$I$5000),0)),"")</f>
        <v>0</v>
      </c>
      <c r="AR25" s="160" cm="1">
        <f t="array" ref="AR25">IFERROR(SUMPRODUCT((INPUT!$H$3:$H$5000&gt;=AR$3)*(INPUT!$H$3:$H$5000&lt;=AR$3+6)*(INPUT!$J$3:$J$5000="J21")*ISNUMBER(INPUT!$K$3:$K$5000)*IFERROR(VALUE(INPUT!$K$3:$K$5000),0)*IFERROR(SUMIFS(INPUT!$E$3:$E$5000,INPUT!$A$3:$A$5000,INPUT!$H$3:$H$5000,INPUT!$C$3:$C$5000,INPUT!$I$3:$I$5000),0)),"")</f>
        <v>0</v>
      </c>
      <c r="AS25" s="160" cm="1">
        <f t="array" ref="AS25">IFERROR(SUMPRODUCT((INPUT!$H$3:$H$5000&gt;=AS$3)*(INPUT!$H$3:$H$5000&lt;=AS$3+6)*(INPUT!$J$3:$J$5000="J21")*ISNUMBER(INPUT!$K$3:$K$5000)*IFERROR(VALUE(INPUT!$K$3:$K$5000),0)*IFERROR(SUMIFS(INPUT!$E$3:$E$5000,INPUT!$A$3:$A$5000,INPUT!$H$3:$H$5000,INPUT!$C$3:$C$5000,INPUT!$I$3:$I$5000),0)),"")</f>
        <v>0</v>
      </c>
      <c r="AT25" s="160" cm="1">
        <f t="array" ref="AT25">IFERROR(SUMPRODUCT((INPUT!$H$3:$H$5000&gt;=AT$3)*(INPUT!$H$3:$H$5000&lt;=AT$3+6)*(INPUT!$J$3:$J$5000="J21")*ISNUMBER(INPUT!$K$3:$K$5000)*IFERROR(VALUE(INPUT!$K$3:$K$5000),0)*IFERROR(SUMIFS(INPUT!$E$3:$E$5000,INPUT!$A$3:$A$5000,INPUT!$H$3:$H$5000,INPUT!$C$3:$C$5000,INPUT!$I$3:$I$5000),0)),"")</f>
        <v>0</v>
      </c>
      <c r="AU25" s="160" cm="1">
        <f t="array" ref="AU25">IFERROR(SUMPRODUCT((INPUT!$H$3:$H$5000&gt;=AU$3)*(INPUT!$H$3:$H$5000&lt;=AU$3+6)*(INPUT!$J$3:$J$5000="J21")*ISNUMBER(INPUT!$K$3:$K$5000)*IFERROR(VALUE(INPUT!$K$3:$K$5000),0)*IFERROR(SUMIFS(INPUT!$E$3:$E$5000,INPUT!$A$3:$A$5000,INPUT!$H$3:$H$5000,INPUT!$C$3:$C$5000,INPUT!$I$3:$I$5000),0)),"")</f>
        <v>0</v>
      </c>
      <c r="AV25" s="160" cm="1">
        <f t="array" ref="AV25">IFERROR(SUMPRODUCT((INPUT!$H$3:$H$5000&gt;=AV$3)*(INPUT!$H$3:$H$5000&lt;=AV$3+6)*(INPUT!$J$3:$J$5000="J21")*ISNUMBER(INPUT!$K$3:$K$5000)*IFERROR(VALUE(INPUT!$K$3:$K$5000),0)*IFERROR(SUMIFS(INPUT!$E$3:$E$5000,INPUT!$A$3:$A$5000,INPUT!$H$3:$H$5000,INPUT!$C$3:$C$5000,INPUT!$I$3:$I$5000),0)),"")</f>
        <v>0</v>
      </c>
      <c r="AW25" s="160" cm="1">
        <f t="array" ref="AW25">IFERROR(SUMPRODUCT((INPUT!$H$3:$H$5000&gt;=AW$3)*(INPUT!$H$3:$H$5000&lt;=AW$3+6)*(INPUT!$J$3:$J$5000="J21")*ISNUMBER(INPUT!$K$3:$K$5000)*IFERROR(VALUE(INPUT!$K$3:$K$5000),0)*IFERROR(SUMIFS(INPUT!$E$3:$E$5000,INPUT!$A$3:$A$5000,INPUT!$H$3:$H$5000,INPUT!$C$3:$C$5000,INPUT!$I$3:$I$5000),0)),"")</f>
        <v>0</v>
      </c>
      <c r="AX25" s="160" cm="1">
        <f t="array" ref="AX25">IFERROR(SUMPRODUCT((INPUT!$H$3:$H$5000&gt;=AX$3)*(INPUT!$H$3:$H$5000&lt;=AX$3+6)*(INPUT!$J$3:$J$5000="J21")*ISNUMBER(INPUT!$K$3:$K$5000)*IFERROR(VALUE(INPUT!$K$3:$K$5000),0)*IFERROR(SUMIFS(INPUT!$E$3:$E$5000,INPUT!$A$3:$A$5000,INPUT!$H$3:$H$5000,INPUT!$C$3:$C$5000,INPUT!$I$3:$I$5000),0)),"")</f>
        <v>0</v>
      </c>
      <c r="AY25" s="160" cm="1">
        <f t="array" ref="AY25">IFERROR(SUMPRODUCT((INPUT!$H$3:$H$5000&gt;=AY$3)*(INPUT!$H$3:$H$5000&lt;=AY$3+6)*(INPUT!$J$3:$J$5000="J21")*ISNUMBER(INPUT!$K$3:$K$5000)*IFERROR(VALUE(INPUT!$K$3:$K$5000),0)*IFERROR(SUMIFS(INPUT!$E$3:$E$5000,INPUT!$A$3:$A$5000,INPUT!$H$3:$H$5000,INPUT!$C$3:$C$5000,INPUT!$I$3:$I$5000),0)),"")</f>
        <v>0</v>
      </c>
      <c r="AZ25" s="160" cm="1">
        <f t="array" ref="AZ25">IFERROR(SUMPRODUCT((INPUT!$H$3:$H$5000&gt;=AZ$3)*(INPUT!$H$3:$H$5000&lt;=AZ$3+6)*(INPUT!$J$3:$J$5000="J21")*ISNUMBER(INPUT!$K$3:$K$5000)*IFERROR(VALUE(INPUT!$K$3:$K$5000),0)*IFERROR(SUMIFS(INPUT!$E$3:$E$5000,INPUT!$A$3:$A$5000,INPUT!$H$3:$H$5000,INPUT!$C$3:$C$5000,INPUT!$I$3:$I$5000),0)),"")</f>
        <v>0</v>
      </c>
      <c r="BA25" s="160" cm="1">
        <f t="array" ref="BA25">IFERROR(SUMPRODUCT((INPUT!$H$3:$H$5000&gt;=BA$3)*(INPUT!$H$3:$H$5000&lt;=BA$3+6)*(INPUT!$J$3:$J$5000="J21")*ISNUMBER(INPUT!$K$3:$K$5000)*IFERROR(VALUE(INPUT!$K$3:$K$5000),0)*IFERROR(SUMIFS(INPUT!$E$3:$E$5000,INPUT!$A$3:$A$5000,INPUT!$H$3:$H$5000,INPUT!$C$3:$C$5000,INPUT!$I$3:$I$5000),0)),"")</f>
        <v>0</v>
      </c>
      <c r="BB25" s="161" cm="1">
        <f t="array" ref="BB25">IFERROR(SUMPRODUCT((INPUT!$H$3:$H$5000&gt;=BB$3)*(INPUT!$H$3:$H$5000&lt;=BB$3+6)*(INPUT!$J$3:$J$5000="J21")*ISNUMBER(INPUT!$K$3:$K$5000)*IFERROR(VALUE(INPUT!$K$3:$K$5000),0)*IFERROR(SUMIFS(INPUT!$E$3:$E$5000,INPUT!$A$3:$A$5000,INPUT!$H$3:$H$5000,INPUT!$C$3:$C$5000,INPUT!$I$3:$I$5000),0)),"")</f>
        <v>0</v>
      </c>
    </row>
    <row r="26" spans="1:54" x14ac:dyDescent="0.2">
      <c r="A26" s="154">
        <v>22</v>
      </c>
      <c r="B26" s="81" t="s">
        <v>86</v>
      </c>
      <c r="C26" s="160" cm="1">
        <f t="array" ref="C26">IFERROR(SUMPRODUCT((INPUT!$H$3:$H$5000&gt;=C$3)*(INPUT!$H$3:$H$5000&lt;=C$3+6)*(INPUT!$J$3:$J$5000="J22")*ISNUMBER(INPUT!$K$3:$K$5000)*IFERROR(VALUE(INPUT!$K$3:$K$5000),0)*IFERROR(SUMIFS(INPUT!$E$3:$E$5000,INPUT!$A$3:$A$5000,INPUT!$H$3:$H$5000,INPUT!$C$3:$C$5000,INPUT!$I$3:$I$5000),0)),"")</f>
        <v>0</v>
      </c>
      <c r="D26" s="160" cm="1">
        <f t="array" ref="D26">IFERROR(SUMPRODUCT((INPUT!$H$3:$H$5000&gt;=D$3)*(INPUT!$H$3:$H$5000&lt;=D$3+6)*(INPUT!$J$3:$J$5000="J22")*ISNUMBER(INPUT!$K$3:$K$5000)*IFERROR(VALUE(INPUT!$K$3:$K$5000),0)*IFERROR(SUMIFS(INPUT!$E$3:$E$5000,INPUT!$A$3:$A$5000,INPUT!$H$3:$H$5000,INPUT!$C$3:$C$5000,INPUT!$I$3:$I$5000),0)),"")</f>
        <v>0</v>
      </c>
      <c r="E26" s="160" cm="1">
        <f t="array" ref="E26">IFERROR(SUMPRODUCT((INPUT!$H$3:$H$5000&gt;=E$3)*(INPUT!$H$3:$H$5000&lt;=E$3+6)*(INPUT!$J$3:$J$5000="J22")*ISNUMBER(INPUT!$K$3:$K$5000)*IFERROR(VALUE(INPUT!$K$3:$K$5000),0)*IFERROR(SUMIFS(INPUT!$E$3:$E$5000,INPUT!$A$3:$A$5000,INPUT!$H$3:$H$5000,INPUT!$C$3:$C$5000,INPUT!$I$3:$I$5000),0)),"")</f>
        <v>0</v>
      </c>
      <c r="F26" s="160" cm="1">
        <f t="array" ref="F26">IFERROR(SUMPRODUCT((INPUT!$H$3:$H$5000&gt;=F$3)*(INPUT!$H$3:$H$5000&lt;=F$3+6)*(INPUT!$J$3:$J$5000="J22")*ISNUMBER(INPUT!$K$3:$K$5000)*IFERROR(VALUE(INPUT!$K$3:$K$5000),0)*IFERROR(SUMIFS(INPUT!$E$3:$E$5000,INPUT!$A$3:$A$5000,INPUT!$H$3:$H$5000,INPUT!$C$3:$C$5000,INPUT!$I$3:$I$5000),0)),"")</f>
        <v>0</v>
      </c>
      <c r="G26" s="160" cm="1">
        <f t="array" ref="G26">IFERROR(SUMPRODUCT((INPUT!$H$3:$H$5000&gt;=G$3)*(INPUT!$H$3:$H$5000&lt;=G$3+6)*(INPUT!$J$3:$J$5000="J22")*ISNUMBER(INPUT!$K$3:$K$5000)*IFERROR(VALUE(INPUT!$K$3:$K$5000),0)*IFERROR(SUMIFS(INPUT!$E$3:$E$5000,INPUT!$A$3:$A$5000,INPUT!$H$3:$H$5000,INPUT!$C$3:$C$5000,INPUT!$I$3:$I$5000),0)),"")</f>
        <v>0</v>
      </c>
      <c r="H26" s="160" cm="1">
        <f t="array" ref="H26">IFERROR(SUMPRODUCT((INPUT!$H$3:$H$5000&gt;=H$3)*(INPUT!$H$3:$H$5000&lt;=H$3+6)*(INPUT!$J$3:$J$5000="J22")*ISNUMBER(INPUT!$K$3:$K$5000)*IFERROR(VALUE(INPUT!$K$3:$K$5000),0)*IFERROR(SUMIFS(INPUT!$E$3:$E$5000,INPUT!$A$3:$A$5000,INPUT!$H$3:$H$5000,INPUT!$C$3:$C$5000,INPUT!$I$3:$I$5000),0)),"")</f>
        <v>0</v>
      </c>
      <c r="I26" s="160" cm="1">
        <f t="array" ref="I26">IFERROR(SUMPRODUCT((INPUT!$H$3:$H$5000&gt;=I$3)*(INPUT!$H$3:$H$5000&lt;=I$3+6)*(INPUT!$J$3:$J$5000="J22")*ISNUMBER(INPUT!$K$3:$K$5000)*IFERROR(VALUE(INPUT!$K$3:$K$5000),0)*IFERROR(SUMIFS(INPUT!$E$3:$E$5000,INPUT!$A$3:$A$5000,INPUT!$H$3:$H$5000,INPUT!$C$3:$C$5000,INPUT!$I$3:$I$5000),0)),"")</f>
        <v>0</v>
      </c>
      <c r="J26" s="160" cm="1">
        <f t="array" ref="J26">IFERROR(SUMPRODUCT((INPUT!$H$3:$H$5000&gt;=J$3)*(INPUT!$H$3:$H$5000&lt;=J$3+6)*(INPUT!$J$3:$J$5000="J22")*ISNUMBER(INPUT!$K$3:$K$5000)*IFERROR(VALUE(INPUT!$K$3:$K$5000),0)*IFERROR(SUMIFS(INPUT!$E$3:$E$5000,INPUT!$A$3:$A$5000,INPUT!$H$3:$H$5000,INPUT!$C$3:$C$5000,INPUT!$I$3:$I$5000),0)),"")</f>
        <v>0</v>
      </c>
      <c r="K26" s="160" cm="1">
        <f t="array" ref="K26">IFERROR(SUMPRODUCT((INPUT!$H$3:$H$5000&gt;=K$3)*(INPUT!$H$3:$H$5000&lt;=K$3+6)*(INPUT!$J$3:$J$5000="J22")*ISNUMBER(INPUT!$K$3:$K$5000)*IFERROR(VALUE(INPUT!$K$3:$K$5000),0)*IFERROR(SUMIFS(INPUT!$E$3:$E$5000,INPUT!$A$3:$A$5000,INPUT!$H$3:$H$5000,INPUT!$C$3:$C$5000,INPUT!$I$3:$I$5000),0)),"")</f>
        <v>0</v>
      </c>
      <c r="L26" s="160" cm="1">
        <f t="array" ref="L26">IFERROR(SUMPRODUCT((INPUT!$H$3:$H$5000&gt;=L$3)*(INPUT!$H$3:$H$5000&lt;=L$3+6)*(INPUT!$J$3:$J$5000="J22")*ISNUMBER(INPUT!$K$3:$K$5000)*IFERROR(VALUE(INPUT!$K$3:$K$5000),0)*IFERROR(SUMIFS(INPUT!$E$3:$E$5000,INPUT!$A$3:$A$5000,INPUT!$H$3:$H$5000,INPUT!$C$3:$C$5000,INPUT!$I$3:$I$5000),0)),"")</f>
        <v>0</v>
      </c>
      <c r="M26" s="160" cm="1">
        <f t="array" ref="M26">IFERROR(SUMPRODUCT((INPUT!$H$3:$H$5000&gt;=M$3)*(INPUT!$H$3:$H$5000&lt;=M$3+6)*(INPUT!$J$3:$J$5000="J22")*ISNUMBER(INPUT!$K$3:$K$5000)*IFERROR(VALUE(INPUT!$K$3:$K$5000),0)*IFERROR(SUMIFS(INPUT!$E$3:$E$5000,INPUT!$A$3:$A$5000,INPUT!$H$3:$H$5000,INPUT!$C$3:$C$5000,INPUT!$I$3:$I$5000),0)),"")</f>
        <v>0</v>
      </c>
      <c r="N26" s="160" cm="1">
        <f t="array" ref="N26">IFERROR(SUMPRODUCT((INPUT!$H$3:$H$5000&gt;=N$3)*(INPUT!$H$3:$H$5000&lt;=N$3+6)*(INPUT!$J$3:$J$5000="J22")*ISNUMBER(INPUT!$K$3:$K$5000)*IFERROR(VALUE(INPUT!$K$3:$K$5000),0)*IFERROR(SUMIFS(INPUT!$E$3:$E$5000,INPUT!$A$3:$A$5000,INPUT!$H$3:$H$5000,INPUT!$C$3:$C$5000,INPUT!$I$3:$I$5000),0)),"")</f>
        <v>0</v>
      </c>
      <c r="O26" s="160" cm="1">
        <f t="array" ref="O26">IFERROR(SUMPRODUCT((INPUT!$H$3:$H$5000&gt;=O$3)*(INPUT!$H$3:$H$5000&lt;=O$3+6)*(INPUT!$J$3:$J$5000="J22")*ISNUMBER(INPUT!$K$3:$K$5000)*IFERROR(VALUE(INPUT!$K$3:$K$5000),0)*IFERROR(SUMIFS(INPUT!$E$3:$E$5000,INPUT!$A$3:$A$5000,INPUT!$H$3:$H$5000,INPUT!$C$3:$C$5000,INPUT!$I$3:$I$5000),0)),"")</f>
        <v>0</v>
      </c>
      <c r="P26" s="160" cm="1">
        <f t="array" ref="P26">IFERROR(SUMPRODUCT((INPUT!$H$3:$H$5000&gt;=P$3)*(INPUT!$H$3:$H$5000&lt;=P$3+6)*(INPUT!$J$3:$J$5000="J22")*ISNUMBER(INPUT!$K$3:$K$5000)*IFERROR(VALUE(INPUT!$K$3:$K$5000),0)*IFERROR(SUMIFS(INPUT!$E$3:$E$5000,INPUT!$A$3:$A$5000,INPUT!$H$3:$H$5000,INPUT!$C$3:$C$5000,INPUT!$I$3:$I$5000),0)),"")</f>
        <v>0</v>
      </c>
      <c r="Q26" s="160" cm="1">
        <f t="array" ref="Q26">IFERROR(SUMPRODUCT((INPUT!$H$3:$H$5000&gt;=Q$3)*(INPUT!$H$3:$H$5000&lt;=Q$3+6)*(INPUT!$J$3:$J$5000="J22")*ISNUMBER(INPUT!$K$3:$K$5000)*IFERROR(VALUE(INPUT!$K$3:$K$5000),0)*IFERROR(SUMIFS(INPUT!$E$3:$E$5000,INPUT!$A$3:$A$5000,INPUT!$H$3:$H$5000,INPUT!$C$3:$C$5000,INPUT!$I$3:$I$5000),0)),"")</f>
        <v>0</v>
      </c>
      <c r="R26" s="160" cm="1">
        <f t="array" ref="R26">IFERROR(SUMPRODUCT((INPUT!$H$3:$H$5000&gt;=R$3)*(INPUT!$H$3:$H$5000&lt;=R$3+6)*(INPUT!$J$3:$J$5000="J22")*ISNUMBER(INPUT!$K$3:$K$5000)*IFERROR(VALUE(INPUT!$K$3:$K$5000),0)*IFERROR(SUMIFS(INPUT!$E$3:$E$5000,INPUT!$A$3:$A$5000,INPUT!$H$3:$H$5000,INPUT!$C$3:$C$5000,INPUT!$I$3:$I$5000),0)),"")</f>
        <v>0</v>
      </c>
      <c r="S26" s="160" cm="1">
        <f t="array" ref="S26">IFERROR(SUMPRODUCT((INPUT!$H$3:$H$5000&gt;=S$3)*(INPUT!$H$3:$H$5000&lt;=S$3+6)*(INPUT!$J$3:$J$5000="J22")*ISNUMBER(INPUT!$K$3:$K$5000)*IFERROR(VALUE(INPUT!$K$3:$K$5000),0)*IFERROR(SUMIFS(INPUT!$E$3:$E$5000,INPUT!$A$3:$A$5000,INPUT!$H$3:$H$5000,INPUT!$C$3:$C$5000,INPUT!$I$3:$I$5000),0)),"")</f>
        <v>0</v>
      </c>
      <c r="T26" s="160" cm="1">
        <f t="array" ref="T26">IFERROR(SUMPRODUCT((INPUT!$H$3:$H$5000&gt;=T$3)*(INPUT!$H$3:$H$5000&lt;=T$3+6)*(INPUT!$J$3:$J$5000="J22")*ISNUMBER(INPUT!$K$3:$K$5000)*IFERROR(VALUE(INPUT!$K$3:$K$5000),0)*IFERROR(SUMIFS(INPUT!$E$3:$E$5000,INPUT!$A$3:$A$5000,INPUT!$H$3:$H$5000,INPUT!$C$3:$C$5000,INPUT!$I$3:$I$5000),0)),"")</f>
        <v>0</v>
      </c>
      <c r="U26" s="160" cm="1">
        <f t="array" ref="U26">IFERROR(SUMPRODUCT((INPUT!$H$3:$H$5000&gt;=U$3)*(INPUT!$H$3:$H$5000&lt;=U$3+6)*(INPUT!$J$3:$J$5000="J22")*ISNUMBER(INPUT!$K$3:$K$5000)*IFERROR(VALUE(INPUT!$K$3:$K$5000),0)*IFERROR(SUMIFS(INPUT!$E$3:$E$5000,INPUT!$A$3:$A$5000,INPUT!$H$3:$H$5000,INPUT!$C$3:$C$5000,INPUT!$I$3:$I$5000),0)),"")</f>
        <v>0</v>
      </c>
      <c r="V26" s="160" cm="1">
        <f t="array" ref="V26">IFERROR(SUMPRODUCT((INPUT!$H$3:$H$5000&gt;=V$3)*(INPUT!$H$3:$H$5000&lt;=V$3+6)*(INPUT!$J$3:$J$5000="J22")*ISNUMBER(INPUT!$K$3:$K$5000)*IFERROR(VALUE(INPUT!$K$3:$K$5000),0)*IFERROR(SUMIFS(INPUT!$E$3:$E$5000,INPUT!$A$3:$A$5000,INPUT!$H$3:$H$5000,INPUT!$C$3:$C$5000,INPUT!$I$3:$I$5000),0)),"")</f>
        <v>0</v>
      </c>
      <c r="W26" s="160" cm="1">
        <f t="array" ref="W26">IFERROR(SUMPRODUCT((INPUT!$H$3:$H$5000&gt;=W$3)*(INPUT!$H$3:$H$5000&lt;=W$3+6)*(INPUT!$J$3:$J$5000="J22")*ISNUMBER(INPUT!$K$3:$K$5000)*IFERROR(VALUE(INPUT!$K$3:$K$5000),0)*IFERROR(SUMIFS(INPUT!$E$3:$E$5000,INPUT!$A$3:$A$5000,INPUT!$H$3:$H$5000,INPUT!$C$3:$C$5000,INPUT!$I$3:$I$5000),0)),"")</f>
        <v>0</v>
      </c>
      <c r="X26" s="160" cm="1">
        <f t="array" ref="X26">IFERROR(SUMPRODUCT((INPUT!$H$3:$H$5000&gt;=X$3)*(INPUT!$H$3:$H$5000&lt;=X$3+6)*(INPUT!$J$3:$J$5000="J22")*ISNUMBER(INPUT!$K$3:$K$5000)*IFERROR(VALUE(INPUT!$K$3:$K$5000),0)*IFERROR(SUMIFS(INPUT!$E$3:$E$5000,INPUT!$A$3:$A$5000,INPUT!$H$3:$H$5000,INPUT!$C$3:$C$5000,INPUT!$I$3:$I$5000),0)),"")</f>
        <v>0</v>
      </c>
      <c r="Y26" s="160" cm="1">
        <f t="array" ref="Y26">IFERROR(SUMPRODUCT((INPUT!$H$3:$H$5000&gt;=Y$3)*(INPUT!$H$3:$H$5000&lt;=Y$3+6)*(INPUT!$J$3:$J$5000="J22")*ISNUMBER(INPUT!$K$3:$K$5000)*IFERROR(VALUE(INPUT!$K$3:$K$5000),0)*IFERROR(SUMIFS(INPUT!$E$3:$E$5000,INPUT!$A$3:$A$5000,INPUT!$H$3:$H$5000,INPUT!$C$3:$C$5000,INPUT!$I$3:$I$5000),0)),"")</f>
        <v>0</v>
      </c>
      <c r="Z26" s="160" cm="1">
        <f t="array" ref="Z26">IFERROR(SUMPRODUCT((INPUT!$H$3:$H$5000&gt;=Z$3)*(INPUT!$H$3:$H$5000&lt;=Z$3+6)*(INPUT!$J$3:$J$5000="J22")*ISNUMBER(INPUT!$K$3:$K$5000)*IFERROR(VALUE(INPUT!$K$3:$K$5000),0)*IFERROR(SUMIFS(INPUT!$E$3:$E$5000,INPUT!$A$3:$A$5000,INPUT!$H$3:$H$5000,INPUT!$C$3:$C$5000,INPUT!$I$3:$I$5000),0)),"")</f>
        <v>0</v>
      </c>
      <c r="AA26" s="160" cm="1">
        <f t="array" ref="AA26">IFERROR(SUMPRODUCT((INPUT!$H$3:$H$5000&gt;=AA$3)*(INPUT!$H$3:$H$5000&lt;=AA$3+6)*(INPUT!$J$3:$J$5000="J22")*ISNUMBER(INPUT!$K$3:$K$5000)*IFERROR(VALUE(INPUT!$K$3:$K$5000),0)*IFERROR(SUMIFS(INPUT!$E$3:$E$5000,INPUT!$A$3:$A$5000,INPUT!$H$3:$H$5000,INPUT!$C$3:$C$5000,INPUT!$I$3:$I$5000),0)),"")</f>
        <v>0</v>
      </c>
      <c r="AB26" s="160" cm="1">
        <f t="array" ref="AB26">IFERROR(SUMPRODUCT((INPUT!$H$3:$H$5000&gt;=AB$3)*(INPUT!$H$3:$H$5000&lt;=AB$3+6)*(INPUT!$J$3:$J$5000="J22")*ISNUMBER(INPUT!$K$3:$K$5000)*IFERROR(VALUE(INPUT!$K$3:$K$5000),0)*IFERROR(SUMIFS(INPUT!$E$3:$E$5000,INPUT!$A$3:$A$5000,INPUT!$H$3:$H$5000,INPUT!$C$3:$C$5000,INPUT!$I$3:$I$5000),0)),"")</f>
        <v>0</v>
      </c>
      <c r="AC26" s="160" cm="1">
        <f t="array" ref="AC26">IFERROR(SUMPRODUCT((INPUT!$H$3:$H$5000&gt;=AC$3)*(INPUT!$H$3:$H$5000&lt;=AC$3+6)*(INPUT!$J$3:$J$5000="J22")*ISNUMBER(INPUT!$K$3:$K$5000)*IFERROR(VALUE(INPUT!$K$3:$K$5000),0)*IFERROR(SUMIFS(INPUT!$E$3:$E$5000,INPUT!$A$3:$A$5000,INPUT!$H$3:$H$5000,INPUT!$C$3:$C$5000,INPUT!$I$3:$I$5000),0)),"")</f>
        <v>0</v>
      </c>
      <c r="AD26" s="160" cm="1">
        <f t="array" ref="AD26">IFERROR(SUMPRODUCT((INPUT!$H$3:$H$5000&gt;=AD$3)*(INPUT!$H$3:$H$5000&lt;=AD$3+6)*(INPUT!$J$3:$J$5000="J22")*ISNUMBER(INPUT!$K$3:$K$5000)*IFERROR(VALUE(INPUT!$K$3:$K$5000),0)*IFERROR(SUMIFS(INPUT!$E$3:$E$5000,INPUT!$A$3:$A$5000,INPUT!$H$3:$H$5000,INPUT!$C$3:$C$5000,INPUT!$I$3:$I$5000),0)),"")</f>
        <v>0</v>
      </c>
      <c r="AE26" s="160" cm="1">
        <f t="array" ref="AE26">IFERROR(SUMPRODUCT((INPUT!$H$3:$H$5000&gt;=AE$3)*(INPUT!$H$3:$H$5000&lt;=AE$3+6)*(INPUT!$J$3:$J$5000="J22")*ISNUMBER(INPUT!$K$3:$K$5000)*IFERROR(VALUE(INPUT!$K$3:$K$5000),0)*IFERROR(SUMIFS(INPUT!$E$3:$E$5000,INPUT!$A$3:$A$5000,INPUT!$H$3:$H$5000,INPUT!$C$3:$C$5000,INPUT!$I$3:$I$5000),0)),"")</f>
        <v>0</v>
      </c>
      <c r="AF26" s="160" cm="1">
        <f t="array" ref="AF26">IFERROR(SUMPRODUCT((INPUT!$H$3:$H$5000&gt;=AF$3)*(INPUT!$H$3:$H$5000&lt;=AF$3+6)*(INPUT!$J$3:$J$5000="J22")*ISNUMBER(INPUT!$K$3:$K$5000)*IFERROR(VALUE(INPUT!$K$3:$K$5000),0)*IFERROR(SUMIFS(INPUT!$E$3:$E$5000,INPUT!$A$3:$A$5000,INPUT!$H$3:$H$5000,INPUT!$C$3:$C$5000,INPUT!$I$3:$I$5000),0)),"")</f>
        <v>0</v>
      </c>
      <c r="AG26" s="160" cm="1">
        <f t="array" ref="AG26">IFERROR(SUMPRODUCT((INPUT!$H$3:$H$5000&gt;=AG$3)*(INPUT!$H$3:$H$5000&lt;=AG$3+6)*(INPUT!$J$3:$J$5000="J22")*ISNUMBER(INPUT!$K$3:$K$5000)*IFERROR(VALUE(INPUT!$K$3:$K$5000),0)*IFERROR(SUMIFS(INPUT!$E$3:$E$5000,INPUT!$A$3:$A$5000,INPUT!$H$3:$H$5000,INPUT!$C$3:$C$5000,INPUT!$I$3:$I$5000),0)),"")</f>
        <v>0</v>
      </c>
      <c r="AH26" s="160" cm="1">
        <f t="array" ref="AH26">IFERROR(SUMPRODUCT((INPUT!$H$3:$H$5000&gt;=AH$3)*(INPUT!$H$3:$H$5000&lt;=AH$3+6)*(INPUT!$J$3:$J$5000="J22")*ISNUMBER(INPUT!$K$3:$K$5000)*IFERROR(VALUE(INPUT!$K$3:$K$5000),0)*IFERROR(SUMIFS(INPUT!$E$3:$E$5000,INPUT!$A$3:$A$5000,INPUT!$H$3:$H$5000,INPUT!$C$3:$C$5000,INPUT!$I$3:$I$5000),0)),"")</f>
        <v>0</v>
      </c>
      <c r="AI26" s="160" cm="1">
        <f t="array" ref="AI26">IFERROR(SUMPRODUCT((INPUT!$H$3:$H$5000&gt;=AI$3)*(INPUT!$H$3:$H$5000&lt;=AI$3+6)*(INPUT!$J$3:$J$5000="J22")*ISNUMBER(INPUT!$K$3:$K$5000)*IFERROR(VALUE(INPUT!$K$3:$K$5000),0)*IFERROR(SUMIFS(INPUT!$E$3:$E$5000,INPUT!$A$3:$A$5000,INPUT!$H$3:$H$5000,INPUT!$C$3:$C$5000,INPUT!$I$3:$I$5000),0)),"")</f>
        <v>0</v>
      </c>
      <c r="AJ26" s="160" cm="1">
        <f t="array" ref="AJ26">IFERROR(SUMPRODUCT((INPUT!$H$3:$H$5000&gt;=AJ$3)*(INPUT!$H$3:$H$5000&lt;=AJ$3+6)*(INPUT!$J$3:$J$5000="J22")*ISNUMBER(INPUT!$K$3:$K$5000)*IFERROR(VALUE(INPUT!$K$3:$K$5000),0)*IFERROR(SUMIFS(INPUT!$E$3:$E$5000,INPUT!$A$3:$A$5000,INPUT!$H$3:$H$5000,INPUT!$C$3:$C$5000,INPUT!$I$3:$I$5000),0)),"")</f>
        <v>0</v>
      </c>
      <c r="AK26" s="160" cm="1">
        <f t="array" ref="AK26">IFERROR(SUMPRODUCT((INPUT!$H$3:$H$5000&gt;=AK$3)*(INPUT!$H$3:$H$5000&lt;=AK$3+6)*(INPUT!$J$3:$J$5000="J22")*ISNUMBER(INPUT!$K$3:$K$5000)*IFERROR(VALUE(INPUT!$K$3:$K$5000),0)*IFERROR(SUMIFS(INPUT!$E$3:$E$5000,INPUT!$A$3:$A$5000,INPUT!$H$3:$H$5000,INPUT!$C$3:$C$5000,INPUT!$I$3:$I$5000),0)),"")</f>
        <v>0</v>
      </c>
      <c r="AL26" s="160" cm="1">
        <f t="array" ref="AL26">IFERROR(SUMPRODUCT((INPUT!$H$3:$H$5000&gt;=AL$3)*(INPUT!$H$3:$H$5000&lt;=AL$3+6)*(INPUT!$J$3:$J$5000="J22")*ISNUMBER(INPUT!$K$3:$K$5000)*IFERROR(VALUE(INPUT!$K$3:$K$5000),0)*IFERROR(SUMIFS(INPUT!$E$3:$E$5000,INPUT!$A$3:$A$5000,INPUT!$H$3:$H$5000,INPUT!$C$3:$C$5000,INPUT!$I$3:$I$5000),0)),"")</f>
        <v>0</v>
      </c>
      <c r="AM26" s="160" cm="1">
        <f t="array" ref="AM26">IFERROR(SUMPRODUCT((INPUT!$H$3:$H$5000&gt;=AM$3)*(INPUT!$H$3:$H$5000&lt;=AM$3+6)*(INPUT!$J$3:$J$5000="J22")*ISNUMBER(INPUT!$K$3:$K$5000)*IFERROR(VALUE(INPUT!$K$3:$K$5000),0)*IFERROR(SUMIFS(INPUT!$E$3:$E$5000,INPUT!$A$3:$A$5000,INPUT!$H$3:$H$5000,INPUT!$C$3:$C$5000,INPUT!$I$3:$I$5000),0)),"")</f>
        <v>0</v>
      </c>
      <c r="AN26" s="160" cm="1">
        <f t="array" ref="AN26">IFERROR(SUMPRODUCT((INPUT!$H$3:$H$5000&gt;=AN$3)*(INPUT!$H$3:$H$5000&lt;=AN$3+6)*(INPUT!$J$3:$J$5000="J22")*ISNUMBER(INPUT!$K$3:$K$5000)*IFERROR(VALUE(INPUT!$K$3:$K$5000),0)*IFERROR(SUMIFS(INPUT!$E$3:$E$5000,INPUT!$A$3:$A$5000,INPUT!$H$3:$H$5000,INPUT!$C$3:$C$5000,INPUT!$I$3:$I$5000),0)),"")</f>
        <v>0</v>
      </c>
      <c r="AO26" s="160" cm="1">
        <f t="array" ref="AO26">IFERROR(SUMPRODUCT((INPUT!$H$3:$H$5000&gt;=AO$3)*(INPUT!$H$3:$H$5000&lt;=AO$3+6)*(INPUT!$J$3:$J$5000="J22")*ISNUMBER(INPUT!$K$3:$K$5000)*IFERROR(VALUE(INPUT!$K$3:$K$5000),0)*IFERROR(SUMIFS(INPUT!$E$3:$E$5000,INPUT!$A$3:$A$5000,INPUT!$H$3:$H$5000,INPUT!$C$3:$C$5000,INPUT!$I$3:$I$5000),0)),"")</f>
        <v>0</v>
      </c>
      <c r="AP26" s="160" cm="1">
        <f t="array" ref="AP26">IFERROR(SUMPRODUCT((INPUT!$H$3:$H$5000&gt;=AP$3)*(INPUT!$H$3:$H$5000&lt;=AP$3+6)*(INPUT!$J$3:$J$5000="J22")*ISNUMBER(INPUT!$K$3:$K$5000)*IFERROR(VALUE(INPUT!$K$3:$K$5000),0)*IFERROR(SUMIFS(INPUT!$E$3:$E$5000,INPUT!$A$3:$A$5000,INPUT!$H$3:$H$5000,INPUT!$C$3:$C$5000,INPUT!$I$3:$I$5000),0)),"")</f>
        <v>0</v>
      </c>
      <c r="AQ26" s="160" cm="1">
        <f t="array" ref="AQ26">IFERROR(SUMPRODUCT((INPUT!$H$3:$H$5000&gt;=AQ$3)*(INPUT!$H$3:$H$5000&lt;=AQ$3+6)*(INPUT!$J$3:$J$5000="J22")*ISNUMBER(INPUT!$K$3:$K$5000)*IFERROR(VALUE(INPUT!$K$3:$K$5000),0)*IFERROR(SUMIFS(INPUT!$E$3:$E$5000,INPUT!$A$3:$A$5000,INPUT!$H$3:$H$5000,INPUT!$C$3:$C$5000,INPUT!$I$3:$I$5000),0)),"")</f>
        <v>0</v>
      </c>
      <c r="AR26" s="160" cm="1">
        <f t="array" ref="AR26">IFERROR(SUMPRODUCT((INPUT!$H$3:$H$5000&gt;=AR$3)*(INPUT!$H$3:$H$5000&lt;=AR$3+6)*(INPUT!$J$3:$J$5000="J22")*ISNUMBER(INPUT!$K$3:$K$5000)*IFERROR(VALUE(INPUT!$K$3:$K$5000),0)*IFERROR(SUMIFS(INPUT!$E$3:$E$5000,INPUT!$A$3:$A$5000,INPUT!$H$3:$H$5000,INPUT!$C$3:$C$5000,INPUT!$I$3:$I$5000),0)),"")</f>
        <v>0</v>
      </c>
      <c r="AS26" s="160" cm="1">
        <f t="array" ref="AS26">IFERROR(SUMPRODUCT((INPUT!$H$3:$H$5000&gt;=AS$3)*(INPUT!$H$3:$H$5000&lt;=AS$3+6)*(INPUT!$J$3:$J$5000="J22")*ISNUMBER(INPUT!$K$3:$K$5000)*IFERROR(VALUE(INPUT!$K$3:$K$5000),0)*IFERROR(SUMIFS(INPUT!$E$3:$E$5000,INPUT!$A$3:$A$5000,INPUT!$H$3:$H$5000,INPUT!$C$3:$C$5000,INPUT!$I$3:$I$5000),0)),"")</f>
        <v>0</v>
      </c>
      <c r="AT26" s="160" cm="1">
        <f t="array" ref="AT26">IFERROR(SUMPRODUCT((INPUT!$H$3:$H$5000&gt;=AT$3)*(INPUT!$H$3:$H$5000&lt;=AT$3+6)*(INPUT!$J$3:$J$5000="J22")*ISNUMBER(INPUT!$K$3:$K$5000)*IFERROR(VALUE(INPUT!$K$3:$K$5000),0)*IFERROR(SUMIFS(INPUT!$E$3:$E$5000,INPUT!$A$3:$A$5000,INPUT!$H$3:$H$5000,INPUT!$C$3:$C$5000,INPUT!$I$3:$I$5000),0)),"")</f>
        <v>0</v>
      </c>
      <c r="AU26" s="160" cm="1">
        <f t="array" ref="AU26">IFERROR(SUMPRODUCT((INPUT!$H$3:$H$5000&gt;=AU$3)*(INPUT!$H$3:$H$5000&lt;=AU$3+6)*(INPUT!$J$3:$J$5000="J22")*ISNUMBER(INPUT!$K$3:$K$5000)*IFERROR(VALUE(INPUT!$K$3:$K$5000),0)*IFERROR(SUMIFS(INPUT!$E$3:$E$5000,INPUT!$A$3:$A$5000,INPUT!$H$3:$H$5000,INPUT!$C$3:$C$5000,INPUT!$I$3:$I$5000),0)),"")</f>
        <v>0</v>
      </c>
      <c r="AV26" s="160" cm="1">
        <f t="array" ref="AV26">IFERROR(SUMPRODUCT((INPUT!$H$3:$H$5000&gt;=AV$3)*(INPUT!$H$3:$H$5000&lt;=AV$3+6)*(INPUT!$J$3:$J$5000="J22")*ISNUMBER(INPUT!$K$3:$K$5000)*IFERROR(VALUE(INPUT!$K$3:$K$5000),0)*IFERROR(SUMIFS(INPUT!$E$3:$E$5000,INPUT!$A$3:$A$5000,INPUT!$H$3:$H$5000,INPUT!$C$3:$C$5000,INPUT!$I$3:$I$5000),0)),"")</f>
        <v>0</v>
      </c>
      <c r="AW26" s="160" cm="1">
        <f t="array" ref="AW26">IFERROR(SUMPRODUCT((INPUT!$H$3:$H$5000&gt;=AW$3)*(INPUT!$H$3:$H$5000&lt;=AW$3+6)*(INPUT!$J$3:$J$5000="J22")*ISNUMBER(INPUT!$K$3:$K$5000)*IFERROR(VALUE(INPUT!$K$3:$K$5000),0)*IFERROR(SUMIFS(INPUT!$E$3:$E$5000,INPUT!$A$3:$A$5000,INPUT!$H$3:$H$5000,INPUT!$C$3:$C$5000,INPUT!$I$3:$I$5000),0)),"")</f>
        <v>0</v>
      </c>
      <c r="AX26" s="160" cm="1">
        <f t="array" ref="AX26">IFERROR(SUMPRODUCT((INPUT!$H$3:$H$5000&gt;=AX$3)*(INPUT!$H$3:$H$5000&lt;=AX$3+6)*(INPUT!$J$3:$J$5000="J22")*ISNUMBER(INPUT!$K$3:$K$5000)*IFERROR(VALUE(INPUT!$K$3:$K$5000),0)*IFERROR(SUMIFS(INPUT!$E$3:$E$5000,INPUT!$A$3:$A$5000,INPUT!$H$3:$H$5000,INPUT!$C$3:$C$5000,INPUT!$I$3:$I$5000),0)),"")</f>
        <v>0</v>
      </c>
      <c r="AY26" s="160" cm="1">
        <f t="array" ref="AY26">IFERROR(SUMPRODUCT((INPUT!$H$3:$H$5000&gt;=AY$3)*(INPUT!$H$3:$H$5000&lt;=AY$3+6)*(INPUT!$J$3:$J$5000="J22")*ISNUMBER(INPUT!$K$3:$K$5000)*IFERROR(VALUE(INPUT!$K$3:$K$5000),0)*IFERROR(SUMIFS(INPUT!$E$3:$E$5000,INPUT!$A$3:$A$5000,INPUT!$H$3:$H$5000,INPUT!$C$3:$C$5000,INPUT!$I$3:$I$5000),0)),"")</f>
        <v>0</v>
      </c>
      <c r="AZ26" s="160" cm="1">
        <f t="array" ref="AZ26">IFERROR(SUMPRODUCT((INPUT!$H$3:$H$5000&gt;=AZ$3)*(INPUT!$H$3:$H$5000&lt;=AZ$3+6)*(INPUT!$J$3:$J$5000="J22")*ISNUMBER(INPUT!$K$3:$K$5000)*IFERROR(VALUE(INPUT!$K$3:$K$5000),0)*IFERROR(SUMIFS(INPUT!$E$3:$E$5000,INPUT!$A$3:$A$5000,INPUT!$H$3:$H$5000,INPUT!$C$3:$C$5000,INPUT!$I$3:$I$5000),0)),"")</f>
        <v>0</v>
      </c>
      <c r="BA26" s="160" cm="1">
        <f t="array" ref="BA26">IFERROR(SUMPRODUCT((INPUT!$H$3:$H$5000&gt;=BA$3)*(INPUT!$H$3:$H$5000&lt;=BA$3+6)*(INPUT!$J$3:$J$5000="J22")*ISNUMBER(INPUT!$K$3:$K$5000)*IFERROR(VALUE(INPUT!$K$3:$K$5000),0)*IFERROR(SUMIFS(INPUT!$E$3:$E$5000,INPUT!$A$3:$A$5000,INPUT!$H$3:$H$5000,INPUT!$C$3:$C$5000,INPUT!$I$3:$I$5000),0)),"")</f>
        <v>0</v>
      </c>
      <c r="BB26" s="161" cm="1">
        <f t="array" ref="BB26">IFERROR(SUMPRODUCT((INPUT!$H$3:$H$5000&gt;=BB$3)*(INPUT!$H$3:$H$5000&lt;=BB$3+6)*(INPUT!$J$3:$J$5000="J22")*ISNUMBER(INPUT!$K$3:$K$5000)*IFERROR(VALUE(INPUT!$K$3:$K$5000),0)*IFERROR(SUMIFS(INPUT!$E$3:$E$5000,INPUT!$A$3:$A$5000,INPUT!$H$3:$H$5000,INPUT!$C$3:$C$5000,INPUT!$I$3:$I$5000),0)),"")</f>
        <v>0</v>
      </c>
    </row>
    <row r="27" spans="1:54" x14ac:dyDescent="0.2">
      <c r="A27" s="56">
        <v>23</v>
      </c>
      <c r="B27" s="9" t="s">
        <v>87</v>
      </c>
      <c r="C27" s="160" cm="1">
        <f t="array" ref="C27">IFERROR(SUMPRODUCT((INPUT!$H$3:$H$5000&gt;=C$3)*(INPUT!$H$3:$H$5000&lt;=C$3+6)*(INPUT!$J$3:$J$5000="J23")*ISNUMBER(INPUT!$K$3:$K$5000)*IFERROR(VALUE(INPUT!$K$3:$K$5000),0)*IFERROR(SUMIFS(INPUT!$E$3:$E$5000,INPUT!$A$3:$A$5000,INPUT!$H$3:$H$5000,INPUT!$C$3:$C$5000,INPUT!$I$3:$I$5000),0)),"")</f>
        <v>0</v>
      </c>
      <c r="D27" s="160" cm="1">
        <f t="array" ref="D27">IFERROR(SUMPRODUCT((INPUT!$H$3:$H$5000&gt;=D$3)*(INPUT!$H$3:$H$5000&lt;=D$3+6)*(INPUT!$J$3:$J$5000="J23")*ISNUMBER(INPUT!$K$3:$K$5000)*IFERROR(VALUE(INPUT!$K$3:$K$5000),0)*IFERROR(SUMIFS(INPUT!$E$3:$E$5000,INPUT!$A$3:$A$5000,INPUT!$H$3:$H$5000,INPUT!$C$3:$C$5000,INPUT!$I$3:$I$5000),0)),"")</f>
        <v>0</v>
      </c>
      <c r="E27" s="160" cm="1">
        <f t="array" ref="E27">IFERROR(SUMPRODUCT((INPUT!$H$3:$H$5000&gt;=E$3)*(INPUT!$H$3:$H$5000&lt;=E$3+6)*(INPUT!$J$3:$J$5000="J23")*ISNUMBER(INPUT!$K$3:$K$5000)*IFERROR(VALUE(INPUT!$K$3:$K$5000),0)*IFERROR(SUMIFS(INPUT!$E$3:$E$5000,INPUT!$A$3:$A$5000,INPUT!$H$3:$H$5000,INPUT!$C$3:$C$5000,INPUT!$I$3:$I$5000),0)),"")</f>
        <v>0</v>
      </c>
      <c r="F27" s="160" cm="1">
        <f t="array" ref="F27">IFERROR(SUMPRODUCT((INPUT!$H$3:$H$5000&gt;=F$3)*(INPUT!$H$3:$H$5000&lt;=F$3+6)*(INPUT!$J$3:$J$5000="J23")*ISNUMBER(INPUT!$K$3:$K$5000)*IFERROR(VALUE(INPUT!$K$3:$K$5000),0)*IFERROR(SUMIFS(INPUT!$E$3:$E$5000,INPUT!$A$3:$A$5000,INPUT!$H$3:$H$5000,INPUT!$C$3:$C$5000,INPUT!$I$3:$I$5000),0)),"")</f>
        <v>0</v>
      </c>
      <c r="G27" s="160" cm="1">
        <f t="array" ref="G27">IFERROR(SUMPRODUCT((INPUT!$H$3:$H$5000&gt;=G$3)*(INPUT!$H$3:$H$5000&lt;=G$3+6)*(INPUT!$J$3:$J$5000="J23")*ISNUMBER(INPUT!$K$3:$K$5000)*IFERROR(VALUE(INPUT!$K$3:$K$5000),0)*IFERROR(SUMIFS(INPUT!$E$3:$E$5000,INPUT!$A$3:$A$5000,INPUT!$H$3:$H$5000,INPUT!$C$3:$C$5000,INPUT!$I$3:$I$5000),0)),"")</f>
        <v>0</v>
      </c>
      <c r="H27" s="160" cm="1">
        <f t="array" ref="H27">IFERROR(SUMPRODUCT((INPUT!$H$3:$H$5000&gt;=H$3)*(INPUT!$H$3:$H$5000&lt;=H$3+6)*(INPUT!$J$3:$J$5000="J23")*ISNUMBER(INPUT!$K$3:$K$5000)*IFERROR(VALUE(INPUT!$K$3:$K$5000),0)*IFERROR(SUMIFS(INPUT!$E$3:$E$5000,INPUT!$A$3:$A$5000,INPUT!$H$3:$H$5000,INPUT!$C$3:$C$5000,INPUT!$I$3:$I$5000),0)),"")</f>
        <v>0</v>
      </c>
      <c r="I27" s="160" cm="1">
        <f t="array" ref="I27">IFERROR(SUMPRODUCT((INPUT!$H$3:$H$5000&gt;=I$3)*(INPUT!$H$3:$H$5000&lt;=I$3+6)*(INPUT!$J$3:$J$5000="J23")*ISNUMBER(INPUT!$K$3:$K$5000)*IFERROR(VALUE(INPUT!$K$3:$K$5000),0)*IFERROR(SUMIFS(INPUT!$E$3:$E$5000,INPUT!$A$3:$A$5000,INPUT!$H$3:$H$5000,INPUT!$C$3:$C$5000,INPUT!$I$3:$I$5000),0)),"")</f>
        <v>0</v>
      </c>
      <c r="J27" s="160" cm="1">
        <f t="array" ref="J27">IFERROR(SUMPRODUCT((INPUT!$H$3:$H$5000&gt;=J$3)*(INPUT!$H$3:$H$5000&lt;=J$3+6)*(INPUT!$J$3:$J$5000="J23")*ISNUMBER(INPUT!$K$3:$K$5000)*IFERROR(VALUE(INPUT!$K$3:$K$5000),0)*IFERROR(SUMIFS(INPUT!$E$3:$E$5000,INPUT!$A$3:$A$5000,INPUT!$H$3:$H$5000,INPUT!$C$3:$C$5000,INPUT!$I$3:$I$5000),0)),"")</f>
        <v>0</v>
      </c>
      <c r="K27" s="160" cm="1">
        <f t="array" ref="K27">IFERROR(SUMPRODUCT((INPUT!$H$3:$H$5000&gt;=K$3)*(INPUT!$H$3:$H$5000&lt;=K$3+6)*(INPUT!$J$3:$J$5000="J23")*ISNUMBER(INPUT!$K$3:$K$5000)*IFERROR(VALUE(INPUT!$K$3:$K$5000),0)*IFERROR(SUMIFS(INPUT!$E$3:$E$5000,INPUT!$A$3:$A$5000,INPUT!$H$3:$H$5000,INPUT!$C$3:$C$5000,INPUT!$I$3:$I$5000),0)),"")</f>
        <v>0</v>
      </c>
      <c r="L27" s="160" cm="1">
        <f t="array" ref="L27">IFERROR(SUMPRODUCT((INPUT!$H$3:$H$5000&gt;=L$3)*(INPUT!$H$3:$H$5000&lt;=L$3+6)*(INPUT!$J$3:$J$5000="J23")*ISNUMBER(INPUT!$K$3:$K$5000)*IFERROR(VALUE(INPUT!$K$3:$K$5000),0)*IFERROR(SUMIFS(INPUT!$E$3:$E$5000,INPUT!$A$3:$A$5000,INPUT!$H$3:$H$5000,INPUT!$C$3:$C$5000,INPUT!$I$3:$I$5000),0)),"")</f>
        <v>0</v>
      </c>
      <c r="M27" s="160" cm="1">
        <f t="array" ref="M27">IFERROR(SUMPRODUCT((INPUT!$H$3:$H$5000&gt;=M$3)*(INPUT!$H$3:$H$5000&lt;=M$3+6)*(INPUT!$J$3:$J$5000="J23")*ISNUMBER(INPUT!$K$3:$K$5000)*IFERROR(VALUE(INPUT!$K$3:$K$5000),0)*IFERROR(SUMIFS(INPUT!$E$3:$E$5000,INPUT!$A$3:$A$5000,INPUT!$H$3:$H$5000,INPUT!$C$3:$C$5000,INPUT!$I$3:$I$5000),0)),"")</f>
        <v>0</v>
      </c>
      <c r="N27" s="160" cm="1">
        <f t="array" ref="N27">IFERROR(SUMPRODUCT((INPUT!$H$3:$H$5000&gt;=N$3)*(INPUT!$H$3:$H$5000&lt;=N$3+6)*(INPUT!$J$3:$J$5000="J23")*ISNUMBER(INPUT!$K$3:$K$5000)*IFERROR(VALUE(INPUT!$K$3:$K$5000),0)*IFERROR(SUMIFS(INPUT!$E$3:$E$5000,INPUT!$A$3:$A$5000,INPUT!$H$3:$H$5000,INPUT!$C$3:$C$5000,INPUT!$I$3:$I$5000),0)),"")</f>
        <v>0</v>
      </c>
      <c r="O27" s="160" cm="1">
        <f t="array" ref="O27">IFERROR(SUMPRODUCT((INPUT!$H$3:$H$5000&gt;=O$3)*(INPUT!$H$3:$H$5000&lt;=O$3+6)*(INPUT!$J$3:$J$5000="J23")*ISNUMBER(INPUT!$K$3:$K$5000)*IFERROR(VALUE(INPUT!$K$3:$K$5000),0)*IFERROR(SUMIFS(INPUT!$E$3:$E$5000,INPUT!$A$3:$A$5000,INPUT!$H$3:$H$5000,INPUT!$C$3:$C$5000,INPUT!$I$3:$I$5000),0)),"")</f>
        <v>0</v>
      </c>
      <c r="P27" s="160" cm="1">
        <f t="array" ref="P27">IFERROR(SUMPRODUCT((INPUT!$H$3:$H$5000&gt;=P$3)*(INPUT!$H$3:$H$5000&lt;=P$3+6)*(INPUT!$J$3:$J$5000="J23")*ISNUMBER(INPUT!$K$3:$K$5000)*IFERROR(VALUE(INPUT!$K$3:$K$5000),0)*IFERROR(SUMIFS(INPUT!$E$3:$E$5000,INPUT!$A$3:$A$5000,INPUT!$H$3:$H$5000,INPUT!$C$3:$C$5000,INPUT!$I$3:$I$5000),0)),"")</f>
        <v>0</v>
      </c>
      <c r="Q27" s="160" cm="1">
        <f t="array" ref="Q27">IFERROR(SUMPRODUCT((INPUT!$H$3:$H$5000&gt;=Q$3)*(INPUT!$H$3:$H$5000&lt;=Q$3+6)*(INPUT!$J$3:$J$5000="J23")*ISNUMBER(INPUT!$K$3:$K$5000)*IFERROR(VALUE(INPUT!$K$3:$K$5000),0)*IFERROR(SUMIFS(INPUT!$E$3:$E$5000,INPUT!$A$3:$A$5000,INPUT!$H$3:$H$5000,INPUT!$C$3:$C$5000,INPUT!$I$3:$I$5000),0)),"")</f>
        <v>0</v>
      </c>
      <c r="R27" s="160" cm="1">
        <f t="array" ref="R27">IFERROR(SUMPRODUCT((INPUT!$H$3:$H$5000&gt;=R$3)*(INPUT!$H$3:$H$5000&lt;=R$3+6)*(INPUT!$J$3:$J$5000="J23")*ISNUMBER(INPUT!$K$3:$K$5000)*IFERROR(VALUE(INPUT!$K$3:$K$5000),0)*IFERROR(SUMIFS(INPUT!$E$3:$E$5000,INPUT!$A$3:$A$5000,INPUT!$H$3:$H$5000,INPUT!$C$3:$C$5000,INPUT!$I$3:$I$5000),0)),"")</f>
        <v>0</v>
      </c>
      <c r="S27" s="160" cm="1">
        <f t="array" ref="S27">IFERROR(SUMPRODUCT((INPUT!$H$3:$H$5000&gt;=S$3)*(INPUT!$H$3:$H$5000&lt;=S$3+6)*(INPUT!$J$3:$J$5000="J23")*ISNUMBER(INPUT!$K$3:$K$5000)*IFERROR(VALUE(INPUT!$K$3:$K$5000),0)*IFERROR(SUMIFS(INPUT!$E$3:$E$5000,INPUT!$A$3:$A$5000,INPUT!$H$3:$H$5000,INPUT!$C$3:$C$5000,INPUT!$I$3:$I$5000),0)),"")</f>
        <v>0</v>
      </c>
      <c r="T27" s="160" cm="1">
        <f t="array" ref="T27">IFERROR(SUMPRODUCT((INPUT!$H$3:$H$5000&gt;=T$3)*(INPUT!$H$3:$H$5000&lt;=T$3+6)*(INPUT!$J$3:$J$5000="J23")*ISNUMBER(INPUT!$K$3:$K$5000)*IFERROR(VALUE(INPUT!$K$3:$K$5000),0)*IFERROR(SUMIFS(INPUT!$E$3:$E$5000,INPUT!$A$3:$A$5000,INPUT!$H$3:$H$5000,INPUT!$C$3:$C$5000,INPUT!$I$3:$I$5000),0)),"")</f>
        <v>0</v>
      </c>
      <c r="U27" s="160" cm="1">
        <f t="array" ref="U27">IFERROR(SUMPRODUCT((INPUT!$H$3:$H$5000&gt;=U$3)*(INPUT!$H$3:$H$5000&lt;=U$3+6)*(INPUT!$J$3:$J$5000="J23")*ISNUMBER(INPUT!$K$3:$K$5000)*IFERROR(VALUE(INPUT!$K$3:$K$5000),0)*IFERROR(SUMIFS(INPUT!$E$3:$E$5000,INPUT!$A$3:$A$5000,INPUT!$H$3:$H$5000,INPUT!$C$3:$C$5000,INPUT!$I$3:$I$5000),0)),"")</f>
        <v>0</v>
      </c>
      <c r="V27" s="160" cm="1">
        <f t="array" ref="V27">IFERROR(SUMPRODUCT((INPUT!$H$3:$H$5000&gt;=V$3)*(INPUT!$H$3:$H$5000&lt;=V$3+6)*(INPUT!$J$3:$J$5000="J23")*ISNUMBER(INPUT!$K$3:$K$5000)*IFERROR(VALUE(INPUT!$K$3:$K$5000),0)*IFERROR(SUMIFS(INPUT!$E$3:$E$5000,INPUT!$A$3:$A$5000,INPUT!$H$3:$H$5000,INPUT!$C$3:$C$5000,INPUT!$I$3:$I$5000),0)),"")</f>
        <v>0</v>
      </c>
      <c r="W27" s="160" cm="1">
        <f t="array" ref="W27">IFERROR(SUMPRODUCT((INPUT!$H$3:$H$5000&gt;=W$3)*(INPUT!$H$3:$H$5000&lt;=W$3+6)*(INPUT!$J$3:$J$5000="J23")*ISNUMBER(INPUT!$K$3:$K$5000)*IFERROR(VALUE(INPUT!$K$3:$K$5000),0)*IFERROR(SUMIFS(INPUT!$E$3:$E$5000,INPUT!$A$3:$A$5000,INPUT!$H$3:$H$5000,INPUT!$C$3:$C$5000,INPUT!$I$3:$I$5000),0)),"")</f>
        <v>0</v>
      </c>
      <c r="X27" s="160" cm="1">
        <f t="array" ref="X27">IFERROR(SUMPRODUCT((INPUT!$H$3:$H$5000&gt;=X$3)*(INPUT!$H$3:$H$5000&lt;=X$3+6)*(INPUT!$J$3:$J$5000="J23")*ISNUMBER(INPUT!$K$3:$K$5000)*IFERROR(VALUE(INPUT!$K$3:$K$5000),0)*IFERROR(SUMIFS(INPUT!$E$3:$E$5000,INPUT!$A$3:$A$5000,INPUT!$H$3:$H$5000,INPUT!$C$3:$C$5000,INPUT!$I$3:$I$5000),0)),"")</f>
        <v>0</v>
      </c>
      <c r="Y27" s="160" cm="1">
        <f t="array" ref="Y27">IFERROR(SUMPRODUCT((INPUT!$H$3:$H$5000&gt;=Y$3)*(INPUT!$H$3:$H$5000&lt;=Y$3+6)*(INPUT!$J$3:$J$5000="J23")*ISNUMBER(INPUT!$K$3:$K$5000)*IFERROR(VALUE(INPUT!$K$3:$K$5000),0)*IFERROR(SUMIFS(INPUT!$E$3:$E$5000,INPUT!$A$3:$A$5000,INPUT!$H$3:$H$5000,INPUT!$C$3:$C$5000,INPUT!$I$3:$I$5000),0)),"")</f>
        <v>0</v>
      </c>
      <c r="Z27" s="160" cm="1">
        <f t="array" ref="Z27">IFERROR(SUMPRODUCT((INPUT!$H$3:$H$5000&gt;=Z$3)*(INPUT!$H$3:$H$5000&lt;=Z$3+6)*(INPUT!$J$3:$J$5000="J23")*ISNUMBER(INPUT!$K$3:$K$5000)*IFERROR(VALUE(INPUT!$K$3:$K$5000),0)*IFERROR(SUMIFS(INPUT!$E$3:$E$5000,INPUT!$A$3:$A$5000,INPUT!$H$3:$H$5000,INPUT!$C$3:$C$5000,INPUT!$I$3:$I$5000),0)),"")</f>
        <v>0</v>
      </c>
      <c r="AA27" s="160" cm="1">
        <f t="array" ref="AA27">IFERROR(SUMPRODUCT((INPUT!$H$3:$H$5000&gt;=AA$3)*(INPUT!$H$3:$H$5000&lt;=AA$3+6)*(INPUT!$J$3:$J$5000="J23")*ISNUMBER(INPUT!$K$3:$K$5000)*IFERROR(VALUE(INPUT!$K$3:$K$5000),0)*IFERROR(SUMIFS(INPUT!$E$3:$E$5000,INPUT!$A$3:$A$5000,INPUT!$H$3:$H$5000,INPUT!$C$3:$C$5000,INPUT!$I$3:$I$5000),0)),"")</f>
        <v>0</v>
      </c>
      <c r="AB27" s="160" cm="1">
        <f t="array" ref="AB27">IFERROR(SUMPRODUCT((INPUT!$H$3:$H$5000&gt;=AB$3)*(INPUT!$H$3:$H$5000&lt;=AB$3+6)*(INPUT!$J$3:$J$5000="J23")*ISNUMBER(INPUT!$K$3:$K$5000)*IFERROR(VALUE(INPUT!$K$3:$K$5000),0)*IFERROR(SUMIFS(INPUT!$E$3:$E$5000,INPUT!$A$3:$A$5000,INPUT!$H$3:$H$5000,INPUT!$C$3:$C$5000,INPUT!$I$3:$I$5000),0)),"")</f>
        <v>0</v>
      </c>
      <c r="AC27" s="160" cm="1">
        <f t="array" ref="AC27">IFERROR(SUMPRODUCT((INPUT!$H$3:$H$5000&gt;=AC$3)*(INPUT!$H$3:$H$5000&lt;=AC$3+6)*(INPUT!$J$3:$J$5000="J23")*ISNUMBER(INPUT!$K$3:$K$5000)*IFERROR(VALUE(INPUT!$K$3:$K$5000),0)*IFERROR(SUMIFS(INPUT!$E$3:$E$5000,INPUT!$A$3:$A$5000,INPUT!$H$3:$H$5000,INPUT!$C$3:$C$5000,INPUT!$I$3:$I$5000),0)),"")</f>
        <v>0</v>
      </c>
      <c r="AD27" s="160" cm="1">
        <f t="array" ref="AD27">IFERROR(SUMPRODUCT((INPUT!$H$3:$H$5000&gt;=AD$3)*(INPUT!$H$3:$H$5000&lt;=AD$3+6)*(INPUT!$J$3:$J$5000="J23")*ISNUMBER(INPUT!$K$3:$K$5000)*IFERROR(VALUE(INPUT!$K$3:$K$5000),0)*IFERROR(SUMIFS(INPUT!$E$3:$E$5000,INPUT!$A$3:$A$5000,INPUT!$H$3:$H$5000,INPUT!$C$3:$C$5000,INPUT!$I$3:$I$5000),0)),"")</f>
        <v>0</v>
      </c>
      <c r="AE27" s="160" cm="1">
        <f t="array" ref="AE27">IFERROR(SUMPRODUCT((INPUT!$H$3:$H$5000&gt;=AE$3)*(INPUT!$H$3:$H$5000&lt;=AE$3+6)*(INPUT!$J$3:$J$5000="J23")*ISNUMBER(INPUT!$K$3:$K$5000)*IFERROR(VALUE(INPUT!$K$3:$K$5000),0)*IFERROR(SUMIFS(INPUT!$E$3:$E$5000,INPUT!$A$3:$A$5000,INPUT!$H$3:$H$5000,INPUT!$C$3:$C$5000,INPUT!$I$3:$I$5000),0)),"")</f>
        <v>0</v>
      </c>
      <c r="AF27" s="160" cm="1">
        <f t="array" ref="AF27">IFERROR(SUMPRODUCT((INPUT!$H$3:$H$5000&gt;=AF$3)*(INPUT!$H$3:$H$5000&lt;=AF$3+6)*(INPUT!$J$3:$J$5000="J23")*ISNUMBER(INPUT!$K$3:$K$5000)*IFERROR(VALUE(INPUT!$K$3:$K$5000),0)*IFERROR(SUMIFS(INPUT!$E$3:$E$5000,INPUT!$A$3:$A$5000,INPUT!$H$3:$H$5000,INPUT!$C$3:$C$5000,INPUT!$I$3:$I$5000),0)),"")</f>
        <v>0</v>
      </c>
      <c r="AG27" s="160" cm="1">
        <f t="array" ref="AG27">IFERROR(SUMPRODUCT((INPUT!$H$3:$H$5000&gt;=AG$3)*(INPUT!$H$3:$H$5000&lt;=AG$3+6)*(INPUT!$J$3:$J$5000="J23")*ISNUMBER(INPUT!$K$3:$K$5000)*IFERROR(VALUE(INPUT!$K$3:$K$5000),0)*IFERROR(SUMIFS(INPUT!$E$3:$E$5000,INPUT!$A$3:$A$5000,INPUT!$H$3:$H$5000,INPUT!$C$3:$C$5000,INPUT!$I$3:$I$5000),0)),"")</f>
        <v>0</v>
      </c>
      <c r="AH27" s="160" cm="1">
        <f t="array" ref="AH27">IFERROR(SUMPRODUCT((INPUT!$H$3:$H$5000&gt;=AH$3)*(INPUT!$H$3:$H$5000&lt;=AH$3+6)*(INPUT!$J$3:$J$5000="J23")*ISNUMBER(INPUT!$K$3:$K$5000)*IFERROR(VALUE(INPUT!$K$3:$K$5000),0)*IFERROR(SUMIFS(INPUT!$E$3:$E$5000,INPUT!$A$3:$A$5000,INPUT!$H$3:$H$5000,INPUT!$C$3:$C$5000,INPUT!$I$3:$I$5000),0)),"")</f>
        <v>0</v>
      </c>
      <c r="AI27" s="160" cm="1">
        <f t="array" ref="AI27">IFERROR(SUMPRODUCT((INPUT!$H$3:$H$5000&gt;=AI$3)*(INPUT!$H$3:$H$5000&lt;=AI$3+6)*(INPUT!$J$3:$J$5000="J23")*ISNUMBER(INPUT!$K$3:$K$5000)*IFERROR(VALUE(INPUT!$K$3:$K$5000),0)*IFERROR(SUMIFS(INPUT!$E$3:$E$5000,INPUT!$A$3:$A$5000,INPUT!$H$3:$H$5000,INPUT!$C$3:$C$5000,INPUT!$I$3:$I$5000),0)),"")</f>
        <v>0</v>
      </c>
      <c r="AJ27" s="160" cm="1">
        <f t="array" ref="AJ27">IFERROR(SUMPRODUCT((INPUT!$H$3:$H$5000&gt;=AJ$3)*(INPUT!$H$3:$H$5000&lt;=AJ$3+6)*(INPUT!$J$3:$J$5000="J23")*ISNUMBER(INPUT!$K$3:$K$5000)*IFERROR(VALUE(INPUT!$K$3:$K$5000),0)*IFERROR(SUMIFS(INPUT!$E$3:$E$5000,INPUT!$A$3:$A$5000,INPUT!$H$3:$H$5000,INPUT!$C$3:$C$5000,INPUT!$I$3:$I$5000),0)),"")</f>
        <v>0</v>
      </c>
      <c r="AK27" s="160" cm="1">
        <f t="array" ref="AK27">IFERROR(SUMPRODUCT((INPUT!$H$3:$H$5000&gt;=AK$3)*(INPUT!$H$3:$H$5000&lt;=AK$3+6)*(INPUT!$J$3:$J$5000="J23")*ISNUMBER(INPUT!$K$3:$K$5000)*IFERROR(VALUE(INPUT!$K$3:$K$5000),0)*IFERROR(SUMIFS(INPUT!$E$3:$E$5000,INPUT!$A$3:$A$5000,INPUT!$H$3:$H$5000,INPUT!$C$3:$C$5000,INPUT!$I$3:$I$5000),0)),"")</f>
        <v>0</v>
      </c>
      <c r="AL27" s="160" cm="1">
        <f t="array" ref="AL27">IFERROR(SUMPRODUCT((INPUT!$H$3:$H$5000&gt;=AL$3)*(INPUT!$H$3:$H$5000&lt;=AL$3+6)*(INPUT!$J$3:$J$5000="J23")*ISNUMBER(INPUT!$K$3:$K$5000)*IFERROR(VALUE(INPUT!$K$3:$K$5000),0)*IFERROR(SUMIFS(INPUT!$E$3:$E$5000,INPUT!$A$3:$A$5000,INPUT!$H$3:$H$5000,INPUT!$C$3:$C$5000,INPUT!$I$3:$I$5000),0)),"")</f>
        <v>0</v>
      </c>
      <c r="AM27" s="160" cm="1">
        <f t="array" ref="AM27">IFERROR(SUMPRODUCT((INPUT!$H$3:$H$5000&gt;=AM$3)*(INPUT!$H$3:$H$5000&lt;=AM$3+6)*(INPUT!$J$3:$J$5000="J23")*ISNUMBER(INPUT!$K$3:$K$5000)*IFERROR(VALUE(INPUT!$K$3:$K$5000),0)*IFERROR(SUMIFS(INPUT!$E$3:$E$5000,INPUT!$A$3:$A$5000,INPUT!$H$3:$H$5000,INPUT!$C$3:$C$5000,INPUT!$I$3:$I$5000),0)),"")</f>
        <v>0</v>
      </c>
      <c r="AN27" s="160" cm="1">
        <f t="array" ref="AN27">IFERROR(SUMPRODUCT((INPUT!$H$3:$H$5000&gt;=AN$3)*(INPUT!$H$3:$H$5000&lt;=AN$3+6)*(INPUT!$J$3:$J$5000="J23")*ISNUMBER(INPUT!$K$3:$K$5000)*IFERROR(VALUE(INPUT!$K$3:$K$5000),0)*IFERROR(SUMIFS(INPUT!$E$3:$E$5000,INPUT!$A$3:$A$5000,INPUT!$H$3:$H$5000,INPUT!$C$3:$C$5000,INPUT!$I$3:$I$5000),0)),"")</f>
        <v>0</v>
      </c>
      <c r="AO27" s="160" cm="1">
        <f t="array" ref="AO27">IFERROR(SUMPRODUCT((INPUT!$H$3:$H$5000&gt;=AO$3)*(INPUT!$H$3:$H$5000&lt;=AO$3+6)*(INPUT!$J$3:$J$5000="J23")*ISNUMBER(INPUT!$K$3:$K$5000)*IFERROR(VALUE(INPUT!$K$3:$K$5000),0)*IFERROR(SUMIFS(INPUT!$E$3:$E$5000,INPUT!$A$3:$A$5000,INPUT!$H$3:$H$5000,INPUT!$C$3:$C$5000,INPUT!$I$3:$I$5000),0)),"")</f>
        <v>0</v>
      </c>
      <c r="AP27" s="160" cm="1">
        <f t="array" ref="AP27">IFERROR(SUMPRODUCT((INPUT!$H$3:$H$5000&gt;=AP$3)*(INPUT!$H$3:$H$5000&lt;=AP$3+6)*(INPUT!$J$3:$J$5000="J23")*ISNUMBER(INPUT!$K$3:$K$5000)*IFERROR(VALUE(INPUT!$K$3:$K$5000),0)*IFERROR(SUMIFS(INPUT!$E$3:$E$5000,INPUT!$A$3:$A$5000,INPUT!$H$3:$H$5000,INPUT!$C$3:$C$5000,INPUT!$I$3:$I$5000),0)),"")</f>
        <v>0</v>
      </c>
      <c r="AQ27" s="160" cm="1">
        <f t="array" ref="AQ27">IFERROR(SUMPRODUCT((INPUT!$H$3:$H$5000&gt;=AQ$3)*(INPUT!$H$3:$H$5000&lt;=AQ$3+6)*(INPUT!$J$3:$J$5000="J23")*ISNUMBER(INPUT!$K$3:$K$5000)*IFERROR(VALUE(INPUT!$K$3:$K$5000),0)*IFERROR(SUMIFS(INPUT!$E$3:$E$5000,INPUT!$A$3:$A$5000,INPUT!$H$3:$H$5000,INPUT!$C$3:$C$5000,INPUT!$I$3:$I$5000),0)),"")</f>
        <v>0</v>
      </c>
      <c r="AR27" s="160" cm="1">
        <f t="array" ref="AR27">IFERROR(SUMPRODUCT((INPUT!$H$3:$H$5000&gt;=AR$3)*(INPUT!$H$3:$H$5000&lt;=AR$3+6)*(INPUT!$J$3:$J$5000="J23")*ISNUMBER(INPUT!$K$3:$K$5000)*IFERROR(VALUE(INPUT!$K$3:$K$5000),0)*IFERROR(SUMIFS(INPUT!$E$3:$E$5000,INPUT!$A$3:$A$5000,INPUT!$H$3:$H$5000,INPUT!$C$3:$C$5000,INPUT!$I$3:$I$5000),0)),"")</f>
        <v>0</v>
      </c>
      <c r="AS27" s="160" cm="1">
        <f t="array" ref="AS27">IFERROR(SUMPRODUCT((INPUT!$H$3:$H$5000&gt;=AS$3)*(INPUT!$H$3:$H$5000&lt;=AS$3+6)*(INPUT!$J$3:$J$5000="J23")*ISNUMBER(INPUT!$K$3:$K$5000)*IFERROR(VALUE(INPUT!$K$3:$K$5000),0)*IFERROR(SUMIFS(INPUT!$E$3:$E$5000,INPUT!$A$3:$A$5000,INPUT!$H$3:$H$5000,INPUT!$C$3:$C$5000,INPUT!$I$3:$I$5000),0)),"")</f>
        <v>0</v>
      </c>
      <c r="AT27" s="160" cm="1">
        <f t="array" ref="AT27">IFERROR(SUMPRODUCT((INPUT!$H$3:$H$5000&gt;=AT$3)*(INPUT!$H$3:$H$5000&lt;=AT$3+6)*(INPUT!$J$3:$J$5000="J23")*ISNUMBER(INPUT!$K$3:$K$5000)*IFERROR(VALUE(INPUT!$K$3:$K$5000),0)*IFERROR(SUMIFS(INPUT!$E$3:$E$5000,INPUT!$A$3:$A$5000,INPUT!$H$3:$H$5000,INPUT!$C$3:$C$5000,INPUT!$I$3:$I$5000),0)),"")</f>
        <v>0</v>
      </c>
      <c r="AU27" s="160" cm="1">
        <f t="array" ref="AU27">IFERROR(SUMPRODUCT((INPUT!$H$3:$H$5000&gt;=AU$3)*(INPUT!$H$3:$H$5000&lt;=AU$3+6)*(INPUT!$J$3:$J$5000="J23")*ISNUMBER(INPUT!$K$3:$K$5000)*IFERROR(VALUE(INPUT!$K$3:$K$5000),0)*IFERROR(SUMIFS(INPUT!$E$3:$E$5000,INPUT!$A$3:$A$5000,INPUT!$H$3:$H$5000,INPUT!$C$3:$C$5000,INPUT!$I$3:$I$5000),0)),"")</f>
        <v>0</v>
      </c>
      <c r="AV27" s="160" cm="1">
        <f t="array" ref="AV27">IFERROR(SUMPRODUCT((INPUT!$H$3:$H$5000&gt;=AV$3)*(INPUT!$H$3:$H$5000&lt;=AV$3+6)*(INPUT!$J$3:$J$5000="J23")*ISNUMBER(INPUT!$K$3:$K$5000)*IFERROR(VALUE(INPUT!$K$3:$K$5000),0)*IFERROR(SUMIFS(INPUT!$E$3:$E$5000,INPUT!$A$3:$A$5000,INPUT!$H$3:$H$5000,INPUT!$C$3:$C$5000,INPUT!$I$3:$I$5000),0)),"")</f>
        <v>0</v>
      </c>
      <c r="AW27" s="160" cm="1">
        <f t="array" ref="AW27">IFERROR(SUMPRODUCT((INPUT!$H$3:$H$5000&gt;=AW$3)*(INPUT!$H$3:$H$5000&lt;=AW$3+6)*(INPUT!$J$3:$J$5000="J23")*ISNUMBER(INPUT!$K$3:$K$5000)*IFERROR(VALUE(INPUT!$K$3:$K$5000),0)*IFERROR(SUMIFS(INPUT!$E$3:$E$5000,INPUT!$A$3:$A$5000,INPUT!$H$3:$H$5000,INPUT!$C$3:$C$5000,INPUT!$I$3:$I$5000),0)),"")</f>
        <v>0</v>
      </c>
      <c r="AX27" s="160" cm="1">
        <f t="array" ref="AX27">IFERROR(SUMPRODUCT((INPUT!$H$3:$H$5000&gt;=AX$3)*(INPUT!$H$3:$H$5000&lt;=AX$3+6)*(INPUT!$J$3:$J$5000="J23")*ISNUMBER(INPUT!$K$3:$K$5000)*IFERROR(VALUE(INPUT!$K$3:$K$5000),0)*IFERROR(SUMIFS(INPUT!$E$3:$E$5000,INPUT!$A$3:$A$5000,INPUT!$H$3:$H$5000,INPUT!$C$3:$C$5000,INPUT!$I$3:$I$5000),0)),"")</f>
        <v>0</v>
      </c>
      <c r="AY27" s="160" cm="1">
        <f t="array" ref="AY27">IFERROR(SUMPRODUCT((INPUT!$H$3:$H$5000&gt;=AY$3)*(INPUT!$H$3:$H$5000&lt;=AY$3+6)*(INPUT!$J$3:$J$5000="J23")*ISNUMBER(INPUT!$K$3:$K$5000)*IFERROR(VALUE(INPUT!$K$3:$K$5000),0)*IFERROR(SUMIFS(INPUT!$E$3:$E$5000,INPUT!$A$3:$A$5000,INPUT!$H$3:$H$5000,INPUT!$C$3:$C$5000,INPUT!$I$3:$I$5000),0)),"")</f>
        <v>0</v>
      </c>
      <c r="AZ27" s="160" cm="1">
        <f t="array" ref="AZ27">IFERROR(SUMPRODUCT((INPUT!$H$3:$H$5000&gt;=AZ$3)*(INPUT!$H$3:$H$5000&lt;=AZ$3+6)*(INPUT!$J$3:$J$5000="J23")*ISNUMBER(INPUT!$K$3:$K$5000)*IFERROR(VALUE(INPUT!$K$3:$K$5000),0)*IFERROR(SUMIFS(INPUT!$E$3:$E$5000,INPUT!$A$3:$A$5000,INPUT!$H$3:$H$5000,INPUT!$C$3:$C$5000,INPUT!$I$3:$I$5000),0)),"")</f>
        <v>0</v>
      </c>
      <c r="BA27" s="160" cm="1">
        <f t="array" ref="BA27">IFERROR(SUMPRODUCT((INPUT!$H$3:$H$5000&gt;=BA$3)*(INPUT!$H$3:$H$5000&lt;=BA$3+6)*(INPUT!$J$3:$J$5000="J23")*ISNUMBER(INPUT!$K$3:$K$5000)*IFERROR(VALUE(INPUT!$K$3:$K$5000),0)*IFERROR(SUMIFS(INPUT!$E$3:$E$5000,INPUT!$A$3:$A$5000,INPUT!$H$3:$H$5000,INPUT!$C$3:$C$5000,INPUT!$I$3:$I$5000),0)),"")</f>
        <v>0</v>
      </c>
      <c r="BB27" s="161" cm="1">
        <f t="array" ref="BB27">IFERROR(SUMPRODUCT((INPUT!$H$3:$H$5000&gt;=BB$3)*(INPUT!$H$3:$H$5000&lt;=BB$3+6)*(INPUT!$J$3:$J$5000="J23")*ISNUMBER(INPUT!$K$3:$K$5000)*IFERROR(VALUE(INPUT!$K$3:$K$5000),0)*IFERROR(SUMIFS(INPUT!$E$3:$E$5000,INPUT!$A$3:$A$5000,INPUT!$H$3:$H$5000,INPUT!$C$3:$C$5000,INPUT!$I$3:$I$5000),0)),"")</f>
        <v>0</v>
      </c>
    </row>
    <row r="28" spans="1:54" x14ac:dyDescent="0.2">
      <c r="A28" s="154">
        <v>24</v>
      </c>
      <c r="B28" s="81" t="s">
        <v>88</v>
      </c>
      <c r="C28" s="160" cm="1">
        <f t="array" ref="C28">IFERROR(SUMPRODUCT((INPUT!$H$3:$H$5000&gt;=C$3)*(INPUT!$H$3:$H$5000&lt;=C$3+6)*(INPUT!$J$3:$J$5000="J24")*ISNUMBER(INPUT!$K$3:$K$5000)*IFERROR(VALUE(INPUT!$K$3:$K$5000),0)*IFERROR(SUMIFS(INPUT!$E$3:$E$5000,INPUT!$A$3:$A$5000,INPUT!$H$3:$H$5000,INPUT!$C$3:$C$5000,INPUT!$I$3:$I$5000),0)),"")</f>
        <v>0</v>
      </c>
      <c r="D28" s="160" cm="1">
        <f t="array" ref="D28">IFERROR(SUMPRODUCT((INPUT!$H$3:$H$5000&gt;=D$3)*(INPUT!$H$3:$H$5000&lt;=D$3+6)*(INPUT!$J$3:$J$5000="J24")*ISNUMBER(INPUT!$K$3:$K$5000)*IFERROR(VALUE(INPUT!$K$3:$K$5000),0)*IFERROR(SUMIFS(INPUT!$E$3:$E$5000,INPUT!$A$3:$A$5000,INPUT!$H$3:$H$5000,INPUT!$C$3:$C$5000,INPUT!$I$3:$I$5000),0)),"")</f>
        <v>0</v>
      </c>
      <c r="E28" s="160" cm="1">
        <f t="array" ref="E28">IFERROR(SUMPRODUCT((INPUT!$H$3:$H$5000&gt;=E$3)*(INPUT!$H$3:$H$5000&lt;=E$3+6)*(INPUT!$J$3:$J$5000="J24")*ISNUMBER(INPUT!$K$3:$K$5000)*IFERROR(VALUE(INPUT!$K$3:$K$5000),0)*IFERROR(SUMIFS(INPUT!$E$3:$E$5000,INPUT!$A$3:$A$5000,INPUT!$H$3:$H$5000,INPUT!$C$3:$C$5000,INPUT!$I$3:$I$5000),0)),"")</f>
        <v>0</v>
      </c>
      <c r="F28" s="160" cm="1">
        <f t="array" ref="F28">IFERROR(SUMPRODUCT((INPUT!$H$3:$H$5000&gt;=F$3)*(INPUT!$H$3:$H$5000&lt;=F$3+6)*(INPUT!$J$3:$J$5000="J24")*ISNUMBER(INPUT!$K$3:$K$5000)*IFERROR(VALUE(INPUT!$K$3:$K$5000),0)*IFERROR(SUMIFS(INPUT!$E$3:$E$5000,INPUT!$A$3:$A$5000,INPUT!$H$3:$H$5000,INPUT!$C$3:$C$5000,INPUT!$I$3:$I$5000),0)),"")</f>
        <v>0</v>
      </c>
      <c r="G28" s="160" cm="1">
        <f t="array" ref="G28">IFERROR(SUMPRODUCT((INPUT!$H$3:$H$5000&gt;=G$3)*(INPUT!$H$3:$H$5000&lt;=G$3+6)*(INPUT!$J$3:$J$5000="J24")*ISNUMBER(INPUT!$K$3:$K$5000)*IFERROR(VALUE(INPUT!$K$3:$K$5000),0)*IFERROR(SUMIFS(INPUT!$E$3:$E$5000,INPUT!$A$3:$A$5000,INPUT!$H$3:$H$5000,INPUT!$C$3:$C$5000,INPUT!$I$3:$I$5000),0)),"")</f>
        <v>0</v>
      </c>
      <c r="H28" s="160" cm="1">
        <f t="array" ref="H28">IFERROR(SUMPRODUCT((INPUT!$H$3:$H$5000&gt;=H$3)*(INPUT!$H$3:$H$5000&lt;=H$3+6)*(INPUT!$J$3:$J$5000="J24")*ISNUMBER(INPUT!$K$3:$K$5000)*IFERROR(VALUE(INPUT!$K$3:$K$5000),0)*IFERROR(SUMIFS(INPUT!$E$3:$E$5000,INPUT!$A$3:$A$5000,INPUT!$H$3:$H$5000,INPUT!$C$3:$C$5000,INPUT!$I$3:$I$5000),0)),"")</f>
        <v>0</v>
      </c>
      <c r="I28" s="160" cm="1">
        <f t="array" ref="I28">IFERROR(SUMPRODUCT((INPUT!$H$3:$H$5000&gt;=I$3)*(INPUT!$H$3:$H$5000&lt;=I$3+6)*(INPUT!$J$3:$J$5000="J24")*ISNUMBER(INPUT!$K$3:$K$5000)*IFERROR(VALUE(INPUT!$K$3:$K$5000),0)*IFERROR(SUMIFS(INPUT!$E$3:$E$5000,INPUT!$A$3:$A$5000,INPUT!$H$3:$H$5000,INPUT!$C$3:$C$5000,INPUT!$I$3:$I$5000),0)),"")</f>
        <v>0</v>
      </c>
      <c r="J28" s="160" cm="1">
        <f t="array" ref="J28">IFERROR(SUMPRODUCT((INPUT!$H$3:$H$5000&gt;=J$3)*(INPUT!$H$3:$H$5000&lt;=J$3+6)*(INPUT!$J$3:$J$5000="J24")*ISNUMBER(INPUT!$K$3:$K$5000)*IFERROR(VALUE(INPUT!$K$3:$K$5000),0)*IFERROR(SUMIFS(INPUT!$E$3:$E$5000,INPUT!$A$3:$A$5000,INPUT!$H$3:$H$5000,INPUT!$C$3:$C$5000,INPUT!$I$3:$I$5000),0)),"")</f>
        <v>0</v>
      </c>
      <c r="K28" s="160" cm="1">
        <f t="array" ref="K28">IFERROR(SUMPRODUCT((INPUT!$H$3:$H$5000&gt;=K$3)*(INPUT!$H$3:$H$5000&lt;=K$3+6)*(INPUT!$J$3:$J$5000="J24")*ISNUMBER(INPUT!$K$3:$K$5000)*IFERROR(VALUE(INPUT!$K$3:$K$5000),0)*IFERROR(SUMIFS(INPUT!$E$3:$E$5000,INPUT!$A$3:$A$5000,INPUT!$H$3:$H$5000,INPUT!$C$3:$C$5000,INPUT!$I$3:$I$5000),0)),"")</f>
        <v>0</v>
      </c>
      <c r="L28" s="160" cm="1">
        <f t="array" ref="L28">IFERROR(SUMPRODUCT((INPUT!$H$3:$H$5000&gt;=L$3)*(INPUT!$H$3:$H$5000&lt;=L$3+6)*(INPUT!$J$3:$J$5000="J24")*ISNUMBER(INPUT!$K$3:$K$5000)*IFERROR(VALUE(INPUT!$K$3:$K$5000),0)*IFERROR(SUMIFS(INPUT!$E$3:$E$5000,INPUT!$A$3:$A$5000,INPUT!$H$3:$H$5000,INPUT!$C$3:$C$5000,INPUT!$I$3:$I$5000),0)),"")</f>
        <v>0</v>
      </c>
      <c r="M28" s="160" cm="1">
        <f t="array" ref="M28">IFERROR(SUMPRODUCT((INPUT!$H$3:$H$5000&gt;=M$3)*(INPUT!$H$3:$H$5000&lt;=M$3+6)*(INPUT!$J$3:$J$5000="J24")*ISNUMBER(INPUT!$K$3:$K$5000)*IFERROR(VALUE(INPUT!$K$3:$K$5000),0)*IFERROR(SUMIFS(INPUT!$E$3:$E$5000,INPUT!$A$3:$A$5000,INPUT!$H$3:$H$5000,INPUT!$C$3:$C$5000,INPUT!$I$3:$I$5000),0)),"")</f>
        <v>0</v>
      </c>
      <c r="N28" s="160" cm="1">
        <f t="array" ref="N28">IFERROR(SUMPRODUCT((INPUT!$H$3:$H$5000&gt;=N$3)*(INPUT!$H$3:$H$5000&lt;=N$3+6)*(INPUT!$J$3:$J$5000="J24")*ISNUMBER(INPUT!$K$3:$K$5000)*IFERROR(VALUE(INPUT!$K$3:$K$5000),0)*IFERROR(SUMIFS(INPUT!$E$3:$E$5000,INPUT!$A$3:$A$5000,INPUT!$H$3:$H$5000,INPUT!$C$3:$C$5000,INPUT!$I$3:$I$5000),0)),"")</f>
        <v>0</v>
      </c>
      <c r="O28" s="160" cm="1">
        <f t="array" ref="O28">IFERROR(SUMPRODUCT((INPUT!$H$3:$H$5000&gt;=O$3)*(INPUT!$H$3:$H$5000&lt;=O$3+6)*(INPUT!$J$3:$J$5000="J24")*ISNUMBER(INPUT!$K$3:$K$5000)*IFERROR(VALUE(INPUT!$K$3:$K$5000),0)*IFERROR(SUMIFS(INPUT!$E$3:$E$5000,INPUT!$A$3:$A$5000,INPUT!$H$3:$H$5000,INPUT!$C$3:$C$5000,INPUT!$I$3:$I$5000),0)),"")</f>
        <v>0</v>
      </c>
      <c r="P28" s="160" cm="1">
        <f t="array" ref="P28">IFERROR(SUMPRODUCT((INPUT!$H$3:$H$5000&gt;=P$3)*(INPUT!$H$3:$H$5000&lt;=P$3+6)*(INPUT!$J$3:$J$5000="J24")*ISNUMBER(INPUT!$K$3:$K$5000)*IFERROR(VALUE(INPUT!$K$3:$K$5000),0)*IFERROR(SUMIFS(INPUT!$E$3:$E$5000,INPUT!$A$3:$A$5000,INPUT!$H$3:$H$5000,INPUT!$C$3:$C$5000,INPUT!$I$3:$I$5000),0)),"")</f>
        <v>0</v>
      </c>
      <c r="Q28" s="160" cm="1">
        <f t="array" ref="Q28">IFERROR(SUMPRODUCT((INPUT!$H$3:$H$5000&gt;=Q$3)*(INPUT!$H$3:$H$5000&lt;=Q$3+6)*(INPUT!$J$3:$J$5000="J24")*ISNUMBER(INPUT!$K$3:$K$5000)*IFERROR(VALUE(INPUT!$K$3:$K$5000),0)*IFERROR(SUMIFS(INPUT!$E$3:$E$5000,INPUT!$A$3:$A$5000,INPUT!$H$3:$H$5000,INPUT!$C$3:$C$5000,INPUT!$I$3:$I$5000),0)),"")</f>
        <v>0</v>
      </c>
      <c r="R28" s="160" cm="1">
        <f t="array" ref="R28">IFERROR(SUMPRODUCT((INPUT!$H$3:$H$5000&gt;=R$3)*(INPUT!$H$3:$H$5000&lt;=R$3+6)*(INPUT!$J$3:$J$5000="J24")*ISNUMBER(INPUT!$K$3:$K$5000)*IFERROR(VALUE(INPUT!$K$3:$K$5000),0)*IFERROR(SUMIFS(INPUT!$E$3:$E$5000,INPUT!$A$3:$A$5000,INPUT!$H$3:$H$5000,INPUT!$C$3:$C$5000,INPUT!$I$3:$I$5000),0)),"")</f>
        <v>0</v>
      </c>
      <c r="S28" s="160" cm="1">
        <f t="array" ref="S28">IFERROR(SUMPRODUCT((INPUT!$H$3:$H$5000&gt;=S$3)*(INPUT!$H$3:$H$5000&lt;=S$3+6)*(INPUT!$J$3:$J$5000="J24")*ISNUMBER(INPUT!$K$3:$K$5000)*IFERROR(VALUE(INPUT!$K$3:$K$5000),0)*IFERROR(SUMIFS(INPUT!$E$3:$E$5000,INPUT!$A$3:$A$5000,INPUT!$H$3:$H$5000,INPUT!$C$3:$C$5000,INPUT!$I$3:$I$5000),0)),"")</f>
        <v>0</v>
      </c>
      <c r="T28" s="160" cm="1">
        <f t="array" ref="T28">IFERROR(SUMPRODUCT((INPUT!$H$3:$H$5000&gt;=T$3)*(INPUT!$H$3:$H$5000&lt;=T$3+6)*(INPUT!$J$3:$J$5000="J24")*ISNUMBER(INPUT!$K$3:$K$5000)*IFERROR(VALUE(INPUT!$K$3:$K$5000),0)*IFERROR(SUMIFS(INPUT!$E$3:$E$5000,INPUT!$A$3:$A$5000,INPUT!$H$3:$H$5000,INPUT!$C$3:$C$5000,INPUT!$I$3:$I$5000),0)),"")</f>
        <v>0</v>
      </c>
      <c r="U28" s="160" cm="1">
        <f t="array" ref="U28">IFERROR(SUMPRODUCT((INPUT!$H$3:$H$5000&gt;=U$3)*(INPUT!$H$3:$H$5000&lt;=U$3+6)*(INPUT!$J$3:$J$5000="J24")*ISNUMBER(INPUT!$K$3:$K$5000)*IFERROR(VALUE(INPUT!$K$3:$K$5000),0)*IFERROR(SUMIFS(INPUT!$E$3:$E$5000,INPUT!$A$3:$A$5000,INPUT!$H$3:$H$5000,INPUT!$C$3:$C$5000,INPUT!$I$3:$I$5000),0)),"")</f>
        <v>0</v>
      </c>
      <c r="V28" s="160" cm="1">
        <f t="array" ref="V28">IFERROR(SUMPRODUCT((INPUT!$H$3:$H$5000&gt;=V$3)*(INPUT!$H$3:$H$5000&lt;=V$3+6)*(INPUT!$J$3:$J$5000="J24")*ISNUMBER(INPUT!$K$3:$K$5000)*IFERROR(VALUE(INPUT!$K$3:$K$5000),0)*IFERROR(SUMIFS(INPUT!$E$3:$E$5000,INPUT!$A$3:$A$5000,INPUT!$H$3:$H$5000,INPUT!$C$3:$C$5000,INPUT!$I$3:$I$5000),0)),"")</f>
        <v>0</v>
      </c>
      <c r="W28" s="160" cm="1">
        <f t="array" ref="W28">IFERROR(SUMPRODUCT((INPUT!$H$3:$H$5000&gt;=W$3)*(INPUT!$H$3:$H$5000&lt;=W$3+6)*(INPUT!$J$3:$J$5000="J24")*ISNUMBER(INPUT!$K$3:$K$5000)*IFERROR(VALUE(INPUT!$K$3:$K$5000),0)*IFERROR(SUMIFS(INPUT!$E$3:$E$5000,INPUT!$A$3:$A$5000,INPUT!$H$3:$H$5000,INPUT!$C$3:$C$5000,INPUT!$I$3:$I$5000),0)),"")</f>
        <v>0</v>
      </c>
      <c r="X28" s="160" cm="1">
        <f t="array" ref="X28">IFERROR(SUMPRODUCT((INPUT!$H$3:$H$5000&gt;=X$3)*(INPUT!$H$3:$H$5000&lt;=X$3+6)*(INPUT!$J$3:$J$5000="J24")*ISNUMBER(INPUT!$K$3:$K$5000)*IFERROR(VALUE(INPUT!$K$3:$K$5000),0)*IFERROR(SUMIFS(INPUT!$E$3:$E$5000,INPUT!$A$3:$A$5000,INPUT!$H$3:$H$5000,INPUT!$C$3:$C$5000,INPUT!$I$3:$I$5000),0)),"")</f>
        <v>0</v>
      </c>
      <c r="Y28" s="160" cm="1">
        <f t="array" ref="Y28">IFERROR(SUMPRODUCT((INPUT!$H$3:$H$5000&gt;=Y$3)*(INPUT!$H$3:$H$5000&lt;=Y$3+6)*(INPUT!$J$3:$J$5000="J24")*ISNUMBER(INPUT!$K$3:$K$5000)*IFERROR(VALUE(INPUT!$K$3:$K$5000),0)*IFERROR(SUMIFS(INPUT!$E$3:$E$5000,INPUT!$A$3:$A$5000,INPUT!$H$3:$H$5000,INPUT!$C$3:$C$5000,INPUT!$I$3:$I$5000),0)),"")</f>
        <v>0</v>
      </c>
      <c r="Z28" s="160" cm="1">
        <f t="array" ref="Z28">IFERROR(SUMPRODUCT((INPUT!$H$3:$H$5000&gt;=Z$3)*(INPUT!$H$3:$H$5000&lt;=Z$3+6)*(INPUT!$J$3:$J$5000="J24")*ISNUMBER(INPUT!$K$3:$K$5000)*IFERROR(VALUE(INPUT!$K$3:$K$5000),0)*IFERROR(SUMIFS(INPUT!$E$3:$E$5000,INPUT!$A$3:$A$5000,INPUT!$H$3:$H$5000,INPUT!$C$3:$C$5000,INPUT!$I$3:$I$5000),0)),"")</f>
        <v>0</v>
      </c>
      <c r="AA28" s="160" cm="1">
        <f t="array" ref="AA28">IFERROR(SUMPRODUCT((INPUT!$H$3:$H$5000&gt;=AA$3)*(INPUT!$H$3:$H$5000&lt;=AA$3+6)*(INPUT!$J$3:$J$5000="J24")*ISNUMBER(INPUT!$K$3:$K$5000)*IFERROR(VALUE(INPUT!$K$3:$K$5000),0)*IFERROR(SUMIFS(INPUT!$E$3:$E$5000,INPUT!$A$3:$A$5000,INPUT!$H$3:$H$5000,INPUT!$C$3:$C$5000,INPUT!$I$3:$I$5000),0)),"")</f>
        <v>0</v>
      </c>
      <c r="AB28" s="160" cm="1">
        <f t="array" ref="AB28">IFERROR(SUMPRODUCT((INPUT!$H$3:$H$5000&gt;=AB$3)*(INPUT!$H$3:$H$5000&lt;=AB$3+6)*(INPUT!$J$3:$J$5000="J24")*ISNUMBER(INPUT!$K$3:$K$5000)*IFERROR(VALUE(INPUT!$K$3:$K$5000),0)*IFERROR(SUMIFS(INPUT!$E$3:$E$5000,INPUT!$A$3:$A$5000,INPUT!$H$3:$H$5000,INPUT!$C$3:$C$5000,INPUT!$I$3:$I$5000),0)),"")</f>
        <v>0</v>
      </c>
      <c r="AC28" s="160" cm="1">
        <f t="array" ref="AC28">IFERROR(SUMPRODUCT((INPUT!$H$3:$H$5000&gt;=AC$3)*(INPUT!$H$3:$H$5000&lt;=AC$3+6)*(INPUT!$J$3:$J$5000="J24")*ISNUMBER(INPUT!$K$3:$K$5000)*IFERROR(VALUE(INPUT!$K$3:$K$5000),0)*IFERROR(SUMIFS(INPUT!$E$3:$E$5000,INPUT!$A$3:$A$5000,INPUT!$H$3:$H$5000,INPUT!$C$3:$C$5000,INPUT!$I$3:$I$5000),0)),"")</f>
        <v>0</v>
      </c>
      <c r="AD28" s="160" cm="1">
        <f t="array" ref="AD28">IFERROR(SUMPRODUCT((INPUT!$H$3:$H$5000&gt;=AD$3)*(INPUT!$H$3:$H$5000&lt;=AD$3+6)*(INPUT!$J$3:$J$5000="J24")*ISNUMBER(INPUT!$K$3:$K$5000)*IFERROR(VALUE(INPUT!$K$3:$K$5000),0)*IFERROR(SUMIFS(INPUT!$E$3:$E$5000,INPUT!$A$3:$A$5000,INPUT!$H$3:$H$5000,INPUT!$C$3:$C$5000,INPUT!$I$3:$I$5000),0)),"")</f>
        <v>0</v>
      </c>
      <c r="AE28" s="160" cm="1">
        <f t="array" ref="AE28">IFERROR(SUMPRODUCT((INPUT!$H$3:$H$5000&gt;=AE$3)*(INPUT!$H$3:$H$5000&lt;=AE$3+6)*(INPUT!$J$3:$J$5000="J24")*ISNUMBER(INPUT!$K$3:$K$5000)*IFERROR(VALUE(INPUT!$K$3:$K$5000),0)*IFERROR(SUMIFS(INPUT!$E$3:$E$5000,INPUT!$A$3:$A$5000,INPUT!$H$3:$H$5000,INPUT!$C$3:$C$5000,INPUT!$I$3:$I$5000),0)),"")</f>
        <v>0</v>
      </c>
      <c r="AF28" s="160" cm="1">
        <f t="array" ref="AF28">IFERROR(SUMPRODUCT((INPUT!$H$3:$H$5000&gt;=AF$3)*(INPUT!$H$3:$H$5000&lt;=AF$3+6)*(INPUT!$J$3:$J$5000="J24")*ISNUMBER(INPUT!$K$3:$K$5000)*IFERROR(VALUE(INPUT!$K$3:$K$5000),0)*IFERROR(SUMIFS(INPUT!$E$3:$E$5000,INPUT!$A$3:$A$5000,INPUT!$H$3:$H$5000,INPUT!$C$3:$C$5000,INPUT!$I$3:$I$5000),0)),"")</f>
        <v>0</v>
      </c>
      <c r="AG28" s="160" cm="1">
        <f t="array" ref="AG28">IFERROR(SUMPRODUCT((INPUT!$H$3:$H$5000&gt;=AG$3)*(INPUT!$H$3:$H$5000&lt;=AG$3+6)*(INPUT!$J$3:$J$5000="J24")*ISNUMBER(INPUT!$K$3:$K$5000)*IFERROR(VALUE(INPUT!$K$3:$K$5000),0)*IFERROR(SUMIFS(INPUT!$E$3:$E$5000,INPUT!$A$3:$A$5000,INPUT!$H$3:$H$5000,INPUT!$C$3:$C$5000,INPUT!$I$3:$I$5000),0)),"")</f>
        <v>0</v>
      </c>
      <c r="AH28" s="160" cm="1">
        <f t="array" ref="AH28">IFERROR(SUMPRODUCT((INPUT!$H$3:$H$5000&gt;=AH$3)*(INPUT!$H$3:$H$5000&lt;=AH$3+6)*(INPUT!$J$3:$J$5000="J24")*ISNUMBER(INPUT!$K$3:$K$5000)*IFERROR(VALUE(INPUT!$K$3:$K$5000),0)*IFERROR(SUMIFS(INPUT!$E$3:$E$5000,INPUT!$A$3:$A$5000,INPUT!$H$3:$H$5000,INPUT!$C$3:$C$5000,INPUT!$I$3:$I$5000),0)),"")</f>
        <v>0</v>
      </c>
      <c r="AI28" s="160" cm="1">
        <f t="array" ref="AI28">IFERROR(SUMPRODUCT((INPUT!$H$3:$H$5000&gt;=AI$3)*(INPUT!$H$3:$H$5000&lt;=AI$3+6)*(INPUT!$J$3:$J$5000="J24")*ISNUMBER(INPUT!$K$3:$K$5000)*IFERROR(VALUE(INPUT!$K$3:$K$5000),0)*IFERROR(SUMIFS(INPUT!$E$3:$E$5000,INPUT!$A$3:$A$5000,INPUT!$H$3:$H$5000,INPUT!$C$3:$C$5000,INPUT!$I$3:$I$5000),0)),"")</f>
        <v>0</v>
      </c>
      <c r="AJ28" s="160" cm="1">
        <f t="array" ref="AJ28">IFERROR(SUMPRODUCT((INPUT!$H$3:$H$5000&gt;=AJ$3)*(INPUT!$H$3:$H$5000&lt;=AJ$3+6)*(INPUT!$J$3:$J$5000="J24")*ISNUMBER(INPUT!$K$3:$K$5000)*IFERROR(VALUE(INPUT!$K$3:$K$5000),0)*IFERROR(SUMIFS(INPUT!$E$3:$E$5000,INPUT!$A$3:$A$5000,INPUT!$H$3:$H$5000,INPUT!$C$3:$C$5000,INPUT!$I$3:$I$5000),0)),"")</f>
        <v>0</v>
      </c>
      <c r="AK28" s="160" cm="1">
        <f t="array" ref="AK28">IFERROR(SUMPRODUCT((INPUT!$H$3:$H$5000&gt;=AK$3)*(INPUT!$H$3:$H$5000&lt;=AK$3+6)*(INPUT!$J$3:$J$5000="J24")*ISNUMBER(INPUT!$K$3:$K$5000)*IFERROR(VALUE(INPUT!$K$3:$K$5000),0)*IFERROR(SUMIFS(INPUT!$E$3:$E$5000,INPUT!$A$3:$A$5000,INPUT!$H$3:$H$5000,INPUT!$C$3:$C$5000,INPUT!$I$3:$I$5000),0)),"")</f>
        <v>0</v>
      </c>
      <c r="AL28" s="160" cm="1">
        <f t="array" ref="AL28">IFERROR(SUMPRODUCT((INPUT!$H$3:$H$5000&gt;=AL$3)*(INPUT!$H$3:$H$5000&lt;=AL$3+6)*(INPUT!$J$3:$J$5000="J24")*ISNUMBER(INPUT!$K$3:$K$5000)*IFERROR(VALUE(INPUT!$K$3:$K$5000),0)*IFERROR(SUMIFS(INPUT!$E$3:$E$5000,INPUT!$A$3:$A$5000,INPUT!$H$3:$H$5000,INPUT!$C$3:$C$5000,INPUT!$I$3:$I$5000),0)),"")</f>
        <v>0</v>
      </c>
      <c r="AM28" s="160" cm="1">
        <f t="array" ref="AM28">IFERROR(SUMPRODUCT((INPUT!$H$3:$H$5000&gt;=AM$3)*(INPUT!$H$3:$H$5000&lt;=AM$3+6)*(INPUT!$J$3:$J$5000="J24")*ISNUMBER(INPUT!$K$3:$K$5000)*IFERROR(VALUE(INPUT!$K$3:$K$5000),0)*IFERROR(SUMIFS(INPUT!$E$3:$E$5000,INPUT!$A$3:$A$5000,INPUT!$H$3:$H$5000,INPUT!$C$3:$C$5000,INPUT!$I$3:$I$5000),0)),"")</f>
        <v>0</v>
      </c>
      <c r="AN28" s="160" cm="1">
        <f t="array" ref="AN28">IFERROR(SUMPRODUCT((INPUT!$H$3:$H$5000&gt;=AN$3)*(INPUT!$H$3:$H$5000&lt;=AN$3+6)*(INPUT!$J$3:$J$5000="J24")*ISNUMBER(INPUT!$K$3:$K$5000)*IFERROR(VALUE(INPUT!$K$3:$K$5000),0)*IFERROR(SUMIFS(INPUT!$E$3:$E$5000,INPUT!$A$3:$A$5000,INPUT!$H$3:$H$5000,INPUT!$C$3:$C$5000,INPUT!$I$3:$I$5000),0)),"")</f>
        <v>0</v>
      </c>
      <c r="AO28" s="160" cm="1">
        <f t="array" ref="AO28">IFERROR(SUMPRODUCT((INPUT!$H$3:$H$5000&gt;=AO$3)*(INPUT!$H$3:$H$5000&lt;=AO$3+6)*(INPUT!$J$3:$J$5000="J24")*ISNUMBER(INPUT!$K$3:$K$5000)*IFERROR(VALUE(INPUT!$K$3:$K$5000),0)*IFERROR(SUMIFS(INPUT!$E$3:$E$5000,INPUT!$A$3:$A$5000,INPUT!$H$3:$H$5000,INPUT!$C$3:$C$5000,INPUT!$I$3:$I$5000),0)),"")</f>
        <v>0</v>
      </c>
      <c r="AP28" s="160" cm="1">
        <f t="array" ref="AP28">IFERROR(SUMPRODUCT((INPUT!$H$3:$H$5000&gt;=AP$3)*(INPUT!$H$3:$H$5000&lt;=AP$3+6)*(INPUT!$J$3:$J$5000="J24")*ISNUMBER(INPUT!$K$3:$K$5000)*IFERROR(VALUE(INPUT!$K$3:$K$5000),0)*IFERROR(SUMIFS(INPUT!$E$3:$E$5000,INPUT!$A$3:$A$5000,INPUT!$H$3:$H$5000,INPUT!$C$3:$C$5000,INPUT!$I$3:$I$5000),0)),"")</f>
        <v>0</v>
      </c>
      <c r="AQ28" s="160" cm="1">
        <f t="array" ref="AQ28">IFERROR(SUMPRODUCT((INPUT!$H$3:$H$5000&gt;=AQ$3)*(INPUT!$H$3:$H$5000&lt;=AQ$3+6)*(INPUT!$J$3:$J$5000="J24")*ISNUMBER(INPUT!$K$3:$K$5000)*IFERROR(VALUE(INPUT!$K$3:$K$5000),0)*IFERROR(SUMIFS(INPUT!$E$3:$E$5000,INPUT!$A$3:$A$5000,INPUT!$H$3:$H$5000,INPUT!$C$3:$C$5000,INPUT!$I$3:$I$5000),0)),"")</f>
        <v>0</v>
      </c>
      <c r="AR28" s="160" cm="1">
        <f t="array" ref="AR28">IFERROR(SUMPRODUCT((INPUT!$H$3:$H$5000&gt;=AR$3)*(INPUT!$H$3:$H$5000&lt;=AR$3+6)*(INPUT!$J$3:$J$5000="J24")*ISNUMBER(INPUT!$K$3:$K$5000)*IFERROR(VALUE(INPUT!$K$3:$K$5000),0)*IFERROR(SUMIFS(INPUT!$E$3:$E$5000,INPUT!$A$3:$A$5000,INPUT!$H$3:$H$5000,INPUT!$C$3:$C$5000,INPUT!$I$3:$I$5000),0)),"")</f>
        <v>0</v>
      </c>
      <c r="AS28" s="160" cm="1">
        <f t="array" ref="AS28">IFERROR(SUMPRODUCT((INPUT!$H$3:$H$5000&gt;=AS$3)*(INPUT!$H$3:$H$5000&lt;=AS$3+6)*(INPUT!$J$3:$J$5000="J24")*ISNUMBER(INPUT!$K$3:$K$5000)*IFERROR(VALUE(INPUT!$K$3:$K$5000),0)*IFERROR(SUMIFS(INPUT!$E$3:$E$5000,INPUT!$A$3:$A$5000,INPUT!$H$3:$H$5000,INPUT!$C$3:$C$5000,INPUT!$I$3:$I$5000),0)),"")</f>
        <v>0</v>
      </c>
      <c r="AT28" s="160" cm="1">
        <f t="array" ref="AT28">IFERROR(SUMPRODUCT((INPUT!$H$3:$H$5000&gt;=AT$3)*(INPUT!$H$3:$H$5000&lt;=AT$3+6)*(INPUT!$J$3:$J$5000="J24")*ISNUMBER(INPUT!$K$3:$K$5000)*IFERROR(VALUE(INPUT!$K$3:$K$5000),0)*IFERROR(SUMIFS(INPUT!$E$3:$E$5000,INPUT!$A$3:$A$5000,INPUT!$H$3:$H$5000,INPUT!$C$3:$C$5000,INPUT!$I$3:$I$5000),0)),"")</f>
        <v>0</v>
      </c>
      <c r="AU28" s="160" cm="1">
        <f t="array" ref="AU28">IFERROR(SUMPRODUCT((INPUT!$H$3:$H$5000&gt;=AU$3)*(INPUT!$H$3:$H$5000&lt;=AU$3+6)*(INPUT!$J$3:$J$5000="J24")*ISNUMBER(INPUT!$K$3:$K$5000)*IFERROR(VALUE(INPUT!$K$3:$K$5000),0)*IFERROR(SUMIFS(INPUT!$E$3:$E$5000,INPUT!$A$3:$A$5000,INPUT!$H$3:$H$5000,INPUT!$C$3:$C$5000,INPUT!$I$3:$I$5000),0)),"")</f>
        <v>0</v>
      </c>
      <c r="AV28" s="160" cm="1">
        <f t="array" ref="AV28">IFERROR(SUMPRODUCT((INPUT!$H$3:$H$5000&gt;=AV$3)*(INPUT!$H$3:$H$5000&lt;=AV$3+6)*(INPUT!$J$3:$J$5000="J24")*ISNUMBER(INPUT!$K$3:$K$5000)*IFERROR(VALUE(INPUT!$K$3:$K$5000),0)*IFERROR(SUMIFS(INPUT!$E$3:$E$5000,INPUT!$A$3:$A$5000,INPUT!$H$3:$H$5000,INPUT!$C$3:$C$5000,INPUT!$I$3:$I$5000),0)),"")</f>
        <v>0</v>
      </c>
      <c r="AW28" s="160" cm="1">
        <f t="array" ref="AW28">IFERROR(SUMPRODUCT((INPUT!$H$3:$H$5000&gt;=AW$3)*(INPUT!$H$3:$H$5000&lt;=AW$3+6)*(INPUT!$J$3:$J$5000="J24")*ISNUMBER(INPUT!$K$3:$K$5000)*IFERROR(VALUE(INPUT!$K$3:$K$5000),0)*IFERROR(SUMIFS(INPUT!$E$3:$E$5000,INPUT!$A$3:$A$5000,INPUT!$H$3:$H$5000,INPUT!$C$3:$C$5000,INPUT!$I$3:$I$5000),0)),"")</f>
        <v>0</v>
      </c>
      <c r="AX28" s="160" cm="1">
        <f t="array" ref="AX28">IFERROR(SUMPRODUCT((INPUT!$H$3:$H$5000&gt;=AX$3)*(INPUT!$H$3:$H$5000&lt;=AX$3+6)*(INPUT!$J$3:$J$5000="J24")*ISNUMBER(INPUT!$K$3:$K$5000)*IFERROR(VALUE(INPUT!$K$3:$K$5000),0)*IFERROR(SUMIFS(INPUT!$E$3:$E$5000,INPUT!$A$3:$A$5000,INPUT!$H$3:$H$5000,INPUT!$C$3:$C$5000,INPUT!$I$3:$I$5000),0)),"")</f>
        <v>0</v>
      </c>
      <c r="AY28" s="160" cm="1">
        <f t="array" ref="AY28">IFERROR(SUMPRODUCT((INPUT!$H$3:$H$5000&gt;=AY$3)*(INPUT!$H$3:$H$5000&lt;=AY$3+6)*(INPUT!$J$3:$J$5000="J24")*ISNUMBER(INPUT!$K$3:$K$5000)*IFERROR(VALUE(INPUT!$K$3:$K$5000),0)*IFERROR(SUMIFS(INPUT!$E$3:$E$5000,INPUT!$A$3:$A$5000,INPUT!$H$3:$H$5000,INPUT!$C$3:$C$5000,INPUT!$I$3:$I$5000),0)),"")</f>
        <v>0</v>
      </c>
      <c r="AZ28" s="160" cm="1">
        <f t="array" ref="AZ28">IFERROR(SUMPRODUCT((INPUT!$H$3:$H$5000&gt;=AZ$3)*(INPUT!$H$3:$H$5000&lt;=AZ$3+6)*(INPUT!$J$3:$J$5000="J24")*ISNUMBER(INPUT!$K$3:$K$5000)*IFERROR(VALUE(INPUT!$K$3:$K$5000),0)*IFERROR(SUMIFS(INPUT!$E$3:$E$5000,INPUT!$A$3:$A$5000,INPUT!$H$3:$H$5000,INPUT!$C$3:$C$5000,INPUT!$I$3:$I$5000),0)),"")</f>
        <v>0</v>
      </c>
      <c r="BA28" s="160" cm="1">
        <f t="array" ref="BA28">IFERROR(SUMPRODUCT((INPUT!$H$3:$H$5000&gt;=BA$3)*(INPUT!$H$3:$H$5000&lt;=BA$3+6)*(INPUT!$J$3:$J$5000="J24")*ISNUMBER(INPUT!$K$3:$K$5000)*IFERROR(VALUE(INPUT!$K$3:$K$5000),0)*IFERROR(SUMIFS(INPUT!$E$3:$E$5000,INPUT!$A$3:$A$5000,INPUT!$H$3:$H$5000,INPUT!$C$3:$C$5000,INPUT!$I$3:$I$5000),0)),"")</f>
        <v>0</v>
      </c>
      <c r="BB28" s="161" cm="1">
        <f t="array" ref="BB28">IFERROR(SUMPRODUCT((INPUT!$H$3:$H$5000&gt;=BB$3)*(INPUT!$H$3:$H$5000&lt;=BB$3+6)*(INPUT!$J$3:$J$5000="J24")*ISNUMBER(INPUT!$K$3:$K$5000)*IFERROR(VALUE(INPUT!$K$3:$K$5000),0)*IFERROR(SUMIFS(INPUT!$E$3:$E$5000,INPUT!$A$3:$A$5000,INPUT!$H$3:$H$5000,INPUT!$C$3:$C$5000,INPUT!$I$3:$I$5000),0)),"")</f>
        <v>0</v>
      </c>
    </row>
    <row r="29" spans="1:54" ht="17" thickBot="1" x14ac:dyDescent="0.25">
      <c r="A29" s="63">
        <v>25</v>
      </c>
      <c r="B29" s="10" t="s">
        <v>89</v>
      </c>
      <c r="C29" s="162" cm="1">
        <f t="array" ref="C29">IFERROR(SUMPRODUCT((INPUT!$H$3:$H$5000&gt;=C$3)*(INPUT!$H$3:$H$5000&lt;=C$3+6)*(INPUT!$J$3:$J$5000="J25")*ISNUMBER(INPUT!$K$3:$K$5000)*IFERROR(VALUE(INPUT!$K$3:$K$5000),0)*IFERROR(SUMIFS(INPUT!$E$3:$E$5000,INPUT!$A$3:$A$5000,INPUT!$H$3:$H$5000,INPUT!$C$3:$C$5000,INPUT!$I$3:$I$5000),0)),"")</f>
        <v>0</v>
      </c>
      <c r="D29" s="162" cm="1">
        <f t="array" ref="D29">IFERROR(SUMPRODUCT((INPUT!$H$3:$H$5000&gt;=D$3)*(INPUT!$H$3:$H$5000&lt;=D$3+6)*(INPUT!$J$3:$J$5000="J25")*ISNUMBER(INPUT!$K$3:$K$5000)*IFERROR(VALUE(INPUT!$K$3:$K$5000),0)*IFERROR(SUMIFS(INPUT!$E$3:$E$5000,INPUT!$A$3:$A$5000,INPUT!$H$3:$H$5000,INPUT!$C$3:$C$5000,INPUT!$I$3:$I$5000),0)),"")</f>
        <v>0</v>
      </c>
      <c r="E29" s="162" cm="1">
        <f t="array" ref="E29">IFERROR(SUMPRODUCT((INPUT!$H$3:$H$5000&gt;=E$3)*(INPUT!$H$3:$H$5000&lt;=E$3+6)*(INPUT!$J$3:$J$5000="J25")*ISNUMBER(INPUT!$K$3:$K$5000)*IFERROR(VALUE(INPUT!$K$3:$K$5000),0)*IFERROR(SUMIFS(INPUT!$E$3:$E$5000,INPUT!$A$3:$A$5000,INPUT!$H$3:$H$5000,INPUT!$C$3:$C$5000,INPUT!$I$3:$I$5000),0)),"")</f>
        <v>0</v>
      </c>
      <c r="F29" s="162" cm="1">
        <f t="array" ref="F29">IFERROR(SUMPRODUCT((INPUT!$H$3:$H$5000&gt;=F$3)*(INPUT!$H$3:$H$5000&lt;=F$3+6)*(INPUT!$J$3:$J$5000="J25")*ISNUMBER(INPUT!$K$3:$K$5000)*IFERROR(VALUE(INPUT!$K$3:$K$5000),0)*IFERROR(SUMIFS(INPUT!$E$3:$E$5000,INPUT!$A$3:$A$5000,INPUT!$H$3:$H$5000,INPUT!$C$3:$C$5000,INPUT!$I$3:$I$5000),0)),"")</f>
        <v>0</v>
      </c>
      <c r="G29" s="162" cm="1">
        <f t="array" ref="G29">IFERROR(SUMPRODUCT((INPUT!$H$3:$H$5000&gt;=G$3)*(INPUT!$H$3:$H$5000&lt;=G$3+6)*(INPUT!$J$3:$J$5000="J25")*ISNUMBER(INPUT!$K$3:$K$5000)*IFERROR(VALUE(INPUT!$K$3:$K$5000),0)*IFERROR(SUMIFS(INPUT!$E$3:$E$5000,INPUT!$A$3:$A$5000,INPUT!$H$3:$H$5000,INPUT!$C$3:$C$5000,INPUT!$I$3:$I$5000),0)),"")</f>
        <v>0</v>
      </c>
      <c r="H29" s="162" cm="1">
        <f t="array" ref="H29">IFERROR(SUMPRODUCT((INPUT!$H$3:$H$5000&gt;=H$3)*(INPUT!$H$3:$H$5000&lt;=H$3+6)*(INPUT!$J$3:$J$5000="J25")*ISNUMBER(INPUT!$K$3:$K$5000)*IFERROR(VALUE(INPUT!$K$3:$K$5000),0)*IFERROR(SUMIFS(INPUT!$E$3:$E$5000,INPUT!$A$3:$A$5000,INPUT!$H$3:$H$5000,INPUT!$C$3:$C$5000,INPUT!$I$3:$I$5000),0)),"")</f>
        <v>0</v>
      </c>
      <c r="I29" s="162" cm="1">
        <f t="array" ref="I29">IFERROR(SUMPRODUCT((INPUT!$H$3:$H$5000&gt;=I$3)*(INPUT!$H$3:$H$5000&lt;=I$3+6)*(INPUT!$J$3:$J$5000="J25")*ISNUMBER(INPUT!$K$3:$K$5000)*IFERROR(VALUE(INPUT!$K$3:$K$5000),0)*IFERROR(SUMIFS(INPUT!$E$3:$E$5000,INPUT!$A$3:$A$5000,INPUT!$H$3:$H$5000,INPUT!$C$3:$C$5000,INPUT!$I$3:$I$5000),0)),"")</f>
        <v>0</v>
      </c>
      <c r="J29" s="162" cm="1">
        <f t="array" ref="J29">IFERROR(SUMPRODUCT((INPUT!$H$3:$H$5000&gt;=J$3)*(INPUT!$H$3:$H$5000&lt;=J$3+6)*(INPUT!$J$3:$J$5000="J25")*ISNUMBER(INPUT!$K$3:$K$5000)*IFERROR(VALUE(INPUT!$K$3:$K$5000),0)*IFERROR(SUMIFS(INPUT!$E$3:$E$5000,INPUT!$A$3:$A$5000,INPUT!$H$3:$H$5000,INPUT!$C$3:$C$5000,INPUT!$I$3:$I$5000),0)),"")</f>
        <v>0</v>
      </c>
      <c r="K29" s="162" cm="1">
        <f t="array" ref="K29">IFERROR(SUMPRODUCT((INPUT!$H$3:$H$5000&gt;=K$3)*(INPUT!$H$3:$H$5000&lt;=K$3+6)*(INPUT!$J$3:$J$5000="J25")*ISNUMBER(INPUT!$K$3:$K$5000)*IFERROR(VALUE(INPUT!$K$3:$K$5000),0)*IFERROR(SUMIFS(INPUT!$E$3:$E$5000,INPUT!$A$3:$A$5000,INPUT!$H$3:$H$5000,INPUT!$C$3:$C$5000,INPUT!$I$3:$I$5000),0)),"")</f>
        <v>0</v>
      </c>
      <c r="L29" s="162" cm="1">
        <f t="array" ref="L29">IFERROR(SUMPRODUCT((INPUT!$H$3:$H$5000&gt;=L$3)*(INPUT!$H$3:$H$5000&lt;=L$3+6)*(INPUT!$J$3:$J$5000="J25")*ISNUMBER(INPUT!$K$3:$K$5000)*IFERROR(VALUE(INPUT!$K$3:$K$5000),0)*IFERROR(SUMIFS(INPUT!$E$3:$E$5000,INPUT!$A$3:$A$5000,INPUT!$H$3:$H$5000,INPUT!$C$3:$C$5000,INPUT!$I$3:$I$5000),0)),"")</f>
        <v>0</v>
      </c>
      <c r="M29" s="162" cm="1">
        <f t="array" ref="M29">IFERROR(SUMPRODUCT((INPUT!$H$3:$H$5000&gt;=M$3)*(INPUT!$H$3:$H$5000&lt;=M$3+6)*(INPUT!$J$3:$J$5000="J25")*ISNUMBER(INPUT!$K$3:$K$5000)*IFERROR(VALUE(INPUT!$K$3:$K$5000),0)*IFERROR(SUMIFS(INPUT!$E$3:$E$5000,INPUT!$A$3:$A$5000,INPUT!$H$3:$H$5000,INPUT!$C$3:$C$5000,INPUT!$I$3:$I$5000),0)),"")</f>
        <v>0</v>
      </c>
      <c r="N29" s="162" cm="1">
        <f t="array" ref="N29">IFERROR(SUMPRODUCT((INPUT!$H$3:$H$5000&gt;=N$3)*(INPUT!$H$3:$H$5000&lt;=N$3+6)*(INPUT!$J$3:$J$5000="J25")*ISNUMBER(INPUT!$K$3:$K$5000)*IFERROR(VALUE(INPUT!$K$3:$K$5000),0)*IFERROR(SUMIFS(INPUT!$E$3:$E$5000,INPUT!$A$3:$A$5000,INPUT!$H$3:$H$5000,INPUT!$C$3:$C$5000,INPUT!$I$3:$I$5000),0)),"")</f>
        <v>0</v>
      </c>
      <c r="O29" s="162" cm="1">
        <f t="array" ref="O29">IFERROR(SUMPRODUCT((INPUT!$H$3:$H$5000&gt;=O$3)*(INPUT!$H$3:$H$5000&lt;=O$3+6)*(INPUT!$J$3:$J$5000="J25")*ISNUMBER(INPUT!$K$3:$K$5000)*IFERROR(VALUE(INPUT!$K$3:$K$5000),0)*IFERROR(SUMIFS(INPUT!$E$3:$E$5000,INPUT!$A$3:$A$5000,INPUT!$H$3:$H$5000,INPUT!$C$3:$C$5000,INPUT!$I$3:$I$5000),0)),"")</f>
        <v>0</v>
      </c>
      <c r="P29" s="162" cm="1">
        <f t="array" ref="P29">IFERROR(SUMPRODUCT((INPUT!$H$3:$H$5000&gt;=P$3)*(INPUT!$H$3:$H$5000&lt;=P$3+6)*(INPUT!$J$3:$J$5000="J25")*ISNUMBER(INPUT!$K$3:$K$5000)*IFERROR(VALUE(INPUT!$K$3:$K$5000),0)*IFERROR(SUMIFS(INPUT!$E$3:$E$5000,INPUT!$A$3:$A$5000,INPUT!$H$3:$H$5000,INPUT!$C$3:$C$5000,INPUT!$I$3:$I$5000),0)),"")</f>
        <v>0</v>
      </c>
      <c r="Q29" s="162" cm="1">
        <f t="array" ref="Q29">IFERROR(SUMPRODUCT((INPUT!$H$3:$H$5000&gt;=Q$3)*(INPUT!$H$3:$H$5000&lt;=Q$3+6)*(INPUT!$J$3:$J$5000="J25")*ISNUMBER(INPUT!$K$3:$K$5000)*IFERROR(VALUE(INPUT!$K$3:$K$5000),0)*IFERROR(SUMIFS(INPUT!$E$3:$E$5000,INPUT!$A$3:$A$5000,INPUT!$H$3:$H$5000,INPUT!$C$3:$C$5000,INPUT!$I$3:$I$5000),0)),"")</f>
        <v>0</v>
      </c>
      <c r="R29" s="162" cm="1">
        <f t="array" ref="R29">IFERROR(SUMPRODUCT((INPUT!$H$3:$H$5000&gt;=R$3)*(INPUT!$H$3:$H$5000&lt;=R$3+6)*(INPUT!$J$3:$J$5000="J25")*ISNUMBER(INPUT!$K$3:$K$5000)*IFERROR(VALUE(INPUT!$K$3:$K$5000),0)*IFERROR(SUMIFS(INPUT!$E$3:$E$5000,INPUT!$A$3:$A$5000,INPUT!$H$3:$H$5000,INPUT!$C$3:$C$5000,INPUT!$I$3:$I$5000),0)),"")</f>
        <v>0</v>
      </c>
      <c r="S29" s="162" cm="1">
        <f t="array" ref="S29">IFERROR(SUMPRODUCT((INPUT!$H$3:$H$5000&gt;=S$3)*(INPUT!$H$3:$H$5000&lt;=S$3+6)*(INPUT!$J$3:$J$5000="J25")*ISNUMBER(INPUT!$K$3:$K$5000)*IFERROR(VALUE(INPUT!$K$3:$K$5000),0)*IFERROR(SUMIFS(INPUT!$E$3:$E$5000,INPUT!$A$3:$A$5000,INPUT!$H$3:$H$5000,INPUT!$C$3:$C$5000,INPUT!$I$3:$I$5000),0)),"")</f>
        <v>0</v>
      </c>
      <c r="T29" s="162" cm="1">
        <f t="array" ref="T29">IFERROR(SUMPRODUCT((INPUT!$H$3:$H$5000&gt;=T$3)*(INPUT!$H$3:$H$5000&lt;=T$3+6)*(INPUT!$J$3:$J$5000="J25")*ISNUMBER(INPUT!$K$3:$K$5000)*IFERROR(VALUE(INPUT!$K$3:$K$5000),0)*IFERROR(SUMIFS(INPUT!$E$3:$E$5000,INPUT!$A$3:$A$5000,INPUT!$H$3:$H$5000,INPUT!$C$3:$C$5000,INPUT!$I$3:$I$5000),0)),"")</f>
        <v>0</v>
      </c>
      <c r="U29" s="162" cm="1">
        <f t="array" ref="U29">IFERROR(SUMPRODUCT((INPUT!$H$3:$H$5000&gt;=U$3)*(INPUT!$H$3:$H$5000&lt;=U$3+6)*(INPUT!$J$3:$J$5000="J25")*ISNUMBER(INPUT!$K$3:$K$5000)*IFERROR(VALUE(INPUT!$K$3:$K$5000),0)*IFERROR(SUMIFS(INPUT!$E$3:$E$5000,INPUT!$A$3:$A$5000,INPUT!$H$3:$H$5000,INPUT!$C$3:$C$5000,INPUT!$I$3:$I$5000),0)),"")</f>
        <v>0</v>
      </c>
      <c r="V29" s="162" cm="1">
        <f t="array" ref="V29">IFERROR(SUMPRODUCT((INPUT!$H$3:$H$5000&gt;=V$3)*(INPUT!$H$3:$H$5000&lt;=V$3+6)*(INPUT!$J$3:$J$5000="J25")*ISNUMBER(INPUT!$K$3:$K$5000)*IFERROR(VALUE(INPUT!$K$3:$K$5000),0)*IFERROR(SUMIFS(INPUT!$E$3:$E$5000,INPUT!$A$3:$A$5000,INPUT!$H$3:$H$5000,INPUT!$C$3:$C$5000,INPUT!$I$3:$I$5000),0)),"")</f>
        <v>0</v>
      </c>
      <c r="W29" s="162" cm="1">
        <f t="array" ref="W29">IFERROR(SUMPRODUCT((INPUT!$H$3:$H$5000&gt;=W$3)*(INPUT!$H$3:$H$5000&lt;=W$3+6)*(INPUT!$J$3:$J$5000="J25")*ISNUMBER(INPUT!$K$3:$K$5000)*IFERROR(VALUE(INPUT!$K$3:$K$5000),0)*IFERROR(SUMIFS(INPUT!$E$3:$E$5000,INPUT!$A$3:$A$5000,INPUT!$H$3:$H$5000,INPUT!$C$3:$C$5000,INPUT!$I$3:$I$5000),0)),"")</f>
        <v>0</v>
      </c>
      <c r="X29" s="162" cm="1">
        <f t="array" ref="X29">IFERROR(SUMPRODUCT((INPUT!$H$3:$H$5000&gt;=X$3)*(INPUT!$H$3:$H$5000&lt;=X$3+6)*(INPUT!$J$3:$J$5000="J25")*ISNUMBER(INPUT!$K$3:$K$5000)*IFERROR(VALUE(INPUT!$K$3:$K$5000),0)*IFERROR(SUMIFS(INPUT!$E$3:$E$5000,INPUT!$A$3:$A$5000,INPUT!$H$3:$H$5000,INPUT!$C$3:$C$5000,INPUT!$I$3:$I$5000),0)),"")</f>
        <v>0</v>
      </c>
      <c r="Y29" s="162" cm="1">
        <f t="array" ref="Y29">IFERROR(SUMPRODUCT((INPUT!$H$3:$H$5000&gt;=Y$3)*(INPUT!$H$3:$H$5000&lt;=Y$3+6)*(INPUT!$J$3:$J$5000="J25")*ISNUMBER(INPUT!$K$3:$K$5000)*IFERROR(VALUE(INPUT!$K$3:$K$5000),0)*IFERROR(SUMIFS(INPUT!$E$3:$E$5000,INPUT!$A$3:$A$5000,INPUT!$H$3:$H$5000,INPUT!$C$3:$C$5000,INPUT!$I$3:$I$5000),0)),"")</f>
        <v>0</v>
      </c>
      <c r="Z29" s="162" cm="1">
        <f t="array" ref="Z29">IFERROR(SUMPRODUCT((INPUT!$H$3:$H$5000&gt;=Z$3)*(INPUT!$H$3:$H$5000&lt;=Z$3+6)*(INPUT!$J$3:$J$5000="J25")*ISNUMBER(INPUT!$K$3:$K$5000)*IFERROR(VALUE(INPUT!$K$3:$K$5000),0)*IFERROR(SUMIFS(INPUT!$E$3:$E$5000,INPUT!$A$3:$A$5000,INPUT!$H$3:$H$5000,INPUT!$C$3:$C$5000,INPUT!$I$3:$I$5000),0)),"")</f>
        <v>0</v>
      </c>
      <c r="AA29" s="162" cm="1">
        <f t="array" ref="AA29">IFERROR(SUMPRODUCT((INPUT!$H$3:$H$5000&gt;=AA$3)*(INPUT!$H$3:$H$5000&lt;=AA$3+6)*(INPUT!$J$3:$J$5000="J25")*ISNUMBER(INPUT!$K$3:$K$5000)*IFERROR(VALUE(INPUT!$K$3:$K$5000),0)*IFERROR(SUMIFS(INPUT!$E$3:$E$5000,INPUT!$A$3:$A$5000,INPUT!$H$3:$H$5000,INPUT!$C$3:$C$5000,INPUT!$I$3:$I$5000),0)),"")</f>
        <v>0</v>
      </c>
      <c r="AB29" s="162" cm="1">
        <f t="array" ref="AB29">IFERROR(SUMPRODUCT((INPUT!$H$3:$H$5000&gt;=AB$3)*(INPUT!$H$3:$H$5000&lt;=AB$3+6)*(INPUT!$J$3:$J$5000="J25")*ISNUMBER(INPUT!$K$3:$K$5000)*IFERROR(VALUE(INPUT!$K$3:$K$5000),0)*IFERROR(SUMIFS(INPUT!$E$3:$E$5000,INPUT!$A$3:$A$5000,INPUT!$H$3:$H$5000,INPUT!$C$3:$C$5000,INPUT!$I$3:$I$5000),0)),"")</f>
        <v>0</v>
      </c>
      <c r="AC29" s="162" cm="1">
        <f t="array" ref="AC29">IFERROR(SUMPRODUCT((INPUT!$H$3:$H$5000&gt;=AC$3)*(INPUT!$H$3:$H$5000&lt;=AC$3+6)*(INPUT!$J$3:$J$5000="J25")*ISNUMBER(INPUT!$K$3:$K$5000)*IFERROR(VALUE(INPUT!$K$3:$K$5000),0)*IFERROR(SUMIFS(INPUT!$E$3:$E$5000,INPUT!$A$3:$A$5000,INPUT!$H$3:$H$5000,INPUT!$C$3:$C$5000,INPUT!$I$3:$I$5000),0)),"")</f>
        <v>0</v>
      </c>
      <c r="AD29" s="162" cm="1">
        <f t="array" ref="AD29">IFERROR(SUMPRODUCT((INPUT!$H$3:$H$5000&gt;=AD$3)*(INPUT!$H$3:$H$5000&lt;=AD$3+6)*(INPUT!$J$3:$J$5000="J25")*ISNUMBER(INPUT!$K$3:$K$5000)*IFERROR(VALUE(INPUT!$K$3:$K$5000),0)*IFERROR(SUMIFS(INPUT!$E$3:$E$5000,INPUT!$A$3:$A$5000,INPUT!$H$3:$H$5000,INPUT!$C$3:$C$5000,INPUT!$I$3:$I$5000),0)),"")</f>
        <v>0</v>
      </c>
      <c r="AE29" s="162" cm="1">
        <f t="array" ref="AE29">IFERROR(SUMPRODUCT((INPUT!$H$3:$H$5000&gt;=AE$3)*(INPUT!$H$3:$H$5000&lt;=AE$3+6)*(INPUT!$J$3:$J$5000="J25")*ISNUMBER(INPUT!$K$3:$K$5000)*IFERROR(VALUE(INPUT!$K$3:$K$5000),0)*IFERROR(SUMIFS(INPUT!$E$3:$E$5000,INPUT!$A$3:$A$5000,INPUT!$H$3:$H$5000,INPUT!$C$3:$C$5000,INPUT!$I$3:$I$5000),0)),"")</f>
        <v>0</v>
      </c>
      <c r="AF29" s="162" cm="1">
        <f t="array" ref="AF29">IFERROR(SUMPRODUCT((INPUT!$H$3:$H$5000&gt;=AF$3)*(INPUT!$H$3:$H$5000&lt;=AF$3+6)*(INPUT!$J$3:$J$5000="J25")*ISNUMBER(INPUT!$K$3:$K$5000)*IFERROR(VALUE(INPUT!$K$3:$K$5000),0)*IFERROR(SUMIFS(INPUT!$E$3:$E$5000,INPUT!$A$3:$A$5000,INPUT!$H$3:$H$5000,INPUT!$C$3:$C$5000,INPUT!$I$3:$I$5000),0)),"")</f>
        <v>0</v>
      </c>
      <c r="AG29" s="162" cm="1">
        <f t="array" ref="AG29">IFERROR(SUMPRODUCT((INPUT!$H$3:$H$5000&gt;=AG$3)*(INPUT!$H$3:$H$5000&lt;=AG$3+6)*(INPUT!$J$3:$J$5000="J25")*ISNUMBER(INPUT!$K$3:$K$5000)*IFERROR(VALUE(INPUT!$K$3:$K$5000),0)*IFERROR(SUMIFS(INPUT!$E$3:$E$5000,INPUT!$A$3:$A$5000,INPUT!$H$3:$H$5000,INPUT!$C$3:$C$5000,INPUT!$I$3:$I$5000),0)),"")</f>
        <v>0</v>
      </c>
      <c r="AH29" s="162" cm="1">
        <f t="array" ref="AH29">IFERROR(SUMPRODUCT((INPUT!$H$3:$H$5000&gt;=AH$3)*(INPUT!$H$3:$H$5000&lt;=AH$3+6)*(INPUT!$J$3:$J$5000="J25")*ISNUMBER(INPUT!$K$3:$K$5000)*IFERROR(VALUE(INPUT!$K$3:$K$5000),0)*IFERROR(SUMIFS(INPUT!$E$3:$E$5000,INPUT!$A$3:$A$5000,INPUT!$H$3:$H$5000,INPUT!$C$3:$C$5000,INPUT!$I$3:$I$5000),0)),"")</f>
        <v>0</v>
      </c>
      <c r="AI29" s="162" cm="1">
        <f t="array" ref="AI29">IFERROR(SUMPRODUCT((INPUT!$H$3:$H$5000&gt;=AI$3)*(INPUT!$H$3:$H$5000&lt;=AI$3+6)*(INPUT!$J$3:$J$5000="J25")*ISNUMBER(INPUT!$K$3:$K$5000)*IFERROR(VALUE(INPUT!$K$3:$K$5000),0)*IFERROR(SUMIFS(INPUT!$E$3:$E$5000,INPUT!$A$3:$A$5000,INPUT!$H$3:$H$5000,INPUT!$C$3:$C$5000,INPUT!$I$3:$I$5000),0)),"")</f>
        <v>0</v>
      </c>
      <c r="AJ29" s="162" cm="1">
        <f t="array" ref="AJ29">IFERROR(SUMPRODUCT((INPUT!$H$3:$H$5000&gt;=AJ$3)*(INPUT!$H$3:$H$5000&lt;=AJ$3+6)*(INPUT!$J$3:$J$5000="J25")*ISNUMBER(INPUT!$K$3:$K$5000)*IFERROR(VALUE(INPUT!$K$3:$K$5000),0)*IFERROR(SUMIFS(INPUT!$E$3:$E$5000,INPUT!$A$3:$A$5000,INPUT!$H$3:$H$5000,INPUT!$C$3:$C$5000,INPUT!$I$3:$I$5000),0)),"")</f>
        <v>0</v>
      </c>
      <c r="AK29" s="162" cm="1">
        <f t="array" ref="AK29">IFERROR(SUMPRODUCT((INPUT!$H$3:$H$5000&gt;=AK$3)*(INPUT!$H$3:$H$5000&lt;=AK$3+6)*(INPUT!$J$3:$J$5000="J25")*ISNUMBER(INPUT!$K$3:$K$5000)*IFERROR(VALUE(INPUT!$K$3:$K$5000),0)*IFERROR(SUMIFS(INPUT!$E$3:$E$5000,INPUT!$A$3:$A$5000,INPUT!$H$3:$H$5000,INPUT!$C$3:$C$5000,INPUT!$I$3:$I$5000),0)),"")</f>
        <v>0</v>
      </c>
      <c r="AL29" s="162" cm="1">
        <f t="array" ref="AL29">IFERROR(SUMPRODUCT((INPUT!$H$3:$H$5000&gt;=AL$3)*(INPUT!$H$3:$H$5000&lt;=AL$3+6)*(INPUT!$J$3:$J$5000="J25")*ISNUMBER(INPUT!$K$3:$K$5000)*IFERROR(VALUE(INPUT!$K$3:$K$5000),0)*IFERROR(SUMIFS(INPUT!$E$3:$E$5000,INPUT!$A$3:$A$5000,INPUT!$H$3:$H$5000,INPUT!$C$3:$C$5000,INPUT!$I$3:$I$5000),0)),"")</f>
        <v>0</v>
      </c>
      <c r="AM29" s="162" cm="1">
        <f t="array" ref="AM29">IFERROR(SUMPRODUCT((INPUT!$H$3:$H$5000&gt;=AM$3)*(INPUT!$H$3:$H$5000&lt;=AM$3+6)*(INPUT!$J$3:$J$5000="J25")*ISNUMBER(INPUT!$K$3:$K$5000)*IFERROR(VALUE(INPUT!$K$3:$K$5000),0)*IFERROR(SUMIFS(INPUT!$E$3:$E$5000,INPUT!$A$3:$A$5000,INPUT!$H$3:$H$5000,INPUT!$C$3:$C$5000,INPUT!$I$3:$I$5000),0)),"")</f>
        <v>0</v>
      </c>
      <c r="AN29" s="162" cm="1">
        <f t="array" ref="AN29">IFERROR(SUMPRODUCT((INPUT!$H$3:$H$5000&gt;=AN$3)*(INPUT!$H$3:$H$5000&lt;=AN$3+6)*(INPUT!$J$3:$J$5000="J25")*ISNUMBER(INPUT!$K$3:$K$5000)*IFERROR(VALUE(INPUT!$K$3:$K$5000),0)*IFERROR(SUMIFS(INPUT!$E$3:$E$5000,INPUT!$A$3:$A$5000,INPUT!$H$3:$H$5000,INPUT!$C$3:$C$5000,INPUT!$I$3:$I$5000),0)),"")</f>
        <v>0</v>
      </c>
      <c r="AO29" s="162" cm="1">
        <f t="array" ref="AO29">IFERROR(SUMPRODUCT((INPUT!$H$3:$H$5000&gt;=AO$3)*(INPUT!$H$3:$H$5000&lt;=AO$3+6)*(INPUT!$J$3:$J$5000="J25")*ISNUMBER(INPUT!$K$3:$K$5000)*IFERROR(VALUE(INPUT!$K$3:$K$5000),0)*IFERROR(SUMIFS(INPUT!$E$3:$E$5000,INPUT!$A$3:$A$5000,INPUT!$H$3:$H$5000,INPUT!$C$3:$C$5000,INPUT!$I$3:$I$5000),0)),"")</f>
        <v>0</v>
      </c>
      <c r="AP29" s="162" cm="1">
        <f t="array" ref="AP29">IFERROR(SUMPRODUCT((INPUT!$H$3:$H$5000&gt;=AP$3)*(INPUT!$H$3:$H$5000&lt;=AP$3+6)*(INPUT!$J$3:$J$5000="J25")*ISNUMBER(INPUT!$K$3:$K$5000)*IFERROR(VALUE(INPUT!$K$3:$K$5000),0)*IFERROR(SUMIFS(INPUT!$E$3:$E$5000,INPUT!$A$3:$A$5000,INPUT!$H$3:$H$5000,INPUT!$C$3:$C$5000,INPUT!$I$3:$I$5000),0)),"")</f>
        <v>0</v>
      </c>
      <c r="AQ29" s="162" cm="1">
        <f t="array" ref="AQ29">IFERROR(SUMPRODUCT((INPUT!$H$3:$H$5000&gt;=AQ$3)*(INPUT!$H$3:$H$5000&lt;=AQ$3+6)*(INPUT!$J$3:$J$5000="J25")*ISNUMBER(INPUT!$K$3:$K$5000)*IFERROR(VALUE(INPUT!$K$3:$K$5000),0)*IFERROR(SUMIFS(INPUT!$E$3:$E$5000,INPUT!$A$3:$A$5000,INPUT!$H$3:$H$5000,INPUT!$C$3:$C$5000,INPUT!$I$3:$I$5000),0)),"")</f>
        <v>0</v>
      </c>
      <c r="AR29" s="162" cm="1">
        <f t="array" ref="AR29">IFERROR(SUMPRODUCT((INPUT!$H$3:$H$5000&gt;=AR$3)*(INPUT!$H$3:$H$5000&lt;=AR$3+6)*(INPUT!$J$3:$J$5000="J25")*ISNUMBER(INPUT!$K$3:$K$5000)*IFERROR(VALUE(INPUT!$K$3:$K$5000),0)*IFERROR(SUMIFS(INPUT!$E$3:$E$5000,INPUT!$A$3:$A$5000,INPUT!$H$3:$H$5000,INPUT!$C$3:$C$5000,INPUT!$I$3:$I$5000),0)),"")</f>
        <v>0</v>
      </c>
      <c r="AS29" s="162" cm="1">
        <f t="array" ref="AS29">IFERROR(SUMPRODUCT((INPUT!$H$3:$H$5000&gt;=AS$3)*(INPUT!$H$3:$H$5000&lt;=AS$3+6)*(INPUT!$J$3:$J$5000="J25")*ISNUMBER(INPUT!$K$3:$K$5000)*IFERROR(VALUE(INPUT!$K$3:$K$5000),0)*IFERROR(SUMIFS(INPUT!$E$3:$E$5000,INPUT!$A$3:$A$5000,INPUT!$H$3:$H$5000,INPUT!$C$3:$C$5000,INPUT!$I$3:$I$5000),0)),"")</f>
        <v>0</v>
      </c>
      <c r="AT29" s="162" cm="1">
        <f t="array" ref="AT29">IFERROR(SUMPRODUCT((INPUT!$H$3:$H$5000&gt;=AT$3)*(INPUT!$H$3:$H$5000&lt;=AT$3+6)*(INPUT!$J$3:$J$5000="J25")*ISNUMBER(INPUT!$K$3:$K$5000)*IFERROR(VALUE(INPUT!$K$3:$K$5000),0)*IFERROR(SUMIFS(INPUT!$E$3:$E$5000,INPUT!$A$3:$A$5000,INPUT!$H$3:$H$5000,INPUT!$C$3:$C$5000,INPUT!$I$3:$I$5000),0)),"")</f>
        <v>0</v>
      </c>
      <c r="AU29" s="162" cm="1">
        <f t="array" ref="AU29">IFERROR(SUMPRODUCT((INPUT!$H$3:$H$5000&gt;=AU$3)*(INPUT!$H$3:$H$5000&lt;=AU$3+6)*(INPUT!$J$3:$J$5000="J25")*ISNUMBER(INPUT!$K$3:$K$5000)*IFERROR(VALUE(INPUT!$K$3:$K$5000),0)*IFERROR(SUMIFS(INPUT!$E$3:$E$5000,INPUT!$A$3:$A$5000,INPUT!$H$3:$H$5000,INPUT!$C$3:$C$5000,INPUT!$I$3:$I$5000),0)),"")</f>
        <v>0</v>
      </c>
      <c r="AV29" s="162" cm="1">
        <f t="array" ref="AV29">IFERROR(SUMPRODUCT((INPUT!$H$3:$H$5000&gt;=AV$3)*(INPUT!$H$3:$H$5000&lt;=AV$3+6)*(INPUT!$J$3:$J$5000="J25")*ISNUMBER(INPUT!$K$3:$K$5000)*IFERROR(VALUE(INPUT!$K$3:$K$5000),0)*IFERROR(SUMIFS(INPUT!$E$3:$E$5000,INPUT!$A$3:$A$5000,INPUT!$H$3:$H$5000,INPUT!$C$3:$C$5000,INPUT!$I$3:$I$5000),0)),"")</f>
        <v>0</v>
      </c>
      <c r="AW29" s="162" cm="1">
        <f t="array" ref="AW29">IFERROR(SUMPRODUCT((INPUT!$H$3:$H$5000&gt;=AW$3)*(INPUT!$H$3:$H$5000&lt;=AW$3+6)*(INPUT!$J$3:$J$5000="J25")*ISNUMBER(INPUT!$K$3:$K$5000)*IFERROR(VALUE(INPUT!$K$3:$K$5000),0)*IFERROR(SUMIFS(INPUT!$E$3:$E$5000,INPUT!$A$3:$A$5000,INPUT!$H$3:$H$5000,INPUT!$C$3:$C$5000,INPUT!$I$3:$I$5000),0)),"")</f>
        <v>0</v>
      </c>
      <c r="AX29" s="162" cm="1">
        <f t="array" ref="AX29">IFERROR(SUMPRODUCT((INPUT!$H$3:$H$5000&gt;=AX$3)*(INPUT!$H$3:$H$5000&lt;=AX$3+6)*(INPUT!$J$3:$J$5000="J25")*ISNUMBER(INPUT!$K$3:$K$5000)*IFERROR(VALUE(INPUT!$K$3:$K$5000),0)*IFERROR(SUMIFS(INPUT!$E$3:$E$5000,INPUT!$A$3:$A$5000,INPUT!$H$3:$H$5000,INPUT!$C$3:$C$5000,INPUT!$I$3:$I$5000),0)),"")</f>
        <v>0</v>
      </c>
      <c r="AY29" s="162" cm="1">
        <f t="array" ref="AY29">IFERROR(SUMPRODUCT((INPUT!$H$3:$H$5000&gt;=AY$3)*(INPUT!$H$3:$H$5000&lt;=AY$3+6)*(INPUT!$J$3:$J$5000="J25")*ISNUMBER(INPUT!$K$3:$K$5000)*IFERROR(VALUE(INPUT!$K$3:$K$5000),0)*IFERROR(SUMIFS(INPUT!$E$3:$E$5000,INPUT!$A$3:$A$5000,INPUT!$H$3:$H$5000,INPUT!$C$3:$C$5000,INPUT!$I$3:$I$5000),0)),"")</f>
        <v>0</v>
      </c>
      <c r="AZ29" s="162" cm="1">
        <f t="array" ref="AZ29">IFERROR(SUMPRODUCT((INPUT!$H$3:$H$5000&gt;=AZ$3)*(INPUT!$H$3:$H$5000&lt;=AZ$3+6)*(INPUT!$J$3:$J$5000="J25")*ISNUMBER(INPUT!$K$3:$K$5000)*IFERROR(VALUE(INPUT!$K$3:$K$5000),0)*IFERROR(SUMIFS(INPUT!$E$3:$E$5000,INPUT!$A$3:$A$5000,INPUT!$H$3:$H$5000,INPUT!$C$3:$C$5000,INPUT!$I$3:$I$5000),0)),"")</f>
        <v>0</v>
      </c>
      <c r="BA29" s="162" cm="1">
        <f t="array" ref="BA29">IFERROR(SUMPRODUCT((INPUT!$H$3:$H$5000&gt;=BA$3)*(INPUT!$H$3:$H$5000&lt;=BA$3+6)*(INPUT!$J$3:$J$5000="J25")*ISNUMBER(INPUT!$K$3:$K$5000)*IFERROR(VALUE(INPUT!$K$3:$K$5000),0)*IFERROR(SUMIFS(INPUT!$E$3:$E$5000,INPUT!$A$3:$A$5000,INPUT!$H$3:$H$5000,INPUT!$C$3:$C$5000,INPUT!$I$3:$I$5000),0)),"")</f>
        <v>0</v>
      </c>
      <c r="BB29" s="163" cm="1">
        <f t="array" ref="BB29">IFERROR(SUMPRODUCT((INPUT!$H$3:$H$5000&gt;=BB$3)*(INPUT!$H$3:$H$5000&lt;=BB$3+6)*(INPUT!$J$3:$J$5000="J25")*ISNUMBER(INPUT!$K$3:$K$5000)*IFERROR(VALUE(INPUT!$K$3:$K$5000),0)*IFERROR(SUMIFS(INPUT!$E$3:$E$5000,INPUT!$A$3:$A$5000,INPUT!$H$3:$H$5000,INPUT!$C$3:$C$5000,INPUT!$I$3:$I$5000),0)),"")</f>
        <v>0</v>
      </c>
    </row>
    <row r="30" spans="1:54" x14ac:dyDescent="0.2">
      <c r="A30" s="128"/>
      <c r="B30" s="164" t="s">
        <v>194</v>
      </c>
      <c r="C30" s="165">
        <f>IFERROR(AVERAGEIFS(C8:C29,C8:C29,"&gt;0"),0)</f>
        <v>4682.1428571428569</v>
      </c>
      <c r="D30" s="166">
        <f>IFERROR(AVERAGEIFS(D8:D29,D8:D29,"&gt;0"),0)</f>
        <v>6344.2857142857147</v>
      </c>
      <c r="E30" s="166">
        <f>IFERROR(AVERAGEIFS(E8:E29,E8:E29,"&gt;0"),0)</f>
        <v>6437.6923076923076</v>
      </c>
      <c r="F30" s="166">
        <f>IFERROR(AVERAGEIFS(F8:F29,F8:F29,"&gt;0"),0)</f>
        <v>6390.7692307692305</v>
      </c>
      <c r="G30" s="166">
        <f>IFERROR(AVERAGEIFS(G8:G29,G8:G29,"&gt;0"),0)</f>
        <v>4601.25</v>
      </c>
      <c r="H30" s="166">
        <f>IFERROR(AVERAGEIFS(H8:H29,H8:H29,"&gt;0"),0)</f>
        <v>3754.5833333333335</v>
      </c>
      <c r="I30" s="166">
        <f>IFERROR(AVERAGEIFS(I8:I29,I8:I29,"&gt;0"),0)</f>
        <v>2306.7857142857142</v>
      </c>
      <c r="J30" s="166">
        <f>IFERROR(AVERAGEIFS(J8:J29,J8:J29,"&gt;0"),0)</f>
        <v>3386.6666666666665</v>
      </c>
      <c r="K30" s="166">
        <f>IFERROR(AVERAGEIFS(K8:K29,K8:K29,"&gt;0"),0)</f>
        <v>3948.4615384615386</v>
      </c>
      <c r="L30" s="166">
        <f>IFERROR(AVERAGEIFS(L8:L29,L8:L29,"&gt;0"),0)</f>
        <v>3620.3846153846152</v>
      </c>
      <c r="M30" s="166">
        <f>IFERROR(AVERAGEIFS(M8:M29,M8:M29,"&gt;0"),0)</f>
        <v>2749.5833333333335</v>
      </c>
      <c r="N30" s="166">
        <f>IFERROR(AVERAGEIFS(N8:N29,N8:N29,"&gt;0"),0)</f>
        <v>2885.7142857142858</v>
      </c>
      <c r="O30" s="166">
        <f>IFERROR(AVERAGEIFS(O8:O29,O8:O29,"&gt;0"),0)</f>
        <v>3844.6428571428573</v>
      </c>
      <c r="P30" s="166">
        <f>IFERROR(AVERAGEIFS(P8:P29,P8:P29,"&gt;0"),0)</f>
        <v>3392.8571428571427</v>
      </c>
      <c r="Q30" s="166">
        <f>IFERROR(AVERAGEIFS(Q8:Q29,Q8:Q29,"&gt;0"),0)</f>
        <v>2192.8571428571427</v>
      </c>
      <c r="R30" s="166">
        <f>IFERROR(AVERAGEIFS(R8:R29,R8:R29,"&gt;0"),0)</f>
        <v>3389.3333333333335</v>
      </c>
      <c r="S30" s="166">
        <f>IFERROR(AVERAGEIFS(S8:S29,S8:S29,"&gt;0"),0)</f>
        <v>2636.25</v>
      </c>
      <c r="T30" s="166">
        <f>IFERROR(AVERAGEIFS(T8:T29,T8:T29,"&gt;0"),0)</f>
        <v>2033.4615384615386</v>
      </c>
      <c r="U30" s="166">
        <f>IFERROR(AVERAGEIFS(U8:U29,U8:U29,"&gt;0"),0)</f>
        <v>4223.0769230769229</v>
      </c>
      <c r="V30" s="166">
        <f>IFERROR(AVERAGEIFS(V8:V29,V8:V29,"&gt;0"),0)</f>
        <v>2404.2307692307691</v>
      </c>
      <c r="W30" s="166">
        <f>IFERROR(AVERAGEIFS(W8:W29,W8:W29,"&gt;0"),0)</f>
        <v>2556</v>
      </c>
      <c r="X30" s="166">
        <f>IFERROR(AVERAGEIFS(X8:X29,X8:X29,"&gt;0"),0)</f>
        <v>2642.3076923076924</v>
      </c>
      <c r="Y30" s="166">
        <f>IFERROR(AVERAGEIFS(Y8:Y29,Y8:Y29,"&gt;0"),0)</f>
        <v>2779.2857142857142</v>
      </c>
      <c r="Z30" s="166">
        <f>IFERROR(AVERAGEIFS(Z8:Z29,Z8:Z29,"&gt;0"),0)</f>
        <v>2731.9230769230771</v>
      </c>
      <c r="AA30" s="166">
        <f>IFERROR(AVERAGEIFS(AA8:AA29,AA8:AA29,"&gt;0"),0)</f>
        <v>0</v>
      </c>
      <c r="AB30" s="166">
        <f>IFERROR(AVERAGEIFS(AB8:AB29,AB8:AB29,"&gt;0"),0)</f>
        <v>5709.090909090909</v>
      </c>
      <c r="AC30" s="166">
        <f>IFERROR(AVERAGEIFS(AC8:AC29,AC8:AC29,"&gt;0"),0)</f>
        <v>3730.909090909091</v>
      </c>
      <c r="AD30" s="166">
        <f>IFERROR(AVERAGEIFS(AD8:AD29,AD8:AD29,"&gt;0"),0)</f>
        <v>4835.833333333333</v>
      </c>
      <c r="AE30" s="166">
        <f>IFERROR(AVERAGEIFS(AE8:AE29,AE8:AE29,"&gt;0"),0)</f>
        <v>2803.4615384615386</v>
      </c>
      <c r="AF30" s="166">
        <f>IFERROR(AVERAGEIFS(AF8:AF29,AF8:AF29,"&gt;0"),0)</f>
        <v>2556.1538461538462</v>
      </c>
      <c r="AG30" s="166">
        <f>IFERROR(AVERAGEIFS(AG8:AG29,AG8:AG29,"&gt;0"),0)</f>
        <v>4902.5</v>
      </c>
      <c r="AH30" s="166">
        <f>IFERROR(AVERAGEIFS(AH8:AH29,AH8:AH29,"&gt;0"),0)</f>
        <v>2854</v>
      </c>
      <c r="AI30" s="166">
        <f>IFERROR(AVERAGEIFS(AI8:AI29,AI8:AI29,"&gt;0"),0)</f>
        <v>3240</v>
      </c>
      <c r="AJ30" s="166">
        <f>IFERROR(AVERAGEIFS(AJ8:AJ29,AJ8:AJ29,"&gt;0"),0)</f>
        <v>2551.5384615384614</v>
      </c>
      <c r="AK30" s="166">
        <f>IFERROR(AVERAGEIFS(AK8:AK29,AK8:AK29,"&gt;0"),0)</f>
        <v>3295.8333333333335</v>
      </c>
      <c r="AL30" s="166">
        <f>IFERROR(AVERAGEIFS(AL8:AL29,AL8:AL29,"&gt;0"),0)</f>
        <v>4081.0714285714284</v>
      </c>
      <c r="AM30" s="166">
        <f>IFERROR(AVERAGEIFS(AM8:AM29,AM8:AM29,"&gt;0"),0)</f>
        <v>3926.6666666666665</v>
      </c>
      <c r="AN30" s="166">
        <f>IFERROR(AVERAGEIFS(AN8:AN29,AN8:AN29,"&gt;0"),0)</f>
        <v>4005.3846153846152</v>
      </c>
      <c r="AO30" s="166">
        <f>IFERROR(AVERAGEIFS(AO8:AO29,AO8:AO29,"&gt;0"),0)</f>
        <v>0</v>
      </c>
      <c r="AP30" s="166">
        <f>IFERROR(AVERAGEIFS(AP8:AP29,AP8:AP29,"&gt;0"),0)</f>
        <v>0</v>
      </c>
      <c r="AQ30" s="166">
        <f>IFERROR(AVERAGEIFS(AQ8:AQ29,AQ8:AQ29,"&gt;0"),0)</f>
        <v>0</v>
      </c>
      <c r="AR30" s="166">
        <f>IFERROR(AVERAGEIFS(AR8:AR29,AR8:AR29,"&gt;0"),0)</f>
        <v>0</v>
      </c>
      <c r="AS30" s="166">
        <f>IFERROR(AVERAGEIFS(AS8:AS29,AS8:AS29,"&gt;0"),0)</f>
        <v>0</v>
      </c>
      <c r="AT30" s="166">
        <f>IFERROR(AVERAGEIFS(AT8:AT29,AT8:AT29,"&gt;0"),0)</f>
        <v>0</v>
      </c>
      <c r="AU30" s="166">
        <f>IFERROR(AVERAGEIFS(AU8:AU29,AU8:AU29,"&gt;0"),0)</f>
        <v>0</v>
      </c>
      <c r="AV30" s="166">
        <f>IFERROR(AVERAGEIFS(AV8:AV29,AV8:AV29,"&gt;0"),0)</f>
        <v>0</v>
      </c>
      <c r="AW30" s="166">
        <f>IFERROR(AVERAGEIFS(AW8:AW29,AW8:AW29,"&gt;0"),0)</f>
        <v>0</v>
      </c>
      <c r="AX30" s="166">
        <f>IFERROR(AVERAGEIFS(AX8:AX29,AX8:AX29,"&gt;0"),0)</f>
        <v>0</v>
      </c>
      <c r="AY30" s="166">
        <f>IFERROR(AVERAGEIFS(AY8:AY29,AY8:AY29,"&gt;0"),0)</f>
        <v>0</v>
      </c>
      <c r="AZ30" s="166">
        <f>IFERROR(AVERAGEIFS(AZ8:AZ29,AZ8:AZ29,"&gt;0"),0)</f>
        <v>0</v>
      </c>
      <c r="BA30" s="166">
        <f t="shared" ref="D30:BB30" si="1">IFERROR(AVERAGEIFS(BA5:BA29,BA5:BA29,"&gt;0"),0)</f>
        <v>0</v>
      </c>
      <c r="BB30" s="166">
        <f t="shared" si="1"/>
        <v>0</v>
      </c>
    </row>
  </sheetData>
  <sheetProtection sheet="1" objects="1" scenarios="1"/>
  <mergeCells count="2">
    <mergeCell ref="A1:BB1"/>
    <mergeCell ref="C2:J2"/>
  </mergeCells>
  <conditionalFormatting sqref="C5:BB29">
    <cfRule type="colorScale" priority="4">
      <colorScale>
        <cfvo type="num" val="60"/>
        <cfvo type="num" val="3920"/>
        <cfvo type="num" val="7780"/>
        <color rgb="FF63BE7B"/>
        <color rgb="FFFFEB84"/>
        <color rgb="FFF8696B"/>
      </colorScale>
    </cfRule>
  </conditionalFormatting>
  <conditionalFormatting sqref="C5:BB30">
    <cfRule type="cellIs" dxfId="35" priority="2" stopIfTrue="1" operator="equal">
      <formula>0</formula>
    </cfRule>
  </conditionalFormatting>
  <conditionalFormatting sqref="C30:BB30">
    <cfRule type="colorScale" priority="8">
      <colorScale>
        <cfvo type="num" val="1913.6666666666699"/>
        <cfvo type="num" val="4071.6862745098001"/>
        <cfvo type="num" val="6229.7058823529396"/>
        <color rgb="FF63BE7B"/>
        <color rgb="FFFFEB84"/>
        <color rgb="FFF8696B"/>
      </colorScale>
    </cfRule>
  </conditionalFormatting>
  <dataValidations count="1">
    <dataValidation type="whole" allowBlank="1" showInputMessage="1" showErrorMessage="1" sqref="B2" xr:uid="{70A67FAA-F9D4-F54A-8899-DF130C4B4746}">
      <formula1>2020</formula1>
      <formula2>2035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C840-DF59-EF4B-BDCB-9D3A22A62D49}">
  <sheetPr>
    <tabColor rgb="FF6A1B9A"/>
  </sheetPr>
  <dimension ref="A1:AM29"/>
  <sheetViews>
    <sheetView workbookViewId="0">
      <selection activeCell="I2" sqref="I2:L2"/>
    </sheetView>
  </sheetViews>
  <sheetFormatPr baseColWidth="10" defaultRowHeight="16" x14ac:dyDescent="0.2"/>
  <cols>
    <col min="1" max="1" width="5" customWidth="1"/>
    <col min="2" max="2" width="16.6640625" customWidth="1"/>
    <col min="3" max="6" width="5" customWidth="1"/>
    <col min="7" max="7" width="5.83203125" customWidth="1"/>
    <col min="8" max="11" width="5" customWidth="1"/>
    <col min="12" max="12" width="5.83203125" customWidth="1"/>
    <col min="13" max="16" width="5" customWidth="1"/>
    <col min="17" max="17" width="5.83203125" customWidth="1"/>
    <col min="18" max="21" width="5" customWidth="1"/>
    <col min="22" max="22" width="5.83203125" customWidth="1"/>
    <col min="23" max="26" width="5" customWidth="1"/>
    <col min="27" max="27" width="5.83203125" customWidth="1"/>
    <col min="28" max="31" width="5" customWidth="1"/>
    <col min="32" max="32" width="5.83203125" customWidth="1"/>
    <col min="33" max="36" width="5" customWidth="1"/>
    <col min="37" max="37" width="5.83203125" customWidth="1"/>
    <col min="38" max="38" width="6.83203125" bestFit="1" customWidth="1"/>
    <col min="39" max="39" width="5" customWidth="1"/>
  </cols>
  <sheetData>
    <row r="1" spans="1:39" ht="24" customHeight="1" x14ac:dyDescent="0.25">
      <c r="A1" s="259" t="s">
        <v>139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</row>
    <row r="2" spans="1:39" x14ac:dyDescent="0.2">
      <c r="A2" s="251" t="s">
        <v>90</v>
      </c>
      <c r="B2" s="252"/>
      <c r="C2" s="52">
        <f>IFERROR(_xlfn.ISOWEEKNUM(I2),"")</f>
        <v>34</v>
      </c>
      <c r="D2" s="253" t="s">
        <v>91</v>
      </c>
      <c r="E2" s="254"/>
      <c r="F2" s="53">
        <f>IFERROR(YEAR(I2),"")</f>
        <v>2025</v>
      </c>
      <c r="G2" s="255" t="s">
        <v>92</v>
      </c>
      <c r="H2" s="256"/>
      <c r="I2" s="257">
        <v>45887</v>
      </c>
      <c r="J2" s="258"/>
      <c r="K2" s="258"/>
      <c r="L2" s="258"/>
    </row>
    <row r="3" spans="1:39" x14ac:dyDescent="0.2">
      <c r="A3" s="3"/>
      <c r="B3" s="4"/>
      <c r="C3" s="260" t="str">
        <f>"LUN "&amp;TEXT($I$2+0,"dd-mm-aaaa")</f>
        <v>LUN 18-08-2025</v>
      </c>
      <c r="D3" s="210"/>
      <c r="E3" s="210"/>
      <c r="F3" s="210"/>
      <c r="G3" s="210"/>
      <c r="H3" s="250" t="str">
        <f>"MAR "&amp;TEXT($I$2+1,"dd-mm-aaaa")</f>
        <v>MAR 19-08-2025</v>
      </c>
      <c r="I3" s="210"/>
      <c r="J3" s="210"/>
      <c r="K3" s="210"/>
      <c r="L3" s="210"/>
      <c r="M3" s="250" t="str">
        <f>"MIÉ "&amp;TEXT($I$2+2,"dd-mm-aaaa")</f>
        <v>MIÉ 20-08-2025</v>
      </c>
      <c r="N3" s="210"/>
      <c r="O3" s="210"/>
      <c r="P3" s="210"/>
      <c r="Q3" s="210"/>
      <c r="R3" s="250" t="str">
        <f>"JUE "&amp;TEXT($I$2+3,"dd-mm-aaaa")</f>
        <v>JUE 21-08-2025</v>
      </c>
      <c r="S3" s="210"/>
      <c r="T3" s="210"/>
      <c r="U3" s="210"/>
      <c r="V3" s="210"/>
      <c r="W3" s="250" t="str">
        <f>"VIE "&amp;TEXT($I$2+4,"dd-mm-aaaa")</f>
        <v>VIE 22-08-2025</v>
      </c>
      <c r="X3" s="210"/>
      <c r="Y3" s="210"/>
      <c r="Z3" s="210"/>
      <c r="AA3" s="210"/>
      <c r="AB3" s="250" t="str">
        <f>"SÁB "&amp;TEXT($I$2+5,"dd-mm-aaaa")</f>
        <v>SÁB 23-08-2025</v>
      </c>
      <c r="AC3" s="210"/>
      <c r="AD3" s="210"/>
      <c r="AE3" s="210"/>
      <c r="AF3" s="210"/>
      <c r="AG3" s="250" t="str">
        <f>"DOM "&amp;TEXT($I$2+6,"dd-mm-aaaa")</f>
        <v>DOM 24-08-2025</v>
      </c>
      <c r="AH3" s="210"/>
      <c r="AI3" s="210"/>
      <c r="AJ3" s="210"/>
      <c r="AK3" s="210"/>
      <c r="AL3" s="250" t="s">
        <v>94</v>
      </c>
      <c r="AM3" s="210"/>
    </row>
    <row r="4" spans="1:39" ht="17" thickBot="1" x14ac:dyDescent="0.25">
      <c r="A4" s="54" t="s">
        <v>69</v>
      </c>
      <c r="B4" s="55" t="s">
        <v>76</v>
      </c>
      <c r="C4" s="2" t="s">
        <v>64</v>
      </c>
      <c r="D4" s="2" t="s">
        <v>140</v>
      </c>
      <c r="E4" s="2" t="s">
        <v>70</v>
      </c>
      <c r="F4" s="2" t="s">
        <v>141</v>
      </c>
      <c r="G4" s="2" t="s">
        <v>184</v>
      </c>
      <c r="H4" s="2" t="s">
        <v>64</v>
      </c>
      <c r="I4" s="2" t="s">
        <v>140</v>
      </c>
      <c r="J4" s="2" t="s">
        <v>70</v>
      </c>
      <c r="K4" s="2" t="s">
        <v>141</v>
      </c>
      <c r="L4" s="2" t="s">
        <v>184</v>
      </c>
      <c r="M4" s="2" t="s">
        <v>64</v>
      </c>
      <c r="N4" s="2" t="s">
        <v>140</v>
      </c>
      <c r="O4" s="2" t="s">
        <v>70</v>
      </c>
      <c r="P4" s="2" t="s">
        <v>141</v>
      </c>
      <c r="Q4" s="2" t="s">
        <v>184</v>
      </c>
      <c r="R4" s="2" t="s">
        <v>64</v>
      </c>
      <c r="S4" s="2" t="s">
        <v>140</v>
      </c>
      <c r="T4" s="2" t="s">
        <v>70</v>
      </c>
      <c r="U4" s="2" t="s">
        <v>141</v>
      </c>
      <c r="V4" s="2" t="s">
        <v>184</v>
      </c>
      <c r="W4" s="2" t="s">
        <v>64</v>
      </c>
      <c r="X4" s="2" t="s">
        <v>140</v>
      </c>
      <c r="Y4" s="2" t="s">
        <v>70</v>
      </c>
      <c r="Z4" s="2" t="s">
        <v>141</v>
      </c>
      <c r="AA4" s="2" t="s">
        <v>184</v>
      </c>
      <c r="AB4" s="2" t="s">
        <v>64</v>
      </c>
      <c r="AC4" s="2" t="s">
        <v>140</v>
      </c>
      <c r="AD4" s="2" t="s">
        <v>70</v>
      </c>
      <c r="AE4" s="2" t="s">
        <v>141</v>
      </c>
      <c r="AF4" s="2" t="s">
        <v>184</v>
      </c>
      <c r="AG4" s="2" t="s">
        <v>64</v>
      </c>
      <c r="AH4" s="2" t="s">
        <v>140</v>
      </c>
      <c r="AI4" s="2" t="s">
        <v>70</v>
      </c>
      <c r="AJ4" s="2" t="s">
        <v>141</v>
      </c>
      <c r="AK4" s="2" t="s">
        <v>184</v>
      </c>
      <c r="AL4" s="2" t="s">
        <v>33</v>
      </c>
      <c r="AM4" s="2" t="s">
        <v>142</v>
      </c>
    </row>
    <row r="5" spans="1:39" x14ac:dyDescent="0.2">
      <c r="A5" s="56">
        <v>1</v>
      </c>
      <c r="B5" s="9" t="s">
        <v>41</v>
      </c>
      <c r="C5" s="57" cm="1">
        <f t="array" ref="C5">IFERROR(INDEX(INPUT!$V$3:$V$1000,MATCH(1,(INPUT!$T$3:$T$1000=$I$2+0)*(INPUT!$U$3:$U$1000="HERRERO"),0)),"")</f>
        <v>1</v>
      </c>
      <c r="D5" s="57" cm="1">
        <f t="array" ref="D5">IFERROR(INDEX(INPUT!$W$3:$W$1000,MATCH(1,(INPUT!$T$3:$T$1000=$I$2+0)*(INPUT!$U$3:$U$1000="HERRERO"),0)),"")</f>
        <v>2</v>
      </c>
      <c r="E5" s="57" cm="1">
        <f t="array" ref="E5">IFERROR(INDEX(INPUT!$X$3:$X$1000,MATCH(1,(INPUT!$T$3:$T$1000=$I$2+0)*(INPUT!$U$3:$U$1000="HERRERO"),0)),"")</f>
        <v>1</v>
      </c>
      <c r="F5" s="57" cm="1">
        <f t="array" ref="F5">IFERROR(INDEX(INPUT!$Y$3:$Y$1000,MATCH(1,(INPUT!$T$3:$T$1000=$I$2+0)*(INPUT!$U$3:$U$1000="HERRERO"),0)),"")</f>
        <v>2</v>
      </c>
      <c r="G5" s="58">
        <f t="shared" ref="G5:G29" si="0">IFERROR(IF(COUNT(C5:F5)=0,"",SUM(C5:F5)),"")</f>
        <v>6</v>
      </c>
      <c r="H5" s="57" cm="1">
        <f t="array" ref="H5">IFERROR(INDEX(INPUT!$V$3:$V$1000,MATCH(1,(INPUT!$T$3:$T$1000=$I$2+1)*(INPUT!$U$3:$U$1000="HERRERO"),0)),"")</f>
        <v>1</v>
      </c>
      <c r="I5" s="57" cm="1">
        <f t="array" ref="I5">IFERROR(INDEX(INPUT!$W$3:$W$1000,MATCH(1,(INPUT!$T$3:$T$1000=$I$2+1)*(INPUT!$U$3:$U$1000="HERRERO"),0)),"")</f>
        <v>1</v>
      </c>
      <c r="J5" s="57" cm="1">
        <f t="array" ref="J5">IFERROR(INDEX(INPUT!$X$3:$X$1000,MATCH(1,(INPUT!$T$3:$T$1000=$I$2+1)*(INPUT!$U$3:$U$1000="HERRERO"),0)),"")</f>
        <v>2</v>
      </c>
      <c r="K5" s="57" cm="1">
        <f t="array" ref="K5">IFERROR(INDEX(INPUT!$Y$3:$Y$1000,MATCH(1,(INPUT!$T$3:$T$1000=$I$2+1)*(INPUT!$U$3:$U$1000="HERRERO"),0)),"")</f>
        <v>2</v>
      </c>
      <c r="L5" s="58">
        <f t="shared" ref="L5:L29" si="1">IFERROR(IF(COUNT(H5:K5)=0,"",SUM(H5:K5)),"")</f>
        <v>6</v>
      </c>
      <c r="M5" s="57" cm="1">
        <f t="array" ref="M5">IFERROR(INDEX(INPUT!$V$3:$V$1000,MATCH(1,(INPUT!$T$3:$T$1000=$I$2+2)*(INPUT!$U$3:$U$1000="HERRERO"),0)),"")</f>
        <v>1</v>
      </c>
      <c r="N5" s="57" cm="1">
        <f t="array" ref="N5">IFERROR(INDEX(INPUT!$W$3:$W$1000,MATCH(1,(INPUT!$T$3:$T$1000=$I$2+2)*(INPUT!$U$3:$U$1000="HERRERO"),0)),"")</f>
        <v>2</v>
      </c>
      <c r="O5" s="57" cm="1">
        <f t="array" ref="O5">IFERROR(INDEX(INPUT!$X$3:$X$1000,MATCH(1,(INPUT!$T$3:$T$1000=$I$2+2)*(INPUT!$U$3:$U$1000="HERRERO"),0)),"")</f>
        <v>2</v>
      </c>
      <c r="P5" s="57" cm="1">
        <f t="array" ref="P5">IFERROR(INDEX(INPUT!$Y$3:$Y$1000,MATCH(1,(INPUT!$T$3:$T$1000=$I$2+2)*(INPUT!$U$3:$U$1000="HERRERO"),0)),"")</f>
        <v>2</v>
      </c>
      <c r="Q5" s="58">
        <f t="shared" ref="Q5:Q29" si="2">IFERROR(IF(COUNT(M5:P5)=0,"",SUM(M5:P5)),"")</f>
        <v>7</v>
      </c>
      <c r="R5" s="57" cm="1">
        <f t="array" ref="R5">IFERROR(INDEX(INPUT!$V$3:$V$1000,MATCH(1,(INPUT!$T$3:$T$1000=$I$2+3)*(INPUT!$U$3:$U$1000="HERRERO"),0)),"")</f>
        <v>1</v>
      </c>
      <c r="S5" s="57" cm="1">
        <f t="array" ref="S5">IFERROR(INDEX(INPUT!$W$3:$W$1000,MATCH(1,(INPUT!$T$3:$T$1000=$I$2+3)*(INPUT!$U$3:$U$1000="HERRERO"),0)),"")</f>
        <v>1</v>
      </c>
      <c r="T5" s="57" cm="1">
        <f t="array" ref="T5">IFERROR(INDEX(INPUT!$X$3:$X$1000,MATCH(1,(INPUT!$T$3:$T$1000=$I$2+3)*(INPUT!$U$3:$U$1000="HERRERO"),0)),"")</f>
        <v>1</v>
      </c>
      <c r="U5" s="57" cm="1">
        <f t="array" ref="U5">IFERROR(INDEX(INPUT!$Y$3:$Y$1000,MATCH(1,(INPUT!$T$3:$T$1000=$I$2+3)*(INPUT!$U$3:$U$1000="HERRERO"),0)),"")</f>
        <v>2</v>
      </c>
      <c r="V5" s="58">
        <f t="shared" ref="V5:V29" si="3">IFERROR(IF(COUNT(R5:U5)=0,"",SUM(R5:U5)),"")</f>
        <v>5</v>
      </c>
      <c r="W5" s="57" cm="1">
        <f t="array" ref="W5">IFERROR(INDEX(INPUT!$V$3:$V$1000,MATCH(1,(INPUT!$T$3:$T$1000=$I$2+4)*(INPUT!$U$3:$U$1000="HERRERO"),0)),"")</f>
        <v>1</v>
      </c>
      <c r="X5" s="57" cm="1">
        <f t="array" ref="X5">IFERROR(INDEX(INPUT!$W$3:$W$1000,MATCH(1,(INPUT!$T$3:$T$1000=$I$2+4)*(INPUT!$U$3:$U$1000="HERRERO"),0)),"")</f>
        <v>2</v>
      </c>
      <c r="Y5" s="57" cm="1">
        <f t="array" ref="Y5">IFERROR(INDEX(INPUT!$X$3:$X$1000,MATCH(1,(INPUT!$T$3:$T$1000=$I$2+4)*(INPUT!$U$3:$U$1000="HERRERO"),0)),"")</f>
        <v>1</v>
      </c>
      <c r="Z5" s="57" cm="1">
        <f t="array" ref="Z5">IFERROR(INDEX(INPUT!$Y$3:$Y$1000,MATCH(1,(INPUT!$T$3:$T$1000=$I$2+4)*(INPUT!$U$3:$U$1000="HERRERO"),0)),"")</f>
        <v>2</v>
      </c>
      <c r="AA5" s="58">
        <f t="shared" ref="AA5:AA29" si="4">IFERROR(IF(COUNT(W5:Z5)=0,"",SUM(W5:Z5)),"")</f>
        <v>6</v>
      </c>
      <c r="AB5" s="57" cm="1">
        <f t="array" ref="AB5">IFERROR(INDEX(INPUT!$V$3:$V$1000,MATCH(1,(INPUT!$T$3:$T$1000=$I$2+5)*(INPUT!$U$3:$U$1000="HERRERO"),0)),"")</f>
        <v>2</v>
      </c>
      <c r="AC5" s="57" cm="1">
        <f t="array" ref="AC5">IFERROR(INDEX(INPUT!$W$3:$W$1000,MATCH(1,(INPUT!$T$3:$T$1000=$I$2+5)*(INPUT!$U$3:$U$1000="HERRERO"),0)),"")</f>
        <v>1</v>
      </c>
      <c r="AD5" s="57" cm="1">
        <f t="array" ref="AD5">IFERROR(INDEX(INPUT!$X$3:$X$1000,MATCH(1,(INPUT!$T$3:$T$1000=$I$2+5)*(INPUT!$U$3:$U$1000="HERRERO"),0)),"")</f>
        <v>2</v>
      </c>
      <c r="AE5" s="57" cm="1">
        <f t="array" ref="AE5">IFERROR(INDEX(INPUT!$Y$3:$Y$1000,MATCH(1,(INPUT!$T$3:$T$1000=$I$2+5)*(INPUT!$U$3:$U$1000="HERRERO"),0)),"")</f>
        <v>2</v>
      </c>
      <c r="AF5" s="58">
        <f t="shared" ref="AF5:AF29" si="5">IFERROR(IF(COUNT(AB5:AE5)=0,"",SUM(AB5:AE5)),"")</f>
        <v>7</v>
      </c>
      <c r="AG5" s="57" cm="1">
        <f t="array" ref="AG5">IFERROR(INDEX(INPUT!$V$3:$V$1000,MATCH(1,(INPUT!$T$3:$T$1000=$I$2+6)*(INPUT!$U$3:$U$1000="HERRERO"),0)),"")</f>
        <v>2</v>
      </c>
      <c r="AH5" s="57" cm="1">
        <f t="array" ref="AH5">IFERROR(INDEX(INPUT!$W$3:$W$1000,MATCH(1,(INPUT!$T$3:$T$1000=$I$2+6)*(INPUT!$U$3:$U$1000="HERRERO"),0)),"")</f>
        <v>1</v>
      </c>
      <c r="AI5" s="57" cm="1">
        <f t="array" ref="AI5">IFERROR(INDEX(INPUT!$X$3:$X$1000,MATCH(1,(INPUT!$T$3:$T$1000=$I$2+6)*(INPUT!$U$3:$U$1000="HERRERO"),0)),"")</f>
        <v>2</v>
      </c>
      <c r="AJ5" s="57" cm="1">
        <f t="array" ref="AJ5">IFERROR(INDEX(INPUT!$Y$3:$Y$1000,MATCH(1,(INPUT!$T$3:$T$1000=$I$2+6)*(INPUT!$U$3:$U$1000="HERRERO"),0)),"")</f>
        <v>2</v>
      </c>
      <c r="AK5" s="58">
        <f t="shared" ref="AK5:AK29" si="6">IFERROR(IF(COUNT(AG5:AJ5)=0,"",SUM(AG5:AJ5)),"")</f>
        <v>7</v>
      </c>
      <c r="AL5" s="64">
        <f t="shared" ref="AL5:AL29" si="7">IFERROR(AVERAGE(G5,L5,Q5,V5,AA5,AF5,AK5),"")</f>
        <v>6.2857142857142856</v>
      </c>
      <c r="AM5" s="57">
        <f t="shared" ref="AM5:AM29" si="8">(COUNT(C5:F5)&gt;0)*1+(COUNT(H5:K5)&gt;0)*1+(COUNT(M5:P5)&gt;0)*1+(COUNT(R5:U5)&gt;0)*1+(COUNT(W5:Z5)&gt;0)*1+(COUNT(AB5:AE5)&gt;0)*1+(COUNT(AG5:AJ5)&gt;0)*1</f>
        <v>7</v>
      </c>
    </row>
    <row r="6" spans="1:39" x14ac:dyDescent="0.2">
      <c r="A6" s="59">
        <v>2</v>
      </c>
      <c r="B6" s="60" t="s">
        <v>42</v>
      </c>
      <c r="C6" s="61" cm="1">
        <f t="array" ref="C6">IFERROR(INDEX(INPUT!$V$3:$V$1000,MATCH(1,(INPUT!$T$3:$T$1000=$I$2+0)*(INPUT!$U$3:$U$1000="GARCIA"),0)),"")</f>
        <v>4</v>
      </c>
      <c r="D6" s="61" cm="1">
        <f t="array" ref="D6">IFERROR(INDEX(INPUT!$W$3:$W$1000,MATCH(1,(INPUT!$T$3:$T$1000=$I$2+0)*(INPUT!$U$3:$U$1000="GARCIA"),0)),"")</f>
        <v>4</v>
      </c>
      <c r="E6" s="61" cm="1">
        <f t="array" ref="E6">IFERROR(INDEX(INPUT!$X$3:$X$1000,MATCH(1,(INPUT!$T$3:$T$1000=$I$2+0)*(INPUT!$U$3:$U$1000="GARCIA"),0)),"")</f>
        <v>4</v>
      </c>
      <c r="F6" s="61" cm="1">
        <f t="array" ref="F6">IFERROR(INDEX(INPUT!$Y$3:$Y$1000,MATCH(1,(INPUT!$T$3:$T$1000=$I$2+0)*(INPUT!$U$3:$U$1000="GARCIA"),0)),"")</f>
        <v>5</v>
      </c>
      <c r="G6" s="62">
        <f t="shared" si="0"/>
        <v>17</v>
      </c>
      <c r="H6" s="61" cm="1">
        <f t="array" ref="H6">IFERROR(INDEX(INPUT!$V$3:$V$1000,MATCH(1,(INPUT!$T$3:$T$1000=$I$2+1)*(INPUT!$U$3:$U$1000="GARCIA"),0)),"")</f>
        <v>3</v>
      </c>
      <c r="I6" s="61" cm="1">
        <f t="array" ref="I6">IFERROR(INDEX(INPUT!$W$3:$W$1000,MATCH(1,(INPUT!$T$3:$T$1000=$I$2+1)*(INPUT!$U$3:$U$1000="GARCIA"),0)),"")</f>
        <v>4</v>
      </c>
      <c r="J6" s="61" cm="1">
        <f t="array" ref="J6">IFERROR(INDEX(INPUT!$X$3:$X$1000,MATCH(1,(INPUT!$T$3:$T$1000=$I$2+1)*(INPUT!$U$3:$U$1000="GARCIA"),0)),"")</f>
        <v>4</v>
      </c>
      <c r="K6" s="61" cm="1">
        <f t="array" ref="K6">IFERROR(INDEX(INPUT!$Y$3:$Y$1000,MATCH(1,(INPUT!$T$3:$T$1000=$I$2+1)*(INPUT!$U$3:$U$1000="GARCIA"),0)),"")</f>
        <v>5</v>
      </c>
      <c r="L6" s="62">
        <f t="shared" si="1"/>
        <v>16</v>
      </c>
      <c r="M6" s="61" cm="1">
        <f t="array" ref="M6">IFERROR(INDEX(INPUT!$V$3:$V$1000,MATCH(1,(INPUT!$T$3:$T$1000=$I$2+2)*(INPUT!$U$3:$U$1000="GARCIA"),0)),"")</f>
        <v>3</v>
      </c>
      <c r="N6" s="61" cm="1">
        <f t="array" ref="N6">IFERROR(INDEX(INPUT!$W$3:$W$1000,MATCH(1,(INPUT!$T$3:$T$1000=$I$2+2)*(INPUT!$U$3:$U$1000="GARCIA"),0)),"")</f>
        <v>4</v>
      </c>
      <c r="O6" s="61" cm="1">
        <f t="array" ref="O6">IFERROR(INDEX(INPUT!$X$3:$X$1000,MATCH(1,(INPUT!$T$3:$T$1000=$I$2+2)*(INPUT!$U$3:$U$1000="GARCIA"),0)),"")</f>
        <v>4</v>
      </c>
      <c r="P6" s="61" cm="1">
        <f t="array" ref="P6">IFERROR(INDEX(INPUT!$Y$3:$Y$1000,MATCH(1,(INPUT!$T$3:$T$1000=$I$2+2)*(INPUT!$U$3:$U$1000="GARCIA"),0)),"")</f>
        <v>5</v>
      </c>
      <c r="Q6" s="62">
        <f t="shared" si="2"/>
        <v>16</v>
      </c>
      <c r="R6" s="61" cm="1">
        <f t="array" ref="R6">IFERROR(INDEX(INPUT!$V$3:$V$1000,MATCH(1,(INPUT!$T$3:$T$1000=$I$2+3)*(INPUT!$U$3:$U$1000="GARCIA"),0)),"")</f>
        <v>4</v>
      </c>
      <c r="S6" s="61" cm="1">
        <f t="array" ref="S6">IFERROR(INDEX(INPUT!$W$3:$W$1000,MATCH(1,(INPUT!$T$3:$T$1000=$I$2+3)*(INPUT!$U$3:$U$1000="GARCIA"),0)),"")</f>
        <v>4</v>
      </c>
      <c r="T6" s="61" cm="1">
        <f t="array" ref="T6">IFERROR(INDEX(INPUT!$X$3:$X$1000,MATCH(1,(INPUT!$T$3:$T$1000=$I$2+3)*(INPUT!$U$3:$U$1000="GARCIA"),0)),"")</f>
        <v>4</v>
      </c>
      <c r="U6" s="61" cm="1">
        <f t="array" ref="U6">IFERROR(INDEX(INPUT!$Y$3:$Y$1000,MATCH(1,(INPUT!$T$3:$T$1000=$I$2+3)*(INPUT!$U$3:$U$1000="GARCIA"),0)),"")</f>
        <v>5</v>
      </c>
      <c r="V6" s="62">
        <f t="shared" si="3"/>
        <v>17</v>
      </c>
      <c r="W6" s="61" cm="1">
        <f t="array" ref="W6">IFERROR(INDEX(INPUT!$V$3:$V$1000,MATCH(1,(INPUT!$T$3:$T$1000=$I$2+4)*(INPUT!$U$3:$U$1000="GARCIA"),0)),"")</f>
        <v>4</v>
      </c>
      <c r="X6" s="61" cm="1">
        <f t="array" ref="X6">IFERROR(INDEX(INPUT!$W$3:$W$1000,MATCH(1,(INPUT!$T$3:$T$1000=$I$2+4)*(INPUT!$U$3:$U$1000="GARCIA"),0)),"")</f>
        <v>4</v>
      </c>
      <c r="Y6" s="61" cm="1">
        <f t="array" ref="Y6">IFERROR(INDEX(INPUT!$X$3:$X$1000,MATCH(1,(INPUT!$T$3:$T$1000=$I$2+4)*(INPUT!$U$3:$U$1000="GARCIA"),0)),"")</f>
        <v>4</v>
      </c>
      <c r="Z6" s="61" cm="1">
        <f t="array" ref="Z6">IFERROR(INDEX(INPUT!$Y$3:$Y$1000,MATCH(1,(INPUT!$T$3:$T$1000=$I$2+4)*(INPUT!$U$3:$U$1000="GARCIA"),0)),"")</f>
        <v>5</v>
      </c>
      <c r="AA6" s="62">
        <f t="shared" si="4"/>
        <v>17</v>
      </c>
      <c r="AB6" s="61" cm="1">
        <f t="array" ref="AB6">IFERROR(INDEX(INPUT!$V$3:$V$1000,MATCH(1,(INPUT!$T$3:$T$1000=$I$2+5)*(INPUT!$U$3:$U$1000="GARCIA"),0)),"")</f>
        <v>4</v>
      </c>
      <c r="AC6" s="61" cm="1">
        <f t="array" ref="AC6">IFERROR(INDEX(INPUT!$W$3:$W$1000,MATCH(1,(INPUT!$T$3:$T$1000=$I$2+5)*(INPUT!$U$3:$U$1000="GARCIA"),0)),"")</f>
        <v>4</v>
      </c>
      <c r="AD6" s="61" cm="1">
        <f t="array" ref="AD6">IFERROR(INDEX(INPUT!$X$3:$X$1000,MATCH(1,(INPUT!$T$3:$T$1000=$I$2+5)*(INPUT!$U$3:$U$1000="GARCIA"),0)),"")</f>
        <v>4</v>
      </c>
      <c r="AE6" s="61" cm="1">
        <f t="array" ref="AE6">IFERROR(INDEX(INPUT!$Y$3:$Y$1000,MATCH(1,(INPUT!$T$3:$T$1000=$I$2+5)*(INPUT!$U$3:$U$1000="GARCIA"),0)),"")</f>
        <v>5</v>
      </c>
      <c r="AF6" s="62">
        <f t="shared" si="5"/>
        <v>17</v>
      </c>
      <c r="AG6" s="61" cm="1">
        <f t="array" ref="AG6">IFERROR(INDEX(INPUT!$V$3:$V$1000,MATCH(1,(INPUT!$T$3:$T$1000=$I$2+6)*(INPUT!$U$3:$U$1000="GARCIA"),0)),"")</f>
        <v>4</v>
      </c>
      <c r="AH6" s="61" cm="1">
        <f t="array" ref="AH6">IFERROR(INDEX(INPUT!$W$3:$W$1000,MATCH(1,(INPUT!$T$3:$T$1000=$I$2+6)*(INPUT!$U$3:$U$1000="GARCIA"),0)),"")</f>
        <v>4</v>
      </c>
      <c r="AI6" s="61" cm="1">
        <f t="array" ref="AI6">IFERROR(INDEX(INPUT!$X$3:$X$1000,MATCH(1,(INPUT!$T$3:$T$1000=$I$2+6)*(INPUT!$U$3:$U$1000="GARCIA"),0)),"")</f>
        <v>4</v>
      </c>
      <c r="AJ6" s="61" cm="1">
        <f t="array" ref="AJ6">IFERROR(INDEX(INPUT!$Y$3:$Y$1000,MATCH(1,(INPUT!$T$3:$T$1000=$I$2+6)*(INPUT!$U$3:$U$1000="GARCIA"),0)),"")</f>
        <v>5</v>
      </c>
      <c r="AK6" s="62">
        <f t="shared" si="6"/>
        <v>17</v>
      </c>
      <c r="AL6" s="65">
        <f t="shared" si="7"/>
        <v>16.714285714285715</v>
      </c>
      <c r="AM6" s="61">
        <f t="shared" si="8"/>
        <v>7</v>
      </c>
    </row>
    <row r="7" spans="1:39" x14ac:dyDescent="0.2">
      <c r="A7" s="56">
        <v>3</v>
      </c>
      <c r="B7" s="9" t="s">
        <v>43</v>
      </c>
      <c r="C7" s="57" cm="1">
        <f t="array" ref="C7">IFERROR(INDEX(INPUT!$V$3:$V$1000,MATCH(1,(INPUT!$T$3:$T$1000=$I$2+0)*(INPUT!$U$3:$U$1000="OSCAR"),0)),"")</f>
        <v>4</v>
      </c>
      <c r="D7" s="57" cm="1">
        <f t="array" ref="D7">IFERROR(INDEX(INPUT!$W$3:$W$1000,MATCH(1,(INPUT!$T$3:$T$1000=$I$2+0)*(INPUT!$U$3:$U$1000="OSCAR"),0)),"")</f>
        <v>4</v>
      </c>
      <c r="E7" s="57" cm="1">
        <f t="array" ref="E7">IFERROR(INDEX(INPUT!$X$3:$X$1000,MATCH(1,(INPUT!$T$3:$T$1000=$I$2+0)*(INPUT!$U$3:$U$1000="OSCAR"),0)),"")</f>
        <v>4</v>
      </c>
      <c r="F7" s="57" cm="1">
        <f t="array" ref="F7">IFERROR(INDEX(INPUT!$Y$3:$Y$1000,MATCH(1,(INPUT!$T$3:$T$1000=$I$2+0)*(INPUT!$U$3:$U$1000="OSCAR"),0)),"")</f>
        <v>5</v>
      </c>
      <c r="G7" s="58">
        <f t="shared" si="0"/>
        <v>17</v>
      </c>
      <c r="H7" s="57" cm="1">
        <f t="array" ref="H7">IFERROR(INDEX(INPUT!$V$3:$V$1000,MATCH(1,(INPUT!$T$3:$T$1000=$I$2+1)*(INPUT!$U$3:$U$1000="OSCAR"),0)),"")</f>
        <v>4</v>
      </c>
      <c r="I7" s="57" cm="1">
        <f t="array" ref="I7">IFERROR(INDEX(INPUT!$W$3:$W$1000,MATCH(1,(INPUT!$T$3:$T$1000=$I$2+1)*(INPUT!$U$3:$U$1000="OSCAR"),0)),"")</f>
        <v>4</v>
      </c>
      <c r="J7" s="57" cm="1">
        <f t="array" ref="J7">IFERROR(INDEX(INPUT!$X$3:$X$1000,MATCH(1,(INPUT!$T$3:$T$1000=$I$2+1)*(INPUT!$U$3:$U$1000="OSCAR"),0)),"")</f>
        <v>4</v>
      </c>
      <c r="K7" s="57" cm="1">
        <f t="array" ref="K7">IFERROR(INDEX(INPUT!$Y$3:$Y$1000,MATCH(1,(INPUT!$T$3:$T$1000=$I$2+1)*(INPUT!$U$3:$U$1000="OSCAR"),0)),"")</f>
        <v>5</v>
      </c>
      <c r="L7" s="58">
        <f t="shared" si="1"/>
        <v>17</v>
      </c>
      <c r="M7" s="57" t="str" cm="1">
        <f t="array" ref="M7">IFERROR(INDEX(INPUT!$V$3:$V$1000,MATCH(1,(INPUT!$T$3:$T$1000=$I$2+2)*(INPUT!$U$3:$U$1000="OSCAR"),0)),"")</f>
        <v/>
      </c>
      <c r="N7" s="57" t="str" cm="1">
        <f t="array" ref="N7">IFERROR(INDEX(INPUT!$W$3:$W$1000,MATCH(1,(INPUT!$T$3:$T$1000=$I$2+2)*(INPUT!$U$3:$U$1000="OSCAR"),0)),"")</f>
        <v/>
      </c>
      <c r="O7" s="57" t="str" cm="1">
        <f t="array" ref="O7">IFERROR(INDEX(INPUT!$X$3:$X$1000,MATCH(1,(INPUT!$T$3:$T$1000=$I$2+2)*(INPUT!$U$3:$U$1000="OSCAR"),0)),"")</f>
        <v/>
      </c>
      <c r="P7" s="57" t="str" cm="1">
        <f t="array" ref="P7">IFERROR(INDEX(INPUT!$Y$3:$Y$1000,MATCH(1,(INPUT!$T$3:$T$1000=$I$2+2)*(INPUT!$U$3:$U$1000="OSCAR"),0)),"")</f>
        <v/>
      </c>
      <c r="Q7" s="58" t="str">
        <f t="shared" si="2"/>
        <v/>
      </c>
      <c r="R7" s="57" t="str" cm="1">
        <f t="array" ref="R7">IFERROR(INDEX(INPUT!$V$3:$V$1000,MATCH(1,(INPUT!$T$3:$T$1000=$I$2+3)*(INPUT!$U$3:$U$1000="OSCAR"),0)),"")</f>
        <v/>
      </c>
      <c r="S7" s="57" t="str" cm="1">
        <f t="array" ref="S7">IFERROR(INDEX(INPUT!$W$3:$W$1000,MATCH(1,(INPUT!$T$3:$T$1000=$I$2+3)*(INPUT!$U$3:$U$1000="OSCAR"),0)),"")</f>
        <v/>
      </c>
      <c r="T7" s="57" t="str" cm="1">
        <f t="array" ref="T7">IFERROR(INDEX(INPUT!$X$3:$X$1000,MATCH(1,(INPUT!$T$3:$T$1000=$I$2+3)*(INPUT!$U$3:$U$1000="OSCAR"),0)),"")</f>
        <v/>
      </c>
      <c r="U7" s="57" t="str" cm="1">
        <f t="array" ref="U7">IFERROR(INDEX(INPUT!$Y$3:$Y$1000,MATCH(1,(INPUT!$T$3:$T$1000=$I$2+3)*(INPUT!$U$3:$U$1000="OSCAR"),0)),"")</f>
        <v/>
      </c>
      <c r="V7" s="58" t="str">
        <f t="shared" si="3"/>
        <v/>
      </c>
      <c r="W7" s="57" t="str" cm="1">
        <f t="array" ref="W7">IFERROR(INDEX(INPUT!$V$3:$V$1000,MATCH(1,(INPUT!$T$3:$T$1000=$I$2+4)*(INPUT!$U$3:$U$1000="OSCAR"),0)),"")</f>
        <v/>
      </c>
      <c r="X7" s="57" t="str" cm="1">
        <f t="array" ref="X7">IFERROR(INDEX(INPUT!$W$3:$W$1000,MATCH(1,(INPUT!$T$3:$T$1000=$I$2+4)*(INPUT!$U$3:$U$1000="OSCAR"),0)),"")</f>
        <v/>
      </c>
      <c r="Y7" s="57" t="str" cm="1">
        <f t="array" ref="Y7">IFERROR(INDEX(INPUT!$X$3:$X$1000,MATCH(1,(INPUT!$T$3:$T$1000=$I$2+4)*(INPUT!$U$3:$U$1000="OSCAR"),0)),"")</f>
        <v/>
      </c>
      <c r="Z7" s="57" t="str" cm="1">
        <f t="array" ref="Z7">IFERROR(INDEX(INPUT!$Y$3:$Y$1000,MATCH(1,(INPUT!$T$3:$T$1000=$I$2+4)*(INPUT!$U$3:$U$1000="OSCAR"),0)),"")</f>
        <v/>
      </c>
      <c r="AA7" s="58" t="str">
        <f t="shared" si="4"/>
        <v/>
      </c>
      <c r="AB7" s="57" t="str" cm="1">
        <f t="array" ref="AB7">IFERROR(INDEX(INPUT!$V$3:$V$1000,MATCH(1,(INPUT!$T$3:$T$1000=$I$2+5)*(INPUT!$U$3:$U$1000="OSCAR"),0)),"")</f>
        <v/>
      </c>
      <c r="AC7" s="57" t="str" cm="1">
        <f t="array" ref="AC7">IFERROR(INDEX(INPUT!$W$3:$W$1000,MATCH(1,(INPUT!$T$3:$T$1000=$I$2+5)*(INPUT!$U$3:$U$1000="OSCAR"),0)),"")</f>
        <v/>
      </c>
      <c r="AD7" s="57" t="str" cm="1">
        <f t="array" ref="AD7">IFERROR(INDEX(INPUT!$X$3:$X$1000,MATCH(1,(INPUT!$T$3:$T$1000=$I$2+5)*(INPUT!$U$3:$U$1000="OSCAR"),0)),"")</f>
        <v/>
      </c>
      <c r="AE7" s="57" t="str" cm="1">
        <f t="array" ref="AE7">IFERROR(INDEX(INPUT!$Y$3:$Y$1000,MATCH(1,(INPUT!$T$3:$T$1000=$I$2+5)*(INPUT!$U$3:$U$1000="OSCAR"),0)),"")</f>
        <v/>
      </c>
      <c r="AF7" s="58" t="str">
        <f t="shared" si="5"/>
        <v/>
      </c>
      <c r="AG7" s="57" t="str" cm="1">
        <f t="array" ref="AG7">IFERROR(INDEX(INPUT!$V$3:$V$1000,MATCH(1,(INPUT!$T$3:$T$1000=$I$2+6)*(INPUT!$U$3:$U$1000="OSCAR"),0)),"")</f>
        <v/>
      </c>
      <c r="AH7" s="57" t="str" cm="1">
        <f t="array" ref="AH7">IFERROR(INDEX(INPUT!$W$3:$W$1000,MATCH(1,(INPUT!$T$3:$T$1000=$I$2+6)*(INPUT!$U$3:$U$1000="OSCAR"),0)),"")</f>
        <v/>
      </c>
      <c r="AI7" s="57" t="str" cm="1">
        <f t="array" ref="AI7">IFERROR(INDEX(INPUT!$X$3:$X$1000,MATCH(1,(INPUT!$T$3:$T$1000=$I$2+6)*(INPUT!$U$3:$U$1000="OSCAR"),0)),"")</f>
        <v/>
      </c>
      <c r="AJ7" s="57" t="str" cm="1">
        <f t="array" ref="AJ7">IFERROR(INDEX(INPUT!$Y$3:$Y$1000,MATCH(1,(INPUT!$T$3:$T$1000=$I$2+6)*(INPUT!$U$3:$U$1000="OSCAR"),0)),"")</f>
        <v/>
      </c>
      <c r="AK7" s="58" t="str">
        <f t="shared" si="6"/>
        <v/>
      </c>
      <c r="AL7" s="66">
        <f t="shared" si="7"/>
        <v>17</v>
      </c>
      <c r="AM7" s="57">
        <f t="shared" si="8"/>
        <v>2</v>
      </c>
    </row>
    <row r="8" spans="1:39" x14ac:dyDescent="0.2">
      <c r="A8" s="59">
        <v>4</v>
      </c>
      <c r="B8" s="60" t="s">
        <v>44</v>
      </c>
      <c r="C8" s="61" cm="1">
        <f t="array" ref="C8">IFERROR(INDEX(INPUT!$V$3:$V$1000,MATCH(1,(INPUT!$T$3:$T$1000=$I$2+0)*(INPUT!$U$3:$U$1000="CECILIO"),0)),"")</f>
        <v>4</v>
      </c>
      <c r="D8" s="61" cm="1">
        <f t="array" ref="D8">IFERROR(INDEX(INPUT!$W$3:$W$1000,MATCH(1,(INPUT!$T$3:$T$1000=$I$2+0)*(INPUT!$U$3:$U$1000="CECILIO"),0)),"")</f>
        <v>4</v>
      </c>
      <c r="E8" s="61" cm="1">
        <f t="array" ref="E8">IFERROR(INDEX(INPUT!$X$3:$X$1000,MATCH(1,(INPUT!$T$3:$T$1000=$I$2+0)*(INPUT!$U$3:$U$1000="CECILIO"),0)),"")</f>
        <v>4</v>
      </c>
      <c r="F8" s="61" cm="1">
        <f t="array" ref="F8">IFERROR(INDEX(INPUT!$Y$3:$Y$1000,MATCH(1,(INPUT!$T$3:$T$1000=$I$2+0)*(INPUT!$U$3:$U$1000="CECILIO"),0)),"")</f>
        <v>4</v>
      </c>
      <c r="G8" s="62">
        <f t="shared" si="0"/>
        <v>16</v>
      </c>
      <c r="H8" s="61" cm="1">
        <f t="array" ref="H8">IFERROR(INDEX(INPUT!$V$3:$V$1000,MATCH(1,(INPUT!$T$3:$T$1000=$I$2+1)*(INPUT!$U$3:$U$1000="CECILIO"),0)),"")</f>
        <v>5</v>
      </c>
      <c r="I8" s="61" cm="1">
        <f t="array" ref="I8">IFERROR(INDEX(INPUT!$W$3:$W$1000,MATCH(1,(INPUT!$T$3:$T$1000=$I$2+1)*(INPUT!$U$3:$U$1000="CECILIO"),0)),"")</f>
        <v>5</v>
      </c>
      <c r="J8" s="61" cm="1">
        <f t="array" ref="J8">IFERROR(INDEX(INPUT!$X$3:$X$1000,MATCH(1,(INPUT!$T$3:$T$1000=$I$2+1)*(INPUT!$U$3:$U$1000="CECILIO"),0)),"")</f>
        <v>5</v>
      </c>
      <c r="K8" s="61" cm="1">
        <f t="array" ref="K8">IFERROR(INDEX(INPUT!$Y$3:$Y$1000,MATCH(1,(INPUT!$T$3:$T$1000=$I$2+1)*(INPUT!$U$3:$U$1000="CECILIO"),0)),"")</f>
        <v>5</v>
      </c>
      <c r="L8" s="62">
        <f t="shared" si="1"/>
        <v>20</v>
      </c>
      <c r="M8" s="61" cm="1">
        <f t="array" ref="M8">IFERROR(INDEX(INPUT!$V$3:$V$1000,MATCH(1,(INPUT!$T$3:$T$1000=$I$2+2)*(INPUT!$U$3:$U$1000="CECILIO"),0)),"")</f>
        <v>5</v>
      </c>
      <c r="N8" s="61" cm="1">
        <f t="array" ref="N8">IFERROR(INDEX(INPUT!$W$3:$W$1000,MATCH(1,(INPUT!$T$3:$T$1000=$I$2+2)*(INPUT!$U$3:$U$1000="CECILIO"),0)),"")</f>
        <v>4</v>
      </c>
      <c r="O8" s="61" cm="1">
        <f t="array" ref="O8">IFERROR(INDEX(INPUT!$X$3:$X$1000,MATCH(1,(INPUT!$T$3:$T$1000=$I$2+2)*(INPUT!$U$3:$U$1000="CECILIO"),0)),"")</f>
        <v>5</v>
      </c>
      <c r="P8" s="61" cm="1">
        <f t="array" ref="P8">IFERROR(INDEX(INPUT!$Y$3:$Y$1000,MATCH(1,(INPUT!$T$3:$T$1000=$I$2+2)*(INPUT!$U$3:$U$1000="CECILIO"),0)),"")</f>
        <v>5</v>
      </c>
      <c r="Q8" s="62">
        <f t="shared" si="2"/>
        <v>19</v>
      </c>
      <c r="R8" s="61" cm="1">
        <f t="array" ref="R8">IFERROR(INDEX(INPUT!$V$3:$V$1000,MATCH(1,(INPUT!$T$3:$T$1000=$I$2+3)*(INPUT!$U$3:$U$1000="CECILIO"),0)),"")</f>
        <v>5</v>
      </c>
      <c r="S8" s="61" cm="1">
        <f t="array" ref="S8">IFERROR(INDEX(INPUT!$W$3:$W$1000,MATCH(1,(INPUT!$T$3:$T$1000=$I$2+3)*(INPUT!$U$3:$U$1000="CECILIO"),0)),"")</f>
        <v>4</v>
      </c>
      <c r="T8" s="61" cm="1">
        <f t="array" ref="T8">IFERROR(INDEX(INPUT!$X$3:$X$1000,MATCH(1,(INPUT!$T$3:$T$1000=$I$2+3)*(INPUT!$U$3:$U$1000="CECILIO"),0)),"")</f>
        <v>4</v>
      </c>
      <c r="U8" s="61" cm="1">
        <f t="array" ref="U8">IFERROR(INDEX(INPUT!$Y$3:$Y$1000,MATCH(1,(INPUT!$T$3:$T$1000=$I$2+3)*(INPUT!$U$3:$U$1000="CECILIO"),0)),"")</f>
        <v>5</v>
      </c>
      <c r="V8" s="62">
        <f t="shared" si="3"/>
        <v>18</v>
      </c>
      <c r="W8" s="61" cm="1">
        <f t="array" ref="W8">IFERROR(INDEX(INPUT!$V$3:$V$1000,MATCH(1,(INPUT!$T$3:$T$1000=$I$2+4)*(INPUT!$U$3:$U$1000="CECILIO"),0)),"")</f>
        <v>5</v>
      </c>
      <c r="X8" s="61" cm="1">
        <f t="array" ref="X8">IFERROR(INDEX(INPUT!$W$3:$W$1000,MATCH(1,(INPUT!$T$3:$T$1000=$I$2+4)*(INPUT!$U$3:$U$1000="CECILIO"),0)),"")</f>
        <v>4</v>
      </c>
      <c r="Y8" s="61" cm="1">
        <f t="array" ref="Y8">IFERROR(INDEX(INPUT!$X$3:$X$1000,MATCH(1,(INPUT!$T$3:$T$1000=$I$2+4)*(INPUT!$U$3:$U$1000="CECILIO"),0)),"")</f>
        <v>4</v>
      </c>
      <c r="Z8" s="61" cm="1">
        <f t="array" ref="Z8">IFERROR(INDEX(INPUT!$Y$3:$Y$1000,MATCH(1,(INPUT!$T$3:$T$1000=$I$2+4)*(INPUT!$U$3:$U$1000="CECILIO"),0)),"")</f>
        <v>5</v>
      </c>
      <c r="AA8" s="62">
        <f t="shared" si="4"/>
        <v>18</v>
      </c>
      <c r="AB8" s="61" cm="1">
        <f t="array" ref="AB8">IFERROR(INDEX(INPUT!$V$3:$V$1000,MATCH(1,(INPUT!$T$3:$T$1000=$I$2+5)*(INPUT!$U$3:$U$1000="CECILIO"),0)),"")</f>
        <v>5</v>
      </c>
      <c r="AC8" s="61" cm="1">
        <f t="array" ref="AC8">IFERROR(INDEX(INPUT!$W$3:$W$1000,MATCH(1,(INPUT!$T$3:$T$1000=$I$2+5)*(INPUT!$U$3:$U$1000="CECILIO"),0)),"")</f>
        <v>4</v>
      </c>
      <c r="AD8" s="61" cm="1">
        <f t="array" ref="AD8">IFERROR(INDEX(INPUT!$X$3:$X$1000,MATCH(1,(INPUT!$T$3:$T$1000=$I$2+5)*(INPUT!$U$3:$U$1000="CECILIO"),0)),"")</f>
        <v>4</v>
      </c>
      <c r="AE8" s="61" cm="1">
        <f t="array" ref="AE8">IFERROR(INDEX(INPUT!$Y$3:$Y$1000,MATCH(1,(INPUT!$T$3:$T$1000=$I$2+5)*(INPUT!$U$3:$U$1000="CECILIO"),0)),"")</f>
        <v>5</v>
      </c>
      <c r="AF8" s="62">
        <f t="shared" si="5"/>
        <v>18</v>
      </c>
      <c r="AG8" s="61" cm="1">
        <f t="array" ref="AG8">IFERROR(INDEX(INPUT!$V$3:$V$1000,MATCH(1,(INPUT!$T$3:$T$1000=$I$2+6)*(INPUT!$U$3:$U$1000="CECILIO"),0)),"")</f>
        <v>5</v>
      </c>
      <c r="AH8" s="61" cm="1">
        <f t="array" ref="AH8">IFERROR(INDEX(INPUT!$W$3:$W$1000,MATCH(1,(INPUT!$T$3:$T$1000=$I$2+6)*(INPUT!$U$3:$U$1000="CECILIO"),0)),"")</f>
        <v>4</v>
      </c>
      <c r="AI8" s="61" cm="1">
        <f t="array" ref="AI8">IFERROR(INDEX(INPUT!$X$3:$X$1000,MATCH(1,(INPUT!$T$3:$T$1000=$I$2+6)*(INPUT!$U$3:$U$1000="CECILIO"),0)),"")</f>
        <v>4</v>
      </c>
      <c r="AJ8" s="61" cm="1">
        <f t="array" ref="AJ8">IFERROR(INDEX(INPUT!$Y$3:$Y$1000,MATCH(1,(INPUT!$T$3:$T$1000=$I$2+6)*(INPUT!$U$3:$U$1000="CECILIO"),0)),"")</f>
        <v>5</v>
      </c>
      <c r="AK8" s="62">
        <f t="shared" si="6"/>
        <v>18</v>
      </c>
      <c r="AL8" s="65">
        <f t="shared" si="7"/>
        <v>18.142857142857142</v>
      </c>
      <c r="AM8" s="61">
        <f t="shared" si="8"/>
        <v>7</v>
      </c>
    </row>
    <row r="9" spans="1:39" x14ac:dyDescent="0.2">
      <c r="A9" s="56">
        <v>5</v>
      </c>
      <c r="B9" s="9" t="s">
        <v>45</v>
      </c>
      <c r="C9" s="57" cm="1">
        <f t="array" ref="C9">IFERROR(INDEX(INPUT!$V$3:$V$1000,MATCH(1,(INPUT!$T$3:$T$1000=$I$2+0)*(INPUT!$U$3:$U$1000="CHAGUINHA"),0)),"")</f>
        <v>4</v>
      </c>
      <c r="D9" s="57" cm="1">
        <f t="array" ref="D9">IFERROR(INDEX(INPUT!$W$3:$W$1000,MATCH(1,(INPUT!$T$3:$T$1000=$I$2+0)*(INPUT!$U$3:$U$1000="CHAGUINHA"),0)),"")</f>
        <v>4</v>
      </c>
      <c r="E9" s="57" cm="1">
        <f t="array" ref="E9">IFERROR(INDEX(INPUT!$X$3:$X$1000,MATCH(1,(INPUT!$T$3:$T$1000=$I$2+0)*(INPUT!$U$3:$U$1000="CHAGUINHA"),0)),"")</f>
        <v>4</v>
      </c>
      <c r="F9" s="57" cm="1">
        <f t="array" ref="F9">IFERROR(INDEX(INPUT!$Y$3:$Y$1000,MATCH(1,(INPUT!$T$3:$T$1000=$I$2+0)*(INPUT!$U$3:$U$1000="CHAGUINHA"),0)),"")</f>
        <v>5</v>
      </c>
      <c r="G9" s="58">
        <f t="shared" si="0"/>
        <v>17</v>
      </c>
      <c r="H9" s="57" cm="1">
        <f t="array" ref="H9">IFERROR(INDEX(INPUT!$V$3:$V$1000,MATCH(1,(INPUT!$T$3:$T$1000=$I$2+1)*(INPUT!$U$3:$U$1000="CHAGUINHA"),0)),"")</f>
        <v>4</v>
      </c>
      <c r="I9" s="57" cm="1">
        <f t="array" ref="I9">IFERROR(INDEX(INPUT!$W$3:$W$1000,MATCH(1,(INPUT!$T$3:$T$1000=$I$2+1)*(INPUT!$U$3:$U$1000="CHAGUINHA"),0)),"")</f>
        <v>3</v>
      </c>
      <c r="J9" s="57" cm="1">
        <f t="array" ref="J9">IFERROR(INDEX(INPUT!$X$3:$X$1000,MATCH(1,(INPUT!$T$3:$T$1000=$I$2+1)*(INPUT!$U$3:$U$1000="CHAGUINHA"),0)),"")</f>
        <v>4</v>
      </c>
      <c r="K9" s="57" cm="1">
        <f t="array" ref="K9">IFERROR(INDEX(INPUT!$Y$3:$Y$1000,MATCH(1,(INPUT!$T$3:$T$1000=$I$2+1)*(INPUT!$U$3:$U$1000="CHAGUINHA"),0)),"")</f>
        <v>5</v>
      </c>
      <c r="L9" s="58">
        <f t="shared" si="1"/>
        <v>16</v>
      </c>
      <c r="M9" s="57" cm="1">
        <f t="array" ref="M9">IFERROR(INDEX(INPUT!$V$3:$V$1000,MATCH(1,(INPUT!$T$3:$T$1000=$I$2+2)*(INPUT!$U$3:$U$1000="CHAGUINHA"),0)),"")</f>
        <v>4</v>
      </c>
      <c r="N9" s="57" cm="1">
        <f t="array" ref="N9">IFERROR(INDEX(INPUT!$W$3:$W$1000,MATCH(1,(INPUT!$T$3:$T$1000=$I$2+2)*(INPUT!$U$3:$U$1000="CHAGUINHA"),0)),"")</f>
        <v>3</v>
      </c>
      <c r="O9" s="57" cm="1">
        <f t="array" ref="O9">IFERROR(INDEX(INPUT!$X$3:$X$1000,MATCH(1,(INPUT!$T$3:$T$1000=$I$2+2)*(INPUT!$U$3:$U$1000="CHAGUINHA"),0)),"")</f>
        <v>4</v>
      </c>
      <c r="P9" s="57" cm="1">
        <f t="array" ref="P9">IFERROR(INDEX(INPUT!$Y$3:$Y$1000,MATCH(1,(INPUT!$T$3:$T$1000=$I$2+2)*(INPUT!$U$3:$U$1000="CHAGUINHA"),0)),"")</f>
        <v>5</v>
      </c>
      <c r="Q9" s="58">
        <f t="shared" si="2"/>
        <v>16</v>
      </c>
      <c r="R9" s="57" cm="1">
        <f t="array" ref="R9">IFERROR(INDEX(INPUT!$V$3:$V$1000,MATCH(1,(INPUT!$T$3:$T$1000=$I$2+3)*(INPUT!$U$3:$U$1000="CHAGUINHA"),0)),"")</f>
        <v>4</v>
      </c>
      <c r="S9" s="57" cm="1">
        <f t="array" ref="S9">IFERROR(INDEX(INPUT!$W$3:$W$1000,MATCH(1,(INPUT!$T$3:$T$1000=$I$2+3)*(INPUT!$U$3:$U$1000="CHAGUINHA"),0)),"")</f>
        <v>3</v>
      </c>
      <c r="T9" s="57" cm="1">
        <f t="array" ref="T9">IFERROR(INDEX(INPUT!$X$3:$X$1000,MATCH(1,(INPUT!$T$3:$T$1000=$I$2+3)*(INPUT!$U$3:$U$1000="CHAGUINHA"),0)),"")</f>
        <v>4</v>
      </c>
      <c r="U9" s="57" cm="1">
        <f t="array" ref="U9">IFERROR(INDEX(INPUT!$Y$3:$Y$1000,MATCH(1,(INPUT!$T$3:$T$1000=$I$2+3)*(INPUT!$U$3:$U$1000="CHAGUINHA"),0)),"")</f>
        <v>5</v>
      </c>
      <c r="V9" s="58">
        <f t="shared" si="3"/>
        <v>16</v>
      </c>
      <c r="W9" s="57" cm="1">
        <f t="array" ref="W9">IFERROR(INDEX(INPUT!$V$3:$V$1000,MATCH(1,(INPUT!$T$3:$T$1000=$I$2+4)*(INPUT!$U$3:$U$1000="CHAGUINHA"),0)),"")</f>
        <v>4</v>
      </c>
      <c r="X9" s="57" cm="1">
        <f t="array" ref="X9">IFERROR(INDEX(INPUT!$W$3:$W$1000,MATCH(1,(INPUT!$T$3:$T$1000=$I$2+4)*(INPUT!$U$3:$U$1000="CHAGUINHA"),0)),"")</f>
        <v>3</v>
      </c>
      <c r="Y9" s="57" cm="1">
        <f t="array" ref="Y9">IFERROR(INDEX(INPUT!$X$3:$X$1000,MATCH(1,(INPUT!$T$3:$T$1000=$I$2+4)*(INPUT!$U$3:$U$1000="CHAGUINHA"),0)),"")</f>
        <v>4</v>
      </c>
      <c r="Z9" s="57" cm="1">
        <f t="array" ref="Z9">IFERROR(INDEX(INPUT!$Y$3:$Y$1000,MATCH(1,(INPUT!$T$3:$T$1000=$I$2+4)*(INPUT!$U$3:$U$1000="CHAGUINHA"),0)),"")</f>
        <v>5</v>
      </c>
      <c r="AA9" s="58">
        <f t="shared" si="4"/>
        <v>16</v>
      </c>
      <c r="AB9" s="57" cm="1">
        <f t="array" ref="AB9">IFERROR(INDEX(INPUT!$V$3:$V$1000,MATCH(1,(INPUT!$T$3:$T$1000=$I$2+5)*(INPUT!$U$3:$U$1000="CHAGUINHA"),0)),"")</f>
        <v>4</v>
      </c>
      <c r="AC9" s="57" cm="1">
        <f t="array" ref="AC9">IFERROR(INDEX(INPUT!$W$3:$W$1000,MATCH(1,(INPUT!$T$3:$T$1000=$I$2+5)*(INPUT!$U$3:$U$1000="CHAGUINHA"),0)),"")</f>
        <v>4</v>
      </c>
      <c r="AD9" s="57" cm="1">
        <f t="array" ref="AD9">IFERROR(INDEX(INPUT!$X$3:$X$1000,MATCH(1,(INPUT!$T$3:$T$1000=$I$2+5)*(INPUT!$U$3:$U$1000="CHAGUINHA"),0)),"")</f>
        <v>4</v>
      </c>
      <c r="AE9" s="57" cm="1">
        <f t="array" ref="AE9">IFERROR(INDEX(INPUT!$Y$3:$Y$1000,MATCH(1,(INPUT!$T$3:$T$1000=$I$2+5)*(INPUT!$U$3:$U$1000="CHAGUINHA"),0)),"")</f>
        <v>5</v>
      </c>
      <c r="AF9" s="58">
        <f t="shared" si="5"/>
        <v>17</v>
      </c>
      <c r="AG9" s="57" cm="1">
        <f t="array" ref="AG9">IFERROR(INDEX(INPUT!$V$3:$V$1000,MATCH(1,(INPUT!$T$3:$T$1000=$I$2+6)*(INPUT!$U$3:$U$1000="CHAGUINHA"),0)),"")</f>
        <v>4</v>
      </c>
      <c r="AH9" s="57" cm="1">
        <f t="array" ref="AH9">IFERROR(INDEX(INPUT!$W$3:$W$1000,MATCH(1,(INPUT!$T$3:$T$1000=$I$2+6)*(INPUT!$U$3:$U$1000="CHAGUINHA"),0)),"")</f>
        <v>4</v>
      </c>
      <c r="AI9" s="57" cm="1">
        <f t="array" ref="AI9">IFERROR(INDEX(INPUT!$X$3:$X$1000,MATCH(1,(INPUT!$T$3:$T$1000=$I$2+6)*(INPUT!$U$3:$U$1000="CHAGUINHA"),0)),"")</f>
        <v>4</v>
      </c>
      <c r="AJ9" s="57" cm="1">
        <f t="array" ref="AJ9">IFERROR(INDEX(INPUT!$Y$3:$Y$1000,MATCH(1,(INPUT!$T$3:$T$1000=$I$2+6)*(INPUT!$U$3:$U$1000="CHAGUINHA"),0)),"")</f>
        <v>5</v>
      </c>
      <c r="AK9" s="58">
        <f t="shared" si="6"/>
        <v>17</v>
      </c>
      <c r="AL9" s="66">
        <f t="shared" si="7"/>
        <v>16.428571428571427</v>
      </c>
      <c r="AM9" s="57">
        <f t="shared" si="8"/>
        <v>7</v>
      </c>
    </row>
    <row r="10" spans="1:39" x14ac:dyDescent="0.2">
      <c r="A10" s="59">
        <v>6</v>
      </c>
      <c r="B10" s="60" t="s">
        <v>46</v>
      </c>
      <c r="C10" s="61" cm="1">
        <f t="array" ref="C10">IFERROR(INDEX(INPUT!$V$3:$V$1000,MATCH(1,(INPUT!$T$3:$T$1000=$I$2+0)*(INPUT!$U$3:$U$1000="RAUL"),0)),"")</f>
        <v>5</v>
      </c>
      <c r="D10" s="61" cm="1">
        <f t="array" ref="D10">IFERROR(INDEX(INPUT!$W$3:$W$1000,MATCH(1,(INPUT!$T$3:$T$1000=$I$2+0)*(INPUT!$U$3:$U$1000="RAUL"),0)),"")</f>
        <v>5</v>
      </c>
      <c r="E10" s="61" cm="1">
        <f t="array" ref="E10">IFERROR(INDEX(INPUT!$X$3:$X$1000,MATCH(1,(INPUT!$T$3:$T$1000=$I$2+0)*(INPUT!$U$3:$U$1000="RAUL"),0)),"")</f>
        <v>4</v>
      </c>
      <c r="F10" s="61" cm="1">
        <f t="array" ref="F10">IFERROR(INDEX(INPUT!$Y$3:$Y$1000,MATCH(1,(INPUT!$T$3:$T$1000=$I$2+0)*(INPUT!$U$3:$U$1000="RAUL"),0)),"")</f>
        <v>4</v>
      </c>
      <c r="G10" s="62">
        <f t="shared" si="0"/>
        <v>18</v>
      </c>
      <c r="H10" s="61" cm="1">
        <f t="array" ref="H10">IFERROR(INDEX(INPUT!$V$3:$V$1000,MATCH(1,(INPUT!$T$3:$T$1000=$I$2+1)*(INPUT!$U$3:$U$1000="RAUL"),0)),"")</f>
        <v>5</v>
      </c>
      <c r="I10" s="61" cm="1">
        <f t="array" ref="I10">IFERROR(INDEX(INPUT!$W$3:$W$1000,MATCH(1,(INPUT!$T$3:$T$1000=$I$2+1)*(INPUT!$U$3:$U$1000="RAUL"),0)),"")</f>
        <v>4</v>
      </c>
      <c r="J10" s="61" cm="1">
        <f t="array" ref="J10">IFERROR(INDEX(INPUT!$X$3:$X$1000,MATCH(1,(INPUT!$T$3:$T$1000=$I$2+1)*(INPUT!$U$3:$U$1000="RAUL"),0)),"")</f>
        <v>4</v>
      </c>
      <c r="K10" s="61" cm="1">
        <f t="array" ref="K10">IFERROR(INDEX(INPUT!$Y$3:$Y$1000,MATCH(1,(INPUT!$T$3:$T$1000=$I$2+1)*(INPUT!$U$3:$U$1000="RAUL"),0)),"")</f>
        <v>4</v>
      </c>
      <c r="L10" s="62">
        <f t="shared" si="1"/>
        <v>17</v>
      </c>
      <c r="M10" s="61" cm="1">
        <f t="array" ref="M10">IFERROR(INDEX(INPUT!$V$3:$V$1000,MATCH(1,(INPUT!$T$3:$T$1000=$I$2+2)*(INPUT!$U$3:$U$1000="RAUL"),0)),"")</f>
        <v>5</v>
      </c>
      <c r="N10" s="61" cm="1">
        <f t="array" ref="N10">IFERROR(INDEX(INPUT!$W$3:$W$1000,MATCH(1,(INPUT!$T$3:$T$1000=$I$2+2)*(INPUT!$U$3:$U$1000="RAUL"),0)),"")</f>
        <v>4</v>
      </c>
      <c r="O10" s="61" cm="1">
        <f t="array" ref="O10">IFERROR(INDEX(INPUT!$X$3:$X$1000,MATCH(1,(INPUT!$T$3:$T$1000=$I$2+2)*(INPUT!$U$3:$U$1000="RAUL"),0)),"")</f>
        <v>3</v>
      </c>
      <c r="P10" s="61" cm="1">
        <f t="array" ref="P10">IFERROR(INDEX(INPUT!$Y$3:$Y$1000,MATCH(1,(INPUT!$T$3:$T$1000=$I$2+2)*(INPUT!$U$3:$U$1000="RAUL"),0)),"")</f>
        <v>4</v>
      </c>
      <c r="Q10" s="62">
        <f t="shared" si="2"/>
        <v>16</v>
      </c>
      <c r="R10" s="61" cm="1">
        <f t="array" ref="R10">IFERROR(INDEX(INPUT!$V$3:$V$1000,MATCH(1,(INPUT!$T$3:$T$1000=$I$2+3)*(INPUT!$U$3:$U$1000="RAUL"),0)),"")</f>
        <v>5</v>
      </c>
      <c r="S10" s="61" cm="1">
        <f t="array" ref="S10">IFERROR(INDEX(INPUT!$W$3:$W$1000,MATCH(1,(INPUT!$T$3:$T$1000=$I$2+3)*(INPUT!$U$3:$U$1000="RAUL"),0)),"")</f>
        <v>4</v>
      </c>
      <c r="T10" s="61" cm="1">
        <f t="array" ref="T10">IFERROR(INDEX(INPUT!$X$3:$X$1000,MATCH(1,(INPUT!$T$3:$T$1000=$I$2+3)*(INPUT!$U$3:$U$1000="RAUL"),0)),"")</f>
        <v>3</v>
      </c>
      <c r="U10" s="61" cm="1">
        <f t="array" ref="U10">IFERROR(INDEX(INPUT!$Y$3:$Y$1000,MATCH(1,(INPUT!$T$3:$T$1000=$I$2+3)*(INPUT!$U$3:$U$1000="RAUL"),0)),"")</f>
        <v>3</v>
      </c>
      <c r="V10" s="62">
        <f t="shared" si="3"/>
        <v>15</v>
      </c>
      <c r="W10" s="61" cm="1">
        <f t="array" ref="W10">IFERROR(INDEX(INPUT!$V$3:$V$1000,MATCH(1,(INPUT!$T$3:$T$1000=$I$2+4)*(INPUT!$U$3:$U$1000="RAUL"),0)),"")</f>
        <v>5</v>
      </c>
      <c r="X10" s="61" cm="1">
        <f t="array" ref="X10">IFERROR(INDEX(INPUT!$W$3:$W$1000,MATCH(1,(INPUT!$T$3:$T$1000=$I$2+4)*(INPUT!$U$3:$U$1000="RAUL"),0)),"")</f>
        <v>4</v>
      </c>
      <c r="Y10" s="61" cm="1">
        <f t="array" ref="Y10">IFERROR(INDEX(INPUT!$X$3:$X$1000,MATCH(1,(INPUT!$T$3:$T$1000=$I$2+4)*(INPUT!$U$3:$U$1000="RAUL"),0)),"")</f>
        <v>4</v>
      </c>
      <c r="Z10" s="61" cm="1">
        <f t="array" ref="Z10">IFERROR(INDEX(INPUT!$Y$3:$Y$1000,MATCH(1,(INPUT!$T$3:$T$1000=$I$2+4)*(INPUT!$U$3:$U$1000="RAUL"),0)),"")</f>
        <v>4</v>
      </c>
      <c r="AA10" s="62">
        <f t="shared" si="4"/>
        <v>17</v>
      </c>
      <c r="AB10" s="61" cm="1">
        <f t="array" ref="AB10">IFERROR(INDEX(INPUT!$V$3:$V$1000,MATCH(1,(INPUT!$T$3:$T$1000=$I$2+5)*(INPUT!$U$3:$U$1000="RAUL"),0)),"")</f>
        <v>5</v>
      </c>
      <c r="AC10" s="61" cm="1">
        <f t="array" ref="AC10">IFERROR(INDEX(INPUT!$W$3:$W$1000,MATCH(1,(INPUT!$T$3:$T$1000=$I$2+5)*(INPUT!$U$3:$U$1000="RAUL"),0)),"")</f>
        <v>4</v>
      </c>
      <c r="AD10" s="61" cm="1">
        <f t="array" ref="AD10">IFERROR(INDEX(INPUT!$X$3:$X$1000,MATCH(1,(INPUT!$T$3:$T$1000=$I$2+5)*(INPUT!$U$3:$U$1000="RAUL"),0)),"")</f>
        <v>4</v>
      </c>
      <c r="AE10" s="61" cm="1">
        <f t="array" ref="AE10">IFERROR(INDEX(INPUT!$Y$3:$Y$1000,MATCH(1,(INPUT!$T$3:$T$1000=$I$2+5)*(INPUT!$U$3:$U$1000="RAUL"),0)),"")</f>
        <v>4</v>
      </c>
      <c r="AF10" s="62">
        <f t="shared" si="5"/>
        <v>17</v>
      </c>
      <c r="AG10" s="61" cm="1">
        <f t="array" ref="AG10">IFERROR(INDEX(INPUT!$V$3:$V$1000,MATCH(1,(INPUT!$T$3:$T$1000=$I$2+6)*(INPUT!$U$3:$U$1000="RAUL"),0)),"")</f>
        <v>5</v>
      </c>
      <c r="AH10" s="61" cm="1">
        <f t="array" ref="AH10">IFERROR(INDEX(INPUT!$W$3:$W$1000,MATCH(1,(INPUT!$T$3:$T$1000=$I$2+6)*(INPUT!$U$3:$U$1000="RAUL"),0)),"")</f>
        <v>4</v>
      </c>
      <c r="AI10" s="61" cm="1">
        <f t="array" ref="AI10">IFERROR(INDEX(INPUT!$X$3:$X$1000,MATCH(1,(INPUT!$T$3:$T$1000=$I$2+6)*(INPUT!$U$3:$U$1000="RAUL"),0)),"")</f>
        <v>4</v>
      </c>
      <c r="AJ10" s="61" cm="1">
        <f t="array" ref="AJ10">IFERROR(INDEX(INPUT!$Y$3:$Y$1000,MATCH(1,(INPUT!$T$3:$T$1000=$I$2+6)*(INPUT!$U$3:$U$1000="RAUL"),0)),"")</f>
        <v>4</v>
      </c>
      <c r="AK10" s="62">
        <f t="shared" si="6"/>
        <v>17</v>
      </c>
      <c r="AL10" s="65">
        <f t="shared" si="7"/>
        <v>16.714285714285715</v>
      </c>
      <c r="AM10" s="61">
        <f t="shared" si="8"/>
        <v>7</v>
      </c>
    </row>
    <row r="11" spans="1:39" x14ac:dyDescent="0.2">
      <c r="A11" s="56">
        <v>7</v>
      </c>
      <c r="B11" s="9" t="s">
        <v>47</v>
      </c>
      <c r="C11" s="57" cm="1">
        <f t="array" ref="C11">IFERROR(INDEX(INPUT!$V$3:$V$1000,MATCH(1,(INPUT!$T$3:$T$1000=$I$2+0)*(INPUT!$U$3:$U$1000="HARRISON"),0)),"")</f>
        <v>3</v>
      </c>
      <c r="D11" s="57" cm="1">
        <f t="array" ref="D11">IFERROR(INDEX(INPUT!$W$3:$W$1000,MATCH(1,(INPUT!$T$3:$T$1000=$I$2+0)*(INPUT!$U$3:$U$1000="HARRISON"),0)),"")</f>
        <v>4</v>
      </c>
      <c r="E11" s="57" cm="1">
        <f t="array" ref="E11">IFERROR(INDEX(INPUT!$X$3:$X$1000,MATCH(1,(INPUT!$T$3:$T$1000=$I$2+0)*(INPUT!$U$3:$U$1000="HARRISON"),0)),"")</f>
        <v>4</v>
      </c>
      <c r="F11" s="57" cm="1">
        <f t="array" ref="F11">IFERROR(INDEX(INPUT!$Y$3:$Y$1000,MATCH(1,(INPUT!$T$3:$T$1000=$I$2+0)*(INPUT!$U$3:$U$1000="HARRISON"),0)),"")</f>
        <v>5</v>
      </c>
      <c r="G11" s="58">
        <f t="shared" si="0"/>
        <v>16</v>
      </c>
      <c r="H11" s="57" cm="1">
        <f t="array" ref="H11">IFERROR(INDEX(INPUT!$V$3:$V$1000,MATCH(1,(INPUT!$T$3:$T$1000=$I$2+1)*(INPUT!$U$3:$U$1000="HARRISON"),0)),"")</f>
        <v>4</v>
      </c>
      <c r="I11" s="57" cm="1">
        <f t="array" ref="I11">IFERROR(INDEX(INPUT!$W$3:$W$1000,MATCH(1,(INPUT!$T$3:$T$1000=$I$2+1)*(INPUT!$U$3:$U$1000="HARRISON"),0)),"")</f>
        <v>4</v>
      </c>
      <c r="J11" s="57" cm="1">
        <f t="array" ref="J11">IFERROR(INDEX(INPUT!$X$3:$X$1000,MATCH(1,(INPUT!$T$3:$T$1000=$I$2+1)*(INPUT!$U$3:$U$1000="HARRISON"),0)),"")</f>
        <v>3</v>
      </c>
      <c r="K11" s="57" cm="1">
        <f t="array" ref="K11">IFERROR(INDEX(INPUT!$Y$3:$Y$1000,MATCH(1,(INPUT!$T$3:$T$1000=$I$2+1)*(INPUT!$U$3:$U$1000="HARRISON"),0)),"")</f>
        <v>5</v>
      </c>
      <c r="L11" s="58">
        <f t="shared" si="1"/>
        <v>16</v>
      </c>
      <c r="M11" s="57" cm="1">
        <f t="array" ref="M11">IFERROR(INDEX(INPUT!$V$3:$V$1000,MATCH(1,(INPUT!$T$3:$T$1000=$I$2+2)*(INPUT!$U$3:$U$1000="HARRISON"),0)),"")</f>
        <v>3</v>
      </c>
      <c r="N11" s="57" cm="1">
        <f t="array" ref="N11">IFERROR(INDEX(INPUT!$W$3:$W$1000,MATCH(1,(INPUT!$T$3:$T$1000=$I$2+2)*(INPUT!$U$3:$U$1000="HARRISON"),0)),"")</f>
        <v>4</v>
      </c>
      <c r="O11" s="57" cm="1">
        <f t="array" ref="O11">IFERROR(INDEX(INPUT!$X$3:$X$1000,MATCH(1,(INPUT!$T$3:$T$1000=$I$2+2)*(INPUT!$U$3:$U$1000="HARRISON"),0)),"")</f>
        <v>4</v>
      </c>
      <c r="P11" s="57" cm="1">
        <f t="array" ref="P11">IFERROR(INDEX(INPUT!$Y$3:$Y$1000,MATCH(1,(INPUT!$T$3:$T$1000=$I$2+2)*(INPUT!$U$3:$U$1000="HARRISON"),0)),"")</f>
        <v>4</v>
      </c>
      <c r="Q11" s="58">
        <f t="shared" si="2"/>
        <v>15</v>
      </c>
      <c r="R11" s="57" cm="1">
        <f t="array" ref="R11">IFERROR(INDEX(INPUT!$V$3:$V$1000,MATCH(1,(INPUT!$T$3:$T$1000=$I$2+3)*(INPUT!$U$3:$U$1000="HARRISON"),0)),"")</f>
        <v>4</v>
      </c>
      <c r="S11" s="57" cm="1">
        <f t="array" ref="S11">IFERROR(INDEX(INPUT!$W$3:$W$1000,MATCH(1,(INPUT!$T$3:$T$1000=$I$2+3)*(INPUT!$U$3:$U$1000="HARRISON"),0)),"")</f>
        <v>4</v>
      </c>
      <c r="T11" s="57" cm="1">
        <f t="array" ref="T11">IFERROR(INDEX(INPUT!$X$3:$X$1000,MATCH(1,(INPUT!$T$3:$T$1000=$I$2+3)*(INPUT!$U$3:$U$1000="HARRISON"),0)),"")</f>
        <v>4</v>
      </c>
      <c r="U11" s="57" cm="1">
        <f t="array" ref="U11">IFERROR(INDEX(INPUT!$Y$3:$Y$1000,MATCH(1,(INPUT!$T$3:$T$1000=$I$2+3)*(INPUT!$U$3:$U$1000="HARRISON"),0)),"")</f>
        <v>5</v>
      </c>
      <c r="V11" s="58">
        <f t="shared" si="3"/>
        <v>17</v>
      </c>
      <c r="W11" s="57" cm="1">
        <f t="array" ref="W11">IFERROR(INDEX(INPUT!$V$3:$V$1000,MATCH(1,(INPUT!$T$3:$T$1000=$I$2+4)*(INPUT!$U$3:$U$1000="HARRISON"),0)),"")</f>
        <v>4</v>
      </c>
      <c r="X11" s="57" cm="1">
        <f t="array" ref="X11">IFERROR(INDEX(INPUT!$W$3:$W$1000,MATCH(1,(INPUT!$T$3:$T$1000=$I$2+4)*(INPUT!$U$3:$U$1000="HARRISON"),0)),"")</f>
        <v>4</v>
      </c>
      <c r="Y11" s="57" cm="1">
        <f t="array" ref="Y11">IFERROR(INDEX(INPUT!$X$3:$X$1000,MATCH(1,(INPUT!$T$3:$T$1000=$I$2+4)*(INPUT!$U$3:$U$1000="HARRISON"),0)),"")</f>
        <v>4</v>
      </c>
      <c r="Z11" s="57" cm="1">
        <f t="array" ref="Z11">IFERROR(INDEX(INPUT!$Y$3:$Y$1000,MATCH(1,(INPUT!$T$3:$T$1000=$I$2+4)*(INPUT!$U$3:$U$1000="HARRISON"),0)),"")</f>
        <v>5</v>
      </c>
      <c r="AA11" s="58">
        <f t="shared" si="4"/>
        <v>17</v>
      </c>
      <c r="AB11" s="57" cm="1">
        <f t="array" ref="AB11">IFERROR(INDEX(INPUT!$V$3:$V$1000,MATCH(1,(INPUT!$T$3:$T$1000=$I$2+5)*(INPUT!$U$3:$U$1000="HARRISON"),0)),"")</f>
        <v>4</v>
      </c>
      <c r="AC11" s="57" cm="1">
        <f t="array" ref="AC11">IFERROR(INDEX(INPUT!$W$3:$W$1000,MATCH(1,(INPUT!$T$3:$T$1000=$I$2+5)*(INPUT!$U$3:$U$1000="HARRISON"),0)),"")</f>
        <v>4</v>
      </c>
      <c r="AD11" s="57" cm="1">
        <f t="array" ref="AD11">IFERROR(INDEX(INPUT!$X$3:$X$1000,MATCH(1,(INPUT!$T$3:$T$1000=$I$2+5)*(INPUT!$U$3:$U$1000="HARRISON"),0)),"")</f>
        <v>5</v>
      </c>
      <c r="AE11" s="57" cm="1">
        <f t="array" ref="AE11">IFERROR(INDEX(INPUT!$Y$3:$Y$1000,MATCH(1,(INPUT!$T$3:$T$1000=$I$2+5)*(INPUT!$U$3:$U$1000="HARRISON"),0)),"")</f>
        <v>5</v>
      </c>
      <c r="AF11" s="58">
        <f t="shared" si="5"/>
        <v>18</v>
      </c>
      <c r="AG11" s="57" cm="1">
        <f t="array" ref="AG11">IFERROR(INDEX(INPUT!$V$3:$V$1000,MATCH(1,(INPUT!$T$3:$T$1000=$I$2+6)*(INPUT!$U$3:$U$1000="HARRISON"),0)),"")</f>
        <v>4</v>
      </c>
      <c r="AH11" s="57" cm="1">
        <f t="array" ref="AH11">IFERROR(INDEX(INPUT!$W$3:$W$1000,MATCH(1,(INPUT!$T$3:$T$1000=$I$2+6)*(INPUT!$U$3:$U$1000="HARRISON"),0)),"")</f>
        <v>4</v>
      </c>
      <c r="AI11" s="57" cm="1">
        <f t="array" ref="AI11">IFERROR(INDEX(INPUT!$X$3:$X$1000,MATCH(1,(INPUT!$T$3:$T$1000=$I$2+6)*(INPUT!$U$3:$U$1000="HARRISON"),0)),"")</f>
        <v>4</v>
      </c>
      <c r="AJ11" s="57" cm="1">
        <f t="array" ref="AJ11">IFERROR(INDEX(INPUT!$Y$3:$Y$1000,MATCH(1,(INPUT!$T$3:$T$1000=$I$2+6)*(INPUT!$U$3:$U$1000="HARRISON"),0)),"")</f>
        <v>5</v>
      </c>
      <c r="AK11" s="58">
        <f t="shared" si="6"/>
        <v>17</v>
      </c>
      <c r="AL11" s="66">
        <f t="shared" si="7"/>
        <v>16.571428571428573</v>
      </c>
      <c r="AM11" s="57">
        <f t="shared" si="8"/>
        <v>7</v>
      </c>
    </row>
    <row r="12" spans="1:39" x14ac:dyDescent="0.2">
      <c r="A12" s="59">
        <v>8</v>
      </c>
      <c r="B12" s="60" t="s">
        <v>48</v>
      </c>
      <c r="C12" s="61" cm="1">
        <f t="array" ref="C12">IFERROR(INDEX(INPUT!$V$3:$V$1000,MATCH(1,(INPUT!$T$3:$T$1000=$I$2+0)*(INPUT!$U$3:$U$1000="RAYA"),0)),"")</f>
        <v>5</v>
      </c>
      <c r="D12" s="61" cm="1">
        <f t="array" ref="D12">IFERROR(INDEX(INPUT!$W$3:$W$1000,MATCH(1,(INPUT!$T$3:$T$1000=$I$2+0)*(INPUT!$U$3:$U$1000="RAYA"),0)),"")</f>
        <v>5</v>
      </c>
      <c r="E12" s="61" cm="1">
        <f t="array" ref="E12">IFERROR(INDEX(INPUT!$X$3:$X$1000,MATCH(1,(INPUT!$T$3:$T$1000=$I$2+0)*(INPUT!$U$3:$U$1000="RAYA"),0)),"")</f>
        <v>5</v>
      </c>
      <c r="F12" s="61" cm="1">
        <f t="array" ref="F12">IFERROR(INDEX(INPUT!$Y$3:$Y$1000,MATCH(1,(INPUT!$T$3:$T$1000=$I$2+0)*(INPUT!$U$3:$U$1000="RAYA"),0)),"")</f>
        <v>5</v>
      </c>
      <c r="G12" s="62">
        <f t="shared" si="0"/>
        <v>20</v>
      </c>
      <c r="H12" s="61" cm="1">
        <f t="array" ref="H12">IFERROR(INDEX(INPUT!$V$3:$V$1000,MATCH(1,(INPUT!$T$3:$T$1000=$I$2+1)*(INPUT!$U$3:$U$1000="RAYA"),0)),"")</f>
        <v>4</v>
      </c>
      <c r="I12" s="61" cm="1">
        <f t="array" ref="I12">IFERROR(INDEX(INPUT!$W$3:$W$1000,MATCH(1,(INPUT!$T$3:$T$1000=$I$2+1)*(INPUT!$U$3:$U$1000="RAYA"),0)),"")</f>
        <v>4</v>
      </c>
      <c r="J12" s="61" cm="1">
        <f t="array" ref="J12">IFERROR(INDEX(INPUT!$X$3:$X$1000,MATCH(1,(INPUT!$T$3:$T$1000=$I$2+1)*(INPUT!$U$3:$U$1000="RAYA"),0)),"")</f>
        <v>5</v>
      </c>
      <c r="K12" s="61" cm="1">
        <f t="array" ref="K12">IFERROR(INDEX(INPUT!$Y$3:$Y$1000,MATCH(1,(INPUT!$T$3:$T$1000=$I$2+1)*(INPUT!$U$3:$U$1000="RAYA"),0)),"")</f>
        <v>5</v>
      </c>
      <c r="L12" s="62">
        <f t="shared" si="1"/>
        <v>18</v>
      </c>
      <c r="M12" s="61" cm="1">
        <f t="array" ref="M12">IFERROR(INDEX(INPUT!$V$3:$V$1000,MATCH(1,(INPUT!$T$3:$T$1000=$I$2+2)*(INPUT!$U$3:$U$1000="RAYA"),0)),"")</f>
        <v>4</v>
      </c>
      <c r="N12" s="61" cm="1">
        <f t="array" ref="N12">IFERROR(INDEX(INPUT!$W$3:$W$1000,MATCH(1,(INPUT!$T$3:$T$1000=$I$2+2)*(INPUT!$U$3:$U$1000="RAYA"),0)),"")</f>
        <v>4</v>
      </c>
      <c r="O12" s="61" cm="1">
        <f t="array" ref="O12">IFERROR(INDEX(INPUT!$X$3:$X$1000,MATCH(1,(INPUT!$T$3:$T$1000=$I$2+2)*(INPUT!$U$3:$U$1000="RAYA"),0)),"")</f>
        <v>4</v>
      </c>
      <c r="P12" s="61" cm="1">
        <f t="array" ref="P12">IFERROR(INDEX(INPUT!$Y$3:$Y$1000,MATCH(1,(INPUT!$T$3:$T$1000=$I$2+2)*(INPUT!$U$3:$U$1000="RAYA"),0)),"")</f>
        <v>5</v>
      </c>
      <c r="Q12" s="62">
        <f t="shared" si="2"/>
        <v>17</v>
      </c>
      <c r="R12" s="61" cm="1">
        <f t="array" ref="R12">IFERROR(INDEX(INPUT!$V$3:$V$1000,MATCH(1,(INPUT!$T$3:$T$1000=$I$2+3)*(INPUT!$U$3:$U$1000="RAYA"),0)),"")</f>
        <v>2</v>
      </c>
      <c r="S12" s="61" cm="1">
        <f t="array" ref="S12">IFERROR(INDEX(INPUT!$W$3:$W$1000,MATCH(1,(INPUT!$T$3:$T$1000=$I$2+3)*(INPUT!$U$3:$U$1000="RAYA"),0)),"")</f>
        <v>4</v>
      </c>
      <c r="T12" s="61" cm="1">
        <f t="array" ref="T12">IFERROR(INDEX(INPUT!$X$3:$X$1000,MATCH(1,(INPUT!$T$3:$T$1000=$I$2+3)*(INPUT!$U$3:$U$1000="RAYA"),0)),"")</f>
        <v>4</v>
      </c>
      <c r="U12" s="61" cm="1">
        <f t="array" ref="U12">IFERROR(INDEX(INPUT!$Y$3:$Y$1000,MATCH(1,(INPUT!$T$3:$T$1000=$I$2+3)*(INPUT!$U$3:$U$1000="RAYA"),0)),"")</f>
        <v>5</v>
      </c>
      <c r="V12" s="62">
        <f t="shared" si="3"/>
        <v>15</v>
      </c>
      <c r="W12" s="61" cm="1">
        <f t="array" ref="W12">IFERROR(INDEX(INPUT!$V$3:$V$1000,MATCH(1,(INPUT!$T$3:$T$1000=$I$2+4)*(INPUT!$U$3:$U$1000="RAYA"),0)),"")</f>
        <v>5</v>
      </c>
      <c r="X12" s="61" cm="1">
        <f t="array" ref="X12">IFERROR(INDEX(INPUT!$W$3:$W$1000,MATCH(1,(INPUT!$T$3:$T$1000=$I$2+4)*(INPUT!$U$3:$U$1000="RAYA"),0)),"")</f>
        <v>4</v>
      </c>
      <c r="Y12" s="61" cm="1">
        <f t="array" ref="Y12">IFERROR(INDEX(INPUT!$X$3:$X$1000,MATCH(1,(INPUT!$T$3:$T$1000=$I$2+4)*(INPUT!$U$3:$U$1000="RAYA"),0)),"")</f>
        <v>4</v>
      </c>
      <c r="Z12" s="61" cm="1">
        <f t="array" ref="Z12">IFERROR(INDEX(INPUT!$Y$3:$Y$1000,MATCH(1,(INPUT!$T$3:$T$1000=$I$2+4)*(INPUT!$U$3:$U$1000="RAYA"),0)),"")</f>
        <v>5</v>
      </c>
      <c r="AA12" s="62">
        <f t="shared" si="4"/>
        <v>18</v>
      </c>
      <c r="AB12" s="61" cm="1">
        <f t="array" ref="AB12">IFERROR(INDEX(INPUT!$V$3:$V$1000,MATCH(1,(INPUT!$T$3:$T$1000=$I$2+5)*(INPUT!$U$3:$U$1000="RAYA"),0)),"")</f>
        <v>5</v>
      </c>
      <c r="AC12" s="61" cm="1">
        <f t="array" ref="AC12">IFERROR(INDEX(INPUT!$W$3:$W$1000,MATCH(1,(INPUT!$T$3:$T$1000=$I$2+5)*(INPUT!$U$3:$U$1000="RAYA"),0)),"")</f>
        <v>4</v>
      </c>
      <c r="AD12" s="61" cm="1">
        <f t="array" ref="AD12">IFERROR(INDEX(INPUT!$X$3:$X$1000,MATCH(1,(INPUT!$T$3:$T$1000=$I$2+5)*(INPUT!$U$3:$U$1000="RAYA"),0)),"")</f>
        <v>4</v>
      </c>
      <c r="AE12" s="61" cm="1">
        <f t="array" ref="AE12">IFERROR(INDEX(INPUT!$Y$3:$Y$1000,MATCH(1,(INPUT!$T$3:$T$1000=$I$2+5)*(INPUT!$U$3:$U$1000="RAYA"),0)),"")</f>
        <v>5</v>
      </c>
      <c r="AF12" s="62">
        <f t="shared" si="5"/>
        <v>18</v>
      </c>
      <c r="AG12" s="61" cm="1">
        <f t="array" ref="AG12">IFERROR(INDEX(INPUT!$V$3:$V$1000,MATCH(1,(INPUT!$T$3:$T$1000=$I$2+6)*(INPUT!$U$3:$U$1000="RAYA"),0)),"")</f>
        <v>5</v>
      </c>
      <c r="AH12" s="61" cm="1">
        <f t="array" ref="AH12">IFERROR(INDEX(INPUT!$W$3:$W$1000,MATCH(1,(INPUT!$T$3:$T$1000=$I$2+6)*(INPUT!$U$3:$U$1000="RAYA"),0)),"")</f>
        <v>3</v>
      </c>
      <c r="AI12" s="61" cm="1">
        <f t="array" ref="AI12">IFERROR(INDEX(INPUT!$X$3:$X$1000,MATCH(1,(INPUT!$T$3:$T$1000=$I$2+6)*(INPUT!$U$3:$U$1000="RAYA"),0)),"")</f>
        <v>4</v>
      </c>
      <c r="AJ12" s="61" cm="1">
        <f t="array" ref="AJ12">IFERROR(INDEX(INPUT!$Y$3:$Y$1000,MATCH(1,(INPUT!$T$3:$T$1000=$I$2+6)*(INPUT!$U$3:$U$1000="RAYA"),0)),"")</f>
        <v>5</v>
      </c>
      <c r="AK12" s="62">
        <f t="shared" si="6"/>
        <v>17</v>
      </c>
      <c r="AL12" s="65">
        <f t="shared" si="7"/>
        <v>17.571428571428573</v>
      </c>
      <c r="AM12" s="61">
        <f t="shared" si="8"/>
        <v>7</v>
      </c>
    </row>
    <row r="13" spans="1:39" x14ac:dyDescent="0.2">
      <c r="A13" s="56">
        <v>9</v>
      </c>
      <c r="B13" s="9" t="s">
        <v>49</v>
      </c>
      <c r="C13" s="57" cm="1">
        <f t="array" ref="C13">IFERROR(INDEX(INPUT!$V$3:$V$1000,MATCH(1,(INPUT!$T$3:$T$1000=$I$2+0)*(INPUT!$U$3:$U$1000="JAVI"),0)),"")</f>
        <v>3</v>
      </c>
      <c r="D13" s="57" cm="1">
        <f t="array" ref="D13">IFERROR(INDEX(INPUT!$W$3:$W$1000,MATCH(1,(INPUT!$T$3:$T$1000=$I$2+0)*(INPUT!$U$3:$U$1000="JAVI"),0)),"")</f>
        <v>4</v>
      </c>
      <c r="E13" s="57" cm="1">
        <f t="array" ref="E13">IFERROR(INDEX(INPUT!$X$3:$X$1000,MATCH(1,(INPUT!$T$3:$T$1000=$I$2+0)*(INPUT!$U$3:$U$1000="JAVI"),0)),"")</f>
        <v>4</v>
      </c>
      <c r="F13" s="57" cm="1">
        <f t="array" ref="F13">IFERROR(INDEX(INPUT!$Y$3:$Y$1000,MATCH(1,(INPUT!$T$3:$T$1000=$I$2+0)*(INPUT!$U$3:$U$1000="JAVI"),0)),"")</f>
        <v>4</v>
      </c>
      <c r="G13" s="58">
        <f t="shared" si="0"/>
        <v>15</v>
      </c>
      <c r="H13" s="57" cm="1">
        <f t="array" ref="H13">IFERROR(INDEX(INPUT!$V$3:$V$1000,MATCH(1,(INPUT!$T$3:$T$1000=$I$2+1)*(INPUT!$U$3:$U$1000="JAVI"),0)),"")</f>
        <v>4</v>
      </c>
      <c r="I13" s="57" cm="1">
        <f t="array" ref="I13">IFERROR(INDEX(INPUT!$W$3:$W$1000,MATCH(1,(INPUT!$T$3:$T$1000=$I$2+1)*(INPUT!$U$3:$U$1000="JAVI"),0)),"")</f>
        <v>3</v>
      </c>
      <c r="J13" s="57" cm="1">
        <f t="array" ref="J13">IFERROR(INDEX(INPUT!$X$3:$X$1000,MATCH(1,(INPUT!$T$3:$T$1000=$I$2+1)*(INPUT!$U$3:$U$1000="JAVI"),0)),"")</f>
        <v>3</v>
      </c>
      <c r="K13" s="57" cm="1">
        <f t="array" ref="K13">IFERROR(INDEX(INPUT!$Y$3:$Y$1000,MATCH(1,(INPUT!$T$3:$T$1000=$I$2+1)*(INPUT!$U$3:$U$1000="JAVI"),0)),"")</f>
        <v>4</v>
      </c>
      <c r="L13" s="58">
        <f t="shared" si="1"/>
        <v>14</v>
      </c>
      <c r="M13" s="57" cm="1">
        <f t="array" ref="M13">IFERROR(INDEX(INPUT!$V$3:$V$1000,MATCH(1,(INPUT!$T$3:$T$1000=$I$2+2)*(INPUT!$U$3:$U$1000="JAVI"),0)),"")</f>
        <v>4</v>
      </c>
      <c r="N13" s="57" cm="1">
        <f t="array" ref="N13">IFERROR(INDEX(INPUT!$W$3:$W$1000,MATCH(1,(INPUT!$T$3:$T$1000=$I$2+2)*(INPUT!$U$3:$U$1000="JAVI"),0)),"")</f>
        <v>3</v>
      </c>
      <c r="O13" s="57" cm="1">
        <f t="array" ref="O13">IFERROR(INDEX(INPUT!$X$3:$X$1000,MATCH(1,(INPUT!$T$3:$T$1000=$I$2+2)*(INPUT!$U$3:$U$1000="JAVI"),0)),"")</f>
        <v>3</v>
      </c>
      <c r="P13" s="57" cm="1">
        <f t="array" ref="P13">IFERROR(INDEX(INPUT!$Y$3:$Y$1000,MATCH(1,(INPUT!$T$3:$T$1000=$I$2+2)*(INPUT!$U$3:$U$1000="JAVI"),0)),"")</f>
        <v>3</v>
      </c>
      <c r="Q13" s="58">
        <f t="shared" si="2"/>
        <v>13</v>
      </c>
      <c r="R13" s="57" cm="1">
        <f t="array" ref="R13">IFERROR(INDEX(INPUT!$V$3:$V$1000,MATCH(1,(INPUT!$T$3:$T$1000=$I$2+3)*(INPUT!$U$3:$U$1000="JAVI"),0)),"")</f>
        <v>3</v>
      </c>
      <c r="S13" s="57" cm="1">
        <f t="array" ref="S13">IFERROR(INDEX(INPUT!$W$3:$W$1000,MATCH(1,(INPUT!$T$3:$T$1000=$I$2+3)*(INPUT!$U$3:$U$1000="JAVI"),0)),"")</f>
        <v>3</v>
      </c>
      <c r="T13" s="57" cm="1">
        <f t="array" ref="T13">IFERROR(INDEX(INPUT!$X$3:$X$1000,MATCH(1,(INPUT!$T$3:$T$1000=$I$2+3)*(INPUT!$U$3:$U$1000="JAVI"),0)),"")</f>
        <v>4</v>
      </c>
      <c r="U13" s="57" cm="1">
        <f t="array" ref="U13">IFERROR(INDEX(INPUT!$Y$3:$Y$1000,MATCH(1,(INPUT!$T$3:$T$1000=$I$2+3)*(INPUT!$U$3:$U$1000="JAVI"),0)),"")</f>
        <v>4</v>
      </c>
      <c r="V13" s="58">
        <f t="shared" si="3"/>
        <v>14</v>
      </c>
      <c r="W13" s="57" cm="1">
        <f t="array" ref="W13">IFERROR(INDEX(INPUT!$V$3:$V$1000,MATCH(1,(INPUT!$T$3:$T$1000=$I$2+4)*(INPUT!$U$3:$U$1000="JAVI"),0)),"")</f>
        <v>4</v>
      </c>
      <c r="X13" s="57" cm="1">
        <f t="array" ref="X13">IFERROR(INDEX(INPUT!$W$3:$W$1000,MATCH(1,(INPUT!$T$3:$T$1000=$I$2+4)*(INPUT!$U$3:$U$1000="JAVI"),0)),"")</f>
        <v>4</v>
      </c>
      <c r="Y13" s="57" cm="1">
        <f t="array" ref="Y13">IFERROR(INDEX(INPUT!$X$3:$X$1000,MATCH(1,(INPUT!$T$3:$T$1000=$I$2+4)*(INPUT!$U$3:$U$1000="JAVI"),0)),"")</f>
        <v>4</v>
      </c>
      <c r="Z13" s="57" cm="1">
        <f t="array" ref="Z13">IFERROR(INDEX(INPUT!$Y$3:$Y$1000,MATCH(1,(INPUT!$T$3:$T$1000=$I$2+4)*(INPUT!$U$3:$U$1000="JAVI"),0)),"")</f>
        <v>4</v>
      </c>
      <c r="AA13" s="58">
        <f t="shared" si="4"/>
        <v>16</v>
      </c>
      <c r="AB13" s="57" cm="1">
        <f t="array" ref="AB13">IFERROR(INDEX(INPUT!$V$3:$V$1000,MATCH(1,(INPUT!$T$3:$T$1000=$I$2+5)*(INPUT!$U$3:$U$1000="JAVI"),0)),"")</f>
        <v>4</v>
      </c>
      <c r="AC13" s="57" cm="1">
        <f t="array" ref="AC13">IFERROR(INDEX(INPUT!$W$3:$W$1000,MATCH(1,(INPUT!$T$3:$T$1000=$I$2+5)*(INPUT!$U$3:$U$1000="JAVI"),0)),"")</f>
        <v>4</v>
      </c>
      <c r="AD13" s="57" cm="1">
        <f t="array" ref="AD13">IFERROR(INDEX(INPUT!$X$3:$X$1000,MATCH(1,(INPUT!$T$3:$T$1000=$I$2+5)*(INPUT!$U$3:$U$1000="JAVI"),0)),"")</f>
        <v>4</v>
      </c>
      <c r="AE13" s="57" cm="1">
        <f t="array" ref="AE13">IFERROR(INDEX(INPUT!$Y$3:$Y$1000,MATCH(1,(INPUT!$T$3:$T$1000=$I$2+5)*(INPUT!$U$3:$U$1000="JAVI"),0)),"")</f>
        <v>4</v>
      </c>
      <c r="AF13" s="58">
        <f t="shared" si="5"/>
        <v>16</v>
      </c>
      <c r="AG13" s="57" cm="1">
        <f t="array" ref="AG13">IFERROR(INDEX(INPUT!$V$3:$V$1000,MATCH(1,(INPUT!$T$3:$T$1000=$I$2+6)*(INPUT!$U$3:$U$1000="JAVI"),0)),"")</f>
        <v>4</v>
      </c>
      <c r="AH13" s="57" cm="1">
        <f t="array" ref="AH13">IFERROR(INDEX(INPUT!$W$3:$W$1000,MATCH(1,(INPUT!$T$3:$T$1000=$I$2+6)*(INPUT!$U$3:$U$1000="JAVI"),0)),"")</f>
        <v>4</v>
      </c>
      <c r="AI13" s="57" cm="1">
        <f t="array" ref="AI13">IFERROR(INDEX(INPUT!$X$3:$X$1000,MATCH(1,(INPUT!$T$3:$T$1000=$I$2+6)*(INPUT!$U$3:$U$1000="JAVI"),0)),"")</f>
        <v>4</v>
      </c>
      <c r="AJ13" s="57" cm="1">
        <f t="array" ref="AJ13">IFERROR(INDEX(INPUT!$Y$3:$Y$1000,MATCH(1,(INPUT!$T$3:$T$1000=$I$2+6)*(INPUT!$U$3:$U$1000="JAVI"),0)),"")</f>
        <v>4</v>
      </c>
      <c r="AK13" s="58">
        <f t="shared" si="6"/>
        <v>16</v>
      </c>
      <c r="AL13" s="66">
        <f t="shared" si="7"/>
        <v>14.857142857142858</v>
      </c>
      <c r="AM13" s="57">
        <f t="shared" si="8"/>
        <v>7</v>
      </c>
    </row>
    <row r="14" spans="1:39" x14ac:dyDescent="0.2">
      <c r="A14" s="59">
        <v>10</v>
      </c>
      <c r="B14" s="60" t="s">
        <v>50</v>
      </c>
      <c r="C14" s="61" cm="1">
        <f t="array" ref="C14">IFERROR(INDEX(INPUT!$V$3:$V$1000,MATCH(1,(INPUT!$T$3:$T$1000=$I$2+0)*(INPUT!$U$3:$U$1000="PANI"),0)),"")</f>
        <v>3</v>
      </c>
      <c r="D14" s="61" cm="1">
        <f t="array" ref="D14">IFERROR(INDEX(INPUT!$W$3:$W$1000,MATCH(1,(INPUT!$T$3:$T$1000=$I$2+0)*(INPUT!$U$3:$U$1000="PANI"),0)),"")</f>
        <v>4</v>
      </c>
      <c r="E14" s="61" cm="1">
        <f t="array" ref="E14">IFERROR(INDEX(INPUT!$X$3:$X$1000,MATCH(1,(INPUT!$T$3:$T$1000=$I$2+0)*(INPUT!$U$3:$U$1000="PANI"),0)),"")</f>
        <v>3</v>
      </c>
      <c r="F14" s="61" cm="1">
        <f t="array" ref="F14">IFERROR(INDEX(INPUT!$Y$3:$Y$1000,MATCH(1,(INPUT!$T$3:$T$1000=$I$2+0)*(INPUT!$U$3:$U$1000="PANI"),0)),"")</f>
        <v>5</v>
      </c>
      <c r="G14" s="62">
        <f t="shared" si="0"/>
        <v>15</v>
      </c>
      <c r="H14" s="61" cm="1">
        <f t="array" ref="H14">IFERROR(INDEX(INPUT!$V$3:$V$1000,MATCH(1,(INPUT!$T$3:$T$1000=$I$2+1)*(INPUT!$U$3:$U$1000="PANI"),0)),"")</f>
        <v>3</v>
      </c>
      <c r="I14" s="61" cm="1">
        <f t="array" ref="I14">IFERROR(INDEX(INPUT!$W$3:$W$1000,MATCH(1,(INPUT!$T$3:$T$1000=$I$2+1)*(INPUT!$U$3:$U$1000="PANI"),0)),"")</f>
        <v>4</v>
      </c>
      <c r="J14" s="61" cm="1">
        <f t="array" ref="J14">IFERROR(INDEX(INPUT!$X$3:$X$1000,MATCH(1,(INPUT!$T$3:$T$1000=$I$2+1)*(INPUT!$U$3:$U$1000="PANI"),0)),"")</f>
        <v>3</v>
      </c>
      <c r="K14" s="61" cm="1">
        <f t="array" ref="K14">IFERROR(INDEX(INPUT!$Y$3:$Y$1000,MATCH(1,(INPUT!$T$3:$T$1000=$I$2+1)*(INPUT!$U$3:$U$1000="PANI"),0)),"")</f>
        <v>5</v>
      </c>
      <c r="L14" s="62">
        <f t="shared" si="1"/>
        <v>15</v>
      </c>
      <c r="M14" s="61" cm="1">
        <f t="array" ref="M14">IFERROR(INDEX(INPUT!$V$3:$V$1000,MATCH(1,(INPUT!$T$3:$T$1000=$I$2+2)*(INPUT!$U$3:$U$1000="PANI"),0)),"")</f>
        <v>3</v>
      </c>
      <c r="N14" s="61" cm="1">
        <f t="array" ref="N14">IFERROR(INDEX(INPUT!$W$3:$W$1000,MATCH(1,(INPUT!$T$3:$T$1000=$I$2+2)*(INPUT!$U$3:$U$1000="PANI"),0)),"")</f>
        <v>3</v>
      </c>
      <c r="O14" s="61" cm="1">
        <f t="array" ref="O14">IFERROR(INDEX(INPUT!$X$3:$X$1000,MATCH(1,(INPUT!$T$3:$T$1000=$I$2+2)*(INPUT!$U$3:$U$1000="PANI"),0)),"")</f>
        <v>3</v>
      </c>
      <c r="P14" s="61" cm="1">
        <f t="array" ref="P14">IFERROR(INDEX(INPUT!$Y$3:$Y$1000,MATCH(1,(INPUT!$T$3:$T$1000=$I$2+2)*(INPUT!$U$3:$U$1000="PANI"),0)),"")</f>
        <v>5</v>
      </c>
      <c r="Q14" s="62">
        <f t="shared" si="2"/>
        <v>14</v>
      </c>
      <c r="R14" s="61" cm="1">
        <f t="array" ref="R14">IFERROR(INDEX(INPUT!$V$3:$V$1000,MATCH(1,(INPUT!$T$3:$T$1000=$I$2+3)*(INPUT!$U$3:$U$1000="PANI"),0)),"")</f>
        <v>3</v>
      </c>
      <c r="S14" s="61" cm="1">
        <f t="array" ref="S14">IFERROR(INDEX(INPUT!$W$3:$W$1000,MATCH(1,(INPUT!$T$3:$T$1000=$I$2+3)*(INPUT!$U$3:$U$1000="PANI"),0)),"")</f>
        <v>3</v>
      </c>
      <c r="T14" s="61" cm="1">
        <f t="array" ref="T14">IFERROR(INDEX(INPUT!$X$3:$X$1000,MATCH(1,(INPUT!$T$3:$T$1000=$I$2+3)*(INPUT!$U$3:$U$1000="PANI"),0)),"")</f>
        <v>4</v>
      </c>
      <c r="U14" s="61" cm="1">
        <f t="array" ref="U14">IFERROR(INDEX(INPUT!$Y$3:$Y$1000,MATCH(1,(INPUT!$T$3:$T$1000=$I$2+3)*(INPUT!$U$3:$U$1000="PANI"),0)),"")</f>
        <v>5</v>
      </c>
      <c r="V14" s="62">
        <f t="shared" si="3"/>
        <v>15</v>
      </c>
      <c r="W14" s="61" cm="1">
        <f t="array" ref="W14">IFERROR(INDEX(INPUT!$V$3:$V$1000,MATCH(1,(INPUT!$T$3:$T$1000=$I$2+4)*(INPUT!$U$3:$U$1000="PANI"),0)),"")</f>
        <v>4</v>
      </c>
      <c r="X14" s="61" cm="1">
        <f t="array" ref="X14">IFERROR(INDEX(INPUT!$W$3:$W$1000,MATCH(1,(INPUT!$T$3:$T$1000=$I$2+4)*(INPUT!$U$3:$U$1000="PANI"),0)),"")</f>
        <v>4</v>
      </c>
      <c r="Y14" s="61" cm="1">
        <f t="array" ref="Y14">IFERROR(INDEX(INPUT!$X$3:$X$1000,MATCH(1,(INPUT!$T$3:$T$1000=$I$2+4)*(INPUT!$U$3:$U$1000="PANI"),0)),"")</f>
        <v>4</v>
      </c>
      <c r="Z14" s="61" cm="1">
        <f t="array" ref="Z14">IFERROR(INDEX(INPUT!$Y$3:$Y$1000,MATCH(1,(INPUT!$T$3:$T$1000=$I$2+4)*(INPUT!$U$3:$U$1000="PANI"),0)),"")</f>
        <v>5</v>
      </c>
      <c r="AA14" s="62">
        <f t="shared" si="4"/>
        <v>17</v>
      </c>
      <c r="AB14" s="61" cm="1">
        <f t="array" ref="AB14">IFERROR(INDEX(INPUT!$V$3:$V$1000,MATCH(1,(INPUT!$T$3:$T$1000=$I$2+5)*(INPUT!$U$3:$U$1000="PANI"),0)),"")</f>
        <v>5</v>
      </c>
      <c r="AC14" s="61" cm="1">
        <f t="array" ref="AC14">IFERROR(INDEX(INPUT!$W$3:$W$1000,MATCH(1,(INPUT!$T$3:$T$1000=$I$2+5)*(INPUT!$U$3:$U$1000="PANI"),0)),"")</f>
        <v>4</v>
      </c>
      <c r="AD14" s="61" cm="1">
        <f t="array" ref="AD14">IFERROR(INDEX(INPUT!$X$3:$X$1000,MATCH(1,(INPUT!$T$3:$T$1000=$I$2+5)*(INPUT!$U$3:$U$1000="PANI"),0)),"")</f>
        <v>4</v>
      </c>
      <c r="AE14" s="61" cm="1">
        <f t="array" ref="AE14">IFERROR(INDEX(INPUT!$Y$3:$Y$1000,MATCH(1,(INPUT!$T$3:$T$1000=$I$2+5)*(INPUT!$U$3:$U$1000="PANI"),0)),"")</f>
        <v>5</v>
      </c>
      <c r="AF14" s="62">
        <f t="shared" si="5"/>
        <v>18</v>
      </c>
      <c r="AG14" s="61" cm="1">
        <f t="array" ref="AG14">IFERROR(INDEX(INPUT!$V$3:$V$1000,MATCH(1,(INPUT!$T$3:$T$1000=$I$2+6)*(INPUT!$U$3:$U$1000="PANI"),0)),"")</f>
        <v>4</v>
      </c>
      <c r="AH14" s="61" cm="1">
        <f t="array" ref="AH14">IFERROR(INDEX(INPUT!$W$3:$W$1000,MATCH(1,(INPUT!$T$3:$T$1000=$I$2+6)*(INPUT!$U$3:$U$1000="PANI"),0)),"")</f>
        <v>4</v>
      </c>
      <c r="AI14" s="61" cm="1">
        <f t="array" ref="AI14">IFERROR(INDEX(INPUT!$X$3:$X$1000,MATCH(1,(INPUT!$T$3:$T$1000=$I$2+6)*(INPUT!$U$3:$U$1000="PANI"),0)),"")</f>
        <v>4</v>
      </c>
      <c r="AJ14" s="61" cm="1">
        <f t="array" ref="AJ14">IFERROR(INDEX(INPUT!$Y$3:$Y$1000,MATCH(1,(INPUT!$T$3:$T$1000=$I$2+6)*(INPUT!$U$3:$U$1000="PANI"),0)),"")</f>
        <v>5</v>
      </c>
      <c r="AK14" s="62">
        <f t="shared" si="6"/>
        <v>17</v>
      </c>
      <c r="AL14" s="65">
        <f t="shared" si="7"/>
        <v>15.857142857142858</v>
      </c>
      <c r="AM14" s="61">
        <f t="shared" si="8"/>
        <v>7</v>
      </c>
    </row>
    <row r="15" spans="1:39" x14ac:dyDescent="0.2">
      <c r="A15" s="56">
        <v>11</v>
      </c>
      <c r="B15" s="9" t="s">
        <v>51</v>
      </c>
      <c r="C15" s="57" cm="1">
        <f t="array" ref="C15">IFERROR(INDEX(INPUT!$V$3:$V$1000,MATCH(1,(INPUT!$T$3:$T$1000=$I$2+0)*(INPUT!$U$3:$U$1000="PIRATA"),0)),"")</f>
        <v>3</v>
      </c>
      <c r="D15" s="57" cm="1">
        <f t="array" ref="D15">IFERROR(INDEX(INPUT!$W$3:$W$1000,MATCH(1,(INPUT!$T$3:$T$1000=$I$2+0)*(INPUT!$U$3:$U$1000="PIRATA"),0)),"")</f>
        <v>4</v>
      </c>
      <c r="E15" s="57" cm="1">
        <f t="array" ref="E15">IFERROR(INDEX(INPUT!$X$3:$X$1000,MATCH(1,(INPUT!$T$3:$T$1000=$I$2+0)*(INPUT!$U$3:$U$1000="PIRATA"),0)),"")</f>
        <v>4</v>
      </c>
      <c r="F15" s="57" cm="1">
        <f t="array" ref="F15">IFERROR(INDEX(INPUT!$Y$3:$Y$1000,MATCH(1,(INPUT!$T$3:$T$1000=$I$2+0)*(INPUT!$U$3:$U$1000="PIRATA"),0)),"")</f>
        <v>5</v>
      </c>
      <c r="G15" s="58">
        <f t="shared" si="0"/>
        <v>16</v>
      </c>
      <c r="H15" s="57" cm="1">
        <f t="array" ref="H15">IFERROR(INDEX(INPUT!$V$3:$V$1000,MATCH(1,(INPUT!$T$3:$T$1000=$I$2+1)*(INPUT!$U$3:$U$1000="PIRATA"),0)),"")</f>
        <v>4</v>
      </c>
      <c r="I15" s="57" cm="1">
        <f t="array" ref="I15">IFERROR(INDEX(INPUT!$W$3:$W$1000,MATCH(1,(INPUT!$T$3:$T$1000=$I$2+1)*(INPUT!$U$3:$U$1000="PIRATA"),0)),"")</f>
        <v>4</v>
      </c>
      <c r="J15" s="57" cm="1">
        <f t="array" ref="J15">IFERROR(INDEX(INPUT!$X$3:$X$1000,MATCH(1,(INPUT!$T$3:$T$1000=$I$2+1)*(INPUT!$U$3:$U$1000="PIRATA"),0)),"")</f>
        <v>4</v>
      </c>
      <c r="K15" s="57" cm="1">
        <f t="array" ref="K15">IFERROR(INDEX(INPUT!$Y$3:$Y$1000,MATCH(1,(INPUT!$T$3:$T$1000=$I$2+1)*(INPUT!$U$3:$U$1000="PIRATA"),0)),"")</f>
        <v>3</v>
      </c>
      <c r="L15" s="58">
        <f t="shared" si="1"/>
        <v>15</v>
      </c>
      <c r="M15" s="57" cm="1">
        <f t="array" ref="M15">IFERROR(INDEX(INPUT!$V$3:$V$1000,MATCH(1,(INPUT!$T$3:$T$1000=$I$2+2)*(INPUT!$U$3:$U$1000="PIRATA"),0)),"")</f>
        <v>4</v>
      </c>
      <c r="N15" s="57" cm="1">
        <f t="array" ref="N15">IFERROR(INDEX(INPUT!$W$3:$W$1000,MATCH(1,(INPUT!$T$3:$T$1000=$I$2+2)*(INPUT!$U$3:$U$1000="PIRATA"),0)),"")</f>
        <v>3</v>
      </c>
      <c r="O15" s="57" cm="1">
        <f t="array" ref="O15">IFERROR(INDEX(INPUT!$X$3:$X$1000,MATCH(1,(INPUT!$T$3:$T$1000=$I$2+2)*(INPUT!$U$3:$U$1000="PIRATA"),0)),"")</f>
        <v>3</v>
      </c>
      <c r="P15" s="57" cm="1">
        <f t="array" ref="P15">IFERROR(INDEX(INPUT!$Y$3:$Y$1000,MATCH(1,(INPUT!$T$3:$T$1000=$I$2+2)*(INPUT!$U$3:$U$1000="PIRATA"),0)),"")</f>
        <v>3</v>
      </c>
      <c r="Q15" s="58">
        <f t="shared" si="2"/>
        <v>13</v>
      </c>
      <c r="R15" s="57" cm="1">
        <f t="array" ref="R15">IFERROR(INDEX(INPUT!$V$3:$V$1000,MATCH(1,(INPUT!$T$3:$T$1000=$I$2+3)*(INPUT!$U$3:$U$1000="PIRATA"),0)),"")</f>
        <v>4</v>
      </c>
      <c r="S15" s="57" cm="1">
        <f t="array" ref="S15">IFERROR(INDEX(INPUT!$W$3:$W$1000,MATCH(1,(INPUT!$T$3:$T$1000=$I$2+3)*(INPUT!$U$3:$U$1000="PIRATA"),0)),"")</f>
        <v>3</v>
      </c>
      <c r="T15" s="57" cm="1">
        <f t="array" ref="T15">IFERROR(INDEX(INPUT!$X$3:$X$1000,MATCH(1,(INPUT!$T$3:$T$1000=$I$2+3)*(INPUT!$U$3:$U$1000="PIRATA"),0)),"")</f>
        <v>3</v>
      </c>
      <c r="U15" s="57" cm="1">
        <f t="array" ref="U15">IFERROR(INDEX(INPUT!$Y$3:$Y$1000,MATCH(1,(INPUT!$T$3:$T$1000=$I$2+3)*(INPUT!$U$3:$U$1000="PIRATA"),0)),"")</f>
        <v>3</v>
      </c>
      <c r="V15" s="58">
        <f t="shared" si="3"/>
        <v>13</v>
      </c>
      <c r="W15" s="57" cm="1">
        <f t="array" ref="W15">IFERROR(INDEX(INPUT!$V$3:$V$1000,MATCH(1,(INPUT!$T$3:$T$1000=$I$2+4)*(INPUT!$U$3:$U$1000="PIRATA"),0)),"")</f>
        <v>4</v>
      </c>
      <c r="X15" s="57" cm="1">
        <f t="array" ref="X15">IFERROR(INDEX(INPUT!$W$3:$W$1000,MATCH(1,(INPUT!$T$3:$T$1000=$I$2+4)*(INPUT!$U$3:$U$1000="PIRATA"),0)),"")</f>
        <v>4</v>
      </c>
      <c r="Y15" s="57" cm="1">
        <f t="array" ref="Y15">IFERROR(INDEX(INPUT!$X$3:$X$1000,MATCH(1,(INPUT!$T$3:$T$1000=$I$2+4)*(INPUT!$U$3:$U$1000="PIRATA"),0)),"")</f>
        <v>3</v>
      </c>
      <c r="Z15" s="57" cm="1">
        <f t="array" ref="Z15">IFERROR(INDEX(INPUT!$Y$3:$Y$1000,MATCH(1,(INPUT!$T$3:$T$1000=$I$2+4)*(INPUT!$U$3:$U$1000="PIRATA"),0)),"")</f>
        <v>4</v>
      </c>
      <c r="AA15" s="58">
        <f t="shared" si="4"/>
        <v>15</v>
      </c>
      <c r="AB15" s="57" cm="1">
        <f t="array" ref="AB15">IFERROR(INDEX(INPUT!$V$3:$V$1000,MATCH(1,(INPUT!$T$3:$T$1000=$I$2+5)*(INPUT!$U$3:$U$1000="PIRATA"),0)),"")</f>
        <v>5</v>
      </c>
      <c r="AC15" s="57" cm="1">
        <f t="array" ref="AC15">IFERROR(INDEX(INPUT!$W$3:$W$1000,MATCH(1,(INPUT!$T$3:$T$1000=$I$2+5)*(INPUT!$U$3:$U$1000="PIRATA"),0)),"")</f>
        <v>5</v>
      </c>
      <c r="AD15" s="57" cm="1">
        <f t="array" ref="AD15">IFERROR(INDEX(INPUT!$X$3:$X$1000,MATCH(1,(INPUT!$T$3:$T$1000=$I$2+5)*(INPUT!$U$3:$U$1000="PIRATA"),0)),"")</f>
        <v>5</v>
      </c>
      <c r="AE15" s="57" cm="1">
        <f t="array" ref="AE15">IFERROR(INDEX(INPUT!$Y$3:$Y$1000,MATCH(1,(INPUT!$T$3:$T$1000=$I$2+5)*(INPUT!$U$3:$U$1000="PIRATA"),0)),"")</f>
        <v>5</v>
      </c>
      <c r="AF15" s="58">
        <f t="shared" si="5"/>
        <v>20</v>
      </c>
      <c r="AG15" s="57" cm="1">
        <f t="array" ref="AG15">IFERROR(INDEX(INPUT!$V$3:$V$1000,MATCH(1,(INPUT!$T$3:$T$1000=$I$2+6)*(INPUT!$U$3:$U$1000="PIRATA"),0)),"")</f>
        <v>5</v>
      </c>
      <c r="AH15" s="57" cm="1">
        <f t="array" ref="AH15">IFERROR(INDEX(INPUT!$W$3:$W$1000,MATCH(1,(INPUT!$T$3:$T$1000=$I$2+6)*(INPUT!$U$3:$U$1000="PIRATA"),0)),"")</f>
        <v>4</v>
      </c>
      <c r="AI15" s="57" cm="1">
        <f t="array" ref="AI15">IFERROR(INDEX(INPUT!$X$3:$X$1000,MATCH(1,(INPUT!$T$3:$T$1000=$I$2+6)*(INPUT!$U$3:$U$1000="PIRATA"),0)),"")</f>
        <v>4</v>
      </c>
      <c r="AJ15" s="57" cm="1">
        <f t="array" ref="AJ15">IFERROR(INDEX(INPUT!$Y$3:$Y$1000,MATCH(1,(INPUT!$T$3:$T$1000=$I$2+6)*(INPUT!$U$3:$U$1000="PIRATA"),0)),"")</f>
        <v>5</v>
      </c>
      <c r="AK15" s="58">
        <f t="shared" si="6"/>
        <v>18</v>
      </c>
      <c r="AL15" s="66">
        <f t="shared" si="7"/>
        <v>15.714285714285714</v>
      </c>
      <c r="AM15" s="57">
        <f t="shared" si="8"/>
        <v>7</v>
      </c>
    </row>
    <row r="16" spans="1:39" x14ac:dyDescent="0.2">
      <c r="A16" s="59">
        <v>12</v>
      </c>
      <c r="B16" s="60" t="s">
        <v>52</v>
      </c>
      <c r="C16" s="61" cm="1">
        <f t="array" ref="C16">IFERROR(INDEX(INPUT!$V$3:$V$1000,MATCH(1,(INPUT!$T$3:$T$1000=$I$2+0)*(INPUT!$U$3:$U$1000="BARONA"),0)),"")</f>
        <v>4</v>
      </c>
      <c r="D16" s="61" cm="1">
        <f t="array" ref="D16">IFERROR(INDEX(INPUT!$W$3:$W$1000,MATCH(1,(INPUT!$T$3:$T$1000=$I$2+0)*(INPUT!$U$3:$U$1000="BARONA"),0)),"")</f>
        <v>5</v>
      </c>
      <c r="E16" s="61" cm="1">
        <f t="array" ref="E16">IFERROR(INDEX(INPUT!$X$3:$X$1000,MATCH(1,(INPUT!$T$3:$T$1000=$I$2+0)*(INPUT!$U$3:$U$1000="BARONA"),0)),"")</f>
        <v>3</v>
      </c>
      <c r="F16" s="61" cm="1">
        <f t="array" ref="F16">IFERROR(INDEX(INPUT!$Y$3:$Y$1000,MATCH(1,(INPUT!$T$3:$T$1000=$I$2+0)*(INPUT!$U$3:$U$1000="BARONA"),0)),"")</f>
        <v>2</v>
      </c>
      <c r="G16" s="62">
        <f t="shared" si="0"/>
        <v>14</v>
      </c>
      <c r="H16" s="61" cm="1">
        <f t="array" ref="H16">IFERROR(INDEX(INPUT!$V$3:$V$1000,MATCH(1,(INPUT!$T$3:$T$1000=$I$2+1)*(INPUT!$U$3:$U$1000="BARONA"),0)),"")</f>
        <v>4</v>
      </c>
      <c r="I16" s="61" cm="1">
        <f t="array" ref="I16">IFERROR(INDEX(INPUT!$W$3:$W$1000,MATCH(1,(INPUT!$T$3:$T$1000=$I$2+1)*(INPUT!$U$3:$U$1000="BARONA"),0)),"")</f>
        <v>5</v>
      </c>
      <c r="J16" s="61" cm="1">
        <f t="array" ref="J16">IFERROR(INDEX(INPUT!$X$3:$X$1000,MATCH(1,(INPUT!$T$3:$T$1000=$I$2+1)*(INPUT!$U$3:$U$1000="BARONA"),0)),"")</f>
        <v>2</v>
      </c>
      <c r="K16" s="61" cm="1">
        <f t="array" ref="K16">IFERROR(INDEX(INPUT!$Y$3:$Y$1000,MATCH(1,(INPUT!$T$3:$T$1000=$I$2+1)*(INPUT!$U$3:$U$1000="BARONA"),0)),"")</f>
        <v>3</v>
      </c>
      <c r="L16" s="62">
        <f t="shared" si="1"/>
        <v>14</v>
      </c>
      <c r="M16" s="61" t="str" cm="1">
        <f t="array" ref="M16">IFERROR(INDEX(INPUT!$V$3:$V$1000,MATCH(1,(INPUT!$T$3:$T$1000=$I$2+2)*(INPUT!$U$3:$U$1000="BARONA"),0)),"")</f>
        <v/>
      </c>
      <c r="N16" s="61" t="str" cm="1">
        <f t="array" ref="N16">IFERROR(INDEX(INPUT!$W$3:$W$1000,MATCH(1,(INPUT!$T$3:$T$1000=$I$2+2)*(INPUT!$U$3:$U$1000="BARONA"),0)),"")</f>
        <v/>
      </c>
      <c r="O16" s="61" t="str" cm="1">
        <f t="array" ref="O16">IFERROR(INDEX(INPUT!$X$3:$X$1000,MATCH(1,(INPUT!$T$3:$T$1000=$I$2+2)*(INPUT!$U$3:$U$1000="BARONA"),0)),"")</f>
        <v/>
      </c>
      <c r="P16" s="61" t="str" cm="1">
        <f t="array" ref="P16">IFERROR(INDEX(INPUT!$Y$3:$Y$1000,MATCH(1,(INPUT!$T$3:$T$1000=$I$2+2)*(INPUT!$U$3:$U$1000="BARONA"),0)),"")</f>
        <v/>
      </c>
      <c r="Q16" s="62" t="str">
        <f t="shared" si="2"/>
        <v/>
      </c>
      <c r="R16" s="61" cm="1">
        <f t="array" ref="R16">IFERROR(INDEX(INPUT!$V$3:$V$1000,MATCH(1,(INPUT!$T$3:$T$1000=$I$2+3)*(INPUT!$U$3:$U$1000="BARONA"),0)),"")</f>
        <v>4</v>
      </c>
      <c r="S16" s="61" cm="1">
        <f t="array" ref="S16">IFERROR(INDEX(INPUT!$W$3:$W$1000,MATCH(1,(INPUT!$T$3:$T$1000=$I$2+3)*(INPUT!$U$3:$U$1000="BARONA"),0)),"")</f>
        <v>5</v>
      </c>
      <c r="T16" s="61" cm="1">
        <f t="array" ref="T16">IFERROR(INDEX(INPUT!$X$3:$X$1000,MATCH(1,(INPUT!$T$3:$T$1000=$I$2+3)*(INPUT!$U$3:$U$1000="BARONA"),0)),"")</f>
        <v>3</v>
      </c>
      <c r="U16" s="61" cm="1">
        <f t="array" ref="U16">IFERROR(INDEX(INPUT!$Y$3:$Y$1000,MATCH(1,(INPUT!$T$3:$T$1000=$I$2+3)*(INPUT!$U$3:$U$1000="BARONA"),0)),"")</f>
        <v>3</v>
      </c>
      <c r="V16" s="62">
        <f t="shared" si="3"/>
        <v>15</v>
      </c>
      <c r="W16" s="61" cm="1">
        <f t="array" ref="W16">IFERROR(INDEX(INPUT!$V$3:$V$1000,MATCH(1,(INPUT!$T$3:$T$1000=$I$2+4)*(INPUT!$U$3:$U$1000="BARONA"),0)),"")</f>
        <v>4</v>
      </c>
      <c r="X16" s="61" cm="1">
        <f t="array" ref="X16">IFERROR(INDEX(INPUT!$W$3:$W$1000,MATCH(1,(INPUT!$T$3:$T$1000=$I$2+4)*(INPUT!$U$3:$U$1000="BARONA"),0)),"")</f>
        <v>5</v>
      </c>
      <c r="Y16" s="61" cm="1">
        <f t="array" ref="Y16">IFERROR(INDEX(INPUT!$X$3:$X$1000,MATCH(1,(INPUT!$T$3:$T$1000=$I$2+4)*(INPUT!$U$3:$U$1000="BARONA"),0)),"")</f>
        <v>3</v>
      </c>
      <c r="Z16" s="61" cm="1">
        <f t="array" ref="Z16">IFERROR(INDEX(INPUT!$Y$3:$Y$1000,MATCH(1,(INPUT!$T$3:$T$1000=$I$2+4)*(INPUT!$U$3:$U$1000="BARONA"),0)),"")</f>
        <v>3</v>
      </c>
      <c r="AA16" s="62">
        <f t="shared" si="4"/>
        <v>15</v>
      </c>
      <c r="AB16" s="61" t="str" cm="1">
        <f t="array" ref="AB16">IFERROR(INDEX(INPUT!$V$3:$V$1000,MATCH(1,(INPUT!$T$3:$T$1000=$I$2+5)*(INPUT!$U$3:$U$1000="BARONA"),0)),"")</f>
        <v/>
      </c>
      <c r="AC16" s="61" t="str" cm="1">
        <f t="array" ref="AC16">IFERROR(INDEX(INPUT!$W$3:$W$1000,MATCH(1,(INPUT!$T$3:$T$1000=$I$2+5)*(INPUT!$U$3:$U$1000="BARONA"),0)),"")</f>
        <v/>
      </c>
      <c r="AD16" s="61" t="str" cm="1">
        <f t="array" ref="AD16">IFERROR(INDEX(INPUT!$X$3:$X$1000,MATCH(1,(INPUT!$T$3:$T$1000=$I$2+5)*(INPUT!$U$3:$U$1000="BARONA"),0)),"")</f>
        <v/>
      </c>
      <c r="AE16" s="61" t="str" cm="1">
        <f t="array" ref="AE16">IFERROR(INDEX(INPUT!$Y$3:$Y$1000,MATCH(1,(INPUT!$T$3:$T$1000=$I$2+5)*(INPUT!$U$3:$U$1000="BARONA"),0)),"")</f>
        <v/>
      </c>
      <c r="AF16" s="62" t="str">
        <f t="shared" si="5"/>
        <v/>
      </c>
      <c r="AG16" s="61" t="str" cm="1">
        <f t="array" ref="AG16">IFERROR(INDEX(INPUT!$V$3:$V$1000,MATCH(1,(INPUT!$T$3:$T$1000=$I$2+6)*(INPUT!$U$3:$U$1000="BARONA"),0)),"")</f>
        <v/>
      </c>
      <c r="AH16" s="61" t="str" cm="1">
        <f t="array" ref="AH16">IFERROR(INDEX(INPUT!$W$3:$W$1000,MATCH(1,(INPUT!$T$3:$T$1000=$I$2+6)*(INPUT!$U$3:$U$1000="BARONA"),0)),"")</f>
        <v/>
      </c>
      <c r="AI16" s="61" t="str" cm="1">
        <f t="array" ref="AI16">IFERROR(INDEX(INPUT!$X$3:$X$1000,MATCH(1,(INPUT!$T$3:$T$1000=$I$2+6)*(INPUT!$U$3:$U$1000="BARONA"),0)),"")</f>
        <v/>
      </c>
      <c r="AJ16" s="61" t="str" cm="1">
        <f t="array" ref="AJ16">IFERROR(INDEX(INPUT!$Y$3:$Y$1000,MATCH(1,(INPUT!$T$3:$T$1000=$I$2+6)*(INPUT!$U$3:$U$1000="BARONA"),0)),"")</f>
        <v/>
      </c>
      <c r="AK16" s="62" t="str">
        <f t="shared" si="6"/>
        <v/>
      </c>
      <c r="AL16" s="65">
        <f t="shared" si="7"/>
        <v>14.5</v>
      </c>
      <c r="AM16" s="61">
        <f t="shared" si="8"/>
        <v>4</v>
      </c>
    </row>
    <row r="17" spans="1:39" x14ac:dyDescent="0.2">
      <c r="A17" s="56">
        <v>13</v>
      </c>
      <c r="B17" s="9" t="s">
        <v>53</v>
      </c>
      <c r="C17" s="57" cm="1">
        <f t="array" ref="C17">IFERROR(INDEX(INPUT!$V$3:$V$1000,MATCH(1,(INPUT!$T$3:$T$1000=$I$2+0)*(INPUT!$U$3:$U$1000="CARLOS"),0)),"")</f>
        <v>4</v>
      </c>
      <c r="D17" s="57" cm="1">
        <f t="array" ref="D17">IFERROR(INDEX(INPUT!$W$3:$W$1000,MATCH(1,(INPUT!$T$3:$T$1000=$I$2+0)*(INPUT!$U$3:$U$1000="CARLOS"),0)),"")</f>
        <v>4</v>
      </c>
      <c r="E17" s="57" cm="1">
        <f t="array" ref="E17">IFERROR(INDEX(INPUT!$X$3:$X$1000,MATCH(1,(INPUT!$T$3:$T$1000=$I$2+0)*(INPUT!$U$3:$U$1000="CARLOS"),0)),"")</f>
        <v>4</v>
      </c>
      <c r="F17" s="57" cm="1">
        <f t="array" ref="F17">IFERROR(INDEX(INPUT!$Y$3:$Y$1000,MATCH(1,(INPUT!$T$3:$T$1000=$I$2+0)*(INPUT!$U$3:$U$1000="CARLOS"),0)),"")</f>
        <v>5</v>
      </c>
      <c r="G17" s="58">
        <f t="shared" si="0"/>
        <v>17</v>
      </c>
      <c r="H17" s="57" cm="1">
        <f t="array" ref="H17">IFERROR(INDEX(INPUT!$V$3:$V$1000,MATCH(1,(INPUT!$T$3:$T$1000=$I$2+1)*(INPUT!$U$3:$U$1000="CARLOS"),0)),"")</f>
        <v>3</v>
      </c>
      <c r="I17" s="57" cm="1">
        <f t="array" ref="I17">IFERROR(INDEX(INPUT!$W$3:$W$1000,MATCH(1,(INPUT!$T$3:$T$1000=$I$2+1)*(INPUT!$U$3:$U$1000="CARLOS"),0)),"")</f>
        <v>4</v>
      </c>
      <c r="J17" s="57" cm="1">
        <f t="array" ref="J17">IFERROR(INDEX(INPUT!$X$3:$X$1000,MATCH(1,(INPUT!$T$3:$T$1000=$I$2+1)*(INPUT!$U$3:$U$1000="CARLOS"),0)),"")</f>
        <v>4</v>
      </c>
      <c r="K17" s="57" cm="1">
        <f t="array" ref="K17">IFERROR(INDEX(INPUT!$Y$3:$Y$1000,MATCH(1,(INPUT!$T$3:$T$1000=$I$2+1)*(INPUT!$U$3:$U$1000="CARLOS"),0)),"")</f>
        <v>5</v>
      </c>
      <c r="L17" s="58">
        <f t="shared" si="1"/>
        <v>16</v>
      </c>
      <c r="M17" s="57" cm="1">
        <f t="array" ref="M17">IFERROR(INDEX(INPUT!$V$3:$V$1000,MATCH(1,(INPUT!$T$3:$T$1000=$I$2+2)*(INPUT!$U$3:$U$1000="CARLOS"),0)),"")</f>
        <v>4</v>
      </c>
      <c r="N17" s="57" cm="1">
        <f t="array" ref="N17">IFERROR(INDEX(INPUT!$W$3:$W$1000,MATCH(1,(INPUT!$T$3:$T$1000=$I$2+2)*(INPUT!$U$3:$U$1000="CARLOS"),0)),"")</f>
        <v>3</v>
      </c>
      <c r="O17" s="57" cm="1">
        <f t="array" ref="O17">IFERROR(INDEX(INPUT!$X$3:$X$1000,MATCH(1,(INPUT!$T$3:$T$1000=$I$2+2)*(INPUT!$U$3:$U$1000="CARLOS"),0)),"")</f>
        <v>4</v>
      </c>
      <c r="P17" s="57" cm="1">
        <f t="array" ref="P17">IFERROR(INDEX(INPUT!$Y$3:$Y$1000,MATCH(1,(INPUT!$T$3:$T$1000=$I$2+2)*(INPUT!$U$3:$U$1000="CARLOS"),0)),"")</f>
        <v>5</v>
      </c>
      <c r="Q17" s="58">
        <f t="shared" si="2"/>
        <v>16</v>
      </c>
      <c r="R17" s="57" cm="1">
        <f t="array" ref="R17">IFERROR(INDEX(INPUT!$V$3:$V$1000,MATCH(1,(INPUT!$T$3:$T$1000=$I$2+3)*(INPUT!$U$3:$U$1000="CARLOS"),0)),"")</f>
        <v>3</v>
      </c>
      <c r="S17" s="57" cm="1">
        <f t="array" ref="S17">IFERROR(INDEX(INPUT!$W$3:$W$1000,MATCH(1,(INPUT!$T$3:$T$1000=$I$2+3)*(INPUT!$U$3:$U$1000="CARLOS"),0)),"")</f>
        <v>3</v>
      </c>
      <c r="T17" s="57" cm="1">
        <f t="array" ref="T17">IFERROR(INDEX(INPUT!$X$3:$X$1000,MATCH(1,(INPUT!$T$3:$T$1000=$I$2+3)*(INPUT!$U$3:$U$1000="CARLOS"),0)),"")</f>
        <v>4</v>
      </c>
      <c r="U17" s="57" cm="1">
        <f t="array" ref="U17">IFERROR(INDEX(INPUT!$Y$3:$Y$1000,MATCH(1,(INPUT!$T$3:$T$1000=$I$2+3)*(INPUT!$U$3:$U$1000="CARLOS"),0)),"")</f>
        <v>5</v>
      </c>
      <c r="V17" s="58">
        <f t="shared" si="3"/>
        <v>15</v>
      </c>
      <c r="W17" s="57" cm="1">
        <f t="array" ref="W17">IFERROR(INDEX(INPUT!$V$3:$V$1000,MATCH(1,(INPUT!$T$3:$T$1000=$I$2+4)*(INPUT!$U$3:$U$1000="CARLOS"),0)),"")</f>
        <v>3</v>
      </c>
      <c r="X17" s="57" cm="1">
        <f t="array" ref="X17">IFERROR(INDEX(INPUT!$W$3:$W$1000,MATCH(1,(INPUT!$T$3:$T$1000=$I$2+4)*(INPUT!$U$3:$U$1000="CARLOS"),0)),"")</f>
        <v>3</v>
      </c>
      <c r="Y17" s="57" cm="1">
        <f t="array" ref="Y17">IFERROR(INDEX(INPUT!$X$3:$X$1000,MATCH(1,(INPUT!$T$3:$T$1000=$I$2+4)*(INPUT!$U$3:$U$1000="CARLOS"),0)),"")</f>
        <v>4</v>
      </c>
      <c r="Z17" s="57" cm="1">
        <f t="array" ref="Z17">IFERROR(INDEX(INPUT!$Y$3:$Y$1000,MATCH(1,(INPUT!$T$3:$T$1000=$I$2+4)*(INPUT!$U$3:$U$1000="CARLOS"),0)),"")</f>
        <v>5</v>
      </c>
      <c r="AA17" s="58">
        <f t="shared" si="4"/>
        <v>15</v>
      </c>
      <c r="AB17" s="57" cm="1">
        <f t="array" ref="AB17">IFERROR(INDEX(INPUT!$V$3:$V$1000,MATCH(1,(INPUT!$T$3:$T$1000=$I$2+5)*(INPUT!$U$3:$U$1000="CARLOS"),0)),"")</f>
        <v>3</v>
      </c>
      <c r="AC17" s="57" cm="1">
        <f t="array" ref="AC17">IFERROR(INDEX(INPUT!$W$3:$W$1000,MATCH(1,(INPUT!$T$3:$T$1000=$I$2+5)*(INPUT!$U$3:$U$1000="CARLOS"),0)),"")</f>
        <v>4</v>
      </c>
      <c r="AD17" s="57" cm="1">
        <f t="array" ref="AD17">IFERROR(INDEX(INPUT!$X$3:$X$1000,MATCH(1,(INPUT!$T$3:$T$1000=$I$2+5)*(INPUT!$U$3:$U$1000="CARLOS"),0)),"")</f>
        <v>4</v>
      </c>
      <c r="AE17" s="57" cm="1">
        <f t="array" ref="AE17">IFERROR(INDEX(INPUT!$Y$3:$Y$1000,MATCH(1,(INPUT!$T$3:$T$1000=$I$2+5)*(INPUT!$U$3:$U$1000="CARLOS"),0)),"")</f>
        <v>5</v>
      </c>
      <c r="AF17" s="58">
        <f t="shared" si="5"/>
        <v>16</v>
      </c>
      <c r="AG17" s="57" cm="1">
        <f t="array" ref="AG17">IFERROR(INDEX(INPUT!$V$3:$V$1000,MATCH(1,(INPUT!$T$3:$T$1000=$I$2+6)*(INPUT!$U$3:$U$1000="CARLOS"),0)),"")</f>
        <v>4</v>
      </c>
      <c r="AH17" s="57" cm="1">
        <f t="array" ref="AH17">IFERROR(INDEX(INPUT!$W$3:$W$1000,MATCH(1,(INPUT!$T$3:$T$1000=$I$2+6)*(INPUT!$U$3:$U$1000="CARLOS"),0)),"")</f>
        <v>3</v>
      </c>
      <c r="AI17" s="57" cm="1">
        <f t="array" ref="AI17">IFERROR(INDEX(INPUT!$X$3:$X$1000,MATCH(1,(INPUT!$T$3:$T$1000=$I$2+6)*(INPUT!$U$3:$U$1000="CARLOS"),0)),"")</f>
        <v>5</v>
      </c>
      <c r="AJ17" s="57" cm="1">
        <f t="array" ref="AJ17">IFERROR(INDEX(INPUT!$Y$3:$Y$1000,MATCH(1,(INPUT!$T$3:$T$1000=$I$2+6)*(INPUT!$U$3:$U$1000="CARLOS"),0)),"")</f>
        <v>5</v>
      </c>
      <c r="AK17" s="58">
        <f t="shared" si="6"/>
        <v>17</v>
      </c>
      <c r="AL17" s="66">
        <f t="shared" si="7"/>
        <v>16</v>
      </c>
      <c r="AM17" s="57">
        <f t="shared" si="8"/>
        <v>7</v>
      </c>
    </row>
    <row r="18" spans="1:39" x14ac:dyDescent="0.2">
      <c r="A18" s="59">
        <v>14</v>
      </c>
      <c r="B18" s="60" t="s">
        <v>54</v>
      </c>
      <c r="C18" s="61" cm="1">
        <f t="array" ref="C18">IFERROR(INDEX(INPUT!$V$3:$V$1000,MATCH(1,(INPUT!$T$3:$T$1000=$I$2+0)*(INPUT!$U$3:$U$1000="GONZALO"),0)),"")</f>
        <v>3</v>
      </c>
      <c r="D18" s="61" cm="1">
        <f t="array" ref="D18">IFERROR(INDEX(INPUT!$W$3:$W$1000,MATCH(1,(INPUT!$T$3:$T$1000=$I$2+0)*(INPUT!$U$3:$U$1000="GONZALO"),0)),"")</f>
        <v>4</v>
      </c>
      <c r="E18" s="61" cm="1">
        <f t="array" ref="E18">IFERROR(INDEX(INPUT!$X$3:$X$1000,MATCH(1,(INPUT!$T$3:$T$1000=$I$2+0)*(INPUT!$U$3:$U$1000="GONZALO"),0)),"")</f>
        <v>3</v>
      </c>
      <c r="F18" s="61" cm="1">
        <f t="array" ref="F18">IFERROR(INDEX(INPUT!$Y$3:$Y$1000,MATCH(1,(INPUT!$T$3:$T$1000=$I$2+0)*(INPUT!$U$3:$U$1000="GONZALO"),0)),"")</f>
        <v>4</v>
      </c>
      <c r="G18" s="62">
        <f t="shared" si="0"/>
        <v>14</v>
      </c>
      <c r="H18" s="61" cm="1">
        <f t="array" ref="H18">IFERROR(INDEX(INPUT!$V$3:$V$1000,MATCH(1,(INPUT!$T$3:$T$1000=$I$2+1)*(INPUT!$U$3:$U$1000="GONZALO"),0)),"")</f>
        <v>3</v>
      </c>
      <c r="I18" s="61" cm="1">
        <f t="array" ref="I18">IFERROR(INDEX(INPUT!$W$3:$W$1000,MATCH(1,(INPUT!$T$3:$T$1000=$I$2+1)*(INPUT!$U$3:$U$1000="GONZALO"),0)),"")</f>
        <v>4</v>
      </c>
      <c r="J18" s="61" cm="1">
        <f t="array" ref="J18">IFERROR(INDEX(INPUT!$X$3:$X$1000,MATCH(1,(INPUT!$T$3:$T$1000=$I$2+1)*(INPUT!$U$3:$U$1000="GONZALO"),0)),"")</f>
        <v>3</v>
      </c>
      <c r="K18" s="61" cm="1">
        <f t="array" ref="K18">IFERROR(INDEX(INPUT!$Y$3:$Y$1000,MATCH(1,(INPUT!$T$3:$T$1000=$I$2+1)*(INPUT!$U$3:$U$1000="GONZALO"),0)),"")</f>
        <v>4</v>
      </c>
      <c r="L18" s="62">
        <f t="shared" si="1"/>
        <v>14</v>
      </c>
      <c r="M18" s="61" cm="1">
        <f t="array" ref="M18">IFERROR(INDEX(INPUT!$V$3:$V$1000,MATCH(1,(INPUT!$T$3:$T$1000=$I$2+2)*(INPUT!$U$3:$U$1000="GONZALO"),0)),"")</f>
        <v>5</v>
      </c>
      <c r="N18" s="61" cm="1">
        <f t="array" ref="N18">IFERROR(INDEX(INPUT!$W$3:$W$1000,MATCH(1,(INPUT!$T$3:$T$1000=$I$2+2)*(INPUT!$U$3:$U$1000="GONZALO"),0)),"")</f>
        <v>3</v>
      </c>
      <c r="O18" s="61" cm="1">
        <f t="array" ref="O18">IFERROR(INDEX(INPUT!$X$3:$X$1000,MATCH(1,(INPUT!$T$3:$T$1000=$I$2+2)*(INPUT!$U$3:$U$1000="GONZALO"),0)),"")</f>
        <v>4</v>
      </c>
      <c r="P18" s="61" cm="1">
        <f t="array" ref="P18">IFERROR(INDEX(INPUT!$Y$3:$Y$1000,MATCH(1,(INPUT!$T$3:$T$1000=$I$2+2)*(INPUT!$U$3:$U$1000="GONZALO"),0)),"")</f>
        <v>4</v>
      </c>
      <c r="Q18" s="62">
        <f t="shared" si="2"/>
        <v>16</v>
      </c>
      <c r="R18" s="61" cm="1">
        <f t="array" ref="R18">IFERROR(INDEX(INPUT!$V$3:$V$1000,MATCH(1,(INPUT!$T$3:$T$1000=$I$2+3)*(INPUT!$U$3:$U$1000="GONZALO"),0)),"")</f>
        <v>4</v>
      </c>
      <c r="S18" s="61" cm="1">
        <f t="array" ref="S18">IFERROR(INDEX(INPUT!$W$3:$W$1000,MATCH(1,(INPUT!$T$3:$T$1000=$I$2+3)*(INPUT!$U$3:$U$1000="GONZALO"),0)),"")</f>
        <v>3</v>
      </c>
      <c r="T18" s="61" cm="1">
        <f t="array" ref="T18">IFERROR(INDEX(INPUT!$X$3:$X$1000,MATCH(1,(INPUT!$T$3:$T$1000=$I$2+3)*(INPUT!$U$3:$U$1000="GONZALO"),0)),"")</f>
        <v>3</v>
      </c>
      <c r="U18" s="61" cm="1">
        <f t="array" ref="U18">IFERROR(INDEX(INPUT!$Y$3:$Y$1000,MATCH(1,(INPUT!$T$3:$T$1000=$I$2+3)*(INPUT!$U$3:$U$1000="GONZALO"),0)),"")</f>
        <v>4</v>
      </c>
      <c r="V18" s="62">
        <f t="shared" si="3"/>
        <v>14</v>
      </c>
      <c r="W18" s="61" cm="1">
        <f t="array" ref="W18">IFERROR(INDEX(INPUT!$V$3:$V$1000,MATCH(1,(INPUT!$T$3:$T$1000=$I$2+4)*(INPUT!$U$3:$U$1000="GONZALO"),0)),"")</f>
        <v>4</v>
      </c>
      <c r="X18" s="61" cm="1">
        <f t="array" ref="X18">IFERROR(INDEX(INPUT!$W$3:$W$1000,MATCH(1,(INPUT!$T$3:$T$1000=$I$2+4)*(INPUT!$U$3:$U$1000="GONZALO"),0)),"")</f>
        <v>3</v>
      </c>
      <c r="Y18" s="61" cm="1">
        <f t="array" ref="Y18">IFERROR(INDEX(INPUT!$X$3:$X$1000,MATCH(1,(INPUT!$T$3:$T$1000=$I$2+4)*(INPUT!$U$3:$U$1000="GONZALO"),0)),"")</f>
        <v>3</v>
      </c>
      <c r="Z18" s="61" cm="1">
        <f t="array" ref="Z18">IFERROR(INDEX(INPUT!$Y$3:$Y$1000,MATCH(1,(INPUT!$T$3:$T$1000=$I$2+4)*(INPUT!$U$3:$U$1000="GONZALO"),0)),"")</f>
        <v>2</v>
      </c>
      <c r="AA18" s="62">
        <f t="shared" si="4"/>
        <v>12</v>
      </c>
      <c r="AB18" s="61" cm="1">
        <f t="array" ref="AB18">IFERROR(INDEX(INPUT!$V$3:$V$1000,MATCH(1,(INPUT!$T$3:$T$1000=$I$2+5)*(INPUT!$U$3:$U$1000="GONZALO"),0)),"")</f>
        <v>4</v>
      </c>
      <c r="AC18" s="61" cm="1">
        <f t="array" ref="AC18">IFERROR(INDEX(INPUT!$W$3:$W$1000,MATCH(1,(INPUT!$T$3:$T$1000=$I$2+5)*(INPUT!$U$3:$U$1000="GONZALO"),0)),"")</f>
        <v>4</v>
      </c>
      <c r="AD18" s="61" cm="1">
        <f t="array" ref="AD18">IFERROR(INDEX(INPUT!$X$3:$X$1000,MATCH(1,(INPUT!$T$3:$T$1000=$I$2+5)*(INPUT!$U$3:$U$1000="GONZALO"),0)),"")</f>
        <v>4</v>
      </c>
      <c r="AE18" s="61" cm="1">
        <f t="array" ref="AE18">IFERROR(INDEX(INPUT!$Y$3:$Y$1000,MATCH(1,(INPUT!$T$3:$T$1000=$I$2+5)*(INPUT!$U$3:$U$1000="GONZALO"),0)),"")</f>
        <v>5</v>
      </c>
      <c r="AF18" s="62">
        <f t="shared" si="5"/>
        <v>17</v>
      </c>
      <c r="AG18" s="61" cm="1">
        <f t="array" ref="AG18">IFERROR(INDEX(INPUT!$V$3:$V$1000,MATCH(1,(INPUT!$T$3:$T$1000=$I$2+6)*(INPUT!$U$3:$U$1000="GONZALO"),0)),"")</f>
        <v>5</v>
      </c>
      <c r="AH18" s="61" cm="1">
        <f t="array" ref="AH18">IFERROR(INDEX(INPUT!$W$3:$W$1000,MATCH(1,(INPUT!$T$3:$T$1000=$I$2+6)*(INPUT!$U$3:$U$1000="GONZALO"),0)),"")</f>
        <v>4</v>
      </c>
      <c r="AI18" s="61" cm="1">
        <f t="array" ref="AI18">IFERROR(INDEX(INPUT!$X$3:$X$1000,MATCH(1,(INPUT!$T$3:$T$1000=$I$2+6)*(INPUT!$U$3:$U$1000="GONZALO"),0)),"")</f>
        <v>4</v>
      </c>
      <c r="AJ18" s="61" cm="1">
        <f t="array" ref="AJ18">IFERROR(INDEX(INPUT!$Y$3:$Y$1000,MATCH(1,(INPUT!$T$3:$T$1000=$I$2+6)*(INPUT!$U$3:$U$1000="GONZALO"),0)),"")</f>
        <v>3</v>
      </c>
      <c r="AK18" s="62">
        <f t="shared" si="6"/>
        <v>16</v>
      </c>
      <c r="AL18" s="65">
        <f t="shared" si="7"/>
        <v>14.714285714285714</v>
      </c>
      <c r="AM18" s="61">
        <f t="shared" si="8"/>
        <v>7</v>
      </c>
    </row>
    <row r="19" spans="1:39" x14ac:dyDescent="0.2">
      <c r="A19" s="56">
        <v>15</v>
      </c>
      <c r="B19" s="9" t="s">
        <v>55</v>
      </c>
      <c r="C19" s="57" t="str" cm="1">
        <f t="array" ref="C19">IFERROR(INDEX(INPUT!$V$3:$V$1000,MATCH(1,(INPUT!$T$3:$T$1000=$I$2+0)*(INPUT!$U$3:$U$1000="SEGO"),0)),"")</f>
        <v/>
      </c>
      <c r="D19" s="57" t="str" cm="1">
        <f t="array" ref="D19">IFERROR(INDEX(INPUT!$W$3:$W$1000,MATCH(1,(INPUT!$T$3:$T$1000=$I$2+0)*(INPUT!$U$3:$U$1000="SEGO"),0)),"")</f>
        <v/>
      </c>
      <c r="E19" s="57" t="str" cm="1">
        <f t="array" ref="E19">IFERROR(INDEX(INPUT!$X$3:$X$1000,MATCH(1,(INPUT!$T$3:$T$1000=$I$2+0)*(INPUT!$U$3:$U$1000="SEGO"),0)),"")</f>
        <v/>
      </c>
      <c r="F19" s="57" t="str" cm="1">
        <f t="array" ref="F19">IFERROR(INDEX(INPUT!$Y$3:$Y$1000,MATCH(1,(INPUT!$T$3:$T$1000=$I$2+0)*(INPUT!$U$3:$U$1000="SEGO"),0)),"")</f>
        <v/>
      </c>
      <c r="G19" s="58" t="str">
        <f t="shared" si="0"/>
        <v/>
      </c>
      <c r="H19" s="57" t="str" cm="1">
        <f t="array" ref="H19">IFERROR(INDEX(INPUT!$V$3:$V$1000,MATCH(1,(INPUT!$T$3:$T$1000=$I$2+1)*(INPUT!$U$3:$U$1000="SEGO"),0)),"")</f>
        <v/>
      </c>
      <c r="I19" s="57" t="str" cm="1">
        <f t="array" ref="I19">IFERROR(INDEX(INPUT!$W$3:$W$1000,MATCH(1,(INPUT!$T$3:$T$1000=$I$2+1)*(INPUT!$U$3:$U$1000="SEGO"),0)),"")</f>
        <v/>
      </c>
      <c r="J19" s="57" t="str" cm="1">
        <f t="array" ref="J19">IFERROR(INDEX(INPUT!$X$3:$X$1000,MATCH(1,(INPUT!$T$3:$T$1000=$I$2+1)*(INPUT!$U$3:$U$1000="SEGO"),0)),"")</f>
        <v/>
      </c>
      <c r="K19" s="57" t="str" cm="1">
        <f t="array" ref="K19">IFERROR(INDEX(INPUT!$Y$3:$Y$1000,MATCH(1,(INPUT!$T$3:$T$1000=$I$2+1)*(INPUT!$U$3:$U$1000="SEGO"),0)),"")</f>
        <v/>
      </c>
      <c r="L19" s="58" t="str">
        <f t="shared" si="1"/>
        <v/>
      </c>
      <c r="M19" s="57" t="str" cm="1">
        <f t="array" ref="M19">IFERROR(INDEX(INPUT!$V$3:$V$1000,MATCH(1,(INPUT!$T$3:$T$1000=$I$2+2)*(INPUT!$U$3:$U$1000="SEGO"),0)),"")</f>
        <v/>
      </c>
      <c r="N19" s="57" t="str" cm="1">
        <f t="array" ref="N19">IFERROR(INDEX(INPUT!$W$3:$W$1000,MATCH(1,(INPUT!$T$3:$T$1000=$I$2+2)*(INPUT!$U$3:$U$1000="SEGO"),0)),"")</f>
        <v/>
      </c>
      <c r="O19" s="57" t="str" cm="1">
        <f t="array" ref="O19">IFERROR(INDEX(INPUT!$X$3:$X$1000,MATCH(1,(INPUT!$T$3:$T$1000=$I$2+2)*(INPUT!$U$3:$U$1000="SEGO"),0)),"")</f>
        <v/>
      </c>
      <c r="P19" s="57" t="str" cm="1">
        <f t="array" ref="P19">IFERROR(INDEX(INPUT!$Y$3:$Y$1000,MATCH(1,(INPUT!$T$3:$T$1000=$I$2+2)*(INPUT!$U$3:$U$1000="SEGO"),0)),"")</f>
        <v/>
      </c>
      <c r="Q19" s="58" t="str">
        <f t="shared" si="2"/>
        <v/>
      </c>
      <c r="R19" s="57" t="str" cm="1">
        <f t="array" ref="R19">IFERROR(INDEX(INPUT!$V$3:$V$1000,MATCH(1,(INPUT!$T$3:$T$1000=$I$2+3)*(INPUT!$U$3:$U$1000="SEGO"),0)),"")</f>
        <v/>
      </c>
      <c r="S19" s="57" t="str" cm="1">
        <f t="array" ref="S19">IFERROR(INDEX(INPUT!$W$3:$W$1000,MATCH(1,(INPUT!$T$3:$T$1000=$I$2+3)*(INPUT!$U$3:$U$1000="SEGO"),0)),"")</f>
        <v/>
      </c>
      <c r="T19" s="57" t="str" cm="1">
        <f t="array" ref="T19">IFERROR(INDEX(INPUT!$X$3:$X$1000,MATCH(1,(INPUT!$T$3:$T$1000=$I$2+3)*(INPUT!$U$3:$U$1000="SEGO"),0)),"")</f>
        <v/>
      </c>
      <c r="U19" s="57" t="str" cm="1">
        <f t="array" ref="U19">IFERROR(INDEX(INPUT!$Y$3:$Y$1000,MATCH(1,(INPUT!$T$3:$T$1000=$I$2+3)*(INPUT!$U$3:$U$1000="SEGO"),0)),"")</f>
        <v/>
      </c>
      <c r="V19" s="58" t="str">
        <f t="shared" si="3"/>
        <v/>
      </c>
      <c r="W19" s="57" t="str" cm="1">
        <f t="array" ref="W19">IFERROR(INDEX(INPUT!$V$3:$V$1000,MATCH(1,(INPUT!$T$3:$T$1000=$I$2+4)*(INPUT!$U$3:$U$1000="SEGO"),0)),"")</f>
        <v/>
      </c>
      <c r="X19" s="57" t="str" cm="1">
        <f t="array" ref="X19">IFERROR(INDEX(INPUT!$W$3:$W$1000,MATCH(1,(INPUT!$T$3:$T$1000=$I$2+4)*(INPUT!$U$3:$U$1000="SEGO"),0)),"")</f>
        <v/>
      </c>
      <c r="Y19" s="57" t="str" cm="1">
        <f t="array" ref="Y19">IFERROR(INDEX(INPUT!$X$3:$X$1000,MATCH(1,(INPUT!$T$3:$T$1000=$I$2+4)*(INPUT!$U$3:$U$1000="SEGO"),0)),"")</f>
        <v/>
      </c>
      <c r="Z19" s="57" t="str" cm="1">
        <f t="array" ref="Z19">IFERROR(INDEX(INPUT!$Y$3:$Y$1000,MATCH(1,(INPUT!$T$3:$T$1000=$I$2+4)*(INPUT!$U$3:$U$1000="SEGO"),0)),"")</f>
        <v/>
      </c>
      <c r="AA19" s="58" t="str">
        <f t="shared" si="4"/>
        <v/>
      </c>
      <c r="AB19" s="57" t="str" cm="1">
        <f t="array" ref="AB19">IFERROR(INDEX(INPUT!$V$3:$V$1000,MATCH(1,(INPUT!$T$3:$T$1000=$I$2+5)*(INPUT!$U$3:$U$1000="SEGO"),0)),"")</f>
        <v/>
      </c>
      <c r="AC19" s="57" t="str" cm="1">
        <f t="array" ref="AC19">IFERROR(INDEX(INPUT!$W$3:$W$1000,MATCH(1,(INPUT!$T$3:$T$1000=$I$2+5)*(INPUT!$U$3:$U$1000="SEGO"),0)),"")</f>
        <v/>
      </c>
      <c r="AD19" s="57" t="str" cm="1">
        <f t="array" ref="AD19">IFERROR(INDEX(INPUT!$X$3:$X$1000,MATCH(1,(INPUT!$T$3:$T$1000=$I$2+5)*(INPUT!$U$3:$U$1000="SEGO"),0)),"")</f>
        <v/>
      </c>
      <c r="AE19" s="57" t="str" cm="1">
        <f t="array" ref="AE19">IFERROR(INDEX(INPUT!$Y$3:$Y$1000,MATCH(1,(INPUT!$T$3:$T$1000=$I$2+5)*(INPUT!$U$3:$U$1000="SEGO"),0)),"")</f>
        <v/>
      </c>
      <c r="AF19" s="58" t="str">
        <f t="shared" si="5"/>
        <v/>
      </c>
      <c r="AG19" s="57" t="str" cm="1">
        <f t="array" ref="AG19">IFERROR(INDEX(INPUT!$V$3:$V$1000,MATCH(1,(INPUT!$T$3:$T$1000=$I$2+6)*(INPUT!$U$3:$U$1000="SEGO"),0)),"")</f>
        <v/>
      </c>
      <c r="AH19" s="57" t="str" cm="1">
        <f t="array" ref="AH19">IFERROR(INDEX(INPUT!$W$3:$W$1000,MATCH(1,(INPUT!$T$3:$T$1000=$I$2+6)*(INPUT!$U$3:$U$1000="SEGO"),0)),"")</f>
        <v/>
      </c>
      <c r="AI19" s="57" t="str" cm="1">
        <f t="array" ref="AI19">IFERROR(INDEX(INPUT!$X$3:$X$1000,MATCH(1,(INPUT!$T$3:$T$1000=$I$2+6)*(INPUT!$U$3:$U$1000="SEGO"),0)),"")</f>
        <v/>
      </c>
      <c r="AJ19" s="57" t="str" cm="1">
        <f t="array" ref="AJ19">IFERROR(INDEX(INPUT!$Y$3:$Y$1000,MATCH(1,(INPUT!$T$3:$T$1000=$I$2+6)*(INPUT!$U$3:$U$1000="SEGO"),0)),"")</f>
        <v/>
      </c>
      <c r="AK19" s="58" t="str">
        <f t="shared" si="6"/>
        <v/>
      </c>
      <c r="AL19" s="66" t="str">
        <f t="shared" si="7"/>
        <v/>
      </c>
      <c r="AM19" s="57">
        <f t="shared" si="8"/>
        <v>0</v>
      </c>
    </row>
    <row r="20" spans="1:39" x14ac:dyDescent="0.2">
      <c r="A20" s="59">
        <v>16</v>
      </c>
      <c r="B20" s="60" t="s">
        <v>56</v>
      </c>
      <c r="C20" s="61" cm="1">
        <f t="array" ref="C20">IFERROR(INDEX(INPUT!$V$3:$V$1000,MATCH(1,(INPUT!$T$3:$T$1000=$I$2+0)*(INPUT!$U$3:$U$1000="RUBIO"),0)),"")</f>
        <v>4</v>
      </c>
      <c r="D20" s="61" cm="1">
        <f t="array" ref="D20">IFERROR(INDEX(INPUT!$W$3:$W$1000,MATCH(1,(INPUT!$T$3:$T$1000=$I$2+0)*(INPUT!$U$3:$U$1000="RUBIO"),0)),"")</f>
        <v>4</v>
      </c>
      <c r="E20" s="61" cm="1">
        <f t="array" ref="E20">IFERROR(INDEX(INPUT!$X$3:$X$1000,MATCH(1,(INPUT!$T$3:$T$1000=$I$2+0)*(INPUT!$U$3:$U$1000="RUBIO"),0)),"")</f>
        <v>4</v>
      </c>
      <c r="F20" s="61" cm="1">
        <f t="array" ref="F20">IFERROR(INDEX(INPUT!$Y$3:$Y$1000,MATCH(1,(INPUT!$T$3:$T$1000=$I$2+0)*(INPUT!$U$3:$U$1000="RUBIO"),0)),"")</f>
        <v>5</v>
      </c>
      <c r="G20" s="62">
        <f t="shared" si="0"/>
        <v>17</v>
      </c>
      <c r="H20" s="61" cm="1">
        <f t="array" ref="H20">IFERROR(INDEX(INPUT!$V$3:$V$1000,MATCH(1,(INPUT!$T$3:$T$1000=$I$2+1)*(INPUT!$U$3:$U$1000="RUBIO"),0)),"")</f>
        <v>4</v>
      </c>
      <c r="I20" s="61" cm="1">
        <f t="array" ref="I20">IFERROR(INDEX(INPUT!$W$3:$W$1000,MATCH(1,(INPUT!$T$3:$T$1000=$I$2+1)*(INPUT!$U$3:$U$1000="RUBIO"),0)),"")</f>
        <v>4</v>
      </c>
      <c r="J20" s="61" cm="1">
        <f t="array" ref="J20">IFERROR(INDEX(INPUT!$X$3:$X$1000,MATCH(1,(INPUT!$T$3:$T$1000=$I$2+1)*(INPUT!$U$3:$U$1000="RUBIO"),0)),"")</f>
        <v>4</v>
      </c>
      <c r="K20" s="61" cm="1">
        <f t="array" ref="K20">IFERROR(INDEX(INPUT!$Y$3:$Y$1000,MATCH(1,(INPUT!$T$3:$T$1000=$I$2+1)*(INPUT!$U$3:$U$1000="RUBIO"),0)),"")</f>
        <v>5</v>
      </c>
      <c r="L20" s="62">
        <f t="shared" si="1"/>
        <v>17</v>
      </c>
      <c r="M20" s="61" cm="1">
        <f t="array" ref="M20">IFERROR(INDEX(INPUT!$V$3:$V$1000,MATCH(1,(INPUT!$T$3:$T$1000=$I$2+2)*(INPUT!$U$3:$U$1000="RUBIO"),0)),"")</f>
        <v>4</v>
      </c>
      <c r="N20" s="61" cm="1">
        <f t="array" ref="N20">IFERROR(INDEX(INPUT!$W$3:$W$1000,MATCH(1,(INPUT!$T$3:$T$1000=$I$2+2)*(INPUT!$U$3:$U$1000="RUBIO"),0)),"")</f>
        <v>4</v>
      </c>
      <c r="O20" s="61" cm="1">
        <f t="array" ref="O20">IFERROR(INDEX(INPUT!$X$3:$X$1000,MATCH(1,(INPUT!$T$3:$T$1000=$I$2+2)*(INPUT!$U$3:$U$1000="RUBIO"),0)),"")</f>
        <v>4</v>
      </c>
      <c r="P20" s="61" cm="1">
        <f t="array" ref="P20">IFERROR(INDEX(INPUT!$Y$3:$Y$1000,MATCH(1,(INPUT!$T$3:$T$1000=$I$2+2)*(INPUT!$U$3:$U$1000="RUBIO"),0)),"")</f>
        <v>5</v>
      </c>
      <c r="Q20" s="62">
        <f t="shared" si="2"/>
        <v>17</v>
      </c>
      <c r="R20" s="61" cm="1">
        <f t="array" ref="R20">IFERROR(INDEX(INPUT!$V$3:$V$1000,MATCH(1,(INPUT!$T$3:$T$1000=$I$2+3)*(INPUT!$U$3:$U$1000="RUBIO"),0)),"")</f>
        <v>4</v>
      </c>
      <c r="S20" s="61" cm="1">
        <f t="array" ref="S20">IFERROR(INDEX(INPUT!$W$3:$W$1000,MATCH(1,(INPUT!$T$3:$T$1000=$I$2+3)*(INPUT!$U$3:$U$1000="RUBIO"),0)),"")</f>
        <v>4</v>
      </c>
      <c r="T20" s="61" cm="1">
        <f t="array" ref="T20">IFERROR(INDEX(INPUT!$X$3:$X$1000,MATCH(1,(INPUT!$T$3:$T$1000=$I$2+3)*(INPUT!$U$3:$U$1000="RUBIO"),0)),"")</f>
        <v>4</v>
      </c>
      <c r="U20" s="61" cm="1">
        <f t="array" ref="U20">IFERROR(INDEX(INPUT!$Y$3:$Y$1000,MATCH(1,(INPUT!$T$3:$T$1000=$I$2+3)*(INPUT!$U$3:$U$1000="RUBIO"),0)),"")</f>
        <v>5</v>
      </c>
      <c r="V20" s="62">
        <f t="shared" si="3"/>
        <v>17</v>
      </c>
      <c r="W20" s="61" cm="1">
        <f t="array" ref="W20">IFERROR(INDEX(INPUT!$V$3:$V$1000,MATCH(1,(INPUT!$T$3:$T$1000=$I$2+4)*(INPUT!$U$3:$U$1000="RUBIO"),0)),"")</f>
        <v>4</v>
      </c>
      <c r="X20" s="61" cm="1">
        <f t="array" ref="X20">IFERROR(INDEX(INPUT!$W$3:$W$1000,MATCH(1,(INPUT!$T$3:$T$1000=$I$2+4)*(INPUT!$U$3:$U$1000="RUBIO"),0)),"")</f>
        <v>4</v>
      </c>
      <c r="Y20" s="61" cm="1">
        <f t="array" ref="Y20">IFERROR(INDEX(INPUT!$X$3:$X$1000,MATCH(1,(INPUT!$T$3:$T$1000=$I$2+4)*(INPUT!$U$3:$U$1000="RUBIO"),0)),"")</f>
        <v>4</v>
      </c>
      <c r="Z20" s="61" cm="1">
        <f t="array" ref="Z20">IFERROR(INDEX(INPUT!$Y$3:$Y$1000,MATCH(1,(INPUT!$T$3:$T$1000=$I$2+4)*(INPUT!$U$3:$U$1000="RUBIO"),0)),"")</f>
        <v>5</v>
      </c>
      <c r="AA20" s="62">
        <f t="shared" si="4"/>
        <v>17</v>
      </c>
      <c r="AB20" s="61" cm="1">
        <f t="array" ref="AB20">IFERROR(INDEX(INPUT!$V$3:$V$1000,MATCH(1,(INPUT!$T$3:$T$1000=$I$2+5)*(INPUT!$U$3:$U$1000="RUBIO"),0)),"")</f>
        <v>4</v>
      </c>
      <c r="AC20" s="61" cm="1">
        <f t="array" ref="AC20">IFERROR(INDEX(INPUT!$W$3:$W$1000,MATCH(1,(INPUT!$T$3:$T$1000=$I$2+5)*(INPUT!$U$3:$U$1000="RUBIO"),0)),"")</f>
        <v>4</v>
      </c>
      <c r="AD20" s="61" cm="1">
        <f t="array" ref="AD20">IFERROR(INDEX(INPUT!$X$3:$X$1000,MATCH(1,(INPUT!$T$3:$T$1000=$I$2+5)*(INPUT!$U$3:$U$1000="RUBIO"),0)),"")</f>
        <v>4</v>
      </c>
      <c r="AE20" s="61" cm="1">
        <f t="array" ref="AE20">IFERROR(INDEX(INPUT!$Y$3:$Y$1000,MATCH(1,(INPUT!$T$3:$T$1000=$I$2+5)*(INPUT!$U$3:$U$1000="RUBIO"),0)),"")</f>
        <v>5</v>
      </c>
      <c r="AF20" s="62">
        <f t="shared" si="5"/>
        <v>17</v>
      </c>
      <c r="AG20" s="61" cm="1">
        <f t="array" ref="AG20">IFERROR(INDEX(INPUT!$V$3:$V$1000,MATCH(1,(INPUT!$T$3:$T$1000=$I$2+6)*(INPUT!$U$3:$U$1000="RUBIO"),0)),"")</f>
        <v>5</v>
      </c>
      <c r="AH20" s="61" cm="1">
        <f t="array" ref="AH20">IFERROR(INDEX(INPUT!$W$3:$W$1000,MATCH(1,(INPUT!$T$3:$T$1000=$I$2+6)*(INPUT!$U$3:$U$1000="RUBIO"),0)),"")</f>
        <v>4</v>
      </c>
      <c r="AI20" s="61" cm="1">
        <f t="array" ref="AI20">IFERROR(INDEX(INPUT!$X$3:$X$1000,MATCH(1,(INPUT!$T$3:$T$1000=$I$2+6)*(INPUT!$U$3:$U$1000="RUBIO"),0)),"")</f>
        <v>4</v>
      </c>
      <c r="AJ20" s="61" cm="1">
        <f t="array" ref="AJ20">IFERROR(INDEX(INPUT!$Y$3:$Y$1000,MATCH(1,(INPUT!$T$3:$T$1000=$I$2+6)*(INPUT!$U$3:$U$1000="RUBIO"),0)),"")</f>
        <v>5</v>
      </c>
      <c r="AK20" s="62">
        <f t="shared" si="6"/>
        <v>18</v>
      </c>
      <c r="AL20" s="65">
        <f t="shared" si="7"/>
        <v>17.142857142857142</v>
      </c>
      <c r="AM20" s="61">
        <f t="shared" si="8"/>
        <v>7</v>
      </c>
    </row>
    <row r="21" spans="1:39" x14ac:dyDescent="0.2">
      <c r="A21" s="56">
        <v>17</v>
      </c>
      <c r="B21" s="9" t="s">
        <v>57</v>
      </c>
      <c r="C21" s="57" cm="1">
        <f t="array" ref="C21">IFERROR(INDEX(INPUT!$V$3:$V$1000,MATCH(1,(INPUT!$T$3:$T$1000=$I$2+0)*(INPUT!$U$3:$U$1000="DANI"),0)),"")</f>
        <v>3</v>
      </c>
      <c r="D21" s="57" cm="1">
        <f t="array" ref="D21">IFERROR(INDEX(INPUT!$W$3:$W$1000,MATCH(1,(INPUT!$T$3:$T$1000=$I$2+0)*(INPUT!$U$3:$U$1000="DANI"),0)),"")</f>
        <v>4</v>
      </c>
      <c r="E21" s="57" cm="1">
        <f t="array" ref="E21">IFERROR(INDEX(INPUT!$X$3:$X$1000,MATCH(1,(INPUT!$T$3:$T$1000=$I$2+0)*(INPUT!$U$3:$U$1000="DANI"),0)),"")</f>
        <v>3</v>
      </c>
      <c r="F21" s="57" cm="1">
        <f t="array" ref="F21">IFERROR(INDEX(INPUT!$Y$3:$Y$1000,MATCH(1,(INPUT!$T$3:$T$1000=$I$2+0)*(INPUT!$U$3:$U$1000="DANI"),0)),"")</f>
        <v>5</v>
      </c>
      <c r="G21" s="58">
        <f t="shared" si="0"/>
        <v>15</v>
      </c>
      <c r="H21" s="57" cm="1">
        <f t="array" ref="H21">IFERROR(INDEX(INPUT!$V$3:$V$1000,MATCH(1,(INPUT!$T$3:$T$1000=$I$2+1)*(INPUT!$U$3:$U$1000="DANI"),0)),"")</f>
        <v>4</v>
      </c>
      <c r="I21" s="57" cm="1">
        <f t="array" ref="I21">IFERROR(INDEX(INPUT!$W$3:$W$1000,MATCH(1,(INPUT!$T$3:$T$1000=$I$2+1)*(INPUT!$U$3:$U$1000="DANI"),0)),"")</f>
        <v>4</v>
      </c>
      <c r="J21" s="57" cm="1">
        <f t="array" ref="J21">IFERROR(INDEX(INPUT!$X$3:$X$1000,MATCH(1,(INPUT!$T$3:$T$1000=$I$2+1)*(INPUT!$U$3:$U$1000="DANI"),0)),"")</f>
        <v>3</v>
      </c>
      <c r="K21" s="57" cm="1">
        <f t="array" ref="K21">IFERROR(INDEX(INPUT!$Y$3:$Y$1000,MATCH(1,(INPUT!$T$3:$T$1000=$I$2+1)*(INPUT!$U$3:$U$1000="DANI"),0)),"")</f>
        <v>4</v>
      </c>
      <c r="L21" s="58">
        <f t="shared" si="1"/>
        <v>15</v>
      </c>
      <c r="M21" s="57" cm="1">
        <f t="array" ref="M21">IFERROR(INDEX(INPUT!$V$3:$V$1000,MATCH(1,(INPUT!$T$3:$T$1000=$I$2+2)*(INPUT!$U$3:$U$1000="DANI"),0)),"")</f>
        <v>4</v>
      </c>
      <c r="N21" s="57" cm="1">
        <f t="array" ref="N21">IFERROR(INDEX(INPUT!$W$3:$W$1000,MATCH(1,(INPUT!$T$3:$T$1000=$I$2+2)*(INPUT!$U$3:$U$1000="DANI"),0)),"")</f>
        <v>3</v>
      </c>
      <c r="O21" s="57" cm="1">
        <f t="array" ref="O21">IFERROR(INDEX(INPUT!$X$3:$X$1000,MATCH(1,(INPUT!$T$3:$T$1000=$I$2+2)*(INPUT!$U$3:$U$1000="DANI"),0)),"")</f>
        <v>4</v>
      </c>
      <c r="P21" s="57" cm="1">
        <f t="array" ref="P21">IFERROR(INDEX(INPUT!$Y$3:$Y$1000,MATCH(1,(INPUT!$T$3:$T$1000=$I$2+2)*(INPUT!$U$3:$U$1000="DANI"),0)),"")</f>
        <v>5</v>
      </c>
      <c r="Q21" s="58">
        <f t="shared" si="2"/>
        <v>16</v>
      </c>
      <c r="R21" s="57" cm="1">
        <f t="array" ref="R21">IFERROR(INDEX(INPUT!$V$3:$V$1000,MATCH(1,(INPUT!$T$3:$T$1000=$I$2+3)*(INPUT!$U$3:$U$1000="DANI"),0)),"")</f>
        <v>3</v>
      </c>
      <c r="S21" s="57" cm="1">
        <f t="array" ref="S21">IFERROR(INDEX(INPUT!$W$3:$W$1000,MATCH(1,(INPUT!$T$3:$T$1000=$I$2+3)*(INPUT!$U$3:$U$1000="DANI"),0)),"")</f>
        <v>4</v>
      </c>
      <c r="T21" s="57" cm="1">
        <f t="array" ref="T21">IFERROR(INDEX(INPUT!$X$3:$X$1000,MATCH(1,(INPUT!$T$3:$T$1000=$I$2+3)*(INPUT!$U$3:$U$1000="DANI"),0)),"")</f>
        <v>3</v>
      </c>
      <c r="U21" s="57" cm="1">
        <f t="array" ref="U21">IFERROR(INDEX(INPUT!$Y$3:$Y$1000,MATCH(1,(INPUT!$T$3:$T$1000=$I$2+3)*(INPUT!$U$3:$U$1000="DANI"),0)),"")</f>
        <v>5</v>
      </c>
      <c r="V21" s="58">
        <f t="shared" si="3"/>
        <v>15</v>
      </c>
      <c r="W21" s="57" cm="1">
        <f t="array" ref="W21">IFERROR(INDEX(INPUT!$V$3:$V$1000,MATCH(1,(INPUT!$T$3:$T$1000=$I$2+4)*(INPUT!$U$3:$U$1000="DANI"),0)),"")</f>
        <v>4</v>
      </c>
      <c r="X21" s="57" cm="1">
        <f t="array" ref="X21">IFERROR(INDEX(INPUT!$W$3:$W$1000,MATCH(1,(INPUT!$T$3:$T$1000=$I$2+4)*(INPUT!$U$3:$U$1000="DANI"),0)),"")</f>
        <v>4</v>
      </c>
      <c r="Y21" s="57" cm="1">
        <f t="array" ref="Y21">IFERROR(INDEX(INPUT!$X$3:$X$1000,MATCH(1,(INPUT!$T$3:$T$1000=$I$2+4)*(INPUT!$U$3:$U$1000="DANI"),0)),"")</f>
        <v>4</v>
      </c>
      <c r="Z21" s="57" cm="1">
        <f t="array" ref="Z21">IFERROR(INDEX(INPUT!$Y$3:$Y$1000,MATCH(1,(INPUT!$T$3:$T$1000=$I$2+4)*(INPUT!$U$3:$U$1000="DANI"),0)),"")</f>
        <v>4</v>
      </c>
      <c r="AA21" s="58">
        <f t="shared" si="4"/>
        <v>16</v>
      </c>
      <c r="AB21" s="57" cm="1">
        <f t="array" ref="AB21">IFERROR(INDEX(INPUT!$V$3:$V$1000,MATCH(1,(INPUT!$T$3:$T$1000=$I$2+5)*(INPUT!$U$3:$U$1000="DANI"),0)),"")</f>
        <v>5</v>
      </c>
      <c r="AC21" s="57" cm="1">
        <f t="array" ref="AC21">IFERROR(INDEX(INPUT!$W$3:$W$1000,MATCH(1,(INPUT!$T$3:$T$1000=$I$2+5)*(INPUT!$U$3:$U$1000="DANI"),0)),"")</f>
        <v>4</v>
      </c>
      <c r="AD21" s="57" cm="1">
        <f t="array" ref="AD21">IFERROR(INDEX(INPUT!$X$3:$X$1000,MATCH(1,(INPUT!$T$3:$T$1000=$I$2+5)*(INPUT!$U$3:$U$1000="DANI"),0)),"")</f>
        <v>4</v>
      </c>
      <c r="AE21" s="57" cm="1">
        <f t="array" ref="AE21">IFERROR(INDEX(INPUT!$Y$3:$Y$1000,MATCH(1,(INPUT!$T$3:$T$1000=$I$2+5)*(INPUT!$U$3:$U$1000="DANI"),0)),"")</f>
        <v>5</v>
      </c>
      <c r="AF21" s="58">
        <f t="shared" si="5"/>
        <v>18</v>
      </c>
      <c r="AG21" s="57" cm="1">
        <f t="array" ref="AG21">IFERROR(INDEX(INPUT!$V$3:$V$1000,MATCH(1,(INPUT!$T$3:$T$1000=$I$2+6)*(INPUT!$U$3:$U$1000="DANI"),0)),"")</f>
        <v>4</v>
      </c>
      <c r="AH21" s="57" cm="1">
        <f t="array" ref="AH21">IFERROR(INDEX(INPUT!$W$3:$W$1000,MATCH(1,(INPUT!$T$3:$T$1000=$I$2+6)*(INPUT!$U$3:$U$1000="DANI"),0)),"")</f>
        <v>4</v>
      </c>
      <c r="AI21" s="57" cm="1">
        <f t="array" ref="AI21">IFERROR(INDEX(INPUT!$X$3:$X$1000,MATCH(1,(INPUT!$T$3:$T$1000=$I$2+6)*(INPUT!$U$3:$U$1000="DANI"),0)),"")</f>
        <v>4</v>
      </c>
      <c r="AJ21" s="57" cm="1">
        <f t="array" ref="AJ21">IFERROR(INDEX(INPUT!$Y$3:$Y$1000,MATCH(1,(INPUT!$T$3:$T$1000=$I$2+6)*(INPUT!$U$3:$U$1000="DANI"),0)),"")</f>
        <v>5</v>
      </c>
      <c r="AK21" s="58">
        <f t="shared" si="6"/>
        <v>17</v>
      </c>
      <c r="AL21" s="66">
        <f t="shared" si="7"/>
        <v>16</v>
      </c>
      <c r="AM21" s="57">
        <f t="shared" si="8"/>
        <v>7</v>
      </c>
    </row>
    <row r="22" spans="1:39" x14ac:dyDescent="0.2">
      <c r="A22" s="59">
        <v>18</v>
      </c>
      <c r="B22" s="60" t="s">
        <v>58</v>
      </c>
      <c r="C22" s="61" cm="1">
        <f t="array" ref="C22">IFERROR(INDEX(INPUT!$V$3:$V$1000,MATCH(1,(INPUT!$T$3:$T$1000=$I$2+0)*(INPUT!$U$3:$U$1000="JAIME"),0)),"")</f>
        <v>4</v>
      </c>
      <c r="D22" s="61" cm="1">
        <f t="array" ref="D22">IFERROR(INDEX(INPUT!$W$3:$W$1000,MATCH(1,(INPUT!$T$3:$T$1000=$I$2+0)*(INPUT!$U$3:$U$1000="JAIME"),0)),"")</f>
        <v>4</v>
      </c>
      <c r="E22" s="61" cm="1">
        <f t="array" ref="E22">IFERROR(INDEX(INPUT!$X$3:$X$1000,MATCH(1,(INPUT!$T$3:$T$1000=$I$2+0)*(INPUT!$U$3:$U$1000="JAIME"),0)),"")</f>
        <v>4</v>
      </c>
      <c r="F22" s="61" cm="1">
        <f t="array" ref="F22">IFERROR(INDEX(INPUT!$Y$3:$Y$1000,MATCH(1,(INPUT!$T$3:$T$1000=$I$2+0)*(INPUT!$U$3:$U$1000="JAIME"),0)),"")</f>
        <v>5</v>
      </c>
      <c r="G22" s="62">
        <f t="shared" si="0"/>
        <v>17</v>
      </c>
      <c r="H22" s="61" cm="1">
        <f t="array" ref="H22">IFERROR(INDEX(INPUT!$V$3:$V$1000,MATCH(1,(INPUT!$T$3:$T$1000=$I$2+1)*(INPUT!$U$3:$U$1000="JAIME"),0)),"")</f>
        <v>4</v>
      </c>
      <c r="I22" s="61" cm="1">
        <f t="array" ref="I22">IFERROR(INDEX(INPUT!$W$3:$W$1000,MATCH(1,(INPUT!$T$3:$T$1000=$I$2+1)*(INPUT!$U$3:$U$1000="JAIME"),0)),"")</f>
        <v>3</v>
      </c>
      <c r="J22" s="61" cm="1">
        <f t="array" ref="J22">IFERROR(INDEX(INPUT!$X$3:$X$1000,MATCH(1,(INPUT!$T$3:$T$1000=$I$2+1)*(INPUT!$U$3:$U$1000="JAIME"),0)),"")</f>
        <v>4</v>
      </c>
      <c r="K22" s="61" cm="1">
        <f t="array" ref="K22">IFERROR(INDEX(INPUT!$Y$3:$Y$1000,MATCH(1,(INPUT!$T$3:$T$1000=$I$2+1)*(INPUT!$U$3:$U$1000="JAIME"),0)),"")</f>
        <v>5</v>
      </c>
      <c r="L22" s="62">
        <f t="shared" si="1"/>
        <v>16</v>
      </c>
      <c r="M22" s="61" cm="1">
        <f t="array" ref="M22">IFERROR(INDEX(INPUT!$V$3:$V$1000,MATCH(1,(INPUT!$T$3:$T$1000=$I$2+2)*(INPUT!$U$3:$U$1000="JAIME"),0)),"")</f>
        <v>3</v>
      </c>
      <c r="N22" s="61" cm="1">
        <f t="array" ref="N22">IFERROR(INDEX(INPUT!$W$3:$W$1000,MATCH(1,(INPUT!$T$3:$T$1000=$I$2+2)*(INPUT!$U$3:$U$1000="JAIME"),0)),"")</f>
        <v>4</v>
      </c>
      <c r="O22" s="61" cm="1">
        <f t="array" ref="O22">IFERROR(INDEX(INPUT!$X$3:$X$1000,MATCH(1,(INPUT!$T$3:$T$1000=$I$2+2)*(INPUT!$U$3:$U$1000="JAIME"),0)),"")</f>
        <v>4</v>
      </c>
      <c r="P22" s="61" cm="1">
        <f t="array" ref="P22">IFERROR(INDEX(INPUT!$Y$3:$Y$1000,MATCH(1,(INPUT!$T$3:$T$1000=$I$2+2)*(INPUT!$U$3:$U$1000="JAIME"),0)),"")</f>
        <v>5</v>
      </c>
      <c r="Q22" s="62">
        <f t="shared" si="2"/>
        <v>16</v>
      </c>
      <c r="R22" s="61" cm="1">
        <f t="array" ref="R22">IFERROR(INDEX(INPUT!$V$3:$V$1000,MATCH(1,(INPUT!$T$3:$T$1000=$I$2+3)*(INPUT!$U$3:$U$1000="JAIME"),0)),"")</f>
        <v>3</v>
      </c>
      <c r="S22" s="61" cm="1">
        <f t="array" ref="S22">IFERROR(INDEX(INPUT!$W$3:$W$1000,MATCH(1,(INPUT!$T$3:$T$1000=$I$2+3)*(INPUT!$U$3:$U$1000="JAIME"),0)),"")</f>
        <v>3</v>
      </c>
      <c r="T22" s="61" cm="1">
        <f t="array" ref="T22">IFERROR(INDEX(INPUT!$X$3:$X$1000,MATCH(1,(INPUT!$T$3:$T$1000=$I$2+3)*(INPUT!$U$3:$U$1000="JAIME"),0)),"")</f>
        <v>4</v>
      </c>
      <c r="U22" s="61" cm="1">
        <f t="array" ref="U22">IFERROR(INDEX(INPUT!$Y$3:$Y$1000,MATCH(1,(INPUT!$T$3:$T$1000=$I$2+3)*(INPUT!$U$3:$U$1000="JAIME"),0)),"")</f>
        <v>5</v>
      </c>
      <c r="V22" s="62">
        <f t="shared" si="3"/>
        <v>15</v>
      </c>
      <c r="W22" s="61" cm="1">
        <f t="array" ref="W22">IFERROR(INDEX(INPUT!$V$3:$V$1000,MATCH(1,(INPUT!$T$3:$T$1000=$I$2+4)*(INPUT!$U$3:$U$1000="JAIME"),0)),"")</f>
        <v>4</v>
      </c>
      <c r="X22" s="61" cm="1">
        <f t="array" ref="X22">IFERROR(INDEX(INPUT!$W$3:$W$1000,MATCH(1,(INPUT!$T$3:$T$1000=$I$2+4)*(INPUT!$U$3:$U$1000="JAIME"),0)),"")</f>
        <v>3</v>
      </c>
      <c r="Y22" s="61" cm="1">
        <f t="array" ref="Y22">IFERROR(INDEX(INPUT!$X$3:$X$1000,MATCH(1,(INPUT!$T$3:$T$1000=$I$2+4)*(INPUT!$U$3:$U$1000="JAIME"),0)),"")</f>
        <v>4</v>
      </c>
      <c r="Z22" s="61" cm="1">
        <f t="array" ref="Z22">IFERROR(INDEX(INPUT!$Y$3:$Y$1000,MATCH(1,(INPUT!$T$3:$T$1000=$I$2+4)*(INPUT!$U$3:$U$1000="JAIME"),0)),"")</f>
        <v>5</v>
      </c>
      <c r="AA22" s="62">
        <f t="shared" si="4"/>
        <v>16</v>
      </c>
      <c r="AB22" s="61" cm="1">
        <f t="array" ref="AB22">IFERROR(INDEX(INPUT!$V$3:$V$1000,MATCH(1,(INPUT!$T$3:$T$1000=$I$2+5)*(INPUT!$U$3:$U$1000="JAIME"),0)),"")</f>
        <v>4</v>
      </c>
      <c r="AC22" s="61" cm="1">
        <f t="array" ref="AC22">IFERROR(INDEX(INPUT!$W$3:$W$1000,MATCH(1,(INPUT!$T$3:$T$1000=$I$2+5)*(INPUT!$U$3:$U$1000="JAIME"),0)),"")</f>
        <v>4</v>
      </c>
      <c r="AD22" s="61" cm="1">
        <f t="array" ref="AD22">IFERROR(INDEX(INPUT!$X$3:$X$1000,MATCH(1,(INPUT!$T$3:$T$1000=$I$2+5)*(INPUT!$U$3:$U$1000="JAIME"),0)),"")</f>
        <v>4</v>
      </c>
      <c r="AE22" s="61" cm="1">
        <f t="array" ref="AE22">IFERROR(INDEX(INPUT!$Y$3:$Y$1000,MATCH(1,(INPUT!$T$3:$T$1000=$I$2+5)*(INPUT!$U$3:$U$1000="JAIME"),0)),"")</f>
        <v>5</v>
      </c>
      <c r="AF22" s="62">
        <f t="shared" si="5"/>
        <v>17</v>
      </c>
      <c r="AG22" s="61" cm="1">
        <f t="array" ref="AG22">IFERROR(INDEX(INPUT!$V$3:$V$1000,MATCH(1,(INPUT!$T$3:$T$1000=$I$2+6)*(INPUT!$U$3:$U$1000="JAIME"),0)),"")</f>
        <v>4</v>
      </c>
      <c r="AH22" s="61" cm="1">
        <f t="array" ref="AH22">IFERROR(INDEX(INPUT!$W$3:$W$1000,MATCH(1,(INPUT!$T$3:$T$1000=$I$2+6)*(INPUT!$U$3:$U$1000="JAIME"),0)),"")</f>
        <v>4</v>
      </c>
      <c r="AI22" s="61" cm="1">
        <f t="array" ref="AI22">IFERROR(INDEX(INPUT!$X$3:$X$1000,MATCH(1,(INPUT!$T$3:$T$1000=$I$2+6)*(INPUT!$U$3:$U$1000="JAIME"),0)),"")</f>
        <v>3</v>
      </c>
      <c r="AJ22" s="61" cm="1">
        <f t="array" ref="AJ22">IFERROR(INDEX(INPUT!$Y$3:$Y$1000,MATCH(1,(INPUT!$T$3:$T$1000=$I$2+6)*(INPUT!$U$3:$U$1000="JAIME"),0)),"")</f>
        <v>5</v>
      </c>
      <c r="AK22" s="62">
        <f t="shared" si="6"/>
        <v>16</v>
      </c>
      <c r="AL22" s="65">
        <f t="shared" si="7"/>
        <v>16.142857142857142</v>
      </c>
      <c r="AM22" s="61">
        <f t="shared" si="8"/>
        <v>7</v>
      </c>
    </row>
    <row r="23" spans="1:39" x14ac:dyDescent="0.2">
      <c r="A23" s="56">
        <v>19</v>
      </c>
      <c r="B23" s="9" t="s">
        <v>83</v>
      </c>
      <c r="C23" s="57" t="str" cm="1">
        <f t="array" ref="C23">IFERROR(INDEX(INPUT!$V$3:$V$1000,MATCH(1,(INPUT!$T$3:$T$1000=$I$2+0)*(INPUT!$U$3:$U$1000="ANCHU"),0)),"")</f>
        <v/>
      </c>
      <c r="D23" s="57" t="str" cm="1">
        <f t="array" ref="D23">IFERROR(INDEX(INPUT!$W$3:$W$1000,MATCH(1,(INPUT!$T$3:$T$1000=$I$2+0)*(INPUT!$U$3:$U$1000="ANCHU"),0)),"")</f>
        <v/>
      </c>
      <c r="E23" s="57" t="str" cm="1">
        <f t="array" ref="E23">IFERROR(INDEX(INPUT!$X$3:$X$1000,MATCH(1,(INPUT!$T$3:$T$1000=$I$2+0)*(INPUT!$U$3:$U$1000="ANCHU"),0)),"")</f>
        <v/>
      </c>
      <c r="F23" s="57" t="str" cm="1">
        <f t="array" ref="F23">IFERROR(INDEX(INPUT!$Y$3:$Y$1000,MATCH(1,(INPUT!$T$3:$T$1000=$I$2+0)*(INPUT!$U$3:$U$1000="ANCHU"),0)),"")</f>
        <v/>
      </c>
      <c r="G23" s="58" t="str">
        <f t="shared" si="0"/>
        <v/>
      </c>
      <c r="H23" s="57" t="str" cm="1">
        <f t="array" ref="H23">IFERROR(INDEX(INPUT!$V$3:$V$1000,MATCH(1,(INPUT!$T$3:$T$1000=$I$2+1)*(INPUT!$U$3:$U$1000="ANCHU"),0)),"")</f>
        <v/>
      </c>
      <c r="I23" s="57" t="str" cm="1">
        <f t="array" ref="I23">IFERROR(INDEX(INPUT!$W$3:$W$1000,MATCH(1,(INPUT!$T$3:$T$1000=$I$2+1)*(INPUT!$U$3:$U$1000="ANCHU"),0)),"")</f>
        <v/>
      </c>
      <c r="J23" s="57" t="str" cm="1">
        <f t="array" ref="J23">IFERROR(INDEX(INPUT!$X$3:$X$1000,MATCH(1,(INPUT!$T$3:$T$1000=$I$2+1)*(INPUT!$U$3:$U$1000="ANCHU"),0)),"")</f>
        <v/>
      </c>
      <c r="K23" s="57" t="str" cm="1">
        <f t="array" ref="K23">IFERROR(INDEX(INPUT!$Y$3:$Y$1000,MATCH(1,(INPUT!$T$3:$T$1000=$I$2+1)*(INPUT!$U$3:$U$1000="ANCHU"),0)),"")</f>
        <v/>
      </c>
      <c r="L23" s="58" t="str">
        <f t="shared" si="1"/>
        <v/>
      </c>
      <c r="M23" s="57" t="str" cm="1">
        <f t="array" ref="M23">IFERROR(INDEX(INPUT!$V$3:$V$1000,MATCH(1,(INPUT!$T$3:$T$1000=$I$2+2)*(INPUT!$U$3:$U$1000="ANCHU"),0)),"")</f>
        <v/>
      </c>
      <c r="N23" s="57" t="str" cm="1">
        <f t="array" ref="N23">IFERROR(INDEX(INPUT!$W$3:$W$1000,MATCH(1,(INPUT!$T$3:$T$1000=$I$2+2)*(INPUT!$U$3:$U$1000="ANCHU"),0)),"")</f>
        <v/>
      </c>
      <c r="O23" s="57" t="str" cm="1">
        <f t="array" ref="O23">IFERROR(INDEX(INPUT!$X$3:$X$1000,MATCH(1,(INPUT!$T$3:$T$1000=$I$2+2)*(INPUT!$U$3:$U$1000="ANCHU"),0)),"")</f>
        <v/>
      </c>
      <c r="P23" s="57" t="str" cm="1">
        <f t="array" ref="P23">IFERROR(INDEX(INPUT!$Y$3:$Y$1000,MATCH(1,(INPUT!$T$3:$T$1000=$I$2+2)*(INPUT!$U$3:$U$1000="ANCHU"),0)),"")</f>
        <v/>
      </c>
      <c r="Q23" s="58" t="str">
        <f t="shared" si="2"/>
        <v/>
      </c>
      <c r="R23" s="57" t="str" cm="1">
        <f t="array" ref="R23">IFERROR(INDEX(INPUT!$V$3:$V$1000,MATCH(1,(INPUT!$T$3:$T$1000=$I$2+3)*(INPUT!$U$3:$U$1000="ANCHU"),0)),"")</f>
        <v/>
      </c>
      <c r="S23" s="57" t="str" cm="1">
        <f t="array" ref="S23">IFERROR(INDEX(INPUT!$W$3:$W$1000,MATCH(1,(INPUT!$T$3:$T$1000=$I$2+3)*(INPUT!$U$3:$U$1000="ANCHU"),0)),"")</f>
        <v/>
      </c>
      <c r="T23" s="57" t="str" cm="1">
        <f t="array" ref="T23">IFERROR(INDEX(INPUT!$X$3:$X$1000,MATCH(1,(INPUT!$T$3:$T$1000=$I$2+3)*(INPUT!$U$3:$U$1000="ANCHU"),0)),"")</f>
        <v/>
      </c>
      <c r="U23" s="57" t="str" cm="1">
        <f t="array" ref="U23">IFERROR(INDEX(INPUT!$Y$3:$Y$1000,MATCH(1,(INPUT!$T$3:$T$1000=$I$2+3)*(INPUT!$U$3:$U$1000="ANCHU"),0)),"")</f>
        <v/>
      </c>
      <c r="V23" s="58" t="str">
        <f t="shared" si="3"/>
        <v/>
      </c>
      <c r="W23" s="57" t="str" cm="1">
        <f t="array" ref="W23">IFERROR(INDEX(INPUT!$V$3:$V$1000,MATCH(1,(INPUT!$T$3:$T$1000=$I$2+4)*(INPUT!$U$3:$U$1000="ANCHU"),0)),"")</f>
        <v/>
      </c>
      <c r="X23" s="57" t="str" cm="1">
        <f t="array" ref="X23">IFERROR(INDEX(INPUT!$W$3:$W$1000,MATCH(1,(INPUT!$T$3:$T$1000=$I$2+4)*(INPUT!$U$3:$U$1000="ANCHU"),0)),"")</f>
        <v/>
      </c>
      <c r="Y23" s="57" t="str" cm="1">
        <f t="array" ref="Y23">IFERROR(INDEX(INPUT!$X$3:$X$1000,MATCH(1,(INPUT!$T$3:$T$1000=$I$2+4)*(INPUT!$U$3:$U$1000="ANCHU"),0)),"")</f>
        <v/>
      </c>
      <c r="Z23" s="57" t="str" cm="1">
        <f t="array" ref="Z23">IFERROR(INDEX(INPUT!$Y$3:$Y$1000,MATCH(1,(INPUT!$T$3:$T$1000=$I$2+4)*(INPUT!$U$3:$U$1000="ANCHU"),0)),"")</f>
        <v/>
      </c>
      <c r="AA23" s="58" t="str">
        <f t="shared" si="4"/>
        <v/>
      </c>
      <c r="AB23" s="57" t="str" cm="1">
        <f t="array" ref="AB23">IFERROR(INDEX(INPUT!$V$3:$V$1000,MATCH(1,(INPUT!$T$3:$T$1000=$I$2+5)*(INPUT!$U$3:$U$1000="ANCHU"),0)),"")</f>
        <v/>
      </c>
      <c r="AC23" s="57" t="str" cm="1">
        <f t="array" ref="AC23">IFERROR(INDEX(INPUT!$W$3:$W$1000,MATCH(1,(INPUT!$T$3:$T$1000=$I$2+5)*(INPUT!$U$3:$U$1000="ANCHU"),0)),"")</f>
        <v/>
      </c>
      <c r="AD23" s="57" t="str" cm="1">
        <f t="array" ref="AD23">IFERROR(INDEX(INPUT!$X$3:$X$1000,MATCH(1,(INPUT!$T$3:$T$1000=$I$2+5)*(INPUT!$U$3:$U$1000="ANCHU"),0)),"")</f>
        <v/>
      </c>
      <c r="AE23" s="57" t="str" cm="1">
        <f t="array" ref="AE23">IFERROR(INDEX(INPUT!$Y$3:$Y$1000,MATCH(1,(INPUT!$T$3:$T$1000=$I$2+5)*(INPUT!$U$3:$U$1000="ANCHU"),0)),"")</f>
        <v/>
      </c>
      <c r="AF23" s="58" t="str">
        <f t="shared" si="5"/>
        <v/>
      </c>
      <c r="AG23" s="57" t="str" cm="1">
        <f t="array" ref="AG23">IFERROR(INDEX(INPUT!$V$3:$V$1000,MATCH(1,(INPUT!$T$3:$T$1000=$I$2+6)*(INPUT!$U$3:$U$1000="ANCHU"),0)),"")</f>
        <v/>
      </c>
      <c r="AH23" s="57" t="str" cm="1">
        <f t="array" ref="AH23">IFERROR(INDEX(INPUT!$W$3:$W$1000,MATCH(1,(INPUT!$T$3:$T$1000=$I$2+6)*(INPUT!$U$3:$U$1000="ANCHU"),0)),"")</f>
        <v/>
      </c>
      <c r="AI23" s="57" t="str" cm="1">
        <f t="array" ref="AI23">IFERROR(INDEX(INPUT!$X$3:$X$1000,MATCH(1,(INPUT!$T$3:$T$1000=$I$2+6)*(INPUT!$U$3:$U$1000="ANCHU"),0)),"")</f>
        <v/>
      </c>
      <c r="AJ23" s="57" t="str" cm="1">
        <f t="array" ref="AJ23">IFERROR(INDEX(INPUT!$Y$3:$Y$1000,MATCH(1,(INPUT!$T$3:$T$1000=$I$2+6)*(INPUT!$U$3:$U$1000="ANCHU"),0)),"")</f>
        <v/>
      </c>
      <c r="AK23" s="58" t="str">
        <f t="shared" si="6"/>
        <v/>
      </c>
      <c r="AL23" s="66" t="str">
        <f t="shared" si="7"/>
        <v/>
      </c>
      <c r="AM23" s="57">
        <f t="shared" si="8"/>
        <v>0</v>
      </c>
    </row>
    <row r="24" spans="1:39" x14ac:dyDescent="0.2">
      <c r="A24" s="59">
        <v>20</v>
      </c>
      <c r="B24" s="60" t="s">
        <v>84</v>
      </c>
      <c r="C24" s="61" t="str" cm="1">
        <f t="array" ref="C24">IFERROR(INDEX(INPUT!$V$3:$V$1000,MATCH(1,(INPUT!$T$3:$T$1000=$I$2+0)*(INPUT!$U$3:$U$1000="NACHO"),0)),"")</f>
        <v/>
      </c>
      <c r="D24" s="61" t="str" cm="1">
        <f t="array" ref="D24">IFERROR(INDEX(INPUT!$W$3:$W$1000,MATCH(1,(INPUT!$T$3:$T$1000=$I$2+0)*(INPUT!$U$3:$U$1000="NACHO"),0)),"")</f>
        <v/>
      </c>
      <c r="E24" s="61" t="str" cm="1">
        <f t="array" ref="E24">IFERROR(INDEX(INPUT!$X$3:$X$1000,MATCH(1,(INPUT!$T$3:$T$1000=$I$2+0)*(INPUT!$U$3:$U$1000="NACHO"),0)),"")</f>
        <v/>
      </c>
      <c r="F24" s="61" t="str" cm="1">
        <f t="array" ref="F24">IFERROR(INDEX(INPUT!$Y$3:$Y$1000,MATCH(1,(INPUT!$T$3:$T$1000=$I$2+0)*(INPUT!$U$3:$U$1000="NACHO"),0)),"")</f>
        <v/>
      </c>
      <c r="G24" s="62" t="str">
        <f t="shared" si="0"/>
        <v/>
      </c>
      <c r="H24" s="61" t="str" cm="1">
        <f t="array" ref="H24">IFERROR(INDEX(INPUT!$V$3:$V$1000,MATCH(1,(INPUT!$T$3:$T$1000=$I$2+1)*(INPUT!$U$3:$U$1000="NACHO"),0)),"")</f>
        <v/>
      </c>
      <c r="I24" s="61" t="str" cm="1">
        <f t="array" ref="I24">IFERROR(INDEX(INPUT!$W$3:$W$1000,MATCH(1,(INPUT!$T$3:$T$1000=$I$2+1)*(INPUT!$U$3:$U$1000="NACHO"),0)),"")</f>
        <v/>
      </c>
      <c r="J24" s="61" t="str" cm="1">
        <f t="array" ref="J24">IFERROR(INDEX(INPUT!$X$3:$X$1000,MATCH(1,(INPUT!$T$3:$T$1000=$I$2+1)*(INPUT!$U$3:$U$1000="NACHO"),0)),"")</f>
        <v/>
      </c>
      <c r="K24" s="61" t="str" cm="1">
        <f t="array" ref="K24">IFERROR(INDEX(INPUT!$Y$3:$Y$1000,MATCH(1,(INPUT!$T$3:$T$1000=$I$2+1)*(INPUT!$U$3:$U$1000="NACHO"),0)),"")</f>
        <v/>
      </c>
      <c r="L24" s="62" t="str">
        <f t="shared" si="1"/>
        <v/>
      </c>
      <c r="M24" s="61" t="str" cm="1">
        <f t="array" ref="M24">IFERROR(INDEX(INPUT!$V$3:$V$1000,MATCH(1,(INPUT!$T$3:$T$1000=$I$2+2)*(INPUT!$U$3:$U$1000="NACHO"),0)),"")</f>
        <v/>
      </c>
      <c r="N24" s="61" t="str" cm="1">
        <f t="array" ref="N24">IFERROR(INDEX(INPUT!$W$3:$W$1000,MATCH(1,(INPUT!$T$3:$T$1000=$I$2+2)*(INPUT!$U$3:$U$1000="NACHO"),0)),"")</f>
        <v/>
      </c>
      <c r="O24" s="61" t="str" cm="1">
        <f t="array" ref="O24">IFERROR(INDEX(INPUT!$X$3:$X$1000,MATCH(1,(INPUT!$T$3:$T$1000=$I$2+2)*(INPUT!$U$3:$U$1000="NACHO"),0)),"")</f>
        <v/>
      </c>
      <c r="P24" s="61" t="str" cm="1">
        <f t="array" ref="P24">IFERROR(INDEX(INPUT!$Y$3:$Y$1000,MATCH(1,(INPUT!$T$3:$T$1000=$I$2+2)*(INPUT!$U$3:$U$1000="NACHO"),0)),"")</f>
        <v/>
      </c>
      <c r="Q24" s="62" t="str">
        <f t="shared" si="2"/>
        <v/>
      </c>
      <c r="R24" s="61" t="str" cm="1">
        <f t="array" ref="R24">IFERROR(INDEX(INPUT!$V$3:$V$1000,MATCH(1,(INPUT!$T$3:$T$1000=$I$2+3)*(INPUT!$U$3:$U$1000="NACHO"),0)),"")</f>
        <v/>
      </c>
      <c r="S24" s="61" t="str" cm="1">
        <f t="array" ref="S24">IFERROR(INDEX(INPUT!$W$3:$W$1000,MATCH(1,(INPUT!$T$3:$T$1000=$I$2+3)*(INPUT!$U$3:$U$1000="NACHO"),0)),"")</f>
        <v/>
      </c>
      <c r="T24" s="61" t="str" cm="1">
        <f t="array" ref="T24">IFERROR(INDEX(INPUT!$X$3:$X$1000,MATCH(1,(INPUT!$T$3:$T$1000=$I$2+3)*(INPUT!$U$3:$U$1000="NACHO"),0)),"")</f>
        <v/>
      </c>
      <c r="U24" s="61" t="str" cm="1">
        <f t="array" ref="U24">IFERROR(INDEX(INPUT!$Y$3:$Y$1000,MATCH(1,(INPUT!$T$3:$T$1000=$I$2+3)*(INPUT!$U$3:$U$1000="NACHO"),0)),"")</f>
        <v/>
      </c>
      <c r="V24" s="62" t="str">
        <f t="shared" si="3"/>
        <v/>
      </c>
      <c r="W24" s="61" t="str" cm="1">
        <f t="array" ref="W24">IFERROR(INDEX(INPUT!$V$3:$V$1000,MATCH(1,(INPUT!$T$3:$T$1000=$I$2+4)*(INPUT!$U$3:$U$1000="NACHO"),0)),"")</f>
        <v/>
      </c>
      <c r="X24" s="61" t="str" cm="1">
        <f t="array" ref="X24">IFERROR(INDEX(INPUT!$W$3:$W$1000,MATCH(1,(INPUT!$T$3:$T$1000=$I$2+4)*(INPUT!$U$3:$U$1000="NACHO"),0)),"")</f>
        <v/>
      </c>
      <c r="Y24" s="61" t="str" cm="1">
        <f t="array" ref="Y24">IFERROR(INDEX(INPUT!$X$3:$X$1000,MATCH(1,(INPUT!$T$3:$T$1000=$I$2+4)*(INPUT!$U$3:$U$1000="NACHO"),0)),"")</f>
        <v/>
      </c>
      <c r="Z24" s="61" t="str" cm="1">
        <f t="array" ref="Z24">IFERROR(INDEX(INPUT!$Y$3:$Y$1000,MATCH(1,(INPUT!$T$3:$T$1000=$I$2+4)*(INPUT!$U$3:$U$1000="NACHO"),0)),"")</f>
        <v/>
      </c>
      <c r="AA24" s="62" t="str">
        <f t="shared" si="4"/>
        <v/>
      </c>
      <c r="AB24" s="61" t="str" cm="1">
        <f t="array" ref="AB24">IFERROR(INDEX(INPUT!$V$3:$V$1000,MATCH(1,(INPUT!$T$3:$T$1000=$I$2+5)*(INPUT!$U$3:$U$1000="NACHO"),0)),"")</f>
        <v/>
      </c>
      <c r="AC24" s="61" t="str" cm="1">
        <f t="array" ref="AC24">IFERROR(INDEX(INPUT!$W$3:$W$1000,MATCH(1,(INPUT!$T$3:$T$1000=$I$2+5)*(INPUT!$U$3:$U$1000="NACHO"),0)),"")</f>
        <v/>
      </c>
      <c r="AD24" s="61" t="str" cm="1">
        <f t="array" ref="AD24">IFERROR(INDEX(INPUT!$X$3:$X$1000,MATCH(1,(INPUT!$T$3:$T$1000=$I$2+5)*(INPUT!$U$3:$U$1000="NACHO"),0)),"")</f>
        <v/>
      </c>
      <c r="AE24" s="61" t="str" cm="1">
        <f t="array" ref="AE24">IFERROR(INDEX(INPUT!$Y$3:$Y$1000,MATCH(1,(INPUT!$T$3:$T$1000=$I$2+5)*(INPUT!$U$3:$U$1000="NACHO"),0)),"")</f>
        <v/>
      </c>
      <c r="AF24" s="62" t="str">
        <f t="shared" si="5"/>
        <v/>
      </c>
      <c r="AG24" s="61" t="str" cm="1">
        <f t="array" ref="AG24">IFERROR(INDEX(INPUT!$V$3:$V$1000,MATCH(1,(INPUT!$T$3:$T$1000=$I$2+6)*(INPUT!$U$3:$U$1000="NACHO"),0)),"")</f>
        <v/>
      </c>
      <c r="AH24" s="61" t="str" cm="1">
        <f t="array" ref="AH24">IFERROR(INDEX(INPUT!$W$3:$W$1000,MATCH(1,(INPUT!$T$3:$T$1000=$I$2+6)*(INPUT!$U$3:$U$1000="NACHO"),0)),"")</f>
        <v/>
      </c>
      <c r="AI24" s="61" t="str" cm="1">
        <f t="array" ref="AI24">IFERROR(INDEX(INPUT!$X$3:$X$1000,MATCH(1,(INPUT!$T$3:$T$1000=$I$2+6)*(INPUT!$U$3:$U$1000="NACHO"),0)),"")</f>
        <v/>
      </c>
      <c r="AJ24" s="61" t="str" cm="1">
        <f t="array" ref="AJ24">IFERROR(INDEX(INPUT!$Y$3:$Y$1000,MATCH(1,(INPUT!$T$3:$T$1000=$I$2+6)*(INPUT!$U$3:$U$1000="NACHO"),0)),"")</f>
        <v/>
      </c>
      <c r="AK24" s="62" t="str">
        <f t="shared" si="6"/>
        <v/>
      </c>
      <c r="AL24" s="65" t="str">
        <f t="shared" si="7"/>
        <v/>
      </c>
      <c r="AM24" s="61">
        <f t="shared" si="8"/>
        <v>0</v>
      </c>
    </row>
    <row r="25" spans="1:39" x14ac:dyDescent="0.2">
      <c r="A25" s="56">
        <v>21</v>
      </c>
      <c r="B25" s="9" t="s">
        <v>85</v>
      </c>
      <c r="C25" s="57" t="str" cm="1">
        <f t="array" ref="C25">IFERROR(INDEX(INPUT!$V$3:$V$1000,MATCH(1,(INPUT!$T$3:$T$1000=$I$2+0)*(INPUT!$U$3:$U$1000="J21"),0)),"")</f>
        <v/>
      </c>
      <c r="D25" s="57" t="str" cm="1">
        <f t="array" ref="D25">IFERROR(INDEX(INPUT!$W$3:$W$1000,MATCH(1,(INPUT!$T$3:$T$1000=$I$2+0)*(INPUT!$U$3:$U$1000="J21"),0)),"")</f>
        <v/>
      </c>
      <c r="E25" s="57" t="str" cm="1">
        <f t="array" ref="E25">IFERROR(INDEX(INPUT!$X$3:$X$1000,MATCH(1,(INPUT!$T$3:$T$1000=$I$2+0)*(INPUT!$U$3:$U$1000="J21"),0)),"")</f>
        <v/>
      </c>
      <c r="F25" s="57" t="str" cm="1">
        <f t="array" ref="F25">IFERROR(INDEX(INPUT!$Y$3:$Y$1000,MATCH(1,(INPUT!$T$3:$T$1000=$I$2+0)*(INPUT!$U$3:$U$1000="J21"),0)),"")</f>
        <v/>
      </c>
      <c r="G25" s="58" t="str">
        <f t="shared" si="0"/>
        <v/>
      </c>
      <c r="H25" s="57" t="str" cm="1">
        <f t="array" ref="H25">IFERROR(INDEX(INPUT!$V$3:$V$1000,MATCH(1,(INPUT!$T$3:$T$1000=$I$2+1)*(INPUT!$U$3:$U$1000="J21"),0)),"")</f>
        <v/>
      </c>
      <c r="I25" s="57" t="str" cm="1">
        <f t="array" ref="I25">IFERROR(INDEX(INPUT!$W$3:$W$1000,MATCH(1,(INPUT!$T$3:$T$1000=$I$2+1)*(INPUT!$U$3:$U$1000="J21"),0)),"")</f>
        <v/>
      </c>
      <c r="J25" s="57" t="str" cm="1">
        <f t="array" ref="J25">IFERROR(INDEX(INPUT!$X$3:$X$1000,MATCH(1,(INPUT!$T$3:$T$1000=$I$2+1)*(INPUT!$U$3:$U$1000="J21"),0)),"")</f>
        <v/>
      </c>
      <c r="K25" s="57" t="str" cm="1">
        <f t="array" ref="K25">IFERROR(INDEX(INPUT!$Y$3:$Y$1000,MATCH(1,(INPUT!$T$3:$T$1000=$I$2+1)*(INPUT!$U$3:$U$1000="J21"),0)),"")</f>
        <v/>
      </c>
      <c r="L25" s="58" t="str">
        <f t="shared" si="1"/>
        <v/>
      </c>
      <c r="M25" s="57" t="str" cm="1">
        <f t="array" ref="M25">IFERROR(INDEX(INPUT!$V$3:$V$1000,MATCH(1,(INPUT!$T$3:$T$1000=$I$2+2)*(INPUT!$U$3:$U$1000="J21"),0)),"")</f>
        <v/>
      </c>
      <c r="N25" s="57" t="str" cm="1">
        <f t="array" ref="N25">IFERROR(INDEX(INPUT!$W$3:$W$1000,MATCH(1,(INPUT!$T$3:$T$1000=$I$2+2)*(INPUT!$U$3:$U$1000="J21"),0)),"")</f>
        <v/>
      </c>
      <c r="O25" s="57" t="str" cm="1">
        <f t="array" ref="O25">IFERROR(INDEX(INPUT!$X$3:$X$1000,MATCH(1,(INPUT!$T$3:$T$1000=$I$2+2)*(INPUT!$U$3:$U$1000="J21"),0)),"")</f>
        <v/>
      </c>
      <c r="P25" s="57" t="str" cm="1">
        <f t="array" ref="P25">IFERROR(INDEX(INPUT!$Y$3:$Y$1000,MATCH(1,(INPUT!$T$3:$T$1000=$I$2+2)*(INPUT!$U$3:$U$1000="J21"),0)),"")</f>
        <v/>
      </c>
      <c r="Q25" s="58" t="str">
        <f t="shared" si="2"/>
        <v/>
      </c>
      <c r="R25" s="57" t="str" cm="1">
        <f t="array" ref="R25">IFERROR(INDEX(INPUT!$V$3:$V$1000,MATCH(1,(INPUT!$T$3:$T$1000=$I$2+3)*(INPUT!$U$3:$U$1000="J21"),0)),"")</f>
        <v/>
      </c>
      <c r="S25" s="57" t="str" cm="1">
        <f t="array" ref="S25">IFERROR(INDEX(INPUT!$W$3:$W$1000,MATCH(1,(INPUT!$T$3:$T$1000=$I$2+3)*(INPUT!$U$3:$U$1000="J21"),0)),"")</f>
        <v/>
      </c>
      <c r="T25" s="57" t="str" cm="1">
        <f t="array" ref="T25">IFERROR(INDEX(INPUT!$X$3:$X$1000,MATCH(1,(INPUT!$T$3:$T$1000=$I$2+3)*(INPUT!$U$3:$U$1000="J21"),0)),"")</f>
        <v/>
      </c>
      <c r="U25" s="57" t="str" cm="1">
        <f t="array" ref="U25">IFERROR(INDEX(INPUT!$Y$3:$Y$1000,MATCH(1,(INPUT!$T$3:$T$1000=$I$2+3)*(INPUT!$U$3:$U$1000="J21"),0)),"")</f>
        <v/>
      </c>
      <c r="V25" s="58" t="str">
        <f t="shared" si="3"/>
        <v/>
      </c>
      <c r="W25" s="57" t="str" cm="1">
        <f t="array" ref="W25">IFERROR(INDEX(INPUT!$V$3:$V$1000,MATCH(1,(INPUT!$T$3:$T$1000=$I$2+4)*(INPUT!$U$3:$U$1000="J21"),0)),"")</f>
        <v/>
      </c>
      <c r="X25" s="57" t="str" cm="1">
        <f t="array" ref="X25">IFERROR(INDEX(INPUT!$W$3:$W$1000,MATCH(1,(INPUT!$T$3:$T$1000=$I$2+4)*(INPUT!$U$3:$U$1000="J21"),0)),"")</f>
        <v/>
      </c>
      <c r="Y25" s="57" t="str" cm="1">
        <f t="array" ref="Y25">IFERROR(INDEX(INPUT!$X$3:$X$1000,MATCH(1,(INPUT!$T$3:$T$1000=$I$2+4)*(INPUT!$U$3:$U$1000="J21"),0)),"")</f>
        <v/>
      </c>
      <c r="Z25" s="57" t="str" cm="1">
        <f t="array" ref="Z25">IFERROR(INDEX(INPUT!$Y$3:$Y$1000,MATCH(1,(INPUT!$T$3:$T$1000=$I$2+4)*(INPUT!$U$3:$U$1000="J21"),0)),"")</f>
        <v/>
      </c>
      <c r="AA25" s="58" t="str">
        <f t="shared" si="4"/>
        <v/>
      </c>
      <c r="AB25" s="57" t="str" cm="1">
        <f t="array" ref="AB25">IFERROR(INDEX(INPUT!$V$3:$V$1000,MATCH(1,(INPUT!$T$3:$T$1000=$I$2+5)*(INPUT!$U$3:$U$1000="J21"),0)),"")</f>
        <v/>
      </c>
      <c r="AC25" s="57" t="str" cm="1">
        <f t="array" ref="AC25">IFERROR(INDEX(INPUT!$W$3:$W$1000,MATCH(1,(INPUT!$T$3:$T$1000=$I$2+5)*(INPUT!$U$3:$U$1000="J21"),0)),"")</f>
        <v/>
      </c>
      <c r="AD25" s="57" t="str" cm="1">
        <f t="array" ref="AD25">IFERROR(INDEX(INPUT!$X$3:$X$1000,MATCH(1,(INPUT!$T$3:$T$1000=$I$2+5)*(INPUT!$U$3:$U$1000="J21"),0)),"")</f>
        <v/>
      </c>
      <c r="AE25" s="57" t="str" cm="1">
        <f t="array" ref="AE25">IFERROR(INDEX(INPUT!$Y$3:$Y$1000,MATCH(1,(INPUT!$T$3:$T$1000=$I$2+5)*(INPUT!$U$3:$U$1000="J21"),0)),"")</f>
        <v/>
      </c>
      <c r="AF25" s="58" t="str">
        <f t="shared" si="5"/>
        <v/>
      </c>
      <c r="AG25" s="57" t="str" cm="1">
        <f t="array" ref="AG25">IFERROR(INDEX(INPUT!$V$3:$V$1000,MATCH(1,(INPUT!$T$3:$T$1000=$I$2+6)*(INPUT!$U$3:$U$1000="J21"),0)),"")</f>
        <v/>
      </c>
      <c r="AH25" s="57" t="str" cm="1">
        <f t="array" ref="AH25">IFERROR(INDEX(INPUT!$W$3:$W$1000,MATCH(1,(INPUT!$T$3:$T$1000=$I$2+6)*(INPUT!$U$3:$U$1000="J21"),0)),"")</f>
        <v/>
      </c>
      <c r="AI25" s="57" t="str" cm="1">
        <f t="array" ref="AI25">IFERROR(INDEX(INPUT!$X$3:$X$1000,MATCH(1,(INPUT!$T$3:$T$1000=$I$2+6)*(INPUT!$U$3:$U$1000="J21"),0)),"")</f>
        <v/>
      </c>
      <c r="AJ25" s="57" t="str" cm="1">
        <f t="array" ref="AJ25">IFERROR(INDEX(INPUT!$Y$3:$Y$1000,MATCH(1,(INPUT!$T$3:$T$1000=$I$2+6)*(INPUT!$U$3:$U$1000="J21"),0)),"")</f>
        <v/>
      </c>
      <c r="AK25" s="58" t="str">
        <f t="shared" si="6"/>
        <v/>
      </c>
      <c r="AL25" s="66" t="str">
        <f t="shared" si="7"/>
        <v/>
      </c>
      <c r="AM25" s="57">
        <f t="shared" si="8"/>
        <v>0</v>
      </c>
    </row>
    <row r="26" spans="1:39" x14ac:dyDescent="0.2">
      <c r="A26" s="59">
        <v>22</v>
      </c>
      <c r="B26" s="60" t="s">
        <v>86</v>
      </c>
      <c r="C26" s="61" t="str" cm="1">
        <f t="array" ref="C26">IFERROR(INDEX(INPUT!$V$3:$V$1000,MATCH(1,(INPUT!$T$3:$T$1000=$I$2+0)*(INPUT!$U$3:$U$1000="J22"),0)),"")</f>
        <v/>
      </c>
      <c r="D26" s="61" t="str" cm="1">
        <f t="array" ref="D26">IFERROR(INDEX(INPUT!$W$3:$W$1000,MATCH(1,(INPUT!$T$3:$T$1000=$I$2+0)*(INPUT!$U$3:$U$1000="J22"),0)),"")</f>
        <v/>
      </c>
      <c r="E26" s="61" t="str" cm="1">
        <f t="array" ref="E26">IFERROR(INDEX(INPUT!$X$3:$X$1000,MATCH(1,(INPUT!$T$3:$T$1000=$I$2+0)*(INPUT!$U$3:$U$1000="J22"),0)),"")</f>
        <v/>
      </c>
      <c r="F26" s="61" t="str" cm="1">
        <f t="array" ref="F26">IFERROR(INDEX(INPUT!$Y$3:$Y$1000,MATCH(1,(INPUT!$T$3:$T$1000=$I$2+0)*(INPUT!$U$3:$U$1000="J22"),0)),"")</f>
        <v/>
      </c>
      <c r="G26" s="62" t="str">
        <f t="shared" si="0"/>
        <v/>
      </c>
      <c r="H26" s="61" t="str" cm="1">
        <f t="array" ref="H26">IFERROR(INDEX(INPUT!$V$3:$V$1000,MATCH(1,(INPUT!$T$3:$T$1000=$I$2+1)*(INPUT!$U$3:$U$1000="J22"),0)),"")</f>
        <v/>
      </c>
      <c r="I26" s="61" t="str" cm="1">
        <f t="array" ref="I26">IFERROR(INDEX(INPUT!$W$3:$W$1000,MATCH(1,(INPUT!$T$3:$T$1000=$I$2+1)*(INPUT!$U$3:$U$1000="J22"),0)),"")</f>
        <v/>
      </c>
      <c r="J26" s="61" t="str" cm="1">
        <f t="array" ref="J26">IFERROR(INDEX(INPUT!$X$3:$X$1000,MATCH(1,(INPUT!$T$3:$T$1000=$I$2+1)*(INPUT!$U$3:$U$1000="J22"),0)),"")</f>
        <v/>
      </c>
      <c r="K26" s="61" t="str" cm="1">
        <f t="array" ref="K26">IFERROR(INDEX(INPUT!$Y$3:$Y$1000,MATCH(1,(INPUT!$T$3:$T$1000=$I$2+1)*(INPUT!$U$3:$U$1000="J22"),0)),"")</f>
        <v/>
      </c>
      <c r="L26" s="62" t="str">
        <f t="shared" si="1"/>
        <v/>
      </c>
      <c r="M26" s="61" t="str" cm="1">
        <f t="array" ref="M26">IFERROR(INDEX(INPUT!$V$3:$V$1000,MATCH(1,(INPUT!$T$3:$T$1000=$I$2+2)*(INPUT!$U$3:$U$1000="J22"),0)),"")</f>
        <v/>
      </c>
      <c r="N26" s="61" t="str" cm="1">
        <f t="array" ref="N26">IFERROR(INDEX(INPUT!$W$3:$W$1000,MATCH(1,(INPUT!$T$3:$T$1000=$I$2+2)*(INPUT!$U$3:$U$1000="J22"),0)),"")</f>
        <v/>
      </c>
      <c r="O26" s="61" t="str" cm="1">
        <f t="array" ref="O26">IFERROR(INDEX(INPUT!$X$3:$X$1000,MATCH(1,(INPUT!$T$3:$T$1000=$I$2+2)*(INPUT!$U$3:$U$1000="J22"),0)),"")</f>
        <v/>
      </c>
      <c r="P26" s="61" t="str" cm="1">
        <f t="array" ref="P26">IFERROR(INDEX(INPUT!$Y$3:$Y$1000,MATCH(1,(INPUT!$T$3:$T$1000=$I$2+2)*(INPUT!$U$3:$U$1000="J22"),0)),"")</f>
        <v/>
      </c>
      <c r="Q26" s="62" t="str">
        <f t="shared" si="2"/>
        <v/>
      </c>
      <c r="R26" s="61" t="str" cm="1">
        <f t="array" ref="R26">IFERROR(INDEX(INPUT!$V$3:$V$1000,MATCH(1,(INPUT!$T$3:$T$1000=$I$2+3)*(INPUT!$U$3:$U$1000="J22"),0)),"")</f>
        <v/>
      </c>
      <c r="S26" s="61" t="str" cm="1">
        <f t="array" ref="S26">IFERROR(INDEX(INPUT!$W$3:$W$1000,MATCH(1,(INPUT!$T$3:$T$1000=$I$2+3)*(INPUT!$U$3:$U$1000="J22"),0)),"")</f>
        <v/>
      </c>
      <c r="T26" s="61" t="str" cm="1">
        <f t="array" ref="T26">IFERROR(INDEX(INPUT!$X$3:$X$1000,MATCH(1,(INPUT!$T$3:$T$1000=$I$2+3)*(INPUT!$U$3:$U$1000="J22"),0)),"")</f>
        <v/>
      </c>
      <c r="U26" s="61" t="str" cm="1">
        <f t="array" ref="U26">IFERROR(INDEX(INPUT!$Y$3:$Y$1000,MATCH(1,(INPUT!$T$3:$T$1000=$I$2+3)*(INPUT!$U$3:$U$1000="J22"),0)),"")</f>
        <v/>
      </c>
      <c r="V26" s="62" t="str">
        <f t="shared" si="3"/>
        <v/>
      </c>
      <c r="W26" s="61" t="str" cm="1">
        <f t="array" ref="W26">IFERROR(INDEX(INPUT!$V$3:$V$1000,MATCH(1,(INPUT!$T$3:$T$1000=$I$2+4)*(INPUT!$U$3:$U$1000="J22"),0)),"")</f>
        <v/>
      </c>
      <c r="X26" s="61" t="str" cm="1">
        <f t="array" ref="X26">IFERROR(INDEX(INPUT!$W$3:$W$1000,MATCH(1,(INPUT!$T$3:$T$1000=$I$2+4)*(INPUT!$U$3:$U$1000="J22"),0)),"")</f>
        <v/>
      </c>
      <c r="Y26" s="61" t="str" cm="1">
        <f t="array" ref="Y26">IFERROR(INDEX(INPUT!$X$3:$X$1000,MATCH(1,(INPUT!$T$3:$T$1000=$I$2+4)*(INPUT!$U$3:$U$1000="J22"),0)),"")</f>
        <v/>
      </c>
      <c r="Z26" s="61" t="str" cm="1">
        <f t="array" ref="Z26">IFERROR(INDEX(INPUT!$Y$3:$Y$1000,MATCH(1,(INPUT!$T$3:$T$1000=$I$2+4)*(INPUT!$U$3:$U$1000="J22"),0)),"")</f>
        <v/>
      </c>
      <c r="AA26" s="62" t="str">
        <f t="shared" si="4"/>
        <v/>
      </c>
      <c r="AB26" s="61" t="str" cm="1">
        <f t="array" ref="AB26">IFERROR(INDEX(INPUT!$V$3:$V$1000,MATCH(1,(INPUT!$T$3:$T$1000=$I$2+5)*(INPUT!$U$3:$U$1000="J22"),0)),"")</f>
        <v/>
      </c>
      <c r="AC26" s="61" t="str" cm="1">
        <f t="array" ref="AC26">IFERROR(INDEX(INPUT!$W$3:$W$1000,MATCH(1,(INPUT!$T$3:$T$1000=$I$2+5)*(INPUT!$U$3:$U$1000="J22"),0)),"")</f>
        <v/>
      </c>
      <c r="AD26" s="61" t="str" cm="1">
        <f t="array" ref="AD26">IFERROR(INDEX(INPUT!$X$3:$X$1000,MATCH(1,(INPUT!$T$3:$T$1000=$I$2+5)*(INPUT!$U$3:$U$1000="J22"),0)),"")</f>
        <v/>
      </c>
      <c r="AE26" s="61" t="str" cm="1">
        <f t="array" ref="AE26">IFERROR(INDEX(INPUT!$Y$3:$Y$1000,MATCH(1,(INPUT!$T$3:$T$1000=$I$2+5)*(INPUT!$U$3:$U$1000="J22"),0)),"")</f>
        <v/>
      </c>
      <c r="AF26" s="62" t="str">
        <f t="shared" si="5"/>
        <v/>
      </c>
      <c r="AG26" s="61" t="str" cm="1">
        <f t="array" ref="AG26">IFERROR(INDEX(INPUT!$V$3:$V$1000,MATCH(1,(INPUT!$T$3:$T$1000=$I$2+6)*(INPUT!$U$3:$U$1000="J22"),0)),"")</f>
        <v/>
      </c>
      <c r="AH26" s="61" t="str" cm="1">
        <f t="array" ref="AH26">IFERROR(INDEX(INPUT!$W$3:$W$1000,MATCH(1,(INPUT!$T$3:$T$1000=$I$2+6)*(INPUT!$U$3:$U$1000="J22"),0)),"")</f>
        <v/>
      </c>
      <c r="AI26" s="61" t="str" cm="1">
        <f t="array" ref="AI26">IFERROR(INDEX(INPUT!$X$3:$X$1000,MATCH(1,(INPUT!$T$3:$T$1000=$I$2+6)*(INPUT!$U$3:$U$1000="J22"),0)),"")</f>
        <v/>
      </c>
      <c r="AJ26" s="61" t="str" cm="1">
        <f t="array" ref="AJ26">IFERROR(INDEX(INPUT!$Y$3:$Y$1000,MATCH(1,(INPUT!$T$3:$T$1000=$I$2+6)*(INPUT!$U$3:$U$1000="J22"),0)),"")</f>
        <v/>
      </c>
      <c r="AK26" s="62" t="str">
        <f t="shared" si="6"/>
        <v/>
      </c>
      <c r="AL26" s="65" t="str">
        <f t="shared" si="7"/>
        <v/>
      </c>
      <c r="AM26" s="61">
        <f t="shared" si="8"/>
        <v>0</v>
      </c>
    </row>
    <row r="27" spans="1:39" x14ac:dyDescent="0.2">
      <c r="A27" s="56">
        <v>23</v>
      </c>
      <c r="B27" s="9" t="s">
        <v>87</v>
      </c>
      <c r="C27" s="57" t="str" cm="1">
        <f t="array" ref="C27">IFERROR(INDEX(INPUT!$V$3:$V$1000,MATCH(1,(INPUT!$T$3:$T$1000=$I$2+0)*(INPUT!$U$3:$U$1000="J23"),0)),"")</f>
        <v/>
      </c>
      <c r="D27" s="57" t="str" cm="1">
        <f t="array" ref="D27">IFERROR(INDEX(INPUT!$W$3:$W$1000,MATCH(1,(INPUT!$T$3:$T$1000=$I$2+0)*(INPUT!$U$3:$U$1000="J23"),0)),"")</f>
        <v/>
      </c>
      <c r="E27" s="57" t="str" cm="1">
        <f t="array" ref="E27">IFERROR(INDEX(INPUT!$X$3:$X$1000,MATCH(1,(INPUT!$T$3:$T$1000=$I$2+0)*(INPUT!$U$3:$U$1000="J23"),0)),"")</f>
        <v/>
      </c>
      <c r="F27" s="57" t="str" cm="1">
        <f t="array" ref="F27">IFERROR(INDEX(INPUT!$Y$3:$Y$1000,MATCH(1,(INPUT!$T$3:$T$1000=$I$2+0)*(INPUT!$U$3:$U$1000="J23"),0)),"")</f>
        <v/>
      </c>
      <c r="G27" s="58" t="str">
        <f t="shared" si="0"/>
        <v/>
      </c>
      <c r="H27" s="57" t="str" cm="1">
        <f t="array" ref="H27">IFERROR(INDEX(INPUT!$V$3:$V$1000,MATCH(1,(INPUT!$T$3:$T$1000=$I$2+1)*(INPUT!$U$3:$U$1000="J23"),0)),"")</f>
        <v/>
      </c>
      <c r="I27" s="57" t="str" cm="1">
        <f t="array" ref="I27">IFERROR(INDEX(INPUT!$W$3:$W$1000,MATCH(1,(INPUT!$T$3:$T$1000=$I$2+1)*(INPUT!$U$3:$U$1000="J23"),0)),"")</f>
        <v/>
      </c>
      <c r="J27" s="57" t="str" cm="1">
        <f t="array" ref="J27">IFERROR(INDEX(INPUT!$X$3:$X$1000,MATCH(1,(INPUT!$T$3:$T$1000=$I$2+1)*(INPUT!$U$3:$U$1000="J23"),0)),"")</f>
        <v/>
      </c>
      <c r="K27" s="57" t="str" cm="1">
        <f t="array" ref="K27">IFERROR(INDEX(INPUT!$Y$3:$Y$1000,MATCH(1,(INPUT!$T$3:$T$1000=$I$2+1)*(INPUT!$U$3:$U$1000="J23"),0)),"")</f>
        <v/>
      </c>
      <c r="L27" s="58" t="str">
        <f t="shared" si="1"/>
        <v/>
      </c>
      <c r="M27" s="57" t="str" cm="1">
        <f t="array" ref="M27">IFERROR(INDEX(INPUT!$V$3:$V$1000,MATCH(1,(INPUT!$T$3:$T$1000=$I$2+2)*(INPUT!$U$3:$U$1000="J23"),0)),"")</f>
        <v/>
      </c>
      <c r="N27" s="57" t="str" cm="1">
        <f t="array" ref="N27">IFERROR(INDEX(INPUT!$W$3:$W$1000,MATCH(1,(INPUT!$T$3:$T$1000=$I$2+2)*(INPUT!$U$3:$U$1000="J23"),0)),"")</f>
        <v/>
      </c>
      <c r="O27" s="57" t="str" cm="1">
        <f t="array" ref="O27">IFERROR(INDEX(INPUT!$X$3:$X$1000,MATCH(1,(INPUT!$T$3:$T$1000=$I$2+2)*(INPUT!$U$3:$U$1000="J23"),0)),"")</f>
        <v/>
      </c>
      <c r="P27" s="57" t="str" cm="1">
        <f t="array" ref="P27">IFERROR(INDEX(INPUT!$Y$3:$Y$1000,MATCH(1,(INPUT!$T$3:$T$1000=$I$2+2)*(INPUT!$U$3:$U$1000="J23"),0)),"")</f>
        <v/>
      </c>
      <c r="Q27" s="58" t="str">
        <f t="shared" si="2"/>
        <v/>
      </c>
      <c r="R27" s="57" t="str" cm="1">
        <f t="array" ref="R27">IFERROR(INDEX(INPUT!$V$3:$V$1000,MATCH(1,(INPUT!$T$3:$T$1000=$I$2+3)*(INPUT!$U$3:$U$1000="J23"),0)),"")</f>
        <v/>
      </c>
      <c r="S27" s="57" t="str" cm="1">
        <f t="array" ref="S27">IFERROR(INDEX(INPUT!$W$3:$W$1000,MATCH(1,(INPUT!$T$3:$T$1000=$I$2+3)*(INPUT!$U$3:$U$1000="J23"),0)),"")</f>
        <v/>
      </c>
      <c r="T27" s="57" t="str" cm="1">
        <f t="array" ref="T27">IFERROR(INDEX(INPUT!$X$3:$X$1000,MATCH(1,(INPUT!$T$3:$T$1000=$I$2+3)*(INPUT!$U$3:$U$1000="J23"),0)),"")</f>
        <v/>
      </c>
      <c r="U27" s="57" t="str" cm="1">
        <f t="array" ref="U27">IFERROR(INDEX(INPUT!$Y$3:$Y$1000,MATCH(1,(INPUT!$T$3:$T$1000=$I$2+3)*(INPUT!$U$3:$U$1000="J23"),0)),"")</f>
        <v/>
      </c>
      <c r="V27" s="58" t="str">
        <f t="shared" si="3"/>
        <v/>
      </c>
      <c r="W27" s="57" t="str" cm="1">
        <f t="array" ref="W27">IFERROR(INDEX(INPUT!$V$3:$V$1000,MATCH(1,(INPUT!$T$3:$T$1000=$I$2+4)*(INPUT!$U$3:$U$1000="J23"),0)),"")</f>
        <v/>
      </c>
      <c r="X27" s="57" t="str" cm="1">
        <f t="array" ref="X27">IFERROR(INDEX(INPUT!$W$3:$W$1000,MATCH(1,(INPUT!$T$3:$T$1000=$I$2+4)*(INPUT!$U$3:$U$1000="J23"),0)),"")</f>
        <v/>
      </c>
      <c r="Y27" s="57" t="str" cm="1">
        <f t="array" ref="Y27">IFERROR(INDEX(INPUT!$X$3:$X$1000,MATCH(1,(INPUT!$T$3:$T$1000=$I$2+4)*(INPUT!$U$3:$U$1000="J23"),0)),"")</f>
        <v/>
      </c>
      <c r="Z27" s="57" t="str" cm="1">
        <f t="array" ref="Z27">IFERROR(INDEX(INPUT!$Y$3:$Y$1000,MATCH(1,(INPUT!$T$3:$T$1000=$I$2+4)*(INPUT!$U$3:$U$1000="J23"),0)),"")</f>
        <v/>
      </c>
      <c r="AA27" s="58" t="str">
        <f t="shared" si="4"/>
        <v/>
      </c>
      <c r="AB27" s="57" t="str" cm="1">
        <f t="array" ref="AB27">IFERROR(INDEX(INPUT!$V$3:$V$1000,MATCH(1,(INPUT!$T$3:$T$1000=$I$2+5)*(INPUT!$U$3:$U$1000="J23"),0)),"")</f>
        <v/>
      </c>
      <c r="AC27" s="57" t="str" cm="1">
        <f t="array" ref="AC27">IFERROR(INDEX(INPUT!$W$3:$W$1000,MATCH(1,(INPUT!$T$3:$T$1000=$I$2+5)*(INPUT!$U$3:$U$1000="J23"),0)),"")</f>
        <v/>
      </c>
      <c r="AD27" s="57" t="str" cm="1">
        <f t="array" ref="AD27">IFERROR(INDEX(INPUT!$X$3:$X$1000,MATCH(1,(INPUT!$T$3:$T$1000=$I$2+5)*(INPUT!$U$3:$U$1000="J23"),0)),"")</f>
        <v/>
      </c>
      <c r="AE27" s="57" t="str" cm="1">
        <f t="array" ref="AE27">IFERROR(INDEX(INPUT!$Y$3:$Y$1000,MATCH(1,(INPUT!$T$3:$T$1000=$I$2+5)*(INPUT!$U$3:$U$1000="J23"),0)),"")</f>
        <v/>
      </c>
      <c r="AF27" s="58" t="str">
        <f t="shared" si="5"/>
        <v/>
      </c>
      <c r="AG27" s="57" t="str" cm="1">
        <f t="array" ref="AG27">IFERROR(INDEX(INPUT!$V$3:$V$1000,MATCH(1,(INPUT!$T$3:$T$1000=$I$2+6)*(INPUT!$U$3:$U$1000="J23"),0)),"")</f>
        <v/>
      </c>
      <c r="AH27" s="57" t="str" cm="1">
        <f t="array" ref="AH27">IFERROR(INDEX(INPUT!$W$3:$W$1000,MATCH(1,(INPUT!$T$3:$T$1000=$I$2+6)*(INPUT!$U$3:$U$1000="J23"),0)),"")</f>
        <v/>
      </c>
      <c r="AI27" s="57" t="str" cm="1">
        <f t="array" ref="AI27">IFERROR(INDEX(INPUT!$X$3:$X$1000,MATCH(1,(INPUT!$T$3:$T$1000=$I$2+6)*(INPUT!$U$3:$U$1000="J23"),0)),"")</f>
        <v/>
      </c>
      <c r="AJ27" s="57" t="str" cm="1">
        <f t="array" ref="AJ27">IFERROR(INDEX(INPUT!$Y$3:$Y$1000,MATCH(1,(INPUT!$T$3:$T$1000=$I$2+6)*(INPUT!$U$3:$U$1000="J23"),0)),"")</f>
        <v/>
      </c>
      <c r="AK27" s="58" t="str">
        <f t="shared" si="6"/>
        <v/>
      </c>
      <c r="AL27" s="66" t="str">
        <f t="shared" si="7"/>
        <v/>
      </c>
      <c r="AM27" s="57">
        <f t="shared" si="8"/>
        <v>0</v>
      </c>
    </row>
    <row r="28" spans="1:39" x14ac:dyDescent="0.2">
      <c r="A28" s="59">
        <v>24</v>
      </c>
      <c r="B28" s="60" t="s">
        <v>88</v>
      </c>
      <c r="C28" s="61" t="str" cm="1">
        <f t="array" ref="C28">IFERROR(INDEX(INPUT!$V$3:$V$1000,MATCH(1,(INPUT!$T$3:$T$1000=$I$2+0)*(INPUT!$U$3:$U$1000="J24"),0)),"")</f>
        <v/>
      </c>
      <c r="D28" s="61" t="str" cm="1">
        <f t="array" ref="D28">IFERROR(INDEX(INPUT!$W$3:$W$1000,MATCH(1,(INPUT!$T$3:$T$1000=$I$2+0)*(INPUT!$U$3:$U$1000="J24"),0)),"")</f>
        <v/>
      </c>
      <c r="E28" s="61" t="str" cm="1">
        <f t="array" ref="E28">IFERROR(INDEX(INPUT!$X$3:$X$1000,MATCH(1,(INPUT!$T$3:$T$1000=$I$2+0)*(INPUT!$U$3:$U$1000="J24"),0)),"")</f>
        <v/>
      </c>
      <c r="F28" s="61" t="str" cm="1">
        <f t="array" ref="F28">IFERROR(INDEX(INPUT!$Y$3:$Y$1000,MATCH(1,(INPUT!$T$3:$T$1000=$I$2+0)*(INPUT!$U$3:$U$1000="J24"),0)),"")</f>
        <v/>
      </c>
      <c r="G28" s="62" t="str">
        <f t="shared" si="0"/>
        <v/>
      </c>
      <c r="H28" s="61" t="str" cm="1">
        <f t="array" ref="H28">IFERROR(INDEX(INPUT!$V$3:$V$1000,MATCH(1,(INPUT!$T$3:$T$1000=$I$2+1)*(INPUT!$U$3:$U$1000="J24"),0)),"")</f>
        <v/>
      </c>
      <c r="I28" s="61" t="str" cm="1">
        <f t="array" ref="I28">IFERROR(INDEX(INPUT!$W$3:$W$1000,MATCH(1,(INPUT!$T$3:$T$1000=$I$2+1)*(INPUT!$U$3:$U$1000="J24"),0)),"")</f>
        <v/>
      </c>
      <c r="J28" s="61" t="str" cm="1">
        <f t="array" ref="J28">IFERROR(INDEX(INPUT!$X$3:$X$1000,MATCH(1,(INPUT!$T$3:$T$1000=$I$2+1)*(INPUT!$U$3:$U$1000="J24"),0)),"")</f>
        <v/>
      </c>
      <c r="K28" s="61" t="str" cm="1">
        <f t="array" ref="K28">IFERROR(INDEX(INPUT!$Y$3:$Y$1000,MATCH(1,(INPUT!$T$3:$T$1000=$I$2+1)*(INPUT!$U$3:$U$1000="J24"),0)),"")</f>
        <v/>
      </c>
      <c r="L28" s="62" t="str">
        <f t="shared" si="1"/>
        <v/>
      </c>
      <c r="M28" s="61" t="str" cm="1">
        <f t="array" ref="M28">IFERROR(INDEX(INPUT!$V$3:$V$1000,MATCH(1,(INPUT!$T$3:$T$1000=$I$2+2)*(INPUT!$U$3:$U$1000="J24"),0)),"")</f>
        <v/>
      </c>
      <c r="N28" s="61" t="str" cm="1">
        <f t="array" ref="N28">IFERROR(INDEX(INPUT!$W$3:$W$1000,MATCH(1,(INPUT!$T$3:$T$1000=$I$2+2)*(INPUT!$U$3:$U$1000="J24"),0)),"")</f>
        <v/>
      </c>
      <c r="O28" s="61" t="str" cm="1">
        <f t="array" ref="O28">IFERROR(INDEX(INPUT!$X$3:$X$1000,MATCH(1,(INPUT!$T$3:$T$1000=$I$2+2)*(INPUT!$U$3:$U$1000="J24"),0)),"")</f>
        <v/>
      </c>
      <c r="P28" s="61" t="str" cm="1">
        <f t="array" ref="P28">IFERROR(INDEX(INPUT!$Y$3:$Y$1000,MATCH(1,(INPUT!$T$3:$T$1000=$I$2+2)*(INPUT!$U$3:$U$1000="J24"),0)),"")</f>
        <v/>
      </c>
      <c r="Q28" s="62" t="str">
        <f t="shared" si="2"/>
        <v/>
      </c>
      <c r="R28" s="61" t="str" cm="1">
        <f t="array" ref="R28">IFERROR(INDEX(INPUT!$V$3:$V$1000,MATCH(1,(INPUT!$T$3:$T$1000=$I$2+3)*(INPUT!$U$3:$U$1000="J24"),0)),"")</f>
        <v/>
      </c>
      <c r="S28" s="61" t="str" cm="1">
        <f t="array" ref="S28">IFERROR(INDEX(INPUT!$W$3:$W$1000,MATCH(1,(INPUT!$T$3:$T$1000=$I$2+3)*(INPUT!$U$3:$U$1000="J24"),0)),"")</f>
        <v/>
      </c>
      <c r="T28" s="61" t="str" cm="1">
        <f t="array" ref="T28">IFERROR(INDEX(INPUT!$X$3:$X$1000,MATCH(1,(INPUT!$T$3:$T$1000=$I$2+3)*(INPUT!$U$3:$U$1000="J24"),0)),"")</f>
        <v/>
      </c>
      <c r="U28" s="61" t="str" cm="1">
        <f t="array" ref="U28">IFERROR(INDEX(INPUT!$Y$3:$Y$1000,MATCH(1,(INPUT!$T$3:$T$1000=$I$2+3)*(INPUT!$U$3:$U$1000="J24"),0)),"")</f>
        <v/>
      </c>
      <c r="V28" s="62" t="str">
        <f t="shared" si="3"/>
        <v/>
      </c>
      <c r="W28" s="61" t="str" cm="1">
        <f t="array" ref="W28">IFERROR(INDEX(INPUT!$V$3:$V$1000,MATCH(1,(INPUT!$T$3:$T$1000=$I$2+4)*(INPUT!$U$3:$U$1000="J24"),0)),"")</f>
        <v/>
      </c>
      <c r="X28" s="61" t="str" cm="1">
        <f t="array" ref="X28">IFERROR(INDEX(INPUT!$W$3:$W$1000,MATCH(1,(INPUT!$T$3:$T$1000=$I$2+4)*(INPUT!$U$3:$U$1000="J24"),0)),"")</f>
        <v/>
      </c>
      <c r="Y28" s="61" t="str" cm="1">
        <f t="array" ref="Y28">IFERROR(INDEX(INPUT!$X$3:$X$1000,MATCH(1,(INPUT!$T$3:$T$1000=$I$2+4)*(INPUT!$U$3:$U$1000="J24"),0)),"")</f>
        <v/>
      </c>
      <c r="Z28" s="61" t="str" cm="1">
        <f t="array" ref="Z28">IFERROR(INDEX(INPUT!$Y$3:$Y$1000,MATCH(1,(INPUT!$T$3:$T$1000=$I$2+4)*(INPUT!$U$3:$U$1000="J24"),0)),"")</f>
        <v/>
      </c>
      <c r="AA28" s="62" t="str">
        <f t="shared" si="4"/>
        <v/>
      </c>
      <c r="AB28" s="61" t="str" cm="1">
        <f t="array" ref="AB28">IFERROR(INDEX(INPUT!$V$3:$V$1000,MATCH(1,(INPUT!$T$3:$T$1000=$I$2+5)*(INPUT!$U$3:$U$1000="J24"),0)),"")</f>
        <v/>
      </c>
      <c r="AC28" s="61" t="str" cm="1">
        <f t="array" ref="AC28">IFERROR(INDEX(INPUT!$W$3:$W$1000,MATCH(1,(INPUT!$T$3:$T$1000=$I$2+5)*(INPUT!$U$3:$U$1000="J24"),0)),"")</f>
        <v/>
      </c>
      <c r="AD28" s="61" t="str" cm="1">
        <f t="array" ref="AD28">IFERROR(INDEX(INPUT!$X$3:$X$1000,MATCH(1,(INPUT!$T$3:$T$1000=$I$2+5)*(INPUT!$U$3:$U$1000="J24"),0)),"")</f>
        <v/>
      </c>
      <c r="AE28" s="61" t="str" cm="1">
        <f t="array" ref="AE28">IFERROR(INDEX(INPUT!$Y$3:$Y$1000,MATCH(1,(INPUT!$T$3:$T$1000=$I$2+5)*(INPUT!$U$3:$U$1000="J24"),0)),"")</f>
        <v/>
      </c>
      <c r="AF28" s="62" t="str">
        <f t="shared" si="5"/>
        <v/>
      </c>
      <c r="AG28" s="61" t="str" cm="1">
        <f t="array" ref="AG28">IFERROR(INDEX(INPUT!$V$3:$V$1000,MATCH(1,(INPUT!$T$3:$T$1000=$I$2+6)*(INPUT!$U$3:$U$1000="J24"),0)),"")</f>
        <v/>
      </c>
      <c r="AH28" s="61" t="str" cm="1">
        <f t="array" ref="AH28">IFERROR(INDEX(INPUT!$W$3:$W$1000,MATCH(1,(INPUT!$T$3:$T$1000=$I$2+6)*(INPUT!$U$3:$U$1000="J24"),0)),"")</f>
        <v/>
      </c>
      <c r="AI28" s="61" t="str" cm="1">
        <f t="array" ref="AI28">IFERROR(INDEX(INPUT!$X$3:$X$1000,MATCH(1,(INPUT!$T$3:$T$1000=$I$2+6)*(INPUT!$U$3:$U$1000="J24"),0)),"")</f>
        <v/>
      </c>
      <c r="AJ28" s="61" t="str" cm="1">
        <f t="array" ref="AJ28">IFERROR(INDEX(INPUT!$Y$3:$Y$1000,MATCH(1,(INPUT!$T$3:$T$1000=$I$2+6)*(INPUT!$U$3:$U$1000="J24"),0)),"")</f>
        <v/>
      </c>
      <c r="AK28" s="62" t="str">
        <f t="shared" si="6"/>
        <v/>
      </c>
      <c r="AL28" s="65" t="str">
        <f t="shared" si="7"/>
        <v/>
      </c>
      <c r="AM28" s="61">
        <f t="shared" si="8"/>
        <v>0</v>
      </c>
    </row>
    <row r="29" spans="1:39" ht="17" thickBot="1" x14ac:dyDescent="0.25">
      <c r="A29" s="63">
        <v>25</v>
      </c>
      <c r="B29" s="10" t="s">
        <v>89</v>
      </c>
      <c r="C29" s="57" t="str" cm="1">
        <f t="array" ref="C29">IFERROR(INDEX(INPUT!$V$3:$V$1000,MATCH(1,(INPUT!$T$3:$T$1000=$I$2+0)*(INPUT!$U$3:$U$1000="J25"),0)),"")</f>
        <v/>
      </c>
      <c r="D29" s="57" t="str" cm="1">
        <f t="array" ref="D29">IFERROR(INDEX(INPUT!$W$3:$W$1000,MATCH(1,(INPUT!$T$3:$T$1000=$I$2+0)*(INPUT!$U$3:$U$1000="J25"),0)),"")</f>
        <v/>
      </c>
      <c r="E29" s="57" t="str" cm="1">
        <f t="array" ref="E29">IFERROR(INDEX(INPUT!$X$3:$X$1000,MATCH(1,(INPUT!$T$3:$T$1000=$I$2+0)*(INPUT!$U$3:$U$1000="J25"),0)),"")</f>
        <v/>
      </c>
      <c r="F29" s="57" t="str" cm="1">
        <f t="array" ref="F29">IFERROR(INDEX(INPUT!$Y$3:$Y$1000,MATCH(1,(INPUT!$T$3:$T$1000=$I$2+0)*(INPUT!$U$3:$U$1000="J25"),0)),"")</f>
        <v/>
      </c>
      <c r="G29" s="58" t="str">
        <f t="shared" si="0"/>
        <v/>
      </c>
      <c r="H29" s="57" t="str" cm="1">
        <f t="array" ref="H29">IFERROR(INDEX(INPUT!$V$3:$V$1000,MATCH(1,(INPUT!$T$3:$T$1000=$I$2+1)*(INPUT!$U$3:$U$1000="J25"),0)),"")</f>
        <v/>
      </c>
      <c r="I29" s="57" t="str" cm="1">
        <f t="array" ref="I29">IFERROR(INDEX(INPUT!$W$3:$W$1000,MATCH(1,(INPUT!$T$3:$T$1000=$I$2+1)*(INPUT!$U$3:$U$1000="J25"),0)),"")</f>
        <v/>
      </c>
      <c r="J29" s="57" t="str" cm="1">
        <f t="array" ref="J29">IFERROR(INDEX(INPUT!$X$3:$X$1000,MATCH(1,(INPUT!$T$3:$T$1000=$I$2+1)*(INPUT!$U$3:$U$1000="J25"),0)),"")</f>
        <v/>
      </c>
      <c r="K29" s="57" t="str" cm="1">
        <f t="array" ref="K29">IFERROR(INDEX(INPUT!$Y$3:$Y$1000,MATCH(1,(INPUT!$T$3:$T$1000=$I$2+1)*(INPUT!$U$3:$U$1000="J25"),0)),"")</f>
        <v/>
      </c>
      <c r="L29" s="58" t="str">
        <f t="shared" si="1"/>
        <v/>
      </c>
      <c r="M29" s="57" t="str" cm="1">
        <f t="array" ref="M29">IFERROR(INDEX(INPUT!$V$3:$V$1000,MATCH(1,(INPUT!$T$3:$T$1000=$I$2+2)*(INPUT!$U$3:$U$1000="J25"),0)),"")</f>
        <v/>
      </c>
      <c r="N29" s="57" t="str" cm="1">
        <f t="array" ref="N29">IFERROR(INDEX(INPUT!$W$3:$W$1000,MATCH(1,(INPUT!$T$3:$T$1000=$I$2+2)*(INPUT!$U$3:$U$1000="J25"),0)),"")</f>
        <v/>
      </c>
      <c r="O29" s="57" t="str" cm="1">
        <f t="array" ref="O29">IFERROR(INDEX(INPUT!$X$3:$X$1000,MATCH(1,(INPUT!$T$3:$T$1000=$I$2+2)*(INPUT!$U$3:$U$1000="J25"),0)),"")</f>
        <v/>
      </c>
      <c r="P29" s="57" t="str" cm="1">
        <f t="array" ref="P29">IFERROR(INDEX(INPUT!$Y$3:$Y$1000,MATCH(1,(INPUT!$T$3:$T$1000=$I$2+2)*(INPUT!$U$3:$U$1000="J25"),0)),"")</f>
        <v/>
      </c>
      <c r="Q29" s="58" t="str">
        <f t="shared" si="2"/>
        <v/>
      </c>
      <c r="R29" s="57" t="str" cm="1">
        <f t="array" ref="R29">IFERROR(INDEX(INPUT!$V$3:$V$1000,MATCH(1,(INPUT!$T$3:$T$1000=$I$2+3)*(INPUT!$U$3:$U$1000="J25"),0)),"")</f>
        <v/>
      </c>
      <c r="S29" s="57" t="str" cm="1">
        <f t="array" ref="S29">IFERROR(INDEX(INPUT!$W$3:$W$1000,MATCH(1,(INPUT!$T$3:$T$1000=$I$2+3)*(INPUT!$U$3:$U$1000="J25"),0)),"")</f>
        <v/>
      </c>
      <c r="T29" s="57" t="str" cm="1">
        <f t="array" ref="T29">IFERROR(INDEX(INPUT!$X$3:$X$1000,MATCH(1,(INPUT!$T$3:$T$1000=$I$2+3)*(INPUT!$U$3:$U$1000="J25"),0)),"")</f>
        <v/>
      </c>
      <c r="U29" s="57" t="str" cm="1">
        <f t="array" ref="U29">IFERROR(INDEX(INPUT!$Y$3:$Y$1000,MATCH(1,(INPUT!$T$3:$T$1000=$I$2+3)*(INPUT!$U$3:$U$1000="J25"),0)),"")</f>
        <v/>
      </c>
      <c r="V29" s="58" t="str">
        <f t="shared" si="3"/>
        <v/>
      </c>
      <c r="W29" s="57" t="str" cm="1">
        <f t="array" ref="W29">IFERROR(INDEX(INPUT!$V$3:$V$1000,MATCH(1,(INPUT!$T$3:$T$1000=$I$2+4)*(INPUT!$U$3:$U$1000="J25"),0)),"")</f>
        <v/>
      </c>
      <c r="X29" s="57" t="str" cm="1">
        <f t="array" ref="X29">IFERROR(INDEX(INPUT!$W$3:$W$1000,MATCH(1,(INPUT!$T$3:$T$1000=$I$2+4)*(INPUT!$U$3:$U$1000="J25"),0)),"")</f>
        <v/>
      </c>
      <c r="Y29" s="57" t="str" cm="1">
        <f t="array" ref="Y29">IFERROR(INDEX(INPUT!$X$3:$X$1000,MATCH(1,(INPUT!$T$3:$T$1000=$I$2+4)*(INPUT!$U$3:$U$1000="J25"),0)),"")</f>
        <v/>
      </c>
      <c r="Z29" s="57" t="str" cm="1">
        <f t="array" ref="Z29">IFERROR(INDEX(INPUT!$Y$3:$Y$1000,MATCH(1,(INPUT!$T$3:$T$1000=$I$2+4)*(INPUT!$U$3:$U$1000="J25"),0)),"")</f>
        <v/>
      </c>
      <c r="AA29" s="58" t="str">
        <f t="shared" si="4"/>
        <v/>
      </c>
      <c r="AB29" s="57" t="str" cm="1">
        <f t="array" ref="AB29">IFERROR(INDEX(INPUT!$V$3:$V$1000,MATCH(1,(INPUT!$T$3:$T$1000=$I$2+5)*(INPUT!$U$3:$U$1000="J25"),0)),"")</f>
        <v/>
      </c>
      <c r="AC29" s="57" t="str" cm="1">
        <f t="array" ref="AC29">IFERROR(INDEX(INPUT!$W$3:$W$1000,MATCH(1,(INPUT!$T$3:$T$1000=$I$2+5)*(INPUT!$U$3:$U$1000="J25"),0)),"")</f>
        <v/>
      </c>
      <c r="AD29" s="57" t="str" cm="1">
        <f t="array" ref="AD29">IFERROR(INDEX(INPUT!$X$3:$X$1000,MATCH(1,(INPUT!$T$3:$T$1000=$I$2+5)*(INPUT!$U$3:$U$1000="J25"),0)),"")</f>
        <v/>
      </c>
      <c r="AE29" s="57" t="str" cm="1">
        <f t="array" ref="AE29">IFERROR(INDEX(INPUT!$Y$3:$Y$1000,MATCH(1,(INPUT!$T$3:$T$1000=$I$2+5)*(INPUT!$U$3:$U$1000="J25"),0)),"")</f>
        <v/>
      </c>
      <c r="AF29" s="58" t="str">
        <f t="shared" si="5"/>
        <v/>
      </c>
      <c r="AG29" s="57" t="str" cm="1">
        <f t="array" ref="AG29">IFERROR(INDEX(INPUT!$V$3:$V$1000,MATCH(1,(INPUT!$T$3:$T$1000=$I$2+6)*(INPUT!$U$3:$U$1000="J25"),0)),"")</f>
        <v/>
      </c>
      <c r="AH29" s="57" t="str" cm="1">
        <f t="array" ref="AH29">IFERROR(INDEX(INPUT!$W$3:$W$1000,MATCH(1,(INPUT!$T$3:$T$1000=$I$2+6)*(INPUT!$U$3:$U$1000="J25"),0)),"")</f>
        <v/>
      </c>
      <c r="AI29" s="57" t="str" cm="1">
        <f t="array" ref="AI29">IFERROR(INDEX(INPUT!$X$3:$X$1000,MATCH(1,(INPUT!$T$3:$T$1000=$I$2+6)*(INPUT!$U$3:$U$1000="J25"),0)),"")</f>
        <v/>
      </c>
      <c r="AJ29" s="57" t="str" cm="1">
        <f t="array" ref="AJ29">IFERROR(INDEX(INPUT!$Y$3:$Y$1000,MATCH(1,(INPUT!$T$3:$T$1000=$I$2+6)*(INPUT!$U$3:$U$1000="J25"),0)),"")</f>
        <v/>
      </c>
      <c r="AK29" s="58" t="str">
        <f t="shared" si="6"/>
        <v/>
      </c>
      <c r="AL29" s="67" t="str">
        <f t="shared" si="7"/>
        <v/>
      </c>
      <c r="AM29" s="57">
        <f t="shared" si="8"/>
        <v>0</v>
      </c>
    </row>
  </sheetData>
  <sheetProtection sheet="1" objects="1" scenarios="1"/>
  <mergeCells count="13">
    <mergeCell ref="A1:AC1"/>
    <mergeCell ref="C3:G3"/>
    <mergeCell ref="H3:L3"/>
    <mergeCell ref="M3:Q3"/>
    <mergeCell ref="R3:V3"/>
    <mergeCell ref="W3:AA3"/>
    <mergeCell ref="AB3:AF3"/>
    <mergeCell ref="AG3:AK3"/>
    <mergeCell ref="AL3:AM3"/>
    <mergeCell ref="A2:B2"/>
    <mergeCell ref="D2:E2"/>
    <mergeCell ref="G2:H2"/>
    <mergeCell ref="I2:L2"/>
  </mergeCells>
  <conditionalFormatting sqref="G5:G29">
    <cfRule type="expression" dxfId="34" priority="1">
      <formula>AND(ISNUMBER(G5),G5&gt;=15)</formula>
    </cfRule>
    <cfRule type="expression" dxfId="33" priority="2">
      <formula>AND(ISNUMBER(G5),G5&gt;=11,G5&lt;=14)</formula>
    </cfRule>
    <cfRule type="expression" dxfId="32" priority="3">
      <formula>AND(ISNUMBER(G5),G5&gt;=6,G5&lt;=10)</formula>
    </cfRule>
    <cfRule type="expression" dxfId="31" priority="4">
      <formula>AND(ISNUMBER(G5),G5&gt;=1,G5&lt;=5)</formula>
    </cfRule>
  </conditionalFormatting>
  <conditionalFormatting sqref="L5:L29">
    <cfRule type="expression" dxfId="30" priority="5">
      <formula>AND(ISNUMBER(L5),L5&gt;=15)</formula>
    </cfRule>
    <cfRule type="expression" dxfId="29" priority="6">
      <formula>AND(ISNUMBER(L5),L5&gt;=11,L5&lt;=14)</formula>
    </cfRule>
    <cfRule type="expression" dxfId="28" priority="7">
      <formula>AND(ISNUMBER(L5),L5&gt;=6,L5&lt;=10)</formula>
    </cfRule>
    <cfRule type="expression" dxfId="27" priority="8">
      <formula>AND(ISNUMBER(L5),L5&gt;=1,L5&lt;=5)</formula>
    </cfRule>
  </conditionalFormatting>
  <conditionalFormatting sqref="Q5:Q29">
    <cfRule type="expression" dxfId="26" priority="9">
      <formula>AND(ISNUMBER(Q5),Q5&gt;=15)</formula>
    </cfRule>
    <cfRule type="expression" dxfId="25" priority="10">
      <formula>AND(ISNUMBER(Q5),Q5&gt;=11,Q5&lt;=14)</formula>
    </cfRule>
    <cfRule type="expression" dxfId="24" priority="11">
      <formula>AND(ISNUMBER(Q5),Q5&gt;=6,Q5&lt;=10)</formula>
    </cfRule>
    <cfRule type="expression" dxfId="23" priority="12">
      <formula>AND(ISNUMBER(Q5),Q5&gt;=1,Q5&lt;=5)</formula>
    </cfRule>
  </conditionalFormatting>
  <conditionalFormatting sqref="V5:V29">
    <cfRule type="expression" dxfId="22" priority="16">
      <formula>AND(ISNUMBER(V5),V5&gt;=1,V5&lt;=5)</formula>
    </cfRule>
    <cfRule type="expression" dxfId="21" priority="14">
      <formula>AND(ISNUMBER(V5),V5&gt;=11,V5&lt;=14)</formula>
    </cfRule>
    <cfRule type="expression" dxfId="20" priority="15">
      <formula>AND(ISNUMBER(V5),V5&gt;=6,V5&lt;=10)</formula>
    </cfRule>
    <cfRule type="expression" dxfId="19" priority="13">
      <formula>AND(ISNUMBER(V5),V5&gt;=15)</formula>
    </cfRule>
  </conditionalFormatting>
  <conditionalFormatting sqref="AA5:AA29">
    <cfRule type="expression" dxfId="18" priority="17">
      <formula>AND(ISNUMBER(AA5),AA5&gt;=15)</formula>
    </cfRule>
    <cfRule type="expression" dxfId="17" priority="18">
      <formula>AND(ISNUMBER(AA5),AA5&gt;=11,AA5&lt;=14)</formula>
    </cfRule>
    <cfRule type="expression" dxfId="16" priority="19">
      <formula>AND(ISNUMBER(AA5),AA5&gt;=6,AA5&lt;=10)</formula>
    </cfRule>
    <cfRule type="expression" dxfId="15" priority="20">
      <formula>AND(ISNUMBER(AA5),AA5&gt;=1,AA5&lt;=5)</formula>
    </cfRule>
  </conditionalFormatting>
  <conditionalFormatting sqref="AF5:AF29">
    <cfRule type="expression" dxfId="14" priority="21">
      <formula>AND(ISNUMBER(AF5),AF5&gt;=15)</formula>
    </cfRule>
    <cfRule type="expression" dxfId="13" priority="22">
      <formula>AND(ISNUMBER(AF5),AF5&gt;=11,AF5&lt;=14)</formula>
    </cfRule>
    <cfRule type="expression" dxfId="12" priority="23">
      <formula>AND(ISNUMBER(AF5),AF5&gt;=6,AF5&lt;=10)</formula>
    </cfRule>
    <cfRule type="expression" dxfId="11" priority="24">
      <formula>AND(ISNUMBER(AF5),AF5&gt;=1,AF5&lt;=5)</formula>
    </cfRule>
  </conditionalFormatting>
  <conditionalFormatting sqref="AK5:AK29">
    <cfRule type="expression" dxfId="10" priority="26">
      <formula>AND(ISNUMBER(AK5),AK5&gt;=11,AK5&lt;=14)</formula>
    </cfRule>
    <cfRule type="expression" dxfId="9" priority="27">
      <formula>AND(ISNUMBER(AK5),AK5&gt;=6,AK5&lt;=10)</formula>
    </cfRule>
    <cfRule type="expression" dxfId="8" priority="28">
      <formula>AND(ISNUMBER(AK5),AK5&gt;=1,AK5&lt;=5)</formula>
    </cfRule>
  </conditionalFormatting>
  <conditionalFormatting sqref="AK5:AL29">
    <cfRule type="expression" dxfId="7" priority="25">
      <formula>AND(ISNUMBER(AK5),AK5&gt;=15)</formula>
    </cfRule>
  </conditionalFormatting>
  <conditionalFormatting sqref="AL5:AL29">
    <cfRule type="expression" dxfId="6" priority="30">
      <formula>AND(ISNUMBER(AL5),AL5&gt;=11,AL5&lt;15)</formula>
    </cfRule>
    <cfRule type="expression" dxfId="5" priority="31">
      <formula>AND(ISNUMBER(AL5),AL5&gt;=6,AL5&lt;11)</formula>
    </cfRule>
    <cfRule type="expression" dxfId="4" priority="32">
      <formula>AND(ISNUMBER(AL5),AL5&gt;=1,AL5&lt;6)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unes no válido" error="Selecciona un lunes con datos de wellness." xr:uid="{60854D4C-022E-404B-9127-2CD25F4B176C}">
          <x14:formula1>
            <xm:f>_LISTAS_WELLNESS!$C$2:$C$500</xm:f>
          </x14:formula1>
          <xm:sqref>I2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97ED-A7F1-FD4D-8482-9F892072E4AC}">
  <dimension ref="A1:GI20"/>
  <sheetViews>
    <sheetView workbookViewId="0"/>
  </sheetViews>
  <sheetFormatPr baseColWidth="10" defaultRowHeight="16" x14ac:dyDescent="0.2"/>
  <cols>
    <col min="1" max="1" width="15" customWidth="1"/>
    <col min="2" max="191" width="3.6640625" customWidth="1"/>
  </cols>
  <sheetData>
    <row r="1" spans="1:191" ht="19" x14ac:dyDescent="0.25">
      <c r="A1" s="43" t="s">
        <v>185</v>
      </c>
    </row>
    <row r="2" spans="1:191" ht="120" customHeight="1" x14ac:dyDescent="0.2">
      <c r="A2" s="68" t="s">
        <v>76</v>
      </c>
      <c r="B2" s="69">
        <v>45868</v>
      </c>
      <c r="C2" s="69">
        <v>45869</v>
      </c>
      <c r="D2" s="69">
        <v>45870</v>
      </c>
      <c r="E2" s="69">
        <v>45873</v>
      </c>
      <c r="F2" s="69">
        <v>45874</v>
      </c>
      <c r="G2" s="69">
        <v>45875</v>
      </c>
      <c r="H2" s="69">
        <v>45876</v>
      </c>
      <c r="I2" s="69">
        <v>45877</v>
      </c>
      <c r="J2" s="69">
        <v>45878</v>
      </c>
      <c r="K2" s="69">
        <v>45880</v>
      </c>
      <c r="L2" s="69">
        <v>45881</v>
      </c>
      <c r="M2" s="69">
        <v>45882</v>
      </c>
      <c r="N2" s="69">
        <v>45883</v>
      </c>
      <c r="O2" s="69">
        <v>45884</v>
      </c>
      <c r="P2" s="69">
        <v>45887</v>
      </c>
      <c r="Q2" s="69">
        <v>45888</v>
      </c>
      <c r="R2" s="69">
        <v>45889</v>
      </c>
      <c r="S2" s="69">
        <v>45890</v>
      </c>
      <c r="T2" s="69">
        <v>45891</v>
      </c>
      <c r="U2" s="69">
        <v>45892</v>
      </c>
      <c r="V2" s="69">
        <v>45893</v>
      </c>
      <c r="W2" s="69">
        <v>45895</v>
      </c>
      <c r="X2" s="69">
        <v>45896</v>
      </c>
      <c r="Y2" s="69">
        <v>45898</v>
      </c>
      <c r="Z2" s="69">
        <v>45899</v>
      </c>
      <c r="AA2" s="69">
        <v>45900</v>
      </c>
      <c r="AB2" s="69">
        <v>45902</v>
      </c>
      <c r="AC2" s="69">
        <v>45903</v>
      </c>
      <c r="AD2" s="69">
        <v>45904</v>
      </c>
      <c r="AE2" s="69">
        <v>45905</v>
      </c>
      <c r="AF2" s="69">
        <v>45906</v>
      </c>
      <c r="AG2" s="69">
        <v>45908</v>
      </c>
      <c r="AH2" s="69">
        <v>45909</v>
      </c>
      <c r="AI2" s="69">
        <v>45911</v>
      </c>
      <c r="AJ2" s="69">
        <v>45912</v>
      </c>
      <c r="AK2" s="69">
        <v>45913</v>
      </c>
      <c r="AL2" s="69">
        <v>45915</v>
      </c>
      <c r="AM2" s="69">
        <v>45916</v>
      </c>
      <c r="AN2" s="69">
        <v>45917</v>
      </c>
      <c r="AO2" s="69">
        <v>45918</v>
      </c>
      <c r="AP2" s="69">
        <v>45919</v>
      </c>
      <c r="AQ2" s="69">
        <v>45922</v>
      </c>
      <c r="AR2" s="69">
        <v>45923</v>
      </c>
      <c r="AS2" s="69">
        <v>45924</v>
      </c>
      <c r="AT2" s="69">
        <v>45925</v>
      </c>
      <c r="AU2" s="69">
        <v>45926</v>
      </c>
      <c r="AV2" s="69">
        <v>45927</v>
      </c>
      <c r="AW2" s="69">
        <v>45929</v>
      </c>
      <c r="AX2" s="69">
        <v>45930</v>
      </c>
      <c r="AY2" s="69">
        <v>45931</v>
      </c>
      <c r="AZ2" s="69">
        <v>45932</v>
      </c>
      <c r="BA2" s="69">
        <v>45933</v>
      </c>
      <c r="BB2" s="69">
        <v>45934</v>
      </c>
      <c r="BC2" s="69">
        <v>45936</v>
      </c>
      <c r="BD2" s="69">
        <v>45937</v>
      </c>
      <c r="BE2" s="69">
        <v>45938</v>
      </c>
      <c r="BF2" s="69">
        <v>45940</v>
      </c>
      <c r="BG2" s="69">
        <v>45941</v>
      </c>
      <c r="BH2" s="69">
        <v>45942</v>
      </c>
      <c r="BI2" s="69">
        <v>45945</v>
      </c>
      <c r="BJ2" s="69">
        <v>45946</v>
      </c>
      <c r="BK2" s="69">
        <v>45947</v>
      </c>
      <c r="BL2" s="69">
        <v>45950</v>
      </c>
      <c r="BM2" s="69">
        <v>45951</v>
      </c>
      <c r="BN2" s="69">
        <v>45952</v>
      </c>
      <c r="BO2" s="69">
        <v>45953</v>
      </c>
      <c r="BP2" s="69">
        <v>45954</v>
      </c>
      <c r="BQ2" s="69">
        <v>45955</v>
      </c>
      <c r="BR2" s="69">
        <v>45958</v>
      </c>
      <c r="BS2" s="69">
        <v>45959</v>
      </c>
      <c r="BT2" s="69">
        <v>45960</v>
      </c>
      <c r="BU2" s="69">
        <v>45961</v>
      </c>
      <c r="BV2" s="69">
        <v>45964</v>
      </c>
      <c r="BW2" s="69">
        <v>45965</v>
      </c>
      <c r="BX2" s="69">
        <v>45966</v>
      </c>
      <c r="BY2" s="69">
        <v>45967</v>
      </c>
      <c r="BZ2" s="69">
        <v>45968</v>
      </c>
      <c r="CA2" s="69">
        <v>45971</v>
      </c>
      <c r="CB2" s="69">
        <v>45972</v>
      </c>
      <c r="CC2" s="69">
        <v>45974</v>
      </c>
      <c r="CD2" s="69">
        <v>45975</v>
      </c>
      <c r="CE2" s="69">
        <v>45976</v>
      </c>
      <c r="CF2" s="69">
        <v>45978</v>
      </c>
      <c r="CG2" s="69">
        <v>45979</v>
      </c>
      <c r="CH2" s="69">
        <v>45980</v>
      </c>
      <c r="CI2" s="69">
        <v>45982</v>
      </c>
      <c r="CJ2" s="69">
        <v>45983</v>
      </c>
      <c r="CK2" s="69">
        <v>45985</v>
      </c>
      <c r="CL2" s="69">
        <v>45986</v>
      </c>
      <c r="CM2" s="69">
        <v>45987</v>
      </c>
      <c r="CN2" s="69">
        <v>45988</v>
      </c>
      <c r="CO2" s="69">
        <v>45989</v>
      </c>
      <c r="CP2" s="69">
        <v>45992</v>
      </c>
      <c r="CQ2" s="69">
        <v>45993</v>
      </c>
      <c r="CR2" s="69">
        <v>45994</v>
      </c>
      <c r="CS2" s="69">
        <v>45995</v>
      </c>
      <c r="CT2" s="69">
        <v>45996</v>
      </c>
      <c r="CU2" s="69">
        <v>45997</v>
      </c>
      <c r="CV2" s="69">
        <v>45999</v>
      </c>
      <c r="CW2" s="69">
        <v>46000</v>
      </c>
      <c r="CX2" s="69">
        <v>46001</v>
      </c>
      <c r="CY2" s="69">
        <v>46002</v>
      </c>
      <c r="CZ2" s="69">
        <v>46003</v>
      </c>
      <c r="DA2" s="69">
        <v>46004</v>
      </c>
      <c r="DB2" s="69">
        <v>46007</v>
      </c>
      <c r="DC2" s="69">
        <v>46008</v>
      </c>
      <c r="DD2" s="69">
        <v>46009</v>
      </c>
      <c r="DE2" s="69">
        <v>46010</v>
      </c>
      <c r="DF2" s="69">
        <v>46013</v>
      </c>
      <c r="DG2" s="69">
        <v>46014</v>
      </c>
      <c r="DH2" s="69">
        <v>46017</v>
      </c>
      <c r="DI2" s="69">
        <v>46018</v>
      </c>
      <c r="DJ2" s="69">
        <v>46020</v>
      </c>
      <c r="DK2" s="69">
        <v>46021</v>
      </c>
      <c r="DL2" s="69">
        <v>46022</v>
      </c>
      <c r="DM2" s="69">
        <v>46024</v>
      </c>
      <c r="DN2" s="69">
        <v>46025</v>
      </c>
      <c r="DO2" s="69">
        <v>46027</v>
      </c>
      <c r="DP2" s="69">
        <v>46028</v>
      </c>
      <c r="DQ2" s="69">
        <v>46029</v>
      </c>
      <c r="DR2" s="69">
        <v>46030</v>
      </c>
      <c r="DS2" s="69">
        <v>46031</v>
      </c>
      <c r="DT2" s="69">
        <v>46041</v>
      </c>
      <c r="DU2" s="69">
        <v>46042</v>
      </c>
      <c r="DV2" s="69">
        <v>46043</v>
      </c>
      <c r="DW2" s="69">
        <v>46044</v>
      </c>
      <c r="DX2" s="69">
        <v>46045</v>
      </c>
      <c r="DY2" s="69">
        <v>46048</v>
      </c>
      <c r="DZ2" s="69">
        <v>46049</v>
      </c>
      <c r="EA2" s="69">
        <v>46050</v>
      </c>
      <c r="EB2" s="69">
        <v>46051</v>
      </c>
      <c r="EC2" s="69">
        <v>46052</v>
      </c>
      <c r="ED2" s="69">
        <v>46055</v>
      </c>
      <c r="EE2" s="69">
        <v>46056</v>
      </c>
      <c r="EF2" s="69">
        <v>46057</v>
      </c>
      <c r="EG2" s="69">
        <v>46058</v>
      </c>
      <c r="EH2" s="69">
        <v>46059</v>
      </c>
      <c r="EI2" s="69">
        <v>46061</v>
      </c>
      <c r="EJ2" s="69">
        <v>46062</v>
      </c>
      <c r="EK2" s="69">
        <v>46063</v>
      </c>
      <c r="EL2" s="69">
        <v>46064</v>
      </c>
      <c r="EM2" s="69">
        <v>46065</v>
      </c>
      <c r="EN2" s="69">
        <v>46066</v>
      </c>
      <c r="EO2" s="69">
        <v>46067</v>
      </c>
      <c r="EP2" s="69">
        <v>46069</v>
      </c>
      <c r="EQ2" s="69">
        <v>46072</v>
      </c>
      <c r="ER2" s="69">
        <v>46073</v>
      </c>
      <c r="ES2" s="69">
        <v>46076</v>
      </c>
      <c r="ET2" s="69">
        <v>46077</v>
      </c>
      <c r="EU2" s="69">
        <v>46078</v>
      </c>
      <c r="EV2" s="69">
        <v>46079</v>
      </c>
      <c r="EW2" s="69">
        <v>46080</v>
      </c>
      <c r="EX2" s="69">
        <v>46082</v>
      </c>
      <c r="EY2" s="69">
        <v>46084</v>
      </c>
      <c r="EZ2" s="69">
        <v>46085</v>
      </c>
      <c r="FA2" s="69">
        <v>46086</v>
      </c>
      <c r="FB2" s="69">
        <v>46087</v>
      </c>
      <c r="FC2" s="69">
        <v>46090</v>
      </c>
      <c r="FD2" s="69">
        <v>46091</v>
      </c>
      <c r="FE2" s="69">
        <v>46092</v>
      </c>
      <c r="FF2" s="69">
        <v>46093</v>
      </c>
      <c r="FG2" s="69">
        <v>46094</v>
      </c>
      <c r="FH2" s="69">
        <v>46096</v>
      </c>
      <c r="FI2" s="69">
        <v>46097</v>
      </c>
      <c r="FJ2" s="69">
        <v>46098</v>
      </c>
      <c r="FK2" s="69">
        <v>46099</v>
      </c>
      <c r="FL2" s="69">
        <v>46102</v>
      </c>
      <c r="FM2" s="69">
        <v>46105</v>
      </c>
      <c r="FN2" s="69">
        <v>46106</v>
      </c>
      <c r="FO2" s="69">
        <v>46107</v>
      </c>
      <c r="FP2" s="69">
        <v>46108</v>
      </c>
      <c r="FQ2" s="69">
        <v>46109</v>
      </c>
      <c r="FR2" s="69">
        <v>46111</v>
      </c>
      <c r="FS2" s="69">
        <v>46112</v>
      </c>
      <c r="FT2" s="69">
        <v>46113</v>
      </c>
      <c r="FU2" s="69">
        <v>46114</v>
      </c>
      <c r="FV2" s="69">
        <v>46115</v>
      </c>
      <c r="FW2" s="69">
        <v>46116</v>
      </c>
      <c r="FX2" s="69">
        <v>46118</v>
      </c>
      <c r="FY2" s="69">
        <v>46119</v>
      </c>
      <c r="FZ2" s="69">
        <v>46120</v>
      </c>
      <c r="GA2" s="69">
        <v>46121</v>
      </c>
      <c r="GB2" s="69">
        <v>46122</v>
      </c>
      <c r="GC2" s="69">
        <v>46125</v>
      </c>
      <c r="GD2" s="69">
        <v>46126</v>
      </c>
      <c r="GE2" s="69">
        <v>46127</v>
      </c>
      <c r="GF2" s="69">
        <v>46128</v>
      </c>
      <c r="GG2" s="69">
        <v>46129</v>
      </c>
      <c r="GH2" s="69">
        <v>46130</v>
      </c>
      <c r="GI2" s="69">
        <v>46132</v>
      </c>
    </row>
    <row r="3" spans="1:191" x14ac:dyDescent="0.2">
      <c r="A3" t="s">
        <v>52</v>
      </c>
      <c r="B3" s="42" cm="1">
        <f t="array" ref="B3">IFERROR(IF(SUMPRODUCT((INPUT!$T$3:$T$3000=45868)*(INPUT!$U$3:$U$3000="BARONA"))=0,"",SUMPRODUCT((INPUT!$T$3:$T$3000=45868)*(INPUT!$U$3:$U$3000="BARONA")*(INPUT!$V$3:$V$3000+INPUT!$W$3:$W$3000+INPUT!$X$3:$X$3000+INPUT!$Y$3:$Y$3000))),"")</f>
        <v>20</v>
      </c>
      <c r="C3" s="42" cm="1">
        <f t="array" ref="C3">IFERROR(IF(SUMPRODUCT((INPUT!$T$3:$T$3000=45869)*(INPUT!$U$3:$U$3000="BARONA"))=0,"",SUMPRODUCT((INPUT!$T$3:$T$3000=45869)*(INPUT!$U$3:$U$3000="BARONA")*(INPUT!$V$3:$V$3000+INPUT!$W$3:$W$3000+INPUT!$X$3:$X$3000+INPUT!$Y$3:$Y$3000))),"")</f>
        <v>16</v>
      </c>
      <c r="D3" s="42" cm="1">
        <f t="array" ref="D3">IFERROR(IF(SUMPRODUCT((INPUT!$T$3:$T$3000=45870)*(INPUT!$U$3:$U$3000="BARONA"))=0,"",SUMPRODUCT((INPUT!$T$3:$T$3000=45870)*(INPUT!$U$3:$U$3000="BARONA")*(INPUT!$V$3:$V$3000+INPUT!$W$3:$W$3000+INPUT!$X$3:$X$3000+INPUT!$Y$3:$Y$3000))),"")</f>
        <v>14</v>
      </c>
      <c r="E3" s="42" cm="1">
        <f t="array" ref="E3">IFERROR(IF(SUMPRODUCT((INPUT!$T$3:$T$3000=45873)*(INPUT!$U$3:$U$3000="BARONA"))=0,"",SUMPRODUCT((INPUT!$T$3:$T$3000=45873)*(INPUT!$U$3:$U$3000="BARONA")*(INPUT!$V$3:$V$3000+INPUT!$W$3:$W$3000+INPUT!$X$3:$X$3000+INPUT!$Y$3:$Y$3000))),"")</f>
        <v>16</v>
      </c>
      <c r="F3" s="42" cm="1">
        <f t="array" ref="F3">IFERROR(IF(SUMPRODUCT((INPUT!$T$3:$T$3000=45874)*(INPUT!$U$3:$U$3000="BARONA"))=0,"",SUMPRODUCT((INPUT!$T$3:$T$3000=45874)*(INPUT!$U$3:$U$3000="BARONA")*(INPUT!$V$3:$V$3000+INPUT!$W$3:$W$3000+INPUT!$X$3:$X$3000+INPUT!$Y$3:$Y$3000))),"")</f>
        <v>14</v>
      </c>
      <c r="G3" s="42" cm="1">
        <f t="array" ref="G3">IFERROR(IF(SUMPRODUCT((INPUT!$T$3:$T$3000=45875)*(INPUT!$U$3:$U$3000="BARONA"))=0,"",SUMPRODUCT((INPUT!$T$3:$T$3000=45875)*(INPUT!$U$3:$U$3000="BARONA")*(INPUT!$V$3:$V$3000+INPUT!$W$3:$W$3000+INPUT!$X$3:$X$3000+INPUT!$Y$3:$Y$3000))),"")</f>
        <v>14</v>
      </c>
      <c r="H3" s="42" cm="1">
        <f t="array" ref="H3">IFERROR(IF(SUMPRODUCT((INPUT!$T$3:$T$3000=45876)*(INPUT!$U$3:$U$3000="BARONA"))=0,"",SUMPRODUCT((INPUT!$T$3:$T$3000=45876)*(INPUT!$U$3:$U$3000="BARONA")*(INPUT!$V$3:$V$3000+INPUT!$W$3:$W$3000+INPUT!$X$3:$X$3000+INPUT!$Y$3:$Y$3000))),"")</f>
        <v>15</v>
      </c>
      <c r="I3" s="42" cm="1">
        <f t="array" ref="I3">IFERROR(IF(SUMPRODUCT((INPUT!$T$3:$T$3000=45877)*(INPUT!$U$3:$U$3000="BARONA"))=0,"",SUMPRODUCT((INPUT!$T$3:$T$3000=45877)*(INPUT!$U$3:$U$3000="BARONA")*(INPUT!$V$3:$V$3000+INPUT!$W$3:$W$3000+INPUT!$X$3:$X$3000+INPUT!$Y$3:$Y$3000))),"")</f>
        <v>15</v>
      </c>
      <c r="J3" s="42" cm="1">
        <f t="array" ref="J3">IFERROR(IF(SUMPRODUCT((INPUT!$T$3:$T$3000=45878)*(INPUT!$U$3:$U$3000="BARONA"))=0,"",SUMPRODUCT((INPUT!$T$3:$T$3000=45878)*(INPUT!$U$3:$U$3000="BARONA")*(INPUT!$V$3:$V$3000+INPUT!$W$3:$W$3000+INPUT!$X$3:$X$3000+INPUT!$Y$3:$Y$3000))),"")</f>
        <v>15</v>
      </c>
      <c r="K3" s="42" cm="1">
        <f t="array" ref="K3">IFERROR(IF(SUMPRODUCT((INPUT!$T$3:$T$3000=45880)*(INPUT!$U$3:$U$3000="BARONA"))=0,"",SUMPRODUCT((INPUT!$T$3:$T$3000=45880)*(INPUT!$U$3:$U$3000="BARONA")*(INPUT!$V$3:$V$3000+INPUT!$W$3:$W$3000+INPUT!$X$3:$X$3000+INPUT!$Y$3:$Y$3000))),"")</f>
        <v>12</v>
      </c>
      <c r="L3" s="42" cm="1">
        <f t="array" ref="L3">IFERROR(IF(SUMPRODUCT((INPUT!$T$3:$T$3000=45881)*(INPUT!$U$3:$U$3000="BARONA"))=0,"",SUMPRODUCT((INPUT!$T$3:$T$3000=45881)*(INPUT!$U$3:$U$3000="BARONA")*(INPUT!$V$3:$V$3000+INPUT!$W$3:$W$3000+INPUT!$X$3:$X$3000+INPUT!$Y$3:$Y$3000))),"")</f>
        <v>11</v>
      </c>
      <c r="M3" s="42" cm="1">
        <f t="array" ref="M3">IFERROR(IF(SUMPRODUCT((INPUT!$T$3:$T$3000=45882)*(INPUT!$U$3:$U$3000="BARONA"))=0,"",SUMPRODUCT((INPUT!$T$3:$T$3000=45882)*(INPUT!$U$3:$U$3000="BARONA")*(INPUT!$V$3:$V$3000+INPUT!$W$3:$W$3000+INPUT!$X$3:$X$3000+INPUT!$Y$3:$Y$3000))),"")</f>
        <v>13</v>
      </c>
      <c r="N3" s="42" t="str" cm="1">
        <f t="array" ref="N3">IFERROR(IF(SUMPRODUCT((INPUT!$T$3:$T$3000=45883)*(INPUT!$U$3:$U$3000="BARONA"))=0,"",SUMPRODUCT((INPUT!$T$3:$T$3000=45883)*(INPUT!$U$3:$U$3000="BARONA")*(INPUT!$V$3:$V$3000+INPUT!$W$3:$W$3000+INPUT!$X$3:$X$3000+INPUT!$Y$3:$Y$3000))),"")</f>
        <v/>
      </c>
      <c r="O3" s="42" cm="1">
        <f t="array" ref="O3">IFERROR(IF(SUMPRODUCT((INPUT!$T$3:$T$3000=45884)*(INPUT!$U$3:$U$3000="BARONA"))=0,"",SUMPRODUCT((INPUT!$T$3:$T$3000=45884)*(INPUT!$U$3:$U$3000="BARONA")*(INPUT!$V$3:$V$3000+INPUT!$W$3:$W$3000+INPUT!$X$3:$X$3000+INPUT!$Y$3:$Y$3000))),"")</f>
        <v>13</v>
      </c>
      <c r="P3" s="42" cm="1">
        <f t="array" ref="P3">IFERROR(IF(SUMPRODUCT((INPUT!$T$3:$T$3000=45887)*(INPUT!$U$3:$U$3000="BARONA"))=0,"",SUMPRODUCT((INPUT!$T$3:$T$3000=45887)*(INPUT!$U$3:$U$3000="BARONA")*(INPUT!$V$3:$V$3000+INPUT!$W$3:$W$3000+INPUT!$X$3:$X$3000+INPUT!$Y$3:$Y$3000))),"")</f>
        <v>14</v>
      </c>
      <c r="Q3" s="42" cm="1">
        <f t="array" ref="Q3">IFERROR(IF(SUMPRODUCT((INPUT!$T$3:$T$3000=45888)*(INPUT!$U$3:$U$3000="BARONA"))=0,"",SUMPRODUCT((INPUT!$T$3:$T$3000=45888)*(INPUT!$U$3:$U$3000="BARONA")*(INPUT!$V$3:$V$3000+INPUT!$W$3:$W$3000+INPUT!$X$3:$X$3000+INPUT!$Y$3:$Y$3000))),"")</f>
        <v>14</v>
      </c>
      <c r="R3" s="42" t="str" cm="1">
        <f t="array" ref="R3">IFERROR(IF(SUMPRODUCT((INPUT!$T$3:$T$3000=45889)*(INPUT!$U$3:$U$3000="BARONA"))=0,"",SUMPRODUCT((INPUT!$T$3:$T$3000=45889)*(INPUT!$U$3:$U$3000="BARONA")*(INPUT!$V$3:$V$3000+INPUT!$W$3:$W$3000+INPUT!$X$3:$X$3000+INPUT!$Y$3:$Y$3000))),"")</f>
        <v/>
      </c>
      <c r="S3" s="42" cm="1">
        <f t="array" ref="S3">IFERROR(IF(SUMPRODUCT((INPUT!$T$3:$T$3000=45890)*(INPUT!$U$3:$U$3000="BARONA"))=0,"",SUMPRODUCT((INPUT!$T$3:$T$3000=45890)*(INPUT!$U$3:$U$3000="BARONA")*(INPUT!$V$3:$V$3000+INPUT!$W$3:$W$3000+INPUT!$X$3:$X$3000+INPUT!$Y$3:$Y$3000))),"")</f>
        <v>15</v>
      </c>
      <c r="T3" s="42" cm="1">
        <f t="array" ref="T3">IFERROR(IF(SUMPRODUCT((INPUT!$T$3:$T$3000=45891)*(INPUT!$U$3:$U$3000="BARONA"))=0,"",SUMPRODUCT((INPUT!$T$3:$T$3000=45891)*(INPUT!$U$3:$U$3000="BARONA")*(INPUT!$V$3:$V$3000+INPUT!$W$3:$W$3000+INPUT!$X$3:$X$3000+INPUT!$Y$3:$Y$3000))),"")</f>
        <v>15</v>
      </c>
      <c r="U3" s="42" t="str" cm="1">
        <f t="array" ref="U3">IFERROR(IF(SUMPRODUCT((INPUT!$T$3:$T$3000=45892)*(INPUT!$U$3:$U$3000="BARONA"))=0,"",SUMPRODUCT((INPUT!$T$3:$T$3000=45892)*(INPUT!$U$3:$U$3000="BARONA")*(INPUT!$V$3:$V$3000+INPUT!$W$3:$W$3000+INPUT!$X$3:$X$3000+INPUT!$Y$3:$Y$3000))),"")</f>
        <v/>
      </c>
      <c r="V3" s="42" t="str" cm="1">
        <f t="array" ref="V3">IFERROR(IF(SUMPRODUCT((INPUT!$T$3:$T$3000=45893)*(INPUT!$U$3:$U$3000="BARONA"))=0,"",SUMPRODUCT((INPUT!$T$3:$T$3000=45893)*(INPUT!$U$3:$U$3000="BARONA")*(INPUT!$V$3:$V$3000+INPUT!$W$3:$W$3000+INPUT!$X$3:$X$3000+INPUT!$Y$3:$Y$3000))),"")</f>
        <v/>
      </c>
      <c r="W3" s="42" cm="1">
        <f t="array" ref="W3">IFERROR(IF(SUMPRODUCT((INPUT!$T$3:$T$3000=45895)*(INPUT!$U$3:$U$3000="BARONA"))=0,"",SUMPRODUCT((INPUT!$T$3:$T$3000=45895)*(INPUT!$U$3:$U$3000="BARONA")*(INPUT!$V$3:$V$3000+INPUT!$W$3:$W$3000+INPUT!$X$3:$X$3000+INPUT!$Y$3:$Y$3000))),"")</f>
        <v>15</v>
      </c>
      <c r="X3" s="42" cm="1">
        <f t="array" ref="X3">IFERROR(IF(SUMPRODUCT((INPUT!$T$3:$T$3000=45896)*(INPUT!$U$3:$U$3000="BARONA"))=0,"",SUMPRODUCT((INPUT!$T$3:$T$3000=45896)*(INPUT!$U$3:$U$3000="BARONA")*(INPUT!$V$3:$V$3000+INPUT!$W$3:$W$3000+INPUT!$X$3:$X$3000+INPUT!$Y$3:$Y$3000))),"")</f>
        <v>16</v>
      </c>
      <c r="Y3" s="42" cm="1">
        <f t="array" ref="Y3">IFERROR(IF(SUMPRODUCT((INPUT!$T$3:$T$3000=45898)*(INPUT!$U$3:$U$3000="BARONA"))=0,"",SUMPRODUCT((INPUT!$T$3:$T$3000=45898)*(INPUT!$U$3:$U$3000="BARONA")*(INPUT!$V$3:$V$3000+INPUT!$W$3:$W$3000+INPUT!$X$3:$X$3000+INPUT!$Y$3:$Y$3000))),"")</f>
        <v>15</v>
      </c>
      <c r="Z3" s="42" t="str" cm="1">
        <f t="array" ref="Z3">IFERROR(IF(SUMPRODUCT((INPUT!$T$3:$T$3000=45899)*(INPUT!$U$3:$U$3000="BARONA"))=0,"",SUMPRODUCT((INPUT!$T$3:$T$3000=45899)*(INPUT!$U$3:$U$3000="BARONA")*(INPUT!$V$3:$V$3000+INPUT!$W$3:$W$3000+INPUT!$X$3:$X$3000+INPUT!$Y$3:$Y$3000))),"")</f>
        <v/>
      </c>
      <c r="AA3" s="42" t="str" cm="1">
        <f t="array" ref="AA3">IFERROR(IF(SUMPRODUCT((INPUT!$T$3:$T$3000=45900)*(INPUT!$U$3:$U$3000="BARONA"))=0,"",SUMPRODUCT((INPUT!$T$3:$T$3000=45900)*(INPUT!$U$3:$U$3000="BARONA")*(INPUT!$V$3:$V$3000+INPUT!$W$3:$W$3000+INPUT!$X$3:$X$3000+INPUT!$Y$3:$Y$3000))),"")</f>
        <v/>
      </c>
      <c r="AB3" s="42" cm="1">
        <f t="array" ref="AB3">IFERROR(IF(SUMPRODUCT((INPUT!$T$3:$T$3000=45902)*(INPUT!$U$3:$U$3000="BARONA"))=0,"",SUMPRODUCT((INPUT!$T$3:$T$3000=45902)*(INPUT!$U$3:$U$3000="BARONA")*(INPUT!$V$3:$V$3000+INPUT!$W$3:$W$3000+INPUT!$X$3:$X$3000+INPUT!$Y$3:$Y$3000))),"")</f>
        <v>15</v>
      </c>
      <c r="AC3" s="42" cm="1">
        <f t="array" ref="AC3">IFERROR(IF(SUMPRODUCT((INPUT!$T$3:$T$3000=45903)*(INPUT!$U$3:$U$3000="BARONA"))=0,"",SUMPRODUCT((INPUT!$T$3:$T$3000=45903)*(INPUT!$U$3:$U$3000="BARONA")*(INPUT!$V$3:$V$3000+INPUT!$W$3:$W$3000+INPUT!$X$3:$X$3000+INPUT!$Y$3:$Y$3000))),"")</f>
        <v>15</v>
      </c>
      <c r="AD3" s="42" cm="1">
        <f t="array" ref="AD3">IFERROR(IF(SUMPRODUCT((INPUT!$T$3:$T$3000=45904)*(INPUT!$U$3:$U$3000="BARONA"))=0,"",SUMPRODUCT((INPUT!$T$3:$T$3000=45904)*(INPUT!$U$3:$U$3000="BARONA")*(INPUT!$V$3:$V$3000+INPUT!$W$3:$W$3000+INPUT!$X$3:$X$3000+INPUT!$Y$3:$Y$3000))),"")</f>
        <v>15</v>
      </c>
      <c r="AE3" s="42" cm="1">
        <f t="array" ref="AE3">IFERROR(IF(SUMPRODUCT((INPUT!$T$3:$T$3000=45905)*(INPUT!$U$3:$U$3000="BARONA"))=0,"",SUMPRODUCT((INPUT!$T$3:$T$3000=45905)*(INPUT!$U$3:$U$3000="BARONA")*(INPUT!$V$3:$V$3000+INPUT!$W$3:$W$3000+INPUT!$X$3:$X$3000+INPUT!$Y$3:$Y$3000))),"")</f>
        <v>14</v>
      </c>
      <c r="AF3" s="42" cm="1">
        <f t="array" ref="AF3">IFERROR(IF(SUMPRODUCT((INPUT!$T$3:$T$3000=45906)*(INPUT!$U$3:$U$3000="BARONA"))=0,"",SUMPRODUCT((INPUT!$T$3:$T$3000=45906)*(INPUT!$U$3:$U$3000="BARONA")*(INPUT!$V$3:$V$3000+INPUT!$W$3:$W$3000+INPUT!$X$3:$X$3000+INPUT!$Y$3:$Y$3000))),"")</f>
        <v>14</v>
      </c>
      <c r="AG3" s="42" cm="1">
        <f t="array" ref="AG3">IFERROR(IF(SUMPRODUCT((INPUT!$T$3:$T$3000=45908)*(INPUT!$U$3:$U$3000="BARONA"))=0,"",SUMPRODUCT((INPUT!$T$3:$T$3000=45908)*(INPUT!$U$3:$U$3000="BARONA")*(INPUT!$V$3:$V$3000+INPUT!$W$3:$W$3000+INPUT!$X$3:$X$3000+INPUT!$Y$3:$Y$3000))),"")</f>
        <v>15</v>
      </c>
      <c r="AH3" s="42" t="str" cm="1">
        <f t="array" ref="AH3">IFERROR(IF(SUMPRODUCT((INPUT!$T$3:$T$3000=45909)*(INPUT!$U$3:$U$3000="BARONA"))=0,"",SUMPRODUCT((INPUT!$T$3:$T$3000=45909)*(INPUT!$U$3:$U$3000="BARONA")*(INPUT!$V$3:$V$3000+INPUT!$W$3:$W$3000+INPUT!$X$3:$X$3000+INPUT!$Y$3:$Y$3000))),"")</f>
        <v/>
      </c>
      <c r="AI3" s="42" cm="1">
        <f t="array" ref="AI3">IFERROR(IF(SUMPRODUCT((INPUT!$T$3:$T$3000=45911)*(INPUT!$U$3:$U$3000="BARONA"))=0,"",SUMPRODUCT((INPUT!$T$3:$T$3000=45911)*(INPUT!$U$3:$U$3000="BARONA")*(INPUT!$V$3:$V$3000+INPUT!$W$3:$W$3000+INPUT!$X$3:$X$3000+INPUT!$Y$3:$Y$3000))),"")</f>
        <v>15</v>
      </c>
      <c r="AJ3" s="42" cm="1">
        <f t="array" ref="AJ3">IFERROR(IF(SUMPRODUCT((INPUT!$T$3:$T$3000=45912)*(INPUT!$U$3:$U$3000="BARONA"))=0,"",SUMPRODUCT((INPUT!$T$3:$T$3000=45912)*(INPUT!$U$3:$U$3000="BARONA")*(INPUT!$V$3:$V$3000+INPUT!$W$3:$W$3000+INPUT!$X$3:$X$3000+INPUT!$Y$3:$Y$3000))),"")</f>
        <v>14</v>
      </c>
      <c r="AK3" s="42" cm="1">
        <f t="array" ref="AK3">IFERROR(IF(SUMPRODUCT((INPUT!$T$3:$T$3000=45913)*(INPUT!$U$3:$U$3000="BARONA"))=0,"",SUMPRODUCT((INPUT!$T$3:$T$3000=45913)*(INPUT!$U$3:$U$3000="BARONA")*(INPUT!$V$3:$V$3000+INPUT!$W$3:$W$3000+INPUT!$X$3:$X$3000+INPUT!$Y$3:$Y$3000))),"")</f>
        <v>17</v>
      </c>
      <c r="AL3" s="42" cm="1">
        <f t="array" ref="AL3">IFERROR(IF(SUMPRODUCT((INPUT!$T$3:$T$3000=45915)*(INPUT!$U$3:$U$3000="BARONA"))=0,"",SUMPRODUCT((INPUT!$T$3:$T$3000=45915)*(INPUT!$U$3:$U$3000="BARONA")*(INPUT!$V$3:$V$3000+INPUT!$W$3:$W$3000+INPUT!$X$3:$X$3000+INPUT!$Y$3:$Y$3000))),"")</f>
        <v>14</v>
      </c>
      <c r="AM3" s="42" cm="1">
        <f t="array" ref="AM3">IFERROR(IF(SUMPRODUCT((INPUT!$T$3:$T$3000=45916)*(INPUT!$U$3:$U$3000="BARONA"))=0,"",SUMPRODUCT((INPUT!$T$3:$T$3000=45916)*(INPUT!$U$3:$U$3000="BARONA")*(INPUT!$V$3:$V$3000+INPUT!$W$3:$W$3000+INPUT!$X$3:$X$3000+INPUT!$Y$3:$Y$3000))),"")</f>
        <v>13</v>
      </c>
      <c r="AN3" s="42" cm="1">
        <f t="array" ref="AN3">IFERROR(IF(SUMPRODUCT((INPUT!$T$3:$T$3000=45917)*(INPUT!$U$3:$U$3000="BARONA"))=0,"",SUMPRODUCT((INPUT!$T$3:$T$3000=45917)*(INPUT!$U$3:$U$3000="BARONA")*(INPUT!$V$3:$V$3000+INPUT!$W$3:$W$3000+INPUT!$X$3:$X$3000+INPUT!$Y$3:$Y$3000))),"")</f>
        <v>14</v>
      </c>
      <c r="AO3" s="42" cm="1">
        <f t="array" ref="AO3">IFERROR(IF(SUMPRODUCT((INPUT!$T$3:$T$3000=45918)*(INPUT!$U$3:$U$3000="BARONA"))=0,"",SUMPRODUCT((INPUT!$T$3:$T$3000=45918)*(INPUT!$U$3:$U$3000="BARONA")*(INPUT!$V$3:$V$3000+INPUT!$W$3:$W$3000+INPUT!$X$3:$X$3000+INPUT!$Y$3:$Y$3000))),"")</f>
        <v>12</v>
      </c>
      <c r="AP3" s="42" cm="1">
        <f t="array" ref="AP3">IFERROR(IF(SUMPRODUCT((INPUT!$T$3:$T$3000=45919)*(INPUT!$U$3:$U$3000="BARONA"))=0,"",SUMPRODUCT((INPUT!$T$3:$T$3000=45919)*(INPUT!$U$3:$U$3000="BARONA")*(INPUT!$V$3:$V$3000+INPUT!$W$3:$W$3000+INPUT!$X$3:$X$3000+INPUT!$Y$3:$Y$3000))),"")</f>
        <v>14</v>
      </c>
      <c r="AQ3" s="42" cm="1">
        <f t="array" ref="AQ3">IFERROR(IF(SUMPRODUCT((INPUT!$T$3:$T$3000=45922)*(INPUT!$U$3:$U$3000="BARONA"))=0,"",SUMPRODUCT((INPUT!$T$3:$T$3000=45922)*(INPUT!$U$3:$U$3000="BARONA")*(INPUT!$V$3:$V$3000+INPUT!$W$3:$W$3000+INPUT!$X$3:$X$3000+INPUT!$Y$3:$Y$3000))),"")</f>
        <v>17</v>
      </c>
      <c r="AR3" s="42" cm="1">
        <f t="array" ref="AR3">IFERROR(IF(SUMPRODUCT((INPUT!$T$3:$T$3000=45923)*(INPUT!$U$3:$U$3000="BARONA"))=0,"",SUMPRODUCT((INPUT!$T$3:$T$3000=45923)*(INPUT!$U$3:$U$3000="BARONA")*(INPUT!$V$3:$V$3000+INPUT!$W$3:$W$3000+INPUT!$X$3:$X$3000+INPUT!$Y$3:$Y$3000))),"")</f>
        <v>16</v>
      </c>
      <c r="AS3" s="42" cm="1">
        <f t="array" ref="AS3">IFERROR(IF(SUMPRODUCT((INPUT!$T$3:$T$3000=45924)*(INPUT!$U$3:$U$3000="BARONA"))=0,"",SUMPRODUCT((INPUT!$T$3:$T$3000=45924)*(INPUT!$U$3:$U$3000="BARONA")*(INPUT!$V$3:$V$3000+INPUT!$W$3:$W$3000+INPUT!$X$3:$X$3000+INPUT!$Y$3:$Y$3000))),"")</f>
        <v>16</v>
      </c>
      <c r="AT3" s="42" cm="1">
        <f t="array" ref="AT3">IFERROR(IF(SUMPRODUCT((INPUT!$T$3:$T$3000=45925)*(INPUT!$U$3:$U$3000="BARONA"))=0,"",SUMPRODUCT((INPUT!$T$3:$T$3000=45925)*(INPUT!$U$3:$U$3000="BARONA")*(INPUT!$V$3:$V$3000+INPUT!$W$3:$W$3000+INPUT!$X$3:$X$3000+INPUT!$Y$3:$Y$3000))),"")</f>
        <v>16</v>
      </c>
      <c r="AU3" s="42" cm="1">
        <f t="array" ref="AU3">IFERROR(IF(SUMPRODUCT((INPUT!$T$3:$T$3000=45926)*(INPUT!$U$3:$U$3000="BARONA"))=0,"",SUMPRODUCT((INPUT!$T$3:$T$3000=45926)*(INPUT!$U$3:$U$3000="BARONA")*(INPUT!$V$3:$V$3000+INPUT!$W$3:$W$3000+INPUT!$X$3:$X$3000+INPUT!$Y$3:$Y$3000))),"")</f>
        <v>16</v>
      </c>
      <c r="AV3" s="42" cm="1">
        <f t="array" ref="AV3">IFERROR(IF(SUMPRODUCT((INPUT!$T$3:$T$3000=45927)*(INPUT!$U$3:$U$3000="BARONA"))=0,"",SUMPRODUCT((INPUT!$T$3:$T$3000=45927)*(INPUT!$U$3:$U$3000="BARONA")*(INPUT!$V$3:$V$3000+INPUT!$W$3:$W$3000+INPUT!$X$3:$X$3000+INPUT!$Y$3:$Y$3000))),"")</f>
        <v>17</v>
      </c>
      <c r="AW3" s="42" cm="1">
        <f t="array" ref="AW3">IFERROR(IF(SUMPRODUCT((INPUT!$T$3:$T$3000=45929)*(INPUT!$U$3:$U$3000="BARONA"))=0,"",SUMPRODUCT((INPUT!$T$3:$T$3000=45929)*(INPUT!$U$3:$U$3000="BARONA")*(INPUT!$V$3:$V$3000+INPUT!$W$3:$W$3000+INPUT!$X$3:$X$3000+INPUT!$Y$3:$Y$3000))),"")</f>
        <v>16</v>
      </c>
      <c r="AX3" s="42" cm="1">
        <f t="array" ref="AX3">IFERROR(IF(SUMPRODUCT((INPUT!$T$3:$T$3000=45930)*(INPUT!$U$3:$U$3000="BARONA"))=0,"",SUMPRODUCT((INPUT!$T$3:$T$3000=45930)*(INPUT!$U$3:$U$3000="BARONA")*(INPUT!$V$3:$V$3000+INPUT!$W$3:$W$3000+INPUT!$X$3:$X$3000+INPUT!$Y$3:$Y$3000))),"")</f>
        <v>15</v>
      </c>
      <c r="AY3" s="42" cm="1">
        <f t="array" ref="AY3">IFERROR(IF(SUMPRODUCT((INPUT!$T$3:$T$3000=45931)*(INPUT!$U$3:$U$3000="BARONA"))=0,"",SUMPRODUCT((INPUT!$T$3:$T$3000=45931)*(INPUT!$U$3:$U$3000="BARONA")*(INPUT!$V$3:$V$3000+INPUT!$W$3:$W$3000+INPUT!$X$3:$X$3000+INPUT!$Y$3:$Y$3000))),"")</f>
        <v>15</v>
      </c>
      <c r="AZ3" s="42" cm="1">
        <f t="array" ref="AZ3">IFERROR(IF(SUMPRODUCT((INPUT!$T$3:$T$3000=45932)*(INPUT!$U$3:$U$3000="BARONA"))=0,"",SUMPRODUCT((INPUT!$T$3:$T$3000=45932)*(INPUT!$U$3:$U$3000="BARONA")*(INPUT!$V$3:$V$3000+INPUT!$W$3:$W$3000+INPUT!$X$3:$X$3000+INPUT!$Y$3:$Y$3000))),"")</f>
        <v>13</v>
      </c>
      <c r="BA3" s="42" cm="1">
        <f t="array" ref="BA3">IFERROR(IF(SUMPRODUCT((INPUT!$T$3:$T$3000=45933)*(INPUT!$U$3:$U$3000="BARONA"))=0,"",SUMPRODUCT((INPUT!$T$3:$T$3000=45933)*(INPUT!$U$3:$U$3000="BARONA")*(INPUT!$V$3:$V$3000+INPUT!$W$3:$W$3000+INPUT!$X$3:$X$3000+INPUT!$Y$3:$Y$3000))),"")</f>
        <v>16</v>
      </c>
      <c r="BB3" s="42" cm="1">
        <f t="array" ref="BB3">IFERROR(IF(SUMPRODUCT((INPUT!$T$3:$T$3000=45934)*(INPUT!$U$3:$U$3000="BARONA"))=0,"",SUMPRODUCT((INPUT!$T$3:$T$3000=45934)*(INPUT!$U$3:$U$3000="BARONA")*(INPUT!$V$3:$V$3000+INPUT!$W$3:$W$3000+INPUT!$X$3:$X$3000+INPUT!$Y$3:$Y$3000))),"")</f>
        <v>19</v>
      </c>
      <c r="BC3" s="42" cm="1">
        <f t="array" ref="BC3">IFERROR(IF(SUMPRODUCT((INPUT!$T$3:$T$3000=45936)*(INPUT!$U$3:$U$3000="BARONA"))=0,"",SUMPRODUCT((INPUT!$T$3:$T$3000=45936)*(INPUT!$U$3:$U$3000="BARONA")*(INPUT!$V$3:$V$3000+INPUT!$W$3:$W$3000+INPUT!$X$3:$X$3000+INPUT!$Y$3:$Y$3000))),"")</f>
        <v>16</v>
      </c>
      <c r="BD3" s="42" cm="1">
        <f t="array" ref="BD3">IFERROR(IF(SUMPRODUCT((INPUT!$T$3:$T$3000=45937)*(INPUT!$U$3:$U$3000="BARONA"))=0,"",SUMPRODUCT((INPUT!$T$3:$T$3000=45937)*(INPUT!$U$3:$U$3000="BARONA")*(INPUT!$V$3:$V$3000+INPUT!$W$3:$W$3000+INPUT!$X$3:$X$3000+INPUT!$Y$3:$Y$3000))),"")</f>
        <v>16</v>
      </c>
      <c r="BE3" s="42" cm="1">
        <f t="array" ref="BE3">IFERROR(IF(SUMPRODUCT((INPUT!$T$3:$T$3000=45938)*(INPUT!$U$3:$U$3000="BARONA"))=0,"",SUMPRODUCT((INPUT!$T$3:$T$3000=45938)*(INPUT!$U$3:$U$3000="BARONA")*(INPUT!$V$3:$V$3000+INPUT!$W$3:$W$3000+INPUT!$X$3:$X$3000+INPUT!$Y$3:$Y$3000))),"")</f>
        <v>17</v>
      </c>
      <c r="BF3" s="42" cm="1">
        <f t="array" ref="BF3">IFERROR(IF(SUMPRODUCT((INPUT!$T$3:$T$3000=45940)*(INPUT!$U$3:$U$3000="BARONA"))=0,"",SUMPRODUCT((INPUT!$T$3:$T$3000=45940)*(INPUT!$U$3:$U$3000="BARONA")*(INPUT!$V$3:$V$3000+INPUT!$W$3:$W$3000+INPUT!$X$3:$X$3000+INPUT!$Y$3:$Y$3000))),"")</f>
        <v>16</v>
      </c>
      <c r="BG3" s="42" cm="1">
        <f t="array" ref="BG3">IFERROR(IF(SUMPRODUCT((INPUT!$T$3:$T$3000=45941)*(INPUT!$U$3:$U$3000="BARONA"))=0,"",SUMPRODUCT((INPUT!$T$3:$T$3000=45941)*(INPUT!$U$3:$U$3000="BARONA")*(INPUT!$V$3:$V$3000+INPUT!$W$3:$W$3000+INPUT!$X$3:$X$3000+INPUT!$Y$3:$Y$3000))),"")</f>
        <v>16</v>
      </c>
      <c r="BH3" s="42" cm="1">
        <f t="array" ref="BH3">IFERROR(IF(SUMPRODUCT((INPUT!$T$3:$T$3000=45942)*(INPUT!$U$3:$U$3000="BARONA"))=0,"",SUMPRODUCT((INPUT!$T$3:$T$3000=45942)*(INPUT!$U$3:$U$3000="BARONA")*(INPUT!$V$3:$V$3000+INPUT!$W$3:$W$3000+INPUT!$X$3:$X$3000+INPUT!$Y$3:$Y$3000))),"")</f>
        <v>20</v>
      </c>
      <c r="BI3" s="42" cm="1">
        <f t="array" ref="BI3">IFERROR(IF(SUMPRODUCT((INPUT!$T$3:$T$3000=45945)*(INPUT!$U$3:$U$3000="BARONA"))=0,"",SUMPRODUCT((INPUT!$T$3:$T$3000=45945)*(INPUT!$U$3:$U$3000="BARONA")*(INPUT!$V$3:$V$3000+INPUT!$W$3:$W$3000+INPUT!$X$3:$X$3000+INPUT!$Y$3:$Y$3000))),"")</f>
        <v>16</v>
      </c>
      <c r="BJ3" s="42" cm="1">
        <f t="array" ref="BJ3">IFERROR(IF(SUMPRODUCT((INPUT!$T$3:$T$3000=45946)*(INPUT!$U$3:$U$3000="BARONA"))=0,"",SUMPRODUCT((INPUT!$T$3:$T$3000=45946)*(INPUT!$U$3:$U$3000="BARONA")*(INPUT!$V$3:$V$3000+INPUT!$W$3:$W$3000+INPUT!$X$3:$X$3000+INPUT!$Y$3:$Y$3000))),"")</f>
        <v>14</v>
      </c>
      <c r="BK3" s="42" cm="1">
        <f t="array" ref="BK3">IFERROR(IF(SUMPRODUCT((INPUT!$T$3:$T$3000=45947)*(INPUT!$U$3:$U$3000="BARONA"))=0,"",SUMPRODUCT((INPUT!$T$3:$T$3000=45947)*(INPUT!$U$3:$U$3000="BARONA")*(INPUT!$V$3:$V$3000+INPUT!$W$3:$W$3000+INPUT!$X$3:$X$3000+INPUT!$Y$3:$Y$3000))),"")</f>
        <v>16</v>
      </c>
      <c r="BL3" s="42" cm="1">
        <f t="array" ref="BL3">IFERROR(IF(SUMPRODUCT((INPUT!$T$3:$T$3000=45950)*(INPUT!$U$3:$U$3000="BARONA"))=0,"",SUMPRODUCT((INPUT!$T$3:$T$3000=45950)*(INPUT!$U$3:$U$3000="BARONA")*(INPUT!$V$3:$V$3000+INPUT!$W$3:$W$3000+INPUT!$X$3:$X$3000+INPUT!$Y$3:$Y$3000))),"")</f>
        <v>19</v>
      </c>
      <c r="BM3" s="42" cm="1">
        <f t="array" ref="BM3">IFERROR(IF(SUMPRODUCT((INPUT!$T$3:$T$3000=45951)*(INPUT!$U$3:$U$3000="BARONA"))=0,"",SUMPRODUCT((INPUT!$T$3:$T$3000=45951)*(INPUT!$U$3:$U$3000="BARONA")*(INPUT!$V$3:$V$3000+INPUT!$W$3:$W$3000+INPUT!$X$3:$X$3000+INPUT!$Y$3:$Y$3000))),"")</f>
        <v>14</v>
      </c>
      <c r="BN3" s="42" cm="1">
        <f t="array" ref="BN3">IFERROR(IF(SUMPRODUCT((INPUT!$T$3:$T$3000=45952)*(INPUT!$U$3:$U$3000="BARONA"))=0,"",SUMPRODUCT((INPUT!$T$3:$T$3000=45952)*(INPUT!$U$3:$U$3000="BARONA")*(INPUT!$V$3:$V$3000+INPUT!$W$3:$W$3000+INPUT!$X$3:$X$3000+INPUT!$Y$3:$Y$3000))),"")</f>
        <v>16</v>
      </c>
      <c r="BO3" s="42" cm="1">
        <f t="array" ref="BO3">IFERROR(IF(SUMPRODUCT((INPUT!$T$3:$T$3000=45953)*(INPUT!$U$3:$U$3000="BARONA"))=0,"",SUMPRODUCT((INPUT!$T$3:$T$3000=45953)*(INPUT!$U$3:$U$3000="BARONA")*(INPUT!$V$3:$V$3000+INPUT!$W$3:$W$3000+INPUT!$X$3:$X$3000+INPUT!$Y$3:$Y$3000))),"")</f>
        <v>13</v>
      </c>
      <c r="BP3" s="42" cm="1">
        <f t="array" ref="BP3">IFERROR(IF(SUMPRODUCT((INPUT!$T$3:$T$3000=45954)*(INPUT!$U$3:$U$3000="BARONA"))=0,"",SUMPRODUCT((INPUT!$T$3:$T$3000=45954)*(INPUT!$U$3:$U$3000="BARONA")*(INPUT!$V$3:$V$3000+INPUT!$W$3:$W$3000+INPUT!$X$3:$X$3000+INPUT!$Y$3:$Y$3000))),"")</f>
        <v>16</v>
      </c>
      <c r="BQ3" s="42" cm="1">
        <f t="array" ref="BQ3">IFERROR(IF(SUMPRODUCT((INPUT!$T$3:$T$3000=45955)*(INPUT!$U$3:$U$3000="BARONA"))=0,"",SUMPRODUCT((INPUT!$T$3:$T$3000=45955)*(INPUT!$U$3:$U$3000="BARONA")*(INPUT!$V$3:$V$3000+INPUT!$W$3:$W$3000+INPUT!$X$3:$X$3000+INPUT!$Y$3:$Y$3000))),"")</f>
        <v>20</v>
      </c>
      <c r="BR3" s="42" cm="1">
        <f t="array" ref="BR3">IFERROR(IF(SUMPRODUCT((INPUT!$T$3:$T$3000=45958)*(INPUT!$U$3:$U$3000="BARONA"))=0,"",SUMPRODUCT((INPUT!$T$3:$T$3000=45958)*(INPUT!$U$3:$U$3000="BARONA")*(INPUT!$V$3:$V$3000+INPUT!$W$3:$W$3000+INPUT!$X$3:$X$3000+INPUT!$Y$3:$Y$3000))),"")</f>
        <v>18</v>
      </c>
      <c r="BS3" s="42" cm="1">
        <f t="array" ref="BS3">IFERROR(IF(SUMPRODUCT((INPUT!$T$3:$T$3000=45959)*(INPUT!$U$3:$U$3000="BARONA"))=0,"",SUMPRODUCT((INPUT!$T$3:$T$3000=45959)*(INPUT!$U$3:$U$3000="BARONA")*(INPUT!$V$3:$V$3000+INPUT!$W$3:$W$3000+INPUT!$X$3:$X$3000+INPUT!$Y$3:$Y$3000))),"")</f>
        <v>16</v>
      </c>
      <c r="BT3" s="42" cm="1">
        <f t="array" ref="BT3">IFERROR(IF(SUMPRODUCT((INPUT!$T$3:$T$3000=45960)*(INPUT!$U$3:$U$3000="BARONA"))=0,"",SUMPRODUCT((INPUT!$T$3:$T$3000=45960)*(INPUT!$U$3:$U$3000="BARONA")*(INPUT!$V$3:$V$3000+INPUT!$W$3:$W$3000+INPUT!$X$3:$X$3000+INPUT!$Y$3:$Y$3000))),"")</f>
        <v>16</v>
      </c>
      <c r="BU3" s="42" cm="1">
        <f t="array" ref="BU3">IFERROR(IF(SUMPRODUCT((INPUT!$T$3:$T$3000=45961)*(INPUT!$U$3:$U$3000="BARONA"))=0,"",SUMPRODUCT((INPUT!$T$3:$T$3000=45961)*(INPUT!$U$3:$U$3000="BARONA")*(INPUT!$V$3:$V$3000+INPUT!$W$3:$W$3000+INPUT!$X$3:$X$3000+INPUT!$Y$3:$Y$3000))),"")</f>
        <v>14</v>
      </c>
      <c r="BV3" s="42" cm="1">
        <f t="array" ref="BV3">IFERROR(IF(SUMPRODUCT((INPUT!$T$3:$T$3000=45964)*(INPUT!$U$3:$U$3000="BARONA"))=0,"",SUMPRODUCT((INPUT!$T$3:$T$3000=45964)*(INPUT!$U$3:$U$3000="BARONA")*(INPUT!$V$3:$V$3000+INPUT!$W$3:$W$3000+INPUT!$X$3:$X$3000+INPUT!$Y$3:$Y$3000))),"")</f>
        <v>16</v>
      </c>
      <c r="BW3" s="42" cm="1">
        <f t="array" ref="BW3">IFERROR(IF(SUMPRODUCT((INPUT!$T$3:$T$3000=45965)*(INPUT!$U$3:$U$3000="BARONA"))=0,"",SUMPRODUCT((INPUT!$T$3:$T$3000=45965)*(INPUT!$U$3:$U$3000="BARONA")*(INPUT!$V$3:$V$3000+INPUT!$W$3:$W$3000+INPUT!$X$3:$X$3000+INPUT!$Y$3:$Y$3000))),"")</f>
        <v>20</v>
      </c>
      <c r="BX3" s="42" cm="1">
        <f t="array" ref="BX3">IFERROR(IF(SUMPRODUCT((INPUT!$T$3:$T$3000=45966)*(INPUT!$U$3:$U$3000="BARONA"))=0,"",SUMPRODUCT((INPUT!$T$3:$T$3000=45966)*(INPUT!$U$3:$U$3000="BARONA")*(INPUT!$V$3:$V$3000+INPUT!$W$3:$W$3000+INPUT!$X$3:$X$3000+INPUT!$Y$3:$Y$3000))),"")</f>
        <v>14</v>
      </c>
      <c r="BY3" s="42" cm="1">
        <f t="array" ref="BY3">IFERROR(IF(SUMPRODUCT((INPUT!$T$3:$T$3000=45967)*(INPUT!$U$3:$U$3000="BARONA"))=0,"",SUMPRODUCT((INPUT!$T$3:$T$3000=45967)*(INPUT!$U$3:$U$3000="BARONA")*(INPUT!$V$3:$V$3000+INPUT!$W$3:$W$3000+INPUT!$X$3:$X$3000+INPUT!$Y$3:$Y$3000))),"")</f>
        <v>16</v>
      </c>
      <c r="BZ3" s="42" cm="1">
        <f t="array" ref="BZ3">IFERROR(IF(SUMPRODUCT((INPUT!$T$3:$T$3000=45968)*(INPUT!$U$3:$U$3000="BARONA"))=0,"",SUMPRODUCT((INPUT!$T$3:$T$3000=45968)*(INPUT!$U$3:$U$3000="BARONA")*(INPUT!$V$3:$V$3000+INPUT!$W$3:$W$3000+INPUT!$X$3:$X$3000+INPUT!$Y$3:$Y$3000))),"")</f>
        <v>19</v>
      </c>
      <c r="CA3" s="42" cm="1">
        <f t="array" ref="CA3">IFERROR(IF(SUMPRODUCT((INPUT!$T$3:$T$3000=45971)*(INPUT!$U$3:$U$3000="BARONA"))=0,"",SUMPRODUCT((INPUT!$T$3:$T$3000=45971)*(INPUT!$U$3:$U$3000="BARONA")*(INPUT!$V$3:$V$3000+INPUT!$W$3:$W$3000+INPUT!$X$3:$X$3000+INPUT!$Y$3:$Y$3000))),"")</f>
        <v>18</v>
      </c>
      <c r="CB3" s="42" cm="1">
        <f t="array" ref="CB3">IFERROR(IF(SUMPRODUCT((INPUT!$T$3:$T$3000=45972)*(INPUT!$U$3:$U$3000="BARONA"))=0,"",SUMPRODUCT((INPUT!$T$3:$T$3000=45972)*(INPUT!$U$3:$U$3000="BARONA")*(INPUT!$V$3:$V$3000+INPUT!$W$3:$W$3000+INPUT!$X$3:$X$3000+INPUT!$Y$3:$Y$3000))),"")</f>
        <v>16</v>
      </c>
      <c r="CC3" s="42" cm="1">
        <f t="array" ref="CC3">IFERROR(IF(SUMPRODUCT((INPUT!$T$3:$T$3000=45974)*(INPUT!$U$3:$U$3000="BARONA"))=0,"",SUMPRODUCT((INPUT!$T$3:$T$3000=45974)*(INPUT!$U$3:$U$3000="BARONA")*(INPUT!$V$3:$V$3000+INPUT!$W$3:$W$3000+INPUT!$X$3:$X$3000+INPUT!$Y$3:$Y$3000))),"")</f>
        <v>16</v>
      </c>
      <c r="CD3" s="42" cm="1">
        <f t="array" ref="CD3">IFERROR(IF(SUMPRODUCT((INPUT!$T$3:$T$3000=45975)*(INPUT!$U$3:$U$3000="BARONA"))=0,"",SUMPRODUCT((INPUT!$T$3:$T$3000=45975)*(INPUT!$U$3:$U$3000="BARONA")*(INPUT!$V$3:$V$3000+INPUT!$W$3:$W$3000+INPUT!$X$3:$X$3000+INPUT!$Y$3:$Y$3000))),"")</f>
        <v>16</v>
      </c>
      <c r="CE3" s="42" cm="1">
        <f t="array" ref="CE3">IFERROR(IF(SUMPRODUCT((INPUT!$T$3:$T$3000=45976)*(INPUT!$U$3:$U$3000="BARONA"))=0,"",SUMPRODUCT((INPUT!$T$3:$T$3000=45976)*(INPUT!$U$3:$U$3000="BARONA")*(INPUT!$V$3:$V$3000+INPUT!$W$3:$W$3000+INPUT!$X$3:$X$3000+INPUT!$Y$3:$Y$3000))),"")</f>
        <v>20</v>
      </c>
      <c r="CF3" s="42" cm="1">
        <f t="array" ref="CF3">IFERROR(IF(SUMPRODUCT((INPUT!$T$3:$T$3000=45978)*(INPUT!$U$3:$U$3000="BARONA"))=0,"",SUMPRODUCT((INPUT!$T$3:$T$3000=45978)*(INPUT!$U$3:$U$3000="BARONA")*(INPUT!$V$3:$V$3000+INPUT!$W$3:$W$3000+INPUT!$X$3:$X$3000+INPUT!$Y$3:$Y$3000))),"")</f>
        <v>16</v>
      </c>
      <c r="CG3" s="42" cm="1">
        <f t="array" ref="CG3">IFERROR(IF(SUMPRODUCT((INPUT!$T$3:$T$3000=45979)*(INPUT!$U$3:$U$3000="BARONA"))=0,"",SUMPRODUCT((INPUT!$T$3:$T$3000=45979)*(INPUT!$U$3:$U$3000="BARONA")*(INPUT!$V$3:$V$3000+INPUT!$W$3:$W$3000+INPUT!$X$3:$X$3000+INPUT!$Y$3:$Y$3000))),"")</f>
        <v>16</v>
      </c>
      <c r="CH3" s="42" cm="1">
        <f t="array" ref="CH3">IFERROR(IF(SUMPRODUCT((INPUT!$T$3:$T$3000=45980)*(INPUT!$U$3:$U$3000="BARONA"))=0,"",SUMPRODUCT((INPUT!$T$3:$T$3000=45980)*(INPUT!$U$3:$U$3000="BARONA")*(INPUT!$V$3:$V$3000+INPUT!$W$3:$W$3000+INPUT!$X$3:$X$3000+INPUT!$Y$3:$Y$3000))),"")</f>
        <v>16</v>
      </c>
      <c r="CI3" s="42" cm="1">
        <f t="array" ref="CI3">IFERROR(IF(SUMPRODUCT((INPUT!$T$3:$T$3000=45982)*(INPUT!$U$3:$U$3000="BARONA"))=0,"",SUMPRODUCT((INPUT!$T$3:$T$3000=45982)*(INPUT!$U$3:$U$3000="BARONA")*(INPUT!$V$3:$V$3000+INPUT!$W$3:$W$3000+INPUT!$X$3:$X$3000+INPUT!$Y$3:$Y$3000))),"")</f>
        <v>16</v>
      </c>
      <c r="CJ3" s="42" cm="1">
        <f t="array" ref="CJ3">IFERROR(IF(SUMPRODUCT((INPUT!$T$3:$T$3000=45983)*(INPUT!$U$3:$U$3000="BARONA"))=0,"",SUMPRODUCT((INPUT!$T$3:$T$3000=45983)*(INPUT!$U$3:$U$3000="BARONA")*(INPUT!$V$3:$V$3000+INPUT!$W$3:$W$3000+INPUT!$X$3:$X$3000+INPUT!$Y$3:$Y$3000))),"")</f>
        <v>16</v>
      </c>
      <c r="CK3" s="42" cm="1">
        <f t="array" ref="CK3">IFERROR(IF(SUMPRODUCT((INPUT!$T$3:$T$3000=45985)*(INPUT!$U$3:$U$3000="BARONA"))=0,"",SUMPRODUCT((INPUT!$T$3:$T$3000=45985)*(INPUT!$U$3:$U$3000="BARONA")*(INPUT!$V$3:$V$3000+INPUT!$W$3:$W$3000+INPUT!$X$3:$X$3000+INPUT!$Y$3:$Y$3000))),"")</f>
        <v>16</v>
      </c>
      <c r="CL3" s="42" cm="1">
        <f t="array" ref="CL3">IFERROR(IF(SUMPRODUCT((INPUT!$T$3:$T$3000=45986)*(INPUT!$U$3:$U$3000="BARONA"))=0,"",SUMPRODUCT((INPUT!$T$3:$T$3000=45986)*(INPUT!$U$3:$U$3000="BARONA")*(INPUT!$V$3:$V$3000+INPUT!$W$3:$W$3000+INPUT!$X$3:$X$3000+INPUT!$Y$3:$Y$3000))),"")</f>
        <v>16</v>
      </c>
      <c r="CM3" s="42" cm="1">
        <f t="array" ref="CM3">IFERROR(IF(SUMPRODUCT((INPUT!$T$3:$T$3000=45987)*(INPUT!$U$3:$U$3000="BARONA"))=0,"",SUMPRODUCT((INPUT!$T$3:$T$3000=45987)*(INPUT!$U$3:$U$3000="BARONA")*(INPUT!$V$3:$V$3000+INPUT!$W$3:$W$3000+INPUT!$X$3:$X$3000+INPUT!$Y$3:$Y$3000))),"")</f>
        <v>16</v>
      </c>
      <c r="CN3" s="42" cm="1">
        <f t="array" ref="CN3">IFERROR(IF(SUMPRODUCT((INPUT!$T$3:$T$3000=45988)*(INPUT!$U$3:$U$3000="BARONA"))=0,"",SUMPRODUCT((INPUT!$T$3:$T$3000=45988)*(INPUT!$U$3:$U$3000="BARONA")*(INPUT!$V$3:$V$3000+INPUT!$W$3:$W$3000+INPUT!$X$3:$X$3000+INPUT!$Y$3:$Y$3000))),"")</f>
        <v>16</v>
      </c>
      <c r="CO3" s="42" cm="1">
        <f t="array" ref="CO3">IFERROR(IF(SUMPRODUCT((INPUT!$T$3:$T$3000=45989)*(INPUT!$U$3:$U$3000="BARONA"))=0,"",SUMPRODUCT((INPUT!$T$3:$T$3000=45989)*(INPUT!$U$3:$U$3000="BARONA")*(INPUT!$V$3:$V$3000+INPUT!$W$3:$W$3000+INPUT!$X$3:$X$3000+INPUT!$Y$3:$Y$3000))),"")</f>
        <v>20</v>
      </c>
      <c r="CP3" s="42" cm="1">
        <f t="array" ref="CP3">IFERROR(IF(SUMPRODUCT((INPUT!$T$3:$T$3000=45992)*(INPUT!$U$3:$U$3000="BARONA"))=0,"",SUMPRODUCT((INPUT!$T$3:$T$3000=45992)*(INPUT!$U$3:$U$3000="BARONA")*(INPUT!$V$3:$V$3000+INPUT!$W$3:$W$3000+INPUT!$X$3:$X$3000+INPUT!$Y$3:$Y$3000))),"")</f>
        <v>16</v>
      </c>
      <c r="CQ3" s="42" cm="1">
        <f t="array" ref="CQ3">IFERROR(IF(SUMPRODUCT((INPUT!$T$3:$T$3000=45993)*(INPUT!$U$3:$U$3000="BARONA"))=0,"",SUMPRODUCT((INPUT!$T$3:$T$3000=45993)*(INPUT!$U$3:$U$3000="BARONA")*(INPUT!$V$3:$V$3000+INPUT!$W$3:$W$3000+INPUT!$X$3:$X$3000+INPUT!$Y$3:$Y$3000))),"")</f>
        <v>16</v>
      </c>
      <c r="CR3" s="42" cm="1">
        <f t="array" ref="CR3">IFERROR(IF(SUMPRODUCT((INPUT!$T$3:$T$3000=45994)*(INPUT!$U$3:$U$3000="BARONA"))=0,"",SUMPRODUCT((INPUT!$T$3:$T$3000=45994)*(INPUT!$U$3:$U$3000="BARONA")*(INPUT!$V$3:$V$3000+INPUT!$W$3:$W$3000+INPUT!$X$3:$X$3000+INPUT!$Y$3:$Y$3000))),"")</f>
        <v>16</v>
      </c>
      <c r="CS3" s="42" cm="1">
        <f t="array" ref="CS3">IFERROR(IF(SUMPRODUCT((INPUT!$T$3:$T$3000=45995)*(INPUT!$U$3:$U$3000="BARONA"))=0,"",SUMPRODUCT((INPUT!$T$3:$T$3000=45995)*(INPUT!$U$3:$U$3000="BARONA")*(INPUT!$V$3:$V$3000+INPUT!$W$3:$W$3000+INPUT!$X$3:$X$3000+INPUT!$Y$3:$Y$3000))),"")</f>
        <v>16</v>
      </c>
      <c r="CT3" s="42" cm="1">
        <f t="array" ref="CT3">IFERROR(IF(SUMPRODUCT((INPUT!$T$3:$T$3000=45996)*(INPUT!$U$3:$U$3000="BARONA"))=0,"",SUMPRODUCT((INPUT!$T$3:$T$3000=45996)*(INPUT!$U$3:$U$3000="BARONA")*(INPUT!$V$3:$V$3000+INPUT!$W$3:$W$3000+INPUT!$X$3:$X$3000+INPUT!$Y$3:$Y$3000))),"")</f>
        <v>16</v>
      </c>
      <c r="CU3" s="42" cm="1">
        <f t="array" ref="CU3">IFERROR(IF(SUMPRODUCT((INPUT!$T$3:$T$3000=45997)*(INPUT!$U$3:$U$3000="BARONA"))=0,"",SUMPRODUCT((INPUT!$T$3:$T$3000=45997)*(INPUT!$U$3:$U$3000="BARONA")*(INPUT!$V$3:$V$3000+INPUT!$W$3:$W$3000+INPUT!$X$3:$X$3000+INPUT!$Y$3:$Y$3000))),"")</f>
        <v>20</v>
      </c>
      <c r="CV3" s="42" cm="1">
        <f t="array" ref="CV3">IFERROR(IF(SUMPRODUCT((INPUT!$T$3:$T$3000=45999)*(INPUT!$U$3:$U$3000="BARONA"))=0,"",SUMPRODUCT((INPUT!$T$3:$T$3000=45999)*(INPUT!$U$3:$U$3000="BARONA")*(INPUT!$V$3:$V$3000+INPUT!$W$3:$W$3000+INPUT!$X$3:$X$3000+INPUT!$Y$3:$Y$3000))),"")</f>
        <v>16</v>
      </c>
      <c r="CW3" s="42" cm="1">
        <f t="array" ref="CW3">IFERROR(IF(SUMPRODUCT((INPUT!$T$3:$T$3000=46000)*(INPUT!$U$3:$U$3000="BARONA"))=0,"",SUMPRODUCT((INPUT!$T$3:$T$3000=46000)*(INPUT!$U$3:$U$3000="BARONA")*(INPUT!$V$3:$V$3000+INPUT!$W$3:$W$3000+INPUT!$X$3:$X$3000+INPUT!$Y$3:$Y$3000))),"")</f>
        <v>16</v>
      </c>
      <c r="CX3" s="42" cm="1">
        <f t="array" ref="CX3">IFERROR(IF(SUMPRODUCT((INPUT!$T$3:$T$3000=46001)*(INPUT!$U$3:$U$3000="BARONA"))=0,"",SUMPRODUCT((INPUT!$T$3:$T$3000=46001)*(INPUT!$U$3:$U$3000="BARONA")*(INPUT!$V$3:$V$3000+INPUT!$W$3:$W$3000+INPUT!$X$3:$X$3000+INPUT!$Y$3:$Y$3000))),"")</f>
        <v>14</v>
      </c>
      <c r="CY3" s="42" cm="1">
        <f t="array" ref="CY3">IFERROR(IF(SUMPRODUCT((INPUT!$T$3:$T$3000=46002)*(INPUT!$U$3:$U$3000="BARONA"))=0,"",SUMPRODUCT((INPUT!$T$3:$T$3000=46002)*(INPUT!$U$3:$U$3000="BARONA")*(INPUT!$V$3:$V$3000+INPUT!$W$3:$W$3000+INPUT!$X$3:$X$3000+INPUT!$Y$3:$Y$3000))),"")</f>
        <v>16</v>
      </c>
      <c r="CZ3" s="42" cm="1">
        <f t="array" ref="CZ3">IFERROR(IF(SUMPRODUCT((INPUT!$T$3:$T$3000=46003)*(INPUT!$U$3:$U$3000="BARONA"))=0,"",SUMPRODUCT((INPUT!$T$3:$T$3000=46003)*(INPUT!$U$3:$U$3000="BARONA")*(INPUT!$V$3:$V$3000+INPUT!$W$3:$W$3000+INPUT!$X$3:$X$3000+INPUT!$Y$3:$Y$3000))),"")</f>
        <v>16</v>
      </c>
      <c r="DA3" s="42" cm="1">
        <f t="array" ref="DA3">IFERROR(IF(SUMPRODUCT((INPUT!$T$3:$T$3000=46004)*(INPUT!$U$3:$U$3000="BARONA"))=0,"",SUMPRODUCT((INPUT!$T$3:$T$3000=46004)*(INPUT!$U$3:$U$3000="BARONA")*(INPUT!$V$3:$V$3000+INPUT!$W$3:$W$3000+INPUT!$X$3:$X$3000+INPUT!$Y$3:$Y$3000))),"")</f>
        <v>20</v>
      </c>
      <c r="DB3" s="42" cm="1">
        <f t="array" ref="DB3">IFERROR(IF(SUMPRODUCT((INPUT!$T$3:$T$3000=46007)*(INPUT!$U$3:$U$3000="BARONA"))=0,"",SUMPRODUCT((INPUT!$T$3:$T$3000=46007)*(INPUT!$U$3:$U$3000="BARONA")*(INPUT!$V$3:$V$3000+INPUT!$W$3:$W$3000+INPUT!$X$3:$X$3000+INPUT!$Y$3:$Y$3000))),"")</f>
        <v>16</v>
      </c>
      <c r="DC3" s="42" cm="1">
        <f t="array" ref="DC3">IFERROR(IF(SUMPRODUCT((INPUT!$T$3:$T$3000=46008)*(INPUT!$U$3:$U$3000="BARONA"))=0,"",SUMPRODUCT((INPUT!$T$3:$T$3000=46008)*(INPUT!$U$3:$U$3000="BARONA")*(INPUT!$V$3:$V$3000+INPUT!$W$3:$W$3000+INPUT!$X$3:$X$3000+INPUT!$Y$3:$Y$3000))),"")</f>
        <v>16</v>
      </c>
      <c r="DD3" s="42" cm="1">
        <f t="array" ref="DD3">IFERROR(IF(SUMPRODUCT((INPUT!$T$3:$T$3000=46009)*(INPUT!$U$3:$U$3000="BARONA"))=0,"",SUMPRODUCT((INPUT!$T$3:$T$3000=46009)*(INPUT!$U$3:$U$3000="BARONA")*(INPUT!$V$3:$V$3000+INPUT!$W$3:$W$3000+INPUT!$X$3:$X$3000+INPUT!$Y$3:$Y$3000))),"")</f>
        <v>16</v>
      </c>
      <c r="DE3" s="42" cm="1">
        <f t="array" ref="DE3">IFERROR(IF(SUMPRODUCT((INPUT!$T$3:$T$3000=46010)*(INPUT!$U$3:$U$3000="BARONA"))=0,"",SUMPRODUCT((INPUT!$T$3:$T$3000=46010)*(INPUT!$U$3:$U$3000="BARONA")*(INPUT!$V$3:$V$3000+INPUT!$W$3:$W$3000+INPUT!$X$3:$X$3000+INPUT!$Y$3:$Y$3000))),"")</f>
        <v>16</v>
      </c>
      <c r="DF3" s="42" cm="1">
        <f t="array" ref="DF3">IFERROR(IF(SUMPRODUCT((INPUT!$T$3:$T$3000=46013)*(INPUT!$U$3:$U$3000="BARONA"))=0,"",SUMPRODUCT((INPUT!$T$3:$T$3000=46013)*(INPUT!$U$3:$U$3000="BARONA")*(INPUT!$V$3:$V$3000+INPUT!$W$3:$W$3000+INPUT!$X$3:$X$3000+INPUT!$Y$3:$Y$3000))),"")</f>
        <v>16</v>
      </c>
      <c r="DG3" s="42" cm="1">
        <f t="array" ref="DG3">IFERROR(IF(SUMPRODUCT((INPUT!$T$3:$T$3000=46014)*(INPUT!$U$3:$U$3000="BARONA"))=0,"",SUMPRODUCT((INPUT!$T$3:$T$3000=46014)*(INPUT!$U$3:$U$3000="BARONA")*(INPUT!$V$3:$V$3000+INPUT!$W$3:$W$3000+INPUT!$X$3:$X$3000+INPUT!$Y$3:$Y$3000))),"")</f>
        <v>16</v>
      </c>
      <c r="DH3" s="42" cm="1">
        <f t="array" ref="DH3">IFERROR(IF(SUMPRODUCT((INPUT!$T$3:$T$3000=46017)*(INPUT!$U$3:$U$3000="BARONA"))=0,"",SUMPRODUCT((INPUT!$T$3:$T$3000=46017)*(INPUT!$U$3:$U$3000="BARONA")*(INPUT!$V$3:$V$3000+INPUT!$W$3:$W$3000+INPUT!$X$3:$X$3000+INPUT!$Y$3:$Y$3000))),"")</f>
        <v>16</v>
      </c>
      <c r="DI3" s="42" cm="1">
        <f t="array" ref="DI3">IFERROR(IF(SUMPRODUCT((INPUT!$T$3:$T$3000=46018)*(INPUT!$U$3:$U$3000="BARONA"))=0,"",SUMPRODUCT((INPUT!$T$3:$T$3000=46018)*(INPUT!$U$3:$U$3000="BARONA")*(INPUT!$V$3:$V$3000+INPUT!$W$3:$W$3000+INPUT!$X$3:$X$3000+INPUT!$Y$3:$Y$3000))),"")</f>
        <v>16</v>
      </c>
      <c r="DJ3" s="42" cm="1">
        <f t="array" ref="DJ3">IFERROR(IF(SUMPRODUCT((INPUT!$T$3:$T$3000=46020)*(INPUT!$U$3:$U$3000="BARONA"))=0,"",SUMPRODUCT((INPUT!$T$3:$T$3000=46020)*(INPUT!$U$3:$U$3000="BARONA")*(INPUT!$V$3:$V$3000+INPUT!$W$3:$W$3000+INPUT!$X$3:$X$3000+INPUT!$Y$3:$Y$3000))),"")</f>
        <v>16</v>
      </c>
      <c r="DK3" s="42" cm="1">
        <f t="array" ref="DK3">IFERROR(IF(SUMPRODUCT((INPUT!$T$3:$T$3000=46021)*(INPUT!$U$3:$U$3000="BARONA"))=0,"",SUMPRODUCT((INPUT!$T$3:$T$3000=46021)*(INPUT!$U$3:$U$3000="BARONA")*(INPUT!$V$3:$V$3000+INPUT!$W$3:$W$3000+INPUT!$X$3:$X$3000+INPUT!$Y$3:$Y$3000))),"")</f>
        <v>16</v>
      </c>
      <c r="DL3" s="42" cm="1">
        <f t="array" ref="DL3">IFERROR(IF(SUMPRODUCT((INPUT!$T$3:$T$3000=46022)*(INPUT!$U$3:$U$3000="BARONA"))=0,"",SUMPRODUCT((INPUT!$T$3:$T$3000=46022)*(INPUT!$U$3:$U$3000="BARONA")*(INPUT!$V$3:$V$3000+INPUT!$W$3:$W$3000+INPUT!$X$3:$X$3000+INPUT!$Y$3:$Y$3000))),"")</f>
        <v>16</v>
      </c>
      <c r="DM3" s="42" cm="1">
        <f t="array" ref="DM3">IFERROR(IF(SUMPRODUCT((INPUT!$T$3:$T$3000=46024)*(INPUT!$U$3:$U$3000="BARONA"))=0,"",SUMPRODUCT((INPUT!$T$3:$T$3000=46024)*(INPUT!$U$3:$U$3000="BARONA")*(INPUT!$V$3:$V$3000+INPUT!$W$3:$W$3000+INPUT!$X$3:$X$3000+INPUT!$Y$3:$Y$3000))),"")</f>
        <v>20</v>
      </c>
      <c r="DN3" s="42" cm="1">
        <f t="array" ref="DN3">IFERROR(IF(SUMPRODUCT((INPUT!$T$3:$T$3000=46025)*(INPUT!$U$3:$U$3000="BARONA"))=0,"",SUMPRODUCT((INPUT!$T$3:$T$3000=46025)*(INPUT!$U$3:$U$3000="BARONA")*(INPUT!$V$3:$V$3000+INPUT!$W$3:$W$3000+INPUT!$X$3:$X$3000+INPUT!$Y$3:$Y$3000))),"")</f>
        <v>20</v>
      </c>
      <c r="DO3" s="42" cm="1">
        <f t="array" ref="DO3">IFERROR(IF(SUMPRODUCT((INPUT!$T$3:$T$3000=46027)*(INPUT!$U$3:$U$3000="BARONA"))=0,"",SUMPRODUCT((INPUT!$T$3:$T$3000=46027)*(INPUT!$U$3:$U$3000="BARONA")*(INPUT!$V$3:$V$3000+INPUT!$W$3:$W$3000+INPUT!$X$3:$X$3000+INPUT!$Y$3:$Y$3000))),"")</f>
        <v>16</v>
      </c>
      <c r="DP3" s="42" cm="1">
        <f t="array" ref="DP3">IFERROR(IF(SUMPRODUCT((INPUT!$T$3:$T$3000=46028)*(INPUT!$U$3:$U$3000="BARONA"))=0,"",SUMPRODUCT((INPUT!$T$3:$T$3000=46028)*(INPUT!$U$3:$U$3000="BARONA")*(INPUT!$V$3:$V$3000+INPUT!$W$3:$W$3000+INPUT!$X$3:$X$3000+INPUT!$Y$3:$Y$3000))),"")</f>
        <v>16</v>
      </c>
      <c r="DQ3" s="42" cm="1">
        <f t="array" ref="DQ3">IFERROR(IF(SUMPRODUCT((INPUT!$T$3:$T$3000=46029)*(INPUT!$U$3:$U$3000="BARONA"))=0,"",SUMPRODUCT((INPUT!$T$3:$T$3000=46029)*(INPUT!$U$3:$U$3000="BARONA")*(INPUT!$V$3:$V$3000+INPUT!$W$3:$W$3000+INPUT!$X$3:$X$3000+INPUT!$Y$3:$Y$3000))),"")</f>
        <v>20</v>
      </c>
      <c r="DR3" s="42" cm="1">
        <f t="array" ref="DR3">IFERROR(IF(SUMPRODUCT((INPUT!$T$3:$T$3000=46030)*(INPUT!$U$3:$U$3000="BARONA"))=0,"",SUMPRODUCT((INPUT!$T$3:$T$3000=46030)*(INPUT!$U$3:$U$3000="BARONA")*(INPUT!$V$3:$V$3000+INPUT!$W$3:$W$3000+INPUT!$X$3:$X$3000+INPUT!$Y$3:$Y$3000))),"")</f>
        <v>16</v>
      </c>
      <c r="DS3" s="42" cm="1">
        <f t="array" ref="DS3">IFERROR(IF(SUMPRODUCT((INPUT!$T$3:$T$3000=46031)*(INPUT!$U$3:$U$3000="BARONA"))=0,"",SUMPRODUCT((INPUT!$T$3:$T$3000=46031)*(INPUT!$U$3:$U$3000="BARONA")*(INPUT!$V$3:$V$3000+INPUT!$W$3:$W$3000+INPUT!$X$3:$X$3000+INPUT!$Y$3:$Y$3000))),"")</f>
        <v>16</v>
      </c>
      <c r="DT3" s="42" cm="1">
        <f t="array" ref="DT3">IFERROR(IF(SUMPRODUCT((INPUT!$T$3:$T$3000=46041)*(INPUT!$U$3:$U$3000="BARONA"))=0,"",SUMPRODUCT((INPUT!$T$3:$T$3000=46041)*(INPUT!$U$3:$U$3000="BARONA")*(INPUT!$V$3:$V$3000+INPUT!$W$3:$W$3000+INPUT!$X$3:$X$3000+INPUT!$Y$3:$Y$3000))),"")</f>
        <v>16</v>
      </c>
      <c r="DU3" s="42" cm="1">
        <f t="array" ref="DU3">IFERROR(IF(SUMPRODUCT((INPUT!$T$3:$T$3000=46042)*(INPUT!$U$3:$U$3000="BARONA"))=0,"",SUMPRODUCT((INPUT!$T$3:$T$3000=46042)*(INPUT!$U$3:$U$3000="BARONA")*(INPUT!$V$3:$V$3000+INPUT!$W$3:$W$3000+INPUT!$X$3:$X$3000+INPUT!$Y$3:$Y$3000))),"")</f>
        <v>14</v>
      </c>
      <c r="DV3" s="42" cm="1">
        <f t="array" ref="DV3">IFERROR(IF(SUMPRODUCT((INPUT!$T$3:$T$3000=46043)*(INPUT!$U$3:$U$3000="BARONA"))=0,"",SUMPRODUCT((INPUT!$T$3:$T$3000=46043)*(INPUT!$U$3:$U$3000="BARONA")*(INPUT!$V$3:$V$3000+INPUT!$W$3:$W$3000+INPUT!$X$3:$X$3000+INPUT!$Y$3:$Y$3000))),"")</f>
        <v>16</v>
      </c>
      <c r="DW3" s="42" cm="1">
        <f t="array" ref="DW3">IFERROR(IF(SUMPRODUCT((INPUT!$T$3:$T$3000=46044)*(INPUT!$U$3:$U$3000="BARONA"))=0,"",SUMPRODUCT((INPUT!$T$3:$T$3000=46044)*(INPUT!$U$3:$U$3000="BARONA")*(INPUT!$V$3:$V$3000+INPUT!$W$3:$W$3000+INPUT!$X$3:$X$3000+INPUT!$Y$3:$Y$3000))),"")</f>
        <v>16</v>
      </c>
      <c r="DX3" s="42" cm="1">
        <f t="array" ref="DX3">IFERROR(IF(SUMPRODUCT((INPUT!$T$3:$T$3000=46045)*(INPUT!$U$3:$U$3000="BARONA"))=0,"",SUMPRODUCT((INPUT!$T$3:$T$3000=46045)*(INPUT!$U$3:$U$3000="BARONA")*(INPUT!$V$3:$V$3000+INPUT!$W$3:$W$3000+INPUT!$X$3:$X$3000+INPUT!$Y$3:$Y$3000))),"")</f>
        <v>16</v>
      </c>
      <c r="DY3" s="42" cm="1">
        <f t="array" ref="DY3">IFERROR(IF(SUMPRODUCT((INPUT!$T$3:$T$3000=46048)*(INPUT!$U$3:$U$3000="BARONA"))=0,"",SUMPRODUCT((INPUT!$T$3:$T$3000=46048)*(INPUT!$U$3:$U$3000="BARONA")*(INPUT!$V$3:$V$3000+INPUT!$W$3:$W$3000+INPUT!$X$3:$X$3000+INPUT!$Y$3:$Y$3000))),"")</f>
        <v>16</v>
      </c>
      <c r="DZ3" s="42" cm="1">
        <f t="array" ref="DZ3">IFERROR(IF(SUMPRODUCT((INPUT!$T$3:$T$3000=46049)*(INPUT!$U$3:$U$3000="BARONA"))=0,"",SUMPRODUCT((INPUT!$T$3:$T$3000=46049)*(INPUT!$U$3:$U$3000="BARONA")*(INPUT!$V$3:$V$3000+INPUT!$W$3:$W$3000+INPUT!$X$3:$X$3000+INPUT!$Y$3:$Y$3000))),"")</f>
        <v>16</v>
      </c>
      <c r="EA3" s="42" cm="1">
        <f t="array" ref="EA3">IFERROR(IF(SUMPRODUCT((INPUT!$T$3:$T$3000=46050)*(INPUT!$U$3:$U$3000="BARONA"))=0,"",SUMPRODUCT((INPUT!$T$3:$T$3000=46050)*(INPUT!$U$3:$U$3000="BARONA")*(INPUT!$V$3:$V$3000+INPUT!$W$3:$W$3000+INPUT!$X$3:$X$3000+INPUT!$Y$3:$Y$3000))),"")</f>
        <v>16</v>
      </c>
      <c r="EB3" s="42" cm="1">
        <f t="array" ref="EB3">IFERROR(IF(SUMPRODUCT((INPUT!$T$3:$T$3000=46051)*(INPUT!$U$3:$U$3000="BARONA"))=0,"",SUMPRODUCT((INPUT!$T$3:$T$3000=46051)*(INPUT!$U$3:$U$3000="BARONA")*(INPUT!$V$3:$V$3000+INPUT!$W$3:$W$3000+INPUT!$X$3:$X$3000+INPUT!$Y$3:$Y$3000))),"")</f>
        <v>16</v>
      </c>
      <c r="EC3" s="42" cm="1">
        <f t="array" ref="EC3">IFERROR(IF(SUMPRODUCT((INPUT!$T$3:$T$3000=46052)*(INPUT!$U$3:$U$3000="BARONA"))=0,"",SUMPRODUCT((INPUT!$T$3:$T$3000=46052)*(INPUT!$U$3:$U$3000="BARONA")*(INPUT!$V$3:$V$3000+INPUT!$W$3:$W$3000+INPUT!$X$3:$X$3000+INPUT!$Y$3:$Y$3000))),"")</f>
        <v>20</v>
      </c>
      <c r="ED3" s="42" cm="1">
        <f t="array" ref="ED3">IFERROR(IF(SUMPRODUCT((INPUT!$T$3:$T$3000=46055)*(INPUT!$U$3:$U$3000="BARONA"))=0,"",SUMPRODUCT((INPUT!$T$3:$T$3000=46055)*(INPUT!$U$3:$U$3000="BARONA")*(INPUT!$V$3:$V$3000+INPUT!$W$3:$W$3000+INPUT!$X$3:$X$3000+INPUT!$Y$3:$Y$3000))),"")</f>
        <v>16</v>
      </c>
      <c r="EE3" s="42" cm="1">
        <f t="array" ref="EE3">IFERROR(IF(SUMPRODUCT((INPUT!$T$3:$T$3000=46056)*(INPUT!$U$3:$U$3000="BARONA"))=0,"",SUMPRODUCT((INPUT!$T$3:$T$3000=46056)*(INPUT!$U$3:$U$3000="BARONA")*(INPUT!$V$3:$V$3000+INPUT!$W$3:$W$3000+INPUT!$X$3:$X$3000+INPUT!$Y$3:$Y$3000))),"")</f>
        <v>16</v>
      </c>
      <c r="EF3" s="42" cm="1">
        <f t="array" ref="EF3">IFERROR(IF(SUMPRODUCT((INPUT!$T$3:$T$3000=46057)*(INPUT!$U$3:$U$3000="BARONA"))=0,"",SUMPRODUCT((INPUT!$T$3:$T$3000=46057)*(INPUT!$U$3:$U$3000="BARONA")*(INPUT!$V$3:$V$3000+INPUT!$W$3:$W$3000+INPUT!$X$3:$X$3000+INPUT!$Y$3:$Y$3000))),"")</f>
        <v>16</v>
      </c>
      <c r="EG3" s="42" cm="1">
        <f t="array" ref="EG3">IFERROR(IF(SUMPRODUCT((INPUT!$T$3:$T$3000=46058)*(INPUT!$U$3:$U$3000="BARONA"))=0,"",SUMPRODUCT((INPUT!$T$3:$T$3000=46058)*(INPUT!$U$3:$U$3000="BARONA")*(INPUT!$V$3:$V$3000+INPUT!$W$3:$W$3000+INPUT!$X$3:$X$3000+INPUT!$Y$3:$Y$3000))),"")</f>
        <v>16</v>
      </c>
      <c r="EH3" s="42" cm="1">
        <f t="array" ref="EH3">IFERROR(IF(SUMPRODUCT((INPUT!$T$3:$T$3000=46059)*(INPUT!$U$3:$U$3000="BARONA"))=0,"",SUMPRODUCT((INPUT!$T$3:$T$3000=46059)*(INPUT!$U$3:$U$3000="BARONA")*(INPUT!$V$3:$V$3000+INPUT!$W$3:$W$3000+INPUT!$X$3:$X$3000+INPUT!$Y$3:$Y$3000))),"")</f>
        <v>20</v>
      </c>
      <c r="EI3" s="42" cm="1">
        <f t="array" ref="EI3">IFERROR(IF(SUMPRODUCT((INPUT!$T$3:$T$3000=46061)*(INPUT!$U$3:$U$3000="BARONA"))=0,"",SUMPRODUCT((INPUT!$T$3:$T$3000=46061)*(INPUT!$U$3:$U$3000="BARONA")*(INPUT!$V$3:$V$3000+INPUT!$W$3:$W$3000+INPUT!$X$3:$X$3000+INPUT!$Y$3:$Y$3000))),"")</f>
        <v>16</v>
      </c>
      <c r="EJ3" s="42" cm="1">
        <f t="array" ref="EJ3">IFERROR(IF(SUMPRODUCT((INPUT!$T$3:$T$3000=46062)*(INPUT!$U$3:$U$3000="BARONA"))=0,"",SUMPRODUCT((INPUT!$T$3:$T$3000=46062)*(INPUT!$U$3:$U$3000="BARONA")*(INPUT!$V$3:$V$3000+INPUT!$W$3:$W$3000+INPUT!$X$3:$X$3000+INPUT!$Y$3:$Y$3000))),"")</f>
        <v>16</v>
      </c>
      <c r="EK3" s="42" cm="1">
        <f t="array" ref="EK3">IFERROR(IF(SUMPRODUCT((INPUT!$T$3:$T$3000=46063)*(INPUT!$U$3:$U$3000="BARONA"))=0,"",SUMPRODUCT((INPUT!$T$3:$T$3000=46063)*(INPUT!$U$3:$U$3000="BARONA")*(INPUT!$V$3:$V$3000+INPUT!$W$3:$W$3000+INPUT!$X$3:$X$3000+INPUT!$Y$3:$Y$3000))),"")</f>
        <v>16</v>
      </c>
      <c r="EL3" s="42" cm="1">
        <f t="array" ref="EL3">IFERROR(IF(SUMPRODUCT((INPUT!$T$3:$T$3000=46064)*(INPUT!$U$3:$U$3000="BARONA"))=0,"",SUMPRODUCT((INPUT!$T$3:$T$3000=46064)*(INPUT!$U$3:$U$3000="BARONA")*(INPUT!$V$3:$V$3000+INPUT!$W$3:$W$3000+INPUT!$X$3:$X$3000+INPUT!$Y$3:$Y$3000))),"")</f>
        <v>16</v>
      </c>
      <c r="EM3" s="42" cm="1">
        <f t="array" ref="EM3">IFERROR(IF(SUMPRODUCT((INPUT!$T$3:$T$3000=46065)*(INPUT!$U$3:$U$3000="BARONA"))=0,"",SUMPRODUCT((INPUT!$T$3:$T$3000=46065)*(INPUT!$U$3:$U$3000="BARONA")*(INPUT!$V$3:$V$3000+INPUT!$W$3:$W$3000+INPUT!$X$3:$X$3000+INPUT!$Y$3:$Y$3000))),"")</f>
        <v>16</v>
      </c>
      <c r="EN3" s="42" cm="1">
        <f t="array" ref="EN3">IFERROR(IF(SUMPRODUCT((INPUT!$T$3:$T$3000=46066)*(INPUT!$U$3:$U$3000="BARONA"))=0,"",SUMPRODUCT((INPUT!$T$3:$T$3000=46066)*(INPUT!$U$3:$U$3000="BARONA")*(INPUT!$V$3:$V$3000+INPUT!$W$3:$W$3000+INPUT!$X$3:$X$3000+INPUT!$Y$3:$Y$3000))),"")</f>
        <v>16</v>
      </c>
      <c r="EO3" s="42" cm="1">
        <f t="array" ref="EO3">IFERROR(IF(SUMPRODUCT((INPUT!$T$3:$T$3000=46067)*(INPUT!$U$3:$U$3000="BARONA"))=0,"",SUMPRODUCT((INPUT!$T$3:$T$3000=46067)*(INPUT!$U$3:$U$3000="BARONA")*(INPUT!$V$3:$V$3000+INPUT!$W$3:$W$3000+INPUT!$X$3:$X$3000+INPUT!$Y$3:$Y$3000))),"")</f>
        <v>20</v>
      </c>
      <c r="EP3" s="42" cm="1">
        <f t="array" ref="EP3">IFERROR(IF(SUMPRODUCT((INPUT!$T$3:$T$3000=46069)*(INPUT!$U$3:$U$3000="BARONA"))=0,"",SUMPRODUCT((INPUT!$T$3:$T$3000=46069)*(INPUT!$U$3:$U$3000="BARONA")*(INPUT!$V$3:$V$3000+INPUT!$W$3:$W$3000+INPUT!$X$3:$X$3000+INPUT!$Y$3:$Y$3000))),"")</f>
        <v>16</v>
      </c>
      <c r="EQ3" s="42" cm="1">
        <f t="array" ref="EQ3">IFERROR(IF(SUMPRODUCT((INPUT!$T$3:$T$3000=46072)*(INPUT!$U$3:$U$3000="BARONA"))=0,"",SUMPRODUCT((INPUT!$T$3:$T$3000=46072)*(INPUT!$U$3:$U$3000="BARONA")*(INPUT!$V$3:$V$3000+INPUT!$W$3:$W$3000+INPUT!$X$3:$X$3000+INPUT!$Y$3:$Y$3000))),"")</f>
        <v>16</v>
      </c>
      <c r="ER3" s="42" cm="1">
        <f t="array" ref="ER3">IFERROR(IF(SUMPRODUCT((INPUT!$T$3:$T$3000=46073)*(INPUT!$U$3:$U$3000="BARONA"))=0,"",SUMPRODUCT((INPUT!$T$3:$T$3000=46073)*(INPUT!$U$3:$U$3000="BARONA")*(INPUT!$V$3:$V$3000+INPUT!$W$3:$W$3000+INPUT!$X$3:$X$3000+INPUT!$Y$3:$Y$3000))),"")</f>
        <v>16</v>
      </c>
      <c r="ES3" s="42" cm="1">
        <f t="array" ref="ES3">IFERROR(IF(SUMPRODUCT((INPUT!$T$3:$T$3000=46076)*(INPUT!$U$3:$U$3000="BARONA"))=0,"",SUMPRODUCT((INPUT!$T$3:$T$3000=46076)*(INPUT!$U$3:$U$3000="BARONA")*(INPUT!$V$3:$V$3000+INPUT!$W$3:$W$3000+INPUT!$X$3:$X$3000+INPUT!$Y$3:$Y$3000))),"")</f>
        <v>16</v>
      </c>
      <c r="ET3" s="42" cm="1">
        <f t="array" ref="ET3">IFERROR(IF(SUMPRODUCT((INPUT!$T$3:$T$3000=46077)*(INPUT!$U$3:$U$3000="BARONA"))=0,"",SUMPRODUCT((INPUT!$T$3:$T$3000=46077)*(INPUT!$U$3:$U$3000="BARONA")*(INPUT!$V$3:$V$3000+INPUT!$W$3:$W$3000+INPUT!$X$3:$X$3000+INPUT!$Y$3:$Y$3000))),"")</f>
        <v>16</v>
      </c>
      <c r="EU3" s="42" cm="1">
        <f t="array" ref="EU3">IFERROR(IF(SUMPRODUCT((INPUT!$T$3:$T$3000=46078)*(INPUT!$U$3:$U$3000="BARONA"))=0,"",SUMPRODUCT((INPUT!$T$3:$T$3000=46078)*(INPUT!$U$3:$U$3000="BARONA")*(INPUT!$V$3:$V$3000+INPUT!$W$3:$W$3000+INPUT!$X$3:$X$3000+INPUT!$Y$3:$Y$3000))),"")</f>
        <v>16</v>
      </c>
      <c r="EV3" s="42" cm="1">
        <f t="array" ref="EV3">IFERROR(IF(SUMPRODUCT((INPUT!$T$3:$T$3000=46079)*(INPUT!$U$3:$U$3000="BARONA"))=0,"",SUMPRODUCT((INPUT!$T$3:$T$3000=46079)*(INPUT!$U$3:$U$3000="BARONA")*(INPUT!$V$3:$V$3000+INPUT!$W$3:$W$3000+INPUT!$X$3:$X$3000+INPUT!$Y$3:$Y$3000))),"")</f>
        <v>16</v>
      </c>
      <c r="EW3" s="42" cm="1">
        <f t="array" ref="EW3">IFERROR(IF(SUMPRODUCT((INPUT!$T$3:$T$3000=46080)*(INPUT!$U$3:$U$3000="BARONA"))=0,"",SUMPRODUCT((INPUT!$T$3:$T$3000=46080)*(INPUT!$U$3:$U$3000="BARONA")*(INPUT!$V$3:$V$3000+INPUT!$W$3:$W$3000+INPUT!$X$3:$X$3000+INPUT!$Y$3:$Y$3000))),"")</f>
        <v>16</v>
      </c>
      <c r="EX3" s="42" cm="1">
        <f t="array" ref="EX3">IFERROR(IF(SUMPRODUCT((INPUT!$T$3:$T$3000=46082)*(INPUT!$U$3:$U$3000="BARONA"))=0,"",SUMPRODUCT((INPUT!$T$3:$T$3000=46082)*(INPUT!$U$3:$U$3000="BARONA")*(INPUT!$V$3:$V$3000+INPUT!$W$3:$W$3000+INPUT!$X$3:$X$3000+INPUT!$Y$3:$Y$3000))),"")</f>
        <v>20</v>
      </c>
      <c r="EY3" s="42" cm="1">
        <f t="array" ref="EY3">IFERROR(IF(SUMPRODUCT((INPUT!$T$3:$T$3000=46084)*(INPUT!$U$3:$U$3000="BARONA"))=0,"",SUMPRODUCT((INPUT!$T$3:$T$3000=46084)*(INPUT!$U$3:$U$3000="BARONA")*(INPUT!$V$3:$V$3000+INPUT!$W$3:$W$3000+INPUT!$X$3:$X$3000+INPUT!$Y$3:$Y$3000))),"")</f>
        <v>16</v>
      </c>
      <c r="EZ3" s="42" cm="1">
        <f t="array" ref="EZ3">IFERROR(IF(SUMPRODUCT((INPUT!$T$3:$T$3000=46085)*(INPUT!$U$3:$U$3000="BARONA"))=0,"",SUMPRODUCT((INPUT!$T$3:$T$3000=46085)*(INPUT!$U$3:$U$3000="BARONA")*(INPUT!$V$3:$V$3000+INPUT!$W$3:$W$3000+INPUT!$X$3:$X$3000+INPUT!$Y$3:$Y$3000))),"")</f>
        <v>16</v>
      </c>
      <c r="FA3" s="42" cm="1">
        <f t="array" ref="FA3">IFERROR(IF(SUMPRODUCT((INPUT!$T$3:$T$3000=46086)*(INPUT!$U$3:$U$3000="BARONA"))=0,"",SUMPRODUCT((INPUT!$T$3:$T$3000=46086)*(INPUT!$U$3:$U$3000="BARONA")*(INPUT!$V$3:$V$3000+INPUT!$W$3:$W$3000+INPUT!$X$3:$X$3000+INPUT!$Y$3:$Y$3000))),"")</f>
        <v>16</v>
      </c>
      <c r="FB3" s="42" t="str" cm="1">
        <f t="array" ref="FB3">IFERROR(IF(SUMPRODUCT((INPUT!$T$3:$T$3000=46087)*(INPUT!$U$3:$U$3000="BARONA"))=0,"",SUMPRODUCT((INPUT!$T$3:$T$3000=46087)*(INPUT!$U$3:$U$3000="BARONA")*(INPUT!$V$3:$V$3000+INPUT!$W$3:$W$3000+INPUT!$X$3:$X$3000+INPUT!$Y$3:$Y$3000))),"")</f>
        <v/>
      </c>
      <c r="FC3" s="42" cm="1">
        <f t="array" ref="FC3">IFERROR(IF(SUMPRODUCT((INPUT!$T$3:$T$3000=46090)*(INPUT!$U$3:$U$3000="BARONA"))=0,"",SUMPRODUCT((INPUT!$T$3:$T$3000=46090)*(INPUT!$U$3:$U$3000="BARONA")*(INPUT!$V$3:$V$3000+INPUT!$W$3:$W$3000+INPUT!$X$3:$X$3000+INPUT!$Y$3:$Y$3000))),"")</f>
        <v>16</v>
      </c>
      <c r="FD3" s="42" cm="1">
        <f t="array" ref="FD3">IFERROR(IF(SUMPRODUCT((INPUT!$T$3:$T$3000=46091)*(INPUT!$U$3:$U$3000="BARONA"))=0,"",SUMPRODUCT((INPUT!$T$3:$T$3000=46091)*(INPUT!$U$3:$U$3000="BARONA")*(INPUT!$V$3:$V$3000+INPUT!$W$3:$W$3000+INPUT!$X$3:$X$3000+INPUT!$Y$3:$Y$3000))),"")</f>
        <v>16</v>
      </c>
      <c r="FE3" s="42" cm="1">
        <f t="array" ref="FE3">IFERROR(IF(SUMPRODUCT((INPUT!$T$3:$T$3000=46092)*(INPUT!$U$3:$U$3000="BARONA"))=0,"",SUMPRODUCT((INPUT!$T$3:$T$3000=46092)*(INPUT!$U$3:$U$3000="BARONA")*(INPUT!$V$3:$V$3000+INPUT!$W$3:$W$3000+INPUT!$X$3:$X$3000+INPUT!$Y$3:$Y$3000))),"")</f>
        <v>16</v>
      </c>
      <c r="FF3" s="42" cm="1">
        <f t="array" ref="FF3">IFERROR(IF(SUMPRODUCT((INPUT!$T$3:$T$3000=46093)*(INPUT!$U$3:$U$3000="BARONA"))=0,"",SUMPRODUCT((INPUT!$T$3:$T$3000=46093)*(INPUT!$U$3:$U$3000="BARONA")*(INPUT!$V$3:$V$3000+INPUT!$W$3:$W$3000+INPUT!$X$3:$X$3000+INPUT!$Y$3:$Y$3000))),"")</f>
        <v>16</v>
      </c>
      <c r="FG3" s="42" cm="1">
        <f t="array" ref="FG3">IFERROR(IF(SUMPRODUCT((INPUT!$T$3:$T$3000=46094)*(INPUT!$U$3:$U$3000="BARONA"))=0,"",SUMPRODUCT((INPUT!$T$3:$T$3000=46094)*(INPUT!$U$3:$U$3000="BARONA")*(INPUT!$V$3:$V$3000+INPUT!$W$3:$W$3000+INPUT!$X$3:$X$3000+INPUT!$Y$3:$Y$3000))),"")</f>
        <v>16</v>
      </c>
      <c r="FH3" s="42" cm="1">
        <f t="array" ref="FH3">IFERROR(IF(SUMPRODUCT((INPUT!$T$3:$T$3000=46096)*(INPUT!$U$3:$U$3000="BARONA"))=0,"",SUMPRODUCT((INPUT!$T$3:$T$3000=46096)*(INPUT!$U$3:$U$3000="BARONA")*(INPUT!$V$3:$V$3000+INPUT!$W$3:$W$3000+INPUT!$X$3:$X$3000+INPUT!$Y$3:$Y$3000))),"")</f>
        <v>16</v>
      </c>
      <c r="FI3" s="42" cm="1">
        <f t="array" ref="FI3">IFERROR(IF(SUMPRODUCT((INPUT!$T$3:$T$3000=46097)*(INPUT!$U$3:$U$3000="BARONA"))=0,"",SUMPRODUCT((INPUT!$T$3:$T$3000=46097)*(INPUT!$U$3:$U$3000="BARONA")*(INPUT!$V$3:$V$3000+INPUT!$W$3:$W$3000+INPUT!$X$3:$X$3000+INPUT!$Y$3:$Y$3000))),"")</f>
        <v>16</v>
      </c>
      <c r="FJ3" s="42" cm="1">
        <f t="array" ref="FJ3">IFERROR(IF(SUMPRODUCT((INPUT!$T$3:$T$3000=46098)*(INPUT!$U$3:$U$3000="BARONA"))=0,"",SUMPRODUCT((INPUT!$T$3:$T$3000=46098)*(INPUT!$U$3:$U$3000="BARONA")*(INPUT!$V$3:$V$3000+INPUT!$W$3:$W$3000+INPUT!$X$3:$X$3000+INPUT!$Y$3:$Y$3000))),"")</f>
        <v>16</v>
      </c>
      <c r="FK3" s="42" cm="1">
        <f t="array" ref="FK3">IFERROR(IF(SUMPRODUCT((INPUT!$T$3:$T$3000=46099)*(INPUT!$U$3:$U$3000="BARONA"))=0,"",SUMPRODUCT((INPUT!$T$3:$T$3000=46099)*(INPUT!$U$3:$U$3000="BARONA")*(INPUT!$V$3:$V$3000+INPUT!$W$3:$W$3000+INPUT!$X$3:$X$3000+INPUT!$Y$3:$Y$3000))),"")</f>
        <v>16</v>
      </c>
      <c r="FL3" s="42" cm="1">
        <f t="array" ref="FL3">IFERROR(IF(SUMPRODUCT((INPUT!$T$3:$T$3000=46102)*(INPUT!$U$3:$U$3000="BARONA"))=0,"",SUMPRODUCT((INPUT!$T$3:$T$3000=46102)*(INPUT!$U$3:$U$3000="BARONA")*(INPUT!$V$3:$V$3000+INPUT!$W$3:$W$3000+INPUT!$X$3:$X$3000+INPUT!$Y$3:$Y$3000))),"")</f>
        <v>20</v>
      </c>
      <c r="FM3" s="42" cm="1">
        <f t="array" ref="FM3">IFERROR(IF(SUMPRODUCT((INPUT!$T$3:$T$3000=46105)*(INPUT!$U$3:$U$3000="BARONA"))=0,"",SUMPRODUCT((INPUT!$T$3:$T$3000=46105)*(INPUT!$U$3:$U$3000="BARONA")*(INPUT!$V$3:$V$3000+INPUT!$W$3:$W$3000+INPUT!$X$3:$X$3000+INPUT!$Y$3:$Y$3000))),"")</f>
        <v>16</v>
      </c>
      <c r="FN3" s="42" cm="1">
        <f t="array" ref="FN3">IFERROR(IF(SUMPRODUCT((INPUT!$T$3:$T$3000=46106)*(INPUT!$U$3:$U$3000="BARONA"))=0,"",SUMPRODUCT((INPUT!$T$3:$T$3000=46106)*(INPUT!$U$3:$U$3000="BARONA")*(INPUT!$V$3:$V$3000+INPUT!$W$3:$W$3000+INPUT!$X$3:$X$3000+INPUT!$Y$3:$Y$3000))),"")</f>
        <v>16</v>
      </c>
      <c r="FO3" s="42" cm="1">
        <f t="array" ref="FO3">IFERROR(IF(SUMPRODUCT((INPUT!$T$3:$T$3000=46107)*(INPUT!$U$3:$U$3000="BARONA"))=0,"",SUMPRODUCT((INPUT!$T$3:$T$3000=46107)*(INPUT!$U$3:$U$3000="BARONA")*(INPUT!$V$3:$V$3000+INPUT!$W$3:$W$3000+INPUT!$X$3:$X$3000+INPUT!$Y$3:$Y$3000))),"")</f>
        <v>16</v>
      </c>
      <c r="FP3" s="42" cm="1">
        <f t="array" ref="FP3">IFERROR(IF(SUMPRODUCT((INPUT!$T$3:$T$3000=46108)*(INPUT!$U$3:$U$3000="BARONA"))=0,"",SUMPRODUCT((INPUT!$T$3:$T$3000=46108)*(INPUT!$U$3:$U$3000="BARONA")*(INPUT!$V$3:$V$3000+INPUT!$W$3:$W$3000+INPUT!$X$3:$X$3000+INPUT!$Y$3:$Y$3000))),"")</f>
        <v>16</v>
      </c>
      <c r="FQ3" s="42" cm="1">
        <f t="array" ref="FQ3">IFERROR(IF(SUMPRODUCT((INPUT!$T$3:$T$3000=46109)*(INPUT!$U$3:$U$3000="BARONA"))=0,"",SUMPRODUCT((INPUT!$T$3:$T$3000=46109)*(INPUT!$U$3:$U$3000="BARONA")*(INPUT!$V$3:$V$3000+INPUT!$W$3:$W$3000+INPUT!$X$3:$X$3000+INPUT!$Y$3:$Y$3000))),"")</f>
        <v>20</v>
      </c>
      <c r="FR3" s="42" cm="1">
        <f t="array" ref="FR3">IFERROR(IF(SUMPRODUCT((INPUT!$T$3:$T$3000=46111)*(INPUT!$U$3:$U$3000="BARONA"))=0,"",SUMPRODUCT((INPUT!$T$3:$T$3000=46111)*(INPUT!$U$3:$U$3000="BARONA")*(INPUT!$V$3:$V$3000+INPUT!$W$3:$W$3000+INPUT!$X$3:$X$3000+INPUT!$Y$3:$Y$3000))),"")</f>
        <v>16</v>
      </c>
      <c r="FS3" s="42" cm="1">
        <f t="array" ref="FS3">IFERROR(IF(SUMPRODUCT((INPUT!$T$3:$T$3000=46112)*(INPUT!$U$3:$U$3000="BARONA"))=0,"",SUMPRODUCT((INPUT!$T$3:$T$3000=46112)*(INPUT!$U$3:$U$3000="BARONA")*(INPUT!$V$3:$V$3000+INPUT!$W$3:$W$3000+INPUT!$X$3:$X$3000+INPUT!$Y$3:$Y$3000))),"")</f>
        <v>16</v>
      </c>
      <c r="FT3" s="42" cm="1">
        <f t="array" ref="FT3">IFERROR(IF(SUMPRODUCT((INPUT!$T$3:$T$3000=46113)*(INPUT!$U$3:$U$3000="BARONA"))=0,"",SUMPRODUCT((INPUT!$T$3:$T$3000=46113)*(INPUT!$U$3:$U$3000="BARONA")*(INPUT!$V$3:$V$3000+INPUT!$W$3:$W$3000+INPUT!$X$3:$X$3000+INPUT!$Y$3:$Y$3000))),"")</f>
        <v>16</v>
      </c>
      <c r="FU3" s="42" cm="1">
        <f t="array" ref="FU3">IFERROR(IF(SUMPRODUCT((INPUT!$T$3:$T$3000=46114)*(INPUT!$U$3:$U$3000="BARONA"))=0,"",SUMPRODUCT((INPUT!$T$3:$T$3000=46114)*(INPUT!$U$3:$U$3000="BARONA")*(INPUT!$V$3:$V$3000+INPUT!$W$3:$W$3000+INPUT!$X$3:$X$3000+INPUT!$Y$3:$Y$3000))),"")</f>
        <v>16</v>
      </c>
      <c r="FV3" s="42" cm="1">
        <f t="array" ref="FV3">IFERROR(IF(SUMPRODUCT((INPUT!$T$3:$T$3000=46115)*(INPUT!$U$3:$U$3000="BARONA"))=0,"",SUMPRODUCT((INPUT!$T$3:$T$3000=46115)*(INPUT!$U$3:$U$3000="BARONA")*(INPUT!$V$3:$V$3000+INPUT!$W$3:$W$3000+INPUT!$X$3:$X$3000+INPUT!$Y$3:$Y$3000))),"")</f>
        <v>16</v>
      </c>
      <c r="FW3" s="42" cm="1">
        <f t="array" ref="FW3">IFERROR(IF(SUMPRODUCT((INPUT!$T$3:$T$3000=46116)*(INPUT!$U$3:$U$3000="BARONA"))=0,"",SUMPRODUCT((INPUT!$T$3:$T$3000=46116)*(INPUT!$U$3:$U$3000="BARONA")*(INPUT!$V$3:$V$3000+INPUT!$W$3:$W$3000+INPUT!$X$3:$X$3000+INPUT!$Y$3:$Y$3000))),"")</f>
        <v>16</v>
      </c>
      <c r="FX3" s="42" cm="1">
        <f t="array" ref="FX3">IFERROR(IF(SUMPRODUCT((INPUT!$T$3:$T$3000=46118)*(INPUT!$U$3:$U$3000="BARONA"))=0,"",SUMPRODUCT((INPUT!$T$3:$T$3000=46118)*(INPUT!$U$3:$U$3000="BARONA")*(INPUT!$V$3:$V$3000+INPUT!$W$3:$W$3000+INPUT!$X$3:$X$3000+INPUT!$Y$3:$Y$3000))),"")</f>
        <v>16</v>
      </c>
      <c r="FY3" s="42" cm="1">
        <f t="array" ref="FY3">IFERROR(IF(SUMPRODUCT((INPUT!$T$3:$T$3000=46119)*(INPUT!$U$3:$U$3000="BARONA"))=0,"",SUMPRODUCT((INPUT!$T$3:$T$3000=46119)*(INPUT!$U$3:$U$3000="BARONA")*(INPUT!$V$3:$V$3000+INPUT!$W$3:$W$3000+INPUT!$X$3:$X$3000+INPUT!$Y$3:$Y$3000))),"")</f>
        <v>16</v>
      </c>
      <c r="FZ3" s="42" cm="1">
        <f t="array" ref="FZ3">IFERROR(IF(SUMPRODUCT((INPUT!$T$3:$T$3000=46120)*(INPUT!$U$3:$U$3000="BARONA"))=0,"",SUMPRODUCT((INPUT!$T$3:$T$3000=46120)*(INPUT!$U$3:$U$3000="BARONA")*(INPUT!$V$3:$V$3000+INPUT!$W$3:$W$3000+INPUT!$X$3:$X$3000+INPUT!$Y$3:$Y$3000))),"")</f>
        <v>16</v>
      </c>
      <c r="GA3" s="42" cm="1">
        <f t="array" ref="GA3">IFERROR(IF(SUMPRODUCT((INPUT!$T$3:$T$3000=46121)*(INPUT!$U$3:$U$3000="BARONA"))=0,"",SUMPRODUCT((INPUT!$T$3:$T$3000=46121)*(INPUT!$U$3:$U$3000="BARONA")*(INPUT!$V$3:$V$3000+INPUT!$W$3:$W$3000+INPUT!$X$3:$X$3000+INPUT!$Y$3:$Y$3000))),"")</f>
        <v>16</v>
      </c>
      <c r="GB3" s="42" cm="1">
        <f t="array" ref="GB3">IFERROR(IF(SUMPRODUCT((INPUT!$T$3:$T$3000=46122)*(INPUT!$U$3:$U$3000="BARONA"))=0,"",SUMPRODUCT((INPUT!$T$3:$T$3000=46122)*(INPUT!$U$3:$U$3000="BARONA")*(INPUT!$V$3:$V$3000+INPUT!$W$3:$W$3000+INPUT!$X$3:$X$3000+INPUT!$Y$3:$Y$3000))),"")</f>
        <v>16</v>
      </c>
      <c r="GC3" s="42" cm="1">
        <f t="array" ref="GC3">IFERROR(IF(SUMPRODUCT((INPUT!$T$3:$T$3000=46125)*(INPUT!$U$3:$U$3000="BARONA"))=0,"",SUMPRODUCT((INPUT!$T$3:$T$3000=46125)*(INPUT!$U$3:$U$3000="BARONA")*(INPUT!$V$3:$V$3000+INPUT!$W$3:$W$3000+INPUT!$X$3:$X$3000+INPUT!$Y$3:$Y$3000))),"")</f>
        <v>16</v>
      </c>
      <c r="GD3" s="42" cm="1">
        <f t="array" ref="GD3">IFERROR(IF(SUMPRODUCT((INPUT!$T$3:$T$3000=46126)*(INPUT!$U$3:$U$3000="BARONA"))=0,"",SUMPRODUCT((INPUT!$T$3:$T$3000=46126)*(INPUT!$U$3:$U$3000="BARONA")*(INPUT!$V$3:$V$3000+INPUT!$W$3:$W$3000+INPUT!$X$3:$X$3000+INPUT!$Y$3:$Y$3000))),"")</f>
        <v>16</v>
      </c>
      <c r="GE3" s="42" cm="1">
        <f t="array" ref="GE3">IFERROR(IF(SUMPRODUCT((INPUT!$T$3:$T$3000=46127)*(INPUT!$U$3:$U$3000="BARONA"))=0,"",SUMPRODUCT((INPUT!$T$3:$T$3000=46127)*(INPUT!$U$3:$U$3000="BARONA")*(INPUT!$V$3:$V$3000+INPUT!$W$3:$W$3000+INPUT!$X$3:$X$3000+INPUT!$Y$3:$Y$3000))),"")</f>
        <v>16</v>
      </c>
      <c r="GF3" s="42" cm="1">
        <f t="array" ref="GF3">IFERROR(IF(SUMPRODUCT((INPUT!$T$3:$T$3000=46128)*(INPUT!$U$3:$U$3000="BARONA"))=0,"",SUMPRODUCT((INPUT!$T$3:$T$3000=46128)*(INPUT!$U$3:$U$3000="BARONA")*(INPUT!$V$3:$V$3000+INPUT!$W$3:$W$3000+INPUT!$X$3:$X$3000+INPUT!$Y$3:$Y$3000))),"")</f>
        <v>16</v>
      </c>
      <c r="GG3" s="42" cm="1">
        <f t="array" ref="GG3">IFERROR(IF(SUMPRODUCT((INPUT!$T$3:$T$3000=46129)*(INPUT!$U$3:$U$3000="BARONA"))=0,"",SUMPRODUCT((INPUT!$T$3:$T$3000=46129)*(INPUT!$U$3:$U$3000="BARONA")*(INPUT!$V$3:$V$3000+INPUT!$W$3:$W$3000+INPUT!$X$3:$X$3000+INPUT!$Y$3:$Y$3000))),"")</f>
        <v>16</v>
      </c>
      <c r="GH3" s="42" cm="1">
        <f t="array" ref="GH3">IFERROR(IF(SUMPRODUCT((INPUT!$T$3:$T$3000=46130)*(INPUT!$U$3:$U$3000="BARONA"))=0,"",SUMPRODUCT((INPUT!$T$3:$T$3000=46130)*(INPUT!$U$3:$U$3000="BARONA")*(INPUT!$V$3:$V$3000+INPUT!$W$3:$W$3000+INPUT!$X$3:$X$3000+INPUT!$Y$3:$Y$3000))),"")</f>
        <v>20</v>
      </c>
      <c r="GI3" s="42" cm="1">
        <f t="array" ref="GI3">IFERROR(IF(SUMPRODUCT((INPUT!$T$3:$T$3000=46132)*(INPUT!$U$3:$U$3000="BARONA"))=0,"",SUMPRODUCT((INPUT!$T$3:$T$3000=46132)*(INPUT!$U$3:$U$3000="BARONA")*(INPUT!$V$3:$V$3000+INPUT!$W$3:$W$3000+INPUT!$X$3:$X$3000+INPUT!$Y$3:$Y$3000))),"")</f>
        <v>16</v>
      </c>
    </row>
    <row r="4" spans="1:191" x14ac:dyDescent="0.2">
      <c r="A4" t="s">
        <v>53</v>
      </c>
      <c r="B4" s="42" cm="1">
        <f t="array" ref="B4">IFERROR(IF(SUMPRODUCT((INPUT!$T$3:$T$3000=45868)*(INPUT!$U$3:$U$3000="CARLOS"))=0,"",SUMPRODUCT((INPUT!$T$3:$T$3000=45868)*(INPUT!$U$3:$U$3000="CARLOS")*(INPUT!$V$3:$V$3000+INPUT!$W$3:$W$3000+INPUT!$X$3:$X$3000+INPUT!$Y$3:$Y$3000))),"")</f>
        <v>17</v>
      </c>
      <c r="C4" s="42" cm="1">
        <f t="array" ref="C4">IFERROR(IF(SUMPRODUCT((INPUT!$T$3:$T$3000=45869)*(INPUT!$U$3:$U$3000="CARLOS"))=0,"",SUMPRODUCT((INPUT!$T$3:$T$3000=45869)*(INPUT!$U$3:$U$3000="CARLOS")*(INPUT!$V$3:$V$3000+INPUT!$W$3:$W$3000+INPUT!$X$3:$X$3000+INPUT!$Y$3:$Y$3000))),"")</f>
        <v>16</v>
      </c>
      <c r="D4" s="42" cm="1">
        <f t="array" ref="D4">IFERROR(IF(SUMPRODUCT((INPUT!$T$3:$T$3000=45870)*(INPUT!$U$3:$U$3000="CARLOS"))=0,"",SUMPRODUCT((INPUT!$T$3:$T$3000=45870)*(INPUT!$U$3:$U$3000="CARLOS")*(INPUT!$V$3:$V$3000+INPUT!$W$3:$W$3000+INPUT!$X$3:$X$3000+INPUT!$Y$3:$Y$3000))),"")</f>
        <v>16</v>
      </c>
      <c r="E4" s="42" cm="1">
        <f t="array" ref="E4">IFERROR(IF(SUMPRODUCT((INPUT!$T$3:$T$3000=45873)*(INPUT!$U$3:$U$3000="CARLOS"))=0,"",SUMPRODUCT((INPUT!$T$3:$T$3000=45873)*(INPUT!$U$3:$U$3000="CARLOS")*(INPUT!$V$3:$V$3000+INPUT!$W$3:$W$3000+INPUT!$X$3:$X$3000+INPUT!$Y$3:$Y$3000))),"")</f>
        <v>18</v>
      </c>
      <c r="F4" s="42" cm="1">
        <f t="array" ref="F4">IFERROR(IF(SUMPRODUCT((INPUT!$T$3:$T$3000=45874)*(INPUT!$U$3:$U$3000="CARLOS"))=0,"",SUMPRODUCT((INPUT!$T$3:$T$3000=45874)*(INPUT!$U$3:$U$3000="CARLOS")*(INPUT!$V$3:$V$3000+INPUT!$W$3:$W$3000+INPUT!$X$3:$X$3000+INPUT!$Y$3:$Y$3000))),"")</f>
        <v>16</v>
      </c>
      <c r="G4" s="42" cm="1">
        <f t="array" ref="G4">IFERROR(IF(SUMPRODUCT((INPUT!$T$3:$T$3000=45875)*(INPUT!$U$3:$U$3000="CARLOS"))=0,"",SUMPRODUCT((INPUT!$T$3:$T$3000=45875)*(INPUT!$U$3:$U$3000="CARLOS")*(INPUT!$V$3:$V$3000+INPUT!$W$3:$W$3000+INPUT!$X$3:$X$3000+INPUT!$Y$3:$Y$3000))),"")</f>
        <v>15</v>
      </c>
      <c r="H4" s="42" cm="1">
        <f t="array" ref="H4">IFERROR(IF(SUMPRODUCT((INPUT!$T$3:$T$3000=45876)*(INPUT!$U$3:$U$3000="CARLOS"))=0,"",SUMPRODUCT((INPUT!$T$3:$T$3000=45876)*(INPUT!$U$3:$U$3000="CARLOS")*(INPUT!$V$3:$V$3000+INPUT!$W$3:$W$3000+INPUT!$X$3:$X$3000+INPUT!$Y$3:$Y$3000))),"")</f>
        <v>15</v>
      </c>
      <c r="I4" s="42" cm="1">
        <f t="array" ref="I4">IFERROR(IF(SUMPRODUCT((INPUT!$T$3:$T$3000=45877)*(INPUT!$U$3:$U$3000="CARLOS"))=0,"",SUMPRODUCT((INPUT!$T$3:$T$3000=45877)*(INPUT!$U$3:$U$3000="CARLOS")*(INPUT!$V$3:$V$3000+INPUT!$W$3:$W$3000+INPUT!$X$3:$X$3000+INPUT!$Y$3:$Y$3000))),"")</f>
        <v>14</v>
      </c>
      <c r="J4" s="42" cm="1">
        <f t="array" ref="J4">IFERROR(IF(SUMPRODUCT((INPUT!$T$3:$T$3000=45878)*(INPUT!$U$3:$U$3000="CARLOS"))=0,"",SUMPRODUCT((INPUT!$T$3:$T$3000=45878)*(INPUT!$U$3:$U$3000="CARLOS")*(INPUT!$V$3:$V$3000+INPUT!$W$3:$W$3000+INPUT!$X$3:$X$3000+INPUT!$Y$3:$Y$3000))),"")</f>
        <v>14</v>
      </c>
      <c r="K4" s="42" cm="1">
        <f t="array" ref="K4">IFERROR(IF(SUMPRODUCT((INPUT!$T$3:$T$3000=45880)*(INPUT!$U$3:$U$3000="CARLOS"))=0,"",SUMPRODUCT((INPUT!$T$3:$T$3000=45880)*(INPUT!$U$3:$U$3000="CARLOS")*(INPUT!$V$3:$V$3000+INPUT!$W$3:$W$3000+INPUT!$X$3:$X$3000+INPUT!$Y$3:$Y$3000))),"")</f>
        <v>18</v>
      </c>
      <c r="L4" s="42" cm="1">
        <f t="array" ref="L4">IFERROR(IF(SUMPRODUCT((INPUT!$T$3:$T$3000=45881)*(INPUT!$U$3:$U$3000="CARLOS"))=0,"",SUMPRODUCT((INPUT!$T$3:$T$3000=45881)*(INPUT!$U$3:$U$3000="CARLOS")*(INPUT!$V$3:$V$3000+INPUT!$W$3:$W$3000+INPUT!$X$3:$X$3000+INPUT!$Y$3:$Y$3000))),"")</f>
        <v>16</v>
      </c>
      <c r="M4" s="42" cm="1">
        <f t="array" ref="M4">IFERROR(IF(SUMPRODUCT((INPUT!$T$3:$T$3000=45882)*(INPUT!$U$3:$U$3000="CARLOS"))=0,"",SUMPRODUCT((INPUT!$T$3:$T$3000=45882)*(INPUT!$U$3:$U$3000="CARLOS")*(INPUT!$V$3:$V$3000+INPUT!$W$3:$W$3000+INPUT!$X$3:$X$3000+INPUT!$Y$3:$Y$3000))),"")</f>
        <v>16</v>
      </c>
      <c r="N4" s="42" cm="1">
        <f t="array" ref="N4">IFERROR(IF(SUMPRODUCT((INPUT!$T$3:$T$3000=45883)*(INPUT!$U$3:$U$3000="CARLOS"))=0,"",SUMPRODUCT((INPUT!$T$3:$T$3000=45883)*(INPUT!$U$3:$U$3000="CARLOS")*(INPUT!$V$3:$V$3000+INPUT!$W$3:$W$3000+INPUT!$X$3:$X$3000+INPUT!$Y$3:$Y$3000))),"")</f>
        <v>15</v>
      </c>
      <c r="O4" s="42" cm="1">
        <f t="array" ref="O4">IFERROR(IF(SUMPRODUCT((INPUT!$T$3:$T$3000=45884)*(INPUT!$U$3:$U$3000="CARLOS"))=0,"",SUMPRODUCT((INPUT!$T$3:$T$3000=45884)*(INPUT!$U$3:$U$3000="CARLOS")*(INPUT!$V$3:$V$3000+INPUT!$W$3:$W$3000+INPUT!$X$3:$X$3000+INPUT!$Y$3:$Y$3000))),"")</f>
        <v>15</v>
      </c>
      <c r="P4" s="42" cm="1">
        <f t="array" ref="P4">IFERROR(IF(SUMPRODUCT((INPUT!$T$3:$T$3000=45887)*(INPUT!$U$3:$U$3000="CARLOS"))=0,"",SUMPRODUCT((INPUT!$T$3:$T$3000=45887)*(INPUT!$U$3:$U$3000="CARLOS")*(INPUT!$V$3:$V$3000+INPUT!$W$3:$W$3000+INPUT!$X$3:$X$3000+INPUT!$Y$3:$Y$3000))),"")</f>
        <v>17</v>
      </c>
      <c r="Q4" s="42" cm="1">
        <f t="array" ref="Q4">IFERROR(IF(SUMPRODUCT((INPUT!$T$3:$T$3000=45888)*(INPUT!$U$3:$U$3000="CARLOS"))=0,"",SUMPRODUCT((INPUT!$T$3:$T$3000=45888)*(INPUT!$U$3:$U$3000="CARLOS")*(INPUT!$V$3:$V$3000+INPUT!$W$3:$W$3000+INPUT!$X$3:$X$3000+INPUT!$Y$3:$Y$3000))),"")</f>
        <v>16</v>
      </c>
      <c r="R4" s="42" cm="1">
        <f t="array" ref="R4">IFERROR(IF(SUMPRODUCT((INPUT!$T$3:$T$3000=45889)*(INPUT!$U$3:$U$3000="CARLOS"))=0,"",SUMPRODUCT((INPUT!$T$3:$T$3000=45889)*(INPUT!$U$3:$U$3000="CARLOS")*(INPUT!$V$3:$V$3000+INPUT!$W$3:$W$3000+INPUT!$X$3:$X$3000+INPUT!$Y$3:$Y$3000))),"")</f>
        <v>16</v>
      </c>
      <c r="S4" s="42" cm="1">
        <f t="array" ref="S4">IFERROR(IF(SUMPRODUCT((INPUT!$T$3:$T$3000=45890)*(INPUT!$U$3:$U$3000="CARLOS"))=0,"",SUMPRODUCT((INPUT!$T$3:$T$3000=45890)*(INPUT!$U$3:$U$3000="CARLOS")*(INPUT!$V$3:$V$3000+INPUT!$W$3:$W$3000+INPUT!$X$3:$X$3000+INPUT!$Y$3:$Y$3000))),"")</f>
        <v>15</v>
      </c>
      <c r="T4" s="42" cm="1">
        <f t="array" ref="T4">IFERROR(IF(SUMPRODUCT((INPUT!$T$3:$T$3000=45891)*(INPUT!$U$3:$U$3000="CARLOS"))=0,"",SUMPRODUCT((INPUT!$T$3:$T$3000=45891)*(INPUT!$U$3:$U$3000="CARLOS")*(INPUT!$V$3:$V$3000+INPUT!$W$3:$W$3000+INPUT!$X$3:$X$3000+INPUT!$Y$3:$Y$3000))),"")</f>
        <v>15</v>
      </c>
      <c r="U4" s="42" cm="1">
        <f t="array" ref="U4">IFERROR(IF(SUMPRODUCT((INPUT!$T$3:$T$3000=45892)*(INPUT!$U$3:$U$3000="CARLOS"))=0,"",SUMPRODUCT((INPUT!$T$3:$T$3000=45892)*(INPUT!$U$3:$U$3000="CARLOS")*(INPUT!$V$3:$V$3000+INPUT!$W$3:$W$3000+INPUT!$X$3:$X$3000+INPUT!$Y$3:$Y$3000))),"")</f>
        <v>16</v>
      </c>
      <c r="V4" s="42" cm="1">
        <f t="array" ref="V4">IFERROR(IF(SUMPRODUCT((INPUT!$T$3:$T$3000=45893)*(INPUT!$U$3:$U$3000="CARLOS"))=0,"",SUMPRODUCT((INPUT!$T$3:$T$3000=45893)*(INPUT!$U$3:$U$3000="CARLOS")*(INPUT!$V$3:$V$3000+INPUT!$W$3:$W$3000+INPUT!$X$3:$X$3000+INPUT!$Y$3:$Y$3000))),"")</f>
        <v>17</v>
      </c>
      <c r="W4" s="42" cm="1">
        <f t="array" ref="W4">IFERROR(IF(SUMPRODUCT((INPUT!$T$3:$T$3000=45895)*(INPUT!$U$3:$U$3000="CARLOS"))=0,"",SUMPRODUCT((INPUT!$T$3:$T$3000=45895)*(INPUT!$U$3:$U$3000="CARLOS")*(INPUT!$V$3:$V$3000+INPUT!$W$3:$W$3000+INPUT!$X$3:$X$3000+INPUT!$Y$3:$Y$3000))),"")</f>
        <v>17</v>
      </c>
      <c r="X4" s="42" cm="1">
        <f t="array" ref="X4">IFERROR(IF(SUMPRODUCT((INPUT!$T$3:$T$3000=45896)*(INPUT!$U$3:$U$3000="CARLOS"))=0,"",SUMPRODUCT((INPUT!$T$3:$T$3000=45896)*(INPUT!$U$3:$U$3000="CARLOS")*(INPUT!$V$3:$V$3000+INPUT!$W$3:$W$3000+INPUT!$X$3:$X$3000+INPUT!$Y$3:$Y$3000))),"")</f>
        <v>16</v>
      </c>
      <c r="Y4" s="42" cm="1">
        <f t="array" ref="Y4">IFERROR(IF(SUMPRODUCT((INPUT!$T$3:$T$3000=45898)*(INPUT!$U$3:$U$3000="CARLOS"))=0,"",SUMPRODUCT((INPUT!$T$3:$T$3000=45898)*(INPUT!$U$3:$U$3000="CARLOS")*(INPUT!$V$3:$V$3000+INPUT!$W$3:$W$3000+INPUT!$X$3:$X$3000+INPUT!$Y$3:$Y$3000))),"")</f>
        <v>16</v>
      </c>
      <c r="Z4" s="42" cm="1">
        <f t="array" ref="Z4">IFERROR(IF(SUMPRODUCT((INPUT!$T$3:$T$3000=45899)*(INPUT!$U$3:$U$3000="CARLOS"))=0,"",SUMPRODUCT((INPUT!$T$3:$T$3000=45899)*(INPUT!$U$3:$U$3000="CARLOS")*(INPUT!$V$3:$V$3000+INPUT!$W$3:$W$3000+INPUT!$X$3:$X$3000+INPUT!$Y$3:$Y$3000))),"")</f>
        <v>16</v>
      </c>
      <c r="AA4" s="42" cm="1">
        <f t="array" ref="AA4">IFERROR(IF(SUMPRODUCT((INPUT!$T$3:$T$3000=45900)*(INPUT!$U$3:$U$3000="CARLOS"))=0,"",SUMPRODUCT((INPUT!$T$3:$T$3000=45900)*(INPUT!$U$3:$U$3000="CARLOS")*(INPUT!$V$3:$V$3000+INPUT!$W$3:$W$3000+INPUT!$X$3:$X$3000+INPUT!$Y$3:$Y$3000))),"")</f>
        <v>14</v>
      </c>
      <c r="AB4" s="42" cm="1">
        <f t="array" ref="AB4">IFERROR(IF(SUMPRODUCT((INPUT!$T$3:$T$3000=45902)*(INPUT!$U$3:$U$3000="CARLOS"))=0,"",SUMPRODUCT((INPUT!$T$3:$T$3000=45902)*(INPUT!$U$3:$U$3000="CARLOS")*(INPUT!$V$3:$V$3000+INPUT!$W$3:$W$3000+INPUT!$X$3:$X$3000+INPUT!$Y$3:$Y$3000))),"")</f>
        <v>15</v>
      </c>
      <c r="AC4" s="42" cm="1">
        <f t="array" ref="AC4">IFERROR(IF(SUMPRODUCT((INPUT!$T$3:$T$3000=45903)*(INPUT!$U$3:$U$3000="CARLOS"))=0,"",SUMPRODUCT((INPUT!$T$3:$T$3000=45903)*(INPUT!$U$3:$U$3000="CARLOS")*(INPUT!$V$3:$V$3000+INPUT!$W$3:$W$3000+INPUT!$X$3:$X$3000+INPUT!$Y$3:$Y$3000))),"")</f>
        <v>16</v>
      </c>
      <c r="AD4" s="42" cm="1">
        <f t="array" ref="AD4">IFERROR(IF(SUMPRODUCT((INPUT!$T$3:$T$3000=45904)*(INPUT!$U$3:$U$3000="CARLOS"))=0,"",SUMPRODUCT((INPUT!$T$3:$T$3000=45904)*(INPUT!$U$3:$U$3000="CARLOS")*(INPUT!$V$3:$V$3000+INPUT!$W$3:$W$3000+INPUT!$X$3:$X$3000+INPUT!$Y$3:$Y$3000))),"")</f>
        <v>16</v>
      </c>
      <c r="AE4" s="42" cm="1">
        <f t="array" ref="AE4">IFERROR(IF(SUMPRODUCT((INPUT!$T$3:$T$3000=45905)*(INPUT!$U$3:$U$3000="CARLOS"))=0,"",SUMPRODUCT((INPUT!$T$3:$T$3000=45905)*(INPUT!$U$3:$U$3000="CARLOS")*(INPUT!$V$3:$V$3000+INPUT!$W$3:$W$3000+INPUT!$X$3:$X$3000+INPUT!$Y$3:$Y$3000))),"")</f>
        <v>17</v>
      </c>
      <c r="AF4" s="42" cm="1">
        <f t="array" ref="AF4">IFERROR(IF(SUMPRODUCT((INPUT!$T$3:$T$3000=45906)*(INPUT!$U$3:$U$3000="CARLOS"))=0,"",SUMPRODUCT((INPUT!$T$3:$T$3000=45906)*(INPUT!$U$3:$U$3000="CARLOS")*(INPUT!$V$3:$V$3000+INPUT!$W$3:$W$3000+INPUT!$X$3:$X$3000+INPUT!$Y$3:$Y$3000))),"")</f>
        <v>19</v>
      </c>
      <c r="AG4" s="42" cm="1">
        <f t="array" ref="AG4">IFERROR(IF(SUMPRODUCT((INPUT!$T$3:$T$3000=45908)*(INPUT!$U$3:$U$3000="CARLOS"))=0,"",SUMPRODUCT((INPUT!$T$3:$T$3000=45908)*(INPUT!$U$3:$U$3000="CARLOS")*(INPUT!$V$3:$V$3000+INPUT!$W$3:$W$3000+INPUT!$X$3:$X$3000+INPUT!$Y$3:$Y$3000))),"")</f>
        <v>17</v>
      </c>
      <c r="AH4" s="42" cm="1">
        <f t="array" ref="AH4">IFERROR(IF(SUMPRODUCT((INPUT!$T$3:$T$3000=45909)*(INPUT!$U$3:$U$3000="CARLOS"))=0,"",SUMPRODUCT((INPUT!$T$3:$T$3000=45909)*(INPUT!$U$3:$U$3000="CARLOS")*(INPUT!$V$3:$V$3000+INPUT!$W$3:$W$3000+INPUT!$X$3:$X$3000+INPUT!$Y$3:$Y$3000))),"")</f>
        <v>18</v>
      </c>
      <c r="AI4" s="42" cm="1">
        <f t="array" ref="AI4">IFERROR(IF(SUMPRODUCT((INPUT!$T$3:$T$3000=45911)*(INPUT!$U$3:$U$3000="CARLOS"))=0,"",SUMPRODUCT((INPUT!$T$3:$T$3000=45911)*(INPUT!$U$3:$U$3000="CARLOS")*(INPUT!$V$3:$V$3000+INPUT!$W$3:$W$3000+INPUT!$X$3:$X$3000+INPUT!$Y$3:$Y$3000))),"")</f>
        <v>19</v>
      </c>
      <c r="AJ4" s="42" cm="1">
        <f t="array" ref="AJ4">IFERROR(IF(SUMPRODUCT((INPUT!$T$3:$T$3000=45912)*(INPUT!$U$3:$U$3000="CARLOS"))=0,"",SUMPRODUCT((INPUT!$T$3:$T$3000=45912)*(INPUT!$U$3:$U$3000="CARLOS")*(INPUT!$V$3:$V$3000+INPUT!$W$3:$W$3000+INPUT!$X$3:$X$3000+INPUT!$Y$3:$Y$3000))),"")</f>
        <v>18</v>
      </c>
      <c r="AK4" s="42" cm="1">
        <f t="array" ref="AK4">IFERROR(IF(SUMPRODUCT((INPUT!$T$3:$T$3000=45913)*(INPUT!$U$3:$U$3000="CARLOS"))=0,"",SUMPRODUCT((INPUT!$T$3:$T$3000=45913)*(INPUT!$U$3:$U$3000="CARLOS")*(INPUT!$V$3:$V$3000+INPUT!$W$3:$W$3000+INPUT!$X$3:$X$3000+INPUT!$Y$3:$Y$3000))),"")</f>
        <v>18</v>
      </c>
      <c r="AL4" s="42" cm="1">
        <f t="array" ref="AL4">IFERROR(IF(SUMPRODUCT((INPUT!$T$3:$T$3000=45915)*(INPUT!$U$3:$U$3000="CARLOS"))=0,"",SUMPRODUCT((INPUT!$T$3:$T$3000=45915)*(INPUT!$U$3:$U$3000="CARLOS")*(INPUT!$V$3:$V$3000+INPUT!$W$3:$W$3000+INPUT!$X$3:$X$3000+INPUT!$Y$3:$Y$3000))),"")</f>
        <v>15</v>
      </c>
      <c r="AM4" s="42" cm="1">
        <f t="array" ref="AM4">IFERROR(IF(SUMPRODUCT((INPUT!$T$3:$T$3000=45916)*(INPUT!$U$3:$U$3000="CARLOS"))=0,"",SUMPRODUCT((INPUT!$T$3:$T$3000=45916)*(INPUT!$U$3:$U$3000="CARLOS")*(INPUT!$V$3:$V$3000+INPUT!$W$3:$W$3000+INPUT!$X$3:$X$3000+INPUT!$Y$3:$Y$3000))),"")</f>
        <v>15</v>
      </c>
      <c r="AN4" s="42" cm="1">
        <f t="array" ref="AN4">IFERROR(IF(SUMPRODUCT((INPUT!$T$3:$T$3000=45917)*(INPUT!$U$3:$U$3000="CARLOS"))=0,"",SUMPRODUCT((INPUT!$T$3:$T$3000=45917)*(INPUT!$U$3:$U$3000="CARLOS")*(INPUT!$V$3:$V$3000+INPUT!$W$3:$W$3000+INPUT!$X$3:$X$3000+INPUT!$Y$3:$Y$3000))),"")</f>
        <v>17</v>
      </c>
      <c r="AO4" s="42" cm="1">
        <f t="array" ref="AO4">IFERROR(IF(SUMPRODUCT((INPUT!$T$3:$T$3000=45918)*(INPUT!$U$3:$U$3000="CARLOS"))=0,"",SUMPRODUCT((INPUT!$T$3:$T$3000=45918)*(INPUT!$U$3:$U$3000="CARLOS")*(INPUT!$V$3:$V$3000+INPUT!$W$3:$W$3000+INPUT!$X$3:$X$3000+INPUT!$Y$3:$Y$3000))),"")</f>
        <v>15</v>
      </c>
      <c r="AP4" s="42" cm="1">
        <f t="array" ref="AP4">IFERROR(IF(SUMPRODUCT((INPUT!$T$3:$T$3000=45919)*(INPUT!$U$3:$U$3000="CARLOS"))=0,"",SUMPRODUCT((INPUT!$T$3:$T$3000=45919)*(INPUT!$U$3:$U$3000="CARLOS")*(INPUT!$V$3:$V$3000+INPUT!$W$3:$W$3000+INPUT!$X$3:$X$3000+INPUT!$Y$3:$Y$3000))),"")</f>
        <v>16</v>
      </c>
      <c r="AQ4" s="42" cm="1">
        <f t="array" ref="AQ4">IFERROR(IF(SUMPRODUCT((INPUT!$T$3:$T$3000=45922)*(INPUT!$U$3:$U$3000="CARLOS"))=0,"",SUMPRODUCT((INPUT!$T$3:$T$3000=45922)*(INPUT!$U$3:$U$3000="CARLOS")*(INPUT!$V$3:$V$3000+INPUT!$W$3:$W$3000+INPUT!$X$3:$X$3000+INPUT!$Y$3:$Y$3000))),"")</f>
        <v>20</v>
      </c>
      <c r="AR4" s="42" cm="1">
        <f t="array" ref="AR4">IFERROR(IF(SUMPRODUCT((INPUT!$T$3:$T$3000=45923)*(INPUT!$U$3:$U$3000="CARLOS"))=0,"",SUMPRODUCT((INPUT!$T$3:$T$3000=45923)*(INPUT!$U$3:$U$3000="CARLOS")*(INPUT!$V$3:$V$3000+INPUT!$W$3:$W$3000+INPUT!$X$3:$X$3000+INPUT!$Y$3:$Y$3000))),"")</f>
        <v>16</v>
      </c>
      <c r="AS4" s="42" cm="1">
        <f t="array" ref="AS4">IFERROR(IF(SUMPRODUCT((INPUT!$T$3:$T$3000=45924)*(INPUT!$U$3:$U$3000="CARLOS"))=0,"",SUMPRODUCT((INPUT!$T$3:$T$3000=45924)*(INPUT!$U$3:$U$3000="CARLOS")*(INPUT!$V$3:$V$3000+INPUT!$W$3:$W$3000+INPUT!$X$3:$X$3000+INPUT!$Y$3:$Y$3000))),"")</f>
        <v>17</v>
      </c>
      <c r="AT4" s="42" cm="1">
        <f t="array" ref="AT4">IFERROR(IF(SUMPRODUCT((INPUT!$T$3:$T$3000=45925)*(INPUT!$U$3:$U$3000="CARLOS"))=0,"",SUMPRODUCT((INPUT!$T$3:$T$3000=45925)*(INPUT!$U$3:$U$3000="CARLOS")*(INPUT!$V$3:$V$3000+INPUT!$W$3:$W$3000+INPUT!$X$3:$X$3000+INPUT!$Y$3:$Y$3000))),"")</f>
        <v>16</v>
      </c>
      <c r="AU4" s="42" cm="1">
        <f t="array" ref="AU4">IFERROR(IF(SUMPRODUCT((INPUT!$T$3:$T$3000=45926)*(INPUT!$U$3:$U$3000="CARLOS"))=0,"",SUMPRODUCT((INPUT!$T$3:$T$3000=45926)*(INPUT!$U$3:$U$3000="CARLOS")*(INPUT!$V$3:$V$3000+INPUT!$W$3:$W$3000+INPUT!$X$3:$X$3000+INPUT!$Y$3:$Y$3000))),"")</f>
        <v>16</v>
      </c>
      <c r="AV4" s="42" cm="1">
        <f t="array" ref="AV4">IFERROR(IF(SUMPRODUCT((INPUT!$T$3:$T$3000=45927)*(INPUT!$U$3:$U$3000="CARLOS"))=0,"",SUMPRODUCT((INPUT!$T$3:$T$3000=45927)*(INPUT!$U$3:$U$3000="CARLOS")*(INPUT!$V$3:$V$3000+INPUT!$W$3:$W$3000+INPUT!$X$3:$X$3000+INPUT!$Y$3:$Y$3000))),"")</f>
        <v>17</v>
      </c>
      <c r="AW4" s="42" cm="1">
        <f t="array" ref="AW4">IFERROR(IF(SUMPRODUCT((INPUT!$T$3:$T$3000=45929)*(INPUT!$U$3:$U$3000="CARLOS"))=0,"",SUMPRODUCT((INPUT!$T$3:$T$3000=45929)*(INPUT!$U$3:$U$3000="CARLOS")*(INPUT!$V$3:$V$3000+INPUT!$W$3:$W$3000+INPUT!$X$3:$X$3000+INPUT!$Y$3:$Y$3000))),"")</f>
        <v>15</v>
      </c>
      <c r="AX4" s="42" cm="1">
        <f t="array" ref="AX4">IFERROR(IF(SUMPRODUCT((INPUT!$T$3:$T$3000=45930)*(INPUT!$U$3:$U$3000="CARLOS"))=0,"",SUMPRODUCT((INPUT!$T$3:$T$3000=45930)*(INPUT!$U$3:$U$3000="CARLOS")*(INPUT!$V$3:$V$3000+INPUT!$W$3:$W$3000+INPUT!$X$3:$X$3000+INPUT!$Y$3:$Y$3000))),"")</f>
        <v>16</v>
      </c>
      <c r="AY4" s="42" cm="1">
        <f t="array" ref="AY4">IFERROR(IF(SUMPRODUCT((INPUT!$T$3:$T$3000=45931)*(INPUT!$U$3:$U$3000="CARLOS"))=0,"",SUMPRODUCT((INPUT!$T$3:$T$3000=45931)*(INPUT!$U$3:$U$3000="CARLOS")*(INPUT!$V$3:$V$3000+INPUT!$W$3:$W$3000+INPUT!$X$3:$X$3000+INPUT!$Y$3:$Y$3000))),"")</f>
        <v>17</v>
      </c>
      <c r="AZ4" s="42" cm="1">
        <f t="array" ref="AZ4">IFERROR(IF(SUMPRODUCT((INPUT!$T$3:$T$3000=45932)*(INPUT!$U$3:$U$3000="CARLOS"))=0,"",SUMPRODUCT((INPUT!$T$3:$T$3000=45932)*(INPUT!$U$3:$U$3000="CARLOS")*(INPUT!$V$3:$V$3000+INPUT!$W$3:$W$3000+INPUT!$X$3:$X$3000+INPUT!$Y$3:$Y$3000))),"")</f>
        <v>17</v>
      </c>
      <c r="BA4" s="42" cm="1">
        <f t="array" ref="BA4">IFERROR(IF(SUMPRODUCT((INPUT!$T$3:$T$3000=45933)*(INPUT!$U$3:$U$3000="CARLOS"))=0,"",SUMPRODUCT((INPUT!$T$3:$T$3000=45933)*(INPUT!$U$3:$U$3000="CARLOS")*(INPUT!$V$3:$V$3000+INPUT!$W$3:$W$3000+INPUT!$X$3:$X$3000+INPUT!$Y$3:$Y$3000))),"")</f>
        <v>17</v>
      </c>
      <c r="BB4" s="42" cm="1">
        <f t="array" ref="BB4">IFERROR(IF(SUMPRODUCT((INPUT!$T$3:$T$3000=45934)*(INPUT!$U$3:$U$3000="CARLOS"))=0,"",SUMPRODUCT((INPUT!$T$3:$T$3000=45934)*(INPUT!$U$3:$U$3000="CARLOS")*(INPUT!$V$3:$V$3000+INPUT!$W$3:$W$3000+INPUT!$X$3:$X$3000+INPUT!$Y$3:$Y$3000))),"")</f>
        <v>19</v>
      </c>
      <c r="BC4" s="42" cm="1">
        <f t="array" ref="BC4">IFERROR(IF(SUMPRODUCT((INPUT!$T$3:$T$3000=45936)*(INPUT!$U$3:$U$3000="CARLOS"))=0,"",SUMPRODUCT((INPUT!$T$3:$T$3000=45936)*(INPUT!$U$3:$U$3000="CARLOS")*(INPUT!$V$3:$V$3000+INPUT!$W$3:$W$3000+INPUT!$X$3:$X$3000+INPUT!$Y$3:$Y$3000))),"")</f>
        <v>16</v>
      </c>
      <c r="BD4" s="42" cm="1">
        <f t="array" ref="BD4">IFERROR(IF(SUMPRODUCT((INPUT!$T$3:$T$3000=45937)*(INPUT!$U$3:$U$3000="CARLOS"))=0,"",SUMPRODUCT((INPUT!$T$3:$T$3000=45937)*(INPUT!$U$3:$U$3000="CARLOS")*(INPUT!$V$3:$V$3000+INPUT!$W$3:$W$3000+INPUT!$X$3:$X$3000+INPUT!$Y$3:$Y$3000))),"")</f>
        <v>16</v>
      </c>
      <c r="BE4" s="42" cm="1">
        <f t="array" ref="BE4">IFERROR(IF(SUMPRODUCT((INPUT!$T$3:$T$3000=45938)*(INPUT!$U$3:$U$3000="CARLOS"))=0,"",SUMPRODUCT((INPUT!$T$3:$T$3000=45938)*(INPUT!$U$3:$U$3000="CARLOS")*(INPUT!$V$3:$V$3000+INPUT!$W$3:$W$3000+INPUT!$X$3:$X$3000+INPUT!$Y$3:$Y$3000))),"")</f>
        <v>17</v>
      </c>
      <c r="BF4" s="42" cm="1">
        <f t="array" ref="BF4">IFERROR(IF(SUMPRODUCT((INPUT!$T$3:$T$3000=45940)*(INPUT!$U$3:$U$3000="CARLOS"))=0,"",SUMPRODUCT((INPUT!$T$3:$T$3000=45940)*(INPUT!$U$3:$U$3000="CARLOS")*(INPUT!$V$3:$V$3000+INPUT!$W$3:$W$3000+INPUT!$X$3:$X$3000+INPUT!$Y$3:$Y$3000))),"")</f>
        <v>19</v>
      </c>
      <c r="BG4" s="42" cm="1">
        <f t="array" ref="BG4">IFERROR(IF(SUMPRODUCT((INPUT!$T$3:$T$3000=45941)*(INPUT!$U$3:$U$3000="CARLOS"))=0,"",SUMPRODUCT((INPUT!$T$3:$T$3000=45941)*(INPUT!$U$3:$U$3000="CARLOS")*(INPUT!$V$3:$V$3000+INPUT!$W$3:$W$3000+INPUT!$X$3:$X$3000+INPUT!$Y$3:$Y$3000))),"")</f>
        <v>18</v>
      </c>
      <c r="BH4" s="42" cm="1">
        <f t="array" ref="BH4">IFERROR(IF(SUMPRODUCT((INPUT!$T$3:$T$3000=45942)*(INPUT!$U$3:$U$3000="CARLOS"))=0,"",SUMPRODUCT((INPUT!$T$3:$T$3000=45942)*(INPUT!$U$3:$U$3000="CARLOS")*(INPUT!$V$3:$V$3000+INPUT!$W$3:$W$3000+INPUT!$X$3:$X$3000+INPUT!$Y$3:$Y$3000))),"")</f>
        <v>20</v>
      </c>
      <c r="BI4" s="42" cm="1">
        <f t="array" ref="BI4">IFERROR(IF(SUMPRODUCT((INPUT!$T$3:$T$3000=45945)*(INPUT!$U$3:$U$3000="CARLOS"))=0,"",SUMPRODUCT((INPUT!$T$3:$T$3000=45945)*(INPUT!$U$3:$U$3000="CARLOS")*(INPUT!$V$3:$V$3000+INPUT!$W$3:$W$3000+INPUT!$X$3:$X$3000+INPUT!$Y$3:$Y$3000))),"")</f>
        <v>16</v>
      </c>
      <c r="BJ4" s="42" cm="1">
        <f t="array" ref="BJ4">IFERROR(IF(SUMPRODUCT((INPUT!$T$3:$T$3000=45946)*(INPUT!$U$3:$U$3000="CARLOS"))=0,"",SUMPRODUCT((INPUT!$T$3:$T$3000=45946)*(INPUT!$U$3:$U$3000="CARLOS")*(INPUT!$V$3:$V$3000+INPUT!$W$3:$W$3000+INPUT!$X$3:$X$3000+INPUT!$Y$3:$Y$3000))),"")</f>
        <v>15</v>
      </c>
      <c r="BK4" s="42" cm="1">
        <f t="array" ref="BK4">IFERROR(IF(SUMPRODUCT((INPUT!$T$3:$T$3000=45947)*(INPUT!$U$3:$U$3000="CARLOS"))=0,"",SUMPRODUCT((INPUT!$T$3:$T$3000=45947)*(INPUT!$U$3:$U$3000="CARLOS")*(INPUT!$V$3:$V$3000+INPUT!$W$3:$W$3000+INPUT!$X$3:$X$3000+INPUT!$Y$3:$Y$3000))),"")</f>
        <v>14</v>
      </c>
      <c r="BL4" s="42" cm="1">
        <f t="array" ref="BL4">IFERROR(IF(SUMPRODUCT((INPUT!$T$3:$T$3000=45950)*(INPUT!$U$3:$U$3000="CARLOS"))=0,"",SUMPRODUCT((INPUT!$T$3:$T$3000=45950)*(INPUT!$U$3:$U$3000="CARLOS")*(INPUT!$V$3:$V$3000+INPUT!$W$3:$W$3000+INPUT!$X$3:$X$3000+INPUT!$Y$3:$Y$3000))),"")</f>
        <v>17</v>
      </c>
      <c r="BM4" s="42" cm="1">
        <f t="array" ref="BM4">IFERROR(IF(SUMPRODUCT((INPUT!$T$3:$T$3000=45951)*(INPUT!$U$3:$U$3000="CARLOS"))=0,"",SUMPRODUCT((INPUT!$T$3:$T$3000=45951)*(INPUT!$U$3:$U$3000="CARLOS")*(INPUT!$V$3:$V$3000+INPUT!$W$3:$W$3000+INPUT!$X$3:$X$3000+INPUT!$Y$3:$Y$3000))),"")</f>
        <v>15</v>
      </c>
      <c r="BN4" s="42" cm="1">
        <f t="array" ref="BN4">IFERROR(IF(SUMPRODUCT((INPUT!$T$3:$T$3000=45952)*(INPUT!$U$3:$U$3000="CARLOS"))=0,"",SUMPRODUCT((INPUT!$T$3:$T$3000=45952)*(INPUT!$U$3:$U$3000="CARLOS")*(INPUT!$V$3:$V$3000+INPUT!$W$3:$W$3000+INPUT!$X$3:$X$3000+INPUT!$Y$3:$Y$3000))),"")</f>
        <v>16</v>
      </c>
      <c r="BO4" s="42" cm="1">
        <f t="array" ref="BO4">IFERROR(IF(SUMPRODUCT((INPUT!$T$3:$T$3000=45953)*(INPUT!$U$3:$U$3000="CARLOS"))=0,"",SUMPRODUCT((INPUT!$T$3:$T$3000=45953)*(INPUT!$U$3:$U$3000="CARLOS")*(INPUT!$V$3:$V$3000+INPUT!$W$3:$W$3000+INPUT!$X$3:$X$3000+INPUT!$Y$3:$Y$3000))),"")</f>
        <v>16</v>
      </c>
      <c r="BP4" s="42" cm="1">
        <f t="array" ref="BP4">IFERROR(IF(SUMPRODUCT((INPUT!$T$3:$T$3000=45954)*(INPUT!$U$3:$U$3000="CARLOS"))=0,"",SUMPRODUCT((INPUT!$T$3:$T$3000=45954)*(INPUT!$U$3:$U$3000="CARLOS")*(INPUT!$V$3:$V$3000+INPUT!$W$3:$W$3000+INPUT!$X$3:$X$3000+INPUT!$Y$3:$Y$3000))),"")</f>
        <v>16</v>
      </c>
      <c r="BQ4" s="42" cm="1">
        <f t="array" ref="BQ4">IFERROR(IF(SUMPRODUCT((INPUT!$T$3:$T$3000=45955)*(INPUT!$U$3:$U$3000="CARLOS"))=0,"",SUMPRODUCT((INPUT!$T$3:$T$3000=45955)*(INPUT!$U$3:$U$3000="CARLOS")*(INPUT!$V$3:$V$3000+INPUT!$W$3:$W$3000+INPUT!$X$3:$X$3000+INPUT!$Y$3:$Y$3000))),"")</f>
        <v>19</v>
      </c>
      <c r="BR4" s="42" cm="1">
        <f t="array" ref="BR4">IFERROR(IF(SUMPRODUCT((INPUT!$T$3:$T$3000=45958)*(INPUT!$U$3:$U$3000="CARLOS"))=0,"",SUMPRODUCT((INPUT!$T$3:$T$3000=45958)*(INPUT!$U$3:$U$3000="CARLOS")*(INPUT!$V$3:$V$3000+INPUT!$W$3:$W$3000+INPUT!$X$3:$X$3000+INPUT!$Y$3:$Y$3000))),"")</f>
        <v>16</v>
      </c>
      <c r="BS4" s="42" cm="1">
        <f t="array" ref="BS4">IFERROR(IF(SUMPRODUCT((INPUT!$T$3:$T$3000=45959)*(INPUT!$U$3:$U$3000="CARLOS"))=0,"",SUMPRODUCT((INPUT!$T$3:$T$3000=45959)*(INPUT!$U$3:$U$3000="CARLOS")*(INPUT!$V$3:$V$3000+INPUT!$W$3:$W$3000+INPUT!$X$3:$X$3000+INPUT!$Y$3:$Y$3000))),"")</f>
        <v>16</v>
      </c>
      <c r="BT4" s="42" cm="1">
        <f t="array" ref="BT4">IFERROR(IF(SUMPRODUCT((INPUT!$T$3:$T$3000=45960)*(INPUT!$U$3:$U$3000="CARLOS"))=0,"",SUMPRODUCT((INPUT!$T$3:$T$3000=45960)*(INPUT!$U$3:$U$3000="CARLOS")*(INPUT!$V$3:$V$3000+INPUT!$W$3:$W$3000+INPUT!$X$3:$X$3000+INPUT!$Y$3:$Y$3000))),"")</f>
        <v>16</v>
      </c>
      <c r="BU4" s="42" cm="1">
        <f t="array" ref="BU4">IFERROR(IF(SUMPRODUCT((INPUT!$T$3:$T$3000=45961)*(INPUT!$U$3:$U$3000="CARLOS"))=0,"",SUMPRODUCT((INPUT!$T$3:$T$3000=45961)*(INPUT!$U$3:$U$3000="CARLOS")*(INPUT!$V$3:$V$3000+INPUT!$W$3:$W$3000+INPUT!$X$3:$X$3000+INPUT!$Y$3:$Y$3000))),"")</f>
        <v>16</v>
      </c>
      <c r="BV4" s="42" cm="1">
        <f t="array" ref="BV4">IFERROR(IF(SUMPRODUCT((INPUT!$T$3:$T$3000=45964)*(INPUT!$U$3:$U$3000="CARLOS"))=0,"",SUMPRODUCT((INPUT!$T$3:$T$3000=45964)*(INPUT!$U$3:$U$3000="CARLOS")*(INPUT!$V$3:$V$3000+INPUT!$W$3:$W$3000+INPUT!$X$3:$X$3000+INPUT!$Y$3:$Y$3000))),"")</f>
        <v>17</v>
      </c>
      <c r="BW4" s="42" cm="1">
        <f t="array" ref="BW4">IFERROR(IF(SUMPRODUCT((INPUT!$T$3:$T$3000=45965)*(INPUT!$U$3:$U$3000="CARLOS"))=0,"",SUMPRODUCT((INPUT!$T$3:$T$3000=45965)*(INPUT!$U$3:$U$3000="CARLOS")*(INPUT!$V$3:$V$3000+INPUT!$W$3:$W$3000+INPUT!$X$3:$X$3000+INPUT!$Y$3:$Y$3000))),"")</f>
        <v>17</v>
      </c>
      <c r="BX4" s="42" cm="1">
        <f t="array" ref="BX4">IFERROR(IF(SUMPRODUCT((INPUT!$T$3:$T$3000=45966)*(INPUT!$U$3:$U$3000="CARLOS"))=0,"",SUMPRODUCT((INPUT!$T$3:$T$3000=45966)*(INPUT!$U$3:$U$3000="CARLOS")*(INPUT!$V$3:$V$3000+INPUT!$W$3:$W$3000+INPUT!$X$3:$X$3000+INPUT!$Y$3:$Y$3000))),"")</f>
        <v>14</v>
      </c>
      <c r="BY4" s="42" cm="1">
        <f t="array" ref="BY4">IFERROR(IF(SUMPRODUCT((INPUT!$T$3:$T$3000=45967)*(INPUT!$U$3:$U$3000="CARLOS"))=0,"",SUMPRODUCT((INPUT!$T$3:$T$3000=45967)*(INPUT!$U$3:$U$3000="CARLOS")*(INPUT!$V$3:$V$3000+INPUT!$W$3:$W$3000+INPUT!$X$3:$X$3000+INPUT!$Y$3:$Y$3000))),"")</f>
        <v>17</v>
      </c>
      <c r="BZ4" s="42" cm="1">
        <f t="array" ref="BZ4">IFERROR(IF(SUMPRODUCT((INPUT!$T$3:$T$3000=45968)*(INPUT!$U$3:$U$3000="CARLOS"))=0,"",SUMPRODUCT((INPUT!$T$3:$T$3000=45968)*(INPUT!$U$3:$U$3000="CARLOS")*(INPUT!$V$3:$V$3000+INPUT!$W$3:$W$3000+INPUT!$X$3:$X$3000+INPUT!$Y$3:$Y$3000))),"")</f>
        <v>18</v>
      </c>
      <c r="CA4" s="42" cm="1">
        <f t="array" ref="CA4">IFERROR(IF(SUMPRODUCT((INPUT!$T$3:$T$3000=45971)*(INPUT!$U$3:$U$3000="CARLOS"))=0,"",SUMPRODUCT((INPUT!$T$3:$T$3000=45971)*(INPUT!$U$3:$U$3000="CARLOS")*(INPUT!$V$3:$V$3000+INPUT!$W$3:$W$3000+INPUT!$X$3:$X$3000+INPUT!$Y$3:$Y$3000))),"")</f>
        <v>18</v>
      </c>
      <c r="CB4" s="42" cm="1">
        <f t="array" ref="CB4">IFERROR(IF(SUMPRODUCT((INPUT!$T$3:$T$3000=45972)*(INPUT!$U$3:$U$3000="CARLOS"))=0,"",SUMPRODUCT((INPUT!$T$3:$T$3000=45972)*(INPUT!$U$3:$U$3000="CARLOS")*(INPUT!$V$3:$V$3000+INPUT!$W$3:$W$3000+INPUT!$X$3:$X$3000+INPUT!$Y$3:$Y$3000))),"")</f>
        <v>16</v>
      </c>
      <c r="CC4" s="42" cm="1">
        <f t="array" ref="CC4">IFERROR(IF(SUMPRODUCT((INPUT!$T$3:$T$3000=45974)*(INPUT!$U$3:$U$3000="CARLOS"))=0,"",SUMPRODUCT((INPUT!$T$3:$T$3000=45974)*(INPUT!$U$3:$U$3000="CARLOS")*(INPUT!$V$3:$V$3000+INPUT!$W$3:$W$3000+INPUT!$X$3:$X$3000+INPUT!$Y$3:$Y$3000))),"")</f>
        <v>16</v>
      </c>
      <c r="CD4" s="42" cm="1">
        <f t="array" ref="CD4">IFERROR(IF(SUMPRODUCT((INPUT!$T$3:$T$3000=45975)*(INPUT!$U$3:$U$3000="CARLOS"))=0,"",SUMPRODUCT((INPUT!$T$3:$T$3000=45975)*(INPUT!$U$3:$U$3000="CARLOS")*(INPUT!$V$3:$V$3000+INPUT!$W$3:$W$3000+INPUT!$X$3:$X$3000+INPUT!$Y$3:$Y$3000))),"")</f>
        <v>16</v>
      </c>
      <c r="CE4" s="42" cm="1">
        <f t="array" ref="CE4">IFERROR(IF(SUMPRODUCT((INPUT!$T$3:$T$3000=45976)*(INPUT!$U$3:$U$3000="CARLOS"))=0,"",SUMPRODUCT((INPUT!$T$3:$T$3000=45976)*(INPUT!$U$3:$U$3000="CARLOS")*(INPUT!$V$3:$V$3000+INPUT!$W$3:$W$3000+INPUT!$X$3:$X$3000+INPUT!$Y$3:$Y$3000))),"")</f>
        <v>20</v>
      </c>
      <c r="CF4" s="42" cm="1">
        <f t="array" ref="CF4">IFERROR(IF(SUMPRODUCT((INPUT!$T$3:$T$3000=45978)*(INPUT!$U$3:$U$3000="CARLOS"))=0,"",SUMPRODUCT((INPUT!$T$3:$T$3000=45978)*(INPUT!$U$3:$U$3000="CARLOS")*(INPUT!$V$3:$V$3000+INPUT!$W$3:$W$3000+INPUT!$X$3:$X$3000+INPUT!$Y$3:$Y$3000))),"")</f>
        <v>16</v>
      </c>
      <c r="CG4" s="42" cm="1">
        <f t="array" ref="CG4">IFERROR(IF(SUMPRODUCT((INPUT!$T$3:$T$3000=45979)*(INPUT!$U$3:$U$3000="CARLOS"))=0,"",SUMPRODUCT((INPUT!$T$3:$T$3000=45979)*(INPUT!$U$3:$U$3000="CARLOS")*(INPUT!$V$3:$V$3000+INPUT!$W$3:$W$3000+INPUT!$X$3:$X$3000+INPUT!$Y$3:$Y$3000))),"")</f>
        <v>17</v>
      </c>
      <c r="CH4" s="42" cm="1">
        <f t="array" ref="CH4">IFERROR(IF(SUMPRODUCT((INPUT!$T$3:$T$3000=45980)*(INPUT!$U$3:$U$3000="CARLOS"))=0,"",SUMPRODUCT((INPUT!$T$3:$T$3000=45980)*(INPUT!$U$3:$U$3000="CARLOS")*(INPUT!$V$3:$V$3000+INPUT!$W$3:$W$3000+INPUT!$X$3:$X$3000+INPUT!$Y$3:$Y$3000))),"")</f>
        <v>16</v>
      </c>
      <c r="CI4" s="42" cm="1">
        <f t="array" ref="CI4">IFERROR(IF(SUMPRODUCT((INPUT!$T$3:$T$3000=45982)*(INPUT!$U$3:$U$3000="CARLOS"))=0,"",SUMPRODUCT((INPUT!$T$3:$T$3000=45982)*(INPUT!$U$3:$U$3000="CARLOS")*(INPUT!$V$3:$V$3000+INPUT!$W$3:$W$3000+INPUT!$X$3:$X$3000+INPUT!$Y$3:$Y$3000))),"")</f>
        <v>14</v>
      </c>
      <c r="CJ4" s="42" cm="1">
        <f t="array" ref="CJ4">IFERROR(IF(SUMPRODUCT((INPUT!$T$3:$T$3000=45983)*(INPUT!$U$3:$U$3000="CARLOS"))=0,"",SUMPRODUCT((INPUT!$T$3:$T$3000=45983)*(INPUT!$U$3:$U$3000="CARLOS")*(INPUT!$V$3:$V$3000+INPUT!$W$3:$W$3000+INPUT!$X$3:$X$3000+INPUT!$Y$3:$Y$3000))),"")</f>
        <v>16</v>
      </c>
      <c r="CK4" s="42" cm="1">
        <f t="array" ref="CK4">IFERROR(IF(SUMPRODUCT((INPUT!$T$3:$T$3000=45985)*(INPUT!$U$3:$U$3000="CARLOS"))=0,"",SUMPRODUCT((INPUT!$T$3:$T$3000=45985)*(INPUT!$U$3:$U$3000="CARLOS")*(INPUT!$V$3:$V$3000+INPUT!$W$3:$W$3000+INPUT!$X$3:$X$3000+INPUT!$Y$3:$Y$3000))),"")</f>
        <v>14</v>
      </c>
      <c r="CL4" s="42" cm="1">
        <f t="array" ref="CL4">IFERROR(IF(SUMPRODUCT((INPUT!$T$3:$T$3000=45986)*(INPUT!$U$3:$U$3000="CARLOS"))=0,"",SUMPRODUCT((INPUT!$T$3:$T$3000=45986)*(INPUT!$U$3:$U$3000="CARLOS")*(INPUT!$V$3:$V$3000+INPUT!$W$3:$W$3000+INPUT!$X$3:$X$3000+INPUT!$Y$3:$Y$3000))),"")</f>
        <v>14</v>
      </c>
      <c r="CM4" s="42" cm="1">
        <f t="array" ref="CM4">IFERROR(IF(SUMPRODUCT((INPUT!$T$3:$T$3000=45987)*(INPUT!$U$3:$U$3000="CARLOS"))=0,"",SUMPRODUCT((INPUT!$T$3:$T$3000=45987)*(INPUT!$U$3:$U$3000="CARLOS")*(INPUT!$V$3:$V$3000+INPUT!$W$3:$W$3000+INPUT!$X$3:$X$3000+INPUT!$Y$3:$Y$3000))),"")</f>
        <v>16</v>
      </c>
      <c r="CN4" s="42" cm="1">
        <f t="array" ref="CN4">IFERROR(IF(SUMPRODUCT((INPUT!$T$3:$T$3000=45988)*(INPUT!$U$3:$U$3000="CARLOS"))=0,"",SUMPRODUCT((INPUT!$T$3:$T$3000=45988)*(INPUT!$U$3:$U$3000="CARLOS")*(INPUT!$V$3:$V$3000+INPUT!$W$3:$W$3000+INPUT!$X$3:$X$3000+INPUT!$Y$3:$Y$3000))),"")</f>
        <v>14</v>
      </c>
      <c r="CO4" s="42" t="str" cm="1">
        <f t="array" ref="CO4">IFERROR(IF(SUMPRODUCT((INPUT!$T$3:$T$3000=45989)*(INPUT!$U$3:$U$3000="CARLOS"))=0,"",SUMPRODUCT((INPUT!$T$3:$T$3000=45989)*(INPUT!$U$3:$U$3000="CARLOS")*(INPUT!$V$3:$V$3000+INPUT!$W$3:$W$3000+INPUT!$X$3:$X$3000+INPUT!$Y$3:$Y$3000))),"")</f>
        <v/>
      </c>
      <c r="CP4" s="42" cm="1">
        <f t="array" ref="CP4">IFERROR(IF(SUMPRODUCT((INPUT!$T$3:$T$3000=45992)*(INPUT!$U$3:$U$3000="CARLOS"))=0,"",SUMPRODUCT((INPUT!$T$3:$T$3000=45992)*(INPUT!$U$3:$U$3000="CARLOS")*(INPUT!$V$3:$V$3000+INPUT!$W$3:$W$3000+INPUT!$X$3:$X$3000+INPUT!$Y$3:$Y$3000))),"")</f>
        <v>16</v>
      </c>
      <c r="CQ4" s="42" cm="1">
        <f t="array" ref="CQ4">IFERROR(IF(SUMPRODUCT((INPUT!$T$3:$T$3000=45993)*(INPUT!$U$3:$U$3000="CARLOS"))=0,"",SUMPRODUCT((INPUT!$T$3:$T$3000=45993)*(INPUT!$U$3:$U$3000="CARLOS")*(INPUT!$V$3:$V$3000+INPUT!$W$3:$W$3000+INPUT!$X$3:$X$3000+INPUT!$Y$3:$Y$3000))),"")</f>
        <v>16</v>
      </c>
      <c r="CR4" s="42" cm="1">
        <f t="array" ref="CR4">IFERROR(IF(SUMPRODUCT((INPUT!$T$3:$T$3000=45994)*(INPUT!$U$3:$U$3000="CARLOS"))=0,"",SUMPRODUCT((INPUT!$T$3:$T$3000=45994)*(INPUT!$U$3:$U$3000="CARLOS")*(INPUT!$V$3:$V$3000+INPUT!$W$3:$W$3000+INPUT!$X$3:$X$3000+INPUT!$Y$3:$Y$3000))),"")</f>
        <v>16</v>
      </c>
      <c r="CS4" s="42" cm="1">
        <f t="array" ref="CS4">IFERROR(IF(SUMPRODUCT((INPUT!$T$3:$T$3000=45995)*(INPUT!$U$3:$U$3000="CARLOS"))=0,"",SUMPRODUCT((INPUT!$T$3:$T$3000=45995)*(INPUT!$U$3:$U$3000="CARLOS")*(INPUT!$V$3:$V$3000+INPUT!$W$3:$W$3000+INPUT!$X$3:$X$3000+INPUT!$Y$3:$Y$3000))),"")</f>
        <v>16</v>
      </c>
      <c r="CT4" s="42" cm="1">
        <f t="array" ref="CT4">IFERROR(IF(SUMPRODUCT((INPUT!$T$3:$T$3000=45996)*(INPUT!$U$3:$U$3000="CARLOS"))=0,"",SUMPRODUCT((INPUT!$T$3:$T$3000=45996)*(INPUT!$U$3:$U$3000="CARLOS")*(INPUT!$V$3:$V$3000+INPUT!$W$3:$W$3000+INPUT!$X$3:$X$3000+INPUT!$Y$3:$Y$3000))),"")</f>
        <v>16</v>
      </c>
      <c r="CU4" s="42" cm="1">
        <f t="array" ref="CU4">IFERROR(IF(SUMPRODUCT((INPUT!$T$3:$T$3000=45997)*(INPUT!$U$3:$U$3000="CARLOS"))=0,"",SUMPRODUCT((INPUT!$T$3:$T$3000=45997)*(INPUT!$U$3:$U$3000="CARLOS")*(INPUT!$V$3:$V$3000+INPUT!$W$3:$W$3000+INPUT!$X$3:$X$3000+INPUT!$Y$3:$Y$3000))),"")</f>
        <v>16</v>
      </c>
      <c r="CV4" s="42" cm="1">
        <f t="array" ref="CV4">IFERROR(IF(SUMPRODUCT((INPUT!$T$3:$T$3000=45999)*(INPUT!$U$3:$U$3000="CARLOS"))=0,"",SUMPRODUCT((INPUT!$T$3:$T$3000=45999)*(INPUT!$U$3:$U$3000="CARLOS")*(INPUT!$V$3:$V$3000+INPUT!$W$3:$W$3000+INPUT!$X$3:$X$3000+INPUT!$Y$3:$Y$3000))),"")</f>
        <v>16</v>
      </c>
      <c r="CW4" s="42" cm="1">
        <f t="array" ref="CW4">IFERROR(IF(SUMPRODUCT((INPUT!$T$3:$T$3000=46000)*(INPUT!$U$3:$U$3000="CARLOS"))=0,"",SUMPRODUCT((INPUT!$T$3:$T$3000=46000)*(INPUT!$U$3:$U$3000="CARLOS")*(INPUT!$V$3:$V$3000+INPUT!$W$3:$W$3000+INPUT!$X$3:$X$3000+INPUT!$Y$3:$Y$3000))),"")</f>
        <v>16</v>
      </c>
      <c r="CX4" s="42" cm="1">
        <f t="array" ref="CX4">IFERROR(IF(SUMPRODUCT((INPUT!$T$3:$T$3000=46001)*(INPUT!$U$3:$U$3000="CARLOS"))=0,"",SUMPRODUCT((INPUT!$T$3:$T$3000=46001)*(INPUT!$U$3:$U$3000="CARLOS")*(INPUT!$V$3:$V$3000+INPUT!$W$3:$W$3000+INPUT!$X$3:$X$3000+INPUT!$Y$3:$Y$3000))),"")</f>
        <v>14</v>
      </c>
      <c r="CY4" s="42" cm="1">
        <f t="array" ref="CY4">IFERROR(IF(SUMPRODUCT((INPUT!$T$3:$T$3000=46002)*(INPUT!$U$3:$U$3000="CARLOS"))=0,"",SUMPRODUCT((INPUT!$T$3:$T$3000=46002)*(INPUT!$U$3:$U$3000="CARLOS")*(INPUT!$V$3:$V$3000+INPUT!$W$3:$W$3000+INPUT!$X$3:$X$3000+INPUT!$Y$3:$Y$3000))),"")</f>
        <v>16</v>
      </c>
      <c r="CZ4" s="42" cm="1">
        <f t="array" ref="CZ4">IFERROR(IF(SUMPRODUCT((INPUT!$T$3:$T$3000=46003)*(INPUT!$U$3:$U$3000="CARLOS"))=0,"",SUMPRODUCT((INPUT!$T$3:$T$3000=46003)*(INPUT!$U$3:$U$3000="CARLOS")*(INPUT!$V$3:$V$3000+INPUT!$W$3:$W$3000+INPUT!$X$3:$X$3000+INPUT!$Y$3:$Y$3000))),"")</f>
        <v>15</v>
      </c>
      <c r="DA4" s="42" cm="1">
        <f t="array" ref="DA4">IFERROR(IF(SUMPRODUCT((INPUT!$T$3:$T$3000=46004)*(INPUT!$U$3:$U$3000="CARLOS"))=0,"",SUMPRODUCT((INPUT!$T$3:$T$3000=46004)*(INPUT!$U$3:$U$3000="CARLOS")*(INPUT!$V$3:$V$3000+INPUT!$W$3:$W$3000+INPUT!$X$3:$X$3000+INPUT!$Y$3:$Y$3000))),"")</f>
        <v>19</v>
      </c>
      <c r="DB4" s="42" cm="1">
        <f t="array" ref="DB4">IFERROR(IF(SUMPRODUCT((INPUT!$T$3:$T$3000=46007)*(INPUT!$U$3:$U$3000="CARLOS"))=0,"",SUMPRODUCT((INPUT!$T$3:$T$3000=46007)*(INPUT!$U$3:$U$3000="CARLOS")*(INPUT!$V$3:$V$3000+INPUT!$W$3:$W$3000+INPUT!$X$3:$X$3000+INPUT!$Y$3:$Y$3000))),"")</f>
        <v>17</v>
      </c>
      <c r="DC4" s="42" cm="1">
        <f t="array" ref="DC4">IFERROR(IF(SUMPRODUCT((INPUT!$T$3:$T$3000=46008)*(INPUT!$U$3:$U$3000="CARLOS"))=0,"",SUMPRODUCT((INPUT!$T$3:$T$3000=46008)*(INPUT!$U$3:$U$3000="CARLOS")*(INPUT!$V$3:$V$3000+INPUT!$W$3:$W$3000+INPUT!$X$3:$X$3000+INPUT!$Y$3:$Y$3000))),"")</f>
        <v>16</v>
      </c>
      <c r="DD4" s="42" cm="1">
        <f t="array" ref="DD4">IFERROR(IF(SUMPRODUCT((INPUT!$T$3:$T$3000=46009)*(INPUT!$U$3:$U$3000="CARLOS"))=0,"",SUMPRODUCT((INPUT!$T$3:$T$3000=46009)*(INPUT!$U$3:$U$3000="CARLOS")*(INPUT!$V$3:$V$3000+INPUT!$W$3:$W$3000+INPUT!$X$3:$X$3000+INPUT!$Y$3:$Y$3000))),"")</f>
        <v>16</v>
      </c>
      <c r="DE4" s="42" cm="1">
        <f t="array" ref="DE4">IFERROR(IF(SUMPRODUCT((INPUT!$T$3:$T$3000=46010)*(INPUT!$U$3:$U$3000="CARLOS"))=0,"",SUMPRODUCT((INPUT!$T$3:$T$3000=46010)*(INPUT!$U$3:$U$3000="CARLOS")*(INPUT!$V$3:$V$3000+INPUT!$W$3:$W$3000+INPUT!$X$3:$X$3000+INPUT!$Y$3:$Y$3000))),"")</f>
        <v>16</v>
      </c>
      <c r="DF4" s="42" cm="1">
        <f t="array" ref="DF4">IFERROR(IF(SUMPRODUCT((INPUT!$T$3:$T$3000=46013)*(INPUT!$U$3:$U$3000="CARLOS"))=0,"",SUMPRODUCT((INPUT!$T$3:$T$3000=46013)*(INPUT!$U$3:$U$3000="CARLOS")*(INPUT!$V$3:$V$3000+INPUT!$W$3:$W$3000+INPUT!$X$3:$X$3000+INPUT!$Y$3:$Y$3000))),"")</f>
        <v>16</v>
      </c>
      <c r="DG4" s="42" cm="1">
        <f t="array" ref="DG4">IFERROR(IF(SUMPRODUCT((INPUT!$T$3:$T$3000=46014)*(INPUT!$U$3:$U$3000="CARLOS"))=0,"",SUMPRODUCT((INPUT!$T$3:$T$3000=46014)*(INPUT!$U$3:$U$3000="CARLOS")*(INPUT!$V$3:$V$3000+INPUT!$W$3:$W$3000+INPUT!$X$3:$X$3000+INPUT!$Y$3:$Y$3000))),"")</f>
        <v>16</v>
      </c>
      <c r="DH4" s="42" cm="1">
        <f t="array" ref="DH4">IFERROR(IF(SUMPRODUCT((INPUT!$T$3:$T$3000=46017)*(INPUT!$U$3:$U$3000="CARLOS"))=0,"",SUMPRODUCT((INPUT!$T$3:$T$3000=46017)*(INPUT!$U$3:$U$3000="CARLOS")*(INPUT!$V$3:$V$3000+INPUT!$W$3:$W$3000+INPUT!$X$3:$X$3000+INPUT!$Y$3:$Y$3000))),"")</f>
        <v>16</v>
      </c>
      <c r="DI4" s="42" cm="1">
        <f t="array" ref="DI4">IFERROR(IF(SUMPRODUCT((INPUT!$T$3:$T$3000=46018)*(INPUT!$U$3:$U$3000="CARLOS"))=0,"",SUMPRODUCT((INPUT!$T$3:$T$3000=46018)*(INPUT!$U$3:$U$3000="CARLOS")*(INPUT!$V$3:$V$3000+INPUT!$W$3:$W$3000+INPUT!$X$3:$X$3000+INPUT!$Y$3:$Y$3000))),"")</f>
        <v>16</v>
      </c>
      <c r="DJ4" s="42" cm="1">
        <f t="array" ref="DJ4">IFERROR(IF(SUMPRODUCT((INPUT!$T$3:$T$3000=46020)*(INPUT!$U$3:$U$3000="CARLOS"))=0,"",SUMPRODUCT((INPUT!$T$3:$T$3000=46020)*(INPUT!$U$3:$U$3000="CARLOS")*(INPUT!$V$3:$V$3000+INPUT!$W$3:$W$3000+INPUT!$X$3:$X$3000+INPUT!$Y$3:$Y$3000))),"")</f>
        <v>16</v>
      </c>
      <c r="DK4" s="42" cm="1">
        <f t="array" ref="DK4">IFERROR(IF(SUMPRODUCT((INPUT!$T$3:$T$3000=46021)*(INPUT!$U$3:$U$3000="CARLOS"))=0,"",SUMPRODUCT((INPUT!$T$3:$T$3000=46021)*(INPUT!$U$3:$U$3000="CARLOS")*(INPUT!$V$3:$V$3000+INPUT!$W$3:$W$3000+INPUT!$X$3:$X$3000+INPUT!$Y$3:$Y$3000))),"")</f>
        <v>16</v>
      </c>
      <c r="DL4" s="42" cm="1">
        <f t="array" ref="DL4">IFERROR(IF(SUMPRODUCT((INPUT!$T$3:$T$3000=46022)*(INPUT!$U$3:$U$3000="CARLOS"))=0,"",SUMPRODUCT((INPUT!$T$3:$T$3000=46022)*(INPUT!$U$3:$U$3000="CARLOS")*(INPUT!$V$3:$V$3000+INPUT!$W$3:$W$3000+INPUT!$X$3:$X$3000+INPUT!$Y$3:$Y$3000))),"")</f>
        <v>16</v>
      </c>
      <c r="DM4" s="42" cm="1">
        <f t="array" ref="DM4">IFERROR(IF(SUMPRODUCT((INPUT!$T$3:$T$3000=46024)*(INPUT!$U$3:$U$3000="CARLOS"))=0,"",SUMPRODUCT((INPUT!$T$3:$T$3000=46024)*(INPUT!$U$3:$U$3000="CARLOS")*(INPUT!$V$3:$V$3000+INPUT!$W$3:$W$3000+INPUT!$X$3:$X$3000+INPUT!$Y$3:$Y$3000))),"")</f>
        <v>19</v>
      </c>
      <c r="DN4" s="42" cm="1">
        <f t="array" ref="DN4">IFERROR(IF(SUMPRODUCT((INPUT!$T$3:$T$3000=46025)*(INPUT!$U$3:$U$3000="CARLOS"))=0,"",SUMPRODUCT((INPUT!$T$3:$T$3000=46025)*(INPUT!$U$3:$U$3000="CARLOS")*(INPUT!$V$3:$V$3000+INPUT!$W$3:$W$3000+INPUT!$X$3:$X$3000+INPUT!$Y$3:$Y$3000))),"")</f>
        <v>19</v>
      </c>
      <c r="DO4" s="42" cm="1">
        <f t="array" ref="DO4">IFERROR(IF(SUMPRODUCT((INPUT!$T$3:$T$3000=46027)*(INPUT!$U$3:$U$3000="CARLOS"))=0,"",SUMPRODUCT((INPUT!$T$3:$T$3000=46027)*(INPUT!$U$3:$U$3000="CARLOS")*(INPUT!$V$3:$V$3000+INPUT!$W$3:$W$3000+INPUT!$X$3:$X$3000+INPUT!$Y$3:$Y$3000))),"")</f>
        <v>15</v>
      </c>
      <c r="DP4" s="42" cm="1">
        <f t="array" ref="DP4">IFERROR(IF(SUMPRODUCT((INPUT!$T$3:$T$3000=46028)*(INPUT!$U$3:$U$3000="CARLOS"))=0,"",SUMPRODUCT((INPUT!$T$3:$T$3000=46028)*(INPUT!$U$3:$U$3000="CARLOS")*(INPUT!$V$3:$V$3000+INPUT!$W$3:$W$3000+INPUT!$X$3:$X$3000+INPUT!$Y$3:$Y$3000))),"")</f>
        <v>16</v>
      </c>
      <c r="DQ4" s="42" cm="1">
        <f t="array" ref="DQ4">IFERROR(IF(SUMPRODUCT((INPUT!$T$3:$T$3000=46029)*(INPUT!$U$3:$U$3000="CARLOS"))=0,"",SUMPRODUCT((INPUT!$T$3:$T$3000=46029)*(INPUT!$U$3:$U$3000="CARLOS")*(INPUT!$V$3:$V$3000+INPUT!$W$3:$W$3000+INPUT!$X$3:$X$3000+INPUT!$Y$3:$Y$3000))),"")</f>
        <v>19</v>
      </c>
      <c r="DR4" s="42" cm="1">
        <f t="array" ref="DR4">IFERROR(IF(SUMPRODUCT((INPUT!$T$3:$T$3000=46030)*(INPUT!$U$3:$U$3000="CARLOS"))=0,"",SUMPRODUCT((INPUT!$T$3:$T$3000=46030)*(INPUT!$U$3:$U$3000="CARLOS")*(INPUT!$V$3:$V$3000+INPUT!$W$3:$W$3000+INPUT!$X$3:$X$3000+INPUT!$Y$3:$Y$3000))),"")</f>
        <v>16</v>
      </c>
      <c r="DS4" s="42" cm="1">
        <f t="array" ref="DS4">IFERROR(IF(SUMPRODUCT((INPUT!$T$3:$T$3000=46031)*(INPUT!$U$3:$U$3000="CARLOS"))=0,"",SUMPRODUCT((INPUT!$T$3:$T$3000=46031)*(INPUT!$U$3:$U$3000="CARLOS")*(INPUT!$V$3:$V$3000+INPUT!$W$3:$W$3000+INPUT!$X$3:$X$3000+INPUT!$Y$3:$Y$3000))),"")</f>
        <v>16</v>
      </c>
      <c r="DT4" s="42" cm="1">
        <f t="array" ref="DT4">IFERROR(IF(SUMPRODUCT((INPUT!$T$3:$T$3000=46041)*(INPUT!$U$3:$U$3000="CARLOS"))=0,"",SUMPRODUCT((INPUT!$T$3:$T$3000=46041)*(INPUT!$U$3:$U$3000="CARLOS")*(INPUT!$V$3:$V$3000+INPUT!$W$3:$W$3000+INPUT!$X$3:$X$3000+INPUT!$Y$3:$Y$3000))),"")</f>
        <v>16</v>
      </c>
      <c r="DU4" s="42" cm="1">
        <f t="array" ref="DU4">IFERROR(IF(SUMPRODUCT((INPUT!$T$3:$T$3000=46042)*(INPUT!$U$3:$U$3000="CARLOS"))=0,"",SUMPRODUCT((INPUT!$T$3:$T$3000=46042)*(INPUT!$U$3:$U$3000="CARLOS")*(INPUT!$V$3:$V$3000+INPUT!$W$3:$W$3000+INPUT!$X$3:$X$3000+INPUT!$Y$3:$Y$3000))),"")</f>
        <v>14</v>
      </c>
      <c r="DV4" s="42" cm="1">
        <f t="array" ref="DV4">IFERROR(IF(SUMPRODUCT((INPUT!$T$3:$T$3000=46043)*(INPUT!$U$3:$U$3000="CARLOS"))=0,"",SUMPRODUCT((INPUT!$T$3:$T$3000=46043)*(INPUT!$U$3:$U$3000="CARLOS")*(INPUT!$V$3:$V$3000+INPUT!$W$3:$W$3000+INPUT!$X$3:$X$3000+INPUT!$Y$3:$Y$3000))),"")</f>
        <v>12</v>
      </c>
      <c r="DW4" s="42" cm="1">
        <f t="array" ref="DW4">IFERROR(IF(SUMPRODUCT((INPUT!$T$3:$T$3000=46044)*(INPUT!$U$3:$U$3000="CARLOS"))=0,"",SUMPRODUCT((INPUT!$T$3:$T$3000=46044)*(INPUT!$U$3:$U$3000="CARLOS")*(INPUT!$V$3:$V$3000+INPUT!$W$3:$W$3000+INPUT!$X$3:$X$3000+INPUT!$Y$3:$Y$3000))),"")</f>
        <v>15</v>
      </c>
      <c r="DX4" s="42" cm="1">
        <f t="array" ref="DX4">IFERROR(IF(SUMPRODUCT((INPUT!$T$3:$T$3000=46045)*(INPUT!$U$3:$U$3000="CARLOS"))=0,"",SUMPRODUCT((INPUT!$T$3:$T$3000=46045)*(INPUT!$U$3:$U$3000="CARLOS")*(INPUT!$V$3:$V$3000+INPUT!$W$3:$W$3000+INPUT!$X$3:$X$3000+INPUT!$Y$3:$Y$3000))),"")</f>
        <v>14</v>
      </c>
      <c r="DY4" s="42" cm="1">
        <f t="array" ref="DY4">IFERROR(IF(SUMPRODUCT((INPUT!$T$3:$T$3000=46048)*(INPUT!$U$3:$U$3000="CARLOS"))=0,"",SUMPRODUCT((INPUT!$T$3:$T$3000=46048)*(INPUT!$U$3:$U$3000="CARLOS")*(INPUT!$V$3:$V$3000+INPUT!$W$3:$W$3000+INPUT!$X$3:$X$3000+INPUT!$Y$3:$Y$3000))),"")</f>
        <v>16</v>
      </c>
      <c r="DZ4" s="42" cm="1">
        <f t="array" ref="DZ4">IFERROR(IF(SUMPRODUCT((INPUT!$T$3:$T$3000=46049)*(INPUT!$U$3:$U$3000="CARLOS"))=0,"",SUMPRODUCT((INPUT!$T$3:$T$3000=46049)*(INPUT!$U$3:$U$3000="CARLOS")*(INPUT!$V$3:$V$3000+INPUT!$W$3:$W$3000+INPUT!$X$3:$X$3000+INPUT!$Y$3:$Y$3000))),"")</f>
        <v>12</v>
      </c>
      <c r="EA4" s="42" cm="1">
        <f t="array" ref="EA4">IFERROR(IF(SUMPRODUCT((INPUT!$T$3:$T$3000=46050)*(INPUT!$U$3:$U$3000="CARLOS"))=0,"",SUMPRODUCT((INPUT!$T$3:$T$3000=46050)*(INPUT!$U$3:$U$3000="CARLOS")*(INPUT!$V$3:$V$3000+INPUT!$W$3:$W$3000+INPUT!$X$3:$X$3000+INPUT!$Y$3:$Y$3000))),"")</f>
        <v>14</v>
      </c>
      <c r="EB4" s="42" cm="1">
        <f t="array" ref="EB4">IFERROR(IF(SUMPRODUCT((INPUT!$T$3:$T$3000=46051)*(INPUT!$U$3:$U$3000="CARLOS"))=0,"",SUMPRODUCT((INPUT!$T$3:$T$3000=46051)*(INPUT!$U$3:$U$3000="CARLOS")*(INPUT!$V$3:$V$3000+INPUT!$W$3:$W$3000+INPUT!$X$3:$X$3000+INPUT!$Y$3:$Y$3000))),"")</f>
        <v>15</v>
      </c>
      <c r="EC4" s="42" cm="1">
        <f t="array" ref="EC4">IFERROR(IF(SUMPRODUCT((INPUT!$T$3:$T$3000=46052)*(INPUT!$U$3:$U$3000="CARLOS"))=0,"",SUMPRODUCT((INPUT!$T$3:$T$3000=46052)*(INPUT!$U$3:$U$3000="CARLOS")*(INPUT!$V$3:$V$3000+INPUT!$W$3:$W$3000+INPUT!$X$3:$X$3000+INPUT!$Y$3:$Y$3000))),"")</f>
        <v>16</v>
      </c>
      <c r="ED4" s="42" cm="1">
        <f t="array" ref="ED4">IFERROR(IF(SUMPRODUCT((INPUT!$T$3:$T$3000=46055)*(INPUT!$U$3:$U$3000="CARLOS"))=0,"",SUMPRODUCT((INPUT!$T$3:$T$3000=46055)*(INPUT!$U$3:$U$3000="CARLOS")*(INPUT!$V$3:$V$3000+INPUT!$W$3:$W$3000+INPUT!$X$3:$X$3000+INPUT!$Y$3:$Y$3000))),"")</f>
        <v>15</v>
      </c>
      <c r="EE4" s="42" cm="1">
        <f t="array" ref="EE4">IFERROR(IF(SUMPRODUCT((INPUT!$T$3:$T$3000=46056)*(INPUT!$U$3:$U$3000="CARLOS"))=0,"",SUMPRODUCT((INPUT!$T$3:$T$3000=46056)*(INPUT!$U$3:$U$3000="CARLOS")*(INPUT!$V$3:$V$3000+INPUT!$W$3:$W$3000+INPUT!$X$3:$X$3000+INPUT!$Y$3:$Y$3000))),"")</f>
        <v>16</v>
      </c>
      <c r="EF4" s="42" cm="1">
        <f t="array" ref="EF4">IFERROR(IF(SUMPRODUCT((INPUT!$T$3:$T$3000=46057)*(INPUT!$U$3:$U$3000="CARLOS"))=0,"",SUMPRODUCT((INPUT!$T$3:$T$3000=46057)*(INPUT!$U$3:$U$3000="CARLOS")*(INPUT!$V$3:$V$3000+INPUT!$W$3:$W$3000+INPUT!$X$3:$X$3000+INPUT!$Y$3:$Y$3000))),"")</f>
        <v>14</v>
      </c>
      <c r="EG4" s="42" cm="1">
        <f t="array" ref="EG4">IFERROR(IF(SUMPRODUCT((INPUT!$T$3:$T$3000=46058)*(INPUT!$U$3:$U$3000="CARLOS"))=0,"",SUMPRODUCT((INPUT!$T$3:$T$3000=46058)*(INPUT!$U$3:$U$3000="CARLOS")*(INPUT!$V$3:$V$3000+INPUT!$W$3:$W$3000+INPUT!$X$3:$X$3000+INPUT!$Y$3:$Y$3000))),"")</f>
        <v>16</v>
      </c>
      <c r="EH4" s="42" cm="1">
        <f t="array" ref="EH4">IFERROR(IF(SUMPRODUCT((INPUT!$T$3:$T$3000=46059)*(INPUT!$U$3:$U$3000="CARLOS"))=0,"",SUMPRODUCT((INPUT!$T$3:$T$3000=46059)*(INPUT!$U$3:$U$3000="CARLOS")*(INPUT!$V$3:$V$3000+INPUT!$W$3:$W$3000+INPUT!$X$3:$X$3000+INPUT!$Y$3:$Y$3000))),"")</f>
        <v>16</v>
      </c>
      <c r="EI4" s="42" cm="1">
        <f t="array" ref="EI4">IFERROR(IF(SUMPRODUCT((INPUT!$T$3:$T$3000=46061)*(INPUT!$U$3:$U$3000="CARLOS"))=0,"",SUMPRODUCT((INPUT!$T$3:$T$3000=46061)*(INPUT!$U$3:$U$3000="CARLOS")*(INPUT!$V$3:$V$3000+INPUT!$W$3:$W$3000+INPUT!$X$3:$X$3000+INPUT!$Y$3:$Y$3000))),"")</f>
        <v>16</v>
      </c>
      <c r="EJ4" s="42" cm="1">
        <f t="array" ref="EJ4">IFERROR(IF(SUMPRODUCT((INPUT!$T$3:$T$3000=46062)*(INPUT!$U$3:$U$3000="CARLOS"))=0,"",SUMPRODUCT((INPUT!$T$3:$T$3000=46062)*(INPUT!$U$3:$U$3000="CARLOS")*(INPUT!$V$3:$V$3000+INPUT!$W$3:$W$3000+INPUT!$X$3:$X$3000+INPUT!$Y$3:$Y$3000))),"")</f>
        <v>16</v>
      </c>
      <c r="EK4" s="42" cm="1">
        <f t="array" ref="EK4">IFERROR(IF(SUMPRODUCT((INPUT!$T$3:$T$3000=46063)*(INPUT!$U$3:$U$3000="CARLOS"))=0,"",SUMPRODUCT((INPUT!$T$3:$T$3000=46063)*(INPUT!$U$3:$U$3000="CARLOS")*(INPUT!$V$3:$V$3000+INPUT!$W$3:$W$3000+INPUT!$X$3:$X$3000+INPUT!$Y$3:$Y$3000))),"")</f>
        <v>16</v>
      </c>
      <c r="EL4" s="42" cm="1">
        <f t="array" ref="EL4">IFERROR(IF(SUMPRODUCT((INPUT!$T$3:$T$3000=46064)*(INPUT!$U$3:$U$3000="CARLOS"))=0,"",SUMPRODUCT((INPUT!$T$3:$T$3000=46064)*(INPUT!$U$3:$U$3000="CARLOS")*(INPUT!$V$3:$V$3000+INPUT!$W$3:$W$3000+INPUT!$X$3:$X$3000+INPUT!$Y$3:$Y$3000))),"")</f>
        <v>17</v>
      </c>
      <c r="EM4" s="42" cm="1">
        <f t="array" ref="EM4">IFERROR(IF(SUMPRODUCT((INPUT!$T$3:$T$3000=46065)*(INPUT!$U$3:$U$3000="CARLOS"))=0,"",SUMPRODUCT((INPUT!$T$3:$T$3000=46065)*(INPUT!$U$3:$U$3000="CARLOS")*(INPUT!$V$3:$V$3000+INPUT!$W$3:$W$3000+INPUT!$X$3:$X$3000+INPUT!$Y$3:$Y$3000))),"")</f>
        <v>15</v>
      </c>
      <c r="EN4" s="42" cm="1">
        <f t="array" ref="EN4">IFERROR(IF(SUMPRODUCT((INPUT!$T$3:$T$3000=46066)*(INPUT!$U$3:$U$3000="CARLOS"))=0,"",SUMPRODUCT((INPUT!$T$3:$T$3000=46066)*(INPUT!$U$3:$U$3000="CARLOS")*(INPUT!$V$3:$V$3000+INPUT!$W$3:$W$3000+INPUT!$X$3:$X$3000+INPUT!$Y$3:$Y$3000))),"")</f>
        <v>16</v>
      </c>
      <c r="EO4" s="42" cm="1">
        <f t="array" ref="EO4">IFERROR(IF(SUMPRODUCT((INPUT!$T$3:$T$3000=46067)*(INPUT!$U$3:$U$3000="CARLOS"))=0,"",SUMPRODUCT((INPUT!$T$3:$T$3000=46067)*(INPUT!$U$3:$U$3000="CARLOS")*(INPUT!$V$3:$V$3000+INPUT!$W$3:$W$3000+INPUT!$X$3:$X$3000+INPUT!$Y$3:$Y$3000))),"")</f>
        <v>17</v>
      </c>
      <c r="EP4" s="42" cm="1">
        <f t="array" ref="EP4">IFERROR(IF(SUMPRODUCT((INPUT!$T$3:$T$3000=46069)*(INPUT!$U$3:$U$3000="CARLOS"))=0,"",SUMPRODUCT((INPUT!$T$3:$T$3000=46069)*(INPUT!$U$3:$U$3000="CARLOS")*(INPUT!$V$3:$V$3000+INPUT!$W$3:$W$3000+INPUT!$X$3:$X$3000+INPUT!$Y$3:$Y$3000))),"")</f>
        <v>17</v>
      </c>
      <c r="EQ4" s="42" cm="1">
        <f t="array" ref="EQ4">IFERROR(IF(SUMPRODUCT((INPUT!$T$3:$T$3000=46072)*(INPUT!$U$3:$U$3000="CARLOS"))=0,"",SUMPRODUCT((INPUT!$T$3:$T$3000=46072)*(INPUT!$U$3:$U$3000="CARLOS")*(INPUT!$V$3:$V$3000+INPUT!$W$3:$W$3000+INPUT!$X$3:$X$3000+INPUT!$Y$3:$Y$3000))),"")</f>
        <v>16</v>
      </c>
      <c r="ER4" s="42" cm="1">
        <f t="array" ref="ER4">IFERROR(IF(SUMPRODUCT((INPUT!$T$3:$T$3000=46073)*(INPUT!$U$3:$U$3000="CARLOS"))=0,"",SUMPRODUCT((INPUT!$T$3:$T$3000=46073)*(INPUT!$U$3:$U$3000="CARLOS")*(INPUT!$V$3:$V$3000+INPUT!$W$3:$W$3000+INPUT!$X$3:$X$3000+INPUT!$Y$3:$Y$3000))),"")</f>
        <v>16</v>
      </c>
      <c r="ES4" s="42" cm="1">
        <f t="array" ref="ES4">IFERROR(IF(SUMPRODUCT((INPUT!$T$3:$T$3000=46076)*(INPUT!$U$3:$U$3000="CARLOS"))=0,"",SUMPRODUCT((INPUT!$T$3:$T$3000=46076)*(INPUT!$U$3:$U$3000="CARLOS")*(INPUT!$V$3:$V$3000+INPUT!$W$3:$W$3000+INPUT!$X$3:$X$3000+INPUT!$Y$3:$Y$3000))),"")</f>
        <v>17</v>
      </c>
      <c r="ET4" s="42" cm="1">
        <f t="array" ref="ET4">IFERROR(IF(SUMPRODUCT((INPUT!$T$3:$T$3000=46077)*(INPUT!$U$3:$U$3000="CARLOS"))=0,"",SUMPRODUCT((INPUT!$T$3:$T$3000=46077)*(INPUT!$U$3:$U$3000="CARLOS")*(INPUT!$V$3:$V$3000+INPUT!$W$3:$W$3000+INPUT!$X$3:$X$3000+INPUT!$Y$3:$Y$3000))),"")</f>
        <v>17</v>
      </c>
      <c r="EU4" s="42" cm="1">
        <f t="array" ref="EU4">IFERROR(IF(SUMPRODUCT((INPUT!$T$3:$T$3000=46078)*(INPUT!$U$3:$U$3000="CARLOS"))=0,"",SUMPRODUCT((INPUT!$T$3:$T$3000=46078)*(INPUT!$U$3:$U$3000="CARLOS")*(INPUT!$V$3:$V$3000+INPUT!$W$3:$W$3000+INPUT!$X$3:$X$3000+INPUT!$Y$3:$Y$3000))),"")</f>
        <v>17</v>
      </c>
      <c r="EV4" s="42" cm="1">
        <f t="array" ref="EV4">IFERROR(IF(SUMPRODUCT((INPUT!$T$3:$T$3000=46079)*(INPUT!$U$3:$U$3000="CARLOS"))=0,"",SUMPRODUCT((INPUT!$T$3:$T$3000=46079)*(INPUT!$U$3:$U$3000="CARLOS")*(INPUT!$V$3:$V$3000+INPUT!$W$3:$W$3000+INPUT!$X$3:$X$3000+INPUT!$Y$3:$Y$3000))),"")</f>
        <v>17</v>
      </c>
      <c r="EW4" s="42" cm="1">
        <f t="array" ref="EW4">IFERROR(IF(SUMPRODUCT((INPUT!$T$3:$T$3000=46080)*(INPUT!$U$3:$U$3000="CARLOS"))=0,"",SUMPRODUCT((INPUT!$T$3:$T$3000=46080)*(INPUT!$U$3:$U$3000="CARLOS")*(INPUT!$V$3:$V$3000+INPUT!$W$3:$W$3000+INPUT!$X$3:$X$3000+INPUT!$Y$3:$Y$3000))),"")</f>
        <v>16</v>
      </c>
      <c r="EX4" s="42" cm="1">
        <f t="array" ref="EX4">IFERROR(IF(SUMPRODUCT((INPUT!$T$3:$T$3000=46082)*(INPUT!$U$3:$U$3000="CARLOS"))=0,"",SUMPRODUCT((INPUT!$T$3:$T$3000=46082)*(INPUT!$U$3:$U$3000="CARLOS")*(INPUT!$V$3:$V$3000+INPUT!$W$3:$W$3000+INPUT!$X$3:$X$3000+INPUT!$Y$3:$Y$3000))),"")</f>
        <v>17</v>
      </c>
      <c r="EY4" s="42" cm="1">
        <f t="array" ref="EY4">IFERROR(IF(SUMPRODUCT((INPUT!$T$3:$T$3000=46084)*(INPUT!$U$3:$U$3000="CARLOS"))=0,"",SUMPRODUCT((INPUT!$T$3:$T$3000=46084)*(INPUT!$U$3:$U$3000="CARLOS")*(INPUT!$V$3:$V$3000+INPUT!$W$3:$W$3000+INPUT!$X$3:$X$3000+INPUT!$Y$3:$Y$3000))),"")</f>
        <v>17</v>
      </c>
      <c r="EZ4" s="42" cm="1">
        <f t="array" ref="EZ4">IFERROR(IF(SUMPRODUCT((INPUT!$T$3:$T$3000=46085)*(INPUT!$U$3:$U$3000="CARLOS"))=0,"",SUMPRODUCT((INPUT!$T$3:$T$3000=46085)*(INPUT!$U$3:$U$3000="CARLOS")*(INPUT!$V$3:$V$3000+INPUT!$W$3:$W$3000+INPUT!$X$3:$X$3000+INPUT!$Y$3:$Y$3000))),"")</f>
        <v>17</v>
      </c>
      <c r="FA4" s="42" cm="1">
        <f t="array" ref="FA4">IFERROR(IF(SUMPRODUCT((INPUT!$T$3:$T$3000=46086)*(INPUT!$U$3:$U$3000="CARLOS"))=0,"",SUMPRODUCT((INPUT!$T$3:$T$3000=46086)*(INPUT!$U$3:$U$3000="CARLOS")*(INPUT!$V$3:$V$3000+INPUT!$W$3:$W$3000+INPUT!$X$3:$X$3000+INPUT!$Y$3:$Y$3000))),"")</f>
        <v>16</v>
      </c>
      <c r="FB4" s="42" cm="1">
        <f t="array" ref="FB4">IFERROR(IF(SUMPRODUCT((INPUT!$T$3:$T$3000=46087)*(INPUT!$U$3:$U$3000="CARLOS"))=0,"",SUMPRODUCT((INPUT!$T$3:$T$3000=46087)*(INPUT!$U$3:$U$3000="CARLOS")*(INPUT!$V$3:$V$3000+INPUT!$W$3:$W$3000+INPUT!$X$3:$X$3000+INPUT!$Y$3:$Y$3000))),"")</f>
        <v>16</v>
      </c>
      <c r="FC4" s="42" cm="1">
        <f t="array" ref="FC4">IFERROR(IF(SUMPRODUCT((INPUT!$T$3:$T$3000=46090)*(INPUT!$U$3:$U$3000="CARLOS"))=0,"",SUMPRODUCT((INPUT!$T$3:$T$3000=46090)*(INPUT!$U$3:$U$3000="CARLOS")*(INPUT!$V$3:$V$3000+INPUT!$W$3:$W$3000+INPUT!$X$3:$X$3000+INPUT!$Y$3:$Y$3000))),"")</f>
        <v>17</v>
      </c>
      <c r="FD4" s="42" cm="1">
        <f t="array" ref="FD4">IFERROR(IF(SUMPRODUCT((INPUT!$T$3:$T$3000=46091)*(INPUT!$U$3:$U$3000="CARLOS"))=0,"",SUMPRODUCT((INPUT!$T$3:$T$3000=46091)*(INPUT!$U$3:$U$3000="CARLOS")*(INPUT!$V$3:$V$3000+INPUT!$W$3:$W$3000+INPUT!$X$3:$X$3000+INPUT!$Y$3:$Y$3000))),"")</f>
        <v>17</v>
      </c>
      <c r="FE4" s="42" cm="1">
        <f t="array" ref="FE4">IFERROR(IF(SUMPRODUCT((INPUT!$T$3:$T$3000=46092)*(INPUT!$U$3:$U$3000="CARLOS"))=0,"",SUMPRODUCT((INPUT!$T$3:$T$3000=46092)*(INPUT!$U$3:$U$3000="CARLOS")*(INPUT!$V$3:$V$3000+INPUT!$W$3:$W$3000+INPUT!$X$3:$X$3000+INPUT!$Y$3:$Y$3000))),"")</f>
        <v>17</v>
      </c>
      <c r="FF4" s="42" cm="1">
        <f t="array" ref="FF4">IFERROR(IF(SUMPRODUCT((INPUT!$T$3:$T$3000=46093)*(INPUT!$U$3:$U$3000="CARLOS"))=0,"",SUMPRODUCT((INPUT!$T$3:$T$3000=46093)*(INPUT!$U$3:$U$3000="CARLOS")*(INPUT!$V$3:$V$3000+INPUT!$W$3:$W$3000+INPUT!$X$3:$X$3000+INPUT!$Y$3:$Y$3000))),"")</f>
        <v>17</v>
      </c>
      <c r="FG4" s="42" cm="1">
        <f t="array" ref="FG4">IFERROR(IF(SUMPRODUCT((INPUT!$T$3:$T$3000=46094)*(INPUT!$U$3:$U$3000="CARLOS"))=0,"",SUMPRODUCT((INPUT!$T$3:$T$3000=46094)*(INPUT!$U$3:$U$3000="CARLOS")*(INPUT!$V$3:$V$3000+INPUT!$W$3:$W$3000+INPUT!$X$3:$X$3000+INPUT!$Y$3:$Y$3000))),"")</f>
        <v>17</v>
      </c>
      <c r="FH4" s="42" cm="1">
        <f t="array" ref="FH4">IFERROR(IF(SUMPRODUCT((INPUT!$T$3:$T$3000=46096)*(INPUT!$U$3:$U$3000="CARLOS"))=0,"",SUMPRODUCT((INPUT!$T$3:$T$3000=46096)*(INPUT!$U$3:$U$3000="CARLOS")*(INPUT!$V$3:$V$3000+INPUT!$W$3:$W$3000+INPUT!$X$3:$X$3000+INPUT!$Y$3:$Y$3000))),"")</f>
        <v>17</v>
      </c>
      <c r="FI4" s="42" cm="1">
        <f t="array" ref="FI4">IFERROR(IF(SUMPRODUCT((INPUT!$T$3:$T$3000=46097)*(INPUT!$U$3:$U$3000="CARLOS"))=0,"",SUMPRODUCT((INPUT!$T$3:$T$3000=46097)*(INPUT!$U$3:$U$3000="CARLOS")*(INPUT!$V$3:$V$3000+INPUT!$W$3:$W$3000+INPUT!$X$3:$X$3000+INPUT!$Y$3:$Y$3000))),"")</f>
        <v>16</v>
      </c>
      <c r="FJ4" s="42" cm="1">
        <f t="array" ref="FJ4">IFERROR(IF(SUMPRODUCT((INPUT!$T$3:$T$3000=46098)*(INPUT!$U$3:$U$3000="CARLOS"))=0,"",SUMPRODUCT((INPUT!$T$3:$T$3000=46098)*(INPUT!$U$3:$U$3000="CARLOS")*(INPUT!$V$3:$V$3000+INPUT!$W$3:$W$3000+INPUT!$X$3:$X$3000+INPUT!$Y$3:$Y$3000))),"")</f>
        <v>16</v>
      </c>
      <c r="FK4" s="42" cm="1">
        <f t="array" ref="FK4">IFERROR(IF(SUMPRODUCT((INPUT!$T$3:$T$3000=46099)*(INPUT!$U$3:$U$3000="CARLOS"))=0,"",SUMPRODUCT((INPUT!$T$3:$T$3000=46099)*(INPUT!$U$3:$U$3000="CARLOS")*(INPUT!$V$3:$V$3000+INPUT!$W$3:$W$3000+INPUT!$X$3:$X$3000+INPUT!$Y$3:$Y$3000))),"")</f>
        <v>20</v>
      </c>
      <c r="FL4" s="42" cm="1">
        <f t="array" ref="FL4">IFERROR(IF(SUMPRODUCT((INPUT!$T$3:$T$3000=46102)*(INPUT!$U$3:$U$3000="CARLOS"))=0,"",SUMPRODUCT((INPUT!$T$3:$T$3000=46102)*(INPUT!$U$3:$U$3000="CARLOS")*(INPUT!$V$3:$V$3000+INPUT!$W$3:$W$3000+INPUT!$X$3:$X$3000+INPUT!$Y$3:$Y$3000))),"")</f>
        <v>20</v>
      </c>
      <c r="FM4" s="42" cm="1">
        <f t="array" ref="FM4">IFERROR(IF(SUMPRODUCT((INPUT!$T$3:$T$3000=46105)*(INPUT!$U$3:$U$3000="CARLOS"))=0,"",SUMPRODUCT((INPUT!$T$3:$T$3000=46105)*(INPUT!$U$3:$U$3000="CARLOS")*(INPUT!$V$3:$V$3000+INPUT!$W$3:$W$3000+INPUT!$X$3:$X$3000+INPUT!$Y$3:$Y$3000))),"")</f>
        <v>14</v>
      </c>
      <c r="FN4" s="42" cm="1">
        <f t="array" ref="FN4">IFERROR(IF(SUMPRODUCT((INPUT!$T$3:$T$3000=46106)*(INPUT!$U$3:$U$3000="CARLOS"))=0,"",SUMPRODUCT((INPUT!$T$3:$T$3000=46106)*(INPUT!$U$3:$U$3000="CARLOS")*(INPUT!$V$3:$V$3000+INPUT!$W$3:$W$3000+INPUT!$X$3:$X$3000+INPUT!$Y$3:$Y$3000))),"")</f>
        <v>15</v>
      </c>
      <c r="FO4" s="42" cm="1">
        <f t="array" ref="FO4">IFERROR(IF(SUMPRODUCT((INPUT!$T$3:$T$3000=46107)*(INPUT!$U$3:$U$3000="CARLOS"))=0,"",SUMPRODUCT((INPUT!$T$3:$T$3000=46107)*(INPUT!$U$3:$U$3000="CARLOS")*(INPUT!$V$3:$V$3000+INPUT!$W$3:$W$3000+INPUT!$X$3:$X$3000+INPUT!$Y$3:$Y$3000))),"")</f>
        <v>15</v>
      </c>
      <c r="FP4" s="42" cm="1">
        <f t="array" ref="FP4">IFERROR(IF(SUMPRODUCT((INPUT!$T$3:$T$3000=46108)*(INPUT!$U$3:$U$3000="CARLOS"))=0,"",SUMPRODUCT((INPUT!$T$3:$T$3000=46108)*(INPUT!$U$3:$U$3000="CARLOS")*(INPUT!$V$3:$V$3000+INPUT!$W$3:$W$3000+INPUT!$X$3:$X$3000+INPUT!$Y$3:$Y$3000))),"")</f>
        <v>15</v>
      </c>
      <c r="FQ4" s="42" cm="1">
        <f t="array" ref="FQ4">IFERROR(IF(SUMPRODUCT((INPUT!$T$3:$T$3000=46109)*(INPUT!$U$3:$U$3000="CARLOS"))=0,"",SUMPRODUCT((INPUT!$T$3:$T$3000=46109)*(INPUT!$U$3:$U$3000="CARLOS")*(INPUT!$V$3:$V$3000+INPUT!$W$3:$W$3000+INPUT!$X$3:$X$3000+INPUT!$Y$3:$Y$3000))),"")</f>
        <v>17</v>
      </c>
      <c r="FR4" s="42" cm="1">
        <f t="array" ref="FR4">IFERROR(IF(SUMPRODUCT((INPUT!$T$3:$T$3000=46111)*(INPUT!$U$3:$U$3000="CARLOS"))=0,"",SUMPRODUCT((INPUT!$T$3:$T$3000=46111)*(INPUT!$U$3:$U$3000="CARLOS")*(INPUT!$V$3:$V$3000+INPUT!$W$3:$W$3000+INPUT!$X$3:$X$3000+INPUT!$Y$3:$Y$3000))),"")</f>
        <v>15</v>
      </c>
      <c r="FS4" s="42" t="str" cm="1">
        <f t="array" ref="FS4">IFERROR(IF(SUMPRODUCT((INPUT!$T$3:$T$3000=46112)*(INPUT!$U$3:$U$3000="CARLOS"))=0,"",SUMPRODUCT((INPUT!$T$3:$T$3000=46112)*(INPUT!$U$3:$U$3000="CARLOS")*(INPUT!$V$3:$V$3000+INPUT!$W$3:$W$3000+INPUT!$X$3:$X$3000+INPUT!$Y$3:$Y$3000))),"")</f>
        <v/>
      </c>
      <c r="FT4" s="42" cm="1">
        <f t="array" ref="FT4">IFERROR(IF(SUMPRODUCT((INPUT!$T$3:$T$3000=46113)*(INPUT!$U$3:$U$3000="CARLOS"))=0,"",SUMPRODUCT((INPUT!$T$3:$T$3000=46113)*(INPUT!$U$3:$U$3000="CARLOS")*(INPUT!$V$3:$V$3000+INPUT!$W$3:$W$3000+INPUT!$X$3:$X$3000+INPUT!$Y$3:$Y$3000))),"")</f>
        <v>16</v>
      </c>
      <c r="FU4" s="42" cm="1">
        <f t="array" ref="FU4">IFERROR(IF(SUMPRODUCT((INPUT!$T$3:$T$3000=46114)*(INPUT!$U$3:$U$3000="CARLOS"))=0,"",SUMPRODUCT((INPUT!$T$3:$T$3000=46114)*(INPUT!$U$3:$U$3000="CARLOS")*(INPUT!$V$3:$V$3000+INPUT!$W$3:$W$3000+INPUT!$X$3:$X$3000+INPUT!$Y$3:$Y$3000))),"")</f>
        <v>16</v>
      </c>
      <c r="FV4" s="42" cm="1">
        <f t="array" ref="FV4">IFERROR(IF(SUMPRODUCT((INPUT!$T$3:$T$3000=46115)*(INPUT!$U$3:$U$3000="CARLOS"))=0,"",SUMPRODUCT((INPUT!$T$3:$T$3000=46115)*(INPUT!$U$3:$U$3000="CARLOS")*(INPUT!$V$3:$V$3000+INPUT!$W$3:$W$3000+INPUT!$X$3:$X$3000+INPUT!$Y$3:$Y$3000))),"")</f>
        <v>16</v>
      </c>
      <c r="FW4" s="42" cm="1">
        <f t="array" ref="FW4">IFERROR(IF(SUMPRODUCT((INPUT!$T$3:$T$3000=46116)*(INPUT!$U$3:$U$3000="CARLOS"))=0,"",SUMPRODUCT((INPUT!$T$3:$T$3000=46116)*(INPUT!$U$3:$U$3000="CARLOS")*(INPUT!$V$3:$V$3000+INPUT!$W$3:$W$3000+INPUT!$X$3:$X$3000+INPUT!$Y$3:$Y$3000))),"")</f>
        <v>16</v>
      </c>
      <c r="FX4" s="42" cm="1">
        <f t="array" ref="FX4">IFERROR(IF(SUMPRODUCT((INPUT!$T$3:$T$3000=46118)*(INPUT!$U$3:$U$3000="CARLOS"))=0,"",SUMPRODUCT((INPUT!$T$3:$T$3000=46118)*(INPUT!$U$3:$U$3000="CARLOS")*(INPUT!$V$3:$V$3000+INPUT!$W$3:$W$3000+INPUT!$X$3:$X$3000+INPUT!$Y$3:$Y$3000))),"")</f>
        <v>15</v>
      </c>
      <c r="FY4" s="42" cm="1">
        <f t="array" ref="FY4">IFERROR(IF(SUMPRODUCT((INPUT!$T$3:$T$3000=46119)*(INPUT!$U$3:$U$3000="CARLOS"))=0,"",SUMPRODUCT((INPUT!$T$3:$T$3000=46119)*(INPUT!$U$3:$U$3000="CARLOS")*(INPUT!$V$3:$V$3000+INPUT!$W$3:$W$3000+INPUT!$X$3:$X$3000+INPUT!$Y$3:$Y$3000))),"")</f>
        <v>13</v>
      </c>
      <c r="FZ4" s="42" cm="1">
        <f t="array" ref="FZ4">IFERROR(IF(SUMPRODUCT((INPUT!$T$3:$T$3000=46120)*(INPUT!$U$3:$U$3000="CARLOS"))=0,"",SUMPRODUCT((INPUT!$T$3:$T$3000=46120)*(INPUT!$U$3:$U$3000="CARLOS")*(INPUT!$V$3:$V$3000+INPUT!$W$3:$W$3000+INPUT!$X$3:$X$3000+INPUT!$Y$3:$Y$3000))),"")</f>
        <v>13</v>
      </c>
      <c r="GA4" s="42" cm="1">
        <f t="array" ref="GA4">IFERROR(IF(SUMPRODUCT((INPUT!$T$3:$T$3000=46121)*(INPUT!$U$3:$U$3000="CARLOS"))=0,"",SUMPRODUCT((INPUT!$T$3:$T$3000=46121)*(INPUT!$U$3:$U$3000="CARLOS")*(INPUT!$V$3:$V$3000+INPUT!$W$3:$W$3000+INPUT!$X$3:$X$3000+INPUT!$Y$3:$Y$3000))),"")</f>
        <v>15</v>
      </c>
      <c r="GB4" s="42" cm="1">
        <f t="array" ref="GB4">IFERROR(IF(SUMPRODUCT((INPUT!$T$3:$T$3000=46122)*(INPUT!$U$3:$U$3000="CARLOS"))=0,"",SUMPRODUCT((INPUT!$T$3:$T$3000=46122)*(INPUT!$U$3:$U$3000="CARLOS")*(INPUT!$V$3:$V$3000+INPUT!$W$3:$W$3000+INPUT!$X$3:$X$3000+INPUT!$Y$3:$Y$3000))),"")</f>
        <v>15</v>
      </c>
      <c r="GC4" s="42" cm="1">
        <f t="array" ref="GC4">IFERROR(IF(SUMPRODUCT((INPUT!$T$3:$T$3000=46125)*(INPUT!$U$3:$U$3000="CARLOS"))=0,"",SUMPRODUCT((INPUT!$T$3:$T$3000=46125)*(INPUT!$U$3:$U$3000="CARLOS")*(INPUT!$V$3:$V$3000+INPUT!$W$3:$W$3000+INPUT!$X$3:$X$3000+INPUT!$Y$3:$Y$3000))),"")</f>
        <v>15</v>
      </c>
      <c r="GD4" s="42" cm="1">
        <f t="array" ref="GD4">IFERROR(IF(SUMPRODUCT((INPUT!$T$3:$T$3000=46126)*(INPUT!$U$3:$U$3000="CARLOS"))=0,"",SUMPRODUCT((INPUT!$T$3:$T$3000=46126)*(INPUT!$U$3:$U$3000="CARLOS")*(INPUT!$V$3:$V$3000+INPUT!$W$3:$W$3000+INPUT!$X$3:$X$3000+INPUT!$Y$3:$Y$3000))),"")</f>
        <v>15</v>
      </c>
      <c r="GE4" s="42" cm="1">
        <f t="array" ref="GE4">IFERROR(IF(SUMPRODUCT((INPUT!$T$3:$T$3000=46127)*(INPUT!$U$3:$U$3000="CARLOS"))=0,"",SUMPRODUCT((INPUT!$T$3:$T$3000=46127)*(INPUT!$U$3:$U$3000="CARLOS")*(INPUT!$V$3:$V$3000+INPUT!$W$3:$W$3000+INPUT!$X$3:$X$3000+INPUT!$Y$3:$Y$3000))),"")</f>
        <v>15</v>
      </c>
      <c r="GF4" s="42" cm="1">
        <f t="array" ref="GF4">IFERROR(IF(SUMPRODUCT((INPUT!$T$3:$T$3000=46128)*(INPUT!$U$3:$U$3000="CARLOS"))=0,"",SUMPRODUCT((INPUT!$T$3:$T$3000=46128)*(INPUT!$U$3:$U$3000="CARLOS")*(INPUT!$V$3:$V$3000+INPUT!$W$3:$W$3000+INPUT!$X$3:$X$3000+INPUT!$Y$3:$Y$3000))),"")</f>
        <v>16</v>
      </c>
      <c r="GG4" s="42" cm="1">
        <f t="array" ref="GG4">IFERROR(IF(SUMPRODUCT((INPUT!$T$3:$T$3000=46129)*(INPUT!$U$3:$U$3000="CARLOS"))=0,"",SUMPRODUCT((INPUT!$T$3:$T$3000=46129)*(INPUT!$U$3:$U$3000="CARLOS")*(INPUT!$V$3:$V$3000+INPUT!$W$3:$W$3000+INPUT!$X$3:$X$3000+INPUT!$Y$3:$Y$3000))),"")</f>
        <v>16</v>
      </c>
      <c r="GH4" s="42" cm="1">
        <f t="array" ref="GH4">IFERROR(IF(SUMPRODUCT((INPUT!$T$3:$T$3000=46130)*(INPUT!$U$3:$U$3000="CARLOS"))=0,"",SUMPRODUCT((INPUT!$T$3:$T$3000=46130)*(INPUT!$U$3:$U$3000="CARLOS")*(INPUT!$V$3:$V$3000+INPUT!$W$3:$W$3000+INPUT!$X$3:$X$3000+INPUT!$Y$3:$Y$3000))),"")</f>
        <v>18</v>
      </c>
      <c r="GI4" s="42" cm="1">
        <f t="array" ref="GI4">IFERROR(IF(SUMPRODUCT((INPUT!$T$3:$T$3000=46132)*(INPUT!$U$3:$U$3000="CARLOS"))=0,"",SUMPRODUCT((INPUT!$T$3:$T$3000=46132)*(INPUT!$U$3:$U$3000="CARLOS")*(INPUT!$V$3:$V$3000+INPUT!$W$3:$W$3000+INPUT!$X$3:$X$3000+INPUT!$Y$3:$Y$3000))),"")</f>
        <v>15</v>
      </c>
    </row>
    <row r="5" spans="1:191" x14ac:dyDescent="0.2">
      <c r="A5" t="s">
        <v>44</v>
      </c>
      <c r="B5" s="42" cm="1">
        <f t="array" ref="B5">IFERROR(IF(SUMPRODUCT((INPUT!$T$3:$T$3000=45868)*(INPUT!$U$3:$U$3000="CECILIO"))=0,"",SUMPRODUCT((INPUT!$T$3:$T$3000=45868)*(INPUT!$U$3:$U$3000="CECILIO")*(INPUT!$V$3:$V$3000+INPUT!$W$3:$W$3000+INPUT!$X$3:$X$3000+INPUT!$Y$3:$Y$3000))),"")</f>
        <v>16</v>
      </c>
      <c r="C5" s="42" cm="1">
        <f t="array" ref="C5">IFERROR(IF(SUMPRODUCT((INPUT!$T$3:$T$3000=45869)*(INPUT!$U$3:$U$3000="CECILIO"))=0,"",SUMPRODUCT((INPUT!$T$3:$T$3000=45869)*(INPUT!$U$3:$U$3000="CECILIO")*(INPUT!$V$3:$V$3000+INPUT!$W$3:$W$3000+INPUT!$X$3:$X$3000+INPUT!$Y$3:$Y$3000))),"")</f>
        <v>18</v>
      </c>
      <c r="D5" s="42" cm="1">
        <f t="array" ref="D5">IFERROR(IF(SUMPRODUCT((INPUT!$T$3:$T$3000=45870)*(INPUT!$U$3:$U$3000="CECILIO"))=0,"",SUMPRODUCT((INPUT!$T$3:$T$3000=45870)*(INPUT!$U$3:$U$3000="CECILIO")*(INPUT!$V$3:$V$3000+INPUT!$W$3:$W$3000+INPUT!$X$3:$X$3000+INPUT!$Y$3:$Y$3000))),"")</f>
        <v>16</v>
      </c>
      <c r="E5" s="42" cm="1">
        <f t="array" ref="E5">IFERROR(IF(SUMPRODUCT((INPUT!$T$3:$T$3000=45873)*(INPUT!$U$3:$U$3000="CECILIO"))=0,"",SUMPRODUCT((INPUT!$T$3:$T$3000=45873)*(INPUT!$U$3:$U$3000="CECILIO")*(INPUT!$V$3:$V$3000+INPUT!$W$3:$W$3000+INPUT!$X$3:$X$3000+INPUT!$Y$3:$Y$3000))),"")</f>
        <v>20</v>
      </c>
      <c r="F5" s="42" cm="1">
        <f t="array" ref="F5">IFERROR(IF(SUMPRODUCT((INPUT!$T$3:$T$3000=45874)*(INPUT!$U$3:$U$3000="CECILIO"))=0,"",SUMPRODUCT((INPUT!$T$3:$T$3000=45874)*(INPUT!$U$3:$U$3000="CECILIO")*(INPUT!$V$3:$V$3000+INPUT!$W$3:$W$3000+INPUT!$X$3:$X$3000+INPUT!$Y$3:$Y$3000))),"")</f>
        <v>16</v>
      </c>
      <c r="G5" s="42" cm="1">
        <f t="array" ref="G5">IFERROR(IF(SUMPRODUCT((INPUT!$T$3:$T$3000=45875)*(INPUT!$U$3:$U$3000="CECILIO"))=0,"",SUMPRODUCT((INPUT!$T$3:$T$3000=45875)*(INPUT!$U$3:$U$3000="CECILIO")*(INPUT!$V$3:$V$3000+INPUT!$W$3:$W$3000+INPUT!$X$3:$X$3000+INPUT!$Y$3:$Y$3000))),"")</f>
        <v>16</v>
      </c>
      <c r="H5" s="42" cm="1">
        <f t="array" ref="H5">IFERROR(IF(SUMPRODUCT((INPUT!$T$3:$T$3000=45876)*(INPUT!$U$3:$U$3000="CECILIO"))=0,"",SUMPRODUCT((INPUT!$T$3:$T$3000=45876)*(INPUT!$U$3:$U$3000="CECILIO")*(INPUT!$V$3:$V$3000+INPUT!$W$3:$W$3000+INPUT!$X$3:$X$3000+INPUT!$Y$3:$Y$3000))),"")</f>
        <v>18</v>
      </c>
      <c r="I5" s="42" cm="1">
        <f t="array" ref="I5">IFERROR(IF(SUMPRODUCT((INPUT!$T$3:$T$3000=45877)*(INPUT!$U$3:$U$3000="CECILIO"))=0,"",SUMPRODUCT((INPUT!$T$3:$T$3000=45877)*(INPUT!$U$3:$U$3000="CECILIO")*(INPUT!$V$3:$V$3000+INPUT!$W$3:$W$3000+INPUT!$X$3:$X$3000+INPUT!$Y$3:$Y$3000))),"")</f>
        <v>17</v>
      </c>
      <c r="J5" s="42" cm="1">
        <f t="array" ref="J5">IFERROR(IF(SUMPRODUCT((INPUT!$T$3:$T$3000=45878)*(INPUT!$U$3:$U$3000="CECILIO"))=0,"",SUMPRODUCT((INPUT!$T$3:$T$3000=45878)*(INPUT!$U$3:$U$3000="CECILIO")*(INPUT!$V$3:$V$3000+INPUT!$W$3:$W$3000+INPUT!$X$3:$X$3000+INPUT!$Y$3:$Y$3000))),"")</f>
        <v>17</v>
      </c>
      <c r="K5" s="42" cm="1">
        <f t="array" ref="K5">IFERROR(IF(SUMPRODUCT((INPUT!$T$3:$T$3000=45880)*(INPUT!$U$3:$U$3000="CECILIO"))=0,"",SUMPRODUCT((INPUT!$T$3:$T$3000=45880)*(INPUT!$U$3:$U$3000="CECILIO")*(INPUT!$V$3:$V$3000+INPUT!$W$3:$W$3000+INPUT!$X$3:$X$3000+INPUT!$Y$3:$Y$3000))),"")</f>
        <v>17</v>
      </c>
      <c r="L5" s="42" cm="1">
        <f t="array" ref="L5">IFERROR(IF(SUMPRODUCT((INPUT!$T$3:$T$3000=45881)*(INPUT!$U$3:$U$3000="CECILIO"))=0,"",SUMPRODUCT((INPUT!$T$3:$T$3000=45881)*(INPUT!$U$3:$U$3000="CECILIO")*(INPUT!$V$3:$V$3000+INPUT!$W$3:$W$3000+INPUT!$X$3:$X$3000+INPUT!$Y$3:$Y$3000))),"")</f>
        <v>17</v>
      </c>
      <c r="M5" s="42" cm="1">
        <f t="array" ref="M5">IFERROR(IF(SUMPRODUCT((INPUT!$T$3:$T$3000=45882)*(INPUT!$U$3:$U$3000="CECILIO"))=0,"",SUMPRODUCT((INPUT!$T$3:$T$3000=45882)*(INPUT!$U$3:$U$3000="CECILIO")*(INPUT!$V$3:$V$3000+INPUT!$W$3:$W$3000+INPUT!$X$3:$X$3000+INPUT!$Y$3:$Y$3000))),"")</f>
        <v>17</v>
      </c>
      <c r="N5" s="42" cm="1">
        <f t="array" ref="N5">IFERROR(IF(SUMPRODUCT((INPUT!$T$3:$T$3000=45883)*(INPUT!$U$3:$U$3000="CECILIO"))=0,"",SUMPRODUCT((INPUT!$T$3:$T$3000=45883)*(INPUT!$U$3:$U$3000="CECILIO")*(INPUT!$V$3:$V$3000+INPUT!$W$3:$W$3000+INPUT!$X$3:$X$3000+INPUT!$Y$3:$Y$3000))),"")</f>
        <v>19</v>
      </c>
      <c r="O5" s="42" cm="1">
        <f t="array" ref="O5">IFERROR(IF(SUMPRODUCT((INPUT!$T$3:$T$3000=45884)*(INPUT!$U$3:$U$3000="CECILIO"))=0,"",SUMPRODUCT((INPUT!$T$3:$T$3000=45884)*(INPUT!$U$3:$U$3000="CECILIO")*(INPUT!$V$3:$V$3000+INPUT!$W$3:$W$3000+INPUT!$X$3:$X$3000+INPUT!$Y$3:$Y$3000))),"")</f>
        <v>16</v>
      </c>
      <c r="P5" s="42" cm="1">
        <f t="array" ref="P5">IFERROR(IF(SUMPRODUCT((INPUT!$T$3:$T$3000=45887)*(INPUT!$U$3:$U$3000="CECILIO"))=0,"",SUMPRODUCT((INPUT!$T$3:$T$3000=45887)*(INPUT!$U$3:$U$3000="CECILIO")*(INPUT!$V$3:$V$3000+INPUT!$W$3:$W$3000+INPUT!$X$3:$X$3000+INPUT!$Y$3:$Y$3000))),"")</f>
        <v>16</v>
      </c>
      <c r="Q5" s="42" cm="1">
        <f t="array" ref="Q5">IFERROR(IF(SUMPRODUCT((INPUT!$T$3:$T$3000=45888)*(INPUT!$U$3:$U$3000="CECILIO"))=0,"",SUMPRODUCT((INPUT!$T$3:$T$3000=45888)*(INPUT!$U$3:$U$3000="CECILIO")*(INPUT!$V$3:$V$3000+INPUT!$W$3:$W$3000+INPUT!$X$3:$X$3000+INPUT!$Y$3:$Y$3000))),"")</f>
        <v>20</v>
      </c>
      <c r="R5" s="42" cm="1">
        <f t="array" ref="R5">IFERROR(IF(SUMPRODUCT((INPUT!$T$3:$T$3000=45889)*(INPUT!$U$3:$U$3000="CECILIO"))=0,"",SUMPRODUCT((INPUT!$T$3:$T$3000=45889)*(INPUT!$U$3:$U$3000="CECILIO")*(INPUT!$V$3:$V$3000+INPUT!$W$3:$W$3000+INPUT!$X$3:$X$3000+INPUT!$Y$3:$Y$3000))),"")</f>
        <v>19</v>
      </c>
      <c r="S5" s="42" cm="1">
        <f t="array" ref="S5">IFERROR(IF(SUMPRODUCT((INPUT!$T$3:$T$3000=45890)*(INPUT!$U$3:$U$3000="CECILIO"))=0,"",SUMPRODUCT((INPUT!$T$3:$T$3000=45890)*(INPUT!$U$3:$U$3000="CECILIO")*(INPUT!$V$3:$V$3000+INPUT!$W$3:$W$3000+INPUT!$X$3:$X$3000+INPUT!$Y$3:$Y$3000))),"")</f>
        <v>18</v>
      </c>
      <c r="T5" s="42" cm="1">
        <f t="array" ref="T5">IFERROR(IF(SUMPRODUCT((INPUT!$T$3:$T$3000=45891)*(INPUT!$U$3:$U$3000="CECILIO"))=0,"",SUMPRODUCT((INPUT!$T$3:$T$3000=45891)*(INPUT!$U$3:$U$3000="CECILIO")*(INPUT!$V$3:$V$3000+INPUT!$W$3:$W$3000+INPUT!$X$3:$X$3000+INPUT!$Y$3:$Y$3000))),"")</f>
        <v>18</v>
      </c>
      <c r="U5" s="42" cm="1">
        <f t="array" ref="U5">IFERROR(IF(SUMPRODUCT((INPUT!$T$3:$T$3000=45892)*(INPUT!$U$3:$U$3000="CECILIO"))=0,"",SUMPRODUCT((INPUT!$T$3:$T$3000=45892)*(INPUT!$U$3:$U$3000="CECILIO")*(INPUT!$V$3:$V$3000+INPUT!$W$3:$W$3000+INPUT!$X$3:$X$3000+INPUT!$Y$3:$Y$3000))),"")</f>
        <v>18</v>
      </c>
      <c r="V5" s="42" cm="1">
        <f t="array" ref="V5">IFERROR(IF(SUMPRODUCT((INPUT!$T$3:$T$3000=45893)*(INPUT!$U$3:$U$3000="CECILIO"))=0,"",SUMPRODUCT((INPUT!$T$3:$T$3000=45893)*(INPUT!$U$3:$U$3000="CECILIO")*(INPUT!$V$3:$V$3000+INPUT!$W$3:$W$3000+INPUT!$X$3:$X$3000+INPUT!$Y$3:$Y$3000))),"")</f>
        <v>18</v>
      </c>
      <c r="W5" s="42" cm="1">
        <f t="array" ref="W5">IFERROR(IF(SUMPRODUCT((INPUT!$T$3:$T$3000=45895)*(INPUT!$U$3:$U$3000="CECILIO"))=0,"",SUMPRODUCT((INPUT!$T$3:$T$3000=45895)*(INPUT!$U$3:$U$3000="CECILIO")*(INPUT!$V$3:$V$3000+INPUT!$W$3:$W$3000+INPUT!$X$3:$X$3000+INPUT!$Y$3:$Y$3000))),"")</f>
        <v>20</v>
      </c>
      <c r="X5" s="42" cm="1">
        <f t="array" ref="X5">IFERROR(IF(SUMPRODUCT((INPUT!$T$3:$T$3000=45896)*(INPUT!$U$3:$U$3000="CECILIO"))=0,"",SUMPRODUCT((INPUT!$T$3:$T$3000=45896)*(INPUT!$U$3:$U$3000="CECILIO")*(INPUT!$V$3:$V$3000+INPUT!$W$3:$W$3000+INPUT!$X$3:$X$3000+INPUT!$Y$3:$Y$3000))),"")</f>
        <v>18</v>
      </c>
      <c r="Y5" s="42" cm="1">
        <f t="array" ref="Y5">IFERROR(IF(SUMPRODUCT((INPUT!$T$3:$T$3000=45898)*(INPUT!$U$3:$U$3000="CECILIO"))=0,"",SUMPRODUCT((INPUT!$T$3:$T$3000=45898)*(INPUT!$U$3:$U$3000="CECILIO")*(INPUT!$V$3:$V$3000+INPUT!$W$3:$W$3000+INPUT!$X$3:$X$3000+INPUT!$Y$3:$Y$3000))),"")</f>
        <v>19</v>
      </c>
      <c r="Z5" s="42" cm="1">
        <f t="array" ref="Z5">IFERROR(IF(SUMPRODUCT((INPUT!$T$3:$T$3000=45899)*(INPUT!$U$3:$U$3000="CECILIO"))=0,"",SUMPRODUCT((INPUT!$T$3:$T$3000=45899)*(INPUT!$U$3:$U$3000="CECILIO")*(INPUT!$V$3:$V$3000+INPUT!$W$3:$W$3000+INPUT!$X$3:$X$3000+INPUT!$Y$3:$Y$3000))),"")</f>
        <v>20</v>
      </c>
      <c r="AA5" s="42" cm="1">
        <f t="array" ref="AA5">IFERROR(IF(SUMPRODUCT((INPUT!$T$3:$T$3000=45900)*(INPUT!$U$3:$U$3000="CECILIO"))=0,"",SUMPRODUCT((INPUT!$T$3:$T$3000=45900)*(INPUT!$U$3:$U$3000="CECILIO")*(INPUT!$V$3:$V$3000+INPUT!$W$3:$W$3000+INPUT!$X$3:$X$3000+INPUT!$Y$3:$Y$3000))),"")</f>
        <v>20</v>
      </c>
      <c r="AB5" s="42" cm="1">
        <f t="array" ref="AB5">IFERROR(IF(SUMPRODUCT((INPUT!$T$3:$T$3000=45902)*(INPUT!$U$3:$U$3000="CECILIO"))=0,"",SUMPRODUCT((INPUT!$T$3:$T$3000=45902)*(INPUT!$U$3:$U$3000="CECILIO")*(INPUT!$V$3:$V$3000+INPUT!$W$3:$W$3000+INPUT!$X$3:$X$3000+INPUT!$Y$3:$Y$3000))),"")</f>
        <v>20</v>
      </c>
      <c r="AC5" s="42" cm="1">
        <f t="array" ref="AC5">IFERROR(IF(SUMPRODUCT((INPUT!$T$3:$T$3000=45903)*(INPUT!$U$3:$U$3000="CECILIO"))=0,"",SUMPRODUCT((INPUT!$T$3:$T$3000=45903)*(INPUT!$U$3:$U$3000="CECILIO")*(INPUT!$V$3:$V$3000+INPUT!$W$3:$W$3000+INPUT!$X$3:$X$3000+INPUT!$Y$3:$Y$3000))),"")</f>
        <v>18</v>
      </c>
      <c r="AD5" s="42" cm="1">
        <f t="array" ref="AD5">IFERROR(IF(SUMPRODUCT((INPUT!$T$3:$T$3000=45904)*(INPUT!$U$3:$U$3000="CECILIO"))=0,"",SUMPRODUCT((INPUT!$T$3:$T$3000=45904)*(INPUT!$U$3:$U$3000="CECILIO")*(INPUT!$V$3:$V$3000+INPUT!$W$3:$W$3000+INPUT!$X$3:$X$3000+INPUT!$Y$3:$Y$3000))),"")</f>
        <v>18</v>
      </c>
      <c r="AE5" s="42" cm="1">
        <f t="array" ref="AE5">IFERROR(IF(SUMPRODUCT((INPUT!$T$3:$T$3000=45905)*(INPUT!$U$3:$U$3000="CECILIO"))=0,"",SUMPRODUCT((INPUT!$T$3:$T$3000=45905)*(INPUT!$U$3:$U$3000="CECILIO")*(INPUT!$V$3:$V$3000+INPUT!$W$3:$W$3000+INPUT!$X$3:$X$3000+INPUT!$Y$3:$Y$3000))),"")</f>
        <v>18</v>
      </c>
      <c r="AF5" s="42" cm="1">
        <f t="array" ref="AF5">IFERROR(IF(SUMPRODUCT((INPUT!$T$3:$T$3000=45906)*(INPUT!$U$3:$U$3000="CECILIO"))=0,"",SUMPRODUCT((INPUT!$T$3:$T$3000=45906)*(INPUT!$U$3:$U$3000="CECILIO")*(INPUT!$V$3:$V$3000+INPUT!$W$3:$W$3000+INPUT!$X$3:$X$3000+INPUT!$Y$3:$Y$3000))),"")</f>
        <v>20</v>
      </c>
      <c r="AG5" s="42" cm="1">
        <f t="array" ref="AG5">IFERROR(IF(SUMPRODUCT((INPUT!$T$3:$T$3000=45908)*(INPUT!$U$3:$U$3000="CECILIO"))=0,"",SUMPRODUCT((INPUT!$T$3:$T$3000=45908)*(INPUT!$U$3:$U$3000="CECILIO")*(INPUT!$V$3:$V$3000+INPUT!$W$3:$W$3000+INPUT!$X$3:$X$3000+INPUT!$Y$3:$Y$3000))),"")</f>
        <v>18</v>
      </c>
      <c r="AH5" s="42" cm="1">
        <f t="array" ref="AH5">IFERROR(IF(SUMPRODUCT((INPUT!$T$3:$T$3000=45909)*(INPUT!$U$3:$U$3000="CECILIO"))=0,"",SUMPRODUCT((INPUT!$T$3:$T$3000=45909)*(INPUT!$U$3:$U$3000="CECILIO")*(INPUT!$V$3:$V$3000+INPUT!$W$3:$W$3000+INPUT!$X$3:$X$3000+INPUT!$Y$3:$Y$3000))),"")</f>
        <v>20</v>
      </c>
      <c r="AI5" s="42" cm="1">
        <f t="array" ref="AI5">IFERROR(IF(SUMPRODUCT((INPUT!$T$3:$T$3000=45911)*(INPUT!$U$3:$U$3000="CECILIO"))=0,"",SUMPRODUCT((INPUT!$T$3:$T$3000=45911)*(INPUT!$U$3:$U$3000="CECILIO")*(INPUT!$V$3:$V$3000+INPUT!$W$3:$W$3000+INPUT!$X$3:$X$3000+INPUT!$Y$3:$Y$3000))),"")</f>
        <v>19</v>
      </c>
      <c r="AJ5" s="42" cm="1">
        <f t="array" ref="AJ5">IFERROR(IF(SUMPRODUCT((INPUT!$T$3:$T$3000=45912)*(INPUT!$U$3:$U$3000="CECILIO"))=0,"",SUMPRODUCT((INPUT!$T$3:$T$3000=45912)*(INPUT!$U$3:$U$3000="CECILIO")*(INPUT!$V$3:$V$3000+INPUT!$W$3:$W$3000+INPUT!$X$3:$X$3000+INPUT!$Y$3:$Y$3000))),"")</f>
        <v>18</v>
      </c>
      <c r="AK5" s="42" cm="1">
        <f t="array" ref="AK5">IFERROR(IF(SUMPRODUCT((INPUT!$T$3:$T$3000=45913)*(INPUT!$U$3:$U$3000="CECILIO"))=0,"",SUMPRODUCT((INPUT!$T$3:$T$3000=45913)*(INPUT!$U$3:$U$3000="CECILIO")*(INPUT!$V$3:$V$3000+INPUT!$W$3:$W$3000+INPUT!$X$3:$X$3000+INPUT!$Y$3:$Y$3000))),"")</f>
        <v>20</v>
      </c>
      <c r="AL5" s="42" cm="1">
        <f t="array" ref="AL5">IFERROR(IF(SUMPRODUCT((INPUT!$T$3:$T$3000=45915)*(INPUT!$U$3:$U$3000="CECILIO"))=0,"",SUMPRODUCT((INPUT!$T$3:$T$3000=45915)*(INPUT!$U$3:$U$3000="CECILIO")*(INPUT!$V$3:$V$3000+INPUT!$W$3:$W$3000+INPUT!$X$3:$X$3000+INPUT!$Y$3:$Y$3000))),"")</f>
        <v>18</v>
      </c>
      <c r="AM5" s="42" cm="1">
        <f t="array" ref="AM5">IFERROR(IF(SUMPRODUCT((INPUT!$T$3:$T$3000=45916)*(INPUT!$U$3:$U$3000="CECILIO"))=0,"",SUMPRODUCT((INPUT!$T$3:$T$3000=45916)*(INPUT!$U$3:$U$3000="CECILIO")*(INPUT!$V$3:$V$3000+INPUT!$W$3:$W$3000+INPUT!$X$3:$X$3000+INPUT!$Y$3:$Y$3000))),"")</f>
        <v>16</v>
      </c>
      <c r="AN5" s="42" cm="1">
        <f t="array" ref="AN5">IFERROR(IF(SUMPRODUCT((INPUT!$T$3:$T$3000=45917)*(INPUT!$U$3:$U$3000="CECILIO"))=0,"",SUMPRODUCT((INPUT!$T$3:$T$3000=45917)*(INPUT!$U$3:$U$3000="CECILIO")*(INPUT!$V$3:$V$3000+INPUT!$W$3:$W$3000+INPUT!$X$3:$X$3000+INPUT!$Y$3:$Y$3000))),"")</f>
        <v>16</v>
      </c>
      <c r="AO5" s="42" cm="1">
        <f t="array" ref="AO5">IFERROR(IF(SUMPRODUCT((INPUT!$T$3:$T$3000=45918)*(INPUT!$U$3:$U$3000="CECILIO"))=0,"",SUMPRODUCT((INPUT!$T$3:$T$3000=45918)*(INPUT!$U$3:$U$3000="CECILIO")*(INPUT!$V$3:$V$3000+INPUT!$W$3:$W$3000+INPUT!$X$3:$X$3000+INPUT!$Y$3:$Y$3000))),"")</f>
        <v>17</v>
      </c>
      <c r="AP5" s="42" cm="1">
        <f t="array" ref="AP5">IFERROR(IF(SUMPRODUCT((INPUT!$T$3:$T$3000=45919)*(INPUT!$U$3:$U$3000="CECILIO"))=0,"",SUMPRODUCT((INPUT!$T$3:$T$3000=45919)*(INPUT!$U$3:$U$3000="CECILIO")*(INPUT!$V$3:$V$3000+INPUT!$W$3:$W$3000+INPUT!$X$3:$X$3000+INPUT!$Y$3:$Y$3000))),"")</f>
        <v>17</v>
      </c>
      <c r="AQ5" s="42" cm="1">
        <f t="array" ref="AQ5">IFERROR(IF(SUMPRODUCT((INPUT!$T$3:$T$3000=45922)*(INPUT!$U$3:$U$3000="CECILIO"))=0,"",SUMPRODUCT((INPUT!$T$3:$T$3000=45922)*(INPUT!$U$3:$U$3000="CECILIO")*(INPUT!$V$3:$V$3000+INPUT!$W$3:$W$3000+INPUT!$X$3:$X$3000+INPUT!$Y$3:$Y$3000))),"")</f>
        <v>12</v>
      </c>
      <c r="AR5" s="42" cm="1">
        <f t="array" ref="AR5">IFERROR(IF(SUMPRODUCT((INPUT!$T$3:$T$3000=45923)*(INPUT!$U$3:$U$3000="CECILIO"))=0,"",SUMPRODUCT((INPUT!$T$3:$T$3000=45923)*(INPUT!$U$3:$U$3000="CECILIO")*(INPUT!$V$3:$V$3000+INPUT!$W$3:$W$3000+INPUT!$X$3:$X$3000+INPUT!$Y$3:$Y$3000))),"")</f>
        <v>16</v>
      </c>
      <c r="AS5" s="42" cm="1">
        <f t="array" ref="AS5">IFERROR(IF(SUMPRODUCT((INPUT!$T$3:$T$3000=45924)*(INPUT!$U$3:$U$3000="CECILIO"))=0,"",SUMPRODUCT((INPUT!$T$3:$T$3000=45924)*(INPUT!$U$3:$U$3000="CECILIO")*(INPUT!$V$3:$V$3000+INPUT!$W$3:$W$3000+INPUT!$X$3:$X$3000+INPUT!$Y$3:$Y$3000))),"")</f>
        <v>17</v>
      </c>
      <c r="AT5" s="42" cm="1">
        <f t="array" ref="AT5">IFERROR(IF(SUMPRODUCT((INPUT!$T$3:$T$3000=45925)*(INPUT!$U$3:$U$3000="CECILIO"))=0,"",SUMPRODUCT((INPUT!$T$3:$T$3000=45925)*(INPUT!$U$3:$U$3000="CECILIO")*(INPUT!$V$3:$V$3000+INPUT!$W$3:$W$3000+INPUT!$X$3:$X$3000+INPUT!$Y$3:$Y$3000))),"")</f>
        <v>17</v>
      </c>
      <c r="AU5" s="42" cm="1">
        <f t="array" ref="AU5">IFERROR(IF(SUMPRODUCT((INPUT!$T$3:$T$3000=45926)*(INPUT!$U$3:$U$3000="CECILIO"))=0,"",SUMPRODUCT((INPUT!$T$3:$T$3000=45926)*(INPUT!$U$3:$U$3000="CECILIO")*(INPUT!$V$3:$V$3000+INPUT!$W$3:$W$3000+INPUT!$X$3:$X$3000+INPUT!$Y$3:$Y$3000))),"")</f>
        <v>17</v>
      </c>
      <c r="AV5" s="42" cm="1">
        <f t="array" ref="AV5">IFERROR(IF(SUMPRODUCT((INPUT!$T$3:$T$3000=45927)*(INPUT!$U$3:$U$3000="CECILIO"))=0,"",SUMPRODUCT((INPUT!$T$3:$T$3000=45927)*(INPUT!$U$3:$U$3000="CECILIO")*(INPUT!$V$3:$V$3000+INPUT!$W$3:$W$3000+INPUT!$X$3:$X$3000+INPUT!$Y$3:$Y$3000))),"")</f>
        <v>18</v>
      </c>
      <c r="AW5" s="42" cm="1">
        <f t="array" ref="AW5">IFERROR(IF(SUMPRODUCT((INPUT!$T$3:$T$3000=45929)*(INPUT!$U$3:$U$3000="CECILIO"))=0,"",SUMPRODUCT((INPUT!$T$3:$T$3000=45929)*(INPUT!$U$3:$U$3000="CECILIO")*(INPUT!$V$3:$V$3000+INPUT!$W$3:$W$3000+INPUT!$X$3:$X$3000+INPUT!$Y$3:$Y$3000))),"")</f>
        <v>16</v>
      </c>
      <c r="AX5" s="42" cm="1">
        <f t="array" ref="AX5">IFERROR(IF(SUMPRODUCT((INPUT!$T$3:$T$3000=45930)*(INPUT!$U$3:$U$3000="CECILIO"))=0,"",SUMPRODUCT((INPUT!$T$3:$T$3000=45930)*(INPUT!$U$3:$U$3000="CECILIO")*(INPUT!$V$3:$V$3000+INPUT!$W$3:$W$3000+INPUT!$X$3:$X$3000+INPUT!$Y$3:$Y$3000))),"")</f>
        <v>16</v>
      </c>
      <c r="AY5" s="42" cm="1">
        <f t="array" ref="AY5">IFERROR(IF(SUMPRODUCT((INPUT!$T$3:$T$3000=45931)*(INPUT!$U$3:$U$3000="CECILIO"))=0,"",SUMPRODUCT((INPUT!$T$3:$T$3000=45931)*(INPUT!$U$3:$U$3000="CECILIO")*(INPUT!$V$3:$V$3000+INPUT!$W$3:$W$3000+INPUT!$X$3:$X$3000+INPUT!$Y$3:$Y$3000))),"")</f>
        <v>17</v>
      </c>
      <c r="AZ5" s="42" cm="1">
        <f t="array" ref="AZ5">IFERROR(IF(SUMPRODUCT((INPUT!$T$3:$T$3000=45932)*(INPUT!$U$3:$U$3000="CECILIO"))=0,"",SUMPRODUCT((INPUT!$T$3:$T$3000=45932)*(INPUT!$U$3:$U$3000="CECILIO")*(INPUT!$V$3:$V$3000+INPUT!$W$3:$W$3000+INPUT!$X$3:$X$3000+INPUT!$Y$3:$Y$3000))),"")</f>
        <v>17</v>
      </c>
      <c r="BA5" s="42" cm="1">
        <f t="array" ref="BA5">IFERROR(IF(SUMPRODUCT((INPUT!$T$3:$T$3000=45933)*(INPUT!$U$3:$U$3000="CECILIO"))=0,"",SUMPRODUCT((INPUT!$T$3:$T$3000=45933)*(INPUT!$U$3:$U$3000="CECILIO")*(INPUT!$V$3:$V$3000+INPUT!$W$3:$W$3000+INPUT!$X$3:$X$3000+INPUT!$Y$3:$Y$3000))),"")</f>
        <v>17</v>
      </c>
      <c r="BB5" s="42" cm="1">
        <f t="array" ref="BB5">IFERROR(IF(SUMPRODUCT((INPUT!$T$3:$T$3000=45934)*(INPUT!$U$3:$U$3000="CECILIO"))=0,"",SUMPRODUCT((INPUT!$T$3:$T$3000=45934)*(INPUT!$U$3:$U$3000="CECILIO")*(INPUT!$V$3:$V$3000+INPUT!$W$3:$W$3000+INPUT!$X$3:$X$3000+INPUT!$Y$3:$Y$3000))),"")</f>
        <v>20</v>
      </c>
      <c r="BC5" s="42" cm="1">
        <f t="array" ref="BC5">IFERROR(IF(SUMPRODUCT((INPUT!$T$3:$T$3000=45936)*(INPUT!$U$3:$U$3000="CECILIO"))=0,"",SUMPRODUCT((INPUT!$T$3:$T$3000=45936)*(INPUT!$U$3:$U$3000="CECILIO")*(INPUT!$V$3:$V$3000+INPUT!$W$3:$W$3000+INPUT!$X$3:$X$3000+INPUT!$Y$3:$Y$3000))),"")</f>
        <v>18</v>
      </c>
      <c r="BD5" s="42" cm="1">
        <f t="array" ref="BD5">IFERROR(IF(SUMPRODUCT((INPUT!$T$3:$T$3000=45937)*(INPUT!$U$3:$U$3000="CECILIO"))=0,"",SUMPRODUCT((INPUT!$T$3:$T$3000=45937)*(INPUT!$U$3:$U$3000="CECILIO")*(INPUT!$V$3:$V$3000+INPUT!$W$3:$W$3000+INPUT!$X$3:$X$3000+INPUT!$Y$3:$Y$3000))),"")</f>
        <v>18</v>
      </c>
      <c r="BE5" s="42" cm="1">
        <f t="array" ref="BE5">IFERROR(IF(SUMPRODUCT((INPUT!$T$3:$T$3000=45938)*(INPUT!$U$3:$U$3000="CECILIO"))=0,"",SUMPRODUCT((INPUT!$T$3:$T$3000=45938)*(INPUT!$U$3:$U$3000="CECILIO")*(INPUT!$V$3:$V$3000+INPUT!$W$3:$W$3000+INPUT!$X$3:$X$3000+INPUT!$Y$3:$Y$3000))),"")</f>
        <v>20</v>
      </c>
      <c r="BF5" s="42" cm="1">
        <f t="array" ref="BF5">IFERROR(IF(SUMPRODUCT((INPUT!$T$3:$T$3000=45940)*(INPUT!$U$3:$U$3000="CECILIO"))=0,"",SUMPRODUCT((INPUT!$T$3:$T$3000=45940)*(INPUT!$U$3:$U$3000="CECILIO")*(INPUT!$V$3:$V$3000+INPUT!$W$3:$W$3000+INPUT!$X$3:$X$3000+INPUT!$Y$3:$Y$3000))),"")</f>
        <v>18</v>
      </c>
      <c r="BG5" s="42" cm="1">
        <f t="array" ref="BG5">IFERROR(IF(SUMPRODUCT((INPUT!$T$3:$T$3000=45941)*(INPUT!$U$3:$U$3000="CECILIO"))=0,"",SUMPRODUCT((INPUT!$T$3:$T$3000=45941)*(INPUT!$U$3:$U$3000="CECILIO")*(INPUT!$V$3:$V$3000+INPUT!$W$3:$W$3000+INPUT!$X$3:$X$3000+INPUT!$Y$3:$Y$3000))),"")</f>
        <v>18</v>
      </c>
      <c r="BH5" s="42" cm="1">
        <f t="array" ref="BH5">IFERROR(IF(SUMPRODUCT((INPUT!$T$3:$T$3000=45942)*(INPUT!$U$3:$U$3000="CECILIO"))=0,"",SUMPRODUCT((INPUT!$T$3:$T$3000=45942)*(INPUT!$U$3:$U$3000="CECILIO")*(INPUT!$V$3:$V$3000+INPUT!$W$3:$W$3000+INPUT!$X$3:$X$3000+INPUT!$Y$3:$Y$3000))),"")</f>
        <v>20</v>
      </c>
      <c r="BI5" s="42" cm="1">
        <f t="array" ref="BI5">IFERROR(IF(SUMPRODUCT((INPUT!$T$3:$T$3000=45945)*(INPUT!$U$3:$U$3000="CECILIO"))=0,"",SUMPRODUCT((INPUT!$T$3:$T$3000=45945)*(INPUT!$U$3:$U$3000="CECILIO")*(INPUT!$V$3:$V$3000+INPUT!$W$3:$W$3000+INPUT!$X$3:$X$3000+INPUT!$Y$3:$Y$3000))),"")</f>
        <v>20</v>
      </c>
      <c r="BJ5" s="42" cm="1">
        <f t="array" ref="BJ5">IFERROR(IF(SUMPRODUCT((INPUT!$T$3:$T$3000=45946)*(INPUT!$U$3:$U$3000="CECILIO"))=0,"",SUMPRODUCT((INPUT!$T$3:$T$3000=45946)*(INPUT!$U$3:$U$3000="CECILIO")*(INPUT!$V$3:$V$3000+INPUT!$W$3:$W$3000+INPUT!$X$3:$X$3000+INPUT!$Y$3:$Y$3000))),"")</f>
        <v>19</v>
      </c>
      <c r="BK5" s="42" cm="1">
        <f t="array" ref="BK5">IFERROR(IF(SUMPRODUCT((INPUT!$T$3:$T$3000=45947)*(INPUT!$U$3:$U$3000="CECILIO"))=0,"",SUMPRODUCT((INPUT!$T$3:$T$3000=45947)*(INPUT!$U$3:$U$3000="CECILIO")*(INPUT!$V$3:$V$3000+INPUT!$W$3:$W$3000+INPUT!$X$3:$X$3000+INPUT!$Y$3:$Y$3000))),"")</f>
        <v>20</v>
      </c>
      <c r="BL5" s="42" cm="1">
        <f t="array" ref="BL5">IFERROR(IF(SUMPRODUCT((INPUT!$T$3:$T$3000=45950)*(INPUT!$U$3:$U$3000="CECILIO"))=0,"",SUMPRODUCT((INPUT!$T$3:$T$3000=45950)*(INPUT!$U$3:$U$3000="CECILIO")*(INPUT!$V$3:$V$3000+INPUT!$W$3:$W$3000+INPUT!$X$3:$X$3000+INPUT!$Y$3:$Y$3000))),"")</f>
        <v>18</v>
      </c>
      <c r="BM5" s="42" cm="1">
        <f t="array" ref="BM5">IFERROR(IF(SUMPRODUCT((INPUT!$T$3:$T$3000=45951)*(INPUT!$U$3:$U$3000="CECILIO"))=0,"",SUMPRODUCT((INPUT!$T$3:$T$3000=45951)*(INPUT!$U$3:$U$3000="CECILIO")*(INPUT!$V$3:$V$3000+INPUT!$W$3:$W$3000+INPUT!$X$3:$X$3000+INPUT!$Y$3:$Y$3000))),"")</f>
        <v>19</v>
      </c>
      <c r="BN5" s="42" cm="1">
        <f t="array" ref="BN5">IFERROR(IF(SUMPRODUCT((INPUT!$T$3:$T$3000=45952)*(INPUT!$U$3:$U$3000="CECILIO"))=0,"",SUMPRODUCT((INPUT!$T$3:$T$3000=45952)*(INPUT!$U$3:$U$3000="CECILIO")*(INPUT!$V$3:$V$3000+INPUT!$W$3:$W$3000+INPUT!$X$3:$X$3000+INPUT!$Y$3:$Y$3000))),"")</f>
        <v>18</v>
      </c>
      <c r="BO5" s="42" cm="1">
        <f t="array" ref="BO5">IFERROR(IF(SUMPRODUCT((INPUT!$T$3:$T$3000=45953)*(INPUT!$U$3:$U$3000="CECILIO"))=0,"",SUMPRODUCT((INPUT!$T$3:$T$3000=45953)*(INPUT!$U$3:$U$3000="CECILIO")*(INPUT!$V$3:$V$3000+INPUT!$W$3:$W$3000+INPUT!$X$3:$X$3000+INPUT!$Y$3:$Y$3000))),"")</f>
        <v>18</v>
      </c>
      <c r="BP5" s="42" cm="1">
        <f t="array" ref="BP5">IFERROR(IF(SUMPRODUCT((INPUT!$T$3:$T$3000=45954)*(INPUT!$U$3:$U$3000="CECILIO"))=0,"",SUMPRODUCT((INPUT!$T$3:$T$3000=45954)*(INPUT!$U$3:$U$3000="CECILIO")*(INPUT!$V$3:$V$3000+INPUT!$W$3:$W$3000+INPUT!$X$3:$X$3000+INPUT!$Y$3:$Y$3000))),"")</f>
        <v>18</v>
      </c>
      <c r="BQ5" s="42" cm="1">
        <f t="array" ref="BQ5">IFERROR(IF(SUMPRODUCT((INPUT!$T$3:$T$3000=45955)*(INPUT!$U$3:$U$3000="CECILIO"))=0,"",SUMPRODUCT((INPUT!$T$3:$T$3000=45955)*(INPUT!$U$3:$U$3000="CECILIO")*(INPUT!$V$3:$V$3000+INPUT!$W$3:$W$3000+INPUT!$X$3:$X$3000+INPUT!$Y$3:$Y$3000))),"")</f>
        <v>20</v>
      </c>
      <c r="BR5" s="42" cm="1">
        <f t="array" ref="BR5">IFERROR(IF(SUMPRODUCT((INPUT!$T$3:$T$3000=45958)*(INPUT!$U$3:$U$3000="CECILIO"))=0,"",SUMPRODUCT((INPUT!$T$3:$T$3000=45958)*(INPUT!$U$3:$U$3000="CECILIO")*(INPUT!$V$3:$V$3000+INPUT!$W$3:$W$3000+INPUT!$X$3:$X$3000+INPUT!$Y$3:$Y$3000))),"")</f>
        <v>20</v>
      </c>
      <c r="BS5" s="42" cm="1">
        <f t="array" ref="BS5">IFERROR(IF(SUMPRODUCT((INPUT!$T$3:$T$3000=45959)*(INPUT!$U$3:$U$3000="CECILIO"))=0,"",SUMPRODUCT((INPUT!$T$3:$T$3000=45959)*(INPUT!$U$3:$U$3000="CECILIO")*(INPUT!$V$3:$V$3000+INPUT!$W$3:$W$3000+INPUT!$X$3:$X$3000+INPUT!$Y$3:$Y$3000))),"")</f>
        <v>20</v>
      </c>
      <c r="BT5" s="42" cm="1">
        <f t="array" ref="BT5">IFERROR(IF(SUMPRODUCT((INPUT!$T$3:$T$3000=45960)*(INPUT!$U$3:$U$3000="CECILIO"))=0,"",SUMPRODUCT((INPUT!$T$3:$T$3000=45960)*(INPUT!$U$3:$U$3000="CECILIO")*(INPUT!$V$3:$V$3000+INPUT!$W$3:$W$3000+INPUT!$X$3:$X$3000+INPUT!$Y$3:$Y$3000))),"")</f>
        <v>20</v>
      </c>
      <c r="BU5" s="42" cm="1">
        <f t="array" ref="BU5">IFERROR(IF(SUMPRODUCT((INPUT!$T$3:$T$3000=45961)*(INPUT!$U$3:$U$3000="CECILIO"))=0,"",SUMPRODUCT((INPUT!$T$3:$T$3000=45961)*(INPUT!$U$3:$U$3000="CECILIO")*(INPUT!$V$3:$V$3000+INPUT!$W$3:$W$3000+INPUT!$X$3:$X$3000+INPUT!$Y$3:$Y$3000))),"")</f>
        <v>20</v>
      </c>
      <c r="BV5" s="42" cm="1">
        <f t="array" ref="BV5">IFERROR(IF(SUMPRODUCT((INPUT!$T$3:$T$3000=45964)*(INPUT!$U$3:$U$3000="CECILIO"))=0,"",SUMPRODUCT((INPUT!$T$3:$T$3000=45964)*(INPUT!$U$3:$U$3000="CECILIO")*(INPUT!$V$3:$V$3000+INPUT!$W$3:$W$3000+INPUT!$X$3:$X$3000+INPUT!$Y$3:$Y$3000))),"")</f>
        <v>20</v>
      </c>
      <c r="BW5" s="42" cm="1">
        <f t="array" ref="BW5">IFERROR(IF(SUMPRODUCT((INPUT!$T$3:$T$3000=45965)*(INPUT!$U$3:$U$3000="CECILIO"))=0,"",SUMPRODUCT((INPUT!$T$3:$T$3000=45965)*(INPUT!$U$3:$U$3000="CECILIO")*(INPUT!$V$3:$V$3000+INPUT!$W$3:$W$3000+INPUT!$X$3:$X$3000+INPUT!$Y$3:$Y$3000))),"")</f>
        <v>20</v>
      </c>
      <c r="BX5" s="42" cm="1">
        <f t="array" ref="BX5">IFERROR(IF(SUMPRODUCT((INPUT!$T$3:$T$3000=45966)*(INPUT!$U$3:$U$3000="CECILIO"))=0,"",SUMPRODUCT((INPUT!$T$3:$T$3000=45966)*(INPUT!$U$3:$U$3000="CECILIO")*(INPUT!$V$3:$V$3000+INPUT!$W$3:$W$3000+INPUT!$X$3:$X$3000+INPUT!$Y$3:$Y$3000))),"")</f>
        <v>16</v>
      </c>
      <c r="BY5" s="42" cm="1">
        <f t="array" ref="BY5">IFERROR(IF(SUMPRODUCT((INPUT!$T$3:$T$3000=45967)*(INPUT!$U$3:$U$3000="CECILIO"))=0,"",SUMPRODUCT((INPUT!$T$3:$T$3000=45967)*(INPUT!$U$3:$U$3000="CECILIO")*(INPUT!$V$3:$V$3000+INPUT!$W$3:$W$3000+INPUT!$X$3:$X$3000+INPUT!$Y$3:$Y$3000))),"")</f>
        <v>20</v>
      </c>
      <c r="BZ5" s="42" cm="1">
        <f t="array" ref="BZ5">IFERROR(IF(SUMPRODUCT((INPUT!$T$3:$T$3000=45968)*(INPUT!$U$3:$U$3000="CECILIO"))=0,"",SUMPRODUCT((INPUT!$T$3:$T$3000=45968)*(INPUT!$U$3:$U$3000="CECILIO")*(INPUT!$V$3:$V$3000+INPUT!$W$3:$W$3000+INPUT!$X$3:$X$3000+INPUT!$Y$3:$Y$3000))),"")</f>
        <v>20</v>
      </c>
      <c r="CA5" s="42" t="str" cm="1">
        <f t="array" ref="CA5">IFERROR(IF(SUMPRODUCT((INPUT!$T$3:$T$3000=45971)*(INPUT!$U$3:$U$3000="CECILIO"))=0,"",SUMPRODUCT((INPUT!$T$3:$T$3000=45971)*(INPUT!$U$3:$U$3000="CECILIO")*(INPUT!$V$3:$V$3000+INPUT!$W$3:$W$3000+INPUT!$X$3:$X$3000+INPUT!$Y$3:$Y$3000))),"")</f>
        <v/>
      </c>
      <c r="CB5" s="42" t="str" cm="1">
        <f t="array" ref="CB5">IFERROR(IF(SUMPRODUCT((INPUT!$T$3:$T$3000=45972)*(INPUT!$U$3:$U$3000="CECILIO"))=0,"",SUMPRODUCT((INPUT!$T$3:$T$3000=45972)*(INPUT!$U$3:$U$3000="CECILIO")*(INPUT!$V$3:$V$3000+INPUT!$W$3:$W$3000+INPUT!$X$3:$X$3000+INPUT!$Y$3:$Y$3000))),"")</f>
        <v/>
      </c>
      <c r="CC5" s="42" cm="1">
        <f t="array" ref="CC5">IFERROR(IF(SUMPRODUCT((INPUT!$T$3:$T$3000=45974)*(INPUT!$U$3:$U$3000="CECILIO"))=0,"",SUMPRODUCT((INPUT!$T$3:$T$3000=45974)*(INPUT!$U$3:$U$3000="CECILIO")*(INPUT!$V$3:$V$3000+INPUT!$W$3:$W$3000+INPUT!$X$3:$X$3000+INPUT!$Y$3:$Y$3000))),"")</f>
        <v>20</v>
      </c>
      <c r="CD5" s="42" cm="1">
        <f t="array" ref="CD5">IFERROR(IF(SUMPRODUCT((INPUT!$T$3:$T$3000=45975)*(INPUT!$U$3:$U$3000="CECILIO"))=0,"",SUMPRODUCT((INPUT!$T$3:$T$3000=45975)*(INPUT!$U$3:$U$3000="CECILIO")*(INPUT!$V$3:$V$3000+INPUT!$W$3:$W$3000+INPUT!$X$3:$X$3000+INPUT!$Y$3:$Y$3000))),"")</f>
        <v>20</v>
      </c>
      <c r="CE5" s="42" cm="1">
        <f t="array" ref="CE5">IFERROR(IF(SUMPRODUCT((INPUT!$T$3:$T$3000=45976)*(INPUT!$U$3:$U$3000="CECILIO"))=0,"",SUMPRODUCT((INPUT!$T$3:$T$3000=45976)*(INPUT!$U$3:$U$3000="CECILIO")*(INPUT!$V$3:$V$3000+INPUT!$W$3:$W$3000+INPUT!$X$3:$X$3000+INPUT!$Y$3:$Y$3000))),"")</f>
        <v>20</v>
      </c>
      <c r="CF5" s="42" cm="1">
        <f t="array" ref="CF5">IFERROR(IF(SUMPRODUCT((INPUT!$T$3:$T$3000=45978)*(INPUT!$U$3:$U$3000="CECILIO"))=0,"",SUMPRODUCT((INPUT!$T$3:$T$3000=45978)*(INPUT!$U$3:$U$3000="CECILIO")*(INPUT!$V$3:$V$3000+INPUT!$W$3:$W$3000+INPUT!$X$3:$X$3000+INPUT!$Y$3:$Y$3000))),"")</f>
        <v>20</v>
      </c>
      <c r="CG5" s="42" cm="1">
        <f t="array" ref="CG5">IFERROR(IF(SUMPRODUCT((INPUT!$T$3:$T$3000=45979)*(INPUT!$U$3:$U$3000="CECILIO"))=0,"",SUMPRODUCT((INPUT!$T$3:$T$3000=45979)*(INPUT!$U$3:$U$3000="CECILIO")*(INPUT!$V$3:$V$3000+INPUT!$W$3:$W$3000+INPUT!$X$3:$X$3000+INPUT!$Y$3:$Y$3000))),"")</f>
        <v>20</v>
      </c>
      <c r="CH5" s="42" cm="1">
        <f t="array" ref="CH5">IFERROR(IF(SUMPRODUCT((INPUT!$T$3:$T$3000=45980)*(INPUT!$U$3:$U$3000="CECILIO"))=0,"",SUMPRODUCT((INPUT!$T$3:$T$3000=45980)*(INPUT!$U$3:$U$3000="CECILIO")*(INPUT!$V$3:$V$3000+INPUT!$W$3:$W$3000+INPUT!$X$3:$X$3000+INPUT!$Y$3:$Y$3000))),"")</f>
        <v>20</v>
      </c>
      <c r="CI5" s="42" cm="1">
        <f t="array" ref="CI5">IFERROR(IF(SUMPRODUCT((INPUT!$T$3:$T$3000=45982)*(INPUT!$U$3:$U$3000="CECILIO"))=0,"",SUMPRODUCT((INPUT!$T$3:$T$3000=45982)*(INPUT!$U$3:$U$3000="CECILIO")*(INPUT!$V$3:$V$3000+INPUT!$W$3:$W$3000+INPUT!$X$3:$X$3000+INPUT!$Y$3:$Y$3000))),"")</f>
        <v>18</v>
      </c>
      <c r="CJ5" s="42" cm="1">
        <f t="array" ref="CJ5">IFERROR(IF(SUMPRODUCT((INPUT!$T$3:$T$3000=45983)*(INPUT!$U$3:$U$3000="CECILIO"))=0,"",SUMPRODUCT((INPUT!$T$3:$T$3000=45983)*(INPUT!$U$3:$U$3000="CECILIO")*(INPUT!$V$3:$V$3000+INPUT!$W$3:$W$3000+INPUT!$X$3:$X$3000+INPUT!$Y$3:$Y$3000))),"")</f>
        <v>20</v>
      </c>
      <c r="CK5" s="42" cm="1">
        <f t="array" ref="CK5">IFERROR(IF(SUMPRODUCT((INPUT!$T$3:$T$3000=45985)*(INPUT!$U$3:$U$3000="CECILIO"))=0,"",SUMPRODUCT((INPUT!$T$3:$T$3000=45985)*(INPUT!$U$3:$U$3000="CECILIO")*(INPUT!$V$3:$V$3000+INPUT!$W$3:$W$3000+INPUT!$X$3:$X$3000+INPUT!$Y$3:$Y$3000))),"")</f>
        <v>20</v>
      </c>
      <c r="CL5" s="42" cm="1">
        <f t="array" ref="CL5">IFERROR(IF(SUMPRODUCT((INPUT!$T$3:$T$3000=45986)*(INPUT!$U$3:$U$3000="CECILIO"))=0,"",SUMPRODUCT((INPUT!$T$3:$T$3000=45986)*(INPUT!$U$3:$U$3000="CECILIO")*(INPUT!$V$3:$V$3000+INPUT!$W$3:$W$3000+INPUT!$X$3:$X$3000+INPUT!$Y$3:$Y$3000))),"")</f>
        <v>20</v>
      </c>
      <c r="CM5" s="42" cm="1">
        <f t="array" ref="CM5">IFERROR(IF(SUMPRODUCT((INPUT!$T$3:$T$3000=45987)*(INPUT!$U$3:$U$3000="CECILIO"))=0,"",SUMPRODUCT((INPUT!$T$3:$T$3000=45987)*(INPUT!$U$3:$U$3000="CECILIO")*(INPUT!$V$3:$V$3000+INPUT!$W$3:$W$3000+INPUT!$X$3:$X$3000+INPUT!$Y$3:$Y$3000))),"")</f>
        <v>18</v>
      </c>
      <c r="CN5" s="42" cm="1">
        <f t="array" ref="CN5">IFERROR(IF(SUMPRODUCT((INPUT!$T$3:$T$3000=45988)*(INPUT!$U$3:$U$3000="CECILIO"))=0,"",SUMPRODUCT((INPUT!$T$3:$T$3000=45988)*(INPUT!$U$3:$U$3000="CECILIO")*(INPUT!$V$3:$V$3000+INPUT!$W$3:$W$3000+INPUT!$X$3:$X$3000+INPUT!$Y$3:$Y$3000))),"")</f>
        <v>19</v>
      </c>
      <c r="CO5" s="42" cm="1">
        <f t="array" ref="CO5">IFERROR(IF(SUMPRODUCT((INPUT!$T$3:$T$3000=45989)*(INPUT!$U$3:$U$3000="CECILIO"))=0,"",SUMPRODUCT((INPUT!$T$3:$T$3000=45989)*(INPUT!$U$3:$U$3000="CECILIO")*(INPUT!$V$3:$V$3000+INPUT!$W$3:$W$3000+INPUT!$X$3:$X$3000+INPUT!$Y$3:$Y$3000))),"")</f>
        <v>20</v>
      </c>
      <c r="CP5" s="42" cm="1">
        <f t="array" ref="CP5">IFERROR(IF(SUMPRODUCT((INPUT!$T$3:$T$3000=45992)*(INPUT!$U$3:$U$3000="CECILIO"))=0,"",SUMPRODUCT((INPUT!$T$3:$T$3000=45992)*(INPUT!$U$3:$U$3000="CECILIO")*(INPUT!$V$3:$V$3000+INPUT!$W$3:$W$3000+INPUT!$X$3:$X$3000+INPUT!$Y$3:$Y$3000))),"")</f>
        <v>20</v>
      </c>
      <c r="CQ5" s="42" cm="1">
        <f t="array" ref="CQ5">IFERROR(IF(SUMPRODUCT((INPUT!$T$3:$T$3000=45993)*(INPUT!$U$3:$U$3000="CECILIO"))=0,"",SUMPRODUCT((INPUT!$T$3:$T$3000=45993)*(INPUT!$U$3:$U$3000="CECILIO")*(INPUT!$V$3:$V$3000+INPUT!$W$3:$W$3000+INPUT!$X$3:$X$3000+INPUT!$Y$3:$Y$3000))),"")</f>
        <v>20</v>
      </c>
      <c r="CR5" s="42" cm="1">
        <f t="array" ref="CR5">IFERROR(IF(SUMPRODUCT((INPUT!$T$3:$T$3000=45994)*(INPUT!$U$3:$U$3000="CECILIO"))=0,"",SUMPRODUCT((INPUT!$T$3:$T$3000=45994)*(INPUT!$U$3:$U$3000="CECILIO")*(INPUT!$V$3:$V$3000+INPUT!$W$3:$W$3000+INPUT!$X$3:$X$3000+INPUT!$Y$3:$Y$3000))),"")</f>
        <v>17</v>
      </c>
      <c r="CS5" s="42" cm="1">
        <f t="array" ref="CS5">IFERROR(IF(SUMPRODUCT((INPUT!$T$3:$T$3000=45995)*(INPUT!$U$3:$U$3000="CECILIO"))=0,"",SUMPRODUCT((INPUT!$T$3:$T$3000=45995)*(INPUT!$U$3:$U$3000="CECILIO")*(INPUT!$V$3:$V$3000+INPUT!$W$3:$W$3000+INPUT!$X$3:$X$3000+INPUT!$Y$3:$Y$3000))),"")</f>
        <v>19</v>
      </c>
      <c r="CT5" s="42" cm="1">
        <f t="array" ref="CT5">IFERROR(IF(SUMPRODUCT((INPUT!$T$3:$T$3000=45996)*(INPUT!$U$3:$U$3000="CECILIO"))=0,"",SUMPRODUCT((INPUT!$T$3:$T$3000=45996)*(INPUT!$U$3:$U$3000="CECILIO")*(INPUT!$V$3:$V$3000+INPUT!$W$3:$W$3000+INPUT!$X$3:$X$3000+INPUT!$Y$3:$Y$3000))),"")</f>
        <v>18</v>
      </c>
      <c r="CU5" s="42" cm="1">
        <f t="array" ref="CU5">IFERROR(IF(SUMPRODUCT((INPUT!$T$3:$T$3000=45997)*(INPUT!$U$3:$U$3000="CECILIO"))=0,"",SUMPRODUCT((INPUT!$T$3:$T$3000=45997)*(INPUT!$U$3:$U$3000="CECILIO")*(INPUT!$V$3:$V$3000+INPUT!$W$3:$W$3000+INPUT!$X$3:$X$3000+INPUT!$Y$3:$Y$3000))),"")</f>
        <v>17</v>
      </c>
      <c r="CV5" s="42" cm="1">
        <f t="array" ref="CV5">IFERROR(IF(SUMPRODUCT((INPUT!$T$3:$T$3000=45999)*(INPUT!$U$3:$U$3000="CECILIO"))=0,"",SUMPRODUCT((INPUT!$T$3:$T$3000=45999)*(INPUT!$U$3:$U$3000="CECILIO")*(INPUT!$V$3:$V$3000+INPUT!$W$3:$W$3000+INPUT!$X$3:$X$3000+INPUT!$Y$3:$Y$3000))),"")</f>
        <v>19</v>
      </c>
      <c r="CW5" s="42" cm="1">
        <f t="array" ref="CW5">IFERROR(IF(SUMPRODUCT((INPUT!$T$3:$T$3000=46000)*(INPUT!$U$3:$U$3000="CECILIO"))=0,"",SUMPRODUCT((INPUT!$T$3:$T$3000=46000)*(INPUT!$U$3:$U$3000="CECILIO")*(INPUT!$V$3:$V$3000+INPUT!$W$3:$W$3000+INPUT!$X$3:$X$3000+INPUT!$Y$3:$Y$3000))),"")</f>
        <v>19</v>
      </c>
      <c r="CX5" s="42" cm="1">
        <f t="array" ref="CX5">IFERROR(IF(SUMPRODUCT((INPUT!$T$3:$T$3000=46001)*(INPUT!$U$3:$U$3000="CECILIO"))=0,"",SUMPRODUCT((INPUT!$T$3:$T$3000=46001)*(INPUT!$U$3:$U$3000="CECILIO")*(INPUT!$V$3:$V$3000+INPUT!$W$3:$W$3000+INPUT!$X$3:$X$3000+INPUT!$Y$3:$Y$3000))),"")</f>
        <v>15</v>
      </c>
      <c r="CY5" s="42" cm="1">
        <f t="array" ref="CY5">IFERROR(IF(SUMPRODUCT((INPUT!$T$3:$T$3000=46002)*(INPUT!$U$3:$U$3000="CECILIO"))=0,"",SUMPRODUCT((INPUT!$T$3:$T$3000=46002)*(INPUT!$U$3:$U$3000="CECILIO")*(INPUT!$V$3:$V$3000+INPUT!$W$3:$W$3000+INPUT!$X$3:$X$3000+INPUT!$Y$3:$Y$3000))),"")</f>
        <v>18</v>
      </c>
      <c r="CZ5" s="42" cm="1">
        <f t="array" ref="CZ5">IFERROR(IF(SUMPRODUCT((INPUT!$T$3:$T$3000=46003)*(INPUT!$U$3:$U$3000="CECILIO"))=0,"",SUMPRODUCT((INPUT!$T$3:$T$3000=46003)*(INPUT!$U$3:$U$3000="CECILIO")*(INPUT!$V$3:$V$3000+INPUT!$W$3:$W$3000+INPUT!$X$3:$X$3000+INPUT!$Y$3:$Y$3000))),"")</f>
        <v>19</v>
      </c>
      <c r="DA5" s="42" cm="1">
        <f t="array" ref="DA5">IFERROR(IF(SUMPRODUCT((INPUT!$T$3:$T$3000=46004)*(INPUT!$U$3:$U$3000="CECILIO"))=0,"",SUMPRODUCT((INPUT!$T$3:$T$3000=46004)*(INPUT!$U$3:$U$3000="CECILIO")*(INPUT!$V$3:$V$3000+INPUT!$W$3:$W$3000+INPUT!$X$3:$X$3000+INPUT!$Y$3:$Y$3000))),"")</f>
        <v>20</v>
      </c>
      <c r="DB5" s="42" t="str" cm="1">
        <f t="array" ref="DB5">IFERROR(IF(SUMPRODUCT((INPUT!$T$3:$T$3000=46007)*(INPUT!$U$3:$U$3000="CECILIO"))=0,"",SUMPRODUCT((INPUT!$T$3:$T$3000=46007)*(INPUT!$U$3:$U$3000="CECILIO")*(INPUT!$V$3:$V$3000+INPUT!$W$3:$W$3000+INPUT!$X$3:$X$3000+INPUT!$Y$3:$Y$3000))),"")</f>
        <v/>
      </c>
      <c r="DC5" s="42" cm="1">
        <f t="array" ref="DC5">IFERROR(IF(SUMPRODUCT((INPUT!$T$3:$T$3000=46008)*(INPUT!$U$3:$U$3000="CECILIO"))=0,"",SUMPRODUCT((INPUT!$T$3:$T$3000=46008)*(INPUT!$U$3:$U$3000="CECILIO")*(INPUT!$V$3:$V$3000+INPUT!$W$3:$W$3000+INPUT!$X$3:$X$3000+INPUT!$Y$3:$Y$3000))),"")</f>
        <v>17</v>
      </c>
      <c r="DD5" s="42" t="str" cm="1">
        <f t="array" ref="DD5">IFERROR(IF(SUMPRODUCT((INPUT!$T$3:$T$3000=46009)*(INPUT!$U$3:$U$3000="CECILIO"))=0,"",SUMPRODUCT((INPUT!$T$3:$T$3000=46009)*(INPUT!$U$3:$U$3000="CECILIO")*(INPUT!$V$3:$V$3000+INPUT!$W$3:$W$3000+INPUT!$X$3:$X$3000+INPUT!$Y$3:$Y$3000))),"")</f>
        <v/>
      </c>
      <c r="DE5" s="42" t="str" cm="1">
        <f t="array" ref="DE5">IFERROR(IF(SUMPRODUCT((INPUT!$T$3:$T$3000=46010)*(INPUT!$U$3:$U$3000="CECILIO"))=0,"",SUMPRODUCT((INPUT!$T$3:$T$3000=46010)*(INPUT!$U$3:$U$3000="CECILIO")*(INPUT!$V$3:$V$3000+INPUT!$W$3:$W$3000+INPUT!$X$3:$X$3000+INPUT!$Y$3:$Y$3000))),"")</f>
        <v/>
      </c>
      <c r="DF5" s="42" t="str" cm="1">
        <f t="array" ref="DF5">IFERROR(IF(SUMPRODUCT((INPUT!$T$3:$T$3000=46013)*(INPUT!$U$3:$U$3000="CECILIO"))=0,"",SUMPRODUCT((INPUT!$T$3:$T$3000=46013)*(INPUT!$U$3:$U$3000="CECILIO")*(INPUT!$V$3:$V$3000+INPUT!$W$3:$W$3000+INPUT!$X$3:$X$3000+INPUT!$Y$3:$Y$3000))),"")</f>
        <v/>
      </c>
      <c r="DG5" s="42" t="str" cm="1">
        <f t="array" ref="DG5">IFERROR(IF(SUMPRODUCT((INPUT!$T$3:$T$3000=46014)*(INPUT!$U$3:$U$3000="CECILIO"))=0,"",SUMPRODUCT((INPUT!$T$3:$T$3000=46014)*(INPUT!$U$3:$U$3000="CECILIO")*(INPUT!$V$3:$V$3000+INPUT!$W$3:$W$3000+INPUT!$X$3:$X$3000+INPUT!$Y$3:$Y$3000))),"")</f>
        <v/>
      </c>
      <c r="DH5" s="42" cm="1">
        <f t="array" ref="DH5">IFERROR(IF(SUMPRODUCT((INPUT!$T$3:$T$3000=46017)*(INPUT!$U$3:$U$3000="CECILIO"))=0,"",SUMPRODUCT((INPUT!$T$3:$T$3000=46017)*(INPUT!$U$3:$U$3000="CECILIO")*(INPUT!$V$3:$V$3000+INPUT!$W$3:$W$3000+INPUT!$X$3:$X$3000+INPUT!$Y$3:$Y$3000))),"")</f>
        <v>19</v>
      </c>
      <c r="DI5" s="42" cm="1">
        <f t="array" ref="DI5">IFERROR(IF(SUMPRODUCT((INPUT!$T$3:$T$3000=46018)*(INPUT!$U$3:$U$3000="CECILIO"))=0,"",SUMPRODUCT((INPUT!$T$3:$T$3000=46018)*(INPUT!$U$3:$U$3000="CECILIO")*(INPUT!$V$3:$V$3000+INPUT!$W$3:$W$3000+INPUT!$X$3:$X$3000+INPUT!$Y$3:$Y$3000))),"")</f>
        <v>18</v>
      </c>
      <c r="DJ5" s="42" cm="1">
        <f t="array" ref="DJ5">IFERROR(IF(SUMPRODUCT((INPUT!$T$3:$T$3000=46020)*(INPUT!$U$3:$U$3000="CECILIO"))=0,"",SUMPRODUCT((INPUT!$T$3:$T$3000=46020)*(INPUT!$U$3:$U$3000="CECILIO")*(INPUT!$V$3:$V$3000+INPUT!$W$3:$W$3000+INPUT!$X$3:$X$3000+INPUT!$Y$3:$Y$3000))),"")</f>
        <v>17</v>
      </c>
      <c r="DK5" s="42" cm="1">
        <f t="array" ref="DK5">IFERROR(IF(SUMPRODUCT((INPUT!$T$3:$T$3000=46021)*(INPUT!$U$3:$U$3000="CECILIO"))=0,"",SUMPRODUCT((INPUT!$T$3:$T$3000=46021)*(INPUT!$U$3:$U$3000="CECILIO")*(INPUT!$V$3:$V$3000+INPUT!$W$3:$W$3000+INPUT!$X$3:$X$3000+INPUT!$Y$3:$Y$3000))),"")</f>
        <v>18</v>
      </c>
      <c r="DL5" s="42" cm="1">
        <f t="array" ref="DL5">IFERROR(IF(SUMPRODUCT((INPUT!$T$3:$T$3000=46022)*(INPUT!$U$3:$U$3000="CECILIO"))=0,"",SUMPRODUCT((INPUT!$T$3:$T$3000=46022)*(INPUT!$U$3:$U$3000="CECILIO")*(INPUT!$V$3:$V$3000+INPUT!$W$3:$W$3000+INPUT!$X$3:$X$3000+INPUT!$Y$3:$Y$3000))),"")</f>
        <v>17</v>
      </c>
      <c r="DM5" s="42" cm="1">
        <f t="array" ref="DM5">IFERROR(IF(SUMPRODUCT((INPUT!$T$3:$T$3000=46024)*(INPUT!$U$3:$U$3000="CECILIO"))=0,"",SUMPRODUCT((INPUT!$T$3:$T$3000=46024)*(INPUT!$U$3:$U$3000="CECILIO")*(INPUT!$V$3:$V$3000+INPUT!$W$3:$W$3000+INPUT!$X$3:$X$3000+INPUT!$Y$3:$Y$3000))),"")</f>
        <v>18</v>
      </c>
      <c r="DN5" s="42" cm="1">
        <f t="array" ref="DN5">IFERROR(IF(SUMPRODUCT((INPUT!$T$3:$T$3000=46025)*(INPUT!$U$3:$U$3000="CECILIO"))=0,"",SUMPRODUCT((INPUT!$T$3:$T$3000=46025)*(INPUT!$U$3:$U$3000="CECILIO")*(INPUT!$V$3:$V$3000+INPUT!$W$3:$W$3000+INPUT!$X$3:$X$3000+INPUT!$Y$3:$Y$3000))),"")</f>
        <v>20</v>
      </c>
      <c r="DO5" s="42" cm="1">
        <f t="array" ref="DO5">IFERROR(IF(SUMPRODUCT((INPUT!$T$3:$T$3000=46027)*(INPUT!$U$3:$U$3000="CECILIO"))=0,"",SUMPRODUCT((INPUT!$T$3:$T$3000=46027)*(INPUT!$U$3:$U$3000="CECILIO")*(INPUT!$V$3:$V$3000+INPUT!$W$3:$W$3000+INPUT!$X$3:$X$3000+INPUT!$Y$3:$Y$3000))),"")</f>
        <v>14</v>
      </c>
      <c r="DP5" s="42" cm="1">
        <f t="array" ref="DP5">IFERROR(IF(SUMPRODUCT((INPUT!$T$3:$T$3000=46028)*(INPUT!$U$3:$U$3000="CECILIO"))=0,"",SUMPRODUCT((INPUT!$T$3:$T$3000=46028)*(INPUT!$U$3:$U$3000="CECILIO")*(INPUT!$V$3:$V$3000+INPUT!$W$3:$W$3000+INPUT!$X$3:$X$3000+INPUT!$Y$3:$Y$3000))),"")</f>
        <v>17</v>
      </c>
      <c r="DQ5" s="42" cm="1">
        <f t="array" ref="DQ5">IFERROR(IF(SUMPRODUCT((INPUT!$T$3:$T$3000=46029)*(INPUT!$U$3:$U$3000="CECILIO"))=0,"",SUMPRODUCT((INPUT!$T$3:$T$3000=46029)*(INPUT!$U$3:$U$3000="CECILIO")*(INPUT!$V$3:$V$3000+INPUT!$W$3:$W$3000+INPUT!$X$3:$X$3000+INPUT!$Y$3:$Y$3000))),"")</f>
        <v>20</v>
      </c>
      <c r="DR5" s="42" cm="1">
        <f t="array" ref="DR5">IFERROR(IF(SUMPRODUCT((INPUT!$T$3:$T$3000=46030)*(INPUT!$U$3:$U$3000="CECILIO"))=0,"",SUMPRODUCT((INPUT!$T$3:$T$3000=46030)*(INPUT!$U$3:$U$3000="CECILIO")*(INPUT!$V$3:$V$3000+INPUT!$W$3:$W$3000+INPUT!$X$3:$X$3000+INPUT!$Y$3:$Y$3000))),"")</f>
        <v>15</v>
      </c>
      <c r="DS5" s="42" cm="1">
        <f t="array" ref="DS5">IFERROR(IF(SUMPRODUCT((INPUT!$T$3:$T$3000=46031)*(INPUT!$U$3:$U$3000="CECILIO"))=0,"",SUMPRODUCT((INPUT!$T$3:$T$3000=46031)*(INPUT!$U$3:$U$3000="CECILIO")*(INPUT!$V$3:$V$3000+INPUT!$W$3:$W$3000+INPUT!$X$3:$X$3000+INPUT!$Y$3:$Y$3000))),"")</f>
        <v>18</v>
      </c>
      <c r="DT5" s="42" t="str" cm="1">
        <f t="array" ref="DT5">IFERROR(IF(SUMPRODUCT((INPUT!$T$3:$T$3000=46041)*(INPUT!$U$3:$U$3000="CECILIO"))=0,"",SUMPRODUCT((INPUT!$T$3:$T$3000=46041)*(INPUT!$U$3:$U$3000="CECILIO")*(INPUT!$V$3:$V$3000+INPUT!$W$3:$W$3000+INPUT!$X$3:$X$3000+INPUT!$Y$3:$Y$3000))),"")</f>
        <v/>
      </c>
      <c r="DU5" s="42" t="str" cm="1">
        <f t="array" ref="DU5">IFERROR(IF(SUMPRODUCT((INPUT!$T$3:$T$3000=46042)*(INPUT!$U$3:$U$3000="CECILIO"))=0,"",SUMPRODUCT((INPUT!$T$3:$T$3000=46042)*(INPUT!$U$3:$U$3000="CECILIO")*(INPUT!$V$3:$V$3000+INPUT!$W$3:$W$3000+INPUT!$X$3:$X$3000+INPUT!$Y$3:$Y$3000))),"")</f>
        <v/>
      </c>
      <c r="DV5" s="42" t="str" cm="1">
        <f t="array" ref="DV5">IFERROR(IF(SUMPRODUCT((INPUT!$T$3:$T$3000=46043)*(INPUT!$U$3:$U$3000="CECILIO"))=0,"",SUMPRODUCT((INPUT!$T$3:$T$3000=46043)*(INPUT!$U$3:$U$3000="CECILIO")*(INPUT!$V$3:$V$3000+INPUT!$W$3:$W$3000+INPUT!$X$3:$X$3000+INPUT!$Y$3:$Y$3000))),"")</f>
        <v/>
      </c>
      <c r="DW5" s="42" t="str" cm="1">
        <f t="array" ref="DW5">IFERROR(IF(SUMPRODUCT((INPUT!$T$3:$T$3000=46044)*(INPUT!$U$3:$U$3000="CECILIO"))=0,"",SUMPRODUCT((INPUT!$T$3:$T$3000=46044)*(INPUT!$U$3:$U$3000="CECILIO")*(INPUT!$V$3:$V$3000+INPUT!$W$3:$W$3000+INPUT!$X$3:$X$3000+INPUT!$Y$3:$Y$3000))),"")</f>
        <v/>
      </c>
      <c r="DX5" s="42" t="str" cm="1">
        <f t="array" ref="DX5">IFERROR(IF(SUMPRODUCT((INPUT!$T$3:$T$3000=46045)*(INPUT!$U$3:$U$3000="CECILIO"))=0,"",SUMPRODUCT((INPUT!$T$3:$T$3000=46045)*(INPUT!$U$3:$U$3000="CECILIO")*(INPUT!$V$3:$V$3000+INPUT!$W$3:$W$3000+INPUT!$X$3:$X$3000+INPUT!$Y$3:$Y$3000))),"")</f>
        <v/>
      </c>
      <c r="DY5" s="42" t="str" cm="1">
        <f t="array" ref="DY5">IFERROR(IF(SUMPRODUCT((INPUT!$T$3:$T$3000=46048)*(INPUT!$U$3:$U$3000="CECILIO"))=0,"",SUMPRODUCT((INPUT!$T$3:$T$3000=46048)*(INPUT!$U$3:$U$3000="CECILIO")*(INPUT!$V$3:$V$3000+INPUT!$W$3:$W$3000+INPUT!$X$3:$X$3000+INPUT!$Y$3:$Y$3000))),"")</f>
        <v/>
      </c>
      <c r="DZ5" s="42" t="str" cm="1">
        <f t="array" ref="DZ5">IFERROR(IF(SUMPRODUCT((INPUT!$T$3:$T$3000=46049)*(INPUT!$U$3:$U$3000="CECILIO"))=0,"",SUMPRODUCT((INPUT!$T$3:$T$3000=46049)*(INPUT!$U$3:$U$3000="CECILIO")*(INPUT!$V$3:$V$3000+INPUT!$W$3:$W$3000+INPUT!$X$3:$X$3000+INPUT!$Y$3:$Y$3000))),"")</f>
        <v/>
      </c>
      <c r="EA5" s="42" t="str" cm="1">
        <f t="array" ref="EA5">IFERROR(IF(SUMPRODUCT((INPUT!$T$3:$T$3000=46050)*(INPUT!$U$3:$U$3000="CECILIO"))=0,"",SUMPRODUCT((INPUT!$T$3:$T$3000=46050)*(INPUT!$U$3:$U$3000="CECILIO")*(INPUT!$V$3:$V$3000+INPUT!$W$3:$W$3000+INPUT!$X$3:$X$3000+INPUT!$Y$3:$Y$3000))),"")</f>
        <v/>
      </c>
      <c r="EB5" s="42" t="str" cm="1">
        <f t="array" ref="EB5">IFERROR(IF(SUMPRODUCT((INPUT!$T$3:$T$3000=46051)*(INPUT!$U$3:$U$3000="CECILIO"))=0,"",SUMPRODUCT((INPUT!$T$3:$T$3000=46051)*(INPUT!$U$3:$U$3000="CECILIO")*(INPUT!$V$3:$V$3000+INPUT!$W$3:$W$3000+INPUT!$X$3:$X$3000+INPUT!$Y$3:$Y$3000))),"")</f>
        <v/>
      </c>
      <c r="EC5" s="42" t="str" cm="1">
        <f t="array" ref="EC5">IFERROR(IF(SUMPRODUCT((INPUT!$T$3:$T$3000=46052)*(INPUT!$U$3:$U$3000="CECILIO"))=0,"",SUMPRODUCT((INPUT!$T$3:$T$3000=46052)*(INPUT!$U$3:$U$3000="CECILIO")*(INPUT!$V$3:$V$3000+INPUT!$W$3:$W$3000+INPUT!$X$3:$X$3000+INPUT!$Y$3:$Y$3000))),"")</f>
        <v/>
      </c>
      <c r="ED5" s="42" t="str" cm="1">
        <f t="array" ref="ED5">IFERROR(IF(SUMPRODUCT((INPUT!$T$3:$T$3000=46055)*(INPUT!$U$3:$U$3000="CECILIO"))=0,"",SUMPRODUCT((INPUT!$T$3:$T$3000=46055)*(INPUT!$U$3:$U$3000="CECILIO")*(INPUT!$V$3:$V$3000+INPUT!$W$3:$W$3000+INPUT!$X$3:$X$3000+INPUT!$Y$3:$Y$3000))),"")</f>
        <v/>
      </c>
      <c r="EE5" s="42" t="str" cm="1">
        <f t="array" ref="EE5">IFERROR(IF(SUMPRODUCT((INPUT!$T$3:$T$3000=46056)*(INPUT!$U$3:$U$3000="CECILIO"))=0,"",SUMPRODUCT((INPUT!$T$3:$T$3000=46056)*(INPUT!$U$3:$U$3000="CECILIO")*(INPUT!$V$3:$V$3000+INPUT!$W$3:$W$3000+INPUT!$X$3:$X$3000+INPUT!$Y$3:$Y$3000))),"")</f>
        <v/>
      </c>
      <c r="EF5" s="42" t="str" cm="1">
        <f t="array" ref="EF5">IFERROR(IF(SUMPRODUCT((INPUT!$T$3:$T$3000=46057)*(INPUT!$U$3:$U$3000="CECILIO"))=0,"",SUMPRODUCT((INPUT!$T$3:$T$3000=46057)*(INPUT!$U$3:$U$3000="CECILIO")*(INPUT!$V$3:$V$3000+INPUT!$W$3:$W$3000+INPUT!$X$3:$X$3000+INPUT!$Y$3:$Y$3000))),"")</f>
        <v/>
      </c>
      <c r="EG5" s="42" t="str" cm="1">
        <f t="array" ref="EG5">IFERROR(IF(SUMPRODUCT((INPUT!$T$3:$T$3000=46058)*(INPUT!$U$3:$U$3000="CECILIO"))=0,"",SUMPRODUCT((INPUT!$T$3:$T$3000=46058)*(INPUT!$U$3:$U$3000="CECILIO")*(INPUT!$V$3:$V$3000+INPUT!$W$3:$W$3000+INPUT!$X$3:$X$3000+INPUT!$Y$3:$Y$3000))),"")</f>
        <v/>
      </c>
      <c r="EH5" s="42" t="str" cm="1">
        <f t="array" ref="EH5">IFERROR(IF(SUMPRODUCT((INPUT!$T$3:$T$3000=46059)*(INPUT!$U$3:$U$3000="CECILIO"))=0,"",SUMPRODUCT((INPUT!$T$3:$T$3000=46059)*(INPUT!$U$3:$U$3000="CECILIO")*(INPUT!$V$3:$V$3000+INPUT!$W$3:$W$3000+INPUT!$X$3:$X$3000+INPUT!$Y$3:$Y$3000))),"")</f>
        <v/>
      </c>
      <c r="EI5" s="42" t="str" cm="1">
        <f t="array" ref="EI5">IFERROR(IF(SUMPRODUCT((INPUT!$T$3:$T$3000=46061)*(INPUT!$U$3:$U$3000="CECILIO"))=0,"",SUMPRODUCT((INPUT!$T$3:$T$3000=46061)*(INPUT!$U$3:$U$3000="CECILIO")*(INPUT!$V$3:$V$3000+INPUT!$W$3:$W$3000+INPUT!$X$3:$X$3000+INPUT!$Y$3:$Y$3000))),"")</f>
        <v/>
      </c>
      <c r="EJ5" s="42" t="str" cm="1">
        <f t="array" ref="EJ5">IFERROR(IF(SUMPRODUCT((INPUT!$T$3:$T$3000=46062)*(INPUT!$U$3:$U$3000="CECILIO"))=0,"",SUMPRODUCT((INPUT!$T$3:$T$3000=46062)*(INPUT!$U$3:$U$3000="CECILIO")*(INPUT!$V$3:$V$3000+INPUT!$W$3:$W$3000+INPUT!$X$3:$X$3000+INPUT!$Y$3:$Y$3000))),"")</f>
        <v/>
      </c>
      <c r="EK5" s="42" cm="1">
        <f t="array" ref="EK5">IFERROR(IF(SUMPRODUCT((INPUT!$T$3:$T$3000=46063)*(INPUT!$U$3:$U$3000="CECILIO"))=0,"",SUMPRODUCT((INPUT!$T$3:$T$3000=46063)*(INPUT!$U$3:$U$3000="CECILIO")*(INPUT!$V$3:$V$3000+INPUT!$W$3:$W$3000+INPUT!$X$3:$X$3000+INPUT!$Y$3:$Y$3000))),"")</f>
        <v>16</v>
      </c>
      <c r="EL5" s="42" cm="1">
        <f t="array" ref="EL5">IFERROR(IF(SUMPRODUCT((INPUT!$T$3:$T$3000=46064)*(INPUT!$U$3:$U$3000="CECILIO"))=0,"",SUMPRODUCT((INPUT!$T$3:$T$3000=46064)*(INPUT!$U$3:$U$3000="CECILIO")*(INPUT!$V$3:$V$3000+INPUT!$W$3:$W$3000+INPUT!$X$3:$X$3000+INPUT!$Y$3:$Y$3000))),"")</f>
        <v>18</v>
      </c>
      <c r="EM5" s="42" cm="1">
        <f t="array" ref="EM5">IFERROR(IF(SUMPRODUCT((INPUT!$T$3:$T$3000=46065)*(INPUT!$U$3:$U$3000="CECILIO"))=0,"",SUMPRODUCT((INPUT!$T$3:$T$3000=46065)*(INPUT!$U$3:$U$3000="CECILIO")*(INPUT!$V$3:$V$3000+INPUT!$W$3:$W$3000+INPUT!$X$3:$X$3000+INPUT!$Y$3:$Y$3000))),"")</f>
        <v>16</v>
      </c>
      <c r="EN5" s="42" cm="1">
        <f t="array" ref="EN5">IFERROR(IF(SUMPRODUCT((INPUT!$T$3:$T$3000=46066)*(INPUT!$U$3:$U$3000="CECILIO"))=0,"",SUMPRODUCT((INPUT!$T$3:$T$3000=46066)*(INPUT!$U$3:$U$3000="CECILIO")*(INPUT!$V$3:$V$3000+INPUT!$W$3:$W$3000+INPUT!$X$3:$X$3000+INPUT!$Y$3:$Y$3000))),"")</f>
        <v>16</v>
      </c>
      <c r="EO5" s="42" cm="1">
        <f t="array" ref="EO5">IFERROR(IF(SUMPRODUCT((INPUT!$T$3:$T$3000=46067)*(INPUT!$U$3:$U$3000="CECILIO"))=0,"",SUMPRODUCT((INPUT!$T$3:$T$3000=46067)*(INPUT!$U$3:$U$3000="CECILIO")*(INPUT!$V$3:$V$3000+INPUT!$W$3:$W$3000+INPUT!$X$3:$X$3000+INPUT!$Y$3:$Y$3000))),"")</f>
        <v>20</v>
      </c>
      <c r="EP5" s="42" cm="1">
        <f t="array" ref="EP5">IFERROR(IF(SUMPRODUCT((INPUT!$T$3:$T$3000=46069)*(INPUT!$U$3:$U$3000="CECILIO"))=0,"",SUMPRODUCT((INPUT!$T$3:$T$3000=46069)*(INPUT!$U$3:$U$3000="CECILIO")*(INPUT!$V$3:$V$3000+INPUT!$W$3:$W$3000+INPUT!$X$3:$X$3000+INPUT!$Y$3:$Y$3000))),"")</f>
        <v>16</v>
      </c>
      <c r="EQ5" s="42" t="str" cm="1">
        <f t="array" ref="EQ5">IFERROR(IF(SUMPRODUCT((INPUT!$T$3:$T$3000=46072)*(INPUT!$U$3:$U$3000="CECILIO"))=0,"",SUMPRODUCT((INPUT!$T$3:$T$3000=46072)*(INPUT!$U$3:$U$3000="CECILIO")*(INPUT!$V$3:$V$3000+INPUT!$W$3:$W$3000+INPUT!$X$3:$X$3000+INPUT!$Y$3:$Y$3000))),"")</f>
        <v/>
      </c>
      <c r="ER5" s="42" t="str" cm="1">
        <f t="array" ref="ER5">IFERROR(IF(SUMPRODUCT((INPUT!$T$3:$T$3000=46073)*(INPUT!$U$3:$U$3000="CECILIO"))=0,"",SUMPRODUCT((INPUT!$T$3:$T$3000=46073)*(INPUT!$U$3:$U$3000="CECILIO")*(INPUT!$V$3:$V$3000+INPUT!$W$3:$W$3000+INPUT!$X$3:$X$3000+INPUT!$Y$3:$Y$3000))),"")</f>
        <v/>
      </c>
      <c r="ES5" s="42" cm="1">
        <f t="array" ref="ES5">IFERROR(IF(SUMPRODUCT((INPUT!$T$3:$T$3000=46076)*(INPUT!$U$3:$U$3000="CECILIO"))=0,"",SUMPRODUCT((INPUT!$T$3:$T$3000=46076)*(INPUT!$U$3:$U$3000="CECILIO")*(INPUT!$V$3:$V$3000+INPUT!$W$3:$W$3000+INPUT!$X$3:$X$3000+INPUT!$Y$3:$Y$3000))),"")</f>
        <v>20</v>
      </c>
      <c r="ET5" s="42" cm="1">
        <f t="array" ref="ET5">IFERROR(IF(SUMPRODUCT((INPUT!$T$3:$T$3000=46077)*(INPUT!$U$3:$U$3000="CECILIO"))=0,"",SUMPRODUCT((INPUT!$T$3:$T$3000=46077)*(INPUT!$U$3:$U$3000="CECILIO")*(INPUT!$V$3:$V$3000+INPUT!$W$3:$W$3000+INPUT!$X$3:$X$3000+INPUT!$Y$3:$Y$3000))),"")</f>
        <v>18</v>
      </c>
      <c r="EU5" s="42" cm="1">
        <f t="array" ref="EU5">IFERROR(IF(SUMPRODUCT((INPUT!$T$3:$T$3000=46078)*(INPUT!$U$3:$U$3000="CECILIO"))=0,"",SUMPRODUCT((INPUT!$T$3:$T$3000=46078)*(INPUT!$U$3:$U$3000="CECILIO")*(INPUT!$V$3:$V$3000+INPUT!$W$3:$W$3000+INPUT!$X$3:$X$3000+INPUT!$Y$3:$Y$3000))),"")</f>
        <v>18</v>
      </c>
      <c r="EV5" s="42" cm="1">
        <f t="array" ref="EV5">IFERROR(IF(SUMPRODUCT((INPUT!$T$3:$T$3000=46079)*(INPUT!$U$3:$U$3000="CECILIO"))=0,"",SUMPRODUCT((INPUT!$T$3:$T$3000=46079)*(INPUT!$U$3:$U$3000="CECILIO")*(INPUT!$V$3:$V$3000+INPUT!$W$3:$W$3000+INPUT!$X$3:$X$3000+INPUT!$Y$3:$Y$3000))),"")</f>
        <v>17</v>
      </c>
      <c r="EW5" s="42" cm="1">
        <f t="array" ref="EW5">IFERROR(IF(SUMPRODUCT((INPUT!$T$3:$T$3000=46080)*(INPUT!$U$3:$U$3000="CECILIO"))=0,"",SUMPRODUCT((INPUT!$T$3:$T$3000=46080)*(INPUT!$U$3:$U$3000="CECILIO")*(INPUT!$V$3:$V$3000+INPUT!$W$3:$W$3000+INPUT!$X$3:$X$3000+INPUT!$Y$3:$Y$3000))),"")</f>
        <v>18</v>
      </c>
      <c r="EX5" s="42" cm="1">
        <f t="array" ref="EX5">IFERROR(IF(SUMPRODUCT((INPUT!$T$3:$T$3000=46082)*(INPUT!$U$3:$U$3000="CECILIO"))=0,"",SUMPRODUCT((INPUT!$T$3:$T$3000=46082)*(INPUT!$U$3:$U$3000="CECILIO")*(INPUT!$V$3:$V$3000+INPUT!$W$3:$W$3000+INPUT!$X$3:$X$3000+INPUT!$Y$3:$Y$3000))),"")</f>
        <v>20</v>
      </c>
      <c r="EY5" s="42" cm="1">
        <f t="array" ref="EY5">IFERROR(IF(SUMPRODUCT((INPUT!$T$3:$T$3000=46084)*(INPUT!$U$3:$U$3000="CECILIO"))=0,"",SUMPRODUCT((INPUT!$T$3:$T$3000=46084)*(INPUT!$U$3:$U$3000="CECILIO")*(INPUT!$V$3:$V$3000+INPUT!$W$3:$W$3000+INPUT!$X$3:$X$3000+INPUT!$Y$3:$Y$3000))),"")</f>
        <v>19</v>
      </c>
      <c r="EZ5" s="42" cm="1">
        <f t="array" ref="EZ5">IFERROR(IF(SUMPRODUCT((INPUT!$T$3:$T$3000=46085)*(INPUT!$U$3:$U$3000="CECILIO"))=0,"",SUMPRODUCT((INPUT!$T$3:$T$3000=46085)*(INPUT!$U$3:$U$3000="CECILIO")*(INPUT!$V$3:$V$3000+INPUT!$W$3:$W$3000+INPUT!$X$3:$X$3000+INPUT!$Y$3:$Y$3000))),"")</f>
        <v>19</v>
      </c>
      <c r="FA5" s="42" cm="1">
        <f t="array" ref="FA5">IFERROR(IF(SUMPRODUCT((INPUT!$T$3:$T$3000=46086)*(INPUT!$U$3:$U$3000="CECILIO"))=0,"",SUMPRODUCT((INPUT!$T$3:$T$3000=46086)*(INPUT!$U$3:$U$3000="CECILIO")*(INPUT!$V$3:$V$3000+INPUT!$W$3:$W$3000+INPUT!$X$3:$X$3000+INPUT!$Y$3:$Y$3000))),"")</f>
        <v>18</v>
      </c>
      <c r="FB5" s="42" cm="1">
        <f t="array" ref="FB5">IFERROR(IF(SUMPRODUCT((INPUT!$T$3:$T$3000=46087)*(INPUT!$U$3:$U$3000="CECILIO"))=0,"",SUMPRODUCT((INPUT!$T$3:$T$3000=46087)*(INPUT!$U$3:$U$3000="CECILIO")*(INPUT!$V$3:$V$3000+INPUT!$W$3:$W$3000+INPUT!$X$3:$X$3000+INPUT!$Y$3:$Y$3000))),"")</f>
        <v>20</v>
      </c>
      <c r="FC5" s="42" cm="1">
        <f t="array" ref="FC5">IFERROR(IF(SUMPRODUCT((INPUT!$T$3:$T$3000=46090)*(INPUT!$U$3:$U$3000="CECILIO"))=0,"",SUMPRODUCT((INPUT!$T$3:$T$3000=46090)*(INPUT!$U$3:$U$3000="CECILIO")*(INPUT!$V$3:$V$3000+INPUT!$W$3:$W$3000+INPUT!$X$3:$X$3000+INPUT!$Y$3:$Y$3000))),"")</f>
        <v>17</v>
      </c>
      <c r="FD5" s="42" t="str" cm="1">
        <f t="array" ref="FD5">IFERROR(IF(SUMPRODUCT((INPUT!$T$3:$T$3000=46091)*(INPUT!$U$3:$U$3000="CECILIO"))=0,"",SUMPRODUCT((INPUT!$T$3:$T$3000=46091)*(INPUT!$U$3:$U$3000="CECILIO")*(INPUT!$V$3:$V$3000+INPUT!$W$3:$W$3000+INPUT!$X$3:$X$3000+INPUT!$Y$3:$Y$3000))),"")</f>
        <v/>
      </c>
      <c r="FE5" s="42" cm="1">
        <f t="array" ref="FE5">IFERROR(IF(SUMPRODUCT((INPUT!$T$3:$T$3000=46092)*(INPUT!$U$3:$U$3000="CECILIO"))=0,"",SUMPRODUCT((INPUT!$T$3:$T$3000=46092)*(INPUT!$U$3:$U$3000="CECILIO")*(INPUT!$V$3:$V$3000+INPUT!$W$3:$W$3000+INPUT!$X$3:$X$3000+INPUT!$Y$3:$Y$3000))),"")</f>
        <v>18</v>
      </c>
      <c r="FF5" s="42" cm="1">
        <f t="array" ref="FF5">IFERROR(IF(SUMPRODUCT((INPUT!$T$3:$T$3000=46093)*(INPUT!$U$3:$U$3000="CECILIO"))=0,"",SUMPRODUCT((INPUT!$T$3:$T$3000=46093)*(INPUT!$U$3:$U$3000="CECILIO")*(INPUT!$V$3:$V$3000+INPUT!$W$3:$W$3000+INPUT!$X$3:$X$3000+INPUT!$Y$3:$Y$3000))),"")</f>
        <v>19</v>
      </c>
      <c r="FG5" s="42" cm="1">
        <f t="array" ref="FG5">IFERROR(IF(SUMPRODUCT((INPUT!$T$3:$T$3000=46094)*(INPUT!$U$3:$U$3000="CECILIO"))=0,"",SUMPRODUCT((INPUT!$T$3:$T$3000=46094)*(INPUT!$U$3:$U$3000="CECILIO")*(INPUT!$V$3:$V$3000+INPUT!$W$3:$W$3000+INPUT!$X$3:$X$3000+INPUT!$Y$3:$Y$3000))),"")</f>
        <v>18</v>
      </c>
      <c r="FH5" s="42" cm="1">
        <f t="array" ref="FH5">IFERROR(IF(SUMPRODUCT((INPUT!$T$3:$T$3000=46096)*(INPUT!$U$3:$U$3000="CECILIO"))=0,"",SUMPRODUCT((INPUT!$T$3:$T$3000=46096)*(INPUT!$U$3:$U$3000="CECILIO")*(INPUT!$V$3:$V$3000+INPUT!$W$3:$W$3000+INPUT!$X$3:$X$3000+INPUT!$Y$3:$Y$3000))),"")</f>
        <v>18</v>
      </c>
      <c r="FI5" s="42" cm="1">
        <f t="array" ref="FI5">IFERROR(IF(SUMPRODUCT((INPUT!$T$3:$T$3000=46097)*(INPUT!$U$3:$U$3000="CECILIO"))=0,"",SUMPRODUCT((INPUT!$T$3:$T$3000=46097)*(INPUT!$U$3:$U$3000="CECILIO")*(INPUT!$V$3:$V$3000+INPUT!$W$3:$W$3000+INPUT!$X$3:$X$3000+INPUT!$Y$3:$Y$3000))),"")</f>
        <v>16</v>
      </c>
      <c r="FJ5" s="42" cm="1">
        <f t="array" ref="FJ5">IFERROR(IF(SUMPRODUCT((INPUT!$T$3:$T$3000=46098)*(INPUT!$U$3:$U$3000="CECILIO"))=0,"",SUMPRODUCT((INPUT!$T$3:$T$3000=46098)*(INPUT!$U$3:$U$3000="CECILIO")*(INPUT!$V$3:$V$3000+INPUT!$W$3:$W$3000+INPUT!$X$3:$X$3000+INPUT!$Y$3:$Y$3000))),"")</f>
        <v>16</v>
      </c>
      <c r="FK5" s="42" cm="1">
        <f t="array" ref="FK5">IFERROR(IF(SUMPRODUCT((INPUT!$T$3:$T$3000=46099)*(INPUT!$U$3:$U$3000="CECILIO"))=0,"",SUMPRODUCT((INPUT!$T$3:$T$3000=46099)*(INPUT!$U$3:$U$3000="CECILIO")*(INPUT!$V$3:$V$3000+INPUT!$W$3:$W$3000+INPUT!$X$3:$X$3000+INPUT!$Y$3:$Y$3000))),"")</f>
        <v>18</v>
      </c>
      <c r="FL5" s="42" cm="1">
        <f t="array" ref="FL5">IFERROR(IF(SUMPRODUCT((INPUT!$T$3:$T$3000=46102)*(INPUT!$U$3:$U$3000="CECILIO"))=0,"",SUMPRODUCT((INPUT!$T$3:$T$3000=46102)*(INPUT!$U$3:$U$3000="CECILIO")*(INPUT!$V$3:$V$3000+INPUT!$W$3:$W$3000+INPUT!$X$3:$X$3000+INPUT!$Y$3:$Y$3000))),"")</f>
        <v>20</v>
      </c>
      <c r="FM5" s="42" cm="1">
        <f t="array" ref="FM5">IFERROR(IF(SUMPRODUCT((INPUT!$T$3:$T$3000=46105)*(INPUT!$U$3:$U$3000="CECILIO"))=0,"",SUMPRODUCT((INPUT!$T$3:$T$3000=46105)*(INPUT!$U$3:$U$3000="CECILIO")*(INPUT!$V$3:$V$3000+INPUT!$W$3:$W$3000+INPUT!$X$3:$X$3000+INPUT!$Y$3:$Y$3000))),"")</f>
        <v>19</v>
      </c>
      <c r="FN5" s="42" cm="1">
        <f t="array" ref="FN5">IFERROR(IF(SUMPRODUCT((INPUT!$T$3:$T$3000=46106)*(INPUT!$U$3:$U$3000="CECILIO"))=0,"",SUMPRODUCT((INPUT!$T$3:$T$3000=46106)*(INPUT!$U$3:$U$3000="CECILIO")*(INPUT!$V$3:$V$3000+INPUT!$W$3:$W$3000+INPUT!$X$3:$X$3000+INPUT!$Y$3:$Y$3000))),"")</f>
        <v>19</v>
      </c>
      <c r="FO5" s="42" cm="1">
        <f t="array" ref="FO5">IFERROR(IF(SUMPRODUCT((INPUT!$T$3:$T$3000=46107)*(INPUT!$U$3:$U$3000="CECILIO"))=0,"",SUMPRODUCT((INPUT!$T$3:$T$3000=46107)*(INPUT!$U$3:$U$3000="CECILIO")*(INPUT!$V$3:$V$3000+INPUT!$W$3:$W$3000+INPUT!$X$3:$X$3000+INPUT!$Y$3:$Y$3000))),"")</f>
        <v>19</v>
      </c>
      <c r="FP5" s="42" cm="1">
        <f t="array" ref="FP5">IFERROR(IF(SUMPRODUCT((INPUT!$T$3:$T$3000=46108)*(INPUT!$U$3:$U$3000="CECILIO"))=0,"",SUMPRODUCT((INPUT!$T$3:$T$3000=46108)*(INPUT!$U$3:$U$3000="CECILIO")*(INPUT!$V$3:$V$3000+INPUT!$W$3:$W$3000+INPUT!$X$3:$X$3000+INPUT!$Y$3:$Y$3000))),"")</f>
        <v>19</v>
      </c>
      <c r="FQ5" s="42" cm="1">
        <f t="array" ref="FQ5">IFERROR(IF(SUMPRODUCT((INPUT!$T$3:$T$3000=46109)*(INPUT!$U$3:$U$3000="CECILIO"))=0,"",SUMPRODUCT((INPUT!$T$3:$T$3000=46109)*(INPUT!$U$3:$U$3000="CECILIO")*(INPUT!$V$3:$V$3000+INPUT!$W$3:$W$3000+INPUT!$X$3:$X$3000+INPUT!$Y$3:$Y$3000))),"")</f>
        <v>20</v>
      </c>
      <c r="FR5" s="42" cm="1">
        <f t="array" ref="FR5">IFERROR(IF(SUMPRODUCT((INPUT!$T$3:$T$3000=46111)*(INPUT!$U$3:$U$3000="CECILIO"))=0,"",SUMPRODUCT((INPUT!$T$3:$T$3000=46111)*(INPUT!$U$3:$U$3000="CECILIO")*(INPUT!$V$3:$V$3000+INPUT!$W$3:$W$3000+INPUT!$X$3:$X$3000+INPUT!$Y$3:$Y$3000))),"")</f>
        <v>16</v>
      </c>
      <c r="FS5" s="42" cm="1">
        <f t="array" ref="FS5">IFERROR(IF(SUMPRODUCT((INPUT!$T$3:$T$3000=46112)*(INPUT!$U$3:$U$3000="CECILIO"))=0,"",SUMPRODUCT((INPUT!$T$3:$T$3000=46112)*(INPUT!$U$3:$U$3000="CECILIO")*(INPUT!$V$3:$V$3000+INPUT!$W$3:$W$3000+INPUT!$X$3:$X$3000+INPUT!$Y$3:$Y$3000))),"")</f>
        <v>18</v>
      </c>
      <c r="FT5" s="42" cm="1">
        <f t="array" ref="FT5">IFERROR(IF(SUMPRODUCT((INPUT!$T$3:$T$3000=46113)*(INPUT!$U$3:$U$3000="CECILIO"))=0,"",SUMPRODUCT((INPUT!$T$3:$T$3000=46113)*(INPUT!$U$3:$U$3000="CECILIO")*(INPUT!$V$3:$V$3000+INPUT!$W$3:$W$3000+INPUT!$X$3:$X$3000+INPUT!$Y$3:$Y$3000))),"")</f>
        <v>18</v>
      </c>
      <c r="FU5" s="42" cm="1">
        <f t="array" ref="FU5">IFERROR(IF(SUMPRODUCT((INPUT!$T$3:$T$3000=46114)*(INPUT!$U$3:$U$3000="CECILIO"))=0,"",SUMPRODUCT((INPUT!$T$3:$T$3000=46114)*(INPUT!$U$3:$U$3000="CECILIO")*(INPUT!$V$3:$V$3000+INPUT!$W$3:$W$3000+INPUT!$X$3:$X$3000+INPUT!$Y$3:$Y$3000))),"")</f>
        <v>18</v>
      </c>
      <c r="FV5" s="42" cm="1">
        <f t="array" ref="FV5">IFERROR(IF(SUMPRODUCT((INPUT!$T$3:$T$3000=46115)*(INPUT!$U$3:$U$3000="CECILIO"))=0,"",SUMPRODUCT((INPUT!$T$3:$T$3000=46115)*(INPUT!$U$3:$U$3000="CECILIO")*(INPUT!$V$3:$V$3000+INPUT!$W$3:$W$3000+INPUT!$X$3:$X$3000+INPUT!$Y$3:$Y$3000))),"")</f>
        <v>17</v>
      </c>
      <c r="FW5" s="42" cm="1">
        <f t="array" ref="FW5">IFERROR(IF(SUMPRODUCT((INPUT!$T$3:$T$3000=46116)*(INPUT!$U$3:$U$3000="CECILIO"))=0,"",SUMPRODUCT((INPUT!$T$3:$T$3000=46116)*(INPUT!$U$3:$U$3000="CECILIO")*(INPUT!$V$3:$V$3000+INPUT!$W$3:$W$3000+INPUT!$X$3:$X$3000+INPUT!$Y$3:$Y$3000))),"")</f>
        <v>18</v>
      </c>
      <c r="FX5" s="42" t="str" cm="1">
        <f t="array" ref="FX5">IFERROR(IF(SUMPRODUCT((INPUT!$T$3:$T$3000=46118)*(INPUT!$U$3:$U$3000="CECILIO"))=0,"",SUMPRODUCT((INPUT!$T$3:$T$3000=46118)*(INPUT!$U$3:$U$3000="CECILIO")*(INPUT!$V$3:$V$3000+INPUT!$W$3:$W$3000+INPUT!$X$3:$X$3000+INPUT!$Y$3:$Y$3000))),"")</f>
        <v/>
      </c>
      <c r="FY5" s="42" t="str" cm="1">
        <f t="array" ref="FY5">IFERROR(IF(SUMPRODUCT((INPUT!$T$3:$T$3000=46119)*(INPUT!$U$3:$U$3000="CECILIO"))=0,"",SUMPRODUCT((INPUT!$T$3:$T$3000=46119)*(INPUT!$U$3:$U$3000="CECILIO")*(INPUT!$V$3:$V$3000+INPUT!$W$3:$W$3000+INPUT!$X$3:$X$3000+INPUT!$Y$3:$Y$3000))),"")</f>
        <v/>
      </c>
      <c r="FZ5" s="42" t="str" cm="1">
        <f t="array" ref="FZ5">IFERROR(IF(SUMPRODUCT((INPUT!$T$3:$T$3000=46120)*(INPUT!$U$3:$U$3000="CECILIO"))=0,"",SUMPRODUCT((INPUT!$T$3:$T$3000=46120)*(INPUT!$U$3:$U$3000="CECILIO")*(INPUT!$V$3:$V$3000+INPUT!$W$3:$W$3000+INPUT!$X$3:$X$3000+INPUT!$Y$3:$Y$3000))),"")</f>
        <v/>
      </c>
      <c r="GA5" s="42" t="str" cm="1">
        <f t="array" ref="GA5">IFERROR(IF(SUMPRODUCT((INPUT!$T$3:$T$3000=46121)*(INPUT!$U$3:$U$3000="CECILIO"))=0,"",SUMPRODUCT((INPUT!$T$3:$T$3000=46121)*(INPUT!$U$3:$U$3000="CECILIO")*(INPUT!$V$3:$V$3000+INPUT!$W$3:$W$3000+INPUT!$X$3:$X$3000+INPUT!$Y$3:$Y$3000))),"")</f>
        <v/>
      </c>
      <c r="GB5" s="42" t="str" cm="1">
        <f t="array" ref="GB5">IFERROR(IF(SUMPRODUCT((INPUT!$T$3:$T$3000=46122)*(INPUT!$U$3:$U$3000="CECILIO"))=0,"",SUMPRODUCT((INPUT!$T$3:$T$3000=46122)*(INPUT!$U$3:$U$3000="CECILIO")*(INPUT!$V$3:$V$3000+INPUT!$W$3:$W$3000+INPUT!$X$3:$X$3000+INPUT!$Y$3:$Y$3000))),"")</f>
        <v/>
      </c>
      <c r="GC5" s="42" t="str" cm="1">
        <f t="array" ref="GC5">IFERROR(IF(SUMPRODUCT((INPUT!$T$3:$T$3000=46125)*(INPUT!$U$3:$U$3000="CECILIO"))=0,"",SUMPRODUCT((INPUT!$T$3:$T$3000=46125)*(INPUT!$U$3:$U$3000="CECILIO")*(INPUT!$V$3:$V$3000+INPUT!$W$3:$W$3000+INPUT!$X$3:$X$3000+INPUT!$Y$3:$Y$3000))),"")</f>
        <v/>
      </c>
      <c r="GD5" s="42" cm="1">
        <f t="array" ref="GD5">IFERROR(IF(SUMPRODUCT((INPUT!$T$3:$T$3000=46126)*(INPUT!$U$3:$U$3000="CECILIO"))=0,"",SUMPRODUCT((INPUT!$T$3:$T$3000=46126)*(INPUT!$U$3:$U$3000="CECILIO")*(INPUT!$V$3:$V$3000+INPUT!$W$3:$W$3000+INPUT!$X$3:$X$3000+INPUT!$Y$3:$Y$3000))),"")</f>
        <v>16</v>
      </c>
      <c r="GE5" s="42" cm="1">
        <f t="array" ref="GE5">IFERROR(IF(SUMPRODUCT((INPUT!$T$3:$T$3000=46127)*(INPUT!$U$3:$U$3000="CECILIO"))=0,"",SUMPRODUCT((INPUT!$T$3:$T$3000=46127)*(INPUT!$U$3:$U$3000="CECILIO")*(INPUT!$V$3:$V$3000+INPUT!$W$3:$W$3000+INPUT!$X$3:$X$3000+INPUT!$Y$3:$Y$3000))),"")</f>
        <v>17</v>
      </c>
      <c r="GF5" s="42" cm="1">
        <f t="array" ref="GF5">IFERROR(IF(SUMPRODUCT((INPUT!$T$3:$T$3000=46128)*(INPUT!$U$3:$U$3000="CECILIO"))=0,"",SUMPRODUCT((INPUT!$T$3:$T$3000=46128)*(INPUT!$U$3:$U$3000="CECILIO")*(INPUT!$V$3:$V$3000+INPUT!$W$3:$W$3000+INPUT!$X$3:$X$3000+INPUT!$Y$3:$Y$3000))),"")</f>
        <v>16</v>
      </c>
      <c r="GG5" s="42" cm="1">
        <f t="array" ref="GG5">IFERROR(IF(SUMPRODUCT((INPUT!$T$3:$T$3000=46129)*(INPUT!$U$3:$U$3000="CECILIO"))=0,"",SUMPRODUCT((INPUT!$T$3:$T$3000=46129)*(INPUT!$U$3:$U$3000="CECILIO")*(INPUT!$V$3:$V$3000+INPUT!$W$3:$W$3000+INPUT!$X$3:$X$3000+INPUT!$Y$3:$Y$3000))),"")</f>
        <v>17</v>
      </c>
      <c r="GH5" s="42" cm="1">
        <f t="array" ref="GH5">IFERROR(IF(SUMPRODUCT((INPUT!$T$3:$T$3000=46130)*(INPUT!$U$3:$U$3000="CECILIO"))=0,"",SUMPRODUCT((INPUT!$T$3:$T$3000=46130)*(INPUT!$U$3:$U$3000="CECILIO")*(INPUT!$V$3:$V$3000+INPUT!$W$3:$W$3000+INPUT!$X$3:$X$3000+INPUT!$Y$3:$Y$3000))),"")</f>
        <v>20</v>
      </c>
      <c r="GI5" s="42" cm="1">
        <f t="array" ref="GI5">IFERROR(IF(SUMPRODUCT((INPUT!$T$3:$T$3000=46132)*(INPUT!$U$3:$U$3000="CECILIO"))=0,"",SUMPRODUCT((INPUT!$T$3:$T$3000=46132)*(INPUT!$U$3:$U$3000="CECILIO")*(INPUT!$V$3:$V$3000+INPUT!$W$3:$W$3000+INPUT!$X$3:$X$3000+INPUT!$Y$3:$Y$3000))),"")</f>
        <v>18</v>
      </c>
    </row>
    <row r="6" spans="1:191" x14ac:dyDescent="0.2">
      <c r="A6" t="s">
        <v>45</v>
      </c>
      <c r="B6" s="42" cm="1">
        <f t="array" ref="B6">IFERROR(IF(SUMPRODUCT((INPUT!$T$3:$T$3000=45868)*(INPUT!$U$3:$U$3000="CHAGUINHA"))=0,"",SUMPRODUCT((INPUT!$T$3:$T$3000=45868)*(INPUT!$U$3:$U$3000="CHAGUINHA")*(INPUT!$V$3:$V$3000+INPUT!$W$3:$W$3000+INPUT!$X$3:$X$3000+INPUT!$Y$3:$Y$3000))),"")</f>
        <v>15</v>
      </c>
      <c r="C6" s="42" cm="1">
        <f t="array" ref="C6">IFERROR(IF(SUMPRODUCT((INPUT!$T$3:$T$3000=45869)*(INPUT!$U$3:$U$3000="CHAGUINHA"))=0,"",SUMPRODUCT((INPUT!$T$3:$T$3000=45869)*(INPUT!$U$3:$U$3000="CHAGUINHA")*(INPUT!$V$3:$V$3000+INPUT!$W$3:$W$3000+INPUT!$X$3:$X$3000+INPUT!$Y$3:$Y$3000))),"")</f>
        <v>17</v>
      </c>
      <c r="D6" s="42" cm="1">
        <f t="array" ref="D6">IFERROR(IF(SUMPRODUCT((INPUT!$T$3:$T$3000=45870)*(INPUT!$U$3:$U$3000="CHAGUINHA"))=0,"",SUMPRODUCT((INPUT!$T$3:$T$3000=45870)*(INPUT!$U$3:$U$3000="CHAGUINHA")*(INPUT!$V$3:$V$3000+INPUT!$W$3:$W$3000+INPUT!$X$3:$X$3000+INPUT!$Y$3:$Y$3000))),"")</f>
        <v>14</v>
      </c>
      <c r="E6" s="42" cm="1">
        <f t="array" ref="E6">IFERROR(IF(SUMPRODUCT((INPUT!$T$3:$T$3000=45873)*(INPUT!$U$3:$U$3000="CHAGUINHA"))=0,"",SUMPRODUCT((INPUT!$T$3:$T$3000=45873)*(INPUT!$U$3:$U$3000="CHAGUINHA")*(INPUT!$V$3:$V$3000+INPUT!$W$3:$W$3000+INPUT!$X$3:$X$3000+INPUT!$Y$3:$Y$3000))),"")</f>
        <v>18</v>
      </c>
      <c r="F6" s="42" cm="1">
        <f t="array" ref="F6">IFERROR(IF(SUMPRODUCT((INPUT!$T$3:$T$3000=45874)*(INPUT!$U$3:$U$3000="CHAGUINHA"))=0,"",SUMPRODUCT((INPUT!$T$3:$T$3000=45874)*(INPUT!$U$3:$U$3000="CHAGUINHA")*(INPUT!$V$3:$V$3000+INPUT!$W$3:$W$3000+INPUT!$X$3:$X$3000+INPUT!$Y$3:$Y$3000))),"")</f>
        <v>16</v>
      </c>
      <c r="G6" s="42" cm="1">
        <f t="array" ref="G6">IFERROR(IF(SUMPRODUCT((INPUT!$T$3:$T$3000=45875)*(INPUT!$U$3:$U$3000="CHAGUINHA"))=0,"",SUMPRODUCT((INPUT!$T$3:$T$3000=45875)*(INPUT!$U$3:$U$3000="CHAGUINHA")*(INPUT!$V$3:$V$3000+INPUT!$W$3:$W$3000+INPUT!$X$3:$X$3000+INPUT!$Y$3:$Y$3000))),"")</f>
        <v>15</v>
      </c>
      <c r="H6" s="42" cm="1">
        <f t="array" ref="H6">IFERROR(IF(SUMPRODUCT((INPUT!$T$3:$T$3000=45876)*(INPUT!$U$3:$U$3000="CHAGUINHA"))=0,"",SUMPRODUCT((INPUT!$T$3:$T$3000=45876)*(INPUT!$U$3:$U$3000="CHAGUINHA")*(INPUT!$V$3:$V$3000+INPUT!$W$3:$W$3000+INPUT!$X$3:$X$3000+INPUT!$Y$3:$Y$3000))),"")</f>
        <v>18</v>
      </c>
      <c r="I6" s="42" cm="1">
        <f t="array" ref="I6">IFERROR(IF(SUMPRODUCT((INPUT!$T$3:$T$3000=45877)*(INPUT!$U$3:$U$3000="CHAGUINHA"))=0,"",SUMPRODUCT((INPUT!$T$3:$T$3000=45877)*(INPUT!$U$3:$U$3000="CHAGUINHA")*(INPUT!$V$3:$V$3000+INPUT!$W$3:$W$3000+INPUT!$X$3:$X$3000+INPUT!$Y$3:$Y$3000))),"")</f>
        <v>15</v>
      </c>
      <c r="J6" s="42" cm="1">
        <f t="array" ref="J6">IFERROR(IF(SUMPRODUCT((INPUT!$T$3:$T$3000=45878)*(INPUT!$U$3:$U$3000="CHAGUINHA"))=0,"",SUMPRODUCT((INPUT!$T$3:$T$3000=45878)*(INPUT!$U$3:$U$3000="CHAGUINHA")*(INPUT!$V$3:$V$3000+INPUT!$W$3:$W$3000+INPUT!$X$3:$X$3000+INPUT!$Y$3:$Y$3000))),"")</f>
        <v>15</v>
      </c>
      <c r="K6" s="42" cm="1">
        <f t="array" ref="K6">IFERROR(IF(SUMPRODUCT((INPUT!$T$3:$T$3000=45880)*(INPUT!$U$3:$U$3000="CHAGUINHA"))=0,"",SUMPRODUCT((INPUT!$T$3:$T$3000=45880)*(INPUT!$U$3:$U$3000="CHAGUINHA")*(INPUT!$V$3:$V$3000+INPUT!$W$3:$W$3000+INPUT!$X$3:$X$3000+INPUT!$Y$3:$Y$3000))),"")</f>
        <v>16</v>
      </c>
      <c r="L6" s="42" cm="1">
        <f t="array" ref="L6">IFERROR(IF(SUMPRODUCT((INPUT!$T$3:$T$3000=45881)*(INPUT!$U$3:$U$3000="CHAGUINHA"))=0,"",SUMPRODUCT((INPUT!$T$3:$T$3000=45881)*(INPUT!$U$3:$U$3000="CHAGUINHA")*(INPUT!$V$3:$V$3000+INPUT!$W$3:$W$3000+INPUT!$X$3:$X$3000+INPUT!$Y$3:$Y$3000))),"")</f>
        <v>18</v>
      </c>
      <c r="M6" s="42" cm="1">
        <f t="array" ref="M6">IFERROR(IF(SUMPRODUCT((INPUT!$T$3:$T$3000=45882)*(INPUT!$U$3:$U$3000="CHAGUINHA"))=0,"",SUMPRODUCT((INPUT!$T$3:$T$3000=45882)*(INPUT!$U$3:$U$3000="CHAGUINHA")*(INPUT!$V$3:$V$3000+INPUT!$W$3:$W$3000+INPUT!$X$3:$X$3000+INPUT!$Y$3:$Y$3000))),"")</f>
        <v>17</v>
      </c>
      <c r="N6" s="42" cm="1">
        <f t="array" ref="N6">IFERROR(IF(SUMPRODUCT((INPUT!$T$3:$T$3000=45883)*(INPUT!$U$3:$U$3000="CHAGUINHA"))=0,"",SUMPRODUCT((INPUT!$T$3:$T$3000=45883)*(INPUT!$U$3:$U$3000="CHAGUINHA")*(INPUT!$V$3:$V$3000+INPUT!$W$3:$W$3000+INPUT!$X$3:$X$3000+INPUT!$Y$3:$Y$3000))),"")</f>
        <v>17</v>
      </c>
      <c r="O6" s="42" cm="1">
        <f t="array" ref="O6">IFERROR(IF(SUMPRODUCT((INPUT!$T$3:$T$3000=45884)*(INPUT!$U$3:$U$3000="CHAGUINHA"))=0,"",SUMPRODUCT((INPUT!$T$3:$T$3000=45884)*(INPUT!$U$3:$U$3000="CHAGUINHA")*(INPUT!$V$3:$V$3000+INPUT!$W$3:$W$3000+INPUT!$X$3:$X$3000+INPUT!$Y$3:$Y$3000))),"")</f>
        <v>17</v>
      </c>
      <c r="P6" s="42" cm="1">
        <f t="array" ref="P6">IFERROR(IF(SUMPRODUCT((INPUT!$T$3:$T$3000=45887)*(INPUT!$U$3:$U$3000="CHAGUINHA"))=0,"",SUMPRODUCT((INPUT!$T$3:$T$3000=45887)*(INPUT!$U$3:$U$3000="CHAGUINHA")*(INPUT!$V$3:$V$3000+INPUT!$W$3:$W$3000+INPUT!$X$3:$X$3000+INPUT!$Y$3:$Y$3000))),"")</f>
        <v>17</v>
      </c>
      <c r="Q6" s="42" cm="1">
        <f t="array" ref="Q6">IFERROR(IF(SUMPRODUCT((INPUT!$T$3:$T$3000=45888)*(INPUT!$U$3:$U$3000="CHAGUINHA"))=0,"",SUMPRODUCT((INPUT!$T$3:$T$3000=45888)*(INPUT!$U$3:$U$3000="CHAGUINHA")*(INPUT!$V$3:$V$3000+INPUT!$W$3:$W$3000+INPUT!$X$3:$X$3000+INPUT!$Y$3:$Y$3000))),"")</f>
        <v>16</v>
      </c>
      <c r="R6" s="42" cm="1">
        <f t="array" ref="R6">IFERROR(IF(SUMPRODUCT((INPUT!$T$3:$T$3000=45889)*(INPUT!$U$3:$U$3000="CHAGUINHA"))=0,"",SUMPRODUCT((INPUT!$T$3:$T$3000=45889)*(INPUT!$U$3:$U$3000="CHAGUINHA")*(INPUT!$V$3:$V$3000+INPUT!$W$3:$W$3000+INPUT!$X$3:$X$3000+INPUT!$Y$3:$Y$3000))),"")</f>
        <v>16</v>
      </c>
      <c r="S6" s="42" cm="1">
        <f t="array" ref="S6">IFERROR(IF(SUMPRODUCT((INPUT!$T$3:$T$3000=45890)*(INPUT!$U$3:$U$3000="CHAGUINHA"))=0,"",SUMPRODUCT((INPUT!$T$3:$T$3000=45890)*(INPUT!$U$3:$U$3000="CHAGUINHA")*(INPUT!$V$3:$V$3000+INPUT!$W$3:$W$3000+INPUT!$X$3:$X$3000+INPUT!$Y$3:$Y$3000))),"")</f>
        <v>16</v>
      </c>
      <c r="T6" s="42" cm="1">
        <f t="array" ref="T6">IFERROR(IF(SUMPRODUCT((INPUT!$T$3:$T$3000=45891)*(INPUT!$U$3:$U$3000="CHAGUINHA"))=0,"",SUMPRODUCT((INPUT!$T$3:$T$3000=45891)*(INPUT!$U$3:$U$3000="CHAGUINHA")*(INPUT!$V$3:$V$3000+INPUT!$W$3:$W$3000+INPUT!$X$3:$X$3000+INPUT!$Y$3:$Y$3000))),"")</f>
        <v>16</v>
      </c>
      <c r="U6" s="42" cm="1">
        <f t="array" ref="U6">IFERROR(IF(SUMPRODUCT((INPUT!$T$3:$T$3000=45892)*(INPUT!$U$3:$U$3000="CHAGUINHA"))=0,"",SUMPRODUCT((INPUT!$T$3:$T$3000=45892)*(INPUT!$U$3:$U$3000="CHAGUINHA")*(INPUT!$V$3:$V$3000+INPUT!$W$3:$W$3000+INPUT!$X$3:$X$3000+INPUT!$Y$3:$Y$3000))),"")</f>
        <v>17</v>
      </c>
      <c r="V6" s="42" cm="1">
        <f t="array" ref="V6">IFERROR(IF(SUMPRODUCT((INPUT!$T$3:$T$3000=45893)*(INPUT!$U$3:$U$3000="CHAGUINHA"))=0,"",SUMPRODUCT((INPUT!$T$3:$T$3000=45893)*(INPUT!$U$3:$U$3000="CHAGUINHA")*(INPUT!$V$3:$V$3000+INPUT!$W$3:$W$3000+INPUT!$X$3:$X$3000+INPUT!$Y$3:$Y$3000))),"")</f>
        <v>17</v>
      </c>
      <c r="W6" s="42" cm="1">
        <f t="array" ref="W6">IFERROR(IF(SUMPRODUCT((INPUT!$T$3:$T$3000=45895)*(INPUT!$U$3:$U$3000="CHAGUINHA"))=0,"",SUMPRODUCT((INPUT!$T$3:$T$3000=45895)*(INPUT!$U$3:$U$3000="CHAGUINHA")*(INPUT!$V$3:$V$3000+INPUT!$W$3:$W$3000+INPUT!$X$3:$X$3000+INPUT!$Y$3:$Y$3000))),"")</f>
        <v>15</v>
      </c>
      <c r="X6" s="42" cm="1">
        <f t="array" ref="X6">IFERROR(IF(SUMPRODUCT((INPUT!$T$3:$T$3000=45896)*(INPUT!$U$3:$U$3000="CHAGUINHA"))=0,"",SUMPRODUCT((INPUT!$T$3:$T$3000=45896)*(INPUT!$U$3:$U$3000="CHAGUINHA")*(INPUT!$V$3:$V$3000+INPUT!$W$3:$W$3000+INPUT!$X$3:$X$3000+INPUT!$Y$3:$Y$3000))),"")</f>
        <v>17</v>
      </c>
      <c r="Y6" s="42" cm="1">
        <f t="array" ref="Y6">IFERROR(IF(SUMPRODUCT((INPUT!$T$3:$T$3000=45898)*(INPUT!$U$3:$U$3000="CHAGUINHA"))=0,"",SUMPRODUCT((INPUT!$T$3:$T$3000=45898)*(INPUT!$U$3:$U$3000="CHAGUINHA")*(INPUT!$V$3:$V$3000+INPUT!$W$3:$W$3000+INPUT!$X$3:$X$3000+INPUT!$Y$3:$Y$3000))),"")</f>
        <v>17</v>
      </c>
      <c r="Z6" s="42" cm="1">
        <f t="array" ref="Z6">IFERROR(IF(SUMPRODUCT((INPUT!$T$3:$T$3000=45899)*(INPUT!$U$3:$U$3000="CHAGUINHA"))=0,"",SUMPRODUCT((INPUT!$T$3:$T$3000=45899)*(INPUT!$U$3:$U$3000="CHAGUINHA")*(INPUT!$V$3:$V$3000+INPUT!$W$3:$W$3000+INPUT!$X$3:$X$3000+INPUT!$Y$3:$Y$3000))),"")</f>
        <v>17</v>
      </c>
      <c r="AA6" s="42" cm="1">
        <f t="array" ref="AA6">IFERROR(IF(SUMPRODUCT((INPUT!$T$3:$T$3000=45900)*(INPUT!$U$3:$U$3000="CHAGUINHA"))=0,"",SUMPRODUCT((INPUT!$T$3:$T$3000=45900)*(INPUT!$U$3:$U$3000="CHAGUINHA")*(INPUT!$V$3:$V$3000+INPUT!$W$3:$W$3000+INPUT!$X$3:$X$3000+INPUT!$Y$3:$Y$3000))),"")</f>
        <v>17</v>
      </c>
      <c r="AB6" s="42" cm="1">
        <f t="array" ref="AB6">IFERROR(IF(SUMPRODUCT((INPUT!$T$3:$T$3000=45902)*(INPUT!$U$3:$U$3000="CHAGUINHA"))=0,"",SUMPRODUCT((INPUT!$T$3:$T$3000=45902)*(INPUT!$U$3:$U$3000="CHAGUINHA")*(INPUT!$V$3:$V$3000+INPUT!$W$3:$W$3000+INPUT!$X$3:$X$3000+INPUT!$Y$3:$Y$3000))),"")</f>
        <v>20</v>
      </c>
      <c r="AC6" s="42" cm="1">
        <f t="array" ref="AC6">IFERROR(IF(SUMPRODUCT((INPUT!$T$3:$T$3000=45903)*(INPUT!$U$3:$U$3000="CHAGUINHA"))=0,"",SUMPRODUCT((INPUT!$T$3:$T$3000=45903)*(INPUT!$U$3:$U$3000="CHAGUINHA")*(INPUT!$V$3:$V$3000+INPUT!$W$3:$W$3000+INPUT!$X$3:$X$3000+INPUT!$Y$3:$Y$3000))),"")</f>
        <v>17</v>
      </c>
      <c r="AD6" s="42" cm="1">
        <f t="array" ref="AD6">IFERROR(IF(SUMPRODUCT((INPUT!$T$3:$T$3000=45904)*(INPUT!$U$3:$U$3000="CHAGUINHA"))=0,"",SUMPRODUCT((INPUT!$T$3:$T$3000=45904)*(INPUT!$U$3:$U$3000="CHAGUINHA")*(INPUT!$V$3:$V$3000+INPUT!$W$3:$W$3000+INPUT!$X$3:$X$3000+INPUT!$Y$3:$Y$3000))),"")</f>
        <v>17</v>
      </c>
      <c r="AE6" s="42" cm="1">
        <f t="array" ref="AE6">IFERROR(IF(SUMPRODUCT((INPUT!$T$3:$T$3000=45905)*(INPUT!$U$3:$U$3000="CHAGUINHA"))=0,"",SUMPRODUCT((INPUT!$T$3:$T$3000=45905)*(INPUT!$U$3:$U$3000="CHAGUINHA")*(INPUT!$V$3:$V$3000+INPUT!$W$3:$W$3000+INPUT!$X$3:$X$3000+INPUT!$Y$3:$Y$3000))),"")</f>
        <v>17</v>
      </c>
      <c r="AF6" s="42" cm="1">
        <f t="array" ref="AF6">IFERROR(IF(SUMPRODUCT((INPUT!$T$3:$T$3000=45906)*(INPUT!$U$3:$U$3000="CHAGUINHA"))=0,"",SUMPRODUCT((INPUT!$T$3:$T$3000=45906)*(INPUT!$U$3:$U$3000="CHAGUINHA")*(INPUT!$V$3:$V$3000+INPUT!$W$3:$W$3000+INPUT!$X$3:$X$3000+INPUT!$Y$3:$Y$3000))),"")</f>
        <v>17</v>
      </c>
      <c r="AG6" s="42" cm="1">
        <f t="array" ref="AG6">IFERROR(IF(SUMPRODUCT((INPUT!$T$3:$T$3000=45908)*(INPUT!$U$3:$U$3000="CHAGUINHA"))=0,"",SUMPRODUCT((INPUT!$T$3:$T$3000=45908)*(INPUT!$U$3:$U$3000="CHAGUINHA")*(INPUT!$V$3:$V$3000+INPUT!$W$3:$W$3000+INPUT!$X$3:$X$3000+INPUT!$Y$3:$Y$3000))),"")</f>
        <v>18</v>
      </c>
      <c r="AH6" s="42" cm="1">
        <f t="array" ref="AH6">IFERROR(IF(SUMPRODUCT((INPUT!$T$3:$T$3000=45909)*(INPUT!$U$3:$U$3000="CHAGUINHA"))=0,"",SUMPRODUCT((INPUT!$T$3:$T$3000=45909)*(INPUT!$U$3:$U$3000="CHAGUINHA")*(INPUT!$V$3:$V$3000+INPUT!$W$3:$W$3000+INPUT!$X$3:$X$3000+INPUT!$Y$3:$Y$3000))),"")</f>
        <v>17</v>
      </c>
      <c r="AI6" s="42" cm="1">
        <f t="array" ref="AI6">IFERROR(IF(SUMPRODUCT((INPUT!$T$3:$T$3000=45911)*(INPUT!$U$3:$U$3000="CHAGUINHA"))=0,"",SUMPRODUCT((INPUT!$T$3:$T$3000=45911)*(INPUT!$U$3:$U$3000="CHAGUINHA")*(INPUT!$V$3:$V$3000+INPUT!$W$3:$W$3000+INPUT!$X$3:$X$3000+INPUT!$Y$3:$Y$3000))),"")</f>
        <v>17</v>
      </c>
      <c r="AJ6" s="42" cm="1">
        <f t="array" ref="AJ6">IFERROR(IF(SUMPRODUCT((INPUT!$T$3:$T$3000=45912)*(INPUT!$U$3:$U$3000="CHAGUINHA"))=0,"",SUMPRODUCT((INPUT!$T$3:$T$3000=45912)*(INPUT!$U$3:$U$3000="CHAGUINHA")*(INPUT!$V$3:$V$3000+INPUT!$W$3:$W$3000+INPUT!$X$3:$X$3000+INPUT!$Y$3:$Y$3000))),"")</f>
        <v>17</v>
      </c>
      <c r="AK6" s="42" cm="1">
        <f t="array" ref="AK6">IFERROR(IF(SUMPRODUCT((INPUT!$T$3:$T$3000=45913)*(INPUT!$U$3:$U$3000="CHAGUINHA"))=0,"",SUMPRODUCT((INPUT!$T$3:$T$3000=45913)*(INPUT!$U$3:$U$3000="CHAGUINHA")*(INPUT!$V$3:$V$3000+INPUT!$W$3:$W$3000+INPUT!$X$3:$X$3000+INPUT!$Y$3:$Y$3000))),"")</f>
        <v>19</v>
      </c>
      <c r="AL6" s="42" cm="1">
        <f t="array" ref="AL6">IFERROR(IF(SUMPRODUCT((INPUT!$T$3:$T$3000=45915)*(INPUT!$U$3:$U$3000="CHAGUINHA"))=0,"",SUMPRODUCT((INPUT!$T$3:$T$3000=45915)*(INPUT!$U$3:$U$3000="CHAGUINHA")*(INPUT!$V$3:$V$3000+INPUT!$W$3:$W$3000+INPUT!$X$3:$X$3000+INPUT!$Y$3:$Y$3000))),"")</f>
        <v>16</v>
      </c>
      <c r="AM6" s="42" cm="1">
        <f t="array" ref="AM6">IFERROR(IF(SUMPRODUCT((INPUT!$T$3:$T$3000=45916)*(INPUT!$U$3:$U$3000="CHAGUINHA"))=0,"",SUMPRODUCT((INPUT!$T$3:$T$3000=45916)*(INPUT!$U$3:$U$3000="CHAGUINHA")*(INPUT!$V$3:$V$3000+INPUT!$W$3:$W$3000+INPUT!$X$3:$X$3000+INPUT!$Y$3:$Y$3000))),"")</f>
        <v>16</v>
      </c>
      <c r="AN6" s="42" cm="1">
        <f t="array" ref="AN6">IFERROR(IF(SUMPRODUCT((INPUT!$T$3:$T$3000=45917)*(INPUT!$U$3:$U$3000="CHAGUINHA"))=0,"",SUMPRODUCT((INPUT!$T$3:$T$3000=45917)*(INPUT!$U$3:$U$3000="CHAGUINHA")*(INPUT!$V$3:$V$3000+INPUT!$W$3:$W$3000+INPUT!$X$3:$X$3000+INPUT!$Y$3:$Y$3000))),"")</f>
        <v>16</v>
      </c>
      <c r="AO6" s="42" cm="1">
        <f t="array" ref="AO6">IFERROR(IF(SUMPRODUCT((INPUT!$T$3:$T$3000=45918)*(INPUT!$U$3:$U$3000="CHAGUINHA"))=0,"",SUMPRODUCT((INPUT!$T$3:$T$3000=45918)*(INPUT!$U$3:$U$3000="CHAGUINHA")*(INPUT!$V$3:$V$3000+INPUT!$W$3:$W$3000+INPUT!$X$3:$X$3000+INPUT!$Y$3:$Y$3000))),"")</f>
        <v>13</v>
      </c>
      <c r="AP6" s="42" cm="1">
        <f t="array" ref="AP6">IFERROR(IF(SUMPRODUCT((INPUT!$T$3:$T$3000=45919)*(INPUT!$U$3:$U$3000="CHAGUINHA"))=0,"",SUMPRODUCT((INPUT!$T$3:$T$3000=45919)*(INPUT!$U$3:$U$3000="CHAGUINHA")*(INPUT!$V$3:$V$3000+INPUT!$W$3:$W$3000+INPUT!$X$3:$X$3000+INPUT!$Y$3:$Y$3000))),"")</f>
        <v>17</v>
      </c>
      <c r="AQ6" s="42" cm="1">
        <f t="array" ref="AQ6">IFERROR(IF(SUMPRODUCT((INPUT!$T$3:$T$3000=45922)*(INPUT!$U$3:$U$3000="CHAGUINHA"))=0,"",SUMPRODUCT((INPUT!$T$3:$T$3000=45922)*(INPUT!$U$3:$U$3000="CHAGUINHA")*(INPUT!$V$3:$V$3000+INPUT!$W$3:$W$3000+INPUT!$X$3:$X$3000+INPUT!$Y$3:$Y$3000))),"")</f>
        <v>17</v>
      </c>
      <c r="AR6" s="42" cm="1">
        <f t="array" ref="AR6">IFERROR(IF(SUMPRODUCT((INPUT!$T$3:$T$3000=45923)*(INPUT!$U$3:$U$3000="CHAGUINHA"))=0,"",SUMPRODUCT((INPUT!$T$3:$T$3000=45923)*(INPUT!$U$3:$U$3000="CHAGUINHA")*(INPUT!$V$3:$V$3000+INPUT!$W$3:$W$3000+INPUT!$X$3:$X$3000+INPUT!$Y$3:$Y$3000))),"")</f>
        <v>17</v>
      </c>
      <c r="AS6" s="42" cm="1">
        <f t="array" ref="AS6">IFERROR(IF(SUMPRODUCT((INPUT!$T$3:$T$3000=45924)*(INPUT!$U$3:$U$3000="CHAGUINHA"))=0,"",SUMPRODUCT((INPUT!$T$3:$T$3000=45924)*(INPUT!$U$3:$U$3000="CHAGUINHA")*(INPUT!$V$3:$V$3000+INPUT!$W$3:$W$3000+INPUT!$X$3:$X$3000+INPUT!$Y$3:$Y$3000))),"")</f>
        <v>18</v>
      </c>
      <c r="AT6" s="42" cm="1">
        <f t="array" ref="AT6">IFERROR(IF(SUMPRODUCT((INPUT!$T$3:$T$3000=45925)*(INPUT!$U$3:$U$3000="CHAGUINHA"))=0,"",SUMPRODUCT((INPUT!$T$3:$T$3000=45925)*(INPUT!$U$3:$U$3000="CHAGUINHA")*(INPUT!$V$3:$V$3000+INPUT!$W$3:$W$3000+INPUT!$X$3:$X$3000+INPUT!$Y$3:$Y$3000))),"")</f>
        <v>17</v>
      </c>
      <c r="AU6" s="42" cm="1">
        <f t="array" ref="AU6">IFERROR(IF(SUMPRODUCT((INPUT!$T$3:$T$3000=45926)*(INPUT!$U$3:$U$3000="CHAGUINHA"))=0,"",SUMPRODUCT((INPUT!$T$3:$T$3000=45926)*(INPUT!$U$3:$U$3000="CHAGUINHA")*(INPUT!$V$3:$V$3000+INPUT!$W$3:$W$3000+INPUT!$X$3:$X$3000+INPUT!$Y$3:$Y$3000))),"")</f>
        <v>17</v>
      </c>
      <c r="AV6" s="42" cm="1">
        <f t="array" ref="AV6">IFERROR(IF(SUMPRODUCT((INPUT!$T$3:$T$3000=45927)*(INPUT!$U$3:$U$3000="CHAGUINHA"))=0,"",SUMPRODUCT((INPUT!$T$3:$T$3000=45927)*(INPUT!$U$3:$U$3000="CHAGUINHA")*(INPUT!$V$3:$V$3000+INPUT!$W$3:$W$3000+INPUT!$X$3:$X$3000+INPUT!$Y$3:$Y$3000))),"")</f>
        <v>17</v>
      </c>
      <c r="AW6" s="42" cm="1">
        <f t="array" ref="AW6">IFERROR(IF(SUMPRODUCT((INPUT!$T$3:$T$3000=45929)*(INPUT!$U$3:$U$3000="CHAGUINHA"))=0,"",SUMPRODUCT((INPUT!$T$3:$T$3000=45929)*(INPUT!$U$3:$U$3000="CHAGUINHA")*(INPUT!$V$3:$V$3000+INPUT!$W$3:$W$3000+INPUT!$X$3:$X$3000+INPUT!$Y$3:$Y$3000))),"")</f>
        <v>17</v>
      </c>
      <c r="AX6" s="42" cm="1">
        <f t="array" ref="AX6">IFERROR(IF(SUMPRODUCT((INPUT!$T$3:$T$3000=45930)*(INPUT!$U$3:$U$3000="CHAGUINHA"))=0,"",SUMPRODUCT((INPUT!$T$3:$T$3000=45930)*(INPUT!$U$3:$U$3000="CHAGUINHA")*(INPUT!$V$3:$V$3000+INPUT!$W$3:$W$3000+INPUT!$X$3:$X$3000+INPUT!$Y$3:$Y$3000))),"")</f>
        <v>16</v>
      </c>
      <c r="AY6" s="42" cm="1">
        <f t="array" ref="AY6">IFERROR(IF(SUMPRODUCT((INPUT!$T$3:$T$3000=45931)*(INPUT!$U$3:$U$3000="CHAGUINHA"))=0,"",SUMPRODUCT((INPUT!$T$3:$T$3000=45931)*(INPUT!$U$3:$U$3000="CHAGUINHA")*(INPUT!$V$3:$V$3000+INPUT!$W$3:$W$3000+INPUT!$X$3:$X$3000+INPUT!$Y$3:$Y$3000))),"")</f>
        <v>17</v>
      </c>
      <c r="AZ6" s="42" cm="1">
        <f t="array" ref="AZ6">IFERROR(IF(SUMPRODUCT((INPUT!$T$3:$T$3000=45932)*(INPUT!$U$3:$U$3000="CHAGUINHA"))=0,"",SUMPRODUCT((INPUT!$T$3:$T$3000=45932)*(INPUT!$U$3:$U$3000="CHAGUINHA")*(INPUT!$V$3:$V$3000+INPUT!$W$3:$W$3000+INPUT!$X$3:$X$3000+INPUT!$Y$3:$Y$3000))),"")</f>
        <v>16</v>
      </c>
      <c r="BA6" s="42" cm="1">
        <f t="array" ref="BA6">IFERROR(IF(SUMPRODUCT((INPUT!$T$3:$T$3000=45933)*(INPUT!$U$3:$U$3000="CHAGUINHA"))=0,"",SUMPRODUCT((INPUT!$T$3:$T$3000=45933)*(INPUT!$U$3:$U$3000="CHAGUINHA")*(INPUT!$V$3:$V$3000+INPUT!$W$3:$W$3000+INPUT!$X$3:$X$3000+INPUT!$Y$3:$Y$3000))),"")</f>
        <v>16</v>
      </c>
      <c r="BB6" s="42" cm="1">
        <f t="array" ref="BB6">IFERROR(IF(SUMPRODUCT((INPUT!$T$3:$T$3000=45934)*(INPUT!$U$3:$U$3000="CHAGUINHA"))=0,"",SUMPRODUCT((INPUT!$T$3:$T$3000=45934)*(INPUT!$U$3:$U$3000="CHAGUINHA")*(INPUT!$V$3:$V$3000+INPUT!$W$3:$W$3000+INPUT!$X$3:$X$3000+INPUT!$Y$3:$Y$3000))),"")</f>
        <v>18</v>
      </c>
      <c r="BC6" s="42" cm="1">
        <f t="array" ref="BC6">IFERROR(IF(SUMPRODUCT((INPUT!$T$3:$T$3000=45936)*(INPUT!$U$3:$U$3000="CHAGUINHA"))=0,"",SUMPRODUCT((INPUT!$T$3:$T$3000=45936)*(INPUT!$U$3:$U$3000="CHAGUINHA")*(INPUT!$V$3:$V$3000+INPUT!$W$3:$W$3000+INPUT!$X$3:$X$3000+INPUT!$Y$3:$Y$3000))),"")</f>
        <v>19</v>
      </c>
      <c r="BD6" s="42" cm="1">
        <f t="array" ref="BD6">IFERROR(IF(SUMPRODUCT((INPUT!$T$3:$T$3000=45937)*(INPUT!$U$3:$U$3000="CHAGUINHA"))=0,"",SUMPRODUCT((INPUT!$T$3:$T$3000=45937)*(INPUT!$U$3:$U$3000="CHAGUINHA")*(INPUT!$V$3:$V$3000+INPUT!$W$3:$W$3000+INPUT!$X$3:$X$3000+INPUT!$Y$3:$Y$3000))),"")</f>
        <v>17</v>
      </c>
      <c r="BE6" s="42" cm="1">
        <f t="array" ref="BE6">IFERROR(IF(SUMPRODUCT((INPUT!$T$3:$T$3000=45938)*(INPUT!$U$3:$U$3000="CHAGUINHA"))=0,"",SUMPRODUCT((INPUT!$T$3:$T$3000=45938)*(INPUT!$U$3:$U$3000="CHAGUINHA")*(INPUT!$V$3:$V$3000+INPUT!$W$3:$W$3000+INPUT!$X$3:$X$3000+INPUT!$Y$3:$Y$3000))),"")</f>
        <v>16</v>
      </c>
      <c r="BF6" s="42" cm="1">
        <f t="array" ref="BF6">IFERROR(IF(SUMPRODUCT((INPUT!$T$3:$T$3000=45940)*(INPUT!$U$3:$U$3000="CHAGUINHA"))=0,"",SUMPRODUCT((INPUT!$T$3:$T$3000=45940)*(INPUT!$U$3:$U$3000="CHAGUINHA")*(INPUT!$V$3:$V$3000+INPUT!$W$3:$W$3000+INPUT!$X$3:$X$3000+INPUT!$Y$3:$Y$3000))),"")</f>
        <v>17</v>
      </c>
      <c r="BG6" s="42" cm="1">
        <f t="array" ref="BG6">IFERROR(IF(SUMPRODUCT((INPUT!$T$3:$T$3000=45941)*(INPUT!$U$3:$U$3000="CHAGUINHA"))=0,"",SUMPRODUCT((INPUT!$T$3:$T$3000=45941)*(INPUT!$U$3:$U$3000="CHAGUINHA")*(INPUT!$V$3:$V$3000+INPUT!$W$3:$W$3000+INPUT!$X$3:$X$3000+INPUT!$Y$3:$Y$3000))),"")</f>
        <v>16</v>
      </c>
      <c r="BH6" s="42" cm="1">
        <f t="array" ref="BH6">IFERROR(IF(SUMPRODUCT((INPUT!$T$3:$T$3000=45942)*(INPUT!$U$3:$U$3000="CHAGUINHA"))=0,"",SUMPRODUCT((INPUT!$T$3:$T$3000=45942)*(INPUT!$U$3:$U$3000="CHAGUINHA")*(INPUT!$V$3:$V$3000+INPUT!$W$3:$W$3000+INPUT!$X$3:$X$3000+INPUT!$Y$3:$Y$3000))),"")</f>
        <v>17</v>
      </c>
      <c r="BI6" s="42" cm="1">
        <f t="array" ref="BI6">IFERROR(IF(SUMPRODUCT((INPUT!$T$3:$T$3000=45945)*(INPUT!$U$3:$U$3000="CHAGUINHA"))=0,"",SUMPRODUCT((INPUT!$T$3:$T$3000=45945)*(INPUT!$U$3:$U$3000="CHAGUINHA")*(INPUT!$V$3:$V$3000+INPUT!$W$3:$W$3000+INPUT!$X$3:$X$3000+INPUT!$Y$3:$Y$3000))),"")</f>
        <v>19</v>
      </c>
      <c r="BJ6" s="42" cm="1">
        <f t="array" ref="BJ6">IFERROR(IF(SUMPRODUCT((INPUT!$T$3:$T$3000=45946)*(INPUT!$U$3:$U$3000="CHAGUINHA"))=0,"",SUMPRODUCT((INPUT!$T$3:$T$3000=45946)*(INPUT!$U$3:$U$3000="CHAGUINHA")*(INPUT!$V$3:$V$3000+INPUT!$W$3:$W$3000+INPUT!$X$3:$X$3000+INPUT!$Y$3:$Y$3000))),"")</f>
        <v>19</v>
      </c>
      <c r="BK6" s="42" cm="1">
        <f t="array" ref="BK6">IFERROR(IF(SUMPRODUCT((INPUT!$T$3:$T$3000=45947)*(INPUT!$U$3:$U$3000="CHAGUINHA"))=0,"",SUMPRODUCT((INPUT!$T$3:$T$3000=45947)*(INPUT!$U$3:$U$3000="CHAGUINHA")*(INPUT!$V$3:$V$3000+INPUT!$W$3:$W$3000+INPUT!$X$3:$X$3000+INPUT!$Y$3:$Y$3000))),"")</f>
        <v>19</v>
      </c>
      <c r="BL6" s="42" cm="1">
        <f t="array" ref="BL6">IFERROR(IF(SUMPRODUCT((INPUT!$T$3:$T$3000=45950)*(INPUT!$U$3:$U$3000="CHAGUINHA"))=0,"",SUMPRODUCT((INPUT!$T$3:$T$3000=45950)*(INPUT!$U$3:$U$3000="CHAGUINHA")*(INPUT!$V$3:$V$3000+INPUT!$W$3:$W$3000+INPUT!$X$3:$X$3000+INPUT!$Y$3:$Y$3000))),"")</f>
        <v>18</v>
      </c>
      <c r="BM6" s="42" cm="1">
        <f t="array" ref="BM6">IFERROR(IF(SUMPRODUCT((INPUT!$T$3:$T$3000=45951)*(INPUT!$U$3:$U$3000="CHAGUINHA"))=0,"",SUMPRODUCT((INPUT!$T$3:$T$3000=45951)*(INPUT!$U$3:$U$3000="CHAGUINHA")*(INPUT!$V$3:$V$3000+INPUT!$W$3:$W$3000+INPUT!$X$3:$X$3000+INPUT!$Y$3:$Y$3000))),"")</f>
        <v>17</v>
      </c>
      <c r="BN6" s="42" cm="1">
        <f t="array" ref="BN6">IFERROR(IF(SUMPRODUCT((INPUT!$T$3:$T$3000=45952)*(INPUT!$U$3:$U$3000="CHAGUINHA"))=0,"",SUMPRODUCT((INPUT!$T$3:$T$3000=45952)*(INPUT!$U$3:$U$3000="CHAGUINHA")*(INPUT!$V$3:$V$3000+INPUT!$W$3:$W$3000+INPUT!$X$3:$X$3000+INPUT!$Y$3:$Y$3000))),"")</f>
        <v>16</v>
      </c>
      <c r="BO6" s="42" cm="1">
        <f t="array" ref="BO6">IFERROR(IF(SUMPRODUCT((INPUT!$T$3:$T$3000=45953)*(INPUT!$U$3:$U$3000="CHAGUINHA"))=0,"",SUMPRODUCT((INPUT!$T$3:$T$3000=45953)*(INPUT!$U$3:$U$3000="CHAGUINHA")*(INPUT!$V$3:$V$3000+INPUT!$W$3:$W$3000+INPUT!$X$3:$X$3000+INPUT!$Y$3:$Y$3000))),"")</f>
        <v>16</v>
      </c>
      <c r="BP6" s="42" cm="1">
        <f t="array" ref="BP6">IFERROR(IF(SUMPRODUCT((INPUT!$T$3:$T$3000=45954)*(INPUT!$U$3:$U$3000="CHAGUINHA"))=0,"",SUMPRODUCT((INPUT!$T$3:$T$3000=45954)*(INPUT!$U$3:$U$3000="CHAGUINHA")*(INPUT!$V$3:$V$3000+INPUT!$W$3:$W$3000+INPUT!$X$3:$X$3000+INPUT!$Y$3:$Y$3000))),"")</f>
        <v>18</v>
      </c>
      <c r="BQ6" s="42" cm="1">
        <f t="array" ref="BQ6">IFERROR(IF(SUMPRODUCT((INPUT!$T$3:$T$3000=45955)*(INPUT!$U$3:$U$3000="CHAGUINHA"))=0,"",SUMPRODUCT((INPUT!$T$3:$T$3000=45955)*(INPUT!$U$3:$U$3000="CHAGUINHA")*(INPUT!$V$3:$V$3000+INPUT!$W$3:$W$3000+INPUT!$X$3:$X$3000+INPUT!$Y$3:$Y$3000))),"")</f>
        <v>16</v>
      </c>
      <c r="BR6" s="42" cm="1">
        <f t="array" ref="BR6">IFERROR(IF(SUMPRODUCT((INPUT!$T$3:$T$3000=45958)*(INPUT!$U$3:$U$3000="CHAGUINHA"))=0,"",SUMPRODUCT((INPUT!$T$3:$T$3000=45958)*(INPUT!$U$3:$U$3000="CHAGUINHA")*(INPUT!$V$3:$V$3000+INPUT!$W$3:$W$3000+INPUT!$X$3:$X$3000+INPUT!$Y$3:$Y$3000))),"")</f>
        <v>18</v>
      </c>
      <c r="BS6" s="42" cm="1">
        <f t="array" ref="BS6">IFERROR(IF(SUMPRODUCT((INPUT!$T$3:$T$3000=45959)*(INPUT!$U$3:$U$3000="CHAGUINHA"))=0,"",SUMPRODUCT((INPUT!$T$3:$T$3000=45959)*(INPUT!$U$3:$U$3000="CHAGUINHA")*(INPUT!$V$3:$V$3000+INPUT!$W$3:$W$3000+INPUT!$X$3:$X$3000+INPUT!$Y$3:$Y$3000))),"")</f>
        <v>17</v>
      </c>
      <c r="BT6" s="42" cm="1">
        <f t="array" ref="BT6">IFERROR(IF(SUMPRODUCT((INPUT!$T$3:$T$3000=45960)*(INPUT!$U$3:$U$3000="CHAGUINHA"))=0,"",SUMPRODUCT((INPUT!$T$3:$T$3000=45960)*(INPUT!$U$3:$U$3000="CHAGUINHA")*(INPUT!$V$3:$V$3000+INPUT!$W$3:$W$3000+INPUT!$X$3:$X$3000+INPUT!$Y$3:$Y$3000))),"")</f>
        <v>17</v>
      </c>
      <c r="BU6" s="42" cm="1">
        <f t="array" ref="BU6">IFERROR(IF(SUMPRODUCT((INPUT!$T$3:$T$3000=45961)*(INPUT!$U$3:$U$3000="CHAGUINHA"))=0,"",SUMPRODUCT((INPUT!$T$3:$T$3000=45961)*(INPUT!$U$3:$U$3000="CHAGUINHA")*(INPUT!$V$3:$V$3000+INPUT!$W$3:$W$3000+INPUT!$X$3:$X$3000+INPUT!$Y$3:$Y$3000))),"")</f>
        <v>17</v>
      </c>
      <c r="BV6" s="42" cm="1">
        <f t="array" ref="BV6">IFERROR(IF(SUMPRODUCT((INPUT!$T$3:$T$3000=45964)*(INPUT!$U$3:$U$3000="CHAGUINHA"))=0,"",SUMPRODUCT((INPUT!$T$3:$T$3000=45964)*(INPUT!$U$3:$U$3000="CHAGUINHA")*(INPUT!$V$3:$V$3000+INPUT!$W$3:$W$3000+INPUT!$X$3:$X$3000+INPUT!$Y$3:$Y$3000))),"")</f>
        <v>20</v>
      </c>
      <c r="BW6" s="42" cm="1">
        <f t="array" ref="BW6">IFERROR(IF(SUMPRODUCT((INPUT!$T$3:$T$3000=45965)*(INPUT!$U$3:$U$3000="CHAGUINHA"))=0,"",SUMPRODUCT((INPUT!$T$3:$T$3000=45965)*(INPUT!$U$3:$U$3000="CHAGUINHA")*(INPUT!$V$3:$V$3000+INPUT!$W$3:$W$3000+INPUT!$X$3:$X$3000+INPUT!$Y$3:$Y$3000))),"")</f>
        <v>18</v>
      </c>
      <c r="BX6" s="42" cm="1">
        <f t="array" ref="BX6">IFERROR(IF(SUMPRODUCT((INPUT!$T$3:$T$3000=45966)*(INPUT!$U$3:$U$3000="CHAGUINHA"))=0,"",SUMPRODUCT((INPUT!$T$3:$T$3000=45966)*(INPUT!$U$3:$U$3000="CHAGUINHA")*(INPUT!$V$3:$V$3000+INPUT!$W$3:$W$3000+INPUT!$X$3:$X$3000+INPUT!$Y$3:$Y$3000))),"")</f>
        <v>17</v>
      </c>
      <c r="BY6" s="42" cm="1">
        <f t="array" ref="BY6">IFERROR(IF(SUMPRODUCT((INPUT!$T$3:$T$3000=45967)*(INPUT!$U$3:$U$3000="CHAGUINHA"))=0,"",SUMPRODUCT((INPUT!$T$3:$T$3000=45967)*(INPUT!$U$3:$U$3000="CHAGUINHA")*(INPUT!$V$3:$V$3000+INPUT!$W$3:$W$3000+INPUT!$X$3:$X$3000+INPUT!$Y$3:$Y$3000))),"")</f>
        <v>17</v>
      </c>
      <c r="BZ6" s="42" cm="1">
        <f t="array" ref="BZ6">IFERROR(IF(SUMPRODUCT((INPUT!$T$3:$T$3000=45968)*(INPUT!$U$3:$U$3000="CHAGUINHA"))=0,"",SUMPRODUCT((INPUT!$T$3:$T$3000=45968)*(INPUT!$U$3:$U$3000="CHAGUINHA")*(INPUT!$V$3:$V$3000+INPUT!$W$3:$W$3000+INPUT!$X$3:$X$3000+INPUT!$Y$3:$Y$3000))),"")</f>
        <v>18</v>
      </c>
      <c r="CA6" s="42" cm="1">
        <f t="array" ref="CA6">IFERROR(IF(SUMPRODUCT((INPUT!$T$3:$T$3000=45971)*(INPUT!$U$3:$U$3000="CHAGUINHA"))=0,"",SUMPRODUCT((INPUT!$T$3:$T$3000=45971)*(INPUT!$U$3:$U$3000="CHAGUINHA")*(INPUT!$V$3:$V$3000+INPUT!$W$3:$W$3000+INPUT!$X$3:$X$3000+INPUT!$Y$3:$Y$3000))),"")</f>
        <v>17</v>
      </c>
      <c r="CB6" s="42" cm="1">
        <f t="array" ref="CB6">IFERROR(IF(SUMPRODUCT((INPUT!$T$3:$T$3000=45972)*(INPUT!$U$3:$U$3000="CHAGUINHA"))=0,"",SUMPRODUCT((INPUT!$T$3:$T$3000=45972)*(INPUT!$U$3:$U$3000="CHAGUINHA")*(INPUT!$V$3:$V$3000+INPUT!$W$3:$W$3000+INPUT!$X$3:$X$3000+INPUT!$Y$3:$Y$3000))),"")</f>
        <v>16</v>
      </c>
      <c r="CC6" s="42" cm="1">
        <f t="array" ref="CC6">IFERROR(IF(SUMPRODUCT((INPUT!$T$3:$T$3000=45974)*(INPUT!$U$3:$U$3000="CHAGUINHA"))=0,"",SUMPRODUCT((INPUT!$T$3:$T$3000=45974)*(INPUT!$U$3:$U$3000="CHAGUINHA")*(INPUT!$V$3:$V$3000+INPUT!$W$3:$W$3000+INPUT!$X$3:$X$3000+INPUT!$Y$3:$Y$3000))),"")</f>
        <v>17</v>
      </c>
      <c r="CD6" s="42" cm="1">
        <f t="array" ref="CD6">IFERROR(IF(SUMPRODUCT((INPUT!$T$3:$T$3000=45975)*(INPUT!$U$3:$U$3000="CHAGUINHA"))=0,"",SUMPRODUCT((INPUT!$T$3:$T$3000=45975)*(INPUT!$U$3:$U$3000="CHAGUINHA")*(INPUT!$V$3:$V$3000+INPUT!$W$3:$W$3000+INPUT!$X$3:$X$3000+INPUT!$Y$3:$Y$3000))),"")</f>
        <v>17</v>
      </c>
      <c r="CE6" s="42" cm="1">
        <f t="array" ref="CE6">IFERROR(IF(SUMPRODUCT((INPUT!$T$3:$T$3000=45976)*(INPUT!$U$3:$U$3000="CHAGUINHA"))=0,"",SUMPRODUCT((INPUT!$T$3:$T$3000=45976)*(INPUT!$U$3:$U$3000="CHAGUINHA")*(INPUT!$V$3:$V$3000+INPUT!$W$3:$W$3000+INPUT!$X$3:$X$3000+INPUT!$Y$3:$Y$3000))),"")</f>
        <v>18</v>
      </c>
      <c r="CF6" s="42" cm="1">
        <f t="array" ref="CF6">IFERROR(IF(SUMPRODUCT((INPUT!$T$3:$T$3000=45978)*(INPUT!$U$3:$U$3000="CHAGUINHA"))=0,"",SUMPRODUCT((INPUT!$T$3:$T$3000=45978)*(INPUT!$U$3:$U$3000="CHAGUINHA")*(INPUT!$V$3:$V$3000+INPUT!$W$3:$W$3000+INPUT!$X$3:$X$3000+INPUT!$Y$3:$Y$3000))),"")</f>
        <v>16</v>
      </c>
      <c r="CG6" s="42" cm="1">
        <f t="array" ref="CG6">IFERROR(IF(SUMPRODUCT((INPUT!$T$3:$T$3000=45979)*(INPUT!$U$3:$U$3000="CHAGUINHA"))=0,"",SUMPRODUCT((INPUT!$T$3:$T$3000=45979)*(INPUT!$U$3:$U$3000="CHAGUINHA")*(INPUT!$V$3:$V$3000+INPUT!$W$3:$W$3000+INPUT!$X$3:$X$3000+INPUT!$Y$3:$Y$3000))),"")</f>
        <v>17</v>
      </c>
      <c r="CH6" s="42" cm="1">
        <f t="array" ref="CH6">IFERROR(IF(SUMPRODUCT((INPUT!$T$3:$T$3000=45980)*(INPUT!$U$3:$U$3000="CHAGUINHA"))=0,"",SUMPRODUCT((INPUT!$T$3:$T$3000=45980)*(INPUT!$U$3:$U$3000="CHAGUINHA")*(INPUT!$V$3:$V$3000+INPUT!$W$3:$W$3000+INPUT!$X$3:$X$3000+INPUT!$Y$3:$Y$3000))),"")</f>
        <v>17</v>
      </c>
      <c r="CI6" s="42" cm="1">
        <f t="array" ref="CI6">IFERROR(IF(SUMPRODUCT((INPUT!$T$3:$T$3000=45982)*(INPUT!$U$3:$U$3000="CHAGUINHA"))=0,"",SUMPRODUCT((INPUT!$T$3:$T$3000=45982)*(INPUT!$U$3:$U$3000="CHAGUINHA")*(INPUT!$V$3:$V$3000+INPUT!$W$3:$W$3000+INPUT!$X$3:$X$3000+INPUT!$Y$3:$Y$3000))),"")</f>
        <v>17</v>
      </c>
      <c r="CJ6" s="42" cm="1">
        <f t="array" ref="CJ6">IFERROR(IF(SUMPRODUCT((INPUT!$T$3:$T$3000=45983)*(INPUT!$U$3:$U$3000="CHAGUINHA"))=0,"",SUMPRODUCT((INPUT!$T$3:$T$3000=45983)*(INPUT!$U$3:$U$3000="CHAGUINHA")*(INPUT!$V$3:$V$3000+INPUT!$W$3:$W$3000+INPUT!$X$3:$X$3000+INPUT!$Y$3:$Y$3000))),"")</f>
        <v>18</v>
      </c>
      <c r="CK6" s="42" cm="1">
        <f t="array" ref="CK6">IFERROR(IF(SUMPRODUCT((INPUT!$T$3:$T$3000=45985)*(INPUT!$U$3:$U$3000="CHAGUINHA"))=0,"",SUMPRODUCT((INPUT!$T$3:$T$3000=45985)*(INPUT!$U$3:$U$3000="CHAGUINHA")*(INPUT!$V$3:$V$3000+INPUT!$W$3:$W$3000+INPUT!$X$3:$X$3000+INPUT!$Y$3:$Y$3000))),"")</f>
        <v>18</v>
      </c>
      <c r="CL6" s="42" cm="1">
        <f t="array" ref="CL6">IFERROR(IF(SUMPRODUCT((INPUT!$T$3:$T$3000=45986)*(INPUT!$U$3:$U$3000="CHAGUINHA"))=0,"",SUMPRODUCT((INPUT!$T$3:$T$3000=45986)*(INPUT!$U$3:$U$3000="CHAGUINHA")*(INPUT!$V$3:$V$3000+INPUT!$W$3:$W$3000+INPUT!$X$3:$X$3000+INPUT!$Y$3:$Y$3000))),"")</f>
        <v>18</v>
      </c>
      <c r="CM6" s="42" cm="1">
        <f t="array" ref="CM6">IFERROR(IF(SUMPRODUCT((INPUT!$T$3:$T$3000=45987)*(INPUT!$U$3:$U$3000="CHAGUINHA"))=0,"",SUMPRODUCT((INPUT!$T$3:$T$3000=45987)*(INPUT!$U$3:$U$3000="CHAGUINHA")*(INPUT!$V$3:$V$3000+INPUT!$W$3:$W$3000+INPUT!$X$3:$X$3000+INPUT!$Y$3:$Y$3000))),"")</f>
        <v>16</v>
      </c>
      <c r="CN6" s="42" cm="1">
        <f t="array" ref="CN6">IFERROR(IF(SUMPRODUCT((INPUT!$T$3:$T$3000=45988)*(INPUT!$U$3:$U$3000="CHAGUINHA"))=0,"",SUMPRODUCT((INPUT!$T$3:$T$3000=45988)*(INPUT!$U$3:$U$3000="CHAGUINHA")*(INPUT!$V$3:$V$3000+INPUT!$W$3:$W$3000+INPUT!$X$3:$X$3000+INPUT!$Y$3:$Y$3000))),"")</f>
        <v>17</v>
      </c>
      <c r="CO6" s="42" cm="1">
        <f t="array" ref="CO6">IFERROR(IF(SUMPRODUCT((INPUT!$T$3:$T$3000=45989)*(INPUT!$U$3:$U$3000="CHAGUINHA"))=0,"",SUMPRODUCT((INPUT!$T$3:$T$3000=45989)*(INPUT!$U$3:$U$3000="CHAGUINHA")*(INPUT!$V$3:$V$3000+INPUT!$W$3:$W$3000+INPUT!$X$3:$X$3000+INPUT!$Y$3:$Y$3000))),"")</f>
        <v>20</v>
      </c>
      <c r="CP6" s="42" cm="1">
        <f t="array" ref="CP6">IFERROR(IF(SUMPRODUCT((INPUT!$T$3:$T$3000=45992)*(INPUT!$U$3:$U$3000="CHAGUINHA"))=0,"",SUMPRODUCT((INPUT!$T$3:$T$3000=45992)*(INPUT!$U$3:$U$3000="CHAGUINHA")*(INPUT!$V$3:$V$3000+INPUT!$W$3:$W$3000+INPUT!$X$3:$X$3000+INPUT!$Y$3:$Y$3000))),"")</f>
        <v>19</v>
      </c>
      <c r="CQ6" s="42" cm="1">
        <f t="array" ref="CQ6">IFERROR(IF(SUMPRODUCT((INPUT!$T$3:$T$3000=45993)*(INPUT!$U$3:$U$3000="CHAGUINHA"))=0,"",SUMPRODUCT((INPUT!$T$3:$T$3000=45993)*(INPUT!$U$3:$U$3000="CHAGUINHA")*(INPUT!$V$3:$V$3000+INPUT!$W$3:$W$3000+INPUT!$X$3:$X$3000+INPUT!$Y$3:$Y$3000))),"")</f>
        <v>17</v>
      </c>
      <c r="CR6" s="42" cm="1">
        <f t="array" ref="CR6">IFERROR(IF(SUMPRODUCT((INPUT!$T$3:$T$3000=45994)*(INPUT!$U$3:$U$3000="CHAGUINHA"))=0,"",SUMPRODUCT((INPUT!$T$3:$T$3000=45994)*(INPUT!$U$3:$U$3000="CHAGUINHA")*(INPUT!$V$3:$V$3000+INPUT!$W$3:$W$3000+INPUT!$X$3:$X$3000+INPUT!$Y$3:$Y$3000))),"")</f>
        <v>16</v>
      </c>
      <c r="CS6" s="42" cm="1">
        <f t="array" ref="CS6">IFERROR(IF(SUMPRODUCT((INPUT!$T$3:$T$3000=45995)*(INPUT!$U$3:$U$3000="CHAGUINHA"))=0,"",SUMPRODUCT((INPUT!$T$3:$T$3000=45995)*(INPUT!$U$3:$U$3000="CHAGUINHA")*(INPUT!$V$3:$V$3000+INPUT!$W$3:$W$3000+INPUT!$X$3:$X$3000+INPUT!$Y$3:$Y$3000))),"")</f>
        <v>16</v>
      </c>
      <c r="CT6" s="42" cm="1">
        <f t="array" ref="CT6">IFERROR(IF(SUMPRODUCT((INPUT!$T$3:$T$3000=45996)*(INPUT!$U$3:$U$3000="CHAGUINHA"))=0,"",SUMPRODUCT((INPUT!$T$3:$T$3000=45996)*(INPUT!$U$3:$U$3000="CHAGUINHA")*(INPUT!$V$3:$V$3000+INPUT!$W$3:$W$3000+INPUT!$X$3:$X$3000+INPUT!$Y$3:$Y$3000))),"")</f>
        <v>17</v>
      </c>
      <c r="CU6" s="42" cm="1">
        <f t="array" ref="CU6">IFERROR(IF(SUMPRODUCT((INPUT!$T$3:$T$3000=45997)*(INPUT!$U$3:$U$3000="CHAGUINHA"))=0,"",SUMPRODUCT((INPUT!$T$3:$T$3000=45997)*(INPUT!$U$3:$U$3000="CHAGUINHA")*(INPUT!$V$3:$V$3000+INPUT!$W$3:$W$3000+INPUT!$X$3:$X$3000+INPUT!$Y$3:$Y$3000))),"")</f>
        <v>17</v>
      </c>
      <c r="CV6" s="42" cm="1">
        <f t="array" ref="CV6">IFERROR(IF(SUMPRODUCT((INPUT!$T$3:$T$3000=45999)*(INPUT!$U$3:$U$3000="CHAGUINHA"))=0,"",SUMPRODUCT((INPUT!$T$3:$T$3000=45999)*(INPUT!$U$3:$U$3000="CHAGUINHA")*(INPUT!$V$3:$V$3000+INPUT!$W$3:$W$3000+INPUT!$X$3:$X$3000+INPUT!$Y$3:$Y$3000))),"")</f>
        <v>18</v>
      </c>
      <c r="CW6" s="42" cm="1">
        <f t="array" ref="CW6">IFERROR(IF(SUMPRODUCT((INPUT!$T$3:$T$3000=46000)*(INPUT!$U$3:$U$3000="CHAGUINHA"))=0,"",SUMPRODUCT((INPUT!$T$3:$T$3000=46000)*(INPUT!$U$3:$U$3000="CHAGUINHA")*(INPUT!$V$3:$V$3000+INPUT!$W$3:$W$3000+INPUT!$X$3:$X$3000+INPUT!$Y$3:$Y$3000))),"")</f>
        <v>18</v>
      </c>
      <c r="CX6" s="42" cm="1">
        <f t="array" ref="CX6">IFERROR(IF(SUMPRODUCT((INPUT!$T$3:$T$3000=46001)*(INPUT!$U$3:$U$3000="CHAGUINHA"))=0,"",SUMPRODUCT((INPUT!$T$3:$T$3000=46001)*(INPUT!$U$3:$U$3000="CHAGUINHA")*(INPUT!$V$3:$V$3000+INPUT!$W$3:$W$3000+INPUT!$X$3:$X$3000+INPUT!$Y$3:$Y$3000))),"")</f>
        <v>11</v>
      </c>
      <c r="CY6" s="42" cm="1">
        <f t="array" ref="CY6">IFERROR(IF(SUMPRODUCT((INPUT!$T$3:$T$3000=46002)*(INPUT!$U$3:$U$3000="CHAGUINHA"))=0,"",SUMPRODUCT((INPUT!$T$3:$T$3000=46002)*(INPUT!$U$3:$U$3000="CHAGUINHA")*(INPUT!$V$3:$V$3000+INPUT!$W$3:$W$3000+INPUT!$X$3:$X$3000+INPUT!$Y$3:$Y$3000))),"")</f>
        <v>17</v>
      </c>
      <c r="CZ6" s="42" cm="1">
        <f t="array" ref="CZ6">IFERROR(IF(SUMPRODUCT((INPUT!$T$3:$T$3000=46003)*(INPUT!$U$3:$U$3000="CHAGUINHA"))=0,"",SUMPRODUCT((INPUT!$T$3:$T$3000=46003)*(INPUT!$U$3:$U$3000="CHAGUINHA")*(INPUT!$V$3:$V$3000+INPUT!$W$3:$W$3000+INPUT!$X$3:$X$3000+INPUT!$Y$3:$Y$3000))),"")</f>
        <v>18</v>
      </c>
      <c r="DA6" s="42" cm="1">
        <f t="array" ref="DA6">IFERROR(IF(SUMPRODUCT((INPUT!$T$3:$T$3000=46004)*(INPUT!$U$3:$U$3000="CHAGUINHA"))=0,"",SUMPRODUCT((INPUT!$T$3:$T$3000=46004)*(INPUT!$U$3:$U$3000="CHAGUINHA")*(INPUT!$V$3:$V$3000+INPUT!$W$3:$W$3000+INPUT!$X$3:$X$3000+INPUT!$Y$3:$Y$3000))),"")</f>
        <v>18</v>
      </c>
      <c r="DB6" s="42" cm="1">
        <f t="array" ref="DB6">IFERROR(IF(SUMPRODUCT((INPUT!$T$3:$T$3000=46007)*(INPUT!$U$3:$U$3000="CHAGUINHA"))=0,"",SUMPRODUCT((INPUT!$T$3:$T$3000=46007)*(INPUT!$U$3:$U$3000="CHAGUINHA")*(INPUT!$V$3:$V$3000+INPUT!$W$3:$W$3000+INPUT!$X$3:$X$3000+INPUT!$Y$3:$Y$3000))),"")</f>
        <v>17</v>
      </c>
      <c r="DC6" s="42" cm="1">
        <f t="array" ref="DC6">IFERROR(IF(SUMPRODUCT((INPUT!$T$3:$T$3000=46008)*(INPUT!$U$3:$U$3000="CHAGUINHA"))=0,"",SUMPRODUCT((INPUT!$T$3:$T$3000=46008)*(INPUT!$U$3:$U$3000="CHAGUINHA")*(INPUT!$V$3:$V$3000+INPUT!$W$3:$W$3000+INPUT!$X$3:$X$3000+INPUT!$Y$3:$Y$3000))),"")</f>
        <v>16</v>
      </c>
      <c r="DD6" s="42" cm="1">
        <f t="array" ref="DD6">IFERROR(IF(SUMPRODUCT((INPUT!$T$3:$T$3000=46009)*(INPUT!$U$3:$U$3000="CHAGUINHA"))=0,"",SUMPRODUCT((INPUT!$T$3:$T$3000=46009)*(INPUT!$U$3:$U$3000="CHAGUINHA")*(INPUT!$V$3:$V$3000+INPUT!$W$3:$W$3000+INPUT!$X$3:$X$3000+INPUT!$Y$3:$Y$3000))),"")</f>
        <v>17</v>
      </c>
      <c r="DE6" s="42" cm="1">
        <f t="array" ref="DE6">IFERROR(IF(SUMPRODUCT((INPUT!$T$3:$T$3000=46010)*(INPUT!$U$3:$U$3000="CHAGUINHA"))=0,"",SUMPRODUCT((INPUT!$T$3:$T$3000=46010)*(INPUT!$U$3:$U$3000="CHAGUINHA")*(INPUT!$V$3:$V$3000+INPUT!$W$3:$W$3000+INPUT!$X$3:$X$3000+INPUT!$Y$3:$Y$3000))),"")</f>
        <v>17</v>
      </c>
      <c r="DF6" s="42" cm="1">
        <f t="array" ref="DF6">IFERROR(IF(SUMPRODUCT((INPUT!$T$3:$T$3000=46013)*(INPUT!$U$3:$U$3000="CHAGUINHA"))=0,"",SUMPRODUCT((INPUT!$T$3:$T$3000=46013)*(INPUT!$U$3:$U$3000="CHAGUINHA")*(INPUT!$V$3:$V$3000+INPUT!$W$3:$W$3000+INPUT!$X$3:$X$3000+INPUT!$Y$3:$Y$3000))),"")</f>
        <v>20</v>
      </c>
      <c r="DG6" s="42" cm="1">
        <f t="array" ref="DG6">IFERROR(IF(SUMPRODUCT((INPUT!$T$3:$T$3000=46014)*(INPUT!$U$3:$U$3000="CHAGUINHA"))=0,"",SUMPRODUCT((INPUT!$T$3:$T$3000=46014)*(INPUT!$U$3:$U$3000="CHAGUINHA")*(INPUT!$V$3:$V$3000+INPUT!$W$3:$W$3000+INPUT!$X$3:$X$3000+INPUT!$Y$3:$Y$3000))),"")</f>
        <v>18</v>
      </c>
      <c r="DH6" s="42" cm="1">
        <f t="array" ref="DH6">IFERROR(IF(SUMPRODUCT((INPUT!$T$3:$T$3000=46017)*(INPUT!$U$3:$U$3000="CHAGUINHA"))=0,"",SUMPRODUCT((INPUT!$T$3:$T$3000=46017)*(INPUT!$U$3:$U$3000="CHAGUINHA")*(INPUT!$V$3:$V$3000+INPUT!$W$3:$W$3000+INPUT!$X$3:$X$3000+INPUT!$Y$3:$Y$3000))),"")</f>
        <v>18</v>
      </c>
      <c r="DI6" s="42" cm="1">
        <f t="array" ref="DI6">IFERROR(IF(SUMPRODUCT((INPUT!$T$3:$T$3000=46018)*(INPUT!$U$3:$U$3000="CHAGUINHA"))=0,"",SUMPRODUCT((INPUT!$T$3:$T$3000=46018)*(INPUT!$U$3:$U$3000="CHAGUINHA")*(INPUT!$V$3:$V$3000+INPUT!$W$3:$W$3000+INPUT!$X$3:$X$3000+INPUT!$Y$3:$Y$3000))),"")</f>
        <v>18</v>
      </c>
      <c r="DJ6" s="42" cm="1">
        <f t="array" ref="DJ6">IFERROR(IF(SUMPRODUCT((INPUT!$T$3:$T$3000=46020)*(INPUT!$U$3:$U$3000="CHAGUINHA"))=0,"",SUMPRODUCT((INPUT!$T$3:$T$3000=46020)*(INPUT!$U$3:$U$3000="CHAGUINHA")*(INPUT!$V$3:$V$3000+INPUT!$W$3:$W$3000+INPUT!$X$3:$X$3000+INPUT!$Y$3:$Y$3000))),"")</f>
        <v>18</v>
      </c>
      <c r="DK6" s="42" cm="1">
        <f t="array" ref="DK6">IFERROR(IF(SUMPRODUCT((INPUT!$T$3:$T$3000=46021)*(INPUT!$U$3:$U$3000="CHAGUINHA"))=0,"",SUMPRODUCT((INPUT!$T$3:$T$3000=46021)*(INPUT!$U$3:$U$3000="CHAGUINHA")*(INPUT!$V$3:$V$3000+INPUT!$W$3:$W$3000+INPUT!$X$3:$X$3000+INPUT!$Y$3:$Y$3000))),"")</f>
        <v>17</v>
      </c>
      <c r="DL6" s="42" cm="1">
        <f t="array" ref="DL6">IFERROR(IF(SUMPRODUCT((INPUT!$T$3:$T$3000=46022)*(INPUT!$U$3:$U$3000="CHAGUINHA"))=0,"",SUMPRODUCT((INPUT!$T$3:$T$3000=46022)*(INPUT!$U$3:$U$3000="CHAGUINHA")*(INPUT!$V$3:$V$3000+INPUT!$W$3:$W$3000+INPUT!$X$3:$X$3000+INPUT!$Y$3:$Y$3000))),"")</f>
        <v>18</v>
      </c>
      <c r="DM6" s="42" cm="1">
        <f t="array" ref="DM6">IFERROR(IF(SUMPRODUCT((INPUT!$T$3:$T$3000=46024)*(INPUT!$U$3:$U$3000="CHAGUINHA"))=0,"",SUMPRODUCT((INPUT!$T$3:$T$3000=46024)*(INPUT!$U$3:$U$3000="CHAGUINHA")*(INPUT!$V$3:$V$3000+INPUT!$W$3:$W$3000+INPUT!$X$3:$X$3000+INPUT!$Y$3:$Y$3000))),"")</f>
        <v>17</v>
      </c>
      <c r="DN6" s="42" cm="1">
        <f t="array" ref="DN6">IFERROR(IF(SUMPRODUCT((INPUT!$T$3:$T$3000=46025)*(INPUT!$U$3:$U$3000="CHAGUINHA"))=0,"",SUMPRODUCT((INPUT!$T$3:$T$3000=46025)*(INPUT!$U$3:$U$3000="CHAGUINHA")*(INPUT!$V$3:$V$3000+INPUT!$W$3:$W$3000+INPUT!$X$3:$X$3000+INPUT!$Y$3:$Y$3000))),"")</f>
        <v>20</v>
      </c>
      <c r="DO6" s="42" cm="1">
        <f t="array" ref="DO6">IFERROR(IF(SUMPRODUCT((INPUT!$T$3:$T$3000=46027)*(INPUT!$U$3:$U$3000="CHAGUINHA"))=0,"",SUMPRODUCT((INPUT!$T$3:$T$3000=46027)*(INPUT!$U$3:$U$3000="CHAGUINHA")*(INPUT!$V$3:$V$3000+INPUT!$W$3:$W$3000+INPUT!$X$3:$X$3000+INPUT!$Y$3:$Y$3000))),"")</f>
        <v>17</v>
      </c>
      <c r="DP6" s="42" cm="1">
        <f t="array" ref="DP6">IFERROR(IF(SUMPRODUCT((INPUT!$T$3:$T$3000=46028)*(INPUT!$U$3:$U$3000="CHAGUINHA"))=0,"",SUMPRODUCT((INPUT!$T$3:$T$3000=46028)*(INPUT!$U$3:$U$3000="CHAGUINHA")*(INPUT!$V$3:$V$3000+INPUT!$W$3:$W$3000+INPUT!$X$3:$X$3000+INPUT!$Y$3:$Y$3000))),"")</f>
        <v>16</v>
      </c>
      <c r="DQ6" s="42" cm="1">
        <f t="array" ref="DQ6">IFERROR(IF(SUMPRODUCT((INPUT!$T$3:$T$3000=46029)*(INPUT!$U$3:$U$3000="CHAGUINHA"))=0,"",SUMPRODUCT((INPUT!$T$3:$T$3000=46029)*(INPUT!$U$3:$U$3000="CHAGUINHA")*(INPUT!$V$3:$V$3000+INPUT!$W$3:$W$3000+INPUT!$X$3:$X$3000+INPUT!$Y$3:$Y$3000))),"")</f>
        <v>18</v>
      </c>
      <c r="DR6" s="42" cm="1">
        <f t="array" ref="DR6">IFERROR(IF(SUMPRODUCT((INPUT!$T$3:$T$3000=46030)*(INPUT!$U$3:$U$3000="CHAGUINHA"))=0,"",SUMPRODUCT((INPUT!$T$3:$T$3000=46030)*(INPUT!$U$3:$U$3000="CHAGUINHA")*(INPUT!$V$3:$V$3000+INPUT!$W$3:$W$3000+INPUT!$X$3:$X$3000+INPUT!$Y$3:$Y$3000))),"")</f>
        <v>15</v>
      </c>
      <c r="DS6" s="42" cm="1">
        <f t="array" ref="DS6">IFERROR(IF(SUMPRODUCT((INPUT!$T$3:$T$3000=46031)*(INPUT!$U$3:$U$3000="CHAGUINHA"))=0,"",SUMPRODUCT((INPUT!$T$3:$T$3000=46031)*(INPUT!$U$3:$U$3000="CHAGUINHA")*(INPUT!$V$3:$V$3000+INPUT!$W$3:$W$3000+INPUT!$X$3:$X$3000+INPUT!$Y$3:$Y$3000))),"")</f>
        <v>17</v>
      </c>
      <c r="DT6" s="42" cm="1">
        <f t="array" ref="DT6">IFERROR(IF(SUMPRODUCT((INPUT!$T$3:$T$3000=46041)*(INPUT!$U$3:$U$3000="CHAGUINHA"))=0,"",SUMPRODUCT((INPUT!$T$3:$T$3000=46041)*(INPUT!$U$3:$U$3000="CHAGUINHA")*(INPUT!$V$3:$V$3000+INPUT!$W$3:$W$3000+INPUT!$X$3:$X$3000+INPUT!$Y$3:$Y$3000))),"")</f>
        <v>20</v>
      </c>
      <c r="DU6" s="42" cm="1">
        <f t="array" ref="DU6">IFERROR(IF(SUMPRODUCT((INPUT!$T$3:$T$3000=46042)*(INPUT!$U$3:$U$3000="CHAGUINHA"))=0,"",SUMPRODUCT((INPUT!$T$3:$T$3000=46042)*(INPUT!$U$3:$U$3000="CHAGUINHA")*(INPUT!$V$3:$V$3000+INPUT!$W$3:$W$3000+INPUT!$X$3:$X$3000+INPUT!$Y$3:$Y$3000))),"")</f>
        <v>13</v>
      </c>
      <c r="DV6" s="42" cm="1">
        <f t="array" ref="DV6">IFERROR(IF(SUMPRODUCT((INPUT!$T$3:$T$3000=46043)*(INPUT!$U$3:$U$3000="CHAGUINHA"))=0,"",SUMPRODUCT((INPUT!$T$3:$T$3000=46043)*(INPUT!$U$3:$U$3000="CHAGUINHA")*(INPUT!$V$3:$V$3000+INPUT!$W$3:$W$3000+INPUT!$X$3:$X$3000+INPUT!$Y$3:$Y$3000))),"")</f>
        <v>13</v>
      </c>
      <c r="DW6" s="42" cm="1">
        <f t="array" ref="DW6">IFERROR(IF(SUMPRODUCT((INPUT!$T$3:$T$3000=46044)*(INPUT!$U$3:$U$3000="CHAGUINHA"))=0,"",SUMPRODUCT((INPUT!$T$3:$T$3000=46044)*(INPUT!$U$3:$U$3000="CHAGUINHA")*(INPUT!$V$3:$V$3000+INPUT!$W$3:$W$3000+INPUT!$X$3:$X$3000+INPUT!$Y$3:$Y$3000))),"")</f>
        <v>15</v>
      </c>
      <c r="DX6" s="42" cm="1">
        <f t="array" ref="DX6">IFERROR(IF(SUMPRODUCT((INPUT!$T$3:$T$3000=46045)*(INPUT!$U$3:$U$3000="CHAGUINHA"))=0,"",SUMPRODUCT((INPUT!$T$3:$T$3000=46045)*(INPUT!$U$3:$U$3000="CHAGUINHA")*(INPUT!$V$3:$V$3000+INPUT!$W$3:$W$3000+INPUT!$X$3:$X$3000+INPUT!$Y$3:$Y$3000))),"")</f>
        <v>17</v>
      </c>
      <c r="DY6" s="42" cm="1">
        <f t="array" ref="DY6">IFERROR(IF(SUMPRODUCT((INPUT!$T$3:$T$3000=46048)*(INPUT!$U$3:$U$3000="CHAGUINHA"))=0,"",SUMPRODUCT((INPUT!$T$3:$T$3000=46048)*(INPUT!$U$3:$U$3000="CHAGUINHA")*(INPUT!$V$3:$V$3000+INPUT!$W$3:$W$3000+INPUT!$X$3:$X$3000+INPUT!$Y$3:$Y$3000))),"")</f>
        <v>16</v>
      </c>
      <c r="DZ6" s="42" cm="1">
        <f t="array" ref="DZ6">IFERROR(IF(SUMPRODUCT((INPUT!$T$3:$T$3000=46049)*(INPUT!$U$3:$U$3000="CHAGUINHA"))=0,"",SUMPRODUCT((INPUT!$T$3:$T$3000=46049)*(INPUT!$U$3:$U$3000="CHAGUINHA")*(INPUT!$V$3:$V$3000+INPUT!$W$3:$W$3000+INPUT!$X$3:$X$3000+INPUT!$Y$3:$Y$3000))),"")</f>
        <v>17</v>
      </c>
      <c r="EA6" s="42" cm="1">
        <f t="array" ref="EA6">IFERROR(IF(SUMPRODUCT((INPUT!$T$3:$T$3000=46050)*(INPUT!$U$3:$U$3000="CHAGUINHA"))=0,"",SUMPRODUCT((INPUT!$T$3:$T$3000=46050)*(INPUT!$U$3:$U$3000="CHAGUINHA")*(INPUT!$V$3:$V$3000+INPUT!$W$3:$W$3000+INPUT!$X$3:$X$3000+INPUT!$Y$3:$Y$3000))),"")</f>
        <v>14</v>
      </c>
      <c r="EB6" s="42" cm="1">
        <f t="array" ref="EB6">IFERROR(IF(SUMPRODUCT((INPUT!$T$3:$T$3000=46051)*(INPUT!$U$3:$U$3000="CHAGUINHA"))=0,"",SUMPRODUCT((INPUT!$T$3:$T$3000=46051)*(INPUT!$U$3:$U$3000="CHAGUINHA")*(INPUT!$V$3:$V$3000+INPUT!$W$3:$W$3000+INPUT!$X$3:$X$3000+INPUT!$Y$3:$Y$3000))),"")</f>
        <v>16</v>
      </c>
      <c r="EC6" s="42" cm="1">
        <f t="array" ref="EC6">IFERROR(IF(SUMPRODUCT((INPUT!$T$3:$T$3000=46052)*(INPUT!$U$3:$U$3000="CHAGUINHA"))=0,"",SUMPRODUCT((INPUT!$T$3:$T$3000=46052)*(INPUT!$U$3:$U$3000="CHAGUINHA")*(INPUT!$V$3:$V$3000+INPUT!$W$3:$W$3000+INPUT!$X$3:$X$3000+INPUT!$Y$3:$Y$3000))),"")</f>
        <v>18</v>
      </c>
      <c r="ED6" s="42" cm="1">
        <f t="array" ref="ED6">IFERROR(IF(SUMPRODUCT((INPUT!$T$3:$T$3000=46055)*(INPUT!$U$3:$U$3000="CHAGUINHA"))=0,"",SUMPRODUCT((INPUT!$T$3:$T$3000=46055)*(INPUT!$U$3:$U$3000="CHAGUINHA")*(INPUT!$V$3:$V$3000+INPUT!$W$3:$W$3000+INPUT!$X$3:$X$3000+INPUT!$Y$3:$Y$3000))),"")</f>
        <v>20</v>
      </c>
      <c r="EE6" s="42" cm="1">
        <f t="array" ref="EE6">IFERROR(IF(SUMPRODUCT((INPUT!$T$3:$T$3000=46056)*(INPUT!$U$3:$U$3000="CHAGUINHA"))=0,"",SUMPRODUCT((INPUT!$T$3:$T$3000=46056)*(INPUT!$U$3:$U$3000="CHAGUINHA")*(INPUT!$V$3:$V$3000+INPUT!$W$3:$W$3000+INPUT!$X$3:$X$3000+INPUT!$Y$3:$Y$3000))),"")</f>
        <v>16</v>
      </c>
      <c r="EF6" s="42" cm="1">
        <f t="array" ref="EF6">IFERROR(IF(SUMPRODUCT((INPUT!$T$3:$T$3000=46057)*(INPUT!$U$3:$U$3000="CHAGUINHA"))=0,"",SUMPRODUCT((INPUT!$T$3:$T$3000=46057)*(INPUT!$U$3:$U$3000="CHAGUINHA")*(INPUT!$V$3:$V$3000+INPUT!$W$3:$W$3000+INPUT!$X$3:$X$3000+INPUT!$Y$3:$Y$3000))),"")</f>
        <v>16</v>
      </c>
      <c r="EG6" s="42" cm="1">
        <f t="array" ref="EG6">IFERROR(IF(SUMPRODUCT((INPUT!$T$3:$T$3000=46058)*(INPUT!$U$3:$U$3000="CHAGUINHA"))=0,"",SUMPRODUCT((INPUT!$T$3:$T$3000=46058)*(INPUT!$U$3:$U$3000="CHAGUINHA")*(INPUT!$V$3:$V$3000+INPUT!$W$3:$W$3000+INPUT!$X$3:$X$3000+INPUT!$Y$3:$Y$3000))),"")</f>
        <v>17</v>
      </c>
      <c r="EH6" s="42" cm="1">
        <f t="array" ref="EH6">IFERROR(IF(SUMPRODUCT((INPUT!$T$3:$T$3000=46059)*(INPUT!$U$3:$U$3000="CHAGUINHA"))=0,"",SUMPRODUCT((INPUT!$T$3:$T$3000=46059)*(INPUT!$U$3:$U$3000="CHAGUINHA")*(INPUT!$V$3:$V$3000+INPUT!$W$3:$W$3000+INPUT!$X$3:$X$3000+INPUT!$Y$3:$Y$3000))),"")</f>
        <v>17</v>
      </c>
      <c r="EI6" s="42" cm="1">
        <f t="array" ref="EI6">IFERROR(IF(SUMPRODUCT((INPUT!$T$3:$T$3000=46061)*(INPUT!$U$3:$U$3000="CHAGUINHA"))=0,"",SUMPRODUCT((INPUT!$T$3:$T$3000=46061)*(INPUT!$U$3:$U$3000="CHAGUINHA")*(INPUT!$V$3:$V$3000+INPUT!$W$3:$W$3000+INPUT!$X$3:$X$3000+INPUT!$Y$3:$Y$3000))),"")</f>
        <v>16</v>
      </c>
      <c r="EJ6" s="42" cm="1">
        <f t="array" ref="EJ6">IFERROR(IF(SUMPRODUCT((INPUT!$T$3:$T$3000=46062)*(INPUT!$U$3:$U$3000="CHAGUINHA"))=0,"",SUMPRODUCT((INPUT!$T$3:$T$3000=46062)*(INPUT!$U$3:$U$3000="CHAGUINHA")*(INPUT!$V$3:$V$3000+INPUT!$W$3:$W$3000+INPUT!$X$3:$X$3000+INPUT!$Y$3:$Y$3000))),"")</f>
        <v>17</v>
      </c>
      <c r="EK6" s="42" cm="1">
        <f t="array" ref="EK6">IFERROR(IF(SUMPRODUCT((INPUT!$T$3:$T$3000=46063)*(INPUT!$U$3:$U$3000="CHAGUINHA"))=0,"",SUMPRODUCT((INPUT!$T$3:$T$3000=46063)*(INPUT!$U$3:$U$3000="CHAGUINHA")*(INPUT!$V$3:$V$3000+INPUT!$W$3:$W$3000+INPUT!$X$3:$X$3000+INPUT!$Y$3:$Y$3000))),"")</f>
        <v>17</v>
      </c>
      <c r="EL6" s="42" cm="1">
        <f t="array" ref="EL6">IFERROR(IF(SUMPRODUCT((INPUT!$T$3:$T$3000=46064)*(INPUT!$U$3:$U$3000="CHAGUINHA"))=0,"",SUMPRODUCT((INPUT!$T$3:$T$3000=46064)*(INPUT!$U$3:$U$3000="CHAGUINHA")*(INPUT!$V$3:$V$3000+INPUT!$W$3:$W$3000+INPUT!$X$3:$X$3000+INPUT!$Y$3:$Y$3000))),"")</f>
        <v>17</v>
      </c>
      <c r="EM6" s="42" cm="1">
        <f t="array" ref="EM6">IFERROR(IF(SUMPRODUCT((INPUT!$T$3:$T$3000=46065)*(INPUT!$U$3:$U$3000="CHAGUINHA"))=0,"",SUMPRODUCT((INPUT!$T$3:$T$3000=46065)*(INPUT!$U$3:$U$3000="CHAGUINHA")*(INPUT!$V$3:$V$3000+INPUT!$W$3:$W$3000+INPUT!$X$3:$X$3000+INPUT!$Y$3:$Y$3000))),"")</f>
        <v>14</v>
      </c>
      <c r="EN6" s="42" cm="1">
        <f t="array" ref="EN6">IFERROR(IF(SUMPRODUCT((INPUT!$T$3:$T$3000=46066)*(INPUT!$U$3:$U$3000="CHAGUINHA"))=0,"",SUMPRODUCT((INPUT!$T$3:$T$3000=46066)*(INPUT!$U$3:$U$3000="CHAGUINHA")*(INPUT!$V$3:$V$3000+INPUT!$W$3:$W$3000+INPUT!$X$3:$X$3000+INPUT!$Y$3:$Y$3000))),"")</f>
        <v>16</v>
      </c>
      <c r="EO6" s="42" cm="1">
        <f t="array" ref="EO6">IFERROR(IF(SUMPRODUCT((INPUT!$T$3:$T$3000=46067)*(INPUT!$U$3:$U$3000="CHAGUINHA"))=0,"",SUMPRODUCT((INPUT!$T$3:$T$3000=46067)*(INPUT!$U$3:$U$3000="CHAGUINHA")*(INPUT!$V$3:$V$3000+INPUT!$W$3:$W$3000+INPUT!$X$3:$X$3000+INPUT!$Y$3:$Y$3000))),"")</f>
        <v>18</v>
      </c>
      <c r="EP6" s="42" cm="1">
        <f t="array" ref="EP6">IFERROR(IF(SUMPRODUCT((INPUT!$T$3:$T$3000=46069)*(INPUT!$U$3:$U$3000="CHAGUINHA"))=0,"",SUMPRODUCT((INPUT!$T$3:$T$3000=46069)*(INPUT!$U$3:$U$3000="CHAGUINHA")*(INPUT!$V$3:$V$3000+INPUT!$W$3:$W$3000+INPUT!$X$3:$X$3000+INPUT!$Y$3:$Y$3000))),"")</f>
        <v>17</v>
      </c>
      <c r="EQ6" s="42" cm="1">
        <f t="array" ref="EQ6">IFERROR(IF(SUMPRODUCT((INPUT!$T$3:$T$3000=46072)*(INPUT!$U$3:$U$3000="CHAGUINHA"))=0,"",SUMPRODUCT((INPUT!$T$3:$T$3000=46072)*(INPUT!$U$3:$U$3000="CHAGUINHA")*(INPUT!$V$3:$V$3000+INPUT!$W$3:$W$3000+INPUT!$X$3:$X$3000+INPUT!$Y$3:$Y$3000))),"")</f>
        <v>15</v>
      </c>
      <c r="ER6" s="42" cm="1">
        <f t="array" ref="ER6">IFERROR(IF(SUMPRODUCT((INPUT!$T$3:$T$3000=46073)*(INPUT!$U$3:$U$3000="CHAGUINHA"))=0,"",SUMPRODUCT((INPUT!$T$3:$T$3000=46073)*(INPUT!$U$3:$U$3000="CHAGUINHA")*(INPUT!$V$3:$V$3000+INPUT!$W$3:$W$3000+INPUT!$X$3:$X$3000+INPUT!$Y$3:$Y$3000))),"")</f>
        <v>17</v>
      </c>
      <c r="ES6" s="42" cm="1">
        <f t="array" ref="ES6">IFERROR(IF(SUMPRODUCT((INPUT!$T$3:$T$3000=46076)*(INPUT!$U$3:$U$3000="CHAGUINHA"))=0,"",SUMPRODUCT((INPUT!$T$3:$T$3000=46076)*(INPUT!$U$3:$U$3000="CHAGUINHA")*(INPUT!$V$3:$V$3000+INPUT!$W$3:$W$3000+INPUT!$X$3:$X$3000+INPUT!$Y$3:$Y$3000))),"")</f>
        <v>18</v>
      </c>
      <c r="ET6" s="42" cm="1">
        <f t="array" ref="ET6">IFERROR(IF(SUMPRODUCT((INPUT!$T$3:$T$3000=46077)*(INPUT!$U$3:$U$3000="CHAGUINHA"))=0,"",SUMPRODUCT((INPUT!$T$3:$T$3000=46077)*(INPUT!$U$3:$U$3000="CHAGUINHA")*(INPUT!$V$3:$V$3000+INPUT!$W$3:$W$3000+INPUT!$X$3:$X$3000+INPUT!$Y$3:$Y$3000))),"")</f>
        <v>17</v>
      </c>
      <c r="EU6" s="42" cm="1">
        <f t="array" ref="EU6">IFERROR(IF(SUMPRODUCT((INPUT!$T$3:$T$3000=46078)*(INPUT!$U$3:$U$3000="CHAGUINHA"))=0,"",SUMPRODUCT((INPUT!$T$3:$T$3000=46078)*(INPUT!$U$3:$U$3000="CHAGUINHA")*(INPUT!$V$3:$V$3000+INPUT!$W$3:$W$3000+INPUT!$X$3:$X$3000+INPUT!$Y$3:$Y$3000))),"")</f>
        <v>17</v>
      </c>
      <c r="EV6" s="42" cm="1">
        <f t="array" ref="EV6">IFERROR(IF(SUMPRODUCT((INPUT!$T$3:$T$3000=46079)*(INPUT!$U$3:$U$3000="CHAGUINHA"))=0,"",SUMPRODUCT((INPUT!$T$3:$T$3000=46079)*(INPUT!$U$3:$U$3000="CHAGUINHA")*(INPUT!$V$3:$V$3000+INPUT!$W$3:$W$3000+INPUT!$X$3:$X$3000+INPUT!$Y$3:$Y$3000))),"")</f>
        <v>17</v>
      </c>
      <c r="EW6" s="42" cm="1">
        <f t="array" ref="EW6">IFERROR(IF(SUMPRODUCT((INPUT!$T$3:$T$3000=46080)*(INPUT!$U$3:$U$3000="CHAGUINHA"))=0,"",SUMPRODUCT((INPUT!$T$3:$T$3000=46080)*(INPUT!$U$3:$U$3000="CHAGUINHA")*(INPUT!$V$3:$V$3000+INPUT!$W$3:$W$3000+INPUT!$X$3:$X$3000+INPUT!$Y$3:$Y$3000))),"")</f>
        <v>14</v>
      </c>
      <c r="EX6" s="42" cm="1">
        <f t="array" ref="EX6">IFERROR(IF(SUMPRODUCT((INPUT!$T$3:$T$3000=46082)*(INPUT!$U$3:$U$3000="CHAGUINHA"))=0,"",SUMPRODUCT((INPUT!$T$3:$T$3000=46082)*(INPUT!$U$3:$U$3000="CHAGUINHA")*(INPUT!$V$3:$V$3000+INPUT!$W$3:$W$3000+INPUT!$X$3:$X$3000+INPUT!$Y$3:$Y$3000))),"")</f>
        <v>17</v>
      </c>
      <c r="EY6" s="42" cm="1">
        <f t="array" ref="EY6">IFERROR(IF(SUMPRODUCT((INPUT!$T$3:$T$3000=46084)*(INPUT!$U$3:$U$3000="CHAGUINHA"))=0,"",SUMPRODUCT((INPUT!$T$3:$T$3000=46084)*(INPUT!$U$3:$U$3000="CHAGUINHA")*(INPUT!$V$3:$V$3000+INPUT!$W$3:$W$3000+INPUT!$X$3:$X$3000+INPUT!$Y$3:$Y$3000))),"")</f>
        <v>18</v>
      </c>
      <c r="EZ6" s="42" cm="1">
        <f t="array" ref="EZ6">IFERROR(IF(SUMPRODUCT((INPUT!$T$3:$T$3000=46085)*(INPUT!$U$3:$U$3000="CHAGUINHA"))=0,"",SUMPRODUCT((INPUT!$T$3:$T$3000=46085)*(INPUT!$U$3:$U$3000="CHAGUINHA")*(INPUT!$V$3:$V$3000+INPUT!$W$3:$W$3000+INPUT!$X$3:$X$3000+INPUT!$Y$3:$Y$3000))),"")</f>
        <v>17</v>
      </c>
      <c r="FA6" s="42" cm="1">
        <f t="array" ref="FA6">IFERROR(IF(SUMPRODUCT((INPUT!$T$3:$T$3000=46086)*(INPUT!$U$3:$U$3000="CHAGUINHA"))=0,"",SUMPRODUCT((INPUT!$T$3:$T$3000=46086)*(INPUT!$U$3:$U$3000="CHAGUINHA")*(INPUT!$V$3:$V$3000+INPUT!$W$3:$W$3000+INPUT!$X$3:$X$3000+INPUT!$Y$3:$Y$3000))),"")</f>
        <v>16</v>
      </c>
      <c r="FB6" s="42" cm="1">
        <f t="array" ref="FB6">IFERROR(IF(SUMPRODUCT((INPUT!$T$3:$T$3000=46087)*(INPUT!$U$3:$U$3000="CHAGUINHA"))=0,"",SUMPRODUCT((INPUT!$T$3:$T$3000=46087)*(INPUT!$U$3:$U$3000="CHAGUINHA")*(INPUT!$V$3:$V$3000+INPUT!$W$3:$W$3000+INPUT!$X$3:$X$3000+INPUT!$Y$3:$Y$3000))),"")</f>
        <v>17</v>
      </c>
      <c r="FC6" s="42" cm="1">
        <f t="array" ref="FC6">IFERROR(IF(SUMPRODUCT((INPUT!$T$3:$T$3000=46090)*(INPUT!$U$3:$U$3000="CHAGUINHA"))=0,"",SUMPRODUCT((INPUT!$T$3:$T$3000=46090)*(INPUT!$U$3:$U$3000="CHAGUINHA")*(INPUT!$V$3:$V$3000+INPUT!$W$3:$W$3000+INPUT!$X$3:$X$3000+INPUT!$Y$3:$Y$3000))),"")</f>
        <v>17</v>
      </c>
      <c r="FD6" s="42" cm="1">
        <f t="array" ref="FD6">IFERROR(IF(SUMPRODUCT((INPUT!$T$3:$T$3000=46091)*(INPUT!$U$3:$U$3000="CHAGUINHA"))=0,"",SUMPRODUCT((INPUT!$T$3:$T$3000=46091)*(INPUT!$U$3:$U$3000="CHAGUINHA")*(INPUT!$V$3:$V$3000+INPUT!$W$3:$W$3000+INPUT!$X$3:$X$3000+INPUT!$Y$3:$Y$3000))),"")</f>
        <v>17</v>
      </c>
      <c r="FE6" s="42" cm="1">
        <f t="array" ref="FE6">IFERROR(IF(SUMPRODUCT((INPUT!$T$3:$T$3000=46092)*(INPUT!$U$3:$U$3000="CHAGUINHA"))=0,"",SUMPRODUCT((INPUT!$T$3:$T$3000=46092)*(INPUT!$U$3:$U$3000="CHAGUINHA")*(INPUT!$V$3:$V$3000+INPUT!$W$3:$W$3000+INPUT!$X$3:$X$3000+INPUT!$Y$3:$Y$3000))),"")</f>
        <v>17</v>
      </c>
      <c r="FF6" s="42" cm="1">
        <f t="array" ref="FF6">IFERROR(IF(SUMPRODUCT((INPUT!$T$3:$T$3000=46093)*(INPUT!$U$3:$U$3000="CHAGUINHA"))=0,"",SUMPRODUCT((INPUT!$T$3:$T$3000=46093)*(INPUT!$U$3:$U$3000="CHAGUINHA")*(INPUT!$V$3:$V$3000+INPUT!$W$3:$W$3000+INPUT!$X$3:$X$3000+INPUT!$Y$3:$Y$3000))),"")</f>
        <v>17</v>
      </c>
      <c r="FG6" s="42" cm="1">
        <f t="array" ref="FG6">IFERROR(IF(SUMPRODUCT((INPUT!$T$3:$T$3000=46094)*(INPUT!$U$3:$U$3000="CHAGUINHA"))=0,"",SUMPRODUCT((INPUT!$T$3:$T$3000=46094)*(INPUT!$U$3:$U$3000="CHAGUINHA")*(INPUT!$V$3:$V$3000+INPUT!$W$3:$W$3000+INPUT!$X$3:$X$3000+INPUT!$Y$3:$Y$3000))),"")</f>
        <v>16</v>
      </c>
      <c r="FH6" s="42" cm="1">
        <f t="array" ref="FH6">IFERROR(IF(SUMPRODUCT((INPUT!$T$3:$T$3000=46096)*(INPUT!$U$3:$U$3000="CHAGUINHA"))=0,"",SUMPRODUCT((INPUT!$T$3:$T$3000=46096)*(INPUT!$U$3:$U$3000="CHAGUINHA")*(INPUT!$V$3:$V$3000+INPUT!$W$3:$W$3000+INPUT!$X$3:$X$3000+INPUT!$Y$3:$Y$3000))),"")</f>
        <v>16</v>
      </c>
      <c r="FI6" s="42" cm="1">
        <f t="array" ref="FI6">IFERROR(IF(SUMPRODUCT((INPUT!$T$3:$T$3000=46097)*(INPUT!$U$3:$U$3000="CHAGUINHA"))=0,"",SUMPRODUCT((INPUT!$T$3:$T$3000=46097)*(INPUT!$U$3:$U$3000="CHAGUINHA")*(INPUT!$V$3:$V$3000+INPUT!$W$3:$W$3000+INPUT!$X$3:$X$3000+INPUT!$Y$3:$Y$3000))),"")</f>
        <v>18</v>
      </c>
      <c r="FJ6" s="42" cm="1">
        <f t="array" ref="FJ6">IFERROR(IF(SUMPRODUCT((INPUT!$T$3:$T$3000=46098)*(INPUT!$U$3:$U$3000="CHAGUINHA"))=0,"",SUMPRODUCT((INPUT!$T$3:$T$3000=46098)*(INPUT!$U$3:$U$3000="CHAGUINHA")*(INPUT!$V$3:$V$3000+INPUT!$W$3:$W$3000+INPUT!$X$3:$X$3000+INPUT!$Y$3:$Y$3000))),"")</f>
        <v>17</v>
      </c>
      <c r="FK6" s="42" cm="1">
        <f t="array" ref="FK6">IFERROR(IF(SUMPRODUCT((INPUT!$T$3:$T$3000=46099)*(INPUT!$U$3:$U$3000="CHAGUINHA"))=0,"",SUMPRODUCT((INPUT!$T$3:$T$3000=46099)*(INPUT!$U$3:$U$3000="CHAGUINHA")*(INPUT!$V$3:$V$3000+INPUT!$W$3:$W$3000+INPUT!$X$3:$X$3000+INPUT!$Y$3:$Y$3000))),"")</f>
        <v>17</v>
      </c>
      <c r="FL6" s="42" cm="1">
        <f t="array" ref="FL6">IFERROR(IF(SUMPRODUCT((INPUT!$T$3:$T$3000=46102)*(INPUT!$U$3:$U$3000="CHAGUINHA"))=0,"",SUMPRODUCT((INPUT!$T$3:$T$3000=46102)*(INPUT!$U$3:$U$3000="CHAGUINHA")*(INPUT!$V$3:$V$3000+INPUT!$W$3:$W$3000+INPUT!$X$3:$X$3000+INPUT!$Y$3:$Y$3000))),"")</f>
        <v>20</v>
      </c>
      <c r="FM6" s="42" cm="1">
        <f t="array" ref="FM6">IFERROR(IF(SUMPRODUCT((INPUT!$T$3:$T$3000=46105)*(INPUT!$U$3:$U$3000="CHAGUINHA"))=0,"",SUMPRODUCT((INPUT!$T$3:$T$3000=46105)*(INPUT!$U$3:$U$3000="CHAGUINHA")*(INPUT!$V$3:$V$3000+INPUT!$W$3:$W$3000+INPUT!$X$3:$X$3000+INPUT!$Y$3:$Y$3000))),"")</f>
        <v>20</v>
      </c>
      <c r="FN6" s="42" cm="1">
        <f t="array" ref="FN6">IFERROR(IF(SUMPRODUCT((INPUT!$T$3:$T$3000=46106)*(INPUT!$U$3:$U$3000="CHAGUINHA"))=0,"",SUMPRODUCT((INPUT!$T$3:$T$3000=46106)*(INPUT!$U$3:$U$3000="CHAGUINHA")*(INPUT!$V$3:$V$3000+INPUT!$W$3:$W$3000+INPUT!$X$3:$X$3000+INPUT!$Y$3:$Y$3000))),"")</f>
        <v>18</v>
      </c>
      <c r="FO6" s="42" cm="1">
        <f t="array" ref="FO6">IFERROR(IF(SUMPRODUCT((INPUT!$T$3:$T$3000=46107)*(INPUT!$U$3:$U$3000="CHAGUINHA"))=0,"",SUMPRODUCT((INPUT!$T$3:$T$3000=46107)*(INPUT!$U$3:$U$3000="CHAGUINHA")*(INPUT!$V$3:$V$3000+INPUT!$W$3:$W$3000+INPUT!$X$3:$X$3000+INPUT!$Y$3:$Y$3000))),"")</f>
        <v>17</v>
      </c>
      <c r="FP6" s="42" cm="1">
        <f t="array" ref="FP6">IFERROR(IF(SUMPRODUCT((INPUT!$T$3:$T$3000=46108)*(INPUT!$U$3:$U$3000="CHAGUINHA"))=0,"",SUMPRODUCT((INPUT!$T$3:$T$3000=46108)*(INPUT!$U$3:$U$3000="CHAGUINHA")*(INPUT!$V$3:$V$3000+INPUT!$W$3:$W$3000+INPUT!$X$3:$X$3000+INPUT!$Y$3:$Y$3000))),"")</f>
        <v>17</v>
      </c>
      <c r="FQ6" s="42" cm="1">
        <f t="array" ref="FQ6">IFERROR(IF(SUMPRODUCT((INPUT!$T$3:$T$3000=46109)*(INPUT!$U$3:$U$3000="CHAGUINHA"))=0,"",SUMPRODUCT((INPUT!$T$3:$T$3000=46109)*(INPUT!$U$3:$U$3000="CHAGUINHA")*(INPUT!$V$3:$V$3000+INPUT!$W$3:$W$3000+INPUT!$X$3:$X$3000+INPUT!$Y$3:$Y$3000))),"")</f>
        <v>17</v>
      </c>
      <c r="FR6" s="42" cm="1">
        <f t="array" ref="FR6">IFERROR(IF(SUMPRODUCT((INPUT!$T$3:$T$3000=46111)*(INPUT!$U$3:$U$3000="CHAGUINHA"))=0,"",SUMPRODUCT((INPUT!$T$3:$T$3000=46111)*(INPUT!$U$3:$U$3000="CHAGUINHA")*(INPUT!$V$3:$V$3000+INPUT!$W$3:$W$3000+INPUT!$X$3:$X$3000+INPUT!$Y$3:$Y$3000))),"")</f>
        <v>18</v>
      </c>
      <c r="FS6" s="42" cm="1">
        <f t="array" ref="FS6">IFERROR(IF(SUMPRODUCT((INPUT!$T$3:$T$3000=46112)*(INPUT!$U$3:$U$3000="CHAGUINHA"))=0,"",SUMPRODUCT((INPUT!$T$3:$T$3000=46112)*(INPUT!$U$3:$U$3000="CHAGUINHA")*(INPUT!$V$3:$V$3000+INPUT!$W$3:$W$3000+INPUT!$X$3:$X$3000+INPUT!$Y$3:$Y$3000))),"")</f>
        <v>17</v>
      </c>
      <c r="FT6" s="42" cm="1">
        <f t="array" ref="FT6">IFERROR(IF(SUMPRODUCT((INPUT!$T$3:$T$3000=46113)*(INPUT!$U$3:$U$3000="CHAGUINHA"))=0,"",SUMPRODUCT((INPUT!$T$3:$T$3000=46113)*(INPUT!$U$3:$U$3000="CHAGUINHA")*(INPUT!$V$3:$V$3000+INPUT!$W$3:$W$3000+INPUT!$X$3:$X$3000+INPUT!$Y$3:$Y$3000))),"")</f>
        <v>17</v>
      </c>
      <c r="FU6" s="42" cm="1">
        <f t="array" ref="FU6">IFERROR(IF(SUMPRODUCT((INPUT!$T$3:$T$3000=46114)*(INPUT!$U$3:$U$3000="CHAGUINHA"))=0,"",SUMPRODUCT((INPUT!$T$3:$T$3000=46114)*(INPUT!$U$3:$U$3000="CHAGUINHA")*(INPUT!$V$3:$V$3000+INPUT!$W$3:$W$3000+INPUT!$X$3:$X$3000+INPUT!$Y$3:$Y$3000))),"")</f>
        <v>17</v>
      </c>
      <c r="FV6" s="42" cm="1">
        <f t="array" ref="FV6">IFERROR(IF(SUMPRODUCT((INPUT!$T$3:$T$3000=46115)*(INPUT!$U$3:$U$3000="CHAGUINHA"))=0,"",SUMPRODUCT((INPUT!$T$3:$T$3000=46115)*(INPUT!$U$3:$U$3000="CHAGUINHA")*(INPUT!$V$3:$V$3000+INPUT!$W$3:$W$3000+INPUT!$X$3:$X$3000+INPUT!$Y$3:$Y$3000))),"")</f>
        <v>17</v>
      </c>
      <c r="FW6" s="42" cm="1">
        <f t="array" ref="FW6">IFERROR(IF(SUMPRODUCT((INPUT!$T$3:$T$3000=46116)*(INPUT!$U$3:$U$3000="CHAGUINHA"))=0,"",SUMPRODUCT((INPUT!$T$3:$T$3000=46116)*(INPUT!$U$3:$U$3000="CHAGUINHA")*(INPUT!$V$3:$V$3000+INPUT!$W$3:$W$3000+INPUT!$X$3:$X$3000+INPUT!$Y$3:$Y$3000))),"")</f>
        <v>17</v>
      </c>
      <c r="FX6" s="42" cm="1">
        <f t="array" ref="FX6">IFERROR(IF(SUMPRODUCT((INPUT!$T$3:$T$3000=46118)*(INPUT!$U$3:$U$3000="CHAGUINHA"))=0,"",SUMPRODUCT((INPUT!$T$3:$T$3000=46118)*(INPUT!$U$3:$U$3000="CHAGUINHA")*(INPUT!$V$3:$V$3000+INPUT!$W$3:$W$3000+INPUT!$X$3:$X$3000+INPUT!$Y$3:$Y$3000))),"")</f>
        <v>17</v>
      </c>
      <c r="FY6" s="42" cm="1">
        <f t="array" ref="FY6">IFERROR(IF(SUMPRODUCT((INPUT!$T$3:$T$3000=46119)*(INPUT!$U$3:$U$3000="CHAGUINHA"))=0,"",SUMPRODUCT((INPUT!$T$3:$T$3000=46119)*(INPUT!$U$3:$U$3000="CHAGUINHA")*(INPUT!$V$3:$V$3000+INPUT!$W$3:$W$3000+INPUT!$X$3:$X$3000+INPUT!$Y$3:$Y$3000))),"")</f>
        <v>16</v>
      </c>
      <c r="FZ6" s="42" cm="1">
        <f t="array" ref="FZ6">IFERROR(IF(SUMPRODUCT((INPUT!$T$3:$T$3000=46120)*(INPUT!$U$3:$U$3000="CHAGUINHA"))=0,"",SUMPRODUCT((INPUT!$T$3:$T$3000=46120)*(INPUT!$U$3:$U$3000="CHAGUINHA")*(INPUT!$V$3:$V$3000+INPUT!$W$3:$W$3000+INPUT!$X$3:$X$3000+INPUT!$Y$3:$Y$3000))),"")</f>
        <v>16</v>
      </c>
      <c r="GA6" s="42" t="str" cm="1">
        <f t="array" ref="GA6">IFERROR(IF(SUMPRODUCT((INPUT!$T$3:$T$3000=46121)*(INPUT!$U$3:$U$3000="CHAGUINHA"))=0,"",SUMPRODUCT((INPUT!$T$3:$T$3000=46121)*(INPUT!$U$3:$U$3000="CHAGUINHA")*(INPUT!$V$3:$V$3000+INPUT!$W$3:$W$3000+INPUT!$X$3:$X$3000+INPUT!$Y$3:$Y$3000))),"")</f>
        <v/>
      </c>
      <c r="GB6" s="42" t="str" cm="1">
        <f t="array" ref="GB6">IFERROR(IF(SUMPRODUCT((INPUT!$T$3:$T$3000=46122)*(INPUT!$U$3:$U$3000="CHAGUINHA"))=0,"",SUMPRODUCT((INPUT!$T$3:$T$3000=46122)*(INPUT!$U$3:$U$3000="CHAGUINHA")*(INPUT!$V$3:$V$3000+INPUT!$W$3:$W$3000+INPUT!$X$3:$X$3000+INPUT!$Y$3:$Y$3000))),"")</f>
        <v/>
      </c>
      <c r="GC6" s="42" cm="1">
        <f t="array" ref="GC6">IFERROR(IF(SUMPRODUCT((INPUT!$T$3:$T$3000=46125)*(INPUT!$U$3:$U$3000="CHAGUINHA"))=0,"",SUMPRODUCT((INPUT!$T$3:$T$3000=46125)*(INPUT!$U$3:$U$3000="CHAGUINHA")*(INPUT!$V$3:$V$3000+INPUT!$W$3:$W$3000+INPUT!$X$3:$X$3000+INPUT!$Y$3:$Y$3000))),"")</f>
        <v>19</v>
      </c>
      <c r="GD6" s="42" cm="1">
        <f t="array" ref="GD6">IFERROR(IF(SUMPRODUCT((INPUT!$T$3:$T$3000=46126)*(INPUT!$U$3:$U$3000="CHAGUINHA"))=0,"",SUMPRODUCT((INPUT!$T$3:$T$3000=46126)*(INPUT!$U$3:$U$3000="CHAGUINHA")*(INPUT!$V$3:$V$3000+INPUT!$W$3:$W$3000+INPUT!$X$3:$X$3000+INPUT!$Y$3:$Y$3000))),"")</f>
        <v>17</v>
      </c>
      <c r="GE6" s="42" cm="1">
        <f t="array" ref="GE6">IFERROR(IF(SUMPRODUCT((INPUT!$T$3:$T$3000=46127)*(INPUT!$U$3:$U$3000="CHAGUINHA"))=0,"",SUMPRODUCT((INPUT!$T$3:$T$3000=46127)*(INPUT!$U$3:$U$3000="CHAGUINHA")*(INPUT!$V$3:$V$3000+INPUT!$W$3:$W$3000+INPUT!$X$3:$X$3000+INPUT!$Y$3:$Y$3000))),"")</f>
        <v>17</v>
      </c>
      <c r="GF6" s="42" cm="1">
        <f t="array" ref="GF6">IFERROR(IF(SUMPRODUCT((INPUT!$T$3:$T$3000=46128)*(INPUT!$U$3:$U$3000="CHAGUINHA"))=0,"",SUMPRODUCT((INPUT!$T$3:$T$3000=46128)*(INPUT!$U$3:$U$3000="CHAGUINHA")*(INPUT!$V$3:$V$3000+INPUT!$W$3:$W$3000+INPUT!$X$3:$X$3000+INPUT!$Y$3:$Y$3000))),"")</f>
        <v>17</v>
      </c>
      <c r="GG6" s="42" cm="1">
        <f t="array" ref="GG6">IFERROR(IF(SUMPRODUCT((INPUT!$T$3:$T$3000=46129)*(INPUT!$U$3:$U$3000="CHAGUINHA"))=0,"",SUMPRODUCT((INPUT!$T$3:$T$3000=46129)*(INPUT!$U$3:$U$3000="CHAGUINHA")*(INPUT!$V$3:$V$3000+INPUT!$W$3:$W$3000+INPUT!$X$3:$X$3000+INPUT!$Y$3:$Y$3000))),"")</f>
        <v>17</v>
      </c>
      <c r="GH6" s="42" cm="1">
        <f t="array" ref="GH6">IFERROR(IF(SUMPRODUCT((INPUT!$T$3:$T$3000=46130)*(INPUT!$U$3:$U$3000="CHAGUINHA"))=0,"",SUMPRODUCT((INPUT!$T$3:$T$3000=46130)*(INPUT!$U$3:$U$3000="CHAGUINHA")*(INPUT!$V$3:$V$3000+INPUT!$W$3:$W$3000+INPUT!$X$3:$X$3000+INPUT!$Y$3:$Y$3000))),"")</f>
        <v>17</v>
      </c>
      <c r="GI6" s="42" cm="1">
        <f t="array" ref="GI6">IFERROR(IF(SUMPRODUCT((INPUT!$T$3:$T$3000=46132)*(INPUT!$U$3:$U$3000="CHAGUINHA"))=0,"",SUMPRODUCT((INPUT!$T$3:$T$3000=46132)*(INPUT!$U$3:$U$3000="CHAGUINHA")*(INPUT!$V$3:$V$3000+INPUT!$W$3:$W$3000+INPUT!$X$3:$X$3000+INPUT!$Y$3:$Y$3000))),"")</f>
        <v>17</v>
      </c>
    </row>
    <row r="7" spans="1:191" x14ac:dyDescent="0.2">
      <c r="A7" t="s">
        <v>57</v>
      </c>
      <c r="B7" s="42" cm="1">
        <f t="array" ref="B7">IFERROR(IF(SUMPRODUCT((INPUT!$T$3:$T$3000=45868)*(INPUT!$U$3:$U$3000="DANI"))=0,"",SUMPRODUCT((INPUT!$T$3:$T$3000=45868)*(INPUT!$U$3:$U$3000="DANI")*(INPUT!$V$3:$V$3000+INPUT!$W$3:$W$3000+INPUT!$X$3:$X$3000+INPUT!$Y$3:$Y$3000))),"")</f>
        <v>20</v>
      </c>
      <c r="C7" s="42" cm="1">
        <f t="array" ref="C7">IFERROR(IF(SUMPRODUCT((INPUT!$T$3:$T$3000=45869)*(INPUT!$U$3:$U$3000="DANI"))=0,"",SUMPRODUCT((INPUT!$T$3:$T$3000=45869)*(INPUT!$U$3:$U$3000="DANI")*(INPUT!$V$3:$V$3000+INPUT!$W$3:$W$3000+INPUT!$X$3:$X$3000+INPUT!$Y$3:$Y$3000))),"")</f>
        <v>19</v>
      </c>
      <c r="D7" s="42" cm="1">
        <f t="array" ref="D7">IFERROR(IF(SUMPRODUCT((INPUT!$T$3:$T$3000=45870)*(INPUT!$U$3:$U$3000="DANI"))=0,"",SUMPRODUCT((INPUT!$T$3:$T$3000=45870)*(INPUT!$U$3:$U$3000="DANI")*(INPUT!$V$3:$V$3000+INPUT!$W$3:$W$3000+INPUT!$X$3:$X$3000+INPUT!$Y$3:$Y$3000))),"")</f>
        <v>15</v>
      </c>
      <c r="E7" s="42" cm="1">
        <f t="array" ref="E7">IFERROR(IF(SUMPRODUCT((INPUT!$T$3:$T$3000=45873)*(INPUT!$U$3:$U$3000="DANI"))=0,"",SUMPRODUCT((INPUT!$T$3:$T$3000=45873)*(INPUT!$U$3:$U$3000="DANI")*(INPUT!$V$3:$V$3000+INPUT!$W$3:$W$3000+INPUT!$X$3:$X$3000+INPUT!$Y$3:$Y$3000))),"")</f>
        <v>18</v>
      </c>
      <c r="F7" s="42" cm="1">
        <f t="array" ref="F7">IFERROR(IF(SUMPRODUCT((INPUT!$T$3:$T$3000=45874)*(INPUT!$U$3:$U$3000="DANI"))=0,"",SUMPRODUCT((INPUT!$T$3:$T$3000=45874)*(INPUT!$U$3:$U$3000="DANI")*(INPUT!$V$3:$V$3000+INPUT!$W$3:$W$3000+INPUT!$X$3:$X$3000+INPUT!$Y$3:$Y$3000))),"")</f>
        <v>16</v>
      </c>
      <c r="G7" s="42" cm="1">
        <f t="array" ref="G7">IFERROR(IF(SUMPRODUCT((INPUT!$T$3:$T$3000=45875)*(INPUT!$U$3:$U$3000="DANI"))=0,"",SUMPRODUCT((INPUT!$T$3:$T$3000=45875)*(INPUT!$U$3:$U$3000="DANI")*(INPUT!$V$3:$V$3000+INPUT!$W$3:$W$3000+INPUT!$X$3:$X$3000+INPUT!$Y$3:$Y$3000))),"")</f>
        <v>17</v>
      </c>
      <c r="H7" s="42" cm="1">
        <f t="array" ref="H7">IFERROR(IF(SUMPRODUCT((INPUT!$T$3:$T$3000=45876)*(INPUT!$U$3:$U$3000="DANI"))=0,"",SUMPRODUCT((INPUT!$T$3:$T$3000=45876)*(INPUT!$U$3:$U$3000="DANI")*(INPUT!$V$3:$V$3000+INPUT!$W$3:$W$3000+INPUT!$X$3:$X$3000+INPUT!$Y$3:$Y$3000))),"")</f>
        <v>16</v>
      </c>
      <c r="I7" s="42" cm="1">
        <f t="array" ref="I7">IFERROR(IF(SUMPRODUCT((INPUT!$T$3:$T$3000=45877)*(INPUT!$U$3:$U$3000="DANI"))=0,"",SUMPRODUCT((INPUT!$T$3:$T$3000=45877)*(INPUT!$U$3:$U$3000="DANI")*(INPUT!$V$3:$V$3000+INPUT!$W$3:$W$3000+INPUT!$X$3:$X$3000+INPUT!$Y$3:$Y$3000))),"")</f>
        <v>16</v>
      </c>
      <c r="J7" s="42" cm="1">
        <f t="array" ref="J7">IFERROR(IF(SUMPRODUCT((INPUT!$T$3:$T$3000=45878)*(INPUT!$U$3:$U$3000="DANI"))=0,"",SUMPRODUCT((INPUT!$T$3:$T$3000=45878)*(INPUT!$U$3:$U$3000="DANI")*(INPUT!$V$3:$V$3000+INPUT!$W$3:$W$3000+INPUT!$X$3:$X$3000+INPUT!$Y$3:$Y$3000))),"")</f>
        <v>16</v>
      </c>
      <c r="K7" s="42" cm="1">
        <f t="array" ref="K7">IFERROR(IF(SUMPRODUCT((INPUT!$T$3:$T$3000=45880)*(INPUT!$U$3:$U$3000="DANI"))=0,"",SUMPRODUCT((INPUT!$T$3:$T$3000=45880)*(INPUT!$U$3:$U$3000="DANI")*(INPUT!$V$3:$V$3000+INPUT!$W$3:$W$3000+INPUT!$X$3:$X$3000+INPUT!$Y$3:$Y$3000))),"")</f>
        <v>18</v>
      </c>
      <c r="L7" s="42" cm="1">
        <f t="array" ref="L7">IFERROR(IF(SUMPRODUCT((INPUT!$T$3:$T$3000=45881)*(INPUT!$U$3:$U$3000="DANI"))=0,"",SUMPRODUCT((INPUT!$T$3:$T$3000=45881)*(INPUT!$U$3:$U$3000="DANI")*(INPUT!$V$3:$V$3000+INPUT!$W$3:$W$3000+INPUT!$X$3:$X$3000+INPUT!$Y$3:$Y$3000))),"")</f>
        <v>15</v>
      </c>
      <c r="M7" s="42" cm="1">
        <f t="array" ref="M7">IFERROR(IF(SUMPRODUCT((INPUT!$T$3:$T$3000=45882)*(INPUT!$U$3:$U$3000="DANI"))=0,"",SUMPRODUCT((INPUT!$T$3:$T$3000=45882)*(INPUT!$U$3:$U$3000="DANI")*(INPUT!$V$3:$V$3000+INPUT!$W$3:$W$3000+INPUT!$X$3:$X$3000+INPUT!$Y$3:$Y$3000))),"")</f>
        <v>17</v>
      </c>
      <c r="N7" s="42" cm="1">
        <f t="array" ref="N7">IFERROR(IF(SUMPRODUCT((INPUT!$T$3:$T$3000=45883)*(INPUT!$U$3:$U$3000="DANI"))=0,"",SUMPRODUCT((INPUT!$T$3:$T$3000=45883)*(INPUT!$U$3:$U$3000="DANI")*(INPUT!$V$3:$V$3000+INPUT!$W$3:$W$3000+INPUT!$X$3:$X$3000+INPUT!$Y$3:$Y$3000))),"")</f>
        <v>16</v>
      </c>
      <c r="O7" s="42" cm="1">
        <f t="array" ref="O7">IFERROR(IF(SUMPRODUCT((INPUT!$T$3:$T$3000=45884)*(INPUT!$U$3:$U$3000="DANI"))=0,"",SUMPRODUCT((INPUT!$T$3:$T$3000=45884)*(INPUT!$U$3:$U$3000="DANI")*(INPUT!$V$3:$V$3000+INPUT!$W$3:$W$3000+INPUT!$X$3:$X$3000+INPUT!$Y$3:$Y$3000))),"")</f>
        <v>16</v>
      </c>
      <c r="P7" s="42" cm="1">
        <f t="array" ref="P7">IFERROR(IF(SUMPRODUCT((INPUT!$T$3:$T$3000=45887)*(INPUT!$U$3:$U$3000="DANI"))=0,"",SUMPRODUCT((INPUT!$T$3:$T$3000=45887)*(INPUT!$U$3:$U$3000="DANI")*(INPUT!$V$3:$V$3000+INPUT!$W$3:$W$3000+INPUT!$X$3:$X$3000+INPUT!$Y$3:$Y$3000))),"")</f>
        <v>15</v>
      </c>
      <c r="Q7" s="42" cm="1">
        <f t="array" ref="Q7">IFERROR(IF(SUMPRODUCT((INPUT!$T$3:$T$3000=45888)*(INPUT!$U$3:$U$3000="DANI"))=0,"",SUMPRODUCT((INPUT!$T$3:$T$3000=45888)*(INPUT!$U$3:$U$3000="DANI")*(INPUT!$V$3:$V$3000+INPUT!$W$3:$W$3000+INPUT!$X$3:$X$3000+INPUT!$Y$3:$Y$3000))),"")</f>
        <v>15</v>
      </c>
      <c r="R7" s="42" cm="1">
        <f t="array" ref="R7">IFERROR(IF(SUMPRODUCT((INPUT!$T$3:$T$3000=45889)*(INPUT!$U$3:$U$3000="DANI"))=0,"",SUMPRODUCT((INPUT!$T$3:$T$3000=45889)*(INPUT!$U$3:$U$3000="DANI")*(INPUT!$V$3:$V$3000+INPUT!$W$3:$W$3000+INPUT!$X$3:$X$3000+INPUT!$Y$3:$Y$3000))),"")</f>
        <v>16</v>
      </c>
      <c r="S7" s="42" cm="1">
        <f t="array" ref="S7">IFERROR(IF(SUMPRODUCT((INPUT!$T$3:$T$3000=45890)*(INPUT!$U$3:$U$3000="DANI"))=0,"",SUMPRODUCT((INPUT!$T$3:$T$3000=45890)*(INPUT!$U$3:$U$3000="DANI")*(INPUT!$V$3:$V$3000+INPUT!$W$3:$W$3000+INPUT!$X$3:$X$3000+INPUT!$Y$3:$Y$3000))),"")</f>
        <v>15</v>
      </c>
      <c r="T7" s="42" cm="1">
        <f t="array" ref="T7">IFERROR(IF(SUMPRODUCT((INPUT!$T$3:$T$3000=45891)*(INPUT!$U$3:$U$3000="DANI"))=0,"",SUMPRODUCT((INPUT!$T$3:$T$3000=45891)*(INPUT!$U$3:$U$3000="DANI")*(INPUT!$V$3:$V$3000+INPUT!$W$3:$W$3000+INPUT!$X$3:$X$3000+INPUT!$Y$3:$Y$3000))),"")</f>
        <v>16</v>
      </c>
      <c r="U7" s="42" cm="1">
        <f t="array" ref="U7">IFERROR(IF(SUMPRODUCT((INPUT!$T$3:$T$3000=45892)*(INPUT!$U$3:$U$3000="DANI"))=0,"",SUMPRODUCT((INPUT!$T$3:$T$3000=45892)*(INPUT!$U$3:$U$3000="DANI")*(INPUT!$V$3:$V$3000+INPUT!$W$3:$W$3000+INPUT!$X$3:$X$3000+INPUT!$Y$3:$Y$3000))),"")</f>
        <v>18</v>
      </c>
      <c r="V7" s="42" cm="1">
        <f t="array" ref="V7">IFERROR(IF(SUMPRODUCT((INPUT!$T$3:$T$3000=45893)*(INPUT!$U$3:$U$3000="DANI"))=0,"",SUMPRODUCT((INPUT!$T$3:$T$3000=45893)*(INPUT!$U$3:$U$3000="DANI")*(INPUT!$V$3:$V$3000+INPUT!$W$3:$W$3000+INPUT!$X$3:$X$3000+INPUT!$Y$3:$Y$3000))),"")</f>
        <v>17</v>
      </c>
      <c r="W7" s="42" cm="1">
        <f t="array" ref="W7">IFERROR(IF(SUMPRODUCT((INPUT!$T$3:$T$3000=45895)*(INPUT!$U$3:$U$3000="DANI"))=0,"",SUMPRODUCT((INPUT!$T$3:$T$3000=45895)*(INPUT!$U$3:$U$3000="DANI")*(INPUT!$V$3:$V$3000+INPUT!$W$3:$W$3000+INPUT!$X$3:$X$3000+INPUT!$Y$3:$Y$3000))),"")</f>
        <v>15</v>
      </c>
      <c r="X7" s="42" cm="1">
        <f t="array" ref="X7">IFERROR(IF(SUMPRODUCT((INPUT!$T$3:$T$3000=45896)*(INPUT!$U$3:$U$3000="DANI"))=0,"",SUMPRODUCT((INPUT!$T$3:$T$3000=45896)*(INPUT!$U$3:$U$3000="DANI")*(INPUT!$V$3:$V$3000+INPUT!$W$3:$W$3000+INPUT!$X$3:$X$3000+INPUT!$Y$3:$Y$3000))),"")</f>
        <v>17</v>
      </c>
      <c r="Y7" s="42" cm="1">
        <f t="array" ref="Y7">IFERROR(IF(SUMPRODUCT((INPUT!$T$3:$T$3000=45898)*(INPUT!$U$3:$U$3000="DANI"))=0,"",SUMPRODUCT((INPUT!$T$3:$T$3000=45898)*(INPUT!$U$3:$U$3000="DANI")*(INPUT!$V$3:$V$3000+INPUT!$W$3:$W$3000+INPUT!$X$3:$X$3000+INPUT!$Y$3:$Y$3000))),"")</f>
        <v>16</v>
      </c>
      <c r="Z7" s="42" cm="1">
        <f t="array" ref="Z7">IFERROR(IF(SUMPRODUCT((INPUT!$T$3:$T$3000=45899)*(INPUT!$U$3:$U$3000="DANI"))=0,"",SUMPRODUCT((INPUT!$T$3:$T$3000=45899)*(INPUT!$U$3:$U$3000="DANI")*(INPUT!$V$3:$V$3000+INPUT!$W$3:$W$3000+INPUT!$X$3:$X$3000+INPUT!$Y$3:$Y$3000))),"")</f>
        <v>17</v>
      </c>
      <c r="AA7" s="42" cm="1">
        <f t="array" ref="AA7">IFERROR(IF(SUMPRODUCT((INPUT!$T$3:$T$3000=45900)*(INPUT!$U$3:$U$3000="DANI"))=0,"",SUMPRODUCT((INPUT!$T$3:$T$3000=45900)*(INPUT!$U$3:$U$3000="DANI")*(INPUT!$V$3:$V$3000+INPUT!$W$3:$W$3000+INPUT!$X$3:$X$3000+INPUT!$Y$3:$Y$3000))),"")</f>
        <v>18</v>
      </c>
      <c r="AB7" s="42" cm="1">
        <f t="array" ref="AB7">IFERROR(IF(SUMPRODUCT((INPUT!$T$3:$T$3000=45902)*(INPUT!$U$3:$U$3000="DANI"))=0,"",SUMPRODUCT((INPUT!$T$3:$T$3000=45902)*(INPUT!$U$3:$U$3000="DANI")*(INPUT!$V$3:$V$3000+INPUT!$W$3:$W$3000+INPUT!$X$3:$X$3000+INPUT!$Y$3:$Y$3000))),"")</f>
        <v>16</v>
      </c>
      <c r="AC7" s="42" cm="1">
        <f t="array" ref="AC7">IFERROR(IF(SUMPRODUCT((INPUT!$T$3:$T$3000=45903)*(INPUT!$U$3:$U$3000="DANI"))=0,"",SUMPRODUCT((INPUT!$T$3:$T$3000=45903)*(INPUT!$U$3:$U$3000="DANI")*(INPUT!$V$3:$V$3000+INPUT!$W$3:$W$3000+INPUT!$X$3:$X$3000+INPUT!$Y$3:$Y$3000))),"")</f>
        <v>16</v>
      </c>
      <c r="AD7" s="42" cm="1">
        <f t="array" ref="AD7">IFERROR(IF(SUMPRODUCT((INPUT!$T$3:$T$3000=45904)*(INPUT!$U$3:$U$3000="DANI"))=0,"",SUMPRODUCT((INPUT!$T$3:$T$3000=45904)*(INPUT!$U$3:$U$3000="DANI")*(INPUT!$V$3:$V$3000+INPUT!$W$3:$W$3000+INPUT!$X$3:$X$3000+INPUT!$Y$3:$Y$3000))),"")</f>
        <v>16</v>
      </c>
      <c r="AE7" s="42" cm="1">
        <f t="array" ref="AE7">IFERROR(IF(SUMPRODUCT((INPUT!$T$3:$T$3000=45905)*(INPUT!$U$3:$U$3000="DANI"))=0,"",SUMPRODUCT((INPUT!$T$3:$T$3000=45905)*(INPUT!$U$3:$U$3000="DANI")*(INPUT!$V$3:$V$3000+INPUT!$W$3:$W$3000+INPUT!$X$3:$X$3000+INPUT!$Y$3:$Y$3000))),"")</f>
        <v>16</v>
      </c>
      <c r="AF7" s="42" cm="1">
        <f t="array" ref="AF7">IFERROR(IF(SUMPRODUCT((INPUT!$T$3:$T$3000=45906)*(INPUT!$U$3:$U$3000="DANI"))=0,"",SUMPRODUCT((INPUT!$T$3:$T$3000=45906)*(INPUT!$U$3:$U$3000="DANI")*(INPUT!$V$3:$V$3000+INPUT!$W$3:$W$3000+INPUT!$X$3:$X$3000+INPUT!$Y$3:$Y$3000))),"")</f>
        <v>18</v>
      </c>
      <c r="AG7" s="42" cm="1">
        <f t="array" ref="AG7">IFERROR(IF(SUMPRODUCT((INPUT!$T$3:$T$3000=45908)*(INPUT!$U$3:$U$3000="DANI"))=0,"",SUMPRODUCT((INPUT!$T$3:$T$3000=45908)*(INPUT!$U$3:$U$3000="DANI")*(INPUT!$V$3:$V$3000+INPUT!$W$3:$W$3000+INPUT!$X$3:$X$3000+INPUT!$Y$3:$Y$3000))),"")</f>
        <v>17</v>
      </c>
      <c r="AH7" s="42" t="str" cm="1">
        <f t="array" ref="AH7">IFERROR(IF(SUMPRODUCT((INPUT!$T$3:$T$3000=45909)*(INPUT!$U$3:$U$3000="DANI"))=0,"",SUMPRODUCT((INPUT!$T$3:$T$3000=45909)*(INPUT!$U$3:$U$3000="DANI")*(INPUT!$V$3:$V$3000+INPUT!$W$3:$W$3000+INPUT!$X$3:$X$3000+INPUT!$Y$3:$Y$3000))),"")</f>
        <v/>
      </c>
      <c r="AI7" s="42" t="str" cm="1">
        <f t="array" ref="AI7">IFERROR(IF(SUMPRODUCT((INPUT!$T$3:$T$3000=45911)*(INPUT!$U$3:$U$3000="DANI"))=0,"",SUMPRODUCT((INPUT!$T$3:$T$3000=45911)*(INPUT!$U$3:$U$3000="DANI")*(INPUT!$V$3:$V$3000+INPUT!$W$3:$W$3000+INPUT!$X$3:$X$3000+INPUT!$Y$3:$Y$3000))),"")</f>
        <v/>
      </c>
      <c r="AJ7" s="42" t="str" cm="1">
        <f t="array" ref="AJ7">IFERROR(IF(SUMPRODUCT((INPUT!$T$3:$T$3000=45912)*(INPUT!$U$3:$U$3000="DANI"))=0,"",SUMPRODUCT((INPUT!$T$3:$T$3000=45912)*(INPUT!$U$3:$U$3000="DANI")*(INPUT!$V$3:$V$3000+INPUT!$W$3:$W$3000+INPUT!$X$3:$X$3000+INPUT!$Y$3:$Y$3000))),"")</f>
        <v/>
      </c>
      <c r="AK7" s="42" t="str" cm="1">
        <f t="array" ref="AK7">IFERROR(IF(SUMPRODUCT((INPUT!$T$3:$T$3000=45913)*(INPUT!$U$3:$U$3000="DANI"))=0,"",SUMPRODUCT((INPUT!$T$3:$T$3000=45913)*(INPUT!$U$3:$U$3000="DANI")*(INPUT!$V$3:$V$3000+INPUT!$W$3:$W$3000+INPUT!$X$3:$X$3000+INPUT!$Y$3:$Y$3000))),"")</f>
        <v/>
      </c>
      <c r="AL7" s="42" cm="1">
        <f t="array" ref="AL7">IFERROR(IF(SUMPRODUCT((INPUT!$T$3:$T$3000=45915)*(INPUT!$U$3:$U$3000="DANI"))=0,"",SUMPRODUCT((INPUT!$T$3:$T$3000=45915)*(INPUT!$U$3:$U$3000="DANI")*(INPUT!$V$3:$V$3000+INPUT!$W$3:$W$3000+INPUT!$X$3:$X$3000+INPUT!$Y$3:$Y$3000))),"")</f>
        <v>17</v>
      </c>
      <c r="AM7" s="42" cm="1">
        <f t="array" ref="AM7">IFERROR(IF(SUMPRODUCT((INPUT!$T$3:$T$3000=45916)*(INPUT!$U$3:$U$3000="DANI"))=0,"",SUMPRODUCT((INPUT!$T$3:$T$3000=45916)*(INPUT!$U$3:$U$3000="DANI")*(INPUT!$V$3:$V$3000+INPUT!$W$3:$W$3000+INPUT!$X$3:$X$3000+INPUT!$Y$3:$Y$3000))),"")</f>
        <v>15</v>
      </c>
      <c r="AN7" s="42" cm="1">
        <f t="array" ref="AN7">IFERROR(IF(SUMPRODUCT((INPUT!$T$3:$T$3000=45917)*(INPUT!$U$3:$U$3000="DANI"))=0,"",SUMPRODUCT((INPUT!$T$3:$T$3000=45917)*(INPUT!$U$3:$U$3000="DANI")*(INPUT!$V$3:$V$3000+INPUT!$W$3:$W$3000+INPUT!$X$3:$X$3000+INPUT!$Y$3:$Y$3000))),"")</f>
        <v>16</v>
      </c>
      <c r="AO7" s="42" t="str" cm="1">
        <f t="array" ref="AO7">IFERROR(IF(SUMPRODUCT((INPUT!$T$3:$T$3000=45918)*(INPUT!$U$3:$U$3000="DANI"))=0,"",SUMPRODUCT((INPUT!$T$3:$T$3000=45918)*(INPUT!$U$3:$U$3000="DANI")*(INPUT!$V$3:$V$3000+INPUT!$W$3:$W$3000+INPUT!$X$3:$X$3000+INPUT!$Y$3:$Y$3000))),"")</f>
        <v/>
      </c>
      <c r="AP7" s="42" cm="1">
        <f t="array" ref="AP7">IFERROR(IF(SUMPRODUCT((INPUT!$T$3:$T$3000=45919)*(INPUT!$U$3:$U$3000="DANI"))=0,"",SUMPRODUCT((INPUT!$T$3:$T$3000=45919)*(INPUT!$U$3:$U$3000="DANI")*(INPUT!$V$3:$V$3000+INPUT!$W$3:$W$3000+INPUT!$X$3:$X$3000+INPUT!$Y$3:$Y$3000))),"")</f>
        <v>16</v>
      </c>
      <c r="AQ7" s="42" cm="1">
        <f t="array" ref="AQ7">IFERROR(IF(SUMPRODUCT((INPUT!$T$3:$T$3000=45922)*(INPUT!$U$3:$U$3000="DANI"))=0,"",SUMPRODUCT((INPUT!$T$3:$T$3000=45922)*(INPUT!$U$3:$U$3000="DANI")*(INPUT!$V$3:$V$3000+INPUT!$W$3:$W$3000+INPUT!$X$3:$X$3000+INPUT!$Y$3:$Y$3000))),"")</f>
        <v>15</v>
      </c>
      <c r="AR7" s="42" cm="1">
        <f t="array" ref="AR7">IFERROR(IF(SUMPRODUCT((INPUT!$T$3:$T$3000=45923)*(INPUT!$U$3:$U$3000="DANI"))=0,"",SUMPRODUCT((INPUT!$T$3:$T$3000=45923)*(INPUT!$U$3:$U$3000="DANI")*(INPUT!$V$3:$V$3000+INPUT!$W$3:$W$3000+INPUT!$X$3:$X$3000+INPUT!$Y$3:$Y$3000))),"")</f>
        <v>14</v>
      </c>
      <c r="AS7" s="42" cm="1">
        <f t="array" ref="AS7">IFERROR(IF(SUMPRODUCT((INPUT!$T$3:$T$3000=45924)*(INPUT!$U$3:$U$3000="DANI"))=0,"",SUMPRODUCT((INPUT!$T$3:$T$3000=45924)*(INPUT!$U$3:$U$3000="DANI")*(INPUT!$V$3:$V$3000+INPUT!$W$3:$W$3000+INPUT!$X$3:$X$3000+INPUT!$Y$3:$Y$3000))),"")</f>
        <v>16</v>
      </c>
      <c r="AT7" s="42" cm="1">
        <f t="array" ref="AT7">IFERROR(IF(SUMPRODUCT((INPUT!$T$3:$T$3000=45925)*(INPUT!$U$3:$U$3000="DANI"))=0,"",SUMPRODUCT((INPUT!$T$3:$T$3000=45925)*(INPUT!$U$3:$U$3000="DANI")*(INPUT!$V$3:$V$3000+INPUT!$W$3:$W$3000+INPUT!$X$3:$X$3000+INPUT!$Y$3:$Y$3000))),"")</f>
        <v>15</v>
      </c>
      <c r="AU7" s="42" cm="1">
        <f t="array" ref="AU7">IFERROR(IF(SUMPRODUCT((INPUT!$T$3:$T$3000=45926)*(INPUT!$U$3:$U$3000="DANI"))=0,"",SUMPRODUCT((INPUT!$T$3:$T$3000=45926)*(INPUT!$U$3:$U$3000="DANI")*(INPUT!$V$3:$V$3000+INPUT!$W$3:$W$3000+INPUT!$X$3:$X$3000+INPUT!$Y$3:$Y$3000))),"")</f>
        <v>15</v>
      </c>
      <c r="AV7" s="42" cm="1">
        <f t="array" ref="AV7">IFERROR(IF(SUMPRODUCT((INPUT!$T$3:$T$3000=45927)*(INPUT!$U$3:$U$3000="DANI"))=0,"",SUMPRODUCT((INPUT!$T$3:$T$3000=45927)*(INPUT!$U$3:$U$3000="DANI")*(INPUT!$V$3:$V$3000+INPUT!$W$3:$W$3000+INPUT!$X$3:$X$3000+INPUT!$Y$3:$Y$3000))),"")</f>
        <v>18</v>
      </c>
      <c r="AW7" s="42" cm="1">
        <f t="array" ref="AW7">IFERROR(IF(SUMPRODUCT((INPUT!$T$3:$T$3000=45929)*(INPUT!$U$3:$U$3000="DANI"))=0,"",SUMPRODUCT((INPUT!$T$3:$T$3000=45929)*(INPUT!$U$3:$U$3000="DANI")*(INPUT!$V$3:$V$3000+INPUT!$W$3:$W$3000+INPUT!$X$3:$X$3000+INPUT!$Y$3:$Y$3000))),"")</f>
        <v>16</v>
      </c>
      <c r="AX7" s="42" cm="1">
        <f t="array" ref="AX7">IFERROR(IF(SUMPRODUCT((INPUT!$T$3:$T$3000=45930)*(INPUT!$U$3:$U$3000="DANI"))=0,"",SUMPRODUCT((INPUT!$T$3:$T$3000=45930)*(INPUT!$U$3:$U$3000="DANI")*(INPUT!$V$3:$V$3000+INPUT!$W$3:$W$3000+INPUT!$X$3:$X$3000+INPUT!$Y$3:$Y$3000))),"")</f>
        <v>15</v>
      </c>
      <c r="AY7" s="42" cm="1">
        <f t="array" ref="AY7">IFERROR(IF(SUMPRODUCT((INPUT!$T$3:$T$3000=45931)*(INPUT!$U$3:$U$3000="DANI"))=0,"",SUMPRODUCT((INPUT!$T$3:$T$3000=45931)*(INPUT!$U$3:$U$3000="DANI")*(INPUT!$V$3:$V$3000+INPUT!$W$3:$W$3000+INPUT!$X$3:$X$3000+INPUT!$Y$3:$Y$3000))),"")</f>
        <v>16</v>
      </c>
      <c r="AZ7" s="42" cm="1">
        <f t="array" ref="AZ7">IFERROR(IF(SUMPRODUCT((INPUT!$T$3:$T$3000=45932)*(INPUT!$U$3:$U$3000="DANI"))=0,"",SUMPRODUCT((INPUT!$T$3:$T$3000=45932)*(INPUT!$U$3:$U$3000="DANI")*(INPUT!$V$3:$V$3000+INPUT!$W$3:$W$3000+INPUT!$X$3:$X$3000+INPUT!$Y$3:$Y$3000))),"")</f>
        <v>14</v>
      </c>
      <c r="BA7" s="42" cm="1">
        <f t="array" ref="BA7">IFERROR(IF(SUMPRODUCT((INPUT!$T$3:$T$3000=45933)*(INPUT!$U$3:$U$3000="DANI"))=0,"",SUMPRODUCT((INPUT!$T$3:$T$3000=45933)*(INPUT!$U$3:$U$3000="DANI")*(INPUT!$V$3:$V$3000+INPUT!$W$3:$W$3000+INPUT!$X$3:$X$3000+INPUT!$Y$3:$Y$3000))),"")</f>
        <v>13</v>
      </c>
      <c r="BB7" s="42" cm="1">
        <f t="array" ref="BB7">IFERROR(IF(SUMPRODUCT((INPUT!$T$3:$T$3000=45934)*(INPUT!$U$3:$U$3000="DANI"))=0,"",SUMPRODUCT((INPUT!$T$3:$T$3000=45934)*(INPUT!$U$3:$U$3000="DANI")*(INPUT!$V$3:$V$3000+INPUT!$W$3:$W$3000+INPUT!$X$3:$X$3000+INPUT!$Y$3:$Y$3000))),"")</f>
        <v>18</v>
      </c>
      <c r="BC7" s="42" cm="1">
        <f t="array" ref="BC7">IFERROR(IF(SUMPRODUCT((INPUT!$T$3:$T$3000=45936)*(INPUT!$U$3:$U$3000="DANI"))=0,"",SUMPRODUCT((INPUT!$T$3:$T$3000=45936)*(INPUT!$U$3:$U$3000="DANI")*(INPUT!$V$3:$V$3000+INPUT!$W$3:$W$3000+INPUT!$X$3:$X$3000+INPUT!$Y$3:$Y$3000))),"")</f>
        <v>16</v>
      </c>
      <c r="BD7" s="42" cm="1">
        <f t="array" ref="BD7">IFERROR(IF(SUMPRODUCT((INPUT!$T$3:$T$3000=45937)*(INPUT!$U$3:$U$3000="DANI"))=0,"",SUMPRODUCT((INPUT!$T$3:$T$3000=45937)*(INPUT!$U$3:$U$3000="DANI")*(INPUT!$V$3:$V$3000+INPUT!$W$3:$W$3000+INPUT!$X$3:$X$3000+INPUT!$Y$3:$Y$3000))),"")</f>
        <v>16</v>
      </c>
      <c r="BE7" s="42" cm="1">
        <f t="array" ref="BE7">IFERROR(IF(SUMPRODUCT((INPUT!$T$3:$T$3000=45938)*(INPUT!$U$3:$U$3000="DANI"))=0,"",SUMPRODUCT((INPUT!$T$3:$T$3000=45938)*(INPUT!$U$3:$U$3000="DANI")*(INPUT!$V$3:$V$3000+INPUT!$W$3:$W$3000+INPUT!$X$3:$X$3000+INPUT!$Y$3:$Y$3000))),"")</f>
        <v>17</v>
      </c>
      <c r="BF7" s="42" cm="1">
        <f t="array" ref="BF7">IFERROR(IF(SUMPRODUCT((INPUT!$T$3:$T$3000=45940)*(INPUT!$U$3:$U$3000="DANI"))=0,"",SUMPRODUCT((INPUT!$T$3:$T$3000=45940)*(INPUT!$U$3:$U$3000="DANI")*(INPUT!$V$3:$V$3000+INPUT!$W$3:$W$3000+INPUT!$X$3:$X$3000+INPUT!$Y$3:$Y$3000))),"")</f>
        <v>14</v>
      </c>
      <c r="BG7" s="42" cm="1">
        <f t="array" ref="BG7">IFERROR(IF(SUMPRODUCT((INPUT!$T$3:$T$3000=45941)*(INPUT!$U$3:$U$3000="DANI"))=0,"",SUMPRODUCT((INPUT!$T$3:$T$3000=45941)*(INPUT!$U$3:$U$3000="DANI")*(INPUT!$V$3:$V$3000+INPUT!$W$3:$W$3000+INPUT!$X$3:$X$3000+INPUT!$Y$3:$Y$3000))),"")</f>
        <v>16</v>
      </c>
      <c r="BH7" s="42" cm="1">
        <f t="array" ref="BH7">IFERROR(IF(SUMPRODUCT((INPUT!$T$3:$T$3000=45942)*(INPUT!$U$3:$U$3000="DANI"))=0,"",SUMPRODUCT((INPUT!$T$3:$T$3000=45942)*(INPUT!$U$3:$U$3000="DANI")*(INPUT!$V$3:$V$3000+INPUT!$W$3:$W$3000+INPUT!$X$3:$X$3000+INPUT!$Y$3:$Y$3000))),"")</f>
        <v>16</v>
      </c>
      <c r="BI7" s="42" cm="1">
        <f t="array" ref="BI7">IFERROR(IF(SUMPRODUCT((INPUT!$T$3:$T$3000=45945)*(INPUT!$U$3:$U$3000="DANI"))=0,"",SUMPRODUCT((INPUT!$T$3:$T$3000=45945)*(INPUT!$U$3:$U$3000="DANI")*(INPUT!$V$3:$V$3000+INPUT!$W$3:$W$3000+INPUT!$X$3:$X$3000+INPUT!$Y$3:$Y$3000))),"")</f>
        <v>15</v>
      </c>
      <c r="BJ7" s="42" cm="1">
        <f t="array" ref="BJ7">IFERROR(IF(SUMPRODUCT((INPUT!$T$3:$T$3000=45946)*(INPUT!$U$3:$U$3000="DANI"))=0,"",SUMPRODUCT((INPUT!$T$3:$T$3000=45946)*(INPUT!$U$3:$U$3000="DANI")*(INPUT!$V$3:$V$3000+INPUT!$W$3:$W$3000+INPUT!$X$3:$X$3000+INPUT!$Y$3:$Y$3000))),"")</f>
        <v>14</v>
      </c>
      <c r="BK7" s="42" cm="1">
        <f t="array" ref="BK7">IFERROR(IF(SUMPRODUCT((INPUT!$T$3:$T$3000=45947)*(INPUT!$U$3:$U$3000="DANI"))=0,"",SUMPRODUCT((INPUT!$T$3:$T$3000=45947)*(INPUT!$U$3:$U$3000="DANI")*(INPUT!$V$3:$V$3000+INPUT!$W$3:$W$3000+INPUT!$X$3:$X$3000+INPUT!$Y$3:$Y$3000))),"")</f>
        <v>16</v>
      </c>
      <c r="BL7" s="42" cm="1">
        <f t="array" ref="BL7">IFERROR(IF(SUMPRODUCT((INPUT!$T$3:$T$3000=45950)*(INPUT!$U$3:$U$3000="DANI"))=0,"",SUMPRODUCT((INPUT!$T$3:$T$3000=45950)*(INPUT!$U$3:$U$3000="DANI")*(INPUT!$V$3:$V$3000+INPUT!$W$3:$W$3000+INPUT!$X$3:$X$3000+INPUT!$Y$3:$Y$3000))),"")</f>
        <v>15</v>
      </c>
      <c r="BM7" s="42" cm="1">
        <f t="array" ref="BM7">IFERROR(IF(SUMPRODUCT((INPUT!$T$3:$T$3000=45951)*(INPUT!$U$3:$U$3000="DANI"))=0,"",SUMPRODUCT((INPUT!$T$3:$T$3000=45951)*(INPUT!$U$3:$U$3000="DANI")*(INPUT!$V$3:$V$3000+INPUT!$W$3:$W$3000+INPUT!$X$3:$X$3000+INPUT!$Y$3:$Y$3000))),"")</f>
        <v>14</v>
      </c>
      <c r="BN7" s="42" cm="1">
        <f t="array" ref="BN7">IFERROR(IF(SUMPRODUCT((INPUT!$T$3:$T$3000=45952)*(INPUT!$U$3:$U$3000="DANI"))=0,"",SUMPRODUCT((INPUT!$T$3:$T$3000=45952)*(INPUT!$U$3:$U$3000="DANI")*(INPUT!$V$3:$V$3000+INPUT!$W$3:$W$3000+INPUT!$X$3:$X$3000+INPUT!$Y$3:$Y$3000))),"")</f>
        <v>15</v>
      </c>
      <c r="BO7" s="42" cm="1">
        <f t="array" ref="BO7">IFERROR(IF(SUMPRODUCT((INPUT!$T$3:$T$3000=45953)*(INPUT!$U$3:$U$3000="DANI"))=0,"",SUMPRODUCT((INPUT!$T$3:$T$3000=45953)*(INPUT!$U$3:$U$3000="DANI")*(INPUT!$V$3:$V$3000+INPUT!$W$3:$W$3000+INPUT!$X$3:$X$3000+INPUT!$Y$3:$Y$3000))),"")</f>
        <v>13</v>
      </c>
      <c r="BP7" s="42" cm="1">
        <f t="array" ref="BP7">IFERROR(IF(SUMPRODUCT((INPUT!$T$3:$T$3000=45954)*(INPUT!$U$3:$U$3000="DANI"))=0,"",SUMPRODUCT((INPUT!$T$3:$T$3000=45954)*(INPUT!$U$3:$U$3000="DANI")*(INPUT!$V$3:$V$3000+INPUT!$W$3:$W$3000+INPUT!$X$3:$X$3000+INPUT!$Y$3:$Y$3000))),"")</f>
        <v>13</v>
      </c>
      <c r="BQ7" s="42" cm="1">
        <f t="array" ref="BQ7">IFERROR(IF(SUMPRODUCT((INPUT!$T$3:$T$3000=45955)*(INPUT!$U$3:$U$3000="DANI"))=0,"",SUMPRODUCT((INPUT!$T$3:$T$3000=45955)*(INPUT!$U$3:$U$3000="DANI")*(INPUT!$V$3:$V$3000+INPUT!$W$3:$W$3000+INPUT!$X$3:$X$3000+INPUT!$Y$3:$Y$3000))),"")</f>
        <v>18</v>
      </c>
      <c r="BR7" s="42" cm="1">
        <f t="array" ref="BR7">IFERROR(IF(SUMPRODUCT((INPUT!$T$3:$T$3000=45958)*(INPUT!$U$3:$U$3000="DANI"))=0,"",SUMPRODUCT((INPUT!$T$3:$T$3000=45958)*(INPUT!$U$3:$U$3000="DANI")*(INPUT!$V$3:$V$3000+INPUT!$W$3:$W$3000+INPUT!$X$3:$X$3000+INPUT!$Y$3:$Y$3000))),"")</f>
        <v>15</v>
      </c>
      <c r="BS7" s="42" cm="1">
        <f t="array" ref="BS7">IFERROR(IF(SUMPRODUCT((INPUT!$T$3:$T$3000=45959)*(INPUT!$U$3:$U$3000="DANI"))=0,"",SUMPRODUCT((INPUT!$T$3:$T$3000=45959)*(INPUT!$U$3:$U$3000="DANI")*(INPUT!$V$3:$V$3000+INPUT!$W$3:$W$3000+INPUT!$X$3:$X$3000+INPUT!$Y$3:$Y$3000))),"")</f>
        <v>14</v>
      </c>
      <c r="BT7" s="42" cm="1">
        <f t="array" ref="BT7">IFERROR(IF(SUMPRODUCT((INPUT!$T$3:$T$3000=45960)*(INPUT!$U$3:$U$3000="DANI"))=0,"",SUMPRODUCT((INPUT!$T$3:$T$3000=45960)*(INPUT!$U$3:$U$3000="DANI")*(INPUT!$V$3:$V$3000+INPUT!$W$3:$W$3000+INPUT!$X$3:$X$3000+INPUT!$Y$3:$Y$3000))),"")</f>
        <v>15</v>
      </c>
      <c r="BU7" s="42" cm="1">
        <f t="array" ref="BU7">IFERROR(IF(SUMPRODUCT((INPUT!$T$3:$T$3000=45961)*(INPUT!$U$3:$U$3000="DANI"))=0,"",SUMPRODUCT((INPUT!$T$3:$T$3000=45961)*(INPUT!$U$3:$U$3000="DANI")*(INPUT!$V$3:$V$3000+INPUT!$W$3:$W$3000+INPUT!$X$3:$X$3000+INPUT!$Y$3:$Y$3000))),"")</f>
        <v>15</v>
      </c>
      <c r="BV7" s="42" cm="1">
        <f t="array" ref="BV7">IFERROR(IF(SUMPRODUCT((INPUT!$T$3:$T$3000=45964)*(INPUT!$U$3:$U$3000="DANI"))=0,"",SUMPRODUCT((INPUT!$T$3:$T$3000=45964)*(INPUT!$U$3:$U$3000="DANI")*(INPUT!$V$3:$V$3000+INPUT!$W$3:$W$3000+INPUT!$X$3:$X$3000+INPUT!$Y$3:$Y$3000))),"")</f>
        <v>15</v>
      </c>
      <c r="BW7" s="42" cm="1">
        <f t="array" ref="BW7">IFERROR(IF(SUMPRODUCT((INPUT!$T$3:$T$3000=45965)*(INPUT!$U$3:$U$3000="DANI"))=0,"",SUMPRODUCT((INPUT!$T$3:$T$3000=45965)*(INPUT!$U$3:$U$3000="DANI")*(INPUT!$V$3:$V$3000+INPUT!$W$3:$W$3000+INPUT!$X$3:$X$3000+INPUT!$Y$3:$Y$3000))),"")</f>
        <v>17</v>
      </c>
      <c r="BX7" s="42" t="str" cm="1">
        <f t="array" ref="BX7">IFERROR(IF(SUMPRODUCT((INPUT!$T$3:$T$3000=45966)*(INPUT!$U$3:$U$3000="DANI"))=0,"",SUMPRODUCT((INPUT!$T$3:$T$3000=45966)*(INPUT!$U$3:$U$3000="DANI")*(INPUT!$V$3:$V$3000+INPUT!$W$3:$W$3000+INPUT!$X$3:$X$3000+INPUT!$Y$3:$Y$3000))),"")</f>
        <v/>
      </c>
      <c r="BY7" s="42" cm="1">
        <f t="array" ref="BY7">IFERROR(IF(SUMPRODUCT((INPUT!$T$3:$T$3000=45967)*(INPUT!$U$3:$U$3000="DANI"))=0,"",SUMPRODUCT((INPUT!$T$3:$T$3000=45967)*(INPUT!$U$3:$U$3000="DANI")*(INPUT!$V$3:$V$3000+INPUT!$W$3:$W$3000+INPUT!$X$3:$X$3000+INPUT!$Y$3:$Y$3000))),"")</f>
        <v>16</v>
      </c>
      <c r="BZ7" s="42" cm="1">
        <f t="array" ref="BZ7">IFERROR(IF(SUMPRODUCT((INPUT!$T$3:$T$3000=45968)*(INPUT!$U$3:$U$3000="DANI"))=0,"",SUMPRODUCT((INPUT!$T$3:$T$3000=45968)*(INPUT!$U$3:$U$3000="DANI")*(INPUT!$V$3:$V$3000+INPUT!$W$3:$W$3000+INPUT!$X$3:$X$3000+INPUT!$Y$3:$Y$3000))),"")</f>
        <v>18</v>
      </c>
      <c r="CA7" s="42" cm="1">
        <f t="array" ref="CA7">IFERROR(IF(SUMPRODUCT((INPUT!$T$3:$T$3000=45971)*(INPUT!$U$3:$U$3000="DANI"))=0,"",SUMPRODUCT((INPUT!$T$3:$T$3000=45971)*(INPUT!$U$3:$U$3000="DANI")*(INPUT!$V$3:$V$3000+INPUT!$W$3:$W$3000+INPUT!$X$3:$X$3000+INPUT!$Y$3:$Y$3000))),"")</f>
        <v>18</v>
      </c>
      <c r="CB7" s="42" cm="1">
        <f t="array" ref="CB7">IFERROR(IF(SUMPRODUCT((INPUT!$T$3:$T$3000=45972)*(INPUT!$U$3:$U$3000="DANI"))=0,"",SUMPRODUCT((INPUT!$T$3:$T$3000=45972)*(INPUT!$U$3:$U$3000="DANI")*(INPUT!$V$3:$V$3000+INPUT!$W$3:$W$3000+INPUT!$X$3:$X$3000+INPUT!$Y$3:$Y$3000))),"")</f>
        <v>16</v>
      </c>
      <c r="CC7" s="42" cm="1">
        <f t="array" ref="CC7">IFERROR(IF(SUMPRODUCT((INPUT!$T$3:$T$3000=45974)*(INPUT!$U$3:$U$3000="DANI"))=0,"",SUMPRODUCT((INPUT!$T$3:$T$3000=45974)*(INPUT!$U$3:$U$3000="DANI")*(INPUT!$V$3:$V$3000+INPUT!$W$3:$W$3000+INPUT!$X$3:$X$3000+INPUT!$Y$3:$Y$3000))),"")</f>
        <v>16</v>
      </c>
      <c r="CD7" s="42" cm="1">
        <f t="array" ref="CD7">IFERROR(IF(SUMPRODUCT((INPUT!$T$3:$T$3000=45975)*(INPUT!$U$3:$U$3000="DANI"))=0,"",SUMPRODUCT((INPUT!$T$3:$T$3000=45975)*(INPUT!$U$3:$U$3000="DANI")*(INPUT!$V$3:$V$3000+INPUT!$W$3:$W$3000+INPUT!$X$3:$X$3000+INPUT!$Y$3:$Y$3000))),"")</f>
        <v>16</v>
      </c>
      <c r="CE7" s="42" cm="1">
        <f t="array" ref="CE7">IFERROR(IF(SUMPRODUCT((INPUT!$T$3:$T$3000=45976)*(INPUT!$U$3:$U$3000="DANI"))=0,"",SUMPRODUCT((INPUT!$T$3:$T$3000=45976)*(INPUT!$U$3:$U$3000="DANI")*(INPUT!$V$3:$V$3000+INPUT!$W$3:$W$3000+INPUT!$X$3:$X$3000+INPUT!$Y$3:$Y$3000))),"")</f>
        <v>19</v>
      </c>
      <c r="CF7" s="42" cm="1">
        <f t="array" ref="CF7">IFERROR(IF(SUMPRODUCT((INPUT!$T$3:$T$3000=45978)*(INPUT!$U$3:$U$3000="DANI"))=0,"",SUMPRODUCT((INPUT!$T$3:$T$3000=45978)*(INPUT!$U$3:$U$3000="DANI")*(INPUT!$V$3:$V$3000+INPUT!$W$3:$W$3000+INPUT!$X$3:$X$3000+INPUT!$Y$3:$Y$3000))),"")</f>
        <v>15</v>
      </c>
      <c r="CG7" s="42" cm="1">
        <f t="array" ref="CG7">IFERROR(IF(SUMPRODUCT((INPUT!$T$3:$T$3000=45979)*(INPUT!$U$3:$U$3000="DANI"))=0,"",SUMPRODUCT((INPUT!$T$3:$T$3000=45979)*(INPUT!$U$3:$U$3000="DANI")*(INPUT!$V$3:$V$3000+INPUT!$W$3:$W$3000+INPUT!$X$3:$X$3000+INPUT!$Y$3:$Y$3000))),"")</f>
        <v>17</v>
      </c>
      <c r="CH7" s="42" cm="1">
        <f t="array" ref="CH7">IFERROR(IF(SUMPRODUCT((INPUT!$T$3:$T$3000=45980)*(INPUT!$U$3:$U$3000="DANI"))=0,"",SUMPRODUCT((INPUT!$T$3:$T$3000=45980)*(INPUT!$U$3:$U$3000="DANI")*(INPUT!$V$3:$V$3000+INPUT!$W$3:$W$3000+INPUT!$X$3:$X$3000+INPUT!$Y$3:$Y$3000))),"")</f>
        <v>19</v>
      </c>
      <c r="CI7" s="42" cm="1">
        <f t="array" ref="CI7">IFERROR(IF(SUMPRODUCT((INPUT!$T$3:$T$3000=45982)*(INPUT!$U$3:$U$3000="DANI"))=0,"",SUMPRODUCT((INPUT!$T$3:$T$3000=45982)*(INPUT!$U$3:$U$3000="DANI")*(INPUT!$V$3:$V$3000+INPUT!$W$3:$W$3000+INPUT!$X$3:$X$3000+INPUT!$Y$3:$Y$3000))),"")</f>
        <v>18</v>
      </c>
      <c r="CJ7" s="42" cm="1">
        <f t="array" ref="CJ7">IFERROR(IF(SUMPRODUCT((INPUT!$T$3:$T$3000=45983)*(INPUT!$U$3:$U$3000="DANI"))=0,"",SUMPRODUCT((INPUT!$T$3:$T$3000=45983)*(INPUT!$U$3:$U$3000="DANI")*(INPUT!$V$3:$V$3000+INPUT!$W$3:$W$3000+INPUT!$X$3:$X$3000+INPUT!$Y$3:$Y$3000))),"")</f>
        <v>18</v>
      </c>
      <c r="CK7" s="42" cm="1">
        <f t="array" ref="CK7">IFERROR(IF(SUMPRODUCT((INPUT!$T$3:$T$3000=45985)*(INPUT!$U$3:$U$3000="DANI"))=0,"",SUMPRODUCT((INPUT!$T$3:$T$3000=45985)*(INPUT!$U$3:$U$3000="DANI")*(INPUT!$V$3:$V$3000+INPUT!$W$3:$W$3000+INPUT!$X$3:$X$3000+INPUT!$Y$3:$Y$3000))),"")</f>
        <v>17</v>
      </c>
      <c r="CL7" s="42" cm="1">
        <f t="array" ref="CL7">IFERROR(IF(SUMPRODUCT((INPUT!$T$3:$T$3000=45986)*(INPUT!$U$3:$U$3000="DANI"))=0,"",SUMPRODUCT((INPUT!$T$3:$T$3000=45986)*(INPUT!$U$3:$U$3000="DANI")*(INPUT!$V$3:$V$3000+INPUT!$W$3:$W$3000+INPUT!$X$3:$X$3000+INPUT!$Y$3:$Y$3000))),"")</f>
        <v>17</v>
      </c>
      <c r="CM7" s="42" cm="1">
        <f t="array" ref="CM7">IFERROR(IF(SUMPRODUCT((INPUT!$T$3:$T$3000=45987)*(INPUT!$U$3:$U$3000="DANI"))=0,"",SUMPRODUCT((INPUT!$T$3:$T$3000=45987)*(INPUT!$U$3:$U$3000="DANI")*(INPUT!$V$3:$V$3000+INPUT!$W$3:$W$3000+INPUT!$X$3:$X$3000+INPUT!$Y$3:$Y$3000))),"")</f>
        <v>17</v>
      </c>
      <c r="CN7" s="42" cm="1">
        <f t="array" ref="CN7">IFERROR(IF(SUMPRODUCT((INPUT!$T$3:$T$3000=45988)*(INPUT!$U$3:$U$3000="DANI"))=0,"",SUMPRODUCT((INPUT!$T$3:$T$3000=45988)*(INPUT!$U$3:$U$3000="DANI")*(INPUT!$V$3:$V$3000+INPUT!$W$3:$W$3000+INPUT!$X$3:$X$3000+INPUT!$Y$3:$Y$3000))),"")</f>
        <v>16</v>
      </c>
      <c r="CO7" s="42" cm="1">
        <f t="array" ref="CO7">IFERROR(IF(SUMPRODUCT((INPUT!$T$3:$T$3000=45989)*(INPUT!$U$3:$U$3000="DANI"))=0,"",SUMPRODUCT((INPUT!$T$3:$T$3000=45989)*(INPUT!$U$3:$U$3000="DANI")*(INPUT!$V$3:$V$3000+INPUT!$W$3:$W$3000+INPUT!$X$3:$X$3000+INPUT!$Y$3:$Y$3000))),"")</f>
        <v>18</v>
      </c>
      <c r="CP7" s="42" cm="1">
        <f t="array" ref="CP7">IFERROR(IF(SUMPRODUCT((INPUT!$T$3:$T$3000=45992)*(INPUT!$U$3:$U$3000="DANI"))=0,"",SUMPRODUCT((INPUT!$T$3:$T$3000=45992)*(INPUT!$U$3:$U$3000="DANI")*(INPUT!$V$3:$V$3000+INPUT!$W$3:$W$3000+INPUT!$X$3:$X$3000+INPUT!$Y$3:$Y$3000))),"")</f>
        <v>17</v>
      </c>
      <c r="CQ7" s="42" cm="1">
        <f t="array" ref="CQ7">IFERROR(IF(SUMPRODUCT((INPUT!$T$3:$T$3000=45993)*(INPUT!$U$3:$U$3000="DANI"))=0,"",SUMPRODUCT((INPUT!$T$3:$T$3000=45993)*(INPUT!$U$3:$U$3000="DANI")*(INPUT!$V$3:$V$3000+INPUT!$W$3:$W$3000+INPUT!$X$3:$X$3000+INPUT!$Y$3:$Y$3000))),"")</f>
        <v>18</v>
      </c>
      <c r="CR7" s="42" cm="1">
        <f t="array" ref="CR7">IFERROR(IF(SUMPRODUCT((INPUT!$T$3:$T$3000=45994)*(INPUT!$U$3:$U$3000="DANI"))=0,"",SUMPRODUCT((INPUT!$T$3:$T$3000=45994)*(INPUT!$U$3:$U$3000="DANI")*(INPUT!$V$3:$V$3000+INPUT!$W$3:$W$3000+INPUT!$X$3:$X$3000+INPUT!$Y$3:$Y$3000))),"")</f>
        <v>16</v>
      </c>
      <c r="CS7" s="42" cm="1">
        <f t="array" ref="CS7">IFERROR(IF(SUMPRODUCT((INPUT!$T$3:$T$3000=45995)*(INPUT!$U$3:$U$3000="DANI"))=0,"",SUMPRODUCT((INPUT!$T$3:$T$3000=45995)*(INPUT!$U$3:$U$3000="DANI")*(INPUT!$V$3:$V$3000+INPUT!$W$3:$W$3000+INPUT!$X$3:$X$3000+INPUT!$Y$3:$Y$3000))),"")</f>
        <v>16</v>
      </c>
      <c r="CT7" s="42" cm="1">
        <f t="array" ref="CT7">IFERROR(IF(SUMPRODUCT((INPUT!$T$3:$T$3000=45996)*(INPUT!$U$3:$U$3000="DANI"))=0,"",SUMPRODUCT((INPUT!$T$3:$T$3000=45996)*(INPUT!$U$3:$U$3000="DANI")*(INPUT!$V$3:$V$3000+INPUT!$W$3:$W$3000+INPUT!$X$3:$X$3000+INPUT!$Y$3:$Y$3000))),"")</f>
        <v>16</v>
      </c>
      <c r="CU7" s="42" cm="1">
        <f t="array" ref="CU7">IFERROR(IF(SUMPRODUCT((INPUT!$T$3:$T$3000=45997)*(INPUT!$U$3:$U$3000="DANI"))=0,"",SUMPRODUCT((INPUT!$T$3:$T$3000=45997)*(INPUT!$U$3:$U$3000="DANI")*(INPUT!$V$3:$V$3000+INPUT!$W$3:$W$3000+INPUT!$X$3:$X$3000+INPUT!$Y$3:$Y$3000))),"")</f>
        <v>16</v>
      </c>
      <c r="CV7" s="42" cm="1">
        <f t="array" ref="CV7">IFERROR(IF(SUMPRODUCT((INPUT!$T$3:$T$3000=45999)*(INPUT!$U$3:$U$3000="DANI"))=0,"",SUMPRODUCT((INPUT!$T$3:$T$3000=45999)*(INPUT!$U$3:$U$3000="DANI")*(INPUT!$V$3:$V$3000+INPUT!$W$3:$W$3000+INPUT!$X$3:$X$3000+INPUT!$Y$3:$Y$3000))),"")</f>
        <v>16</v>
      </c>
      <c r="CW7" s="42" t="str" cm="1">
        <f t="array" ref="CW7">IFERROR(IF(SUMPRODUCT((INPUT!$T$3:$T$3000=46000)*(INPUT!$U$3:$U$3000="DANI"))=0,"",SUMPRODUCT((INPUT!$T$3:$T$3000=46000)*(INPUT!$U$3:$U$3000="DANI")*(INPUT!$V$3:$V$3000+INPUT!$W$3:$W$3000+INPUT!$X$3:$X$3000+INPUT!$Y$3:$Y$3000))),"")</f>
        <v/>
      </c>
      <c r="CX7" s="42" t="str" cm="1">
        <f t="array" ref="CX7">IFERROR(IF(SUMPRODUCT((INPUT!$T$3:$T$3000=46001)*(INPUT!$U$3:$U$3000="DANI"))=0,"",SUMPRODUCT((INPUT!$T$3:$T$3000=46001)*(INPUT!$U$3:$U$3000="DANI")*(INPUT!$V$3:$V$3000+INPUT!$W$3:$W$3000+INPUT!$X$3:$X$3000+INPUT!$Y$3:$Y$3000))),"")</f>
        <v/>
      </c>
      <c r="CY7" s="42" cm="1">
        <f t="array" ref="CY7">IFERROR(IF(SUMPRODUCT((INPUT!$T$3:$T$3000=46002)*(INPUT!$U$3:$U$3000="DANI"))=0,"",SUMPRODUCT((INPUT!$T$3:$T$3000=46002)*(INPUT!$U$3:$U$3000="DANI")*(INPUT!$V$3:$V$3000+INPUT!$W$3:$W$3000+INPUT!$X$3:$X$3000+INPUT!$Y$3:$Y$3000))),"")</f>
        <v>17</v>
      </c>
      <c r="CZ7" s="42" cm="1">
        <f t="array" ref="CZ7">IFERROR(IF(SUMPRODUCT((INPUT!$T$3:$T$3000=46003)*(INPUT!$U$3:$U$3000="DANI"))=0,"",SUMPRODUCT((INPUT!$T$3:$T$3000=46003)*(INPUT!$U$3:$U$3000="DANI")*(INPUT!$V$3:$V$3000+INPUT!$W$3:$W$3000+INPUT!$X$3:$X$3000+INPUT!$Y$3:$Y$3000))),"")</f>
        <v>17</v>
      </c>
      <c r="DA7" s="42" cm="1">
        <f t="array" ref="DA7">IFERROR(IF(SUMPRODUCT((INPUT!$T$3:$T$3000=46004)*(INPUT!$U$3:$U$3000="DANI"))=0,"",SUMPRODUCT((INPUT!$T$3:$T$3000=46004)*(INPUT!$U$3:$U$3000="DANI")*(INPUT!$V$3:$V$3000+INPUT!$W$3:$W$3000+INPUT!$X$3:$X$3000+INPUT!$Y$3:$Y$3000))),"")</f>
        <v>20</v>
      </c>
      <c r="DB7" s="42" t="str" cm="1">
        <f t="array" ref="DB7">IFERROR(IF(SUMPRODUCT((INPUT!$T$3:$T$3000=46007)*(INPUT!$U$3:$U$3000="DANI"))=0,"",SUMPRODUCT((INPUT!$T$3:$T$3000=46007)*(INPUT!$U$3:$U$3000="DANI")*(INPUT!$V$3:$V$3000+INPUT!$W$3:$W$3000+INPUT!$X$3:$X$3000+INPUT!$Y$3:$Y$3000))),"")</f>
        <v/>
      </c>
      <c r="DC7" s="42" cm="1">
        <f t="array" ref="DC7">IFERROR(IF(SUMPRODUCT((INPUT!$T$3:$T$3000=46008)*(INPUT!$U$3:$U$3000="DANI"))=0,"",SUMPRODUCT((INPUT!$T$3:$T$3000=46008)*(INPUT!$U$3:$U$3000="DANI")*(INPUT!$V$3:$V$3000+INPUT!$W$3:$W$3000+INPUT!$X$3:$X$3000+INPUT!$Y$3:$Y$3000))),"")</f>
        <v>14</v>
      </c>
      <c r="DD7" s="42" t="str" cm="1">
        <f t="array" ref="DD7">IFERROR(IF(SUMPRODUCT((INPUT!$T$3:$T$3000=46009)*(INPUT!$U$3:$U$3000="DANI"))=0,"",SUMPRODUCT((INPUT!$T$3:$T$3000=46009)*(INPUT!$U$3:$U$3000="DANI")*(INPUT!$V$3:$V$3000+INPUT!$W$3:$W$3000+INPUT!$X$3:$X$3000+INPUT!$Y$3:$Y$3000))),"")</f>
        <v/>
      </c>
      <c r="DE7" s="42" cm="1">
        <f t="array" ref="DE7">IFERROR(IF(SUMPRODUCT((INPUT!$T$3:$T$3000=46010)*(INPUT!$U$3:$U$3000="DANI"))=0,"",SUMPRODUCT((INPUT!$T$3:$T$3000=46010)*(INPUT!$U$3:$U$3000="DANI")*(INPUT!$V$3:$V$3000+INPUT!$W$3:$W$3000+INPUT!$X$3:$X$3000+INPUT!$Y$3:$Y$3000))),"")</f>
        <v>17</v>
      </c>
      <c r="DF7" s="42" cm="1">
        <f t="array" ref="DF7">IFERROR(IF(SUMPRODUCT((INPUT!$T$3:$T$3000=46013)*(INPUT!$U$3:$U$3000="DANI"))=0,"",SUMPRODUCT((INPUT!$T$3:$T$3000=46013)*(INPUT!$U$3:$U$3000="DANI")*(INPUT!$V$3:$V$3000+INPUT!$W$3:$W$3000+INPUT!$X$3:$X$3000+INPUT!$Y$3:$Y$3000))),"")</f>
        <v>16</v>
      </c>
      <c r="DG7" s="42" cm="1">
        <f t="array" ref="DG7">IFERROR(IF(SUMPRODUCT((INPUT!$T$3:$T$3000=46014)*(INPUT!$U$3:$U$3000="DANI"))=0,"",SUMPRODUCT((INPUT!$T$3:$T$3000=46014)*(INPUT!$U$3:$U$3000="DANI")*(INPUT!$V$3:$V$3000+INPUT!$W$3:$W$3000+INPUT!$X$3:$X$3000+INPUT!$Y$3:$Y$3000))),"")</f>
        <v>15</v>
      </c>
      <c r="DH7" s="42" cm="1">
        <f t="array" ref="DH7">IFERROR(IF(SUMPRODUCT((INPUT!$T$3:$T$3000=46017)*(INPUT!$U$3:$U$3000="DANI"))=0,"",SUMPRODUCT((INPUT!$T$3:$T$3000=46017)*(INPUT!$U$3:$U$3000="DANI")*(INPUT!$V$3:$V$3000+INPUT!$W$3:$W$3000+INPUT!$X$3:$X$3000+INPUT!$Y$3:$Y$3000))),"")</f>
        <v>17</v>
      </c>
      <c r="DI7" s="42" cm="1">
        <f t="array" ref="DI7">IFERROR(IF(SUMPRODUCT((INPUT!$T$3:$T$3000=46018)*(INPUT!$U$3:$U$3000="DANI"))=0,"",SUMPRODUCT((INPUT!$T$3:$T$3000=46018)*(INPUT!$U$3:$U$3000="DANI")*(INPUT!$V$3:$V$3000+INPUT!$W$3:$W$3000+INPUT!$X$3:$X$3000+INPUT!$Y$3:$Y$3000))),"")</f>
        <v>18</v>
      </c>
      <c r="DJ7" s="42" cm="1">
        <f t="array" ref="DJ7">IFERROR(IF(SUMPRODUCT((INPUT!$T$3:$T$3000=46020)*(INPUT!$U$3:$U$3000="DANI"))=0,"",SUMPRODUCT((INPUT!$T$3:$T$3000=46020)*(INPUT!$U$3:$U$3000="DANI")*(INPUT!$V$3:$V$3000+INPUT!$W$3:$W$3000+INPUT!$X$3:$X$3000+INPUT!$Y$3:$Y$3000))),"")</f>
        <v>15</v>
      </c>
      <c r="DK7" s="42" cm="1">
        <f t="array" ref="DK7">IFERROR(IF(SUMPRODUCT((INPUT!$T$3:$T$3000=46021)*(INPUT!$U$3:$U$3000="DANI"))=0,"",SUMPRODUCT((INPUT!$T$3:$T$3000=46021)*(INPUT!$U$3:$U$3000="DANI")*(INPUT!$V$3:$V$3000+INPUT!$W$3:$W$3000+INPUT!$X$3:$X$3000+INPUT!$Y$3:$Y$3000))),"")</f>
        <v>14</v>
      </c>
      <c r="DL7" s="42" cm="1">
        <f t="array" ref="DL7">IFERROR(IF(SUMPRODUCT((INPUT!$T$3:$T$3000=46022)*(INPUT!$U$3:$U$3000="DANI"))=0,"",SUMPRODUCT((INPUT!$T$3:$T$3000=46022)*(INPUT!$U$3:$U$3000="DANI")*(INPUT!$V$3:$V$3000+INPUT!$W$3:$W$3000+INPUT!$X$3:$X$3000+INPUT!$Y$3:$Y$3000))),"")</f>
        <v>14</v>
      </c>
      <c r="DM7" s="42" cm="1">
        <f t="array" ref="DM7">IFERROR(IF(SUMPRODUCT((INPUT!$T$3:$T$3000=46024)*(INPUT!$U$3:$U$3000="DANI"))=0,"",SUMPRODUCT((INPUT!$T$3:$T$3000=46024)*(INPUT!$U$3:$U$3000="DANI")*(INPUT!$V$3:$V$3000+INPUT!$W$3:$W$3000+INPUT!$X$3:$X$3000+INPUT!$Y$3:$Y$3000))),"")</f>
        <v>19</v>
      </c>
      <c r="DN7" s="42" cm="1">
        <f t="array" ref="DN7">IFERROR(IF(SUMPRODUCT((INPUT!$T$3:$T$3000=46025)*(INPUT!$U$3:$U$3000="DANI"))=0,"",SUMPRODUCT((INPUT!$T$3:$T$3000=46025)*(INPUT!$U$3:$U$3000="DANI")*(INPUT!$V$3:$V$3000+INPUT!$W$3:$W$3000+INPUT!$X$3:$X$3000+INPUT!$Y$3:$Y$3000))),"")</f>
        <v>19</v>
      </c>
      <c r="DO7" s="42" cm="1">
        <f t="array" ref="DO7">IFERROR(IF(SUMPRODUCT((INPUT!$T$3:$T$3000=46027)*(INPUT!$U$3:$U$3000="DANI"))=0,"",SUMPRODUCT((INPUT!$T$3:$T$3000=46027)*(INPUT!$U$3:$U$3000="DANI")*(INPUT!$V$3:$V$3000+INPUT!$W$3:$W$3000+INPUT!$X$3:$X$3000+INPUT!$Y$3:$Y$3000))),"")</f>
        <v>17</v>
      </c>
      <c r="DP7" s="42" cm="1">
        <f t="array" ref="DP7">IFERROR(IF(SUMPRODUCT((INPUT!$T$3:$T$3000=46028)*(INPUT!$U$3:$U$3000="DANI"))=0,"",SUMPRODUCT((INPUT!$T$3:$T$3000=46028)*(INPUT!$U$3:$U$3000="DANI")*(INPUT!$V$3:$V$3000+INPUT!$W$3:$W$3000+INPUT!$X$3:$X$3000+INPUT!$Y$3:$Y$3000))),"")</f>
        <v>16</v>
      </c>
      <c r="DQ7" s="42" cm="1">
        <f t="array" ref="DQ7">IFERROR(IF(SUMPRODUCT((INPUT!$T$3:$T$3000=46029)*(INPUT!$U$3:$U$3000="DANI"))=0,"",SUMPRODUCT((INPUT!$T$3:$T$3000=46029)*(INPUT!$U$3:$U$3000="DANI")*(INPUT!$V$3:$V$3000+INPUT!$W$3:$W$3000+INPUT!$X$3:$X$3000+INPUT!$Y$3:$Y$3000))),"")</f>
        <v>19</v>
      </c>
      <c r="DR7" s="42" cm="1">
        <f t="array" ref="DR7">IFERROR(IF(SUMPRODUCT((INPUT!$T$3:$T$3000=46030)*(INPUT!$U$3:$U$3000="DANI"))=0,"",SUMPRODUCT((INPUT!$T$3:$T$3000=46030)*(INPUT!$U$3:$U$3000="DANI")*(INPUT!$V$3:$V$3000+INPUT!$W$3:$W$3000+INPUT!$X$3:$X$3000+INPUT!$Y$3:$Y$3000))),"")</f>
        <v>16</v>
      </c>
      <c r="DS7" s="42" cm="1">
        <f t="array" ref="DS7">IFERROR(IF(SUMPRODUCT((INPUT!$T$3:$T$3000=46031)*(INPUT!$U$3:$U$3000="DANI"))=0,"",SUMPRODUCT((INPUT!$T$3:$T$3000=46031)*(INPUT!$U$3:$U$3000="DANI")*(INPUT!$V$3:$V$3000+INPUT!$W$3:$W$3000+INPUT!$X$3:$X$3000+INPUT!$Y$3:$Y$3000))),"")</f>
        <v>17</v>
      </c>
      <c r="DT7" s="42" cm="1">
        <f t="array" ref="DT7">IFERROR(IF(SUMPRODUCT((INPUT!$T$3:$T$3000=46041)*(INPUT!$U$3:$U$3000="DANI"))=0,"",SUMPRODUCT((INPUT!$T$3:$T$3000=46041)*(INPUT!$U$3:$U$3000="DANI")*(INPUT!$V$3:$V$3000+INPUT!$W$3:$W$3000+INPUT!$X$3:$X$3000+INPUT!$Y$3:$Y$3000))),"")</f>
        <v>16</v>
      </c>
      <c r="DU7" s="42" cm="1">
        <f t="array" ref="DU7">IFERROR(IF(SUMPRODUCT((INPUT!$T$3:$T$3000=46042)*(INPUT!$U$3:$U$3000="DANI"))=0,"",SUMPRODUCT((INPUT!$T$3:$T$3000=46042)*(INPUT!$U$3:$U$3000="DANI")*(INPUT!$V$3:$V$3000+INPUT!$W$3:$W$3000+INPUT!$X$3:$X$3000+INPUT!$Y$3:$Y$3000))),"")</f>
        <v>14</v>
      </c>
      <c r="DV7" s="42" cm="1">
        <f t="array" ref="DV7">IFERROR(IF(SUMPRODUCT((INPUT!$T$3:$T$3000=46043)*(INPUT!$U$3:$U$3000="DANI"))=0,"",SUMPRODUCT((INPUT!$T$3:$T$3000=46043)*(INPUT!$U$3:$U$3000="DANI")*(INPUT!$V$3:$V$3000+INPUT!$W$3:$W$3000+INPUT!$X$3:$X$3000+INPUT!$Y$3:$Y$3000))),"")</f>
        <v>12</v>
      </c>
      <c r="DW7" s="42" cm="1">
        <f t="array" ref="DW7">IFERROR(IF(SUMPRODUCT((INPUT!$T$3:$T$3000=46044)*(INPUT!$U$3:$U$3000="DANI"))=0,"",SUMPRODUCT((INPUT!$T$3:$T$3000=46044)*(INPUT!$U$3:$U$3000="DANI")*(INPUT!$V$3:$V$3000+INPUT!$W$3:$W$3000+INPUT!$X$3:$X$3000+INPUT!$Y$3:$Y$3000))),"")</f>
        <v>15</v>
      </c>
      <c r="DX7" s="42" cm="1">
        <f t="array" ref="DX7">IFERROR(IF(SUMPRODUCT((INPUT!$T$3:$T$3000=46045)*(INPUT!$U$3:$U$3000="DANI"))=0,"",SUMPRODUCT((INPUT!$T$3:$T$3000=46045)*(INPUT!$U$3:$U$3000="DANI")*(INPUT!$V$3:$V$3000+INPUT!$W$3:$W$3000+INPUT!$X$3:$X$3000+INPUT!$Y$3:$Y$3000))),"")</f>
        <v>16</v>
      </c>
      <c r="DY7" s="42" cm="1">
        <f t="array" ref="DY7">IFERROR(IF(SUMPRODUCT((INPUT!$T$3:$T$3000=46048)*(INPUT!$U$3:$U$3000="DANI"))=0,"",SUMPRODUCT((INPUT!$T$3:$T$3000=46048)*(INPUT!$U$3:$U$3000="DANI")*(INPUT!$V$3:$V$3000+INPUT!$W$3:$W$3000+INPUT!$X$3:$X$3000+INPUT!$Y$3:$Y$3000))),"")</f>
        <v>16</v>
      </c>
      <c r="DZ7" s="42" cm="1">
        <f t="array" ref="DZ7">IFERROR(IF(SUMPRODUCT((INPUT!$T$3:$T$3000=46049)*(INPUT!$U$3:$U$3000="DANI"))=0,"",SUMPRODUCT((INPUT!$T$3:$T$3000=46049)*(INPUT!$U$3:$U$3000="DANI")*(INPUT!$V$3:$V$3000+INPUT!$W$3:$W$3000+INPUT!$X$3:$X$3000+INPUT!$Y$3:$Y$3000))),"")</f>
        <v>12</v>
      </c>
      <c r="EA7" s="42" cm="1">
        <f t="array" ref="EA7">IFERROR(IF(SUMPRODUCT((INPUT!$T$3:$T$3000=46050)*(INPUT!$U$3:$U$3000="DANI"))=0,"",SUMPRODUCT((INPUT!$T$3:$T$3000=46050)*(INPUT!$U$3:$U$3000="DANI")*(INPUT!$V$3:$V$3000+INPUT!$W$3:$W$3000+INPUT!$X$3:$X$3000+INPUT!$Y$3:$Y$3000))),"")</f>
        <v>12</v>
      </c>
      <c r="EB7" s="42" cm="1">
        <f t="array" ref="EB7">IFERROR(IF(SUMPRODUCT((INPUT!$T$3:$T$3000=46051)*(INPUT!$U$3:$U$3000="DANI"))=0,"",SUMPRODUCT((INPUT!$T$3:$T$3000=46051)*(INPUT!$U$3:$U$3000="DANI")*(INPUT!$V$3:$V$3000+INPUT!$W$3:$W$3000+INPUT!$X$3:$X$3000+INPUT!$Y$3:$Y$3000))),"")</f>
        <v>13</v>
      </c>
      <c r="EC7" s="42" cm="1">
        <f t="array" ref="EC7">IFERROR(IF(SUMPRODUCT((INPUT!$T$3:$T$3000=46052)*(INPUT!$U$3:$U$3000="DANI"))=0,"",SUMPRODUCT((INPUT!$T$3:$T$3000=46052)*(INPUT!$U$3:$U$3000="DANI")*(INPUT!$V$3:$V$3000+INPUT!$W$3:$W$3000+INPUT!$X$3:$X$3000+INPUT!$Y$3:$Y$3000))),"")</f>
        <v>17</v>
      </c>
      <c r="ED7" s="42" cm="1">
        <f t="array" ref="ED7">IFERROR(IF(SUMPRODUCT((INPUT!$T$3:$T$3000=46055)*(INPUT!$U$3:$U$3000="DANI"))=0,"",SUMPRODUCT((INPUT!$T$3:$T$3000=46055)*(INPUT!$U$3:$U$3000="DANI")*(INPUT!$V$3:$V$3000+INPUT!$W$3:$W$3000+INPUT!$X$3:$X$3000+INPUT!$Y$3:$Y$3000))),"")</f>
        <v>12</v>
      </c>
      <c r="EE7" s="42" cm="1">
        <f t="array" ref="EE7">IFERROR(IF(SUMPRODUCT((INPUT!$T$3:$T$3000=46056)*(INPUT!$U$3:$U$3000="DANI"))=0,"",SUMPRODUCT((INPUT!$T$3:$T$3000=46056)*(INPUT!$U$3:$U$3000="DANI")*(INPUT!$V$3:$V$3000+INPUT!$W$3:$W$3000+INPUT!$X$3:$X$3000+INPUT!$Y$3:$Y$3000))),"")</f>
        <v>13</v>
      </c>
      <c r="EF7" s="42" cm="1">
        <f t="array" ref="EF7">IFERROR(IF(SUMPRODUCT((INPUT!$T$3:$T$3000=46057)*(INPUT!$U$3:$U$3000="DANI"))=0,"",SUMPRODUCT((INPUT!$T$3:$T$3000=46057)*(INPUT!$U$3:$U$3000="DANI")*(INPUT!$V$3:$V$3000+INPUT!$W$3:$W$3000+INPUT!$X$3:$X$3000+INPUT!$Y$3:$Y$3000))),"")</f>
        <v>14</v>
      </c>
      <c r="EG7" s="42" cm="1">
        <f t="array" ref="EG7">IFERROR(IF(SUMPRODUCT((INPUT!$T$3:$T$3000=46058)*(INPUT!$U$3:$U$3000="DANI"))=0,"",SUMPRODUCT((INPUT!$T$3:$T$3000=46058)*(INPUT!$U$3:$U$3000="DANI")*(INPUT!$V$3:$V$3000+INPUT!$W$3:$W$3000+INPUT!$X$3:$X$3000+INPUT!$Y$3:$Y$3000))),"")</f>
        <v>13</v>
      </c>
      <c r="EH7" s="42" cm="1">
        <f t="array" ref="EH7">IFERROR(IF(SUMPRODUCT((INPUT!$T$3:$T$3000=46059)*(INPUT!$U$3:$U$3000="DANI"))=0,"",SUMPRODUCT((INPUT!$T$3:$T$3000=46059)*(INPUT!$U$3:$U$3000="DANI")*(INPUT!$V$3:$V$3000+INPUT!$W$3:$W$3000+INPUT!$X$3:$X$3000+INPUT!$Y$3:$Y$3000))),"")</f>
        <v>17</v>
      </c>
      <c r="EI7" s="42" cm="1">
        <f t="array" ref="EI7">IFERROR(IF(SUMPRODUCT((INPUT!$T$3:$T$3000=46061)*(INPUT!$U$3:$U$3000="DANI"))=0,"",SUMPRODUCT((INPUT!$T$3:$T$3000=46061)*(INPUT!$U$3:$U$3000="DANI")*(INPUT!$V$3:$V$3000+INPUT!$W$3:$W$3000+INPUT!$X$3:$X$3000+INPUT!$Y$3:$Y$3000))),"")</f>
        <v>10</v>
      </c>
      <c r="EJ7" s="42" cm="1">
        <f t="array" ref="EJ7">IFERROR(IF(SUMPRODUCT((INPUT!$T$3:$T$3000=46062)*(INPUT!$U$3:$U$3000="DANI"))=0,"",SUMPRODUCT((INPUT!$T$3:$T$3000=46062)*(INPUT!$U$3:$U$3000="DANI")*(INPUT!$V$3:$V$3000+INPUT!$W$3:$W$3000+INPUT!$X$3:$X$3000+INPUT!$Y$3:$Y$3000))),"")</f>
        <v>14</v>
      </c>
      <c r="EK7" s="42" cm="1">
        <f t="array" ref="EK7">IFERROR(IF(SUMPRODUCT((INPUT!$T$3:$T$3000=46063)*(INPUT!$U$3:$U$3000="DANI"))=0,"",SUMPRODUCT((INPUT!$T$3:$T$3000=46063)*(INPUT!$U$3:$U$3000="DANI")*(INPUT!$V$3:$V$3000+INPUT!$W$3:$W$3000+INPUT!$X$3:$X$3000+INPUT!$Y$3:$Y$3000))),"")</f>
        <v>15</v>
      </c>
      <c r="EL7" s="42" cm="1">
        <f t="array" ref="EL7">IFERROR(IF(SUMPRODUCT((INPUT!$T$3:$T$3000=46064)*(INPUT!$U$3:$U$3000="DANI"))=0,"",SUMPRODUCT((INPUT!$T$3:$T$3000=46064)*(INPUT!$U$3:$U$3000="DANI")*(INPUT!$V$3:$V$3000+INPUT!$W$3:$W$3000+INPUT!$X$3:$X$3000+INPUT!$Y$3:$Y$3000))),"")</f>
        <v>16</v>
      </c>
      <c r="EM7" s="42" t="str" cm="1">
        <f t="array" ref="EM7">IFERROR(IF(SUMPRODUCT((INPUT!$T$3:$T$3000=46065)*(INPUT!$U$3:$U$3000="DANI"))=0,"",SUMPRODUCT((INPUT!$T$3:$T$3000=46065)*(INPUT!$U$3:$U$3000="DANI")*(INPUT!$V$3:$V$3000+INPUT!$W$3:$W$3000+INPUT!$X$3:$X$3000+INPUT!$Y$3:$Y$3000))),"")</f>
        <v/>
      </c>
      <c r="EN7" s="42" cm="1">
        <f t="array" ref="EN7">IFERROR(IF(SUMPRODUCT((INPUT!$T$3:$T$3000=46066)*(INPUT!$U$3:$U$3000="DANI"))=0,"",SUMPRODUCT((INPUT!$T$3:$T$3000=46066)*(INPUT!$U$3:$U$3000="DANI")*(INPUT!$V$3:$V$3000+INPUT!$W$3:$W$3000+INPUT!$X$3:$X$3000+INPUT!$Y$3:$Y$3000))),"")</f>
        <v>13</v>
      </c>
      <c r="EO7" s="42" cm="1">
        <f t="array" ref="EO7">IFERROR(IF(SUMPRODUCT((INPUT!$T$3:$T$3000=46067)*(INPUT!$U$3:$U$3000="DANI"))=0,"",SUMPRODUCT((INPUT!$T$3:$T$3000=46067)*(INPUT!$U$3:$U$3000="DANI")*(INPUT!$V$3:$V$3000+INPUT!$W$3:$W$3000+INPUT!$X$3:$X$3000+INPUT!$Y$3:$Y$3000))),"")</f>
        <v>16</v>
      </c>
      <c r="EP7" s="42" cm="1">
        <f t="array" ref="EP7">IFERROR(IF(SUMPRODUCT((INPUT!$T$3:$T$3000=46069)*(INPUT!$U$3:$U$3000="DANI"))=0,"",SUMPRODUCT((INPUT!$T$3:$T$3000=46069)*(INPUT!$U$3:$U$3000="DANI")*(INPUT!$V$3:$V$3000+INPUT!$W$3:$W$3000+INPUT!$X$3:$X$3000+INPUT!$Y$3:$Y$3000))),"")</f>
        <v>11</v>
      </c>
      <c r="EQ7" s="42" cm="1">
        <f t="array" ref="EQ7">IFERROR(IF(SUMPRODUCT((INPUT!$T$3:$T$3000=46072)*(INPUT!$U$3:$U$3000="DANI"))=0,"",SUMPRODUCT((INPUT!$T$3:$T$3000=46072)*(INPUT!$U$3:$U$3000="DANI")*(INPUT!$V$3:$V$3000+INPUT!$W$3:$W$3000+INPUT!$X$3:$X$3000+INPUT!$Y$3:$Y$3000))),"")</f>
        <v>12</v>
      </c>
      <c r="ER7" s="42" cm="1">
        <f t="array" ref="ER7">IFERROR(IF(SUMPRODUCT((INPUT!$T$3:$T$3000=46073)*(INPUT!$U$3:$U$3000="DANI"))=0,"",SUMPRODUCT((INPUT!$T$3:$T$3000=46073)*(INPUT!$U$3:$U$3000="DANI")*(INPUT!$V$3:$V$3000+INPUT!$W$3:$W$3000+INPUT!$X$3:$X$3000+INPUT!$Y$3:$Y$3000))),"")</f>
        <v>11</v>
      </c>
      <c r="ES7" s="42" cm="1">
        <f t="array" ref="ES7">IFERROR(IF(SUMPRODUCT((INPUT!$T$3:$T$3000=46076)*(INPUT!$U$3:$U$3000="DANI"))=0,"",SUMPRODUCT((INPUT!$T$3:$T$3000=46076)*(INPUT!$U$3:$U$3000="DANI")*(INPUT!$V$3:$V$3000+INPUT!$W$3:$W$3000+INPUT!$X$3:$X$3000+INPUT!$Y$3:$Y$3000))),"")</f>
        <v>12</v>
      </c>
      <c r="ET7" s="42" cm="1">
        <f t="array" ref="ET7">IFERROR(IF(SUMPRODUCT((INPUT!$T$3:$T$3000=46077)*(INPUT!$U$3:$U$3000="DANI"))=0,"",SUMPRODUCT((INPUT!$T$3:$T$3000=46077)*(INPUT!$U$3:$U$3000="DANI")*(INPUT!$V$3:$V$3000+INPUT!$W$3:$W$3000+INPUT!$X$3:$X$3000+INPUT!$Y$3:$Y$3000))),"")</f>
        <v>12</v>
      </c>
      <c r="EU7" s="42" cm="1">
        <f t="array" ref="EU7">IFERROR(IF(SUMPRODUCT((INPUT!$T$3:$T$3000=46078)*(INPUT!$U$3:$U$3000="DANI"))=0,"",SUMPRODUCT((INPUT!$T$3:$T$3000=46078)*(INPUT!$U$3:$U$3000="DANI")*(INPUT!$V$3:$V$3000+INPUT!$W$3:$W$3000+INPUT!$X$3:$X$3000+INPUT!$Y$3:$Y$3000))),"")</f>
        <v>11</v>
      </c>
      <c r="EV7" s="42" cm="1">
        <f t="array" ref="EV7">IFERROR(IF(SUMPRODUCT((INPUT!$T$3:$T$3000=46079)*(INPUT!$U$3:$U$3000="DANI"))=0,"",SUMPRODUCT((INPUT!$T$3:$T$3000=46079)*(INPUT!$U$3:$U$3000="DANI")*(INPUT!$V$3:$V$3000+INPUT!$W$3:$W$3000+INPUT!$X$3:$X$3000+INPUT!$Y$3:$Y$3000))),"")</f>
        <v>12</v>
      </c>
      <c r="EW7" s="42" cm="1">
        <f t="array" ref="EW7">IFERROR(IF(SUMPRODUCT((INPUT!$T$3:$T$3000=46080)*(INPUT!$U$3:$U$3000="DANI"))=0,"",SUMPRODUCT((INPUT!$T$3:$T$3000=46080)*(INPUT!$U$3:$U$3000="DANI")*(INPUT!$V$3:$V$3000+INPUT!$W$3:$W$3000+INPUT!$X$3:$X$3000+INPUT!$Y$3:$Y$3000))),"")</f>
        <v>13</v>
      </c>
      <c r="EX7" s="42" cm="1">
        <f t="array" ref="EX7">IFERROR(IF(SUMPRODUCT((INPUT!$T$3:$T$3000=46082)*(INPUT!$U$3:$U$3000="DANI"))=0,"",SUMPRODUCT((INPUT!$T$3:$T$3000=46082)*(INPUT!$U$3:$U$3000="DANI")*(INPUT!$V$3:$V$3000+INPUT!$W$3:$W$3000+INPUT!$X$3:$X$3000+INPUT!$Y$3:$Y$3000))),"")</f>
        <v>13</v>
      </c>
      <c r="EY7" s="42" cm="1">
        <f t="array" ref="EY7">IFERROR(IF(SUMPRODUCT((INPUT!$T$3:$T$3000=46084)*(INPUT!$U$3:$U$3000="DANI"))=0,"",SUMPRODUCT((INPUT!$T$3:$T$3000=46084)*(INPUT!$U$3:$U$3000="DANI")*(INPUT!$V$3:$V$3000+INPUT!$W$3:$W$3000+INPUT!$X$3:$X$3000+INPUT!$Y$3:$Y$3000))),"")</f>
        <v>15</v>
      </c>
      <c r="EZ7" s="42" cm="1">
        <f t="array" ref="EZ7">IFERROR(IF(SUMPRODUCT((INPUT!$T$3:$T$3000=46085)*(INPUT!$U$3:$U$3000="DANI"))=0,"",SUMPRODUCT((INPUT!$T$3:$T$3000=46085)*(INPUT!$U$3:$U$3000="DANI")*(INPUT!$V$3:$V$3000+INPUT!$W$3:$W$3000+INPUT!$X$3:$X$3000+INPUT!$Y$3:$Y$3000))),"")</f>
        <v>15</v>
      </c>
      <c r="FA7" s="42" cm="1">
        <f t="array" ref="FA7">IFERROR(IF(SUMPRODUCT((INPUT!$T$3:$T$3000=46086)*(INPUT!$U$3:$U$3000="DANI"))=0,"",SUMPRODUCT((INPUT!$T$3:$T$3000=46086)*(INPUT!$U$3:$U$3000="DANI")*(INPUT!$V$3:$V$3000+INPUT!$W$3:$W$3000+INPUT!$X$3:$X$3000+INPUT!$Y$3:$Y$3000))),"")</f>
        <v>15</v>
      </c>
      <c r="FB7" s="42" cm="1">
        <f t="array" ref="FB7">IFERROR(IF(SUMPRODUCT((INPUT!$T$3:$T$3000=46087)*(INPUT!$U$3:$U$3000="DANI"))=0,"",SUMPRODUCT((INPUT!$T$3:$T$3000=46087)*(INPUT!$U$3:$U$3000="DANI")*(INPUT!$V$3:$V$3000+INPUT!$W$3:$W$3000+INPUT!$X$3:$X$3000+INPUT!$Y$3:$Y$3000))),"")</f>
        <v>19</v>
      </c>
      <c r="FC7" s="42" t="str" cm="1">
        <f t="array" ref="FC7">IFERROR(IF(SUMPRODUCT((INPUT!$T$3:$T$3000=46090)*(INPUT!$U$3:$U$3000="DANI"))=0,"",SUMPRODUCT((INPUT!$T$3:$T$3000=46090)*(INPUT!$U$3:$U$3000="DANI")*(INPUT!$V$3:$V$3000+INPUT!$W$3:$W$3000+INPUT!$X$3:$X$3000+INPUT!$Y$3:$Y$3000))),"")</f>
        <v/>
      </c>
      <c r="FD7" s="42" cm="1">
        <f t="array" ref="FD7">IFERROR(IF(SUMPRODUCT((INPUT!$T$3:$T$3000=46091)*(INPUT!$U$3:$U$3000="DANI"))=0,"",SUMPRODUCT((INPUT!$T$3:$T$3000=46091)*(INPUT!$U$3:$U$3000="DANI")*(INPUT!$V$3:$V$3000+INPUT!$W$3:$W$3000+INPUT!$X$3:$X$3000+INPUT!$Y$3:$Y$3000))),"")</f>
        <v>16</v>
      </c>
      <c r="FE7" s="42" cm="1">
        <f t="array" ref="FE7">IFERROR(IF(SUMPRODUCT((INPUT!$T$3:$T$3000=46092)*(INPUT!$U$3:$U$3000="DANI"))=0,"",SUMPRODUCT((INPUT!$T$3:$T$3000=46092)*(INPUT!$U$3:$U$3000="DANI")*(INPUT!$V$3:$V$3000+INPUT!$W$3:$W$3000+INPUT!$X$3:$X$3000+INPUT!$Y$3:$Y$3000))),"")</f>
        <v>16</v>
      </c>
      <c r="FF7" s="42" cm="1">
        <f t="array" ref="FF7">IFERROR(IF(SUMPRODUCT((INPUT!$T$3:$T$3000=46093)*(INPUT!$U$3:$U$3000="DANI"))=0,"",SUMPRODUCT((INPUT!$T$3:$T$3000=46093)*(INPUT!$U$3:$U$3000="DANI")*(INPUT!$V$3:$V$3000+INPUT!$W$3:$W$3000+INPUT!$X$3:$X$3000+INPUT!$Y$3:$Y$3000))),"")</f>
        <v>16</v>
      </c>
      <c r="FG7" s="42" cm="1">
        <f t="array" ref="FG7">IFERROR(IF(SUMPRODUCT((INPUT!$T$3:$T$3000=46094)*(INPUT!$U$3:$U$3000="DANI"))=0,"",SUMPRODUCT((INPUT!$T$3:$T$3000=46094)*(INPUT!$U$3:$U$3000="DANI")*(INPUT!$V$3:$V$3000+INPUT!$W$3:$W$3000+INPUT!$X$3:$X$3000+INPUT!$Y$3:$Y$3000))),"")</f>
        <v>17</v>
      </c>
      <c r="FH7" s="42" cm="1">
        <f t="array" ref="FH7">IFERROR(IF(SUMPRODUCT((INPUT!$T$3:$T$3000=46096)*(INPUT!$U$3:$U$3000="DANI"))=0,"",SUMPRODUCT((INPUT!$T$3:$T$3000=46096)*(INPUT!$U$3:$U$3000="DANI")*(INPUT!$V$3:$V$3000+INPUT!$W$3:$W$3000+INPUT!$X$3:$X$3000+INPUT!$Y$3:$Y$3000))),"")</f>
        <v>17</v>
      </c>
      <c r="FI7" s="42" cm="1">
        <f t="array" ref="FI7">IFERROR(IF(SUMPRODUCT((INPUT!$T$3:$T$3000=46097)*(INPUT!$U$3:$U$3000="DANI"))=0,"",SUMPRODUCT((INPUT!$T$3:$T$3000=46097)*(INPUT!$U$3:$U$3000="DANI")*(INPUT!$V$3:$V$3000+INPUT!$W$3:$W$3000+INPUT!$X$3:$X$3000+INPUT!$Y$3:$Y$3000))),"")</f>
        <v>15</v>
      </c>
      <c r="FJ7" s="42" cm="1">
        <f t="array" ref="FJ7">IFERROR(IF(SUMPRODUCT((INPUT!$T$3:$T$3000=46098)*(INPUT!$U$3:$U$3000="DANI"))=0,"",SUMPRODUCT((INPUT!$T$3:$T$3000=46098)*(INPUT!$U$3:$U$3000="DANI")*(INPUT!$V$3:$V$3000+INPUT!$W$3:$W$3000+INPUT!$X$3:$X$3000+INPUT!$Y$3:$Y$3000))),"")</f>
        <v>16</v>
      </c>
      <c r="FK7" s="42" cm="1">
        <f t="array" ref="FK7">IFERROR(IF(SUMPRODUCT((INPUT!$T$3:$T$3000=46099)*(INPUT!$U$3:$U$3000="DANI"))=0,"",SUMPRODUCT((INPUT!$T$3:$T$3000=46099)*(INPUT!$U$3:$U$3000="DANI")*(INPUT!$V$3:$V$3000+INPUT!$W$3:$W$3000+INPUT!$X$3:$X$3000+INPUT!$Y$3:$Y$3000))),"")</f>
        <v>20</v>
      </c>
      <c r="FL7" s="42" cm="1">
        <f t="array" ref="FL7">IFERROR(IF(SUMPRODUCT((INPUT!$T$3:$T$3000=46102)*(INPUT!$U$3:$U$3000="DANI"))=0,"",SUMPRODUCT((INPUT!$T$3:$T$3000=46102)*(INPUT!$U$3:$U$3000="DANI")*(INPUT!$V$3:$V$3000+INPUT!$W$3:$W$3000+INPUT!$X$3:$X$3000+INPUT!$Y$3:$Y$3000))),"")</f>
        <v>20</v>
      </c>
      <c r="FM7" s="42" cm="1">
        <f t="array" ref="FM7">IFERROR(IF(SUMPRODUCT((INPUT!$T$3:$T$3000=46105)*(INPUT!$U$3:$U$3000="DANI"))=0,"",SUMPRODUCT((INPUT!$T$3:$T$3000=46105)*(INPUT!$U$3:$U$3000="DANI")*(INPUT!$V$3:$V$3000+INPUT!$W$3:$W$3000+INPUT!$X$3:$X$3000+INPUT!$Y$3:$Y$3000))),"")</f>
        <v>15</v>
      </c>
      <c r="FN7" s="42" cm="1">
        <f t="array" ref="FN7">IFERROR(IF(SUMPRODUCT((INPUT!$T$3:$T$3000=46106)*(INPUT!$U$3:$U$3000="DANI"))=0,"",SUMPRODUCT((INPUT!$T$3:$T$3000=46106)*(INPUT!$U$3:$U$3000="DANI")*(INPUT!$V$3:$V$3000+INPUT!$W$3:$W$3000+INPUT!$X$3:$X$3000+INPUT!$Y$3:$Y$3000))),"")</f>
        <v>16</v>
      </c>
      <c r="FO7" s="42" cm="1">
        <f t="array" ref="FO7">IFERROR(IF(SUMPRODUCT((INPUT!$T$3:$T$3000=46107)*(INPUT!$U$3:$U$3000="DANI"))=0,"",SUMPRODUCT((INPUT!$T$3:$T$3000=46107)*(INPUT!$U$3:$U$3000="DANI")*(INPUT!$V$3:$V$3000+INPUT!$W$3:$W$3000+INPUT!$X$3:$X$3000+INPUT!$Y$3:$Y$3000))),"")</f>
        <v>16</v>
      </c>
      <c r="FP7" s="42" t="str" cm="1">
        <f t="array" ref="FP7">IFERROR(IF(SUMPRODUCT((INPUT!$T$3:$T$3000=46108)*(INPUT!$U$3:$U$3000="DANI"))=0,"",SUMPRODUCT((INPUT!$T$3:$T$3000=46108)*(INPUT!$U$3:$U$3000="DANI")*(INPUT!$V$3:$V$3000+INPUT!$W$3:$W$3000+INPUT!$X$3:$X$3000+INPUT!$Y$3:$Y$3000))),"")</f>
        <v/>
      </c>
      <c r="FQ7" s="42" t="str" cm="1">
        <f t="array" ref="FQ7">IFERROR(IF(SUMPRODUCT((INPUT!$T$3:$T$3000=46109)*(INPUT!$U$3:$U$3000="DANI"))=0,"",SUMPRODUCT((INPUT!$T$3:$T$3000=46109)*(INPUT!$U$3:$U$3000="DANI")*(INPUT!$V$3:$V$3000+INPUT!$W$3:$W$3000+INPUT!$X$3:$X$3000+INPUT!$Y$3:$Y$3000))),"")</f>
        <v/>
      </c>
      <c r="FR7" s="42" t="str" cm="1">
        <f t="array" ref="FR7">IFERROR(IF(SUMPRODUCT((INPUT!$T$3:$T$3000=46111)*(INPUT!$U$3:$U$3000="DANI"))=0,"",SUMPRODUCT((INPUT!$T$3:$T$3000=46111)*(INPUT!$U$3:$U$3000="DANI")*(INPUT!$V$3:$V$3000+INPUT!$W$3:$W$3000+INPUT!$X$3:$X$3000+INPUT!$Y$3:$Y$3000))),"")</f>
        <v/>
      </c>
      <c r="FS7" s="42" t="str" cm="1">
        <f t="array" ref="FS7">IFERROR(IF(SUMPRODUCT((INPUT!$T$3:$T$3000=46112)*(INPUT!$U$3:$U$3000="DANI"))=0,"",SUMPRODUCT((INPUT!$T$3:$T$3000=46112)*(INPUT!$U$3:$U$3000="DANI")*(INPUT!$V$3:$V$3000+INPUT!$W$3:$W$3000+INPUT!$X$3:$X$3000+INPUT!$Y$3:$Y$3000))),"")</f>
        <v/>
      </c>
      <c r="FT7" s="42" t="str" cm="1">
        <f t="array" ref="FT7">IFERROR(IF(SUMPRODUCT((INPUT!$T$3:$T$3000=46113)*(INPUT!$U$3:$U$3000="DANI"))=0,"",SUMPRODUCT((INPUT!$T$3:$T$3000=46113)*(INPUT!$U$3:$U$3000="DANI")*(INPUT!$V$3:$V$3000+INPUT!$W$3:$W$3000+INPUT!$X$3:$X$3000+INPUT!$Y$3:$Y$3000))),"")</f>
        <v/>
      </c>
      <c r="FU7" s="42" cm="1">
        <f t="array" ref="FU7">IFERROR(IF(SUMPRODUCT((INPUT!$T$3:$T$3000=46114)*(INPUT!$U$3:$U$3000="DANI"))=0,"",SUMPRODUCT((INPUT!$T$3:$T$3000=46114)*(INPUT!$U$3:$U$3000="DANI")*(INPUT!$V$3:$V$3000+INPUT!$W$3:$W$3000+INPUT!$X$3:$X$3000+INPUT!$Y$3:$Y$3000))),"")</f>
        <v>16</v>
      </c>
      <c r="FV7" s="42" cm="1">
        <f t="array" ref="FV7">IFERROR(IF(SUMPRODUCT((INPUT!$T$3:$T$3000=46115)*(INPUT!$U$3:$U$3000="DANI"))=0,"",SUMPRODUCT((INPUT!$T$3:$T$3000=46115)*(INPUT!$U$3:$U$3000="DANI")*(INPUT!$V$3:$V$3000+INPUT!$W$3:$W$3000+INPUT!$X$3:$X$3000+INPUT!$Y$3:$Y$3000))),"")</f>
        <v>15</v>
      </c>
      <c r="FW7" s="42" cm="1">
        <f t="array" ref="FW7">IFERROR(IF(SUMPRODUCT((INPUT!$T$3:$T$3000=46116)*(INPUT!$U$3:$U$3000="DANI"))=0,"",SUMPRODUCT((INPUT!$T$3:$T$3000=46116)*(INPUT!$U$3:$U$3000="DANI")*(INPUT!$V$3:$V$3000+INPUT!$W$3:$W$3000+INPUT!$X$3:$X$3000+INPUT!$Y$3:$Y$3000))),"")</f>
        <v>15</v>
      </c>
      <c r="FX7" s="42" cm="1">
        <f t="array" ref="FX7">IFERROR(IF(SUMPRODUCT((INPUT!$T$3:$T$3000=46118)*(INPUT!$U$3:$U$3000="DANI"))=0,"",SUMPRODUCT((INPUT!$T$3:$T$3000=46118)*(INPUT!$U$3:$U$3000="DANI")*(INPUT!$V$3:$V$3000+INPUT!$W$3:$W$3000+INPUT!$X$3:$X$3000+INPUT!$Y$3:$Y$3000))),"")</f>
        <v>16</v>
      </c>
      <c r="FY7" s="42" cm="1">
        <f t="array" ref="FY7">IFERROR(IF(SUMPRODUCT((INPUT!$T$3:$T$3000=46119)*(INPUT!$U$3:$U$3000="DANI"))=0,"",SUMPRODUCT((INPUT!$T$3:$T$3000=46119)*(INPUT!$U$3:$U$3000="DANI")*(INPUT!$V$3:$V$3000+INPUT!$W$3:$W$3000+INPUT!$X$3:$X$3000+INPUT!$Y$3:$Y$3000))),"")</f>
        <v>16</v>
      </c>
      <c r="FZ7" s="42" cm="1">
        <f t="array" ref="FZ7">IFERROR(IF(SUMPRODUCT((INPUT!$T$3:$T$3000=46120)*(INPUT!$U$3:$U$3000="DANI"))=0,"",SUMPRODUCT((INPUT!$T$3:$T$3000=46120)*(INPUT!$U$3:$U$3000="DANI")*(INPUT!$V$3:$V$3000+INPUT!$W$3:$W$3000+INPUT!$X$3:$X$3000+INPUT!$Y$3:$Y$3000))),"")</f>
        <v>12</v>
      </c>
      <c r="GA7" s="42" cm="1">
        <f t="array" ref="GA7">IFERROR(IF(SUMPRODUCT((INPUT!$T$3:$T$3000=46121)*(INPUT!$U$3:$U$3000="DANI"))=0,"",SUMPRODUCT((INPUT!$T$3:$T$3000=46121)*(INPUT!$U$3:$U$3000="DANI")*(INPUT!$V$3:$V$3000+INPUT!$W$3:$W$3000+INPUT!$X$3:$X$3000+INPUT!$Y$3:$Y$3000))),"")</f>
        <v>16</v>
      </c>
      <c r="GB7" s="42" cm="1">
        <f t="array" ref="GB7">IFERROR(IF(SUMPRODUCT((INPUT!$T$3:$T$3000=46122)*(INPUT!$U$3:$U$3000="DANI"))=0,"",SUMPRODUCT((INPUT!$T$3:$T$3000=46122)*(INPUT!$U$3:$U$3000="DANI")*(INPUT!$V$3:$V$3000+INPUT!$W$3:$W$3000+INPUT!$X$3:$X$3000+INPUT!$Y$3:$Y$3000))),"")</f>
        <v>16</v>
      </c>
      <c r="GC7" s="42" cm="1">
        <f t="array" ref="GC7">IFERROR(IF(SUMPRODUCT((INPUT!$T$3:$T$3000=46125)*(INPUT!$U$3:$U$3000="DANI"))=0,"",SUMPRODUCT((INPUT!$T$3:$T$3000=46125)*(INPUT!$U$3:$U$3000="DANI")*(INPUT!$V$3:$V$3000+INPUT!$W$3:$W$3000+INPUT!$X$3:$X$3000+INPUT!$Y$3:$Y$3000))),"")</f>
        <v>13</v>
      </c>
      <c r="GD7" s="42" cm="1">
        <f t="array" ref="GD7">IFERROR(IF(SUMPRODUCT((INPUT!$T$3:$T$3000=46126)*(INPUT!$U$3:$U$3000="DANI"))=0,"",SUMPRODUCT((INPUT!$T$3:$T$3000=46126)*(INPUT!$U$3:$U$3000="DANI")*(INPUT!$V$3:$V$3000+INPUT!$W$3:$W$3000+INPUT!$X$3:$X$3000+INPUT!$Y$3:$Y$3000))),"")</f>
        <v>16</v>
      </c>
      <c r="GE7" s="42" cm="1">
        <f t="array" ref="GE7">IFERROR(IF(SUMPRODUCT((INPUT!$T$3:$T$3000=46127)*(INPUT!$U$3:$U$3000="DANI"))=0,"",SUMPRODUCT((INPUT!$T$3:$T$3000=46127)*(INPUT!$U$3:$U$3000="DANI")*(INPUT!$V$3:$V$3000+INPUT!$W$3:$W$3000+INPUT!$X$3:$X$3000+INPUT!$Y$3:$Y$3000))),"")</f>
        <v>16</v>
      </c>
      <c r="GF7" s="42" cm="1">
        <f t="array" ref="GF7">IFERROR(IF(SUMPRODUCT((INPUT!$T$3:$T$3000=46128)*(INPUT!$U$3:$U$3000="DANI"))=0,"",SUMPRODUCT((INPUT!$T$3:$T$3000=46128)*(INPUT!$U$3:$U$3000="DANI")*(INPUT!$V$3:$V$3000+INPUT!$W$3:$W$3000+INPUT!$X$3:$X$3000+INPUT!$Y$3:$Y$3000))),"")</f>
        <v>12</v>
      </c>
      <c r="GG7" s="42" t="str" cm="1">
        <f t="array" ref="GG7">IFERROR(IF(SUMPRODUCT((INPUT!$T$3:$T$3000=46129)*(INPUT!$U$3:$U$3000="DANI"))=0,"",SUMPRODUCT((INPUT!$T$3:$T$3000=46129)*(INPUT!$U$3:$U$3000="DANI")*(INPUT!$V$3:$V$3000+INPUT!$W$3:$W$3000+INPUT!$X$3:$X$3000+INPUT!$Y$3:$Y$3000))),"")</f>
        <v/>
      </c>
      <c r="GH7" s="42" t="str" cm="1">
        <f t="array" ref="GH7">IFERROR(IF(SUMPRODUCT((INPUT!$T$3:$T$3000=46130)*(INPUT!$U$3:$U$3000="DANI"))=0,"",SUMPRODUCT((INPUT!$T$3:$T$3000=46130)*(INPUT!$U$3:$U$3000="DANI")*(INPUT!$V$3:$V$3000+INPUT!$W$3:$W$3000+INPUT!$X$3:$X$3000+INPUT!$Y$3:$Y$3000))),"")</f>
        <v/>
      </c>
      <c r="GI7" s="42" cm="1">
        <f t="array" ref="GI7">IFERROR(IF(SUMPRODUCT((INPUT!$T$3:$T$3000=46132)*(INPUT!$U$3:$U$3000="DANI"))=0,"",SUMPRODUCT((INPUT!$T$3:$T$3000=46132)*(INPUT!$U$3:$U$3000="DANI")*(INPUT!$V$3:$V$3000+INPUT!$W$3:$W$3000+INPUT!$X$3:$X$3000+INPUT!$Y$3:$Y$3000))),"")</f>
        <v>13</v>
      </c>
    </row>
    <row r="8" spans="1:191" x14ac:dyDescent="0.2">
      <c r="A8" t="s">
        <v>42</v>
      </c>
      <c r="B8" s="42" cm="1">
        <f t="array" ref="B8">IFERROR(IF(SUMPRODUCT((INPUT!$T$3:$T$3000=45868)*(INPUT!$U$3:$U$3000="GARCIA"))=0,"",SUMPRODUCT((INPUT!$T$3:$T$3000=45868)*(INPUT!$U$3:$U$3000="GARCIA")*(INPUT!$V$3:$V$3000+INPUT!$W$3:$W$3000+INPUT!$X$3:$X$3000+INPUT!$Y$3:$Y$3000))),"")</f>
        <v>19</v>
      </c>
      <c r="C8" s="42" cm="1">
        <f t="array" ref="C8">IFERROR(IF(SUMPRODUCT((INPUT!$T$3:$T$3000=45869)*(INPUT!$U$3:$U$3000="GARCIA"))=0,"",SUMPRODUCT((INPUT!$T$3:$T$3000=45869)*(INPUT!$U$3:$U$3000="GARCIA")*(INPUT!$V$3:$V$3000+INPUT!$W$3:$W$3000+INPUT!$X$3:$X$3000+INPUT!$Y$3:$Y$3000))),"")</f>
        <v>17</v>
      </c>
      <c r="D8" s="42" cm="1">
        <f t="array" ref="D8">IFERROR(IF(SUMPRODUCT((INPUT!$T$3:$T$3000=45870)*(INPUT!$U$3:$U$3000="GARCIA"))=0,"",SUMPRODUCT((INPUT!$T$3:$T$3000=45870)*(INPUT!$U$3:$U$3000="GARCIA")*(INPUT!$V$3:$V$3000+INPUT!$W$3:$W$3000+INPUT!$X$3:$X$3000+INPUT!$Y$3:$Y$3000))),"")</f>
        <v>17</v>
      </c>
      <c r="E8" s="42" cm="1">
        <f t="array" ref="E8">IFERROR(IF(SUMPRODUCT((INPUT!$T$3:$T$3000=45873)*(INPUT!$U$3:$U$3000="GARCIA"))=0,"",SUMPRODUCT((INPUT!$T$3:$T$3000=45873)*(INPUT!$U$3:$U$3000="GARCIA")*(INPUT!$V$3:$V$3000+INPUT!$W$3:$W$3000+INPUT!$X$3:$X$3000+INPUT!$Y$3:$Y$3000))),"")</f>
        <v>18</v>
      </c>
      <c r="F8" s="42" cm="1">
        <f t="array" ref="F8">IFERROR(IF(SUMPRODUCT((INPUT!$T$3:$T$3000=45874)*(INPUT!$U$3:$U$3000="GARCIA"))=0,"",SUMPRODUCT((INPUT!$T$3:$T$3000=45874)*(INPUT!$U$3:$U$3000="GARCIA")*(INPUT!$V$3:$V$3000+INPUT!$W$3:$W$3000+INPUT!$X$3:$X$3000+INPUT!$Y$3:$Y$3000))),"")</f>
        <v>16</v>
      </c>
      <c r="G8" s="42" cm="1">
        <f t="array" ref="G8">IFERROR(IF(SUMPRODUCT((INPUT!$T$3:$T$3000=45875)*(INPUT!$U$3:$U$3000="GARCIA"))=0,"",SUMPRODUCT((INPUT!$T$3:$T$3000=45875)*(INPUT!$U$3:$U$3000="GARCIA")*(INPUT!$V$3:$V$3000+INPUT!$W$3:$W$3000+INPUT!$X$3:$X$3000+INPUT!$Y$3:$Y$3000))),"")</f>
        <v>17</v>
      </c>
      <c r="H8" s="42" cm="1">
        <f t="array" ref="H8">IFERROR(IF(SUMPRODUCT((INPUT!$T$3:$T$3000=45876)*(INPUT!$U$3:$U$3000="GARCIA"))=0,"",SUMPRODUCT((INPUT!$T$3:$T$3000=45876)*(INPUT!$U$3:$U$3000="GARCIA")*(INPUT!$V$3:$V$3000+INPUT!$W$3:$W$3000+INPUT!$X$3:$X$3000+INPUT!$Y$3:$Y$3000))),"")</f>
        <v>17</v>
      </c>
      <c r="I8" s="42" cm="1">
        <f t="array" ref="I8">IFERROR(IF(SUMPRODUCT((INPUT!$T$3:$T$3000=45877)*(INPUT!$U$3:$U$3000="GARCIA"))=0,"",SUMPRODUCT((INPUT!$T$3:$T$3000=45877)*(INPUT!$U$3:$U$3000="GARCIA")*(INPUT!$V$3:$V$3000+INPUT!$W$3:$W$3000+INPUT!$X$3:$X$3000+INPUT!$Y$3:$Y$3000))),"")</f>
        <v>17</v>
      </c>
      <c r="J8" s="42" cm="1">
        <f t="array" ref="J8">IFERROR(IF(SUMPRODUCT((INPUT!$T$3:$T$3000=45878)*(INPUT!$U$3:$U$3000="GARCIA"))=0,"",SUMPRODUCT((INPUT!$T$3:$T$3000=45878)*(INPUT!$U$3:$U$3000="GARCIA")*(INPUT!$V$3:$V$3000+INPUT!$W$3:$W$3000+INPUT!$X$3:$X$3000+INPUT!$Y$3:$Y$3000))),"")</f>
        <v>17</v>
      </c>
      <c r="K8" s="42" cm="1">
        <f t="array" ref="K8">IFERROR(IF(SUMPRODUCT((INPUT!$T$3:$T$3000=45880)*(INPUT!$U$3:$U$3000="GARCIA"))=0,"",SUMPRODUCT((INPUT!$T$3:$T$3000=45880)*(INPUT!$U$3:$U$3000="GARCIA")*(INPUT!$V$3:$V$3000+INPUT!$W$3:$W$3000+INPUT!$X$3:$X$3000+INPUT!$Y$3:$Y$3000))),"")</f>
        <v>16</v>
      </c>
      <c r="L8" s="42" cm="1">
        <f t="array" ref="L8">IFERROR(IF(SUMPRODUCT((INPUT!$T$3:$T$3000=45881)*(INPUT!$U$3:$U$3000="GARCIA"))=0,"",SUMPRODUCT((INPUT!$T$3:$T$3000=45881)*(INPUT!$U$3:$U$3000="GARCIA")*(INPUT!$V$3:$V$3000+INPUT!$W$3:$W$3000+INPUT!$X$3:$X$3000+INPUT!$Y$3:$Y$3000))),"")</f>
        <v>17</v>
      </c>
      <c r="M8" s="42" cm="1">
        <f t="array" ref="M8">IFERROR(IF(SUMPRODUCT((INPUT!$T$3:$T$3000=45882)*(INPUT!$U$3:$U$3000="GARCIA"))=0,"",SUMPRODUCT((INPUT!$T$3:$T$3000=45882)*(INPUT!$U$3:$U$3000="GARCIA")*(INPUT!$V$3:$V$3000+INPUT!$W$3:$W$3000+INPUT!$X$3:$X$3000+INPUT!$Y$3:$Y$3000))),"")</f>
        <v>17</v>
      </c>
      <c r="N8" s="42" cm="1">
        <f t="array" ref="N8">IFERROR(IF(SUMPRODUCT((INPUT!$T$3:$T$3000=45883)*(INPUT!$U$3:$U$3000="GARCIA"))=0,"",SUMPRODUCT((INPUT!$T$3:$T$3000=45883)*(INPUT!$U$3:$U$3000="GARCIA")*(INPUT!$V$3:$V$3000+INPUT!$W$3:$W$3000+INPUT!$X$3:$X$3000+INPUT!$Y$3:$Y$3000))),"")</f>
        <v>17</v>
      </c>
      <c r="O8" s="42" cm="1">
        <f t="array" ref="O8">IFERROR(IF(SUMPRODUCT((INPUT!$T$3:$T$3000=45884)*(INPUT!$U$3:$U$3000="GARCIA"))=0,"",SUMPRODUCT((INPUT!$T$3:$T$3000=45884)*(INPUT!$U$3:$U$3000="GARCIA")*(INPUT!$V$3:$V$3000+INPUT!$W$3:$W$3000+INPUT!$X$3:$X$3000+INPUT!$Y$3:$Y$3000))),"")</f>
        <v>16</v>
      </c>
      <c r="P8" s="42" cm="1">
        <f t="array" ref="P8">IFERROR(IF(SUMPRODUCT((INPUT!$T$3:$T$3000=45887)*(INPUT!$U$3:$U$3000="GARCIA"))=0,"",SUMPRODUCT((INPUT!$T$3:$T$3000=45887)*(INPUT!$U$3:$U$3000="GARCIA")*(INPUT!$V$3:$V$3000+INPUT!$W$3:$W$3000+INPUT!$X$3:$X$3000+INPUT!$Y$3:$Y$3000))),"")</f>
        <v>17</v>
      </c>
      <c r="Q8" s="42" cm="1">
        <f t="array" ref="Q8">IFERROR(IF(SUMPRODUCT((INPUT!$T$3:$T$3000=45888)*(INPUT!$U$3:$U$3000="GARCIA"))=0,"",SUMPRODUCT((INPUT!$T$3:$T$3000=45888)*(INPUT!$U$3:$U$3000="GARCIA")*(INPUT!$V$3:$V$3000+INPUT!$W$3:$W$3000+INPUT!$X$3:$X$3000+INPUT!$Y$3:$Y$3000))),"")</f>
        <v>16</v>
      </c>
      <c r="R8" s="42" cm="1">
        <f t="array" ref="R8">IFERROR(IF(SUMPRODUCT((INPUT!$T$3:$T$3000=45889)*(INPUT!$U$3:$U$3000="GARCIA"))=0,"",SUMPRODUCT((INPUT!$T$3:$T$3000=45889)*(INPUT!$U$3:$U$3000="GARCIA")*(INPUT!$V$3:$V$3000+INPUT!$W$3:$W$3000+INPUT!$X$3:$X$3000+INPUT!$Y$3:$Y$3000))),"")</f>
        <v>16</v>
      </c>
      <c r="S8" s="42" cm="1">
        <f t="array" ref="S8">IFERROR(IF(SUMPRODUCT((INPUT!$T$3:$T$3000=45890)*(INPUT!$U$3:$U$3000="GARCIA"))=0,"",SUMPRODUCT((INPUT!$T$3:$T$3000=45890)*(INPUT!$U$3:$U$3000="GARCIA")*(INPUT!$V$3:$V$3000+INPUT!$W$3:$W$3000+INPUT!$X$3:$X$3000+INPUT!$Y$3:$Y$3000))),"")</f>
        <v>17</v>
      </c>
      <c r="T8" s="42" cm="1">
        <f t="array" ref="T8">IFERROR(IF(SUMPRODUCT((INPUT!$T$3:$T$3000=45891)*(INPUT!$U$3:$U$3000="GARCIA"))=0,"",SUMPRODUCT((INPUT!$T$3:$T$3000=45891)*(INPUT!$U$3:$U$3000="GARCIA")*(INPUT!$V$3:$V$3000+INPUT!$W$3:$W$3000+INPUT!$X$3:$X$3000+INPUT!$Y$3:$Y$3000))),"")</f>
        <v>17</v>
      </c>
      <c r="U8" s="42" cm="1">
        <f t="array" ref="U8">IFERROR(IF(SUMPRODUCT((INPUT!$T$3:$T$3000=45892)*(INPUT!$U$3:$U$3000="GARCIA"))=0,"",SUMPRODUCT((INPUT!$T$3:$T$3000=45892)*(INPUT!$U$3:$U$3000="GARCIA")*(INPUT!$V$3:$V$3000+INPUT!$W$3:$W$3000+INPUT!$X$3:$X$3000+INPUT!$Y$3:$Y$3000))),"")</f>
        <v>17</v>
      </c>
      <c r="V8" s="42" cm="1">
        <f t="array" ref="V8">IFERROR(IF(SUMPRODUCT((INPUT!$T$3:$T$3000=45893)*(INPUT!$U$3:$U$3000="GARCIA"))=0,"",SUMPRODUCT((INPUT!$T$3:$T$3000=45893)*(INPUT!$U$3:$U$3000="GARCIA")*(INPUT!$V$3:$V$3000+INPUT!$W$3:$W$3000+INPUT!$X$3:$X$3000+INPUT!$Y$3:$Y$3000))),"")</f>
        <v>17</v>
      </c>
      <c r="W8" s="42" cm="1">
        <f t="array" ref="W8">IFERROR(IF(SUMPRODUCT((INPUT!$T$3:$T$3000=45895)*(INPUT!$U$3:$U$3000="GARCIA"))=0,"",SUMPRODUCT((INPUT!$T$3:$T$3000=45895)*(INPUT!$U$3:$U$3000="GARCIA")*(INPUT!$V$3:$V$3000+INPUT!$W$3:$W$3000+INPUT!$X$3:$X$3000+INPUT!$Y$3:$Y$3000))),"")</f>
        <v>17</v>
      </c>
      <c r="X8" s="42" cm="1">
        <f t="array" ref="X8">IFERROR(IF(SUMPRODUCT((INPUT!$T$3:$T$3000=45896)*(INPUT!$U$3:$U$3000="GARCIA"))=0,"",SUMPRODUCT((INPUT!$T$3:$T$3000=45896)*(INPUT!$U$3:$U$3000="GARCIA")*(INPUT!$V$3:$V$3000+INPUT!$W$3:$W$3000+INPUT!$X$3:$X$3000+INPUT!$Y$3:$Y$3000))),"")</f>
        <v>17</v>
      </c>
      <c r="Y8" s="42" cm="1">
        <f t="array" ref="Y8">IFERROR(IF(SUMPRODUCT((INPUT!$T$3:$T$3000=45898)*(INPUT!$U$3:$U$3000="GARCIA"))=0,"",SUMPRODUCT((INPUT!$T$3:$T$3000=45898)*(INPUT!$U$3:$U$3000="GARCIA")*(INPUT!$V$3:$V$3000+INPUT!$W$3:$W$3000+INPUT!$X$3:$X$3000+INPUT!$Y$3:$Y$3000))),"")</f>
        <v>17</v>
      </c>
      <c r="Z8" s="42" cm="1">
        <f t="array" ref="Z8">IFERROR(IF(SUMPRODUCT((INPUT!$T$3:$T$3000=45899)*(INPUT!$U$3:$U$3000="GARCIA"))=0,"",SUMPRODUCT((INPUT!$T$3:$T$3000=45899)*(INPUT!$U$3:$U$3000="GARCIA")*(INPUT!$V$3:$V$3000+INPUT!$W$3:$W$3000+INPUT!$X$3:$X$3000+INPUT!$Y$3:$Y$3000))),"")</f>
        <v>17</v>
      </c>
      <c r="AA8" s="42" cm="1">
        <f t="array" ref="AA8">IFERROR(IF(SUMPRODUCT((INPUT!$T$3:$T$3000=45900)*(INPUT!$U$3:$U$3000="GARCIA"))=0,"",SUMPRODUCT((INPUT!$T$3:$T$3000=45900)*(INPUT!$U$3:$U$3000="GARCIA")*(INPUT!$V$3:$V$3000+INPUT!$W$3:$W$3000+INPUT!$X$3:$X$3000+INPUT!$Y$3:$Y$3000))),"")</f>
        <v>16</v>
      </c>
      <c r="AB8" s="42" cm="1">
        <f t="array" ref="AB8">IFERROR(IF(SUMPRODUCT((INPUT!$T$3:$T$3000=45902)*(INPUT!$U$3:$U$3000="GARCIA"))=0,"",SUMPRODUCT((INPUT!$T$3:$T$3000=45902)*(INPUT!$U$3:$U$3000="GARCIA")*(INPUT!$V$3:$V$3000+INPUT!$W$3:$W$3000+INPUT!$X$3:$X$3000+INPUT!$Y$3:$Y$3000))),"")</f>
        <v>18</v>
      </c>
      <c r="AC8" s="42" cm="1">
        <f t="array" ref="AC8">IFERROR(IF(SUMPRODUCT((INPUT!$T$3:$T$3000=45903)*(INPUT!$U$3:$U$3000="GARCIA"))=0,"",SUMPRODUCT((INPUT!$T$3:$T$3000=45903)*(INPUT!$U$3:$U$3000="GARCIA")*(INPUT!$V$3:$V$3000+INPUT!$W$3:$W$3000+INPUT!$X$3:$X$3000+INPUT!$Y$3:$Y$3000))),"")</f>
        <v>17</v>
      </c>
      <c r="AD8" s="42" cm="1">
        <f t="array" ref="AD8">IFERROR(IF(SUMPRODUCT((INPUT!$T$3:$T$3000=45904)*(INPUT!$U$3:$U$3000="GARCIA"))=0,"",SUMPRODUCT((INPUT!$T$3:$T$3000=45904)*(INPUT!$U$3:$U$3000="GARCIA")*(INPUT!$V$3:$V$3000+INPUT!$W$3:$W$3000+INPUT!$X$3:$X$3000+INPUT!$Y$3:$Y$3000))),"")</f>
        <v>17</v>
      </c>
      <c r="AE8" s="42" cm="1">
        <f t="array" ref="AE8">IFERROR(IF(SUMPRODUCT((INPUT!$T$3:$T$3000=45905)*(INPUT!$U$3:$U$3000="GARCIA"))=0,"",SUMPRODUCT((INPUT!$T$3:$T$3000=45905)*(INPUT!$U$3:$U$3000="GARCIA")*(INPUT!$V$3:$V$3000+INPUT!$W$3:$W$3000+INPUT!$X$3:$X$3000+INPUT!$Y$3:$Y$3000))),"")</f>
        <v>19</v>
      </c>
      <c r="AF8" s="42" cm="1">
        <f t="array" ref="AF8">IFERROR(IF(SUMPRODUCT((INPUT!$T$3:$T$3000=45906)*(INPUT!$U$3:$U$3000="GARCIA"))=0,"",SUMPRODUCT((INPUT!$T$3:$T$3000=45906)*(INPUT!$U$3:$U$3000="GARCIA")*(INPUT!$V$3:$V$3000+INPUT!$W$3:$W$3000+INPUT!$X$3:$X$3000+INPUT!$Y$3:$Y$3000))),"")</f>
        <v>17</v>
      </c>
      <c r="AG8" s="42" cm="1">
        <f t="array" ref="AG8">IFERROR(IF(SUMPRODUCT((INPUT!$T$3:$T$3000=45908)*(INPUT!$U$3:$U$3000="GARCIA"))=0,"",SUMPRODUCT((INPUT!$T$3:$T$3000=45908)*(INPUT!$U$3:$U$3000="GARCIA")*(INPUT!$V$3:$V$3000+INPUT!$W$3:$W$3000+INPUT!$X$3:$X$3000+INPUT!$Y$3:$Y$3000))),"")</f>
        <v>17</v>
      </c>
      <c r="AH8" s="42" cm="1">
        <f t="array" ref="AH8">IFERROR(IF(SUMPRODUCT((INPUT!$T$3:$T$3000=45909)*(INPUT!$U$3:$U$3000="GARCIA"))=0,"",SUMPRODUCT((INPUT!$T$3:$T$3000=45909)*(INPUT!$U$3:$U$3000="GARCIA")*(INPUT!$V$3:$V$3000+INPUT!$W$3:$W$3000+INPUT!$X$3:$X$3000+INPUT!$Y$3:$Y$3000))),"")</f>
        <v>17</v>
      </c>
      <c r="AI8" s="42" cm="1">
        <f t="array" ref="AI8">IFERROR(IF(SUMPRODUCT((INPUT!$T$3:$T$3000=45911)*(INPUT!$U$3:$U$3000="GARCIA"))=0,"",SUMPRODUCT((INPUT!$T$3:$T$3000=45911)*(INPUT!$U$3:$U$3000="GARCIA")*(INPUT!$V$3:$V$3000+INPUT!$W$3:$W$3000+INPUT!$X$3:$X$3000+INPUT!$Y$3:$Y$3000))),"")</f>
        <v>16</v>
      </c>
      <c r="AJ8" s="42" cm="1">
        <f t="array" ref="AJ8">IFERROR(IF(SUMPRODUCT((INPUT!$T$3:$T$3000=45912)*(INPUT!$U$3:$U$3000="GARCIA"))=0,"",SUMPRODUCT((INPUT!$T$3:$T$3000=45912)*(INPUT!$U$3:$U$3000="GARCIA")*(INPUT!$V$3:$V$3000+INPUT!$W$3:$W$3000+INPUT!$X$3:$X$3000+INPUT!$Y$3:$Y$3000))),"")</f>
        <v>17</v>
      </c>
      <c r="AK8" s="42" cm="1">
        <f t="array" ref="AK8">IFERROR(IF(SUMPRODUCT((INPUT!$T$3:$T$3000=45913)*(INPUT!$U$3:$U$3000="GARCIA"))=0,"",SUMPRODUCT((INPUT!$T$3:$T$3000=45913)*(INPUT!$U$3:$U$3000="GARCIA")*(INPUT!$V$3:$V$3000+INPUT!$W$3:$W$3000+INPUT!$X$3:$X$3000+INPUT!$Y$3:$Y$3000))),"")</f>
        <v>19</v>
      </c>
      <c r="AL8" s="42" cm="1">
        <f t="array" ref="AL8">IFERROR(IF(SUMPRODUCT((INPUT!$T$3:$T$3000=45915)*(INPUT!$U$3:$U$3000="GARCIA"))=0,"",SUMPRODUCT((INPUT!$T$3:$T$3000=45915)*(INPUT!$U$3:$U$3000="GARCIA")*(INPUT!$V$3:$V$3000+INPUT!$W$3:$W$3000+INPUT!$X$3:$X$3000+INPUT!$Y$3:$Y$3000))),"")</f>
        <v>19</v>
      </c>
      <c r="AM8" s="42" cm="1">
        <f t="array" ref="AM8">IFERROR(IF(SUMPRODUCT((INPUT!$T$3:$T$3000=45916)*(INPUT!$U$3:$U$3000="GARCIA"))=0,"",SUMPRODUCT((INPUT!$T$3:$T$3000=45916)*(INPUT!$U$3:$U$3000="GARCIA")*(INPUT!$V$3:$V$3000+INPUT!$W$3:$W$3000+INPUT!$X$3:$X$3000+INPUT!$Y$3:$Y$3000))),"")</f>
        <v>18</v>
      </c>
      <c r="AN8" s="42" cm="1">
        <f t="array" ref="AN8">IFERROR(IF(SUMPRODUCT((INPUT!$T$3:$T$3000=45917)*(INPUT!$U$3:$U$3000="GARCIA"))=0,"",SUMPRODUCT((INPUT!$T$3:$T$3000=45917)*(INPUT!$U$3:$U$3000="GARCIA")*(INPUT!$V$3:$V$3000+INPUT!$W$3:$W$3000+INPUT!$X$3:$X$3000+INPUT!$Y$3:$Y$3000))),"")</f>
        <v>17</v>
      </c>
      <c r="AO8" s="42" cm="1">
        <f t="array" ref="AO8">IFERROR(IF(SUMPRODUCT((INPUT!$T$3:$T$3000=45918)*(INPUT!$U$3:$U$3000="GARCIA"))=0,"",SUMPRODUCT((INPUT!$T$3:$T$3000=45918)*(INPUT!$U$3:$U$3000="GARCIA")*(INPUT!$V$3:$V$3000+INPUT!$W$3:$W$3000+INPUT!$X$3:$X$3000+INPUT!$Y$3:$Y$3000))),"")</f>
        <v>17</v>
      </c>
      <c r="AP8" s="42" cm="1">
        <f t="array" ref="AP8">IFERROR(IF(SUMPRODUCT((INPUT!$T$3:$T$3000=45919)*(INPUT!$U$3:$U$3000="GARCIA"))=0,"",SUMPRODUCT((INPUT!$T$3:$T$3000=45919)*(INPUT!$U$3:$U$3000="GARCIA")*(INPUT!$V$3:$V$3000+INPUT!$W$3:$W$3000+INPUT!$X$3:$X$3000+INPUT!$Y$3:$Y$3000))),"")</f>
        <v>16</v>
      </c>
      <c r="AQ8" s="42" cm="1">
        <f t="array" ref="AQ8">IFERROR(IF(SUMPRODUCT((INPUT!$T$3:$T$3000=45922)*(INPUT!$U$3:$U$3000="GARCIA"))=0,"",SUMPRODUCT((INPUT!$T$3:$T$3000=45922)*(INPUT!$U$3:$U$3000="GARCIA")*(INPUT!$V$3:$V$3000+INPUT!$W$3:$W$3000+INPUT!$X$3:$X$3000+INPUT!$Y$3:$Y$3000))),"")</f>
        <v>17</v>
      </c>
      <c r="AR8" s="42" cm="1">
        <f t="array" ref="AR8">IFERROR(IF(SUMPRODUCT((INPUT!$T$3:$T$3000=45923)*(INPUT!$U$3:$U$3000="GARCIA"))=0,"",SUMPRODUCT((INPUT!$T$3:$T$3000=45923)*(INPUT!$U$3:$U$3000="GARCIA")*(INPUT!$V$3:$V$3000+INPUT!$W$3:$W$3000+INPUT!$X$3:$X$3000+INPUT!$Y$3:$Y$3000))),"")</f>
        <v>17</v>
      </c>
      <c r="AS8" s="42" cm="1">
        <f t="array" ref="AS8">IFERROR(IF(SUMPRODUCT((INPUT!$T$3:$T$3000=45924)*(INPUT!$U$3:$U$3000="GARCIA"))=0,"",SUMPRODUCT((INPUT!$T$3:$T$3000=45924)*(INPUT!$U$3:$U$3000="GARCIA")*(INPUT!$V$3:$V$3000+INPUT!$W$3:$W$3000+INPUT!$X$3:$X$3000+INPUT!$Y$3:$Y$3000))),"")</f>
        <v>16</v>
      </c>
      <c r="AT8" s="42" cm="1">
        <f t="array" ref="AT8">IFERROR(IF(SUMPRODUCT((INPUT!$T$3:$T$3000=45925)*(INPUT!$U$3:$U$3000="GARCIA"))=0,"",SUMPRODUCT((INPUT!$T$3:$T$3000=45925)*(INPUT!$U$3:$U$3000="GARCIA")*(INPUT!$V$3:$V$3000+INPUT!$W$3:$W$3000+INPUT!$X$3:$X$3000+INPUT!$Y$3:$Y$3000))),"")</f>
        <v>17</v>
      </c>
      <c r="AU8" s="42" cm="1">
        <f t="array" ref="AU8">IFERROR(IF(SUMPRODUCT((INPUT!$T$3:$T$3000=45926)*(INPUT!$U$3:$U$3000="GARCIA"))=0,"",SUMPRODUCT((INPUT!$T$3:$T$3000=45926)*(INPUT!$U$3:$U$3000="GARCIA")*(INPUT!$V$3:$V$3000+INPUT!$W$3:$W$3000+INPUT!$X$3:$X$3000+INPUT!$Y$3:$Y$3000))),"")</f>
        <v>17</v>
      </c>
      <c r="AV8" s="42" cm="1">
        <f t="array" ref="AV8">IFERROR(IF(SUMPRODUCT((INPUT!$T$3:$T$3000=45927)*(INPUT!$U$3:$U$3000="GARCIA"))=0,"",SUMPRODUCT((INPUT!$T$3:$T$3000=45927)*(INPUT!$U$3:$U$3000="GARCIA")*(INPUT!$V$3:$V$3000+INPUT!$W$3:$W$3000+INPUT!$X$3:$X$3000+INPUT!$Y$3:$Y$3000))),"")</f>
        <v>17</v>
      </c>
      <c r="AW8" s="42" t="str" cm="1">
        <f t="array" ref="AW8">IFERROR(IF(SUMPRODUCT((INPUT!$T$3:$T$3000=45929)*(INPUT!$U$3:$U$3000="GARCIA"))=0,"",SUMPRODUCT((INPUT!$T$3:$T$3000=45929)*(INPUT!$U$3:$U$3000="GARCIA")*(INPUT!$V$3:$V$3000+INPUT!$W$3:$W$3000+INPUT!$X$3:$X$3000+INPUT!$Y$3:$Y$3000))),"")</f>
        <v/>
      </c>
      <c r="AX8" s="42" cm="1">
        <f t="array" ref="AX8">IFERROR(IF(SUMPRODUCT((INPUT!$T$3:$T$3000=45930)*(INPUT!$U$3:$U$3000="GARCIA"))=0,"",SUMPRODUCT((INPUT!$T$3:$T$3000=45930)*(INPUT!$U$3:$U$3000="GARCIA")*(INPUT!$V$3:$V$3000+INPUT!$W$3:$W$3000+INPUT!$X$3:$X$3000+INPUT!$Y$3:$Y$3000))),"")</f>
        <v>17</v>
      </c>
      <c r="AY8" s="42" cm="1">
        <f t="array" ref="AY8">IFERROR(IF(SUMPRODUCT((INPUT!$T$3:$T$3000=45931)*(INPUT!$U$3:$U$3000="GARCIA"))=0,"",SUMPRODUCT((INPUT!$T$3:$T$3000=45931)*(INPUT!$U$3:$U$3000="GARCIA")*(INPUT!$V$3:$V$3000+INPUT!$W$3:$W$3000+INPUT!$X$3:$X$3000+INPUT!$Y$3:$Y$3000))),"")</f>
        <v>14</v>
      </c>
      <c r="AZ8" s="42" cm="1">
        <f t="array" ref="AZ8">IFERROR(IF(SUMPRODUCT((INPUT!$T$3:$T$3000=45932)*(INPUT!$U$3:$U$3000="GARCIA"))=0,"",SUMPRODUCT((INPUT!$T$3:$T$3000=45932)*(INPUT!$U$3:$U$3000="GARCIA")*(INPUT!$V$3:$V$3000+INPUT!$W$3:$W$3000+INPUT!$X$3:$X$3000+INPUT!$Y$3:$Y$3000))),"")</f>
        <v>17</v>
      </c>
      <c r="BA8" s="42" cm="1">
        <f t="array" ref="BA8">IFERROR(IF(SUMPRODUCT((INPUT!$T$3:$T$3000=45933)*(INPUT!$U$3:$U$3000="GARCIA"))=0,"",SUMPRODUCT((INPUT!$T$3:$T$3000=45933)*(INPUT!$U$3:$U$3000="GARCIA")*(INPUT!$V$3:$V$3000+INPUT!$W$3:$W$3000+INPUT!$X$3:$X$3000+INPUT!$Y$3:$Y$3000))),"")</f>
        <v>17</v>
      </c>
      <c r="BB8" s="42" cm="1">
        <f t="array" ref="BB8">IFERROR(IF(SUMPRODUCT((INPUT!$T$3:$T$3000=45934)*(INPUT!$U$3:$U$3000="GARCIA"))=0,"",SUMPRODUCT((INPUT!$T$3:$T$3000=45934)*(INPUT!$U$3:$U$3000="GARCIA")*(INPUT!$V$3:$V$3000+INPUT!$W$3:$W$3000+INPUT!$X$3:$X$3000+INPUT!$Y$3:$Y$3000))),"")</f>
        <v>19</v>
      </c>
      <c r="BC8" s="42" cm="1">
        <f t="array" ref="BC8">IFERROR(IF(SUMPRODUCT((INPUT!$T$3:$T$3000=45936)*(INPUT!$U$3:$U$3000="GARCIA"))=0,"",SUMPRODUCT((INPUT!$T$3:$T$3000=45936)*(INPUT!$U$3:$U$3000="GARCIA")*(INPUT!$V$3:$V$3000+INPUT!$W$3:$W$3000+INPUT!$X$3:$X$3000+INPUT!$Y$3:$Y$3000))),"")</f>
        <v>17</v>
      </c>
      <c r="BD8" s="42" cm="1">
        <f t="array" ref="BD8">IFERROR(IF(SUMPRODUCT((INPUT!$T$3:$T$3000=45937)*(INPUT!$U$3:$U$3000="GARCIA"))=0,"",SUMPRODUCT((INPUT!$T$3:$T$3000=45937)*(INPUT!$U$3:$U$3000="GARCIA")*(INPUT!$V$3:$V$3000+INPUT!$W$3:$W$3000+INPUT!$X$3:$X$3000+INPUT!$Y$3:$Y$3000))),"")</f>
        <v>17</v>
      </c>
      <c r="BE8" s="42" cm="1">
        <f t="array" ref="BE8">IFERROR(IF(SUMPRODUCT((INPUT!$T$3:$T$3000=45938)*(INPUT!$U$3:$U$3000="GARCIA"))=0,"",SUMPRODUCT((INPUT!$T$3:$T$3000=45938)*(INPUT!$U$3:$U$3000="GARCIA")*(INPUT!$V$3:$V$3000+INPUT!$W$3:$W$3000+INPUT!$X$3:$X$3000+INPUT!$Y$3:$Y$3000))),"")</f>
        <v>17</v>
      </c>
      <c r="BF8" s="42" cm="1">
        <f t="array" ref="BF8">IFERROR(IF(SUMPRODUCT((INPUT!$T$3:$T$3000=45940)*(INPUT!$U$3:$U$3000="GARCIA"))=0,"",SUMPRODUCT((INPUT!$T$3:$T$3000=45940)*(INPUT!$U$3:$U$3000="GARCIA")*(INPUT!$V$3:$V$3000+INPUT!$W$3:$W$3000+INPUT!$X$3:$X$3000+INPUT!$Y$3:$Y$3000))),"")</f>
        <v>17</v>
      </c>
      <c r="BG8" s="42" cm="1">
        <f t="array" ref="BG8">IFERROR(IF(SUMPRODUCT((INPUT!$T$3:$T$3000=45941)*(INPUT!$U$3:$U$3000="GARCIA"))=0,"",SUMPRODUCT((INPUT!$T$3:$T$3000=45941)*(INPUT!$U$3:$U$3000="GARCIA")*(INPUT!$V$3:$V$3000+INPUT!$W$3:$W$3000+INPUT!$X$3:$X$3000+INPUT!$Y$3:$Y$3000))),"")</f>
        <v>17</v>
      </c>
      <c r="BH8" s="42" cm="1">
        <f t="array" ref="BH8">IFERROR(IF(SUMPRODUCT((INPUT!$T$3:$T$3000=45942)*(INPUT!$U$3:$U$3000="GARCIA"))=0,"",SUMPRODUCT((INPUT!$T$3:$T$3000=45942)*(INPUT!$U$3:$U$3000="GARCIA")*(INPUT!$V$3:$V$3000+INPUT!$W$3:$W$3000+INPUT!$X$3:$X$3000+INPUT!$Y$3:$Y$3000))),"")</f>
        <v>17</v>
      </c>
      <c r="BI8" s="42" cm="1">
        <f t="array" ref="BI8">IFERROR(IF(SUMPRODUCT((INPUT!$T$3:$T$3000=45945)*(INPUT!$U$3:$U$3000="GARCIA"))=0,"",SUMPRODUCT((INPUT!$T$3:$T$3000=45945)*(INPUT!$U$3:$U$3000="GARCIA")*(INPUT!$V$3:$V$3000+INPUT!$W$3:$W$3000+INPUT!$X$3:$X$3000+INPUT!$Y$3:$Y$3000))),"")</f>
        <v>17</v>
      </c>
      <c r="BJ8" s="42" cm="1">
        <f t="array" ref="BJ8">IFERROR(IF(SUMPRODUCT((INPUT!$T$3:$T$3000=45946)*(INPUT!$U$3:$U$3000="GARCIA"))=0,"",SUMPRODUCT((INPUT!$T$3:$T$3000=45946)*(INPUT!$U$3:$U$3000="GARCIA")*(INPUT!$V$3:$V$3000+INPUT!$W$3:$W$3000+INPUT!$X$3:$X$3000+INPUT!$Y$3:$Y$3000))),"")</f>
        <v>16</v>
      </c>
      <c r="BK8" s="42" cm="1">
        <f t="array" ref="BK8">IFERROR(IF(SUMPRODUCT((INPUT!$T$3:$T$3000=45947)*(INPUT!$U$3:$U$3000="GARCIA"))=0,"",SUMPRODUCT((INPUT!$T$3:$T$3000=45947)*(INPUT!$U$3:$U$3000="GARCIA")*(INPUT!$V$3:$V$3000+INPUT!$W$3:$W$3000+INPUT!$X$3:$X$3000+INPUT!$Y$3:$Y$3000))),"")</f>
        <v>17</v>
      </c>
      <c r="BL8" s="42" cm="1">
        <f t="array" ref="BL8">IFERROR(IF(SUMPRODUCT((INPUT!$T$3:$T$3000=45950)*(INPUT!$U$3:$U$3000="GARCIA"))=0,"",SUMPRODUCT((INPUT!$T$3:$T$3000=45950)*(INPUT!$U$3:$U$3000="GARCIA")*(INPUT!$V$3:$V$3000+INPUT!$W$3:$W$3000+INPUT!$X$3:$X$3000+INPUT!$Y$3:$Y$3000))),"")</f>
        <v>17</v>
      </c>
      <c r="BM8" s="42" cm="1">
        <f t="array" ref="BM8">IFERROR(IF(SUMPRODUCT((INPUT!$T$3:$T$3000=45951)*(INPUT!$U$3:$U$3000="GARCIA"))=0,"",SUMPRODUCT((INPUT!$T$3:$T$3000=45951)*(INPUT!$U$3:$U$3000="GARCIA")*(INPUT!$V$3:$V$3000+INPUT!$W$3:$W$3000+INPUT!$X$3:$X$3000+INPUT!$Y$3:$Y$3000))),"")</f>
        <v>17</v>
      </c>
      <c r="BN8" s="42" cm="1">
        <f t="array" ref="BN8">IFERROR(IF(SUMPRODUCT((INPUT!$T$3:$T$3000=45952)*(INPUT!$U$3:$U$3000="GARCIA"))=0,"",SUMPRODUCT((INPUT!$T$3:$T$3000=45952)*(INPUT!$U$3:$U$3000="GARCIA")*(INPUT!$V$3:$V$3000+INPUT!$W$3:$W$3000+INPUT!$X$3:$X$3000+INPUT!$Y$3:$Y$3000))),"")</f>
        <v>17</v>
      </c>
      <c r="BO8" s="42" cm="1">
        <f t="array" ref="BO8">IFERROR(IF(SUMPRODUCT((INPUT!$T$3:$T$3000=45953)*(INPUT!$U$3:$U$3000="GARCIA"))=0,"",SUMPRODUCT((INPUT!$T$3:$T$3000=45953)*(INPUT!$U$3:$U$3000="GARCIA")*(INPUT!$V$3:$V$3000+INPUT!$W$3:$W$3000+INPUT!$X$3:$X$3000+INPUT!$Y$3:$Y$3000))),"")</f>
        <v>17</v>
      </c>
      <c r="BP8" s="42" cm="1">
        <f t="array" ref="BP8">IFERROR(IF(SUMPRODUCT((INPUT!$T$3:$T$3000=45954)*(INPUT!$U$3:$U$3000="GARCIA"))=0,"",SUMPRODUCT((INPUT!$T$3:$T$3000=45954)*(INPUT!$U$3:$U$3000="GARCIA")*(INPUT!$V$3:$V$3000+INPUT!$W$3:$W$3000+INPUT!$X$3:$X$3000+INPUT!$Y$3:$Y$3000))),"")</f>
        <v>17</v>
      </c>
      <c r="BQ8" s="42" cm="1">
        <f t="array" ref="BQ8">IFERROR(IF(SUMPRODUCT((INPUT!$T$3:$T$3000=45955)*(INPUT!$U$3:$U$3000="GARCIA"))=0,"",SUMPRODUCT((INPUT!$T$3:$T$3000=45955)*(INPUT!$U$3:$U$3000="GARCIA")*(INPUT!$V$3:$V$3000+INPUT!$W$3:$W$3000+INPUT!$X$3:$X$3000+INPUT!$Y$3:$Y$3000))),"")</f>
        <v>17</v>
      </c>
      <c r="BR8" s="42" cm="1">
        <f t="array" ref="BR8">IFERROR(IF(SUMPRODUCT((INPUT!$T$3:$T$3000=45958)*(INPUT!$U$3:$U$3000="GARCIA"))=0,"",SUMPRODUCT((INPUT!$T$3:$T$3000=45958)*(INPUT!$U$3:$U$3000="GARCIA")*(INPUT!$V$3:$V$3000+INPUT!$W$3:$W$3000+INPUT!$X$3:$X$3000+INPUT!$Y$3:$Y$3000))),"")</f>
        <v>17</v>
      </c>
      <c r="BS8" s="42" cm="1">
        <f t="array" ref="BS8">IFERROR(IF(SUMPRODUCT((INPUT!$T$3:$T$3000=45959)*(INPUT!$U$3:$U$3000="GARCIA"))=0,"",SUMPRODUCT((INPUT!$T$3:$T$3000=45959)*(INPUT!$U$3:$U$3000="GARCIA")*(INPUT!$V$3:$V$3000+INPUT!$W$3:$W$3000+INPUT!$X$3:$X$3000+INPUT!$Y$3:$Y$3000))),"")</f>
        <v>17</v>
      </c>
      <c r="BT8" s="42" cm="1">
        <f t="array" ref="BT8">IFERROR(IF(SUMPRODUCT((INPUT!$T$3:$T$3000=45960)*(INPUT!$U$3:$U$3000="GARCIA"))=0,"",SUMPRODUCT((INPUT!$T$3:$T$3000=45960)*(INPUT!$U$3:$U$3000="GARCIA")*(INPUT!$V$3:$V$3000+INPUT!$W$3:$W$3000+INPUT!$X$3:$X$3000+INPUT!$Y$3:$Y$3000))),"")</f>
        <v>17</v>
      </c>
      <c r="BU8" s="42" cm="1">
        <f t="array" ref="BU8">IFERROR(IF(SUMPRODUCT((INPUT!$T$3:$T$3000=45961)*(INPUT!$U$3:$U$3000="GARCIA"))=0,"",SUMPRODUCT((INPUT!$T$3:$T$3000=45961)*(INPUT!$U$3:$U$3000="GARCIA")*(INPUT!$V$3:$V$3000+INPUT!$W$3:$W$3000+INPUT!$X$3:$X$3000+INPUT!$Y$3:$Y$3000))),"")</f>
        <v>17</v>
      </c>
      <c r="BV8" s="42" cm="1">
        <f t="array" ref="BV8">IFERROR(IF(SUMPRODUCT((INPUT!$T$3:$T$3000=45964)*(INPUT!$U$3:$U$3000="GARCIA"))=0,"",SUMPRODUCT((INPUT!$T$3:$T$3000=45964)*(INPUT!$U$3:$U$3000="GARCIA")*(INPUT!$V$3:$V$3000+INPUT!$W$3:$W$3000+INPUT!$X$3:$X$3000+INPUT!$Y$3:$Y$3000))),"")</f>
        <v>17</v>
      </c>
      <c r="BW8" s="42" t="str" cm="1">
        <f t="array" ref="BW8">IFERROR(IF(SUMPRODUCT((INPUT!$T$3:$T$3000=45965)*(INPUT!$U$3:$U$3000="GARCIA"))=0,"",SUMPRODUCT((INPUT!$T$3:$T$3000=45965)*(INPUT!$U$3:$U$3000="GARCIA")*(INPUT!$V$3:$V$3000+INPUT!$W$3:$W$3000+INPUT!$X$3:$X$3000+INPUT!$Y$3:$Y$3000))),"")</f>
        <v/>
      </c>
      <c r="BX8" s="42" t="str" cm="1">
        <f t="array" ref="BX8">IFERROR(IF(SUMPRODUCT((INPUT!$T$3:$T$3000=45966)*(INPUT!$U$3:$U$3000="GARCIA"))=0,"",SUMPRODUCT((INPUT!$T$3:$T$3000=45966)*(INPUT!$U$3:$U$3000="GARCIA")*(INPUT!$V$3:$V$3000+INPUT!$W$3:$W$3000+INPUT!$X$3:$X$3000+INPUT!$Y$3:$Y$3000))),"")</f>
        <v/>
      </c>
      <c r="BY8" s="42" cm="1">
        <f t="array" ref="BY8">IFERROR(IF(SUMPRODUCT((INPUT!$T$3:$T$3000=45967)*(INPUT!$U$3:$U$3000="GARCIA"))=0,"",SUMPRODUCT((INPUT!$T$3:$T$3000=45967)*(INPUT!$U$3:$U$3000="GARCIA")*(INPUT!$V$3:$V$3000+INPUT!$W$3:$W$3000+INPUT!$X$3:$X$3000+INPUT!$Y$3:$Y$3000))),"")</f>
        <v>17</v>
      </c>
      <c r="BZ8" s="42" cm="1">
        <f t="array" ref="BZ8">IFERROR(IF(SUMPRODUCT((INPUT!$T$3:$T$3000=45968)*(INPUT!$U$3:$U$3000="GARCIA"))=0,"",SUMPRODUCT((INPUT!$T$3:$T$3000=45968)*(INPUT!$U$3:$U$3000="GARCIA")*(INPUT!$V$3:$V$3000+INPUT!$W$3:$W$3000+INPUT!$X$3:$X$3000+INPUT!$Y$3:$Y$3000))),"")</f>
        <v>16</v>
      </c>
      <c r="CA8" s="42" cm="1">
        <f t="array" ref="CA8">IFERROR(IF(SUMPRODUCT((INPUT!$T$3:$T$3000=45971)*(INPUT!$U$3:$U$3000="GARCIA"))=0,"",SUMPRODUCT((INPUT!$T$3:$T$3000=45971)*(INPUT!$U$3:$U$3000="GARCIA")*(INPUT!$V$3:$V$3000+INPUT!$W$3:$W$3000+INPUT!$X$3:$X$3000+INPUT!$Y$3:$Y$3000))),"")</f>
        <v>16</v>
      </c>
      <c r="CB8" s="42" cm="1">
        <f t="array" ref="CB8">IFERROR(IF(SUMPRODUCT((INPUT!$T$3:$T$3000=45972)*(INPUT!$U$3:$U$3000="GARCIA"))=0,"",SUMPRODUCT((INPUT!$T$3:$T$3000=45972)*(INPUT!$U$3:$U$3000="GARCIA")*(INPUT!$V$3:$V$3000+INPUT!$W$3:$W$3000+INPUT!$X$3:$X$3000+INPUT!$Y$3:$Y$3000))),"")</f>
        <v>17</v>
      </c>
      <c r="CC8" s="42" cm="1">
        <f t="array" ref="CC8">IFERROR(IF(SUMPRODUCT((INPUT!$T$3:$T$3000=45974)*(INPUT!$U$3:$U$3000="GARCIA"))=0,"",SUMPRODUCT((INPUT!$T$3:$T$3000=45974)*(INPUT!$U$3:$U$3000="GARCIA")*(INPUT!$V$3:$V$3000+INPUT!$W$3:$W$3000+INPUT!$X$3:$X$3000+INPUT!$Y$3:$Y$3000))),"")</f>
        <v>17</v>
      </c>
      <c r="CD8" s="42" cm="1">
        <f t="array" ref="CD8">IFERROR(IF(SUMPRODUCT((INPUT!$T$3:$T$3000=45975)*(INPUT!$U$3:$U$3000="GARCIA"))=0,"",SUMPRODUCT((INPUT!$T$3:$T$3000=45975)*(INPUT!$U$3:$U$3000="GARCIA")*(INPUT!$V$3:$V$3000+INPUT!$W$3:$W$3000+INPUT!$X$3:$X$3000+INPUT!$Y$3:$Y$3000))),"")</f>
        <v>17</v>
      </c>
      <c r="CE8" s="42" cm="1">
        <f t="array" ref="CE8">IFERROR(IF(SUMPRODUCT((INPUT!$T$3:$T$3000=45976)*(INPUT!$U$3:$U$3000="GARCIA"))=0,"",SUMPRODUCT((INPUT!$T$3:$T$3000=45976)*(INPUT!$U$3:$U$3000="GARCIA")*(INPUT!$V$3:$V$3000+INPUT!$W$3:$W$3000+INPUT!$X$3:$X$3000+INPUT!$Y$3:$Y$3000))),"")</f>
        <v>17</v>
      </c>
      <c r="CF8" s="42" cm="1">
        <f t="array" ref="CF8">IFERROR(IF(SUMPRODUCT((INPUT!$T$3:$T$3000=45978)*(INPUT!$U$3:$U$3000="GARCIA"))=0,"",SUMPRODUCT((INPUT!$T$3:$T$3000=45978)*(INPUT!$U$3:$U$3000="GARCIA")*(INPUT!$V$3:$V$3000+INPUT!$W$3:$W$3000+INPUT!$X$3:$X$3000+INPUT!$Y$3:$Y$3000))),"")</f>
        <v>17</v>
      </c>
      <c r="CG8" s="42" cm="1">
        <f t="array" ref="CG8">IFERROR(IF(SUMPRODUCT((INPUT!$T$3:$T$3000=45979)*(INPUT!$U$3:$U$3000="GARCIA"))=0,"",SUMPRODUCT((INPUT!$T$3:$T$3000=45979)*(INPUT!$U$3:$U$3000="GARCIA")*(INPUT!$V$3:$V$3000+INPUT!$W$3:$W$3000+INPUT!$X$3:$X$3000+INPUT!$Y$3:$Y$3000))),"")</f>
        <v>17</v>
      </c>
      <c r="CH8" s="42" cm="1">
        <f t="array" ref="CH8">IFERROR(IF(SUMPRODUCT((INPUT!$T$3:$T$3000=45980)*(INPUT!$U$3:$U$3000="GARCIA"))=0,"",SUMPRODUCT((INPUT!$T$3:$T$3000=45980)*(INPUT!$U$3:$U$3000="GARCIA")*(INPUT!$V$3:$V$3000+INPUT!$W$3:$W$3000+INPUT!$X$3:$X$3000+INPUT!$Y$3:$Y$3000))),"")</f>
        <v>20</v>
      </c>
      <c r="CI8" s="42" cm="1">
        <f t="array" ref="CI8">IFERROR(IF(SUMPRODUCT((INPUT!$T$3:$T$3000=45982)*(INPUT!$U$3:$U$3000="GARCIA"))=0,"",SUMPRODUCT((INPUT!$T$3:$T$3000=45982)*(INPUT!$U$3:$U$3000="GARCIA")*(INPUT!$V$3:$V$3000+INPUT!$W$3:$W$3000+INPUT!$X$3:$X$3000+INPUT!$Y$3:$Y$3000))),"")</f>
        <v>17</v>
      </c>
      <c r="CJ8" s="42" cm="1">
        <f t="array" ref="CJ8">IFERROR(IF(SUMPRODUCT((INPUT!$T$3:$T$3000=45983)*(INPUT!$U$3:$U$3000="GARCIA"))=0,"",SUMPRODUCT((INPUT!$T$3:$T$3000=45983)*(INPUT!$U$3:$U$3000="GARCIA")*(INPUT!$V$3:$V$3000+INPUT!$W$3:$W$3000+INPUT!$X$3:$X$3000+INPUT!$Y$3:$Y$3000))),"")</f>
        <v>17</v>
      </c>
      <c r="CK8" s="42" cm="1">
        <f t="array" ref="CK8">IFERROR(IF(SUMPRODUCT((INPUT!$T$3:$T$3000=45985)*(INPUT!$U$3:$U$3000="GARCIA"))=0,"",SUMPRODUCT((INPUT!$T$3:$T$3000=45985)*(INPUT!$U$3:$U$3000="GARCIA")*(INPUT!$V$3:$V$3000+INPUT!$W$3:$W$3000+INPUT!$X$3:$X$3000+INPUT!$Y$3:$Y$3000))),"")</f>
        <v>18</v>
      </c>
      <c r="CL8" s="42" cm="1">
        <f t="array" ref="CL8">IFERROR(IF(SUMPRODUCT((INPUT!$T$3:$T$3000=45986)*(INPUT!$U$3:$U$3000="GARCIA"))=0,"",SUMPRODUCT((INPUT!$T$3:$T$3000=45986)*(INPUT!$U$3:$U$3000="GARCIA")*(INPUT!$V$3:$V$3000+INPUT!$W$3:$W$3000+INPUT!$X$3:$X$3000+INPUT!$Y$3:$Y$3000))),"")</f>
        <v>17</v>
      </c>
      <c r="CM8" s="42" cm="1">
        <f t="array" ref="CM8">IFERROR(IF(SUMPRODUCT((INPUT!$T$3:$T$3000=45987)*(INPUT!$U$3:$U$3000="GARCIA"))=0,"",SUMPRODUCT((INPUT!$T$3:$T$3000=45987)*(INPUT!$U$3:$U$3000="GARCIA")*(INPUT!$V$3:$V$3000+INPUT!$W$3:$W$3000+INPUT!$X$3:$X$3000+INPUT!$Y$3:$Y$3000))),"")</f>
        <v>17</v>
      </c>
      <c r="CN8" s="42" cm="1">
        <f t="array" ref="CN8">IFERROR(IF(SUMPRODUCT((INPUT!$T$3:$T$3000=45988)*(INPUT!$U$3:$U$3000="GARCIA"))=0,"",SUMPRODUCT((INPUT!$T$3:$T$3000=45988)*(INPUT!$U$3:$U$3000="GARCIA")*(INPUT!$V$3:$V$3000+INPUT!$W$3:$W$3000+INPUT!$X$3:$X$3000+INPUT!$Y$3:$Y$3000))),"")</f>
        <v>17</v>
      </c>
      <c r="CO8" s="42" cm="1">
        <f t="array" ref="CO8">IFERROR(IF(SUMPRODUCT((INPUT!$T$3:$T$3000=45989)*(INPUT!$U$3:$U$3000="GARCIA"))=0,"",SUMPRODUCT((INPUT!$T$3:$T$3000=45989)*(INPUT!$U$3:$U$3000="GARCIA")*(INPUT!$V$3:$V$3000+INPUT!$W$3:$W$3000+INPUT!$X$3:$X$3000+INPUT!$Y$3:$Y$3000))),"")</f>
        <v>17</v>
      </c>
      <c r="CP8" s="42" cm="1">
        <f t="array" ref="CP8">IFERROR(IF(SUMPRODUCT((INPUT!$T$3:$T$3000=45992)*(INPUT!$U$3:$U$3000="GARCIA"))=0,"",SUMPRODUCT((INPUT!$T$3:$T$3000=45992)*(INPUT!$U$3:$U$3000="GARCIA")*(INPUT!$V$3:$V$3000+INPUT!$W$3:$W$3000+INPUT!$X$3:$X$3000+INPUT!$Y$3:$Y$3000))),"")</f>
        <v>17</v>
      </c>
      <c r="CQ8" s="42" cm="1">
        <f t="array" ref="CQ8">IFERROR(IF(SUMPRODUCT((INPUT!$T$3:$T$3000=45993)*(INPUT!$U$3:$U$3000="GARCIA"))=0,"",SUMPRODUCT((INPUT!$T$3:$T$3000=45993)*(INPUT!$U$3:$U$3000="GARCIA")*(INPUT!$V$3:$V$3000+INPUT!$W$3:$W$3000+INPUT!$X$3:$X$3000+INPUT!$Y$3:$Y$3000))),"")</f>
        <v>17</v>
      </c>
      <c r="CR8" s="42" cm="1">
        <f t="array" ref="CR8">IFERROR(IF(SUMPRODUCT((INPUT!$T$3:$T$3000=45994)*(INPUT!$U$3:$U$3000="GARCIA"))=0,"",SUMPRODUCT((INPUT!$T$3:$T$3000=45994)*(INPUT!$U$3:$U$3000="GARCIA")*(INPUT!$V$3:$V$3000+INPUT!$W$3:$W$3000+INPUT!$X$3:$X$3000+INPUT!$Y$3:$Y$3000))),"")</f>
        <v>17</v>
      </c>
      <c r="CS8" s="42" cm="1">
        <f t="array" ref="CS8">IFERROR(IF(SUMPRODUCT((INPUT!$T$3:$T$3000=45995)*(INPUT!$U$3:$U$3000="GARCIA"))=0,"",SUMPRODUCT((INPUT!$T$3:$T$3000=45995)*(INPUT!$U$3:$U$3000="GARCIA")*(INPUT!$V$3:$V$3000+INPUT!$W$3:$W$3000+INPUT!$X$3:$X$3000+INPUT!$Y$3:$Y$3000))),"")</f>
        <v>17</v>
      </c>
      <c r="CT8" s="42" cm="1">
        <f t="array" ref="CT8">IFERROR(IF(SUMPRODUCT((INPUT!$T$3:$T$3000=45996)*(INPUT!$U$3:$U$3000="GARCIA"))=0,"",SUMPRODUCT((INPUT!$T$3:$T$3000=45996)*(INPUT!$U$3:$U$3000="GARCIA")*(INPUT!$V$3:$V$3000+INPUT!$W$3:$W$3000+INPUT!$X$3:$X$3000+INPUT!$Y$3:$Y$3000))),"")</f>
        <v>17</v>
      </c>
      <c r="CU8" s="42" cm="1">
        <f t="array" ref="CU8">IFERROR(IF(SUMPRODUCT((INPUT!$T$3:$T$3000=45997)*(INPUT!$U$3:$U$3000="GARCIA"))=0,"",SUMPRODUCT((INPUT!$T$3:$T$3000=45997)*(INPUT!$U$3:$U$3000="GARCIA")*(INPUT!$V$3:$V$3000+INPUT!$W$3:$W$3000+INPUT!$X$3:$X$3000+INPUT!$Y$3:$Y$3000))),"")</f>
        <v>17</v>
      </c>
      <c r="CV8" s="42" cm="1">
        <f t="array" ref="CV8">IFERROR(IF(SUMPRODUCT((INPUT!$T$3:$T$3000=45999)*(INPUT!$U$3:$U$3000="GARCIA"))=0,"",SUMPRODUCT((INPUT!$T$3:$T$3000=45999)*(INPUT!$U$3:$U$3000="GARCIA")*(INPUT!$V$3:$V$3000+INPUT!$W$3:$W$3000+INPUT!$X$3:$X$3000+INPUT!$Y$3:$Y$3000))),"")</f>
        <v>17</v>
      </c>
      <c r="CW8" s="42" cm="1">
        <f t="array" ref="CW8">IFERROR(IF(SUMPRODUCT((INPUT!$T$3:$T$3000=46000)*(INPUT!$U$3:$U$3000="GARCIA"))=0,"",SUMPRODUCT((INPUT!$T$3:$T$3000=46000)*(INPUT!$U$3:$U$3000="GARCIA")*(INPUT!$V$3:$V$3000+INPUT!$W$3:$W$3000+INPUT!$X$3:$X$3000+INPUT!$Y$3:$Y$3000))),"")</f>
        <v>17</v>
      </c>
      <c r="CX8" s="42" cm="1">
        <f t="array" ref="CX8">IFERROR(IF(SUMPRODUCT((INPUT!$T$3:$T$3000=46001)*(INPUT!$U$3:$U$3000="GARCIA"))=0,"",SUMPRODUCT((INPUT!$T$3:$T$3000=46001)*(INPUT!$U$3:$U$3000="GARCIA")*(INPUT!$V$3:$V$3000+INPUT!$W$3:$W$3000+INPUT!$X$3:$X$3000+INPUT!$Y$3:$Y$3000))),"")</f>
        <v>17</v>
      </c>
      <c r="CY8" s="42" cm="1">
        <f t="array" ref="CY8">IFERROR(IF(SUMPRODUCT((INPUT!$T$3:$T$3000=46002)*(INPUT!$U$3:$U$3000="GARCIA"))=0,"",SUMPRODUCT((INPUT!$T$3:$T$3000=46002)*(INPUT!$U$3:$U$3000="GARCIA")*(INPUT!$V$3:$V$3000+INPUT!$W$3:$W$3000+INPUT!$X$3:$X$3000+INPUT!$Y$3:$Y$3000))),"")</f>
        <v>17</v>
      </c>
      <c r="CZ8" s="42" cm="1">
        <f t="array" ref="CZ8">IFERROR(IF(SUMPRODUCT((INPUT!$T$3:$T$3000=46003)*(INPUT!$U$3:$U$3000="GARCIA"))=0,"",SUMPRODUCT((INPUT!$T$3:$T$3000=46003)*(INPUT!$U$3:$U$3000="GARCIA")*(INPUT!$V$3:$V$3000+INPUT!$W$3:$W$3000+INPUT!$X$3:$X$3000+INPUT!$Y$3:$Y$3000))),"")</f>
        <v>17</v>
      </c>
      <c r="DA8" s="42" cm="1">
        <f t="array" ref="DA8">IFERROR(IF(SUMPRODUCT((INPUT!$T$3:$T$3000=46004)*(INPUT!$U$3:$U$3000="GARCIA"))=0,"",SUMPRODUCT((INPUT!$T$3:$T$3000=46004)*(INPUT!$U$3:$U$3000="GARCIA")*(INPUT!$V$3:$V$3000+INPUT!$W$3:$W$3000+INPUT!$X$3:$X$3000+INPUT!$Y$3:$Y$3000))),"")</f>
        <v>15</v>
      </c>
      <c r="DB8" s="42" cm="1">
        <f t="array" ref="DB8">IFERROR(IF(SUMPRODUCT((INPUT!$T$3:$T$3000=46007)*(INPUT!$U$3:$U$3000="GARCIA"))=0,"",SUMPRODUCT((INPUT!$T$3:$T$3000=46007)*(INPUT!$U$3:$U$3000="GARCIA")*(INPUT!$V$3:$V$3000+INPUT!$W$3:$W$3000+INPUT!$X$3:$X$3000+INPUT!$Y$3:$Y$3000))),"")</f>
        <v>17</v>
      </c>
      <c r="DC8" s="42" cm="1">
        <f t="array" ref="DC8">IFERROR(IF(SUMPRODUCT((INPUT!$T$3:$T$3000=46008)*(INPUT!$U$3:$U$3000="GARCIA"))=0,"",SUMPRODUCT((INPUT!$T$3:$T$3000=46008)*(INPUT!$U$3:$U$3000="GARCIA")*(INPUT!$V$3:$V$3000+INPUT!$W$3:$W$3000+INPUT!$X$3:$X$3000+INPUT!$Y$3:$Y$3000))),"")</f>
        <v>17</v>
      </c>
      <c r="DD8" s="42" cm="1">
        <f t="array" ref="DD8">IFERROR(IF(SUMPRODUCT((INPUT!$T$3:$T$3000=46009)*(INPUT!$U$3:$U$3000="GARCIA"))=0,"",SUMPRODUCT((INPUT!$T$3:$T$3000=46009)*(INPUT!$U$3:$U$3000="GARCIA")*(INPUT!$V$3:$V$3000+INPUT!$W$3:$W$3000+INPUT!$X$3:$X$3000+INPUT!$Y$3:$Y$3000))),"")</f>
        <v>17</v>
      </c>
      <c r="DE8" s="42" cm="1">
        <f t="array" ref="DE8">IFERROR(IF(SUMPRODUCT((INPUT!$T$3:$T$3000=46010)*(INPUT!$U$3:$U$3000="GARCIA"))=0,"",SUMPRODUCT((INPUT!$T$3:$T$3000=46010)*(INPUT!$U$3:$U$3000="GARCIA")*(INPUT!$V$3:$V$3000+INPUT!$W$3:$W$3000+INPUT!$X$3:$X$3000+INPUT!$Y$3:$Y$3000))),"")</f>
        <v>17</v>
      </c>
      <c r="DF8" s="42" cm="1">
        <f t="array" ref="DF8">IFERROR(IF(SUMPRODUCT((INPUT!$T$3:$T$3000=46013)*(INPUT!$U$3:$U$3000="GARCIA"))=0,"",SUMPRODUCT((INPUT!$T$3:$T$3000=46013)*(INPUT!$U$3:$U$3000="GARCIA")*(INPUT!$V$3:$V$3000+INPUT!$W$3:$W$3000+INPUT!$X$3:$X$3000+INPUT!$Y$3:$Y$3000))),"")</f>
        <v>17</v>
      </c>
      <c r="DG8" s="42" cm="1">
        <f t="array" ref="DG8">IFERROR(IF(SUMPRODUCT((INPUT!$T$3:$T$3000=46014)*(INPUT!$U$3:$U$3000="GARCIA"))=0,"",SUMPRODUCT((INPUT!$T$3:$T$3000=46014)*(INPUT!$U$3:$U$3000="GARCIA")*(INPUT!$V$3:$V$3000+INPUT!$W$3:$W$3000+INPUT!$X$3:$X$3000+INPUT!$Y$3:$Y$3000))),"")</f>
        <v>17</v>
      </c>
      <c r="DH8" s="42" cm="1">
        <f t="array" ref="DH8">IFERROR(IF(SUMPRODUCT((INPUT!$T$3:$T$3000=46017)*(INPUT!$U$3:$U$3000="GARCIA"))=0,"",SUMPRODUCT((INPUT!$T$3:$T$3000=46017)*(INPUT!$U$3:$U$3000="GARCIA")*(INPUT!$V$3:$V$3000+INPUT!$W$3:$W$3000+INPUT!$X$3:$X$3000+INPUT!$Y$3:$Y$3000))),"")</f>
        <v>17</v>
      </c>
      <c r="DI8" s="42" cm="1">
        <f t="array" ref="DI8">IFERROR(IF(SUMPRODUCT((INPUT!$T$3:$T$3000=46018)*(INPUT!$U$3:$U$3000="GARCIA"))=0,"",SUMPRODUCT((INPUT!$T$3:$T$3000=46018)*(INPUT!$U$3:$U$3000="GARCIA")*(INPUT!$V$3:$V$3000+INPUT!$W$3:$W$3000+INPUT!$X$3:$X$3000+INPUT!$Y$3:$Y$3000))),"")</f>
        <v>17</v>
      </c>
      <c r="DJ8" s="42" cm="1">
        <f t="array" ref="DJ8">IFERROR(IF(SUMPRODUCT((INPUT!$T$3:$T$3000=46020)*(INPUT!$U$3:$U$3000="GARCIA"))=0,"",SUMPRODUCT((INPUT!$T$3:$T$3000=46020)*(INPUT!$U$3:$U$3000="GARCIA")*(INPUT!$V$3:$V$3000+INPUT!$W$3:$W$3000+INPUT!$X$3:$X$3000+INPUT!$Y$3:$Y$3000))),"")</f>
        <v>17</v>
      </c>
      <c r="DK8" s="42" cm="1">
        <f t="array" ref="DK8">IFERROR(IF(SUMPRODUCT((INPUT!$T$3:$T$3000=46021)*(INPUT!$U$3:$U$3000="GARCIA"))=0,"",SUMPRODUCT((INPUT!$T$3:$T$3000=46021)*(INPUT!$U$3:$U$3000="GARCIA")*(INPUT!$V$3:$V$3000+INPUT!$W$3:$W$3000+INPUT!$X$3:$X$3000+INPUT!$Y$3:$Y$3000))),"")</f>
        <v>17</v>
      </c>
      <c r="DL8" s="42" cm="1">
        <f t="array" ref="DL8">IFERROR(IF(SUMPRODUCT((INPUT!$T$3:$T$3000=46022)*(INPUT!$U$3:$U$3000="GARCIA"))=0,"",SUMPRODUCT((INPUT!$T$3:$T$3000=46022)*(INPUT!$U$3:$U$3000="GARCIA")*(INPUT!$V$3:$V$3000+INPUT!$W$3:$W$3000+INPUT!$X$3:$X$3000+INPUT!$Y$3:$Y$3000))),"")</f>
        <v>17</v>
      </c>
      <c r="DM8" s="42" cm="1">
        <f t="array" ref="DM8">IFERROR(IF(SUMPRODUCT((INPUT!$T$3:$T$3000=46024)*(INPUT!$U$3:$U$3000="GARCIA"))=0,"",SUMPRODUCT((INPUT!$T$3:$T$3000=46024)*(INPUT!$U$3:$U$3000="GARCIA")*(INPUT!$V$3:$V$3000+INPUT!$W$3:$W$3000+INPUT!$X$3:$X$3000+INPUT!$Y$3:$Y$3000))),"")</f>
        <v>17</v>
      </c>
      <c r="DN8" s="42" cm="1">
        <f t="array" ref="DN8">IFERROR(IF(SUMPRODUCT((INPUT!$T$3:$T$3000=46025)*(INPUT!$U$3:$U$3000="GARCIA"))=0,"",SUMPRODUCT((INPUT!$T$3:$T$3000=46025)*(INPUT!$U$3:$U$3000="GARCIA")*(INPUT!$V$3:$V$3000+INPUT!$W$3:$W$3000+INPUT!$X$3:$X$3000+INPUT!$Y$3:$Y$3000))),"")</f>
        <v>17</v>
      </c>
      <c r="DO8" s="42" cm="1">
        <f t="array" ref="DO8">IFERROR(IF(SUMPRODUCT((INPUT!$T$3:$T$3000=46027)*(INPUT!$U$3:$U$3000="GARCIA"))=0,"",SUMPRODUCT((INPUT!$T$3:$T$3000=46027)*(INPUT!$U$3:$U$3000="GARCIA")*(INPUT!$V$3:$V$3000+INPUT!$W$3:$W$3000+INPUT!$X$3:$X$3000+INPUT!$Y$3:$Y$3000))),"")</f>
        <v>17</v>
      </c>
      <c r="DP8" s="42" cm="1">
        <f t="array" ref="DP8">IFERROR(IF(SUMPRODUCT((INPUT!$T$3:$T$3000=46028)*(INPUT!$U$3:$U$3000="GARCIA"))=0,"",SUMPRODUCT((INPUT!$T$3:$T$3000=46028)*(INPUT!$U$3:$U$3000="GARCIA")*(INPUT!$V$3:$V$3000+INPUT!$W$3:$W$3000+INPUT!$X$3:$X$3000+INPUT!$Y$3:$Y$3000))),"")</f>
        <v>17</v>
      </c>
      <c r="DQ8" s="42" cm="1">
        <f t="array" ref="DQ8">IFERROR(IF(SUMPRODUCT((INPUT!$T$3:$T$3000=46029)*(INPUT!$U$3:$U$3000="GARCIA"))=0,"",SUMPRODUCT((INPUT!$T$3:$T$3000=46029)*(INPUT!$U$3:$U$3000="GARCIA")*(INPUT!$V$3:$V$3000+INPUT!$W$3:$W$3000+INPUT!$X$3:$X$3000+INPUT!$Y$3:$Y$3000))),"")</f>
        <v>17</v>
      </c>
      <c r="DR8" s="42" cm="1">
        <f t="array" ref="DR8">IFERROR(IF(SUMPRODUCT((INPUT!$T$3:$T$3000=46030)*(INPUT!$U$3:$U$3000="GARCIA"))=0,"",SUMPRODUCT((INPUT!$T$3:$T$3000=46030)*(INPUT!$U$3:$U$3000="GARCIA")*(INPUT!$V$3:$V$3000+INPUT!$W$3:$W$3000+INPUT!$X$3:$X$3000+INPUT!$Y$3:$Y$3000))),"")</f>
        <v>18</v>
      </c>
      <c r="DS8" s="42" cm="1">
        <f t="array" ref="DS8">IFERROR(IF(SUMPRODUCT((INPUT!$T$3:$T$3000=46031)*(INPUT!$U$3:$U$3000="GARCIA"))=0,"",SUMPRODUCT((INPUT!$T$3:$T$3000=46031)*(INPUT!$U$3:$U$3000="GARCIA")*(INPUT!$V$3:$V$3000+INPUT!$W$3:$W$3000+INPUT!$X$3:$X$3000+INPUT!$Y$3:$Y$3000))),"")</f>
        <v>18</v>
      </c>
      <c r="DT8" s="42" cm="1">
        <f t="array" ref="DT8">IFERROR(IF(SUMPRODUCT((INPUT!$T$3:$T$3000=46041)*(INPUT!$U$3:$U$3000="GARCIA"))=0,"",SUMPRODUCT((INPUT!$T$3:$T$3000=46041)*(INPUT!$U$3:$U$3000="GARCIA")*(INPUT!$V$3:$V$3000+INPUT!$W$3:$W$3000+INPUT!$X$3:$X$3000+INPUT!$Y$3:$Y$3000))),"")</f>
        <v>19</v>
      </c>
      <c r="DU8" s="42" cm="1">
        <f t="array" ref="DU8">IFERROR(IF(SUMPRODUCT((INPUT!$T$3:$T$3000=46042)*(INPUT!$U$3:$U$3000="GARCIA"))=0,"",SUMPRODUCT((INPUT!$T$3:$T$3000=46042)*(INPUT!$U$3:$U$3000="GARCIA")*(INPUT!$V$3:$V$3000+INPUT!$W$3:$W$3000+INPUT!$X$3:$X$3000+INPUT!$Y$3:$Y$3000))),"")</f>
        <v>19</v>
      </c>
      <c r="DV8" s="42" cm="1">
        <f t="array" ref="DV8">IFERROR(IF(SUMPRODUCT((INPUT!$T$3:$T$3000=46043)*(INPUT!$U$3:$U$3000="GARCIA"))=0,"",SUMPRODUCT((INPUT!$T$3:$T$3000=46043)*(INPUT!$U$3:$U$3000="GARCIA")*(INPUT!$V$3:$V$3000+INPUT!$W$3:$W$3000+INPUT!$X$3:$X$3000+INPUT!$Y$3:$Y$3000))),"")</f>
        <v>14</v>
      </c>
      <c r="DW8" s="42" cm="1">
        <f t="array" ref="DW8">IFERROR(IF(SUMPRODUCT((INPUT!$T$3:$T$3000=46044)*(INPUT!$U$3:$U$3000="GARCIA"))=0,"",SUMPRODUCT((INPUT!$T$3:$T$3000=46044)*(INPUT!$U$3:$U$3000="GARCIA")*(INPUT!$V$3:$V$3000+INPUT!$W$3:$W$3000+INPUT!$X$3:$X$3000+INPUT!$Y$3:$Y$3000))),"")</f>
        <v>16</v>
      </c>
      <c r="DX8" s="42" cm="1">
        <f t="array" ref="DX8">IFERROR(IF(SUMPRODUCT((INPUT!$T$3:$T$3000=46045)*(INPUT!$U$3:$U$3000="GARCIA"))=0,"",SUMPRODUCT((INPUT!$T$3:$T$3000=46045)*(INPUT!$U$3:$U$3000="GARCIA")*(INPUT!$V$3:$V$3000+INPUT!$W$3:$W$3000+INPUT!$X$3:$X$3000+INPUT!$Y$3:$Y$3000))),"")</f>
        <v>16</v>
      </c>
      <c r="DY8" s="42" cm="1">
        <f t="array" ref="DY8">IFERROR(IF(SUMPRODUCT((INPUT!$T$3:$T$3000=46048)*(INPUT!$U$3:$U$3000="GARCIA"))=0,"",SUMPRODUCT((INPUT!$T$3:$T$3000=46048)*(INPUT!$U$3:$U$3000="GARCIA")*(INPUT!$V$3:$V$3000+INPUT!$W$3:$W$3000+INPUT!$X$3:$X$3000+INPUT!$Y$3:$Y$3000))),"")</f>
        <v>16</v>
      </c>
      <c r="DZ8" s="42" cm="1">
        <f t="array" ref="DZ8">IFERROR(IF(SUMPRODUCT((INPUT!$T$3:$T$3000=46049)*(INPUT!$U$3:$U$3000="GARCIA"))=0,"",SUMPRODUCT((INPUT!$T$3:$T$3000=46049)*(INPUT!$U$3:$U$3000="GARCIA")*(INPUT!$V$3:$V$3000+INPUT!$W$3:$W$3000+INPUT!$X$3:$X$3000+INPUT!$Y$3:$Y$3000))),"")</f>
        <v>17</v>
      </c>
      <c r="EA8" s="42" t="str" cm="1">
        <f t="array" ref="EA8">IFERROR(IF(SUMPRODUCT((INPUT!$T$3:$T$3000=46050)*(INPUT!$U$3:$U$3000="GARCIA"))=0,"",SUMPRODUCT((INPUT!$T$3:$T$3000=46050)*(INPUT!$U$3:$U$3000="GARCIA")*(INPUT!$V$3:$V$3000+INPUT!$W$3:$W$3000+INPUT!$X$3:$X$3000+INPUT!$Y$3:$Y$3000))),"")</f>
        <v/>
      </c>
      <c r="EB8" s="42" cm="1">
        <f t="array" ref="EB8">IFERROR(IF(SUMPRODUCT((INPUT!$T$3:$T$3000=46051)*(INPUT!$U$3:$U$3000="GARCIA"))=0,"",SUMPRODUCT((INPUT!$T$3:$T$3000=46051)*(INPUT!$U$3:$U$3000="GARCIA")*(INPUT!$V$3:$V$3000+INPUT!$W$3:$W$3000+INPUT!$X$3:$X$3000+INPUT!$Y$3:$Y$3000))),"")</f>
        <v>17</v>
      </c>
      <c r="EC8" s="42" cm="1">
        <f t="array" ref="EC8">IFERROR(IF(SUMPRODUCT((INPUT!$T$3:$T$3000=46052)*(INPUT!$U$3:$U$3000="GARCIA"))=0,"",SUMPRODUCT((INPUT!$T$3:$T$3000=46052)*(INPUT!$U$3:$U$3000="GARCIA")*(INPUT!$V$3:$V$3000+INPUT!$W$3:$W$3000+INPUT!$X$3:$X$3000+INPUT!$Y$3:$Y$3000))),"")</f>
        <v>17</v>
      </c>
      <c r="ED8" s="42" cm="1">
        <f t="array" ref="ED8">IFERROR(IF(SUMPRODUCT((INPUT!$T$3:$T$3000=46055)*(INPUT!$U$3:$U$3000="GARCIA"))=0,"",SUMPRODUCT((INPUT!$T$3:$T$3000=46055)*(INPUT!$U$3:$U$3000="GARCIA")*(INPUT!$V$3:$V$3000+INPUT!$W$3:$W$3000+INPUT!$X$3:$X$3000+INPUT!$Y$3:$Y$3000))),"")</f>
        <v>17</v>
      </c>
      <c r="EE8" s="42" cm="1">
        <f t="array" ref="EE8">IFERROR(IF(SUMPRODUCT((INPUT!$T$3:$T$3000=46056)*(INPUT!$U$3:$U$3000="GARCIA"))=0,"",SUMPRODUCT((INPUT!$T$3:$T$3000=46056)*(INPUT!$U$3:$U$3000="GARCIA")*(INPUT!$V$3:$V$3000+INPUT!$W$3:$W$3000+INPUT!$X$3:$X$3000+INPUT!$Y$3:$Y$3000))),"")</f>
        <v>17</v>
      </c>
      <c r="EF8" s="42" cm="1">
        <f t="array" ref="EF8">IFERROR(IF(SUMPRODUCT((INPUT!$T$3:$T$3000=46057)*(INPUT!$U$3:$U$3000="GARCIA"))=0,"",SUMPRODUCT((INPUT!$T$3:$T$3000=46057)*(INPUT!$U$3:$U$3000="GARCIA")*(INPUT!$V$3:$V$3000+INPUT!$W$3:$W$3000+INPUT!$X$3:$X$3000+INPUT!$Y$3:$Y$3000))),"")</f>
        <v>17</v>
      </c>
      <c r="EG8" s="42" cm="1">
        <f t="array" ref="EG8">IFERROR(IF(SUMPRODUCT((INPUT!$T$3:$T$3000=46058)*(INPUT!$U$3:$U$3000="GARCIA"))=0,"",SUMPRODUCT((INPUT!$T$3:$T$3000=46058)*(INPUT!$U$3:$U$3000="GARCIA")*(INPUT!$V$3:$V$3000+INPUT!$W$3:$W$3000+INPUT!$X$3:$X$3000+INPUT!$Y$3:$Y$3000))),"")</f>
        <v>17</v>
      </c>
      <c r="EH8" s="42" cm="1">
        <f t="array" ref="EH8">IFERROR(IF(SUMPRODUCT((INPUT!$T$3:$T$3000=46059)*(INPUT!$U$3:$U$3000="GARCIA"))=0,"",SUMPRODUCT((INPUT!$T$3:$T$3000=46059)*(INPUT!$U$3:$U$3000="GARCIA")*(INPUT!$V$3:$V$3000+INPUT!$W$3:$W$3000+INPUT!$X$3:$X$3000+INPUT!$Y$3:$Y$3000))),"")</f>
        <v>17</v>
      </c>
      <c r="EI8" s="42" cm="1">
        <f t="array" ref="EI8">IFERROR(IF(SUMPRODUCT((INPUT!$T$3:$T$3000=46061)*(INPUT!$U$3:$U$3000="GARCIA"))=0,"",SUMPRODUCT((INPUT!$T$3:$T$3000=46061)*(INPUT!$U$3:$U$3000="GARCIA")*(INPUT!$V$3:$V$3000+INPUT!$W$3:$W$3000+INPUT!$X$3:$X$3000+INPUT!$Y$3:$Y$3000))),"")</f>
        <v>17</v>
      </c>
      <c r="EJ8" s="42" cm="1">
        <f t="array" ref="EJ8">IFERROR(IF(SUMPRODUCT((INPUT!$T$3:$T$3000=46062)*(INPUT!$U$3:$U$3000="GARCIA"))=0,"",SUMPRODUCT((INPUT!$T$3:$T$3000=46062)*(INPUT!$U$3:$U$3000="GARCIA")*(INPUT!$V$3:$V$3000+INPUT!$W$3:$W$3000+INPUT!$X$3:$X$3000+INPUT!$Y$3:$Y$3000))),"")</f>
        <v>16</v>
      </c>
      <c r="EK8" s="42" cm="1">
        <f t="array" ref="EK8">IFERROR(IF(SUMPRODUCT((INPUT!$T$3:$T$3000=46063)*(INPUT!$U$3:$U$3000="GARCIA"))=0,"",SUMPRODUCT((INPUT!$T$3:$T$3000=46063)*(INPUT!$U$3:$U$3000="GARCIA")*(INPUT!$V$3:$V$3000+INPUT!$W$3:$W$3000+INPUT!$X$3:$X$3000+INPUT!$Y$3:$Y$3000))),"")</f>
        <v>17</v>
      </c>
      <c r="EL8" s="42" cm="1">
        <f t="array" ref="EL8">IFERROR(IF(SUMPRODUCT((INPUT!$T$3:$T$3000=46064)*(INPUT!$U$3:$U$3000="GARCIA"))=0,"",SUMPRODUCT((INPUT!$T$3:$T$3000=46064)*(INPUT!$U$3:$U$3000="GARCIA")*(INPUT!$V$3:$V$3000+INPUT!$W$3:$W$3000+INPUT!$X$3:$X$3000+INPUT!$Y$3:$Y$3000))),"")</f>
        <v>17</v>
      </c>
      <c r="EM8" s="42" cm="1">
        <f t="array" ref="EM8">IFERROR(IF(SUMPRODUCT((INPUT!$T$3:$T$3000=46065)*(INPUT!$U$3:$U$3000="GARCIA"))=0,"",SUMPRODUCT((INPUT!$T$3:$T$3000=46065)*(INPUT!$U$3:$U$3000="GARCIA")*(INPUT!$V$3:$V$3000+INPUT!$W$3:$W$3000+INPUT!$X$3:$X$3000+INPUT!$Y$3:$Y$3000))),"")</f>
        <v>16</v>
      </c>
      <c r="EN8" s="42" cm="1">
        <f t="array" ref="EN8">IFERROR(IF(SUMPRODUCT((INPUT!$T$3:$T$3000=46066)*(INPUT!$U$3:$U$3000="GARCIA"))=0,"",SUMPRODUCT((INPUT!$T$3:$T$3000=46066)*(INPUT!$U$3:$U$3000="GARCIA")*(INPUT!$V$3:$V$3000+INPUT!$W$3:$W$3000+INPUT!$X$3:$X$3000+INPUT!$Y$3:$Y$3000))),"")</f>
        <v>17</v>
      </c>
      <c r="EO8" s="42" cm="1">
        <f t="array" ref="EO8">IFERROR(IF(SUMPRODUCT((INPUT!$T$3:$T$3000=46067)*(INPUT!$U$3:$U$3000="GARCIA"))=0,"",SUMPRODUCT((INPUT!$T$3:$T$3000=46067)*(INPUT!$U$3:$U$3000="GARCIA")*(INPUT!$V$3:$V$3000+INPUT!$W$3:$W$3000+INPUT!$X$3:$X$3000+INPUT!$Y$3:$Y$3000))),"")</f>
        <v>17</v>
      </c>
      <c r="EP8" s="42" cm="1">
        <f t="array" ref="EP8">IFERROR(IF(SUMPRODUCT((INPUT!$T$3:$T$3000=46069)*(INPUT!$U$3:$U$3000="GARCIA"))=0,"",SUMPRODUCT((INPUT!$T$3:$T$3000=46069)*(INPUT!$U$3:$U$3000="GARCIA")*(INPUT!$V$3:$V$3000+INPUT!$W$3:$W$3000+INPUT!$X$3:$X$3000+INPUT!$Y$3:$Y$3000))),"")</f>
        <v>16</v>
      </c>
      <c r="EQ8" s="42" cm="1">
        <f t="array" ref="EQ8">IFERROR(IF(SUMPRODUCT((INPUT!$T$3:$T$3000=46072)*(INPUT!$U$3:$U$3000="GARCIA"))=0,"",SUMPRODUCT((INPUT!$T$3:$T$3000=46072)*(INPUT!$U$3:$U$3000="GARCIA")*(INPUT!$V$3:$V$3000+INPUT!$W$3:$W$3000+INPUT!$X$3:$X$3000+INPUT!$Y$3:$Y$3000))),"")</f>
        <v>16</v>
      </c>
      <c r="ER8" s="42" cm="1">
        <f t="array" ref="ER8">IFERROR(IF(SUMPRODUCT((INPUT!$T$3:$T$3000=46073)*(INPUT!$U$3:$U$3000="GARCIA"))=0,"",SUMPRODUCT((INPUT!$T$3:$T$3000=46073)*(INPUT!$U$3:$U$3000="GARCIA")*(INPUT!$V$3:$V$3000+INPUT!$W$3:$W$3000+INPUT!$X$3:$X$3000+INPUT!$Y$3:$Y$3000))),"")</f>
        <v>15</v>
      </c>
      <c r="ES8" s="42" cm="1">
        <f t="array" ref="ES8">IFERROR(IF(SUMPRODUCT((INPUT!$T$3:$T$3000=46076)*(INPUT!$U$3:$U$3000="GARCIA"))=0,"",SUMPRODUCT((INPUT!$T$3:$T$3000=46076)*(INPUT!$U$3:$U$3000="GARCIA")*(INPUT!$V$3:$V$3000+INPUT!$W$3:$W$3000+INPUT!$X$3:$X$3000+INPUT!$Y$3:$Y$3000))),"")</f>
        <v>16</v>
      </c>
      <c r="ET8" s="42" cm="1">
        <f t="array" ref="ET8">IFERROR(IF(SUMPRODUCT((INPUT!$T$3:$T$3000=46077)*(INPUT!$U$3:$U$3000="GARCIA"))=0,"",SUMPRODUCT((INPUT!$T$3:$T$3000=46077)*(INPUT!$U$3:$U$3000="GARCIA")*(INPUT!$V$3:$V$3000+INPUT!$W$3:$W$3000+INPUT!$X$3:$X$3000+INPUT!$Y$3:$Y$3000))),"")</f>
        <v>16</v>
      </c>
      <c r="EU8" s="42" cm="1">
        <f t="array" ref="EU8">IFERROR(IF(SUMPRODUCT((INPUT!$T$3:$T$3000=46078)*(INPUT!$U$3:$U$3000="GARCIA"))=0,"",SUMPRODUCT((INPUT!$T$3:$T$3000=46078)*(INPUT!$U$3:$U$3000="GARCIA")*(INPUT!$V$3:$V$3000+INPUT!$W$3:$W$3000+INPUT!$X$3:$X$3000+INPUT!$Y$3:$Y$3000))),"")</f>
        <v>16</v>
      </c>
      <c r="EV8" s="42" cm="1">
        <f t="array" ref="EV8">IFERROR(IF(SUMPRODUCT((INPUT!$T$3:$T$3000=46079)*(INPUT!$U$3:$U$3000="GARCIA"))=0,"",SUMPRODUCT((INPUT!$T$3:$T$3000=46079)*(INPUT!$U$3:$U$3000="GARCIA")*(INPUT!$V$3:$V$3000+INPUT!$W$3:$W$3000+INPUT!$X$3:$X$3000+INPUT!$Y$3:$Y$3000))),"")</f>
        <v>16</v>
      </c>
      <c r="EW8" s="42" cm="1">
        <f t="array" ref="EW8">IFERROR(IF(SUMPRODUCT((INPUT!$T$3:$T$3000=46080)*(INPUT!$U$3:$U$3000="GARCIA"))=0,"",SUMPRODUCT((INPUT!$T$3:$T$3000=46080)*(INPUT!$U$3:$U$3000="GARCIA")*(INPUT!$V$3:$V$3000+INPUT!$W$3:$W$3000+INPUT!$X$3:$X$3000+INPUT!$Y$3:$Y$3000))),"")</f>
        <v>16</v>
      </c>
      <c r="EX8" s="42" cm="1">
        <f t="array" ref="EX8">IFERROR(IF(SUMPRODUCT((INPUT!$T$3:$T$3000=46082)*(INPUT!$U$3:$U$3000="GARCIA"))=0,"",SUMPRODUCT((INPUT!$T$3:$T$3000=46082)*(INPUT!$U$3:$U$3000="GARCIA")*(INPUT!$V$3:$V$3000+INPUT!$W$3:$W$3000+INPUT!$X$3:$X$3000+INPUT!$Y$3:$Y$3000))),"")</f>
        <v>20</v>
      </c>
      <c r="EY8" s="42" cm="1">
        <f t="array" ref="EY8">IFERROR(IF(SUMPRODUCT((INPUT!$T$3:$T$3000=46084)*(INPUT!$U$3:$U$3000="GARCIA"))=0,"",SUMPRODUCT((INPUT!$T$3:$T$3000=46084)*(INPUT!$U$3:$U$3000="GARCIA")*(INPUT!$V$3:$V$3000+INPUT!$W$3:$W$3000+INPUT!$X$3:$X$3000+INPUT!$Y$3:$Y$3000))),"")</f>
        <v>16</v>
      </c>
      <c r="EZ8" s="42" cm="1">
        <f t="array" ref="EZ8">IFERROR(IF(SUMPRODUCT((INPUT!$T$3:$T$3000=46085)*(INPUT!$U$3:$U$3000="GARCIA"))=0,"",SUMPRODUCT((INPUT!$T$3:$T$3000=46085)*(INPUT!$U$3:$U$3000="GARCIA")*(INPUT!$V$3:$V$3000+INPUT!$W$3:$W$3000+INPUT!$X$3:$X$3000+INPUT!$Y$3:$Y$3000))),"")</f>
        <v>17</v>
      </c>
      <c r="FA8" s="42" cm="1">
        <f t="array" ref="FA8">IFERROR(IF(SUMPRODUCT((INPUT!$T$3:$T$3000=46086)*(INPUT!$U$3:$U$3000="GARCIA"))=0,"",SUMPRODUCT((INPUT!$T$3:$T$3000=46086)*(INPUT!$U$3:$U$3000="GARCIA")*(INPUT!$V$3:$V$3000+INPUT!$W$3:$W$3000+INPUT!$X$3:$X$3000+INPUT!$Y$3:$Y$3000))),"")</f>
        <v>17</v>
      </c>
      <c r="FB8" s="42" cm="1">
        <f t="array" ref="FB8">IFERROR(IF(SUMPRODUCT((INPUT!$T$3:$T$3000=46087)*(INPUT!$U$3:$U$3000="GARCIA"))=0,"",SUMPRODUCT((INPUT!$T$3:$T$3000=46087)*(INPUT!$U$3:$U$3000="GARCIA")*(INPUT!$V$3:$V$3000+INPUT!$W$3:$W$3000+INPUT!$X$3:$X$3000+INPUT!$Y$3:$Y$3000))),"")</f>
        <v>20</v>
      </c>
      <c r="FC8" s="42" cm="1">
        <f t="array" ref="FC8">IFERROR(IF(SUMPRODUCT((INPUT!$T$3:$T$3000=46090)*(INPUT!$U$3:$U$3000="GARCIA"))=0,"",SUMPRODUCT((INPUT!$T$3:$T$3000=46090)*(INPUT!$U$3:$U$3000="GARCIA")*(INPUT!$V$3:$V$3000+INPUT!$W$3:$W$3000+INPUT!$X$3:$X$3000+INPUT!$Y$3:$Y$3000))),"")</f>
        <v>16</v>
      </c>
      <c r="FD8" s="42" cm="1">
        <f t="array" ref="FD8">IFERROR(IF(SUMPRODUCT((INPUT!$T$3:$T$3000=46091)*(INPUT!$U$3:$U$3000="GARCIA"))=0,"",SUMPRODUCT((INPUT!$T$3:$T$3000=46091)*(INPUT!$U$3:$U$3000="GARCIA")*(INPUT!$V$3:$V$3000+INPUT!$W$3:$W$3000+INPUT!$X$3:$X$3000+INPUT!$Y$3:$Y$3000))),"")</f>
        <v>16</v>
      </c>
      <c r="FE8" s="42" cm="1">
        <f t="array" ref="FE8">IFERROR(IF(SUMPRODUCT((INPUT!$T$3:$T$3000=46092)*(INPUT!$U$3:$U$3000="GARCIA"))=0,"",SUMPRODUCT((INPUT!$T$3:$T$3000=46092)*(INPUT!$U$3:$U$3000="GARCIA")*(INPUT!$V$3:$V$3000+INPUT!$W$3:$W$3000+INPUT!$X$3:$X$3000+INPUT!$Y$3:$Y$3000))),"")</f>
        <v>16</v>
      </c>
      <c r="FF8" s="42" cm="1">
        <f t="array" ref="FF8">IFERROR(IF(SUMPRODUCT((INPUT!$T$3:$T$3000=46093)*(INPUT!$U$3:$U$3000="GARCIA"))=0,"",SUMPRODUCT((INPUT!$T$3:$T$3000=46093)*(INPUT!$U$3:$U$3000="GARCIA")*(INPUT!$V$3:$V$3000+INPUT!$W$3:$W$3000+INPUT!$X$3:$X$3000+INPUT!$Y$3:$Y$3000))),"")</f>
        <v>16</v>
      </c>
      <c r="FG8" s="42" cm="1">
        <f t="array" ref="FG8">IFERROR(IF(SUMPRODUCT((INPUT!$T$3:$T$3000=46094)*(INPUT!$U$3:$U$3000="GARCIA"))=0,"",SUMPRODUCT((INPUT!$T$3:$T$3000=46094)*(INPUT!$U$3:$U$3000="GARCIA")*(INPUT!$V$3:$V$3000+INPUT!$W$3:$W$3000+INPUT!$X$3:$X$3000+INPUT!$Y$3:$Y$3000))),"")</f>
        <v>16</v>
      </c>
      <c r="FH8" s="42" cm="1">
        <f t="array" ref="FH8">IFERROR(IF(SUMPRODUCT((INPUT!$T$3:$T$3000=46096)*(INPUT!$U$3:$U$3000="GARCIA"))=0,"",SUMPRODUCT((INPUT!$T$3:$T$3000=46096)*(INPUT!$U$3:$U$3000="GARCIA")*(INPUT!$V$3:$V$3000+INPUT!$W$3:$W$3000+INPUT!$X$3:$X$3000+INPUT!$Y$3:$Y$3000))),"")</f>
        <v>16</v>
      </c>
      <c r="FI8" s="42" cm="1">
        <f t="array" ref="FI8">IFERROR(IF(SUMPRODUCT((INPUT!$T$3:$T$3000=46097)*(INPUT!$U$3:$U$3000="GARCIA"))=0,"",SUMPRODUCT((INPUT!$T$3:$T$3000=46097)*(INPUT!$U$3:$U$3000="GARCIA")*(INPUT!$V$3:$V$3000+INPUT!$W$3:$W$3000+INPUT!$X$3:$X$3000+INPUT!$Y$3:$Y$3000))),"")</f>
        <v>16</v>
      </c>
      <c r="FJ8" s="42" cm="1">
        <f t="array" ref="FJ8">IFERROR(IF(SUMPRODUCT((INPUT!$T$3:$T$3000=46098)*(INPUT!$U$3:$U$3000="GARCIA"))=0,"",SUMPRODUCT((INPUT!$T$3:$T$3000=46098)*(INPUT!$U$3:$U$3000="GARCIA")*(INPUT!$V$3:$V$3000+INPUT!$W$3:$W$3000+INPUT!$X$3:$X$3000+INPUT!$Y$3:$Y$3000))),"")</f>
        <v>16</v>
      </c>
      <c r="FK8" s="42" cm="1">
        <f t="array" ref="FK8">IFERROR(IF(SUMPRODUCT((INPUT!$T$3:$T$3000=46099)*(INPUT!$U$3:$U$3000="GARCIA"))=0,"",SUMPRODUCT((INPUT!$T$3:$T$3000=46099)*(INPUT!$U$3:$U$3000="GARCIA")*(INPUT!$V$3:$V$3000+INPUT!$W$3:$W$3000+INPUT!$X$3:$X$3000+INPUT!$Y$3:$Y$3000))),"")</f>
        <v>16</v>
      </c>
      <c r="FL8" s="42" cm="1">
        <f t="array" ref="FL8">IFERROR(IF(SUMPRODUCT((INPUT!$T$3:$T$3000=46102)*(INPUT!$U$3:$U$3000="GARCIA"))=0,"",SUMPRODUCT((INPUT!$T$3:$T$3000=46102)*(INPUT!$U$3:$U$3000="GARCIA")*(INPUT!$V$3:$V$3000+INPUT!$W$3:$W$3000+INPUT!$X$3:$X$3000+INPUT!$Y$3:$Y$3000))),"")</f>
        <v>20</v>
      </c>
      <c r="FM8" s="42" cm="1">
        <f t="array" ref="FM8">IFERROR(IF(SUMPRODUCT((INPUT!$T$3:$T$3000=46105)*(INPUT!$U$3:$U$3000="GARCIA"))=0,"",SUMPRODUCT((INPUT!$T$3:$T$3000=46105)*(INPUT!$U$3:$U$3000="GARCIA")*(INPUT!$V$3:$V$3000+INPUT!$W$3:$W$3000+INPUT!$X$3:$X$3000+INPUT!$Y$3:$Y$3000))),"")</f>
        <v>16</v>
      </c>
      <c r="FN8" s="42" cm="1">
        <f t="array" ref="FN8">IFERROR(IF(SUMPRODUCT((INPUT!$T$3:$T$3000=46106)*(INPUT!$U$3:$U$3000="GARCIA"))=0,"",SUMPRODUCT((INPUT!$T$3:$T$3000=46106)*(INPUT!$U$3:$U$3000="GARCIA")*(INPUT!$V$3:$V$3000+INPUT!$W$3:$W$3000+INPUT!$X$3:$X$3000+INPUT!$Y$3:$Y$3000))),"")</f>
        <v>16</v>
      </c>
      <c r="FO8" s="42" cm="1">
        <f t="array" ref="FO8">IFERROR(IF(SUMPRODUCT((INPUT!$T$3:$T$3000=46107)*(INPUT!$U$3:$U$3000="GARCIA"))=0,"",SUMPRODUCT((INPUT!$T$3:$T$3000=46107)*(INPUT!$U$3:$U$3000="GARCIA")*(INPUT!$V$3:$V$3000+INPUT!$W$3:$W$3000+INPUT!$X$3:$X$3000+INPUT!$Y$3:$Y$3000))),"")</f>
        <v>16</v>
      </c>
      <c r="FP8" s="42" cm="1">
        <f t="array" ref="FP8">IFERROR(IF(SUMPRODUCT((INPUT!$T$3:$T$3000=46108)*(INPUT!$U$3:$U$3000="GARCIA"))=0,"",SUMPRODUCT((INPUT!$T$3:$T$3000=46108)*(INPUT!$U$3:$U$3000="GARCIA")*(INPUT!$V$3:$V$3000+INPUT!$W$3:$W$3000+INPUT!$X$3:$X$3000+INPUT!$Y$3:$Y$3000))),"")</f>
        <v>16</v>
      </c>
      <c r="FQ8" s="42" cm="1">
        <f t="array" ref="FQ8">IFERROR(IF(SUMPRODUCT((INPUT!$T$3:$T$3000=46109)*(INPUT!$U$3:$U$3000="GARCIA"))=0,"",SUMPRODUCT((INPUT!$T$3:$T$3000=46109)*(INPUT!$U$3:$U$3000="GARCIA")*(INPUT!$V$3:$V$3000+INPUT!$W$3:$W$3000+INPUT!$X$3:$X$3000+INPUT!$Y$3:$Y$3000))),"")</f>
        <v>16</v>
      </c>
      <c r="FR8" s="42" cm="1">
        <f t="array" ref="FR8">IFERROR(IF(SUMPRODUCT((INPUT!$T$3:$T$3000=46111)*(INPUT!$U$3:$U$3000="GARCIA"))=0,"",SUMPRODUCT((INPUT!$T$3:$T$3000=46111)*(INPUT!$U$3:$U$3000="GARCIA")*(INPUT!$V$3:$V$3000+INPUT!$W$3:$W$3000+INPUT!$X$3:$X$3000+INPUT!$Y$3:$Y$3000))),"")</f>
        <v>16</v>
      </c>
      <c r="FS8" s="42" cm="1">
        <f t="array" ref="FS8">IFERROR(IF(SUMPRODUCT((INPUT!$T$3:$T$3000=46112)*(INPUT!$U$3:$U$3000="GARCIA"))=0,"",SUMPRODUCT((INPUT!$T$3:$T$3000=46112)*(INPUT!$U$3:$U$3000="GARCIA")*(INPUT!$V$3:$V$3000+INPUT!$W$3:$W$3000+INPUT!$X$3:$X$3000+INPUT!$Y$3:$Y$3000))),"")</f>
        <v>16</v>
      </c>
      <c r="FT8" s="42" cm="1">
        <f t="array" ref="FT8">IFERROR(IF(SUMPRODUCT((INPUT!$T$3:$T$3000=46113)*(INPUT!$U$3:$U$3000="GARCIA"))=0,"",SUMPRODUCT((INPUT!$T$3:$T$3000=46113)*(INPUT!$U$3:$U$3000="GARCIA")*(INPUT!$V$3:$V$3000+INPUT!$W$3:$W$3000+INPUT!$X$3:$X$3000+INPUT!$Y$3:$Y$3000))),"")</f>
        <v>16</v>
      </c>
      <c r="FU8" s="42" cm="1">
        <f t="array" ref="FU8">IFERROR(IF(SUMPRODUCT((INPUT!$T$3:$T$3000=46114)*(INPUT!$U$3:$U$3000="GARCIA"))=0,"",SUMPRODUCT((INPUT!$T$3:$T$3000=46114)*(INPUT!$U$3:$U$3000="GARCIA")*(INPUT!$V$3:$V$3000+INPUT!$W$3:$W$3000+INPUT!$X$3:$X$3000+INPUT!$Y$3:$Y$3000))),"")</f>
        <v>16</v>
      </c>
      <c r="FV8" s="42" cm="1">
        <f t="array" ref="FV8">IFERROR(IF(SUMPRODUCT((INPUT!$T$3:$T$3000=46115)*(INPUT!$U$3:$U$3000="GARCIA"))=0,"",SUMPRODUCT((INPUT!$T$3:$T$3000=46115)*(INPUT!$U$3:$U$3000="GARCIA")*(INPUT!$V$3:$V$3000+INPUT!$W$3:$W$3000+INPUT!$X$3:$X$3000+INPUT!$Y$3:$Y$3000))),"")</f>
        <v>16</v>
      </c>
      <c r="FW8" s="42" cm="1">
        <f t="array" ref="FW8">IFERROR(IF(SUMPRODUCT((INPUT!$T$3:$T$3000=46116)*(INPUT!$U$3:$U$3000="GARCIA"))=0,"",SUMPRODUCT((INPUT!$T$3:$T$3000=46116)*(INPUT!$U$3:$U$3000="GARCIA")*(INPUT!$V$3:$V$3000+INPUT!$W$3:$W$3000+INPUT!$X$3:$X$3000+INPUT!$Y$3:$Y$3000))),"")</f>
        <v>16</v>
      </c>
      <c r="FX8" s="42" cm="1">
        <f t="array" ref="FX8">IFERROR(IF(SUMPRODUCT((INPUT!$T$3:$T$3000=46118)*(INPUT!$U$3:$U$3000="GARCIA"))=0,"",SUMPRODUCT((INPUT!$T$3:$T$3000=46118)*(INPUT!$U$3:$U$3000="GARCIA")*(INPUT!$V$3:$V$3000+INPUT!$W$3:$W$3000+INPUT!$X$3:$X$3000+INPUT!$Y$3:$Y$3000))),"")</f>
        <v>16</v>
      </c>
      <c r="FY8" s="42" cm="1">
        <f t="array" ref="FY8">IFERROR(IF(SUMPRODUCT((INPUT!$T$3:$T$3000=46119)*(INPUT!$U$3:$U$3000="GARCIA"))=0,"",SUMPRODUCT((INPUT!$T$3:$T$3000=46119)*(INPUT!$U$3:$U$3000="GARCIA")*(INPUT!$V$3:$V$3000+INPUT!$W$3:$W$3000+INPUT!$X$3:$X$3000+INPUT!$Y$3:$Y$3000))),"")</f>
        <v>16</v>
      </c>
      <c r="FZ8" s="42" cm="1">
        <f t="array" ref="FZ8">IFERROR(IF(SUMPRODUCT((INPUT!$T$3:$T$3000=46120)*(INPUT!$U$3:$U$3000="GARCIA"))=0,"",SUMPRODUCT((INPUT!$T$3:$T$3000=46120)*(INPUT!$U$3:$U$3000="GARCIA")*(INPUT!$V$3:$V$3000+INPUT!$W$3:$W$3000+INPUT!$X$3:$X$3000+INPUT!$Y$3:$Y$3000))),"")</f>
        <v>16</v>
      </c>
      <c r="GA8" s="42" cm="1">
        <f t="array" ref="GA8">IFERROR(IF(SUMPRODUCT((INPUT!$T$3:$T$3000=46121)*(INPUT!$U$3:$U$3000="GARCIA"))=0,"",SUMPRODUCT((INPUT!$T$3:$T$3000=46121)*(INPUT!$U$3:$U$3000="GARCIA")*(INPUT!$V$3:$V$3000+INPUT!$W$3:$W$3000+INPUT!$X$3:$X$3000+INPUT!$Y$3:$Y$3000))),"")</f>
        <v>16</v>
      </c>
      <c r="GB8" s="42" cm="1">
        <f t="array" ref="GB8">IFERROR(IF(SUMPRODUCT((INPUT!$T$3:$T$3000=46122)*(INPUT!$U$3:$U$3000="GARCIA"))=0,"",SUMPRODUCT((INPUT!$T$3:$T$3000=46122)*(INPUT!$U$3:$U$3000="GARCIA")*(INPUT!$V$3:$V$3000+INPUT!$W$3:$W$3000+INPUT!$X$3:$X$3000+INPUT!$Y$3:$Y$3000))),"")</f>
        <v>16</v>
      </c>
      <c r="GC8" s="42" cm="1">
        <f t="array" ref="GC8">IFERROR(IF(SUMPRODUCT((INPUT!$T$3:$T$3000=46125)*(INPUT!$U$3:$U$3000="GARCIA"))=0,"",SUMPRODUCT((INPUT!$T$3:$T$3000=46125)*(INPUT!$U$3:$U$3000="GARCIA")*(INPUT!$V$3:$V$3000+INPUT!$W$3:$W$3000+INPUT!$X$3:$X$3000+INPUT!$Y$3:$Y$3000))),"")</f>
        <v>16</v>
      </c>
      <c r="GD8" s="42" cm="1">
        <f t="array" ref="GD8">IFERROR(IF(SUMPRODUCT((INPUT!$T$3:$T$3000=46126)*(INPUT!$U$3:$U$3000="GARCIA"))=0,"",SUMPRODUCT((INPUT!$T$3:$T$3000=46126)*(INPUT!$U$3:$U$3000="GARCIA")*(INPUT!$V$3:$V$3000+INPUT!$W$3:$W$3000+INPUT!$X$3:$X$3000+INPUT!$Y$3:$Y$3000))),"")</f>
        <v>16</v>
      </c>
      <c r="GE8" s="42" cm="1">
        <f t="array" ref="GE8">IFERROR(IF(SUMPRODUCT((INPUT!$T$3:$T$3000=46127)*(INPUT!$U$3:$U$3000="GARCIA"))=0,"",SUMPRODUCT((INPUT!$T$3:$T$3000=46127)*(INPUT!$U$3:$U$3000="GARCIA")*(INPUT!$V$3:$V$3000+INPUT!$W$3:$W$3000+INPUT!$X$3:$X$3000+INPUT!$Y$3:$Y$3000))),"")</f>
        <v>16</v>
      </c>
      <c r="GF8" s="42" cm="1">
        <f t="array" ref="GF8">IFERROR(IF(SUMPRODUCT((INPUT!$T$3:$T$3000=46128)*(INPUT!$U$3:$U$3000="GARCIA"))=0,"",SUMPRODUCT((INPUT!$T$3:$T$3000=46128)*(INPUT!$U$3:$U$3000="GARCIA")*(INPUT!$V$3:$V$3000+INPUT!$W$3:$W$3000+INPUT!$X$3:$X$3000+INPUT!$Y$3:$Y$3000))),"")</f>
        <v>16</v>
      </c>
      <c r="GG8" s="42" cm="1">
        <f t="array" ref="GG8">IFERROR(IF(SUMPRODUCT((INPUT!$T$3:$T$3000=46129)*(INPUT!$U$3:$U$3000="GARCIA"))=0,"",SUMPRODUCT((INPUT!$T$3:$T$3000=46129)*(INPUT!$U$3:$U$3000="GARCIA")*(INPUT!$V$3:$V$3000+INPUT!$W$3:$W$3000+INPUT!$X$3:$X$3000+INPUT!$Y$3:$Y$3000))),"")</f>
        <v>16</v>
      </c>
      <c r="GH8" s="42" cm="1">
        <f t="array" ref="GH8">IFERROR(IF(SUMPRODUCT((INPUT!$T$3:$T$3000=46130)*(INPUT!$U$3:$U$3000="GARCIA"))=0,"",SUMPRODUCT((INPUT!$T$3:$T$3000=46130)*(INPUT!$U$3:$U$3000="GARCIA")*(INPUT!$V$3:$V$3000+INPUT!$W$3:$W$3000+INPUT!$X$3:$X$3000+INPUT!$Y$3:$Y$3000))),"")</f>
        <v>20</v>
      </c>
      <c r="GI8" s="42" cm="1">
        <f t="array" ref="GI8">IFERROR(IF(SUMPRODUCT((INPUT!$T$3:$T$3000=46132)*(INPUT!$U$3:$U$3000="GARCIA"))=0,"",SUMPRODUCT((INPUT!$T$3:$T$3000=46132)*(INPUT!$U$3:$U$3000="GARCIA")*(INPUT!$V$3:$V$3000+INPUT!$W$3:$W$3000+INPUT!$X$3:$X$3000+INPUT!$Y$3:$Y$3000))),"")</f>
        <v>16</v>
      </c>
    </row>
    <row r="9" spans="1:191" x14ac:dyDescent="0.2">
      <c r="A9" t="s">
        <v>54</v>
      </c>
      <c r="B9" s="42" cm="1">
        <f t="array" ref="B9">IFERROR(IF(SUMPRODUCT((INPUT!$T$3:$T$3000=45868)*(INPUT!$U$3:$U$3000="GONZALO"))=0,"",SUMPRODUCT((INPUT!$T$3:$T$3000=45868)*(INPUT!$U$3:$U$3000="GONZALO")*(INPUT!$V$3:$V$3000+INPUT!$W$3:$W$3000+INPUT!$X$3:$X$3000+INPUT!$Y$3:$Y$3000))),"")</f>
        <v>18</v>
      </c>
      <c r="C9" s="42" cm="1">
        <f t="array" ref="C9">IFERROR(IF(SUMPRODUCT((INPUT!$T$3:$T$3000=45869)*(INPUT!$U$3:$U$3000="GONZALO"))=0,"",SUMPRODUCT((INPUT!$T$3:$T$3000=45869)*(INPUT!$U$3:$U$3000="GONZALO")*(INPUT!$V$3:$V$3000+INPUT!$W$3:$W$3000+INPUT!$X$3:$X$3000+INPUT!$Y$3:$Y$3000))),"")</f>
        <v>14</v>
      </c>
      <c r="D9" s="42" cm="1">
        <f t="array" ref="D9">IFERROR(IF(SUMPRODUCT((INPUT!$T$3:$T$3000=45870)*(INPUT!$U$3:$U$3000="GONZALO"))=0,"",SUMPRODUCT((INPUT!$T$3:$T$3000=45870)*(INPUT!$U$3:$U$3000="GONZALO")*(INPUT!$V$3:$V$3000+INPUT!$W$3:$W$3000+INPUT!$X$3:$X$3000+INPUT!$Y$3:$Y$3000))),"")</f>
        <v>12</v>
      </c>
      <c r="E9" s="42" cm="1">
        <f t="array" ref="E9">IFERROR(IF(SUMPRODUCT((INPUT!$T$3:$T$3000=45873)*(INPUT!$U$3:$U$3000="GONZALO"))=0,"",SUMPRODUCT((INPUT!$T$3:$T$3000=45873)*(INPUT!$U$3:$U$3000="GONZALO")*(INPUT!$V$3:$V$3000+INPUT!$W$3:$W$3000+INPUT!$X$3:$X$3000+INPUT!$Y$3:$Y$3000))),"")</f>
        <v>19</v>
      </c>
      <c r="F9" s="42" cm="1">
        <f t="array" ref="F9">IFERROR(IF(SUMPRODUCT((INPUT!$T$3:$T$3000=45874)*(INPUT!$U$3:$U$3000="GONZALO"))=0,"",SUMPRODUCT((INPUT!$T$3:$T$3000=45874)*(INPUT!$U$3:$U$3000="GONZALO")*(INPUT!$V$3:$V$3000+INPUT!$W$3:$W$3000+INPUT!$X$3:$X$3000+INPUT!$Y$3:$Y$3000))),"")</f>
        <v>14</v>
      </c>
      <c r="G9" s="42" cm="1">
        <f t="array" ref="G9">IFERROR(IF(SUMPRODUCT((INPUT!$T$3:$T$3000=45875)*(INPUT!$U$3:$U$3000="GONZALO"))=0,"",SUMPRODUCT((INPUT!$T$3:$T$3000=45875)*(INPUT!$U$3:$U$3000="GONZALO")*(INPUT!$V$3:$V$3000+INPUT!$W$3:$W$3000+INPUT!$X$3:$X$3000+INPUT!$Y$3:$Y$3000))),"")</f>
        <v>14</v>
      </c>
      <c r="H9" s="42" cm="1">
        <f t="array" ref="H9">IFERROR(IF(SUMPRODUCT((INPUT!$T$3:$T$3000=45876)*(INPUT!$U$3:$U$3000="GONZALO"))=0,"",SUMPRODUCT((INPUT!$T$3:$T$3000=45876)*(INPUT!$U$3:$U$3000="GONZALO")*(INPUT!$V$3:$V$3000+INPUT!$W$3:$W$3000+INPUT!$X$3:$X$3000+INPUT!$Y$3:$Y$3000))),"")</f>
        <v>15</v>
      </c>
      <c r="I9" s="42" cm="1">
        <f t="array" ref="I9">IFERROR(IF(SUMPRODUCT((INPUT!$T$3:$T$3000=45877)*(INPUT!$U$3:$U$3000="GONZALO"))=0,"",SUMPRODUCT((INPUT!$T$3:$T$3000=45877)*(INPUT!$U$3:$U$3000="GONZALO")*(INPUT!$V$3:$V$3000+INPUT!$W$3:$W$3000+INPUT!$X$3:$X$3000+INPUT!$Y$3:$Y$3000))),"")</f>
        <v>15</v>
      </c>
      <c r="J9" s="42" cm="1">
        <f t="array" ref="J9">IFERROR(IF(SUMPRODUCT((INPUT!$T$3:$T$3000=45878)*(INPUT!$U$3:$U$3000="GONZALO"))=0,"",SUMPRODUCT((INPUT!$T$3:$T$3000=45878)*(INPUT!$U$3:$U$3000="GONZALO")*(INPUT!$V$3:$V$3000+INPUT!$W$3:$W$3000+INPUT!$X$3:$X$3000+INPUT!$Y$3:$Y$3000))),"")</f>
        <v>15</v>
      </c>
      <c r="K9" s="42" cm="1">
        <f t="array" ref="K9">IFERROR(IF(SUMPRODUCT((INPUT!$T$3:$T$3000=45880)*(INPUT!$U$3:$U$3000="GONZALO"))=0,"",SUMPRODUCT((INPUT!$T$3:$T$3000=45880)*(INPUT!$U$3:$U$3000="GONZALO")*(INPUT!$V$3:$V$3000+INPUT!$W$3:$W$3000+INPUT!$X$3:$X$3000+INPUT!$Y$3:$Y$3000))),"")</f>
        <v>16</v>
      </c>
      <c r="L9" s="42" cm="1">
        <f t="array" ref="L9">IFERROR(IF(SUMPRODUCT((INPUT!$T$3:$T$3000=45881)*(INPUT!$U$3:$U$3000="GONZALO"))=0,"",SUMPRODUCT((INPUT!$T$3:$T$3000=45881)*(INPUT!$U$3:$U$3000="GONZALO")*(INPUT!$V$3:$V$3000+INPUT!$W$3:$W$3000+INPUT!$X$3:$X$3000+INPUT!$Y$3:$Y$3000))),"")</f>
        <v>14</v>
      </c>
      <c r="M9" s="42" cm="1">
        <f t="array" ref="M9">IFERROR(IF(SUMPRODUCT((INPUT!$T$3:$T$3000=45882)*(INPUT!$U$3:$U$3000="GONZALO"))=0,"",SUMPRODUCT((INPUT!$T$3:$T$3000=45882)*(INPUT!$U$3:$U$3000="GONZALO")*(INPUT!$V$3:$V$3000+INPUT!$W$3:$W$3000+INPUT!$X$3:$X$3000+INPUT!$Y$3:$Y$3000))),"")</f>
        <v>12</v>
      </c>
      <c r="N9" s="42" cm="1">
        <f t="array" ref="N9">IFERROR(IF(SUMPRODUCT((INPUT!$T$3:$T$3000=45883)*(INPUT!$U$3:$U$3000="GONZALO"))=0,"",SUMPRODUCT((INPUT!$T$3:$T$3000=45883)*(INPUT!$U$3:$U$3000="GONZALO")*(INPUT!$V$3:$V$3000+INPUT!$W$3:$W$3000+INPUT!$X$3:$X$3000+INPUT!$Y$3:$Y$3000))),"")</f>
        <v>13</v>
      </c>
      <c r="O9" s="42" cm="1">
        <f t="array" ref="O9">IFERROR(IF(SUMPRODUCT((INPUT!$T$3:$T$3000=45884)*(INPUT!$U$3:$U$3000="GONZALO"))=0,"",SUMPRODUCT((INPUT!$T$3:$T$3000=45884)*(INPUT!$U$3:$U$3000="GONZALO")*(INPUT!$V$3:$V$3000+INPUT!$W$3:$W$3000+INPUT!$X$3:$X$3000+INPUT!$Y$3:$Y$3000))),"")</f>
        <v>12</v>
      </c>
      <c r="P9" s="42" cm="1">
        <f t="array" ref="P9">IFERROR(IF(SUMPRODUCT((INPUT!$T$3:$T$3000=45887)*(INPUT!$U$3:$U$3000="GONZALO"))=0,"",SUMPRODUCT((INPUT!$T$3:$T$3000=45887)*(INPUT!$U$3:$U$3000="GONZALO")*(INPUT!$V$3:$V$3000+INPUT!$W$3:$W$3000+INPUT!$X$3:$X$3000+INPUT!$Y$3:$Y$3000))),"")</f>
        <v>14</v>
      </c>
      <c r="Q9" s="42" cm="1">
        <f t="array" ref="Q9">IFERROR(IF(SUMPRODUCT((INPUT!$T$3:$T$3000=45888)*(INPUT!$U$3:$U$3000="GONZALO"))=0,"",SUMPRODUCT((INPUT!$T$3:$T$3000=45888)*(INPUT!$U$3:$U$3000="GONZALO")*(INPUT!$V$3:$V$3000+INPUT!$W$3:$W$3000+INPUT!$X$3:$X$3000+INPUT!$Y$3:$Y$3000))),"")</f>
        <v>14</v>
      </c>
      <c r="R9" s="42" cm="1">
        <f t="array" ref="R9">IFERROR(IF(SUMPRODUCT((INPUT!$T$3:$T$3000=45889)*(INPUT!$U$3:$U$3000="GONZALO"))=0,"",SUMPRODUCT((INPUT!$T$3:$T$3000=45889)*(INPUT!$U$3:$U$3000="GONZALO")*(INPUT!$V$3:$V$3000+INPUT!$W$3:$W$3000+INPUT!$X$3:$X$3000+INPUT!$Y$3:$Y$3000))),"")</f>
        <v>16</v>
      </c>
      <c r="S9" s="42" cm="1">
        <f t="array" ref="S9">IFERROR(IF(SUMPRODUCT((INPUT!$T$3:$T$3000=45890)*(INPUT!$U$3:$U$3000="GONZALO"))=0,"",SUMPRODUCT((INPUT!$T$3:$T$3000=45890)*(INPUT!$U$3:$U$3000="GONZALO")*(INPUT!$V$3:$V$3000+INPUT!$W$3:$W$3000+INPUT!$X$3:$X$3000+INPUT!$Y$3:$Y$3000))),"")</f>
        <v>14</v>
      </c>
      <c r="T9" s="42" cm="1">
        <f t="array" ref="T9">IFERROR(IF(SUMPRODUCT((INPUT!$T$3:$T$3000=45891)*(INPUT!$U$3:$U$3000="GONZALO"))=0,"",SUMPRODUCT((INPUT!$T$3:$T$3000=45891)*(INPUT!$U$3:$U$3000="GONZALO")*(INPUT!$V$3:$V$3000+INPUT!$W$3:$W$3000+INPUT!$X$3:$X$3000+INPUT!$Y$3:$Y$3000))),"")</f>
        <v>12</v>
      </c>
      <c r="U9" s="42" cm="1">
        <f t="array" ref="U9">IFERROR(IF(SUMPRODUCT((INPUT!$T$3:$T$3000=45892)*(INPUT!$U$3:$U$3000="GONZALO"))=0,"",SUMPRODUCT((INPUT!$T$3:$T$3000=45892)*(INPUT!$U$3:$U$3000="GONZALO")*(INPUT!$V$3:$V$3000+INPUT!$W$3:$W$3000+INPUT!$X$3:$X$3000+INPUT!$Y$3:$Y$3000))),"")</f>
        <v>17</v>
      </c>
      <c r="V9" s="42" cm="1">
        <f t="array" ref="V9">IFERROR(IF(SUMPRODUCT((INPUT!$T$3:$T$3000=45893)*(INPUT!$U$3:$U$3000="GONZALO"))=0,"",SUMPRODUCT((INPUT!$T$3:$T$3000=45893)*(INPUT!$U$3:$U$3000="GONZALO")*(INPUT!$V$3:$V$3000+INPUT!$W$3:$W$3000+INPUT!$X$3:$X$3000+INPUT!$Y$3:$Y$3000))),"")</f>
        <v>16</v>
      </c>
      <c r="W9" s="42" cm="1">
        <f t="array" ref="W9">IFERROR(IF(SUMPRODUCT((INPUT!$T$3:$T$3000=45895)*(INPUT!$U$3:$U$3000="GONZALO"))=0,"",SUMPRODUCT((INPUT!$T$3:$T$3000=45895)*(INPUT!$U$3:$U$3000="GONZALO")*(INPUT!$V$3:$V$3000+INPUT!$W$3:$W$3000+INPUT!$X$3:$X$3000+INPUT!$Y$3:$Y$3000))),"")</f>
        <v>16</v>
      </c>
      <c r="X9" s="42" cm="1">
        <f t="array" ref="X9">IFERROR(IF(SUMPRODUCT((INPUT!$T$3:$T$3000=45896)*(INPUT!$U$3:$U$3000="GONZALO"))=0,"",SUMPRODUCT((INPUT!$T$3:$T$3000=45896)*(INPUT!$U$3:$U$3000="GONZALO")*(INPUT!$V$3:$V$3000+INPUT!$W$3:$W$3000+INPUT!$X$3:$X$3000+INPUT!$Y$3:$Y$3000))),"")</f>
        <v>14</v>
      </c>
      <c r="Y9" s="42" cm="1">
        <f t="array" ref="Y9">IFERROR(IF(SUMPRODUCT((INPUT!$T$3:$T$3000=45898)*(INPUT!$U$3:$U$3000="GONZALO"))=0,"",SUMPRODUCT((INPUT!$T$3:$T$3000=45898)*(INPUT!$U$3:$U$3000="GONZALO")*(INPUT!$V$3:$V$3000+INPUT!$W$3:$W$3000+INPUT!$X$3:$X$3000+INPUT!$Y$3:$Y$3000))),"")</f>
        <v>13</v>
      </c>
      <c r="Z9" s="42" cm="1">
        <f t="array" ref="Z9">IFERROR(IF(SUMPRODUCT((INPUT!$T$3:$T$3000=45899)*(INPUT!$U$3:$U$3000="GONZALO"))=0,"",SUMPRODUCT((INPUT!$T$3:$T$3000=45899)*(INPUT!$U$3:$U$3000="GONZALO")*(INPUT!$V$3:$V$3000+INPUT!$W$3:$W$3000+INPUT!$X$3:$X$3000+INPUT!$Y$3:$Y$3000))),"")</f>
        <v>16</v>
      </c>
      <c r="AA9" s="42" cm="1">
        <f t="array" ref="AA9">IFERROR(IF(SUMPRODUCT((INPUT!$T$3:$T$3000=45900)*(INPUT!$U$3:$U$3000="GONZALO"))=0,"",SUMPRODUCT((INPUT!$T$3:$T$3000=45900)*(INPUT!$U$3:$U$3000="GONZALO")*(INPUT!$V$3:$V$3000+INPUT!$W$3:$W$3000+INPUT!$X$3:$X$3000+INPUT!$Y$3:$Y$3000))),"")</f>
        <v>15</v>
      </c>
      <c r="AB9" s="42" cm="1">
        <f t="array" ref="AB9">IFERROR(IF(SUMPRODUCT((INPUT!$T$3:$T$3000=45902)*(INPUT!$U$3:$U$3000="GONZALO"))=0,"",SUMPRODUCT((INPUT!$T$3:$T$3000=45902)*(INPUT!$U$3:$U$3000="GONZALO")*(INPUT!$V$3:$V$3000+INPUT!$W$3:$W$3000+INPUT!$X$3:$X$3000+INPUT!$Y$3:$Y$3000))),"")</f>
        <v>13</v>
      </c>
      <c r="AC9" s="42" cm="1">
        <f t="array" ref="AC9">IFERROR(IF(SUMPRODUCT((INPUT!$T$3:$T$3000=45903)*(INPUT!$U$3:$U$3000="GONZALO"))=0,"",SUMPRODUCT((INPUT!$T$3:$T$3000=45903)*(INPUT!$U$3:$U$3000="GONZALO")*(INPUT!$V$3:$V$3000+INPUT!$W$3:$W$3000+INPUT!$X$3:$X$3000+INPUT!$Y$3:$Y$3000))),"")</f>
        <v>12</v>
      </c>
      <c r="AD9" s="42" cm="1">
        <f t="array" ref="AD9">IFERROR(IF(SUMPRODUCT((INPUT!$T$3:$T$3000=45904)*(INPUT!$U$3:$U$3000="GONZALO"))=0,"",SUMPRODUCT((INPUT!$T$3:$T$3000=45904)*(INPUT!$U$3:$U$3000="GONZALO")*(INPUT!$V$3:$V$3000+INPUT!$W$3:$W$3000+INPUT!$X$3:$X$3000+INPUT!$Y$3:$Y$3000))),"")</f>
        <v>12</v>
      </c>
      <c r="AE9" s="42" cm="1">
        <f t="array" ref="AE9">IFERROR(IF(SUMPRODUCT((INPUT!$T$3:$T$3000=45905)*(INPUT!$U$3:$U$3000="GONZALO"))=0,"",SUMPRODUCT((INPUT!$T$3:$T$3000=45905)*(INPUT!$U$3:$U$3000="GONZALO")*(INPUT!$V$3:$V$3000+INPUT!$W$3:$W$3000+INPUT!$X$3:$X$3000+INPUT!$Y$3:$Y$3000))),"")</f>
        <v>15</v>
      </c>
      <c r="AF9" s="42" cm="1">
        <f t="array" ref="AF9">IFERROR(IF(SUMPRODUCT((INPUT!$T$3:$T$3000=45906)*(INPUT!$U$3:$U$3000="GONZALO"))=0,"",SUMPRODUCT((INPUT!$T$3:$T$3000=45906)*(INPUT!$U$3:$U$3000="GONZALO")*(INPUT!$V$3:$V$3000+INPUT!$W$3:$W$3000+INPUT!$X$3:$X$3000+INPUT!$Y$3:$Y$3000))),"")</f>
        <v>18</v>
      </c>
      <c r="AG9" s="42" cm="1">
        <f t="array" ref="AG9">IFERROR(IF(SUMPRODUCT((INPUT!$T$3:$T$3000=45908)*(INPUT!$U$3:$U$3000="GONZALO"))=0,"",SUMPRODUCT((INPUT!$T$3:$T$3000=45908)*(INPUT!$U$3:$U$3000="GONZALO")*(INPUT!$V$3:$V$3000+INPUT!$W$3:$W$3000+INPUT!$X$3:$X$3000+INPUT!$Y$3:$Y$3000))),"")</f>
        <v>18</v>
      </c>
      <c r="AH9" s="42" cm="1">
        <f t="array" ref="AH9">IFERROR(IF(SUMPRODUCT((INPUT!$T$3:$T$3000=45909)*(INPUT!$U$3:$U$3000="GONZALO"))=0,"",SUMPRODUCT((INPUT!$T$3:$T$3000=45909)*(INPUT!$U$3:$U$3000="GONZALO")*(INPUT!$V$3:$V$3000+INPUT!$W$3:$W$3000+INPUT!$X$3:$X$3000+INPUT!$Y$3:$Y$3000))),"")</f>
        <v>19</v>
      </c>
      <c r="AI9" s="42" cm="1">
        <f t="array" ref="AI9">IFERROR(IF(SUMPRODUCT((INPUT!$T$3:$T$3000=45911)*(INPUT!$U$3:$U$3000="GONZALO"))=0,"",SUMPRODUCT((INPUT!$T$3:$T$3000=45911)*(INPUT!$U$3:$U$3000="GONZALO")*(INPUT!$V$3:$V$3000+INPUT!$W$3:$W$3000+INPUT!$X$3:$X$3000+INPUT!$Y$3:$Y$3000))),"")</f>
        <v>17</v>
      </c>
      <c r="AJ9" s="42" cm="1">
        <f t="array" ref="AJ9">IFERROR(IF(SUMPRODUCT((INPUT!$T$3:$T$3000=45912)*(INPUT!$U$3:$U$3000="GONZALO"))=0,"",SUMPRODUCT((INPUT!$T$3:$T$3000=45912)*(INPUT!$U$3:$U$3000="GONZALO")*(INPUT!$V$3:$V$3000+INPUT!$W$3:$W$3000+INPUT!$X$3:$X$3000+INPUT!$Y$3:$Y$3000))),"")</f>
        <v>15</v>
      </c>
      <c r="AK9" s="42" t="str" cm="1">
        <f t="array" ref="AK9">IFERROR(IF(SUMPRODUCT((INPUT!$T$3:$T$3000=45913)*(INPUT!$U$3:$U$3000="GONZALO"))=0,"",SUMPRODUCT((INPUT!$T$3:$T$3000=45913)*(INPUT!$U$3:$U$3000="GONZALO")*(INPUT!$V$3:$V$3000+INPUT!$W$3:$W$3000+INPUT!$X$3:$X$3000+INPUT!$Y$3:$Y$3000))),"")</f>
        <v/>
      </c>
      <c r="AL9" s="42" cm="1">
        <f t="array" ref="AL9">IFERROR(IF(SUMPRODUCT((INPUT!$T$3:$T$3000=45915)*(INPUT!$U$3:$U$3000="GONZALO"))=0,"",SUMPRODUCT((INPUT!$T$3:$T$3000=45915)*(INPUT!$U$3:$U$3000="GONZALO")*(INPUT!$V$3:$V$3000+INPUT!$W$3:$W$3000+INPUT!$X$3:$X$3000+INPUT!$Y$3:$Y$3000))),"")</f>
        <v>12</v>
      </c>
      <c r="AM9" s="42" cm="1">
        <f t="array" ref="AM9">IFERROR(IF(SUMPRODUCT((INPUT!$T$3:$T$3000=45916)*(INPUT!$U$3:$U$3000="GONZALO"))=0,"",SUMPRODUCT((INPUT!$T$3:$T$3000=45916)*(INPUT!$U$3:$U$3000="GONZALO")*(INPUT!$V$3:$V$3000+INPUT!$W$3:$W$3000+INPUT!$X$3:$X$3000+INPUT!$Y$3:$Y$3000))),"")</f>
        <v>11</v>
      </c>
      <c r="AN9" s="42" cm="1">
        <f t="array" ref="AN9">IFERROR(IF(SUMPRODUCT((INPUT!$T$3:$T$3000=45917)*(INPUT!$U$3:$U$3000="GONZALO"))=0,"",SUMPRODUCT((INPUT!$T$3:$T$3000=45917)*(INPUT!$U$3:$U$3000="GONZALO")*(INPUT!$V$3:$V$3000+INPUT!$W$3:$W$3000+INPUT!$X$3:$X$3000+INPUT!$Y$3:$Y$3000))),"")</f>
        <v>14</v>
      </c>
      <c r="AO9" s="42" t="str" cm="1">
        <f t="array" ref="AO9">IFERROR(IF(SUMPRODUCT((INPUT!$T$3:$T$3000=45918)*(INPUT!$U$3:$U$3000="GONZALO"))=0,"",SUMPRODUCT((INPUT!$T$3:$T$3000=45918)*(INPUT!$U$3:$U$3000="GONZALO")*(INPUT!$V$3:$V$3000+INPUT!$W$3:$W$3000+INPUT!$X$3:$X$3000+INPUT!$Y$3:$Y$3000))),"")</f>
        <v/>
      </c>
      <c r="AP9" s="42" cm="1">
        <f t="array" ref="AP9">IFERROR(IF(SUMPRODUCT((INPUT!$T$3:$T$3000=45919)*(INPUT!$U$3:$U$3000="GONZALO"))=0,"",SUMPRODUCT((INPUT!$T$3:$T$3000=45919)*(INPUT!$U$3:$U$3000="GONZALO")*(INPUT!$V$3:$V$3000+INPUT!$W$3:$W$3000+INPUT!$X$3:$X$3000+INPUT!$Y$3:$Y$3000))),"")</f>
        <v>9</v>
      </c>
      <c r="AQ9" s="42" cm="1">
        <f t="array" ref="AQ9">IFERROR(IF(SUMPRODUCT((INPUT!$T$3:$T$3000=45922)*(INPUT!$U$3:$U$3000="GONZALO"))=0,"",SUMPRODUCT((INPUT!$T$3:$T$3000=45922)*(INPUT!$U$3:$U$3000="GONZALO")*(INPUT!$V$3:$V$3000+INPUT!$W$3:$W$3000+INPUT!$X$3:$X$3000+INPUT!$Y$3:$Y$3000))),"")</f>
        <v>13</v>
      </c>
      <c r="AR9" s="42" cm="1">
        <f t="array" ref="AR9">IFERROR(IF(SUMPRODUCT((INPUT!$T$3:$T$3000=45923)*(INPUT!$U$3:$U$3000="GONZALO"))=0,"",SUMPRODUCT((INPUT!$T$3:$T$3000=45923)*(INPUT!$U$3:$U$3000="GONZALO")*(INPUT!$V$3:$V$3000+INPUT!$W$3:$W$3000+INPUT!$X$3:$X$3000+INPUT!$Y$3:$Y$3000))),"")</f>
        <v>10</v>
      </c>
      <c r="AS9" s="42" cm="1">
        <f t="array" ref="AS9">IFERROR(IF(SUMPRODUCT((INPUT!$T$3:$T$3000=45924)*(INPUT!$U$3:$U$3000="GONZALO"))=0,"",SUMPRODUCT((INPUT!$T$3:$T$3000=45924)*(INPUT!$U$3:$U$3000="GONZALO")*(INPUT!$V$3:$V$3000+INPUT!$W$3:$W$3000+INPUT!$X$3:$X$3000+INPUT!$Y$3:$Y$3000))),"")</f>
        <v>15</v>
      </c>
      <c r="AT9" s="42" cm="1">
        <f t="array" ref="AT9">IFERROR(IF(SUMPRODUCT((INPUT!$T$3:$T$3000=45925)*(INPUT!$U$3:$U$3000="GONZALO"))=0,"",SUMPRODUCT((INPUT!$T$3:$T$3000=45925)*(INPUT!$U$3:$U$3000="GONZALO")*(INPUT!$V$3:$V$3000+INPUT!$W$3:$W$3000+INPUT!$X$3:$X$3000+INPUT!$Y$3:$Y$3000))),"")</f>
        <v>16</v>
      </c>
      <c r="AU9" s="42" cm="1">
        <f t="array" ref="AU9">IFERROR(IF(SUMPRODUCT((INPUT!$T$3:$T$3000=45926)*(INPUT!$U$3:$U$3000="GONZALO"))=0,"",SUMPRODUCT((INPUT!$T$3:$T$3000=45926)*(INPUT!$U$3:$U$3000="GONZALO")*(INPUT!$V$3:$V$3000+INPUT!$W$3:$W$3000+INPUT!$X$3:$X$3000+INPUT!$Y$3:$Y$3000))),"")</f>
        <v>14</v>
      </c>
      <c r="AV9" s="42" t="str" cm="1">
        <f t="array" ref="AV9">IFERROR(IF(SUMPRODUCT((INPUT!$T$3:$T$3000=45927)*(INPUT!$U$3:$U$3000="GONZALO"))=0,"",SUMPRODUCT((INPUT!$T$3:$T$3000=45927)*(INPUT!$U$3:$U$3000="GONZALO")*(INPUT!$V$3:$V$3000+INPUT!$W$3:$W$3000+INPUT!$X$3:$X$3000+INPUT!$Y$3:$Y$3000))),"")</f>
        <v/>
      </c>
      <c r="AW9" s="42" cm="1">
        <f t="array" ref="AW9">IFERROR(IF(SUMPRODUCT((INPUT!$T$3:$T$3000=45929)*(INPUT!$U$3:$U$3000="GONZALO"))=0,"",SUMPRODUCT((INPUT!$T$3:$T$3000=45929)*(INPUT!$U$3:$U$3000="GONZALO")*(INPUT!$V$3:$V$3000+INPUT!$W$3:$W$3000+INPUT!$X$3:$X$3000+INPUT!$Y$3:$Y$3000))),"")</f>
        <v>12</v>
      </c>
      <c r="AX9" s="42" cm="1">
        <f t="array" ref="AX9">IFERROR(IF(SUMPRODUCT((INPUT!$T$3:$T$3000=45930)*(INPUT!$U$3:$U$3000="GONZALO"))=0,"",SUMPRODUCT((INPUT!$T$3:$T$3000=45930)*(INPUT!$U$3:$U$3000="GONZALO")*(INPUT!$V$3:$V$3000+INPUT!$W$3:$W$3000+INPUT!$X$3:$X$3000+INPUT!$Y$3:$Y$3000))),"")</f>
        <v>13</v>
      </c>
      <c r="AY9" s="42" cm="1">
        <f t="array" ref="AY9">IFERROR(IF(SUMPRODUCT((INPUT!$T$3:$T$3000=45931)*(INPUT!$U$3:$U$3000="GONZALO"))=0,"",SUMPRODUCT((INPUT!$T$3:$T$3000=45931)*(INPUT!$U$3:$U$3000="GONZALO")*(INPUT!$V$3:$V$3000+INPUT!$W$3:$W$3000+INPUT!$X$3:$X$3000+INPUT!$Y$3:$Y$3000))),"")</f>
        <v>14</v>
      </c>
      <c r="AZ9" s="42" cm="1">
        <f t="array" ref="AZ9">IFERROR(IF(SUMPRODUCT((INPUT!$T$3:$T$3000=45932)*(INPUT!$U$3:$U$3000="GONZALO"))=0,"",SUMPRODUCT((INPUT!$T$3:$T$3000=45932)*(INPUT!$U$3:$U$3000="GONZALO")*(INPUT!$V$3:$V$3000+INPUT!$W$3:$W$3000+INPUT!$X$3:$X$3000+INPUT!$Y$3:$Y$3000))),"")</f>
        <v>16</v>
      </c>
      <c r="BA9" s="42" cm="1">
        <f t="array" ref="BA9">IFERROR(IF(SUMPRODUCT((INPUT!$T$3:$T$3000=45933)*(INPUT!$U$3:$U$3000="GONZALO"))=0,"",SUMPRODUCT((INPUT!$T$3:$T$3000=45933)*(INPUT!$U$3:$U$3000="GONZALO")*(INPUT!$V$3:$V$3000+INPUT!$W$3:$W$3000+INPUT!$X$3:$X$3000+INPUT!$Y$3:$Y$3000))),"")</f>
        <v>15</v>
      </c>
      <c r="BB9" s="42" t="str" cm="1">
        <f t="array" ref="BB9">IFERROR(IF(SUMPRODUCT((INPUT!$T$3:$T$3000=45934)*(INPUT!$U$3:$U$3000="GONZALO"))=0,"",SUMPRODUCT((INPUT!$T$3:$T$3000=45934)*(INPUT!$U$3:$U$3000="GONZALO")*(INPUT!$V$3:$V$3000+INPUT!$W$3:$W$3000+INPUT!$X$3:$X$3000+INPUT!$Y$3:$Y$3000))),"")</f>
        <v/>
      </c>
      <c r="BC9" s="42" cm="1">
        <f t="array" ref="BC9">IFERROR(IF(SUMPRODUCT((INPUT!$T$3:$T$3000=45936)*(INPUT!$U$3:$U$3000="GONZALO"))=0,"",SUMPRODUCT((INPUT!$T$3:$T$3000=45936)*(INPUT!$U$3:$U$3000="GONZALO")*(INPUT!$V$3:$V$3000+INPUT!$W$3:$W$3000+INPUT!$X$3:$X$3000+INPUT!$Y$3:$Y$3000))),"")</f>
        <v>12</v>
      </c>
      <c r="BD9" s="42" t="str" cm="1">
        <f t="array" ref="BD9">IFERROR(IF(SUMPRODUCT((INPUT!$T$3:$T$3000=45937)*(INPUT!$U$3:$U$3000="GONZALO"))=0,"",SUMPRODUCT((INPUT!$T$3:$T$3000=45937)*(INPUT!$U$3:$U$3000="GONZALO")*(INPUT!$V$3:$V$3000+INPUT!$W$3:$W$3000+INPUT!$X$3:$X$3000+INPUT!$Y$3:$Y$3000))),"")</f>
        <v/>
      </c>
      <c r="BE9" s="42" t="str" cm="1">
        <f t="array" ref="BE9">IFERROR(IF(SUMPRODUCT((INPUT!$T$3:$T$3000=45938)*(INPUT!$U$3:$U$3000="GONZALO"))=0,"",SUMPRODUCT((INPUT!$T$3:$T$3000=45938)*(INPUT!$U$3:$U$3000="GONZALO")*(INPUT!$V$3:$V$3000+INPUT!$W$3:$W$3000+INPUT!$X$3:$X$3000+INPUT!$Y$3:$Y$3000))),"")</f>
        <v/>
      </c>
      <c r="BF9" s="42" t="str" cm="1">
        <f t="array" ref="BF9">IFERROR(IF(SUMPRODUCT((INPUT!$T$3:$T$3000=45940)*(INPUT!$U$3:$U$3000="GONZALO"))=0,"",SUMPRODUCT((INPUT!$T$3:$T$3000=45940)*(INPUT!$U$3:$U$3000="GONZALO")*(INPUT!$V$3:$V$3000+INPUT!$W$3:$W$3000+INPUT!$X$3:$X$3000+INPUT!$Y$3:$Y$3000))),"")</f>
        <v/>
      </c>
      <c r="BG9" s="42" t="str" cm="1">
        <f t="array" ref="BG9">IFERROR(IF(SUMPRODUCT((INPUT!$T$3:$T$3000=45941)*(INPUT!$U$3:$U$3000="GONZALO"))=0,"",SUMPRODUCT((INPUT!$T$3:$T$3000=45941)*(INPUT!$U$3:$U$3000="GONZALO")*(INPUT!$V$3:$V$3000+INPUT!$W$3:$W$3000+INPUT!$X$3:$X$3000+INPUT!$Y$3:$Y$3000))),"")</f>
        <v/>
      </c>
      <c r="BH9" s="42" t="str" cm="1">
        <f t="array" ref="BH9">IFERROR(IF(SUMPRODUCT((INPUT!$T$3:$T$3000=45942)*(INPUT!$U$3:$U$3000="GONZALO"))=0,"",SUMPRODUCT((INPUT!$T$3:$T$3000=45942)*(INPUT!$U$3:$U$3000="GONZALO")*(INPUT!$V$3:$V$3000+INPUT!$W$3:$W$3000+INPUT!$X$3:$X$3000+INPUT!$Y$3:$Y$3000))),"")</f>
        <v/>
      </c>
      <c r="BI9" s="42" cm="1">
        <f t="array" ref="BI9">IFERROR(IF(SUMPRODUCT((INPUT!$T$3:$T$3000=45945)*(INPUT!$U$3:$U$3000="GONZALO"))=0,"",SUMPRODUCT((INPUT!$T$3:$T$3000=45945)*(INPUT!$U$3:$U$3000="GONZALO")*(INPUT!$V$3:$V$3000+INPUT!$W$3:$W$3000+INPUT!$X$3:$X$3000+INPUT!$Y$3:$Y$3000))),"")</f>
        <v>16</v>
      </c>
      <c r="BJ9" s="42" cm="1">
        <f t="array" ref="BJ9">IFERROR(IF(SUMPRODUCT((INPUT!$T$3:$T$3000=45946)*(INPUT!$U$3:$U$3000="GONZALO"))=0,"",SUMPRODUCT((INPUT!$T$3:$T$3000=45946)*(INPUT!$U$3:$U$3000="GONZALO")*(INPUT!$V$3:$V$3000+INPUT!$W$3:$W$3000+INPUT!$X$3:$X$3000+INPUT!$Y$3:$Y$3000))),"")</f>
        <v>13</v>
      </c>
      <c r="BK9" s="42" cm="1">
        <f t="array" ref="BK9">IFERROR(IF(SUMPRODUCT((INPUT!$T$3:$T$3000=45947)*(INPUT!$U$3:$U$3000="GONZALO"))=0,"",SUMPRODUCT((INPUT!$T$3:$T$3000=45947)*(INPUT!$U$3:$U$3000="GONZALO")*(INPUT!$V$3:$V$3000+INPUT!$W$3:$W$3000+INPUT!$X$3:$X$3000+INPUT!$Y$3:$Y$3000))),"")</f>
        <v>16</v>
      </c>
      <c r="BL9" s="42" t="str" cm="1">
        <f t="array" ref="BL9">IFERROR(IF(SUMPRODUCT((INPUT!$T$3:$T$3000=45950)*(INPUT!$U$3:$U$3000="GONZALO"))=0,"",SUMPRODUCT((INPUT!$T$3:$T$3000=45950)*(INPUT!$U$3:$U$3000="GONZALO")*(INPUT!$V$3:$V$3000+INPUT!$W$3:$W$3000+INPUT!$X$3:$X$3000+INPUT!$Y$3:$Y$3000))),"")</f>
        <v/>
      </c>
      <c r="BM9" s="42" t="str" cm="1">
        <f t="array" ref="BM9">IFERROR(IF(SUMPRODUCT((INPUT!$T$3:$T$3000=45951)*(INPUT!$U$3:$U$3000="GONZALO"))=0,"",SUMPRODUCT((INPUT!$T$3:$T$3000=45951)*(INPUT!$U$3:$U$3000="GONZALO")*(INPUT!$V$3:$V$3000+INPUT!$W$3:$W$3000+INPUT!$X$3:$X$3000+INPUT!$Y$3:$Y$3000))),"")</f>
        <v/>
      </c>
      <c r="BN9" s="42" t="str" cm="1">
        <f t="array" ref="BN9">IFERROR(IF(SUMPRODUCT((INPUT!$T$3:$T$3000=45952)*(INPUT!$U$3:$U$3000="GONZALO"))=0,"",SUMPRODUCT((INPUT!$T$3:$T$3000=45952)*(INPUT!$U$3:$U$3000="GONZALO")*(INPUT!$V$3:$V$3000+INPUT!$W$3:$W$3000+INPUT!$X$3:$X$3000+INPUT!$Y$3:$Y$3000))),"")</f>
        <v/>
      </c>
      <c r="BO9" s="42" t="str" cm="1">
        <f t="array" ref="BO9">IFERROR(IF(SUMPRODUCT((INPUT!$T$3:$T$3000=45953)*(INPUT!$U$3:$U$3000="GONZALO"))=0,"",SUMPRODUCT((INPUT!$T$3:$T$3000=45953)*(INPUT!$U$3:$U$3000="GONZALO")*(INPUT!$V$3:$V$3000+INPUT!$W$3:$W$3000+INPUT!$X$3:$X$3000+INPUT!$Y$3:$Y$3000))),"")</f>
        <v/>
      </c>
      <c r="BP9" s="42" t="str" cm="1">
        <f t="array" ref="BP9">IFERROR(IF(SUMPRODUCT((INPUT!$T$3:$T$3000=45954)*(INPUT!$U$3:$U$3000="GONZALO"))=0,"",SUMPRODUCT((INPUT!$T$3:$T$3000=45954)*(INPUT!$U$3:$U$3000="GONZALO")*(INPUT!$V$3:$V$3000+INPUT!$W$3:$W$3000+INPUT!$X$3:$X$3000+INPUT!$Y$3:$Y$3000))),"")</f>
        <v/>
      </c>
      <c r="BQ9" s="42" t="str" cm="1">
        <f t="array" ref="BQ9">IFERROR(IF(SUMPRODUCT((INPUT!$T$3:$T$3000=45955)*(INPUT!$U$3:$U$3000="GONZALO"))=0,"",SUMPRODUCT((INPUT!$T$3:$T$3000=45955)*(INPUT!$U$3:$U$3000="GONZALO")*(INPUT!$V$3:$V$3000+INPUT!$W$3:$W$3000+INPUT!$X$3:$X$3000+INPUT!$Y$3:$Y$3000))),"")</f>
        <v/>
      </c>
      <c r="BR9" s="42" cm="1">
        <f t="array" ref="BR9">IFERROR(IF(SUMPRODUCT((INPUT!$T$3:$T$3000=45958)*(INPUT!$U$3:$U$3000="GONZALO"))=0,"",SUMPRODUCT((INPUT!$T$3:$T$3000=45958)*(INPUT!$U$3:$U$3000="GONZALO")*(INPUT!$V$3:$V$3000+INPUT!$W$3:$W$3000+INPUT!$X$3:$X$3000+INPUT!$Y$3:$Y$3000))),"")</f>
        <v>17</v>
      </c>
      <c r="BS9" s="42" t="str" cm="1">
        <f t="array" ref="BS9">IFERROR(IF(SUMPRODUCT((INPUT!$T$3:$T$3000=45959)*(INPUT!$U$3:$U$3000="GONZALO"))=0,"",SUMPRODUCT((INPUT!$T$3:$T$3000=45959)*(INPUT!$U$3:$U$3000="GONZALO")*(INPUT!$V$3:$V$3000+INPUT!$W$3:$W$3000+INPUT!$X$3:$X$3000+INPUT!$Y$3:$Y$3000))),"")</f>
        <v/>
      </c>
      <c r="BT9" s="42" t="str" cm="1">
        <f t="array" ref="BT9">IFERROR(IF(SUMPRODUCT((INPUT!$T$3:$T$3000=45960)*(INPUT!$U$3:$U$3000="GONZALO"))=0,"",SUMPRODUCT((INPUT!$T$3:$T$3000=45960)*(INPUT!$U$3:$U$3000="GONZALO")*(INPUT!$V$3:$V$3000+INPUT!$W$3:$W$3000+INPUT!$X$3:$X$3000+INPUT!$Y$3:$Y$3000))),"")</f>
        <v/>
      </c>
      <c r="BU9" s="42" t="str" cm="1">
        <f t="array" ref="BU9">IFERROR(IF(SUMPRODUCT((INPUT!$T$3:$T$3000=45961)*(INPUT!$U$3:$U$3000="GONZALO"))=0,"",SUMPRODUCT((INPUT!$T$3:$T$3000=45961)*(INPUT!$U$3:$U$3000="GONZALO")*(INPUT!$V$3:$V$3000+INPUT!$W$3:$W$3000+INPUT!$X$3:$X$3000+INPUT!$Y$3:$Y$3000))),"")</f>
        <v/>
      </c>
      <c r="BV9" s="42" t="str" cm="1">
        <f t="array" ref="BV9">IFERROR(IF(SUMPRODUCT((INPUT!$T$3:$T$3000=45964)*(INPUT!$U$3:$U$3000="GONZALO"))=0,"",SUMPRODUCT((INPUT!$T$3:$T$3000=45964)*(INPUT!$U$3:$U$3000="GONZALO")*(INPUT!$V$3:$V$3000+INPUT!$W$3:$W$3000+INPUT!$X$3:$X$3000+INPUT!$Y$3:$Y$3000))),"")</f>
        <v/>
      </c>
      <c r="BW9" s="42" t="str" cm="1">
        <f t="array" ref="BW9">IFERROR(IF(SUMPRODUCT((INPUT!$T$3:$T$3000=45965)*(INPUT!$U$3:$U$3000="GONZALO"))=0,"",SUMPRODUCT((INPUT!$T$3:$T$3000=45965)*(INPUT!$U$3:$U$3000="GONZALO")*(INPUT!$V$3:$V$3000+INPUT!$W$3:$W$3000+INPUT!$X$3:$X$3000+INPUT!$Y$3:$Y$3000))),"")</f>
        <v/>
      </c>
      <c r="BX9" s="42" t="str" cm="1">
        <f t="array" ref="BX9">IFERROR(IF(SUMPRODUCT((INPUT!$T$3:$T$3000=45966)*(INPUT!$U$3:$U$3000="GONZALO"))=0,"",SUMPRODUCT((INPUT!$T$3:$T$3000=45966)*(INPUT!$U$3:$U$3000="GONZALO")*(INPUT!$V$3:$V$3000+INPUT!$W$3:$W$3000+INPUT!$X$3:$X$3000+INPUT!$Y$3:$Y$3000))),"")</f>
        <v/>
      </c>
      <c r="BY9" s="42" t="str" cm="1">
        <f t="array" ref="BY9">IFERROR(IF(SUMPRODUCT((INPUT!$T$3:$T$3000=45967)*(INPUT!$U$3:$U$3000="GONZALO"))=0,"",SUMPRODUCT((INPUT!$T$3:$T$3000=45967)*(INPUT!$U$3:$U$3000="GONZALO")*(INPUT!$V$3:$V$3000+INPUT!$W$3:$W$3000+INPUT!$X$3:$X$3000+INPUT!$Y$3:$Y$3000))),"")</f>
        <v/>
      </c>
      <c r="BZ9" s="42" t="str" cm="1">
        <f t="array" ref="BZ9">IFERROR(IF(SUMPRODUCT((INPUT!$T$3:$T$3000=45968)*(INPUT!$U$3:$U$3000="GONZALO"))=0,"",SUMPRODUCT((INPUT!$T$3:$T$3000=45968)*(INPUT!$U$3:$U$3000="GONZALO")*(INPUT!$V$3:$V$3000+INPUT!$W$3:$W$3000+INPUT!$X$3:$X$3000+INPUT!$Y$3:$Y$3000))),"")</f>
        <v/>
      </c>
      <c r="CA9" s="42" t="str" cm="1">
        <f t="array" ref="CA9">IFERROR(IF(SUMPRODUCT((INPUT!$T$3:$T$3000=45971)*(INPUT!$U$3:$U$3000="GONZALO"))=0,"",SUMPRODUCT((INPUT!$T$3:$T$3000=45971)*(INPUT!$U$3:$U$3000="GONZALO")*(INPUT!$V$3:$V$3000+INPUT!$W$3:$W$3000+INPUT!$X$3:$X$3000+INPUT!$Y$3:$Y$3000))),"")</f>
        <v/>
      </c>
      <c r="CB9" s="42" t="str" cm="1">
        <f t="array" ref="CB9">IFERROR(IF(SUMPRODUCT((INPUT!$T$3:$T$3000=45972)*(INPUT!$U$3:$U$3000="GONZALO"))=0,"",SUMPRODUCT((INPUT!$T$3:$T$3000=45972)*(INPUT!$U$3:$U$3000="GONZALO")*(INPUT!$V$3:$V$3000+INPUT!$W$3:$W$3000+INPUT!$X$3:$X$3000+INPUT!$Y$3:$Y$3000))),"")</f>
        <v/>
      </c>
      <c r="CC9" s="42" t="str" cm="1">
        <f t="array" ref="CC9">IFERROR(IF(SUMPRODUCT((INPUT!$T$3:$T$3000=45974)*(INPUT!$U$3:$U$3000="GONZALO"))=0,"",SUMPRODUCT((INPUT!$T$3:$T$3000=45974)*(INPUT!$U$3:$U$3000="GONZALO")*(INPUT!$V$3:$V$3000+INPUT!$W$3:$W$3000+INPUT!$X$3:$X$3000+INPUT!$Y$3:$Y$3000))),"")</f>
        <v/>
      </c>
      <c r="CD9" s="42" t="str" cm="1">
        <f t="array" ref="CD9">IFERROR(IF(SUMPRODUCT((INPUT!$T$3:$T$3000=45975)*(INPUT!$U$3:$U$3000="GONZALO"))=0,"",SUMPRODUCT((INPUT!$T$3:$T$3000=45975)*(INPUT!$U$3:$U$3000="GONZALO")*(INPUT!$V$3:$V$3000+INPUT!$W$3:$W$3000+INPUT!$X$3:$X$3000+INPUT!$Y$3:$Y$3000))),"")</f>
        <v/>
      </c>
      <c r="CE9" s="42" t="str" cm="1">
        <f t="array" ref="CE9">IFERROR(IF(SUMPRODUCT((INPUT!$T$3:$T$3000=45976)*(INPUT!$U$3:$U$3000="GONZALO"))=0,"",SUMPRODUCT((INPUT!$T$3:$T$3000=45976)*(INPUT!$U$3:$U$3000="GONZALO")*(INPUT!$V$3:$V$3000+INPUT!$W$3:$W$3000+INPUT!$X$3:$X$3000+INPUT!$Y$3:$Y$3000))),"")</f>
        <v/>
      </c>
      <c r="CF9" s="42" t="str" cm="1">
        <f t="array" ref="CF9">IFERROR(IF(SUMPRODUCT((INPUT!$T$3:$T$3000=45978)*(INPUT!$U$3:$U$3000="GONZALO"))=0,"",SUMPRODUCT((INPUT!$T$3:$T$3000=45978)*(INPUT!$U$3:$U$3000="GONZALO")*(INPUT!$V$3:$V$3000+INPUT!$W$3:$W$3000+INPUT!$X$3:$X$3000+INPUT!$Y$3:$Y$3000))),"")</f>
        <v/>
      </c>
      <c r="CG9" s="42" t="str" cm="1">
        <f t="array" ref="CG9">IFERROR(IF(SUMPRODUCT((INPUT!$T$3:$T$3000=45979)*(INPUT!$U$3:$U$3000="GONZALO"))=0,"",SUMPRODUCT((INPUT!$T$3:$T$3000=45979)*(INPUT!$U$3:$U$3000="GONZALO")*(INPUT!$V$3:$V$3000+INPUT!$W$3:$W$3000+INPUT!$X$3:$X$3000+INPUT!$Y$3:$Y$3000))),"")</f>
        <v/>
      </c>
      <c r="CH9" s="42" t="str" cm="1">
        <f t="array" ref="CH9">IFERROR(IF(SUMPRODUCT((INPUT!$T$3:$T$3000=45980)*(INPUT!$U$3:$U$3000="GONZALO"))=0,"",SUMPRODUCT((INPUT!$T$3:$T$3000=45980)*(INPUT!$U$3:$U$3000="GONZALO")*(INPUT!$V$3:$V$3000+INPUT!$W$3:$W$3000+INPUT!$X$3:$X$3000+INPUT!$Y$3:$Y$3000))),"")</f>
        <v/>
      </c>
      <c r="CI9" s="42" t="str" cm="1">
        <f t="array" ref="CI9">IFERROR(IF(SUMPRODUCT((INPUT!$T$3:$T$3000=45982)*(INPUT!$U$3:$U$3000="GONZALO"))=0,"",SUMPRODUCT((INPUT!$T$3:$T$3000=45982)*(INPUT!$U$3:$U$3000="GONZALO")*(INPUT!$V$3:$V$3000+INPUT!$W$3:$W$3000+INPUT!$X$3:$X$3000+INPUT!$Y$3:$Y$3000))),"")</f>
        <v/>
      </c>
      <c r="CJ9" s="42" t="str" cm="1">
        <f t="array" ref="CJ9">IFERROR(IF(SUMPRODUCT((INPUT!$T$3:$T$3000=45983)*(INPUT!$U$3:$U$3000="GONZALO"))=0,"",SUMPRODUCT((INPUT!$T$3:$T$3000=45983)*(INPUT!$U$3:$U$3000="GONZALO")*(INPUT!$V$3:$V$3000+INPUT!$W$3:$W$3000+INPUT!$X$3:$X$3000+INPUT!$Y$3:$Y$3000))),"")</f>
        <v/>
      </c>
      <c r="CK9" s="42" t="str" cm="1">
        <f t="array" ref="CK9">IFERROR(IF(SUMPRODUCT((INPUT!$T$3:$T$3000=45985)*(INPUT!$U$3:$U$3000="GONZALO"))=0,"",SUMPRODUCT((INPUT!$T$3:$T$3000=45985)*(INPUT!$U$3:$U$3000="GONZALO")*(INPUT!$V$3:$V$3000+INPUT!$W$3:$W$3000+INPUT!$X$3:$X$3000+INPUT!$Y$3:$Y$3000))),"")</f>
        <v/>
      </c>
      <c r="CL9" s="42" t="str" cm="1">
        <f t="array" ref="CL9">IFERROR(IF(SUMPRODUCT((INPUT!$T$3:$T$3000=45986)*(INPUT!$U$3:$U$3000="GONZALO"))=0,"",SUMPRODUCT((INPUT!$T$3:$T$3000=45986)*(INPUT!$U$3:$U$3000="GONZALO")*(INPUT!$V$3:$V$3000+INPUT!$W$3:$W$3000+INPUT!$X$3:$X$3000+INPUT!$Y$3:$Y$3000))),"")</f>
        <v/>
      </c>
      <c r="CM9" s="42" t="str" cm="1">
        <f t="array" ref="CM9">IFERROR(IF(SUMPRODUCT((INPUT!$T$3:$T$3000=45987)*(INPUT!$U$3:$U$3000="GONZALO"))=0,"",SUMPRODUCT((INPUT!$T$3:$T$3000=45987)*(INPUT!$U$3:$U$3000="GONZALO")*(INPUT!$V$3:$V$3000+INPUT!$W$3:$W$3000+INPUT!$X$3:$X$3000+INPUT!$Y$3:$Y$3000))),"")</f>
        <v/>
      </c>
      <c r="CN9" s="42" t="str" cm="1">
        <f t="array" ref="CN9">IFERROR(IF(SUMPRODUCT((INPUT!$T$3:$T$3000=45988)*(INPUT!$U$3:$U$3000="GONZALO"))=0,"",SUMPRODUCT((INPUT!$T$3:$T$3000=45988)*(INPUT!$U$3:$U$3000="GONZALO")*(INPUT!$V$3:$V$3000+INPUT!$W$3:$W$3000+INPUT!$X$3:$X$3000+INPUT!$Y$3:$Y$3000))),"")</f>
        <v/>
      </c>
      <c r="CO9" s="42" t="str" cm="1">
        <f t="array" ref="CO9">IFERROR(IF(SUMPRODUCT((INPUT!$T$3:$T$3000=45989)*(INPUT!$U$3:$U$3000="GONZALO"))=0,"",SUMPRODUCT((INPUT!$T$3:$T$3000=45989)*(INPUT!$U$3:$U$3000="GONZALO")*(INPUT!$V$3:$V$3000+INPUT!$W$3:$W$3000+INPUT!$X$3:$X$3000+INPUT!$Y$3:$Y$3000))),"")</f>
        <v/>
      </c>
      <c r="CP9" s="42" t="str" cm="1">
        <f t="array" ref="CP9">IFERROR(IF(SUMPRODUCT((INPUT!$T$3:$T$3000=45992)*(INPUT!$U$3:$U$3000="GONZALO"))=0,"",SUMPRODUCT((INPUT!$T$3:$T$3000=45992)*(INPUT!$U$3:$U$3000="GONZALO")*(INPUT!$V$3:$V$3000+INPUT!$W$3:$W$3000+INPUT!$X$3:$X$3000+INPUT!$Y$3:$Y$3000))),"")</f>
        <v/>
      </c>
      <c r="CQ9" s="42" t="str" cm="1">
        <f t="array" ref="CQ9">IFERROR(IF(SUMPRODUCT((INPUT!$T$3:$T$3000=45993)*(INPUT!$U$3:$U$3000="GONZALO"))=0,"",SUMPRODUCT((INPUT!$T$3:$T$3000=45993)*(INPUT!$U$3:$U$3000="GONZALO")*(INPUT!$V$3:$V$3000+INPUT!$W$3:$W$3000+INPUT!$X$3:$X$3000+INPUT!$Y$3:$Y$3000))),"")</f>
        <v/>
      </c>
      <c r="CR9" s="42" t="str" cm="1">
        <f t="array" ref="CR9">IFERROR(IF(SUMPRODUCT((INPUT!$T$3:$T$3000=45994)*(INPUT!$U$3:$U$3000="GONZALO"))=0,"",SUMPRODUCT((INPUT!$T$3:$T$3000=45994)*(INPUT!$U$3:$U$3000="GONZALO")*(INPUT!$V$3:$V$3000+INPUT!$W$3:$W$3000+INPUT!$X$3:$X$3000+INPUT!$Y$3:$Y$3000))),"")</f>
        <v/>
      </c>
      <c r="CS9" s="42" t="str" cm="1">
        <f t="array" ref="CS9">IFERROR(IF(SUMPRODUCT((INPUT!$T$3:$T$3000=45995)*(INPUT!$U$3:$U$3000="GONZALO"))=0,"",SUMPRODUCT((INPUT!$T$3:$T$3000=45995)*(INPUT!$U$3:$U$3000="GONZALO")*(INPUT!$V$3:$V$3000+INPUT!$W$3:$W$3000+INPUT!$X$3:$X$3000+INPUT!$Y$3:$Y$3000))),"")</f>
        <v/>
      </c>
      <c r="CT9" s="42" t="str" cm="1">
        <f t="array" ref="CT9">IFERROR(IF(SUMPRODUCT((INPUT!$T$3:$T$3000=45996)*(INPUT!$U$3:$U$3000="GONZALO"))=0,"",SUMPRODUCT((INPUT!$T$3:$T$3000=45996)*(INPUT!$U$3:$U$3000="GONZALO")*(INPUT!$V$3:$V$3000+INPUT!$W$3:$W$3000+INPUT!$X$3:$X$3000+INPUT!$Y$3:$Y$3000))),"")</f>
        <v/>
      </c>
      <c r="CU9" s="42" t="str" cm="1">
        <f t="array" ref="CU9">IFERROR(IF(SUMPRODUCT((INPUT!$T$3:$T$3000=45997)*(INPUT!$U$3:$U$3000="GONZALO"))=0,"",SUMPRODUCT((INPUT!$T$3:$T$3000=45997)*(INPUT!$U$3:$U$3000="GONZALO")*(INPUT!$V$3:$V$3000+INPUT!$W$3:$W$3000+INPUT!$X$3:$X$3000+INPUT!$Y$3:$Y$3000))),"")</f>
        <v/>
      </c>
      <c r="CV9" s="42" t="str" cm="1">
        <f t="array" ref="CV9">IFERROR(IF(SUMPRODUCT((INPUT!$T$3:$T$3000=45999)*(INPUT!$U$3:$U$3000="GONZALO"))=0,"",SUMPRODUCT((INPUT!$T$3:$T$3000=45999)*(INPUT!$U$3:$U$3000="GONZALO")*(INPUT!$V$3:$V$3000+INPUT!$W$3:$W$3000+INPUT!$X$3:$X$3000+INPUT!$Y$3:$Y$3000))),"")</f>
        <v/>
      </c>
      <c r="CW9" s="42" t="str" cm="1">
        <f t="array" ref="CW9">IFERROR(IF(SUMPRODUCT((INPUT!$T$3:$T$3000=46000)*(INPUT!$U$3:$U$3000="GONZALO"))=0,"",SUMPRODUCT((INPUT!$T$3:$T$3000=46000)*(INPUT!$U$3:$U$3000="GONZALO")*(INPUT!$V$3:$V$3000+INPUT!$W$3:$W$3000+INPUT!$X$3:$X$3000+INPUT!$Y$3:$Y$3000))),"")</f>
        <v/>
      </c>
      <c r="CX9" s="42" t="str" cm="1">
        <f t="array" ref="CX9">IFERROR(IF(SUMPRODUCT((INPUT!$T$3:$T$3000=46001)*(INPUT!$U$3:$U$3000="GONZALO"))=0,"",SUMPRODUCT((INPUT!$T$3:$T$3000=46001)*(INPUT!$U$3:$U$3000="GONZALO")*(INPUT!$V$3:$V$3000+INPUT!$W$3:$W$3000+INPUT!$X$3:$X$3000+INPUT!$Y$3:$Y$3000))),"")</f>
        <v/>
      </c>
      <c r="CY9" s="42" t="str" cm="1">
        <f t="array" ref="CY9">IFERROR(IF(SUMPRODUCT((INPUT!$T$3:$T$3000=46002)*(INPUT!$U$3:$U$3000="GONZALO"))=0,"",SUMPRODUCT((INPUT!$T$3:$T$3000=46002)*(INPUT!$U$3:$U$3000="GONZALO")*(INPUT!$V$3:$V$3000+INPUT!$W$3:$W$3000+INPUT!$X$3:$X$3000+INPUT!$Y$3:$Y$3000))),"")</f>
        <v/>
      </c>
      <c r="CZ9" s="42" t="str" cm="1">
        <f t="array" ref="CZ9">IFERROR(IF(SUMPRODUCT((INPUT!$T$3:$T$3000=46003)*(INPUT!$U$3:$U$3000="GONZALO"))=0,"",SUMPRODUCT((INPUT!$T$3:$T$3000=46003)*(INPUT!$U$3:$U$3000="GONZALO")*(INPUT!$V$3:$V$3000+INPUT!$W$3:$W$3000+INPUT!$X$3:$X$3000+INPUT!$Y$3:$Y$3000))),"")</f>
        <v/>
      </c>
      <c r="DA9" s="42" t="str" cm="1">
        <f t="array" ref="DA9">IFERROR(IF(SUMPRODUCT((INPUT!$T$3:$T$3000=46004)*(INPUT!$U$3:$U$3000="GONZALO"))=0,"",SUMPRODUCT((INPUT!$T$3:$T$3000=46004)*(INPUT!$U$3:$U$3000="GONZALO")*(INPUT!$V$3:$V$3000+INPUT!$W$3:$W$3000+INPUT!$X$3:$X$3000+INPUT!$Y$3:$Y$3000))),"")</f>
        <v/>
      </c>
      <c r="DB9" s="42" cm="1">
        <f t="array" ref="DB9">IFERROR(IF(SUMPRODUCT((INPUT!$T$3:$T$3000=46007)*(INPUT!$U$3:$U$3000="GONZALO"))=0,"",SUMPRODUCT((INPUT!$T$3:$T$3000=46007)*(INPUT!$U$3:$U$3000="GONZALO")*(INPUT!$V$3:$V$3000+INPUT!$W$3:$W$3000+INPUT!$X$3:$X$3000+INPUT!$Y$3:$Y$3000))),"")</f>
        <v>16</v>
      </c>
      <c r="DC9" s="42" t="str" cm="1">
        <f t="array" ref="DC9">IFERROR(IF(SUMPRODUCT((INPUT!$T$3:$T$3000=46008)*(INPUT!$U$3:$U$3000="GONZALO"))=0,"",SUMPRODUCT((INPUT!$T$3:$T$3000=46008)*(INPUT!$U$3:$U$3000="GONZALO")*(INPUT!$V$3:$V$3000+INPUT!$W$3:$W$3000+INPUT!$X$3:$X$3000+INPUT!$Y$3:$Y$3000))),"")</f>
        <v/>
      </c>
      <c r="DD9" s="42" cm="1">
        <f t="array" ref="DD9">IFERROR(IF(SUMPRODUCT((INPUT!$T$3:$T$3000=46009)*(INPUT!$U$3:$U$3000="GONZALO"))=0,"",SUMPRODUCT((INPUT!$T$3:$T$3000=46009)*(INPUT!$U$3:$U$3000="GONZALO")*(INPUT!$V$3:$V$3000+INPUT!$W$3:$W$3000+INPUT!$X$3:$X$3000+INPUT!$Y$3:$Y$3000))),"")</f>
        <v>17</v>
      </c>
      <c r="DE9" s="42" t="str" cm="1">
        <f t="array" ref="DE9">IFERROR(IF(SUMPRODUCT((INPUT!$T$3:$T$3000=46010)*(INPUT!$U$3:$U$3000="GONZALO"))=0,"",SUMPRODUCT((INPUT!$T$3:$T$3000=46010)*(INPUT!$U$3:$U$3000="GONZALO")*(INPUT!$V$3:$V$3000+INPUT!$W$3:$W$3000+INPUT!$X$3:$X$3000+INPUT!$Y$3:$Y$3000))),"")</f>
        <v/>
      </c>
      <c r="DF9" s="42" cm="1">
        <f t="array" ref="DF9">IFERROR(IF(SUMPRODUCT((INPUT!$T$3:$T$3000=46013)*(INPUT!$U$3:$U$3000="GONZALO"))=0,"",SUMPRODUCT((INPUT!$T$3:$T$3000=46013)*(INPUT!$U$3:$U$3000="GONZALO")*(INPUT!$V$3:$V$3000+INPUT!$W$3:$W$3000+INPUT!$X$3:$X$3000+INPUT!$Y$3:$Y$3000))),"")</f>
        <v>17</v>
      </c>
      <c r="DG9" s="42" cm="1">
        <f t="array" ref="DG9">IFERROR(IF(SUMPRODUCT((INPUT!$T$3:$T$3000=46014)*(INPUT!$U$3:$U$3000="GONZALO"))=0,"",SUMPRODUCT((INPUT!$T$3:$T$3000=46014)*(INPUT!$U$3:$U$3000="GONZALO")*(INPUT!$V$3:$V$3000+INPUT!$W$3:$W$3000+INPUT!$X$3:$X$3000+INPUT!$Y$3:$Y$3000))),"")</f>
        <v>14</v>
      </c>
      <c r="DH9" s="42" cm="1">
        <f t="array" ref="DH9">IFERROR(IF(SUMPRODUCT((INPUT!$T$3:$T$3000=46017)*(INPUT!$U$3:$U$3000="GONZALO"))=0,"",SUMPRODUCT((INPUT!$T$3:$T$3000=46017)*(INPUT!$U$3:$U$3000="GONZALO")*(INPUT!$V$3:$V$3000+INPUT!$W$3:$W$3000+INPUT!$X$3:$X$3000+INPUT!$Y$3:$Y$3000))),"")</f>
        <v>14</v>
      </c>
      <c r="DI9" s="42" t="str" cm="1">
        <f t="array" ref="DI9">IFERROR(IF(SUMPRODUCT((INPUT!$T$3:$T$3000=46018)*(INPUT!$U$3:$U$3000="GONZALO"))=0,"",SUMPRODUCT((INPUT!$T$3:$T$3000=46018)*(INPUT!$U$3:$U$3000="GONZALO")*(INPUT!$V$3:$V$3000+INPUT!$W$3:$W$3000+INPUT!$X$3:$X$3000+INPUT!$Y$3:$Y$3000))),"")</f>
        <v/>
      </c>
      <c r="DJ9" s="42" t="str" cm="1">
        <f t="array" ref="DJ9">IFERROR(IF(SUMPRODUCT((INPUT!$T$3:$T$3000=46020)*(INPUT!$U$3:$U$3000="GONZALO"))=0,"",SUMPRODUCT((INPUT!$T$3:$T$3000=46020)*(INPUT!$U$3:$U$3000="GONZALO")*(INPUT!$V$3:$V$3000+INPUT!$W$3:$W$3000+INPUT!$X$3:$X$3000+INPUT!$Y$3:$Y$3000))),"")</f>
        <v/>
      </c>
      <c r="DK9" s="42" t="str" cm="1">
        <f t="array" ref="DK9">IFERROR(IF(SUMPRODUCT((INPUT!$T$3:$T$3000=46021)*(INPUT!$U$3:$U$3000="GONZALO"))=0,"",SUMPRODUCT((INPUT!$T$3:$T$3000=46021)*(INPUT!$U$3:$U$3000="GONZALO")*(INPUT!$V$3:$V$3000+INPUT!$W$3:$W$3000+INPUT!$X$3:$X$3000+INPUT!$Y$3:$Y$3000))),"")</f>
        <v/>
      </c>
      <c r="DL9" s="42" t="str" cm="1">
        <f t="array" ref="DL9">IFERROR(IF(SUMPRODUCT((INPUT!$T$3:$T$3000=46022)*(INPUT!$U$3:$U$3000="GONZALO"))=0,"",SUMPRODUCT((INPUT!$T$3:$T$3000=46022)*(INPUT!$U$3:$U$3000="GONZALO")*(INPUT!$V$3:$V$3000+INPUT!$W$3:$W$3000+INPUT!$X$3:$X$3000+INPUT!$Y$3:$Y$3000))),"")</f>
        <v/>
      </c>
      <c r="DM9" s="42" t="str" cm="1">
        <f t="array" ref="DM9">IFERROR(IF(SUMPRODUCT((INPUT!$T$3:$T$3000=46024)*(INPUT!$U$3:$U$3000="GONZALO"))=0,"",SUMPRODUCT((INPUT!$T$3:$T$3000=46024)*(INPUT!$U$3:$U$3000="GONZALO")*(INPUT!$V$3:$V$3000+INPUT!$W$3:$W$3000+INPUT!$X$3:$X$3000+INPUT!$Y$3:$Y$3000))),"")</f>
        <v/>
      </c>
      <c r="DN9" s="42" t="str" cm="1">
        <f t="array" ref="DN9">IFERROR(IF(SUMPRODUCT((INPUT!$T$3:$T$3000=46025)*(INPUT!$U$3:$U$3000="GONZALO"))=0,"",SUMPRODUCT((INPUT!$T$3:$T$3000=46025)*(INPUT!$U$3:$U$3000="GONZALO")*(INPUT!$V$3:$V$3000+INPUT!$W$3:$W$3000+INPUT!$X$3:$X$3000+INPUT!$Y$3:$Y$3000))),"")</f>
        <v/>
      </c>
      <c r="DO9" s="42" t="str" cm="1">
        <f t="array" ref="DO9">IFERROR(IF(SUMPRODUCT((INPUT!$T$3:$T$3000=46027)*(INPUT!$U$3:$U$3000="GONZALO"))=0,"",SUMPRODUCT((INPUT!$T$3:$T$3000=46027)*(INPUT!$U$3:$U$3000="GONZALO")*(INPUT!$V$3:$V$3000+INPUT!$W$3:$W$3000+INPUT!$X$3:$X$3000+INPUT!$Y$3:$Y$3000))),"")</f>
        <v/>
      </c>
      <c r="DP9" s="42" t="str" cm="1">
        <f t="array" ref="DP9">IFERROR(IF(SUMPRODUCT((INPUT!$T$3:$T$3000=46028)*(INPUT!$U$3:$U$3000="GONZALO"))=0,"",SUMPRODUCT((INPUT!$T$3:$T$3000=46028)*(INPUT!$U$3:$U$3000="GONZALO")*(INPUT!$V$3:$V$3000+INPUT!$W$3:$W$3000+INPUT!$X$3:$X$3000+INPUT!$Y$3:$Y$3000))),"")</f>
        <v/>
      </c>
      <c r="DQ9" s="42" t="str" cm="1">
        <f t="array" ref="DQ9">IFERROR(IF(SUMPRODUCT((INPUT!$T$3:$T$3000=46029)*(INPUT!$U$3:$U$3000="GONZALO"))=0,"",SUMPRODUCT((INPUT!$T$3:$T$3000=46029)*(INPUT!$U$3:$U$3000="GONZALO")*(INPUT!$V$3:$V$3000+INPUT!$W$3:$W$3000+INPUT!$X$3:$X$3000+INPUT!$Y$3:$Y$3000))),"")</f>
        <v/>
      </c>
      <c r="DR9" s="42" t="str" cm="1">
        <f t="array" ref="DR9">IFERROR(IF(SUMPRODUCT((INPUT!$T$3:$T$3000=46030)*(INPUT!$U$3:$U$3000="GONZALO"))=0,"",SUMPRODUCT((INPUT!$T$3:$T$3000=46030)*(INPUT!$U$3:$U$3000="GONZALO")*(INPUT!$V$3:$V$3000+INPUT!$W$3:$W$3000+INPUT!$X$3:$X$3000+INPUT!$Y$3:$Y$3000))),"")</f>
        <v/>
      </c>
      <c r="DS9" s="42" t="str" cm="1">
        <f t="array" ref="DS9">IFERROR(IF(SUMPRODUCT((INPUT!$T$3:$T$3000=46031)*(INPUT!$U$3:$U$3000="GONZALO"))=0,"",SUMPRODUCT((INPUT!$T$3:$T$3000=46031)*(INPUT!$U$3:$U$3000="GONZALO")*(INPUT!$V$3:$V$3000+INPUT!$W$3:$W$3000+INPUT!$X$3:$X$3000+INPUT!$Y$3:$Y$3000))),"")</f>
        <v/>
      </c>
      <c r="DT9" s="42" t="str" cm="1">
        <f t="array" ref="DT9">IFERROR(IF(SUMPRODUCT((INPUT!$T$3:$T$3000=46041)*(INPUT!$U$3:$U$3000="GONZALO"))=0,"",SUMPRODUCT((INPUT!$T$3:$T$3000=46041)*(INPUT!$U$3:$U$3000="GONZALO")*(INPUT!$V$3:$V$3000+INPUT!$W$3:$W$3000+INPUT!$X$3:$X$3000+INPUT!$Y$3:$Y$3000))),"")</f>
        <v/>
      </c>
      <c r="DU9" s="42" t="str" cm="1">
        <f t="array" ref="DU9">IFERROR(IF(SUMPRODUCT((INPUT!$T$3:$T$3000=46042)*(INPUT!$U$3:$U$3000="GONZALO"))=0,"",SUMPRODUCT((INPUT!$T$3:$T$3000=46042)*(INPUT!$U$3:$U$3000="GONZALO")*(INPUT!$V$3:$V$3000+INPUT!$W$3:$W$3000+INPUT!$X$3:$X$3000+INPUT!$Y$3:$Y$3000))),"")</f>
        <v/>
      </c>
      <c r="DV9" s="42" t="str" cm="1">
        <f t="array" ref="DV9">IFERROR(IF(SUMPRODUCT((INPUT!$T$3:$T$3000=46043)*(INPUT!$U$3:$U$3000="GONZALO"))=0,"",SUMPRODUCT((INPUT!$T$3:$T$3000=46043)*(INPUT!$U$3:$U$3000="GONZALO")*(INPUT!$V$3:$V$3000+INPUT!$W$3:$W$3000+INPUT!$X$3:$X$3000+INPUT!$Y$3:$Y$3000))),"")</f>
        <v/>
      </c>
      <c r="DW9" s="42" cm="1">
        <f t="array" ref="DW9">IFERROR(IF(SUMPRODUCT((INPUT!$T$3:$T$3000=46044)*(INPUT!$U$3:$U$3000="GONZALO"))=0,"",SUMPRODUCT((INPUT!$T$3:$T$3000=46044)*(INPUT!$U$3:$U$3000="GONZALO")*(INPUT!$V$3:$V$3000+INPUT!$W$3:$W$3000+INPUT!$X$3:$X$3000+INPUT!$Y$3:$Y$3000))),"")</f>
        <v>9</v>
      </c>
      <c r="DX9" s="42" cm="1">
        <f t="array" ref="DX9">IFERROR(IF(SUMPRODUCT((INPUT!$T$3:$T$3000=46045)*(INPUT!$U$3:$U$3000="GONZALO"))=0,"",SUMPRODUCT((INPUT!$T$3:$T$3000=46045)*(INPUT!$U$3:$U$3000="GONZALO")*(INPUT!$V$3:$V$3000+INPUT!$W$3:$W$3000+INPUT!$X$3:$X$3000+INPUT!$Y$3:$Y$3000))),"")</f>
        <v>11</v>
      </c>
      <c r="DY9" s="42" cm="1">
        <f t="array" ref="DY9">IFERROR(IF(SUMPRODUCT((INPUT!$T$3:$T$3000=46048)*(INPUT!$U$3:$U$3000="GONZALO"))=0,"",SUMPRODUCT((INPUT!$T$3:$T$3000=46048)*(INPUT!$U$3:$U$3000="GONZALO")*(INPUT!$V$3:$V$3000+INPUT!$W$3:$W$3000+INPUT!$X$3:$X$3000+INPUT!$Y$3:$Y$3000))),"")</f>
        <v>11</v>
      </c>
      <c r="DZ9" s="42" cm="1">
        <f t="array" ref="DZ9">IFERROR(IF(SUMPRODUCT((INPUT!$T$3:$T$3000=46049)*(INPUT!$U$3:$U$3000="GONZALO"))=0,"",SUMPRODUCT((INPUT!$T$3:$T$3000=46049)*(INPUT!$U$3:$U$3000="GONZALO")*(INPUT!$V$3:$V$3000+INPUT!$W$3:$W$3000+INPUT!$X$3:$X$3000+INPUT!$Y$3:$Y$3000))),"")</f>
        <v>11</v>
      </c>
      <c r="EA9" s="42" cm="1">
        <f t="array" ref="EA9">IFERROR(IF(SUMPRODUCT((INPUT!$T$3:$T$3000=46050)*(INPUT!$U$3:$U$3000="GONZALO"))=0,"",SUMPRODUCT((INPUT!$T$3:$T$3000=46050)*(INPUT!$U$3:$U$3000="GONZALO")*(INPUT!$V$3:$V$3000+INPUT!$W$3:$W$3000+INPUT!$X$3:$X$3000+INPUT!$Y$3:$Y$3000))),"")</f>
        <v>14</v>
      </c>
      <c r="EB9" s="42" cm="1">
        <f t="array" ref="EB9">IFERROR(IF(SUMPRODUCT((INPUT!$T$3:$T$3000=46051)*(INPUT!$U$3:$U$3000="GONZALO"))=0,"",SUMPRODUCT((INPUT!$T$3:$T$3000=46051)*(INPUT!$U$3:$U$3000="GONZALO")*(INPUT!$V$3:$V$3000+INPUT!$W$3:$W$3000+INPUT!$X$3:$X$3000+INPUT!$Y$3:$Y$3000))),"")</f>
        <v>14</v>
      </c>
      <c r="EC9" s="42" cm="1">
        <f t="array" ref="EC9">IFERROR(IF(SUMPRODUCT((INPUT!$T$3:$T$3000=46052)*(INPUT!$U$3:$U$3000="GONZALO"))=0,"",SUMPRODUCT((INPUT!$T$3:$T$3000=46052)*(INPUT!$U$3:$U$3000="GONZALO")*(INPUT!$V$3:$V$3000+INPUT!$W$3:$W$3000+INPUT!$X$3:$X$3000+INPUT!$Y$3:$Y$3000))),"")</f>
        <v>16</v>
      </c>
      <c r="ED9" s="42" cm="1">
        <f t="array" ref="ED9">IFERROR(IF(SUMPRODUCT((INPUT!$T$3:$T$3000=46055)*(INPUT!$U$3:$U$3000="GONZALO"))=0,"",SUMPRODUCT((INPUT!$T$3:$T$3000=46055)*(INPUT!$U$3:$U$3000="GONZALO")*(INPUT!$V$3:$V$3000+INPUT!$W$3:$W$3000+INPUT!$X$3:$X$3000+INPUT!$Y$3:$Y$3000))),"")</f>
        <v>8</v>
      </c>
      <c r="EE9" s="42" cm="1">
        <f t="array" ref="EE9">IFERROR(IF(SUMPRODUCT((INPUT!$T$3:$T$3000=46056)*(INPUT!$U$3:$U$3000="GONZALO"))=0,"",SUMPRODUCT((INPUT!$T$3:$T$3000=46056)*(INPUT!$U$3:$U$3000="GONZALO")*(INPUT!$V$3:$V$3000+INPUT!$W$3:$W$3000+INPUT!$X$3:$X$3000+INPUT!$Y$3:$Y$3000))),"")</f>
        <v>10</v>
      </c>
      <c r="EF9" s="42" cm="1">
        <f t="array" ref="EF9">IFERROR(IF(SUMPRODUCT((INPUT!$T$3:$T$3000=46057)*(INPUT!$U$3:$U$3000="GONZALO"))=0,"",SUMPRODUCT((INPUT!$T$3:$T$3000=46057)*(INPUT!$U$3:$U$3000="GONZALO")*(INPUT!$V$3:$V$3000+INPUT!$W$3:$W$3000+INPUT!$X$3:$X$3000+INPUT!$Y$3:$Y$3000))),"")</f>
        <v>12</v>
      </c>
      <c r="EG9" s="42" cm="1">
        <f t="array" ref="EG9">IFERROR(IF(SUMPRODUCT((INPUT!$T$3:$T$3000=46058)*(INPUT!$U$3:$U$3000="GONZALO"))=0,"",SUMPRODUCT((INPUT!$T$3:$T$3000=46058)*(INPUT!$U$3:$U$3000="GONZALO")*(INPUT!$V$3:$V$3000+INPUT!$W$3:$W$3000+INPUT!$X$3:$X$3000+INPUT!$Y$3:$Y$3000))),"")</f>
        <v>15</v>
      </c>
      <c r="EH9" s="42" cm="1">
        <f t="array" ref="EH9">IFERROR(IF(SUMPRODUCT((INPUT!$T$3:$T$3000=46059)*(INPUT!$U$3:$U$3000="GONZALO"))=0,"",SUMPRODUCT((INPUT!$T$3:$T$3000=46059)*(INPUT!$U$3:$U$3000="GONZALO")*(INPUT!$V$3:$V$3000+INPUT!$W$3:$W$3000+INPUT!$X$3:$X$3000+INPUT!$Y$3:$Y$3000))),"")</f>
        <v>15</v>
      </c>
      <c r="EI9" s="42" cm="1">
        <f t="array" ref="EI9">IFERROR(IF(SUMPRODUCT((INPUT!$T$3:$T$3000=46061)*(INPUT!$U$3:$U$3000="GONZALO"))=0,"",SUMPRODUCT((INPUT!$T$3:$T$3000=46061)*(INPUT!$U$3:$U$3000="GONZALO")*(INPUT!$V$3:$V$3000+INPUT!$W$3:$W$3000+INPUT!$X$3:$X$3000+INPUT!$Y$3:$Y$3000))),"")</f>
        <v>8</v>
      </c>
      <c r="EJ9" s="42" cm="1">
        <f t="array" ref="EJ9">IFERROR(IF(SUMPRODUCT((INPUT!$T$3:$T$3000=46062)*(INPUT!$U$3:$U$3000="GONZALO"))=0,"",SUMPRODUCT((INPUT!$T$3:$T$3000=46062)*(INPUT!$U$3:$U$3000="GONZALO")*(INPUT!$V$3:$V$3000+INPUT!$W$3:$W$3000+INPUT!$X$3:$X$3000+INPUT!$Y$3:$Y$3000))),"")</f>
        <v>13</v>
      </c>
      <c r="EK9" s="42" cm="1">
        <f t="array" ref="EK9">IFERROR(IF(SUMPRODUCT((INPUT!$T$3:$T$3000=46063)*(INPUT!$U$3:$U$3000="GONZALO"))=0,"",SUMPRODUCT((INPUT!$T$3:$T$3000=46063)*(INPUT!$U$3:$U$3000="GONZALO")*(INPUT!$V$3:$V$3000+INPUT!$W$3:$W$3000+INPUT!$X$3:$X$3000+INPUT!$Y$3:$Y$3000))),"")</f>
        <v>11</v>
      </c>
      <c r="EL9" s="42" cm="1">
        <f t="array" ref="EL9">IFERROR(IF(SUMPRODUCT((INPUT!$T$3:$T$3000=46064)*(INPUT!$U$3:$U$3000="GONZALO"))=0,"",SUMPRODUCT((INPUT!$T$3:$T$3000=46064)*(INPUT!$U$3:$U$3000="GONZALO")*(INPUT!$V$3:$V$3000+INPUT!$W$3:$W$3000+INPUT!$X$3:$X$3000+INPUT!$Y$3:$Y$3000))),"")</f>
        <v>15</v>
      </c>
      <c r="EM9" s="42" t="str" cm="1">
        <f t="array" ref="EM9">IFERROR(IF(SUMPRODUCT((INPUT!$T$3:$T$3000=46065)*(INPUT!$U$3:$U$3000="GONZALO"))=0,"",SUMPRODUCT((INPUT!$T$3:$T$3000=46065)*(INPUT!$U$3:$U$3000="GONZALO")*(INPUT!$V$3:$V$3000+INPUT!$W$3:$W$3000+INPUT!$X$3:$X$3000+INPUT!$Y$3:$Y$3000))),"")</f>
        <v/>
      </c>
      <c r="EN9" s="42" t="str" cm="1">
        <f t="array" ref="EN9">IFERROR(IF(SUMPRODUCT((INPUT!$T$3:$T$3000=46066)*(INPUT!$U$3:$U$3000="GONZALO"))=0,"",SUMPRODUCT((INPUT!$T$3:$T$3000=46066)*(INPUT!$U$3:$U$3000="GONZALO")*(INPUT!$V$3:$V$3000+INPUT!$W$3:$W$3000+INPUT!$X$3:$X$3000+INPUT!$Y$3:$Y$3000))),"")</f>
        <v/>
      </c>
      <c r="EO9" s="42" t="str" cm="1">
        <f t="array" ref="EO9">IFERROR(IF(SUMPRODUCT((INPUT!$T$3:$T$3000=46067)*(INPUT!$U$3:$U$3000="GONZALO"))=0,"",SUMPRODUCT((INPUT!$T$3:$T$3000=46067)*(INPUT!$U$3:$U$3000="GONZALO")*(INPUT!$V$3:$V$3000+INPUT!$W$3:$W$3000+INPUT!$X$3:$X$3000+INPUT!$Y$3:$Y$3000))),"")</f>
        <v/>
      </c>
      <c r="EP9" s="42" t="str" cm="1">
        <f t="array" ref="EP9">IFERROR(IF(SUMPRODUCT((INPUT!$T$3:$T$3000=46069)*(INPUT!$U$3:$U$3000="GONZALO"))=0,"",SUMPRODUCT((INPUT!$T$3:$T$3000=46069)*(INPUT!$U$3:$U$3000="GONZALO")*(INPUT!$V$3:$V$3000+INPUT!$W$3:$W$3000+INPUT!$X$3:$X$3000+INPUT!$Y$3:$Y$3000))),"")</f>
        <v/>
      </c>
      <c r="EQ9" s="42" cm="1">
        <f t="array" ref="EQ9">IFERROR(IF(SUMPRODUCT((INPUT!$T$3:$T$3000=46072)*(INPUT!$U$3:$U$3000="GONZALO"))=0,"",SUMPRODUCT((INPUT!$T$3:$T$3000=46072)*(INPUT!$U$3:$U$3000="GONZALO")*(INPUT!$V$3:$V$3000+INPUT!$W$3:$W$3000+INPUT!$X$3:$X$3000+INPUT!$Y$3:$Y$3000))),"")</f>
        <v>13</v>
      </c>
      <c r="ER9" s="42" cm="1">
        <f t="array" ref="ER9">IFERROR(IF(SUMPRODUCT((INPUT!$T$3:$T$3000=46073)*(INPUT!$U$3:$U$3000="GONZALO"))=0,"",SUMPRODUCT((INPUT!$T$3:$T$3000=46073)*(INPUT!$U$3:$U$3000="GONZALO")*(INPUT!$V$3:$V$3000+INPUT!$W$3:$W$3000+INPUT!$X$3:$X$3000+INPUT!$Y$3:$Y$3000))),"")</f>
        <v>16</v>
      </c>
      <c r="ES9" s="42" t="str" cm="1">
        <f t="array" ref="ES9">IFERROR(IF(SUMPRODUCT((INPUT!$T$3:$T$3000=46076)*(INPUT!$U$3:$U$3000="GONZALO"))=0,"",SUMPRODUCT((INPUT!$T$3:$T$3000=46076)*(INPUT!$U$3:$U$3000="GONZALO")*(INPUT!$V$3:$V$3000+INPUT!$W$3:$W$3000+INPUT!$X$3:$X$3000+INPUT!$Y$3:$Y$3000))),"")</f>
        <v/>
      </c>
      <c r="ET9" s="42" t="str" cm="1">
        <f t="array" ref="ET9">IFERROR(IF(SUMPRODUCT((INPUT!$T$3:$T$3000=46077)*(INPUT!$U$3:$U$3000="GONZALO"))=0,"",SUMPRODUCT((INPUT!$T$3:$T$3000=46077)*(INPUT!$U$3:$U$3000="GONZALO")*(INPUT!$V$3:$V$3000+INPUT!$W$3:$W$3000+INPUT!$X$3:$X$3000+INPUT!$Y$3:$Y$3000))),"")</f>
        <v/>
      </c>
      <c r="EU9" s="42" t="str" cm="1">
        <f t="array" ref="EU9">IFERROR(IF(SUMPRODUCT((INPUT!$T$3:$T$3000=46078)*(INPUT!$U$3:$U$3000="GONZALO"))=0,"",SUMPRODUCT((INPUT!$T$3:$T$3000=46078)*(INPUT!$U$3:$U$3000="GONZALO")*(INPUT!$V$3:$V$3000+INPUT!$W$3:$W$3000+INPUT!$X$3:$X$3000+INPUT!$Y$3:$Y$3000))),"")</f>
        <v/>
      </c>
      <c r="EV9" s="42" t="str" cm="1">
        <f t="array" ref="EV9">IFERROR(IF(SUMPRODUCT((INPUT!$T$3:$T$3000=46079)*(INPUT!$U$3:$U$3000="GONZALO"))=0,"",SUMPRODUCT((INPUT!$T$3:$T$3000=46079)*(INPUT!$U$3:$U$3000="GONZALO")*(INPUT!$V$3:$V$3000+INPUT!$W$3:$W$3000+INPUT!$X$3:$X$3000+INPUT!$Y$3:$Y$3000))),"")</f>
        <v/>
      </c>
      <c r="EW9" s="42" t="str" cm="1">
        <f t="array" ref="EW9">IFERROR(IF(SUMPRODUCT((INPUT!$T$3:$T$3000=46080)*(INPUT!$U$3:$U$3000="GONZALO"))=0,"",SUMPRODUCT((INPUT!$T$3:$T$3000=46080)*(INPUT!$U$3:$U$3000="GONZALO")*(INPUT!$V$3:$V$3000+INPUT!$W$3:$W$3000+INPUT!$X$3:$X$3000+INPUT!$Y$3:$Y$3000))),"")</f>
        <v/>
      </c>
      <c r="EX9" s="42" t="str" cm="1">
        <f t="array" ref="EX9">IFERROR(IF(SUMPRODUCT((INPUT!$T$3:$T$3000=46082)*(INPUT!$U$3:$U$3000="GONZALO"))=0,"",SUMPRODUCT((INPUT!$T$3:$T$3000=46082)*(INPUT!$U$3:$U$3000="GONZALO")*(INPUT!$V$3:$V$3000+INPUT!$W$3:$W$3000+INPUT!$X$3:$X$3000+INPUT!$Y$3:$Y$3000))),"")</f>
        <v/>
      </c>
      <c r="EY9" s="42" t="str" cm="1">
        <f t="array" ref="EY9">IFERROR(IF(SUMPRODUCT((INPUT!$T$3:$T$3000=46084)*(INPUT!$U$3:$U$3000="GONZALO"))=0,"",SUMPRODUCT((INPUT!$T$3:$T$3000=46084)*(INPUT!$U$3:$U$3000="GONZALO")*(INPUT!$V$3:$V$3000+INPUT!$W$3:$W$3000+INPUT!$X$3:$X$3000+INPUT!$Y$3:$Y$3000))),"")</f>
        <v/>
      </c>
      <c r="EZ9" s="42" t="str" cm="1">
        <f t="array" ref="EZ9">IFERROR(IF(SUMPRODUCT((INPUT!$T$3:$T$3000=46085)*(INPUT!$U$3:$U$3000="GONZALO"))=0,"",SUMPRODUCT((INPUT!$T$3:$T$3000=46085)*(INPUT!$U$3:$U$3000="GONZALO")*(INPUT!$V$3:$V$3000+INPUT!$W$3:$W$3000+INPUT!$X$3:$X$3000+INPUT!$Y$3:$Y$3000))),"")</f>
        <v/>
      </c>
      <c r="FA9" s="42" t="str" cm="1">
        <f t="array" ref="FA9">IFERROR(IF(SUMPRODUCT((INPUT!$T$3:$T$3000=46086)*(INPUT!$U$3:$U$3000="GONZALO"))=0,"",SUMPRODUCT((INPUT!$T$3:$T$3000=46086)*(INPUT!$U$3:$U$3000="GONZALO")*(INPUT!$V$3:$V$3000+INPUT!$W$3:$W$3000+INPUT!$X$3:$X$3000+INPUT!$Y$3:$Y$3000))),"")</f>
        <v/>
      </c>
      <c r="FB9" s="42" t="str" cm="1">
        <f t="array" ref="FB9">IFERROR(IF(SUMPRODUCT((INPUT!$T$3:$T$3000=46087)*(INPUT!$U$3:$U$3000="GONZALO"))=0,"",SUMPRODUCT((INPUT!$T$3:$T$3000=46087)*(INPUT!$U$3:$U$3000="GONZALO")*(INPUT!$V$3:$V$3000+INPUT!$W$3:$W$3000+INPUT!$X$3:$X$3000+INPUT!$Y$3:$Y$3000))),"")</f>
        <v/>
      </c>
      <c r="FC9" s="42" t="str" cm="1">
        <f t="array" ref="FC9">IFERROR(IF(SUMPRODUCT((INPUT!$T$3:$T$3000=46090)*(INPUT!$U$3:$U$3000="GONZALO"))=0,"",SUMPRODUCT((INPUT!$T$3:$T$3000=46090)*(INPUT!$U$3:$U$3000="GONZALO")*(INPUT!$V$3:$V$3000+INPUT!$W$3:$W$3000+INPUT!$X$3:$X$3000+INPUT!$Y$3:$Y$3000))),"")</f>
        <v/>
      </c>
      <c r="FD9" s="42" t="str" cm="1">
        <f t="array" ref="FD9">IFERROR(IF(SUMPRODUCT((INPUT!$T$3:$T$3000=46091)*(INPUT!$U$3:$U$3000="GONZALO"))=0,"",SUMPRODUCT((INPUT!$T$3:$T$3000=46091)*(INPUT!$U$3:$U$3000="GONZALO")*(INPUT!$V$3:$V$3000+INPUT!$W$3:$W$3000+INPUT!$X$3:$X$3000+INPUT!$Y$3:$Y$3000))),"")</f>
        <v/>
      </c>
      <c r="FE9" s="42" t="str" cm="1">
        <f t="array" ref="FE9">IFERROR(IF(SUMPRODUCT((INPUT!$T$3:$T$3000=46092)*(INPUT!$U$3:$U$3000="GONZALO"))=0,"",SUMPRODUCT((INPUT!$T$3:$T$3000=46092)*(INPUT!$U$3:$U$3000="GONZALO")*(INPUT!$V$3:$V$3000+INPUT!$W$3:$W$3000+INPUT!$X$3:$X$3000+INPUT!$Y$3:$Y$3000))),"")</f>
        <v/>
      </c>
      <c r="FF9" s="42" t="str" cm="1">
        <f t="array" ref="FF9">IFERROR(IF(SUMPRODUCT((INPUT!$T$3:$T$3000=46093)*(INPUT!$U$3:$U$3000="GONZALO"))=0,"",SUMPRODUCT((INPUT!$T$3:$T$3000=46093)*(INPUT!$U$3:$U$3000="GONZALO")*(INPUT!$V$3:$V$3000+INPUT!$W$3:$W$3000+INPUT!$X$3:$X$3000+INPUT!$Y$3:$Y$3000))),"")</f>
        <v/>
      </c>
      <c r="FG9" s="42" t="str" cm="1">
        <f t="array" ref="FG9">IFERROR(IF(SUMPRODUCT((INPUT!$T$3:$T$3000=46094)*(INPUT!$U$3:$U$3000="GONZALO"))=0,"",SUMPRODUCT((INPUT!$T$3:$T$3000=46094)*(INPUT!$U$3:$U$3000="GONZALO")*(INPUT!$V$3:$V$3000+INPUT!$W$3:$W$3000+INPUT!$X$3:$X$3000+INPUT!$Y$3:$Y$3000))),"")</f>
        <v/>
      </c>
      <c r="FH9" s="42" t="str" cm="1">
        <f t="array" ref="FH9">IFERROR(IF(SUMPRODUCT((INPUT!$T$3:$T$3000=46096)*(INPUT!$U$3:$U$3000="GONZALO"))=0,"",SUMPRODUCT((INPUT!$T$3:$T$3000=46096)*(INPUT!$U$3:$U$3000="GONZALO")*(INPUT!$V$3:$V$3000+INPUT!$W$3:$W$3000+INPUT!$X$3:$X$3000+INPUT!$Y$3:$Y$3000))),"")</f>
        <v/>
      </c>
      <c r="FI9" s="42" t="str" cm="1">
        <f t="array" ref="FI9">IFERROR(IF(SUMPRODUCT((INPUT!$T$3:$T$3000=46097)*(INPUT!$U$3:$U$3000="GONZALO"))=0,"",SUMPRODUCT((INPUT!$T$3:$T$3000=46097)*(INPUT!$U$3:$U$3000="GONZALO")*(INPUT!$V$3:$V$3000+INPUT!$W$3:$W$3000+INPUT!$X$3:$X$3000+INPUT!$Y$3:$Y$3000))),"")</f>
        <v/>
      </c>
      <c r="FJ9" s="42" t="str" cm="1">
        <f t="array" ref="FJ9">IFERROR(IF(SUMPRODUCT((INPUT!$T$3:$T$3000=46098)*(INPUT!$U$3:$U$3000="GONZALO"))=0,"",SUMPRODUCT((INPUT!$T$3:$T$3000=46098)*(INPUT!$U$3:$U$3000="GONZALO")*(INPUT!$V$3:$V$3000+INPUT!$W$3:$W$3000+INPUT!$X$3:$X$3000+INPUT!$Y$3:$Y$3000))),"")</f>
        <v/>
      </c>
      <c r="FK9" s="42" t="str" cm="1">
        <f t="array" ref="FK9">IFERROR(IF(SUMPRODUCT((INPUT!$T$3:$T$3000=46099)*(INPUT!$U$3:$U$3000="GONZALO"))=0,"",SUMPRODUCT((INPUT!$T$3:$T$3000=46099)*(INPUT!$U$3:$U$3000="GONZALO")*(INPUT!$V$3:$V$3000+INPUT!$W$3:$W$3000+INPUT!$X$3:$X$3000+INPUT!$Y$3:$Y$3000))),"")</f>
        <v/>
      </c>
      <c r="FL9" s="42" cm="1">
        <f t="array" ref="FL9">IFERROR(IF(SUMPRODUCT((INPUT!$T$3:$T$3000=46102)*(INPUT!$U$3:$U$3000="GONZALO"))=0,"",SUMPRODUCT((INPUT!$T$3:$T$3000=46102)*(INPUT!$U$3:$U$3000="GONZALO")*(INPUT!$V$3:$V$3000+INPUT!$W$3:$W$3000+INPUT!$X$3:$X$3000+INPUT!$Y$3:$Y$3000))),"")</f>
        <v>20</v>
      </c>
      <c r="FM9" s="42" cm="1">
        <f t="array" ref="FM9">IFERROR(IF(SUMPRODUCT((INPUT!$T$3:$T$3000=46105)*(INPUT!$U$3:$U$3000="GONZALO"))=0,"",SUMPRODUCT((INPUT!$T$3:$T$3000=46105)*(INPUT!$U$3:$U$3000="GONZALO")*(INPUT!$V$3:$V$3000+INPUT!$W$3:$W$3000+INPUT!$X$3:$X$3000+INPUT!$Y$3:$Y$3000))),"")</f>
        <v>20</v>
      </c>
      <c r="FN9" s="42" cm="1">
        <f t="array" ref="FN9">IFERROR(IF(SUMPRODUCT((INPUT!$T$3:$T$3000=46106)*(INPUT!$U$3:$U$3000="GONZALO"))=0,"",SUMPRODUCT((INPUT!$T$3:$T$3000=46106)*(INPUT!$U$3:$U$3000="GONZALO")*(INPUT!$V$3:$V$3000+INPUT!$W$3:$W$3000+INPUT!$X$3:$X$3000+INPUT!$Y$3:$Y$3000))),"")</f>
        <v>20</v>
      </c>
      <c r="FO9" s="42" cm="1">
        <f t="array" ref="FO9">IFERROR(IF(SUMPRODUCT((INPUT!$T$3:$T$3000=46107)*(INPUT!$U$3:$U$3000="GONZALO"))=0,"",SUMPRODUCT((INPUT!$T$3:$T$3000=46107)*(INPUT!$U$3:$U$3000="GONZALO")*(INPUT!$V$3:$V$3000+INPUT!$W$3:$W$3000+INPUT!$X$3:$X$3000+INPUT!$Y$3:$Y$3000))),"")</f>
        <v>20</v>
      </c>
      <c r="FP9" s="42" cm="1">
        <f t="array" ref="FP9">IFERROR(IF(SUMPRODUCT((INPUT!$T$3:$T$3000=46108)*(INPUT!$U$3:$U$3000="GONZALO"))=0,"",SUMPRODUCT((INPUT!$T$3:$T$3000=46108)*(INPUT!$U$3:$U$3000="GONZALO")*(INPUT!$V$3:$V$3000+INPUT!$W$3:$W$3000+INPUT!$X$3:$X$3000+INPUT!$Y$3:$Y$3000))),"")</f>
        <v>20</v>
      </c>
      <c r="FQ9" s="42" cm="1">
        <f t="array" ref="FQ9">IFERROR(IF(SUMPRODUCT((INPUT!$T$3:$T$3000=46109)*(INPUT!$U$3:$U$3000="GONZALO"))=0,"",SUMPRODUCT((INPUT!$T$3:$T$3000=46109)*(INPUT!$U$3:$U$3000="GONZALO")*(INPUT!$V$3:$V$3000+INPUT!$W$3:$W$3000+INPUT!$X$3:$X$3000+INPUT!$Y$3:$Y$3000))),"")</f>
        <v>20</v>
      </c>
      <c r="FR9" s="42" cm="1">
        <f t="array" ref="FR9">IFERROR(IF(SUMPRODUCT((INPUT!$T$3:$T$3000=46111)*(INPUT!$U$3:$U$3000="GONZALO"))=0,"",SUMPRODUCT((INPUT!$T$3:$T$3000=46111)*(INPUT!$U$3:$U$3000="GONZALO")*(INPUT!$V$3:$V$3000+INPUT!$W$3:$W$3000+INPUT!$X$3:$X$3000+INPUT!$Y$3:$Y$3000))),"")</f>
        <v>11</v>
      </c>
      <c r="FS9" s="42" cm="1">
        <f t="array" ref="FS9">IFERROR(IF(SUMPRODUCT((INPUT!$T$3:$T$3000=46112)*(INPUT!$U$3:$U$3000="GONZALO"))=0,"",SUMPRODUCT((INPUT!$T$3:$T$3000=46112)*(INPUT!$U$3:$U$3000="GONZALO")*(INPUT!$V$3:$V$3000+INPUT!$W$3:$W$3000+INPUT!$X$3:$X$3000+INPUT!$Y$3:$Y$3000))),"")</f>
        <v>11</v>
      </c>
      <c r="FT9" s="42" cm="1">
        <f t="array" ref="FT9">IFERROR(IF(SUMPRODUCT((INPUT!$T$3:$T$3000=46113)*(INPUT!$U$3:$U$3000="GONZALO"))=0,"",SUMPRODUCT((INPUT!$T$3:$T$3000=46113)*(INPUT!$U$3:$U$3000="GONZALO")*(INPUT!$V$3:$V$3000+INPUT!$W$3:$W$3000+INPUT!$X$3:$X$3000+INPUT!$Y$3:$Y$3000))),"")</f>
        <v>10</v>
      </c>
      <c r="FU9" s="42" cm="1">
        <f t="array" ref="FU9">IFERROR(IF(SUMPRODUCT((INPUT!$T$3:$T$3000=46114)*(INPUT!$U$3:$U$3000="GONZALO"))=0,"",SUMPRODUCT((INPUT!$T$3:$T$3000=46114)*(INPUT!$U$3:$U$3000="GONZALO")*(INPUT!$V$3:$V$3000+INPUT!$W$3:$W$3000+INPUT!$X$3:$X$3000+INPUT!$Y$3:$Y$3000))),"")</f>
        <v>10</v>
      </c>
      <c r="FV9" s="42" t="str" cm="1">
        <f t="array" ref="FV9">IFERROR(IF(SUMPRODUCT((INPUT!$T$3:$T$3000=46115)*(INPUT!$U$3:$U$3000="GONZALO"))=0,"",SUMPRODUCT((INPUT!$T$3:$T$3000=46115)*(INPUT!$U$3:$U$3000="GONZALO")*(INPUT!$V$3:$V$3000+INPUT!$W$3:$W$3000+INPUT!$X$3:$X$3000+INPUT!$Y$3:$Y$3000))),"")</f>
        <v/>
      </c>
      <c r="FW9" s="42" t="str" cm="1">
        <f t="array" ref="FW9">IFERROR(IF(SUMPRODUCT((INPUT!$T$3:$T$3000=46116)*(INPUT!$U$3:$U$3000="GONZALO"))=0,"",SUMPRODUCT((INPUT!$T$3:$T$3000=46116)*(INPUT!$U$3:$U$3000="GONZALO")*(INPUT!$V$3:$V$3000+INPUT!$W$3:$W$3000+INPUT!$X$3:$X$3000+INPUT!$Y$3:$Y$3000))),"")</f>
        <v/>
      </c>
      <c r="FX9" s="42" cm="1">
        <f t="array" ref="FX9">IFERROR(IF(SUMPRODUCT((INPUT!$T$3:$T$3000=46118)*(INPUT!$U$3:$U$3000="GONZALO"))=0,"",SUMPRODUCT((INPUT!$T$3:$T$3000=46118)*(INPUT!$U$3:$U$3000="GONZALO")*(INPUT!$V$3:$V$3000+INPUT!$W$3:$W$3000+INPUT!$X$3:$X$3000+INPUT!$Y$3:$Y$3000))),"")</f>
        <v>16</v>
      </c>
      <c r="FY9" s="42" cm="1">
        <f t="array" ref="FY9">IFERROR(IF(SUMPRODUCT((INPUT!$T$3:$T$3000=46119)*(INPUT!$U$3:$U$3000="GONZALO"))=0,"",SUMPRODUCT((INPUT!$T$3:$T$3000=46119)*(INPUT!$U$3:$U$3000="GONZALO")*(INPUT!$V$3:$V$3000+INPUT!$W$3:$W$3000+INPUT!$X$3:$X$3000+INPUT!$Y$3:$Y$3000))),"")</f>
        <v>11</v>
      </c>
      <c r="FZ9" s="42" cm="1">
        <f t="array" ref="FZ9">IFERROR(IF(SUMPRODUCT((INPUT!$T$3:$T$3000=46120)*(INPUT!$U$3:$U$3000="GONZALO"))=0,"",SUMPRODUCT((INPUT!$T$3:$T$3000=46120)*(INPUT!$U$3:$U$3000="GONZALO")*(INPUT!$V$3:$V$3000+INPUT!$W$3:$W$3000+INPUT!$X$3:$X$3000+INPUT!$Y$3:$Y$3000))),"")</f>
        <v>14</v>
      </c>
      <c r="GA9" s="42" t="str" cm="1">
        <f t="array" ref="GA9">IFERROR(IF(SUMPRODUCT((INPUT!$T$3:$T$3000=46121)*(INPUT!$U$3:$U$3000="GONZALO"))=0,"",SUMPRODUCT((INPUT!$T$3:$T$3000=46121)*(INPUT!$U$3:$U$3000="GONZALO")*(INPUT!$V$3:$V$3000+INPUT!$W$3:$W$3000+INPUT!$X$3:$X$3000+INPUT!$Y$3:$Y$3000))),"")</f>
        <v/>
      </c>
      <c r="GB9" s="42" t="str" cm="1">
        <f t="array" ref="GB9">IFERROR(IF(SUMPRODUCT((INPUT!$T$3:$T$3000=46122)*(INPUT!$U$3:$U$3000="GONZALO"))=0,"",SUMPRODUCT((INPUT!$T$3:$T$3000=46122)*(INPUT!$U$3:$U$3000="GONZALO")*(INPUT!$V$3:$V$3000+INPUT!$W$3:$W$3000+INPUT!$X$3:$X$3000+INPUT!$Y$3:$Y$3000))),"")</f>
        <v/>
      </c>
      <c r="GC9" s="42" t="str" cm="1">
        <f t="array" ref="GC9">IFERROR(IF(SUMPRODUCT((INPUT!$T$3:$T$3000=46125)*(INPUT!$U$3:$U$3000="GONZALO"))=0,"",SUMPRODUCT((INPUT!$T$3:$T$3000=46125)*(INPUT!$U$3:$U$3000="GONZALO")*(INPUT!$V$3:$V$3000+INPUT!$W$3:$W$3000+INPUT!$X$3:$X$3000+INPUT!$Y$3:$Y$3000))),"")</f>
        <v/>
      </c>
      <c r="GD9" s="42" cm="1">
        <f t="array" ref="GD9">IFERROR(IF(SUMPRODUCT((INPUT!$T$3:$T$3000=46126)*(INPUT!$U$3:$U$3000="GONZALO"))=0,"",SUMPRODUCT((INPUT!$T$3:$T$3000=46126)*(INPUT!$U$3:$U$3000="GONZALO")*(INPUT!$V$3:$V$3000+INPUT!$W$3:$W$3000+INPUT!$X$3:$X$3000+INPUT!$Y$3:$Y$3000))),"")</f>
        <v>15</v>
      </c>
      <c r="GE9" s="42" cm="1">
        <f t="array" ref="GE9">IFERROR(IF(SUMPRODUCT((INPUT!$T$3:$T$3000=46127)*(INPUT!$U$3:$U$3000="GONZALO"))=0,"",SUMPRODUCT((INPUT!$T$3:$T$3000=46127)*(INPUT!$U$3:$U$3000="GONZALO")*(INPUT!$V$3:$V$3000+INPUT!$W$3:$W$3000+INPUT!$X$3:$X$3000+INPUT!$Y$3:$Y$3000))),"")</f>
        <v>15</v>
      </c>
      <c r="GF9" s="42" t="str" cm="1">
        <f t="array" ref="GF9">IFERROR(IF(SUMPRODUCT((INPUT!$T$3:$T$3000=46128)*(INPUT!$U$3:$U$3000="GONZALO"))=0,"",SUMPRODUCT((INPUT!$T$3:$T$3000=46128)*(INPUT!$U$3:$U$3000="GONZALO")*(INPUT!$V$3:$V$3000+INPUT!$W$3:$W$3000+INPUT!$X$3:$X$3000+INPUT!$Y$3:$Y$3000))),"")</f>
        <v/>
      </c>
      <c r="GG9" s="42" t="str" cm="1">
        <f t="array" ref="GG9">IFERROR(IF(SUMPRODUCT((INPUT!$T$3:$T$3000=46129)*(INPUT!$U$3:$U$3000="GONZALO"))=0,"",SUMPRODUCT((INPUT!$T$3:$T$3000=46129)*(INPUT!$U$3:$U$3000="GONZALO")*(INPUT!$V$3:$V$3000+INPUT!$W$3:$W$3000+INPUT!$X$3:$X$3000+INPUT!$Y$3:$Y$3000))),"")</f>
        <v/>
      </c>
      <c r="GH9" s="42" t="str" cm="1">
        <f t="array" ref="GH9">IFERROR(IF(SUMPRODUCT((INPUT!$T$3:$T$3000=46130)*(INPUT!$U$3:$U$3000="GONZALO"))=0,"",SUMPRODUCT((INPUT!$T$3:$T$3000=46130)*(INPUT!$U$3:$U$3000="GONZALO")*(INPUT!$V$3:$V$3000+INPUT!$W$3:$W$3000+INPUT!$X$3:$X$3000+INPUT!$Y$3:$Y$3000))),"")</f>
        <v/>
      </c>
      <c r="GI9" s="42" t="str" cm="1">
        <f t="array" ref="GI9">IFERROR(IF(SUMPRODUCT((INPUT!$T$3:$T$3000=46132)*(INPUT!$U$3:$U$3000="GONZALO"))=0,"",SUMPRODUCT((INPUT!$T$3:$T$3000=46132)*(INPUT!$U$3:$U$3000="GONZALO")*(INPUT!$V$3:$V$3000+INPUT!$W$3:$W$3000+INPUT!$X$3:$X$3000+INPUT!$Y$3:$Y$3000))),"")</f>
        <v/>
      </c>
    </row>
    <row r="10" spans="1:191" x14ac:dyDescent="0.2">
      <c r="A10" t="s">
        <v>47</v>
      </c>
      <c r="B10" s="42" cm="1">
        <f t="array" ref="B10">IFERROR(IF(SUMPRODUCT((INPUT!$T$3:$T$3000=45868)*(INPUT!$U$3:$U$3000="HARRISON"))=0,"",SUMPRODUCT((INPUT!$T$3:$T$3000=45868)*(INPUT!$U$3:$U$3000="HARRISON")*(INPUT!$V$3:$V$3000+INPUT!$W$3:$W$3000+INPUT!$X$3:$X$3000+INPUT!$Y$3:$Y$3000))),"")</f>
        <v>18</v>
      </c>
      <c r="C10" s="42" cm="1">
        <f t="array" ref="C10">IFERROR(IF(SUMPRODUCT((INPUT!$T$3:$T$3000=45869)*(INPUT!$U$3:$U$3000="HARRISON"))=0,"",SUMPRODUCT((INPUT!$T$3:$T$3000=45869)*(INPUT!$U$3:$U$3000="HARRISON")*(INPUT!$V$3:$V$3000+INPUT!$W$3:$W$3000+INPUT!$X$3:$X$3000+INPUT!$Y$3:$Y$3000))),"")</f>
        <v>12</v>
      </c>
      <c r="D10" s="42" cm="1">
        <f t="array" ref="D10">IFERROR(IF(SUMPRODUCT((INPUT!$T$3:$T$3000=45870)*(INPUT!$U$3:$U$3000="HARRISON"))=0,"",SUMPRODUCT((INPUT!$T$3:$T$3000=45870)*(INPUT!$U$3:$U$3000="HARRISON")*(INPUT!$V$3:$V$3000+INPUT!$W$3:$W$3000+INPUT!$X$3:$X$3000+INPUT!$Y$3:$Y$3000))),"")</f>
        <v>12</v>
      </c>
      <c r="E10" s="42" cm="1">
        <f t="array" ref="E10">IFERROR(IF(SUMPRODUCT((INPUT!$T$3:$T$3000=45873)*(INPUT!$U$3:$U$3000="HARRISON"))=0,"",SUMPRODUCT((INPUT!$T$3:$T$3000=45873)*(INPUT!$U$3:$U$3000="HARRISON")*(INPUT!$V$3:$V$3000+INPUT!$W$3:$W$3000+INPUT!$X$3:$X$3000+INPUT!$Y$3:$Y$3000))),"")</f>
        <v>18</v>
      </c>
      <c r="F10" s="42" cm="1">
        <f t="array" ref="F10">IFERROR(IF(SUMPRODUCT((INPUT!$T$3:$T$3000=45874)*(INPUT!$U$3:$U$3000="HARRISON"))=0,"",SUMPRODUCT((INPUT!$T$3:$T$3000=45874)*(INPUT!$U$3:$U$3000="HARRISON")*(INPUT!$V$3:$V$3000+INPUT!$W$3:$W$3000+INPUT!$X$3:$X$3000+INPUT!$Y$3:$Y$3000))),"")</f>
        <v>15</v>
      </c>
      <c r="G10" s="42" cm="1">
        <f t="array" ref="G10">IFERROR(IF(SUMPRODUCT((INPUT!$T$3:$T$3000=45875)*(INPUT!$U$3:$U$3000="HARRISON"))=0,"",SUMPRODUCT((INPUT!$T$3:$T$3000=45875)*(INPUT!$U$3:$U$3000="HARRISON")*(INPUT!$V$3:$V$3000+INPUT!$W$3:$W$3000+INPUT!$X$3:$X$3000+INPUT!$Y$3:$Y$3000))),"")</f>
        <v>13</v>
      </c>
      <c r="H10" s="42" cm="1">
        <f t="array" ref="H10">IFERROR(IF(SUMPRODUCT((INPUT!$T$3:$T$3000=45876)*(INPUT!$U$3:$U$3000="HARRISON"))=0,"",SUMPRODUCT((INPUT!$T$3:$T$3000=45876)*(INPUT!$U$3:$U$3000="HARRISON")*(INPUT!$V$3:$V$3000+INPUT!$W$3:$W$3000+INPUT!$X$3:$X$3000+INPUT!$Y$3:$Y$3000))),"")</f>
        <v>16</v>
      </c>
      <c r="I10" s="42" cm="1">
        <f t="array" ref="I10">IFERROR(IF(SUMPRODUCT((INPUT!$T$3:$T$3000=45877)*(INPUT!$U$3:$U$3000="HARRISON"))=0,"",SUMPRODUCT((INPUT!$T$3:$T$3000=45877)*(INPUT!$U$3:$U$3000="HARRISON")*(INPUT!$V$3:$V$3000+INPUT!$W$3:$W$3000+INPUT!$X$3:$X$3000+INPUT!$Y$3:$Y$3000))),"")</f>
        <v>17</v>
      </c>
      <c r="J10" s="42" cm="1">
        <f t="array" ref="J10">IFERROR(IF(SUMPRODUCT((INPUT!$T$3:$T$3000=45878)*(INPUT!$U$3:$U$3000="HARRISON"))=0,"",SUMPRODUCT((INPUT!$T$3:$T$3000=45878)*(INPUT!$U$3:$U$3000="HARRISON")*(INPUT!$V$3:$V$3000+INPUT!$W$3:$W$3000+INPUT!$X$3:$X$3000+INPUT!$Y$3:$Y$3000))),"")</f>
        <v>17</v>
      </c>
      <c r="K10" s="42" cm="1">
        <f t="array" ref="K10">IFERROR(IF(SUMPRODUCT((INPUT!$T$3:$T$3000=45880)*(INPUT!$U$3:$U$3000="HARRISON"))=0,"",SUMPRODUCT((INPUT!$T$3:$T$3000=45880)*(INPUT!$U$3:$U$3000="HARRISON")*(INPUT!$V$3:$V$3000+INPUT!$W$3:$W$3000+INPUT!$X$3:$X$3000+INPUT!$Y$3:$Y$3000))),"")</f>
        <v>17</v>
      </c>
      <c r="L10" s="42" cm="1">
        <f t="array" ref="L10">IFERROR(IF(SUMPRODUCT((INPUT!$T$3:$T$3000=45881)*(INPUT!$U$3:$U$3000="HARRISON"))=0,"",SUMPRODUCT((INPUT!$T$3:$T$3000=45881)*(INPUT!$U$3:$U$3000="HARRISON")*(INPUT!$V$3:$V$3000+INPUT!$W$3:$W$3000+INPUT!$X$3:$X$3000+INPUT!$Y$3:$Y$3000))),"")</f>
        <v>16</v>
      </c>
      <c r="M10" s="42" cm="1">
        <f t="array" ref="M10">IFERROR(IF(SUMPRODUCT((INPUT!$T$3:$T$3000=45882)*(INPUT!$U$3:$U$3000="HARRISON"))=0,"",SUMPRODUCT((INPUT!$T$3:$T$3000=45882)*(INPUT!$U$3:$U$3000="HARRISON")*(INPUT!$V$3:$V$3000+INPUT!$W$3:$W$3000+INPUT!$X$3:$X$3000+INPUT!$Y$3:$Y$3000))),"")</f>
        <v>13</v>
      </c>
      <c r="N10" s="42" cm="1">
        <f t="array" ref="N10">IFERROR(IF(SUMPRODUCT((INPUT!$T$3:$T$3000=45883)*(INPUT!$U$3:$U$3000="HARRISON"))=0,"",SUMPRODUCT((INPUT!$T$3:$T$3000=45883)*(INPUT!$U$3:$U$3000="HARRISON")*(INPUT!$V$3:$V$3000+INPUT!$W$3:$W$3000+INPUT!$X$3:$X$3000+INPUT!$Y$3:$Y$3000))),"")</f>
        <v>16</v>
      </c>
      <c r="O10" s="42" cm="1">
        <f t="array" ref="O10">IFERROR(IF(SUMPRODUCT((INPUT!$T$3:$T$3000=45884)*(INPUT!$U$3:$U$3000="HARRISON"))=0,"",SUMPRODUCT((INPUT!$T$3:$T$3000=45884)*(INPUT!$U$3:$U$3000="HARRISON")*(INPUT!$V$3:$V$3000+INPUT!$W$3:$W$3000+INPUT!$X$3:$X$3000+INPUT!$Y$3:$Y$3000))),"")</f>
        <v>16</v>
      </c>
      <c r="P10" s="42" cm="1">
        <f t="array" ref="P10">IFERROR(IF(SUMPRODUCT((INPUT!$T$3:$T$3000=45887)*(INPUT!$U$3:$U$3000="HARRISON"))=0,"",SUMPRODUCT((INPUT!$T$3:$T$3000=45887)*(INPUT!$U$3:$U$3000="HARRISON")*(INPUT!$V$3:$V$3000+INPUT!$W$3:$W$3000+INPUT!$X$3:$X$3000+INPUT!$Y$3:$Y$3000))),"")</f>
        <v>16</v>
      </c>
      <c r="Q10" s="42" cm="1">
        <f t="array" ref="Q10">IFERROR(IF(SUMPRODUCT((INPUT!$T$3:$T$3000=45888)*(INPUT!$U$3:$U$3000="HARRISON"))=0,"",SUMPRODUCT((INPUT!$T$3:$T$3000=45888)*(INPUT!$U$3:$U$3000="HARRISON")*(INPUT!$V$3:$V$3000+INPUT!$W$3:$W$3000+INPUT!$X$3:$X$3000+INPUT!$Y$3:$Y$3000))),"")</f>
        <v>16</v>
      </c>
      <c r="R10" s="42" cm="1">
        <f t="array" ref="R10">IFERROR(IF(SUMPRODUCT((INPUT!$T$3:$T$3000=45889)*(INPUT!$U$3:$U$3000="HARRISON"))=0,"",SUMPRODUCT((INPUT!$T$3:$T$3000=45889)*(INPUT!$U$3:$U$3000="HARRISON")*(INPUT!$V$3:$V$3000+INPUT!$W$3:$W$3000+INPUT!$X$3:$X$3000+INPUT!$Y$3:$Y$3000))),"")</f>
        <v>15</v>
      </c>
      <c r="S10" s="42" cm="1">
        <f t="array" ref="S10">IFERROR(IF(SUMPRODUCT((INPUT!$T$3:$T$3000=45890)*(INPUT!$U$3:$U$3000="HARRISON"))=0,"",SUMPRODUCT((INPUT!$T$3:$T$3000=45890)*(INPUT!$U$3:$U$3000="HARRISON")*(INPUT!$V$3:$V$3000+INPUT!$W$3:$W$3000+INPUT!$X$3:$X$3000+INPUT!$Y$3:$Y$3000))),"")</f>
        <v>17</v>
      </c>
      <c r="T10" s="42" cm="1">
        <f t="array" ref="T10">IFERROR(IF(SUMPRODUCT((INPUT!$T$3:$T$3000=45891)*(INPUT!$U$3:$U$3000="HARRISON"))=0,"",SUMPRODUCT((INPUT!$T$3:$T$3000=45891)*(INPUT!$U$3:$U$3000="HARRISON")*(INPUT!$V$3:$V$3000+INPUT!$W$3:$W$3000+INPUT!$X$3:$X$3000+INPUT!$Y$3:$Y$3000))),"")</f>
        <v>17</v>
      </c>
      <c r="U10" s="42" cm="1">
        <f t="array" ref="U10">IFERROR(IF(SUMPRODUCT((INPUT!$T$3:$T$3000=45892)*(INPUT!$U$3:$U$3000="HARRISON"))=0,"",SUMPRODUCT((INPUT!$T$3:$T$3000=45892)*(INPUT!$U$3:$U$3000="HARRISON")*(INPUT!$V$3:$V$3000+INPUT!$W$3:$W$3000+INPUT!$X$3:$X$3000+INPUT!$Y$3:$Y$3000))),"")</f>
        <v>18</v>
      </c>
      <c r="V10" s="42" cm="1">
        <f t="array" ref="V10">IFERROR(IF(SUMPRODUCT((INPUT!$T$3:$T$3000=45893)*(INPUT!$U$3:$U$3000="HARRISON"))=0,"",SUMPRODUCT((INPUT!$T$3:$T$3000=45893)*(INPUT!$U$3:$U$3000="HARRISON")*(INPUT!$V$3:$V$3000+INPUT!$W$3:$W$3000+INPUT!$X$3:$X$3000+INPUT!$Y$3:$Y$3000))),"")</f>
        <v>17</v>
      </c>
      <c r="W10" s="42" cm="1">
        <f t="array" ref="W10">IFERROR(IF(SUMPRODUCT((INPUT!$T$3:$T$3000=45895)*(INPUT!$U$3:$U$3000="HARRISON"))=0,"",SUMPRODUCT((INPUT!$T$3:$T$3000=45895)*(INPUT!$U$3:$U$3000="HARRISON")*(INPUT!$V$3:$V$3000+INPUT!$W$3:$W$3000+INPUT!$X$3:$X$3000+INPUT!$Y$3:$Y$3000))),"")</f>
        <v>14</v>
      </c>
      <c r="X10" s="42" cm="1">
        <f t="array" ref="X10">IFERROR(IF(SUMPRODUCT((INPUT!$T$3:$T$3000=45896)*(INPUT!$U$3:$U$3000="HARRISON"))=0,"",SUMPRODUCT((INPUT!$T$3:$T$3000=45896)*(INPUT!$U$3:$U$3000="HARRISON")*(INPUT!$V$3:$V$3000+INPUT!$W$3:$W$3000+INPUT!$X$3:$X$3000+INPUT!$Y$3:$Y$3000))),"")</f>
        <v>16</v>
      </c>
      <c r="Y10" s="42" cm="1">
        <f t="array" ref="Y10">IFERROR(IF(SUMPRODUCT((INPUT!$T$3:$T$3000=45898)*(INPUT!$U$3:$U$3000="HARRISON"))=0,"",SUMPRODUCT((INPUT!$T$3:$T$3000=45898)*(INPUT!$U$3:$U$3000="HARRISON")*(INPUT!$V$3:$V$3000+INPUT!$W$3:$W$3000+INPUT!$X$3:$X$3000+INPUT!$Y$3:$Y$3000))),"")</f>
        <v>16</v>
      </c>
      <c r="Z10" s="42" cm="1">
        <f t="array" ref="Z10">IFERROR(IF(SUMPRODUCT((INPUT!$T$3:$T$3000=45899)*(INPUT!$U$3:$U$3000="HARRISON"))=0,"",SUMPRODUCT((INPUT!$T$3:$T$3000=45899)*(INPUT!$U$3:$U$3000="HARRISON")*(INPUT!$V$3:$V$3000+INPUT!$W$3:$W$3000+INPUT!$X$3:$X$3000+INPUT!$Y$3:$Y$3000))),"")</f>
        <v>17</v>
      </c>
      <c r="AA10" s="42" cm="1">
        <f t="array" ref="AA10">IFERROR(IF(SUMPRODUCT((INPUT!$T$3:$T$3000=45900)*(INPUT!$U$3:$U$3000="HARRISON"))=0,"",SUMPRODUCT((INPUT!$T$3:$T$3000=45900)*(INPUT!$U$3:$U$3000="HARRISON")*(INPUT!$V$3:$V$3000+INPUT!$W$3:$W$3000+INPUT!$X$3:$X$3000+INPUT!$Y$3:$Y$3000))),"")</f>
        <v>17</v>
      </c>
      <c r="AB10" s="42" cm="1">
        <f t="array" ref="AB10">IFERROR(IF(SUMPRODUCT((INPUT!$T$3:$T$3000=45902)*(INPUT!$U$3:$U$3000="HARRISON"))=0,"",SUMPRODUCT((INPUT!$T$3:$T$3000=45902)*(INPUT!$U$3:$U$3000="HARRISON")*(INPUT!$V$3:$V$3000+INPUT!$W$3:$W$3000+INPUT!$X$3:$X$3000+INPUT!$Y$3:$Y$3000))),"")</f>
        <v>17</v>
      </c>
      <c r="AC10" s="42" cm="1">
        <f t="array" ref="AC10">IFERROR(IF(SUMPRODUCT((INPUT!$T$3:$T$3000=45903)*(INPUT!$U$3:$U$3000="HARRISON"))=0,"",SUMPRODUCT((INPUT!$T$3:$T$3000=45903)*(INPUT!$U$3:$U$3000="HARRISON")*(INPUT!$V$3:$V$3000+INPUT!$W$3:$W$3000+INPUT!$X$3:$X$3000+INPUT!$Y$3:$Y$3000))),"")</f>
        <v>15</v>
      </c>
      <c r="AD10" s="42" cm="1">
        <f t="array" ref="AD10">IFERROR(IF(SUMPRODUCT((INPUT!$T$3:$T$3000=45904)*(INPUT!$U$3:$U$3000="HARRISON"))=0,"",SUMPRODUCT((INPUT!$T$3:$T$3000=45904)*(INPUT!$U$3:$U$3000="HARRISON")*(INPUT!$V$3:$V$3000+INPUT!$W$3:$W$3000+INPUT!$X$3:$X$3000+INPUT!$Y$3:$Y$3000))),"")</f>
        <v>15</v>
      </c>
      <c r="AE10" s="42" cm="1">
        <f t="array" ref="AE10">IFERROR(IF(SUMPRODUCT((INPUT!$T$3:$T$3000=45905)*(INPUT!$U$3:$U$3000="HARRISON"))=0,"",SUMPRODUCT((INPUT!$T$3:$T$3000=45905)*(INPUT!$U$3:$U$3000="HARRISON")*(INPUT!$V$3:$V$3000+INPUT!$W$3:$W$3000+INPUT!$X$3:$X$3000+INPUT!$Y$3:$Y$3000))),"")</f>
        <v>16</v>
      </c>
      <c r="AF10" s="42" cm="1">
        <f t="array" ref="AF10">IFERROR(IF(SUMPRODUCT((INPUT!$T$3:$T$3000=45906)*(INPUT!$U$3:$U$3000="HARRISON"))=0,"",SUMPRODUCT((INPUT!$T$3:$T$3000=45906)*(INPUT!$U$3:$U$3000="HARRISON")*(INPUT!$V$3:$V$3000+INPUT!$W$3:$W$3000+INPUT!$X$3:$X$3000+INPUT!$Y$3:$Y$3000))),"")</f>
        <v>18</v>
      </c>
      <c r="AG10" s="42" cm="1">
        <f t="array" ref="AG10">IFERROR(IF(SUMPRODUCT((INPUT!$T$3:$T$3000=45908)*(INPUT!$U$3:$U$3000="HARRISON"))=0,"",SUMPRODUCT((INPUT!$T$3:$T$3000=45908)*(INPUT!$U$3:$U$3000="HARRISON")*(INPUT!$V$3:$V$3000+INPUT!$W$3:$W$3000+INPUT!$X$3:$X$3000+INPUT!$Y$3:$Y$3000))),"")</f>
        <v>14</v>
      </c>
      <c r="AH10" s="42" t="str" cm="1">
        <f t="array" ref="AH10">IFERROR(IF(SUMPRODUCT((INPUT!$T$3:$T$3000=45909)*(INPUT!$U$3:$U$3000="HARRISON"))=0,"",SUMPRODUCT((INPUT!$T$3:$T$3000=45909)*(INPUT!$U$3:$U$3000="HARRISON")*(INPUT!$V$3:$V$3000+INPUT!$W$3:$W$3000+INPUT!$X$3:$X$3000+INPUT!$Y$3:$Y$3000))),"")</f>
        <v/>
      </c>
      <c r="AI10" s="42" cm="1">
        <f t="array" ref="AI10">IFERROR(IF(SUMPRODUCT((INPUT!$T$3:$T$3000=45911)*(INPUT!$U$3:$U$3000="HARRISON"))=0,"",SUMPRODUCT((INPUT!$T$3:$T$3000=45911)*(INPUT!$U$3:$U$3000="HARRISON")*(INPUT!$V$3:$V$3000+INPUT!$W$3:$W$3000+INPUT!$X$3:$X$3000+INPUT!$Y$3:$Y$3000))),"")</f>
        <v>17</v>
      </c>
      <c r="AJ10" s="42" cm="1">
        <f t="array" ref="AJ10">IFERROR(IF(SUMPRODUCT((INPUT!$T$3:$T$3000=45912)*(INPUT!$U$3:$U$3000="HARRISON"))=0,"",SUMPRODUCT((INPUT!$T$3:$T$3000=45912)*(INPUT!$U$3:$U$3000="HARRISON")*(INPUT!$V$3:$V$3000+INPUT!$W$3:$W$3000+INPUT!$X$3:$X$3000+INPUT!$Y$3:$Y$3000))),"")</f>
        <v>16</v>
      </c>
      <c r="AK10" s="42" cm="1">
        <f t="array" ref="AK10">IFERROR(IF(SUMPRODUCT((INPUT!$T$3:$T$3000=45913)*(INPUT!$U$3:$U$3000="HARRISON"))=0,"",SUMPRODUCT((INPUT!$T$3:$T$3000=45913)*(INPUT!$U$3:$U$3000="HARRISON")*(INPUT!$V$3:$V$3000+INPUT!$W$3:$W$3000+INPUT!$X$3:$X$3000+INPUT!$Y$3:$Y$3000))),"")</f>
        <v>19</v>
      </c>
      <c r="AL10" s="42" cm="1">
        <f t="array" ref="AL10">IFERROR(IF(SUMPRODUCT((INPUT!$T$3:$T$3000=45915)*(INPUT!$U$3:$U$3000="HARRISON"))=0,"",SUMPRODUCT((INPUT!$T$3:$T$3000=45915)*(INPUT!$U$3:$U$3000="HARRISON")*(INPUT!$V$3:$V$3000+INPUT!$W$3:$W$3000+INPUT!$X$3:$X$3000+INPUT!$Y$3:$Y$3000))),"")</f>
        <v>16</v>
      </c>
      <c r="AM10" s="42" cm="1">
        <f t="array" ref="AM10">IFERROR(IF(SUMPRODUCT((INPUT!$T$3:$T$3000=45916)*(INPUT!$U$3:$U$3000="HARRISON"))=0,"",SUMPRODUCT((INPUT!$T$3:$T$3000=45916)*(INPUT!$U$3:$U$3000="HARRISON")*(INPUT!$V$3:$V$3000+INPUT!$W$3:$W$3000+INPUT!$X$3:$X$3000+INPUT!$Y$3:$Y$3000))),"")</f>
        <v>15</v>
      </c>
      <c r="AN10" s="42" cm="1">
        <f t="array" ref="AN10">IFERROR(IF(SUMPRODUCT((INPUT!$T$3:$T$3000=45917)*(INPUT!$U$3:$U$3000="HARRISON"))=0,"",SUMPRODUCT((INPUT!$T$3:$T$3000=45917)*(INPUT!$U$3:$U$3000="HARRISON")*(INPUT!$V$3:$V$3000+INPUT!$W$3:$W$3000+INPUT!$X$3:$X$3000+INPUT!$Y$3:$Y$3000))),"")</f>
        <v>15</v>
      </c>
      <c r="AO10" s="42" cm="1">
        <f t="array" ref="AO10">IFERROR(IF(SUMPRODUCT((INPUT!$T$3:$T$3000=45918)*(INPUT!$U$3:$U$3000="HARRISON"))=0,"",SUMPRODUCT((INPUT!$T$3:$T$3000=45918)*(INPUT!$U$3:$U$3000="HARRISON")*(INPUT!$V$3:$V$3000+INPUT!$W$3:$W$3000+INPUT!$X$3:$X$3000+INPUT!$Y$3:$Y$3000))),"")</f>
        <v>15</v>
      </c>
      <c r="AP10" s="42" cm="1">
        <f t="array" ref="AP10">IFERROR(IF(SUMPRODUCT((INPUT!$T$3:$T$3000=45919)*(INPUT!$U$3:$U$3000="HARRISON"))=0,"",SUMPRODUCT((INPUT!$T$3:$T$3000=45919)*(INPUT!$U$3:$U$3000="HARRISON")*(INPUT!$V$3:$V$3000+INPUT!$W$3:$W$3000+INPUT!$X$3:$X$3000+INPUT!$Y$3:$Y$3000))),"")</f>
        <v>19</v>
      </c>
      <c r="AQ10" s="42" cm="1">
        <f t="array" ref="AQ10">IFERROR(IF(SUMPRODUCT((INPUT!$T$3:$T$3000=45922)*(INPUT!$U$3:$U$3000="HARRISON"))=0,"",SUMPRODUCT((INPUT!$T$3:$T$3000=45922)*(INPUT!$U$3:$U$3000="HARRISON")*(INPUT!$V$3:$V$3000+INPUT!$W$3:$W$3000+INPUT!$X$3:$X$3000+INPUT!$Y$3:$Y$3000))),"")</f>
        <v>18</v>
      </c>
      <c r="AR10" s="42" cm="1">
        <f t="array" ref="AR10">IFERROR(IF(SUMPRODUCT((INPUT!$T$3:$T$3000=45923)*(INPUT!$U$3:$U$3000="HARRISON"))=0,"",SUMPRODUCT((INPUT!$T$3:$T$3000=45923)*(INPUT!$U$3:$U$3000="HARRISON")*(INPUT!$V$3:$V$3000+INPUT!$W$3:$W$3000+INPUT!$X$3:$X$3000+INPUT!$Y$3:$Y$3000))),"")</f>
        <v>17</v>
      </c>
      <c r="AS10" s="42" cm="1">
        <f t="array" ref="AS10">IFERROR(IF(SUMPRODUCT((INPUT!$T$3:$T$3000=45924)*(INPUT!$U$3:$U$3000="HARRISON"))=0,"",SUMPRODUCT((INPUT!$T$3:$T$3000=45924)*(INPUT!$U$3:$U$3000="HARRISON")*(INPUT!$V$3:$V$3000+INPUT!$W$3:$W$3000+INPUT!$X$3:$X$3000+INPUT!$Y$3:$Y$3000))),"")</f>
        <v>18</v>
      </c>
      <c r="AT10" s="42" cm="1">
        <f t="array" ref="AT10">IFERROR(IF(SUMPRODUCT((INPUT!$T$3:$T$3000=45925)*(INPUT!$U$3:$U$3000="HARRISON"))=0,"",SUMPRODUCT((INPUT!$T$3:$T$3000=45925)*(INPUT!$U$3:$U$3000="HARRISON")*(INPUT!$V$3:$V$3000+INPUT!$W$3:$W$3000+INPUT!$X$3:$X$3000+INPUT!$Y$3:$Y$3000))),"")</f>
        <v>16</v>
      </c>
      <c r="AU10" s="42" cm="1">
        <f t="array" ref="AU10">IFERROR(IF(SUMPRODUCT((INPUT!$T$3:$T$3000=45926)*(INPUT!$U$3:$U$3000="HARRISON"))=0,"",SUMPRODUCT((INPUT!$T$3:$T$3000=45926)*(INPUT!$U$3:$U$3000="HARRISON")*(INPUT!$V$3:$V$3000+INPUT!$W$3:$W$3000+INPUT!$X$3:$X$3000+INPUT!$Y$3:$Y$3000))),"")</f>
        <v>16</v>
      </c>
      <c r="AV10" s="42" cm="1">
        <f t="array" ref="AV10">IFERROR(IF(SUMPRODUCT((INPUT!$T$3:$T$3000=45927)*(INPUT!$U$3:$U$3000="HARRISON"))=0,"",SUMPRODUCT((INPUT!$T$3:$T$3000=45927)*(INPUT!$U$3:$U$3000="HARRISON")*(INPUT!$V$3:$V$3000+INPUT!$W$3:$W$3000+INPUT!$X$3:$X$3000+INPUT!$Y$3:$Y$3000))),"")</f>
        <v>17</v>
      </c>
      <c r="AW10" s="42" cm="1">
        <f t="array" ref="AW10">IFERROR(IF(SUMPRODUCT((INPUT!$T$3:$T$3000=45929)*(INPUT!$U$3:$U$3000="HARRISON"))=0,"",SUMPRODUCT((INPUT!$T$3:$T$3000=45929)*(INPUT!$U$3:$U$3000="HARRISON")*(INPUT!$V$3:$V$3000+INPUT!$W$3:$W$3000+INPUT!$X$3:$X$3000+INPUT!$Y$3:$Y$3000))),"")</f>
        <v>10</v>
      </c>
      <c r="AX10" s="42" cm="1">
        <f t="array" ref="AX10">IFERROR(IF(SUMPRODUCT((INPUT!$T$3:$T$3000=45930)*(INPUT!$U$3:$U$3000="HARRISON"))=0,"",SUMPRODUCT((INPUT!$T$3:$T$3000=45930)*(INPUT!$U$3:$U$3000="HARRISON")*(INPUT!$V$3:$V$3000+INPUT!$W$3:$W$3000+INPUT!$X$3:$X$3000+INPUT!$Y$3:$Y$3000))),"")</f>
        <v>16</v>
      </c>
      <c r="AY10" s="42" cm="1">
        <f t="array" ref="AY10">IFERROR(IF(SUMPRODUCT((INPUT!$T$3:$T$3000=45931)*(INPUT!$U$3:$U$3000="HARRISON"))=0,"",SUMPRODUCT((INPUT!$T$3:$T$3000=45931)*(INPUT!$U$3:$U$3000="HARRISON")*(INPUT!$V$3:$V$3000+INPUT!$W$3:$W$3000+INPUT!$X$3:$X$3000+INPUT!$Y$3:$Y$3000))),"")</f>
        <v>17</v>
      </c>
      <c r="AZ10" s="42" cm="1">
        <f t="array" ref="AZ10">IFERROR(IF(SUMPRODUCT((INPUT!$T$3:$T$3000=45932)*(INPUT!$U$3:$U$3000="HARRISON"))=0,"",SUMPRODUCT((INPUT!$T$3:$T$3000=45932)*(INPUT!$U$3:$U$3000="HARRISON")*(INPUT!$V$3:$V$3000+INPUT!$W$3:$W$3000+INPUT!$X$3:$X$3000+INPUT!$Y$3:$Y$3000))),"")</f>
        <v>17</v>
      </c>
      <c r="BA10" s="42" cm="1">
        <f t="array" ref="BA10">IFERROR(IF(SUMPRODUCT((INPUT!$T$3:$T$3000=45933)*(INPUT!$U$3:$U$3000="HARRISON"))=0,"",SUMPRODUCT((INPUT!$T$3:$T$3000=45933)*(INPUT!$U$3:$U$3000="HARRISON")*(INPUT!$V$3:$V$3000+INPUT!$W$3:$W$3000+INPUT!$X$3:$X$3000+INPUT!$Y$3:$Y$3000))),"")</f>
        <v>17</v>
      </c>
      <c r="BB10" s="42" cm="1">
        <f t="array" ref="BB10">IFERROR(IF(SUMPRODUCT((INPUT!$T$3:$T$3000=45934)*(INPUT!$U$3:$U$3000="HARRISON"))=0,"",SUMPRODUCT((INPUT!$T$3:$T$3000=45934)*(INPUT!$U$3:$U$3000="HARRISON")*(INPUT!$V$3:$V$3000+INPUT!$W$3:$W$3000+INPUT!$X$3:$X$3000+INPUT!$Y$3:$Y$3000))),"")</f>
        <v>20</v>
      </c>
      <c r="BC10" s="42" cm="1">
        <f t="array" ref="BC10">IFERROR(IF(SUMPRODUCT((INPUT!$T$3:$T$3000=45936)*(INPUT!$U$3:$U$3000="HARRISON"))=0,"",SUMPRODUCT((INPUT!$T$3:$T$3000=45936)*(INPUT!$U$3:$U$3000="HARRISON")*(INPUT!$V$3:$V$3000+INPUT!$W$3:$W$3000+INPUT!$X$3:$X$3000+INPUT!$Y$3:$Y$3000))),"")</f>
        <v>15</v>
      </c>
      <c r="BD10" s="42" cm="1">
        <f t="array" ref="BD10">IFERROR(IF(SUMPRODUCT((INPUT!$T$3:$T$3000=45937)*(INPUT!$U$3:$U$3000="HARRISON"))=0,"",SUMPRODUCT((INPUT!$T$3:$T$3000=45937)*(INPUT!$U$3:$U$3000="HARRISON")*(INPUT!$V$3:$V$3000+INPUT!$W$3:$W$3000+INPUT!$X$3:$X$3000+INPUT!$Y$3:$Y$3000))),"")</f>
        <v>17</v>
      </c>
      <c r="BE10" s="42" cm="1">
        <f t="array" ref="BE10">IFERROR(IF(SUMPRODUCT((INPUT!$T$3:$T$3000=45938)*(INPUT!$U$3:$U$3000="HARRISON"))=0,"",SUMPRODUCT((INPUT!$T$3:$T$3000=45938)*(INPUT!$U$3:$U$3000="HARRISON")*(INPUT!$V$3:$V$3000+INPUT!$W$3:$W$3000+INPUT!$X$3:$X$3000+INPUT!$Y$3:$Y$3000))),"")</f>
        <v>17</v>
      </c>
      <c r="BF10" s="42" cm="1">
        <f t="array" ref="BF10">IFERROR(IF(SUMPRODUCT((INPUT!$T$3:$T$3000=45940)*(INPUT!$U$3:$U$3000="HARRISON"))=0,"",SUMPRODUCT((INPUT!$T$3:$T$3000=45940)*(INPUT!$U$3:$U$3000="HARRISON")*(INPUT!$V$3:$V$3000+INPUT!$W$3:$W$3000+INPUT!$X$3:$X$3000+INPUT!$Y$3:$Y$3000))),"")</f>
        <v>17</v>
      </c>
      <c r="BG10" s="42" cm="1">
        <f t="array" ref="BG10">IFERROR(IF(SUMPRODUCT((INPUT!$T$3:$T$3000=45941)*(INPUT!$U$3:$U$3000="HARRISON"))=0,"",SUMPRODUCT((INPUT!$T$3:$T$3000=45941)*(INPUT!$U$3:$U$3000="HARRISON")*(INPUT!$V$3:$V$3000+INPUT!$W$3:$W$3000+INPUT!$X$3:$X$3000+INPUT!$Y$3:$Y$3000))),"")</f>
        <v>15</v>
      </c>
      <c r="BH10" s="42" cm="1">
        <f t="array" ref="BH10">IFERROR(IF(SUMPRODUCT((INPUT!$T$3:$T$3000=45942)*(INPUT!$U$3:$U$3000="HARRISON"))=0,"",SUMPRODUCT((INPUT!$T$3:$T$3000=45942)*(INPUT!$U$3:$U$3000="HARRISON")*(INPUT!$V$3:$V$3000+INPUT!$W$3:$W$3000+INPUT!$X$3:$X$3000+INPUT!$Y$3:$Y$3000))),"")</f>
        <v>19</v>
      </c>
      <c r="BI10" s="42" cm="1">
        <f t="array" ref="BI10">IFERROR(IF(SUMPRODUCT((INPUT!$T$3:$T$3000=45945)*(INPUT!$U$3:$U$3000="HARRISON"))=0,"",SUMPRODUCT((INPUT!$T$3:$T$3000=45945)*(INPUT!$U$3:$U$3000="HARRISON")*(INPUT!$V$3:$V$3000+INPUT!$W$3:$W$3000+INPUT!$X$3:$X$3000+INPUT!$Y$3:$Y$3000))),"")</f>
        <v>16</v>
      </c>
      <c r="BJ10" s="42" cm="1">
        <f t="array" ref="BJ10">IFERROR(IF(SUMPRODUCT((INPUT!$T$3:$T$3000=45946)*(INPUT!$U$3:$U$3000="HARRISON"))=0,"",SUMPRODUCT((INPUT!$T$3:$T$3000=45946)*(INPUT!$U$3:$U$3000="HARRISON")*(INPUT!$V$3:$V$3000+INPUT!$W$3:$W$3000+INPUT!$X$3:$X$3000+INPUT!$Y$3:$Y$3000))),"")</f>
        <v>16</v>
      </c>
      <c r="BK10" s="42" cm="1">
        <f t="array" ref="BK10">IFERROR(IF(SUMPRODUCT((INPUT!$T$3:$T$3000=45947)*(INPUT!$U$3:$U$3000="HARRISON"))=0,"",SUMPRODUCT((INPUT!$T$3:$T$3000=45947)*(INPUT!$U$3:$U$3000="HARRISON")*(INPUT!$V$3:$V$3000+INPUT!$W$3:$W$3000+INPUT!$X$3:$X$3000+INPUT!$Y$3:$Y$3000))),"")</f>
        <v>16</v>
      </c>
      <c r="BL10" s="42" cm="1">
        <f t="array" ref="BL10">IFERROR(IF(SUMPRODUCT((INPUT!$T$3:$T$3000=45950)*(INPUT!$U$3:$U$3000="HARRISON"))=0,"",SUMPRODUCT((INPUT!$T$3:$T$3000=45950)*(INPUT!$U$3:$U$3000="HARRISON")*(INPUT!$V$3:$V$3000+INPUT!$W$3:$W$3000+INPUT!$X$3:$X$3000+INPUT!$Y$3:$Y$3000))),"")</f>
        <v>15</v>
      </c>
      <c r="BM10" s="42" cm="1">
        <f t="array" ref="BM10">IFERROR(IF(SUMPRODUCT((INPUT!$T$3:$T$3000=45951)*(INPUT!$U$3:$U$3000="HARRISON"))=0,"",SUMPRODUCT((INPUT!$T$3:$T$3000=45951)*(INPUT!$U$3:$U$3000="HARRISON")*(INPUT!$V$3:$V$3000+INPUT!$W$3:$W$3000+INPUT!$X$3:$X$3000+INPUT!$Y$3:$Y$3000))),"")</f>
        <v>13</v>
      </c>
      <c r="BN10" s="42" cm="1">
        <f t="array" ref="BN10">IFERROR(IF(SUMPRODUCT((INPUT!$T$3:$T$3000=45952)*(INPUT!$U$3:$U$3000="HARRISON"))=0,"",SUMPRODUCT((INPUT!$T$3:$T$3000=45952)*(INPUT!$U$3:$U$3000="HARRISON")*(INPUT!$V$3:$V$3000+INPUT!$W$3:$W$3000+INPUT!$X$3:$X$3000+INPUT!$Y$3:$Y$3000))),"")</f>
        <v>15</v>
      </c>
      <c r="BO10" s="42" cm="1">
        <f t="array" ref="BO10">IFERROR(IF(SUMPRODUCT((INPUT!$T$3:$T$3000=45953)*(INPUT!$U$3:$U$3000="HARRISON"))=0,"",SUMPRODUCT((INPUT!$T$3:$T$3000=45953)*(INPUT!$U$3:$U$3000="HARRISON")*(INPUT!$V$3:$V$3000+INPUT!$W$3:$W$3000+INPUT!$X$3:$X$3000+INPUT!$Y$3:$Y$3000))),"")</f>
        <v>17</v>
      </c>
      <c r="BP10" s="42" cm="1">
        <f t="array" ref="BP10">IFERROR(IF(SUMPRODUCT((INPUT!$T$3:$T$3000=45954)*(INPUT!$U$3:$U$3000="HARRISON"))=0,"",SUMPRODUCT((INPUT!$T$3:$T$3000=45954)*(INPUT!$U$3:$U$3000="HARRISON")*(INPUT!$V$3:$V$3000+INPUT!$W$3:$W$3000+INPUT!$X$3:$X$3000+INPUT!$Y$3:$Y$3000))),"")</f>
        <v>18</v>
      </c>
      <c r="BQ10" s="42" cm="1">
        <f t="array" ref="BQ10">IFERROR(IF(SUMPRODUCT((INPUT!$T$3:$T$3000=45955)*(INPUT!$U$3:$U$3000="HARRISON"))=0,"",SUMPRODUCT((INPUT!$T$3:$T$3000=45955)*(INPUT!$U$3:$U$3000="HARRISON")*(INPUT!$V$3:$V$3000+INPUT!$W$3:$W$3000+INPUT!$X$3:$X$3000+INPUT!$Y$3:$Y$3000))),"")</f>
        <v>17</v>
      </c>
      <c r="BR10" s="42" cm="1">
        <f t="array" ref="BR10">IFERROR(IF(SUMPRODUCT((INPUT!$T$3:$T$3000=45958)*(INPUT!$U$3:$U$3000="HARRISON"))=0,"",SUMPRODUCT((INPUT!$T$3:$T$3000=45958)*(INPUT!$U$3:$U$3000="HARRISON")*(INPUT!$V$3:$V$3000+INPUT!$W$3:$W$3000+INPUT!$X$3:$X$3000+INPUT!$Y$3:$Y$3000))),"")</f>
        <v>16</v>
      </c>
      <c r="BS10" s="42" cm="1">
        <f t="array" ref="BS10">IFERROR(IF(SUMPRODUCT((INPUT!$T$3:$T$3000=45959)*(INPUT!$U$3:$U$3000="HARRISON"))=0,"",SUMPRODUCT((INPUT!$T$3:$T$3000=45959)*(INPUT!$U$3:$U$3000="HARRISON")*(INPUT!$V$3:$V$3000+INPUT!$W$3:$W$3000+INPUT!$X$3:$X$3000+INPUT!$Y$3:$Y$3000))),"")</f>
        <v>17</v>
      </c>
      <c r="BT10" s="42" cm="1">
        <f t="array" ref="BT10">IFERROR(IF(SUMPRODUCT((INPUT!$T$3:$T$3000=45960)*(INPUT!$U$3:$U$3000="HARRISON"))=0,"",SUMPRODUCT((INPUT!$T$3:$T$3000=45960)*(INPUT!$U$3:$U$3000="HARRISON")*(INPUT!$V$3:$V$3000+INPUT!$W$3:$W$3000+INPUT!$X$3:$X$3000+INPUT!$Y$3:$Y$3000))),"")</f>
        <v>16</v>
      </c>
      <c r="BU10" s="42" cm="1">
        <f t="array" ref="BU10">IFERROR(IF(SUMPRODUCT((INPUT!$T$3:$T$3000=45961)*(INPUT!$U$3:$U$3000="HARRISON"))=0,"",SUMPRODUCT((INPUT!$T$3:$T$3000=45961)*(INPUT!$U$3:$U$3000="HARRISON")*(INPUT!$V$3:$V$3000+INPUT!$W$3:$W$3000+INPUT!$X$3:$X$3000+INPUT!$Y$3:$Y$3000))),"")</f>
        <v>12</v>
      </c>
      <c r="BV10" s="42" cm="1">
        <f t="array" ref="BV10">IFERROR(IF(SUMPRODUCT((INPUT!$T$3:$T$3000=45964)*(INPUT!$U$3:$U$3000="HARRISON"))=0,"",SUMPRODUCT((INPUT!$T$3:$T$3000=45964)*(INPUT!$U$3:$U$3000="HARRISON")*(INPUT!$V$3:$V$3000+INPUT!$W$3:$W$3000+INPUT!$X$3:$X$3000+INPUT!$Y$3:$Y$3000))),"")</f>
        <v>15</v>
      </c>
      <c r="BW10" s="42" cm="1">
        <f t="array" ref="BW10">IFERROR(IF(SUMPRODUCT((INPUT!$T$3:$T$3000=45965)*(INPUT!$U$3:$U$3000="HARRISON"))=0,"",SUMPRODUCT((INPUT!$T$3:$T$3000=45965)*(INPUT!$U$3:$U$3000="HARRISON")*(INPUT!$V$3:$V$3000+INPUT!$W$3:$W$3000+INPUT!$X$3:$X$3000+INPUT!$Y$3:$Y$3000))),"")</f>
        <v>20</v>
      </c>
      <c r="BX10" s="42" cm="1">
        <f t="array" ref="BX10">IFERROR(IF(SUMPRODUCT((INPUT!$T$3:$T$3000=45966)*(INPUT!$U$3:$U$3000="HARRISON"))=0,"",SUMPRODUCT((INPUT!$T$3:$T$3000=45966)*(INPUT!$U$3:$U$3000="HARRISON")*(INPUT!$V$3:$V$3000+INPUT!$W$3:$W$3000+INPUT!$X$3:$X$3000+INPUT!$Y$3:$Y$3000))),"")</f>
        <v>16</v>
      </c>
      <c r="BY10" s="42" cm="1">
        <f t="array" ref="BY10">IFERROR(IF(SUMPRODUCT((INPUT!$T$3:$T$3000=45967)*(INPUT!$U$3:$U$3000="HARRISON"))=0,"",SUMPRODUCT((INPUT!$T$3:$T$3000=45967)*(INPUT!$U$3:$U$3000="HARRISON")*(INPUT!$V$3:$V$3000+INPUT!$W$3:$W$3000+INPUT!$X$3:$X$3000+INPUT!$Y$3:$Y$3000))),"")</f>
        <v>16</v>
      </c>
      <c r="BZ10" s="42" cm="1">
        <f t="array" ref="BZ10">IFERROR(IF(SUMPRODUCT((INPUT!$T$3:$T$3000=45968)*(INPUT!$U$3:$U$3000="HARRISON"))=0,"",SUMPRODUCT((INPUT!$T$3:$T$3000=45968)*(INPUT!$U$3:$U$3000="HARRISON")*(INPUT!$V$3:$V$3000+INPUT!$W$3:$W$3000+INPUT!$X$3:$X$3000+INPUT!$Y$3:$Y$3000))),"")</f>
        <v>18</v>
      </c>
      <c r="CA10" s="42" cm="1">
        <f t="array" ref="CA10">IFERROR(IF(SUMPRODUCT((INPUT!$T$3:$T$3000=45971)*(INPUT!$U$3:$U$3000="HARRISON"))=0,"",SUMPRODUCT((INPUT!$T$3:$T$3000=45971)*(INPUT!$U$3:$U$3000="HARRISON")*(INPUT!$V$3:$V$3000+INPUT!$W$3:$W$3000+INPUT!$X$3:$X$3000+INPUT!$Y$3:$Y$3000))),"")</f>
        <v>14</v>
      </c>
      <c r="CB10" s="42" cm="1">
        <f t="array" ref="CB10">IFERROR(IF(SUMPRODUCT((INPUT!$T$3:$T$3000=45972)*(INPUT!$U$3:$U$3000="HARRISON"))=0,"",SUMPRODUCT((INPUT!$T$3:$T$3000=45972)*(INPUT!$U$3:$U$3000="HARRISON")*(INPUT!$V$3:$V$3000+INPUT!$W$3:$W$3000+INPUT!$X$3:$X$3000+INPUT!$Y$3:$Y$3000))),"")</f>
        <v>17</v>
      </c>
      <c r="CC10" s="42" cm="1">
        <f t="array" ref="CC10">IFERROR(IF(SUMPRODUCT((INPUT!$T$3:$T$3000=45974)*(INPUT!$U$3:$U$3000="HARRISON"))=0,"",SUMPRODUCT((INPUT!$T$3:$T$3000=45974)*(INPUT!$U$3:$U$3000="HARRISON")*(INPUT!$V$3:$V$3000+INPUT!$W$3:$W$3000+INPUT!$X$3:$X$3000+INPUT!$Y$3:$Y$3000))),"")</f>
        <v>13</v>
      </c>
      <c r="CD10" s="42" cm="1">
        <f t="array" ref="CD10">IFERROR(IF(SUMPRODUCT((INPUT!$T$3:$T$3000=45975)*(INPUT!$U$3:$U$3000="HARRISON"))=0,"",SUMPRODUCT((INPUT!$T$3:$T$3000=45975)*(INPUT!$U$3:$U$3000="HARRISON")*(INPUT!$V$3:$V$3000+INPUT!$W$3:$W$3000+INPUT!$X$3:$X$3000+INPUT!$Y$3:$Y$3000))),"")</f>
        <v>13</v>
      </c>
      <c r="CE10" s="42" cm="1">
        <f t="array" ref="CE10">IFERROR(IF(SUMPRODUCT((INPUT!$T$3:$T$3000=45976)*(INPUT!$U$3:$U$3000="HARRISON"))=0,"",SUMPRODUCT((INPUT!$T$3:$T$3000=45976)*(INPUT!$U$3:$U$3000="HARRISON")*(INPUT!$V$3:$V$3000+INPUT!$W$3:$W$3000+INPUT!$X$3:$X$3000+INPUT!$Y$3:$Y$3000))),"")</f>
        <v>18</v>
      </c>
      <c r="CF10" s="42" t="str" cm="1">
        <f t="array" ref="CF10">IFERROR(IF(SUMPRODUCT((INPUT!$T$3:$T$3000=45978)*(INPUT!$U$3:$U$3000="HARRISON"))=0,"",SUMPRODUCT((INPUT!$T$3:$T$3000=45978)*(INPUT!$U$3:$U$3000="HARRISON")*(INPUT!$V$3:$V$3000+INPUT!$W$3:$W$3000+INPUT!$X$3:$X$3000+INPUT!$Y$3:$Y$3000))),"")</f>
        <v/>
      </c>
      <c r="CG10" s="42" cm="1">
        <f t="array" ref="CG10">IFERROR(IF(SUMPRODUCT((INPUT!$T$3:$T$3000=45979)*(INPUT!$U$3:$U$3000="HARRISON"))=0,"",SUMPRODUCT((INPUT!$T$3:$T$3000=45979)*(INPUT!$U$3:$U$3000="HARRISON")*(INPUT!$V$3:$V$3000+INPUT!$W$3:$W$3000+INPUT!$X$3:$X$3000+INPUT!$Y$3:$Y$3000))),"")</f>
        <v>15</v>
      </c>
      <c r="CH10" s="42" cm="1">
        <f t="array" ref="CH10">IFERROR(IF(SUMPRODUCT((INPUT!$T$3:$T$3000=45980)*(INPUT!$U$3:$U$3000="HARRISON"))=0,"",SUMPRODUCT((INPUT!$T$3:$T$3000=45980)*(INPUT!$U$3:$U$3000="HARRISON")*(INPUT!$V$3:$V$3000+INPUT!$W$3:$W$3000+INPUT!$X$3:$X$3000+INPUT!$Y$3:$Y$3000))),"")</f>
        <v>15</v>
      </c>
      <c r="CI10" s="42" cm="1">
        <f t="array" ref="CI10">IFERROR(IF(SUMPRODUCT((INPUT!$T$3:$T$3000=45982)*(INPUT!$U$3:$U$3000="HARRISON"))=0,"",SUMPRODUCT((INPUT!$T$3:$T$3000=45982)*(INPUT!$U$3:$U$3000="HARRISON")*(INPUT!$V$3:$V$3000+INPUT!$W$3:$W$3000+INPUT!$X$3:$X$3000+INPUT!$Y$3:$Y$3000))),"")</f>
        <v>16</v>
      </c>
      <c r="CJ10" s="42" cm="1">
        <f t="array" ref="CJ10">IFERROR(IF(SUMPRODUCT((INPUT!$T$3:$T$3000=45983)*(INPUT!$U$3:$U$3000="HARRISON"))=0,"",SUMPRODUCT((INPUT!$T$3:$T$3000=45983)*(INPUT!$U$3:$U$3000="HARRISON")*(INPUT!$V$3:$V$3000+INPUT!$W$3:$W$3000+INPUT!$X$3:$X$3000+INPUT!$Y$3:$Y$3000))),"")</f>
        <v>18</v>
      </c>
      <c r="CK10" s="42" cm="1">
        <f t="array" ref="CK10">IFERROR(IF(SUMPRODUCT((INPUT!$T$3:$T$3000=45985)*(INPUT!$U$3:$U$3000="HARRISON"))=0,"",SUMPRODUCT((INPUT!$T$3:$T$3000=45985)*(INPUT!$U$3:$U$3000="HARRISON")*(INPUT!$V$3:$V$3000+INPUT!$W$3:$W$3000+INPUT!$X$3:$X$3000+INPUT!$Y$3:$Y$3000))),"")</f>
        <v>17</v>
      </c>
      <c r="CL10" s="42" cm="1">
        <f t="array" ref="CL10">IFERROR(IF(SUMPRODUCT((INPUT!$T$3:$T$3000=45986)*(INPUT!$U$3:$U$3000="HARRISON"))=0,"",SUMPRODUCT((INPUT!$T$3:$T$3000=45986)*(INPUT!$U$3:$U$3000="HARRISON")*(INPUT!$V$3:$V$3000+INPUT!$W$3:$W$3000+INPUT!$X$3:$X$3000+INPUT!$Y$3:$Y$3000))),"")</f>
        <v>17</v>
      </c>
      <c r="CM10" s="42" cm="1">
        <f t="array" ref="CM10">IFERROR(IF(SUMPRODUCT((INPUT!$T$3:$T$3000=45987)*(INPUT!$U$3:$U$3000="HARRISON"))=0,"",SUMPRODUCT((INPUT!$T$3:$T$3000=45987)*(INPUT!$U$3:$U$3000="HARRISON")*(INPUT!$V$3:$V$3000+INPUT!$W$3:$W$3000+INPUT!$X$3:$X$3000+INPUT!$Y$3:$Y$3000))),"")</f>
        <v>18</v>
      </c>
      <c r="CN10" s="42" cm="1">
        <f t="array" ref="CN10">IFERROR(IF(SUMPRODUCT((INPUT!$T$3:$T$3000=45988)*(INPUT!$U$3:$U$3000="HARRISON"))=0,"",SUMPRODUCT((INPUT!$T$3:$T$3000=45988)*(INPUT!$U$3:$U$3000="HARRISON")*(INPUT!$V$3:$V$3000+INPUT!$W$3:$W$3000+INPUT!$X$3:$X$3000+INPUT!$Y$3:$Y$3000))),"")</f>
        <v>18</v>
      </c>
      <c r="CO10" s="42" cm="1">
        <f t="array" ref="CO10">IFERROR(IF(SUMPRODUCT((INPUT!$T$3:$T$3000=45989)*(INPUT!$U$3:$U$3000="HARRISON"))=0,"",SUMPRODUCT((INPUT!$T$3:$T$3000=45989)*(INPUT!$U$3:$U$3000="HARRISON")*(INPUT!$V$3:$V$3000+INPUT!$W$3:$W$3000+INPUT!$X$3:$X$3000+INPUT!$Y$3:$Y$3000))),"")</f>
        <v>20</v>
      </c>
      <c r="CP10" s="42" cm="1">
        <f t="array" ref="CP10">IFERROR(IF(SUMPRODUCT((INPUT!$T$3:$T$3000=45992)*(INPUT!$U$3:$U$3000="HARRISON"))=0,"",SUMPRODUCT((INPUT!$T$3:$T$3000=45992)*(INPUT!$U$3:$U$3000="HARRISON")*(INPUT!$V$3:$V$3000+INPUT!$W$3:$W$3000+INPUT!$X$3:$X$3000+INPUT!$Y$3:$Y$3000))),"")</f>
        <v>18</v>
      </c>
      <c r="CQ10" s="42" cm="1">
        <f t="array" ref="CQ10">IFERROR(IF(SUMPRODUCT((INPUT!$T$3:$T$3000=45993)*(INPUT!$U$3:$U$3000="HARRISON"))=0,"",SUMPRODUCT((INPUT!$T$3:$T$3000=45993)*(INPUT!$U$3:$U$3000="HARRISON")*(INPUT!$V$3:$V$3000+INPUT!$W$3:$W$3000+INPUT!$X$3:$X$3000+INPUT!$Y$3:$Y$3000))),"")</f>
        <v>16</v>
      </c>
      <c r="CR10" s="42" cm="1">
        <f t="array" ref="CR10">IFERROR(IF(SUMPRODUCT((INPUT!$T$3:$T$3000=45994)*(INPUT!$U$3:$U$3000="HARRISON"))=0,"",SUMPRODUCT((INPUT!$T$3:$T$3000=45994)*(INPUT!$U$3:$U$3000="HARRISON")*(INPUT!$V$3:$V$3000+INPUT!$W$3:$W$3000+INPUT!$X$3:$X$3000+INPUT!$Y$3:$Y$3000))),"")</f>
        <v>16</v>
      </c>
      <c r="CS10" s="42" cm="1">
        <f t="array" ref="CS10">IFERROR(IF(SUMPRODUCT((INPUT!$T$3:$T$3000=45995)*(INPUT!$U$3:$U$3000="HARRISON"))=0,"",SUMPRODUCT((INPUT!$T$3:$T$3000=45995)*(INPUT!$U$3:$U$3000="HARRISON")*(INPUT!$V$3:$V$3000+INPUT!$W$3:$W$3000+INPUT!$X$3:$X$3000+INPUT!$Y$3:$Y$3000))),"")</f>
        <v>15</v>
      </c>
      <c r="CT10" s="42" cm="1">
        <f t="array" ref="CT10">IFERROR(IF(SUMPRODUCT((INPUT!$T$3:$T$3000=45996)*(INPUT!$U$3:$U$3000="HARRISON"))=0,"",SUMPRODUCT((INPUT!$T$3:$T$3000=45996)*(INPUT!$U$3:$U$3000="HARRISON")*(INPUT!$V$3:$V$3000+INPUT!$W$3:$W$3000+INPUT!$X$3:$X$3000+INPUT!$Y$3:$Y$3000))),"")</f>
        <v>18</v>
      </c>
      <c r="CU10" s="42" cm="1">
        <f t="array" ref="CU10">IFERROR(IF(SUMPRODUCT((INPUT!$T$3:$T$3000=45997)*(INPUT!$U$3:$U$3000="HARRISON"))=0,"",SUMPRODUCT((INPUT!$T$3:$T$3000=45997)*(INPUT!$U$3:$U$3000="HARRISON")*(INPUT!$V$3:$V$3000+INPUT!$W$3:$W$3000+INPUT!$X$3:$X$3000+INPUT!$Y$3:$Y$3000))),"")</f>
        <v>17</v>
      </c>
      <c r="CV10" s="42" cm="1">
        <f t="array" ref="CV10">IFERROR(IF(SUMPRODUCT((INPUT!$T$3:$T$3000=45999)*(INPUT!$U$3:$U$3000="HARRISON"))=0,"",SUMPRODUCT((INPUT!$T$3:$T$3000=45999)*(INPUT!$U$3:$U$3000="HARRISON")*(INPUT!$V$3:$V$3000+INPUT!$W$3:$W$3000+INPUT!$X$3:$X$3000+INPUT!$Y$3:$Y$3000))),"")</f>
        <v>14</v>
      </c>
      <c r="CW10" s="42" cm="1">
        <f t="array" ref="CW10">IFERROR(IF(SUMPRODUCT((INPUT!$T$3:$T$3000=46000)*(INPUT!$U$3:$U$3000="HARRISON"))=0,"",SUMPRODUCT((INPUT!$T$3:$T$3000=46000)*(INPUT!$U$3:$U$3000="HARRISON")*(INPUT!$V$3:$V$3000+INPUT!$W$3:$W$3000+INPUT!$X$3:$X$3000+INPUT!$Y$3:$Y$3000))),"")</f>
        <v>18</v>
      </c>
      <c r="CX10" s="42" cm="1">
        <f t="array" ref="CX10">IFERROR(IF(SUMPRODUCT((INPUT!$T$3:$T$3000=46001)*(INPUT!$U$3:$U$3000="HARRISON"))=0,"",SUMPRODUCT((INPUT!$T$3:$T$3000=46001)*(INPUT!$U$3:$U$3000="HARRISON")*(INPUT!$V$3:$V$3000+INPUT!$W$3:$W$3000+INPUT!$X$3:$X$3000+INPUT!$Y$3:$Y$3000))),"")</f>
        <v>15</v>
      </c>
      <c r="CY10" s="42" cm="1">
        <f t="array" ref="CY10">IFERROR(IF(SUMPRODUCT((INPUT!$T$3:$T$3000=46002)*(INPUT!$U$3:$U$3000="HARRISON"))=0,"",SUMPRODUCT((INPUT!$T$3:$T$3000=46002)*(INPUT!$U$3:$U$3000="HARRISON")*(INPUT!$V$3:$V$3000+INPUT!$W$3:$W$3000+INPUT!$X$3:$X$3000+INPUT!$Y$3:$Y$3000))),"")</f>
        <v>17</v>
      </c>
      <c r="CZ10" s="42" cm="1">
        <f t="array" ref="CZ10">IFERROR(IF(SUMPRODUCT((INPUT!$T$3:$T$3000=46003)*(INPUT!$U$3:$U$3000="HARRISON"))=0,"",SUMPRODUCT((INPUT!$T$3:$T$3000=46003)*(INPUT!$U$3:$U$3000="HARRISON")*(INPUT!$V$3:$V$3000+INPUT!$W$3:$W$3000+INPUT!$X$3:$X$3000+INPUT!$Y$3:$Y$3000))),"")</f>
        <v>18</v>
      </c>
      <c r="DA10" s="42" cm="1">
        <f t="array" ref="DA10">IFERROR(IF(SUMPRODUCT((INPUT!$T$3:$T$3000=46004)*(INPUT!$U$3:$U$3000="HARRISON"))=0,"",SUMPRODUCT((INPUT!$T$3:$T$3000=46004)*(INPUT!$U$3:$U$3000="HARRISON")*(INPUT!$V$3:$V$3000+INPUT!$W$3:$W$3000+INPUT!$X$3:$X$3000+INPUT!$Y$3:$Y$3000))),"")</f>
        <v>18</v>
      </c>
      <c r="DB10" s="42" t="str" cm="1">
        <f t="array" ref="DB10">IFERROR(IF(SUMPRODUCT((INPUT!$T$3:$T$3000=46007)*(INPUT!$U$3:$U$3000="HARRISON"))=0,"",SUMPRODUCT((INPUT!$T$3:$T$3000=46007)*(INPUT!$U$3:$U$3000="HARRISON")*(INPUT!$V$3:$V$3000+INPUT!$W$3:$W$3000+INPUT!$X$3:$X$3000+INPUT!$Y$3:$Y$3000))),"")</f>
        <v/>
      </c>
      <c r="DC10" s="42" t="str" cm="1">
        <f t="array" ref="DC10">IFERROR(IF(SUMPRODUCT((INPUT!$T$3:$T$3000=46008)*(INPUT!$U$3:$U$3000="HARRISON"))=0,"",SUMPRODUCT((INPUT!$T$3:$T$3000=46008)*(INPUT!$U$3:$U$3000="HARRISON")*(INPUT!$V$3:$V$3000+INPUT!$W$3:$W$3000+INPUT!$X$3:$X$3000+INPUT!$Y$3:$Y$3000))),"")</f>
        <v/>
      </c>
      <c r="DD10" s="42" t="str" cm="1">
        <f t="array" ref="DD10">IFERROR(IF(SUMPRODUCT((INPUT!$T$3:$T$3000=46009)*(INPUT!$U$3:$U$3000="HARRISON"))=0,"",SUMPRODUCT((INPUT!$T$3:$T$3000=46009)*(INPUT!$U$3:$U$3000="HARRISON")*(INPUT!$V$3:$V$3000+INPUT!$W$3:$W$3000+INPUT!$X$3:$X$3000+INPUT!$Y$3:$Y$3000))),"")</f>
        <v/>
      </c>
      <c r="DE10" s="42" t="str" cm="1">
        <f t="array" ref="DE10">IFERROR(IF(SUMPRODUCT((INPUT!$T$3:$T$3000=46010)*(INPUT!$U$3:$U$3000="HARRISON"))=0,"",SUMPRODUCT((INPUT!$T$3:$T$3000=46010)*(INPUT!$U$3:$U$3000="HARRISON")*(INPUT!$V$3:$V$3000+INPUT!$W$3:$W$3000+INPUT!$X$3:$X$3000+INPUT!$Y$3:$Y$3000))),"")</f>
        <v/>
      </c>
      <c r="DF10" s="42" t="str" cm="1">
        <f t="array" ref="DF10">IFERROR(IF(SUMPRODUCT((INPUT!$T$3:$T$3000=46013)*(INPUT!$U$3:$U$3000="HARRISON"))=0,"",SUMPRODUCT((INPUT!$T$3:$T$3000=46013)*(INPUT!$U$3:$U$3000="HARRISON")*(INPUT!$V$3:$V$3000+INPUT!$W$3:$W$3000+INPUT!$X$3:$X$3000+INPUT!$Y$3:$Y$3000))),"")</f>
        <v/>
      </c>
      <c r="DG10" s="42" cm="1">
        <f t="array" ref="DG10">IFERROR(IF(SUMPRODUCT((INPUT!$T$3:$T$3000=46014)*(INPUT!$U$3:$U$3000="HARRISON"))=0,"",SUMPRODUCT((INPUT!$T$3:$T$3000=46014)*(INPUT!$U$3:$U$3000="HARRISON")*(INPUT!$V$3:$V$3000+INPUT!$W$3:$W$3000+INPUT!$X$3:$X$3000+INPUT!$Y$3:$Y$3000))),"")</f>
        <v>14</v>
      </c>
      <c r="DH10" s="42" cm="1">
        <f t="array" ref="DH10">IFERROR(IF(SUMPRODUCT((INPUT!$T$3:$T$3000=46017)*(INPUT!$U$3:$U$3000="HARRISON"))=0,"",SUMPRODUCT((INPUT!$T$3:$T$3000=46017)*(INPUT!$U$3:$U$3000="HARRISON")*(INPUT!$V$3:$V$3000+INPUT!$W$3:$W$3000+INPUT!$X$3:$X$3000+INPUT!$Y$3:$Y$3000))),"")</f>
        <v>17</v>
      </c>
      <c r="DI10" s="42" cm="1">
        <f t="array" ref="DI10">IFERROR(IF(SUMPRODUCT((INPUT!$T$3:$T$3000=46018)*(INPUT!$U$3:$U$3000="HARRISON"))=0,"",SUMPRODUCT((INPUT!$T$3:$T$3000=46018)*(INPUT!$U$3:$U$3000="HARRISON")*(INPUT!$V$3:$V$3000+INPUT!$W$3:$W$3000+INPUT!$X$3:$X$3000+INPUT!$Y$3:$Y$3000))),"")</f>
        <v>19</v>
      </c>
      <c r="DJ10" s="42" cm="1">
        <f t="array" ref="DJ10">IFERROR(IF(SUMPRODUCT((INPUT!$T$3:$T$3000=46020)*(INPUT!$U$3:$U$3000="HARRISON"))=0,"",SUMPRODUCT((INPUT!$T$3:$T$3000=46020)*(INPUT!$U$3:$U$3000="HARRISON")*(INPUT!$V$3:$V$3000+INPUT!$W$3:$W$3000+INPUT!$X$3:$X$3000+INPUT!$Y$3:$Y$3000))),"")</f>
        <v>16</v>
      </c>
      <c r="DK10" s="42" cm="1">
        <f t="array" ref="DK10">IFERROR(IF(SUMPRODUCT((INPUT!$T$3:$T$3000=46021)*(INPUT!$U$3:$U$3000="HARRISON"))=0,"",SUMPRODUCT((INPUT!$T$3:$T$3000=46021)*(INPUT!$U$3:$U$3000="HARRISON")*(INPUT!$V$3:$V$3000+INPUT!$W$3:$W$3000+INPUT!$X$3:$X$3000+INPUT!$Y$3:$Y$3000))),"")</f>
        <v>17</v>
      </c>
      <c r="DL10" s="42" cm="1">
        <f t="array" ref="DL10">IFERROR(IF(SUMPRODUCT((INPUT!$T$3:$T$3000=46022)*(INPUT!$U$3:$U$3000="HARRISON"))=0,"",SUMPRODUCT((INPUT!$T$3:$T$3000=46022)*(INPUT!$U$3:$U$3000="HARRISON")*(INPUT!$V$3:$V$3000+INPUT!$W$3:$W$3000+INPUT!$X$3:$X$3000+INPUT!$Y$3:$Y$3000))),"")</f>
        <v>17</v>
      </c>
      <c r="DM10" s="42" cm="1">
        <f t="array" ref="DM10">IFERROR(IF(SUMPRODUCT((INPUT!$T$3:$T$3000=46024)*(INPUT!$U$3:$U$3000="HARRISON"))=0,"",SUMPRODUCT((INPUT!$T$3:$T$3000=46024)*(INPUT!$U$3:$U$3000="HARRISON")*(INPUT!$V$3:$V$3000+INPUT!$W$3:$W$3000+INPUT!$X$3:$X$3000+INPUT!$Y$3:$Y$3000))),"")</f>
        <v>18</v>
      </c>
      <c r="DN10" s="42" cm="1">
        <f t="array" ref="DN10">IFERROR(IF(SUMPRODUCT((INPUT!$T$3:$T$3000=46025)*(INPUT!$U$3:$U$3000="HARRISON"))=0,"",SUMPRODUCT((INPUT!$T$3:$T$3000=46025)*(INPUT!$U$3:$U$3000="HARRISON")*(INPUT!$V$3:$V$3000+INPUT!$W$3:$W$3000+INPUT!$X$3:$X$3000+INPUT!$Y$3:$Y$3000))),"")</f>
        <v>18</v>
      </c>
      <c r="DO10" s="42" cm="1">
        <f t="array" ref="DO10">IFERROR(IF(SUMPRODUCT((INPUT!$T$3:$T$3000=46027)*(INPUT!$U$3:$U$3000="HARRISON"))=0,"",SUMPRODUCT((INPUT!$T$3:$T$3000=46027)*(INPUT!$U$3:$U$3000="HARRISON")*(INPUT!$V$3:$V$3000+INPUT!$W$3:$W$3000+INPUT!$X$3:$X$3000+INPUT!$Y$3:$Y$3000))),"")</f>
        <v>15</v>
      </c>
      <c r="DP10" s="42" cm="1">
        <f t="array" ref="DP10">IFERROR(IF(SUMPRODUCT((INPUT!$T$3:$T$3000=46028)*(INPUT!$U$3:$U$3000="HARRISON"))=0,"",SUMPRODUCT((INPUT!$T$3:$T$3000=46028)*(INPUT!$U$3:$U$3000="HARRISON")*(INPUT!$V$3:$V$3000+INPUT!$W$3:$W$3000+INPUT!$X$3:$X$3000+INPUT!$Y$3:$Y$3000))),"")</f>
        <v>18</v>
      </c>
      <c r="DQ10" s="42" cm="1">
        <f t="array" ref="DQ10">IFERROR(IF(SUMPRODUCT((INPUT!$T$3:$T$3000=46029)*(INPUT!$U$3:$U$3000="HARRISON"))=0,"",SUMPRODUCT((INPUT!$T$3:$T$3000=46029)*(INPUT!$U$3:$U$3000="HARRISON")*(INPUT!$V$3:$V$3000+INPUT!$W$3:$W$3000+INPUT!$X$3:$X$3000+INPUT!$Y$3:$Y$3000))),"")</f>
        <v>19</v>
      </c>
      <c r="DR10" s="42" cm="1">
        <f t="array" ref="DR10">IFERROR(IF(SUMPRODUCT((INPUT!$T$3:$T$3000=46030)*(INPUT!$U$3:$U$3000="HARRISON"))=0,"",SUMPRODUCT((INPUT!$T$3:$T$3000=46030)*(INPUT!$U$3:$U$3000="HARRISON")*(INPUT!$V$3:$V$3000+INPUT!$W$3:$W$3000+INPUT!$X$3:$X$3000+INPUT!$Y$3:$Y$3000))),"")</f>
        <v>13</v>
      </c>
      <c r="DS10" s="42" cm="1">
        <f t="array" ref="DS10">IFERROR(IF(SUMPRODUCT((INPUT!$T$3:$T$3000=46031)*(INPUT!$U$3:$U$3000="HARRISON"))=0,"",SUMPRODUCT((INPUT!$T$3:$T$3000=46031)*(INPUT!$U$3:$U$3000="HARRISON")*(INPUT!$V$3:$V$3000+INPUT!$W$3:$W$3000+INPUT!$X$3:$X$3000+INPUT!$Y$3:$Y$3000))),"")</f>
        <v>17</v>
      </c>
      <c r="DT10" s="42" t="str" cm="1">
        <f t="array" ref="DT10">IFERROR(IF(SUMPRODUCT((INPUT!$T$3:$T$3000=46041)*(INPUT!$U$3:$U$3000="HARRISON"))=0,"",SUMPRODUCT((INPUT!$T$3:$T$3000=46041)*(INPUT!$U$3:$U$3000="HARRISON")*(INPUT!$V$3:$V$3000+INPUT!$W$3:$W$3000+INPUT!$X$3:$X$3000+INPUT!$Y$3:$Y$3000))),"")</f>
        <v/>
      </c>
      <c r="DU10" s="42" t="str" cm="1">
        <f t="array" ref="DU10">IFERROR(IF(SUMPRODUCT((INPUT!$T$3:$T$3000=46042)*(INPUT!$U$3:$U$3000="HARRISON"))=0,"",SUMPRODUCT((INPUT!$T$3:$T$3000=46042)*(INPUT!$U$3:$U$3000="HARRISON")*(INPUT!$V$3:$V$3000+INPUT!$W$3:$W$3000+INPUT!$X$3:$X$3000+INPUT!$Y$3:$Y$3000))),"")</f>
        <v/>
      </c>
      <c r="DV10" s="42" t="str" cm="1">
        <f t="array" ref="DV10">IFERROR(IF(SUMPRODUCT((INPUT!$T$3:$T$3000=46043)*(INPUT!$U$3:$U$3000="HARRISON"))=0,"",SUMPRODUCT((INPUT!$T$3:$T$3000=46043)*(INPUT!$U$3:$U$3000="HARRISON")*(INPUT!$V$3:$V$3000+INPUT!$W$3:$W$3000+INPUT!$X$3:$X$3000+INPUT!$Y$3:$Y$3000))),"")</f>
        <v/>
      </c>
      <c r="DW10" s="42" t="str" cm="1">
        <f t="array" ref="DW10">IFERROR(IF(SUMPRODUCT((INPUT!$T$3:$T$3000=46044)*(INPUT!$U$3:$U$3000="HARRISON"))=0,"",SUMPRODUCT((INPUT!$T$3:$T$3000=46044)*(INPUT!$U$3:$U$3000="HARRISON")*(INPUT!$V$3:$V$3000+INPUT!$W$3:$W$3000+INPUT!$X$3:$X$3000+INPUT!$Y$3:$Y$3000))),"")</f>
        <v/>
      </c>
      <c r="DX10" s="42" t="str" cm="1">
        <f t="array" ref="DX10">IFERROR(IF(SUMPRODUCT((INPUT!$T$3:$T$3000=46045)*(INPUT!$U$3:$U$3000="HARRISON"))=0,"",SUMPRODUCT((INPUT!$T$3:$T$3000=46045)*(INPUT!$U$3:$U$3000="HARRISON")*(INPUT!$V$3:$V$3000+INPUT!$W$3:$W$3000+INPUT!$X$3:$X$3000+INPUT!$Y$3:$Y$3000))),"")</f>
        <v/>
      </c>
      <c r="DY10" s="42" t="str" cm="1">
        <f t="array" ref="DY10">IFERROR(IF(SUMPRODUCT((INPUT!$T$3:$T$3000=46048)*(INPUT!$U$3:$U$3000="HARRISON"))=0,"",SUMPRODUCT((INPUT!$T$3:$T$3000=46048)*(INPUT!$U$3:$U$3000="HARRISON")*(INPUT!$V$3:$V$3000+INPUT!$W$3:$W$3000+INPUT!$X$3:$X$3000+INPUT!$Y$3:$Y$3000))),"")</f>
        <v/>
      </c>
      <c r="DZ10" s="42" t="str" cm="1">
        <f t="array" ref="DZ10">IFERROR(IF(SUMPRODUCT((INPUT!$T$3:$T$3000=46049)*(INPUT!$U$3:$U$3000="HARRISON"))=0,"",SUMPRODUCT((INPUT!$T$3:$T$3000=46049)*(INPUT!$U$3:$U$3000="HARRISON")*(INPUT!$V$3:$V$3000+INPUT!$W$3:$W$3000+INPUT!$X$3:$X$3000+INPUT!$Y$3:$Y$3000))),"")</f>
        <v/>
      </c>
      <c r="EA10" s="42" t="str" cm="1">
        <f t="array" ref="EA10">IFERROR(IF(SUMPRODUCT((INPUT!$T$3:$T$3000=46050)*(INPUT!$U$3:$U$3000="HARRISON"))=0,"",SUMPRODUCT((INPUT!$T$3:$T$3000=46050)*(INPUT!$U$3:$U$3000="HARRISON")*(INPUT!$V$3:$V$3000+INPUT!$W$3:$W$3000+INPUT!$X$3:$X$3000+INPUT!$Y$3:$Y$3000))),"")</f>
        <v/>
      </c>
      <c r="EB10" s="42" t="str" cm="1">
        <f t="array" ref="EB10">IFERROR(IF(SUMPRODUCT((INPUT!$T$3:$T$3000=46051)*(INPUT!$U$3:$U$3000="HARRISON"))=0,"",SUMPRODUCT((INPUT!$T$3:$T$3000=46051)*(INPUT!$U$3:$U$3000="HARRISON")*(INPUT!$V$3:$V$3000+INPUT!$W$3:$W$3000+INPUT!$X$3:$X$3000+INPUT!$Y$3:$Y$3000))),"")</f>
        <v/>
      </c>
      <c r="EC10" s="42" t="str" cm="1">
        <f t="array" ref="EC10">IFERROR(IF(SUMPRODUCT((INPUT!$T$3:$T$3000=46052)*(INPUT!$U$3:$U$3000="HARRISON"))=0,"",SUMPRODUCT((INPUT!$T$3:$T$3000=46052)*(INPUT!$U$3:$U$3000="HARRISON")*(INPUT!$V$3:$V$3000+INPUT!$W$3:$W$3000+INPUT!$X$3:$X$3000+INPUT!$Y$3:$Y$3000))),"")</f>
        <v/>
      </c>
      <c r="ED10" s="42" t="str" cm="1">
        <f t="array" ref="ED10">IFERROR(IF(SUMPRODUCT((INPUT!$T$3:$T$3000=46055)*(INPUT!$U$3:$U$3000="HARRISON"))=0,"",SUMPRODUCT((INPUT!$T$3:$T$3000=46055)*(INPUT!$U$3:$U$3000="HARRISON")*(INPUT!$V$3:$V$3000+INPUT!$W$3:$W$3000+INPUT!$X$3:$X$3000+INPUT!$Y$3:$Y$3000))),"")</f>
        <v/>
      </c>
      <c r="EE10" s="42" t="str" cm="1">
        <f t="array" ref="EE10">IFERROR(IF(SUMPRODUCT((INPUT!$T$3:$T$3000=46056)*(INPUT!$U$3:$U$3000="HARRISON"))=0,"",SUMPRODUCT((INPUT!$T$3:$T$3000=46056)*(INPUT!$U$3:$U$3000="HARRISON")*(INPUT!$V$3:$V$3000+INPUT!$W$3:$W$3000+INPUT!$X$3:$X$3000+INPUT!$Y$3:$Y$3000))),"")</f>
        <v/>
      </c>
      <c r="EF10" s="42" t="str" cm="1">
        <f t="array" ref="EF10">IFERROR(IF(SUMPRODUCT((INPUT!$T$3:$T$3000=46057)*(INPUT!$U$3:$U$3000="HARRISON"))=0,"",SUMPRODUCT((INPUT!$T$3:$T$3000=46057)*(INPUT!$U$3:$U$3000="HARRISON")*(INPUT!$V$3:$V$3000+INPUT!$W$3:$W$3000+INPUT!$X$3:$X$3000+INPUT!$Y$3:$Y$3000))),"")</f>
        <v/>
      </c>
      <c r="EG10" s="42" t="str" cm="1">
        <f t="array" ref="EG10">IFERROR(IF(SUMPRODUCT((INPUT!$T$3:$T$3000=46058)*(INPUT!$U$3:$U$3000="HARRISON"))=0,"",SUMPRODUCT((INPUT!$T$3:$T$3000=46058)*(INPUT!$U$3:$U$3000="HARRISON")*(INPUT!$V$3:$V$3000+INPUT!$W$3:$W$3000+INPUT!$X$3:$X$3000+INPUT!$Y$3:$Y$3000))),"")</f>
        <v/>
      </c>
      <c r="EH10" s="42" t="str" cm="1">
        <f t="array" ref="EH10">IFERROR(IF(SUMPRODUCT((INPUT!$T$3:$T$3000=46059)*(INPUT!$U$3:$U$3000="HARRISON"))=0,"",SUMPRODUCT((INPUT!$T$3:$T$3000=46059)*(INPUT!$U$3:$U$3000="HARRISON")*(INPUT!$V$3:$V$3000+INPUT!$W$3:$W$3000+INPUT!$X$3:$X$3000+INPUT!$Y$3:$Y$3000))),"")</f>
        <v/>
      </c>
      <c r="EI10" s="42" cm="1">
        <f t="array" ref="EI10">IFERROR(IF(SUMPRODUCT((INPUT!$T$3:$T$3000=46061)*(INPUT!$U$3:$U$3000="HARRISON"))=0,"",SUMPRODUCT((INPUT!$T$3:$T$3000=46061)*(INPUT!$U$3:$U$3000="HARRISON")*(INPUT!$V$3:$V$3000+INPUT!$W$3:$W$3000+INPUT!$X$3:$X$3000+INPUT!$Y$3:$Y$3000))),"")</f>
        <v>15</v>
      </c>
      <c r="EJ10" s="42" cm="1">
        <f t="array" ref="EJ10">IFERROR(IF(SUMPRODUCT((INPUT!$T$3:$T$3000=46062)*(INPUT!$U$3:$U$3000="HARRISON"))=0,"",SUMPRODUCT((INPUT!$T$3:$T$3000=46062)*(INPUT!$U$3:$U$3000="HARRISON")*(INPUT!$V$3:$V$3000+INPUT!$W$3:$W$3000+INPUT!$X$3:$X$3000+INPUT!$Y$3:$Y$3000))),"")</f>
        <v>15</v>
      </c>
      <c r="EK10" s="42" cm="1">
        <f t="array" ref="EK10">IFERROR(IF(SUMPRODUCT((INPUT!$T$3:$T$3000=46063)*(INPUT!$U$3:$U$3000="HARRISON"))=0,"",SUMPRODUCT((INPUT!$T$3:$T$3000=46063)*(INPUT!$U$3:$U$3000="HARRISON")*(INPUT!$V$3:$V$3000+INPUT!$W$3:$W$3000+INPUT!$X$3:$X$3000+INPUT!$Y$3:$Y$3000))),"")</f>
        <v>17</v>
      </c>
      <c r="EL10" s="42" cm="1">
        <f t="array" ref="EL10">IFERROR(IF(SUMPRODUCT((INPUT!$T$3:$T$3000=46064)*(INPUT!$U$3:$U$3000="HARRISON"))=0,"",SUMPRODUCT((INPUT!$T$3:$T$3000=46064)*(INPUT!$U$3:$U$3000="HARRISON")*(INPUT!$V$3:$V$3000+INPUT!$W$3:$W$3000+INPUT!$X$3:$X$3000+INPUT!$Y$3:$Y$3000))),"")</f>
        <v>18</v>
      </c>
      <c r="EM10" s="42" cm="1">
        <f t="array" ref="EM10">IFERROR(IF(SUMPRODUCT((INPUT!$T$3:$T$3000=46065)*(INPUT!$U$3:$U$3000="HARRISON"))=0,"",SUMPRODUCT((INPUT!$T$3:$T$3000=46065)*(INPUT!$U$3:$U$3000="HARRISON")*(INPUT!$V$3:$V$3000+INPUT!$W$3:$W$3000+INPUT!$X$3:$X$3000+INPUT!$Y$3:$Y$3000))),"")</f>
        <v>18</v>
      </c>
      <c r="EN10" s="42" cm="1">
        <f t="array" ref="EN10">IFERROR(IF(SUMPRODUCT((INPUT!$T$3:$T$3000=46066)*(INPUT!$U$3:$U$3000="HARRISON"))=0,"",SUMPRODUCT((INPUT!$T$3:$T$3000=46066)*(INPUT!$U$3:$U$3000="HARRISON")*(INPUT!$V$3:$V$3000+INPUT!$W$3:$W$3000+INPUT!$X$3:$X$3000+INPUT!$Y$3:$Y$3000))),"")</f>
        <v>16</v>
      </c>
      <c r="EO10" s="42" cm="1">
        <f t="array" ref="EO10">IFERROR(IF(SUMPRODUCT((INPUT!$T$3:$T$3000=46067)*(INPUT!$U$3:$U$3000="HARRISON"))=0,"",SUMPRODUCT((INPUT!$T$3:$T$3000=46067)*(INPUT!$U$3:$U$3000="HARRISON")*(INPUT!$V$3:$V$3000+INPUT!$W$3:$W$3000+INPUT!$X$3:$X$3000+INPUT!$Y$3:$Y$3000))),"")</f>
        <v>18</v>
      </c>
      <c r="EP10" s="42" cm="1">
        <f t="array" ref="EP10">IFERROR(IF(SUMPRODUCT((INPUT!$T$3:$T$3000=46069)*(INPUT!$U$3:$U$3000="HARRISON"))=0,"",SUMPRODUCT((INPUT!$T$3:$T$3000=46069)*(INPUT!$U$3:$U$3000="HARRISON")*(INPUT!$V$3:$V$3000+INPUT!$W$3:$W$3000+INPUT!$X$3:$X$3000+INPUT!$Y$3:$Y$3000))),"")</f>
        <v>14</v>
      </c>
      <c r="EQ10" s="42" cm="1">
        <f t="array" ref="EQ10">IFERROR(IF(SUMPRODUCT((INPUT!$T$3:$T$3000=46072)*(INPUT!$U$3:$U$3000="HARRISON"))=0,"",SUMPRODUCT((INPUT!$T$3:$T$3000=46072)*(INPUT!$U$3:$U$3000="HARRISON")*(INPUT!$V$3:$V$3000+INPUT!$W$3:$W$3000+INPUT!$X$3:$X$3000+INPUT!$Y$3:$Y$3000))),"")</f>
        <v>16</v>
      </c>
      <c r="ER10" s="42" cm="1">
        <f t="array" ref="ER10">IFERROR(IF(SUMPRODUCT((INPUT!$T$3:$T$3000=46073)*(INPUT!$U$3:$U$3000="HARRISON"))=0,"",SUMPRODUCT((INPUT!$T$3:$T$3000=46073)*(INPUT!$U$3:$U$3000="HARRISON")*(INPUT!$V$3:$V$3000+INPUT!$W$3:$W$3000+INPUT!$X$3:$X$3000+INPUT!$Y$3:$Y$3000))),"")</f>
        <v>15</v>
      </c>
      <c r="ES10" s="42" cm="1">
        <f t="array" ref="ES10">IFERROR(IF(SUMPRODUCT((INPUT!$T$3:$T$3000=46076)*(INPUT!$U$3:$U$3000="HARRISON"))=0,"",SUMPRODUCT((INPUT!$T$3:$T$3000=46076)*(INPUT!$U$3:$U$3000="HARRISON")*(INPUT!$V$3:$V$3000+INPUT!$W$3:$W$3000+INPUT!$X$3:$X$3000+INPUT!$Y$3:$Y$3000))),"")</f>
        <v>16</v>
      </c>
      <c r="ET10" s="42" cm="1">
        <f t="array" ref="ET10">IFERROR(IF(SUMPRODUCT((INPUT!$T$3:$T$3000=46077)*(INPUT!$U$3:$U$3000="HARRISON"))=0,"",SUMPRODUCT((INPUT!$T$3:$T$3000=46077)*(INPUT!$U$3:$U$3000="HARRISON")*(INPUT!$V$3:$V$3000+INPUT!$W$3:$W$3000+INPUT!$X$3:$X$3000+INPUT!$Y$3:$Y$3000))),"")</f>
        <v>17</v>
      </c>
      <c r="EU10" s="42" cm="1">
        <f t="array" ref="EU10">IFERROR(IF(SUMPRODUCT((INPUT!$T$3:$T$3000=46078)*(INPUT!$U$3:$U$3000="HARRISON"))=0,"",SUMPRODUCT((INPUT!$T$3:$T$3000=46078)*(INPUT!$U$3:$U$3000="HARRISON")*(INPUT!$V$3:$V$3000+INPUT!$W$3:$W$3000+INPUT!$X$3:$X$3000+INPUT!$Y$3:$Y$3000))),"")</f>
        <v>17</v>
      </c>
      <c r="EV10" s="42" cm="1">
        <f t="array" ref="EV10">IFERROR(IF(SUMPRODUCT((INPUT!$T$3:$T$3000=46079)*(INPUT!$U$3:$U$3000="HARRISON"))=0,"",SUMPRODUCT((INPUT!$T$3:$T$3000=46079)*(INPUT!$U$3:$U$3000="HARRISON")*(INPUT!$V$3:$V$3000+INPUT!$W$3:$W$3000+INPUT!$X$3:$X$3000+INPUT!$Y$3:$Y$3000))),"")</f>
        <v>12</v>
      </c>
      <c r="EW10" s="42" cm="1">
        <f t="array" ref="EW10">IFERROR(IF(SUMPRODUCT((INPUT!$T$3:$T$3000=46080)*(INPUT!$U$3:$U$3000="HARRISON"))=0,"",SUMPRODUCT((INPUT!$T$3:$T$3000=46080)*(INPUT!$U$3:$U$3000="HARRISON")*(INPUT!$V$3:$V$3000+INPUT!$W$3:$W$3000+INPUT!$X$3:$X$3000+INPUT!$Y$3:$Y$3000))),"")</f>
        <v>10</v>
      </c>
      <c r="EX10" s="42" cm="1">
        <f t="array" ref="EX10">IFERROR(IF(SUMPRODUCT((INPUT!$T$3:$T$3000=46082)*(INPUT!$U$3:$U$3000="HARRISON"))=0,"",SUMPRODUCT((INPUT!$T$3:$T$3000=46082)*(INPUT!$U$3:$U$3000="HARRISON")*(INPUT!$V$3:$V$3000+INPUT!$W$3:$W$3000+INPUT!$X$3:$X$3000+INPUT!$Y$3:$Y$3000))),"")</f>
        <v>17</v>
      </c>
      <c r="EY10" s="42" cm="1">
        <f t="array" ref="EY10">IFERROR(IF(SUMPRODUCT((INPUT!$T$3:$T$3000=46084)*(INPUT!$U$3:$U$3000="HARRISON"))=0,"",SUMPRODUCT((INPUT!$T$3:$T$3000=46084)*(INPUT!$U$3:$U$3000="HARRISON")*(INPUT!$V$3:$V$3000+INPUT!$W$3:$W$3000+INPUT!$X$3:$X$3000+INPUT!$Y$3:$Y$3000))),"")</f>
        <v>15</v>
      </c>
      <c r="EZ10" s="42" cm="1">
        <f t="array" ref="EZ10">IFERROR(IF(SUMPRODUCT((INPUT!$T$3:$T$3000=46085)*(INPUT!$U$3:$U$3000="HARRISON"))=0,"",SUMPRODUCT((INPUT!$T$3:$T$3000=46085)*(INPUT!$U$3:$U$3000="HARRISON")*(INPUT!$V$3:$V$3000+INPUT!$W$3:$W$3000+INPUT!$X$3:$X$3000+INPUT!$Y$3:$Y$3000))),"")</f>
        <v>15</v>
      </c>
      <c r="FA10" s="42" cm="1">
        <f t="array" ref="FA10">IFERROR(IF(SUMPRODUCT((INPUT!$T$3:$T$3000=46086)*(INPUT!$U$3:$U$3000="HARRISON"))=0,"",SUMPRODUCT((INPUT!$T$3:$T$3000=46086)*(INPUT!$U$3:$U$3000="HARRISON")*(INPUT!$V$3:$V$3000+INPUT!$W$3:$W$3000+INPUT!$X$3:$X$3000+INPUT!$Y$3:$Y$3000))),"")</f>
        <v>19</v>
      </c>
      <c r="FB10" s="42" cm="1">
        <f t="array" ref="FB10">IFERROR(IF(SUMPRODUCT((INPUT!$T$3:$T$3000=46087)*(INPUT!$U$3:$U$3000="HARRISON"))=0,"",SUMPRODUCT((INPUT!$T$3:$T$3000=46087)*(INPUT!$U$3:$U$3000="HARRISON")*(INPUT!$V$3:$V$3000+INPUT!$W$3:$W$3000+INPUT!$X$3:$X$3000+INPUT!$Y$3:$Y$3000))),"")</f>
        <v>20</v>
      </c>
      <c r="FC10" s="42" cm="1">
        <f t="array" ref="FC10">IFERROR(IF(SUMPRODUCT((INPUT!$T$3:$T$3000=46090)*(INPUT!$U$3:$U$3000="HARRISON"))=0,"",SUMPRODUCT((INPUT!$T$3:$T$3000=46090)*(INPUT!$U$3:$U$3000="HARRISON")*(INPUT!$V$3:$V$3000+INPUT!$W$3:$W$3000+INPUT!$X$3:$X$3000+INPUT!$Y$3:$Y$3000))),"")</f>
        <v>15</v>
      </c>
      <c r="FD10" s="42" cm="1">
        <f t="array" ref="FD10">IFERROR(IF(SUMPRODUCT((INPUT!$T$3:$T$3000=46091)*(INPUT!$U$3:$U$3000="HARRISON"))=0,"",SUMPRODUCT((INPUT!$T$3:$T$3000=46091)*(INPUT!$U$3:$U$3000="HARRISON")*(INPUT!$V$3:$V$3000+INPUT!$W$3:$W$3000+INPUT!$X$3:$X$3000+INPUT!$Y$3:$Y$3000))),"")</f>
        <v>15</v>
      </c>
      <c r="FE10" s="42" cm="1">
        <f t="array" ref="FE10">IFERROR(IF(SUMPRODUCT((INPUT!$T$3:$T$3000=46092)*(INPUT!$U$3:$U$3000="HARRISON"))=0,"",SUMPRODUCT((INPUT!$T$3:$T$3000=46092)*(INPUT!$U$3:$U$3000="HARRISON")*(INPUT!$V$3:$V$3000+INPUT!$W$3:$W$3000+INPUT!$X$3:$X$3000+INPUT!$Y$3:$Y$3000))),"")</f>
        <v>18</v>
      </c>
      <c r="FF10" s="42" cm="1">
        <f t="array" ref="FF10">IFERROR(IF(SUMPRODUCT((INPUT!$T$3:$T$3000=46093)*(INPUT!$U$3:$U$3000="HARRISON"))=0,"",SUMPRODUCT((INPUT!$T$3:$T$3000=46093)*(INPUT!$U$3:$U$3000="HARRISON")*(INPUT!$V$3:$V$3000+INPUT!$W$3:$W$3000+INPUT!$X$3:$X$3000+INPUT!$Y$3:$Y$3000))),"")</f>
        <v>20</v>
      </c>
      <c r="FG10" s="42" cm="1">
        <f t="array" ref="FG10">IFERROR(IF(SUMPRODUCT((INPUT!$T$3:$T$3000=46094)*(INPUT!$U$3:$U$3000="HARRISON"))=0,"",SUMPRODUCT((INPUT!$T$3:$T$3000=46094)*(INPUT!$U$3:$U$3000="HARRISON")*(INPUT!$V$3:$V$3000+INPUT!$W$3:$W$3000+INPUT!$X$3:$X$3000+INPUT!$Y$3:$Y$3000))),"")</f>
        <v>20</v>
      </c>
      <c r="FH10" s="42" cm="1">
        <f t="array" ref="FH10">IFERROR(IF(SUMPRODUCT((INPUT!$T$3:$T$3000=46096)*(INPUT!$U$3:$U$3000="HARRISON"))=0,"",SUMPRODUCT((INPUT!$T$3:$T$3000=46096)*(INPUT!$U$3:$U$3000="HARRISON")*(INPUT!$V$3:$V$3000+INPUT!$W$3:$W$3000+INPUT!$X$3:$X$3000+INPUT!$Y$3:$Y$3000))),"")</f>
        <v>20</v>
      </c>
      <c r="FI10" s="42" cm="1">
        <f t="array" ref="FI10">IFERROR(IF(SUMPRODUCT((INPUT!$T$3:$T$3000=46097)*(INPUT!$U$3:$U$3000="HARRISON"))=0,"",SUMPRODUCT((INPUT!$T$3:$T$3000=46097)*(INPUT!$U$3:$U$3000="HARRISON")*(INPUT!$V$3:$V$3000+INPUT!$W$3:$W$3000+INPUT!$X$3:$X$3000+INPUT!$Y$3:$Y$3000))),"")</f>
        <v>17</v>
      </c>
      <c r="FJ10" s="42" cm="1">
        <f t="array" ref="FJ10">IFERROR(IF(SUMPRODUCT((INPUT!$T$3:$T$3000=46098)*(INPUT!$U$3:$U$3000="HARRISON"))=0,"",SUMPRODUCT((INPUT!$T$3:$T$3000=46098)*(INPUT!$U$3:$U$3000="HARRISON")*(INPUT!$V$3:$V$3000+INPUT!$W$3:$W$3000+INPUT!$X$3:$X$3000+INPUT!$Y$3:$Y$3000))),"")</f>
        <v>15</v>
      </c>
      <c r="FK10" s="42" cm="1">
        <f t="array" ref="FK10">IFERROR(IF(SUMPRODUCT((INPUT!$T$3:$T$3000=46099)*(INPUT!$U$3:$U$3000="HARRISON"))=0,"",SUMPRODUCT((INPUT!$T$3:$T$3000=46099)*(INPUT!$U$3:$U$3000="HARRISON")*(INPUT!$V$3:$V$3000+INPUT!$W$3:$W$3000+INPUT!$X$3:$X$3000+INPUT!$Y$3:$Y$3000))),"")</f>
        <v>20</v>
      </c>
      <c r="FL10" s="42" cm="1">
        <f t="array" ref="FL10">IFERROR(IF(SUMPRODUCT((INPUT!$T$3:$T$3000=46102)*(INPUT!$U$3:$U$3000="HARRISON"))=0,"",SUMPRODUCT((INPUT!$T$3:$T$3000=46102)*(INPUT!$U$3:$U$3000="HARRISON")*(INPUT!$V$3:$V$3000+INPUT!$W$3:$W$3000+INPUT!$X$3:$X$3000+INPUT!$Y$3:$Y$3000))),"")</f>
        <v>20</v>
      </c>
      <c r="FM10" s="42" cm="1">
        <f t="array" ref="FM10">IFERROR(IF(SUMPRODUCT((INPUT!$T$3:$T$3000=46105)*(INPUT!$U$3:$U$3000="HARRISON"))=0,"",SUMPRODUCT((INPUT!$T$3:$T$3000=46105)*(INPUT!$U$3:$U$3000="HARRISON")*(INPUT!$V$3:$V$3000+INPUT!$W$3:$W$3000+INPUT!$X$3:$X$3000+INPUT!$Y$3:$Y$3000))),"")</f>
        <v>16</v>
      </c>
      <c r="FN10" s="42" cm="1">
        <f t="array" ref="FN10">IFERROR(IF(SUMPRODUCT((INPUT!$T$3:$T$3000=46106)*(INPUT!$U$3:$U$3000="HARRISON"))=0,"",SUMPRODUCT((INPUT!$T$3:$T$3000=46106)*(INPUT!$U$3:$U$3000="HARRISON")*(INPUT!$V$3:$V$3000+INPUT!$W$3:$W$3000+INPUT!$X$3:$X$3000+INPUT!$Y$3:$Y$3000))),"")</f>
        <v>20</v>
      </c>
      <c r="FO10" s="42" cm="1">
        <f t="array" ref="FO10">IFERROR(IF(SUMPRODUCT((INPUT!$T$3:$T$3000=46107)*(INPUT!$U$3:$U$3000="HARRISON"))=0,"",SUMPRODUCT((INPUT!$T$3:$T$3000=46107)*(INPUT!$U$3:$U$3000="HARRISON")*(INPUT!$V$3:$V$3000+INPUT!$W$3:$W$3000+INPUT!$X$3:$X$3000+INPUT!$Y$3:$Y$3000))),"")</f>
        <v>20</v>
      </c>
      <c r="FP10" s="42" cm="1">
        <f t="array" ref="FP10">IFERROR(IF(SUMPRODUCT((INPUT!$T$3:$T$3000=46108)*(INPUT!$U$3:$U$3000="HARRISON"))=0,"",SUMPRODUCT((INPUT!$T$3:$T$3000=46108)*(INPUT!$U$3:$U$3000="HARRISON")*(INPUT!$V$3:$V$3000+INPUT!$W$3:$W$3000+INPUT!$X$3:$X$3000+INPUT!$Y$3:$Y$3000))),"")</f>
        <v>20</v>
      </c>
      <c r="FQ10" s="42" cm="1">
        <f t="array" ref="FQ10">IFERROR(IF(SUMPRODUCT((INPUT!$T$3:$T$3000=46109)*(INPUT!$U$3:$U$3000="HARRISON"))=0,"",SUMPRODUCT((INPUT!$T$3:$T$3000=46109)*(INPUT!$U$3:$U$3000="HARRISON")*(INPUT!$V$3:$V$3000+INPUT!$W$3:$W$3000+INPUT!$X$3:$X$3000+INPUT!$Y$3:$Y$3000))),"")</f>
        <v>20</v>
      </c>
      <c r="FR10" s="42" cm="1">
        <f t="array" ref="FR10">IFERROR(IF(SUMPRODUCT((INPUT!$T$3:$T$3000=46111)*(INPUT!$U$3:$U$3000="HARRISON"))=0,"",SUMPRODUCT((INPUT!$T$3:$T$3000=46111)*(INPUT!$U$3:$U$3000="HARRISON")*(INPUT!$V$3:$V$3000+INPUT!$W$3:$W$3000+INPUT!$X$3:$X$3000+INPUT!$Y$3:$Y$3000))),"")</f>
        <v>14</v>
      </c>
      <c r="FS10" s="42" cm="1">
        <f t="array" ref="FS10">IFERROR(IF(SUMPRODUCT((INPUT!$T$3:$T$3000=46112)*(INPUT!$U$3:$U$3000="HARRISON"))=0,"",SUMPRODUCT((INPUT!$T$3:$T$3000=46112)*(INPUT!$U$3:$U$3000="HARRISON")*(INPUT!$V$3:$V$3000+INPUT!$W$3:$W$3000+INPUT!$X$3:$X$3000+INPUT!$Y$3:$Y$3000))),"")</f>
        <v>16</v>
      </c>
      <c r="FT10" s="42" cm="1">
        <f t="array" ref="FT10">IFERROR(IF(SUMPRODUCT((INPUT!$T$3:$T$3000=46113)*(INPUT!$U$3:$U$3000="HARRISON"))=0,"",SUMPRODUCT((INPUT!$T$3:$T$3000=46113)*(INPUT!$U$3:$U$3000="HARRISON")*(INPUT!$V$3:$V$3000+INPUT!$W$3:$W$3000+INPUT!$X$3:$X$3000+INPUT!$Y$3:$Y$3000))),"")</f>
        <v>20</v>
      </c>
      <c r="FU10" s="42" cm="1">
        <f t="array" ref="FU10">IFERROR(IF(SUMPRODUCT((INPUT!$T$3:$T$3000=46114)*(INPUT!$U$3:$U$3000="HARRISON"))=0,"",SUMPRODUCT((INPUT!$T$3:$T$3000=46114)*(INPUT!$U$3:$U$3000="HARRISON")*(INPUT!$V$3:$V$3000+INPUT!$W$3:$W$3000+INPUT!$X$3:$X$3000+INPUT!$Y$3:$Y$3000))),"")</f>
        <v>18</v>
      </c>
      <c r="FV10" s="42" cm="1">
        <f t="array" ref="FV10">IFERROR(IF(SUMPRODUCT((INPUT!$T$3:$T$3000=46115)*(INPUT!$U$3:$U$3000="HARRISON"))=0,"",SUMPRODUCT((INPUT!$T$3:$T$3000=46115)*(INPUT!$U$3:$U$3000="HARRISON")*(INPUT!$V$3:$V$3000+INPUT!$W$3:$W$3000+INPUT!$X$3:$X$3000+INPUT!$Y$3:$Y$3000))),"")</f>
        <v>18</v>
      </c>
      <c r="FW10" s="42" cm="1">
        <f t="array" ref="FW10">IFERROR(IF(SUMPRODUCT((INPUT!$T$3:$T$3000=46116)*(INPUT!$U$3:$U$3000="HARRISON"))=0,"",SUMPRODUCT((INPUT!$T$3:$T$3000=46116)*(INPUT!$U$3:$U$3000="HARRISON")*(INPUT!$V$3:$V$3000+INPUT!$W$3:$W$3000+INPUT!$X$3:$X$3000+INPUT!$Y$3:$Y$3000))),"")</f>
        <v>20</v>
      </c>
      <c r="FX10" s="42" cm="1">
        <f t="array" ref="FX10">IFERROR(IF(SUMPRODUCT((INPUT!$T$3:$T$3000=46118)*(INPUT!$U$3:$U$3000="HARRISON"))=0,"",SUMPRODUCT((INPUT!$T$3:$T$3000=46118)*(INPUT!$U$3:$U$3000="HARRISON")*(INPUT!$V$3:$V$3000+INPUT!$W$3:$W$3000+INPUT!$X$3:$X$3000+INPUT!$Y$3:$Y$3000))),"")</f>
        <v>16</v>
      </c>
      <c r="FY10" s="42" cm="1">
        <f t="array" ref="FY10">IFERROR(IF(SUMPRODUCT((INPUT!$T$3:$T$3000=46119)*(INPUT!$U$3:$U$3000="HARRISON"))=0,"",SUMPRODUCT((INPUT!$T$3:$T$3000=46119)*(INPUT!$U$3:$U$3000="HARRISON")*(INPUT!$V$3:$V$3000+INPUT!$W$3:$W$3000+INPUT!$X$3:$X$3000+INPUT!$Y$3:$Y$3000))),"")</f>
        <v>19</v>
      </c>
      <c r="FZ10" s="42" cm="1">
        <f t="array" ref="FZ10">IFERROR(IF(SUMPRODUCT((INPUT!$T$3:$T$3000=46120)*(INPUT!$U$3:$U$3000="HARRISON"))=0,"",SUMPRODUCT((INPUT!$T$3:$T$3000=46120)*(INPUT!$U$3:$U$3000="HARRISON")*(INPUT!$V$3:$V$3000+INPUT!$W$3:$W$3000+INPUT!$X$3:$X$3000+INPUT!$Y$3:$Y$3000))),"")</f>
        <v>13</v>
      </c>
      <c r="GA10" s="42" cm="1">
        <f t="array" ref="GA10">IFERROR(IF(SUMPRODUCT((INPUT!$T$3:$T$3000=46121)*(INPUT!$U$3:$U$3000="HARRISON"))=0,"",SUMPRODUCT((INPUT!$T$3:$T$3000=46121)*(INPUT!$U$3:$U$3000="HARRISON")*(INPUT!$V$3:$V$3000+INPUT!$W$3:$W$3000+INPUT!$X$3:$X$3000+INPUT!$Y$3:$Y$3000))),"")</f>
        <v>20</v>
      </c>
      <c r="GB10" s="42" cm="1">
        <f t="array" ref="GB10">IFERROR(IF(SUMPRODUCT((INPUT!$T$3:$T$3000=46122)*(INPUT!$U$3:$U$3000="HARRISON"))=0,"",SUMPRODUCT((INPUT!$T$3:$T$3000=46122)*(INPUT!$U$3:$U$3000="HARRISON")*(INPUT!$V$3:$V$3000+INPUT!$W$3:$W$3000+INPUT!$X$3:$X$3000+INPUT!$Y$3:$Y$3000))),"")</f>
        <v>20</v>
      </c>
      <c r="GC10" s="42" cm="1">
        <f t="array" ref="GC10">IFERROR(IF(SUMPRODUCT((INPUT!$T$3:$T$3000=46125)*(INPUT!$U$3:$U$3000="HARRISON"))=0,"",SUMPRODUCT((INPUT!$T$3:$T$3000=46125)*(INPUT!$U$3:$U$3000="HARRISON")*(INPUT!$V$3:$V$3000+INPUT!$W$3:$W$3000+INPUT!$X$3:$X$3000+INPUT!$Y$3:$Y$3000))),"")</f>
        <v>18</v>
      </c>
      <c r="GD10" s="42" cm="1">
        <f t="array" ref="GD10">IFERROR(IF(SUMPRODUCT((INPUT!$T$3:$T$3000=46126)*(INPUT!$U$3:$U$3000="HARRISON"))=0,"",SUMPRODUCT((INPUT!$T$3:$T$3000=46126)*(INPUT!$U$3:$U$3000="HARRISON")*(INPUT!$V$3:$V$3000+INPUT!$W$3:$W$3000+INPUT!$X$3:$X$3000+INPUT!$Y$3:$Y$3000))),"")</f>
        <v>19</v>
      </c>
      <c r="GE10" s="42" cm="1">
        <f t="array" ref="GE10">IFERROR(IF(SUMPRODUCT((INPUT!$T$3:$T$3000=46127)*(INPUT!$U$3:$U$3000="HARRISON"))=0,"",SUMPRODUCT((INPUT!$T$3:$T$3000=46127)*(INPUT!$U$3:$U$3000="HARRISON")*(INPUT!$V$3:$V$3000+INPUT!$W$3:$W$3000+INPUT!$X$3:$X$3000+INPUT!$Y$3:$Y$3000))),"")</f>
        <v>15</v>
      </c>
      <c r="GF10" s="42" cm="1">
        <f t="array" ref="GF10">IFERROR(IF(SUMPRODUCT((INPUT!$T$3:$T$3000=46128)*(INPUT!$U$3:$U$3000="HARRISON"))=0,"",SUMPRODUCT((INPUT!$T$3:$T$3000=46128)*(INPUT!$U$3:$U$3000="HARRISON")*(INPUT!$V$3:$V$3000+INPUT!$W$3:$W$3000+INPUT!$X$3:$X$3000+INPUT!$Y$3:$Y$3000))),"")</f>
        <v>15</v>
      </c>
      <c r="GG10" s="42" cm="1">
        <f t="array" ref="GG10">IFERROR(IF(SUMPRODUCT((INPUT!$T$3:$T$3000=46129)*(INPUT!$U$3:$U$3000="HARRISON"))=0,"",SUMPRODUCT((INPUT!$T$3:$T$3000=46129)*(INPUT!$U$3:$U$3000="HARRISON")*(INPUT!$V$3:$V$3000+INPUT!$W$3:$W$3000+INPUT!$X$3:$X$3000+INPUT!$Y$3:$Y$3000))),"")</f>
        <v>17</v>
      </c>
      <c r="GH10" s="42" cm="1">
        <f t="array" ref="GH10">IFERROR(IF(SUMPRODUCT((INPUT!$T$3:$T$3000=46130)*(INPUT!$U$3:$U$3000="HARRISON"))=0,"",SUMPRODUCT((INPUT!$T$3:$T$3000=46130)*(INPUT!$U$3:$U$3000="HARRISON")*(INPUT!$V$3:$V$3000+INPUT!$W$3:$W$3000+INPUT!$X$3:$X$3000+INPUT!$Y$3:$Y$3000))),"")</f>
        <v>20</v>
      </c>
      <c r="GI10" s="42" cm="1">
        <f t="array" ref="GI10">IFERROR(IF(SUMPRODUCT((INPUT!$T$3:$T$3000=46132)*(INPUT!$U$3:$U$3000="HARRISON"))=0,"",SUMPRODUCT((INPUT!$T$3:$T$3000=46132)*(INPUT!$U$3:$U$3000="HARRISON")*(INPUT!$V$3:$V$3000+INPUT!$W$3:$W$3000+INPUT!$X$3:$X$3000+INPUT!$Y$3:$Y$3000))),"")</f>
        <v>18</v>
      </c>
    </row>
    <row r="11" spans="1:191" x14ac:dyDescent="0.2">
      <c r="A11" t="s">
        <v>41</v>
      </c>
      <c r="B11" s="42" cm="1">
        <f t="array" ref="B11">IFERROR(IF(SUMPRODUCT((INPUT!$T$3:$T$3000=45868)*(INPUT!$U$3:$U$3000="HERRERO"))=0,"",SUMPRODUCT((INPUT!$T$3:$T$3000=45868)*(INPUT!$U$3:$U$3000="HERRERO")*(INPUT!$V$3:$V$3000+INPUT!$W$3:$W$3000+INPUT!$X$3:$X$3000+INPUT!$Y$3:$Y$3000))),"")</f>
        <v>8</v>
      </c>
      <c r="C11" s="42" cm="1">
        <f t="array" ref="C11">IFERROR(IF(SUMPRODUCT((INPUT!$T$3:$T$3000=45869)*(INPUT!$U$3:$U$3000="HERRERO"))=0,"",SUMPRODUCT((INPUT!$T$3:$T$3000=45869)*(INPUT!$U$3:$U$3000="HERRERO")*(INPUT!$V$3:$V$3000+INPUT!$W$3:$W$3000+INPUT!$X$3:$X$3000+INPUT!$Y$3:$Y$3000))),"")</f>
        <v>6</v>
      </c>
      <c r="D11" s="42" cm="1">
        <f t="array" ref="D11">IFERROR(IF(SUMPRODUCT((INPUT!$T$3:$T$3000=45870)*(INPUT!$U$3:$U$3000="HERRERO"))=0,"",SUMPRODUCT((INPUT!$T$3:$T$3000=45870)*(INPUT!$U$3:$U$3000="HERRERO")*(INPUT!$V$3:$V$3000+INPUT!$W$3:$W$3000+INPUT!$X$3:$X$3000+INPUT!$Y$3:$Y$3000))),"")</f>
        <v>4</v>
      </c>
      <c r="E11" s="42" cm="1">
        <f t="array" ref="E11">IFERROR(IF(SUMPRODUCT((INPUT!$T$3:$T$3000=45873)*(INPUT!$U$3:$U$3000="HERRERO"))=0,"",SUMPRODUCT((INPUT!$T$3:$T$3000=45873)*(INPUT!$U$3:$U$3000="HERRERO")*(INPUT!$V$3:$V$3000+INPUT!$W$3:$W$3000+INPUT!$X$3:$X$3000+INPUT!$Y$3:$Y$3000))),"")</f>
        <v>8</v>
      </c>
      <c r="F11" s="42" cm="1">
        <f t="array" ref="F11">IFERROR(IF(SUMPRODUCT((INPUT!$T$3:$T$3000=45874)*(INPUT!$U$3:$U$3000="HERRERO"))=0,"",SUMPRODUCT((INPUT!$T$3:$T$3000=45874)*(INPUT!$U$3:$U$3000="HERRERO")*(INPUT!$V$3:$V$3000+INPUT!$W$3:$W$3000+INPUT!$X$3:$X$3000+INPUT!$Y$3:$Y$3000))),"")</f>
        <v>8</v>
      </c>
      <c r="G11" s="42" cm="1">
        <f t="array" ref="G11">IFERROR(IF(SUMPRODUCT((INPUT!$T$3:$T$3000=45875)*(INPUT!$U$3:$U$3000="HERRERO"))=0,"",SUMPRODUCT((INPUT!$T$3:$T$3000=45875)*(INPUT!$U$3:$U$3000="HERRERO")*(INPUT!$V$3:$V$3000+INPUT!$W$3:$W$3000+INPUT!$X$3:$X$3000+INPUT!$Y$3:$Y$3000))),"")</f>
        <v>7</v>
      </c>
      <c r="H11" s="42" cm="1">
        <f t="array" ref="H11">IFERROR(IF(SUMPRODUCT((INPUT!$T$3:$T$3000=45876)*(INPUT!$U$3:$U$3000="HERRERO"))=0,"",SUMPRODUCT((INPUT!$T$3:$T$3000=45876)*(INPUT!$U$3:$U$3000="HERRERO")*(INPUT!$V$3:$V$3000+INPUT!$W$3:$W$3000+INPUT!$X$3:$X$3000+INPUT!$Y$3:$Y$3000))),"")</f>
        <v>8</v>
      </c>
      <c r="I11" s="42" cm="1">
        <f t="array" ref="I11">IFERROR(IF(SUMPRODUCT((INPUT!$T$3:$T$3000=45877)*(INPUT!$U$3:$U$3000="HERRERO"))=0,"",SUMPRODUCT((INPUT!$T$3:$T$3000=45877)*(INPUT!$U$3:$U$3000="HERRERO")*(INPUT!$V$3:$V$3000+INPUT!$W$3:$W$3000+INPUT!$X$3:$X$3000+INPUT!$Y$3:$Y$3000))),"")</f>
        <v>7</v>
      </c>
      <c r="J11" s="42" cm="1">
        <f t="array" ref="J11">IFERROR(IF(SUMPRODUCT((INPUT!$T$3:$T$3000=45878)*(INPUT!$U$3:$U$3000="HERRERO"))=0,"",SUMPRODUCT((INPUT!$T$3:$T$3000=45878)*(INPUT!$U$3:$U$3000="HERRERO")*(INPUT!$V$3:$V$3000+INPUT!$W$3:$W$3000+INPUT!$X$3:$X$3000+INPUT!$Y$3:$Y$3000))),"")</f>
        <v>7</v>
      </c>
      <c r="K11" s="42" cm="1">
        <f t="array" ref="K11">IFERROR(IF(SUMPRODUCT((INPUT!$T$3:$T$3000=45880)*(INPUT!$U$3:$U$3000="HERRERO"))=0,"",SUMPRODUCT((INPUT!$T$3:$T$3000=45880)*(INPUT!$U$3:$U$3000="HERRERO")*(INPUT!$V$3:$V$3000+INPUT!$W$3:$W$3000+INPUT!$X$3:$X$3000+INPUT!$Y$3:$Y$3000))),"")</f>
        <v>8</v>
      </c>
      <c r="L11" s="42" cm="1">
        <f t="array" ref="L11">IFERROR(IF(SUMPRODUCT((INPUT!$T$3:$T$3000=45881)*(INPUT!$U$3:$U$3000="HERRERO"))=0,"",SUMPRODUCT((INPUT!$T$3:$T$3000=45881)*(INPUT!$U$3:$U$3000="HERRERO")*(INPUT!$V$3:$V$3000+INPUT!$W$3:$W$3000+INPUT!$X$3:$X$3000+INPUT!$Y$3:$Y$3000))),"")</f>
        <v>8</v>
      </c>
      <c r="M11" s="42" cm="1">
        <f t="array" ref="M11">IFERROR(IF(SUMPRODUCT((INPUT!$T$3:$T$3000=45882)*(INPUT!$U$3:$U$3000="HERRERO"))=0,"",SUMPRODUCT((INPUT!$T$3:$T$3000=45882)*(INPUT!$U$3:$U$3000="HERRERO")*(INPUT!$V$3:$V$3000+INPUT!$W$3:$W$3000+INPUT!$X$3:$X$3000+INPUT!$Y$3:$Y$3000))),"")</f>
        <v>6</v>
      </c>
      <c r="N11" s="42" cm="1">
        <f t="array" ref="N11">IFERROR(IF(SUMPRODUCT((INPUT!$T$3:$T$3000=45883)*(INPUT!$U$3:$U$3000="HERRERO"))=0,"",SUMPRODUCT((INPUT!$T$3:$T$3000=45883)*(INPUT!$U$3:$U$3000="HERRERO")*(INPUT!$V$3:$V$3000+INPUT!$W$3:$W$3000+INPUT!$X$3:$X$3000+INPUT!$Y$3:$Y$3000))),"")</f>
        <v>5</v>
      </c>
      <c r="O11" s="42" cm="1">
        <f t="array" ref="O11">IFERROR(IF(SUMPRODUCT((INPUT!$T$3:$T$3000=45884)*(INPUT!$U$3:$U$3000="HERRERO"))=0,"",SUMPRODUCT((INPUT!$T$3:$T$3000=45884)*(INPUT!$U$3:$U$3000="HERRERO")*(INPUT!$V$3:$V$3000+INPUT!$W$3:$W$3000+INPUT!$X$3:$X$3000+INPUT!$Y$3:$Y$3000))),"")</f>
        <v>6</v>
      </c>
      <c r="P11" s="42" cm="1">
        <f t="array" ref="P11">IFERROR(IF(SUMPRODUCT((INPUT!$T$3:$T$3000=45887)*(INPUT!$U$3:$U$3000="HERRERO"))=0,"",SUMPRODUCT((INPUT!$T$3:$T$3000=45887)*(INPUT!$U$3:$U$3000="HERRERO")*(INPUT!$V$3:$V$3000+INPUT!$W$3:$W$3000+INPUT!$X$3:$X$3000+INPUT!$Y$3:$Y$3000))),"")</f>
        <v>6</v>
      </c>
      <c r="Q11" s="42" cm="1">
        <f t="array" ref="Q11">IFERROR(IF(SUMPRODUCT((INPUT!$T$3:$T$3000=45888)*(INPUT!$U$3:$U$3000="HERRERO"))=0,"",SUMPRODUCT((INPUT!$T$3:$T$3000=45888)*(INPUT!$U$3:$U$3000="HERRERO")*(INPUT!$V$3:$V$3000+INPUT!$W$3:$W$3000+INPUT!$X$3:$X$3000+INPUT!$Y$3:$Y$3000))),"")</f>
        <v>6</v>
      </c>
      <c r="R11" s="42" cm="1">
        <f t="array" ref="R11">IFERROR(IF(SUMPRODUCT((INPUT!$T$3:$T$3000=45889)*(INPUT!$U$3:$U$3000="HERRERO"))=0,"",SUMPRODUCT((INPUT!$T$3:$T$3000=45889)*(INPUT!$U$3:$U$3000="HERRERO")*(INPUT!$V$3:$V$3000+INPUT!$W$3:$W$3000+INPUT!$X$3:$X$3000+INPUT!$Y$3:$Y$3000))),"")</f>
        <v>7</v>
      </c>
      <c r="S11" s="42" cm="1">
        <f t="array" ref="S11">IFERROR(IF(SUMPRODUCT((INPUT!$T$3:$T$3000=45890)*(INPUT!$U$3:$U$3000="HERRERO"))=0,"",SUMPRODUCT((INPUT!$T$3:$T$3000=45890)*(INPUT!$U$3:$U$3000="HERRERO")*(INPUT!$V$3:$V$3000+INPUT!$W$3:$W$3000+INPUT!$X$3:$X$3000+INPUT!$Y$3:$Y$3000))),"")</f>
        <v>5</v>
      </c>
      <c r="T11" s="42" cm="1">
        <f t="array" ref="T11">IFERROR(IF(SUMPRODUCT((INPUT!$T$3:$T$3000=45891)*(INPUT!$U$3:$U$3000="HERRERO"))=0,"",SUMPRODUCT((INPUT!$T$3:$T$3000=45891)*(INPUT!$U$3:$U$3000="HERRERO")*(INPUT!$V$3:$V$3000+INPUT!$W$3:$W$3000+INPUT!$X$3:$X$3000+INPUT!$Y$3:$Y$3000))),"")</f>
        <v>6</v>
      </c>
      <c r="U11" s="42" cm="1">
        <f t="array" ref="U11">IFERROR(IF(SUMPRODUCT((INPUT!$T$3:$T$3000=45892)*(INPUT!$U$3:$U$3000="HERRERO"))=0,"",SUMPRODUCT((INPUT!$T$3:$T$3000=45892)*(INPUT!$U$3:$U$3000="HERRERO")*(INPUT!$V$3:$V$3000+INPUT!$W$3:$W$3000+INPUT!$X$3:$X$3000+INPUT!$Y$3:$Y$3000))),"")</f>
        <v>7</v>
      </c>
      <c r="V11" s="42" cm="1">
        <f t="array" ref="V11">IFERROR(IF(SUMPRODUCT((INPUT!$T$3:$T$3000=45893)*(INPUT!$U$3:$U$3000="HERRERO"))=0,"",SUMPRODUCT((INPUT!$T$3:$T$3000=45893)*(INPUT!$U$3:$U$3000="HERRERO")*(INPUT!$V$3:$V$3000+INPUT!$W$3:$W$3000+INPUT!$X$3:$X$3000+INPUT!$Y$3:$Y$3000))),"")</f>
        <v>7</v>
      </c>
      <c r="W11" s="42" cm="1">
        <f t="array" ref="W11">IFERROR(IF(SUMPRODUCT((INPUT!$T$3:$T$3000=45895)*(INPUT!$U$3:$U$3000="HERRERO"))=0,"",SUMPRODUCT((INPUT!$T$3:$T$3000=45895)*(INPUT!$U$3:$U$3000="HERRERO")*(INPUT!$V$3:$V$3000+INPUT!$W$3:$W$3000+INPUT!$X$3:$X$3000+INPUT!$Y$3:$Y$3000))),"")</f>
        <v>6</v>
      </c>
      <c r="X11" s="42" cm="1">
        <f t="array" ref="X11">IFERROR(IF(SUMPRODUCT((INPUT!$T$3:$T$3000=45896)*(INPUT!$U$3:$U$3000="HERRERO"))=0,"",SUMPRODUCT((INPUT!$T$3:$T$3000=45896)*(INPUT!$U$3:$U$3000="HERRERO")*(INPUT!$V$3:$V$3000+INPUT!$W$3:$W$3000+INPUT!$X$3:$X$3000+INPUT!$Y$3:$Y$3000))),"")</f>
        <v>7</v>
      </c>
      <c r="Y11" s="42" cm="1">
        <f t="array" ref="Y11">IFERROR(IF(SUMPRODUCT((INPUT!$T$3:$T$3000=45898)*(INPUT!$U$3:$U$3000="HERRERO"))=0,"",SUMPRODUCT((INPUT!$T$3:$T$3000=45898)*(INPUT!$U$3:$U$3000="HERRERO")*(INPUT!$V$3:$V$3000+INPUT!$W$3:$W$3000+INPUT!$X$3:$X$3000+INPUT!$Y$3:$Y$3000))),"")</f>
        <v>4</v>
      </c>
      <c r="Z11" s="42" cm="1">
        <f t="array" ref="Z11">IFERROR(IF(SUMPRODUCT((INPUT!$T$3:$T$3000=45899)*(INPUT!$U$3:$U$3000="HERRERO"))=0,"",SUMPRODUCT((INPUT!$T$3:$T$3000=45899)*(INPUT!$U$3:$U$3000="HERRERO")*(INPUT!$V$3:$V$3000+INPUT!$W$3:$W$3000+INPUT!$X$3:$X$3000+INPUT!$Y$3:$Y$3000))),"")</f>
        <v>8</v>
      </c>
      <c r="AA11" s="42" cm="1">
        <f t="array" ref="AA11">IFERROR(IF(SUMPRODUCT((INPUT!$T$3:$T$3000=45900)*(INPUT!$U$3:$U$3000="HERRERO"))=0,"",SUMPRODUCT((INPUT!$T$3:$T$3000=45900)*(INPUT!$U$3:$U$3000="HERRERO")*(INPUT!$V$3:$V$3000+INPUT!$W$3:$W$3000+INPUT!$X$3:$X$3000+INPUT!$Y$3:$Y$3000))),"")</f>
        <v>6</v>
      </c>
      <c r="AB11" s="42" cm="1">
        <f t="array" ref="AB11">IFERROR(IF(SUMPRODUCT((INPUT!$T$3:$T$3000=45902)*(INPUT!$U$3:$U$3000="HERRERO"))=0,"",SUMPRODUCT((INPUT!$T$3:$T$3000=45902)*(INPUT!$U$3:$U$3000="HERRERO")*(INPUT!$V$3:$V$3000+INPUT!$W$3:$W$3000+INPUT!$X$3:$X$3000+INPUT!$Y$3:$Y$3000))),"")</f>
        <v>4</v>
      </c>
      <c r="AC11" s="42" cm="1">
        <f t="array" ref="AC11">IFERROR(IF(SUMPRODUCT((INPUT!$T$3:$T$3000=45903)*(INPUT!$U$3:$U$3000="HERRERO"))=0,"",SUMPRODUCT((INPUT!$T$3:$T$3000=45903)*(INPUT!$U$3:$U$3000="HERRERO")*(INPUT!$V$3:$V$3000+INPUT!$W$3:$W$3000+INPUT!$X$3:$X$3000+INPUT!$Y$3:$Y$3000))),"")</f>
        <v>4</v>
      </c>
      <c r="AD11" s="42" cm="1">
        <f t="array" ref="AD11">IFERROR(IF(SUMPRODUCT((INPUT!$T$3:$T$3000=45904)*(INPUT!$U$3:$U$3000="HERRERO"))=0,"",SUMPRODUCT((INPUT!$T$3:$T$3000=45904)*(INPUT!$U$3:$U$3000="HERRERO")*(INPUT!$V$3:$V$3000+INPUT!$W$3:$W$3000+INPUT!$X$3:$X$3000+INPUT!$Y$3:$Y$3000))),"")</f>
        <v>4</v>
      </c>
      <c r="AE11" s="42" cm="1">
        <f t="array" ref="AE11">IFERROR(IF(SUMPRODUCT((INPUT!$T$3:$T$3000=45905)*(INPUT!$U$3:$U$3000="HERRERO"))=0,"",SUMPRODUCT((INPUT!$T$3:$T$3000=45905)*(INPUT!$U$3:$U$3000="HERRERO")*(INPUT!$V$3:$V$3000+INPUT!$W$3:$W$3000+INPUT!$X$3:$X$3000+INPUT!$Y$3:$Y$3000))),"")</f>
        <v>4</v>
      </c>
      <c r="AF11" s="42" cm="1">
        <f t="array" ref="AF11">IFERROR(IF(SUMPRODUCT((INPUT!$T$3:$T$3000=45906)*(INPUT!$U$3:$U$3000="HERRERO"))=0,"",SUMPRODUCT((INPUT!$T$3:$T$3000=45906)*(INPUT!$U$3:$U$3000="HERRERO")*(INPUT!$V$3:$V$3000+INPUT!$W$3:$W$3000+INPUT!$X$3:$X$3000+INPUT!$Y$3:$Y$3000))),"")</f>
        <v>7</v>
      </c>
      <c r="AG11" s="42" cm="1">
        <f t="array" ref="AG11">IFERROR(IF(SUMPRODUCT((INPUT!$T$3:$T$3000=45908)*(INPUT!$U$3:$U$3000="HERRERO"))=0,"",SUMPRODUCT((INPUT!$T$3:$T$3000=45908)*(INPUT!$U$3:$U$3000="HERRERO")*(INPUT!$V$3:$V$3000+INPUT!$W$3:$W$3000+INPUT!$X$3:$X$3000+INPUT!$Y$3:$Y$3000))),"")</f>
        <v>6</v>
      </c>
      <c r="AH11" s="42" cm="1">
        <f t="array" ref="AH11">IFERROR(IF(SUMPRODUCT((INPUT!$T$3:$T$3000=45909)*(INPUT!$U$3:$U$3000="HERRERO"))=0,"",SUMPRODUCT((INPUT!$T$3:$T$3000=45909)*(INPUT!$U$3:$U$3000="HERRERO")*(INPUT!$V$3:$V$3000+INPUT!$W$3:$W$3000+INPUT!$X$3:$X$3000+INPUT!$Y$3:$Y$3000))),"")</f>
        <v>7</v>
      </c>
      <c r="AI11" s="42" cm="1">
        <f t="array" ref="AI11">IFERROR(IF(SUMPRODUCT((INPUT!$T$3:$T$3000=45911)*(INPUT!$U$3:$U$3000="HERRERO"))=0,"",SUMPRODUCT((INPUT!$T$3:$T$3000=45911)*(INPUT!$U$3:$U$3000="HERRERO")*(INPUT!$V$3:$V$3000+INPUT!$W$3:$W$3000+INPUT!$X$3:$X$3000+INPUT!$Y$3:$Y$3000))),"")</f>
        <v>5</v>
      </c>
      <c r="AJ11" s="42" cm="1">
        <f t="array" ref="AJ11">IFERROR(IF(SUMPRODUCT((INPUT!$T$3:$T$3000=45912)*(INPUT!$U$3:$U$3000="HERRERO"))=0,"",SUMPRODUCT((INPUT!$T$3:$T$3000=45912)*(INPUT!$U$3:$U$3000="HERRERO")*(INPUT!$V$3:$V$3000+INPUT!$W$3:$W$3000+INPUT!$X$3:$X$3000+INPUT!$Y$3:$Y$3000))),"")</f>
        <v>7</v>
      </c>
      <c r="AK11" s="42" cm="1">
        <f t="array" ref="AK11">IFERROR(IF(SUMPRODUCT((INPUT!$T$3:$T$3000=45913)*(INPUT!$U$3:$U$3000="HERRERO"))=0,"",SUMPRODUCT((INPUT!$T$3:$T$3000=45913)*(INPUT!$U$3:$U$3000="HERRERO")*(INPUT!$V$3:$V$3000+INPUT!$W$3:$W$3000+INPUT!$X$3:$X$3000+INPUT!$Y$3:$Y$3000))),"")</f>
        <v>6</v>
      </c>
      <c r="AL11" s="42" cm="1">
        <f t="array" ref="AL11">IFERROR(IF(SUMPRODUCT((INPUT!$T$3:$T$3000=45915)*(INPUT!$U$3:$U$3000="HERRERO"))=0,"",SUMPRODUCT((INPUT!$T$3:$T$3000=45915)*(INPUT!$U$3:$U$3000="HERRERO")*(INPUT!$V$3:$V$3000+INPUT!$W$3:$W$3000+INPUT!$X$3:$X$3000+INPUT!$Y$3:$Y$3000))),"")</f>
        <v>3</v>
      </c>
      <c r="AM11" s="42" cm="1">
        <f t="array" ref="AM11">IFERROR(IF(SUMPRODUCT((INPUT!$T$3:$T$3000=45916)*(INPUT!$U$3:$U$3000="HERRERO"))=0,"",SUMPRODUCT((INPUT!$T$3:$T$3000=45916)*(INPUT!$U$3:$U$3000="HERRERO")*(INPUT!$V$3:$V$3000+INPUT!$W$3:$W$3000+INPUT!$X$3:$X$3000+INPUT!$Y$3:$Y$3000))),"")</f>
        <v>5</v>
      </c>
      <c r="AN11" s="42" cm="1">
        <f t="array" ref="AN11">IFERROR(IF(SUMPRODUCT((INPUT!$T$3:$T$3000=45917)*(INPUT!$U$3:$U$3000="HERRERO"))=0,"",SUMPRODUCT((INPUT!$T$3:$T$3000=45917)*(INPUT!$U$3:$U$3000="HERRERO")*(INPUT!$V$3:$V$3000+INPUT!$W$3:$W$3000+INPUT!$X$3:$X$3000+INPUT!$Y$3:$Y$3000))),"")</f>
        <v>7</v>
      </c>
      <c r="AO11" s="42" cm="1">
        <f t="array" ref="AO11">IFERROR(IF(SUMPRODUCT((INPUT!$T$3:$T$3000=45918)*(INPUT!$U$3:$U$3000="HERRERO"))=0,"",SUMPRODUCT((INPUT!$T$3:$T$3000=45918)*(INPUT!$U$3:$U$3000="HERRERO")*(INPUT!$V$3:$V$3000+INPUT!$W$3:$W$3000+INPUT!$X$3:$X$3000+INPUT!$Y$3:$Y$3000))),"")</f>
        <v>4</v>
      </c>
      <c r="AP11" s="42" cm="1">
        <f t="array" ref="AP11">IFERROR(IF(SUMPRODUCT((INPUT!$T$3:$T$3000=45919)*(INPUT!$U$3:$U$3000="HERRERO"))=0,"",SUMPRODUCT((INPUT!$T$3:$T$3000=45919)*(INPUT!$U$3:$U$3000="HERRERO")*(INPUT!$V$3:$V$3000+INPUT!$W$3:$W$3000+INPUT!$X$3:$X$3000+INPUT!$Y$3:$Y$3000))),"")</f>
        <v>7</v>
      </c>
      <c r="AQ11" s="42" cm="1">
        <f t="array" ref="AQ11">IFERROR(IF(SUMPRODUCT((INPUT!$T$3:$T$3000=45922)*(INPUT!$U$3:$U$3000="HERRERO"))=0,"",SUMPRODUCT((INPUT!$T$3:$T$3000=45922)*(INPUT!$U$3:$U$3000="HERRERO")*(INPUT!$V$3:$V$3000+INPUT!$W$3:$W$3000+INPUT!$X$3:$X$3000+INPUT!$Y$3:$Y$3000))),"")</f>
        <v>7</v>
      </c>
      <c r="AR11" s="42" cm="1">
        <f t="array" ref="AR11">IFERROR(IF(SUMPRODUCT((INPUT!$T$3:$T$3000=45923)*(INPUT!$U$3:$U$3000="HERRERO"))=0,"",SUMPRODUCT((INPUT!$T$3:$T$3000=45923)*(INPUT!$U$3:$U$3000="HERRERO")*(INPUT!$V$3:$V$3000+INPUT!$W$3:$W$3000+INPUT!$X$3:$X$3000+INPUT!$Y$3:$Y$3000))),"")</f>
        <v>7</v>
      </c>
      <c r="AS11" s="42" cm="1">
        <f t="array" ref="AS11">IFERROR(IF(SUMPRODUCT((INPUT!$T$3:$T$3000=45924)*(INPUT!$U$3:$U$3000="HERRERO"))=0,"",SUMPRODUCT((INPUT!$T$3:$T$3000=45924)*(INPUT!$U$3:$U$3000="HERRERO")*(INPUT!$V$3:$V$3000+INPUT!$W$3:$W$3000+INPUT!$X$3:$X$3000+INPUT!$Y$3:$Y$3000))),"")</f>
        <v>6</v>
      </c>
      <c r="AT11" s="42" cm="1">
        <f t="array" ref="AT11">IFERROR(IF(SUMPRODUCT((INPUT!$T$3:$T$3000=45925)*(INPUT!$U$3:$U$3000="HERRERO"))=0,"",SUMPRODUCT((INPUT!$T$3:$T$3000=45925)*(INPUT!$U$3:$U$3000="HERRERO")*(INPUT!$V$3:$V$3000+INPUT!$W$3:$W$3000+INPUT!$X$3:$X$3000+INPUT!$Y$3:$Y$3000))),"")</f>
        <v>4</v>
      </c>
      <c r="AU11" s="42" cm="1">
        <f t="array" ref="AU11">IFERROR(IF(SUMPRODUCT((INPUT!$T$3:$T$3000=45926)*(INPUT!$U$3:$U$3000="HERRERO"))=0,"",SUMPRODUCT((INPUT!$T$3:$T$3000=45926)*(INPUT!$U$3:$U$3000="HERRERO")*(INPUT!$V$3:$V$3000+INPUT!$W$3:$W$3000+INPUT!$X$3:$X$3000+INPUT!$Y$3:$Y$3000))),"")</f>
        <v>5</v>
      </c>
      <c r="AV11" s="42" t="str" cm="1">
        <f t="array" ref="AV11">IFERROR(IF(SUMPRODUCT((INPUT!$T$3:$T$3000=45927)*(INPUT!$U$3:$U$3000="HERRERO"))=0,"",SUMPRODUCT((INPUT!$T$3:$T$3000=45927)*(INPUT!$U$3:$U$3000="HERRERO")*(INPUT!$V$3:$V$3000+INPUT!$W$3:$W$3000+INPUT!$X$3:$X$3000+INPUT!$Y$3:$Y$3000))),"")</f>
        <v/>
      </c>
      <c r="AW11" s="42" cm="1">
        <f t="array" ref="AW11">IFERROR(IF(SUMPRODUCT((INPUT!$T$3:$T$3000=45929)*(INPUT!$U$3:$U$3000="HERRERO"))=0,"",SUMPRODUCT((INPUT!$T$3:$T$3000=45929)*(INPUT!$U$3:$U$3000="HERRERO")*(INPUT!$V$3:$V$3000+INPUT!$W$3:$W$3000+INPUT!$X$3:$X$3000+INPUT!$Y$3:$Y$3000))),"")</f>
        <v>4</v>
      </c>
      <c r="AX11" s="42" cm="1">
        <f t="array" ref="AX11">IFERROR(IF(SUMPRODUCT((INPUT!$T$3:$T$3000=45930)*(INPUT!$U$3:$U$3000="HERRERO"))=0,"",SUMPRODUCT((INPUT!$T$3:$T$3000=45930)*(INPUT!$U$3:$U$3000="HERRERO")*(INPUT!$V$3:$V$3000+INPUT!$W$3:$W$3000+INPUT!$X$3:$X$3000+INPUT!$Y$3:$Y$3000))),"")</f>
        <v>4</v>
      </c>
      <c r="AY11" s="42" cm="1">
        <f t="array" ref="AY11">IFERROR(IF(SUMPRODUCT((INPUT!$T$3:$T$3000=45931)*(INPUT!$U$3:$U$3000="HERRERO"))=0,"",SUMPRODUCT((INPUT!$T$3:$T$3000=45931)*(INPUT!$U$3:$U$3000="HERRERO")*(INPUT!$V$3:$V$3000+INPUT!$W$3:$W$3000+INPUT!$X$3:$X$3000+INPUT!$Y$3:$Y$3000))),"")</f>
        <v>4</v>
      </c>
      <c r="AZ11" s="42" cm="1">
        <f t="array" ref="AZ11">IFERROR(IF(SUMPRODUCT((INPUT!$T$3:$T$3000=45932)*(INPUT!$U$3:$U$3000="HERRERO"))=0,"",SUMPRODUCT((INPUT!$T$3:$T$3000=45932)*(INPUT!$U$3:$U$3000="HERRERO")*(INPUT!$V$3:$V$3000+INPUT!$W$3:$W$3000+INPUT!$X$3:$X$3000+INPUT!$Y$3:$Y$3000))),"")</f>
        <v>4</v>
      </c>
      <c r="BA11" s="42" cm="1">
        <f t="array" ref="BA11">IFERROR(IF(SUMPRODUCT((INPUT!$T$3:$T$3000=45933)*(INPUT!$U$3:$U$3000="HERRERO"))=0,"",SUMPRODUCT((INPUT!$T$3:$T$3000=45933)*(INPUT!$U$3:$U$3000="HERRERO")*(INPUT!$V$3:$V$3000+INPUT!$W$3:$W$3000+INPUT!$X$3:$X$3000+INPUT!$Y$3:$Y$3000))),"")</f>
        <v>4</v>
      </c>
      <c r="BB11" s="42" cm="1">
        <f t="array" ref="BB11">IFERROR(IF(SUMPRODUCT((INPUT!$T$3:$T$3000=45934)*(INPUT!$U$3:$U$3000="HERRERO"))=0,"",SUMPRODUCT((INPUT!$T$3:$T$3000=45934)*(INPUT!$U$3:$U$3000="HERRERO")*(INPUT!$V$3:$V$3000+INPUT!$W$3:$W$3000+INPUT!$X$3:$X$3000+INPUT!$Y$3:$Y$3000))),"")</f>
        <v>4</v>
      </c>
      <c r="BC11" s="42" cm="1">
        <f t="array" ref="BC11">IFERROR(IF(SUMPRODUCT((INPUT!$T$3:$T$3000=45936)*(INPUT!$U$3:$U$3000="HERRERO"))=0,"",SUMPRODUCT((INPUT!$T$3:$T$3000=45936)*(INPUT!$U$3:$U$3000="HERRERO")*(INPUT!$V$3:$V$3000+INPUT!$W$3:$W$3000+INPUT!$X$3:$X$3000+INPUT!$Y$3:$Y$3000))),"")</f>
        <v>4</v>
      </c>
      <c r="BD11" s="42" cm="1">
        <f t="array" ref="BD11">IFERROR(IF(SUMPRODUCT((INPUT!$T$3:$T$3000=45937)*(INPUT!$U$3:$U$3000="HERRERO"))=0,"",SUMPRODUCT((INPUT!$T$3:$T$3000=45937)*(INPUT!$U$3:$U$3000="HERRERO")*(INPUT!$V$3:$V$3000+INPUT!$W$3:$W$3000+INPUT!$X$3:$X$3000+INPUT!$Y$3:$Y$3000))),"")</f>
        <v>4</v>
      </c>
      <c r="BE11" s="42" cm="1">
        <f t="array" ref="BE11">IFERROR(IF(SUMPRODUCT((INPUT!$T$3:$T$3000=45938)*(INPUT!$U$3:$U$3000="HERRERO"))=0,"",SUMPRODUCT((INPUT!$T$3:$T$3000=45938)*(INPUT!$U$3:$U$3000="HERRERO")*(INPUT!$V$3:$V$3000+INPUT!$W$3:$W$3000+INPUT!$X$3:$X$3000+INPUT!$Y$3:$Y$3000))),"")</f>
        <v>4</v>
      </c>
      <c r="BF11" s="42" cm="1">
        <f t="array" ref="BF11">IFERROR(IF(SUMPRODUCT((INPUT!$T$3:$T$3000=45940)*(INPUT!$U$3:$U$3000="HERRERO"))=0,"",SUMPRODUCT((INPUT!$T$3:$T$3000=45940)*(INPUT!$U$3:$U$3000="HERRERO")*(INPUT!$V$3:$V$3000+INPUT!$W$3:$W$3000+INPUT!$X$3:$X$3000+INPUT!$Y$3:$Y$3000))),"")</f>
        <v>4</v>
      </c>
      <c r="BG11" s="42" cm="1">
        <f t="array" ref="BG11">IFERROR(IF(SUMPRODUCT((INPUT!$T$3:$T$3000=45941)*(INPUT!$U$3:$U$3000="HERRERO"))=0,"",SUMPRODUCT((INPUT!$T$3:$T$3000=45941)*(INPUT!$U$3:$U$3000="HERRERO")*(INPUT!$V$3:$V$3000+INPUT!$W$3:$W$3000+INPUT!$X$3:$X$3000+INPUT!$Y$3:$Y$3000))),"")</f>
        <v>4</v>
      </c>
      <c r="BH11" s="42" cm="1">
        <f t="array" ref="BH11">IFERROR(IF(SUMPRODUCT((INPUT!$T$3:$T$3000=45942)*(INPUT!$U$3:$U$3000="HERRERO"))=0,"",SUMPRODUCT((INPUT!$T$3:$T$3000=45942)*(INPUT!$U$3:$U$3000="HERRERO")*(INPUT!$V$3:$V$3000+INPUT!$W$3:$W$3000+INPUT!$X$3:$X$3000+INPUT!$Y$3:$Y$3000))),"")</f>
        <v>8</v>
      </c>
      <c r="BI11" s="42" cm="1">
        <f t="array" ref="BI11">IFERROR(IF(SUMPRODUCT((INPUT!$T$3:$T$3000=45945)*(INPUT!$U$3:$U$3000="HERRERO"))=0,"",SUMPRODUCT((INPUT!$T$3:$T$3000=45945)*(INPUT!$U$3:$U$3000="HERRERO")*(INPUT!$V$3:$V$3000+INPUT!$W$3:$W$3000+INPUT!$X$3:$X$3000+INPUT!$Y$3:$Y$3000))),"")</f>
        <v>8</v>
      </c>
      <c r="BJ11" s="42" cm="1">
        <f t="array" ref="BJ11">IFERROR(IF(SUMPRODUCT((INPUT!$T$3:$T$3000=45946)*(INPUT!$U$3:$U$3000="HERRERO"))=0,"",SUMPRODUCT((INPUT!$T$3:$T$3000=45946)*(INPUT!$U$3:$U$3000="HERRERO")*(INPUT!$V$3:$V$3000+INPUT!$W$3:$W$3000+INPUT!$X$3:$X$3000+INPUT!$Y$3:$Y$3000))),"")</f>
        <v>12</v>
      </c>
      <c r="BK11" s="42" cm="1">
        <f t="array" ref="BK11">IFERROR(IF(SUMPRODUCT((INPUT!$T$3:$T$3000=45947)*(INPUT!$U$3:$U$3000="HERRERO"))=0,"",SUMPRODUCT((INPUT!$T$3:$T$3000=45947)*(INPUT!$U$3:$U$3000="HERRERO")*(INPUT!$V$3:$V$3000+INPUT!$W$3:$W$3000+INPUT!$X$3:$X$3000+INPUT!$Y$3:$Y$3000))),"")</f>
        <v>8</v>
      </c>
      <c r="BL11" s="42" cm="1">
        <f t="array" ref="BL11">IFERROR(IF(SUMPRODUCT((INPUT!$T$3:$T$3000=45950)*(INPUT!$U$3:$U$3000="HERRERO"))=0,"",SUMPRODUCT((INPUT!$T$3:$T$3000=45950)*(INPUT!$U$3:$U$3000="HERRERO")*(INPUT!$V$3:$V$3000+INPUT!$W$3:$W$3000+INPUT!$X$3:$X$3000+INPUT!$Y$3:$Y$3000))),"")</f>
        <v>8</v>
      </c>
      <c r="BM11" s="42" cm="1">
        <f t="array" ref="BM11">IFERROR(IF(SUMPRODUCT((INPUT!$T$3:$T$3000=45951)*(INPUT!$U$3:$U$3000="HERRERO"))=0,"",SUMPRODUCT((INPUT!$T$3:$T$3000=45951)*(INPUT!$U$3:$U$3000="HERRERO")*(INPUT!$V$3:$V$3000+INPUT!$W$3:$W$3000+INPUT!$X$3:$X$3000+INPUT!$Y$3:$Y$3000))),"")</f>
        <v>8</v>
      </c>
      <c r="BN11" s="42" cm="1">
        <f t="array" ref="BN11">IFERROR(IF(SUMPRODUCT((INPUT!$T$3:$T$3000=45952)*(INPUT!$U$3:$U$3000="HERRERO"))=0,"",SUMPRODUCT((INPUT!$T$3:$T$3000=45952)*(INPUT!$U$3:$U$3000="HERRERO")*(INPUT!$V$3:$V$3000+INPUT!$W$3:$W$3000+INPUT!$X$3:$X$3000+INPUT!$Y$3:$Y$3000))),"")</f>
        <v>8</v>
      </c>
      <c r="BO11" s="42" cm="1">
        <f t="array" ref="BO11">IFERROR(IF(SUMPRODUCT((INPUT!$T$3:$T$3000=45953)*(INPUT!$U$3:$U$3000="HERRERO"))=0,"",SUMPRODUCT((INPUT!$T$3:$T$3000=45953)*(INPUT!$U$3:$U$3000="HERRERO")*(INPUT!$V$3:$V$3000+INPUT!$W$3:$W$3000+INPUT!$X$3:$X$3000+INPUT!$Y$3:$Y$3000))),"")</f>
        <v>8</v>
      </c>
      <c r="BP11" s="42" cm="1">
        <f t="array" ref="BP11">IFERROR(IF(SUMPRODUCT((INPUT!$T$3:$T$3000=45954)*(INPUT!$U$3:$U$3000="HERRERO"))=0,"",SUMPRODUCT((INPUT!$T$3:$T$3000=45954)*(INPUT!$U$3:$U$3000="HERRERO")*(INPUT!$V$3:$V$3000+INPUT!$W$3:$W$3000+INPUT!$X$3:$X$3000+INPUT!$Y$3:$Y$3000))),"")</f>
        <v>9</v>
      </c>
      <c r="BQ11" s="42" t="str" cm="1">
        <f t="array" ref="BQ11">IFERROR(IF(SUMPRODUCT((INPUT!$T$3:$T$3000=45955)*(INPUT!$U$3:$U$3000="HERRERO"))=0,"",SUMPRODUCT((INPUT!$T$3:$T$3000=45955)*(INPUT!$U$3:$U$3000="HERRERO")*(INPUT!$V$3:$V$3000+INPUT!$W$3:$W$3000+INPUT!$X$3:$X$3000+INPUT!$Y$3:$Y$3000))),"")</f>
        <v/>
      </c>
      <c r="BR11" s="42" cm="1">
        <f t="array" ref="BR11">IFERROR(IF(SUMPRODUCT((INPUT!$T$3:$T$3000=45958)*(INPUT!$U$3:$U$3000="HERRERO"))=0,"",SUMPRODUCT((INPUT!$T$3:$T$3000=45958)*(INPUT!$U$3:$U$3000="HERRERO")*(INPUT!$V$3:$V$3000+INPUT!$W$3:$W$3000+INPUT!$X$3:$X$3000+INPUT!$Y$3:$Y$3000))),"")</f>
        <v>4</v>
      </c>
      <c r="BS11" s="42" cm="1">
        <f t="array" ref="BS11">IFERROR(IF(SUMPRODUCT((INPUT!$T$3:$T$3000=45959)*(INPUT!$U$3:$U$3000="HERRERO"))=0,"",SUMPRODUCT((INPUT!$T$3:$T$3000=45959)*(INPUT!$U$3:$U$3000="HERRERO")*(INPUT!$V$3:$V$3000+INPUT!$W$3:$W$3000+INPUT!$X$3:$X$3000+INPUT!$Y$3:$Y$3000))),"")</f>
        <v>4</v>
      </c>
      <c r="BT11" s="42" t="str" cm="1">
        <f t="array" ref="BT11">IFERROR(IF(SUMPRODUCT((INPUT!$T$3:$T$3000=45960)*(INPUT!$U$3:$U$3000="HERRERO"))=0,"",SUMPRODUCT((INPUT!$T$3:$T$3000=45960)*(INPUT!$U$3:$U$3000="HERRERO")*(INPUT!$V$3:$V$3000+INPUT!$W$3:$W$3000+INPUT!$X$3:$X$3000+INPUT!$Y$3:$Y$3000))),"")</f>
        <v/>
      </c>
      <c r="BU11" s="42" cm="1">
        <f t="array" ref="BU11">IFERROR(IF(SUMPRODUCT((INPUT!$T$3:$T$3000=45961)*(INPUT!$U$3:$U$3000="HERRERO"))=0,"",SUMPRODUCT((INPUT!$T$3:$T$3000=45961)*(INPUT!$U$3:$U$3000="HERRERO")*(INPUT!$V$3:$V$3000+INPUT!$W$3:$W$3000+INPUT!$X$3:$X$3000+INPUT!$Y$3:$Y$3000))),"")</f>
        <v>4</v>
      </c>
      <c r="BV11" s="42" cm="1">
        <f t="array" ref="BV11">IFERROR(IF(SUMPRODUCT((INPUT!$T$3:$T$3000=45964)*(INPUT!$U$3:$U$3000="HERRERO"))=0,"",SUMPRODUCT((INPUT!$T$3:$T$3000=45964)*(INPUT!$U$3:$U$3000="HERRERO")*(INPUT!$V$3:$V$3000+INPUT!$W$3:$W$3000+INPUT!$X$3:$X$3000+INPUT!$Y$3:$Y$3000))),"")</f>
        <v>4</v>
      </c>
      <c r="BW11" s="42" cm="1">
        <f t="array" ref="BW11">IFERROR(IF(SUMPRODUCT((INPUT!$T$3:$T$3000=45965)*(INPUT!$U$3:$U$3000="HERRERO"))=0,"",SUMPRODUCT((INPUT!$T$3:$T$3000=45965)*(INPUT!$U$3:$U$3000="HERRERO")*(INPUT!$V$3:$V$3000+INPUT!$W$3:$W$3000+INPUT!$X$3:$X$3000+INPUT!$Y$3:$Y$3000))),"")</f>
        <v>4</v>
      </c>
      <c r="BX11" s="42" cm="1">
        <f t="array" ref="BX11">IFERROR(IF(SUMPRODUCT((INPUT!$T$3:$T$3000=45966)*(INPUT!$U$3:$U$3000="HERRERO"))=0,"",SUMPRODUCT((INPUT!$T$3:$T$3000=45966)*(INPUT!$U$3:$U$3000="HERRERO")*(INPUT!$V$3:$V$3000+INPUT!$W$3:$W$3000+INPUT!$X$3:$X$3000+INPUT!$Y$3:$Y$3000))),"")</f>
        <v>4</v>
      </c>
      <c r="BY11" s="42" cm="1">
        <f t="array" ref="BY11">IFERROR(IF(SUMPRODUCT((INPUT!$T$3:$T$3000=45967)*(INPUT!$U$3:$U$3000="HERRERO"))=0,"",SUMPRODUCT((INPUT!$T$3:$T$3000=45967)*(INPUT!$U$3:$U$3000="HERRERO")*(INPUT!$V$3:$V$3000+INPUT!$W$3:$W$3000+INPUT!$X$3:$X$3000+INPUT!$Y$3:$Y$3000))),"")</f>
        <v>4</v>
      </c>
      <c r="BZ11" s="42" cm="1">
        <f t="array" ref="BZ11">IFERROR(IF(SUMPRODUCT((INPUT!$T$3:$T$3000=45968)*(INPUT!$U$3:$U$3000="HERRERO"))=0,"",SUMPRODUCT((INPUT!$T$3:$T$3000=45968)*(INPUT!$U$3:$U$3000="HERRERO")*(INPUT!$V$3:$V$3000+INPUT!$W$3:$W$3000+INPUT!$X$3:$X$3000+INPUT!$Y$3:$Y$3000))),"")</f>
        <v>4</v>
      </c>
      <c r="CA11" s="42" t="str" cm="1">
        <f t="array" ref="CA11">IFERROR(IF(SUMPRODUCT((INPUT!$T$3:$T$3000=45971)*(INPUT!$U$3:$U$3000="HERRERO"))=0,"",SUMPRODUCT((INPUT!$T$3:$T$3000=45971)*(INPUT!$U$3:$U$3000="HERRERO")*(INPUT!$V$3:$V$3000+INPUT!$W$3:$W$3000+INPUT!$X$3:$X$3000+INPUT!$Y$3:$Y$3000))),"")</f>
        <v/>
      </c>
      <c r="CB11" s="42" t="str" cm="1">
        <f t="array" ref="CB11">IFERROR(IF(SUMPRODUCT((INPUT!$T$3:$T$3000=45972)*(INPUT!$U$3:$U$3000="HERRERO"))=0,"",SUMPRODUCT((INPUT!$T$3:$T$3000=45972)*(INPUT!$U$3:$U$3000="HERRERO")*(INPUT!$V$3:$V$3000+INPUT!$W$3:$W$3000+INPUT!$X$3:$X$3000+INPUT!$Y$3:$Y$3000))),"")</f>
        <v/>
      </c>
      <c r="CC11" s="42" cm="1">
        <f t="array" ref="CC11">IFERROR(IF(SUMPRODUCT((INPUT!$T$3:$T$3000=45974)*(INPUT!$U$3:$U$3000="HERRERO"))=0,"",SUMPRODUCT((INPUT!$T$3:$T$3000=45974)*(INPUT!$U$3:$U$3000="HERRERO")*(INPUT!$V$3:$V$3000+INPUT!$W$3:$W$3000+INPUT!$X$3:$X$3000+INPUT!$Y$3:$Y$3000))),"")</f>
        <v>4</v>
      </c>
      <c r="CD11" s="42" cm="1">
        <f t="array" ref="CD11">IFERROR(IF(SUMPRODUCT((INPUT!$T$3:$T$3000=45975)*(INPUT!$U$3:$U$3000="HERRERO"))=0,"",SUMPRODUCT((INPUT!$T$3:$T$3000=45975)*(INPUT!$U$3:$U$3000="HERRERO")*(INPUT!$V$3:$V$3000+INPUT!$W$3:$W$3000+INPUT!$X$3:$X$3000+INPUT!$Y$3:$Y$3000))),"")</f>
        <v>4</v>
      </c>
      <c r="CE11" s="42" cm="1">
        <f t="array" ref="CE11">IFERROR(IF(SUMPRODUCT((INPUT!$T$3:$T$3000=45976)*(INPUT!$U$3:$U$3000="HERRERO"))=0,"",SUMPRODUCT((INPUT!$T$3:$T$3000=45976)*(INPUT!$U$3:$U$3000="HERRERO")*(INPUT!$V$3:$V$3000+INPUT!$W$3:$W$3000+INPUT!$X$3:$X$3000+INPUT!$Y$3:$Y$3000))),"")</f>
        <v>4</v>
      </c>
      <c r="CF11" s="42" cm="1">
        <f t="array" ref="CF11">IFERROR(IF(SUMPRODUCT((INPUT!$T$3:$T$3000=45978)*(INPUT!$U$3:$U$3000="HERRERO"))=0,"",SUMPRODUCT((INPUT!$T$3:$T$3000=45978)*(INPUT!$U$3:$U$3000="HERRERO")*(INPUT!$V$3:$V$3000+INPUT!$W$3:$W$3000+INPUT!$X$3:$X$3000+INPUT!$Y$3:$Y$3000))),"")</f>
        <v>4</v>
      </c>
      <c r="CG11" s="42" cm="1">
        <f t="array" ref="CG11">IFERROR(IF(SUMPRODUCT((INPUT!$T$3:$T$3000=45979)*(INPUT!$U$3:$U$3000="HERRERO"))=0,"",SUMPRODUCT((INPUT!$T$3:$T$3000=45979)*(INPUT!$U$3:$U$3000="HERRERO")*(INPUT!$V$3:$V$3000+INPUT!$W$3:$W$3000+INPUT!$X$3:$X$3000+INPUT!$Y$3:$Y$3000))),"")</f>
        <v>4</v>
      </c>
      <c r="CH11" s="42" cm="1">
        <f t="array" ref="CH11">IFERROR(IF(SUMPRODUCT((INPUT!$T$3:$T$3000=45980)*(INPUT!$U$3:$U$3000="HERRERO"))=0,"",SUMPRODUCT((INPUT!$T$3:$T$3000=45980)*(INPUT!$U$3:$U$3000="HERRERO")*(INPUT!$V$3:$V$3000+INPUT!$W$3:$W$3000+INPUT!$X$3:$X$3000+INPUT!$Y$3:$Y$3000))),"")</f>
        <v>4</v>
      </c>
      <c r="CI11" s="42" cm="1">
        <f t="array" ref="CI11">IFERROR(IF(SUMPRODUCT((INPUT!$T$3:$T$3000=45982)*(INPUT!$U$3:$U$3000="HERRERO"))=0,"",SUMPRODUCT((INPUT!$T$3:$T$3000=45982)*(INPUT!$U$3:$U$3000="HERRERO")*(INPUT!$V$3:$V$3000+INPUT!$W$3:$W$3000+INPUT!$X$3:$X$3000+INPUT!$Y$3:$Y$3000))),"")</f>
        <v>4</v>
      </c>
      <c r="CJ11" s="42" cm="1">
        <f t="array" ref="CJ11">IFERROR(IF(SUMPRODUCT((INPUT!$T$3:$T$3000=45983)*(INPUT!$U$3:$U$3000="HERRERO"))=0,"",SUMPRODUCT((INPUT!$T$3:$T$3000=45983)*(INPUT!$U$3:$U$3000="HERRERO")*(INPUT!$V$3:$V$3000+INPUT!$W$3:$W$3000+INPUT!$X$3:$X$3000+INPUT!$Y$3:$Y$3000))),"")</f>
        <v>4</v>
      </c>
      <c r="CK11" s="42" cm="1">
        <f t="array" ref="CK11">IFERROR(IF(SUMPRODUCT((INPUT!$T$3:$T$3000=45985)*(INPUT!$U$3:$U$3000="HERRERO"))=0,"",SUMPRODUCT((INPUT!$T$3:$T$3000=45985)*(INPUT!$U$3:$U$3000="HERRERO")*(INPUT!$V$3:$V$3000+INPUT!$W$3:$W$3000+INPUT!$X$3:$X$3000+INPUT!$Y$3:$Y$3000))),"")</f>
        <v>4</v>
      </c>
      <c r="CL11" s="42" cm="1">
        <f t="array" ref="CL11">IFERROR(IF(SUMPRODUCT((INPUT!$T$3:$T$3000=45986)*(INPUT!$U$3:$U$3000="HERRERO"))=0,"",SUMPRODUCT((INPUT!$T$3:$T$3000=45986)*(INPUT!$U$3:$U$3000="HERRERO")*(INPUT!$V$3:$V$3000+INPUT!$W$3:$W$3000+INPUT!$X$3:$X$3000+INPUT!$Y$3:$Y$3000))),"")</f>
        <v>4</v>
      </c>
      <c r="CM11" s="42" cm="1">
        <f t="array" ref="CM11">IFERROR(IF(SUMPRODUCT((INPUT!$T$3:$T$3000=45987)*(INPUT!$U$3:$U$3000="HERRERO"))=0,"",SUMPRODUCT((INPUT!$T$3:$T$3000=45987)*(INPUT!$U$3:$U$3000="HERRERO")*(INPUT!$V$3:$V$3000+INPUT!$W$3:$W$3000+INPUT!$X$3:$X$3000+INPUT!$Y$3:$Y$3000))),"")</f>
        <v>4</v>
      </c>
      <c r="CN11" s="42" cm="1">
        <f t="array" ref="CN11">IFERROR(IF(SUMPRODUCT((INPUT!$T$3:$T$3000=45988)*(INPUT!$U$3:$U$3000="HERRERO"))=0,"",SUMPRODUCT((INPUT!$T$3:$T$3000=45988)*(INPUT!$U$3:$U$3000="HERRERO")*(INPUT!$V$3:$V$3000+INPUT!$W$3:$W$3000+INPUT!$X$3:$X$3000+INPUT!$Y$3:$Y$3000))),"")</f>
        <v>4</v>
      </c>
      <c r="CO11" s="42" cm="1">
        <f t="array" ref="CO11">IFERROR(IF(SUMPRODUCT((INPUT!$T$3:$T$3000=45989)*(INPUT!$U$3:$U$3000="HERRERO"))=0,"",SUMPRODUCT((INPUT!$T$3:$T$3000=45989)*(INPUT!$U$3:$U$3000="HERRERO")*(INPUT!$V$3:$V$3000+INPUT!$W$3:$W$3000+INPUT!$X$3:$X$3000+INPUT!$Y$3:$Y$3000))),"")</f>
        <v>4</v>
      </c>
      <c r="CP11" s="42" cm="1">
        <f t="array" ref="CP11">IFERROR(IF(SUMPRODUCT((INPUT!$T$3:$T$3000=45992)*(INPUT!$U$3:$U$3000="HERRERO"))=0,"",SUMPRODUCT((INPUT!$T$3:$T$3000=45992)*(INPUT!$U$3:$U$3000="HERRERO")*(INPUT!$V$3:$V$3000+INPUT!$W$3:$W$3000+INPUT!$X$3:$X$3000+INPUT!$Y$3:$Y$3000))),"")</f>
        <v>4</v>
      </c>
      <c r="CQ11" s="42" cm="1">
        <f t="array" ref="CQ11">IFERROR(IF(SUMPRODUCT((INPUT!$T$3:$T$3000=45993)*(INPUT!$U$3:$U$3000="HERRERO"))=0,"",SUMPRODUCT((INPUT!$T$3:$T$3000=45993)*(INPUT!$U$3:$U$3000="HERRERO")*(INPUT!$V$3:$V$3000+INPUT!$W$3:$W$3000+INPUT!$X$3:$X$3000+INPUT!$Y$3:$Y$3000))),"")</f>
        <v>4</v>
      </c>
      <c r="CR11" s="42" cm="1">
        <f t="array" ref="CR11">IFERROR(IF(SUMPRODUCT((INPUT!$T$3:$T$3000=45994)*(INPUT!$U$3:$U$3000="HERRERO"))=0,"",SUMPRODUCT((INPUT!$T$3:$T$3000=45994)*(INPUT!$U$3:$U$3000="HERRERO")*(INPUT!$V$3:$V$3000+INPUT!$W$3:$W$3000+INPUT!$X$3:$X$3000+INPUT!$Y$3:$Y$3000))),"")</f>
        <v>4</v>
      </c>
      <c r="CS11" s="42" cm="1">
        <f t="array" ref="CS11">IFERROR(IF(SUMPRODUCT((INPUT!$T$3:$T$3000=45995)*(INPUT!$U$3:$U$3000="HERRERO"))=0,"",SUMPRODUCT((INPUT!$T$3:$T$3000=45995)*(INPUT!$U$3:$U$3000="HERRERO")*(INPUT!$V$3:$V$3000+INPUT!$W$3:$W$3000+INPUT!$X$3:$X$3000+INPUT!$Y$3:$Y$3000))),"")</f>
        <v>4</v>
      </c>
      <c r="CT11" s="42" cm="1">
        <f t="array" ref="CT11">IFERROR(IF(SUMPRODUCT((INPUT!$T$3:$T$3000=45996)*(INPUT!$U$3:$U$3000="HERRERO"))=0,"",SUMPRODUCT((INPUT!$T$3:$T$3000=45996)*(INPUT!$U$3:$U$3000="HERRERO")*(INPUT!$V$3:$V$3000+INPUT!$W$3:$W$3000+INPUT!$X$3:$X$3000+INPUT!$Y$3:$Y$3000))),"")</f>
        <v>4</v>
      </c>
      <c r="CU11" s="42" cm="1">
        <f t="array" ref="CU11">IFERROR(IF(SUMPRODUCT((INPUT!$T$3:$T$3000=45997)*(INPUT!$U$3:$U$3000="HERRERO"))=0,"",SUMPRODUCT((INPUT!$T$3:$T$3000=45997)*(INPUT!$U$3:$U$3000="HERRERO")*(INPUT!$V$3:$V$3000+INPUT!$W$3:$W$3000+INPUT!$X$3:$X$3000+INPUT!$Y$3:$Y$3000))),"")</f>
        <v>4</v>
      </c>
      <c r="CV11" s="42" cm="1">
        <f t="array" ref="CV11">IFERROR(IF(SUMPRODUCT((INPUT!$T$3:$T$3000=45999)*(INPUT!$U$3:$U$3000="HERRERO"))=0,"",SUMPRODUCT((INPUT!$T$3:$T$3000=45999)*(INPUT!$U$3:$U$3000="HERRERO")*(INPUT!$V$3:$V$3000+INPUT!$W$3:$W$3000+INPUT!$X$3:$X$3000+INPUT!$Y$3:$Y$3000))),"")</f>
        <v>4</v>
      </c>
      <c r="CW11" s="42" cm="1">
        <f t="array" ref="CW11">IFERROR(IF(SUMPRODUCT((INPUT!$T$3:$T$3000=46000)*(INPUT!$U$3:$U$3000="HERRERO"))=0,"",SUMPRODUCT((INPUT!$T$3:$T$3000=46000)*(INPUT!$U$3:$U$3000="HERRERO")*(INPUT!$V$3:$V$3000+INPUT!$W$3:$W$3000+INPUT!$X$3:$X$3000+INPUT!$Y$3:$Y$3000))),"")</f>
        <v>4</v>
      </c>
      <c r="CX11" s="42" cm="1">
        <f t="array" ref="CX11">IFERROR(IF(SUMPRODUCT((INPUT!$T$3:$T$3000=46001)*(INPUT!$U$3:$U$3000="HERRERO"))=0,"",SUMPRODUCT((INPUT!$T$3:$T$3000=46001)*(INPUT!$U$3:$U$3000="HERRERO")*(INPUT!$V$3:$V$3000+INPUT!$W$3:$W$3000+INPUT!$X$3:$X$3000+INPUT!$Y$3:$Y$3000))),"")</f>
        <v>4</v>
      </c>
      <c r="CY11" s="42" cm="1">
        <f t="array" ref="CY11">IFERROR(IF(SUMPRODUCT((INPUT!$T$3:$T$3000=46002)*(INPUT!$U$3:$U$3000="HERRERO"))=0,"",SUMPRODUCT((INPUT!$T$3:$T$3000=46002)*(INPUT!$U$3:$U$3000="HERRERO")*(INPUT!$V$3:$V$3000+INPUT!$W$3:$W$3000+INPUT!$X$3:$X$3000+INPUT!$Y$3:$Y$3000))),"")</f>
        <v>4</v>
      </c>
      <c r="CZ11" s="42" cm="1">
        <f t="array" ref="CZ11">IFERROR(IF(SUMPRODUCT((INPUT!$T$3:$T$3000=46003)*(INPUT!$U$3:$U$3000="HERRERO"))=0,"",SUMPRODUCT((INPUT!$T$3:$T$3000=46003)*(INPUT!$U$3:$U$3000="HERRERO")*(INPUT!$V$3:$V$3000+INPUT!$W$3:$W$3000+INPUT!$X$3:$X$3000+INPUT!$Y$3:$Y$3000))),"")</f>
        <v>4</v>
      </c>
      <c r="DA11" s="42" cm="1">
        <f t="array" ref="DA11">IFERROR(IF(SUMPRODUCT((INPUT!$T$3:$T$3000=46004)*(INPUT!$U$3:$U$3000="HERRERO"))=0,"",SUMPRODUCT((INPUT!$T$3:$T$3000=46004)*(INPUT!$U$3:$U$3000="HERRERO")*(INPUT!$V$3:$V$3000+INPUT!$W$3:$W$3000+INPUT!$X$3:$X$3000+INPUT!$Y$3:$Y$3000))),"")</f>
        <v>4</v>
      </c>
      <c r="DB11" s="42" cm="1">
        <f t="array" ref="DB11">IFERROR(IF(SUMPRODUCT((INPUT!$T$3:$T$3000=46007)*(INPUT!$U$3:$U$3000="HERRERO"))=0,"",SUMPRODUCT((INPUT!$T$3:$T$3000=46007)*(INPUT!$U$3:$U$3000="HERRERO")*(INPUT!$V$3:$V$3000+INPUT!$W$3:$W$3000+INPUT!$X$3:$X$3000+INPUT!$Y$3:$Y$3000))),"")</f>
        <v>4</v>
      </c>
      <c r="DC11" s="42" cm="1">
        <f t="array" ref="DC11">IFERROR(IF(SUMPRODUCT((INPUT!$T$3:$T$3000=46008)*(INPUT!$U$3:$U$3000="HERRERO"))=0,"",SUMPRODUCT((INPUT!$T$3:$T$3000=46008)*(INPUT!$U$3:$U$3000="HERRERO")*(INPUT!$V$3:$V$3000+INPUT!$W$3:$W$3000+INPUT!$X$3:$X$3000+INPUT!$Y$3:$Y$3000))),"")</f>
        <v>4</v>
      </c>
      <c r="DD11" s="42" cm="1">
        <f t="array" ref="DD11">IFERROR(IF(SUMPRODUCT((INPUT!$T$3:$T$3000=46009)*(INPUT!$U$3:$U$3000="HERRERO"))=0,"",SUMPRODUCT((INPUT!$T$3:$T$3000=46009)*(INPUT!$U$3:$U$3000="HERRERO")*(INPUT!$V$3:$V$3000+INPUT!$W$3:$W$3000+INPUT!$X$3:$X$3000+INPUT!$Y$3:$Y$3000))),"")</f>
        <v>4</v>
      </c>
      <c r="DE11" s="42" cm="1">
        <f t="array" ref="DE11">IFERROR(IF(SUMPRODUCT((INPUT!$T$3:$T$3000=46010)*(INPUT!$U$3:$U$3000="HERRERO"))=0,"",SUMPRODUCT((INPUT!$T$3:$T$3000=46010)*(INPUT!$U$3:$U$3000="HERRERO")*(INPUT!$V$3:$V$3000+INPUT!$W$3:$W$3000+INPUT!$X$3:$X$3000+INPUT!$Y$3:$Y$3000))),"")</f>
        <v>4</v>
      </c>
      <c r="DF11" s="42" cm="1">
        <f t="array" ref="DF11">IFERROR(IF(SUMPRODUCT((INPUT!$T$3:$T$3000=46013)*(INPUT!$U$3:$U$3000="HERRERO"))=0,"",SUMPRODUCT((INPUT!$T$3:$T$3000=46013)*(INPUT!$U$3:$U$3000="HERRERO")*(INPUT!$V$3:$V$3000+INPUT!$W$3:$W$3000+INPUT!$X$3:$X$3000+INPUT!$Y$3:$Y$3000))),"")</f>
        <v>4</v>
      </c>
      <c r="DG11" s="42" cm="1">
        <f t="array" ref="DG11">IFERROR(IF(SUMPRODUCT((INPUT!$T$3:$T$3000=46014)*(INPUT!$U$3:$U$3000="HERRERO"))=0,"",SUMPRODUCT((INPUT!$T$3:$T$3000=46014)*(INPUT!$U$3:$U$3000="HERRERO")*(INPUT!$V$3:$V$3000+INPUT!$W$3:$W$3000+INPUT!$X$3:$X$3000+INPUT!$Y$3:$Y$3000))),"")</f>
        <v>4</v>
      </c>
      <c r="DH11" s="42" cm="1">
        <f t="array" ref="DH11">IFERROR(IF(SUMPRODUCT((INPUT!$T$3:$T$3000=46017)*(INPUT!$U$3:$U$3000="HERRERO"))=0,"",SUMPRODUCT((INPUT!$T$3:$T$3000=46017)*(INPUT!$U$3:$U$3000="HERRERO")*(INPUT!$V$3:$V$3000+INPUT!$W$3:$W$3000+INPUT!$X$3:$X$3000+INPUT!$Y$3:$Y$3000))),"")</f>
        <v>4</v>
      </c>
      <c r="DI11" s="42" cm="1">
        <f t="array" ref="DI11">IFERROR(IF(SUMPRODUCT((INPUT!$T$3:$T$3000=46018)*(INPUT!$U$3:$U$3000="HERRERO"))=0,"",SUMPRODUCT((INPUT!$T$3:$T$3000=46018)*(INPUT!$U$3:$U$3000="HERRERO")*(INPUT!$V$3:$V$3000+INPUT!$W$3:$W$3000+INPUT!$X$3:$X$3000+INPUT!$Y$3:$Y$3000))),"")</f>
        <v>4</v>
      </c>
      <c r="DJ11" s="42" cm="1">
        <f t="array" ref="DJ11">IFERROR(IF(SUMPRODUCT((INPUT!$T$3:$T$3000=46020)*(INPUT!$U$3:$U$3000="HERRERO"))=0,"",SUMPRODUCT((INPUT!$T$3:$T$3000=46020)*(INPUT!$U$3:$U$3000="HERRERO")*(INPUT!$V$3:$V$3000+INPUT!$W$3:$W$3000+INPUT!$X$3:$X$3000+INPUT!$Y$3:$Y$3000))),"")</f>
        <v>4</v>
      </c>
      <c r="DK11" s="42" cm="1">
        <f t="array" ref="DK11">IFERROR(IF(SUMPRODUCT((INPUT!$T$3:$T$3000=46021)*(INPUT!$U$3:$U$3000="HERRERO"))=0,"",SUMPRODUCT((INPUT!$T$3:$T$3000=46021)*(INPUT!$U$3:$U$3000="HERRERO")*(INPUT!$V$3:$V$3000+INPUT!$W$3:$W$3000+INPUT!$X$3:$X$3000+INPUT!$Y$3:$Y$3000))),"")</f>
        <v>4</v>
      </c>
      <c r="DL11" s="42" cm="1">
        <f t="array" ref="DL11">IFERROR(IF(SUMPRODUCT((INPUT!$T$3:$T$3000=46022)*(INPUT!$U$3:$U$3000="HERRERO"))=0,"",SUMPRODUCT((INPUT!$T$3:$T$3000=46022)*(INPUT!$U$3:$U$3000="HERRERO")*(INPUT!$V$3:$V$3000+INPUT!$W$3:$W$3000+INPUT!$X$3:$X$3000+INPUT!$Y$3:$Y$3000))),"")</f>
        <v>4</v>
      </c>
      <c r="DM11" s="42" cm="1">
        <f t="array" ref="DM11">IFERROR(IF(SUMPRODUCT((INPUT!$T$3:$T$3000=46024)*(INPUT!$U$3:$U$3000="HERRERO"))=0,"",SUMPRODUCT((INPUT!$T$3:$T$3000=46024)*(INPUT!$U$3:$U$3000="HERRERO")*(INPUT!$V$3:$V$3000+INPUT!$W$3:$W$3000+INPUT!$X$3:$X$3000+INPUT!$Y$3:$Y$3000))),"")</f>
        <v>4</v>
      </c>
      <c r="DN11" s="42" cm="1">
        <f t="array" ref="DN11">IFERROR(IF(SUMPRODUCT((INPUT!$T$3:$T$3000=46025)*(INPUT!$U$3:$U$3000="HERRERO"))=0,"",SUMPRODUCT((INPUT!$T$3:$T$3000=46025)*(INPUT!$U$3:$U$3000="HERRERO")*(INPUT!$V$3:$V$3000+INPUT!$W$3:$W$3000+INPUT!$X$3:$X$3000+INPUT!$Y$3:$Y$3000))),"")</f>
        <v>4</v>
      </c>
      <c r="DO11" s="42" cm="1">
        <f t="array" ref="DO11">IFERROR(IF(SUMPRODUCT((INPUT!$T$3:$T$3000=46027)*(INPUT!$U$3:$U$3000="HERRERO"))=0,"",SUMPRODUCT((INPUT!$T$3:$T$3000=46027)*(INPUT!$U$3:$U$3000="HERRERO")*(INPUT!$V$3:$V$3000+INPUT!$W$3:$W$3000+INPUT!$X$3:$X$3000+INPUT!$Y$3:$Y$3000))),"")</f>
        <v>4</v>
      </c>
      <c r="DP11" s="42" cm="1">
        <f t="array" ref="DP11">IFERROR(IF(SUMPRODUCT((INPUT!$T$3:$T$3000=46028)*(INPUT!$U$3:$U$3000="HERRERO"))=0,"",SUMPRODUCT((INPUT!$T$3:$T$3000=46028)*(INPUT!$U$3:$U$3000="HERRERO")*(INPUT!$V$3:$V$3000+INPUT!$W$3:$W$3000+INPUT!$X$3:$X$3000+INPUT!$Y$3:$Y$3000))),"")</f>
        <v>4</v>
      </c>
      <c r="DQ11" s="42" cm="1">
        <f t="array" ref="DQ11">IFERROR(IF(SUMPRODUCT((INPUT!$T$3:$T$3000=46029)*(INPUT!$U$3:$U$3000="HERRERO"))=0,"",SUMPRODUCT((INPUT!$T$3:$T$3000=46029)*(INPUT!$U$3:$U$3000="HERRERO")*(INPUT!$V$3:$V$3000+INPUT!$W$3:$W$3000+INPUT!$X$3:$X$3000+INPUT!$Y$3:$Y$3000))),"")</f>
        <v>4</v>
      </c>
      <c r="DR11" s="42" cm="1">
        <f t="array" ref="DR11">IFERROR(IF(SUMPRODUCT((INPUT!$T$3:$T$3000=46030)*(INPUT!$U$3:$U$3000="HERRERO"))=0,"",SUMPRODUCT((INPUT!$T$3:$T$3000=46030)*(INPUT!$U$3:$U$3000="HERRERO")*(INPUT!$V$3:$V$3000+INPUT!$W$3:$W$3000+INPUT!$X$3:$X$3000+INPUT!$Y$3:$Y$3000))),"")</f>
        <v>4</v>
      </c>
      <c r="DS11" s="42" cm="1">
        <f t="array" ref="DS11">IFERROR(IF(SUMPRODUCT((INPUT!$T$3:$T$3000=46031)*(INPUT!$U$3:$U$3000="HERRERO"))=0,"",SUMPRODUCT((INPUT!$T$3:$T$3000=46031)*(INPUT!$U$3:$U$3000="HERRERO")*(INPUT!$V$3:$V$3000+INPUT!$W$3:$W$3000+INPUT!$X$3:$X$3000+INPUT!$Y$3:$Y$3000))),"")</f>
        <v>4</v>
      </c>
      <c r="DT11" s="42" cm="1">
        <f t="array" ref="DT11">IFERROR(IF(SUMPRODUCT((INPUT!$T$3:$T$3000=46041)*(INPUT!$U$3:$U$3000="HERRERO"))=0,"",SUMPRODUCT((INPUT!$T$3:$T$3000=46041)*(INPUT!$U$3:$U$3000="HERRERO")*(INPUT!$V$3:$V$3000+INPUT!$W$3:$W$3000+INPUT!$X$3:$X$3000+INPUT!$Y$3:$Y$3000))),"")</f>
        <v>4</v>
      </c>
      <c r="DU11" s="42" cm="1">
        <f t="array" ref="DU11">IFERROR(IF(SUMPRODUCT((INPUT!$T$3:$T$3000=46042)*(INPUT!$U$3:$U$3000="HERRERO"))=0,"",SUMPRODUCT((INPUT!$T$3:$T$3000=46042)*(INPUT!$U$3:$U$3000="HERRERO")*(INPUT!$V$3:$V$3000+INPUT!$W$3:$W$3000+INPUT!$X$3:$X$3000+INPUT!$Y$3:$Y$3000))),"")</f>
        <v>4</v>
      </c>
      <c r="DV11" s="42" cm="1">
        <f t="array" ref="DV11">IFERROR(IF(SUMPRODUCT((INPUT!$T$3:$T$3000=46043)*(INPUT!$U$3:$U$3000="HERRERO"))=0,"",SUMPRODUCT((INPUT!$T$3:$T$3000=46043)*(INPUT!$U$3:$U$3000="HERRERO")*(INPUT!$V$3:$V$3000+INPUT!$W$3:$W$3000+INPUT!$X$3:$X$3000+INPUT!$Y$3:$Y$3000))),"")</f>
        <v>4</v>
      </c>
      <c r="DW11" s="42" cm="1">
        <f t="array" ref="DW11">IFERROR(IF(SUMPRODUCT((INPUT!$T$3:$T$3000=46044)*(INPUT!$U$3:$U$3000="HERRERO"))=0,"",SUMPRODUCT((INPUT!$T$3:$T$3000=46044)*(INPUT!$U$3:$U$3000="HERRERO")*(INPUT!$V$3:$V$3000+INPUT!$W$3:$W$3000+INPUT!$X$3:$X$3000+INPUT!$Y$3:$Y$3000))),"")</f>
        <v>4</v>
      </c>
      <c r="DX11" s="42" cm="1">
        <f t="array" ref="DX11">IFERROR(IF(SUMPRODUCT((INPUT!$T$3:$T$3000=46045)*(INPUT!$U$3:$U$3000="HERRERO"))=0,"",SUMPRODUCT((INPUT!$T$3:$T$3000=46045)*(INPUT!$U$3:$U$3000="HERRERO")*(INPUT!$V$3:$V$3000+INPUT!$W$3:$W$3000+INPUT!$X$3:$X$3000+INPUT!$Y$3:$Y$3000))),"")</f>
        <v>4</v>
      </c>
      <c r="DY11" s="42" cm="1">
        <f t="array" ref="DY11">IFERROR(IF(SUMPRODUCT((INPUT!$T$3:$T$3000=46048)*(INPUT!$U$3:$U$3000="HERRERO"))=0,"",SUMPRODUCT((INPUT!$T$3:$T$3000=46048)*(INPUT!$U$3:$U$3000="HERRERO")*(INPUT!$V$3:$V$3000+INPUT!$W$3:$W$3000+INPUT!$X$3:$X$3000+INPUT!$Y$3:$Y$3000))),"")</f>
        <v>4</v>
      </c>
      <c r="DZ11" s="42" cm="1">
        <f t="array" ref="DZ11">IFERROR(IF(SUMPRODUCT((INPUT!$T$3:$T$3000=46049)*(INPUT!$U$3:$U$3000="HERRERO"))=0,"",SUMPRODUCT((INPUT!$T$3:$T$3000=46049)*(INPUT!$U$3:$U$3000="HERRERO")*(INPUT!$V$3:$V$3000+INPUT!$W$3:$W$3000+INPUT!$X$3:$X$3000+INPUT!$Y$3:$Y$3000))),"")</f>
        <v>4</v>
      </c>
      <c r="EA11" s="42" cm="1">
        <f t="array" ref="EA11">IFERROR(IF(SUMPRODUCT((INPUT!$T$3:$T$3000=46050)*(INPUT!$U$3:$U$3000="HERRERO"))=0,"",SUMPRODUCT((INPUT!$T$3:$T$3000=46050)*(INPUT!$U$3:$U$3000="HERRERO")*(INPUT!$V$3:$V$3000+INPUT!$W$3:$W$3000+INPUT!$X$3:$X$3000+INPUT!$Y$3:$Y$3000))),"")</f>
        <v>4</v>
      </c>
      <c r="EB11" s="42" cm="1">
        <f t="array" ref="EB11">IFERROR(IF(SUMPRODUCT((INPUT!$T$3:$T$3000=46051)*(INPUT!$U$3:$U$3000="HERRERO"))=0,"",SUMPRODUCT((INPUT!$T$3:$T$3000=46051)*(INPUT!$U$3:$U$3000="HERRERO")*(INPUT!$V$3:$V$3000+INPUT!$W$3:$W$3000+INPUT!$X$3:$X$3000+INPUT!$Y$3:$Y$3000))),"")</f>
        <v>4</v>
      </c>
      <c r="EC11" s="42" cm="1">
        <f t="array" ref="EC11">IFERROR(IF(SUMPRODUCT((INPUT!$T$3:$T$3000=46052)*(INPUT!$U$3:$U$3000="HERRERO"))=0,"",SUMPRODUCT((INPUT!$T$3:$T$3000=46052)*(INPUT!$U$3:$U$3000="HERRERO")*(INPUT!$V$3:$V$3000+INPUT!$W$3:$W$3000+INPUT!$X$3:$X$3000+INPUT!$Y$3:$Y$3000))),"")</f>
        <v>4</v>
      </c>
      <c r="ED11" s="42" cm="1">
        <f t="array" ref="ED11">IFERROR(IF(SUMPRODUCT((INPUT!$T$3:$T$3000=46055)*(INPUT!$U$3:$U$3000="HERRERO"))=0,"",SUMPRODUCT((INPUT!$T$3:$T$3000=46055)*(INPUT!$U$3:$U$3000="HERRERO")*(INPUT!$V$3:$V$3000+INPUT!$W$3:$W$3000+INPUT!$X$3:$X$3000+INPUT!$Y$3:$Y$3000))),"")</f>
        <v>4</v>
      </c>
      <c r="EE11" s="42" cm="1">
        <f t="array" ref="EE11">IFERROR(IF(SUMPRODUCT((INPUT!$T$3:$T$3000=46056)*(INPUT!$U$3:$U$3000="HERRERO"))=0,"",SUMPRODUCT((INPUT!$T$3:$T$3000=46056)*(INPUT!$U$3:$U$3000="HERRERO")*(INPUT!$V$3:$V$3000+INPUT!$W$3:$W$3000+INPUT!$X$3:$X$3000+INPUT!$Y$3:$Y$3000))),"")</f>
        <v>4</v>
      </c>
      <c r="EF11" s="42" cm="1">
        <f t="array" ref="EF11">IFERROR(IF(SUMPRODUCT((INPUT!$T$3:$T$3000=46057)*(INPUT!$U$3:$U$3000="HERRERO"))=0,"",SUMPRODUCT((INPUT!$T$3:$T$3000=46057)*(INPUT!$U$3:$U$3000="HERRERO")*(INPUT!$V$3:$V$3000+INPUT!$W$3:$W$3000+INPUT!$X$3:$X$3000+INPUT!$Y$3:$Y$3000))),"")</f>
        <v>4</v>
      </c>
      <c r="EG11" s="42" cm="1">
        <f t="array" ref="EG11">IFERROR(IF(SUMPRODUCT((INPUT!$T$3:$T$3000=46058)*(INPUT!$U$3:$U$3000="HERRERO"))=0,"",SUMPRODUCT((INPUT!$T$3:$T$3000=46058)*(INPUT!$U$3:$U$3000="HERRERO")*(INPUT!$V$3:$V$3000+INPUT!$W$3:$W$3000+INPUT!$X$3:$X$3000+INPUT!$Y$3:$Y$3000))),"")</f>
        <v>4</v>
      </c>
      <c r="EH11" s="42" cm="1">
        <f t="array" ref="EH11">IFERROR(IF(SUMPRODUCT((INPUT!$T$3:$T$3000=46059)*(INPUT!$U$3:$U$3000="HERRERO"))=0,"",SUMPRODUCT((INPUT!$T$3:$T$3000=46059)*(INPUT!$U$3:$U$3000="HERRERO")*(INPUT!$V$3:$V$3000+INPUT!$W$3:$W$3000+INPUT!$X$3:$X$3000+INPUT!$Y$3:$Y$3000))),"")</f>
        <v>4</v>
      </c>
      <c r="EI11" s="42" cm="1">
        <f t="array" ref="EI11">IFERROR(IF(SUMPRODUCT((INPUT!$T$3:$T$3000=46061)*(INPUT!$U$3:$U$3000="HERRERO"))=0,"",SUMPRODUCT((INPUT!$T$3:$T$3000=46061)*(INPUT!$U$3:$U$3000="HERRERO")*(INPUT!$V$3:$V$3000+INPUT!$W$3:$W$3000+INPUT!$X$3:$X$3000+INPUT!$Y$3:$Y$3000))),"")</f>
        <v>4</v>
      </c>
      <c r="EJ11" s="42" cm="1">
        <f t="array" ref="EJ11">IFERROR(IF(SUMPRODUCT((INPUT!$T$3:$T$3000=46062)*(INPUT!$U$3:$U$3000="HERRERO"))=0,"",SUMPRODUCT((INPUT!$T$3:$T$3000=46062)*(INPUT!$U$3:$U$3000="HERRERO")*(INPUT!$V$3:$V$3000+INPUT!$W$3:$W$3000+INPUT!$X$3:$X$3000+INPUT!$Y$3:$Y$3000))),"")</f>
        <v>4</v>
      </c>
      <c r="EK11" s="42" cm="1">
        <f t="array" ref="EK11">IFERROR(IF(SUMPRODUCT((INPUT!$T$3:$T$3000=46063)*(INPUT!$U$3:$U$3000="HERRERO"))=0,"",SUMPRODUCT((INPUT!$T$3:$T$3000=46063)*(INPUT!$U$3:$U$3000="HERRERO")*(INPUT!$V$3:$V$3000+INPUT!$W$3:$W$3000+INPUT!$X$3:$X$3000+INPUT!$Y$3:$Y$3000))),"")</f>
        <v>4</v>
      </c>
      <c r="EL11" s="42" cm="1">
        <f t="array" ref="EL11">IFERROR(IF(SUMPRODUCT((INPUT!$T$3:$T$3000=46064)*(INPUT!$U$3:$U$3000="HERRERO"))=0,"",SUMPRODUCT((INPUT!$T$3:$T$3000=46064)*(INPUT!$U$3:$U$3000="HERRERO")*(INPUT!$V$3:$V$3000+INPUT!$W$3:$W$3000+INPUT!$X$3:$X$3000+INPUT!$Y$3:$Y$3000))),"")</f>
        <v>4</v>
      </c>
      <c r="EM11" s="42" cm="1">
        <f t="array" ref="EM11">IFERROR(IF(SUMPRODUCT((INPUT!$T$3:$T$3000=46065)*(INPUT!$U$3:$U$3000="HERRERO"))=0,"",SUMPRODUCT((INPUT!$T$3:$T$3000=46065)*(INPUT!$U$3:$U$3000="HERRERO")*(INPUT!$V$3:$V$3000+INPUT!$W$3:$W$3000+INPUT!$X$3:$X$3000+INPUT!$Y$3:$Y$3000))),"")</f>
        <v>4</v>
      </c>
      <c r="EN11" s="42" cm="1">
        <f t="array" ref="EN11">IFERROR(IF(SUMPRODUCT((INPUT!$T$3:$T$3000=46066)*(INPUT!$U$3:$U$3000="HERRERO"))=0,"",SUMPRODUCT((INPUT!$T$3:$T$3000=46066)*(INPUT!$U$3:$U$3000="HERRERO")*(INPUT!$V$3:$V$3000+INPUT!$W$3:$W$3000+INPUT!$X$3:$X$3000+INPUT!$Y$3:$Y$3000))),"")</f>
        <v>4</v>
      </c>
      <c r="EO11" s="42" cm="1">
        <f t="array" ref="EO11">IFERROR(IF(SUMPRODUCT((INPUT!$T$3:$T$3000=46067)*(INPUT!$U$3:$U$3000="HERRERO"))=0,"",SUMPRODUCT((INPUT!$T$3:$T$3000=46067)*(INPUT!$U$3:$U$3000="HERRERO")*(INPUT!$V$3:$V$3000+INPUT!$W$3:$W$3000+INPUT!$X$3:$X$3000+INPUT!$Y$3:$Y$3000))),"")</f>
        <v>4</v>
      </c>
      <c r="EP11" s="42" cm="1">
        <f t="array" ref="EP11">IFERROR(IF(SUMPRODUCT((INPUT!$T$3:$T$3000=46069)*(INPUT!$U$3:$U$3000="HERRERO"))=0,"",SUMPRODUCT((INPUT!$T$3:$T$3000=46069)*(INPUT!$U$3:$U$3000="HERRERO")*(INPUT!$V$3:$V$3000+INPUT!$W$3:$W$3000+INPUT!$X$3:$X$3000+INPUT!$Y$3:$Y$3000))),"")</f>
        <v>4</v>
      </c>
      <c r="EQ11" s="42" cm="1">
        <f t="array" ref="EQ11">IFERROR(IF(SUMPRODUCT((INPUT!$T$3:$T$3000=46072)*(INPUT!$U$3:$U$3000="HERRERO"))=0,"",SUMPRODUCT((INPUT!$T$3:$T$3000=46072)*(INPUT!$U$3:$U$3000="HERRERO")*(INPUT!$V$3:$V$3000+INPUT!$W$3:$W$3000+INPUT!$X$3:$X$3000+INPUT!$Y$3:$Y$3000))),"")</f>
        <v>4</v>
      </c>
      <c r="ER11" s="42" cm="1">
        <f t="array" ref="ER11">IFERROR(IF(SUMPRODUCT((INPUT!$T$3:$T$3000=46073)*(INPUT!$U$3:$U$3000="HERRERO"))=0,"",SUMPRODUCT((INPUT!$T$3:$T$3000=46073)*(INPUT!$U$3:$U$3000="HERRERO")*(INPUT!$V$3:$V$3000+INPUT!$W$3:$W$3000+INPUT!$X$3:$X$3000+INPUT!$Y$3:$Y$3000))),"")</f>
        <v>4</v>
      </c>
      <c r="ES11" s="42" cm="1">
        <f t="array" ref="ES11">IFERROR(IF(SUMPRODUCT((INPUT!$T$3:$T$3000=46076)*(INPUT!$U$3:$U$3000="HERRERO"))=0,"",SUMPRODUCT((INPUT!$T$3:$T$3000=46076)*(INPUT!$U$3:$U$3000="HERRERO")*(INPUT!$V$3:$V$3000+INPUT!$W$3:$W$3000+INPUT!$X$3:$X$3000+INPUT!$Y$3:$Y$3000))),"")</f>
        <v>4</v>
      </c>
      <c r="ET11" s="42" cm="1">
        <f t="array" ref="ET11">IFERROR(IF(SUMPRODUCT((INPUT!$T$3:$T$3000=46077)*(INPUT!$U$3:$U$3000="HERRERO"))=0,"",SUMPRODUCT((INPUT!$T$3:$T$3000=46077)*(INPUT!$U$3:$U$3000="HERRERO")*(INPUT!$V$3:$V$3000+INPUT!$W$3:$W$3000+INPUT!$X$3:$X$3000+INPUT!$Y$3:$Y$3000))),"")</f>
        <v>4</v>
      </c>
      <c r="EU11" s="42" cm="1">
        <f t="array" ref="EU11">IFERROR(IF(SUMPRODUCT((INPUT!$T$3:$T$3000=46078)*(INPUT!$U$3:$U$3000="HERRERO"))=0,"",SUMPRODUCT((INPUT!$T$3:$T$3000=46078)*(INPUT!$U$3:$U$3000="HERRERO")*(INPUT!$V$3:$V$3000+INPUT!$W$3:$W$3000+INPUT!$X$3:$X$3000+INPUT!$Y$3:$Y$3000))),"")</f>
        <v>4</v>
      </c>
      <c r="EV11" s="42" cm="1">
        <f t="array" ref="EV11">IFERROR(IF(SUMPRODUCT((INPUT!$T$3:$T$3000=46079)*(INPUT!$U$3:$U$3000="HERRERO"))=0,"",SUMPRODUCT((INPUT!$T$3:$T$3000=46079)*(INPUT!$U$3:$U$3000="HERRERO")*(INPUT!$V$3:$V$3000+INPUT!$W$3:$W$3000+INPUT!$X$3:$X$3000+INPUT!$Y$3:$Y$3000))),"")</f>
        <v>4</v>
      </c>
      <c r="EW11" s="42" cm="1">
        <f t="array" ref="EW11">IFERROR(IF(SUMPRODUCT((INPUT!$T$3:$T$3000=46080)*(INPUT!$U$3:$U$3000="HERRERO"))=0,"",SUMPRODUCT((INPUT!$T$3:$T$3000=46080)*(INPUT!$U$3:$U$3000="HERRERO")*(INPUT!$V$3:$V$3000+INPUT!$W$3:$W$3000+INPUT!$X$3:$X$3000+INPUT!$Y$3:$Y$3000))),"")</f>
        <v>4</v>
      </c>
      <c r="EX11" s="42" cm="1">
        <f t="array" ref="EX11">IFERROR(IF(SUMPRODUCT((INPUT!$T$3:$T$3000=46082)*(INPUT!$U$3:$U$3000="HERRERO"))=0,"",SUMPRODUCT((INPUT!$T$3:$T$3000=46082)*(INPUT!$U$3:$U$3000="HERRERO")*(INPUT!$V$3:$V$3000+INPUT!$W$3:$W$3000+INPUT!$X$3:$X$3000+INPUT!$Y$3:$Y$3000))),"")</f>
        <v>4</v>
      </c>
      <c r="EY11" s="42" cm="1">
        <f t="array" ref="EY11">IFERROR(IF(SUMPRODUCT((INPUT!$T$3:$T$3000=46084)*(INPUT!$U$3:$U$3000="HERRERO"))=0,"",SUMPRODUCT((INPUT!$T$3:$T$3000=46084)*(INPUT!$U$3:$U$3000="HERRERO")*(INPUT!$V$3:$V$3000+INPUT!$W$3:$W$3000+INPUT!$X$3:$X$3000+INPUT!$Y$3:$Y$3000))),"")</f>
        <v>4</v>
      </c>
      <c r="EZ11" s="42" cm="1">
        <f t="array" ref="EZ11">IFERROR(IF(SUMPRODUCT((INPUT!$T$3:$T$3000=46085)*(INPUT!$U$3:$U$3000="HERRERO"))=0,"",SUMPRODUCT((INPUT!$T$3:$T$3000=46085)*(INPUT!$U$3:$U$3000="HERRERO")*(INPUT!$V$3:$V$3000+INPUT!$W$3:$W$3000+INPUT!$X$3:$X$3000+INPUT!$Y$3:$Y$3000))),"")</f>
        <v>4</v>
      </c>
      <c r="FA11" s="42" cm="1">
        <f t="array" ref="FA11">IFERROR(IF(SUMPRODUCT((INPUT!$T$3:$T$3000=46086)*(INPUT!$U$3:$U$3000="HERRERO"))=0,"",SUMPRODUCT((INPUT!$T$3:$T$3000=46086)*(INPUT!$U$3:$U$3000="HERRERO")*(INPUT!$V$3:$V$3000+INPUT!$W$3:$W$3000+INPUT!$X$3:$X$3000+INPUT!$Y$3:$Y$3000))),"")</f>
        <v>4</v>
      </c>
      <c r="FB11" s="42" cm="1">
        <f t="array" ref="FB11">IFERROR(IF(SUMPRODUCT((INPUT!$T$3:$T$3000=46087)*(INPUT!$U$3:$U$3000="HERRERO"))=0,"",SUMPRODUCT((INPUT!$T$3:$T$3000=46087)*(INPUT!$U$3:$U$3000="HERRERO")*(INPUT!$V$3:$V$3000+INPUT!$W$3:$W$3000+INPUT!$X$3:$X$3000+INPUT!$Y$3:$Y$3000))),"")</f>
        <v>4</v>
      </c>
      <c r="FC11" s="42" cm="1">
        <f t="array" ref="FC11">IFERROR(IF(SUMPRODUCT((INPUT!$T$3:$T$3000=46090)*(INPUT!$U$3:$U$3000="HERRERO"))=0,"",SUMPRODUCT((INPUT!$T$3:$T$3000=46090)*(INPUT!$U$3:$U$3000="HERRERO")*(INPUT!$V$3:$V$3000+INPUT!$W$3:$W$3000+INPUT!$X$3:$X$3000+INPUT!$Y$3:$Y$3000))),"")</f>
        <v>4</v>
      </c>
      <c r="FD11" s="42" cm="1">
        <f t="array" ref="FD11">IFERROR(IF(SUMPRODUCT((INPUT!$T$3:$T$3000=46091)*(INPUT!$U$3:$U$3000="HERRERO"))=0,"",SUMPRODUCT((INPUT!$T$3:$T$3000=46091)*(INPUT!$U$3:$U$3000="HERRERO")*(INPUT!$V$3:$V$3000+INPUT!$W$3:$W$3000+INPUT!$X$3:$X$3000+INPUT!$Y$3:$Y$3000))),"")</f>
        <v>4</v>
      </c>
      <c r="FE11" s="42" cm="1">
        <f t="array" ref="FE11">IFERROR(IF(SUMPRODUCT((INPUT!$T$3:$T$3000=46092)*(INPUT!$U$3:$U$3000="HERRERO"))=0,"",SUMPRODUCT((INPUT!$T$3:$T$3000=46092)*(INPUT!$U$3:$U$3000="HERRERO")*(INPUT!$V$3:$V$3000+INPUT!$W$3:$W$3000+INPUT!$X$3:$X$3000+INPUT!$Y$3:$Y$3000))),"")</f>
        <v>4</v>
      </c>
      <c r="FF11" s="42" cm="1">
        <f t="array" ref="FF11">IFERROR(IF(SUMPRODUCT((INPUT!$T$3:$T$3000=46093)*(INPUT!$U$3:$U$3000="HERRERO"))=0,"",SUMPRODUCT((INPUT!$T$3:$T$3000=46093)*(INPUT!$U$3:$U$3000="HERRERO")*(INPUT!$V$3:$V$3000+INPUT!$W$3:$W$3000+INPUT!$X$3:$X$3000+INPUT!$Y$3:$Y$3000))),"")</f>
        <v>4</v>
      </c>
      <c r="FG11" s="42" cm="1">
        <f t="array" ref="FG11">IFERROR(IF(SUMPRODUCT((INPUT!$T$3:$T$3000=46094)*(INPUT!$U$3:$U$3000="HERRERO"))=0,"",SUMPRODUCT((INPUT!$T$3:$T$3000=46094)*(INPUT!$U$3:$U$3000="HERRERO")*(INPUT!$V$3:$V$3000+INPUT!$W$3:$W$3000+INPUT!$X$3:$X$3000+INPUT!$Y$3:$Y$3000))),"")</f>
        <v>4</v>
      </c>
      <c r="FH11" s="42" cm="1">
        <f t="array" ref="FH11">IFERROR(IF(SUMPRODUCT((INPUT!$T$3:$T$3000=46096)*(INPUT!$U$3:$U$3000="HERRERO"))=0,"",SUMPRODUCT((INPUT!$T$3:$T$3000=46096)*(INPUT!$U$3:$U$3000="HERRERO")*(INPUT!$V$3:$V$3000+INPUT!$W$3:$W$3000+INPUT!$X$3:$X$3000+INPUT!$Y$3:$Y$3000))),"")</f>
        <v>4</v>
      </c>
      <c r="FI11" s="42" cm="1">
        <f t="array" ref="FI11">IFERROR(IF(SUMPRODUCT((INPUT!$T$3:$T$3000=46097)*(INPUT!$U$3:$U$3000="HERRERO"))=0,"",SUMPRODUCT((INPUT!$T$3:$T$3000=46097)*(INPUT!$U$3:$U$3000="HERRERO")*(INPUT!$V$3:$V$3000+INPUT!$W$3:$W$3000+INPUT!$X$3:$X$3000+INPUT!$Y$3:$Y$3000))),"")</f>
        <v>4</v>
      </c>
      <c r="FJ11" s="42" cm="1">
        <f t="array" ref="FJ11">IFERROR(IF(SUMPRODUCT((INPUT!$T$3:$T$3000=46098)*(INPUT!$U$3:$U$3000="HERRERO"))=0,"",SUMPRODUCT((INPUT!$T$3:$T$3000=46098)*(INPUT!$U$3:$U$3000="HERRERO")*(INPUT!$V$3:$V$3000+INPUT!$W$3:$W$3000+INPUT!$X$3:$X$3000+INPUT!$Y$3:$Y$3000))),"")</f>
        <v>4</v>
      </c>
      <c r="FK11" s="42" cm="1">
        <f t="array" ref="FK11">IFERROR(IF(SUMPRODUCT((INPUT!$T$3:$T$3000=46099)*(INPUT!$U$3:$U$3000="HERRERO"))=0,"",SUMPRODUCT((INPUT!$T$3:$T$3000=46099)*(INPUT!$U$3:$U$3000="HERRERO")*(INPUT!$V$3:$V$3000+INPUT!$W$3:$W$3000+INPUT!$X$3:$X$3000+INPUT!$Y$3:$Y$3000))),"")</f>
        <v>4</v>
      </c>
      <c r="FL11" s="42" cm="1">
        <f t="array" ref="FL11">IFERROR(IF(SUMPRODUCT((INPUT!$T$3:$T$3000=46102)*(INPUT!$U$3:$U$3000="HERRERO"))=0,"",SUMPRODUCT((INPUT!$T$3:$T$3000=46102)*(INPUT!$U$3:$U$3000="HERRERO")*(INPUT!$V$3:$V$3000+INPUT!$W$3:$W$3000+INPUT!$X$3:$X$3000+INPUT!$Y$3:$Y$3000))),"")</f>
        <v>4</v>
      </c>
      <c r="FM11" s="42" cm="1">
        <f t="array" ref="FM11">IFERROR(IF(SUMPRODUCT((INPUT!$T$3:$T$3000=46105)*(INPUT!$U$3:$U$3000="HERRERO"))=0,"",SUMPRODUCT((INPUT!$T$3:$T$3000=46105)*(INPUT!$U$3:$U$3000="HERRERO")*(INPUT!$V$3:$V$3000+INPUT!$W$3:$W$3000+INPUT!$X$3:$X$3000+INPUT!$Y$3:$Y$3000))),"")</f>
        <v>4</v>
      </c>
      <c r="FN11" s="42" cm="1">
        <f t="array" ref="FN11">IFERROR(IF(SUMPRODUCT((INPUT!$T$3:$T$3000=46106)*(INPUT!$U$3:$U$3000="HERRERO"))=0,"",SUMPRODUCT((INPUT!$T$3:$T$3000=46106)*(INPUT!$U$3:$U$3000="HERRERO")*(INPUT!$V$3:$V$3000+INPUT!$W$3:$W$3000+INPUT!$X$3:$X$3000+INPUT!$Y$3:$Y$3000))),"")</f>
        <v>4</v>
      </c>
      <c r="FO11" s="42" cm="1">
        <f t="array" ref="FO11">IFERROR(IF(SUMPRODUCT((INPUT!$T$3:$T$3000=46107)*(INPUT!$U$3:$U$3000="HERRERO"))=0,"",SUMPRODUCT((INPUT!$T$3:$T$3000=46107)*(INPUT!$U$3:$U$3000="HERRERO")*(INPUT!$V$3:$V$3000+INPUT!$W$3:$W$3000+INPUT!$X$3:$X$3000+INPUT!$Y$3:$Y$3000))),"")</f>
        <v>4</v>
      </c>
      <c r="FP11" s="42" cm="1">
        <f t="array" ref="FP11">IFERROR(IF(SUMPRODUCT((INPUT!$T$3:$T$3000=46108)*(INPUT!$U$3:$U$3000="HERRERO"))=0,"",SUMPRODUCT((INPUT!$T$3:$T$3000=46108)*(INPUT!$U$3:$U$3000="HERRERO")*(INPUT!$V$3:$V$3000+INPUT!$W$3:$W$3000+INPUT!$X$3:$X$3000+INPUT!$Y$3:$Y$3000))),"")</f>
        <v>4</v>
      </c>
      <c r="FQ11" s="42" cm="1">
        <f t="array" ref="FQ11">IFERROR(IF(SUMPRODUCT((INPUT!$T$3:$T$3000=46109)*(INPUT!$U$3:$U$3000="HERRERO"))=0,"",SUMPRODUCT((INPUT!$T$3:$T$3000=46109)*(INPUT!$U$3:$U$3000="HERRERO")*(INPUT!$V$3:$V$3000+INPUT!$W$3:$W$3000+INPUT!$X$3:$X$3000+INPUT!$Y$3:$Y$3000))),"")</f>
        <v>4</v>
      </c>
      <c r="FR11" s="42" cm="1">
        <f t="array" ref="FR11">IFERROR(IF(SUMPRODUCT((INPUT!$T$3:$T$3000=46111)*(INPUT!$U$3:$U$3000="HERRERO"))=0,"",SUMPRODUCT((INPUT!$T$3:$T$3000=46111)*(INPUT!$U$3:$U$3000="HERRERO")*(INPUT!$V$3:$V$3000+INPUT!$W$3:$W$3000+INPUT!$X$3:$X$3000+INPUT!$Y$3:$Y$3000))),"")</f>
        <v>4</v>
      </c>
      <c r="FS11" s="42" cm="1">
        <f t="array" ref="FS11">IFERROR(IF(SUMPRODUCT((INPUT!$T$3:$T$3000=46112)*(INPUT!$U$3:$U$3000="HERRERO"))=0,"",SUMPRODUCT((INPUT!$T$3:$T$3000=46112)*(INPUT!$U$3:$U$3000="HERRERO")*(INPUT!$V$3:$V$3000+INPUT!$W$3:$W$3000+INPUT!$X$3:$X$3000+INPUT!$Y$3:$Y$3000))),"")</f>
        <v>4</v>
      </c>
      <c r="FT11" s="42" cm="1">
        <f t="array" ref="FT11">IFERROR(IF(SUMPRODUCT((INPUT!$T$3:$T$3000=46113)*(INPUT!$U$3:$U$3000="HERRERO"))=0,"",SUMPRODUCT((INPUT!$T$3:$T$3000=46113)*(INPUT!$U$3:$U$3000="HERRERO")*(INPUT!$V$3:$V$3000+INPUT!$W$3:$W$3000+INPUT!$X$3:$X$3000+INPUT!$Y$3:$Y$3000))),"")</f>
        <v>4</v>
      </c>
      <c r="FU11" s="42" cm="1">
        <f t="array" ref="FU11">IFERROR(IF(SUMPRODUCT((INPUT!$T$3:$T$3000=46114)*(INPUT!$U$3:$U$3000="HERRERO"))=0,"",SUMPRODUCT((INPUT!$T$3:$T$3000=46114)*(INPUT!$U$3:$U$3000="HERRERO")*(INPUT!$V$3:$V$3000+INPUT!$W$3:$W$3000+INPUT!$X$3:$X$3000+INPUT!$Y$3:$Y$3000))),"")</f>
        <v>4</v>
      </c>
      <c r="FV11" s="42" cm="1">
        <f t="array" ref="FV11">IFERROR(IF(SUMPRODUCT((INPUT!$T$3:$T$3000=46115)*(INPUT!$U$3:$U$3000="HERRERO"))=0,"",SUMPRODUCT((INPUT!$T$3:$T$3000=46115)*(INPUT!$U$3:$U$3000="HERRERO")*(INPUT!$V$3:$V$3000+INPUT!$W$3:$W$3000+INPUT!$X$3:$X$3000+INPUT!$Y$3:$Y$3000))),"")</f>
        <v>4</v>
      </c>
      <c r="FW11" s="42" cm="1">
        <f t="array" ref="FW11">IFERROR(IF(SUMPRODUCT((INPUT!$T$3:$T$3000=46116)*(INPUT!$U$3:$U$3000="HERRERO"))=0,"",SUMPRODUCT((INPUT!$T$3:$T$3000=46116)*(INPUT!$U$3:$U$3000="HERRERO")*(INPUT!$V$3:$V$3000+INPUT!$W$3:$W$3000+INPUT!$X$3:$X$3000+INPUT!$Y$3:$Y$3000))),"")</f>
        <v>4</v>
      </c>
      <c r="FX11" s="42" cm="1">
        <f t="array" ref="FX11">IFERROR(IF(SUMPRODUCT((INPUT!$T$3:$T$3000=46118)*(INPUT!$U$3:$U$3000="HERRERO"))=0,"",SUMPRODUCT((INPUT!$T$3:$T$3000=46118)*(INPUT!$U$3:$U$3000="HERRERO")*(INPUT!$V$3:$V$3000+INPUT!$W$3:$W$3000+INPUT!$X$3:$X$3000+INPUT!$Y$3:$Y$3000))),"")</f>
        <v>4</v>
      </c>
      <c r="FY11" s="42" cm="1">
        <f t="array" ref="FY11">IFERROR(IF(SUMPRODUCT((INPUT!$T$3:$T$3000=46119)*(INPUT!$U$3:$U$3000="HERRERO"))=0,"",SUMPRODUCT((INPUT!$T$3:$T$3000=46119)*(INPUT!$U$3:$U$3000="HERRERO")*(INPUT!$V$3:$V$3000+INPUT!$W$3:$W$3000+INPUT!$X$3:$X$3000+INPUT!$Y$3:$Y$3000))),"")</f>
        <v>4</v>
      </c>
      <c r="FZ11" s="42" cm="1">
        <f t="array" ref="FZ11">IFERROR(IF(SUMPRODUCT((INPUT!$T$3:$T$3000=46120)*(INPUT!$U$3:$U$3000="HERRERO"))=0,"",SUMPRODUCT((INPUT!$T$3:$T$3000=46120)*(INPUT!$U$3:$U$3000="HERRERO")*(INPUT!$V$3:$V$3000+INPUT!$W$3:$W$3000+INPUT!$X$3:$X$3000+INPUT!$Y$3:$Y$3000))),"")</f>
        <v>4</v>
      </c>
      <c r="GA11" s="42" cm="1">
        <f t="array" ref="GA11">IFERROR(IF(SUMPRODUCT((INPUT!$T$3:$T$3000=46121)*(INPUT!$U$3:$U$3000="HERRERO"))=0,"",SUMPRODUCT((INPUT!$T$3:$T$3000=46121)*(INPUT!$U$3:$U$3000="HERRERO")*(INPUT!$V$3:$V$3000+INPUT!$W$3:$W$3000+INPUT!$X$3:$X$3000+INPUT!$Y$3:$Y$3000))),"")</f>
        <v>4</v>
      </c>
      <c r="GB11" s="42" cm="1">
        <f t="array" ref="GB11">IFERROR(IF(SUMPRODUCT((INPUT!$T$3:$T$3000=46122)*(INPUT!$U$3:$U$3000="HERRERO"))=0,"",SUMPRODUCT((INPUT!$T$3:$T$3000=46122)*(INPUT!$U$3:$U$3000="HERRERO")*(INPUT!$V$3:$V$3000+INPUT!$W$3:$W$3000+INPUT!$X$3:$X$3000+INPUT!$Y$3:$Y$3000))),"")</f>
        <v>4</v>
      </c>
      <c r="GC11" s="42" cm="1">
        <f t="array" ref="GC11">IFERROR(IF(SUMPRODUCT((INPUT!$T$3:$T$3000=46125)*(INPUT!$U$3:$U$3000="HERRERO"))=0,"",SUMPRODUCT((INPUT!$T$3:$T$3000=46125)*(INPUT!$U$3:$U$3000="HERRERO")*(INPUT!$V$3:$V$3000+INPUT!$W$3:$W$3000+INPUT!$X$3:$X$3000+INPUT!$Y$3:$Y$3000))),"")</f>
        <v>4</v>
      </c>
      <c r="GD11" s="42" cm="1">
        <f t="array" ref="GD11">IFERROR(IF(SUMPRODUCT((INPUT!$T$3:$T$3000=46126)*(INPUT!$U$3:$U$3000="HERRERO"))=0,"",SUMPRODUCT((INPUT!$T$3:$T$3000=46126)*(INPUT!$U$3:$U$3000="HERRERO")*(INPUT!$V$3:$V$3000+INPUT!$W$3:$W$3000+INPUT!$X$3:$X$3000+INPUT!$Y$3:$Y$3000))),"")</f>
        <v>4</v>
      </c>
      <c r="GE11" s="42" cm="1">
        <f t="array" ref="GE11">IFERROR(IF(SUMPRODUCT((INPUT!$T$3:$T$3000=46127)*(INPUT!$U$3:$U$3000="HERRERO"))=0,"",SUMPRODUCT((INPUT!$T$3:$T$3000=46127)*(INPUT!$U$3:$U$3000="HERRERO")*(INPUT!$V$3:$V$3000+INPUT!$W$3:$W$3000+INPUT!$X$3:$X$3000+INPUT!$Y$3:$Y$3000))),"")</f>
        <v>4</v>
      </c>
      <c r="GF11" s="42" cm="1">
        <f t="array" ref="GF11">IFERROR(IF(SUMPRODUCT((INPUT!$T$3:$T$3000=46128)*(INPUT!$U$3:$U$3000="HERRERO"))=0,"",SUMPRODUCT((INPUT!$T$3:$T$3000=46128)*(INPUT!$U$3:$U$3000="HERRERO")*(INPUT!$V$3:$V$3000+INPUT!$W$3:$W$3000+INPUT!$X$3:$X$3000+INPUT!$Y$3:$Y$3000))),"")</f>
        <v>4</v>
      </c>
      <c r="GG11" s="42" cm="1">
        <f t="array" ref="GG11">IFERROR(IF(SUMPRODUCT((INPUT!$T$3:$T$3000=46129)*(INPUT!$U$3:$U$3000="HERRERO"))=0,"",SUMPRODUCT((INPUT!$T$3:$T$3000=46129)*(INPUT!$U$3:$U$3000="HERRERO")*(INPUT!$V$3:$V$3000+INPUT!$W$3:$W$3000+INPUT!$X$3:$X$3000+INPUT!$Y$3:$Y$3000))),"")</f>
        <v>4</v>
      </c>
      <c r="GH11" s="42" cm="1">
        <f t="array" ref="GH11">IFERROR(IF(SUMPRODUCT((INPUT!$T$3:$T$3000=46130)*(INPUT!$U$3:$U$3000="HERRERO"))=0,"",SUMPRODUCT((INPUT!$T$3:$T$3000=46130)*(INPUT!$U$3:$U$3000="HERRERO")*(INPUT!$V$3:$V$3000+INPUT!$W$3:$W$3000+INPUT!$X$3:$X$3000+INPUT!$Y$3:$Y$3000))),"")</f>
        <v>4</v>
      </c>
      <c r="GI11" s="42" cm="1">
        <f t="array" ref="GI11">IFERROR(IF(SUMPRODUCT((INPUT!$T$3:$T$3000=46132)*(INPUT!$U$3:$U$3000="HERRERO"))=0,"",SUMPRODUCT((INPUT!$T$3:$T$3000=46132)*(INPUT!$U$3:$U$3000="HERRERO")*(INPUT!$V$3:$V$3000+INPUT!$W$3:$W$3000+INPUT!$X$3:$X$3000+INPUT!$Y$3:$Y$3000))),"")</f>
        <v>4</v>
      </c>
    </row>
    <row r="12" spans="1:191" x14ac:dyDescent="0.2">
      <c r="A12" t="s">
        <v>58</v>
      </c>
      <c r="B12" s="42" cm="1">
        <f t="array" ref="B12">IFERROR(IF(SUMPRODUCT((INPUT!$T$3:$T$3000=45868)*(INPUT!$U$3:$U$3000="JAIME"))=0,"",SUMPRODUCT((INPUT!$T$3:$T$3000=45868)*(INPUT!$U$3:$U$3000="JAIME")*(INPUT!$V$3:$V$3000+INPUT!$W$3:$W$3000+INPUT!$X$3:$X$3000+INPUT!$Y$3:$Y$3000))),"")</f>
        <v>19</v>
      </c>
      <c r="C12" s="42" cm="1">
        <f t="array" ref="C12">IFERROR(IF(SUMPRODUCT((INPUT!$T$3:$T$3000=45869)*(INPUT!$U$3:$U$3000="JAIME"))=0,"",SUMPRODUCT((INPUT!$T$3:$T$3000=45869)*(INPUT!$U$3:$U$3000="JAIME")*(INPUT!$V$3:$V$3000+INPUT!$W$3:$W$3000+INPUT!$X$3:$X$3000+INPUT!$Y$3:$Y$3000))),"")</f>
        <v>17</v>
      </c>
      <c r="D12" s="42" cm="1">
        <f t="array" ref="D12">IFERROR(IF(SUMPRODUCT((INPUT!$T$3:$T$3000=45870)*(INPUT!$U$3:$U$3000="JAIME"))=0,"",SUMPRODUCT((INPUT!$T$3:$T$3000=45870)*(INPUT!$U$3:$U$3000="JAIME")*(INPUT!$V$3:$V$3000+INPUT!$W$3:$W$3000+INPUT!$X$3:$X$3000+INPUT!$Y$3:$Y$3000))),"")</f>
        <v>14</v>
      </c>
      <c r="E12" s="42" cm="1">
        <f t="array" ref="E12">IFERROR(IF(SUMPRODUCT((INPUT!$T$3:$T$3000=45873)*(INPUT!$U$3:$U$3000="JAIME"))=0,"",SUMPRODUCT((INPUT!$T$3:$T$3000=45873)*(INPUT!$U$3:$U$3000="JAIME")*(INPUT!$V$3:$V$3000+INPUT!$W$3:$W$3000+INPUT!$X$3:$X$3000+INPUT!$Y$3:$Y$3000))),"")</f>
        <v>17</v>
      </c>
      <c r="F12" s="42" cm="1">
        <f t="array" ref="F12">IFERROR(IF(SUMPRODUCT((INPUT!$T$3:$T$3000=45874)*(INPUT!$U$3:$U$3000="JAIME"))=0,"",SUMPRODUCT((INPUT!$T$3:$T$3000=45874)*(INPUT!$U$3:$U$3000="JAIME")*(INPUT!$V$3:$V$3000+INPUT!$W$3:$W$3000+INPUT!$X$3:$X$3000+INPUT!$Y$3:$Y$3000))),"")</f>
        <v>16</v>
      </c>
      <c r="G12" s="42" cm="1">
        <f t="array" ref="G12">IFERROR(IF(SUMPRODUCT((INPUT!$T$3:$T$3000=45875)*(INPUT!$U$3:$U$3000="JAIME"))=0,"",SUMPRODUCT((INPUT!$T$3:$T$3000=45875)*(INPUT!$U$3:$U$3000="JAIME")*(INPUT!$V$3:$V$3000+INPUT!$W$3:$W$3000+INPUT!$X$3:$X$3000+INPUT!$Y$3:$Y$3000))),"")</f>
        <v>15</v>
      </c>
      <c r="H12" s="42" cm="1">
        <f t="array" ref="H12">IFERROR(IF(SUMPRODUCT((INPUT!$T$3:$T$3000=45876)*(INPUT!$U$3:$U$3000="JAIME"))=0,"",SUMPRODUCT((INPUT!$T$3:$T$3000=45876)*(INPUT!$U$3:$U$3000="JAIME")*(INPUT!$V$3:$V$3000+INPUT!$W$3:$W$3000+INPUT!$X$3:$X$3000+INPUT!$Y$3:$Y$3000))),"")</f>
        <v>17</v>
      </c>
      <c r="I12" s="42" cm="1">
        <f t="array" ref="I12">IFERROR(IF(SUMPRODUCT((INPUT!$T$3:$T$3000=45877)*(INPUT!$U$3:$U$3000="JAIME"))=0,"",SUMPRODUCT((INPUT!$T$3:$T$3000=45877)*(INPUT!$U$3:$U$3000="JAIME")*(INPUT!$V$3:$V$3000+INPUT!$W$3:$W$3000+INPUT!$X$3:$X$3000+INPUT!$Y$3:$Y$3000))),"")</f>
        <v>15</v>
      </c>
      <c r="J12" s="42" cm="1">
        <f t="array" ref="J12">IFERROR(IF(SUMPRODUCT((INPUT!$T$3:$T$3000=45878)*(INPUT!$U$3:$U$3000="JAIME"))=0,"",SUMPRODUCT((INPUT!$T$3:$T$3000=45878)*(INPUT!$U$3:$U$3000="JAIME")*(INPUT!$V$3:$V$3000+INPUT!$W$3:$W$3000+INPUT!$X$3:$X$3000+INPUT!$Y$3:$Y$3000))),"")</f>
        <v>15</v>
      </c>
      <c r="K12" s="42" cm="1">
        <f t="array" ref="K12">IFERROR(IF(SUMPRODUCT((INPUT!$T$3:$T$3000=45880)*(INPUT!$U$3:$U$3000="JAIME"))=0,"",SUMPRODUCT((INPUT!$T$3:$T$3000=45880)*(INPUT!$U$3:$U$3000="JAIME")*(INPUT!$V$3:$V$3000+INPUT!$W$3:$W$3000+INPUT!$X$3:$X$3000+INPUT!$Y$3:$Y$3000))),"")</f>
        <v>18</v>
      </c>
      <c r="L12" s="42" cm="1">
        <f t="array" ref="L12">IFERROR(IF(SUMPRODUCT((INPUT!$T$3:$T$3000=45881)*(INPUT!$U$3:$U$3000="JAIME"))=0,"",SUMPRODUCT((INPUT!$T$3:$T$3000=45881)*(INPUT!$U$3:$U$3000="JAIME")*(INPUT!$V$3:$V$3000+INPUT!$W$3:$W$3000+INPUT!$X$3:$X$3000+INPUT!$Y$3:$Y$3000))),"")</f>
        <v>15</v>
      </c>
      <c r="M12" s="42" cm="1">
        <f t="array" ref="M12">IFERROR(IF(SUMPRODUCT((INPUT!$T$3:$T$3000=45882)*(INPUT!$U$3:$U$3000="JAIME"))=0,"",SUMPRODUCT((INPUT!$T$3:$T$3000=45882)*(INPUT!$U$3:$U$3000="JAIME")*(INPUT!$V$3:$V$3000+INPUT!$W$3:$W$3000+INPUT!$X$3:$X$3000+INPUT!$Y$3:$Y$3000))),"")</f>
        <v>16</v>
      </c>
      <c r="N12" s="42" cm="1">
        <f t="array" ref="N12">IFERROR(IF(SUMPRODUCT((INPUT!$T$3:$T$3000=45883)*(INPUT!$U$3:$U$3000="JAIME"))=0,"",SUMPRODUCT((INPUT!$T$3:$T$3000=45883)*(INPUT!$U$3:$U$3000="JAIME")*(INPUT!$V$3:$V$3000+INPUT!$W$3:$W$3000+INPUT!$X$3:$X$3000+INPUT!$Y$3:$Y$3000))),"")</f>
        <v>15</v>
      </c>
      <c r="O12" s="42" cm="1">
        <f t="array" ref="O12">IFERROR(IF(SUMPRODUCT((INPUT!$T$3:$T$3000=45884)*(INPUT!$U$3:$U$3000="JAIME"))=0,"",SUMPRODUCT((INPUT!$T$3:$T$3000=45884)*(INPUT!$U$3:$U$3000="JAIME")*(INPUT!$V$3:$V$3000+INPUT!$W$3:$W$3000+INPUT!$X$3:$X$3000+INPUT!$Y$3:$Y$3000))),"")</f>
        <v>16</v>
      </c>
      <c r="P12" s="42" cm="1">
        <f t="array" ref="P12">IFERROR(IF(SUMPRODUCT((INPUT!$T$3:$T$3000=45887)*(INPUT!$U$3:$U$3000="JAIME"))=0,"",SUMPRODUCT((INPUT!$T$3:$T$3000=45887)*(INPUT!$U$3:$U$3000="JAIME")*(INPUT!$V$3:$V$3000+INPUT!$W$3:$W$3000+INPUT!$X$3:$X$3000+INPUT!$Y$3:$Y$3000))),"")</f>
        <v>17</v>
      </c>
      <c r="Q12" s="42" cm="1">
        <f t="array" ref="Q12">IFERROR(IF(SUMPRODUCT((INPUT!$T$3:$T$3000=45888)*(INPUT!$U$3:$U$3000="JAIME"))=0,"",SUMPRODUCT((INPUT!$T$3:$T$3000=45888)*(INPUT!$U$3:$U$3000="JAIME")*(INPUT!$V$3:$V$3000+INPUT!$W$3:$W$3000+INPUT!$X$3:$X$3000+INPUT!$Y$3:$Y$3000))),"")</f>
        <v>16</v>
      </c>
      <c r="R12" s="42" cm="1">
        <f t="array" ref="R12">IFERROR(IF(SUMPRODUCT((INPUT!$T$3:$T$3000=45889)*(INPUT!$U$3:$U$3000="JAIME"))=0,"",SUMPRODUCT((INPUT!$T$3:$T$3000=45889)*(INPUT!$U$3:$U$3000="JAIME")*(INPUT!$V$3:$V$3000+INPUT!$W$3:$W$3000+INPUT!$X$3:$X$3000+INPUT!$Y$3:$Y$3000))),"")</f>
        <v>16</v>
      </c>
      <c r="S12" s="42" cm="1">
        <f t="array" ref="S12">IFERROR(IF(SUMPRODUCT((INPUT!$T$3:$T$3000=45890)*(INPUT!$U$3:$U$3000="JAIME"))=0,"",SUMPRODUCT((INPUT!$T$3:$T$3000=45890)*(INPUT!$U$3:$U$3000="JAIME")*(INPUT!$V$3:$V$3000+INPUT!$W$3:$W$3000+INPUT!$X$3:$X$3000+INPUT!$Y$3:$Y$3000))),"")</f>
        <v>15</v>
      </c>
      <c r="T12" s="42" cm="1">
        <f t="array" ref="T12">IFERROR(IF(SUMPRODUCT((INPUT!$T$3:$T$3000=45891)*(INPUT!$U$3:$U$3000="JAIME"))=0,"",SUMPRODUCT((INPUT!$T$3:$T$3000=45891)*(INPUT!$U$3:$U$3000="JAIME")*(INPUT!$V$3:$V$3000+INPUT!$W$3:$W$3000+INPUT!$X$3:$X$3000+INPUT!$Y$3:$Y$3000))),"")</f>
        <v>16</v>
      </c>
      <c r="U12" s="42" cm="1">
        <f t="array" ref="U12">IFERROR(IF(SUMPRODUCT((INPUT!$T$3:$T$3000=45892)*(INPUT!$U$3:$U$3000="JAIME"))=0,"",SUMPRODUCT((INPUT!$T$3:$T$3000=45892)*(INPUT!$U$3:$U$3000="JAIME")*(INPUT!$V$3:$V$3000+INPUT!$W$3:$W$3000+INPUT!$X$3:$X$3000+INPUT!$Y$3:$Y$3000))),"")</f>
        <v>17</v>
      </c>
      <c r="V12" s="42" cm="1">
        <f t="array" ref="V12">IFERROR(IF(SUMPRODUCT((INPUT!$T$3:$T$3000=45893)*(INPUT!$U$3:$U$3000="JAIME"))=0,"",SUMPRODUCT((INPUT!$T$3:$T$3000=45893)*(INPUT!$U$3:$U$3000="JAIME")*(INPUT!$V$3:$V$3000+INPUT!$W$3:$W$3000+INPUT!$X$3:$X$3000+INPUT!$Y$3:$Y$3000))),"")</f>
        <v>16</v>
      </c>
      <c r="W12" s="42" t="str" cm="1">
        <f t="array" ref="W12">IFERROR(IF(SUMPRODUCT((INPUT!$T$3:$T$3000=45895)*(INPUT!$U$3:$U$3000="JAIME"))=0,"",SUMPRODUCT((INPUT!$T$3:$T$3000=45895)*(INPUT!$U$3:$U$3000="JAIME")*(INPUT!$V$3:$V$3000+INPUT!$W$3:$W$3000+INPUT!$X$3:$X$3000+INPUT!$Y$3:$Y$3000))),"")</f>
        <v/>
      </c>
      <c r="X12" s="42" t="str" cm="1">
        <f t="array" ref="X12">IFERROR(IF(SUMPRODUCT((INPUT!$T$3:$T$3000=45896)*(INPUT!$U$3:$U$3000="JAIME"))=0,"",SUMPRODUCT((INPUT!$T$3:$T$3000=45896)*(INPUT!$U$3:$U$3000="JAIME")*(INPUT!$V$3:$V$3000+INPUT!$W$3:$W$3000+INPUT!$X$3:$X$3000+INPUT!$Y$3:$Y$3000))),"")</f>
        <v/>
      </c>
      <c r="Y12" s="42" t="str" cm="1">
        <f t="array" ref="Y12">IFERROR(IF(SUMPRODUCT((INPUT!$T$3:$T$3000=45898)*(INPUT!$U$3:$U$3000="JAIME"))=0,"",SUMPRODUCT((INPUT!$T$3:$T$3000=45898)*(INPUT!$U$3:$U$3000="JAIME")*(INPUT!$V$3:$V$3000+INPUT!$W$3:$W$3000+INPUT!$X$3:$X$3000+INPUT!$Y$3:$Y$3000))),"")</f>
        <v/>
      </c>
      <c r="Z12" s="42" t="str" cm="1">
        <f t="array" ref="Z12">IFERROR(IF(SUMPRODUCT((INPUT!$T$3:$T$3000=45899)*(INPUT!$U$3:$U$3000="JAIME"))=0,"",SUMPRODUCT((INPUT!$T$3:$T$3000=45899)*(INPUT!$U$3:$U$3000="JAIME")*(INPUT!$V$3:$V$3000+INPUT!$W$3:$W$3000+INPUT!$X$3:$X$3000+INPUT!$Y$3:$Y$3000))),"")</f>
        <v/>
      </c>
      <c r="AA12" s="42" t="str" cm="1">
        <f t="array" ref="AA12">IFERROR(IF(SUMPRODUCT((INPUT!$T$3:$T$3000=45900)*(INPUT!$U$3:$U$3000="JAIME"))=0,"",SUMPRODUCT((INPUT!$T$3:$T$3000=45900)*(INPUT!$U$3:$U$3000="JAIME")*(INPUT!$V$3:$V$3000+INPUT!$W$3:$W$3000+INPUT!$X$3:$X$3000+INPUT!$Y$3:$Y$3000))),"")</f>
        <v/>
      </c>
      <c r="AB12" s="42" t="str" cm="1">
        <f t="array" ref="AB12">IFERROR(IF(SUMPRODUCT((INPUT!$T$3:$T$3000=45902)*(INPUT!$U$3:$U$3000="JAIME"))=0,"",SUMPRODUCT((INPUT!$T$3:$T$3000=45902)*(INPUT!$U$3:$U$3000="JAIME")*(INPUT!$V$3:$V$3000+INPUT!$W$3:$W$3000+INPUT!$X$3:$X$3000+INPUT!$Y$3:$Y$3000))),"")</f>
        <v/>
      </c>
      <c r="AC12" s="42" t="str" cm="1">
        <f t="array" ref="AC12">IFERROR(IF(SUMPRODUCT((INPUT!$T$3:$T$3000=45903)*(INPUT!$U$3:$U$3000="JAIME"))=0,"",SUMPRODUCT((INPUT!$T$3:$T$3000=45903)*(INPUT!$U$3:$U$3000="JAIME")*(INPUT!$V$3:$V$3000+INPUT!$W$3:$W$3000+INPUT!$X$3:$X$3000+INPUT!$Y$3:$Y$3000))),"")</f>
        <v/>
      </c>
      <c r="AD12" s="42" t="str" cm="1">
        <f t="array" ref="AD12">IFERROR(IF(SUMPRODUCT((INPUT!$T$3:$T$3000=45904)*(INPUT!$U$3:$U$3000="JAIME"))=0,"",SUMPRODUCT((INPUT!$T$3:$T$3000=45904)*(INPUT!$U$3:$U$3000="JAIME")*(INPUT!$V$3:$V$3000+INPUT!$W$3:$W$3000+INPUT!$X$3:$X$3000+INPUT!$Y$3:$Y$3000))),"")</f>
        <v/>
      </c>
      <c r="AE12" s="42" t="str" cm="1">
        <f t="array" ref="AE12">IFERROR(IF(SUMPRODUCT((INPUT!$T$3:$T$3000=45905)*(INPUT!$U$3:$U$3000="JAIME"))=0,"",SUMPRODUCT((INPUT!$T$3:$T$3000=45905)*(INPUT!$U$3:$U$3000="JAIME")*(INPUT!$V$3:$V$3000+INPUT!$W$3:$W$3000+INPUT!$X$3:$X$3000+INPUT!$Y$3:$Y$3000))),"")</f>
        <v/>
      </c>
      <c r="AF12" s="42" t="str" cm="1">
        <f t="array" ref="AF12">IFERROR(IF(SUMPRODUCT((INPUT!$T$3:$T$3000=45906)*(INPUT!$U$3:$U$3000="JAIME"))=0,"",SUMPRODUCT((INPUT!$T$3:$T$3000=45906)*(INPUT!$U$3:$U$3000="JAIME")*(INPUT!$V$3:$V$3000+INPUT!$W$3:$W$3000+INPUT!$X$3:$X$3000+INPUT!$Y$3:$Y$3000))),"")</f>
        <v/>
      </c>
      <c r="AG12" s="42" cm="1">
        <f t="array" ref="AG12">IFERROR(IF(SUMPRODUCT((INPUT!$T$3:$T$3000=45908)*(INPUT!$U$3:$U$3000="JAIME"))=0,"",SUMPRODUCT((INPUT!$T$3:$T$3000=45908)*(INPUT!$U$3:$U$3000="JAIME")*(INPUT!$V$3:$V$3000+INPUT!$W$3:$W$3000+INPUT!$X$3:$X$3000+INPUT!$Y$3:$Y$3000))),"")</f>
        <v>15</v>
      </c>
      <c r="AH12" s="42" cm="1">
        <f t="array" ref="AH12">IFERROR(IF(SUMPRODUCT((INPUT!$T$3:$T$3000=45909)*(INPUT!$U$3:$U$3000="JAIME"))=0,"",SUMPRODUCT((INPUT!$T$3:$T$3000=45909)*(INPUT!$U$3:$U$3000="JAIME")*(INPUT!$V$3:$V$3000+INPUT!$W$3:$W$3000+INPUT!$X$3:$X$3000+INPUT!$Y$3:$Y$3000))),"")</f>
        <v>18</v>
      </c>
      <c r="AI12" s="42" cm="1">
        <f t="array" ref="AI12">IFERROR(IF(SUMPRODUCT((INPUT!$T$3:$T$3000=45911)*(INPUT!$U$3:$U$3000="JAIME"))=0,"",SUMPRODUCT((INPUT!$T$3:$T$3000=45911)*(INPUT!$U$3:$U$3000="JAIME")*(INPUT!$V$3:$V$3000+INPUT!$W$3:$W$3000+INPUT!$X$3:$X$3000+INPUT!$Y$3:$Y$3000))),"")</f>
        <v>15</v>
      </c>
      <c r="AJ12" s="42" cm="1">
        <f t="array" ref="AJ12">IFERROR(IF(SUMPRODUCT((INPUT!$T$3:$T$3000=45912)*(INPUT!$U$3:$U$3000="JAIME"))=0,"",SUMPRODUCT((INPUT!$T$3:$T$3000=45912)*(INPUT!$U$3:$U$3000="JAIME")*(INPUT!$V$3:$V$3000+INPUT!$W$3:$W$3000+INPUT!$X$3:$X$3000+INPUT!$Y$3:$Y$3000))),"")</f>
        <v>15</v>
      </c>
      <c r="AK12" s="42" cm="1">
        <f t="array" ref="AK12">IFERROR(IF(SUMPRODUCT((INPUT!$T$3:$T$3000=45913)*(INPUT!$U$3:$U$3000="JAIME"))=0,"",SUMPRODUCT((INPUT!$T$3:$T$3000=45913)*(INPUT!$U$3:$U$3000="JAIME")*(INPUT!$V$3:$V$3000+INPUT!$W$3:$W$3000+INPUT!$X$3:$X$3000+INPUT!$Y$3:$Y$3000))),"")</f>
        <v>18</v>
      </c>
      <c r="AL12" s="42" t="str" cm="1">
        <f t="array" ref="AL12">IFERROR(IF(SUMPRODUCT((INPUT!$T$3:$T$3000=45915)*(INPUT!$U$3:$U$3000="JAIME"))=0,"",SUMPRODUCT((INPUT!$T$3:$T$3000=45915)*(INPUT!$U$3:$U$3000="JAIME")*(INPUT!$V$3:$V$3000+INPUT!$W$3:$W$3000+INPUT!$X$3:$X$3000+INPUT!$Y$3:$Y$3000))),"")</f>
        <v/>
      </c>
      <c r="AM12" s="42" t="str" cm="1">
        <f t="array" ref="AM12">IFERROR(IF(SUMPRODUCT((INPUT!$T$3:$T$3000=45916)*(INPUT!$U$3:$U$3000="JAIME"))=0,"",SUMPRODUCT((INPUT!$T$3:$T$3000=45916)*(INPUT!$U$3:$U$3000="JAIME")*(INPUT!$V$3:$V$3000+INPUT!$W$3:$W$3000+INPUT!$X$3:$X$3000+INPUT!$Y$3:$Y$3000))),"")</f>
        <v/>
      </c>
      <c r="AN12" s="42" t="str" cm="1">
        <f t="array" ref="AN12">IFERROR(IF(SUMPRODUCT((INPUT!$T$3:$T$3000=45917)*(INPUT!$U$3:$U$3000="JAIME"))=0,"",SUMPRODUCT((INPUT!$T$3:$T$3000=45917)*(INPUT!$U$3:$U$3000="JAIME")*(INPUT!$V$3:$V$3000+INPUT!$W$3:$W$3000+INPUT!$X$3:$X$3000+INPUT!$Y$3:$Y$3000))),"")</f>
        <v/>
      </c>
      <c r="AO12" s="42" t="str" cm="1">
        <f t="array" ref="AO12">IFERROR(IF(SUMPRODUCT((INPUT!$T$3:$T$3000=45918)*(INPUT!$U$3:$U$3000="JAIME"))=0,"",SUMPRODUCT((INPUT!$T$3:$T$3000=45918)*(INPUT!$U$3:$U$3000="JAIME")*(INPUT!$V$3:$V$3000+INPUT!$W$3:$W$3000+INPUT!$X$3:$X$3000+INPUT!$Y$3:$Y$3000))),"")</f>
        <v/>
      </c>
      <c r="AP12" s="42" t="str" cm="1">
        <f t="array" ref="AP12">IFERROR(IF(SUMPRODUCT((INPUT!$T$3:$T$3000=45919)*(INPUT!$U$3:$U$3000="JAIME"))=0,"",SUMPRODUCT((INPUT!$T$3:$T$3000=45919)*(INPUT!$U$3:$U$3000="JAIME")*(INPUT!$V$3:$V$3000+INPUT!$W$3:$W$3000+INPUT!$X$3:$X$3000+INPUT!$Y$3:$Y$3000))),"")</f>
        <v/>
      </c>
      <c r="AQ12" s="42" t="str" cm="1">
        <f t="array" ref="AQ12">IFERROR(IF(SUMPRODUCT((INPUT!$T$3:$T$3000=45922)*(INPUT!$U$3:$U$3000="JAIME"))=0,"",SUMPRODUCT((INPUT!$T$3:$T$3000=45922)*(INPUT!$U$3:$U$3000="JAIME")*(INPUT!$V$3:$V$3000+INPUT!$W$3:$W$3000+INPUT!$X$3:$X$3000+INPUT!$Y$3:$Y$3000))),"")</f>
        <v/>
      </c>
      <c r="AR12" s="42" t="str" cm="1">
        <f t="array" ref="AR12">IFERROR(IF(SUMPRODUCT((INPUT!$T$3:$T$3000=45923)*(INPUT!$U$3:$U$3000="JAIME"))=0,"",SUMPRODUCT((INPUT!$T$3:$T$3000=45923)*(INPUT!$U$3:$U$3000="JAIME")*(INPUT!$V$3:$V$3000+INPUT!$W$3:$W$3000+INPUT!$X$3:$X$3000+INPUT!$Y$3:$Y$3000))),"")</f>
        <v/>
      </c>
      <c r="AS12" s="42" t="str" cm="1">
        <f t="array" ref="AS12">IFERROR(IF(SUMPRODUCT((INPUT!$T$3:$T$3000=45924)*(INPUT!$U$3:$U$3000="JAIME"))=0,"",SUMPRODUCT((INPUT!$T$3:$T$3000=45924)*(INPUT!$U$3:$U$3000="JAIME")*(INPUT!$V$3:$V$3000+INPUT!$W$3:$W$3000+INPUT!$X$3:$X$3000+INPUT!$Y$3:$Y$3000))),"")</f>
        <v/>
      </c>
      <c r="AT12" s="42" t="str" cm="1">
        <f t="array" ref="AT12">IFERROR(IF(SUMPRODUCT((INPUT!$T$3:$T$3000=45925)*(INPUT!$U$3:$U$3000="JAIME"))=0,"",SUMPRODUCT((INPUT!$T$3:$T$3000=45925)*(INPUT!$U$3:$U$3000="JAIME")*(INPUT!$V$3:$V$3000+INPUT!$W$3:$W$3000+INPUT!$X$3:$X$3000+INPUT!$Y$3:$Y$3000))),"")</f>
        <v/>
      </c>
      <c r="AU12" s="42" t="str" cm="1">
        <f t="array" ref="AU12">IFERROR(IF(SUMPRODUCT((INPUT!$T$3:$T$3000=45926)*(INPUT!$U$3:$U$3000="JAIME"))=0,"",SUMPRODUCT((INPUT!$T$3:$T$3000=45926)*(INPUT!$U$3:$U$3000="JAIME")*(INPUT!$V$3:$V$3000+INPUT!$W$3:$W$3000+INPUT!$X$3:$X$3000+INPUT!$Y$3:$Y$3000))),"")</f>
        <v/>
      </c>
      <c r="AV12" s="42" t="str" cm="1">
        <f t="array" ref="AV12">IFERROR(IF(SUMPRODUCT((INPUT!$T$3:$T$3000=45927)*(INPUT!$U$3:$U$3000="JAIME"))=0,"",SUMPRODUCT((INPUT!$T$3:$T$3000=45927)*(INPUT!$U$3:$U$3000="JAIME")*(INPUT!$V$3:$V$3000+INPUT!$W$3:$W$3000+INPUT!$X$3:$X$3000+INPUT!$Y$3:$Y$3000))),"")</f>
        <v/>
      </c>
      <c r="AW12" s="42" t="str" cm="1">
        <f t="array" ref="AW12">IFERROR(IF(SUMPRODUCT((INPUT!$T$3:$T$3000=45929)*(INPUT!$U$3:$U$3000="JAIME"))=0,"",SUMPRODUCT((INPUT!$T$3:$T$3000=45929)*(INPUT!$U$3:$U$3000="JAIME")*(INPUT!$V$3:$V$3000+INPUT!$W$3:$W$3000+INPUT!$X$3:$X$3000+INPUT!$Y$3:$Y$3000))),"")</f>
        <v/>
      </c>
      <c r="AX12" s="42" t="str" cm="1">
        <f t="array" ref="AX12">IFERROR(IF(SUMPRODUCT((INPUT!$T$3:$T$3000=45930)*(INPUT!$U$3:$U$3000="JAIME"))=0,"",SUMPRODUCT((INPUT!$T$3:$T$3000=45930)*(INPUT!$U$3:$U$3000="JAIME")*(INPUT!$V$3:$V$3000+INPUT!$W$3:$W$3000+INPUT!$X$3:$X$3000+INPUT!$Y$3:$Y$3000))),"")</f>
        <v/>
      </c>
      <c r="AY12" s="42" t="str" cm="1">
        <f t="array" ref="AY12">IFERROR(IF(SUMPRODUCT((INPUT!$T$3:$T$3000=45931)*(INPUT!$U$3:$U$3000="JAIME"))=0,"",SUMPRODUCT((INPUT!$T$3:$T$3000=45931)*(INPUT!$U$3:$U$3000="JAIME")*(INPUT!$V$3:$V$3000+INPUT!$W$3:$W$3000+INPUT!$X$3:$X$3000+INPUT!$Y$3:$Y$3000))),"")</f>
        <v/>
      </c>
      <c r="AZ12" s="42" t="str" cm="1">
        <f t="array" ref="AZ12">IFERROR(IF(SUMPRODUCT((INPUT!$T$3:$T$3000=45932)*(INPUT!$U$3:$U$3000="JAIME"))=0,"",SUMPRODUCT((INPUT!$T$3:$T$3000=45932)*(INPUT!$U$3:$U$3000="JAIME")*(INPUT!$V$3:$V$3000+INPUT!$W$3:$W$3000+INPUT!$X$3:$X$3000+INPUT!$Y$3:$Y$3000))),"")</f>
        <v/>
      </c>
      <c r="BA12" s="42" t="str" cm="1">
        <f t="array" ref="BA12">IFERROR(IF(SUMPRODUCT((INPUT!$T$3:$T$3000=45933)*(INPUT!$U$3:$U$3000="JAIME"))=0,"",SUMPRODUCT((INPUT!$T$3:$T$3000=45933)*(INPUT!$U$3:$U$3000="JAIME")*(INPUT!$V$3:$V$3000+INPUT!$W$3:$W$3000+INPUT!$X$3:$X$3000+INPUT!$Y$3:$Y$3000))),"")</f>
        <v/>
      </c>
      <c r="BB12" s="42" t="str" cm="1">
        <f t="array" ref="BB12">IFERROR(IF(SUMPRODUCT((INPUT!$T$3:$T$3000=45934)*(INPUT!$U$3:$U$3000="JAIME"))=0,"",SUMPRODUCT((INPUT!$T$3:$T$3000=45934)*(INPUT!$U$3:$U$3000="JAIME")*(INPUT!$V$3:$V$3000+INPUT!$W$3:$W$3000+INPUT!$X$3:$X$3000+INPUT!$Y$3:$Y$3000))),"")</f>
        <v/>
      </c>
      <c r="BC12" s="42" t="str" cm="1">
        <f t="array" ref="BC12">IFERROR(IF(SUMPRODUCT((INPUT!$T$3:$T$3000=45936)*(INPUT!$U$3:$U$3000="JAIME"))=0,"",SUMPRODUCT((INPUT!$T$3:$T$3000=45936)*(INPUT!$U$3:$U$3000="JAIME")*(INPUT!$V$3:$V$3000+INPUT!$W$3:$W$3000+INPUT!$X$3:$X$3000+INPUT!$Y$3:$Y$3000))),"")</f>
        <v/>
      </c>
      <c r="BD12" s="42" t="str" cm="1">
        <f t="array" ref="BD12">IFERROR(IF(SUMPRODUCT((INPUT!$T$3:$T$3000=45937)*(INPUT!$U$3:$U$3000="JAIME"))=0,"",SUMPRODUCT((INPUT!$T$3:$T$3000=45937)*(INPUT!$U$3:$U$3000="JAIME")*(INPUT!$V$3:$V$3000+INPUT!$W$3:$W$3000+INPUT!$X$3:$X$3000+INPUT!$Y$3:$Y$3000))),"")</f>
        <v/>
      </c>
      <c r="BE12" s="42" t="str" cm="1">
        <f t="array" ref="BE12">IFERROR(IF(SUMPRODUCT((INPUT!$T$3:$T$3000=45938)*(INPUT!$U$3:$U$3000="JAIME"))=0,"",SUMPRODUCT((INPUT!$T$3:$T$3000=45938)*(INPUT!$U$3:$U$3000="JAIME")*(INPUT!$V$3:$V$3000+INPUT!$W$3:$W$3000+INPUT!$X$3:$X$3000+INPUT!$Y$3:$Y$3000))),"")</f>
        <v/>
      </c>
      <c r="BF12" s="42" t="str" cm="1">
        <f t="array" ref="BF12">IFERROR(IF(SUMPRODUCT((INPUT!$T$3:$T$3000=45940)*(INPUT!$U$3:$U$3000="JAIME"))=0,"",SUMPRODUCT((INPUT!$T$3:$T$3000=45940)*(INPUT!$U$3:$U$3000="JAIME")*(INPUT!$V$3:$V$3000+INPUT!$W$3:$W$3000+INPUT!$X$3:$X$3000+INPUT!$Y$3:$Y$3000))),"")</f>
        <v/>
      </c>
      <c r="BG12" s="42" t="str" cm="1">
        <f t="array" ref="BG12">IFERROR(IF(SUMPRODUCT((INPUT!$T$3:$T$3000=45941)*(INPUT!$U$3:$U$3000="JAIME"))=0,"",SUMPRODUCT((INPUT!$T$3:$T$3000=45941)*(INPUT!$U$3:$U$3000="JAIME")*(INPUT!$V$3:$V$3000+INPUT!$W$3:$W$3000+INPUT!$X$3:$X$3000+INPUT!$Y$3:$Y$3000))),"")</f>
        <v/>
      </c>
      <c r="BH12" s="42" t="str" cm="1">
        <f t="array" ref="BH12">IFERROR(IF(SUMPRODUCT((INPUT!$T$3:$T$3000=45942)*(INPUT!$U$3:$U$3000="JAIME"))=0,"",SUMPRODUCT((INPUT!$T$3:$T$3000=45942)*(INPUT!$U$3:$U$3000="JAIME")*(INPUT!$V$3:$V$3000+INPUT!$W$3:$W$3000+INPUT!$X$3:$X$3000+INPUT!$Y$3:$Y$3000))),"")</f>
        <v/>
      </c>
      <c r="BI12" s="42" cm="1">
        <f t="array" ref="BI12">IFERROR(IF(SUMPRODUCT((INPUT!$T$3:$T$3000=45945)*(INPUT!$U$3:$U$3000="JAIME"))=0,"",SUMPRODUCT((INPUT!$T$3:$T$3000=45945)*(INPUT!$U$3:$U$3000="JAIME")*(INPUT!$V$3:$V$3000+INPUT!$W$3:$W$3000+INPUT!$X$3:$X$3000+INPUT!$Y$3:$Y$3000))),"")</f>
        <v>16</v>
      </c>
      <c r="BJ12" s="42" cm="1">
        <f t="array" ref="BJ12">IFERROR(IF(SUMPRODUCT((INPUT!$T$3:$T$3000=45946)*(INPUT!$U$3:$U$3000="JAIME"))=0,"",SUMPRODUCT((INPUT!$T$3:$T$3000=45946)*(INPUT!$U$3:$U$3000="JAIME")*(INPUT!$V$3:$V$3000+INPUT!$W$3:$W$3000+INPUT!$X$3:$X$3000+INPUT!$Y$3:$Y$3000))),"")</f>
        <v>19</v>
      </c>
      <c r="BK12" s="42" cm="1">
        <f t="array" ref="BK12">IFERROR(IF(SUMPRODUCT((INPUT!$T$3:$T$3000=45947)*(INPUT!$U$3:$U$3000="JAIME"))=0,"",SUMPRODUCT((INPUT!$T$3:$T$3000=45947)*(INPUT!$U$3:$U$3000="JAIME")*(INPUT!$V$3:$V$3000+INPUT!$W$3:$W$3000+INPUT!$X$3:$X$3000+INPUT!$Y$3:$Y$3000))),"")</f>
        <v>14</v>
      </c>
      <c r="BL12" s="42" cm="1">
        <f t="array" ref="BL12">IFERROR(IF(SUMPRODUCT((INPUT!$T$3:$T$3000=45950)*(INPUT!$U$3:$U$3000="JAIME"))=0,"",SUMPRODUCT((INPUT!$T$3:$T$3000=45950)*(INPUT!$U$3:$U$3000="JAIME")*(INPUT!$V$3:$V$3000+INPUT!$W$3:$W$3000+INPUT!$X$3:$X$3000+INPUT!$Y$3:$Y$3000))),"")</f>
        <v>18</v>
      </c>
      <c r="BM12" s="42" cm="1">
        <f t="array" ref="BM12">IFERROR(IF(SUMPRODUCT((INPUT!$T$3:$T$3000=45951)*(INPUT!$U$3:$U$3000="JAIME"))=0,"",SUMPRODUCT((INPUT!$T$3:$T$3000=45951)*(INPUT!$U$3:$U$3000="JAIME")*(INPUT!$V$3:$V$3000+INPUT!$W$3:$W$3000+INPUT!$X$3:$X$3000+INPUT!$Y$3:$Y$3000))),"")</f>
        <v>16</v>
      </c>
      <c r="BN12" s="42" cm="1">
        <f t="array" ref="BN12">IFERROR(IF(SUMPRODUCT((INPUT!$T$3:$T$3000=45952)*(INPUT!$U$3:$U$3000="JAIME"))=0,"",SUMPRODUCT((INPUT!$T$3:$T$3000=45952)*(INPUT!$U$3:$U$3000="JAIME")*(INPUT!$V$3:$V$3000+INPUT!$W$3:$W$3000+INPUT!$X$3:$X$3000+INPUT!$Y$3:$Y$3000))),"")</f>
        <v>17</v>
      </c>
      <c r="BO12" s="42" cm="1">
        <f t="array" ref="BO12">IFERROR(IF(SUMPRODUCT((INPUT!$T$3:$T$3000=45953)*(INPUT!$U$3:$U$3000="JAIME"))=0,"",SUMPRODUCT((INPUT!$T$3:$T$3000=45953)*(INPUT!$U$3:$U$3000="JAIME")*(INPUT!$V$3:$V$3000+INPUT!$W$3:$W$3000+INPUT!$X$3:$X$3000+INPUT!$Y$3:$Y$3000))),"")</f>
        <v>16</v>
      </c>
      <c r="BP12" s="42" cm="1">
        <f t="array" ref="BP12">IFERROR(IF(SUMPRODUCT((INPUT!$T$3:$T$3000=45954)*(INPUT!$U$3:$U$3000="JAIME"))=0,"",SUMPRODUCT((INPUT!$T$3:$T$3000=45954)*(INPUT!$U$3:$U$3000="JAIME")*(INPUT!$V$3:$V$3000+INPUT!$W$3:$W$3000+INPUT!$X$3:$X$3000+INPUT!$Y$3:$Y$3000))),"")</f>
        <v>17</v>
      </c>
      <c r="BQ12" s="42" t="str" cm="1">
        <f t="array" ref="BQ12">IFERROR(IF(SUMPRODUCT((INPUT!$T$3:$T$3000=45955)*(INPUT!$U$3:$U$3000="JAIME"))=0,"",SUMPRODUCT((INPUT!$T$3:$T$3000=45955)*(INPUT!$U$3:$U$3000="JAIME")*(INPUT!$V$3:$V$3000+INPUT!$W$3:$W$3000+INPUT!$X$3:$X$3000+INPUT!$Y$3:$Y$3000))),"")</f>
        <v/>
      </c>
      <c r="BR12" s="42" t="str" cm="1">
        <f t="array" ref="BR12">IFERROR(IF(SUMPRODUCT((INPUT!$T$3:$T$3000=45958)*(INPUT!$U$3:$U$3000="JAIME"))=0,"",SUMPRODUCT((INPUT!$T$3:$T$3000=45958)*(INPUT!$U$3:$U$3000="JAIME")*(INPUT!$V$3:$V$3000+INPUT!$W$3:$W$3000+INPUT!$X$3:$X$3000+INPUT!$Y$3:$Y$3000))),"")</f>
        <v/>
      </c>
      <c r="BS12" s="42" t="str" cm="1">
        <f t="array" ref="BS12">IFERROR(IF(SUMPRODUCT((INPUT!$T$3:$T$3000=45959)*(INPUT!$U$3:$U$3000="JAIME"))=0,"",SUMPRODUCT((INPUT!$T$3:$T$3000=45959)*(INPUT!$U$3:$U$3000="JAIME")*(INPUT!$V$3:$V$3000+INPUT!$W$3:$W$3000+INPUT!$X$3:$X$3000+INPUT!$Y$3:$Y$3000))),"")</f>
        <v/>
      </c>
      <c r="BT12" s="42" cm="1">
        <f t="array" ref="BT12">IFERROR(IF(SUMPRODUCT((INPUT!$T$3:$T$3000=45960)*(INPUT!$U$3:$U$3000="JAIME"))=0,"",SUMPRODUCT((INPUT!$T$3:$T$3000=45960)*(INPUT!$U$3:$U$3000="JAIME")*(INPUT!$V$3:$V$3000+INPUT!$W$3:$W$3000+INPUT!$X$3:$X$3000+INPUT!$Y$3:$Y$3000))),"")</f>
        <v>16</v>
      </c>
      <c r="BU12" s="42" t="str" cm="1">
        <f t="array" ref="BU12">IFERROR(IF(SUMPRODUCT((INPUT!$T$3:$T$3000=45961)*(INPUT!$U$3:$U$3000="JAIME"))=0,"",SUMPRODUCT((INPUT!$T$3:$T$3000=45961)*(INPUT!$U$3:$U$3000="JAIME")*(INPUT!$V$3:$V$3000+INPUT!$W$3:$W$3000+INPUT!$X$3:$X$3000+INPUT!$Y$3:$Y$3000))),"")</f>
        <v/>
      </c>
      <c r="BV12" s="42" t="str" cm="1">
        <f t="array" ref="BV12">IFERROR(IF(SUMPRODUCT((INPUT!$T$3:$T$3000=45964)*(INPUT!$U$3:$U$3000="JAIME"))=0,"",SUMPRODUCT((INPUT!$T$3:$T$3000=45964)*(INPUT!$U$3:$U$3000="JAIME")*(INPUT!$V$3:$V$3000+INPUT!$W$3:$W$3000+INPUT!$X$3:$X$3000+INPUT!$Y$3:$Y$3000))),"")</f>
        <v/>
      </c>
      <c r="BW12" s="42" cm="1">
        <f t="array" ref="BW12">IFERROR(IF(SUMPRODUCT((INPUT!$T$3:$T$3000=45965)*(INPUT!$U$3:$U$3000="JAIME"))=0,"",SUMPRODUCT((INPUT!$T$3:$T$3000=45965)*(INPUT!$U$3:$U$3000="JAIME")*(INPUT!$V$3:$V$3000+INPUT!$W$3:$W$3000+INPUT!$X$3:$X$3000+INPUT!$Y$3:$Y$3000))),"")</f>
        <v>19</v>
      </c>
      <c r="BX12" s="42" cm="1">
        <f t="array" ref="BX12">IFERROR(IF(SUMPRODUCT((INPUT!$T$3:$T$3000=45966)*(INPUT!$U$3:$U$3000="JAIME"))=0,"",SUMPRODUCT((INPUT!$T$3:$T$3000=45966)*(INPUT!$U$3:$U$3000="JAIME")*(INPUT!$V$3:$V$3000+INPUT!$W$3:$W$3000+INPUT!$X$3:$X$3000+INPUT!$Y$3:$Y$3000))),"")</f>
        <v>17</v>
      </c>
      <c r="BY12" s="42" cm="1">
        <f t="array" ref="BY12">IFERROR(IF(SUMPRODUCT((INPUT!$T$3:$T$3000=45967)*(INPUT!$U$3:$U$3000="JAIME"))=0,"",SUMPRODUCT((INPUT!$T$3:$T$3000=45967)*(INPUT!$U$3:$U$3000="JAIME")*(INPUT!$V$3:$V$3000+INPUT!$W$3:$W$3000+INPUT!$X$3:$X$3000+INPUT!$Y$3:$Y$3000))),"")</f>
        <v>18</v>
      </c>
      <c r="BZ12" s="42" cm="1">
        <f t="array" ref="BZ12">IFERROR(IF(SUMPRODUCT((INPUT!$T$3:$T$3000=45968)*(INPUT!$U$3:$U$3000="JAIME"))=0,"",SUMPRODUCT((INPUT!$T$3:$T$3000=45968)*(INPUT!$U$3:$U$3000="JAIME")*(INPUT!$V$3:$V$3000+INPUT!$W$3:$W$3000+INPUT!$X$3:$X$3000+INPUT!$Y$3:$Y$3000))),"")</f>
        <v>18</v>
      </c>
      <c r="CA12" s="42" cm="1">
        <f t="array" ref="CA12">IFERROR(IF(SUMPRODUCT((INPUT!$T$3:$T$3000=45971)*(INPUT!$U$3:$U$3000="JAIME"))=0,"",SUMPRODUCT((INPUT!$T$3:$T$3000=45971)*(INPUT!$U$3:$U$3000="JAIME")*(INPUT!$V$3:$V$3000+INPUT!$W$3:$W$3000+INPUT!$X$3:$X$3000+INPUT!$Y$3:$Y$3000))),"")</f>
        <v>18</v>
      </c>
      <c r="CB12" s="42" cm="1">
        <f t="array" ref="CB12">IFERROR(IF(SUMPRODUCT((INPUT!$T$3:$T$3000=45972)*(INPUT!$U$3:$U$3000="JAIME"))=0,"",SUMPRODUCT((INPUT!$T$3:$T$3000=45972)*(INPUT!$U$3:$U$3000="JAIME")*(INPUT!$V$3:$V$3000+INPUT!$W$3:$W$3000+INPUT!$X$3:$X$3000+INPUT!$Y$3:$Y$3000))),"")</f>
        <v>17</v>
      </c>
      <c r="CC12" s="42" cm="1">
        <f t="array" ref="CC12">IFERROR(IF(SUMPRODUCT((INPUT!$T$3:$T$3000=45974)*(INPUT!$U$3:$U$3000="JAIME"))=0,"",SUMPRODUCT((INPUT!$T$3:$T$3000=45974)*(INPUT!$U$3:$U$3000="JAIME")*(INPUT!$V$3:$V$3000+INPUT!$W$3:$W$3000+INPUT!$X$3:$X$3000+INPUT!$Y$3:$Y$3000))),"")</f>
        <v>17</v>
      </c>
      <c r="CD12" s="42" t="str" cm="1">
        <f t="array" ref="CD12">IFERROR(IF(SUMPRODUCT((INPUT!$T$3:$T$3000=45975)*(INPUT!$U$3:$U$3000="JAIME"))=0,"",SUMPRODUCT((INPUT!$T$3:$T$3000=45975)*(INPUT!$U$3:$U$3000="JAIME")*(INPUT!$V$3:$V$3000+INPUT!$W$3:$W$3000+INPUT!$X$3:$X$3000+INPUT!$Y$3:$Y$3000))),"")</f>
        <v/>
      </c>
      <c r="CE12" s="42" t="str" cm="1">
        <f t="array" ref="CE12">IFERROR(IF(SUMPRODUCT((INPUT!$T$3:$T$3000=45976)*(INPUT!$U$3:$U$3000="JAIME"))=0,"",SUMPRODUCT((INPUT!$T$3:$T$3000=45976)*(INPUT!$U$3:$U$3000="JAIME")*(INPUT!$V$3:$V$3000+INPUT!$W$3:$W$3000+INPUT!$X$3:$X$3000+INPUT!$Y$3:$Y$3000))),"")</f>
        <v/>
      </c>
      <c r="CF12" s="42" cm="1">
        <f t="array" ref="CF12">IFERROR(IF(SUMPRODUCT((INPUT!$T$3:$T$3000=45978)*(INPUT!$U$3:$U$3000="JAIME"))=0,"",SUMPRODUCT((INPUT!$T$3:$T$3000=45978)*(INPUT!$U$3:$U$3000="JAIME")*(INPUT!$V$3:$V$3000+INPUT!$W$3:$W$3000+INPUT!$X$3:$X$3000+INPUT!$Y$3:$Y$3000))),"")</f>
        <v>16</v>
      </c>
      <c r="CG12" s="42" cm="1">
        <f t="array" ref="CG12">IFERROR(IF(SUMPRODUCT((INPUT!$T$3:$T$3000=45979)*(INPUT!$U$3:$U$3000="JAIME"))=0,"",SUMPRODUCT((INPUT!$T$3:$T$3000=45979)*(INPUT!$U$3:$U$3000="JAIME")*(INPUT!$V$3:$V$3000+INPUT!$W$3:$W$3000+INPUT!$X$3:$X$3000+INPUT!$Y$3:$Y$3000))),"")</f>
        <v>16</v>
      </c>
      <c r="CH12" s="42" cm="1">
        <f t="array" ref="CH12">IFERROR(IF(SUMPRODUCT((INPUT!$T$3:$T$3000=45980)*(INPUT!$U$3:$U$3000="JAIME"))=0,"",SUMPRODUCT((INPUT!$T$3:$T$3000=45980)*(INPUT!$U$3:$U$3000="JAIME")*(INPUT!$V$3:$V$3000+INPUT!$W$3:$W$3000+INPUT!$X$3:$X$3000+INPUT!$Y$3:$Y$3000))),"")</f>
        <v>17</v>
      </c>
      <c r="CI12" s="42" cm="1">
        <f t="array" ref="CI12">IFERROR(IF(SUMPRODUCT((INPUT!$T$3:$T$3000=45982)*(INPUT!$U$3:$U$3000="JAIME"))=0,"",SUMPRODUCT((INPUT!$T$3:$T$3000=45982)*(INPUT!$U$3:$U$3000="JAIME")*(INPUT!$V$3:$V$3000+INPUT!$W$3:$W$3000+INPUT!$X$3:$X$3000+INPUT!$Y$3:$Y$3000))),"")</f>
        <v>17</v>
      </c>
      <c r="CJ12" s="42" cm="1">
        <f t="array" ref="CJ12">IFERROR(IF(SUMPRODUCT((INPUT!$T$3:$T$3000=45983)*(INPUT!$U$3:$U$3000="JAIME"))=0,"",SUMPRODUCT((INPUT!$T$3:$T$3000=45983)*(INPUT!$U$3:$U$3000="JAIME")*(INPUT!$V$3:$V$3000+INPUT!$W$3:$W$3000+INPUT!$X$3:$X$3000+INPUT!$Y$3:$Y$3000))),"")</f>
        <v>16</v>
      </c>
      <c r="CK12" s="42" cm="1">
        <f t="array" ref="CK12">IFERROR(IF(SUMPRODUCT((INPUT!$T$3:$T$3000=45985)*(INPUT!$U$3:$U$3000="JAIME"))=0,"",SUMPRODUCT((INPUT!$T$3:$T$3000=45985)*(INPUT!$U$3:$U$3000="JAIME")*(INPUT!$V$3:$V$3000+INPUT!$W$3:$W$3000+INPUT!$X$3:$X$3000+INPUT!$Y$3:$Y$3000))),"")</f>
        <v>16</v>
      </c>
      <c r="CL12" s="42" cm="1">
        <f t="array" ref="CL12">IFERROR(IF(SUMPRODUCT((INPUT!$T$3:$T$3000=45986)*(INPUT!$U$3:$U$3000="JAIME"))=0,"",SUMPRODUCT((INPUT!$T$3:$T$3000=45986)*(INPUT!$U$3:$U$3000="JAIME")*(INPUT!$V$3:$V$3000+INPUT!$W$3:$W$3000+INPUT!$X$3:$X$3000+INPUT!$Y$3:$Y$3000))),"")</f>
        <v>16</v>
      </c>
      <c r="CM12" s="42" cm="1">
        <f t="array" ref="CM12">IFERROR(IF(SUMPRODUCT((INPUT!$T$3:$T$3000=45987)*(INPUT!$U$3:$U$3000="JAIME"))=0,"",SUMPRODUCT((INPUT!$T$3:$T$3000=45987)*(INPUT!$U$3:$U$3000="JAIME")*(INPUT!$V$3:$V$3000+INPUT!$W$3:$W$3000+INPUT!$X$3:$X$3000+INPUT!$Y$3:$Y$3000))),"")</f>
        <v>16</v>
      </c>
      <c r="CN12" s="42" cm="1">
        <f t="array" ref="CN12">IFERROR(IF(SUMPRODUCT((INPUT!$T$3:$T$3000=45988)*(INPUT!$U$3:$U$3000="JAIME"))=0,"",SUMPRODUCT((INPUT!$T$3:$T$3000=45988)*(INPUT!$U$3:$U$3000="JAIME")*(INPUT!$V$3:$V$3000+INPUT!$W$3:$W$3000+INPUT!$X$3:$X$3000+INPUT!$Y$3:$Y$3000))),"")</f>
        <v>17</v>
      </c>
      <c r="CO12" s="42" cm="1">
        <f t="array" ref="CO12">IFERROR(IF(SUMPRODUCT((INPUT!$T$3:$T$3000=45989)*(INPUT!$U$3:$U$3000="JAIME"))=0,"",SUMPRODUCT((INPUT!$T$3:$T$3000=45989)*(INPUT!$U$3:$U$3000="JAIME")*(INPUT!$V$3:$V$3000+INPUT!$W$3:$W$3000+INPUT!$X$3:$X$3000+INPUT!$Y$3:$Y$3000))),"")</f>
        <v>18</v>
      </c>
      <c r="CP12" s="42" t="str" cm="1">
        <f t="array" ref="CP12">IFERROR(IF(SUMPRODUCT((INPUT!$T$3:$T$3000=45992)*(INPUT!$U$3:$U$3000="JAIME"))=0,"",SUMPRODUCT((INPUT!$T$3:$T$3000=45992)*(INPUT!$U$3:$U$3000="JAIME")*(INPUT!$V$3:$V$3000+INPUT!$W$3:$W$3000+INPUT!$X$3:$X$3000+INPUT!$Y$3:$Y$3000))),"")</f>
        <v/>
      </c>
      <c r="CQ12" s="42" cm="1">
        <f t="array" ref="CQ12">IFERROR(IF(SUMPRODUCT((INPUT!$T$3:$T$3000=45993)*(INPUT!$U$3:$U$3000="JAIME"))=0,"",SUMPRODUCT((INPUT!$T$3:$T$3000=45993)*(INPUT!$U$3:$U$3000="JAIME")*(INPUT!$V$3:$V$3000+INPUT!$W$3:$W$3000+INPUT!$X$3:$X$3000+INPUT!$Y$3:$Y$3000))),"")</f>
        <v>18</v>
      </c>
      <c r="CR12" s="42" cm="1">
        <f t="array" ref="CR12">IFERROR(IF(SUMPRODUCT((INPUT!$T$3:$T$3000=45994)*(INPUT!$U$3:$U$3000="JAIME"))=0,"",SUMPRODUCT((INPUT!$T$3:$T$3000=45994)*(INPUT!$U$3:$U$3000="JAIME")*(INPUT!$V$3:$V$3000+INPUT!$W$3:$W$3000+INPUT!$X$3:$X$3000+INPUT!$Y$3:$Y$3000))),"")</f>
        <v>16</v>
      </c>
      <c r="CS12" s="42" t="str" cm="1">
        <f t="array" ref="CS12">IFERROR(IF(SUMPRODUCT((INPUT!$T$3:$T$3000=45995)*(INPUT!$U$3:$U$3000="JAIME"))=0,"",SUMPRODUCT((INPUT!$T$3:$T$3000=45995)*(INPUT!$U$3:$U$3000="JAIME")*(INPUT!$V$3:$V$3000+INPUT!$W$3:$W$3000+INPUT!$X$3:$X$3000+INPUT!$Y$3:$Y$3000))),"")</f>
        <v/>
      </c>
      <c r="CT12" s="42" cm="1">
        <f t="array" ref="CT12">IFERROR(IF(SUMPRODUCT((INPUT!$T$3:$T$3000=45996)*(INPUT!$U$3:$U$3000="JAIME"))=0,"",SUMPRODUCT((INPUT!$T$3:$T$3000=45996)*(INPUT!$U$3:$U$3000="JAIME")*(INPUT!$V$3:$V$3000+INPUT!$W$3:$W$3000+INPUT!$X$3:$X$3000+INPUT!$Y$3:$Y$3000))),"")</f>
        <v>17</v>
      </c>
      <c r="CU12" s="42" cm="1">
        <f t="array" ref="CU12">IFERROR(IF(SUMPRODUCT((INPUT!$T$3:$T$3000=45997)*(INPUT!$U$3:$U$3000="JAIME"))=0,"",SUMPRODUCT((INPUT!$T$3:$T$3000=45997)*(INPUT!$U$3:$U$3000="JAIME")*(INPUT!$V$3:$V$3000+INPUT!$W$3:$W$3000+INPUT!$X$3:$X$3000+INPUT!$Y$3:$Y$3000))),"")</f>
        <v>16</v>
      </c>
      <c r="CV12" s="42" cm="1">
        <f t="array" ref="CV12">IFERROR(IF(SUMPRODUCT((INPUT!$T$3:$T$3000=45999)*(INPUT!$U$3:$U$3000="JAIME"))=0,"",SUMPRODUCT((INPUT!$T$3:$T$3000=45999)*(INPUT!$U$3:$U$3000="JAIME")*(INPUT!$V$3:$V$3000+INPUT!$W$3:$W$3000+INPUT!$X$3:$X$3000+INPUT!$Y$3:$Y$3000))),"")</f>
        <v>17</v>
      </c>
      <c r="CW12" s="42" cm="1">
        <f t="array" ref="CW12">IFERROR(IF(SUMPRODUCT((INPUT!$T$3:$T$3000=46000)*(INPUT!$U$3:$U$3000="JAIME"))=0,"",SUMPRODUCT((INPUT!$T$3:$T$3000=46000)*(INPUT!$U$3:$U$3000="JAIME")*(INPUT!$V$3:$V$3000+INPUT!$W$3:$W$3000+INPUT!$X$3:$X$3000+INPUT!$Y$3:$Y$3000))),"")</f>
        <v>18</v>
      </c>
      <c r="CX12" s="42" cm="1">
        <f t="array" ref="CX12">IFERROR(IF(SUMPRODUCT((INPUT!$T$3:$T$3000=46001)*(INPUT!$U$3:$U$3000="JAIME"))=0,"",SUMPRODUCT((INPUT!$T$3:$T$3000=46001)*(INPUT!$U$3:$U$3000="JAIME")*(INPUT!$V$3:$V$3000+INPUT!$W$3:$W$3000+INPUT!$X$3:$X$3000+INPUT!$Y$3:$Y$3000))),"")</f>
        <v>19</v>
      </c>
      <c r="CY12" s="42" cm="1">
        <f t="array" ref="CY12">IFERROR(IF(SUMPRODUCT((INPUT!$T$3:$T$3000=46002)*(INPUT!$U$3:$U$3000="JAIME"))=0,"",SUMPRODUCT((INPUT!$T$3:$T$3000=46002)*(INPUT!$U$3:$U$3000="JAIME")*(INPUT!$V$3:$V$3000+INPUT!$W$3:$W$3000+INPUT!$X$3:$X$3000+INPUT!$Y$3:$Y$3000))),"")</f>
        <v>17</v>
      </c>
      <c r="CZ12" s="42" cm="1">
        <f t="array" ref="CZ12">IFERROR(IF(SUMPRODUCT((INPUT!$T$3:$T$3000=46003)*(INPUT!$U$3:$U$3000="JAIME"))=0,"",SUMPRODUCT((INPUT!$T$3:$T$3000=46003)*(INPUT!$U$3:$U$3000="JAIME")*(INPUT!$V$3:$V$3000+INPUT!$W$3:$W$3000+INPUT!$X$3:$X$3000+INPUT!$Y$3:$Y$3000))),"")</f>
        <v>17</v>
      </c>
      <c r="DA12" s="42" cm="1">
        <f t="array" ref="DA12">IFERROR(IF(SUMPRODUCT((INPUT!$T$3:$T$3000=46004)*(INPUT!$U$3:$U$3000="JAIME"))=0,"",SUMPRODUCT((INPUT!$T$3:$T$3000=46004)*(INPUT!$U$3:$U$3000="JAIME")*(INPUT!$V$3:$V$3000+INPUT!$W$3:$W$3000+INPUT!$X$3:$X$3000+INPUT!$Y$3:$Y$3000))),"")</f>
        <v>19</v>
      </c>
      <c r="DB12" s="42" t="str" cm="1">
        <f t="array" ref="DB12">IFERROR(IF(SUMPRODUCT((INPUT!$T$3:$T$3000=46007)*(INPUT!$U$3:$U$3000="JAIME"))=0,"",SUMPRODUCT((INPUT!$T$3:$T$3000=46007)*(INPUT!$U$3:$U$3000="JAIME")*(INPUT!$V$3:$V$3000+INPUT!$W$3:$W$3000+INPUT!$X$3:$X$3000+INPUT!$Y$3:$Y$3000))),"")</f>
        <v/>
      </c>
      <c r="DC12" s="42" t="str" cm="1">
        <f t="array" ref="DC12">IFERROR(IF(SUMPRODUCT((INPUT!$T$3:$T$3000=46008)*(INPUT!$U$3:$U$3000="JAIME"))=0,"",SUMPRODUCT((INPUT!$T$3:$T$3000=46008)*(INPUT!$U$3:$U$3000="JAIME")*(INPUT!$V$3:$V$3000+INPUT!$W$3:$W$3000+INPUT!$X$3:$X$3000+INPUT!$Y$3:$Y$3000))),"")</f>
        <v/>
      </c>
      <c r="DD12" s="42" t="str" cm="1">
        <f t="array" ref="DD12">IFERROR(IF(SUMPRODUCT((INPUT!$T$3:$T$3000=46009)*(INPUT!$U$3:$U$3000="JAIME"))=0,"",SUMPRODUCT((INPUT!$T$3:$T$3000=46009)*(INPUT!$U$3:$U$3000="JAIME")*(INPUT!$V$3:$V$3000+INPUT!$W$3:$W$3000+INPUT!$X$3:$X$3000+INPUT!$Y$3:$Y$3000))),"")</f>
        <v/>
      </c>
      <c r="DE12" s="42" t="str" cm="1">
        <f t="array" ref="DE12">IFERROR(IF(SUMPRODUCT((INPUT!$T$3:$T$3000=46010)*(INPUT!$U$3:$U$3000="JAIME"))=0,"",SUMPRODUCT((INPUT!$T$3:$T$3000=46010)*(INPUT!$U$3:$U$3000="JAIME")*(INPUT!$V$3:$V$3000+INPUT!$W$3:$W$3000+INPUT!$X$3:$X$3000+INPUT!$Y$3:$Y$3000))),"")</f>
        <v/>
      </c>
      <c r="DF12" s="42" cm="1">
        <f t="array" ref="DF12">IFERROR(IF(SUMPRODUCT((INPUT!$T$3:$T$3000=46013)*(INPUT!$U$3:$U$3000="JAIME"))=0,"",SUMPRODUCT((INPUT!$T$3:$T$3000=46013)*(INPUT!$U$3:$U$3000="JAIME")*(INPUT!$V$3:$V$3000+INPUT!$W$3:$W$3000+INPUT!$X$3:$X$3000+INPUT!$Y$3:$Y$3000))),"")</f>
        <v>18</v>
      </c>
      <c r="DG12" s="42" cm="1">
        <f t="array" ref="DG12">IFERROR(IF(SUMPRODUCT((INPUT!$T$3:$T$3000=46014)*(INPUT!$U$3:$U$3000="JAIME"))=0,"",SUMPRODUCT((INPUT!$T$3:$T$3000=46014)*(INPUT!$U$3:$U$3000="JAIME")*(INPUT!$V$3:$V$3000+INPUT!$W$3:$W$3000+INPUT!$X$3:$X$3000+INPUT!$Y$3:$Y$3000))),"")</f>
        <v>17</v>
      </c>
      <c r="DH12" s="42" cm="1">
        <f t="array" ref="DH12">IFERROR(IF(SUMPRODUCT((INPUT!$T$3:$T$3000=46017)*(INPUT!$U$3:$U$3000="JAIME"))=0,"",SUMPRODUCT((INPUT!$T$3:$T$3000=46017)*(INPUT!$U$3:$U$3000="JAIME")*(INPUT!$V$3:$V$3000+INPUT!$W$3:$W$3000+INPUT!$X$3:$X$3000+INPUT!$Y$3:$Y$3000))),"")</f>
        <v>19</v>
      </c>
      <c r="DI12" s="42" cm="1">
        <f t="array" ref="DI12">IFERROR(IF(SUMPRODUCT((INPUT!$T$3:$T$3000=46018)*(INPUT!$U$3:$U$3000="JAIME"))=0,"",SUMPRODUCT((INPUT!$T$3:$T$3000=46018)*(INPUT!$U$3:$U$3000="JAIME")*(INPUT!$V$3:$V$3000+INPUT!$W$3:$W$3000+INPUT!$X$3:$X$3000+INPUT!$Y$3:$Y$3000))),"")</f>
        <v>19</v>
      </c>
      <c r="DJ12" s="42" cm="1">
        <f t="array" ref="DJ12">IFERROR(IF(SUMPRODUCT((INPUT!$T$3:$T$3000=46020)*(INPUT!$U$3:$U$3000="JAIME"))=0,"",SUMPRODUCT((INPUT!$T$3:$T$3000=46020)*(INPUT!$U$3:$U$3000="JAIME")*(INPUT!$V$3:$V$3000+INPUT!$W$3:$W$3000+INPUT!$X$3:$X$3000+INPUT!$Y$3:$Y$3000))),"")</f>
        <v>16</v>
      </c>
      <c r="DK12" s="42" cm="1">
        <f t="array" ref="DK12">IFERROR(IF(SUMPRODUCT((INPUT!$T$3:$T$3000=46021)*(INPUT!$U$3:$U$3000="JAIME"))=0,"",SUMPRODUCT((INPUT!$T$3:$T$3000=46021)*(INPUT!$U$3:$U$3000="JAIME")*(INPUT!$V$3:$V$3000+INPUT!$W$3:$W$3000+INPUT!$X$3:$X$3000+INPUT!$Y$3:$Y$3000))),"")</f>
        <v>16</v>
      </c>
      <c r="DL12" s="42" cm="1">
        <f t="array" ref="DL12">IFERROR(IF(SUMPRODUCT((INPUT!$T$3:$T$3000=46022)*(INPUT!$U$3:$U$3000="JAIME"))=0,"",SUMPRODUCT((INPUT!$T$3:$T$3000=46022)*(INPUT!$U$3:$U$3000="JAIME")*(INPUT!$V$3:$V$3000+INPUT!$W$3:$W$3000+INPUT!$X$3:$X$3000+INPUT!$Y$3:$Y$3000))),"")</f>
        <v>16</v>
      </c>
      <c r="DM12" s="42" cm="1">
        <f t="array" ref="DM12">IFERROR(IF(SUMPRODUCT((INPUT!$T$3:$T$3000=46024)*(INPUT!$U$3:$U$3000="JAIME"))=0,"",SUMPRODUCT((INPUT!$T$3:$T$3000=46024)*(INPUT!$U$3:$U$3000="JAIME")*(INPUT!$V$3:$V$3000+INPUT!$W$3:$W$3000+INPUT!$X$3:$X$3000+INPUT!$Y$3:$Y$3000))),"")</f>
        <v>19</v>
      </c>
      <c r="DN12" s="42" cm="1">
        <f t="array" ref="DN12">IFERROR(IF(SUMPRODUCT((INPUT!$T$3:$T$3000=46025)*(INPUT!$U$3:$U$3000="JAIME"))=0,"",SUMPRODUCT((INPUT!$T$3:$T$3000=46025)*(INPUT!$U$3:$U$3000="JAIME")*(INPUT!$V$3:$V$3000+INPUT!$W$3:$W$3000+INPUT!$X$3:$X$3000+INPUT!$Y$3:$Y$3000))),"")</f>
        <v>20</v>
      </c>
      <c r="DO12" s="42" cm="1">
        <f t="array" ref="DO12">IFERROR(IF(SUMPRODUCT((INPUT!$T$3:$T$3000=46027)*(INPUT!$U$3:$U$3000="JAIME"))=0,"",SUMPRODUCT((INPUT!$T$3:$T$3000=46027)*(INPUT!$U$3:$U$3000="JAIME")*(INPUT!$V$3:$V$3000+INPUT!$W$3:$W$3000+INPUT!$X$3:$X$3000+INPUT!$Y$3:$Y$3000))),"")</f>
        <v>17</v>
      </c>
      <c r="DP12" s="42" cm="1">
        <f t="array" ref="DP12">IFERROR(IF(SUMPRODUCT((INPUT!$T$3:$T$3000=46028)*(INPUT!$U$3:$U$3000="JAIME"))=0,"",SUMPRODUCT((INPUT!$T$3:$T$3000=46028)*(INPUT!$U$3:$U$3000="JAIME")*(INPUT!$V$3:$V$3000+INPUT!$W$3:$W$3000+INPUT!$X$3:$X$3000+INPUT!$Y$3:$Y$3000))),"")</f>
        <v>16</v>
      </c>
      <c r="DQ12" s="42" cm="1">
        <f t="array" ref="DQ12">IFERROR(IF(SUMPRODUCT((INPUT!$T$3:$T$3000=46029)*(INPUT!$U$3:$U$3000="JAIME"))=0,"",SUMPRODUCT((INPUT!$T$3:$T$3000=46029)*(INPUT!$U$3:$U$3000="JAIME")*(INPUT!$V$3:$V$3000+INPUT!$W$3:$W$3000+INPUT!$X$3:$X$3000+INPUT!$Y$3:$Y$3000))),"")</f>
        <v>20</v>
      </c>
      <c r="DR12" s="42" t="str" cm="1">
        <f t="array" ref="DR12">IFERROR(IF(SUMPRODUCT((INPUT!$T$3:$T$3000=46030)*(INPUT!$U$3:$U$3000="JAIME"))=0,"",SUMPRODUCT((INPUT!$T$3:$T$3000=46030)*(INPUT!$U$3:$U$3000="JAIME")*(INPUT!$V$3:$V$3000+INPUT!$W$3:$W$3000+INPUT!$X$3:$X$3000+INPUT!$Y$3:$Y$3000))),"")</f>
        <v/>
      </c>
      <c r="DS12" s="42" cm="1">
        <f t="array" ref="DS12">IFERROR(IF(SUMPRODUCT((INPUT!$T$3:$T$3000=46031)*(INPUT!$U$3:$U$3000="JAIME"))=0,"",SUMPRODUCT((INPUT!$T$3:$T$3000=46031)*(INPUT!$U$3:$U$3000="JAIME")*(INPUT!$V$3:$V$3000+INPUT!$W$3:$W$3000+INPUT!$X$3:$X$3000+INPUT!$Y$3:$Y$3000))),"")</f>
        <v>19</v>
      </c>
      <c r="DT12" s="42" cm="1">
        <f t="array" ref="DT12">IFERROR(IF(SUMPRODUCT((INPUT!$T$3:$T$3000=46041)*(INPUT!$U$3:$U$3000="JAIME"))=0,"",SUMPRODUCT((INPUT!$T$3:$T$3000=46041)*(INPUT!$U$3:$U$3000="JAIME")*(INPUT!$V$3:$V$3000+INPUT!$W$3:$W$3000+INPUT!$X$3:$X$3000+INPUT!$Y$3:$Y$3000))),"")</f>
        <v>16</v>
      </c>
      <c r="DU12" s="42" cm="1">
        <f t="array" ref="DU12">IFERROR(IF(SUMPRODUCT((INPUT!$T$3:$T$3000=46042)*(INPUT!$U$3:$U$3000="JAIME"))=0,"",SUMPRODUCT((INPUT!$T$3:$T$3000=46042)*(INPUT!$U$3:$U$3000="JAIME")*(INPUT!$V$3:$V$3000+INPUT!$W$3:$W$3000+INPUT!$X$3:$X$3000+INPUT!$Y$3:$Y$3000))),"")</f>
        <v>15</v>
      </c>
      <c r="DV12" s="42" cm="1">
        <f t="array" ref="DV12">IFERROR(IF(SUMPRODUCT((INPUT!$T$3:$T$3000=46043)*(INPUT!$U$3:$U$3000="JAIME"))=0,"",SUMPRODUCT((INPUT!$T$3:$T$3000=46043)*(INPUT!$U$3:$U$3000="JAIME")*(INPUT!$V$3:$V$3000+INPUT!$W$3:$W$3000+INPUT!$X$3:$X$3000+INPUT!$Y$3:$Y$3000))),"")</f>
        <v>17</v>
      </c>
      <c r="DW12" s="42" cm="1">
        <f t="array" ref="DW12">IFERROR(IF(SUMPRODUCT((INPUT!$T$3:$T$3000=46044)*(INPUT!$U$3:$U$3000="JAIME"))=0,"",SUMPRODUCT((INPUT!$T$3:$T$3000=46044)*(INPUT!$U$3:$U$3000="JAIME")*(INPUT!$V$3:$V$3000+INPUT!$W$3:$W$3000+INPUT!$X$3:$X$3000+INPUT!$Y$3:$Y$3000))),"")</f>
        <v>14</v>
      </c>
      <c r="DX12" s="42" cm="1">
        <f t="array" ref="DX12">IFERROR(IF(SUMPRODUCT((INPUT!$T$3:$T$3000=46045)*(INPUT!$U$3:$U$3000="JAIME"))=0,"",SUMPRODUCT((INPUT!$T$3:$T$3000=46045)*(INPUT!$U$3:$U$3000="JAIME")*(INPUT!$V$3:$V$3000+INPUT!$W$3:$W$3000+INPUT!$X$3:$X$3000+INPUT!$Y$3:$Y$3000))),"")</f>
        <v>15</v>
      </c>
      <c r="DY12" s="42" cm="1">
        <f t="array" ref="DY12">IFERROR(IF(SUMPRODUCT((INPUT!$T$3:$T$3000=46048)*(INPUT!$U$3:$U$3000="JAIME"))=0,"",SUMPRODUCT((INPUT!$T$3:$T$3000=46048)*(INPUT!$U$3:$U$3000="JAIME")*(INPUT!$V$3:$V$3000+INPUT!$W$3:$W$3000+INPUT!$X$3:$X$3000+INPUT!$Y$3:$Y$3000))),"")</f>
        <v>15</v>
      </c>
      <c r="DZ12" s="42" cm="1">
        <f t="array" ref="DZ12">IFERROR(IF(SUMPRODUCT((INPUT!$T$3:$T$3000=46049)*(INPUT!$U$3:$U$3000="JAIME"))=0,"",SUMPRODUCT((INPUT!$T$3:$T$3000=46049)*(INPUT!$U$3:$U$3000="JAIME")*(INPUT!$V$3:$V$3000+INPUT!$W$3:$W$3000+INPUT!$X$3:$X$3000+INPUT!$Y$3:$Y$3000))),"")</f>
        <v>14</v>
      </c>
      <c r="EA12" s="42" cm="1">
        <f t="array" ref="EA12">IFERROR(IF(SUMPRODUCT((INPUT!$T$3:$T$3000=46050)*(INPUT!$U$3:$U$3000="JAIME"))=0,"",SUMPRODUCT((INPUT!$T$3:$T$3000=46050)*(INPUT!$U$3:$U$3000="JAIME")*(INPUT!$V$3:$V$3000+INPUT!$W$3:$W$3000+INPUT!$X$3:$X$3000+INPUT!$Y$3:$Y$3000))),"")</f>
        <v>13</v>
      </c>
      <c r="EB12" s="42" cm="1">
        <f t="array" ref="EB12">IFERROR(IF(SUMPRODUCT((INPUT!$T$3:$T$3000=46051)*(INPUT!$U$3:$U$3000="JAIME"))=0,"",SUMPRODUCT((INPUT!$T$3:$T$3000=46051)*(INPUT!$U$3:$U$3000="JAIME")*(INPUT!$V$3:$V$3000+INPUT!$W$3:$W$3000+INPUT!$X$3:$X$3000+INPUT!$Y$3:$Y$3000))),"")</f>
        <v>15</v>
      </c>
      <c r="EC12" s="42" cm="1">
        <f t="array" ref="EC12">IFERROR(IF(SUMPRODUCT((INPUT!$T$3:$T$3000=46052)*(INPUT!$U$3:$U$3000="JAIME"))=0,"",SUMPRODUCT((INPUT!$T$3:$T$3000=46052)*(INPUT!$U$3:$U$3000="JAIME")*(INPUT!$V$3:$V$3000+INPUT!$W$3:$W$3000+INPUT!$X$3:$X$3000+INPUT!$Y$3:$Y$3000))),"")</f>
        <v>18</v>
      </c>
      <c r="ED12" s="42" cm="1">
        <f t="array" ref="ED12">IFERROR(IF(SUMPRODUCT((INPUT!$T$3:$T$3000=46055)*(INPUT!$U$3:$U$3000="JAIME"))=0,"",SUMPRODUCT((INPUT!$T$3:$T$3000=46055)*(INPUT!$U$3:$U$3000="JAIME")*(INPUT!$V$3:$V$3000+INPUT!$W$3:$W$3000+INPUT!$X$3:$X$3000+INPUT!$Y$3:$Y$3000))),"")</f>
        <v>17</v>
      </c>
      <c r="EE12" s="42" cm="1">
        <f t="array" ref="EE12">IFERROR(IF(SUMPRODUCT((INPUT!$T$3:$T$3000=46056)*(INPUT!$U$3:$U$3000="JAIME"))=0,"",SUMPRODUCT((INPUT!$T$3:$T$3000=46056)*(INPUT!$U$3:$U$3000="JAIME")*(INPUT!$V$3:$V$3000+INPUT!$W$3:$W$3000+INPUT!$X$3:$X$3000+INPUT!$Y$3:$Y$3000))),"")</f>
        <v>14</v>
      </c>
      <c r="EF12" s="42" cm="1">
        <f t="array" ref="EF12">IFERROR(IF(SUMPRODUCT((INPUT!$T$3:$T$3000=46057)*(INPUT!$U$3:$U$3000="JAIME"))=0,"",SUMPRODUCT((INPUT!$T$3:$T$3000=46057)*(INPUT!$U$3:$U$3000="JAIME")*(INPUT!$V$3:$V$3000+INPUT!$W$3:$W$3000+INPUT!$X$3:$X$3000+INPUT!$Y$3:$Y$3000))),"")</f>
        <v>13</v>
      </c>
      <c r="EG12" s="42" cm="1">
        <f t="array" ref="EG12">IFERROR(IF(SUMPRODUCT((INPUT!$T$3:$T$3000=46058)*(INPUT!$U$3:$U$3000="JAIME"))=0,"",SUMPRODUCT((INPUT!$T$3:$T$3000=46058)*(INPUT!$U$3:$U$3000="JAIME")*(INPUT!$V$3:$V$3000+INPUT!$W$3:$W$3000+INPUT!$X$3:$X$3000+INPUT!$Y$3:$Y$3000))),"")</f>
        <v>14</v>
      </c>
      <c r="EH12" s="42" cm="1">
        <f t="array" ref="EH12">IFERROR(IF(SUMPRODUCT((INPUT!$T$3:$T$3000=46059)*(INPUT!$U$3:$U$3000="JAIME"))=0,"",SUMPRODUCT((INPUT!$T$3:$T$3000=46059)*(INPUT!$U$3:$U$3000="JAIME")*(INPUT!$V$3:$V$3000+INPUT!$W$3:$W$3000+INPUT!$X$3:$X$3000+INPUT!$Y$3:$Y$3000))),"")</f>
        <v>18</v>
      </c>
      <c r="EI12" s="42" cm="1">
        <f t="array" ref="EI12">IFERROR(IF(SUMPRODUCT((INPUT!$T$3:$T$3000=46061)*(INPUT!$U$3:$U$3000="JAIME"))=0,"",SUMPRODUCT((INPUT!$T$3:$T$3000=46061)*(INPUT!$U$3:$U$3000="JAIME")*(INPUT!$V$3:$V$3000+INPUT!$W$3:$W$3000+INPUT!$X$3:$X$3000+INPUT!$Y$3:$Y$3000))),"")</f>
        <v>12</v>
      </c>
      <c r="EJ12" s="42" cm="1">
        <f t="array" ref="EJ12">IFERROR(IF(SUMPRODUCT((INPUT!$T$3:$T$3000=46062)*(INPUT!$U$3:$U$3000="JAIME"))=0,"",SUMPRODUCT((INPUT!$T$3:$T$3000=46062)*(INPUT!$U$3:$U$3000="JAIME")*(INPUT!$V$3:$V$3000+INPUT!$W$3:$W$3000+INPUT!$X$3:$X$3000+INPUT!$Y$3:$Y$3000))),"")</f>
        <v>14</v>
      </c>
      <c r="EK12" s="42" cm="1">
        <f t="array" ref="EK12">IFERROR(IF(SUMPRODUCT((INPUT!$T$3:$T$3000=46063)*(INPUT!$U$3:$U$3000="JAIME"))=0,"",SUMPRODUCT((INPUT!$T$3:$T$3000=46063)*(INPUT!$U$3:$U$3000="JAIME")*(INPUT!$V$3:$V$3000+INPUT!$W$3:$W$3000+INPUT!$X$3:$X$3000+INPUT!$Y$3:$Y$3000))),"")</f>
        <v>16</v>
      </c>
      <c r="EL12" s="42" cm="1">
        <f t="array" ref="EL12">IFERROR(IF(SUMPRODUCT((INPUT!$T$3:$T$3000=46064)*(INPUT!$U$3:$U$3000="JAIME"))=0,"",SUMPRODUCT((INPUT!$T$3:$T$3000=46064)*(INPUT!$U$3:$U$3000="JAIME")*(INPUT!$V$3:$V$3000+INPUT!$W$3:$W$3000+INPUT!$X$3:$X$3000+INPUT!$Y$3:$Y$3000))),"")</f>
        <v>16</v>
      </c>
      <c r="EM12" s="42" t="str" cm="1">
        <f t="array" ref="EM12">IFERROR(IF(SUMPRODUCT((INPUT!$T$3:$T$3000=46065)*(INPUT!$U$3:$U$3000="JAIME"))=0,"",SUMPRODUCT((INPUT!$T$3:$T$3000=46065)*(INPUT!$U$3:$U$3000="JAIME")*(INPUT!$V$3:$V$3000+INPUT!$W$3:$W$3000+INPUT!$X$3:$X$3000+INPUT!$Y$3:$Y$3000))),"")</f>
        <v/>
      </c>
      <c r="EN12" s="42" cm="1">
        <f t="array" ref="EN12">IFERROR(IF(SUMPRODUCT((INPUT!$T$3:$T$3000=46066)*(INPUT!$U$3:$U$3000="JAIME"))=0,"",SUMPRODUCT((INPUT!$T$3:$T$3000=46066)*(INPUT!$U$3:$U$3000="JAIME")*(INPUT!$V$3:$V$3000+INPUT!$W$3:$W$3000+INPUT!$X$3:$X$3000+INPUT!$Y$3:$Y$3000))),"")</f>
        <v>16</v>
      </c>
      <c r="EO12" s="42" cm="1">
        <f t="array" ref="EO12">IFERROR(IF(SUMPRODUCT((INPUT!$T$3:$T$3000=46067)*(INPUT!$U$3:$U$3000="JAIME"))=0,"",SUMPRODUCT((INPUT!$T$3:$T$3000=46067)*(INPUT!$U$3:$U$3000="JAIME")*(INPUT!$V$3:$V$3000+INPUT!$W$3:$W$3000+INPUT!$X$3:$X$3000+INPUT!$Y$3:$Y$3000))),"")</f>
        <v>17</v>
      </c>
      <c r="EP12" s="42" cm="1">
        <f t="array" ref="EP12">IFERROR(IF(SUMPRODUCT((INPUT!$T$3:$T$3000=46069)*(INPUT!$U$3:$U$3000="JAIME"))=0,"",SUMPRODUCT((INPUT!$T$3:$T$3000=46069)*(INPUT!$U$3:$U$3000="JAIME")*(INPUT!$V$3:$V$3000+INPUT!$W$3:$W$3000+INPUT!$X$3:$X$3000+INPUT!$Y$3:$Y$3000))),"")</f>
        <v>18</v>
      </c>
      <c r="EQ12" s="42" cm="1">
        <f t="array" ref="EQ12">IFERROR(IF(SUMPRODUCT((INPUT!$T$3:$T$3000=46072)*(INPUT!$U$3:$U$3000="JAIME"))=0,"",SUMPRODUCT((INPUT!$T$3:$T$3000=46072)*(INPUT!$U$3:$U$3000="JAIME")*(INPUT!$V$3:$V$3000+INPUT!$W$3:$W$3000+INPUT!$X$3:$X$3000+INPUT!$Y$3:$Y$3000))),"")</f>
        <v>16</v>
      </c>
      <c r="ER12" s="42" cm="1">
        <f t="array" ref="ER12">IFERROR(IF(SUMPRODUCT((INPUT!$T$3:$T$3000=46073)*(INPUT!$U$3:$U$3000="JAIME"))=0,"",SUMPRODUCT((INPUT!$T$3:$T$3000=46073)*(INPUT!$U$3:$U$3000="JAIME")*(INPUT!$V$3:$V$3000+INPUT!$W$3:$W$3000+INPUT!$X$3:$X$3000+INPUT!$Y$3:$Y$3000))),"")</f>
        <v>16</v>
      </c>
      <c r="ES12" s="42" cm="1">
        <f t="array" ref="ES12">IFERROR(IF(SUMPRODUCT((INPUT!$T$3:$T$3000=46076)*(INPUT!$U$3:$U$3000="JAIME"))=0,"",SUMPRODUCT((INPUT!$T$3:$T$3000=46076)*(INPUT!$U$3:$U$3000="JAIME")*(INPUT!$V$3:$V$3000+INPUT!$W$3:$W$3000+INPUT!$X$3:$X$3000+INPUT!$Y$3:$Y$3000))),"")</f>
        <v>19</v>
      </c>
      <c r="ET12" s="42" cm="1">
        <f t="array" ref="ET12">IFERROR(IF(SUMPRODUCT((INPUT!$T$3:$T$3000=46077)*(INPUT!$U$3:$U$3000="JAIME"))=0,"",SUMPRODUCT((INPUT!$T$3:$T$3000=46077)*(INPUT!$U$3:$U$3000="JAIME")*(INPUT!$V$3:$V$3000+INPUT!$W$3:$W$3000+INPUT!$X$3:$X$3000+INPUT!$Y$3:$Y$3000))),"")</f>
        <v>16</v>
      </c>
      <c r="EU12" s="42" cm="1">
        <f t="array" ref="EU12">IFERROR(IF(SUMPRODUCT((INPUT!$T$3:$T$3000=46078)*(INPUT!$U$3:$U$3000="JAIME"))=0,"",SUMPRODUCT((INPUT!$T$3:$T$3000=46078)*(INPUT!$U$3:$U$3000="JAIME")*(INPUT!$V$3:$V$3000+INPUT!$W$3:$W$3000+INPUT!$X$3:$X$3000+INPUT!$Y$3:$Y$3000))),"")</f>
        <v>15</v>
      </c>
      <c r="EV12" s="42" cm="1">
        <f t="array" ref="EV12">IFERROR(IF(SUMPRODUCT((INPUT!$T$3:$T$3000=46079)*(INPUT!$U$3:$U$3000="JAIME"))=0,"",SUMPRODUCT((INPUT!$T$3:$T$3000=46079)*(INPUT!$U$3:$U$3000="JAIME")*(INPUT!$V$3:$V$3000+INPUT!$W$3:$W$3000+INPUT!$X$3:$X$3000+INPUT!$Y$3:$Y$3000))),"")</f>
        <v>16</v>
      </c>
      <c r="EW12" s="42" cm="1">
        <f t="array" ref="EW12">IFERROR(IF(SUMPRODUCT((INPUT!$T$3:$T$3000=46080)*(INPUT!$U$3:$U$3000="JAIME"))=0,"",SUMPRODUCT((INPUT!$T$3:$T$3000=46080)*(INPUT!$U$3:$U$3000="JAIME")*(INPUT!$V$3:$V$3000+INPUT!$W$3:$W$3000+INPUT!$X$3:$X$3000+INPUT!$Y$3:$Y$3000))),"")</f>
        <v>13</v>
      </c>
      <c r="EX12" s="42" cm="1">
        <f t="array" ref="EX12">IFERROR(IF(SUMPRODUCT((INPUT!$T$3:$T$3000=46082)*(INPUT!$U$3:$U$3000="JAIME"))=0,"",SUMPRODUCT((INPUT!$T$3:$T$3000=46082)*(INPUT!$U$3:$U$3000="JAIME")*(INPUT!$V$3:$V$3000+INPUT!$W$3:$W$3000+INPUT!$X$3:$X$3000+INPUT!$Y$3:$Y$3000))),"")</f>
        <v>18</v>
      </c>
      <c r="EY12" s="42" cm="1">
        <f t="array" ref="EY12">IFERROR(IF(SUMPRODUCT((INPUT!$T$3:$T$3000=46084)*(INPUT!$U$3:$U$3000="JAIME"))=0,"",SUMPRODUCT((INPUT!$T$3:$T$3000=46084)*(INPUT!$U$3:$U$3000="JAIME")*(INPUT!$V$3:$V$3000+INPUT!$W$3:$W$3000+INPUT!$X$3:$X$3000+INPUT!$Y$3:$Y$3000))),"")</f>
        <v>15</v>
      </c>
      <c r="EZ12" s="42" t="str" cm="1">
        <f t="array" ref="EZ12">IFERROR(IF(SUMPRODUCT((INPUT!$T$3:$T$3000=46085)*(INPUT!$U$3:$U$3000="JAIME"))=0,"",SUMPRODUCT((INPUT!$T$3:$T$3000=46085)*(INPUT!$U$3:$U$3000="JAIME")*(INPUT!$V$3:$V$3000+INPUT!$W$3:$W$3000+INPUT!$X$3:$X$3000+INPUT!$Y$3:$Y$3000))),"")</f>
        <v/>
      </c>
      <c r="FA12" s="42" t="str" cm="1">
        <f t="array" ref="FA12">IFERROR(IF(SUMPRODUCT((INPUT!$T$3:$T$3000=46086)*(INPUT!$U$3:$U$3000="JAIME"))=0,"",SUMPRODUCT((INPUT!$T$3:$T$3000=46086)*(INPUT!$U$3:$U$3000="JAIME")*(INPUT!$V$3:$V$3000+INPUT!$W$3:$W$3000+INPUT!$X$3:$X$3000+INPUT!$Y$3:$Y$3000))),"")</f>
        <v/>
      </c>
      <c r="FB12" s="42" t="str" cm="1">
        <f t="array" ref="FB12">IFERROR(IF(SUMPRODUCT((INPUT!$T$3:$T$3000=46087)*(INPUT!$U$3:$U$3000="JAIME"))=0,"",SUMPRODUCT((INPUT!$T$3:$T$3000=46087)*(INPUT!$U$3:$U$3000="JAIME")*(INPUT!$V$3:$V$3000+INPUT!$W$3:$W$3000+INPUT!$X$3:$X$3000+INPUT!$Y$3:$Y$3000))),"")</f>
        <v/>
      </c>
      <c r="FC12" s="42" cm="1">
        <f t="array" ref="FC12">IFERROR(IF(SUMPRODUCT((INPUT!$T$3:$T$3000=46090)*(INPUT!$U$3:$U$3000="JAIME"))=0,"",SUMPRODUCT((INPUT!$T$3:$T$3000=46090)*(INPUT!$U$3:$U$3000="JAIME")*(INPUT!$V$3:$V$3000+INPUT!$W$3:$W$3000+INPUT!$X$3:$X$3000+INPUT!$Y$3:$Y$3000))),"")</f>
        <v>18</v>
      </c>
      <c r="FD12" s="42" cm="1">
        <f t="array" ref="FD12">IFERROR(IF(SUMPRODUCT((INPUT!$T$3:$T$3000=46091)*(INPUT!$U$3:$U$3000="JAIME"))=0,"",SUMPRODUCT((INPUT!$T$3:$T$3000=46091)*(INPUT!$U$3:$U$3000="JAIME")*(INPUT!$V$3:$V$3000+INPUT!$W$3:$W$3000+INPUT!$X$3:$X$3000+INPUT!$Y$3:$Y$3000))),"")</f>
        <v>19</v>
      </c>
      <c r="FE12" s="42" cm="1">
        <f t="array" ref="FE12">IFERROR(IF(SUMPRODUCT((INPUT!$T$3:$T$3000=46092)*(INPUT!$U$3:$U$3000="JAIME"))=0,"",SUMPRODUCT((INPUT!$T$3:$T$3000=46092)*(INPUT!$U$3:$U$3000="JAIME")*(INPUT!$V$3:$V$3000+INPUT!$W$3:$W$3000+INPUT!$X$3:$X$3000+INPUT!$Y$3:$Y$3000))),"")</f>
        <v>18</v>
      </c>
      <c r="FF12" s="42" cm="1">
        <f t="array" ref="FF12">IFERROR(IF(SUMPRODUCT((INPUT!$T$3:$T$3000=46093)*(INPUT!$U$3:$U$3000="JAIME"))=0,"",SUMPRODUCT((INPUT!$T$3:$T$3000=46093)*(INPUT!$U$3:$U$3000="JAIME")*(INPUT!$V$3:$V$3000+INPUT!$W$3:$W$3000+INPUT!$X$3:$X$3000+INPUT!$Y$3:$Y$3000))),"")</f>
        <v>17</v>
      </c>
      <c r="FG12" s="42" cm="1">
        <f t="array" ref="FG12">IFERROR(IF(SUMPRODUCT((INPUT!$T$3:$T$3000=46094)*(INPUT!$U$3:$U$3000="JAIME"))=0,"",SUMPRODUCT((INPUT!$T$3:$T$3000=46094)*(INPUT!$U$3:$U$3000="JAIME")*(INPUT!$V$3:$V$3000+INPUT!$W$3:$W$3000+INPUT!$X$3:$X$3000+INPUT!$Y$3:$Y$3000))),"")</f>
        <v>17</v>
      </c>
      <c r="FH12" s="42" cm="1">
        <f t="array" ref="FH12">IFERROR(IF(SUMPRODUCT((INPUT!$T$3:$T$3000=46096)*(INPUT!$U$3:$U$3000="JAIME"))=0,"",SUMPRODUCT((INPUT!$T$3:$T$3000=46096)*(INPUT!$U$3:$U$3000="JAIME")*(INPUT!$V$3:$V$3000+INPUT!$W$3:$W$3000+INPUT!$X$3:$X$3000+INPUT!$Y$3:$Y$3000))),"")</f>
        <v>17</v>
      </c>
      <c r="FI12" s="42" cm="1">
        <f t="array" ref="FI12">IFERROR(IF(SUMPRODUCT((INPUT!$T$3:$T$3000=46097)*(INPUT!$U$3:$U$3000="JAIME"))=0,"",SUMPRODUCT((INPUT!$T$3:$T$3000=46097)*(INPUT!$U$3:$U$3000="JAIME")*(INPUT!$V$3:$V$3000+INPUT!$W$3:$W$3000+INPUT!$X$3:$X$3000+INPUT!$Y$3:$Y$3000))),"")</f>
        <v>17</v>
      </c>
      <c r="FJ12" s="42" cm="1">
        <f t="array" ref="FJ12">IFERROR(IF(SUMPRODUCT((INPUT!$T$3:$T$3000=46098)*(INPUT!$U$3:$U$3000="JAIME"))=0,"",SUMPRODUCT((INPUT!$T$3:$T$3000=46098)*(INPUT!$U$3:$U$3000="JAIME")*(INPUT!$V$3:$V$3000+INPUT!$W$3:$W$3000+INPUT!$X$3:$X$3000+INPUT!$Y$3:$Y$3000))),"")</f>
        <v>16</v>
      </c>
      <c r="FK12" s="42" cm="1">
        <f t="array" ref="FK12">IFERROR(IF(SUMPRODUCT((INPUT!$T$3:$T$3000=46099)*(INPUT!$U$3:$U$3000="JAIME"))=0,"",SUMPRODUCT((INPUT!$T$3:$T$3000=46099)*(INPUT!$U$3:$U$3000="JAIME")*(INPUT!$V$3:$V$3000+INPUT!$W$3:$W$3000+INPUT!$X$3:$X$3000+INPUT!$Y$3:$Y$3000))),"")</f>
        <v>20</v>
      </c>
      <c r="FL12" s="42" cm="1">
        <f t="array" ref="FL12">IFERROR(IF(SUMPRODUCT((INPUT!$T$3:$T$3000=46102)*(INPUT!$U$3:$U$3000="JAIME"))=0,"",SUMPRODUCT((INPUT!$T$3:$T$3000=46102)*(INPUT!$U$3:$U$3000="JAIME")*(INPUT!$V$3:$V$3000+INPUT!$W$3:$W$3000+INPUT!$X$3:$X$3000+INPUT!$Y$3:$Y$3000))),"")</f>
        <v>20</v>
      </c>
      <c r="FM12" s="42" cm="1">
        <f t="array" ref="FM12">IFERROR(IF(SUMPRODUCT((INPUT!$T$3:$T$3000=46105)*(INPUT!$U$3:$U$3000="JAIME"))=0,"",SUMPRODUCT((INPUT!$T$3:$T$3000=46105)*(INPUT!$U$3:$U$3000="JAIME")*(INPUT!$V$3:$V$3000+INPUT!$W$3:$W$3000+INPUT!$X$3:$X$3000+INPUT!$Y$3:$Y$3000))),"")</f>
        <v>16</v>
      </c>
      <c r="FN12" s="42" cm="1">
        <f t="array" ref="FN12">IFERROR(IF(SUMPRODUCT((INPUT!$T$3:$T$3000=46106)*(INPUT!$U$3:$U$3000="JAIME"))=0,"",SUMPRODUCT((INPUT!$T$3:$T$3000=46106)*(INPUT!$U$3:$U$3000="JAIME")*(INPUT!$V$3:$V$3000+INPUT!$W$3:$W$3000+INPUT!$X$3:$X$3000+INPUT!$Y$3:$Y$3000))),"")</f>
        <v>16</v>
      </c>
      <c r="FO12" s="42" cm="1">
        <f t="array" ref="FO12">IFERROR(IF(SUMPRODUCT((INPUT!$T$3:$T$3000=46107)*(INPUT!$U$3:$U$3000="JAIME"))=0,"",SUMPRODUCT((INPUT!$T$3:$T$3000=46107)*(INPUT!$U$3:$U$3000="JAIME")*(INPUT!$V$3:$V$3000+INPUT!$W$3:$W$3000+INPUT!$X$3:$X$3000+INPUT!$Y$3:$Y$3000))),"")</f>
        <v>16</v>
      </c>
      <c r="FP12" s="42" cm="1">
        <f t="array" ref="FP12">IFERROR(IF(SUMPRODUCT((INPUT!$T$3:$T$3000=46108)*(INPUT!$U$3:$U$3000="JAIME"))=0,"",SUMPRODUCT((INPUT!$T$3:$T$3000=46108)*(INPUT!$U$3:$U$3000="JAIME")*(INPUT!$V$3:$V$3000+INPUT!$W$3:$W$3000+INPUT!$X$3:$X$3000+INPUT!$Y$3:$Y$3000))),"")</f>
        <v>16</v>
      </c>
      <c r="FQ12" s="42" cm="1">
        <f t="array" ref="FQ12">IFERROR(IF(SUMPRODUCT((INPUT!$T$3:$T$3000=46109)*(INPUT!$U$3:$U$3000="JAIME"))=0,"",SUMPRODUCT((INPUT!$T$3:$T$3000=46109)*(INPUT!$U$3:$U$3000="JAIME")*(INPUT!$V$3:$V$3000+INPUT!$W$3:$W$3000+INPUT!$X$3:$X$3000+INPUT!$Y$3:$Y$3000))),"")</f>
        <v>20</v>
      </c>
      <c r="FR12" s="42" cm="1">
        <f t="array" ref="FR12">IFERROR(IF(SUMPRODUCT((INPUT!$T$3:$T$3000=46111)*(INPUT!$U$3:$U$3000="JAIME"))=0,"",SUMPRODUCT((INPUT!$T$3:$T$3000=46111)*(INPUT!$U$3:$U$3000="JAIME")*(INPUT!$V$3:$V$3000+INPUT!$W$3:$W$3000+INPUT!$X$3:$X$3000+INPUT!$Y$3:$Y$3000))),"")</f>
        <v>15</v>
      </c>
      <c r="FS12" s="42" cm="1">
        <f t="array" ref="FS12">IFERROR(IF(SUMPRODUCT((INPUT!$T$3:$T$3000=46112)*(INPUT!$U$3:$U$3000="JAIME"))=0,"",SUMPRODUCT((INPUT!$T$3:$T$3000=46112)*(INPUT!$U$3:$U$3000="JAIME")*(INPUT!$V$3:$V$3000+INPUT!$W$3:$W$3000+INPUT!$X$3:$X$3000+INPUT!$Y$3:$Y$3000))),"")</f>
        <v>16</v>
      </c>
      <c r="FT12" s="42" cm="1">
        <f t="array" ref="FT12">IFERROR(IF(SUMPRODUCT((INPUT!$T$3:$T$3000=46113)*(INPUT!$U$3:$U$3000="JAIME"))=0,"",SUMPRODUCT((INPUT!$T$3:$T$3000=46113)*(INPUT!$U$3:$U$3000="JAIME")*(INPUT!$V$3:$V$3000+INPUT!$W$3:$W$3000+INPUT!$X$3:$X$3000+INPUT!$Y$3:$Y$3000))),"")</f>
        <v>16</v>
      </c>
      <c r="FU12" s="42" cm="1">
        <f t="array" ref="FU12">IFERROR(IF(SUMPRODUCT((INPUT!$T$3:$T$3000=46114)*(INPUT!$U$3:$U$3000="JAIME"))=0,"",SUMPRODUCT((INPUT!$T$3:$T$3000=46114)*(INPUT!$U$3:$U$3000="JAIME")*(INPUT!$V$3:$V$3000+INPUT!$W$3:$W$3000+INPUT!$X$3:$X$3000+INPUT!$Y$3:$Y$3000))),"")</f>
        <v>16</v>
      </c>
      <c r="FV12" s="42" cm="1">
        <f t="array" ref="FV12">IFERROR(IF(SUMPRODUCT((INPUT!$T$3:$T$3000=46115)*(INPUT!$U$3:$U$3000="JAIME"))=0,"",SUMPRODUCT((INPUT!$T$3:$T$3000=46115)*(INPUT!$U$3:$U$3000="JAIME")*(INPUT!$V$3:$V$3000+INPUT!$W$3:$W$3000+INPUT!$X$3:$X$3000+INPUT!$Y$3:$Y$3000))),"")</f>
        <v>16</v>
      </c>
      <c r="FW12" s="42" cm="1">
        <f t="array" ref="FW12">IFERROR(IF(SUMPRODUCT((INPUT!$T$3:$T$3000=46116)*(INPUT!$U$3:$U$3000="JAIME"))=0,"",SUMPRODUCT((INPUT!$T$3:$T$3000=46116)*(INPUT!$U$3:$U$3000="JAIME")*(INPUT!$V$3:$V$3000+INPUT!$W$3:$W$3000+INPUT!$X$3:$X$3000+INPUT!$Y$3:$Y$3000))),"")</f>
        <v>16</v>
      </c>
      <c r="FX12" s="42" cm="1">
        <f t="array" ref="FX12">IFERROR(IF(SUMPRODUCT((INPUT!$T$3:$T$3000=46118)*(INPUT!$U$3:$U$3000="JAIME"))=0,"",SUMPRODUCT((INPUT!$T$3:$T$3000=46118)*(INPUT!$U$3:$U$3000="JAIME")*(INPUT!$V$3:$V$3000+INPUT!$W$3:$W$3000+INPUT!$X$3:$X$3000+INPUT!$Y$3:$Y$3000))),"")</f>
        <v>16</v>
      </c>
      <c r="FY12" s="42" cm="1">
        <f t="array" ref="FY12">IFERROR(IF(SUMPRODUCT((INPUT!$T$3:$T$3000=46119)*(INPUT!$U$3:$U$3000="JAIME"))=0,"",SUMPRODUCT((INPUT!$T$3:$T$3000=46119)*(INPUT!$U$3:$U$3000="JAIME")*(INPUT!$V$3:$V$3000+INPUT!$W$3:$W$3000+INPUT!$X$3:$X$3000+INPUT!$Y$3:$Y$3000))),"")</f>
        <v>16</v>
      </c>
      <c r="FZ12" s="42" cm="1">
        <f t="array" ref="FZ12">IFERROR(IF(SUMPRODUCT((INPUT!$T$3:$T$3000=46120)*(INPUT!$U$3:$U$3000="JAIME"))=0,"",SUMPRODUCT((INPUT!$T$3:$T$3000=46120)*(INPUT!$U$3:$U$3000="JAIME")*(INPUT!$V$3:$V$3000+INPUT!$W$3:$W$3000+INPUT!$X$3:$X$3000+INPUT!$Y$3:$Y$3000))),"")</f>
        <v>14</v>
      </c>
      <c r="GA12" s="42" t="str" cm="1">
        <f t="array" ref="GA12">IFERROR(IF(SUMPRODUCT((INPUT!$T$3:$T$3000=46121)*(INPUT!$U$3:$U$3000="JAIME"))=0,"",SUMPRODUCT((INPUT!$T$3:$T$3000=46121)*(INPUT!$U$3:$U$3000="JAIME")*(INPUT!$V$3:$V$3000+INPUT!$W$3:$W$3000+INPUT!$X$3:$X$3000+INPUT!$Y$3:$Y$3000))),"")</f>
        <v/>
      </c>
      <c r="GB12" s="42" t="str" cm="1">
        <f t="array" ref="GB12">IFERROR(IF(SUMPRODUCT((INPUT!$T$3:$T$3000=46122)*(INPUT!$U$3:$U$3000="JAIME"))=0,"",SUMPRODUCT((INPUT!$T$3:$T$3000=46122)*(INPUT!$U$3:$U$3000="JAIME")*(INPUT!$V$3:$V$3000+INPUT!$W$3:$W$3000+INPUT!$X$3:$X$3000+INPUT!$Y$3:$Y$3000))),"")</f>
        <v/>
      </c>
      <c r="GC12" s="42" t="str" cm="1">
        <f t="array" ref="GC12">IFERROR(IF(SUMPRODUCT((INPUT!$T$3:$T$3000=46125)*(INPUT!$U$3:$U$3000="JAIME"))=0,"",SUMPRODUCT((INPUT!$T$3:$T$3000=46125)*(INPUT!$U$3:$U$3000="JAIME")*(INPUT!$V$3:$V$3000+INPUT!$W$3:$W$3000+INPUT!$X$3:$X$3000+INPUT!$Y$3:$Y$3000))),"")</f>
        <v/>
      </c>
      <c r="GD12" s="42" t="str" cm="1">
        <f t="array" ref="GD12">IFERROR(IF(SUMPRODUCT((INPUT!$T$3:$T$3000=46126)*(INPUT!$U$3:$U$3000="JAIME"))=0,"",SUMPRODUCT((INPUT!$T$3:$T$3000=46126)*(INPUT!$U$3:$U$3000="JAIME")*(INPUT!$V$3:$V$3000+INPUT!$W$3:$W$3000+INPUT!$X$3:$X$3000+INPUT!$Y$3:$Y$3000))),"")</f>
        <v/>
      </c>
      <c r="GE12" s="42" t="str" cm="1">
        <f t="array" ref="GE12">IFERROR(IF(SUMPRODUCT((INPUT!$T$3:$T$3000=46127)*(INPUT!$U$3:$U$3000="JAIME"))=0,"",SUMPRODUCT((INPUT!$T$3:$T$3000=46127)*(INPUT!$U$3:$U$3000="JAIME")*(INPUT!$V$3:$V$3000+INPUT!$W$3:$W$3000+INPUT!$X$3:$X$3000+INPUT!$Y$3:$Y$3000))),"")</f>
        <v/>
      </c>
      <c r="GF12" s="42" t="str" cm="1">
        <f t="array" ref="GF12">IFERROR(IF(SUMPRODUCT((INPUT!$T$3:$T$3000=46128)*(INPUT!$U$3:$U$3000="JAIME"))=0,"",SUMPRODUCT((INPUT!$T$3:$T$3000=46128)*(INPUT!$U$3:$U$3000="JAIME")*(INPUT!$V$3:$V$3000+INPUT!$W$3:$W$3000+INPUT!$X$3:$X$3000+INPUT!$Y$3:$Y$3000))),"")</f>
        <v/>
      </c>
      <c r="GG12" s="42" t="str" cm="1">
        <f t="array" ref="GG12">IFERROR(IF(SUMPRODUCT((INPUT!$T$3:$T$3000=46129)*(INPUT!$U$3:$U$3000="JAIME"))=0,"",SUMPRODUCT((INPUT!$T$3:$T$3000=46129)*(INPUT!$U$3:$U$3000="JAIME")*(INPUT!$V$3:$V$3000+INPUT!$W$3:$W$3000+INPUT!$X$3:$X$3000+INPUT!$Y$3:$Y$3000))),"")</f>
        <v/>
      </c>
      <c r="GH12" s="42" t="str" cm="1">
        <f t="array" ref="GH12">IFERROR(IF(SUMPRODUCT((INPUT!$T$3:$T$3000=46130)*(INPUT!$U$3:$U$3000="JAIME"))=0,"",SUMPRODUCT((INPUT!$T$3:$T$3000=46130)*(INPUT!$U$3:$U$3000="JAIME")*(INPUT!$V$3:$V$3000+INPUT!$W$3:$W$3000+INPUT!$X$3:$X$3000+INPUT!$Y$3:$Y$3000))),"")</f>
        <v/>
      </c>
      <c r="GI12" s="42" t="str" cm="1">
        <f t="array" ref="GI12">IFERROR(IF(SUMPRODUCT((INPUT!$T$3:$T$3000=46132)*(INPUT!$U$3:$U$3000="JAIME"))=0,"",SUMPRODUCT((INPUT!$T$3:$T$3000=46132)*(INPUT!$U$3:$U$3000="JAIME")*(INPUT!$V$3:$V$3000+INPUT!$W$3:$W$3000+INPUT!$X$3:$X$3000+INPUT!$Y$3:$Y$3000))),"")</f>
        <v/>
      </c>
    </row>
    <row r="13" spans="1:191" x14ac:dyDescent="0.2">
      <c r="A13" t="s">
        <v>49</v>
      </c>
      <c r="B13" s="42" cm="1">
        <f t="array" ref="B13">IFERROR(IF(SUMPRODUCT((INPUT!$T$3:$T$3000=45868)*(INPUT!$U$3:$U$3000="JAVI"))=0,"",SUMPRODUCT((INPUT!$T$3:$T$3000=45868)*(INPUT!$U$3:$U$3000="JAVI")*(INPUT!$V$3:$V$3000+INPUT!$W$3:$W$3000+INPUT!$X$3:$X$3000+INPUT!$Y$3:$Y$3000))),"")</f>
        <v>16</v>
      </c>
      <c r="C13" s="42" cm="1">
        <f t="array" ref="C13">IFERROR(IF(SUMPRODUCT((INPUT!$T$3:$T$3000=45869)*(INPUT!$U$3:$U$3000="JAVI"))=0,"",SUMPRODUCT((INPUT!$T$3:$T$3000=45869)*(INPUT!$U$3:$U$3000="JAVI")*(INPUT!$V$3:$V$3000+INPUT!$W$3:$W$3000+INPUT!$X$3:$X$3000+INPUT!$Y$3:$Y$3000))),"")</f>
        <v>16</v>
      </c>
      <c r="D13" s="42" cm="1">
        <f t="array" ref="D13">IFERROR(IF(SUMPRODUCT((INPUT!$T$3:$T$3000=45870)*(INPUT!$U$3:$U$3000="JAVI"))=0,"",SUMPRODUCT((INPUT!$T$3:$T$3000=45870)*(INPUT!$U$3:$U$3000="JAVI")*(INPUT!$V$3:$V$3000+INPUT!$W$3:$W$3000+INPUT!$X$3:$X$3000+INPUT!$Y$3:$Y$3000))),"")</f>
        <v>10</v>
      </c>
      <c r="E13" s="42" t="str" cm="1">
        <f t="array" ref="E13">IFERROR(IF(SUMPRODUCT((INPUT!$T$3:$T$3000=45873)*(INPUT!$U$3:$U$3000="JAVI"))=0,"",SUMPRODUCT((INPUT!$T$3:$T$3000=45873)*(INPUT!$U$3:$U$3000="JAVI")*(INPUT!$V$3:$V$3000+INPUT!$W$3:$W$3000+INPUT!$X$3:$X$3000+INPUT!$Y$3:$Y$3000))),"")</f>
        <v/>
      </c>
      <c r="F13" s="42" t="str" cm="1">
        <f t="array" ref="F13">IFERROR(IF(SUMPRODUCT((INPUT!$T$3:$T$3000=45874)*(INPUT!$U$3:$U$3000="JAVI"))=0,"",SUMPRODUCT((INPUT!$T$3:$T$3000=45874)*(INPUT!$U$3:$U$3000="JAVI")*(INPUT!$V$3:$V$3000+INPUT!$W$3:$W$3000+INPUT!$X$3:$X$3000+INPUT!$Y$3:$Y$3000))),"")</f>
        <v/>
      </c>
      <c r="G13" s="42" t="str" cm="1">
        <f t="array" ref="G13">IFERROR(IF(SUMPRODUCT((INPUT!$T$3:$T$3000=45875)*(INPUT!$U$3:$U$3000="JAVI"))=0,"",SUMPRODUCT((INPUT!$T$3:$T$3000=45875)*(INPUT!$U$3:$U$3000="JAVI")*(INPUT!$V$3:$V$3000+INPUT!$W$3:$W$3000+INPUT!$X$3:$X$3000+INPUT!$Y$3:$Y$3000))),"")</f>
        <v/>
      </c>
      <c r="H13" s="42" cm="1">
        <f t="array" ref="H13">IFERROR(IF(SUMPRODUCT((INPUT!$T$3:$T$3000=45876)*(INPUT!$U$3:$U$3000="JAVI"))=0,"",SUMPRODUCT((INPUT!$T$3:$T$3000=45876)*(INPUT!$U$3:$U$3000="JAVI")*(INPUT!$V$3:$V$3000+INPUT!$W$3:$W$3000+INPUT!$X$3:$X$3000+INPUT!$Y$3:$Y$3000))),"")</f>
        <v>12</v>
      </c>
      <c r="I13" s="42" cm="1">
        <f t="array" ref="I13">IFERROR(IF(SUMPRODUCT((INPUT!$T$3:$T$3000=45877)*(INPUT!$U$3:$U$3000="JAVI"))=0,"",SUMPRODUCT((INPUT!$T$3:$T$3000=45877)*(INPUT!$U$3:$U$3000="JAVI")*(INPUT!$V$3:$V$3000+INPUT!$W$3:$W$3000+INPUT!$X$3:$X$3000+INPUT!$Y$3:$Y$3000))),"")</f>
        <v>14</v>
      </c>
      <c r="J13" s="42" cm="1">
        <f t="array" ref="J13">IFERROR(IF(SUMPRODUCT((INPUT!$T$3:$T$3000=45878)*(INPUT!$U$3:$U$3000="JAVI"))=0,"",SUMPRODUCT((INPUT!$T$3:$T$3000=45878)*(INPUT!$U$3:$U$3000="JAVI")*(INPUT!$V$3:$V$3000+INPUT!$W$3:$W$3000+INPUT!$X$3:$X$3000+INPUT!$Y$3:$Y$3000))),"")</f>
        <v>14</v>
      </c>
      <c r="K13" s="42" cm="1">
        <f t="array" ref="K13">IFERROR(IF(SUMPRODUCT((INPUT!$T$3:$T$3000=45880)*(INPUT!$U$3:$U$3000="JAVI"))=0,"",SUMPRODUCT((INPUT!$T$3:$T$3000=45880)*(INPUT!$U$3:$U$3000="JAVI")*(INPUT!$V$3:$V$3000+INPUT!$W$3:$W$3000+INPUT!$X$3:$X$3000+INPUT!$Y$3:$Y$3000))),"")</f>
        <v>14</v>
      </c>
      <c r="L13" s="42" cm="1">
        <f t="array" ref="L13">IFERROR(IF(SUMPRODUCT((INPUT!$T$3:$T$3000=45881)*(INPUT!$U$3:$U$3000="JAVI"))=0,"",SUMPRODUCT((INPUT!$T$3:$T$3000=45881)*(INPUT!$U$3:$U$3000="JAVI")*(INPUT!$V$3:$V$3000+INPUT!$W$3:$W$3000+INPUT!$X$3:$X$3000+INPUT!$Y$3:$Y$3000))),"")</f>
        <v>13</v>
      </c>
      <c r="M13" s="42" cm="1">
        <f t="array" ref="M13">IFERROR(IF(SUMPRODUCT((INPUT!$T$3:$T$3000=45882)*(INPUT!$U$3:$U$3000="JAVI"))=0,"",SUMPRODUCT((INPUT!$T$3:$T$3000=45882)*(INPUT!$U$3:$U$3000="JAVI")*(INPUT!$V$3:$V$3000+INPUT!$W$3:$W$3000+INPUT!$X$3:$X$3000+INPUT!$Y$3:$Y$3000))),"")</f>
        <v>14</v>
      </c>
      <c r="N13" s="42" cm="1">
        <f t="array" ref="N13">IFERROR(IF(SUMPRODUCT((INPUT!$T$3:$T$3000=45883)*(INPUT!$U$3:$U$3000="JAVI"))=0,"",SUMPRODUCT((INPUT!$T$3:$T$3000=45883)*(INPUT!$U$3:$U$3000="JAVI")*(INPUT!$V$3:$V$3000+INPUT!$W$3:$W$3000+INPUT!$X$3:$X$3000+INPUT!$Y$3:$Y$3000))),"")</f>
        <v>13</v>
      </c>
      <c r="O13" s="42" cm="1">
        <f t="array" ref="O13">IFERROR(IF(SUMPRODUCT((INPUT!$T$3:$T$3000=45884)*(INPUT!$U$3:$U$3000="JAVI"))=0,"",SUMPRODUCT((INPUT!$T$3:$T$3000=45884)*(INPUT!$U$3:$U$3000="JAVI")*(INPUT!$V$3:$V$3000+INPUT!$W$3:$W$3000+INPUT!$X$3:$X$3000+INPUT!$Y$3:$Y$3000))),"")</f>
        <v>13</v>
      </c>
      <c r="P13" s="42" cm="1">
        <f t="array" ref="P13">IFERROR(IF(SUMPRODUCT((INPUT!$T$3:$T$3000=45887)*(INPUT!$U$3:$U$3000="JAVI"))=0,"",SUMPRODUCT((INPUT!$T$3:$T$3000=45887)*(INPUT!$U$3:$U$3000="JAVI")*(INPUT!$V$3:$V$3000+INPUT!$W$3:$W$3000+INPUT!$X$3:$X$3000+INPUT!$Y$3:$Y$3000))),"")</f>
        <v>15</v>
      </c>
      <c r="Q13" s="42" cm="1">
        <f t="array" ref="Q13">IFERROR(IF(SUMPRODUCT((INPUT!$T$3:$T$3000=45888)*(INPUT!$U$3:$U$3000="JAVI"))=0,"",SUMPRODUCT((INPUT!$T$3:$T$3000=45888)*(INPUT!$U$3:$U$3000="JAVI")*(INPUT!$V$3:$V$3000+INPUT!$W$3:$W$3000+INPUT!$X$3:$X$3000+INPUT!$Y$3:$Y$3000))),"")</f>
        <v>14</v>
      </c>
      <c r="R13" s="42" cm="1">
        <f t="array" ref="R13">IFERROR(IF(SUMPRODUCT((INPUT!$T$3:$T$3000=45889)*(INPUT!$U$3:$U$3000="JAVI"))=0,"",SUMPRODUCT((INPUT!$T$3:$T$3000=45889)*(INPUT!$U$3:$U$3000="JAVI")*(INPUT!$V$3:$V$3000+INPUT!$W$3:$W$3000+INPUT!$X$3:$X$3000+INPUT!$Y$3:$Y$3000))),"")</f>
        <v>13</v>
      </c>
      <c r="S13" s="42" cm="1">
        <f t="array" ref="S13">IFERROR(IF(SUMPRODUCT((INPUT!$T$3:$T$3000=45890)*(INPUT!$U$3:$U$3000="JAVI"))=0,"",SUMPRODUCT((INPUT!$T$3:$T$3000=45890)*(INPUT!$U$3:$U$3000="JAVI")*(INPUT!$V$3:$V$3000+INPUT!$W$3:$W$3000+INPUT!$X$3:$X$3000+INPUT!$Y$3:$Y$3000))),"")</f>
        <v>14</v>
      </c>
      <c r="T13" s="42" cm="1">
        <f t="array" ref="T13">IFERROR(IF(SUMPRODUCT((INPUT!$T$3:$T$3000=45891)*(INPUT!$U$3:$U$3000="JAVI"))=0,"",SUMPRODUCT((INPUT!$T$3:$T$3000=45891)*(INPUT!$U$3:$U$3000="JAVI")*(INPUT!$V$3:$V$3000+INPUT!$W$3:$W$3000+INPUT!$X$3:$X$3000+INPUT!$Y$3:$Y$3000))),"")</f>
        <v>16</v>
      </c>
      <c r="U13" s="42" cm="1">
        <f t="array" ref="U13">IFERROR(IF(SUMPRODUCT((INPUT!$T$3:$T$3000=45892)*(INPUT!$U$3:$U$3000="JAVI"))=0,"",SUMPRODUCT((INPUT!$T$3:$T$3000=45892)*(INPUT!$U$3:$U$3000="JAVI")*(INPUT!$V$3:$V$3000+INPUT!$W$3:$W$3000+INPUT!$X$3:$X$3000+INPUT!$Y$3:$Y$3000))),"")</f>
        <v>16</v>
      </c>
      <c r="V13" s="42" cm="1">
        <f t="array" ref="V13">IFERROR(IF(SUMPRODUCT((INPUT!$T$3:$T$3000=45893)*(INPUT!$U$3:$U$3000="JAVI"))=0,"",SUMPRODUCT((INPUT!$T$3:$T$3000=45893)*(INPUT!$U$3:$U$3000="JAVI")*(INPUT!$V$3:$V$3000+INPUT!$W$3:$W$3000+INPUT!$X$3:$X$3000+INPUT!$Y$3:$Y$3000))),"")</f>
        <v>16</v>
      </c>
      <c r="W13" s="42" cm="1">
        <f t="array" ref="W13">IFERROR(IF(SUMPRODUCT((INPUT!$T$3:$T$3000=45895)*(INPUT!$U$3:$U$3000="JAVI"))=0,"",SUMPRODUCT((INPUT!$T$3:$T$3000=45895)*(INPUT!$U$3:$U$3000="JAVI")*(INPUT!$V$3:$V$3000+INPUT!$W$3:$W$3000+INPUT!$X$3:$X$3000+INPUT!$Y$3:$Y$3000))),"")</f>
        <v>15</v>
      </c>
      <c r="X13" s="42" cm="1">
        <f t="array" ref="X13">IFERROR(IF(SUMPRODUCT((INPUT!$T$3:$T$3000=45896)*(INPUT!$U$3:$U$3000="JAVI"))=0,"",SUMPRODUCT((INPUT!$T$3:$T$3000=45896)*(INPUT!$U$3:$U$3000="JAVI")*(INPUT!$V$3:$V$3000+INPUT!$W$3:$W$3000+INPUT!$X$3:$X$3000+INPUT!$Y$3:$Y$3000))),"")</f>
        <v>16</v>
      </c>
      <c r="Y13" s="42" cm="1">
        <f t="array" ref="Y13">IFERROR(IF(SUMPRODUCT((INPUT!$T$3:$T$3000=45898)*(INPUT!$U$3:$U$3000="JAVI"))=0,"",SUMPRODUCT((INPUT!$T$3:$T$3000=45898)*(INPUT!$U$3:$U$3000="JAVI")*(INPUT!$V$3:$V$3000+INPUT!$W$3:$W$3000+INPUT!$X$3:$X$3000+INPUT!$Y$3:$Y$3000))),"")</f>
        <v>16</v>
      </c>
      <c r="Z13" s="42" cm="1">
        <f t="array" ref="Z13">IFERROR(IF(SUMPRODUCT((INPUT!$T$3:$T$3000=45899)*(INPUT!$U$3:$U$3000="JAVI"))=0,"",SUMPRODUCT((INPUT!$T$3:$T$3000=45899)*(INPUT!$U$3:$U$3000="JAVI")*(INPUT!$V$3:$V$3000+INPUT!$W$3:$W$3000+INPUT!$X$3:$X$3000+INPUT!$Y$3:$Y$3000))),"")</f>
        <v>16</v>
      </c>
      <c r="AA13" s="42" cm="1">
        <f t="array" ref="AA13">IFERROR(IF(SUMPRODUCT((INPUT!$T$3:$T$3000=45900)*(INPUT!$U$3:$U$3000="JAVI"))=0,"",SUMPRODUCT((INPUT!$T$3:$T$3000=45900)*(INPUT!$U$3:$U$3000="JAVI")*(INPUT!$V$3:$V$3000+INPUT!$W$3:$W$3000+INPUT!$X$3:$X$3000+INPUT!$Y$3:$Y$3000))),"")</f>
        <v>13</v>
      </c>
      <c r="AB13" s="42" cm="1">
        <f t="array" ref="AB13">IFERROR(IF(SUMPRODUCT((INPUT!$T$3:$T$3000=45902)*(INPUT!$U$3:$U$3000="JAVI"))=0,"",SUMPRODUCT((INPUT!$T$3:$T$3000=45902)*(INPUT!$U$3:$U$3000="JAVI")*(INPUT!$V$3:$V$3000+INPUT!$W$3:$W$3000+INPUT!$X$3:$X$3000+INPUT!$Y$3:$Y$3000))),"")</f>
        <v>16</v>
      </c>
      <c r="AC13" s="42" cm="1">
        <f t="array" ref="AC13">IFERROR(IF(SUMPRODUCT((INPUT!$T$3:$T$3000=45903)*(INPUT!$U$3:$U$3000="JAVI"))=0,"",SUMPRODUCT((INPUT!$T$3:$T$3000=45903)*(INPUT!$U$3:$U$3000="JAVI")*(INPUT!$V$3:$V$3000+INPUT!$W$3:$W$3000+INPUT!$X$3:$X$3000+INPUT!$Y$3:$Y$3000))),"")</f>
        <v>16</v>
      </c>
      <c r="AD13" s="42" cm="1">
        <f t="array" ref="AD13">IFERROR(IF(SUMPRODUCT((INPUT!$T$3:$T$3000=45904)*(INPUT!$U$3:$U$3000="JAVI"))=0,"",SUMPRODUCT((INPUT!$T$3:$T$3000=45904)*(INPUT!$U$3:$U$3000="JAVI")*(INPUT!$V$3:$V$3000+INPUT!$W$3:$W$3000+INPUT!$X$3:$X$3000+INPUT!$Y$3:$Y$3000))),"")</f>
        <v>16</v>
      </c>
      <c r="AE13" s="42" cm="1">
        <f t="array" ref="AE13">IFERROR(IF(SUMPRODUCT((INPUT!$T$3:$T$3000=45905)*(INPUT!$U$3:$U$3000="JAVI"))=0,"",SUMPRODUCT((INPUT!$T$3:$T$3000=45905)*(INPUT!$U$3:$U$3000="JAVI")*(INPUT!$V$3:$V$3000+INPUT!$W$3:$W$3000+INPUT!$X$3:$X$3000+INPUT!$Y$3:$Y$3000))),"")</f>
        <v>16</v>
      </c>
      <c r="AF13" s="42" cm="1">
        <f t="array" ref="AF13">IFERROR(IF(SUMPRODUCT((INPUT!$T$3:$T$3000=45906)*(INPUT!$U$3:$U$3000="JAVI"))=0,"",SUMPRODUCT((INPUT!$T$3:$T$3000=45906)*(INPUT!$U$3:$U$3000="JAVI")*(INPUT!$V$3:$V$3000+INPUT!$W$3:$W$3000+INPUT!$X$3:$X$3000+INPUT!$Y$3:$Y$3000))),"")</f>
        <v>17</v>
      </c>
      <c r="AG13" s="42" cm="1">
        <f t="array" ref="AG13">IFERROR(IF(SUMPRODUCT((INPUT!$T$3:$T$3000=45908)*(INPUT!$U$3:$U$3000="JAVI"))=0,"",SUMPRODUCT((INPUT!$T$3:$T$3000=45908)*(INPUT!$U$3:$U$3000="JAVI")*(INPUT!$V$3:$V$3000+INPUT!$W$3:$W$3000+INPUT!$X$3:$X$3000+INPUT!$Y$3:$Y$3000))),"")</f>
        <v>16</v>
      </c>
      <c r="AH13" s="42" cm="1">
        <f t="array" ref="AH13">IFERROR(IF(SUMPRODUCT((INPUT!$T$3:$T$3000=45909)*(INPUT!$U$3:$U$3000="JAVI"))=0,"",SUMPRODUCT((INPUT!$T$3:$T$3000=45909)*(INPUT!$U$3:$U$3000="JAVI")*(INPUT!$V$3:$V$3000+INPUT!$W$3:$W$3000+INPUT!$X$3:$X$3000+INPUT!$Y$3:$Y$3000))),"")</f>
        <v>16</v>
      </c>
      <c r="AI13" s="42" cm="1">
        <f t="array" ref="AI13">IFERROR(IF(SUMPRODUCT((INPUT!$T$3:$T$3000=45911)*(INPUT!$U$3:$U$3000="JAVI"))=0,"",SUMPRODUCT((INPUT!$T$3:$T$3000=45911)*(INPUT!$U$3:$U$3000="JAVI")*(INPUT!$V$3:$V$3000+INPUT!$W$3:$W$3000+INPUT!$X$3:$X$3000+INPUT!$Y$3:$Y$3000))),"")</f>
        <v>15</v>
      </c>
      <c r="AJ13" s="42" cm="1">
        <f t="array" ref="AJ13">IFERROR(IF(SUMPRODUCT((INPUT!$T$3:$T$3000=45912)*(INPUT!$U$3:$U$3000="JAVI"))=0,"",SUMPRODUCT((INPUT!$T$3:$T$3000=45912)*(INPUT!$U$3:$U$3000="JAVI")*(INPUT!$V$3:$V$3000+INPUT!$W$3:$W$3000+INPUT!$X$3:$X$3000+INPUT!$Y$3:$Y$3000))),"")</f>
        <v>15</v>
      </c>
      <c r="AK13" s="42" cm="1">
        <f t="array" ref="AK13">IFERROR(IF(SUMPRODUCT((INPUT!$T$3:$T$3000=45913)*(INPUT!$U$3:$U$3000="JAVI"))=0,"",SUMPRODUCT((INPUT!$T$3:$T$3000=45913)*(INPUT!$U$3:$U$3000="JAVI")*(INPUT!$V$3:$V$3000+INPUT!$W$3:$W$3000+INPUT!$X$3:$X$3000+INPUT!$Y$3:$Y$3000))),"")</f>
        <v>18</v>
      </c>
      <c r="AL13" s="42" t="str" cm="1">
        <f t="array" ref="AL13">IFERROR(IF(SUMPRODUCT((INPUT!$T$3:$T$3000=45915)*(INPUT!$U$3:$U$3000="JAVI"))=0,"",SUMPRODUCT((INPUT!$T$3:$T$3000=45915)*(INPUT!$U$3:$U$3000="JAVI")*(INPUT!$V$3:$V$3000+INPUT!$W$3:$W$3000+INPUT!$X$3:$X$3000+INPUT!$Y$3:$Y$3000))),"")</f>
        <v/>
      </c>
      <c r="AM13" s="42" t="str" cm="1">
        <f t="array" ref="AM13">IFERROR(IF(SUMPRODUCT((INPUT!$T$3:$T$3000=45916)*(INPUT!$U$3:$U$3000="JAVI"))=0,"",SUMPRODUCT((INPUT!$T$3:$T$3000=45916)*(INPUT!$U$3:$U$3000="JAVI")*(INPUT!$V$3:$V$3000+INPUT!$W$3:$W$3000+INPUT!$X$3:$X$3000+INPUT!$Y$3:$Y$3000))),"")</f>
        <v/>
      </c>
      <c r="AN13" s="42" t="str" cm="1">
        <f t="array" ref="AN13">IFERROR(IF(SUMPRODUCT((INPUT!$T$3:$T$3000=45917)*(INPUT!$U$3:$U$3000="JAVI"))=0,"",SUMPRODUCT((INPUT!$T$3:$T$3000=45917)*(INPUT!$U$3:$U$3000="JAVI")*(INPUT!$V$3:$V$3000+INPUT!$W$3:$W$3000+INPUT!$X$3:$X$3000+INPUT!$Y$3:$Y$3000))),"")</f>
        <v/>
      </c>
      <c r="AO13" s="42" t="str" cm="1">
        <f t="array" ref="AO13">IFERROR(IF(SUMPRODUCT((INPUT!$T$3:$T$3000=45918)*(INPUT!$U$3:$U$3000="JAVI"))=0,"",SUMPRODUCT((INPUT!$T$3:$T$3000=45918)*(INPUT!$U$3:$U$3000="JAVI")*(INPUT!$V$3:$V$3000+INPUT!$W$3:$W$3000+INPUT!$X$3:$X$3000+INPUT!$Y$3:$Y$3000))),"")</f>
        <v/>
      </c>
      <c r="AP13" s="42" t="str" cm="1">
        <f t="array" ref="AP13">IFERROR(IF(SUMPRODUCT((INPUT!$T$3:$T$3000=45919)*(INPUT!$U$3:$U$3000="JAVI"))=0,"",SUMPRODUCT((INPUT!$T$3:$T$3000=45919)*(INPUT!$U$3:$U$3000="JAVI")*(INPUT!$V$3:$V$3000+INPUT!$W$3:$W$3000+INPUT!$X$3:$X$3000+INPUT!$Y$3:$Y$3000))),"")</f>
        <v/>
      </c>
      <c r="AQ13" s="42" t="str" cm="1">
        <f t="array" ref="AQ13">IFERROR(IF(SUMPRODUCT((INPUT!$T$3:$T$3000=45922)*(INPUT!$U$3:$U$3000="JAVI"))=0,"",SUMPRODUCT((INPUT!$T$3:$T$3000=45922)*(INPUT!$U$3:$U$3000="JAVI")*(INPUT!$V$3:$V$3000+INPUT!$W$3:$W$3000+INPUT!$X$3:$X$3000+INPUT!$Y$3:$Y$3000))),"")</f>
        <v/>
      </c>
      <c r="AR13" s="42" t="str" cm="1">
        <f t="array" ref="AR13">IFERROR(IF(SUMPRODUCT((INPUT!$T$3:$T$3000=45923)*(INPUT!$U$3:$U$3000="JAVI"))=0,"",SUMPRODUCT((INPUT!$T$3:$T$3000=45923)*(INPUT!$U$3:$U$3000="JAVI")*(INPUT!$V$3:$V$3000+INPUT!$W$3:$W$3000+INPUT!$X$3:$X$3000+INPUT!$Y$3:$Y$3000))),"")</f>
        <v/>
      </c>
      <c r="AS13" s="42" cm="1">
        <f t="array" ref="AS13">IFERROR(IF(SUMPRODUCT((INPUT!$T$3:$T$3000=45924)*(INPUT!$U$3:$U$3000="JAVI"))=0,"",SUMPRODUCT((INPUT!$T$3:$T$3000=45924)*(INPUT!$U$3:$U$3000="JAVI")*(INPUT!$V$3:$V$3000+INPUT!$W$3:$W$3000+INPUT!$X$3:$X$3000+INPUT!$Y$3:$Y$3000))),"")</f>
        <v>16</v>
      </c>
      <c r="AT13" s="42" cm="1">
        <f t="array" ref="AT13">IFERROR(IF(SUMPRODUCT((INPUT!$T$3:$T$3000=45925)*(INPUT!$U$3:$U$3000="JAVI"))=0,"",SUMPRODUCT((INPUT!$T$3:$T$3000=45925)*(INPUT!$U$3:$U$3000="JAVI")*(INPUT!$V$3:$V$3000+INPUT!$W$3:$W$3000+INPUT!$X$3:$X$3000+INPUT!$Y$3:$Y$3000))),"")</f>
        <v>14</v>
      </c>
      <c r="AU13" s="42" cm="1">
        <f t="array" ref="AU13">IFERROR(IF(SUMPRODUCT((INPUT!$T$3:$T$3000=45926)*(INPUT!$U$3:$U$3000="JAVI"))=0,"",SUMPRODUCT((INPUT!$T$3:$T$3000=45926)*(INPUT!$U$3:$U$3000="JAVI")*(INPUT!$V$3:$V$3000+INPUT!$W$3:$W$3000+INPUT!$X$3:$X$3000+INPUT!$Y$3:$Y$3000))),"")</f>
        <v>16</v>
      </c>
      <c r="AV13" s="42" cm="1">
        <f t="array" ref="AV13">IFERROR(IF(SUMPRODUCT((INPUT!$T$3:$T$3000=45927)*(INPUT!$U$3:$U$3000="JAVI"))=0,"",SUMPRODUCT((INPUT!$T$3:$T$3000=45927)*(INPUT!$U$3:$U$3000="JAVI")*(INPUT!$V$3:$V$3000+INPUT!$W$3:$W$3000+INPUT!$X$3:$X$3000+INPUT!$Y$3:$Y$3000))),"")</f>
        <v>16</v>
      </c>
      <c r="AW13" s="42" cm="1">
        <f t="array" ref="AW13">IFERROR(IF(SUMPRODUCT((INPUT!$T$3:$T$3000=45929)*(INPUT!$U$3:$U$3000="JAVI"))=0,"",SUMPRODUCT((INPUT!$T$3:$T$3000=45929)*(INPUT!$U$3:$U$3000="JAVI")*(INPUT!$V$3:$V$3000+INPUT!$W$3:$W$3000+INPUT!$X$3:$X$3000+INPUT!$Y$3:$Y$3000))),"")</f>
        <v>16</v>
      </c>
      <c r="AX13" s="42" cm="1">
        <f t="array" ref="AX13">IFERROR(IF(SUMPRODUCT((INPUT!$T$3:$T$3000=45930)*(INPUT!$U$3:$U$3000="JAVI"))=0,"",SUMPRODUCT((INPUT!$T$3:$T$3000=45930)*(INPUT!$U$3:$U$3000="JAVI")*(INPUT!$V$3:$V$3000+INPUT!$W$3:$W$3000+INPUT!$X$3:$X$3000+INPUT!$Y$3:$Y$3000))),"")</f>
        <v>15</v>
      </c>
      <c r="AY13" s="42" cm="1">
        <f t="array" ref="AY13">IFERROR(IF(SUMPRODUCT((INPUT!$T$3:$T$3000=45931)*(INPUT!$U$3:$U$3000="JAVI"))=0,"",SUMPRODUCT((INPUT!$T$3:$T$3000=45931)*(INPUT!$U$3:$U$3000="JAVI")*(INPUT!$V$3:$V$3000+INPUT!$W$3:$W$3000+INPUT!$X$3:$X$3000+INPUT!$Y$3:$Y$3000))),"")</f>
        <v>16</v>
      </c>
      <c r="AZ13" s="42" cm="1">
        <f t="array" ref="AZ13">IFERROR(IF(SUMPRODUCT((INPUT!$T$3:$T$3000=45932)*(INPUT!$U$3:$U$3000="JAVI"))=0,"",SUMPRODUCT((INPUT!$T$3:$T$3000=45932)*(INPUT!$U$3:$U$3000="JAVI")*(INPUT!$V$3:$V$3000+INPUT!$W$3:$W$3000+INPUT!$X$3:$X$3000+INPUT!$Y$3:$Y$3000))),"")</f>
        <v>16</v>
      </c>
      <c r="BA13" s="42" cm="1">
        <f t="array" ref="BA13">IFERROR(IF(SUMPRODUCT((INPUT!$T$3:$T$3000=45933)*(INPUT!$U$3:$U$3000="JAVI"))=0,"",SUMPRODUCT((INPUT!$T$3:$T$3000=45933)*(INPUT!$U$3:$U$3000="JAVI")*(INPUT!$V$3:$V$3000+INPUT!$W$3:$W$3000+INPUT!$X$3:$X$3000+INPUT!$Y$3:$Y$3000))),"")</f>
        <v>16</v>
      </c>
      <c r="BB13" s="42" cm="1">
        <f t="array" ref="BB13">IFERROR(IF(SUMPRODUCT((INPUT!$T$3:$T$3000=45934)*(INPUT!$U$3:$U$3000="JAVI"))=0,"",SUMPRODUCT((INPUT!$T$3:$T$3000=45934)*(INPUT!$U$3:$U$3000="JAVI")*(INPUT!$V$3:$V$3000+INPUT!$W$3:$W$3000+INPUT!$X$3:$X$3000+INPUT!$Y$3:$Y$3000))),"")</f>
        <v>19</v>
      </c>
      <c r="BC13" s="42" cm="1">
        <f t="array" ref="BC13">IFERROR(IF(SUMPRODUCT((INPUT!$T$3:$T$3000=45936)*(INPUT!$U$3:$U$3000="JAVI"))=0,"",SUMPRODUCT((INPUT!$T$3:$T$3000=45936)*(INPUT!$U$3:$U$3000="JAVI")*(INPUT!$V$3:$V$3000+INPUT!$W$3:$W$3000+INPUT!$X$3:$X$3000+INPUT!$Y$3:$Y$3000))),"")</f>
        <v>15</v>
      </c>
      <c r="BD13" s="42" cm="1">
        <f t="array" ref="BD13">IFERROR(IF(SUMPRODUCT((INPUT!$T$3:$T$3000=45937)*(INPUT!$U$3:$U$3000="JAVI"))=0,"",SUMPRODUCT((INPUT!$T$3:$T$3000=45937)*(INPUT!$U$3:$U$3000="JAVI")*(INPUT!$V$3:$V$3000+INPUT!$W$3:$W$3000+INPUT!$X$3:$X$3000+INPUT!$Y$3:$Y$3000))),"")</f>
        <v>16</v>
      </c>
      <c r="BE13" s="42" cm="1">
        <f t="array" ref="BE13">IFERROR(IF(SUMPRODUCT((INPUT!$T$3:$T$3000=45938)*(INPUT!$U$3:$U$3000="JAVI"))=0,"",SUMPRODUCT((INPUT!$T$3:$T$3000=45938)*(INPUT!$U$3:$U$3000="JAVI")*(INPUT!$V$3:$V$3000+INPUT!$W$3:$W$3000+INPUT!$X$3:$X$3000+INPUT!$Y$3:$Y$3000))),"")</f>
        <v>16</v>
      </c>
      <c r="BF13" s="42" cm="1">
        <f t="array" ref="BF13">IFERROR(IF(SUMPRODUCT((INPUT!$T$3:$T$3000=45940)*(INPUT!$U$3:$U$3000="JAVI"))=0,"",SUMPRODUCT((INPUT!$T$3:$T$3000=45940)*(INPUT!$U$3:$U$3000="JAVI")*(INPUT!$V$3:$V$3000+INPUT!$W$3:$W$3000+INPUT!$X$3:$X$3000+INPUT!$Y$3:$Y$3000))),"")</f>
        <v>14</v>
      </c>
      <c r="BG13" s="42" cm="1">
        <f t="array" ref="BG13">IFERROR(IF(SUMPRODUCT((INPUT!$T$3:$T$3000=45941)*(INPUT!$U$3:$U$3000="JAVI"))=0,"",SUMPRODUCT((INPUT!$T$3:$T$3000=45941)*(INPUT!$U$3:$U$3000="JAVI")*(INPUT!$V$3:$V$3000+INPUT!$W$3:$W$3000+INPUT!$X$3:$X$3000+INPUT!$Y$3:$Y$3000))),"")</f>
        <v>16</v>
      </c>
      <c r="BH13" s="42" cm="1">
        <f t="array" ref="BH13">IFERROR(IF(SUMPRODUCT((INPUT!$T$3:$T$3000=45942)*(INPUT!$U$3:$U$3000="JAVI"))=0,"",SUMPRODUCT((INPUT!$T$3:$T$3000=45942)*(INPUT!$U$3:$U$3000="JAVI")*(INPUT!$V$3:$V$3000+INPUT!$W$3:$W$3000+INPUT!$X$3:$X$3000+INPUT!$Y$3:$Y$3000))),"")</f>
        <v>18</v>
      </c>
      <c r="BI13" s="42" cm="1">
        <f t="array" ref="BI13">IFERROR(IF(SUMPRODUCT((INPUT!$T$3:$T$3000=45945)*(INPUT!$U$3:$U$3000="JAVI"))=0,"",SUMPRODUCT((INPUT!$T$3:$T$3000=45945)*(INPUT!$U$3:$U$3000="JAVI")*(INPUT!$V$3:$V$3000+INPUT!$W$3:$W$3000+INPUT!$X$3:$X$3000+INPUT!$Y$3:$Y$3000))),"")</f>
        <v>17</v>
      </c>
      <c r="BJ13" s="42" cm="1">
        <f t="array" ref="BJ13">IFERROR(IF(SUMPRODUCT((INPUT!$T$3:$T$3000=45946)*(INPUT!$U$3:$U$3000="JAVI"))=0,"",SUMPRODUCT((INPUT!$T$3:$T$3000=45946)*(INPUT!$U$3:$U$3000="JAVI")*(INPUT!$V$3:$V$3000+INPUT!$W$3:$W$3000+INPUT!$X$3:$X$3000+INPUT!$Y$3:$Y$3000))),"")</f>
        <v>14</v>
      </c>
      <c r="BK13" s="42" cm="1">
        <f t="array" ref="BK13">IFERROR(IF(SUMPRODUCT((INPUT!$T$3:$T$3000=45947)*(INPUT!$U$3:$U$3000="JAVI"))=0,"",SUMPRODUCT((INPUT!$T$3:$T$3000=45947)*(INPUT!$U$3:$U$3000="JAVI")*(INPUT!$V$3:$V$3000+INPUT!$W$3:$W$3000+INPUT!$X$3:$X$3000+INPUT!$Y$3:$Y$3000))),"")</f>
        <v>12</v>
      </c>
      <c r="BL13" s="42" cm="1">
        <f t="array" ref="BL13">IFERROR(IF(SUMPRODUCT((INPUT!$T$3:$T$3000=45950)*(INPUT!$U$3:$U$3000="JAVI"))=0,"",SUMPRODUCT((INPUT!$T$3:$T$3000=45950)*(INPUT!$U$3:$U$3000="JAVI")*(INPUT!$V$3:$V$3000+INPUT!$W$3:$W$3000+INPUT!$X$3:$X$3000+INPUT!$Y$3:$Y$3000))),"")</f>
        <v>16</v>
      </c>
      <c r="BM13" s="42" cm="1">
        <f t="array" ref="BM13">IFERROR(IF(SUMPRODUCT((INPUT!$T$3:$T$3000=45951)*(INPUT!$U$3:$U$3000="JAVI"))=0,"",SUMPRODUCT((INPUT!$T$3:$T$3000=45951)*(INPUT!$U$3:$U$3000="JAVI")*(INPUT!$V$3:$V$3000+INPUT!$W$3:$W$3000+INPUT!$X$3:$X$3000+INPUT!$Y$3:$Y$3000))),"")</f>
        <v>12</v>
      </c>
      <c r="BN13" s="42" cm="1">
        <f t="array" ref="BN13">IFERROR(IF(SUMPRODUCT((INPUT!$T$3:$T$3000=45952)*(INPUT!$U$3:$U$3000="JAVI"))=0,"",SUMPRODUCT((INPUT!$T$3:$T$3000=45952)*(INPUT!$U$3:$U$3000="JAVI")*(INPUT!$V$3:$V$3000+INPUT!$W$3:$W$3000+INPUT!$X$3:$X$3000+INPUT!$Y$3:$Y$3000))),"")</f>
        <v>16</v>
      </c>
      <c r="BO13" s="42" cm="1">
        <f t="array" ref="BO13">IFERROR(IF(SUMPRODUCT((INPUT!$T$3:$T$3000=45953)*(INPUT!$U$3:$U$3000="JAVI"))=0,"",SUMPRODUCT((INPUT!$T$3:$T$3000=45953)*(INPUT!$U$3:$U$3000="JAVI")*(INPUT!$V$3:$V$3000+INPUT!$W$3:$W$3000+INPUT!$X$3:$X$3000+INPUT!$Y$3:$Y$3000))),"")</f>
        <v>16</v>
      </c>
      <c r="BP13" s="42" cm="1">
        <f t="array" ref="BP13">IFERROR(IF(SUMPRODUCT((INPUT!$T$3:$T$3000=45954)*(INPUT!$U$3:$U$3000="JAVI"))=0,"",SUMPRODUCT((INPUT!$T$3:$T$3000=45954)*(INPUT!$U$3:$U$3000="JAVI")*(INPUT!$V$3:$V$3000+INPUT!$W$3:$W$3000+INPUT!$X$3:$X$3000+INPUT!$Y$3:$Y$3000))),"")</f>
        <v>16</v>
      </c>
      <c r="BQ13" s="42" cm="1">
        <f t="array" ref="BQ13">IFERROR(IF(SUMPRODUCT((INPUT!$T$3:$T$3000=45955)*(INPUT!$U$3:$U$3000="JAVI"))=0,"",SUMPRODUCT((INPUT!$T$3:$T$3000=45955)*(INPUT!$U$3:$U$3000="JAVI")*(INPUT!$V$3:$V$3000+INPUT!$W$3:$W$3000+INPUT!$X$3:$X$3000+INPUT!$Y$3:$Y$3000))),"")</f>
        <v>16</v>
      </c>
      <c r="BR13" s="42" cm="1">
        <f t="array" ref="BR13">IFERROR(IF(SUMPRODUCT((INPUT!$T$3:$T$3000=45958)*(INPUT!$U$3:$U$3000="JAVI"))=0,"",SUMPRODUCT((INPUT!$T$3:$T$3000=45958)*(INPUT!$U$3:$U$3000="JAVI")*(INPUT!$V$3:$V$3000+INPUT!$W$3:$W$3000+INPUT!$X$3:$X$3000+INPUT!$Y$3:$Y$3000))),"")</f>
        <v>16</v>
      </c>
      <c r="BS13" s="42" cm="1">
        <f t="array" ref="BS13">IFERROR(IF(SUMPRODUCT((INPUT!$T$3:$T$3000=45959)*(INPUT!$U$3:$U$3000="JAVI"))=0,"",SUMPRODUCT((INPUT!$T$3:$T$3000=45959)*(INPUT!$U$3:$U$3000="JAVI")*(INPUT!$V$3:$V$3000+INPUT!$W$3:$W$3000+INPUT!$X$3:$X$3000+INPUT!$Y$3:$Y$3000))),"")</f>
        <v>15</v>
      </c>
      <c r="BT13" s="42" cm="1">
        <f t="array" ref="BT13">IFERROR(IF(SUMPRODUCT((INPUT!$T$3:$T$3000=45960)*(INPUT!$U$3:$U$3000="JAVI"))=0,"",SUMPRODUCT((INPUT!$T$3:$T$3000=45960)*(INPUT!$U$3:$U$3000="JAVI")*(INPUT!$V$3:$V$3000+INPUT!$W$3:$W$3000+INPUT!$X$3:$X$3000+INPUT!$Y$3:$Y$3000))),"")</f>
        <v>17</v>
      </c>
      <c r="BU13" s="42" cm="1">
        <f t="array" ref="BU13">IFERROR(IF(SUMPRODUCT((INPUT!$T$3:$T$3000=45961)*(INPUT!$U$3:$U$3000="JAVI"))=0,"",SUMPRODUCT((INPUT!$T$3:$T$3000=45961)*(INPUT!$U$3:$U$3000="JAVI")*(INPUT!$V$3:$V$3000+INPUT!$W$3:$W$3000+INPUT!$X$3:$X$3000+INPUT!$Y$3:$Y$3000))),"")</f>
        <v>16</v>
      </c>
      <c r="BV13" s="42" cm="1">
        <f t="array" ref="BV13">IFERROR(IF(SUMPRODUCT((INPUT!$T$3:$T$3000=45964)*(INPUT!$U$3:$U$3000="JAVI"))=0,"",SUMPRODUCT((INPUT!$T$3:$T$3000=45964)*(INPUT!$U$3:$U$3000="JAVI")*(INPUT!$V$3:$V$3000+INPUT!$W$3:$W$3000+INPUT!$X$3:$X$3000+INPUT!$Y$3:$Y$3000))),"")</f>
        <v>17</v>
      </c>
      <c r="BW13" s="42" cm="1">
        <f t="array" ref="BW13">IFERROR(IF(SUMPRODUCT((INPUT!$T$3:$T$3000=45965)*(INPUT!$U$3:$U$3000="JAVI"))=0,"",SUMPRODUCT((INPUT!$T$3:$T$3000=45965)*(INPUT!$U$3:$U$3000="JAVI")*(INPUT!$V$3:$V$3000+INPUT!$W$3:$W$3000+INPUT!$X$3:$X$3000+INPUT!$Y$3:$Y$3000))),"")</f>
        <v>16</v>
      </c>
      <c r="BX13" s="42" cm="1">
        <f t="array" ref="BX13">IFERROR(IF(SUMPRODUCT((INPUT!$T$3:$T$3000=45966)*(INPUT!$U$3:$U$3000="JAVI"))=0,"",SUMPRODUCT((INPUT!$T$3:$T$3000=45966)*(INPUT!$U$3:$U$3000="JAVI")*(INPUT!$V$3:$V$3000+INPUT!$W$3:$W$3000+INPUT!$X$3:$X$3000+INPUT!$Y$3:$Y$3000))),"")</f>
        <v>16</v>
      </c>
      <c r="BY13" s="42" cm="1">
        <f t="array" ref="BY13">IFERROR(IF(SUMPRODUCT((INPUT!$T$3:$T$3000=45967)*(INPUT!$U$3:$U$3000="JAVI"))=0,"",SUMPRODUCT((INPUT!$T$3:$T$3000=45967)*(INPUT!$U$3:$U$3000="JAVI")*(INPUT!$V$3:$V$3000+INPUT!$W$3:$W$3000+INPUT!$X$3:$X$3000+INPUT!$Y$3:$Y$3000))),"")</f>
        <v>15</v>
      </c>
      <c r="BZ13" s="42" cm="1">
        <f t="array" ref="BZ13">IFERROR(IF(SUMPRODUCT((INPUT!$T$3:$T$3000=45968)*(INPUT!$U$3:$U$3000="JAVI"))=0,"",SUMPRODUCT((INPUT!$T$3:$T$3000=45968)*(INPUT!$U$3:$U$3000="JAVI")*(INPUT!$V$3:$V$3000+INPUT!$W$3:$W$3000+INPUT!$X$3:$X$3000+INPUT!$Y$3:$Y$3000))),"")</f>
        <v>15</v>
      </c>
      <c r="CA13" s="42" cm="1">
        <f t="array" ref="CA13">IFERROR(IF(SUMPRODUCT((INPUT!$T$3:$T$3000=45971)*(INPUT!$U$3:$U$3000="JAVI"))=0,"",SUMPRODUCT((INPUT!$T$3:$T$3000=45971)*(INPUT!$U$3:$U$3000="JAVI")*(INPUT!$V$3:$V$3000+INPUT!$W$3:$W$3000+INPUT!$X$3:$X$3000+INPUT!$Y$3:$Y$3000))),"")</f>
        <v>16</v>
      </c>
      <c r="CB13" s="42" cm="1">
        <f t="array" ref="CB13">IFERROR(IF(SUMPRODUCT((INPUT!$T$3:$T$3000=45972)*(INPUT!$U$3:$U$3000="JAVI"))=0,"",SUMPRODUCT((INPUT!$T$3:$T$3000=45972)*(INPUT!$U$3:$U$3000="JAVI")*(INPUT!$V$3:$V$3000+INPUT!$W$3:$W$3000+INPUT!$X$3:$X$3000+INPUT!$Y$3:$Y$3000))),"")</f>
        <v>15</v>
      </c>
      <c r="CC13" s="42" cm="1">
        <f t="array" ref="CC13">IFERROR(IF(SUMPRODUCT((INPUT!$T$3:$T$3000=45974)*(INPUT!$U$3:$U$3000="JAVI"))=0,"",SUMPRODUCT((INPUT!$T$3:$T$3000=45974)*(INPUT!$U$3:$U$3000="JAVI")*(INPUT!$V$3:$V$3000+INPUT!$W$3:$W$3000+INPUT!$X$3:$X$3000+INPUT!$Y$3:$Y$3000))),"")</f>
        <v>16</v>
      </c>
      <c r="CD13" s="42" cm="1">
        <f t="array" ref="CD13">IFERROR(IF(SUMPRODUCT((INPUT!$T$3:$T$3000=45975)*(INPUT!$U$3:$U$3000="JAVI"))=0,"",SUMPRODUCT((INPUT!$T$3:$T$3000=45975)*(INPUT!$U$3:$U$3000="JAVI")*(INPUT!$V$3:$V$3000+INPUT!$W$3:$W$3000+INPUT!$X$3:$X$3000+INPUT!$Y$3:$Y$3000))),"")</f>
        <v>16</v>
      </c>
      <c r="CE13" s="42" cm="1">
        <f t="array" ref="CE13">IFERROR(IF(SUMPRODUCT((INPUT!$T$3:$T$3000=45976)*(INPUT!$U$3:$U$3000="JAVI"))=0,"",SUMPRODUCT((INPUT!$T$3:$T$3000=45976)*(INPUT!$U$3:$U$3000="JAVI")*(INPUT!$V$3:$V$3000+INPUT!$W$3:$W$3000+INPUT!$X$3:$X$3000+INPUT!$Y$3:$Y$3000))),"")</f>
        <v>16</v>
      </c>
      <c r="CF13" s="42" cm="1">
        <f t="array" ref="CF13">IFERROR(IF(SUMPRODUCT((INPUT!$T$3:$T$3000=45978)*(INPUT!$U$3:$U$3000="JAVI"))=0,"",SUMPRODUCT((INPUT!$T$3:$T$3000=45978)*(INPUT!$U$3:$U$3000="JAVI")*(INPUT!$V$3:$V$3000+INPUT!$W$3:$W$3000+INPUT!$X$3:$X$3000+INPUT!$Y$3:$Y$3000))),"")</f>
        <v>16</v>
      </c>
      <c r="CG13" s="42" cm="1">
        <f t="array" ref="CG13">IFERROR(IF(SUMPRODUCT((INPUT!$T$3:$T$3000=45979)*(INPUT!$U$3:$U$3000="JAVI"))=0,"",SUMPRODUCT((INPUT!$T$3:$T$3000=45979)*(INPUT!$U$3:$U$3000="JAVI")*(INPUT!$V$3:$V$3000+INPUT!$W$3:$W$3000+INPUT!$X$3:$X$3000+INPUT!$Y$3:$Y$3000))),"")</f>
        <v>16</v>
      </c>
      <c r="CH13" s="42" cm="1">
        <f t="array" ref="CH13">IFERROR(IF(SUMPRODUCT((INPUT!$T$3:$T$3000=45980)*(INPUT!$U$3:$U$3000="JAVI"))=0,"",SUMPRODUCT((INPUT!$T$3:$T$3000=45980)*(INPUT!$U$3:$U$3000="JAVI")*(INPUT!$V$3:$V$3000+INPUT!$W$3:$W$3000+INPUT!$X$3:$X$3000+INPUT!$Y$3:$Y$3000))),"")</f>
        <v>16</v>
      </c>
      <c r="CI13" s="42" cm="1">
        <f t="array" ref="CI13">IFERROR(IF(SUMPRODUCT((INPUT!$T$3:$T$3000=45982)*(INPUT!$U$3:$U$3000="JAVI"))=0,"",SUMPRODUCT((INPUT!$T$3:$T$3000=45982)*(INPUT!$U$3:$U$3000="JAVI")*(INPUT!$V$3:$V$3000+INPUT!$W$3:$W$3000+INPUT!$X$3:$X$3000+INPUT!$Y$3:$Y$3000))),"")</f>
        <v>16</v>
      </c>
      <c r="CJ13" s="42" cm="1">
        <f t="array" ref="CJ13">IFERROR(IF(SUMPRODUCT((INPUT!$T$3:$T$3000=45983)*(INPUT!$U$3:$U$3000="JAVI"))=0,"",SUMPRODUCT((INPUT!$T$3:$T$3000=45983)*(INPUT!$U$3:$U$3000="JAVI")*(INPUT!$V$3:$V$3000+INPUT!$W$3:$W$3000+INPUT!$X$3:$X$3000+INPUT!$Y$3:$Y$3000))),"")</f>
        <v>16</v>
      </c>
      <c r="CK13" s="42" cm="1">
        <f t="array" ref="CK13">IFERROR(IF(SUMPRODUCT((INPUT!$T$3:$T$3000=45985)*(INPUT!$U$3:$U$3000="JAVI"))=0,"",SUMPRODUCT((INPUT!$T$3:$T$3000=45985)*(INPUT!$U$3:$U$3000="JAVI")*(INPUT!$V$3:$V$3000+INPUT!$W$3:$W$3000+INPUT!$X$3:$X$3000+INPUT!$Y$3:$Y$3000))),"")</f>
        <v>16</v>
      </c>
      <c r="CL13" s="42" cm="1">
        <f t="array" ref="CL13">IFERROR(IF(SUMPRODUCT((INPUT!$T$3:$T$3000=45986)*(INPUT!$U$3:$U$3000="JAVI"))=0,"",SUMPRODUCT((INPUT!$T$3:$T$3000=45986)*(INPUT!$U$3:$U$3000="JAVI")*(INPUT!$V$3:$V$3000+INPUT!$W$3:$W$3000+INPUT!$X$3:$X$3000+INPUT!$Y$3:$Y$3000))),"")</f>
        <v>16</v>
      </c>
      <c r="CM13" s="42" cm="1">
        <f t="array" ref="CM13">IFERROR(IF(SUMPRODUCT((INPUT!$T$3:$T$3000=45987)*(INPUT!$U$3:$U$3000="JAVI"))=0,"",SUMPRODUCT((INPUT!$T$3:$T$3000=45987)*(INPUT!$U$3:$U$3000="JAVI")*(INPUT!$V$3:$V$3000+INPUT!$W$3:$W$3000+INPUT!$X$3:$X$3000+INPUT!$Y$3:$Y$3000))),"")</f>
        <v>16</v>
      </c>
      <c r="CN13" s="42" cm="1">
        <f t="array" ref="CN13">IFERROR(IF(SUMPRODUCT((INPUT!$T$3:$T$3000=45988)*(INPUT!$U$3:$U$3000="JAVI"))=0,"",SUMPRODUCT((INPUT!$T$3:$T$3000=45988)*(INPUT!$U$3:$U$3000="JAVI")*(INPUT!$V$3:$V$3000+INPUT!$W$3:$W$3000+INPUT!$X$3:$X$3000+INPUT!$Y$3:$Y$3000))),"")</f>
        <v>16</v>
      </c>
      <c r="CO13" s="42" cm="1">
        <f t="array" ref="CO13">IFERROR(IF(SUMPRODUCT((INPUT!$T$3:$T$3000=45989)*(INPUT!$U$3:$U$3000="JAVI"))=0,"",SUMPRODUCT((INPUT!$T$3:$T$3000=45989)*(INPUT!$U$3:$U$3000="JAVI")*(INPUT!$V$3:$V$3000+INPUT!$W$3:$W$3000+INPUT!$X$3:$X$3000+INPUT!$Y$3:$Y$3000))),"")</f>
        <v>16</v>
      </c>
      <c r="CP13" s="42" cm="1">
        <f t="array" ref="CP13">IFERROR(IF(SUMPRODUCT((INPUT!$T$3:$T$3000=45992)*(INPUT!$U$3:$U$3000="JAVI"))=0,"",SUMPRODUCT((INPUT!$T$3:$T$3000=45992)*(INPUT!$U$3:$U$3000="JAVI")*(INPUT!$V$3:$V$3000+INPUT!$W$3:$W$3000+INPUT!$X$3:$X$3000+INPUT!$Y$3:$Y$3000))),"")</f>
        <v>15</v>
      </c>
      <c r="CQ13" s="42" cm="1">
        <f t="array" ref="CQ13">IFERROR(IF(SUMPRODUCT((INPUT!$T$3:$T$3000=45993)*(INPUT!$U$3:$U$3000="JAVI"))=0,"",SUMPRODUCT((INPUT!$T$3:$T$3000=45993)*(INPUT!$U$3:$U$3000="JAVI")*(INPUT!$V$3:$V$3000+INPUT!$W$3:$W$3000+INPUT!$X$3:$X$3000+INPUT!$Y$3:$Y$3000))),"")</f>
        <v>16</v>
      </c>
      <c r="CR13" s="42" cm="1">
        <f t="array" ref="CR13">IFERROR(IF(SUMPRODUCT((INPUT!$T$3:$T$3000=45994)*(INPUT!$U$3:$U$3000="JAVI"))=0,"",SUMPRODUCT((INPUT!$T$3:$T$3000=45994)*(INPUT!$U$3:$U$3000="JAVI")*(INPUT!$V$3:$V$3000+INPUT!$W$3:$W$3000+INPUT!$X$3:$X$3000+INPUT!$Y$3:$Y$3000))),"")</f>
        <v>16</v>
      </c>
      <c r="CS13" s="42" cm="1">
        <f t="array" ref="CS13">IFERROR(IF(SUMPRODUCT((INPUT!$T$3:$T$3000=45995)*(INPUT!$U$3:$U$3000="JAVI"))=0,"",SUMPRODUCT((INPUT!$T$3:$T$3000=45995)*(INPUT!$U$3:$U$3000="JAVI")*(INPUT!$V$3:$V$3000+INPUT!$W$3:$W$3000+INPUT!$X$3:$X$3000+INPUT!$Y$3:$Y$3000))),"")</f>
        <v>16</v>
      </c>
      <c r="CT13" s="42" cm="1">
        <f t="array" ref="CT13">IFERROR(IF(SUMPRODUCT((INPUT!$T$3:$T$3000=45996)*(INPUT!$U$3:$U$3000="JAVI"))=0,"",SUMPRODUCT((INPUT!$T$3:$T$3000=45996)*(INPUT!$U$3:$U$3000="JAVI")*(INPUT!$V$3:$V$3000+INPUT!$W$3:$W$3000+INPUT!$X$3:$X$3000+INPUT!$Y$3:$Y$3000))),"")</f>
        <v>16</v>
      </c>
      <c r="CU13" s="42" cm="1">
        <f t="array" ref="CU13">IFERROR(IF(SUMPRODUCT((INPUT!$T$3:$T$3000=45997)*(INPUT!$U$3:$U$3000="JAVI"))=0,"",SUMPRODUCT((INPUT!$T$3:$T$3000=45997)*(INPUT!$U$3:$U$3000="JAVI")*(INPUT!$V$3:$V$3000+INPUT!$W$3:$W$3000+INPUT!$X$3:$X$3000+INPUT!$Y$3:$Y$3000))),"")</f>
        <v>18</v>
      </c>
      <c r="CV13" s="42" cm="1">
        <f t="array" ref="CV13">IFERROR(IF(SUMPRODUCT((INPUT!$T$3:$T$3000=45999)*(INPUT!$U$3:$U$3000="JAVI"))=0,"",SUMPRODUCT((INPUT!$T$3:$T$3000=45999)*(INPUT!$U$3:$U$3000="JAVI")*(INPUT!$V$3:$V$3000+INPUT!$W$3:$W$3000+INPUT!$X$3:$X$3000+INPUT!$Y$3:$Y$3000))),"")</f>
        <v>16</v>
      </c>
      <c r="CW13" s="42" cm="1">
        <f t="array" ref="CW13">IFERROR(IF(SUMPRODUCT((INPUT!$T$3:$T$3000=46000)*(INPUT!$U$3:$U$3000="JAVI"))=0,"",SUMPRODUCT((INPUT!$T$3:$T$3000=46000)*(INPUT!$U$3:$U$3000="JAVI")*(INPUT!$V$3:$V$3000+INPUT!$W$3:$W$3000+INPUT!$X$3:$X$3000+INPUT!$Y$3:$Y$3000))),"")</f>
        <v>16</v>
      </c>
      <c r="CX13" s="42" cm="1">
        <f t="array" ref="CX13">IFERROR(IF(SUMPRODUCT((INPUT!$T$3:$T$3000=46001)*(INPUT!$U$3:$U$3000="JAVI"))=0,"",SUMPRODUCT((INPUT!$T$3:$T$3000=46001)*(INPUT!$U$3:$U$3000="JAVI")*(INPUT!$V$3:$V$3000+INPUT!$W$3:$W$3000+INPUT!$X$3:$X$3000+INPUT!$Y$3:$Y$3000))),"")</f>
        <v>16</v>
      </c>
      <c r="CY13" s="42" cm="1">
        <f t="array" ref="CY13">IFERROR(IF(SUMPRODUCT((INPUT!$T$3:$T$3000=46002)*(INPUT!$U$3:$U$3000="JAVI"))=0,"",SUMPRODUCT((INPUT!$T$3:$T$3000=46002)*(INPUT!$U$3:$U$3000="JAVI")*(INPUT!$V$3:$V$3000+INPUT!$W$3:$W$3000+INPUT!$X$3:$X$3000+INPUT!$Y$3:$Y$3000))),"")</f>
        <v>16</v>
      </c>
      <c r="CZ13" s="42" cm="1">
        <f t="array" ref="CZ13">IFERROR(IF(SUMPRODUCT((INPUT!$T$3:$T$3000=46003)*(INPUT!$U$3:$U$3000="JAVI"))=0,"",SUMPRODUCT((INPUT!$T$3:$T$3000=46003)*(INPUT!$U$3:$U$3000="JAVI")*(INPUT!$V$3:$V$3000+INPUT!$W$3:$W$3000+INPUT!$X$3:$X$3000+INPUT!$Y$3:$Y$3000))),"")</f>
        <v>16</v>
      </c>
      <c r="DA13" s="42" cm="1">
        <f t="array" ref="DA13">IFERROR(IF(SUMPRODUCT((INPUT!$T$3:$T$3000=46004)*(INPUT!$U$3:$U$3000="JAVI"))=0,"",SUMPRODUCT((INPUT!$T$3:$T$3000=46004)*(INPUT!$U$3:$U$3000="JAVI")*(INPUT!$V$3:$V$3000+INPUT!$W$3:$W$3000+INPUT!$X$3:$X$3000+INPUT!$Y$3:$Y$3000))),"")</f>
        <v>16</v>
      </c>
      <c r="DB13" s="42" t="str" cm="1">
        <f t="array" ref="DB13">IFERROR(IF(SUMPRODUCT((INPUT!$T$3:$T$3000=46007)*(INPUT!$U$3:$U$3000="JAVI"))=0,"",SUMPRODUCT((INPUT!$T$3:$T$3000=46007)*(INPUT!$U$3:$U$3000="JAVI")*(INPUT!$V$3:$V$3000+INPUT!$W$3:$W$3000+INPUT!$X$3:$X$3000+INPUT!$Y$3:$Y$3000))),"")</f>
        <v/>
      </c>
      <c r="DC13" s="42" t="str" cm="1">
        <f t="array" ref="DC13">IFERROR(IF(SUMPRODUCT((INPUT!$T$3:$T$3000=46008)*(INPUT!$U$3:$U$3000="JAVI"))=0,"",SUMPRODUCT((INPUT!$T$3:$T$3000=46008)*(INPUT!$U$3:$U$3000="JAVI")*(INPUT!$V$3:$V$3000+INPUT!$W$3:$W$3000+INPUT!$X$3:$X$3000+INPUT!$Y$3:$Y$3000))),"")</f>
        <v/>
      </c>
      <c r="DD13" s="42" t="str" cm="1">
        <f t="array" ref="DD13">IFERROR(IF(SUMPRODUCT((INPUT!$T$3:$T$3000=46009)*(INPUT!$U$3:$U$3000="JAVI"))=0,"",SUMPRODUCT((INPUT!$T$3:$T$3000=46009)*(INPUT!$U$3:$U$3000="JAVI")*(INPUT!$V$3:$V$3000+INPUT!$W$3:$W$3000+INPUT!$X$3:$X$3000+INPUT!$Y$3:$Y$3000))),"")</f>
        <v/>
      </c>
      <c r="DE13" s="42" t="str" cm="1">
        <f t="array" ref="DE13">IFERROR(IF(SUMPRODUCT((INPUT!$T$3:$T$3000=46010)*(INPUT!$U$3:$U$3000="JAVI"))=0,"",SUMPRODUCT((INPUT!$T$3:$T$3000=46010)*(INPUT!$U$3:$U$3000="JAVI")*(INPUT!$V$3:$V$3000+INPUT!$W$3:$W$3000+INPUT!$X$3:$X$3000+INPUT!$Y$3:$Y$3000))),"")</f>
        <v/>
      </c>
      <c r="DF13" s="42" t="str" cm="1">
        <f t="array" ref="DF13">IFERROR(IF(SUMPRODUCT((INPUT!$T$3:$T$3000=46013)*(INPUT!$U$3:$U$3000="JAVI"))=0,"",SUMPRODUCT((INPUT!$T$3:$T$3000=46013)*(INPUT!$U$3:$U$3000="JAVI")*(INPUT!$V$3:$V$3000+INPUT!$W$3:$W$3000+INPUT!$X$3:$X$3000+INPUT!$Y$3:$Y$3000))),"")</f>
        <v/>
      </c>
      <c r="DG13" s="42" t="str" cm="1">
        <f t="array" ref="DG13">IFERROR(IF(SUMPRODUCT((INPUT!$T$3:$T$3000=46014)*(INPUT!$U$3:$U$3000="JAVI"))=0,"",SUMPRODUCT((INPUT!$T$3:$T$3000=46014)*(INPUT!$U$3:$U$3000="JAVI")*(INPUT!$V$3:$V$3000+INPUT!$W$3:$W$3000+INPUT!$X$3:$X$3000+INPUT!$Y$3:$Y$3000))),"")</f>
        <v/>
      </c>
      <c r="DH13" s="42" cm="1">
        <f t="array" ref="DH13">IFERROR(IF(SUMPRODUCT((INPUT!$T$3:$T$3000=46017)*(INPUT!$U$3:$U$3000="JAVI"))=0,"",SUMPRODUCT((INPUT!$T$3:$T$3000=46017)*(INPUT!$U$3:$U$3000="JAVI")*(INPUT!$V$3:$V$3000+INPUT!$W$3:$W$3000+INPUT!$X$3:$X$3000+INPUT!$Y$3:$Y$3000))),"")</f>
        <v>16</v>
      </c>
      <c r="DI13" s="42" cm="1">
        <f t="array" ref="DI13">IFERROR(IF(SUMPRODUCT((INPUT!$T$3:$T$3000=46018)*(INPUT!$U$3:$U$3000="JAVI"))=0,"",SUMPRODUCT((INPUT!$T$3:$T$3000=46018)*(INPUT!$U$3:$U$3000="JAVI")*(INPUT!$V$3:$V$3000+INPUT!$W$3:$W$3000+INPUT!$X$3:$X$3000+INPUT!$Y$3:$Y$3000))),"")</f>
        <v>16</v>
      </c>
      <c r="DJ13" s="42" cm="1">
        <f t="array" ref="DJ13">IFERROR(IF(SUMPRODUCT((INPUT!$T$3:$T$3000=46020)*(INPUT!$U$3:$U$3000="JAVI"))=0,"",SUMPRODUCT((INPUT!$T$3:$T$3000=46020)*(INPUT!$U$3:$U$3000="JAVI")*(INPUT!$V$3:$V$3000+INPUT!$W$3:$W$3000+INPUT!$X$3:$X$3000+INPUT!$Y$3:$Y$3000))),"")</f>
        <v>13</v>
      </c>
      <c r="DK13" s="42" cm="1">
        <f t="array" ref="DK13">IFERROR(IF(SUMPRODUCT((INPUT!$T$3:$T$3000=46021)*(INPUT!$U$3:$U$3000="JAVI"))=0,"",SUMPRODUCT((INPUT!$T$3:$T$3000=46021)*(INPUT!$U$3:$U$3000="JAVI")*(INPUT!$V$3:$V$3000+INPUT!$W$3:$W$3000+INPUT!$X$3:$X$3000+INPUT!$Y$3:$Y$3000))),"")</f>
        <v>15</v>
      </c>
      <c r="DL13" s="42" cm="1">
        <f t="array" ref="DL13">IFERROR(IF(SUMPRODUCT((INPUT!$T$3:$T$3000=46022)*(INPUT!$U$3:$U$3000="JAVI"))=0,"",SUMPRODUCT((INPUT!$T$3:$T$3000=46022)*(INPUT!$U$3:$U$3000="JAVI")*(INPUT!$V$3:$V$3000+INPUT!$W$3:$W$3000+INPUT!$X$3:$X$3000+INPUT!$Y$3:$Y$3000))),"")</f>
        <v>15</v>
      </c>
      <c r="DM13" s="42" cm="1">
        <f t="array" ref="DM13">IFERROR(IF(SUMPRODUCT((INPUT!$T$3:$T$3000=46024)*(INPUT!$U$3:$U$3000="JAVI"))=0,"",SUMPRODUCT((INPUT!$T$3:$T$3000=46024)*(INPUT!$U$3:$U$3000="JAVI")*(INPUT!$V$3:$V$3000+INPUT!$W$3:$W$3000+INPUT!$X$3:$X$3000+INPUT!$Y$3:$Y$3000))),"")</f>
        <v>16</v>
      </c>
      <c r="DN13" s="42" cm="1">
        <f t="array" ref="DN13">IFERROR(IF(SUMPRODUCT((INPUT!$T$3:$T$3000=46025)*(INPUT!$U$3:$U$3000="JAVI"))=0,"",SUMPRODUCT((INPUT!$T$3:$T$3000=46025)*(INPUT!$U$3:$U$3000="JAVI")*(INPUT!$V$3:$V$3000+INPUT!$W$3:$W$3000+INPUT!$X$3:$X$3000+INPUT!$Y$3:$Y$3000))),"")</f>
        <v>20</v>
      </c>
      <c r="DO13" s="42" cm="1">
        <f t="array" ref="DO13">IFERROR(IF(SUMPRODUCT((INPUT!$T$3:$T$3000=46027)*(INPUT!$U$3:$U$3000="JAVI"))=0,"",SUMPRODUCT((INPUT!$T$3:$T$3000=46027)*(INPUT!$U$3:$U$3000="JAVI")*(INPUT!$V$3:$V$3000+INPUT!$W$3:$W$3000+INPUT!$X$3:$X$3000+INPUT!$Y$3:$Y$3000))),"")</f>
        <v>13</v>
      </c>
      <c r="DP13" s="42" cm="1">
        <f t="array" ref="DP13">IFERROR(IF(SUMPRODUCT((INPUT!$T$3:$T$3000=46028)*(INPUT!$U$3:$U$3000="JAVI"))=0,"",SUMPRODUCT((INPUT!$T$3:$T$3000=46028)*(INPUT!$U$3:$U$3000="JAVI")*(INPUT!$V$3:$V$3000+INPUT!$W$3:$W$3000+INPUT!$X$3:$X$3000+INPUT!$Y$3:$Y$3000))),"")</f>
        <v>16</v>
      </c>
      <c r="DQ13" s="42" cm="1">
        <f t="array" ref="DQ13">IFERROR(IF(SUMPRODUCT((INPUT!$T$3:$T$3000=46029)*(INPUT!$U$3:$U$3000="JAVI"))=0,"",SUMPRODUCT((INPUT!$T$3:$T$3000=46029)*(INPUT!$U$3:$U$3000="JAVI")*(INPUT!$V$3:$V$3000+INPUT!$W$3:$W$3000+INPUT!$X$3:$X$3000+INPUT!$Y$3:$Y$3000))),"")</f>
        <v>16</v>
      </c>
      <c r="DR13" s="42" cm="1">
        <f t="array" ref="DR13">IFERROR(IF(SUMPRODUCT((INPUT!$T$3:$T$3000=46030)*(INPUT!$U$3:$U$3000="JAVI"))=0,"",SUMPRODUCT((INPUT!$T$3:$T$3000=46030)*(INPUT!$U$3:$U$3000="JAVI")*(INPUT!$V$3:$V$3000+INPUT!$W$3:$W$3000+INPUT!$X$3:$X$3000+INPUT!$Y$3:$Y$3000))),"")</f>
        <v>16</v>
      </c>
      <c r="DS13" s="42" cm="1">
        <f t="array" ref="DS13">IFERROR(IF(SUMPRODUCT((INPUT!$T$3:$T$3000=46031)*(INPUT!$U$3:$U$3000="JAVI"))=0,"",SUMPRODUCT((INPUT!$T$3:$T$3000=46031)*(INPUT!$U$3:$U$3000="JAVI")*(INPUT!$V$3:$V$3000+INPUT!$W$3:$W$3000+INPUT!$X$3:$X$3000+INPUT!$Y$3:$Y$3000))),"")</f>
        <v>16</v>
      </c>
      <c r="DT13" s="42" cm="1">
        <f t="array" ref="DT13">IFERROR(IF(SUMPRODUCT((INPUT!$T$3:$T$3000=46041)*(INPUT!$U$3:$U$3000="JAVI"))=0,"",SUMPRODUCT((INPUT!$T$3:$T$3000=46041)*(INPUT!$U$3:$U$3000="JAVI")*(INPUT!$V$3:$V$3000+INPUT!$W$3:$W$3000+INPUT!$X$3:$X$3000+INPUT!$Y$3:$Y$3000))),"")</f>
        <v>17</v>
      </c>
      <c r="DU13" s="42" cm="1">
        <f t="array" ref="DU13">IFERROR(IF(SUMPRODUCT((INPUT!$T$3:$T$3000=46042)*(INPUT!$U$3:$U$3000="JAVI"))=0,"",SUMPRODUCT((INPUT!$T$3:$T$3000=46042)*(INPUT!$U$3:$U$3000="JAVI")*(INPUT!$V$3:$V$3000+INPUT!$W$3:$W$3000+INPUT!$X$3:$X$3000+INPUT!$Y$3:$Y$3000))),"")</f>
        <v>8</v>
      </c>
      <c r="DV13" s="42" cm="1">
        <f t="array" ref="DV13">IFERROR(IF(SUMPRODUCT((INPUT!$T$3:$T$3000=46043)*(INPUT!$U$3:$U$3000="JAVI"))=0,"",SUMPRODUCT((INPUT!$T$3:$T$3000=46043)*(INPUT!$U$3:$U$3000="JAVI")*(INPUT!$V$3:$V$3000+INPUT!$W$3:$W$3000+INPUT!$X$3:$X$3000+INPUT!$Y$3:$Y$3000))),"")</f>
        <v>9</v>
      </c>
      <c r="DW13" s="42" cm="1">
        <f t="array" ref="DW13">IFERROR(IF(SUMPRODUCT((INPUT!$T$3:$T$3000=46044)*(INPUT!$U$3:$U$3000="JAVI"))=0,"",SUMPRODUCT((INPUT!$T$3:$T$3000=46044)*(INPUT!$U$3:$U$3000="JAVI")*(INPUT!$V$3:$V$3000+INPUT!$W$3:$W$3000+INPUT!$X$3:$X$3000+INPUT!$Y$3:$Y$3000))),"")</f>
        <v>9</v>
      </c>
      <c r="DX13" s="42" cm="1">
        <f t="array" ref="DX13">IFERROR(IF(SUMPRODUCT((INPUT!$T$3:$T$3000=46045)*(INPUT!$U$3:$U$3000="JAVI"))=0,"",SUMPRODUCT((INPUT!$T$3:$T$3000=46045)*(INPUT!$U$3:$U$3000="JAVI")*(INPUT!$V$3:$V$3000+INPUT!$W$3:$W$3000+INPUT!$X$3:$X$3000+INPUT!$Y$3:$Y$3000))),"")</f>
        <v>13</v>
      </c>
      <c r="DY13" s="42" cm="1">
        <f t="array" ref="DY13">IFERROR(IF(SUMPRODUCT((INPUT!$T$3:$T$3000=46048)*(INPUT!$U$3:$U$3000="JAVI"))=0,"",SUMPRODUCT((INPUT!$T$3:$T$3000=46048)*(INPUT!$U$3:$U$3000="JAVI")*(INPUT!$V$3:$V$3000+INPUT!$W$3:$W$3000+INPUT!$X$3:$X$3000+INPUT!$Y$3:$Y$3000))),"")</f>
        <v>12</v>
      </c>
      <c r="DZ13" s="42" cm="1">
        <f t="array" ref="DZ13">IFERROR(IF(SUMPRODUCT((INPUT!$T$3:$T$3000=46049)*(INPUT!$U$3:$U$3000="JAVI"))=0,"",SUMPRODUCT((INPUT!$T$3:$T$3000=46049)*(INPUT!$U$3:$U$3000="JAVI")*(INPUT!$V$3:$V$3000+INPUT!$W$3:$W$3000+INPUT!$X$3:$X$3000+INPUT!$Y$3:$Y$3000))),"")</f>
        <v>12</v>
      </c>
      <c r="EA13" s="42" cm="1">
        <f t="array" ref="EA13">IFERROR(IF(SUMPRODUCT((INPUT!$T$3:$T$3000=46050)*(INPUT!$U$3:$U$3000="JAVI"))=0,"",SUMPRODUCT((INPUT!$T$3:$T$3000=46050)*(INPUT!$U$3:$U$3000="JAVI")*(INPUT!$V$3:$V$3000+INPUT!$W$3:$W$3000+INPUT!$X$3:$X$3000+INPUT!$Y$3:$Y$3000))),"")</f>
        <v>8</v>
      </c>
      <c r="EB13" s="42" cm="1">
        <f t="array" ref="EB13">IFERROR(IF(SUMPRODUCT((INPUT!$T$3:$T$3000=46051)*(INPUT!$U$3:$U$3000="JAVI"))=0,"",SUMPRODUCT((INPUT!$T$3:$T$3000=46051)*(INPUT!$U$3:$U$3000="JAVI")*(INPUT!$V$3:$V$3000+INPUT!$W$3:$W$3000+INPUT!$X$3:$X$3000+INPUT!$Y$3:$Y$3000))),"")</f>
        <v>13</v>
      </c>
      <c r="EC13" s="42" cm="1">
        <f t="array" ref="EC13">IFERROR(IF(SUMPRODUCT((INPUT!$T$3:$T$3000=46052)*(INPUT!$U$3:$U$3000="JAVI"))=0,"",SUMPRODUCT((INPUT!$T$3:$T$3000=46052)*(INPUT!$U$3:$U$3000="JAVI")*(INPUT!$V$3:$V$3000+INPUT!$W$3:$W$3000+INPUT!$X$3:$X$3000+INPUT!$Y$3:$Y$3000))),"")</f>
        <v>14</v>
      </c>
      <c r="ED13" s="42" cm="1">
        <f t="array" ref="ED13">IFERROR(IF(SUMPRODUCT((INPUT!$T$3:$T$3000=46055)*(INPUT!$U$3:$U$3000="JAVI"))=0,"",SUMPRODUCT((INPUT!$T$3:$T$3000=46055)*(INPUT!$U$3:$U$3000="JAVI")*(INPUT!$V$3:$V$3000+INPUT!$W$3:$W$3000+INPUT!$X$3:$X$3000+INPUT!$Y$3:$Y$3000))),"")</f>
        <v>12</v>
      </c>
      <c r="EE13" s="42" cm="1">
        <f t="array" ref="EE13">IFERROR(IF(SUMPRODUCT((INPUT!$T$3:$T$3000=46056)*(INPUT!$U$3:$U$3000="JAVI"))=0,"",SUMPRODUCT((INPUT!$T$3:$T$3000=46056)*(INPUT!$U$3:$U$3000="JAVI")*(INPUT!$V$3:$V$3000+INPUT!$W$3:$W$3000+INPUT!$X$3:$X$3000+INPUT!$Y$3:$Y$3000))),"")</f>
        <v>16</v>
      </c>
      <c r="EF13" s="42" cm="1">
        <f t="array" ref="EF13">IFERROR(IF(SUMPRODUCT((INPUT!$T$3:$T$3000=46057)*(INPUT!$U$3:$U$3000="JAVI"))=0,"",SUMPRODUCT((INPUT!$T$3:$T$3000=46057)*(INPUT!$U$3:$U$3000="JAVI")*(INPUT!$V$3:$V$3000+INPUT!$W$3:$W$3000+INPUT!$X$3:$X$3000+INPUT!$Y$3:$Y$3000))),"")</f>
        <v>10</v>
      </c>
      <c r="EG13" s="42" cm="1">
        <f t="array" ref="EG13">IFERROR(IF(SUMPRODUCT((INPUT!$T$3:$T$3000=46058)*(INPUT!$U$3:$U$3000="JAVI"))=0,"",SUMPRODUCT((INPUT!$T$3:$T$3000=46058)*(INPUT!$U$3:$U$3000="JAVI")*(INPUT!$V$3:$V$3000+INPUT!$W$3:$W$3000+INPUT!$X$3:$X$3000+INPUT!$Y$3:$Y$3000))),"")</f>
        <v>12</v>
      </c>
      <c r="EH13" s="42" cm="1">
        <f t="array" ref="EH13">IFERROR(IF(SUMPRODUCT((INPUT!$T$3:$T$3000=46059)*(INPUT!$U$3:$U$3000="JAVI"))=0,"",SUMPRODUCT((INPUT!$T$3:$T$3000=46059)*(INPUT!$U$3:$U$3000="JAVI")*(INPUT!$V$3:$V$3000+INPUT!$W$3:$W$3000+INPUT!$X$3:$X$3000+INPUT!$Y$3:$Y$3000))),"")</f>
        <v>16</v>
      </c>
      <c r="EI13" s="42" cm="1">
        <f t="array" ref="EI13">IFERROR(IF(SUMPRODUCT((INPUT!$T$3:$T$3000=46061)*(INPUT!$U$3:$U$3000="JAVI"))=0,"",SUMPRODUCT((INPUT!$T$3:$T$3000=46061)*(INPUT!$U$3:$U$3000="JAVI")*(INPUT!$V$3:$V$3000+INPUT!$W$3:$W$3000+INPUT!$X$3:$X$3000+INPUT!$Y$3:$Y$3000))),"")</f>
        <v>8</v>
      </c>
      <c r="EJ13" s="42" cm="1">
        <f t="array" ref="EJ13">IFERROR(IF(SUMPRODUCT((INPUT!$T$3:$T$3000=46062)*(INPUT!$U$3:$U$3000="JAVI"))=0,"",SUMPRODUCT((INPUT!$T$3:$T$3000=46062)*(INPUT!$U$3:$U$3000="JAVI")*(INPUT!$V$3:$V$3000+INPUT!$W$3:$W$3000+INPUT!$X$3:$X$3000+INPUT!$Y$3:$Y$3000))),"")</f>
        <v>12</v>
      </c>
      <c r="EK13" s="42" cm="1">
        <f t="array" ref="EK13">IFERROR(IF(SUMPRODUCT((INPUT!$T$3:$T$3000=46063)*(INPUT!$U$3:$U$3000="JAVI"))=0,"",SUMPRODUCT((INPUT!$T$3:$T$3000=46063)*(INPUT!$U$3:$U$3000="JAVI")*(INPUT!$V$3:$V$3000+INPUT!$W$3:$W$3000+INPUT!$X$3:$X$3000+INPUT!$Y$3:$Y$3000))),"")</f>
        <v>13</v>
      </c>
      <c r="EL13" s="42" cm="1">
        <f t="array" ref="EL13">IFERROR(IF(SUMPRODUCT((INPUT!$T$3:$T$3000=46064)*(INPUT!$U$3:$U$3000="JAVI"))=0,"",SUMPRODUCT((INPUT!$T$3:$T$3000=46064)*(INPUT!$U$3:$U$3000="JAVI")*(INPUT!$V$3:$V$3000+INPUT!$W$3:$W$3000+INPUT!$X$3:$X$3000+INPUT!$Y$3:$Y$3000))),"")</f>
        <v>16</v>
      </c>
      <c r="EM13" s="42" cm="1">
        <f t="array" ref="EM13">IFERROR(IF(SUMPRODUCT((INPUT!$T$3:$T$3000=46065)*(INPUT!$U$3:$U$3000="JAVI"))=0,"",SUMPRODUCT((INPUT!$T$3:$T$3000=46065)*(INPUT!$U$3:$U$3000="JAVI")*(INPUT!$V$3:$V$3000+INPUT!$W$3:$W$3000+INPUT!$X$3:$X$3000+INPUT!$Y$3:$Y$3000))),"")</f>
        <v>11</v>
      </c>
      <c r="EN13" s="42" cm="1">
        <f t="array" ref="EN13">IFERROR(IF(SUMPRODUCT((INPUT!$T$3:$T$3000=46066)*(INPUT!$U$3:$U$3000="JAVI"))=0,"",SUMPRODUCT((INPUT!$T$3:$T$3000=46066)*(INPUT!$U$3:$U$3000="JAVI")*(INPUT!$V$3:$V$3000+INPUT!$W$3:$W$3000+INPUT!$X$3:$X$3000+INPUT!$Y$3:$Y$3000))),"")</f>
        <v>14</v>
      </c>
      <c r="EO13" s="42" cm="1">
        <f t="array" ref="EO13">IFERROR(IF(SUMPRODUCT((INPUT!$T$3:$T$3000=46067)*(INPUT!$U$3:$U$3000="JAVI"))=0,"",SUMPRODUCT((INPUT!$T$3:$T$3000=46067)*(INPUT!$U$3:$U$3000="JAVI")*(INPUT!$V$3:$V$3000+INPUT!$W$3:$W$3000+INPUT!$X$3:$X$3000+INPUT!$Y$3:$Y$3000))),"")</f>
        <v>16</v>
      </c>
      <c r="EP13" s="42" cm="1">
        <f t="array" ref="EP13">IFERROR(IF(SUMPRODUCT((INPUT!$T$3:$T$3000=46069)*(INPUT!$U$3:$U$3000="JAVI"))=0,"",SUMPRODUCT((INPUT!$T$3:$T$3000=46069)*(INPUT!$U$3:$U$3000="JAVI")*(INPUT!$V$3:$V$3000+INPUT!$W$3:$W$3000+INPUT!$X$3:$X$3000+INPUT!$Y$3:$Y$3000))),"")</f>
        <v>15</v>
      </c>
      <c r="EQ13" s="42" cm="1">
        <f t="array" ref="EQ13">IFERROR(IF(SUMPRODUCT((INPUT!$T$3:$T$3000=46072)*(INPUT!$U$3:$U$3000="JAVI"))=0,"",SUMPRODUCT((INPUT!$T$3:$T$3000=46072)*(INPUT!$U$3:$U$3000="JAVI")*(INPUT!$V$3:$V$3000+INPUT!$W$3:$W$3000+INPUT!$X$3:$X$3000+INPUT!$Y$3:$Y$3000))),"")</f>
        <v>12</v>
      </c>
      <c r="ER13" s="42" cm="1">
        <f t="array" ref="ER13">IFERROR(IF(SUMPRODUCT((INPUT!$T$3:$T$3000=46073)*(INPUT!$U$3:$U$3000="JAVI"))=0,"",SUMPRODUCT((INPUT!$T$3:$T$3000=46073)*(INPUT!$U$3:$U$3000="JAVI")*(INPUT!$V$3:$V$3000+INPUT!$W$3:$W$3000+INPUT!$X$3:$X$3000+INPUT!$Y$3:$Y$3000))),"")</f>
        <v>12</v>
      </c>
      <c r="ES13" s="42" cm="1">
        <f t="array" ref="ES13">IFERROR(IF(SUMPRODUCT((INPUT!$T$3:$T$3000=46076)*(INPUT!$U$3:$U$3000="JAVI"))=0,"",SUMPRODUCT((INPUT!$T$3:$T$3000=46076)*(INPUT!$U$3:$U$3000="JAVI")*(INPUT!$V$3:$V$3000+INPUT!$W$3:$W$3000+INPUT!$X$3:$X$3000+INPUT!$Y$3:$Y$3000))),"")</f>
        <v>12</v>
      </c>
      <c r="ET13" s="42" cm="1">
        <f t="array" ref="ET13">IFERROR(IF(SUMPRODUCT((INPUT!$T$3:$T$3000=46077)*(INPUT!$U$3:$U$3000="JAVI"))=0,"",SUMPRODUCT((INPUT!$T$3:$T$3000=46077)*(INPUT!$U$3:$U$3000="JAVI")*(INPUT!$V$3:$V$3000+INPUT!$W$3:$W$3000+INPUT!$X$3:$X$3000+INPUT!$Y$3:$Y$3000))),"")</f>
        <v>14</v>
      </c>
      <c r="EU13" s="42" cm="1">
        <f t="array" ref="EU13">IFERROR(IF(SUMPRODUCT((INPUT!$T$3:$T$3000=46078)*(INPUT!$U$3:$U$3000="JAVI"))=0,"",SUMPRODUCT((INPUT!$T$3:$T$3000=46078)*(INPUT!$U$3:$U$3000="JAVI")*(INPUT!$V$3:$V$3000+INPUT!$W$3:$W$3000+INPUT!$X$3:$X$3000+INPUT!$Y$3:$Y$3000))),"")</f>
        <v>13</v>
      </c>
      <c r="EV13" s="42" cm="1">
        <f t="array" ref="EV13">IFERROR(IF(SUMPRODUCT((INPUT!$T$3:$T$3000=46079)*(INPUT!$U$3:$U$3000="JAVI"))=0,"",SUMPRODUCT((INPUT!$T$3:$T$3000=46079)*(INPUT!$U$3:$U$3000="JAVI")*(INPUT!$V$3:$V$3000+INPUT!$W$3:$W$3000+INPUT!$X$3:$X$3000+INPUT!$Y$3:$Y$3000))),"")</f>
        <v>14</v>
      </c>
      <c r="EW13" s="42" cm="1">
        <f t="array" ref="EW13">IFERROR(IF(SUMPRODUCT((INPUT!$T$3:$T$3000=46080)*(INPUT!$U$3:$U$3000="JAVI"))=0,"",SUMPRODUCT((INPUT!$T$3:$T$3000=46080)*(INPUT!$U$3:$U$3000="JAVI")*(INPUT!$V$3:$V$3000+INPUT!$W$3:$W$3000+INPUT!$X$3:$X$3000+INPUT!$Y$3:$Y$3000))),"")</f>
        <v>13</v>
      </c>
      <c r="EX13" s="42" cm="1">
        <f t="array" ref="EX13">IFERROR(IF(SUMPRODUCT((INPUT!$T$3:$T$3000=46082)*(INPUT!$U$3:$U$3000="JAVI"))=0,"",SUMPRODUCT((INPUT!$T$3:$T$3000=46082)*(INPUT!$U$3:$U$3000="JAVI")*(INPUT!$V$3:$V$3000+INPUT!$W$3:$W$3000+INPUT!$X$3:$X$3000+INPUT!$Y$3:$Y$3000))),"")</f>
        <v>17</v>
      </c>
      <c r="EY13" s="42" cm="1">
        <f t="array" ref="EY13">IFERROR(IF(SUMPRODUCT((INPUT!$T$3:$T$3000=46084)*(INPUT!$U$3:$U$3000="JAVI"))=0,"",SUMPRODUCT((INPUT!$T$3:$T$3000=46084)*(INPUT!$U$3:$U$3000="JAVI")*(INPUT!$V$3:$V$3000+INPUT!$W$3:$W$3000+INPUT!$X$3:$X$3000+INPUT!$Y$3:$Y$3000))),"")</f>
        <v>15</v>
      </c>
      <c r="EZ13" s="42" cm="1">
        <f t="array" ref="EZ13">IFERROR(IF(SUMPRODUCT((INPUT!$T$3:$T$3000=46085)*(INPUT!$U$3:$U$3000="JAVI"))=0,"",SUMPRODUCT((INPUT!$T$3:$T$3000=46085)*(INPUT!$U$3:$U$3000="JAVI")*(INPUT!$V$3:$V$3000+INPUT!$W$3:$W$3000+INPUT!$X$3:$X$3000+INPUT!$Y$3:$Y$3000))),"")</f>
        <v>14</v>
      </c>
      <c r="FA13" s="42" cm="1">
        <f t="array" ref="FA13">IFERROR(IF(SUMPRODUCT((INPUT!$T$3:$T$3000=46086)*(INPUT!$U$3:$U$3000="JAVI"))=0,"",SUMPRODUCT((INPUT!$T$3:$T$3000=46086)*(INPUT!$U$3:$U$3000="JAVI")*(INPUT!$V$3:$V$3000+INPUT!$W$3:$W$3000+INPUT!$X$3:$X$3000+INPUT!$Y$3:$Y$3000))),"")</f>
        <v>14</v>
      </c>
      <c r="FB13" s="42" cm="1">
        <f t="array" ref="FB13">IFERROR(IF(SUMPRODUCT((INPUT!$T$3:$T$3000=46087)*(INPUT!$U$3:$U$3000="JAVI"))=0,"",SUMPRODUCT((INPUT!$T$3:$T$3000=46087)*(INPUT!$U$3:$U$3000="JAVI")*(INPUT!$V$3:$V$3000+INPUT!$W$3:$W$3000+INPUT!$X$3:$X$3000+INPUT!$Y$3:$Y$3000))),"")</f>
        <v>18</v>
      </c>
      <c r="FC13" s="42" cm="1">
        <f t="array" ref="FC13">IFERROR(IF(SUMPRODUCT((INPUT!$T$3:$T$3000=46090)*(INPUT!$U$3:$U$3000="JAVI"))=0,"",SUMPRODUCT((INPUT!$T$3:$T$3000=46090)*(INPUT!$U$3:$U$3000="JAVI")*(INPUT!$V$3:$V$3000+INPUT!$W$3:$W$3000+INPUT!$X$3:$X$3000+INPUT!$Y$3:$Y$3000))),"")</f>
        <v>15</v>
      </c>
      <c r="FD13" s="42" cm="1">
        <f t="array" ref="FD13">IFERROR(IF(SUMPRODUCT((INPUT!$T$3:$T$3000=46091)*(INPUT!$U$3:$U$3000="JAVI"))=0,"",SUMPRODUCT((INPUT!$T$3:$T$3000=46091)*(INPUT!$U$3:$U$3000="JAVI")*(INPUT!$V$3:$V$3000+INPUT!$W$3:$W$3000+INPUT!$X$3:$X$3000+INPUT!$Y$3:$Y$3000))),"")</f>
        <v>13</v>
      </c>
      <c r="FE13" s="42" cm="1">
        <f t="array" ref="FE13">IFERROR(IF(SUMPRODUCT((INPUT!$T$3:$T$3000=46092)*(INPUT!$U$3:$U$3000="JAVI"))=0,"",SUMPRODUCT((INPUT!$T$3:$T$3000=46092)*(INPUT!$U$3:$U$3000="JAVI")*(INPUT!$V$3:$V$3000+INPUT!$W$3:$W$3000+INPUT!$X$3:$X$3000+INPUT!$Y$3:$Y$3000))),"")</f>
        <v>13</v>
      </c>
      <c r="FF13" s="42" cm="1">
        <f t="array" ref="FF13">IFERROR(IF(SUMPRODUCT((INPUT!$T$3:$T$3000=46093)*(INPUT!$U$3:$U$3000="JAVI"))=0,"",SUMPRODUCT((INPUT!$T$3:$T$3000=46093)*(INPUT!$U$3:$U$3000="JAVI")*(INPUT!$V$3:$V$3000+INPUT!$W$3:$W$3000+INPUT!$X$3:$X$3000+INPUT!$Y$3:$Y$3000))),"")</f>
        <v>17</v>
      </c>
      <c r="FG13" s="42" cm="1">
        <f t="array" ref="FG13">IFERROR(IF(SUMPRODUCT((INPUT!$T$3:$T$3000=46094)*(INPUT!$U$3:$U$3000="JAVI"))=0,"",SUMPRODUCT((INPUT!$T$3:$T$3000=46094)*(INPUT!$U$3:$U$3000="JAVI")*(INPUT!$V$3:$V$3000+INPUT!$W$3:$W$3000+INPUT!$X$3:$X$3000+INPUT!$Y$3:$Y$3000))),"")</f>
        <v>16</v>
      </c>
      <c r="FH13" s="42" cm="1">
        <f t="array" ref="FH13">IFERROR(IF(SUMPRODUCT((INPUT!$T$3:$T$3000=46096)*(INPUT!$U$3:$U$3000="JAVI"))=0,"",SUMPRODUCT((INPUT!$T$3:$T$3000=46096)*(INPUT!$U$3:$U$3000="JAVI")*(INPUT!$V$3:$V$3000+INPUT!$W$3:$W$3000+INPUT!$X$3:$X$3000+INPUT!$Y$3:$Y$3000))),"")</f>
        <v>16</v>
      </c>
      <c r="FI13" s="42" cm="1">
        <f t="array" ref="FI13">IFERROR(IF(SUMPRODUCT((INPUT!$T$3:$T$3000=46097)*(INPUT!$U$3:$U$3000="JAVI"))=0,"",SUMPRODUCT((INPUT!$T$3:$T$3000=46097)*(INPUT!$U$3:$U$3000="JAVI")*(INPUT!$V$3:$V$3000+INPUT!$W$3:$W$3000+INPUT!$X$3:$X$3000+INPUT!$Y$3:$Y$3000))),"")</f>
        <v>14</v>
      </c>
      <c r="FJ13" s="42" cm="1">
        <f t="array" ref="FJ13">IFERROR(IF(SUMPRODUCT((INPUT!$T$3:$T$3000=46098)*(INPUT!$U$3:$U$3000="JAVI"))=0,"",SUMPRODUCT((INPUT!$T$3:$T$3000=46098)*(INPUT!$U$3:$U$3000="JAVI")*(INPUT!$V$3:$V$3000+INPUT!$W$3:$W$3000+INPUT!$X$3:$X$3000+INPUT!$Y$3:$Y$3000))),"")</f>
        <v>16</v>
      </c>
      <c r="FK13" s="42" cm="1">
        <f t="array" ref="FK13">IFERROR(IF(SUMPRODUCT((INPUT!$T$3:$T$3000=46099)*(INPUT!$U$3:$U$3000="JAVI"))=0,"",SUMPRODUCT((INPUT!$T$3:$T$3000=46099)*(INPUT!$U$3:$U$3000="JAVI")*(INPUT!$V$3:$V$3000+INPUT!$W$3:$W$3000+INPUT!$X$3:$X$3000+INPUT!$Y$3:$Y$3000))),"")</f>
        <v>16</v>
      </c>
      <c r="FL13" s="42" cm="1">
        <f t="array" ref="FL13">IFERROR(IF(SUMPRODUCT((INPUT!$T$3:$T$3000=46102)*(INPUT!$U$3:$U$3000="JAVI"))=0,"",SUMPRODUCT((INPUT!$T$3:$T$3000=46102)*(INPUT!$U$3:$U$3000="JAVI")*(INPUT!$V$3:$V$3000+INPUT!$W$3:$W$3000+INPUT!$X$3:$X$3000+INPUT!$Y$3:$Y$3000))),"")</f>
        <v>20</v>
      </c>
      <c r="FM13" s="42" cm="1">
        <f t="array" ref="FM13">IFERROR(IF(SUMPRODUCT((INPUT!$T$3:$T$3000=46105)*(INPUT!$U$3:$U$3000="JAVI"))=0,"",SUMPRODUCT((INPUT!$T$3:$T$3000=46105)*(INPUT!$U$3:$U$3000="JAVI")*(INPUT!$V$3:$V$3000+INPUT!$W$3:$W$3000+INPUT!$X$3:$X$3000+INPUT!$Y$3:$Y$3000))),"")</f>
        <v>12</v>
      </c>
      <c r="FN13" s="42" cm="1">
        <f t="array" ref="FN13">IFERROR(IF(SUMPRODUCT((INPUT!$T$3:$T$3000=46106)*(INPUT!$U$3:$U$3000="JAVI"))=0,"",SUMPRODUCT((INPUT!$T$3:$T$3000=46106)*(INPUT!$U$3:$U$3000="JAVI")*(INPUT!$V$3:$V$3000+INPUT!$W$3:$W$3000+INPUT!$X$3:$X$3000+INPUT!$Y$3:$Y$3000))),"")</f>
        <v>16</v>
      </c>
      <c r="FO13" s="42" cm="1">
        <f t="array" ref="FO13">IFERROR(IF(SUMPRODUCT((INPUT!$T$3:$T$3000=46107)*(INPUT!$U$3:$U$3000="JAVI"))=0,"",SUMPRODUCT((INPUT!$T$3:$T$3000=46107)*(INPUT!$U$3:$U$3000="JAVI")*(INPUT!$V$3:$V$3000+INPUT!$W$3:$W$3000+INPUT!$X$3:$X$3000+INPUT!$Y$3:$Y$3000))),"")</f>
        <v>13</v>
      </c>
      <c r="FP13" s="42" cm="1">
        <f t="array" ref="FP13">IFERROR(IF(SUMPRODUCT((INPUT!$T$3:$T$3000=46108)*(INPUT!$U$3:$U$3000="JAVI"))=0,"",SUMPRODUCT((INPUT!$T$3:$T$3000=46108)*(INPUT!$U$3:$U$3000="JAVI")*(INPUT!$V$3:$V$3000+INPUT!$W$3:$W$3000+INPUT!$X$3:$X$3000+INPUT!$Y$3:$Y$3000))),"")</f>
        <v>13</v>
      </c>
      <c r="FQ13" s="42" cm="1">
        <f t="array" ref="FQ13">IFERROR(IF(SUMPRODUCT((INPUT!$T$3:$T$3000=46109)*(INPUT!$U$3:$U$3000="JAVI"))=0,"",SUMPRODUCT((INPUT!$T$3:$T$3000=46109)*(INPUT!$U$3:$U$3000="JAVI")*(INPUT!$V$3:$V$3000+INPUT!$W$3:$W$3000+INPUT!$X$3:$X$3000+INPUT!$Y$3:$Y$3000))),"")</f>
        <v>16</v>
      </c>
      <c r="FR13" s="42" cm="1">
        <f t="array" ref="FR13">IFERROR(IF(SUMPRODUCT((INPUT!$T$3:$T$3000=46111)*(INPUT!$U$3:$U$3000="JAVI"))=0,"",SUMPRODUCT((INPUT!$T$3:$T$3000=46111)*(INPUT!$U$3:$U$3000="JAVI")*(INPUT!$V$3:$V$3000+INPUT!$W$3:$W$3000+INPUT!$X$3:$X$3000+INPUT!$Y$3:$Y$3000))),"")</f>
        <v>13</v>
      </c>
      <c r="FS13" s="42" cm="1">
        <f t="array" ref="FS13">IFERROR(IF(SUMPRODUCT((INPUT!$T$3:$T$3000=46112)*(INPUT!$U$3:$U$3000="JAVI"))=0,"",SUMPRODUCT((INPUT!$T$3:$T$3000=46112)*(INPUT!$U$3:$U$3000="JAVI")*(INPUT!$V$3:$V$3000+INPUT!$W$3:$W$3000+INPUT!$X$3:$X$3000+INPUT!$Y$3:$Y$3000))),"")</f>
        <v>13</v>
      </c>
      <c r="FT13" s="42" cm="1">
        <f t="array" ref="FT13">IFERROR(IF(SUMPRODUCT((INPUT!$T$3:$T$3000=46113)*(INPUT!$U$3:$U$3000="JAVI"))=0,"",SUMPRODUCT((INPUT!$T$3:$T$3000=46113)*(INPUT!$U$3:$U$3000="JAVI")*(INPUT!$V$3:$V$3000+INPUT!$W$3:$W$3000+INPUT!$X$3:$X$3000+INPUT!$Y$3:$Y$3000))),"")</f>
        <v>13</v>
      </c>
      <c r="FU13" s="42" cm="1">
        <f t="array" ref="FU13">IFERROR(IF(SUMPRODUCT((INPUT!$T$3:$T$3000=46114)*(INPUT!$U$3:$U$3000="JAVI"))=0,"",SUMPRODUCT((INPUT!$T$3:$T$3000=46114)*(INPUT!$U$3:$U$3000="JAVI")*(INPUT!$V$3:$V$3000+INPUT!$W$3:$W$3000+INPUT!$X$3:$X$3000+INPUT!$Y$3:$Y$3000))),"")</f>
        <v>15</v>
      </c>
      <c r="FV13" s="42" cm="1">
        <f t="array" ref="FV13">IFERROR(IF(SUMPRODUCT((INPUT!$T$3:$T$3000=46115)*(INPUT!$U$3:$U$3000="JAVI"))=0,"",SUMPRODUCT((INPUT!$T$3:$T$3000=46115)*(INPUT!$U$3:$U$3000="JAVI")*(INPUT!$V$3:$V$3000+INPUT!$W$3:$W$3000+INPUT!$X$3:$X$3000+INPUT!$Y$3:$Y$3000))),"")</f>
        <v>15</v>
      </c>
      <c r="FW13" s="42" cm="1">
        <f t="array" ref="FW13">IFERROR(IF(SUMPRODUCT((INPUT!$T$3:$T$3000=46116)*(INPUT!$U$3:$U$3000="JAVI"))=0,"",SUMPRODUCT((INPUT!$T$3:$T$3000=46116)*(INPUT!$U$3:$U$3000="JAVI")*(INPUT!$V$3:$V$3000+INPUT!$W$3:$W$3000+INPUT!$X$3:$X$3000+INPUT!$Y$3:$Y$3000))),"")</f>
        <v>17</v>
      </c>
      <c r="FX13" s="42" cm="1">
        <f t="array" ref="FX13">IFERROR(IF(SUMPRODUCT((INPUT!$T$3:$T$3000=46118)*(INPUT!$U$3:$U$3000="JAVI"))=0,"",SUMPRODUCT((INPUT!$T$3:$T$3000=46118)*(INPUT!$U$3:$U$3000="JAVI")*(INPUT!$V$3:$V$3000+INPUT!$W$3:$W$3000+INPUT!$X$3:$X$3000+INPUT!$Y$3:$Y$3000))),"")</f>
        <v>10</v>
      </c>
      <c r="FY13" s="42" cm="1">
        <f t="array" ref="FY13">IFERROR(IF(SUMPRODUCT((INPUT!$T$3:$T$3000=46119)*(INPUT!$U$3:$U$3000="JAVI"))=0,"",SUMPRODUCT((INPUT!$T$3:$T$3000=46119)*(INPUT!$U$3:$U$3000="JAVI")*(INPUT!$V$3:$V$3000+INPUT!$W$3:$W$3000+INPUT!$X$3:$X$3000+INPUT!$Y$3:$Y$3000))),"")</f>
        <v>13</v>
      </c>
      <c r="FZ13" s="42" cm="1">
        <f t="array" ref="FZ13">IFERROR(IF(SUMPRODUCT((INPUT!$T$3:$T$3000=46120)*(INPUT!$U$3:$U$3000="JAVI"))=0,"",SUMPRODUCT((INPUT!$T$3:$T$3000=46120)*(INPUT!$U$3:$U$3000="JAVI")*(INPUT!$V$3:$V$3000+INPUT!$W$3:$W$3000+INPUT!$X$3:$X$3000+INPUT!$Y$3:$Y$3000))),"")</f>
        <v>13</v>
      </c>
      <c r="GA13" s="42" cm="1">
        <f t="array" ref="GA13">IFERROR(IF(SUMPRODUCT((INPUT!$T$3:$T$3000=46121)*(INPUT!$U$3:$U$3000="JAVI"))=0,"",SUMPRODUCT((INPUT!$T$3:$T$3000=46121)*(INPUT!$U$3:$U$3000="JAVI")*(INPUT!$V$3:$V$3000+INPUT!$W$3:$W$3000+INPUT!$X$3:$X$3000+INPUT!$Y$3:$Y$3000))),"")</f>
        <v>13</v>
      </c>
      <c r="GB13" s="42" cm="1">
        <f t="array" ref="GB13">IFERROR(IF(SUMPRODUCT((INPUT!$T$3:$T$3000=46122)*(INPUT!$U$3:$U$3000="JAVI"))=0,"",SUMPRODUCT((INPUT!$T$3:$T$3000=46122)*(INPUT!$U$3:$U$3000="JAVI")*(INPUT!$V$3:$V$3000+INPUT!$W$3:$W$3000+INPUT!$X$3:$X$3000+INPUT!$Y$3:$Y$3000))),"")</f>
        <v>13</v>
      </c>
      <c r="GC13" s="42" cm="1">
        <f t="array" ref="GC13">IFERROR(IF(SUMPRODUCT((INPUT!$T$3:$T$3000=46125)*(INPUT!$U$3:$U$3000="JAVI"))=0,"",SUMPRODUCT((INPUT!$T$3:$T$3000=46125)*(INPUT!$U$3:$U$3000="JAVI")*(INPUT!$V$3:$V$3000+INPUT!$W$3:$W$3000+INPUT!$X$3:$X$3000+INPUT!$Y$3:$Y$3000))),"")</f>
        <v>15</v>
      </c>
      <c r="GD13" s="42" cm="1">
        <f t="array" ref="GD13">IFERROR(IF(SUMPRODUCT((INPUT!$T$3:$T$3000=46126)*(INPUT!$U$3:$U$3000="JAVI"))=0,"",SUMPRODUCT((INPUT!$T$3:$T$3000=46126)*(INPUT!$U$3:$U$3000="JAVI")*(INPUT!$V$3:$V$3000+INPUT!$W$3:$W$3000+INPUT!$X$3:$X$3000+INPUT!$Y$3:$Y$3000))),"")</f>
        <v>15</v>
      </c>
      <c r="GE13" s="42" cm="1">
        <f t="array" ref="GE13">IFERROR(IF(SUMPRODUCT((INPUT!$T$3:$T$3000=46127)*(INPUT!$U$3:$U$3000="JAVI"))=0,"",SUMPRODUCT((INPUT!$T$3:$T$3000=46127)*(INPUT!$U$3:$U$3000="JAVI")*(INPUT!$V$3:$V$3000+INPUT!$W$3:$W$3000+INPUT!$X$3:$X$3000+INPUT!$Y$3:$Y$3000))),"")</f>
        <v>15</v>
      </c>
      <c r="GF13" s="42" cm="1">
        <f t="array" ref="GF13">IFERROR(IF(SUMPRODUCT((INPUT!$T$3:$T$3000=46128)*(INPUT!$U$3:$U$3000="JAVI"))=0,"",SUMPRODUCT((INPUT!$T$3:$T$3000=46128)*(INPUT!$U$3:$U$3000="JAVI")*(INPUT!$V$3:$V$3000+INPUT!$W$3:$W$3000+INPUT!$X$3:$X$3000+INPUT!$Y$3:$Y$3000))),"")</f>
        <v>15</v>
      </c>
      <c r="GG13" s="42" cm="1">
        <f t="array" ref="GG13">IFERROR(IF(SUMPRODUCT((INPUT!$T$3:$T$3000=46129)*(INPUT!$U$3:$U$3000="JAVI"))=0,"",SUMPRODUCT((INPUT!$T$3:$T$3000=46129)*(INPUT!$U$3:$U$3000="JAVI")*(INPUT!$V$3:$V$3000+INPUT!$W$3:$W$3000+INPUT!$X$3:$X$3000+INPUT!$Y$3:$Y$3000))),"")</f>
        <v>16</v>
      </c>
      <c r="GH13" s="42" cm="1">
        <f t="array" ref="GH13">IFERROR(IF(SUMPRODUCT((INPUT!$T$3:$T$3000=46130)*(INPUT!$U$3:$U$3000="JAVI"))=0,"",SUMPRODUCT((INPUT!$T$3:$T$3000=46130)*(INPUT!$U$3:$U$3000="JAVI")*(INPUT!$V$3:$V$3000+INPUT!$W$3:$W$3000+INPUT!$X$3:$X$3000+INPUT!$Y$3:$Y$3000))),"")</f>
        <v>16</v>
      </c>
      <c r="GI13" s="42" cm="1">
        <f t="array" ref="GI13">IFERROR(IF(SUMPRODUCT((INPUT!$T$3:$T$3000=46132)*(INPUT!$U$3:$U$3000="JAVI"))=0,"",SUMPRODUCT((INPUT!$T$3:$T$3000=46132)*(INPUT!$U$3:$U$3000="JAVI")*(INPUT!$V$3:$V$3000+INPUT!$W$3:$W$3000+INPUT!$X$3:$X$3000+INPUT!$Y$3:$Y$3000))),"")</f>
        <v>14</v>
      </c>
    </row>
    <row r="14" spans="1:191" x14ac:dyDescent="0.2">
      <c r="A14" t="s">
        <v>43</v>
      </c>
      <c r="B14" s="42" cm="1">
        <f t="array" ref="B14">IFERROR(IF(SUMPRODUCT((INPUT!$T$3:$T$3000=45868)*(INPUT!$U$3:$U$3000="OSCAR"))=0,"",SUMPRODUCT((INPUT!$T$3:$T$3000=45868)*(INPUT!$U$3:$U$3000="OSCAR")*(INPUT!$V$3:$V$3000+INPUT!$W$3:$W$3000+INPUT!$X$3:$X$3000+INPUT!$Y$3:$Y$3000))),"")</f>
        <v>20</v>
      </c>
      <c r="C14" s="42" cm="1">
        <f t="array" ref="C14">IFERROR(IF(SUMPRODUCT((INPUT!$T$3:$T$3000=45869)*(INPUT!$U$3:$U$3000="OSCAR"))=0,"",SUMPRODUCT((INPUT!$T$3:$T$3000=45869)*(INPUT!$U$3:$U$3000="OSCAR")*(INPUT!$V$3:$V$3000+INPUT!$W$3:$W$3000+INPUT!$X$3:$X$3000+INPUT!$Y$3:$Y$3000))),"")</f>
        <v>17</v>
      </c>
      <c r="D14" s="42" cm="1">
        <f t="array" ref="D14">IFERROR(IF(SUMPRODUCT((INPUT!$T$3:$T$3000=45870)*(INPUT!$U$3:$U$3000="OSCAR"))=0,"",SUMPRODUCT((INPUT!$T$3:$T$3000=45870)*(INPUT!$U$3:$U$3000="OSCAR")*(INPUT!$V$3:$V$3000+INPUT!$W$3:$W$3000+INPUT!$X$3:$X$3000+INPUT!$Y$3:$Y$3000))),"")</f>
        <v>14</v>
      </c>
      <c r="E14" s="42" cm="1">
        <f t="array" ref="E14">IFERROR(IF(SUMPRODUCT((INPUT!$T$3:$T$3000=45873)*(INPUT!$U$3:$U$3000="OSCAR"))=0,"",SUMPRODUCT((INPUT!$T$3:$T$3000=45873)*(INPUT!$U$3:$U$3000="OSCAR")*(INPUT!$V$3:$V$3000+INPUT!$W$3:$W$3000+INPUT!$X$3:$X$3000+INPUT!$Y$3:$Y$3000))),"")</f>
        <v>19</v>
      </c>
      <c r="F14" s="42" cm="1">
        <f t="array" ref="F14">IFERROR(IF(SUMPRODUCT((INPUT!$T$3:$T$3000=45874)*(INPUT!$U$3:$U$3000="OSCAR"))=0,"",SUMPRODUCT((INPUT!$T$3:$T$3000=45874)*(INPUT!$U$3:$U$3000="OSCAR")*(INPUT!$V$3:$V$3000+INPUT!$W$3:$W$3000+INPUT!$X$3:$X$3000+INPUT!$Y$3:$Y$3000))),"")</f>
        <v>18</v>
      </c>
      <c r="G14" s="42" cm="1">
        <f t="array" ref="G14">IFERROR(IF(SUMPRODUCT((INPUT!$T$3:$T$3000=45875)*(INPUT!$U$3:$U$3000="OSCAR"))=0,"",SUMPRODUCT((INPUT!$T$3:$T$3000=45875)*(INPUT!$U$3:$U$3000="OSCAR")*(INPUT!$V$3:$V$3000+INPUT!$W$3:$W$3000+INPUT!$X$3:$X$3000+INPUT!$Y$3:$Y$3000))),"")</f>
        <v>18</v>
      </c>
      <c r="H14" s="42" cm="1">
        <f t="array" ref="H14">IFERROR(IF(SUMPRODUCT((INPUT!$T$3:$T$3000=45876)*(INPUT!$U$3:$U$3000="OSCAR"))=0,"",SUMPRODUCT((INPUT!$T$3:$T$3000=45876)*(INPUT!$U$3:$U$3000="OSCAR")*(INPUT!$V$3:$V$3000+INPUT!$W$3:$W$3000+INPUT!$X$3:$X$3000+INPUT!$Y$3:$Y$3000))),"")</f>
        <v>18</v>
      </c>
      <c r="I14" s="42" cm="1">
        <f t="array" ref="I14">IFERROR(IF(SUMPRODUCT((INPUT!$T$3:$T$3000=45877)*(INPUT!$U$3:$U$3000="OSCAR"))=0,"",SUMPRODUCT((INPUT!$T$3:$T$3000=45877)*(INPUT!$U$3:$U$3000="OSCAR")*(INPUT!$V$3:$V$3000+INPUT!$W$3:$W$3000+INPUT!$X$3:$X$3000+INPUT!$Y$3:$Y$3000))),"")</f>
        <v>17</v>
      </c>
      <c r="J14" s="42" cm="1">
        <f t="array" ref="J14">IFERROR(IF(SUMPRODUCT((INPUT!$T$3:$T$3000=45878)*(INPUT!$U$3:$U$3000="OSCAR"))=0,"",SUMPRODUCT((INPUT!$T$3:$T$3000=45878)*(INPUT!$U$3:$U$3000="OSCAR")*(INPUT!$V$3:$V$3000+INPUT!$W$3:$W$3000+INPUT!$X$3:$X$3000+INPUT!$Y$3:$Y$3000))),"")</f>
        <v>17</v>
      </c>
      <c r="K14" s="42" cm="1">
        <f t="array" ref="K14">IFERROR(IF(SUMPRODUCT((INPUT!$T$3:$T$3000=45880)*(INPUT!$U$3:$U$3000="OSCAR"))=0,"",SUMPRODUCT((INPUT!$T$3:$T$3000=45880)*(INPUT!$U$3:$U$3000="OSCAR")*(INPUT!$V$3:$V$3000+INPUT!$W$3:$W$3000+INPUT!$X$3:$X$3000+INPUT!$Y$3:$Y$3000))),"")</f>
        <v>18</v>
      </c>
      <c r="L14" s="42" cm="1">
        <f t="array" ref="L14">IFERROR(IF(SUMPRODUCT((INPUT!$T$3:$T$3000=45881)*(INPUT!$U$3:$U$3000="OSCAR"))=0,"",SUMPRODUCT((INPUT!$T$3:$T$3000=45881)*(INPUT!$U$3:$U$3000="OSCAR")*(INPUT!$V$3:$V$3000+INPUT!$W$3:$W$3000+INPUT!$X$3:$X$3000+INPUT!$Y$3:$Y$3000))),"")</f>
        <v>17</v>
      </c>
      <c r="M14" s="42" cm="1">
        <f t="array" ref="M14">IFERROR(IF(SUMPRODUCT((INPUT!$T$3:$T$3000=45882)*(INPUT!$U$3:$U$3000="OSCAR"))=0,"",SUMPRODUCT((INPUT!$T$3:$T$3000=45882)*(INPUT!$U$3:$U$3000="OSCAR")*(INPUT!$V$3:$V$3000+INPUT!$W$3:$W$3000+INPUT!$X$3:$X$3000+INPUT!$Y$3:$Y$3000))),"")</f>
        <v>17</v>
      </c>
      <c r="N14" s="42" cm="1">
        <f t="array" ref="N14">IFERROR(IF(SUMPRODUCT((INPUT!$T$3:$T$3000=45883)*(INPUT!$U$3:$U$3000="OSCAR"))=0,"",SUMPRODUCT((INPUT!$T$3:$T$3000=45883)*(INPUT!$U$3:$U$3000="OSCAR")*(INPUT!$V$3:$V$3000+INPUT!$W$3:$W$3000+INPUT!$X$3:$X$3000+INPUT!$Y$3:$Y$3000))),"")</f>
        <v>17</v>
      </c>
      <c r="O14" s="42" t="str" cm="1">
        <f t="array" ref="O14">IFERROR(IF(SUMPRODUCT((INPUT!$T$3:$T$3000=45884)*(INPUT!$U$3:$U$3000="OSCAR"))=0,"",SUMPRODUCT((INPUT!$T$3:$T$3000=45884)*(INPUT!$U$3:$U$3000="OSCAR")*(INPUT!$V$3:$V$3000+INPUT!$W$3:$W$3000+INPUT!$X$3:$X$3000+INPUT!$Y$3:$Y$3000))),"")</f>
        <v/>
      </c>
      <c r="P14" s="42" cm="1">
        <f t="array" ref="P14">IFERROR(IF(SUMPRODUCT((INPUT!$T$3:$T$3000=45887)*(INPUT!$U$3:$U$3000="OSCAR"))=0,"",SUMPRODUCT((INPUT!$T$3:$T$3000=45887)*(INPUT!$U$3:$U$3000="OSCAR")*(INPUT!$V$3:$V$3000+INPUT!$W$3:$W$3000+INPUT!$X$3:$X$3000+INPUT!$Y$3:$Y$3000))),"")</f>
        <v>17</v>
      </c>
      <c r="Q14" s="42" cm="1">
        <f t="array" ref="Q14">IFERROR(IF(SUMPRODUCT((INPUT!$T$3:$T$3000=45888)*(INPUT!$U$3:$U$3000="OSCAR"))=0,"",SUMPRODUCT((INPUT!$T$3:$T$3000=45888)*(INPUT!$U$3:$U$3000="OSCAR")*(INPUT!$V$3:$V$3000+INPUT!$W$3:$W$3000+INPUT!$X$3:$X$3000+INPUT!$Y$3:$Y$3000))),"")</f>
        <v>17</v>
      </c>
      <c r="R14" s="42" t="str" cm="1">
        <f t="array" ref="R14">IFERROR(IF(SUMPRODUCT((INPUT!$T$3:$T$3000=45889)*(INPUT!$U$3:$U$3000="OSCAR"))=0,"",SUMPRODUCT((INPUT!$T$3:$T$3000=45889)*(INPUT!$U$3:$U$3000="OSCAR")*(INPUT!$V$3:$V$3000+INPUT!$W$3:$W$3000+INPUT!$X$3:$X$3000+INPUT!$Y$3:$Y$3000))),"")</f>
        <v/>
      </c>
      <c r="S14" s="42" t="str" cm="1">
        <f t="array" ref="S14">IFERROR(IF(SUMPRODUCT((INPUT!$T$3:$T$3000=45890)*(INPUT!$U$3:$U$3000="OSCAR"))=0,"",SUMPRODUCT((INPUT!$T$3:$T$3000=45890)*(INPUT!$U$3:$U$3000="OSCAR")*(INPUT!$V$3:$V$3000+INPUT!$W$3:$W$3000+INPUT!$X$3:$X$3000+INPUT!$Y$3:$Y$3000))),"")</f>
        <v/>
      </c>
      <c r="T14" s="42" t="str" cm="1">
        <f t="array" ref="T14">IFERROR(IF(SUMPRODUCT((INPUT!$T$3:$T$3000=45891)*(INPUT!$U$3:$U$3000="OSCAR"))=0,"",SUMPRODUCT((INPUT!$T$3:$T$3000=45891)*(INPUT!$U$3:$U$3000="OSCAR")*(INPUT!$V$3:$V$3000+INPUT!$W$3:$W$3000+INPUT!$X$3:$X$3000+INPUT!$Y$3:$Y$3000))),"")</f>
        <v/>
      </c>
      <c r="U14" s="42" t="str" cm="1">
        <f t="array" ref="U14">IFERROR(IF(SUMPRODUCT((INPUT!$T$3:$T$3000=45892)*(INPUT!$U$3:$U$3000="OSCAR"))=0,"",SUMPRODUCT((INPUT!$T$3:$T$3000=45892)*(INPUT!$U$3:$U$3000="OSCAR")*(INPUT!$V$3:$V$3000+INPUT!$W$3:$W$3000+INPUT!$X$3:$X$3000+INPUT!$Y$3:$Y$3000))),"")</f>
        <v/>
      </c>
      <c r="V14" s="42" t="str" cm="1">
        <f t="array" ref="V14">IFERROR(IF(SUMPRODUCT((INPUT!$T$3:$T$3000=45893)*(INPUT!$U$3:$U$3000="OSCAR"))=0,"",SUMPRODUCT((INPUT!$T$3:$T$3000=45893)*(INPUT!$U$3:$U$3000="OSCAR")*(INPUT!$V$3:$V$3000+INPUT!$W$3:$W$3000+INPUT!$X$3:$X$3000+INPUT!$Y$3:$Y$3000))),"")</f>
        <v/>
      </c>
      <c r="W14" s="42" cm="1">
        <f t="array" ref="W14">IFERROR(IF(SUMPRODUCT((INPUT!$T$3:$T$3000=45895)*(INPUT!$U$3:$U$3000="OSCAR"))=0,"",SUMPRODUCT((INPUT!$T$3:$T$3000=45895)*(INPUT!$U$3:$U$3000="OSCAR")*(INPUT!$V$3:$V$3000+INPUT!$W$3:$W$3000+INPUT!$X$3:$X$3000+INPUT!$Y$3:$Y$3000))),"")</f>
        <v>17</v>
      </c>
      <c r="X14" s="42" cm="1">
        <f t="array" ref="X14">IFERROR(IF(SUMPRODUCT((INPUT!$T$3:$T$3000=45896)*(INPUT!$U$3:$U$3000="OSCAR"))=0,"",SUMPRODUCT((INPUT!$T$3:$T$3000=45896)*(INPUT!$U$3:$U$3000="OSCAR")*(INPUT!$V$3:$V$3000+INPUT!$W$3:$W$3000+INPUT!$X$3:$X$3000+INPUT!$Y$3:$Y$3000))),"")</f>
        <v>17</v>
      </c>
      <c r="Y14" s="42" t="str" cm="1">
        <f t="array" ref="Y14">IFERROR(IF(SUMPRODUCT((INPUT!$T$3:$T$3000=45898)*(INPUT!$U$3:$U$3000="OSCAR"))=0,"",SUMPRODUCT((INPUT!$T$3:$T$3000=45898)*(INPUT!$U$3:$U$3000="OSCAR")*(INPUT!$V$3:$V$3000+INPUT!$W$3:$W$3000+INPUT!$X$3:$X$3000+INPUT!$Y$3:$Y$3000))),"")</f>
        <v/>
      </c>
      <c r="Z14" s="42" t="str" cm="1">
        <f t="array" ref="Z14">IFERROR(IF(SUMPRODUCT((INPUT!$T$3:$T$3000=45899)*(INPUT!$U$3:$U$3000="OSCAR"))=0,"",SUMPRODUCT((INPUT!$T$3:$T$3000=45899)*(INPUT!$U$3:$U$3000="OSCAR")*(INPUT!$V$3:$V$3000+INPUT!$W$3:$W$3000+INPUT!$X$3:$X$3000+INPUT!$Y$3:$Y$3000))),"")</f>
        <v/>
      </c>
      <c r="AA14" s="42" t="str" cm="1">
        <f t="array" ref="AA14">IFERROR(IF(SUMPRODUCT((INPUT!$T$3:$T$3000=45900)*(INPUT!$U$3:$U$3000="OSCAR"))=0,"",SUMPRODUCT((INPUT!$T$3:$T$3000=45900)*(INPUT!$U$3:$U$3000="OSCAR")*(INPUT!$V$3:$V$3000+INPUT!$W$3:$W$3000+INPUT!$X$3:$X$3000+INPUT!$Y$3:$Y$3000))),"")</f>
        <v/>
      </c>
      <c r="AB14" s="42" cm="1">
        <f t="array" ref="AB14">IFERROR(IF(SUMPRODUCT((INPUT!$T$3:$T$3000=45902)*(INPUT!$U$3:$U$3000="OSCAR"))=0,"",SUMPRODUCT((INPUT!$T$3:$T$3000=45902)*(INPUT!$U$3:$U$3000="OSCAR")*(INPUT!$V$3:$V$3000+INPUT!$W$3:$W$3000+INPUT!$X$3:$X$3000+INPUT!$Y$3:$Y$3000))),"")</f>
        <v>17</v>
      </c>
      <c r="AC14" s="42" t="str" cm="1">
        <f t="array" ref="AC14">IFERROR(IF(SUMPRODUCT((INPUT!$T$3:$T$3000=45903)*(INPUT!$U$3:$U$3000="OSCAR"))=0,"",SUMPRODUCT((INPUT!$T$3:$T$3000=45903)*(INPUT!$U$3:$U$3000="OSCAR")*(INPUT!$V$3:$V$3000+INPUT!$W$3:$W$3000+INPUT!$X$3:$X$3000+INPUT!$Y$3:$Y$3000))),"")</f>
        <v/>
      </c>
      <c r="AD14" s="42" t="str" cm="1">
        <f t="array" ref="AD14">IFERROR(IF(SUMPRODUCT((INPUT!$T$3:$T$3000=45904)*(INPUT!$U$3:$U$3000="OSCAR"))=0,"",SUMPRODUCT((INPUT!$T$3:$T$3000=45904)*(INPUT!$U$3:$U$3000="OSCAR")*(INPUT!$V$3:$V$3000+INPUT!$W$3:$W$3000+INPUT!$X$3:$X$3000+INPUT!$Y$3:$Y$3000))),"")</f>
        <v/>
      </c>
      <c r="AE14" s="42" t="str" cm="1">
        <f t="array" ref="AE14">IFERROR(IF(SUMPRODUCT((INPUT!$T$3:$T$3000=45905)*(INPUT!$U$3:$U$3000="OSCAR"))=0,"",SUMPRODUCT((INPUT!$T$3:$T$3000=45905)*(INPUT!$U$3:$U$3000="OSCAR")*(INPUT!$V$3:$V$3000+INPUT!$W$3:$W$3000+INPUT!$X$3:$X$3000+INPUT!$Y$3:$Y$3000))),"")</f>
        <v/>
      </c>
      <c r="AF14" s="42" t="str" cm="1">
        <f t="array" ref="AF14">IFERROR(IF(SUMPRODUCT((INPUT!$T$3:$T$3000=45906)*(INPUT!$U$3:$U$3000="OSCAR"))=0,"",SUMPRODUCT((INPUT!$T$3:$T$3000=45906)*(INPUT!$U$3:$U$3000="OSCAR")*(INPUT!$V$3:$V$3000+INPUT!$W$3:$W$3000+INPUT!$X$3:$X$3000+INPUT!$Y$3:$Y$3000))),"")</f>
        <v/>
      </c>
      <c r="AG14" s="42" t="str" cm="1">
        <f t="array" ref="AG14">IFERROR(IF(SUMPRODUCT((INPUT!$T$3:$T$3000=45908)*(INPUT!$U$3:$U$3000="OSCAR"))=0,"",SUMPRODUCT((INPUT!$T$3:$T$3000=45908)*(INPUT!$U$3:$U$3000="OSCAR")*(INPUT!$V$3:$V$3000+INPUT!$W$3:$W$3000+INPUT!$X$3:$X$3000+INPUT!$Y$3:$Y$3000))),"")</f>
        <v/>
      </c>
      <c r="AH14" s="42" t="str" cm="1">
        <f t="array" ref="AH14">IFERROR(IF(SUMPRODUCT((INPUT!$T$3:$T$3000=45909)*(INPUT!$U$3:$U$3000="OSCAR"))=0,"",SUMPRODUCT((INPUT!$T$3:$T$3000=45909)*(INPUT!$U$3:$U$3000="OSCAR")*(INPUT!$V$3:$V$3000+INPUT!$W$3:$W$3000+INPUT!$X$3:$X$3000+INPUT!$Y$3:$Y$3000))),"")</f>
        <v/>
      </c>
      <c r="AI14" s="42" t="str" cm="1">
        <f t="array" ref="AI14">IFERROR(IF(SUMPRODUCT((INPUT!$T$3:$T$3000=45911)*(INPUT!$U$3:$U$3000="OSCAR"))=0,"",SUMPRODUCT((INPUT!$T$3:$T$3000=45911)*(INPUT!$U$3:$U$3000="OSCAR")*(INPUT!$V$3:$V$3000+INPUT!$W$3:$W$3000+INPUT!$X$3:$X$3000+INPUT!$Y$3:$Y$3000))),"")</f>
        <v/>
      </c>
      <c r="AJ14" s="42" t="str" cm="1">
        <f t="array" ref="AJ14">IFERROR(IF(SUMPRODUCT((INPUT!$T$3:$T$3000=45912)*(INPUT!$U$3:$U$3000="OSCAR"))=0,"",SUMPRODUCT((INPUT!$T$3:$T$3000=45912)*(INPUT!$U$3:$U$3000="OSCAR")*(INPUT!$V$3:$V$3000+INPUT!$W$3:$W$3000+INPUT!$X$3:$X$3000+INPUT!$Y$3:$Y$3000))),"")</f>
        <v/>
      </c>
      <c r="AK14" s="42" t="str" cm="1">
        <f t="array" ref="AK14">IFERROR(IF(SUMPRODUCT((INPUT!$T$3:$T$3000=45913)*(INPUT!$U$3:$U$3000="OSCAR"))=0,"",SUMPRODUCT((INPUT!$T$3:$T$3000=45913)*(INPUT!$U$3:$U$3000="OSCAR")*(INPUT!$V$3:$V$3000+INPUT!$W$3:$W$3000+INPUT!$X$3:$X$3000+INPUT!$Y$3:$Y$3000))),"")</f>
        <v/>
      </c>
      <c r="AL14" s="42" t="str" cm="1">
        <f t="array" ref="AL14">IFERROR(IF(SUMPRODUCT((INPUT!$T$3:$T$3000=45915)*(INPUT!$U$3:$U$3000="OSCAR"))=0,"",SUMPRODUCT((INPUT!$T$3:$T$3000=45915)*(INPUT!$U$3:$U$3000="OSCAR")*(INPUT!$V$3:$V$3000+INPUT!$W$3:$W$3000+INPUT!$X$3:$X$3000+INPUT!$Y$3:$Y$3000))),"")</f>
        <v/>
      </c>
      <c r="AM14" s="42" t="str" cm="1">
        <f t="array" ref="AM14">IFERROR(IF(SUMPRODUCT((INPUT!$T$3:$T$3000=45916)*(INPUT!$U$3:$U$3000="OSCAR"))=0,"",SUMPRODUCT((INPUT!$T$3:$T$3000=45916)*(INPUT!$U$3:$U$3000="OSCAR")*(INPUT!$V$3:$V$3000+INPUT!$W$3:$W$3000+INPUT!$X$3:$X$3000+INPUT!$Y$3:$Y$3000))),"")</f>
        <v/>
      </c>
      <c r="AN14" s="42" t="str" cm="1">
        <f t="array" ref="AN14">IFERROR(IF(SUMPRODUCT((INPUT!$T$3:$T$3000=45917)*(INPUT!$U$3:$U$3000="OSCAR"))=0,"",SUMPRODUCT((INPUT!$T$3:$T$3000=45917)*(INPUT!$U$3:$U$3000="OSCAR")*(INPUT!$V$3:$V$3000+INPUT!$W$3:$W$3000+INPUT!$X$3:$X$3000+INPUT!$Y$3:$Y$3000))),"")</f>
        <v/>
      </c>
      <c r="AO14" s="42" t="str" cm="1">
        <f t="array" ref="AO14">IFERROR(IF(SUMPRODUCT((INPUT!$T$3:$T$3000=45918)*(INPUT!$U$3:$U$3000="OSCAR"))=0,"",SUMPRODUCT((INPUT!$T$3:$T$3000=45918)*(INPUT!$U$3:$U$3000="OSCAR")*(INPUT!$V$3:$V$3000+INPUT!$W$3:$W$3000+INPUT!$X$3:$X$3000+INPUT!$Y$3:$Y$3000))),"")</f>
        <v/>
      </c>
      <c r="AP14" s="42" cm="1">
        <f t="array" ref="AP14">IFERROR(IF(SUMPRODUCT((INPUT!$T$3:$T$3000=45919)*(INPUT!$U$3:$U$3000="OSCAR"))=0,"",SUMPRODUCT((INPUT!$T$3:$T$3000=45919)*(INPUT!$U$3:$U$3000="OSCAR")*(INPUT!$V$3:$V$3000+INPUT!$W$3:$W$3000+INPUT!$X$3:$X$3000+INPUT!$Y$3:$Y$3000))),"")</f>
        <v>18</v>
      </c>
      <c r="AQ14" s="42" t="str" cm="1">
        <f t="array" ref="AQ14">IFERROR(IF(SUMPRODUCT((INPUT!$T$3:$T$3000=45922)*(INPUT!$U$3:$U$3000="OSCAR"))=0,"",SUMPRODUCT((INPUT!$T$3:$T$3000=45922)*(INPUT!$U$3:$U$3000="OSCAR")*(INPUT!$V$3:$V$3000+INPUT!$W$3:$W$3000+INPUT!$X$3:$X$3000+INPUT!$Y$3:$Y$3000))),"")</f>
        <v/>
      </c>
      <c r="AR14" s="42" t="str" cm="1">
        <f t="array" ref="AR14">IFERROR(IF(SUMPRODUCT((INPUT!$T$3:$T$3000=45923)*(INPUT!$U$3:$U$3000="OSCAR"))=0,"",SUMPRODUCT((INPUT!$T$3:$T$3000=45923)*(INPUT!$U$3:$U$3000="OSCAR")*(INPUT!$V$3:$V$3000+INPUT!$W$3:$W$3000+INPUT!$X$3:$X$3000+INPUT!$Y$3:$Y$3000))),"")</f>
        <v/>
      </c>
      <c r="AS14" s="42" t="str" cm="1">
        <f t="array" ref="AS14">IFERROR(IF(SUMPRODUCT((INPUT!$T$3:$T$3000=45924)*(INPUT!$U$3:$U$3000="OSCAR"))=0,"",SUMPRODUCT((INPUT!$T$3:$T$3000=45924)*(INPUT!$U$3:$U$3000="OSCAR")*(INPUT!$V$3:$V$3000+INPUT!$W$3:$W$3000+INPUT!$X$3:$X$3000+INPUT!$Y$3:$Y$3000))),"")</f>
        <v/>
      </c>
      <c r="AT14" s="42" t="str" cm="1">
        <f t="array" ref="AT14">IFERROR(IF(SUMPRODUCT((INPUT!$T$3:$T$3000=45925)*(INPUT!$U$3:$U$3000="OSCAR"))=0,"",SUMPRODUCT((INPUT!$T$3:$T$3000=45925)*(INPUT!$U$3:$U$3000="OSCAR")*(INPUT!$V$3:$V$3000+INPUT!$W$3:$W$3000+INPUT!$X$3:$X$3000+INPUT!$Y$3:$Y$3000))),"")</f>
        <v/>
      </c>
      <c r="AU14" s="42" cm="1">
        <f t="array" ref="AU14">IFERROR(IF(SUMPRODUCT((INPUT!$T$3:$T$3000=45926)*(INPUT!$U$3:$U$3000="OSCAR"))=0,"",SUMPRODUCT((INPUT!$T$3:$T$3000=45926)*(INPUT!$U$3:$U$3000="OSCAR")*(INPUT!$V$3:$V$3000+INPUT!$W$3:$W$3000+INPUT!$X$3:$X$3000+INPUT!$Y$3:$Y$3000))),"")</f>
        <v>17</v>
      </c>
      <c r="AV14" s="42" cm="1">
        <f t="array" ref="AV14">IFERROR(IF(SUMPRODUCT((INPUT!$T$3:$T$3000=45927)*(INPUT!$U$3:$U$3000="OSCAR"))=0,"",SUMPRODUCT((INPUT!$T$3:$T$3000=45927)*(INPUT!$U$3:$U$3000="OSCAR")*(INPUT!$V$3:$V$3000+INPUT!$W$3:$W$3000+INPUT!$X$3:$X$3000+INPUT!$Y$3:$Y$3000))),"")</f>
        <v>17</v>
      </c>
      <c r="AW14" s="42" cm="1">
        <f t="array" ref="AW14">IFERROR(IF(SUMPRODUCT((INPUT!$T$3:$T$3000=45929)*(INPUT!$U$3:$U$3000="OSCAR"))=0,"",SUMPRODUCT((INPUT!$T$3:$T$3000=45929)*(INPUT!$U$3:$U$3000="OSCAR")*(INPUT!$V$3:$V$3000+INPUT!$W$3:$W$3000+INPUT!$X$3:$X$3000+INPUT!$Y$3:$Y$3000))),"")</f>
        <v>17</v>
      </c>
      <c r="AX14" s="42" t="str" cm="1">
        <f t="array" ref="AX14">IFERROR(IF(SUMPRODUCT((INPUT!$T$3:$T$3000=45930)*(INPUT!$U$3:$U$3000="OSCAR"))=0,"",SUMPRODUCT((INPUT!$T$3:$T$3000=45930)*(INPUT!$U$3:$U$3000="OSCAR")*(INPUT!$V$3:$V$3000+INPUT!$W$3:$W$3000+INPUT!$X$3:$X$3000+INPUT!$Y$3:$Y$3000))),"")</f>
        <v/>
      </c>
      <c r="AY14" s="42" t="str" cm="1">
        <f t="array" ref="AY14">IFERROR(IF(SUMPRODUCT((INPUT!$T$3:$T$3000=45931)*(INPUT!$U$3:$U$3000="OSCAR"))=0,"",SUMPRODUCT((INPUT!$T$3:$T$3000=45931)*(INPUT!$U$3:$U$3000="OSCAR")*(INPUT!$V$3:$V$3000+INPUT!$W$3:$W$3000+INPUT!$X$3:$X$3000+INPUT!$Y$3:$Y$3000))),"")</f>
        <v/>
      </c>
      <c r="AZ14" s="42" t="str" cm="1">
        <f t="array" ref="AZ14">IFERROR(IF(SUMPRODUCT((INPUT!$T$3:$T$3000=45932)*(INPUT!$U$3:$U$3000="OSCAR"))=0,"",SUMPRODUCT((INPUT!$T$3:$T$3000=45932)*(INPUT!$U$3:$U$3000="OSCAR")*(INPUT!$V$3:$V$3000+INPUT!$W$3:$W$3000+INPUT!$X$3:$X$3000+INPUT!$Y$3:$Y$3000))),"")</f>
        <v/>
      </c>
      <c r="BA14" s="42" t="str" cm="1">
        <f t="array" ref="BA14">IFERROR(IF(SUMPRODUCT((INPUT!$T$3:$T$3000=45933)*(INPUT!$U$3:$U$3000="OSCAR"))=0,"",SUMPRODUCT((INPUT!$T$3:$T$3000=45933)*(INPUT!$U$3:$U$3000="OSCAR")*(INPUT!$V$3:$V$3000+INPUT!$W$3:$W$3000+INPUT!$X$3:$X$3000+INPUT!$Y$3:$Y$3000))),"")</f>
        <v/>
      </c>
      <c r="BB14" s="42" t="str" cm="1">
        <f t="array" ref="BB14">IFERROR(IF(SUMPRODUCT((INPUT!$T$3:$T$3000=45934)*(INPUT!$U$3:$U$3000="OSCAR"))=0,"",SUMPRODUCT((INPUT!$T$3:$T$3000=45934)*(INPUT!$U$3:$U$3000="OSCAR")*(INPUT!$V$3:$V$3000+INPUT!$W$3:$W$3000+INPUT!$X$3:$X$3000+INPUT!$Y$3:$Y$3000))),"")</f>
        <v/>
      </c>
      <c r="BC14" s="42" t="str" cm="1">
        <f t="array" ref="BC14">IFERROR(IF(SUMPRODUCT((INPUT!$T$3:$T$3000=45936)*(INPUT!$U$3:$U$3000="OSCAR"))=0,"",SUMPRODUCT((INPUT!$T$3:$T$3000=45936)*(INPUT!$U$3:$U$3000="OSCAR")*(INPUT!$V$3:$V$3000+INPUT!$W$3:$W$3000+INPUT!$X$3:$X$3000+INPUT!$Y$3:$Y$3000))),"")</f>
        <v/>
      </c>
      <c r="BD14" s="42" t="str" cm="1">
        <f t="array" ref="BD14">IFERROR(IF(SUMPRODUCT((INPUT!$T$3:$T$3000=45937)*(INPUT!$U$3:$U$3000="OSCAR"))=0,"",SUMPRODUCT((INPUT!$T$3:$T$3000=45937)*(INPUT!$U$3:$U$3000="OSCAR")*(INPUT!$V$3:$V$3000+INPUT!$W$3:$W$3000+INPUT!$X$3:$X$3000+INPUT!$Y$3:$Y$3000))),"")</f>
        <v/>
      </c>
      <c r="BE14" s="42" t="str" cm="1">
        <f t="array" ref="BE14">IFERROR(IF(SUMPRODUCT((INPUT!$T$3:$T$3000=45938)*(INPUT!$U$3:$U$3000="OSCAR"))=0,"",SUMPRODUCT((INPUT!$T$3:$T$3000=45938)*(INPUT!$U$3:$U$3000="OSCAR")*(INPUT!$V$3:$V$3000+INPUT!$W$3:$W$3000+INPUT!$X$3:$X$3000+INPUT!$Y$3:$Y$3000))),"")</f>
        <v/>
      </c>
      <c r="BF14" s="42" t="str" cm="1">
        <f t="array" ref="BF14">IFERROR(IF(SUMPRODUCT((INPUT!$T$3:$T$3000=45940)*(INPUT!$U$3:$U$3000="OSCAR"))=0,"",SUMPRODUCT((INPUT!$T$3:$T$3000=45940)*(INPUT!$U$3:$U$3000="OSCAR")*(INPUT!$V$3:$V$3000+INPUT!$W$3:$W$3000+INPUT!$X$3:$X$3000+INPUT!$Y$3:$Y$3000))),"")</f>
        <v/>
      </c>
      <c r="BG14" s="42" t="str" cm="1">
        <f t="array" ref="BG14">IFERROR(IF(SUMPRODUCT((INPUT!$T$3:$T$3000=45941)*(INPUT!$U$3:$U$3000="OSCAR"))=0,"",SUMPRODUCT((INPUT!$T$3:$T$3000=45941)*(INPUT!$U$3:$U$3000="OSCAR")*(INPUT!$V$3:$V$3000+INPUT!$W$3:$W$3000+INPUT!$X$3:$X$3000+INPUT!$Y$3:$Y$3000))),"")</f>
        <v/>
      </c>
      <c r="BH14" s="42" t="str" cm="1">
        <f t="array" ref="BH14">IFERROR(IF(SUMPRODUCT((INPUT!$T$3:$T$3000=45942)*(INPUT!$U$3:$U$3000="OSCAR"))=0,"",SUMPRODUCT((INPUT!$T$3:$T$3000=45942)*(INPUT!$U$3:$U$3000="OSCAR")*(INPUT!$V$3:$V$3000+INPUT!$W$3:$W$3000+INPUT!$X$3:$X$3000+INPUT!$Y$3:$Y$3000))),"")</f>
        <v/>
      </c>
      <c r="BI14" s="42" cm="1">
        <f t="array" ref="BI14">IFERROR(IF(SUMPRODUCT((INPUT!$T$3:$T$3000=45945)*(INPUT!$U$3:$U$3000="OSCAR"))=0,"",SUMPRODUCT((INPUT!$T$3:$T$3000=45945)*(INPUT!$U$3:$U$3000="OSCAR")*(INPUT!$V$3:$V$3000+INPUT!$W$3:$W$3000+INPUT!$X$3:$X$3000+INPUT!$Y$3:$Y$3000))),"")</f>
        <v>17</v>
      </c>
      <c r="BJ14" s="42" t="str" cm="1">
        <f t="array" ref="BJ14">IFERROR(IF(SUMPRODUCT((INPUT!$T$3:$T$3000=45946)*(INPUT!$U$3:$U$3000="OSCAR"))=0,"",SUMPRODUCT((INPUT!$T$3:$T$3000=45946)*(INPUT!$U$3:$U$3000="OSCAR")*(INPUT!$V$3:$V$3000+INPUT!$W$3:$W$3000+INPUT!$X$3:$X$3000+INPUT!$Y$3:$Y$3000))),"")</f>
        <v/>
      </c>
      <c r="BK14" s="42" t="str" cm="1">
        <f t="array" ref="BK14">IFERROR(IF(SUMPRODUCT((INPUT!$T$3:$T$3000=45947)*(INPUT!$U$3:$U$3000="OSCAR"))=0,"",SUMPRODUCT((INPUT!$T$3:$T$3000=45947)*(INPUT!$U$3:$U$3000="OSCAR")*(INPUT!$V$3:$V$3000+INPUT!$W$3:$W$3000+INPUT!$X$3:$X$3000+INPUT!$Y$3:$Y$3000))),"")</f>
        <v/>
      </c>
      <c r="BL14" s="42" t="str" cm="1">
        <f t="array" ref="BL14">IFERROR(IF(SUMPRODUCT((INPUT!$T$3:$T$3000=45950)*(INPUT!$U$3:$U$3000="OSCAR"))=0,"",SUMPRODUCT((INPUT!$T$3:$T$3000=45950)*(INPUT!$U$3:$U$3000="OSCAR")*(INPUT!$V$3:$V$3000+INPUT!$W$3:$W$3000+INPUT!$X$3:$X$3000+INPUT!$Y$3:$Y$3000))),"")</f>
        <v/>
      </c>
      <c r="BM14" s="42" t="str" cm="1">
        <f t="array" ref="BM14">IFERROR(IF(SUMPRODUCT((INPUT!$T$3:$T$3000=45951)*(INPUT!$U$3:$U$3000="OSCAR"))=0,"",SUMPRODUCT((INPUT!$T$3:$T$3000=45951)*(INPUT!$U$3:$U$3000="OSCAR")*(INPUT!$V$3:$V$3000+INPUT!$W$3:$W$3000+INPUT!$X$3:$X$3000+INPUT!$Y$3:$Y$3000))),"")</f>
        <v/>
      </c>
      <c r="BN14" s="42" cm="1">
        <f t="array" ref="BN14">IFERROR(IF(SUMPRODUCT((INPUT!$T$3:$T$3000=45952)*(INPUT!$U$3:$U$3000="OSCAR"))=0,"",SUMPRODUCT((INPUT!$T$3:$T$3000=45952)*(INPUT!$U$3:$U$3000="OSCAR")*(INPUT!$V$3:$V$3000+INPUT!$W$3:$W$3000+INPUT!$X$3:$X$3000+INPUT!$Y$3:$Y$3000))),"")</f>
        <v>17</v>
      </c>
      <c r="BO14" s="42" cm="1">
        <f t="array" ref="BO14">IFERROR(IF(SUMPRODUCT((INPUT!$T$3:$T$3000=45953)*(INPUT!$U$3:$U$3000="OSCAR"))=0,"",SUMPRODUCT((INPUT!$T$3:$T$3000=45953)*(INPUT!$U$3:$U$3000="OSCAR")*(INPUT!$V$3:$V$3000+INPUT!$W$3:$W$3000+INPUT!$X$3:$X$3000+INPUT!$Y$3:$Y$3000))),"")</f>
        <v>17</v>
      </c>
      <c r="BP14" s="42" cm="1">
        <f t="array" ref="BP14">IFERROR(IF(SUMPRODUCT((INPUT!$T$3:$T$3000=45954)*(INPUT!$U$3:$U$3000="OSCAR"))=0,"",SUMPRODUCT((INPUT!$T$3:$T$3000=45954)*(INPUT!$U$3:$U$3000="OSCAR")*(INPUT!$V$3:$V$3000+INPUT!$W$3:$W$3000+INPUT!$X$3:$X$3000+INPUT!$Y$3:$Y$3000))),"")</f>
        <v>17</v>
      </c>
      <c r="BQ14" s="42" cm="1">
        <f t="array" ref="BQ14">IFERROR(IF(SUMPRODUCT((INPUT!$T$3:$T$3000=45955)*(INPUT!$U$3:$U$3000="OSCAR"))=0,"",SUMPRODUCT((INPUT!$T$3:$T$3000=45955)*(INPUT!$U$3:$U$3000="OSCAR")*(INPUT!$V$3:$V$3000+INPUT!$W$3:$W$3000+INPUT!$X$3:$X$3000+INPUT!$Y$3:$Y$3000))),"")</f>
        <v>17</v>
      </c>
      <c r="BR14" s="42" cm="1">
        <f t="array" ref="BR14">IFERROR(IF(SUMPRODUCT((INPUT!$T$3:$T$3000=45958)*(INPUT!$U$3:$U$3000="OSCAR"))=0,"",SUMPRODUCT((INPUT!$T$3:$T$3000=45958)*(INPUT!$U$3:$U$3000="OSCAR")*(INPUT!$V$3:$V$3000+INPUT!$W$3:$W$3000+INPUT!$X$3:$X$3000+INPUT!$Y$3:$Y$3000))),"")</f>
        <v>17</v>
      </c>
      <c r="BS14" s="42" t="str" cm="1">
        <f t="array" ref="BS14">IFERROR(IF(SUMPRODUCT((INPUT!$T$3:$T$3000=45959)*(INPUT!$U$3:$U$3000="OSCAR"))=0,"",SUMPRODUCT((INPUT!$T$3:$T$3000=45959)*(INPUT!$U$3:$U$3000="OSCAR")*(INPUT!$V$3:$V$3000+INPUT!$W$3:$W$3000+INPUT!$X$3:$X$3000+INPUT!$Y$3:$Y$3000))),"")</f>
        <v/>
      </c>
      <c r="BT14" s="42" t="str" cm="1">
        <f t="array" ref="BT14">IFERROR(IF(SUMPRODUCT((INPUT!$T$3:$T$3000=45960)*(INPUT!$U$3:$U$3000="OSCAR"))=0,"",SUMPRODUCT((INPUT!$T$3:$T$3000=45960)*(INPUT!$U$3:$U$3000="OSCAR")*(INPUT!$V$3:$V$3000+INPUT!$W$3:$W$3000+INPUT!$X$3:$X$3000+INPUT!$Y$3:$Y$3000))),"")</f>
        <v/>
      </c>
      <c r="BU14" s="42" t="str" cm="1">
        <f t="array" ref="BU14">IFERROR(IF(SUMPRODUCT((INPUT!$T$3:$T$3000=45961)*(INPUT!$U$3:$U$3000="OSCAR"))=0,"",SUMPRODUCT((INPUT!$T$3:$T$3000=45961)*(INPUT!$U$3:$U$3000="OSCAR")*(INPUT!$V$3:$V$3000+INPUT!$W$3:$W$3000+INPUT!$X$3:$X$3000+INPUT!$Y$3:$Y$3000))),"")</f>
        <v/>
      </c>
      <c r="BV14" s="42" t="str" cm="1">
        <f t="array" ref="BV14">IFERROR(IF(SUMPRODUCT((INPUT!$T$3:$T$3000=45964)*(INPUT!$U$3:$U$3000="OSCAR"))=0,"",SUMPRODUCT((INPUT!$T$3:$T$3000=45964)*(INPUT!$U$3:$U$3000="OSCAR")*(INPUT!$V$3:$V$3000+INPUT!$W$3:$W$3000+INPUT!$X$3:$X$3000+INPUT!$Y$3:$Y$3000))),"")</f>
        <v/>
      </c>
      <c r="BW14" s="42" t="str" cm="1">
        <f t="array" ref="BW14">IFERROR(IF(SUMPRODUCT((INPUT!$T$3:$T$3000=45965)*(INPUT!$U$3:$U$3000="OSCAR"))=0,"",SUMPRODUCT((INPUT!$T$3:$T$3000=45965)*(INPUT!$U$3:$U$3000="OSCAR")*(INPUT!$V$3:$V$3000+INPUT!$W$3:$W$3000+INPUT!$X$3:$X$3000+INPUT!$Y$3:$Y$3000))),"")</f>
        <v/>
      </c>
      <c r="BX14" s="42" t="str" cm="1">
        <f t="array" ref="BX14">IFERROR(IF(SUMPRODUCT((INPUT!$T$3:$T$3000=45966)*(INPUT!$U$3:$U$3000="OSCAR"))=0,"",SUMPRODUCT((INPUT!$T$3:$T$3000=45966)*(INPUT!$U$3:$U$3000="OSCAR")*(INPUT!$V$3:$V$3000+INPUT!$W$3:$W$3000+INPUT!$X$3:$X$3000+INPUT!$Y$3:$Y$3000))),"")</f>
        <v/>
      </c>
      <c r="BY14" s="42" t="str" cm="1">
        <f t="array" ref="BY14">IFERROR(IF(SUMPRODUCT((INPUT!$T$3:$T$3000=45967)*(INPUT!$U$3:$U$3000="OSCAR"))=0,"",SUMPRODUCT((INPUT!$T$3:$T$3000=45967)*(INPUT!$U$3:$U$3000="OSCAR")*(INPUT!$V$3:$V$3000+INPUT!$W$3:$W$3000+INPUT!$X$3:$X$3000+INPUT!$Y$3:$Y$3000))),"")</f>
        <v/>
      </c>
      <c r="BZ14" s="42" t="str" cm="1">
        <f t="array" ref="BZ14">IFERROR(IF(SUMPRODUCT((INPUT!$T$3:$T$3000=45968)*(INPUT!$U$3:$U$3000="OSCAR"))=0,"",SUMPRODUCT((INPUT!$T$3:$T$3000=45968)*(INPUT!$U$3:$U$3000="OSCAR")*(INPUT!$V$3:$V$3000+INPUT!$W$3:$W$3000+INPUT!$X$3:$X$3000+INPUT!$Y$3:$Y$3000))),"")</f>
        <v/>
      </c>
      <c r="CA14" s="42" cm="1">
        <f t="array" ref="CA14">IFERROR(IF(SUMPRODUCT((INPUT!$T$3:$T$3000=45971)*(INPUT!$U$3:$U$3000="OSCAR"))=0,"",SUMPRODUCT((INPUT!$T$3:$T$3000=45971)*(INPUT!$U$3:$U$3000="OSCAR")*(INPUT!$V$3:$V$3000+INPUT!$W$3:$W$3000+INPUT!$X$3:$X$3000+INPUT!$Y$3:$Y$3000))),"")</f>
        <v>17</v>
      </c>
      <c r="CB14" s="42" cm="1">
        <f t="array" ref="CB14">IFERROR(IF(SUMPRODUCT((INPUT!$T$3:$T$3000=45972)*(INPUT!$U$3:$U$3000="OSCAR"))=0,"",SUMPRODUCT((INPUT!$T$3:$T$3000=45972)*(INPUT!$U$3:$U$3000="OSCAR")*(INPUT!$V$3:$V$3000+INPUT!$W$3:$W$3000+INPUT!$X$3:$X$3000+INPUT!$Y$3:$Y$3000))),"")</f>
        <v>17</v>
      </c>
      <c r="CC14" s="42" t="str" cm="1">
        <f t="array" ref="CC14">IFERROR(IF(SUMPRODUCT((INPUT!$T$3:$T$3000=45974)*(INPUT!$U$3:$U$3000="OSCAR"))=0,"",SUMPRODUCT((INPUT!$T$3:$T$3000=45974)*(INPUT!$U$3:$U$3000="OSCAR")*(INPUT!$V$3:$V$3000+INPUT!$W$3:$W$3000+INPUT!$X$3:$X$3000+INPUT!$Y$3:$Y$3000))),"")</f>
        <v/>
      </c>
      <c r="CD14" s="42" t="str" cm="1">
        <f t="array" ref="CD14">IFERROR(IF(SUMPRODUCT((INPUT!$T$3:$T$3000=45975)*(INPUT!$U$3:$U$3000="OSCAR"))=0,"",SUMPRODUCT((INPUT!$T$3:$T$3000=45975)*(INPUT!$U$3:$U$3000="OSCAR")*(INPUT!$V$3:$V$3000+INPUT!$W$3:$W$3000+INPUT!$X$3:$X$3000+INPUT!$Y$3:$Y$3000))),"")</f>
        <v/>
      </c>
      <c r="CE14" s="42" t="str" cm="1">
        <f t="array" ref="CE14">IFERROR(IF(SUMPRODUCT((INPUT!$T$3:$T$3000=45976)*(INPUT!$U$3:$U$3000="OSCAR"))=0,"",SUMPRODUCT((INPUT!$T$3:$T$3000=45976)*(INPUT!$U$3:$U$3000="OSCAR")*(INPUT!$V$3:$V$3000+INPUT!$W$3:$W$3000+INPUT!$X$3:$X$3000+INPUT!$Y$3:$Y$3000))),"")</f>
        <v/>
      </c>
      <c r="CF14" s="42" t="str" cm="1">
        <f t="array" ref="CF14">IFERROR(IF(SUMPRODUCT((INPUT!$T$3:$T$3000=45978)*(INPUT!$U$3:$U$3000="OSCAR"))=0,"",SUMPRODUCT((INPUT!$T$3:$T$3000=45978)*(INPUT!$U$3:$U$3000="OSCAR")*(INPUT!$V$3:$V$3000+INPUT!$W$3:$W$3000+INPUT!$X$3:$X$3000+INPUT!$Y$3:$Y$3000))),"")</f>
        <v/>
      </c>
      <c r="CG14" s="42" t="str" cm="1">
        <f t="array" ref="CG14">IFERROR(IF(SUMPRODUCT((INPUT!$T$3:$T$3000=45979)*(INPUT!$U$3:$U$3000="OSCAR"))=0,"",SUMPRODUCT((INPUT!$T$3:$T$3000=45979)*(INPUT!$U$3:$U$3000="OSCAR")*(INPUT!$V$3:$V$3000+INPUT!$W$3:$W$3000+INPUT!$X$3:$X$3000+INPUT!$Y$3:$Y$3000))),"")</f>
        <v/>
      </c>
      <c r="CH14" s="42" t="str" cm="1">
        <f t="array" ref="CH14">IFERROR(IF(SUMPRODUCT((INPUT!$T$3:$T$3000=45980)*(INPUT!$U$3:$U$3000="OSCAR"))=0,"",SUMPRODUCT((INPUT!$T$3:$T$3000=45980)*(INPUT!$U$3:$U$3000="OSCAR")*(INPUT!$V$3:$V$3000+INPUT!$W$3:$W$3000+INPUT!$X$3:$X$3000+INPUT!$Y$3:$Y$3000))),"")</f>
        <v/>
      </c>
      <c r="CI14" s="42" t="str" cm="1">
        <f t="array" ref="CI14">IFERROR(IF(SUMPRODUCT((INPUT!$T$3:$T$3000=45982)*(INPUT!$U$3:$U$3000="OSCAR"))=0,"",SUMPRODUCT((INPUT!$T$3:$T$3000=45982)*(INPUT!$U$3:$U$3000="OSCAR")*(INPUT!$V$3:$V$3000+INPUT!$W$3:$W$3000+INPUT!$X$3:$X$3000+INPUT!$Y$3:$Y$3000))),"")</f>
        <v/>
      </c>
      <c r="CJ14" s="42" t="str" cm="1">
        <f t="array" ref="CJ14">IFERROR(IF(SUMPRODUCT((INPUT!$T$3:$T$3000=45983)*(INPUT!$U$3:$U$3000="OSCAR"))=0,"",SUMPRODUCT((INPUT!$T$3:$T$3000=45983)*(INPUT!$U$3:$U$3000="OSCAR")*(INPUT!$V$3:$V$3000+INPUT!$W$3:$W$3000+INPUT!$X$3:$X$3000+INPUT!$Y$3:$Y$3000))),"")</f>
        <v/>
      </c>
      <c r="CK14" s="42" t="str" cm="1">
        <f t="array" ref="CK14">IFERROR(IF(SUMPRODUCT((INPUT!$T$3:$T$3000=45985)*(INPUT!$U$3:$U$3000="OSCAR"))=0,"",SUMPRODUCT((INPUT!$T$3:$T$3000=45985)*(INPUT!$U$3:$U$3000="OSCAR")*(INPUT!$V$3:$V$3000+INPUT!$W$3:$W$3000+INPUT!$X$3:$X$3000+INPUT!$Y$3:$Y$3000))),"")</f>
        <v/>
      </c>
      <c r="CL14" s="42" t="str" cm="1">
        <f t="array" ref="CL14">IFERROR(IF(SUMPRODUCT((INPUT!$T$3:$T$3000=45986)*(INPUT!$U$3:$U$3000="OSCAR"))=0,"",SUMPRODUCT((INPUT!$T$3:$T$3000=45986)*(INPUT!$U$3:$U$3000="OSCAR")*(INPUT!$V$3:$V$3000+INPUT!$W$3:$W$3000+INPUT!$X$3:$X$3000+INPUT!$Y$3:$Y$3000))),"")</f>
        <v/>
      </c>
      <c r="CM14" s="42" t="str" cm="1">
        <f t="array" ref="CM14">IFERROR(IF(SUMPRODUCT((INPUT!$T$3:$T$3000=45987)*(INPUT!$U$3:$U$3000="OSCAR"))=0,"",SUMPRODUCT((INPUT!$T$3:$T$3000=45987)*(INPUT!$U$3:$U$3000="OSCAR")*(INPUT!$V$3:$V$3000+INPUT!$W$3:$W$3000+INPUT!$X$3:$X$3000+INPUT!$Y$3:$Y$3000))),"")</f>
        <v/>
      </c>
      <c r="CN14" s="42" t="str" cm="1">
        <f t="array" ref="CN14">IFERROR(IF(SUMPRODUCT((INPUT!$T$3:$T$3000=45988)*(INPUT!$U$3:$U$3000="OSCAR"))=0,"",SUMPRODUCT((INPUT!$T$3:$T$3000=45988)*(INPUT!$U$3:$U$3000="OSCAR")*(INPUT!$V$3:$V$3000+INPUT!$W$3:$W$3000+INPUT!$X$3:$X$3000+INPUT!$Y$3:$Y$3000))),"")</f>
        <v/>
      </c>
      <c r="CO14" s="42" t="str" cm="1">
        <f t="array" ref="CO14">IFERROR(IF(SUMPRODUCT((INPUT!$T$3:$T$3000=45989)*(INPUT!$U$3:$U$3000="OSCAR"))=0,"",SUMPRODUCT((INPUT!$T$3:$T$3000=45989)*(INPUT!$U$3:$U$3000="OSCAR")*(INPUT!$V$3:$V$3000+INPUT!$W$3:$W$3000+INPUT!$X$3:$X$3000+INPUT!$Y$3:$Y$3000))),"")</f>
        <v/>
      </c>
      <c r="CP14" s="42" t="str" cm="1">
        <f t="array" ref="CP14">IFERROR(IF(SUMPRODUCT((INPUT!$T$3:$T$3000=45992)*(INPUT!$U$3:$U$3000="OSCAR"))=0,"",SUMPRODUCT((INPUT!$T$3:$T$3000=45992)*(INPUT!$U$3:$U$3000="OSCAR")*(INPUT!$V$3:$V$3000+INPUT!$W$3:$W$3000+INPUT!$X$3:$X$3000+INPUT!$Y$3:$Y$3000))),"")</f>
        <v/>
      </c>
      <c r="CQ14" s="42" t="str" cm="1">
        <f t="array" ref="CQ14">IFERROR(IF(SUMPRODUCT((INPUT!$T$3:$T$3000=45993)*(INPUT!$U$3:$U$3000="OSCAR"))=0,"",SUMPRODUCT((INPUT!$T$3:$T$3000=45993)*(INPUT!$U$3:$U$3000="OSCAR")*(INPUT!$V$3:$V$3000+INPUT!$W$3:$W$3000+INPUT!$X$3:$X$3000+INPUT!$Y$3:$Y$3000))),"")</f>
        <v/>
      </c>
      <c r="CR14" s="42" t="str" cm="1">
        <f t="array" ref="CR14">IFERROR(IF(SUMPRODUCT((INPUT!$T$3:$T$3000=45994)*(INPUT!$U$3:$U$3000="OSCAR"))=0,"",SUMPRODUCT((INPUT!$T$3:$T$3000=45994)*(INPUT!$U$3:$U$3000="OSCAR")*(INPUT!$V$3:$V$3000+INPUT!$W$3:$W$3000+INPUT!$X$3:$X$3000+INPUT!$Y$3:$Y$3000))),"")</f>
        <v/>
      </c>
      <c r="CS14" s="42" t="str" cm="1">
        <f t="array" ref="CS14">IFERROR(IF(SUMPRODUCT((INPUT!$T$3:$T$3000=45995)*(INPUT!$U$3:$U$3000="OSCAR"))=0,"",SUMPRODUCT((INPUT!$T$3:$T$3000=45995)*(INPUT!$U$3:$U$3000="OSCAR")*(INPUT!$V$3:$V$3000+INPUT!$W$3:$W$3000+INPUT!$X$3:$X$3000+INPUT!$Y$3:$Y$3000))),"")</f>
        <v/>
      </c>
      <c r="CT14" s="42" t="str" cm="1">
        <f t="array" ref="CT14">IFERROR(IF(SUMPRODUCT((INPUT!$T$3:$T$3000=45996)*(INPUT!$U$3:$U$3000="OSCAR"))=0,"",SUMPRODUCT((INPUT!$T$3:$T$3000=45996)*(INPUT!$U$3:$U$3000="OSCAR")*(INPUT!$V$3:$V$3000+INPUT!$W$3:$W$3000+INPUT!$X$3:$X$3000+INPUT!$Y$3:$Y$3000))),"")</f>
        <v/>
      </c>
      <c r="CU14" s="42" t="str" cm="1">
        <f t="array" ref="CU14">IFERROR(IF(SUMPRODUCT((INPUT!$T$3:$T$3000=45997)*(INPUT!$U$3:$U$3000="OSCAR"))=0,"",SUMPRODUCT((INPUT!$T$3:$T$3000=45997)*(INPUT!$U$3:$U$3000="OSCAR")*(INPUT!$V$3:$V$3000+INPUT!$W$3:$W$3000+INPUT!$X$3:$X$3000+INPUT!$Y$3:$Y$3000))),"")</f>
        <v/>
      </c>
      <c r="CV14" s="42" t="str" cm="1">
        <f t="array" ref="CV14">IFERROR(IF(SUMPRODUCT((INPUT!$T$3:$T$3000=45999)*(INPUT!$U$3:$U$3000="OSCAR"))=0,"",SUMPRODUCT((INPUT!$T$3:$T$3000=45999)*(INPUT!$U$3:$U$3000="OSCAR")*(INPUT!$V$3:$V$3000+INPUT!$W$3:$W$3000+INPUT!$X$3:$X$3000+INPUT!$Y$3:$Y$3000))),"")</f>
        <v/>
      </c>
      <c r="CW14" s="42" t="str" cm="1">
        <f t="array" ref="CW14">IFERROR(IF(SUMPRODUCT((INPUT!$T$3:$T$3000=46000)*(INPUT!$U$3:$U$3000="OSCAR"))=0,"",SUMPRODUCT((INPUT!$T$3:$T$3000=46000)*(INPUT!$U$3:$U$3000="OSCAR")*(INPUT!$V$3:$V$3000+INPUT!$W$3:$W$3000+INPUT!$X$3:$X$3000+INPUT!$Y$3:$Y$3000))),"")</f>
        <v/>
      </c>
      <c r="CX14" s="42" t="str" cm="1">
        <f t="array" ref="CX14">IFERROR(IF(SUMPRODUCT((INPUT!$T$3:$T$3000=46001)*(INPUT!$U$3:$U$3000="OSCAR"))=0,"",SUMPRODUCT((INPUT!$T$3:$T$3000=46001)*(INPUT!$U$3:$U$3000="OSCAR")*(INPUT!$V$3:$V$3000+INPUT!$W$3:$W$3000+INPUT!$X$3:$X$3000+INPUT!$Y$3:$Y$3000))),"")</f>
        <v/>
      </c>
      <c r="CY14" s="42" t="str" cm="1">
        <f t="array" ref="CY14">IFERROR(IF(SUMPRODUCT((INPUT!$T$3:$T$3000=46002)*(INPUT!$U$3:$U$3000="OSCAR"))=0,"",SUMPRODUCT((INPUT!$T$3:$T$3000=46002)*(INPUT!$U$3:$U$3000="OSCAR")*(INPUT!$V$3:$V$3000+INPUT!$W$3:$W$3000+INPUT!$X$3:$X$3000+INPUT!$Y$3:$Y$3000))),"")</f>
        <v/>
      </c>
      <c r="CZ14" s="42" t="str" cm="1">
        <f t="array" ref="CZ14">IFERROR(IF(SUMPRODUCT((INPUT!$T$3:$T$3000=46003)*(INPUT!$U$3:$U$3000="OSCAR"))=0,"",SUMPRODUCT((INPUT!$T$3:$T$3000=46003)*(INPUT!$U$3:$U$3000="OSCAR")*(INPUT!$V$3:$V$3000+INPUT!$W$3:$W$3000+INPUT!$X$3:$X$3000+INPUT!$Y$3:$Y$3000))),"")</f>
        <v/>
      </c>
      <c r="DA14" s="42" t="str" cm="1">
        <f t="array" ref="DA14">IFERROR(IF(SUMPRODUCT((INPUT!$T$3:$T$3000=46004)*(INPUT!$U$3:$U$3000="OSCAR"))=0,"",SUMPRODUCT((INPUT!$T$3:$T$3000=46004)*(INPUT!$U$3:$U$3000="OSCAR")*(INPUT!$V$3:$V$3000+INPUT!$W$3:$W$3000+INPUT!$X$3:$X$3000+INPUT!$Y$3:$Y$3000))),"")</f>
        <v/>
      </c>
      <c r="DB14" s="42" t="str" cm="1">
        <f t="array" ref="DB14">IFERROR(IF(SUMPRODUCT((INPUT!$T$3:$T$3000=46007)*(INPUT!$U$3:$U$3000="OSCAR"))=0,"",SUMPRODUCT((INPUT!$T$3:$T$3000=46007)*(INPUT!$U$3:$U$3000="OSCAR")*(INPUT!$V$3:$V$3000+INPUT!$W$3:$W$3000+INPUT!$X$3:$X$3000+INPUT!$Y$3:$Y$3000))),"")</f>
        <v/>
      </c>
      <c r="DC14" s="42" t="str" cm="1">
        <f t="array" ref="DC14">IFERROR(IF(SUMPRODUCT((INPUT!$T$3:$T$3000=46008)*(INPUT!$U$3:$U$3000="OSCAR"))=0,"",SUMPRODUCT((INPUT!$T$3:$T$3000=46008)*(INPUT!$U$3:$U$3000="OSCAR")*(INPUT!$V$3:$V$3000+INPUT!$W$3:$W$3000+INPUT!$X$3:$X$3000+INPUT!$Y$3:$Y$3000))),"")</f>
        <v/>
      </c>
      <c r="DD14" s="42" t="str" cm="1">
        <f t="array" ref="DD14">IFERROR(IF(SUMPRODUCT((INPUT!$T$3:$T$3000=46009)*(INPUT!$U$3:$U$3000="OSCAR"))=0,"",SUMPRODUCT((INPUT!$T$3:$T$3000=46009)*(INPUT!$U$3:$U$3000="OSCAR")*(INPUT!$V$3:$V$3000+INPUT!$W$3:$W$3000+INPUT!$X$3:$X$3000+INPUT!$Y$3:$Y$3000))),"")</f>
        <v/>
      </c>
      <c r="DE14" s="42" t="str" cm="1">
        <f t="array" ref="DE14">IFERROR(IF(SUMPRODUCT((INPUT!$T$3:$T$3000=46010)*(INPUT!$U$3:$U$3000="OSCAR"))=0,"",SUMPRODUCT((INPUT!$T$3:$T$3000=46010)*(INPUT!$U$3:$U$3000="OSCAR")*(INPUT!$V$3:$V$3000+INPUT!$W$3:$W$3000+INPUT!$X$3:$X$3000+INPUT!$Y$3:$Y$3000))),"")</f>
        <v/>
      </c>
      <c r="DF14" s="42" t="str" cm="1">
        <f t="array" ref="DF14">IFERROR(IF(SUMPRODUCT((INPUT!$T$3:$T$3000=46013)*(INPUT!$U$3:$U$3000="OSCAR"))=0,"",SUMPRODUCT((INPUT!$T$3:$T$3000=46013)*(INPUT!$U$3:$U$3000="OSCAR")*(INPUT!$V$3:$V$3000+INPUT!$W$3:$W$3000+INPUT!$X$3:$X$3000+INPUT!$Y$3:$Y$3000))),"")</f>
        <v/>
      </c>
      <c r="DG14" s="42" t="str" cm="1">
        <f t="array" ref="DG14">IFERROR(IF(SUMPRODUCT((INPUT!$T$3:$T$3000=46014)*(INPUT!$U$3:$U$3000="OSCAR"))=0,"",SUMPRODUCT((INPUT!$T$3:$T$3000=46014)*(INPUT!$U$3:$U$3000="OSCAR")*(INPUT!$V$3:$V$3000+INPUT!$W$3:$W$3000+INPUT!$X$3:$X$3000+INPUT!$Y$3:$Y$3000))),"")</f>
        <v/>
      </c>
      <c r="DH14" s="42" t="str" cm="1">
        <f t="array" ref="DH14">IFERROR(IF(SUMPRODUCT((INPUT!$T$3:$T$3000=46017)*(INPUT!$U$3:$U$3000="OSCAR"))=0,"",SUMPRODUCT((INPUT!$T$3:$T$3000=46017)*(INPUT!$U$3:$U$3000="OSCAR")*(INPUT!$V$3:$V$3000+INPUT!$W$3:$W$3000+INPUT!$X$3:$X$3000+INPUT!$Y$3:$Y$3000))),"")</f>
        <v/>
      </c>
      <c r="DI14" s="42" t="str" cm="1">
        <f t="array" ref="DI14">IFERROR(IF(SUMPRODUCT((INPUT!$T$3:$T$3000=46018)*(INPUT!$U$3:$U$3000="OSCAR"))=0,"",SUMPRODUCT((INPUT!$T$3:$T$3000=46018)*(INPUT!$U$3:$U$3000="OSCAR")*(INPUT!$V$3:$V$3000+INPUT!$W$3:$W$3000+INPUT!$X$3:$X$3000+INPUT!$Y$3:$Y$3000))),"")</f>
        <v/>
      </c>
      <c r="DJ14" s="42" t="str" cm="1">
        <f t="array" ref="DJ14">IFERROR(IF(SUMPRODUCT((INPUT!$T$3:$T$3000=46020)*(INPUT!$U$3:$U$3000="OSCAR"))=0,"",SUMPRODUCT((INPUT!$T$3:$T$3000=46020)*(INPUT!$U$3:$U$3000="OSCAR")*(INPUT!$V$3:$V$3000+INPUT!$W$3:$W$3000+INPUT!$X$3:$X$3000+INPUT!$Y$3:$Y$3000))),"")</f>
        <v/>
      </c>
      <c r="DK14" s="42" t="str" cm="1">
        <f t="array" ref="DK14">IFERROR(IF(SUMPRODUCT((INPUT!$T$3:$T$3000=46021)*(INPUT!$U$3:$U$3000="OSCAR"))=0,"",SUMPRODUCT((INPUT!$T$3:$T$3000=46021)*(INPUT!$U$3:$U$3000="OSCAR")*(INPUT!$V$3:$V$3000+INPUT!$W$3:$W$3000+INPUT!$X$3:$X$3000+INPUT!$Y$3:$Y$3000))),"")</f>
        <v/>
      </c>
      <c r="DL14" s="42" t="str" cm="1">
        <f t="array" ref="DL14">IFERROR(IF(SUMPRODUCT((INPUT!$T$3:$T$3000=46022)*(INPUT!$U$3:$U$3000="OSCAR"))=0,"",SUMPRODUCT((INPUT!$T$3:$T$3000=46022)*(INPUT!$U$3:$U$3000="OSCAR")*(INPUT!$V$3:$V$3000+INPUT!$W$3:$W$3000+INPUT!$X$3:$X$3000+INPUT!$Y$3:$Y$3000))),"")</f>
        <v/>
      </c>
      <c r="DM14" s="42" t="str" cm="1">
        <f t="array" ref="DM14">IFERROR(IF(SUMPRODUCT((INPUT!$T$3:$T$3000=46024)*(INPUT!$U$3:$U$3000="OSCAR"))=0,"",SUMPRODUCT((INPUT!$T$3:$T$3000=46024)*(INPUT!$U$3:$U$3000="OSCAR")*(INPUT!$V$3:$V$3000+INPUT!$W$3:$W$3000+INPUT!$X$3:$X$3000+INPUT!$Y$3:$Y$3000))),"")</f>
        <v/>
      </c>
      <c r="DN14" s="42" t="str" cm="1">
        <f t="array" ref="DN14">IFERROR(IF(SUMPRODUCT((INPUT!$T$3:$T$3000=46025)*(INPUT!$U$3:$U$3000="OSCAR"))=0,"",SUMPRODUCT((INPUT!$T$3:$T$3000=46025)*(INPUT!$U$3:$U$3000="OSCAR")*(INPUT!$V$3:$V$3000+INPUT!$W$3:$W$3000+INPUT!$X$3:$X$3000+INPUT!$Y$3:$Y$3000))),"")</f>
        <v/>
      </c>
      <c r="DO14" s="42" t="str" cm="1">
        <f t="array" ref="DO14">IFERROR(IF(SUMPRODUCT((INPUT!$T$3:$T$3000=46027)*(INPUT!$U$3:$U$3000="OSCAR"))=0,"",SUMPRODUCT((INPUT!$T$3:$T$3000=46027)*(INPUT!$U$3:$U$3000="OSCAR")*(INPUT!$V$3:$V$3000+INPUT!$W$3:$W$3000+INPUT!$X$3:$X$3000+INPUT!$Y$3:$Y$3000))),"")</f>
        <v/>
      </c>
      <c r="DP14" s="42" t="str" cm="1">
        <f t="array" ref="DP14">IFERROR(IF(SUMPRODUCT((INPUT!$T$3:$T$3000=46028)*(INPUT!$U$3:$U$3000="OSCAR"))=0,"",SUMPRODUCT((INPUT!$T$3:$T$3000=46028)*(INPUT!$U$3:$U$3000="OSCAR")*(INPUT!$V$3:$V$3000+INPUT!$W$3:$W$3000+INPUT!$X$3:$X$3000+INPUT!$Y$3:$Y$3000))),"")</f>
        <v/>
      </c>
      <c r="DQ14" s="42" t="str" cm="1">
        <f t="array" ref="DQ14">IFERROR(IF(SUMPRODUCT((INPUT!$T$3:$T$3000=46029)*(INPUT!$U$3:$U$3000="OSCAR"))=0,"",SUMPRODUCT((INPUT!$T$3:$T$3000=46029)*(INPUT!$U$3:$U$3000="OSCAR")*(INPUT!$V$3:$V$3000+INPUT!$W$3:$W$3000+INPUT!$X$3:$X$3000+INPUT!$Y$3:$Y$3000))),"")</f>
        <v/>
      </c>
      <c r="DR14" s="42" t="str" cm="1">
        <f t="array" ref="DR14">IFERROR(IF(SUMPRODUCT((INPUT!$T$3:$T$3000=46030)*(INPUT!$U$3:$U$3000="OSCAR"))=0,"",SUMPRODUCT((INPUT!$T$3:$T$3000=46030)*(INPUT!$U$3:$U$3000="OSCAR")*(INPUT!$V$3:$V$3000+INPUT!$W$3:$W$3000+INPUT!$X$3:$X$3000+INPUT!$Y$3:$Y$3000))),"")</f>
        <v/>
      </c>
      <c r="DS14" s="42" t="str" cm="1">
        <f t="array" ref="DS14">IFERROR(IF(SUMPRODUCT((INPUT!$T$3:$T$3000=46031)*(INPUT!$U$3:$U$3000="OSCAR"))=0,"",SUMPRODUCT((INPUT!$T$3:$T$3000=46031)*(INPUT!$U$3:$U$3000="OSCAR")*(INPUT!$V$3:$V$3000+INPUT!$W$3:$W$3000+INPUT!$X$3:$X$3000+INPUT!$Y$3:$Y$3000))),"")</f>
        <v/>
      </c>
      <c r="DT14" s="42" t="str" cm="1">
        <f t="array" ref="DT14">IFERROR(IF(SUMPRODUCT((INPUT!$T$3:$T$3000=46041)*(INPUT!$U$3:$U$3000="OSCAR"))=0,"",SUMPRODUCT((INPUT!$T$3:$T$3000=46041)*(INPUT!$U$3:$U$3000="OSCAR")*(INPUT!$V$3:$V$3000+INPUT!$W$3:$W$3000+INPUT!$X$3:$X$3000+INPUT!$Y$3:$Y$3000))),"")</f>
        <v/>
      </c>
      <c r="DU14" s="42" t="str" cm="1">
        <f t="array" ref="DU14">IFERROR(IF(SUMPRODUCT((INPUT!$T$3:$T$3000=46042)*(INPUT!$U$3:$U$3000="OSCAR"))=0,"",SUMPRODUCT((INPUT!$T$3:$T$3000=46042)*(INPUT!$U$3:$U$3000="OSCAR")*(INPUT!$V$3:$V$3000+INPUT!$W$3:$W$3000+INPUT!$X$3:$X$3000+INPUT!$Y$3:$Y$3000))),"")</f>
        <v/>
      </c>
      <c r="DV14" s="42" t="str" cm="1">
        <f t="array" ref="DV14">IFERROR(IF(SUMPRODUCT((INPUT!$T$3:$T$3000=46043)*(INPUT!$U$3:$U$3000="OSCAR"))=0,"",SUMPRODUCT((INPUT!$T$3:$T$3000=46043)*(INPUT!$U$3:$U$3000="OSCAR")*(INPUT!$V$3:$V$3000+INPUT!$W$3:$W$3000+INPUT!$X$3:$X$3000+INPUT!$Y$3:$Y$3000))),"")</f>
        <v/>
      </c>
      <c r="DW14" s="42" t="str" cm="1">
        <f t="array" ref="DW14">IFERROR(IF(SUMPRODUCT((INPUT!$T$3:$T$3000=46044)*(INPUT!$U$3:$U$3000="OSCAR"))=0,"",SUMPRODUCT((INPUT!$T$3:$T$3000=46044)*(INPUT!$U$3:$U$3000="OSCAR")*(INPUT!$V$3:$V$3000+INPUT!$W$3:$W$3000+INPUT!$X$3:$X$3000+INPUT!$Y$3:$Y$3000))),"")</f>
        <v/>
      </c>
      <c r="DX14" s="42" t="str" cm="1">
        <f t="array" ref="DX14">IFERROR(IF(SUMPRODUCT((INPUT!$T$3:$T$3000=46045)*(INPUT!$U$3:$U$3000="OSCAR"))=0,"",SUMPRODUCT((INPUT!$T$3:$T$3000=46045)*(INPUT!$U$3:$U$3000="OSCAR")*(INPUT!$V$3:$V$3000+INPUT!$W$3:$W$3000+INPUT!$X$3:$X$3000+INPUT!$Y$3:$Y$3000))),"")</f>
        <v/>
      </c>
      <c r="DY14" s="42" t="str" cm="1">
        <f t="array" ref="DY14">IFERROR(IF(SUMPRODUCT((INPUT!$T$3:$T$3000=46048)*(INPUT!$U$3:$U$3000="OSCAR"))=0,"",SUMPRODUCT((INPUT!$T$3:$T$3000=46048)*(INPUT!$U$3:$U$3000="OSCAR")*(INPUT!$V$3:$V$3000+INPUT!$W$3:$W$3000+INPUT!$X$3:$X$3000+INPUT!$Y$3:$Y$3000))),"")</f>
        <v/>
      </c>
      <c r="DZ14" s="42" t="str" cm="1">
        <f t="array" ref="DZ14">IFERROR(IF(SUMPRODUCT((INPUT!$T$3:$T$3000=46049)*(INPUT!$U$3:$U$3000="OSCAR"))=0,"",SUMPRODUCT((INPUT!$T$3:$T$3000=46049)*(INPUT!$U$3:$U$3000="OSCAR")*(INPUT!$V$3:$V$3000+INPUT!$W$3:$W$3000+INPUT!$X$3:$X$3000+INPUT!$Y$3:$Y$3000))),"")</f>
        <v/>
      </c>
      <c r="EA14" s="42" t="str" cm="1">
        <f t="array" ref="EA14">IFERROR(IF(SUMPRODUCT((INPUT!$T$3:$T$3000=46050)*(INPUT!$U$3:$U$3000="OSCAR"))=0,"",SUMPRODUCT((INPUT!$T$3:$T$3000=46050)*(INPUT!$U$3:$U$3000="OSCAR")*(INPUT!$V$3:$V$3000+INPUT!$W$3:$W$3000+INPUT!$X$3:$X$3000+INPUT!$Y$3:$Y$3000))),"")</f>
        <v/>
      </c>
      <c r="EB14" s="42" t="str" cm="1">
        <f t="array" ref="EB14">IFERROR(IF(SUMPRODUCT((INPUT!$T$3:$T$3000=46051)*(INPUT!$U$3:$U$3000="OSCAR"))=0,"",SUMPRODUCT((INPUT!$T$3:$T$3000=46051)*(INPUT!$U$3:$U$3000="OSCAR")*(INPUT!$V$3:$V$3000+INPUT!$W$3:$W$3000+INPUT!$X$3:$X$3000+INPUT!$Y$3:$Y$3000))),"")</f>
        <v/>
      </c>
      <c r="EC14" s="42" t="str" cm="1">
        <f t="array" ref="EC14">IFERROR(IF(SUMPRODUCT((INPUT!$T$3:$T$3000=46052)*(INPUT!$U$3:$U$3000="OSCAR"))=0,"",SUMPRODUCT((INPUT!$T$3:$T$3000=46052)*(INPUT!$U$3:$U$3000="OSCAR")*(INPUT!$V$3:$V$3000+INPUT!$W$3:$W$3000+INPUT!$X$3:$X$3000+INPUT!$Y$3:$Y$3000))),"")</f>
        <v/>
      </c>
      <c r="ED14" s="42" t="str" cm="1">
        <f t="array" ref="ED14">IFERROR(IF(SUMPRODUCT((INPUT!$T$3:$T$3000=46055)*(INPUT!$U$3:$U$3000="OSCAR"))=0,"",SUMPRODUCT((INPUT!$T$3:$T$3000=46055)*(INPUT!$U$3:$U$3000="OSCAR")*(INPUT!$V$3:$V$3000+INPUT!$W$3:$W$3000+INPUT!$X$3:$X$3000+INPUT!$Y$3:$Y$3000))),"")</f>
        <v/>
      </c>
      <c r="EE14" s="42" t="str" cm="1">
        <f t="array" ref="EE14">IFERROR(IF(SUMPRODUCT((INPUT!$T$3:$T$3000=46056)*(INPUT!$U$3:$U$3000="OSCAR"))=0,"",SUMPRODUCT((INPUT!$T$3:$T$3000=46056)*(INPUT!$U$3:$U$3000="OSCAR")*(INPUT!$V$3:$V$3000+INPUT!$W$3:$W$3000+INPUT!$X$3:$X$3000+INPUT!$Y$3:$Y$3000))),"")</f>
        <v/>
      </c>
      <c r="EF14" s="42" t="str" cm="1">
        <f t="array" ref="EF14">IFERROR(IF(SUMPRODUCT((INPUT!$T$3:$T$3000=46057)*(INPUT!$U$3:$U$3000="OSCAR"))=0,"",SUMPRODUCT((INPUT!$T$3:$T$3000=46057)*(INPUT!$U$3:$U$3000="OSCAR")*(INPUT!$V$3:$V$3000+INPUT!$W$3:$W$3000+INPUT!$X$3:$X$3000+INPUT!$Y$3:$Y$3000))),"")</f>
        <v/>
      </c>
      <c r="EG14" s="42" t="str" cm="1">
        <f t="array" ref="EG14">IFERROR(IF(SUMPRODUCT((INPUT!$T$3:$T$3000=46058)*(INPUT!$U$3:$U$3000="OSCAR"))=0,"",SUMPRODUCT((INPUT!$T$3:$T$3000=46058)*(INPUT!$U$3:$U$3000="OSCAR")*(INPUT!$V$3:$V$3000+INPUT!$W$3:$W$3000+INPUT!$X$3:$X$3000+INPUT!$Y$3:$Y$3000))),"")</f>
        <v/>
      </c>
      <c r="EH14" s="42" t="str" cm="1">
        <f t="array" ref="EH14">IFERROR(IF(SUMPRODUCT((INPUT!$T$3:$T$3000=46059)*(INPUT!$U$3:$U$3000="OSCAR"))=0,"",SUMPRODUCT((INPUT!$T$3:$T$3000=46059)*(INPUT!$U$3:$U$3000="OSCAR")*(INPUT!$V$3:$V$3000+INPUT!$W$3:$W$3000+INPUT!$X$3:$X$3000+INPUT!$Y$3:$Y$3000))),"")</f>
        <v/>
      </c>
      <c r="EI14" s="42" t="str" cm="1">
        <f t="array" ref="EI14">IFERROR(IF(SUMPRODUCT((INPUT!$T$3:$T$3000=46061)*(INPUT!$U$3:$U$3000="OSCAR"))=0,"",SUMPRODUCT((INPUT!$T$3:$T$3000=46061)*(INPUT!$U$3:$U$3000="OSCAR")*(INPUT!$V$3:$V$3000+INPUT!$W$3:$W$3000+INPUT!$X$3:$X$3000+INPUT!$Y$3:$Y$3000))),"")</f>
        <v/>
      </c>
      <c r="EJ14" s="42" t="str" cm="1">
        <f t="array" ref="EJ14">IFERROR(IF(SUMPRODUCT((INPUT!$T$3:$T$3000=46062)*(INPUT!$U$3:$U$3000="OSCAR"))=0,"",SUMPRODUCT((INPUT!$T$3:$T$3000=46062)*(INPUT!$U$3:$U$3000="OSCAR")*(INPUT!$V$3:$V$3000+INPUT!$W$3:$W$3000+INPUT!$X$3:$X$3000+INPUT!$Y$3:$Y$3000))),"")</f>
        <v/>
      </c>
      <c r="EK14" s="42" t="str" cm="1">
        <f t="array" ref="EK14">IFERROR(IF(SUMPRODUCT((INPUT!$T$3:$T$3000=46063)*(INPUT!$U$3:$U$3000="OSCAR"))=0,"",SUMPRODUCT((INPUT!$T$3:$T$3000=46063)*(INPUT!$U$3:$U$3000="OSCAR")*(INPUT!$V$3:$V$3000+INPUT!$W$3:$W$3000+INPUT!$X$3:$X$3000+INPUT!$Y$3:$Y$3000))),"")</f>
        <v/>
      </c>
      <c r="EL14" s="42" t="str" cm="1">
        <f t="array" ref="EL14">IFERROR(IF(SUMPRODUCT((INPUT!$T$3:$T$3000=46064)*(INPUT!$U$3:$U$3000="OSCAR"))=0,"",SUMPRODUCT((INPUT!$T$3:$T$3000=46064)*(INPUT!$U$3:$U$3000="OSCAR")*(INPUT!$V$3:$V$3000+INPUT!$W$3:$W$3000+INPUT!$X$3:$X$3000+INPUT!$Y$3:$Y$3000))),"")</f>
        <v/>
      </c>
      <c r="EM14" s="42" t="str" cm="1">
        <f t="array" ref="EM14">IFERROR(IF(SUMPRODUCT((INPUT!$T$3:$T$3000=46065)*(INPUT!$U$3:$U$3000="OSCAR"))=0,"",SUMPRODUCT((INPUT!$T$3:$T$3000=46065)*(INPUT!$U$3:$U$3000="OSCAR")*(INPUT!$V$3:$V$3000+INPUT!$W$3:$W$3000+INPUT!$X$3:$X$3000+INPUT!$Y$3:$Y$3000))),"")</f>
        <v/>
      </c>
      <c r="EN14" s="42" t="str" cm="1">
        <f t="array" ref="EN14">IFERROR(IF(SUMPRODUCT((INPUT!$T$3:$T$3000=46066)*(INPUT!$U$3:$U$3000="OSCAR"))=0,"",SUMPRODUCT((INPUT!$T$3:$T$3000=46066)*(INPUT!$U$3:$U$3000="OSCAR")*(INPUT!$V$3:$V$3000+INPUT!$W$3:$W$3000+INPUT!$X$3:$X$3000+INPUT!$Y$3:$Y$3000))),"")</f>
        <v/>
      </c>
      <c r="EO14" s="42" t="str" cm="1">
        <f t="array" ref="EO14">IFERROR(IF(SUMPRODUCT((INPUT!$T$3:$T$3000=46067)*(INPUT!$U$3:$U$3000="OSCAR"))=0,"",SUMPRODUCT((INPUT!$T$3:$T$3000=46067)*(INPUT!$U$3:$U$3000="OSCAR")*(INPUT!$V$3:$V$3000+INPUT!$W$3:$W$3000+INPUT!$X$3:$X$3000+INPUT!$Y$3:$Y$3000))),"")</f>
        <v/>
      </c>
      <c r="EP14" s="42" t="str" cm="1">
        <f t="array" ref="EP14">IFERROR(IF(SUMPRODUCT((INPUT!$T$3:$T$3000=46069)*(INPUT!$U$3:$U$3000="OSCAR"))=0,"",SUMPRODUCT((INPUT!$T$3:$T$3000=46069)*(INPUT!$U$3:$U$3000="OSCAR")*(INPUT!$V$3:$V$3000+INPUT!$W$3:$W$3000+INPUT!$X$3:$X$3000+INPUT!$Y$3:$Y$3000))),"")</f>
        <v/>
      </c>
      <c r="EQ14" s="42" t="str" cm="1">
        <f t="array" ref="EQ14">IFERROR(IF(SUMPRODUCT((INPUT!$T$3:$T$3000=46072)*(INPUT!$U$3:$U$3000="OSCAR"))=0,"",SUMPRODUCT((INPUT!$T$3:$T$3000=46072)*(INPUT!$U$3:$U$3000="OSCAR")*(INPUT!$V$3:$V$3000+INPUT!$W$3:$W$3000+INPUT!$X$3:$X$3000+INPUT!$Y$3:$Y$3000))),"")</f>
        <v/>
      </c>
      <c r="ER14" s="42" t="str" cm="1">
        <f t="array" ref="ER14">IFERROR(IF(SUMPRODUCT((INPUT!$T$3:$T$3000=46073)*(INPUT!$U$3:$U$3000="OSCAR"))=0,"",SUMPRODUCT((INPUT!$T$3:$T$3000=46073)*(INPUT!$U$3:$U$3000="OSCAR")*(INPUT!$V$3:$V$3000+INPUT!$W$3:$W$3000+INPUT!$X$3:$X$3000+INPUT!$Y$3:$Y$3000))),"")</f>
        <v/>
      </c>
      <c r="ES14" s="42" t="str" cm="1">
        <f t="array" ref="ES14">IFERROR(IF(SUMPRODUCT((INPUT!$T$3:$T$3000=46076)*(INPUT!$U$3:$U$3000="OSCAR"))=0,"",SUMPRODUCT((INPUT!$T$3:$T$3000=46076)*(INPUT!$U$3:$U$3000="OSCAR")*(INPUT!$V$3:$V$3000+INPUT!$W$3:$W$3000+INPUT!$X$3:$X$3000+INPUT!$Y$3:$Y$3000))),"")</f>
        <v/>
      </c>
      <c r="ET14" s="42" t="str" cm="1">
        <f t="array" ref="ET14">IFERROR(IF(SUMPRODUCT((INPUT!$T$3:$T$3000=46077)*(INPUT!$U$3:$U$3000="OSCAR"))=0,"",SUMPRODUCT((INPUT!$T$3:$T$3000=46077)*(INPUT!$U$3:$U$3000="OSCAR")*(INPUT!$V$3:$V$3000+INPUT!$W$3:$W$3000+INPUT!$X$3:$X$3000+INPUT!$Y$3:$Y$3000))),"")</f>
        <v/>
      </c>
      <c r="EU14" s="42" t="str" cm="1">
        <f t="array" ref="EU14">IFERROR(IF(SUMPRODUCT((INPUT!$T$3:$T$3000=46078)*(INPUT!$U$3:$U$3000="OSCAR"))=0,"",SUMPRODUCT((INPUT!$T$3:$T$3000=46078)*(INPUT!$U$3:$U$3000="OSCAR")*(INPUT!$V$3:$V$3000+INPUT!$W$3:$W$3000+INPUT!$X$3:$X$3000+INPUT!$Y$3:$Y$3000))),"")</f>
        <v/>
      </c>
      <c r="EV14" s="42" t="str" cm="1">
        <f t="array" ref="EV14">IFERROR(IF(SUMPRODUCT((INPUT!$T$3:$T$3000=46079)*(INPUT!$U$3:$U$3000="OSCAR"))=0,"",SUMPRODUCT((INPUT!$T$3:$T$3000=46079)*(INPUT!$U$3:$U$3000="OSCAR")*(INPUT!$V$3:$V$3000+INPUT!$W$3:$W$3000+INPUT!$X$3:$X$3000+INPUT!$Y$3:$Y$3000))),"")</f>
        <v/>
      </c>
      <c r="EW14" s="42" t="str" cm="1">
        <f t="array" ref="EW14">IFERROR(IF(SUMPRODUCT((INPUT!$T$3:$T$3000=46080)*(INPUT!$U$3:$U$3000="OSCAR"))=0,"",SUMPRODUCT((INPUT!$T$3:$T$3000=46080)*(INPUT!$U$3:$U$3000="OSCAR")*(INPUT!$V$3:$V$3000+INPUT!$W$3:$W$3000+INPUT!$X$3:$X$3000+INPUT!$Y$3:$Y$3000))),"")</f>
        <v/>
      </c>
      <c r="EX14" s="42" t="str" cm="1">
        <f t="array" ref="EX14">IFERROR(IF(SUMPRODUCT((INPUT!$T$3:$T$3000=46082)*(INPUT!$U$3:$U$3000="OSCAR"))=0,"",SUMPRODUCT((INPUT!$T$3:$T$3000=46082)*(INPUT!$U$3:$U$3000="OSCAR")*(INPUT!$V$3:$V$3000+INPUT!$W$3:$W$3000+INPUT!$X$3:$X$3000+INPUT!$Y$3:$Y$3000))),"")</f>
        <v/>
      </c>
      <c r="EY14" s="42" t="str" cm="1">
        <f t="array" ref="EY14">IFERROR(IF(SUMPRODUCT((INPUT!$T$3:$T$3000=46084)*(INPUT!$U$3:$U$3000="OSCAR"))=0,"",SUMPRODUCT((INPUT!$T$3:$T$3000=46084)*(INPUT!$U$3:$U$3000="OSCAR")*(INPUT!$V$3:$V$3000+INPUT!$W$3:$W$3000+INPUT!$X$3:$X$3000+INPUT!$Y$3:$Y$3000))),"")</f>
        <v/>
      </c>
      <c r="EZ14" s="42" t="str" cm="1">
        <f t="array" ref="EZ14">IFERROR(IF(SUMPRODUCT((INPUT!$T$3:$T$3000=46085)*(INPUT!$U$3:$U$3000="OSCAR"))=0,"",SUMPRODUCT((INPUT!$T$3:$T$3000=46085)*(INPUT!$U$3:$U$3000="OSCAR")*(INPUT!$V$3:$V$3000+INPUT!$W$3:$W$3000+INPUT!$X$3:$X$3000+INPUT!$Y$3:$Y$3000))),"")</f>
        <v/>
      </c>
      <c r="FA14" s="42" t="str" cm="1">
        <f t="array" ref="FA14">IFERROR(IF(SUMPRODUCT((INPUT!$T$3:$T$3000=46086)*(INPUT!$U$3:$U$3000="OSCAR"))=0,"",SUMPRODUCT((INPUT!$T$3:$T$3000=46086)*(INPUT!$U$3:$U$3000="OSCAR")*(INPUT!$V$3:$V$3000+INPUT!$W$3:$W$3000+INPUT!$X$3:$X$3000+INPUT!$Y$3:$Y$3000))),"")</f>
        <v/>
      </c>
      <c r="FB14" s="42" t="str" cm="1">
        <f t="array" ref="FB14">IFERROR(IF(SUMPRODUCT((INPUT!$T$3:$T$3000=46087)*(INPUT!$U$3:$U$3000="OSCAR"))=0,"",SUMPRODUCT((INPUT!$T$3:$T$3000=46087)*(INPUT!$U$3:$U$3000="OSCAR")*(INPUT!$V$3:$V$3000+INPUT!$W$3:$W$3000+INPUT!$X$3:$X$3000+INPUT!$Y$3:$Y$3000))),"")</f>
        <v/>
      </c>
      <c r="FC14" s="42" t="str" cm="1">
        <f t="array" ref="FC14">IFERROR(IF(SUMPRODUCT((INPUT!$T$3:$T$3000=46090)*(INPUT!$U$3:$U$3000="OSCAR"))=0,"",SUMPRODUCT((INPUT!$T$3:$T$3000=46090)*(INPUT!$U$3:$U$3000="OSCAR")*(INPUT!$V$3:$V$3000+INPUT!$W$3:$W$3000+INPUT!$X$3:$X$3000+INPUT!$Y$3:$Y$3000))),"")</f>
        <v/>
      </c>
      <c r="FD14" s="42" t="str" cm="1">
        <f t="array" ref="FD14">IFERROR(IF(SUMPRODUCT((INPUT!$T$3:$T$3000=46091)*(INPUT!$U$3:$U$3000="OSCAR"))=0,"",SUMPRODUCT((INPUT!$T$3:$T$3000=46091)*(INPUT!$U$3:$U$3000="OSCAR")*(INPUT!$V$3:$V$3000+INPUT!$W$3:$W$3000+INPUT!$X$3:$X$3000+INPUT!$Y$3:$Y$3000))),"")</f>
        <v/>
      </c>
      <c r="FE14" s="42" t="str" cm="1">
        <f t="array" ref="FE14">IFERROR(IF(SUMPRODUCT((INPUT!$T$3:$T$3000=46092)*(INPUT!$U$3:$U$3000="OSCAR"))=0,"",SUMPRODUCT((INPUT!$T$3:$T$3000=46092)*(INPUT!$U$3:$U$3000="OSCAR")*(INPUT!$V$3:$V$3000+INPUT!$W$3:$W$3000+INPUT!$X$3:$X$3000+INPUT!$Y$3:$Y$3000))),"")</f>
        <v/>
      </c>
      <c r="FF14" s="42" t="str" cm="1">
        <f t="array" ref="FF14">IFERROR(IF(SUMPRODUCT((INPUT!$T$3:$T$3000=46093)*(INPUT!$U$3:$U$3000="OSCAR"))=0,"",SUMPRODUCT((INPUT!$T$3:$T$3000=46093)*(INPUT!$U$3:$U$3000="OSCAR")*(INPUT!$V$3:$V$3000+INPUT!$W$3:$W$3000+INPUT!$X$3:$X$3000+INPUT!$Y$3:$Y$3000))),"")</f>
        <v/>
      </c>
      <c r="FG14" s="42" t="str" cm="1">
        <f t="array" ref="FG14">IFERROR(IF(SUMPRODUCT((INPUT!$T$3:$T$3000=46094)*(INPUT!$U$3:$U$3000="OSCAR"))=0,"",SUMPRODUCT((INPUT!$T$3:$T$3000=46094)*(INPUT!$U$3:$U$3000="OSCAR")*(INPUT!$V$3:$V$3000+INPUT!$W$3:$W$3000+INPUT!$X$3:$X$3000+INPUT!$Y$3:$Y$3000))),"")</f>
        <v/>
      </c>
      <c r="FH14" s="42" t="str" cm="1">
        <f t="array" ref="FH14">IFERROR(IF(SUMPRODUCT((INPUT!$T$3:$T$3000=46096)*(INPUT!$U$3:$U$3000="OSCAR"))=0,"",SUMPRODUCT((INPUT!$T$3:$T$3000=46096)*(INPUT!$U$3:$U$3000="OSCAR")*(INPUT!$V$3:$V$3000+INPUT!$W$3:$W$3000+INPUT!$X$3:$X$3000+INPUT!$Y$3:$Y$3000))),"")</f>
        <v/>
      </c>
      <c r="FI14" s="42" t="str" cm="1">
        <f t="array" ref="FI14">IFERROR(IF(SUMPRODUCT((INPUT!$T$3:$T$3000=46097)*(INPUT!$U$3:$U$3000="OSCAR"))=0,"",SUMPRODUCT((INPUT!$T$3:$T$3000=46097)*(INPUT!$U$3:$U$3000="OSCAR")*(INPUT!$V$3:$V$3000+INPUT!$W$3:$W$3000+INPUT!$X$3:$X$3000+INPUT!$Y$3:$Y$3000))),"")</f>
        <v/>
      </c>
      <c r="FJ14" s="42" t="str" cm="1">
        <f t="array" ref="FJ14">IFERROR(IF(SUMPRODUCT((INPUT!$T$3:$T$3000=46098)*(INPUT!$U$3:$U$3000="OSCAR"))=0,"",SUMPRODUCT((INPUT!$T$3:$T$3000=46098)*(INPUT!$U$3:$U$3000="OSCAR")*(INPUT!$V$3:$V$3000+INPUT!$W$3:$W$3000+INPUT!$X$3:$X$3000+INPUT!$Y$3:$Y$3000))),"")</f>
        <v/>
      </c>
      <c r="FK14" s="42" t="str" cm="1">
        <f t="array" ref="FK14">IFERROR(IF(SUMPRODUCT((INPUT!$T$3:$T$3000=46099)*(INPUT!$U$3:$U$3000="OSCAR"))=0,"",SUMPRODUCT((INPUT!$T$3:$T$3000=46099)*(INPUT!$U$3:$U$3000="OSCAR")*(INPUT!$V$3:$V$3000+INPUT!$W$3:$W$3000+INPUT!$X$3:$X$3000+INPUT!$Y$3:$Y$3000))),"")</f>
        <v/>
      </c>
      <c r="FL14" s="42" t="str" cm="1">
        <f t="array" ref="FL14">IFERROR(IF(SUMPRODUCT((INPUT!$T$3:$T$3000=46102)*(INPUT!$U$3:$U$3000="OSCAR"))=0,"",SUMPRODUCT((INPUT!$T$3:$T$3000=46102)*(INPUT!$U$3:$U$3000="OSCAR")*(INPUT!$V$3:$V$3000+INPUT!$W$3:$W$3000+INPUT!$X$3:$X$3000+INPUT!$Y$3:$Y$3000))),"")</f>
        <v/>
      </c>
      <c r="FM14" s="42" t="str" cm="1">
        <f t="array" ref="FM14">IFERROR(IF(SUMPRODUCT((INPUT!$T$3:$T$3000=46105)*(INPUT!$U$3:$U$3000="OSCAR"))=0,"",SUMPRODUCT((INPUT!$T$3:$T$3000=46105)*(INPUT!$U$3:$U$3000="OSCAR")*(INPUT!$V$3:$V$3000+INPUT!$W$3:$W$3000+INPUT!$X$3:$X$3000+INPUT!$Y$3:$Y$3000))),"")</f>
        <v/>
      </c>
      <c r="FN14" s="42" t="str" cm="1">
        <f t="array" ref="FN14">IFERROR(IF(SUMPRODUCT((INPUT!$T$3:$T$3000=46106)*(INPUT!$U$3:$U$3000="OSCAR"))=0,"",SUMPRODUCT((INPUT!$T$3:$T$3000=46106)*(INPUT!$U$3:$U$3000="OSCAR")*(INPUT!$V$3:$V$3000+INPUT!$W$3:$W$3000+INPUT!$X$3:$X$3000+INPUT!$Y$3:$Y$3000))),"")</f>
        <v/>
      </c>
      <c r="FO14" s="42" t="str" cm="1">
        <f t="array" ref="FO14">IFERROR(IF(SUMPRODUCT((INPUT!$T$3:$T$3000=46107)*(INPUT!$U$3:$U$3000="OSCAR"))=0,"",SUMPRODUCT((INPUT!$T$3:$T$3000=46107)*(INPUT!$U$3:$U$3000="OSCAR")*(INPUT!$V$3:$V$3000+INPUT!$W$3:$W$3000+INPUT!$X$3:$X$3000+INPUT!$Y$3:$Y$3000))),"")</f>
        <v/>
      </c>
      <c r="FP14" s="42" t="str" cm="1">
        <f t="array" ref="FP14">IFERROR(IF(SUMPRODUCT((INPUT!$T$3:$T$3000=46108)*(INPUT!$U$3:$U$3000="OSCAR"))=0,"",SUMPRODUCT((INPUT!$T$3:$T$3000=46108)*(INPUT!$U$3:$U$3000="OSCAR")*(INPUT!$V$3:$V$3000+INPUT!$W$3:$W$3000+INPUT!$X$3:$X$3000+INPUT!$Y$3:$Y$3000))),"")</f>
        <v/>
      </c>
      <c r="FQ14" s="42" t="str" cm="1">
        <f t="array" ref="FQ14">IFERROR(IF(SUMPRODUCT((INPUT!$T$3:$T$3000=46109)*(INPUT!$U$3:$U$3000="OSCAR"))=0,"",SUMPRODUCT((INPUT!$T$3:$T$3000=46109)*(INPUT!$U$3:$U$3000="OSCAR")*(INPUT!$V$3:$V$3000+INPUT!$W$3:$W$3000+INPUT!$X$3:$X$3000+INPUT!$Y$3:$Y$3000))),"")</f>
        <v/>
      </c>
      <c r="FR14" s="42" t="str" cm="1">
        <f t="array" ref="FR14">IFERROR(IF(SUMPRODUCT((INPUT!$T$3:$T$3000=46111)*(INPUT!$U$3:$U$3000="OSCAR"))=0,"",SUMPRODUCT((INPUT!$T$3:$T$3000=46111)*(INPUT!$U$3:$U$3000="OSCAR")*(INPUT!$V$3:$V$3000+INPUT!$W$3:$W$3000+INPUT!$X$3:$X$3000+INPUT!$Y$3:$Y$3000))),"")</f>
        <v/>
      </c>
      <c r="FS14" s="42" t="str" cm="1">
        <f t="array" ref="FS14">IFERROR(IF(SUMPRODUCT((INPUT!$T$3:$T$3000=46112)*(INPUT!$U$3:$U$3000="OSCAR"))=0,"",SUMPRODUCT((INPUT!$T$3:$T$3000=46112)*(INPUT!$U$3:$U$3000="OSCAR")*(INPUT!$V$3:$V$3000+INPUT!$W$3:$W$3000+INPUT!$X$3:$X$3000+INPUT!$Y$3:$Y$3000))),"")</f>
        <v/>
      </c>
      <c r="FT14" s="42" t="str" cm="1">
        <f t="array" ref="FT14">IFERROR(IF(SUMPRODUCT((INPUT!$T$3:$T$3000=46113)*(INPUT!$U$3:$U$3000="OSCAR"))=0,"",SUMPRODUCT((INPUT!$T$3:$T$3000=46113)*(INPUT!$U$3:$U$3000="OSCAR")*(INPUT!$V$3:$V$3000+INPUT!$W$3:$W$3000+INPUT!$X$3:$X$3000+INPUT!$Y$3:$Y$3000))),"")</f>
        <v/>
      </c>
      <c r="FU14" s="42" t="str" cm="1">
        <f t="array" ref="FU14">IFERROR(IF(SUMPRODUCT((INPUT!$T$3:$T$3000=46114)*(INPUT!$U$3:$U$3000="OSCAR"))=0,"",SUMPRODUCT((INPUT!$T$3:$T$3000=46114)*(INPUT!$U$3:$U$3000="OSCAR")*(INPUT!$V$3:$V$3000+INPUT!$W$3:$W$3000+INPUT!$X$3:$X$3000+INPUT!$Y$3:$Y$3000))),"")</f>
        <v/>
      </c>
      <c r="FV14" s="42" t="str" cm="1">
        <f t="array" ref="FV14">IFERROR(IF(SUMPRODUCT((INPUT!$T$3:$T$3000=46115)*(INPUT!$U$3:$U$3000="OSCAR"))=0,"",SUMPRODUCT((INPUT!$T$3:$T$3000=46115)*(INPUT!$U$3:$U$3000="OSCAR")*(INPUT!$V$3:$V$3000+INPUT!$W$3:$W$3000+INPUT!$X$3:$X$3000+INPUT!$Y$3:$Y$3000))),"")</f>
        <v/>
      </c>
      <c r="FW14" s="42" t="str" cm="1">
        <f t="array" ref="FW14">IFERROR(IF(SUMPRODUCT((INPUT!$T$3:$T$3000=46116)*(INPUT!$U$3:$U$3000="OSCAR"))=0,"",SUMPRODUCT((INPUT!$T$3:$T$3000=46116)*(INPUT!$U$3:$U$3000="OSCAR")*(INPUT!$V$3:$V$3000+INPUT!$W$3:$W$3000+INPUT!$X$3:$X$3000+INPUT!$Y$3:$Y$3000))),"")</f>
        <v/>
      </c>
      <c r="FX14" s="42" t="str" cm="1">
        <f t="array" ref="FX14">IFERROR(IF(SUMPRODUCT((INPUT!$T$3:$T$3000=46118)*(INPUT!$U$3:$U$3000="OSCAR"))=0,"",SUMPRODUCT((INPUT!$T$3:$T$3000=46118)*(INPUT!$U$3:$U$3000="OSCAR")*(INPUT!$V$3:$V$3000+INPUT!$W$3:$W$3000+INPUT!$X$3:$X$3000+INPUT!$Y$3:$Y$3000))),"")</f>
        <v/>
      </c>
      <c r="FY14" s="42" t="str" cm="1">
        <f t="array" ref="FY14">IFERROR(IF(SUMPRODUCT((INPUT!$T$3:$T$3000=46119)*(INPUT!$U$3:$U$3000="OSCAR"))=0,"",SUMPRODUCT((INPUT!$T$3:$T$3000=46119)*(INPUT!$U$3:$U$3000="OSCAR")*(INPUT!$V$3:$V$3000+INPUT!$W$3:$W$3000+INPUT!$X$3:$X$3000+INPUT!$Y$3:$Y$3000))),"")</f>
        <v/>
      </c>
      <c r="FZ14" s="42" t="str" cm="1">
        <f t="array" ref="FZ14">IFERROR(IF(SUMPRODUCT((INPUT!$T$3:$T$3000=46120)*(INPUT!$U$3:$U$3000="OSCAR"))=0,"",SUMPRODUCT((INPUT!$T$3:$T$3000=46120)*(INPUT!$U$3:$U$3000="OSCAR")*(INPUT!$V$3:$V$3000+INPUT!$W$3:$W$3000+INPUT!$X$3:$X$3000+INPUT!$Y$3:$Y$3000))),"")</f>
        <v/>
      </c>
      <c r="GA14" s="42" t="str" cm="1">
        <f t="array" ref="GA14">IFERROR(IF(SUMPRODUCT((INPUT!$T$3:$T$3000=46121)*(INPUT!$U$3:$U$3000="OSCAR"))=0,"",SUMPRODUCT((INPUT!$T$3:$T$3000=46121)*(INPUT!$U$3:$U$3000="OSCAR")*(INPUT!$V$3:$V$3000+INPUT!$W$3:$W$3000+INPUT!$X$3:$X$3000+INPUT!$Y$3:$Y$3000))),"")</f>
        <v/>
      </c>
      <c r="GB14" s="42" t="str" cm="1">
        <f t="array" ref="GB14">IFERROR(IF(SUMPRODUCT((INPUT!$T$3:$T$3000=46122)*(INPUT!$U$3:$U$3000="OSCAR"))=0,"",SUMPRODUCT((INPUT!$T$3:$T$3000=46122)*(INPUT!$U$3:$U$3000="OSCAR")*(INPUT!$V$3:$V$3000+INPUT!$W$3:$W$3000+INPUT!$X$3:$X$3000+INPUT!$Y$3:$Y$3000))),"")</f>
        <v/>
      </c>
      <c r="GC14" s="42" t="str" cm="1">
        <f t="array" ref="GC14">IFERROR(IF(SUMPRODUCT((INPUT!$T$3:$T$3000=46125)*(INPUT!$U$3:$U$3000="OSCAR"))=0,"",SUMPRODUCT((INPUT!$T$3:$T$3000=46125)*(INPUT!$U$3:$U$3000="OSCAR")*(INPUT!$V$3:$V$3000+INPUT!$W$3:$W$3000+INPUT!$X$3:$X$3000+INPUT!$Y$3:$Y$3000))),"")</f>
        <v/>
      </c>
      <c r="GD14" s="42" t="str" cm="1">
        <f t="array" ref="GD14">IFERROR(IF(SUMPRODUCT((INPUT!$T$3:$T$3000=46126)*(INPUT!$U$3:$U$3000="OSCAR"))=0,"",SUMPRODUCT((INPUT!$T$3:$T$3000=46126)*(INPUT!$U$3:$U$3000="OSCAR")*(INPUT!$V$3:$V$3000+INPUT!$W$3:$W$3000+INPUT!$X$3:$X$3000+INPUT!$Y$3:$Y$3000))),"")</f>
        <v/>
      </c>
      <c r="GE14" s="42" t="str" cm="1">
        <f t="array" ref="GE14">IFERROR(IF(SUMPRODUCT((INPUT!$T$3:$T$3000=46127)*(INPUT!$U$3:$U$3000="OSCAR"))=0,"",SUMPRODUCT((INPUT!$T$3:$T$3000=46127)*(INPUT!$U$3:$U$3000="OSCAR")*(INPUT!$V$3:$V$3000+INPUT!$W$3:$W$3000+INPUT!$X$3:$X$3000+INPUT!$Y$3:$Y$3000))),"")</f>
        <v/>
      </c>
      <c r="GF14" s="42" t="str" cm="1">
        <f t="array" ref="GF14">IFERROR(IF(SUMPRODUCT((INPUT!$T$3:$T$3000=46128)*(INPUT!$U$3:$U$3000="OSCAR"))=0,"",SUMPRODUCT((INPUT!$T$3:$T$3000=46128)*(INPUT!$U$3:$U$3000="OSCAR")*(INPUT!$V$3:$V$3000+INPUT!$W$3:$W$3000+INPUT!$X$3:$X$3000+INPUT!$Y$3:$Y$3000))),"")</f>
        <v/>
      </c>
      <c r="GG14" s="42" t="str" cm="1">
        <f t="array" ref="GG14">IFERROR(IF(SUMPRODUCT((INPUT!$T$3:$T$3000=46129)*(INPUT!$U$3:$U$3000="OSCAR"))=0,"",SUMPRODUCT((INPUT!$T$3:$T$3000=46129)*(INPUT!$U$3:$U$3000="OSCAR")*(INPUT!$V$3:$V$3000+INPUT!$W$3:$W$3000+INPUT!$X$3:$X$3000+INPUT!$Y$3:$Y$3000))),"")</f>
        <v/>
      </c>
      <c r="GH14" s="42" t="str" cm="1">
        <f t="array" ref="GH14">IFERROR(IF(SUMPRODUCT((INPUT!$T$3:$T$3000=46130)*(INPUT!$U$3:$U$3000="OSCAR"))=0,"",SUMPRODUCT((INPUT!$T$3:$T$3000=46130)*(INPUT!$U$3:$U$3000="OSCAR")*(INPUT!$V$3:$V$3000+INPUT!$W$3:$W$3000+INPUT!$X$3:$X$3000+INPUT!$Y$3:$Y$3000))),"")</f>
        <v/>
      </c>
      <c r="GI14" s="42" t="str" cm="1">
        <f t="array" ref="GI14">IFERROR(IF(SUMPRODUCT((INPUT!$T$3:$T$3000=46132)*(INPUT!$U$3:$U$3000="OSCAR"))=0,"",SUMPRODUCT((INPUT!$T$3:$T$3000=46132)*(INPUT!$U$3:$U$3000="OSCAR")*(INPUT!$V$3:$V$3000+INPUT!$W$3:$W$3000+INPUT!$X$3:$X$3000+INPUT!$Y$3:$Y$3000))),"")</f>
        <v/>
      </c>
    </row>
    <row r="15" spans="1:191" x14ac:dyDescent="0.2">
      <c r="A15" t="s">
        <v>50</v>
      </c>
      <c r="B15" s="42" cm="1">
        <f t="array" ref="B15">IFERROR(IF(SUMPRODUCT((INPUT!$T$3:$T$3000=45868)*(INPUT!$U$3:$U$3000="PANI"))=0,"",SUMPRODUCT((INPUT!$T$3:$T$3000=45868)*(INPUT!$U$3:$U$3000="PANI")*(INPUT!$V$3:$V$3000+INPUT!$W$3:$W$3000+INPUT!$X$3:$X$3000+INPUT!$Y$3:$Y$3000))),"")</f>
        <v>18</v>
      </c>
      <c r="C15" s="42" cm="1">
        <f t="array" ref="C15">IFERROR(IF(SUMPRODUCT((INPUT!$T$3:$T$3000=45869)*(INPUT!$U$3:$U$3000="PANI"))=0,"",SUMPRODUCT((INPUT!$T$3:$T$3000=45869)*(INPUT!$U$3:$U$3000="PANI")*(INPUT!$V$3:$V$3000+INPUT!$W$3:$W$3000+INPUT!$X$3:$X$3000+INPUT!$Y$3:$Y$3000))),"")</f>
        <v>15</v>
      </c>
      <c r="D15" s="42" cm="1">
        <f t="array" ref="D15">IFERROR(IF(SUMPRODUCT((INPUT!$T$3:$T$3000=45870)*(INPUT!$U$3:$U$3000="PANI"))=0,"",SUMPRODUCT((INPUT!$T$3:$T$3000=45870)*(INPUT!$U$3:$U$3000="PANI")*(INPUT!$V$3:$V$3000+INPUT!$W$3:$W$3000+INPUT!$X$3:$X$3000+INPUT!$Y$3:$Y$3000))),"")</f>
        <v>11</v>
      </c>
      <c r="E15" s="42" cm="1">
        <f t="array" ref="E15">IFERROR(IF(SUMPRODUCT((INPUT!$T$3:$T$3000=45873)*(INPUT!$U$3:$U$3000="PANI"))=0,"",SUMPRODUCT((INPUT!$T$3:$T$3000=45873)*(INPUT!$U$3:$U$3000="PANI")*(INPUT!$V$3:$V$3000+INPUT!$W$3:$W$3000+INPUT!$X$3:$X$3000+INPUT!$Y$3:$Y$3000))),"")</f>
        <v>16</v>
      </c>
      <c r="F15" s="42" cm="1">
        <f t="array" ref="F15">IFERROR(IF(SUMPRODUCT((INPUT!$T$3:$T$3000=45874)*(INPUT!$U$3:$U$3000="PANI"))=0,"",SUMPRODUCT((INPUT!$T$3:$T$3000=45874)*(INPUT!$U$3:$U$3000="PANI")*(INPUT!$V$3:$V$3000+INPUT!$W$3:$W$3000+INPUT!$X$3:$X$3000+INPUT!$Y$3:$Y$3000))),"")</f>
        <v>14</v>
      </c>
      <c r="G15" s="42" cm="1">
        <f t="array" ref="G15">IFERROR(IF(SUMPRODUCT((INPUT!$T$3:$T$3000=45875)*(INPUT!$U$3:$U$3000="PANI"))=0,"",SUMPRODUCT((INPUT!$T$3:$T$3000=45875)*(INPUT!$U$3:$U$3000="PANI")*(INPUT!$V$3:$V$3000+INPUT!$W$3:$W$3000+INPUT!$X$3:$X$3000+INPUT!$Y$3:$Y$3000))),"")</f>
        <v>13</v>
      </c>
      <c r="H15" s="42" cm="1">
        <f t="array" ref="H15">IFERROR(IF(SUMPRODUCT((INPUT!$T$3:$T$3000=45876)*(INPUT!$U$3:$U$3000="PANI"))=0,"",SUMPRODUCT((INPUT!$T$3:$T$3000=45876)*(INPUT!$U$3:$U$3000="PANI")*(INPUT!$V$3:$V$3000+INPUT!$W$3:$W$3000+INPUT!$X$3:$X$3000+INPUT!$Y$3:$Y$3000))),"")</f>
        <v>15</v>
      </c>
      <c r="I15" s="42" cm="1">
        <f t="array" ref="I15">IFERROR(IF(SUMPRODUCT((INPUT!$T$3:$T$3000=45877)*(INPUT!$U$3:$U$3000="PANI"))=0,"",SUMPRODUCT((INPUT!$T$3:$T$3000=45877)*(INPUT!$U$3:$U$3000="PANI")*(INPUT!$V$3:$V$3000+INPUT!$W$3:$W$3000+INPUT!$X$3:$X$3000+INPUT!$Y$3:$Y$3000))),"")</f>
        <v>17</v>
      </c>
      <c r="J15" s="42" cm="1">
        <f t="array" ref="J15">IFERROR(IF(SUMPRODUCT((INPUT!$T$3:$T$3000=45878)*(INPUT!$U$3:$U$3000="PANI"))=0,"",SUMPRODUCT((INPUT!$T$3:$T$3000=45878)*(INPUT!$U$3:$U$3000="PANI")*(INPUT!$V$3:$V$3000+INPUT!$W$3:$W$3000+INPUT!$X$3:$X$3000+INPUT!$Y$3:$Y$3000))),"")</f>
        <v>17</v>
      </c>
      <c r="K15" s="42" cm="1">
        <f t="array" ref="K15">IFERROR(IF(SUMPRODUCT((INPUT!$T$3:$T$3000=45880)*(INPUT!$U$3:$U$3000="PANI"))=0,"",SUMPRODUCT((INPUT!$T$3:$T$3000=45880)*(INPUT!$U$3:$U$3000="PANI")*(INPUT!$V$3:$V$3000+INPUT!$W$3:$W$3000+INPUT!$X$3:$X$3000+INPUT!$Y$3:$Y$3000))),"")</f>
        <v>16</v>
      </c>
      <c r="L15" s="42" cm="1">
        <f t="array" ref="L15">IFERROR(IF(SUMPRODUCT((INPUT!$T$3:$T$3000=45881)*(INPUT!$U$3:$U$3000="PANI"))=0,"",SUMPRODUCT((INPUT!$T$3:$T$3000=45881)*(INPUT!$U$3:$U$3000="PANI")*(INPUT!$V$3:$V$3000+INPUT!$W$3:$W$3000+INPUT!$X$3:$X$3000+INPUT!$Y$3:$Y$3000))),"")</f>
        <v>15</v>
      </c>
      <c r="M15" s="42" cm="1">
        <f t="array" ref="M15">IFERROR(IF(SUMPRODUCT((INPUT!$T$3:$T$3000=45882)*(INPUT!$U$3:$U$3000="PANI"))=0,"",SUMPRODUCT((INPUT!$T$3:$T$3000=45882)*(INPUT!$U$3:$U$3000="PANI")*(INPUT!$V$3:$V$3000+INPUT!$W$3:$W$3000+INPUT!$X$3:$X$3000+INPUT!$Y$3:$Y$3000))),"")</f>
        <v>14</v>
      </c>
      <c r="N15" s="42" cm="1">
        <f t="array" ref="N15">IFERROR(IF(SUMPRODUCT((INPUT!$T$3:$T$3000=45883)*(INPUT!$U$3:$U$3000="PANI"))=0,"",SUMPRODUCT((INPUT!$T$3:$T$3000=45883)*(INPUT!$U$3:$U$3000="PANI")*(INPUT!$V$3:$V$3000+INPUT!$W$3:$W$3000+INPUT!$X$3:$X$3000+INPUT!$Y$3:$Y$3000))),"")</f>
        <v>12</v>
      </c>
      <c r="O15" s="42" cm="1">
        <f t="array" ref="O15">IFERROR(IF(SUMPRODUCT((INPUT!$T$3:$T$3000=45884)*(INPUT!$U$3:$U$3000="PANI"))=0,"",SUMPRODUCT((INPUT!$T$3:$T$3000=45884)*(INPUT!$U$3:$U$3000="PANI")*(INPUT!$V$3:$V$3000+INPUT!$W$3:$W$3000+INPUT!$X$3:$X$3000+INPUT!$Y$3:$Y$3000))),"")</f>
        <v>16</v>
      </c>
      <c r="P15" s="42" cm="1">
        <f t="array" ref="P15">IFERROR(IF(SUMPRODUCT((INPUT!$T$3:$T$3000=45887)*(INPUT!$U$3:$U$3000="PANI"))=0,"",SUMPRODUCT((INPUT!$T$3:$T$3000=45887)*(INPUT!$U$3:$U$3000="PANI")*(INPUT!$V$3:$V$3000+INPUT!$W$3:$W$3000+INPUT!$X$3:$X$3000+INPUT!$Y$3:$Y$3000))),"")</f>
        <v>15</v>
      </c>
      <c r="Q15" s="42" cm="1">
        <f t="array" ref="Q15">IFERROR(IF(SUMPRODUCT((INPUT!$T$3:$T$3000=45888)*(INPUT!$U$3:$U$3000="PANI"))=0,"",SUMPRODUCT((INPUT!$T$3:$T$3000=45888)*(INPUT!$U$3:$U$3000="PANI")*(INPUT!$V$3:$V$3000+INPUT!$W$3:$W$3000+INPUT!$X$3:$X$3000+INPUT!$Y$3:$Y$3000))),"")</f>
        <v>15</v>
      </c>
      <c r="R15" s="42" cm="1">
        <f t="array" ref="R15">IFERROR(IF(SUMPRODUCT((INPUT!$T$3:$T$3000=45889)*(INPUT!$U$3:$U$3000="PANI"))=0,"",SUMPRODUCT((INPUT!$T$3:$T$3000=45889)*(INPUT!$U$3:$U$3000="PANI")*(INPUT!$V$3:$V$3000+INPUT!$W$3:$W$3000+INPUT!$X$3:$X$3000+INPUT!$Y$3:$Y$3000))),"")</f>
        <v>14</v>
      </c>
      <c r="S15" s="42" cm="1">
        <f t="array" ref="S15">IFERROR(IF(SUMPRODUCT((INPUT!$T$3:$T$3000=45890)*(INPUT!$U$3:$U$3000="PANI"))=0,"",SUMPRODUCT((INPUT!$T$3:$T$3000=45890)*(INPUT!$U$3:$U$3000="PANI")*(INPUT!$V$3:$V$3000+INPUT!$W$3:$W$3000+INPUT!$X$3:$X$3000+INPUT!$Y$3:$Y$3000))),"")</f>
        <v>15</v>
      </c>
      <c r="T15" s="42" cm="1">
        <f t="array" ref="T15">IFERROR(IF(SUMPRODUCT((INPUT!$T$3:$T$3000=45891)*(INPUT!$U$3:$U$3000="PANI"))=0,"",SUMPRODUCT((INPUT!$T$3:$T$3000=45891)*(INPUT!$U$3:$U$3000="PANI")*(INPUT!$V$3:$V$3000+INPUT!$W$3:$W$3000+INPUT!$X$3:$X$3000+INPUT!$Y$3:$Y$3000))),"")</f>
        <v>17</v>
      </c>
      <c r="U15" s="42" cm="1">
        <f t="array" ref="U15">IFERROR(IF(SUMPRODUCT((INPUT!$T$3:$T$3000=45892)*(INPUT!$U$3:$U$3000="PANI"))=0,"",SUMPRODUCT((INPUT!$T$3:$T$3000=45892)*(INPUT!$U$3:$U$3000="PANI")*(INPUT!$V$3:$V$3000+INPUT!$W$3:$W$3000+INPUT!$X$3:$X$3000+INPUT!$Y$3:$Y$3000))),"")</f>
        <v>18</v>
      </c>
      <c r="V15" s="42" cm="1">
        <f t="array" ref="V15">IFERROR(IF(SUMPRODUCT((INPUT!$T$3:$T$3000=45893)*(INPUT!$U$3:$U$3000="PANI"))=0,"",SUMPRODUCT((INPUT!$T$3:$T$3000=45893)*(INPUT!$U$3:$U$3000="PANI")*(INPUT!$V$3:$V$3000+INPUT!$W$3:$W$3000+INPUT!$X$3:$X$3000+INPUT!$Y$3:$Y$3000))),"")</f>
        <v>17</v>
      </c>
      <c r="W15" s="42" cm="1">
        <f t="array" ref="W15">IFERROR(IF(SUMPRODUCT((INPUT!$T$3:$T$3000=45895)*(INPUT!$U$3:$U$3000="PANI"))=0,"",SUMPRODUCT((INPUT!$T$3:$T$3000=45895)*(INPUT!$U$3:$U$3000="PANI")*(INPUT!$V$3:$V$3000+INPUT!$W$3:$W$3000+INPUT!$X$3:$X$3000+INPUT!$Y$3:$Y$3000))),"")</f>
        <v>15</v>
      </c>
      <c r="X15" s="42" cm="1">
        <f t="array" ref="X15">IFERROR(IF(SUMPRODUCT((INPUT!$T$3:$T$3000=45896)*(INPUT!$U$3:$U$3000="PANI"))=0,"",SUMPRODUCT((INPUT!$T$3:$T$3000=45896)*(INPUT!$U$3:$U$3000="PANI")*(INPUT!$V$3:$V$3000+INPUT!$W$3:$W$3000+INPUT!$X$3:$X$3000+INPUT!$Y$3:$Y$3000))),"")</f>
        <v>17</v>
      </c>
      <c r="Y15" s="42" cm="1">
        <f t="array" ref="Y15">IFERROR(IF(SUMPRODUCT((INPUT!$T$3:$T$3000=45898)*(INPUT!$U$3:$U$3000="PANI"))=0,"",SUMPRODUCT((INPUT!$T$3:$T$3000=45898)*(INPUT!$U$3:$U$3000="PANI")*(INPUT!$V$3:$V$3000+INPUT!$W$3:$W$3000+INPUT!$X$3:$X$3000+INPUT!$Y$3:$Y$3000))),"")</f>
        <v>16</v>
      </c>
      <c r="Z15" s="42" cm="1">
        <f t="array" ref="Z15">IFERROR(IF(SUMPRODUCT((INPUT!$T$3:$T$3000=45899)*(INPUT!$U$3:$U$3000="PANI"))=0,"",SUMPRODUCT((INPUT!$T$3:$T$3000=45899)*(INPUT!$U$3:$U$3000="PANI")*(INPUT!$V$3:$V$3000+INPUT!$W$3:$W$3000+INPUT!$X$3:$X$3000+INPUT!$Y$3:$Y$3000))),"")</f>
        <v>18</v>
      </c>
      <c r="AA15" s="42" cm="1">
        <f t="array" ref="AA15">IFERROR(IF(SUMPRODUCT((INPUT!$T$3:$T$3000=45900)*(INPUT!$U$3:$U$3000="PANI"))=0,"",SUMPRODUCT((INPUT!$T$3:$T$3000=45900)*(INPUT!$U$3:$U$3000="PANI")*(INPUT!$V$3:$V$3000+INPUT!$W$3:$W$3000+INPUT!$X$3:$X$3000+INPUT!$Y$3:$Y$3000))),"")</f>
        <v>14</v>
      </c>
      <c r="AB15" s="42" cm="1">
        <f t="array" ref="AB15">IFERROR(IF(SUMPRODUCT((INPUT!$T$3:$T$3000=45902)*(INPUT!$U$3:$U$3000="PANI"))=0,"",SUMPRODUCT((INPUT!$T$3:$T$3000=45902)*(INPUT!$U$3:$U$3000="PANI")*(INPUT!$V$3:$V$3000+INPUT!$W$3:$W$3000+INPUT!$X$3:$X$3000+INPUT!$Y$3:$Y$3000))),"")</f>
        <v>16</v>
      </c>
      <c r="AC15" s="42" cm="1">
        <f t="array" ref="AC15">IFERROR(IF(SUMPRODUCT((INPUT!$T$3:$T$3000=45903)*(INPUT!$U$3:$U$3000="PANI"))=0,"",SUMPRODUCT((INPUT!$T$3:$T$3000=45903)*(INPUT!$U$3:$U$3000="PANI")*(INPUT!$V$3:$V$3000+INPUT!$W$3:$W$3000+INPUT!$X$3:$X$3000+INPUT!$Y$3:$Y$3000))),"")</f>
        <v>16</v>
      </c>
      <c r="AD15" s="42" cm="1">
        <f t="array" ref="AD15">IFERROR(IF(SUMPRODUCT((INPUT!$T$3:$T$3000=45904)*(INPUT!$U$3:$U$3000="PANI"))=0,"",SUMPRODUCT((INPUT!$T$3:$T$3000=45904)*(INPUT!$U$3:$U$3000="PANI")*(INPUT!$V$3:$V$3000+INPUT!$W$3:$W$3000+INPUT!$X$3:$X$3000+INPUT!$Y$3:$Y$3000))),"")</f>
        <v>16</v>
      </c>
      <c r="AE15" s="42" cm="1">
        <f t="array" ref="AE15">IFERROR(IF(SUMPRODUCT((INPUT!$T$3:$T$3000=45905)*(INPUT!$U$3:$U$3000="PANI"))=0,"",SUMPRODUCT((INPUT!$T$3:$T$3000=45905)*(INPUT!$U$3:$U$3000="PANI")*(INPUT!$V$3:$V$3000+INPUT!$W$3:$W$3000+INPUT!$X$3:$X$3000+INPUT!$Y$3:$Y$3000))),"")</f>
        <v>16</v>
      </c>
      <c r="AF15" s="42" cm="1">
        <f t="array" ref="AF15">IFERROR(IF(SUMPRODUCT((INPUT!$T$3:$T$3000=45906)*(INPUT!$U$3:$U$3000="PANI"))=0,"",SUMPRODUCT((INPUT!$T$3:$T$3000=45906)*(INPUT!$U$3:$U$3000="PANI")*(INPUT!$V$3:$V$3000+INPUT!$W$3:$W$3000+INPUT!$X$3:$X$3000+INPUT!$Y$3:$Y$3000))),"")</f>
        <v>16</v>
      </c>
      <c r="AG15" s="42" cm="1">
        <f t="array" ref="AG15">IFERROR(IF(SUMPRODUCT((INPUT!$T$3:$T$3000=45908)*(INPUT!$U$3:$U$3000="PANI"))=0,"",SUMPRODUCT((INPUT!$T$3:$T$3000=45908)*(INPUT!$U$3:$U$3000="PANI")*(INPUT!$V$3:$V$3000+INPUT!$W$3:$W$3000+INPUT!$X$3:$X$3000+INPUT!$Y$3:$Y$3000))),"")</f>
        <v>16</v>
      </c>
      <c r="AH15" s="42" cm="1">
        <f t="array" ref="AH15">IFERROR(IF(SUMPRODUCT((INPUT!$T$3:$T$3000=45909)*(INPUT!$U$3:$U$3000="PANI"))=0,"",SUMPRODUCT((INPUT!$T$3:$T$3000=45909)*(INPUT!$U$3:$U$3000="PANI")*(INPUT!$V$3:$V$3000+INPUT!$W$3:$W$3000+INPUT!$X$3:$X$3000+INPUT!$Y$3:$Y$3000))),"")</f>
        <v>18</v>
      </c>
      <c r="AI15" s="42" cm="1">
        <f t="array" ref="AI15">IFERROR(IF(SUMPRODUCT((INPUT!$T$3:$T$3000=45911)*(INPUT!$U$3:$U$3000="PANI"))=0,"",SUMPRODUCT((INPUT!$T$3:$T$3000=45911)*(INPUT!$U$3:$U$3000="PANI")*(INPUT!$V$3:$V$3000+INPUT!$W$3:$W$3000+INPUT!$X$3:$X$3000+INPUT!$Y$3:$Y$3000))),"")</f>
        <v>15</v>
      </c>
      <c r="AJ15" s="42" cm="1">
        <f t="array" ref="AJ15">IFERROR(IF(SUMPRODUCT((INPUT!$T$3:$T$3000=45912)*(INPUT!$U$3:$U$3000="PANI"))=0,"",SUMPRODUCT((INPUT!$T$3:$T$3000=45912)*(INPUT!$U$3:$U$3000="PANI")*(INPUT!$V$3:$V$3000+INPUT!$W$3:$W$3000+INPUT!$X$3:$X$3000+INPUT!$Y$3:$Y$3000))),"")</f>
        <v>15</v>
      </c>
      <c r="AK15" s="42" cm="1">
        <f t="array" ref="AK15">IFERROR(IF(SUMPRODUCT((INPUT!$T$3:$T$3000=45913)*(INPUT!$U$3:$U$3000="PANI"))=0,"",SUMPRODUCT((INPUT!$T$3:$T$3000=45913)*(INPUT!$U$3:$U$3000="PANI")*(INPUT!$V$3:$V$3000+INPUT!$W$3:$W$3000+INPUT!$X$3:$X$3000+INPUT!$Y$3:$Y$3000))),"")</f>
        <v>17</v>
      </c>
      <c r="AL15" s="42" t="str" cm="1">
        <f t="array" ref="AL15">IFERROR(IF(SUMPRODUCT((INPUT!$T$3:$T$3000=45915)*(INPUT!$U$3:$U$3000="PANI"))=0,"",SUMPRODUCT((INPUT!$T$3:$T$3000=45915)*(INPUT!$U$3:$U$3000="PANI")*(INPUT!$V$3:$V$3000+INPUT!$W$3:$W$3000+INPUT!$X$3:$X$3000+INPUT!$Y$3:$Y$3000))),"")</f>
        <v/>
      </c>
      <c r="AM15" s="42" t="str" cm="1">
        <f t="array" ref="AM15">IFERROR(IF(SUMPRODUCT((INPUT!$T$3:$T$3000=45916)*(INPUT!$U$3:$U$3000="PANI"))=0,"",SUMPRODUCT((INPUT!$T$3:$T$3000=45916)*(INPUT!$U$3:$U$3000="PANI")*(INPUT!$V$3:$V$3000+INPUT!$W$3:$W$3000+INPUT!$X$3:$X$3000+INPUT!$Y$3:$Y$3000))),"")</f>
        <v/>
      </c>
      <c r="AN15" s="42" t="str" cm="1">
        <f t="array" ref="AN15">IFERROR(IF(SUMPRODUCT((INPUT!$T$3:$T$3000=45917)*(INPUT!$U$3:$U$3000="PANI"))=0,"",SUMPRODUCT((INPUT!$T$3:$T$3000=45917)*(INPUT!$U$3:$U$3000="PANI")*(INPUT!$V$3:$V$3000+INPUT!$W$3:$W$3000+INPUT!$X$3:$X$3000+INPUT!$Y$3:$Y$3000))),"")</f>
        <v/>
      </c>
      <c r="AO15" s="42" t="str" cm="1">
        <f t="array" ref="AO15">IFERROR(IF(SUMPRODUCT((INPUT!$T$3:$T$3000=45918)*(INPUT!$U$3:$U$3000="PANI"))=0,"",SUMPRODUCT((INPUT!$T$3:$T$3000=45918)*(INPUT!$U$3:$U$3000="PANI")*(INPUT!$V$3:$V$3000+INPUT!$W$3:$W$3000+INPUT!$X$3:$X$3000+INPUT!$Y$3:$Y$3000))),"")</f>
        <v/>
      </c>
      <c r="AP15" s="42" t="str" cm="1">
        <f t="array" ref="AP15">IFERROR(IF(SUMPRODUCT((INPUT!$T$3:$T$3000=45919)*(INPUT!$U$3:$U$3000="PANI"))=0,"",SUMPRODUCT((INPUT!$T$3:$T$3000=45919)*(INPUT!$U$3:$U$3000="PANI")*(INPUT!$V$3:$V$3000+INPUT!$W$3:$W$3000+INPUT!$X$3:$X$3000+INPUT!$Y$3:$Y$3000))),"")</f>
        <v/>
      </c>
      <c r="AQ15" s="42" t="str" cm="1">
        <f t="array" ref="AQ15">IFERROR(IF(SUMPRODUCT((INPUT!$T$3:$T$3000=45922)*(INPUT!$U$3:$U$3000="PANI"))=0,"",SUMPRODUCT((INPUT!$T$3:$T$3000=45922)*(INPUT!$U$3:$U$3000="PANI")*(INPUT!$V$3:$V$3000+INPUT!$W$3:$W$3000+INPUT!$X$3:$X$3000+INPUT!$Y$3:$Y$3000))),"")</f>
        <v/>
      </c>
      <c r="AR15" s="42" t="str" cm="1">
        <f t="array" ref="AR15">IFERROR(IF(SUMPRODUCT((INPUT!$T$3:$T$3000=45923)*(INPUT!$U$3:$U$3000="PANI"))=0,"",SUMPRODUCT((INPUT!$T$3:$T$3000=45923)*(INPUT!$U$3:$U$3000="PANI")*(INPUT!$V$3:$V$3000+INPUT!$W$3:$W$3000+INPUT!$X$3:$X$3000+INPUT!$Y$3:$Y$3000))),"")</f>
        <v/>
      </c>
      <c r="AS15" s="42" cm="1">
        <f t="array" ref="AS15">IFERROR(IF(SUMPRODUCT((INPUT!$T$3:$T$3000=45924)*(INPUT!$U$3:$U$3000="PANI"))=0,"",SUMPRODUCT((INPUT!$T$3:$T$3000=45924)*(INPUT!$U$3:$U$3000="PANI")*(INPUT!$V$3:$V$3000+INPUT!$W$3:$W$3000+INPUT!$X$3:$X$3000+INPUT!$Y$3:$Y$3000))),"")</f>
        <v>17</v>
      </c>
      <c r="AT15" s="42" cm="1">
        <f t="array" ref="AT15">IFERROR(IF(SUMPRODUCT((INPUT!$T$3:$T$3000=45925)*(INPUT!$U$3:$U$3000="PANI"))=0,"",SUMPRODUCT((INPUT!$T$3:$T$3000=45925)*(INPUT!$U$3:$U$3000="PANI")*(INPUT!$V$3:$V$3000+INPUT!$W$3:$W$3000+INPUT!$X$3:$X$3000+INPUT!$Y$3:$Y$3000))),"")</f>
        <v>16</v>
      </c>
      <c r="AU15" s="42" cm="1">
        <f t="array" ref="AU15">IFERROR(IF(SUMPRODUCT((INPUT!$T$3:$T$3000=45926)*(INPUT!$U$3:$U$3000="PANI"))=0,"",SUMPRODUCT((INPUT!$T$3:$T$3000=45926)*(INPUT!$U$3:$U$3000="PANI")*(INPUT!$V$3:$V$3000+INPUT!$W$3:$W$3000+INPUT!$X$3:$X$3000+INPUT!$Y$3:$Y$3000))),"")</f>
        <v>16</v>
      </c>
      <c r="AV15" s="42" cm="1">
        <f t="array" ref="AV15">IFERROR(IF(SUMPRODUCT((INPUT!$T$3:$T$3000=45927)*(INPUT!$U$3:$U$3000="PANI"))=0,"",SUMPRODUCT((INPUT!$T$3:$T$3000=45927)*(INPUT!$U$3:$U$3000="PANI")*(INPUT!$V$3:$V$3000+INPUT!$W$3:$W$3000+INPUT!$X$3:$X$3000+INPUT!$Y$3:$Y$3000))),"")</f>
        <v>17</v>
      </c>
      <c r="AW15" s="42" cm="1">
        <f t="array" ref="AW15">IFERROR(IF(SUMPRODUCT((INPUT!$T$3:$T$3000=45929)*(INPUT!$U$3:$U$3000="PANI"))=0,"",SUMPRODUCT((INPUT!$T$3:$T$3000=45929)*(INPUT!$U$3:$U$3000="PANI")*(INPUT!$V$3:$V$3000+INPUT!$W$3:$W$3000+INPUT!$X$3:$X$3000+INPUT!$Y$3:$Y$3000))),"")</f>
        <v>16</v>
      </c>
      <c r="AX15" s="42" cm="1">
        <f t="array" ref="AX15">IFERROR(IF(SUMPRODUCT((INPUT!$T$3:$T$3000=45930)*(INPUT!$U$3:$U$3000="PANI"))=0,"",SUMPRODUCT((INPUT!$T$3:$T$3000=45930)*(INPUT!$U$3:$U$3000="PANI")*(INPUT!$V$3:$V$3000+INPUT!$W$3:$W$3000+INPUT!$X$3:$X$3000+INPUT!$Y$3:$Y$3000))),"")</f>
        <v>14</v>
      </c>
      <c r="AY15" s="42" cm="1">
        <f t="array" ref="AY15">IFERROR(IF(SUMPRODUCT((INPUT!$T$3:$T$3000=45931)*(INPUT!$U$3:$U$3000="PANI"))=0,"",SUMPRODUCT((INPUT!$T$3:$T$3000=45931)*(INPUT!$U$3:$U$3000="PANI")*(INPUT!$V$3:$V$3000+INPUT!$W$3:$W$3000+INPUT!$X$3:$X$3000+INPUT!$Y$3:$Y$3000))),"")</f>
        <v>15</v>
      </c>
      <c r="AZ15" s="42" cm="1">
        <f t="array" ref="AZ15">IFERROR(IF(SUMPRODUCT((INPUT!$T$3:$T$3000=45932)*(INPUT!$U$3:$U$3000="PANI"))=0,"",SUMPRODUCT((INPUT!$T$3:$T$3000=45932)*(INPUT!$U$3:$U$3000="PANI")*(INPUT!$V$3:$V$3000+INPUT!$W$3:$W$3000+INPUT!$X$3:$X$3000+INPUT!$Y$3:$Y$3000))),"")</f>
        <v>15</v>
      </c>
      <c r="BA15" s="42" cm="1">
        <f t="array" ref="BA15">IFERROR(IF(SUMPRODUCT((INPUT!$T$3:$T$3000=45933)*(INPUT!$U$3:$U$3000="PANI"))=0,"",SUMPRODUCT((INPUT!$T$3:$T$3000=45933)*(INPUT!$U$3:$U$3000="PANI")*(INPUT!$V$3:$V$3000+INPUT!$W$3:$W$3000+INPUT!$X$3:$X$3000+INPUT!$Y$3:$Y$3000))),"")</f>
        <v>15</v>
      </c>
      <c r="BB15" s="42" cm="1">
        <f t="array" ref="BB15">IFERROR(IF(SUMPRODUCT((INPUT!$T$3:$T$3000=45934)*(INPUT!$U$3:$U$3000="PANI"))=0,"",SUMPRODUCT((INPUT!$T$3:$T$3000=45934)*(INPUT!$U$3:$U$3000="PANI")*(INPUT!$V$3:$V$3000+INPUT!$W$3:$W$3000+INPUT!$X$3:$X$3000+INPUT!$Y$3:$Y$3000))),"")</f>
        <v>20</v>
      </c>
      <c r="BC15" s="42" cm="1">
        <f t="array" ref="BC15">IFERROR(IF(SUMPRODUCT((INPUT!$T$3:$T$3000=45936)*(INPUT!$U$3:$U$3000="PANI"))=0,"",SUMPRODUCT((INPUT!$T$3:$T$3000=45936)*(INPUT!$U$3:$U$3000="PANI")*(INPUT!$V$3:$V$3000+INPUT!$W$3:$W$3000+INPUT!$X$3:$X$3000+INPUT!$Y$3:$Y$3000))),"")</f>
        <v>14</v>
      </c>
      <c r="BD15" s="42" cm="1">
        <f t="array" ref="BD15">IFERROR(IF(SUMPRODUCT((INPUT!$T$3:$T$3000=45937)*(INPUT!$U$3:$U$3000="PANI"))=0,"",SUMPRODUCT((INPUT!$T$3:$T$3000=45937)*(INPUT!$U$3:$U$3000="PANI")*(INPUT!$V$3:$V$3000+INPUT!$W$3:$W$3000+INPUT!$X$3:$X$3000+INPUT!$Y$3:$Y$3000))),"")</f>
        <v>14</v>
      </c>
      <c r="BE15" s="42" cm="1">
        <f t="array" ref="BE15">IFERROR(IF(SUMPRODUCT((INPUT!$T$3:$T$3000=45938)*(INPUT!$U$3:$U$3000="PANI"))=0,"",SUMPRODUCT((INPUT!$T$3:$T$3000=45938)*(INPUT!$U$3:$U$3000="PANI")*(INPUT!$V$3:$V$3000+INPUT!$W$3:$W$3000+INPUT!$X$3:$X$3000+INPUT!$Y$3:$Y$3000))),"")</f>
        <v>16</v>
      </c>
      <c r="BF15" s="42" cm="1">
        <f t="array" ref="BF15">IFERROR(IF(SUMPRODUCT((INPUT!$T$3:$T$3000=45940)*(INPUT!$U$3:$U$3000="PANI"))=0,"",SUMPRODUCT((INPUT!$T$3:$T$3000=45940)*(INPUT!$U$3:$U$3000="PANI")*(INPUT!$V$3:$V$3000+INPUT!$W$3:$W$3000+INPUT!$X$3:$X$3000+INPUT!$Y$3:$Y$3000))),"")</f>
        <v>15</v>
      </c>
      <c r="BG15" s="42" cm="1">
        <f t="array" ref="BG15">IFERROR(IF(SUMPRODUCT((INPUT!$T$3:$T$3000=45941)*(INPUT!$U$3:$U$3000="PANI"))=0,"",SUMPRODUCT((INPUT!$T$3:$T$3000=45941)*(INPUT!$U$3:$U$3000="PANI")*(INPUT!$V$3:$V$3000+INPUT!$W$3:$W$3000+INPUT!$X$3:$X$3000+INPUT!$Y$3:$Y$3000))),"")</f>
        <v>15</v>
      </c>
      <c r="BH15" s="42" cm="1">
        <f t="array" ref="BH15">IFERROR(IF(SUMPRODUCT((INPUT!$T$3:$T$3000=45942)*(INPUT!$U$3:$U$3000="PANI"))=0,"",SUMPRODUCT((INPUT!$T$3:$T$3000=45942)*(INPUT!$U$3:$U$3000="PANI")*(INPUT!$V$3:$V$3000+INPUT!$W$3:$W$3000+INPUT!$X$3:$X$3000+INPUT!$Y$3:$Y$3000))),"")</f>
        <v>18</v>
      </c>
      <c r="BI15" s="42" cm="1">
        <f t="array" ref="BI15">IFERROR(IF(SUMPRODUCT((INPUT!$T$3:$T$3000=45945)*(INPUT!$U$3:$U$3000="PANI"))=0,"",SUMPRODUCT((INPUT!$T$3:$T$3000=45945)*(INPUT!$U$3:$U$3000="PANI")*(INPUT!$V$3:$V$3000+INPUT!$W$3:$W$3000+INPUT!$X$3:$X$3000+INPUT!$Y$3:$Y$3000))),"")</f>
        <v>13</v>
      </c>
      <c r="BJ15" s="42" cm="1">
        <f t="array" ref="BJ15">IFERROR(IF(SUMPRODUCT((INPUT!$T$3:$T$3000=45946)*(INPUT!$U$3:$U$3000="PANI"))=0,"",SUMPRODUCT((INPUT!$T$3:$T$3000=45946)*(INPUT!$U$3:$U$3000="PANI")*(INPUT!$V$3:$V$3000+INPUT!$W$3:$W$3000+INPUT!$X$3:$X$3000+INPUT!$Y$3:$Y$3000))),"")</f>
        <v>14</v>
      </c>
      <c r="BK15" s="42" cm="1">
        <f t="array" ref="BK15">IFERROR(IF(SUMPRODUCT((INPUT!$T$3:$T$3000=45947)*(INPUT!$U$3:$U$3000="PANI"))=0,"",SUMPRODUCT((INPUT!$T$3:$T$3000=45947)*(INPUT!$U$3:$U$3000="PANI")*(INPUT!$V$3:$V$3000+INPUT!$W$3:$W$3000+INPUT!$X$3:$X$3000+INPUT!$Y$3:$Y$3000))),"")</f>
        <v>14</v>
      </c>
      <c r="BL15" s="42" cm="1">
        <f t="array" ref="BL15">IFERROR(IF(SUMPRODUCT((INPUT!$T$3:$T$3000=45950)*(INPUT!$U$3:$U$3000="PANI"))=0,"",SUMPRODUCT((INPUT!$T$3:$T$3000=45950)*(INPUT!$U$3:$U$3000="PANI")*(INPUT!$V$3:$V$3000+INPUT!$W$3:$W$3000+INPUT!$X$3:$X$3000+INPUT!$Y$3:$Y$3000))),"")</f>
        <v>14</v>
      </c>
      <c r="BM15" s="42" cm="1">
        <f t="array" ref="BM15">IFERROR(IF(SUMPRODUCT((INPUT!$T$3:$T$3000=45951)*(INPUT!$U$3:$U$3000="PANI"))=0,"",SUMPRODUCT((INPUT!$T$3:$T$3000=45951)*(INPUT!$U$3:$U$3000="PANI")*(INPUT!$V$3:$V$3000+INPUT!$W$3:$W$3000+INPUT!$X$3:$X$3000+INPUT!$Y$3:$Y$3000))),"")</f>
        <v>13</v>
      </c>
      <c r="BN15" s="42" cm="1">
        <f t="array" ref="BN15">IFERROR(IF(SUMPRODUCT((INPUT!$T$3:$T$3000=45952)*(INPUT!$U$3:$U$3000="PANI"))=0,"",SUMPRODUCT((INPUT!$T$3:$T$3000=45952)*(INPUT!$U$3:$U$3000="PANI")*(INPUT!$V$3:$V$3000+INPUT!$W$3:$W$3000+INPUT!$X$3:$X$3000+INPUT!$Y$3:$Y$3000))),"")</f>
        <v>16</v>
      </c>
      <c r="BO15" s="42" cm="1">
        <f t="array" ref="BO15">IFERROR(IF(SUMPRODUCT((INPUT!$T$3:$T$3000=45953)*(INPUT!$U$3:$U$3000="PANI"))=0,"",SUMPRODUCT((INPUT!$T$3:$T$3000=45953)*(INPUT!$U$3:$U$3000="PANI")*(INPUT!$V$3:$V$3000+INPUT!$W$3:$W$3000+INPUT!$X$3:$X$3000+INPUT!$Y$3:$Y$3000))),"")</f>
        <v>15</v>
      </c>
      <c r="BP15" s="42" cm="1">
        <f t="array" ref="BP15">IFERROR(IF(SUMPRODUCT((INPUT!$T$3:$T$3000=45954)*(INPUT!$U$3:$U$3000="PANI"))=0,"",SUMPRODUCT((INPUT!$T$3:$T$3000=45954)*(INPUT!$U$3:$U$3000="PANI")*(INPUT!$V$3:$V$3000+INPUT!$W$3:$W$3000+INPUT!$X$3:$X$3000+INPUT!$Y$3:$Y$3000))),"")</f>
        <v>17</v>
      </c>
      <c r="BQ15" s="42" cm="1">
        <f t="array" ref="BQ15">IFERROR(IF(SUMPRODUCT((INPUT!$T$3:$T$3000=45955)*(INPUT!$U$3:$U$3000="PANI"))=0,"",SUMPRODUCT((INPUT!$T$3:$T$3000=45955)*(INPUT!$U$3:$U$3000="PANI")*(INPUT!$V$3:$V$3000+INPUT!$W$3:$W$3000+INPUT!$X$3:$X$3000+INPUT!$Y$3:$Y$3000))),"")</f>
        <v>18</v>
      </c>
      <c r="BR15" s="42" cm="1">
        <f t="array" ref="BR15">IFERROR(IF(SUMPRODUCT((INPUT!$T$3:$T$3000=45958)*(INPUT!$U$3:$U$3000="PANI"))=0,"",SUMPRODUCT((INPUT!$T$3:$T$3000=45958)*(INPUT!$U$3:$U$3000="PANI")*(INPUT!$V$3:$V$3000+INPUT!$W$3:$W$3000+INPUT!$X$3:$X$3000+INPUT!$Y$3:$Y$3000))),"")</f>
        <v>15</v>
      </c>
      <c r="BS15" s="42" cm="1">
        <f t="array" ref="BS15">IFERROR(IF(SUMPRODUCT((INPUT!$T$3:$T$3000=45959)*(INPUT!$U$3:$U$3000="PANI"))=0,"",SUMPRODUCT((INPUT!$T$3:$T$3000=45959)*(INPUT!$U$3:$U$3000="PANI")*(INPUT!$V$3:$V$3000+INPUT!$W$3:$W$3000+INPUT!$X$3:$X$3000+INPUT!$Y$3:$Y$3000))),"")</f>
        <v>14</v>
      </c>
      <c r="BT15" s="42" cm="1">
        <f t="array" ref="BT15">IFERROR(IF(SUMPRODUCT((INPUT!$T$3:$T$3000=45960)*(INPUT!$U$3:$U$3000="PANI"))=0,"",SUMPRODUCT((INPUT!$T$3:$T$3000=45960)*(INPUT!$U$3:$U$3000="PANI")*(INPUT!$V$3:$V$3000+INPUT!$W$3:$W$3000+INPUT!$X$3:$X$3000+INPUT!$Y$3:$Y$3000))),"")</f>
        <v>14</v>
      </c>
      <c r="BU15" s="42" cm="1">
        <f t="array" ref="BU15">IFERROR(IF(SUMPRODUCT((INPUT!$T$3:$T$3000=45961)*(INPUT!$U$3:$U$3000="PANI"))=0,"",SUMPRODUCT((INPUT!$T$3:$T$3000=45961)*(INPUT!$U$3:$U$3000="PANI")*(INPUT!$V$3:$V$3000+INPUT!$W$3:$W$3000+INPUT!$X$3:$X$3000+INPUT!$Y$3:$Y$3000))),"")</f>
        <v>14</v>
      </c>
      <c r="BV15" s="42" cm="1">
        <f t="array" ref="BV15">IFERROR(IF(SUMPRODUCT((INPUT!$T$3:$T$3000=45964)*(INPUT!$U$3:$U$3000="PANI"))=0,"",SUMPRODUCT((INPUT!$T$3:$T$3000=45964)*(INPUT!$U$3:$U$3000="PANI")*(INPUT!$V$3:$V$3000+INPUT!$W$3:$W$3000+INPUT!$X$3:$X$3000+INPUT!$Y$3:$Y$3000))),"")</f>
        <v>16</v>
      </c>
      <c r="BW15" s="42" cm="1">
        <f t="array" ref="BW15">IFERROR(IF(SUMPRODUCT((INPUT!$T$3:$T$3000=45965)*(INPUT!$U$3:$U$3000="PANI"))=0,"",SUMPRODUCT((INPUT!$T$3:$T$3000=45965)*(INPUT!$U$3:$U$3000="PANI")*(INPUT!$V$3:$V$3000+INPUT!$W$3:$W$3000+INPUT!$X$3:$X$3000+INPUT!$Y$3:$Y$3000))),"")</f>
        <v>17</v>
      </c>
      <c r="BX15" s="42" cm="1">
        <f t="array" ref="BX15">IFERROR(IF(SUMPRODUCT((INPUT!$T$3:$T$3000=45966)*(INPUT!$U$3:$U$3000="PANI"))=0,"",SUMPRODUCT((INPUT!$T$3:$T$3000=45966)*(INPUT!$U$3:$U$3000="PANI")*(INPUT!$V$3:$V$3000+INPUT!$W$3:$W$3000+INPUT!$X$3:$X$3000+INPUT!$Y$3:$Y$3000))),"")</f>
        <v>13</v>
      </c>
      <c r="BY15" s="42" cm="1">
        <f t="array" ref="BY15">IFERROR(IF(SUMPRODUCT((INPUT!$T$3:$T$3000=45967)*(INPUT!$U$3:$U$3000="PANI"))=0,"",SUMPRODUCT((INPUT!$T$3:$T$3000=45967)*(INPUT!$U$3:$U$3000="PANI")*(INPUT!$V$3:$V$3000+INPUT!$W$3:$W$3000+INPUT!$X$3:$X$3000+INPUT!$Y$3:$Y$3000))),"")</f>
        <v>12</v>
      </c>
      <c r="BZ15" s="42" cm="1">
        <f t="array" ref="BZ15">IFERROR(IF(SUMPRODUCT((INPUT!$T$3:$T$3000=45968)*(INPUT!$U$3:$U$3000="PANI"))=0,"",SUMPRODUCT((INPUT!$T$3:$T$3000=45968)*(INPUT!$U$3:$U$3000="PANI")*(INPUT!$V$3:$V$3000+INPUT!$W$3:$W$3000+INPUT!$X$3:$X$3000+INPUT!$Y$3:$Y$3000))),"")</f>
        <v>17</v>
      </c>
      <c r="CA15" s="42" cm="1">
        <f t="array" ref="CA15">IFERROR(IF(SUMPRODUCT((INPUT!$T$3:$T$3000=45971)*(INPUT!$U$3:$U$3000="PANI"))=0,"",SUMPRODUCT((INPUT!$T$3:$T$3000=45971)*(INPUT!$U$3:$U$3000="PANI")*(INPUT!$V$3:$V$3000+INPUT!$W$3:$W$3000+INPUT!$X$3:$X$3000+INPUT!$Y$3:$Y$3000))),"")</f>
        <v>16</v>
      </c>
      <c r="CB15" s="42" cm="1">
        <f t="array" ref="CB15">IFERROR(IF(SUMPRODUCT((INPUT!$T$3:$T$3000=45972)*(INPUT!$U$3:$U$3000="PANI"))=0,"",SUMPRODUCT((INPUT!$T$3:$T$3000=45972)*(INPUT!$U$3:$U$3000="PANI")*(INPUT!$V$3:$V$3000+INPUT!$W$3:$W$3000+INPUT!$X$3:$X$3000+INPUT!$Y$3:$Y$3000))),"")</f>
        <v>13</v>
      </c>
      <c r="CC15" s="42" cm="1">
        <f t="array" ref="CC15">IFERROR(IF(SUMPRODUCT((INPUT!$T$3:$T$3000=45974)*(INPUT!$U$3:$U$3000="PANI"))=0,"",SUMPRODUCT((INPUT!$T$3:$T$3000=45974)*(INPUT!$U$3:$U$3000="PANI")*(INPUT!$V$3:$V$3000+INPUT!$W$3:$W$3000+INPUT!$X$3:$X$3000+INPUT!$Y$3:$Y$3000))),"")</f>
        <v>14</v>
      </c>
      <c r="CD15" s="42" cm="1">
        <f t="array" ref="CD15">IFERROR(IF(SUMPRODUCT((INPUT!$T$3:$T$3000=45975)*(INPUT!$U$3:$U$3000="PANI"))=0,"",SUMPRODUCT((INPUT!$T$3:$T$3000=45975)*(INPUT!$U$3:$U$3000="PANI")*(INPUT!$V$3:$V$3000+INPUT!$W$3:$W$3000+INPUT!$X$3:$X$3000+INPUT!$Y$3:$Y$3000))),"")</f>
        <v>14</v>
      </c>
      <c r="CE15" s="42" cm="1">
        <f t="array" ref="CE15">IFERROR(IF(SUMPRODUCT((INPUT!$T$3:$T$3000=45976)*(INPUT!$U$3:$U$3000="PANI"))=0,"",SUMPRODUCT((INPUT!$T$3:$T$3000=45976)*(INPUT!$U$3:$U$3000="PANI")*(INPUT!$V$3:$V$3000+INPUT!$W$3:$W$3000+INPUT!$X$3:$X$3000+INPUT!$Y$3:$Y$3000))),"")</f>
        <v>19</v>
      </c>
      <c r="CF15" s="42" t="str" cm="1">
        <f t="array" ref="CF15">IFERROR(IF(SUMPRODUCT((INPUT!$T$3:$T$3000=45978)*(INPUT!$U$3:$U$3000="PANI"))=0,"",SUMPRODUCT((INPUT!$T$3:$T$3000=45978)*(INPUT!$U$3:$U$3000="PANI")*(INPUT!$V$3:$V$3000+INPUT!$W$3:$W$3000+INPUT!$X$3:$X$3000+INPUT!$Y$3:$Y$3000))),"")</f>
        <v/>
      </c>
      <c r="CG15" s="42" cm="1">
        <f t="array" ref="CG15">IFERROR(IF(SUMPRODUCT((INPUT!$T$3:$T$3000=45979)*(INPUT!$U$3:$U$3000="PANI"))=0,"",SUMPRODUCT((INPUT!$T$3:$T$3000=45979)*(INPUT!$U$3:$U$3000="PANI")*(INPUT!$V$3:$V$3000+INPUT!$W$3:$W$3000+INPUT!$X$3:$X$3000+INPUT!$Y$3:$Y$3000))),"")</f>
        <v>11</v>
      </c>
      <c r="CH15" s="42" t="str" cm="1">
        <f t="array" ref="CH15">IFERROR(IF(SUMPRODUCT((INPUT!$T$3:$T$3000=45980)*(INPUT!$U$3:$U$3000="PANI"))=0,"",SUMPRODUCT((INPUT!$T$3:$T$3000=45980)*(INPUT!$U$3:$U$3000="PANI")*(INPUT!$V$3:$V$3000+INPUT!$W$3:$W$3000+INPUT!$X$3:$X$3000+INPUT!$Y$3:$Y$3000))),"")</f>
        <v/>
      </c>
      <c r="CI15" s="42" cm="1">
        <f t="array" ref="CI15">IFERROR(IF(SUMPRODUCT((INPUT!$T$3:$T$3000=45982)*(INPUT!$U$3:$U$3000="PANI"))=0,"",SUMPRODUCT((INPUT!$T$3:$T$3000=45982)*(INPUT!$U$3:$U$3000="PANI")*(INPUT!$V$3:$V$3000+INPUT!$W$3:$W$3000+INPUT!$X$3:$X$3000+INPUT!$Y$3:$Y$3000))),"")</f>
        <v>18</v>
      </c>
      <c r="CJ15" s="42" cm="1">
        <f t="array" ref="CJ15">IFERROR(IF(SUMPRODUCT((INPUT!$T$3:$T$3000=45983)*(INPUT!$U$3:$U$3000="PANI"))=0,"",SUMPRODUCT((INPUT!$T$3:$T$3000=45983)*(INPUT!$U$3:$U$3000="PANI")*(INPUT!$V$3:$V$3000+INPUT!$W$3:$W$3000+INPUT!$X$3:$X$3000+INPUT!$Y$3:$Y$3000))),"")</f>
        <v>18</v>
      </c>
      <c r="CK15" s="42" cm="1">
        <f t="array" ref="CK15">IFERROR(IF(SUMPRODUCT((INPUT!$T$3:$T$3000=45985)*(INPUT!$U$3:$U$3000="PANI"))=0,"",SUMPRODUCT((INPUT!$T$3:$T$3000=45985)*(INPUT!$U$3:$U$3000="PANI")*(INPUT!$V$3:$V$3000+INPUT!$W$3:$W$3000+INPUT!$X$3:$X$3000+INPUT!$Y$3:$Y$3000))),"")</f>
        <v>15</v>
      </c>
      <c r="CL15" s="42" cm="1">
        <f t="array" ref="CL15">IFERROR(IF(SUMPRODUCT((INPUT!$T$3:$T$3000=45986)*(INPUT!$U$3:$U$3000="PANI"))=0,"",SUMPRODUCT((INPUT!$T$3:$T$3000=45986)*(INPUT!$U$3:$U$3000="PANI")*(INPUT!$V$3:$V$3000+INPUT!$W$3:$W$3000+INPUT!$X$3:$X$3000+INPUT!$Y$3:$Y$3000))),"")</f>
        <v>14</v>
      </c>
      <c r="CM15" s="42" cm="1">
        <f t="array" ref="CM15">IFERROR(IF(SUMPRODUCT((INPUT!$T$3:$T$3000=45987)*(INPUT!$U$3:$U$3000="PANI"))=0,"",SUMPRODUCT((INPUT!$T$3:$T$3000=45987)*(INPUT!$U$3:$U$3000="PANI")*(INPUT!$V$3:$V$3000+INPUT!$W$3:$W$3000+INPUT!$X$3:$X$3000+INPUT!$Y$3:$Y$3000))),"")</f>
        <v>14</v>
      </c>
      <c r="CN15" s="42" cm="1">
        <f t="array" ref="CN15">IFERROR(IF(SUMPRODUCT((INPUT!$T$3:$T$3000=45988)*(INPUT!$U$3:$U$3000="PANI"))=0,"",SUMPRODUCT((INPUT!$T$3:$T$3000=45988)*(INPUT!$U$3:$U$3000="PANI")*(INPUT!$V$3:$V$3000+INPUT!$W$3:$W$3000+INPUT!$X$3:$X$3000+INPUT!$Y$3:$Y$3000))),"")</f>
        <v>15</v>
      </c>
      <c r="CO15" s="42" cm="1">
        <f t="array" ref="CO15">IFERROR(IF(SUMPRODUCT((INPUT!$T$3:$T$3000=45989)*(INPUT!$U$3:$U$3000="PANI"))=0,"",SUMPRODUCT((INPUT!$T$3:$T$3000=45989)*(INPUT!$U$3:$U$3000="PANI")*(INPUT!$V$3:$V$3000+INPUT!$W$3:$W$3000+INPUT!$X$3:$X$3000+INPUT!$Y$3:$Y$3000))),"")</f>
        <v>18</v>
      </c>
      <c r="CP15" s="42" cm="1">
        <f t="array" ref="CP15">IFERROR(IF(SUMPRODUCT((INPUT!$T$3:$T$3000=45992)*(INPUT!$U$3:$U$3000="PANI"))=0,"",SUMPRODUCT((INPUT!$T$3:$T$3000=45992)*(INPUT!$U$3:$U$3000="PANI")*(INPUT!$V$3:$V$3000+INPUT!$W$3:$W$3000+INPUT!$X$3:$X$3000+INPUT!$Y$3:$Y$3000))),"")</f>
        <v>16</v>
      </c>
      <c r="CQ15" s="42" cm="1">
        <f t="array" ref="CQ15">IFERROR(IF(SUMPRODUCT((INPUT!$T$3:$T$3000=45993)*(INPUT!$U$3:$U$3000="PANI"))=0,"",SUMPRODUCT((INPUT!$T$3:$T$3000=45993)*(INPUT!$U$3:$U$3000="PANI")*(INPUT!$V$3:$V$3000+INPUT!$W$3:$W$3000+INPUT!$X$3:$X$3000+INPUT!$Y$3:$Y$3000))),"")</f>
        <v>13</v>
      </c>
      <c r="CR15" s="42" cm="1">
        <f t="array" ref="CR15">IFERROR(IF(SUMPRODUCT((INPUT!$T$3:$T$3000=45994)*(INPUT!$U$3:$U$3000="PANI"))=0,"",SUMPRODUCT((INPUT!$T$3:$T$3000=45994)*(INPUT!$U$3:$U$3000="PANI")*(INPUT!$V$3:$V$3000+INPUT!$W$3:$W$3000+INPUT!$X$3:$X$3000+INPUT!$Y$3:$Y$3000))),"")</f>
        <v>14</v>
      </c>
      <c r="CS15" s="42" cm="1">
        <f t="array" ref="CS15">IFERROR(IF(SUMPRODUCT((INPUT!$T$3:$T$3000=45995)*(INPUT!$U$3:$U$3000="PANI"))=0,"",SUMPRODUCT((INPUT!$T$3:$T$3000=45995)*(INPUT!$U$3:$U$3000="PANI")*(INPUT!$V$3:$V$3000+INPUT!$W$3:$W$3000+INPUT!$X$3:$X$3000+INPUT!$Y$3:$Y$3000))),"")</f>
        <v>15</v>
      </c>
      <c r="CT15" s="42" cm="1">
        <f t="array" ref="CT15">IFERROR(IF(SUMPRODUCT((INPUT!$T$3:$T$3000=45996)*(INPUT!$U$3:$U$3000="PANI"))=0,"",SUMPRODUCT((INPUT!$T$3:$T$3000=45996)*(INPUT!$U$3:$U$3000="PANI")*(INPUT!$V$3:$V$3000+INPUT!$W$3:$W$3000+INPUT!$X$3:$X$3000+INPUT!$Y$3:$Y$3000))),"")</f>
        <v>15</v>
      </c>
      <c r="CU15" s="42" cm="1">
        <f t="array" ref="CU15">IFERROR(IF(SUMPRODUCT((INPUT!$T$3:$T$3000=45997)*(INPUT!$U$3:$U$3000="PANI"))=0,"",SUMPRODUCT((INPUT!$T$3:$T$3000=45997)*(INPUT!$U$3:$U$3000="PANI")*(INPUT!$V$3:$V$3000+INPUT!$W$3:$W$3000+INPUT!$X$3:$X$3000+INPUT!$Y$3:$Y$3000))),"")</f>
        <v>18</v>
      </c>
      <c r="CV15" s="42" cm="1">
        <f t="array" ref="CV15">IFERROR(IF(SUMPRODUCT((INPUT!$T$3:$T$3000=45999)*(INPUT!$U$3:$U$3000="PANI"))=0,"",SUMPRODUCT((INPUT!$T$3:$T$3000=45999)*(INPUT!$U$3:$U$3000="PANI")*(INPUT!$V$3:$V$3000+INPUT!$W$3:$W$3000+INPUT!$X$3:$X$3000+INPUT!$Y$3:$Y$3000))),"")</f>
        <v>16</v>
      </c>
      <c r="CW15" s="42" cm="1">
        <f t="array" ref="CW15">IFERROR(IF(SUMPRODUCT((INPUT!$T$3:$T$3000=46000)*(INPUT!$U$3:$U$3000="PANI"))=0,"",SUMPRODUCT((INPUT!$T$3:$T$3000=46000)*(INPUT!$U$3:$U$3000="PANI")*(INPUT!$V$3:$V$3000+INPUT!$W$3:$W$3000+INPUT!$X$3:$X$3000+INPUT!$Y$3:$Y$3000))),"")</f>
        <v>16</v>
      </c>
      <c r="CX15" s="42" cm="1">
        <f t="array" ref="CX15">IFERROR(IF(SUMPRODUCT((INPUT!$T$3:$T$3000=46001)*(INPUT!$U$3:$U$3000="PANI"))=0,"",SUMPRODUCT((INPUT!$T$3:$T$3000=46001)*(INPUT!$U$3:$U$3000="PANI")*(INPUT!$V$3:$V$3000+INPUT!$W$3:$W$3000+INPUT!$X$3:$X$3000+INPUT!$Y$3:$Y$3000))),"")</f>
        <v>12</v>
      </c>
      <c r="CY15" s="42" t="str" cm="1">
        <f t="array" ref="CY15">IFERROR(IF(SUMPRODUCT((INPUT!$T$3:$T$3000=46002)*(INPUT!$U$3:$U$3000="PANI"))=0,"",SUMPRODUCT((INPUT!$T$3:$T$3000=46002)*(INPUT!$U$3:$U$3000="PANI")*(INPUT!$V$3:$V$3000+INPUT!$W$3:$W$3000+INPUT!$X$3:$X$3000+INPUT!$Y$3:$Y$3000))),"")</f>
        <v/>
      </c>
      <c r="CZ15" s="42" cm="1">
        <f t="array" ref="CZ15">IFERROR(IF(SUMPRODUCT((INPUT!$T$3:$T$3000=46003)*(INPUT!$U$3:$U$3000="PANI"))=0,"",SUMPRODUCT((INPUT!$T$3:$T$3000=46003)*(INPUT!$U$3:$U$3000="PANI")*(INPUT!$V$3:$V$3000+INPUT!$W$3:$W$3000+INPUT!$X$3:$X$3000+INPUT!$Y$3:$Y$3000))),"")</f>
        <v>18</v>
      </c>
      <c r="DA15" s="42" cm="1">
        <f t="array" ref="DA15">IFERROR(IF(SUMPRODUCT((INPUT!$T$3:$T$3000=46004)*(INPUT!$U$3:$U$3000="PANI"))=0,"",SUMPRODUCT((INPUT!$T$3:$T$3000=46004)*(INPUT!$U$3:$U$3000="PANI")*(INPUT!$V$3:$V$3000+INPUT!$W$3:$W$3000+INPUT!$X$3:$X$3000+INPUT!$Y$3:$Y$3000))),"")</f>
        <v>16</v>
      </c>
      <c r="DB15" s="42" cm="1">
        <f t="array" ref="DB15">IFERROR(IF(SUMPRODUCT((INPUT!$T$3:$T$3000=46007)*(INPUT!$U$3:$U$3000="PANI"))=0,"",SUMPRODUCT((INPUT!$T$3:$T$3000=46007)*(INPUT!$U$3:$U$3000="PANI")*(INPUT!$V$3:$V$3000+INPUT!$W$3:$W$3000+INPUT!$X$3:$X$3000+INPUT!$Y$3:$Y$3000))),"")</f>
        <v>13</v>
      </c>
      <c r="DC15" s="42" cm="1">
        <f t="array" ref="DC15">IFERROR(IF(SUMPRODUCT((INPUT!$T$3:$T$3000=46008)*(INPUT!$U$3:$U$3000="PANI"))=0,"",SUMPRODUCT((INPUT!$T$3:$T$3000=46008)*(INPUT!$U$3:$U$3000="PANI")*(INPUT!$V$3:$V$3000+INPUT!$W$3:$W$3000+INPUT!$X$3:$X$3000+INPUT!$Y$3:$Y$3000))),"")</f>
        <v>14</v>
      </c>
      <c r="DD15" s="42" cm="1">
        <f t="array" ref="DD15">IFERROR(IF(SUMPRODUCT((INPUT!$T$3:$T$3000=46009)*(INPUT!$U$3:$U$3000="PANI"))=0,"",SUMPRODUCT((INPUT!$T$3:$T$3000=46009)*(INPUT!$U$3:$U$3000="PANI")*(INPUT!$V$3:$V$3000+INPUT!$W$3:$W$3000+INPUT!$X$3:$X$3000+INPUT!$Y$3:$Y$3000))),"")</f>
        <v>15</v>
      </c>
      <c r="DE15" s="42" cm="1">
        <f t="array" ref="DE15">IFERROR(IF(SUMPRODUCT((INPUT!$T$3:$T$3000=46010)*(INPUT!$U$3:$U$3000="PANI"))=0,"",SUMPRODUCT((INPUT!$T$3:$T$3000=46010)*(INPUT!$U$3:$U$3000="PANI")*(INPUT!$V$3:$V$3000+INPUT!$W$3:$W$3000+INPUT!$X$3:$X$3000+INPUT!$Y$3:$Y$3000))),"")</f>
        <v>13</v>
      </c>
      <c r="DF15" s="42" cm="1">
        <f t="array" ref="DF15">IFERROR(IF(SUMPRODUCT((INPUT!$T$3:$T$3000=46013)*(INPUT!$U$3:$U$3000="PANI"))=0,"",SUMPRODUCT((INPUT!$T$3:$T$3000=46013)*(INPUT!$U$3:$U$3000="PANI")*(INPUT!$V$3:$V$3000+INPUT!$W$3:$W$3000+INPUT!$X$3:$X$3000+INPUT!$Y$3:$Y$3000))),"")</f>
        <v>12</v>
      </c>
      <c r="DG15" s="42" cm="1">
        <f t="array" ref="DG15">IFERROR(IF(SUMPRODUCT((INPUT!$T$3:$T$3000=46014)*(INPUT!$U$3:$U$3000="PANI"))=0,"",SUMPRODUCT((INPUT!$T$3:$T$3000=46014)*(INPUT!$U$3:$U$3000="PANI")*(INPUT!$V$3:$V$3000+INPUT!$W$3:$W$3000+INPUT!$X$3:$X$3000+INPUT!$Y$3:$Y$3000))),"")</f>
        <v>13</v>
      </c>
      <c r="DH15" s="42" cm="1">
        <f t="array" ref="DH15">IFERROR(IF(SUMPRODUCT((INPUT!$T$3:$T$3000=46017)*(INPUT!$U$3:$U$3000="PANI"))=0,"",SUMPRODUCT((INPUT!$T$3:$T$3000=46017)*(INPUT!$U$3:$U$3000="PANI")*(INPUT!$V$3:$V$3000+INPUT!$W$3:$W$3000+INPUT!$X$3:$X$3000+INPUT!$Y$3:$Y$3000))),"")</f>
        <v>18</v>
      </c>
      <c r="DI15" s="42" cm="1">
        <f t="array" ref="DI15">IFERROR(IF(SUMPRODUCT((INPUT!$T$3:$T$3000=46018)*(INPUT!$U$3:$U$3000="PANI"))=0,"",SUMPRODUCT((INPUT!$T$3:$T$3000=46018)*(INPUT!$U$3:$U$3000="PANI")*(INPUT!$V$3:$V$3000+INPUT!$W$3:$W$3000+INPUT!$X$3:$X$3000+INPUT!$Y$3:$Y$3000))),"")</f>
        <v>16</v>
      </c>
      <c r="DJ15" s="42" cm="1">
        <f t="array" ref="DJ15">IFERROR(IF(SUMPRODUCT((INPUT!$T$3:$T$3000=46020)*(INPUT!$U$3:$U$3000="PANI"))=0,"",SUMPRODUCT((INPUT!$T$3:$T$3000=46020)*(INPUT!$U$3:$U$3000="PANI")*(INPUT!$V$3:$V$3000+INPUT!$W$3:$W$3000+INPUT!$X$3:$X$3000+INPUT!$Y$3:$Y$3000))),"")</f>
        <v>15</v>
      </c>
      <c r="DK15" s="42" cm="1">
        <f t="array" ref="DK15">IFERROR(IF(SUMPRODUCT((INPUT!$T$3:$T$3000=46021)*(INPUT!$U$3:$U$3000="PANI"))=0,"",SUMPRODUCT((INPUT!$T$3:$T$3000=46021)*(INPUT!$U$3:$U$3000="PANI")*(INPUT!$V$3:$V$3000+INPUT!$W$3:$W$3000+INPUT!$X$3:$X$3000+INPUT!$Y$3:$Y$3000))),"")</f>
        <v>15</v>
      </c>
      <c r="DL15" s="42" cm="1">
        <f t="array" ref="DL15">IFERROR(IF(SUMPRODUCT((INPUT!$T$3:$T$3000=46022)*(INPUT!$U$3:$U$3000="PANI"))=0,"",SUMPRODUCT((INPUT!$T$3:$T$3000=46022)*(INPUT!$U$3:$U$3000="PANI")*(INPUT!$V$3:$V$3000+INPUT!$W$3:$W$3000+INPUT!$X$3:$X$3000+INPUT!$Y$3:$Y$3000))),"")</f>
        <v>15</v>
      </c>
      <c r="DM15" s="42" cm="1">
        <f t="array" ref="DM15">IFERROR(IF(SUMPRODUCT((INPUT!$T$3:$T$3000=46024)*(INPUT!$U$3:$U$3000="PANI"))=0,"",SUMPRODUCT((INPUT!$T$3:$T$3000=46024)*(INPUT!$U$3:$U$3000="PANI")*(INPUT!$V$3:$V$3000+INPUT!$W$3:$W$3000+INPUT!$X$3:$X$3000+INPUT!$Y$3:$Y$3000))),"")</f>
        <v>17</v>
      </c>
      <c r="DN15" s="42" cm="1">
        <f t="array" ref="DN15">IFERROR(IF(SUMPRODUCT((INPUT!$T$3:$T$3000=46025)*(INPUT!$U$3:$U$3000="PANI"))=0,"",SUMPRODUCT((INPUT!$T$3:$T$3000=46025)*(INPUT!$U$3:$U$3000="PANI")*(INPUT!$V$3:$V$3000+INPUT!$W$3:$W$3000+INPUT!$X$3:$X$3000+INPUT!$Y$3:$Y$3000))),"")</f>
        <v>19</v>
      </c>
      <c r="DO15" s="42" cm="1">
        <f t="array" ref="DO15">IFERROR(IF(SUMPRODUCT((INPUT!$T$3:$T$3000=46027)*(INPUT!$U$3:$U$3000="PANI"))=0,"",SUMPRODUCT((INPUT!$T$3:$T$3000=46027)*(INPUT!$U$3:$U$3000="PANI")*(INPUT!$V$3:$V$3000+INPUT!$W$3:$W$3000+INPUT!$X$3:$X$3000+INPUT!$Y$3:$Y$3000))),"")</f>
        <v>12</v>
      </c>
      <c r="DP15" s="42" cm="1">
        <f t="array" ref="DP15">IFERROR(IF(SUMPRODUCT((INPUT!$T$3:$T$3000=46028)*(INPUT!$U$3:$U$3000="PANI"))=0,"",SUMPRODUCT((INPUT!$T$3:$T$3000=46028)*(INPUT!$U$3:$U$3000="PANI")*(INPUT!$V$3:$V$3000+INPUT!$W$3:$W$3000+INPUT!$X$3:$X$3000+INPUT!$Y$3:$Y$3000))),"")</f>
        <v>16</v>
      </c>
      <c r="DQ15" s="42" cm="1">
        <f t="array" ref="DQ15">IFERROR(IF(SUMPRODUCT((INPUT!$T$3:$T$3000=46029)*(INPUT!$U$3:$U$3000="PANI"))=0,"",SUMPRODUCT((INPUT!$T$3:$T$3000=46029)*(INPUT!$U$3:$U$3000="PANI")*(INPUT!$V$3:$V$3000+INPUT!$W$3:$W$3000+INPUT!$X$3:$X$3000+INPUT!$Y$3:$Y$3000))),"")</f>
        <v>17</v>
      </c>
      <c r="DR15" s="42" cm="1">
        <f t="array" ref="DR15">IFERROR(IF(SUMPRODUCT((INPUT!$T$3:$T$3000=46030)*(INPUT!$U$3:$U$3000="PANI"))=0,"",SUMPRODUCT((INPUT!$T$3:$T$3000=46030)*(INPUT!$U$3:$U$3000="PANI")*(INPUT!$V$3:$V$3000+INPUT!$W$3:$W$3000+INPUT!$X$3:$X$3000+INPUT!$Y$3:$Y$3000))),"")</f>
        <v>13</v>
      </c>
      <c r="DS15" s="42" cm="1">
        <f t="array" ref="DS15">IFERROR(IF(SUMPRODUCT((INPUT!$T$3:$T$3000=46031)*(INPUT!$U$3:$U$3000="PANI"))=0,"",SUMPRODUCT((INPUT!$T$3:$T$3000=46031)*(INPUT!$U$3:$U$3000="PANI")*(INPUT!$V$3:$V$3000+INPUT!$W$3:$W$3000+INPUT!$X$3:$X$3000+INPUT!$Y$3:$Y$3000))),"")</f>
        <v>14</v>
      </c>
      <c r="DT15" s="42" cm="1">
        <f t="array" ref="DT15">IFERROR(IF(SUMPRODUCT((INPUT!$T$3:$T$3000=46041)*(INPUT!$U$3:$U$3000="PANI"))=0,"",SUMPRODUCT((INPUT!$T$3:$T$3000=46041)*(INPUT!$U$3:$U$3000="PANI")*(INPUT!$V$3:$V$3000+INPUT!$W$3:$W$3000+INPUT!$X$3:$X$3000+INPUT!$Y$3:$Y$3000))),"")</f>
        <v>15</v>
      </c>
      <c r="DU15" s="42" cm="1">
        <f t="array" ref="DU15">IFERROR(IF(SUMPRODUCT((INPUT!$T$3:$T$3000=46042)*(INPUT!$U$3:$U$3000="PANI"))=0,"",SUMPRODUCT((INPUT!$T$3:$T$3000=46042)*(INPUT!$U$3:$U$3000="PANI")*(INPUT!$V$3:$V$3000+INPUT!$W$3:$W$3000+INPUT!$X$3:$X$3000+INPUT!$Y$3:$Y$3000))),"")</f>
        <v>12</v>
      </c>
      <c r="DV15" s="42" cm="1">
        <f t="array" ref="DV15">IFERROR(IF(SUMPRODUCT((INPUT!$T$3:$T$3000=46043)*(INPUT!$U$3:$U$3000="PANI"))=0,"",SUMPRODUCT((INPUT!$T$3:$T$3000=46043)*(INPUT!$U$3:$U$3000="PANI")*(INPUT!$V$3:$V$3000+INPUT!$W$3:$W$3000+INPUT!$X$3:$X$3000+INPUT!$Y$3:$Y$3000))),"")</f>
        <v>9</v>
      </c>
      <c r="DW15" s="42" cm="1">
        <f t="array" ref="DW15">IFERROR(IF(SUMPRODUCT((INPUT!$T$3:$T$3000=46044)*(INPUT!$U$3:$U$3000="PANI"))=0,"",SUMPRODUCT((INPUT!$T$3:$T$3000=46044)*(INPUT!$U$3:$U$3000="PANI")*(INPUT!$V$3:$V$3000+INPUT!$W$3:$W$3000+INPUT!$X$3:$X$3000+INPUT!$Y$3:$Y$3000))),"")</f>
        <v>12</v>
      </c>
      <c r="DX15" s="42" cm="1">
        <f t="array" ref="DX15">IFERROR(IF(SUMPRODUCT((INPUT!$T$3:$T$3000=46045)*(INPUT!$U$3:$U$3000="PANI"))=0,"",SUMPRODUCT((INPUT!$T$3:$T$3000=46045)*(INPUT!$U$3:$U$3000="PANI")*(INPUT!$V$3:$V$3000+INPUT!$W$3:$W$3000+INPUT!$X$3:$X$3000+INPUT!$Y$3:$Y$3000))),"")</f>
        <v>11</v>
      </c>
      <c r="DY15" s="42" cm="1">
        <f t="array" ref="DY15">IFERROR(IF(SUMPRODUCT((INPUT!$T$3:$T$3000=46048)*(INPUT!$U$3:$U$3000="PANI"))=0,"",SUMPRODUCT((INPUT!$T$3:$T$3000=46048)*(INPUT!$U$3:$U$3000="PANI")*(INPUT!$V$3:$V$3000+INPUT!$W$3:$W$3000+INPUT!$X$3:$X$3000+INPUT!$Y$3:$Y$3000))),"")</f>
        <v>12</v>
      </c>
      <c r="DZ15" s="42" cm="1">
        <f t="array" ref="DZ15">IFERROR(IF(SUMPRODUCT((INPUT!$T$3:$T$3000=46049)*(INPUT!$U$3:$U$3000="PANI"))=0,"",SUMPRODUCT((INPUT!$T$3:$T$3000=46049)*(INPUT!$U$3:$U$3000="PANI")*(INPUT!$V$3:$V$3000+INPUT!$W$3:$W$3000+INPUT!$X$3:$X$3000+INPUT!$Y$3:$Y$3000))),"")</f>
        <v>12</v>
      </c>
      <c r="EA15" s="42" cm="1">
        <f t="array" ref="EA15">IFERROR(IF(SUMPRODUCT((INPUT!$T$3:$T$3000=46050)*(INPUT!$U$3:$U$3000="PANI"))=0,"",SUMPRODUCT((INPUT!$T$3:$T$3000=46050)*(INPUT!$U$3:$U$3000="PANI")*(INPUT!$V$3:$V$3000+INPUT!$W$3:$W$3000+INPUT!$X$3:$X$3000+INPUT!$Y$3:$Y$3000))),"")</f>
        <v>11</v>
      </c>
      <c r="EB15" s="42" cm="1">
        <f t="array" ref="EB15">IFERROR(IF(SUMPRODUCT((INPUT!$T$3:$T$3000=46051)*(INPUT!$U$3:$U$3000="PANI"))=0,"",SUMPRODUCT((INPUT!$T$3:$T$3000=46051)*(INPUT!$U$3:$U$3000="PANI")*(INPUT!$V$3:$V$3000+INPUT!$W$3:$W$3000+INPUT!$X$3:$X$3000+INPUT!$Y$3:$Y$3000))),"")</f>
        <v>12</v>
      </c>
      <c r="EC15" s="42" cm="1">
        <f t="array" ref="EC15">IFERROR(IF(SUMPRODUCT((INPUT!$T$3:$T$3000=46052)*(INPUT!$U$3:$U$3000="PANI"))=0,"",SUMPRODUCT((INPUT!$T$3:$T$3000=46052)*(INPUT!$U$3:$U$3000="PANI")*(INPUT!$V$3:$V$3000+INPUT!$W$3:$W$3000+INPUT!$X$3:$X$3000+INPUT!$Y$3:$Y$3000))),"")</f>
        <v>15</v>
      </c>
      <c r="ED15" s="42" cm="1">
        <f t="array" ref="ED15">IFERROR(IF(SUMPRODUCT((INPUT!$T$3:$T$3000=46055)*(INPUT!$U$3:$U$3000="PANI"))=0,"",SUMPRODUCT((INPUT!$T$3:$T$3000=46055)*(INPUT!$U$3:$U$3000="PANI")*(INPUT!$V$3:$V$3000+INPUT!$W$3:$W$3000+INPUT!$X$3:$X$3000+INPUT!$Y$3:$Y$3000))),"")</f>
        <v>12</v>
      </c>
      <c r="EE15" s="42" cm="1">
        <f t="array" ref="EE15">IFERROR(IF(SUMPRODUCT((INPUT!$T$3:$T$3000=46056)*(INPUT!$U$3:$U$3000="PANI"))=0,"",SUMPRODUCT((INPUT!$T$3:$T$3000=46056)*(INPUT!$U$3:$U$3000="PANI")*(INPUT!$V$3:$V$3000+INPUT!$W$3:$W$3000+INPUT!$X$3:$X$3000+INPUT!$Y$3:$Y$3000))),"")</f>
        <v>11</v>
      </c>
      <c r="EF15" s="42" cm="1">
        <f t="array" ref="EF15">IFERROR(IF(SUMPRODUCT((INPUT!$T$3:$T$3000=46057)*(INPUT!$U$3:$U$3000="PANI"))=0,"",SUMPRODUCT((INPUT!$T$3:$T$3000=46057)*(INPUT!$U$3:$U$3000="PANI")*(INPUT!$V$3:$V$3000+INPUT!$W$3:$W$3000+INPUT!$X$3:$X$3000+INPUT!$Y$3:$Y$3000))),"")</f>
        <v>13</v>
      </c>
      <c r="EG15" s="42" cm="1">
        <f t="array" ref="EG15">IFERROR(IF(SUMPRODUCT((INPUT!$T$3:$T$3000=46058)*(INPUT!$U$3:$U$3000="PANI"))=0,"",SUMPRODUCT((INPUT!$T$3:$T$3000=46058)*(INPUT!$U$3:$U$3000="PANI")*(INPUT!$V$3:$V$3000+INPUT!$W$3:$W$3000+INPUT!$X$3:$X$3000+INPUT!$Y$3:$Y$3000))),"")</f>
        <v>12</v>
      </c>
      <c r="EH15" s="42" cm="1">
        <f t="array" ref="EH15">IFERROR(IF(SUMPRODUCT((INPUT!$T$3:$T$3000=46059)*(INPUT!$U$3:$U$3000="PANI"))=0,"",SUMPRODUCT((INPUT!$T$3:$T$3000=46059)*(INPUT!$U$3:$U$3000="PANI")*(INPUT!$V$3:$V$3000+INPUT!$W$3:$W$3000+INPUT!$X$3:$X$3000+INPUT!$Y$3:$Y$3000))),"")</f>
        <v>17</v>
      </c>
      <c r="EI15" s="42" cm="1">
        <f t="array" ref="EI15">IFERROR(IF(SUMPRODUCT((INPUT!$T$3:$T$3000=46061)*(INPUT!$U$3:$U$3000="PANI"))=0,"",SUMPRODUCT((INPUT!$T$3:$T$3000=46061)*(INPUT!$U$3:$U$3000="PANI")*(INPUT!$V$3:$V$3000+INPUT!$W$3:$W$3000+INPUT!$X$3:$X$3000+INPUT!$Y$3:$Y$3000))),"")</f>
        <v>10</v>
      </c>
      <c r="EJ15" s="42" cm="1">
        <f t="array" ref="EJ15">IFERROR(IF(SUMPRODUCT((INPUT!$T$3:$T$3000=46062)*(INPUT!$U$3:$U$3000="PANI"))=0,"",SUMPRODUCT((INPUT!$T$3:$T$3000=46062)*(INPUT!$U$3:$U$3000="PANI")*(INPUT!$V$3:$V$3000+INPUT!$W$3:$W$3000+INPUT!$X$3:$X$3000+INPUT!$Y$3:$Y$3000))),"")</f>
        <v>12</v>
      </c>
      <c r="EK15" s="42" cm="1">
        <f t="array" ref="EK15">IFERROR(IF(SUMPRODUCT((INPUT!$T$3:$T$3000=46063)*(INPUT!$U$3:$U$3000="PANI"))=0,"",SUMPRODUCT((INPUT!$T$3:$T$3000=46063)*(INPUT!$U$3:$U$3000="PANI")*(INPUT!$V$3:$V$3000+INPUT!$W$3:$W$3000+INPUT!$X$3:$X$3000+INPUT!$Y$3:$Y$3000))),"")</f>
        <v>14</v>
      </c>
      <c r="EL15" s="42" cm="1">
        <f t="array" ref="EL15">IFERROR(IF(SUMPRODUCT((INPUT!$T$3:$T$3000=46064)*(INPUT!$U$3:$U$3000="PANI"))=0,"",SUMPRODUCT((INPUT!$T$3:$T$3000=46064)*(INPUT!$U$3:$U$3000="PANI")*(INPUT!$V$3:$V$3000+INPUT!$W$3:$W$3000+INPUT!$X$3:$X$3000+INPUT!$Y$3:$Y$3000))),"")</f>
        <v>17</v>
      </c>
      <c r="EM15" s="42" cm="1">
        <f t="array" ref="EM15">IFERROR(IF(SUMPRODUCT((INPUT!$T$3:$T$3000=46065)*(INPUT!$U$3:$U$3000="PANI"))=0,"",SUMPRODUCT((INPUT!$T$3:$T$3000=46065)*(INPUT!$U$3:$U$3000="PANI")*(INPUT!$V$3:$V$3000+INPUT!$W$3:$W$3000+INPUT!$X$3:$X$3000+INPUT!$Y$3:$Y$3000))),"")</f>
        <v>13</v>
      </c>
      <c r="EN15" s="42" cm="1">
        <f t="array" ref="EN15">IFERROR(IF(SUMPRODUCT((INPUT!$T$3:$T$3000=46066)*(INPUT!$U$3:$U$3000="PANI"))=0,"",SUMPRODUCT((INPUT!$T$3:$T$3000=46066)*(INPUT!$U$3:$U$3000="PANI")*(INPUT!$V$3:$V$3000+INPUT!$W$3:$W$3000+INPUT!$X$3:$X$3000+INPUT!$Y$3:$Y$3000))),"")</f>
        <v>13</v>
      </c>
      <c r="EO15" s="42" cm="1">
        <f t="array" ref="EO15">IFERROR(IF(SUMPRODUCT((INPUT!$T$3:$T$3000=46067)*(INPUT!$U$3:$U$3000="PANI"))=0,"",SUMPRODUCT((INPUT!$T$3:$T$3000=46067)*(INPUT!$U$3:$U$3000="PANI")*(INPUT!$V$3:$V$3000+INPUT!$W$3:$W$3000+INPUT!$X$3:$X$3000+INPUT!$Y$3:$Y$3000))),"")</f>
        <v>16</v>
      </c>
      <c r="EP15" s="42" cm="1">
        <f t="array" ref="EP15">IFERROR(IF(SUMPRODUCT((INPUT!$T$3:$T$3000=46069)*(INPUT!$U$3:$U$3000="PANI"))=0,"",SUMPRODUCT((INPUT!$T$3:$T$3000=46069)*(INPUT!$U$3:$U$3000="PANI")*(INPUT!$V$3:$V$3000+INPUT!$W$3:$W$3000+INPUT!$X$3:$X$3000+INPUT!$Y$3:$Y$3000))),"")</f>
        <v>14</v>
      </c>
      <c r="EQ15" s="42" cm="1">
        <f t="array" ref="EQ15">IFERROR(IF(SUMPRODUCT((INPUT!$T$3:$T$3000=46072)*(INPUT!$U$3:$U$3000="PANI"))=0,"",SUMPRODUCT((INPUT!$T$3:$T$3000=46072)*(INPUT!$U$3:$U$3000="PANI")*(INPUT!$V$3:$V$3000+INPUT!$W$3:$W$3000+INPUT!$X$3:$X$3000+INPUT!$Y$3:$Y$3000))),"")</f>
        <v>11</v>
      </c>
      <c r="ER15" s="42" cm="1">
        <f t="array" ref="ER15">IFERROR(IF(SUMPRODUCT((INPUT!$T$3:$T$3000=46073)*(INPUT!$U$3:$U$3000="PANI"))=0,"",SUMPRODUCT((INPUT!$T$3:$T$3000=46073)*(INPUT!$U$3:$U$3000="PANI")*(INPUT!$V$3:$V$3000+INPUT!$W$3:$W$3000+INPUT!$X$3:$X$3000+INPUT!$Y$3:$Y$3000))),"")</f>
        <v>13</v>
      </c>
      <c r="ES15" s="42" cm="1">
        <f t="array" ref="ES15">IFERROR(IF(SUMPRODUCT((INPUT!$T$3:$T$3000=46076)*(INPUT!$U$3:$U$3000="PANI"))=0,"",SUMPRODUCT((INPUT!$T$3:$T$3000=46076)*(INPUT!$U$3:$U$3000="PANI")*(INPUT!$V$3:$V$3000+INPUT!$W$3:$W$3000+INPUT!$X$3:$X$3000+INPUT!$Y$3:$Y$3000))),"")</f>
        <v>15</v>
      </c>
      <c r="ET15" s="42" cm="1">
        <f t="array" ref="ET15">IFERROR(IF(SUMPRODUCT((INPUT!$T$3:$T$3000=46077)*(INPUT!$U$3:$U$3000="PANI"))=0,"",SUMPRODUCT((INPUT!$T$3:$T$3000=46077)*(INPUT!$U$3:$U$3000="PANI")*(INPUT!$V$3:$V$3000+INPUT!$W$3:$W$3000+INPUT!$X$3:$X$3000+INPUT!$Y$3:$Y$3000))),"")</f>
        <v>13</v>
      </c>
      <c r="EU15" s="42" cm="1">
        <f t="array" ref="EU15">IFERROR(IF(SUMPRODUCT((INPUT!$T$3:$T$3000=46078)*(INPUT!$U$3:$U$3000="PANI"))=0,"",SUMPRODUCT((INPUT!$T$3:$T$3000=46078)*(INPUT!$U$3:$U$3000="PANI")*(INPUT!$V$3:$V$3000+INPUT!$W$3:$W$3000+INPUT!$X$3:$X$3000+INPUT!$Y$3:$Y$3000))),"")</f>
        <v>13</v>
      </c>
      <c r="EV15" s="42" cm="1">
        <f t="array" ref="EV15">IFERROR(IF(SUMPRODUCT((INPUT!$T$3:$T$3000=46079)*(INPUT!$U$3:$U$3000="PANI"))=0,"",SUMPRODUCT((INPUT!$T$3:$T$3000=46079)*(INPUT!$U$3:$U$3000="PANI")*(INPUT!$V$3:$V$3000+INPUT!$W$3:$W$3000+INPUT!$X$3:$X$3000+INPUT!$Y$3:$Y$3000))),"")</f>
        <v>13</v>
      </c>
      <c r="EW15" s="42" cm="1">
        <f t="array" ref="EW15">IFERROR(IF(SUMPRODUCT((INPUT!$T$3:$T$3000=46080)*(INPUT!$U$3:$U$3000="PANI"))=0,"",SUMPRODUCT((INPUT!$T$3:$T$3000=46080)*(INPUT!$U$3:$U$3000="PANI")*(INPUT!$V$3:$V$3000+INPUT!$W$3:$W$3000+INPUT!$X$3:$X$3000+INPUT!$Y$3:$Y$3000))),"")</f>
        <v>12</v>
      </c>
      <c r="EX15" s="42" cm="1">
        <f t="array" ref="EX15">IFERROR(IF(SUMPRODUCT((INPUT!$T$3:$T$3000=46082)*(INPUT!$U$3:$U$3000="PANI"))=0,"",SUMPRODUCT((INPUT!$T$3:$T$3000=46082)*(INPUT!$U$3:$U$3000="PANI")*(INPUT!$V$3:$V$3000+INPUT!$W$3:$W$3000+INPUT!$X$3:$X$3000+INPUT!$Y$3:$Y$3000))),"")</f>
        <v>16</v>
      </c>
      <c r="EY15" s="42" cm="1">
        <f t="array" ref="EY15">IFERROR(IF(SUMPRODUCT((INPUT!$T$3:$T$3000=46084)*(INPUT!$U$3:$U$3000="PANI"))=0,"",SUMPRODUCT((INPUT!$T$3:$T$3000=46084)*(INPUT!$U$3:$U$3000="PANI")*(INPUT!$V$3:$V$3000+INPUT!$W$3:$W$3000+INPUT!$X$3:$X$3000+INPUT!$Y$3:$Y$3000))),"")</f>
        <v>16</v>
      </c>
      <c r="EZ15" s="42" cm="1">
        <f t="array" ref="EZ15">IFERROR(IF(SUMPRODUCT((INPUT!$T$3:$T$3000=46085)*(INPUT!$U$3:$U$3000="PANI"))=0,"",SUMPRODUCT((INPUT!$T$3:$T$3000=46085)*(INPUT!$U$3:$U$3000="PANI")*(INPUT!$V$3:$V$3000+INPUT!$W$3:$W$3000+INPUT!$X$3:$X$3000+INPUT!$Y$3:$Y$3000))),"")</f>
        <v>14</v>
      </c>
      <c r="FA15" s="42" cm="1">
        <f t="array" ref="FA15">IFERROR(IF(SUMPRODUCT((INPUT!$T$3:$T$3000=46086)*(INPUT!$U$3:$U$3000="PANI"))=0,"",SUMPRODUCT((INPUT!$T$3:$T$3000=46086)*(INPUT!$U$3:$U$3000="PANI")*(INPUT!$V$3:$V$3000+INPUT!$W$3:$W$3000+INPUT!$X$3:$X$3000+INPUT!$Y$3:$Y$3000))),"")</f>
        <v>14</v>
      </c>
      <c r="FB15" s="42" cm="1">
        <f t="array" ref="FB15">IFERROR(IF(SUMPRODUCT((INPUT!$T$3:$T$3000=46087)*(INPUT!$U$3:$U$3000="PANI"))=0,"",SUMPRODUCT((INPUT!$T$3:$T$3000=46087)*(INPUT!$U$3:$U$3000="PANI")*(INPUT!$V$3:$V$3000+INPUT!$W$3:$W$3000+INPUT!$X$3:$X$3000+INPUT!$Y$3:$Y$3000))),"")</f>
        <v>18</v>
      </c>
      <c r="FC15" s="42" cm="1">
        <f t="array" ref="FC15">IFERROR(IF(SUMPRODUCT((INPUT!$T$3:$T$3000=46090)*(INPUT!$U$3:$U$3000="PANI"))=0,"",SUMPRODUCT((INPUT!$T$3:$T$3000=46090)*(INPUT!$U$3:$U$3000="PANI")*(INPUT!$V$3:$V$3000+INPUT!$W$3:$W$3000+INPUT!$X$3:$X$3000+INPUT!$Y$3:$Y$3000))),"")</f>
        <v>13</v>
      </c>
      <c r="FD15" s="42" cm="1">
        <f t="array" ref="FD15">IFERROR(IF(SUMPRODUCT((INPUT!$T$3:$T$3000=46091)*(INPUT!$U$3:$U$3000="PANI"))=0,"",SUMPRODUCT((INPUT!$T$3:$T$3000=46091)*(INPUT!$U$3:$U$3000="PANI")*(INPUT!$V$3:$V$3000+INPUT!$W$3:$W$3000+INPUT!$X$3:$X$3000+INPUT!$Y$3:$Y$3000))),"")</f>
        <v>14</v>
      </c>
      <c r="FE15" s="42" cm="1">
        <f t="array" ref="FE15">IFERROR(IF(SUMPRODUCT((INPUT!$T$3:$T$3000=46092)*(INPUT!$U$3:$U$3000="PANI"))=0,"",SUMPRODUCT((INPUT!$T$3:$T$3000=46092)*(INPUT!$U$3:$U$3000="PANI")*(INPUT!$V$3:$V$3000+INPUT!$W$3:$W$3000+INPUT!$X$3:$X$3000+INPUT!$Y$3:$Y$3000))),"")</f>
        <v>15</v>
      </c>
      <c r="FF15" s="42" cm="1">
        <f t="array" ref="FF15">IFERROR(IF(SUMPRODUCT((INPUT!$T$3:$T$3000=46093)*(INPUT!$U$3:$U$3000="PANI"))=0,"",SUMPRODUCT((INPUT!$T$3:$T$3000=46093)*(INPUT!$U$3:$U$3000="PANI")*(INPUT!$V$3:$V$3000+INPUT!$W$3:$W$3000+INPUT!$X$3:$X$3000+INPUT!$Y$3:$Y$3000))),"")</f>
        <v>14</v>
      </c>
      <c r="FG15" s="42" cm="1">
        <f t="array" ref="FG15">IFERROR(IF(SUMPRODUCT((INPUT!$T$3:$T$3000=46094)*(INPUT!$U$3:$U$3000="PANI"))=0,"",SUMPRODUCT((INPUT!$T$3:$T$3000=46094)*(INPUT!$U$3:$U$3000="PANI")*(INPUT!$V$3:$V$3000+INPUT!$W$3:$W$3000+INPUT!$X$3:$X$3000+INPUT!$Y$3:$Y$3000))),"")</f>
        <v>17</v>
      </c>
      <c r="FH15" s="42" cm="1">
        <f t="array" ref="FH15">IFERROR(IF(SUMPRODUCT((INPUT!$T$3:$T$3000=46096)*(INPUT!$U$3:$U$3000="PANI"))=0,"",SUMPRODUCT((INPUT!$T$3:$T$3000=46096)*(INPUT!$U$3:$U$3000="PANI")*(INPUT!$V$3:$V$3000+INPUT!$W$3:$W$3000+INPUT!$X$3:$X$3000+INPUT!$Y$3:$Y$3000))),"")</f>
        <v>17</v>
      </c>
      <c r="FI15" s="42" cm="1">
        <f t="array" ref="FI15">IFERROR(IF(SUMPRODUCT((INPUT!$T$3:$T$3000=46097)*(INPUT!$U$3:$U$3000="PANI"))=0,"",SUMPRODUCT((INPUT!$T$3:$T$3000=46097)*(INPUT!$U$3:$U$3000="PANI")*(INPUT!$V$3:$V$3000+INPUT!$W$3:$W$3000+INPUT!$X$3:$X$3000+INPUT!$Y$3:$Y$3000))),"")</f>
        <v>14</v>
      </c>
      <c r="FJ15" s="42" cm="1">
        <f t="array" ref="FJ15">IFERROR(IF(SUMPRODUCT((INPUT!$T$3:$T$3000=46098)*(INPUT!$U$3:$U$3000="PANI"))=0,"",SUMPRODUCT((INPUT!$T$3:$T$3000=46098)*(INPUT!$U$3:$U$3000="PANI")*(INPUT!$V$3:$V$3000+INPUT!$W$3:$W$3000+INPUT!$X$3:$X$3000+INPUT!$Y$3:$Y$3000))),"")</f>
        <v>14</v>
      </c>
      <c r="FK15" s="42" cm="1">
        <f t="array" ref="FK15">IFERROR(IF(SUMPRODUCT((INPUT!$T$3:$T$3000=46099)*(INPUT!$U$3:$U$3000="PANI"))=0,"",SUMPRODUCT((INPUT!$T$3:$T$3000=46099)*(INPUT!$U$3:$U$3000="PANI")*(INPUT!$V$3:$V$3000+INPUT!$W$3:$W$3000+INPUT!$X$3:$X$3000+INPUT!$Y$3:$Y$3000))),"")</f>
        <v>18</v>
      </c>
      <c r="FL15" s="42" cm="1">
        <f t="array" ref="FL15">IFERROR(IF(SUMPRODUCT((INPUT!$T$3:$T$3000=46102)*(INPUT!$U$3:$U$3000="PANI"))=0,"",SUMPRODUCT((INPUT!$T$3:$T$3000=46102)*(INPUT!$U$3:$U$3000="PANI")*(INPUT!$V$3:$V$3000+INPUT!$W$3:$W$3000+INPUT!$X$3:$X$3000+INPUT!$Y$3:$Y$3000))),"")</f>
        <v>20</v>
      </c>
      <c r="FM15" s="42" cm="1">
        <f t="array" ref="FM15">IFERROR(IF(SUMPRODUCT((INPUT!$T$3:$T$3000=46105)*(INPUT!$U$3:$U$3000="PANI"))=0,"",SUMPRODUCT((INPUT!$T$3:$T$3000=46105)*(INPUT!$U$3:$U$3000="PANI")*(INPUT!$V$3:$V$3000+INPUT!$W$3:$W$3000+INPUT!$X$3:$X$3000+INPUT!$Y$3:$Y$3000))),"")</f>
        <v>12</v>
      </c>
      <c r="FN15" s="42" cm="1">
        <f t="array" ref="FN15">IFERROR(IF(SUMPRODUCT((INPUT!$T$3:$T$3000=46106)*(INPUT!$U$3:$U$3000="PANI"))=0,"",SUMPRODUCT((INPUT!$T$3:$T$3000=46106)*(INPUT!$U$3:$U$3000="PANI")*(INPUT!$V$3:$V$3000+INPUT!$W$3:$W$3000+INPUT!$X$3:$X$3000+INPUT!$Y$3:$Y$3000))),"")</f>
        <v>16</v>
      </c>
      <c r="FO15" s="42" cm="1">
        <f t="array" ref="FO15">IFERROR(IF(SUMPRODUCT((INPUT!$T$3:$T$3000=46107)*(INPUT!$U$3:$U$3000="PANI"))=0,"",SUMPRODUCT((INPUT!$T$3:$T$3000=46107)*(INPUT!$U$3:$U$3000="PANI")*(INPUT!$V$3:$V$3000+INPUT!$W$3:$W$3000+INPUT!$X$3:$X$3000+INPUT!$Y$3:$Y$3000))),"")</f>
        <v>16</v>
      </c>
      <c r="FP15" s="42" cm="1">
        <f t="array" ref="FP15">IFERROR(IF(SUMPRODUCT((INPUT!$T$3:$T$3000=46108)*(INPUT!$U$3:$U$3000="PANI"))=0,"",SUMPRODUCT((INPUT!$T$3:$T$3000=46108)*(INPUT!$U$3:$U$3000="PANI")*(INPUT!$V$3:$V$3000+INPUT!$W$3:$W$3000+INPUT!$X$3:$X$3000+INPUT!$Y$3:$Y$3000))),"")</f>
        <v>16</v>
      </c>
      <c r="FQ15" s="42" cm="1">
        <f t="array" ref="FQ15">IFERROR(IF(SUMPRODUCT((INPUT!$T$3:$T$3000=46109)*(INPUT!$U$3:$U$3000="PANI"))=0,"",SUMPRODUCT((INPUT!$T$3:$T$3000=46109)*(INPUT!$U$3:$U$3000="PANI")*(INPUT!$V$3:$V$3000+INPUT!$W$3:$W$3000+INPUT!$X$3:$X$3000+INPUT!$Y$3:$Y$3000))),"")</f>
        <v>13</v>
      </c>
      <c r="FR15" s="42" cm="1">
        <f t="array" ref="FR15">IFERROR(IF(SUMPRODUCT((INPUT!$T$3:$T$3000=46111)*(INPUT!$U$3:$U$3000="PANI"))=0,"",SUMPRODUCT((INPUT!$T$3:$T$3000=46111)*(INPUT!$U$3:$U$3000="PANI")*(INPUT!$V$3:$V$3000+INPUT!$W$3:$W$3000+INPUT!$X$3:$X$3000+INPUT!$Y$3:$Y$3000))),"")</f>
        <v>13</v>
      </c>
      <c r="FS15" s="42" cm="1">
        <f t="array" ref="FS15">IFERROR(IF(SUMPRODUCT((INPUT!$T$3:$T$3000=46112)*(INPUT!$U$3:$U$3000="PANI"))=0,"",SUMPRODUCT((INPUT!$T$3:$T$3000=46112)*(INPUT!$U$3:$U$3000="PANI")*(INPUT!$V$3:$V$3000+INPUT!$W$3:$W$3000+INPUT!$X$3:$X$3000+INPUT!$Y$3:$Y$3000))),"")</f>
        <v>14</v>
      </c>
      <c r="FT15" s="42" cm="1">
        <f t="array" ref="FT15">IFERROR(IF(SUMPRODUCT((INPUT!$T$3:$T$3000=46113)*(INPUT!$U$3:$U$3000="PANI"))=0,"",SUMPRODUCT((INPUT!$T$3:$T$3000=46113)*(INPUT!$U$3:$U$3000="PANI")*(INPUT!$V$3:$V$3000+INPUT!$W$3:$W$3000+INPUT!$X$3:$X$3000+INPUT!$Y$3:$Y$3000))),"")</f>
        <v>14</v>
      </c>
      <c r="FU15" s="42" cm="1">
        <f t="array" ref="FU15">IFERROR(IF(SUMPRODUCT((INPUT!$T$3:$T$3000=46114)*(INPUT!$U$3:$U$3000="PANI"))=0,"",SUMPRODUCT((INPUT!$T$3:$T$3000=46114)*(INPUT!$U$3:$U$3000="PANI")*(INPUT!$V$3:$V$3000+INPUT!$W$3:$W$3000+INPUT!$X$3:$X$3000+INPUT!$Y$3:$Y$3000))),"")</f>
        <v>13</v>
      </c>
      <c r="FV15" s="42" cm="1">
        <f t="array" ref="FV15">IFERROR(IF(SUMPRODUCT((INPUT!$T$3:$T$3000=46115)*(INPUT!$U$3:$U$3000="PANI"))=0,"",SUMPRODUCT((INPUT!$T$3:$T$3000=46115)*(INPUT!$U$3:$U$3000="PANI")*(INPUT!$V$3:$V$3000+INPUT!$W$3:$W$3000+INPUT!$X$3:$X$3000+INPUT!$Y$3:$Y$3000))),"")</f>
        <v>13</v>
      </c>
      <c r="FW15" s="42" cm="1">
        <f t="array" ref="FW15">IFERROR(IF(SUMPRODUCT((INPUT!$T$3:$T$3000=46116)*(INPUT!$U$3:$U$3000="PANI"))=0,"",SUMPRODUCT((INPUT!$T$3:$T$3000=46116)*(INPUT!$U$3:$U$3000="PANI")*(INPUT!$V$3:$V$3000+INPUT!$W$3:$W$3000+INPUT!$X$3:$X$3000+INPUT!$Y$3:$Y$3000))),"")</f>
        <v>14</v>
      </c>
      <c r="FX15" s="42" cm="1">
        <f t="array" ref="FX15">IFERROR(IF(SUMPRODUCT((INPUT!$T$3:$T$3000=46118)*(INPUT!$U$3:$U$3000="PANI"))=0,"",SUMPRODUCT((INPUT!$T$3:$T$3000=46118)*(INPUT!$U$3:$U$3000="PANI")*(INPUT!$V$3:$V$3000+INPUT!$W$3:$W$3000+INPUT!$X$3:$X$3000+INPUT!$Y$3:$Y$3000))),"")</f>
        <v>14</v>
      </c>
      <c r="FY15" s="42" cm="1">
        <f t="array" ref="FY15">IFERROR(IF(SUMPRODUCT((INPUT!$T$3:$T$3000=46119)*(INPUT!$U$3:$U$3000="PANI"))=0,"",SUMPRODUCT((INPUT!$T$3:$T$3000=46119)*(INPUT!$U$3:$U$3000="PANI")*(INPUT!$V$3:$V$3000+INPUT!$W$3:$W$3000+INPUT!$X$3:$X$3000+INPUT!$Y$3:$Y$3000))),"")</f>
        <v>11</v>
      </c>
      <c r="FZ15" s="42" cm="1">
        <f t="array" ref="FZ15">IFERROR(IF(SUMPRODUCT((INPUT!$T$3:$T$3000=46120)*(INPUT!$U$3:$U$3000="PANI"))=0,"",SUMPRODUCT((INPUT!$T$3:$T$3000=46120)*(INPUT!$U$3:$U$3000="PANI")*(INPUT!$V$3:$V$3000+INPUT!$W$3:$W$3000+INPUT!$X$3:$X$3000+INPUT!$Y$3:$Y$3000))),"")</f>
        <v>8</v>
      </c>
      <c r="GA15" s="42" cm="1">
        <f t="array" ref="GA15">IFERROR(IF(SUMPRODUCT((INPUT!$T$3:$T$3000=46121)*(INPUT!$U$3:$U$3000="PANI"))=0,"",SUMPRODUCT((INPUT!$T$3:$T$3000=46121)*(INPUT!$U$3:$U$3000="PANI")*(INPUT!$V$3:$V$3000+INPUT!$W$3:$W$3000+INPUT!$X$3:$X$3000+INPUT!$Y$3:$Y$3000))),"")</f>
        <v>13</v>
      </c>
      <c r="GB15" s="42" cm="1">
        <f t="array" ref="GB15">IFERROR(IF(SUMPRODUCT((INPUT!$T$3:$T$3000=46122)*(INPUT!$U$3:$U$3000="PANI"))=0,"",SUMPRODUCT((INPUT!$T$3:$T$3000=46122)*(INPUT!$U$3:$U$3000="PANI")*(INPUT!$V$3:$V$3000+INPUT!$W$3:$W$3000+INPUT!$X$3:$X$3000+INPUT!$Y$3:$Y$3000))),"")</f>
        <v>13</v>
      </c>
      <c r="GC15" s="42" cm="1">
        <f t="array" ref="GC15">IFERROR(IF(SUMPRODUCT((INPUT!$T$3:$T$3000=46125)*(INPUT!$U$3:$U$3000="PANI"))=0,"",SUMPRODUCT((INPUT!$T$3:$T$3000=46125)*(INPUT!$U$3:$U$3000="PANI")*(INPUT!$V$3:$V$3000+INPUT!$W$3:$W$3000+INPUT!$X$3:$X$3000+INPUT!$Y$3:$Y$3000))),"")</f>
        <v>15</v>
      </c>
      <c r="GD15" s="42" cm="1">
        <f t="array" ref="GD15">IFERROR(IF(SUMPRODUCT((INPUT!$T$3:$T$3000=46126)*(INPUT!$U$3:$U$3000="PANI"))=0,"",SUMPRODUCT((INPUT!$T$3:$T$3000=46126)*(INPUT!$U$3:$U$3000="PANI")*(INPUT!$V$3:$V$3000+INPUT!$W$3:$W$3000+INPUT!$X$3:$X$3000+INPUT!$Y$3:$Y$3000))),"")</f>
        <v>15</v>
      </c>
      <c r="GE15" s="42" cm="1">
        <f t="array" ref="GE15">IFERROR(IF(SUMPRODUCT((INPUT!$T$3:$T$3000=46127)*(INPUT!$U$3:$U$3000="PANI"))=0,"",SUMPRODUCT((INPUT!$T$3:$T$3000=46127)*(INPUT!$U$3:$U$3000="PANI")*(INPUT!$V$3:$V$3000+INPUT!$W$3:$W$3000+INPUT!$X$3:$X$3000+INPUT!$Y$3:$Y$3000))),"")</f>
        <v>14</v>
      </c>
      <c r="GF15" s="42" cm="1">
        <f t="array" ref="GF15">IFERROR(IF(SUMPRODUCT((INPUT!$T$3:$T$3000=46128)*(INPUT!$U$3:$U$3000="PANI"))=0,"",SUMPRODUCT((INPUT!$T$3:$T$3000=46128)*(INPUT!$U$3:$U$3000="PANI")*(INPUT!$V$3:$V$3000+INPUT!$W$3:$W$3000+INPUT!$X$3:$X$3000+INPUT!$Y$3:$Y$3000))),"")</f>
        <v>12</v>
      </c>
      <c r="GG15" s="42" cm="1">
        <f t="array" ref="GG15">IFERROR(IF(SUMPRODUCT((INPUT!$T$3:$T$3000=46129)*(INPUT!$U$3:$U$3000="PANI"))=0,"",SUMPRODUCT((INPUT!$T$3:$T$3000=46129)*(INPUT!$U$3:$U$3000="PANI")*(INPUT!$V$3:$V$3000+INPUT!$W$3:$W$3000+INPUT!$X$3:$X$3000+INPUT!$Y$3:$Y$3000))),"")</f>
        <v>12</v>
      </c>
      <c r="GH15" s="42" cm="1">
        <f t="array" ref="GH15">IFERROR(IF(SUMPRODUCT((INPUT!$T$3:$T$3000=46130)*(INPUT!$U$3:$U$3000="PANI"))=0,"",SUMPRODUCT((INPUT!$T$3:$T$3000=46130)*(INPUT!$U$3:$U$3000="PANI")*(INPUT!$V$3:$V$3000+INPUT!$W$3:$W$3000+INPUT!$X$3:$X$3000+INPUT!$Y$3:$Y$3000))),"")</f>
        <v>16</v>
      </c>
      <c r="GI15" s="42" cm="1">
        <f t="array" ref="GI15">IFERROR(IF(SUMPRODUCT((INPUT!$T$3:$T$3000=46132)*(INPUT!$U$3:$U$3000="PANI"))=0,"",SUMPRODUCT((INPUT!$T$3:$T$3000=46132)*(INPUT!$U$3:$U$3000="PANI")*(INPUT!$V$3:$V$3000+INPUT!$W$3:$W$3000+INPUT!$X$3:$X$3000+INPUT!$Y$3:$Y$3000))),"")</f>
        <v>12</v>
      </c>
    </row>
    <row r="16" spans="1:191" x14ac:dyDescent="0.2">
      <c r="A16" t="s">
        <v>51</v>
      </c>
      <c r="B16" s="42" cm="1">
        <f t="array" ref="B16">IFERROR(IF(SUMPRODUCT((INPUT!$T$3:$T$3000=45868)*(INPUT!$U$3:$U$3000="PIRATA"))=0,"",SUMPRODUCT((INPUT!$T$3:$T$3000=45868)*(INPUT!$U$3:$U$3000="PIRATA")*(INPUT!$V$3:$V$3000+INPUT!$W$3:$W$3000+INPUT!$X$3:$X$3000+INPUT!$Y$3:$Y$3000))),"")</f>
        <v>20</v>
      </c>
      <c r="C16" s="42" cm="1">
        <f t="array" ref="C16">IFERROR(IF(SUMPRODUCT((INPUT!$T$3:$T$3000=45869)*(INPUT!$U$3:$U$3000="PIRATA"))=0,"",SUMPRODUCT((INPUT!$T$3:$T$3000=45869)*(INPUT!$U$3:$U$3000="PIRATA")*(INPUT!$V$3:$V$3000+INPUT!$W$3:$W$3000+INPUT!$X$3:$X$3000+INPUT!$Y$3:$Y$3000))),"")</f>
        <v>18</v>
      </c>
      <c r="D16" s="42" cm="1">
        <f t="array" ref="D16">IFERROR(IF(SUMPRODUCT((INPUT!$T$3:$T$3000=45870)*(INPUT!$U$3:$U$3000="PIRATA"))=0,"",SUMPRODUCT((INPUT!$T$3:$T$3000=45870)*(INPUT!$U$3:$U$3000="PIRATA")*(INPUT!$V$3:$V$3000+INPUT!$W$3:$W$3000+INPUT!$X$3:$X$3000+INPUT!$Y$3:$Y$3000))),"")</f>
        <v>15</v>
      </c>
      <c r="E16" s="42" cm="1">
        <f t="array" ref="E16">IFERROR(IF(SUMPRODUCT((INPUT!$T$3:$T$3000=45873)*(INPUT!$U$3:$U$3000="PIRATA"))=0,"",SUMPRODUCT((INPUT!$T$3:$T$3000=45873)*(INPUT!$U$3:$U$3000="PIRATA")*(INPUT!$V$3:$V$3000+INPUT!$W$3:$W$3000+INPUT!$X$3:$X$3000+INPUT!$Y$3:$Y$3000))),"")</f>
        <v>19</v>
      </c>
      <c r="F16" s="42" cm="1">
        <f t="array" ref="F16">IFERROR(IF(SUMPRODUCT((INPUT!$T$3:$T$3000=45874)*(INPUT!$U$3:$U$3000="PIRATA"))=0,"",SUMPRODUCT((INPUT!$T$3:$T$3000=45874)*(INPUT!$U$3:$U$3000="PIRATA")*(INPUT!$V$3:$V$3000+INPUT!$W$3:$W$3000+INPUT!$X$3:$X$3000+INPUT!$Y$3:$Y$3000))),"")</f>
        <v>14</v>
      </c>
      <c r="G16" s="42" cm="1">
        <f t="array" ref="G16">IFERROR(IF(SUMPRODUCT((INPUT!$T$3:$T$3000=45875)*(INPUT!$U$3:$U$3000="PIRATA"))=0,"",SUMPRODUCT((INPUT!$T$3:$T$3000=45875)*(INPUT!$U$3:$U$3000="PIRATA")*(INPUT!$V$3:$V$3000+INPUT!$W$3:$W$3000+INPUT!$X$3:$X$3000+INPUT!$Y$3:$Y$3000))),"")</f>
        <v>16</v>
      </c>
      <c r="H16" s="42" cm="1">
        <f t="array" ref="H16">IFERROR(IF(SUMPRODUCT((INPUT!$T$3:$T$3000=45876)*(INPUT!$U$3:$U$3000="PIRATA"))=0,"",SUMPRODUCT((INPUT!$T$3:$T$3000=45876)*(INPUT!$U$3:$U$3000="PIRATA")*(INPUT!$V$3:$V$3000+INPUT!$W$3:$W$3000+INPUT!$X$3:$X$3000+INPUT!$Y$3:$Y$3000))),"")</f>
        <v>17</v>
      </c>
      <c r="I16" s="42" cm="1">
        <f t="array" ref="I16">IFERROR(IF(SUMPRODUCT((INPUT!$T$3:$T$3000=45877)*(INPUT!$U$3:$U$3000="PIRATA"))=0,"",SUMPRODUCT((INPUT!$T$3:$T$3000=45877)*(INPUT!$U$3:$U$3000="PIRATA")*(INPUT!$V$3:$V$3000+INPUT!$W$3:$W$3000+INPUT!$X$3:$X$3000+INPUT!$Y$3:$Y$3000))),"")</f>
        <v>17</v>
      </c>
      <c r="J16" s="42" cm="1">
        <f t="array" ref="J16">IFERROR(IF(SUMPRODUCT((INPUT!$T$3:$T$3000=45878)*(INPUT!$U$3:$U$3000="PIRATA"))=0,"",SUMPRODUCT((INPUT!$T$3:$T$3000=45878)*(INPUT!$U$3:$U$3000="PIRATA")*(INPUT!$V$3:$V$3000+INPUT!$W$3:$W$3000+INPUT!$X$3:$X$3000+INPUT!$Y$3:$Y$3000))),"")</f>
        <v>17</v>
      </c>
      <c r="K16" s="42" cm="1">
        <f t="array" ref="K16">IFERROR(IF(SUMPRODUCT((INPUT!$T$3:$T$3000=45880)*(INPUT!$U$3:$U$3000="PIRATA"))=0,"",SUMPRODUCT((INPUT!$T$3:$T$3000=45880)*(INPUT!$U$3:$U$3000="PIRATA")*(INPUT!$V$3:$V$3000+INPUT!$W$3:$W$3000+INPUT!$X$3:$X$3000+INPUT!$Y$3:$Y$3000))),"")</f>
        <v>18</v>
      </c>
      <c r="L16" s="42" cm="1">
        <f t="array" ref="L16">IFERROR(IF(SUMPRODUCT((INPUT!$T$3:$T$3000=45881)*(INPUT!$U$3:$U$3000="PIRATA"))=0,"",SUMPRODUCT((INPUT!$T$3:$T$3000=45881)*(INPUT!$U$3:$U$3000="PIRATA")*(INPUT!$V$3:$V$3000+INPUT!$W$3:$W$3000+INPUT!$X$3:$X$3000+INPUT!$Y$3:$Y$3000))),"")</f>
        <v>17</v>
      </c>
      <c r="M16" s="42" cm="1">
        <f t="array" ref="M16">IFERROR(IF(SUMPRODUCT((INPUT!$T$3:$T$3000=45882)*(INPUT!$U$3:$U$3000="PIRATA"))=0,"",SUMPRODUCT((INPUT!$T$3:$T$3000=45882)*(INPUT!$U$3:$U$3000="PIRATA")*(INPUT!$V$3:$V$3000+INPUT!$W$3:$W$3000+INPUT!$X$3:$X$3000+INPUT!$Y$3:$Y$3000))),"")</f>
        <v>17</v>
      </c>
      <c r="N16" s="42" cm="1">
        <f t="array" ref="N16">IFERROR(IF(SUMPRODUCT((INPUT!$T$3:$T$3000=45883)*(INPUT!$U$3:$U$3000="PIRATA"))=0,"",SUMPRODUCT((INPUT!$T$3:$T$3000=45883)*(INPUT!$U$3:$U$3000="PIRATA")*(INPUT!$V$3:$V$3000+INPUT!$W$3:$W$3000+INPUT!$X$3:$X$3000+INPUT!$Y$3:$Y$3000))),"")</f>
        <v>13</v>
      </c>
      <c r="O16" s="42" cm="1">
        <f t="array" ref="O16">IFERROR(IF(SUMPRODUCT((INPUT!$T$3:$T$3000=45884)*(INPUT!$U$3:$U$3000="PIRATA"))=0,"",SUMPRODUCT((INPUT!$T$3:$T$3000=45884)*(INPUT!$U$3:$U$3000="PIRATA")*(INPUT!$V$3:$V$3000+INPUT!$W$3:$W$3000+INPUT!$X$3:$X$3000+INPUT!$Y$3:$Y$3000))),"")</f>
        <v>16</v>
      </c>
      <c r="P16" s="42" cm="1">
        <f t="array" ref="P16">IFERROR(IF(SUMPRODUCT((INPUT!$T$3:$T$3000=45887)*(INPUT!$U$3:$U$3000="PIRATA"))=0,"",SUMPRODUCT((INPUT!$T$3:$T$3000=45887)*(INPUT!$U$3:$U$3000="PIRATA")*(INPUT!$V$3:$V$3000+INPUT!$W$3:$W$3000+INPUT!$X$3:$X$3000+INPUT!$Y$3:$Y$3000))),"")</f>
        <v>16</v>
      </c>
      <c r="Q16" s="42" cm="1">
        <f t="array" ref="Q16">IFERROR(IF(SUMPRODUCT((INPUT!$T$3:$T$3000=45888)*(INPUT!$U$3:$U$3000="PIRATA"))=0,"",SUMPRODUCT((INPUT!$T$3:$T$3000=45888)*(INPUT!$U$3:$U$3000="PIRATA")*(INPUT!$V$3:$V$3000+INPUT!$W$3:$W$3000+INPUT!$X$3:$X$3000+INPUT!$Y$3:$Y$3000))),"")</f>
        <v>15</v>
      </c>
      <c r="R16" s="42" cm="1">
        <f t="array" ref="R16">IFERROR(IF(SUMPRODUCT((INPUT!$T$3:$T$3000=45889)*(INPUT!$U$3:$U$3000="PIRATA"))=0,"",SUMPRODUCT((INPUT!$T$3:$T$3000=45889)*(INPUT!$U$3:$U$3000="PIRATA")*(INPUT!$V$3:$V$3000+INPUT!$W$3:$W$3000+INPUT!$X$3:$X$3000+INPUT!$Y$3:$Y$3000))),"")</f>
        <v>13</v>
      </c>
      <c r="S16" s="42" cm="1">
        <f t="array" ref="S16">IFERROR(IF(SUMPRODUCT((INPUT!$T$3:$T$3000=45890)*(INPUT!$U$3:$U$3000="PIRATA"))=0,"",SUMPRODUCT((INPUT!$T$3:$T$3000=45890)*(INPUT!$U$3:$U$3000="PIRATA")*(INPUT!$V$3:$V$3000+INPUT!$W$3:$W$3000+INPUT!$X$3:$X$3000+INPUT!$Y$3:$Y$3000))),"")</f>
        <v>13</v>
      </c>
      <c r="T16" s="42" cm="1">
        <f t="array" ref="T16">IFERROR(IF(SUMPRODUCT((INPUT!$T$3:$T$3000=45891)*(INPUT!$U$3:$U$3000="PIRATA"))=0,"",SUMPRODUCT((INPUT!$T$3:$T$3000=45891)*(INPUT!$U$3:$U$3000="PIRATA")*(INPUT!$V$3:$V$3000+INPUT!$W$3:$W$3000+INPUT!$X$3:$X$3000+INPUT!$Y$3:$Y$3000))),"")</f>
        <v>15</v>
      </c>
      <c r="U16" s="42" cm="1">
        <f t="array" ref="U16">IFERROR(IF(SUMPRODUCT((INPUT!$T$3:$T$3000=45892)*(INPUT!$U$3:$U$3000="PIRATA"))=0,"",SUMPRODUCT((INPUT!$T$3:$T$3000=45892)*(INPUT!$U$3:$U$3000="PIRATA")*(INPUT!$V$3:$V$3000+INPUT!$W$3:$W$3000+INPUT!$X$3:$X$3000+INPUT!$Y$3:$Y$3000))),"")</f>
        <v>20</v>
      </c>
      <c r="V16" s="42" cm="1">
        <f t="array" ref="V16">IFERROR(IF(SUMPRODUCT((INPUT!$T$3:$T$3000=45893)*(INPUT!$U$3:$U$3000="PIRATA"))=0,"",SUMPRODUCT((INPUT!$T$3:$T$3000=45893)*(INPUT!$U$3:$U$3000="PIRATA")*(INPUT!$V$3:$V$3000+INPUT!$W$3:$W$3000+INPUT!$X$3:$X$3000+INPUT!$Y$3:$Y$3000))),"")</f>
        <v>18</v>
      </c>
      <c r="W16" s="42" cm="1">
        <f t="array" ref="W16">IFERROR(IF(SUMPRODUCT((INPUT!$T$3:$T$3000=45895)*(INPUT!$U$3:$U$3000="PIRATA"))=0,"",SUMPRODUCT((INPUT!$T$3:$T$3000=45895)*(INPUT!$U$3:$U$3000="PIRATA")*(INPUT!$V$3:$V$3000+INPUT!$W$3:$W$3000+INPUT!$X$3:$X$3000+INPUT!$Y$3:$Y$3000))),"")</f>
        <v>15</v>
      </c>
      <c r="X16" s="42" cm="1">
        <f t="array" ref="X16">IFERROR(IF(SUMPRODUCT((INPUT!$T$3:$T$3000=45896)*(INPUT!$U$3:$U$3000="PIRATA"))=0,"",SUMPRODUCT((INPUT!$T$3:$T$3000=45896)*(INPUT!$U$3:$U$3000="PIRATA")*(INPUT!$V$3:$V$3000+INPUT!$W$3:$W$3000+INPUT!$X$3:$X$3000+INPUT!$Y$3:$Y$3000))),"")</f>
        <v>16</v>
      </c>
      <c r="Y16" s="42" cm="1">
        <f t="array" ref="Y16">IFERROR(IF(SUMPRODUCT((INPUT!$T$3:$T$3000=45898)*(INPUT!$U$3:$U$3000="PIRATA"))=0,"",SUMPRODUCT((INPUT!$T$3:$T$3000=45898)*(INPUT!$U$3:$U$3000="PIRATA")*(INPUT!$V$3:$V$3000+INPUT!$W$3:$W$3000+INPUT!$X$3:$X$3000+INPUT!$Y$3:$Y$3000))),"")</f>
        <v>17</v>
      </c>
      <c r="Z16" s="42" cm="1">
        <f t="array" ref="Z16">IFERROR(IF(SUMPRODUCT((INPUT!$T$3:$T$3000=45899)*(INPUT!$U$3:$U$3000="PIRATA"))=0,"",SUMPRODUCT((INPUT!$T$3:$T$3000=45899)*(INPUT!$U$3:$U$3000="PIRATA")*(INPUT!$V$3:$V$3000+INPUT!$W$3:$W$3000+INPUT!$X$3:$X$3000+INPUT!$Y$3:$Y$3000))),"")</f>
        <v>19</v>
      </c>
      <c r="AA16" s="42" cm="1">
        <f t="array" ref="AA16">IFERROR(IF(SUMPRODUCT((INPUT!$T$3:$T$3000=45900)*(INPUT!$U$3:$U$3000="PIRATA"))=0,"",SUMPRODUCT((INPUT!$T$3:$T$3000=45900)*(INPUT!$U$3:$U$3000="PIRATA")*(INPUT!$V$3:$V$3000+INPUT!$W$3:$W$3000+INPUT!$X$3:$X$3000+INPUT!$Y$3:$Y$3000))),"")</f>
        <v>15</v>
      </c>
      <c r="AB16" s="42" cm="1">
        <f t="array" ref="AB16">IFERROR(IF(SUMPRODUCT((INPUT!$T$3:$T$3000=45902)*(INPUT!$U$3:$U$3000="PIRATA"))=0,"",SUMPRODUCT((INPUT!$T$3:$T$3000=45902)*(INPUT!$U$3:$U$3000="PIRATA")*(INPUT!$V$3:$V$3000+INPUT!$W$3:$W$3000+INPUT!$X$3:$X$3000+INPUT!$Y$3:$Y$3000))),"")</f>
        <v>16</v>
      </c>
      <c r="AC16" s="42" cm="1">
        <f t="array" ref="AC16">IFERROR(IF(SUMPRODUCT((INPUT!$T$3:$T$3000=45903)*(INPUT!$U$3:$U$3000="PIRATA"))=0,"",SUMPRODUCT((INPUT!$T$3:$T$3000=45903)*(INPUT!$U$3:$U$3000="PIRATA")*(INPUT!$V$3:$V$3000+INPUT!$W$3:$W$3000+INPUT!$X$3:$X$3000+INPUT!$Y$3:$Y$3000))),"")</f>
        <v>15</v>
      </c>
      <c r="AD16" s="42" cm="1">
        <f t="array" ref="AD16">IFERROR(IF(SUMPRODUCT((INPUT!$T$3:$T$3000=45904)*(INPUT!$U$3:$U$3000="PIRATA"))=0,"",SUMPRODUCT((INPUT!$T$3:$T$3000=45904)*(INPUT!$U$3:$U$3000="PIRATA")*(INPUT!$V$3:$V$3000+INPUT!$W$3:$W$3000+INPUT!$X$3:$X$3000+INPUT!$Y$3:$Y$3000))),"")</f>
        <v>15</v>
      </c>
      <c r="AE16" s="42" cm="1">
        <f t="array" ref="AE16">IFERROR(IF(SUMPRODUCT((INPUT!$T$3:$T$3000=45905)*(INPUT!$U$3:$U$3000="PIRATA"))=0,"",SUMPRODUCT((INPUT!$T$3:$T$3000=45905)*(INPUT!$U$3:$U$3000="PIRATA")*(INPUT!$V$3:$V$3000+INPUT!$W$3:$W$3000+INPUT!$X$3:$X$3000+INPUT!$Y$3:$Y$3000))),"")</f>
        <v>16</v>
      </c>
      <c r="AF16" s="42" cm="1">
        <f t="array" ref="AF16">IFERROR(IF(SUMPRODUCT((INPUT!$T$3:$T$3000=45906)*(INPUT!$U$3:$U$3000="PIRATA"))=0,"",SUMPRODUCT((INPUT!$T$3:$T$3000=45906)*(INPUT!$U$3:$U$3000="PIRATA")*(INPUT!$V$3:$V$3000+INPUT!$W$3:$W$3000+INPUT!$X$3:$X$3000+INPUT!$Y$3:$Y$3000))),"")</f>
        <v>18</v>
      </c>
      <c r="AG16" s="42" cm="1">
        <f t="array" ref="AG16">IFERROR(IF(SUMPRODUCT((INPUT!$T$3:$T$3000=45908)*(INPUT!$U$3:$U$3000="PIRATA"))=0,"",SUMPRODUCT((INPUT!$T$3:$T$3000=45908)*(INPUT!$U$3:$U$3000="PIRATA")*(INPUT!$V$3:$V$3000+INPUT!$W$3:$W$3000+INPUT!$X$3:$X$3000+INPUT!$Y$3:$Y$3000))),"")</f>
        <v>16</v>
      </c>
      <c r="AH16" s="42" cm="1">
        <f t="array" ref="AH16">IFERROR(IF(SUMPRODUCT((INPUT!$T$3:$T$3000=45909)*(INPUT!$U$3:$U$3000="PIRATA"))=0,"",SUMPRODUCT((INPUT!$T$3:$T$3000=45909)*(INPUT!$U$3:$U$3000="PIRATA")*(INPUT!$V$3:$V$3000+INPUT!$W$3:$W$3000+INPUT!$X$3:$X$3000+INPUT!$Y$3:$Y$3000))),"")</f>
        <v>19</v>
      </c>
      <c r="AI16" s="42" cm="1">
        <f t="array" ref="AI16">IFERROR(IF(SUMPRODUCT((INPUT!$T$3:$T$3000=45911)*(INPUT!$U$3:$U$3000="PIRATA"))=0,"",SUMPRODUCT((INPUT!$T$3:$T$3000=45911)*(INPUT!$U$3:$U$3000="PIRATA")*(INPUT!$V$3:$V$3000+INPUT!$W$3:$W$3000+INPUT!$X$3:$X$3000+INPUT!$Y$3:$Y$3000))),"")</f>
        <v>15</v>
      </c>
      <c r="AJ16" s="42" cm="1">
        <f t="array" ref="AJ16">IFERROR(IF(SUMPRODUCT((INPUT!$T$3:$T$3000=45912)*(INPUT!$U$3:$U$3000="PIRATA"))=0,"",SUMPRODUCT((INPUT!$T$3:$T$3000=45912)*(INPUT!$U$3:$U$3000="PIRATA")*(INPUT!$V$3:$V$3000+INPUT!$W$3:$W$3000+INPUT!$X$3:$X$3000+INPUT!$Y$3:$Y$3000))),"")</f>
        <v>17</v>
      </c>
      <c r="AK16" s="42" cm="1">
        <f t="array" ref="AK16">IFERROR(IF(SUMPRODUCT((INPUT!$T$3:$T$3000=45913)*(INPUT!$U$3:$U$3000="PIRATA"))=0,"",SUMPRODUCT((INPUT!$T$3:$T$3000=45913)*(INPUT!$U$3:$U$3000="PIRATA")*(INPUT!$V$3:$V$3000+INPUT!$W$3:$W$3000+INPUT!$X$3:$X$3000+INPUT!$Y$3:$Y$3000))),"")</f>
        <v>20</v>
      </c>
      <c r="AL16" s="42" cm="1">
        <f t="array" ref="AL16">IFERROR(IF(SUMPRODUCT((INPUT!$T$3:$T$3000=45915)*(INPUT!$U$3:$U$3000="PIRATA"))=0,"",SUMPRODUCT((INPUT!$T$3:$T$3000=45915)*(INPUT!$U$3:$U$3000="PIRATA")*(INPUT!$V$3:$V$3000+INPUT!$W$3:$W$3000+INPUT!$X$3:$X$3000+INPUT!$Y$3:$Y$3000))),"")</f>
        <v>14</v>
      </c>
      <c r="AM16" s="42" cm="1">
        <f t="array" ref="AM16">IFERROR(IF(SUMPRODUCT((INPUT!$T$3:$T$3000=45916)*(INPUT!$U$3:$U$3000="PIRATA"))=0,"",SUMPRODUCT((INPUT!$T$3:$T$3000=45916)*(INPUT!$U$3:$U$3000="PIRATA")*(INPUT!$V$3:$V$3000+INPUT!$W$3:$W$3000+INPUT!$X$3:$X$3000+INPUT!$Y$3:$Y$3000))),"")</f>
        <v>14</v>
      </c>
      <c r="AN16" s="42" cm="1">
        <f t="array" ref="AN16">IFERROR(IF(SUMPRODUCT((INPUT!$T$3:$T$3000=45917)*(INPUT!$U$3:$U$3000="PIRATA"))=0,"",SUMPRODUCT((INPUT!$T$3:$T$3000=45917)*(INPUT!$U$3:$U$3000="PIRATA")*(INPUT!$V$3:$V$3000+INPUT!$W$3:$W$3000+INPUT!$X$3:$X$3000+INPUT!$Y$3:$Y$3000))),"")</f>
        <v>14</v>
      </c>
      <c r="AO16" s="42" cm="1">
        <f t="array" ref="AO16">IFERROR(IF(SUMPRODUCT((INPUT!$T$3:$T$3000=45918)*(INPUT!$U$3:$U$3000="PIRATA"))=0,"",SUMPRODUCT((INPUT!$T$3:$T$3000=45918)*(INPUT!$U$3:$U$3000="PIRATA")*(INPUT!$V$3:$V$3000+INPUT!$W$3:$W$3000+INPUT!$X$3:$X$3000+INPUT!$Y$3:$Y$3000))),"")</f>
        <v>14</v>
      </c>
      <c r="AP16" s="42" cm="1">
        <f t="array" ref="AP16">IFERROR(IF(SUMPRODUCT((INPUT!$T$3:$T$3000=45919)*(INPUT!$U$3:$U$3000="PIRATA"))=0,"",SUMPRODUCT((INPUT!$T$3:$T$3000=45919)*(INPUT!$U$3:$U$3000="PIRATA")*(INPUT!$V$3:$V$3000+INPUT!$W$3:$W$3000+INPUT!$X$3:$X$3000+INPUT!$Y$3:$Y$3000))),"")</f>
        <v>15</v>
      </c>
      <c r="AQ16" s="42" cm="1">
        <f t="array" ref="AQ16">IFERROR(IF(SUMPRODUCT((INPUT!$T$3:$T$3000=45922)*(INPUT!$U$3:$U$3000="PIRATA"))=0,"",SUMPRODUCT((INPUT!$T$3:$T$3000=45922)*(INPUT!$U$3:$U$3000="PIRATA")*(INPUT!$V$3:$V$3000+INPUT!$W$3:$W$3000+INPUT!$X$3:$X$3000+INPUT!$Y$3:$Y$3000))),"")</f>
        <v>17</v>
      </c>
      <c r="AR16" s="42" cm="1">
        <f t="array" ref="AR16">IFERROR(IF(SUMPRODUCT((INPUT!$T$3:$T$3000=45923)*(INPUT!$U$3:$U$3000="PIRATA"))=0,"",SUMPRODUCT((INPUT!$T$3:$T$3000=45923)*(INPUT!$U$3:$U$3000="PIRATA")*(INPUT!$V$3:$V$3000+INPUT!$W$3:$W$3000+INPUT!$X$3:$X$3000+INPUT!$Y$3:$Y$3000))),"")</f>
        <v>17</v>
      </c>
      <c r="AS16" s="42" cm="1">
        <f t="array" ref="AS16">IFERROR(IF(SUMPRODUCT((INPUT!$T$3:$T$3000=45924)*(INPUT!$U$3:$U$3000="PIRATA"))=0,"",SUMPRODUCT((INPUT!$T$3:$T$3000=45924)*(INPUT!$U$3:$U$3000="PIRATA")*(INPUT!$V$3:$V$3000+INPUT!$W$3:$W$3000+INPUT!$X$3:$X$3000+INPUT!$Y$3:$Y$3000))),"")</f>
        <v>17</v>
      </c>
      <c r="AT16" s="42" cm="1">
        <f t="array" ref="AT16">IFERROR(IF(SUMPRODUCT((INPUT!$T$3:$T$3000=45925)*(INPUT!$U$3:$U$3000="PIRATA"))=0,"",SUMPRODUCT((INPUT!$T$3:$T$3000=45925)*(INPUT!$U$3:$U$3000="PIRATA")*(INPUT!$V$3:$V$3000+INPUT!$W$3:$W$3000+INPUT!$X$3:$X$3000+INPUT!$Y$3:$Y$3000))),"")</f>
        <v>16</v>
      </c>
      <c r="AU16" s="42" cm="1">
        <f t="array" ref="AU16">IFERROR(IF(SUMPRODUCT((INPUT!$T$3:$T$3000=45926)*(INPUT!$U$3:$U$3000="PIRATA"))=0,"",SUMPRODUCT((INPUT!$T$3:$T$3000=45926)*(INPUT!$U$3:$U$3000="PIRATA")*(INPUT!$V$3:$V$3000+INPUT!$W$3:$W$3000+INPUT!$X$3:$X$3000+INPUT!$Y$3:$Y$3000))),"")</f>
        <v>17</v>
      </c>
      <c r="AV16" s="42" cm="1">
        <f t="array" ref="AV16">IFERROR(IF(SUMPRODUCT((INPUT!$T$3:$T$3000=45927)*(INPUT!$U$3:$U$3000="PIRATA"))=0,"",SUMPRODUCT((INPUT!$T$3:$T$3000=45927)*(INPUT!$U$3:$U$3000="PIRATA")*(INPUT!$V$3:$V$3000+INPUT!$W$3:$W$3000+INPUT!$X$3:$X$3000+INPUT!$Y$3:$Y$3000))),"")</f>
        <v>17</v>
      </c>
      <c r="AW16" s="42" cm="1">
        <f t="array" ref="AW16">IFERROR(IF(SUMPRODUCT((INPUT!$T$3:$T$3000=45929)*(INPUT!$U$3:$U$3000="PIRATA"))=0,"",SUMPRODUCT((INPUT!$T$3:$T$3000=45929)*(INPUT!$U$3:$U$3000="PIRATA")*(INPUT!$V$3:$V$3000+INPUT!$W$3:$W$3000+INPUT!$X$3:$X$3000+INPUT!$Y$3:$Y$3000))),"")</f>
        <v>16</v>
      </c>
      <c r="AX16" s="42" cm="1">
        <f t="array" ref="AX16">IFERROR(IF(SUMPRODUCT((INPUT!$T$3:$T$3000=45930)*(INPUT!$U$3:$U$3000="PIRATA"))=0,"",SUMPRODUCT((INPUT!$T$3:$T$3000=45930)*(INPUT!$U$3:$U$3000="PIRATA")*(INPUT!$V$3:$V$3000+INPUT!$W$3:$W$3000+INPUT!$X$3:$X$3000+INPUT!$Y$3:$Y$3000))),"")</f>
        <v>17</v>
      </c>
      <c r="AY16" s="42" cm="1">
        <f t="array" ref="AY16">IFERROR(IF(SUMPRODUCT((INPUT!$T$3:$T$3000=45931)*(INPUT!$U$3:$U$3000="PIRATA"))=0,"",SUMPRODUCT((INPUT!$T$3:$T$3000=45931)*(INPUT!$U$3:$U$3000="PIRATA")*(INPUT!$V$3:$V$3000+INPUT!$W$3:$W$3000+INPUT!$X$3:$X$3000+INPUT!$Y$3:$Y$3000))),"")</f>
        <v>16</v>
      </c>
      <c r="AZ16" s="42" cm="1">
        <f t="array" ref="AZ16">IFERROR(IF(SUMPRODUCT((INPUT!$T$3:$T$3000=45932)*(INPUT!$U$3:$U$3000="PIRATA"))=0,"",SUMPRODUCT((INPUT!$T$3:$T$3000=45932)*(INPUT!$U$3:$U$3000="PIRATA")*(INPUT!$V$3:$V$3000+INPUT!$W$3:$W$3000+INPUT!$X$3:$X$3000+INPUT!$Y$3:$Y$3000))),"")</f>
        <v>17</v>
      </c>
      <c r="BA16" s="42" cm="1">
        <f t="array" ref="BA16">IFERROR(IF(SUMPRODUCT((INPUT!$T$3:$T$3000=45933)*(INPUT!$U$3:$U$3000="PIRATA"))=0,"",SUMPRODUCT((INPUT!$T$3:$T$3000=45933)*(INPUT!$U$3:$U$3000="PIRATA")*(INPUT!$V$3:$V$3000+INPUT!$W$3:$W$3000+INPUT!$X$3:$X$3000+INPUT!$Y$3:$Y$3000))),"")</f>
        <v>17</v>
      </c>
      <c r="BB16" s="42" cm="1">
        <f t="array" ref="BB16">IFERROR(IF(SUMPRODUCT((INPUT!$T$3:$T$3000=45934)*(INPUT!$U$3:$U$3000="PIRATA"))=0,"",SUMPRODUCT((INPUT!$T$3:$T$3000=45934)*(INPUT!$U$3:$U$3000="PIRATA")*(INPUT!$V$3:$V$3000+INPUT!$W$3:$W$3000+INPUT!$X$3:$X$3000+INPUT!$Y$3:$Y$3000))),"")</f>
        <v>20</v>
      </c>
      <c r="BC16" s="42" cm="1">
        <f t="array" ref="BC16">IFERROR(IF(SUMPRODUCT((INPUT!$T$3:$T$3000=45936)*(INPUT!$U$3:$U$3000="PIRATA"))=0,"",SUMPRODUCT((INPUT!$T$3:$T$3000=45936)*(INPUT!$U$3:$U$3000="PIRATA")*(INPUT!$V$3:$V$3000+INPUT!$W$3:$W$3000+INPUT!$X$3:$X$3000+INPUT!$Y$3:$Y$3000))),"")</f>
        <v>14</v>
      </c>
      <c r="BD16" s="42" cm="1">
        <f t="array" ref="BD16">IFERROR(IF(SUMPRODUCT((INPUT!$T$3:$T$3000=45937)*(INPUT!$U$3:$U$3000="PIRATA"))=0,"",SUMPRODUCT((INPUT!$T$3:$T$3000=45937)*(INPUT!$U$3:$U$3000="PIRATA")*(INPUT!$V$3:$V$3000+INPUT!$W$3:$W$3000+INPUT!$X$3:$X$3000+INPUT!$Y$3:$Y$3000))),"")</f>
        <v>16</v>
      </c>
      <c r="BE16" s="42" cm="1">
        <f t="array" ref="BE16">IFERROR(IF(SUMPRODUCT((INPUT!$T$3:$T$3000=45938)*(INPUT!$U$3:$U$3000="PIRATA"))=0,"",SUMPRODUCT((INPUT!$T$3:$T$3000=45938)*(INPUT!$U$3:$U$3000="PIRATA")*(INPUT!$V$3:$V$3000+INPUT!$W$3:$W$3000+INPUT!$X$3:$X$3000+INPUT!$Y$3:$Y$3000))),"")</f>
        <v>17</v>
      </c>
      <c r="BF16" s="42" cm="1">
        <f t="array" ref="BF16">IFERROR(IF(SUMPRODUCT((INPUT!$T$3:$T$3000=45940)*(INPUT!$U$3:$U$3000="PIRATA"))=0,"",SUMPRODUCT((INPUT!$T$3:$T$3000=45940)*(INPUT!$U$3:$U$3000="PIRATA")*(INPUT!$V$3:$V$3000+INPUT!$W$3:$W$3000+INPUT!$X$3:$X$3000+INPUT!$Y$3:$Y$3000))),"")</f>
        <v>14</v>
      </c>
      <c r="BG16" s="42" cm="1">
        <f t="array" ref="BG16">IFERROR(IF(SUMPRODUCT((INPUT!$T$3:$T$3000=45941)*(INPUT!$U$3:$U$3000="PIRATA"))=0,"",SUMPRODUCT((INPUT!$T$3:$T$3000=45941)*(INPUT!$U$3:$U$3000="PIRATA")*(INPUT!$V$3:$V$3000+INPUT!$W$3:$W$3000+INPUT!$X$3:$X$3000+INPUT!$Y$3:$Y$3000))),"")</f>
        <v>17</v>
      </c>
      <c r="BH16" s="42" cm="1">
        <f t="array" ref="BH16">IFERROR(IF(SUMPRODUCT((INPUT!$T$3:$T$3000=45942)*(INPUT!$U$3:$U$3000="PIRATA"))=0,"",SUMPRODUCT((INPUT!$T$3:$T$3000=45942)*(INPUT!$U$3:$U$3000="PIRATA")*(INPUT!$V$3:$V$3000+INPUT!$W$3:$W$3000+INPUT!$X$3:$X$3000+INPUT!$Y$3:$Y$3000))),"")</f>
        <v>20</v>
      </c>
      <c r="BI16" s="42" cm="1">
        <f t="array" ref="BI16">IFERROR(IF(SUMPRODUCT((INPUT!$T$3:$T$3000=45945)*(INPUT!$U$3:$U$3000="PIRATA"))=0,"",SUMPRODUCT((INPUT!$T$3:$T$3000=45945)*(INPUT!$U$3:$U$3000="PIRATA")*(INPUT!$V$3:$V$3000+INPUT!$W$3:$W$3000+INPUT!$X$3:$X$3000+INPUT!$Y$3:$Y$3000))),"")</f>
        <v>17</v>
      </c>
      <c r="BJ16" s="42" cm="1">
        <f t="array" ref="BJ16">IFERROR(IF(SUMPRODUCT((INPUT!$T$3:$T$3000=45946)*(INPUT!$U$3:$U$3000="PIRATA"))=0,"",SUMPRODUCT((INPUT!$T$3:$T$3000=45946)*(INPUT!$U$3:$U$3000="PIRATA")*(INPUT!$V$3:$V$3000+INPUT!$W$3:$W$3000+INPUT!$X$3:$X$3000+INPUT!$Y$3:$Y$3000))),"")</f>
        <v>15</v>
      </c>
      <c r="BK16" s="42" cm="1">
        <f t="array" ref="BK16">IFERROR(IF(SUMPRODUCT((INPUT!$T$3:$T$3000=45947)*(INPUT!$U$3:$U$3000="PIRATA"))=0,"",SUMPRODUCT((INPUT!$T$3:$T$3000=45947)*(INPUT!$U$3:$U$3000="PIRATA")*(INPUT!$V$3:$V$3000+INPUT!$W$3:$W$3000+INPUT!$X$3:$X$3000+INPUT!$Y$3:$Y$3000))),"")</f>
        <v>16</v>
      </c>
      <c r="BL16" s="42" cm="1">
        <f t="array" ref="BL16">IFERROR(IF(SUMPRODUCT((INPUT!$T$3:$T$3000=45950)*(INPUT!$U$3:$U$3000="PIRATA"))=0,"",SUMPRODUCT((INPUT!$T$3:$T$3000=45950)*(INPUT!$U$3:$U$3000="PIRATA")*(INPUT!$V$3:$V$3000+INPUT!$W$3:$W$3000+INPUT!$X$3:$X$3000+INPUT!$Y$3:$Y$3000))),"")</f>
        <v>18</v>
      </c>
      <c r="BM16" s="42" cm="1">
        <f t="array" ref="BM16">IFERROR(IF(SUMPRODUCT((INPUT!$T$3:$T$3000=45951)*(INPUT!$U$3:$U$3000="PIRATA"))=0,"",SUMPRODUCT((INPUT!$T$3:$T$3000=45951)*(INPUT!$U$3:$U$3000="PIRATA")*(INPUT!$V$3:$V$3000+INPUT!$W$3:$W$3000+INPUT!$X$3:$X$3000+INPUT!$Y$3:$Y$3000))),"")</f>
        <v>16</v>
      </c>
      <c r="BN16" s="42" cm="1">
        <f t="array" ref="BN16">IFERROR(IF(SUMPRODUCT((INPUT!$T$3:$T$3000=45952)*(INPUT!$U$3:$U$3000="PIRATA"))=0,"",SUMPRODUCT((INPUT!$T$3:$T$3000=45952)*(INPUT!$U$3:$U$3000="PIRATA")*(INPUT!$V$3:$V$3000+INPUT!$W$3:$W$3000+INPUT!$X$3:$X$3000+INPUT!$Y$3:$Y$3000))),"")</f>
        <v>17</v>
      </c>
      <c r="BO16" s="42" cm="1">
        <f t="array" ref="BO16">IFERROR(IF(SUMPRODUCT((INPUT!$T$3:$T$3000=45953)*(INPUT!$U$3:$U$3000="PIRATA"))=0,"",SUMPRODUCT((INPUT!$T$3:$T$3000=45953)*(INPUT!$U$3:$U$3000="PIRATA")*(INPUT!$V$3:$V$3000+INPUT!$W$3:$W$3000+INPUT!$X$3:$X$3000+INPUT!$Y$3:$Y$3000))),"")</f>
        <v>17</v>
      </c>
      <c r="BP16" s="42" cm="1">
        <f t="array" ref="BP16">IFERROR(IF(SUMPRODUCT((INPUT!$T$3:$T$3000=45954)*(INPUT!$U$3:$U$3000="PIRATA"))=0,"",SUMPRODUCT((INPUT!$T$3:$T$3000=45954)*(INPUT!$U$3:$U$3000="PIRATA")*(INPUT!$V$3:$V$3000+INPUT!$W$3:$W$3000+INPUT!$X$3:$X$3000+INPUT!$Y$3:$Y$3000))),"")</f>
        <v>17</v>
      </c>
      <c r="BQ16" s="42" cm="1">
        <f t="array" ref="BQ16">IFERROR(IF(SUMPRODUCT((INPUT!$T$3:$T$3000=45955)*(INPUT!$U$3:$U$3000="PIRATA"))=0,"",SUMPRODUCT((INPUT!$T$3:$T$3000=45955)*(INPUT!$U$3:$U$3000="PIRATA")*(INPUT!$V$3:$V$3000+INPUT!$W$3:$W$3000+INPUT!$X$3:$X$3000+INPUT!$Y$3:$Y$3000))),"")</f>
        <v>19</v>
      </c>
      <c r="BR16" s="42" cm="1">
        <f t="array" ref="BR16">IFERROR(IF(SUMPRODUCT((INPUT!$T$3:$T$3000=45958)*(INPUT!$U$3:$U$3000="PIRATA"))=0,"",SUMPRODUCT((INPUT!$T$3:$T$3000=45958)*(INPUT!$U$3:$U$3000="PIRATA")*(INPUT!$V$3:$V$3000+INPUT!$W$3:$W$3000+INPUT!$X$3:$X$3000+INPUT!$Y$3:$Y$3000))),"")</f>
        <v>17</v>
      </c>
      <c r="BS16" s="42" cm="1">
        <f t="array" ref="BS16">IFERROR(IF(SUMPRODUCT((INPUT!$T$3:$T$3000=45959)*(INPUT!$U$3:$U$3000="PIRATA"))=0,"",SUMPRODUCT((INPUT!$T$3:$T$3000=45959)*(INPUT!$U$3:$U$3000="PIRATA")*(INPUT!$V$3:$V$3000+INPUT!$W$3:$W$3000+INPUT!$X$3:$X$3000+INPUT!$Y$3:$Y$3000))),"")</f>
        <v>17</v>
      </c>
      <c r="BT16" s="42" cm="1">
        <f t="array" ref="BT16">IFERROR(IF(SUMPRODUCT((INPUT!$T$3:$T$3000=45960)*(INPUT!$U$3:$U$3000="PIRATA"))=0,"",SUMPRODUCT((INPUT!$T$3:$T$3000=45960)*(INPUT!$U$3:$U$3000="PIRATA")*(INPUT!$V$3:$V$3000+INPUT!$W$3:$W$3000+INPUT!$X$3:$X$3000+INPUT!$Y$3:$Y$3000))),"")</f>
        <v>18</v>
      </c>
      <c r="BU16" s="42" cm="1">
        <f t="array" ref="BU16">IFERROR(IF(SUMPRODUCT((INPUT!$T$3:$T$3000=45961)*(INPUT!$U$3:$U$3000="PIRATA"))=0,"",SUMPRODUCT((INPUT!$T$3:$T$3000=45961)*(INPUT!$U$3:$U$3000="PIRATA")*(INPUT!$V$3:$V$3000+INPUT!$W$3:$W$3000+INPUT!$X$3:$X$3000+INPUT!$Y$3:$Y$3000))),"")</f>
        <v>17</v>
      </c>
      <c r="BV16" s="42" cm="1">
        <f t="array" ref="BV16">IFERROR(IF(SUMPRODUCT((INPUT!$T$3:$T$3000=45964)*(INPUT!$U$3:$U$3000="PIRATA"))=0,"",SUMPRODUCT((INPUT!$T$3:$T$3000=45964)*(INPUT!$U$3:$U$3000="PIRATA")*(INPUT!$V$3:$V$3000+INPUT!$W$3:$W$3000+INPUT!$X$3:$X$3000+INPUT!$Y$3:$Y$3000))),"")</f>
        <v>19</v>
      </c>
      <c r="BW16" s="42" cm="1">
        <f t="array" ref="BW16">IFERROR(IF(SUMPRODUCT((INPUT!$T$3:$T$3000=45965)*(INPUT!$U$3:$U$3000="PIRATA"))=0,"",SUMPRODUCT((INPUT!$T$3:$T$3000=45965)*(INPUT!$U$3:$U$3000="PIRATA")*(INPUT!$V$3:$V$3000+INPUT!$W$3:$W$3000+INPUT!$X$3:$X$3000+INPUT!$Y$3:$Y$3000))),"")</f>
        <v>18</v>
      </c>
      <c r="BX16" s="42" cm="1">
        <f t="array" ref="BX16">IFERROR(IF(SUMPRODUCT((INPUT!$T$3:$T$3000=45966)*(INPUT!$U$3:$U$3000="PIRATA"))=0,"",SUMPRODUCT((INPUT!$T$3:$T$3000=45966)*(INPUT!$U$3:$U$3000="PIRATA")*(INPUT!$V$3:$V$3000+INPUT!$W$3:$W$3000+INPUT!$X$3:$X$3000+INPUT!$Y$3:$Y$3000))),"")</f>
        <v>15</v>
      </c>
      <c r="BY16" s="42" cm="1">
        <f t="array" ref="BY16">IFERROR(IF(SUMPRODUCT((INPUT!$T$3:$T$3000=45967)*(INPUT!$U$3:$U$3000="PIRATA"))=0,"",SUMPRODUCT((INPUT!$T$3:$T$3000=45967)*(INPUT!$U$3:$U$3000="PIRATA")*(INPUT!$V$3:$V$3000+INPUT!$W$3:$W$3000+INPUT!$X$3:$X$3000+INPUT!$Y$3:$Y$3000))),"")</f>
        <v>16</v>
      </c>
      <c r="BZ16" s="42" cm="1">
        <f t="array" ref="BZ16">IFERROR(IF(SUMPRODUCT((INPUT!$T$3:$T$3000=45968)*(INPUT!$U$3:$U$3000="PIRATA"))=0,"",SUMPRODUCT((INPUT!$T$3:$T$3000=45968)*(INPUT!$U$3:$U$3000="PIRATA")*(INPUT!$V$3:$V$3000+INPUT!$W$3:$W$3000+INPUT!$X$3:$X$3000+INPUT!$Y$3:$Y$3000))),"")</f>
        <v>18</v>
      </c>
      <c r="CA16" s="42" cm="1">
        <f t="array" ref="CA16">IFERROR(IF(SUMPRODUCT((INPUT!$T$3:$T$3000=45971)*(INPUT!$U$3:$U$3000="PIRATA"))=0,"",SUMPRODUCT((INPUT!$T$3:$T$3000=45971)*(INPUT!$U$3:$U$3000="PIRATA")*(INPUT!$V$3:$V$3000+INPUT!$W$3:$W$3000+INPUT!$X$3:$X$3000+INPUT!$Y$3:$Y$3000))),"")</f>
        <v>15</v>
      </c>
      <c r="CB16" s="42" cm="1">
        <f t="array" ref="CB16">IFERROR(IF(SUMPRODUCT((INPUT!$T$3:$T$3000=45972)*(INPUT!$U$3:$U$3000="PIRATA"))=0,"",SUMPRODUCT((INPUT!$T$3:$T$3000=45972)*(INPUT!$U$3:$U$3000="PIRATA")*(INPUT!$V$3:$V$3000+INPUT!$W$3:$W$3000+INPUT!$X$3:$X$3000+INPUT!$Y$3:$Y$3000))),"")</f>
        <v>14</v>
      </c>
      <c r="CC16" s="42" cm="1">
        <f t="array" ref="CC16">IFERROR(IF(SUMPRODUCT((INPUT!$T$3:$T$3000=45974)*(INPUT!$U$3:$U$3000="PIRATA"))=0,"",SUMPRODUCT((INPUT!$T$3:$T$3000=45974)*(INPUT!$U$3:$U$3000="PIRATA")*(INPUT!$V$3:$V$3000+INPUT!$W$3:$W$3000+INPUT!$X$3:$X$3000+INPUT!$Y$3:$Y$3000))),"")</f>
        <v>17</v>
      </c>
      <c r="CD16" s="42" cm="1">
        <f t="array" ref="CD16">IFERROR(IF(SUMPRODUCT((INPUT!$T$3:$T$3000=45975)*(INPUT!$U$3:$U$3000="PIRATA"))=0,"",SUMPRODUCT((INPUT!$T$3:$T$3000=45975)*(INPUT!$U$3:$U$3000="PIRATA")*(INPUT!$V$3:$V$3000+INPUT!$W$3:$W$3000+INPUT!$X$3:$X$3000+INPUT!$Y$3:$Y$3000))),"")</f>
        <v>17</v>
      </c>
      <c r="CE16" s="42" cm="1">
        <f t="array" ref="CE16">IFERROR(IF(SUMPRODUCT((INPUT!$T$3:$T$3000=45976)*(INPUT!$U$3:$U$3000="PIRATA"))=0,"",SUMPRODUCT((INPUT!$T$3:$T$3000=45976)*(INPUT!$U$3:$U$3000="PIRATA")*(INPUT!$V$3:$V$3000+INPUT!$W$3:$W$3000+INPUT!$X$3:$X$3000+INPUT!$Y$3:$Y$3000))),"")</f>
        <v>19</v>
      </c>
      <c r="CF16" s="42" t="str" cm="1">
        <f t="array" ref="CF16">IFERROR(IF(SUMPRODUCT((INPUT!$T$3:$T$3000=45978)*(INPUT!$U$3:$U$3000="PIRATA"))=0,"",SUMPRODUCT((INPUT!$T$3:$T$3000=45978)*(INPUT!$U$3:$U$3000="PIRATA")*(INPUT!$V$3:$V$3000+INPUT!$W$3:$W$3000+INPUT!$X$3:$X$3000+INPUT!$Y$3:$Y$3000))),"")</f>
        <v/>
      </c>
      <c r="CG16" s="42" cm="1">
        <f t="array" ref="CG16">IFERROR(IF(SUMPRODUCT((INPUT!$T$3:$T$3000=45979)*(INPUT!$U$3:$U$3000="PIRATA"))=0,"",SUMPRODUCT((INPUT!$T$3:$T$3000=45979)*(INPUT!$U$3:$U$3000="PIRATA")*(INPUT!$V$3:$V$3000+INPUT!$W$3:$W$3000+INPUT!$X$3:$X$3000+INPUT!$Y$3:$Y$3000))),"")</f>
        <v>14</v>
      </c>
      <c r="CH16" s="42" cm="1">
        <f t="array" ref="CH16">IFERROR(IF(SUMPRODUCT((INPUT!$T$3:$T$3000=45980)*(INPUT!$U$3:$U$3000="PIRATA"))=0,"",SUMPRODUCT((INPUT!$T$3:$T$3000=45980)*(INPUT!$U$3:$U$3000="PIRATA")*(INPUT!$V$3:$V$3000+INPUT!$W$3:$W$3000+INPUT!$X$3:$X$3000+INPUT!$Y$3:$Y$3000))),"")</f>
        <v>17</v>
      </c>
      <c r="CI16" s="42" cm="1">
        <f t="array" ref="CI16">IFERROR(IF(SUMPRODUCT((INPUT!$T$3:$T$3000=45982)*(INPUT!$U$3:$U$3000="PIRATA"))=0,"",SUMPRODUCT((INPUT!$T$3:$T$3000=45982)*(INPUT!$U$3:$U$3000="PIRATA")*(INPUT!$V$3:$V$3000+INPUT!$W$3:$W$3000+INPUT!$X$3:$X$3000+INPUT!$Y$3:$Y$3000))),"")</f>
        <v>17</v>
      </c>
      <c r="CJ16" s="42" cm="1">
        <f t="array" ref="CJ16">IFERROR(IF(SUMPRODUCT((INPUT!$T$3:$T$3000=45983)*(INPUT!$U$3:$U$3000="PIRATA"))=0,"",SUMPRODUCT((INPUT!$T$3:$T$3000=45983)*(INPUT!$U$3:$U$3000="PIRATA")*(INPUT!$V$3:$V$3000+INPUT!$W$3:$W$3000+INPUT!$X$3:$X$3000+INPUT!$Y$3:$Y$3000))),"")</f>
        <v>17</v>
      </c>
      <c r="CK16" s="42" cm="1">
        <f t="array" ref="CK16">IFERROR(IF(SUMPRODUCT((INPUT!$T$3:$T$3000=45985)*(INPUT!$U$3:$U$3000="PIRATA"))=0,"",SUMPRODUCT((INPUT!$T$3:$T$3000=45985)*(INPUT!$U$3:$U$3000="PIRATA")*(INPUT!$V$3:$V$3000+INPUT!$W$3:$W$3000+INPUT!$X$3:$X$3000+INPUT!$Y$3:$Y$3000))),"")</f>
        <v>17</v>
      </c>
      <c r="CL16" s="42" cm="1">
        <f t="array" ref="CL16">IFERROR(IF(SUMPRODUCT((INPUT!$T$3:$T$3000=45986)*(INPUT!$U$3:$U$3000="PIRATA"))=0,"",SUMPRODUCT((INPUT!$T$3:$T$3000=45986)*(INPUT!$U$3:$U$3000="PIRATA")*(INPUT!$V$3:$V$3000+INPUT!$W$3:$W$3000+INPUT!$X$3:$X$3000+INPUT!$Y$3:$Y$3000))),"")</f>
        <v>17</v>
      </c>
      <c r="CM16" s="42" cm="1">
        <f t="array" ref="CM16">IFERROR(IF(SUMPRODUCT((INPUT!$T$3:$T$3000=45987)*(INPUT!$U$3:$U$3000="PIRATA"))=0,"",SUMPRODUCT((INPUT!$T$3:$T$3000=45987)*(INPUT!$U$3:$U$3000="PIRATA")*(INPUT!$V$3:$V$3000+INPUT!$W$3:$W$3000+INPUT!$X$3:$X$3000+INPUT!$Y$3:$Y$3000))),"")</f>
        <v>16</v>
      </c>
      <c r="CN16" s="42" cm="1">
        <f t="array" ref="CN16">IFERROR(IF(SUMPRODUCT((INPUT!$T$3:$T$3000=45988)*(INPUT!$U$3:$U$3000="PIRATA"))=0,"",SUMPRODUCT((INPUT!$T$3:$T$3000=45988)*(INPUT!$U$3:$U$3000="PIRATA")*(INPUT!$V$3:$V$3000+INPUT!$W$3:$W$3000+INPUT!$X$3:$X$3000+INPUT!$Y$3:$Y$3000))),"")</f>
        <v>17</v>
      </c>
      <c r="CO16" s="42" cm="1">
        <f t="array" ref="CO16">IFERROR(IF(SUMPRODUCT((INPUT!$T$3:$T$3000=45989)*(INPUT!$U$3:$U$3000="PIRATA"))=0,"",SUMPRODUCT((INPUT!$T$3:$T$3000=45989)*(INPUT!$U$3:$U$3000="PIRATA")*(INPUT!$V$3:$V$3000+INPUT!$W$3:$W$3000+INPUT!$X$3:$X$3000+INPUT!$Y$3:$Y$3000))),"")</f>
        <v>18</v>
      </c>
      <c r="CP16" s="42" cm="1">
        <f t="array" ref="CP16">IFERROR(IF(SUMPRODUCT((INPUT!$T$3:$T$3000=45992)*(INPUT!$U$3:$U$3000="PIRATA"))=0,"",SUMPRODUCT((INPUT!$T$3:$T$3000=45992)*(INPUT!$U$3:$U$3000="PIRATA")*(INPUT!$V$3:$V$3000+INPUT!$W$3:$W$3000+INPUT!$X$3:$X$3000+INPUT!$Y$3:$Y$3000))),"")</f>
        <v>16</v>
      </c>
      <c r="CQ16" s="42" cm="1">
        <f t="array" ref="CQ16">IFERROR(IF(SUMPRODUCT((INPUT!$T$3:$T$3000=45993)*(INPUT!$U$3:$U$3000="PIRATA"))=0,"",SUMPRODUCT((INPUT!$T$3:$T$3000=45993)*(INPUT!$U$3:$U$3000="PIRATA")*(INPUT!$V$3:$V$3000+INPUT!$W$3:$W$3000+INPUT!$X$3:$X$3000+INPUT!$Y$3:$Y$3000))),"")</f>
        <v>16</v>
      </c>
      <c r="CR16" s="42" cm="1">
        <f t="array" ref="CR16">IFERROR(IF(SUMPRODUCT((INPUT!$T$3:$T$3000=45994)*(INPUT!$U$3:$U$3000="PIRATA"))=0,"",SUMPRODUCT((INPUT!$T$3:$T$3000=45994)*(INPUT!$U$3:$U$3000="PIRATA")*(INPUT!$V$3:$V$3000+INPUT!$W$3:$W$3000+INPUT!$X$3:$X$3000+INPUT!$Y$3:$Y$3000))),"")</f>
        <v>17</v>
      </c>
      <c r="CS16" s="42" cm="1">
        <f t="array" ref="CS16">IFERROR(IF(SUMPRODUCT((INPUT!$T$3:$T$3000=45995)*(INPUT!$U$3:$U$3000="PIRATA"))=0,"",SUMPRODUCT((INPUT!$T$3:$T$3000=45995)*(INPUT!$U$3:$U$3000="PIRATA")*(INPUT!$V$3:$V$3000+INPUT!$W$3:$W$3000+INPUT!$X$3:$X$3000+INPUT!$Y$3:$Y$3000))),"")</f>
        <v>17</v>
      </c>
      <c r="CT16" s="42" cm="1">
        <f t="array" ref="CT16">IFERROR(IF(SUMPRODUCT((INPUT!$T$3:$T$3000=45996)*(INPUT!$U$3:$U$3000="PIRATA"))=0,"",SUMPRODUCT((INPUT!$T$3:$T$3000=45996)*(INPUT!$U$3:$U$3000="PIRATA")*(INPUT!$V$3:$V$3000+INPUT!$W$3:$W$3000+INPUT!$X$3:$X$3000+INPUT!$Y$3:$Y$3000))),"")</f>
        <v>17</v>
      </c>
      <c r="CU16" s="42" cm="1">
        <f t="array" ref="CU16">IFERROR(IF(SUMPRODUCT((INPUT!$T$3:$T$3000=45997)*(INPUT!$U$3:$U$3000="PIRATA"))=0,"",SUMPRODUCT((INPUT!$T$3:$T$3000=45997)*(INPUT!$U$3:$U$3000="PIRATA")*(INPUT!$V$3:$V$3000+INPUT!$W$3:$W$3000+INPUT!$X$3:$X$3000+INPUT!$Y$3:$Y$3000))),"")</f>
        <v>16</v>
      </c>
      <c r="CV16" s="42" cm="1">
        <f t="array" ref="CV16">IFERROR(IF(SUMPRODUCT((INPUT!$T$3:$T$3000=45999)*(INPUT!$U$3:$U$3000="PIRATA"))=0,"",SUMPRODUCT((INPUT!$T$3:$T$3000=45999)*(INPUT!$U$3:$U$3000="PIRATA")*(INPUT!$V$3:$V$3000+INPUT!$W$3:$W$3000+INPUT!$X$3:$X$3000+INPUT!$Y$3:$Y$3000))),"")</f>
        <v>15</v>
      </c>
      <c r="CW16" s="42" cm="1">
        <f t="array" ref="CW16">IFERROR(IF(SUMPRODUCT((INPUT!$T$3:$T$3000=46000)*(INPUT!$U$3:$U$3000="PIRATA"))=0,"",SUMPRODUCT((INPUT!$T$3:$T$3000=46000)*(INPUT!$U$3:$U$3000="PIRATA")*(INPUT!$V$3:$V$3000+INPUT!$W$3:$W$3000+INPUT!$X$3:$X$3000+INPUT!$Y$3:$Y$3000))),"")</f>
        <v>17</v>
      </c>
      <c r="CX16" s="42" cm="1">
        <f t="array" ref="CX16">IFERROR(IF(SUMPRODUCT((INPUT!$T$3:$T$3000=46001)*(INPUT!$U$3:$U$3000="PIRATA"))=0,"",SUMPRODUCT((INPUT!$T$3:$T$3000=46001)*(INPUT!$U$3:$U$3000="PIRATA")*(INPUT!$V$3:$V$3000+INPUT!$W$3:$W$3000+INPUT!$X$3:$X$3000+INPUT!$Y$3:$Y$3000))),"")</f>
        <v>17</v>
      </c>
      <c r="CY16" s="42" cm="1">
        <f t="array" ref="CY16">IFERROR(IF(SUMPRODUCT((INPUT!$T$3:$T$3000=46002)*(INPUT!$U$3:$U$3000="PIRATA"))=0,"",SUMPRODUCT((INPUT!$T$3:$T$3000=46002)*(INPUT!$U$3:$U$3000="PIRATA")*(INPUT!$V$3:$V$3000+INPUT!$W$3:$W$3000+INPUT!$X$3:$X$3000+INPUT!$Y$3:$Y$3000))),"")</f>
        <v>17</v>
      </c>
      <c r="CZ16" s="42" cm="1">
        <f t="array" ref="CZ16">IFERROR(IF(SUMPRODUCT((INPUT!$T$3:$T$3000=46003)*(INPUT!$U$3:$U$3000="PIRATA"))=0,"",SUMPRODUCT((INPUT!$T$3:$T$3000=46003)*(INPUT!$U$3:$U$3000="PIRATA")*(INPUT!$V$3:$V$3000+INPUT!$W$3:$W$3000+INPUT!$X$3:$X$3000+INPUT!$Y$3:$Y$3000))),"")</f>
        <v>17</v>
      </c>
      <c r="DA16" s="42" cm="1">
        <f t="array" ref="DA16">IFERROR(IF(SUMPRODUCT((INPUT!$T$3:$T$3000=46004)*(INPUT!$U$3:$U$3000="PIRATA"))=0,"",SUMPRODUCT((INPUT!$T$3:$T$3000=46004)*(INPUT!$U$3:$U$3000="PIRATA")*(INPUT!$V$3:$V$3000+INPUT!$W$3:$W$3000+INPUT!$X$3:$X$3000+INPUT!$Y$3:$Y$3000))),"")</f>
        <v>19</v>
      </c>
      <c r="DB16" s="42" cm="1">
        <f t="array" ref="DB16">IFERROR(IF(SUMPRODUCT((INPUT!$T$3:$T$3000=46007)*(INPUT!$U$3:$U$3000="PIRATA"))=0,"",SUMPRODUCT((INPUT!$T$3:$T$3000=46007)*(INPUT!$U$3:$U$3000="PIRATA")*(INPUT!$V$3:$V$3000+INPUT!$W$3:$W$3000+INPUT!$X$3:$X$3000+INPUT!$Y$3:$Y$3000))),"")</f>
        <v>15</v>
      </c>
      <c r="DC16" s="42" cm="1">
        <f t="array" ref="DC16">IFERROR(IF(SUMPRODUCT((INPUT!$T$3:$T$3000=46008)*(INPUT!$U$3:$U$3000="PIRATA"))=0,"",SUMPRODUCT((INPUT!$T$3:$T$3000=46008)*(INPUT!$U$3:$U$3000="PIRATA")*(INPUT!$V$3:$V$3000+INPUT!$W$3:$W$3000+INPUT!$X$3:$X$3000+INPUT!$Y$3:$Y$3000))),"")</f>
        <v>17</v>
      </c>
      <c r="DD16" s="42" cm="1">
        <f t="array" ref="DD16">IFERROR(IF(SUMPRODUCT((INPUT!$T$3:$T$3000=46009)*(INPUT!$U$3:$U$3000="PIRATA"))=0,"",SUMPRODUCT((INPUT!$T$3:$T$3000=46009)*(INPUT!$U$3:$U$3000="PIRATA")*(INPUT!$V$3:$V$3000+INPUT!$W$3:$W$3000+INPUT!$X$3:$X$3000+INPUT!$Y$3:$Y$3000))),"")</f>
        <v>17</v>
      </c>
      <c r="DE16" s="42" cm="1">
        <f t="array" ref="DE16">IFERROR(IF(SUMPRODUCT((INPUT!$T$3:$T$3000=46010)*(INPUT!$U$3:$U$3000="PIRATA"))=0,"",SUMPRODUCT((INPUT!$T$3:$T$3000=46010)*(INPUT!$U$3:$U$3000="PIRATA")*(INPUT!$V$3:$V$3000+INPUT!$W$3:$W$3000+INPUT!$X$3:$X$3000+INPUT!$Y$3:$Y$3000))),"")</f>
        <v>15</v>
      </c>
      <c r="DF16" s="42" cm="1">
        <f t="array" ref="DF16">IFERROR(IF(SUMPRODUCT((INPUT!$T$3:$T$3000=46013)*(INPUT!$U$3:$U$3000="PIRATA"))=0,"",SUMPRODUCT((INPUT!$T$3:$T$3000=46013)*(INPUT!$U$3:$U$3000="PIRATA")*(INPUT!$V$3:$V$3000+INPUT!$W$3:$W$3000+INPUT!$X$3:$X$3000+INPUT!$Y$3:$Y$3000))),"")</f>
        <v>19</v>
      </c>
      <c r="DG16" s="42" cm="1">
        <f t="array" ref="DG16">IFERROR(IF(SUMPRODUCT((INPUT!$T$3:$T$3000=46014)*(INPUT!$U$3:$U$3000="PIRATA"))=0,"",SUMPRODUCT((INPUT!$T$3:$T$3000=46014)*(INPUT!$U$3:$U$3000="PIRATA")*(INPUT!$V$3:$V$3000+INPUT!$W$3:$W$3000+INPUT!$X$3:$X$3000+INPUT!$Y$3:$Y$3000))),"")</f>
        <v>15</v>
      </c>
      <c r="DH16" s="42" cm="1">
        <f t="array" ref="DH16">IFERROR(IF(SUMPRODUCT((INPUT!$T$3:$T$3000=46017)*(INPUT!$U$3:$U$3000="PIRATA"))=0,"",SUMPRODUCT((INPUT!$T$3:$T$3000=46017)*(INPUT!$U$3:$U$3000="PIRATA")*(INPUT!$V$3:$V$3000+INPUT!$W$3:$W$3000+INPUT!$X$3:$X$3000+INPUT!$Y$3:$Y$3000))),"")</f>
        <v>18</v>
      </c>
      <c r="DI16" s="42" cm="1">
        <f t="array" ref="DI16">IFERROR(IF(SUMPRODUCT((INPUT!$T$3:$T$3000=46018)*(INPUT!$U$3:$U$3000="PIRATA"))=0,"",SUMPRODUCT((INPUT!$T$3:$T$3000=46018)*(INPUT!$U$3:$U$3000="PIRATA")*(INPUT!$V$3:$V$3000+INPUT!$W$3:$W$3000+INPUT!$X$3:$X$3000+INPUT!$Y$3:$Y$3000))),"")</f>
        <v>17</v>
      </c>
      <c r="DJ16" s="42" cm="1">
        <f t="array" ref="DJ16">IFERROR(IF(SUMPRODUCT((INPUT!$T$3:$T$3000=46020)*(INPUT!$U$3:$U$3000="PIRATA"))=0,"",SUMPRODUCT((INPUT!$T$3:$T$3000=46020)*(INPUT!$U$3:$U$3000="PIRATA")*(INPUT!$V$3:$V$3000+INPUT!$W$3:$W$3000+INPUT!$X$3:$X$3000+INPUT!$Y$3:$Y$3000))),"")</f>
        <v>16</v>
      </c>
      <c r="DK16" s="42" cm="1">
        <f t="array" ref="DK16">IFERROR(IF(SUMPRODUCT((INPUT!$T$3:$T$3000=46021)*(INPUT!$U$3:$U$3000="PIRATA"))=0,"",SUMPRODUCT((INPUT!$T$3:$T$3000=46021)*(INPUT!$U$3:$U$3000="PIRATA")*(INPUT!$V$3:$V$3000+INPUT!$W$3:$W$3000+INPUT!$X$3:$X$3000+INPUT!$Y$3:$Y$3000))),"")</f>
        <v>16</v>
      </c>
      <c r="DL16" s="42" cm="1">
        <f t="array" ref="DL16">IFERROR(IF(SUMPRODUCT((INPUT!$T$3:$T$3000=46022)*(INPUT!$U$3:$U$3000="PIRATA"))=0,"",SUMPRODUCT((INPUT!$T$3:$T$3000=46022)*(INPUT!$U$3:$U$3000="PIRATA")*(INPUT!$V$3:$V$3000+INPUT!$W$3:$W$3000+INPUT!$X$3:$X$3000+INPUT!$Y$3:$Y$3000))),"")</f>
        <v>16</v>
      </c>
      <c r="DM16" s="42" cm="1">
        <f t="array" ref="DM16">IFERROR(IF(SUMPRODUCT((INPUT!$T$3:$T$3000=46024)*(INPUT!$U$3:$U$3000="PIRATA"))=0,"",SUMPRODUCT((INPUT!$T$3:$T$3000=46024)*(INPUT!$U$3:$U$3000="PIRATA")*(INPUT!$V$3:$V$3000+INPUT!$W$3:$W$3000+INPUT!$X$3:$X$3000+INPUT!$Y$3:$Y$3000))),"")</f>
        <v>18</v>
      </c>
      <c r="DN16" s="42" cm="1">
        <f t="array" ref="DN16">IFERROR(IF(SUMPRODUCT((INPUT!$T$3:$T$3000=46025)*(INPUT!$U$3:$U$3000="PIRATA"))=0,"",SUMPRODUCT((INPUT!$T$3:$T$3000=46025)*(INPUT!$U$3:$U$3000="PIRATA")*(INPUT!$V$3:$V$3000+INPUT!$W$3:$W$3000+INPUT!$X$3:$X$3000+INPUT!$Y$3:$Y$3000))),"")</f>
        <v>20</v>
      </c>
      <c r="DO16" s="42" cm="1">
        <f t="array" ref="DO16">IFERROR(IF(SUMPRODUCT((INPUT!$T$3:$T$3000=46027)*(INPUT!$U$3:$U$3000="PIRATA"))=0,"",SUMPRODUCT((INPUT!$T$3:$T$3000=46027)*(INPUT!$U$3:$U$3000="PIRATA")*(INPUT!$V$3:$V$3000+INPUT!$W$3:$W$3000+INPUT!$X$3:$X$3000+INPUT!$Y$3:$Y$3000))),"")</f>
        <v>15</v>
      </c>
      <c r="DP16" s="42" cm="1">
        <f t="array" ref="DP16">IFERROR(IF(SUMPRODUCT((INPUT!$T$3:$T$3000=46028)*(INPUT!$U$3:$U$3000="PIRATA"))=0,"",SUMPRODUCT((INPUT!$T$3:$T$3000=46028)*(INPUT!$U$3:$U$3000="PIRATA")*(INPUT!$V$3:$V$3000+INPUT!$W$3:$W$3000+INPUT!$X$3:$X$3000+INPUT!$Y$3:$Y$3000))),"")</f>
        <v>17</v>
      </c>
      <c r="DQ16" s="42" cm="1">
        <f t="array" ref="DQ16">IFERROR(IF(SUMPRODUCT((INPUT!$T$3:$T$3000=46029)*(INPUT!$U$3:$U$3000="PIRATA"))=0,"",SUMPRODUCT((INPUT!$T$3:$T$3000=46029)*(INPUT!$U$3:$U$3000="PIRATA")*(INPUT!$V$3:$V$3000+INPUT!$W$3:$W$3000+INPUT!$X$3:$X$3000+INPUT!$Y$3:$Y$3000))),"")</f>
        <v>19</v>
      </c>
      <c r="DR16" s="42" cm="1">
        <f t="array" ref="DR16">IFERROR(IF(SUMPRODUCT((INPUT!$T$3:$T$3000=46030)*(INPUT!$U$3:$U$3000="PIRATA"))=0,"",SUMPRODUCT((INPUT!$T$3:$T$3000=46030)*(INPUT!$U$3:$U$3000="PIRATA")*(INPUT!$V$3:$V$3000+INPUT!$W$3:$W$3000+INPUT!$X$3:$X$3000+INPUT!$Y$3:$Y$3000))),"")</f>
        <v>15</v>
      </c>
      <c r="DS16" s="42" cm="1">
        <f t="array" ref="DS16">IFERROR(IF(SUMPRODUCT((INPUT!$T$3:$T$3000=46031)*(INPUT!$U$3:$U$3000="PIRATA"))=0,"",SUMPRODUCT((INPUT!$T$3:$T$3000=46031)*(INPUT!$U$3:$U$3000="PIRATA")*(INPUT!$V$3:$V$3000+INPUT!$W$3:$W$3000+INPUT!$X$3:$X$3000+INPUT!$Y$3:$Y$3000))),"")</f>
        <v>16</v>
      </c>
      <c r="DT16" s="42" cm="1">
        <f t="array" ref="DT16">IFERROR(IF(SUMPRODUCT((INPUT!$T$3:$T$3000=46041)*(INPUT!$U$3:$U$3000="PIRATA"))=0,"",SUMPRODUCT((INPUT!$T$3:$T$3000=46041)*(INPUT!$U$3:$U$3000="PIRATA")*(INPUT!$V$3:$V$3000+INPUT!$W$3:$W$3000+INPUT!$X$3:$X$3000+INPUT!$Y$3:$Y$3000))),"")</f>
        <v>19</v>
      </c>
      <c r="DU16" s="42" cm="1">
        <f t="array" ref="DU16">IFERROR(IF(SUMPRODUCT((INPUT!$T$3:$T$3000=46042)*(INPUT!$U$3:$U$3000="PIRATA"))=0,"",SUMPRODUCT((INPUT!$T$3:$T$3000=46042)*(INPUT!$U$3:$U$3000="PIRATA")*(INPUT!$V$3:$V$3000+INPUT!$W$3:$W$3000+INPUT!$X$3:$X$3000+INPUT!$Y$3:$Y$3000))),"")</f>
        <v>15</v>
      </c>
      <c r="DV16" s="42" cm="1">
        <f t="array" ref="DV16">IFERROR(IF(SUMPRODUCT((INPUT!$T$3:$T$3000=46043)*(INPUT!$U$3:$U$3000="PIRATA"))=0,"",SUMPRODUCT((INPUT!$T$3:$T$3000=46043)*(INPUT!$U$3:$U$3000="PIRATA")*(INPUT!$V$3:$V$3000+INPUT!$W$3:$W$3000+INPUT!$X$3:$X$3000+INPUT!$Y$3:$Y$3000))),"")</f>
        <v>12</v>
      </c>
      <c r="DW16" s="42" cm="1">
        <f t="array" ref="DW16">IFERROR(IF(SUMPRODUCT((INPUT!$T$3:$T$3000=46044)*(INPUT!$U$3:$U$3000="PIRATA"))=0,"",SUMPRODUCT((INPUT!$T$3:$T$3000=46044)*(INPUT!$U$3:$U$3000="PIRATA")*(INPUT!$V$3:$V$3000+INPUT!$W$3:$W$3000+INPUT!$X$3:$X$3000+INPUT!$Y$3:$Y$3000))),"")</f>
        <v>14</v>
      </c>
      <c r="DX16" s="42" cm="1">
        <f t="array" ref="DX16">IFERROR(IF(SUMPRODUCT((INPUT!$T$3:$T$3000=46045)*(INPUT!$U$3:$U$3000="PIRATA"))=0,"",SUMPRODUCT((INPUT!$T$3:$T$3000=46045)*(INPUT!$U$3:$U$3000="PIRATA")*(INPUT!$V$3:$V$3000+INPUT!$W$3:$W$3000+INPUT!$X$3:$X$3000+INPUT!$Y$3:$Y$3000))),"")</f>
        <v>15</v>
      </c>
      <c r="DY16" s="42" cm="1">
        <f t="array" ref="DY16">IFERROR(IF(SUMPRODUCT((INPUT!$T$3:$T$3000=46048)*(INPUT!$U$3:$U$3000="PIRATA"))=0,"",SUMPRODUCT((INPUT!$T$3:$T$3000=46048)*(INPUT!$U$3:$U$3000="PIRATA")*(INPUT!$V$3:$V$3000+INPUT!$W$3:$W$3000+INPUT!$X$3:$X$3000+INPUT!$Y$3:$Y$3000))),"")</f>
        <v>16</v>
      </c>
      <c r="DZ16" s="42" cm="1">
        <f t="array" ref="DZ16">IFERROR(IF(SUMPRODUCT((INPUT!$T$3:$T$3000=46049)*(INPUT!$U$3:$U$3000="PIRATA"))=0,"",SUMPRODUCT((INPUT!$T$3:$T$3000=46049)*(INPUT!$U$3:$U$3000="PIRATA")*(INPUT!$V$3:$V$3000+INPUT!$W$3:$W$3000+INPUT!$X$3:$X$3000+INPUT!$Y$3:$Y$3000))),"")</f>
        <v>16</v>
      </c>
      <c r="EA16" s="42" cm="1">
        <f t="array" ref="EA16">IFERROR(IF(SUMPRODUCT((INPUT!$T$3:$T$3000=46050)*(INPUT!$U$3:$U$3000="PIRATA"))=0,"",SUMPRODUCT((INPUT!$T$3:$T$3000=46050)*(INPUT!$U$3:$U$3000="PIRATA")*(INPUT!$V$3:$V$3000+INPUT!$W$3:$W$3000+INPUT!$X$3:$X$3000+INPUT!$Y$3:$Y$3000))),"")</f>
        <v>14</v>
      </c>
      <c r="EB16" s="42" cm="1">
        <f t="array" ref="EB16">IFERROR(IF(SUMPRODUCT((INPUT!$T$3:$T$3000=46051)*(INPUT!$U$3:$U$3000="PIRATA"))=0,"",SUMPRODUCT((INPUT!$T$3:$T$3000=46051)*(INPUT!$U$3:$U$3000="PIRATA")*(INPUT!$V$3:$V$3000+INPUT!$W$3:$W$3000+INPUT!$X$3:$X$3000+INPUT!$Y$3:$Y$3000))),"")</f>
        <v>16</v>
      </c>
      <c r="EC16" s="42" cm="1">
        <f t="array" ref="EC16">IFERROR(IF(SUMPRODUCT((INPUT!$T$3:$T$3000=46052)*(INPUT!$U$3:$U$3000="PIRATA"))=0,"",SUMPRODUCT((INPUT!$T$3:$T$3000=46052)*(INPUT!$U$3:$U$3000="PIRATA")*(INPUT!$V$3:$V$3000+INPUT!$W$3:$W$3000+INPUT!$X$3:$X$3000+INPUT!$Y$3:$Y$3000))),"")</f>
        <v>17</v>
      </c>
      <c r="ED16" s="42" cm="1">
        <f t="array" ref="ED16">IFERROR(IF(SUMPRODUCT((INPUT!$T$3:$T$3000=46055)*(INPUT!$U$3:$U$3000="PIRATA"))=0,"",SUMPRODUCT((INPUT!$T$3:$T$3000=46055)*(INPUT!$U$3:$U$3000="PIRATA")*(INPUT!$V$3:$V$3000+INPUT!$W$3:$W$3000+INPUT!$X$3:$X$3000+INPUT!$Y$3:$Y$3000))),"")</f>
        <v>15</v>
      </c>
      <c r="EE16" s="42" cm="1">
        <f t="array" ref="EE16">IFERROR(IF(SUMPRODUCT((INPUT!$T$3:$T$3000=46056)*(INPUT!$U$3:$U$3000="PIRATA"))=0,"",SUMPRODUCT((INPUT!$T$3:$T$3000=46056)*(INPUT!$U$3:$U$3000="PIRATA")*(INPUT!$V$3:$V$3000+INPUT!$W$3:$W$3000+INPUT!$X$3:$X$3000+INPUT!$Y$3:$Y$3000))),"")</f>
        <v>16</v>
      </c>
      <c r="EF16" s="42" cm="1">
        <f t="array" ref="EF16">IFERROR(IF(SUMPRODUCT((INPUT!$T$3:$T$3000=46057)*(INPUT!$U$3:$U$3000="PIRATA"))=0,"",SUMPRODUCT((INPUT!$T$3:$T$3000=46057)*(INPUT!$U$3:$U$3000="PIRATA")*(INPUT!$V$3:$V$3000+INPUT!$W$3:$W$3000+INPUT!$X$3:$X$3000+INPUT!$Y$3:$Y$3000))),"")</f>
        <v>15</v>
      </c>
      <c r="EG16" s="42" cm="1">
        <f t="array" ref="EG16">IFERROR(IF(SUMPRODUCT((INPUT!$T$3:$T$3000=46058)*(INPUT!$U$3:$U$3000="PIRATA"))=0,"",SUMPRODUCT((INPUT!$T$3:$T$3000=46058)*(INPUT!$U$3:$U$3000="PIRATA")*(INPUT!$V$3:$V$3000+INPUT!$W$3:$W$3000+INPUT!$X$3:$X$3000+INPUT!$Y$3:$Y$3000))),"")</f>
        <v>16</v>
      </c>
      <c r="EH16" s="42" cm="1">
        <f t="array" ref="EH16">IFERROR(IF(SUMPRODUCT((INPUT!$T$3:$T$3000=46059)*(INPUT!$U$3:$U$3000="PIRATA"))=0,"",SUMPRODUCT((INPUT!$T$3:$T$3000=46059)*(INPUT!$U$3:$U$3000="PIRATA")*(INPUT!$V$3:$V$3000+INPUT!$W$3:$W$3000+INPUT!$X$3:$X$3000+INPUT!$Y$3:$Y$3000))),"")</f>
        <v>17</v>
      </c>
      <c r="EI16" s="42" cm="1">
        <f t="array" ref="EI16">IFERROR(IF(SUMPRODUCT((INPUT!$T$3:$T$3000=46061)*(INPUT!$U$3:$U$3000="PIRATA"))=0,"",SUMPRODUCT((INPUT!$T$3:$T$3000=46061)*(INPUT!$U$3:$U$3000="PIRATA")*(INPUT!$V$3:$V$3000+INPUT!$W$3:$W$3000+INPUT!$X$3:$X$3000+INPUT!$Y$3:$Y$3000))),"")</f>
        <v>14</v>
      </c>
      <c r="EJ16" s="42" cm="1">
        <f t="array" ref="EJ16">IFERROR(IF(SUMPRODUCT((INPUT!$T$3:$T$3000=46062)*(INPUT!$U$3:$U$3000="PIRATA"))=0,"",SUMPRODUCT((INPUT!$T$3:$T$3000=46062)*(INPUT!$U$3:$U$3000="PIRATA")*(INPUT!$V$3:$V$3000+INPUT!$W$3:$W$3000+INPUT!$X$3:$X$3000+INPUT!$Y$3:$Y$3000))),"")</f>
        <v>15</v>
      </c>
      <c r="EK16" s="42" cm="1">
        <f t="array" ref="EK16">IFERROR(IF(SUMPRODUCT((INPUT!$T$3:$T$3000=46063)*(INPUT!$U$3:$U$3000="PIRATA"))=0,"",SUMPRODUCT((INPUT!$T$3:$T$3000=46063)*(INPUT!$U$3:$U$3000="PIRATA")*(INPUT!$V$3:$V$3000+INPUT!$W$3:$W$3000+INPUT!$X$3:$X$3000+INPUT!$Y$3:$Y$3000))),"")</f>
        <v>15</v>
      </c>
      <c r="EL16" s="42" cm="1">
        <f t="array" ref="EL16">IFERROR(IF(SUMPRODUCT((INPUT!$T$3:$T$3000=46064)*(INPUT!$U$3:$U$3000="PIRATA"))=0,"",SUMPRODUCT((INPUT!$T$3:$T$3000=46064)*(INPUT!$U$3:$U$3000="PIRATA")*(INPUT!$V$3:$V$3000+INPUT!$W$3:$W$3000+INPUT!$X$3:$X$3000+INPUT!$Y$3:$Y$3000))),"")</f>
        <v>17</v>
      </c>
      <c r="EM16" s="42" cm="1">
        <f t="array" ref="EM16">IFERROR(IF(SUMPRODUCT((INPUT!$T$3:$T$3000=46065)*(INPUT!$U$3:$U$3000="PIRATA"))=0,"",SUMPRODUCT((INPUT!$T$3:$T$3000=46065)*(INPUT!$U$3:$U$3000="PIRATA")*(INPUT!$V$3:$V$3000+INPUT!$W$3:$W$3000+INPUT!$X$3:$X$3000+INPUT!$Y$3:$Y$3000))),"")</f>
        <v>13</v>
      </c>
      <c r="EN16" s="42" cm="1">
        <f t="array" ref="EN16">IFERROR(IF(SUMPRODUCT((INPUT!$T$3:$T$3000=46066)*(INPUT!$U$3:$U$3000="PIRATA"))=0,"",SUMPRODUCT((INPUT!$T$3:$T$3000=46066)*(INPUT!$U$3:$U$3000="PIRATA")*(INPUT!$V$3:$V$3000+INPUT!$W$3:$W$3000+INPUT!$X$3:$X$3000+INPUT!$Y$3:$Y$3000))),"")</f>
        <v>15</v>
      </c>
      <c r="EO16" s="42" cm="1">
        <f t="array" ref="EO16">IFERROR(IF(SUMPRODUCT((INPUT!$T$3:$T$3000=46067)*(INPUT!$U$3:$U$3000="PIRATA"))=0,"",SUMPRODUCT((INPUT!$T$3:$T$3000=46067)*(INPUT!$U$3:$U$3000="PIRATA")*(INPUT!$V$3:$V$3000+INPUT!$W$3:$W$3000+INPUT!$X$3:$X$3000+INPUT!$Y$3:$Y$3000))),"")</f>
        <v>18</v>
      </c>
      <c r="EP16" s="42" cm="1">
        <f t="array" ref="EP16">IFERROR(IF(SUMPRODUCT((INPUT!$T$3:$T$3000=46069)*(INPUT!$U$3:$U$3000="PIRATA"))=0,"",SUMPRODUCT((INPUT!$T$3:$T$3000=46069)*(INPUT!$U$3:$U$3000="PIRATA")*(INPUT!$V$3:$V$3000+INPUT!$W$3:$W$3000+INPUT!$X$3:$X$3000+INPUT!$Y$3:$Y$3000))),"")</f>
        <v>16</v>
      </c>
      <c r="EQ16" s="42" cm="1">
        <f t="array" ref="EQ16">IFERROR(IF(SUMPRODUCT((INPUT!$T$3:$T$3000=46072)*(INPUT!$U$3:$U$3000="PIRATA"))=0,"",SUMPRODUCT((INPUT!$T$3:$T$3000=46072)*(INPUT!$U$3:$U$3000="PIRATA")*(INPUT!$V$3:$V$3000+INPUT!$W$3:$W$3000+INPUT!$X$3:$X$3000+INPUT!$Y$3:$Y$3000))),"")</f>
        <v>14</v>
      </c>
      <c r="ER16" s="42" cm="1">
        <f t="array" ref="ER16">IFERROR(IF(SUMPRODUCT((INPUT!$T$3:$T$3000=46073)*(INPUT!$U$3:$U$3000="PIRATA"))=0,"",SUMPRODUCT((INPUT!$T$3:$T$3000=46073)*(INPUT!$U$3:$U$3000="PIRATA")*(INPUT!$V$3:$V$3000+INPUT!$W$3:$W$3000+INPUT!$X$3:$X$3000+INPUT!$Y$3:$Y$3000))),"")</f>
        <v>14</v>
      </c>
      <c r="ES16" s="42" cm="1">
        <f t="array" ref="ES16">IFERROR(IF(SUMPRODUCT((INPUT!$T$3:$T$3000=46076)*(INPUT!$U$3:$U$3000="PIRATA"))=0,"",SUMPRODUCT((INPUT!$T$3:$T$3000=46076)*(INPUT!$U$3:$U$3000="PIRATA")*(INPUT!$V$3:$V$3000+INPUT!$W$3:$W$3000+INPUT!$X$3:$X$3000+INPUT!$Y$3:$Y$3000))),"")</f>
        <v>16</v>
      </c>
      <c r="ET16" s="42" cm="1">
        <f t="array" ref="ET16">IFERROR(IF(SUMPRODUCT((INPUT!$T$3:$T$3000=46077)*(INPUT!$U$3:$U$3000="PIRATA"))=0,"",SUMPRODUCT((INPUT!$T$3:$T$3000=46077)*(INPUT!$U$3:$U$3000="PIRATA")*(INPUT!$V$3:$V$3000+INPUT!$W$3:$W$3000+INPUT!$X$3:$X$3000+INPUT!$Y$3:$Y$3000))),"")</f>
        <v>16</v>
      </c>
      <c r="EU16" s="42" cm="1">
        <f t="array" ref="EU16">IFERROR(IF(SUMPRODUCT((INPUT!$T$3:$T$3000=46078)*(INPUT!$U$3:$U$3000="PIRATA"))=0,"",SUMPRODUCT((INPUT!$T$3:$T$3000=46078)*(INPUT!$U$3:$U$3000="PIRATA")*(INPUT!$V$3:$V$3000+INPUT!$W$3:$W$3000+INPUT!$X$3:$X$3000+INPUT!$Y$3:$Y$3000))),"")</f>
        <v>16</v>
      </c>
      <c r="EV16" s="42" cm="1">
        <f t="array" ref="EV16">IFERROR(IF(SUMPRODUCT((INPUT!$T$3:$T$3000=46079)*(INPUT!$U$3:$U$3000="PIRATA"))=0,"",SUMPRODUCT((INPUT!$T$3:$T$3000=46079)*(INPUT!$U$3:$U$3000="PIRATA")*(INPUT!$V$3:$V$3000+INPUT!$W$3:$W$3000+INPUT!$X$3:$X$3000+INPUT!$Y$3:$Y$3000))),"")</f>
        <v>16</v>
      </c>
      <c r="EW16" s="42" cm="1">
        <f t="array" ref="EW16">IFERROR(IF(SUMPRODUCT((INPUT!$T$3:$T$3000=46080)*(INPUT!$U$3:$U$3000="PIRATA"))=0,"",SUMPRODUCT((INPUT!$T$3:$T$3000=46080)*(INPUT!$U$3:$U$3000="PIRATA")*(INPUT!$V$3:$V$3000+INPUT!$W$3:$W$3000+INPUT!$X$3:$X$3000+INPUT!$Y$3:$Y$3000))),"")</f>
        <v>15</v>
      </c>
      <c r="EX16" s="42" cm="1">
        <f t="array" ref="EX16">IFERROR(IF(SUMPRODUCT((INPUT!$T$3:$T$3000=46082)*(INPUT!$U$3:$U$3000="PIRATA"))=0,"",SUMPRODUCT((INPUT!$T$3:$T$3000=46082)*(INPUT!$U$3:$U$3000="PIRATA")*(INPUT!$V$3:$V$3000+INPUT!$W$3:$W$3000+INPUT!$X$3:$X$3000+INPUT!$Y$3:$Y$3000))),"")</f>
        <v>19</v>
      </c>
      <c r="EY16" s="42" cm="1">
        <f t="array" ref="EY16">IFERROR(IF(SUMPRODUCT((INPUT!$T$3:$T$3000=46084)*(INPUT!$U$3:$U$3000="PIRATA"))=0,"",SUMPRODUCT((INPUT!$T$3:$T$3000=46084)*(INPUT!$U$3:$U$3000="PIRATA")*(INPUT!$V$3:$V$3000+INPUT!$W$3:$W$3000+INPUT!$X$3:$X$3000+INPUT!$Y$3:$Y$3000))),"")</f>
        <v>15</v>
      </c>
      <c r="EZ16" s="42" cm="1">
        <f t="array" ref="EZ16">IFERROR(IF(SUMPRODUCT((INPUT!$T$3:$T$3000=46085)*(INPUT!$U$3:$U$3000="PIRATA"))=0,"",SUMPRODUCT((INPUT!$T$3:$T$3000=46085)*(INPUT!$U$3:$U$3000="PIRATA")*(INPUT!$V$3:$V$3000+INPUT!$W$3:$W$3000+INPUT!$X$3:$X$3000+INPUT!$Y$3:$Y$3000))),"")</f>
        <v>14</v>
      </c>
      <c r="FA16" s="42" cm="1">
        <f t="array" ref="FA16">IFERROR(IF(SUMPRODUCT((INPUT!$T$3:$T$3000=46086)*(INPUT!$U$3:$U$3000="PIRATA"))=0,"",SUMPRODUCT((INPUT!$T$3:$T$3000=46086)*(INPUT!$U$3:$U$3000="PIRATA")*(INPUT!$V$3:$V$3000+INPUT!$W$3:$W$3000+INPUT!$X$3:$X$3000+INPUT!$Y$3:$Y$3000))),"")</f>
        <v>15</v>
      </c>
      <c r="FB16" s="42" cm="1">
        <f t="array" ref="FB16">IFERROR(IF(SUMPRODUCT((INPUT!$T$3:$T$3000=46087)*(INPUT!$U$3:$U$3000="PIRATA"))=0,"",SUMPRODUCT((INPUT!$T$3:$T$3000=46087)*(INPUT!$U$3:$U$3000="PIRATA")*(INPUT!$V$3:$V$3000+INPUT!$W$3:$W$3000+INPUT!$X$3:$X$3000+INPUT!$Y$3:$Y$3000))),"")</f>
        <v>20</v>
      </c>
      <c r="FC16" s="42" cm="1">
        <f t="array" ref="FC16">IFERROR(IF(SUMPRODUCT((INPUT!$T$3:$T$3000=46090)*(INPUT!$U$3:$U$3000="PIRATA"))=0,"",SUMPRODUCT((INPUT!$T$3:$T$3000=46090)*(INPUT!$U$3:$U$3000="PIRATA")*(INPUT!$V$3:$V$3000+INPUT!$W$3:$W$3000+INPUT!$X$3:$X$3000+INPUT!$Y$3:$Y$3000))),"")</f>
        <v>16</v>
      </c>
      <c r="FD16" s="42" cm="1">
        <f t="array" ref="FD16">IFERROR(IF(SUMPRODUCT((INPUT!$T$3:$T$3000=46091)*(INPUT!$U$3:$U$3000="PIRATA"))=0,"",SUMPRODUCT((INPUT!$T$3:$T$3000=46091)*(INPUT!$U$3:$U$3000="PIRATA")*(INPUT!$V$3:$V$3000+INPUT!$W$3:$W$3000+INPUT!$X$3:$X$3000+INPUT!$Y$3:$Y$3000))),"")</f>
        <v>16</v>
      </c>
      <c r="FE16" s="42" cm="1">
        <f t="array" ref="FE16">IFERROR(IF(SUMPRODUCT((INPUT!$T$3:$T$3000=46092)*(INPUT!$U$3:$U$3000="PIRATA"))=0,"",SUMPRODUCT((INPUT!$T$3:$T$3000=46092)*(INPUT!$U$3:$U$3000="PIRATA")*(INPUT!$V$3:$V$3000+INPUT!$W$3:$W$3000+INPUT!$X$3:$X$3000+INPUT!$Y$3:$Y$3000))),"")</f>
        <v>16</v>
      </c>
      <c r="FF16" s="42" cm="1">
        <f t="array" ref="FF16">IFERROR(IF(SUMPRODUCT((INPUT!$T$3:$T$3000=46093)*(INPUT!$U$3:$U$3000="PIRATA"))=0,"",SUMPRODUCT((INPUT!$T$3:$T$3000=46093)*(INPUT!$U$3:$U$3000="PIRATA")*(INPUT!$V$3:$V$3000+INPUT!$W$3:$W$3000+INPUT!$X$3:$X$3000+INPUT!$Y$3:$Y$3000))),"")</f>
        <v>16</v>
      </c>
      <c r="FG16" s="42" cm="1">
        <f t="array" ref="FG16">IFERROR(IF(SUMPRODUCT((INPUT!$T$3:$T$3000=46094)*(INPUT!$U$3:$U$3000="PIRATA"))=0,"",SUMPRODUCT((INPUT!$T$3:$T$3000=46094)*(INPUT!$U$3:$U$3000="PIRATA")*(INPUT!$V$3:$V$3000+INPUT!$W$3:$W$3000+INPUT!$X$3:$X$3000+INPUT!$Y$3:$Y$3000))),"")</f>
        <v>19</v>
      </c>
      <c r="FH16" s="42" cm="1">
        <f t="array" ref="FH16">IFERROR(IF(SUMPRODUCT((INPUT!$T$3:$T$3000=46096)*(INPUT!$U$3:$U$3000="PIRATA"))=0,"",SUMPRODUCT((INPUT!$T$3:$T$3000=46096)*(INPUT!$U$3:$U$3000="PIRATA")*(INPUT!$V$3:$V$3000+INPUT!$W$3:$W$3000+INPUT!$X$3:$X$3000+INPUT!$Y$3:$Y$3000))),"")</f>
        <v>19</v>
      </c>
      <c r="FI16" s="42" cm="1">
        <f t="array" ref="FI16">IFERROR(IF(SUMPRODUCT((INPUT!$T$3:$T$3000=46097)*(INPUT!$U$3:$U$3000="PIRATA"))=0,"",SUMPRODUCT((INPUT!$T$3:$T$3000=46097)*(INPUT!$U$3:$U$3000="PIRATA")*(INPUT!$V$3:$V$3000+INPUT!$W$3:$W$3000+INPUT!$X$3:$X$3000+INPUT!$Y$3:$Y$3000))),"")</f>
        <v>17</v>
      </c>
      <c r="FJ16" s="42" cm="1">
        <f t="array" ref="FJ16">IFERROR(IF(SUMPRODUCT((INPUT!$T$3:$T$3000=46098)*(INPUT!$U$3:$U$3000="PIRATA"))=0,"",SUMPRODUCT((INPUT!$T$3:$T$3000=46098)*(INPUT!$U$3:$U$3000="PIRATA")*(INPUT!$V$3:$V$3000+INPUT!$W$3:$W$3000+INPUT!$X$3:$X$3000+INPUT!$Y$3:$Y$3000))),"")</f>
        <v>16</v>
      </c>
      <c r="FK16" s="42" cm="1">
        <f t="array" ref="FK16">IFERROR(IF(SUMPRODUCT((INPUT!$T$3:$T$3000=46099)*(INPUT!$U$3:$U$3000="PIRATA"))=0,"",SUMPRODUCT((INPUT!$T$3:$T$3000=46099)*(INPUT!$U$3:$U$3000="PIRATA")*(INPUT!$V$3:$V$3000+INPUT!$W$3:$W$3000+INPUT!$X$3:$X$3000+INPUT!$Y$3:$Y$3000))),"")</f>
        <v>19</v>
      </c>
      <c r="FL16" s="42" cm="1">
        <f t="array" ref="FL16">IFERROR(IF(SUMPRODUCT((INPUT!$T$3:$T$3000=46102)*(INPUT!$U$3:$U$3000="PIRATA"))=0,"",SUMPRODUCT((INPUT!$T$3:$T$3000=46102)*(INPUT!$U$3:$U$3000="PIRATA")*(INPUT!$V$3:$V$3000+INPUT!$W$3:$W$3000+INPUT!$X$3:$X$3000+INPUT!$Y$3:$Y$3000))),"")</f>
        <v>20</v>
      </c>
      <c r="FM16" s="42" cm="1">
        <f t="array" ref="FM16">IFERROR(IF(SUMPRODUCT((INPUT!$T$3:$T$3000=46105)*(INPUT!$U$3:$U$3000="PIRATA"))=0,"",SUMPRODUCT((INPUT!$T$3:$T$3000=46105)*(INPUT!$U$3:$U$3000="PIRATA")*(INPUT!$V$3:$V$3000+INPUT!$W$3:$W$3000+INPUT!$X$3:$X$3000+INPUT!$Y$3:$Y$3000))),"")</f>
        <v>16</v>
      </c>
      <c r="FN16" s="42" cm="1">
        <f t="array" ref="FN16">IFERROR(IF(SUMPRODUCT((INPUT!$T$3:$T$3000=46106)*(INPUT!$U$3:$U$3000="PIRATA"))=0,"",SUMPRODUCT((INPUT!$T$3:$T$3000=46106)*(INPUT!$U$3:$U$3000="PIRATA")*(INPUT!$V$3:$V$3000+INPUT!$W$3:$W$3000+INPUT!$X$3:$X$3000+INPUT!$Y$3:$Y$3000))),"")</f>
        <v>15</v>
      </c>
      <c r="FO16" s="42" cm="1">
        <f t="array" ref="FO16">IFERROR(IF(SUMPRODUCT((INPUT!$T$3:$T$3000=46107)*(INPUT!$U$3:$U$3000="PIRATA"))=0,"",SUMPRODUCT((INPUT!$T$3:$T$3000=46107)*(INPUT!$U$3:$U$3000="PIRATA")*(INPUT!$V$3:$V$3000+INPUT!$W$3:$W$3000+INPUT!$X$3:$X$3000+INPUT!$Y$3:$Y$3000))),"")</f>
        <v>16</v>
      </c>
      <c r="FP16" s="42" cm="1">
        <f t="array" ref="FP16">IFERROR(IF(SUMPRODUCT((INPUT!$T$3:$T$3000=46108)*(INPUT!$U$3:$U$3000="PIRATA"))=0,"",SUMPRODUCT((INPUT!$T$3:$T$3000=46108)*(INPUT!$U$3:$U$3000="PIRATA")*(INPUT!$V$3:$V$3000+INPUT!$W$3:$W$3000+INPUT!$X$3:$X$3000+INPUT!$Y$3:$Y$3000))),"")</f>
        <v>16</v>
      </c>
      <c r="FQ16" s="42" cm="1">
        <f t="array" ref="FQ16">IFERROR(IF(SUMPRODUCT((INPUT!$T$3:$T$3000=46109)*(INPUT!$U$3:$U$3000="PIRATA"))=0,"",SUMPRODUCT((INPUT!$T$3:$T$3000=46109)*(INPUT!$U$3:$U$3000="PIRATA")*(INPUT!$V$3:$V$3000+INPUT!$W$3:$W$3000+INPUT!$X$3:$X$3000+INPUT!$Y$3:$Y$3000))),"")</f>
        <v>19</v>
      </c>
      <c r="FR16" s="42" cm="1">
        <f t="array" ref="FR16">IFERROR(IF(SUMPRODUCT((INPUT!$T$3:$T$3000=46111)*(INPUT!$U$3:$U$3000="PIRATA"))=0,"",SUMPRODUCT((INPUT!$T$3:$T$3000=46111)*(INPUT!$U$3:$U$3000="PIRATA")*(INPUT!$V$3:$V$3000+INPUT!$W$3:$W$3000+INPUT!$X$3:$X$3000+INPUT!$Y$3:$Y$3000))),"")</f>
        <v>15</v>
      </c>
      <c r="FS16" s="42" cm="1">
        <f t="array" ref="FS16">IFERROR(IF(SUMPRODUCT((INPUT!$T$3:$T$3000=46112)*(INPUT!$U$3:$U$3000="PIRATA"))=0,"",SUMPRODUCT((INPUT!$T$3:$T$3000=46112)*(INPUT!$U$3:$U$3000="PIRATA")*(INPUT!$V$3:$V$3000+INPUT!$W$3:$W$3000+INPUT!$X$3:$X$3000+INPUT!$Y$3:$Y$3000))),"")</f>
        <v>15</v>
      </c>
      <c r="FT16" s="42" cm="1">
        <f t="array" ref="FT16">IFERROR(IF(SUMPRODUCT((INPUT!$T$3:$T$3000=46113)*(INPUT!$U$3:$U$3000="PIRATA"))=0,"",SUMPRODUCT((INPUT!$T$3:$T$3000=46113)*(INPUT!$U$3:$U$3000="PIRATA")*(INPUT!$V$3:$V$3000+INPUT!$W$3:$W$3000+INPUT!$X$3:$X$3000+INPUT!$Y$3:$Y$3000))),"")</f>
        <v>16</v>
      </c>
      <c r="FU16" s="42" cm="1">
        <f t="array" ref="FU16">IFERROR(IF(SUMPRODUCT((INPUT!$T$3:$T$3000=46114)*(INPUT!$U$3:$U$3000="PIRATA"))=0,"",SUMPRODUCT((INPUT!$T$3:$T$3000=46114)*(INPUT!$U$3:$U$3000="PIRATA")*(INPUT!$V$3:$V$3000+INPUT!$W$3:$W$3000+INPUT!$X$3:$X$3000+INPUT!$Y$3:$Y$3000))),"")</f>
        <v>15</v>
      </c>
      <c r="FV16" s="42" cm="1">
        <f t="array" ref="FV16">IFERROR(IF(SUMPRODUCT((INPUT!$T$3:$T$3000=46115)*(INPUT!$U$3:$U$3000="PIRATA"))=0,"",SUMPRODUCT((INPUT!$T$3:$T$3000=46115)*(INPUT!$U$3:$U$3000="PIRATA")*(INPUT!$V$3:$V$3000+INPUT!$W$3:$W$3000+INPUT!$X$3:$X$3000+INPUT!$Y$3:$Y$3000))),"")</f>
        <v>16</v>
      </c>
      <c r="FW16" s="42" cm="1">
        <f t="array" ref="FW16">IFERROR(IF(SUMPRODUCT((INPUT!$T$3:$T$3000=46116)*(INPUT!$U$3:$U$3000="PIRATA"))=0,"",SUMPRODUCT((INPUT!$T$3:$T$3000=46116)*(INPUT!$U$3:$U$3000="PIRATA")*(INPUT!$V$3:$V$3000+INPUT!$W$3:$W$3000+INPUT!$X$3:$X$3000+INPUT!$Y$3:$Y$3000))),"")</f>
        <v>17</v>
      </c>
      <c r="FX16" s="42" cm="1">
        <f t="array" ref="FX16">IFERROR(IF(SUMPRODUCT((INPUT!$T$3:$T$3000=46118)*(INPUT!$U$3:$U$3000="PIRATA"))=0,"",SUMPRODUCT((INPUT!$T$3:$T$3000=46118)*(INPUT!$U$3:$U$3000="PIRATA")*(INPUT!$V$3:$V$3000+INPUT!$W$3:$W$3000+INPUT!$X$3:$X$3000+INPUT!$Y$3:$Y$3000))),"")</f>
        <v>16</v>
      </c>
      <c r="FY16" s="42" cm="1">
        <f t="array" ref="FY16">IFERROR(IF(SUMPRODUCT((INPUT!$T$3:$T$3000=46119)*(INPUT!$U$3:$U$3000="PIRATA"))=0,"",SUMPRODUCT((INPUT!$T$3:$T$3000=46119)*(INPUT!$U$3:$U$3000="PIRATA")*(INPUT!$V$3:$V$3000+INPUT!$W$3:$W$3000+INPUT!$X$3:$X$3000+INPUT!$Y$3:$Y$3000))),"")</f>
        <v>16</v>
      </c>
      <c r="FZ16" s="42" cm="1">
        <f t="array" ref="FZ16">IFERROR(IF(SUMPRODUCT((INPUT!$T$3:$T$3000=46120)*(INPUT!$U$3:$U$3000="PIRATA"))=0,"",SUMPRODUCT((INPUT!$T$3:$T$3000=46120)*(INPUT!$U$3:$U$3000="PIRATA")*(INPUT!$V$3:$V$3000+INPUT!$W$3:$W$3000+INPUT!$X$3:$X$3000+INPUT!$Y$3:$Y$3000))),"")</f>
        <v>16</v>
      </c>
      <c r="GA16" s="42" cm="1">
        <f t="array" ref="GA16">IFERROR(IF(SUMPRODUCT((INPUT!$T$3:$T$3000=46121)*(INPUT!$U$3:$U$3000="PIRATA"))=0,"",SUMPRODUCT((INPUT!$T$3:$T$3000=46121)*(INPUT!$U$3:$U$3000="PIRATA")*(INPUT!$V$3:$V$3000+INPUT!$W$3:$W$3000+INPUT!$X$3:$X$3000+INPUT!$Y$3:$Y$3000))),"")</f>
        <v>16</v>
      </c>
      <c r="GB16" s="42" cm="1">
        <f t="array" ref="GB16">IFERROR(IF(SUMPRODUCT((INPUT!$T$3:$T$3000=46122)*(INPUT!$U$3:$U$3000="PIRATA"))=0,"",SUMPRODUCT((INPUT!$T$3:$T$3000=46122)*(INPUT!$U$3:$U$3000="PIRATA")*(INPUT!$V$3:$V$3000+INPUT!$W$3:$W$3000+INPUT!$X$3:$X$3000+INPUT!$Y$3:$Y$3000))),"")</f>
        <v>16</v>
      </c>
      <c r="GC16" s="42" cm="1">
        <f t="array" ref="GC16">IFERROR(IF(SUMPRODUCT((INPUT!$T$3:$T$3000=46125)*(INPUT!$U$3:$U$3000="PIRATA"))=0,"",SUMPRODUCT((INPUT!$T$3:$T$3000=46125)*(INPUT!$U$3:$U$3000="PIRATA")*(INPUT!$V$3:$V$3000+INPUT!$W$3:$W$3000+INPUT!$X$3:$X$3000+INPUT!$Y$3:$Y$3000))),"")</f>
        <v>16</v>
      </c>
      <c r="GD16" s="42" cm="1">
        <f t="array" ref="GD16">IFERROR(IF(SUMPRODUCT((INPUT!$T$3:$T$3000=46126)*(INPUT!$U$3:$U$3000="PIRATA"))=0,"",SUMPRODUCT((INPUT!$T$3:$T$3000=46126)*(INPUT!$U$3:$U$3000="PIRATA")*(INPUT!$V$3:$V$3000+INPUT!$W$3:$W$3000+INPUT!$X$3:$X$3000+INPUT!$Y$3:$Y$3000))),"")</f>
        <v>16</v>
      </c>
      <c r="GE16" s="42" cm="1">
        <f t="array" ref="GE16">IFERROR(IF(SUMPRODUCT((INPUT!$T$3:$T$3000=46127)*(INPUT!$U$3:$U$3000="PIRATA"))=0,"",SUMPRODUCT((INPUT!$T$3:$T$3000=46127)*(INPUT!$U$3:$U$3000="PIRATA")*(INPUT!$V$3:$V$3000+INPUT!$W$3:$W$3000+INPUT!$X$3:$X$3000+INPUT!$Y$3:$Y$3000))),"")</f>
        <v>14</v>
      </c>
      <c r="GF16" s="42" cm="1">
        <f t="array" ref="GF16">IFERROR(IF(SUMPRODUCT((INPUT!$T$3:$T$3000=46128)*(INPUT!$U$3:$U$3000="PIRATA"))=0,"",SUMPRODUCT((INPUT!$T$3:$T$3000=46128)*(INPUT!$U$3:$U$3000="PIRATA")*(INPUT!$V$3:$V$3000+INPUT!$W$3:$W$3000+INPUT!$X$3:$X$3000+INPUT!$Y$3:$Y$3000))),"")</f>
        <v>16</v>
      </c>
      <c r="GG16" s="42" cm="1">
        <f t="array" ref="GG16">IFERROR(IF(SUMPRODUCT((INPUT!$T$3:$T$3000=46129)*(INPUT!$U$3:$U$3000="PIRATA"))=0,"",SUMPRODUCT((INPUT!$T$3:$T$3000=46129)*(INPUT!$U$3:$U$3000="PIRATA")*(INPUT!$V$3:$V$3000+INPUT!$W$3:$W$3000+INPUT!$X$3:$X$3000+INPUT!$Y$3:$Y$3000))),"")</f>
        <v>16</v>
      </c>
      <c r="GH16" s="42" cm="1">
        <f t="array" ref="GH16">IFERROR(IF(SUMPRODUCT((INPUT!$T$3:$T$3000=46130)*(INPUT!$U$3:$U$3000="PIRATA"))=0,"",SUMPRODUCT((INPUT!$T$3:$T$3000=46130)*(INPUT!$U$3:$U$3000="PIRATA")*(INPUT!$V$3:$V$3000+INPUT!$W$3:$W$3000+INPUT!$X$3:$X$3000+INPUT!$Y$3:$Y$3000))),"")</f>
        <v>20</v>
      </c>
      <c r="GI16" s="42" cm="1">
        <f t="array" ref="GI16">IFERROR(IF(SUMPRODUCT((INPUT!$T$3:$T$3000=46132)*(INPUT!$U$3:$U$3000="PIRATA"))=0,"",SUMPRODUCT((INPUT!$T$3:$T$3000=46132)*(INPUT!$U$3:$U$3000="PIRATA")*(INPUT!$V$3:$V$3000+INPUT!$W$3:$W$3000+INPUT!$X$3:$X$3000+INPUT!$Y$3:$Y$3000))),"")</f>
        <v>15</v>
      </c>
    </row>
    <row r="17" spans="1:191" x14ac:dyDescent="0.2">
      <c r="A17" t="s">
        <v>46</v>
      </c>
      <c r="B17" s="42" cm="1">
        <f t="array" ref="B17">IFERROR(IF(SUMPRODUCT((INPUT!$T$3:$T$3000=45868)*(INPUT!$U$3:$U$3000="RAUL"))=0,"",SUMPRODUCT((INPUT!$T$3:$T$3000=45868)*(INPUT!$U$3:$U$3000="RAUL")*(INPUT!$V$3:$V$3000+INPUT!$W$3:$W$3000+INPUT!$X$3:$X$3000+INPUT!$Y$3:$Y$3000))),"")</f>
        <v>20</v>
      </c>
      <c r="C17" s="42" cm="1">
        <f t="array" ref="C17">IFERROR(IF(SUMPRODUCT((INPUT!$T$3:$T$3000=45869)*(INPUT!$U$3:$U$3000="RAUL"))=0,"",SUMPRODUCT((INPUT!$T$3:$T$3000=45869)*(INPUT!$U$3:$U$3000="RAUL")*(INPUT!$V$3:$V$3000+INPUT!$W$3:$W$3000+INPUT!$X$3:$X$3000+INPUT!$Y$3:$Y$3000))),"")</f>
        <v>20</v>
      </c>
      <c r="D17" s="42" cm="1">
        <f t="array" ref="D17">IFERROR(IF(SUMPRODUCT((INPUT!$T$3:$T$3000=45870)*(INPUT!$U$3:$U$3000="RAUL"))=0,"",SUMPRODUCT((INPUT!$T$3:$T$3000=45870)*(INPUT!$U$3:$U$3000="RAUL")*(INPUT!$V$3:$V$3000+INPUT!$W$3:$W$3000+INPUT!$X$3:$X$3000+INPUT!$Y$3:$Y$3000))),"")</f>
        <v>17</v>
      </c>
      <c r="E17" s="42" cm="1">
        <f t="array" ref="E17">IFERROR(IF(SUMPRODUCT((INPUT!$T$3:$T$3000=45873)*(INPUT!$U$3:$U$3000="RAUL"))=0,"",SUMPRODUCT((INPUT!$T$3:$T$3000=45873)*(INPUT!$U$3:$U$3000="RAUL")*(INPUT!$V$3:$V$3000+INPUT!$W$3:$W$3000+INPUT!$X$3:$X$3000+INPUT!$Y$3:$Y$3000))),"")</f>
        <v>20</v>
      </c>
      <c r="F17" s="42" cm="1">
        <f t="array" ref="F17">IFERROR(IF(SUMPRODUCT((INPUT!$T$3:$T$3000=45874)*(INPUT!$U$3:$U$3000="RAUL"))=0,"",SUMPRODUCT((INPUT!$T$3:$T$3000=45874)*(INPUT!$U$3:$U$3000="RAUL")*(INPUT!$V$3:$V$3000+INPUT!$W$3:$W$3000+INPUT!$X$3:$X$3000+INPUT!$Y$3:$Y$3000))),"")</f>
        <v>20</v>
      </c>
      <c r="G17" s="42" cm="1">
        <f t="array" ref="G17">IFERROR(IF(SUMPRODUCT((INPUT!$T$3:$T$3000=45875)*(INPUT!$U$3:$U$3000="RAUL"))=0,"",SUMPRODUCT((INPUT!$T$3:$T$3000=45875)*(INPUT!$U$3:$U$3000="RAUL")*(INPUT!$V$3:$V$3000+INPUT!$W$3:$W$3000+INPUT!$X$3:$X$3000+INPUT!$Y$3:$Y$3000))),"")</f>
        <v>18</v>
      </c>
      <c r="H17" s="42" cm="1">
        <f t="array" ref="H17">IFERROR(IF(SUMPRODUCT((INPUT!$T$3:$T$3000=45876)*(INPUT!$U$3:$U$3000="RAUL"))=0,"",SUMPRODUCT((INPUT!$T$3:$T$3000=45876)*(INPUT!$U$3:$U$3000="RAUL")*(INPUT!$V$3:$V$3000+INPUT!$W$3:$W$3000+INPUT!$X$3:$X$3000+INPUT!$Y$3:$Y$3000))),"")</f>
        <v>20</v>
      </c>
      <c r="I17" s="42" cm="1">
        <f t="array" ref="I17">IFERROR(IF(SUMPRODUCT((INPUT!$T$3:$T$3000=45877)*(INPUT!$U$3:$U$3000="RAUL"))=0,"",SUMPRODUCT((INPUT!$T$3:$T$3000=45877)*(INPUT!$U$3:$U$3000="RAUL")*(INPUT!$V$3:$V$3000+INPUT!$W$3:$W$3000+INPUT!$X$3:$X$3000+INPUT!$Y$3:$Y$3000))),"")</f>
        <v>18</v>
      </c>
      <c r="J17" s="42" cm="1">
        <f t="array" ref="J17">IFERROR(IF(SUMPRODUCT((INPUT!$T$3:$T$3000=45878)*(INPUT!$U$3:$U$3000="RAUL"))=0,"",SUMPRODUCT((INPUT!$T$3:$T$3000=45878)*(INPUT!$U$3:$U$3000="RAUL")*(INPUT!$V$3:$V$3000+INPUT!$W$3:$W$3000+INPUT!$X$3:$X$3000+INPUT!$Y$3:$Y$3000))),"")</f>
        <v>18</v>
      </c>
      <c r="K17" s="42" cm="1">
        <f t="array" ref="K17">IFERROR(IF(SUMPRODUCT((INPUT!$T$3:$T$3000=45880)*(INPUT!$U$3:$U$3000="RAUL"))=0,"",SUMPRODUCT((INPUT!$T$3:$T$3000=45880)*(INPUT!$U$3:$U$3000="RAUL")*(INPUT!$V$3:$V$3000+INPUT!$W$3:$W$3000+INPUT!$X$3:$X$3000+INPUT!$Y$3:$Y$3000))),"")</f>
        <v>20</v>
      </c>
      <c r="L17" s="42" cm="1">
        <f t="array" ref="L17">IFERROR(IF(SUMPRODUCT((INPUT!$T$3:$T$3000=45881)*(INPUT!$U$3:$U$3000="RAUL"))=0,"",SUMPRODUCT((INPUT!$T$3:$T$3000=45881)*(INPUT!$U$3:$U$3000="RAUL")*(INPUT!$V$3:$V$3000+INPUT!$W$3:$W$3000+INPUT!$X$3:$X$3000+INPUT!$Y$3:$Y$3000))),"")</f>
        <v>18</v>
      </c>
      <c r="M17" s="42" cm="1">
        <f t="array" ref="M17">IFERROR(IF(SUMPRODUCT((INPUT!$T$3:$T$3000=45882)*(INPUT!$U$3:$U$3000="RAUL"))=0,"",SUMPRODUCT((INPUT!$T$3:$T$3000=45882)*(INPUT!$U$3:$U$3000="RAUL")*(INPUT!$V$3:$V$3000+INPUT!$W$3:$W$3000+INPUT!$X$3:$X$3000+INPUT!$Y$3:$Y$3000))),"")</f>
        <v>20</v>
      </c>
      <c r="N17" s="42" cm="1">
        <f t="array" ref="N17">IFERROR(IF(SUMPRODUCT((INPUT!$T$3:$T$3000=45883)*(INPUT!$U$3:$U$3000="RAUL"))=0,"",SUMPRODUCT((INPUT!$T$3:$T$3000=45883)*(INPUT!$U$3:$U$3000="RAUL")*(INPUT!$V$3:$V$3000+INPUT!$W$3:$W$3000+INPUT!$X$3:$X$3000+INPUT!$Y$3:$Y$3000))),"")</f>
        <v>20</v>
      </c>
      <c r="O17" s="42" cm="1">
        <f t="array" ref="O17">IFERROR(IF(SUMPRODUCT((INPUT!$T$3:$T$3000=45884)*(INPUT!$U$3:$U$3000="RAUL"))=0,"",SUMPRODUCT((INPUT!$T$3:$T$3000=45884)*(INPUT!$U$3:$U$3000="RAUL")*(INPUT!$V$3:$V$3000+INPUT!$W$3:$W$3000+INPUT!$X$3:$X$3000+INPUT!$Y$3:$Y$3000))),"")</f>
        <v>17</v>
      </c>
      <c r="P17" s="42" cm="1">
        <f t="array" ref="P17">IFERROR(IF(SUMPRODUCT((INPUT!$T$3:$T$3000=45887)*(INPUT!$U$3:$U$3000="RAUL"))=0,"",SUMPRODUCT((INPUT!$T$3:$T$3000=45887)*(INPUT!$U$3:$U$3000="RAUL")*(INPUT!$V$3:$V$3000+INPUT!$W$3:$W$3000+INPUT!$X$3:$X$3000+INPUT!$Y$3:$Y$3000))),"")</f>
        <v>18</v>
      </c>
      <c r="Q17" s="42" cm="1">
        <f t="array" ref="Q17">IFERROR(IF(SUMPRODUCT((INPUT!$T$3:$T$3000=45888)*(INPUT!$U$3:$U$3000="RAUL"))=0,"",SUMPRODUCT((INPUT!$T$3:$T$3000=45888)*(INPUT!$U$3:$U$3000="RAUL")*(INPUT!$V$3:$V$3000+INPUT!$W$3:$W$3000+INPUT!$X$3:$X$3000+INPUT!$Y$3:$Y$3000))),"")</f>
        <v>17</v>
      </c>
      <c r="R17" s="42" cm="1">
        <f t="array" ref="R17">IFERROR(IF(SUMPRODUCT((INPUT!$T$3:$T$3000=45889)*(INPUT!$U$3:$U$3000="RAUL"))=0,"",SUMPRODUCT((INPUT!$T$3:$T$3000=45889)*(INPUT!$U$3:$U$3000="RAUL")*(INPUT!$V$3:$V$3000+INPUT!$W$3:$W$3000+INPUT!$X$3:$X$3000+INPUT!$Y$3:$Y$3000))),"")</f>
        <v>16</v>
      </c>
      <c r="S17" s="42" cm="1">
        <f t="array" ref="S17">IFERROR(IF(SUMPRODUCT((INPUT!$T$3:$T$3000=45890)*(INPUT!$U$3:$U$3000="RAUL"))=0,"",SUMPRODUCT((INPUT!$T$3:$T$3000=45890)*(INPUT!$U$3:$U$3000="RAUL")*(INPUT!$V$3:$V$3000+INPUT!$W$3:$W$3000+INPUT!$X$3:$X$3000+INPUT!$Y$3:$Y$3000))),"")</f>
        <v>15</v>
      </c>
      <c r="T17" s="42" cm="1">
        <f t="array" ref="T17">IFERROR(IF(SUMPRODUCT((INPUT!$T$3:$T$3000=45891)*(INPUT!$U$3:$U$3000="RAUL"))=0,"",SUMPRODUCT((INPUT!$T$3:$T$3000=45891)*(INPUT!$U$3:$U$3000="RAUL")*(INPUT!$V$3:$V$3000+INPUT!$W$3:$W$3000+INPUT!$X$3:$X$3000+INPUT!$Y$3:$Y$3000))),"")</f>
        <v>17</v>
      </c>
      <c r="U17" s="42" cm="1">
        <f t="array" ref="U17">IFERROR(IF(SUMPRODUCT((INPUT!$T$3:$T$3000=45892)*(INPUT!$U$3:$U$3000="RAUL"))=0,"",SUMPRODUCT((INPUT!$T$3:$T$3000=45892)*(INPUT!$U$3:$U$3000="RAUL")*(INPUT!$V$3:$V$3000+INPUT!$W$3:$W$3000+INPUT!$X$3:$X$3000+INPUT!$Y$3:$Y$3000))),"")</f>
        <v>17</v>
      </c>
      <c r="V17" s="42" cm="1">
        <f t="array" ref="V17">IFERROR(IF(SUMPRODUCT((INPUT!$T$3:$T$3000=45893)*(INPUT!$U$3:$U$3000="RAUL"))=0,"",SUMPRODUCT((INPUT!$T$3:$T$3000=45893)*(INPUT!$U$3:$U$3000="RAUL")*(INPUT!$V$3:$V$3000+INPUT!$W$3:$W$3000+INPUT!$X$3:$X$3000+INPUT!$Y$3:$Y$3000))),"")</f>
        <v>17</v>
      </c>
      <c r="W17" s="42" cm="1">
        <f t="array" ref="W17">IFERROR(IF(SUMPRODUCT((INPUT!$T$3:$T$3000=45895)*(INPUT!$U$3:$U$3000="RAUL"))=0,"",SUMPRODUCT((INPUT!$T$3:$T$3000=45895)*(INPUT!$U$3:$U$3000="RAUL")*(INPUT!$V$3:$V$3000+INPUT!$W$3:$W$3000+INPUT!$X$3:$X$3000+INPUT!$Y$3:$Y$3000))),"")</f>
        <v>17</v>
      </c>
      <c r="X17" s="42" cm="1">
        <f t="array" ref="X17">IFERROR(IF(SUMPRODUCT((INPUT!$T$3:$T$3000=45896)*(INPUT!$U$3:$U$3000="RAUL"))=0,"",SUMPRODUCT((INPUT!$T$3:$T$3000=45896)*(INPUT!$U$3:$U$3000="RAUL")*(INPUT!$V$3:$V$3000+INPUT!$W$3:$W$3000+INPUT!$X$3:$X$3000+INPUT!$Y$3:$Y$3000))),"")</f>
        <v>17</v>
      </c>
      <c r="Y17" s="42" cm="1">
        <f t="array" ref="Y17">IFERROR(IF(SUMPRODUCT((INPUT!$T$3:$T$3000=45898)*(INPUT!$U$3:$U$3000="RAUL"))=0,"",SUMPRODUCT((INPUT!$T$3:$T$3000=45898)*(INPUT!$U$3:$U$3000="RAUL")*(INPUT!$V$3:$V$3000+INPUT!$W$3:$W$3000+INPUT!$X$3:$X$3000+INPUT!$Y$3:$Y$3000))),"")</f>
        <v>17</v>
      </c>
      <c r="Z17" s="42" cm="1">
        <f t="array" ref="Z17">IFERROR(IF(SUMPRODUCT((INPUT!$T$3:$T$3000=45899)*(INPUT!$U$3:$U$3000="RAUL"))=0,"",SUMPRODUCT((INPUT!$T$3:$T$3000=45899)*(INPUT!$U$3:$U$3000="RAUL")*(INPUT!$V$3:$V$3000+INPUT!$W$3:$W$3000+INPUT!$X$3:$X$3000+INPUT!$Y$3:$Y$3000))),"")</f>
        <v>17</v>
      </c>
      <c r="AA17" s="42" cm="1">
        <f t="array" ref="AA17">IFERROR(IF(SUMPRODUCT((INPUT!$T$3:$T$3000=45900)*(INPUT!$U$3:$U$3000="RAUL"))=0,"",SUMPRODUCT((INPUT!$T$3:$T$3000=45900)*(INPUT!$U$3:$U$3000="RAUL")*(INPUT!$V$3:$V$3000+INPUT!$W$3:$W$3000+INPUT!$X$3:$X$3000+INPUT!$Y$3:$Y$3000))),"")</f>
        <v>14</v>
      </c>
      <c r="AB17" s="42" cm="1">
        <f t="array" ref="AB17">IFERROR(IF(SUMPRODUCT((INPUT!$T$3:$T$3000=45902)*(INPUT!$U$3:$U$3000="RAUL"))=0,"",SUMPRODUCT((INPUT!$T$3:$T$3000=45902)*(INPUT!$U$3:$U$3000="RAUL")*(INPUT!$V$3:$V$3000+INPUT!$W$3:$W$3000+INPUT!$X$3:$X$3000+INPUT!$Y$3:$Y$3000))),"")</f>
        <v>17</v>
      </c>
      <c r="AC17" s="42" cm="1">
        <f t="array" ref="AC17">IFERROR(IF(SUMPRODUCT((INPUT!$T$3:$T$3000=45903)*(INPUT!$U$3:$U$3000="RAUL"))=0,"",SUMPRODUCT((INPUT!$T$3:$T$3000=45903)*(INPUT!$U$3:$U$3000="RAUL")*(INPUT!$V$3:$V$3000+INPUT!$W$3:$W$3000+INPUT!$X$3:$X$3000+INPUT!$Y$3:$Y$3000))),"")</f>
        <v>15</v>
      </c>
      <c r="AD17" s="42" cm="1">
        <f t="array" ref="AD17">IFERROR(IF(SUMPRODUCT((INPUT!$T$3:$T$3000=45904)*(INPUT!$U$3:$U$3000="RAUL"))=0,"",SUMPRODUCT((INPUT!$T$3:$T$3000=45904)*(INPUT!$U$3:$U$3000="RAUL")*(INPUT!$V$3:$V$3000+INPUT!$W$3:$W$3000+INPUT!$X$3:$X$3000+INPUT!$Y$3:$Y$3000))),"")</f>
        <v>15</v>
      </c>
      <c r="AE17" s="42" cm="1">
        <f t="array" ref="AE17">IFERROR(IF(SUMPRODUCT((INPUT!$T$3:$T$3000=45905)*(INPUT!$U$3:$U$3000="RAUL"))=0,"",SUMPRODUCT((INPUT!$T$3:$T$3000=45905)*(INPUT!$U$3:$U$3000="RAUL")*(INPUT!$V$3:$V$3000+INPUT!$W$3:$W$3000+INPUT!$X$3:$X$3000+INPUT!$Y$3:$Y$3000))),"")</f>
        <v>17</v>
      </c>
      <c r="AF17" s="42" cm="1">
        <f t="array" ref="AF17">IFERROR(IF(SUMPRODUCT((INPUT!$T$3:$T$3000=45906)*(INPUT!$U$3:$U$3000="RAUL"))=0,"",SUMPRODUCT((INPUT!$T$3:$T$3000=45906)*(INPUT!$U$3:$U$3000="RAUL")*(INPUT!$V$3:$V$3000+INPUT!$W$3:$W$3000+INPUT!$X$3:$X$3000+INPUT!$Y$3:$Y$3000))),"")</f>
        <v>17</v>
      </c>
      <c r="AG17" s="42" cm="1">
        <f t="array" ref="AG17">IFERROR(IF(SUMPRODUCT((INPUT!$T$3:$T$3000=45908)*(INPUT!$U$3:$U$3000="RAUL"))=0,"",SUMPRODUCT((INPUT!$T$3:$T$3000=45908)*(INPUT!$U$3:$U$3000="RAUL")*(INPUT!$V$3:$V$3000+INPUT!$W$3:$W$3000+INPUT!$X$3:$X$3000+INPUT!$Y$3:$Y$3000))),"")</f>
        <v>16</v>
      </c>
      <c r="AH17" s="42" cm="1">
        <f t="array" ref="AH17">IFERROR(IF(SUMPRODUCT((INPUT!$T$3:$T$3000=45909)*(INPUT!$U$3:$U$3000="RAUL"))=0,"",SUMPRODUCT((INPUT!$T$3:$T$3000=45909)*(INPUT!$U$3:$U$3000="RAUL")*(INPUT!$V$3:$V$3000+INPUT!$W$3:$W$3000+INPUT!$X$3:$X$3000+INPUT!$Y$3:$Y$3000))),"")</f>
        <v>16</v>
      </c>
      <c r="AI17" s="42" cm="1">
        <f t="array" ref="AI17">IFERROR(IF(SUMPRODUCT((INPUT!$T$3:$T$3000=45911)*(INPUT!$U$3:$U$3000="RAUL"))=0,"",SUMPRODUCT((INPUT!$T$3:$T$3000=45911)*(INPUT!$U$3:$U$3000="RAUL")*(INPUT!$V$3:$V$3000+INPUT!$W$3:$W$3000+INPUT!$X$3:$X$3000+INPUT!$Y$3:$Y$3000))),"")</f>
        <v>16</v>
      </c>
      <c r="AJ17" s="42" cm="1">
        <f t="array" ref="AJ17">IFERROR(IF(SUMPRODUCT((INPUT!$T$3:$T$3000=45912)*(INPUT!$U$3:$U$3000="RAUL"))=0,"",SUMPRODUCT((INPUT!$T$3:$T$3000=45912)*(INPUT!$U$3:$U$3000="RAUL")*(INPUT!$V$3:$V$3000+INPUT!$W$3:$W$3000+INPUT!$X$3:$X$3000+INPUT!$Y$3:$Y$3000))),"")</f>
        <v>16</v>
      </c>
      <c r="AK17" s="42" cm="1">
        <f t="array" ref="AK17">IFERROR(IF(SUMPRODUCT((INPUT!$T$3:$T$3000=45913)*(INPUT!$U$3:$U$3000="RAUL"))=0,"",SUMPRODUCT((INPUT!$T$3:$T$3000=45913)*(INPUT!$U$3:$U$3000="RAUL")*(INPUT!$V$3:$V$3000+INPUT!$W$3:$W$3000+INPUT!$X$3:$X$3000+INPUT!$Y$3:$Y$3000))),"")</f>
        <v>20</v>
      </c>
      <c r="AL17" s="42" t="str" cm="1">
        <f t="array" ref="AL17">IFERROR(IF(SUMPRODUCT((INPUT!$T$3:$T$3000=45915)*(INPUT!$U$3:$U$3000="RAUL"))=0,"",SUMPRODUCT((INPUT!$T$3:$T$3000=45915)*(INPUT!$U$3:$U$3000="RAUL")*(INPUT!$V$3:$V$3000+INPUT!$W$3:$W$3000+INPUT!$X$3:$X$3000+INPUT!$Y$3:$Y$3000))),"")</f>
        <v/>
      </c>
      <c r="AM17" s="42" t="str" cm="1">
        <f t="array" ref="AM17">IFERROR(IF(SUMPRODUCT((INPUT!$T$3:$T$3000=45916)*(INPUT!$U$3:$U$3000="RAUL"))=0,"",SUMPRODUCT((INPUT!$T$3:$T$3000=45916)*(INPUT!$U$3:$U$3000="RAUL")*(INPUT!$V$3:$V$3000+INPUT!$W$3:$W$3000+INPUT!$X$3:$X$3000+INPUT!$Y$3:$Y$3000))),"")</f>
        <v/>
      </c>
      <c r="AN17" s="42" t="str" cm="1">
        <f t="array" ref="AN17">IFERROR(IF(SUMPRODUCT((INPUT!$T$3:$T$3000=45917)*(INPUT!$U$3:$U$3000="RAUL"))=0,"",SUMPRODUCT((INPUT!$T$3:$T$3000=45917)*(INPUT!$U$3:$U$3000="RAUL")*(INPUT!$V$3:$V$3000+INPUT!$W$3:$W$3000+INPUT!$X$3:$X$3000+INPUT!$Y$3:$Y$3000))),"")</f>
        <v/>
      </c>
      <c r="AO17" s="42" t="str" cm="1">
        <f t="array" ref="AO17">IFERROR(IF(SUMPRODUCT((INPUT!$T$3:$T$3000=45918)*(INPUT!$U$3:$U$3000="RAUL"))=0,"",SUMPRODUCT((INPUT!$T$3:$T$3000=45918)*(INPUT!$U$3:$U$3000="RAUL")*(INPUT!$V$3:$V$3000+INPUT!$W$3:$W$3000+INPUT!$X$3:$X$3000+INPUT!$Y$3:$Y$3000))),"")</f>
        <v/>
      </c>
      <c r="AP17" s="42" t="str" cm="1">
        <f t="array" ref="AP17">IFERROR(IF(SUMPRODUCT((INPUT!$T$3:$T$3000=45919)*(INPUT!$U$3:$U$3000="RAUL"))=0,"",SUMPRODUCT((INPUT!$T$3:$T$3000=45919)*(INPUT!$U$3:$U$3000="RAUL")*(INPUT!$V$3:$V$3000+INPUT!$W$3:$W$3000+INPUT!$X$3:$X$3000+INPUT!$Y$3:$Y$3000))),"")</f>
        <v/>
      </c>
      <c r="AQ17" s="42" t="str" cm="1">
        <f t="array" ref="AQ17">IFERROR(IF(SUMPRODUCT((INPUT!$T$3:$T$3000=45922)*(INPUT!$U$3:$U$3000="RAUL"))=0,"",SUMPRODUCT((INPUT!$T$3:$T$3000=45922)*(INPUT!$U$3:$U$3000="RAUL")*(INPUT!$V$3:$V$3000+INPUT!$W$3:$W$3000+INPUT!$X$3:$X$3000+INPUT!$Y$3:$Y$3000))),"")</f>
        <v/>
      </c>
      <c r="AR17" s="42" cm="1">
        <f t="array" ref="AR17">IFERROR(IF(SUMPRODUCT((INPUT!$T$3:$T$3000=45923)*(INPUT!$U$3:$U$3000="RAUL"))=0,"",SUMPRODUCT((INPUT!$T$3:$T$3000=45923)*(INPUT!$U$3:$U$3000="RAUL")*(INPUT!$V$3:$V$3000+INPUT!$W$3:$W$3000+INPUT!$X$3:$X$3000+INPUT!$Y$3:$Y$3000))),"")</f>
        <v>20</v>
      </c>
      <c r="AS17" s="42" cm="1">
        <f t="array" ref="AS17">IFERROR(IF(SUMPRODUCT((INPUT!$T$3:$T$3000=45924)*(INPUT!$U$3:$U$3000="RAUL"))=0,"",SUMPRODUCT((INPUT!$T$3:$T$3000=45924)*(INPUT!$U$3:$U$3000="RAUL")*(INPUT!$V$3:$V$3000+INPUT!$W$3:$W$3000+INPUT!$X$3:$X$3000+INPUT!$Y$3:$Y$3000))),"")</f>
        <v>20</v>
      </c>
      <c r="AT17" s="42" cm="1">
        <f t="array" ref="AT17">IFERROR(IF(SUMPRODUCT((INPUT!$T$3:$T$3000=45925)*(INPUT!$U$3:$U$3000="RAUL"))=0,"",SUMPRODUCT((INPUT!$T$3:$T$3000=45925)*(INPUT!$U$3:$U$3000="RAUL")*(INPUT!$V$3:$V$3000+INPUT!$W$3:$W$3000+INPUT!$X$3:$X$3000+INPUT!$Y$3:$Y$3000))),"")</f>
        <v>19</v>
      </c>
      <c r="AU17" s="42" cm="1">
        <f t="array" ref="AU17">IFERROR(IF(SUMPRODUCT((INPUT!$T$3:$T$3000=45926)*(INPUT!$U$3:$U$3000="RAUL"))=0,"",SUMPRODUCT((INPUT!$T$3:$T$3000=45926)*(INPUT!$U$3:$U$3000="RAUL")*(INPUT!$V$3:$V$3000+INPUT!$W$3:$W$3000+INPUT!$X$3:$X$3000+INPUT!$Y$3:$Y$3000))),"")</f>
        <v>18</v>
      </c>
      <c r="AV17" s="42" cm="1">
        <f t="array" ref="AV17">IFERROR(IF(SUMPRODUCT((INPUT!$T$3:$T$3000=45927)*(INPUT!$U$3:$U$3000="RAUL"))=0,"",SUMPRODUCT((INPUT!$T$3:$T$3000=45927)*(INPUT!$U$3:$U$3000="RAUL")*(INPUT!$V$3:$V$3000+INPUT!$W$3:$W$3000+INPUT!$X$3:$X$3000+INPUT!$Y$3:$Y$3000))),"")</f>
        <v>19</v>
      </c>
      <c r="AW17" s="42" cm="1">
        <f t="array" ref="AW17">IFERROR(IF(SUMPRODUCT((INPUT!$T$3:$T$3000=45929)*(INPUT!$U$3:$U$3000="RAUL"))=0,"",SUMPRODUCT((INPUT!$T$3:$T$3000=45929)*(INPUT!$U$3:$U$3000="RAUL")*(INPUT!$V$3:$V$3000+INPUT!$W$3:$W$3000+INPUT!$X$3:$X$3000+INPUT!$Y$3:$Y$3000))),"")</f>
        <v>16</v>
      </c>
      <c r="AX17" s="42" cm="1">
        <f t="array" ref="AX17">IFERROR(IF(SUMPRODUCT((INPUT!$T$3:$T$3000=45930)*(INPUT!$U$3:$U$3000="RAUL"))=0,"",SUMPRODUCT((INPUT!$T$3:$T$3000=45930)*(INPUT!$U$3:$U$3000="RAUL")*(INPUT!$V$3:$V$3000+INPUT!$W$3:$W$3000+INPUT!$X$3:$X$3000+INPUT!$Y$3:$Y$3000))),"")</f>
        <v>17</v>
      </c>
      <c r="AY17" s="42" cm="1">
        <f t="array" ref="AY17">IFERROR(IF(SUMPRODUCT((INPUT!$T$3:$T$3000=45931)*(INPUT!$U$3:$U$3000="RAUL"))=0,"",SUMPRODUCT((INPUT!$T$3:$T$3000=45931)*(INPUT!$U$3:$U$3000="RAUL")*(INPUT!$V$3:$V$3000+INPUT!$W$3:$W$3000+INPUT!$X$3:$X$3000+INPUT!$Y$3:$Y$3000))),"")</f>
        <v>17</v>
      </c>
      <c r="AZ17" s="42" cm="1">
        <f t="array" ref="AZ17">IFERROR(IF(SUMPRODUCT((INPUT!$T$3:$T$3000=45932)*(INPUT!$U$3:$U$3000="RAUL"))=0,"",SUMPRODUCT((INPUT!$T$3:$T$3000=45932)*(INPUT!$U$3:$U$3000="RAUL")*(INPUT!$V$3:$V$3000+INPUT!$W$3:$W$3000+INPUT!$X$3:$X$3000+INPUT!$Y$3:$Y$3000))),"")</f>
        <v>16</v>
      </c>
      <c r="BA17" s="42" cm="1">
        <f t="array" ref="BA17">IFERROR(IF(SUMPRODUCT((INPUT!$T$3:$T$3000=45933)*(INPUT!$U$3:$U$3000="RAUL"))=0,"",SUMPRODUCT((INPUT!$T$3:$T$3000=45933)*(INPUT!$U$3:$U$3000="RAUL")*(INPUT!$V$3:$V$3000+INPUT!$W$3:$W$3000+INPUT!$X$3:$X$3000+INPUT!$Y$3:$Y$3000))),"")</f>
        <v>17</v>
      </c>
      <c r="BB17" s="42" cm="1">
        <f t="array" ref="BB17">IFERROR(IF(SUMPRODUCT((INPUT!$T$3:$T$3000=45934)*(INPUT!$U$3:$U$3000="RAUL"))=0,"",SUMPRODUCT((INPUT!$T$3:$T$3000=45934)*(INPUT!$U$3:$U$3000="RAUL")*(INPUT!$V$3:$V$3000+INPUT!$W$3:$W$3000+INPUT!$X$3:$X$3000+INPUT!$Y$3:$Y$3000))),"")</f>
        <v>17</v>
      </c>
      <c r="BC17" s="42" cm="1">
        <f t="array" ref="BC17">IFERROR(IF(SUMPRODUCT((INPUT!$T$3:$T$3000=45936)*(INPUT!$U$3:$U$3000="RAUL"))=0,"",SUMPRODUCT((INPUT!$T$3:$T$3000=45936)*(INPUT!$U$3:$U$3000="RAUL")*(INPUT!$V$3:$V$3000+INPUT!$W$3:$W$3000+INPUT!$X$3:$X$3000+INPUT!$Y$3:$Y$3000))),"")</f>
        <v>17</v>
      </c>
      <c r="BD17" s="42" cm="1">
        <f t="array" ref="BD17">IFERROR(IF(SUMPRODUCT((INPUT!$T$3:$T$3000=45937)*(INPUT!$U$3:$U$3000="RAUL"))=0,"",SUMPRODUCT((INPUT!$T$3:$T$3000=45937)*(INPUT!$U$3:$U$3000="RAUL")*(INPUT!$V$3:$V$3000+INPUT!$W$3:$W$3000+INPUT!$X$3:$X$3000+INPUT!$Y$3:$Y$3000))),"")</f>
        <v>17</v>
      </c>
      <c r="BE17" s="42" cm="1">
        <f t="array" ref="BE17">IFERROR(IF(SUMPRODUCT((INPUT!$T$3:$T$3000=45938)*(INPUT!$U$3:$U$3000="RAUL"))=0,"",SUMPRODUCT((INPUT!$T$3:$T$3000=45938)*(INPUT!$U$3:$U$3000="RAUL")*(INPUT!$V$3:$V$3000+INPUT!$W$3:$W$3000+INPUT!$X$3:$X$3000+INPUT!$Y$3:$Y$3000))),"")</f>
        <v>17</v>
      </c>
      <c r="BF17" s="42" cm="1">
        <f t="array" ref="BF17">IFERROR(IF(SUMPRODUCT((INPUT!$T$3:$T$3000=45940)*(INPUT!$U$3:$U$3000="RAUL"))=0,"",SUMPRODUCT((INPUT!$T$3:$T$3000=45940)*(INPUT!$U$3:$U$3000="RAUL")*(INPUT!$V$3:$V$3000+INPUT!$W$3:$W$3000+INPUT!$X$3:$X$3000+INPUT!$Y$3:$Y$3000))),"")</f>
        <v>14</v>
      </c>
      <c r="BG17" s="42" cm="1">
        <f t="array" ref="BG17">IFERROR(IF(SUMPRODUCT((INPUT!$T$3:$T$3000=45941)*(INPUT!$U$3:$U$3000="RAUL"))=0,"",SUMPRODUCT((INPUT!$T$3:$T$3000=45941)*(INPUT!$U$3:$U$3000="RAUL")*(INPUT!$V$3:$V$3000+INPUT!$W$3:$W$3000+INPUT!$X$3:$X$3000+INPUT!$Y$3:$Y$3000))),"")</f>
        <v>14</v>
      </c>
      <c r="BH17" s="42" cm="1">
        <f t="array" ref="BH17">IFERROR(IF(SUMPRODUCT((INPUT!$T$3:$T$3000=45942)*(INPUT!$U$3:$U$3000="RAUL"))=0,"",SUMPRODUCT((INPUT!$T$3:$T$3000=45942)*(INPUT!$U$3:$U$3000="RAUL")*(INPUT!$V$3:$V$3000+INPUT!$W$3:$W$3000+INPUT!$X$3:$X$3000+INPUT!$Y$3:$Y$3000))),"")</f>
        <v>16</v>
      </c>
      <c r="BI17" s="42" t="str" cm="1">
        <f t="array" ref="BI17">IFERROR(IF(SUMPRODUCT((INPUT!$T$3:$T$3000=45945)*(INPUT!$U$3:$U$3000="RAUL"))=0,"",SUMPRODUCT((INPUT!$T$3:$T$3000=45945)*(INPUT!$U$3:$U$3000="RAUL")*(INPUT!$V$3:$V$3000+INPUT!$W$3:$W$3000+INPUT!$X$3:$X$3000+INPUT!$Y$3:$Y$3000))),"")</f>
        <v/>
      </c>
      <c r="BJ17" s="42" t="str" cm="1">
        <f t="array" ref="BJ17">IFERROR(IF(SUMPRODUCT((INPUT!$T$3:$T$3000=45946)*(INPUT!$U$3:$U$3000="RAUL"))=0,"",SUMPRODUCT((INPUT!$T$3:$T$3000=45946)*(INPUT!$U$3:$U$3000="RAUL")*(INPUT!$V$3:$V$3000+INPUT!$W$3:$W$3000+INPUT!$X$3:$X$3000+INPUT!$Y$3:$Y$3000))),"")</f>
        <v/>
      </c>
      <c r="BK17" s="42" t="str" cm="1">
        <f t="array" ref="BK17">IFERROR(IF(SUMPRODUCT((INPUT!$T$3:$T$3000=45947)*(INPUT!$U$3:$U$3000="RAUL"))=0,"",SUMPRODUCT((INPUT!$T$3:$T$3000=45947)*(INPUT!$U$3:$U$3000="RAUL")*(INPUT!$V$3:$V$3000+INPUT!$W$3:$W$3000+INPUT!$X$3:$X$3000+INPUT!$Y$3:$Y$3000))),"")</f>
        <v/>
      </c>
      <c r="BL17" s="42" t="str" cm="1">
        <f t="array" ref="BL17">IFERROR(IF(SUMPRODUCT((INPUT!$T$3:$T$3000=45950)*(INPUT!$U$3:$U$3000="RAUL"))=0,"",SUMPRODUCT((INPUT!$T$3:$T$3000=45950)*(INPUT!$U$3:$U$3000="RAUL")*(INPUT!$V$3:$V$3000+INPUT!$W$3:$W$3000+INPUT!$X$3:$X$3000+INPUT!$Y$3:$Y$3000))),"")</f>
        <v/>
      </c>
      <c r="BM17" s="42" t="str" cm="1">
        <f t="array" ref="BM17">IFERROR(IF(SUMPRODUCT((INPUT!$T$3:$T$3000=45951)*(INPUT!$U$3:$U$3000="RAUL"))=0,"",SUMPRODUCT((INPUT!$T$3:$T$3000=45951)*(INPUT!$U$3:$U$3000="RAUL")*(INPUT!$V$3:$V$3000+INPUT!$W$3:$W$3000+INPUT!$X$3:$X$3000+INPUT!$Y$3:$Y$3000))),"")</f>
        <v/>
      </c>
      <c r="BN17" s="42" t="str" cm="1">
        <f t="array" ref="BN17">IFERROR(IF(SUMPRODUCT((INPUT!$T$3:$T$3000=45952)*(INPUT!$U$3:$U$3000="RAUL"))=0,"",SUMPRODUCT((INPUT!$T$3:$T$3000=45952)*(INPUT!$U$3:$U$3000="RAUL")*(INPUT!$V$3:$V$3000+INPUT!$W$3:$W$3000+INPUT!$X$3:$X$3000+INPUT!$Y$3:$Y$3000))),"")</f>
        <v/>
      </c>
      <c r="BO17" s="42" cm="1">
        <f t="array" ref="BO17">IFERROR(IF(SUMPRODUCT((INPUT!$T$3:$T$3000=45953)*(INPUT!$U$3:$U$3000="RAUL"))=0,"",SUMPRODUCT((INPUT!$T$3:$T$3000=45953)*(INPUT!$U$3:$U$3000="RAUL")*(INPUT!$V$3:$V$3000+INPUT!$W$3:$W$3000+INPUT!$X$3:$X$3000+INPUT!$Y$3:$Y$3000))),"")</f>
        <v>16</v>
      </c>
      <c r="BP17" s="42" cm="1">
        <f t="array" ref="BP17">IFERROR(IF(SUMPRODUCT((INPUT!$T$3:$T$3000=45954)*(INPUT!$U$3:$U$3000="RAUL"))=0,"",SUMPRODUCT((INPUT!$T$3:$T$3000=45954)*(INPUT!$U$3:$U$3000="RAUL")*(INPUT!$V$3:$V$3000+INPUT!$W$3:$W$3000+INPUT!$X$3:$X$3000+INPUT!$Y$3:$Y$3000))),"")</f>
        <v>18</v>
      </c>
      <c r="BQ17" s="42" cm="1">
        <f t="array" ref="BQ17">IFERROR(IF(SUMPRODUCT((INPUT!$T$3:$T$3000=45955)*(INPUT!$U$3:$U$3000="RAUL"))=0,"",SUMPRODUCT((INPUT!$T$3:$T$3000=45955)*(INPUT!$U$3:$U$3000="RAUL")*(INPUT!$V$3:$V$3000+INPUT!$W$3:$W$3000+INPUT!$X$3:$X$3000+INPUT!$Y$3:$Y$3000))),"")</f>
        <v>16</v>
      </c>
      <c r="BR17" s="42" cm="1">
        <f t="array" ref="BR17">IFERROR(IF(SUMPRODUCT((INPUT!$T$3:$T$3000=45958)*(INPUT!$U$3:$U$3000="RAUL"))=0,"",SUMPRODUCT((INPUT!$T$3:$T$3000=45958)*(INPUT!$U$3:$U$3000="RAUL")*(INPUT!$V$3:$V$3000+INPUT!$W$3:$W$3000+INPUT!$X$3:$X$3000+INPUT!$Y$3:$Y$3000))),"")</f>
        <v>18</v>
      </c>
      <c r="BS17" s="42" cm="1">
        <f t="array" ref="BS17">IFERROR(IF(SUMPRODUCT((INPUT!$T$3:$T$3000=45959)*(INPUT!$U$3:$U$3000="RAUL"))=0,"",SUMPRODUCT((INPUT!$T$3:$T$3000=45959)*(INPUT!$U$3:$U$3000="RAUL")*(INPUT!$V$3:$V$3000+INPUT!$W$3:$W$3000+INPUT!$X$3:$X$3000+INPUT!$Y$3:$Y$3000))),"")</f>
        <v>18</v>
      </c>
      <c r="BT17" s="42" cm="1">
        <f t="array" ref="BT17">IFERROR(IF(SUMPRODUCT((INPUT!$T$3:$T$3000=45960)*(INPUT!$U$3:$U$3000="RAUL"))=0,"",SUMPRODUCT((INPUT!$T$3:$T$3000=45960)*(INPUT!$U$3:$U$3000="RAUL")*(INPUT!$V$3:$V$3000+INPUT!$W$3:$W$3000+INPUT!$X$3:$X$3000+INPUT!$Y$3:$Y$3000))),"")</f>
        <v>18</v>
      </c>
      <c r="BU17" s="42" cm="1">
        <f t="array" ref="BU17">IFERROR(IF(SUMPRODUCT((INPUT!$T$3:$T$3000=45961)*(INPUT!$U$3:$U$3000="RAUL"))=0,"",SUMPRODUCT((INPUT!$T$3:$T$3000=45961)*(INPUT!$U$3:$U$3000="RAUL")*(INPUT!$V$3:$V$3000+INPUT!$W$3:$W$3000+INPUT!$X$3:$X$3000+INPUT!$Y$3:$Y$3000))),"")</f>
        <v>18</v>
      </c>
      <c r="BV17" s="42" cm="1">
        <f t="array" ref="BV17">IFERROR(IF(SUMPRODUCT((INPUT!$T$3:$T$3000=45964)*(INPUT!$U$3:$U$3000="RAUL"))=0,"",SUMPRODUCT((INPUT!$T$3:$T$3000=45964)*(INPUT!$U$3:$U$3000="RAUL")*(INPUT!$V$3:$V$3000+INPUT!$W$3:$W$3000+INPUT!$X$3:$X$3000+INPUT!$Y$3:$Y$3000))),"")</f>
        <v>17</v>
      </c>
      <c r="BW17" s="42" cm="1">
        <f t="array" ref="BW17">IFERROR(IF(SUMPRODUCT((INPUT!$T$3:$T$3000=45965)*(INPUT!$U$3:$U$3000="RAUL"))=0,"",SUMPRODUCT((INPUT!$T$3:$T$3000=45965)*(INPUT!$U$3:$U$3000="RAUL")*(INPUT!$V$3:$V$3000+INPUT!$W$3:$W$3000+INPUT!$X$3:$X$3000+INPUT!$Y$3:$Y$3000))),"")</f>
        <v>18</v>
      </c>
      <c r="BX17" s="42" cm="1">
        <f t="array" ref="BX17">IFERROR(IF(SUMPRODUCT((INPUT!$T$3:$T$3000=45966)*(INPUT!$U$3:$U$3000="RAUL"))=0,"",SUMPRODUCT((INPUT!$T$3:$T$3000=45966)*(INPUT!$U$3:$U$3000="RAUL")*(INPUT!$V$3:$V$3000+INPUT!$W$3:$W$3000+INPUT!$X$3:$X$3000+INPUT!$Y$3:$Y$3000))),"")</f>
        <v>17</v>
      </c>
      <c r="BY17" s="42" cm="1">
        <f t="array" ref="BY17">IFERROR(IF(SUMPRODUCT((INPUT!$T$3:$T$3000=45967)*(INPUT!$U$3:$U$3000="RAUL"))=0,"",SUMPRODUCT((INPUT!$T$3:$T$3000=45967)*(INPUT!$U$3:$U$3000="RAUL")*(INPUT!$V$3:$V$3000+INPUT!$W$3:$W$3000+INPUT!$X$3:$X$3000+INPUT!$Y$3:$Y$3000))),"")</f>
        <v>16</v>
      </c>
      <c r="BZ17" s="42" cm="1">
        <f t="array" ref="BZ17">IFERROR(IF(SUMPRODUCT((INPUT!$T$3:$T$3000=45968)*(INPUT!$U$3:$U$3000="RAUL"))=0,"",SUMPRODUCT((INPUT!$T$3:$T$3000=45968)*(INPUT!$U$3:$U$3000="RAUL")*(INPUT!$V$3:$V$3000+INPUT!$W$3:$W$3000+INPUT!$X$3:$X$3000+INPUT!$Y$3:$Y$3000))),"")</f>
        <v>19</v>
      </c>
      <c r="CA17" s="42" cm="1">
        <f t="array" ref="CA17">IFERROR(IF(SUMPRODUCT((INPUT!$T$3:$T$3000=45971)*(INPUT!$U$3:$U$3000="RAUL"))=0,"",SUMPRODUCT((INPUT!$T$3:$T$3000=45971)*(INPUT!$U$3:$U$3000="RAUL")*(INPUT!$V$3:$V$3000+INPUT!$W$3:$W$3000+INPUT!$X$3:$X$3000+INPUT!$Y$3:$Y$3000))),"")</f>
        <v>19</v>
      </c>
      <c r="CB17" s="42" cm="1">
        <f t="array" ref="CB17">IFERROR(IF(SUMPRODUCT((INPUT!$T$3:$T$3000=45972)*(INPUT!$U$3:$U$3000="RAUL"))=0,"",SUMPRODUCT((INPUT!$T$3:$T$3000=45972)*(INPUT!$U$3:$U$3000="RAUL")*(INPUT!$V$3:$V$3000+INPUT!$W$3:$W$3000+INPUT!$X$3:$X$3000+INPUT!$Y$3:$Y$3000))),"")</f>
        <v>17</v>
      </c>
      <c r="CC17" s="42" cm="1">
        <f t="array" ref="CC17">IFERROR(IF(SUMPRODUCT((INPUT!$T$3:$T$3000=45974)*(INPUT!$U$3:$U$3000="RAUL"))=0,"",SUMPRODUCT((INPUT!$T$3:$T$3000=45974)*(INPUT!$U$3:$U$3000="RAUL")*(INPUT!$V$3:$V$3000+INPUT!$W$3:$W$3000+INPUT!$X$3:$X$3000+INPUT!$Y$3:$Y$3000))),"")</f>
        <v>18</v>
      </c>
      <c r="CD17" s="42" cm="1">
        <f t="array" ref="CD17">IFERROR(IF(SUMPRODUCT((INPUT!$T$3:$T$3000=45975)*(INPUT!$U$3:$U$3000="RAUL"))=0,"",SUMPRODUCT((INPUT!$T$3:$T$3000=45975)*(INPUT!$U$3:$U$3000="RAUL")*(INPUT!$V$3:$V$3000+INPUT!$W$3:$W$3000+INPUT!$X$3:$X$3000+INPUT!$Y$3:$Y$3000))),"")</f>
        <v>18</v>
      </c>
      <c r="CE17" s="42" cm="1">
        <f t="array" ref="CE17">IFERROR(IF(SUMPRODUCT((INPUT!$T$3:$T$3000=45976)*(INPUT!$U$3:$U$3000="RAUL"))=0,"",SUMPRODUCT((INPUT!$T$3:$T$3000=45976)*(INPUT!$U$3:$U$3000="RAUL")*(INPUT!$V$3:$V$3000+INPUT!$W$3:$W$3000+INPUT!$X$3:$X$3000+INPUT!$Y$3:$Y$3000))),"")</f>
        <v>16</v>
      </c>
      <c r="CF17" s="42" cm="1">
        <f t="array" ref="CF17">IFERROR(IF(SUMPRODUCT((INPUT!$T$3:$T$3000=45978)*(INPUT!$U$3:$U$3000="RAUL"))=0,"",SUMPRODUCT((INPUT!$T$3:$T$3000=45978)*(INPUT!$U$3:$U$3000="RAUL")*(INPUT!$V$3:$V$3000+INPUT!$W$3:$W$3000+INPUT!$X$3:$X$3000+INPUT!$Y$3:$Y$3000))),"")</f>
        <v>16</v>
      </c>
      <c r="CG17" s="42" cm="1">
        <f t="array" ref="CG17">IFERROR(IF(SUMPRODUCT((INPUT!$T$3:$T$3000=45979)*(INPUT!$U$3:$U$3000="RAUL"))=0,"",SUMPRODUCT((INPUT!$T$3:$T$3000=45979)*(INPUT!$U$3:$U$3000="RAUL")*(INPUT!$V$3:$V$3000+INPUT!$W$3:$W$3000+INPUT!$X$3:$X$3000+INPUT!$Y$3:$Y$3000))),"")</f>
        <v>17</v>
      </c>
      <c r="CH17" s="42" cm="1">
        <f t="array" ref="CH17">IFERROR(IF(SUMPRODUCT((INPUT!$T$3:$T$3000=45980)*(INPUT!$U$3:$U$3000="RAUL"))=0,"",SUMPRODUCT((INPUT!$T$3:$T$3000=45980)*(INPUT!$U$3:$U$3000="RAUL")*(INPUT!$V$3:$V$3000+INPUT!$W$3:$W$3000+INPUT!$X$3:$X$3000+INPUT!$Y$3:$Y$3000))),"")</f>
        <v>17</v>
      </c>
      <c r="CI17" s="42" cm="1">
        <f t="array" ref="CI17">IFERROR(IF(SUMPRODUCT((INPUT!$T$3:$T$3000=45982)*(INPUT!$U$3:$U$3000="RAUL"))=0,"",SUMPRODUCT((INPUT!$T$3:$T$3000=45982)*(INPUT!$U$3:$U$3000="RAUL")*(INPUT!$V$3:$V$3000+INPUT!$W$3:$W$3000+INPUT!$X$3:$X$3000+INPUT!$Y$3:$Y$3000))),"")</f>
        <v>17</v>
      </c>
      <c r="CJ17" s="42" cm="1">
        <f t="array" ref="CJ17">IFERROR(IF(SUMPRODUCT((INPUT!$T$3:$T$3000=45983)*(INPUT!$U$3:$U$3000="RAUL"))=0,"",SUMPRODUCT((INPUT!$T$3:$T$3000=45983)*(INPUT!$U$3:$U$3000="RAUL")*(INPUT!$V$3:$V$3000+INPUT!$W$3:$W$3000+INPUT!$X$3:$X$3000+INPUT!$Y$3:$Y$3000))),"")</f>
        <v>17</v>
      </c>
      <c r="CK17" s="42" cm="1">
        <f t="array" ref="CK17">IFERROR(IF(SUMPRODUCT((INPUT!$T$3:$T$3000=45985)*(INPUT!$U$3:$U$3000="RAUL"))=0,"",SUMPRODUCT((INPUT!$T$3:$T$3000=45985)*(INPUT!$U$3:$U$3000="RAUL")*(INPUT!$V$3:$V$3000+INPUT!$W$3:$W$3000+INPUT!$X$3:$X$3000+INPUT!$Y$3:$Y$3000))),"")</f>
        <v>18</v>
      </c>
      <c r="CL17" s="42" cm="1">
        <f t="array" ref="CL17">IFERROR(IF(SUMPRODUCT((INPUT!$T$3:$T$3000=45986)*(INPUT!$U$3:$U$3000="RAUL"))=0,"",SUMPRODUCT((INPUT!$T$3:$T$3000=45986)*(INPUT!$U$3:$U$3000="RAUL")*(INPUT!$V$3:$V$3000+INPUT!$W$3:$W$3000+INPUT!$X$3:$X$3000+INPUT!$Y$3:$Y$3000))),"")</f>
        <v>17</v>
      </c>
      <c r="CM17" s="42" cm="1">
        <f t="array" ref="CM17">IFERROR(IF(SUMPRODUCT((INPUT!$T$3:$T$3000=45987)*(INPUT!$U$3:$U$3000="RAUL"))=0,"",SUMPRODUCT((INPUT!$T$3:$T$3000=45987)*(INPUT!$U$3:$U$3000="RAUL")*(INPUT!$V$3:$V$3000+INPUT!$W$3:$W$3000+INPUT!$X$3:$X$3000+INPUT!$Y$3:$Y$3000))),"")</f>
        <v>17</v>
      </c>
      <c r="CN17" s="42" cm="1">
        <f t="array" ref="CN17">IFERROR(IF(SUMPRODUCT((INPUT!$T$3:$T$3000=45988)*(INPUT!$U$3:$U$3000="RAUL"))=0,"",SUMPRODUCT((INPUT!$T$3:$T$3000=45988)*(INPUT!$U$3:$U$3000="RAUL")*(INPUT!$V$3:$V$3000+INPUT!$W$3:$W$3000+INPUT!$X$3:$X$3000+INPUT!$Y$3:$Y$3000))),"")</f>
        <v>18</v>
      </c>
      <c r="CO17" s="42" cm="1">
        <f t="array" ref="CO17">IFERROR(IF(SUMPRODUCT((INPUT!$T$3:$T$3000=45989)*(INPUT!$U$3:$U$3000="RAUL"))=0,"",SUMPRODUCT((INPUT!$T$3:$T$3000=45989)*(INPUT!$U$3:$U$3000="RAUL")*(INPUT!$V$3:$V$3000+INPUT!$W$3:$W$3000+INPUT!$X$3:$X$3000+INPUT!$Y$3:$Y$3000))),"")</f>
        <v>18</v>
      </c>
      <c r="CP17" s="42" cm="1">
        <f t="array" ref="CP17">IFERROR(IF(SUMPRODUCT((INPUT!$T$3:$T$3000=45992)*(INPUT!$U$3:$U$3000="RAUL"))=0,"",SUMPRODUCT((INPUT!$T$3:$T$3000=45992)*(INPUT!$U$3:$U$3000="RAUL")*(INPUT!$V$3:$V$3000+INPUT!$W$3:$W$3000+INPUT!$X$3:$X$3000+INPUT!$Y$3:$Y$3000))),"")</f>
        <v>18</v>
      </c>
      <c r="CQ17" s="42" cm="1">
        <f t="array" ref="CQ17">IFERROR(IF(SUMPRODUCT((INPUT!$T$3:$T$3000=45993)*(INPUT!$U$3:$U$3000="RAUL"))=0,"",SUMPRODUCT((INPUT!$T$3:$T$3000=45993)*(INPUT!$U$3:$U$3000="RAUL")*(INPUT!$V$3:$V$3000+INPUT!$W$3:$W$3000+INPUT!$X$3:$X$3000+INPUT!$Y$3:$Y$3000))),"")</f>
        <v>18</v>
      </c>
      <c r="CR17" s="42" cm="1">
        <f t="array" ref="CR17">IFERROR(IF(SUMPRODUCT((INPUT!$T$3:$T$3000=45994)*(INPUT!$U$3:$U$3000="RAUL"))=0,"",SUMPRODUCT((INPUT!$T$3:$T$3000=45994)*(INPUT!$U$3:$U$3000="RAUL")*(INPUT!$V$3:$V$3000+INPUT!$W$3:$W$3000+INPUT!$X$3:$X$3000+INPUT!$Y$3:$Y$3000))),"")</f>
        <v>18</v>
      </c>
      <c r="CS17" s="42" cm="1">
        <f t="array" ref="CS17">IFERROR(IF(SUMPRODUCT((INPUT!$T$3:$T$3000=45995)*(INPUT!$U$3:$U$3000="RAUL"))=0,"",SUMPRODUCT((INPUT!$T$3:$T$3000=45995)*(INPUT!$U$3:$U$3000="RAUL")*(INPUT!$V$3:$V$3000+INPUT!$W$3:$W$3000+INPUT!$X$3:$X$3000+INPUT!$Y$3:$Y$3000))),"")</f>
        <v>18</v>
      </c>
      <c r="CT17" s="42" cm="1">
        <f t="array" ref="CT17">IFERROR(IF(SUMPRODUCT((INPUT!$T$3:$T$3000=45996)*(INPUT!$U$3:$U$3000="RAUL"))=0,"",SUMPRODUCT((INPUT!$T$3:$T$3000=45996)*(INPUT!$U$3:$U$3000="RAUL")*(INPUT!$V$3:$V$3000+INPUT!$W$3:$W$3000+INPUT!$X$3:$X$3000+INPUT!$Y$3:$Y$3000))),"")</f>
        <v>17</v>
      </c>
      <c r="CU17" s="42" cm="1">
        <f t="array" ref="CU17">IFERROR(IF(SUMPRODUCT((INPUT!$T$3:$T$3000=45997)*(INPUT!$U$3:$U$3000="RAUL"))=0,"",SUMPRODUCT((INPUT!$T$3:$T$3000=45997)*(INPUT!$U$3:$U$3000="RAUL")*(INPUT!$V$3:$V$3000+INPUT!$W$3:$W$3000+INPUT!$X$3:$X$3000+INPUT!$Y$3:$Y$3000))),"")</f>
        <v>17</v>
      </c>
      <c r="CV17" s="42" cm="1">
        <f t="array" ref="CV17">IFERROR(IF(SUMPRODUCT((INPUT!$T$3:$T$3000=45999)*(INPUT!$U$3:$U$3000="RAUL"))=0,"",SUMPRODUCT((INPUT!$T$3:$T$3000=45999)*(INPUT!$U$3:$U$3000="RAUL")*(INPUT!$V$3:$V$3000+INPUT!$W$3:$W$3000+INPUT!$X$3:$X$3000+INPUT!$Y$3:$Y$3000))),"")</f>
        <v>16</v>
      </c>
      <c r="CW17" s="42" cm="1">
        <f t="array" ref="CW17">IFERROR(IF(SUMPRODUCT((INPUT!$T$3:$T$3000=46000)*(INPUT!$U$3:$U$3000="RAUL"))=0,"",SUMPRODUCT((INPUT!$T$3:$T$3000=46000)*(INPUT!$U$3:$U$3000="RAUL")*(INPUT!$V$3:$V$3000+INPUT!$W$3:$W$3000+INPUT!$X$3:$X$3000+INPUT!$Y$3:$Y$3000))),"")</f>
        <v>18</v>
      </c>
      <c r="CX17" s="42" cm="1">
        <f t="array" ref="CX17">IFERROR(IF(SUMPRODUCT((INPUT!$T$3:$T$3000=46001)*(INPUT!$U$3:$U$3000="RAUL"))=0,"",SUMPRODUCT((INPUT!$T$3:$T$3000=46001)*(INPUT!$U$3:$U$3000="RAUL")*(INPUT!$V$3:$V$3000+INPUT!$W$3:$W$3000+INPUT!$X$3:$X$3000+INPUT!$Y$3:$Y$3000))),"")</f>
        <v>14</v>
      </c>
      <c r="CY17" s="42" cm="1">
        <f t="array" ref="CY17">IFERROR(IF(SUMPRODUCT((INPUT!$T$3:$T$3000=46002)*(INPUT!$U$3:$U$3000="RAUL"))=0,"",SUMPRODUCT((INPUT!$T$3:$T$3000=46002)*(INPUT!$U$3:$U$3000="RAUL")*(INPUT!$V$3:$V$3000+INPUT!$W$3:$W$3000+INPUT!$X$3:$X$3000+INPUT!$Y$3:$Y$3000))),"")</f>
        <v>14</v>
      </c>
      <c r="CZ17" s="42" t="str" cm="1">
        <f t="array" ref="CZ17">IFERROR(IF(SUMPRODUCT((INPUT!$T$3:$T$3000=46003)*(INPUT!$U$3:$U$3000="RAUL"))=0,"",SUMPRODUCT((INPUT!$T$3:$T$3000=46003)*(INPUT!$U$3:$U$3000="RAUL")*(INPUT!$V$3:$V$3000+INPUT!$W$3:$W$3000+INPUT!$X$3:$X$3000+INPUT!$Y$3:$Y$3000))),"")</f>
        <v/>
      </c>
      <c r="DA17" s="42" t="str" cm="1">
        <f t="array" ref="DA17">IFERROR(IF(SUMPRODUCT((INPUT!$T$3:$T$3000=46004)*(INPUT!$U$3:$U$3000="RAUL"))=0,"",SUMPRODUCT((INPUT!$T$3:$T$3000=46004)*(INPUT!$U$3:$U$3000="RAUL")*(INPUT!$V$3:$V$3000+INPUT!$W$3:$W$3000+INPUT!$X$3:$X$3000+INPUT!$Y$3:$Y$3000))),"")</f>
        <v/>
      </c>
      <c r="DB17" s="42" cm="1">
        <f t="array" ref="DB17">IFERROR(IF(SUMPRODUCT((INPUT!$T$3:$T$3000=46007)*(INPUT!$U$3:$U$3000="RAUL"))=0,"",SUMPRODUCT((INPUT!$T$3:$T$3000=46007)*(INPUT!$U$3:$U$3000="RAUL")*(INPUT!$V$3:$V$3000+INPUT!$W$3:$W$3000+INPUT!$X$3:$X$3000+INPUT!$Y$3:$Y$3000))),"")</f>
        <v>17</v>
      </c>
      <c r="DC17" s="42" t="str" cm="1">
        <f t="array" ref="DC17">IFERROR(IF(SUMPRODUCT((INPUT!$T$3:$T$3000=46008)*(INPUT!$U$3:$U$3000="RAUL"))=0,"",SUMPRODUCT((INPUT!$T$3:$T$3000=46008)*(INPUT!$U$3:$U$3000="RAUL")*(INPUT!$V$3:$V$3000+INPUT!$W$3:$W$3000+INPUT!$X$3:$X$3000+INPUT!$Y$3:$Y$3000))),"")</f>
        <v/>
      </c>
      <c r="DD17" s="42" cm="1">
        <f t="array" ref="DD17">IFERROR(IF(SUMPRODUCT((INPUT!$T$3:$T$3000=46009)*(INPUT!$U$3:$U$3000="RAUL"))=0,"",SUMPRODUCT((INPUT!$T$3:$T$3000=46009)*(INPUT!$U$3:$U$3000="RAUL")*(INPUT!$V$3:$V$3000+INPUT!$W$3:$W$3000+INPUT!$X$3:$X$3000+INPUT!$Y$3:$Y$3000))),"")</f>
        <v>17</v>
      </c>
      <c r="DE17" s="42" cm="1">
        <f t="array" ref="DE17">IFERROR(IF(SUMPRODUCT((INPUT!$T$3:$T$3000=46010)*(INPUT!$U$3:$U$3000="RAUL"))=0,"",SUMPRODUCT((INPUT!$T$3:$T$3000=46010)*(INPUT!$U$3:$U$3000="RAUL")*(INPUT!$V$3:$V$3000+INPUT!$W$3:$W$3000+INPUT!$X$3:$X$3000+INPUT!$Y$3:$Y$3000))),"")</f>
        <v>17</v>
      </c>
      <c r="DF17" s="42" cm="1">
        <f t="array" ref="DF17">IFERROR(IF(SUMPRODUCT((INPUT!$T$3:$T$3000=46013)*(INPUT!$U$3:$U$3000="RAUL"))=0,"",SUMPRODUCT((INPUT!$T$3:$T$3000=46013)*(INPUT!$U$3:$U$3000="RAUL")*(INPUT!$V$3:$V$3000+INPUT!$W$3:$W$3000+INPUT!$X$3:$X$3000+INPUT!$Y$3:$Y$3000))),"")</f>
        <v>19</v>
      </c>
      <c r="DG17" s="42" cm="1">
        <f t="array" ref="DG17">IFERROR(IF(SUMPRODUCT((INPUT!$T$3:$T$3000=46014)*(INPUT!$U$3:$U$3000="RAUL"))=0,"",SUMPRODUCT((INPUT!$T$3:$T$3000=46014)*(INPUT!$U$3:$U$3000="RAUL")*(INPUT!$V$3:$V$3000+INPUT!$W$3:$W$3000+INPUT!$X$3:$X$3000+INPUT!$Y$3:$Y$3000))),"")</f>
        <v>20</v>
      </c>
      <c r="DH17" s="42" cm="1">
        <f t="array" ref="DH17">IFERROR(IF(SUMPRODUCT((INPUT!$T$3:$T$3000=46017)*(INPUT!$U$3:$U$3000="RAUL"))=0,"",SUMPRODUCT((INPUT!$T$3:$T$3000=46017)*(INPUT!$U$3:$U$3000="RAUL")*(INPUT!$V$3:$V$3000+INPUT!$W$3:$W$3000+INPUT!$X$3:$X$3000+INPUT!$Y$3:$Y$3000))),"")</f>
        <v>17</v>
      </c>
      <c r="DI17" s="42" cm="1">
        <f t="array" ref="DI17">IFERROR(IF(SUMPRODUCT((INPUT!$T$3:$T$3000=46018)*(INPUT!$U$3:$U$3000="RAUL"))=0,"",SUMPRODUCT((INPUT!$T$3:$T$3000=46018)*(INPUT!$U$3:$U$3000="RAUL")*(INPUT!$V$3:$V$3000+INPUT!$W$3:$W$3000+INPUT!$X$3:$X$3000+INPUT!$Y$3:$Y$3000))),"")</f>
        <v>17</v>
      </c>
      <c r="DJ17" s="42" cm="1">
        <f t="array" ref="DJ17">IFERROR(IF(SUMPRODUCT((INPUT!$T$3:$T$3000=46020)*(INPUT!$U$3:$U$3000="RAUL"))=0,"",SUMPRODUCT((INPUT!$T$3:$T$3000=46020)*(INPUT!$U$3:$U$3000="RAUL")*(INPUT!$V$3:$V$3000+INPUT!$W$3:$W$3000+INPUT!$X$3:$X$3000+INPUT!$Y$3:$Y$3000))),"")</f>
        <v>17</v>
      </c>
      <c r="DK17" s="42" cm="1">
        <f t="array" ref="DK17">IFERROR(IF(SUMPRODUCT((INPUT!$T$3:$T$3000=46021)*(INPUT!$U$3:$U$3000="RAUL"))=0,"",SUMPRODUCT((INPUT!$T$3:$T$3000=46021)*(INPUT!$U$3:$U$3000="RAUL")*(INPUT!$V$3:$V$3000+INPUT!$W$3:$W$3000+INPUT!$X$3:$X$3000+INPUT!$Y$3:$Y$3000))),"")</f>
        <v>17</v>
      </c>
      <c r="DL17" s="42" cm="1">
        <f t="array" ref="DL17">IFERROR(IF(SUMPRODUCT((INPUT!$T$3:$T$3000=46022)*(INPUT!$U$3:$U$3000="RAUL"))=0,"",SUMPRODUCT((INPUT!$T$3:$T$3000=46022)*(INPUT!$U$3:$U$3000="RAUL")*(INPUT!$V$3:$V$3000+INPUT!$W$3:$W$3000+INPUT!$X$3:$X$3000+INPUT!$Y$3:$Y$3000))),"")</f>
        <v>17</v>
      </c>
      <c r="DM17" s="42" cm="1">
        <f t="array" ref="DM17">IFERROR(IF(SUMPRODUCT((INPUT!$T$3:$T$3000=46024)*(INPUT!$U$3:$U$3000="RAUL"))=0,"",SUMPRODUCT((INPUT!$T$3:$T$3000=46024)*(INPUT!$U$3:$U$3000="RAUL")*(INPUT!$V$3:$V$3000+INPUT!$W$3:$W$3000+INPUT!$X$3:$X$3000+INPUT!$Y$3:$Y$3000))),"")</f>
        <v>17</v>
      </c>
      <c r="DN17" s="42" cm="1">
        <f t="array" ref="DN17">IFERROR(IF(SUMPRODUCT((INPUT!$T$3:$T$3000=46025)*(INPUT!$U$3:$U$3000="RAUL"))=0,"",SUMPRODUCT((INPUT!$T$3:$T$3000=46025)*(INPUT!$U$3:$U$3000="RAUL")*(INPUT!$V$3:$V$3000+INPUT!$W$3:$W$3000+INPUT!$X$3:$X$3000+INPUT!$Y$3:$Y$3000))),"")</f>
        <v>20</v>
      </c>
      <c r="DO17" s="42" cm="1">
        <f t="array" ref="DO17">IFERROR(IF(SUMPRODUCT((INPUT!$T$3:$T$3000=46027)*(INPUT!$U$3:$U$3000="RAUL"))=0,"",SUMPRODUCT((INPUT!$T$3:$T$3000=46027)*(INPUT!$U$3:$U$3000="RAUL")*(INPUT!$V$3:$V$3000+INPUT!$W$3:$W$3000+INPUT!$X$3:$X$3000+INPUT!$Y$3:$Y$3000))),"")</f>
        <v>16</v>
      </c>
      <c r="DP17" s="42" cm="1">
        <f t="array" ref="DP17">IFERROR(IF(SUMPRODUCT((INPUT!$T$3:$T$3000=46028)*(INPUT!$U$3:$U$3000="RAUL"))=0,"",SUMPRODUCT((INPUT!$T$3:$T$3000=46028)*(INPUT!$U$3:$U$3000="RAUL")*(INPUT!$V$3:$V$3000+INPUT!$W$3:$W$3000+INPUT!$X$3:$X$3000+INPUT!$Y$3:$Y$3000))),"")</f>
        <v>17</v>
      </c>
      <c r="DQ17" s="42" cm="1">
        <f t="array" ref="DQ17">IFERROR(IF(SUMPRODUCT((INPUT!$T$3:$T$3000=46029)*(INPUT!$U$3:$U$3000="RAUL"))=0,"",SUMPRODUCT((INPUT!$T$3:$T$3000=46029)*(INPUT!$U$3:$U$3000="RAUL")*(INPUT!$V$3:$V$3000+INPUT!$W$3:$W$3000+INPUT!$X$3:$X$3000+INPUT!$Y$3:$Y$3000))),"")</f>
        <v>16</v>
      </c>
      <c r="DR17" s="42" cm="1">
        <f t="array" ref="DR17">IFERROR(IF(SUMPRODUCT((INPUT!$T$3:$T$3000=46030)*(INPUT!$U$3:$U$3000="RAUL"))=0,"",SUMPRODUCT((INPUT!$T$3:$T$3000=46030)*(INPUT!$U$3:$U$3000="RAUL")*(INPUT!$V$3:$V$3000+INPUT!$W$3:$W$3000+INPUT!$X$3:$X$3000+INPUT!$Y$3:$Y$3000))),"")</f>
        <v>16</v>
      </c>
      <c r="DS17" s="42" cm="1">
        <f t="array" ref="DS17">IFERROR(IF(SUMPRODUCT((INPUT!$T$3:$T$3000=46031)*(INPUT!$U$3:$U$3000="RAUL"))=0,"",SUMPRODUCT((INPUT!$T$3:$T$3000=46031)*(INPUT!$U$3:$U$3000="RAUL")*(INPUT!$V$3:$V$3000+INPUT!$W$3:$W$3000+INPUT!$X$3:$X$3000+INPUT!$Y$3:$Y$3000))),"")</f>
        <v>17</v>
      </c>
      <c r="DT17" s="42" cm="1">
        <f t="array" ref="DT17">IFERROR(IF(SUMPRODUCT((INPUT!$T$3:$T$3000=46041)*(INPUT!$U$3:$U$3000="RAUL"))=0,"",SUMPRODUCT((INPUT!$T$3:$T$3000=46041)*(INPUT!$U$3:$U$3000="RAUL")*(INPUT!$V$3:$V$3000+INPUT!$W$3:$W$3000+INPUT!$X$3:$X$3000+INPUT!$Y$3:$Y$3000))),"")</f>
        <v>20</v>
      </c>
      <c r="DU17" s="42" cm="1">
        <f t="array" ref="DU17">IFERROR(IF(SUMPRODUCT((INPUT!$T$3:$T$3000=46042)*(INPUT!$U$3:$U$3000="RAUL"))=0,"",SUMPRODUCT((INPUT!$T$3:$T$3000=46042)*(INPUT!$U$3:$U$3000="RAUL")*(INPUT!$V$3:$V$3000+INPUT!$W$3:$W$3000+INPUT!$X$3:$X$3000+INPUT!$Y$3:$Y$3000))),"")</f>
        <v>18</v>
      </c>
      <c r="DV17" s="42" cm="1">
        <f t="array" ref="DV17">IFERROR(IF(SUMPRODUCT((INPUT!$T$3:$T$3000=46043)*(INPUT!$U$3:$U$3000="RAUL"))=0,"",SUMPRODUCT((INPUT!$T$3:$T$3000=46043)*(INPUT!$U$3:$U$3000="RAUL")*(INPUT!$V$3:$V$3000+INPUT!$W$3:$W$3000+INPUT!$X$3:$X$3000+INPUT!$Y$3:$Y$3000))),"")</f>
        <v>17</v>
      </c>
      <c r="DW17" s="42" cm="1">
        <f t="array" ref="DW17">IFERROR(IF(SUMPRODUCT((INPUT!$T$3:$T$3000=46044)*(INPUT!$U$3:$U$3000="RAUL"))=0,"",SUMPRODUCT((INPUT!$T$3:$T$3000=46044)*(INPUT!$U$3:$U$3000="RAUL")*(INPUT!$V$3:$V$3000+INPUT!$W$3:$W$3000+INPUT!$X$3:$X$3000+INPUT!$Y$3:$Y$3000))),"")</f>
        <v>16</v>
      </c>
      <c r="DX17" s="42" cm="1">
        <f t="array" ref="DX17">IFERROR(IF(SUMPRODUCT((INPUT!$T$3:$T$3000=46045)*(INPUT!$U$3:$U$3000="RAUL"))=0,"",SUMPRODUCT((INPUT!$T$3:$T$3000=46045)*(INPUT!$U$3:$U$3000="RAUL")*(INPUT!$V$3:$V$3000+INPUT!$W$3:$W$3000+INPUT!$X$3:$X$3000+INPUT!$Y$3:$Y$3000))),"")</f>
        <v>16</v>
      </c>
      <c r="DY17" s="42" cm="1">
        <f t="array" ref="DY17">IFERROR(IF(SUMPRODUCT((INPUT!$T$3:$T$3000=46048)*(INPUT!$U$3:$U$3000="RAUL"))=0,"",SUMPRODUCT((INPUT!$T$3:$T$3000=46048)*(INPUT!$U$3:$U$3000="RAUL")*(INPUT!$V$3:$V$3000+INPUT!$W$3:$W$3000+INPUT!$X$3:$X$3000+INPUT!$Y$3:$Y$3000))),"")</f>
        <v>18</v>
      </c>
      <c r="DZ17" s="42" cm="1">
        <f t="array" ref="DZ17">IFERROR(IF(SUMPRODUCT((INPUT!$T$3:$T$3000=46049)*(INPUT!$U$3:$U$3000="RAUL"))=0,"",SUMPRODUCT((INPUT!$T$3:$T$3000=46049)*(INPUT!$U$3:$U$3000="RAUL")*(INPUT!$V$3:$V$3000+INPUT!$W$3:$W$3000+INPUT!$X$3:$X$3000+INPUT!$Y$3:$Y$3000))),"")</f>
        <v>17</v>
      </c>
      <c r="EA17" s="42" cm="1">
        <f t="array" ref="EA17">IFERROR(IF(SUMPRODUCT((INPUT!$T$3:$T$3000=46050)*(INPUT!$U$3:$U$3000="RAUL"))=0,"",SUMPRODUCT((INPUT!$T$3:$T$3000=46050)*(INPUT!$U$3:$U$3000="RAUL")*(INPUT!$V$3:$V$3000+INPUT!$W$3:$W$3000+INPUT!$X$3:$X$3000+INPUT!$Y$3:$Y$3000))),"")</f>
        <v>12</v>
      </c>
      <c r="EB17" s="42" cm="1">
        <f t="array" ref="EB17">IFERROR(IF(SUMPRODUCT((INPUT!$T$3:$T$3000=46051)*(INPUT!$U$3:$U$3000="RAUL"))=0,"",SUMPRODUCT((INPUT!$T$3:$T$3000=46051)*(INPUT!$U$3:$U$3000="RAUL")*(INPUT!$V$3:$V$3000+INPUT!$W$3:$W$3000+INPUT!$X$3:$X$3000+INPUT!$Y$3:$Y$3000))),"")</f>
        <v>14</v>
      </c>
      <c r="EC17" s="42" cm="1">
        <f t="array" ref="EC17">IFERROR(IF(SUMPRODUCT((INPUT!$T$3:$T$3000=46052)*(INPUT!$U$3:$U$3000="RAUL"))=0,"",SUMPRODUCT((INPUT!$T$3:$T$3000=46052)*(INPUT!$U$3:$U$3000="RAUL")*(INPUT!$V$3:$V$3000+INPUT!$W$3:$W$3000+INPUT!$X$3:$X$3000+INPUT!$Y$3:$Y$3000))),"")</f>
        <v>16</v>
      </c>
      <c r="ED17" s="42" cm="1">
        <f t="array" ref="ED17">IFERROR(IF(SUMPRODUCT((INPUT!$T$3:$T$3000=46055)*(INPUT!$U$3:$U$3000="RAUL"))=0,"",SUMPRODUCT((INPUT!$T$3:$T$3000=46055)*(INPUT!$U$3:$U$3000="RAUL")*(INPUT!$V$3:$V$3000+INPUT!$W$3:$W$3000+INPUT!$X$3:$X$3000+INPUT!$Y$3:$Y$3000))),"")</f>
        <v>16</v>
      </c>
      <c r="EE17" s="42" cm="1">
        <f t="array" ref="EE17">IFERROR(IF(SUMPRODUCT((INPUT!$T$3:$T$3000=46056)*(INPUT!$U$3:$U$3000="RAUL"))=0,"",SUMPRODUCT((INPUT!$T$3:$T$3000=46056)*(INPUT!$U$3:$U$3000="RAUL")*(INPUT!$V$3:$V$3000+INPUT!$W$3:$W$3000+INPUT!$X$3:$X$3000+INPUT!$Y$3:$Y$3000))),"")</f>
        <v>13</v>
      </c>
      <c r="EF17" s="42" cm="1">
        <f t="array" ref="EF17">IFERROR(IF(SUMPRODUCT((INPUT!$T$3:$T$3000=46057)*(INPUT!$U$3:$U$3000="RAUL"))=0,"",SUMPRODUCT((INPUT!$T$3:$T$3000=46057)*(INPUT!$U$3:$U$3000="RAUL")*(INPUT!$V$3:$V$3000+INPUT!$W$3:$W$3000+INPUT!$X$3:$X$3000+INPUT!$Y$3:$Y$3000))),"")</f>
        <v>13</v>
      </c>
      <c r="EG17" s="42" cm="1">
        <f t="array" ref="EG17">IFERROR(IF(SUMPRODUCT((INPUT!$T$3:$T$3000=46058)*(INPUT!$U$3:$U$3000="RAUL"))=0,"",SUMPRODUCT((INPUT!$T$3:$T$3000=46058)*(INPUT!$U$3:$U$3000="RAUL")*(INPUT!$V$3:$V$3000+INPUT!$W$3:$W$3000+INPUT!$X$3:$X$3000+INPUT!$Y$3:$Y$3000))),"")</f>
        <v>16</v>
      </c>
      <c r="EH17" s="42" cm="1">
        <f t="array" ref="EH17">IFERROR(IF(SUMPRODUCT((INPUT!$T$3:$T$3000=46059)*(INPUT!$U$3:$U$3000="RAUL"))=0,"",SUMPRODUCT((INPUT!$T$3:$T$3000=46059)*(INPUT!$U$3:$U$3000="RAUL")*(INPUT!$V$3:$V$3000+INPUT!$W$3:$W$3000+INPUT!$X$3:$X$3000+INPUT!$Y$3:$Y$3000))),"")</f>
        <v>16</v>
      </c>
      <c r="EI17" s="42" cm="1">
        <f t="array" ref="EI17">IFERROR(IF(SUMPRODUCT((INPUT!$T$3:$T$3000=46061)*(INPUT!$U$3:$U$3000="RAUL"))=0,"",SUMPRODUCT((INPUT!$T$3:$T$3000=46061)*(INPUT!$U$3:$U$3000="RAUL")*(INPUT!$V$3:$V$3000+INPUT!$W$3:$W$3000+INPUT!$X$3:$X$3000+INPUT!$Y$3:$Y$3000))),"")</f>
        <v>8</v>
      </c>
      <c r="EJ17" s="42" cm="1">
        <f t="array" ref="EJ17">IFERROR(IF(SUMPRODUCT((INPUT!$T$3:$T$3000=46062)*(INPUT!$U$3:$U$3000="RAUL"))=0,"",SUMPRODUCT((INPUT!$T$3:$T$3000=46062)*(INPUT!$U$3:$U$3000="RAUL")*(INPUT!$V$3:$V$3000+INPUT!$W$3:$W$3000+INPUT!$X$3:$X$3000+INPUT!$Y$3:$Y$3000))),"")</f>
        <v>16</v>
      </c>
      <c r="EK17" s="42" cm="1">
        <f t="array" ref="EK17">IFERROR(IF(SUMPRODUCT((INPUT!$T$3:$T$3000=46063)*(INPUT!$U$3:$U$3000="RAUL"))=0,"",SUMPRODUCT((INPUT!$T$3:$T$3000=46063)*(INPUT!$U$3:$U$3000="RAUL")*(INPUT!$V$3:$V$3000+INPUT!$W$3:$W$3000+INPUT!$X$3:$X$3000+INPUT!$Y$3:$Y$3000))),"")</f>
        <v>16</v>
      </c>
      <c r="EL17" s="42" cm="1">
        <f t="array" ref="EL17">IFERROR(IF(SUMPRODUCT((INPUT!$T$3:$T$3000=46064)*(INPUT!$U$3:$U$3000="RAUL"))=0,"",SUMPRODUCT((INPUT!$T$3:$T$3000=46064)*(INPUT!$U$3:$U$3000="RAUL")*(INPUT!$V$3:$V$3000+INPUT!$W$3:$W$3000+INPUT!$X$3:$X$3000+INPUT!$Y$3:$Y$3000))),"")</f>
        <v>16</v>
      </c>
      <c r="EM17" s="42" cm="1">
        <f t="array" ref="EM17">IFERROR(IF(SUMPRODUCT((INPUT!$T$3:$T$3000=46065)*(INPUT!$U$3:$U$3000="RAUL"))=0,"",SUMPRODUCT((INPUT!$T$3:$T$3000=46065)*(INPUT!$U$3:$U$3000="RAUL")*(INPUT!$V$3:$V$3000+INPUT!$W$3:$W$3000+INPUT!$X$3:$X$3000+INPUT!$Y$3:$Y$3000))),"")</f>
        <v>14</v>
      </c>
      <c r="EN17" s="42" cm="1">
        <f t="array" ref="EN17">IFERROR(IF(SUMPRODUCT((INPUT!$T$3:$T$3000=46066)*(INPUT!$U$3:$U$3000="RAUL"))=0,"",SUMPRODUCT((INPUT!$T$3:$T$3000=46066)*(INPUT!$U$3:$U$3000="RAUL")*(INPUT!$V$3:$V$3000+INPUT!$W$3:$W$3000+INPUT!$X$3:$X$3000+INPUT!$Y$3:$Y$3000))),"")</f>
        <v>15</v>
      </c>
      <c r="EO17" s="42" cm="1">
        <f t="array" ref="EO17">IFERROR(IF(SUMPRODUCT((INPUT!$T$3:$T$3000=46067)*(INPUT!$U$3:$U$3000="RAUL"))=0,"",SUMPRODUCT((INPUT!$T$3:$T$3000=46067)*(INPUT!$U$3:$U$3000="RAUL")*(INPUT!$V$3:$V$3000+INPUT!$W$3:$W$3000+INPUT!$X$3:$X$3000+INPUT!$Y$3:$Y$3000))),"")</f>
        <v>17</v>
      </c>
      <c r="EP17" s="42" cm="1">
        <f t="array" ref="EP17">IFERROR(IF(SUMPRODUCT((INPUT!$T$3:$T$3000=46069)*(INPUT!$U$3:$U$3000="RAUL"))=0,"",SUMPRODUCT((INPUT!$T$3:$T$3000=46069)*(INPUT!$U$3:$U$3000="RAUL")*(INPUT!$V$3:$V$3000+INPUT!$W$3:$W$3000+INPUT!$X$3:$X$3000+INPUT!$Y$3:$Y$3000))),"")</f>
        <v>18</v>
      </c>
      <c r="EQ17" s="42" cm="1">
        <f t="array" ref="EQ17">IFERROR(IF(SUMPRODUCT((INPUT!$T$3:$T$3000=46072)*(INPUT!$U$3:$U$3000="RAUL"))=0,"",SUMPRODUCT((INPUT!$T$3:$T$3000=46072)*(INPUT!$U$3:$U$3000="RAUL")*(INPUT!$V$3:$V$3000+INPUT!$W$3:$W$3000+INPUT!$X$3:$X$3000+INPUT!$Y$3:$Y$3000))),"")</f>
        <v>15</v>
      </c>
      <c r="ER17" s="42" cm="1">
        <f t="array" ref="ER17">IFERROR(IF(SUMPRODUCT((INPUT!$T$3:$T$3000=46073)*(INPUT!$U$3:$U$3000="RAUL"))=0,"",SUMPRODUCT((INPUT!$T$3:$T$3000=46073)*(INPUT!$U$3:$U$3000="RAUL")*(INPUT!$V$3:$V$3000+INPUT!$W$3:$W$3000+INPUT!$X$3:$X$3000+INPUT!$Y$3:$Y$3000))),"")</f>
        <v>16</v>
      </c>
      <c r="ES17" s="42" cm="1">
        <f t="array" ref="ES17">IFERROR(IF(SUMPRODUCT((INPUT!$T$3:$T$3000=46076)*(INPUT!$U$3:$U$3000="RAUL"))=0,"",SUMPRODUCT((INPUT!$T$3:$T$3000=46076)*(INPUT!$U$3:$U$3000="RAUL")*(INPUT!$V$3:$V$3000+INPUT!$W$3:$W$3000+INPUT!$X$3:$X$3000+INPUT!$Y$3:$Y$3000))),"")</f>
        <v>16</v>
      </c>
      <c r="ET17" s="42" cm="1">
        <f t="array" ref="ET17">IFERROR(IF(SUMPRODUCT((INPUT!$T$3:$T$3000=46077)*(INPUT!$U$3:$U$3000="RAUL"))=0,"",SUMPRODUCT((INPUT!$T$3:$T$3000=46077)*(INPUT!$U$3:$U$3000="RAUL")*(INPUT!$V$3:$V$3000+INPUT!$W$3:$W$3000+INPUT!$X$3:$X$3000+INPUT!$Y$3:$Y$3000))),"")</f>
        <v>17</v>
      </c>
      <c r="EU17" s="42" cm="1">
        <f t="array" ref="EU17">IFERROR(IF(SUMPRODUCT((INPUT!$T$3:$T$3000=46078)*(INPUT!$U$3:$U$3000="RAUL"))=0,"",SUMPRODUCT((INPUT!$T$3:$T$3000=46078)*(INPUT!$U$3:$U$3000="RAUL")*(INPUT!$V$3:$V$3000+INPUT!$W$3:$W$3000+INPUT!$X$3:$X$3000+INPUT!$Y$3:$Y$3000))),"")</f>
        <v>18</v>
      </c>
      <c r="EV17" s="42" cm="1">
        <f t="array" ref="EV17">IFERROR(IF(SUMPRODUCT((INPUT!$T$3:$T$3000=46079)*(INPUT!$U$3:$U$3000="RAUL"))=0,"",SUMPRODUCT((INPUT!$T$3:$T$3000=46079)*(INPUT!$U$3:$U$3000="RAUL")*(INPUT!$V$3:$V$3000+INPUT!$W$3:$W$3000+INPUT!$X$3:$X$3000+INPUT!$Y$3:$Y$3000))),"")</f>
        <v>17</v>
      </c>
      <c r="EW17" s="42" cm="1">
        <f t="array" ref="EW17">IFERROR(IF(SUMPRODUCT((INPUT!$T$3:$T$3000=46080)*(INPUT!$U$3:$U$3000="RAUL"))=0,"",SUMPRODUCT((INPUT!$T$3:$T$3000=46080)*(INPUT!$U$3:$U$3000="RAUL")*(INPUT!$V$3:$V$3000+INPUT!$W$3:$W$3000+INPUT!$X$3:$X$3000+INPUT!$Y$3:$Y$3000))),"")</f>
        <v>17</v>
      </c>
      <c r="EX17" s="42" cm="1">
        <f t="array" ref="EX17">IFERROR(IF(SUMPRODUCT((INPUT!$T$3:$T$3000=46082)*(INPUT!$U$3:$U$3000="RAUL"))=0,"",SUMPRODUCT((INPUT!$T$3:$T$3000=46082)*(INPUT!$U$3:$U$3000="RAUL")*(INPUT!$V$3:$V$3000+INPUT!$W$3:$W$3000+INPUT!$X$3:$X$3000+INPUT!$Y$3:$Y$3000))),"")</f>
        <v>20</v>
      </c>
      <c r="EY17" s="42" cm="1">
        <f t="array" ref="EY17">IFERROR(IF(SUMPRODUCT((INPUT!$T$3:$T$3000=46084)*(INPUT!$U$3:$U$3000="RAUL"))=0,"",SUMPRODUCT((INPUT!$T$3:$T$3000=46084)*(INPUT!$U$3:$U$3000="RAUL")*(INPUT!$V$3:$V$3000+INPUT!$W$3:$W$3000+INPUT!$X$3:$X$3000+INPUT!$Y$3:$Y$3000))),"")</f>
        <v>17</v>
      </c>
      <c r="EZ17" s="42" cm="1">
        <f t="array" ref="EZ17">IFERROR(IF(SUMPRODUCT((INPUT!$T$3:$T$3000=46085)*(INPUT!$U$3:$U$3000="RAUL"))=0,"",SUMPRODUCT((INPUT!$T$3:$T$3000=46085)*(INPUT!$U$3:$U$3000="RAUL")*(INPUT!$V$3:$V$3000+INPUT!$W$3:$W$3000+INPUT!$X$3:$X$3000+INPUT!$Y$3:$Y$3000))),"")</f>
        <v>18</v>
      </c>
      <c r="FA17" s="42" cm="1">
        <f t="array" ref="FA17">IFERROR(IF(SUMPRODUCT((INPUT!$T$3:$T$3000=46086)*(INPUT!$U$3:$U$3000="RAUL"))=0,"",SUMPRODUCT((INPUT!$T$3:$T$3000=46086)*(INPUT!$U$3:$U$3000="RAUL")*(INPUT!$V$3:$V$3000+INPUT!$W$3:$W$3000+INPUT!$X$3:$X$3000+INPUT!$Y$3:$Y$3000))),"")</f>
        <v>19</v>
      </c>
      <c r="FB17" s="42" cm="1">
        <f t="array" ref="FB17">IFERROR(IF(SUMPRODUCT((INPUT!$T$3:$T$3000=46087)*(INPUT!$U$3:$U$3000="RAUL"))=0,"",SUMPRODUCT((INPUT!$T$3:$T$3000=46087)*(INPUT!$U$3:$U$3000="RAUL")*(INPUT!$V$3:$V$3000+INPUT!$W$3:$W$3000+INPUT!$X$3:$X$3000+INPUT!$Y$3:$Y$3000))),"")</f>
        <v>19</v>
      </c>
      <c r="FC17" s="42" cm="1">
        <f t="array" ref="FC17">IFERROR(IF(SUMPRODUCT((INPUT!$T$3:$T$3000=46090)*(INPUT!$U$3:$U$3000="RAUL"))=0,"",SUMPRODUCT((INPUT!$T$3:$T$3000=46090)*(INPUT!$U$3:$U$3000="RAUL")*(INPUT!$V$3:$V$3000+INPUT!$W$3:$W$3000+INPUT!$X$3:$X$3000+INPUT!$Y$3:$Y$3000))),"")</f>
        <v>17</v>
      </c>
      <c r="FD17" s="42" cm="1">
        <f t="array" ref="FD17">IFERROR(IF(SUMPRODUCT((INPUT!$T$3:$T$3000=46091)*(INPUT!$U$3:$U$3000="RAUL"))=0,"",SUMPRODUCT((INPUT!$T$3:$T$3000=46091)*(INPUT!$U$3:$U$3000="RAUL")*(INPUT!$V$3:$V$3000+INPUT!$W$3:$W$3000+INPUT!$X$3:$X$3000+INPUT!$Y$3:$Y$3000))),"")</f>
        <v>18</v>
      </c>
      <c r="FE17" s="42" cm="1">
        <f t="array" ref="FE17">IFERROR(IF(SUMPRODUCT((INPUT!$T$3:$T$3000=46092)*(INPUT!$U$3:$U$3000="RAUL"))=0,"",SUMPRODUCT((INPUT!$T$3:$T$3000=46092)*(INPUT!$U$3:$U$3000="RAUL")*(INPUT!$V$3:$V$3000+INPUT!$W$3:$W$3000+INPUT!$X$3:$X$3000+INPUT!$Y$3:$Y$3000))),"")</f>
        <v>19</v>
      </c>
      <c r="FF17" s="42" cm="1">
        <f t="array" ref="FF17">IFERROR(IF(SUMPRODUCT((INPUT!$T$3:$T$3000=46093)*(INPUT!$U$3:$U$3000="RAUL"))=0,"",SUMPRODUCT((INPUT!$T$3:$T$3000=46093)*(INPUT!$U$3:$U$3000="RAUL")*(INPUT!$V$3:$V$3000+INPUT!$W$3:$W$3000+INPUT!$X$3:$X$3000+INPUT!$Y$3:$Y$3000))),"")</f>
        <v>19</v>
      </c>
      <c r="FG17" s="42" cm="1">
        <f t="array" ref="FG17">IFERROR(IF(SUMPRODUCT((INPUT!$T$3:$T$3000=46094)*(INPUT!$U$3:$U$3000="RAUL"))=0,"",SUMPRODUCT((INPUT!$T$3:$T$3000=46094)*(INPUT!$U$3:$U$3000="RAUL")*(INPUT!$V$3:$V$3000+INPUT!$W$3:$W$3000+INPUT!$X$3:$X$3000+INPUT!$Y$3:$Y$3000))),"")</f>
        <v>19</v>
      </c>
      <c r="FH17" s="42" cm="1">
        <f t="array" ref="FH17">IFERROR(IF(SUMPRODUCT((INPUT!$T$3:$T$3000=46096)*(INPUT!$U$3:$U$3000="RAUL"))=0,"",SUMPRODUCT((INPUT!$T$3:$T$3000=46096)*(INPUT!$U$3:$U$3000="RAUL")*(INPUT!$V$3:$V$3000+INPUT!$W$3:$W$3000+INPUT!$X$3:$X$3000+INPUT!$Y$3:$Y$3000))),"")</f>
        <v>19</v>
      </c>
      <c r="FI17" s="42" cm="1">
        <f t="array" ref="FI17">IFERROR(IF(SUMPRODUCT((INPUT!$T$3:$T$3000=46097)*(INPUT!$U$3:$U$3000="RAUL"))=0,"",SUMPRODUCT((INPUT!$T$3:$T$3000=46097)*(INPUT!$U$3:$U$3000="RAUL")*(INPUT!$V$3:$V$3000+INPUT!$W$3:$W$3000+INPUT!$X$3:$X$3000+INPUT!$Y$3:$Y$3000))),"")</f>
        <v>18</v>
      </c>
      <c r="FJ17" s="42" cm="1">
        <f t="array" ref="FJ17">IFERROR(IF(SUMPRODUCT((INPUT!$T$3:$T$3000=46098)*(INPUT!$U$3:$U$3000="RAUL"))=0,"",SUMPRODUCT((INPUT!$T$3:$T$3000=46098)*(INPUT!$U$3:$U$3000="RAUL")*(INPUT!$V$3:$V$3000+INPUT!$W$3:$W$3000+INPUT!$X$3:$X$3000+INPUT!$Y$3:$Y$3000))),"")</f>
        <v>18</v>
      </c>
      <c r="FK17" s="42" cm="1">
        <f t="array" ref="FK17">IFERROR(IF(SUMPRODUCT((INPUT!$T$3:$T$3000=46099)*(INPUT!$U$3:$U$3000="RAUL"))=0,"",SUMPRODUCT((INPUT!$T$3:$T$3000=46099)*(INPUT!$U$3:$U$3000="RAUL")*(INPUT!$V$3:$V$3000+INPUT!$W$3:$W$3000+INPUT!$X$3:$X$3000+INPUT!$Y$3:$Y$3000))),"")</f>
        <v>18</v>
      </c>
      <c r="FL17" s="42" cm="1">
        <f t="array" ref="FL17">IFERROR(IF(SUMPRODUCT((INPUT!$T$3:$T$3000=46102)*(INPUT!$U$3:$U$3000="RAUL"))=0,"",SUMPRODUCT((INPUT!$T$3:$T$3000=46102)*(INPUT!$U$3:$U$3000="RAUL")*(INPUT!$V$3:$V$3000+INPUT!$W$3:$W$3000+INPUT!$X$3:$X$3000+INPUT!$Y$3:$Y$3000))),"")</f>
        <v>20</v>
      </c>
      <c r="FM17" s="42" cm="1">
        <f t="array" ref="FM17">IFERROR(IF(SUMPRODUCT((INPUT!$T$3:$T$3000=46105)*(INPUT!$U$3:$U$3000="RAUL"))=0,"",SUMPRODUCT((INPUT!$T$3:$T$3000=46105)*(INPUT!$U$3:$U$3000="RAUL")*(INPUT!$V$3:$V$3000+INPUT!$W$3:$W$3000+INPUT!$X$3:$X$3000+INPUT!$Y$3:$Y$3000))),"")</f>
        <v>20</v>
      </c>
      <c r="FN17" s="42" cm="1">
        <f t="array" ref="FN17">IFERROR(IF(SUMPRODUCT((INPUT!$T$3:$T$3000=46106)*(INPUT!$U$3:$U$3000="RAUL"))=0,"",SUMPRODUCT((INPUT!$T$3:$T$3000=46106)*(INPUT!$U$3:$U$3000="RAUL")*(INPUT!$V$3:$V$3000+INPUT!$W$3:$W$3000+INPUT!$X$3:$X$3000+INPUT!$Y$3:$Y$3000))),"")</f>
        <v>20</v>
      </c>
      <c r="FO17" s="42" cm="1">
        <f t="array" ref="FO17">IFERROR(IF(SUMPRODUCT((INPUT!$T$3:$T$3000=46107)*(INPUT!$U$3:$U$3000="RAUL"))=0,"",SUMPRODUCT((INPUT!$T$3:$T$3000=46107)*(INPUT!$U$3:$U$3000="RAUL")*(INPUT!$V$3:$V$3000+INPUT!$W$3:$W$3000+INPUT!$X$3:$X$3000+INPUT!$Y$3:$Y$3000))),"")</f>
        <v>20</v>
      </c>
      <c r="FP17" s="42" cm="1">
        <f t="array" ref="FP17">IFERROR(IF(SUMPRODUCT((INPUT!$T$3:$T$3000=46108)*(INPUT!$U$3:$U$3000="RAUL"))=0,"",SUMPRODUCT((INPUT!$T$3:$T$3000=46108)*(INPUT!$U$3:$U$3000="RAUL")*(INPUT!$V$3:$V$3000+INPUT!$W$3:$W$3000+INPUT!$X$3:$X$3000+INPUT!$Y$3:$Y$3000))),"")</f>
        <v>20</v>
      </c>
      <c r="FQ17" s="42" cm="1">
        <f t="array" ref="FQ17">IFERROR(IF(SUMPRODUCT((INPUT!$T$3:$T$3000=46109)*(INPUT!$U$3:$U$3000="RAUL"))=0,"",SUMPRODUCT((INPUT!$T$3:$T$3000=46109)*(INPUT!$U$3:$U$3000="RAUL")*(INPUT!$V$3:$V$3000+INPUT!$W$3:$W$3000+INPUT!$X$3:$X$3000+INPUT!$Y$3:$Y$3000))),"")</f>
        <v>20</v>
      </c>
      <c r="FR17" s="42" cm="1">
        <f t="array" ref="FR17">IFERROR(IF(SUMPRODUCT((INPUT!$T$3:$T$3000=46111)*(INPUT!$U$3:$U$3000="RAUL"))=0,"",SUMPRODUCT((INPUT!$T$3:$T$3000=46111)*(INPUT!$U$3:$U$3000="RAUL")*(INPUT!$V$3:$V$3000+INPUT!$W$3:$W$3000+INPUT!$X$3:$X$3000+INPUT!$Y$3:$Y$3000))),"")</f>
        <v>20</v>
      </c>
      <c r="FS17" s="42" cm="1">
        <f t="array" ref="FS17">IFERROR(IF(SUMPRODUCT((INPUT!$T$3:$T$3000=46112)*(INPUT!$U$3:$U$3000="RAUL"))=0,"",SUMPRODUCT((INPUT!$T$3:$T$3000=46112)*(INPUT!$U$3:$U$3000="RAUL")*(INPUT!$V$3:$V$3000+INPUT!$W$3:$W$3000+INPUT!$X$3:$X$3000+INPUT!$Y$3:$Y$3000))),"")</f>
        <v>20</v>
      </c>
      <c r="FT17" s="42" cm="1">
        <f t="array" ref="FT17">IFERROR(IF(SUMPRODUCT((INPUT!$T$3:$T$3000=46113)*(INPUT!$U$3:$U$3000="RAUL"))=0,"",SUMPRODUCT((INPUT!$T$3:$T$3000=46113)*(INPUT!$U$3:$U$3000="RAUL")*(INPUT!$V$3:$V$3000+INPUT!$W$3:$W$3000+INPUT!$X$3:$X$3000+INPUT!$Y$3:$Y$3000))),"")</f>
        <v>20</v>
      </c>
      <c r="FU17" s="42" cm="1">
        <f t="array" ref="FU17">IFERROR(IF(SUMPRODUCT((INPUT!$T$3:$T$3000=46114)*(INPUT!$U$3:$U$3000="RAUL"))=0,"",SUMPRODUCT((INPUT!$T$3:$T$3000=46114)*(INPUT!$U$3:$U$3000="RAUL")*(INPUT!$V$3:$V$3000+INPUT!$W$3:$W$3000+INPUT!$X$3:$X$3000+INPUT!$Y$3:$Y$3000))),"")</f>
        <v>19</v>
      </c>
      <c r="FV17" s="42" cm="1">
        <f t="array" ref="FV17">IFERROR(IF(SUMPRODUCT((INPUT!$T$3:$T$3000=46115)*(INPUT!$U$3:$U$3000="RAUL"))=0,"",SUMPRODUCT((INPUT!$T$3:$T$3000=46115)*(INPUT!$U$3:$U$3000="RAUL")*(INPUT!$V$3:$V$3000+INPUT!$W$3:$W$3000+INPUT!$X$3:$X$3000+INPUT!$Y$3:$Y$3000))),"")</f>
        <v>20</v>
      </c>
      <c r="FW17" s="42" cm="1">
        <f t="array" ref="FW17">IFERROR(IF(SUMPRODUCT((INPUT!$T$3:$T$3000=46116)*(INPUT!$U$3:$U$3000="RAUL"))=0,"",SUMPRODUCT((INPUT!$T$3:$T$3000=46116)*(INPUT!$U$3:$U$3000="RAUL")*(INPUT!$V$3:$V$3000+INPUT!$W$3:$W$3000+INPUT!$X$3:$X$3000+INPUT!$Y$3:$Y$3000))),"")</f>
        <v>20</v>
      </c>
      <c r="FX17" s="42" cm="1">
        <f t="array" ref="FX17">IFERROR(IF(SUMPRODUCT((INPUT!$T$3:$T$3000=46118)*(INPUT!$U$3:$U$3000="RAUL"))=0,"",SUMPRODUCT((INPUT!$T$3:$T$3000=46118)*(INPUT!$U$3:$U$3000="RAUL")*(INPUT!$V$3:$V$3000+INPUT!$W$3:$W$3000+INPUT!$X$3:$X$3000+INPUT!$Y$3:$Y$3000))),"")</f>
        <v>19</v>
      </c>
      <c r="FY17" s="42" cm="1">
        <f t="array" ref="FY17">IFERROR(IF(SUMPRODUCT((INPUT!$T$3:$T$3000=46119)*(INPUT!$U$3:$U$3000="RAUL"))=0,"",SUMPRODUCT((INPUT!$T$3:$T$3000=46119)*(INPUT!$U$3:$U$3000="RAUL")*(INPUT!$V$3:$V$3000+INPUT!$W$3:$W$3000+INPUT!$X$3:$X$3000+INPUT!$Y$3:$Y$3000))),"")</f>
        <v>19</v>
      </c>
      <c r="FZ17" s="42" cm="1">
        <f t="array" ref="FZ17">IFERROR(IF(SUMPRODUCT((INPUT!$T$3:$T$3000=46120)*(INPUT!$U$3:$U$3000="RAUL"))=0,"",SUMPRODUCT((INPUT!$T$3:$T$3000=46120)*(INPUT!$U$3:$U$3000="RAUL")*(INPUT!$V$3:$V$3000+INPUT!$W$3:$W$3000+INPUT!$X$3:$X$3000+INPUT!$Y$3:$Y$3000))),"")</f>
        <v>19</v>
      </c>
      <c r="GA17" s="42" cm="1">
        <f t="array" ref="GA17">IFERROR(IF(SUMPRODUCT((INPUT!$T$3:$T$3000=46121)*(INPUT!$U$3:$U$3000="RAUL"))=0,"",SUMPRODUCT((INPUT!$T$3:$T$3000=46121)*(INPUT!$U$3:$U$3000="RAUL")*(INPUT!$V$3:$V$3000+INPUT!$W$3:$W$3000+INPUT!$X$3:$X$3000+INPUT!$Y$3:$Y$3000))),"")</f>
        <v>20</v>
      </c>
      <c r="GB17" s="42" cm="1">
        <f t="array" ref="GB17">IFERROR(IF(SUMPRODUCT((INPUT!$T$3:$T$3000=46122)*(INPUT!$U$3:$U$3000="RAUL"))=0,"",SUMPRODUCT((INPUT!$T$3:$T$3000=46122)*(INPUT!$U$3:$U$3000="RAUL")*(INPUT!$V$3:$V$3000+INPUT!$W$3:$W$3000+INPUT!$X$3:$X$3000+INPUT!$Y$3:$Y$3000))),"")</f>
        <v>20</v>
      </c>
      <c r="GC17" s="42" cm="1">
        <f t="array" ref="GC17">IFERROR(IF(SUMPRODUCT((INPUT!$T$3:$T$3000=46125)*(INPUT!$U$3:$U$3000="RAUL"))=0,"",SUMPRODUCT((INPUT!$T$3:$T$3000=46125)*(INPUT!$U$3:$U$3000="RAUL")*(INPUT!$V$3:$V$3000+INPUT!$W$3:$W$3000+INPUT!$X$3:$X$3000+INPUT!$Y$3:$Y$3000))),"")</f>
        <v>19</v>
      </c>
      <c r="GD17" s="42" cm="1">
        <f t="array" ref="GD17">IFERROR(IF(SUMPRODUCT((INPUT!$T$3:$T$3000=46126)*(INPUT!$U$3:$U$3000="RAUL"))=0,"",SUMPRODUCT((INPUT!$T$3:$T$3000=46126)*(INPUT!$U$3:$U$3000="RAUL")*(INPUT!$V$3:$V$3000+INPUT!$W$3:$W$3000+INPUT!$X$3:$X$3000+INPUT!$Y$3:$Y$3000))),"")</f>
        <v>19</v>
      </c>
      <c r="GE17" s="42" cm="1">
        <f t="array" ref="GE17">IFERROR(IF(SUMPRODUCT((INPUT!$T$3:$T$3000=46127)*(INPUT!$U$3:$U$3000="RAUL"))=0,"",SUMPRODUCT((INPUT!$T$3:$T$3000=46127)*(INPUT!$U$3:$U$3000="RAUL")*(INPUT!$V$3:$V$3000+INPUT!$W$3:$W$3000+INPUT!$X$3:$X$3000+INPUT!$Y$3:$Y$3000))),"")</f>
        <v>18</v>
      </c>
      <c r="GF17" s="42" cm="1">
        <f t="array" ref="GF17">IFERROR(IF(SUMPRODUCT((INPUT!$T$3:$T$3000=46128)*(INPUT!$U$3:$U$3000="RAUL"))=0,"",SUMPRODUCT((INPUT!$T$3:$T$3000=46128)*(INPUT!$U$3:$U$3000="RAUL")*(INPUT!$V$3:$V$3000+INPUT!$W$3:$W$3000+INPUT!$X$3:$X$3000+INPUT!$Y$3:$Y$3000))),"")</f>
        <v>18</v>
      </c>
      <c r="GG17" s="42" cm="1">
        <f t="array" ref="GG17">IFERROR(IF(SUMPRODUCT((INPUT!$T$3:$T$3000=46129)*(INPUT!$U$3:$U$3000="RAUL"))=0,"",SUMPRODUCT((INPUT!$T$3:$T$3000=46129)*(INPUT!$U$3:$U$3000="RAUL")*(INPUT!$V$3:$V$3000+INPUT!$W$3:$W$3000+INPUT!$X$3:$X$3000+INPUT!$Y$3:$Y$3000))),"")</f>
        <v>18</v>
      </c>
      <c r="GH17" s="42" cm="1">
        <f t="array" ref="GH17">IFERROR(IF(SUMPRODUCT((INPUT!$T$3:$T$3000=46130)*(INPUT!$U$3:$U$3000="RAUL"))=0,"",SUMPRODUCT((INPUT!$T$3:$T$3000=46130)*(INPUT!$U$3:$U$3000="RAUL")*(INPUT!$V$3:$V$3000+INPUT!$W$3:$W$3000+INPUT!$X$3:$X$3000+INPUT!$Y$3:$Y$3000))),"")</f>
        <v>20</v>
      </c>
      <c r="GI17" s="42" cm="1">
        <f t="array" ref="GI17">IFERROR(IF(SUMPRODUCT((INPUT!$T$3:$T$3000=46132)*(INPUT!$U$3:$U$3000="RAUL"))=0,"",SUMPRODUCT((INPUT!$T$3:$T$3000=46132)*(INPUT!$U$3:$U$3000="RAUL")*(INPUT!$V$3:$V$3000+INPUT!$W$3:$W$3000+INPUT!$X$3:$X$3000+INPUT!$Y$3:$Y$3000))),"")</f>
        <v>18</v>
      </c>
    </row>
    <row r="18" spans="1:191" x14ac:dyDescent="0.2">
      <c r="A18" t="s">
        <v>48</v>
      </c>
      <c r="B18" s="42" cm="1">
        <f t="array" ref="B18">IFERROR(IF(SUMPRODUCT((INPUT!$T$3:$T$3000=45868)*(INPUT!$U$3:$U$3000="RAYA"))=0,"",SUMPRODUCT((INPUT!$T$3:$T$3000=45868)*(INPUT!$U$3:$U$3000="RAYA")*(INPUT!$V$3:$V$3000+INPUT!$W$3:$W$3000+INPUT!$X$3:$X$3000+INPUT!$Y$3:$Y$3000))),"")</f>
        <v>15</v>
      </c>
      <c r="C18" s="42" cm="1">
        <f t="array" ref="C18">IFERROR(IF(SUMPRODUCT((INPUT!$T$3:$T$3000=45869)*(INPUT!$U$3:$U$3000="RAYA"))=0,"",SUMPRODUCT((INPUT!$T$3:$T$3000=45869)*(INPUT!$U$3:$U$3000="RAYA")*(INPUT!$V$3:$V$3000+INPUT!$W$3:$W$3000+INPUT!$X$3:$X$3000+INPUT!$Y$3:$Y$3000))),"")</f>
        <v>17</v>
      </c>
      <c r="D18" s="42" cm="1">
        <f t="array" ref="D18">IFERROR(IF(SUMPRODUCT((INPUT!$T$3:$T$3000=45870)*(INPUT!$U$3:$U$3000="RAYA"))=0,"",SUMPRODUCT((INPUT!$T$3:$T$3000=45870)*(INPUT!$U$3:$U$3000="RAYA")*(INPUT!$V$3:$V$3000+INPUT!$W$3:$W$3000+INPUT!$X$3:$X$3000+INPUT!$Y$3:$Y$3000))),"")</f>
        <v>13</v>
      </c>
      <c r="E18" s="42" cm="1">
        <f t="array" ref="E18">IFERROR(IF(SUMPRODUCT((INPUT!$T$3:$T$3000=45873)*(INPUT!$U$3:$U$3000="RAYA"))=0,"",SUMPRODUCT((INPUT!$T$3:$T$3000=45873)*(INPUT!$U$3:$U$3000="RAYA")*(INPUT!$V$3:$V$3000+INPUT!$W$3:$W$3000+INPUT!$X$3:$X$3000+INPUT!$Y$3:$Y$3000))),"")</f>
        <v>17</v>
      </c>
      <c r="F18" s="42" cm="1">
        <f t="array" ref="F18">IFERROR(IF(SUMPRODUCT((INPUT!$T$3:$T$3000=45874)*(INPUT!$U$3:$U$3000="RAYA"))=0,"",SUMPRODUCT((INPUT!$T$3:$T$3000=45874)*(INPUT!$U$3:$U$3000="RAYA")*(INPUT!$V$3:$V$3000+INPUT!$W$3:$W$3000+INPUT!$X$3:$X$3000+INPUT!$Y$3:$Y$3000))),"")</f>
        <v>15</v>
      </c>
      <c r="G18" s="42" cm="1">
        <f t="array" ref="G18">IFERROR(IF(SUMPRODUCT((INPUT!$T$3:$T$3000=45875)*(INPUT!$U$3:$U$3000="RAYA"))=0,"",SUMPRODUCT((INPUT!$T$3:$T$3000=45875)*(INPUT!$U$3:$U$3000="RAYA")*(INPUT!$V$3:$V$3000+INPUT!$W$3:$W$3000+INPUT!$X$3:$X$3000+INPUT!$Y$3:$Y$3000))),"")</f>
        <v>16</v>
      </c>
      <c r="H18" s="42" cm="1">
        <f t="array" ref="H18">IFERROR(IF(SUMPRODUCT((INPUT!$T$3:$T$3000=45876)*(INPUT!$U$3:$U$3000="RAYA"))=0,"",SUMPRODUCT((INPUT!$T$3:$T$3000=45876)*(INPUT!$U$3:$U$3000="RAYA")*(INPUT!$V$3:$V$3000+INPUT!$W$3:$W$3000+INPUT!$X$3:$X$3000+INPUT!$Y$3:$Y$3000))),"")</f>
        <v>16</v>
      </c>
      <c r="I18" s="42" cm="1">
        <f t="array" ref="I18">IFERROR(IF(SUMPRODUCT((INPUT!$T$3:$T$3000=45877)*(INPUT!$U$3:$U$3000="RAYA"))=0,"",SUMPRODUCT((INPUT!$T$3:$T$3000=45877)*(INPUT!$U$3:$U$3000="RAYA")*(INPUT!$V$3:$V$3000+INPUT!$W$3:$W$3000+INPUT!$X$3:$X$3000+INPUT!$Y$3:$Y$3000))),"")</f>
        <v>16</v>
      </c>
      <c r="J18" s="42" cm="1">
        <f t="array" ref="J18">IFERROR(IF(SUMPRODUCT((INPUT!$T$3:$T$3000=45878)*(INPUT!$U$3:$U$3000="RAYA"))=0,"",SUMPRODUCT((INPUT!$T$3:$T$3000=45878)*(INPUT!$U$3:$U$3000="RAYA")*(INPUT!$V$3:$V$3000+INPUT!$W$3:$W$3000+INPUT!$X$3:$X$3000+INPUT!$Y$3:$Y$3000))),"")</f>
        <v>16</v>
      </c>
      <c r="K18" s="42" cm="1">
        <f t="array" ref="K18">IFERROR(IF(SUMPRODUCT((INPUT!$T$3:$T$3000=45880)*(INPUT!$U$3:$U$3000="RAYA"))=0,"",SUMPRODUCT((INPUT!$T$3:$T$3000=45880)*(INPUT!$U$3:$U$3000="RAYA")*(INPUT!$V$3:$V$3000+INPUT!$W$3:$W$3000+INPUT!$X$3:$X$3000+INPUT!$Y$3:$Y$3000))),"")</f>
        <v>17</v>
      </c>
      <c r="L18" s="42" cm="1">
        <f t="array" ref="L18">IFERROR(IF(SUMPRODUCT((INPUT!$T$3:$T$3000=45881)*(INPUT!$U$3:$U$3000="RAYA"))=0,"",SUMPRODUCT((INPUT!$T$3:$T$3000=45881)*(INPUT!$U$3:$U$3000="RAYA")*(INPUT!$V$3:$V$3000+INPUT!$W$3:$W$3000+INPUT!$X$3:$X$3000+INPUT!$Y$3:$Y$3000))),"")</f>
        <v>16</v>
      </c>
      <c r="M18" s="42" cm="1">
        <f t="array" ref="M18">IFERROR(IF(SUMPRODUCT((INPUT!$T$3:$T$3000=45882)*(INPUT!$U$3:$U$3000="RAYA"))=0,"",SUMPRODUCT((INPUT!$T$3:$T$3000=45882)*(INPUT!$U$3:$U$3000="RAYA")*(INPUT!$V$3:$V$3000+INPUT!$W$3:$W$3000+INPUT!$X$3:$X$3000+INPUT!$Y$3:$Y$3000))),"")</f>
        <v>16</v>
      </c>
      <c r="N18" s="42" cm="1">
        <f t="array" ref="N18">IFERROR(IF(SUMPRODUCT((INPUT!$T$3:$T$3000=45883)*(INPUT!$U$3:$U$3000="RAYA"))=0,"",SUMPRODUCT((INPUT!$T$3:$T$3000=45883)*(INPUT!$U$3:$U$3000="RAYA")*(INPUT!$V$3:$V$3000+INPUT!$W$3:$W$3000+INPUT!$X$3:$X$3000+INPUT!$Y$3:$Y$3000))),"")</f>
        <v>15</v>
      </c>
      <c r="O18" s="42" cm="1">
        <f t="array" ref="O18">IFERROR(IF(SUMPRODUCT((INPUT!$T$3:$T$3000=45884)*(INPUT!$U$3:$U$3000="RAYA"))=0,"",SUMPRODUCT((INPUT!$T$3:$T$3000=45884)*(INPUT!$U$3:$U$3000="RAYA")*(INPUT!$V$3:$V$3000+INPUT!$W$3:$W$3000+INPUT!$X$3:$X$3000+INPUT!$Y$3:$Y$3000))),"")</f>
        <v>18</v>
      </c>
      <c r="P18" s="42" cm="1">
        <f t="array" ref="P18">IFERROR(IF(SUMPRODUCT((INPUT!$T$3:$T$3000=45887)*(INPUT!$U$3:$U$3000="RAYA"))=0,"",SUMPRODUCT((INPUT!$T$3:$T$3000=45887)*(INPUT!$U$3:$U$3000="RAYA")*(INPUT!$V$3:$V$3000+INPUT!$W$3:$W$3000+INPUT!$X$3:$X$3000+INPUT!$Y$3:$Y$3000))),"")</f>
        <v>20</v>
      </c>
      <c r="Q18" s="42" cm="1">
        <f t="array" ref="Q18">IFERROR(IF(SUMPRODUCT((INPUT!$T$3:$T$3000=45888)*(INPUT!$U$3:$U$3000="RAYA"))=0,"",SUMPRODUCT((INPUT!$T$3:$T$3000=45888)*(INPUT!$U$3:$U$3000="RAYA")*(INPUT!$V$3:$V$3000+INPUT!$W$3:$W$3000+INPUT!$X$3:$X$3000+INPUT!$Y$3:$Y$3000))),"")</f>
        <v>18</v>
      </c>
      <c r="R18" s="42" cm="1">
        <f t="array" ref="R18">IFERROR(IF(SUMPRODUCT((INPUT!$T$3:$T$3000=45889)*(INPUT!$U$3:$U$3000="RAYA"))=0,"",SUMPRODUCT((INPUT!$T$3:$T$3000=45889)*(INPUT!$U$3:$U$3000="RAYA")*(INPUT!$V$3:$V$3000+INPUT!$W$3:$W$3000+INPUT!$X$3:$X$3000+INPUT!$Y$3:$Y$3000))),"")</f>
        <v>17</v>
      </c>
      <c r="S18" s="42" cm="1">
        <f t="array" ref="S18">IFERROR(IF(SUMPRODUCT((INPUT!$T$3:$T$3000=45890)*(INPUT!$U$3:$U$3000="RAYA"))=0,"",SUMPRODUCT((INPUT!$T$3:$T$3000=45890)*(INPUT!$U$3:$U$3000="RAYA")*(INPUT!$V$3:$V$3000+INPUT!$W$3:$W$3000+INPUT!$X$3:$X$3000+INPUT!$Y$3:$Y$3000))),"")</f>
        <v>15</v>
      </c>
      <c r="T18" s="42" cm="1">
        <f t="array" ref="T18">IFERROR(IF(SUMPRODUCT((INPUT!$T$3:$T$3000=45891)*(INPUT!$U$3:$U$3000="RAYA"))=0,"",SUMPRODUCT((INPUT!$T$3:$T$3000=45891)*(INPUT!$U$3:$U$3000="RAYA")*(INPUT!$V$3:$V$3000+INPUT!$W$3:$W$3000+INPUT!$X$3:$X$3000+INPUT!$Y$3:$Y$3000))),"")</f>
        <v>18</v>
      </c>
      <c r="U18" s="42" cm="1">
        <f t="array" ref="U18">IFERROR(IF(SUMPRODUCT((INPUT!$T$3:$T$3000=45892)*(INPUT!$U$3:$U$3000="RAYA"))=0,"",SUMPRODUCT((INPUT!$T$3:$T$3000=45892)*(INPUT!$U$3:$U$3000="RAYA")*(INPUT!$V$3:$V$3000+INPUT!$W$3:$W$3000+INPUT!$X$3:$X$3000+INPUT!$Y$3:$Y$3000))),"")</f>
        <v>18</v>
      </c>
      <c r="V18" s="42" cm="1">
        <f t="array" ref="V18">IFERROR(IF(SUMPRODUCT((INPUT!$T$3:$T$3000=45893)*(INPUT!$U$3:$U$3000="RAYA"))=0,"",SUMPRODUCT((INPUT!$T$3:$T$3000=45893)*(INPUT!$U$3:$U$3000="RAYA")*(INPUT!$V$3:$V$3000+INPUT!$W$3:$W$3000+INPUT!$X$3:$X$3000+INPUT!$Y$3:$Y$3000))),"")</f>
        <v>17</v>
      </c>
      <c r="W18" s="42" cm="1">
        <f t="array" ref="W18">IFERROR(IF(SUMPRODUCT((INPUT!$T$3:$T$3000=45895)*(INPUT!$U$3:$U$3000="RAYA"))=0,"",SUMPRODUCT((INPUT!$T$3:$T$3000=45895)*(INPUT!$U$3:$U$3000="RAYA")*(INPUT!$V$3:$V$3000+INPUT!$W$3:$W$3000+INPUT!$X$3:$X$3000+INPUT!$Y$3:$Y$3000))),"")</f>
        <v>18</v>
      </c>
      <c r="X18" s="42" cm="1">
        <f t="array" ref="X18">IFERROR(IF(SUMPRODUCT((INPUT!$T$3:$T$3000=45896)*(INPUT!$U$3:$U$3000="RAYA"))=0,"",SUMPRODUCT((INPUT!$T$3:$T$3000=45896)*(INPUT!$U$3:$U$3000="RAYA")*(INPUT!$V$3:$V$3000+INPUT!$W$3:$W$3000+INPUT!$X$3:$X$3000+INPUT!$Y$3:$Y$3000))),"")</f>
        <v>18</v>
      </c>
      <c r="Y18" s="42" cm="1">
        <f t="array" ref="Y18">IFERROR(IF(SUMPRODUCT((INPUT!$T$3:$T$3000=45898)*(INPUT!$U$3:$U$3000="RAYA"))=0,"",SUMPRODUCT((INPUT!$T$3:$T$3000=45898)*(INPUT!$U$3:$U$3000="RAYA")*(INPUT!$V$3:$V$3000+INPUT!$W$3:$W$3000+INPUT!$X$3:$X$3000+INPUT!$Y$3:$Y$3000))),"")</f>
        <v>16</v>
      </c>
      <c r="Z18" s="42" cm="1">
        <f t="array" ref="Z18">IFERROR(IF(SUMPRODUCT((INPUT!$T$3:$T$3000=45899)*(INPUT!$U$3:$U$3000="RAYA"))=0,"",SUMPRODUCT((INPUT!$T$3:$T$3000=45899)*(INPUT!$U$3:$U$3000="RAYA")*(INPUT!$V$3:$V$3000+INPUT!$W$3:$W$3000+INPUT!$X$3:$X$3000+INPUT!$Y$3:$Y$3000))),"")</f>
        <v>18</v>
      </c>
      <c r="AA18" s="42" cm="1">
        <f t="array" ref="AA18">IFERROR(IF(SUMPRODUCT((INPUT!$T$3:$T$3000=45900)*(INPUT!$U$3:$U$3000="RAYA"))=0,"",SUMPRODUCT((INPUT!$T$3:$T$3000=45900)*(INPUT!$U$3:$U$3000="RAYA")*(INPUT!$V$3:$V$3000+INPUT!$W$3:$W$3000+INPUT!$X$3:$X$3000+INPUT!$Y$3:$Y$3000))),"")</f>
        <v>19</v>
      </c>
      <c r="AB18" s="42" cm="1">
        <f t="array" ref="AB18">IFERROR(IF(SUMPRODUCT((INPUT!$T$3:$T$3000=45902)*(INPUT!$U$3:$U$3000="RAYA"))=0,"",SUMPRODUCT((INPUT!$T$3:$T$3000=45902)*(INPUT!$U$3:$U$3000="RAYA")*(INPUT!$V$3:$V$3000+INPUT!$W$3:$W$3000+INPUT!$X$3:$X$3000+INPUT!$Y$3:$Y$3000))),"")</f>
        <v>16</v>
      </c>
      <c r="AC18" s="42" cm="1">
        <f t="array" ref="AC18">IFERROR(IF(SUMPRODUCT((INPUT!$T$3:$T$3000=45903)*(INPUT!$U$3:$U$3000="RAYA"))=0,"",SUMPRODUCT((INPUT!$T$3:$T$3000=45903)*(INPUT!$U$3:$U$3000="RAYA")*(INPUT!$V$3:$V$3000+INPUT!$W$3:$W$3000+INPUT!$X$3:$X$3000+INPUT!$Y$3:$Y$3000))),"")</f>
        <v>16</v>
      </c>
      <c r="AD18" s="42" cm="1">
        <f t="array" ref="AD18">IFERROR(IF(SUMPRODUCT((INPUT!$T$3:$T$3000=45904)*(INPUT!$U$3:$U$3000="RAYA"))=0,"",SUMPRODUCT((INPUT!$T$3:$T$3000=45904)*(INPUT!$U$3:$U$3000="RAYA")*(INPUT!$V$3:$V$3000+INPUT!$W$3:$W$3000+INPUT!$X$3:$X$3000+INPUT!$Y$3:$Y$3000))),"")</f>
        <v>16</v>
      </c>
      <c r="AE18" s="42" cm="1">
        <f t="array" ref="AE18">IFERROR(IF(SUMPRODUCT((INPUT!$T$3:$T$3000=45905)*(INPUT!$U$3:$U$3000="RAYA"))=0,"",SUMPRODUCT((INPUT!$T$3:$T$3000=45905)*(INPUT!$U$3:$U$3000="RAYA")*(INPUT!$V$3:$V$3000+INPUT!$W$3:$W$3000+INPUT!$X$3:$X$3000+INPUT!$Y$3:$Y$3000))),"")</f>
        <v>18</v>
      </c>
      <c r="AF18" s="42" cm="1">
        <f t="array" ref="AF18">IFERROR(IF(SUMPRODUCT((INPUT!$T$3:$T$3000=45906)*(INPUT!$U$3:$U$3000="RAYA"))=0,"",SUMPRODUCT((INPUT!$T$3:$T$3000=45906)*(INPUT!$U$3:$U$3000="RAYA")*(INPUT!$V$3:$V$3000+INPUT!$W$3:$W$3000+INPUT!$X$3:$X$3000+INPUT!$Y$3:$Y$3000))),"")</f>
        <v>20</v>
      </c>
      <c r="AG18" s="42" cm="1">
        <f t="array" ref="AG18">IFERROR(IF(SUMPRODUCT((INPUT!$T$3:$T$3000=45908)*(INPUT!$U$3:$U$3000="RAYA"))=0,"",SUMPRODUCT((INPUT!$T$3:$T$3000=45908)*(INPUT!$U$3:$U$3000="RAYA")*(INPUT!$V$3:$V$3000+INPUT!$W$3:$W$3000+INPUT!$X$3:$X$3000+INPUT!$Y$3:$Y$3000))),"")</f>
        <v>17</v>
      </c>
      <c r="AH18" s="42" cm="1">
        <f t="array" ref="AH18">IFERROR(IF(SUMPRODUCT((INPUT!$T$3:$T$3000=45909)*(INPUT!$U$3:$U$3000="RAYA"))=0,"",SUMPRODUCT((INPUT!$T$3:$T$3000=45909)*(INPUT!$U$3:$U$3000="RAYA")*(INPUT!$V$3:$V$3000+INPUT!$W$3:$W$3000+INPUT!$X$3:$X$3000+INPUT!$Y$3:$Y$3000))),"")</f>
        <v>20</v>
      </c>
      <c r="AI18" s="42" cm="1">
        <f t="array" ref="AI18">IFERROR(IF(SUMPRODUCT((INPUT!$T$3:$T$3000=45911)*(INPUT!$U$3:$U$3000="RAYA"))=0,"",SUMPRODUCT((INPUT!$T$3:$T$3000=45911)*(INPUT!$U$3:$U$3000="RAYA")*(INPUT!$V$3:$V$3000+INPUT!$W$3:$W$3000+INPUT!$X$3:$X$3000+INPUT!$Y$3:$Y$3000))),"")</f>
        <v>18</v>
      </c>
      <c r="AJ18" s="42" cm="1">
        <f t="array" ref="AJ18">IFERROR(IF(SUMPRODUCT((INPUT!$T$3:$T$3000=45912)*(INPUT!$U$3:$U$3000="RAYA"))=0,"",SUMPRODUCT((INPUT!$T$3:$T$3000=45912)*(INPUT!$U$3:$U$3000="RAYA")*(INPUT!$V$3:$V$3000+INPUT!$W$3:$W$3000+INPUT!$X$3:$X$3000+INPUT!$Y$3:$Y$3000))),"")</f>
        <v>19</v>
      </c>
      <c r="AK18" s="42" cm="1">
        <f t="array" ref="AK18">IFERROR(IF(SUMPRODUCT((INPUT!$T$3:$T$3000=45913)*(INPUT!$U$3:$U$3000="RAYA"))=0,"",SUMPRODUCT((INPUT!$T$3:$T$3000=45913)*(INPUT!$U$3:$U$3000="RAYA")*(INPUT!$V$3:$V$3000+INPUT!$W$3:$W$3000+INPUT!$X$3:$X$3000+INPUT!$Y$3:$Y$3000))),"")</f>
        <v>20</v>
      </c>
      <c r="AL18" s="42" cm="1">
        <f t="array" ref="AL18">IFERROR(IF(SUMPRODUCT((INPUT!$T$3:$T$3000=45915)*(INPUT!$U$3:$U$3000="RAYA"))=0,"",SUMPRODUCT((INPUT!$T$3:$T$3000=45915)*(INPUT!$U$3:$U$3000="RAYA")*(INPUT!$V$3:$V$3000+INPUT!$W$3:$W$3000+INPUT!$X$3:$X$3000+INPUT!$Y$3:$Y$3000))),"")</f>
        <v>17</v>
      </c>
      <c r="AM18" s="42" cm="1">
        <f t="array" ref="AM18">IFERROR(IF(SUMPRODUCT((INPUT!$T$3:$T$3000=45916)*(INPUT!$U$3:$U$3000="RAYA"))=0,"",SUMPRODUCT((INPUT!$T$3:$T$3000=45916)*(INPUT!$U$3:$U$3000="RAYA")*(INPUT!$V$3:$V$3000+INPUT!$W$3:$W$3000+INPUT!$X$3:$X$3000+INPUT!$Y$3:$Y$3000))),"")</f>
        <v>16</v>
      </c>
      <c r="AN18" s="42" cm="1">
        <f t="array" ref="AN18">IFERROR(IF(SUMPRODUCT((INPUT!$T$3:$T$3000=45917)*(INPUT!$U$3:$U$3000="RAYA"))=0,"",SUMPRODUCT((INPUT!$T$3:$T$3000=45917)*(INPUT!$U$3:$U$3000="RAYA")*(INPUT!$V$3:$V$3000+INPUT!$W$3:$W$3000+INPUT!$X$3:$X$3000+INPUT!$Y$3:$Y$3000))),"")</f>
        <v>17</v>
      </c>
      <c r="AO18" s="42" cm="1">
        <f t="array" ref="AO18">IFERROR(IF(SUMPRODUCT((INPUT!$T$3:$T$3000=45918)*(INPUT!$U$3:$U$3000="RAYA"))=0,"",SUMPRODUCT((INPUT!$T$3:$T$3000=45918)*(INPUT!$U$3:$U$3000="RAYA")*(INPUT!$V$3:$V$3000+INPUT!$W$3:$W$3000+INPUT!$X$3:$X$3000+INPUT!$Y$3:$Y$3000))),"")</f>
        <v>16</v>
      </c>
      <c r="AP18" s="42" cm="1">
        <f t="array" ref="AP18">IFERROR(IF(SUMPRODUCT((INPUT!$T$3:$T$3000=45919)*(INPUT!$U$3:$U$3000="RAYA"))=0,"",SUMPRODUCT((INPUT!$T$3:$T$3000=45919)*(INPUT!$U$3:$U$3000="RAYA")*(INPUT!$V$3:$V$3000+INPUT!$W$3:$W$3000+INPUT!$X$3:$X$3000+INPUT!$Y$3:$Y$3000))),"")</f>
        <v>16</v>
      </c>
      <c r="AQ18" s="42" cm="1">
        <f t="array" ref="AQ18">IFERROR(IF(SUMPRODUCT((INPUT!$T$3:$T$3000=45922)*(INPUT!$U$3:$U$3000="RAYA"))=0,"",SUMPRODUCT((INPUT!$T$3:$T$3000=45922)*(INPUT!$U$3:$U$3000="RAYA")*(INPUT!$V$3:$V$3000+INPUT!$W$3:$W$3000+INPUT!$X$3:$X$3000+INPUT!$Y$3:$Y$3000))),"")</f>
        <v>18</v>
      </c>
      <c r="AR18" s="42" cm="1">
        <f t="array" ref="AR18">IFERROR(IF(SUMPRODUCT((INPUT!$T$3:$T$3000=45923)*(INPUT!$U$3:$U$3000="RAYA"))=0,"",SUMPRODUCT((INPUT!$T$3:$T$3000=45923)*(INPUT!$U$3:$U$3000="RAYA")*(INPUT!$V$3:$V$3000+INPUT!$W$3:$W$3000+INPUT!$X$3:$X$3000+INPUT!$Y$3:$Y$3000))),"")</f>
        <v>17</v>
      </c>
      <c r="AS18" s="42" cm="1">
        <f t="array" ref="AS18">IFERROR(IF(SUMPRODUCT((INPUT!$T$3:$T$3000=45924)*(INPUT!$U$3:$U$3000="RAYA"))=0,"",SUMPRODUCT((INPUT!$T$3:$T$3000=45924)*(INPUT!$U$3:$U$3000="RAYA")*(INPUT!$V$3:$V$3000+INPUT!$W$3:$W$3000+INPUT!$X$3:$X$3000+INPUT!$Y$3:$Y$3000))),"")</f>
        <v>17</v>
      </c>
      <c r="AT18" s="42" cm="1">
        <f t="array" ref="AT18">IFERROR(IF(SUMPRODUCT((INPUT!$T$3:$T$3000=45925)*(INPUT!$U$3:$U$3000="RAYA"))=0,"",SUMPRODUCT((INPUT!$T$3:$T$3000=45925)*(INPUT!$U$3:$U$3000="RAYA")*(INPUT!$V$3:$V$3000+INPUT!$W$3:$W$3000+INPUT!$X$3:$X$3000+INPUT!$Y$3:$Y$3000))),"")</f>
        <v>15</v>
      </c>
      <c r="AU18" s="42" cm="1">
        <f t="array" ref="AU18">IFERROR(IF(SUMPRODUCT((INPUT!$T$3:$T$3000=45926)*(INPUT!$U$3:$U$3000="RAYA"))=0,"",SUMPRODUCT((INPUT!$T$3:$T$3000=45926)*(INPUT!$U$3:$U$3000="RAYA")*(INPUT!$V$3:$V$3000+INPUT!$W$3:$W$3000+INPUT!$X$3:$X$3000+INPUT!$Y$3:$Y$3000))),"")</f>
        <v>17</v>
      </c>
      <c r="AV18" s="42" cm="1">
        <f t="array" ref="AV18">IFERROR(IF(SUMPRODUCT((INPUT!$T$3:$T$3000=45927)*(INPUT!$U$3:$U$3000="RAYA"))=0,"",SUMPRODUCT((INPUT!$T$3:$T$3000=45927)*(INPUT!$U$3:$U$3000="RAYA")*(INPUT!$V$3:$V$3000+INPUT!$W$3:$W$3000+INPUT!$X$3:$X$3000+INPUT!$Y$3:$Y$3000))),"")</f>
        <v>18</v>
      </c>
      <c r="AW18" s="42" t="str" cm="1">
        <f t="array" ref="AW18">IFERROR(IF(SUMPRODUCT((INPUT!$T$3:$T$3000=45929)*(INPUT!$U$3:$U$3000="RAYA"))=0,"",SUMPRODUCT((INPUT!$T$3:$T$3000=45929)*(INPUT!$U$3:$U$3000="RAYA")*(INPUT!$V$3:$V$3000+INPUT!$W$3:$W$3000+INPUT!$X$3:$X$3000+INPUT!$Y$3:$Y$3000))),"")</f>
        <v/>
      </c>
      <c r="AX18" s="42" cm="1">
        <f t="array" ref="AX18">IFERROR(IF(SUMPRODUCT((INPUT!$T$3:$T$3000=45930)*(INPUT!$U$3:$U$3000="RAYA"))=0,"",SUMPRODUCT((INPUT!$T$3:$T$3000=45930)*(INPUT!$U$3:$U$3000="RAYA")*(INPUT!$V$3:$V$3000+INPUT!$W$3:$W$3000+INPUT!$X$3:$X$3000+INPUT!$Y$3:$Y$3000))),"")</f>
        <v>20</v>
      </c>
      <c r="AY18" s="42" cm="1">
        <f t="array" ref="AY18">IFERROR(IF(SUMPRODUCT((INPUT!$T$3:$T$3000=45931)*(INPUT!$U$3:$U$3000="RAYA"))=0,"",SUMPRODUCT((INPUT!$T$3:$T$3000=45931)*(INPUT!$U$3:$U$3000="RAYA")*(INPUT!$V$3:$V$3000+INPUT!$W$3:$W$3000+INPUT!$X$3:$X$3000+INPUT!$Y$3:$Y$3000))),"")</f>
        <v>17</v>
      </c>
      <c r="AZ18" s="42" cm="1">
        <f t="array" ref="AZ18">IFERROR(IF(SUMPRODUCT((INPUT!$T$3:$T$3000=45932)*(INPUT!$U$3:$U$3000="RAYA"))=0,"",SUMPRODUCT((INPUT!$T$3:$T$3000=45932)*(INPUT!$U$3:$U$3000="RAYA")*(INPUT!$V$3:$V$3000+INPUT!$W$3:$W$3000+INPUT!$X$3:$X$3000+INPUT!$Y$3:$Y$3000))),"")</f>
        <v>17</v>
      </c>
      <c r="BA18" s="42" cm="1">
        <f t="array" ref="BA18">IFERROR(IF(SUMPRODUCT((INPUT!$T$3:$T$3000=45933)*(INPUT!$U$3:$U$3000="RAYA"))=0,"",SUMPRODUCT((INPUT!$T$3:$T$3000=45933)*(INPUT!$U$3:$U$3000="RAYA")*(INPUT!$V$3:$V$3000+INPUT!$W$3:$W$3000+INPUT!$X$3:$X$3000+INPUT!$Y$3:$Y$3000))),"")</f>
        <v>18</v>
      </c>
      <c r="BB18" s="42" cm="1">
        <f t="array" ref="BB18">IFERROR(IF(SUMPRODUCT((INPUT!$T$3:$T$3000=45934)*(INPUT!$U$3:$U$3000="RAYA"))=0,"",SUMPRODUCT((INPUT!$T$3:$T$3000=45934)*(INPUT!$U$3:$U$3000="RAYA")*(INPUT!$V$3:$V$3000+INPUT!$W$3:$W$3000+INPUT!$X$3:$X$3000+INPUT!$Y$3:$Y$3000))),"")</f>
        <v>19</v>
      </c>
      <c r="BC18" s="42" cm="1">
        <f t="array" ref="BC18">IFERROR(IF(SUMPRODUCT((INPUT!$T$3:$T$3000=45936)*(INPUT!$U$3:$U$3000="RAYA"))=0,"",SUMPRODUCT((INPUT!$T$3:$T$3000=45936)*(INPUT!$U$3:$U$3000="RAYA")*(INPUT!$V$3:$V$3000+INPUT!$W$3:$W$3000+INPUT!$X$3:$X$3000+INPUT!$Y$3:$Y$3000))),"")</f>
        <v>19</v>
      </c>
      <c r="BD18" s="42" cm="1">
        <f t="array" ref="BD18">IFERROR(IF(SUMPRODUCT((INPUT!$T$3:$T$3000=45937)*(INPUT!$U$3:$U$3000="RAYA"))=0,"",SUMPRODUCT((INPUT!$T$3:$T$3000=45937)*(INPUT!$U$3:$U$3000="RAYA")*(INPUT!$V$3:$V$3000+INPUT!$W$3:$W$3000+INPUT!$X$3:$X$3000+INPUT!$Y$3:$Y$3000))),"")</f>
        <v>17</v>
      </c>
      <c r="BE18" s="42" cm="1">
        <f t="array" ref="BE18">IFERROR(IF(SUMPRODUCT((INPUT!$T$3:$T$3000=45938)*(INPUT!$U$3:$U$3000="RAYA"))=0,"",SUMPRODUCT((INPUT!$T$3:$T$3000=45938)*(INPUT!$U$3:$U$3000="RAYA")*(INPUT!$V$3:$V$3000+INPUT!$W$3:$W$3000+INPUT!$X$3:$X$3000+INPUT!$Y$3:$Y$3000))),"")</f>
        <v>19</v>
      </c>
      <c r="BF18" s="42" cm="1">
        <f t="array" ref="BF18">IFERROR(IF(SUMPRODUCT((INPUT!$T$3:$T$3000=45940)*(INPUT!$U$3:$U$3000="RAYA"))=0,"",SUMPRODUCT((INPUT!$T$3:$T$3000=45940)*(INPUT!$U$3:$U$3000="RAYA")*(INPUT!$V$3:$V$3000+INPUT!$W$3:$W$3000+INPUT!$X$3:$X$3000+INPUT!$Y$3:$Y$3000))),"")</f>
        <v>16</v>
      </c>
      <c r="BG18" s="42" cm="1">
        <f t="array" ref="BG18">IFERROR(IF(SUMPRODUCT((INPUT!$T$3:$T$3000=45941)*(INPUT!$U$3:$U$3000="RAYA"))=0,"",SUMPRODUCT((INPUT!$T$3:$T$3000=45941)*(INPUT!$U$3:$U$3000="RAYA")*(INPUT!$V$3:$V$3000+INPUT!$W$3:$W$3000+INPUT!$X$3:$X$3000+INPUT!$Y$3:$Y$3000))),"")</f>
        <v>17</v>
      </c>
      <c r="BH18" s="42" cm="1">
        <f t="array" ref="BH18">IFERROR(IF(SUMPRODUCT((INPUT!$T$3:$T$3000=45942)*(INPUT!$U$3:$U$3000="RAYA"))=0,"",SUMPRODUCT((INPUT!$T$3:$T$3000=45942)*(INPUT!$U$3:$U$3000="RAYA")*(INPUT!$V$3:$V$3000+INPUT!$W$3:$W$3000+INPUT!$X$3:$X$3000+INPUT!$Y$3:$Y$3000))),"")</f>
        <v>20</v>
      </c>
      <c r="BI18" s="42" cm="1">
        <f t="array" ref="BI18">IFERROR(IF(SUMPRODUCT((INPUT!$T$3:$T$3000=45945)*(INPUT!$U$3:$U$3000="RAYA"))=0,"",SUMPRODUCT((INPUT!$T$3:$T$3000=45945)*(INPUT!$U$3:$U$3000="RAYA")*(INPUT!$V$3:$V$3000+INPUT!$W$3:$W$3000+INPUT!$X$3:$X$3000+INPUT!$Y$3:$Y$3000))),"")</f>
        <v>17</v>
      </c>
      <c r="BJ18" s="42" cm="1">
        <f t="array" ref="BJ18">IFERROR(IF(SUMPRODUCT((INPUT!$T$3:$T$3000=45946)*(INPUT!$U$3:$U$3000="RAYA"))=0,"",SUMPRODUCT((INPUT!$T$3:$T$3000=45946)*(INPUT!$U$3:$U$3000="RAYA")*(INPUT!$V$3:$V$3000+INPUT!$W$3:$W$3000+INPUT!$X$3:$X$3000+INPUT!$Y$3:$Y$3000))),"")</f>
        <v>15</v>
      </c>
      <c r="BK18" s="42" cm="1">
        <f t="array" ref="BK18">IFERROR(IF(SUMPRODUCT((INPUT!$T$3:$T$3000=45947)*(INPUT!$U$3:$U$3000="RAYA"))=0,"",SUMPRODUCT((INPUT!$T$3:$T$3000=45947)*(INPUT!$U$3:$U$3000="RAYA")*(INPUT!$V$3:$V$3000+INPUT!$W$3:$W$3000+INPUT!$X$3:$X$3000+INPUT!$Y$3:$Y$3000))),"")</f>
        <v>15</v>
      </c>
      <c r="BL18" s="42" cm="1">
        <f t="array" ref="BL18">IFERROR(IF(SUMPRODUCT((INPUT!$T$3:$T$3000=45950)*(INPUT!$U$3:$U$3000="RAYA"))=0,"",SUMPRODUCT((INPUT!$T$3:$T$3000=45950)*(INPUT!$U$3:$U$3000="RAYA")*(INPUT!$V$3:$V$3000+INPUT!$W$3:$W$3000+INPUT!$X$3:$X$3000+INPUT!$Y$3:$Y$3000))),"")</f>
        <v>18</v>
      </c>
      <c r="BM18" s="42" cm="1">
        <f t="array" ref="BM18">IFERROR(IF(SUMPRODUCT((INPUT!$T$3:$T$3000=45951)*(INPUT!$U$3:$U$3000="RAYA"))=0,"",SUMPRODUCT((INPUT!$T$3:$T$3000=45951)*(INPUT!$U$3:$U$3000="RAYA")*(INPUT!$V$3:$V$3000+INPUT!$W$3:$W$3000+INPUT!$X$3:$X$3000+INPUT!$Y$3:$Y$3000))),"")</f>
        <v>18</v>
      </c>
      <c r="BN18" s="42" cm="1">
        <f t="array" ref="BN18">IFERROR(IF(SUMPRODUCT((INPUT!$T$3:$T$3000=45952)*(INPUT!$U$3:$U$3000="RAYA"))=0,"",SUMPRODUCT((INPUT!$T$3:$T$3000=45952)*(INPUT!$U$3:$U$3000="RAYA")*(INPUT!$V$3:$V$3000+INPUT!$W$3:$W$3000+INPUT!$X$3:$X$3000+INPUT!$Y$3:$Y$3000))),"")</f>
        <v>18</v>
      </c>
      <c r="BO18" s="42" cm="1">
        <f t="array" ref="BO18">IFERROR(IF(SUMPRODUCT((INPUT!$T$3:$T$3000=45953)*(INPUT!$U$3:$U$3000="RAYA"))=0,"",SUMPRODUCT((INPUT!$T$3:$T$3000=45953)*(INPUT!$U$3:$U$3000="RAYA")*(INPUT!$V$3:$V$3000+INPUT!$W$3:$W$3000+INPUT!$X$3:$X$3000+INPUT!$Y$3:$Y$3000))),"")</f>
        <v>17</v>
      </c>
      <c r="BP18" s="42" cm="1">
        <f t="array" ref="BP18">IFERROR(IF(SUMPRODUCT((INPUT!$T$3:$T$3000=45954)*(INPUT!$U$3:$U$3000="RAYA"))=0,"",SUMPRODUCT((INPUT!$T$3:$T$3000=45954)*(INPUT!$U$3:$U$3000="RAYA")*(INPUT!$V$3:$V$3000+INPUT!$W$3:$W$3000+INPUT!$X$3:$X$3000+INPUT!$Y$3:$Y$3000))),"")</f>
        <v>18</v>
      </c>
      <c r="BQ18" s="42" cm="1">
        <f t="array" ref="BQ18">IFERROR(IF(SUMPRODUCT((INPUT!$T$3:$T$3000=45955)*(INPUT!$U$3:$U$3000="RAYA"))=0,"",SUMPRODUCT((INPUT!$T$3:$T$3000=45955)*(INPUT!$U$3:$U$3000="RAYA")*(INPUT!$V$3:$V$3000+INPUT!$W$3:$W$3000+INPUT!$X$3:$X$3000+INPUT!$Y$3:$Y$3000))),"")</f>
        <v>19</v>
      </c>
      <c r="BR18" s="42" cm="1">
        <f t="array" ref="BR18">IFERROR(IF(SUMPRODUCT((INPUT!$T$3:$T$3000=45958)*(INPUT!$U$3:$U$3000="RAYA"))=0,"",SUMPRODUCT((INPUT!$T$3:$T$3000=45958)*(INPUT!$U$3:$U$3000="RAYA")*(INPUT!$V$3:$V$3000+INPUT!$W$3:$W$3000+INPUT!$X$3:$X$3000+INPUT!$Y$3:$Y$3000))),"")</f>
        <v>19</v>
      </c>
      <c r="BS18" s="42" cm="1">
        <f t="array" ref="BS18">IFERROR(IF(SUMPRODUCT((INPUT!$T$3:$T$3000=45959)*(INPUT!$U$3:$U$3000="RAYA"))=0,"",SUMPRODUCT((INPUT!$T$3:$T$3000=45959)*(INPUT!$U$3:$U$3000="RAYA")*(INPUT!$V$3:$V$3000+INPUT!$W$3:$W$3000+INPUT!$X$3:$X$3000+INPUT!$Y$3:$Y$3000))),"")</f>
        <v>16</v>
      </c>
      <c r="BT18" s="42" cm="1">
        <f t="array" ref="BT18">IFERROR(IF(SUMPRODUCT((INPUT!$T$3:$T$3000=45960)*(INPUT!$U$3:$U$3000="RAYA"))=0,"",SUMPRODUCT((INPUT!$T$3:$T$3000=45960)*(INPUT!$U$3:$U$3000="RAYA")*(INPUT!$V$3:$V$3000+INPUT!$W$3:$W$3000+INPUT!$X$3:$X$3000+INPUT!$Y$3:$Y$3000))),"")</f>
        <v>18</v>
      </c>
      <c r="BU18" s="42" cm="1">
        <f t="array" ref="BU18">IFERROR(IF(SUMPRODUCT((INPUT!$T$3:$T$3000=45961)*(INPUT!$U$3:$U$3000="RAYA"))=0,"",SUMPRODUCT((INPUT!$T$3:$T$3000=45961)*(INPUT!$U$3:$U$3000="RAYA")*(INPUT!$V$3:$V$3000+INPUT!$W$3:$W$3000+INPUT!$X$3:$X$3000+INPUT!$Y$3:$Y$3000))),"")</f>
        <v>18</v>
      </c>
      <c r="BV18" s="42" cm="1">
        <f t="array" ref="BV18">IFERROR(IF(SUMPRODUCT((INPUT!$T$3:$T$3000=45964)*(INPUT!$U$3:$U$3000="RAYA"))=0,"",SUMPRODUCT((INPUT!$T$3:$T$3000=45964)*(INPUT!$U$3:$U$3000="RAYA")*(INPUT!$V$3:$V$3000+INPUT!$W$3:$W$3000+INPUT!$X$3:$X$3000+INPUT!$Y$3:$Y$3000))),"")</f>
        <v>17</v>
      </c>
      <c r="BW18" s="42" cm="1">
        <f t="array" ref="BW18">IFERROR(IF(SUMPRODUCT((INPUT!$T$3:$T$3000=45965)*(INPUT!$U$3:$U$3000="RAYA"))=0,"",SUMPRODUCT((INPUT!$T$3:$T$3000=45965)*(INPUT!$U$3:$U$3000="RAYA")*(INPUT!$V$3:$V$3000+INPUT!$W$3:$W$3000+INPUT!$X$3:$X$3000+INPUT!$Y$3:$Y$3000))),"")</f>
        <v>18</v>
      </c>
      <c r="BX18" s="42" cm="1">
        <f t="array" ref="BX18">IFERROR(IF(SUMPRODUCT((INPUT!$T$3:$T$3000=45966)*(INPUT!$U$3:$U$3000="RAYA"))=0,"",SUMPRODUCT((INPUT!$T$3:$T$3000=45966)*(INPUT!$U$3:$U$3000="RAYA")*(INPUT!$V$3:$V$3000+INPUT!$W$3:$W$3000+INPUT!$X$3:$X$3000+INPUT!$Y$3:$Y$3000))),"")</f>
        <v>16</v>
      </c>
      <c r="BY18" s="42" cm="1">
        <f t="array" ref="BY18">IFERROR(IF(SUMPRODUCT((INPUT!$T$3:$T$3000=45967)*(INPUT!$U$3:$U$3000="RAYA"))=0,"",SUMPRODUCT((INPUT!$T$3:$T$3000=45967)*(INPUT!$U$3:$U$3000="RAYA")*(INPUT!$V$3:$V$3000+INPUT!$W$3:$W$3000+INPUT!$X$3:$X$3000+INPUT!$Y$3:$Y$3000))),"")</f>
        <v>18</v>
      </c>
      <c r="BZ18" s="42" cm="1">
        <f t="array" ref="BZ18">IFERROR(IF(SUMPRODUCT((INPUT!$T$3:$T$3000=45968)*(INPUT!$U$3:$U$3000="RAYA"))=0,"",SUMPRODUCT((INPUT!$T$3:$T$3000=45968)*(INPUT!$U$3:$U$3000="RAYA")*(INPUT!$V$3:$V$3000+INPUT!$W$3:$W$3000+INPUT!$X$3:$X$3000+INPUT!$Y$3:$Y$3000))),"")</f>
        <v>18</v>
      </c>
      <c r="CA18" s="42" t="str" cm="1">
        <f t="array" ref="CA18">IFERROR(IF(SUMPRODUCT((INPUT!$T$3:$T$3000=45971)*(INPUT!$U$3:$U$3000="RAYA"))=0,"",SUMPRODUCT((INPUT!$T$3:$T$3000=45971)*(INPUT!$U$3:$U$3000="RAYA")*(INPUT!$V$3:$V$3000+INPUT!$W$3:$W$3000+INPUT!$X$3:$X$3000+INPUT!$Y$3:$Y$3000))),"")</f>
        <v/>
      </c>
      <c r="CB18" s="42" t="str" cm="1">
        <f t="array" ref="CB18">IFERROR(IF(SUMPRODUCT((INPUT!$T$3:$T$3000=45972)*(INPUT!$U$3:$U$3000="RAYA"))=0,"",SUMPRODUCT((INPUT!$T$3:$T$3000=45972)*(INPUT!$U$3:$U$3000="RAYA")*(INPUT!$V$3:$V$3000+INPUT!$W$3:$W$3000+INPUT!$X$3:$X$3000+INPUT!$Y$3:$Y$3000))),"")</f>
        <v/>
      </c>
      <c r="CC18" s="42" cm="1">
        <f t="array" ref="CC18">IFERROR(IF(SUMPRODUCT((INPUT!$T$3:$T$3000=45974)*(INPUT!$U$3:$U$3000="RAYA"))=0,"",SUMPRODUCT((INPUT!$T$3:$T$3000=45974)*(INPUT!$U$3:$U$3000="RAYA")*(INPUT!$V$3:$V$3000+INPUT!$W$3:$W$3000+INPUT!$X$3:$X$3000+INPUT!$Y$3:$Y$3000))),"")</f>
        <v>18</v>
      </c>
      <c r="CD18" s="42" cm="1">
        <f t="array" ref="CD18">IFERROR(IF(SUMPRODUCT((INPUT!$T$3:$T$3000=45975)*(INPUT!$U$3:$U$3000="RAYA"))=0,"",SUMPRODUCT((INPUT!$T$3:$T$3000=45975)*(INPUT!$U$3:$U$3000="RAYA")*(INPUT!$V$3:$V$3000+INPUT!$W$3:$W$3000+INPUT!$X$3:$X$3000+INPUT!$Y$3:$Y$3000))),"")</f>
        <v>18</v>
      </c>
      <c r="CE18" s="42" cm="1">
        <f t="array" ref="CE18">IFERROR(IF(SUMPRODUCT((INPUT!$T$3:$T$3000=45976)*(INPUT!$U$3:$U$3000="RAYA"))=0,"",SUMPRODUCT((INPUT!$T$3:$T$3000=45976)*(INPUT!$U$3:$U$3000="RAYA")*(INPUT!$V$3:$V$3000+INPUT!$W$3:$W$3000+INPUT!$X$3:$X$3000+INPUT!$Y$3:$Y$3000))),"")</f>
        <v>18</v>
      </c>
      <c r="CF18" s="42" cm="1">
        <f t="array" ref="CF18">IFERROR(IF(SUMPRODUCT((INPUT!$T$3:$T$3000=45978)*(INPUT!$U$3:$U$3000="RAYA"))=0,"",SUMPRODUCT((INPUT!$T$3:$T$3000=45978)*(INPUT!$U$3:$U$3000="RAYA")*(INPUT!$V$3:$V$3000+INPUT!$W$3:$W$3000+INPUT!$X$3:$X$3000+INPUT!$Y$3:$Y$3000))),"")</f>
        <v>18</v>
      </c>
      <c r="CG18" s="42" cm="1">
        <f t="array" ref="CG18">IFERROR(IF(SUMPRODUCT((INPUT!$T$3:$T$3000=45979)*(INPUT!$U$3:$U$3000="RAYA"))=0,"",SUMPRODUCT((INPUT!$T$3:$T$3000=45979)*(INPUT!$U$3:$U$3000="RAYA")*(INPUT!$V$3:$V$3000+INPUT!$W$3:$W$3000+INPUT!$X$3:$X$3000+INPUT!$Y$3:$Y$3000))),"")</f>
        <v>16</v>
      </c>
      <c r="CH18" s="42" cm="1">
        <f t="array" ref="CH18">IFERROR(IF(SUMPRODUCT((INPUT!$T$3:$T$3000=45980)*(INPUT!$U$3:$U$3000="RAYA"))=0,"",SUMPRODUCT((INPUT!$T$3:$T$3000=45980)*(INPUT!$U$3:$U$3000="RAYA")*(INPUT!$V$3:$V$3000+INPUT!$W$3:$W$3000+INPUT!$X$3:$X$3000+INPUT!$Y$3:$Y$3000))),"")</f>
        <v>16</v>
      </c>
      <c r="CI18" s="42" cm="1">
        <f t="array" ref="CI18">IFERROR(IF(SUMPRODUCT((INPUT!$T$3:$T$3000=45982)*(INPUT!$U$3:$U$3000="RAYA"))=0,"",SUMPRODUCT((INPUT!$T$3:$T$3000=45982)*(INPUT!$U$3:$U$3000="RAYA")*(INPUT!$V$3:$V$3000+INPUT!$W$3:$W$3000+INPUT!$X$3:$X$3000+INPUT!$Y$3:$Y$3000))),"")</f>
        <v>18</v>
      </c>
      <c r="CJ18" s="42" cm="1">
        <f t="array" ref="CJ18">IFERROR(IF(SUMPRODUCT((INPUT!$T$3:$T$3000=45983)*(INPUT!$U$3:$U$3000="RAYA"))=0,"",SUMPRODUCT((INPUT!$T$3:$T$3000=45983)*(INPUT!$U$3:$U$3000="RAYA")*(INPUT!$V$3:$V$3000+INPUT!$W$3:$W$3000+INPUT!$X$3:$X$3000+INPUT!$Y$3:$Y$3000))),"")</f>
        <v>18</v>
      </c>
      <c r="CK18" s="42" cm="1">
        <f t="array" ref="CK18">IFERROR(IF(SUMPRODUCT((INPUT!$T$3:$T$3000=45985)*(INPUT!$U$3:$U$3000="RAYA"))=0,"",SUMPRODUCT((INPUT!$T$3:$T$3000=45985)*(INPUT!$U$3:$U$3000="RAYA")*(INPUT!$V$3:$V$3000+INPUT!$W$3:$W$3000+INPUT!$X$3:$X$3000+INPUT!$Y$3:$Y$3000))),"")</f>
        <v>18</v>
      </c>
      <c r="CL18" s="42" cm="1">
        <f t="array" ref="CL18">IFERROR(IF(SUMPRODUCT((INPUT!$T$3:$T$3000=45986)*(INPUT!$U$3:$U$3000="RAYA"))=0,"",SUMPRODUCT((INPUT!$T$3:$T$3000=45986)*(INPUT!$U$3:$U$3000="RAYA")*(INPUT!$V$3:$V$3000+INPUT!$W$3:$W$3000+INPUT!$X$3:$X$3000+INPUT!$Y$3:$Y$3000))),"")</f>
        <v>17</v>
      </c>
      <c r="CM18" s="42" cm="1">
        <f t="array" ref="CM18">IFERROR(IF(SUMPRODUCT((INPUT!$T$3:$T$3000=45987)*(INPUT!$U$3:$U$3000="RAYA"))=0,"",SUMPRODUCT((INPUT!$T$3:$T$3000=45987)*(INPUT!$U$3:$U$3000="RAYA")*(INPUT!$V$3:$V$3000+INPUT!$W$3:$W$3000+INPUT!$X$3:$X$3000+INPUT!$Y$3:$Y$3000))),"")</f>
        <v>18</v>
      </c>
      <c r="CN18" s="42" cm="1">
        <f t="array" ref="CN18">IFERROR(IF(SUMPRODUCT((INPUT!$T$3:$T$3000=45988)*(INPUT!$U$3:$U$3000="RAYA"))=0,"",SUMPRODUCT((INPUT!$T$3:$T$3000=45988)*(INPUT!$U$3:$U$3000="RAYA")*(INPUT!$V$3:$V$3000+INPUT!$W$3:$W$3000+INPUT!$X$3:$X$3000+INPUT!$Y$3:$Y$3000))),"")</f>
        <v>18</v>
      </c>
      <c r="CO18" s="42" cm="1">
        <f t="array" ref="CO18">IFERROR(IF(SUMPRODUCT((INPUT!$T$3:$T$3000=45989)*(INPUT!$U$3:$U$3000="RAYA"))=0,"",SUMPRODUCT((INPUT!$T$3:$T$3000=45989)*(INPUT!$U$3:$U$3000="RAYA")*(INPUT!$V$3:$V$3000+INPUT!$W$3:$W$3000+INPUT!$X$3:$X$3000+INPUT!$Y$3:$Y$3000))),"")</f>
        <v>18</v>
      </c>
      <c r="CP18" s="42" cm="1">
        <f t="array" ref="CP18">IFERROR(IF(SUMPRODUCT((INPUT!$T$3:$T$3000=45992)*(INPUT!$U$3:$U$3000="RAYA"))=0,"",SUMPRODUCT((INPUT!$T$3:$T$3000=45992)*(INPUT!$U$3:$U$3000="RAYA")*(INPUT!$V$3:$V$3000+INPUT!$W$3:$W$3000+INPUT!$X$3:$X$3000+INPUT!$Y$3:$Y$3000))),"")</f>
        <v>16</v>
      </c>
      <c r="CQ18" s="42" cm="1">
        <f t="array" ref="CQ18">IFERROR(IF(SUMPRODUCT((INPUT!$T$3:$T$3000=45993)*(INPUT!$U$3:$U$3000="RAYA"))=0,"",SUMPRODUCT((INPUT!$T$3:$T$3000=45993)*(INPUT!$U$3:$U$3000="RAYA")*(INPUT!$V$3:$V$3000+INPUT!$W$3:$W$3000+INPUT!$X$3:$X$3000+INPUT!$Y$3:$Y$3000))),"")</f>
        <v>15</v>
      </c>
      <c r="CR18" s="42" cm="1">
        <f t="array" ref="CR18">IFERROR(IF(SUMPRODUCT((INPUT!$T$3:$T$3000=45994)*(INPUT!$U$3:$U$3000="RAYA"))=0,"",SUMPRODUCT((INPUT!$T$3:$T$3000=45994)*(INPUT!$U$3:$U$3000="RAYA")*(INPUT!$V$3:$V$3000+INPUT!$W$3:$W$3000+INPUT!$X$3:$X$3000+INPUT!$Y$3:$Y$3000))),"")</f>
        <v>18</v>
      </c>
      <c r="CS18" s="42" cm="1">
        <f t="array" ref="CS18">IFERROR(IF(SUMPRODUCT((INPUT!$T$3:$T$3000=45995)*(INPUT!$U$3:$U$3000="RAYA"))=0,"",SUMPRODUCT((INPUT!$T$3:$T$3000=45995)*(INPUT!$U$3:$U$3000="RAYA")*(INPUT!$V$3:$V$3000+INPUT!$W$3:$W$3000+INPUT!$X$3:$X$3000+INPUT!$Y$3:$Y$3000))),"")</f>
        <v>18</v>
      </c>
      <c r="CT18" s="42" cm="1">
        <f t="array" ref="CT18">IFERROR(IF(SUMPRODUCT((INPUT!$T$3:$T$3000=45996)*(INPUT!$U$3:$U$3000="RAYA"))=0,"",SUMPRODUCT((INPUT!$T$3:$T$3000=45996)*(INPUT!$U$3:$U$3000="RAYA")*(INPUT!$V$3:$V$3000+INPUT!$W$3:$W$3000+INPUT!$X$3:$X$3000+INPUT!$Y$3:$Y$3000))),"")</f>
        <v>18</v>
      </c>
      <c r="CU18" s="42" cm="1">
        <f t="array" ref="CU18">IFERROR(IF(SUMPRODUCT((INPUT!$T$3:$T$3000=45997)*(INPUT!$U$3:$U$3000="RAYA"))=0,"",SUMPRODUCT((INPUT!$T$3:$T$3000=45997)*(INPUT!$U$3:$U$3000="RAYA")*(INPUT!$V$3:$V$3000+INPUT!$W$3:$W$3000+INPUT!$X$3:$X$3000+INPUT!$Y$3:$Y$3000))),"")</f>
        <v>18</v>
      </c>
      <c r="CV18" s="42" cm="1">
        <f t="array" ref="CV18">IFERROR(IF(SUMPRODUCT((INPUT!$T$3:$T$3000=45999)*(INPUT!$U$3:$U$3000="RAYA"))=0,"",SUMPRODUCT((INPUT!$T$3:$T$3000=45999)*(INPUT!$U$3:$U$3000="RAYA")*(INPUT!$V$3:$V$3000+INPUT!$W$3:$W$3000+INPUT!$X$3:$X$3000+INPUT!$Y$3:$Y$3000))),"")</f>
        <v>18</v>
      </c>
      <c r="CW18" s="42" cm="1">
        <f t="array" ref="CW18">IFERROR(IF(SUMPRODUCT((INPUT!$T$3:$T$3000=46000)*(INPUT!$U$3:$U$3000="RAYA"))=0,"",SUMPRODUCT((INPUT!$T$3:$T$3000=46000)*(INPUT!$U$3:$U$3000="RAYA")*(INPUT!$V$3:$V$3000+INPUT!$W$3:$W$3000+INPUT!$X$3:$X$3000+INPUT!$Y$3:$Y$3000))),"")</f>
        <v>18</v>
      </c>
      <c r="CX18" s="42" cm="1">
        <f t="array" ref="CX18">IFERROR(IF(SUMPRODUCT((INPUT!$T$3:$T$3000=46001)*(INPUT!$U$3:$U$3000="RAYA"))=0,"",SUMPRODUCT((INPUT!$T$3:$T$3000=46001)*(INPUT!$U$3:$U$3000="RAYA")*(INPUT!$V$3:$V$3000+INPUT!$W$3:$W$3000+INPUT!$X$3:$X$3000+INPUT!$Y$3:$Y$3000))),"")</f>
        <v>16</v>
      </c>
      <c r="CY18" s="42" cm="1">
        <f t="array" ref="CY18">IFERROR(IF(SUMPRODUCT((INPUT!$T$3:$T$3000=46002)*(INPUT!$U$3:$U$3000="RAYA"))=0,"",SUMPRODUCT((INPUT!$T$3:$T$3000=46002)*(INPUT!$U$3:$U$3000="RAYA")*(INPUT!$V$3:$V$3000+INPUT!$W$3:$W$3000+INPUT!$X$3:$X$3000+INPUT!$Y$3:$Y$3000))),"")</f>
        <v>18</v>
      </c>
      <c r="CZ18" s="42" cm="1">
        <f t="array" ref="CZ18">IFERROR(IF(SUMPRODUCT((INPUT!$T$3:$T$3000=46003)*(INPUT!$U$3:$U$3000="RAYA"))=0,"",SUMPRODUCT((INPUT!$T$3:$T$3000=46003)*(INPUT!$U$3:$U$3000="RAYA")*(INPUT!$V$3:$V$3000+INPUT!$W$3:$W$3000+INPUT!$X$3:$X$3000+INPUT!$Y$3:$Y$3000))),"")</f>
        <v>18</v>
      </c>
      <c r="DA18" s="42" cm="1">
        <f t="array" ref="DA18">IFERROR(IF(SUMPRODUCT((INPUT!$T$3:$T$3000=46004)*(INPUT!$U$3:$U$3000="RAYA"))=0,"",SUMPRODUCT((INPUT!$T$3:$T$3000=46004)*(INPUT!$U$3:$U$3000="RAYA")*(INPUT!$V$3:$V$3000+INPUT!$W$3:$W$3000+INPUT!$X$3:$X$3000+INPUT!$Y$3:$Y$3000))),"")</f>
        <v>18</v>
      </c>
      <c r="DB18" s="42" t="str" cm="1">
        <f t="array" ref="DB18">IFERROR(IF(SUMPRODUCT((INPUT!$T$3:$T$3000=46007)*(INPUT!$U$3:$U$3000="RAYA"))=0,"",SUMPRODUCT((INPUT!$T$3:$T$3000=46007)*(INPUT!$U$3:$U$3000="RAYA")*(INPUT!$V$3:$V$3000+INPUT!$W$3:$W$3000+INPUT!$X$3:$X$3000+INPUT!$Y$3:$Y$3000))),"")</f>
        <v/>
      </c>
      <c r="DC18" s="42" t="str" cm="1">
        <f t="array" ref="DC18">IFERROR(IF(SUMPRODUCT((INPUT!$T$3:$T$3000=46008)*(INPUT!$U$3:$U$3000="RAYA"))=0,"",SUMPRODUCT((INPUT!$T$3:$T$3000=46008)*(INPUT!$U$3:$U$3000="RAYA")*(INPUT!$V$3:$V$3000+INPUT!$W$3:$W$3000+INPUT!$X$3:$X$3000+INPUT!$Y$3:$Y$3000))),"")</f>
        <v/>
      </c>
      <c r="DD18" s="42" t="str" cm="1">
        <f t="array" ref="DD18">IFERROR(IF(SUMPRODUCT((INPUT!$T$3:$T$3000=46009)*(INPUT!$U$3:$U$3000="RAYA"))=0,"",SUMPRODUCT((INPUT!$T$3:$T$3000=46009)*(INPUT!$U$3:$U$3000="RAYA")*(INPUT!$V$3:$V$3000+INPUT!$W$3:$W$3000+INPUT!$X$3:$X$3000+INPUT!$Y$3:$Y$3000))),"")</f>
        <v/>
      </c>
      <c r="DE18" s="42" t="str" cm="1">
        <f t="array" ref="DE18">IFERROR(IF(SUMPRODUCT((INPUT!$T$3:$T$3000=46010)*(INPUT!$U$3:$U$3000="RAYA"))=0,"",SUMPRODUCT((INPUT!$T$3:$T$3000=46010)*(INPUT!$U$3:$U$3000="RAYA")*(INPUT!$V$3:$V$3000+INPUT!$W$3:$W$3000+INPUT!$X$3:$X$3000+INPUT!$Y$3:$Y$3000))),"")</f>
        <v/>
      </c>
      <c r="DF18" s="42" cm="1">
        <f t="array" ref="DF18">IFERROR(IF(SUMPRODUCT((INPUT!$T$3:$T$3000=46013)*(INPUT!$U$3:$U$3000="RAYA"))=0,"",SUMPRODUCT((INPUT!$T$3:$T$3000=46013)*(INPUT!$U$3:$U$3000="RAYA")*(INPUT!$V$3:$V$3000+INPUT!$W$3:$W$3000+INPUT!$X$3:$X$3000+INPUT!$Y$3:$Y$3000))),"")</f>
        <v>18</v>
      </c>
      <c r="DG18" s="42" cm="1">
        <f t="array" ref="DG18">IFERROR(IF(SUMPRODUCT((INPUT!$T$3:$T$3000=46014)*(INPUT!$U$3:$U$3000="RAYA"))=0,"",SUMPRODUCT((INPUT!$T$3:$T$3000=46014)*(INPUT!$U$3:$U$3000="RAYA")*(INPUT!$V$3:$V$3000+INPUT!$W$3:$W$3000+INPUT!$X$3:$X$3000+INPUT!$Y$3:$Y$3000))),"")</f>
        <v>18</v>
      </c>
      <c r="DH18" s="42" cm="1">
        <f t="array" ref="DH18">IFERROR(IF(SUMPRODUCT((INPUT!$T$3:$T$3000=46017)*(INPUT!$U$3:$U$3000="RAYA"))=0,"",SUMPRODUCT((INPUT!$T$3:$T$3000=46017)*(INPUT!$U$3:$U$3000="RAYA")*(INPUT!$V$3:$V$3000+INPUT!$W$3:$W$3000+INPUT!$X$3:$X$3000+INPUT!$Y$3:$Y$3000))),"")</f>
        <v>18</v>
      </c>
      <c r="DI18" s="42" cm="1">
        <f t="array" ref="DI18">IFERROR(IF(SUMPRODUCT((INPUT!$T$3:$T$3000=46018)*(INPUT!$U$3:$U$3000="RAYA"))=0,"",SUMPRODUCT((INPUT!$T$3:$T$3000=46018)*(INPUT!$U$3:$U$3000="RAYA")*(INPUT!$V$3:$V$3000+INPUT!$W$3:$W$3000+INPUT!$X$3:$X$3000+INPUT!$Y$3:$Y$3000))),"")</f>
        <v>18</v>
      </c>
      <c r="DJ18" s="42" cm="1">
        <f t="array" ref="DJ18">IFERROR(IF(SUMPRODUCT((INPUT!$T$3:$T$3000=46020)*(INPUT!$U$3:$U$3000="RAYA"))=0,"",SUMPRODUCT((INPUT!$T$3:$T$3000=46020)*(INPUT!$U$3:$U$3000="RAYA")*(INPUT!$V$3:$V$3000+INPUT!$W$3:$W$3000+INPUT!$X$3:$X$3000+INPUT!$Y$3:$Y$3000))),"")</f>
        <v>18</v>
      </c>
      <c r="DK18" s="42" t="str" cm="1">
        <f t="array" ref="DK18">IFERROR(IF(SUMPRODUCT((INPUT!$T$3:$T$3000=46021)*(INPUT!$U$3:$U$3000="RAYA"))=0,"",SUMPRODUCT((INPUT!$T$3:$T$3000=46021)*(INPUT!$U$3:$U$3000="RAYA")*(INPUT!$V$3:$V$3000+INPUT!$W$3:$W$3000+INPUT!$X$3:$X$3000+INPUT!$Y$3:$Y$3000))),"")</f>
        <v/>
      </c>
      <c r="DL18" s="42" cm="1">
        <f t="array" ref="DL18">IFERROR(IF(SUMPRODUCT((INPUT!$T$3:$T$3000=46022)*(INPUT!$U$3:$U$3000="RAYA"))=0,"",SUMPRODUCT((INPUT!$T$3:$T$3000=46022)*(INPUT!$U$3:$U$3000="RAYA")*(INPUT!$V$3:$V$3000+INPUT!$W$3:$W$3000+INPUT!$X$3:$X$3000+INPUT!$Y$3:$Y$3000))),"")</f>
        <v>18</v>
      </c>
      <c r="DM18" s="42" cm="1">
        <f t="array" ref="DM18">IFERROR(IF(SUMPRODUCT((INPUT!$T$3:$T$3000=46024)*(INPUT!$U$3:$U$3000="RAYA"))=0,"",SUMPRODUCT((INPUT!$T$3:$T$3000=46024)*(INPUT!$U$3:$U$3000="RAYA")*(INPUT!$V$3:$V$3000+INPUT!$W$3:$W$3000+INPUT!$X$3:$X$3000+INPUT!$Y$3:$Y$3000))),"")</f>
        <v>18</v>
      </c>
      <c r="DN18" s="42" cm="1">
        <f t="array" ref="DN18">IFERROR(IF(SUMPRODUCT((INPUT!$T$3:$T$3000=46025)*(INPUT!$U$3:$U$3000="RAYA"))=0,"",SUMPRODUCT((INPUT!$T$3:$T$3000=46025)*(INPUT!$U$3:$U$3000="RAYA")*(INPUT!$V$3:$V$3000+INPUT!$W$3:$W$3000+INPUT!$X$3:$X$3000+INPUT!$Y$3:$Y$3000))),"")</f>
        <v>20</v>
      </c>
      <c r="DO18" s="42" cm="1">
        <f t="array" ref="DO18">IFERROR(IF(SUMPRODUCT((INPUT!$T$3:$T$3000=46027)*(INPUT!$U$3:$U$3000="RAYA"))=0,"",SUMPRODUCT((INPUT!$T$3:$T$3000=46027)*(INPUT!$U$3:$U$3000="RAYA")*(INPUT!$V$3:$V$3000+INPUT!$W$3:$W$3000+INPUT!$X$3:$X$3000+INPUT!$Y$3:$Y$3000))),"")</f>
        <v>14</v>
      </c>
      <c r="DP18" s="42" cm="1">
        <f t="array" ref="DP18">IFERROR(IF(SUMPRODUCT((INPUT!$T$3:$T$3000=46028)*(INPUT!$U$3:$U$3000="RAYA"))=0,"",SUMPRODUCT((INPUT!$T$3:$T$3000=46028)*(INPUT!$U$3:$U$3000="RAYA")*(INPUT!$V$3:$V$3000+INPUT!$W$3:$W$3000+INPUT!$X$3:$X$3000+INPUT!$Y$3:$Y$3000))),"")</f>
        <v>17</v>
      </c>
      <c r="DQ18" s="42" cm="1">
        <f t="array" ref="DQ18">IFERROR(IF(SUMPRODUCT((INPUT!$T$3:$T$3000=46029)*(INPUT!$U$3:$U$3000="RAYA"))=0,"",SUMPRODUCT((INPUT!$T$3:$T$3000=46029)*(INPUT!$U$3:$U$3000="RAYA")*(INPUT!$V$3:$V$3000+INPUT!$W$3:$W$3000+INPUT!$X$3:$X$3000+INPUT!$Y$3:$Y$3000))),"")</f>
        <v>18</v>
      </c>
      <c r="DR18" s="42" cm="1">
        <f t="array" ref="DR18">IFERROR(IF(SUMPRODUCT((INPUT!$T$3:$T$3000=46030)*(INPUT!$U$3:$U$3000="RAYA"))=0,"",SUMPRODUCT((INPUT!$T$3:$T$3000=46030)*(INPUT!$U$3:$U$3000="RAYA")*(INPUT!$V$3:$V$3000+INPUT!$W$3:$W$3000+INPUT!$X$3:$X$3000+INPUT!$Y$3:$Y$3000))),"")</f>
        <v>16</v>
      </c>
      <c r="DS18" s="42" cm="1">
        <f t="array" ref="DS18">IFERROR(IF(SUMPRODUCT((INPUT!$T$3:$T$3000=46031)*(INPUT!$U$3:$U$3000="RAYA"))=0,"",SUMPRODUCT((INPUT!$T$3:$T$3000=46031)*(INPUT!$U$3:$U$3000="RAYA")*(INPUT!$V$3:$V$3000+INPUT!$W$3:$W$3000+INPUT!$X$3:$X$3000+INPUT!$Y$3:$Y$3000))),"")</f>
        <v>17</v>
      </c>
      <c r="DT18" s="42" t="str" cm="1">
        <f t="array" ref="DT18">IFERROR(IF(SUMPRODUCT((INPUT!$T$3:$T$3000=46041)*(INPUT!$U$3:$U$3000="RAYA"))=0,"",SUMPRODUCT((INPUT!$T$3:$T$3000=46041)*(INPUT!$U$3:$U$3000="RAYA")*(INPUT!$V$3:$V$3000+INPUT!$W$3:$W$3000+INPUT!$X$3:$X$3000+INPUT!$Y$3:$Y$3000))),"")</f>
        <v/>
      </c>
      <c r="DU18" s="42" t="str" cm="1">
        <f t="array" ref="DU18">IFERROR(IF(SUMPRODUCT((INPUT!$T$3:$T$3000=46042)*(INPUT!$U$3:$U$3000="RAYA"))=0,"",SUMPRODUCT((INPUT!$T$3:$T$3000=46042)*(INPUT!$U$3:$U$3000="RAYA")*(INPUT!$V$3:$V$3000+INPUT!$W$3:$W$3000+INPUT!$X$3:$X$3000+INPUT!$Y$3:$Y$3000))),"")</f>
        <v/>
      </c>
      <c r="DV18" s="42" t="str" cm="1">
        <f t="array" ref="DV18">IFERROR(IF(SUMPRODUCT((INPUT!$T$3:$T$3000=46043)*(INPUT!$U$3:$U$3000="RAYA"))=0,"",SUMPRODUCT((INPUT!$T$3:$T$3000=46043)*(INPUT!$U$3:$U$3000="RAYA")*(INPUT!$V$3:$V$3000+INPUT!$W$3:$W$3000+INPUT!$X$3:$X$3000+INPUT!$Y$3:$Y$3000))),"")</f>
        <v/>
      </c>
      <c r="DW18" s="42" t="str" cm="1">
        <f t="array" ref="DW18">IFERROR(IF(SUMPRODUCT((INPUT!$T$3:$T$3000=46044)*(INPUT!$U$3:$U$3000="RAYA"))=0,"",SUMPRODUCT((INPUT!$T$3:$T$3000=46044)*(INPUT!$U$3:$U$3000="RAYA")*(INPUT!$V$3:$V$3000+INPUT!$W$3:$W$3000+INPUT!$X$3:$X$3000+INPUT!$Y$3:$Y$3000))),"")</f>
        <v/>
      </c>
      <c r="DX18" s="42" t="str" cm="1">
        <f t="array" ref="DX18">IFERROR(IF(SUMPRODUCT((INPUT!$T$3:$T$3000=46045)*(INPUT!$U$3:$U$3000="RAYA"))=0,"",SUMPRODUCT((INPUT!$T$3:$T$3000=46045)*(INPUT!$U$3:$U$3000="RAYA")*(INPUT!$V$3:$V$3000+INPUT!$W$3:$W$3000+INPUT!$X$3:$X$3000+INPUT!$Y$3:$Y$3000))),"")</f>
        <v/>
      </c>
      <c r="DY18" s="42" t="str" cm="1">
        <f t="array" ref="DY18">IFERROR(IF(SUMPRODUCT((INPUT!$T$3:$T$3000=46048)*(INPUT!$U$3:$U$3000="RAYA"))=0,"",SUMPRODUCT((INPUT!$T$3:$T$3000=46048)*(INPUT!$U$3:$U$3000="RAYA")*(INPUT!$V$3:$V$3000+INPUT!$W$3:$W$3000+INPUT!$X$3:$X$3000+INPUT!$Y$3:$Y$3000))),"")</f>
        <v/>
      </c>
      <c r="DZ18" s="42" t="str" cm="1">
        <f t="array" ref="DZ18">IFERROR(IF(SUMPRODUCT((INPUT!$T$3:$T$3000=46049)*(INPUT!$U$3:$U$3000="RAYA"))=0,"",SUMPRODUCT((INPUT!$T$3:$T$3000=46049)*(INPUT!$U$3:$U$3000="RAYA")*(INPUT!$V$3:$V$3000+INPUT!$W$3:$W$3000+INPUT!$X$3:$X$3000+INPUT!$Y$3:$Y$3000))),"")</f>
        <v/>
      </c>
      <c r="EA18" s="42" t="str" cm="1">
        <f t="array" ref="EA18">IFERROR(IF(SUMPRODUCT((INPUT!$T$3:$T$3000=46050)*(INPUT!$U$3:$U$3000="RAYA"))=0,"",SUMPRODUCT((INPUT!$T$3:$T$3000=46050)*(INPUT!$U$3:$U$3000="RAYA")*(INPUT!$V$3:$V$3000+INPUT!$W$3:$W$3000+INPUT!$X$3:$X$3000+INPUT!$Y$3:$Y$3000))),"")</f>
        <v/>
      </c>
      <c r="EB18" s="42" t="str" cm="1">
        <f t="array" ref="EB18">IFERROR(IF(SUMPRODUCT((INPUT!$T$3:$T$3000=46051)*(INPUT!$U$3:$U$3000="RAYA"))=0,"",SUMPRODUCT((INPUT!$T$3:$T$3000=46051)*(INPUT!$U$3:$U$3000="RAYA")*(INPUT!$V$3:$V$3000+INPUT!$W$3:$W$3000+INPUT!$X$3:$X$3000+INPUT!$Y$3:$Y$3000))),"")</f>
        <v/>
      </c>
      <c r="EC18" s="42" t="str" cm="1">
        <f t="array" ref="EC18">IFERROR(IF(SUMPRODUCT((INPUT!$T$3:$T$3000=46052)*(INPUT!$U$3:$U$3000="RAYA"))=0,"",SUMPRODUCT((INPUT!$T$3:$T$3000=46052)*(INPUT!$U$3:$U$3000="RAYA")*(INPUT!$V$3:$V$3000+INPUT!$W$3:$W$3000+INPUT!$X$3:$X$3000+INPUT!$Y$3:$Y$3000))),"")</f>
        <v/>
      </c>
      <c r="ED18" s="42" t="str" cm="1">
        <f t="array" ref="ED18">IFERROR(IF(SUMPRODUCT((INPUT!$T$3:$T$3000=46055)*(INPUT!$U$3:$U$3000="RAYA"))=0,"",SUMPRODUCT((INPUT!$T$3:$T$3000=46055)*(INPUT!$U$3:$U$3000="RAYA")*(INPUT!$V$3:$V$3000+INPUT!$W$3:$W$3000+INPUT!$X$3:$X$3000+INPUT!$Y$3:$Y$3000))),"")</f>
        <v/>
      </c>
      <c r="EE18" s="42" t="str" cm="1">
        <f t="array" ref="EE18">IFERROR(IF(SUMPRODUCT((INPUT!$T$3:$T$3000=46056)*(INPUT!$U$3:$U$3000="RAYA"))=0,"",SUMPRODUCT((INPUT!$T$3:$T$3000=46056)*(INPUT!$U$3:$U$3000="RAYA")*(INPUT!$V$3:$V$3000+INPUT!$W$3:$W$3000+INPUT!$X$3:$X$3000+INPUT!$Y$3:$Y$3000))),"")</f>
        <v/>
      </c>
      <c r="EF18" s="42" t="str" cm="1">
        <f t="array" ref="EF18">IFERROR(IF(SUMPRODUCT((INPUT!$T$3:$T$3000=46057)*(INPUT!$U$3:$U$3000="RAYA"))=0,"",SUMPRODUCT((INPUT!$T$3:$T$3000=46057)*(INPUT!$U$3:$U$3000="RAYA")*(INPUT!$V$3:$V$3000+INPUT!$W$3:$W$3000+INPUT!$X$3:$X$3000+INPUT!$Y$3:$Y$3000))),"")</f>
        <v/>
      </c>
      <c r="EG18" s="42" t="str" cm="1">
        <f t="array" ref="EG18">IFERROR(IF(SUMPRODUCT((INPUT!$T$3:$T$3000=46058)*(INPUT!$U$3:$U$3000="RAYA"))=0,"",SUMPRODUCT((INPUT!$T$3:$T$3000=46058)*(INPUT!$U$3:$U$3000="RAYA")*(INPUT!$V$3:$V$3000+INPUT!$W$3:$W$3000+INPUT!$X$3:$X$3000+INPUT!$Y$3:$Y$3000))),"")</f>
        <v/>
      </c>
      <c r="EH18" s="42" t="str" cm="1">
        <f t="array" ref="EH18">IFERROR(IF(SUMPRODUCT((INPUT!$T$3:$T$3000=46059)*(INPUT!$U$3:$U$3000="RAYA"))=0,"",SUMPRODUCT((INPUT!$T$3:$T$3000=46059)*(INPUT!$U$3:$U$3000="RAYA")*(INPUT!$V$3:$V$3000+INPUT!$W$3:$W$3000+INPUT!$X$3:$X$3000+INPUT!$Y$3:$Y$3000))),"")</f>
        <v/>
      </c>
      <c r="EI18" s="42" t="str" cm="1">
        <f t="array" ref="EI18">IFERROR(IF(SUMPRODUCT((INPUT!$T$3:$T$3000=46061)*(INPUT!$U$3:$U$3000="RAYA"))=0,"",SUMPRODUCT((INPUT!$T$3:$T$3000=46061)*(INPUT!$U$3:$U$3000="RAYA")*(INPUT!$V$3:$V$3000+INPUT!$W$3:$W$3000+INPUT!$X$3:$X$3000+INPUT!$Y$3:$Y$3000))),"")</f>
        <v/>
      </c>
      <c r="EJ18" s="42" t="str" cm="1">
        <f t="array" ref="EJ18">IFERROR(IF(SUMPRODUCT((INPUT!$T$3:$T$3000=46062)*(INPUT!$U$3:$U$3000="RAYA"))=0,"",SUMPRODUCT((INPUT!$T$3:$T$3000=46062)*(INPUT!$U$3:$U$3000="RAYA")*(INPUT!$V$3:$V$3000+INPUT!$W$3:$W$3000+INPUT!$X$3:$X$3000+INPUT!$Y$3:$Y$3000))),"")</f>
        <v/>
      </c>
      <c r="EK18" s="42" t="str" cm="1">
        <f t="array" ref="EK18">IFERROR(IF(SUMPRODUCT((INPUT!$T$3:$T$3000=46063)*(INPUT!$U$3:$U$3000="RAYA"))=0,"",SUMPRODUCT((INPUT!$T$3:$T$3000=46063)*(INPUT!$U$3:$U$3000="RAYA")*(INPUT!$V$3:$V$3000+INPUT!$W$3:$W$3000+INPUT!$X$3:$X$3000+INPUT!$Y$3:$Y$3000))),"")</f>
        <v/>
      </c>
      <c r="EL18" s="42" cm="1">
        <f t="array" ref="EL18">IFERROR(IF(SUMPRODUCT((INPUT!$T$3:$T$3000=46064)*(INPUT!$U$3:$U$3000="RAYA"))=0,"",SUMPRODUCT((INPUT!$T$3:$T$3000=46064)*(INPUT!$U$3:$U$3000="RAYA")*(INPUT!$V$3:$V$3000+INPUT!$W$3:$W$3000+INPUT!$X$3:$X$3000+INPUT!$Y$3:$Y$3000))),"")</f>
        <v>17</v>
      </c>
      <c r="EM18" s="42" cm="1">
        <f t="array" ref="EM18">IFERROR(IF(SUMPRODUCT((INPUT!$T$3:$T$3000=46065)*(INPUT!$U$3:$U$3000="RAYA"))=0,"",SUMPRODUCT((INPUT!$T$3:$T$3000=46065)*(INPUT!$U$3:$U$3000="RAYA")*(INPUT!$V$3:$V$3000+INPUT!$W$3:$W$3000+INPUT!$X$3:$X$3000+INPUT!$Y$3:$Y$3000))),"")</f>
        <v>17</v>
      </c>
      <c r="EN18" s="42" cm="1">
        <f t="array" ref="EN18">IFERROR(IF(SUMPRODUCT((INPUT!$T$3:$T$3000=46066)*(INPUT!$U$3:$U$3000="RAYA"))=0,"",SUMPRODUCT((INPUT!$T$3:$T$3000=46066)*(INPUT!$U$3:$U$3000="RAYA")*(INPUT!$V$3:$V$3000+INPUT!$W$3:$W$3000+INPUT!$X$3:$X$3000+INPUT!$Y$3:$Y$3000))),"")</f>
        <v>17</v>
      </c>
      <c r="EO18" s="42" cm="1">
        <f t="array" ref="EO18">IFERROR(IF(SUMPRODUCT((INPUT!$T$3:$T$3000=46067)*(INPUT!$U$3:$U$3000="RAYA"))=0,"",SUMPRODUCT((INPUT!$T$3:$T$3000=46067)*(INPUT!$U$3:$U$3000="RAYA")*(INPUT!$V$3:$V$3000+INPUT!$W$3:$W$3000+INPUT!$X$3:$X$3000+INPUT!$Y$3:$Y$3000))),"")</f>
        <v>20</v>
      </c>
      <c r="EP18" s="42" cm="1">
        <f t="array" ref="EP18">IFERROR(IF(SUMPRODUCT((INPUT!$T$3:$T$3000=46069)*(INPUT!$U$3:$U$3000="RAYA"))=0,"",SUMPRODUCT((INPUT!$T$3:$T$3000=46069)*(INPUT!$U$3:$U$3000="RAYA")*(INPUT!$V$3:$V$3000+INPUT!$W$3:$W$3000+INPUT!$X$3:$X$3000+INPUT!$Y$3:$Y$3000))),"")</f>
        <v>17</v>
      </c>
      <c r="EQ18" s="42" t="str" cm="1">
        <f t="array" ref="EQ18">IFERROR(IF(SUMPRODUCT((INPUT!$T$3:$T$3000=46072)*(INPUT!$U$3:$U$3000="RAYA"))=0,"",SUMPRODUCT((INPUT!$T$3:$T$3000=46072)*(INPUT!$U$3:$U$3000="RAYA")*(INPUT!$V$3:$V$3000+INPUT!$W$3:$W$3000+INPUT!$X$3:$X$3000+INPUT!$Y$3:$Y$3000))),"")</f>
        <v/>
      </c>
      <c r="ER18" s="42" t="str" cm="1">
        <f t="array" ref="ER18">IFERROR(IF(SUMPRODUCT((INPUT!$T$3:$T$3000=46073)*(INPUT!$U$3:$U$3000="RAYA"))=0,"",SUMPRODUCT((INPUT!$T$3:$T$3000=46073)*(INPUT!$U$3:$U$3000="RAYA")*(INPUT!$V$3:$V$3000+INPUT!$W$3:$W$3000+INPUT!$X$3:$X$3000+INPUT!$Y$3:$Y$3000))),"")</f>
        <v/>
      </c>
      <c r="ES18" s="42" cm="1">
        <f t="array" ref="ES18">IFERROR(IF(SUMPRODUCT((INPUT!$T$3:$T$3000=46076)*(INPUT!$U$3:$U$3000="RAYA"))=0,"",SUMPRODUCT((INPUT!$T$3:$T$3000=46076)*(INPUT!$U$3:$U$3000="RAYA")*(INPUT!$V$3:$V$3000+INPUT!$W$3:$W$3000+INPUT!$X$3:$X$3000+INPUT!$Y$3:$Y$3000))),"")</f>
        <v>20</v>
      </c>
      <c r="ET18" s="42" cm="1">
        <f t="array" ref="ET18">IFERROR(IF(SUMPRODUCT((INPUT!$T$3:$T$3000=46077)*(INPUT!$U$3:$U$3000="RAYA"))=0,"",SUMPRODUCT((INPUT!$T$3:$T$3000=46077)*(INPUT!$U$3:$U$3000="RAYA")*(INPUT!$V$3:$V$3000+INPUT!$W$3:$W$3000+INPUT!$X$3:$X$3000+INPUT!$Y$3:$Y$3000))),"")</f>
        <v>20</v>
      </c>
      <c r="EU18" s="42" cm="1">
        <f t="array" ref="EU18">IFERROR(IF(SUMPRODUCT((INPUT!$T$3:$T$3000=46078)*(INPUT!$U$3:$U$3000="RAYA"))=0,"",SUMPRODUCT((INPUT!$T$3:$T$3000=46078)*(INPUT!$U$3:$U$3000="RAYA")*(INPUT!$V$3:$V$3000+INPUT!$W$3:$W$3000+INPUT!$X$3:$X$3000+INPUT!$Y$3:$Y$3000))),"")</f>
        <v>20</v>
      </c>
      <c r="EV18" s="42" cm="1">
        <f t="array" ref="EV18">IFERROR(IF(SUMPRODUCT((INPUT!$T$3:$T$3000=46079)*(INPUT!$U$3:$U$3000="RAYA"))=0,"",SUMPRODUCT((INPUT!$T$3:$T$3000=46079)*(INPUT!$U$3:$U$3000="RAYA")*(INPUT!$V$3:$V$3000+INPUT!$W$3:$W$3000+INPUT!$X$3:$X$3000+INPUT!$Y$3:$Y$3000))),"")</f>
        <v>16</v>
      </c>
      <c r="EW18" s="42" cm="1">
        <f t="array" ref="EW18">IFERROR(IF(SUMPRODUCT((INPUT!$T$3:$T$3000=46080)*(INPUT!$U$3:$U$3000="RAYA"))=0,"",SUMPRODUCT((INPUT!$T$3:$T$3000=46080)*(INPUT!$U$3:$U$3000="RAYA")*(INPUT!$V$3:$V$3000+INPUT!$W$3:$W$3000+INPUT!$X$3:$X$3000+INPUT!$Y$3:$Y$3000))),"")</f>
        <v>16</v>
      </c>
      <c r="EX18" s="42" cm="1">
        <f t="array" ref="EX18">IFERROR(IF(SUMPRODUCT((INPUT!$T$3:$T$3000=46082)*(INPUT!$U$3:$U$3000="RAYA"))=0,"",SUMPRODUCT((INPUT!$T$3:$T$3000=46082)*(INPUT!$U$3:$U$3000="RAYA")*(INPUT!$V$3:$V$3000+INPUT!$W$3:$W$3000+INPUT!$X$3:$X$3000+INPUT!$Y$3:$Y$3000))),"")</f>
        <v>16</v>
      </c>
      <c r="EY18" s="42" cm="1">
        <f t="array" ref="EY18">IFERROR(IF(SUMPRODUCT((INPUT!$T$3:$T$3000=46084)*(INPUT!$U$3:$U$3000="RAYA"))=0,"",SUMPRODUCT((INPUT!$T$3:$T$3000=46084)*(INPUT!$U$3:$U$3000="RAYA")*(INPUT!$V$3:$V$3000+INPUT!$W$3:$W$3000+INPUT!$X$3:$X$3000+INPUT!$Y$3:$Y$3000))),"")</f>
        <v>17</v>
      </c>
      <c r="EZ18" s="42" cm="1">
        <f t="array" ref="EZ18">IFERROR(IF(SUMPRODUCT((INPUT!$T$3:$T$3000=46085)*(INPUT!$U$3:$U$3000="RAYA"))=0,"",SUMPRODUCT((INPUT!$T$3:$T$3000=46085)*(INPUT!$U$3:$U$3000="RAYA")*(INPUT!$V$3:$V$3000+INPUT!$W$3:$W$3000+INPUT!$X$3:$X$3000+INPUT!$Y$3:$Y$3000))),"")</f>
        <v>17</v>
      </c>
      <c r="FA18" s="42" cm="1">
        <f t="array" ref="FA18">IFERROR(IF(SUMPRODUCT((INPUT!$T$3:$T$3000=46086)*(INPUT!$U$3:$U$3000="RAYA"))=0,"",SUMPRODUCT((INPUT!$T$3:$T$3000=46086)*(INPUT!$U$3:$U$3000="RAYA")*(INPUT!$V$3:$V$3000+INPUT!$W$3:$W$3000+INPUT!$X$3:$X$3000+INPUT!$Y$3:$Y$3000))),"")</f>
        <v>14</v>
      </c>
      <c r="FB18" s="42" cm="1">
        <f t="array" ref="FB18">IFERROR(IF(SUMPRODUCT((INPUT!$T$3:$T$3000=46087)*(INPUT!$U$3:$U$3000="RAYA"))=0,"",SUMPRODUCT((INPUT!$T$3:$T$3000=46087)*(INPUT!$U$3:$U$3000="RAYA")*(INPUT!$V$3:$V$3000+INPUT!$W$3:$W$3000+INPUT!$X$3:$X$3000+INPUT!$Y$3:$Y$3000))),"")</f>
        <v>20</v>
      </c>
      <c r="FC18" s="42" cm="1">
        <f t="array" ref="FC18">IFERROR(IF(SUMPRODUCT((INPUT!$T$3:$T$3000=46090)*(INPUT!$U$3:$U$3000="RAYA"))=0,"",SUMPRODUCT((INPUT!$T$3:$T$3000=46090)*(INPUT!$U$3:$U$3000="RAYA")*(INPUT!$V$3:$V$3000+INPUT!$W$3:$W$3000+INPUT!$X$3:$X$3000+INPUT!$Y$3:$Y$3000))),"")</f>
        <v>16</v>
      </c>
      <c r="FD18" s="42" cm="1">
        <f t="array" ref="FD18">IFERROR(IF(SUMPRODUCT((INPUT!$T$3:$T$3000=46091)*(INPUT!$U$3:$U$3000="RAYA"))=0,"",SUMPRODUCT((INPUT!$T$3:$T$3000=46091)*(INPUT!$U$3:$U$3000="RAYA")*(INPUT!$V$3:$V$3000+INPUT!$W$3:$W$3000+INPUT!$X$3:$X$3000+INPUT!$Y$3:$Y$3000))),"")</f>
        <v>17</v>
      </c>
      <c r="FE18" s="42" cm="1">
        <f t="array" ref="FE18">IFERROR(IF(SUMPRODUCT((INPUT!$T$3:$T$3000=46092)*(INPUT!$U$3:$U$3000="RAYA"))=0,"",SUMPRODUCT((INPUT!$T$3:$T$3000=46092)*(INPUT!$U$3:$U$3000="RAYA")*(INPUT!$V$3:$V$3000+INPUT!$W$3:$W$3000+INPUT!$X$3:$X$3000+INPUT!$Y$3:$Y$3000))),"")</f>
        <v>20</v>
      </c>
      <c r="FF18" s="42" cm="1">
        <f t="array" ref="FF18">IFERROR(IF(SUMPRODUCT((INPUT!$T$3:$T$3000=46093)*(INPUT!$U$3:$U$3000="RAYA"))=0,"",SUMPRODUCT((INPUT!$T$3:$T$3000=46093)*(INPUT!$U$3:$U$3000="RAYA")*(INPUT!$V$3:$V$3000+INPUT!$W$3:$W$3000+INPUT!$X$3:$X$3000+INPUT!$Y$3:$Y$3000))),"")</f>
        <v>20</v>
      </c>
      <c r="FG18" s="42" cm="1">
        <f t="array" ref="FG18">IFERROR(IF(SUMPRODUCT((INPUT!$T$3:$T$3000=46094)*(INPUT!$U$3:$U$3000="RAYA"))=0,"",SUMPRODUCT((INPUT!$T$3:$T$3000=46094)*(INPUT!$U$3:$U$3000="RAYA")*(INPUT!$V$3:$V$3000+INPUT!$W$3:$W$3000+INPUT!$X$3:$X$3000+INPUT!$Y$3:$Y$3000))),"")</f>
        <v>20</v>
      </c>
      <c r="FH18" s="42" cm="1">
        <f t="array" ref="FH18">IFERROR(IF(SUMPRODUCT((INPUT!$T$3:$T$3000=46096)*(INPUT!$U$3:$U$3000="RAYA"))=0,"",SUMPRODUCT((INPUT!$T$3:$T$3000=46096)*(INPUT!$U$3:$U$3000="RAYA")*(INPUT!$V$3:$V$3000+INPUT!$W$3:$W$3000+INPUT!$X$3:$X$3000+INPUT!$Y$3:$Y$3000))),"")</f>
        <v>20</v>
      </c>
      <c r="FI18" s="42" cm="1">
        <f t="array" ref="FI18">IFERROR(IF(SUMPRODUCT((INPUT!$T$3:$T$3000=46097)*(INPUT!$U$3:$U$3000="RAYA"))=0,"",SUMPRODUCT((INPUT!$T$3:$T$3000=46097)*(INPUT!$U$3:$U$3000="RAYA")*(INPUT!$V$3:$V$3000+INPUT!$W$3:$W$3000+INPUT!$X$3:$X$3000+INPUT!$Y$3:$Y$3000))),"")</f>
        <v>20</v>
      </c>
      <c r="FJ18" s="42" cm="1">
        <f t="array" ref="FJ18">IFERROR(IF(SUMPRODUCT((INPUT!$T$3:$T$3000=46098)*(INPUT!$U$3:$U$3000="RAYA"))=0,"",SUMPRODUCT((INPUT!$T$3:$T$3000=46098)*(INPUT!$U$3:$U$3000="RAYA")*(INPUT!$V$3:$V$3000+INPUT!$W$3:$W$3000+INPUT!$X$3:$X$3000+INPUT!$Y$3:$Y$3000))),"")</f>
        <v>20</v>
      </c>
      <c r="FK18" s="42" cm="1">
        <f t="array" ref="FK18">IFERROR(IF(SUMPRODUCT((INPUT!$T$3:$T$3000=46099)*(INPUT!$U$3:$U$3000="RAYA"))=0,"",SUMPRODUCT((INPUT!$T$3:$T$3000=46099)*(INPUT!$U$3:$U$3000="RAYA")*(INPUT!$V$3:$V$3000+INPUT!$W$3:$W$3000+INPUT!$X$3:$X$3000+INPUT!$Y$3:$Y$3000))),"")</f>
        <v>20</v>
      </c>
      <c r="FL18" s="42" cm="1">
        <f t="array" ref="FL18">IFERROR(IF(SUMPRODUCT((INPUT!$T$3:$T$3000=46102)*(INPUT!$U$3:$U$3000="RAYA"))=0,"",SUMPRODUCT((INPUT!$T$3:$T$3000=46102)*(INPUT!$U$3:$U$3000="RAYA")*(INPUT!$V$3:$V$3000+INPUT!$W$3:$W$3000+INPUT!$X$3:$X$3000+INPUT!$Y$3:$Y$3000))),"")</f>
        <v>20</v>
      </c>
      <c r="FM18" s="42" t="str" cm="1">
        <f t="array" ref="FM18">IFERROR(IF(SUMPRODUCT((INPUT!$T$3:$T$3000=46105)*(INPUT!$U$3:$U$3000="RAYA"))=0,"",SUMPRODUCT((INPUT!$T$3:$T$3000=46105)*(INPUT!$U$3:$U$3000="RAYA")*(INPUT!$V$3:$V$3000+INPUT!$W$3:$W$3000+INPUT!$X$3:$X$3000+INPUT!$Y$3:$Y$3000))),"")</f>
        <v/>
      </c>
      <c r="FN18" s="42" t="str" cm="1">
        <f t="array" ref="FN18">IFERROR(IF(SUMPRODUCT((INPUT!$T$3:$T$3000=46106)*(INPUT!$U$3:$U$3000="RAYA"))=0,"",SUMPRODUCT((INPUT!$T$3:$T$3000=46106)*(INPUT!$U$3:$U$3000="RAYA")*(INPUT!$V$3:$V$3000+INPUT!$W$3:$W$3000+INPUT!$X$3:$X$3000+INPUT!$Y$3:$Y$3000))),"")</f>
        <v/>
      </c>
      <c r="FO18" s="42" t="str" cm="1">
        <f t="array" ref="FO18">IFERROR(IF(SUMPRODUCT((INPUT!$T$3:$T$3000=46107)*(INPUT!$U$3:$U$3000="RAYA"))=0,"",SUMPRODUCT((INPUT!$T$3:$T$3000=46107)*(INPUT!$U$3:$U$3000="RAYA")*(INPUT!$V$3:$V$3000+INPUT!$W$3:$W$3000+INPUT!$X$3:$X$3000+INPUT!$Y$3:$Y$3000))),"")</f>
        <v/>
      </c>
      <c r="FP18" s="42" t="str" cm="1">
        <f t="array" ref="FP18">IFERROR(IF(SUMPRODUCT((INPUT!$T$3:$T$3000=46108)*(INPUT!$U$3:$U$3000="RAYA"))=0,"",SUMPRODUCT((INPUT!$T$3:$T$3000=46108)*(INPUT!$U$3:$U$3000="RAYA")*(INPUT!$V$3:$V$3000+INPUT!$W$3:$W$3000+INPUT!$X$3:$X$3000+INPUT!$Y$3:$Y$3000))),"")</f>
        <v/>
      </c>
      <c r="FQ18" s="42" t="str" cm="1">
        <f t="array" ref="FQ18">IFERROR(IF(SUMPRODUCT((INPUT!$T$3:$T$3000=46109)*(INPUT!$U$3:$U$3000="RAYA"))=0,"",SUMPRODUCT((INPUT!$T$3:$T$3000=46109)*(INPUT!$U$3:$U$3000="RAYA")*(INPUT!$V$3:$V$3000+INPUT!$W$3:$W$3000+INPUT!$X$3:$X$3000+INPUT!$Y$3:$Y$3000))),"")</f>
        <v/>
      </c>
      <c r="FR18" s="42" cm="1">
        <f t="array" ref="FR18">IFERROR(IF(SUMPRODUCT((INPUT!$T$3:$T$3000=46111)*(INPUT!$U$3:$U$3000="RAYA"))=0,"",SUMPRODUCT((INPUT!$T$3:$T$3000=46111)*(INPUT!$U$3:$U$3000="RAYA")*(INPUT!$V$3:$V$3000+INPUT!$W$3:$W$3000+INPUT!$X$3:$X$3000+INPUT!$Y$3:$Y$3000))),"")</f>
        <v>20</v>
      </c>
      <c r="FS18" s="42" cm="1">
        <f t="array" ref="FS18">IFERROR(IF(SUMPRODUCT((INPUT!$T$3:$T$3000=46112)*(INPUT!$U$3:$U$3000="RAYA"))=0,"",SUMPRODUCT((INPUT!$T$3:$T$3000=46112)*(INPUT!$U$3:$U$3000="RAYA")*(INPUT!$V$3:$V$3000+INPUT!$W$3:$W$3000+INPUT!$X$3:$X$3000+INPUT!$Y$3:$Y$3000))),"")</f>
        <v>20</v>
      </c>
      <c r="FT18" s="42" cm="1">
        <f t="array" ref="FT18">IFERROR(IF(SUMPRODUCT((INPUT!$T$3:$T$3000=46113)*(INPUT!$U$3:$U$3000="RAYA"))=0,"",SUMPRODUCT((INPUT!$T$3:$T$3000=46113)*(INPUT!$U$3:$U$3000="RAYA")*(INPUT!$V$3:$V$3000+INPUT!$W$3:$W$3000+INPUT!$X$3:$X$3000+INPUT!$Y$3:$Y$3000))),"")</f>
        <v>20</v>
      </c>
      <c r="FU18" s="42" t="str" cm="1">
        <f t="array" ref="FU18">IFERROR(IF(SUMPRODUCT((INPUT!$T$3:$T$3000=46114)*(INPUT!$U$3:$U$3000="RAYA"))=0,"",SUMPRODUCT((INPUT!$T$3:$T$3000=46114)*(INPUT!$U$3:$U$3000="RAYA")*(INPUT!$V$3:$V$3000+INPUT!$W$3:$W$3000+INPUT!$X$3:$X$3000+INPUT!$Y$3:$Y$3000))),"")</f>
        <v/>
      </c>
      <c r="FV18" s="42" t="str" cm="1">
        <f t="array" ref="FV18">IFERROR(IF(SUMPRODUCT((INPUT!$T$3:$T$3000=46115)*(INPUT!$U$3:$U$3000="RAYA"))=0,"",SUMPRODUCT((INPUT!$T$3:$T$3000=46115)*(INPUT!$U$3:$U$3000="RAYA")*(INPUT!$V$3:$V$3000+INPUT!$W$3:$W$3000+INPUT!$X$3:$X$3000+INPUT!$Y$3:$Y$3000))),"")</f>
        <v/>
      </c>
      <c r="FW18" s="42" t="str" cm="1">
        <f t="array" ref="FW18">IFERROR(IF(SUMPRODUCT((INPUT!$T$3:$T$3000=46116)*(INPUT!$U$3:$U$3000="RAYA"))=0,"",SUMPRODUCT((INPUT!$T$3:$T$3000=46116)*(INPUT!$U$3:$U$3000="RAYA")*(INPUT!$V$3:$V$3000+INPUT!$W$3:$W$3000+INPUT!$X$3:$X$3000+INPUT!$Y$3:$Y$3000))),"")</f>
        <v/>
      </c>
      <c r="FX18" s="42" t="str" cm="1">
        <f t="array" ref="FX18">IFERROR(IF(SUMPRODUCT((INPUT!$T$3:$T$3000=46118)*(INPUT!$U$3:$U$3000="RAYA"))=0,"",SUMPRODUCT((INPUT!$T$3:$T$3000=46118)*(INPUT!$U$3:$U$3000="RAYA")*(INPUT!$V$3:$V$3000+INPUT!$W$3:$W$3000+INPUT!$X$3:$X$3000+INPUT!$Y$3:$Y$3000))),"")</f>
        <v/>
      </c>
      <c r="FY18" s="42" t="str" cm="1">
        <f t="array" ref="FY18">IFERROR(IF(SUMPRODUCT((INPUT!$T$3:$T$3000=46119)*(INPUT!$U$3:$U$3000="RAYA"))=0,"",SUMPRODUCT((INPUT!$T$3:$T$3000=46119)*(INPUT!$U$3:$U$3000="RAYA")*(INPUT!$V$3:$V$3000+INPUT!$W$3:$W$3000+INPUT!$X$3:$X$3000+INPUT!$Y$3:$Y$3000))),"")</f>
        <v/>
      </c>
      <c r="FZ18" s="42" cm="1">
        <f t="array" ref="FZ18">IFERROR(IF(SUMPRODUCT((INPUT!$T$3:$T$3000=46120)*(INPUT!$U$3:$U$3000="RAYA"))=0,"",SUMPRODUCT((INPUT!$T$3:$T$3000=46120)*(INPUT!$U$3:$U$3000="RAYA")*(INPUT!$V$3:$V$3000+INPUT!$W$3:$W$3000+INPUT!$X$3:$X$3000+INPUT!$Y$3:$Y$3000))),"")</f>
        <v>20</v>
      </c>
      <c r="GA18" s="42" t="str" cm="1">
        <f t="array" ref="GA18">IFERROR(IF(SUMPRODUCT((INPUT!$T$3:$T$3000=46121)*(INPUT!$U$3:$U$3000="RAYA"))=0,"",SUMPRODUCT((INPUT!$T$3:$T$3000=46121)*(INPUT!$U$3:$U$3000="RAYA")*(INPUT!$V$3:$V$3000+INPUT!$W$3:$W$3000+INPUT!$X$3:$X$3000+INPUT!$Y$3:$Y$3000))),"")</f>
        <v/>
      </c>
      <c r="GB18" s="42" t="str" cm="1">
        <f t="array" ref="GB18">IFERROR(IF(SUMPRODUCT((INPUT!$T$3:$T$3000=46122)*(INPUT!$U$3:$U$3000="RAYA"))=0,"",SUMPRODUCT((INPUT!$T$3:$T$3000=46122)*(INPUT!$U$3:$U$3000="RAYA")*(INPUT!$V$3:$V$3000+INPUT!$W$3:$W$3000+INPUT!$X$3:$X$3000+INPUT!$Y$3:$Y$3000))),"")</f>
        <v/>
      </c>
      <c r="GC18" s="42" cm="1">
        <f t="array" ref="GC18">IFERROR(IF(SUMPRODUCT((INPUT!$T$3:$T$3000=46125)*(INPUT!$U$3:$U$3000="RAYA"))=0,"",SUMPRODUCT((INPUT!$T$3:$T$3000=46125)*(INPUT!$U$3:$U$3000="RAYA")*(INPUT!$V$3:$V$3000+INPUT!$W$3:$W$3000+INPUT!$X$3:$X$3000+INPUT!$Y$3:$Y$3000))),"")</f>
        <v>16</v>
      </c>
      <c r="GD18" s="42" cm="1">
        <f t="array" ref="GD18">IFERROR(IF(SUMPRODUCT((INPUT!$T$3:$T$3000=46126)*(INPUT!$U$3:$U$3000="RAYA"))=0,"",SUMPRODUCT((INPUT!$T$3:$T$3000=46126)*(INPUT!$U$3:$U$3000="RAYA")*(INPUT!$V$3:$V$3000+INPUT!$W$3:$W$3000+INPUT!$X$3:$X$3000+INPUT!$Y$3:$Y$3000))),"")</f>
        <v>20</v>
      </c>
      <c r="GE18" s="42" cm="1">
        <f t="array" ref="GE18">IFERROR(IF(SUMPRODUCT((INPUT!$T$3:$T$3000=46127)*(INPUT!$U$3:$U$3000="RAYA"))=0,"",SUMPRODUCT((INPUT!$T$3:$T$3000=46127)*(INPUT!$U$3:$U$3000="RAYA")*(INPUT!$V$3:$V$3000+INPUT!$W$3:$W$3000+INPUT!$X$3:$X$3000+INPUT!$Y$3:$Y$3000))),"")</f>
        <v>20</v>
      </c>
      <c r="GF18" s="42" cm="1">
        <f t="array" ref="GF18">IFERROR(IF(SUMPRODUCT((INPUT!$T$3:$T$3000=46128)*(INPUT!$U$3:$U$3000="RAYA"))=0,"",SUMPRODUCT((INPUT!$T$3:$T$3000=46128)*(INPUT!$U$3:$U$3000="RAYA")*(INPUT!$V$3:$V$3000+INPUT!$W$3:$W$3000+INPUT!$X$3:$X$3000+INPUT!$Y$3:$Y$3000))),"")</f>
        <v>20</v>
      </c>
      <c r="GG18" s="42" cm="1">
        <f t="array" ref="GG18">IFERROR(IF(SUMPRODUCT((INPUT!$T$3:$T$3000=46129)*(INPUT!$U$3:$U$3000="RAYA"))=0,"",SUMPRODUCT((INPUT!$T$3:$T$3000=46129)*(INPUT!$U$3:$U$3000="RAYA")*(INPUT!$V$3:$V$3000+INPUT!$W$3:$W$3000+INPUT!$X$3:$X$3000+INPUT!$Y$3:$Y$3000))),"")</f>
        <v>20</v>
      </c>
      <c r="GH18" s="42" cm="1">
        <f t="array" ref="GH18">IFERROR(IF(SUMPRODUCT((INPUT!$T$3:$T$3000=46130)*(INPUT!$U$3:$U$3000="RAYA"))=0,"",SUMPRODUCT((INPUT!$T$3:$T$3000=46130)*(INPUT!$U$3:$U$3000="RAYA")*(INPUT!$V$3:$V$3000+INPUT!$W$3:$W$3000+INPUT!$X$3:$X$3000+INPUT!$Y$3:$Y$3000))),"")</f>
        <v>20</v>
      </c>
      <c r="GI18" s="42" cm="1">
        <f t="array" ref="GI18">IFERROR(IF(SUMPRODUCT((INPUT!$T$3:$T$3000=46132)*(INPUT!$U$3:$U$3000="RAYA"))=0,"",SUMPRODUCT((INPUT!$T$3:$T$3000=46132)*(INPUT!$U$3:$U$3000="RAYA")*(INPUT!$V$3:$V$3000+INPUT!$W$3:$W$3000+INPUT!$X$3:$X$3000+INPUT!$Y$3:$Y$3000))),"")</f>
        <v>17</v>
      </c>
    </row>
    <row r="19" spans="1:191" x14ac:dyDescent="0.2">
      <c r="A19" t="s">
        <v>56</v>
      </c>
      <c r="B19" s="42" cm="1">
        <f t="array" ref="B19">IFERROR(IF(SUMPRODUCT((INPUT!$T$3:$T$3000=45868)*(INPUT!$U$3:$U$3000="RUBIO"))=0,"",SUMPRODUCT((INPUT!$T$3:$T$3000=45868)*(INPUT!$U$3:$U$3000="RUBIO")*(INPUT!$V$3:$V$3000+INPUT!$W$3:$W$3000+INPUT!$X$3:$X$3000+INPUT!$Y$3:$Y$3000))),"")</f>
        <v>18</v>
      </c>
      <c r="C19" s="42" cm="1">
        <f t="array" ref="C19">IFERROR(IF(SUMPRODUCT((INPUT!$T$3:$T$3000=45869)*(INPUT!$U$3:$U$3000="RUBIO"))=0,"",SUMPRODUCT((INPUT!$T$3:$T$3000=45869)*(INPUT!$U$3:$U$3000="RUBIO")*(INPUT!$V$3:$V$3000+INPUT!$W$3:$W$3000+INPUT!$X$3:$X$3000+INPUT!$Y$3:$Y$3000))),"")</f>
        <v>18</v>
      </c>
      <c r="D19" s="42" cm="1">
        <f t="array" ref="D19">IFERROR(IF(SUMPRODUCT((INPUT!$T$3:$T$3000=45870)*(INPUT!$U$3:$U$3000="RUBIO"))=0,"",SUMPRODUCT((INPUT!$T$3:$T$3000=45870)*(INPUT!$U$3:$U$3000="RUBIO")*(INPUT!$V$3:$V$3000+INPUT!$W$3:$W$3000+INPUT!$X$3:$X$3000+INPUT!$Y$3:$Y$3000))),"")</f>
        <v>13</v>
      </c>
      <c r="E19" s="42" cm="1">
        <f t="array" ref="E19">IFERROR(IF(SUMPRODUCT((INPUT!$T$3:$T$3000=45873)*(INPUT!$U$3:$U$3000="RUBIO"))=0,"",SUMPRODUCT((INPUT!$T$3:$T$3000=45873)*(INPUT!$U$3:$U$3000="RUBIO")*(INPUT!$V$3:$V$3000+INPUT!$W$3:$W$3000+INPUT!$X$3:$X$3000+INPUT!$Y$3:$Y$3000))),"")</f>
        <v>17</v>
      </c>
      <c r="F19" s="42" cm="1">
        <f t="array" ref="F19">IFERROR(IF(SUMPRODUCT((INPUT!$T$3:$T$3000=45874)*(INPUT!$U$3:$U$3000="RUBIO"))=0,"",SUMPRODUCT((INPUT!$T$3:$T$3000=45874)*(INPUT!$U$3:$U$3000="RUBIO")*(INPUT!$V$3:$V$3000+INPUT!$W$3:$W$3000+INPUT!$X$3:$X$3000+INPUT!$Y$3:$Y$3000))),"")</f>
        <v>16</v>
      </c>
      <c r="G19" s="42" cm="1">
        <f t="array" ref="G19">IFERROR(IF(SUMPRODUCT((INPUT!$T$3:$T$3000=45875)*(INPUT!$U$3:$U$3000="RUBIO"))=0,"",SUMPRODUCT((INPUT!$T$3:$T$3000=45875)*(INPUT!$U$3:$U$3000="RUBIO")*(INPUT!$V$3:$V$3000+INPUT!$W$3:$W$3000+INPUT!$X$3:$X$3000+INPUT!$Y$3:$Y$3000))),"")</f>
        <v>16</v>
      </c>
      <c r="H19" s="42" cm="1">
        <f t="array" ref="H19">IFERROR(IF(SUMPRODUCT((INPUT!$T$3:$T$3000=45876)*(INPUT!$U$3:$U$3000="RUBIO"))=0,"",SUMPRODUCT((INPUT!$T$3:$T$3000=45876)*(INPUT!$U$3:$U$3000="RUBIO")*(INPUT!$V$3:$V$3000+INPUT!$W$3:$W$3000+INPUT!$X$3:$X$3000+INPUT!$Y$3:$Y$3000))),"")</f>
        <v>17</v>
      </c>
      <c r="I19" s="42" cm="1">
        <f t="array" ref="I19">IFERROR(IF(SUMPRODUCT((INPUT!$T$3:$T$3000=45877)*(INPUT!$U$3:$U$3000="RUBIO"))=0,"",SUMPRODUCT((INPUT!$T$3:$T$3000=45877)*(INPUT!$U$3:$U$3000="RUBIO")*(INPUT!$V$3:$V$3000+INPUT!$W$3:$W$3000+INPUT!$X$3:$X$3000+INPUT!$Y$3:$Y$3000))),"")</f>
        <v>15</v>
      </c>
      <c r="J19" s="42" cm="1">
        <f t="array" ref="J19">IFERROR(IF(SUMPRODUCT((INPUT!$T$3:$T$3000=45878)*(INPUT!$U$3:$U$3000="RUBIO"))=0,"",SUMPRODUCT((INPUT!$T$3:$T$3000=45878)*(INPUT!$U$3:$U$3000="RUBIO")*(INPUT!$V$3:$V$3000+INPUT!$W$3:$W$3000+INPUT!$X$3:$X$3000+INPUT!$Y$3:$Y$3000))),"")</f>
        <v>15</v>
      </c>
      <c r="K19" s="42" cm="1">
        <f t="array" ref="K19">IFERROR(IF(SUMPRODUCT((INPUT!$T$3:$T$3000=45880)*(INPUT!$U$3:$U$3000="RUBIO"))=0,"",SUMPRODUCT((INPUT!$T$3:$T$3000=45880)*(INPUT!$U$3:$U$3000="RUBIO")*(INPUT!$V$3:$V$3000+INPUT!$W$3:$W$3000+INPUT!$X$3:$X$3000+INPUT!$Y$3:$Y$3000))),"")</f>
        <v>17</v>
      </c>
      <c r="L19" s="42" cm="1">
        <f t="array" ref="L19">IFERROR(IF(SUMPRODUCT((INPUT!$T$3:$T$3000=45881)*(INPUT!$U$3:$U$3000="RUBIO"))=0,"",SUMPRODUCT((INPUT!$T$3:$T$3000=45881)*(INPUT!$U$3:$U$3000="RUBIO")*(INPUT!$V$3:$V$3000+INPUT!$W$3:$W$3000+INPUT!$X$3:$X$3000+INPUT!$Y$3:$Y$3000))),"")</f>
        <v>17</v>
      </c>
      <c r="M19" s="42" cm="1">
        <f t="array" ref="M19">IFERROR(IF(SUMPRODUCT((INPUT!$T$3:$T$3000=45882)*(INPUT!$U$3:$U$3000="RUBIO"))=0,"",SUMPRODUCT((INPUT!$T$3:$T$3000=45882)*(INPUT!$U$3:$U$3000="RUBIO")*(INPUT!$V$3:$V$3000+INPUT!$W$3:$W$3000+INPUT!$X$3:$X$3000+INPUT!$Y$3:$Y$3000))),"")</f>
        <v>16</v>
      </c>
      <c r="N19" s="42" cm="1">
        <f t="array" ref="N19">IFERROR(IF(SUMPRODUCT((INPUT!$T$3:$T$3000=45883)*(INPUT!$U$3:$U$3000="RUBIO"))=0,"",SUMPRODUCT((INPUT!$T$3:$T$3000=45883)*(INPUT!$U$3:$U$3000="RUBIO")*(INPUT!$V$3:$V$3000+INPUT!$W$3:$W$3000+INPUT!$X$3:$X$3000+INPUT!$Y$3:$Y$3000))),"")</f>
        <v>14</v>
      </c>
      <c r="O19" s="42" cm="1">
        <f t="array" ref="O19">IFERROR(IF(SUMPRODUCT((INPUT!$T$3:$T$3000=45884)*(INPUT!$U$3:$U$3000="RUBIO"))=0,"",SUMPRODUCT((INPUT!$T$3:$T$3000=45884)*(INPUT!$U$3:$U$3000="RUBIO")*(INPUT!$V$3:$V$3000+INPUT!$W$3:$W$3000+INPUT!$X$3:$X$3000+INPUT!$Y$3:$Y$3000))),"")</f>
        <v>17</v>
      </c>
      <c r="P19" s="42" cm="1">
        <f t="array" ref="P19">IFERROR(IF(SUMPRODUCT((INPUT!$T$3:$T$3000=45887)*(INPUT!$U$3:$U$3000="RUBIO"))=0,"",SUMPRODUCT((INPUT!$T$3:$T$3000=45887)*(INPUT!$U$3:$U$3000="RUBIO")*(INPUT!$V$3:$V$3000+INPUT!$W$3:$W$3000+INPUT!$X$3:$X$3000+INPUT!$Y$3:$Y$3000))),"")</f>
        <v>17</v>
      </c>
      <c r="Q19" s="42" cm="1">
        <f t="array" ref="Q19">IFERROR(IF(SUMPRODUCT((INPUT!$T$3:$T$3000=45888)*(INPUT!$U$3:$U$3000="RUBIO"))=0,"",SUMPRODUCT((INPUT!$T$3:$T$3000=45888)*(INPUT!$U$3:$U$3000="RUBIO")*(INPUT!$V$3:$V$3000+INPUT!$W$3:$W$3000+INPUT!$X$3:$X$3000+INPUT!$Y$3:$Y$3000))),"")</f>
        <v>17</v>
      </c>
      <c r="R19" s="42" cm="1">
        <f t="array" ref="R19">IFERROR(IF(SUMPRODUCT((INPUT!$T$3:$T$3000=45889)*(INPUT!$U$3:$U$3000="RUBIO"))=0,"",SUMPRODUCT((INPUT!$T$3:$T$3000=45889)*(INPUT!$U$3:$U$3000="RUBIO")*(INPUT!$V$3:$V$3000+INPUT!$W$3:$W$3000+INPUT!$X$3:$X$3000+INPUT!$Y$3:$Y$3000))),"")</f>
        <v>17</v>
      </c>
      <c r="S19" s="42" cm="1">
        <f t="array" ref="S19">IFERROR(IF(SUMPRODUCT((INPUT!$T$3:$T$3000=45890)*(INPUT!$U$3:$U$3000="RUBIO"))=0,"",SUMPRODUCT((INPUT!$T$3:$T$3000=45890)*(INPUT!$U$3:$U$3000="RUBIO")*(INPUT!$V$3:$V$3000+INPUT!$W$3:$W$3000+INPUT!$X$3:$X$3000+INPUT!$Y$3:$Y$3000))),"")</f>
        <v>17</v>
      </c>
      <c r="T19" s="42" cm="1">
        <f t="array" ref="T19">IFERROR(IF(SUMPRODUCT((INPUT!$T$3:$T$3000=45891)*(INPUT!$U$3:$U$3000="RUBIO"))=0,"",SUMPRODUCT((INPUT!$T$3:$T$3000=45891)*(INPUT!$U$3:$U$3000="RUBIO")*(INPUT!$V$3:$V$3000+INPUT!$W$3:$W$3000+INPUT!$X$3:$X$3000+INPUT!$Y$3:$Y$3000))),"")</f>
        <v>17</v>
      </c>
      <c r="U19" s="42" cm="1">
        <f t="array" ref="U19">IFERROR(IF(SUMPRODUCT((INPUT!$T$3:$T$3000=45892)*(INPUT!$U$3:$U$3000="RUBIO"))=0,"",SUMPRODUCT((INPUT!$T$3:$T$3000=45892)*(INPUT!$U$3:$U$3000="RUBIO")*(INPUT!$V$3:$V$3000+INPUT!$W$3:$W$3000+INPUT!$X$3:$X$3000+INPUT!$Y$3:$Y$3000))),"")</f>
        <v>17</v>
      </c>
      <c r="V19" s="42" cm="1">
        <f t="array" ref="V19">IFERROR(IF(SUMPRODUCT((INPUT!$T$3:$T$3000=45893)*(INPUT!$U$3:$U$3000="RUBIO"))=0,"",SUMPRODUCT((INPUT!$T$3:$T$3000=45893)*(INPUT!$U$3:$U$3000="RUBIO")*(INPUT!$V$3:$V$3000+INPUT!$W$3:$W$3000+INPUT!$X$3:$X$3000+INPUT!$Y$3:$Y$3000))),"")</f>
        <v>18</v>
      </c>
      <c r="W19" s="42" cm="1">
        <f t="array" ref="W19">IFERROR(IF(SUMPRODUCT((INPUT!$T$3:$T$3000=45895)*(INPUT!$U$3:$U$3000="RUBIO"))=0,"",SUMPRODUCT((INPUT!$T$3:$T$3000=45895)*(INPUT!$U$3:$U$3000="RUBIO")*(INPUT!$V$3:$V$3000+INPUT!$W$3:$W$3000+INPUT!$X$3:$X$3000+INPUT!$Y$3:$Y$3000))),"")</f>
        <v>17</v>
      </c>
      <c r="X19" s="42" cm="1">
        <f t="array" ref="X19">IFERROR(IF(SUMPRODUCT((INPUT!$T$3:$T$3000=45896)*(INPUT!$U$3:$U$3000="RUBIO"))=0,"",SUMPRODUCT((INPUT!$T$3:$T$3000=45896)*(INPUT!$U$3:$U$3000="RUBIO")*(INPUT!$V$3:$V$3000+INPUT!$W$3:$W$3000+INPUT!$X$3:$X$3000+INPUT!$Y$3:$Y$3000))),"")</f>
        <v>17</v>
      </c>
      <c r="Y19" s="42" cm="1">
        <f t="array" ref="Y19">IFERROR(IF(SUMPRODUCT((INPUT!$T$3:$T$3000=45898)*(INPUT!$U$3:$U$3000="RUBIO"))=0,"",SUMPRODUCT((INPUT!$T$3:$T$3000=45898)*(INPUT!$U$3:$U$3000="RUBIO")*(INPUT!$V$3:$V$3000+INPUT!$W$3:$W$3000+INPUT!$X$3:$X$3000+INPUT!$Y$3:$Y$3000))),"")</f>
        <v>17</v>
      </c>
      <c r="Z19" s="42" cm="1">
        <f t="array" ref="Z19">IFERROR(IF(SUMPRODUCT((INPUT!$T$3:$T$3000=45899)*(INPUT!$U$3:$U$3000="RUBIO"))=0,"",SUMPRODUCT((INPUT!$T$3:$T$3000=45899)*(INPUT!$U$3:$U$3000="RUBIO")*(INPUT!$V$3:$V$3000+INPUT!$W$3:$W$3000+INPUT!$X$3:$X$3000+INPUT!$Y$3:$Y$3000))),"")</f>
        <v>18</v>
      </c>
      <c r="AA19" s="42" cm="1">
        <f t="array" ref="AA19">IFERROR(IF(SUMPRODUCT((INPUT!$T$3:$T$3000=45900)*(INPUT!$U$3:$U$3000="RUBIO"))=0,"",SUMPRODUCT((INPUT!$T$3:$T$3000=45900)*(INPUT!$U$3:$U$3000="RUBIO")*(INPUT!$V$3:$V$3000+INPUT!$W$3:$W$3000+INPUT!$X$3:$X$3000+INPUT!$Y$3:$Y$3000))),"")</f>
        <v>18</v>
      </c>
      <c r="AB19" s="42" cm="1">
        <f t="array" ref="AB19">IFERROR(IF(SUMPRODUCT((INPUT!$T$3:$T$3000=45902)*(INPUT!$U$3:$U$3000="RUBIO"))=0,"",SUMPRODUCT((INPUT!$T$3:$T$3000=45902)*(INPUT!$U$3:$U$3000="RUBIO")*(INPUT!$V$3:$V$3000+INPUT!$W$3:$W$3000+INPUT!$X$3:$X$3000+INPUT!$Y$3:$Y$3000))),"")</f>
        <v>17</v>
      </c>
      <c r="AC19" s="42" cm="1">
        <f t="array" ref="AC19">IFERROR(IF(SUMPRODUCT((INPUT!$T$3:$T$3000=45903)*(INPUT!$U$3:$U$3000="RUBIO"))=0,"",SUMPRODUCT((INPUT!$T$3:$T$3000=45903)*(INPUT!$U$3:$U$3000="RUBIO")*(INPUT!$V$3:$V$3000+INPUT!$W$3:$W$3000+INPUT!$X$3:$X$3000+INPUT!$Y$3:$Y$3000))),"")</f>
        <v>16</v>
      </c>
      <c r="AD19" s="42" cm="1">
        <f t="array" ref="AD19">IFERROR(IF(SUMPRODUCT((INPUT!$T$3:$T$3000=45904)*(INPUT!$U$3:$U$3000="RUBIO"))=0,"",SUMPRODUCT((INPUT!$T$3:$T$3000=45904)*(INPUT!$U$3:$U$3000="RUBIO")*(INPUT!$V$3:$V$3000+INPUT!$W$3:$W$3000+INPUT!$X$3:$X$3000+INPUT!$Y$3:$Y$3000))),"")</f>
        <v>16</v>
      </c>
      <c r="AE19" s="42" cm="1">
        <f t="array" ref="AE19">IFERROR(IF(SUMPRODUCT((INPUT!$T$3:$T$3000=45905)*(INPUT!$U$3:$U$3000="RUBIO"))=0,"",SUMPRODUCT((INPUT!$T$3:$T$3000=45905)*(INPUT!$U$3:$U$3000="RUBIO")*(INPUT!$V$3:$V$3000+INPUT!$W$3:$W$3000+INPUT!$X$3:$X$3000+INPUT!$Y$3:$Y$3000))),"")</f>
        <v>18</v>
      </c>
      <c r="AF19" s="42" cm="1">
        <f t="array" ref="AF19">IFERROR(IF(SUMPRODUCT((INPUT!$T$3:$T$3000=45906)*(INPUT!$U$3:$U$3000="RUBIO"))=0,"",SUMPRODUCT((INPUT!$T$3:$T$3000=45906)*(INPUT!$U$3:$U$3000="RUBIO")*(INPUT!$V$3:$V$3000+INPUT!$W$3:$W$3000+INPUT!$X$3:$X$3000+INPUT!$Y$3:$Y$3000))),"")</f>
        <v>19</v>
      </c>
      <c r="AG19" s="42" cm="1">
        <f t="array" ref="AG19">IFERROR(IF(SUMPRODUCT((INPUT!$T$3:$T$3000=45908)*(INPUT!$U$3:$U$3000="RUBIO"))=0,"",SUMPRODUCT((INPUT!$T$3:$T$3000=45908)*(INPUT!$U$3:$U$3000="RUBIO")*(INPUT!$V$3:$V$3000+INPUT!$W$3:$W$3000+INPUT!$X$3:$X$3000+INPUT!$Y$3:$Y$3000))),"")</f>
        <v>17</v>
      </c>
      <c r="AH19" s="42" cm="1">
        <f t="array" ref="AH19">IFERROR(IF(SUMPRODUCT((INPUT!$T$3:$T$3000=45909)*(INPUT!$U$3:$U$3000="RUBIO"))=0,"",SUMPRODUCT((INPUT!$T$3:$T$3000=45909)*(INPUT!$U$3:$U$3000="RUBIO")*(INPUT!$V$3:$V$3000+INPUT!$W$3:$W$3000+INPUT!$X$3:$X$3000+INPUT!$Y$3:$Y$3000))),"")</f>
        <v>20</v>
      </c>
      <c r="AI19" s="42" cm="1">
        <f t="array" ref="AI19">IFERROR(IF(SUMPRODUCT((INPUT!$T$3:$T$3000=45911)*(INPUT!$U$3:$U$3000="RUBIO"))=0,"",SUMPRODUCT((INPUT!$T$3:$T$3000=45911)*(INPUT!$U$3:$U$3000="RUBIO")*(INPUT!$V$3:$V$3000+INPUT!$W$3:$W$3000+INPUT!$X$3:$X$3000+INPUT!$Y$3:$Y$3000))),"")</f>
        <v>14</v>
      </c>
      <c r="AJ19" s="42" cm="1">
        <f t="array" ref="AJ19">IFERROR(IF(SUMPRODUCT((INPUT!$T$3:$T$3000=45912)*(INPUT!$U$3:$U$3000="RUBIO"))=0,"",SUMPRODUCT((INPUT!$T$3:$T$3000=45912)*(INPUT!$U$3:$U$3000="RUBIO")*(INPUT!$V$3:$V$3000+INPUT!$W$3:$W$3000+INPUT!$X$3:$X$3000+INPUT!$Y$3:$Y$3000))),"")</f>
        <v>17</v>
      </c>
      <c r="AK19" s="42" cm="1">
        <f t="array" ref="AK19">IFERROR(IF(SUMPRODUCT((INPUT!$T$3:$T$3000=45913)*(INPUT!$U$3:$U$3000="RUBIO"))=0,"",SUMPRODUCT((INPUT!$T$3:$T$3000=45913)*(INPUT!$U$3:$U$3000="RUBIO")*(INPUT!$V$3:$V$3000+INPUT!$W$3:$W$3000+INPUT!$X$3:$X$3000+INPUT!$Y$3:$Y$3000))),"")</f>
        <v>19</v>
      </c>
      <c r="AL19" s="42" cm="1">
        <f t="array" ref="AL19">IFERROR(IF(SUMPRODUCT((INPUT!$T$3:$T$3000=45915)*(INPUT!$U$3:$U$3000="RUBIO"))=0,"",SUMPRODUCT((INPUT!$T$3:$T$3000=45915)*(INPUT!$U$3:$U$3000="RUBIO")*(INPUT!$V$3:$V$3000+INPUT!$W$3:$W$3000+INPUT!$X$3:$X$3000+INPUT!$Y$3:$Y$3000))),"")</f>
        <v>17</v>
      </c>
      <c r="AM19" s="42" cm="1">
        <f t="array" ref="AM19">IFERROR(IF(SUMPRODUCT((INPUT!$T$3:$T$3000=45916)*(INPUT!$U$3:$U$3000="RUBIO"))=0,"",SUMPRODUCT((INPUT!$T$3:$T$3000=45916)*(INPUT!$U$3:$U$3000="RUBIO")*(INPUT!$V$3:$V$3000+INPUT!$W$3:$W$3000+INPUT!$X$3:$X$3000+INPUT!$Y$3:$Y$3000))),"")</f>
        <v>17</v>
      </c>
      <c r="AN19" s="42" cm="1">
        <f t="array" ref="AN19">IFERROR(IF(SUMPRODUCT((INPUT!$T$3:$T$3000=45917)*(INPUT!$U$3:$U$3000="RUBIO"))=0,"",SUMPRODUCT((INPUT!$T$3:$T$3000=45917)*(INPUT!$U$3:$U$3000="RUBIO")*(INPUT!$V$3:$V$3000+INPUT!$W$3:$W$3000+INPUT!$X$3:$X$3000+INPUT!$Y$3:$Y$3000))),"")</f>
        <v>16</v>
      </c>
      <c r="AO19" s="42" t="str" cm="1">
        <f t="array" ref="AO19">IFERROR(IF(SUMPRODUCT((INPUT!$T$3:$T$3000=45918)*(INPUT!$U$3:$U$3000="RUBIO"))=0,"",SUMPRODUCT((INPUT!$T$3:$T$3000=45918)*(INPUT!$U$3:$U$3000="RUBIO")*(INPUT!$V$3:$V$3000+INPUT!$W$3:$W$3000+INPUT!$X$3:$X$3000+INPUT!$Y$3:$Y$3000))),"")</f>
        <v/>
      </c>
      <c r="AP19" s="42" cm="1">
        <f t="array" ref="AP19">IFERROR(IF(SUMPRODUCT((INPUT!$T$3:$T$3000=45919)*(INPUT!$U$3:$U$3000="RUBIO"))=0,"",SUMPRODUCT((INPUT!$T$3:$T$3000=45919)*(INPUT!$U$3:$U$3000="RUBIO")*(INPUT!$V$3:$V$3000+INPUT!$W$3:$W$3000+INPUT!$X$3:$X$3000+INPUT!$Y$3:$Y$3000))),"")</f>
        <v>12</v>
      </c>
      <c r="AQ19" s="42" cm="1">
        <f t="array" ref="AQ19">IFERROR(IF(SUMPRODUCT((INPUT!$T$3:$T$3000=45922)*(INPUT!$U$3:$U$3000="RUBIO"))=0,"",SUMPRODUCT((INPUT!$T$3:$T$3000=45922)*(INPUT!$U$3:$U$3000="RUBIO")*(INPUT!$V$3:$V$3000+INPUT!$W$3:$W$3000+INPUT!$X$3:$X$3000+INPUT!$Y$3:$Y$3000))),"")</f>
        <v>15</v>
      </c>
      <c r="AR19" s="42" cm="1">
        <f t="array" ref="AR19">IFERROR(IF(SUMPRODUCT((INPUT!$T$3:$T$3000=45923)*(INPUT!$U$3:$U$3000="RUBIO"))=0,"",SUMPRODUCT((INPUT!$T$3:$T$3000=45923)*(INPUT!$U$3:$U$3000="RUBIO")*(INPUT!$V$3:$V$3000+INPUT!$W$3:$W$3000+INPUT!$X$3:$X$3000+INPUT!$Y$3:$Y$3000))),"")</f>
        <v>16</v>
      </c>
      <c r="AS19" s="42" cm="1">
        <f t="array" ref="AS19">IFERROR(IF(SUMPRODUCT((INPUT!$T$3:$T$3000=45924)*(INPUT!$U$3:$U$3000="RUBIO"))=0,"",SUMPRODUCT((INPUT!$T$3:$T$3000=45924)*(INPUT!$U$3:$U$3000="RUBIO")*(INPUT!$V$3:$V$3000+INPUT!$W$3:$W$3000+INPUT!$X$3:$X$3000+INPUT!$Y$3:$Y$3000))),"")</f>
        <v>16</v>
      </c>
      <c r="AT19" s="42" cm="1">
        <f t="array" ref="AT19">IFERROR(IF(SUMPRODUCT((INPUT!$T$3:$T$3000=45925)*(INPUT!$U$3:$U$3000="RUBIO"))=0,"",SUMPRODUCT((INPUT!$T$3:$T$3000=45925)*(INPUT!$U$3:$U$3000="RUBIO")*(INPUT!$V$3:$V$3000+INPUT!$W$3:$W$3000+INPUT!$X$3:$X$3000+INPUT!$Y$3:$Y$3000))),"")</f>
        <v>15</v>
      </c>
      <c r="AU19" s="42" cm="1">
        <f t="array" ref="AU19">IFERROR(IF(SUMPRODUCT((INPUT!$T$3:$T$3000=45926)*(INPUT!$U$3:$U$3000="RUBIO"))=0,"",SUMPRODUCT((INPUT!$T$3:$T$3000=45926)*(INPUT!$U$3:$U$3000="RUBIO")*(INPUT!$V$3:$V$3000+INPUT!$W$3:$W$3000+INPUT!$X$3:$X$3000+INPUT!$Y$3:$Y$3000))),"")</f>
        <v>16</v>
      </c>
      <c r="AV19" s="42" cm="1">
        <f t="array" ref="AV19">IFERROR(IF(SUMPRODUCT((INPUT!$T$3:$T$3000=45927)*(INPUT!$U$3:$U$3000="RUBIO"))=0,"",SUMPRODUCT((INPUT!$T$3:$T$3000=45927)*(INPUT!$U$3:$U$3000="RUBIO")*(INPUT!$V$3:$V$3000+INPUT!$W$3:$W$3000+INPUT!$X$3:$X$3000+INPUT!$Y$3:$Y$3000))),"")</f>
        <v>17</v>
      </c>
      <c r="AW19" s="42" cm="1">
        <f t="array" ref="AW19">IFERROR(IF(SUMPRODUCT((INPUT!$T$3:$T$3000=45929)*(INPUT!$U$3:$U$3000="RUBIO"))=0,"",SUMPRODUCT((INPUT!$T$3:$T$3000=45929)*(INPUT!$U$3:$U$3000="RUBIO")*(INPUT!$V$3:$V$3000+INPUT!$W$3:$W$3000+INPUT!$X$3:$X$3000+INPUT!$Y$3:$Y$3000))),"")</f>
        <v>15</v>
      </c>
      <c r="AX19" s="42" cm="1">
        <f t="array" ref="AX19">IFERROR(IF(SUMPRODUCT((INPUT!$T$3:$T$3000=45930)*(INPUT!$U$3:$U$3000="RUBIO"))=0,"",SUMPRODUCT((INPUT!$T$3:$T$3000=45930)*(INPUT!$U$3:$U$3000="RUBIO")*(INPUT!$V$3:$V$3000+INPUT!$W$3:$W$3000+INPUT!$X$3:$X$3000+INPUT!$Y$3:$Y$3000))),"")</f>
        <v>15</v>
      </c>
      <c r="AY19" s="42" cm="1">
        <f t="array" ref="AY19">IFERROR(IF(SUMPRODUCT((INPUT!$T$3:$T$3000=45931)*(INPUT!$U$3:$U$3000="RUBIO"))=0,"",SUMPRODUCT((INPUT!$T$3:$T$3000=45931)*(INPUT!$U$3:$U$3000="RUBIO")*(INPUT!$V$3:$V$3000+INPUT!$W$3:$W$3000+INPUT!$X$3:$X$3000+INPUT!$Y$3:$Y$3000))),"")</f>
        <v>17</v>
      </c>
      <c r="AZ19" s="42" cm="1">
        <f t="array" ref="AZ19">IFERROR(IF(SUMPRODUCT((INPUT!$T$3:$T$3000=45932)*(INPUT!$U$3:$U$3000="RUBIO"))=0,"",SUMPRODUCT((INPUT!$T$3:$T$3000=45932)*(INPUT!$U$3:$U$3000="RUBIO")*(INPUT!$V$3:$V$3000+INPUT!$W$3:$W$3000+INPUT!$X$3:$X$3000+INPUT!$Y$3:$Y$3000))),"")</f>
        <v>15</v>
      </c>
      <c r="BA19" s="42" cm="1">
        <f t="array" ref="BA19">IFERROR(IF(SUMPRODUCT((INPUT!$T$3:$T$3000=45933)*(INPUT!$U$3:$U$3000="RUBIO"))=0,"",SUMPRODUCT((INPUT!$T$3:$T$3000=45933)*(INPUT!$U$3:$U$3000="RUBIO")*(INPUT!$V$3:$V$3000+INPUT!$W$3:$W$3000+INPUT!$X$3:$X$3000+INPUT!$Y$3:$Y$3000))),"")</f>
        <v>16</v>
      </c>
      <c r="BB19" s="42" cm="1">
        <f t="array" ref="BB19">IFERROR(IF(SUMPRODUCT((INPUT!$T$3:$T$3000=45934)*(INPUT!$U$3:$U$3000="RUBIO"))=0,"",SUMPRODUCT((INPUT!$T$3:$T$3000=45934)*(INPUT!$U$3:$U$3000="RUBIO")*(INPUT!$V$3:$V$3000+INPUT!$W$3:$W$3000+INPUT!$X$3:$X$3000+INPUT!$Y$3:$Y$3000))),"")</f>
        <v>18</v>
      </c>
      <c r="BC19" s="42" cm="1">
        <f t="array" ref="BC19">IFERROR(IF(SUMPRODUCT((INPUT!$T$3:$T$3000=45936)*(INPUT!$U$3:$U$3000="RUBIO"))=0,"",SUMPRODUCT((INPUT!$T$3:$T$3000=45936)*(INPUT!$U$3:$U$3000="RUBIO")*(INPUT!$V$3:$V$3000+INPUT!$W$3:$W$3000+INPUT!$X$3:$X$3000+INPUT!$Y$3:$Y$3000))),"")</f>
        <v>17</v>
      </c>
      <c r="BD19" s="42" cm="1">
        <f t="array" ref="BD19">IFERROR(IF(SUMPRODUCT((INPUT!$T$3:$T$3000=45937)*(INPUT!$U$3:$U$3000="RUBIO"))=0,"",SUMPRODUCT((INPUT!$T$3:$T$3000=45937)*(INPUT!$U$3:$U$3000="RUBIO")*(INPUT!$V$3:$V$3000+INPUT!$W$3:$W$3000+INPUT!$X$3:$X$3000+INPUT!$Y$3:$Y$3000))),"")</f>
        <v>16</v>
      </c>
      <c r="BE19" s="42" cm="1">
        <f t="array" ref="BE19">IFERROR(IF(SUMPRODUCT((INPUT!$T$3:$T$3000=45938)*(INPUT!$U$3:$U$3000="RUBIO"))=0,"",SUMPRODUCT((INPUT!$T$3:$T$3000=45938)*(INPUT!$U$3:$U$3000="RUBIO")*(INPUT!$V$3:$V$3000+INPUT!$W$3:$W$3000+INPUT!$X$3:$X$3000+INPUT!$Y$3:$Y$3000))),"")</f>
        <v>17</v>
      </c>
      <c r="BF19" s="42" cm="1">
        <f t="array" ref="BF19">IFERROR(IF(SUMPRODUCT((INPUT!$T$3:$T$3000=45940)*(INPUT!$U$3:$U$3000="RUBIO"))=0,"",SUMPRODUCT((INPUT!$T$3:$T$3000=45940)*(INPUT!$U$3:$U$3000="RUBIO")*(INPUT!$V$3:$V$3000+INPUT!$W$3:$W$3000+INPUT!$X$3:$X$3000+INPUT!$Y$3:$Y$3000))),"")</f>
        <v>16</v>
      </c>
      <c r="BG19" s="42" cm="1">
        <f t="array" ref="BG19">IFERROR(IF(SUMPRODUCT((INPUT!$T$3:$T$3000=45941)*(INPUT!$U$3:$U$3000="RUBIO"))=0,"",SUMPRODUCT((INPUT!$T$3:$T$3000=45941)*(INPUT!$U$3:$U$3000="RUBIO")*(INPUT!$V$3:$V$3000+INPUT!$W$3:$W$3000+INPUT!$X$3:$X$3000+INPUT!$Y$3:$Y$3000))),"")</f>
        <v>17</v>
      </c>
      <c r="BH19" s="42" cm="1">
        <f t="array" ref="BH19">IFERROR(IF(SUMPRODUCT((INPUT!$T$3:$T$3000=45942)*(INPUT!$U$3:$U$3000="RUBIO"))=0,"",SUMPRODUCT((INPUT!$T$3:$T$3000=45942)*(INPUT!$U$3:$U$3000="RUBIO")*(INPUT!$V$3:$V$3000+INPUT!$W$3:$W$3000+INPUT!$X$3:$X$3000+INPUT!$Y$3:$Y$3000))),"")</f>
        <v>20</v>
      </c>
      <c r="BI19" s="42" cm="1">
        <f t="array" ref="BI19">IFERROR(IF(SUMPRODUCT((INPUT!$T$3:$T$3000=45945)*(INPUT!$U$3:$U$3000="RUBIO"))=0,"",SUMPRODUCT((INPUT!$T$3:$T$3000=45945)*(INPUT!$U$3:$U$3000="RUBIO")*(INPUT!$V$3:$V$3000+INPUT!$W$3:$W$3000+INPUT!$X$3:$X$3000+INPUT!$Y$3:$Y$3000))),"")</f>
        <v>15</v>
      </c>
      <c r="BJ19" s="42" cm="1">
        <f t="array" ref="BJ19">IFERROR(IF(SUMPRODUCT((INPUT!$T$3:$T$3000=45946)*(INPUT!$U$3:$U$3000="RUBIO"))=0,"",SUMPRODUCT((INPUT!$T$3:$T$3000=45946)*(INPUT!$U$3:$U$3000="RUBIO")*(INPUT!$V$3:$V$3000+INPUT!$W$3:$W$3000+INPUT!$X$3:$X$3000+INPUT!$Y$3:$Y$3000))),"")</f>
        <v>16</v>
      </c>
      <c r="BK19" s="42" cm="1">
        <f t="array" ref="BK19">IFERROR(IF(SUMPRODUCT((INPUT!$T$3:$T$3000=45947)*(INPUT!$U$3:$U$3000="RUBIO"))=0,"",SUMPRODUCT((INPUT!$T$3:$T$3000=45947)*(INPUT!$U$3:$U$3000="RUBIO")*(INPUT!$V$3:$V$3000+INPUT!$W$3:$W$3000+INPUT!$X$3:$X$3000+INPUT!$Y$3:$Y$3000))),"")</f>
        <v>16</v>
      </c>
      <c r="BL19" s="42" cm="1">
        <f t="array" ref="BL19">IFERROR(IF(SUMPRODUCT((INPUT!$T$3:$T$3000=45950)*(INPUT!$U$3:$U$3000="RUBIO"))=0,"",SUMPRODUCT((INPUT!$T$3:$T$3000=45950)*(INPUT!$U$3:$U$3000="RUBIO")*(INPUT!$V$3:$V$3000+INPUT!$W$3:$W$3000+INPUT!$X$3:$X$3000+INPUT!$Y$3:$Y$3000))),"")</f>
        <v>19</v>
      </c>
      <c r="BM19" s="42" cm="1">
        <f t="array" ref="BM19">IFERROR(IF(SUMPRODUCT((INPUT!$T$3:$T$3000=45951)*(INPUT!$U$3:$U$3000="RUBIO"))=0,"",SUMPRODUCT((INPUT!$T$3:$T$3000=45951)*(INPUT!$U$3:$U$3000="RUBIO")*(INPUT!$V$3:$V$3000+INPUT!$W$3:$W$3000+INPUT!$X$3:$X$3000+INPUT!$Y$3:$Y$3000))),"")</f>
        <v>17</v>
      </c>
      <c r="BN19" s="42" cm="1">
        <f t="array" ref="BN19">IFERROR(IF(SUMPRODUCT((INPUT!$T$3:$T$3000=45952)*(INPUT!$U$3:$U$3000="RUBIO"))=0,"",SUMPRODUCT((INPUT!$T$3:$T$3000=45952)*(INPUT!$U$3:$U$3000="RUBIO")*(INPUT!$V$3:$V$3000+INPUT!$W$3:$W$3000+INPUT!$X$3:$X$3000+INPUT!$Y$3:$Y$3000))),"")</f>
        <v>16</v>
      </c>
      <c r="BO19" s="42" t="str" cm="1">
        <f t="array" ref="BO19">IFERROR(IF(SUMPRODUCT((INPUT!$T$3:$T$3000=45953)*(INPUT!$U$3:$U$3000="RUBIO"))=0,"",SUMPRODUCT((INPUT!$T$3:$T$3000=45953)*(INPUT!$U$3:$U$3000="RUBIO")*(INPUT!$V$3:$V$3000+INPUT!$W$3:$W$3000+INPUT!$X$3:$X$3000+INPUT!$Y$3:$Y$3000))),"")</f>
        <v/>
      </c>
      <c r="BP19" s="42" cm="1">
        <f t="array" ref="BP19">IFERROR(IF(SUMPRODUCT((INPUT!$T$3:$T$3000=45954)*(INPUT!$U$3:$U$3000="RUBIO"))=0,"",SUMPRODUCT((INPUT!$T$3:$T$3000=45954)*(INPUT!$U$3:$U$3000="RUBIO")*(INPUT!$V$3:$V$3000+INPUT!$W$3:$W$3000+INPUT!$X$3:$X$3000+INPUT!$Y$3:$Y$3000))),"")</f>
        <v>16</v>
      </c>
      <c r="BQ19" s="42" cm="1">
        <f t="array" ref="BQ19">IFERROR(IF(SUMPRODUCT((INPUT!$T$3:$T$3000=45955)*(INPUT!$U$3:$U$3000="RUBIO"))=0,"",SUMPRODUCT((INPUT!$T$3:$T$3000=45955)*(INPUT!$U$3:$U$3000="RUBIO")*(INPUT!$V$3:$V$3000+INPUT!$W$3:$W$3000+INPUT!$X$3:$X$3000+INPUT!$Y$3:$Y$3000))),"")</f>
        <v>16</v>
      </c>
      <c r="BR19" s="42" cm="1">
        <f t="array" ref="BR19">IFERROR(IF(SUMPRODUCT((INPUT!$T$3:$T$3000=45958)*(INPUT!$U$3:$U$3000="RUBIO"))=0,"",SUMPRODUCT((INPUT!$T$3:$T$3000=45958)*(INPUT!$U$3:$U$3000="RUBIO")*(INPUT!$V$3:$V$3000+INPUT!$W$3:$W$3000+INPUT!$X$3:$X$3000+INPUT!$Y$3:$Y$3000))),"")</f>
        <v>16</v>
      </c>
      <c r="BS19" s="42" t="str" cm="1">
        <f t="array" ref="BS19">IFERROR(IF(SUMPRODUCT((INPUT!$T$3:$T$3000=45959)*(INPUT!$U$3:$U$3000="RUBIO"))=0,"",SUMPRODUCT((INPUT!$T$3:$T$3000=45959)*(INPUT!$U$3:$U$3000="RUBIO")*(INPUT!$V$3:$V$3000+INPUT!$W$3:$W$3000+INPUT!$X$3:$X$3000+INPUT!$Y$3:$Y$3000))),"")</f>
        <v/>
      </c>
      <c r="BT19" s="42" cm="1">
        <f t="array" ref="BT19">IFERROR(IF(SUMPRODUCT((INPUT!$T$3:$T$3000=45960)*(INPUT!$U$3:$U$3000="RUBIO"))=0,"",SUMPRODUCT((INPUT!$T$3:$T$3000=45960)*(INPUT!$U$3:$U$3000="RUBIO")*(INPUT!$V$3:$V$3000+INPUT!$W$3:$W$3000+INPUT!$X$3:$X$3000+INPUT!$Y$3:$Y$3000))),"")</f>
        <v>16</v>
      </c>
      <c r="BU19" s="42" cm="1">
        <f t="array" ref="BU19">IFERROR(IF(SUMPRODUCT((INPUT!$T$3:$T$3000=45961)*(INPUT!$U$3:$U$3000="RUBIO"))=0,"",SUMPRODUCT((INPUT!$T$3:$T$3000=45961)*(INPUT!$U$3:$U$3000="RUBIO")*(INPUT!$V$3:$V$3000+INPUT!$W$3:$W$3000+INPUT!$X$3:$X$3000+INPUT!$Y$3:$Y$3000))),"")</f>
        <v>14</v>
      </c>
      <c r="BV19" s="42" cm="1">
        <f t="array" ref="BV19">IFERROR(IF(SUMPRODUCT((INPUT!$T$3:$T$3000=45964)*(INPUT!$U$3:$U$3000="RUBIO"))=0,"",SUMPRODUCT((INPUT!$T$3:$T$3000=45964)*(INPUT!$U$3:$U$3000="RUBIO")*(INPUT!$V$3:$V$3000+INPUT!$W$3:$W$3000+INPUT!$X$3:$X$3000+INPUT!$Y$3:$Y$3000))),"")</f>
        <v>17</v>
      </c>
      <c r="BW19" s="42" cm="1">
        <f t="array" ref="BW19">IFERROR(IF(SUMPRODUCT((INPUT!$T$3:$T$3000=45965)*(INPUT!$U$3:$U$3000="RUBIO"))=0,"",SUMPRODUCT((INPUT!$T$3:$T$3000=45965)*(INPUT!$U$3:$U$3000="RUBIO")*(INPUT!$V$3:$V$3000+INPUT!$W$3:$W$3000+INPUT!$X$3:$X$3000+INPUT!$Y$3:$Y$3000))),"")</f>
        <v>16</v>
      </c>
      <c r="BX19" s="42" cm="1">
        <f t="array" ref="BX19">IFERROR(IF(SUMPRODUCT((INPUT!$T$3:$T$3000=45966)*(INPUT!$U$3:$U$3000="RUBIO"))=0,"",SUMPRODUCT((INPUT!$T$3:$T$3000=45966)*(INPUT!$U$3:$U$3000="RUBIO")*(INPUT!$V$3:$V$3000+INPUT!$W$3:$W$3000+INPUT!$X$3:$X$3000+INPUT!$Y$3:$Y$3000))),"")</f>
        <v>15</v>
      </c>
      <c r="BY19" s="42" cm="1">
        <f t="array" ref="BY19">IFERROR(IF(SUMPRODUCT((INPUT!$T$3:$T$3000=45967)*(INPUT!$U$3:$U$3000="RUBIO"))=0,"",SUMPRODUCT((INPUT!$T$3:$T$3000=45967)*(INPUT!$U$3:$U$3000="RUBIO")*(INPUT!$V$3:$V$3000+INPUT!$W$3:$W$3000+INPUT!$X$3:$X$3000+INPUT!$Y$3:$Y$3000))),"")</f>
        <v>16</v>
      </c>
      <c r="BZ19" s="42" cm="1">
        <f t="array" ref="BZ19">IFERROR(IF(SUMPRODUCT((INPUT!$T$3:$T$3000=45968)*(INPUT!$U$3:$U$3000="RUBIO"))=0,"",SUMPRODUCT((INPUT!$T$3:$T$3000=45968)*(INPUT!$U$3:$U$3000="RUBIO")*(INPUT!$V$3:$V$3000+INPUT!$W$3:$W$3000+INPUT!$X$3:$X$3000+INPUT!$Y$3:$Y$3000))),"")</f>
        <v>19</v>
      </c>
      <c r="CA19" s="42" cm="1">
        <f t="array" ref="CA19">IFERROR(IF(SUMPRODUCT((INPUT!$T$3:$T$3000=45971)*(INPUT!$U$3:$U$3000="RUBIO"))=0,"",SUMPRODUCT((INPUT!$T$3:$T$3000=45971)*(INPUT!$U$3:$U$3000="RUBIO")*(INPUT!$V$3:$V$3000+INPUT!$W$3:$W$3000+INPUT!$X$3:$X$3000+INPUT!$Y$3:$Y$3000))),"")</f>
        <v>16</v>
      </c>
      <c r="CB19" s="42" cm="1">
        <f t="array" ref="CB19">IFERROR(IF(SUMPRODUCT((INPUT!$T$3:$T$3000=45972)*(INPUT!$U$3:$U$3000="RUBIO"))=0,"",SUMPRODUCT((INPUT!$T$3:$T$3000=45972)*(INPUT!$U$3:$U$3000="RUBIO")*(INPUT!$V$3:$V$3000+INPUT!$W$3:$W$3000+INPUT!$X$3:$X$3000+INPUT!$Y$3:$Y$3000))),"")</f>
        <v>17</v>
      </c>
      <c r="CC19" s="42" cm="1">
        <f t="array" ref="CC19">IFERROR(IF(SUMPRODUCT((INPUT!$T$3:$T$3000=45974)*(INPUT!$U$3:$U$3000="RUBIO"))=0,"",SUMPRODUCT((INPUT!$T$3:$T$3000=45974)*(INPUT!$U$3:$U$3000="RUBIO")*(INPUT!$V$3:$V$3000+INPUT!$W$3:$W$3000+INPUT!$X$3:$X$3000+INPUT!$Y$3:$Y$3000))),"")</f>
        <v>17</v>
      </c>
      <c r="CD19" s="42" cm="1">
        <f t="array" ref="CD19">IFERROR(IF(SUMPRODUCT((INPUT!$T$3:$T$3000=45975)*(INPUT!$U$3:$U$3000="RUBIO"))=0,"",SUMPRODUCT((INPUT!$T$3:$T$3000=45975)*(INPUT!$U$3:$U$3000="RUBIO")*(INPUT!$V$3:$V$3000+INPUT!$W$3:$W$3000+INPUT!$X$3:$X$3000+INPUT!$Y$3:$Y$3000))),"")</f>
        <v>17</v>
      </c>
      <c r="CE19" s="42" cm="1">
        <f t="array" ref="CE19">IFERROR(IF(SUMPRODUCT((INPUT!$T$3:$T$3000=45976)*(INPUT!$U$3:$U$3000="RUBIO"))=0,"",SUMPRODUCT((INPUT!$T$3:$T$3000=45976)*(INPUT!$U$3:$U$3000="RUBIO")*(INPUT!$V$3:$V$3000+INPUT!$W$3:$W$3000+INPUT!$X$3:$X$3000+INPUT!$Y$3:$Y$3000))),"")</f>
        <v>20</v>
      </c>
      <c r="CF19" s="42" cm="1">
        <f t="array" ref="CF19">IFERROR(IF(SUMPRODUCT((INPUT!$T$3:$T$3000=45978)*(INPUT!$U$3:$U$3000="RUBIO"))=0,"",SUMPRODUCT((INPUT!$T$3:$T$3000=45978)*(INPUT!$U$3:$U$3000="RUBIO")*(INPUT!$V$3:$V$3000+INPUT!$W$3:$W$3000+INPUT!$X$3:$X$3000+INPUT!$Y$3:$Y$3000))),"")</f>
        <v>17</v>
      </c>
      <c r="CG19" s="42" cm="1">
        <f t="array" ref="CG19">IFERROR(IF(SUMPRODUCT((INPUT!$T$3:$T$3000=45979)*(INPUT!$U$3:$U$3000="RUBIO"))=0,"",SUMPRODUCT((INPUT!$T$3:$T$3000=45979)*(INPUT!$U$3:$U$3000="RUBIO")*(INPUT!$V$3:$V$3000+INPUT!$W$3:$W$3000+INPUT!$X$3:$X$3000+INPUT!$Y$3:$Y$3000))),"")</f>
        <v>17</v>
      </c>
      <c r="CH19" s="42" cm="1">
        <f t="array" ref="CH19">IFERROR(IF(SUMPRODUCT((INPUT!$T$3:$T$3000=45980)*(INPUT!$U$3:$U$3000="RUBIO"))=0,"",SUMPRODUCT((INPUT!$T$3:$T$3000=45980)*(INPUT!$U$3:$U$3000="RUBIO")*(INPUT!$V$3:$V$3000+INPUT!$W$3:$W$3000+INPUT!$X$3:$X$3000+INPUT!$Y$3:$Y$3000))),"")</f>
        <v>17</v>
      </c>
      <c r="CI19" s="42" cm="1">
        <f t="array" ref="CI19">IFERROR(IF(SUMPRODUCT((INPUT!$T$3:$T$3000=45982)*(INPUT!$U$3:$U$3000="RUBIO"))=0,"",SUMPRODUCT((INPUT!$T$3:$T$3000=45982)*(INPUT!$U$3:$U$3000="RUBIO")*(INPUT!$V$3:$V$3000+INPUT!$W$3:$W$3000+INPUT!$X$3:$X$3000+INPUT!$Y$3:$Y$3000))),"")</f>
        <v>17</v>
      </c>
      <c r="CJ19" s="42" cm="1">
        <f t="array" ref="CJ19">IFERROR(IF(SUMPRODUCT((INPUT!$T$3:$T$3000=45983)*(INPUT!$U$3:$U$3000="RUBIO"))=0,"",SUMPRODUCT((INPUT!$T$3:$T$3000=45983)*(INPUT!$U$3:$U$3000="RUBIO")*(INPUT!$V$3:$V$3000+INPUT!$W$3:$W$3000+INPUT!$X$3:$X$3000+INPUT!$Y$3:$Y$3000))),"")</f>
        <v>18</v>
      </c>
      <c r="CK19" s="42" cm="1">
        <f t="array" ref="CK19">IFERROR(IF(SUMPRODUCT((INPUT!$T$3:$T$3000=45985)*(INPUT!$U$3:$U$3000="RUBIO"))=0,"",SUMPRODUCT((INPUT!$T$3:$T$3000=45985)*(INPUT!$U$3:$U$3000="RUBIO")*(INPUT!$V$3:$V$3000+INPUT!$W$3:$W$3000+INPUT!$X$3:$X$3000+INPUT!$Y$3:$Y$3000))),"")</f>
        <v>18</v>
      </c>
      <c r="CL19" s="42" cm="1">
        <f t="array" ref="CL19">IFERROR(IF(SUMPRODUCT((INPUT!$T$3:$T$3000=45986)*(INPUT!$U$3:$U$3000="RUBIO"))=0,"",SUMPRODUCT((INPUT!$T$3:$T$3000=45986)*(INPUT!$U$3:$U$3000="RUBIO")*(INPUT!$V$3:$V$3000+INPUT!$W$3:$W$3000+INPUT!$X$3:$X$3000+INPUT!$Y$3:$Y$3000))),"")</f>
        <v>17</v>
      </c>
      <c r="CM19" s="42" cm="1">
        <f t="array" ref="CM19">IFERROR(IF(SUMPRODUCT((INPUT!$T$3:$T$3000=45987)*(INPUT!$U$3:$U$3000="RUBIO"))=0,"",SUMPRODUCT((INPUT!$T$3:$T$3000=45987)*(INPUT!$U$3:$U$3000="RUBIO")*(INPUT!$V$3:$V$3000+INPUT!$W$3:$W$3000+INPUT!$X$3:$X$3000+INPUT!$Y$3:$Y$3000))),"")</f>
        <v>17</v>
      </c>
      <c r="CN19" s="42" cm="1">
        <f t="array" ref="CN19">IFERROR(IF(SUMPRODUCT((INPUT!$T$3:$T$3000=45988)*(INPUT!$U$3:$U$3000="RUBIO"))=0,"",SUMPRODUCT((INPUT!$T$3:$T$3000=45988)*(INPUT!$U$3:$U$3000="RUBIO")*(INPUT!$V$3:$V$3000+INPUT!$W$3:$W$3000+INPUT!$X$3:$X$3000+INPUT!$Y$3:$Y$3000))),"")</f>
        <v>17</v>
      </c>
      <c r="CO19" s="42" cm="1">
        <f t="array" ref="CO19">IFERROR(IF(SUMPRODUCT((INPUT!$T$3:$T$3000=45989)*(INPUT!$U$3:$U$3000="RUBIO"))=0,"",SUMPRODUCT((INPUT!$T$3:$T$3000=45989)*(INPUT!$U$3:$U$3000="RUBIO")*(INPUT!$V$3:$V$3000+INPUT!$W$3:$W$3000+INPUT!$X$3:$X$3000+INPUT!$Y$3:$Y$3000))),"")</f>
        <v>18</v>
      </c>
      <c r="CP19" s="42" cm="1">
        <f t="array" ref="CP19">IFERROR(IF(SUMPRODUCT((INPUT!$T$3:$T$3000=45992)*(INPUT!$U$3:$U$3000="RUBIO"))=0,"",SUMPRODUCT((INPUT!$T$3:$T$3000=45992)*(INPUT!$U$3:$U$3000="RUBIO")*(INPUT!$V$3:$V$3000+INPUT!$W$3:$W$3000+INPUT!$X$3:$X$3000+INPUT!$Y$3:$Y$3000))),"")</f>
        <v>17</v>
      </c>
      <c r="CQ19" s="42" cm="1">
        <f t="array" ref="CQ19">IFERROR(IF(SUMPRODUCT((INPUT!$T$3:$T$3000=45993)*(INPUT!$U$3:$U$3000="RUBIO"))=0,"",SUMPRODUCT((INPUT!$T$3:$T$3000=45993)*(INPUT!$U$3:$U$3000="RUBIO")*(INPUT!$V$3:$V$3000+INPUT!$W$3:$W$3000+INPUT!$X$3:$X$3000+INPUT!$Y$3:$Y$3000))),"")</f>
        <v>13</v>
      </c>
      <c r="CR19" s="42" cm="1">
        <f t="array" ref="CR19">IFERROR(IF(SUMPRODUCT((INPUT!$T$3:$T$3000=45994)*(INPUT!$U$3:$U$3000="RUBIO"))=0,"",SUMPRODUCT((INPUT!$T$3:$T$3000=45994)*(INPUT!$U$3:$U$3000="RUBIO")*(INPUT!$V$3:$V$3000+INPUT!$W$3:$W$3000+INPUT!$X$3:$X$3000+INPUT!$Y$3:$Y$3000))),"")</f>
        <v>15</v>
      </c>
      <c r="CS19" s="42" cm="1">
        <f t="array" ref="CS19">IFERROR(IF(SUMPRODUCT((INPUT!$T$3:$T$3000=45995)*(INPUT!$U$3:$U$3000="RUBIO"))=0,"",SUMPRODUCT((INPUT!$T$3:$T$3000=45995)*(INPUT!$U$3:$U$3000="RUBIO")*(INPUT!$V$3:$V$3000+INPUT!$W$3:$W$3000+INPUT!$X$3:$X$3000+INPUT!$Y$3:$Y$3000))),"")</f>
        <v>16</v>
      </c>
      <c r="CT19" s="42" cm="1">
        <f t="array" ref="CT19">IFERROR(IF(SUMPRODUCT((INPUT!$T$3:$T$3000=45996)*(INPUT!$U$3:$U$3000="RUBIO"))=0,"",SUMPRODUCT((INPUT!$T$3:$T$3000=45996)*(INPUT!$U$3:$U$3000="RUBIO")*(INPUT!$V$3:$V$3000+INPUT!$W$3:$W$3000+INPUT!$X$3:$X$3000+INPUT!$Y$3:$Y$3000))),"")</f>
        <v>18</v>
      </c>
      <c r="CU19" s="42" cm="1">
        <f t="array" ref="CU19">IFERROR(IF(SUMPRODUCT((INPUT!$T$3:$T$3000=45997)*(INPUT!$U$3:$U$3000="RUBIO"))=0,"",SUMPRODUCT((INPUT!$T$3:$T$3000=45997)*(INPUT!$U$3:$U$3000="RUBIO")*(INPUT!$V$3:$V$3000+INPUT!$W$3:$W$3000+INPUT!$X$3:$X$3000+INPUT!$Y$3:$Y$3000))),"")</f>
        <v>19</v>
      </c>
      <c r="CV19" s="42" cm="1">
        <f t="array" ref="CV19">IFERROR(IF(SUMPRODUCT((INPUT!$T$3:$T$3000=45999)*(INPUT!$U$3:$U$3000="RUBIO"))=0,"",SUMPRODUCT((INPUT!$T$3:$T$3000=45999)*(INPUT!$U$3:$U$3000="RUBIO")*(INPUT!$V$3:$V$3000+INPUT!$W$3:$W$3000+INPUT!$X$3:$X$3000+INPUT!$Y$3:$Y$3000))),"")</f>
        <v>19</v>
      </c>
      <c r="CW19" s="42" cm="1">
        <f t="array" ref="CW19">IFERROR(IF(SUMPRODUCT((INPUT!$T$3:$T$3000=46000)*(INPUT!$U$3:$U$3000="RUBIO"))=0,"",SUMPRODUCT((INPUT!$T$3:$T$3000=46000)*(INPUT!$U$3:$U$3000="RUBIO")*(INPUT!$V$3:$V$3000+INPUT!$W$3:$W$3000+INPUT!$X$3:$X$3000+INPUT!$Y$3:$Y$3000))),"")</f>
        <v>17</v>
      </c>
      <c r="CX19" s="42" cm="1">
        <f t="array" ref="CX19">IFERROR(IF(SUMPRODUCT((INPUT!$T$3:$T$3000=46001)*(INPUT!$U$3:$U$3000="RUBIO"))=0,"",SUMPRODUCT((INPUT!$T$3:$T$3000=46001)*(INPUT!$U$3:$U$3000="RUBIO")*(INPUT!$V$3:$V$3000+INPUT!$W$3:$W$3000+INPUT!$X$3:$X$3000+INPUT!$Y$3:$Y$3000))),"")</f>
        <v>16</v>
      </c>
      <c r="CY19" s="42" cm="1">
        <f t="array" ref="CY19">IFERROR(IF(SUMPRODUCT((INPUT!$T$3:$T$3000=46002)*(INPUT!$U$3:$U$3000="RUBIO"))=0,"",SUMPRODUCT((INPUT!$T$3:$T$3000=46002)*(INPUT!$U$3:$U$3000="RUBIO")*(INPUT!$V$3:$V$3000+INPUT!$W$3:$W$3000+INPUT!$X$3:$X$3000+INPUT!$Y$3:$Y$3000))),"")</f>
        <v>18</v>
      </c>
      <c r="CZ19" s="42" cm="1">
        <f t="array" ref="CZ19">IFERROR(IF(SUMPRODUCT((INPUT!$T$3:$T$3000=46003)*(INPUT!$U$3:$U$3000="RUBIO"))=0,"",SUMPRODUCT((INPUT!$T$3:$T$3000=46003)*(INPUT!$U$3:$U$3000="RUBIO")*(INPUT!$V$3:$V$3000+INPUT!$W$3:$W$3000+INPUT!$X$3:$X$3000+INPUT!$Y$3:$Y$3000))),"")</f>
        <v>17</v>
      </c>
      <c r="DA19" s="42" cm="1">
        <f t="array" ref="DA19">IFERROR(IF(SUMPRODUCT((INPUT!$T$3:$T$3000=46004)*(INPUT!$U$3:$U$3000="RUBIO"))=0,"",SUMPRODUCT((INPUT!$T$3:$T$3000=46004)*(INPUT!$U$3:$U$3000="RUBIO")*(INPUT!$V$3:$V$3000+INPUT!$W$3:$W$3000+INPUT!$X$3:$X$3000+INPUT!$Y$3:$Y$3000))),"")</f>
        <v>19</v>
      </c>
      <c r="DB19" s="42" cm="1">
        <f t="array" ref="DB19">IFERROR(IF(SUMPRODUCT((INPUT!$T$3:$T$3000=46007)*(INPUT!$U$3:$U$3000="RUBIO"))=0,"",SUMPRODUCT((INPUT!$T$3:$T$3000=46007)*(INPUT!$U$3:$U$3000="RUBIO")*(INPUT!$V$3:$V$3000+INPUT!$W$3:$W$3000+INPUT!$X$3:$X$3000+INPUT!$Y$3:$Y$3000))),"")</f>
        <v>17</v>
      </c>
      <c r="DC19" s="42" t="str" cm="1">
        <f t="array" ref="DC19">IFERROR(IF(SUMPRODUCT((INPUT!$T$3:$T$3000=46008)*(INPUT!$U$3:$U$3000="RUBIO"))=0,"",SUMPRODUCT((INPUT!$T$3:$T$3000=46008)*(INPUT!$U$3:$U$3000="RUBIO")*(INPUT!$V$3:$V$3000+INPUT!$W$3:$W$3000+INPUT!$X$3:$X$3000+INPUT!$Y$3:$Y$3000))),"")</f>
        <v/>
      </c>
      <c r="DD19" s="42" t="str" cm="1">
        <f t="array" ref="DD19">IFERROR(IF(SUMPRODUCT((INPUT!$T$3:$T$3000=46009)*(INPUT!$U$3:$U$3000="RUBIO"))=0,"",SUMPRODUCT((INPUT!$T$3:$T$3000=46009)*(INPUT!$U$3:$U$3000="RUBIO")*(INPUT!$V$3:$V$3000+INPUT!$W$3:$W$3000+INPUT!$X$3:$X$3000+INPUT!$Y$3:$Y$3000))),"")</f>
        <v/>
      </c>
      <c r="DE19" s="42" cm="1">
        <f t="array" ref="DE19">IFERROR(IF(SUMPRODUCT((INPUT!$T$3:$T$3000=46010)*(INPUT!$U$3:$U$3000="RUBIO"))=0,"",SUMPRODUCT((INPUT!$T$3:$T$3000=46010)*(INPUT!$U$3:$U$3000="RUBIO")*(INPUT!$V$3:$V$3000+INPUT!$W$3:$W$3000+INPUT!$X$3:$X$3000+INPUT!$Y$3:$Y$3000))),"")</f>
        <v>16</v>
      </c>
      <c r="DF19" s="42" cm="1">
        <f t="array" ref="DF19">IFERROR(IF(SUMPRODUCT((INPUT!$T$3:$T$3000=46013)*(INPUT!$U$3:$U$3000="RUBIO"))=0,"",SUMPRODUCT((INPUT!$T$3:$T$3000=46013)*(INPUT!$U$3:$U$3000="RUBIO")*(INPUT!$V$3:$V$3000+INPUT!$W$3:$W$3000+INPUT!$X$3:$X$3000+INPUT!$Y$3:$Y$3000))),"")</f>
        <v>16</v>
      </c>
      <c r="DG19" s="42" cm="1">
        <f t="array" ref="DG19">IFERROR(IF(SUMPRODUCT((INPUT!$T$3:$T$3000=46014)*(INPUT!$U$3:$U$3000="RUBIO"))=0,"",SUMPRODUCT((INPUT!$T$3:$T$3000=46014)*(INPUT!$U$3:$U$3000="RUBIO")*(INPUT!$V$3:$V$3000+INPUT!$W$3:$W$3000+INPUT!$X$3:$X$3000+INPUT!$Y$3:$Y$3000))),"")</f>
        <v>16</v>
      </c>
      <c r="DH19" s="42" cm="1">
        <f t="array" ref="DH19">IFERROR(IF(SUMPRODUCT((INPUT!$T$3:$T$3000=46017)*(INPUT!$U$3:$U$3000="RUBIO"))=0,"",SUMPRODUCT((INPUT!$T$3:$T$3000=46017)*(INPUT!$U$3:$U$3000="RUBIO")*(INPUT!$V$3:$V$3000+INPUT!$W$3:$W$3000+INPUT!$X$3:$X$3000+INPUT!$Y$3:$Y$3000))),"")</f>
        <v>16</v>
      </c>
      <c r="DI19" s="42" cm="1">
        <f t="array" ref="DI19">IFERROR(IF(SUMPRODUCT((INPUT!$T$3:$T$3000=46018)*(INPUT!$U$3:$U$3000="RUBIO"))=0,"",SUMPRODUCT((INPUT!$T$3:$T$3000=46018)*(INPUT!$U$3:$U$3000="RUBIO")*(INPUT!$V$3:$V$3000+INPUT!$W$3:$W$3000+INPUT!$X$3:$X$3000+INPUT!$Y$3:$Y$3000))),"")</f>
        <v>18</v>
      </c>
      <c r="DJ19" s="42" cm="1">
        <f t="array" ref="DJ19">IFERROR(IF(SUMPRODUCT((INPUT!$T$3:$T$3000=46020)*(INPUT!$U$3:$U$3000="RUBIO"))=0,"",SUMPRODUCT((INPUT!$T$3:$T$3000=46020)*(INPUT!$U$3:$U$3000="RUBIO")*(INPUT!$V$3:$V$3000+INPUT!$W$3:$W$3000+INPUT!$X$3:$X$3000+INPUT!$Y$3:$Y$3000))),"")</f>
        <v>16</v>
      </c>
      <c r="DK19" s="42" cm="1">
        <f t="array" ref="DK19">IFERROR(IF(SUMPRODUCT((INPUT!$T$3:$T$3000=46021)*(INPUT!$U$3:$U$3000="RUBIO"))=0,"",SUMPRODUCT((INPUT!$T$3:$T$3000=46021)*(INPUT!$U$3:$U$3000="RUBIO")*(INPUT!$V$3:$V$3000+INPUT!$W$3:$W$3000+INPUT!$X$3:$X$3000+INPUT!$Y$3:$Y$3000))),"")</f>
        <v>16</v>
      </c>
      <c r="DL19" s="42" cm="1">
        <f t="array" ref="DL19">IFERROR(IF(SUMPRODUCT((INPUT!$T$3:$T$3000=46022)*(INPUT!$U$3:$U$3000="RUBIO"))=0,"",SUMPRODUCT((INPUT!$T$3:$T$3000=46022)*(INPUT!$U$3:$U$3000="RUBIO")*(INPUT!$V$3:$V$3000+INPUT!$W$3:$W$3000+INPUT!$X$3:$X$3000+INPUT!$Y$3:$Y$3000))),"")</f>
        <v>17</v>
      </c>
      <c r="DM19" s="42" cm="1">
        <f t="array" ref="DM19">IFERROR(IF(SUMPRODUCT((INPUT!$T$3:$T$3000=46024)*(INPUT!$U$3:$U$3000="RUBIO"))=0,"",SUMPRODUCT((INPUT!$T$3:$T$3000=46024)*(INPUT!$U$3:$U$3000="RUBIO")*(INPUT!$V$3:$V$3000+INPUT!$W$3:$W$3000+INPUT!$X$3:$X$3000+INPUT!$Y$3:$Y$3000))),"")</f>
        <v>19</v>
      </c>
      <c r="DN19" s="42" cm="1">
        <f t="array" ref="DN19">IFERROR(IF(SUMPRODUCT((INPUT!$T$3:$T$3000=46025)*(INPUT!$U$3:$U$3000="RUBIO"))=0,"",SUMPRODUCT((INPUT!$T$3:$T$3000=46025)*(INPUT!$U$3:$U$3000="RUBIO")*(INPUT!$V$3:$V$3000+INPUT!$W$3:$W$3000+INPUT!$X$3:$X$3000+INPUT!$Y$3:$Y$3000))),"")</f>
        <v>20</v>
      </c>
      <c r="DO19" s="42" cm="1">
        <f t="array" ref="DO19">IFERROR(IF(SUMPRODUCT((INPUT!$T$3:$T$3000=46027)*(INPUT!$U$3:$U$3000="RUBIO"))=0,"",SUMPRODUCT((INPUT!$T$3:$T$3000=46027)*(INPUT!$U$3:$U$3000="RUBIO")*(INPUT!$V$3:$V$3000+INPUT!$W$3:$W$3000+INPUT!$X$3:$X$3000+INPUT!$Y$3:$Y$3000))),"")</f>
        <v>12</v>
      </c>
      <c r="DP19" s="42" cm="1">
        <f t="array" ref="DP19">IFERROR(IF(SUMPRODUCT((INPUT!$T$3:$T$3000=46028)*(INPUT!$U$3:$U$3000="RUBIO"))=0,"",SUMPRODUCT((INPUT!$T$3:$T$3000=46028)*(INPUT!$U$3:$U$3000="RUBIO")*(INPUT!$V$3:$V$3000+INPUT!$W$3:$W$3000+INPUT!$X$3:$X$3000+INPUT!$Y$3:$Y$3000))),"")</f>
        <v>14</v>
      </c>
      <c r="DQ19" s="42" t="str" cm="1">
        <f t="array" ref="DQ19">IFERROR(IF(SUMPRODUCT((INPUT!$T$3:$T$3000=46029)*(INPUT!$U$3:$U$3000="RUBIO"))=0,"",SUMPRODUCT((INPUT!$T$3:$T$3000=46029)*(INPUT!$U$3:$U$3000="RUBIO")*(INPUT!$V$3:$V$3000+INPUT!$W$3:$W$3000+INPUT!$X$3:$X$3000+INPUT!$Y$3:$Y$3000))),"")</f>
        <v/>
      </c>
      <c r="DR19" s="42" t="str" cm="1">
        <f t="array" ref="DR19">IFERROR(IF(SUMPRODUCT((INPUT!$T$3:$T$3000=46030)*(INPUT!$U$3:$U$3000="RUBIO"))=0,"",SUMPRODUCT((INPUT!$T$3:$T$3000=46030)*(INPUT!$U$3:$U$3000="RUBIO")*(INPUT!$V$3:$V$3000+INPUT!$W$3:$W$3000+INPUT!$X$3:$X$3000+INPUT!$Y$3:$Y$3000))),"")</f>
        <v/>
      </c>
      <c r="DS19" s="42" cm="1">
        <f t="array" ref="DS19">IFERROR(IF(SUMPRODUCT((INPUT!$T$3:$T$3000=46031)*(INPUT!$U$3:$U$3000="RUBIO"))=0,"",SUMPRODUCT((INPUT!$T$3:$T$3000=46031)*(INPUT!$U$3:$U$3000="RUBIO")*(INPUT!$V$3:$V$3000+INPUT!$W$3:$W$3000+INPUT!$X$3:$X$3000+INPUT!$Y$3:$Y$3000))),"")</f>
        <v>16</v>
      </c>
      <c r="DT19" s="42" cm="1">
        <f t="array" ref="DT19">IFERROR(IF(SUMPRODUCT((INPUT!$T$3:$T$3000=46041)*(INPUT!$U$3:$U$3000="RUBIO"))=0,"",SUMPRODUCT((INPUT!$T$3:$T$3000=46041)*(INPUT!$U$3:$U$3000="RUBIO")*(INPUT!$V$3:$V$3000+INPUT!$W$3:$W$3000+INPUT!$X$3:$X$3000+INPUT!$Y$3:$Y$3000))),"")</f>
        <v>15</v>
      </c>
      <c r="DU19" s="42" cm="1">
        <f t="array" ref="DU19">IFERROR(IF(SUMPRODUCT((INPUT!$T$3:$T$3000=46042)*(INPUT!$U$3:$U$3000="RUBIO"))=0,"",SUMPRODUCT((INPUT!$T$3:$T$3000=46042)*(INPUT!$U$3:$U$3000="RUBIO")*(INPUT!$V$3:$V$3000+INPUT!$W$3:$W$3000+INPUT!$X$3:$X$3000+INPUT!$Y$3:$Y$3000))),"")</f>
        <v>15</v>
      </c>
      <c r="DV19" s="42" cm="1">
        <f t="array" ref="DV19">IFERROR(IF(SUMPRODUCT((INPUT!$T$3:$T$3000=46043)*(INPUT!$U$3:$U$3000="RUBIO"))=0,"",SUMPRODUCT((INPUT!$T$3:$T$3000=46043)*(INPUT!$U$3:$U$3000="RUBIO")*(INPUT!$V$3:$V$3000+INPUT!$W$3:$W$3000+INPUT!$X$3:$X$3000+INPUT!$Y$3:$Y$3000))),"")</f>
        <v>8</v>
      </c>
      <c r="DW19" s="42" cm="1">
        <f t="array" ref="DW19">IFERROR(IF(SUMPRODUCT((INPUT!$T$3:$T$3000=46044)*(INPUT!$U$3:$U$3000="RUBIO"))=0,"",SUMPRODUCT((INPUT!$T$3:$T$3000=46044)*(INPUT!$U$3:$U$3000="RUBIO")*(INPUT!$V$3:$V$3000+INPUT!$W$3:$W$3000+INPUT!$X$3:$X$3000+INPUT!$Y$3:$Y$3000))),"")</f>
        <v>10</v>
      </c>
      <c r="DX19" s="42" cm="1">
        <f t="array" ref="DX19">IFERROR(IF(SUMPRODUCT((INPUT!$T$3:$T$3000=46045)*(INPUT!$U$3:$U$3000="RUBIO"))=0,"",SUMPRODUCT((INPUT!$T$3:$T$3000=46045)*(INPUT!$U$3:$U$3000="RUBIO")*(INPUT!$V$3:$V$3000+INPUT!$W$3:$W$3000+INPUT!$X$3:$X$3000+INPUT!$Y$3:$Y$3000))),"")</f>
        <v>10</v>
      </c>
      <c r="DY19" s="42" cm="1">
        <f t="array" ref="DY19">IFERROR(IF(SUMPRODUCT((INPUT!$T$3:$T$3000=46048)*(INPUT!$U$3:$U$3000="RUBIO"))=0,"",SUMPRODUCT((INPUT!$T$3:$T$3000=46048)*(INPUT!$U$3:$U$3000="RUBIO")*(INPUT!$V$3:$V$3000+INPUT!$W$3:$W$3000+INPUT!$X$3:$X$3000+INPUT!$Y$3:$Y$3000))),"")</f>
        <v>14</v>
      </c>
      <c r="DZ19" s="42" t="str" cm="1">
        <f t="array" ref="DZ19">IFERROR(IF(SUMPRODUCT((INPUT!$T$3:$T$3000=46049)*(INPUT!$U$3:$U$3000="RUBIO"))=0,"",SUMPRODUCT((INPUT!$T$3:$T$3000=46049)*(INPUT!$U$3:$U$3000="RUBIO")*(INPUT!$V$3:$V$3000+INPUT!$W$3:$W$3000+INPUT!$X$3:$X$3000+INPUT!$Y$3:$Y$3000))),"")</f>
        <v/>
      </c>
      <c r="EA19" s="42" t="str" cm="1">
        <f t="array" ref="EA19">IFERROR(IF(SUMPRODUCT((INPUT!$T$3:$T$3000=46050)*(INPUT!$U$3:$U$3000="RUBIO"))=0,"",SUMPRODUCT((INPUT!$T$3:$T$3000=46050)*(INPUT!$U$3:$U$3000="RUBIO")*(INPUT!$V$3:$V$3000+INPUT!$W$3:$W$3000+INPUT!$X$3:$X$3000+INPUT!$Y$3:$Y$3000))),"")</f>
        <v/>
      </c>
      <c r="EB19" s="42" t="str" cm="1">
        <f t="array" ref="EB19">IFERROR(IF(SUMPRODUCT((INPUT!$T$3:$T$3000=46051)*(INPUT!$U$3:$U$3000="RUBIO"))=0,"",SUMPRODUCT((INPUT!$T$3:$T$3000=46051)*(INPUT!$U$3:$U$3000="RUBIO")*(INPUT!$V$3:$V$3000+INPUT!$W$3:$W$3000+INPUT!$X$3:$X$3000+INPUT!$Y$3:$Y$3000))),"")</f>
        <v/>
      </c>
      <c r="EC19" s="42" t="str" cm="1">
        <f t="array" ref="EC19">IFERROR(IF(SUMPRODUCT((INPUT!$T$3:$T$3000=46052)*(INPUT!$U$3:$U$3000="RUBIO"))=0,"",SUMPRODUCT((INPUT!$T$3:$T$3000=46052)*(INPUT!$U$3:$U$3000="RUBIO")*(INPUT!$V$3:$V$3000+INPUT!$W$3:$W$3000+INPUT!$X$3:$X$3000+INPUT!$Y$3:$Y$3000))),"")</f>
        <v/>
      </c>
      <c r="ED19" s="42" t="str" cm="1">
        <f t="array" ref="ED19">IFERROR(IF(SUMPRODUCT((INPUT!$T$3:$T$3000=46055)*(INPUT!$U$3:$U$3000="RUBIO"))=0,"",SUMPRODUCT((INPUT!$T$3:$T$3000=46055)*(INPUT!$U$3:$U$3000="RUBIO")*(INPUT!$V$3:$V$3000+INPUT!$W$3:$W$3000+INPUT!$X$3:$X$3000+INPUT!$Y$3:$Y$3000))),"")</f>
        <v/>
      </c>
      <c r="EE19" s="42" cm="1">
        <f t="array" ref="EE19">IFERROR(IF(SUMPRODUCT((INPUT!$T$3:$T$3000=46056)*(INPUT!$U$3:$U$3000="RUBIO"))=0,"",SUMPRODUCT((INPUT!$T$3:$T$3000=46056)*(INPUT!$U$3:$U$3000="RUBIO")*(INPUT!$V$3:$V$3000+INPUT!$W$3:$W$3000+INPUT!$X$3:$X$3000+INPUT!$Y$3:$Y$3000))),"")</f>
        <v>15</v>
      </c>
      <c r="EF19" s="42" cm="1">
        <f t="array" ref="EF19">IFERROR(IF(SUMPRODUCT((INPUT!$T$3:$T$3000=46057)*(INPUT!$U$3:$U$3000="RUBIO"))=0,"",SUMPRODUCT((INPUT!$T$3:$T$3000=46057)*(INPUT!$U$3:$U$3000="RUBIO")*(INPUT!$V$3:$V$3000+INPUT!$W$3:$W$3000+INPUT!$X$3:$X$3000+INPUT!$Y$3:$Y$3000))),"")</f>
        <v>14</v>
      </c>
      <c r="EG19" s="42" cm="1">
        <f t="array" ref="EG19">IFERROR(IF(SUMPRODUCT((INPUT!$T$3:$T$3000=46058)*(INPUT!$U$3:$U$3000="RUBIO"))=0,"",SUMPRODUCT((INPUT!$T$3:$T$3000=46058)*(INPUT!$U$3:$U$3000="RUBIO")*(INPUT!$V$3:$V$3000+INPUT!$W$3:$W$3000+INPUT!$X$3:$X$3000+INPUT!$Y$3:$Y$3000))),"")</f>
        <v>15</v>
      </c>
      <c r="EH19" s="42" cm="1">
        <f t="array" ref="EH19">IFERROR(IF(SUMPRODUCT((INPUT!$T$3:$T$3000=46059)*(INPUT!$U$3:$U$3000="RUBIO"))=0,"",SUMPRODUCT((INPUT!$T$3:$T$3000=46059)*(INPUT!$U$3:$U$3000="RUBIO")*(INPUT!$V$3:$V$3000+INPUT!$W$3:$W$3000+INPUT!$X$3:$X$3000+INPUT!$Y$3:$Y$3000))),"")</f>
        <v>15</v>
      </c>
      <c r="EI19" s="42" cm="1">
        <f t="array" ref="EI19">IFERROR(IF(SUMPRODUCT((INPUT!$T$3:$T$3000=46061)*(INPUT!$U$3:$U$3000="RUBIO"))=0,"",SUMPRODUCT((INPUT!$T$3:$T$3000=46061)*(INPUT!$U$3:$U$3000="RUBIO")*(INPUT!$V$3:$V$3000+INPUT!$W$3:$W$3000+INPUT!$X$3:$X$3000+INPUT!$Y$3:$Y$3000))),"")</f>
        <v>13</v>
      </c>
      <c r="EJ19" s="42" t="str" cm="1">
        <f t="array" ref="EJ19">IFERROR(IF(SUMPRODUCT((INPUT!$T$3:$T$3000=46062)*(INPUT!$U$3:$U$3000="RUBIO"))=0,"",SUMPRODUCT((INPUT!$T$3:$T$3000=46062)*(INPUT!$U$3:$U$3000="RUBIO")*(INPUT!$V$3:$V$3000+INPUT!$W$3:$W$3000+INPUT!$X$3:$X$3000+INPUT!$Y$3:$Y$3000))),"")</f>
        <v/>
      </c>
      <c r="EK19" s="42" t="str" cm="1">
        <f t="array" ref="EK19">IFERROR(IF(SUMPRODUCT((INPUT!$T$3:$T$3000=46063)*(INPUT!$U$3:$U$3000="RUBIO"))=0,"",SUMPRODUCT((INPUT!$T$3:$T$3000=46063)*(INPUT!$U$3:$U$3000="RUBIO")*(INPUT!$V$3:$V$3000+INPUT!$W$3:$W$3000+INPUT!$X$3:$X$3000+INPUT!$Y$3:$Y$3000))),"")</f>
        <v/>
      </c>
      <c r="EL19" s="42" t="str" cm="1">
        <f t="array" ref="EL19">IFERROR(IF(SUMPRODUCT((INPUT!$T$3:$T$3000=46064)*(INPUT!$U$3:$U$3000="RUBIO"))=0,"",SUMPRODUCT((INPUT!$T$3:$T$3000=46064)*(INPUT!$U$3:$U$3000="RUBIO")*(INPUT!$V$3:$V$3000+INPUT!$W$3:$W$3000+INPUT!$X$3:$X$3000+INPUT!$Y$3:$Y$3000))),"")</f>
        <v/>
      </c>
      <c r="EM19" s="42" t="str" cm="1">
        <f t="array" ref="EM19">IFERROR(IF(SUMPRODUCT((INPUT!$T$3:$T$3000=46065)*(INPUT!$U$3:$U$3000="RUBIO"))=0,"",SUMPRODUCT((INPUT!$T$3:$T$3000=46065)*(INPUT!$U$3:$U$3000="RUBIO")*(INPUT!$V$3:$V$3000+INPUT!$W$3:$W$3000+INPUT!$X$3:$X$3000+INPUT!$Y$3:$Y$3000))),"")</f>
        <v/>
      </c>
      <c r="EN19" s="42" t="str" cm="1">
        <f t="array" ref="EN19">IFERROR(IF(SUMPRODUCT((INPUT!$T$3:$T$3000=46066)*(INPUT!$U$3:$U$3000="RUBIO"))=0,"",SUMPRODUCT((INPUT!$T$3:$T$3000=46066)*(INPUT!$U$3:$U$3000="RUBIO")*(INPUT!$V$3:$V$3000+INPUT!$W$3:$W$3000+INPUT!$X$3:$X$3000+INPUT!$Y$3:$Y$3000))),"")</f>
        <v/>
      </c>
      <c r="EO19" s="42" t="str" cm="1">
        <f t="array" ref="EO19">IFERROR(IF(SUMPRODUCT((INPUT!$T$3:$T$3000=46067)*(INPUT!$U$3:$U$3000="RUBIO"))=0,"",SUMPRODUCT((INPUT!$T$3:$T$3000=46067)*(INPUT!$U$3:$U$3000="RUBIO")*(INPUT!$V$3:$V$3000+INPUT!$W$3:$W$3000+INPUT!$X$3:$X$3000+INPUT!$Y$3:$Y$3000))),"")</f>
        <v/>
      </c>
      <c r="EP19" s="42" t="str" cm="1">
        <f t="array" ref="EP19">IFERROR(IF(SUMPRODUCT((INPUT!$T$3:$T$3000=46069)*(INPUT!$U$3:$U$3000="RUBIO"))=0,"",SUMPRODUCT((INPUT!$T$3:$T$3000=46069)*(INPUT!$U$3:$U$3000="RUBIO")*(INPUT!$V$3:$V$3000+INPUT!$W$3:$W$3000+INPUT!$X$3:$X$3000+INPUT!$Y$3:$Y$3000))),"")</f>
        <v/>
      </c>
      <c r="EQ19" s="42" t="str" cm="1">
        <f t="array" ref="EQ19">IFERROR(IF(SUMPRODUCT((INPUT!$T$3:$T$3000=46072)*(INPUT!$U$3:$U$3000="RUBIO"))=0,"",SUMPRODUCT((INPUT!$T$3:$T$3000=46072)*(INPUT!$U$3:$U$3000="RUBIO")*(INPUT!$V$3:$V$3000+INPUT!$W$3:$W$3000+INPUT!$X$3:$X$3000+INPUT!$Y$3:$Y$3000))),"")</f>
        <v/>
      </c>
      <c r="ER19" s="42" t="str" cm="1">
        <f t="array" ref="ER19">IFERROR(IF(SUMPRODUCT((INPUT!$T$3:$T$3000=46073)*(INPUT!$U$3:$U$3000="RUBIO"))=0,"",SUMPRODUCT((INPUT!$T$3:$T$3000=46073)*(INPUT!$U$3:$U$3000="RUBIO")*(INPUT!$V$3:$V$3000+INPUT!$W$3:$W$3000+INPUT!$X$3:$X$3000+INPUT!$Y$3:$Y$3000))),"")</f>
        <v/>
      </c>
      <c r="ES19" s="42" t="str" cm="1">
        <f t="array" ref="ES19">IFERROR(IF(SUMPRODUCT((INPUT!$T$3:$T$3000=46076)*(INPUT!$U$3:$U$3000="RUBIO"))=0,"",SUMPRODUCT((INPUT!$T$3:$T$3000=46076)*(INPUT!$U$3:$U$3000="RUBIO")*(INPUT!$V$3:$V$3000+INPUT!$W$3:$W$3000+INPUT!$X$3:$X$3000+INPUT!$Y$3:$Y$3000))),"")</f>
        <v/>
      </c>
      <c r="ET19" s="42" t="str" cm="1">
        <f t="array" ref="ET19">IFERROR(IF(SUMPRODUCT((INPUT!$T$3:$T$3000=46077)*(INPUT!$U$3:$U$3000="RUBIO"))=0,"",SUMPRODUCT((INPUT!$T$3:$T$3000=46077)*(INPUT!$U$3:$U$3000="RUBIO")*(INPUT!$V$3:$V$3000+INPUT!$W$3:$W$3000+INPUT!$X$3:$X$3000+INPUT!$Y$3:$Y$3000))),"")</f>
        <v/>
      </c>
      <c r="EU19" s="42" t="str" cm="1">
        <f t="array" ref="EU19">IFERROR(IF(SUMPRODUCT((INPUT!$T$3:$T$3000=46078)*(INPUT!$U$3:$U$3000="RUBIO"))=0,"",SUMPRODUCT((INPUT!$T$3:$T$3000=46078)*(INPUT!$U$3:$U$3000="RUBIO")*(INPUT!$V$3:$V$3000+INPUT!$W$3:$W$3000+INPUT!$X$3:$X$3000+INPUT!$Y$3:$Y$3000))),"")</f>
        <v/>
      </c>
      <c r="EV19" s="42" t="str" cm="1">
        <f t="array" ref="EV19">IFERROR(IF(SUMPRODUCT((INPUT!$T$3:$T$3000=46079)*(INPUT!$U$3:$U$3000="RUBIO"))=0,"",SUMPRODUCT((INPUT!$T$3:$T$3000=46079)*(INPUT!$U$3:$U$3000="RUBIO")*(INPUT!$V$3:$V$3000+INPUT!$W$3:$W$3000+INPUT!$X$3:$X$3000+INPUT!$Y$3:$Y$3000))),"")</f>
        <v/>
      </c>
      <c r="EW19" s="42" t="str" cm="1">
        <f t="array" ref="EW19">IFERROR(IF(SUMPRODUCT((INPUT!$T$3:$T$3000=46080)*(INPUT!$U$3:$U$3000="RUBIO"))=0,"",SUMPRODUCT((INPUT!$T$3:$T$3000=46080)*(INPUT!$U$3:$U$3000="RUBIO")*(INPUT!$V$3:$V$3000+INPUT!$W$3:$W$3000+INPUT!$X$3:$X$3000+INPUT!$Y$3:$Y$3000))),"")</f>
        <v/>
      </c>
      <c r="EX19" s="42" t="str" cm="1">
        <f t="array" ref="EX19">IFERROR(IF(SUMPRODUCT((INPUT!$T$3:$T$3000=46082)*(INPUT!$U$3:$U$3000="RUBIO"))=0,"",SUMPRODUCT((INPUT!$T$3:$T$3000=46082)*(INPUT!$U$3:$U$3000="RUBIO")*(INPUT!$V$3:$V$3000+INPUT!$W$3:$W$3000+INPUT!$X$3:$X$3000+INPUT!$Y$3:$Y$3000))),"")</f>
        <v/>
      </c>
      <c r="EY19" s="42" t="str" cm="1">
        <f t="array" ref="EY19">IFERROR(IF(SUMPRODUCT((INPUT!$T$3:$T$3000=46084)*(INPUT!$U$3:$U$3000="RUBIO"))=0,"",SUMPRODUCT((INPUT!$T$3:$T$3000=46084)*(INPUT!$U$3:$U$3000="RUBIO")*(INPUT!$V$3:$V$3000+INPUT!$W$3:$W$3000+INPUT!$X$3:$X$3000+INPUT!$Y$3:$Y$3000))),"")</f>
        <v/>
      </c>
      <c r="EZ19" s="42" t="str" cm="1">
        <f t="array" ref="EZ19">IFERROR(IF(SUMPRODUCT((INPUT!$T$3:$T$3000=46085)*(INPUT!$U$3:$U$3000="RUBIO"))=0,"",SUMPRODUCT((INPUT!$T$3:$T$3000=46085)*(INPUT!$U$3:$U$3000="RUBIO")*(INPUT!$V$3:$V$3000+INPUT!$W$3:$W$3000+INPUT!$X$3:$X$3000+INPUT!$Y$3:$Y$3000))),"")</f>
        <v/>
      </c>
      <c r="FA19" s="42" t="str" cm="1">
        <f t="array" ref="FA19">IFERROR(IF(SUMPRODUCT((INPUT!$T$3:$T$3000=46086)*(INPUT!$U$3:$U$3000="RUBIO"))=0,"",SUMPRODUCT((INPUT!$T$3:$T$3000=46086)*(INPUT!$U$3:$U$3000="RUBIO")*(INPUT!$V$3:$V$3000+INPUT!$W$3:$W$3000+INPUT!$X$3:$X$3000+INPUT!$Y$3:$Y$3000))),"")</f>
        <v/>
      </c>
      <c r="FB19" s="42" t="str" cm="1">
        <f t="array" ref="FB19">IFERROR(IF(SUMPRODUCT((INPUT!$T$3:$T$3000=46087)*(INPUT!$U$3:$U$3000="RUBIO"))=0,"",SUMPRODUCT((INPUT!$T$3:$T$3000=46087)*(INPUT!$U$3:$U$3000="RUBIO")*(INPUT!$V$3:$V$3000+INPUT!$W$3:$W$3000+INPUT!$X$3:$X$3000+INPUT!$Y$3:$Y$3000))),"")</f>
        <v/>
      </c>
      <c r="FC19" s="42" t="str" cm="1">
        <f t="array" ref="FC19">IFERROR(IF(SUMPRODUCT((INPUT!$T$3:$T$3000=46090)*(INPUT!$U$3:$U$3000="RUBIO"))=0,"",SUMPRODUCT((INPUT!$T$3:$T$3000=46090)*(INPUT!$U$3:$U$3000="RUBIO")*(INPUT!$V$3:$V$3000+INPUT!$W$3:$W$3000+INPUT!$X$3:$X$3000+INPUT!$Y$3:$Y$3000))),"")</f>
        <v/>
      </c>
      <c r="FD19" s="42" cm="1">
        <f t="array" ref="FD19">IFERROR(IF(SUMPRODUCT((INPUT!$T$3:$T$3000=46091)*(INPUT!$U$3:$U$3000="RUBIO"))=0,"",SUMPRODUCT((INPUT!$T$3:$T$3000=46091)*(INPUT!$U$3:$U$3000="RUBIO")*(INPUT!$V$3:$V$3000+INPUT!$W$3:$W$3000+INPUT!$X$3:$X$3000+INPUT!$Y$3:$Y$3000))),"")</f>
        <v>18</v>
      </c>
      <c r="FE19" s="42" cm="1">
        <f t="array" ref="FE19">IFERROR(IF(SUMPRODUCT((INPUT!$T$3:$T$3000=46092)*(INPUT!$U$3:$U$3000="RUBIO"))=0,"",SUMPRODUCT((INPUT!$T$3:$T$3000=46092)*(INPUT!$U$3:$U$3000="RUBIO")*(INPUT!$V$3:$V$3000+INPUT!$W$3:$W$3000+INPUT!$X$3:$X$3000+INPUT!$Y$3:$Y$3000))),"")</f>
        <v>17</v>
      </c>
      <c r="FF19" s="42" cm="1">
        <f t="array" ref="FF19">IFERROR(IF(SUMPRODUCT((INPUT!$T$3:$T$3000=46093)*(INPUT!$U$3:$U$3000="RUBIO"))=0,"",SUMPRODUCT((INPUT!$T$3:$T$3000=46093)*(INPUT!$U$3:$U$3000="RUBIO")*(INPUT!$V$3:$V$3000+INPUT!$W$3:$W$3000+INPUT!$X$3:$X$3000+INPUT!$Y$3:$Y$3000))),"")</f>
        <v>17</v>
      </c>
      <c r="FG19" s="42" cm="1">
        <f t="array" ref="FG19">IFERROR(IF(SUMPRODUCT((INPUT!$T$3:$T$3000=46094)*(INPUT!$U$3:$U$3000="RUBIO"))=0,"",SUMPRODUCT((INPUT!$T$3:$T$3000=46094)*(INPUT!$U$3:$U$3000="RUBIO")*(INPUT!$V$3:$V$3000+INPUT!$W$3:$W$3000+INPUT!$X$3:$X$3000+INPUT!$Y$3:$Y$3000))),"")</f>
        <v>18</v>
      </c>
      <c r="FH19" s="42" t="str" cm="1">
        <f t="array" ref="FH19">IFERROR(IF(SUMPRODUCT((INPUT!$T$3:$T$3000=46096)*(INPUT!$U$3:$U$3000="RUBIO"))=0,"",SUMPRODUCT((INPUT!$T$3:$T$3000=46096)*(INPUT!$U$3:$U$3000="RUBIO")*(INPUT!$V$3:$V$3000+INPUT!$W$3:$W$3000+INPUT!$X$3:$X$3000+INPUT!$Y$3:$Y$3000))),"")</f>
        <v/>
      </c>
      <c r="FI19" s="42" t="str" cm="1">
        <f t="array" ref="FI19">IFERROR(IF(SUMPRODUCT((INPUT!$T$3:$T$3000=46097)*(INPUT!$U$3:$U$3000="RUBIO"))=0,"",SUMPRODUCT((INPUT!$T$3:$T$3000=46097)*(INPUT!$U$3:$U$3000="RUBIO")*(INPUT!$V$3:$V$3000+INPUT!$W$3:$W$3000+INPUT!$X$3:$X$3000+INPUT!$Y$3:$Y$3000))),"")</f>
        <v/>
      </c>
      <c r="FJ19" s="42" t="str" cm="1">
        <f t="array" ref="FJ19">IFERROR(IF(SUMPRODUCT((INPUT!$T$3:$T$3000=46098)*(INPUT!$U$3:$U$3000="RUBIO"))=0,"",SUMPRODUCT((INPUT!$T$3:$T$3000=46098)*(INPUT!$U$3:$U$3000="RUBIO")*(INPUT!$V$3:$V$3000+INPUT!$W$3:$W$3000+INPUT!$X$3:$X$3000+INPUT!$Y$3:$Y$3000))),"")</f>
        <v/>
      </c>
      <c r="FK19" s="42" t="str" cm="1">
        <f t="array" ref="FK19">IFERROR(IF(SUMPRODUCT((INPUT!$T$3:$T$3000=46099)*(INPUT!$U$3:$U$3000="RUBIO"))=0,"",SUMPRODUCT((INPUT!$T$3:$T$3000=46099)*(INPUT!$U$3:$U$3000="RUBIO")*(INPUT!$V$3:$V$3000+INPUT!$W$3:$W$3000+INPUT!$X$3:$X$3000+INPUT!$Y$3:$Y$3000))),"")</f>
        <v/>
      </c>
      <c r="FL19" s="42" t="str" cm="1">
        <f t="array" ref="FL19">IFERROR(IF(SUMPRODUCT((INPUT!$T$3:$T$3000=46102)*(INPUT!$U$3:$U$3000="RUBIO"))=0,"",SUMPRODUCT((INPUT!$T$3:$T$3000=46102)*(INPUT!$U$3:$U$3000="RUBIO")*(INPUT!$V$3:$V$3000+INPUT!$W$3:$W$3000+INPUT!$X$3:$X$3000+INPUT!$Y$3:$Y$3000))),"")</f>
        <v/>
      </c>
      <c r="FM19" s="42" t="str" cm="1">
        <f t="array" ref="FM19">IFERROR(IF(SUMPRODUCT((INPUT!$T$3:$T$3000=46105)*(INPUT!$U$3:$U$3000="RUBIO"))=0,"",SUMPRODUCT((INPUT!$T$3:$T$3000=46105)*(INPUT!$U$3:$U$3000="RUBIO")*(INPUT!$V$3:$V$3000+INPUT!$W$3:$W$3000+INPUT!$X$3:$X$3000+INPUT!$Y$3:$Y$3000))),"")</f>
        <v/>
      </c>
      <c r="FN19" s="42" t="str" cm="1">
        <f t="array" ref="FN19">IFERROR(IF(SUMPRODUCT((INPUT!$T$3:$T$3000=46106)*(INPUT!$U$3:$U$3000="RUBIO"))=0,"",SUMPRODUCT((INPUT!$T$3:$T$3000=46106)*(INPUT!$U$3:$U$3000="RUBIO")*(INPUT!$V$3:$V$3000+INPUT!$W$3:$W$3000+INPUT!$X$3:$X$3000+INPUT!$Y$3:$Y$3000))),"")</f>
        <v/>
      </c>
      <c r="FO19" s="42" t="str" cm="1">
        <f t="array" ref="FO19">IFERROR(IF(SUMPRODUCT((INPUT!$T$3:$T$3000=46107)*(INPUT!$U$3:$U$3000="RUBIO"))=0,"",SUMPRODUCT((INPUT!$T$3:$T$3000=46107)*(INPUT!$U$3:$U$3000="RUBIO")*(INPUT!$V$3:$V$3000+INPUT!$W$3:$W$3000+INPUT!$X$3:$X$3000+INPUT!$Y$3:$Y$3000))),"")</f>
        <v/>
      </c>
      <c r="FP19" s="42" t="str" cm="1">
        <f t="array" ref="FP19">IFERROR(IF(SUMPRODUCT((INPUT!$T$3:$T$3000=46108)*(INPUT!$U$3:$U$3000="RUBIO"))=0,"",SUMPRODUCT((INPUT!$T$3:$T$3000=46108)*(INPUT!$U$3:$U$3000="RUBIO")*(INPUT!$V$3:$V$3000+INPUT!$W$3:$W$3000+INPUT!$X$3:$X$3000+INPUT!$Y$3:$Y$3000))),"")</f>
        <v/>
      </c>
      <c r="FQ19" s="42" t="str" cm="1">
        <f t="array" ref="FQ19">IFERROR(IF(SUMPRODUCT((INPUT!$T$3:$T$3000=46109)*(INPUT!$U$3:$U$3000="RUBIO"))=0,"",SUMPRODUCT((INPUT!$T$3:$T$3000=46109)*(INPUT!$U$3:$U$3000="RUBIO")*(INPUT!$V$3:$V$3000+INPUT!$W$3:$W$3000+INPUT!$X$3:$X$3000+INPUT!$Y$3:$Y$3000))),"")</f>
        <v/>
      </c>
      <c r="FR19" s="42" cm="1">
        <f t="array" ref="FR19">IFERROR(IF(SUMPRODUCT((INPUT!$T$3:$T$3000=46111)*(INPUT!$U$3:$U$3000="RUBIO"))=0,"",SUMPRODUCT((INPUT!$T$3:$T$3000=46111)*(INPUT!$U$3:$U$3000="RUBIO")*(INPUT!$V$3:$V$3000+INPUT!$W$3:$W$3000+INPUT!$X$3:$X$3000+INPUT!$Y$3:$Y$3000))),"")</f>
        <v>16</v>
      </c>
      <c r="FS19" s="42" cm="1">
        <f t="array" ref="FS19">IFERROR(IF(SUMPRODUCT((INPUT!$T$3:$T$3000=46112)*(INPUT!$U$3:$U$3000="RUBIO"))=0,"",SUMPRODUCT((INPUT!$T$3:$T$3000=46112)*(INPUT!$U$3:$U$3000="RUBIO")*(INPUT!$V$3:$V$3000+INPUT!$W$3:$W$3000+INPUT!$X$3:$X$3000+INPUT!$Y$3:$Y$3000))),"")</f>
        <v>15</v>
      </c>
      <c r="FT19" s="42" cm="1">
        <f t="array" ref="FT19">IFERROR(IF(SUMPRODUCT((INPUT!$T$3:$T$3000=46113)*(INPUT!$U$3:$U$3000="RUBIO"))=0,"",SUMPRODUCT((INPUT!$T$3:$T$3000=46113)*(INPUT!$U$3:$U$3000="RUBIO")*(INPUT!$V$3:$V$3000+INPUT!$W$3:$W$3000+INPUT!$X$3:$X$3000+INPUT!$Y$3:$Y$3000))),"")</f>
        <v>12</v>
      </c>
      <c r="FU19" s="42" t="str" cm="1">
        <f t="array" ref="FU19">IFERROR(IF(SUMPRODUCT((INPUT!$T$3:$T$3000=46114)*(INPUT!$U$3:$U$3000="RUBIO"))=0,"",SUMPRODUCT((INPUT!$T$3:$T$3000=46114)*(INPUT!$U$3:$U$3000="RUBIO")*(INPUT!$V$3:$V$3000+INPUT!$W$3:$W$3000+INPUT!$X$3:$X$3000+INPUT!$Y$3:$Y$3000))),"")</f>
        <v/>
      </c>
      <c r="FV19" s="42" t="str" cm="1">
        <f t="array" ref="FV19">IFERROR(IF(SUMPRODUCT((INPUT!$T$3:$T$3000=46115)*(INPUT!$U$3:$U$3000="RUBIO"))=0,"",SUMPRODUCT((INPUT!$T$3:$T$3000=46115)*(INPUT!$U$3:$U$3000="RUBIO")*(INPUT!$V$3:$V$3000+INPUT!$W$3:$W$3000+INPUT!$X$3:$X$3000+INPUT!$Y$3:$Y$3000))),"")</f>
        <v/>
      </c>
      <c r="FW19" s="42" t="str" cm="1">
        <f t="array" ref="FW19">IFERROR(IF(SUMPRODUCT((INPUT!$T$3:$T$3000=46116)*(INPUT!$U$3:$U$3000="RUBIO"))=0,"",SUMPRODUCT((INPUT!$T$3:$T$3000=46116)*(INPUT!$U$3:$U$3000="RUBIO")*(INPUT!$V$3:$V$3000+INPUT!$W$3:$W$3000+INPUT!$X$3:$X$3000+INPUT!$Y$3:$Y$3000))),"")</f>
        <v/>
      </c>
      <c r="FX19" s="42" cm="1">
        <f t="array" ref="FX19">IFERROR(IF(SUMPRODUCT((INPUT!$T$3:$T$3000=46118)*(INPUT!$U$3:$U$3000="RUBIO"))=0,"",SUMPRODUCT((INPUT!$T$3:$T$3000=46118)*(INPUT!$U$3:$U$3000="RUBIO")*(INPUT!$V$3:$V$3000+INPUT!$W$3:$W$3000+INPUT!$X$3:$X$3000+INPUT!$Y$3:$Y$3000))),"")</f>
        <v>17</v>
      </c>
      <c r="FY19" s="42" cm="1">
        <f t="array" ref="FY19">IFERROR(IF(SUMPRODUCT((INPUT!$T$3:$T$3000=46119)*(INPUT!$U$3:$U$3000="RUBIO"))=0,"",SUMPRODUCT((INPUT!$T$3:$T$3000=46119)*(INPUT!$U$3:$U$3000="RUBIO")*(INPUT!$V$3:$V$3000+INPUT!$W$3:$W$3000+INPUT!$X$3:$X$3000+INPUT!$Y$3:$Y$3000))),"")</f>
        <v>17</v>
      </c>
      <c r="FZ19" s="42" cm="1">
        <f t="array" ref="FZ19">IFERROR(IF(SUMPRODUCT((INPUT!$T$3:$T$3000=46120)*(INPUT!$U$3:$U$3000="RUBIO"))=0,"",SUMPRODUCT((INPUT!$T$3:$T$3000=46120)*(INPUT!$U$3:$U$3000="RUBIO")*(INPUT!$V$3:$V$3000+INPUT!$W$3:$W$3000+INPUT!$X$3:$X$3000+INPUT!$Y$3:$Y$3000))),"")</f>
        <v>14</v>
      </c>
      <c r="GA19" s="42" cm="1">
        <f t="array" ref="GA19">IFERROR(IF(SUMPRODUCT((INPUT!$T$3:$T$3000=46121)*(INPUT!$U$3:$U$3000="RUBIO"))=0,"",SUMPRODUCT((INPUT!$T$3:$T$3000=46121)*(INPUT!$U$3:$U$3000="RUBIO")*(INPUT!$V$3:$V$3000+INPUT!$W$3:$W$3000+INPUT!$X$3:$X$3000+INPUT!$Y$3:$Y$3000))),"")</f>
        <v>15</v>
      </c>
      <c r="GB19" s="42" cm="1">
        <f t="array" ref="GB19">IFERROR(IF(SUMPRODUCT((INPUT!$T$3:$T$3000=46122)*(INPUT!$U$3:$U$3000="RUBIO"))=0,"",SUMPRODUCT((INPUT!$T$3:$T$3000=46122)*(INPUT!$U$3:$U$3000="RUBIO")*(INPUT!$V$3:$V$3000+INPUT!$W$3:$W$3000+INPUT!$X$3:$X$3000+INPUT!$Y$3:$Y$3000))),"")</f>
        <v>15</v>
      </c>
      <c r="GC19" s="42" t="str" cm="1">
        <f t="array" ref="GC19">IFERROR(IF(SUMPRODUCT((INPUT!$T$3:$T$3000=46125)*(INPUT!$U$3:$U$3000="RUBIO"))=0,"",SUMPRODUCT((INPUT!$T$3:$T$3000=46125)*(INPUT!$U$3:$U$3000="RUBIO")*(INPUT!$V$3:$V$3000+INPUT!$W$3:$W$3000+INPUT!$X$3:$X$3000+INPUT!$Y$3:$Y$3000))),"")</f>
        <v/>
      </c>
      <c r="GD19" s="42" t="str" cm="1">
        <f t="array" ref="GD19">IFERROR(IF(SUMPRODUCT((INPUT!$T$3:$T$3000=46126)*(INPUT!$U$3:$U$3000="RUBIO"))=0,"",SUMPRODUCT((INPUT!$T$3:$T$3000=46126)*(INPUT!$U$3:$U$3000="RUBIO")*(INPUT!$V$3:$V$3000+INPUT!$W$3:$W$3000+INPUT!$X$3:$X$3000+INPUT!$Y$3:$Y$3000))),"")</f>
        <v/>
      </c>
      <c r="GE19" s="42" t="str" cm="1">
        <f t="array" ref="GE19">IFERROR(IF(SUMPRODUCT((INPUT!$T$3:$T$3000=46127)*(INPUT!$U$3:$U$3000="RUBIO"))=0,"",SUMPRODUCT((INPUT!$T$3:$T$3000=46127)*(INPUT!$U$3:$U$3000="RUBIO")*(INPUT!$V$3:$V$3000+INPUT!$W$3:$W$3000+INPUT!$X$3:$X$3000+INPUT!$Y$3:$Y$3000))),"")</f>
        <v/>
      </c>
      <c r="GF19" s="42" t="str" cm="1">
        <f t="array" ref="GF19">IFERROR(IF(SUMPRODUCT((INPUT!$T$3:$T$3000=46128)*(INPUT!$U$3:$U$3000="RUBIO"))=0,"",SUMPRODUCT((INPUT!$T$3:$T$3000=46128)*(INPUT!$U$3:$U$3000="RUBIO")*(INPUT!$V$3:$V$3000+INPUT!$W$3:$W$3000+INPUT!$X$3:$X$3000+INPUT!$Y$3:$Y$3000))),"")</f>
        <v/>
      </c>
      <c r="GG19" s="42" t="str" cm="1">
        <f t="array" ref="GG19">IFERROR(IF(SUMPRODUCT((INPUT!$T$3:$T$3000=46129)*(INPUT!$U$3:$U$3000="RUBIO"))=0,"",SUMPRODUCT((INPUT!$T$3:$T$3000=46129)*(INPUT!$U$3:$U$3000="RUBIO")*(INPUT!$V$3:$V$3000+INPUT!$W$3:$W$3000+INPUT!$X$3:$X$3000+INPUT!$Y$3:$Y$3000))),"")</f>
        <v/>
      </c>
      <c r="GH19" s="42" t="str" cm="1">
        <f t="array" ref="GH19">IFERROR(IF(SUMPRODUCT((INPUT!$T$3:$T$3000=46130)*(INPUT!$U$3:$U$3000="RUBIO"))=0,"",SUMPRODUCT((INPUT!$T$3:$T$3000=46130)*(INPUT!$U$3:$U$3000="RUBIO")*(INPUT!$V$3:$V$3000+INPUT!$W$3:$W$3000+INPUT!$X$3:$X$3000+INPUT!$Y$3:$Y$3000))),"")</f>
        <v/>
      </c>
      <c r="GI19" s="42" cm="1">
        <f t="array" ref="GI19">IFERROR(IF(SUMPRODUCT((INPUT!$T$3:$T$3000=46132)*(INPUT!$U$3:$U$3000="RUBIO"))=0,"",SUMPRODUCT((INPUT!$T$3:$T$3000=46132)*(INPUT!$U$3:$U$3000="RUBIO")*(INPUT!$V$3:$V$3000+INPUT!$W$3:$W$3000+INPUT!$X$3:$X$3000+INPUT!$Y$3:$Y$3000))),"")</f>
        <v>15</v>
      </c>
    </row>
    <row r="20" spans="1:191" x14ac:dyDescent="0.2">
      <c r="A20" t="s">
        <v>55</v>
      </c>
      <c r="B20" s="42" t="str" cm="1">
        <f t="array" ref="B20">IFERROR(IF(SUMPRODUCT((INPUT!$T$3:$T$3000=45868)*(INPUT!$U$3:$U$3000="SEGO"))=0,"",SUMPRODUCT((INPUT!$T$3:$T$3000=45868)*(INPUT!$U$3:$U$3000="SEGO")*(INPUT!$V$3:$V$3000+INPUT!$W$3:$W$3000+INPUT!$X$3:$X$3000+INPUT!$Y$3:$Y$3000))),"")</f>
        <v/>
      </c>
      <c r="C20" s="42" t="str" cm="1">
        <f t="array" ref="C20">IFERROR(IF(SUMPRODUCT((INPUT!$T$3:$T$3000=45869)*(INPUT!$U$3:$U$3000="SEGO"))=0,"",SUMPRODUCT((INPUT!$T$3:$T$3000=45869)*(INPUT!$U$3:$U$3000="SEGO")*(INPUT!$V$3:$V$3000+INPUT!$W$3:$W$3000+INPUT!$X$3:$X$3000+INPUT!$Y$3:$Y$3000))),"")</f>
        <v/>
      </c>
      <c r="D20" s="42" t="str" cm="1">
        <f t="array" ref="D20">IFERROR(IF(SUMPRODUCT((INPUT!$T$3:$T$3000=45870)*(INPUT!$U$3:$U$3000="SEGO"))=0,"",SUMPRODUCT((INPUT!$T$3:$T$3000=45870)*(INPUT!$U$3:$U$3000="SEGO")*(INPUT!$V$3:$V$3000+INPUT!$W$3:$W$3000+INPUT!$X$3:$X$3000+INPUT!$Y$3:$Y$3000))),"")</f>
        <v/>
      </c>
      <c r="E20" s="42" t="str" cm="1">
        <f t="array" ref="E20">IFERROR(IF(SUMPRODUCT((INPUT!$T$3:$T$3000=45873)*(INPUT!$U$3:$U$3000="SEGO"))=0,"",SUMPRODUCT((INPUT!$T$3:$T$3000=45873)*(INPUT!$U$3:$U$3000="SEGO")*(INPUT!$V$3:$V$3000+INPUT!$W$3:$W$3000+INPUT!$X$3:$X$3000+INPUT!$Y$3:$Y$3000))),"")</f>
        <v/>
      </c>
      <c r="F20" s="42" t="str" cm="1">
        <f t="array" ref="F20">IFERROR(IF(SUMPRODUCT((INPUT!$T$3:$T$3000=45874)*(INPUT!$U$3:$U$3000="SEGO"))=0,"",SUMPRODUCT((INPUT!$T$3:$T$3000=45874)*(INPUT!$U$3:$U$3000="SEGO")*(INPUT!$V$3:$V$3000+INPUT!$W$3:$W$3000+INPUT!$X$3:$X$3000+INPUT!$Y$3:$Y$3000))),"")</f>
        <v/>
      </c>
      <c r="G20" s="42" t="str" cm="1">
        <f t="array" ref="G20">IFERROR(IF(SUMPRODUCT((INPUT!$T$3:$T$3000=45875)*(INPUT!$U$3:$U$3000="SEGO"))=0,"",SUMPRODUCT((INPUT!$T$3:$T$3000=45875)*(INPUT!$U$3:$U$3000="SEGO")*(INPUT!$V$3:$V$3000+INPUT!$W$3:$W$3000+INPUT!$X$3:$X$3000+INPUT!$Y$3:$Y$3000))),"")</f>
        <v/>
      </c>
      <c r="H20" s="42" t="str" cm="1">
        <f t="array" ref="H20">IFERROR(IF(SUMPRODUCT((INPUT!$T$3:$T$3000=45876)*(INPUT!$U$3:$U$3000="SEGO"))=0,"",SUMPRODUCT((INPUT!$T$3:$T$3000=45876)*(INPUT!$U$3:$U$3000="SEGO")*(INPUT!$V$3:$V$3000+INPUT!$W$3:$W$3000+INPUT!$X$3:$X$3000+INPUT!$Y$3:$Y$3000))),"")</f>
        <v/>
      </c>
      <c r="I20" s="42" t="str" cm="1">
        <f t="array" ref="I20">IFERROR(IF(SUMPRODUCT((INPUT!$T$3:$T$3000=45877)*(INPUT!$U$3:$U$3000="SEGO"))=0,"",SUMPRODUCT((INPUT!$T$3:$T$3000=45877)*(INPUT!$U$3:$U$3000="SEGO")*(INPUT!$V$3:$V$3000+INPUT!$W$3:$W$3000+INPUT!$X$3:$X$3000+INPUT!$Y$3:$Y$3000))),"")</f>
        <v/>
      </c>
      <c r="J20" s="42" t="str" cm="1">
        <f t="array" ref="J20">IFERROR(IF(SUMPRODUCT((INPUT!$T$3:$T$3000=45878)*(INPUT!$U$3:$U$3000="SEGO"))=0,"",SUMPRODUCT((INPUT!$T$3:$T$3000=45878)*(INPUT!$U$3:$U$3000="SEGO")*(INPUT!$V$3:$V$3000+INPUT!$W$3:$W$3000+INPUT!$X$3:$X$3000+INPUT!$Y$3:$Y$3000))),"")</f>
        <v/>
      </c>
      <c r="K20" s="42" t="str" cm="1">
        <f t="array" ref="K20">IFERROR(IF(SUMPRODUCT((INPUT!$T$3:$T$3000=45880)*(INPUT!$U$3:$U$3000="SEGO"))=0,"",SUMPRODUCT((INPUT!$T$3:$T$3000=45880)*(INPUT!$U$3:$U$3000="SEGO")*(INPUT!$V$3:$V$3000+INPUT!$W$3:$W$3000+INPUT!$X$3:$X$3000+INPUT!$Y$3:$Y$3000))),"")</f>
        <v/>
      </c>
      <c r="L20" s="42" t="str" cm="1">
        <f t="array" ref="L20">IFERROR(IF(SUMPRODUCT((INPUT!$T$3:$T$3000=45881)*(INPUT!$U$3:$U$3000="SEGO"))=0,"",SUMPRODUCT((INPUT!$T$3:$T$3000=45881)*(INPUT!$U$3:$U$3000="SEGO")*(INPUT!$V$3:$V$3000+INPUT!$W$3:$W$3000+INPUT!$X$3:$X$3000+INPUT!$Y$3:$Y$3000))),"")</f>
        <v/>
      </c>
      <c r="M20" s="42" t="str" cm="1">
        <f t="array" ref="M20">IFERROR(IF(SUMPRODUCT((INPUT!$T$3:$T$3000=45882)*(INPUT!$U$3:$U$3000="SEGO"))=0,"",SUMPRODUCT((INPUT!$T$3:$T$3000=45882)*(INPUT!$U$3:$U$3000="SEGO")*(INPUT!$V$3:$V$3000+INPUT!$W$3:$W$3000+INPUT!$X$3:$X$3000+INPUT!$Y$3:$Y$3000))),"")</f>
        <v/>
      </c>
      <c r="N20" s="42" t="str" cm="1">
        <f t="array" ref="N20">IFERROR(IF(SUMPRODUCT((INPUT!$T$3:$T$3000=45883)*(INPUT!$U$3:$U$3000="SEGO"))=0,"",SUMPRODUCT((INPUT!$T$3:$T$3000=45883)*(INPUT!$U$3:$U$3000="SEGO")*(INPUT!$V$3:$V$3000+INPUT!$W$3:$W$3000+INPUT!$X$3:$X$3000+INPUT!$Y$3:$Y$3000))),"")</f>
        <v/>
      </c>
      <c r="O20" s="42" t="str" cm="1">
        <f t="array" ref="O20">IFERROR(IF(SUMPRODUCT((INPUT!$T$3:$T$3000=45884)*(INPUT!$U$3:$U$3000="SEGO"))=0,"",SUMPRODUCT((INPUT!$T$3:$T$3000=45884)*(INPUT!$U$3:$U$3000="SEGO")*(INPUT!$V$3:$V$3000+INPUT!$W$3:$W$3000+INPUT!$X$3:$X$3000+INPUT!$Y$3:$Y$3000))),"")</f>
        <v/>
      </c>
      <c r="P20" s="42" t="str" cm="1">
        <f t="array" ref="P20">IFERROR(IF(SUMPRODUCT((INPUT!$T$3:$T$3000=45887)*(INPUT!$U$3:$U$3000="SEGO"))=0,"",SUMPRODUCT((INPUT!$T$3:$T$3000=45887)*(INPUT!$U$3:$U$3000="SEGO")*(INPUT!$V$3:$V$3000+INPUT!$W$3:$W$3000+INPUT!$X$3:$X$3000+INPUT!$Y$3:$Y$3000))),"")</f>
        <v/>
      </c>
      <c r="Q20" s="42" t="str" cm="1">
        <f t="array" ref="Q20">IFERROR(IF(SUMPRODUCT((INPUT!$T$3:$T$3000=45888)*(INPUT!$U$3:$U$3000="SEGO"))=0,"",SUMPRODUCT((INPUT!$T$3:$T$3000=45888)*(INPUT!$U$3:$U$3000="SEGO")*(INPUT!$V$3:$V$3000+INPUT!$W$3:$W$3000+INPUT!$X$3:$X$3000+INPUT!$Y$3:$Y$3000))),"")</f>
        <v/>
      </c>
      <c r="R20" s="42" t="str" cm="1">
        <f t="array" ref="R20">IFERROR(IF(SUMPRODUCT((INPUT!$T$3:$T$3000=45889)*(INPUT!$U$3:$U$3000="SEGO"))=0,"",SUMPRODUCT((INPUT!$T$3:$T$3000=45889)*(INPUT!$U$3:$U$3000="SEGO")*(INPUT!$V$3:$V$3000+INPUT!$W$3:$W$3000+INPUT!$X$3:$X$3000+INPUT!$Y$3:$Y$3000))),"")</f>
        <v/>
      </c>
      <c r="S20" s="42" t="str" cm="1">
        <f t="array" ref="S20">IFERROR(IF(SUMPRODUCT((INPUT!$T$3:$T$3000=45890)*(INPUT!$U$3:$U$3000="SEGO"))=0,"",SUMPRODUCT((INPUT!$T$3:$T$3000=45890)*(INPUT!$U$3:$U$3000="SEGO")*(INPUT!$V$3:$V$3000+INPUT!$W$3:$W$3000+INPUT!$X$3:$X$3000+INPUT!$Y$3:$Y$3000))),"")</f>
        <v/>
      </c>
      <c r="T20" s="42" t="str" cm="1">
        <f t="array" ref="T20">IFERROR(IF(SUMPRODUCT((INPUT!$T$3:$T$3000=45891)*(INPUT!$U$3:$U$3000="SEGO"))=0,"",SUMPRODUCT((INPUT!$T$3:$T$3000=45891)*(INPUT!$U$3:$U$3000="SEGO")*(INPUT!$V$3:$V$3000+INPUT!$W$3:$W$3000+INPUT!$X$3:$X$3000+INPUT!$Y$3:$Y$3000))),"")</f>
        <v/>
      </c>
      <c r="U20" s="42" t="str" cm="1">
        <f t="array" ref="U20">IFERROR(IF(SUMPRODUCT((INPUT!$T$3:$T$3000=45892)*(INPUT!$U$3:$U$3000="SEGO"))=0,"",SUMPRODUCT((INPUT!$T$3:$T$3000=45892)*(INPUT!$U$3:$U$3000="SEGO")*(INPUT!$V$3:$V$3000+INPUT!$W$3:$W$3000+INPUT!$X$3:$X$3000+INPUT!$Y$3:$Y$3000))),"")</f>
        <v/>
      </c>
      <c r="V20" s="42" t="str" cm="1">
        <f t="array" ref="V20">IFERROR(IF(SUMPRODUCT((INPUT!$T$3:$T$3000=45893)*(INPUT!$U$3:$U$3000="SEGO"))=0,"",SUMPRODUCT((INPUT!$T$3:$T$3000=45893)*(INPUT!$U$3:$U$3000="SEGO")*(INPUT!$V$3:$V$3000+INPUT!$W$3:$W$3000+INPUT!$X$3:$X$3000+INPUT!$Y$3:$Y$3000))),"")</f>
        <v/>
      </c>
      <c r="W20" s="42" t="str" cm="1">
        <f t="array" ref="W20">IFERROR(IF(SUMPRODUCT((INPUT!$T$3:$T$3000=45895)*(INPUT!$U$3:$U$3000="SEGO"))=0,"",SUMPRODUCT((INPUT!$T$3:$T$3000=45895)*(INPUT!$U$3:$U$3000="SEGO")*(INPUT!$V$3:$V$3000+INPUT!$W$3:$W$3000+INPUT!$X$3:$X$3000+INPUT!$Y$3:$Y$3000))),"")</f>
        <v/>
      </c>
      <c r="X20" s="42" t="str" cm="1">
        <f t="array" ref="X20">IFERROR(IF(SUMPRODUCT((INPUT!$T$3:$T$3000=45896)*(INPUT!$U$3:$U$3000="SEGO"))=0,"",SUMPRODUCT((INPUT!$T$3:$T$3000=45896)*(INPUT!$U$3:$U$3000="SEGO")*(INPUT!$V$3:$V$3000+INPUT!$W$3:$W$3000+INPUT!$X$3:$X$3000+INPUT!$Y$3:$Y$3000))),"")</f>
        <v/>
      </c>
      <c r="Y20" s="42" t="str" cm="1">
        <f t="array" ref="Y20">IFERROR(IF(SUMPRODUCT((INPUT!$T$3:$T$3000=45898)*(INPUT!$U$3:$U$3000="SEGO"))=0,"",SUMPRODUCT((INPUT!$T$3:$T$3000=45898)*(INPUT!$U$3:$U$3000="SEGO")*(INPUT!$V$3:$V$3000+INPUT!$W$3:$W$3000+INPUT!$X$3:$X$3000+INPUT!$Y$3:$Y$3000))),"")</f>
        <v/>
      </c>
      <c r="Z20" s="42" t="str" cm="1">
        <f t="array" ref="Z20">IFERROR(IF(SUMPRODUCT((INPUT!$T$3:$T$3000=45899)*(INPUT!$U$3:$U$3000="SEGO"))=0,"",SUMPRODUCT((INPUT!$T$3:$T$3000=45899)*(INPUT!$U$3:$U$3000="SEGO")*(INPUT!$V$3:$V$3000+INPUT!$W$3:$W$3000+INPUT!$X$3:$X$3000+INPUT!$Y$3:$Y$3000))),"")</f>
        <v/>
      </c>
      <c r="AA20" s="42" t="str" cm="1">
        <f t="array" ref="AA20">IFERROR(IF(SUMPRODUCT((INPUT!$T$3:$T$3000=45900)*(INPUT!$U$3:$U$3000="SEGO"))=0,"",SUMPRODUCT((INPUT!$T$3:$T$3000=45900)*(INPUT!$U$3:$U$3000="SEGO")*(INPUT!$V$3:$V$3000+INPUT!$W$3:$W$3000+INPUT!$X$3:$X$3000+INPUT!$Y$3:$Y$3000))),"")</f>
        <v/>
      </c>
      <c r="AB20" s="42" t="str" cm="1">
        <f t="array" ref="AB20">IFERROR(IF(SUMPRODUCT((INPUT!$T$3:$T$3000=45902)*(INPUT!$U$3:$U$3000="SEGO"))=0,"",SUMPRODUCT((INPUT!$T$3:$T$3000=45902)*(INPUT!$U$3:$U$3000="SEGO")*(INPUT!$V$3:$V$3000+INPUT!$W$3:$W$3000+INPUT!$X$3:$X$3000+INPUT!$Y$3:$Y$3000))),"")</f>
        <v/>
      </c>
      <c r="AC20" s="42" t="str" cm="1">
        <f t="array" ref="AC20">IFERROR(IF(SUMPRODUCT((INPUT!$T$3:$T$3000=45903)*(INPUT!$U$3:$U$3000="SEGO"))=0,"",SUMPRODUCT((INPUT!$T$3:$T$3000=45903)*(INPUT!$U$3:$U$3000="SEGO")*(INPUT!$V$3:$V$3000+INPUT!$W$3:$W$3000+INPUT!$X$3:$X$3000+INPUT!$Y$3:$Y$3000))),"")</f>
        <v/>
      </c>
      <c r="AD20" s="42" t="str" cm="1">
        <f t="array" ref="AD20">IFERROR(IF(SUMPRODUCT((INPUT!$T$3:$T$3000=45904)*(INPUT!$U$3:$U$3000="SEGO"))=0,"",SUMPRODUCT((INPUT!$T$3:$T$3000=45904)*(INPUT!$U$3:$U$3000="SEGO")*(INPUT!$V$3:$V$3000+INPUT!$W$3:$W$3000+INPUT!$X$3:$X$3000+INPUT!$Y$3:$Y$3000))),"")</f>
        <v/>
      </c>
      <c r="AE20" s="42" t="str" cm="1">
        <f t="array" ref="AE20">IFERROR(IF(SUMPRODUCT((INPUT!$T$3:$T$3000=45905)*(INPUT!$U$3:$U$3000="SEGO"))=0,"",SUMPRODUCT((INPUT!$T$3:$T$3000=45905)*(INPUT!$U$3:$U$3000="SEGO")*(INPUT!$V$3:$V$3000+INPUT!$W$3:$W$3000+INPUT!$X$3:$X$3000+INPUT!$Y$3:$Y$3000))),"")</f>
        <v/>
      </c>
      <c r="AF20" s="42" t="str" cm="1">
        <f t="array" ref="AF20">IFERROR(IF(SUMPRODUCT((INPUT!$T$3:$T$3000=45906)*(INPUT!$U$3:$U$3000="SEGO"))=0,"",SUMPRODUCT((INPUT!$T$3:$T$3000=45906)*(INPUT!$U$3:$U$3000="SEGO")*(INPUT!$V$3:$V$3000+INPUT!$W$3:$W$3000+INPUT!$X$3:$X$3000+INPUT!$Y$3:$Y$3000))),"")</f>
        <v/>
      </c>
      <c r="AG20" s="42" t="str" cm="1">
        <f t="array" ref="AG20">IFERROR(IF(SUMPRODUCT((INPUT!$T$3:$T$3000=45908)*(INPUT!$U$3:$U$3000="SEGO"))=0,"",SUMPRODUCT((INPUT!$T$3:$T$3000=45908)*(INPUT!$U$3:$U$3000="SEGO")*(INPUT!$V$3:$V$3000+INPUT!$W$3:$W$3000+INPUT!$X$3:$X$3000+INPUT!$Y$3:$Y$3000))),"")</f>
        <v/>
      </c>
      <c r="AH20" s="42" t="str" cm="1">
        <f t="array" ref="AH20">IFERROR(IF(SUMPRODUCT((INPUT!$T$3:$T$3000=45909)*(INPUT!$U$3:$U$3000="SEGO"))=0,"",SUMPRODUCT((INPUT!$T$3:$T$3000=45909)*(INPUT!$U$3:$U$3000="SEGO")*(INPUT!$V$3:$V$3000+INPUT!$W$3:$W$3000+INPUT!$X$3:$X$3000+INPUT!$Y$3:$Y$3000))),"")</f>
        <v/>
      </c>
      <c r="AI20" s="42" t="str" cm="1">
        <f t="array" ref="AI20">IFERROR(IF(SUMPRODUCT((INPUT!$T$3:$T$3000=45911)*(INPUT!$U$3:$U$3000="SEGO"))=0,"",SUMPRODUCT((INPUT!$T$3:$T$3000=45911)*(INPUT!$U$3:$U$3000="SEGO")*(INPUT!$V$3:$V$3000+INPUT!$W$3:$W$3000+INPUT!$X$3:$X$3000+INPUT!$Y$3:$Y$3000))),"")</f>
        <v/>
      </c>
      <c r="AJ20" s="42" t="str" cm="1">
        <f t="array" ref="AJ20">IFERROR(IF(SUMPRODUCT((INPUT!$T$3:$T$3000=45912)*(INPUT!$U$3:$U$3000="SEGO"))=0,"",SUMPRODUCT((INPUT!$T$3:$T$3000=45912)*(INPUT!$U$3:$U$3000="SEGO")*(INPUT!$V$3:$V$3000+INPUT!$W$3:$W$3000+INPUT!$X$3:$X$3000+INPUT!$Y$3:$Y$3000))),"")</f>
        <v/>
      </c>
      <c r="AK20" s="42" t="str" cm="1">
        <f t="array" ref="AK20">IFERROR(IF(SUMPRODUCT((INPUT!$T$3:$T$3000=45913)*(INPUT!$U$3:$U$3000="SEGO"))=0,"",SUMPRODUCT((INPUT!$T$3:$T$3000=45913)*(INPUT!$U$3:$U$3000="SEGO")*(INPUT!$V$3:$V$3000+INPUT!$W$3:$W$3000+INPUT!$X$3:$X$3000+INPUT!$Y$3:$Y$3000))),"")</f>
        <v/>
      </c>
      <c r="AL20" s="42" t="str" cm="1">
        <f t="array" ref="AL20">IFERROR(IF(SUMPRODUCT((INPUT!$T$3:$T$3000=45915)*(INPUT!$U$3:$U$3000="SEGO"))=0,"",SUMPRODUCT((INPUT!$T$3:$T$3000=45915)*(INPUT!$U$3:$U$3000="SEGO")*(INPUT!$V$3:$V$3000+INPUT!$W$3:$W$3000+INPUT!$X$3:$X$3000+INPUT!$Y$3:$Y$3000))),"")</f>
        <v/>
      </c>
      <c r="AM20" s="42" t="str" cm="1">
        <f t="array" ref="AM20">IFERROR(IF(SUMPRODUCT((INPUT!$T$3:$T$3000=45916)*(INPUT!$U$3:$U$3000="SEGO"))=0,"",SUMPRODUCT((INPUT!$T$3:$T$3000=45916)*(INPUT!$U$3:$U$3000="SEGO")*(INPUT!$V$3:$V$3000+INPUT!$W$3:$W$3000+INPUT!$X$3:$X$3000+INPUT!$Y$3:$Y$3000))),"")</f>
        <v/>
      </c>
      <c r="AN20" s="42" cm="1">
        <f t="array" ref="AN20">IFERROR(IF(SUMPRODUCT((INPUT!$T$3:$T$3000=45917)*(INPUT!$U$3:$U$3000="SEGO"))=0,"",SUMPRODUCT((INPUT!$T$3:$T$3000=45917)*(INPUT!$U$3:$U$3000="SEGO")*(INPUT!$V$3:$V$3000+INPUT!$W$3:$W$3000+INPUT!$X$3:$X$3000+INPUT!$Y$3:$Y$3000))),"")</f>
        <v>14</v>
      </c>
      <c r="AO20" s="42" t="str" cm="1">
        <f t="array" ref="AO20">IFERROR(IF(SUMPRODUCT((INPUT!$T$3:$T$3000=45918)*(INPUT!$U$3:$U$3000="SEGO"))=0,"",SUMPRODUCT((INPUT!$T$3:$T$3000=45918)*(INPUT!$U$3:$U$3000="SEGO")*(INPUT!$V$3:$V$3000+INPUT!$W$3:$W$3000+INPUT!$X$3:$X$3000+INPUT!$Y$3:$Y$3000))),"")</f>
        <v/>
      </c>
      <c r="AP20" s="42" cm="1">
        <f t="array" ref="AP20">IFERROR(IF(SUMPRODUCT((INPUT!$T$3:$T$3000=45919)*(INPUT!$U$3:$U$3000="SEGO"))=0,"",SUMPRODUCT((INPUT!$T$3:$T$3000=45919)*(INPUT!$U$3:$U$3000="SEGO")*(INPUT!$V$3:$V$3000+INPUT!$W$3:$W$3000+INPUT!$X$3:$X$3000+INPUT!$Y$3:$Y$3000))),"")</f>
        <v>14</v>
      </c>
      <c r="AQ20" s="42" t="str" cm="1">
        <f t="array" ref="AQ20">IFERROR(IF(SUMPRODUCT((INPUT!$T$3:$T$3000=45922)*(INPUT!$U$3:$U$3000="SEGO"))=0,"",SUMPRODUCT((INPUT!$T$3:$T$3000=45922)*(INPUT!$U$3:$U$3000="SEGO")*(INPUT!$V$3:$V$3000+INPUT!$W$3:$W$3000+INPUT!$X$3:$X$3000+INPUT!$Y$3:$Y$3000))),"")</f>
        <v/>
      </c>
      <c r="AR20" s="42" t="str" cm="1">
        <f t="array" ref="AR20">IFERROR(IF(SUMPRODUCT((INPUT!$T$3:$T$3000=45923)*(INPUT!$U$3:$U$3000="SEGO"))=0,"",SUMPRODUCT((INPUT!$T$3:$T$3000=45923)*(INPUT!$U$3:$U$3000="SEGO")*(INPUT!$V$3:$V$3000+INPUT!$W$3:$W$3000+INPUT!$X$3:$X$3000+INPUT!$Y$3:$Y$3000))),"")</f>
        <v/>
      </c>
      <c r="AS20" s="42" t="str" cm="1">
        <f t="array" ref="AS20">IFERROR(IF(SUMPRODUCT((INPUT!$T$3:$T$3000=45924)*(INPUT!$U$3:$U$3000="SEGO"))=0,"",SUMPRODUCT((INPUT!$T$3:$T$3000=45924)*(INPUT!$U$3:$U$3000="SEGO")*(INPUT!$V$3:$V$3000+INPUT!$W$3:$W$3000+INPUT!$X$3:$X$3000+INPUT!$Y$3:$Y$3000))),"")</f>
        <v/>
      </c>
      <c r="AT20" s="42" t="str" cm="1">
        <f t="array" ref="AT20">IFERROR(IF(SUMPRODUCT((INPUT!$T$3:$T$3000=45925)*(INPUT!$U$3:$U$3000="SEGO"))=0,"",SUMPRODUCT((INPUT!$T$3:$T$3000=45925)*(INPUT!$U$3:$U$3000="SEGO")*(INPUT!$V$3:$V$3000+INPUT!$W$3:$W$3000+INPUT!$X$3:$X$3000+INPUT!$Y$3:$Y$3000))),"")</f>
        <v/>
      </c>
      <c r="AU20" s="42" t="str" cm="1">
        <f t="array" ref="AU20">IFERROR(IF(SUMPRODUCT((INPUT!$T$3:$T$3000=45926)*(INPUT!$U$3:$U$3000="SEGO"))=0,"",SUMPRODUCT((INPUT!$T$3:$T$3000=45926)*(INPUT!$U$3:$U$3000="SEGO")*(INPUT!$V$3:$V$3000+INPUT!$W$3:$W$3000+INPUT!$X$3:$X$3000+INPUT!$Y$3:$Y$3000))),"")</f>
        <v/>
      </c>
      <c r="AV20" s="42" t="str" cm="1">
        <f t="array" ref="AV20">IFERROR(IF(SUMPRODUCT((INPUT!$T$3:$T$3000=45927)*(INPUT!$U$3:$U$3000="SEGO"))=0,"",SUMPRODUCT((INPUT!$T$3:$T$3000=45927)*(INPUT!$U$3:$U$3000="SEGO")*(INPUT!$V$3:$V$3000+INPUT!$W$3:$W$3000+INPUT!$X$3:$X$3000+INPUT!$Y$3:$Y$3000))),"")</f>
        <v/>
      </c>
      <c r="AW20" s="42" t="str" cm="1">
        <f t="array" ref="AW20">IFERROR(IF(SUMPRODUCT((INPUT!$T$3:$T$3000=45929)*(INPUT!$U$3:$U$3000="SEGO"))=0,"",SUMPRODUCT((INPUT!$T$3:$T$3000=45929)*(INPUT!$U$3:$U$3000="SEGO")*(INPUT!$V$3:$V$3000+INPUT!$W$3:$W$3000+INPUT!$X$3:$X$3000+INPUT!$Y$3:$Y$3000))),"")</f>
        <v/>
      </c>
      <c r="AX20" s="42" t="str" cm="1">
        <f t="array" ref="AX20">IFERROR(IF(SUMPRODUCT((INPUT!$T$3:$T$3000=45930)*(INPUT!$U$3:$U$3000="SEGO"))=0,"",SUMPRODUCT((INPUT!$T$3:$T$3000=45930)*(INPUT!$U$3:$U$3000="SEGO")*(INPUT!$V$3:$V$3000+INPUT!$W$3:$W$3000+INPUT!$X$3:$X$3000+INPUT!$Y$3:$Y$3000))),"")</f>
        <v/>
      </c>
      <c r="AY20" s="42" t="str" cm="1">
        <f t="array" ref="AY20">IFERROR(IF(SUMPRODUCT((INPUT!$T$3:$T$3000=45931)*(INPUT!$U$3:$U$3000="SEGO"))=0,"",SUMPRODUCT((INPUT!$T$3:$T$3000=45931)*(INPUT!$U$3:$U$3000="SEGO")*(INPUT!$V$3:$V$3000+INPUT!$W$3:$W$3000+INPUT!$X$3:$X$3000+INPUT!$Y$3:$Y$3000))),"")</f>
        <v/>
      </c>
      <c r="AZ20" s="42" t="str" cm="1">
        <f t="array" ref="AZ20">IFERROR(IF(SUMPRODUCT((INPUT!$T$3:$T$3000=45932)*(INPUT!$U$3:$U$3000="SEGO"))=0,"",SUMPRODUCT((INPUT!$T$3:$T$3000=45932)*(INPUT!$U$3:$U$3000="SEGO")*(INPUT!$V$3:$V$3000+INPUT!$W$3:$W$3000+INPUT!$X$3:$X$3000+INPUT!$Y$3:$Y$3000))),"")</f>
        <v/>
      </c>
      <c r="BA20" s="42" t="str" cm="1">
        <f t="array" ref="BA20">IFERROR(IF(SUMPRODUCT((INPUT!$T$3:$T$3000=45933)*(INPUT!$U$3:$U$3000="SEGO"))=0,"",SUMPRODUCT((INPUT!$T$3:$T$3000=45933)*(INPUT!$U$3:$U$3000="SEGO")*(INPUT!$V$3:$V$3000+INPUT!$W$3:$W$3000+INPUT!$X$3:$X$3000+INPUT!$Y$3:$Y$3000))),"")</f>
        <v/>
      </c>
      <c r="BB20" s="42" t="str" cm="1">
        <f t="array" ref="BB20">IFERROR(IF(SUMPRODUCT((INPUT!$T$3:$T$3000=45934)*(INPUT!$U$3:$U$3000="SEGO"))=0,"",SUMPRODUCT((INPUT!$T$3:$T$3000=45934)*(INPUT!$U$3:$U$3000="SEGO")*(INPUT!$V$3:$V$3000+INPUT!$W$3:$W$3000+INPUT!$X$3:$X$3000+INPUT!$Y$3:$Y$3000))),"")</f>
        <v/>
      </c>
      <c r="BC20" s="42" t="str" cm="1">
        <f t="array" ref="BC20">IFERROR(IF(SUMPRODUCT((INPUT!$T$3:$T$3000=45936)*(INPUT!$U$3:$U$3000="SEGO"))=0,"",SUMPRODUCT((INPUT!$T$3:$T$3000=45936)*(INPUT!$U$3:$U$3000="SEGO")*(INPUT!$V$3:$V$3000+INPUT!$W$3:$W$3000+INPUT!$X$3:$X$3000+INPUT!$Y$3:$Y$3000))),"")</f>
        <v/>
      </c>
      <c r="BD20" s="42" t="str" cm="1">
        <f t="array" ref="BD20">IFERROR(IF(SUMPRODUCT((INPUT!$T$3:$T$3000=45937)*(INPUT!$U$3:$U$3000="SEGO"))=0,"",SUMPRODUCT((INPUT!$T$3:$T$3000=45937)*(INPUT!$U$3:$U$3000="SEGO")*(INPUT!$V$3:$V$3000+INPUT!$W$3:$W$3000+INPUT!$X$3:$X$3000+INPUT!$Y$3:$Y$3000))),"")</f>
        <v/>
      </c>
      <c r="BE20" s="42" t="str" cm="1">
        <f t="array" ref="BE20">IFERROR(IF(SUMPRODUCT((INPUT!$T$3:$T$3000=45938)*(INPUT!$U$3:$U$3000="SEGO"))=0,"",SUMPRODUCT((INPUT!$T$3:$T$3000=45938)*(INPUT!$U$3:$U$3000="SEGO")*(INPUT!$V$3:$V$3000+INPUT!$W$3:$W$3000+INPUT!$X$3:$X$3000+INPUT!$Y$3:$Y$3000))),"")</f>
        <v/>
      </c>
      <c r="BF20" s="42" t="str" cm="1">
        <f t="array" ref="BF20">IFERROR(IF(SUMPRODUCT((INPUT!$T$3:$T$3000=45940)*(INPUT!$U$3:$U$3000="SEGO"))=0,"",SUMPRODUCT((INPUT!$T$3:$T$3000=45940)*(INPUT!$U$3:$U$3000="SEGO")*(INPUT!$V$3:$V$3000+INPUT!$W$3:$W$3000+INPUT!$X$3:$X$3000+INPUT!$Y$3:$Y$3000))),"")</f>
        <v/>
      </c>
      <c r="BG20" s="42" t="str" cm="1">
        <f t="array" ref="BG20">IFERROR(IF(SUMPRODUCT((INPUT!$T$3:$T$3000=45941)*(INPUT!$U$3:$U$3000="SEGO"))=0,"",SUMPRODUCT((INPUT!$T$3:$T$3000=45941)*(INPUT!$U$3:$U$3000="SEGO")*(INPUT!$V$3:$V$3000+INPUT!$W$3:$W$3000+INPUT!$X$3:$X$3000+INPUT!$Y$3:$Y$3000))),"")</f>
        <v/>
      </c>
      <c r="BH20" s="42" t="str" cm="1">
        <f t="array" ref="BH20">IFERROR(IF(SUMPRODUCT((INPUT!$T$3:$T$3000=45942)*(INPUT!$U$3:$U$3000="SEGO"))=0,"",SUMPRODUCT((INPUT!$T$3:$T$3000=45942)*(INPUT!$U$3:$U$3000="SEGO")*(INPUT!$V$3:$V$3000+INPUT!$W$3:$W$3000+INPUT!$X$3:$X$3000+INPUT!$Y$3:$Y$3000))),"")</f>
        <v/>
      </c>
      <c r="BI20" s="42" cm="1">
        <f t="array" ref="BI20">IFERROR(IF(SUMPRODUCT((INPUT!$T$3:$T$3000=45945)*(INPUT!$U$3:$U$3000="SEGO"))=0,"",SUMPRODUCT((INPUT!$T$3:$T$3000=45945)*(INPUT!$U$3:$U$3000="SEGO")*(INPUT!$V$3:$V$3000+INPUT!$W$3:$W$3000+INPUT!$X$3:$X$3000+INPUT!$Y$3:$Y$3000))),"")</f>
        <v>14</v>
      </c>
      <c r="BJ20" s="42" cm="1">
        <f t="array" ref="BJ20">IFERROR(IF(SUMPRODUCT((INPUT!$T$3:$T$3000=45946)*(INPUT!$U$3:$U$3000="SEGO"))=0,"",SUMPRODUCT((INPUT!$T$3:$T$3000=45946)*(INPUT!$U$3:$U$3000="SEGO")*(INPUT!$V$3:$V$3000+INPUT!$W$3:$W$3000+INPUT!$X$3:$X$3000+INPUT!$Y$3:$Y$3000))),"")</f>
        <v>16</v>
      </c>
      <c r="BK20" s="42" cm="1">
        <f t="array" ref="BK20">IFERROR(IF(SUMPRODUCT((INPUT!$T$3:$T$3000=45947)*(INPUT!$U$3:$U$3000="SEGO"))=0,"",SUMPRODUCT((INPUT!$T$3:$T$3000=45947)*(INPUT!$U$3:$U$3000="SEGO")*(INPUT!$V$3:$V$3000+INPUT!$W$3:$W$3000+INPUT!$X$3:$X$3000+INPUT!$Y$3:$Y$3000))),"")</f>
        <v>17</v>
      </c>
      <c r="BL20" s="42" t="str" cm="1">
        <f t="array" ref="BL20">IFERROR(IF(SUMPRODUCT((INPUT!$T$3:$T$3000=45950)*(INPUT!$U$3:$U$3000="SEGO"))=0,"",SUMPRODUCT((INPUT!$T$3:$T$3000=45950)*(INPUT!$U$3:$U$3000="SEGO")*(INPUT!$V$3:$V$3000+INPUT!$W$3:$W$3000+INPUT!$X$3:$X$3000+INPUT!$Y$3:$Y$3000))),"")</f>
        <v/>
      </c>
      <c r="BM20" s="42" t="str" cm="1">
        <f t="array" ref="BM20">IFERROR(IF(SUMPRODUCT((INPUT!$T$3:$T$3000=45951)*(INPUT!$U$3:$U$3000="SEGO"))=0,"",SUMPRODUCT((INPUT!$T$3:$T$3000=45951)*(INPUT!$U$3:$U$3000="SEGO")*(INPUT!$V$3:$V$3000+INPUT!$W$3:$W$3000+INPUT!$X$3:$X$3000+INPUT!$Y$3:$Y$3000))),"")</f>
        <v/>
      </c>
      <c r="BN20" s="42" t="str" cm="1">
        <f t="array" ref="BN20">IFERROR(IF(SUMPRODUCT((INPUT!$T$3:$T$3000=45952)*(INPUT!$U$3:$U$3000="SEGO"))=0,"",SUMPRODUCT((INPUT!$T$3:$T$3000=45952)*(INPUT!$U$3:$U$3000="SEGO")*(INPUT!$V$3:$V$3000+INPUT!$W$3:$W$3000+INPUT!$X$3:$X$3000+INPUT!$Y$3:$Y$3000))),"")</f>
        <v/>
      </c>
      <c r="BO20" s="42" cm="1">
        <f t="array" ref="BO20">IFERROR(IF(SUMPRODUCT((INPUT!$T$3:$T$3000=45953)*(INPUT!$U$3:$U$3000="SEGO"))=0,"",SUMPRODUCT((INPUT!$T$3:$T$3000=45953)*(INPUT!$U$3:$U$3000="SEGO")*(INPUT!$V$3:$V$3000+INPUT!$W$3:$W$3000+INPUT!$X$3:$X$3000+INPUT!$Y$3:$Y$3000))),"")</f>
        <v>12</v>
      </c>
      <c r="BP20" s="42" t="str" cm="1">
        <f t="array" ref="BP20">IFERROR(IF(SUMPRODUCT((INPUT!$T$3:$T$3000=45954)*(INPUT!$U$3:$U$3000="SEGO"))=0,"",SUMPRODUCT((INPUT!$T$3:$T$3000=45954)*(INPUT!$U$3:$U$3000="SEGO")*(INPUT!$V$3:$V$3000+INPUT!$W$3:$W$3000+INPUT!$X$3:$X$3000+INPUT!$Y$3:$Y$3000))),"")</f>
        <v/>
      </c>
      <c r="BQ20" s="42" t="str" cm="1">
        <f t="array" ref="BQ20">IFERROR(IF(SUMPRODUCT((INPUT!$T$3:$T$3000=45955)*(INPUT!$U$3:$U$3000="SEGO"))=0,"",SUMPRODUCT((INPUT!$T$3:$T$3000=45955)*(INPUT!$U$3:$U$3000="SEGO")*(INPUT!$V$3:$V$3000+INPUT!$W$3:$W$3000+INPUT!$X$3:$X$3000+INPUT!$Y$3:$Y$3000))),"")</f>
        <v/>
      </c>
      <c r="BR20" s="42" cm="1">
        <f t="array" ref="BR20">IFERROR(IF(SUMPRODUCT((INPUT!$T$3:$T$3000=45958)*(INPUT!$U$3:$U$3000="SEGO"))=0,"",SUMPRODUCT((INPUT!$T$3:$T$3000=45958)*(INPUT!$U$3:$U$3000="SEGO")*(INPUT!$V$3:$V$3000+INPUT!$W$3:$W$3000+INPUT!$X$3:$X$3000+INPUT!$Y$3:$Y$3000))),"")</f>
        <v>15</v>
      </c>
      <c r="BS20" s="42" cm="1">
        <f t="array" ref="BS20">IFERROR(IF(SUMPRODUCT((INPUT!$T$3:$T$3000=45959)*(INPUT!$U$3:$U$3000="SEGO"))=0,"",SUMPRODUCT((INPUT!$T$3:$T$3000=45959)*(INPUT!$U$3:$U$3000="SEGO")*(INPUT!$V$3:$V$3000+INPUT!$W$3:$W$3000+INPUT!$X$3:$X$3000+INPUT!$Y$3:$Y$3000))),"")</f>
        <v>14</v>
      </c>
      <c r="BT20" s="42" cm="1">
        <f t="array" ref="BT20">IFERROR(IF(SUMPRODUCT((INPUT!$T$3:$T$3000=45960)*(INPUT!$U$3:$U$3000="SEGO"))=0,"",SUMPRODUCT((INPUT!$T$3:$T$3000=45960)*(INPUT!$U$3:$U$3000="SEGO")*(INPUT!$V$3:$V$3000+INPUT!$W$3:$W$3000+INPUT!$X$3:$X$3000+INPUT!$Y$3:$Y$3000))),"")</f>
        <v>15</v>
      </c>
      <c r="BU20" s="42" cm="1">
        <f t="array" ref="BU20">IFERROR(IF(SUMPRODUCT((INPUT!$T$3:$T$3000=45961)*(INPUT!$U$3:$U$3000="SEGO"))=0,"",SUMPRODUCT((INPUT!$T$3:$T$3000=45961)*(INPUT!$U$3:$U$3000="SEGO")*(INPUT!$V$3:$V$3000+INPUT!$W$3:$W$3000+INPUT!$X$3:$X$3000+INPUT!$Y$3:$Y$3000))),"")</f>
        <v>14</v>
      </c>
      <c r="BV20" s="42" cm="1">
        <f t="array" ref="BV20">IFERROR(IF(SUMPRODUCT((INPUT!$T$3:$T$3000=45964)*(INPUT!$U$3:$U$3000="SEGO"))=0,"",SUMPRODUCT((INPUT!$T$3:$T$3000=45964)*(INPUT!$U$3:$U$3000="SEGO")*(INPUT!$V$3:$V$3000+INPUT!$W$3:$W$3000+INPUT!$X$3:$X$3000+INPUT!$Y$3:$Y$3000))),"")</f>
        <v>16</v>
      </c>
      <c r="BW20" s="42" t="str" cm="1">
        <f t="array" ref="BW20">IFERROR(IF(SUMPRODUCT((INPUT!$T$3:$T$3000=45965)*(INPUT!$U$3:$U$3000="SEGO"))=0,"",SUMPRODUCT((INPUT!$T$3:$T$3000=45965)*(INPUT!$U$3:$U$3000="SEGO")*(INPUT!$V$3:$V$3000+INPUT!$W$3:$W$3000+INPUT!$X$3:$X$3000+INPUT!$Y$3:$Y$3000))),"")</f>
        <v/>
      </c>
      <c r="BX20" s="42" t="str" cm="1">
        <f t="array" ref="BX20">IFERROR(IF(SUMPRODUCT((INPUT!$T$3:$T$3000=45966)*(INPUT!$U$3:$U$3000="SEGO"))=0,"",SUMPRODUCT((INPUT!$T$3:$T$3000=45966)*(INPUT!$U$3:$U$3000="SEGO")*(INPUT!$V$3:$V$3000+INPUT!$W$3:$W$3000+INPUT!$X$3:$X$3000+INPUT!$Y$3:$Y$3000))),"")</f>
        <v/>
      </c>
      <c r="BY20" s="42" cm="1">
        <f t="array" ref="BY20">IFERROR(IF(SUMPRODUCT((INPUT!$T$3:$T$3000=45967)*(INPUT!$U$3:$U$3000="SEGO"))=0,"",SUMPRODUCT((INPUT!$T$3:$T$3000=45967)*(INPUT!$U$3:$U$3000="SEGO")*(INPUT!$V$3:$V$3000+INPUT!$W$3:$W$3000+INPUT!$X$3:$X$3000+INPUT!$Y$3:$Y$3000))),"")</f>
        <v>15</v>
      </c>
      <c r="BZ20" s="42" cm="1">
        <f t="array" ref="BZ20">IFERROR(IF(SUMPRODUCT((INPUT!$T$3:$T$3000=45968)*(INPUT!$U$3:$U$3000="SEGO"))=0,"",SUMPRODUCT((INPUT!$T$3:$T$3000=45968)*(INPUT!$U$3:$U$3000="SEGO")*(INPUT!$V$3:$V$3000+INPUT!$W$3:$W$3000+INPUT!$X$3:$X$3000+INPUT!$Y$3:$Y$3000))),"")</f>
        <v>18</v>
      </c>
      <c r="CA20" s="42" cm="1">
        <f t="array" ref="CA20">IFERROR(IF(SUMPRODUCT((INPUT!$T$3:$T$3000=45971)*(INPUT!$U$3:$U$3000="SEGO"))=0,"",SUMPRODUCT((INPUT!$T$3:$T$3000=45971)*(INPUT!$U$3:$U$3000="SEGO")*(INPUT!$V$3:$V$3000+INPUT!$W$3:$W$3000+INPUT!$X$3:$X$3000+INPUT!$Y$3:$Y$3000))),"")</f>
        <v>17</v>
      </c>
      <c r="CB20" s="42" cm="1">
        <f t="array" ref="CB20">IFERROR(IF(SUMPRODUCT((INPUT!$T$3:$T$3000=45972)*(INPUT!$U$3:$U$3000="SEGO"))=0,"",SUMPRODUCT((INPUT!$T$3:$T$3000=45972)*(INPUT!$U$3:$U$3000="SEGO")*(INPUT!$V$3:$V$3000+INPUT!$W$3:$W$3000+INPUT!$X$3:$X$3000+INPUT!$Y$3:$Y$3000))),"")</f>
        <v>13</v>
      </c>
      <c r="CC20" s="42" t="str" cm="1">
        <f t="array" ref="CC20">IFERROR(IF(SUMPRODUCT((INPUT!$T$3:$T$3000=45974)*(INPUT!$U$3:$U$3000="SEGO"))=0,"",SUMPRODUCT((INPUT!$T$3:$T$3000=45974)*(INPUT!$U$3:$U$3000="SEGO")*(INPUT!$V$3:$V$3000+INPUT!$W$3:$W$3000+INPUT!$X$3:$X$3000+INPUT!$Y$3:$Y$3000))),"")</f>
        <v/>
      </c>
      <c r="CD20" s="42" t="str" cm="1">
        <f t="array" ref="CD20">IFERROR(IF(SUMPRODUCT((INPUT!$T$3:$T$3000=45975)*(INPUT!$U$3:$U$3000="SEGO"))=0,"",SUMPRODUCT((INPUT!$T$3:$T$3000=45975)*(INPUT!$U$3:$U$3000="SEGO")*(INPUT!$V$3:$V$3000+INPUT!$W$3:$W$3000+INPUT!$X$3:$X$3000+INPUT!$Y$3:$Y$3000))),"")</f>
        <v/>
      </c>
      <c r="CE20" s="42" t="str" cm="1">
        <f t="array" ref="CE20">IFERROR(IF(SUMPRODUCT((INPUT!$T$3:$T$3000=45976)*(INPUT!$U$3:$U$3000="SEGO"))=0,"",SUMPRODUCT((INPUT!$T$3:$T$3000=45976)*(INPUT!$U$3:$U$3000="SEGO")*(INPUT!$V$3:$V$3000+INPUT!$W$3:$W$3000+INPUT!$X$3:$X$3000+INPUT!$Y$3:$Y$3000))),"")</f>
        <v/>
      </c>
      <c r="CF20" s="42" t="str" cm="1">
        <f t="array" ref="CF20">IFERROR(IF(SUMPRODUCT((INPUT!$T$3:$T$3000=45978)*(INPUT!$U$3:$U$3000="SEGO"))=0,"",SUMPRODUCT((INPUT!$T$3:$T$3000=45978)*(INPUT!$U$3:$U$3000="SEGO")*(INPUT!$V$3:$V$3000+INPUT!$W$3:$W$3000+INPUT!$X$3:$X$3000+INPUT!$Y$3:$Y$3000))),"")</f>
        <v/>
      </c>
      <c r="CG20" s="42" t="str" cm="1">
        <f t="array" ref="CG20">IFERROR(IF(SUMPRODUCT((INPUT!$T$3:$T$3000=45979)*(INPUT!$U$3:$U$3000="SEGO"))=0,"",SUMPRODUCT((INPUT!$T$3:$T$3000=45979)*(INPUT!$U$3:$U$3000="SEGO")*(INPUT!$V$3:$V$3000+INPUT!$W$3:$W$3000+INPUT!$X$3:$X$3000+INPUT!$Y$3:$Y$3000))),"")</f>
        <v/>
      </c>
      <c r="CH20" s="42" t="str" cm="1">
        <f t="array" ref="CH20">IFERROR(IF(SUMPRODUCT((INPUT!$T$3:$T$3000=45980)*(INPUT!$U$3:$U$3000="SEGO"))=0,"",SUMPRODUCT((INPUT!$T$3:$T$3000=45980)*(INPUT!$U$3:$U$3000="SEGO")*(INPUT!$V$3:$V$3000+INPUT!$W$3:$W$3000+INPUT!$X$3:$X$3000+INPUT!$Y$3:$Y$3000))),"")</f>
        <v/>
      </c>
      <c r="CI20" s="42" t="str" cm="1">
        <f t="array" ref="CI20">IFERROR(IF(SUMPRODUCT((INPUT!$T$3:$T$3000=45982)*(INPUT!$U$3:$U$3000="SEGO"))=0,"",SUMPRODUCT((INPUT!$T$3:$T$3000=45982)*(INPUT!$U$3:$U$3000="SEGO")*(INPUT!$V$3:$V$3000+INPUT!$W$3:$W$3000+INPUT!$X$3:$X$3000+INPUT!$Y$3:$Y$3000))),"")</f>
        <v/>
      </c>
      <c r="CJ20" s="42" t="str" cm="1">
        <f t="array" ref="CJ20">IFERROR(IF(SUMPRODUCT((INPUT!$T$3:$T$3000=45983)*(INPUT!$U$3:$U$3000="SEGO"))=0,"",SUMPRODUCT((INPUT!$T$3:$T$3000=45983)*(INPUT!$U$3:$U$3000="SEGO")*(INPUT!$V$3:$V$3000+INPUT!$W$3:$W$3000+INPUT!$X$3:$X$3000+INPUT!$Y$3:$Y$3000))),"")</f>
        <v/>
      </c>
      <c r="CK20" s="42" t="str" cm="1">
        <f t="array" ref="CK20">IFERROR(IF(SUMPRODUCT((INPUT!$T$3:$T$3000=45985)*(INPUT!$U$3:$U$3000="SEGO"))=0,"",SUMPRODUCT((INPUT!$T$3:$T$3000=45985)*(INPUT!$U$3:$U$3000="SEGO")*(INPUT!$V$3:$V$3000+INPUT!$W$3:$W$3000+INPUT!$X$3:$X$3000+INPUT!$Y$3:$Y$3000))),"")</f>
        <v/>
      </c>
      <c r="CL20" s="42" t="str" cm="1">
        <f t="array" ref="CL20">IFERROR(IF(SUMPRODUCT((INPUT!$T$3:$T$3000=45986)*(INPUT!$U$3:$U$3000="SEGO"))=0,"",SUMPRODUCT((INPUT!$T$3:$T$3000=45986)*(INPUT!$U$3:$U$3000="SEGO")*(INPUT!$V$3:$V$3000+INPUT!$W$3:$W$3000+INPUT!$X$3:$X$3000+INPUT!$Y$3:$Y$3000))),"")</f>
        <v/>
      </c>
      <c r="CM20" s="42" t="str" cm="1">
        <f t="array" ref="CM20">IFERROR(IF(SUMPRODUCT((INPUT!$T$3:$T$3000=45987)*(INPUT!$U$3:$U$3000="SEGO"))=0,"",SUMPRODUCT((INPUT!$T$3:$T$3000=45987)*(INPUT!$U$3:$U$3000="SEGO")*(INPUT!$V$3:$V$3000+INPUT!$W$3:$W$3000+INPUT!$X$3:$X$3000+INPUT!$Y$3:$Y$3000))),"")</f>
        <v/>
      </c>
      <c r="CN20" s="42" t="str" cm="1">
        <f t="array" ref="CN20">IFERROR(IF(SUMPRODUCT((INPUT!$T$3:$T$3000=45988)*(INPUT!$U$3:$U$3000="SEGO"))=0,"",SUMPRODUCT((INPUT!$T$3:$T$3000=45988)*(INPUT!$U$3:$U$3000="SEGO")*(INPUT!$V$3:$V$3000+INPUT!$W$3:$W$3000+INPUT!$X$3:$X$3000+INPUT!$Y$3:$Y$3000))),"")</f>
        <v/>
      </c>
      <c r="CO20" s="42" t="str" cm="1">
        <f t="array" ref="CO20">IFERROR(IF(SUMPRODUCT((INPUT!$T$3:$T$3000=45989)*(INPUT!$U$3:$U$3000="SEGO"))=0,"",SUMPRODUCT((INPUT!$T$3:$T$3000=45989)*(INPUT!$U$3:$U$3000="SEGO")*(INPUT!$V$3:$V$3000+INPUT!$W$3:$W$3000+INPUT!$X$3:$X$3000+INPUT!$Y$3:$Y$3000))),"")</f>
        <v/>
      </c>
      <c r="CP20" s="42" t="str" cm="1">
        <f t="array" ref="CP20">IFERROR(IF(SUMPRODUCT((INPUT!$T$3:$T$3000=45992)*(INPUT!$U$3:$U$3000="SEGO"))=0,"",SUMPRODUCT((INPUT!$T$3:$T$3000=45992)*(INPUT!$U$3:$U$3000="SEGO")*(INPUT!$V$3:$V$3000+INPUT!$W$3:$W$3000+INPUT!$X$3:$X$3000+INPUT!$Y$3:$Y$3000))),"")</f>
        <v/>
      </c>
      <c r="CQ20" s="42" t="str" cm="1">
        <f t="array" ref="CQ20">IFERROR(IF(SUMPRODUCT((INPUT!$T$3:$T$3000=45993)*(INPUT!$U$3:$U$3000="SEGO"))=0,"",SUMPRODUCT((INPUT!$T$3:$T$3000=45993)*(INPUT!$U$3:$U$3000="SEGO")*(INPUT!$V$3:$V$3000+INPUT!$W$3:$W$3000+INPUT!$X$3:$X$3000+INPUT!$Y$3:$Y$3000))),"")</f>
        <v/>
      </c>
      <c r="CR20" s="42" t="str" cm="1">
        <f t="array" ref="CR20">IFERROR(IF(SUMPRODUCT((INPUT!$T$3:$T$3000=45994)*(INPUT!$U$3:$U$3000="SEGO"))=0,"",SUMPRODUCT((INPUT!$T$3:$T$3000=45994)*(INPUT!$U$3:$U$3000="SEGO")*(INPUT!$V$3:$V$3000+INPUT!$W$3:$W$3000+INPUT!$X$3:$X$3000+INPUT!$Y$3:$Y$3000))),"")</f>
        <v/>
      </c>
      <c r="CS20" s="42" t="str" cm="1">
        <f t="array" ref="CS20">IFERROR(IF(SUMPRODUCT((INPUT!$T$3:$T$3000=45995)*(INPUT!$U$3:$U$3000="SEGO"))=0,"",SUMPRODUCT((INPUT!$T$3:$T$3000=45995)*(INPUT!$U$3:$U$3000="SEGO")*(INPUT!$V$3:$V$3000+INPUT!$W$3:$W$3000+INPUT!$X$3:$X$3000+INPUT!$Y$3:$Y$3000))),"")</f>
        <v/>
      </c>
      <c r="CT20" s="42" t="str" cm="1">
        <f t="array" ref="CT20">IFERROR(IF(SUMPRODUCT((INPUT!$T$3:$T$3000=45996)*(INPUT!$U$3:$U$3000="SEGO"))=0,"",SUMPRODUCT((INPUT!$T$3:$T$3000=45996)*(INPUT!$U$3:$U$3000="SEGO")*(INPUT!$V$3:$V$3000+INPUT!$W$3:$W$3000+INPUT!$X$3:$X$3000+INPUT!$Y$3:$Y$3000))),"")</f>
        <v/>
      </c>
      <c r="CU20" s="42" t="str" cm="1">
        <f t="array" ref="CU20">IFERROR(IF(SUMPRODUCT((INPUT!$T$3:$T$3000=45997)*(INPUT!$U$3:$U$3000="SEGO"))=0,"",SUMPRODUCT((INPUT!$T$3:$T$3000=45997)*(INPUT!$U$3:$U$3000="SEGO")*(INPUT!$V$3:$V$3000+INPUT!$W$3:$W$3000+INPUT!$X$3:$X$3000+INPUT!$Y$3:$Y$3000))),"")</f>
        <v/>
      </c>
      <c r="CV20" s="42" t="str" cm="1">
        <f t="array" ref="CV20">IFERROR(IF(SUMPRODUCT((INPUT!$T$3:$T$3000=45999)*(INPUT!$U$3:$U$3000="SEGO"))=0,"",SUMPRODUCT((INPUT!$T$3:$T$3000=45999)*(INPUT!$U$3:$U$3000="SEGO")*(INPUT!$V$3:$V$3000+INPUT!$W$3:$W$3000+INPUT!$X$3:$X$3000+INPUT!$Y$3:$Y$3000))),"")</f>
        <v/>
      </c>
      <c r="CW20" s="42" t="str" cm="1">
        <f t="array" ref="CW20">IFERROR(IF(SUMPRODUCT((INPUT!$T$3:$T$3000=46000)*(INPUT!$U$3:$U$3000="SEGO"))=0,"",SUMPRODUCT((INPUT!$T$3:$T$3000=46000)*(INPUT!$U$3:$U$3000="SEGO")*(INPUT!$V$3:$V$3000+INPUT!$W$3:$W$3000+INPUT!$X$3:$X$3000+INPUT!$Y$3:$Y$3000))),"")</f>
        <v/>
      </c>
      <c r="CX20" s="42" t="str" cm="1">
        <f t="array" ref="CX20">IFERROR(IF(SUMPRODUCT((INPUT!$T$3:$T$3000=46001)*(INPUT!$U$3:$U$3000="SEGO"))=0,"",SUMPRODUCT((INPUT!$T$3:$T$3000=46001)*(INPUT!$U$3:$U$3000="SEGO")*(INPUT!$V$3:$V$3000+INPUT!$W$3:$W$3000+INPUT!$X$3:$X$3000+INPUT!$Y$3:$Y$3000))),"")</f>
        <v/>
      </c>
      <c r="CY20" s="42" t="str" cm="1">
        <f t="array" ref="CY20">IFERROR(IF(SUMPRODUCT((INPUT!$T$3:$T$3000=46002)*(INPUT!$U$3:$U$3000="SEGO"))=0,"",SUMPRODUCT((INPUT!$T$3:$T$3000=46002)*(INPUT!$U$3:$U$3000="SEGO")*(INPUT!$V$3:$V$3000+INPUT!$W$3:$W$3000+INPUT!$X$3:$X$3000+INPUT!$Y$3:$Y$3000))),"")</f>
        <v/>
      </c>
      <c r="CZ20" s="42" t="str" cm="1">
        <f t="array" ref="CZ20">IFERROR(IF(SUMPRODUCT((INPUT!$T$3:$T$3000=46003)*(INPUT!$U$3:$U$3000="SEGO"))=0,"",SUMPRODUCT((INPUT!$T$3:$T$3000=46003)*(INPUT!$U$3:$U$3000="SEGO")*(INPUT!$V$3:$V$3000+INPUT!$W$3:$W$3000+INPUT!$X$3:$X$3000+INPUT!$Y$3:$Y$3000))),"")</f>
        <v/>
      </c>
      <c r="DA20" s="42" t="str" cm="1">
        <f t="array" ref="DA20">IFERROR(IF(SUMPRODUCT((INPUT!$T$3:$T$3000=46004)*(INPUT!$U$3:$U$3000="SEGO"))=0,"",SUMPRODUCT((INPUT!$T$3:$T$3000=46004)*(INPUT!$U$3:$U$3000="SEGO")*(INPUT!$V$3:$V$3000+INPUT!$W$3:$W$3000+INPUT!$X$3:$X$3000+INPUT!$Y$3:$Y$3000))),"")</f>
        <v/>
      </c>
      <c r="DB20" s="42" t="str" cm="1">
        <f t="array" ref="DB20">IFERROR(IF(SUMPRODUCT((INPUT!$T$3:$T$3000=46007)*(INPUT!$U$3:$U$3000="SEGO"))=0,"",SUMPRODUCT((INPUT!$T$3:$T$3000=46007)*(INPUT!$U$3:$U$3000="SEGO")*(INPUT!$V$3:$V$3000+INPUT!$W$3:$W$3000+INPUT!$X$3:$X$3000+INPUT!$Y$3:$Y$3000))),"")</f>
        <v/>
      </c>
      <c r="DC20" s="42" t="str" cm="1">
        <f t="array" ref="DC20">IFERROR(IF(SUMPRODUCT((INPUT!$T$3:$T$3000=46008)*(INPUT!$U$3:$U$3000="SEGO"))=0,"",SUMPRODUCT((INPUT!$T$3:$T$3000=46008)*(INPUT!$U$3:$U$3000="SEGO")*(INPUT!$V$3:$V$3000+INPUT!$W$3:$W$3000+INPUT!$X$3:$X$3000+INPUT!$Y$3:$Y$3000))),"")</f>
        <v/>
      </c>
      <c r="DD20" s="42" t="str" cm="1">
        <f t="array" ref="DD20">IFERROR(IF(SUMPRODUCT((INPUT!$T$3:$T$3000=46009)*(INPUT!$U$3:$U$3000="SEGO"))=0,"",SUMPRODUCT((INPUT!$T$3:$T$3000=46009)*(INPUT!$U$3:$U$3000="SEGO")*(INPUT!$V$3:$V$3000+INPUT!$W$3:$W$3000+INPUT!$X$3:$X$3000+INPUT!$Y$3:$Y$3000))),"")</f>
        <v/>
      </c>
      <c r="DE20" s="42" t="str" cm="1">
        <f t="array" ref="DE20">IFERROR(IF(SUMPRODUCT((INPUT!$T$3:$T$3000=46010)*(INPUT!$U$3:$U$3000="SEGO"))=0,"",SUMPRODUCT((INPUT!$T$3:$T$3000=46010)*(INPUT!$U$3:$U$3000="SEGO")*(INPUT!$V$3:$V$3000+INPUT!$W$3:$W$3000+INPUT!$X$3:$X$3000+INPUT!$Y$3:$Y$3000))),"")</f>
        <v/>
      </c>
      <c r="DF20" s="42" t="str" cm="1">
        <f t="array" ref="DF20">IFERROR(IF(SUMPRODUCT((INPUT!$T$3:$T$3000=46013)*(INPUT!$U$3:$U$3000="SEGO"))=0,"",SUMPRODUCT((INPUT!$T$3:$T$3000=46013)*(INPUT!$U$3:$U$3000="SEGO")*(INPUT!$V$3:$V$3000+INPUT!$W$3:$W$3000+INPUT!$X$3:$X$3000+INPUT!$Y$3:$Y$3000))),"")</f>
        <v/>
      </c>
      <c r="DG20" s="42" t="str" cm="1">
        <f t="array" ref="DG20">IFERROR(IF(SUMPRODUCT((INPUT!$T$3:$T$3000=46014)*(INPUT!$U$3:$U$3000="SEGO"))=0,"",SUMPRODUCT((INPUT!$T$3:$T$3000=46014)*(INPUT!$U$3:$U$3000="SEGO")*(INPUT!$V$3:$V$3000+INPUT!$W$3:$W$3000+INPUT!$X$3:$X$3000+INPUT!$Y$3:$Y$3000))),"")</f>
        <v/>
      </c>
      <c r="DH20" s="42" t="str" cm="1">
        <f t="array" ref="DH20">IFERROR(IF(SUMPRODUCT((INPUT!$T$3:$T$3000=46017)*(INPUT!$U$3:$U$3000="SEGO"))=0,"",SUMPRODUCT((INPUT!$T$3:$T$3000=46017)*(INPUT!$U$3:$U$3000="SEGO")*(INPUT!$V$3:$V$3000+INPUT!$W$3:$W$3000+INPUT!$X$3:$X$3000+INPUT!$Y$3:$Y$3000))),"")</f>
        <v/>
      </c>
      <c r="DI20" s="42" t="str" cm="1">
        <f t="array" ref="DI20">IFERROR(IF(SUMPRODUCT((INPUT!$T$3:$T$3000=46018)*(INPUT!$U$3:$U$3000="SEGO"))=0,"",SUMPRODUCT((INPUT!$T$3:$T$3000=46018)*(INPUT!$U$3:$U$3000="SEGO")*(INPUT!$V$3:$V$3000+INPUT!$W$3:$W$3000+INPUT!$X$3:$X$3000+INPUT!$Y$3:$Y$3000))),"")</f>
        <v/>
      </c>
      <c r="DJ20" s="42" t="str" cm="1">
        <f t="array" ref="DJ20">IFERROR(IF(SUMPRODUCT((INPUT!$T$3:$T$3000=46020)*(INPUT!$U$3:$U$3000="SEGO"))=0,"",SUMPRODUCT((INPUT!$T$3:$T$3000=46020)*(INPUT!$U$3:$U$3000="SEGO")*(INPUT!$V$3:$V$3000+INPUT!$W$3:$W$3000+INPUT!$X$3:$X$3000+INPUT!$Y$3:$Y$3000))),"")</f>
        <v/>
      </c>
      <c r="DK20" s="42" t="str" cm="1">
        <f t="array" ref="DK20">IFERROR(IF(SUMPRODUCT((INPUT!$T$3:$T$3000=46021)*(INPUT!$U$3:$U$3000="SEGO"))=0,"",SUMPRODUCT((INPUT!$T$3:$T$3000=46021)*(INPUT!$U$3:$U$3000="SEGO")*(INPUT!$V$3:$V$3000+INPUT!$W$3:$W$3000+INPUT!$X$3:$X$3000+INPUT!$Y$3:$Y$3000))),"")</f>
        <v/>
      </c>
      <c r="DL20" s="42" t="str" cm="1">
        <f t="array" ref="DL20">IFERROR(IF(SUMPRODUCT((INPUT!$T$3:$T$3000=46022)*(INPUT!$U$3:$U$3000="SEGO"))=0,"",SUMPRODUCT((INPUT!$T$3:$T$3000=46022)*(INPUT!$U$3:$U$3000="SEGO")*(INPUT!$V$3:$V$3000+INPUT!$W$3:$W$3000+INPUT!$X$3:$X$3000+INPUT!$Y$3:$Y$3000))),"")</f>
        <v/>
      </c>
      <c r="DM20" s="42" t="str" cm="1">
        <f t="array" ref="DM20">IFERROR(IF(SUMPRODUCT((INPUT!$T$3:$T$3000=46024)*(INPUT!$U$3:$U$3000="SEGO"))=0,"",SUMPRODUCT((INPUT!$T$3:$T$3000=46024)*(INPUT!$U$3:$U$3000="SEGO")*(INPUT!$V$3:$V$3000+INPUT!$W$3:$W$3000+INPUT!$X$3:$X$3000+INPUT!$Y$3:$Y$3000))),"")</f>
        <v/>
      </c>
      <c r="DN20" s="42" t="str" cm="1">
        <f t="array" ref="DN20">IFERROR(IF(SUMPRODUCT((INPUT!$T$3:$T$3000=46025)*(INPUT!$U$3:$U$3000="SEGO"))=0,"",SUMPRODUCT((INPUT!$T$3:$T$3000=46025)*(INPUT!$U$3:$U$3000="SEGO")*(INPUT!$V$3:$V$3000+INPUT!$W$3:$W$3000+INPUT!$X$3:$X$3000+INPUT!$Y$3:$Y$3000))),"")</f>
        <v/>
      </c>
      <c r="DO20" s="42" t="str" cm="1">
        <f t="array" ref="DO20">IFERROR(IF(SUMPRODUCT((INPUT!$T$3:$T$3000=46027)*(INPUT!$U$3:$U$3000="SEGO"))=0,"",SUMPRODUCT((INPUT!$T$3:$T$3000=46027)*(INPUT!$U$3:$U$3000="SEGO")*(INPUT!$V$3:$V$3000+INPUT!$W$3:$W$3000+INPUT!$X$3:$X$3000+INPUT!$Y$3:$Y$3000))),"")</f>
        <v/>
      </c>
      <c r="DP20" s="42" t="str" cm="1">
        <f t="array" ref="DP20">IFERROR(IF(SUMPRODUCT((INPUT!$T$3:$T$3000=46028)*(INPUT!$U$3:$U$3000="SEGO"))=0,"",SUMPRODUCT((INPUT!$T$3:$T$3000=46028)*(INPUT!$U$3:$U$3000="SEGO")*(INPUT!$V$3:$V$3000+INPUT!$W$3:$W$3000+INPUT!$X$3:$X$3000+INPUT!$Y$3:$Y$3000))),"")</f>
        <v/>
      </c>
      <c r="DQ20" s="42" t="str" cm="1">
        <f t="array" ref="DQ20">IFERROR(IF(SUMPRODUCT((INPUT!$T$3:$T$3000=46029)*(INPUT!$U$3:$U$3000="SEGO"))=0,"",SUMPRODUCT((INPUT!$T$3:$T$3000=46029)*(INPUT!$U$3:$U$3000="SEGO")*(INPUT!$V$3:$V$3000+INPUT!$W$3:$W$3000+INPUT!$X$3:$X$3000+INPUT!$Y$3:$Y$3000))),"")</f>
        <v/>
      </c>
      <c r="DR20" s="42" t="str" cm="1">
        <f t="array" ref="DR20">IFERROR(IF(SUMPRODUCT((INPUT!$T$3:$T$3000=46030)*(INPUT!$U$3:$U$3000="SEGO"))=0,"",SUMPRODUCT((INPUT!$T$3:$T$3000=46030)*(INPUT!$U$3:$U$3000="SEGO")*(INPUT!$V$3:$V$3000+INPUT!$W$3:$W$3000+INPUT!$X$3:$X$3000+INPUT!$Y$3:$Y$3000))),"")</f>
        <v/>
      </c>
      <c r="DS20" s="42" t="str" cm="1">
        <f t="array" ref="DS20">IFERROR(IF(SUMPRODUCT((INPUT!$T$3:$T$3000=46031)*(INPUT!$U$3:$U$3000="SEGO"))=0,"",SUMPRODUCT((INPUT!$T$3:$T$3000=46031)*(INPUT!$U$3:$U$3000="SEGO")*(INPUT!$V$3:$V$3000+INPUT!$W$3:$W$3000+INPUT!$X$3:$X$3000+INPUT!$Y$3:$Y$3000))),"")</f>
        <v/>
      </c>
      <c r="DT20" s="42" t="str" cm="1">
        <f t="array" ref="DT20">IFERROR(IF(SUMPRODUCT((INPUT!$T$3:$T$3000=46041)*(INPUT!$U$3:$U$3000="SEGO"))=0,"",SUMPRODUCT((INPUT!$T$3:$T$3000=46041)*(INPUT!$U$3:$U$3000="SEGO")*(INPUT!$V$3:$V$3000+INPUT!$W$3:$W$3000+INPUT!$X$3:$X$3000+INPUT!$Y$3:$Y$3000))),"")</f>
        <v/>
      </c>
      <c r="DU20" s="42" cm="1">
        <f t="array" ref="DU20">IFERROR(IF(SUMPRODUCT((INPUT!$T$3:$T$3000=46042)*(INPUT!$U$3:$U$3000="SEGO"))=0,"",SUMPRODUCT((INPUT!$T$3:$T$3000=46042)*(INPUT!$U$3:$U$3000="SEGO")*(INPUT!$V$3:$V$3000+INPUT!$W$3:$W$3000+INPUT!$X$3:$X$3000+INPUT!$Y$3:$Y$3000))),"")</f>
        <v>10</v>
      </c>
      <c r="DV20" s="42" t="str" cm="1">
        <f t="array" ref="DV20">IFERROR(IF(SUMPRODUCT((INPUT!$T$3:$T$3000=46043)*(INPUT!$U$3:$U$3000="SEGO"))=0,"",SUMPRODUCT((INPUT!$T$3:$T$3000=46043)*(INPUT!$U$3:$U$3000="SEGO")*(INPUT!$V$3:$V$3000+INPUT!$W$3:$W$3000+INPUT!$X$3:$X$3000+INPUT!$Y$3:$Y$3000))),"")</f>
        <v/>
      </c>
      <c r="DW20" s="42" t="str" cm="1">
        <f t="array" ref="DW20">IFERROR(IF(SUMPRODUCT((INPUT!$T$3:$T$3000=46044)*(INPUT!$U$3:$U$3000="SEGO"))=0,"",SUMPRODUCT((INPUT!$T$3:$T$3000=46044)*(INPUT!$U$3:$U$3000="SEGO")*(INPUT!$V$3:$V$3000+INPUT!$W$3:$W$3000+INPUT!$X$3:$X$3000+INPUT!$Y$3:$Y$3000))),"")</f>
        <v/>
      </c>
      <c r="DX20" s="42" t="str" cm="1">
        <f t="array" ref="DX20">IFERROR(IF(SUMPRODUCT((INPUT!$T$3:$T$3000=46045)*(INPUT!$U$3:$U$3000="SEGO"))=0,"",SUMPRODUCT((INPUT!$T$3:$T$3000=46045)*(INPUT!$U$3:$U$3000="SEGO")*(INPUT!$V$3:$V$3000+INPUT!$W$3:$W$3000+INPUT!$X$3:$X$3000+INPUT!$Y$3:$Y$3000))),"")</f>
        <v/>
      </c>
      <c r="DY20" s="42" t="str" cm="1">
        <f t="array" ref="DY20">IFERROR(IF(SUMPRODUCT((INPUT!$T$3:$T$3000=46048)*(INPUT!$U$3:$U$3000="SEGO"))=0,"",SUMPRODUCT((INPUT!$T$3:$T$3000=46048)*(INPUT!$U$3:$U$3000="SEGO")*(INPUT!$V$3:$V$3000+INPUT!$W$3:$W$3000+INPUT!$X$3:$X$3000+INPUT!$Y$3:$Y$3000))),"")</f>
        <v/>
      </c>
      <c r="DZ20" s="42" t="str" cm="1">
        <f t="array" ref="DZ20">IFERROR(IF(SUMPRODUCT((INPUT!$T$3:$T$3000=46049)*(INPUT!$U$3:$U$3000="SEGO"))=0,"",SUMPRODUCT((INPUT!$T$3:$T$3000=46049)*(INPUT!$U$3:$U$3000="SEGO")*(INPUT!$V$3:$V$3000+INPUT!$W$3:$W$3000+INPUT!$X$3:$X$3000+INPUT!$Y$3:$Y$3000))),"")</f>
        <v/>
      </c>
      <c r="EA20" s="42" t="str" cm="1">
        <f t="array" ref="EA20">IFERROR(IF(SUMPRODUCT((INPUT!$T$3:$T$3000=46050)*(INPUT!$U$3:$U$3000="SEGO"))=0,"",SUMPRODUCT((INPUT!$T$3:$T$3000=46050)*(INPUT!$U$3:$U$3000="SEGO")*(INPUT!$V$3:$V$3000+INPUT!$W$3:$W$3000+INPUT!$X$3:$X$3000+INPUT!$Y$3:$Y$3000))),"")</f>
        <v/>
      </c>
      <c r="EB20" s="42" t="str" cm="1">
        <f t="array" ref="EB20">IFERROR(IF(SUMPRODUCT((INPUT!$T$3:$T$3000=46051)*(INPUT!$U$3:$U$3000="SEGO"))=0,"",SUMPRODUCT((INPUT!$T$3:$T$3000=46051)*(INPUT!$U$3:$U$3000="SEGO")*(INPUT!$V$3:$V$3000+INPUT!$W$3:$W$3000+INPUT!$X$3:$X$3000+INPUT!$Y$3:$Y$3000))),"")</f>
        <v/>
      </c>
      <c r="EC20" s="42" t="str" cm="1">
        <f t="array" ref="EC20">IFERROR(IF(SUMPRODUCT((INPUT!$T$3:$T$3000=46052)*(INPUT!$U$3:$U$3000="SEGO"))=0,"",SUMPRODUCT((INPUT!$T$3:$T$3000=46052)*(INPUT!$U$3:$U$3000="SEGO")*(INPUT!$V$3:$V$3000+INPUT!$W$3:$W$3000+INPUT!$X$3:$X$3000+INPUT!$Y$3:$Y$3000))),"")</f>
        <v/>
      </c>
      <c r="ED20" s="42" t="str" cm="1">
        <f t="array" ref="ED20">IFERROR(IF(SUMPRODUCT((INPUT!$T$3:$T$3000=46055)*(INPUT!$U$3:$U$3000="SEGO"))=0,"",SUMPRODUCT((INPUT!$T$3:$T$3000=46055)*(INPUT!$U$3:$U$3000="SEGO")*(INPUT!$V$3:$V$3000+INPUT!$W$3:$W$3000+INPUT!$X$3:$X$3000+INPUT!$Y$3:$Y$3000))),"")</f>
        <v/>
      </c>
      <c r="EE20" s="42" t="str" cm="1">
        <f t="array" ref="EE20">IFERROR(IF(SUMPRODUCT((INPUT!$T$3:$T$3000=46056)*(INPUT!$U$3:$U$3000="SEGO"))=0,"",SUMPRODUCT((INPUT!$T$3:$T$3000=46056)*(INPUT!$U$3:$U$3000="SEGO")*(INPUT!$V$3:$V$3000+INPUT!$W$3:$W$3000+INPUT!$X$3:$X$3000+INPUT!$Y$3:$Y$3000))),"")</f>
        <v/>
      </c>
      <c r="EF20" s="42" t="str" cm="1">
        <f t="array" ref="EF20">IFERROR(IF(SUMPRODUCT((INPUT!$T$3:$T$3000=46057)*(INPUT!$U$3:$U$3000="SEGO"))=0,"",SUMPRODUCT((INPUT!$T$3:$T$3000=46057)*(INPUT!$U$3:$U$3000="SEGO")*(INPUT!$V$3:$V$3000+INPUT!$W$3:$W$3000+INPUT!$X$3:$X$3000+INPUT!$Y$3:$Y$3000))),"")</f>
        <v/>
      </c>
      <c r="EG20" s="42" t="str" cm="1">
        <f t="array" ref="EG20">IFERROR(IF(SUMPRODUCT((INPUT!$T$3:$T$3000=46058)*(INPUT!$U$3:$U$3000="SEGO"))=0,"",SUMPRODUCT((INPUT!$T$3:$T$3000=46058)*(INPUT!$U$3:$U$3000="SEGO")*(INPUT!$V$3:$V$3000+INPUT!$W$3:$W$3000+INPUT!$X$3:$X$3000+INPUT!$Y$3:$Y$3000))),"")</f>
        <v/>
      </c>
      <c r="EH20" s="42" t="str" cm="1">
        <f t="array" ref="EH20">IFERROR(IF(SUMPRODUCT((INPUT!$T$3:$T$3000=46059)*(INPUT!$U$3:$U$3000="SEGO"))=0,"",SUMPRODUCT((INPUT!$T$3:$T$3000=46059)*(INPUT!$U$3:$U$3000="SEGO")*(INPUT!$V$3:$V$3000+INPUT!$W$3:$W$3000+INPUT!$X$3:$X$3000+INPUT!$Y$3:$Y$3000))),"")</f>
        <v/>
      </c>
      <c r="EI20" s="42" t="str" cm="1">
        <f t="array" ref="EI20">IFERROR(IF(SUMPRODUCT((INPUT!$T$3:$T$3000=46061)*(INPUT!$U$3:$U$3000="SEGO"))=0,"",SUMPRODUCT((INPUT!$T$3:$T$3000=46061)*(INPUT!$U$3:$U$3000="SEGO")*(INPUT!$V$3:$V$3000+INPUT!$W$3:$W$3000+INPUT!$X$3:$X$3000+INPUT!$Y$3:$Y$3000))),"")</f>
        <v/>
      </c>
      <c r="EJ20" s="42" t="str" cm="1">
        <f t="array" ref="EJ20">IFERROR(IF(SUMPRODUCT((INPUT!$T$3:$T$3000=46062)*(INPUT!$U$3:$U$3000="SEGO"))=0,"",SUMPRODUCT((INPUT!$T$3:$T$3000=46062)*(INPUT!$U$3:$U$3000="SEGO")*(INPUT!$V$3:$V$3000+INPUT!$W$3:$W$3000+INPUT!$X$3:$X$3000+INPUT!$Y$3:$Y$3000))),"")</f>
        <v/>
      </c>
      <c r="EK20" s="42" t="str" cm="1">
        <f t="array" ref="EK20">IFERROR(IF(SUMPRODUCT((INPUT!$T$3:$T$3000=46063)*(INPUT!$U$3:$U$3000="SEGO"))=0,"",SUMPRODUCT((INPUT!$T$3:$T$3000=46063)*(INPUT!$U$3:$U$3000="SEGO")*(INPUT!$V$3:$V$3000+INPUT!$W$3:$W$3000+INPUT!$X$3:$X$3000+INPUT!$Y$3:$Y$3000))),"")</f>
        <v/>
      </c>
      <c r="EL20" s="42" t="str" cm="1">
        <f t="array" ref="EL20">IFERROR(IF(SUMPRODUCT((INPUT!$T$3:$T$3000=46064)*(INPUT!$U$3:$U$3000="SEGO"))=0,"",SUMPRODUCT((INPUT!$T$3:$T$3000=46064)*(INPUT!$U$3:$U$3000="SEGO")*(INPUT!$V$3:$V$3000+INPUT!$W$3:$W$3000+INPUT!$X$3:$X$3000+INPUT!$Y$3:$Y$3000))),"")</f>
        <v/>
      </c>
      <c r="EM20" s="42" t="str" cm="1">
        <f t="array" ref="EM20">IFERROR(IF(SUMPRODUCT((INPUT!$T$3:$T$3000=46065)*(INPUT!$U$3:$U$3000="SEGO"))=0,"",SUMPRODUCT((INPUT!$T$3:$T$3000=46065)*(INPUT!$U$3:$U$3000="SEGO")*(INPUT!$V$3:$V$3000+INPUT!$W$3:$W$3000+INPUT!$X$3:$X$3000+INPUT!$Y$3:$Y$3000))),"")</f>
        <v/>
      </c>
      <c r="EN20" s="42" t="str" cm="1">
        <f t="array" ref="EN20">IFERROR(IF(SUMPRODUCT((INPUT!$T$3:$T$3000=46066)*(INPUT!$U$3:$U$3000="SEGO"))=0,"",SUMPRODUCT((INPUT!$T$3:$T$3000=46066)*(INPUT!$U$3:$U$3000="SEGO")*(INPUT!$V$3:$V$3000+INPUT!$W$3:$W$3000+INPUT!$X$3:$X$3000+INPUT!$Y$3:$Y$3000))),"")</f>
        <v/>
      </c>
      <c r="EO20" s="42" t="str" cm="1">
        <f t="array" ref="EO20">IFERROR(IF(SUMPRODUCT((INPUT!$T$3:$T$3000=46067)*(INPUT!$U$3:$U$3000="SEGO"))=0,"",SUMPRODUCT((INPUT!$T$3:$T$3000=46067)*(INPUT!$U$3:$U$3000="SEGO")*(INPUT!$V$3:$V$3000+INPUT!$W$3:$W$3000+INPUT!$X$3:$X$3000+INPUT!$Y$3:$Y$3000))),"")</f>
        <v/>
      </c>
      <c r="EP20" s="42" t="str" cm="1">
        <f t="array" ref="EP20">IFERROR(IF(SUMPRODUCT((INPUT!$T$3:$T$3000=46069)*(INPUT!$U$3:$U$3000="SEGO"))=0,"",SUMPRODUCT((INPUT!$T$3:$T$3000=46069)*(INPUT!$U$3:$U$3000="SEGO")*(INPUT!$V$3:$V$3000+INPUT!$W$3:$W$3000+INPUT!$X$3:$X$3000+INPUT!$Y$3:$Y$3000))),"")</f>
        <v/>
      </c>
      <c r="EQ20" s="42" t="str" cm="1">
        <f t="array" ref="EQ20">IFERROR(IF(SUMPRODUCT((INPUT!$T$3:$T$3000=46072)*(INPUT!$U$3:$U$3000="SEGO"))=0,"",SUMPRODUCT((INPUT!$T$3:$T$3000=46072)*(INPUT!$U$3:$U$3000="SEGO")*(INPUT!$V$3:$V$3000+INPUT!$W$3:$W$3000+INPUT!$X$3:$X$3000+INPUT!$Y$3:$Y$3000))),"")</f>
        <v/>
      </c>
      <c r="ER20" s="42" t="str" cm="1">
        <f t="array" ref="ER20">IFERROR(IF(SUMPRODUCT((INPUT!$T$3:$T$3000=46073)*(INPUT!$U$3:$U$3000="SEGO"))=0,"",SUMPRODUCT((INPUT!$T$3:$T$3000=46073)*(INPUT!$U$3:$U$3000="SEGO")*(INPUT!$V$3:$V$3000+INPUT!$W$3:$W$3000+INPUT!$X$3:$X$3000+INPUT!$Y$3:$Y$3000))),"")</f>
        <v/>
      </c>
      <c r="ES20" s="42" t="str" cm="1">
        <f t="array" ref="ES20">IFERROR(IF(SUMPRODUCT((INPUT!$T$3:$T$3000=46076)*(INPUT!$U$3:$U$3000="SEGO"))=0,"",SUMPRODUCT((INPUT!$T$3:$T$3000=46076)*(INPUT!$U$3:$U$3000="SEGO")*(INPUT!$V$3:$V$3000+INPUT!$W$3:$W$3000+INPUT!$X$3:$X$3000+INPUT!$Y$3:$Y$3000))),"")</f>
        <v/>
      </c>
      <c r="ET20" s="42" t="str" cm="1">
        <f t="array" ref="ET20">IFERROR(IF(SUMPRODUCT((INPUT!$T$3:$T$3000=46077)*(INPUT!$U$3:$U$3000="SEGO"))=0,"",SUMPRODUCT((INPUT!$T$3:$T$3000=46077)*(INPUT!$U$3:$U$3000="SEGO")*(INPUT!$V$3:$V$3000+INPUT!$W$3:$W$3000+INPUT!$X$3:$X$3000+INPUT!$Y$3:$Y$3000))),"")</f>
        <v/>
      </c>
      <c r="EU20" s="42" t="str" cm="1">
        <f t="array" ref="EU20">IFERROR(IF(SUMPRODUCT((INPUT!$T$3:$T$3000=46078)*(INPUT!$U$3:$U$3000="SEGO"))=0,"",SUMPRODUCT((INPUT!$T$3:$T$3000=46078)*(INPUT!$U$3:$U$3000="SEGO")*(INPUT!$V$3:$V$3000+INPUT!$W$3:$W$3000+INPUT!$X$3:$X$3000+INPUT!$Y$3:$Y$3000))),"")</f>
        <v/>
      </c>
      <c r="EV20" s="42" t="str" cm="1">
        <f t="array" ref="EV20">IFERROR(IF(SUMPRODUCT((INPUT!$T$3:$T$3000=46079)*(INPUT!$U$3:$U$3000="SEGO"))=0,"",SUMPRODUCT((INPUT!$T$3:$T$3000=46079)*(INPUT!$U$3:$U$3000="SEGO")*(INPUT!$V$3:$V$3000+INPUT!$W$3:$W$3000+INPUT!$X$3:$X$3000+INPUT!$Y$3:$Y$3000))),"")</f>
        <v/>
      </c>
      <c r="EW20" s="42" t="str" cm="1">
        <f t="array" ref="EW20">IFERROR(IF(SUMPRODUCT((INPUT!$T$3:$T$3000=46080)*(INPUT!$U$3:$U$3000="SEGO"))=0,"",SUMPRODUCT((INPUT!$T$3:$T$3000=46080)*(INPUT!$U$3:$U$3000="SEGO")*(INPUT!$V$3:$V$3000+INPUT!$W$3:$W$3000+INPUT!$X$3:$X$3000+INPUT!$Y$3:$Y$3000))),"")</f>
        <v/>
      </c>
      <c r="EX20" s="42" t="str" cm="1">
        <f t="array" ref="EX20">IFERROR(IF(SUMPRODUCT((INPUT!$T$3:$T$3000=46082)*(INPUT!$U$3:$U$3000="SEGO"))=0,"",SUMPRODUCT((INPUT!$T$3:$T$3000=46082)*(INPUT!$U$3:$U$3000="SEGO")*(INPUT!$V$3:$V$3000+INPUT!$W$3:$W$3000+INPUT!$X$3:$X$3000+INPUT!$Y$3:$Y$3000))),"")</f>
        <v/>
      </c>
      <c r="EY20" s="42" t="str" cm="1">
        <f t="array" ref="EY20">IFERROR(IF(SUMPRODUCT((INPUT!$T$3:$T$3000=46084)*(INPUT!$U$3:$U$3000="SEGO"))=0,"",SUMPRODUCT((INPUT!$T$3:$T$3000=46084)*(INPUT!$U$3:$U$3000="SEGO")*(INPUT!$V$3:$V$3000+INPUT!$W$3:$W$3000+INPUT!$X$3:$X$3000+INPUT!$Y$3:$Y$3000))),"")</f>
        <v/>
      </c>
      <c r="EZ20" s="42" t="str" cm="1">
        <f t="array" ref="EZ20">IFERROR(IF(SUMPRODUCT((INPUT!$T$3:$T$3000=46085)*(INPUT!$U$3:$U$3000="SEGO"))=0,"",SUMPRODUCT((INPUT!$T$3:$T$3000=46085)*(INPUT!$U$3:$U$3000="SEGO")*(INPUT!$V$3:$V$3000+INPUT!$W$3:$W$3000+INPUT!$X$3:$X$3000+INPUT!$Y$3:$Y$3000))),"")</f>
        <v/>
      </c>
      <c r="FA20" s="42" t="str" cm="1">
        <f t="array" ref="FA20">IFERROR(IF(SUMPRODUCT((INPUT!$T$3:$T$3000=46086)*(INPUT!$U$3:$U$3000="SEGO"))=0,"",SUMPRODUCT((INPUT!$T$3:$T$3000=46086)*(INPUT!$U$3:$U$3000="SEGO")*(INPUT!$V$3:$V$3000+INPUT!$W$3:$W$3000+INPUT!$X$3:$X$3000+INPUT!$Y$3:$Y$3000))),"")</f>
        <v/>
      </c>
      <c r="FB20" s="42" t="str" cm="1">
        <f t="array" ref="FB20">IFERROR(IF(SUMPRODUCT((INPUT!$T$3:$T$3000=46087)*(INPUT!$U$3:$U$3000="SEGO"))=0,"",SUMPRODUCT((INPUT!$T$3:$T$3000=46087)*(INPUT!$U$3:$U$3000="SEGO")*(INPUT!$V$3:$V$3000+INPUT!$W$3:$W$3000+INPUT!$X$3:$X$3000+INPUT!$Y$3:$Y$3000))),"")</f>
        <v/>
      </c>
      <c r="FC20" s="42" t="str" cm="1">
        <f t="array" ref="FC20">IFERROR(IF(SUMPRODUCT((INPUT!$T$3:$T$3000=46090)*(INPUT!$U$3:$U$3000="SEGO"))=0,"",SUMPRODUCT((INPUT!$T$3:$T$3000=46090)*(INPUT!$U$3:$U$3000="SEGO")*(INPUT!$V$3:$V$3000+INPUT!$W$3:$W$3000+INPUT!$X$3:$X$3000+INPUT!$Y$3:$Y$3000))),"")</f>
        <v/>
      </c>
      <c r="FD20" s="42" t="str" cm="1">
        <f t="array" ref="FD20">IFERROR(IF(SUMPRODUCT((INPUT!$T$3:$T$3000=46091)*(INPUT!$U$3:$U$3000="SEGO"))=0,"",SUMPRODUCT((INPUT!$T$3:$T$3000=46091)*(INPUT!$U$3:$U$3000="SEGO")*(INPUT!$V$3:$V$3000+INPUT!$W$3:$W$3000+INPUT!$X$3:$X$3000+INPUT!$Y$3:$Y$3000))),"")</f>
        <v/>
      </c>
      <c r="FE20" s="42" t="str" cm="1">
        <f t="array" ref="FE20">IFERROR(IF(SUMPRODUCT((INPUT!$T$3:$T$3000=46092)*(INPUT!$U$3:$U$3000="SEGO"))=0,"",SUMPRODUCT((INPUT!$T$3:$T$3000=46092)*(INPUT!$U$3:$U$3000="SEGO")*(INPUT!$V$3:$V$3000+INPUT!$W$3:$W$3000+INPUT!$X$3:$X$3000+INPUT!$Y$3:$Y$3000))),"")</f>
        <v/>
      </c>
      <c r="FF20" s="42" t="str" cm="1">
        <f t="array" ref="FF20">IFERROR(IF(SUMPRODUCT((INPUT!$T$3:$T$3000=46093)*(INPUT!$U$3:$U$3000="SEGO"))=0,"",SUMPRODUCT((INPUT!$T$3:$T$3000=46093)*(INPUT!$U$3:$U$3000="SEGO")*(INPUT!$V$3:$V$3000+INPUT!$W$3:$W$3000+INPUT!$X$3:$X$3000+INPUT!$Y$3:$Y$3000))),"")</f>
        <v/>
      </c>
      <c r="FG20" s="42" t="str" cm="1">
        <f t="array" ref="FG20">IFERROR(IF(SUMPRODUCT((INPUT!$T$3:$T$3000=46094)*(INPUT!$U$3:$U$3000="SEGO"))=0,"",SUMPRODUCT((INPUT!$T$3:$T$3000=46094)*(INPUT!$U$3:$U$3000="SEGO")*(INPUT!$V$3:$V$3000+INPUT!$W$3:$W$3000+INPUT!$X$3:$X$3000+INPUT!$Y$3:$Y$3000))),"")</f>
        <v/>
      </c>
      <c r="FH20" s="42" t="str" cm="1">
        <f t="array" ref="FH20">IFERROR(IF(SUMPRODUCT((INPUT!$T$3:$T$3000=46096)*(INPUT!$U$3:$U$3000="SEGO"))=0,"",SUMPRODUCT((INPUT!$T$3:$T$3000=46096)*(INPUT!$U$3:$U$3000="SEGO")*(INPUT!$V$3:$V$3000+INPUT!$W$3:$W$3000+INPUT!$X$3:$X$3000+INPUT!$Y$3:$Y$3000))),"")</f>
        <v/>
      </c>
      <c r="FI20" s="42" t="str" cm="1">
        <f t="array" ref="FI20">IFERROR(IF(SUMPRODUCT((INPUT!$T$3:$T$3000=46097)*(INPUT!$U$3:$U$3000="SEGO"))=0,"",SUMPRODUCT((INPUT!$T$3:$T$3000=46097)*(INPUT!$U$3:$U$3000="SEGO")*(INPUT!$V$3:$V$3000+INPUT!$W$3:$W$3000+INPUT!$X$3:$X$3000+INPUT!$Y$3:$Y$3000))),"")</f>
        <v/>
      </c>
      <c r="FJ20" s="42" t="str" cm="1">
        <f t="array" ref="FJ20">IFERROR(IF(SUMPRODUCT((INPUT!$T$3:$T$3000=46098)*(INPUT!$U$3:$U$3000="SEGO"))=0,"",SUMPRODUCT((INPUT!$T$3:$T$3000=46098)*(INPUT!$U$3:$U$3000="SEGO")*(INPUT!$V$3:$V$3000+INPUT!$W$3:$W$3000+INPUT!$X$3:$X$3000+INPUT!$Y$3:$Y$3000))),"")</f>
        <v/>
      </c>
      <c r="FK20" s="42" cm="1">
        <f t="array" ref="FK20">IFERROR(IF(SUMPRODUCT((INPUT!$T$3:$T$3000=46099)*(INPUT!$U$3:$U$3000="SEGO"))=0,"",SUMPRODUCT((INPUT!$T$3:$T$3000=46099)*(INPUT!$U$3:$U$3000="SEGO")*(INPUT!$V$3:$V$3000+INPUT!$W$3:$W$3000+INPUT!$X$3:$X$3000+INPUT!$Y$3:$Y$3000))),"")</f>
        <v>20</v>
      </c>
      <c r="FL20" s="42" cm="1">
        <f t="array" ref="FL20">IFERROR(IF(SUMPRODUCT((INPUT!$T$3:$T$3000=46102)*(INPUT!$U$3:$U$3000="SEGO"))=0,"",SUMPRODUCT((INPUT!$T$3:$T$3000=46102)*(INPUT!$U$3:$U$3000="SEGO")*(INPUT!$V$3:$V$3000+INPUT!$W$3:$W$3000+INPUT!$X$3:$X$3000+INPUT!$Y$3:$Y$3000))),"")</f>
        <v>20</v>
      </c>
      <c r="FM20" s="42" t="str" cm="1">
        <f t="array" ref="FM20">IFERROR(IF(SUMPRODUCT((INPUT!$T$3:$T$3000=46105)*(INPUT!$U$3:$U$3000="SEGO"))=0,"",SUMPRODUCT((INPUT!$T$3:$T$3000=46105)*(INPUT!$U$3:$U$3000="SEGO")*(INPUT!$V$3:$V$3000+INPUT!$W$3:$W$3000+INPUT!$X$3:$X$3000+INPUT!$Y$3:$Y$3000))),"")</f>
        <v/>
      </c>
      <c r="FN20" s="42" t="str" cm="1">
        <f t="array" ref="FN20">IFERROR(IF(SUMPRODUCT((INPUT!$T$3:$T$3000=46106)*(INPUT!$U$3:$U$3000="SEGO"))=0,"",SUMPRODUCT((INPUT!$T$3:$T$3000=46106)*(INPUT!$U$3:$U$3000="SEGO")*(INPUT!$V$3:$V$3000+INPUT!$W$3:$W$3000+INPUT!$X$3:$X$3000+INPUT!$Y$3:$Y$3000))),"")</f>
        <v/>
      </c>
      <c r="FO20" s="42" cm="1">
        <f t="array" ref="FO20">IFERROR(IF(SUMPRODUCT((INPUT!$T$3:$T$3000=46107)*(INPUT!$U$3:$U$3000="SEGO"))=0,"",SUMPRODUCT((INPUT!$T$3:$T$3000=46107)*(INPUT!$U$3:$U$3000="SEGO")*(INPUT!$V$3:$V$3000+INPUT!$W$3:$W$3000+INPUT!$X$3:$X$3000+INPUT!$Y$3:$Y$3000))),"")</f>
        <v>16</v>
      </c>
      <c r="FP20" s="42" cm="1">
        <f t="array" ref="FP20">IFERROR(IF(SUMPRODUCT((INPUT!$T$3:$T$3000=46108)*(INPUT!$U$3:$U$3000="SEGO"))=0,"",SUMPRODUCT((INPUT!$T$3:$T$3000=46108)*(INPUT!$U$3:$U$3000="SEGO")*(INPUT!$V$3:$V$3000+INPUT!$W$3:$W$3000+INPUT!$X$3:$X$3000+INPUT!$Y$3:$Y$3000))),"")</f>
        <v>16</v>
      </c>
      <c r="FQ20" s="42" cm="1">
        <f t="array" ref="FQ20">IFERROR(IF(SUMPRODUCT((INPUT!$T$3:$T$3000=46109)*(INPUT!$U$3:$U$3000="SEGO"))=0,"",SUMPRODUCT((INPUT!$T$3:$T$3000=46109)*(INPUT!$U$3:$U$3000="SEGO")*(INPUT!$V$3:$V$3000+INPUT!$W$3:$W$3000+INPUT!$X$3:$X$3000+INPUT!$Y$3:$Y$3000))),"")</f>
        <v>20</v>
      </c>
      <c r="FR20" s="42" cm="1">
        <f t="array" ref="FR20">IFERROR(IF(SUMPRODUCT((INPUT!$T$3:$T$3000=46111)*(INPUT!$U$3:$U$3000="SEGO"))=0,"",SUMPRODUCT((INPUT!$T$3:$T$3000=46111)*(INPUT!$U$3:$U$3000="SEGO")*(INPUT!$V$3:$V$3000+INPUT!$W$3:$W$3000+INPUT!$X$3:$X$3000+INPUT!$Y$3:$Y$3000))),"")</f>
        <v>15</v>
      </c>
      <c r="FS20" s="42" cm="1">
        <f t="array" ref="FS20">IFERROR(IF(SUMPRODUCT((INPUT!$T$3:$T$3000=46112)*(INPUT!$U$3:$U$3000="SEGO"))=0,"",SUMPRODUCT((INPUT!$T$3:$T$3000=46112)*(INPUT!$U$3:$U$3000="SEGO")*(INPUT!$V$3:$V$3000+INPUT!$W$3:$W$3000+INPUT!$X$3:$X$3000+INPUT!$Y$3:$Y$3000))),"")</f>
        <v>15</v>
      </c>
      <c r="FT20" s="42" cm="1">
        <f t="array" ref="FT20">IFERROR(IF(SUMPRODUCT((INPUT!$T$3:$T$3000=46113)*(INPUT!$U$3:$U$3000="SEGO"))=0,"",SUMPRODUCT((INPUT!$T$3:$T$3000=46113)*(INPUT!$U$3:$U$3000="SEGO")*(INPUT!$V$3:$V$3000+INPUT!$W$3:$W$3000+INPUT!$X$3:$X$3000+INPUT!$Y$3:$Y$3000))),"")</f>
        <v>15</v>
      </c>
      <c r="FU20" s="42" cm="1">
        <f t="array" ref="FU20">IFERROR(IF(SUMPRODUCT((INPUT!$T$3:$T$3000=46114)*(INPUT!$U$3:$U$3000="SEGO"))=0,"",SUMPRODUCT((INPUT!$T$3:$T$3000=46114)*(INPUT!$U$3:$U$3000="SEGO")*(INPUT!$V$3:$V$3000+INPUT!$W$3:$W$3000+INPUT!$X$3:$X$3000+INPUT!$Y$3:$Y$3000))),"")</f>
        <v>15</v>
      </c>
      <c r="FV20" s="42" cm="1">
        <f t="array" ref="FV20">IFERROR(IF(SUMPRODUCT((INPUT!$T$3:$T$3000=46115)*(INPUT!$U$3:$U$3000="SEGO"))=0,"",SUMPRODUCT((INPUT!$T$3:$T$3000=46115)*(INPUT!$U$3:$U$3000="SEGO")*(INPUT!$V$3:$V$3000+INPUT!$W$3:$W$3000+INPUT!$X$3:$X$3000+INPUT!$Y$3:$Y$3000))),"")</f>
        <v>15</v>
      </c>
      <c r="FW20" s="42" cm="1">
        <f t="array" ref="FW20">IFERROR(IF(SUMPRODUCT((INPUT!$T$3:$T$3000=46116)*(INPUT!$U$3:$U$3000="SEGO"))=0,"",SUMPRODUCT((INPUT!$T$3:$T$3000=46116)*(INPUT!$U$3:$U$3000="SEGO")*(INPUT!$V$3:$V$3000+INPUT!$W$3:$W$3000+INPUT!$X$3:$X$3000+INPUT!$Y$3:$Y$3000))),"")</f>
        <v>20</v>
      </c>
      <c r="FX20" s="42" cm="1">
        <f t="array" ref="FX20">IFERROR(IF(SUMPRODUCT((INPUT!$T$3:$T$3000=46118)*(INPUT!$U$3:$U$3000="SEGO"))=0,"",SUMPRODUCT((INPUT!$T$3:$T$3000=46118)*(INPUT!$U$3:$U$3000="SEGO")*(INPUT!$V$3:$V$3000+INPUT!$W$3:$W$3000+INPUT!$X$3:$X$3000+INPUT!$Y$3:$Y$3000))),"")</f>
        <v>20</v>
      </c>
      <c r="FY20" s="42" cm="1">
        <f t="array" ref="FY20">IFERROR(IF(SUMPRODUCT((INPUT!$T$3:$T$3000=46119)*(INPUT!$U$3:$U$3000="SEGO"))=0,"",SUMPRODUCT((INPUT!$T$3:$T$3000=46119)*(INPUT!$U$3:$U$3000="SEGO")*(INPUT!$V$3:$V$3000+INPUT!$W$3:$W$3000+INPUT!$X$3:$X$3000+INPUT!$Y$3:$Y$3000))),"")</f>
        <v>20</v>
      </c>
      <c r="FZ20" s="42" cm="1">
        <f t="array" ref="FZ20">IFERROR(IF(SUMPRODUCT((INPUT!$T$3:$T$3000=46120)*(INPUT!$U$3:$U$3000="SEGO"))=0,"",SUMPRODUCT((INPUT!$T$3:$T$3000=46120)*(INPUT!$U$3:$U$3000="SEGO")*(INPUT!$V$3:$V$3000+INPUT!$W$3:$W$3000+INPUT!$X$3:$X$3000+INPUT!$Y$3:$Y$3000))),"")</f>
        <v>20</v>
      </c>
      <c r="GA20" s="42" cm="1">
        <f t="array" ref="GA20">IFERROR(IF(SUMPRODUCT((INPUT!$T$3:$T$3000=46121)*(INPUT!$U$3:$U$3000="SEGO"))=0,"",SUMPRODUCT((INPUT!$T$3:$T$3000=46121)*(INPUT!$U$3:$U$3000="SEGO")*(INPUT!$V$3:$V$3000+INPUT!$W$3:$W$3000+INPUT!$X$3:$X$3000+INPUT!$Y$3:$Y$3000))),"")</f>
        <v>20</v>
      </c>
      <c r="GB20" s="42" cm="1">
        <f t="array" ref="GB20">IFERROR(IF(SUMPRODUCT((INPUT!$T$3:$T$3000=46122)*(INPUT!$U$3:$U$3000="SEGO"))=0,"",SUMPRODUCT((INPUT!$T$3:$T$3000=46122)*(INPUT!$U$3:$U$3000="SEGO")*(INPUT!$V$3:$V$3000+INPUT!$W$3:$W$3000+INPUT!$X$3:$X$3000+INPUT!$Y$3:$Y$3000))),"")</f>
        <v>20</v>
      </c>
      <c r="GC20" s="42" cm="1">
        <f t="array" ref="GC20">IFERROR(IF(SUMPRODUCT((INPUT!$T$3:$T$3000=46125)*(INPUT!$U$3:$U$3000="SEGO"))=0,"",SUMPRODUCT((INPUT!$T$3:$T$3000=46125)*(INPUT!$U$3:$U$3000="SEGO")*(INPUT!$V$3:$V$3000+INPUT!$W$3:$W$3000+INPUT!$X$3:$X$3000+INPUT!$Y$3:$Y$3000))),"")</f>
        <v>20</v>
      </c>
      <c r="GD20" s="42" cm="1">
        <f t="array" ref="GD20">IFERROR(IF(SUMPRODUCT((INPUT!$T$3:$T$3000=46126)*(INPUT!$U$3:$U$3000="SEGO"))=0,"",SUMPRODUCT((INPUT!$T$3:$T$3000=46126)*(INPUT!$U$3:$U$3000="SEGO")*(INPUT!$V$3:$V$3000+INPUT!$W$3:$W$3000+INPUT!$X$3:$X$3000+INPUT!$Y$3:$Y$3000))),"")</f>
        <v>20</v>
      </c>
      <c r="GE20" s="42" cm="1">
        <f t="array" ref="GE20">IFERROR(IF(SUMPRODUCT((INPUT!$T$3:$T$3000=46127)*(INPUT!$U$3:$U$3000="SEGO"))=0,"",SUMPRODUCT((INPUT!$T$3:$T$3000=46127)*(INPUT!$U$3:$U$3000="SEGO")*(INPUT!$V$3:$V$3000+INPUT!$W$3:$W$3000+INPUT!$X$3:$X$3000+INPUT!$Y$3:$Y$3000))),"")</f>
        <v>20</v>
      </c>
      <c r="GF20" s="42" cm="1">
        <f t="array" ref="GF20">IFERROR(IF(SUMPRODUCT((INPUT!$T$3:$T$3000=46128)*(INPUT!$U$3:$U$3000="SEGO"))=0,"",SUMPRODUCT((INPUT!$T$3:$T$3000=46128)*(INPUT!$U$3:$U$3000="SEGO")*(INPUT!$V$3:$V$3000+INPUT!$W$3:$W$3000+INPUT!$X$3:$X$3000+INPUT!$Y$3:$Y$3000))),"")</f>
        <v>20</v>
      </c>
      <c r="GG20" s="42" cm="1">
        <f t="array" ref="GG20">IFERROR(IF(SUMPRODUCT((INPUT!$T$3:$T$3000=46129)*(INPUT!$U$3:$U$3000="SEGO"))=0,"",SUMPRODUCT((INPUT!$T$3:$T$3000=46129)*(INPUT!$U$3:$U$3000="SEGO")*(INPUT!$V$3:$V$3000+INPUT!$W$3:$W$3000+INPUT!$X$3:$X$3000+INPUT!$Y$3:$Y$3000))),"")</f>
        <v>17</v>
      </c>
      <c r="GH20" s="42" cm="1">
        <f t="array" ref="GH20">IFERROR(IF(SUMPRODUCT((INPUT!$T$3:$T$3000=46130)*(INPUT!$U$3:$U$3000="SEGO"))=0,"",SUMPRODUCT((INPUT!$T$3:$T$3000=46130)*(INPUT!$U$3:$U$3000="SEGO")*(INPUT!$V$3:$V$3000+INPUT!$W$3:$W$3000+INPUT!$X$3:$X$3000+INPUT!$Y$3:$Y$3000))),"")</f>
        <v>18</v>
      </c>
      <c r="GI20" s="42" cm="1">
        <f t="array" ref="GI20">IFERROR(IF(SUMPRODUCT((INPUT!$T$3:$T$3000=46132)*(INPUT!$U$3:$U$3000="SEGO"))=0,"",SUMPRODUCT((INPUT!$T$3:$T$3000=46132)*(INPUT!$U$3:$U$3000="SEGO")*(INPUT!$V$3:$V$3000+INPUT!$W$3:$W$3000+INPUT!$X$3:$X$3000+INPUT!$Y$3:$Y$3000))),"")</f>
        <v>13</v>
      </c>
    </row>
  </sheetData>
  <sheetProtection sheet="1" objects="1" scenarios="1"/>
  <conditionalFormatting sqref="B3:GI20">
    <cfRule type="expression" dxfId="3" priority="1">
      <formula>AND(ISNUMBER(B3),B3&gt;=15)</formula>
    </cfRule>
    <cfRule type="expression" dxfId="2" priority="2">
      <formula>AND(ISNUMBER(B3),B3&gt;=11,B3&lt;15)</formula>
    </cfRule>
    <cfRule type="expression" dxfId="1" priority="3">
      <formula>AND(ISNUMBER(B3),B3&gt;=6,B3&lt;11)</formula>
    </cfRule>
    <cfRule type="expression" dxfId="0" priority="4">
      <formula>AND(ISNUMBER(B3),B3&gt;=1,B3&lt;6)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15BD-8E93-7442-B161-E21D39BF9F1F}">
  <dimension ref="A1:K200"/>
  <sheetViews>
    <sheetView workbookViewId="0"/>
  </sheetViews>
  <sheetFormatPr baseColWidth="10" defaultRowHeight="16" x14ac:dyDescent="0.2"/>
  <sheetData>
    <row r="1" spans="1:11" x14ac:dyDescent="0.2">
      <c r="A1" t="s">
        <v>166</v>
      </c>
      <c r="C1" t="s">
        <v>167</v>
      </c>
      <c r="E1" t="s">
        <v>168</v>
      </c>
      <c r="G1" t="s">
        <v>169</v>
      </c>
      <c r="I1" t="s">
        <v>171</v>
      </c>
      <c r="K1" t="s">
        <v>172</v>
      </c>
    </row>
    <row r="2" spans="1:11" x14ac:dyDescent="0.2">
      <c r="A2" cm="1">
        <f t="array" ref="A2:A156">IFERROR(_xlfn._xlws.SORT(_xlfn.UNIQUE(_xlfn._xlws.FILTER(INPUT!M3:M3000,ISNUMBER(INPUT!M3:M3000)*ISNUMBER(INPUT!P3:P3000)))),"")</f>
        <v>45868</v>
      </c>
      <c r="C2" cm="1">
        <f t="array" ref="C2:C3">IFERROR(_xlfn._xlws.SORT(_xlfn.UNIQUE(YEAR(_xlfn._xlws.FILTER(A2:A3000,A2:A3000&lt;&gt;"")))),"")</f>
        <v>2025</v>
      </c>
      <c r="E2" cm="1">
        <f t="array" ref="E2:E24">IFERROR(_xlfn._xlws.SORT(_xlfn.UNIQUE(_xlfn.ISOWEEKNUM(_xlfn._xlws.FILTER(A2:A3000,(A2:A3000&lt;&gt;"")*(YEAR(A2:A3000+0)='PESO SEMANA'!D2))))),"")</f>
        <v>1</v>
      </c>
      <c r="G2" s="11" cm="1">
        <f t="array" ref="G2:G39">IFERROR(_xlfn._xlws.SORT(_xlfn.UNIQUE(_xlfn._xlws.FILTER(A2:A3000,A2:A3000&lt;&gt;"")-WEEKDAY(_xlfn._xlws.FILTER(A2:A3000,A2:A3000&lt;&gt;""),2)+1)),"")</f>
        <v>45866</v>
      </c>
      <c r="I2" t="str" cm="1">
        <f t="array" ref="I2:I19">IFERROR(_xlfn._xlws.SORT(_xlfn.UNIQUE(_xlfn._xlws.FILTER(INPUT!O3:O3000,INPUT!O3:O3000&lt;&gt;""))),"")</f>
        <v>BARONA</v>
      </c>
      <c r="K2" t="s">
        <v>173</v>
      </c>
    </row>
    <row r="3" spans="1:11" x14ac:dyDescent="0.2">
      <c r="A3">
        <v>45869</v>
      </c>
      <c r="C3">
        <v>2026</v>
      </c>
      <c r="E3">
        <v>31</v>
      </c>
      <c r="G3" s="11">
        <v>45873</v>
      </c>
      <c r="I3" t="str">
        <v>CARLOS</v>
      </c>
      <c r="K3" t="str" cm="1">
        <f t="array" ref="K3:K20">IFERROR(_xlfn.ANCHORARRAY(I2),"")</f>
        <v>BARONA</v>
      </c>
    </row>
    <row r="4" spans="1:11" x14ac:dyDescent="0.2">
      <c r="A4">
        <v>45870</v>
      </c>
      <c r="E4">
        <v>32</v>
      </c>
      <c r="G4" s="11">
        <v>45880</v>
      </c>
      <c r="I4" t="str">
        <v>CECILIO</v>
      </c>
      <c r="K4" t="str">
        <v>CARLOS</v>
      </c>
    </row>
    <row r="5" spans="1:11" x14ac:dyDescent="0.2">
      <c r="A5">
        <v>45873</v>
      </c>
      <c r="E5">
        <v>33</v>
      </c>
      <c r="G5" s="11">
        <v>45887</v>
      </c>
      <c r="I5" t="str">
        <v>CHAGUINHA</v>
      </c>
      <c r="K5" t="str">
        <v>CECILIO</v>
      </c>
    </row>
    <row r="6" spans="1:11" x14ac:dyDescent="0.2">
      <c r="A6">
        <v>45874</v>
      </c>
      <c r="E6">
        <v>34</v>
      </c>
      <c r="G6" s="11">
        <v>45894</v>
      </c>
      <c r="I6" t="str">
        <v>DANI</v>
      </c>
      <c r="K6" t="str">
        <v>CHAGUINHA</v>
      </c>
    </row>
    <row r="7" spans="1:11" x14ac:dyDescent="0.2">
      <c r="A7">
        <v>45875</v>
      </c>
      <c r="E7">
        <v>35</v>
      </c>
      <c r="G7" s="11">
        <v>45901</v>
      </c>
      <c r="I7" t="str">
        <v>GARCIA</v>
      </c>
      <c r="K7" t="str">
        <v>DANI</v>
      </c>
    </row>
    <row r="8" spans="1:11" x14ac:dyDescent="0.2">
      <c r="A8">
        <v>45876</v>
      </c>
      <c r="E8">
        <v>36</v>
      </c>
      <c r="G8" s="11">
        <v>45908</v>
      </c>
      <c r="I8" t="str">
        <v>GONZALO</v>
      </c>
      <c r="K8" t="str">
        <v>GARCIA</v>
      </c>
    </row>
    <row r="9" spans="1:11" x14ac:dyDescent="0.2">
      <c r="A9">
        <v>45877</v>
      </c>
      <c r="E9">
        <v>37</v>
      </c>
      <c r="G9" s="11">
        <v>45915</v>
      </c>
      <c r="I9" t="str">
        <v>HARRISON</v>
      </c>
      <c r="K9" t="str">
        <v>GONZALO</v>
      </c>
    </row>
    <row r="10" spans="1:11" x14ac:dyDescent="0.2">
      <c r="A10">
        <v>45880</v>
      </c>
      <c r="E10">
        <v>38</v>
      </c>
      <c r="G10" s="11">
        <v>45922</v>
      </c>
      <c r="I10" t="str">
        <v>HERRERO</v>
      </c>
      <c r="K10" t="str">
        <v>HARRISON</v>
      </c>
    </row>
    <row r="11" spans="1:11" x14ac:dyDescent="0.2">
      <c r="A11">
        <v>45881</v>
      </c>
      <c r="E11">
        <v>39</v>
      </c>
      <c r="G11" s="11">
        <v>45929</v>
      </c>
      <c r="I11" t="str">
        <v>JAIME</v>
      </c>
      <c r="K11" t="str">
        <v>HERRERO</v>
      </c>
    </row>
    <row r="12" spans="1:11" x14ac:dyDescent="0.2">
      <c r="A12">
        <v>45882</v>
      </c>
      <c r="E12">
        <v>40</v>
      </c>
      <c r="G12" s="11">
        <v>45936</v>
      </c>
      <c r="I12" t="str">
        <v>JAVI</v>
      </c>
      <c r="K12" t="str">
        <v>JAIME</v>
      </c>
    </row>
    <row r="13" spans="1:11" x14ac:dyDescent="0.2">
      <c r="A13">
        <v>45883</v>
      </c>
      <c r="E13">
        <v>41</v>
      </c>
      <c r="G13" s="11">
        <v>45943</v>
      </c>
      <c r="I13" t="str">
        <v>OSCAR</v>
      </c>
      <c r="K13" t="str">
        <v>JAVI</v>
      </c>
    </row>
    <row r="14" spans="1:11" x14ac:dyDescent="0.2">
      <c r="A14">
        <v>45884</v>
      </c>
      <c r="E14">
        <v>42</v>
      </c>
      <c r="G14" s="11">
        <v>45950</v>
      </c>
      <c r="I14" t="str">
        <v>PANI</v>
      </c>
      <c r="K14" t="str">
        <v>OSCAR</v>
      </c>
    </row>
    <row r="15" spans="1:11" x14ac:dyDescent="0.2">
      <c r="A15">
        <v>45887</v>
      </c>
      <c r="E15">
        <v>43</v>
      </c>
      <c r="G15" s="11">
        <v>45957</v>
      </c>
      <c r="I15" t="str">
        <v>PIRATA</v>
      </c>
      <c r="K15" t="str">
        <v>PANI</v>
      </c>
    </row>
    <row r="16" spans="1:11" x14ac:dyDescent="0.2">
      <c r="A16">
        <v>45888</v>
      </c>
      <c r="E16">
        <v>44</v>
      </c>
      <c r="G16" s="11">
        <v>45964</v>
      </c>
      <c r="I16" t="str">
        <v>RAUL</v>
      </c>
      <c r="K16" t="str">
        <v>PIRATA</v>
      </c>
    </row>
    <row r="17" spans="1:11" x14ac:dyDescent="0.2">
      <c r="A17">
        <v>45889</v>
      </c>
      <c r="E17">
        <v>45</v>
      </c>
      <c r="G17" s="11">
        <v>45971</v>
      </c>
      <c r="I17" t="str">
        <v>RAYA</v>
      </c>
      <c r="K17" t="str">
        <v>RAUL</v>
      </c>
    </row>
    <row r="18" spans="1:11" x14ac:dyDescent="0.2">
      <c r="A18">
        <v>45890</v>
      </c>
      <c r="E18">
        <v>46</v>
      </c>
      <c r="G18" s="11">
        <v>45978</v>
      </c>
      <c r="I18" t="str">
        <v>RUBIO</v>
      </c>
      <c r="K18" t="str">
        <v>RAYA</v>
      </c>
    </row>
    <row r="19" spans="1:11" x14ac:dyDescent="0.2">
      <c r="A19">
        <v>45891</v>
      </c>
      <c r="E19">
        <v>47</v>
      </c>
      <c r="G19" s="11">
        <v>45985</v>
      </c>
      <c r="I19" t="str">
        <v>SEGO</v>
      </c>
      <c r="K19" t="str">
        <v>RUBIO</v>
      </c>
    </row>
    <row r="20" spans="1:11" x14ac:dyDescent="0.2">
      <c r="A20">
        <v>45895</v>
      </c>
      <c r="E20">
        <v>48</v>
      </c>
      <c r="G20" s="11">
        <v>45992</v>
      </c>
      <c r="K20" t="str">
        <v>SEGO</v>
      </c>
    </row>
    <row r="21" spans="1:11" x14ac:dyDescent="0.2">
      <c r="A21">
        <v>45896</v>
      </c>
      <c r="E21">
        <v>49</v>
      </c>
      <c r="G21" s="11">
        <v>45999</v>
      </c>
    </row>
    <row r="22" spans="1:11" x14ac:dyDescent="0.2">
      <c r="A22">
        <v>45897</v>
      </c>
      <c r="E22">
        <v>50</v>
      </c>
      <c r="G22" s="11">
        <v>46006</v>
      </c>
    </row>
    <row r="23" spans="1:11" x14ac:dyDescent="0.2">
      <c r="A23">
        <v>45898</v>
      </c>
      <c r="E23">
        <v>51</v>
      </c>
      <c r="G23" s="11">
        <v>46013</v>
      </c>
    </row>
    <row r="24" spans="1:11" x14ac:dyDescent="0.2">
      <c r="A24">
        <v>45902</v>
      </c>
      <c r="E24">
        <v>52</v>
      </c>
      <c r="G24" s="11">
        <v>46020</v>
      </c>
    </row>
    <row r="25" spans="1:11" x14ac:dyDescent="0.2">
      <c r="A25">
        <v>45903</v>
      </c>
      <c r="G25" s="11">
        <v>46027</v>
      </c>
    </row>
    <row r="26" spans="1:11" x14ac:dyDescent="0.2">
      <c r="A26">
        <v>45904</v>
      </c>
      <c r="G26" s="11">
        <v>46041</v>
      </c>
    </row>
    <row r="27" spans="1:11" x14ac:dyDescent="0.2">
      <c r="A27">
        <v>45905</v>
      </c>
      <c r="G27" s="11">
        <v>46048</v>
      </c>
    </row>
    <row r="28" spans="1:11" x14ac:dyDescent="0.2">
      <c r="A28">
        <v>45906</v>
      </c>
      <c r="G28" s="11">
        <v>46055</v>
      </c>
    </row>
    <row r="29" spans="1:11" x14ac:dyDescent="0.2">
      <c r="A29">
        <v>45908</v>
      </c>
      <c r="G29" s="11">
        <v>46062</v>
      </c>
    </row>
    <row r="30" spans="1:11" x14ac:dyDescent="0.2">
      <c r="A30">
        <v>45911</v>
      </c>
      <c r="G30" s="11">
        <v>46069</v>
      </c>
    </row>
    <row r="31" spans="1:11" x14ac:dyDescent="0.2">
      <c r="A31">
        <v>45912</v>
      </c>
      <c r="G31" s="11">
        <v>46076</v>
      </c>
    </row>
    <row r="32" spans="1:11" x14ac:dyDescent="0.2">
      <c r="A32">
        <v>45915</v>
      </c>
      <c r="G32" s="11">
        <v>46083</v>
      </c>
    </row>
    <row r="33" spans="1:7" x14ac:dyDescent="0.2">
      <c r="A33">
        <v>45916</v>
      </c>
      <c r="G33" s="11">
        <v>46090</v>
      </c>
    </row>
    <row r="34" spans="1:7" x14ac:dyDescent="0.2">
      <c r="A34">
        <v>45917</v>
      </c>
      <c r="G34" s="11">
        <v>46097</v>
      </c>
    </row>
    <row r="35" spans="1:7" x14ac:dyDescent="0.2">
      <c r="A35">
        <v>45919</v>
      </c>
      <c r="G35" s="11">
        <v>46104</v>
      </c>
    </row>
    <row r="36" spans="1:7" x14ac:dyDescent="0.2">
      <c r="A36">
        <v>45922</v>
      </c>
      <c r="G36" s="11">
        <v>46111</v>
      </c>
    </row>
    <row r="37" spans="1:7" x14ac:dyDescent="0.2">
      <c r="A37">
        <v>45923</v>
      </c>
      <c r="G37" s="11">
        <v>46118</v>
      </c>
    </row>
    <row r="38" spans="1:7" x14ac:dyDescent="0.2">
      <c r="A38">
        <v>45924</v>
      </c>
      <c r="G38" s="11">
        <v>46125</v>
      </c>
    </row>
    <row r="39" spans="1:7" x14ac:dyDescent="0.2">
      <c r="A39">
        <v>45925</v>
      </c>
      <c r="G39" s="11">
        <v>46132</v>
      </c>
    </row>
    <row r="40" spans="1:7" x14ac:dyDescent="0.2">
      <c r="A40">
        <v>45926</v>
      </c>
      <c r="G40" s="11"/>
    </row>
    <row r="41" spans="1:7" x14ac:dyDescent="0.2">
      <c r="A41">
        <v>45927</v>
      </c>
      <c r="G41" s="11"/>
    </row>
    <row r="42" spans="1:7" x14ac:dyDescent="0.2">
      <c r="A42">
        <v>45929</v>
      </c>
      <c r="G42" s="11"/>
    </row>
    <row r="43" spans="1:7" x14ac:dyDescent="0.2">
      <c r="A43">
        <v>45930</v>
      </c>
      <c r="G43" s="11"/>
    </row>
    <row r="44" spans="1:7" x14ac:dyDescent="0.2">
      <c r="A44">
        <v>45931</v>
      </c>
      <c r="G44" s="11"/>
    </row>
    <row r="45" spans="1:7" x14ac:dyDescent="0.2">
      <c r="A45">
        <v>45932</v>
      </c>
      <c r="G45" s="11"/>
    </row>
    <row r="46" spans="1:7" x14ac:dyDescent="0.2">
      <c r="A46">
        <v>45933</v>
      </c>
      <c r="G46" s="11"/>
    </row>
    <row r="47" spans="1:7" x14ac:dyDescent="0.2">
      <c r="A47">
        <v>45936</v>
      </c>
      <c r="G47" s="11"/>
    </row>
    <row r="48" spans="1:7" x14ac:dyDescent="0.2">
      <c r="A48">
        <v>45937</v>
      </c>
      <c r="G48" s="11"/>
    </row>
    <row r="49" spans="1:7" x14ac:dyDescent="0.2">
      <c r="A49">
        <v>45940</v>
      </c>
      <c r="G49" s="11"/>
    </row>
    <row r="50" spans="1:7" x14ac:dyDescent="0.2">
      <c r="A50">
        <v>45941</v>
      </c>
      <c r="G50" s="11"/>
    </row>
    <row r="51" spans="1:7" x14ac:dyDescent="0.2">
      <c r="A51">
        <v>45942</v>
      </c>
      <c r="G51" s="11"/>
    </row>
    <row r="52" spans="1:7" x14ac:dyDescent="0.2">
      <c r="A52">
        <v>45944</v>
      </c>
      <c r="G52" s="11"/>
    </row>
    <row r="53" spans="1:7" x14ac:dyDescent="0.2">
      <c r="A53">
        <v>45946</v>
      </c>
      <c r="G53" s="11"/>
    </row>
    <row r="54" spans="1:7" x14ac:dyDescent="0.2">
      <c r="A54">
        <v>45947</v>
      </c>
      <c r="G54" s="11"/>
    </row>
    <row r="55" spans="1:7" x14ac:dyDescent="0.2">
      <c r="A55">
        <v>45950</v>
      </c>
      <c r="G55" s="11"/>
    </row>
    <row r="56" spans="1:7" x14ac:dyDescent="0.2">
      <c r="A56">
        <v>45951</v>
      </c>
      <c r="G56" s="11"/>
    </row>
    <row r="57" spans="1:7" x14ac:dyDescent="0.2">
      <c r="A57">
        <v>45952</v>
      </c>
      <c r="G57" s="11"/>
    </row>
    <row r="58" spans="1:7" x14ac:dyDescent="0.2">
      <c r="A58">
        <v>45953</v>
      </c>
      <c r="G58" s="11"/>
    </row>
    <row r="59" spans="1:7" x14ac:dyDescent="0.2">
      <c r="A59">
        <v>45958</v>
      </c>
      <c r="G59" s="11"/>
    </row>
    <row r="60" spans="1:7" x14ac:dyDescent="0.2">
      <c r="A60">
        <v>45959</v>
      </c>
      <c r="G60" s="11"/>
    </row>
    <row r="61" spans="1:7" x14ac:dyDescent="0.2">
      <c r="A61">
        <v>45960</v>
      </c>
      <c r="G61" s="11"/>
    </row>
    <row r="62" spans="1:7" x14ac:dyDescent="0.2">
      <c r="A62">
        <v>45961</v>
      </c>
      <c r="G62" s="11"/>
    </row>
    <row r="63" spans="1:7" x14ac:dyDescent="0.2">
      <c r="A63">
        <v>45964</v>
      </c>
      <c r="G63" s="11"/>
    </row>
    <row r="64" spans="1:7" x14ac:dyDescent="0.2">
      <c r="A64">
        <v>45965</v>
      </c>
      <c r="G64" s="11"/>
    </row>
    <row r="65" spans="1:7" x14ac:dyDescent="0.2">
      <c r="A65">
        <v>45968</v>
      </c>
      <c r="G65" s="11"/>
    </row>
    <row r="66" spans="1:7" x14ac:dyDescent="0.2">
      <c r="A66">
        <v>45971</v>
      </c>
      <c r="G66" s="11"/>
    </row>
    <row r="67" spans="1:7" x14ac:dyDescent="0.2">
      <c r="A67">
        <v>45972</v>
      </c>
      <c r="G67" s="11"/>
    </row>
    <row r="68" spans="1:7" x14ac:dyDescent="0.2">
      <c r="A68">
        <v>45973</v>
      </c>
      <c r="G68" s="11"/>
    </row>
    <row r="69" spans="1:7" x14ac:dyDescent="0.2">
      <c r="A69">
        <v>45974</v>
      </c>
      <c r="G69" s="11"/>
    </row>
    <row r="70" spans="1:7" x14ac:dyDescent="0.2">
      <c r="A70">
        <v>45978</v>
      </c>
      <c r="G70" s="11"/>
    </row>
    <row r="71" spans="1:7" x14ac:dyDescent="0.2">
      <c r="A71">
        <v>45982</v>
      </c>
      <c r="G71" s="11"/>
    </row>
    <row r="72" spans="1:7" x14ac:dyDescent="0.2">
      <c r="A72">
        <v>45983</v>
      </c>
      <c r="G72" s="11"/>
    </row>
    <row r="73" spans="1:7" x14ac:dyDescent="0.2">
      <c r="A73">
        <v>45985</v>
      </c>
      <c r="G73" s="11"/>
    </row>
    <row r="74" spans="1:7" x14ac:dyDescent="0.2">
      <c r="A74">
        <v>45986</v>
      </c>
      <c r="G74" s="11"/>
    </row>
    <row r="75" spans="1:7" x14ac:dyDescent="0.2">
      <c r="A75">
        <v>45988</v>
      </c>
      <c r="G75" s="11"/>
    </row>
    <row r="76" spans="1:7" x14ac:dyDescent="0.2">
      <c r="A76">
        <v>45992</v>
      </c>
      <c r="G76" s="11"/>
    </row>
    <row r="77" spans="1:7" x14ac:dyDescent="0.2">
      <c r="A77">
        <v>45993</v>
      </c>
      <c r="G77" s="11"/>
    </row>
    <row r="78" spans="1:7" x14ac:dyDescent="0.2">
      <c r="A78">
        <v>45994</v>
      </c>
      <c r="G78" s="11"/>
    </row>
    <row r="79" spans="1:7" x14ac:dyDescent="0.2">
      <c r="A79">
        <v>45995</v>
      </c>
      <c r="G79" s="11"/>
    </row>
    <row r="80" spans="1:7" x14ac:dyDescent="0.2">
      <c r="A80">
        <v>45996</v>
      </c>
      <c r="G80" s="11"/>
    </row>
    <row r="81" spans="1:7" x14ac:dyDescent="0.2">
      <c r="A81">
        <v>45997</v>
      </c>
      <c r="G81" s="11"/>
    </row>
    <row r="82" spans="1:7" x14ac:dyDescent="0.2">
      <c r="A82">
        <v>45999</v>
      </c>
      <c r="G82" s="11"/>
    </row>
    <row r="83" spans="1:7" x14ac:dyDescent="0.2">
      <c r="A83">
        <v>46000</v>
      </c>
      <c r="G83" s="11"/>
    </row>
    <row r="84" spans="1:7" x14ac:dyDescent="0.2">
      <c r="A84">
        <v>46002</v>
      </c>
      <c r="G84" s="11"/>
    </row>
    <row r="85" spans="1:7" x14ac:dyDescent="0.2">
      <c r="A85">
        <v>46003</v>
      </c>
      <c r="G85" s="11"/>
    </row>
    <row r="86" spans="1:7" x14ac:dyDescent="0.2">
      <c r="A86">
        <v>46007</v>
      </c>
      <c r="G86" s="11"/>
    </row>
    <row r="87" spans="1:7" x14ac:dyDescent="0.2">
      <c r="A87">
        <v>46008</v>
      </c>
      <c r="G87" s="11"/>
    </row>
    <row r="88" spans="1:7" x14ac:dyDescent="0.2">
      <c r="A88">
        <v>46009</v>
      </c>
      <c r="G88" s="11"/>
    </row>
    <row r="89" spans="1:7" x14ac:dyDescent="0.2">
      <c r="A89">
        <v>46010</v>
      </c>
      <c r="G89" s="11"/>
    </row>
    <row r="90" spans="1:7" x14ac:dyDescent="0.2">
      <c r="A90">
        <v>46013</v>
      </c>
      <c r="G90" s="11"/>
    </row>
    <row r="91" spans="1:7" x14ac:dyDescent="0.2">
      <c r="A91">
        <v>46014</v>
      </c>
      <c r="G91" s="11"/>
    </row>
    <row r="92" spans="1:7" x14ac:dyDescent="0.2">
      <c r="A92">
        <v>46017</v>
      </c>
      <c r="G92" s="11"/>
    </row>
    <row r="93" spans="1:7" x14ac:dyDescent="0.2">
      <c r="A93">
        <v>46018</v>
      </c>
      <c r="G93" s="11"/>
    </row>
    <row r="94" spans="1:7" x14ac:dyDescent="0.2">
      <c r="A94">
        <v>46020</v>
      </c>
      <c r="G94" s="11"/>
    </row>
    <row r="95" spans="1:7" x14ac:dyDescent="0.2">
      <c r="A95">
        <v>46021</v>
      </c>
      <c r="G95" s="11"/>
    </row>
    <row r="96" spans="1:7" x14ac:dyDescent="0.2">
      <c r="A96">
        <v>46022</v>
      </c>
      <c r="G96" s="11"/>
    </row>
    <row r="97" spans="1:7" x14ac:dyDescent="0.2">
      <c r="A97">
        <v>46027</v>
      </c>
      <c r="G97" s="11"/>
    </row>
    <row r="98" spans="1:7" x14ac:dyDescent="0.2">
      <c r="A98">
        <v>46028</v>
      </c>
      <c r="G98" s="11"/>
    </row>
    <row r="99" spans="1:7" x14ac:dyDescent="0.2">
      <c r="A99">
        <v>46030</v>
      </c>
      <c r="G99" s="11"/>
    </row>
    <row r="100" spans="1:7" x14ac:dyDescent="0.2">
      <c r="A100">
        <v>46031</v>
      </c>
      <c r="G100" s="11"/>
    </row>
    <row r="101" spans="1:7" x14ac:dyDescent="0.2">
      <c r="A101">
        <v>46041</v>
      </c>
      <c r="G101" s="11"/>
    </row>
    <row r="102" spans="1:7" x14ac:dyDescent="0.2">
      <c r="A102">
        <v>46042</v>
      </c>
      <c r="G102" s="11"/>
    </row>
    <row r="103" spans="1:7" x14ac:dyDescent="0.2">
      <c r="A103">
        <v>46043</v>
      </c>
      <c r="G103" s="11"/>
    </row>
    <row r="104" spans="1:7" x14ac:dyDescent="0.2">
      <c r="A104">
        <v>46044</v>
      </c>
      <c r="G104" s="11"/>
    </row>
    <row r="105" spans="1:7" x14ac:dyDescent="0.2">
      <c r="A105">
        <v>46045</v>
      </c>
      <c r="G105" s="11"/>
    </row>
    <row r="106" spans="1:7" x14ac:dyDescent="0.2">
      <c r="A106">
        <v>46048</v>
      </c>
      <c r="G106" s="11"/>
    </row>
    <row r="107" spans="1:7" x14ac:dyDescent="0.2">
      <c r="A107">
        <v>46049</v>
      </c>
      <c r="G107" s="11"/>
    </row>
    <row r="108" spans="1:7" x14ac:dyDescent="0.2">
      <c r="A108">
        <v>46050</v>
      </c>
      <c r="G108" s="11"/>
    </row>
    <row r="109" spans="1:7" x14ac:dyDescent="0.2">
      <c r="A109">
        <v>46051</v>
      </c>
      <c r="G109" s="11"/>
    </row>
    <row r="110" spans="1:7" x14ac:dyDescent="0.2">
      <c r="A110">
        <v>46052</v>
      </c>
      <c r="G110" s="11"/>
    </row>
    <row r="111" spans="1:7" x14ac:dyDescent="0.2">
      <c r="A111">
        <v>46055</v>
      </c>
      <c r="G111" s="11"/>
    </row>
    <row r="112" spans="1:7" x14ac:dyDescent="0.2">
      <c r="A112">
        <v>46056</v>
      </c>
      <c r="G112" s="11"/>
    </row>
    <row r="113" spans="1:7" x14ac:dyDescent="0.2">
      <c r="A113">
        <v>46057</v>
      </c>
      <c r="G113" s="11"/>
    </row>
    <row r="114" spans="1:7" x14ac:dyDescent="0.2">
      <c r="A114">
        <v>46058</v>
      </c>
      <c r="G114" s="11"/>
    </row>
    <row r="115" spans="1:7" x14ac:dyDescent="0.2">
      <c r="A115">
        <v>46059</v>
      </c>
      <c r="G115" s="11"/>
    </row>
    <row r="116" spans="1:7" x14ac:dyDescent="0.2">
      <c r="A116">
        <v>46062</v>
      </c>
      <c r="G116" s="11"/>
    </row>
    <row r="117" spans="1:7" x14ac:dyDescent="0.2">
      <c r="A117">
        <v>46063</v>
      </c>
      <c r="G117" s="11"/>
    </row>
    <row r="118" spans="1:7" x14ac:dyDescent="0.2">
      <c r="A118">
        <v>46064</v>
      </c>
      <c r="G118" s="11"/>
    </row>
    <row r="119" spans="1:7" x14ac:dyDescent="0.2">
      <c r="A119">
        <v>46065</v>
      </c>
      <c r="G119" s="11"/>
    </row>
    <row r="120" spans="1:7" x14ac:dyDescent="0.2">
      <c r="A120">
        <v>46066</v>
      </c>
      <c r="G120" s="11"/>
    </row>
    <row r="121" spans="1:7" x14ac:dyDescent="0.2">
      <c r="A121">
        <v>46069</v>
      </c>
      <c r="G121" s="11"/>
    </row>
    <row r="122" spans="1:7" x14ac:dyDescent="0.2">
      <c r="A122">
        <v>46072</v>
      </c>
      <c r="G122" s="11"/>
    </row>
    <row r="123" spans="1:7" x14ac:dyDescent="0.2">
      <c r="A123">
        <v>46073</v>
      </c>
      <c r="G123" s="11"/>
    </row>
    <row r="124" spans="1:7" x14ac:dyDescent="0.2">
      <c r="A124">
        <v>46076</v>
      </c>
      <c r="G124" s="11"/>
    </row>
    <row r="125" spans="1:7" x14ac:dyDescent="0.2">
      <c r="A125">
        <v>46077</v>
      </c>
      <c r="G125" s="11"/>
    </row>
    <row r="126" spans="1:7" x14ac:dyDescent="0.2">
      <c r="A126">
        <v>46078</v>
      </c>
      <c r="G126" s="11"/>
    </row>
    <row r="127" spans="1:7" x14ac:dyDescent="0.2">
      <c r="A127">
        <v>46079</v>
      </c>
      <c r="G127" s="11"/>
    </row>
    <row r="128" spans="1:7" x14ac:dyDescent="0.2">
      <c r="A128">
        <v>46080</v>
      </c>
      <c r="G128" s="11"/>
    </row>
    <row r="129" spans="1:7" x14ac:dyDescent="0.2">
      <c r="A129">
        <v>46084</v>
      </c>
      <c r="G129" s="11"/>
    </row>
    <row r="130" spans="1:7" x14ac:dyDescent="0.2">
      <c r="A130">
        <v>46085</v>
      </c>
      <c r="G130" s="11"/>
    </row>
    <row r="131" spans="1:7" x14ac:dyDescent="0.2">
      <c r="A131">
        <v>46086</v>
      </c>
      <c r="G131" s="11"/>
    </row>
    <row r="132" spans="1:7" x14ac:dyDescent="0.2">
      <c r="A132">
        <v>46090</v>
      </c>
      <c r="G132" s="11"/>
    </row>
    <row r="133" spans="1:7" x14ac:dyDescent="0.2">
      <c r="A133">
        <v>46091</v>
      </c>
      <c r="G133" s="11"/>
    </row>
    <row r="134" spans="1:7" x14ac:dyDescent="0.2">
      <c r="A134">
        <v>46092</v>
      </c>
      <c r="G134" s="11"/>
    </row>
    <row r="135" spans="1:7" x14ac:dyDescent="0.2">
      <c r="A135">
        <v>46093</v>
      </c>
      <c r="G135" s="11"/>
    </row>
    <row r="136" spans="1:7" x14ac:dyDescent="0.2">
      <c r="A136">
        <v>46094</v>
      </c>
      <c r="G136" s="11"/>
    </row>
    <row r="137" spans="1:7" x14ac:dyDescent="0.2">
      <c r="A137">
        <v>46097</v>
      </c>
      <c r="G137" s="11"/>
    </row>
    <row r="138" spans="1:7" x14ac:dyDescent="0.2">
      <c r="A138">
        <v>46098</v>
      </c>
      <c r="G138" s="11"/>
    </row>
    <row r="139" spans="1:7" x14ac:dyDescent="0.2">
      <c r="A139">
        <v>46108</v>
      </c>
      <c r="G139" s="11"/>
    </row>
    <row r="140" spans="1:7" x14ac:dyDescent="0.2">
      <c r="A140">
        <v>46111</v>
      </c>
      <c r="G140" s="11"/>
    </row>
    <row r="141" spans="1:7" x14ac:dyDescent="0.2">
      <c r="A141">
        <v>46112</v>
      </c>
      <c r="G141" s="11"/>
    </row>
    <row r="142" spans="1:7" x14ac:dyDescent="0.2">
      <c r="A142">
        <v>46113</v>
      </c>
      <c r="G142" s="11"/>
    </row>
    <row r="143" spans="1:7" x14ac:dyDescent="0.2">
      <c r="A143">
        <v>46114</v>
      </c>
      <c r="G143" s="11"/>
    </row>
    <row r="144" spans="1:7" x14ac:dyDescent="0.2">
      <c r="A144">
        <v>46115</v>
      </c>
      <c r="G144" s="11"/>
    </row>
    <row r="145" spans="1:7" x14ac:dyDescent="0.2">
      <c r="A145">
        <v>46116</v>
      </c>
      <c r="G145" s="11"/>
    </row>
    <row r="146" spans="1:7" x14ac:dyDescent="0.2">
      <c r="A146">
        <v>46118</v>
      </c>
      <c r="G146" s="11"/>
    </row>
    <row r="147" spans="1:7" x14ac:dyDescent="0.2">
      <c r="A147">
        <v>46119</v>
      </c>
      <c r="G147" s="11"/>
    </row>
    <row r="148" spans="1:7" x14ac:dyDescent="0.2">
      <c r="A148">
        <v>46120</v>
      </c>
      <c r="G148" s="11"/>
    </row>
    <row r="149" spans="1:7" x14ac:dyDescent="0.2">
      <c r="A149">
        <v>46121</v>
      </c>
      <c r="G149" s="11"/>
    </row>
    <row r="150" spans="1:7" x14ac:dyDescent="0.2">
      <c r="A150">
        <v>46125</v>
      </c>
      <c r="G150" s="11"/>
    </row>
    <row r="151" spans="1:7" x14ac:dyDescent="0.2">
      <c r="A151">
        <v>46126</v>
      </c>
      <c r="G151" s="11"/>
    </row>
    <row r="152" spans="1:7" x14ac:dyDescent="0.2">
      <c r="A152">
        <v>46127</v>
      </c>
      <c r="G152" s="11"/>
    </row>
    <row r="153" spans="1:7" x14ac:dyDescent="0.2">
      <c r="A153">
        <v>46128</v>
      </c>
      <c r="G153" s="11"/>
    </row>
    <row r="154" spans="1:7" x14ac:dyDescent="0.2">
      <c r="A154">
        <v>46129</v>
      </c>
      <c r="G154" s="11"/>
    </row>
    <row r="155" spans="1:7" x14ac:dyDescent="0.2">
      <c r="A155">
        <v>46132</v>
      </c>
      <c r="G155" s="11"/>
    </row>
    <row r="156" spans="1:7" x14ac:dyDescent="0.2">
      <c r="A156">
        <v>46133</v>
      </c>
      <c r="G156" s="11"/>
    </row>
    <row r="157" spans="1:7" x14ac:dyDescent="0.2">
      <c r="G157" s="11"/>
    </row>
    <row r="158" spans="1:7" x14ac:dyDescent="0.2">
      <c r="G158" s="11"/>
    </row>
    <row r="159" spans="1:7" x14ac:dyDescent="0.2">
      <c r="G159" s="11"/>
    </row>
    <row r="160" spans="1:7" x14ac:dyDescent="0.2">
      <c r="G160" s="11"/>
    </row>
    <row r="161" spans="7:7" x14ac:dyDescent="0.2">
      <c r="G161" s="11"/>
    </row>
    <row r="162" spans="7:7" x14ac:dyDescent="0.2">
      <c r="G162" s="11"/>
    </row>
    <row r="163" spans="7:7" x14ac:dyDescent="0.2">
      <c r="G163" s="11"/>
    </row>
    <row r="164" spans="7:7" x14ac:dyDescent="0.2">
      <c r="G164" s="11"/>
    </row>
    <row r="165" spans="7:7" x14ac:dyDescent="0.2">
      <c r="G165" s="11"/>
    </row>
    <row r="166" spans="7:7" x14ac:dyDescent="0.2">
      <c r="G166" s="11"/>
    </row>
    <row r="167" spans="7:7" x14ac:dyDescent="0.2">
      <c r="G167" s="11"/>
    </row>
    <row r="168" spans="7:7" x14ac:dyDescent="0.2">
      <c r="G168" s="11"/>
    </row>
    <row r="169" spans="7:7" x14ac:dyDescent="0.2">
      <c r="G169" s="11"/>
    </row>
    <row r="170" spans="7:7" x14ac:dyDescent="0.2">
      <c r="G170" s="11"/>
    </row>
    <row r="171" spans="7:7" x14ac:dyDescent="0.2">
      <c r="G171" s="11"/>
    </row>
    <row r="172" spans="7:7" x14ac:dyDescent="0.2">
      <c r="G172" s="11"/>
    </row>
    <row r="173" spans="7:7" x14ac:dyDescent="0.2">
      <c r="G173" s="11"/>
    </row>
    <row r="174" spans="7:7" x14ac:dyDescent="0.2">
      <c r="G174" s="11"/>
    </row>
    <row r="175" spans="7:7" x14ac:dyDescent="0.2">
      <c r="G175" s="11"/>
    </row>
    <row r="176" spans="7:7" x14ac:dyDescent="0.2">
      <c r="G176" s="11"/>
    </row>
    <row r="177" spans="7:7" x14ac:dyDescent="0.2">
      <c r="G177" s="11"/>
    </row>
    <row r="178" spans="7:7" x14ac:dyDescent="0.2">
      <c r="G178" s="11"/>
    </row>
    <row r="179" spans="7:7" x14ac:dyDescent="0.2">
      <c r="G179" s="11"/>
    </row>
    <row r="180" spans="7:7" x14ac:dyDescent="0.2">
      <c r="G180" s="11"/>
    </row>
    <row r="181" spans="7:7" x14ac:dyDescent="0.2">
      <c r="G181" s="11"/>
    </row>
    <row r="182" spans="7:7" x14ac:dyDescent="0.2">
      <c r="G182" s="11"/>
    </row>
    <row r="183" spans="7:7" x14ac:dyDescent="0.2">
      <c r="G183" s="11"/>
    </row>
    <row r="184" spans="7:7" x14ac:dyDescent="0.2">
      <c r="G184" s="11"/>
    </row>
    <row r="185" spans="7:7" x14ac:dyDescent="0.2">
      <c r="G185" s="11"/>
    </row>
    <row r="186" spans="7:7" x14ac:dyDescent="0.2">
      <c r="G186" s="11"/>
    </row>
    <row r="187" spans="7:7" x14ac:dyDescent="0.2">
      <c r="G187" s="11"/>
    </row>
    <row r="188" spans="7:7" x14ac:dyDescent="0.2">
      <c r="G188" s="11"/>
    </row>
    <row r="189" spans="7:7" x14ac:dyDescent="0.2">
      <c r="G189" s="11"/>
    </row>
    <row r="190" spans="7:7" x14ac:dyDescent="0.2">
      <c r="G190" s="11"/>
    </row>
    <row r="191" spans="7:7" x14ac:dyDescent="0.2">
      <c r="G191" s="11"/>
    </row>
    <row r="192" spans="7:7" x14ac:dyDescent="0.2">
      <c r="G192" s="11"/>
    </row>
    <row r="193" spans="7:7" x14ac:dyDescent="0.2">
      <c r="G193" s="11"/>
    </row>
    <row r="194" spans="7:7" x14ac:dyDescent="0.2">
      <c r="G194" s="11"/>
    </row>
    <row r="195" spans="7:7" x14ac:dyDescent="0.2">
      <c r="G195" s="11"/>
    </row>
    <row r="196" spans="7:7" x14ac:dyDescent="0.2">
      <c r="G196" s="11"/>
    </row>
    <row r="197" spans="7:7" x14ac:dyDescent="0.2">
      <c r="G197" s="11"/>
    </row>
    <row r="198" spans="7:7" x14ac:dyDescent="0.2">
      <c r="G198" s="11"/>
    </row>
    <row r="199" spans="7:7" x14ac:dyDescent="0.2">
      <c r="G199" s="11"/>
    </row>
    <row r="200" spans="7:7" x14ac:dyDescent="0.2">
      <c r="G200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FB96-638E-A94C-83E6-79A4AC61FBEB}">
  <dimension ref="A1:C500"/>
  <sheetViews>
    <sheetView workbookViewId="0"/>
  </sheetViews>
  <sheetFormatPr baseColWidth="10" defaultRowHeight="16" x14ac:dyDescent="0.2"/>
  <sheetData>
    <row r="1" spans="1:3" x14ac:dyDescent="0.2">
      <c r="A1" t="s">
        <v>183</v>
      </c>
      <c r="C1" t="s">
        <v>169</v>
      </c>
    </row>
    <row r="2" spans="1:3" x14ac:dyDescent="0.2">
      <c r="A2" cm="1">
        <f t="array" ref="A2:A192">IFERROR(_xlfn._xlws.SORT(_xlfn.UNIQUE(_xlfn._xlws.FILTER(INPUT!T3:T3000,ISNUMBER(INPUT!T3:T3000)*(ISNUMBER(INPUT!V3:V3000)+ISNUMBER(INPUT!W3:W3000)+ISNUMBER(INPUT!X3:X3000)+ISNUMBER(INPUT!Y3:Y3000))))),"")</f>
        <v>45868</v>
      </c>
      <c r="C2" s="11" cm="1">
        <f t="array" ref="C2:C39">IFERROR(_xlfn._xlws.SORT(_xlfn.UNIQUE(_xlfn._xlws.FILTER(A2:A3000,A2:A3000&lt;&gt;"")-WEEKDAY(_xlfn._xlws.FILTER(A2:A3000,A2:A3000&lt;&gt;""),2)+1)),"")</f>
        <v>45866</v>
      </c>
    </row>
    <row r="3" spans="1:3" x14ac:dyDescent="0.2">
      <c r="A3">
        <v>45869</v>
      </c>
      <c r="C3" s="11">
        <v>45873</v>
      </c>
    </row>
    <row r="4" spans="1:3" x14ac:dyDescent="0.2">
      <c r="A4">
        <v>45870</v>
      </c>
      <c r="C4" s="11">
        <v>45880</v>
      </c>
    </row>
    <row r="5" spans="1:3" x14ac:dyDescent="0.2">
      <c r="A5">
        <v>45873</v>
      </c>
      <c r="C5" s="11">
        <v>45887</v>
      </c>
    </row>
    <row r="6" spans="1:3" x14ac:dyDescent="0.2">
      <c r="A6">
        <v>45874</v>
      </c>
      <c r="C6" s="11">
        <v>45894</v>
      </c>
    </row>
    <row r="7" spans="1:3" x14ac:dyDescent="0.2">
      <c r="A7">
        <v>45875</v>
      </c>
      <c r="C7" s="11">
        <v>45901</v>
      </c>
    </row>
    <row r="8" spans="1:3" x14ac:dyDescent="0.2">
      <c r="A8">
        <v>45876</v>
      </c>
      <c r="C8" s="11">
        <v>45908</v>
      </c>
    </row>
    <row r="9" spans="1:3" x14ac:dyDescent="0.2">
      <c r="A9">
        <v>45877</v>
      </c>
      <c r="C9" s="11">
        <v>45915</v>
      </c>
    </row>
    <row r="10" spans="1:3" x14ac:dyDescent="0.2">
      <c r="A10">
        <v>45878</v>
      </c>
      <c r="C10" s="11">
        <v>45922</v>
      </c>
    </row>
    <row r="11" spans="1:3" x14ac:dyDescent="0.2">
      <c r="A11">
        <v>45880</v>
      </c>
      <c r="C11" s="11">
        <v>45929</v>
      </c>
    </row>
    <row r="12" spans="1:3" x14ac:dyDescent="0.2">
      <c r="A12">
        <v>45881</v>
      </c>
      <c r="C12" s="11">
        <v>45936</v>
      </c>
    </row>
    <row r="13" spans="1:3" x14ac:dyDescent="0.2">
      <c r="A13">
        <v>45882</v>
      </c>
      <c r="C13" s="11">
        <v>45943</v>
      </c>
    </row>
    <row r="14" spans="1:3" x14ac:dyDescent="0.2">
      <c r="A14">
        <v>45883</v>
      </c>
      <c r="C14" s="11">
        <v>45950</v>
      </c>
    </row>
    <row r="15" spans="1:3" x14ac:dyDescent="0.2">
      <c r="A15">
        <v>45884</v>
      </c>
      <c r="C15" s="11">
        <v>45957</v>
      </c>
    </row>
    <row r="16" spans="1:3" x14ac:dyDescent="0.2">
      <c r="A16">
        <v>45887</v>
      </c>
      <c r="C16" s="11">
        <v>45964</v>
      </c>
    </row>
    <row r="17" spans="1:3" x14ac:dyDescent="0.2">
      <c r="A17">
        <v>45888</v>
      </c>
      <c r="C17" s="11">
        <v>45971</v>
      </c>
    </row>
    <row r="18" spans="1:3" x14ac:dyDescent="0.2">
      <c r="A18">
        <v>45889</v>
      </c>
      <c r="C18" s="11">
        <v>45978</v>
      </c>
    </row>
    <row r="19" spans="1:3" x14ac:dyDescent="0.2">
      <c r="A19">
        <v>45890</v>
      </c>
      <c r="C19" s="11">
        <v>45985</v>
      </c>
    </row>
    <row r="20" spans="1:3" x14ac:dyDescent="0.2">
      <c r="A20">
        <v>45891</v>
      </c>
      <c r="C20" s="11">
        <v>45992</v>
      </c>
    </row>
    <row r="21" spans="1:3" x14ac:dyDescent="0.2">
      <c r="A21">
        <v>45892</v>
      </c>
      <c r="C21" s="11">
        <v>45999</v>
      </c>
    </row>
    <row r="22" spans="1:3" x14ac:dyDescent="0.2">
      <c r="A22">
        <v>45893</v>
      </c>
      <c r="C22" s="11">
        <v>46006</v>
      </c>
    </row>
    <row r="23" spans="1:3" x14ac:dyDescent="0.2">
      <c r="A23">
        <v>45895</v>
      </c>
      <c r="C23" s="11">
        <v>46013</v>
      </c>
    </row>
    <row r="24" spans="1:3" x14ac:dyDescent="0.2">
      <c r="A24">
        <v>45896</v>
      </c>
      <c r="C24" s="11">
        <v>46020</v>
      </c>
    </row>
    <row r="25" spans="1:3" x14ac:dyDescent="0.2">
      <c r="A25">
        <v>45898</v>
      </c>
      <c r="C25" s="11">
        <v>46027</v>
      </c>
    </row>
    <row r="26" spans="1:3" x14ac:dyDescent="0.2">
      <c r="A26">
        <v>45899</v>
      </c>
      <c r="C26" s="11">
        <v>46041</v>
      </c>
    </row>
    <row r="27" spans="1:3" x14ac:dyDescent="0.2">
      <c r="A27">
        <v>45900</v>
      </c>
      <c r="C27" s="11">
        <v>46048</v>
      </c>
    </row>
    <row r="28" spans="1:3" x14ac:dyDescent="0.2">
      <c r="A28">
        <v>45902</v>
      </c>
      <c r="C28" s="11">
        <v>46055</v>
      </c>
    </row>
    <row r="29" spans="1:3" x14ac:dyDescent="0.2">
      <c r="A29">
        <v>45903</v>
      </c>
      <c r="C29" s="11">
        <v>46062</v>
      </c>
    </row>
    <row r="30" spans="1:3" x14ac:dyDescent="0.2">
      <c r="A30">
        <v>45904</v>
      </c>
      <c r="C30" s="11">
        <v>46069</v>
      </c>
    </row>
    <row r="31" spans="1:3" x14ac:dyDescent="0.2">
      <c r="A31">
        <v>45905</v>
      </c>
      <c r="C31" s="11">
        <v>46076</v>
      </c>
    </row>
    <row r="32" spans="1:3" x14ac:dyDescent="0.2">
      <c r="A32">
        <v>45906</v>
      </c>
      <c r="C32" s="11">
        <v>46083</v>
      </c>
    </row>
    <row r="33" spans="1:3" x14ac:dyDescent="0.2">
      <c r="A33">
        <v>45908</v>
      </c>
      <c r="C33" s="11">
        <v>46090</v>
      </c>
    </row>
    <row r="34" spans="1:3" x14ac:dyDescent="0.2">
      <c r="A34">
        <v>45909</v>
      </c>
      <c r="C34" s="11">
        <v>46097</v>
      </c>
    </row>
    <row r="35" spans="1:3" x14ac:dyDescent="0.2">
      <c r="A35">
        <v>45911</v>
      </c>
      <c r="C35" s="11">
        <v>46104</v>
      </c>
    </row>
    <row r="36" spans="1:3" x14ac:dyDescent="0.2">
      <c r="A36">
        <v>45912</v>
      </c>
      <c r="C36" s="11">
        <v>46111</v>
      </c>
    </row>
    <row r="37" spans="1:3" x14ac:dyDescent="0.2">
      <c r="A37">
        <v>45913</v>
      </c>
      <c r="C37" s="11">
        <v>46118</v>
      </c>
    </row>
    <row r="38" spans="1:3" x14ac:dyDescent="0.2">
      <c r="A38">
        <v>45915</v>
      </c>
      <c r="C38" s="11">
        <v>46125</v>
      </c>
    </row>
    <row r="39" spans="1:3" x14ac:dyDescent="0.2">
      <c r="A39">
        <v>45916</v>
      </c>
      <c r="C39" s="11">
        <v>46132</v>
      </c>
    </row>
    <row r="40" spans="1:3" x14ac:dyDescent="0.2">
      <c r="A40">
        <v>45917</v>
      </c>
      <c r="C40" s="11"/>
    </row>
    <row r="41" spans="1:3" x14ac:dyDescent="0.2">
      <c r="A41">
        <v>45918</v>
      </c>
      <c r="C41" s="11"/>
    </row>
    <row r="42" spans="1:3" x14ac:dyDescent="0.2">
      <c r="A42">
        <v>45919</v>
      </c>
      <c r="C42" s="11"/>
    </row>
    <row r="43" spans="1:3" x14ac:dyDescent="0.2">
      <c r="A43">
        <v>45922</v>
      </c>
      <c r="C43" s="11"/>
    </row>
    <row r="44" spans="1:3" x14ac:dyDescent="0.2">
      <c r="A44">
        <v>45923</v>
      </c>
      <c r="C44" s="11"/>
    </row>
    <row r="45" spans="1:3" x14ac:dyDescent="0.2">
      <c r="A45">
        <v>45924</v>
      </c>
      <c r="C45" s="11"/>
    </row>
    <row r="46" spans="1:3" x14ac:dyDescent="0.2">
      <c r="A46">
        <v>45925</v>
      </c>
      <c r="C46" s="11"/>
    </row>
    <row r="47" spans="1:3" x14ac:dyDescent="0.2">
      <c r="A47">
        <v>45926</v>
      </c>
      <c r="C47" s="11"/>
    </row>
    <row r="48" spans="1:3" x14ac:dyDescent="0.2">
      <c r="A48">
        <v>45927</v>
      </c>
      <c r="C48" s="11"/>
    </row>
    <row r="49" spans="1:3" x14ac:dyDescent="0.2">
      <c r="A49">
        <v>45929</v>
      </c>
      <c r="C49" s="11"/>
    </row>
    <row r="50" spans="1:3" x14ac:dyDescent="0.2">
      <c r="A50">
        <v>45930</v>
      </c>
      <c r="C50" s="11"/>
    </row>
    <row r="51" spans="1:3" x14ac:dyDescent="0.2">
      <c r="A51">
        <v>45931</v>
      </c>
      <c r="C51" s="11"/>
    </row>
    <row r="52" spans="1:3" x14ac:dyDescent="0.2">
      <c r="A52">
        <v>45932</v>
      </c>
      <c r="C52" s="11"/>
    </row>
    <row r="53" spans="1:3" x14ac:dyDescent="0.2">
      <c r="A53">
        <v>45933</v>
      </c>
      <c r="C53" s="11"/>
    </row>
    <row r="54" spans="1:3" x14ac:dyDescent="0.2">
      <c r="A54">
        <v>45934</v>
      </c>
      <c r="C54" s="11"/>
    </row>
    <row r="55" spans="1:3" x14ac:dyDescent="0.2">
      <c r="A55">
        <v>45936</v>
      </c>
      <c r="C55" s="11"/>
    </row>
    <row r="56" spans="1:3" x14ac:dyDescent="0.2">
      <c r="A56">
        <v>45937</v>
      </c>
      <c r="C56" s="11"/>
    </row>
    <row r="57" spans="1:3" x14ac:dyDescent="0.2">
      <c r="A57">
        <v>45938</v>
      </c>
      <c r="C57" s="11"/>
    </row>
    <row r="58" spans="1:3" x14ac:dyDescent="0.2">
      <c r="A58">
        <v>45940</v>
      </c>
      <c r="C58" s="11"/>
    </row>
    <row r="59" spans="1:3" x14ac:dyDescent="0.2">
      <c r="A59">
        <v>45941</v>
      </c>
      <c r="C59" s="11"/>
    </row>
    <row r="60" spans="1:3" x14ac:dyDescent="0.2">
      <c r="A60">
        <v>45942</v>
      </c>
      <c r="C60" s="11"/>
    </row>
    <row r="61" spans="1:3" x14ac:dyDescent="0.2">
      <c r="A61">
        <v>45945</v>
      </c>
      <c r="C61" s="11"/>
    </row>
    <row r="62" spans="1:3" x14ac:dyDescent="0.2">
      <c r="A62">
        <v>45946</v>
      </c>
      <c r="C62" s="11"/>
    </row>
    <row r="63" spans="1:3" x14ac:dyDescent="0.2">
      <c r="A63">
        <v>45947</v>
      </c>
      <c r="C63" s="11"/>
    </row>
    <row r="64" spans="1:3" x14ac:dyDescent="0.2">
      <c r="A64">
        <v>45950</v>
      </c>
      <c r="C64" s="11"/>
    </row>
    <row r="65" spans="1:3" x14ac:dyDescent="0.2">
      <c r="A65">
        <v>45951</v>
      </c>
      <c r="C65" s="11"/>
    </row>
    <row r="66" spans="1:3" x14ac:dyDescent="0.2">
      <c r="A66">
        <v>45952</v>
      </c>
      <c r="C66" s="11"/>
    </row>
    <row r="67" spans="1:3" x14ac:dyDescent="0.2">
      <c r="A67">
        <v>45953</v>
      </c>
      <c r="C67" s="11"/>
    </row>
    <row r="68" spans="1:3" x14ac:dyDescent="0.2">
      <c r="A68">
        <v>45954</v>
      </c>
      <c r="C68" s="11"/>
    </row>
    <row r="69" spans="1:3" x14ac:dyDescent="0.2">
      <c r="A69">
        <v>45955</v>
      </c>
      <c r="C69" s="11"/>
    </row>
    <row r="70" spans="1:3" x14ac:dyDescent="0.2">
      <c r="A70">
        <v>45958</v>
      </c>
      <c r="C70" s="11"/>
    </row>
    <row r="71" spans="1:3" x14ac:dyDescent="0.2">
      <c r="A71">
        <v>45959</v>
      </c>
      <c r="C71" s="11"/>
    </row>
    <row r="72" spans="1:3" x14ac:dyDescent="0.2">
      <c r="A72">
        <v>45960</v>
      </c>
      <c r="C72" s="11"/>
    </row>
    <row r="73" spans="1:3" x14ac:dyDescent="0.2">
      <c r="A73">
        <v>45961</v>
      </c>
      <c r="C73" s="11"/>
    </row>
    <row r="74" spans="1:3" x14ac:dyDescent="0.2">
      <c r="A74">
        <v>45964</v>
      </c>
      <c r="C74" s="11"/>
    </row>
    <row r="75" spans="1:3" x14ac:dyDescent="0.2">
      <c r="A75">
        <v>45965</v>
      </c>
      <c r="C75" s="11"/>
    </row>
    <row r="76" spans="1:3" x14ac:dyDescent="0.2">
      <c r="A76">
        <v>45966</v>
      </c>
      <c r="C76" s="11"/>
    </row>
    <row r="77" spans="1:3" x14ac:dyDescent="0.2">
      <c r="A77">
        <v>45967</v>
      </c>
      <c r="C77" s="11"/>
    </row>
    <row r="78" spans="1:3" x14ac:dyDescent="0.2">
      <c r="A78">
        <v>45968</v>
      </c>
      <c r="C78" s="11"/>
    </row>
    <row r="79" spans="1:3" x14ac:dyDescent="0.2">
      <c r="A79">
        <v>45971</v>
      </c>
      <c r="C79" s="11"/>
    </row>
    <row r="80" spans="1:3" x14ac:dyDescent="0.2">
      <c r="A80">
        <v>45972</v>
      </c>
      <c r="C80" s="11"/>
    </row>
    <row r="81" spans="1:3" x14ac:dyDescent="0.2">
      <c r="A81">
        <v>45974</v>
      </c>
      <c r="C81" s="11"/>
    </row>
    <row r="82" spans="1:3" x14ac:dyDescent="0.2">
      <c r="A82">
        <v>45975</v>
      </c>
      <c r="C82" s="11"/>
    </row>
    <row r="83" spans="1:3" x14ac:dyDescent="0.2">
      <c r="A83">
        <v>45976</v>
      </c>
      <c r="C83" s="11"/>
    </row>
    <row r="84" spans="1:3" x14ac:dyDescent="0.2">
      <c r="A84">
        <v>45978</v>
      </c>
      <c r="C84" s="11"/>
    </row>
    <row r="85" spans="1:3" x14ac:dyDescent="0.2">
      <c r="A85">
        <v>45979</v>
      </c>
      <c r="C85" s="11"/>
    </row>
    <row r="86" spans="1:3" x14ac:dyDescent="0.2">
      <c r="A86">
        <v>45980</v>
      </c>
      <c r="C86" s="11"/>
    </row>
    <row r="87" spans="1:3" x14ac:dyDescent="0.2">
      <c r="A87">
        <v>45982</v>
      </c>
      <c r="C87" s="11"/>
    </row>
    <row r="88" spans="1:3" x14ac:dyDescent="0.2">
      <c r="A88">
        <v>45983</v>
      </c>
      <c r="C88" s="11"/>
    </row>
    <row r="89" spans="1:3" x14ac:dyDescent="0.2">
      <c r="A89">
        <v>45985</v>
      </c>
      <c r="C89" s="11"/>
    </row>
    <row r="90" spans="1:3" x14ac:dyDescent="0.2">
      <c r="A90">
        <v>45986</v>
      </c>
      <c r="C90" s="11"/>
    </row>
    <row r="91" spans="1:3" x14ac:dyDescent="0.2">
      <c r="A91">
        <v>45987</v>
      </c>
      <c r="C91" s="11"/>
    </row>
    <row r="92" spans="1:3" x14ac:dyDescent="0.2">
      <c r="A92">
        <v>45988</v>
      </c>
      <c r="C92" s="11"/>
    </row>
    <row r="93" spans="1:3" x14ac:dyDescent="0.2">
      <c r="A93">
        <v>45989</v>
      </c>
      <c r="C93" s="11"/>
    </row>
    <row r="94" spans="1:3" x14ac:dyDescent="0.2">
      <c r="A94">
        <v>45992</v>
      </c>
      <c r="C94" s="11"/>
    </row>
    <row r="95" spans="1:3" x14ac:dyDescent="0.2">
      <c r="A95">
        <v>45993</v>
      </c>
      <c r="C95" s="11"/>
    </row>
    <row r="96" spans="1:3" x14ac:dyDescent="0.2">
      <c r="A96">
        <v>45994</v>
      </c>
      <c r="C96" s="11"/>
    </row>
    <row r="97" spans="1:3" x14ac:dyDescent="0.2">
      <c r="A97">
        <v>45995</v>
      </c>
      <c r="C97" s="11"/>
    </row>
    <row r="98" spans="1:3" x14ac:dyDescent="0.2">
      <c r="A98">
        <v>45996</v>
      </c>
      <c r="C98" s="11"/>
    </row>
    <row r="99" spans="1:3" x14ac:dyDescent="0.2">
      <c r="A99">
        <v>45997</v>
      </c>
      <c r="C99" s="11"/>
    </row>
    <row r="100" spans="1:3" x14ac:dyDescent="0.2">
      <c r="A100">
        <v>45999</v>
      </c>
      <c r="C100" s="11"/>
    </row>
    <row r="101" spans="1:3" x14ac:dyDescent="0.2">
      <c r="A101">
        <v>46000</v>
      </c>
      <c r="C101" s="11"/>
    </row>
    <row r="102" spans="1:3" x14ac:dyDescent="0.2">
      <c r="A102">
        <v>46001</v>
      </c>
      <c r="C102" s="11"/>
    </row>
    <row r="103" spans="1:3" x14ac:dyDescent="0.2">
      <c r="A103">
        <v>46002</v>
      </c>
      <c r="C103" s="11"/>
    </row>
    <row r="104" spans="1:3" x14ac:dyDescent="0.2">
      <c r="A104">
        <v>46003</v>
      </c>
      <c r="C104" s="11"/>
    </row>
    <row r="105" spans="1:3" x14ac:dyDescent="0.2">
      <c r="A105">
        <v>46004</v>
      </c>
      <c r="C105" s="11"/>
    </row>
    <row r="106" spans="1:3" x14ac:dyDescent="0.2">
      <c r="A106">
        <v>46007</v>
      </c>
      <c r="C106" s="11"/>
    </row>
    <row r="107" spans="1:3" x14ac:dyDescent="0.2">
      <c r="A107">
        <v>46008</v>
      </c>
      <c r="C107" s="11"/>
    </row>
    <row r="108" spans="1:3" x14ac:dyDescent="0.2">
      <c r="A108">
        <v>46009</v>
      </c>
      <c r="C108" s="11"/>
    </row>
    <row r="109" spans="1:3" x14ac:dyDescent="0.2">
      <c r="A109">
        <v>46010</v>
      </c>
      <c r="C109" s="11"/>
    </row>
    <row r="110" spans="1:3" x14ac:dyDescent="0.2">
      <c r="A110">
        <v>46013</v>
      </c>
      <c r="C110" s="11"/>
    </row>
    <row r="111" spans="1:3" x14ac:dyDescent="0.2">
      <c r="A111">
        <v>46014</v>
      </c>
      <c r="C111" s="11"/>
    </row>
    <row r="112" spans="1:3" x14ac:dyDescent="0.2">
      <c r="A112">
        <v>46017</v>
      </c>
      <c r="C112" s="11"/>
    </row>
    <row r="113" spans="1:3" x14ac:dyDescent="0.2">
      <c r="A113">
        <v>46018</v>
      </c>
      <c r="C113" s="11"/>
    </row>
    <row r="114" spans="1:3" x14ac:dyDescent="0.2">
      <c r="A114">
        <v>46020</v>
      </c>
      <c r="C114" s="11"/>
    </row>
    <row r="115" spans="1:3" x14ac:dyDescent="0.2">
      <c r="A115">
        <v>46021</v>
      </c>
      <c r="C115" s="11"/>
    </row>
    <row r="116" spans="1:3" x14ac:dyDescent="0.2">
      <c r="A116">
        <v>46022</v>
      </c>
      <c r="C116" s="11"/>
    </row>
    <row r="117" spans="1:3" x14ac:dyDescent="0.2">
      <c r="A117">
        <v>46024</v>
      </c>
      <c r="C117" s="11"/>
    </row>
    <row r="118" spans="1:3" x14ac:dyDescent="0.2">
      <c r="A118">
        <v>46025</v>
      </c>
      <c r="C118" s="11"/>
    </row>
    <row r="119" spans="1:3" x14ac:dyDescent="0.2">
      <c r="A119">
        <v>46027</v>
      </c>
      <c r="C119" s="11"/>
    </row>
    <row r="120" spans="1:3" x14ac:dyDescent="0.2">
      <c r="A120">
        <v>46028</v>
      </c>
      <c r="C120" s="11"/>
    </row>
    <row r="121" spans="1:3" x14ac:dyDescent="0.2">
      <c r="A121">
        <v>46029</v>
      </c>
      <c r="C121" s="11"/>
    </row>
    <row r="122" spans="1:3" x14ac:dyDescent="0.2">
      <c r="A122">
        <v>46030</v>
      </c>
      <c r="C122" s="11"/>
    </row>
    <row r="123" spans="1:3" x14ac:dyDescent="0.2">
      <c r="A123">
        <v>46031</v>
      </c>
      <c r="C123" s="11"/>
    </row>
    <row r="124" spans="1:3" x14ac:dyDescent="0.2">
      <c r="A124">
        <v>46041</v>
      </c>
      <c r="C124" s="11"/>
    </row>
    <row r="125" spans="1:3" x14ac:dyDescent="0.2">
      <c r="A125">
        <v>46042</v>
      </c>
      <c r="C125" s="11"/>
    </row>
    <row r="126" spans="1:3" x14ac:dyDescent="0.2">
      <c r="A126">
        <v>46043</v>
      </c>
      <c r="C126" s="11"/>
    </row>
    <row r="127" spans="1:3" x14ac:dyDescent="0.2">
      <c r="A127">
        <v>46044</v>
      </c>
      <c r="C127" s="11"/>
    </row>
    <row r="128" spans="1:3" x14ac:dyDescent="0.2">
      <c r="A128">
        <v>46045</v>
      </c>
      <c r="C128" s="11"/>
    </row>
    <row r="129" spans="1:3" x14ac:dyDescent="0.2">
      <c r="A129">
        <v>46048</v>
      </c>
      <c r="C129" s="11"/>
    </row>
    <row r="130" spans="1:3" x14ac:dyDescent="0.2">
      <c r="A130">
        <v>46049</v>
      </c>
      <c r="C130" s="11"/>
    </row>
    <row r="131" spans="1:3" x14ac:dyDescent="0.2">
      <c r="A131">
        <v>46050</v>
      </c>
      <c r="C131" s="11"/>
    </row>
    <row r="132" spans="1:3" x14ac:dyDescent="0.2">
      <c r="A132">
        <v>46051</v>
      </c>
      <c r="C132" s="11"/>
    </row>
    <row r="133" spans="1:3" x14ac:dyDescent="0.2">
      <c r="A133">
        <v>46052</v>
      </c>
      <c r="C133" s="11"/>
    </row>
    <row r="134" spans="1:3" x14ac:dyDescent="0.2">
      <c r="A134">
        <v>46055</v>
      </c>
      <c r="C134" s="11"/>
    </row>
    <row r="135" spans="1:3" x14ac:dyDescent="0.2">
      <c r="A135">
        <v>46056</v>
      </c>
      <c r="C135" s="11"/>
    </row>
    <row r="136" spans="1:3" x14ac:dyDescent="0.2">
      <c r="A136">
        <v>46057</v>
      </c>
      <c r="C136" s="11"/>
    </row>
    <row r="137" spans="1:3" x14ac:dyDescent="0.2">
      <c r="A137">
        <v>46058</v>
      </c>
      <c r="C137" s="11"/>
    </row>
    <row r="138" spans="1:3" x14ac:dyDescent="0.2">
      <c r="A138">
        <v>46059</v>
      </c>
      <c r="C138" s="11"/>
    </row>
    <row r="139" spans="1:3" x14ac:dyDescent="0.2">
      <c r="A139">
        <v>46061</v>
      </c>
      <c r="C139" s="11"/>
    </row>
    <row r="140" spans="1:3" x14ac:dyDescent="0.2">
      <c r="A140">
        <v>46062</v>
      </c>
      <c r="C140" s="11"/>
    </row>
    <row r="141" spans="1:3" x14ac:dyDescent="0.2">
      <c r="A141">
        <v>46063</v>
      </c>
      <c r="C141" s="11"/>
    </row>
    <row r="142" spans="1:3" x14ac:dyDescent="0.2">
      <c r="A142">
        <v>46064</v>
      </c>
      <c r="C142" s="11"/>
    </row>
    <row r="143" spans="1:3" x14ac:dyDescent="0.2">
      <c r="A143">
        <v>46065</v>
      </c>
      <c r="C143" s="11"/>
    </row>
    <row r="144" spans="1:3" x14ac:dyDescent="0.2">
      <c r="A144">
        <v>46066</v>
      </c>
      <c r="C144" s="11"/>
    </row>
    <row r="145" spans="1:3" x14ac:dyDescent="0.2">
      <c r="A145">
        <v>46067</v>
      </c>
      <c r="C145" s="11"/>
    </row>
    <row r="146" spans="1:3" x14ac:dyDescent="0.2">
      <c r="A146">
        <v>46069</v>
      </c>
      <c r="C146" s="11"/>
    </row>
    <row r="147" spans="1:3" x14ac:dyDescent="0.2">
      <c r="A147">
        <v>46072</v>
      </c>
      <c r="C147" s="11"/>
    </row>
    <row r="148" spans="1:3" x14ac:dyDescent="0.2">
      <c r="A148">
        <v>46073</v>
      </c>
      <c r="C148" s="11"/>
    </row>
    <row r="149" spans="1:3" x14ac:dyDescent="0.2">
      <c r="A149">
        <v>46076</v>
      </c>
      <c r="C149" s="11"/>
    </row>
    <row r="150" spans="1:3" x14ac:dyDescent="0.2">
      <c r="A150">
        <v>46077</v>
      </c>
      <c r="C150" s="11"/>
    </row>
    <row r="151" spans="1:3" x14ac:dyDescent="0.2">
      <c r="A151">
        <v>46078</v>
      </c>
      <c r="C151" s="11"/>
    </row>
    <row r="152" spans="1:3" x14ac:dyDescent="0.2">
      <c r="A152">
        <v>46079</v>
      </c>
      <c r="C152" s="11"/>
    </row>
    <row r="153" spans="1:3" x14ac:dyDescent="0.2">
      <c r="A153">
        <v>46080</v>
      </c>
      <c r="C153" s="11"/>
    </row>
    <row r="154" spans="1:3" x14ac:dyDescent="0.2">
      <c r="A154">
        <v>46082</v>
      </c>
      <c r="C154" s="11"/>
    </row>
    <row r="155" spans="1:3" x14ac:dyDescent="0.2">
      <c r="A155">
        <v>46084</v>
      </c>
      <c r="C155" s="11"/>
    </row>
    <row r="156" spans="1:3" x14ac:dyDescent="0.2">
      <c r="A156">
        <v>46085</v>
      </c>
      <c r="C156" s="11"/>
    </row>
    <row r="157" spans="1:3" x14ac:dyDescent="0.2">
      <c r="A157">
        <v>46086</v>
      </c>
      <c r="C157" s="11"/>
    </row>
    <row r="158" spans="1:3" x14ac:dyDescent="0.2">
      <c r="A158">
        <v>46087</v>
      </c>
      <c r="C158" s="11"/>
    </row>
    <row r="159" spans="1:3" x14ac:dyDescent="0.2">
      <c r="A159">
        <v>46090</v>
      </c>
      <c r="C159" s="11"/>
    </row>
    <row r="160" spans="1:3" x14ac:dyDescent="0.2">
      <c r="A160">
        <v>46091</v>
      </c>
      <c r="C160" s="11"/>
    </row>
    <row r="161" spans="1:3" x14ac:dyDescent="0.2">
      <c r="A161">
        <v>46092</v>
      </c>
      <c r="C161" s="11"/>
    </row>
    <row r="162" spans="1:3" x14ac:dyDescent="0.2">
      <c r="A162">
        <v>46093</v>
      </c>
      <c r="C162" s="11"/>
    </row>
    <row r="163" spans="1:3" x14ac:dyDescent="0.2">
      <c r="A163">
        <v>46094</v>
      </c>
      <c r="C163" s="11"/>
    </row>
    <row r="164" spans="1:3" x14ac:dyDescent="0.2">
      <c r="A164">
        <v>46096</v>
      </c>
      <c r="C164" s="11"/>
    </row>
    <row r="165" spans="1:3" x14ac:dyDescent="0.2">
      <c r="A165">
        <v>46097</v>
      </c>
      <c r="C165" s="11"/>
    </row>
    <row r="166" spans="1:3" x14ac:dyDescent="0.2">
      <c r="A166">
        <v>46098</v>
      </c>
      <c r="C166" s="11"/>
    </row>
    <row r="167" spans="1:3" x14ac:dyDescent="0.2">
      <c r="A167">
        <v>46099</v>
      </c>
      <c r="C167" s="11"/>
    </row>
    <row r="168" spans="1:3" x14ac:dyDescent="0.2">
      <c r="A168">
        <v>46102</v>
      </c>
      <c r="C168" s="11"/>
    </row>
    <row r="169" spans="1:3" x14ac:dyDescent="0.2">
      <c r="A169">
        <v>46105</v>
      </c>
      <c r="C169" s="11"/>
    </row>
    <row r="170" spans="1:3" x14ac:dyDescent="0.2">
      <c r="A170">
        <v>46106</v>
      </c>
      <c r="C170" s="11"/>
    </row>
    <row r="171" spans="1:3" x14ac:dyDescent="0.2">
      <c r="A171">
        <v>46107</v>
      </c>
      <c r="C171" s="11"/>
    </row>
    <row r="172" spans="1:3" x14ac:dyDescent="0.2">
      <c r="A172">
        <v>46108</v>
      </c>
      <c r="C172" s="11"/>
    </row>
    <row r="173" spans="1:3" x14ac:dyDescent="0.2">
      <c r="A173">
        <v>46109</v>
      </c>
      <c r="C173" s="11"/>
    </row>
    <row r="174" spans="1:3" x14ac:dyDescent="0.2">
      <c r="A174">
        <v>46111</v>
      </c>
      <c r="C174" s="11"/>
    </row>
    <row r="175" spans="1:3" x14ac:dyDescent="0.2">
      <c r="A175">
        <v>46112</v>
      </c>
      <c r="C175" s="11"/>
    </row>
    <row r="176" spans="1:3" x14ac:dyDescent="0.2">
      <c r="A176">
        <v>46113</v>
      </c>
      <c r="C176" s="11"/>
    </row>
    <row r="177" spans="1:3" x14ac:dyDescent="0.2">
      <c r="A177">
        <v>46114</v>
      </c>
      <c r="C177" s="11"/>
    </row>
    <row r="178" spans="1:3" x14ac:dyDescent="0.2">
      <c r="A178">
        <v>46115</v>
      </c>
      <c r="C178" s="11"/>
    </row>
    <row r="179" spans="1:3" x14ac:dyDescent="0.2">
      <c r="A179">
        <v>46116</v>
      </c>
      <c r="C179" s="11"/>
    </row>
    <row r="180" spans="1:3" x14ac:dyDescent="0.2">
      <c r="A180">
        <v>46118</v>
      </c>
      <c r="C180" s="11"/>
    </row>
    <row r="181" spans="1:3" x14ac:dyDescent="0.2">
      <c r="A181">
        <v>46119</v>
      </c>
      <c r="C181" s="11"/>
    </row>
    <row r="182" spans="1:3" x14ac:dyDescent="0.2">
      <c r="A182">
        <v>46120</v>
      </c>
      <c r="C182" s="11"/>
    </row>
    <row r="183" spans="1:3" x14ac:dyDescent="0.2">
      <c r="A183">
        <v>46121</v>
      </c>
      <c r="C183" s="11"/>
    </row>
    <row r="184" spans="1:3" x14ac:dyDescent="0.2">
      <c r="A184">
        <v>46122</v>
      </c>
      <c r="C184" s="11"/>
    </row>
    <row r="185" spans="1:3" x14ac:dyDescent="0.2">
      <c r="A185">
        <v>46125</v>
      </c>
      <c r="C185" s="11"/>
    </row>
    <row r="186" spans="1:3" x14ac:dyDescent="0.2">
      <c r="A186">
        <v>46126</v>
      </c>
      <c r="C186" s="11"/>
    </row>
    <row r="187" spans="1:3" x14ac:dyDescent="0.2">
      <c r="A187">
        <v>46127</v>
      </c>
      <c r="C187" s="11"/>
    </row>
    <row r="188" spans="1:3" x14ac:dyDescent="0.2">
      <c r="A188">
        <v>46128</v>
      </c>
      <c r="C188" s="11"/>
    </row>
    <row r="189" spans="1:3" x14ac:dyDescent="0.2">
      <c r="A189">
        <v>46129</v>
      </c>
      <c r="C189" s="11"/>
    </row>
    <row r="190" spans="1:3" x14ac:dyDescent="0.2">
      <c r="A190">
        <v>46130</v>
      </c>
      <c r="C190" s="11"/>
    </row>
    <row r="191" spans="1:3" x14ac:dyDescent="0.2">
      <c r="A191">
        <v>46132</v>
      </c>
      <c r="C191" s="11"/>
    </row>
    <row r="192" spans="1:3" x14ac:dyDescent="0.2">
      <c r="A192">
        <v>46133</v>
      </c>
      <c r="C192" s="11"/>
    </row>
    <row r="193" spans="3:3" x14ac:dyDescent="0.2">
      <c r="C193" s="11"/>
    </row>
    <row r="194" spans="3:3" x14ac:dyDescent="0.2">
      <c r="C194" s="11"/>
    </row>
    <row r="195" spans="3:3" x14ac:dyDescent="0.2">
      <c r="C195" s="11"/>
    </row>
    <row r="196" spans="3:3" x14ac:dyDescent="0.2">
      <c r="C196" s="11"/>
    </row>
    <row r="197" spans="3:3" x14ac:dyDescent="0.2">
      <c r="C197" s="11"/>
    </row>
    <row r="198" spans="3:3" x14ac:dyDescent="0.2">
      <c r="C198" s="11"/>
    </row>
    <row r="199" spans="3:3" x14ac:dyDescent="0.2">
      <c r="C199" s="11"/>
    </row>
    <row r="200" spans="3:3" x14ac:dyDescent="0.2">
      <c r="C200" s="11"/>
    </row>
    <row r="201" spans="3:3" x14ac:dyDescent="0.2">
      <c r="C201" s="11"/>
    </row>
    <row r="202" spans="3:3" x14ac:dyDescent="0.2">
      <c r="C202" s="11"/>
    </row>
    <row r="203" spans="3:3" x14ac:dyDescent="0.2">
      <c r="C203" s="11"/>
    </row>
    <row r="204" spans="3:3" x14ac:dyDescent="0.2">
      <c r="C204" s="11"/>
    </row>
    <row r="205" spans="3:3" x14ac:dyDescent="0.2">
      <c r="C205" s="11"/>
    </row>
    <row r="206" spans="3:3" x14ac:dyDescent="0.2">
      <c r="C206" s="11"/>
    </row>
    <row r="207" spans="3:3" x14ac:dyDescent="0.2">
      <c r="C207" s="11"/>
    </row>
    <row r="208" spans="3:3" x14ac:dyDescent="0.2">
      <c r="C208" s="11"/>
    </row>
    <row r="209" spans="3:3" x14ac:dyDescent="0.2">
      <c r="C209" s="11"/>
    </row>
    <row r="210" spans="3:3" x14ac:dyDescent="0.2">
      <c r="C210" s="11"/>
    </row>
    <row r="211" spans="3:3" x14ac:dyDescent="0.2">
      <c r="C211" s="11"/>
    </row>
    <row r="212" spans="3:3" x14ac:dyDescent="0.2">
      <c r="C212" s="11"/>
    </row>
    <row r="213" spans="3:3" x14ac:dyDescent="0.2">
      <c r="C213" s="11"/>
    </row>
    <row r="214" spans="3:3" x14ac:dyDescent="0.2">
      <c r="C214" s="11"/>
    </row>
    <row r="215" spans="3:3" x14ac:dyDescent="0.2">
      <c r="C215" s="11"/>
    </row>
    <row r="216" spans="3:3" x14ac:dyDescent="0.2">
      <c r="C216" s="11"/>
    </row>
    <row r="217" spans="3:3" x14ac:dyDescent="0.2">
      <c r="C217" s="11"/>
    </row>
    <row r="218" spans="3:3" x14ac:dyDescent="0.2">
      <c r="C218" s="11"/>
    </row>
    <row r="219" spans="3:3" x14ac:dyDescent="0.2">
      <c r="C219" s="11"/>
    </row>
    <row r="220" spans="3:3" x14ac:dyDescent="0.2">
      <c r="C220" s="11"/>
    </row>
    <row r="221" spans="3:3" x14ac:dyDescent="0.2">
      <c r="C221" s="11"/>
    </row>
    <row r="222" spans="3:3" x14ac:dyDescent="0.2">
      <c r="C222" s="11"/>
    </row>
    <row r="223" spans="3:3" x14ac:dyDescent="0.2">
      <c r="C223" s="11"/>
    </row>
    <row r="224" spans="3:3" x14ac:dyDescent="0.2">
      <c r="C224" s="11"/>
    </row>
    <row r="225" spans="3:3" x14ac:dyDescent="0.2">
      <c r="C225" s="11"/>
    </row>
    <row r="226" spans="3:3" x14ac:dyDescent="0.2">
      <c r="C226" s="11"/>
    </row>
    <row r="227" spans="3:3" x14ac:dyDescent="0.2">
      <c r="C227" s="11"/>
    </row>
    <row r="228" spans="3:3" x14ac:dyDescent="0.2">
      <c r="C228" s="11"/>
    </row>
    <row r="229" spans="3:3" x14ac:dyDescent="0.2">
      <c r="C229" s="11"/>
    </row>
    <row r="230" spans="3:3" x14ac:dyDescent="0.2">
      <c r="C230" s="11"/>
    </row>
    <row r="231" spans="3:3" x14ac:dyDescent="0.2">
      <c r="C231" s="11"/>
    </row>
    <row r="232" spans="3:3" x14ac:dyDescent="0.2">
      <c r="C232" s="11"/>
    </row>
    <row r="233" spans="3:3" x14ac:dyDescent="0.2">
      <c r="C233" s="11"/>
    </row>
    <row r="234" spans="3:3" x14ac:dyDescent="0.2">
      <c r="C234" s="11"/>
    </row>
    <row r="235" spans="3:3" x14ac:dyDescent="0.2">
      <c r="C235" s="11"/>
    </row>
    <row r="236" spans="3:3" x14ac:dyDescent="0.2">
      <c r="C236" s="11"/>
    </row>
    <row r="237" spans="3:3" x14ac:dyDescent="0.2">
      <c r="C237" s="11"/>
    </row>
    <row r="238" spans="3:3" x14ac:dyDescent="0.2">
      <c r="C238" s="11"/>
    </row>
    <row r="239" spans="3:3" x14ac:dyDescent="0.2">
      <c r="C239" s="11"/>
    </row>
    <row r="240" spans="3:3" x14ac:dyDescent="0.2">
      <c r="C240" s="11"/>
    </row>
    <row r="241" spans="3:3" x14ac:dyDescent="0.2">
      <c r="C241" s="11"/>
    </row>
    <row r="242" spans="3:3" x14ac:dyDescent="0.2">
      <c r="C242" s="11"/>
    </row>
    <row r="243" spans="3:3" x14ac:dyDescent="0.2">
      <c r="C243" s="11"/>
    </row>
    <row r="244" spans="3:3" x14ac:dyDescent="0.2">
      <c r="C244" s="11"/>
    </row>
    <row r="245" spans="3:3" x14ac:dyDescent="0.2">
      <c r="C245" s="11"/>
    </row>
    <row r="246" spans="3:3" x14ac:dyDescent="0.2">
      <c r="C246" s="11"/>
    </row>
    <row r="247" spans="3:3" x14ac:dyDescent="0.2">
      <c r="C247" s="11"/>
    </row>
    <row r="248" spans="3:3" x14ac:dyDescent="0.2">
      <c r="C248" s="11"/>
    </row>
    <row r="249" spans="3:3" x14ac:dyDescent="0.2">
      <c r="C249" s="11"/>
    </row>
    <row r="250" spans="3:3" x14ac:dyDescent="0.2">
      <c r="C250" s="11"/>
    </row>
    <row r="251" spans="3:3" x14ac:dyDescent="0.2">
      <c r="C251" s="11"/>
    </row>
    <row r="252" spans="3:3" x14ac:dyDescent="0.2">
      <c r="C252" s="11"/>
    </row>
    <row r="253" spans="3:3" x14ac:dyDescent="0.2">
      <c r="C253" s="11"/>
    </row>
    <row r="254" spans="3:3" x14ac:dyDescent="0.2">
      <c r="C254" s="11"/>
    </row>
    <row r="255" spans="3:3" x14ac:dyDescent="0.2">
      <c r="C255" s="11"/>
    </row>
    <row r="256" spans="3:3" x14ac:dyDescent="0.2">
      <c r="C256" s="11"/>
    </row>
    <row r="257" spans="3:3" x14ac:dyDescent="0.2">
      <c r="C257" s="11"/>
    </row>
    <row r="258" spans="3:3" x14ac:dyDescent="0.2">
      <c r="C258" s="11"/>
    </row>
    <row r="259" spans="3:3" x14ac:dyDescent="0.2">
      <c r="C259" s="11"/>
    </row>
    <row r="260" spans="3:3" x14ac:dyDescent="0.2">
      <c r="C260" s="11"/>
    </row>
    <row r="261" spans="3:3" x14ac:dyDescent="0.2">
      <c r="C261" s="11"/>
    </row>
    <row r="262" spans="3:3" x14ac:dyDescent="0.2">
      <c r="C262" s="11"/>
    </row>
    <row r="263" spans="3:3" x14ac:dyDescent="0.2">
      <c r="C263" s="11"/>
    </row>
    <row r="264" spans="3:3" x14ac:dyDescent="0.2">
      <c r="C264" s="11"/>
    </row>
    <row r="265" spans="3:3" x14ac:dyDescent="0.2">
      <c r="C265" s="11"/>
    </row>
    <row r="266" spans="3:3" x14ac:dyDescent="0.2">
      <c r="C266" s="11"/>
    </row>
    <row r="267" spans="3:3" x14ac:dyDescent="0.2">
      <c r="C267" s="11"/>
    </row>
    <row r="268" spans="3:3" x14ac:dyDescent="0.2">
      <c r="C268" s="11"/>
    </row>
    <row r="269" spans="3:3" x14ac:dyDescent="0.2">
      <c r="C269" s="11"/>
    </row>
    <row r="270" spans="3:3" x14ac:dyDescent="0.2">
      <c r="C270" s="11"/>
    </row>
    <row r="271" spans="3:3" x14ac:dyDescent="0.2">
      <c r="C271" s="11"/>
    </row>
    <row r="272" spans="3:3" x14ac:dyDescent="0.2">
      <c r="C272" s="11"/>
    </row>
    <row r="273" spans="3:3" x14ac:dyDescent="0.2">
      <c r="C273" s="11"/>
    </row>
    <row r="274" spans="3:3" x14ac:dyDescent="0.2">
      <c r="C274" s="11"/>
    </row>
    <row r="275" spans="3:3" x14ac:dyDescent="0.2">
      <c r="C275" s="11"/>
    </row>
    <row r="276" spans="3:3" x14ac:dyDescent="0.2">
      <c r="C276" s="11"/>
    </row>
    <row r="277" spans="3:3" x14ac:dyDescent="0.2">
      <c r="C277" s="11"/>
    </row>
    <row r="278" spans="3:3" x14ac:dyDescent="0.2">
      <c r="C278" s="11"/>
    </row>
    <row r="279" spans="3:3" x14ac:dyDescent="0.2">
      <c r="C279" s="11"/>
    </row>
    <row r="280" spans="3:3" x14ac:dyDescent="0.2">
      <c r="C280" s="11"/>
    </row>
    <row r="281" spans="3:3" x14ac:dyDescent="0.2">
      <c r="C281" s="11"/>
    </row>
    <row r="282" spans="3:3" x14ac:dyDescent="0.2">
      <c r="C282" s="11"/>
    </row>
    <row r="283" spans="3:3" x14ac:dyDescent="0.2">
      <c r="C283" s="11"/>
    </row>
    <row r="284" spans="3:3" x14ac:dyDescent="0.2">
      <c r="C284" s="11"/>
    </row>
    <row r="285" spans="3:3" x14ac:dyDescent="0.2">
      <c r="C285" s="11"/>
    </row>
    <row r="286" spans="3:3" x14ac:dyDescent="0.2">
      <c r="C286" s="11"/>
    </row>
    <row r="287" spans="3:3" x14ac:dyDescent="0.2">
      <c r="C287" s="11"/>
    </row>
    <row r="288" spans="3:3" x14ac:dyDescent="0.2">
      <c r="C288" s="11"/>
    </row>
    <row r="289" spans="3:3" x14ac:dyDescent="0.2">
      <c r="C289" s="11"/>
    </row>
    <row r="290" spans="3:3" x14ac:dyDescent="0.2">
      <c r="C290" s="11"/>
    </row>
    <row r="291" spans="3:3" x14ac:dyDescent="0.2">
      <c r="C291" s="11"/>
    </row>
    <row r="292" spans="3:3" x14ac:dyDescent="0.2">
      <c r="C292" s="11"/>
    </row>
    <row r="293" spans="3:3" x14ac:dyDescent="0.2">
      <c r="C293" s="11"/>
    </row>
    <row r="294" spans="3:3" x14ac:dyDescent="0.2">
      <c r="C294" s="11"/>
    </row>
    <row r="295" spans="3:3" x14ac:dyDescent="0.2">
      <c r="C295" s="11"/>
    </row>
    <row r="296" spans="3:3" x14ac:dyDescent="0.2">
      <c r="C296" s="11"/>
    </row>
    <row r="297" spans="3:3" x14ac:dyDescent="0.2">
      <c r="C297" s="11"/>
    </row>
    <row r="298" spans="3:3" x14ac:dyDescent="0.2">
      <c r="C298" s="11"/>
    </row>
    <row r="299" spans="3:3" x14ac:dyDescent="0.2">
      <c r="C299" s="11"/>
    </row>
    <row r="300" spans="3:3" x14ac:dyDescent="0.2">
      <c r="C300" s="11"/>
    </row>
    <row r="301" spans="3:3" x14ac:dyDescent="0.2">
      <c r="C301" s="11"/>
    </row>
    <row r="302" spans="3:3" x14ac:dyDescent="0.2">
      <c r="C302" s="11"/>
    </row>
    <row r="303" spans="3:3" x14ac:dyDescent="0.2">
      <c r="C303" s="11"/>
    </row>
    <row r="304" spans="3:3" x14ac:dyDescent="0.2">
      <c r="C304" s="11"/>
    </row>
    <row r="305" spans="3:3" x14ac:dyDescent="0.2">
      <c r="C305" s="11"/>
    </row>
    <row r="306" spans="3:3" x14ac:dyDescent="0.2">
      <c r="C306" s="11"/>
    </row>
    <row r="307" spans="3:3" x14ac:dyDescent="0.2">
      <c r="C307" s="11"/>
    </row>
    <row r="308" spans="3:3" x14ac:dyDescent="0.2">
      <c r="C308" s="11"/>
    </row>
    <row r="309" spans="3:3" x14ac:dyDescent="0.2">
      <c r="C309" s="11"/>
    </row>
    <row r="310" spans="3:3" x14ac:dyDescent="0.2">
      <c r="C310" s="11"/>
    </row>
    <row r="311" spans="3:3" x14ac:dyDescent="0.2">
      <c r="C311" s="11"/>
    </row>
    <row r="312" spans="3:3" x14ac:dyDescent="0.2">
      <c r="C312" s="11"/>
    </row>
    <row r="313" spans="3:3" x14ac:dyDescent="0.2">
      <c r="C313" s="11"/>
    </row>
    <row r="314" spans="3:3" x14ac:dyDescent="0.2">
      <c r="C314" s="11"/>
    </row>
    <row r="315" spans="3:3" x14ac:dyDescent="0.2">
      <c r="C315" s="11"/>
    </row>
    <row r="316" spans="3:3" x14ac:dyDescent="0.2">
      <c r="C316" s="11"/>
    </row>
    <row r="317" spans="3:3" x14ac:dyDescent="0.2">
      <c r="C317" s="11"/>
    </row>
    <row r="318" spans="3:3" x14ac:dyDescent="0.2">
      <c r="C318" s="11"/>
    </row>
    <row r="319" spans="3:3" x14ac:dyDescent="0.2">
      <c r="C319" s="11"/>
    </row>
    <row r="320" spans="3:3" x14ac:dyDescent="0.2">
      <c r="C320" s="11"/>
    </row>
    <row r="321" spans="3:3" x14ac:dyDescent="0.2">
      <c r="C321" s="11"/>
    </row>
    <row r="322" spans="3:3" x14ac:dyDescent="0.2">
      <c r="C322" s="11"/>
    </row>
    <row r="323" spans="3:3" x14ac:dyDescent="0.2">
      <c r="C323" s="11"/>
    </row>
    <row r="324" spans="3:3" x14ac:dyDescent="0.2">
      <c r="C324" s="11"/>
    </row>
    <row r="325" spans="3:3" x14ac:dyDescent="0.2">
      <c r="C325" s="11"/>
    </row>
    <row r="326" spans="3:3" x14ac:dyDescent="0.2">
      <c r="C326" s="11"/>
    </row>
    <row r="327" spans="3:3" x14ac:dyDescent="0.2">
      <c r="C327" s="11"/>
    </row>
    <row r="328" spans="3:3" x14ac:dyDescent="0.2">
      <c r="C328" s="11"/>
    </row>
    <row r="329" spans="3:3" x14ac:dyDescent="0.2">
      <c r="C329" s="11"/>
    </row>
    <row r="330" spans="3:3" x14ac:dyDescent="0.2">
      <c r="C330" s="11"/>
    </row>
    <row r="331" spans="3:3" x14ac:dyDescent="0.2">
      <c r="C331" s="11"/>
    </row>
    <row r="332" spans="3:3" x14ac:dyDescent="0.2">
      <c r="C332" s="11"/>
    </row>
    <row r="333" spans="3:3" x14ac:dyDescent="0.2">
      <c r="C333" s="11"/>
    </row>
    <row r="334" spans="3:3" x14ac:dyDescent="0.2">
      <c r="C334" s="11"/>
    </row>
    <row r="335" spans="3:3" x14ac:dyDescent="0.2">
      <c r="C335" s="11"/>
    </row>
    <row r="336" spans="3:3" x14ac:dyDescent="0.2">
      <c r="C336" s="11"/>
    </row>
    <row r="337" spans="3:3" x14ac:dyDescent="0.2">
      <c r="C337" s="11"/>
    </row>
    <row r="338" spans="3:3" x14ac:dyDescent="0.2">
      <c r="C338" s="11"/>
    </row>
    <row r="339" spans="3:3" x14ac:dyDescent="0.2">
      <c r="C339" s="11"/>
    </row>
    <row r="340" spans="3:3" x14ac:dyDescent="0.2">
      <c r="C340" s="11"/>
    </row>
    <row r="341" spans="3:3" x14ac:dyDescent="0.2">
      <c r="C341" s="11"/>
    </row>
    <row r="342" spans="3:3" x14ac:dyDescent="0.2">
      <c r="C342" s="11"/>
    </row>
    <row r="343" spans="3:3" x14ac:dyDescent="0.2">
      <c r="C343" s="11"/>
    </row>
    <row r="344" spans="3:3" x14ac:dyDescent="0.2">
      <c r="C344" s="11"/>
    </row>
    <row r="345" spans="3:3" x14ac:dyDescent="0.2">
      <c r="C345" s="11"/>
    </row>
    <row r="346" spans="3:3" x14ac:dyDescent="0.2">
      <c r="C346" s="11"/>
    </row>
    <row r="347" spans="3:3" x14ac:dyDescent="0.2">
      <c r="C347" s="11"/>
    </row>
    <row r="348" spans="3:3" x14ac:dyDescent="0.2">
      <c r="C348" s="11"/>
    </row>
    <row r="349" spans="3:3" x14ac:dyDescent="0.2">
      <c r="C349" s="11"/>
    </row>
    <row r="350" spans="3:3" x14ac:dyDescent="0.2">
      <c r="C350" s="11"/>
    </row>
    <row r="351" spans="3:3" x14ac:dyDescent="0.2">
      <c r="C351" s="11"/>
    </row>
    <row r="352" spans="3:3" x14ac:dyDescent="0.2">
      <c r="C352" s="11"/>
    </row>
    <row r="353" spans="3:3" x14ac:dyDescent="0.2">
      <c r="C353" s="11"/>
    </row>
    <row r="354" spans="3:3" x14ac:dyDescent="0.2">
      <c r="C354" s="11"/>
    </row>
    <row r="355" spans="3:3" x14ac:dyDescent="0.2">
      <c r="C355" s="11"/>
    </row>
    <row r="356" spans="3:3" x14ac:dyDescent="0.2">
      <c r="C356" s="11"/>
    </row>
    <row r="357" spans="3:3" x14ac:dyDescent="0.2">
      <c r="C357" s="11"/>
    </row>
    <row r="358" spans="3:3" x14ac:dyDescent="0.2">
      <c r="C358" s="11"/>
    </row>
    <row r="359" spans="3:3" x14ac:dyDescent="0.2">
      <c r="C359" s="11"/>
    </row>
    <row r="360" spans="3:3" x14ac:dyDescent="0.2">
      <c r="C360" s="11"/>
    </row>
    <row r="361" spans="3:3" x14ac:dyDescent="0.2">
      <c r="C361" s="11"/>
    </row>
    <row r="362" spans="3:3" x14ac:dyDescent="0.2">
      <c r="C362" s="11"/>
    </row>
    <row r="363" spans="3:3" x14ac:dyDescent="0.2">
      <c r="C363" s="11"/>
    </row>
    <row r="364" spans="3:3" x14ac:dyDescent="0.2">
      <c r="C364" s="11"/>
    </row>
    <row r="365" spans="3:3" x14ac:dyDescent="0.2">
      <c r="C365" s="11"/>
    </row>
    <row r="366" spans="3:3" x14ac:dyDescent="0.2">
      <c r="C366" s="11"/>
    </row>
    <row r="367" spans="3:3" x14ac:dyDescent="0.2">
      <c r="C367" s="11"/>
    </row>
    <row r="368" spans="3:3" x14ac:dyDescent="0.2">
      <c r="C368" s="11"/>
    </row>
    <row r="369" spans="3:3" x14ac:dyDescent="0.2">
      <c r="C369" s="11"/>
    </row>
    <row r="370" spans="3:3" x14ac:dyDescent="0.2">
      <c r="C370" s="11"/>
    </row>
    <row r="371" spans="3:3" x14ac:dyDescent="0.2">
      <c r="C371" s="11"/>
    </row>
    <row r="372" spans="3:3" x14ac:dyDescent="0.2">
      <c r="C372" s="11"/>
    </row>
    <row r="373" spans="3:3" x14ac:dyDescent="0.2">
      <c r="C373" s="11"/>
    </row>
    <row r="374" spans="3:3" x14ac:dyDescent="0.2">
      <c r="C374" s="11"/>
    </row>
    <row r="375" spans="3:3" x14ac:dyDescent="0.2">
      <c r="C375" s="11"/>
    </row>
    <row r="376" spans="3:3" x14ac:dyDescent="0.2">
      <c r="C376" s="11"/>
    </row>
    <row r="377" spans="3:3" x14ac:dyDescent="0.2">
      <c r="C377" s="11"/>
    </row>
    <row r="378" spans="3:3" x14ac:dyDescent="0.2">
      <c r="C378" s="11"/>
    </row>
    <row r="379" spans="3:3" x14ac:dyDescent="0.2">
      <c r="C379" s="11"/>
    </row>
    <row r="380" spans="3:3" x14ac:dyDescent="0.2">
      <c r="C380" s="11"/>
    </row>
    <row r="381" spans="3:3" x14ac:dyDescent="0.2">
      <c r="C381" s="11"/>
    </row>
    <row r="382" spans="3:3" x14ac:dyDescent="0.2">
      <c r="C382" s="11"/>
    </row>
    <row r="383" spans="3:3" x14ac:dyDescent="0.2">
      <c r="C383" s="11"/>
    </row>
    <row r="384" spans="3:3" x14ac:dyDescent="0.2">
      <c r="C384" s="11"/>
    </row>
    <row r="385" spans="3:3" x14ac:dyDescent="0.2">
      <c r="C385" s="11"/>
    </row>
    <row r="386" spans="3:3" x14ac:dyDescent="0.2">
      <c r="C386" s="11"/>
    </row>
    <row r="387" spans="3:3" x14ac:dyDescent="0.2">
      <c r="C387" s="11"/>
    </row>
    <row r="388" spans="3:3" x14ac:dyDescent="0.2">
      <c r="C388" s="11"/>
    </row>
    <row r="389" spans="3:3" x14ac:dyDescent="0.2">
      <c r="C389" s="11"/>
    </row>
    <row r="390" spans="3:3" x14ac:dyDescent="0.2">
      <c r="C390" s="11"/>
    </row>
    <row r="391" spans="3:3" x14ac:dyDescent="0.2">
      <c r="C391" s="11"/>
    </row>
    <row r="392" spans="3:3" x14ac:dyDescent="0.2">
      <c r="C392" s="11"/>
    </row>
    <row r="393" spans="3:3" x14ac:dyDescent="0.2">
      <c r="C393" s="11"/>
    </row>
    <row r="394" spans="3:3" x14ac:dyDescent="0.2">
      <c r="C394" s="11"/>
    </row>
    <row r="395" spans="3:3" x14ac:dyDescent="0.2">
      <c r="C395" s="11"/>
    </row>
    <row r="396" spans="3:3" x14ac:dyDescent="0.2">
      <c r="C396" s="11"/>
    </row>
    <row r="397" spans="3:3" x14ac:dyDescent="0.2">
      <c r="C397" s="11"/>
    </row>
    <row r="398" spans="3:3" x14ac:dyDescent="0.2">
      <c r="C398" s="11"/>
    </row>
    <row r="399" spans="3:3" x14ac:dyDescent="0.2">
      <c r="C399" s="11"/>
    </row>
    <row r="400" spans="3:3" x14ac:dyDescent="0.2">
      <c r="C400" s="11"/>
    </row>
    <row r="401" spans="3:3" x14ac:dyDescent="0.2">
      <c r="C401" s="11"/>
    </row>
    <row r="402" spans="3:3" x14ac:dyDescent="0.2">
      <c r="C402" s="11"/>
    </row>
    <row r="403" spans="3:3" x14ac:dyDescent="0.2">
      <c r="C403" s="11"/>
    </row>
    <row r="404" spans="3:3" x14ac:dyDescent="0.2">
      <c r="C404" s="11"/>
    </row>
    <row r="405" spans="3:3" x14ac:dyDescent="0.2">
      <c r="C405" s="11"/>
    </row>
    <row r="406" spans="3:3" x14ac:dyDescent="0.2">
      <c r="C406" s="11"/>
    </row>
    <row r="407" spans="3:3" x14ac:dyDescent="0.2">
      <c r="C407" s="11"/>
    </row>
    <row r="408" spans="3:3" x14ac:dyDescent="0.2">
      <c r="C408" s="11"/>
    </row>
    <row r="409" spans="3:3" x14ac:dyDescent="0.2">
      <c r="C409" s="11"/>
    </row>
    <row r="410" spans="3:3" x14ac:dyDescent="0.2">
      <c r="C410" s="11"/>
    </row>
    <row r="411" spans="3:3" x14ac:dyDescent="0.2">
      <c r="C411" s="11"/>
    </row>
    <row r="412" spans="3:3" x14ac:dyDescent="0.2">
      <c r="C412" s="11"/>
    </row>
    <row r="413" spans="3:3" x14ac:dyDescent="0.2">
      <c r="C413" s="11"/>
    </row>
    <row r="414" spans="3:3" x14ac:dyDescent="0.2">
      <c r="C414" s="11"/>
    </row>
    <row r="415" spans="3:3" x14ac:dyDescent="0.2">
      <c r="C415" s="11"/>
    </row>
    <row r="416" spans="3:3" x14ac:dyDescent="0.2">
      <c r="C416" s="11"/>
    </row>
    <row r="417" spans="3:3" x14ac:dyDescent="0.2">
      <c r="C417" s="11"/>
    </row>
    <row r="418" spans="3:3" x14ac:dyDescent="0.2">
      <c r="C418" s="11"/>
    </row>
    <row r="419" spans="3:3" x14ac:dyDescent="0.2">
      <c r="C419" s="11"/>
    </row>
    <row r="420" spans="3:3" x14ac:dyDescent="0.2">
      <c r="C420" s="11"/>
    </row>
    <row r="421" spans="3:3" x14ac:dyDescent="0.2">
      <c r="C421" s="11"/>
    </row>
    <row r="422" spans="3:3" x14ac:dyDescent="0.2">
      <c r="C422" s="11"/>
    </row>
    <row r="423" spans="3:3" x14ac:dyDescent="0.2">
      <c r="C423" s="11"/>
    </row>
    <row r="424" spans="3:3" x14ac:dyDescent="0.2">
      <c r="C424" s="11"/>
    </row>
    <row r="425" spans="3:3" x14ac:dyDescent="0.2">
      <c r="C425" s="11"/>
    </row>
    <row r="426" spans="3:3" x14ac:dyDescent="0.2">
      <c r="C426" s="11"/>
    </row>
    <row r="427" spans="3:3" x14ac:dyDescent="0.2">
      <c r="C427" s="11"/>
    </row>
    <row r="428" spans="3:3" x14ac:dyDescent="0.2">
      <c r="C428" s="11"/>
    </row>
    <row r="429" spans="3:3" x14ac:dyDescent="0.2">
      <c r="C429" s="11"/>
    </row>
    <row r="430" spans="3:3" x14ac:dyDescent="0.2">
      <c r="C430" s="11"/>
    </row>
    <row r="431" spans="3:3" x14ac:dyDescent="0.2">
      <c r="C431" s="11"/>
    </row>
    <row r="432" spans="3:3" x14ac:dyDescent="0.2">
      <c r="C432" s="11"/>
    </row>
    <row r="433" spans="3:3" x14ac:dyDescent="0.2">
      <c r="C433" s="11"/>
    </row>
    <row r="434" spans="3:3" x14ac:dyDescent="0.2">
      <c r="C434" s="11"/>
    </row>
    <row r="435" spans="3:3" x14ac:dyDescent="0.2">
      <c r="C435" s="11"/>
    </row>
    <row r="436" spans="3:3" x14ac:dyDescent="0.2">
      <c r="C436" s="11"/>
    </row>
    <row r="437" spans="3:3" x14ac:dyDescent="0.2">
      <c r="C437" s="11"/>
    </row>
    <row r="438" spans="3:3" x14ac:dyDescent="0.2">
      <c r="C438" s="11"/>
    </row>
    <row r="439" spans="3:3" x14ac:dyDescent="0.2">
      <c r="C439" s="11"/>
    </row>
    <row r="440" spans="3:3" x14ac:dyDescent="0.2">
      <c r="C440" s="11"/>
    </row>
    <row r="441" spans="3:3" x14ac:dyDescent="0.2">
      <c r="C441" s="11"/>
    </row>
    <row r="442" spans="3:3" x14ac:dyDescent="0.2">
      <c r="C442" s="11"/>
    </row>
    <row r="443" spans="3:3" x14ac:dyDescent="0.2">
      <c r="C443" s="11"/>
    </row>
    <row r="444" spans="3:3" x14ac:dyDescent="0.2">
      <c r="C444" s="11"/>
    </row>
    <row r="445" spans="3:3" x14ac:dyDescent="0.2">
      <c r="C445" s="11"/>
    </row>
    <row r="446" spans="3:3" x14ac:dyDescent="0.2">
      <c r="C446" s="11"/>
    </row>
    <row r="447" spans="3:3" x14ac:dyDescent="0.2">
      <c r="C447" s="11"/>
    </row>
    <row r="448" spans="3:3" x14ac:dyDescent="0.2">
      <c r="C448" s="11"/>
    </row>
    <row r="449" spans="3:3" x14ac:dyDescent="0.2">
      <c r="C449" s="11"/>
    </row>
    <row r="450" spans="3:3" x14ac:dyDescent="0.2">
      <c r="C450" s="11"/>
    </row>
    <row r="451" spans="3:3" x14ac:dyDescent="0.2">
      <c r="C451" s="11"/>
    </row>
    <row r="452" spans="3:3" x14ac:dyDescent="0.2">
      <c r="C452" s="11"/>
    </row>
    <row r="453" spans="3:3" x14ac:dyDescent="0.2">
      <c r="C453" s="11"/>
    </row>
    <row r="454" spans="3:3" x14ac:dyDescent="0.2">
      <c r="C454" s="11"/>
    </row>
    <row r="455" spans="3:3" x14ac:dyDescent="0.2">
      <c r="C455" s="11"/>
    </row>
    <row r="456" spans="3:3" x14ac:dyDescent="0.2">
      <c r="C456" s="11"/>
    </row>
    <row r="457" spans="3:3" x14ac:dyDescent="0.2">
      <c r="C457" s="11"/>
    </row>
    <row r="458" spans="3:3" x14ac:dyDescent="0.2">
      <c r="C458" s="11"/>
    </row>
    <row r="459" spans="3:3" x14ac:dyDescent="0.2">
      <c r="C459" s="11"/>
    </row>
    <row r="460" spans="3:3" x14ac:dyDescent="0.2">
      <c r="C460" s="11"/>
    </row>
    <row r="461" spans="3:3" x14ac:dyDescent="0.2">
      <c r="C461" s="11"/>
    </row>
    <row r="462" spans="3:3" x14ac:dyDescent="0.2">
      <c r="C462" s="11"/>
    </row>
    <row r="463" spans="3:3" x14ac:dyDescent="0.2">
      <c r="C463" s="11"/>
    </row>
    <row r="464" spans="3:3" x14ac:dyDescent="0.2">
      <c r="C464" s="11"/>
    </row>
    <row r="465" spans="3:3" x14ac:dyDescent="0.2">
      <c r="C465" s="11"/>
    </row>
    <row r="466" spans="3:3" x14ac:dyDescent="0.2">
      <c r="C466" s="11"/>
    </row>
    <row r="467" spans="3:3" x14ac:dyDescent="0.2">
      <c r="C467" s="11"/>
    </row>
    <row r="468" spans="3:3" x14ac:dyDescent="0.2">
      <c r="C468" s="11"/>
    </row>
    <row r="469" spans="3:3" x14ac:dyDescent="0.2">
      <c r="C469" s="11"/>
    </row>
    <row r="470" spans="3:3" x14ac:dyDescent="0.2">
      <c r="C470" s="11"/>
    </row>
    <row r="471" spans="3:3" x14ac:dyDescent="0.2">
      <c r="C471" s="11"/>
    </row>
    <row r="472" spans="3:3" x14ac:dyDescent="0.2">
      <c r="C472" s="11"/>
    </row>
    <row r="473" spans="3:3" x14ac:dyDescent="0.2">
      <c r="C473" s="11"/>
    </row>
    <row r="474" spans="3:3" x14ac:dyDescent="0.2">
      <c r="C474" s="11"/>
    </row>
    <row r="475" spans="3:3" x14ac:dyDescent="0.2">
      <c r="C475" s="11"/>
    </row>
    <row r="476" spans="3:3" x14ac:dyDescent="0.2">
      <c r="C476" s="11"/>
    </row>
    <row r="477" spans="3:3" x14ac:dyDescent="0.2">
      <c r="C477" s="11"/>
    </row>
    <row r="478" spans="3:3" x14ac:dyDescent="0.2">
      <c r="C478" s="11"/>
    </row>
    <row r="479" spans="3:3" x14ac:dyDescent="0.2">
      <c r="C479" s="11"/>
    </row>
    <row r="480" spans="3:3" x14ac:dyDescent="0.2">
      <c r="C480" s="11"/>
    </row>
    <row r="481" spans="3:3" x14ac:dyDescent="0.2">
      <c r="C481" s="11"/>
    </row>
    <row r="482" spans="3:3" x14ac:dyDescent="0.2">
      <c r="C482" s="11"/>
    </row>
    <row r="483" spans="3:3" x14ac:dyDescent="0.2">
      <c r="C483" s="11"/>
    </row>
    <row r="484" spans="3:3" x14ac:dyDescent="0.2">
      <c r="C484" s="11"/>
    </row>
    <row r="485" spans="3:3" x14ac:dyDescent="0.2">
      <c r="C485" s="11"/>
    </row>
    <row r="486" spans="3:3" x14ac:dyDescent="0.2">
      <c r="C486" s="11"/>
    </row>
    <row r="487" spans="3:3" x14ac:dyDescent="0.2">
      <c r="C487" s="11"/>
    </row>
    <row r="488" spans="3:3" x14ac:dyDescent="0.2">
      <c r="C488" s="11"/>
    </row>
    <row r="489" spans="3:3" x14ac:dyDescent="0.2">
      <c r="C489" s="11"/>
    </row>
    <row r="490" spans="3:3" x14ac:dyDescent="0.2">
      <c r="C490" s="11"/>
    </row>
    <row r="491" spans="3:3" x14ac:dyDescent="0.2">
      <c r="C491" s="11"/>
    </row>
    <row r="492" spans="3:3" x14ac:dyDescent="0.2">
      <c r="C492" s="11"/>
    </row>
    <row r="493" spans="3:3" x14ac:dyDescent="0.2">
      <c r="C493" s="11"/>
    </row>
    <row r="494" spans="3:3" x14ac:dyDescent="0.2">
      <c r="C494" s="11"/>
    </row>
    <row r="495" spans="3:3" x14ac:dyDescent="0.2">
      <c r="C495" s="11"/>
    </row>
    <row r="496" spans="3:3" x14ac:dyDescent="0.2">
      <c r="C496" s="11"/>
    </row>
    <row r="497" spans="3:3" x14ac:dyDescent="0.2">
      <c r="C497" s="11"/>
    </row>
    <row r="498" spans="3:3" x14ac:dyDescent="0.2">
      <c r="C498" s="11"/>
    </row>
    <row r="499" spans="3:3" x14ac:dyDescent="0.2">
      <c r="C499" s="11"/>
    </row>
    <row r="500" spans="3:3" x14ac:dyDescent="0.2">
      <c r="C500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2096-9A9D-5649-93B0-9E1A9AE6E141}">
  <dimension ref="A1:A366"/>
  <sheetViews>
    <sheetView workbookViewId="0"/>
  </sheetViews>
  <sheetFormatPr baseColWidth="10" defaultRowHeight="16" x14ac:dyDescent="0.2"/>
  <sheetData>
    <row r="1" spans="1:1" x14ac:dyDescent="0.2">
      <c r="A1" s="70">
        <v>45292</v>
      </c>
    </row>
    <row r="2" spans="1:1" x14ac:dyDescent="0.2">
      <c r="A2" s="70">
        <v>45299</v>
      </c>
    </row>
    <row r="3" spans="1:1" x14ac:dyDescent="0.2">
      <c r="A3" s="70">
        <v>45306</v>
      </c>
    </row>
    <row r="4" spans="1:1" x14ac:dyDescent="0.2">
      <c r="A4" s="70">
        <v>45313</v>
      </c>
    </row>
    <row r="5" spans="1:1" x14ac:dyDescent="0.2">
      <c r="A5" s="70">
        <v>45320</v>
      </c>
    </row>
    <row r="6" spans="1:1" x14ac:dyDescent="0.2">
      <c r="A6" s="70">
        <v>45327</v>
      </c>
    </row>
    <row r="7" spans="1:1" x14ac:dyDescent="0.2">
      <c r="A7" s="70">
        <v>45334</v>
      </c>
    </row>
    <row r="8" spans="1:1" x14ac:dyDescent="0.2">
      <c r="A8" s="70">
        <v>45341</v>
      </c>
    </row>
    <row r="9" spans="1:1" x14ac:dyDescent="0.2">
      <c r="A9" s="70">
        <v>45348</v>
      </c>
    </row>
    <row r="10" spans="1:1" x14ac:dyDescent="0.2">
      <c r="A10" s="70">
        <v>45355</v>
      </c>
    </row>
    <row r="11" spans="1:1" x14ac:dyDescent="0.2">
      <c r="A11" s="70">
        <v>45362</v>
      </c>
    </row>
    <row r="12" spans="1:1" x14ac:dyDescent="0.2">
      <c r="A12" s="70">
        <v>45369</v>
      </c>
    </row>
    <row r="13" spans="1:1" x14ac:dyDescent="0.2">
      <c r="A13" s="70">
        <v>45376</v>
      </c>
    </row>
    <row r="14" spans="1:1" x14ac:dyDescent="0.2">
      <c r="A14" s="70">
        <v>45383</v>
      </c>
    </row>
    <row r="15" spans="1:1" x14ac:dyDescent="0.2">
      <c r="A15" s="70">
        <v>45390</v>
      </c>
    </row>
    <row r="16" spans="1:1" x14ac:dyDescent="0.2">
      <c r="A16" s="70">
        <v>45397</v>
      </c>
    </row>
    <row r="17" spans="1:1" x14ac:dyDescent="0.2">
      <c r="A17" s="70">
        <v>45404</v>
      </c>
    </row>
    <row r="18" spans="1:1" x14ac:dyDescent="0.2">
      <c r="A18" s="70">
        <v>45411</v>
      </c>
    </row>
    <row r="19" spans="1:1" x14ac:dyDescent="0.2">
      <c r="A19" s="70">
        <v>45418</v>
      </c>
    </row>
    <row r="20" spans="1:1" x14ac:dyDescent="0.2">
      <c r="A20" s="70">
        <v>45425</v>
      </c>
    </row>
    <row r="21" spans="1:1" x14ac:dyDescent="0.2">
      <c r="A21" s="70">
        <v>45432</v>
      </c>
    </row>
    <row r="22" spans="1:1" x14ac:dyDescent="0.2">
      <c r="A22" s="70">
        <v>45439</v>
      </c>
    </row>
    <row r="23" spans="1:1" x14ac:dyDescent="0.2">
      <c r="A23" s="70">
        <v>45446</v>
      </c>
    </row>
    <row r="24" spans="1:1" x14ac:dyDescent="0.2">
      <c r="A24" s="70">
        <v>45453</v>
      </c>
    </row>
    <row r="25" spans="1:1" x14ac:dyDescent="0.2">
      <c r="A25" s="70">
        <v>45460</v>
      </c>
    </row>
    <row r="26" spans="1:1" x14ac:dyDescent="0.2">
      <c r="A26" s="70">
        <v>45467</v>
      </c>
    </row>
    <row r="27" spans="1:1" x14ac:dyDescent="0.2">
      <c r="A27" s="70">
        <v>45474</v>
      </c>
    </row>
    <row r="28" spans="1:1" x14ac:dyDescent="0.2">
      <c r="A28" s="70">
        <v>45481</v>
      </c>
    </row>
    <row r="29" spans="1:1" x14ac:dyDescent="0.2">
      <c r="A29" s="70">
        <v>45488</v>
      </c>
    </row>
    <row r="30" spans="1:1" x14ac:dyDescent="0.2">
      <c r="A30" s="70">
        <v>45495</v>
      </c>
    </row>
    <row r="31" spans="1:1" x14ac:dyDescent="0.2">
      <c r="A31" s="70">
        <v>45502</v>
      </c>
    </row>
    <row r="32" spans="1:1" x14ac:dyDescent="0.2">
      <c r="A32" s="70">
        <v>45509</v>
      </c>
    </row>
    <row r="33" spans="1:1" x14ac:dyDescent="0.2">
      <c r="A33" s="70">
        <v>45516</v>
      </c>
    </row>
    <row r="34" spans="1:1" x14ac:dyDescent="0.2">
      <c r="A34" s="70">
        <v>45523</v>
      </c>
    </row>
    <row r="35" spans="1:1" x14ac:dyDescent="0.2">
      <c r="A35" s="70">
        <v>45530</v>
      </c>
    </row>
    <row r="36" spans="1:1" x14ac:dyDescent="0.2">
      <c r="A36" s="70">
        <v>45537</v>
      </c>
    </row>
    <row r="37" spans="1:1" x14ac:dyDescent="0.2">
      <c r="A37" s="70">
        <v>45544</v>
      </c>
    </row>
    <row r="38" spans="1:1" x14ac:dyDescent="0.2">
      <c r="A38" s="70">
        <v>45551</v>
      </c>
    </row>
    <row r="39" spans="1:1" x14ac:dyDescent="0.2">
      <c r="A39" s="70">
        <v>45558</v>
      </c>
    </row>
    <row r="40" spans="1:1" x14ac:dyDescent="0.2">
      <c r="A40" s="70">
        <v>45565</v>
      </c>
    </row>
    <row r="41" spans="1:1" x14ac:dyDescent="0.2">
      <c r="A41" s="70">
        <v>45572</v>
      </c>
    </row>
    <row r="42" spans="1:1" x14ac:dyDescent="0.2">
      <c r="A42" s="70">
        <v>45579</v>
      </c>
    </row>
    <row r="43" spans="1:1" x14ac:dyDescent="0.2">
      <c r="A43" s="70">
        <v>45586</v>
      </c>
    </row>
    <row r="44" spans="1:1" x14ac:dyDescent="0.2">
      <c r="A44" s="70">
        <v>45593</v>
      </c>
    </row>
    <row r="45" spans="1:1" x14ac:dyDescent="0.2">
      <c r="A45" s="70">
        <v>45600</v>
      </c>
    </row>
    <row r="46" spans="1:1" x14ac:dyDescent="0.2">
      <c r="A46" s="70">
        <v>45607</v>
      </c>
    </row>
    <row r="47" spans="1:1" x14ac:dyDescent="0.2">
      <c r="A47" s="70">
        <v>45614</v>
      </c>
    </row>
    <row r="48" spans="1:1" x14ac:dyDescent="0.2">
      <c r="A48" s="70">
        <v>45621</v>
      </c>
    </row>
    <row r="49" spans="1:1" x14ac:dyDescent="0.2">
      <c r="A49" s="70">
        <v>45628</v>
      </c>
    </row>
    <row r="50" spans="1:1" x14ac:dyDescent="0.2">
      <c r="A50" s="70">
        <v>45635</v>
      </c>
    </row>
    <row r="51" spans="1:1" x14ac:dyDescent="0.2">
      <c r="A51" s="70">
        <v>45642</v>
      </c>
    </row>
    <row r="52" spans="1:1" x14ac:dyDescent="0.2">
      <c r="A52" s="70">
        <v>45649</v>
      </c>
    </row>
    <row r="53" spans="1:1" x14ac:dyDescent="0.2">
      <c r="A53" s="70">
        <v>45656</v>
      </c>
    </row>
    <row r="54" spans="1:1" x14ac:dyDescent="0.2">
      <c r="A54" s="70">
        <v>45663</v>
      </c>
    </row>
    <row r="55" spans="1:1" x14ac:dyDescent="0.2">
      <c r="A55" s="70">
        <v>45670</v>
      </c>
    </row>
    <row r="56" spans="1:1" x14ac:dyDescent="0.2">
      <c r="A56" s="70">
        <v>45677</v>
      </c>
    </row>
    <row r="57" spans="1:1" x14ac:dyDescent="0.2">
      <c r="A57" s="70">
        <v>45684</v>
      </c>
    </row>
    <row r="58" spans="1:1" x14ac:dyDescent="0.2">
      <c r="A58" s="70">
        <v>45691</v>
      </c>
    </row>
    <row r="59" spans="1:1" x14ac:dyDescent="0.2">
      <c r="A59" s="70">
        <v>45698</v>
      </c>
    </row>
    <row r="60" spans="1:1" x14ac:dyDescent="0.2">
      <c r="A60" s="70">
        <v>45705</v>
      </c>
    </row>
    <row r="61" spans="1:1" x14ac:dyDescent="0.2">
      <c r="A61" s="70">
        <v>45712</v>
      </c>
    </row>
    <row r="62" spans="1:1" x14ac:dyDescent="0.2">
      <c r="A62" s="70">
        <v>45719</v>
      </c>
    </row>
    <row r="63" spans="1:1" x14ac:dyDescent="0.2">
      <c r="A63" s="70">
        <v>45726</v>
      </c>
    </row>
    <row r="64" spans="1:1" x14ac:dyDescent="0.2">
      <c r="A64" s="70">
        <v>45733</v>
      </c>
    </row>
    <row r="65" spans="1:1" x14ac:dyDescent="0.2">
      <c r="A65" s="70">
        <v>45740</v>
      </c>
    </row>
    <row r="66" spans="1:1" x14ac:dyDescent="0.2">
      <c r="A66" s="70">
        <v>45747</v>
      </c>
    </row>
    <row r="67" spans="1:1" x14ac:dyDescent="0.2">
      <c r="A67" s="70">
        <v>45754</v>
      </c>
    </row>
    <row r="68" spans="1:1" x14ac:dyDescent="0.2">
      <c r="A68" s="70">
        <v>45761</v>
      </c>
    </row>
    <row r="69" spans="1:1" x14ac:dyDescent="0.2">
      <c r="A69" s="70">
        <v>45768</v>
      </c>
    </row>
    <row r="70" spans="1:1" x14ac:dyDescent="0.2">
      <c r="A70" s="70">
        <v>45775</v>
      </c>
    </row>
    <row r="71" spans="1:1" x14ac:dyDescent="0.2">
      <c r="A71" s="70">
        <v>45782</v>
      </c>
    </row>
    <row r="72" spans="1:1" x14ac:dyDescent="0.2">
      <c r="A72" s="70">
        <v>45789</v>
      </c>
    </row>
    <row r="73" spans="1:1" x14ac:dyDescent="0.2">
      <c r="A73" s="70">
        <v>45796</v>
      </c>
    </row>
    <row r="74" spans="1:1" x14ac:dyDescent="0.2">
      <c r="A74" s="70">
        <v>45803</v>
      </c>
    </row>
    <row r="75" spans="1:1" x14ac:dyDescent="0.2">
      <c r="A75" s="70">
        <v>45810</v>
      </c>
    </row>
    <row r="76" spans="1:1" x14ac:dyDescent="0.2">
      <c r="A76" s="70">
        <v>45817</v>
      </c>
    </row>
    <row r="77" spans="1:1" x14ac:dyDescent="0.2">
      <c r="A77" s="70">
        <v>45824</v>
      </c>
    </row>
    <row r="78" spans="1:1" x14ac:dyDescent="0.2">
      <c r="A78" s="70">
        <v>45831</v>
      </c>
    </row>
    <row r="79" spans="1:1" x14ac:dyDescent="0.2">
      <c r="A79" s="70">
        <v>45838</v>
      </c>
    </row>
    <row r="80" spans="1:1" x14ac:dyDescent="0.2">
      <c r="A80" s="70">
        <v>45845</v>
      </c>
    </row>
    <row r="81" spans="1:1" x14ac:dyDescent="0.2">
      <c r="A81" s="70">
        <v>45852</v>
      </c>
    </row>
    <row r="82" spans="1:1" x14ac:dyDescent="0.2">
      <c r="A82" s="70">
        <v>45859</v>
      </c>
    </row>
    <row r="83" spans="1:1" x14ac:dyDescent="0.2">
      <c r="A83" s="70">
        <v>45866</v>
      </c>
    </row>
    <row r="84" spans="1:1" x14ac:dyDescent="0.2">
      <c r="A84" s="70">
        <v>45873</v>
      </c>
    </row>
    <row r="85" spans="1:1" x14ac:dyDescent="0.2">
      <c r="A85" s="70">
        <v>45880</v>
      </c>
    </row>
    <row r="86" spans="1:1" x14ac:dyDescent="0.2">
      <c r="A86" s="70">
        <v>45887</v>
      </c>
    </row>
    <row r="87" spans="1:1" x14ac:dyDescent="0.2">
      <c r="A87" s="70">
        <v>45894</v>
      </c>
    </row>
    <row r="88" spans="1:1" x14ac:dyDescent="0.2">
      <c r="A88" s="70">
        <v>45901</v>
      </c>
    </row>
    <row r="89" spans="1:1" x14ac:dyDescent="0.2">
      <c r="A89" s="70">
        <v>45908</v>
      </c>
    </row>
    <row r="90" spans="1:1" x14ac:dyDescent="0.2">
      <c r="A90" s="70">
        <v>45915</v>
      </c>
    </row>
    <row r="91" spans="1:1" x14ac:dyDescent="0.2">
      <c r="A91" s="70">
        <v>45922</v>
      </c>
    </row>
    <row r="92" spans="1:1" x14ac:dyDescent="0.2">
      <c r="A92" s="70">
        <v>45929</v>
      </c>
    </row>
    <row r="93" spans="1:1" x14ac:dyDescent="0.2">
      <c r="A93" s="70">
        <v>45936</v>
      </c>
    </row>
    <row r="94" spans="1:1" x14ac:dyDescent="0.2">
      <c r="A94" s="70">
        <v>45943</v>
      </c>
    </row>
    <row r="95" spans="1:1" x14ac:dyDescent="0.2">
      <c r="A95" s="70">
        <v>45950</v>
      </c>
    </row>
    <row r="96" spans="1:1" x14ac:dyDescent="0.2">
      <c r="A96" s="70">
        <v>45957</v>
      </c>
    </row>
    <row r="97" spans="1:1" x14ac:dyDescent="0.2">
      <c r="A97" s="70">
        <v>45964</v>
      </c>
    </row>
    <row r="98" spans="1:1" x14ac:dyDescent="0.2">
      <c r="A98" s="70">
        <v>45971</v>
      </c>
    </row>
    <row r="99" spans="1:1" x14ac:dyDescent="0.2">
      <c r="A99" s="70">
        <v>45978</v>
      </c>
    </row>
    <row r="100" spans="1:1" x14ac:dyDescent="0.2">
      <c r="A100" s="70">
        <v>45985</v>
      </c>
    </row>
    <row r="101" spans="1:1" x14ac:dyDescent="0.2">
      <c r="A101" s="70">
        <v>45992</v>
      </c>
    </row>
    <row r="102" spans="1:1" x14ac:dyDescent="0.2">
      <c r="A102" s="70">
        <v>45999</v>
      </c>
    </row>
    <row r="103" spans="1:1" x14ac:dyDescent="0.2">
      <c r="A103" s="70">
        <v>46006</v>
      </c>
    </row>
    <row r="104" spans="1:1" x14ac:dyDescent="0.2">
      <c r="A104" s="70">
        <v>46013</v>
      </c>
    </row>
    <row r="105" spans="1:1" x14ac:dyDescent="0.2">
      <c r="A105" s="70">
        <v>46020</v>
      </c>
    </row>
    <row r="106" spans="1:1" x14ac:dyDescent="0.2">
      <c r="A106" s="70">
        <v>46027</v>
      </c>
    </row>
    <row r="107" spans="1:1" x14ac:dyDescent="0.2">
      <c r="A107" s="70">
        <v>46034</v>
      </c>
    </row>
    <row r="108" spans="1:1" x14ac:dyDescent="0.2">
      <c r="A108" s="70">
        <v>46041</v>
      </c>
    </row>
    <row r="109" spans="1:1" x14ac:dyDescent="0.2">
      <c r="A109" s="70">
        <v>46048</v>
      </c>
    </row>
    <row r="110" spans="1:1" x14ac:dyDescent="0.2">
      <c r="A110" s="70">
        <v>46055</v>
      </c>
    </row>
    <row r="111" spans="1:1" x14ac:dyDescent="0.2">
      <c r="A111" s="70">
        <v>46062</v>
      </c>
    </row>
    <row r="112" spans="1:1" x14ac:dyDescent="0.2">
      <c r="A112" s="70">
        <v>46069</v>
      </c>
    </row>
    <row r="113" spans="1:1" x14ac:dyDescent="0.2">
      <c r="A113" s="70">
        <v>46076</v>
      </c>
    </row>
    <row r="114" spans="1:1" x14ac:dyDescent="0.2">
      <c r="A114" s="70">
        <v>46083</v>
      </c>
    </row>
    <row r="115" spans="1:1" x14ac:dyDescent="0.2">
      <c r="A115" s="70">
        <v>46090</v>
      </c>
    </row>
    <row r="116" spans="1:1" x14ac:dyDescent="0.2">
      <c r="A116" s="70">
        <v>46097</v>
      </c>
    </row>
    <row r="117" spans="1:1" x14ac:dyDescent="0.2">
      <c r="A117" s="70">
        <v>46104</v>
      </c>
    </row>
    <row r="118" spans="1:1" x14ac:dyDescent="0.2">
      <c r="A118" s="70">
        <v>46111</v>
      </c>
    </row>
    <row r="119" spans="1:1" x14ac:dyDescent="0.2">
      <c r="A119" s="70">
        <v>46118</v>
      </c>
    </row>
    <row r="120" spans="1:1" x14ac:dyDescent="0.2">
      <c r="A120" s="70">
        <v>46125</v>
      </c>
    </row>
    <row r="121" spans="1:1" x14ac:dyDescent="0.2">
      <c r="A121" s="70">
        <v>46132</v>
      </c>
    </row>
    <row r="122" spans="1:1" x14ac:dyDescent="0.2">
      <c r="A122" s="70">
        <v>46139</v>
      </c>
    </row>
    <row r="123" spans="1:1" x14ac:dyDescent="0.2">
      <c r="A123" s="70">
        <v>46146</v>
      </c>
    </row>
    <row r="124" spans="1:1" x14ac:dyDescent="0.2">
      <c r="A124" s="70">
        <v>46153</v>
      </c>
    </row>
    <row r="125" spans="1:1" x14ac:dyDescent="0.2">
      <c r="A125" s="70">
        <v>46160</v>
      </c>
    </row>
    <row r="126" spans="1:1" x14ac:dyDescent="0.2">
      <c r="A126" s="70">
        <v>46167</v>
      </c>
    </row>
    <row r="127" spans="1:1" x14ac:dyDescent="0.2">
      <c r="A127" s="70">
        <v>46174</v>
      </c>
    </row>
    <row r="128" spans="1:1" x14ac:dyDescent="0.2">
      <c r="A128" s="70">
        <v>46181</v>
      </c>
    </row>
    <row r="129" spans="1:1" x14ac:dyDescent="0.2">
      <c r="A129" s="70">
        <v>46188</v>
      </c>
    </row>
    <row r="130" spans="1:1" x14ac:dyDescent="0.2">
      <c r="A130" s="70">
        <v>46195</v>
      </c>
    </row>
    <row r="131" spans="1:1" x14ac:dyDescent="0.2">
      <c r="A131" s="70">
        <v>46202</v>
      </c>
    </row>
    <row r="132" spans="1:1" x14ac:dyDescent="0.2">
      <c r="A132" s="70">
        <v>46209</v>
      </c>
    </row>
    <row r="133" spans="1:1" x14ac:dyDescent="0.2">
      <c r="A133" s="70">
        <v>46216</v>
      </c>
    </row>
    <row r="134" spans="1:1" x14ac:dyDescent="0.2">
      <c r="A134" s="70">
        <v>46223</v>
      </c>
    </row>
    <row r="135" spans="1:1" x14ac:dyDescent="0.2">
      <c r="A135" s="70">
        <v>46230</v>
      </c>
    </row>
    <row r="136" spans="1:1" x14ac:dyDescent="0.2">
      <c r="A136" s="70">
        <v>46237</v>
      </c>
    </row>
    <row r="137" spans="1:1" x14ac:dyDescent="0.2">
      <c r="A137" s="70">
        <v>46244</v>
      </c>
    </row>
    <row r="138" spans="1:1" x14ac:dyDescent="0.2">
      <c r="A138" s="70">
        <v>46251</v>
      </c>
    </row>
    <row r="139" spans="1:1" x14ac:dyDescent="0.2">
      <c r="A139" s="70">
        <v>46258</v>
      </c>
    </row>
    <row r="140" spans="1:1" x14ac:dyDescent="0.2">
      <c r="A140" s="70">
        <v>46265</v>
      </c>
    </row>
    <row r="141" spans="1:1" x14ac:dyDescent="0.2">
      <c r="A141" s="70">
        <v>46272</v>
      </c>
    </row>
    <row r="142" spans="1:1" x14ac:dyDescent="0.2">
      <c r="A142" s="70">
        <v>46279</v>
      </c>
    </row>
    <row r="143" spans="1:1" x14ac:dyDescent="0.2">
      <c r="A143" s="70">
        <v>46286</v>
      </c>
    </row>
    <row r="144" spans="1:1" x14ac:dyDescent="0.2">
      <c r="A144" s="70">
        <v>46293</v>
      </c>
    </row>
    <row r="145" spans="1:1" x14ac:dyDescent="0.2">
      <c r="A145" s="70">
        <v>46300</v>
      </c>
    </row>
    <row r="146" spans="1:1" x14ac:dyDescent="0.2">
      <c r="A146" s="70">
        <v>46307</v>
      </c>
    </row>
    <row r="147" spans="1:1" x14ac:dyDescent="0.2">
      <c r="A147" s="70">
        <v>46314</v>
      </c>
    </row>
    <row r="148" spans="1:1" x14ac:dyDescent="0.2">
      <c r="A148" s="70">
        <v>46321</v>
      </c>
    </row>
    <row r="149" spans="1:1" x14ac:dyDescent="0.2">
      <c r="A149" s="70">
        <v>46328</v>
      </c>
    </row>
    <row r="150" spans="1:1" x14ac:dyDescent="0.2">
      <c r="A150" s="70">
        <v>46335</v>
      </c>
    </row>
    <row r="151" spans="1:1" x14ac:dyDescent="0.2">
      <c r="A151" s="70">
        <v>46342</v>
      </c>
    </row>
    <row r="152" spans="1:1" x14ac:dyDescent="0.2">
      <c r="A152" s="70">
        <v>46349</v>
      </c>
    </row>
    <row r="153" spans="1:1" x14ac:dyDescent="0.2">
      <c r="A153" s="70">
        <v>46356</v>
      </c>
    </row>
    <row r="154" spans="1:1" x14ac:dyDescent="0.2">
      <c r="A154" s="70">
        <v>46363</v>
      </c>
    </row>
    <row r="155" spans="1:1" x14ac:dyDescent="0.2">
      <c r="A155" s="70">
        <v>46370</v>
      </c>
    </row>
    <row r="156" spans="1:1" x14ac:dyDescent="0.2">
      <c r="A156" s="70">
        <v>46377</v>
      </c>
    </row>
    <row r="157" spans="1:1" x14ac:dyDescent="0.2">
      <c r="A157" s="70">
        <v>46384</v>
      </c>
    </row>
    <row r="158" spans="1:1" x14ac:dyDescent="0.2">
      <c r="A158" s="70">
        <v>46391</v>
      </c>
    </row>
    <row r="159" spans="1:1" x14ac:dyDescent="0.2">
      <c r="A159" s="70">
        <v>46398</v>
      </c>
    </row>
    <row r="160" spans="1:1" x14ac:dyDescent="0.2">
      <c r="A160" s="70">
        <v>46405</v>
      </c>
    </row>
    <row r="161" spans="1:1" x14ac:dyDescent="0.2">
      <c r="A161" s="70">
        <v>46412</v>
      </c>
    </row>
    <row r="162" spans="1:1" x14ac:dyDescent="0.2">
      <c r="A162" s="70">
        <v>46419</v>
      </c>
    </row>
    <row r="163" spans="1:1" x14ac:dyDescent="0.2">
      <c r="A163" s="70">
        <v>46426</v>
      </c>
    </row>
    <row r="164" spans="1:1" x14ac:dyDescent="0.2">
      <c r="A164" s="70">
        <v>46433</v>
      </c>
    </row>
    <row r="165" spans="1:1" x14ac:dyDescent="0.2">
      <c r="A165" s="70">
        <v>46440</v>
      </c>
    </row>
    <row r="166" spans="1:1" x14ac:dyDescent="0.2">
      <c r="A166" s="70">
        <v>46447</v>
      </c>
    </row>
    <row r="167" spans="1:1" x14ac:dyDescent="0.2">
      <c r="A167" s="70">
        <v>46454</v>
      </c>
    </row>
    <row r="168" spans="1:1" x14ac:dyDescent="0.2">
      <c r="A168" s="70">
        <v>46461</v>
      </c>
    </row>
    <row r="169" spans="1:1" x14ac:dyDescent="0.2">
      <c r="A169" s="70">
        <v>46468</v>
      </c>
    </row>
    <row r="170" spans="1:1" x14ac:dyDescent="0.2">
      <c r="A170" s="70">
        <v>46475</v>
      </c>
    </row>
    <row r="171" spans="1:1" x14ac:dyDescent="0.2">
      <c r="A171" s="70">
        <v>46482</v>
      </c>
    </row>
    <row r="172" spans="1:1" x14ac:dyDescent="0.2">
      <c r="A172" s="70">
        <v>46489</v>
      </c>
    </row>
    <row r="173" spans="1:1" x14ac:dyDescent="0.2">
      <c r="A173" s="70">
        <v>46496</v>
      </c>
    </row>
    <row r="174" spans="1:1" x14ac:dyDescent="0.2">
      <c r="A174" s="70">
        <v>46503</v>
      </c>
    </row>
    <row r="175" spans="1:1" x14ac:dyDescent="0.2">
      <c r="A175" s="70">
        <v>46510</v>
      </c>
    </row>
    <row r="176" spans="1:1" x14ac:dyDescent="0.2">
      <c r="A176" s="70">
        <v>46517</v>
      </c>
    </row>
    <row r="177" spans="1:1" x14ac:dyDescent="0.2">
      <c r="A177" s="70">
        <v>46524</v>
      </c>
    </row>
    <row r="178" spans="1:1" x14ac:dyDescent="0.2">
      <c r="A178" s="70">
        <v>46531</v>
      </c>
    </row>
    <row r="179" spans="1:1" x14ac:dyDescent="0.2">
      <c r="A179" s="70">
        <v>46538</v>
      </c>
    </row>
    <row r="180" spans="1:1" x14ac:dyDescent="0.2">
      <c r="A180" s="70">
        <v>46545</v>
      </c>
    </row>
    <row r="181" spans="1:1" x14ac:dyDescent="0.2">
      <c r="A181" s="70">
        <v>46552</v>
      </c>
    </row>
    <row r="182" spans="1:1" x14ac:dyDescent="0.2">
      <c r="A182" s="70">
        <v>46559</v>
      </c>
    </row>
    <row r="183" spans="1:1" x14ac:dyDescent="0.2">
      <c r="A183" s="70">
        <v>46566</v>
      </c>
    </row>
    <row r="184" spans="1:1" x14ac:dyDescent="0.2">
      <c r="A184" s="70">
        <v>46573</v>
      </c>
    </row>
    <row r="185" spans="1:1" x14ac:dyDescent="0.2">
      <c r="A185" s="70">
        <v>46580</v>
      </c>
    </row>
    <row r="186" spans="1:1" x14ac:dyDescent="0.2">
      <c r="A186" s="70">
        <v>46587</v>
      </c>
    </row>
    <row r="187" spans="1:1" x14ac:dyDescent="0.2">
      <c r="A187" s="70">
        <v>46594</v>
      </c>
    </row>
    <row r="188" spans="1:1" x14ac:dyDescent="0.2">
      <c r="A188" s="70">
        <v>46601</v>
      </c>
    </row>
    <row r="189" spans="1:1" x14ac:dyDescent="0.2">
      <c r="A189" s="70">
        <v>46608</v>
      </c>
    </row>
    <row r="190" spans="1:1" x14ac:dyDescent="0.2">
      <c r="A190" s="70">
        <v>46615</v>
      </c>
    </row>
    <row r="191" spans="1:1" x14ac:dyDescent="0.2">
      <c r="A191" s="70">
        <v>46622</v>
      </c>
    </row>
    <row r="192" spans="1:1" x14ac:dyDescent="0.2">
      <c r="A192" s="70">
        <v>46629</v>
      </c>
    </row>
    <row r="193" spans="1:1" x14ac:dyDescent="0.2">
      <c r="A193" s="70">
        <v>46636</v>
      </c>
    </row>
    <row r="194" spans="1:1" x14ac:dyDescent="0.2">
      <c r="A194" s="70">
        <v>46643</v>
      </c>
    </row>
    <row r="195" spans="1:1" x14ac:dyDescent="0.2">
      <c r="A195" s="70">
        <v>46650</v>
      </c>
    </row>
    <row r="196" spans="1:1" x14ac:dyDescent="0.2">
      <c r="A196" s="70">
        <v>46657</v>
      </c>
    </row>
    <row r="197" spans="1:1" x14ac:dyDescent="0.2">
      <c r="A197" s="70">
        <v>46664</v>
      </c>
    </row>
    <row r="198" spans="1:1" x14ac:dyDescent="0.2">
      <c r="A198" s="70">
        <v>46671</v>
      </c>
    </row>
    <row r="199" spans="1:1" x14ac:dyDescent="0.2">
      <c r="A199" s="70">
        <v>46678</v>
      </c>
    </row>
    <row r="200" spans="1:1" x14ac:dyDescent="0.2">
      <c r="A200" s="70">
        <v>46685</v>
      </c>
    </row>
    <row r="201" spans="1:1" x14ac:dyDescent="0.2">
      <c r="A201" s="70">
        <v>46692</v>
      </c>
    </row>
    <row r="202" spans="1:1" x14ac:dyDescent="0.2">
      <c r="A202" s="70">
        <v>46699</v>
      </c>
    </row>
    <row r="203" spans="1:1" x14ac:dyDescent="0.2">
      <c r="A203" s="70">
        <v>46706</v>
      </c>
    </row>
    <row r="204" spans="1:1" x14ac:dyDescent="0.2">
      <c r="A204" s="70">
        <v>46713</v>
      </c>
    </row>
    <row r="205" spans="1:1" x14ac:dyDescent="0.2">
      <c r="A205" s="70">
        <v>46720</v>
      </c>
    </row>
    <row r="206" spans="1:1" x14ac:dyDescent="0.2">
      <c r="A206" s="70">
        <v>46727</v>
      </c>
    </row>
    <row r="207" spans="1:1" x14ac:dyDescent="0.2">
      <c r="A207" s="70">
        <v>46734</v>
      </c>
    </row>
    <row r="208" spans="1:1" x14ac:dyDescent="0.2">
      <c r="A208" s="70">
        <v>46741</v>
      </c>
    </row>
    <row r="209" spans="1:1" x14ac:dyDescent="0.2">
      <c r="A209" s="70">
        <v>46748</v>
      </c>
    </row>
    <row r="210" spans="1:1" x14ac:dyDescent="0.2">
      <c r="A210" s="70">
        <v>46755</v>
      </c>
    </row>
    <row r="211" spans="1:1" x14ac:dyDescent="0.2">
      <c r="A211" s="70">
        <v>46762</v>
      </c>
    </row>
    <row r="212" spans="1:1" x14ac:dyDescent="0.2">
      <c r="A212" s="70">
        <v>46769</v>
      </c>
    </row>
    <row r="213" spans="1:1" x14ac:dyDescent="0.2">
      <c r="A213" s="70">
        <v>46776</v>
      </c>
    </row>
    <row r="214" spans="1:1" x14ac:dyDescent="0.2">
      <c r="A214" s="70">
        <v>46783</v>
      </c>
    </row>
    <row r="215" spans="1:1" x14ac:dyDescent="0.2">
      <c r="A215" s="70">
        <v>46790</v>
      </c>
    </row>
    <row r="216" spans="1:1" x14ac:dyDescent="0.2">
      <c r="A216" s="70">
        <v>46797</v>
      </c>
    </row>
    <row r="217" spans="1:1" x14ac:dyDescent="0.2">
      <c r="A217" s="70">
        <v>46804</v>
      </c>
    </row>
    <row r="218" spans="1:1" x14ac:dyDescent="0.2">
      <c r="A218" s="70">
        <v>46811</v>
      </c>
    </row>
    <row r="219" spans="1:1" x14ac:dyDescent="0.2">
      <c r="A219" s="70">
        <v>46818</v>
      </c>
    </row>
    <row r="220" spans="1:1" x14ac:dyDescent="0.2">
      <c r="A220" s="70">
        <v>46825</v>
      </c>
    </row>
    <row r="221" spans="1:1" x14ac:dyDescent="0.2">
      <c r="A221" s="70">
        <v>46832</v>
      </c>
    </row>
    <row r="222" spans="1:1" x14ac:dyDescent="0.2">
      <c r="A222" s="70">
        <v>46839</v>
      </c>
    </row>
    <row r="223" spans="1:1" x14ac:dyDescent="0.2">
      <c r="A223" s="70">
        <v>46846</v>
      </c>
    </row>
    <row r="224" spans="1:1" x14ac:dyDescent="0.2">
      <c r="A224" s="70">
        <v>46853</v>
      </c>
    </row>
    <row r="225" spans="1:1" x14ac:dyDescent="0.2">
      <c r="A225" s="70">
        <v>46860</v>
      </c>
    </row>
    <row r="226" spans="1:1" x14ac:dyDescent="0.2">
      <c r="A226" s="70">
        <v>46867</v>
      </c>
    </row>
    <row r="227" spans="1:1" x14ac:dyDescent="0.2">
      <c r="A227" s="70">
        <v>46874</v>
      </c>
    </row>
    <row r="228" spans="1:1" x14ac:dyDescent="0.2">
      <c r="A228" s="70">
        <v>46881</v>
      </c>
    </row>
    <row r="229" spans="1:1" x14ac:dyDescent="0.2">
      <c r="A229" s="70">
        <v>46888</v>
      </c>
    </row>
    <row r="230" spans="1:1" x14ac:dyDescent="0.2">
      <c r="A230" s="70">
        <v>46895</v>
      </c>
    </row>
    <row r="231" spans="1:1" x14ac:dyDescent="0.2">
      <c r="A231" s="70">
        <v>46902</v>
      </c>
    </row>
    <row r="232" spans="1:1" x14ac:dyDescent="0.2">
      <c r="A232" s="70">
        <v>46909</v>
      </c>
    </row>
    <row r="233" spans="1:1" x14ac:dyDescent="0.2">
      <c r="A233" s="70">
        <v>46916</v>
      </c>
    </row>
    <row r="234" spans="1:1" x14ac:dyDescent="0.2">
      <c r="A234" s="70">
        <v>46923</v>
      </c>
    </row>
    <row r="235" spans="1:1" x14ac:dyDescent="0.2">
      <c r="A235" s="70">
        <v>46930</v>
      </c>
    </row>
    <row r="236" spans="1:1" x14ac:dyDescent="0.2">
      <c r="A236" s="70">
        <v>46937</v>
      </c>
    </row>
    <row r="237" spans="1:1" x14ac:dyDescent="0.2">
      <c r="A237" s="70">
        <v>46944</v>
      </c>
    </row>
    <row r="238" spans="1:1" x14ac:dyDescent="0.2">
      <c r="A238" s="70">
        <v>46951</v>
      </c>
    </row>
    <row r="239" spans="1:1" x14ac:dyDescent="0.2">
      <c r="A239" s="70">
        <v>46958</v>
      </c>
    </row>
    <row r="240" spans="1:1" x14ac:dyDescent="0.2">
      <c r="A240" s="70">
        <v>46965</v>
      </c>
    </row>
    <row r="241" spans="1:1" x14ac:dyDescent="0.2">
      <c r="A241" s="70">
        <v>46972</v>
      </c>
    </row>
    <row r="242" spans="1:1" x14ac:dyDescent="0.2">
      <c r="A242" s="70">
        <v>46979</v>
      </c>
    </row>
    <row r="243" spans="1:1" x14ac:dyDescent="0.2">
      <c r="A243" s="70">
        <v>46986</v>
      </c>
    </row>
    <row r="244" spans="1:1" x14ac:dyDescent="0.2">
      <c r="A244" s="70">
        <v>46993</v>
      </c>
    </row>
    <row r="245" spans="1:1" x14ac:dyDescent="0.2">
      <c r="A245" s="70">
        <v>47000</v>
      </c>
    </row>
    <row r="246" spans="1:1" x14ac:dyDescent="0.2">
      <c r="A246" s="70">
        <v>47007</v>
      </c>
    </row>
    <row r="247" spans="1:1" x14ac:dyDescent="0.2">
      <c r="A247" s="70">
        <v>47014</v>
      </c>
    </row>
    <row r="248" spans="1:1" x14ac:dyDescent="0.2">
      <c r="A248" s="70">
        <v>47021</v>
      </c>
    </row>
    <row r="249" spans="1:1" x14ac:dyDescent="0.2">
      <c r="A249" s="70">
        <v>47028</v>
      </c>
    </row>
    <row r="250" spans="1:1" x14ac:dyDescent="0.2">
      <c r="A250" s="70">
        <v>47035</v>
      </c>
    </row>
    <row r="251" spans="1:1" x14ac:dyDescent="0.2">
      <c r="A251" s="70">
        <v>47042</v>
      </c>
    </row>
    <row r="252" spans="1:1" x14ac:dyDescent="0.2">
      <c r="A252" s="70">
        <v>47049</v>
      </c>
    </row>
    <row r="253" spans="1:1" x14ac:dyDescent="0.2">
      <c r="A253" s="70">
        <v>47056</v>
      </c>
    </row>
    <row r="254" spans="1:1" x14ac:dyDescent="0.2">
      <c r="A254" s="70">
        <v>47063</v>
      </c>
    </row>
    <row r="255" spans="1:1" x14ac:dyDescent="0.2">
      <c r="A255" s="70">
        <v>47070</v>
      </c>
    </row>
    <row r="256" spans="1:1" x14ac:dyDescent="0.2">
      <c r="A256" s="70">
        <v>47077</v>
      </c>
    </row>
    <row r="257" spans="1:1" x14ac:dyDescent="0.2">
      <c r="A257" s="70">
        <v>47084</v>
      </c>
    </row>
    <row r="258" spans="1:1" x14ac:dyDescent="0.2">
      <c r="A258" s="70">
        <v>47091</v>
      </c>
    </row>
    <row r="259" spans="1:1" x14ac:dyDescent="0.2">
      <c r="A259" s="70">
        <v>47098</v>
      </c>
    </row>
    <row r="260" spans="1:1" x14ac:dyDescent="0.2">
      <c r="A260" s="70">
        <v>47105</v>
      </c>
    </row>
    <row r="261" spans="1:1" x14ac:dyDescent="0.2">
      <c r="A261" s="70">
        <v>47112</v>
      </c>
    </row>
    <row r="262" spans="1:1" x14ac:dyDescent="0.2">
      <c r="A262" s="70">
        <v>47119</v>
      </c>
    </row>
    <row r="263" spans="1:1" x14ac:dyDescent="0.2">
      <c r="A263" s="70">
        <v>47126</v>
      </c>
    </row>
    <row r="264" spans="1:1" x14ac:dyDescent="0.2">
      <c r="A264" s="70">
        <v>47133</v>
      </c>
    </row>
    <row r="265" spans="1:1" x14ac:dyDescent="0.2">
      <c r="A265" s="70">
        <v>47140</v>
      </c>
    </row>
    <row r="266" spans="1:1" x14ac:dyDescent="0.2">
      <c r="A266" s="70">
        <v>47147</v>
      </c>
    </row>
    <row r="267" spans="1:1" x14ac:dyDescent="0.2">
      <c r="A267" s="70">
        <v>47154</v>
      </c>
    </row>
    <row r="268" spans="1:1" x14ac:dyDescent="0.2">
      <c r="A268" s="70">
        <v>47161</v>
      </c>
    </row>
    <row r="269" spans="1:1" x14ac:dyDescent="0.2">
      <c r="A269" s="70">
        <v>47168</v>
      </c>
    </row>
    <row r="270" spans="1:1" x14ac:dyDescent="0.2">
      <c r="A270" s="70">
        <v>47175</v>
      </c>
    </row>
    <row r="271" spans="1:1" x14ac:dyDescent="0.2">
      <c r="A271" s="70">
        <v>47182</v>
      </c>
    </row>
    <row r="272" spans="1:1" x14ac:dyDescent="0.2">
      <c r="A272" s="70">
        <v>47189</v>
      </c>
    </row>
    <row r="273" spans="1:1" x14ac:dyDescent="0.2">
      <c r="A273" s="70">
        <v>47196</v>
      </c>
    </row>
    <row r="274" spans="1:1" x14ac:dyDescent="0.2">
      <c r="A274" s="70">
        <v>47203</v>
      </c>
    </row>
    <row r="275" spans="1:1" x14ac:dyDescent="0.2">
      <c r="A275" s="70">
        <v>47210</v>
      </c>
    </row>
    <row r="276" spans="1:1" x14ac:dyDescent="0.2">
      <c r="A276" s="70">
        <v>47217</v>
      </c>
    </row>
    <row r="277" spans="1:1" x14ac:dyDescent="0.2">
      <c r="A277" s="70">
        <v>47224</v>
      </c>
    </row>
    <row r="278" spans="1:1" x14ac:dyDescent="0.2">
      <c r="A278" s="70">
        <v>47231</v>
      </c>
    </row>
    <row r="279" spans="1:1" x14ac:dyDescent="0.2">
      <c r="A279" s="70">
        <v>47238</v>
      </c>
    </row>
    <row r="280" spans="1:1" x14ac:dyDescent="0.2">
      <c r="A280" s="70">
        <v>47245</v>
      </c>
    </row>
    <row r="281" spans="1:1" x14ac:dyDescent="0.2">
      <c r="A281" s="70">
        <v>47252</v>
      </c>
    </row>
    <row r="282" spans="1:1" x14ac:dyDescent="0.2">
      <c r="A282" s="70">
        <v>47259</v>
      </c>
    </row>
    <row r="283" spans="1:1" x14ac:dyDescent="0.2">
      <c r="A283" s="70">
        <v>47266</v>
      </c>
    </row>
    <row r="284" spans="1:1" x14ac:dyDescent="0.2">
      <c r="A284" s="70">
        <v>47273</v>
      </c>
    </row>
    <row r="285" spans="1:1" x14ac:dyDescent="0.2">
      <c r="A285" s="70">
        <v>47280</v>
      </c>
    </row>
    <row r="286" spans="1:1" x14ac:dyDescent="0.2">
      <c r="A286" s="70">
        <v>47287</v>
      </c>
    </row>
    <row r="287" spans="1:1" x14ac:dyDescent="0.2">
      <c r="A287" s="70">
        <v>47294</v>
      </c>
    </row>
    <row r="288" spans="1:1" x14ac:dyDescent="0.2">
      <c r="A288" s="70">
        <v>47301</v>
      </c>
    </row>
    <row r="289" spans="1:1" x14ac:dyDescent="0.2">
      <c r="A289" s="70">
        <v>47308</v>
      </c>
    </row>
    <row r="290" spans="1:1" x14ac:dyDescent="0.2">
      <c r="A290" s="70">
        <v>47315</v>
      </c>
    </row>
    <row r="291" spans="1:1" x14ac:dyDescent="0.2">
      <c r="A291" s="70">
        <v>47322</v>
      </c>
    </row>
    <row r="292" spans="1:1" x14ac:dyDescent="0.2">
      <c r="A292" s="70">
        <v>47329</v>
      </c>
    </row>
    <row r="293" spans="1:1" x14ac:dyDescent="0.2">
      <c r="A293" s="70">
        <v>47336</v>
      </c>
    </row>
    <row r="294" spans="1:1" x14ac:dyDescent="0.2">
      <c r="A294" s="70">
        <v>47343</v>
      </c>
    </row>
    <row r="295" spans="1:1" x14ac:dyDescent="0.2">
      <c r="A295" s="70">
        <v>47350</v>
      </c>
    </row>
    <row r="296" spans="1:1" x14ac:dyDescent="0.2">
      <c r="A296" s="70">
        <v>47357</v>
      </c>
    </row>
    <row r="297" spans="1:1" x14ac:dyDescent="0.2">
      <c r="A297" s="70">
        <v>47364</v>
      </c>
    </row>
    <row r="298" spans="1:1" x14ac:dyDescent="0.2">
      <c r="A298" s="70">
        <v>47371</v>
      </c>
    </row>
    <row r="299" spans="1:1" x14ac:dyDescent="0.2">
      <c r="A299" s="70">
        <v>47378</v>
      </c>
    </row>
    <row r="300" spans="1:1" x14ac:dyDescent="0.2">
      <c r="A300" s="70">
        <v>47385</v>
      </c>
    </row>
    <row r="301" spans="1:1" x14ac:dyDescent="0.2">
      <c r="A301" s="70">
        <v>47392</v>
      </c>
    </row>
    <row r="302" spans="1:1" x14ac:dyDescent="0.2">
      <c r="A302" s="70">
        <v>47399</v>
      </c>
    </row>
    <row r="303" spans="1:1" x14ac:dyDescent="0.2">
      <c r="A303" s="70">
        <v>47406</v>
      </c>
    </row>
    <row r="304" spans="1:1" x14ac:dyDescent="0.2">
      <c r="A304" s="70">
        <v>47413</v>
      </c>
    </row>
    <row r="305" spans="1:1" x14ac:dyDescent="0.2">
      <c r="A305" s="70">
        <v>47420</v>
      </c>
    </row>
    <row r="306" spans="1:1" x14ac:dyDescent="0.2">
      <c r="A306" s="70">
        <v>47427</v>
      </c>
    </row>
    <row r="307" spans="1:1" x14ac:dyDescent="0.2">
      <c r="A307" s="70">
        <v>47434</v>
      </c>
    </row>
    <row r="308" spans="1:1" x14ac:dyDescent="0.2">
      <c r="A308" s="70">
        <v>47441</v>
      </c>
    </row>
    <row r="309" spans="1:1" x14ac:dyDescent="0.2">
      <c r="A309" s="70">
        <v>47448</v>
      </c>
    </row>
    <row r="310" spans="1:1" x14ac:dyDescent="0.2">
      <c r="A310" s="70">
        <v>47455</v>
      </c>
    </row>
    <row r="311" spans="1:1" x14ac:dyDescent="0.2">
      <c r="A311" s="70">
        <v>47462</v>
      </c>
    </row>
    <row r="312" spans="1:1" x14ac:dyDescent="0.2">
      <c r="A312" s="70">
        <v>47469</v>
      </c>
    </row>
    <row r="313" spans="1:1" x14ac:dyDescent="0.2">
      <c r="A313" s="70">
        <v>47476</v>
      </c>
    </row>
    <row r="314" spans="1:1" x14ac:dyDescent="0.2">
      <c r="A314" s="70">
        <v>47483</v>
      </c>
    </row>
    <row r="315" spans="1:1" x14ac:dyDescent="0.2">
      <c r="A315" s="70">
        <v>47490</v>
      </c>
    </row>
    <row r="316" spans="1:1" x14ac:dyDescent="0.2">
      <c r="A316" s="70">
        <v>47497</v>
      </c>
    </row>
    <row r="317" spans="1:1" x14ac:dyDescent="0.2">
      <c r="A317" s="70">
        <v>47504</v>
      </c>
    </row>
    <row r="318" spans="1:1" x14ac:dyDescent="0.2">
      <c r="A318" s="70">
        <v>47511</v>
      </c>
    </row>
    <row r="319" spans="1:1" x14ac:dyDescent="0.2">
      <c r="A319" s="70">
        <v>47518</v>
      </c>
    </row>
    <row r="320" spans="1:1" x14ac:dyDescent="0.2">
      <c r="A320" s="70">
        <v>47525</v>
      </c>
    </row>
    <row r="321" spans="1:1" x14ac:dyDescent="0.2">
      <c r="A321" s="70">
        <v>47532</v>
      </c>
    </row>
    <row r="322" spans="1:1" x14ac:dyDescent="0.2">
      <c r="A322" s="70">
        <v>47539</v>
      </c>
    </row>
    <row r="323" spans="1:1" x14ac:dyDescent="0.2">
      <c r="A323" s="70">
        <v>47546</v>
      </c>
    </row>
    <row r="324" spans="1:1" x14ac:dyDescent="0.2">
      <c r="A324" s="70">
        <v>47553</v>
      </c>
    </row>
    <row r="325" spans="1:1" x14ac:dyDescent="0.2">
      <c r="A325" s="70">
        <v>47560</v>
      </c>
    </row>
    <row r="326" spans="1:1" x14ac:dyDescent="0.2">
      <c r="A326" s="70">
        <v>47567</v>
      </c>
    </row>
    <row r="327" spans="1:1" x14ac:dyDescent="0.2">
      <c r="A327" s="70">
        <v>47574</v>
      </c>
    </row>
    <row r="328" spans="1:1" x14ac:dyDescent="0.2">
      <c r="A328" s="70">
        <v>47581</v>
      </c>
    </row>
    <row r="329" spans="1:1" x14ac:dyDescent="0.2">
      <c r="A329" s="70">
        <v>47588</v>
      </c>
    </row>
    <row r="330" spans="1:1" x14ac:dyDescent="0.2">
      <c r="A330" s="70">
        <v>47595</v>
      </c>
    </row>
    <row r="331" spans="1:1" x14ac:dyDescent="0.2">
      <c r="A331" s="70">
        <v>47602</v>
      </c>
    </row>
    <row r="332" spans="1:1" x14ac:dyDescent="0.2">
      <c r="A332" s="70">
        <v>47609</v>
      </c>
    </row>
    <row r="333" spans="1:1" x14ac:dyDescent="0.2">
      <c r="A333" s="70">
        <v>47616</v>
      </c>
    </row>
    <row r="334" spans="1:1" x14ac:dyDescent="0.2">
      <c r="A334" s="70">
        <v>47623</v>
      </c>
    </row>
    <row r="335" spans="1:1" x14ac:dyDescent="0.2">
      <c r="A335" s="70">
        <v>47630</v>
      </c>
    </row>
    <row r="336" spans="1:1" x14ac:dyDescent="0.2">
      <c r="A336" s="70">
        <v>47637</v>
      </c>
    </row>
    <row r="337" spans="1:1" x14ac:dyDescent="0.2">
      <c r="A337" s="70">
        <v>47644</v>
      </c>
    </row>
    <row r="338" spans="1:1" x14ac:dyDescent="0.2">
      <c r="A338" s="70">
        <v>47651</v>
      </c>
    </row>
    <row r="339" spans="1:1" x14ac:dyDescent="0.2">
      <c r="A339" s="70">
        <v>47658</v>
      </c>
    </row>
    <row r="340" spans="1:1" x14ac:dyDescent="0.2">
      <c r="A340" s="70">
        <v>47665</v>
      </c>
    </row>
    <row r="341" spans="1:1" x14ac:dyDescent="0.2">
      <c r="A341" s="70">
        <v>47672</v>
      </c>
    </row>
    <row r="342" spans="1:1" x14ac:dyDescent="0.2">
      <c r="A342" s="70">
        <v>47679</v>
      </c>
    </row>
    <row r="343" spans="1:1" x14ac:dyDescent="0.2">
      <c r="A343" s="70">
        <v>47686</v>
      </c>
    </row>
    <row r="344" spans="1:1" x14ac:dyDescent="0.2">
      <c r="A344" s="70">
        <v>47693</v>
      </c>
    </row>
    <row r="345" spans="1:1" x14ac:dyDescent="0.2">
      <c r="A345" s="70">
        <v>47700</v>
      </c>
    </row>
    <row r="346" spans="1:1" x14ac:dyDescent="0.2">
      <c r="A346" s="70">
        <v>47707</v>
      </c>
    </row>
    <row r="347" spans="1:1" x14ac:dyDescent="0.2">
      <c r="A347" s="70">
        <v>47714</v>
      </c>
    </row>
    <row r="348" spans="1:1" x14ac:dyDescent="0.2">
      <c r="A348" s="70">
        <v>47721</v>
      </c>
    </row>
    <row r="349" spans="1:1" x14ac:dyDescent="0.2">
      <c r="A349" s="70">
        <v>47728</v>
      </c>
    </row>
    <row r="350" spans="1:1" x14ac:dyDescent="0.2">
      <c r="A350" s="70">
        <v>47735</v>
      </c>
    </row>
    <row r="351" spans="1:1" x14ac:dyDescent="0.2">
      <c r="A351" s="70">
        <v>47742</v>
      </c>
    </row>
    <row r="352" spans="1:1" x14ac:dyDescent="0.2">
      <c r="A352" s="70">
        <v>47749</v>
      </c>
    </row>
    <row r="353" spans="1:1" x14ac:dyDescent="0.2">
      <c r="A353" s="70">
        <v>47756</v>
      </c>
    </row>
    <row r="354" spans="1:1" x14ac:dyDescent="0.2">
      <c r="A354" s="70">
        <v>47763</v>
      </c>
    </row>
    <row r="355" spans="1:1" x14ac:dyDescent="0.2">
      <c r="A355" s="70">
        <v>47770</v>
      </c>
    </row>
    <row r="356" spans="1:1" x14ac:dyDescent="0.2">
      <c r="A356" s="70">
        <v>47777</v>
      </c>
    </row>
    <row r="357" spans="1:1" x14ac:dyDescent="0.2">
      <c r="A357" s="70">
        <v>47784</v>
      </c>
    </row>
    <row r="358" spans="1:1" x14ac:dyDescent="0.2">
      <c r="A358" s="70">
        <v>47791</v>
      </c>
    </row>
    <row r="359" spans="1:1" x14ac:dyDescent="0.2">
      <c r="A359" s="70">
        <v>47798</v>
      </c>
    </row>
    <row r="360" spans="1:1" x14ac:dyDescent="0.2">
      <c r="A360" s="70">
        <v>47805</v>
      </c>
    </row>
    <row r="361" spans="1:1" x14ac:dyDescent="0.2">
      <c r="A361" s="70">
        <v>47812</v>
      </c>
    </row>
    <row r="362" spans="1:1" x14ac:dyDescent="0.2">
      <c r="A362" s="70">
        <v>47819</v>
      </c>
    </row>
    <row r="363" spans="1:1" x14ac:dyDescent="0.2">
      <c r="A363" s="70">
        <v>47826</v>
      </c>
    </row>
    <row r="364" spans="1:1" x14ac:dyDescent="0.2">
      <c r="A364" s="70">
        <v>47833</v>
      </c>
    </row>
    <row r="365" spans="1:1" x14ac:dyDescent="0.2">
      <c r="A365" s="70">
        <v>47840</v>
      </c>
    </row>
    <row r="366" spans="1:1" x14ac:dyDescent="0.2">
      <c r="A366" s="70">
        <v>47847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INPUT</vt:lpstr>
      <vt:lpstr>PESO SEMANA</vt:lpstr>
      <vt:lpstr>BD PESO</vt:lpstr>
      <vt:lpstr>RPE v2</vt:lpstr>
      <vt:lpstr>RECUENTO</vt:lpstr>
      <vt:lpstr>SEMANAL v2</vt:lpstr>
      <vt:lpstr>PSE v2</vt:lpstr>
      <vt:lpstr>WELLNESS v2</vt:lpstr>
      <vt:lpstr>WELLNESS DIARIO</vt:lpstr>
      <vt:lpstr>_LISTAS_PESO</vt:lpstr>
      <vt:lpstr>_LISTAS_WELLNESS</vt:lpstr>
      <vt:lpstr>_Lunes</vt:lpstr>
      <vt:lpstr>ListaLunes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Arkaitz Sisniega</dc:creator>
  <cp:lastModifiedBy>Arkaitz Sisniega</cp:lastModifiedBy>
  <dcterms:created xsi:type="dcterms:W3CDTF">2025-04-14T11:27:30Z</dcterms:created>
  <dcterms:modified xsi:type="dcterms:W3CDTF">2026-04-21T13:14:17Z</dcterms:modified>
</cp:coreProperties>
</file>